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5b8626a94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oom" sheetId="1" r:id="R8123275afc0540b0"/>
    <x:sheet xmlns:r="http://schemas.openxmlformats.org/officeDocument/2006/relationships" name="Data" sheetId="2" r:id="R6ae284740db948fd"/>
    <x:sheet xmlns:r="http://schemas.openxmlformats.org/officeDocument/2006/relationships" name="Process" sheetId="3" r:id="R4c20727c8aa54d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0.00"/>
    <x:numFmt numFmtId="203" formatCode="0.00%"/>
    <x:numFmt numFmtId="204" formatCode="0%"/>
    <x:numFmt numFmtId="205" formatCode="#,##0.00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20202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6D9"/>
      </x:patternFill>
    </x:fill>
    <x:fill>
      <x:patternFill patternType="solid">
        <x:fgColor rgb="FFF1F1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</x:font>
    </x:dxf>
    <x:dxf>
      <x:font>
        <x:b/>
      </x:font>
    </x:dxf>
    <x:dxf>
      <x:font>
        <x:color rgb="FFA00000"/>
      </x:font>
      <x:fill>
        <x:patternFill patternType="solid">
          <x:bgColor rgb="FFFF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f2cdcba2944f1" /><Relationship Type="http://schemas.openxmlformats.org/officeDocument/2006/relationships/theme" Target="/xl/theme/theme1.xml" Id="Rfaf432cfcc8b4d0a" /><Relationship Type="http://schemas.openxmlformats.org/officeDocument/2006/relationships/sharedStrings" Target="/xl/sharedStrings.xml" Id="Rf8ac8001f2fb4ab6" /><Relationship Type="http://schemas.openxmlformats.org/officeDocument/2006/relationships/worksheet" Target="/xl/worksheets/sheet1.xml" Id="R8123275afc0540b0" /><Relationship Type="http://schemas.openxmlformats.org/officeDocument/2006/relationships/worksheet" Target="/xl/worksheets/sheet2.xml" Id="R6ae284740db948fd" /><Relationship Type="http://schemas.openxmlformats.org/officeDocument/2006/relationships/worksheet" Target="/xl/worksheets/sheet3.xml" Id="R4c20727c8aa54d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52ec6e225e48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output (t)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Total</c:v>
          </c:tx>
          <c:spPr>
            <a:ln xmlns:a="http://schemas.openxmlformats.org/drawingml/2006/main" w="19050">
              <a:solidFill>
                <a:srgbClr val="206BC4"/>
              </a:solidFill>
              <a:prstDash val="solid"/>
            </a:ln>
          </c:spPr>
          <c:marker>
            <c:symbol val="none"/>
          </c:marker>
          <c:cat>
            <c:strRef>
              <c:f>'Process'!$BZ$2:$BZ$731</c:f>
              <c:strCache>
                <c:ptCount val="0"/>
              </c:strCache>
            </c:strRef>
          </c:cat>
          <c:val>
            <c:numRef>
              <c:f>'Data'!$B$2:$B$731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-dd" sourceLinked="0"/>
        <c:majorTickMark val="none"/>
        <c:minorTickMark val="none"/>
        <c:tickLblPos val="nextTo"/>
        <c:tickLblSkip val="1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52ec6e225e48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eb05f443424e91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7" hidden="0" customWidth="1"/>
    <x:col min="2" max="2" width="15" hidden="0" customWidth="1"/>
    <x:col min="3" max="3" width="16" hidden="0" customWidth="1"/>
    <x:col min="4" max="4" width="15" hidden="0" customWidth="1"/>
    <x:col min="5" max="5" width="9" hidden="0" customWidth="1"/>
    <x:col min="6" max="6" width="8" hidden="0" customWidth="1"/>
    <x:col min="7" max="7" width="24" hidden="0" customWidth="1"/>
    <x:col min="8" max="8" width="14" hidden="0" customWidth="1"/>
  </x:cols>
  <x:sheetData>
    <x:row r="1" ht="22" customHeight="1">
      <x:c r="A1" s="2" t="str">
        <x:v>Start date</x:v>
      </x:c>
      <x:c r="B1" s="7" t="n">
        <x:v>72991</x:v>
      </x:c>
      <x:c r="C1" s="2" t="str">
        <x:v>End date</x:v>
      </x:c>
      <x:c r="D1" s="7" t="n">
        <x:v>73110</x:v>
      </x:c>
      <x:c r="E1" s="2"/>
      <x:c r="F1" s="3" t="str">
        <x:v>Mines</x:v>
      </x:c>
      <x:c r="G1" s="3"/>
      <x:c r="H1" s="3"/>
    </x:row>
    <x:row r="2" ht="22" customHeight="1">
      <x:c r="A2" s="2" t="str">
        <x:v>Mine count</x:v>
      </x:c>
      <x:c r="B2" s="8" t="n">
        <x:v>4</x:v>
      </x:c>
      <x:c r="C2" s="2" t="str">
        <x:v>Seed</x:v>
      </x:c>
      <x:c r="D2" s="8" t="n">
        <x:v>42</x:v>
      </x:c>
      <x:c r="E2" s="2"/>
      <x:c r="F2" s="3"/>
      <x:c r="G2" s="3"/>
      <x:c r="H2" s="3"/>
    </x:row>
    <x:row r="3" ht="22" customHeight="1">
      <x:c r="A3" s="2" t="str">
        <x:v>Days</x:v>
      </x:c>
      <x:c r="B3" s="9" t="n">
        <x:f>D1-B1+1</x:f>
        <x:v>120</x:v>
      </x:c>
      <x:c r="C3" s="2" t="str">
        <x:v>Status</x:v>
      </x:c>
      <x:c r="D3" s="2" t="str">
        <x:f>IF(OR(B3&lt;1,B3&gt;730,B2&lt;1,B2&gt;12,B2&lt;&gt;INT(B2),D2&lt;1,D2&gt;2147483646,B7&lt;0,D7&lt;0,B8&lt;0,D8&lt;B8,B9&lt;0,B9&gt;0.98,D9&lt;=-1,COUNTIFS('Process'!$BX$10:$BX$21,"Invalid name")&gt;0),"Invalid inputs","Ready")</x:f>
        <x:v>Ready</x:v>
      </x:c>
      <x:c r="E3" s="2"/>
      <x:c r="F3" s="4" t="str">
        <x:v>No.</x:v>
      </x:c>
      <x:c r="G3" s="4" t="str">
        <x:v>Name</x:v>
      </x:c>
      <x:c r="H3" s="4" t="str">
        <x:v>Capacity</x:v>
      </x:c>
    </x:row>
    <x:row r="4" ht="22" customHeight="1">
      <x:c r="A4" s="2"/>
      <x:c r="B4" s="2"/>
      <x:c r="C4" s="2"/>
      <x:c r="D4" s="2"/>
      <x:c r="E4" s="2"/>
      <x:c r="F4" s="9" t="n">
        <x:v>1</x:v>
      </x:c>
      <x:c r="G4" s="5" t="str">
        <x:v>LV-426</x:v>
      </x:c>
      <x:c r="H4" s="11" t="n">
        <x:v>1.12</x:v>
      </x:c>
    </x:row>
    <x:row r="5" ht="22" customHeight="1">
      <x:c r="A5" s="2" t="str">
        <x:v>Distribution</x:v>
      </x:c>
      <x:c r="B5" s="5" t="str">
        <x:v>Normal</x:v>
      </x:c>
      <x:c r="C5" s="2"/>
      <x:c r="D5" s="2"/>
      <x:c r="E5" s="2"/>
      <x:c r="F5" s="9" t="n">
        <x:v>2</x:v>
      </x:c>
      <x:c r="G5" s="5" t="str">
        <x:v>Origae-6</x:v>
      </x:c>
      <x:c r="H5" s="11" t="n">
        <x:v>0.89</x:v>
      </x:c>
    </x:row>
    <x:row r="6" ht="22" customHeight="1">
      <x:c r="A6" s="2" t="str">
        <x:f>IF(B5="Normal","Mean","Minimum")</x:f>
        <x:v>Mean</x:v>
      </x:c>
      <x:c r="B6" s="10" t="n">
        <x:f>IF(B5="Normal",B7,B8)</x:f>
        <x:v>1000</x:v>
      </x:c>
      <x:c r="C6" s="2" t="str">
        <x:f>IF(B5="Normal","SD","Maximum")</x:f>
        <x:v>SD</x:v>
      </x:c>
      <x:c r="D6" s="10" t="n">
        <x:f>IF(B5="Normal",D7,D8)</x:f>
        <x:v>90</x:v>
      </x:c>
      <x:c r="E6" s="2"/>
      <x:c r="F6" s="9" t="n">
        <x:v>3</x:v>
      </x:c>
      <x:c r="G6" s="5" t="str">
        <x:v>Fiorina 161</x:v>
      </x:c>
      <x:c r="H6" s="11" t="n">
        <x:v>1.3</x:v>
      </x:c>
    </x:row>
    <x:row r="7" ht="22" customHeight="1">
      <x:c r="A7" s="2" t="str">
        <x:v>Normal mean</x:v>
      </x:c>
      <x:c r="B7" s="11" t="n">
        <x:v>1000</x:v>
      </x:c>
      <x:c r="C7" s="2" t="str">
        <x:v>Normal SD</x:v>
      </x:c>
      <x:c r="D7" s="11" t="n">
        <x:v>90</x:v>
      </x:c>
      <x:c r="E7" s="2"/>
      <x:c r="F7" s="9" t="n">
        <x:v>4</x:v>
      </x:c>
      <x:c r="G7" s="5" t="str">
        <x:v>Acheron Ridge</x:v>
      </x:c>
      <x:c r="H7" s="11" t="n">
        <x:v>0.72</x:v>
      </x:c>
    </x:row>
    <x:row r="8" ht="22" customHeight="1">
      <x:c r="A8" s="2" t="str">
        <x:v>Uniform min</x:v>
      </x:c>
      <x:c r="B8" s="11" t="n">
        <x:v>650</x:v>
      </x:c>
      <x:c r="C8" s="2" t="str">
        <x:v>Uniform max</x:v>
      </x:c>
      <x:c r="D8" s="11" t="n">
        <x:v>1350</x:v>
      </x:c>
      <x:c r="E8" s="2"/>
      <x:c r="F8" s="9" t="n">
        <x:v>5</x:v>
      </x:c>
      <x:c r="G8" s="5" t="str">
        <x:v>Hadley North</x:v>
      </x:c>
      <x:c r="H8" s="11" t="n">
        <x:v>1.05</x:v>
      </x:c>
    </x:row>
    <x:row r="9" ht="22" customHeight="1">
      <x:c r="A9" s="2" t="str">
        <x:v>Correlation</x:v>
      </x:c>
      <x:c r="B9" s="11" t="n">
        <x:v>0.78</x:v>
      </x:c>
      <x:c r="C9" s="2" t="str">
        <x:v>Daily growth</x:v>
      </x:c>
      <x:c r="D9" s="12" t="n">
        <x:v>0.001</x:v>
      </x:c>
      <x:c r="E9" s="2"/>
      <x:c r="F9" s="9" t="n">
        <x:v>6</x:v>
      </x:c>
      <x:c r="G9" s="5" t="str">
        <x:v>Thedus</x:v>
      </x:c>
      <x:c r="H9" s="11" t="n">
        <x:v>0.96</x:v>
      </x:c>
    </x:row>
    <x:row r="10" ht="22" customHeight="1">
      <x:c r="A10" s="2"/>
      <x:c r="B10" s="2"/>
      <x:c r="C10" s="2"/>
      <x:c r="D10" s="2"/>
      <x:c r="E10" s="2"/>
      <x:c r="F10" s="9" t="n">
        <x:v>7</x:v>
      </x:c>
      <x:c r="G10" s="5" t="str">
        <x:v>Nostromo Basin</x:v>
      </x:c>
      <x:c r="H10" s="11" t="n">
        <x:v>1.17</x:v>
      </x:c>
    </x:row>
    <x:row r="11" ht="22" customHeight="1">
      <x:c r="A11" s="3" t="str">
        <x:v>Events</x:v>
      </x:c>
      <x:c r="B11" s="3"/>
      <x:c r="C11" s="3"/>
      <x:c r="D11" s="3"/>
      <x:c r="E11" s="2"/>
      <x:c r="F11" s="9" t="n">
        <x:v>8</x:v>
      </x:c>
      <x:c r="G11" s="5" t="str">
        <x:v>Sevastopol</x:v>
      </x:c>
      <x:c r="H11" s="11" t="n">
        <x:v>0.83</x:v>
      </x:c>
    </x:row>
    <x:row r="12" ht="22" customHeight="1">
      <x:c r="A12" s="4" t="str">
        <x:v>Start date</x:v>
      </x:c>
      <x:c r="B12" s="4" t="str">
        <x:v>Days</x:v>
      </x:c>
      <x:c r="C12" s="4" t="str">
        <x:v>Peak factor</x:v>
      </x:c>
      <x:c r="D12" s="4" t="str">
        <x:v>Probability</x:v>
      </x:c>
      <x:c r="E12" s="2"/>
      <x:c r="F12" s="9" t="n">
        <x:v>9</x:v>
      </x:c>
      <x:c r="G12" s="5" t="str">
        <x:v>Covenant Deep</x:v>
      </x:c>
      <x:c r="H12" s="11" t="n">
        <x:v>1.08</x:v>
      </x:c>
    </x:row>
    <x:row r="13" ht="22" customHeight="1">
      <x:c r="A13" s="7" t="n">
        <x:v>73009</x:v>
      </x:c>
      <x:c r="B13" s="8" t="n">
        <x:v>5</x:v>
      </x:c>
      <x:c r="C13" s="11" t="n">
        <x:v>0.18</x:v>
      </x:c>
      <x:c r="D13" s="13" t="n">
        <x:v>1</x:v>
      </x:c>
      <x:c r="E13" s="2"/>
      <x:c r="F13" s="9" t="n">
        <x:v>10</x:v>
      </x:c>
      <x:c r="G13" s="5" t="str">
        <x:v>Calpamos</x:v>
      </x:c>
      <x:c r="H13" s="11" t="n">
        <x:v>0.92</x:v>
      </x:c>
    </x:row>
    <x:row r="14" ht="22" customHeight="1">
      <x:c r="A14" s="7" t="n">
        <x:v>73032</x:v>
      </x:c>
      <x:c r="B14" s="8" t="n">
        <x:v>4</x:v>
      </x:c>
      <x:c r="C14" s="11" t="n">
        <x:v>3.4</x:v>
      </x:c>
      <x:c r="D14" s="13" t="n">
        <x:v>0.65</x:v>
      </x:c>
      <x:c r="E14" s="2"/>
      <x:c r="F14" s="9" t="n">
        <x:v>11</x:v>
      </x:c>
      <x:c r="G14" s="5" t="str">
        <x:v>Vega Outpost</x:v>
      </x:c>
      <x:c r="H14" s="11" t="n">
        <x:v>1.24</x:v>
      </x:c>
    </x:row>
    <x:row r="15" ht="22" customHeight="1">
      <x:c r="A15" s="7" t="n">
        <x:v>73054</x:v>
      </x:c>
      <x:c r="B15" s="8" t="n">
        <x:v>7</x:v>
      </x:c>
      <x:c r="C15" s="11" t="n">
        <x:v>0.35</x:v>
      </x:c>
      <x:c r="D15" s="13" t="n">
        <x:v>0.8</x:v>
      </x:c>
      <x:c r="E15" s="2"/>
      <x:c r="F15" s="9" t="n">
        <x:v>12</x:v>
      </x:c>
      <x:c r="G15" s="5" t="str">
        <x:v>Sulaco</x:v>
      </x:c>
      <x:c r="H15" s="11" t="n">
        <x:v>0.78</x:v>
      </x:c>
    </x:row>
    <x:row r="16" ht="22" customHeight="1">
      <x:c r="A16" s="7" t="n">
        <x:v>73090</x:v>
      </x:c>
      <x:c r="B16" s="8" t="n">
        <x:v>3</x:v>
      </x:c>
      <x:c r="C16" s="11" t="n">
        <x:v>2.9</x:v>
      </x:c>
      <x:c r="D16" s="13" t="n">
        <x:v>1</x:v>
      </x:c>
      <x:c r="E16" s="2"/>
      <x:c r="F16" s="2"/>
      <x:c r="G16" s="2"/>
      <x:c r="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" t="str">
        <x:v>Weekday</x:v>
      </x:c>
      <x:c r="B18" s="3" t="str">
        <x:v>Mon</x:v>
      </x:c>
      <x:c r="C18" s="3" t="str">
        <x:v>Tue</x:v>
      </x:c>
      <x:c r="D18" s="3" t="str">
        <x:v>Wed</x:v>
      </x:c>
      <x:c r="E18" s="3" t="str">
        <x:v>Thu</x:v>
      </x:c>
      <x:c r="F18" s="3" t="str">
        <x:v>Fri</x:v>
      </x:c>
      <x:c r="G18" s="3" t="str">
        <x:v>Sat</x:v>
      </x:c>
      <x:c r="H18" s="3" t="str">
        <x:v>Sun</x:v>
      </x:c>
    </x:row>
    <x:row r="19" ht="22" customHeight="1">
      <x:c r="A19" s="2" t="str">
        <x:v>Factor</x:v>
      </x:c>
      <x:c r="B19" s="13" t="n">
        <x:v>1</x:v>
      </x:c>
      <x:c r="C19" s="13" t="n">
        <x:v>1.04</x:v>
      </x:c>
      <x:c r="D19" s="13" t="n">
        <x:v>1.02</x:v>
      </x:c>
      <x:c r="E19" s="13" t="n">
        <x:v>1</x:v>
      </x:c>
      <x:c r="F19" s="13" t="n">
        <x:v>1</x:v>
      </x:c>
      <x:c r="G19" s="13" t="n">
        <x:v>0.82</x:v>
      </x:c>
      <x:c r="H19" s="13" t="n">
        <x:v>0.6</x:v>
      </x:c>
    </x:row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</x:sheetData>
  <x:conditionalFormatting sqref="A7:D7">
    <x:cfRule type="expression" dxfId="0" priority="1">
      <x:formula>$B$5="Normal"</x:formula>
    </x:cfRule>
  </x:conditionalFormatting>
  <x:conditionalFormatting sqref="A8:D8">
    <x:cfRule type="expression" dxfId="1" priority="2">
      <x:formula>$B$5="Uniform"</x:formula>
    </x:cfRule>
  </x:conditionalFormatting>
  <x:conditionalFormatting sqref="D3:D3">
    <x:cfRule type="containsText" dxfId="2" priority="3" operator="containsText" text="Invalid"/>
  </x:conditionalFormatting>
  <x:dataValidations count="14">
    <x:dataValidation type="list" sqref="B5">
      <x:formula1>"Normal,Uniform"</x:formula1>
    </x:dataValidation>
    <x:dataValidation type="whole" operator="between" sqref="B2">
      <x:formula1>1</x:formula1>
      <x:formula2>12</x:formula2>
    </x:dataValidation>
    <x:dataValidation type="whole" operator="between" sqref="D2">
      <x:formula1>1</x:formula1>
      <x:formula2>2147483646</x:formula2>
    </x:dataValidation>
    <x:dataValidation type="decimal" operator="between" sqref="B7">
      <x:formula1>0</x:formula1>
      <x:formula2>1000000000</x:formula2>
    </x:dataValidation>
    <x:dataValidation type="decimal" operator="between" sqref="D7">
      <x:formula1>0</x:formula1>
      <x:formula2>1000000000</x:formula2>
    </x:dataValidation>
    <x:dataValidation type="decimal" operator="between" sqref="B8">
      <x:formula1>0</x:formula1>
      <x:formula2>1000000000</x:formula2>
    </x:dataValidation>
    <x:dataValidation type="decimal" operator="between" sqref="D8">
      <x:formula1>0</x:formula1>
      <x:formula2>1000000000</x:formula2>
    </x:dataValidation>
    <x:dataValidation type="decimal" operator="between" sqref="B9">
      <x:formula1>0</x:formula1>
      <x:formula2>0.98</x:formula2>
    </x:dataValidation>
    <x:dataValidation type="decimal" operator="between" sqref="D9">
      <x:formula1>-0.99</x:formula1>
      <x:formula2>1</x:formula2>
    </x:dataValidation>
    <x:dataValidation type="decimal" operator="between" sqref="H4:H15">
      <x:formula1>0</x:formula1>
      <x:formula2>100</x:formula2>
    </x:dataValidation>
    <x:dataValidation type="whole" operator="between" sqref="B13:B16">
      <x:formula1>1</x:formula1>
      <x:formula2>730</x:formula2>
    </x:dataValidation>
    <x:dataValidation type="decimal" operator="between" sqref="C13:C16">
      <x:formula1>0</x:formula1>
      <x:formula2>100</x:formula2>
    </x:dataValidation>
    <x:dataValidation type="decimal" operator="between" sqref="D13:D16">
      <x:formula1>0</x:formula1>
      <x:formula2>1</x:formula2>
    </x:dataValidation>
    <x:dataValidation type="decimal" operator="between" sqref="B19:H19">
      <x:formula1>0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b8eb05f443424e91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1" customHeight="1">
      <x:c r="A1" s="4" t="str">
        <x:v>Date</x:v>
      </x:c>
      <x:c r="B1" s="4" t="str">
        <x:v>Total</x:v>
      </x:c>
      <x:c r="C1" s="4" t="str">
        <x:f>IF(1&lt;='Control Room'!$B$2,'Control Room'!G4,"")</x:f>
        <x:v>LV-426</x:v>
      </x:c>
      <x:c r="D1" s="4" t="str">
        <x:f>IF(2&lt;='Control Room'!$B$2,'Control Room'!G5,"")</x:f>
        <x:v>Origae-6</x:v>
      </x:c>
      <x:c r="E1" s="4" t="str">
        <x:f>IF(3&lt;='Control Room'!$B$2,'Control Room'!G6,"")</x:f>
        <x:v>Fiorina 161</x:v>
      </x:c>
      <x:c r="F1" s="4" t="str">
        <x:f>IF(4&lt;='Control Room'!$B$2,'Control Room'!G7,"")</x:f>
        <x:v>Acheron Ridge</x:v>
      </x:c>
      <x:c r="G1" s="4" t="str">
        <x:f>IF(5&lt;='Control Room'!$B$2,'Control Room'!G8,"")</x:f>
      </x:c>
      <x:c r="H1" s="4" t="str">
        <x:f>IF(6&lt;='Control Room'!$B$2,'Control Room'!G9,"")</x:f>
      </x:c>
      <x:c r="I1" s="4" t="str">
        <x:f>IF(7&lt;='Control Room'!$B$2,'Control Room'!G10,"")</x:f>
      </x:c>
      <x:c r="J1" s="4" t="str">
        <x:f>IF(8&lt;='Control Room'!$B$2,'Control Room'!G11,"")</x:f>
      </x:c>
      <x:c r="K1" s="4" t="str">
        <x:f>IF(9&lt;='Control Room'!$B$2,'Control Room'!G12,"")</x:f>
      </x:c>
      <x:c r="L1" s="4" t="str">
        <x:f>IF(10&lt;='Control Room'!$B$2,'Control Room'!G13,"")</x:f>
      </x:c>
      <x:c r="M1" s="4" t="str">
        <x:f>IF(11&lt;='Control Room'!$B$2,'Control Room'!G14,"")</x:f>
      </x:c>
      <x:c r="N1" s="4" t="str">
        <x:f>IF(12&lt;='Control Room'!$B$2,'Control Room'!G15,"")</x:f>
      </x:c>
    </x:row>
    <x:row r="2" ht="21" customHeight="1">
      <x:c r="A2" s="15" t="n">
        <x:f>IF(AND(1&lt;='Control Room'!$B$3,'Control Room'!$D$3="Ready"),'Process'!A2,"")</x:f>
        <x:v>72991</x:v>
      </x:c>
      <x:c r="B2" s="16" t="n">
        <x:f>IF(A2="","",SUM(C2:N2))</x:f>
        <x:v>4214.8</x:v>
      </x:c>
      <x:c r="C2" s="16" t="n">
        <x:f>IF(AND(AND(1&lt;='Control Room'!$B$3,'Control Room'!$D$3="Ready"),1&lt;='Control Room'!$B$2),ROUND(MAX(0,'Process'!E2*'Control Room'!$H$4*INDEX('Control Room'!$B$19:$H$19,1,WEEKDAY($A2,2))*(1+'Control Room'!$D$9)^0*'Process'!F2),2),"")</x:f>
        <x:v>1084.1</x:v>
      </x:c>
      <x:c r="D2" s="16" t="n">
        <x:f>IF(AND(AND(1&lt;='Control Room'!$B$3,'Control Room'!$D$3="Ready"),2&lt;='Control Room'!$B$2),ROUND(MAX(0,'Process'!J2*'Control Room'!$H$5*INDEX('Control Room'!$B$19:$H$19,1,WEEKDAY($A2,2))*(1+'Control Room'!$D$9)^0*'Process'!K2),2),"")</x:f>
        <x:v>927.88</x:v>
      </x:c>
      <x:c r="E2" s="16" t="n">
        <x:f>IF(AND(AND(1&lt;='Control Room'!$B$3,'Control Room'!$D$3="Ready"),3&lt;='Control Room'!$B$2),ROUND(MAX(0,'Process'!O2*'Control Room'!$H$6*INDEX('Control Room'!$B$19:$H$19,1,WEEKDAY($A2,2))*(1+'Control Room'!$D$9)^0*'Process'!P2),2),"")</x:f>
        <x:v>1445.52</x:v>
      </x:c>
      <x:c r="F2" s="16" t="n">
        <x:f>IF(AND(AND(1&lt;='Control Room'!$B$3,'Control Room'!$D$3="Ready"),4&lt;='Control Room'!$B$2),ROUND(MAX(0,'Process'!T2*'Control Room'!$H$7*INDEX('Control Room'!$B$19:$H$19,1,WEEKDAY($A2,2))*(1+'Control Room'!$D$9)^0*'Process'!U2),2),"")</x:f>
        <x:v>757.3</x:v>
      </x:c>
      <x:c r="G2" s="16" t="str">
        <x:f>IF(AND(AND(1&lt;='Control Room'!$B$3,'Control Room'!$D$3="Ready"),5&lt;='Control Room'!$B$2),ROUND(MAX(0,'Process'!Y2*'Control Room'!$H$8*INDEX('Control Room'!$B$19:$H$19,1,WEEKDAY($A2,2))*(1+'Control Room'!$D$9)^0*'Process'!Z2),2),"")</x:f>
      </x:c>
      <x:c r="H2" s="16" t="str">
        <x:f>IF(AND(AND(1&lt;='Control Room'!$B$3,'Control Room'!$D$3="Ready"),6&lt;='Control Room'!$B$2),ROUND(MAX(0,'Process'!AD2*'Control Room'!$H$9*INDEX('Control Room'!$B$19:$H$19,1,WEEKDAY($A2,2))*(1+'Control Room'!$D$9)^0*'Process'!AE2),2),"")</x:f>
      </x:c>
      <x:c r="I2" s="16" t="str">
        <x:f>IF(AND(AND(1&lt;='Control Room'!$B$3,'Control Room'!$D$3="Ready"),7&lt;='Control Room'!$B$2),ROUND(MAX(0,'Process'!AI2*'Control Room'!$H$10*INDEX('Control Room'!$B$19:$H$19,1,WEEKDAY($A2,2))*(1+'Control Room'!$D$9)^0*'Process'!AJ2),2),"")</x:f>
      </x:c>
      <x:c r="J2" s="16" t="str">
        <x:f>IF(AND(AND(1&lt;='Control Room'!$B$3,'Control Room'!$D$3="Ready"),8&lt;='Control Room'!$B$2),ROUND(MAX(0,'Process'!AN2*'Control Room'!$H$11*INDEX('Control Room'!$B$19:$H$19,1,WEEKDAY($A2,2))*(1+'Control Room'!$D$9)^0*'Process'!AO2),2),"")</x:f>
      </x:c>
      <x:c r="K2" s="16" t="str">
        <x:f>IF(AND(AND(1&lt;='Control Room'!$B$3,'Control Room'!$D$3="Ready"),9&lt;='Control Room'!$B$2),ROUND(MAX(0,'Process'!AS2*'Control Room'!$H$12*INDEX('Control Room'!$B$19:$H$19,1,WEEKDAY($A2,2))*(1+'Control Room'!$D$9)^0*'Process'!AT2),2),"")</x:f>
      </x:c>
      <x:c r="L2" s="16" t="str">
        <x:f>IF(AND(AND(1&lt;='Control Room'!$B$3,'Control Room'!$D$3="Ready"),10&lt;='Control Room'!$B$2),ROUND(MAX(0,'Process'!AX2*'Control Room'!$H$13*INDEX('Control Room'!$B$19:$H$19,1,WEEKDAY($A2,2))*(1+'Control Room'!$D$9)^0*'Process'!AY2),2),"")</x:f>
      </x:c>
      <x:c r="M2" s="16" t="str">
        <x:f>IF(AND(AND(1&lt;='Control Room'!$B$3,'Control Room'!$D$3="Ready"),11&lt;='Control Room'!$B$2),ROUND(MAX(0,'Process'!BC2*'Control Room'!$H$14*INDEX('Control Room'!$B$19:$H$19,1,WEEKDAY($A2,2))*(1+'Control Room'!$D$9)^0*'Process'!BD2),2),"")</x:f>
      </x:c>
      <x:c r="N2" s="16" t="str">
        <x:f>IF(AND(AND(1&lt;='Control Room'!$B$3,'Control Room'!$D$3="Ready"),12&lt;='Control Room'!$B$2),ROUND(MAX(0,'Process'!BH2*'Control Room'!$H$15*INDEX('Control Room'!$B$19:$H$19,1,WEEKDAY($A2,2))*(1+'Control Room'!$D$9)^0*'Process'!BI2),2),"")</x:f>
      </x:c>
    </x:row>
    <x:row r="3" ht="21" customHeight="1">
      <x:c r="A3" s="15" t="n">
        <x:f>IF(AND(2&lt;='Control Room'!$B$3,'Control Room'!$D$3="Ready"),'Process'!A3,"")</x:f>
        <x:v>72992</x:v>
      </x:c>
      <x:c r="B3" s="16" t="n">
        <x:f>IF(A3="","",SUM(C3:N3))</x:f>
        <x:v>4465.12</x:v>
      </x:c>
      <x:c r="C3" s="16" t="n">
        <x:f>IF(AND(AND(2&lt;='Control Room'!$B$3,'Control Room'!$D$3="Ready"),1&lt;='Control Room'!$B$2),ROUND(MAX(0,'Process'!E3*'Control Room'!$H$4*INDEX('Control Room'!$B$19:$H$19,1,WEEKDAY($A3,2))*(1+'Control Room'!$D$9)^1*'Process'!F3),2),"")</x:f>
        <x:v>1144.78</x:v>
      </x:c>
      <x:c r="D3" s="16" t="n">
        <x:f>IF(AND(AND(2&lt;='Control Room'!$B$3,'Control Room'!$D$3="Ready"),2&lt;='Control Room'!$B$2),ROUND(MAX(0,'Process'!J3*'Control Room'!$H$5*INDEX('Control Room'!$B$19:$H$19,1,WEEKDAY($A3,2))*(1+'Control Room'!$D$9)^1*'Process'!K3),2),"")</x:f>
        <x:v>980.54</x:v>
      </x:c>
      <x:c r="E3" s="16" t="n">
        <x:f>IF(AND(AND(2&lt;='Control Room'!$B$3,'Control Room'!$D$3="Ready"),3&lt;='Control Room'!$B$2),ROUND(MAX(0,'Process'!O3*'Control Room'!$H$6*INDEX('Control Room'!$B$19:$H$19,1,WEEKDAY($A3,2))*(1+'Control Room'!$D$9)^1*'Process'!P3),2),"")</x:f>
        <x:v>1547.45</x:v>
      </x:c>
      <x:c r="F3" s="16" t="n">
        <x:f>IF(AND(AND(2&lt;='Control Room'!$B$3,'Control Room'!$D$3="Ready"),4&lt;='Control Room'!$B$2),ROUND(MAX(0,'Process'!T3*'Control Room'!$H$7*INDEX('Control Room'!$B$19:$H$19,1,WEEKDAY($A3,2))*(1+'Control Room'!$D$9)^1*'Process'!U3),2),"")</x:f>
        <x:v>792.35</x:v>
      </x:c>
      <x:c r="G3" s="16" t="str">
        <x:f>IF(AND(AND(2&lt;='Control Room'!$B$3,'Control Room'!$D$3="Ready"),5&lt;='Control Room'!$B$2),ROUND(MAX(0,'Process'!Y3*'Control Room'!$H$8*INDEX('Control Room'!$B$19:$H$19,1,WEEKDAY($A3,2))*(1+'Control Room'!$D$9)^1*'Process'!Z3),2),"")</x:f>
      </x:c>
      <x:c r="H3" s="16" t="str">
        <x:f>IF(AND(AND(2&lt;='Control Room'!$B$3,'Control Room'!$D$3="Ready"),6&lt;='Control Room'!$B$2),ROUND(MAX(0,'Process'!AD3*'Control Room'!$H$9*INDEX('Control Room'!$B$19:$H$19,1,WEEKDAY($A3,2))*(1+'Control Room'!$D$9)^1*'Process'!AE3),2),"")</x:f>
      </x:c>
      <x:c r="I3" s="16" t="str">
        <x:f>IF(AND(AND(2&lt;='Control Room'!$B$3,'Control Room'!$D$3="Ready"),7&lt;='Control Room'!$B$2),ROUND(MAX(0,'Process'!AI3*'Control Room'!$H$10*INDEX('Control Room'!$B$19:$H$19,1,WEEKDAY($A3,2))*(1+'Control Room'!$D$9)^1*'Process'!AJ3),2),"")</x:f>
      </x:c>
      <x:c r="J3" s="16" t="str">
        <x:f>IF(AND(AND(2&lt;='Control Room'!$B$3,'Control Room'!$D$3="Ready"),8&lt;='Control Room'!$B$2),ROUND(MAX(0,'Process'!AN3*'Control Room'!$H$11*INDEX('Control Room'!$B$19:$H$19,1,WEEKDAY($A3,2))*(1+'Control Room'!$D$9)^1*'Process'!AO3),2),"")</x:f>
      </x:c>
      <x:c r="K3" s="16" t="str">
        <x:f>IF(AND(AND(2&lt;='Control Room'!$B$3,'Control Room'!$D$3="Ready"),9&lt;='Control Room'!$B$2),ROUND(MAX(0,'Process'!AS3*'Control Room'!$H$12*INDEX('Control Room'!$B$19:$H$19,1,WEEKDAY($A3,2))*(1+'Control Room'!$D$9)^1*'Process'!AT3),2),"")</x:f>
      </x:c>
      <x:c r="L3" s="16" t="str">
        <x:f>IF(AND(AND(2&lt;='Control Room'!$B$3,'Control Room'!$D$3="Ready"),10&lt;='Control Room'!$B$2),ROUND(MAX(0,'Process'!AX3*'Control Room'!$H$13*INDEX('Control Room'!$B$19:$H$19,1,WEEKDAY($A3,2))*(1+'Control Room'!$D$9)^1*'Process'!AY3),2),"")</x:f>
      </x:c>
      <x:c r="M3" s="16" t="str">
        <x:f>IF(AND(AND(2&lt;='Control Room'!$B$3,'Control Room'!$D$3="Ready"),11&lt;='Control Room'!$B$2),ROUND(MAX(0,'Process'!BC3*'Control Room'!$H$14*INDEX('Control Room'!$B$19:$H$19,1,WEEKDAY($A3,2))*(1+'Control Room'!$D$9)^1*'Process'!BD3),2),"")</x:f>
      </x:c>
      <x:c r="N3" s="16" t="str">
        <x:f>IF(AND(AND(2&lt;='Control Room'!$B$3,'Control Room'!$D$3="Ready"),12&lt;='Control Room'!$B$2),ROUND(MAX(0,'Process'!BH3*'Control Room'!$H$15*INDEX('Control Room'!$B$19:$H$19,1,WEEKDAY($A3,2))*(1+'Control Room'!$D$9)^1*'Process'!BI3),2),"")</x:f>
      </x:c>
    </x:row>
    <x:row r="4" ht="21" customHeight="1">
      <x:c r="A4" s="15" t="n">
        <x:f>IF(AND(3&lt;='Control Room'!$B$3,'Control Room'!$D$3="Ready"),'Process'!A4,"")</x:f>
        <x:v>72993</x:v>
      </x:c>
      <x:c r="B4" s="16" t="n">
        <x:f>IF(A4="","",SUM(C4:N4))</x:f>
        <x:v>4260.2</x:v>
      </x:c>
      <x:c r="C4" s="16" t="n">
        <x:f>IF(AND(AND(3&lt;='Control Room'!$B$3,'Control Room'!$D$3="Ready"),1&lt;='Control Room'!$B$2),ROUND(MAX(0,'Process'!E4*'Control Room'!$H$4*INDEX('Control Room'!$B$19:$H$19,1,WEEKDAY($A4,2))*(1+'Control Room'!$D$9)^2*'Process'!F4),2),"")</x:f>
        <x:v>1065.83</x:v>
      </x:c>
      <x:c r="D4" s="16" t="n">
        <x:f>IF(AND(AND(3&lt;='Control Room'!$B$3,'Control Room'!$D$3="Ready"),2&lt;='Control Room'!$B$2),ROUND(MAX(0,'Process'!J4*'Control Room'!$H$5*INDEX('Control Room'!$B$19:$H$19,1,WEEKDAY($A4,2))*(1+'Control Room'!$D$9)^2*'Process'!K4),2),"")</x:f>
        <x:v>989.07</x:v>
      </x:c>
      <x:c r="E4" s="16" t="n">
        <x:f>IF(AND(AND(3&lt;='Control Room'!$B$3,'Control Room'!$D$3="Ready"),3&lt;='Control Room'!$B$2),ROUND(MAX(0,'Process'!O4*'Control Room'!$H$6*INDEX('Control Room'!$B$19:$H$19,1,WEEKDAY($A4,2))*(1+'Control Room'!$D$9)^2*'Process'!P4),2),"")</x:f>
        <x:v>1462.87</x:v>
      </x:c>
      <x:c r="F4" s="16" t="n">
        <x:f>IF(AND(AND(3&lt;='Control Room'!$B$3,'Control Room'!$D$3="Ready"),4&lt;='Control Room'!$B$2),ROUND(MAX(0,'Process'!T4*'Control Room'!$H$7*INDEX('Control Room'!$B$19:$H$19,1,WEEKDAY($A4,2))*(1+'Control Room'!$D$9)^2*'Process'!U4),2),"")</x:f>
        <x:v>742.43</x:v>
      </x:c>
      <x:c r="G4" s="16" t="str">
        <x:f>IF(AND(AND(3&lt;='Control Room'!$B$3,'Control Room'!$D$3="Ready"),5&lt;='Control Room'!$B$2),ROUND(MAX(0,'Process'!Y4*'Control Room'!$H$8*INDEX('Control Room'!$B$19:$H$19,1,WEEKDAY($A4,2))*(1+'Control Room'!$D$9)^2*'Process'!Z4),2),"")</x:f>
      </x:c>
      <x:c r="H4" s="16" t="str">
        <x:f>IF(AND(AND(3&lt;='Control Room'!$B$3,'Control Room'!$D$3="Ready"),6&lt;='Control Room'!$B$2),ROUND(MAX(0,'Process'!AD4*'Control Room'!$H$9*INDEX('Control Room'!$B$19:$H$19,1,WEEKDAY($A4,2))*(1+'Control Room'!$D$9)^2*'Process'!AE4),2),"")</x:f>
      </x:c>
      <x:c r="I4" s="16" t="str">
        <x:f>IF(AND(AND(3&lt;='Control Room'!$B$3,'Control Room'!$D$3="Ready"),7&lt;='Control Room'!$B$2),ROUND(MAX(0,'Process'!AI4*'Control Room'!$H$10*INDEX('Control Room'!$B$19:$H$19,1,WEEKDAY($A4,2))*(1+'Control Room'!$D$9)^2*'Process'!AJ4),2),"")</x:f>
      </x:c>
      <x:c r="J4" s="16" t="str">
        <x:f>IF(AND(AND(3&lt;='Control Room'!$B$3,'Control Room'!$D$3="Ready"),8&lt;='Control Room'!$B$2),ROUND(MAX(0,'Process'!AN4*'Control Room'!$H$11*INDEX('Control Room'!$B$19:$H$19,1,WEEKDAY($A4,2))*(1+'Control Room'!$D$9)^2*'Process'!AO4),2),"")</x:f>
      </x:c>
      <x:c r="K4" s="16" t="str">
        <x:f>IF(AND(AND(3&lt;='Control Room'!$B$3,'Control Room'!$D$3="Ready"),9&lt;='Control Room'!$B$2),ROUND(MAX(0,'Process'!AS4*'Control Room'!$H$12*INDEX('Control Room'!$B$19:$H$19,1,WEEKDAY($A4,2))*(1+'Control Room'!$D$9)^2*'Process'!AT4),2),"")</x:f>
      </x:c>
      <x:c r="L4" s="16" t="str">
        <x:f>IF(AND(AND(3&lt;='Control Room'!$B$3,'Control Room'!$D$3="Ready"),10&lt;='Control Room'!$B$2),ROUND(MAX(0,'Process'!AX4*'Control Room'!$H$13*INDEX('Control Room'!$B$19:$H$19,1,WEEKDAY($A4,2))*(1+'Control Room'!$D$9)^2*'Process'!AY4),2),"")</x:f>
      </x:c>
      <x:c r="M4" s="16" t="str">
        <x:f>IF(AND(AND(3&lt;='Control Room'!$B$3,'Control Room'!$D$3="Ready"),11&lt;='Control Room'!$B$2),ROUND(MAX(0,'Process'!BC4*'Control Room'!$H$14*INDEX('Control Room'!$B$19:$H$19,1,WEEKDAY($A4,2))*(1+'Control Room'!$D$9)^2*'Process'!BD4),2),"")</x:f>
      </x:c>
      <x:c r="N4" s="16" t="str">
        <x:f>IF(AND(AND(3&lt;='Control Room'!$B$3,'Control Room'!$D$3="Ready"),12&lt;='Control Room'!$B$2),ROUND(MAX(0,'Process'!BH4*'Control Room'!$H$15*INDEX('Control Room'!$B$19:$H$19,1,WEEKDAY($A4,2))*(1+'Control Room'!$D$9)^2*'Process'!BI4),2),"")</x:f>
      </x:c>
    </x:row>
    <x:row r="5" ht="21" customHeight="1">
      <x:c r="A5" s="15" t="n">
        <x:f>IF(AND(4&lt;='Control Room'!$B$3,'Control Room'!$D$3="Ready"),'Process'!A5,"")</x:f>
        <x:v>72994</x:v>
      </x:c>
      <x:c r="B5" s="16" t="n">
        <x:f>IF(A5="","",SUM(C5:N5))</x:f>
        <x:v>4214.28</x:v>
      </x:c>
      <x:c r="C5" s="16" t="n">
        <x:f>IF(AND(AND(4&lt;='Control Room'!$B$3,'Control Room'!$D$3="Ready"),1&lt;='Control Room'!$B$2),ROUND(MAX(0,'Process'!E5*'Control Room'!$H$4*INDEX('Control Room'!$B$19:$H$19,1,WEEKDAY($A5,2))*(1+'Control Room'!$D$9)^3*'Process'!F5),2),"")</x:f>
        <x:v>1049.1</x:v>
      </x:c>
      <x:c r="D5" s="16" t="n">
        <x:f>IF(AND(AND(4&lt;='Control Room'!$B$3,'Control Room'!$D$3="Ready"),2&lt;='Control Room'!$B$2),ROUND(MAX(0,'Process'!J5*'Control Room'!$H$5*INDEX('Control Room'!$B$19:$H$19,1,WEEKDAY($A5,2))*(1+'Control Room'!$D$9)^3*'Process'!K5),2),"")</x:f>
        <x:v>969.29</x:v>
      </x:c>
      <x:c r="E5" s="16" t="n">
        <x:f>IF(AND(AND(4&lt;='Control Room'!$B$3,'Control Room'!$D$3="Ready"),3&lt;='Control Room'!$B$2),ROUND(MAX(0,'Process'!O5*'Control Room'!$H$6*INDEX('Control Room'!$B$19:$H$19,1,WEEKDAY($A5,2))*(1+'Control Room'!$D$9)^3*'Process'!P5),2),"")</x:f>
        <x:v>1457.69</x:v>
      </x:c>
      <x:c r="F5" s="16" t="n">
        <x:f>IF(AND(AND(4&lt;='Control Room'!$B$3,'Control Room'!$D$3="Ready"),4&lt;='Control Room'!$B$2),ROUND(MAX(0,'Process'!T5*'Control Room'!$H$7*INDEX('Control Room'!$B$19:$H$19,1,WEEKDAY($A5,2))*(1+'Control Room'!$D$9)^3*'Process'!U5),2),"")</x:f>
        <x:v>738.2</x:v>
      </x:c>
      <x:c r="G5" s="16" t="str">
        <x:f>IF(AND(AND(4&lt;='Control Room'!$B$3,'Control Room'!$D$3="Ready"),5&lt;='Control Room'!$B$2),ROUND(MAX(0,'Process'!Y5*'Control Room'!$H$8*INDEX('Control Room'!$B$19:$H$19,1,WEEKDAY($A5,2))*(1+'Control Room'!$D$9)^3*'Process'!Z5),2),"")</x:f>
      </x:c>
      <x:c r="H5" s="16" t="str">
        <x:f>IF(AND(AND(4&lt;='Control Room'!$B$3,'Control Room'!$D$3="Ready"),6&lt;='Control Room'!$B$2),ROUND(MAX(0,'Process'!AD5*'Control Room'!$H$9*INDEX('Control Room'!$B$19:$H$19,1,WEEKDAY($A5,2))*(1+'Control Room'!$D$9)^3*'Process'!AE5),2),"")</x:f>
      </x:c>
      <x:c r="I5" s="16" t="str">
        <x:f>IF(AND(AND(4&lt;='Control Room'!$B$3,'Control Room'!$D$3="Ready"),7&lt;='Control Room'!$B$2),ROUND(MAX(0,'Process'!AI5*'Control Room'!$H$10*INDEX('Control Room'!$B$19:$H$19,1,WEEKDAY($A5,2))*(1+'Control Room'!$D$9)^3*'Process'!AJ5),2),"")</x:f>
      </x:c>
      <x:c r="J5" s="16" t="str">
        <x:f>IF(AND(AND(4&lt;='Control Room'!$B$3,'Control Room'!$D$3="Ready"),8&lt;='Control Room'!$B$2),ROUND(MAX(0,'Process'!AN5*'Control Room'!$H$11*INDEX('Control Room'!$B$19:$H$19,1,WEEKDAY($A5,2))*(1+'Control Room'!$D$9)^3*'Process'!AO5),2),"")</x:f>
      </x:c>
      <x:c r="K5" s="16" t="str">
        <x:f>IF(AND(AND(4&lt;='Control Room'!$B$3,'Control Room'!$D$3="Ready"),9&lt;='Control Room'!$B$2),ROUND(MAX(0,'Process'!AS5*'Control Room'!$H$12*INDEX('Control Room'!$B$19:$H$19,1,WEEKDAY($A5,2))*(1+'Control Room'!$D$9)^3*'Process'!AT5),2),"")</x:f>
      </x:c>
      <x:c r="L5" s="16" t="str">
        <x:f>IF(AND(AND(4&lt;='Control Room'!$B$3,'Control Room'!$D$3="Ready"),10&lt;='Control Room'!$B$2),ROUND(MAX(0,'Process'!AX5*'Control Room'!$H$13*INDEX('Control Room'!$B$19:$H$19,1,WEEKDAY($A5,2))*(1+'Control Room'!$D$9)^3*'Process'!AY5),2),"")</x:f>
      </x:c>
      <x:c r="M5" s="16" t="str">
        <x:f>IF(AND(AND(4&lt;='Control Room'!$B$3,'Control Room'!$D$3="Ready"),11&lt;='Control Room'!$B$2),ROUND(MAX(0,'Process'!BC5*'Control Room'!$H$14*INDEX('Control Room'!$B$19:$H$19,1,WEEKDAY($A5,2))*(1+'Control Room'!$D$9)^3*'Process'!BD5),2),"")</x:f>
      </x:c>
      <x:c r="N5" s="16" t="str">
        <x:f>IF(AND(AND(4&lt;='Control Room'!$B$3,'Control Room'!$D$3="Ready"),12&lt;='Control Room'!$B$2),ROUND(MAX(0,'Process'!BH5*'Control Room'!$H$15*INDEX('Control Room'!$B$19:$H$19,1,WEEKDAY($A5,2))*(1+'Control Room'!$D$9)^3*'Process'!BI5),2),"")</x:f>
      </x:c>
    </x:row>
    <x:row r="6" ht="21" customHeight="1">
      <x:c r="A6" s="15" t="n">
        <x:f>IF(AND(5&lt;='Control Room'!$B$3,'Control Room'!$D$3="Ready"),'Process'!A6,"")</x:f>
        <x:v>72995</x:v>
      </x:c>
      <x:c r="B6" s="16" t="n">
        <x:f>IF(A6="","",SUM(C6:N6))</x:f>
        <x:v>4170.84</x:v>
      </x:c>
      <x:c r="C6" s="16" t="n">
        <x:f>IF(AND(AND(5&lt;='Control Room'!$B$3,'Control Room'!$D$3="Ready"),1&lt;='Control Room'!$B$2),ROUND(MAX(0,'Process'!E6*'Control Room'!$H$4*INDEX('Control Room'!$B$19:$H$19,1,WEEKDAY($A6,2))*(1+'Control Room'!$D$9)^4*'Process'!F6),2),"")</x:f>
        <x:v>1049.39</x:v>
      </x:c>
      <x:c r="D6" s="16" t="n">
        <x:f>IF(AND(AND(5&lt;='Control Room'!$B$3,'Control Room'!$D$3="Ready"),2&lt;='Control Room'!$B$2),ROUND(MAX(0,'Process'!J6*'Control Room'!$H$5*INDEX('Control Room'!$B$19:$H$19,1,WEEKDAY($A6,2))*(1+'Control Room'!$D$9)^4*'Process'!K6),2),"")</x:f>
        <x:v>980.31</x:v>
      </x:c>
      <x:c r="E6" s="16" t="n">
        <x:f>IF(AND(AND(5&lt;='Control Room'!$B$3,'Control Room'!$D$3="Ready"),3&lt;='Control Room'!$B$2),ROUND(MAX(0,'Process'!O6*'Control Room'!$H$6*INDEX('Control Room'!$B$19:$H$19,1,WEEKDAY($A6,2))*(1+'Control Room'!$D$9)^4*'Process'!P6),2),"")</x:f>
        <x:v>1372.01</x:v>
      </x:c>
      <x:c r="F6" s="16" t="n">
        <x:f>IF(AND(AND(5&lt;='Control Room'!$B$3,'Control Room'!$D$3="Ready"),4&lt;='Control Room'!$B$2),ROUND(MAX(0,'Process'!T6*'Control Room'!$H$7*INDEX('Control Room'!$B$19:$H$19,1,WEEKDAY($A6,2))*(1+'Control Room'!$D$9)^4*'Process'!U6),2),"")</x:f>
        <x:v>769.13</x:v>
      </x:c>
      <x:c r="G6" s="16" t="str">
        <x:f>IF(AND(AND(5&lt;='Control Room'!$B$3,'Control Room'!$D$3="Ready"),5&lt;='Control Room'!$B$2),ROUND(MAX(0,'Process'!Y6*'Control Room'!$H$8*INDEX('Control Room'!$B$19:$H$19,1,WEEKDAY($A6,2))*(1+'Control Room'!$D$9)^4*'Process'!Z6),2),"")</x:f>
      </x:c>
      <x:c r="H6" s="16" t="str">
        <x:f>IF(AND(AND(5&lt;='Control Room'!$B$3,'Control Room'!$D$3="Ready"),6&lt;='Control Room'!$B$2),ROUND(MAX(0,'Process'!AD6*'Control Room'!$H$9*INDEX('Control Room'!$B$19:$H$19,1,WEEKDAY($A6,2))*(1+'Control Room'!$D$9)^4*'Process'!AE6),2),"")</x:f>
      </x:c>
      <x:c r="I6" s="16" t="str">
        <x:f>IF(AND(AND(5&lt;='Control Room'!$B$3,'Control Room'!$D$3="Ready"),7&lt;='Control Room'!$B$2),ROUND(MAX(0,'Process'!AI6*'Control Room'!$H$10*INDEX('Control Room'!$B$19:$H$19,1,WEEKDAY($A6,2))*(1+'Control Room'!$D$9)^4*'Process'!AJ6),2),"")</x:f>
      </x:c>
      <x:c r="J6" s="16" t="str">
        <x:f>IF(AND(AND(5&lt;='Control Room'!$B$3,'Control Room'!$D$3="Ready"),8&lt;='Control Room'!$B$2),ROUND(MAX(0,'Process'!AN6*'Control Room'!$H$11*INDEX('Control Room'!$B$19:$H$19,1,WEEKDAY($A6,2))*(1+'Control Room'!$D$9)^4*'Process'!AO6),2),"")</x:f>
      </x:c>
      <x:c r="K6" s="16" t="str">
        <x:f>IF(AND(AND(5&lt;='Control Room'!$B$3,'Control Room'!$D$3="Ready"),9&lt;='Control Room'!$B$2),ROUND(MAX(0,'Process'!AS6*'Control Room'!$H$12*INDEX('Control Room'!$B$19:$H$19,1,WEEKDAY($A6,2))*(1+'Control Room'!$D$9)^4*'Process'!AT6),2),"")</x:f>
      </x:c>
      <x:c r="L6" s="16" t="str">
        <x:f>IF(AND(AND(5&lt;='Control Room'!$B$3,'Control Room'!$D$3="Ready"),10&lt;='Control Room'!$B$2),ROUND(MAX(0,'Process'!AX6*'Control Room'!$H$13*INDEX('Control Room'!$B$19:$H$19,1,WEEKDAY($A6,2))*(1+'Control Room'!$D$9)^4*'Process'!AY6),2),"")</x:f>
      </x:c>
      <x:c r="M6" s="16" t="str">
        <x:f>IF(AND(AND(5&lt;='Control Room'!$B$3,'Control Room'!$D$3="Ready"),11&lt;='Control Room'!$B$2),ROUND(MAX(0,'Process'!BC6*'Control Room'!$H$14*INDEX('Control Room'!$B$19:$H$19,1,WEEKDAY($A6,2))*(1+'Control Room'!$D$9)^4*'Process'!BD6),2),"")</x:f>
      </x:c>
      <x:c r="N6" s="16" t="str">
        <x:f>IF(AND(AND(5&lt;='Control Room'!$B$3,'Control Room'!$D$3="Ready"),12&lt;='Control Room'!$B$2),ROUND(MAX(0,'Process'!BH6*'Control Room'!$H$15*INDEX('Control Room'!$B$19:$H$19,1,WEEKDAY($A6,2))*(1+'Control Room'!$D$9)^4*'Process'!BI6),2),"")</x:f>
      </x:c>
    </x:row>
    <x:row r="7" ht="21" customHeight="1">
      <x:c r="A7" s="15" t="n">
        <x:f>IF(AND(6&lt;='Control Room'!$B$3,'Control Room'!$D$3="Ready"),'Process'!A7,"")</x:f>
        <x:v>72996</x:v>
      </x:c>
      <x:c r="B7" s="16" t="n">
        <x:f>IF(A7="","",SUM(C7:N7))</x:f>
        <x:v>3337.99</x:v>
      </x:c>
      <x:c r="C7" s="16" t="n">
        <x:f>IF(AND(AND(6&lt;='Control Room'!$B$3,'Control Room'!$D$3="Ready"),1&lt;='Control Room'!$B$2),ROUND(MAX(0,'Process'!E7*'Control Room'!$H$4*INDEX('Control Room'!$B$19:$H$19,1,WEEKDAY($A7,2))*(1+'Control Room'!$D$9)^5*'Process'!F7),2),"")</x:f>
        <x:v>878.39</x:v>
      </x:c>
      <x:c r="D7" s="16" t="n">
        <x:f>IF(AND(AND(6&lt;='Control Room'!$B$3,'Control Room'!$D$3="Ready"),2&lt;='Control Room'!$B$2),ROUND(MAX(0,'Process'!J7*'Control Room'!$H$5*INDEX('Control Room'!$B$19:$H$19,1,WEEKDAY($A7,2))*(1+'Control Room'!$D$9)^5*'Process'!K7),2),"")</x:f>
        <x:v>784.48</x:v>
      </x:c>
      <x:c r="E7" s="16" t="n">
        <x:f>IF(AND(AND(6&lt;='Control Room'!$B$3,'Control Room'!$D$3="Ready"),3&lt;='Control Room'!$B$2),ROUND(MAX(0,'Process'!O7*'Control Room'!$H$6*INDEX('Control Room'!$B$19:$H$19,1,WEEKDAY($A7,2))*(1+'Control Room'!$D$9)^5*'Process'!P7),2),"")</x:f>
        <x:v>1085.77</x:v>
      </x:c>
      <x:c r="F7" s="16" t="n">
        <x:f>IF(AND(AND(6&lt;='Control Room'!$B$3,'Control Room'!$D$3="Ready"),4&lt;='Control Room'!$B$2),ROUND(MAX(0,'Process'!T7*'Control Room'!$H$7*INDEX('Control Room'!$B$19:$H$19,1,WEEKDAY($A7,2))*(1+'Control Room'!$D$9)^5*'Process'!U7),2),"")</x:f>
        <x:v>589.35</x:v>
      </x:c>
      <x:c r="G7" s="16" t="str">
        <x:f>IF(AND(AND(6&lt;='Control Room'!$B$3,'Control Room'!$D$3="Ready"),5&lt;='Control Room'!$B$2),ROUND(MAX(0,'Process'!Y7*'Control Room'!$H$8*INDEX('Control Room'!$B$19:$H$19,1,WEEKDAY($A7,2))*(1+'Control Room'!$D$9)^5*'Process'!Z7),2),"")</x:f>
      </x:c>
      <x:c r="H7" s="16" t="str">
        <x:f>IF(AND(AND(6&lt;='Control Room'!$B$3,'Control Room'!$D$3="Ready"),6&lt;='Control Room'!$B$2),ROUND(MAX(0,'Process'!AD7*'Control Room'!$H$9*INDEX('Control Room'!$B$19:$H$19,1,WEEKDAY($A7,2))*(1+'Control Room'!$D$9)^5*'Process'!AE7),2),"")</x:f>
      </x:c>
      <x:c r="I7" s="16" t="str">
        <x:f>IF(AND(AND(6&lt;='Control Room'!$B$3,'Control Room'!$D$3="Ready"),7&lt;='Control Room'!$B$2),ROUND(MAX(0,'Process'!AI7*'Control Room'!$H$10*INDEX('Control Room'!$B$19:$H$19,1,WEEKDAY($A7,2))*(1+'Control Room'!$D$9)^5*'Process'!AJ7),2),"")</x:f>
      </x:c>
      <x:c r="J7" s="16" t="str">
        <x:f>IF(AND(AND(6&lt;='Control Room'!$B$3,'Control Room'!$D$3="Ready"),8&lt;='Control Room'!$B$2),ROUND(MAX(0,'Process'!AN7*'Control Room'!$H$11*INDEX('Control Room'!$B$19:$H$19,1,WEEKDAY($A7,2))*(1+'Control Room'!$D$9)^5*'Process'!AO7),2),"")</x:f>
      </x:c>
      <x:c r="K7" s="16" t="str">
        <x:f>IF(AND(AND(6&lt;='Control Room'!$B$3,'Control Room'!$D$3="Ready"),9&lt;='Control Room'!$B$2),ROUND(MAX(0,'Process'!AS7*'Control Room'!$H$12*INDEX('Control Room'!$B$19:$H$19,1,WEEKDAY($A7,2))*(1+'Control Room'!$D$9)^5*'Process'!AT7),2),"")</x:f>
      </x:c>
      <x:c r="L7" s="16" t="str">
        <x:f>IF(AND(AND(6&lt;='Control Room'!$B$3,'Control Room'!$D$3="Ready"),10&lt;='Control Room'!$B$2),ROUND(MAX(0,'Process'!AX7*'Control Room'!$H$13*INDEX('Control Room'!$B$19:$H$19,1,WEEKDAY($A7,2))*(1+'Control Room'!$D$9)^5*'Process'!AY7),2),"")</x:f>
      </x:c>
      <x:c r="M7" s="16" t="str">
        <x:f>IF(AND(AND(6&lt;='Control Room'!$B$3,'Control Room'!$D$3="Ready"),11&lt;='Control Room'!$B$2),ROUND(MAX(0,'Process'!BC7*'Control Room'!$H$14*INDEX('Control Room'!$B$19:$H$19,1,WEEKDAY($A7,2))*(1+'Control Room'!$D$9)^5*'Process'!BD7),2),"")</x:f>
      </x:c>
      <x:c r="N7" s="16" t="str">
        <x:f>IF(AND(AND(6&lt;='Control Room'!$B$3,'Control Room'!$D$3="Ready"),12&lt;='Control Room'!$B$2),ROUND(MAX(0,'Process'!BH7*'Control Room'!$H$15*INDEX('Control Room'!$B$19:$H$19,1,WEEKDAY($A7,2))*(1+'Control Room'!$D$9)^5*'Process'!BI7),2),"")</x:f>
      </x:c>
    </x:row>
    <x:row r="8" ht="21" customHeight="1">
      <x:c r="A8" s="15" t="n">
        <x:f>IF(AND(7&lt;='Control Room'!$B$3,'Control Room'!$D$3="Ready"),'Process'!A8,"")</x:f>
        <x:v>72997</x:v>
      </x:c>
      <x:c r="B8" s="16" t="n">
        <x:f>IF(A8="","",SUM(C8:N8))</x:f>
        <x:v>2466.65</x:v>
      </x:c>
      <x:c r="C8" s="16" t="n">
        <x:f>IF(AND(AND(7&lt;='Control Room'!$B$3,'Control Room'!$D$3="Ready"),1&lt;='Control Room'!$B$2),ROUND(MAX(0,'Process'!E8*'Control Room'!$H$4*INDEX('Control Room'!$B$19:$H$19,1,WEEKDAY($A8,2))*(1+'Control Room'!$D$9)^6*'Process'!F8),2),"")</x:f>
        <x:v>700.06</x:v>
      </x:c>
      <x:c r="D8" s="16" t="n">
        <x:f>IF(AND(AND(7&lt;='Control Room'!$B$3,'Control Room'!$D$3="Ready"),2&lt;='Control Room'!$B$2),ROUND(MAX(0,'Process'!J8*'Control Room'!$H$5*INDEX('Control Room'!$B$19:$H$19,1,WEEKDAY($A8,2))*(1+'Control Room'!$D$9)^6*'Process'!K8),2),"")</x:f>
        <x:v>598.24</x:v>
      </x:c>
      <x:c r="E8" s="16" t="n">
        <x:f>IF(AND(AND(7&lt;='Control Room'!$B$3,'Control Room'!$D$3="Ready"),3&lt;='Control Room'!$B$2),ROUND(MAX(0,'Process'!O8*'Control Room'!$H$6*INDEX('Control Room'!$B$19:$H$19,1,WEEKDAY($A8,2))*(1+'Control Room'!$D$9)^6*'Process'!P8),2),"")</x:f>
        <x:v>738.01</x:v>
      </x:c>
      <x:c r="F8" s="16" t="n">
        <x:f>IF(AND(AND(7&lt;='Control Room'!$B$3,'Control Room'!$D$3="Ready"),4&lt;='Control Room'!$B$2),ROUND(MAX(0,'Process'!T8*'Control Room'!$H$7*INDEX('Control Room'!$B$19:$H$19,1,WEEKDAY($A8,2))*(1+'Control Room'!$D$9)^6*'Process'!U8),2),"")</x:f>
        <x:v>430.34</x:v>
      </x:c>
      <x:c r="G8" s="16" t="str">
        <x:f>IF(AND(AND(7&lt;='Control Room'!$B$3,'Control Room'!$D$3="Ready"),5&lt;='Control Room'!$B$2),ROUND(MAX(0,'Process'!Y8*'Control Room'!$H$8*INDEX('Control Room'!$B$19:$H$19,1,WEEKDAY($A8,2))*(1+'Control Room'!$D$9)^6*'Process'!Z8),2),"")</x:f>
      </x:c>
      <x:c r="H8" s="16" t="str">
        <x:f>IF(AND(AND(7&lt;='Control Room'!$B$3,'Control Room'!$D$3="Ready"),6&lt;='Control Room'!$B$2),ROUND(MAX(0,'Process'!AD8*'Control Room'!$H$9*INDEX('Control Room'!$B$19:$H$19,1,WEEKDAY($A8,2))*(1+'Control Room'!$D$9)^6*'Process'!AE8),2),"")</x:f>
      </x:c>
      <x:c r="I8" s="16" t="str">
        <x:f>IF(AND(AND(7&lt;='Control Room'!$B$3,'Control Room'!$D$3="Ready"),7&lt;='Control Room'!$B$2),ROUND(MAX(0,'Process'!AI8*'Control Room'!$H$10*INDEX('Control Room'!$B$19:$H$19,1,WEEKDAY($A8,2))*(1+'Control Room'!$D$9)^6*'Process'!AJ8),2),"")</x:f>
      </x:c>
      <x:c r="J8" s="16" t="str">
        <x:f>IF(AND(AND(7&lt;='Control Room'!$B$3,'Control Room'!$D$3="Ready"),8&lt;='Control Room'!$B$2),ROUND(MAX(0,'Process'!AN8*'Control Room'!$H$11*INDEX('Control Room'!$B$19:$H$19,1,WEEKDAY($A8,2))*(1+'Control Room'!$D$9)^6*'Process'!AO8),2),"")</x:f>
      </x:c>
      <x:c r="K8" s="16" t="str">
        <x:f>IF(AND(AND(7&lt;='Control Room'!$B$3,'Control Room'!$D$3="Ready"),9&lt;='Control Room'!$B$2),ROUND(MAX(0,'Process'!AS8*'Control Room'!$H$12*INDEX('Control Room'!$B$19:$H$19,1,WEEKDAY($A8,2))*(1+'Control Room'!$D$9)^6*'Process'!AT8),2),"")</x:f>
      </x:c>
      <x:c r="L8" s="16" t="str">
        <x:f>IF(AND(AND(7&lt;='Control Room'!$B$3,'Control Room'!$D$3="Ready"),10&lt;='Control Room'!$B$2),ROUND(MAX(0,'Process'!AX8*'Control Room'!$H$13*INDEX('Control Room'!$B$19:$H$19,1,WEEKDAY($A8,2))*(1+'Control Room'!$D$9)^6*'Process'!AY8),2),"")</x:f>
      </x:c>
      <x:c r="M8" s="16" t="str">
        <x:f>IF(AND(AND(7&lt;='Control Room'!$B$3,'Control Room'!$D$3="Ready"),11&lt;='Control Room'!$B$2),ROUND(MAX(0,'Process'!BC8*'Control Room'!$H$14*INDEX('Control Room'!$B$19:$H$19,1,WEEKDAY($A8,2))*(1+'Control Room'!$D$9)^6*'Process'!BD8),2),"")</x:f>
      </x:c>
      <x:c r="N8" s="16" t="str">
        <x:f>IF(AND(AND(7&lt;='Control Room'!$B$3,'Control Room'!$D$3="Ready"),12&lt;='Control Room'!$B$2),ROUND(MAX(0,'Process'!BH8*'Control Room'!$H$15*INDEX('Control Room'!$B$19:$H$19,1,WEEKDAY($A8,2))*(1+'Control Room'!$D$9)^6*'Process'!BI8),2),"")</x:f>
      </x:c>
    </x:row>
    <x:row r="9" ht="21" customHeight="1">
      <x:c r="A9" s="15" t="n">
        <x:f>IF(AND(8&lt;='Control Room'!$B$3,'Control Room'!$D$3="Ready"),'Process'!A9,"")</x:f>
        <x:v>72998</x:v>
      </x:c>
      <x:c r="B9" s="16" t="n">
        <x:f>IF(A9="","",SUM(C9:N9))</x:f>
        <x:v>4276.63</x:v>
      </x:c>
      <x:c r="C9" s="16" t="n">
        <x:f>IF(AND(AND(8&lt;='Control Room'!$B$3,'Control Room'!$D$3="Ready"),1&lt;='Control Room'!$B$2),ROUND(MAX(0,'Process'!E9*'Control Room'!$H$4*INDEX('Control Room'!$B$19:$H$19,1,WEEKDAY($A9,2))*(1+'Control Room'!$D$9)^7*'Process'!F9),2),"")</x:f>
        <x:v>1180.26</x:v>
      </x:c>
      <x:c r="D9" s="16" t="n">
        <x:f>IF(AND(AND(8&lt;='Control Room'!$B$3,'Control Room'!$D$3="Ready"),2&lt;='Control Room'!$B$2),ROUND(MAX(0,'Process'!J9*'Control Room'!$H$5*INDEX('Control Room'!$B$19:$H$19,1,WEEKDAY($A9,2))*(1+'Control Room'!$D$9)^7*'Process'!K9),2),"")</x:f>
        <x:v>1008.1</x:v>
      </x:c>
      <x:c r="E9" s="16" t="n">
        <x:f>IF(AND(AND(8&lt;='Control Room'!$B$3,'Control Room'!$D$3="Ready"),3&lt;='Control Room'!$B$2),ROUND(MAX(0,'Process'!O9*'Control Room'!$H$6*INDEX('Control Room'!$B$19:$H$19,1,WEEKDAY($A9,2))*(1+'Control Room'!$D$9)^7*'Process'!P9),2),"")</x:f>
        <x:v>1318.23</x:v>
      </x:c>
      <x:c r="F9" s="16" t="n">
        <x:f>IF(AND(AND(8&lt;='Control Room'!$B$3,'Control Room'!$D$3="Ready"),4&lt;='Control Room'!$B$2),ROUND(MAX(0,'Process'!T9*'Control Room'!$H$7*INDEX('Control Room'!$B$19:$H$19,1,WEEKDAY($A9,2))*(1+'Control Room'!$D$9)^7*'Process'!U9),2),"")</x:f>
        <x:v>770.04</x:v>
      </x:c>
      <x:c r="G9" s="16" t="str">
        <x:f>IF(AND(AND(8&lt;='Control Room'!$B$3,'Control Room'!$D$3="Ready"),5&lt;='Control Room'!$B$2),ROUND(MAX(0,'Process'!Y9*'Control Room'!$H$8*INDEX('Control Room'!$B$19:$H$19,1,WEEKDAY($A9,2))*(1+'Control Room'!$D$9)^7*'Process'!Z9),2),"")</x:f>
      </x:c>
      <x:c r="H9" s="16" t="str">
        <x:f>IF(AND(AND(8&lt;='Control Room'!$B$3,'Control Room'!$D$3="Ready"),6&lt;='Control Room'!$B$2),ROUND(MAX(0,'Process'!AD9*'Control Room'!$H$9*INDEX('Control Room'!$B$19:$H$19,1,WEEKDAY($A9,2))*(1+'Control Room'!$D$9)^7*'Process'!AE9),2),"")</x:f>
      </x:c>
      <x:c r="I9" s="16" t="str">
        <x:f>IF(AND(AND(8&lt;='Control Room'!$B$3,'Control Room'!$D$3="Ready"),7&lt;='Control Room'!$B$2),ROUND(MAX(0,'Process'!AI9*'Control Room'!$H$10*INDEX('Control Room'!$B$19:$H$19,1,WEEKDAY($A9,2))*(1+'Control Room'!$D$9)^7*'Process'!AJ9),2),"")</x:f>
      </x:c>
      <x:c r="J9" s="16" t="str">
        <x:f>IF(AND(AND(8&lt;='Control Room'!$B$3,'Control Room'!$D$3="Ready"),8&lt;='Control Room'!$B$2),ROUND(MAX(0,'Process'!AN9*'Control Room'!$H$11*INDEX('Control Room'!$B$19:$H$19,1,WEEKDAY($A9,2))*(1+'Control Room'!$D$9)^7*'Process'!AO9),2),"")</x:f>
      </x:c>
      <x:c r="K9" s="16" t="str">
        <x:f>IF(AND(AND(8&lt;='Control Room'!$B$3,'Control Room'!$D$3="Ready"),9&lt;='Control Room'!$B$2),ROUND(MAX(0,'Process'!AS9*'Control Room'!$H$12*INDEX('Control Room'!$B$19:$H$19,1,WEEKDAY($A9,2))*(1+'Control Room'!$D$9)^7*'Process'!AT9),2),"")</x:f>
      </x:c>
      <x:c r="L9" s="16" t="str">
        <x:f>IF(AND(AND(8&lt;='Control Room'!$B$3,'Control Room'!$D$3="Ready"),10&lt;='Control Room'!$B$2),ROUND(MAX(0,'Process'!AX9*'Control Room'!$H$13*INDEX('Control Room'!$B$19:$H$19,1,WEEKDAY($A9,2))*(1+'Control Room'!$D$9)^7*'Process'!AY9),2),"")</x:f>
      </x:c>
      <x:c r="M9" s="16" t="str">
        <x:f>IF(AND(AND(8&lt;='Control Room'!$B$3,'Control Room'!$D$3="Ready"),11&lt;='Control Room'!$B$2),ROUND(MAX(0,'Process'!BC9*'Control Room'!$H$14*INDEX('Control Room'!$B$19:$H$19,1,WEEKDAY($A9,2))*(1+'Control Room'!$D$9)^7*'Process'!BD9),2),"")</x:f>
      </x:c>
      <x:c r="N9" s="16" t="str">
        <x:f>IF(AND(AND(8&lt;='Control Room'!$B$3,'Control Room'!$D$3="Ready"),12&lt;='Control Room'!$B$2),ROUND(MAX(0,'Process'!BH9*'Control Room'!$H$15*INDEX('Control Room'!$B$19:$H$19,1,WEEKDAY($A9,2))*(1+'Control Room'!$D$9)^7*'Process'!BI9),2),"")</x:f>
      </x:c>
    </x:row>
    <x:row r="10" ht="21" customHeight="1">
      <x:c r="A10" s="15" t="n">
        <x:f>IF(AND(9&lt;='Control Room'!$B$3,'Control Room'!$D$3="Ready"),'Process'!A10,"")</x:f>
        <x:v>72999</x:v>
      </x:c>
      <x:c r="B10" s="16" t="n">
        <x:f>IF(A10="","",SUM(C10:N10))</x:f>
        <x:v>4488.0599999999995</x:v>
      </x:c>
      <x:c r="C10" s="16" t="n">
        <x:f>IF(AND(AND(9&lt;='Control Room'!$B$3,'Control Room'!$D$3="Ready"),1&lt;='Control Room'!$B$2),ROUND(MAX(0,'Process'!E10*'Control Room'!$H$4*INDEX('Control Room'!$B$19:$H$19,1,WEEKDAY($A10,2))*(1+'Control Room'!$D$9)^8*'Process'!F10),2),"")</x:f>
        <x:v>1208.73</x:v>
      </x:c>
      <x:c r="D10" s="16" t="n">
        <x:f>IF(AND(AND(9&lt;='Control Room'!$B$3,'Control Room'!$D$3="Ready"),2&lt;='Control Room'!$B$2),ROUND(MAX(0,'Process'!J10*'Control Room'!$H$5*INDEX('Control Room'!$B$19:$H$19,1,WEEKDAY($A10,2))*(1+'Control Room'!$D$9)^8*'Process'!K10),2),"")</x:f>
        <x:v>1028.31</x:v>
      </x:c>
      <x:c r="E10" s="16" t="n">
        <x:f>IF(AND(AND(9&lt;='Control Room'!$B$3,'Control Room'!$D$3="Ready"),3&lt;='Control Room'!$B$2),ROUND(MAX(0,'Process'!O10*'Control Room'!$H$6*INDEX('Control Room'!$B$19:$H$19,1,WEEKDAY($A10,2))*(1+'Control Room'!$D$9)^8*'Process'!P10),2),"")</x:f>
        <x:v>1447.79</x:v>
      </x:c>
      <x:c r="F10" s="16" t="n">
        <x:f>IF(AND(AND(9&lt;='Control Room'!$B$3,'Control Room'!$D$3="Ready"),4&lt;='Control Room'!$B$2),ROUND(MAX(0,'Process'!T10*'Control Room'!$H$7*INDEX('Control Room'!$B$19:$H$19,1,WEEKDAY($A10,2))*(1+'Control Room'!$D$9)^8*'Process'!U10),2),"")</x:f>
        <x:v>803.23</x:v>
      </x:c>
      <x:c r="G10" s="16" t="str">
        <x:f>IF(AND(AND(9&lt;='Control Room'!$B$3,'Control Room'!$D$3="Ready"),5&lt;='Control Room'!$B$2),ROUND(MAX(0,'Process'!Y10*'Control Room'!$H$8*INDEX('Control Room'!$B$19:$H$19,1,WEEKDAY($A10,2))*(1+'Control Room'!$D$9)^8*'Process'!Z10),2),"")</x:f>
      </x:c>
      <x:c r="H10" s="16" t="str">
        <x:f>IF(AND(AND(9&lt;='Control Room'!$B$3,'Control Room'!$D$3="Ready"),6&lt;='Control Room'!$B$2),ROUND(MAX(0,'Process'!AD10*'Control Room'!$H$9*INDEX('Control Room'!$B$19:$H$19,1,WEEKDAY($A10,2))*(1+'Control Room'!$D$9)^8*'Process'!AE10),2),"")</x:f>
      </x:c>
      <x:c r="I10" s="16" t="str">
        <x:f>IF(AND(AND(9&lt;='Control Room'!$B$3,'Control Room'!$D$3="Ready"),7&lt;='Control Room'!$B$2),ROUND(MAX(0,'Process'!AI10*'Control Room'!$H$10*INDEX('Control Room'!$B$19:$H$19,1,WEEKDAY($A10,2))*(1+'Control Room'!$D$9)^8*'Process'!AJ10),2),"")</x:f>
      </x:c>
      <x:c r="J10" s="16" t="str">
        <x:f>IF(AND(AND(9&lt;='Control Room'!$B$3,'Control Room'!$D$3="Ready"),8&lt;='Control Room'!$B$2),ROUND(MAX(0,'Process'!AN10*'Control Room'!$H$11*INDEX('Control Room'!$B$19:$H$19,1,WEEKDAY($A10,2))*(1+'Control Room'!$D$9)^8*'Process'!AO10),2),"")</x:f>
      </x:c>
      <x:c r="K10" s="16" t="str">
        <x:f>IF(AND(AND(9&lt;='Control Room'!$B$3,'Control Room'!$D$3="Ready"),9&lt;='Control Room'!$B$2),ROUND(MAX(0,'Process'!AS10*'Control Room'!$H$12*INDEX('Control Room'!$B$19:$H$19,1,WEEKDAY($A10,2))*(1+'Control Room'!$D$9)^8*'Process'!AT10),2),"")</x:f>
      </x:c>
      <x:c r="L10" s="16" t="str">
        <x:f>IF(AND(AND(9&lt;='Control Room'!$B$3,'Control Room'!$D$3="Ready"),10&lt;='Control Room'!$B$2),ROUND(MAX(0,'Process'!AX10*'Control Room'!$H$13*INDEX('Control Room'!$B$19:$H$19,1,WEEKDAY($A10,2))*(1+'Control Room'!$D$9)^8*'Process'!AY10),2),"")</x:f>
      </x:c>
      <x:c r="M10" s="16" t="str">
        <x:f>IF(AND(AND(9&lt;='Control Room'!$B$3,'Control Room'!$D$3="Ready"),11&lt;='Control Room'!$B$2),ROUND(MAX(0,'Process'!BC10*'Control Room'!$H$14*INDEX('Control Room'!$B$19:$H$19,1,WEEKDAY($A10,2))*(1+'Control Room'!$D$9)^8*'Process'!BD10),2),"")</x:f>
      </x:c>
      <x:c r="N10" s="16" t="str">
        <x:f>IF(AND(AND(9&lt;='Control Room'!$B$3,'Control Room'!$D$3="Ready"),12&lt;='Control Room'!$B$2),ROUND(MAX(0,'Process'!BH10*'Control Room'!$H$15*INDEX('Control Room'!$B$19:$H$19,1,WEEKDAY($A10,2))*(1+'Control Room'!$D$9)^8*'Process'!BI10),2),"")</x:f>
      </x:c>
    </x:row>
    <x:row r="11" ht="21" customHeight="1">
      <x:c r="A11" s="15" t="n">
        <x:f>IF(AND(10&lt;='Control Room'!$B$3,'Control Room'!$D$3="Ready"),'Process'!A11,"")</x:f>
        <x:v>73000</x:v>
      </x:c>
      <x:c r="B11" s="16" t="n">
        <x:f>IF(A11="","",SUM(C11:N11))</x:f>
        <x:v>4423.58</x:v>
      </x:c>
      <x:c r="C11" s="16" t="n">
        <x:f>IF(AND(AND(10&lt;='Control Room'!$B$3,'Control Room'!$D$3="Ready"),1&lt;='Control Room'!$B$2),ROUND(MAX(0,'Process'!E11*'Control Room'!$H$4*INDEX('Control Room'!$B$19:$H$19,1,WEEKDAY($A11,2))*(1+'Control Room'!$D$9)^9*'Process'!F11),2),"")</x:f>
        <x:v>1205.68</x:v>
      </x:c>
      <x:c r="D11" s="16" t="n">
        <x:f>IF(AND(AND(10&lt;='Control Room'!$B$3,'Control Room'!$D$3="Ready"),2&lt;='Control Room'!$B$2),ROUND(MAX(0,'Process'!J11*'Control Room'!$H$5*INDEX('Control Room'!$B$19:$H$19,1,WEEKDAY($A11,2))*(1+'Control Room'!$D$9)^9*'Process'!K11),2),"")</x:f>
        <x:v>937.79</x:v>
      </x:c>
      <x:c r="E11" s="16" t="n">
        <x:f>IF(AND(AND(10&lt;='Control Room'!$B$3,'Control Room'!$D$3="Ready"),3&lt;='Control Room'!$B$2),ROUND(MAX(0,'Process'!O11*'Control Room'!$H$6*INDEX('Control Room'!$B$19:$H$19,1,WEEKDAY($A11,2))*(1+'Control Room'!$D$9)^9*'Process'!P11),2),"")</x:f>
        <x:v>1416.96</x:v>
      </x:c>
      <x:c r="F11" s="16" t="n">
        <x:f>IF(AND(AND(10&lt;='Control Room'!$B$3,'Control Room'!$D$3="Ready"),4&lt;='Control Room'!$B$2),ROUND(MAX(0,'Process'!T11*'Control Room'!$H$7*INDEX('Control Room'!$B$19:$H$19,1,WEEKDAY($A11,2))*(1+'Control Room'!$D$9)^9*'Process'!U11),2),"")</x:f>
        <x:v>863.15</x:v>
      </x:c>
      <x:c r="G11" s="16" t="str">
        <x:f>IF(AND(AND(10&lt;='Control Room'!$B$3,'Control Room'!$D$3="Ready"),5&lt;='Control Room'!$B$2),ROUND(MAX(0,'Process'!Y11*'Control Room'!$H$8*INDEX('Control Room'!$B$19:$H$19,1,WEEKDAY($A11,2))*(1+'Control Room'!$D$9)^9*'Process'!Z11),2),"")</x:f>
      </x:c>
      <x:c r="H11" s="16" t="str">
        <x:f>IF(AND(AND(10&lt;='Control Room'!$B$3,'Control Room'!$D$3="Ready"),6&lt;='Control Room'!$B$2),ROUND(MAX(0,'Process'!AD11*'Control Room'!$H$9*INDEX('Control Room'!$B$19:$H$19,1,WEEKDAY($A11,2))*(1+'Control Room'!$D$9)^9*'Process'!AE11),2),"")</x:f>
      </x:c>
      <x:c r="I11" s="16" t="str">
        <x:f>IF(AND(AND(10&lt;='Control Room'!$B$3,'Control Room'!$D$3="Ready"),7&lt;='Control Room'!$B$2),ROUND(MAX(0,'Process'!AI11*'Control Room'!$H$10*INDEX('Control Room'!$B$19:$H$19,1,WEEKDAY($A11,2))*(1+'Control Room'!$D$9)^9*'Process'!AJ11),2),"")</x:f>
      </x:c>
      <x:c r="J11" s="16" t="str">
        <x:f>IF(AND(AND(10&lt;='Control Room'!$B$3,'Control Room'!$D$3="Ready"),8&lt;='Control Room'!$B$2),ROUND(MAX(0,'Process'!AN11*'Control Room'!$H$11*INDEX('Control Room'!$B$19:$H$19,1,WEEKDAY($A11,2))*(1+'Control Room'!$D$9)^9*'Process'!AO11),2),"")</x:f>
      </x:c>
      <x:c r="K11" s="16" t="str">
        <x:f>IF(AND(AND(10&lt;='Control Room'!$B$3,'Control Room'!$D$3="Ready"),9&lt;='Control Room'!$B$2),ROUND(MAX(0,'Process'!AS11*'Control Room'!$H$12*INDEX('Control Room'!$B$19:$H$19,1,WEEKDAY($A11,2))*(1+'Control Room'!$D$9)^9*'Process'!AT11),2),"")</x:f>
      </x:c>
      <x:c r="L11" s="16" t="str">
        <x:f>IF(AND(AND(10&lt;='Control Room'!$B$3,'Control Room'!$D$3="Ready"),10&lt;='Control Room'!$B$2),ROUND(MAX(0,'Process'!AX11*'Control Room'!$H$13*INDEX('Control Room'!$B$19:$H$19,1,WEEKDAY($A11,2))*(1+'Control Room'!$D$9)^9*'Process'!AY11),2),"")</x:f>
      </x:c>
      <x:c r="M11" s="16" t="str">
        <x:f>IF(AND(AND(10&lt;='Control Room'!$B$3,'Control Room'!$D$3="Ready"),11&lt;='Control Room'!$B$2),ROUND(MAX(0,'Process'!BC11*'Control Room'!$H$14*INDEX('Control Room'!$B$19:$H$19,1,WEEKDAY($A11,2))*(1+'Control Room'!$D$9)^9*'Process'!BD11),2),"")</x:f>
      </x:c>
      <x:c r="N11" s="16" t="str">
        <x:f>IF(AND(AND(10&lt;='Control Room'!$B$3,'Control Room'!$D$3="Ready"),12&lt;='Control Room'!$B$2),ROUND(MAX(0,'Process'!BH11*'Control Room'!$H$15*INDEX('Control Room'!$B$19:$H$19,1,WEEKDAY($A11,2))*(1+'Control Room'!$D$9)^9*'Process'!BI11),2),"")</x:f>
      </x:c>
    </x:row>
    <x:row r="12" ht="21" customHeight="1">
      <x:c r="A12" s="15" t="n">
        <x:f>IF(AND(11&lt;='Control Room'!$B$3,'Control Room'!$D$3="Ready"),'Process'!A12,"")</x:f>
        <x:v>73001</x:v>
      </x:c>
      <x:c r="B12" s="16" t="n">
        <x:f>IF(A12="","",SUM(C12:N12))</x:f>
        <x:v>4581.94</x:v>
      </x:c>
      <x:c r="C12" s="16" t="n">
        <x:f>IF(AND(AND(11&lt;='Control Room'!$B$3,'Control Room'!$D$3="Ready"),1&lt;='Control Room'!$B$2),ROUND(MAX(0,'Process'!E12*'Control Room'!$H$4*INDEX('Control Room'!$B$19:$H$19,1,WEEKDAY($A12,2))*(1+'Control Room'!$D$9)^10*'Process'!F12),2),"")</x:f>
        <x:v>1226.6</x:v>
      </x:c>
      <x:c r="D12" s="16" t="n">
        <x:f>IF(AND(AND(11&lt;='Control Room'!$B$3,'Control Room'!$D$3="Ready"),2&lt;='Control Room'!$B$2),ROUND(MAX(0,'Process'!J12*'Control Room'!$H$5*INDEX('Control Room'!$B$19:$H$19,1,WEEKDAY($A12,2))*(1+'Control Room'!$D$9)^10*'Process'!K12),2),"")</x:f>
        <x:v>973.04</x:v>
      </x:c>
      <x:c r="E12" s="16" t="n">
        <x:f>IF(AND(AND(11&lt;='Control Room'!$B$3,'Control Room'!$D$3="Ready"),3&lt;='Control Room'!$B$2),ROUND(MAX(0,'Process'!O12*'Control Room'!$H$6*INDEX('Control Room'!$B$19:$H$19,1,WEEKDAY($A12,2))*(1+'Control Room'!$D$9)^10*'Process'!P12),2),"")</x:f>
        <x:v>1482.08</x:v>
      </x:c>
      <x:c r="F12" s="16" t="n">
        <x:f>IF(AND(AND(11&lt;='Control Room'!$B$3,'Control Room'!$D$3="Ready"),4&lt;='Control Room'!$B$2),ROUND(MAX(0,'Process'!T12*'Control Room'!$H$7*INDEX('Control Room'!$B$19:$H$19,1,WEEKDAY($A12,2))*(1+'Control Room'!$D$9)^10*'Process'!U12),2),"")</x:f>
        <x:v>900.22</x:v>
      </x:c>
      <x:c r="G12" s="16" t="str">
        <x:f>IF(AND(AND(11&lt;='Control Room'!$B$3,'Control Room'!$D$3="Ready"),5&lt;='Control Room'!$B$2),ROUND(MAX(0,'Process'!Y12*'Control Room'!$H$8*INDEX('Control Room'!$B$19:$H$19,1,WEEKDAY($A12,2))*(1+'Control Room'!$D$9)^10*'Process'!Z12),2),"")</x:f>
      </x:c>
      <x:c r="H12" s="16" t="str">
        <x:f>IF(AND(AND(11&lt;='Control Room'!$B$3,'Control Room'!$D$3="Ready"),6&lt;='Control Room'!$B$2),ROUND(MAX(0,'Process'!AD12*'Control Room'!$H$9*INDEX('Control Room'!$B$19:$H$19,1,WEEKDAY($A12,2))*(1+'Control Room'!$D$9)^10*'Process'!AE12),2),"")</x:f>
      </x:c>
      <x:c r="I12" s="16" t="str">
        <x:f>IF(AND(AND(11&lt;='Control Room'!$B$3,'Control Room'!$D$3="Ready"),7&lt;='Control Room'!$B$2),ROUND(MAX(0,'Process'!AI12*'Control Room'!$H$10*INDEX('Control Room'!$B$19:$H$19,1,WEEKDAY($A12,2))*(1+'Control Room'!$D$9)^10*'Process'!AJ12),2),"")</x:f>
      </x:c>
      <x:c r="J12" s="16" t="str">
        <x:f>IF(AND(AND(11&lt;='Control Room'!$B$3,'Control Room'!$D$3="Ready"),8&lt;='Control Room'!$B$2),ROUND(MAX(0,'Process'!AN12*'Control Room'!$H$11*INDEX('Control Room'!$B$19:$H$19,1,WEEKDAY($A12,2))*(1+'Control Room'!$D$9)^10*'Process'!AO12),2),"")</x:f>
      </x:c>
      <x:c r="K12" s="16" t="str">
        <x:f>IF(AND(AND(11&lt;='Control Room'!$B$3,'Control Room'!$D$3="Ready"),9&lt;='Control Room'!$B$2),ROUND(MAX(0,'Process'!AS12*'Control Room'!$H$12*INDEX('Control Room'!$B$19:$H$19,1,WEEKDAY($A12,2))*(1+'Control Room'!$D$9)^10*'Process'!AT12),2),"")</x:f>
      </x:c>
      <x:c r="L12" s="16" t="str">
        <x:f>IF(AND(AND(11&lt;='Control Room'!$B$3,'Control Room'!$D$3="Ready"),10&lt;='Control Room'!$B$2),ROUND(MAX(0,'Process'!AX12*'Control Room'!$H$13*INDEX('Control Room'!$B$19:$H$19,1,WEEKDAY($A12,2))*(1+'Control Room'!$D$9)^10*'Process'!AY12),2),"")</x:f>
      </x:c>
      <x:c r="M12" s="16" t="str">
        <x:f>IF(AND(AND(11&lt;='Control Room'!$B$3,'Control Room'!$D$3="Ready"),11&lt;='Control Room'!$B$2),ROUND(MAX(0,'Process'!BC12*'Control Room'!$H$14*INDEX('Control Room'!$B$19:$H$19,1,WEEKDAY($A12,2))*(1+'Control Room'!$D$9)^10*'Process'!BD12),2),"")</x:f>
      </x:c>
      <x:c r="N12" s="16" t="str">
        <x:f>IF(AND(AND(11&lt;='Control Room'!$B$3,'Control Room'!$D$3="Ready"),12&lt;='Control Room'!$B$2),ROUND(MAX(0,'Process'!BH12*'Control Room'!$H$15*INDEX('Control Room'!$B$19:$H$19,1,WEEKDAY($A12,2))*(1+'Control Room'!$D$9)^10*'Process'!BI12),2),"")</x:f>
      </x:c>
    </x:row>
    <x:row r="13" ht="21" customHeight="1">
      <x:c r="A13" s="15" t="n">
        <x:f>IF(AND(12&lt;='Control Room'!$B$3,'Control Room'!$D$3="Ready"),'Process'!A13,"")</x:f>
        <x:v>73002</x:v>
      </x:c>
      <x:c r="B13" s="16" t="n">
        <x:f>IF(A13="","",SUM(C13:N13))</x:f>
        <x:v>4506.0599999999995</x:v>
      </x:c>
      <x:c r="C13" s="16" t="n">
        <x:f>IF(AND(AND(12&lt;='Control Room'!$B$3,'Control Room'!$D$3="Ready"),1&lt;='Control Room'!$B$2),ROUND(MAX(0,'Process'!E13*'Control Room'!$H$4*INDEX('Control Room'!$B$19:$H$19,1,WEEKDAY($A13,2))*(1+'Control Room'!$D$9)^11*'Process'!F13),2),"")</x:f>
        <x:v>1211.11</x:v>
      </x:c>
      <x:c r="D13" s="16" t="n">
        <x:f>IF(AND(AND(12&lt;='Control Room'!$B$3,'Control Room'!$D$3="Ready"),2&lt;='Control Room'!$B$2),ROUND(MAX(0,'Process'!J13*'Control Room'!$H$5*INDEX('Control Room'!$B$19:$H$19,1,WEEKDAY($A13,2))*(1+'Control Room'!$D$9)^11*'Process'!K13),2),"")</x:f>
        <x:v>909.95</x:v>
      </x:c>
      <x:c r="E13" s="16" t="n">
        <x:f>IF(AND(AND(12&lt;='Control Room'!$B$3,'Control Room'!$D$3="Ready"),3&lt;='Control Room'!$B$2),ROUND(MAX(0,'Process'!O13*'Control Room'!$H$6*INDEX('Control Room'!$B$19:$H$19,1,WEEKDAY($A13,2))*(1+'Control Room'!$D$9)^11*'Process'!P13),2),"")</x:f>
        <x:v>1502.73</x:v>
      </x:c>
      <x:c r="F13" s="16" t="n">
        <x:f>IF(AND(AND(12&lt;='Control Room'!$B$3,'Control Room'!$D$3="Ready"),4&lt;='Control Room'!$B$2),ROUND(MAX(0,'Process'!T13*'Control Room'!$H$7*INDEX('Control Room'!$B$19:$H$19,1,WEEKDAY($A13,2))*(1+'Control Room'!$D$9)^11*'Process'!U13),2),"")</x:f>
        <x:v>882.27</x:v>
      </x:c>
      <x:c r="G13" s="16" t="str">
        <x:f>IF(AND(AND(12&lt;='Control Room'!$B$3,'Control Room'!$D$3="Ready"),5&lt;='Control Room'!$B$2),ROUND(MAX(0,'Process'!Y13*'Control Room'!$H$8*INDEX('Control Room'!$B$19:$H$19,1,WEEKDAY($A13,2))*(1+'Control Room'!$D$9)^11*'Process'!Z13),2),"")</x:f>
      </x:c>
      <x:c r="H13" s="16" t="str">
        <x:f>IF(AND(AND(12&lt;='Control Room'!$B$3,'Control Room'!$D$3="Ready"),6&lt;='Control Room'!$B$2),ROUND(MAX(0,'Process'!AD13*'Control Room'!$H$9*INDEX('Control Room'!$B$19:$H$19,1,WEEKDAY($A13,2))*(1+'Control Room'!$D$9)^11*'Process'!AE13),2),"")</x:f>
      </x:c>
      <x:c r="I13" s="16" t="str">
        <x:f>IF(AND(AND(12&lt;='Control Room'!$B$3,'Control Room'!$D$3="Ready"),7&lt;='Control Room'!$B$2),ROUND(MAX(0,'Process'!AI13*'Control Room'!$H$10*INDEX('Control Room'!$B$19:$H$19,1,WEEKDAY($A13,2))*(1+'Control Room'!$D$9)^11*'Process'!AJ13),2),"")</x:f>
      </x:c>
      <x:c r="J13" s="16" t="str">
        <x:f>IF(AND(AND(12&lt;='Control Room'!$B$3,'Control Room'!$D$3="Ready"),8&lt;='Control Room'!$B$2),ROUND(MAX(0,'Process'!AN13*'Control Room'!$H$11*INDEX('Control Room'!$B$19:$H$19,1,WEEKDAY($A13,2))*(1+'Control Room'!$D$9)^11*'Process'!AO13),2),"")</x:f>
      </x:c>
      <x:c r="K13" s="16" t="str">
        <x:f>IF(AND(AND(12&lt;='Control Room'!$B$3,'Control Room'!$D$3="Ready"),9&lt;='Control Room'!$B$2),ROUND(MAX(0,'Process'!AS13*'Control Room'!$H$12*INDEX('Control Room'!$B$19:$H$19,1,WEEKDAY($A13,2))*(1+'Control Room'!$D$9)^11*'Process'!AT13),2),"")</x:f>
      </x:c>
      <x:c r="L13" s="16" t="str">
        <x:f>IF(AND(AND(12&lt;='Control Room'!$B$3,'Control Room'!$D$3="Ready"),10&lt;='Control Room'!$B$2),ROUND(MAX(0,'Process'!AX13*'Control Room'!$H$13*INDEX('Control Room'!$B$19:$H$19,1,WEEKDAY($A13,2))*(1+'Control Room'!$D$9)^11*'Process'!AY13),2),"")</x:f>
      </x:c>
      <x:c r="M13" s="16" t="str">
        <x:f>IF(AND(AND(12&lt;='Control Room'!$B$3,'Control Room'!$D$3="Ready"),11&lt;='Control Room'!$B$2),ROUND(MAX(0,'Process'!BC13*'Control Room'!$H$14*INDEX('Control Room'!$B$19:$H$19,1,WEEKDAY($A13,2))*(1+'Control Room'!$D$9)^11*'Process'!BD13),2),"")</x:f>
      </x:c>
      <x:c r="N13" s="16" t="str">
        <x:f>IF(AND(AND(12&lt;='Control Room'!$B$3,'Control Room'!$D$3="Ready"),12&lt;='Control Room'!$B$2),ROUND(MAX(0,'Process'!BH13*'Control Room'!$H$15*INDEX('Control Room'!$B$19:$H$19,1,WEEKDAY($A13,2))*(1+'Control Room'!$D$9)^11*'Process'!BI13),2),"")</x:f>
      </x:c>
    </x:row>
    <x:row r="14" ht="21" customHeight="1">
      <x:c r="A14" s="15" t="n">
        <x:f>IF(AND(13&lt;='Control Room'!$B$3,'Control Room'!$D$3="Ready"),'Process'!A14,"")</x:f>
        <x:v>73003</x:v>
      </x:c>
      <x:c r="B14" s="16" t="n">
        <x:f>IF(A14="","",SUM(C14:N14))</x:f>
        <x:v>3643.73</x:v>
      </x:c>
      <x:c r="C14" s="16" t="n">
        <x:f>IF(AND(AND(13&lt;='Control Room'!$B$3,'Control Room'!$D$3="Ready"),1&lt;='Control Room'!$B$2),ROUND(MAX(0,'Process'!E14*'Control Room'!$H$4*INDEX('Control Room'!$B$19:$H$19,1,WEEKDAY($A14,2))*(1+'Control Room'!$D$9)^12*'Process'!F14),2),"")</x:f>
        <x:v>1004.14</x:v>
      </x:c>
      <x:c r="D14" s="16" t="n">
        <x:f>IF(AND(AND(13&lt;='Control Room'!$B$3,'Control Room'!$D$3="Ready"),2&lt;='Control Room'!$B$2),ROUND(MAX(0,'Process'!J14*'Control Room'!$H$5*INDEX('Control Room'!$B$19:$H$19,1,WEEKDAY($A14,2))*(1+'Control Room'!$D$9)^12*'Process'!K14),2),"")</x:f>
        <x:v>735.11</x:v>
      </x:c>
      <x:c r="E14" s="16" t="n">
        <x:f>IF(AND(AND(13&lt;='Control Room'!$B$3,'Control Room'!$D$3="Ready"),3&lt;='Control Room'!$B$2),ROUND(MAX(0,'Process'!O14*'Control Room'!$H$6*INDEX('Control Room'!$B$19:$H$19,1,WEEKDAY($A14,2))*(1+'Control Room'!$D$9)^12*'Process'!P14),2),"")</x:f>
        <x:v>1162.52</x:v>
      </x:c>
      <x:c r="F14" s="16" t="n">
        <x:f>IF(AND(AND(13&lt;='Control Room'!$B$3,'Control Room'!$D$3="Ready"),4&lt;='Control Room'!$B$2),ROUND(MAX(0,'Process'!T14*'Control Room'!$H$7*INDEX('Control Room'!$B$19:$H$19,1,WEEKDAY($A14,2))*(1+'Control Room'!$D$9)^12*'Process'!U14),2),"")</x:f>
        <x:v>741.96</x:v>
      </x:c>
      <x:c r="G14" s="16" t="str">
        <x:f>IF(AND(AND(13&lt;='Control Room'!$B$3,'Control Room'!$D$3="Ready"),5&lt;='Control Room'!$B$2),ROUND(MAX(0,'Process'!Y14*'Control Room'!$H$8*INDEX('Control Room'!$B$19:$H$19,1,WEEKDAY($A14,2))*(1+'Control Room'!$D$9)^12*'Process'!Z14),2),"")</x:f>
      </x:c>
      <x:c r="H14" s="16" t="str">
        <x:f>IF(AND(AND(13&lt;='Control Room'!$B$3,'Control Room'!$D$3="Ready"),6&lt;='Control Room'!$B$2),ROUND(MAX(0,'Process'!AD14*'Control Room'!$H$9*INDEX('Control Room'!$B$19:$H$19,1,WEEKDAY($A14,2))*(1+'Control Room'!$D$9)^12*'Process'!AE14),2),"")</x:f>
      </x:c>
      <x:c r="I14" s="16" t="str">
        <x:f>IF(AND(AND(13&lt;='Control Room'!$B$3,'Control Room'!$D$3="Ready"),7&lt;='Control Room'!$B$2),ROUND(MAX(0,'Process'!AI14*'Control Room'!$H$10*INDEX('Control Room'!$B$19:$H$19,1,WEEKDAY($A14,2))*(1+'Control Room'!$D$9)^12*'Process'!AJ14),2),"")</x:f>
      </x:c>
      <x:c r="J14" s="16" t="str">
        <x:f>IF(AND(AND(13&lt;='Control Room'!$B$3,'Control Room'!$D$3="Ready"),8&lt;='Control Room'!$B$2),ROUND(MAX(0,'Process'!AN14*'Control Room'!$H$11*INDEX('Control Room'!$B$19:$H$19,1,WEEKDAY($A14,2))*(1+'Control Room'!$D$9)^12*'Process'!AO14),2),"")</x:f>
      </x:c>
      <x:c r="K14" s="16" t="str">
        <x:f>IF(AND(AND(13&lt;='Control Room'!$B$3,'Control Room'!$D$3="Ready"),9&lt;='Control Room'!$B$2),ROUND(MAX(0,'Process'!AS14*'Control Room'!$H$12*INDEX('Control Room'!$B$19:$H$19,1,WEEKDAY($A14,2))*(1+'Control Room'!$D$9)^12*'Process'!AT14),2),"")</x:f>
      </x:c>
      <x:c r="L14" s="16" t="str">
        <x:f>IF(AND(AND(13&lt;='Control Room'!$B$3,'Control Room'!$D$3="Ready"),10&lt;='Control Room'!$B$2),ROUND(MAX(0,'Process'!AX14*'Control Room'!$H$13*INDEX('Control Room'!$B$19:$H$19,1,WEEKDAY($A14,2))*(1+'Control Room'!$D$9)^12*'Process'!AY14),2),"")</x:f>
      </x:c>
      <x:c r="M14" s="16" t="str">
        <x:f>IF(AND(AND(13&lt;='Control Room'!$B$3,'Control Room'!$D$3="Ready"),11&lt;='Control Room'!$B$2),ROUND(MAX(0,'Process'!BC14*'Control Room'!$H$14*INDEX('Control Room'!$B$19:$H$19,1,WEEKDAY($A14,2))*(1+'Control Room'!$D$9)^12*'Process'!BD14),2),"")</x:f>
      </x:c>
      <x:c r="N14" s="16" t="str">
        <x:f>IF(AND(AND(13&lt;='Control Room'!$B$3,'Control Room'!$D$3="Ready"),12&lt;='Control Room'!$B$2),ROUND(MAX(0,'Process'!BH14*'Control Room'!$H$15*INDEX('Control Room'!$B$19:$H$19,1,WEEKDAY($A14,2))*(1+'Control Room'!$D$9)^12*'Process'!BI14),2),"")</x:f>
      </x:c>
    </x:row>
    <x:row r="15" ht="21" customHeight="1">
      <x:c r="A15" s="15" t="n">
        <x:f>IF(AND(14&lt;='Control Room'!$B$3,'Control Room'!$D$3="Ready"),'Process'!A15,"")</x:f>
        <x:v>73004</x:v>
      </x:c>
      <x:c r="B15" s="16" t="n">
        <x:f>IF(A15="","",SUM(C15:N15))</x:f>
        <x:v>2581.56</x:v>
      </x:c>
      <x:c r="C15" s="16" t="n">
        <x:f>IF(AND(AND(14&lt;='Control Room'!$B$3,'Control Room'!$D$3="Ready"),1&lt;='Control Room'!$B$2),ROUND(MAX(0,'Process'!E15*'Control Room'!$H$4*INDEX('Control Room'!$B$19:$H$19,1,WEEKDAY($A15,2))*(1+'Control Room'!$D$9)^13*'Process'!F15),2),"")</x:f>
        <x:v>720.89</x:v>
      </x:c>
      <x:c r="D15" s="16" t="n">
        <x:f>IF(AND(AND(14&lt;='Control Room'!$B$3,'Control Room'!$D$3="Ready"),2&lt;='Control Room'!$B$2),ROUND(MAX(0,'Process'!J15*'Control Room'!$H$5*INDEX('Control Room'!$B$19:$H$19,1,WEEKDAY($A15,2))*(1+'Control Room'!$D$9)^13*'Process'!K15),2),"")</x:f>
        <x:v>567.25</x:v>
      </x:c>
      <x:c r="E15" s="16" t="n">
        <x:f>IF(AND(AND(14&lt;='Control Room'!$B$3,'Control Room'!$D$3="Ready"),3&lt;='Control Room'!$B$2),ROUND(MAX(0,'Process'!O15*'Control Room'!$H$6*INDEX('Control Room'!$B$19:$H$19,1,WEEKDAY($A15,2))*(1+'Control Room'!$D$9)^13*'Process'!P15),2),"")</x:f>
        <x:v>801.38</x:v>
      </x:c>
      <x:c r="F15" s="16" t="n">
        <x:f>IF(AND(AND(14&lt;='Control Room'!$B$3,'Control Room'!$D$3="Ready"),4&lt;='Control Room'!$B$2),ROUND(MAX(0,'Process'!T15*'Control Room'!$H$7*INDEX('Control Room'!$B$19:$H$19,1,WEEKDAY($A15,2))*(1+'Control Room'!$D$9)^13*'Process'!U15),2),"")</x:f>
        <x:v>492.04</x:v>
      </x:c>
      <x:c r="G15" s="16" t="str">
        <x:f>IF(AND(AND(14&lt;='Control Room'!$B$3,'Control Room'!$D$3="Ready"),5&lt;='Control Room'!$B$2),ROUND(MAX(0,'Process'!Y15*'Control Room'!$H$8*INDEX('Control Room'!$B$19:$H$19,1,WEEKDAY($A15,2))*(1+'Control Room'!$D$9)^13*'Process'!Z15),2),"")</x:f>
      </x:c>
      <x:c r="H15" s="16" t="str">
        <x:f>IF(AND(AND(14&lt;='Control Room'!$B$3,'Control Room'!$D$3="Ready"),6&lt;='Control Room'!$B$2),ROUND(MAX(0,'Process'!AD15*'Control Room'!$H$9*INDEX('Control Room'!$B$19:$H$19,1,WEEKDAY($A15,2))*(1+'Control Room'!$D$9)^13*'Process'!AE15),2),"")</x:f>
      </x:c>
      <x:c r="I15" s="16" t="str">
        <x:f>IF(AND(AND(14&lt;='Control Room'!$B$3,'Control Room'!$D$3="Ready"),7&lt;='Control Room'!$B$2),ROUND(MAX(0,'Process'!AI15*'Control Room'!$H$10*INDEX('Control Room'!$B$19:$H$19,1,WEEKDAY($A15,2))*(1+'Control Room'!$D$9)^13*'Process'!AJ15),2),"")</x:f>
      </x:c>
      <x:c r="J15" s="16" t="str">
        <x:f>IF(AND(AND(14&lt;='Control Room'!$B$3,'Control Room'!$D$3="Ready"),8&lt;='Control Room'!$B$2),ROUND(MAX(0,'Process'!AN15*'Control Room'!$H$11*INDEX('Control Room'!$B$19:$H$19,1,WEEKDAY($A15,2))*(1+'Control Room'!$D$9)^13*'Process'!AO15),2),"")</x:f>
      </x:c>
      <x:c r="K15" s="16" t="str">
        <x:f>IF(AND(AND(14&lt;='Control Room'!$B$3,'Control Room'!$D$3="Ready"),9&lt;='Control Room'!$B$2),ROUND(MAX(0,'Process'!AS15*'Control Room'!$H$12*INDEX('Control Room'!$B$19:$H$19,1,WEEKDAY($A15,2))*(1+'Control Room'!$D$9)^13*'Process'!AT15),2),"")</x:f>
      </x:c>
      <x:c r="L15" s="16" t="str">
        <x:f>IF(AND(AND(14&lt;='Control Room'!$B$3,'Control Room'!$D$3="Ready"),10&lt;='Control Room'!$B$2),ROUND(MAX(0,'Process'!AX15*'Control Room'!$H$13*INDEX('Control Room'!$B$19:$H$19,1,WEEKDAY($A15,2))*(1+'Control Room'!$D$9)^13*'Process'!AY15),2),"")</x:f>
      </x:c>
      <x:c r="M15" s="16" t="str">
        <x:f>IF(AND(AND(14&lt;='Control Room'!$B$3,'Control Room'!$D$3="Ready"),11&lt;='Control Room'!$B$2),ROUND(MAX(0,'Process'!BC15*'Control Room'!$H$14*INDEX('Control Room'!$B$19:$H$19,1,WEEKDAY($A15,2))*(1+'Control Room'!$D$9)^13*'Process'!BD15),2),"")</x:f>
      </x:c>
      <x:c r="N15" s="16" t="str">
        <x:f>IF(AND(AND(14&lt;='Control Room'!$B$3,'Control Room'!$D$3="Ready"),12&lt;='Control Room'!$B$2),ROUND(MAX(0,'Process'!BH15*'Control Room'!$H$15*INDEX('Control Room'!$B$19:$H$19,1,WEEKDAY($A15,2))*(1+'Control Room'!$D$9)^13*'Process'!BI15),2),"")</x:f>
      </x:c>
    </x:row>
    <x:row r="16" ht="21" customHeight="1">
      <x:c r="A16" s="15" t="n">
        <x:f>IF(AND(15&lt;='Control Room'!$B$3,'Control Room'!$D$3="Ready"),'Process'!A16,"")</x:f>
        <x:v>73005</x:v>
      </x:c>
      <x:c r="B16" s="16" t="n">
        <x:f>IF(A16="","",SUM(C16:N16))</x:f>
        <x:v>3970.4399999999996</x:v>
      </x:c>
      <x:c r="C16" s="16" t="n">
        <x:f>IF(AND(AND(15&lt;='Control Room'!$B$3,'Control Room'!$D$3="Ready"),1&lt;='Control Room'!$B$2),ROUND(MAX(0,'Process'!E16*'Control Room'!$H$4*INDEX('Control Room'!$B$19:$H$19,1,WEEKDAY($A16,2))*(1+'Control Room'!$D$9)^14*'Process'!F16),2),"")</x:f>
        <x:v>1134.63</x:v>
      </x:c>
      <x:c r="D16" s="16" t="n">
        <x:f>IF(AND(AND(15&lt;='Control Room'!$B$3,'Control Room'!$D$3="Ready"),2&lt;='Control Room'!$B$2),ROUND(MAX(0,'Process'!J16*'Control Room'!$H$5*INDEX('Control Room'!$B$19:$H$19,1,WEEKDAY($A16,2))*(1+'Control Room'!$D$9)^14*'Process'!K16),2),"")</x:f>
        <x:v>912.01</x:v>
      </x:c>
      <x:c r="E16" s="16" t="n">
        <x:f>IF(AND(AND(15&lt;='Control Room'!$B$3,'Control Room'!$D$3="Ready"),3&lt;='Control Room'!$B$2),ROUND(MAX(0,'Process'!O16*'Control Room'!$H$6*INDEX('Control Room'!$B$19:$H$19,1,WEEKDAY($A16,2))*(1+'Control Room'!$D$9)^14*'Process'!P16),2),"")</x:f>
        <x:v>1179.77</x:v>
      </x:c>
      <x:c r="F16" s="16" t="n">
        <x:f>IF(AND(AND(15&lt;='Control Room'!$B$3,'Control Room'!$D$3="Ready"),4&lt;='Control Room'!$B$2),ROUND(MAX(0,'Process'!T16*'Control Room'!$H$7*INDEX('Control Room'!$B$19:$H$19,1,WEEKDAY($A16,2))*(1+'Control Room'!$D$9)^14*'Process'!U16),2),"")</x:f>
        <x:v>744.03</x:v>
      </x:c>
      <x:c r="G16" s="16" t="str">
        <x:f>IF(AND(AND(15&lt;='Control Room'!$B$3,'Control Room'!$D$3="Ready"),5&lt;='Control Room'!$B$2),ROUND(MAX(0,'Process'!Y16*'Control Room'!$H$8*INDEX('Control Room'!$B$19:$H$19,1,WEEKDAY($A16,2))*(1+'Control Room'!$D$9)^14*'Process'!Z16),2),"")</x:f>
      </x:c>
      <x:c r="H16" s="16" t="str">
        <x:f>IF(AND(AND(15&lt;='Control Room'!$B$3,'Control Room'!$D$3="Ready"),6&lt;='Control Room'!$B$2),ROUND(MAX(0,'Process'!AD16*'Control Room'!$H$9*INDEX('Control Room'!$B$19:$H$19,1,WEEKDAY($A16,2))*(1+'Control Room'!$D$9)^14*'Process'!AE16),2),"")</x:f>
      </x:c>
      <x:c r="I16" s="16" t="str">
        <x:f>IF(AND(AND(15&lt;='Control Room'!$B$3,'Control Room'!$D$3="Ready"),7&lt;='Control Room'!$B$2),ROUND(MAX(0,'Process'!AI16*'Control Room'!$H$10*INDEX('Control Room'!$B$19:$H$19,1,WEEKDAY($A16,2))*(1+'Control Room'!$D$9)^14*'Process'!AJ16),2),"")</x:f>
      </x:c>
      <x:c r="J16" s="16" t="str">
        <x:f>IF(AND(AND(15&lt;='Control Room'!$B$3,'Control Room'!$D$3="Ready"),8&lt;='Control Room'!$B$2),ROUND(MAX(0,'Process'!AN16*'Control Room'!$H$11*INDEX('Control Room'!$B$19:$H$19,1,WEEKDAY($A16,2))*(1+'Control Room'!$D$9)^14*'Process'!AO16),2),"")</x:f>
      </x:c>
      <x:c r="K16" s="16" t="str">
        <x:f>IF(AND(AND(15&lt;='Control Room'!$B$3,'Control Room'!$D$3="Ready"),9&lt;='Control Room'!$B$2),ROUND(MAX(0,'Process'!AS16*'Control Room'!$H$12*INDEX('Control Room'!$B$19:$H$19,1,WEEKDAY($A16,2))*(1+'Control Room'!$D$9)^14*'Process'!AT16),2),"")</x:f>
      </x:c>
      <x:c r="L16" s="16" t="str">
        <x:f>IF(AND(AND(15&lt;='Control Room'!$B$3,'Control Room'!$D$3="Ready"),10&lt;='Control Room'!$B$2),ROUND(MAX(0,'Process'!AX16*'Control Room'!$H$13*INDEX('Control Room'!$B$19:$H$19,1,WEEKDAY($A16,2))*(1+'Control Room'!$D$9)^14*'Process'!AY16),2),"")</x:f>
      </x:c>
      <x:c r="M16" s="16" t="str">
        <x:f>IF(AND(AND(15&lt;='Control Room'!$B$3,'Control Room'!$D$3="Ready"),11&lt;='Control Room'!$B$2),ROUND(MAX(0,'Process'!BC16*'Control Room'!$H$14*INDEX('Control Room'!$B$19:$H$19,1,WEEKDAY($A16,2))*(1+'Control Room'!$D$9)^14*'Process'!BD16),2),"")</x:f>
      </x:c>
      <x:c r="N16" s="16" t="str">
        <x:f>IF(AND(AND(15&lt;='Control Room'!$B$3,'Control Room'!$D$3="Ready"),12&lt;='Control Room'!$B$2),ROUND(MAX(0,'Process'!BH16*'Control Room'!$H$15*INDEX('Control Room'!$B$19:$H$19,1,WEEKDAY($A16,2))*(1+'Control Room'!$D$9)^14*'Process'!BI16),2),"")</x:f>
      </x:c>
    </x:row>
    <x:row r="17" ht="21" customHeight="1">
      <x:c r="A17" s="15" t="n">
        <x:f>IF(AND(16&lt;='Control Room'!$B$3,'Control Room'!$D$3="Ready"),'Process'!A17,"")</x:f>
        <x:v>73006</x:v>
      </x:c>
      <x:c r="B17" s="16" t="n">
        <x:f>IF(A17="","",SUM(C17:N17))</x:f>
        <x:v>4123.32</x:v>
      </x:c>
      <x:c r="C17" s="16" t="n">
        <x:f>IF(AND(AND(16&lt;='Control Room'!$B$3,'Control Room'!$D$3="Ready"),1&lt;='Control Room'!$B$2),ROUND(MAX(0,'Process'!E17*'Control Room'!$H$4*INDEX('Control Room'!$B$19:$H$19,1,WEEKDAY($A17,2))*(1+'Control Room'!$D$9)^15*'Process'!F17),2),"")</x:f>
        <x:v>1180.87</x:v>
      </x:c>
      <x:c r="D17" s="16" t="n">
        <x:f>IF(AND(AND(16&lt;='Control Room'!$B$3,'Control Room'!$D$3="Ready"),2&lt;='Control Room'!$B$2),ROUND(MAX(0,'Process'!J17*'Control Room'!$H$5*INDEX('Control Room'!$B$19:$H$19,1,WEEKDAY($A17,2))*(1+'Control Room'!$D$9)^15*'Process'!K17),2),"")</x:f>
        <x:v>854.56</x:v>
      </x:c>
      <x:c r="E17" s="16" t="n">
        <x:f>IF(AND(AND(16&lt;='Control Room'!$B$3,'Control Room'!$D$3="Ready"),3&lt;='Control Room'!$B$2),ROUND(MAX(0,'Process'!O17*'Control Room'!$H$6*INDEX('Control Room'!$B$19:$H$19,1,WEEKDAY($A17,2))*(1+'Control Room'!$D$9)^15*'Process'!P17),2),"")</x:f>
        <x:v>1240.77</x:v>
      </x:c>
      <x:c r="F17" s="16" t="n">
        <x:f>IF(AND(AND(16&lt;='Control Room'!$B$3,'Control Room'!$D$3="Ready"),4&lt;='Control Room'!$B$2),ROUND(MAX(0,'Process'!T17*'Control Room'!$H$7*INDEX('Control Room'!$B$19:$H$19,1,WEEKDAY($A17,2))*(1+'Control Room'!$D$9)^15*'Process'!U17),2),"")</x:f>
        <x:v>847.12</x:v>
      </x:c>
      <x:c r="G17" s="16" t="str">
        <x:f>IF(AND(AND(16&lt;='Control Room'!$B$3,'Control Room'!$D$3="Ready"),5&lt;='Control Room'!$B$2),ROUND(MAX(0,'Process'!Y17*'Control Room'!$H$8*INDEX('Control Room'!$B$19:$H$19,1,WEEKDAY($A17,2))*(1+'Control Room'!$D$9)^15*'Process'!Z17),2),"")</x:f>
      </x:c>
      <x:c r="H17" s="16" t="str">
        <x:f>IF(AND(AND(16&lt;='Control Room'!$B$3,'Control Room'!$D$3="Ready"),6&lt;='Control Room'!$B$2),ROUND(MAX(0,'Process'!AD17*'Control Room'!$H$9*INDEX('Control Room'!$B$19:$H$19,1,WEEKDAY($A17,2))*(1+'Control Room'!$D$9)^15*'Process'!AE17),2),"")</x:f>
      </x:c>
      <x:c r="I17" s="16" t="str">
        <x:f>IF(AND(AND(16&lt;='Control Room'!$B$3,'Control Room'!$D$3="Ready"),7&lt;='Control Room'!$B$2),ROUND(MAX(0,'Process'!AI17*'Control Room'!$H$10*INDEX('Control Room'!$B$19:$H$19,1,WEEKDAY($A17,2))*(1+'Control Room'!$D$9)^15*'Process'!AJ17),2),"")</x:f>
      </x:c>
      <x:c r="J17" s="16" t="str">
        <x:f>IF(AND(AND(16&lt;='Control Room'!$B$3,'Control Room'!$D$3="Ready"),8&lt;='Control Room'!$B$2),ROUND(MAX(0,'Process'!AN17*'Control Room'!$H$11*INDEX('Control Room'!$B$19:$H$19,1,WEEKDAY($A17,2))*(1+'Control Room'!$D$9)^15*'Process'!AO17),2),"")</x:f>
      </x:c>
      <x:c r="K17" s="16" t="str">
        <x:f>IF(AND(AND(16&lt;='Control Room'!$B$3,'Control Room'!$D$3="Ready"),9&lt;='Control Room'!$B$2),ROUND(MAX(0,'Process'!AS17*'Control Room'!$H$12*INDEX('Control Room'!$B$19:$H$19,1,WEEKDAY($A17,2))*(1+'Control Room'!$D$9)^15*'Process'!AT17),2),"")</x:f>
      </x:c>
      <x:c r="L17" s="16" t="str">
        <x:f>IF(AND(AND(16&lt;='Control Room'!$B$3,'Control Room'!$D$3="Ready"),10&lt;='Control Room'!$B$2),ROUND(MAX(0,'Process'!AX17*'Control Room'!$H$13*INDEX('Control Room'!$B$19:$H$19,1,WEEKDAY($A17,2))*(1+'Control Room'!$D$9)^15*'Process'!AY17),2),"")</x:f>
      </x:c>
      <x:c r="M17" s="16" t="str">
        <x:f>IF(AND(AND(16&lt;='Control Room'!$B$3,'Control Room'!$D$3="Ready"),11&lt;='Control Room'!$B$2),ROUND(MAX(0,'Process'!BC17*'Control Room'!$H$14*INDEX('Control Room'!$B$19:$H$19,1,WEEKDAY($A17,2))*(1+'Control Room'!$D$9)^15*'Process'!BD17),2),"")</x:f>
      </x:c>
      <x:c r="N17" s="16" t="str">
        <x:f>IF(AND(AND(16&lt;='Control Room'!$B$3,'Control Room'!$D$3="Ready"),12&lt;='Control Room'!$B$2),ROUND(MAX(0,'Process'!BH17*'Control Room'!$H$15*INDEX('Control Room'!$B$19:$H$19,1,WEEKDAY($A17,2))*(1+'Control Room'!$D$9)^15*'Process'!BI17),2),"")</x:f>
      </x:c>
    </x:row>
    <x:row r="18" ht="21" customHeight="1">
      <x:c r="A18" s="15" t="n">
        <x:f>IF(AND(17&lt;='Control Room'!$B$3,'Control Room'!$D$3="Ready"),'Process'!A18,"")</x:f>
        <x:v>73007</x:v>
      </x:c>
      <x:c r="B18" s="16" t="n">
        <x:f>IF(A18="","",SUM(C18:N18))</x:f>
        <x:v>4117.49</x:v>
      </x:c>
      <x:c r="C18" s="16" t="n">
        <x:f>IF(AND(AND(17&lt;='Control Room'!$B$3,'Control Room'!$D$3="Ready"),1&lt;='Control Room'!$B$2),ROUND(MAX(0,'Process'!E18*'Control Room'!$H$4*INDEX('Control Room'!$B$19:$H$19,1,WEEKDAY($A18,2))*(1+'Control Room'!$D$9)^16*'Process'!F18),2),"")</x:f>
        <x:v>1226.66</x:v>
      </x:c>
      <x:c r="D18" s="16" t="n">
        <x:f>IF(AND(AND(17&lt;='Control Room'!$B$3,'Control Room'!$D$3="Ready"),2&lt;='Control Room'!$B$2),ROUND(MAX(0,'Process'!J18*'Control Room'!$H$5*INDEX('Control Room'!$B$19:$H$19,1,WEEKDAY($A18,2))*(1+'Control Room'!$D$9)^16*'Process'!K18),2),"")</x:f>
        <x:v>866.77</x:v>
      </x:c>
      <x:c r="E18" s="16" t="n">
        <x:f>IF(AND(AND(17&lt;='Control Room'!$B$3,'Control Room'!$D$3="Ready"),3&lt;='Control Room'!$B$2),ROUND(MAX(0,'Process'!O18*'Control Room'!$H$6*INDEX('Control Room'!$B$19:$H$19,1,WEEKDAY($A18,2))*(1+'Control Room'!$D$9)^16*'Process'!P18),2),"")</x:f>
        <x:v>1230.33</x:v>
      </x:c>
      <x:c r="F18" s="16" t="n">
        <x:f>IF(AND(AND(17&lt;='Control Room'!$B$3,'Control Room'!$D$3="Ready"),4&lt;='Control Room'!$B$2),ROUND(MAX(0,'Process'!T18*'Control Room'!$H$7*INDEX('Control Room'!$B$19:$H$19,1,WEEKDAY($A18,2))*(1+'Control Room'!$D$9)^16*'Process'!U18),2),"")</x:f>
        <x:v>793.73</x:v>
      </x:c>
      <x:c r="G18" s="16" t="str">
        <x:f>IF(AND(AND(17&lt;='Control Room'!$B$3,'Control Room'!$D$3="Ready"),5&lt;='Control Room'!$B$2),ROUND(MAX(0,'Process'!Y18*'Control Room'!$H$8*INDEX('Control Room'!$B$19:$H$19,1,WEEKDAY($A18,2))*(1+'Control Room'!$D$9)^16*'Process'!Z18),2),"")</x:f>
      </x:c>
      <x:c r="H18" s="16" t="str">
        <x:f>IF(AND(AND(17&lt;='Control Room'!$B$3,'Control Room'!$D$3="Ready"),6&lt;='Control Room'!$B$2),ROUND(MAX(0,'Process'!AD18*'Control Room'!$H$9*INDEX('Control Room'!$B$19:$H$19,1,WEEKDAY($A18,2))*(1+'Control Room'!$D$9)^16*'Process'!AE18),2),"")</x:f>
      </x:c>
      <x:c r="I18" s="16" t="str">
        <x:f>IF(AND(AND(17&lt;='Control Room'!$B$3,'Control Room'!$D$3="Ready"),7&lt;='Control Room'!$B$2),ROUND(MAX(0,'Process'!AI18*'Control Room'!$H$10*INDEX('Control Room'!$B$19:$H$19,1,WEEKDAY($A18,2))*(1+'Control Room'!$D$9)^16*'Process'!AJ18),2),"")</x:f>
      </x:c>
      <x:c r="J18" s="16" t="str">
        <x:f>IF(AND(AND(17&lt;='Control Room'!$B$3,'Control Room'!$D$3="Ready"),8&lt;='Control Room'!$B$2),ROUND(MAX(0,'Process'!AN18*'Control Room'!$H$11*INDEX('Control Room'!$B$19:$H$19,1,WEEKDAY($A18,2))*(1+'Control Room'!$D$9)^16*'Process'!AO18),2),"")</x:f>
      </x:c>
      <x:c r="K18" s="16" t="str">
        <x:f>IF(AND(AND(17&lt;='Control Room'!$B$3,'Control Room'!$D$3="Ready"),9&lt;='Control Room'!$B$2),ROUND(MAX(0,'Process'!AS18*'Control Room'!$H$12*INDEX('Control Room'!$B$19:$H$19,1,WEEKDAY($A18,2))*(1+'Control Room'!$D$9)^16*'Process'!AT18),2),"")</x:f>
      </x:c>
      <x:c r="L18" s="16" t="str">
        <x:f>IF(AND(AND(17&lt;='Control Room'!$B$3,'Control Room'!$D$3="Ready"),10&lt;='Control Room'!$B$2),ROUND(MAX(0,'Process'!AX18*'Control Room'!$H$13*INDEX('Control Room'!$B$19:$H$19,1,WEEKDAY($A18,2))*(1+'Control Room'!$D$9)^16*'Process'!AY18),2),"")</x:f>
      </x:c>
      <x:c r="M18" s="16" t="str">
        <x:f>IF(AND(AND(17&lt;='Control Room'!$B$3,'Control Room'!$D$3="Ready"),11&lt;='Control Room'!$B$2),ROUND(MAX(0,'Process'!BC18*'Control Room'!$H$14*INDEX('Control Room'!$B$19:$H$19,1,WEEKDAY($A18,2))*(1+'Control Room'!$D$9)^16*'Process'!BD18),2),"")</x:f>
      </x:c>
      <x:c r="N18" s="16" t="str">
        <x:f>IF(AND(AND(17&lt;='Control Room'!$B$3,'Control Room'!$D$3="Ready"),12&lt;='Control Room'!$B$2),ROUND(MAX(0,'Process'!BH18*'Control Room'!$H$15*INDEX('Control Room'!$B$19:$H$19,1,WEEKDAY($A18,2))*(1+'Control Room'!$D$9)^16*'Process'!BI18),2),"")</x:f>
      </x:c>
    </x:row>
    <x:row r="19" ht="21" customHeight="1">
      <x:c r="A19" s="15" t="n">
        <x:f>IF(AND(18&lt;='Control Room'!$B$3,'Control Room'!$D$3="Ready"),'Process'!A19,"")</x:f>
        <x:v>73008</x:v>
      </x:c>
      <x:c r="B19" s="16" t="n">
        <x:f>IF(A19="","",SUM(C19:N19))</x:f>
        <x:v>3930.91</x:v>
      </x:c>
      <x:c r="C19" s="16" t="n">
        <x:f>IF(AND(AND(18&lt;='Control Room'!$B$3,'Control Room'!$D$3="Ready"),1&lt;='Control Room'!$B$2),ROUND(MAX(0,'Process'!E19*'Control Room'!$H$4*INDEX('Control Room'!$B$19:$H$19,1,WEEKDAY($A19,2))*(1+'Control Room'!$D$9)^17*'Process'!F19),2),"")</x:f>
        <x:v>1040.21</x:v>
      </x:c>
      <x:c r="D19" s="16" t="n">
        <x:f>IF(AND(AND(18&lt;='Control Room'!$B$3,'Control Room'!$D$3="Ready"),2&lt;='Control Room'!$B$2),ROUND(MAX(0,'Process'!J19*'Control Room'!$H$5*INDEX('Control Room'!$B$19:$H$19,1,WEEKDAY($A19,2))*(1+'Control Room'!$D$9)^17*'Process'!K19),2),"")</x:f>
        <x:v>951.65</x:v>
      </x:c>
      <x:c r="E19" s="16" t="n">
        <x:f>IF(AND(AND(18&lt;='Control Room'!$B$3,'Control Room'!$D$3="Ready"),3&lt;='Control Room'!$B$2),ROUND(MAX(0,'Process'!O19*'Control Room'!$H$6*INDEX('Control Room'!$B$19:$H$19,1,WEEKDAY($A19,2))*(1+'Control Room'!$D$9)^17*'Process'!P19),2),"")</x:f>
        <x:v>1204.83</x:v>
      </x:c>
      <x:c r="F19" s="16" t="n">
        <x:f>IF(AND(AND(18&lt;='Control Room'!$B$3,'Control Room'!$D$3="Ready"),4&lt;='Control Room'!$B$2),ROUND(MAX(0,'Process'!T19*'Control Room'!$H$7*INDEX('Control Room'!$B$19:$H$19,1,WEEKDAY($A19,2))*(1+'Control Room'!$D$9)^17*'Process'!U19),2),"")</x:f>
        <x:v>734.22</x:v>
      </x:c>
      <x:c r="G19" s="16" t="str">
        <x:f>IF(AND(AND(18&lt;='Control Room'!$B$3,'Control Room'!$D$3="Ready"),5&lt;='Control Room'!$B$2),ROUND(MAX(0,'Process'!Y19*'Control Room'!$H$8*INDEX('Control Room'!$B$19:$H$19,1,WEEKDAY($A19,2))*(1+'Control Room'!$D$9)^17*'Process'!Z19),2),"")</x:f>
      </x:c>
      <x:c r="H19" s="16" t="str">
        <x:f>IF(AND(AND(18&lt;='Control Room'!$B$3,'Control Room'!$D$3="Ready"),6&lt;='Control Room'!$B$2),ROUND(MAX(0,'Process'!AD19*'Control Room'!$H$9*INDEX('Control Room'!$B$19:$H$19,1,WEEKDAY($A19,2))*(1+'Control Room'!$D$9)^17*'Process'!AE19),2),"")</x:f>
      </x:c>
      <x:c r="I19" s="16" t="str">
        <x:f>IF(AND(AND(18&lt;='Control Room'!$B$3,'Control Room'!$D$3="Ready"),7&lt;='Control Room'!$B$2),ROUND(MAX(0,'Process'!AI19*'Control Room'!$H$10*INDEX('Control Room'!$B$19:$H$19,1,WEEKDAY($A19,2))*(1+'Control Room'!$D$9)^17*'Process'!AJ19),2),"")</x:f>
      </x:c>
      <x:c r="J19" s="16" t="str">
        <x:f>IF(AND(AND(18&lt;='Control Room'!$B$3,'Control Room'!$D$3="Ready"),8&lt;='Control Room'!$B$2),ROUND(MAX(0,'Process'!AN19*'Control Room'!$H$11*INDEX('Control Room'!$B$19:$H$19,1,WEEKDAY($A19,2))*(1+'Control Room'!$D$9)^17*'Process'!AO19),2),"")</x:f>
      </x:c>
      <x:c r="K19" s="16" t="str">
        <x:f>IF(AND(AND(18&lt;='Control Room'!$B$3,'Control Room'!$D$3="Ready"),9&lt;='Control Room'!$B$2),ROUND(MAX(0,'Process'!AS19*'Control Room'!$H$12*INDEX('Control Room'!$B$19:$H$19,1,WEEKDAY($A19,2))*(1+'Control Room'!$D$9)^17*'Process'!AT19),2),"")</x:f>
      </x:c>
      <x:c r="L19" s="16" t="str">
        <x:f>IF(AND(AND(18&lt;='Control Room'!$B$3,'Control Room'!$D$3="Ready"),10&lt;='Control Room'!$B$2),ROUND(MAX(0,'Process'!AX19*'Control Room'!$H$13*INDEX('Control Room'!$B$19:$H$19,1,WEEKDAY($A19,2))*(1+'Control Room'!$D$9)^17*'Process'!AY19),2),"")</x:f>
      </x:c>
      <x:c r="M19" s="16" t="str">
        <x:f>IF(AND(AND(18&lt;='Control Room'!$B$3,'Control Room'!$D$3="Ready"),11&lt;='Control Room'!$B$2),ROUND(MAX(0,'Process'!BC19*'Control Room'!$H$14*INDEX('Control Room'!$B$19:$H$19,1,WEEKDAY($A19,2))*(1+'Control Room'!$D$9)^17*'Process'!BD19),2),"")</x:f>
      </x:c>
      <x:c r="N19" s="16" t="str">
        <x:f>IF(AND(AND(18&lt;='Control Room'!$B$3,'Control Room'!$D$3="Ready"),12&lt;='Control Room'!$B$2),ROUND(MAX(0,'Process'!BH19*'Control Room'!$H$15*INDEX('Control Room'!$B$19:$H$19,1,WEEKDAY($A19,2))*(1+'Control Room'!$D$9)^17*'Process'!BI19),2),"")</x:f>
      </x:c>
    </x:row>
    <x:row r="20" ht="21" customHeight="1">
      <x:c r="A20" s="15" t="n">
        <x:f>IF(AND(19&lt;='Control Room'!$B$3,'Control Room'!$D$3="Ready"),'Process'!A20,"")</x:f>
        <x:v>73009</x:v>
      </x:c>
      <x:c r="B20" s="16" t="n">
        <x:f>IF(A20="","",SUM(C20:N20))</x:f>
        <x:v>3224.5899999999997</x:v>
      </x:c>
      <x:c r="C20" s="16" t="n">
        <x:f>IF(AND(AND(19&lt;='Control Room'!$B$3,'Control Room'!$D$3="Ready"),1&lt;='Control Room'!$B$2),ROUND(MAX(0,'Process'!E20*'Control Room'!$H$4*INDEX('Control Room'!$B$19:$H$19,1,WEEKDAY($A20,2))*(1+'Control Room'!$D$9)^18*'Process'!F20),2),"")</x:f>
        <x:v>889.31</x:v>
      </x:c>
      <x:c r="D20" s="16" t="n">
        <x:f>IF(AND(AND(19&lt;='Control Room'!$B$3,'Control Room'!$D$3="Ready"),2&lt;='Control Room'!$B$2),ROUND(MAX(0,'Process'!J20*'Control Room'!$H$5*INDEX('Control Room'!$B$19:$H$19,1,WEEKDAY($A20,2))*(1+'Control Room'!$D$9)^18*'Process'!K20),2),"")</x:f>
        <x:v>755.3</x:v>
      </x:c>
      <x:c r="E20" s="16" t="n">
        <x:f>IF(AND(AND(19&lt;='Control Room'!$B$3,'Control Room'!$D$3="Ready"),3&lt;='Control Room'!$B$2),ROUND(MAX(0,'Process'!O20*'Control Room'!$H$6*INDEX('Control Room'!$B$19:$H$19,1,WEEKDAY($A20,2))*(1+'Control Room'!$D$9)^18*'Process'!P20),2),"")</x:f>
        <x:v>1012.15</x:v>
      </x:c>
      <x:c r="F20" s="16" t="n">
        <x:f>IF(AND(AND(19&lt;='Control Room'!$B$3,'Control Room'!$D$3="Ready"),4&lt;='Control Room'!$B$2),ROUND(MAX(0,'Process'!T20*'Control Room'!$H$7*INDEX('Control Room'!$B$19:$H$19,1,WEEKDAY($A20,2))*(1+'Control Room'!$D$9)^18*'Process'!U20),2),"")</x:f>
        <x:v>567.83</x:v>
      </x:c>
      <x:c r="G20" s="16" t="str">
        <x:f>IF(AND(AND(19&lt;='Control Room'!$B$3,'Control Room'!$D$3="Ready"),5&lt;='Control Room'!$B$2),ROUND(MAX(0,'Process'!Y20*'Control Room'!$H$8*INDEX('Control Room'!$B$19:$H$19,1,WEEKDAY($A20,2))*(1+'Control Room'!$D$9)^18*'Process'!Z20),2),"")</x:f>
      </x:c>
      <x:c r="H20" s="16" t="str">
        <x:f>IF(AND(AND(19&lt;='Control Room'!$B$3,'Control Room'!$D$3="Ready"),6&lt;='Control Room'!$B$2),ROUND(MAX(0,'Process'!AD20*'Control Room'!$H$9*INDEX('Control Room'!$B$19:$H$19,1,WEEKDAY($A20,2))*(1+'Control Room'!$D$9)^18*'Process'!AE20),2),"")</x:f>
      </x:c>
      <x:c r="I20" s="16" t="str">
        <x:f>IF(AND(AND(19&lt;='Control Room'!$B$3,'Control Room'!$D$3="Ready"),7&lt;='Control Room'!$B$2),ROUND(MAX(0,'Process'!AI20*'Control Room'!$H$10*INDEX('Control Room'!$B$19:$H$19,1,WEEKDAY($A20,2))*(1+'Control Room'!$D$9)^18*'Process'!AJ20),2),"")</x:f>
      </x:c>
      <x:c r="J20" s="16" t="str">
        <x:f>IF(AND(AND(19&lt;='Control Room'!$B$3,'Control Room'!$D$3="Ready"),8&lt;='Control Room'!$B$2),ROUND(MAX(0,'Process'!AN20*'Control Room'!$H$11*INDEX('Control Room'!$B$19:$H$19,1,WEEKDAY($A20,2))*(1+'Control Room'!$D$9)^18*'Process'!AO20),2),"")</x:f>
      </x:c>
      <x:c r="K20" s="16" t="str">
        <x:f>IF(AND(AND(19&lt;='Control Room'!$B$3,'Control Room'!$D$3="Ready"),9&lt;='Control Room'!$B$2),ROUND(MAX(0,'Process'!AS20*'Control Room'!$H$12*INDEX('Control Room'!$B$19:$H$19,1,WEEKDAY($A20,2))*(1+'Control Room'!$D$9)^18*'Process'!AT20),2),"")</x:f>
      </x:c>
      <x:c r="L20" s="16" t="str">
        <x:f>IF(AND(AND(19&lt;='Control Room'!$B$3,'Control Room'!$D$3="Ready"),10&lt;='Control Room'!$B$2),ROUND(MAX(0,'Process'!AX20*'Control Room'!$H$13*INDEX('Control Room'!$B$19:$H$19,1,WEEKDAY($A20,2))*(1+'Control Room'!$D$9)^18*'Process'!AY20),2),"")</x:f>
      </x:c>
      <x:c r="M20" s="16" t="str">
        <x:f>IF(AND(AND(19&lt;='Control Room'!$B$3,'Control Room'!$D$3="Ready"),11&lt;='Control Room'!$B$2),ROUND(MAX(0,'Process'!BC20*'Control Room'!$H$14*INDEX('Control Room'!$B$19:$H$19,1,WEEKDAY($A20,2))*(1+'Control Room'!$D$9)^18*'Process'!BD20),2),"")</x:f>
      </x:c>
      <x:c r="N20" s="16" t="str">
        <x:f>IF(AND(AND(19&lt;='Control Room'!$B$3,'Control Room'!$D$3="Ready"),12&lt;='Control Room'!$B$2),ROUND(MAX(0,'Process'!BH20*'Control Room'!$H$15*INDEX('Control Room'!$B$19:$H$19,1,WEEKDAY($A20,2))*(1+'Control Room'!$D$9)^18*'Process'!BI20),2),"")</x:f>
      </x:c>
    </x:row>
    <x:row r="21" ht="21" customHeight="1">
      <x:c r="A21" s="15" t="n">
        <x:f>IF(AND(20&lt;='Control Room'!$B$3,'Control Room'!$D$3="Ready"),'Process'!A21,"")</x:f>
        <x:v>73010</x:v>
      </x:c>
      <x:c r="B21" s="16" t="n">
        <x:f>IF(A21="","",SUM(C21:N21))</x:f>
        <x:v>1350.38</x:v>
      </x:c>
      <x:c r="C21" s="16" t="n">
        <x:f>IF(AND(AND(20&lt;='Control Room'!$B$3,'Control Room'!$D$3="Ready"),1&lt;='Control Room'!$B$2),ROUND(MAX(0,'Process'!E21*'Control Room'!$H$4*INDEX('Control Room'!$B$19:$H$19,1,WEEKDAY($A21,2))*(1+'Control Room'!$D$9)^19*'Process'!F21),2),"")</x:f>
        <x:v>385.29</x:v>
      </x:c>
      <x:c r="D21" s="16" t="n">
        <x:f>IF(AND(AND(20&lt;='Control Room'!$B$3,'Control Room'!$D$3="Ready"),2&lt;='Control Room'!$B$2),ROUND(MAX(0,'Process'!J21*'Control Room'!$H$5*INDEX('Control Room'!$B$19:$H$19,1,WEEKDAY($A21,2))*(1+'Control Room'!$D$9)^19*'Process'!K21),2),"")</x:f>
        <x:v>295.61</x:v>
      </x:c>
      <x:c r="E21" s="16" t="n">
        <x:f>IF(AND(AND(20&lt;='Control Room'!$B$3,'Control Room'!$D$3="Ready"),3&lt;='Control Room'!$B$2),ROUND(MAX(0,'Process'!O21*'Control Room'!$H$6*INDEX('Control Room'!$B$19:$H$19,1,WEEKDAY($A21,2))*(1+'Control Room'!$D$9)^19*'Process'!P21),2),"")</x:f>
        <x:v>457.73</x:v>
      </x:c>
      <x:c r="F21" s="16" t="n">
        <x:f>IF(AND(AND(20&lt;='Control Room'!$B$3,'Control Room'!$D$3="Ready"),4&lt;='Control Room'!$B$2),ROUND(MAX(0,'Process'!T21*'Control Room'!$H$7*INDEX('Control Room'!$B$19:$H$19,1,WEEKDAY($A21,2))*(1+'Control Room'!$D$9)^19*'Process'!U21),2),"")</x:f>
        <x:v>211.75</x:v>
      </x:c>
      <x:c r="G21" s="16" t="str">
        <x:f>IF(AND(AND(20&lt;='Control Room'!$B$3,'Control Room'!$D$3="Ready"),5&lt;='Control Room'!$B$2),ROUND(MAX(0,'Process'!Y21*'Control Room'!$H$8*INDEX('Control Room'!$B$19:$H$19,1,WEEKDAY($A21,2))*(1+'Control Room'!$D$9)^19*'Process'!Z21),2),"")</x:f>
      </x:c>
      <x:c r="H21" s="16" t="str">
        <x:f>IF(AND(AND(20&lt;='Control Room'!$B$3,'Control Room'!$D$3="Ready"),6&lt;='Control Room'!$B$2),ROUND(MAX(0,'Process'!AD21*'Control Room'!$H$9*INDEX('Control Room'!$B$19:$H$19,1,WEEKDAY($A21,2))*(1+'Control Room'!$D$9)^19*'Process'!AE21),2),"")</x:f>
      </x:c>
      <x:c r="I21" s="16" t="str">
        <x:f>IF(AND(AND(20&lt;='Control Room'!$B$3,'Control Room'!$D$3="Ready"),7&lt;='Control Room'!$B$2),ROUND(MAX(0,'Process'!AI21*'Control Room'!$H$10*INDEX('Control Room'!$B$19:$H$19,1,WEEKDAY($A21,2))*(1+'Control Room'!$D$9)^19*'Process'!AJ21),2),"")</x:f>
      </x:c>
      <x:c r="J21" s="16" t="str">
        <x:f>IF(AND(AND(20&lt;='Control Room'!$B$3,'Control Room'!$D$3="Ready"),8&lt;='Control Room'!$B$2),ROUND(MAX(0,'Process'!AN21*'Control Room'!$H$11*INDEX('Control Room'!$B$19:$H$19,1,WEEKDAY($A21,2))*(1+'Control Room'!$D$9)^19*'Process'!AO21),2),"")</x:f>
      </x:c>
      <x:c r="K21" s="16" t="str">
        <x:f>IF(AND(AND(20&lt;='Control Room'!$B$3,'Control Room'!$D$3="Ready"),9&lt;='Control Room'!$B$2),ROUND(MAX(0,'Process'!AS21*'Control Room'!$H$12*INDEX('Control Room'!$B$19:$H$19,1,WEEKDAY($A21,2))*(1+'Control Room'!$D$9)^19*'Process'!AT21),2),"")</x:f>
      </x:c>
      <x:c r="L21" s="16" t="str">
        <x:f>IF(AND(AND(20&lt;='Control Room'!$B$3,'Control Room'!$D$3="Ready"),10&lt;='Control Room'!$B$2),ROUND(MAX(0,'Process'!AX21*'Control Room'!$H$13*INDEX('Control Room'!$B$19:$H$19,1,WEEKDAY($A21,2))*(1+'Control Room'!$D$9)^19*'Process'!AY21),2),"")</x:f>
      </x:c>
      <x:c r="M21" s="16" t="str">
        <x:f>IF(AND(AND(20&lt;='Control Room'!$B$3,'Control Room'!$D$3="Ready"),11&lt;='Control Room'!$B$2),ROUND(MAX(0,'Process'!BC21*'Control Room'!$H$14*INDEX('Control Room'!$B$19:$H$19,1,WEEKDAY($A21,2))*(1+'Control Room'!$D$9)^19*'Process'!BD21),2),"")</x:f>
      </x:c>
      <x:c r="N21" s="16" t="str">
        <x:f>IF(AND(AND(20&lt;='Control Room'!$B$3,'Control Room'!$D$3="Ready"),12&lt;='Control Room'!$B$2),ROUND(MAX(0,'Process'!BH21*'Control Room'!$H$15*INDEX('Control Room'!$B$19:$H$19,1,WEEKDAY($A21,2))*(1+'Control Room'!$D$9)^19*'Process'!BI21),2),"")</x:f>
      </x:c>
    </x:row>
    <x:row r="22" ht="21" customHeight="1">
      <x:c r="A22" s="15" t="n">
        <x:f>IF(AND(21&lt;='Control Room'!$B$3,'Control Room'!$D$3="Ready"),'Process'!A22,"")</x:f>
        <x:v>73011</x:v>
      </x:c>
      <x:c r="B22" s="16" t="n">
        <x:f>IF(A22="","",SUM(C22:N22))</x:f>
        <x:v>442.06</x:v>
      </x:c>
      <x:c r="C22" s="16" t="n">
        <x:f>IF(AND(AND(21&lt;='Control Room'!$B$3,'Control Room'!$D$3="Ready"),1&lt;='Control Room'!$B$2),ROUND(MAX(0,'Process'!E22*'Control Room'!$H$4*INDEX('Control Room'!$B$19:$H$19,1,WEEKDAY($A22,2))*(1+'Control Room'!$D$9)^20*'Process'!F22),2),"")</x:f>
        <x:v>126.4</x:v>
      </x:c>
      <x:c r="D22" s="16" t="n">
        <x:f>IF(AND(AND(21&lt;='Control Room'!$B$3,'Control Room'!$D$3="Ready"),2&lt;='Control Room'!$B$2),ROUND(MAX(0,'Process'!J22*'Control Room'!$H$5*INDEX('Control Room'!$B$19:$H$19,1,WEEKDAY($A22,2))*(1+'Control Room'!$D$9)^20*'Process'!K22),2),"")</x:f>
        <x:v>95.59</x:v>
      </x:c>
      <x:c r="E22" s="16" t="n">
        <x:f>IF(AND(AND(21&lt;='Control Room'!$B$3,'Control Room'!$D$3="Ready"),3&lt;='Control Room'!$B$2),ROUND(MAX(0,'Process'!O22*'Control Room'!$H$6*INDEX('Control Room'!$B$19:$H$19,1,WEEKDAY($A22,2))*(1+'Control Room'!$D$9)^20*'Process'!P22),2),"")</x:f>
        <x:v>149.4</x:v>
      </x:c>
      <x:c r="F22" s="16" t="n">
        <x:f>IF(AND(AND(21&lt;='Control Room'!$B$3,'Control Room'!$D$3="Ready"),4&lt;='Control Room'!$B$2),ROUND(MAX(0,'Process'!T22*'Control Room'!$H$7*INDEX('Control Room'!$B$19:$H$19,1,WEEKDAY($A22,2))*(1+'Control Room'!$D$9)^20*'Process'!U22),2),"")</x:f>
        <x:v>70.67</x:v>
      </x:c>
      <x:c r="G22" s="16" t="str">
        <x:f>IF(AND(AND(21&lt;='Control Room'!$B$3,'Control Room'!$D$3="Ready"),5&lt;='Control Room'!$B$2),ROUND(MAX(0,'Process'!Y22*'Control Room'!$H$8*INDEX('Control Room'!$B$19:$H$19,1,WEEKDAY($A22,2))*(1+'Control Room'!$D$9)^20*'Process'!Z22),2),"")</x:f>
      </x:c>
      <x:c r="H22" s="16" t="str">
        <x:f>IF(AND(AND(21&lt;='Control Room'!$B$3,'Control Room'!$D$3="Ready"),6&lt;='Control Room'!$B$2),ROUND(MAX(0,'Process'!AD22*'Control Room'!$H$9*INDEX('Control Room'!$B$19:$H$19,1,WEEKDAY($A22,2))*(1+'Control Room'!$D$9)^20*'Process'!AE22),2),"")</x:f>
      </x:c>
      <x:c r="I22" s="16" t="str">
        <x:f>IF(AND(AND(21&lt;='Control Room'!$B$3,'Control Room'!$D$3="Ready"),7&lt;='Control Room'!$B$2),ROUND(MAX(0,'Process'!AI22*'Control Room'!$H$10*INDEX('Control Room'!$B$19:$H$19,1,WEEKDAY($A22,2))*(1+'Control Room'!$D$9)^20*'Process'!AJ22),2),"")</x:f>
      </x:c>
      <x:c r="J22" s="16" t="str">
        <x:f>IF(AND(AND(21&lt;='Control Room'!$B$3,'Control Room'!$D$3="Ready"),8&lt;='Control Room'!$B$2),ROUND(MAX(0,'Process'!AN22*'Control Room'!$H$11*INDEX('Control Room'!$B$19:$H$19,1,WEEKDAY($A22,2))*(1+'Control Room'!$D$9)^20*'Process'!AO22),2),"")</x:f>
      </x:c>
      <x:c r="K22" s="16" t="str">
        <x:f>IF(AND(AND(21&lt;='Control Room'!$B$3,'Control Room'!$D$3="Ready"),9&lt;='Control Room'!$B$2),ROUND(MAX(0,'Process'!AS22*'Control Room'!$H$12*INDEX('Control Room'!$B$19:$H$19,1,WEEKDAY($A22,2))*(1+'Control Room'!$D$9)^20*'Process'!AT22),2),"")</x:f>
      </x:c>
      <x:c r="L22" s="16" t="str">
        <x:f>IF(AND(AND(21&lt;='Control Room'!$B$3,'Control Room'!$D$3="Ready"),10&lt;='Control Room'!$B$2),ROUND(MAX(0,'Process'!AX22*'Control Room'!$H$13*INDEX('Control Room'!$B$19:$H$19,1,WEEKDAY($A22,2))*(1+'Control Room'!$D$9)^20*'Process'!AY22),2),"")</x:f>
      </x:c>
      <x:c r="M22" s="16" t="str">
        <x:f>IF(AND(AND(21&lt;='Control Room'!$B$3,'Control Room'!$D$3="Ready"),11&lt;='Control Room'!$B$2),ROUND(MAX(0,'Process'!BC22*'Control Room'!$H$14*INDEX('Control Room'!$B$19:$H$19,1,WEEKDAY($A22,2))*(1+'Control Room'!$D$9)^20*'Process'!BD22),2),"")</x:f>
      </x:c>
      <x:c r="N22" s="16" t="str">
        <x:f>IF(AND(AND(21&lt;='Control Room'!$B$3,'Control Room'!$D$3="Ready"),12&lt;='Control Room'!$B$2),ROUND(MAX(0,'Process'!BH22*'Control Room'!$H$15*INDEX('Control Room'!$B$19:$H$19,1,WEEKDAY($A22,2))*(1+'Control Room'!$D$9)^20*'Process'!BI22),2),"")</x:f>
      </x:c>
    </x:row>
    <x:row r="23" ht="21" customHeight="1">
      <x:c r="A23" s="15" t="n">
        <x:f>IF(AND(22&lt;='Control Room'!$B$3,'Control Room'!$D$3="Ready"),'Process'!A23,"")</x:f>
        <x:v>73012</x:v>
      </x:c>
      <x:c r="B23" s="16" t="n">
        <x:f>IF(A23="","",SUM(C23:N23))</x:f>
        <x:v>1672.79</x:v>
      </x:c>
      <x:c r="C23" s="16" t="n">
        <x:f>IF(AND(AND(22&lt;='Control Room'!$B$3,'Control Room'!$D$3="Ready"),1&lt;='Control Room'!$B$2),ROUND(MAX(0,'Process'!E23*'Control Room'!$H$4*INDEX('Control Room'!$B$19:$H$19,1,WEEKDAY($A23,2))*(1+'Control Room'!$D$9)^21*'Process'!F23),2),"")</x:f>
        <x:v>479.67</x:v>
      </x:c>
      <x:c r="D23" s="16" t="n">
        <x:f>IF(AND(AND(22&lt;='Control Room'!$B$3,'Control Room'!$D$3="Ready"),2&lt;='Control Room'!$B$2),ROUND(MAX(0,'Process'!J23*'Control Room'!$H$5*INDEX('Control Room'!$B$19:$H$19,1,WEEKDAY($A23,2))*(1+'Control Room'!$D$9)^21*'Process'!K23),2),"")</x:f>
        <x:v>389</x:v>
      </x:c>
      <x:c r="E23" s="16" t="n">
        <x:f>IF(AND(AND(22&lt;='Control Room'!$B$3,'Control Room'!$D$3="Ready"),3&lt;='Control Room'!$B$2),ROUND(MAX(0,'Process'!O23*'Control Room'!$H$6*INDEX('Control Room'!$B$19:$H$19,1,WEEKDAY($A23,2))*(1+'Control Room'!$D$9)^21*'Process'!P23),2),"")</x:f>
        <x:v>555.05</x:v>
      </x:c>
      <x:c r="F23" s="16" t="n">
        <x:f>IF(AND(AND(22&lt;='Control Room'!$B$3,'Control Room'!$D$3="Ready"),4&lt;='Control Room'!$B$2),ROUND(MAX(0,'Process'!T23*'Control Room'!$H$7*INDEX('Control Room'!$B$19:$H$19,1,WEEKDAY($A23,2))*(1+'Control Room'!$D$9)^21*'Process'!U23),2),"")</x:f>
        <x:v>249.07</x:v>
      </x:c>
      <x:c r="G23" s="16" t="str">
        <x:f>IF(AND(AND(22&lt;='Control Room'!$B$3,'Control Room'!$D$3="Ready"),5&lt;='Control Room'!$B$2),ROUND(MAX(0,'Process'!Y23*'Control Room'!$H$8*INDEX('Control Room'!$B$19:$H$19,1,WEEKDAY($A23,2))*(1+'Control Room'!$D$9)^21*'Process'!Z23),2),"")</x:f>
      </x:c>
      <x:c r="H23" s="16" t="str">
        <x:f>IF(AND(AND(22&lt;='Control Room'!$B$3,'Control Room'!$D$3="Ready"),6&lt;='Control Room'!$B$2),ROUND(MAX(0,'Process'!AD23*'Control Room'!$H$9*INDEX('Control Room'!$B$19:$H$19,1,WEEKDAY($A23,2))*(1+'Control Room'!$D$9)^21*'Process'!AE23),2),"")</x:f>
      </x:c>
      <x:c r="I23" s="16" t="str">
        <x:f>IF(AND(AND(22&lt;='Control Room'!$B$3,'Control Room'!$D$3="Ready"),7&lt;='Control Room'!$B$2),ROUND(MAX(0,'Process'!AI23*'Control Room'!$H$10*INDEX('Control Room'!$B$19:$H$19,1,WEEKDAY($A23,2))*(1+'Control Room'!$D$9)^21*'Process'!AJ23),2),"")</x:f>
      </x:c>
      <x:c r="J23" s="16" t="str">
        <x:f>IF(AND(AND(22&lt;='Control Room'!$B$3,'Control Room'!$D$3="Ready"),8&lt;='Control Room'!$B$2),ROUND(MAX(0,'Process'!AN23*'Control Room'!$H$11*INDEX('Control Room'!$B$19:$H$19,1,WEEKDAY($A23,2))*(1+'Control Room'!$D$9)^21*'Process'!AO23),2),"")</x:f>
      </x:c>
      <x:c r="K23" s="16" t="str">
        <x:f>IF(AND(AND(22&lt;='Control Room'!$B$3,'Control Room'!$D$3="Ready"),9&lt;='Control Room'!$B$2),ROUND(MAX(0,'Process'!AS23*'Control Room'!$H$12*INDEX('Control Room'!$B$19:$H$19,1,WEEKDAY($A23,2))*(1+'Control Room'!$D$9)^21*'Process'!AT23),2),"")</x:f>
      </x:c>
      <x:c r="L23" s="16" t="str">
        <x:f>IF(AND(AND(22&lt;='Control Room'!$B$3,'Control Room'!$D$3="Ready"),10&lt;='Control Room'!$B$2),ROUND(MAX(0,'Process'!AX23*'Control Room'!$H$13*INDEX('Control Room'!$B$19:$H$19,1,WEEKDAY($A23,2))*(1+'Control Room'!$D$9)^21*'Process'!AY23),2),"")</x:f>
      </x:c>
      <x:c r="M23" s="16" t="str">
        <x:f>IF(AND(AND(22&lt;='Control Room'!$B$3,'Control Room'!$D$3="Ready"),11&lt;='Control Room'!$B$2),ROUND(MAX(0,'Process'!BC23*'Control Room'!$H$14*INDEX('Control Room'!$B$19:$H$19,1,WEEKDAY($A23,2))*(1+'Control Room'!$D$9)^21*'Process'!BD23),2),"")</x:f>
      </x:c>
      <x:c r="N23" s="16" t="str">
        <x:f>IF(AND(AND(22&lt;='Control Room'!$B$3,'Control Room'!$D$3="Ready"),12&lt;='Control Room'!$B$2),ROUND(MAX(0,'Process'!BH23*'Control Room'!$H$15*INDEX('Control Room'!$B$19:$H$19,1,WEEKDAY($A23,2))*(1+'Control Room'!$D$9)^21*'Process'!BI23),2),"")</x:f>
      </x:c>
    </x:row>
    <x:row r="24" ht="21" customHeight="1">
      <x:c r="A24" s="15" t="n">
        <x:f>IF(AND(23&lt;='Control Room'!$B$3,'Control Room'!$D$3="Ready"),'Process'!A24,"")</x:f>
        <x:v>73013</x:v>
      </x:c>
      <x:c r="B24" s="16" t="n">
        <x:f>IF(A24="","",SUM(C24:N24))</x:f>
        <x:v>3382.88</x:v>
      </x:c>
      <x:c r="C24" s="16" t="n">
        <x:f>IF(AND(AND(23&lt;='Control Room'!$B$3,'Control Room'!$D$3="Ready"),1&lt;='Control Room'!$B$2),ROUND(MAX(0,'Process'!E24*'Control Room'!$H$4*INDEX('Control Room'!$B$19:$H$19,1,WEEKDAY($A24,2))*(1+'Control Room'!$D$9)^22*'Process'!F24),2),"")</x:f>
        <x:v>885.68</x:v>
      </x:c>
      <x:c r="D24" s="16" t="n">
        <x:f>IF(AND(AND(23&lt;='Control Room'!$B$3,'Control Room'!$D$3="Ready"),2&lt;='Control Room'!$B$2),ROUND(MAX(0,'Process'!J24*'Control Room'!$H$5*INDEX('Control Room'!$B$19:$H$19,1,WEEKDAY($A24,2))*(1+'Control Room'!$D$9)^22*'Process'!K24),2),"")</x:f>
        <x:v>734.7</x:v>
      </x:c>
      <x:c r="E24" s="16" t="n">
        <x:f>IF(AND(AND(23&lt;='Control Room'!$B$3,'Control Room'!$D$3="Ready"),3&lt;='Control Room'!$B$2),ROUND(MAX(0,'Process'!O24*'Control Room'!$H$6*INDEX('Control Room'!$B$19:$H$19,1,WEEKDAY($A24,2))*(1+'Control Room'!$D$9)^22*'Process'!P24),2),"")</x:f>
        <x:v>1253.3</x:v>
      </x:c>
      <x:c r="F24" s="16" t="n">
        <x:f>IF(AND(AND(23&lt;='Control Room'!$B$3,'Control Room'!$D$3="Ready"),4&lt;='Control Room'!$B$2),ROUND(MAX(0,'Process'!T24*'Control Room'!$H$7*INDEX('Control Room'!$B$19:$H$19,1,WEEKDAY($A24,2))*(1+'Control Room'!$D$9)^22*'Process'!U24),2),"")</x:f>
        <x:v>509.2</x:v>
      </x:c>
      <x:c r="G24" s="16" t="str">
        <x:f>IF(AND(AND(23&lt;='Control Room'!$B$3,'Control Room'!$D$3="Ready"),5&lt;='Control Room'!$B$2),ROUND(MAX(0,'Process'!Y24*'Control Room'!$H$8*INDEX('Control Room'!$B$19:$H$19,1,WEEKDAY($A24,2))*(1+'Control Room'!$D$9)^22*'Process'!Z24),2),"")</x:f>
      </x:c>
      <x:c r="H24" s="16" t="str">
        <x:f>IF(AND(AND(23&lt;='Control Room'!$B$3,'Control Room'!$D$3="Ready"),6&lt;='Control Room'!$B$2),ROUND(MAX(0,'Process'!AD24*'Control Room'!$H$9*INDEX('Control Room'!$B$19:$H$19,1,WEEKDAY($A24,2))*(1+'Control Room'!$D$9)^22*'Process'!AE24),2),"")</x:f>
      </x:c>
      <x:c r="I24" s="16" t="str">
        <x:f>IF(AND(AND(23&lt;='Control Room'!$B$3,'Control Room'!$D$3="Ready"),7&lt;='Control Room'!$B$2),ROUND(MAX(0,'Process'!AI24*'Control Room'!$H$10*INDEX('Control Room'!$B$19:$H$19,1,WEEKDAY($A24,2))*(1+'Control Room'!$D$9)^22*'Process'!AJ24),2),"")</x:f>
      </x:c>
      <x:c r="J24" s="16" t="str">
        <x:f>IF(AND(AND(23&lt;='Control Room'!$B$3,'Control Room'!$D$3="Ready"),8&lt;='Control Room'!$B$2),ROUND(MAX(0,'Process'!AN24*'Control Room'!$H$11*INDEX('Control Room'!$B$19:$H$19,1,WEEKDAY($A24,2))*(1+'Control Room'!$D$9)^22*'Process'!AO24),2),"")</x:f>
      </x:c>
      <x:c r="K24" s="16" t="str">
        <x:f>IF(AND(AND(23&lt;='Control Room'!$B$3,'Control Room'!$D$3="Ready"),9&lt;='Control Room'!$B$2),ROUND(MAX(0,'Process'!AS24*'Control Room'!$H$12*INDEX('Control Room'!$B$19:$H$19,1,WEEKDAY($A24,2))*(1+'Control Room'!$D$9)^22*'Process'!AT24),2),"")</x:f>
      </x:c>
      <x:c r="L24" s="16" t="str">
        <x:f>IF(AND(AND(23&lt;='Control Room'!$B$3,'Control Room'!$D$3="Ready"),10&lt;='Control Room'!$B$2),ROUND(MAX(0,'Process'!AX24*'Control Room'!$H$13*INDEX('Control Room'!$B$19:$H$19,1,WEEKDAY($A24,2))*(1+'Control Room'!$D$9)^22*'Process'!AY24),2),"")</x:f>
      </x:c>
      <x:c r="M24" s="16" t="str">
        <x:f>IF(AND(AND(23&lt;='Control Room'!$B$3,'Control Room'!$D$3="Ready"),11&lt;='Control Room'!$B$2),ROUND(MAX(0,'Process'!BC24*'Control Room'!$H$14*INDEX('Control Room'!$B$19:$H$19,1,WEEKDAY($A24,2))*(1+'Control Room'!$D$9)^22*'Process'!BD24),2),"")</x:f>
      </x:c>
      <x:c r="N24" s="16" t="str">
        <x:f>IF(AND(AND(23&lt;='Control Room'!$B$3,'Control Room'!$D$3="Ready"),12&lt;='Control Room'!$B$2),ROUND(MAX(0,'Process'!BH24*'Control Room'!$H$15*INDEX('Control Room'!$B$19:$H$19,1,WEEKDAY($A24,2))*(1+'Control Room'!$D$9)^22*'Process'!BI24),2),"")</x:f>
      </x:c>
    </x:row>
    <x:row r="25" ht="21" customHeight="1">
      <x:c r="A25" s="15" t="n">
        <x:f>IF(AND(24&lt;='Control Room'!$B$3,'Control Room'!$D$3="Ready"),'Process'!A25,"")</x:f>
        <x:v>73014</x:v>
      </x:c>
      <x:c r="B25" s="16" t="n">
        <x:f>IF(A25="","",SUM(C25:N25))</x:f>
        <x:v>4199.72</x:v>
      </x:c>
      <x:c r="C25" s="16" t="n">
        <x:f>IF(AND(AND(24&lt;='Control Room'!$B$3,'Control Room'!$D$3="Ready"),1&lt;='Control Room'!$B$2),ROUND(MAX(0,'Process'!E25*'Control Room'!$H$4*INDEX('Control Room'!$B$19:$H$19,1,WEEKDAY($A25,2))*(1+'Control Room'!$D$9)^23*'Process'!F25),2),"")</x:f>
        <x:v>993.07</x:v>
      </x:c>
      <x:c r="D25" s="16" t="n">
        <x:f>IF(AND(AND(24&lt;='Control Room'!$B$3,'Control Room'!$D$3="Ready"),2&lt;='Control Room'!$B$2),ROUND(MAX(0,'Process'!J25*'Control Room'!$H$5*INDEX('Control Room'!$B$19:$H$19,1,WEEKDAY($A25,2))*(1+'Control Room'!$D$9)^23*'Process'!K25),2),"")</x:f>
        <x:v>972.82</x:v>
      </x:c>
      <x:c r="E25" s="16" t="n">
        <x:f>IF(AND(AND(24&lt;='Control Room'!$B$3,'Control Room'!$D$3="Ready"),3&lt;='Control Room'!$B$2),ROUND(MAX(0,'Process'!O25*'Control Room'!$H$6*INDEX('Control Room'!$B$19:$H$19,1,WEEKDAY($A25,2))*(1+'Control Room'!$D$9)^23*'Process'!P25),2),"")</x:f>
        <x:v>1524.96</x:v>
      </x:c>
      <x:c r="F25" s="16" t="n">
        <x:f>IF(AND(AND(24&lt;='Control Room'!$B$3,'Control Room'!$D$3="Ready"),4&lt;='Control Room'!$B$2),ROUND(MAX(0,'Process'!T25*'Control Room'!$H$7*INDEX('Control Room'!$B$19:$H$19,1,WEEKDAY($A25,2))*(1+'Control Room'!$D$9)^23*'Process'!U25),2),"")</x:f>
        <x:v>708.87</x:v>
      </x:c>
      <x:c r="G25" s="16" t="str">
        <x:f>IF(AND(AND(24&lt;='Control Room'!$B$3,'Control Room'!$D$3="Ready"),5&lt;='Control Room'!$B$2),ROUND(MAX(0,'Process'!Y25*'Control Room'!$H$8*INDEX('Control Room'!$B$19:$H$19,1,WEEKDAY($A25,2))*(1+'Control Room'!$D$9)^23*'Process'!Z25),2),"")</x:f>
      </x:c>
      <x:c r="H25" s="16" t="str">
        <x:f>IF(AND(AND(24&lt;='Control Room'!$B$3,'Control Room'!$D$3="Ready"),6&lt;='Control Room'!$B$2),ROUND(MAX(0,'Process'!AD25*'Control Room'!$H$9*INDEX('Control Room'!$B$19:$H$19,1,WEEKDAY($A25,2))*(1+'Control Room'!$D$9)^23*'Process'!AE25),2),"")</x:f>
      </x:c>
      <x:c r="I25" s="16" t="str">
        <x:f>IF(AND(AND(24&lt;='Control Room'!$B$3,'Control Room'!$D$3="Ready"),7&lt;='Control Room'!$B$2),ROUND(MAX(0,'Process'!AI25*'Control Room'!$H$10*INDEX('Control Room'!$B$19:$H$19,1,WEEKDAY($A25,2))*(1+'Control Room'!$D$9)^23*'Process'!AJ25),2),"")</x:f>
      </x:c>
      <x:c r="J25" s="16" t="str">
        <x:f>IF(AND(AND(24&lt;='Control Room'!$B$3,'Control Room'!$D$3="Ready"),8&lt;='Control Room'!$B$2),ROUND(MAX(0,'Process'!AN25*'Control Room'!$H$11*INDEX('Control Room'!$B$19:$H$19,1,WEEKDAY($A25,2))*(1+'Control Room'!$D$9)^23*'Process'!AO25),2),"")</x:f>
      </x:c>
      <x:c r="K25" s="16" t="str">
        <x:f>IF(AND(AND(24&lt;='Control Room'!$B$3,'Control Room'!$D$3="Ready"),9&lt;='Control Room'!$B$2),ROUND(MAX(0,'Process'!AS25*'Control Room'!$H$12*INDEX('Control Room'!$B$19:$H$19,1,WEEKDAY($A25,2))*(1+'Control Room'!$D$9)^23*'Process'!AT25),2),"")</x:f>
      </x:c>
      <x:c r="L25" s="16" t="str">
        <x:f>IF(AND(AND(24&lt;='Control Room'!$B$3,'Control Room'!$D$3="Ready"),10&lt;='Control Room'!$B$2),ROUND(MAX(0,'Process'!AX25*'Control Room'!$H$13*INDEX('Control Room'!$B$19:$H$19,1,WEEKDAY($A25,2))*(1+'Control Room'!$D$9)^23*'Process'!AY25),2),"")</x:f>
      </x:c>
      <x:c r="M25" s="16" t="str">
        <x:f>IF(AND(AND(24&lt;='Control Room'!$B$3,'Control Room'!$D$3="Ready"),11&lt;='Control Room'!$B$2),ROUND(MAX(0,'Process'!BC25*'Control Room'!$H$14*INDEX('Control Room'!$B$19:$H$19,1,WEEKDAY($A25,2))*(1+'Control Room'!$D$9)^23*'Process'!BD25),2),"")</x:f>
      </x:c>
      <x:c r="N25" s="16" t="str">
        <x:f>IF(AND(AND(24&lt;='Control Room'!$B$3,'Control Room'!$D$3="Ready"),12&lt;='Control Room'!$B$2),ROUND(MAX(0,'Process'!BH25*'Control Room'!$H$15*INDEX('Control Room'!$B$19:$H$19,1,WEEKDAY($A25,2))*(1+'Control Room'!$D$9)^23*'Process'!BI25),2),"")</x:f>
      </x:c>
    </x:row>
    <x:row r="26" ht="21" customHeight="1">
      <x:c r="A26" s="15" t="n">
        <x:f>IF(AND(25&lt;='Control Room'!$B$3,'Control Room'!$D$3="Ready"),'Process'!A26,"")</x:f>
        <x:v>73015</x:v>
      </x:c>
      <x:c r="B26" s="16" t="n">
        <x:f>IF(A26="","",SUM(C26:N26))</x:f>
        <x:v>4314.76</x:v>
      </x:c>
      <x:c r="C26" s="16" t="n">
        <x:f>IF(AND(AND(25&lt;='Control Room'!$B$3,'Control Room'!$D$3="Ready"),1&lt;='Control Room'!$B$2),ROUND(MAX(0,'Process'!E26*'Control Room'!$H$4*INDEX('Control Room'!$B$19:$H$19,1,WEEKDAY($A26,2))*(1+'Control Room'!$D$9)^24*'Process'!F26),2),"")</x:f>
        <x:v>1004.31</x:v>
      </x:c>
      <x:c r="D26" s="16" t="n">
        <x:f>IF(AND(AND(25&lt;='Control Room'!$B$3,'Control Room'!$D$3="Ready"),2&lt;='Control Room'!$B$2),ROUND(MAX(0,'Process'!J26*'Control Room'!$H$5*INDEX('Control Room'!$B$19:$H$19,1,WEEKDAY($A26,2))*(1+'Control Room'!$D$9)^24*'Process'!K26),2),"")</x:f>
        <x:v>960.07</x:v>
      </x:c>
      <x:c r="E26" s="16" t="n">
        <x:f>IF(AND(AND(25&lt;='Control Room'!$B$3,'Control Room'!$D$3="Ready"),3&lt;='Control Room'!$B$2),ROUND(MAX(0,'Process'!O26*'Control Room'!$H$6*INDEX('Control Room'!$B$19:$H$19,1,WEEKDAY($A26,2))*(1+'Control Room'!$D$9)^24*'Process'!P26),2),"")</x:f>
        <x:v>1536.47</x:v>
      </x:c>
      <x:c r="F26" s="16" t="n">
        <x:f>IF(AND(AND(25&lt;='Control Room'!$B$3,'Control Room'!$D$3="Ready"),4&lt;='Control Room'!$B$2),ROUND(MAX(0,'Process'!T26*'Control Room'!$H$7*INDEX('Control Room'!$B$19:$H$19,1,WEEKDAY($A26,2))*(1+'Control Room'!$D$9)^24*'Process'!U26),2),"")</x:f>
        <x:v>813.91</x:v>
      </x:c>
      <x:c r="G26" s="16" t="str">
        <x:f>IF(AND(AND(25&lt;='Control Room'!$B$3,'Control Room'!$D$3="Ready"),5&lt;='Control Room'!$B$2),ROUND(MAX(0,'Process'!Y26*'Control Room'!$H$8*INDEX('Control Room'!$B$19:$H$19,1,WEEKDAY($A26,2))*(1+'Control Room'!$D$9)^24*'Process'!Z26),2),"")</x:f>
      </x:c>
      <x:c r="H26" s="16" t="str">
        <x:f>IF(AND(AND(25&lt;='Control Room'!$B$3,'Control Room'!$D$3="Ready"),6&lt;='Control Room'!$B$2),ROUND(MAX(0,'Process'!AD26*'Control Room'!$H$9*INDEX('Control Room'!$B$19:$H$19,1,WEEKDAY($A26,2))*(1+'Control Room'!$D$9)^24*'Process'!AE26),2),"")</x:f>
      </x:c>
      <x:c r="I26" s="16" t="str">
        <x:f>IF(AND(AND(25&lt;='Control Room'!$B$3,'Control Room'!$D$3="Ready"),7&lt;='Control Room'!$B$2),ROUND(MAX(0,'Process'!AI26*'Control Room'!$H$10*INDEX('Control Room'!$B$19:$H$19,1,WEEKDAY($A26,2))*(1+'Control Room'!$D$9)^24*'Process'!AJ26),2),"")</x:f>
      </x:c>
      <x:c r="J26" s="16" t="str">
        <x:f>IF(AND(AND(25&lt;='Control Room'!$B$3,'Control Room'!$D$3="Ready"),8&lt;='Control Room'!$B$2),ROUND(MAX(0,'Process'!AN26*'Control Room'!$H$11*INDEX('Control Room'!$B$19:$H$19,1,WEEKDAY($A26,2))*(1+'Control Room'!$D$9)^24*'Process'!AO26),2),"")</x:f>
      </x:c>
      <x:c r="K26" s="16" t="str">
        <x:f>IF(AND(AND(25&lt;='Control Room'!$B$3,'Control Room'!$D$3="Ready"),9&lt;='Control Room'!$B$2),ROUND(MAX(0,'Process'!AS26*'Control Room'!$H$12*INDEX('Control Room'!$B$19:$H$19,1,WEEKDAY($A26,2))*(1+'Control Room'!$D$9)^24*'Process'!AT26),2),"")</x:f>
      </x:c>
      <x:c r="L26" s="16" t="str">
        <x:f>IF(AND(AND(25&lt;='Control Room'!$B$3,'Control Room'!$D$3="Ready"),10&lt;='Control Room'!$B$2),ROUND(MAX(0,'Process'!AX26*'Control Room'!$H$13*INDEX('Control Room'!$B$19:$H$19,1,WEEKDAY($A26,2))*(1+'Control Room'!$D$9)^24*'Process'!AY26),2),"")</x:f>
      </x:c>
      <x:c r="M26" s="16" t="str">
        <x:f>IF(AND(AND(25&lt;='Control Room'!$B$3,'Control Room'!$D$3="Ready"),11&lt;='Control Room'!$B$2),ROUND(MAX(0,'Process'!BC26*'Control Room'!$H$14*INDEX('Control Room'!$B$19:$H$19,1,WEEKDAY($A26,2))*(1+'Control Room'!$D$9)^24*'Process'!BD26),2),"")</x:f>
      </x:c>
      <x:c r="N26" s="16" t="str">
        <x:f>IF(AND(AND(25&lt;='Control Room'!$B$3,'Control Room'!$D$3="Ready"),12&lt;='Control Room'!$B$2),ROUND(MAX(0,'Process'!BH26*'Control Room'!$H$15*INDEX('Control Room'!$B$19:$H$19,1,WEEKDAY($A26,2))*(1+'Control Room'!$D$9)^24*'Process'!BI26),2),"")</x:f>
      </x:c>
    </x:row>
    <x:row r="27" ht="21" customHeight="1">
      <x:c r="A27" s="15" t="n">
        <x:f>IF(AND(26&lt;='Control Room'!$B$3,'Control Room'!$D$3="Ready"),'Process'!A27,"")</x:f>
        <x:v>73016</x:v>
      </x:c>
      <x:c r="B27" s="16" t="n">
        <x:f>IF(A27="","",SUM(C27:N27))</x:f>
        <x:v>4150.4800000000005</x:v>
      </x:c>
      <x:c r="C27" s="16" t="n">
        <x:f>IF(AND(AND(26&lt;='Control Room'!$B$3,'Control Room'!$D$3="Ready"),1&lt;='Control Room'!$B$2),ROUND(MAX(0,'Process'!E27*'Control Room'!$H$4*INDEX('Control Room'!$B$19:$H$19,1,WEEKDAY($A27,2))*(1+'Control Room'!$D$9)^25*'Process'!F27),2),"")</x:f>
        <x:v>959.12</x:v>
      </x:c>
      <x:c r="D27" s="16" t="n">
        <x:f>IF(AND(AND(26&lt;='Control Room'!$B$3,'Control Room'!$D$3="Ready"),2&lt;='Control Room'!$B$2),ROUND(MAX(0,'Process'!J27*'Control Room'!$H$5*INDEX('Control Room'!$B$19:$H$19,1,WEEKDAY($A27,2))*(1+'Control Room'!$D$9)^25*'Process'!K27),2),"")</x:f>
        <x:v>966.28</x:v>
      </x:c>
      <x:c r="E27" s="16" t="n">
        <x:f>IF(AND(AND(26&lt;='Control Room'!$B$3,'Control Room'!$D$3="Ready"),3&lt;='Control Room'!$B$2),ROUND(MAX(0,'Process'!O27*'Control Room'!$H$6*INDEX('Control Room'!$B$19:$H$19,1,WEEKDAY($A27,2))*(1+'Control Room'!$D$9)^25*'Process'!P27),2),"")</x:f>
        <x:v>1509.57</x:v>
      </x:c>
      <x:c r="F27" s="16" t="n">
        <x:f>IF(AND(AND(26&lt;='Control Room'!$B$3,'Control Room'!$D$3="Ready"),4&lt;='Control Room'!$B$2),ROUND(MAX(0,'Process'!T27*'Control Room'!$H$7*INDEX('Control Room'!$B$19:$H$19,1,WEEKDAY($A27,2))*(1+'Control Room'!$D$9)^25*'Process'!U27),2),"")</x:f>
        <x:v>715.51</x:v>
      </x:c>
      <x:c r="G27" s="16" t="str">
        <x:f>IF(AND(AND(26&lt;='Control Room'!$B$3,'Control Room'!$D$3="Ready"),5&lt;='Control Room'!$B$2),ROUND(MAX(0,'Process'!Y27*'Control Room'!$H$8*INDEX('Control Room'!$B$19:$H$19,1,WEEKDAY($A27,2))*(1+'Control Room'!$D$9)^25*'Process'!Z27),2),"")</x:f>
      </x:c>
      <x:c r="H27" s="16" t="str">
        <x:f>IF(AND(AND(26&lt;='Control Room'!$B$3,'Control Room'!$D$3="Ready"),6&lt;='Control Room'!$B$2),ROUND(MAX(0,'Process'!AD27*'Control Room'!$H$9*INDEX('Control Room'!$B$19:$H$19,1,WEEKDAY($A27,2))*(1+'Control Room'!$D$9)^25*'Process'!AE27),2),"")</x:f>
      </x:c>
      <x:c r="I27" s="16" t="str">
        <x:f>IF(AND(AND(26&lt;='Control Room'!$B$3,'Control Room'!$D$3="Ready"),7&lt;='Control Room'!$B$2),ROUND(MAX(0,'Process'!AI27*'Control Room'!$H$10*INDEX('Control Room'!$B$19:$H$19,1,WEEKDAY($A27,2))*(1+'Control Room'!$D$9)^25*'Process'!AJ27),2),"")</x:f>
      </x:c>
      <x:c r="J27" s="16" t="str">
        <x:f>IF(AND(AND(26&lt;='Control Room'!$B$3,'Control Room'!$D$3="Ready"),8&lt;='Control Room'!$B$2),ROUND(MAX(0,'Process'!AN27*'Control Room'!$H$11*INDEX('Control Room'!$B$19:$H$19,1,WEEKDAY($A27,2))*(1+'Control Room'!$D$9)^25*'Process'!AO27),2),"")</x:f>
      </x:c>
      <x:c r="K27" s="16" t="str">
        <x:f>IF(AND(AND(26&lt;='Control Room'!$B$3,'Control Room'!$D$3="Ready"),9&lt;='Control Room'!$B$2),ROUND(MAX(0,'Process'!AS27*'Control Room'!$H$12*INDEX('Control Room'!$B$19:$H$19,1,WEEKDAY($A27,2))*(1+'Control Room'!$D$9)^25*'Process'!AT27),2),"")</x:f>
      </x:c>
      <x:c r="L27" s="16" t="str">
        <x:f>IF(AND(AND(26&lt;='Control Room'!$B$3,'Control Room'!$D$3="Ready"),10&lt;='Control Room'!$B$2),ROUND(MAX(0,'Process'!AX27*'Control Room'!$H$13*INDEX('Control Room'!$B$19:$H$19,1,WEEKDAY($A27,2))*(1+'Control Room'!$D$9)^25*'Process'!AY27),2),"")</x:f>
      </x:c>
      <x:c r="M27" s="16" t="str">
        <x:f>IF(AND(AND(26&lt;='Control Room'!$B$3,'Control Room'!$D$3="Ready"),11&lt;='Control Room'!$B$2),ROUND(MAX(0,'Process'!BC27*'Control Room'!$H$14*INDEX('Control Room'!$B$19:$H$19,1,WEEKDAY($A27,2))*(1+'Control Room'!$D$9)^25*'Process'!BD27),2),"")</x:f>
      </x:c>
      <x:c r="N27" s="16" t="str">
        <x:f>IF(AND(AND(26&lt;='Control Room'!$B$3,'Control Room'!$D$3="Ready"),12&lt;='Control Room'!$B$2),ROUND(MAX(0,'Process'!BH27*'Control Room'!$H$15*INDEX('Control Room'!$B$19:$H$19,1,WEEKDAY($A27,2))*(1+'Control Room'!$D$9)^25*'Process'!BI27),2),"")</x:f>
      </x:c>
    </x:row>
    <x:row r="28" ht="21" customHeight="1">
      <x:c r="A28" s="15" t="n">
        <x:f>IF(AND(27&lt;='Control Room'!$B$3,'Control Room'!$D$3="Ready"),'Process'!A28,"")</x:f>
        <x:v>73017</x:v>
      </x:c>
      <x:c r="B28" s="16" t="n">
        <x:f>IF(A28="","",SUM(C28:N28))</x:f>
        <x:v>3379.96</x:v>
      </x:c>
      <x:c r="C28" s="16" t="n">
        <x:f>IF(AND(AND(27&lt;='Control Room'!$B$3,'Control Room'!$D$3="Ready"),1&lt;='Control Room'!$B$2),ROUND(MAX(0,'Process'!E28*'Control Room'!$H$4*INDEX('Control Room'!$B$19:$H$19,1,WEEKDAY($A28,2))*(1+'Control Room'!$D$9)^26*'Process'!F28),2),"")</x:f>
        <x:v>818.82</x:v>
      </x:c>
      <x:c r="D28" s="16" t="n">
        <x:f>IF(AND(AND(27&lt;='Control Room'!$B$3,'Control Room'!$D$3="Ready"),2&lt;='Control Room'!$B$2),ROUND(MAX(0,'Process'!J28*'Control Room'!$H$5*INDEX('Control Room'!$B$19:$H$19,1,WEEKDAY($A28,2))*(1+'Control Room'!$D$9)^26*'Process'!K28),2),"")</x:f>
        <x:v>815.7</x:v>
      </x:c>
      <x:c r="E28" s="16" t="n">
        <x:f>IF(AND(AND(27&lt;='Control Room'!$B$3,'Control Room'!$D$3="Ready"),3&lt;='Control Room'!$B$2),ROUND(MAX(0,'Process'!O28*'Control Room'!$H$6*INDEX('Control Room'!$B$19:$H$19,1,WEEKDAY($A28,2))*(1+'Control Room'!$D$9)^26*'Process'!P28),2),"")</x:f>
        <x:v>1189.19</x:v>
      </x:c>
      <x:c r="F28" s="16" t="n">
        <x:f>IF(AND(AND(27&lt;='Control Room'!$B$3,'Control Room'!$D$3="Ready"),4&lt;='Control Room'!$B$2),ROUND(MAX(0,'Process'!T28*'Control Room'!$H$7*INDEX('Control Room'!$B$19:$H$19,1,WEEKDAY($A28,2))*(1+'Control Room'!$D$9)^26*'Process'!U28),2),"")</x:f>
        <x:v>556.25</x:v>
      </x:c>
      <x:c r="G28" s="16" t="str">
        <x:f>IF(AND(AND(27&lt;='Control Room'!$B$3,'Control Room'!$D$3="Ready"),5&lt;='Control Room'!$B$2),ROUND(MAX(0,'Process'!Y28*'Control Room'!$H$8*INDEX('Control Room'!$B$19:$H$19,1,WEEKDAY($A28,2))*(1+'Control Room'!$D$9)^26*'Process'!Z28),2),"")</x:f>
      </x:c>
      <x:c r="H28" s="16" t="str">
        <x:f>IF(AND(AND(27&lt;='Control Room'!$B$3,'Control Room'!$D$3="Ready"),6&lt;='Control Room'!$B$2),ROUND(MAX(0,'Process'!AD28*'Control Room'!$H$9*INDEX('Control Room'!$B$19:$H$19,1,WEEKDAY($A28,2))*(1+'Control Room'!$D$9)^26*'Process'!AE28),2),"")</x:f>
      </x:c>
      <x:c r="I28" s="16" t="str">
        <x:f>IF(AND(AND(27&lt;='Control Room'!$B$3,'Control Room'!$D$3="Ready"),7&lt;='Control Room'!$B$2),ROUND(MAX(0,'Process'!AI28*'Control Room'!$H$10*INDEX('Control Room'!$B$19:$H$19,1,WEEKDAY($A28,2))*(1+'Control Room'!$D$9)^26*'Process'!AJ28),2),"")</x:f>
      </x:c>
      <x:c r="J28" s="16" t="str">
        <x:f>IF(AND(AND(27&lt;='Control Room'!$B$3,'Control Room'!$D$3="Ready"),8&lt;='Control Room'!$B$2),ROUND(MAX(0,'Process'!AN28*'Control Room'!$H$11*INDEX('Control Room'!$B$19:$H$19,1,WEEKDAY($A28,2))*(1+'Control Room'!$D$9)^26*'Process'!AO28),2),"")</x:f>
      </x:c>
      <x:c r="K28" s="16" t="str">
        <x:f>IF(AND(AND(27&lt;='Control Room'!$B$3,'Control Room'!$D$3="Ready"),9&lt;='Control Room'!$B$2),ROUND(MAX(0,'Process'!AS28*'Control Room'!$H$12*INDEX('Control Room'!$B$19:$H$19,1,WEEKDAY($A28,2))*(1+'Control Room'!$D$9)^26*'Process'!AT28),2),"")</x:f>
      </x:c>
      <x:c r="L28" s="16" t="str">
        <x:f>IF(AND(AND(27&lt;='Control Room'!$B$3,'Control Room'!$D$3="Ready"),10&lt;='Control Room'!$B$2),ROUND(MAX(0,'Process'!AX28*'Control Room'!$H$13*INDEX('Control Room'!$B$19:$H$19,1,WEEKDAY($A28,2))*(1+'Control Room'!$D$9)^26*'Process'!AY28),2),"")</x:f>
      </x:c>
      <x:c r="M28" s="16" t="str">
        <x:f>IF(AND(AND(27&lt;='Control Room'!$B$3,'Control Room'!$D$3="Ready"),11&lt;='Control Room'!$B$2),ROUND(MAX(0,'Process'!BC28*'Control Room'!$H$14*INDEX('Control Room'!$B$19:$H$19,1,WEEKDAY($A28,2))*(1+'Control Room'!$D$9)^26*'Process'!BD28),2),"")</x:f>
      </x:c>
      <x:c r="N28" s="16" t="str">
        <x:f>IF(AND(AND(27&lt;='Control Room'!$B$3,'Control Room'!$D$3="Ready"),12&lt;='Control Room'!$B$2),ROUND(MAX(0,'Process'!BH28*'Control Room'!$H$15*INDEX('Control Room'!$B$19:$H$19,1,WEEKDAY($A28,2))*(1+'Control Room'!$D$9)^26*'Process'!BI28),2),"")</x:f>
      </x:c>
    </x:row>
    <x:row r="29" ht="21" customHeight="1">
      <x:c r="A29" s="15" t="n">
        <x:f>IF(AND(28&lt;='Control Room'!$B$3,'Control Room'!$D$3="Ready"),'Process'!A29,"")</x:f>
        <x:v>73018</x:v>
      </x:c>
      <x:c r="B29" s="16" t="n">
        <x:f>IF(A29="","",SUM(C29:N29))</x:f>
        <x:v>2450.9300000000003</x:v>
      </x:c>
      <x:c r="C29" s="16" t="n">
        <x:f>IF(AND(AND(28&lt;='Control Room'!$B$3,'Control Room'!$D$3="Ready"),1&lt;='Control Room'!$B$2),ROUND(MAX(0,'Process'!E29*'Control Room'!$H$4*INDEX('Control Room'!$B$19:$H$19,1,WEEKDAY($A29,2))*(1+'Control Room'!$D$9)^27*'Process'!F29),2),"")</x:f>
        <x:v>649.52</x:v>
      </x:c>
      <x:c r="D29" s="16" t="n">
        <x:f>IF(AND(AND(28&lt;='Control Room'!$B$3,'Control Room'!$D$3="Ready"),2&lt;='Control Room'!$B$2),ROUND(MAX(0,'Process'!J29*'Control Room'!$H$5*INDEX('Control Room'!$B$19:$H$19,1,WEEKDAY($A29,2))*(1+'Control Room'!$D$9)^27*'Process'!K29),2),"")</x:f>
        <x:v>581.86</x:v>
      </x:c>
      <x:c r="E29" s="16" t="n">
        <x:f>IF(AND(AND(28&lt;='Control Room'!$B$3,'Control Room'!$D$3="Ready"),3&lt;='Control Room'!$B$2),ROUND(MAX(0,'Process'!O29*'Control Room'!$H$6*INDEX('Control Room'!$B$19:$H$19,1,WEEKDAY($A29,2))*(1+'Control Room'!$D$9)^27*'Process'!P29),2),"")</x:f>
        <x:v>813.02</x:v>
      </x:c>
      <x:c r="F29" s="16" t="n">
        <x:f>IF(AND(AND(28&lt;='Control Room'!$B$3,'Control Room'!$D$3="Ready"),4&lt;='Control Room'!$B$2),ROUND(MAX(0,'Process'!T29*'Control Room'!$H$7*INDEX('Control Room'!$B$19:$H$19,1,WEEKDAY($A29,2))*(1+'Control Room'!$D$9)^27*'Process'!U29),2),"")</x:f>
        <x:v>406.53</x:v>
      </x:c>
      <x:c r="G29" s="16" t="str">
        <x:f>IF(AND(AND(28&lt;='Control Room'!$B$3,'Control Room'!$D$3="Ready"),5&lt;='Control Room'!$B$2),ROUND(MAX(0,'Process'!Y29*'Control Room'!$H$8*INDEX('Control Room'!$B$19:$H$19,1,WEEKDAY($A29,2))*(1+'Control Room'!$D$9)^27*'Process'!Z29),2),"")</x:f>
      </x:c>
      <x:c r="H29" s="16" t="str">
        <x:f>IF(AND(AND(28&lt;='Control Room'!$B$3,'Control Room'!$D$3="Ready"),6&lt;='Control Room'!$B$2),ROUND(MAX(0,'Process'!AD29*'Control Room'!$H$9*INDEX('Control Room'!$B$19:$H$19,1,WEEKDAY($A29,2))*(1+'Control Room'!$D$9)^27*'Process'!AE29),2),"")</x:f>
      </x:c>
      <x:c r="I29" s="16" t="str">
        <x:f>IF(AND(AND(28&lt;='Control Room'!$B$3,'Control Room'!$D$3="Ready"),7&lt;='Control Room'!$B$2),ROUND(MAX(0,'Process'!AI29*'Control Room'!$H$10*INDEX('Control Room'!$B$19:$H$19,1,WEEKDAY($A29,2))*(1+'Control Room'!$D$9)^27*'Process'!AJ29),2),"")</x:f>
      </x:c>
      <x:c r="J29" s="16" t="str">
        <x:f>IF(AND(AND(28&lt;='Control Room'!$B$3,'Control Room'!$D$3="Ready"),8&lt;='Control Room'!$B$2),ROUND(MAX(0,'Process'!AN29*'Control Room'!$H$11*INDEX('Control Room'!$B$19:$H$19,1,WEEKDAY($A29,2))*(1+'Control Room'!$D$9)^27*'Process'!AO29),2),"")</x:f>
      </x:c>
      <x:c r="K29" s="16" t="str">
        <x:f>IF(AND(AND(28&lt;='Control Room'!$B$3,'Control Room'!$D$3="Ready"),9&lt;='Control Room'!$B$2),ROUND(MAX(0,'Process'!AS29*'Control Room'!$H$12*INDEX('Control Room'!$B$19:$H$19,1,WEEKDAY($A29,2))*(1+'Control Room'!$D$9)^27*'Process'!AT29),2),"")</x:f>
      </x:c>
      <x:c r="L29" s="16" t="str">
        <x:f>IF(AND(AND(28&lt;='Control Room'!$B$3,'Control Room'!$D$3="Ready"),10&lt;='Control Room'!$B$2),ROUND(MAX(0,'Process'!AX29*'Control Room'!$H$13*INDEX('Control Room'!$B$19:$H$19,1,WEEKDAY($A29,2))*(1+'Control Room'!$D$9)^27*'Process'!AY29),2),"")</x:f>
      </x:c>
      <x:c r="M29" s="16" t="str">
        <x:f>IF(AND(AND(28&lt;='Control Room'!$B$3,'Control Room'!$D$3="Ready"),11&lt;='Control Room'!$B$2),ROUND(MAX(0,'Process'!BC29*'Control Room'!$H$14*INDEX('Control Room'!$B$19:$H$19,1,WEEKDAY($A29,2))*(1+'Control Room'!$D$9)^27*'Process'!BD29),2),"")</x:f>
      </x:c>
      <x:c r="N29" s="16" t="str">
        <x:f>IF(AND(AND(28&lt;='Control Room'!$B$3,'Control Room'!$D$3="Ready"),12&lt;='Control Room'!$B$2),ROUND(MAX(0,'Process'!BH29*'Control Room'!$H$15*INDEX('Control Room'!$B$19:$H$19,1,WEEKDAY($A29,2))*(1+'Control Room'!$D$9)^27*'Process'!BI29),2),"")</x:f>
      </x:c>
    </x:row>
    <x:row r="30" ht="21" customHeight="1">
      <x:c r="A30" s="15" t="n">
        <x:f>IF(AND(29&lt;='Control Room'!$B$3,'Control Room'!$D$3="Ready"),'Process'!A30,"")</x:f>
        <x:v>73019</x:v>
      </x:c>
      <x:c r="B30" s="16" t="n">
        <x:f>IF(A30="","",SUM(C30:N30))</x:f>
        <x:v>4117.759999999999</x:v>
      </x:c>
      <x:c r="C30" s="16" t="n">
        <x:f>IF(AND(AND(29&lt;='Control Room'!$B$3,'Control Room'!$D$3="Ready"),1&lt;='Control Room'!$B$2),ROUND(MAX(0,'Process'!E30*'Control Room'!$H$4*INDEX('Control Room'!$B$19:$H$19,1,WEEKDAY($A30,2))*(1+'Control Room'!$D$9)^28*'Process'!F30),2),"")</x:f>
        <x:v>1082.77</x:v>
      </x:c>
      <x:c r="D30" s="16" t="n">
        <x:f>IF(AND(AND(29&lt;='Control Room'!$B$3,'Control Room'!$D$3="Ready"),2&lt;='Control Room'!$B$2),ROUND(MAX(0,'Process'!J30*'Control Room'!$H$5*INDEX('Control Room'!$B$19:$H$19,1,WEEKDAY($A30,2))*(1+'Control Room'!$D$9)^28*'Process'!K30),2),"")</x:f>
        <x:v>1029.01</x:v>
      </x:c>
      <x:c r="E30" s="16" t="n">
        <x:f>IF(AND(AND(29&lt;='Control Room'!$B$3,'Control Room'!$D$3="Ready"),3&lt;='Control Room'!$B$2),ROUND(MAX(0,'Process'!O30*'Control Room'!$H$6*INDEX('Control Room'!$B$19:$H$19,1,WEEKDAY($A30,2))*(1+'Control Room'!$D$9)^28*'Process'!P30),2),"")</x:f>
        <x:v>1326.33</x:v>
      </x:c>
      <x:c r="F30" s="16" t="n">
        <x:f>IF(AND(AND(29&lt;='Control Room'!$B$3,'Control Room'!$D$3="Ready"),4&lt;='Control Room'!$B$2),ROUND(MAX(0,'Process'!T30*'Control Room'!$H$7*INDEX('Control Room'!$B$19:$H$19,1,WEEKDAY($A30,2))*(1+'Control Room'!$D$9)^28*'Process'!U30),2),"")</x:f>
        <x:v>679.65</x:v>
      </x:c>
      <x:c r="G30" s="16" t="str">
        <x:f>IF(AND(AND(29&lt;='Control Room'!$B$3,'Control Room'!$D$3="Ready"),5&lt;='Control Room'!$B$2),ROUND(MAX(0,'Process'!Y30*'Control Room'!$H$8*INDEX('Control Room'!$B$19:$H$19,1,WEEKDAY($A30,2))*(1+'Control Room'!$D$9)^28*'Process'!Z30),2),"")</x:f>
      </x:c>
      <x:c r="H30" s="16" t="str">
        <x:f>IF(AND(AND(29&lt;='Control Room'!$B$3,'Control Room'!$D$3="Ready"),6&lt;='Control Room'!$B$2),ROUND(MAX(0,'Process'!AD30*'Control Room'!$H$9*INDEX('Control Room'!$B$19:$H$19,1,WEEKDAY($A30,2))*(1+'Control Room'!$D$9)^28*'Process'!AE30),2),"")</x:f>
      </x:c>
      <x:c r="I30" s="16" t="str">
        <x:f>IF(AND(AND(29&lt;='Control Room'!$B$3,'Control Room'!$D$3="Ready"),7&lt;='Control Room'!$B$2),ROUND(MAX(0,'Process'!AI30*'Control Room'!$H$10*INDEX('Control Room'!$B$19:$H$19,1,WEEKDAY($A30,2))*(1+'Control Room'!$D$9)^28*'Process'!AJ30),2),"")</x:f>
      </x:c>
      <x:c r="J30" s="16" t="str">
        <x:f>IF(AND(AND(29&lt;='Control Room'!$B$3,'Control Room'!$D$3="Ready"),8&lt;='Control Room'!$B$2),ROUND(MAX(0,'Process'!AN30*'Control Room'!$H$11*INDEX('Control Room'!$B$19:$H$19,1,WEEKDAY($A30,2))*(1+'Control Room'!$D$9)^28*'Process'!AO30),2),"")</x:f>
      </x:c>
      <x:c r="K30" s="16" t="str">
        <x:f>IF(AND(AND(29&lt;='Control Room'!$B$3,'Control Room'!$D$3="Ready"),9&lt;='Control Room'!$B$2),ROUND(MAX(0,'Process'!AS30*'Control Room'!$H$12*INDEX('Control Room'!$B$19:$H$19,1,WEEKDAY($A30,2))*(1+'Control Room'!$D$9)^28*'Process'!AT30),2),"")</x:f>
      </x:c>
      <x:c r="L30" s="16" t="str">
        <x:f>IF(AND(AND(29&lt;='Control Room'!$B$3,'Control Room'!$D$3="Ready"),10&lt;='Control Room'!$B$2),ROUND(MAX(0,'Process'!AX30*'Control Room'!$H$13*INDEX('Control Room'!$B$19:$H$19,1,WEEKDAY($A30,2))*(1+'Control Room'!$D$9)^28*'Process'!AY30),2),"")</x:f>
      </x:c>
      <x:c r="M30" s="16" t="str">
        <x:f>IF(AND(AND(29&lt;='Control Room'!$B$3,'Control Room'!$D$3="Ready"),11&lt;='Control Room'!$B$2),ROUND(MAX(0,'Process'!BC30*'Control Room'!$H$14*INDEX('Control Room'!$B$19:$H$19,1,WEEKDAY($A30,2))*(1+'Control Room'!$D$9)^28*'Process'!BD30),2),"")</x:f>
      </x:c>
      <x:c r="N30" s="16" t="str">
        <x:f>IF(AND(AND(29&lt;='Control Room'!$B$3,'Control Room'!$D$3="Ready"),12&lt;='Control Room'!$B$2),ROUND(MAX(0,'Process'!BH30*'Control Room'!$H$15*INDEX('Control Room'!$B$19:$H$19,1,WEEKDAY($A30,2))*(1+'Control Room'!$D$9)^28*'Process'!BI30),2),"")</x:f>
      </x:c>
    </x:row>
    <x:row r="31" ht="21" customHeight="1">
      <x:c r="A31" s="15" t="n">
        <x:f>IF(AND(30&lt;='Control Room'!$B$3,'Control Room'!$D$3="Ready"),'Process'!A31,"")</x:f>
        <x:v>73020</x:v>
      </x:c>
      <x:c r="B31" s="16" t="n">
        <x:f>IF(A31="","",SUM(C31:N31))</x:f>
        <x:v>4453.69</x:v>
      </x:c>
      <x:c r="C31" s="16" t="n">
        <x:f>IF(AND(AND(30&lt;='Control Room'!$B$3,'Control Room'!$D$3="Ready"),1&lt;='Control Room'!$B$2),ROUND(MAX(0,'Process'!E31*'Control Room'!$H$4*INDEX('Control Room'!$B$19:$H$19,1,WEEKDAY($A31,2))*(1+'Control Room'!$D$9)^29*'Process'!F31),2),"")</x:f>
        <x:v>1095.29</x:v>
      </x:c>
      <x:c r="D31" s="16" t="n">
        <x:f>IF(AND(AND(30&lt;='Control Room'!$B$3,'Control Room'!$D$3="Ready"),2&lt;='Control Room'!$B$2),ROUND(MAX(0,'Process'!J31*'Control Room'!$H$5*INDEX('Control Room'!$B$19:$H$19,1,WEEKDAY($A31,2))*(1+'Control Room'!$D$9)^29*'Process'!K31),2),"")</x:f>
        <x:v>1062.15</x:v>
      </x:c>
      <x:c r="E31" s="16" t="n">
        <x:f>IF(AND(AND(30&lt;='Control Room'!$B$3,'Control Room'!$D$3="Ready"),3&lt;='Control Room'!$B$2),ROUND(MAX(0,'Process'!O31*'Control Room'!$H$6*INDEX('Control Room'!$B$19:$H$19,1,WEEKDAY($A31,2))*(1+'Control Room'!$D$9)^29*'Process'!P31),2),"")</x:f>
        <x:v>1460.87</x:v>
      </x:c>
      <x:c r="F31" s="16" t="n">
        <x:f>IF(AND(AND(30&lt;='Control Room'!$B$3,'Control Room'!$D$3="Ready"),4&lt;='Control Room'!$B$2),ROUND(MAX(0,'Process'!T31*'Control Room'!$H$7*INDEX('Control Room'!$B$19:$H$19,1,WEEKDAY($A31,2))*(1+'Control Room'!$D$9)^29*'Process'!U31),2),"")</x:f>
        <x:v>835.38</x:v>
      </x:c>
      <x:c r="G31" s="16" t="str">
        <x:f>IF(AND(AND(30&lt;='Control Room'!$B$3,'Control Room'!$D$3="Ready"),5&lt;='Control Room'!$B$2),ROUND(MAX(0,'Process'!Y31*'Control Room'!$H$8*INDEX('Control Room'!$B$19:$H$19,1,WEEKDAY($A31,2))*(1+'Control Room'!$D$9)^29*'Process'!Z31),2),"")</x:f>
      </x:c>
      <x:c r="H31" s="16" t="str">
        <x:f>IF(AND(AND(30&lt;='Control Room'!$B$3,'Control Room'!$D$3="Ready"),6&lt;='Control Room'!$B$2),ROUND(MAX(0,'Process'!AD31*'Control Room'!$H$9*INDEX('Control Room'!$B$19:$H$19,1,WEEKDAY($A31,2))*(1+'Control Room'!$D$9)^29*'Process'!AE31),2),"")</x:f>
      </x:c>
      <x:c r="I31" s="16" t="str">
        <x:f>IF(AND(AND(30&lt;='Control Room'!$B$3,'Control Room'!$D$3="Ready"),7&lt;='Control Room'!$B$2),ROUND(MAX(0,'Process'!AI31*'Control Room'!$H$10*INDEX('Control Room'!$B$19:$H$19,1,WEEKDAY($A31,2))*(1+'Control Room'!$D$9)^29*'Process'!AJ31),2),"")</x:f>
      </x:c>
      <x:c r="J31" s="16" t="str">
        <x:f>IF(AND(AND(30&lt;='Control Room'!$B$3,'Control Room'!$D$3="Ready"),8&lt;='Control Room'!$B$2),ROUND(MAX(0,'Process'!AN31*'Control Room'!$H$11*INDEX('Control Room'!$B$19:$H$19,1,WEEKDAY($A31,2))*(1+'Control Room'!$D$9)^29*'Process'!AO31),2),"")</x:f>
      </x:c>
      <x:c r="K31" s="16" t="str">
        <x:f>IF(AND(AND(30&lt;='Control Room'!$B$3,'Control Room'!$D$3="Ready"),9&lt;='Control Room'!$B$2),ROUND(MAX(0,'Process'!AS31*'Control Room'!$H$12*INDEX('Control Room'!$B$19:$H$19,1,WEEKDAY($A31,2))*(1+'Control Room'!$D$9)^29*'Process'!AT31),2),"")</x:f>
      </x:c>
      <x:c r="L31" s="16" t="str">
        <x:f>IF(AND(AND(30&lt;='Control Room'!$B$3,'Control Room'!$D$3="Ready"),10&lt;='Control Room'!$B$2),ROUND(MAX(0,'Process'!AX31*'Control Room'!$H$13*INDEX('Control Room'!$B$19:$H$19,1,WEEKDAY($A31,2))*(1+'Control Room'!$D$9)^29*'Process'!AY31),2),"")</x:f>
      </x:c>
      <x:c r="M31" s="16" t="str">
        <x:f>IF(AND(AND(30&lt;='Control Room'!$B$3,'Control Room'!$D$3="Ready"),11&lt;='Control Room'!$B$2),ROUND(MAX(0,'Process'!BC31*'Control Room'!$H$14*INDEX('Control Room'!$B$19:$H$19,1,WEEKDAY($A31,2))*(1+'Control Room'!$D$9)^29*'Process'!BD31),2),"")</x:f>
      </x:c>
      <x:c r="N31" s="16" t="str">
        <x:f>IF(AND(AND(30&lt;='Control Room'!$B$3,'Control Room'!$D$3="Ready"),12&lt;='Control Room'!$B$2),ROUND(MAX(0,'Process'!BH31*'Control Room'!$H$15*INDEX('Control Room'!$B$19:$H$19,1,WEEKDAY($A31,2))*(1+'Control Room'!$D$9)^29*'Process'!BI31),2),"")</x:f>
      </x:c>
    </x:row>
    <x:row r="32" ht="21" customHeight="1">
      <x:c r="A32" s="15" t="n">
        <x:f>IF(AND(31&lt;='Control Room'!$B$3,'Control Room'!$D$3="Ready"),'Process'!A32,"")</x:f>
        <x:v>73021</x:v>
      </x:c>
      <x:c r="B32" s="16" t="n">
        <x:f>IF(A32="","",SUM(C32:N32))</x:f>
        <x:v>4262.61</x:v>
      </x:c>
      <x:c r="C32" s="16" t="n">
        <x:f>IF(AND(AND(31&lt;='Control Room'!$B$3,'Control Room'!$D$3="Ready"),1&lt;='Control Room'!$B$2),ROUND(MAX(0,'Process'!E32*'Control Room'!$H$4*INDEX('Control Room'!$B$19:$H$19,1,WEEKDAY($A32,2))*(1+'Control Room'!$D$9)^30*'Process'!F32),2),"")</x:f>
        <x:v>1037.77</x:v>
      </x:c>
      <x:c r="D32" s="16" t="n">
        <x:f>IF(AND(AND(31&lt;='Control Room'!$B$3,'Control Room'!$D$3="Ready"),2&lt;='Control Room'!$B$2),ROUND(MAX(0,'Process'!J32*'Control Room'!$H$5*INDEX('Control Room'!$B$19:$H$19,1,WEEKDAY($A32,2))*(1+'Control Room'!$D$9)^30*'Process'!K32),2),"")</x:f>
        <x:v>987.64</x:v>
      </x:c>
      <x:c r="E32" s="16" t="n">
        <x:f>IF(AND(AND(31&lt;='Control Room'!$B$3,'Control Room'!$D$3="Ready"),3&lt;='Control Room'!$B$2),ROUND(MAX(0,'Process'!O32*'Control Room'!$H$6*INDEX('Control Room'!$B$19:$H$19,1,WEEKDAY($A32,2))*(1+'Control Room'!$D$9)^30*'Process'!P32),2),"")</x:f>
        <x:v>1398.59</x:v>
      </x:c>
      <x:c r="F32" s="16" t="n">
        <x:f>IF(AND(AND(31&lt;='Control Room'!$B$3,'Control Room'!$D$3="Ready"),4&lt;='Control Room'!$B$2),ROUND(MAX(0,'Process'!T32*'Control Room'!$H$7*INDEX('Control Room'!$B$19:$H$19,1,WEEKDAY($A32,2))*(1+'Control Room'!$D$9)^30*'Process'!U32),2),"")</x:f>
        <x:v>838.61</x:v>
      </x:c>
      <x:c r="G32" s="16" t="str">
        <x:f>IF(AND(AND(31&lt;='Control Room'!$B$3,'Control Room'!$D$3="Ready"),5&lt;='Control Room'!$B$2),ROUND(MAX(0,'Process'!Y32*'Control Room'!$H$8*INDEX('Control Room'!$B$19:$H$19,1,WEEKDAY($A32,2))*(1+'Control Room'!$D$9)^30*'Process'!Z32),2),"")</x:f>
      </x:c>
      <x:c r="H32" s="16" t="str">
        <x:f>IF(AND(AND(31&lt;='Control Room'!$B$3,'Control Room'!$D$3="Ready"),6&lt;='Control Room'!$B$2),ROUND(MAX(0,'Process'!AD32*'Control Room'!$H$9*INDEX('Control Room'!$B$19:$H$19,1,WEEKDAY($A32,2))*(1+'Control Room'!$D$9)^30*'Process'!AE32),2),"")</x:f>
      </x:c>
      <x:c r="I32" s="16" t="str">
        <x:f>IF(AND(AND(31&lt;='Control Room'!$B$3,'Control Room'!$D$3="Ready"),7&lt;='Control Room'!$B$2),ROUND(MAX(0,'Process'!AI32*'Control Room'!$H$10*INDEX('Control Room'!$B$19:$H$19,1,WEEKDAY($A32,2))*(1+'Control Room'!$D$9)^30*'Process'!AJ32),2),"")</x:f>
      </x:c>
      <x:c r="J32" s="16" t="str">
        <x:f>IF(AND(AND(31&lt;='Control Room'!$B$3,'Control Room'!$D$3="Ready"),8&lt;='Control Room'!$B$2),ROUND(MAX(0,'Process'!AN32*'Control Room'!$H$11*INDEX('Control Room'!$B$19:$H$19,1,WEEKDAY($A32,2))*(1+'Control Room'!$D$9)^30*'Process'!AO32),2),"")</x:f>
      </x:c>
      <x:c r="K32" s="16" t="str">
        <x:f>IF(AND(AND(31&lt;='Control Room'!$B$3,'Control Room'!$D$3="Ready"),9&lt;='Control Room'!$B$2),ROUND(MAX(0,'Process'!AS32*'Control Room'!$H$12*INDEX('Control Room'!$B$19:$H$19,1,WEEKDAY($A32,2))*(1+'Control Room'!$D$9)^30*'Process'!AT32),2),"")</x:f>
      </x:c>
      <x:c r="L32" s="16" t="str">
        <x:f>IF(AND(AND(31&lt;='Control Room'!$B$3,'Control Room'!$D$3="Ready"),10&lt;='Control Room'!$B$2),ROUND(MAX(0,'Process'!AX32*'Control Room'!$H$13*INDEX('Control Room'!$B$19:$H$19,1,WEEKDAY($A32,2))*(1+'Control Room'!$D$9)^30*'Process'!AY32),2),"")</x:f>
      </x:c>
      <x:c r="M32" s="16" t="str">
        <x:f>IF(AND(AND(31&lt;='Control Room'!$B$3,'Control Room'!$D$3="Ready"),11&lt;='Control Room'!$B$2),ROUND(MAX(0,'Process'!BC32*'Control Room'!$H$14*INDEX('Control Room'!$B$19:$H$19,1,WEEKDAY($A32,2))*(1+'Control Room'!$D$9)^30*'Process'!BD32),2),"")</x:f>
      </x:c>
      <x:c r="N32" s="16" t="str">
        <x:f>IF(AND(AND(31&lt;='Control Room'!$B$3,'Control Room'!$D$3="Ready"),12&lt;='Control Room'!$B$2),ROUND(MAX(0,'Process'!BH32*'Control Room'!$H$15*INDEX('Control Room'!$B$19:$H$19,1,WEEKDAY($A32,2))*(1+'Control Room'!$D$9)^30*'Process'!BI32),2),"")</x:f>
      </x:c>
    </x:row>
    <x:row r="33" ht="21" customHeight="1">
      <x:c r="A33" s="15" t="n">
        <x:f>IF(AND(32&lt;='Control Room'!$B$3,'Control Room'!$D$3="Ready"),'Process'!A33,"")</x:f>
        <x:v>73022</x:v>
      </x:c>
      <x:c r="B33" s="16" t="n">
        <x:f>IF(A33="","",SUM(C33:N33))</x:f>
        <x:v>3969.7500000000005</x:v>
      </x:c>
      <x:c r="C33" s="16" t="n">
        <x:f>IF(AND(AND(32&lt;='Control Room'!$B$3,'Control Room'!$D$3="Ready"),1&lt;='Control Room'!$B$2),ROUND(MAX(0,'Process'!E33*'Control Room'!$H$4*INDEX('Control Room'!$B$19:$H$19,1,WEEKDAY($A33,2))*(1+'Control Room'!$D$9)^31*'Process'!F33),2),"")</x:f>
        <x:v>979.62</x:v>
      </x:c>
      <x:c r="D33" s="16" t="n">
        <x:f>IF(AND(AND(32&lt;='Control Room'!$B$3,'Control Room'!$D$3="Ready"),2&lt;='Control Room'!$B$2),ROUND(MAX(0,'Process'!J33*'Control Room'!$H$5*INDEX('Control Room'!$B$19:$H$19,1,WEEKDAY($A33,2))*(1+'Control Room'!$D$9)^31*'Process'!K33),2),"")</x:f>
        <x:v>878.33</x:v>
      </x:c>
      <x:c r="E33" s="16" t="n">
        <x:f>IF(AND(AND(32&lt;='Control Room'!$B$3,'Control Room'!$D$3="Ready"),3&lt;='Control Room'!$B$2),ROUND(MAX(0,'Process'!O33*'Control Room'!$H$6*INDEX('Control Room'!$B$19:$H$19,1,WEEKDAY($A33,2))*(1+'Control Room'!$D$9)^31*'Process'!P33),2),"")</x:f>
        <x:v>1338.4</x:v>
      </x:c>
      <x:c r="F33" s="16" t="n">
        <x:f>IF(AND(AND(32&lt;='Control Room'!$B$3,'Control Room'!$D$3="Ready"),4&lt;='Control Room'!$B$2),ROUND(MAX(0,'Process'!T33*'Control Room'!$H$7*INDEX('Control Room'!$B$19:$H$19,1,WEEKDAY($A33,2))*(1+'Control Room'!$D$9)^31*'Process'!U33),2),"")</x:f>
        <x:v>773.4</x:v>
      </x:c>
      <x:c r="G33" s="16" t="str">
        <x:f>IF(AND(AND(32&lt;='Control Room'!$B$3,'Control Room'!$D$3="Ready"),5&lt;='Control Room'!$B$2),ROUND(MAX(0,'Process'!Y33*'Control Room'!$H$8*INDEX('Control Room'!$B$19:$H$19,1,WEEKDAY($A33,2))*(1+'Control Room'!$D$9)^31*'Process'!Z33),2),"")</x:f>
      </x:c>
      <x:c r="H33" s="16" t="str">
        <x:f>IF(AND(AND(32&lt;='Control Room'!$B$3,'Control Room'!$D$3="Ready"),6&lt;='Control Room'!$B$2),ROUND(MAX(0,'Process'!AD33*'Control Room'!$H$9*INDEX('Control Room'!$B$19:$H$19,1,WEEKDAY($A33,2))*(1+'Control Room'!$D$9)^31*'Process'!AE33),2),"")</x:f>
      </x:c>
      <x:c r="I33" s="16" t="str">
        <x:f>IF(AND(AND(32&lt;='Control Room'!$B$3,'Control Room'!$D$3="Ready"),7&lt;='Control Room'!$B$2),ROUND(MAX(0,'Process'!AI33*'Control Room'!$H$10*INDEX('Control Room'!$B$19:$H$19,1,WEEKDAY($A33,2))*(1+'Control Room'!$D$9)^31*'Process'!AJ33),2),"")</x:f>
      </x:c>
      <x:c r="J33" s="16" t="str">
        <x:f>IF(AND(AND(32&lt;='Control Room'!$B$3,'Control Room'!$D$3="Ready"),8&lt;='Control Room'!$B$2),ROUND(MAX(0,'Process'!AN33*'Control Room'!$H$11*INDEX('Control Room'!$B$19:$H$19,1,WEEKDAY($A33,2))*(1+'Control Room'!$D$9)^31*'Process'!AO33),2),"")</x:f>
      </x:c>
      <x:c r="K33" s="16" t="str">
        <x:f>IF(AND(AND(32&lt;='Control Room'!$B$3,'Control Room'!$D$3="Ready"),9&lt;='Control Room'!$B$2),ROUND(MAX(0,'Process'!AS33*'Control Room'!$H$12*INDEX('Control Room'!$B$19:$H$19,1,WEEKDAY($A33,2))*(1+'Control Room'!$D$9)^31*'Process'!AT33),2),"")</x:f>
      </x:c>
      <x:c r="L33" s="16" t="str">
        <x:f>IF(AND(AND(32&lt;='Control Room'!$B$3,'Control Room'!$D$3="Ready"),10&lt;='Control Room'!$B$2),ROUND(MAX(0,'Process'!AX33*'Control Room'!$H$13*INDEX('Control Room'!$B$19:$H$19,1,WEEKDAY($A33,2))*(1+'Control Room'!$D$9)^31*'Process'!AY33),2),"")</x:f>
      </x:c>
      <x:c r="M33" s="16" t="str">
        <x:f>IF(AND(AND(32&lt;='Control Room'!$B$3,'Control Room'!$D$3="Ready"),11&lt;='Control Room'!$B$2),ROUND(MAX(0,'Process'!BC33*'Control Room'!$H$14*INDEX('Control Room'!$B$19:$H$19,1,WEEKDAY($A33,2))*(1+'Control Room'!$D$9)^31*'Process'!BD33),2),"")</x:f>
      </x:c>
      <x:c r="N33" s="16" t="str">
        <x:f>IF(AND(AND(32&lt;='Control Room'!$B$3,'Control Room'!$D$3="Ready"),12&lt;='Control Room'!$B$2),ROUND(MAX(0,'Process'!BH33*'Control Room'!$H$15*INDEX('Control Room'!$B$19:$H$19,1,WEEKDAY($A33,2))*(1+'Control Room'!$D$9)^31*'Process'!BI33),2),"")</x:f>
      </x:c>
    </x:row>
    <x:row r="34" ht="21" customHeight="1">
      <x:c r="A34" s="15" t="n">
        <x:f>IF(AND(33&lt;='Control Room'!$B$3,'Control Room'!$D$3="Ready"),'Process'!A34,"")</x:f>
        <x:v>73023</x:v>
      </x:c>
      <x:c r="B34" s="16" t="n">
        <x:f>IF(A34="","",SUM(C34:N34))</x:f>
        <x:v>3970.6099999999997</x:v>
      </x:c>
      <x:c r="C34" s="16" t="n">
        <x:f>IF(AND(AND(33&lt;='Control Room'!$B$3,'Control Room'!$D$3="Ready"),1&lt;='Control Room'!$B$2),ROUND(MAX(0,'Process'!E34*'Control Room'!$H$4*INDEX('Control Room'!$B$19:$H$19,1,WEEKDAY($A34,2))*(1+'Control Room'!$D$9)^32*'Process'!F34),2),"")</x:f>
        <x:v>947.68</x:v>
      </x:c>
      <x:c r="D34" s="16" t="n">
        <x:f>IF(AND(AND(33&lt;='Control Room'!$B$3,'Control Room'!$D$3="Ready"),2&lt;='Control Room'!$B$2),ROUND(MAX(0,'Process'!J34*'Control Room'!$H$5*INDEX('Control Room'!$B$19:$H$19,1,WEEKDAY($A34,2))*(1+'Control Room'!$D$9)^32*'Process'!K34),2),"")</x:f>
        <x:v>932.06</x:v>
      </x:c>
      <x:c r="E34" s="16" t="n">
        <x:f>IF(AND(AND(33&lt;='Control Room'!$B$3,'Control Room'!$D$3="Ready"),3&lt;='Control Room'!$B$2),ROUND(MAX(0,'Process'!O34*'Control Room'!$H$6*INDEX('Control Room'!$B$19:$H$19,1,WEEKDAY($A34,2))*(1+'Control Room'!$D$9)^32*'Process'!P34),2),"")</x:f>
        <x:v>1365.16</x:v>
      </x:c>
      <x:c r="F34" s="16" t="n">
        <x:f>IF(AND(AND(33&lt;='Control Room'!$B$3,'Control Room'!$D$3="Ready"),4&lt;='Control Room'!$B$2),ROUND(MAX(0,'Process'!T34*'Control Room'!$H$7*INDEX('Control Room'!$B$19:$H$19,1,WEEKDAY($A34,2))*(1+'Control Room'!$D$9)^32*'Process'!U34),2),"")</x:f>
        <x:v>725.71</x:v>
      </x:c>
      <x:c r="G34" s="16" t="str">
        <x:f>IF(AND(AND(33&lt;='Control Room'!$B$3,'Control Room'!$D$3="Ready"),5&lt;='Control Room'!$B$2),ROUND(MAX(0,'Process'!Y34*'Control Room'!$H$8*INDEX('Control Room'!$B$19:$H$19,1,WEEKDAY($A34,2))*(1+'Control Room'!$D$9)^32*'Process'!Z34),2),"")</x:f>
      </x:c>
      <x:c r="H34" s="16" t="str">
        <x:f>IF(AND(AND(33&lt;='Control Room'!$B$3,'Control Room'!$D$3="Ready"),6&lt;='Control Room'!$B$2),ROUND(MAX(0,'Process'!AD34*'Control Room'!$H$9*INDEX('Control Room'!$B$19:$H$19,1,WEEKDAY($A34,2))*(1+'Control Room'!$D$9)^32*'Process'!AE34),2),"")</x:f>
      </x:c>
      <x:c r="I34" s="16" t="str">
        <x:f>IF(AND(AND(33&lt;='Control Room'!$B$3,'Control Room'!$D$3="Ready"),7&lt;='Control Room'!$B$2),ROUND(MAX(0,'Process'!AI34*'Control Room'!$H$10*INDEX('Control Room'!$B$19:$H$19,1,WEEKDAY($A34,2))*(1+'Control Room'!$D$9)^32*'Process'!AJ34),2),"")</x:f>
      </x:c>
      <x:c r="J34" s="16" t="str">
        <x:f>IF(AND(AND(33&lt;='Control Room'!$B$3,'Control Room'!$D$3="Ready"),8&lt;='Control Room'!$B$2),ROUND(MAX(0,'Process'!AN34*'Control Room'!$H$11*INDEX('Control Room'!$B$19:$H$19,1,WEEKDAY($A34,2))*(1+'Control Room'!$D$9)^32*'Process'!AO34),2),"")</x:f>
      </x:c>
      <x:c r="K34" s="16" t="str">
        <x:f>IF(AND(AND(33&lt;='Control Room'!$B$3,'Control Room'!$D$3="Ready"),9&lt;='Control Room'!$B$2),ROUND(MAX(0,'Process'!AS34*'Control Room'!$H$12*INDEX('Control Room'!$B$19:$H$19,1,WEEKDAY($A34,2))*(1+'Control Room'!$D$9)^32*'Process'!AT34),2),"")</x:f>
      </x:c>
      <x:c r="L34" s="16" t="str">
        <x:f>IF(AND(AND(33&lt;='Control Room'!$B$3,'Control Room'!$D$3="Ready"),10&lt;='Control Room'!$B$2),ROUND(MAX(0,'Process'!AX34*'Control Room'!$H$13*INDEX('Control Room'!$B$19:$H$19,1,WEEKDAY($A34,2))*(1+'Control Room'!$D$9)^32*'Process'!AY34),2),"")</x:f>
      </x:c>
      <x:c r="M34" s="16" t="str">
        <x:f>IF(AND(AND(33&lt;='Control Room'!$B$3,'Control Room'!$D$3="Ready"),11&lt;='Control Room'!$B$2),ROUND(MAX(0,'Process'!BC34*'Control Room'!$H$14*INDEX('Control Room'!$B$19:$H$19,1,WEEKDAY($A34,2))*(1+'Control Room'!$D$9)^32*'Process'!BD34),2),"")</x:f>
      </x:c>
      <x:c r="N34" s="16" t="str">
        <x:f>IF(AND(AND(33&lt;='Control Room'!$B$3,'Control Room'!$D$3="Ready"),12&lt;='Control Room'!$B$2),ROUND(MAX(0,'Process'!BH34*'Control Room'!$H$15*INDEX('Control Room'!$B$19:$H$19,1,WEEKDAY($A34,2))*(1+'Control Room'!$D$9)^32*'Process'!BI34),2),"")</x:f>
      </x:c>
    </x:row>
    <x:row r="35" ht="21" customHeight="1">
      <x:c r="A35" s="15" t="n">
        <x:f>IF(AND(34&lt;='Control Room'!$B$3,'Control Room'!$D$3="Ready"),'Process'!A35,"")</x:f>
        <x:v>73024</x:v>
      </x:c>
      <x:c r="B35" s="16" t="n">
        <x:f>IF(A35="","",SUM(C35:N35))</x:f>
        <x:v>3339.8700000000003</x:v>
      </x:c>
      <x:c r="C35" s="16" t="n">
        <x:f>IF(AND(AND(34&lt;='Control Room'!$B$3,'Control Room'!$D$3="Ready"),1&lt;='Control Room'!$B$2),ROUND(MAX(0,'Process'!E35*'Control Room'!$H$4*INDEX('Control Room'!$B$19:$H$19,1,WEEKDAY($A35,2))*(1+'Control Room'!$D$9)^33*'Process'!F35),2),"")</x:f>
        <x:v>856.83</x:v>
      </x:c>
      <x:c r="D35" s="16" t="n">
        <x:f>IF(AND(AND(34&lt;='Control Room'!$B$3,'Control Room'!$D$3="Ready"),2&lt;='Control Room'!$B$2),ROUND(MAX(0,'Process'!J35*'Control Room'!$H$5*INDEX('Control Room'!$B$19:$H$19,1,WEEKDAY($A35,2))*(1+'Control Room'!$D$9)^33*'Process'!K35),2),"")</x:f>
        <x:v>696.66</x:v>
      </x:c>
      <x:c r="E35" s="16" t="n">
        <x:f>IF(AND(AND(34&lt;='Control Room'!$B$3,'Control Room'!$D$3="Ready"),3&lt;='Control Room'!$B$2),ROUND(MAX(0,'Process'!O35*'Control Room'!$H$6*INDEX('Control Room'!$B$19:$H$19,1,WEEKDAY($A35,2))*(1+'Control Room'!$D$9)^33*'Process'!P35),2),"")</x:f>
        <x:v>1194.23</x:v>
      </x:c>
      <x:c r="F35" s="16" t="n">
        <x:f>IF(AND(AND(34&lt;='Control Room'!$B$3,'Control Room'!$D$3="Ready"),4&lt;='Control Room'!$B$2),ROUND(MAX(0,'Process'!T35*'Control Room'!$H$7*INDEX('Control Room'!$B$19:$H$19,1,WEEKDAY($A35,2))*(1+'Control Room'!$D$9)^33*'Process'!U35),2),"")</x:f>
        <x:v>592.15</x:v>
      </x:c>
      <x:c r="G35" s="16" t="str">
        <x:f>IF(AND(AND(34&lt;='Control Room'!$B$3,'Control Room'!$D$3="Ready"),5&lt;='Control Room'!$B$2),ROUND(MAX(0,'Process'!Y35*'Control Room'!$H$8*INDEX('Control Room'!$B$19:$H$19,1,WEEKDAY($A35,2))*(1+'Control Room'!$D$9)^33*'Process'!Z35),2),"")</x:f>
      </x:c>
      <x:c r="H35" s="16" t="str">
        <x:f>IF(AND(AND(34&lt;='Control Room'!$B$3,'Control Room'!$D$3="Ready"),6&lt;='Control Room'!$B$2),ROUND(MAX(0,'Process'!AD35*'Control Room'!$H$9*INDEX('Control Room'!$B$19:$H$19,1,WEEKDAY($A35,2))*(1+'Control Room'!$D$9)^33*'Process'!AE35),2),"")</x:f>
      </x:c>
      <x:c r="I35" s="16" t="str">
        <x:f>IF(AND(AND(34&lt;='Control Room'!$B$3,'Control Room'!$D$3="Ready"),7&lt;='Control Room'!$B$2),ROUND(MAX(0,'Process'!AI35*'Control Room'!$H$10*INDEX('Control Room'!$B$19:$H$19,1,WEEKDAY($A35,2))*(1+'Control Room'!$D$9)^33*'Process'!AJ35),2),"")</x:f>
      </x:c>
      <x:c r="J35" s="16" t="str">
        <x:f>IF(AND(AND(34&lt;='Control Room'!$B$3,'Control Room'!$D$3="Ready"),8&lt;='Control Room'!$B$2),ROUND(MAX(0,'Process'!AN35*'Control Room'!$H$11*INDEX('Control Room'!$B$19:$H$19,1,WEEKDAY($A35,2))*(1+'Control Room'!$D$9)^33*'Process'!AO35),2),"")</x:f>
      </x:c>
      <x:c r="K35" s="16" t="str">
        <x:f>IF(AND(AND(34&lt;='Control Room'!$B$3,'Control Room'!$D$3="Ready"),9&lt;='Control Room'!$B$2),ROUND(MAX(0,'Process'!AS35*'Control Room'!$H$12*INDEX('Control Room'!$B$19:$H$19,1,WEEKDAY($A35,2))*(1+'Control Room'!$D$9)^33*'Process'!AT35),2),"")</x:f>
      </x:c>
      <x:c r="L35" s="16" t="str">
        <x:f>IF(AND(AND(34&lt;='Control Room'!$B$3,'Control Room'!$D$3="Ready"),10&lt;='Control Room'!$B$2),ROUND(MAX(0,'Process'!AX35*'Control Room'!$H$13*INDEX('Control Room'!$B$19:$H$19,1,WEEKDAY($A35,2))*(1+'Control Room'!$D$9)^33*'Process'!AY35),2),"")</x:f>
      </x:c>
      <x:c r="M35" s="16" t="str">
        <x:f>IF(AND(AND(34&lt;='Control Room'!$B$3,'Control Room'!$D$3="Ready"),11&lt;='Control Room'!$B$2),ROUND(MAX(0,'Process'!BC35*'Control Room'!$H$14*INDEX('Control Room'!$B$19:$H$19,1,WEEKDAY($A35,2))*(1+'Control Room'!$D$9)^33*'Process'!BD35),2),"")</x:f>
      </x:c>
      <x:c r="N35" s="16" t="str">
        <x:f>IF(AND(AND(34&lt;='Control Room'!$B$3,'Control Room'!$D$3="Ready"),12&lt;='Control Room'!$B$2),ROUND(MAX(0,'Process'!BH35*'Control Room'!$H$15*INDEX('Control Room'!$B$19:$H$19,1,WEEKDAY($A35,2))*(1+'Control Room'!$D$9)^33*'Process'!BI35),2),"")</x:f>
      </x:c>
    </x:row>
    <x:row r="36" ht="21" customHeight="1">
      <x:c r="A36" s="15" t="n">
        <x:f>IF(AND(35&lt;='Control Room'!$B$3,'Control Room'!$D$3="Ready"),'Process'!A36,"")</x:f>
        <x:v>73025</x:v>
      </x:c>
      <x:c r="B36" s="16" t="n">
        <x:f>IF(A36="","",SUM(C36:N36))</x:f>
        <x:v>2549.5</x:v>
      </x:c>
      <x:c r="C36" s="16" t="n">
        <x:f>IF(AND(AND(35&lt;='Control Room'!$B$3,'Control Room'!$D$3="Ready"),1&lt;='Control Room'!$B$2),ROUND(MAX(0,'Process'!E36*'Control Room'!$H$4*INDEX('Control Room'!$B$19:$H$19,1,WEEKDAY($A36,2))*(1+'Control Room'!$D$9)^34*'Process'!F36),2),"")</x:f>
        <x:v>648.71</x:v>
      </x:c>
      <x:c r="D36" s="16" t="n">
        <x:f>IF(AND(AND(35&lt;='Control Room'!$B$3,'Control Room'!$D$3="Ready"),2&lt;='Control Room'!$B$2),ROUND(MAX(0,'Process'!J36*'Control Room'!$H$5*INDEX('Control Room'!$B$19:$H$19,1,WEEKDAY($A36,2))*(1+'Control Room'!$D$9)^34*'Process'!K36),2),"")</x:f>
        <x:v>491.46</x:v>
      </x:c>
      <x:c r="E36" s="16" t="n">
        <x:f>IF(AND(AND(35&lt;='Control Room'!$B$3,'Control Room'!$D$3="Ready"),3&lt;='Control Room'!$B$2),ROUND(MAX(0,'Process'!O36*'Control Room'!$H$6*INDEX('Control Room'!$B$19:$H$19,1,WEEKDAY($A36,2))*(1+'Control Room'!$D$9)^34*'Process'!P36),2),"")</x:f>
        <x:v>969.56</x:v>
      </x:c>
      <x:c r="F36" s="16" t="n">
        <x:f>IF(AND(AND(35&lt;='Control Room'!$B$3,'Control Room'!$D$3="Ready"),4&lt;='Control Room'!$B$2),ROUND(MAX(0,'Process'!T36*'Control Room'!$H$7*INDEX('Control Room'!$B$19:$H$19,1,WEEKDAY($A36,2))*(1+'Control Room'!$D$9)^34*'Process'!U36),2),"")</x:f>
        <x:v>439.77</x:v>
      </x:c>
      <x:c r="G36" s="16" t="str">
        <x:f>IF(AND(AND(35&lt;='Control Room'!$B$3,'Control Room'!$D$3="Ready"),5&lt;='Control Room'!$B$2),ROUND(MAX(0,'Process'!Y36*'Control Room'!$H$8*INDEX('Control Room'!$B$19:$H$19,1,WEEKDAY($A36,2))*(1+'Control Room'!$D$9)^34*'Process'!Z36),2),"")</x:f>
      </x:c>
      <x:c r="H36" s="16" t="str">
        <x:f>IF(AND(AND(35&lt;='Control Room'!$B$3,'Control Room'!$D$3="Ready"),6&lt;='Control Room'!$B$2),ROUND(MAX(0,'Process'!AD36*'Control Room'!$H$9*INDEX('Control Room'!$B$19:$H$19,1,WEEKDAY($A36,2))*(1+'Control Room'!$D$9)^34*'Process'!AE36),2),"")</x:f>
      </x:c>
      <x:c r="I36" s="16" t="str">
        <x:f>IF(AND(AND(35&lt;='Control Room'!$B$3,'Control Room'!$D$3="Ready"),7&lt;='Control Room'!$B$2),ROUND(MAX(0,'Process'!AI36*'Control Room'!$H$10*INDEX('Control Room'!$B$19:$H$19,1,WEEKDAY($A36,2))*(1+'Control Room'!$D$9)^34*'Process'!AJ36),2),"")</x:f>
      </x:c>
      <x:c r="J36" s="16" t="str">
        <x:f>IF(AND(AND(35&lt;='Control Room'!$B$3,'Control Room'!$D$3="Ready"),8&lt;='Control Room'!$B$2),ROUND(MAX(0,'Process'!AN36*'Control Room'!$H$11*INDEX('Control Room'!$B$19:$H$19,1,WEEKDAY($A36,2))*(1+'Control Room'!$D$9)^34*'Process'!AO36),2),"")</x:f>
      </x:c>
      <x:c r="K36" s="16" t="str">
        <x:f>IF(AND(AND(35&lt;='Control Room'!$B$3,'Control Room'!$D$3="Ready"),9&lt;='Control Room'!$B$2),ROUND(MAX(0,'Process'!AS36*'Control Room'!$H$12*INDEX('Control Room'!$B$19:$H$19,1,WEEKDAY($A36,2))*(1+'Control Room'!$D$9)^34*'Process'!AT36),2),"")</x:f>
      </x:c>
      <x:c r="L36" s="16" t="str">
        <x:f>IF(AND(AND(35&lt;='Control Room'!$B$3,'Control Room'!$D$3="Ready"),10&lt;='Control Room'!$B$2),ROUND(MAX(0,'Process'!AX36*'Control Room'!$H$13*INDEX('Control Room'!$B$19:$H$19,1,WEEKDAY($A36,2))*(1+'Control Room'!$D$9)^34*'Process'!AY36),2),"")</x:f>
      </x:c>
      <x:c r="M36" s="16" t="str">
        <x:f>IF(AND(AND(35&lt;='Control Room'!$B$3,'Control Room'!$D$3="Ready"),11&lt;='Control Room'!$B$2),ROUND(MAX(0,'Process'!BC36*'Control Room'!$H$14*INDEX('Control Room'!$B$19:$H$19,1,WEEKDAY($A36,2))*(1+'Control Room'!$D$9)^34*'Process'!BD36),2),"")</x:f>
      </x:c>
      <x:c r="N36" s="16" t="str">
        <x:f>IF(AND(AND(35&lt;='Control Room'!$B$3,'Control Room'!$D$3="Ready"),12&lt;='Control Room'!$B$2),ROUND(MAX(0,'Process'!BH36*'Control Room'!$H$15*INDEX('Control Room'!$B$19:$H$19,1,WEEKDAY($A36,2))*(1+'Control Room'!$D$9)^34*'Process'!BI36),2),"")</x:f>
      </x:c>
    </x:row>
    <x:row r="37" ht="21" customHeight="1">
      <x:c r="A37" s="15" t="n">
        <x:f>IF(AND(36&lt;='Control Room'!$B$3,'Control Room'!$D$3="Ready"),'Process'!A37,"")</x:f>
        <x:v>73026</x:v>
      </x:c>
      <x:c r="B37" s="16" t="n">
        <x:f>IF(A37="","",SUM(C37:N37))</x:f>
        <x:v>4205.37</x:v>
      </x:c>
      <x:c r="C37" s="16" t="n">
        <x:f>IF(AND(AND(36&lt;='Control Room'!$B$3,'Control Room'!$D$3="Ready"),1&lt;='Control Room'!$B$2),ROUND(MAX(0,'Process'!E37*'Control Room'!$H$4*INDEX('Control Room'!$B$19:$H$19,1,WEEKDAY($A37,2))*(1+'Control Room'!$D$9)^35*'Process'!F37),2),"")</x:f>
        <x:v>1164.73</x:v>
      </x:c>
      <x:c r="D37" s="16" t="n">
        <x:f>IF(AND(AND(36&lt;='Control Room'!$B$3,'Control Room'!$D$3="Ready"),2&lt;='Control Room'!$B$2),ROUND(MAX(0,'Process'!J37*'Control Room'!$H$5*INDEX('Control Room'!$B$19:$H$19,1,WEEKDAY($A37,2))*(1+'Control Room'!$D$9)^35*'Process'!K37),2),"")</x:f>
        <x:v>861.74</x:v>
      </x:c>
      <x:c r="E37" s="16" t="n">
        <x:f>IF(AND(AND(36&lt;='Control Room'!$B$3,'Control Room'!$D$3="Ready"),3&lt;='Control Room'!$B$2),ROUND(MAX(0,'Process'!O37*'Control Room'!$H$6*INDEX('Control Room'!$B$19:$H$19,1,WEEKDAY($A37,2))*(1+'Control Room'!$D$9)^35*'Process'!P37),2),"")</x:f>
        <x:v>1505.73</x:v>
      </x:c>
      <x:c r="F37" s="16" t="n">
        <x:f>IF(AND(AND(36&lt;='Control Room'!$B$3,'Control Room'!$D$3="Ready"),4&lt;='Control Room'!$B$2),ROUND(MAX(0,'Process'!T37*'Control Room'!$H$7*INDEX('Control Room'!$B$19:$H$19,1,WEEKDAY($A37,2))*(1+'Control Room'!$D$9)^35*'Process'!U37),2),"")</x:f>
        <x:v>673.17</x:v>
      </x:c>
      <x:c r="G37" s="16" t="str">
        <x:f>IF(AND(AND(36&lt;='Control Room'!$B$3,'Control Room'!$D$3="Ready"),5&lt;='Control Room'!$B$2),ROUND(MAX(0,'Process'!Y37*'Control Room'!$H$8*INDEX('Control Room'!$B$19:$H$19,1,WEEKDAY($A37,2))*(1+'Control Room'!$D$9)^35*'Process'!Z37),2),"")</x:f>
      </x:c>
      <x:c r="H37" s="16" t="str">
        <x:f>IF(AND(AND(36&lt;='Control Room'!$B$3,'Control Room'!$D$3="Ready"),6&lt;='Control Room'!$B$2),ROUND(MAX(0,'Process'!AD37*'Control Room'!$H$9*INDEX('Control Room'!$B$19:$H$19,1,WEEKDAY($A37,2))*(1+'Control Room'!$D$9)^35*'Process'!AE37),2),"")</x:f>
      </x:c>
      <x:c r="I37" s="16" t="str">
        <x:f>IF(AND(AND(36&lt;='Control Room'!$B$3,'Control Room'!$D$3="Ready"),7&lt;='Control Room'!$B$2),ROUND(MAX(0,'Process'!AI37*'Control Room'!$H$10*INDEX('Control Room'!$B$19:$H$19,1,WEEKDAY($A37,2))*(1+'Control Room'!$D$9)^35*'Process'!AJ37),2),"")</x:f>
      </x:c>
      <x:c r="J37" s="16" t="str">
        <x:f>IF(AND(AND(36&lt;='Control Room'!$B$3,'Control Room'!$D$3="Ready"),8&lt;='Control Room'!$B$2),ROUND(MAX(0,'Process'!AN37*'Control Room'!$H$11*INDEX('Control Room'!$B$19:$H$19,1,WEEKDAY($A37,2))*(1+'Control Room'!$D$9)^35*'Process'!AO37),2),"")</x:f>
      </x:c>
      <x:c r="K37" s="16" t="str">
        <x:f>IF(AND(AND(36&lt;='Control Room'!$B$3,'Control Room'!$D$3="Ready"),9&lt;='Control Room'!$B$2),ROUND(MAX(0,'Process'!AS37*'Control Room'!$H$12*INDEX('Control Room'!$B$19:$H$19,1,WEEKDAY($A37,2))*(1+'Control Room'!$D$9)^35*'Process'!AT37),2),"")</x:f>
      </x:c>
      <x:c r="L37" s="16" t="str">
        <x:f>IF(AND(AND(36&lt;='Control Room'!$B$3,'Control Room'!$D$3="Ready"),10&lt;='Control Room'!$B$2),ROUND(MAX(0,'Process'!AX37*'Control Room'!$H$13*INDEX('Control Room'!$B$19:$H$19,1,WEEKDAY($A37,2))*(1+'Control Room'!$D$9)^35*'Process'!AY37),2),"")</x:f>
      </x:c>
      <x:c r="M37" s="16" t="str">
        <x:f>IF(AND(AND(36&lt;='Control Room'!$B$3,'Control Room'!$D$3="Ready"),11&lt;='Control Room'!$B$2),ROUND(MAX(0,'Process'!BC37*'Control Room'!$H$14*INDEX('Control Room'!$B$19:$H$19,1,WEEKDAY($A37,2))*(1+'Control Room'!$D$9)^35*'Process'!BD37),2),"")</x:f>
      </x:c>
      <x:c r="N37" s="16" t="str">
        <x:f>IF(AND(AND(36&lt;='Control Room'!$B$3,'Control Room'!$D$3="Ready"),12&lt;='Control Room'!$B$2),ROUND(MAX(0,'Process'!BH37*'Control Room'!$H$15*INDEX('Control Room'!$B$19:$H$19,1,WEEKDAY($A37,2))*(1+'Control Room'!$D$9)^35*'Process'!BI37),2),"")</x:f>
      </x:c>
    </x:row>
    <x:row r="38" ht="21" customHeight="1">
      <x:c r="A38" s="15" t="n">
        <x:f>IF(AND(37&lt;='Control Room'!$B$3,'Control Room'!$D$3="Ready"),'Process'!A38,"")</x:f>
        <x:v>73027</x:v>
      </x:c>
      <x:c r="B38" s="16" t="n">
        <x:f>IF(A38="","",SUM(C38:N38))</x:f>
        <x:v>4423.88</x:v>
      </x:c>
      <x:c r="C38" s="16" t="n">
        <x:f>IF(AND(AND(37&lt;='Control Room'!$B$3,'Control Room'!$D$3="Ready"),1&lt;='Control Room'!$B$2),ROUND(MAX(0,'Process'!E38*'Control Room'!$H$4*INDEX('Control Room'!$B$19:$H$19,1,WEEKDAY($A38,2))*(1+'Control Room'!$D$9)^36*'Process'!F38),2),"")</x:f>
        <x:v>1087.81</x:v>
      </x:c>
      <x:c r="D38" s="16" t="n">
        <x:f>IF(AND(AND(37&lt;='Control Room'!$B$3,'Control Room'!$D$3="Ready"),2&lt;='Control Room'!$B$2),ROUND(MAX(0,'Process'!J38*'Control Room'!$H$5*INDEX('Control Room'!$B$19:$H$19,1,WEEKDAY($A38,2))*(1+'Control Room'!$D$9)^36*'Process'!K38),2),"")</x:f>
        <x:v>912.15</x:v>
      </x:c>
      <x:c r="E38" s="16" t="n">
        <x:f>IF(AND(AND(37&lt;='Control Room'!$B$3,'Control Room'!$D$3="Ready"),3&lt;='Control Room'!$B$2),ROUND(MAX(0,'Process'!O38*'Control Room'!$H$6*INDEX('Control Room'!$B$19:$H$19,1,WEEKDAY($A38,2))*(1+'Control Room'!$D$9)^36*'Process'!P38),2),"")</x:f>
        <x:v>1677.69</x:v>
      </x:c>
      <x:c r="F38" s="16" t="n">
        <x:f>IF(AND(AND(37&lt;='Control Room'!$B$3,'Control Room'!$D$3="Ready"),4&lt;='Control Room'!$B$2),ROUND(MAX(0,'Process'!T38*'Control Room'!$H$7*INDEX('Control Room'!$B$19:$H$19,1,WEEKDAY($A38,2))*(1+'Control Room'!$D$9)^36*'Process'!U38),2),"")</x:f>
        <x:v>746.23</x:v>
      </x:c>
      <x:c r="G38" s="16" t="str">
        <x:f>IF(AND(AND(37&lt;='Control Room'!$B$3,'Control Room'!$D$3="Ready"),5&lt;='Control Room'!$B$2),ROUND(MAX(0,'Process'!Y38*'Control Room'!$H$8*INDEX('Control Room'!$B$19:$H$19,1,WEEKDAY($A38,2))*(1+'Control Room'!$D$9)^36*'Process'!Z38),2),"")</x:f>
      </x:c>
      <x:c r="H38" s="16" t="str">
        <x:f>IF(AND(AND(37&lt;='Control Room'!$B$3,'Control Room'!$D$3="Ready"),6&lt;='Control Room'!$B$2),ROUND(MAX(0,'Process'!AD38*'Control Room'!$H$9*INDEX('Control Room'!$B$19:$H$19,1,WEEKDAY($A38,2))*(1+'Control Room'!$D$9)^36*'Process'!AE38),2),"")</x:f>
      </x:c>
      <x:c r="I38" s="16" t="str">
        <x:f>IF(AND(AND(37&lt;='Control Room'!$B$3,'Control Room'!$D$3="Ready"),7&lt;='Control Room'!$B$2),ROUND(MAX(0,'Process'!AI38*'Control Room'!$H$10*INDEX('Control Room'!$B$19:$H$19,1,WEEKDAY($A38,2))*(1+'Control Room'!$D$9)^36*'Process'!AJ38),2),"")</x:f>
      </x:c>
      <x:c r="J38" s="16" t="str">
        <x:f>IF(AND(AND(37&lt;='Control Room'!$B$3,'Control Room'!$D$3="Ready"),8&lt;='Control Room'!$B$2),ROUND(MAX(0,'Process'!AN38*'Control Room'!$H$11*INDEX('Control Room'!$B$19:$H$19,1,WEEKDAY($A38,2))*(1+'Control Room'!$D$9)^36*'Process'!AO38),2),"")</x:f>
      </x:c>
      <x:c r="K38" s="16" t="str">
        <x:f>IF(AND(AND(37&lt;='Control Room'!$B$3,'Control Room'!$D$3="Ready"),9&lt;='Control Room'!$B$2),ROUND(MAX(0,'Process'!AS38*'Control Room'!$H$12*INDEX('Control Room'!$B$19:$H$19,1,WEEKDAY($A38,2))*(1+'Control Room'!$D$9)^36*'Process'!AT38),2),"")</x:f>
      </x:c>
      <x:c r="L38" s="16" t="str">
        <x:f>IF(AND(AND(37&lt;='Control Room'!$B$3,'Control Room'!$D$3="Ready"),10&lt;='Control Room'!$B$2),ROUND(MAX(0,'Process'!AX38*'Control Room'!$H$13*INDEX('Control Room'!$B$19:$H$19,1,WEEKDAY($A38,2))*(1+'Control Room'!$D$9)^36*'Process'!AY38),2),"")</x:f>
      </x:c>
      <x:c r="M38" s="16" t="str">
        <x:f>IF(AND(AND(37&lt;='Control Room'!$B$3,'Control Room'!$D$3="Ready"),11&lt;='Control Room'!$B$2),ROUND(MAX(0,'Process'!BC38*'Control Room'!$H$14*INDEX('Control Room'!$B$19:$H$19,1,WEEKDAY($A38,2))*(1+'Control Room'!$D$9)^36*'Process'!BD38),2),"")</x:f>
      </x:c>
      <x:c r="N38" s="16" t="str">
        <x:f>IF(AND(AND(37&lt;='Control Room'!$B$3,'Control Room'!$D$3="Ready"),12&lt;='Control Room'!$B$2),ROUND(MAX(0,'Process'!BH38*'Control Room'!$H$15*INDEX('Control Room'!$B$19:$H$19,1,WEEKDAY($A38,2))*(1+'Control Room'!$D$9)^36*'Process'!BI38),2),"")</x:f>
      </x:c>
    </x:row>
    <x:row r="39" ht="21" customHeight="1">
      <x:c r="A39" s="15" t="n">
        <x:f>IF(AND(38&lt;='Control Room'!$B$3,'Control Room'!$D$3="Ready"),'Process'!A39,"")</x:f>
        <x:v>73028</x:v>
      </x:c>
      <x:c r="B39" s="16" t="n">
        <x:f>IF(A39="","",SUM(C39:N39))</x:f>
        <x:v>4097.57</x:v>
      </x:c>
      <x:c r="C39" s="16" t="n">
        <x:f>IF(AND(AND(38&lt;='Control Room'!$B$3,'Control Room'!$D$3="Ready"),1&lt;='Control Room'!$B$2),ROUND(MAX(0,'Process'!E39*'Control Room'!$H$4*INDEX('Control Room'!$B$19:$H$19,1,WEEKDAY($A39,2))*(1+'Control Room'!$D$9)^37*'Process'!F39),2),"")</x:f>
        <x:v>972.26</x:v>
      </x:c>
      <x:c r="D39" s="16" t="n">
        <x:f>IF(AND(AND(38&lt;='Control Room'!$B$3,'Control Room'!$D$3="Ready"),2&lt;='Control Room'!$B$2),ROUND(MAX(0,'Process'!J39*'Control Room'!$H$5*INDEX('Control Room'!$B$19:$H$19,1,WEEKDAY($A39,2))*(1+'Control Room'!$D$9)^37*'Process'!K39),2),"")</x:f>
        <x:v>808.88</x:v>
      </x:c>
      <x:c r="E39" s="16" t="n">
        <x:f>IF(AND(AND(38&lt;='Control Room'!$B$3,'Control Room'!$D$3="Ready"),3&lt;='Control Room'!$B$2),ROUND(MAX(0,'Process'!O39*'Control Room'!$H$6*INDEX('Control Room'!$B$19:$H$19,1,WEEKDAY($A39,2))*(1+'Control Room'!$D$9)^37*'Process'!P39),2),"")</x:f>
        <x:v>1582.46</x:v>
      </x:c>
      <x:c r="F39" s="16" t="n">
        <x:f>IF(AND(AND(38&lt;='Control Room'!$B$3,'Control Room'!$D$3="Ready"),4&lt;='Control Room'!$B$2),ROUND(MAX(0,'Process'!T39*'Control Room'!$H$7*INDEX('Control Room'!$B$19:$H$19,1,WEEKDAY($A39,2))*(1+'Control Room'!$D$9)^37*'Process'!U39),2),"")</x:f>
        <x:v>733.97</x:v>
      </x:c>
      <x:c r="G39" s="16" t="str">
        <x:f>IF(AND(AND(38&lt;='Control Room'!$B$3,'Control Room'!$D$3="Ready"),5&lt;='Control Room'!$B$2),ROUND(MAX(0,'Process'!Y39*'Control Room'!$H$8*INDEX('Control Room'!$B$19:$H$19,1,WEEKDAY($A39,2))*(1+'Control Room'!$D$9)^37*'Process'!Z39),2),"")</x:f>
      </x:c>
      <x:c r="H39" s="16" t="str">
        <x:f>IF(AND(AND(38&lt;='Control Room'!$B$3,'Control Room'!$D$3="Ready"),6&lt;='Control Room'!$B$2),ROUND(MAX(0,'Process'!AD39*'Control Room'!$H$9*INDEX('Control Room'!$B$19:$H$19,1,WEEKDAY($A39,2))*(1+'Control Room'!$D$9)^37*'Process'!AE39),2),"")</x:f>
      </x:c>
      <x:c r="I39" s="16" t="str">
        <x:f>IF(AND(AND(38&lt;='Control Room'!$B$3,'Control Room'!$D$3="Ready"),7&lt;='Control Room'!$B$2),ROUND(MAX(0,'Process'!AI39*'Control Room'!$H$10*INDEX('Control Room'!$B$19:$H$19,1,WEEKDAY($A39,2))*(1+'Control Room'!$D$9)^37*'Process'!AJ39),2),"")</x:f>
      </x:c>
      <x:c r="J39" s="16" t="str">
        <x:f>IF(AND(AND(38&lt;='Control Room'!$B$3,'Control Room'!$D$3="Ready"),8&lt;='Control Room'!$B$2),ROUND(MAX(0,'Process'!AN39*'Control Room'!$H$11*INDEX('Control Room'!$B$19:$H$19,1,WEEKDAY($A39,2))*(1+'Control Room'!$D$9)^37*'Process'!AO39),2),"")</x:f>
      </x:c>
      <x:c r="K39" s="16" t="str">
        <x:f>IF(AND(AND(38&lt;='Control Room'!$B$3,'Control Room'!$D$3="Ready"),9&lt;='Control Room'!$B$2),ROUND(MAX(0,'Process'!AS39*'Control Room'!$H$12*INDEX('Control Room'!$B$19:$H$19,1,WEEKDAY($A39,2))*(1+'Control Room'!$D$9)^37*'Process'!AT39),2),"")</x:f>
      </x:c>
      <x:c r="L39" s="16" t="str">
        <x:f>IF(AND(AND(38&lt;='Control Room'!$B$3,'Control Room'!$D$3="Ready"),10&lt;='Control Room'!$B$2),ROUND(MAX(0,'Process'!AX39*'Control Room'!$H$13*INDEX('Control Room'!$B$19:$H$19,1,WEEKDAY($A39,2))*(1+'Control Room'!$D$9)^37*'Process'!AY39),2),"")</x:f>
      </x:c>
      <x:c r="M39" s="16" t="str">
        <x:f>IF(AND(AND(38&lt;='Control Room'!$B$3,'Control Room'!$D$3="Ready"),11&lt;='Control Room'!$B$2),ROUND(MAX(0,'Process'!BC39*'Control Room'!$H$14*INDEX('Control Room'!$B$19:$H$19,1,WEEKDAY($A39,2))*(1+'Control Room'!$D$9)^37*'Process'!BD39),2),"")</x:f>
      </x:c>
      <x:c r="N39" s="16" t="str">
        <x:f>IF(AND(AND(38&lt;='Control Room'!$B$3,'Control Room'!$D$3="Ready"),12&lt;='Control Room'!$B$2),ROUND(MAX(0,'Process'!BH39*'Control Room'!$H$15*INDEX('Control Room'!$B$19:$H$19,1,WEEKDAY($A39,2))*(1+'Control Room'!$D$9)^37*'Process'!BI39),2),"")</x:f>
      </x:c>
    </x:row>
    <x:row r="40" ht="21" customHeight="1">
      <x:c r="A40" s="15" t="n">
        <x:f>IF(AND(39&lt;='Control Room'!$B$3,'Control Room'!$D$3="Ready"),'Process'!A40,"")</x:f>
        <x:v>73029</x:v>
      </x:c>
      <x:c r="B40" s="16" t="n">
        <x:f>IF(A40="","",SUM(C40:N40))</x:f>
        <x:v>4095.37</x:v>
      </x:c>
      <x:c r="C40" s="16" t="n">
        <x:f>IF(AND(AND(39&lt;='Control Room'!$B$3,'Control Room'!$D$3="Ready"),1&lt;='Control Room'!$B$2),ROUND(MAX(0,'Process'!E40*'Control Room'!$H$4*INDEX('Control Room'!$B$19:$H$19,1,WEEKDAY($A40,2))*(1+'Control Room'!$D$9)^38*'Process'!F40),2),"")</x:f>
        <x:v>949.22</x:v>
      </x:c>
      <x:c r="D40" s="16" t="n">
        <x:f>IF(AND(AND(39&lt;='Control Room'!$B$3,'Control Room'!$D$3="Ready"),2&lt;='Control Room'!$B$2),ROUND(MAX(0,'Process'!J40*'Control Room'!$H$5*INDEX('Control Room'!$B$19:$H$19,1,WEEKDAY($A40,2))*(1+'Control Room'!$D$9)^38*'Process'!K40),2),"")</x:f>
        <x:v>755.64</x:v>
      </x:c>
      <x:c r="E40" s="16" t="n">
        <x:f>IF(AND(AND(39&lt;='Control Room'!$B$3,'Control Room'!$D$3="Ready"),3&lt;='Control Room'!$B$2),ROUND(MAX(0,'Process'!O40*'Control Room'!$H$6*INDEX('Control Room'!$B$19:$H$19,1,WEEKDAY($A40,2))*(1+'Control Room'!$D$9)^38*'Process'!P40),2),"")</x:f>
        <x:v>1582.76</x:v>
      </x:c>
      <x:c r="F40" s="16" t="n">
        <x:f>IF(AND(AND(39&lt;='Control Room'!$B$3,'Control Room'!$D$3="Ready"),4&lt;='Control Room'!$B$2),ROUND(MAX(0,'Process'!T40*'Control Room'!$H$7*INDEX('Control Room'!$B$19:$H$19,1,WEEKDAY($A40,2))*(1+'Control Room'!$D$9)^38*'Process'!U40),2),"")</x:f>
        <x:v>807.75</x:v>
      </x:c>
      <x:c r="G40" s="16" t="str">
        <x:f>IF(AND(AND(39&lt;='Control Room'!$B$3,'Control Room'!$D$3="Ready"),5&lt;='Control Room'!$B$2),ROUND(MAX(0,'Process'!Y40*'Control Room'!$H$8*INDEX('Control Room'!$B$19:$H$19,1,WEEKDAY($A40,2))*(1+'Control Room'!$D$9)^38*'Process'!Z40),2),"")</x:f>
      </x:c>
      <x:c r="H40" s="16" t="str">
        <x:f>IF(AND(AND(39&lt;='Control Room'!$B$3,'Control Room'!$D$3="Ready"),6&lt;='Control Room'!$B$2),ROUND(MAX(0,'Process'!AD40*'Control Room'!$H$9*INDEX('Control Room'!$B$19:$H$19,1,WEEKDAY($A40,2))*(1+'Control Room'!$D$9)^38*'Process'!AE40),2),"")</x:f>
      </x:c>
      <x:c r="I40" s="16" t="str">
        <x:f>IF(AND(AND(39&lt;='Control Room'!$B$3,'Control Room'!$D$3="Ready"),7&lt;='Control Room'!$B$2),ROUND(MAX(0,'Process'!AI40*'Control Room'!$H$10*INDEX('Control Room'!$B$19:$H$19,1,WEEKDAY($A40,2))*(1+'Control Room'!$D$9)^38*'Process'!AJ40),2),"")</x:f>
      </x:c>
      <x:c r="J40" s="16" t="str">
        <x:f>IF(AND(AND(39&lt;='Control Room'!$B$3,'Control Room'!$D$3="Ready"),8&lt;='Control Room'!$B$2),ROUND(MAX(0,'Process'!AN40*'Control Room'!$H$11*INDEX('Control Room'!$B$19:$H$19,1,WEEKDAY($A40,2))*(1+'Control Room'!$D$9)^38*'Process'!AO40),2),"")</x:f>
      </x:c>
      <x:c r="K40" s="16" t="str">
        <x:f>IF(AND(AND(39&lt;='Control Room'!$B$3,'Control Room'!$D$3="Ready"),9&lt;='Control Room'!$B$2),ROUND(MAX(0,'Process'!AS40*'Control Room'!$H$12*INDEX('Control Room'!$B$19:$H$19,1,WEEKDAY($A40,2))*(1+'Control Room'!$D$9)^38*'Process'!AT40),2),"")</x:f>
      </x:c>
      <x:c r="L40" s="16" t="str">
        <x:f>IF(AND(AND(39&lt;='Control Room'!$B$3,'Control Room'!$D$3="Ready"),10&lt;='Control Room'!$B$2),ROUND(MAX(0,'Process'!AX40*'Control Room'!$H$13*INDEX('Control Room'!$B$19:$H$19,1,WEEKDAY($A40,2))*(1+'Control Room'!$D$9)^38*'Process'!AY40),2),"")</x:f>
      </x:c>
      <x:c r="M40" s="16" t="str">
        <x:f>IF(AND(AND(39&lt;='Control Room'!$B$3,'Control Room'!$D$3="Ready"),11&lt;='Control Room'!$B$2),ROUND(MAX(0,'Process'!BC40*'Control Room'!$H$14*INDEX('Control Room'!$B$19:$H$19,1,WEEKDAY($A40,2))*(1+'Control Room'!$D$9)^38*'Process'!BD40),2),"")</x:f>
      </x:c>
      <x:c r="N40" s="16" t="str">
        <x:f>IF(AND(AND(39&lt;='Control Room'!$B$3,'Control Room'!$D$3="Ready"),12&lt;='Control Room'!$B$2),ROUND(MAX(0,'Process'!BH40*'Control Room'!$H$15*INDEX('Control Room'!$B$19:$H$19,1,WEEKDAY($A40,2))*(1+'Control Room'!$D$9)^38*'Process'!BI40),2),"")</x:f>
      </x:c>
    </x:row>
    <x:row r="41" ht="21" customHeight="1">
      <x:c r="A41" s="15" t="n">
        <x:f>IF(AND(40&lt;='Control Room'!$B$3,'Control Room'!$D$3="Ready"),'Process'!A41,"")</x:f>
        <x:v>73030</x:v>
      </x:c>
      <x:c r="B41" s="16" t="n">
        <x:f>IF(A41="","",SUM(C41:N41))</x:f>
        <x:v>4161.43</x:v>
      </x:c>
      <x:c r="C41" s="16" t="n">
        <x:f>IF(AND(AND(40&lt;='Control Room'!$B$3,'Control Room'!$D$3="Ready"),1&lt;='Control Room'!$B$2),ROUND(MAX(0,'Process'!E41*'Control Room'!$H$4*INDEX('Control Room'!$B$19:$H$19,1,WEEKDAY($A41,2))*(1+'Control Room'!$D$9)^39*'Process'!F41),2),"")</x:f>
        <x:v>1049.88</x:v>
      </x:c>
      <x:c r="D41" s="16" t="n">
        <x:f>IF(AND(AND(40&lt;='Control Room'!$B$3,'Control Room'!$D$3="Ready"),2&lt;='Control Room'!$B$2),ROUND(MAX(0,'Process'!J41*'Control Room'!$H$5*INDEX('Control Room'!$B$19:$H$19,1,WEEKDAY($A41,2))*(1+'Control Room'!$D$9)^39*'Process'!K41),2),"")</x:f>
        <x:v>846.62</x:v>
      </x:c>
      <x:c r="E41" s="16" t="n">
        <x:f>IF(AND(AND(40&lt;='Control Room'!$B$3,'Control Room'!$D$3="Ready"),3&lt;='Control Room'!$B$2),ROUND(MAX(0,'Process'!O41*'Control Room'!$H$6*INDEX('Control Room'!$B$19:$H$19,1,WEEKDAY($A41,2))*(1+'Control Room'!$D$9)^39*'Process'!P41),2),"")</x:f>
        <x:v>1500.7</x:v>
      </x:c>
      <x:c r="F41" s="16" t="n">
        <x:f>IF(AND(AND(40&lt;='Control Room'!$B$3,'Control Room'!$D$3="Ready"),4&lt;='Control Room'!$B$2),ROUND(MAX(0,'Process'!T41*'Control Room'!$H$7*INDEX('Control Room'!$B$19:$H$19,1,WEEKDAY($A41,2))*(1+'Control Room'!$D$9)^39*'Process'!U41),2),"")</x:f>
        <x:v>764.23</x:v>
      </x:c>
      <x:c r="G41" s="16" t="str">
        <x:f>IF(AND(AND(40&lt;='Control Room'!$B$3,'Control Room'!$D$3="Ready"),5&lt;='Control Room'!$B$2),ROUND(MAX(0,'Process'!Y41*'Control Room'!$H$8*INDEX('Control Room'!$B$19:$H$19,1,WEEKDAY($A41,2))*(1+'Control Room'!$D$9)^39*'Process'!Z41),2),"")</x:f>
      </x:c>
      <x:c r="H41" s="16" t="str">
        <x:f>IF(AND(AND(40&lt;='Control Room'!$B$3,'Control Room'!$D$3="Ready"),6&lt;='Control Room'!$B$2),ROUND(MAX(0,'Process'!AD41*'Control Room'!$H$9*INDEX('Control Room'!$B$19:$H$19,1,WEEKDAY($A41,2))*(1+'Control Room'!$D$9)^39*'Process'!AE41),2),"")</x:f>
      </x:c>
      <x:c r="I41" s="16" t="str">
        <x:f>IF(AND(AND(40&lt;='Control Room'!$B$3,'Control Room'!$D$3="Ready"),7&lt;='Control Room'!$B$2),ROUND(MAX(0,'Process'!AI41*'Control Room'!$H$10*INDEX('Control Room'!$B$19:$H$19,1,WEEKDAY($A41,2))*(1+'Control Room'!$D$9)^39*'Process'!AJ41),2),"")</x:f>
      </x:c>
      <x:c r="J41" s="16" t="str">
        <x:f>IF(AND(AND(40&lt;='Control Room'!$B$3,'Control Room'!$D$3="Ready"),8&lt;='Control Room'!$B$2),ROUND(MAX(0,'Process'!AN41*'Control Room'!$H$11*INDEX('Control Room'!$B$19:$H$19,1,WEEKDAY($A41,2))*(1+'Control Room'!$D$9)^39*'Process'!AO41),2),"")</x:f>
      </x:c>
      <x:c r="K41" s="16" t="str">
        <x:f>IF(AND(AND(40&lt;='Control Room'!$B$3,'Control Room'!$D$3="Ready"),9&lt;='Control Room'!$B$2),ROUND(MAX(0,'Process'!AS41*'Control Room'!$H$12*INDEX('Control Room'!$B$19:$H$19,1,WEEKDAY($A41,2))*(1+'Control Room'!$D$9)^39*'Process'!AT41),2),"")</x:f>
      </x:c>
      <x:c r="L41" s="16" t="str">
        <x:f>IF(AND(AND(40&lt;='Control Room'!$B$3,'Control Room'!$D$3="Ready"),10&lt;='Control Room'!$B$2),ROUND(MAX(0,'Process'!AX41*'Control Room'!$H$13*INDEX('Control Room'!$B$19:$H$19,1,WEEKDAY($A41,2))*(1+'Control Room'!$D$9)^39*'Process'!AY41),2),"")</x:f>
      </x:c>
      <x:c r="M41" s="16" t="str">
        <x:f>IF(AND(AND(40&lt;='Control Room'!$B$3,'Control Room'!$D$3="Ready"),11&lt;='Control Room'!$B$2),ROUND(MAX(0,'Process'!BC41*'Control Room'!$H$14*INDEX('Control Room'!$B$19:$H$19,1,WEEKDAY($A41,2))*(1+'Control Room'!$D$9)^39*'Process'!BD41),2),"")</x:f>
      </x:c>
      <x:c r="N41" s="16" t="str">
        <x:f>IF(AND(AND(40&lt;='Control Room'!$B$3,'Control Room'!$D$3="Ready"),12&lt;='Control Room'!$B$2),ROUND(MAX(0,'Process'!BH41*'Control Room'!$H$15*INDEX('Control Room'!$B$19:$H$19,1,WEEKDAY($A41,2))*(1+'Control Room'!$D$9)^39*'Process'!BI41),2),"")</x:f>
      </x:c>
    </x:row>
    <x:row r="42" ht="21" customHeight="1">
      <x:c r="A42" s="15" t="n">
        <x:f>IF(AND(41&lt;='Control Room'!$B$3,'Control Room'!$D$3="Ready"),'Process'!A42,"")</x:f>
        <x:v>73031</x:v>
      </x:c>
      <x:c r="B42" s="16" t="n">
        <x:f>IF(A42="","",SUM(C42:N42))</x:f>
        <x:v>3314.7900000000004</x:v>
      </x:c>
      <x:c r="C42" s="16" t="n">
        <x:f>IF(AND(AND(41&lt;='Control Room'!$B$3,'Control Room'!$D$3="Ready"),1&lt;='Control Room'!$B$2),ROUND(MAX(0,'Process'!E42*'Control Room'!$H$4*INDEX('Control Room'!$B$19:$H$19,1,WEEKDAY($A42,2))*(1+'Control Room'!$D$9)^40*'Process'!F42),2),"")</x:f>
        <x:v>832.17</x:v>
      </x:c>
      <x:c r="D42" s="16" t="n">
        <x:f>IF(AND(AND(41&lt;='Control Room'!$B$3,'Control Room'!$D$3="Ready"),2&lt;='Control Room'!$B$2),ROUND(MAX(0,'Process'!J42*'Control Room'!$H$5*INDEX('Control Room'!$B$19:$H$19,1,WEEKDAY($A42,2))*(1+'Control Room'!$D$9)^40*'Process'!K42),2),"")</x:f>
        <x:v>742.06</x:v>
      </x:c>
      <x:c r="E42" s="16" t="n">
        <x:f>IF(AND(AND(41&lt;='Control Room'!$B$3,'Control Room'!$D$3="Ready"),3&lt;='Control Room'!$B$2),ROUND(MAX(0,'Process'!O42*'Control Room'!$H$6*INDEX('Control Room'!$B$19:$H$19,1,WEEKDAY($A42,2))*(1+'Control Room'!$D$9)^40*'Process'!P42),2),"")</x:f>
        <x:v>1101.95</x:v>
      </x:c>
      <x:c r="F42" s="16" t="n">
        <x:f>IF(AND(AND(41&lt;='Control Room'!$B$3,'Control Room'!$D$3="Ready"),4&lt;='Control Room'!$B$2),ROUND(MAX(0,'Process'!T42*'Control Room'!$H$7*INDEX('Control Room'!$B$19:$H$19,1,WEEKDAY($A42,2))*(1+'Control Room'!$D$9)^40*'Process'!U42),2),"")</x:f>
        <x:v>638.61</x:v>
      </x:c>
      <x:c r="G42" s="16" t="str">
        <x:f>IF(AND(AND(41&lt;='Control Room'!$B$3,'Control Room'!$D$3="Ready"),5&lt;='Control Room'!$B$2),ROUND(MAX(0,'Process'!Y42*'Control Room'!$H$8*INDEX('Control Room'!$B$19:$H$19,1,WEEKDAY($A42,2))*(1+'Control Room'!$D$9)^40*'Process'!Z42),2),"")</x:f>
      </x:c>
      <x:c r="H42" s="16" t="str">
        <x:f>IF(AND(AND(41&lt;='Control Room'!$B$3,'Control Room'!$D$3="Ready"),6&lt;='Control Room'!$B$2),ROUND(MAX(0,'Process'!AD42*'Control Room'!$H$9*INDEX('Control Room'!$B$19:$H$19,1,WEEKDAY($A42,2))*(1+'Control Room'!$D$9)^40*'Process'!AE42),2),"")</x:f>
      </x:c>
      <x:c r="I42" s="16" t="str">
        <x:f>IF(AND(AND(41&lt;='Control Room'!$B$3,'Control Room'!$D$3="Ready"),7&lt;='Control Room'!$B$2),ROUND(MAX(0,'Process'!AI42*'Control Room'!$H$10*INDEX('Control Room'!$B$19:$H$19,1,WEEKDAY($A42,2))*(1+'Control Room'!$D$9)^40*'Process'!AJ42),2),"")</x:f>
      </x:c>
      <x:c r="J42" s="16" t="str">
        <x:f>IF(AND(AND(41&lt;='Control Room'!$B$3,'Control Room'!$D$3="Ready"),8&lt;='Control Room'!$B$2),ROUND(MAX(0,'Process'!AN42*'Control Room'!$H$11*INDEX('Control Room'!$B$19:$H$19,1,WEEKDAY($A42,2))*(1+'Control Room'!$D$9)^40*'Process'!AO42),2),"")</x:f>
      </x:c>
      <x:c r="K42" s="16" t="str">
        <x:f>IF(AND(AND(41&lt;='Control Room'!$B$3,'Control Room'!$D$3="Ready"),9&lt;='Control Room'!$B$2),ROUND(MAX(0,'Process'!AS42*'Control Room'!$H$12*INDEX('Control Room'!$B$19:$H$19,1,WEEKDAY($A42,2))*(1+'Control Room'!$D$9)^40*'Process'!AT42),2),"")</x:f>
      </x:c>
      <x:c r="L42" s="16" t="str">
        <x:f>IF(AND(AND(41&lt;='Control Room'!$B$3,'Control Room'!$D$3="Ready"),10&lt;='Control Room'!$B$2),ROUND(MAX(0,'Process'!AX42*'Control Room'!$H$13*INDEX('Control Room'!$B$19:$H$19,1,WEEKDAY($A42,2))*(1+'Control Room'!$D$9)^40*'Process'!AY42),2),"")</x:f>
      </x:c>
      <x:c r="M42" s="16" t="str">
        <x:f>IF(AND(AND(41&lt;='Control Room'!$B$3,'Control Room'!$D$3="Ready"),11&lt;='Control Room'!$B$2),ROUND(MAX(0,'Process'!BC42*'Control Room'!$H$14*INDEX('Control Room'!$B$19:$H$19,1,WEEKDAY($A42,2))*(1+'Control Room'!$D$9)^40*'Process'!BD42),2),"")</x:f>
      </x:c>
      <x:c r="N42" s="16" t="str">
        <x:f>IF(AND(AND(41&lt;='Control Room'!$B$3,'Control Room'!$D$3="Ready"),12&lt;='Control Room'!$B$2),ROUND(MAX(0,'Process'!BH42*'Control Room'!$H$15*INDEX('Control Room'!$B$19:$H$19,1,WEEKDAY($A42,2))*(1+'Control Room'!$D$9)^40*'Process'!BI42),2),"")</x:f>
      </x:c>
    </x:row>
    <x:row r="43" ht="21" customHeight="1">
      <x:c r="A43" s="15" t="n">
        <x:f>IF(AND(42&lt;='Control Room'!$B$3,'Control Room'!$D$3="Ready"),'Process'!A43,"")</x:f>
        <x:v>73032</x:v>
      </x:c>
      <x:c r="B43" s="16" t="n">
        <x:f>IF(A43="","",SUM(C43:N43))</x:f>
        <x:v>3855.5699999999997</x:v>
      </x:c>
      <x:c r="C43" s="16" t="n">
        <x:f>IF(AND(AND(42&lt;='Control Room'!$B$3,'Control Room'!$D$3="Ready"),1&lt;='Control Room'!$B$2),ROUND(MAX(0,'Process'!E43*'Control Room'!$H$4*INDEX('Control Room'!$B$19:$H$19,1,WEEKDAY($A43,2))*(1+'Control Room'!$D$9)^41*'Process'!F43),2),"")</x:f>
        <x:v>1170.05</x:v>
      </x:c>
      <x:c r="D43" s="16" t="n">
        <x:f>IF(AND(AND(42&lt;='Control Room'!$B$3,'Control Room'!$D$3="Ready"),2&lt;='Control Room'!$B$2),ROUND(MAX(0,'Process'!J43*'Control Room'!$H$5*INDEX('Control Room'!$B$19:$H$19,1,WEEKDAY($A43,2))*(1+'Control Room'!$D$9)^41*'Process'!K43),2),"")</x:f>
        <x:v>905.4</x:v>
      </x:c>
      <x:c r="E43" s="16" t="n">
        <x:f>IF(AND(AND(42&lt;='Control Room'!$B$3,'Control Room'!$D$3="Ready"),3&lt;='Control Room'!$B$2),ROUND(MAX(0,'Process'!O43*'Control Room'!$H$6*INDEX('Control Room'!$B$19:$H$19,1,WEEKDAY($A43,2))*(1+'Control Room'!$D$9)^41*'Process'!P43),2),"")</x:f>
        <x:v>1309.09</x:v>
      </x:c>
      <x:c r="F43" s="16" t="n">
        <x:f>IF(AND(AND(42&lt;='Control Room'!$B$3,'Control Room'!$D$3="Ready"),4&lt;='Control Room'!$B$2),ROUND(MAX(0,'Process'!T43*'Control Room'!$H$7*INDEX('Control Room'!$B$19:$H$19,1,WEEKDAY($A43,2))*(1+'Control Room'!$D$9)^41*'Process'!U43),2),"")</x:f>
        <x:v>471.03</x:v>
      </x:c>
      <x:c r="G43" s="16" t="str">
        <x:f>IF(AND(AND(42&lt;='Control Room'!$B$3,'Control Room'!$D$3="Ready"),5&lt;='Control Room'!$B$2),ROUND(MAX(0,'Process'!Y43*'Control Room'!$H$8*INDEX('Control Room'!$B$19:$H$19,1,WEEKDAY($A43,2))*(1+'Control Room'!$D$9)^41*'Process'!Z43),2),"")</x:f>
      </x:c>
      <x:c r="H43" s="16" t="str">
        <x:f>IF(AND(AND(42&lt;='Control Room'!$B$3,'Control Room'!$D$3="Ready"),6&lt;='Control Room'!$B$2),ROUND(MAX(0,'Process'!AD43*'Control Room'!$H$9*INDEX('Control Room'!$B$19:$H$19,1,WEEKDAY($A43,2))*(1+'Control Room'!$D$9)^41*'Process'!AE43),2),"")</x:f>
      </x:c>
      <x:c r="I43" s="16" t="str">
        <x:f>IF(AND(AND(42&lt;='Control Room'!$B$3,'Control Room'!$D$3="Ready"),7&lt;='Control Room'!$B$2),ROUND(MAX(0,'Process'!AI43*'Control Room'!$H$10*INDEX('Control Room'!$B$19:$H$19,1,WEEKDAY($A43,2))*(1+'Control Room'!$D$9)^41*'Process'!AJ43),2),"")</x:f>
      </x:c>
      <x:c r="J43" s="16" t="str">
        <x:f>IF(AND(AND(42&lt;='Control Room'!$B$3,'Control Room'!$D$3="Ready"),8&lt;='Control Room'!$B$2),ROUND(MAX(0,'Process'!AN43*'Control Room'!$H$11*INDEX('Control Room'!$B$19:$H$19,1,WEEKDAY($A43,2))*(1+'Control Room'!$D$9)^41*'Process'!AO43),2),"")</x:f>
      </x:c>
      <x:c r="K43" s="16" t="str">
        <x:f>IF(AND(AND(42&lt;='Control Room'!$B$3,'Control Room'!$D$3="Ready"),9&lt;='Control Room'!$B$2),ROUND(MAX(0,'Process'!AS43*'Control Room'!$H$12*INDEX('Control Room'!$B$19:$H$19,1,WEEKDAY($A43,2))*(1+'Control Room'!$D$9)^41*'Process'!AT43),2),"")</x:f>
      </x:c>
      <x:c r="L43" s="16" t="str">
        <x:f>IF(AND(AND(42&lt;='Control Room'!$B$3,'Control Room'!$D$3="Ready"),10&lt;='Control Room'!$B$2),ROUND(MAX(0,'Process'!AX43*'Control Room'!$H$13*INDEX('Control Room'!$B$19:$H$19,1,WEEKDAY($A43,2))*(1+'Control Room'!$D$9)^41*'Process'!AY43),2),"")</x:f>
      </x:c>
      <x:c r="M43" s="16" t="str">
        <x:f>IF(AND(AND(42&lt;='Control Room'!$B$3,'Control Room'!$D$3="Ready"),11&lt;='Control Room'!$B$2),ROUND(MAX(0,'Process'!BC43*'Control Room'!$H$14*INDEX('Control Room'!$B$19:$H$19,1,WEEKDAY($A43,2))*(1+'Control Room'!$D$9)^41*'Process'!BD43),2),"")</x:f>
      </x:c>
      <x:c r="N43" s="16" t="str">
        <x:f>IF(AND(AND(42&lt;='Control Room'!$B$3,'Control Room'!$D$3="Ready"),12&lt;='Control Room'!$B$2),ROUND(MAX(0,'Process'!BH43*'Control Room'!$H$15*INDEX('Control Room'!$B$19:$H$19,1,WEEKDAY($A43,2))*(1+'Control Room'!$D$9)^41*'Process'!BI43),2),"")</x:f>
      </x:c>
    </x:row>
    <x:row r="44" ht="21" customHeight="1">
      <x:c r="A44" s="15" t="n">
        <x:f>IF(AND(43&lt;='Control Room'!$B$3,'Control Room'!$D$3="Ready"),'Process'!A44,"")</x:f>
        <x:v>73033</x:v>
      </x:c>
      <x:c r="B44" s="16" t="n">
        <x:f>IF(A44="","",SUM(C44:N44))</x:f>
        <x:v>11222.01</x:v>
      </x:c>
      <x:c r="C44" s="16" t="n">
        <x:f>IF(AND(AND(43&lt;='Control Room'!$B$3,'Control Room'!$D$3="Ready"),1&lt;='Control Room'!$B$2),ROUND(MAX(0,'Process'!E44*'Control Room'!$H$4*INDEX('Control Room'!$B$19:$H$19,1,WEEKDAY($A44,2))*(1+'Control Room'!$D$9)^42*'Process'!F44),2),"")</x:f>
        <x:v>3800.58</x:v>
      </x:c>
      <x:c r="D44" s="16" t="n">
        <x:f>IF(AND(AND(43&lt;='Control Room'!$B$3,'Control Room'!$D$3="Ready"),2&lt;='Control Room'!$B$2),ROUND(MAX(0,'Process'!J44*'Control Room'!$H$5*INDEX('Control Room'!$B$19:$H$19,1,WEEKDAY($A44,2))*(1+'Control Room'!$D$9)^42*'Process'!K44),2),"")</x:f>
        <x:v>2635.27</x:v>
      </x:c>
      <x:c r="E44" s="16" t="n">
        <x:f>IF(AND(AND(43&lt;='Control Room'!$B$3,'Control Room'!$D$3="Ready"),3&lt;='Control Room'!$B$2),ROUND(MAX(0,'Process'!O44*'Control Room'!$H$6*INDEX('Control Room'!$B$19:$H$19,1,WEEKDAY($A44,2))*(1+'Control Room'!$D$9)^42*'Process'!P44),2),"")</x:f>
        <x:v>4008.77</x:v>
      </x:c>
      <x:c r="F44" s="16" t="n">
        <x:f>IF(AND(AND(43&lt;='Control Room'!$B$3,'Control Room'!$D$3="Ready"),4&lt;='Control Room'!$B$2),ROUND(MAX(0,'Process'!T44*'Control Room'!$H$7*INDEX('Control Room'!$B$19:$H$19,1,WEEKDAY($A44,2))*(1+'Control Room'!$D$9)^42*'Process'!U44),2),"")</x:f>
        <x:v>777.39</x:v>
      </x:c>
      <x:c r="G44" s="16" t="str">
        <x:f>IF(AND(AND(43&lt;='Control Room'!$B$3,'Control Room'!$D$3="Ready"),5&lt;='Control Room'!$B$2),ROUND(MAX(0,'Process'!Y44*'Control Room'!$H$8*INDEX('Control Room'!$B$19:$H$19,1,WEEKDAY($A44,2))*(1+'Control Room'!$D$9)^42*'Process'!Z44),2),"")</x:f>
      </x:c>
      <x:c r="H44" s="16" t="str">
        <x:f>IF(AND(AND(43&lt;='Control Room'!$B$3,'Control Room'!$D$3="Ready"),6&lt;='Control Room'!$B$2),ROUND(MAX(0,'Process'!AD44*'Control Room'!$H$9*INDEX('Control Room'!$B$19:$H$19,1,WEEKDAY($A44,2))*(1+'Control Room'!$D$9)^42*'Process'!AE44),2),"")</x:f>
      </x:c>
      <x:c r="I44" s="16" t="str">
        <x:f>IF(AND(AND(43&lt;='Control Room'!$B$3,'Control Room'!$D$3="Ready"),7&lt;='Control Room'!$B$2),ROUND(MAX(0,'Process'!AI44*'Control Room'!$H$10*INDEX('Control Room'!$B$19:$H$19,1,WEEKDAY($A44,2))*(1+'Control Room'!$D$9)^42*'Process'!AJ44),2),"")</x:f>
      </x:c>
      <x:c r="J44" s="16" t="str">
        <x:f>IF(AND(AND(43&lt;='Control Room'!$B$3,'Control Room'!$D$3="Ready"),8&lt;='Control Room'!$B$2),ROUND(MAX(0,'Process'!AN44*'Control Room'!$H$11*INDEX('Control Room'!$B$19:$H$19,1,WEEKDAY($A44,2))*(1+'Control Room'!$D$9)^42*'Process'!AO44),2),"")</x:f>
      </x:c>
      <x:c r="K44" s="16" t="str">
        <x:f>IF(AND(AND(43&lt;='Control Room'!$B$3,'Control Room'!$D$3="Ready"),9&lt;='Control Room'!$B$2),ROUND(MAX(0,'Process'!AS44*'Control Room'!$H$12*INDEX('Control Room'!$B$19:$H$19,1,WEEKDAY($A44,2))*(1+'Control Room'!$D$9)^42*'Process'!AT44),2),"")</x:f>
      </x:c>
      <x:c r="L44" s="16" t="str">
        <x:f>IF(AND(AND(43&lt;='Control Room'!$B$3,'Control Room'!$D$3="Ready"),10&lt;='Control Room'!$B$2),ROUND(MAX(0,'Process'!AX44*'Control Room'!$H$13*INDEX('Control Room'!$B$19:$H$19,1,WEEKDAY($A44,2))*(1+'Control Room'!$D$9)^42*'Process'!AY44),2),"")</x:f>
      </x:c>
      <x:c r="M44" s="16" t="str">
        <x:f>IF(AND(AND(43&lt;='Control Room'!$B$3,'Control Room'!$D$3="Ready"),11&lt;='Control Room'!$B$2),ROUND(MAX(0,'Process'!BC44*'Control Room'!$H$14*INDEX('Control Room'!$B$19:$H$19,1,WEEKDAY($A44,2))*(1+'Control Room'!$D$9)^42*'Process'!BD44),2),"")</x:f>
      </x:c>
      <x:c r="N44" s="16" t="str">
        <x:f>IF(AND(AND(43&lt;='Control Room'!$B$3,'Control Room'!$D$3="Ready"),12&lt;='Control Room'!$B$2),ROUND(MAX(0,'Process'!BH44*'Control Room'!$H$15*INDEX('Control Room'!$B$19:$H$19,1,WEEKDAY($A44,2))*(1+'Control Room'!$D$9)^42*'Process'!BI44),2),"")</x:f>
      </x:c>
    </x:row>
    <x:row r="45" ht="21" customHeight="1">
      <x:c r="A45" s="15" t="n">
        <x:f>IF(AND(44&lt;='Control Room'!$B$3,'Control Room'!$D$3="Ready"),'Process'!A45,"")</x:f>
        <x:v>73034</x:v>
      </x:c>
      <x:c r="B45" s="16" t="n">
        <x:f>IF(A45="","",SUM(C45:N45))</x:f>
        <x:v>11455.67</x:v>
      </x:c>
      <x:c r="C45" s="16" t="n">
        <x:f>IF(AND(AND(44&lt;='Control Room'!$B$3,'Control Room'!$D$3="Ready"),1&lt;='Control Room'!$B$2),ROUND(MAX(0,'Process'!E45*'Control Room'!$H$4*INDEX('Control Room'!$B$19:$H$19,1,WEEKDAY($A45,2))*(1+'Control Room'!$D$9)^43*'Process'!F45),2),"")</x:f>
        <x:v>3948.42</x:v>
      </x:c>
      <x:c r="D45" s="16" t="n">
        <x:f>IF(AND(AND(44&lt;='Control Room'!$B$3,'Control Room'!$D$3="Ready"),2&lt;='Control Room'!$B$2),ROUND(MAX(0,'Process'!J45*'Control Room'!$H$5*INDEX('Control Room'!$B$19:$H$19,1,WEEKDAY($A45,2))*(1+'Control Room'!$D$9)^43*'Process'!K45),2),"")</x:f>
        <x:v>2973.26</x:v>
      </x:c>
      <x:c r="E45" s="16" t="n">
        <x:f>IF(AND(AND(44&lt;='Control Room'!$B$3,'Control Room'!$D$3="Ready"),3&lt;='Control Room'!$B$2),ROUND(MAX(0,'Process'!O45*'Control Room'!$H$6*INDEX('Control Room'!$B$19:$H$19,1,WEEKDAY($A45,2))*(1+'Control Room'!$D$9)^43*'Process'!P45),2),"")</x:f>
        <x:v>3684.85</x:v>
      </x:c>
      <x:c r="F45" s="16" t="n">
        <x:f>IF(AND(AND(44&lt;='Control Room'!$B$3,'Control Room'!$D$3="Ready"),4&lt;='Control Room'!$B$2),ROUND(MAX(0,'Process'!T45*'Control Room'!$H$7*INDEX('Control Room'!$B$19:$H$19,1,WEEKDAY($A45,2))*(1+'Control Room'!$D$9)^43*'Process'!U45),2),"")</x:f>
        <x:v>849.14</x:v>
      </x:c>
      <x:c r="G45" s="16" t="str">
        <x:f>IF(AND(AND(44&lt;='Control Room'!$B$3,'Control Room'!$D$3="Ready"),5&lt;='Control Room'!$B$2),ROUND(MAX(0,'Process'!Y45*'Control Room'!$H$8*INDEX('Control Room'!$B$19:$H$19,1,WEEKDAY($A45,2))*(1+'Control Room'!$D$9)^43*'Process'!Z45),2),"")</x:f>
      </x:c>
      <x:c r="H45" s="16" t="str">
        <x:f>IF(AND(AND(44&lt;='Control Room'!$B$3,'Control Room'!$D$3="Ready"),6&lt;='Control Room'!$B$2),ROUND(MAX(0,'Process'!AD45*'Control Room'!$H$9*INDEX('Control Room'!$B$19:$H$19,1,WEEKDAY($A45,2))*(1+'Control Room'!$D$9)^43*'Process'!AE45),2),"")</x:f>
      </x:c>
      <x:c r="I45" s="16" t="str">
        <x:f>IF(AND(AND(44&lt;='Control Room'!$B$3,'Control Room'!$D$3="Ready"),7&lt;='Control Room'!$B$2),ROUND(MAX(0,'Process'!AI45*'Control Room'!$H$10*INDEX('Control Room'!$B$19:$H$19,1,WEEKDAY($A45,2))*(1+'Control Room'!$D$9)^43*'Process'!AJ45),2),"")</x:f>
      </x:c>
      <x:c r="J45" s="16" t="str">
        <x:f>IF(AND(AND(44&lt;='Control Room'!$B$3,'Control Room'!$D$3="Ready"),8&lt;='Control Room'!$B$2),ROUND(MAX(0,'Process'!AN45*'Control Room'!$H$11*INDEX('Control Room'!$B$19:$H$19,1,WEEKDAY($A45,2))*(1+'Control Room'!$D$9)^43*'Process'!AO45),2),"")</x:f>
      </x:c>
      <x:c r="K45" s="16" t="str">
        <x:f>IF(AND(AND(44&lt;='Control Room'!$B$3,'Control Room'!$D$3="Ready"),9&lt;='Control Room'!$B$2),ROUND(MAX(0,'Process'!AS45*'Control Room'!$H$12*INDEX('Control Room'!$B$19:$H$19,1,WEEKDAY($A45,2))*(1+'Control Room'!$D$9)^43*'Process'!AT45),2),"")</x:f>
      </x:c>
      <x:c r="L45" s="16" t="str">
        <x:f>IF(AND(AND(44&lt;='Control Room'!$B$3,'Control Room'!$D$3="Ready"),10&lt;='Control Room'!$B$2),ROUND(MAX(0,'Process'!AX45*'Control Room'!$H$13*INDEX('Control Room'!$B$19:$H$19,1,WEEKDAY($A45,2))*(1+'Control Room'!$D$9)^43*'Process'!AY45),2),"")</x:f>
      </x:c>
      <x:c r="M45" s="16" t="str">
        <x:f>IF(AND(AND(44&lt;='Control Room'!$B$3,'Control Room'!$D$3="Ready"),11&lt;='Control Room'!$B$2),ROUND(MAX(0,'Process'!BC45*'Control Room'!$H$14*INDEX('Control Room'!$B$19:$H$19,1,WEEKDAY($A45,2))*(1+'Control Room'!$D$9)^43*'Process'!BD45),2),"")</x:f>
      </x:c>
      <x:c r="N45" s="16" t="str">
        <x:f>IF(AND(AND(44&lt;='Control Room'!$B$3,'Control Room'!$D$3="Ready"),12&lt;='Control Room'!$B$2),ROUND(MAX(0,'Process'!BH45*'Control Room'!$H$15*INDEX('Control Room'!$B$19:$H$19,1,WEEKDAY($A45,2))*(1+'Control Room'!$D$9)^43*'Process'!BI45),2),"")</x:f>
      </x:c>
    </x:row>
    <x:row r="46" ht="21" customHeight="1">
      <x:c r="A46" s="15" t="n">
        <x:f>IF(AND(45&lt;='Control Room'!$B$3,'Control Room'!$D$3="Ready"),'Process'!A46,"")</x:f>
        <x:v>73035</x:v>
      </x:c>
      <x:c r="B46" s="16" t="n">
        <x:f>IF(A46="","",SUM(C46:N46))</x:f>
        <x:v>6800.39</x:v>
      </x:c>
      <x:c r="C46" s="16" t="n">
        <x:f>IF(AND(AND(45&lt;='Control Room'!$B$3,'Control Room'!$D$3="Ready"),1&lt;='Control Room'!$B$2),ROUND(MAX(0,'Process'!E46*'Control Room'!$H$4*INDEX('Control Room'!$B$19:$H$19,1,WEEKDAY($A46,2))*(1+'Control Room'!$D$9)^44*'Process'!F46),2),"")</x:f>
        <x:v>2018.83</x:v>
      </x:c>
      <x:c r="D46" s="16" t="n">
        <x:f>IF(AND(AND(45&lt;='Control Room'!$B$3,'Control Room'!$D$3="Ready"),2&lt;='Control Room'!$B$2),ROUND(MAX(0,'Process'!J46*'Control Room'!$H$5*INDEX('Control Room'!$B$19:$H$19,1,WEEKDAY($A46,2))*(1+'Control Room'!$D$9)^44*'Process'!K46),2),"")</x:f>
        <x:v>1760.38</x:v>
      </x:c>
      <x:c r="E46" s="16" t="n">
        <x:f>IF(AND(AND(45&lt;='Control Room'!$B$3,'Control Room'!$D$3="Ready"),3&lt;='Control Room'!$B$2),ROUND(MAX(0,'Process'!O46*'Control Room'!$H$6*INDEX('Control Room'!$B$19:$H$19,1,WEEKDAY($A46,2))*(1+'Control Room'!$D$9)^44*'Process'!P46),2),"")</x:f>
        <x:v>2222.82</x:v>
      </x:c>
      <x:c r="F46" s="16" t="n">
        <x:f>IF(AND(AND(45&lt;='Control Room'!$B$3,'Control Room'!$D$3="Ready"),4&lt;='Control Room'!$B$2),ROUND(MAX(0,'Process'!T46*'Control Room'!$H$7*INDEX('Control Room'!$B$19:$H$19,1,WEEKDAY($A46,2))*(1+'Control Room'!$D$9)^44*'Process'!U46),2),"")</x:f>
        <x:v>798.36</x:v>
      </x:c>
      <x:c r="G46" s="16" t="str">
        <x:f>IF(AND(AND(45&lt;='Control Room'!$B$3,'Control Room'!$D$3="Ready"),5&lt;='Control Room'!$B$2),ROUND(MAX(0,'Process'!Y46*'Control Room'!$H$8*INDEX('Control Room'!$B$19:$H$19,1,WEEKDAY($A46,2))*(1+'Control Room'!$D$9)^44*'Process'!Z46),2),"")</x:f>
      </x:c>
      <x:c r="H46" s="16" t="str">
        <x:f>IF(AND(AND(45&lt;='Control Room'!$B$3,'Control Room'!$D$3="Ready"),6&lt;='Control Room'!$B$2),ROUND(MAX(0,'Process'!AD46*'Control Room'!$H$9*INDEX('Control Room'!$B$19:$H$19,1,WEEKDAY($A46,2))*(1+'Control Room'!$D$9)^44*'Process'!AE46),2),"")</x:f>
      </x:c>
      <x:c r="I46" s="16" t="str">
        <x:f>IF(AND(AND(45&lt;='Control Room'!$B$3,'Control Room'!$D$3="Ready"),7&lt;='Control Room'!$B$2),ROUND(MAX(0,'Process'!AI46*'Control Room'!$H$10*INDEX('Control Room'!$B$19:$H$19,1,WEEKDAY($A46,2))*(1+'Control Room'!$D$9)^44*'Process'!AJ46),2),"")</x:f>
      </x:c>
      <x:c r="J46" s="16" t="str">
        <x:f>IF(AND(AND(45&lt;='Control Room'!$B$3,'Control Room'!$D$3="Ready"),8&lt;='Control Room'!$B$2),ROUND(MAX(0,'Process'!AN46*'Control Room'!$H$11*INDEX('Control Room'!$B$19:$H$19,1,WEEKDAY($A46,2))*(1+'Control Room'!$D$9)^44*'Process'!AO46),2),"")</x:f>
      </x:c>
      <x:c r="K46" s="16" t="str">
        <x:f>IF(AND(AND(45&lt;='Control Room'!$B$3,'Control Room'!$D$3="Ready"),9&lt;='Control Room'!$B$2),ROUND(MAX(0,'Process'!AS46*'Control Room'!$H$12*INDEX('Control Room'!$B$19:$H$19,1,WEEKDAY($A46,2))*(1+'Control Room'!$D$9)^44*'Process'!AT46),2),"")</x:f>
      </x:c>
      <x:c r="L46" s="16" t="str">
        <x:f>IF(AND(AND(45&lt;='Control Room'!$B$3,'Control Room'!$D$3="Ready"),10&lt;='Control Room'!$B$2),ROUND(MAX(0,'Process'!AX46*'Control Room'!$H$13*INDEX('Control Room'!$B$19:$H$19,1,WEEKDAY($A46,2))*(1+'Control Room'!$D$9)^44*'Process'!AY46),2),"")</x:f>
      </x:c>
      <x:c r="M46" s="16" t="str">
        <x:f>IF(AND(AND(45&lt;='Control Room'!$B$3,'Control Room'!$D$3="Ready"),11&lt;='Control Room'!$B$2),ROUND(MAX(0,'Process'!BC46*'Control Room'!$H$14*INDEX('Control Room'!$B$19:$H$19,1,WEEKDAY($A46,2))*(1+'Control Room'!$D$9)^44*'Process'!BD46),2),"")</x:f>
      </x:c>
      <x:c r="N46" s="16" t="str">
        <x:f>IF(AND(AND(45&lt;='Control Room'!$B$3,'Control Room'!$D$3="Ready"),12&lt;='Control Room'!$B$2),ROUND(MAX(0,'Process'!BH46*'Control Room'!$H$15*INDEX('Control Room'!$B$19:$H$19,1,WEEKDAY($A46,2))*(1+'Control Room'!$D$9)^44*'Process'!BI46),2),"")</x:f>
      </x:c>
    </x:row>
    <x:row r="47" ht="21" customHeight="1">
      <x:c r="A47" s="15" t="n">
        <x:f>IF(AND(46&lt;='Control Room'!$B$3,'Control Room'!$D$3="Ready"),'Process'!A47,"")</x:f>
        <x:v>73036</x:v>
      </x:c>
      <x:c r="B47" s="16" t="n">
        <x:f>IF(A47="","",SUM(C47:N47))</x:f>
        <x:v>4001.2799999999997</x:v>
      </x:c>
      <x:c r="C47" s="16" t="n">
        <x:f>IF(AND(AND(46&lt;='Control Room'!$B$3,'Control Room'!$D$3="Ready"),1&lt;='Control Room'!$B$2),ROUND(MAX(0,'Process'!E47*'Control Room'!$H$4*INDEX('Control Room'!$B$19:$H$19,1,WEEKDAY($A47,2))*(1+'Control Room'!$D$9)^45*'Process'!F47),2),"")</x:f>
        <x:v>1030.23</x:v>
      </x:c>
      <x:c r="D47" s="16" t="n">
        <x:f>IF(AND(AND(46&lt;='Control Room'!$B$3,'Control Room'!$D$3="Ready"),2&lt;='Control Room'!$B$2),ROUND(MAX(0,'Process'!J47*'Control Room'!$H$5*INDEX('Control Room'!$B$19:$H$19,1,WEEKDAY($A47,2))*(1+'Control Room'!$D$9)^45*'Process'!K47),2),"")</x:f>
        <x:v>892.66</x:v>
      </x:c>
      <x:c r="E47" s="16" t="n">
        <x:f>IF(AND(AND(46&lt;='Control Room'!$B$3,'Control Room'!$D$3="Ready"),3&lt;='Control Room'!$B$2),ROUND(MAX(0,'Process'!O47*'Control Room'!$H$6*INDEX('Control Room'!$B$19:$H$19,1,WEEKDAY($A47,2))*(1+'Control Room'!$D$9)^45*'Process'!P47),2),"")</x:f>
        <x:v>1278.43</x:v>
      </x:c>
      <x:c r="F47" s="16" t="n">
        <x:f>IF(AND(AND(46&lt;='Control Room'!$B$3,'Control Room'!$D$3="Ready"),4&lt;='Control Room'!$B$2),ROUND(MAX(0,'Process'!T47*'Control Room'!$H$7*INDEX('Control Room'!$B$19:$H$19,1,WEEKDAY($A47,2))*(1+'Control Room'!$D$9)^45*'Process'!U47),2),"")</x:f>
        <x:v>799.96</x:v>
      </x:c>
      <x:c r="G47" s="16" t="str">
        <x:f>IF(AND(AND(46&lt;='Control Room'!$B$3,'Control Room'!$D$3="Ready"),5&lt;='Control Room'!$B$2),ROUND(MAX(0,'Process'!Y47*'Control Room'!$H$8*INDEX('Control Room'!$B$19:$H$19,1,WEEKDAY($A47,2))*(1+'Control Room'!$D$9)^45*'Process'!Z47),2),"")</x:f>
      </x:c>
      <x:c r="H47" s="16" t="str">
        <x:f>IF(AND(AND(46&lt;='Control Room'!$B$3,'Control Room'!$D$3="Ready"),6&lt;='Control Room'!$B$2),ROUND(MAX(0,'Process'!AD47*'Control Room'!$H$9*INDEX('Control Room'!$B$19:$H$19,1,WEEKDAY($A47,2))*(1+'Control Room'!$D$9)^45*'Process'!AE47),2),"")</x:f>
      </x:c>
      <x:c r="I47" s="16" t="str">
        <x:f>IF(AND(AND(46&lt;='Control Room'!$B$3,'Control Room'!$D$3="Ready"),7&lt;='Control Room'!$B$2),ROUND(MAX(0,'Process'!AI47*'Control Room'!$H$10*INDEX('Control Room'!$B$19:$H$19,1,WEEKDAY($A47,2))*(1+'Control Room'!$D$9)^45*'Process'!AJ47),2),"")</x:f>
      </x:c>
      <x:c r="J47" s="16" t="str">
        <x:f>IF(AND(AND(46&lt;='Control Room'!$B$3,'Control Room'!$D$3="Ready"),8&lt;='Control Room'!$B$2),ROUND(MAX(0,'Process'!AN47*'Control Room'!$H$11*INDEX('Control Room'!$B$19:$H$19,1,WEEKDAY($A47,2))*(1+'Control Room'!$D$9)^45*'Process'!AO47),2),"")</x:f>
      </x:c>
      <x:c r="K47" s="16" t="str">
        <x:f>IF(AND(AND(46&lt;='Control Room'!$B$3,'Control Room'!$D$3="Ready"),9&lt;='Control Room'!$B$2),ROUND(MAX(0,'Process'!AS47*'Control Room'!$H$12*INDEX('Control Room'!$B$19:$H$19,1,WEEKDAY($A47,2))*(1+'Control Room'!$D$9)^45*'Process'!AT47),2),"")</x:f>
      </x:c>
      <x:c r="L47" s="16" t="str">
        <x:f>IF(AND(AND(46&lt;='Control Room'!$B$3,'Control Room'!$D$3="Ready"),10&lt;='Control Room'!$B$2),ROUND(MAX(0,'Process'!AX47*'Control Room'!$H$13*INDEX('Control Room'!$B$19:$H$19,1,WEEKDAY($A47,2))*(1+'Control Room'!$D$9)^45*'Process'!AY47),2),"")</x:f>
      </x:c>
      <x:c r="M47" s="16" t="str">
        <x:f>IF(AND(AND(46&lt;='Control Room'!$B$3,'Control Room'!$D$3="Ready"),11&lt;='Control Room'!$B$2),ROUND(MAX(0,'Process'!BC47*'Control Room'!$H$14*INDEX('Control Room'!$B$19:$H$19,1,WEEKDAY($A47,2))*(1+'Control Room'!$D$9)^45*'Process'!BD47),2),"")</x:f>
      </x:c>
      <x:c r="N47" s="16" t="str">
        <x:f>IF(AND(AND(46&lt;='Control Room'!$B$3,'Control Room'!$D$3="Ready"),12&lt;='Control Room'!$B$2),ROUND(MAX(0,'Process'!BH47*'Control Room'!$H$15*INDEX('Control Room'!$B$19:$H$19,1,WEEKDAY($A47,2))*(1+'Control Room'!$D$9)^45*'Process'!BI47),2),"")</x:f>
      </x:c>
    </x:row>
    <x:row r="48" ht="21" customHeight="1">
      <x:c r="A48" s="15" t="n">
        <x:f>IF(AND(47&lt;='Control Room'!$B$3,'Control Room'!$D$3="Ready"),'Process'!A48,"")</x:f>
        <x:v>73037</x:v>
      </x:c>
      <x:c r="B48" s="16" t="n">
        <x:f>IF(A48="","",SUM(C48:N48))</x:f>
        <x:v>3997.8</x:v>
      </x:c>
      <x:c r="C48" s="16" t="n">
        <x:f>IF(AND(AND(47&lt;='Control Room'!$B$3,'Control Room'!$D$3="Ready"),1&lt;='Control Room'!$B$2),ROUND(MAX(0,'Process'!E48*'Control Room'!$H$4*INDEX('Control Room'!$B$19:$H$19,1,WEEKDAY($A48,2))*(1+'Control Room'!$D$9)^46*'Process'!F48),2),"")</x:f>
        <x:v>1098.62</x:v>
      </x:c>
      <x:c r="D48" s="16" t="n">
        <x:f>IF(AND(AND(47&lt;='Control Room'!$B$3,'Control Room'!$D$3="Ready"),2&lt;='Control Room'!$B$2),ROUND(MAX(0,'Process'!J48*'Control Room'!$H$5*INDEX('Control Room'!$B$19:$H$19,1,WEEKDAY($A48,2))*(1+'Control Room'!$D$9)^46*'Process'!K48),2),"")</x:f>
        <x:v>926.15</x:v>
      </x:c>
      <x:c r="E48" s="16" t="n">
        <x:f>IF(AND(AND(47&lt;='Control Room'!$B$3,'Control Room'!$D$3="Ready"),3&lt;='Control Room'!$B$2),ROUND(MAX(0,'Process'!O48*'Control Room'!$H$6*INDEX('Control Room'!$B$19:$H$19,1,WEEKDAY($A48,2))*(1+'Control Room'!$D$9)^46*'Process'!P48),2),"")</x:f>
        <x:v>1154.31</x:v>
      </x:c>
      <x:c r="F48" s="16" t="n">
        <x:f>IF(AND(AND(47&lt;='Control Room'!$B$3,'Control Room'!$D$3="Ready"),4&lt;='Control Room'!$B$2),ROUND(MAX(0,'Process'!T48*'Control Room'!$H$7*INDEX('Control Room'!$B$19:$H$19,1,WEEKDAY($A48,2))*(1+'Control Room'!$D$9)^46*'Process'!U48),2),"")</x:f>
        <x:v>818.72</x:v>
      </x:c>
      <x:c r="G48" s="16" t="str">
        <x:f>IF(AND(AND(47&lt;='Control Room'!$B$3,'Control Room'!$D$3="Ready"),5&lt;='Control Room'!$B$2),ROUND(MAX(0,'Process'!Y48*'Control Room'!$H$8*INDEX('Control Room'!$B$19:$H$19,1,WEEKDAY($A48,2))*(1+'Control Room'!$D$9)^46*'Process'!Z48),2),"")</x:f>
      </x:c>
      <x:c r="H48" s="16" t="str">
        <x:f>IF(AND(AND(47&lt;='Control Room'!$B$3,'Control Room'!$D$3="Ready"),6&lt;='Control Room'!$B$2),ROUND(MAX(0,'Process'!AD48*'Control Room'!$H$9*INDEX('Control Room'!$B$19:$H$19,1,WEEKDAY($A48,2))*(1+'Control Room'!$D$9)^46*'Process'!AE48),2),"")</x:f>
      </x:c>
      <x:c r="I48" s="16" t="str">
        <x:f>IF(AND(AND(47&lt;='Control Room'!$B$3,'Control Room'!$D$3="Ready"),7&lt;='Control Room'!$B$2),ROUND(MAX(0,'Process'!AI48*'Control Room'!$H$10*INDEX('Control Room'!$B$19:$H$19,1,WEEKDAY($A48,2))*(1+'Control Room'!$D$9)^46*'Process'!AJ48),2),"")</x:f>
      </x:c>
      <x:c r="J48" s="16" t="str">
        <x:f>IF(AND(AND(47&lt;='Control Room'!$B$3,'Control Room'!$D$3="Ready"),8&lt;='Control Room'!$B$2),ROUND(MAX(0,'Process'!AN48*'Control Room'!$H$11*INDEX('Control Room'!$B$19:$H$19,1,WEEKDAY($A48,2))*(1+'Control Room'!$D$9)^46*'Process'!AO48),2),"")</x:f>
      </x:c>
      <x:c r="K48" s="16" t="str">
        <x:f>IF(AND(AND(47&lt;='Control Room'!$B$3,'Control Room'!$D$3="Ready"),9&lt;='Control Room'!$B$2),ROUND(MAX(0,'Process'!AS48*'Control Room'!$H$12*INDEX('Control Room'!$B$19:$H$19,1,WEEKDAY($A48,2))*(1+'Control Room'!$D$9)^46*'Process'!AT48),2),"")</x:f>
      </x:c>
      <x:c r="L48" s="16" t="str">
        <x:f>IF(AND(AND(47&lt;='Control Room'!$B$3,'Control Room'!$D$3="Ready"),10&lt;='Control Room'!$B$2),ROUND(MAX(0,'Process'!AX48*'Control Room'!$H$13*INDEX('Control Room'!$B$19:$H$19,1,WEEKDAY($A48,2))*(1+'Control Room'!$D$9)^46*'Process'!AY48),2),"")</x:f>
      </x:c>
      <x:c r="M48" s="16" t="str">
        <x:f>IF(AND(AND(47&lt;='Control Room'!$B$3,'Control Room'!$D$3="Ready"),11&lt;='Control Room'!$B$2),ROUND(MAX(0,'Process'!BC48*'Control Room'!$H$14*INDEX('Control Room'!$B$19:$H$19,1,WEEKDAY($A48,2))*(1+'Control Room'!$D$9)^46*'Process'!BD48),2),"")</x:f>
      </x:c>
      <x:c r="N48" s="16" t="str">
        <x:f>IF(AND(AND(47&lt;='Control Room'!$B$3,'Control Room'!$D$3="Ready"),12&lt;='Control Room'!$B$2),ROUND(MAX(0,'Process'!BH48*'Control Room'!$H$15*INDEX('Control Room'!$B$19:$H$19,1,WEEKDAY($A48,2))*(1+'Control Room'!$D$9)^46*'Process'!BI48),2),"")</x:f>
      </x:c>
    </x:row>
    <x:row r="49" ht="21" customHeight="1">
      <x:c r="A49" s="15" t="n">
        <x:f>IF(AND(48&lt;='Control Room'!$B$3,'Control Room'!$D$3="Ready"),'Process'!A49,"")</x:f>
        <x:v>73038</x:v>
      </x:c>
      <x:c r="B49" s="16" t="n">
        <x:f>IF(A49="","",SUM(C49:N49))</x:f>
        <x:v>3489.7</x:v>
      </x:c>
      <x:c r="C49" s="16" t="n">
        <x:f>IF(AND(AND(48&lt;='Control Room'!$B$3,'Control Room'!$D$3="Ready"),1&lt;='Control Room'!$B$2),ROUND(MAX(0,'Process'!E49*'Control Room'!$H$4*INDEX('Control Room'!$B$19:$H$19,1,WEEKDAY($A49,2))*(1+'Control Room'!$D$9)^47*'Process'!F49),2),"")</x:f>
        <x:v>885.78</x:v>
      </x:c>
      <x:c r="D49" s="16" t="n">
        <x:f>IF(AND(AND(48&lt;='Control Room'!$B$3,'Control Room'!$D$3="Ready"),2&lt;='Control Room'!$B$2),ROUND(MAX(0,'Process'!J49*'Control Room'!$H$5*INDEX('Control Room'!$B$19:$H$19,1,WEEKDAY($A49,2))*(1+'Control Room'!$D$9)^47*'Process'!K49),2),"")</x:f>
        <x:v>805.13</x:v>
      </x:c>
      <x:c r="E49" s="16" t="n">
        <x:f>IF(AND(AND(48&lt;='Control Room'!$B$3,'Control Room'!$D$3="Ready"),3&lt;='Control Room'!$B$2),ROUND(MAX(0,'Process'!O49*'Control Room'!$H$6*INDEX('Control Room'!$B$19:$H$19,1,WEEKDAY($A49,2))*(1+'Control Room'!$D$9)^47*'Process'!P49),2),"")</x:f>
        <x:v>1139.69</x:v>
      </x:c>
      <x:c r="F49" s="16" t="n">
        <x:f>IF(AND(AND(48&lt;='Control Room'!$B$3,'Control Room'!$D$3="Ready"),4&lt;='Control Room'!$B$2),ROUND(MAX(0,'Process'!T49*'Control Room'!$H$7*INDEX('Control Room'!$B$19:$H$19,1,WEEKDAY($A49,2))*(1+'Control Room'!$D$9)^47*'Process'!U49),2),"")</x:f>
        <x:v>659.1</x:v>
      </x:c>
      <x:c r="G49" s="16" t="str">
        <x:f>IF(AND(AND(48&lt;='Control Room'!$B$3,'Control Room'!$D$3="Ready"),5&lt;='Control Room'!$B$2),ROUND(MAX(0,'Process'!Y49*'Control Room'!$H$8*INDEX('Control Room'!$B$19:$H$19,1,WEEKDAY($A49,2))*(1+'Control Room'!$D$9)^47*'Process'!Z49),2),"")</x:f>
      </x:c>
      <x:c r="H49" s="16" t="str">
        <x:f>IF(AND(AND(48&lt;='Control Room'!$B$3,'Control Room'!$D$3="Ready"),6&lt;='Control Room'!$B$2),ROUND(MAX(0,'Process'!AD49*'Control Room'!$H$9*INDEX('Control Room'!$B$19:$H$19,1,WEEKDAY($A49,2))*(1+'Control Room'!$D$9)^47*'Process'!AE49),2),"")</x:f>
      </x:c>
      <x:c r="I49" s="16" t="str">
        <x:f>IF(AND(AND(48&lt;='Control Room'!$B$3,'Control Room'!$D$3="Ready"),7&lt;='Control Room'!$B$2),ROUND(MAX(0,'Process'!AI49*'Control Room'!$H$10*INDEX('Control Room'!$B$19:$H$19,1,WEEKDAY($A49,2))*(1+'Control Room'!$D$9)^47*'Process'!AJ49),2),"")</x:f>
      </x:c>
      <x:c r="J49" s="16" t="str">
        <x:f>IF(AND(AND(48&lt;='Control Room'!$B$3,'Control Room'!$D$3="Ready"),8&lt;='Control Room'!$B$2),ROUND(MAX(0,'Process'!AN49*'Control Room'!$H$11*INDEX('Control Room'!$B$19:$H$19,1,WEEKDAY($A49,2))*(1+'Control Room'!$D$9)^47*'Process'!AO49),2),"")</x:f>
      </x:c>
      <x:c r="K49" s="16" t="str">
        <x:f>IF(AND(AND(48&lt;='Control Room'!$B$3,'Control Room'!$D$3="Ready"),9&lt;='Control Room'!$B$2),ROUND(MAX(0,'Process'!AS49*'Control Room'!$H$12*INDEX('Control Room'!$B$19:$H$19,1,WEEKDAY($A49,2))*(1+'Control Room'!$D$9)^47*'Process'!AT49),2),"")</x:f>
      </x:c>
      <x:c r="L49" s="16" t="str">
        <x:f>IF(AND(AND(48&lt;='Control Room'!$B$3,'Control Room'!$D$3="Ready"),10&lt;='Control Room'!$B$2),ROUND(MAX(0,'Process'!AX49*'Control Room'!$H$13*INDEX('Control Room'!$B$19:$H$19,1,WEEKDAY($A49,2))*(1+'Control Room'!$D$9)^47*'Process'!AY49),2),"")</x:f>
      </x:c>
      <x:c r="M49" s="16" t="str">
        <x:f>IF(AND(AND(48&lt;='Control Room'!$B$3,'Control Room'!$D$3="Ready"),11&lt;='Control Room'!$B$2),ROUND(MAX(0,'Process'!BC49*'Control Room'!$H$14*INDEX('Control Room'!$B$19:$H$19,1,WEEKDAY($A49,2))*(1+'Control Room'!$D$9)^47*'Process'!BD49),2),"")</x:f>
      </x:c>
      <x:c r="N49" s="16" t="str">
        <x:f>IF(AND(AND(48&lt;='Control Room'!$B$3,'Control Room'!$D$3="Ready"),12&lt;='Control Room'!$B$2),ROUND(MAX(0,'Process'!BH49*'Control Room'!$H$15*INDEX('Control Room'!$B$19:$H$19,1,WEEKDAY($A49,2))*(1+'Control Room'!$D$9)^47*'Process'!BI49),2),"")</x:f>
      </x:c>
    </x:row>
    <x:row r="50" ht="21" customHeight="1">
      <x:c r="A50" s="15" t="n">
        <x:f>IF(AND(49&lt;='Control Room'!$B$3,'Control Room'!$D$3="Ready"),'Process'!A50,"")</x:f>
        <x:v>73039</x:v>
      </x:c>
      <x:c r="B50" s="16" t="n">
        <x:f>IF(A50="","",SUM(C50:N50))</x:f>
        <x:v>2622.92</x:v>
      </x:c>
      <x:c r="C50" s="16" t="n">
        <x:f>IF(AND(AND(49&lt;='Control Room'!$B$3,'Control Room'!$D$3="Ready"),1&lt;='Control Room'!$B$2),ROUND(MAX(0,'Process'!E50*'Control Room'!$H$4*INDEX('Control Room'!$B$19:$H$19,1,WEEKDAY($A50,2))*(1+'Control Room'!$D$9)^48*'Process'!F50),2),"")</x:f>
        <x:v>731.3</x:v>
      </x:c>
      <x:c r="D50" s="16" t="n">
        <x:f>IF(AND(AND(49&lt;='Control Room'!$B$3,'Control Room'!$D$3="Ready"),2&lt;='Control Room'!$B$2),ROUND(MAX(0,'Process'!J50*'Control Room'!$H$5*INDEX('Control Room'!$B$19:$H$19,1,WEEKDAY($A50,2))*(1+'Control Room'!$D$9)^48*'Process'!K50),2),"")</x:f>
        <x:v>570.57</x:v>
      </x:c>
      <x:c r="E50" s="16" t="n">
        <x:f>IF(AND(AND(49&lt;='Control Room'!$B$3,'Control Room'!$D$3="Ready"),3&lt;='Control Room'!$B$2),ROUND(MAX(0,'Process'!O50*'Control Room'!$H$6*INDEX('Control Room'!$B$19:$H$19,1,WEEKDAY($A50,2))*(1+'Control Room'!$D$9)^48*'Process'!P50),2),"")</x:f>
        <x:v>866.26</x:v>
      </x:c>
      <x:c r="F50" s="16" t="n">
        <x:f>IF(AND(AND(49&lt;='Control Room'!$B$3,'Control Room'!$D$3="Ready"),4&lt;='Control Room'!$B$2),ROUND(MAX(0,'Process'!T50*'Control Room'!$H$7*INDEX('Control Room'!$B$19:$H$19,1,WEEKDAY($A50,2))*(1+'Control Room'!$D$9)^48*'Process'!U50),2),"")</x:f>
        <x:v>454.79</x:v>
      </x:c>
      <x:c r="G50" s="16" t="str">
        <x:f>IF(AND(AND(49&lt;='Control Room'!$B$3,'Control Room'!$D$3="Ready"),5&lt;='Control Room'!$B$2),ROUND(MAX(0,'Process'!Y50*'Control Room'!$H$8*INDEX('Control Room'!$B$19:$H$19,1,WEEKDAY($A50,2))*(1+'Control Room'!$D$9)^48*'Process'!Z50),2),"")</x:f>
      </x:c>
      <x:c r="H50" s="16" t="str">
        <x:f>IF(AND(AND(49&lt;='Control Room'!$B$3,'Control Room'!$D$3="Ready"),6&lt;='Control Room'!$B$2),ROUND(MAX(0,'Process'!AD50*'Control Room'!$H$9*INDEX('Control Room'!$B$19:$H$19,1,WEEKDAY($A50,2))*(1+'Control Room'!$D$9)^48*'Process'!AE50),2),"")</x:f>
      </x:c>
      <x:c r="I50" s="16" t="str">
        <x:f>IF(AND(AND(49&lt;='Control Room'!$B$3,'Control Room'!$D$3="Ready"),7&lt;='Control Room'!$B$2),ROUND(MAX(0,'Process'!AI50*'Control Room'!$H$10*INDEX('Control Room'!$B$19:$H$19,1,WEEKDAY($A50,2))*(1+'Control Room'!$D$9)^48*'Process'!AJ50),2),"")</x:f>
      </x:c>
      <x:c r="J50" s="16" t="str">
        <x:f>IF(AND(AND(49&lt;='Control Room'!$B$3,'Control Room'!$D$3="Ready"),8&lt;='Control Room'!$B$2),ROUND(MAX(0,'Process'!AN50*'Control Room'!$H$11*INDEX('Control Room'!$B$19:$H$19,1,WEEKDAY($A50,2))*(1+'Control Room'!$D$9)^48*'Process'!AO50),2),"")</x:f>
      </x:c>
      <x:c r="K50" s="16" t="str">
        <x:f>IF(AND(AND(49&lt;='Control Room'!$B$3,'Control Room'!$D$3="Ready"),9&lt;='Control Room'!$B$2),ROUND(MAX(0,'Process'!AS50*'Control Room'!$H$12*INDEX('Control Room'!$B$19:$H$19,1,WEEKDAY($A50,2))*(1+'Control Room'!$D$9)^48*'Process'!AT50),2),"")</x:f>
      </x:c>
      <x:c r="L50" s="16" t="str">
        <x:f>IF(AND(AND(49&lt;='Control Room'!$B$3,'Control Room'!$D$3="Ready"),10&lt;='Control Room'!$B$2),ROUND(MAX(0,'Process'!AX50*'Control Room'!$H$13*INDEX('Control Room'!$B$19:$H$19,1,WEEKDAY($A50,2))*(1+'Control Room'!$D$9)^48*'Process'!AY50),2),"")</x:f>
      </x:c>
      <x:c r="M50" s="16" t="str">
        <x:f>IF(AND(AND(49&lt;='Control Room'!$B$3,'Control Room'!$D$3="Ready"),11&lt;='Control Room'!$B$2),ROUND(MAX(0,'Process'!BC50*'Control Room'!$H$14*INDEX('Control Room'!$B$19:$H$19,1,WEEKDAY($A50,2))*(1+'Control Room'!$D$9)^48*'Process'!BD50),2),"")</x:f>
      </x:c>
      <x:c r="N50" s="16" t="str">
        <x:f>IF(AND(AND(49&lt;='Control Room'!$B$3,'Control Room'!$D$3="Ready"),12&lt;='Control Room'!$B$2),ROUND(MAX(0,'Process'!BH50*'Control Room'!$H$15*INDEX('Control Room'!$B$19:$H$19,1,WEEKDAY($A50,2))*(1+'Control Room'!$D$9)^48*'Process'!BI50),2),"")</x:f>
      </x:c>
    </x:row>
    <x:row r="51" ht="21" customHeight="1">
      <x:c r="A51" s="15" t="n">
        <x:f>IF(AND(50&lt;='Control Room'!$B$3,'Control Room'!$D$3="Ready"),'Process'!A51,"")</x:f>
        <x:v>73040</x:v>
      </x:c>
      <x:c r="B51" s="16" t="n">
        <x:f>IF(A51="","",SUM(C51:N51))</x:f>
        <x:v>4477.72</x:v>
      </x:c>
      <x:c r="C51" s="16" t="n">
        <x:f>IF(AND(AND(50&lt;='Control Room'!$B$3,'Control Room'!$D$3="Ready"),1&lt;='Control Room'!$B$2),ROUND(MAX(0,'Process'!E51*'Control Room'!$H$4*INDEX('Control Room'!$B$19:$H$19,1,WEEKDAY($A51,2))*(1+'Control Room'!$D$9)^49*'Process'!F51),2),"")</x:f>
        <x:v>1187.63</x:v>
      </x:c>
      <x:c r="D51" s="16" t="n">
        <x:f>IF(AND(AND(50&lt;='Control Room'!$B$3,'Control Room'!$D$3="Ready"),2&lt;='Control Room'!$B$2),ROUND(MAX(0,'Process'!J51*'Control Room'!$H$5*INDEX('Control Room'!$B$19:$H$19,1,WEEKDAY($A51,2))*(1+'Control Room'!$D$9)^49*'Process'!K51),2),"")</x:f>
        <x:v>954.38</x:v>
      </x:c>
      <x:c r="E51" s="16" t="n">
        <x:f>IF(AND(AND(50&lt;='Control Room'!$B$3,'Control Room'!$D$3="Ready"),3&lt;='Control Room'!$B$2),ROUND(MAX(0,'Process'!O51*'Control Room'!$H$6*INDEX('Control Room'!$B$19:$H$19,1,WEEKDAY($A51,2))*(1+'Control Room'!$D$9)^49*'Process'!P51),2),"")</x:f>
        <x:v>1544.58</x:v>
      </x:c>
      <x:c r="F51" s="16" t="n">
        <x:f>IF(AND(AND(50&lt;='Control Room'!$B$3,'Control Room'!$D$3="Ready"),4&lt;='Control Room'!$B$2),ROUND(MAX(0,'Process'!T51*'Control Room'!$H$7*INDEX('Control Room'!$B$19:$H$19,1,WEEKDAY($A51,2))*(1+'Control Room'!$D$9)^49*'Process'!U51),2),"")</x:f>
        <x:v>791.13</x:v>
      </x:c>
      <x:c r="G51" s="16" t="str">
        <x:f>IF(AND(AND(50&lt;='Control Room'!$B$3,'Control Room'!$D$3="Ready"),5&lt;='Control Room'!$B$2),ROUND(MAX(0,'Process'!Y51*'Control Room'!$H$8*INDEX('Control Room'!$B$19:$H$19,1,WEEKDAY($A51,2))*(1+'Control Room'!$D$9)^49*'Process'!Z51),2),"")</x:f>
      </x:c>
      <x:c r="H51" s="16" t="str">
        <x:f>IF(AND(AND(50&lt;='Control Room'!$B$3,'Control Room'!$D$3="Ready"),6&lt;='Control Room'!$B$2),ROUND(MAX(0,'Process'!AD51*'Control Room'!$H$9*INDEX('Control Room'!$B$19:$H$19,1,WEEKDAY($A51,2))*(1+'Control Room'!$D$9)^49*'Process'!AE51),2),"")</x:f>
      </x:c>
      <x:c r="I51" s="16" t="str">
        <x:f>IF(AND(AND(50&lt;='Control Room'!$B$3,'Control Room'!$D$3="Ready"),7&lt;='Control Room'!$B$2),ROUND(MAX(0,'Process'!AI51*'Control Room'!$H$10*INDEX('Control Room'!$B$19:$H$19,1,WEEKDAY($A51,2))*(1+'Control Room'!$D$9)^49*'Process'!AJ51),2),"")</x:f>
      </x:c>
      <x:c r="J51" s="16" t="str">
        <x:f>IF(AND(AND(50&lt;='Control Room'!$B$3,'Control Room'!$D$3="Ready"),8&lt;='Control Room'!$B$2),ROUND(MAX(0,'Process'!AN51*'Control Room'!$H$11*INDEX('Control Room'!$B$19:$H$19,1,WEEKDAY($A51,2))*(1+'Control Room'!$D$9)^49*'Process'!AO51),2),"")</x:f>
      </x:c>
      <x:c r="K51" s="16" t="str">
        <x:f>IF(AND(AND(50&lt;='Control Room'!$B$3,'Control Room'!$D$3="Ready"),9&lt;='Control Room'!$B$2),ROUND(MAX(0,'Process'!AS51*'Control Room'!$H$12*INDEX('Control Room'!$B$19:$H$19,1,WEEKDAY($A51,2))*(1+'Control Room'!$D$9)^49*'Process'!AT51),2),"")</x:f>
      </x:c>
      <x:c r="L51" s="16" t="str">
        <x:f>IF(AND(AND(50&lt;='Control Room'!$B$3,'Control Room'!$D$3="Ready"),10&lt;='Control Room'!$B$2),ROUND(MAX(0,'Process'!AX51*'Control Room'!$H$13*INDEX('Control Room'!$B$19:$H$19,1,WEEKDAY($A51,2))*(1+'Control Room'!$D$9)^49*'Process'!AY51),2),"")</x:f>
      </x:c>
      <x:c r="M51" s="16" t="str">
        <x:f>IF(AND(AND(50&lt;='Control Room'!$B$3,'Control Room'!$D$3="Ready"),11&lt;='Control Room'!$B$2),ROUND(MAX(0,'Process'!BC51*'Control Room'!$H$14*INDEX('Control Room'!$B$19:$H$19,1,WEEKDAY($A51,2))*(1+'Control Room'!$D$9)^49*'Process'!BD51),2),"")</x:f>
      </x:c>
      <x:c r="N51" s="16" t="str">
        <x:f>IF(AND(AND(50&lt;='Control Room'!$B$3,'Control Room'!$D$3="Ready"),12&lt;='Control Room'!$B$2),ROUND(MAX(0,'Process'!BH51*'Control Room'!$H$15*INDEX('Control Room'!$B$19:$H$19,1,WEEKDAY($A51,2))*(1+'Control Room'!$D$9)^49*'Process'!BI51),2),"")</x:f>
      </x:c>
    </x:row>
    <x:row r="52" ht="21" customHeight="1">
      <x:c r="A52" s="15" t="n">
        <x:f>IF(AND(51&lt;='Control Room'!$B$3,'Control Room'!$D$3="Ready"),'Process'!A52,"")</x:f>
        <x:v>73041</x:v>
      </x:c>
      <x:c r="B52" s="16" t="n">
        <x:f>IF(A52="","",SUM(C52:N52))</x:f>
        <x:v>4605.32</x:v>
      </x:c>
      <x:c r="C52" s="16" t="n">
        <x:f>IF(AND(AND(51&lt;='Control Room'!$B$3,'Control Room'!$D$3="Ready"),1&lt;='Control Room'!$B$2),ROUND(MAX(0,'Process'!E52*'Control Room'!$H$4*INDEX('Control Room'!$B$19:$H$19,1,WEEKDAY($A52,2))*(1+'Control Room'!$D$9)^50*'Process'!F52),2),"")</x:f>
        <x:v>1250.82</x:v>
      </x:c>
      <x:c r="D52" s="16" t="n">
        <x:f>IF(AND(AND(51&lt;='Control Room'!$B$3,'Control Room'!$D$3="Ready"),2&lt;='Control Room'!$B$2),ROUND(MAX(0,'Process'!J52*'Control Room'!$H$5*INDEX('Control Room'!$B$19:$H$19,1,WEEKDAY($A52,2))*(1+'Control Room'!$D$9)^50*'Process'!K52),2),"")</x:f>
        <x:v>951.08</x:v>
      </x:c>
      <x:c r="E52" s="16" t="n">
        <x:f>IF(AND(AND(51&lt;='Control Room'!$B$3,'Control Room'!$D$3="Ready"),3&lt;='Control Room'!$B$2),ROUND(MAX(0,'Process'!O52*'Control Room'!$H$6*INDEX('Control Room'!$B$19:$H$19,1,WEEKDAY($A52,2))*(1+'Control Room'!$D$9)^50*'Process'!P52),2),"")</x:f>
        <x:v>1592.51</x:v>
      </x:c>
      <x:c r="F52" s="16" t="n">
        <x:f>IF(AND(AND(51&lt;='Control Room'!$B$3,'Control Room'!$D$3="Ready"),4&lt;='Control Room'!$B$2),ROUND(MAX(0,'Process'!T52*'Control Room'!$H$7*INDEX('Control Room'!$B$19:$H$19,1,WEEKDAY($A52,2))*(1+'Control Room'!$D$9)^50*'Process'!U52),2),"")</x:f>
        <x:v>810.91</x:v>
      </x:c>
      <x:c r="G52" s="16" t="str">
        <x:f>IF(AND(AND(51&lt;='Control Room'!$B$3,'Control Room'!$D$3="Ready"),5&lt;='Control Room'!$B$2),ROUND(MAX(0,'Process'!Y52*'Control Room'!$H$8*INDEX('Control Room'!$B$19:$H$19,1,WEEKDAY($A52,2))*(1+'Control Room'!$D$9)^50*'Process'!Z52),2),"")</x:f>
      </x:c>
      <x:c r="H52" s="16" t="str">
        <x:f>IF(AND(AND(51&lt;='Control Room'!$B$3,'Control Room'!$D$3="Ready"),6&lt;='Control Room'!$B$2),ROUND(MAX(0,'Process'!AD52*'Control Room'!$H$9*INDEX('Control Room'!$B$19:$H$19,1,WEEKDAY($A52,2))*(1+'Control Room'!$D$9)^50*'Process'!AE52),2),"")</x:f>
      </x:c>
      <x:c r="I52" s="16" t="str">
        <x:f>IF(AND(AND(51&lt;='Control Room'!$B$3,'Control Room'!$D$3="Ready"),7&lt;='Control Room'!$B$2),ROUND(MAX(0,'Process'!AI52*'Control Room'!$H$10*INDEX('Control Room'!$B$19:$H$19,1,WEEKDAY($A52,2))*(1+'Control Room'!$D$9)^50*'Process'!AJ52),2),"")</x:f>
      </x:c>
      <x:c r="J52" s="16" t="str">
        <x:f>IF(AND(AND(51&lt;='Control Room'!$B$3,'Control Room'!$D$3="Ready"),8&lt;='Control Room'!$B$2),ROUND(MAX(0,'Process'!AN52*'Control Room'!$H$11*INDEX('Control Room'!$B$19:$H$19,1,WEEKDAY($A52,2))*(1+'Control Room'!$D$9)^50*'Process'!AO52),2),"")</x:f>
      </x:c>
      <x:c r="K52" s="16" t="str">
        <x:f>IF(AND(AND(51&lt;='Control Room'!$B$3,'Control Room'!$D$3="Ready"),9&lt;='Control Room'!$B$2),ROUND(MAX(0,'Process'!AS52*'Control Room'!$H$12*INDEX('Control Room'!$B$19:$H$19,1,WEEKDAY($A52,2))*(1+'Control Room'!$D$9)^50*'Process'!AT52),2),"")</x:f>
      </x:c>
      <x:c r="L52" s="16" t="str">
        <x:f>IF(AND(AND(51&lt;='Control Room'!$B$3,'Control Room'!$D$3="Ready"),10&lt;='Control Room'!$B$2),ROUND(MAX(0,'Process'!AX52*'Control Room'!$H$13*INDEX('Control Room'!$B$19:$H$19,1,WEEKDAY($A52,2))*(1+'Control Room'!$D$9)^50*'Process'!AY52),2),"")</x:f>
      </x:c>
      <x:c r="M52" s="16" t="str">
        <x:f>IF(AND(AND(51&lt;='Control Room'!$B$3,'Control Room'!$D$3="Ready"),11&lt;='Control Room'!$B$2),ROUND(MAX(0,'Process'!BC52*'Control Room'!$H$14*INDEX('Control Room'!$B$19:$H$19,1,WEEKDAY($A52,2))*(1+'Control Room'!$D$9)^50*'Process'!BD52),2),"")</x:f>
      </x:c>
      <x:c r="N52" s="16" t="str">
        <x:f>IF(AND(AND(51&lt;='Control Room'!$B$3,'Control Room'!$D$3="Ready"),12&lt;='Control Room'!$B$2),ROUND(MAX(0,'Process'!BH52*'Control Room'!$H$15*INDEX('Control Room'!$B$19:$H$19,1,WEEKDAY($A52,2))*(1+'Control Room'!$D$9)^50*'Process'!BI52),2),"")</x:f>
      </x:c>
    </x:row>
    <x:row r="53" ht="21" customHeight="1">
      <x:c r="A53" s="15" t="n">
        <x:f>IF(AND(52&lt;='Control Room'!$B$3,'Control Room'!$D$3="Ready"),'Process'!A53,"")</x:f>
        <x:v>73042</x:v>
      </x:c>
      <x:c r="B53" s="16" t="n">
        <x:f>IF(A53="","",SUM(C53:N53))</x:f>
        <x:v>4404.139999999999</x:v>
      </x:c>
      <x:c r="C53" s="16" t="n">
        <x:f>IF(AND(AND(52&lt;='Control Room'!$B$3,'Control Room'!$D$3="Ready"),1&lt;='Control Room'!$B$2),ROUND(MAX(0,'Process'!E53*'Control Room'!$H$4*INDEX('Control Room'!$B$19:$H$19,1,WEEKDAY($A53,2))*(1+'Control Room'!$D$9)^51*'Process'!F53),2),"")</x:f>
        <x:v>1153.39</x:v>
      </x:c>
      <x:c r="D53" s="16" t="n">
        <x:f>IF(AND(AND(52&lt;='Control Room'!$B$3,'Control Room'!$D$3="Ready"),2&lt;='Control Room'!$B$2),ROUND(MAX(0,'Process'!J53*'Control Room'!$H$5*INDEX('Control Room'!$B$19:$H$19,1,WEEKDAY($A53,2))*(1+'Control Room'!$D$9)^51*'Process'!K53),2),"")</x:f>
        <x:v>934.56</x:v>
      </x:c>
      <x:c r="E53" s="16" t="n">
        <x:f>IF(AND(AND(52&lt;='Control Room'!$B$3,'Control Room'!$D$3="Ready"),3&lt;='Control Room'!$B$2),ROUND(MAX(0,'Process'!O53*'Control Room'!$H$6*INDEX('Control Room'!$B$19:$H$19,1,WEEKDAY($A53,2))*(1+'Control Room'!$D$9)^51*'Process'!P53),2),"")</x:f>
        <x:v>1517.86</x:v>
      </x:c>
      <x:c r="F53" s="16" t="n">
        <x:f>IF(AND(AND(52&lt;='Control Room'!$B$3,'Control Room'!$D$3="Ready"),4&lt;='Control Room'!$B$2),ROUND(MAX(0,'Process'!T53*'Control Room'!$H$7*INDEX('Control Room'!$B$19:$H$19,1,WEEKDAY($A53,2))*(1+'Control Room'!$D$9)^51*'Process'!U53),2),"")</x:f>
        <x:v>798.33</x:v>
      </x:c>
      <x:c r="G53" s="16" t="str">
        <x:f>IF(AND(AND(52&lt;='Control Room'!$B$3,'Control Room'!$D$3="Ready"),5&lt;='Control Room'!$B$2),ROUND(MAX(0,'Process'!Y53*'Control Room'!$H$8*INDEX('Control Room'!$B$19:$H$19,1,WEEKDAY($A53,2))*(1+'Control Room'!$D$9)^51*'Process'!Z53),2),"")</x:f>
      </x:c>
      <x:c r="H53" s="16" t="str">
        <x:f>IF(AND(AND(52&lt;='Control Room'!$B$3,'Control Room'!$D$3="Ready"),6&lt;='Control Room'!$B$2),ROUND(MAX(0,'Process'!AD53*'Control Room'!$H$9*INDEX('Control Room'!$B$19:$H$19,1,WEEKDAY($A53,2))*(1+'Control Room'!$D$9)^51*'Process'!AE53),2),"")</x:f>
      </x:c>
      <x:c r="I53" s="16" t="str">
        <x:f>IF(AND(AND(52&lt;='Control Room'!$B$3,'Control Room'!$D$3="Ready"),7&lt;='Control Room'!$B$2),ROUND(MAX(0,'Process'!AI53*'Control Room'!$H$10*INDEX('Control Room'!$B$19:$H$19,1,WEEKDAY($A53,2))*(1+'Control Room'!$D$9)^51*'Process'!AJ53),2),"")</x:f>
      </x:c>
      <x:c r="J53" s="16" t="str">
        <x:f>IF(AND(AND(52&lt;='Control Room'!$B$3,'Control Room'!$D$3="Ready"),8&lt;='Control Room'!$B$2),ROUND(MAX(0,'Process'!AN53*'Control Room'!$H$11*INDEX('Control Room'!$B$19:$H$19,1,WEEKDAY($A53,2))*(1+'Control Room'!$D$9)^51*'Process'!AO53),2),"")</x:f>
      </x:c>
      <x:c r="K53" s="16" t="str">
        <x:f>IF(AND(AND(52&lt;='Control Room'!$B$3,'Control Room'!$D$3="Ready"),9&lt;='Control Room'!$B$2),ROUND(MAX(0,'Process'!AS53*'Control Room'!$H$12*INDEX('Control Room'!$B$19:$H$19,1,WEEKDAY($A53,2))*(1+'Control Room'!$D$9)^51*'Process'!AT53),2),"")</x:f>
      </x:c>
      <x:c r="L53" s="16" t="str">
        <x:f>IF(AND(AND(52&lt;='Control Room'!$B$3,'Control Room'!$D$3="Ready"),10&lt;='Control Room'!$B$2),ROUND(MAX(0,'Process'!AX53*'Control Room'!$H$13*INDEX('Control Room'!$B$19:$H$19,1,WEEKDAY($A53,2))*(1+'Control Room'!$D$9)^51*'Process'!AY53),2),"")</x:f>
      </x:c>
      <x:c r="M53" s="16" t="str">
        <x:f>IF(AND(AND(52&lt;='Control Room'!$B$3,'Control Room'!$D$3="Ready"),11&lt;='Control Room'!$B$2),ROUND(MAX(0,'Process'!BC53*'Control Room'!$H$14*INDEX('Control Room'!$B$19:$H$19,1,WEEKDAY($A53,2))*(1+'Control Room'!$D$9)^51*'Process'!BD53),2),"")</x:f>
      </x:c>
      <x:c r="N53" s="16" t="str">
        <x:f>IF(AND(AND(52&lt;='Control Room'!$B$3,'Control Room'!$D$3="Ready"),12&lt;='Control Room'!$B$2),ROUND(MAX(0,'Process'!BH53*'Control Room'!$H$15*INDEX('Control Room'!$B$19:$H$19,1,WEEKDAY($A53,2))*(1+'Control Room'!$D$9)^51*'Process'!BI53),2),"")</x:f>
      </x:c>
    </x:row>
    <x:row r="54" ht="21" customHeight="1">
      <x:c r="A54" s="15" t="n">
        <x:f>IF(AND(53&lt;='Control Room'!$B$3,'Control Room'!$D$3="Ready"),'Process'!A54,"")</x:f>
        <x:v>73043</x:v>
      </x:c>
      <x:c r="B54" s="16" t="n">
        <x:f>IF(A54="","",SUM(C54:N54))</x:f>
        <x:v>4155.12</x:v>
      </x:c>
      <x:c r="C54" s="16" t="n">
        <x:f>IF(AND(AND(53&lt;='Control Room'!$B$3,'Control Room'!$D$3="Ready"),1&lt;='Control Room'!$B$2),ROUND(MAX(0,'Process'!E54*'Control Room'!$H$4*INDEX('Control Room'!$B$19:$H$19,1,WEEKDAY($A54,2))*(1+'Control Room'!$D$9)^52*'Process'!F54),2),"")</x:f>
        <x:v>1193.84</x:v>
      </x:c>
      <x:c r="D54" s="16" t="n">
        <x:f>IF(AND(AND(53&lt;='Control Room'!$B$3,'Control Room'!$D$3="Ready"),2&lt;='Control Room'!$B$2),ROUND(MAX(0,'Process'!J54*'Control Room'!$H$5*INDEX('Control Room'!$B$19:$H$19,1,WEEKDAY($A54,2))*(1+'Control Room'!$D$9)^52*'Process'!K54),2),"")</x:f>
        <x:v>889.66</x:v>
      </x:c>
      <x:c r="E54" s="16" t="n">
        <x:f>IF(AND(AND(53&lt;='Control Room'!$B$3,'Control Room'!$D$3="Ready"),3&lt;='Control Room'!$B$2),ROUND(MAX(0,'Process'!O54*'Control Room'!$H$6*INDEX('Control Room'!$B$19:$H$19,1,WEEKDAY($A54,2))*(1+'Control Room'!$D$9)^52*'Process'!P54),2),"")</x:f>
        <x:v>1340.09</x:v>
      </x:c>
      <x:c r="F54" s="16" t="n">
        <x:f>IF(AND(AND(53&lt;='Control Room'!$B$3,'Control Room'!$D$3="Ready"),4&lt;='Control Room'!$B$2),ROUND(MAX(0,'Process'!T54*'Control Room'!$H$7*INDEX('Control Room'!$B$19:$H$19,1,WEEKDAY($A54,2))*(1+'Control Room'!$D$9)^52*'Process'!U54),2),"")</x:f>
        <x:v>731.53</x:v>
      </x:c>
      <x:c r="G54" s="16" t="str">
        <x:f>IF(AND(AND(53&lt;='Control Room'!$B$3,'Control Room'!$D$3="Ready"),5&lt;='Control Room'!$B$2),ROUND(MAX(0,'Process'!Y54*'Control Room'!$H$8*INDEX('Control Room'!$B$19:$H$19,1,WEEKDAY($A54,2))*(1+'Control Room'!$D$9)^52*'Process'!Z54),2),"")</x:f>
      </x:c>
      <x:c r="H54" s="16" t="str">
        <x:f>IF(AND(AND(53&lt;='Control Room'!$B$3,'Control Room'!$D$3="Ready"),6&lt;='Control Room'!$B$2),ROUND(MAX(0,'Process'!AD54*'Control Room'!$H$9*INDEX('Control Room'!$B$19:$H$19,1,WEEKDAY($A54,2))*(1+'Control Room'!$D$9)^52*'Process'!AE54),2),"")</x:f>
      </x:c>
      <x:c r="I54" s="16" t="str">
        <x:f>IF(AND(AND(53&lt;='Control Room'!$B$3,'Control Room'!$D$3="Ready"),7&lt;='Control Room'!$B$2),ROUND(MAX(0,'Process'!AI54*'Control Room'!$H$10*INDEX('Control Room'!$B$19:$H$19,1,WEEKDAY($A54,2))*(1+'Control Room'!$D$9)^52*'Process'!AJ54),2),"")</x:f>
      </x:c>
      <x:c r="J54" s="16" t="str">
        <x:f>IF(AND(AND(53&lt;='Control Room'!$B$3,'Control Room'!$D$3="Ready"),8&lt;='Control Room'!$B$2),ROUND(MAX(0,'Process'!AN54*'Control Room'!$H$11*INDEX('Control Room'!$B$19:$H$19,1,WEEKDAY($A54,2))*(1+'Control Room'!$D$9)^52*'Process'!AO54),2),"")</x:f>
      </x:c>
      <x:c r="K54" s="16" t="str">
        <x:f>IF(AND(AND(53&lt;='Control Room'!$B$3,'Control Room'!$D$3="Ready"),9&lt;='Control Room'!$B$2),ROUND(MAX(0,'Process'!AS54*'Control Room'!$H$12*INDEX('Control Room'!$B$19:$H$19,1,WEEKDAY($A54,2))*(1+'Control Room'!$D$9)^52*'Process'!AT54),2),"")</x:f>
      </x:c>
      <x:c r="L54" s="16" t="str">
        <x:f>IF(AND(AND(53&lt;='Control Room'!$B$3,'Control Room'!$D$3="Ready"),10&lt;='Control Room'!$B$2),ROUND(MAX(0,'Process'!AX54*'Control Room'!$H$13*INDEX('Control Room'!$B$19:$H$19,1,WEEKDAY($A54,2))*(1+'Control Room'!$D$9)^52*'Process'!AY54),2),"")</x:f>
      </x:c>
      <x:c r="M54" s="16" t="str">
        <x:f>IF(AND(AND(53&lt;='Control Room'!$B$3,'Control Room'!$D$3="Ready"),11&lt;='Control Room'!$B$2),ROUND(MAX(0,'Process'!BC54*'Control Room'!$H$14*INDEX('Control Room'!$B$19:$H$19,1,WEEKDAY($A54,2))*(1+'Control Room'!$D$9)^52*'Process'!BD54),2),"")</x:f>
      </x:c>
      <x:c r="N54" s="16" t="str">
        <x:f>IF(AND(AND(53&lt;='Control Room'!$B$3,'Control Room'!$D$3="Ready"),12&lt;='Control Room'!$B$2),ROUND(MAX(0,'Process'!BH54*'Control Room'!$H$15*INDEX('Control Room'!$B$19:$H$19,1,WEEKDAY($A54,2))*(1+'Control Room'!$D$9)^52*'Process'!BI54),2),"")</x:f>
      </x:c>
    </x:row>
    <x:row r="55" ht="21" customHeight="1">
      <x:c r="A55" s="15" t="n">
        <x:f>IF(AND(54&lt;='Control Room'!$B$3,'Control Room'!$D$3="Ready"),'Process'!A55,"")</x:f>
        <x:v>73044</x:v>
      </x:c>
      <x:c r="B55" s="16" t="n">
        <x:f>IF(A55="","",SUM(C55:N55))</x:f>
        <x:v>4114.24</x:v>
      </x:c>
      <x:c r="C55" s="16" t="n">
        <x:f>IF(AND(AND(54&lt;='Control Room'!$B$3,'Control Room'!$D$3="Ready"),1&lt;='Control Room'!$B$2),ROUND(MAX(0,'Process'!E55*'Control Room'!$H$4*INDEX('Control Room'!$B$19:$H$19,1,WEEKDAY($A55,2))*(1+'Control Room'!$D$9)^53*'Process'!F55),2),"")</x:f>
        <x:v>1225.68</x:v>
      </x:c>
      <x:c r="D55" s="16" t="n">
        <x:f>IF(AND(AND(54&lt;='Control Room'!$B$3,'Control Room'!$D$3="Ready"),2&lt;='Control Room'!$B$2),ROUND(MAX(0,'Process'!J55*'Control Room'!$H$5*INDEX('Control Room'!$B$19:$H$19,1,WEEKDAY($A55,2))*(1+'Control Room'!$D$9)^53*'Process'!K55),2),"")</x:f>
        <x:v>901.16</x:v>
      </x:c>
      <x:c r="E55" s="16" t="n">
        <x:f>IF(AND(AND(54&lt;='Control Room'!$B$3,'Control Room'!$D$3="Ready"),3&lt;='Control Room'!$B$2),ROUND(MAX(0,'Process'!O55*'Control Room'!$H$6*INDEX('Control Room'!$B$19:$H$19,1,WEEKDAY($A55,2))*(1+'Control Room'!$D$9)^53*'Process'!P55),2),"")</x:f>
        <x:v>1205.2</x:v>
      </x:c>
      <x:c r="F55" s="16" t="n">
        <x:f>IF(AND(AND(54&lt;='Control Room'!$B$3,'Control Room'!$D$3="Ready"),4&lt;='Control Room'!$B$2),ROUND(MAX(0,'Process'!T55*'Control Room'!$H$7*INDEX('Control Room'!$B$19:$H$19,1,WEEKDAY($A55,2))*(1+'Control Room'!$D$9)^53*'Process'!U55),2),"")</x:f>
        <x:v>782.2</x:v>
      </x:c>
      <x:c r="G55" s="16" t="str">
        <x:f>IF(AND(AND(54&lt;='Control Room'!$B$3,'Control Room'!$D$3="Ready"),5&lt;='Control Room'!$B$2),ROUND(MAX(0,'Process'!Y55*'Control Room'!$H$8*INDEX('Control Room'!$B$19:$H$19,1,WEEKDAY($A55,2))*(1+'Control Room'!$D$9)^53*'Process'!Z55),2),"")</x:f>
      </x:c>
      <x:c r="H55" s="16" t="str">
        <x:f>IF(AND(AND(54&lt;='Control Room'!$B$3,'Control Room'!$D$3="Ready"),6&lt;='Control Room'!$B$2),ROUND(MAX(0,'Process'!AD55*'Control Room'!$H$9*INDEX('Control Room'!$B$19:$H$19,1,WEEKDAY($A55,2))*(1+'Control Room'!$D$9)^53*'Process'!AE55),2),"")</x:f>
      </x:c>
      <x:c r="I55" s="16" t="str">
        <x:f>IF(AND(AND(54&lt;='Control Room'!$B$3,'Control Room'!$D$3="Ready"),7&lt;='Control Room'!$B$2),ROUND(MAX(0,'Process'!AI55*'Control Room'!$H$10*INDEX('Control Room'!$B$19:$H$19,1,WEEKDAY($A55,2))*(1+'Control Room'!$D$9)^53*'Process'!AJ55),2),"")</x:f>
      </x:c>
      <x:c r="J55" s="16" t="str">
        <x:f>IF(AND(AND(54&lt;='Control Room'!$B$3,'Control Room'!$D$3="Ready"),8&lt;='Control Room'!$B$2),ROUND(MAX(0,'Process'!AN55*'Control Room'!$H$11*INDEX('Control Room'!$B$19:$H$19,1,WEEKDAY($A55,2))*(1+'Control Room'!$D$9)^53*'Process'!AO55),2),"")</x:f>
      </x:c>
      <x:c r="K55" s="16" t="str">
        <x:f>IF(AND(AND(54&lt;='Control Room'!$B$3,'Control Room'!$D$3="Ready"),9&lt;='Control Room'!$B$2),ROUND(MAX(0,'Process'!AS55*'Control Room'!$H$12*INDEX('Control Room'!$B$19:$H$19,1,WEEKDAY($A55,2))*(1+'Control Room'!$D$9)^53*'Process'!AT55),2),"")</x:f>
      </x:c>
      <x:c r="L55" s="16" t="str">
        <x:f>IF(AND(AND(54&lt;='Control Room'!$B$3,'Control Room'!$D$3="Ready"),10&lt;='Control Room'!$B$2),ROUND(MAX(0,'Process'!AX55*'Control Room'!$H$13*INDEX('Control Room'!$B$19:$H$19,1,WEEKDAY($A55,2))*(1+'Control Room'!$D$9)^53*'Process'!AY55),2),"")</x:f>
      </x:c>
      <x:c r="M55" s="16" t="str">
        <x:f>IF(AND(AND(54&lt;='Control Room'!$B$3,'Control Room'!$D$3="Ready"),11&lt;='Control Room'!$B$2),ROUND(MAX(0,'Process'!BC55*'Control Room'!$H$14*INDEX('Control Room'!$B$19:$H$19,1,WEEKDAY($A55,2))*(1+'Control Room'!$D$9)^53*'Process'!BD55),2),"")</x:f>
      </x:c>
      <x:c r="N55" s="16" t="str">
        <x:f>IF(AND(AND(54&lt;='Control Room'!$B$3,'Control Room'!$D$3="Ready"),12&lt;='Control Room'!$B$2),ROUND(MAX(0,'Process'!BH55*'Control Room'!$H$15*INDEX('Control Room'!$B$19:$H$19,1,WEEKDAY($A55,2))*(1+'Control Room'!$D$9)^53*'Process'!BI55),2),"")</x:f>
      </x:c>
    </x:row>
    <x:row r="56" ht="21" customHeight="1">
      <x:c r="A56" s="15" t="n">
        <x:f>IF(AND(55&lt;='Control Room'!$B$3,'Control Room'!$D$3="Ready"),'Process'!A56,"")</x:f>
        <x:v>73045</x:v>
      </x:c>
      <x:c r="B56" s="16" t="n">
        <x:f>IF(A56="","",SUM(C56:N56))</x:f>
        <x:v>3396.1000000000004</x:v>
      </x:c>
      <x:c r="C56" s="16" t="n">
        <x:f>IF(AND(AND(55&lt;='Control Room'!$B$3,'Control Room'!$D$3="Ready"),1&lt;='Control Room'!$B$2),ROUND(MAX(0,'Process'!E56*'Control Room'!$H$4*INDEX('Control Room'!$B$19:$H$19,1,WEEKDAY($A56,2))*(1+'Control Room'!$D$9)^54*'Process'!F56),2),"")</x:f>
        <x:v>995.88</x:v>
      </x:c>
      <x:c r="D56" s="16" t="n">
        <x:f>IF(AND(AND(55&lt;='Control Room'!$B$3,'Control Room'!$D$3="Ready"),2&lt;='Control Room'!$B$2),ROUND(MAX(0,'Process'!J56*'Control Room'!$H$5*INDEX('Control Room'!$B$19:$H$19,1,WEEKDAY($A56,2))*(1+'Control Room'!$D$9)^54*'Process'!K56),2),"")</x:f>
        <x:v>683.48</x:v>
      </x:c>
      <x:c r="E56" s="16" t="n">
        <x:f>IF(AND(AND(55&lt;='Control Room'!$B$3,'Control Room'!$D$3="Ready"),3&lt;='Control Room'!$B$2),ROUND(MAX(0,'Process'!O56*'Control Room'!$H$6*INDEX('Control Room'!$B$19:$H$19,1,WEEKDAY($A56,2))*(1+'Control Room'!$D$9)^54*'Process'!P56),2),"")</x:f>
        <x:v>1069.63</x:v>
      </x:c>
      <x:c r="F56" s="16" t="n">
        <x:f>IF(AND(AND(55&lt;='Control Room'!$B$3,'Control Room'!$D$3="Ready"),4&lt;='Control Room'!$B$2),ROUND(MAX(0,'Process'!T56*'Control Room'!$H$7*INDEX('Control Room'!$B$19:$H$19,1,WEEKDAY($A56,2))*(1+'Control Room'!$D$9)^54*'Process'!U56),2),"")</x:f>
        <x:v>647.11</x:v>
      </x:c>
      <x:c r="G56" s="16" t="str">
        <x:f>IF(AND(AND(55&lt;='Control Room'!$B$3,'Control Room'!$D$3="Ready"),5&lt;='Control Room'!$B$2),ROUND(MAX(0,'Process'!Y56*'Control Room'!$H$8*INDEX('Control Room'!$B$19:$H$19,1,WEEKDAY($A56,2))*(1+'Control Room'!$D$9)^54*'Process'!Z56),2),"")</x:f>
      </x:c>
      <x:c r="H56" s="16" t="str">
        <x:f>IF(AND(AND(55&lt;='Control Room'!$B$3,'Control Room'!$D$3="Ready"),6&lt;='Control Room'!$B$2),ROUND(MAX(0,'Process'!AD56*'Control Room'!$H$9*INDEX('Control Room'!$B$19:$H$19,1,WEEKDAY($A56,2))*(1+'Control Room'!$D$9)^54*'Process'!AE56),2),"")</x:f>
      </x:c>
      <x:c r="I56" s="16" t="str">
        <x:f>IF(AND(AND(55&lt;='Control Room'!$B$3,'Control Room'!$D$3="Ready"),7&lt;='Control Room'!$B$2),ROUND(MAX(0,'Process'!AI56*'Control Room'!$H$10*INDEX('Control Room'!$B$19:$H$19,1,WEEKDAY($A56,2))*(1+'Control Room'!$D$9)^54*'Process'!AJ56),2),"")</x:f>
      </x:c>
      <x:c r="J56" s="16" t="str">
        <x:f>IF(AND(AND(55&lt;='Control Room'!$B$3,'Control Room'!$D$3="Ready"),8&lt;='Control Room'!$B$2),ROUND(MAX(0,'Process'!AN56*'Control Room'!$H$11*INDEX('Control Room'!$B$19:$H$19,1,WEEKDAY($A56,2))*(1+'Control Room'!$D$9)^54*'Process'!AO56),2),"")</x:f>
      </x:c>
      <x:c r="K56" s="16" t="str">
        <x:f>IF(AND(AND(55&lt;='Control Room'!$B$3,'Control Room'!$D$3="Ready"),9&lt;='Control Room'!$B$2),ROUND(MAX(0,'Process'!AS56*'Control Room'!$H$12*INDEX('Control Room'!$B$19:$H$19,1,WEEKDAY($A56,2))*(1+'Control Room'!$D$9)^54*'Process'!AT56),2),"")</x:f>
      </x:c>
      <x:c r="L56" s="16" t="str">
        <x:f>IF(AND(AND(55&lt;='Control Room'!$B$3,'Control Room'!$D$3="Ready"),10&lt;='Control Room'!$B$2),ROUND(MAX(0,'Process'!AX56*'Control Room'!$H$13*INDEX('Control Room'!$B$19:$H$19,1,WEEKDAY($A56,2))*(1+'Control Room'!$D$9)^54*'Process'!AY56),2),"")</x:f>
      </x:c>
      <x:c r="M56" s="16" t="str">
        <x:f>IF(AND(AND(55&lt;='Control Room'!$B$3,'Control Room'!$D$3="Ready"),11&lt;='Control Room'!$B$2),ROUND(MAX(0,'Process'!BC56*'Control Room'!$H$14*INDEX('Control Room'!$B$19:$H$19,1,WEEKDAY($A56,2))*(1+'Control Room'!$D$9)^54*'Process'!BD56),2),"")</x:f>
      </x:c>
      <x:c r="N56" s="16" t="str">
        <x:f>IF(AND(AND(55&lt;='Control Room'!$B$3,'Control Room'!$D$3="Ready"),12&lt;='Control Room'!$B$2),ROUND(MAX(0,'Process'!BH56*'Control Room'!$H$15*INDEX('Control Room'!$B$19:$H$19,1,WEEKDAY($A56,2))*(1+'Control Room'!$D$9)^54*'Process'!BI56),2),"")</x:f>
      </x:c>
    </x:row>
    <x:row r="57" ht="21" customHeight="1">
      <x:c r="A57" s="15" t="n">
        <x:f>IF(AND(56&lt;='Control Room'!$B$3,'Control Room'!$D$3="Ready"),'Process'!A57,"")</x:f>
        <x:v>73046</x:v>
      </x:c>
      <x:c r="B57" s="16" t="n">
        <x:f>IF(A57="","",SUM(C57:N57))</x:f>
        <x:v>2440.27</x:v>
      </x:c>
      <x:c r="C57" s="16" t="n">
        <x:f>IF(AND(AND(56&lt;='Control Room'!$B$3,'Control Room'!$D$3="Ready"),1&lt;='Control Room'!$B$2),ROUND(MAX(0,'Process'!E57*'Control Room'!$H$4*INDEX('Control Room'!$B$19:$H$19,1,WEEKDAY($A57,2))*(1+'Control Room'!$D$9)^55*'Process'!F57),2),"")</x:f>
        <x:v>666.94</x:v>
      </x:c>
      <x:c r="D57" s="16" t="n">
        <x:f>IF(AND(AND(56&lt;='Control Room'!$B$3,'Control Room'!$D$3="Ready"),2&lt;='Control Room'!$B$2),ROUND(MAX(0,'Process'!J57*'Control Room'!$H$5*INDEX('Control Room'!$B$19:$H$19,1,WEEKDAY($A57,2))*(1+'Control Room'!$D$9)^55*'Process'!K57),2),"")</x:f>
        <x:v>488.1</x:v>
      </x:c>
      <x:c r="E57" s="16" t="n">
        <x:f>IF(AND(AND(56&lt;='Control Room'!$B$3,'Control Room'!$D$3="Ready"),3&lt;='Control Room'!$B$2),ROUND(MAX(0,'Process'!O57*'Control Room'!$H$6*INDEX('Control Room'!$B$19:$H$19,1,WEEKDAY($A57,2))*(1+'Control Room'!$D$9)^55*'Process'!P57),2),"")</x:f>
        <x:v>791.4</x:v>
      </x:c>
      <x:c r="F57" s="16" t="n">
        <x:f>IF(AND(AND(56&lt;='Control Room'!$B$3,'Control Room'!$D$3="Ready"),4&lt;='Control Room'!$B$2),ROUND(MAX(0,'Process'!T57*'Control Room'!$H$7*INDEX('Control Room'!$B$19:$H$19,1,WEEKDAY($A57,2))*(1+'Control Room'!$D$9)^55*'Process'!U57),2),"")</x:f>
        <x:v>493.83</x:v>
      </x:c>
      <x:c r="G57" s="16" t="str">
        <x:f>IF(AND(AND(56&lt;='Control Room'!$B$3,'Control Room'!$D$3="Ready"),5&lt;='Control Room'!$B$2),ROUND(MAX(0,'Process'!Y57*'Control Room'!$H$8*INDEX('Control Room'!$B$19:$H$19,1,WEEKDAY($A57,2))*(1+'Control Room'!$D$9)^55*'Process'!Z57),2),"")</x:f>
      </x:c>
      <x:c r="H57" s="16" t="str">
        <x:f>IF(AND(AND(56&lt;='Control Room'!$B$3,'Control Room'!$D$3="Ready"),6&lt;='Control Room'!$B$2),ROUND(MAX(0,'Process'!AD57*'Control Room'!$H$9*INDEX('Control Room'!$B$19:$H$19,1,WEEKDAY($A57,2))*(1+'Control Room'!$D$9)^55*'Process'!AE57),2),"")</x:f>
      </x:c>
      <x:c r="I57" s="16" t="str">
        <x:f>IF(AND(AND(56&lt;='Control Room'!$B$3,'Control Room'!$D$3="Ready"),7&lt;='Control Room'!$B$2),ROUND(MAX(0,'Process'!AI57*'Control Room'!$H$10*INDEX('Control Room'!$B$19:$H$19,1,WEEKDAY($A57,2))*(1+'Control Room'!$D$9)^55*'Process'!AJ57),2),"")</x:f>
      </x:c>
      <x:c r="J57" s="16" t="str">
        <x:f>IF(AND(AND(56&lt;='Control Room'!$B$3,'Control Room'!$D$3="Ready"),8&lt;='Control Room'!$B$2),ROUND(MAX(0,'Process'!AN57*'Control Room'!$H$11*INDEX('Control Room'!$B$19:$H$19,1,WEEKDAY($A57,2))*(1+'Control Room'!$D$9)^55*'Process'!AO57),2),"")</x:f>
      </x:c>
      <x:c r="K57" s="16" t="str">
        <x:f>IF(AND(AND(56&lt;='Control Room'!$B$3,'Control Room'!$D$3="Ready"),9&lt;='Control Room'!$B$2),ROUND(MAX(0,'Process'!AS57*'Control Room'!$H$12*INDEX('Control Room'!$B$19:$H$19,1,WEEKDAY($A57,2))*(1+'Control Room'!$D$9)^55*'Process'!AT57),2),"")</x:f>
      </x:c>
      <x:c r="L57" s="16" t="str">
        <x:f>IF(AND(AND(56&lt;='Control Room'!$B$3,'Control Room'!$D$3="Ready"),10&lt;='Control Room'!$B$2),ROUND(MAX(0,'Process'!AX57*'Control Room'!$H$13*INDEX('Control Room'!$B$19:$H$19,1,WEEKDAY($A57,2))*(1+'Control Room'!$D$9)^55*'Process'!AY57),2),"")</x:f>
      </x:c>
      <x:c r="M57" s="16" t="str">
        <x:f>IF(AND(AND(56&lt;='Control Room'!$B$3,'Control Room'!$D$3="Ready"),11&lt;='Control Room'!$B$2),ROUND(MAX(0,'Process'!BC57*'Control Room'!$H$14*INDEX('Control Room'!$B$19:$H$19,1,WEEKDAY($A57,2))*(1+'Control Room'!$D$9)^55*'Process'!BD57),2),"")</x:f>
      </x:c>
      <x:c r="N57" s="16" t="str">
        <x:f>IF(AND(AND(56&lt;='Control Room'!$B$3,'Control Room'!$D$3="Ready"),12&lt;='Control Room'!$B$2),ROUND(MAX(0,'Process'!BH57*'Control Room'!$H$15*INDEX('Control Room'!$B$19:$H$19,1,WEEKDAY($A57,2))*(1+'Control Room'!$D$9)^55*'Process'!BI57),2),"")</x:f>
      </x:c>
    </x:row>
    <x:row r="58" ht="21" customHeight="1">
      <x:c r="A58" s="15" t="n">
        <x:f>IF(AND(57&lt;='Control Room'!$B$3,'Control Room'!$D$3="Ready"),'Process'!A58,"")</x:f>
        <x:v>73047</x:v>
      </x:c>
      <x:c r="B58" s="16" t="n">
        <x:f>IF(A58="","",SUM(C58:N58))</x:f>
        <x:v>3770.85</x:v>
      </x:c>
      <x:c r="C58" s="16" t="n">
        <x:f>IF(AND(AND(57&lt;='Control Room'!$B$3,'Control Room'!$D$3="Ready"),1&lt;='Control Room'!$B$2),ROUND(MAX(0,'Process'!E58*'Control Room'!$H$4*INDEX('Control Room'!$B$19:$H$19,1,WEEKDAY($A58,2))*(1+'Control Room'!$D$9)^56*'Process'!F58),2),"")</x:f>
        <x:v>1029.37</x:v>
      </x:c>
      <x:c r="D58" s="16" t="n">
        <x:f>IF(AND(AND(57&lt;='Control Room'!$B$3,'Control Room'!$D$3="Ready"),2&lt;='Control Room'!$B$2),ROUND(MAX(0,'Process'!J58*'Control Room'!$H$5*INDEX('Control Room'!$B$19:$H$19,1,WEEKDAY($A58,2))*(1+'Control Room'!$D$9)^56*'Process'!K58),2),"")</x:f>
        <x:v>761.8</x:v>
      </x:c>
      <x:c r="E58" s="16" t="n">
        <x:f>IF(AND(AND(57&lt;='Control Room'!$B$3,'Control Room'!$D$3="Ready"),3&lt;='Control Room'!$B$2),ROUND(MAX(0,'Process'!O58*'Control Room'!$H$6*INDEX('Control Room'!$B$19:$H$19,1,WEEKDAY($A58,2))*(1+'Control Room'!$D$9)^56*'Process'!P58),2),"")</x:f>
        <x:v>1221.93</x:v>
      </x:c>
      <x:c r="F58" s="16" t="n">
        <x:f>IF(AND(AND(57&lt;='Control Room'!$B$3,'Control Room'!$D$3="Ready"),4&lt;='Control Room'!$B$2),ROUND(MAX(0,'Process'!T58*'Control Room'!$H$7*INDEX('Control Room'!$B$19:$H$19,1,WEEKDAY($A58,2))*(1+'Control Room'!$D$9)^56*'Process'!U58),2),"")</x:f>
        <x:v>757.75</x:v>
      </x:c>
      <x:c r="G58" s="16" t="str">
        <x:f>IF(AND(AND(57&lt;='Control Room'!$B$3,'Control Room'!$D$3="Ready"),5&lt;='Control Room'!$B$2),ROUND(MAX(0,'Process'!Y58*'Control Room'!$H$8*INDEX('Control Room'!$B$19:$H$19,1,WEEKDAY($A58,2))*(1+'Control Room'!$D$9)^56*'Process'!Z58),2),"")</x:f>
      </x:c>
      <x:c r="H58" s="16" t="str">
        <x:f>IF(AND(AND(57&lt;='Control Room'!$B$3,'Control Room'!$D$3="Ready"),6&lt;='Control Room'!$B$2),ROUND(MAX(0,'Process'!AD58*'Control Room'!$H$9*INDEX('Control Room'!$B$19:$H$19,1,WEEKDAY($A58,2))*(1+'Control Room'!$D$9)^56*'Process'!AE58),2),"")</x:f>
      </x:c>
      <x:c r="I58" s="16" t="str">
        <x:f>IF(AND(AND(57&lt;='Control Room'!$B$3,'Control Room'!$D$3="Ready"),7&lt;='Control Room'!$B$2),ROUND(MAX(0,'Process'!AI58*'Control Room'!$H$10*INDEX('Control Room'!$B$19:$H$19,1,WEEKDAY($A58,2))*(1+'Control Room'!$D$9)^56*'Process'!AJ58),2),"")</x:f>
      </x:c>
      <x:c r="J58" s="16" t="str">
        <x:f>IF(AND(AND(57&lt;='Control Room'!$B$3,'Control Room'!$D$3="Ready"),8&lt;='Control Room'!$B$2),ROUND(MAX(0,'Process'!AN58*'Control Room'!$H$11*INDEX('Control Room'!$B$19:$H$19,1,WEEKDAY($A58,2))*(1+'Control Room'!$D$9)^56*'Process'!AO58),2),"")</x:f>
      </x:c>
      <x:c r="K58" s="16" t="str">
        <x:f>IF(AND(AND(57&lt;='Control Room'!$B$3,'Control Room'!$D$3="Ready"),9&lt;='Control Room'!$B$2),ROUND(MAX(0,'Process'!AS58*'Control Room'!$H$12*INDEX('Control Room'!$B$19:$H$19,1,WEEKDAY($A58,2))*(1+'Control Room'!$D$9)^56*'Process'!AT58),2),"")</x:f>
      </x:c>
      <x:c r="L58" s="16" t="str">
        <x:f>IF(AND(AND(57&lt;='Control Room'!$B$3,'Control Room'!$D$3="Ready"),10&lt;='Control Room'!$B$2),ROUND(MAX(0,'Process'!AX58*'Control Room'!$H$13*INDEX('Control Room'!$B$19:$H$19,1,WEEKDAY($A58,2))*(1+'Control Room'!$D$9)^56*'Process'!AY58),2),"")</x:f>
      </x:c>
      <x:c r="M58" s="16" t="str">
        <x:f>IF(AND(AND(57&lt;='Control Room'!$B$3,'Control Room'!$D$3="Ready"),11&lt;='Control Room'!$B$2),ROUND(MAX(0,'Process'!BC58*'Control Room'!$H$14*INDEX('Control Room'!$B$19:$H$19,1,WEEKDAY($A58,2))*(1+'Control Room'!$D$9)^56*'Process'!BD58),2),"")</x:f>
      </x:c>
      <x:c r="N58" s="16" t="str">
        <x:f>IF(AND(AND(57&lt;='Control Room'!$B$3,'Control Room'!$D$3="Ready"),12&lt;='Control Room'!$B$2),ROUND(MAX(0,'Process'!BH58*'Control Room'!$H$15*INDEX('Control Room'!$B$19:$H$19,1,WEEKDAY($A58,2))*(1+'Control Room'!$D$9)^56*'Process'!BI58),2),"")</x:f>
      </x:c>
    </x:row>
    <x:row r="59" ht="21" customHeight="1">
      <x:c r="A59" s="15" t="n">
        <x:f>IF(AND(58&lt;='Control Room'!$B$3,'Control Room'!$D$3="Ready"),'Process'!A59,"")</x:f>
        <x:v>73048</x:v>
      </x:c>
      <x:c r="B59" s="16" t="n">
        <x:f>IF(A59="","",SUM(C59:N59))</x:f>
        <x:v>3954.7799999999997</x:v>
      </x:c>
      <x:c r="C59" s="16" t="n">
        <x:f>IF(AND(AND(58&lt;='Control Room'!$B$3,'Control Room'!$D$3="Ready"),1&lt;='Control Room'!$B$2),ROUND(MAX(0,'Process'!E59*'Control Room'!$H$4*INDEX('Control Room'!$B$19:$H$19,1,WEEKDAY($A59,2))*(1+'Control Room'!$D$9)^57*'Process'!F59),2),"")</x:f>
        <x:v>1030.97</x:v>
      </x:c>
      <x:c r="D59" s="16" t="n">
        <x:f>IF(AND(AND(58&lt;='Control Room'!$B$3,'Control Room'!$D$3="Ready"),2&lt;='Control Room'!$B$2),ROUND(MAX(0,'Process'!J59*'Control Room'!$H$5*INDEX('Control Room'!$B$19:$H$19,1,WEEKDAY($A59,2))*(1+'Control Room'!$D$9)^57*'Process'!K59),2),"")</x:f>
        <x:v>827.65</x:v>
      </x:c>
      <x:c r="E59" s="16" t="n">
        <x:f>IF(AND(AND(58&lt;='Control Room'!$B$3,'Control Room'!$D$3="Ready"),3&lt;='Control Room'!$B$2),ROUND(MAX(0,'Process'!O59*'Control Room'!$H$6*INDEX('Control Room'!$B$19:$H$19,1,WEEKDAY($A59,2))*(1+'Control Room'!$D$9)^57*'Process'!P59),2),"")</x:f>
        <x:v>1301.44</x:v>
      </x:c>
      <x:c r="F59" s="16" t="n">
        <x:f>IF(AND(AND(58&lt;='Control Room'!$B$3,'Control Room'!$D$3="Ready"),4&lt;='Control Room'!$B$2),ROUND(MAX(0,'Process'!T59*'Control Room'!$H$7*INDEX('Control Room'!$B$19:$H$19,1,WEEKDAY($A59,2))*(1+'Control Room'!$D$9)^57*'Process'!U59),2),"")</x:f>
        <x:v>794.72</x:v>
      </x:c>
      <x:c r="G59" s="16" t="str">
        <x:f>IF(AND(AND(58&lt;='Control Room'!$B$3,'Control Room'!$D$3="Ready"),5&lt;='Control Room'!$B$2),ROUND(MAX(0,'Process'!Y59*'Control Room'!$H$8*INDEX('Control Room'!$B$19:$H$19,1,WEEKDAY($A59,2))*(1+'Control Room'!$D$9)^57*'Process'!Z59),2),"")</x:f>
      </x:c>
      <x:c r="H59" s="16" t="str">
        <x:f>IF(AND(AND(58&lt;='Control Room'!$B$3,'Control Room'!$D$3="Ready"),6&lt;='Control Room'!$B$2),ROUND(MAX(0,'Process'!AD59*'Control Room'!$H$9*INDEX('Control Room'!$B$19:$H$19,1,WEEKDAY($A59,2))*(1+'Control Room'!$D$9)^57*'Process'!AE59),2),"")</x:f>
      </x:c>
      <x:c r="I59" s="16" t="str">
        <x:f>IF(AND(AND(58&lt;='Control Room'!$B$3,'Control Room'!$D$3="Ready"),7&lt;='Control Room'!$B$2),ROUND(MAX(0,'Process'!AI59*'Control Room'!$H$10*INDEX('Control Room'!$B$19:$H$19,1,WEEKDAY($A59,2))*(1+'Control Room'!$D$9)^57*'Process'!AJ59),2),"")</x:f>
      </x:c>
      <x:c r="J59" s="16" t="str">
        <x:f>IF(AND(AND(58&lt;='Control Room'!$B$3,'Control Room'!$D$3="Ready"),8&lt;='Control Room'!$B$2),ROUND(MAX(0,'Process'!AN59*'Control Room'!$H$11*INDEX('Control Room'!$B$19:$H$19,1,WEEKDAY($A59,2))*(1+'Control Room'!$D$9)^57*'Process'!AO59),2),"")</x:f>
      </x:c>
      <x:c r="K59" s="16" t="str">
        <x:f>IF(AND(AND(58&lt;='Control Room'!$B$3,'Control Room'!$D$3="Ready"),9&lt;='Control Room'!$B$2),ROUND(MAX(0,'Process'!AS59*'Control Room'!$H$12*INDEX('Control Room'!$B$19:$H$19,1,WEEKDAY($A59,2))*(1+'Control Room'!$D$9)^57*'Process'!AT59),2),"")</x:f>
      </x:c>
      <x:c r="L59" s="16" t="str">
        <x:f>IF(AND(AND(58&lt;='Control Room'!$B$3,'Control Room'!$D$3="Ready"),10&lt;='Control Room'!$B$2),ROUND(MAX(0,'Process'!AX59*'Control Room'!$H$13*INDEX('Control Room'!$B$19:$H$19,1,WEEKDAY($A59,2))*(1+'Control Room'!$D$9)^57*'Process'!AY59),2),"")</x:f>
      </x:c>
      <x:c r="M59" s="16" t="str">
        <x:f>IF(AND(AND(58&lt;='Control Room'!$B$3,'Control Room'!$D$3="Ready"),11&lt;='Control Room'!$B$2),ROUND(MAX(0,'Process'!BC59*'Control Room'!$H$14*INDEX('Control Room'!$B$19:$H$19,1,WEEKDAY($A59,2))*(1+'Control Room'!$D$9)^57*'Process'!BD59),2),"")</x:f>
      </x:c>
      <x:c r="N59" s="16" t="str">
        <x:f>IF(AND(AND(58&lt;='Control Room'!$B$3,'Control Room'!$D$3="Ready"),12&lt;='Control Room'!$B$2),ROUND(MAX(0,'Process'!BH59*'Control Room'!$H$15*INDEX('Control Room'!$B$19:$H$19,1,WEEKDAY($A59,2))*(1+'Control Room'!$D$9)^57*'Process'!BI59),2),"")</x:f>
      </x:c>
    </x:row>
    <x:row r="60" ht="21" customHeight="1">
      <x:c r="A60" s="15" t="n">
        <x:f>IF(AND(59&lt;='Control Room'!$B$3,'Control Room'!$D$3="Ready"),'Process'!A60,"")</x:f>
        <x:v>73049</x:v>
      </x:c>
      <x:c r="B60" s="16" t="n">
        <x:f>IF(A60="","",SUM(C60:N60))</x:f>
        <x:v>3988.0299999999997</x:v>
      </x:c>
      <x:c r="C60" s="16" t="n">
        <x:f>IF(AND(AND(59&lt;='Control Room'!$B$3,'Control Room'!$D$3="Ready"),1&lt;='Control Room'!$B$2),ROUND(MAX(0,'Process'!E60*'Control Room'!$H$4*INDEX('Control Room'!$B$19:$H$19,1,WEEKDAY($A60,2))*(1+'Control Room'!$D$9)^58*'Process'!F60),2),"")</x:f>
        <x:v>1142.51</x:v>
      </x:c>
      <x:c r="D60" s="16" t="n">
        <x:f>IF(AND(AND(59&lt;='Control Room'!$B$3,'Control Room'!$D$3="Ready"),2&lt;='Control Room'!$B$2),ROUND(MAX(0,'Process'!J60*'Control Room'!$H$5*INDEX('Control Room'!$B$19:$H$19,1,WEEKDAY($A60,2))*(1+'Control Room'!$D$9)^58*'Process'!K60),2),"")</x:f>
        <x:v>766.36</x:v>
      </x:c>
      <x:c r="E60" s="16" t="n">
        <x:f>IF(AND(AND(59&lt;='Control Room'!$B$3,'Control Room'!$D$3="Ready"),3&lt;='Control Room'!$B$2),ROUND(MAX(0,'Process'!O60*'Control Room'!$H$6*INDEX('Control Room'!$B$19:$H$19,1,WEEKDAY($A60,2))*(1+'Control Room'!$D$9)^58*'Process'!P60),2),"")</x:f>
        <x:v>1278.5</x:v>
      </x:c>
      <x:c r="F60" s="16" t="n">
        <x:f>IF(AND(AND(59&lt;='Control Room'!$B$3,'Control Room'!$D$3="Ready"),4&lt;='Control Room'!$B$2),ROUND(MAX(0,'Process'!T60*'Control Room'!$H$7*INDEX('Control Room'!$B$19:$H$19,1,WEEKDAY($A60,2))*(1+'Control Room'!$D$9)^58*'Process'!U60),2),"")</x:f>
        <x:v>800.66</x:v>
      </x:c>
      <x:c r="G60" s="16" t="str">
        <x:f>IF(AND(AND(59&lt;='Control Room'!$B$3,'Control Room'!$D$3="Ready"),5&lt;='Control Room'!$B$2),ROUND(MAX(0,'Process'!Y60*'Control Room'!$H$8*INDEX('Control Room'!$B$19:$H$19,1,WEEKDAY($A60,2))*(1+'Control Room'!$D$9)^58*'Process'!Z60),2),"")</x:f>
      </x:c>
      <x:c r="H60" s="16" t="str">
        <x:f>IF(AND(AND(59&lt;='Control Room'!$B$3,'Control Room'!$D$3="Ready"),6&lt;='Control Room'!$B$2),ROUND(MAX(0,'Process'!AD60*'Control Room'!$H$9*INDEX('Control Room'!$B$19:$H$19,1,WEEKDAY($A60,2))*(1+'Control Room'!$D$9)^58*'Process'!AE60),2),"")</x:f>
      </x:c>
      <x:c r="I60" s="16" t="str">
        <x:f>IF(AND(AND(59&lt;='Control Room'!$B$3,'Control Room'!$D$3="Ready"),7&lt;='Control Room'!$B$2),ROUND(MAX(0,'Process'!AI60*'Control Room'!$H$10*INDEX('Control Room'!$B$19:$H$19,1,WEEKDAY($A60,2))*(1+'Control Room'!$D$9)^58*'Process'!AJ60),2),"")</x:f>
      </x:c>
      <x:c r="J60" s="16" t="str">
        <x:f>IF(AND(AND(59&lt;='Control Room'!$B$3,'Control Room'!$D$3="Ready"),8&lt;='Control Room'!$B$2),ROUND(MAX(0,'Process'!AN60*'Control Room'!$H$11*INDEX('Control Room'!$B$19:$H$19,1,WEEKDAY($A60,2))*(1+'Control Room'!$D$9)^58*'Process'!AO60),2),"")</x:f>
      </x:c>
      <x:c r="K60" s="16" t="str">
        <x:f>IF(AND(AND(59&lt;='Control Room'!$B$3,'Control Room'!$D$3="Ready"),9&lt;='Control Room'!$B$2),ROUND(MAX(0,'Process'!AS60*'Control Room'!$H$12*INDEX('Control Room'!$B$19:$H$19,1,WEEKDAY($A60,2))*(1+'Control Room'!$D$9)^58*'Process'!AT60),2),"")</x:f>
      </x:c>
      <x:c r="L60" s="16" t="str">
        <x:f>IF(AND(AND(59&lt;='Control Room'!$B$3,'Control Room'!$D$3="Ready"),10&lt;='Control Room'!$B$2),ROUND(MAX(0,'Process'!AX60*'Control Room'!$H$13*INDEX('Control Room'!$B$19:$H$19,1,WEEKDAY($A60,2))*(1+'Control Room'!$D$9)^58*'Process'!AY60),2),"")</x:f>
      </x:c>
      <x:c r="M60" s="16" t="str">
        <x:f>IF(AND(AND(59&lt;='Control Room'!$B$3,'Control Room'!$D$3="Ready"),11&lt;='Control Room'!$B$2),ROUND(MAX(0,'Process'!BC60*'Control Room'!$H$14*INDEX('Control Room'!$B$19:$H$19,1,WEEKDAY($A60,2))*(1+'Control Room'!$D$9)^58*'Process'!BD60),2),"")</x:f>
      </x:c>
      <x:c r="N60" s="16" t="str">
        <x:f>IF(AND(AND(59&lt;='Control Room'!$B$3,'Control Room'!$D$3="Ready"),12&lt;='Control Room'!$B$2),ROUND(MAX(0,'Process'!BH60*'Control Room'!$H$15*INDEX('Control Room'!$B$19:$H$19,1,WEEKDAY($A60,2))*(1+'Control Room'!$D$9)^58*'Process'!BI60),2),"")</x:f>
      </x:c>
    </x:row>
    <x:row r="61" ht="21" customHeight="1">
      <x:c r="A61" s="15" t="n">
        <x:f>IF(AND(60&lt;='Control Room'!$B$3,'Control Room'!$D$3="Ready"),'Process'!A61,"")</x:f>
        <x:v>73050</x:v>
      </x:c>
      <x:c r="B61" s="16" t="n">
        <x:f>IF(A61="","",SUM(C61:N61))</x:f>
        <x:v>4011.86</x:v>
      </x:c>
      <x:c r="C61" s="16" t="n">
        <x:f>IF(AND(AND(60&lt;='Control Room'!$B$3,'Control Room'!$D$3="Ready"),1&lt;='Control Room'!$B$2),ROUND(MAX(0,'Process'!E61*'Control Room'!$H$4*INDEX('Control Room'!$B$19:$H$19,1,WEEKDAY($A61,2))*(1+'Control Room'!$D$9)^59*'Process'!F61),2),"")</x:f>
        <x:v>1170.04</x:v>
      </x:c>
      <x:c r="D61" s="16" t="n">
        <x:f>IF(AND(AND(60&lt;='Control Room'!$B$3,'Control Room'!$D$3="Ready"),2&lt;='Control Room'!$B$2),ROUND(MAX(0,'Process'!J61*'Control Room'!$H$5*INDEX('Control Room'!$B$19:$H$19,1,WEEKDAY($A61,2))*(1+'Control Room'!$D$9)^59*'Process'!K61),2),"")</x:f>
        <x:v>753</x:v>
      </x:c>
      <x:c r="E61" s="16" t="n">
        <x:f>IF(AND(AND(60&lt;='Control Room'!$B$3,'Control Room'!$D$3="Ready"),3&lt;='Control Room'!$B$2),ROUND(MAX(0,'Process'!O61*'Control Room'!$H$6*INDEX('Control Room'!$B$19:$H$19,1,WEEKDAY($A61,2))*(1+'Control Room'!$D$9)^59*'Process'!P61),2),"")</x:f>
        <x:v>1359.51</x:v>
      </x:c>
      <x:c r="F61" s="16" t="n">
        <x:f>IF(AND(AND(60&lt;='Control Room'!$B$3,'Control Room'!$D$3="Ready"),4&lt;='Control Room'!$B$2),ROUND(MAX(0,'Process'!T61*'Control Room'!$H$7*INDEX('Control Room'!$B$19:$H$19,1,WEEKDAY($A61,2))*(1+'Control Room'!$D$9)^59*'Process'!U61),2),"")</x:f>
        <x:v>729.31</x:v>
      </x:c>
      <x:c r="G61" s="16" t="str">
        <x:f>IF(AND(AND(60&lt;='Control Room'!$B$3,'Control Room'!$D$3="Ready"),5&lt;='Control Room'!$B$2),ROUND(MAX(0,'Process'!Y61*'Control Room'!$H$8*INDEX('Control Room'!$B$19:$H$19,1,WEEKDAY($A61,2))*(1+'Control Room'!$D$9)^59*'Process'!Z61),2),"")</x:f>
      </x:c>
      <x:c r="H61" s="16" t="str">
        <x:f>IF(AND(AND(60&lt;='Control Room'!$B$3,'Control Room'!$D$3="Ready"),6&lt;='Control Room'!$B$2),ROUND(MAX(0,'Process'!AD61*'Control Room'!$H$9*INDEX('Control Room'!$B$19:$H$19,1,WEEKDAY($A61,2))*(1+'Control Room'!$D$9)^59*'Process'!AE61),2),"")</x:f>
      </x:c>
      <x:c r="I61" s="16" t="str">
        <x:f>IF(AND(AND(60&lt;='Control Room'!$B$3,'Control Room'!$D$3="Ready"),7&lt;='Control Room'!$B$2),ROUND(MAX(0,'Process'!AI61*'Control Room'!$H$10*INDEX('Control Room'!$B$19:$H$19,1,WEEKDAY($A61,2))*(1+'Control Room'!$D$9)^59*'Process'!AJ61),2),"")</x:f>
      </x:c>
      <x:c r="J61" s="16" t="str">
        <x:f>IF(AND(AND(60&lt;='Control Room'!$B$3,'Control Room'!$D$3="Ready"),8&lt;='Control Room'!$B$2),ROUND(MAX(0,'Process'!AN61*'Control Room'!$H$11*INDEX('Control Room'!$B$19:$H$19,1,WEEKDAY($A61,2))*(1+'Control Room'!$D$9)^59*'Process'!AO61),2),"")</x:f>
      </x:c>
      <x:c r="K61" s="16" t="str">
        <x:f>IF(AND(AND(60&lt;='Control Room'!$B$3,'Control Room'!$D$3="Ready"),9&lt;='Control Room'!$B$2),ROUND(MAX(0,'Process'!AS61*'Control Room'!$H$12*INDEX('Control Room'!$B$19:$H$19,1,WEEKDAY($A61,2))*(1+'Control Room'!$D$9)^59*'Process'!AT61),2),"")</x:f>
      </x:c>
      <x:c r="L61" s="16" t="str">
        <x:f>IF(AND(AND(60&lt;='Control Room'!$B$3,'Control Room'!$D$3="Ready"),10&lt;='Control Room'!$B$2),ROUND(MAX(0,'Process'!AX61*'Control Room'!$H$13*INDEX('Control Room'!$B$19:$H$19,1,WEEKDAY($A61,2))*(1+'Control Room'!$D$9)^59*'Process'!AY61),2),"")</x:f>
      </x:c>
      <x:c r="M61" s="16" t="str">
        <x:f>IF(AND(AND(60&lt;='Control Room'!$B$3,'Control Room'!$D$3="Ready"),11&lt;='Control Room'!$B$2),ROUND(MAX(0,'Process'!BC61*'Control Room'!$H$14*INDEX('Control Room'!$B$19:$H$19,1,WEEKDAY($A61,2))*(1+'Control Room'!$D$9)^59*'Process'!BD61),2),"")</x:f>
      </x:c>
      <x:c r="N61" s="16" t="str">
        <x:f>IF(AND(AND(60&lt;='Control Room'!$B$3,'Control Room'!$D$3="Ready"),12&lt;='Control Room'!$B$2),ROUND(MAX(0,'Process'!BH61*'Control Room'!$H$15*INDEX('Control Room'!$B$19:$H$19,1,WEEKDAY($A61,2))*(1+'Control Room'!$D$9)^59*'Process'!BI61),2),"")</x:f>
      </x:c>
    </x:row>
    <x:row r="62" ht="21" customHeight="1">
      <x:c r="A62" s="15" t="n">
        <x:f>IF(AND(61&lt;='Control Room'!$B$3,'Control Room'!$D$3="Ready"),'Process'!A62,"")</x:f>
        <x:v>73051</x:v>
      </x:c>
      <x:c r="B62" s="16" t="n">
        <x:f>IF(A62="","",SUM(C62:N62))</x:f>
        <x:v>4202.299999999999</x:v>
      </x:c>
      <x:c r="C62" s="16" t="n">
        <x:f>IF(AND(AND(61&lt;='Control Room'!$B$3,'Control Room'!$D$3="Ready"),1&lt;='Control Room'!$B$2),ROUND(MAX(0,'Process'!E62*'Control Room'!$H$4*INDEX('Control Room'!$B$19:$H$19,1,WEEKDAY($A62,2))*(1+'Control Room'!$D$9)^60*'Process'!F62),2),"")</x:f>
        <x:v>1267.56</x:v>
      </x:c>
      <x:c r="D62" s="16" t="n">
        <x:f>IF(AND(AND(61&lt;='Control Room'!$B$3,'Control Room'!$D$3="Ready"),2&lt;='Control Room'!$B$2),ROUND(MAX(0,'Process'!J62*'Control Room'!$H$5*INDEX('Control Room'!$B$19:$H$19,1,WEEKDAY($A62,2))*(1+'Control Room'!$D$9)^60*'Process'!K62),2),"")</x:f>
        <x:v>809.21</x:v>
      </x:c>
      <x:c r="E62" s="16" t="n">
        <x:f>IF(AND(AND(61&lt;='Control Room'!$B$3,'Control Room'!$D$3="Ready"),3&lt;='Control Room'!$B$2),ROUND(MAX(0,'Process'!O62*'Control Room'!$H$6*INDEX('Control Room'!$B$19:$H$19,1,WEEKDAY($A62,2))*(1+'Control Room'!$D$9)^60*'Process'!P62),2),"")</x:f>
        <x:v>1317.09</x:v>
      </x:c>
      <x:c r="F62" s="16" t="n">
        <x:f>IF(AND(AND(61&lt;='Control Room'!$B$3,'Control Room'!$D$3="Ready"),4&lt;='Control Room'!$B$2),ROUND(MAX(0,'Process'!T62*'Control Room'!$H$7*INDEX('Control Room'!$B$19:$H$19,1,WEEKDAY($A62,2))*(1+'Control Room'!$D$9)^60*'Process'!U62),2),"")</x:f>
        <x:v>808.44</x:v>
      </x:c>
      <x:c r="G62" s="16" t="str">
        <x:f>IF(AND(AND(61&lt;='Control Room'!$B$3,'Control Room'!$D$3="Ready"),5&lt;='Control Room'!$B$2),ROUND(MAX(0,'Process'!Y62*'Control Room'!$H$8*INDEX('Control Room'!$B$19:$H$19,1,WEEKDAY($A62,2))*(1+'Control Room'!$D$9)^60*'Process'!Z62),2),"")</x:f>
      </x:c>
      <x:c r="H62" s="16" t="str">
        <x:f>IF(AND(AND(61&lt;='Control Room'!$B$3,'Control Room'!$D$3="Ready"),6&lt;='Control Room'!$B$2),ROUND(MAX(0,'Process'!AD62*'Control Room'!$H$9*INDEX('Control Room'!$B$19:$H$19,1,WEEKDAY($A62,2))*(1+'Control Room'!$D$9)^60*'Process'!AE62),2),"")</x:f>
      </x:c>
      <x:c r="I62" s="16" t="str">
        <x:f>IF(AND(AND(61&lt;='Control Room'!$B$3,'Control Room'!$D$3="Ready"),7&lt;='Control Room'!$B$2),ROUND(MAX(0,'Process'!AI62*'Control Room'!$H$10*INDEX('Control Room'!$B$19:$H$19,1,WEEKDAY($A62,2))*(1+'Control Room'!$D$9)^60*'Process'!AJ62),2),"")</x:f>
      </x:c>
      <x:c r="J62" s="16" t="str">
        <x:f>IF(AND(AND(61&lt;='Control Room'!$B$3,'Control Room'!$D$3="Ready"),8&lt;='Control Room'!$B$2),ROUND(MAX(0,'Process'!AN62*'Control Room'!$H$11*INDEX('Control Room'!$B$19:$H$19,1,WEEKDAY($A62,2))*(1+'Control Room'!$D$9)^60*'Process'!AO62),2),"")</x:f>
      </x:c>
      <x:c r="K62" s="16" t="str">
        <x:f>IF(AND(AND(61&lt;='Control Room'!$B$3,'Control Room'!$D$3="Ready"),9&lt;='Control Room'!$B$2),ROUND(MAX(0,'Process'!AS62*'Control Room'!$H$12*INDEX('Control Room'!$B$19:$H$19,1,WEEKDAY($A62,2))*(1+'Control Room'!$D$9)^60*'Process'!AT62),2),"")</x:f>
      </x:c>
      <x:c r="L62" s="16" t="str">
        <x:f>IF(AND(AND(61&lt;='Control Room'!$B$3,'Control Room'!$D$3="Ready"),10&lt;='Control Room'!$B$2),ROUND(MAX(0,'Process'!AX62*'Control Room'!$H$13*INDEX('Control Room'!$B$19:$H$19,1,WEEKDAY($A62,2))*(1+'Control Room'!$D$9)^60*'Process'!AY62),2),"")</x:f>
      </x:c>
      <x:c r="M62" s="16" t="str">
        <x:f>IF(AND(AND(61&lt;='Control Room'!$B$3,'Control Room'!$D$3="Ready"),11&lt;='Control Room'!$B$2),ROUND(MAX(0,'Process'!BC62*'Control Room'!$H$14*INDEX('Control Room'!$B$19:$H$19,1,WEEKDAY($A62,2))*(1+'Control Room'!$D$9)^60*'Process'!BD62),2),"")</x:f>
      </x:c>
      <x:c r="N62" s="16" t="str">
        <x:f>IF(AND(AND(61&lt;='Control Room'!$B$3,'Control Room'!$D$3="Ready"),12&lt;='Control Room'!$B$2),ROUND(MAX(0,'Process'!BH62*'Control Room'!$H$15*INDEX('Control Room'!$B$19:$H$19,1,WEEKDAY($A62,2))*(1+'Control Room'!$D$9)^60*'Process'!BI62),2),"")</x:f>
      </x:c>
    </x:row>
    <x:row r="63" ht="21" customHeight="1">
      <x:c r="A63" s="15" t="n">
        <x:f>IF(AND(62&lt;='Control Room'!$B$3,'Control Room'!$D$3="Ready"),'Process'!A63,"")</x:f>
        <x:v>73052</x:v>
      </x:c>
      <x:c r="B63" s="16" t="n">
        <x:f>IF(A63="","",SUM(C63:N63))</x:f>
        <x:v>3524.32</x:v>
      </x:c>
      <x:c r="C63" s="16" t="n">
        <x:f>IF(AND(AND(62&lt;='Control Room'!$B$3,'Control Room'!$D$3="Ready"),1&lt;='Control Room'!$B$2),ROUND(MAX(0,'Process'!E63*'Control Room'!$H$4*INDEX('Control Room'!$B$19:$H$19,1,WEEKDAY($A63,2))*(1+'Control Room'!$D$9)^61*'Process'!F63),2),"")</x:f>
        <x:v>1103.98</x:v>
      </x:c>
      <x:c r="D63" s="16" t="n">
        <x:f>IF(AND(AND(62&lt;='Control Room'!$B$3,'Control Room'!$D$3="Ready"),2&lt;='Control Room'!$B$2),ROUND(MAX(0,'Process'!J63*'Control Room'!$H$5*INDEX('Control Room'!$B$19:$H$19,1,WEEKDAY($A63,2))*(1+'Control Room'!$D$9)^61*'Process'!K63),2),"")</x:f>
        <x:v>635.15</x:v>
      </x:c>
      <x:c r="E63" s="16" t="n">
        <x:f>IF(AND(AND(62&lt;='Control Room'!$B$3,'Control Room'!$D$3="Ready"),3&lt;='Control Room'!$B$2),ROUND(MAX(0,'Process'!O63*'Control Room'!$H$6*INDEX('Control Room'!$B$19:$H$19,1,WEEKDAY($A63,2))*(1+'Control Room'!$D$9)^61*'Process'!P63),2),"")</x:f>
        <x:v>1158.67</x:v>
      </x:c>
      <x:c r="F63" s="16" t="n">
        <x:f>IF(AND(AND(62&lt;='Control Room'!$B$3,'Control Room'!$D$3="Ready"),4&lt;='Control Room'!$B$2),ROUND(MAX(0,'Process'!T63*'Control Room'!$H$7*INDEX('Control Room'!$B$19:$H$19,1,WEEKDAY($A63,2))*(1+'Control Room'!$D$9)^61*'Process'!U63),2),"")</x:f>
        <x:v>626.52</x:v>
      </x:c>
      <x:c r="G63" s="16" t="str">
        <x:f>IF(AND(AND(62&lt;='Control Room'!$B$3,'Control Room'!$D$3="Ready"),5&lt;='Control Room'!$B$2),ROUND(MAX(0,'Process'!Y63*'Control Room'!$H$8*INDEX('Control Room'!$B$19:$H$19,1,WEEKDAY($A63,2))*(1+'Control Room'!$D$9)^61*'Process'!Z63),2),"")</x:f>
      </x:c>
      <x:c r="H63" s="16" t="str">
        <x:f>IF(AND(AND(62&lt;='Control Room'!$B$3,'Control Room'!$D$3="Ready"),6&lt;='Control Room'!$B$2),ROUND(MAX(0,'Process'!AD63*'Control Room'!$H$9*INDEX('Control Room'!$B$19:$H$19,1,WEEKDAY($A63,2))*(1+'Control Room'!$D$9)^61*'Process'!AE63),2),"")</x:f>
      </x:c>
      <x:c r="I63" s="16" t="str">
        <x:f>IF(AND(AND(62&lt;='Control Room'!$B$3,'Control Room'!$D$3="Ready"),7&lt;='Control Room'!$B$2),ROUND(MAX(0,'Process'!AI63*'Control Room'!$H$10*INDEX('Control Room'!$B$19:$H$19,1,WEEKDAY($A63,2))*(1+'Control Room'!$D$9)^61*'Process'!AJ63),2),"")</x:f>
      </x:c>
      <x:c r="J63" s="16" t="str">
        <x:f>IF(AND(AND(62&lt;='Control Room'!$B$3,'Control Room'!$D$3="Ready"),8&lt;='Control Room'!$B$2),ROUND(MAX(0,'Process'!AN63*'Control Room'!$H$11*INDEX('Control Room'!$B$19:$H$19,1,WEEKDAY($A63,2))*(1+'Control Room'!$D$9)^61*'Process'!AO63),2),"")</x:f>
      </x:c>
      <x:c r="K63" s="16" t="str">
        <x:f>IF(AND(AND(62&lt;='Control Room'!$B$3,'Control Room'!$D$3="Ready"),9&lt;='Control Room'!$B$2),ROUND(MAX(0,'Process'!AS63*'Control Room'!$H$12*INDEX('Control Room'!$B$19:$H$19,1,WEEKDAY($A63,2))*(1+'Control Room'!$D$9)^61*'Process'!AT63),2),"")</x:f>
      </x:c>
      <x:c r="L63" s="16" t="str">
        <x:f>IF(AND(AND(62&lt;='Control Room'!$B$3,'Control Room'!$D$3="Ready"),10&lt;='Control Room'!$B$2),ROUND(MAX(0,'Process'!AX63*'Control Room'!$H$13*INDEX('Control Room'!$B$19:$H$19,1,WEEKDAY($A63,2))*(1+'Control Room'!$D$9)^61*'Process'!AY63),2),"")</x:f>
      </x:c>
      <x:c r="M63" s="16" t="str">
        <x:f>IF(AND(AND(62&lt;='Control Room'!$B$3,'Control Room'!$D$3="Ready"),11&lt;='Control Room'!$B$2),ROUND(MAX(0,'Process'!BC63*'Control Room'!$H$14*INDEX('Control Room'!$B$19:$H$19,1,WEEKDAY($A63,2))*(1+'Control Room'!$D$9)^61*'Process'!BD63),2),"")</x:f>
      </x:c>
      <x:c r="N63" s="16" t="str">
        <x:f>IF(AND(AND(62&lt;='Control Room'!$B$3,'Control Room'!$D$3="Ready"),12&lt;='Control Room'!$B$2),ROUND(MAX(0,'Process'!BH63*'Control Room'!$H$15*INDEX('Control Room'!$B$19:$H$19,1,WEEKDAY($A63,2))*(1+'Control Room'!$D$9)^61*'Process'!BI63),2),"")</x:f>
      </x:c>
    </x:row>
    <x:row r="64" ht="21" customHeight="1">
      <x:c r="A64" s="15" t="n">
        <x:f>IF(AND(63&lt;='Control Room'!$B$3,'Control Room'!$D$3="Ready"),'Process'!A64,"")</x:f>
        <x:v>73053</x:v>
      </x:c>
      <x:c r="B64" s="16" t="n">
        <x:f>IF(A64="","",SUM(C64:N64))</x:f>
        <x:v>2569.92</x:v>
      </x:c>
      <x:c r="C64" s="16" t="n">
        <x:f>IF(AND(AND(63&lt;='Control Room'!$B$3,'Control Room'!$D$3="Ready"),1&lt;='Control Room'!$B$2),ROUND(MAX(0,'Process'!E64*'Control Room'!$H$4*INDEX('Control Room'!$B$19:$H$19,1,WEEKDAY($A64,2))*(1+'Control Room'!$D$9)^62*'Process'!F64),2),"")</x:f>
        <x:v>765.56</x:v>
      </x:c>
      <x:c r="D64" s="16" t="n">
        <x:f>IF(AND(AND(63&lt;='Control Room'!$B$3,'Control Room'!$D$3="Ready"),2&lt;='Control Room'!$B$2),ROUND(MAX(0,'Process'!J64*'Control Room'!$H$5*INDEX('Control Room'!$B$19:$H$19,1,WEEKDAY($A64,2))*(1+'Control Room'!$D$9)^62*'Process'!K64),2),"")</x:f>
        <x:v>497.19</x:v>
      </x:c>
      <x:c r="E64" s="16" t="n">
        <x:f>IF(AND(AND(63&lt;='Control Room'!$B$3,'Control Room'!$D$3="Ready"),3&lt;='Control Room'!$B$2),ROUND(MAX(0,'Process'!O64*'Control Room'!$H$6*INDEX('Control Room'!$B$19:$H$19,1,WEEKDAY($A64,2))*(1+'Control Room'!$D$9)^62*'Process'!P64),2),"")</x:f>
        <x:v>902.62</x:v>
      </x:c>
      <x:c r="F64" s="16" t="n">
        <x:f>IF(AND(AND(63&lt;='Control Room'!$B$3,'Control Room'!$D$3="Ready"),4&lt;='Control Room'!$B$2),ROUND(MAX(0,'Process'!T64*'Control Room'!$H$7*INDEX('Control Room'!$B$19:$H$19,1,WEEKDAY($A64,2))*(1+'Control Room'!$D$9)^62*'Process'!U64),2),"")</x:f>
        <x:v>404.55</x:v>
      </x:c>
      <x:c r="G64" s="16" t="str">
        <x:f>IF(AND(AND(63&lt;='Control Room'!$B$3,'Control Room'!$D$3="Ready"),5&lt;='Control Room'!$B$2),ROUND(MAX(0,'Process'!Y64*'Control Room'!$H$8*INDEX('Control Room'!$B$19:$H$19,1,WEEKDAY($A64,2))*(1+'Control Room'!$D$9)^62*'Process'!Z64),2),"")</x:f>
      </x:c>
      <x:c r="H64" s="16" t="str">
        <x:f>IF(AND(AND(63&lt;='Control Room'!$B$3,'Control Room'!$D$3="Ready"),6&lt;='Control Room'!$B$2),ROUND(MAX(0,'Process'!AD64*'Control Room'!$H$9*INDEX('Control Room'!$B$19:$H$19,1,WEEKDAY($A64,2))*(1+'Control Room'!$D$9)^62*'Process'!AE64),2),"")</x:f>
      </x:c>
      <x:c r="I64" s="16" t="str">
        <x:f>IF(AND(AND(63&lt;='Control Room'!$B$3,'Control Room'!$D$3="Ready"),7&lt;='Control Room'!$B$2),ROUND(MAX(0,'Process'!AI64*'Control Room'!$H$10*INDEX('Control Room'!$B$19:$H$19,1,WEEKDAY($A64,2))*(1+'Control Room'!$D$9)^62*'Process'!AJ64),2),"")</x:f>
      </x:c>
      <x:c r="J64" s="16" t="str">
        <x:f>IF(AND(AND(63&lt;='Control Room'!$B$3,'Control Room'!$D$3="Ready"),8&lt;='Control Room'!$B$2),ROUND(MAX(0,'Process'!AN64*'Control Room'!$H$11*INDEX('Control Room'!$B$19:$H$19,1,WEEKDAY($A64,2))*(1+'Control Room'!$D$9)^62*'Process'!AO64),2),"")</x:f>
      </x:c>
      <x:c r="K64" s="16" t="str">
        <x:f>IF(AND(AND(63&lt;='Control Room'!$B$3,'Control Room'!$D$3="Ready"),9&lt;='Control Room'!$B$2),ROUND(MAX(0,'Process'!AS64*'Control Room'!$H$12*INDEX('Control Room'!$B$19:$H$19,1,WEEKDAY($A64,2))*(1+'Control Room'!$D$9)^62*'Process'!AT64),2),"")</x:f>
      </x:c>
      <x:c r="L64" s="16" t="str">
        <x:f>IF(AND(AND(63&lt;='Control Room'!$B$3,'Control Room'!$D$3="Ready"),10&lt;='Control Room'!$B$2),ROUND(MAX(0,'Process'!AX64*'Control Room'!$H$13*INDEX('Control Room'!$B$19:$H$19,1,WEEKDAY($A64,2))*(1+'Control Room'!$D$9)^62*'Process'!AY64),2),"")</x:f>
      </x:c>
      <x:c r="M64" s="16" t="str">
        <x:f>IF(AND(AND(63&lt;='Control Room'!$B$3,'Control Room'!$D$3="Ready"),11&lt;='Control Room'!$B$2),ROUND(MAX(0,'Process'!BC64*'Control Room'!$H$14*INDEX('Control Room'!$B$19:$H$19,1,WEEKDAY($A64,2))*(1+'Control Room'!$D$9)^62*'Process'!BD64),2),"")</x:f>
      </x:c>
      <x:c r="N64" s="16" t="str">
        <x:f>IF(AND(AND(63&lt;='Control Room'!$B$3,'Control Room'!$D$3="Ready"),12&lt;='Control Room'!$B$2),ROUND(MAX(0,'Process'!BH64*'Control Room'!$H$15*INDEX('Control Room'!$B$19:$H$19,1,WEEKDAY($A64,2))*(1+'Control Room'!$D$9)^62*'Process'!BI64),2),"")</x:f>
      </x:c>
    </x:row>
    <x:row r="65" ht="21" customHeight="1">
      <x:c r="A65" s="15" t="n">
        <x:f>IF(AND(64&lt;='Control Room'!$B$3,'Control Room'!$D$3="Ready"),'Process'!A65,"")</x:f>
        <x:v>73054</x:v>
      </x:c>
      <x:c r="B65" s="16" t="n">
        <x:f>IF(A65="","",SUM(C65:N65))</x:f>
        <x:v>3865.5800000000004</x:v>
      </x:c>
      <x:c r="C65" s="16" t="n">
        <x:f>IF(AND(AND(64&lt;='Control Room'!$B$3,'Control Room'!$D$3="Ready"),1&lt;='Control Room'!$B$2),ROUND(MAX(0,'Process'!E65*'Control Room'!$H$4*INDEX('Control Room'!$B$19:$H$19,1,WEEKDAY($A65,2))*(1+'Control Room'!$D$9)^63*'Process'!F65),2),"")</x:f>
        <x:v>1045.52</x:v>
      </x:c>
      <x:c r="D65" s="16" t="n">
        <x:f>IF(AND(AND(64&lt;='Control Room'!$B$3,'Control Room'!$D$3="Ready"),2&lt;='Control Room'!$B$2),ROUND(MAX(0,'Process'!J65*'Control Room'!$H$5*INDEX('Control Room'!$B$19:$H$19,1,WEEKDAY($A65,2))*(1+'Control Room'!$D$9)^63*'Process'!K65),2),"")</x:f>
        <x:v>706.31</x:v>
      </x:c>
      <x:c r="E65" s="16" t="n">
        <x:f>IF(AND(AND(64&lt;='Control Room'!$B$3,'Control Room'!$D$3="Ready"),3&lt;='Control Room'!$B$2),ROUND(MAX(0,'Process'!O65*'Control Room'!$H$6*INDEX('Control Room'!$B$19:$H$19,1,WEEKDAY($A65,2))*(1+'Control Room'!$D$9)^63*'Process'!P65),2),"")</x:f>
        <x:v>1559.14</x:v>
      </x:c>
      <x:c r="F65" s="16" t="n">
        <x:f>IF(AND(AND(64&lt;='Control Room'!$B$3,'Control Room'!$D$3="Ready"),4&lt;='Control Room'!$B$2),ROUND(MAX(0,'Process'!T65*'Control Room'!$H$7*INDEX('Control Room'!$B$19:$H$19,1,WEEKDAY($A65,2))*(1+'Control Room'!$D$9)^63*'Process'!U65),2),"")</x:f>
        <x:v>554.61</x:v>
      </x:c>
      <x:c r="G65" s="16" t="str">
        <x:f>IF(AND(AND(64&lt;='Control Room'!$B$3,'Control Room'!$D$3="Ready"),5&lt;='Control Room'!$B$2),ROUND(MAX(0,'Process'!Y65*'Control Room'!$H$8*INDEX('Control Room'!$B$19:$H$19,1,WEEKDAY($A65,2))*(1+'Control Room'!$D$9)^63*'Process'!Z65),2),"")</x:f>
      </x:c>
      <x:c r="H65" s="16" t="str">
        <x:f>IF(AND(AND(64&lt;='Control Room'!$B$3,'Control Room'!$D$3="Ready"),6&lt;='Control Room'!$B$2),ROUND(MAX(0,'Process'!AD65*'Control Room'!$H$9*INDEX('Control Room'!$B$19:$H$19,1,WEEKDAY($A65,2))*(1+'Control Room'!$D$9)^63*'Process'!AE65),2),"")</x:f>
      </x:c>
      <x:c r="I65" s="16" t="str">
        <x:f>IF(AND(AND(64&lt;='Control Room'!$B$3,'Control Room'!$D$3="Ready"),7&lt;='Control Room'!$B$2),ROUND(MAX(0,'Process'!AI65*'Control Room'!$H$10*INDEX('Control Room'!$B$19:$H$19,1,WEEKDAY($A65,2))*(1+'Control Room'!$D$9)^63*'Process'!AJ65),2),"")</x:f>
      </x:c>
      <x:c r="J65" s="16" t="str">
        <x:f>IF(AND(AND(64&lt;='Control Room'!$B$3,'Control Room'!$D$3="Ready"),8&lt;='Control Room'!$B$2),ROUND(MAX(0,'Process'!AN65*'Control Room'!$H$11*INDEX('Control Room'!$B$19:$H$19,1,WEEKDAY($A65,2))*(1+'Control Room'!$D$9)^63*'Process'!AO65),2),"")</x:f>
      </x:c>
      <x:c r="K65" s="16" t="str">
        <x:f>IF(AND(AND(64&lt;='Control Room'!$B$3,'Control Room'!$D$3="Ready"),9&lt;='Control Room'!$B$2),ROUND(MAX(0,'Process'!AS65*'Control Room'!$H$12*INDEX('Control Room'!$B$19:$H$19,1,WEEKDAY($A65,2))*(1+'Control Room'!$D$9)^63*'Process'!AT65),2),"")</x:f>
      </x:c>
      <x:c r="L65" s="16" t="str">
        <x:f>IF(AND(AND(64&lt;='Control Room'!$B$3,'Control Room'!$D$3="Ready"),10&lt;='Control Room'!$B$2),ROUND(MAX(0,'Process'!AX65*'Control Room'!$H$13*INDEX('Control Room'!$B$19:$H$19,1,WEEKDAY($A65,2))*(1+'Control Room'!$D$9)^63*'Process'!AY65),2),"")</x:f>
      </x:c>
      <x:c r="M65" s="16" t="str">
        <x:f>IF(AND(AND(64&lt;='Control Room'!$B$3,'Control Room'!$D$3="Ready"),11&lt;='Control Room'!$B$2),ROUND(MAX(0,'Process'!BC65*'Control Room'!$H$14*INDEX('Control Room'!$B$19:$H$19,1,WEEKDAY($A65,2))*(1+'Control Room'!$D$9)^63*'Process'!BD65),2),"")</x:f>
      </x:c>
      <x:c r="N65" s="16" t="str">
        <x:f>IF(AND(AND(64&lt;='Control Room'!$B$3,'Control Room'!$D$3="Ready"),12&lt;='Control Room'!$B$2),ROUND(MAX(0,'Process'!BH65*'Control Room'!$H$15*INDEX('Control Room'!$B$19:$H$19,1,WEEKDAY($A65,2))*(1+'Control Room'!$D$9)^63*'Process'!BI65),2),"")</x:f>
      </x:c>
    </x:row>
    <x:row r="66" ht="21" customHeight="1">
      <x:c r="A66" s="15" t="n">
        <x:f>IF(AND(65&lt;='Control Room'!$B$3,'Control Room'!$D$3="Ready"),'Process'!A66,"")</x:f>
        <x:v>73055</x:v>
      </x:c>
      <x:c r="B66" s="16" t="n">
        <x:f>IF(A66="","",SUM(C66:N66))</x:f>
        <x:v>3529.94</x:v>
      </x:c>
      <x:c r="C66" s="16" t="n">
        <x:f>IF(AND(AND(65&lt;='Control Room'!$B$3,'Control Room'!$D$3="Ready"),1&lt;='Control Room'!$B$2),ROUND(MAX(0,'Process'!E66*'Control Room'!$H$4*INDEX('Control Room'!$B$19:$H$19,1,WEEKDAY($A66,2))*(1+'Control Room'!$D$9)^64*'Process'!F66),2),"")</x:f>
        <x:v>881.05</x:v>
      </x:c>
      <x:c r="D66" s="16" t="n">
        <x:f>IF(AND(AND(65&lt;='Control Room'!$B$3,'Control Room'!$D$3="Ready"),2&lt;='Control Room'!$B$2),ROUND(MAX(0,'Process'!J66*'Control Room'!$H$5*INDEX('Control Room'!$B$19:$H$19,1,WEEKDAY($A66,2))*(1+'Control Room'!$D$9)^64*'Process'!K66),2),"")</x:f>
        <x:v>559.06</x:v>
      </x:c>
      <x:c r="E66" s="16" t="n">
        <x:f>IF(AND(AND(65&lt;='Control Room'!$B$3,'Control Room'!$D$3="Ready"),3&lt;='Control Room'!$B$2),ROUND(MAX(0,'Process'!O66*'Control Room'!$H$6*INDEX('Control Room'!$B$19:$H$19,1,WEEKDAY($A66,2))*(1+'Control Room'!$D$9)^64*'Process'!P66),2),"")</x:f>
        <x:v>1625.9</x:v>
      </x:c>
      <x:c r="F66" s="16" t="n">
        <x:f>IF(AND(AND(65&lt;='Control Room'!$B$3,'Control Room'!$D$3="Ready"),4&lt;='Control Room'!$B$2),ROUND(MAX(0,'Process'!T66*'Control Room'!$H$7*INDEX('Control Room'!$B$19:$H$19,1,WEEKDAY($A66,2))*(1+'Control Room'!$D$9)^64*'Process'!U66),2),"")</x:f>
        <x:v>463.93</x:v>
      </x:c>
      <x:c r="G66" s="16" t="str">
        <x:f>IF(AND(AND(65&lt;='Control Room'!$B$3,'Control Room'!$D$3="Ready"),5&lt;='Control Room'!$B$2),ROUND(MAX(0,'Process'!Y66*'Control Room'!$H$8*INDEX('Control Room'!$B$19:$H$19,1,WEEKDAY($A66,2))*(1+'Control Room'!$D$9)^64*'Process'!Z66),2),"")</x:f>
      </x:c>
      <x:c r="H66" s="16" t="str">
        <x:f>IF(AND(AND(65&lt;='Control Room'!$B$3,'Control Room'!$D$3="Ready"),6&lt;='Control Room'!$B$2),ROUND(MAX(0,'Process'!AD66*'Control Room'!$H$9*INDEX('Control Room'!$B$19:$H$19,1,WEEKDAY($A66,2))*(1+'Control Room'!$D$9)^64*'Process'!AE66),2),"")</x:f>
      </x:c>
      <x:c r="I66" s="16" t="str">
        <x:f>IF(AND(AND(65&lt;='Control Room'!$B$3,'Control Room'!$D$3="Ready"),7&lt;='Control Room'!$B$2),ROUND(MAX(0,'Process'!AI66*'Control Room'!$H$10*INDEX('Control Room'!$B$19:$H$19,1,WEEKDAY($A66,2))*(1+'Control Room'!$D$9)^64*'Process'!AJ66),2),"")</x:f>
      </x:c>
      <x:c r="J66" s="16" t="str">
        <x:f>IF(AND(AND(65&lt;='Control Room'!$B$3,'Control Room'!$D$3="Ready"),8&lt;='Control Room'!$B$2),ROUND(MAX(0,'Process'!AN66*'Control Room'!$H$11*INDEX('Control Room'!$B$19:$H$19,1,WEEKDAY($A66,2))*(1+'Control Room'!$D$9)^64*'Process'!AO66),2),"")</x:f>
      </x:c>
      <x:c r="K66" s="16" t="str">
        <x:f>IF(AND(AND(65&lt;='Control Room'!$B$3,'Control Room'!$D$3="Ready"),9&lt;='Control Room'!$B$2),ROUND(MAX(0,'Process'!AS66*'Control Room'!$H$12*INDEX('Control Room'!$B$19:$H$19,1,WEEKDAY($A66,2))*(1+'Control Room'!$D$9)^64*'Process'!AT66),2),"")</x:f>
      </x:c>
      <x:c r="L66" s="16" t="str">
        <x:f>IF(AND(AND(65&lt;='Control Room'!$B$3,'Control Room'!$D$3="Ready"),10&lt;='Control Room'!$B$2),ROUND(MAX(0,'Process'!AX66*'Control Room'!$H$13*INDEX('Control Room'!$B$19:$H$19,1,WEEKDAY($A66,2))*(1+'Control Room'!$D$9)^64*'Process'!AY66),2),"")</x:f>
      </x:c>
      <x:c r="M66" s="16" t="str">
        <x:f>IF(AND(AND(65&lt;='Control Room'!$B$3,'Control Room'!$D$3="Ready"),11&lt;='Control Room'!$B$2),ROUND(MAX(0,'Process'!BC66*'Control Room'!$H$14*INDEX('Control Room'!$B$19:$H$19,1,WEEKDAY($A66,2))*(1+'Control Room'!$D$9)^64*'Process'!BD66),2),"")</x:f>
      </x:c>
      <x:c r="N66" s="16" t="str">
        <x:f>IF(AND(AND(65&lt;='Control Room'!$B$3,'Control Room'!$D$3="Ready"),12&lt;='Control Room'!$B$2),ROUND(MAX(0,'Process'!BH66*'Control Room'!$H$15*INDEX('Control Room'!$B$19:$H$19,1,WEEKDAY($A66,2))*(1+'Control Room'!$D$9)^64*'Process'!BI66),2),"")</x:f>
      </x:c>
    </x:row>
    <x:row r="67" ht="21" customHeight="1">
      <x:c r="A67" s="15" t="n">
        <x:f>IF(AND(66&lt;='Control Room'!$B$3,'Control Room'!$D$3="Ready"),'Process'!A67,"")</x:f>
        <x:v>73056</x:v>
      </x:c>
      <x:c r="B67" s="16" t="n">
        <x:f>IF(A67="","",SUM(C67:N67))</x:f>
        <x:v>2838.71</x:v>
      </x:c>
      <x:c r="C67" s="16" t="n">
        <x:f>IF(AND(AND(66&lt;='Control Room'!$B$3,'Control Room'!$D$3="Ready"),1&lt;='Control Room'!$B$2),ROUND(MAX(0,'Process'!E67*'Control Room'!$H$4*INDEX('Control Room'!$B$19:$H$19,1,WEEKDAY($A67,2))*(1+'Control Room'!$D$9)^65*'Process'!F67),2),"")</x:f>
        <x:v>584.48</x:v>
      </x:c>
      <x:c r="D67" s="16" t="n">
        <x:f>IF(AND(AND(66&lt;='Control Room'!$B$3,'Control Room'!$D$3="Ready"),2&lt;='Control Room'!$B$2),ROUND(MAX(0,'Process'!J67*'Control Room'!$H$5*INDEX('Control Room'!$B$19:$H$19,1,WEEKDAY($A67,2))*(1+'Control Room'!$D$9)^65*'Process'!K67),2),"")</x:f>
        <x:v>377.77</x:v>
      </x:c>
      <x:c r="E67" s="16" t="n">
        <x:f>IF(AND(AND(66&lt;='Control Room'!$B$3,'Control Room'!$D$3="Ready"),3&lt;='Control Room'!$B$2),ROUND(MAX(0,'Process'!O67*'Control Room'!$H$6*INDEX('Control Room'!$B$19:$H$19,1,WEEKDAY($A67,2))*(1+'Control Room'!$D$9)^65*'Process'!P67),2),"")</x:f>
        <x:v>1555.29</x:v>
      </x:c>
      <x:c r="F67" s="16" t="n">
        <x:f>IF(AND(AND(66&lt;='Control Room'!$B$3,'Control Room'!$D$3="Ready"),4&lt;='Control Room'!$B$2),ROUND(MAX(0,'Process'!T67*'Control Room'!$H$7*INDEX('Control Room'!$B$19:$H$19,1,WEEKDAY($A67,2))*(1+'Control Room'!$D$9)^65*'Process'!U67),2),"")</x:f>
        <x:v>321.17</x:v>
      </x:c>
      <x:c r="G67" s="16" t="str">
        <x:f>IF(AND(AND(66&lt;='Control Room'!$B$3,'Control Room'!$D$3="Ready"),5&lt;='Control Room'!$B$2),ROUND(MAX(0,'Process'!Y67*'Control Room'!$H$8*INDEX('Control Room'!$B$19:$H$19,1,WEEKDAY($A67,2))*(1+'Control Room'!$D$9)^65*'Process'!Z67),2),"")</x:f>
      </x:c>
      <x:c r="H67" s="16" t="str">
        <x:f>IF(AND(AND(66&lt;='Control Room'!$B$3,'Control Room'!$D$3="Ready"),6&lt;='Control Room'!$B$2),ROUND(MAX(0,'Process'!AD67*'Control Room'!$H$9*INDEX('Control Room'!$B$19:$H$19,1,WEEKDAY($A67,2))*(1+'Control Room'!$D$9)^65*'Process'!AE67),2),"")</x:f>
      </x:c>
      <x:c r="I67" s="16" t="str">
        <x:f>IF(AND(AND(66&lt;='Control Room'!$B$3,'Control Room'!$D$3="Ready"),7&lt;='Control Room'!$B$2),ROUND(MAX(0,'Process'!AI67*'Control Room'!$H$10*INDEX('Control Room'!$B$19:$H$19,1,WEEKDAY($A67,2))*(1+'Control Room'!$D$9)^65*'Process'!AJ67),2),"")</x:f>
      </x:c>
      <x:c r="J67" s="16" t="str">
        <x:f>IF(AND(AND(66&lt;='Control Room'!$B$3,'Control Room'!$D$3="Ready"),8&lt;='Control Room'!$B$2),ROUND(MAX(0,'Process'!AN67*'Control Room'!$H$11*INDEX('Control Room'!$B$19:$H$19,1,WEEKDAY($A67,2))*(1+'Control Room'!$D$9)^65*'Process'!AO67),2),"")</x:f>
      </x:c>
      <x:c r="K67" s="16" t="str">
        <x:f>IF(AND(AND(66&lt;='Control Room'!$B$3,'Control Room'!$D$3="Ready"),9&lt;='Control Room'!$B$2),ROUND(MAX(0,'Process'!AS67*'Control Room'!$H$12*INDEX('Control Room'!$B$19:$H$19,1,WEEKDAY($A67,2))*(1+'Control Room'!$D$9)^65*'Process'!AT67),2),"")</x:f>
      </x:c>
      <x:c r="L67" s="16" t="str">
        <x:f>IF(AND(AND(66&lt;='Control Room'!$B$3,'Control Room'!$D$3="Ready"),10&lt;='Control Room'!$B$2),ROUND(MAX(0,'Process'!AX67*'Control Room'!$H$13*INDEX('Control Room'!$B$19:$H$19,1,WEEKDAY($A67,2))*(1+'Control Room'!$D$9)^65*'Process'!AY67),2),"")</x:f>
      </x:c>
      <x:c r="M67" s="16" t="str">
        <x:f>IF(AND(AND(66&lt;='Control Room'!$B$3,'Control Room'!$D$3="Ready"),11&lt;='Control Room'!$B$2),ROUND(MAX(0,'Process'!BC67*'Control Room'!$H$14*INDEX('Control Room'!$B$19:$H$19,1,WEEKDAY($A67,2))*(1+'Control Room'!$D$9)^65*'Process'!BD67),2),"")</x:f>
      </x:c>
      <x:c r="N67" s="16" t="str">
        <x:f>IF(AND(AND(66&lt;='Control Room'!$B$3,'Control Room'!$D$3="Ready"),12&lt;='Control Room'!$B$2),ROUND(MAX(0,'Process'!BH67*'Control Room'!$H$15*INDEX('Control Room'!$B$19:$H$19,1,WEEKDAY($A67,2))*(1+'Control Room'!$D$9)^65*'Process'!BI67),2),"")</x:f>
      </x:c>
    </x:row>
    <x:row r="68" ht="21" customHeight="1">
      <x:c r="A68" s="15" t="n">
        <x:f>IF(AND(67&lt;='Control Room'!$B$3,'Control Room'!$D$3="Ready"),'Process'!A68,"")</x:f>
        <x:v>73057</x:v>
      </x:c>
      <x:c r="B68" s="16" t="n">
        <x:f>IF(A68="","",SUM(C68:N68))</x:f>
        <x:v>2476.0099999999998</x:v>
      </x:c>
      <x:c r="C68" s="16" t="n">
        <x:f>IF(AND(AND(67&lt;='Control Room'!$B$3,'Control Room'!$D$3="Ready"),1&lt;='Control Room'!$B$2),ROUND(MAX(0,'Process'!E68*'Control Room'!$H$4*INDEX('Control Room'!$B$19:$H$19,1,WEEKDAY($A68,2))*(1+'Control Room'!$D$9)^66*'Process'!F68),2),"")</x:f>
        <x:v>433.77</x:v>
      </x:c>
      <x:c r="D68" s="16" t="n">
        <x:f>IF(AND(AND(67&lt;='Control Room'!$B$3,'Control Room'!$D$3="Ready"),2&lt;='Control Room'!$B$2),ROUND(MAX(0,'Process'!J68*'Control Room'!$H$5*INDEX('Control Room'!$B$19:$H$19,1,WEEKDAY($A68,2))*(1+'Control Room'!$D$9)^66*'Process'!K68),2),"")</x:f>
        <x:v>332.37</x:v>
      </x:c>
      <x:c r="E68" s="16" t="n">
        <x:f>IF(AND(AND(67&lt;='Control Room'!$B$3,'Control Room'!$D$3="Ready"),3&lt;='Control Room'!$B$2),ROUND(MAX(0,'Process'!O68*'Control Room'!$H$6*INDEX('Control Room'!$B$19:$H$19,1,WEEKDAY($A68,2))*(1+'Control Room'!$D$9)^66*'Process'!P68),2),"")</x:f>
        <x:v>1491.08</x:v>
      </x:c>
      <x:c r="F68" s="16" t="n">
        <x:f>IF(AND(AND(67&lt;='Control Room'!$B$3,'Control Room'!$D$3="Ready"),4&lt;='Control Room'!$B$2),ROUND(MAX(0,'Process'!T68*'Control Room'!$H$7*INDEX('Control Room'!$B$19:$H$19,1,WEEKDAY($A68,2))*(1+'Control Room'!$D$9)^66*'Process'!U68),2),"")</x:f>
        <x:v>218.79</x:v>
      </x:c>
      <x:c r="G68" s="16" t="str">
        <x:f>IF(AND(AND(67&lt;='Control Room'!$B$3,'Control Room'!$D$3="Ready"),5&lt;='Control Room'!$B$2),ROUND(MAX(0,'Process'!Y68*'Control Room'!$H$8*INDEX('Control Room'!$B$19:$H$19,1,WEEKDAY($A68,2))*(1+'Control Room'!$D$9)^66*'Process'!Z68),2),"")</x:f>
      </x:c>
      <x:c r="H68" s="16" t="str">
        <x:f>IF(AND(AND(67&lt;='Control Room'!$B$3,'Control Room'!$D$3="Ready"),6&lt;='Control Room'!$B$2),ROUND(MAX(0,'Process'!AD68*'Control Room'!$H$9*INDEX('Control Room'!$B$19:$H$19,1,WEEKDAY($A68,2))*(1+'Control Room'!$D$9)^66*'Process'!AE68),2),"")</x:f>
      </x:c>
      <x:c r="I68" s="16" t="str">
        <x:f>IF(AND(AND(67&lt;='Control Room'!$B$3,'Control Room'!$D$3="Ready"),7&lt;='Control Room'!$B$2),ROUND(MAX(0,'Process'!AI68*'Control Room'!$H$10*INDEX('Control Room'!$B$19:$H$19,1,WEEKDAY($A68,2))*(1+'Control Room'!$D$9)^66*'Process'!AJ68),2),"")</x:f>
      </x:c>
      <x:c r="J68" s="16" t="str">
        <x:f>IF(AND(AND(67&lt;='Control Room'!$B$3,'Control Room'!$D$3="Ready"),8&lt;='Control Room'!$B$2),ROUND(MAX(0,'Process'!AN68*'Control Room'!$H$11*INDEX('Control Room'!$B$19:$H$19,1,WEEKDAY($A68,2))*(1+'Control Room'!$D$9)^66*'Process'!AO68),2),"")</x:f>
      </x:c>
      <x:c r="K68" s="16" t="str">
        <x:f>IF(AND(AND(67&lt;='Control Room'!$B$3,'Control Room'!$D$3="Ready"),9&lt;='Control Room'!$B$2),ROUND(MAX(0,'Process'!AS68*'Control Room'!$H$12*INDEX('Control Room'!$B$19:$H$19,1,WEEKDAY($A68,2))*(1+'Control Room'!$D$9)^66*'Process'!AT68),2),"")</x:f>
      </x:c>
      <x:c r="L68" s="16" t="str">
        <x:f>IF(AND(AND(67&lt;='Control Room'!$B$3,'Control Room'!$D$3="Ready"),10&lt;='Control Room'!$B$2),ROUND(MAX(0,'Process'!AX68*'Control Room'!$H$13*INDEX('Control Room'!$B$19:$H$19,1,WEEKDAY($A68,2))*(1+'Control Room'!$D$9)^66*'Process'!AY68),2),"")</x:f>
      </x:c>
      <x:c r="M68" s="16" t="str">
        <x:f>IF(AND(AND(67&lt;='Control Room'!$B$3,'Control Room'!$D$3="Ready"),11&lt;='Control Room'!$B$2),ROUND(MAX(0,'Process'!BC68*'Control Room'!$H$14*INDEX('Control Room'!$B$19:$H$19,1,WEEKDAY($A68,2))*(1+'Control Room'!$D$9)^66*'Process'!BD68),2),"")</x:f>
      </x:c>
      <x:c r="N68" s="16" t="str">
        <x:f>IF(AND(AND(67&lt;='Control Room'!$B$3,'Control Room'!$D$3="Ready"),12&lt;='Control Room'!$B$2),ROUND(MAX(0,'Process'!BH68*'Control Room'!$H$15*INDEX('Control Room'!$B$19:$H$19,1,WEEKDAY($A68,2))*(1+'Control Room'!$D$9)^66*'Process'!BI68),2),"")</x:f>
      </x:c>
    </x:row>
    <x:row r="69" ht="21" customHeight="1">
      <x:c r="A69" s="15" t="n">
        <x:f>IF(AND(68&lt;='Control Room'!$B$3,'Control Room'!$D$3="Ready"),'Process'!A69,"")</x:f>
        <x:v>73058</x:v>
      </x:c>
      <x:c r="B69" s="16" t="n">
        <x:f>IF(A69="","",SUM(C69:N69))</x:f>
        <x:v>2493.8700000000003</x:v>
      </x:c>
      <x:c r="C69" s="16" t="n">
        <x:f>IF(AND(AND(68&lt;='Control Room'!$B$3,'Control Room'!$D$3="Ready"),1&lt;='Control Room'!$B$2),ROUND(MAX(0,'Process'!E69*'Control Room'!$H$4*INDEX('Control Room'!$B$19:$H$19,1,WEEKDAY($A69,2))*(1+'Control Room'!$D$9)^67*'Process'!F69),2),"")</x:f>
        <x:v>513.56</x:v>
      </x:c>
      <x:c r="D69" s="16" t="n">
        <x:f>IF(AND(AND(68&lt;='Control Room'!$B$3,'Control Room'!$D$3="Ready"),2&lt;='Control Room'!$B$2),ROUND(MAX(0,'Process'!J69*'Control Room'!$H$5*INDEX('Control Room'!$B$19:$H$19,1,WEEKDAY($A69,2))*(1+'Control Room'!$D$9)^67*'Process'!K69),2),"")</x:f>
        <x:v>382.99</x:v>
      </x:c>
      <x:c r="E69" s="16" t="n">
        <x:f>IF(AND(AND(68&lt;='Control Room'!$B$3,'Control Room'!$D$3="Ready"),3&lt;='Control Room'!$B$2),ROUND(MAX(0,'Process'!O69*'Control Room'!$H$6*INDEX('Control Room'!$B$19:$H$19,1,WEEKDAY($A69,2))*(1+'Control Room'!$D$9)^67*'Process'!P69),2),"")</x:f>
        <x:v>1328.13</x:v>
      </x:c>
      <x:c r="F69" s="16" t="n">
        <x:f>IF(AND(AND(68&lt;='Control Room'!$B$3,'Control Room'!$D$3="Ready"),4&lt;='Control Room'!$B$2),ROUND(MAX(0,'Process'!T69*'Control Room'!$H$7*INDEX('Control Room'!$B$19:$H$19,1,WEEKDAY($A69,2))*(1+'Control Room'!$D$9)^67*'Process'!U69),2),"")</x:f>
        <x:v>269.19</x:v>
      </x:c>
      <x:c r="G69" s="16" t="str">
        <x:f>IF(AND(AND(68&lt;='Control Room'!$B$3,'Control Room'!$D$3="Ready"),5&lt;='Control Room'!$B$2),ROUND(MAX(0,'Process'!Y69*'Control Room'!$H$8*INDEX('Control Room'!$B$19:$H$19,1,WEEKDAY($A69,2))*(1+'Control Room'!$D$9)^67*'Process'!Z69),2),"")</x:f>
      </x:c>
      <x:c r="H69" s="16" t="str">
        <x:f>IF(AND(AND(68&lt;='Control Room'!$B$3,'Control Room'!$D$3="Ready"),6&lt;='Control Room'!$B$2),ROUND(MAX(0,'Process'!AD69*'Control Room'!$H$9*INDEX('Control Room'!$B$19:$H$19,1,WEEKDAY($A69,2))*(1+'Control Room'!$D$9)^67*'Process'!AE69),2),"")</x:f>
      </x:c>
      <x:c r="I69" s="16" t="str">
        <x:f>IF(AND(AND(68&lt;='Control Room'!$B$3,'Control Room'!$D$3="Ready"),7&lt;='Control Room'!$B$2),ROUND(MAX(0,'Process'!AI69*'Control Room'!$H$10*INDEX('Control Room'!$B$19:$H$19,1,WEEKDAY($A69,2))*(1+'Control Room'!$D$9)^67*'Process'!AJ69),2),"")</x:f>
      </x:c>
      <x:c r="J69" s="16" t="str">
        <x:f>IF(AND(AND(68&lt;='Control Room'!$B$3,'Control Room'!$D$3="Ready"),8&lt;='Control Room'!$B$2),ROUND(MAX(0,'Process'!AN69*'Control Room'!$H$11*INDEX('Control Room'!$B$19:$H$19,1,WEEKDAY($A69,2))*(1+'Control Room'!$D$9)^67*'Process'!AO69),2),"")</x:f>
      </x:c>
      <x:c r="K69" s="16" t="str">
        <x:f>IF(AND(AND(68&lt;='Control Room'!$B$3,'Control Room'!$D$3="Ready"),9&lt;='Control Room'!$B$2),ROUND(MAX(0,'Process'!AS69*'Control Room'!$H$12*INDEX('Control Room'!$B$19:$H$19,1,WEEKDAY($A69,2))*(1+'Control Room'!$D$9)^67*'Process'!AT69),2),"")</x:f>
      </x:c>
      <x:c r="L69" s="16" t="str">
        <x:f>IF(AND(AND(68&lt;='Control Room'!$B$3,'Control Room'!$D$3="Ready"),10&lt;='Control Room'!$B$2),ROUND(MAX(0,'Process'!AX69*'Control Room'!$H$13*INDEX('Control Room'!$B$19:$H$19,1,WEEKDAY($A69,2))*(1+'Control Room'!$D$9)^67*'Process'!AY69),2),"")</x:f>
      </x:c>
      <x:c r="M69" s="16" t="str">
        <x:f>IF(AND(AND(68&lt;='Control Room'!$B$3,'Control Room'!$D$3="Ready"),11&lt;='Control Room'!$B$2),ROUND(MAX(0,'Process'!BC69*'Control Room'!$H$14*INDEX('Control Room'!$B$19:$H$19,1,WEEKDAY($A69,2))*(1+'Control Room'!$D$9)^67*'Process'!BD69),2),"")</x:f>
      </x:c>
      <x:c r="N69" s="16" t="str">
        <x:f>IF(AND(AND(68&lt;='Control Room'!$B$3,'Control Room'!$D$3="Ready"),12&lt;='Control Room'!$B$2),ROUND(MAX(0,'Process'!BH69*'Control Room'!$H$15*INDEX('Control Room'!$B$19:$H$19,1,WEEKDAY($A69,2))*(1+'Control Room'!$D$9)^67*'Process'!BI69),2),"")</x:f>
      </x:c>
    </x:row>
    <x:row r="70" ht="21" customHeight="1">
      <x:c r="A70" s="15" t="n">
        <x:f>IF(AND(69&lt;='Control Room'!$B$3,'Control Room'!$D$3="Ready"),'Process'!A70,"")</x:f>
        <x:v>73059</x:v>
      </x:c>
      <x:c r="B70" s="16" t="n">
        <x:f>IF(A70="","",SUM(C70:N70))</x:f>
        <x:v>2683.0800000000004</x:v>
      </x:c>
      <x:c r="C70" s="16" t="n">
        <x:f>IF(AND(AND(69&lt;='Control Room'!$B$3,'Control Room'!$D$3="Ready"),1&lt;='Control Room'!$B$2),ROUND(MAX(0,'Process'!E70*'Control Room'!$H$4*INDEX('Control Room'!$B$19:$H$19,1,WEEKDAY($A70,2))*(1+'Control Room'!$D$9)^68*'Process'!F70),2),"")</x:f>
        <x:v>650.82</x:v>
      </x:c>
      <x:c r="D70" s="16" t="n">
        <x:f>IF(AND(AND(69&lt;='Control Room'!$B$3,'Control Room'!$D$3="Ready"),2&lt;='Control Room'!$B$2),ROUND(MAX(0,'Process'!J70*'Control Room'!$H$5*INDEX('Control Room'!$B$19:$H$19,1,WEEKDAY($A70,2))*(1+'Control Room'!$D$9)^68*'Process'!K70),2),"")</x:f>
        <x:v>487.39</x:v>
      </x:c>
      <x:c r="E70" s="16" t="n">
        <x:f>IF(AND(AND(69&lt;='Control Room'!$B$3,'Control Room'!$D$3="Ready"),3&lt;='Control Room'!$B$2),ROUND(MAX(0,'Process'!O70*'Control Room'!$H$6*INDEX('Control Room'!$B$19:$H$19,1,WEEKDAY($A70,2))*(1+'Control Room'!$D$9)^68*'Process'!P70),2),"")</x:f>
        <x:v>1179.64</x:v>
      </x:c>
      <x:c r="F70" s="16" t="n">
        <x:f>IF(AND(AND(69&lt;='Control Room'!$B$3,'Control Room'!$D$3="Ready"),4&lt;='Control Room'!$B$2),ROUND(MAX(0,'Process'!T70*'Control Room'!$H$7*INDEX('Control Room'!$B$19:$H$19,1,WEEKDAY($A70,2))*(1+'Control Room'!$D$9)^68*'Process'!U70),2),"")</x:f>
        <x:v>365.23</x:v>
      </x:c>
      <x:c r="G70" s="16" t="str">
        <x:f>IF(AND(AND(69&lt;='Control Room'!$B$3,'Control Room'!$D$3="Ready"),5&lt;='Control Room'!$B$2),ROUND(MAX(0,'Process'!Y70*'Control Room'!$H$8*INDEX('Control Room'!$B$19:$H$19,1,WEEKDAY($A70,2))*(1+'Control Room'!$D$9)^68*'Process'!Z70),2),"")</x:f>
      </x:c>
      <x:c r="H70" s="16" t="str">
        <x:f>IF(AND(AND(69&lt;='Control Room'!$B$3,'Control Room'!$D$3="Ready"),6&lt;='Control Room'!$B$2),ROUND(MAX(0,'Process'!AD70*'Control Room'!$H$9*INDEX('Control Room'!$B$19:$H$19,1,WEEKDAY($A70,2))*(1+'Control Room'!$D$9)^68*'Process'!AE70),2),"")</x:f>
      </x:c>
      <x:c r="I70" s="16" t="str">
        <x:f>IF(AND(AND(69&lt;='Control Room'!$B$3,'Control Room'!$D$3="Ready"),7&lt;='Control Room'!$B$2),ROUND(MAX(0,'Process'!AI70*'Control Room'!$H$10*INDEX('Control Room'!$B$19:$H$19,1,WEEKDAY($A70,2))*(1+'Control Room'!$D$9)^68*'Process'!AJ70),2),"")</x:f>
      </x:c>
      <x:c r="J70" s="16" t="str">
        <x:f>IF(AND(AND(69&lt;='Control Room'!$B$3,'Control Room'!$D$3="Ready"),8&lt;='Control Room'!$B$2),ROUND(MAX(0,'Process'!AN70*'Control Room'!$H$11*INDEX('Control Room'!$B$19:$H$19,1,WEEKDAY($A70,2))*(1+'Control Room'!$D$9)^68*'Process'!AO70),2),"")</x:f>
      </x:c>
      <x:c r="K70" s="16" t="str">
        <x:f>IF(AND(AND(69&lt;='Control Room'!$B$3,'Control Room'!$D$3="Ready"),9&lt;='Control Room'!$B$2),ROUND(MAX(0,'Process'!AS70*'Control Room'!$H$12*INDEX('Control Room'!$B$19:$H$19,1,WEEKDAY($A70,2))*(1+'Control Room'!$D$9)^68*'Process'!AT70),2),"")</x:f>
      </x:c>
      <x:c r="L70" s="16" t="str">
        <x:f>IF(AND(AND(69&lt;='Control Room'!$B$3,'Control Room'!$D$3="Ready"),10&lt;='Control Room'!$B$2),ROUND(MAX(0,'Process'!AX70*'Control Room'!$H$13*INDEX('Control Room'!$B$19:$H$19,1,WEEKDAY($A70,2))*(1+'Control Room'!$D$9)^68*'Process'!AY70),2),"")</x:f>
      </x:c>
      <x:c r="M70" s="16" t="str">
        <x:f>IF(AND(AND(69&lt;='Control Room'!$B$3,'Control Room'!$D$3="Ready"),11&lt;='Control Room'!$B$2),ROUND(MAX(0,'Process'!BC70*'Control Room'!$H$14*INDEX('Control Room'!$B$19:$H$19,1,WEEKDAY($A70,2))*(1+'Control Room'!$D$9)^68*'Process'!BD70),2),"")</x:f>
      </x:c>
      <x:c r="N70" s="16" t="str">
        <x:f>IF(AND(AND(69&lt;='Control Room'!$B$3,'Control Room'!$D$3="Ready"),12&lt;='Control Room'!$B$2),ROUND(MAX(0,'Process'!BH70*'Control Room'!$H$15*INDEX('Control Room'!$B$19:$H$19,1,WEEKDAY($A70,2))*(1+'Control Room'!$D$9)^68*'Process'!BI70),2),"")</x:f>
      </x:c>
    </x:row>
    <x:row r="71" ht="21" customHeight="1">
      <x:c r="A71" s="15" t="n">
        <x:f>IF(AND(70&lt;='Control Room'!$B$3,'Control Room'!$D$3="Ready"),'Process'!A71,"")</x:f>
        <x:v>73060</x:v>
      </x:c>
      <x:c r="B71" s="16" t="n">
        <x:f>IF(A71="","",SUM(C71:N71))</x:f>
        <x:v>2241.15</x:v>
      </x:c>
      <x:c r="C71" s="16" t="n">
        <x:f>IF(AND(AND(70&lt;='Control Room'!$B$3,'Control Room'!$D$3="Ready"),1&lt;='Control Room'!$B$2),ROUND(MAX(0,'Process'!E71*'Control Room'!$H$4*INDEX('Control Room'!$B$19:$H$19,1,WEEKDAY($A71,2))*(1+'Control Room'!$D$9)^69*'Process'!F71),2),"")</x:f>
        <x:v>637.19</x:v>
      </x:c>
      <x:c r="D71" s="16" t="n">
        <x:f>IF(AND(AND(70&lt;='Control Room'!$B$3,'Control Room'!$D$3="Ready"),2&lt;='Control Room'!$B$2),ROUND(MAX(0,'Process'!J71*'Control Room'!$H$5*INDEX('Control Room'!$B$19:$H$19,1,WEEKDAY($A71,2))*(1+'Control Room'!$D$9)^69*'Process'!K71),2),"")</x:f>
        <x:v>487.35</x:v>
      </x:c>
      <x:c r="E71" s="16" t="n">
        <x:f>IF(AND(AND(70&lt;='Control Room'!$B$3,'Control Room'!$D$3="Ready"),3&lt;='Control Room'!$B$2),ROUND(MAX(0,'Process'!O71*'Control Room'!$H$6*INDEX('Control Room'!$B$19:$H$19,1,WEEKDAY($A71,2))*(1+'Control Room'!$D$9)^69*'Process'!P71),2),"")</x:f>
        <x:v>771.4</x:v>
      </x:c>
      <x:c r="F71" s="16" t="n">
        <x:f>IF(AND(AND(70&lt;='Control Room'!$B$3,'Control Room'!$D$3="Ready"),4&lt;='Control Room'!$B$2),ROUND(MAX(0,'Process'!T71*'Control Room'!$H$7*INDEX('Control Room'!$B$19:$H$19,1,WEEKDAY($A71,2))*(1+'Control Room'!$D$9)^69*'Process'!U71),2),"")</x:f>
        <x:v>345.21</x:v>
      </x:c>
      <x:c r="G71" s="16" t="str">
        <x:f>IF(AND(AND(70&lt;='Control Room'!$B$3,'Control Room'!$D$3="Ready"),5&lt;='Control Room'!$B$2),ROUND(MAX(0,'Process'!Y71*'Control Room'!$H$8*INDEX('Control Room'!$B$19:$H$19,1,WEEKDAY($A71,2))*(1+'Control Room'!$D$9)^69*'Process'!Z71),2),"")</x:f>
      </x:c>
      <x:c r="H71" s="16" t="str">
        <x:f>IF(AND(AND(70&lt;='Control Room'!$B$3,'Control Room'!$D$3="Ready"),6&lt;='Control Room'!$B$2),ROUND(MAX(0,'Process'!AD71*'Control Room'!$H$9*INDEX('Control Room'!$B$19:$H$19,1,WEEKDAY($A71,2))*(1+'Control Room'!$D$9)^69*'Process'!AE71),2),"")</x:f>
      </x:c>
      <x:c r="I71" s="16" t="str">
        <x:f>IF(AND(AND(70&lt;='Control Room'!$B$3,'Control Room'!$D$3="Ready"),7&lt;='Control Room'!$B$2),ROUND(MAX(0,'Process'!AI71*'Control Room'!$H$10*INDEX('Control Room'!$B$19:$H$19,1,WEEKDAY($A71,2))*(1+'Control Room'!$D$9)^69*'Process'!AJ71),2),"")</x:f>
      </x:c>
      <x:c r="J71" s="16" t="str">
        <x:f>IF(AND(AND(70&lt;='Control Room'!$B$3,'Control Room'!$D$3="Ready"),8&lt;='Control Room'!$B$2),ROUND(MAX(0,'Process'!AN71*'Control Room'!$H$11*INDEX('Control Room'!$B$19:$H$19,1,WEEKDAY($A71,2))*(1+'Control Room'!$D$9)^69*'Process'!AO71),2),"")</x:f>
      </x:c>
      <x:c r="K71" s="16" t="str">
        <x:f>IF(AND(AND(70&lt;='Control Room'!$B$3,'Control Room'!$D$3="Ready"),9&lt;='Control Room'!$B$2),ROUND(MAX(0,'Process'!AS71*'Control Room'!$H$12*INDEX('Control Room'!$B$19:$H$19,1,WEEKDAY($A71,2))*(1+'Control Room'!$D$9)^69*'Process'!AT71),2),"")</x:f>
      </x:c>
      <x:c r="L71" s="16" t="str">
        <x:f>IF(AND(AND(70&lt;='Control Room'!$B$3,'Control Room'!$D$3="Ready"),10&lt;='Control Room'!$B$2),ROUND(MAX(0,'Process'!AX71*'Control Room'!$H$13*INDEX('Control Room'!$B$19:$H$19,1,WEEKDAY($A71,2))*(1+'Control Room'!$D$9)^69*'Process'!AY71),2),"")</x:f>
      </x:c>
      <x:c r="M71" s="16" t="str">
        <x:f>IF(AND(AND(70&lt;='Control Room'!$B$3,'Control Room'!$D$3="Ready"),11&lt;='Control Room'!$B$2),ROUND(MAX(0,'Process'!BC71*'Control Room'!$H$14*INDEX('Control Room'!$B$19:$H$19,1,WEEKDAY($A71,2))*(1+'Control Room'!$D$9)^69*'Process'!BD71),2),"")</x:f>
      </x:c>
      <x:c r="N71" s="16" t="str">
        <x:f>IF(AND(AND(70&lt;='Control Room'!$B$3,'Control Room'!$D$3="Ready"),12&lt;='Control Room'!$B$2),ROUND(MAX(0,'Process'!BH71*'Control Room'!$H$15*INDEX('Control Room'!$B$19:$H$19,1,WEEKDAY($A71,2))*(1+'Control Room'!$D$9)^69*'Process'!BI71),2),"")</x:f>
      </x:c>
    </x:row>
    <x:row r="72" ht="21" customHeight="1">
      <x:c r="A72" s="15" t="n">
        <x:f>IF(AND(71&lt;='Control Room'!$B$3,'Control Room'!$D$3="Ready"),'Process'!A72,"")</x:f>
        <x:v>73061</x:v>
      </x:c>
      <x:c r="B72" s="16" t="n">
        <x:f>IF(A72="","",SUM(C72:N72))</x:f>
        <x:v>4386.139999999999</x:v>
      </x:c>
      <x:c r="C72" s="16" t="n">
        <x:f>IF(AND(AND(71&lt;='Control Room'!$B$3,'Control Room'!$D$3="Ready"),1&lt;='Control Room'!$B$2),ROUND(MAX(0,'Process'!E72*'Control Room'!$H$4*INDEX('Control Room'!$B$19:$H$19,1,WEEKDAY($A72,2))*(1+'Control Room'!$D$9)^70*'Process'!F72),2),"")</x:f>
        <x:v>1310.06</x:v>
      </x:c>
      <x:c r="D72" s="16" t="n">
        <x:f>IF(AND(AND(71&lt;='Control Room'!$B$3,'Control Room'!$D$3="Ready"),2&lt;='Control Room'!$B$2),ROUND(MAX(0,'Process'!J72*'Control Room'!$H$5*INDEX('Control Room'!$B$19:$H$19,1,WEEKDAY($A72,2))*(1+'Control Room'!$D$9)^70*'Process'!K72),2),"")</x:f>
        <x:v>979.62</x:v>
      </x:c>
      <x:c r="E72" s="16" t="n">
        <x:f>IF(AND(AND(71&lt;='Control Room'!$B$3,'Control Room'!$D$3="Ready"),3&lt;='Control Room'!$B$2),ROUND(MAX(0,'Process'!O72*'Control Room'!$H$6*INDEX('Control Room'!$B$19:$H$19,1,WEEKDAY($A72,2))*(1+'Control Room'!$D$9)^70*'Process'!P72),2),"")</x:f>
        <x:v>1381.71</x:v>
      </x:c>
      <x:c r="F72" s="16" t="n">
        <x:f>IF(AND(AND(71&lt;='Control Room'!$B$3,'Control Room'!$D$3="Ready"),4&lt;='Control Room'!$B$2),ROUND(MAX(0,'Process'!T72*'Control Room'!$H$7*INDEX('Control Room'!$B$19:$H$19,1,WEEKDAY($A72,2))*(1+'Control Room'!$D$9)^70*'Process'!U72),2),"")</x:f>
        <x:v>714.75</x:v>
      </x:c>
      <x:c r="G72" s="16" t="str">
        <x:f>IF(AND(AND(71&lt;='Control Room'!$B$3,'Control Room'!$D$3="Ready"),5&lt;='Control Room'!$B$2),ROUND(MAX(0,'Process'!Y72*'Control Room'!$H$8*INDEX('Control Room'!$B$19:$H$19,1,WEEKDAY($A72,2))*(1+'Control Room'!$D$9)^70*'Process'!Z72),2),"")</x:f>
      </x:c>
      <x:c r="H72" s="16" t="str">
        <x:f>IF(AND(AND(71&lt;='Control Room'!$B$3,'Control Room'!$D$3="Ready"),6&lt;='Control Room'!$B$2),ROUND(MAX(0,'Process'!AD72*'Control Room'!$H$9*INDEX('Control Room'!$B$19:$H$19,1,WEEKDAY($A72,2))*(1+'Control Room'!$D$9)^70*'Process'!AE72),2),"")</x:f>
      </x:c>
      <x:c r="I72" s="16" t="str">
        <x:f>IF(AND(AND(71&lt;='Control Room'!$B$3,'Control Room'!$D$3="Ready"),7&lt;='Control Room'!$B$2),ROUND(MAX(0,'Process'!AI72*'Control Room'!$H$10*INDEX('Control Room'!$B$19:$H$19,1,WEEKDAY($A72,2))*(1+'Control Room'!$D$9)^70*'Process'!AJ72),2),"")</x:f>
      </x:c>
      <x:c r="J72" s="16" t="str">
        <x:f>IF(AND(AND(71&lt;='Control Room'!$B$3,'Control Room'!$D$3="Ready"),8&lt;='Control Room'!$B$2),ROUND(MAX(0,'Process'!AN72*'Control Room'!$H$11*INDEX('Control Room'!$B$19:$H$19,1,WEEKDAY($A72,2))*(1+'Control Room'!$D$9)^70*'Process'!AO72),2),"")</x:f>
      </x:c>
      <x:c r="K72" s="16" t="str">
        <x:f>IF(AND(AND(71&lt;='Control Room'!$B$3,'Control Room'!$D$3="Ready"),9&lt;='Control Room'!$B$2),ROUND(MAX(0,'Process'!AS72*'Control Room'!$H$12*INDEX('Control Room'!$B$19:$H$19,1,WEEKDAY($A72,2))*(1+'Control Room'!$D$9)^70*'Process'!AT72),2),"")</x:f>
      </x:c>
      <x:c r="L72" s="16" t="str">
        <x:f>IF(AND(AND(71&lt;='Control Room'!$B$3,'Control Room'!$D$3="Ready"),10&lt;='Control Room'!$B$2),ROUND(MAX(0,'Process'!AX72*'Control Room'!$H$13*INDEX('Control Room'!$B$19:$H$19,1,WEEKDAY($A72,2))*(1+'Control Room'!$D$9)^70*'Process'!AY72),2),"")</x:f>
      </x:c>
      <x:c r="M72" s="16" t="str">
        <x:f>IF(AND(AND(71&lt;='Control Room'!$B$3,'Control Room'!$D$3="Ready"),11&lt;='Control Room'!$B$2),ROUND(MAX(0,'Process'!BC72*'Control Room'!$H$14*INDEX('Control Room'!$B$19:$H$19,1,WEEKDAY($A72,2))*(1+'Control Room'!$D$9)^70*'Process'!BD72),2),"")</x:f>
      </x:c>
      <x:c r="N72" s="16" t="str">
        <x:f>IF(AND(AND(71&lt;='Control Room'!$B$3,'Control Room'!$D$3="Ready"),12&lt;='Control Room'!$B$2),ROUND(MAX(0,'Process'!BH72*'Control Room'!$H$15*INDEX('Control Room'!$B$19:$H$19,1,WEEKDAY($A72,2))*(1+'Control Room'!$D$9)^70*'Process'!BI72),2),"")</x:f>
      </x:c>
    </x:row>
    <x:row r="73" ht="21" customHeight="1">
      <x:c r="A73" s="15" t="n">
        <x:f>IF(AND(72&lt;='Control Room'!$B$3,'Control Room'!$D$3="Ready"),'Process'!A73,"")</x:f>
        <x:v>73062</x:v>
      </x:c>
      <x:c r="B73" s="16" t="n">
        <x:f>IF(A73="","",SUM(C73:N73))</x:f>
        <x:v>4422.55</x:v>
      </x:c>
      <x:c r="C73" s="16" t="n">
        <x:f>IF(AND(AND(72&lt;='Control Room'!$B$3,'Control Room'!$D$3="Ready"),1&lt;='Control Room'!$B$2),ROUND(MAX(0,'Process'!E73*'Control Room'!$H$4*INDEX('Control Room'!$B$19:$H$19,1,WEEKDAY($A73,2))*(1+'Control Room'!$D$9)^71*'Process'!F73),2),"")</x:f>
        <x:v>1350.21</x:v>
      </x:c>
      <x:c r="D73" s="16" t="n">
        <x:f>IF(AND(AND(72&lt;='Control Room'!$B$3,'Control Room'!$D$3="Ready"),2&lt;='Control Room'!$B$2),ROUND(MAX(0,'Process'!J73*'Control Room'!$H$5*INDEX('Control Room'!$B$19:$H$19,1,WEEKDAY($A73,2))*(1+'Control Room'!$D$9)^71*'Process'!K73),2),"")</x:f>
        <x:v>1014.86</x:v>
      </x:c>
      <x:c r="E73" s="16" t="n">
        <x:f>IF(AND(AND(72&lt;='Control Room'!$B$3,'Control Room'!$D$3="Ready"),3&lt;='Control Room'!$B$2),ROUND(MAX(0,'Process'!O73*'Control Room'!$H$6*INDEX('Control Room'!$B$19:$H$19,1,WEEKDAY($A73,2))*(1+'Control Room'!$D$9)^71*'Process'!P73),2),"")</x:f>
        <x:v>1304.97</x:v>
      </x:c>
      <x:c r="F73" s="16" t="n">
        <x:f>IF(AND(AND(72&lt;='Control Room'!$B$3,'Control Room'!$D$3="Ready"),4&lt;='Control Room'!$B$2),ROUND(MAX(0,'Process'!T73*'Control Room'!$H$7*INDEX('Control Room'!$B$19:$H$19,1,WEEKDAY($A73,2))*(1+'Control Room'!$D$9)^71*'Process'!U73),2),"")</x:f>
        <x:v>752.51</x:v>
      </x:c>
      <x:c r="G73" s="16" t="str">
        <x:f>IF(AND(AND(72&lt;='Control Room'!$B$3,'Control Room'!$D$3="Ready"),5&lt;='Control Room'!$B$2),ROUND(MAX(0,'Process'!Y73*'Control Room'!$H$8*INDEX('Control Room'!$B$19:$H$19,1,WEEKDAY($A73,2))*(1+'Control Room'!$D$9)^71*'Process'!Z73),2),"")</x:f>
      </x:c>
      <x:c r="H73" s="16" t="str">
        <x:f>IF(AND(AND(72&lt;='Control Room'!$B$3,'Control Room'!$D$3="Ready"),6&lt;='Control Room'!$B$2),ROUND(MAX(0,'Process'!AD73*'Control Room'!$H$9*INDEX('Control Room'!$B$19:$H$19,1,WEEKDAY($A73,2))*(1+'Control Room'!$D$9)^71*'Process'!AE73),2),"")</x:f>
      </x:c>
      <x:c r="I73" s="16" t="str">
        <x:f>IF(AND(AND(72&lt;='Control Room'!$B$3,'Control Room'!$D$3="Ready"),7&lt;='Control Room'!$B$2),ROUND(MAX(0,'Process'!AI73*'Control Room'!$H$10*INDEX('Control Room'!$B$19:$H$19,1,WEEKDAY($A73,2))*(1+'Control Room'!$D$9)^71*'Process'!AJ73),2),"")</x:f>
      </x:c>
      <x:c r="J73" s="16" t="str">
        <x:f>IF(AND(AND(72&lt;='Control Room'!$B$3,'Control Room'!$D$3="Ready"),8&lt;='Control Room'!$B$2),ROUND(MAX(0,'Process'!AN73*'Control Room'!$H$11*INDEX('Control Room'!$B$19:$H$19,1,WEEKDAY($A73,2))*(1+'Control Room'!$D$9)^71*'Process'!AO73),2),"")</x:f>
      </x:c>
      <x:c r="K73" s="16" t="str">
        <x:f>IF(AND(AND(72&lt;='Control Room'!$B$3,'Control Room'!$D$3="Ready"),9&lt;='Control Room'!$B$2),ROUND(MAX(0,'Process'!AS73*'Control Room'!$H$12*INDEX('Control Room'!$B$19:$H$19,1,WEEKDAY($A73,2))*(1+'Control Room'!$D$9)^71*'Process'!AT73),2),"")</x:f>
      </x:c>
      <x:c r="L73" s="16" t="str">
        <x:f>IF(AND(AND(72&lt;='Control Room'!$B$3,'Control Room'!$D$3="Ready"),10&lt;='Control Room'!$B$2),ROUND(MAX(0,'Process'!AX73*'Control Room'!$H$13*INDEX('Control Room'!$B$19:$H$19,1,WEEKDAY($A73,2))*(1+'Control Room'!$D$9)^71*'Process'!AY73),2),"")</x:f>
      </x:c>
      <x:c r="M73" s="16" t="str">
        <x:f>IF(AND(AND(72&lt;='Control Room'!$B$3,'Control Room'!$D$3="Ready"),11&lt;='Control Room'!$B$2),ROUND(MAX(0,'Process'!BC73*'Control Room'!$H$14*INDEX('Control Room'!$B$19:$H$19,1,WEEKDAY($A73,2))*(1+'Control Room'!$D$9)^71*'Process'!BD73),2),"")</x:f>
      </x:c>
      <x:c r="N73" s="16" t="str">
        <x:f>IF(AND(AND(72&lt;='Control Room'!$B$3,'Control Room'!$D$3="Ready"),12&lt;='Control Room'!$B$2),ROUND(MAX(0,'Process'!BH73*'Control Room'!$H$15*INDEX('Control Room'!$B$19:$H$19,1,WEEKDAY($A73,2))*(1+'Control Room'!$D$9)^71*'Process'!BI73),2),"")</x:f>
      </x:c>
    </x:row>
    <x:row r="74" ht="21" customHeight="1">
      <x:c r="A74" s="15" t="n">
        <x:f>IF(AND(73&lt;='Control Room'!$B$3,'Control Room'!$D$3="Ready"),'Process'!A74,"")</x:f>
        <x:v>73063</x:v>
      </x:c>
      <x:c r="B74" s="16" t="n">
        <x:f>IF(A74="","",SUM(C74:N74))</x:f>
        <x:v>4370.43</x:v>
      </x:c>
      <x:c r="C74" s="16" t="n">
        <x:f>IF(AND(AND(73&lt;='Control Room'!$B$3,'Control Room'!$D$3="Ready"),1&lt;='Control Room'!$B$2),ROUND(MAX(0,'Process'!E74*'Control Room'!$H$4*INDEX('Control Room'!$B$19:$H$19,1,WEEKDAY($A74,2))*(1+'Control Room'!$D$9)^72*'Process'!F74),2),"")</x:f>
        <x:v>1334.26</x:v>
      </x:c>
      <x:c r="D74" s="16" t="n">
        <x:f>IF(AND(AND(73&lt;='Control Room'!$B$3,'Control Room'!$D$3="Ready"),2&lt;='Control Room'!$B$2),ROUND(MAX(0,'Process'!J74*'Control Room'!$H$5*INDEX('Control Room'!$B$19:$H$19,1,WEEKDAY($A74,2))*(1+'Control Room'!$D$9)^72*'Process'!K74),2),"")</x:f>
        <x:v>939.58</x:v>
      </x:c>
      <x:c r="E74" s="16" t="n">
        <x:f>IF(AND(AND(73&lt;='Control Room'!$B$3,'Control Room'!$D$3="Ready"),3&lt;='Control Room'!$B$2),ROUND(MAX(0,'Process'!O74*'Control Room'!$H$6*INDEX('Control Room'!$B$19:$H$19,1,WEEKDAY($A74,2))*(1+'Control Room'!$D$9)^72*'Process'!P74),2),"")</x:f>
        <x:v>1302.75</x:v>
      </x:c>
      <x:c r="F74" s="16" t="n">
        <x:f>IF(AND(AND(73&lt;='Control Room'!$B$3,'Control Room'!$D$3="Ready"),4&lt;='Control Room'!$B$2),ROUND(MAX(0,'Process'!T74*'Control Room'!$H$7*INDEX('Control Room'!$B$19:$H$19,1,WEEKDAY($A74,2))*(1+'Control Room'!$D$9)^72*'Process'!U74),2),"")</x:f>
        <x:v>793.84</x:v>
      </x:c>
      <x:c r="G74" s="16" t="str">
        <x:f>IF(AND(AND(73&lt;='Control Room'!$B$3,'Control Room'!$D$3="Ready"),5&lt;='Control Room'!$B$2),ROUND(MAX(0,'Process'!Y74*'Control Room'!$H$8*INDEX('Control Room'!$B$19:$H$19,1,WEEKDAY($A74,2))*(1+'Control Room'!$D$9)^72*'Process'!Z74),2),"")</x:f>
      </x:c>
      <x:c r="H74" s="16" t="str">
        <x:f>IF(AND(AND(73&lt;='Control Room'!$B$3,'Control Room'!$D$3="Ready"),6&lt;='Control Room'!$B$2),ROUND(MAX(0,'Process'!AD74*'Control Room'!$H$9*INDEX('Control Room'!$B$19:$H$19,1,WEEKDAY($A74,2))*(1+'Control Room'!$D$9)^72*'Process'!AE74),2),"")</x:f>
      </x:c>
      <x:c r="I74" s="16" t="str">
        <x:f>IF(AND(AND(73&lt;='Control Room'!$B$3,'Control Room'!$D$3="Ready"),7&lt;='Control Room'!$B$2),ROUND(MAX(0,'Process'!AI74*'Control Room'!$H$10*INDEX('Control Room'!$B$19:$H$19,1,WEEKDAY($A74,2))*(1+'Control Room'!$D$9)^72*'Process'!AJ74),2),"")</x:f>
      </x:c>
      <x:c r="J74" s="16" t="str">
        <x:f>IF(AND(AND(73&lt;='Control Room'!$B$3,'Control Room'!$D$3="Ready"),8&lt;='Control Room'!$B$2),ROUND(MAX(0,'Process'!AN74*'Control Room'!$H$11*INDEX('Control Room'!$B$19:$H$19,1,WEEKDAY($A74,2))*(1+'Control Room'!$D$9)^72*'Process'!AO74),2),"")</x:f>
      </x:c>
      <x:c r="K74" s="16" t="str">
        <x:f>IF(AND(AND(73&lt;='Control Room'!$B$3,'Control Room'!$D$3="Ready"),9&lt;='Control Room'!$B$2),ROUND(MAX(0,'Process'!AS74*'Control Room'!$H$12*INDEX('Control Room'!$B$19:$H$19,1,WEEKDAY($A74,2))*(1+'Control Room'!$D$9)^72*'Process'!AT74),2),"")</x:f>
      </x:c>
      <x:c r="L74" s="16" t="str">
        <x:f>IF(AND(AND(73&lt;='Control Room'!$B$3,'Control Room'!$D$3="Ready"),10&lt;='Control Room'!$B$2),ROUND(MAX(0,'Process'!AX74*'Control Room'!$H$13*INDEX('Control Room'!$B$19:$H$19,1,WEEKDAY($A74,2))*(1+'Control Room'!$D$9)^72*'Process'!AY74),2),"")</x:f>
      </x:c>
      <x:c r="M74" s="16" t="str">
        <x:f>IF(AND(AND(73&lt;='Control Room'!$B$3,'Control Room'!$D$3="Ready"),11&lt;='Control Room'!$B$2),ROUND(MAX(0,'Process'!BC74*'Control Room'!$H$14*INDEX('Control Room'!$B$19:$H$19,1,WEEKDAY($A74,2))*(1+'Control Room'!$D$9)^72*'Process'!BD74),2),"")</x:f>
      </x:c>
      <x:c r="N74" s="16" t="str">
        <x:f>IF(AND(AND(73&lt;='Control Room'!$B$3,'Control Room'!$D$3="Ready"),12&lt;='Control Room'!$B$2),ROUND(MAX(0,'Process'!BH74*'Control Room'!$H$15*INDEX('Control Room'!$B$19:$H$19,1,WEEKDAY($A74,2))*(1+'Control Room'!$D$9)^72*'Process'!BI74),2),"")</x:f>
      </x:c>
    </x:row>
    <x:row r="75" ht="21" customHeight="1">
      <x:c r="A75" s="15" t="n">
        <x:f>IF(AND(74&lt;='Control Room'!$B$3,'Control Room'!$D$3="Ready"),'Process'!A75,"")</x:f>
        <x:v>73064</x:v>
      </x:c>
      <x:c r="B75" s="16" t="n">
        <x:f>IF(A75="","",SUM(C75:N75))</x:f>
        <x:v>4338.58</x:v>
      </x:c>
      <x:c r="C75" s="16" t="n">
        <x:f>IF(AND(AND(74&lt;='Control Room'!$B$3,'Control Room'!$D$3="Ready"),1&lt;='Control Room'!$B$2),ROUND(MAX(0,'Process'!E75*'Control Room'!$H$4*INDEX('Control Room'!$B$19:$H$19,1,WEEKDAY($A75,2))*(1+'Control Room'!$D$9)^73*'Process'!F75),2),"")</x:f>
        <x:v>1355.05</x:v>
      </x:c>
      <x:c r="D75" s="16" t="n">
        <x:f>IF(AND(AND(74&lt;='Control Room'!$B$3,'Control Room'!$D$3="Ready"),2&lt;='Control Room'!$B$2),ROUND(MAX(0,'Process'!J75*'Control Room'!$H$5*INDEX('Control Room'!$B$19:$H$19,1,WEEKDAY($A75,2))*(1+'Control Room'!$D$9)^73*'Process'!K75),2),"")</x:f>
        <x:v>916.42</x:v>
      </x:c>
      <x:c r="E75" s="16" t="n">
        <x:f>IF(AND(AND(74&lt;='Control Room'!$B$3,'Control Room'!$D$3="Ready"),3&lt;='Control Room'!$B$2),ROUND(MAX(0,'Process'!O75*'Control Room'!$H$6*INDEX('Control Room'!$B$19:$H$19,1,WEEKDAY($A75,2))*(1+'Control Room'!$D$9)^73*'Process'!P75),2),"")</x:f>
        <x:v>1267.65</x:v>
      </x:c>
      <x:c r="F75" s="16" t="n">
        <x:f>IF(AND(AND(74&lt;='Control Room'!$B$3,'Control Room'!$D$3="Ready"),4&lt;='Control Room'!$B$2),ROUND(MAX(0,'Process'!T75*'Control Room'!$H$7*INDEX('Control Room'!$B$19:$H$19,1,WEEKDAY($A75,2))*(1+'Control Room'!$D$9)^73*'Process'!U75),2),"")</x:f>
        <x:v>799.46</x:v>
      </x:c>
      <x:c r="G75" s="16" t="str">
        <x:f>IF(AND(AND(74&lt;='Control Room'!$B$3,'Control Room'!$D$3="Ready"),5&lt;='Control Room'!$B$2),ROUND(MAX(0,'Process'!Y75*'Control Room'!$H$8*INDEX('Control Room'!$B$19:$H$19,1,WEEKDAY($A75,2))*(1+'Control Room'!$D$9)^73*'Process'!Z75),2),"")</x:f>
      </x:c>
      <x:c r="H75" s="16" t="str">
        <x:f>IF(AND(AND(74&lt;='Control Room'!$B$3,'Control Room'!$D$3="Ready"),6&lt;='Control Room'!$B$2),ROUND(MAX(0,'Process'!AD75*'Control Room'!$H$9*INDEX('Control Room'!$B$19:$H$19,1,WEEKDAY($A75,2))*(1+'Control Room'!$D$9)^73*'Process'!AE75),2),"")</x:f>
      </x:c>
      <x:c r="I75" s="16" t="str">
        <x:f>IF(AND(AND(74&lt;='Control Room'!$B$3,'Control Room'!$D$3="Ready"),7&lt;='Control Room'!$B$2),ROUND(MAX(0,'Process'!AI75*'Control Room'!$H$10*INDEX('Control Room'!$B$19:$H$19,1,WEEKDAY($A75,2))*(1+'Control Room'!$D$9)^73*'Process'!AJ75),2),"")</x:f>
      </x:c>
      <x:c r="J75" s="16" t="str">
        <x:f>IF(AND(AND(74&lt;='Control Room'!$B$3,'Control Room'!$D$3="Ready"),8&lt;='Control Room'!$B$2),ROUND(MAX(0,'Process'!AN75*'Control Room'!$H$11*INDEX('Control Room'!$B$19:$H$19,1,WEEKDAY($A75,2))*(1+'Control Room'!$D$9)^73*'Process'!AO75),2),"")</x:f>
      </x:c>
      <x:c r="K75" s="16" t="str">
        <x:f>IF(AND(AND(74&lt;='Control Room'!$B$3,'Control Room'!$D$3="Ready"),9&lt;='Control Room'!$B$2),ROUND(MAX(0,'Process'!AS75*'Control Room'!$H$12*INDEX('Control Room'!$B$19:$H$19,1,WEEKDAY($A75,2))*(1+'Control Room'!$D$9)^73*'Process'!AT75),2),"")</x:f>
      </x:c>
      <x:c r="L75" s="16" t="str">
        <x:f>IF(AND(AND(74&lt;='Control Room'!$B$3,'Control Room'!$D$3="Ready"),10&lt;='Control Room'!$B$2),ROUND(MAX(0,'Process'!AX75*'Control Room'!$H$13*INDEX('Control Room'!$B$19:$H$19,1,WEEKDAY($A75,2))*(1+'Control Room'!$D$9)^73*'Process'!AY75),2),"")</x:f>
      </x:c>
      <x:c r="M75" s="16" t="str">
        <x:f>IF(AND(AND(74&lt;='Control Room'!$B$3,'Control Room'!$D$3="Ready"),11&lt;='Control Room'!$B$2),ROUND(MAX(0,'Process'!BC75*'Control Room'!$H$14*INDEX('Control Room'!$B$19:$H$19,1,WEEKDAY($A75,2))*(1+'Control Room'!$D$9)^73*'Process'!BD75),2),"")</x:f>
      </x:c>
      <x:c r="N75" s="16" t="str">
        <x:f>IF(AND(AND(74&lt;='Control Room'!$B$3,'Control Room'!$D$3="Ready"),12&lt;='Control Room'!$B$2),ROUND(MAX(0,'Process'!BH75*'Control Room'!$H$15*INDEX('Control Room'!$B$19:$H$19,1,WEEKDAY($A75,2))*(1+'Control Room'!$D$9)^73*'Process'!BI75),2),"")</x:f>
      </x:c>
    </x:row>
    <x:row r="76" ht="21" customHeight="1">
      <x:c r="A76" s="15" t="n">
        <x:f>IF(AND(75&lt;='Control Room'!$B$3,'Control Room'!$D$3="Ready"),'Process'!A76,"")</x:f>
        <x:v>73065</x:v>
      </x:c>
      <x:c r="B76" s="16" t="n">
        <x:f>IF(A76="","",SUM(C76:N76))</x:f>
        <x:v>4361.9</x:v>
      </x:c>
      <x:c r="C76" s="16" t="n">
        <x:f>IF(AND(AND(75&lt;='Control Room'!$B$3,'Control Room'!$D$3="Ready"),1&lt;='Control Room'!$B$2),ROUND(MAX(0,'Process'!E76*'Control Room'!$H$4*INDEX('Control Room'!$B$19:$H$19,1,WEEKDAY($A76,2))*(1+'Control Room'!$D$9)^74*'Process'!F76),2),"")</x:f>
        <x:v>1364.84</x:v>
      </x:c>
      <x:c r="D76" s="16" t="n">
        <x:f>IF(AND(AND(75&lt;='Control Room'!$B$3,'Control Room'!$D$3="Ready"),2&lt;='Control Room'!$B$2),ROUND(MAX(0,'Process'!J76*'Control Room'!$H$5*INDEX('Control Room'!$B$19:$H$19,1,WEEKDAY($A76,2))*(1+'Control Room'!$D$9)^74*'Process'!K76),2),"")</x:f>
        <x:v>945.75</x:v>
      </x:c>
      <x:c r="E76" s="16" t="n">
        <x:f>IF(AND(AND(75&lt;='Control Room'!$B$3,'Control Room'!$D$3="Ready"),3&lt;='Control Room'!$B$2),ROUND(MAX(0,'Process'!O76*'Control Room'!$H$6*INDEX('Control Room'!$B$19:$H$19,1,WEEKDAY($A76,2))*(1+'Control Room'!$D$9)^74*'Process'!P76),2),"")</x:f>
        <x:v>1202.7</x:v>
      </x:c>
      <x:c r="F76" s="16" t="n">
        <x:f>IF(AND(AND(75&lt;='Control Room'!$B$3,'Control Room'!$D$3="Ready"),4&lt;='Control Room'!$B$2),ROUND(MAX(0,'Process'!T76*'Control Room'!$H$7*INDEX('Control Room'!$B$19:$H$19,1,WEEKDAY($A76,2))*(1+'Control Room'!$D$9)^74*'Process'!U76),2),"")</x:f>
        <x:v>848.61</x:v>
      </x:c>
      <x:c r="G76" s="16" t="str">
        <x:f>IF(AND(AND(75&lt;='Control Room'!$B$3,'Control Room'!$D$3="Ready"),5&lt;='Control Room'!$B$2),ROUND(MAX(0,'Process'!Y76*'Control Room'!$H$8*INDEX('Control Room'!$B$19:$H$19,1,WEEKDAY($A76,2))*(1+'Control Room'!$D$9)^74*'Process'!Z76),2),"")</x:f>
      </x:c>
      <x:c r="H76" s="16" t="str">
        <x:f>IF(AND(AND(75&lt;='Control Room'!$B$3,'Control Room'!$D$3="Ready"),6&lt;='Control Room'!$B$2),ROUND(MAX(0,'Process'!AD76*'Control Room'!$H$9*INDEX('Control Room'!$B$19:$H$19,1,WEEKDAY($A76,2))*(1+'Control Room'!$D$9)^74*'Process'!AE76),2),"")</x:f>
      </x:c>
      <x:c r="I76" s="16" t="str">
        <x:f>IF(AND(AND(75&lt;='Control Room'!$B$3,'Control Room'!$D$3="Ready"),7&lt;='Control Room'!$B$2),ROUND(MAX(0,'Process'!AI76*'Control Room'!$H$10*INDEX('Control Room'!$B$19:$H$19,1,WEEKDAY($A76,2))*(1+'Control Room'!$D$9)^74*'Process'!AJ76),2),"")</x:f>
      </x:c>
      <x:c r="J76" s="16" t="str">
        <x:f>IF(AND(AND(75&lt;='Control Room'!$B$3,'Control Room'!$D$3="Ready"),8&lt;='Control Room'!$B$2),ROUND(MAX(0,'Process'!AN76*'Control Room'!$H$11*INDEX('Control Room'!$B$19:$H$19,1,WEEKDAY($A76,2))*(1+'Control Room'!$D$9)^74*'Process'!AO76),2),"")</x:f>
      </x:c>
      <x:c r="K76" s="16" t="str">
        <x:f>IF(AND(AND(75&lt;='Control Room'!$B$3,'Control Room'!$D$3="Ready"),9&lt;='Control Room'!$B$2),ROUND(MAX(0,'Process'!AS76*'Control Room'!$H$12*INDEX('Control Room'!$B$19:$H$19,1,WEEKDAY($A76,2))*(1+'Control Room'!$D$9)^74*'Process'!AT76),2),"")</x:f>
      </x:c>
      <x:c r="L76" s="16" t="str">
        <x:f>IF(AND(AND(75&lt;='Control Room'!$B$3,'Control Room'!$D$3="Ready"),10&lt;='Control Room'!$B$2),ROUND(MAX(0,'Process'!AX76*'Control Room'!$H$13*INDEX('Control Room'!$B$19:$H$19,1,WEEKDAY($A76,2))*(1+'Control Room'!$D$9)^74*'Process'!AY76),2),"")</x:f>
      </x:c>
      <x:c r="M76" s="16" t="str">
        <x:f>IF(AND(AND(75&lt;='Control Room'!$B$3,'Control Room'!$D$3="Ready"),11&lt;='Control Room'!$B$2),ROUND(MAX(0,'Process'!BC76*'Control Room'!$H$14*INDEX('Control Room'!$B$19:$H$19,1,WEEKDAY($A76,2))*(1+'Control Room'!$D$9)^74*'Process'!BD76),2),"")</x:f>
      </x:c>
      <x:c r="N76" s="16" t="str">
        <x:f>IF(AND(AND(75&lt;='Control Room'!$B$3,'Control Room'!$D$3="Ready"),12&lt;='Control Room'!$B$2),ROUND(MAX(0,'Process'!BH76*'Control Room'!$H$15*INDEX('Control Room'!$B$19:$H$19,1,WEEKDAY($A76,2))*(1+'Control Room'!$D$9)^74*'Process'!BI76),2),"")</x:f>
      </x:c>
    </x:row>
    <x:row r="77" ht="21" customHeight="1">
      <x:c r="A77" s="15" t="n">
        <x:f>IF(AND(76&lt;='Control Room'!$B$3,'Control Room'!$D$3="Ready"),'Process'!A77,"")</x:f>
        <x:v>73066</x:v>
      </x:c>
      <x:c r="B77" s="16" t="n">
        <x:f>IF(A77="","",SUM(C77:N77))</x:f>
        <x:v>3517.5200000000004</x:v>
      </x:c>
      <x:c r="C77" s="16" t="n">
        <x:f>IF(AND(AND(76&lt;='Control Room'!$B$3,'Control Room'!$D$3="Ready"),1&lt;='Control Room'!$B$2),ROUND(MAX(0,'Process'!E77*'Control Room'!$H$4*INDEX('Control Room'!$B$19:$H$19,1,WEEKDAY($A77,2))*(1+'Control Room'!$D$9)^75*'Process'!F77),2),"")</x:f>
        <x:v>1107.05</x:v>
      </x:c>
      <x:c r="D77" s="16" t="n">
        <x:f>IF(AND(AND(76&lt;='Control Room'!$B$3,'Control Room'!$D$3="Ready"),2&lt;='Control Room'!$B$2),ROUND(MAX(0,'Process'!J77*'Control Room'!$H$5*INDEX('Control Room'!$B$19:$H$19,1,WEEKDAY($A77,2))*(1+'Control Room'!$D$9)^75*'Process'!K77),2),"")</x:f>
        <x:v>723.66</x:v>
      </x:c>
      <x:c r="E77" s="16" t="n">
        <x:f>IF(AND(AND(76&lt;='Control Room'!$B$3,'Control Room'!$D$3="Ready"),3&lt;='Control Room'!$B$2),ROUND(MAX(0,'Process'!O77*'Control Room'!$H$6*INDEX('Control Room'!$B$19:$H$19,1,WEEKDAY($A77,2))*(1+'Control Room'!$D$9)^75*'Process'!P77),2),"")</x:f>
        <x:v>1058.93</x:v>
      </x:c>
      <x:c r="F77" s="16" t="n">
        <x:f>IF(AND(AND(76&lt;='Control Room'!$B$3,'Control Room'!$D$3="Ready"),4&lt;='Control Room'!$B$2),ROUND(MAX(0,'Process'!T77*'Control Room'!$H$7*INDEX('Control Room'!$B$19:$H$19,1,WEEKDAY($A77,2))*(1+'Control Room'!$D$9)^75*'Process'!U77),2),"")</x:f>
        <x:v>627.88</x:v>
      </x:c>
      <x:c r="G77" s="16" t="str">
        <x:f>IF(AND(AND(76&lt;='Control Room'!$B$3,'Control Room'!$D$3="Ready"),5&lt;='Control Room'!$B$2),ROUND(MAX(0,'Process'!Y77*'Control Room'!$H$8*INDEX('Control Room'!$B$19:$H$19,1,WEEKDAY($A77,2))*(1+'Control Room'!$D$9)^75*'Process'!Z77),2),"")</x:f>
      </x:c>
      <x:c r="H77" s="16" t="str">
        <x:f>IF(AND(AND(76&lt;='Control Room'!$B$3,'Control Room'!$D$3="Ready"),6&lt;='Control Room'!$B$2),ROUND(MAX(0,'Process'!AD77*'Control Room'!$H$9*INDEX('Control Room'!$B$19:$H$19,1,WEEKDAY($A77,2))*(1+'Control Room'!$D$9)^75*'Process'!AE77),2),"")</x:f>
      </x:c>
      <x:c r="I77" s="16" t="str">
        <x:f>IF(AND(AND(76&lt;='Control Room'!$B$3,'Control Room'!$D$3="Ready"),7&lt;='Control Room'!$B$2),ROUND(MAX(0,'Process'!AI77*'Control Room'!$H$10*INDEX('Control Room'!$B$19:$H$19,1,WEEKDAY($A77,2))*(1+'Control Room'!$D$9)^75*'Process'!AJ77),2),"")</x:f>
      </x:c>
      <x:c r="J77" s="16" t="str">
        <x:f>IF(AND(AND(76&lt;='Control Room'!$B$3,'Control Room'!$D$3="Ready"),8&lt;='Control Room'!$B$2),ROUND(MAX(0,'Process'!AN77*'Control Room'!$H$11*INDEX('Control Room'!$B$19:$H$19,1,WEEKDAY($A77,2))*(1+'Control Room'!$D$9)^75*'Process'!AO77),2),"")</x:f>
      </x:c>
      <x:c r="K77" s="16" t="str">
        <x:f>IF(AND(AND(76&lt;='Control Room'!$B$3,'Control Room'!$D$3="Ready"),9&lt;='Control Room'!$B$2),ROUND(MAX(0,'Process'!AS77*'Control Room'!$H$12*INDEX('Control Room'!$B$19:$H$19,1,WEEKDAY($A77,2))*(1+'Control Room'!$D$9)^75*'Process'!AT77),2),"")</x:f>
      </x:c>
      <x:c r="L77" s="16" t="str">
        <x:f>IF(AND(AND(76&lt;='Control Room'!$B$3,'Control Room'!$D$3="Ready"),10&lt;='Control Room'!$B$2),ROUND(MAX(0,'Process'!AX77*'Control Room'!$H$13*INDEX('Control Room'!$B$19:$H$19,1,WEEKDAY($A77,2))*(1+'Control Room'!$D$9)^75*'Process'!AY77),2),"")</x:f>
      </x:c>
      <x:c r="M77" s="16" t="str">
        <x:f>IF(AND(AND(76&lt;='Control Room'!$B$3,'Control Room'!$D$3="Ready"),11&lt;='Control Room'!$B$2),ROUND(MAX(0,'Process'!BC77*'Control Room'!$H$14*INDEX('Control Room'!$B$19:$H$19,1,WEEKDAY($A77,2))*(1+'Control Room'!$D$9)^75*'Process'!BD77),2),"")</x:f>
      </x:c>
      <x:c r="N77" s="16" t="str">
        <x:f>IF(AND(AND(76&lt;='Control Room'!$B$3,'Control Room'!$D$3="Ready"),12&lt;='Control Room'!$B$2),ROUND(MAX(0,'Process'!BH77*'Control Room'!$H$15*INDEX('Control Room'!$B$19:$H$19,1,WEEKDAY($A77,2))*(1+'Control Room'!$D$9)^75*'Process'!BI77),2),"")</x:f>
      </x:c>
    </x:row>
    <x:row r="78" ht="21" customHeight="1">
      <x:c r="A78" s="15" t="n">
        <x:f>IF(AND(77&lt;='Control Room'!$B$3,'Control Room'!$D$3="Ready"),'Process'!A78,"")</x:f>
        <x:v>73067</x:v>
      </x:c>
      <x:c r="B78" s="16" t="n">
        <x:f>IF(A78="","",SUM(C78:N78))</x:f>
        <x:v>2580.43</x:v>
      </x:c>
      <x:c r="C78" s="16" t="n">
        <x:f>IF(AND(AND(77&lt;='Control Room'!$B$3,'Control Room'!$D$3="Ready"),1&lt;='Control Room'!$B$2),ROUND(MAX(0,'Process'!E78*'Control Room'!$H$4*INDEX('Control Room'!$B$19:$H$19,1,WEEKDAY($A78,2))*(1+'Control Room'!$D$9)^76*'Process'!F78),2),"")</x:f>
        <x:v>796.11</x:v>
      </x:c>
      <x:c r="D78" s="16" t="n">
        <x:f>IF(AND(AND(77&lt;='Control Room'!$B$3,'Control Room'!$D$3="Ready"),2&lt;='Control Room'!$B$2),ROUND(MAX(0,'Process'!J78*'Control Room'!$H$5*INDEX('Control Room'!$B$19:$H$19,1,WEEKDAY($A78,2))*(1+'Control Room'!$D$9)^76*'Process'!K78),2),"")</x:f>
        <x:v>567.49</x:v>
      </x:c>
      <x:c r="E78" s="16" t="n">
        <x:f>IF(AND(AND(77&lt;='Control Room'!$B$3,'Control Room'!$D$3="Ready"),3&lt;='Control Room'!$B$2),ROUND(MAX(0,'Process'!O78*'Control Room'!$H$6*INDEX('Control Room'!$B$19:$H$19,1,WEEKDAY($A78,2))*(1+'Control Room'!$D$9)^76*'Process'!P78),2),"")</x:f>
        <x:v>737.06</x:v>
      </x:c>
      <x:c r="F78" s="16" t="n">
        <x:f>IF(AND(AND(77&lt;='Control Room'!$B$3,'Control Room'!$D$3="Ready"),4&lt;='Control Room'!$B$2),ROUND(MAX(0,'Process'!T78*'Control Room'!$H$7*INDEX('Control Room'!$B$19:$H$19,1,WEEKDAY($A78,2))*(1+'Control Room'!$D$9)^76*'Process'!U78),2),"")</x:f>
        <x:v>479.77</x:v>
      </x:c>
      <x:c r="G78" s="16" t="str">
        <x:f>IF(AND(AND(77&lt;='Control Room'!$B$3,'Control Room'!$D$3="Ready"),5&lt;='Control Room'!$B$2),ROUND(MAX(0,'Process'!Y78*'Control Room'!$H$8*INDEX('Control Room'!$B$19:$H$19,1,WEEKDAY($A78,2))*(1+'Control Room'!$D$9)^76*'Process'!Z78),2),"")</x:f>
      </x:c>
      <x:c r="H78" s="16" t="str">
        <x:f>IF(AND(AND(77&lt;='Control Room'!$B$3,'Control Room'!$D$3="Ready"),6&lt;='Control Room'!$B$2),ROUND(MAX(0,'Process'!AD78*'Control Room'!$H$9*INDEX('Control Room'!$B$19:$H$19,1,WEEKDAY($A78,2))*(1+'Control Room'!$D$9)^76*'Process'!AE78),2),"")</x:f>
      </x:c>
      <x:c r="I78" s="16" t="str">
        <x:f>IF(AND(AND(77&lt;='Control Room'!$B$3,'Control Room'!$D$3="Ready"),7&lt;='Control Room'!$B$2),ROUND(MAX(0,'Process'!AI78*'Control Room'!$H$10*INDEX('Control Room'!$B$19:$H$19,1,WEEKDAY($A78,2))*(1+'Control Room'!$D$9)^76*'Process'!AJ78),2),"")</x:f>
      </x:c>
      <x:c r="J78" s="16" t="str">
        <x:f>IF(AND(AND(77&lt;='Control Room'!$B$3,'Control Room'!$D$3="Ready"),8&lt;='Control Room'!$B$2),ROUND(MAX(0,'Process'!AN78*'Control Room'!$H$11*INDEX('Control Room'!$B$19:$H$19,1,WEEKDAY($A78,2))*(1+'Control Room'!$D$9)^76*'Process'!AO78),2),"")</x:f>
      </x:c>
      <x:c r="K78" s="16" t="str">
        <x:f>IF(AND(AND(77&lt;='Control Room'!$B$3,'Control Room'!$D$3="Ready"),9&lt;='Control Room'!$B$2),ROUND(MAX(0,'Process'!AS78*'Control Room'!$H$12*INDEX('Control Room'!$B$19:$H$19,1,WEEKDAY($A78,2))*(1+'Control Room'!$D$9)^76*'Process'!AT78),2),"")</x:f>
      </x:c>
      <x:c r="L78" s="16" t="str">
        <x:f>IF(AND(AND(77&lt;='Control Room'!$B$3,'Control Room'!$D$3="Ready"),10&lt;='Control Room'!$B$2),ROUND(MAX(0,'Process'!AX78*'Control Room'!$H$13*INDEX('Control Room'!$B$19:$H$19,1,WEEKDAY($A78,2))*(1+'Control Room'!$D$9)^76*'Process'!AY78),2),"")</x:f>
      </x:c>
      <x:c r="M78" s="16" t="str">
        <x:f>IF(AND(AND(77&lt;='Control Room'!$B$3,'Control Room'!$D$3="Ready"),11&lt;='Control Room'!$B$2),ROUND(MAX(0,'Process'!BC78*'Control Room'!$H$14*INDEX('Control Room'!$B$19:$H$19,1,WEEKDAY($A78,2))*(1+'Control Room'!$D$9)^76*'Process'!BD78),2),"")</x:f>
      </x:c>
      <x:c r="N78" s="16" t="str">
        <x:f>IF(AND(AND(77&lt;='Control Room'!$B$3,'Control Room'!$D$3="Ready"),12&lt;='Control Room'!$B$2),ROUND(MAX(0,'Process'!BH78*'Control Room'!$H$15*INDEX('Control Room'!$B$19:$H$19,1,WEEKDAY($A78,2))*(1+'Control Room'!$D$9)^76*'Process'!BI78),2),"")</x:f>
      </x:c>
    </x:row>
    <x:row r="79" ht="21" customHeight="1">
      <x:c r="A79" s="15" t="n">
        <x:f>IF(AND(78&lt;='Control Room'!$B$3,'Control Room'!$D$3="Ready"),'Process'!A79,"")</x:f>
        <x:v>73068</x:v>
      </x:c>
      <x:c r="B79" s="16" t="n">
        <x:f>IF(A79="","",SUM(C79:N79))</x:f>
        <x:v>4307.599999999999</x:v>
      </x:c>
      <x:c r="C79" s="16" t="n">
        <x:f>IF(AND(AND(78&lt;='Control Room'!$B$3,'Control Room'!$D$3="Ready"),1&lt;='Control Room'!$B$2),ROUND(MAX(0,'Process'!E79*'Control Room'!$H$4*INDEX('Control Room'!$B$19:$H$19,1,WEEKDAY($A79,2))*(1+'Control Room'!$D$9)^77*'Process'!F79),2),"")</x:f>
        <x:v>1380.1</x:v>
      </x:c>
      <x:c r="D79" s="16" t="n">
        <x:f>IF(AND(AND(78&lt;='Control Room'!$B$3,'Control Room'!$D$3="Ready"),2&lt;='Control Room'!$B$2),ROUND(MAX(0,'Process'!J79*'Control Room'!$H$5*INDEX('Control Room'!$B$19:$H$19,1,WEEKDAY($A79,2))*(1+'Control Room'!$D$9)^77*'Process'!K79),2),"")</x:f>
        <x:v>977.03</x:v>
      </x:c>
      <x:c r="E79" s="16" t="n">
        <x:f>IF(AND(AND(78&lt;='Control Room'!$B$3,'Control Room'!$D$3="Ready"),3&lt;='Control Room'!$B$2),ROUND(MAX(0,'Process'!O79*'Control Room'!$H$6*INDEX('Control Room'!$B$19:$H$19,1,WEEKDAY($A79,2))*(1+'Control Room'!$D$9)^77*'Process'!P79),2),"")</x:f>
        <x:v>1199.82</x:v>
      </x:c>
      <x:c r="F79" s="16" t="n">
        <x:f>IF(AND(AND(78&lt;='Control Room'!$B$3,'Control Room'!$D$3="Ready"),4&lt;='Control Room'!$B$2),ROUND(MAX(0,'Process'!T79*'Control Room'!$H$7*INDEX('Control Room'!$B$19:$H$19,1,WEEKDAY($A79,2))*(1+'Control Room'!$D$9)^77*'Process'!U79),2),"")</x:f>
        <x:v>750.65</x:v>
      </x:c>
      <x:c r="G79" s="16" t="str">
        <x:f>IF(AND(AND(78&lt;='Control Room'!$B$3,'Control Room'!$D$3="Ready"),5&lt;='Control Room'!$B$2),ROUND(MAX(0,'Process'!Y79*'Control Room'!$H$8*INDEX('Control Room'!$B$19:$H$19,1,WEEKDAY($A79,2))*(1+'Control Room'!$D$9)^77*'Process'!Z79),2),"")</x:f>
      </x:c>
      <x:c r="H79" s="16" t="str">
        <x:f>IF(AND(AND(78&lt;='Control Room'!$B$3,'Control Room'!$D$3="Ready"),6&lt;='Control Room'!$B$2),ROUND(MAX(0,'Process'!AD79*'Control Room'!$H$9*INDEX('Control Room'!$B$19:$H$19,1,WEEKDAY($A79,2))*(1+'Control Room'!$D$9)^77*'Process'!AE79),2),"")</x:f>
      </x:c>
      <x:c r="I79" s="16" t="str">
        <x:f>IF(AND(AND(78&lt;='Control Room'!$B$3,'Control Room'!$D$3="Ready"),7&lt;='Control Room'!$B$2),ROUND(MAX(0,'Process'!AI79*'Control Room'!$H$10*INDEX('Control Room'!$B$19:$H$19,1,WEEKDAY($A79,2))*(1+'Control Room'!$D$9)^77*'Process'!AJ79),2),"")</x:f>
      </x:c>
      <x:c r="J79" s="16" t="str">
        <x:f>IF(AND(AND(78&lt;='Control Room'!$B$3,'Control Room'!$D$3="Ready"),8&lt;='Control Room'!$B$2),ROUND(MAX(0,'Process'!AN79*'Control Room'!$H$11*INDEX('Control Room'!$B$19:$H$19,1,WEEKDAY($A79,2))*(1+'Control Room'!$D$9)^77*'Process'!AO79),2),"")</x:f>
      </x:c>
      <x:c r="K79" s="16" t="str">
        <x:f>IF(AND(AND(78&lt;='Control Room'!$B$3,'Control Room'!$D$3="Ready"),9&lt;='Control Room'!$B$2),ROUND(MAX(0,'Process'!AS79*'Control Room'!$H$12*INDEX('Control Room'!$B$19:$H$19,1,WEEKDAY($A79,2))*(1+'Control Room'!$D$9)^77*'Process'!AT79),2),"")</x:f>
      </x:c>
      <x:c r="L79" s="16" t="str">
        <x:f>IF(AND(AND(78&lt;='Control Room'!$B$3,'Control Room'!$D$3="Ready"),10&lt;='Control Room'!$B$2),ROUND(MAX(0,'Process'!AX79*'Control Room'!$H$13*INDEX('Control Room'!$B$19:$H$19,1,WEEKDAY($A79,2))*(1+'Control Room'!$D$9)^77*'Process'!AY79),2),"")</x:f>
      </x:c>
      <x:c r="M79" s="16" t="str">
        <x:f>IF(AND(AND(78&lt;='Control Room'!$B$3,'Control Room'!$D$3="Ready"),11&lt;='Control Room'!$B$2),ROUND(MAX(0,'Process'!BC79*'Control Room'!$H$14*INDEX('Control Room'!$B$19:$H$19,1,WEEKDAY($A79,2))*(1+'Control Room'!$D$9)^77*'Process'!BD79),2),"")</x:f>
      </x:c>
      <x:c r="N79" s="16" t="str">
        <x:f>IF(AND(AND(78&lt;='Control Room'!$B$3,'Control Room'!$D$3="Ready"),12&lt;='Control Room'!$B$2),ROUND(MAX(0,'Process'!BH79*'Control Room'!$H$15*INDEX('Control Room'!$B$19:$H$19,1,WEEKDAY($A79,2))*(1+'Control Room'!$D$9)^77*'Process'!BI79),2),"")</x:f>
      </x:c>
    </x:row>
    <x:row r="80" ht="21" customHeight="1">
      <x:c r="A80" s="15" t="n">
        <x:f>IF(AND(79&lt;='Control Room'!$B$3,'Control Room'!$D$3="Ready"),'Process'!A80,"")</x:f>
        <x:v>73069</x:v>
      </x:c>
      <x:c r="B80" s="16" t="n">
        <x:f>IF(A80="","",SUM(C80:N80))</x:f>
        <x:v>4518.74</x:v>
      </x:c>
      <x:c r="C80" s="16" t="n">
        <x:f>IF(AND(AND(79&lt;='Control Room'!$B$3,'Control Room'!$D$3="Ready"),1&lt;='Control Room'!$B$2),ROUND(MAX(0,'Process'!E80*'Control Room'!$H$4*INDEX('Control Room'!$B$19:$H$19,1,WEEKDAY($A80,2))*(1+'Control Room'!$D$9)^78*'Process'!F80),2),"")</x:f>
        <x:v>1345.13</x:v>
      </x:c>
      <x:c r="D80" s="16" t="n">
        <x:f>IF(AND(AND(79&lt;='Control Room'!$B$3,'Control Room'!$D$3="Ready"),2&lt;='Control Room'!$B$2),ROUND(MAX(0,'Process'!J80*'Control Room'!$H$5*INDEX('Control Room'!$B$19:$H$19,1,WEEKDAY($A80,2))*(1+'Control Room'!$D$9)^78*'Process'!K80),2),"")</x:f>
        <x:v>958.48</x:v>
      </x:c>
      <x:c r="E80" s="16" t="n">
        <x:f>IF(AND(AND(79&lt;='Control Room'!$B$3,'Control Room'!$D$3="Ready"),3&lt;='Control Room'!$B$2),ROUND(MAX(0,'Process'!O80*'Control Room'!$H$6*INDEX('Control Room'!$B$19:$H$19,1,WEEKDAY($A80,2))*(1+'Control Room'!$D$9)^78*'Process'!P80),2),"")</x:f>
        <x:v>1325.6</x:v>
      </x:c>
      <x:c r="F80" s="16" t="n">
        <x:f>IF(AND(AND(79&lt;='Control Room'!$B$3,'Control Room'!$D$3="Ready"),4&lt;='Control Room'!$B$2),ROUND(MAX(0,'Process'!T80*'Control Room'!$H$7*INDEX('Control Room'!$B$19:$H$19,1,WEEKDAY($A80,2))*(1+'Control Room'!$D$9)^78*'Process'!U80),2),"")</x:f>
        <x:v>889.53</x:v>
      </x:c>
      <x:c r="G80" s="16" t="str">
        <x:f>IF(AND(AND(79&lt;='Control Room'!$B$3,'Control Room'!$D$3="Ready"),5&lt;='Control Room'!$B$2),ROUND(MAX(0,'Process'!Y80*'Control Room'!$H$8*INDEX('Control Room'!$B$19:$H$19,1,WEEKDAY($A80,2))*(1+'Control Room'!$D$9)^78*'Process'!Z80),2),"")</x:f>
      </x:c>
      <x:c r="H80" s="16" t="str">
        <x:f>IF(AND(AND(79&lt;='Control Room'!$B$3,'Control Room'!$D$3="Ready"),6&lt;='Control Room'!$B$2),ROUND(MAX(0,'Process'!AD80*'Control Room'!$H$9*INDEX('Control Room'!$B$19:$H$19,1,WEEKDAY($A80,2))*(1+'Control Room'!$D$9)^78*'Process'!AE80),2),"")</x:f>
      </x:c>
      <x:c r="I80" s="16" t="str">
        <x:f>IF(AND(AND(79&lt;='Control Room'!$B$3,'Control Room'!$D$3="Ready"),7&lt;='Control Room'!$B$2),ROUND(MAX(0,'Process'!AI80*'Control Room'!$H$10*INDEX('Control Room'!$B$19:$H$19,1,WEEKDAY($A80,2))*(1+'Control Room'!$D$9)^78*'Process'!AJ80),2),"")</x:f>
      </x:c>
      <x:c r="J80" s="16" t="str">
        <x:f>IF(AND(AND(79&lt;='Control Room'!$B$3,'Control Room'!$D$3="Ready"),8&lt;='Control Room'!$B$2),ROUND(MAX(0,'Process'!AN80*'Control Room'!$H$11*INDEX('Control Room'!$B$19:$H$19,1,WEEKDAY($A80,2))*(1+'Control Room'!$D$9)^78*'Process'!AO80),2),"")</x:f>
      </x:c>
      <x:c r="K80" s="16" t="str">
        <x:f>IF(AND(AND(79&lt;='Control Room'!$B$3,'Control Room'!$D$3="Ready"),9&lt;='Control Room'!$B$2),ROUND(MAX(0,'Process'!AS80*'Control Room'!$H$12*INDEX('Control Room'!$B$19:$H$19,1,WEEKDAY($A80,2))*(1+'Control Room'!$D$9)^78*'Process'!AT80),2),"")</x:f>
      </x:c>
      <x:c r="L80" s="16" t="str">
        <x:f>IF(AND(AND(79&lt;='Control Room'!$B$3,'Control Room'!$D$3="Ready"),10&lt;='Control Room'!$B$2),ROUND(MAX(0,'Process'!AX80*'Control Room'!$H$13*INDEX('Control Room'!$B$19:$H$19,1,WEEKDAY($A80,2))*(1+'Control Room'!$D$9)^78*'Process'!AY80),2),"")</x:f>
      </x:c>
      <x:c r="M80" s="16" t="str">
        <x:f>IF(AND(AND(79&lt;='Control Room'!$B$3,'Control Room'!$D$3="Ready"),11&lt;='Control Room'!$B$2),ROUND(MAX(0,'Process'!BC80*'Control Room'!$H$14*INDEX('Control Room'!$B$19:$H$19,1,WEEKDAY($A80,2))*(1+'Control Room'!$D$9)^78*'Process'!BD80),2),"")</x:f>
      </x:c>
      <x:c r="N80" s="16" t="str">
        <x:f>IF(AND(AND(79&lt;='Control Room'!$B$3,'Control Room'!$D$3="Ready"),12&lt;='Control Room'!$B$2),ROUND(MAX(0,'Process'!BH80*'Control Room'!$H$15*INDEX('Control Room'!$B$19:$H$19,1,WEEKDAY($A80,2))*(1+'Control Room'!$D$9)^78*'Process'!BI80),2),"")</x:f>
      </x:c>
    </x:row>
    <x:row r="81" ht="21" customHeight="1">
      <x:c r="A81" s="15" t="n">
        <x:f>IF(AND(80&lt;='Control Room'!$B$3,'Control Room'!$D$3="Ready"),'Process'!A81,"")</x:f>
        <x:v>73070</x:v>
      </x:c>
      <x:c r="B81" s="16" t="n">
        <x:f>IF(A81="","",SUM(C81:N81))</x:f>
        <x:v>4546.21</x:v>
      </x:c>
      <x:c r="C81" s="16" t="n">
        <x:f>IF(AND(AND(80&lt;='Control Room'!$B$3,'Control Room'!$D$3="Ready"),1&lt;='Control Room'!$B$2),ROUND(MAX(0,'Process'!E81*'Control Room'!$H$4*INDEX('Control Room'!$B$19:$H$19,1,WEEKDAY($A81,2))*(1+'Control Room'!$D$9)^79*'Process'!F81),2),"")</x:f>
        <x:v>1310.3</x:v>
      </x:c>
      <x:c r="D81" s="16" t="n">
        <x:f>IF(AND(AND(80&lt;='Control Room'!$B$3,'Control Room'!$D$3="Ready"),2&lt;='Control Room'!$B$2),ROUND(MAX(0,'Process'!J81*'Control Room'!$H$5*INDEX('Control Room'!$B$19:$H$19,1,WEEKDAY($A81,2))*(1+'Control Room'!$D$9)^79*'Process'!K81),2),"")</x:f>
        <x:v>971.95</x:v>
      </x:c>
      <x:c r="E81" s="16" t="n">
        <x:f>IF(AND(AND(80&lt;='Control Room'!$B$3,'Control Room'!$D$3="Ready"),3&lt;='Control Room'!$B$2),ROUND(MAX(0,'Process'!O81*'Control Room'!$H$6*INDEX('Control Room'!$B$19:$H$19,1,WEEKDAY($A81,2))*(1+'Control Room'!$D$9)^79*'Process'!P81),2),"")</x:f>
        <x:v>1377.57</x:v>
      </x:c>
      <x:c r="F81" s="16" t="n">
        <x:f>IF(AND(AND(80&lt;='Control Room'!$B$3,'Control Room'!$D$3="Ready"),4&lt;='Control Room'!$B$2),ROUND(MAX(0,'Process'!T81*'Control Room'!$H$7*INDEX('Control Room'!$B$19:$H$19,1,WEEKDAY($A81,2))*(1+'Control Room'!$D$9)^79*'Process'!U81),2),"")</x:f>
        <x:v>886.39</x:v>
      </x:c>
      <x:c r="G81" s="16" t="str">
        <x:f>IF(AND(AND(80&lt;='Control Room'!$B$3,'Control Room'!$D$3="Ready"),5&lt;='Control Room'!$B$2),ROUND(MAX(0,'Process'!Y81*'Control Room'!$H$8*INDEX('Control Room'!$B$19:$H$19,1,WEEKDAY($A81,2))*(1+'Control Room'!$D$9)^79*'Process'!Z81),2),"")</x:f>
      </x:c>
      <x:c r="H81" s="16" t="str">
        <x:f>IF(AND(AND(80&lt;='Control Room'!$B$3,'Control Room'!$D$3="Ready"),6&lt;='Control Room'!$B$2),ROUND(MAX(0,'Process'!AD81*'Control Room'!$H$9*INDEX('Control Room'!$B$19:$H$19,1,WEEKDAY($A81,2))*(1+'Control Room'!$D$9)^79*'Process'!AE81),2),"")</x:f>
      </x:c>
      <x:c r="I81" s="16" t="str">
        <x:f>IF(AND(AND(80&lt;='Control Room'!$B$3,'Control Room'!$D$3="Ready"),7&lt;='Control Room'!$B$2),ROUND(MAX(0,'Process'!AI81*'Control Room'!$H$10*INDEX('Control Room'!$B$19:$H$19,1,WEEKDAY($A81,2))*(1+'Control Room'!$D$9)^79*'Process'!AJ81),2),"")</x:f>
      </x:c>
      <x:c r="J81" s="16" t="str">
        <x:f>IF(AND(AND(80&lt;='Control Room'!$B$3,'Control Room'!$D$3="Ready"),8&lt;='Control Room'!$B$2),ROUND(MAX(0,'Process'!AN81*'Control Room'!$H$11*INDEX('Control Room'!$B$19:$H$19,1,WEEKDAY($A81,2))*(1+'Control Room'!$D$9)^79*'Process'!AO81),2),"")</x:f>
      </x:c>
      <x:c r="K81" s="16" t="str">
        <x:f>IF(AND(AND(80&lt;='Control Room'!$B$3,'Control Room'!$D$3="Ready"),9&lt;='Control Room'!$B$2),ROUND(MAX(0,'Process'!AS81*'Control Room'!$H$12*INDEX('Control Room'!$B$19:$H$19,1,WEEKDAY($A81,2))*(1+'Control Room'!$D$9)^79*'Process'!AT81),2),"")</x:f>
      </x:c>
      <x:c r="L81" s="16" t="str">
        <x:f>IF(AND(AND(80&lt;='Control Room'!$B$3,'Control Room'!$D$3="Ready"),10&lt;='Control Room'!$B$2),ROUND(MAX(0,'Process'!AX81*'Control Room'!$H$13*INDEX('Control Room'!$B$19:$H$19,1,WEEKDAY($A81,2))*(1+'Control Room'!$D$9)^79*'Process'!AY81),2),"")</x:f>
      </x:c>
      <x:c r="M81" s="16" t="str">
        <x:f>IF(AND(AND(80&lt;='Control Room'!$B$3,'Control Room'!$D$3="Ready"),11&lt;='Control Room'!$B$2),ROUND(MAX(0,'Process'!BC81*'Control Room'!$H$14*INDEX('Control Room'!$B$19:$H$19,1,WEEKDAY($A81,2))*(1+'Control Room'!$D$9)^79*'Process'!BD81),2),"")</x:f>
      </x:c>
      <x:c r="N81" s="16" t="str">
        <x:f>IF(AND(AND(80&lt;='Control Room'!$B$3,'Control Room'!$D$3="Ready"),12&lt;='Control Room'!$B$2),ROUND(MAX(0,'Process'!BH81*'Control Room'!$H$15*INDEX('Control Room'!$B$19:$H$19,1,WEEKDAY($A81,2))*(1+'Control Room'!$D$9)^79*'Process'!BI81),2),"")</x:f>
      </x:c>
    </x:row>
    <x:row r="82" ht="21" customHeight="1">
      <x:c r="A82" s="15" t="n">
        <x:f>IF(AND(81&lt;='Control Room'!$B$3,'Control Room'!$D$3="Ready"),'Process'!A82,"")</x:f>
        <x:v>73071</x:v>
      </x:c>
      <x:c r="B82" s="16" t="n">
        <x:f>IF(A82="","",SUM(C82:N82))</x:f>
        <x:v>4406.75</x:v>
      </x:c>
      <x:c r="C82" s="16" t="n">
        <x:f>IF(AND(AND(81&lt;='Control Room'!$B$3,'Control Room'!$D$3="Ready"),1&lt;='Control Room'!$B$2),ROUND(MAX(0,'Process'!E82*'Control Room'!$H$4*INDEX('Control Room'!$B$19:$H$19,1,WEEKDAY($A82,2))*(1+'Control Room'!$D$9)^80*'Process'!F82),2),"")</x:f>
        <x:v>1275.51</x:v>
      </x:c>
      <x:c r="D82" s="16" t="n">
        <x:f>IF(AND(AND(81&lt;='Control Room'!$B$3,'Control Room'!$D$3="Ready"),2&lt;='Control Room'!$B$2),ROUND(MAX(0,'Process'!J82*'Control Room'!$H$5*INDEX('Control Room'!$B$19:$H$19,1,WEEKDAY($A82,2))*(1+'Control Room'!$D$9)^80*'Process'!K82),2),"")</x:f>
        <x:v>925.81</x:v>
      </x:c>
      <x:c r="E82" s="16" t="n">
        <x:f>IF(AND(AND(81&lt;='Control Room'!$B$3,'Control Room'!$D$3="Ready"),3&lt;='Control Room'!$B$2),ROUND(MAX(0,'Process'!O82*'Control Room'!$H$6*INDEX('Control Room'!$B$19:$H$19,1,WEEKDAY($A82,2))*(1+'Control Room'!$D$9)^80*'Process'!P82),2),"")</x:f>
        <x:v>1295.55</x:v>
      </x:c>
      <x:c r="F82" s="16" t="n">
        <x:f>IF(AND(AND(81&lt;='Control Room'!$B$3,'Control Room'!$D$3="Ready"),4&lt;='Control Room'!$B$2),ROUND(MAX(0,'Process'!T82*'Control Room'!$H$7*INDEX('Control Room'!$B$19:$H$19,1,WEEKDAY($A82,2))*(1+'Control Room'!$D$9)^80*'Process'!U82),2),"")</x:f>
        <x:v>909.88</x:v>
      </x:c>
      <x:c r="G82" s="16" t="str">
        <x:f>IF(AND(AND(81&lt;='Control Room'!$B$3,'Control Room'!$D$3="Ready"),5&lt;='Control Room'!$B$2),ROUND(MAX(0,'Process'!Y82*'Control Room'!$H$8*INDEX('Control Room'!$B$19:$H$19,1,WEEKDAY($A82,2))*(1+'Control Room'!$D$9)^80*'Process'!Z82),2),"")</x:f>
      </x:c>
      <x:c r="H82" s="16" t="str">
        <x:f>IF(AND(AND(81&lt;='Control Room'!$B$3,'Control Room'!$D$3="Ready"),6&lt;='Control Room'!$B$2),ROUND(MAX(0,'Process'!AD82*'Control Room'!$H$9*INDEX('Control Room'!$B$19:$H$19,1,WEEKDAY($A82,2))*(1+'Control Room'!$D$9)^80*'Process'!AE82),2),"")</x:f>
      </x:c>
      <x:c r="I82" s="16" t="str">
        <x:f>IF(AND(AND(81&lt;='Control Room'!$B$3,'Control Room'!$D$3="Ready"),7&lt;='Control Room'!$B$2),ROUND(MAX(0,'Process'!AI82*'Control Room'!$H$10*INDEX('Control Room'!$B$19:$H$19,1,WEEKDAY($A82,2))*(1+'Control Room'!$D$9)^80*'Process'!AJ82),2),"")</x:f>
      </x:c>
      <x:c r="J82" s="16" t="str">
        <x:f>IF(AND(AND(81&lt;='Control Room'!$B$3,'Control Room'!$D$3="Ready"),8&lt;='Control Room'!$B$2),ROUND(MAX(0,'Process'!AN82*'Control Room'!$H$11*INDEX('Control Room'!$B$19:$H$19,1,WEEKDAY($A82,2))*(1+'Control Room'!$D$9)^80*'Process'!AO82),2),"")</x:f>
      </x:c>
      <x:c r="K82" s="16" t="str">
        <x:f>IF(AND(AND(81&lt;='Control Room'!$B$3,'Control Room'!$D$3="Ready"),9&lt;='Control Room'!$B$2),ROUND(MAX(0,'Process'!AS82*'Control Room'!$H$12*INDEX('Control Room'!$B$19:$H$19,1,WEEKDAY($A82,2))*(1+'Control Room'!$D$9)^80*'Process'!AT82),2),"")</x:f>
      </x:c>
      <x:c r="L82" s="16" t="str">
        <x:f>IF(AND(AND(81&lt;='Control Room'!$B$3,'Control Room'!$D$3="Ready"),10&lt;='Control Room'!$B$2),ROUND(MAX(0,'Process'!AX82*'Control Room'!$H$13*INDEX('Control Room'!$B$19:$H$19,1,WEEKDAY($A82,2))*(1+'Control Room'!$D$9)^80*'Process'!AY82),2),"")</x:f>
      </x:c>
      <x:c r="M82" s="16" t="str">
        <x:f>IF(AND(AND(81&lt;='Control Room'!$B$3,'Control Room'!$D$3="Ready"),11&lt;='Control Room'!$B$2),ROUND(MAX(0,'Process'!BC82*'Control Room'!$H$14*INDEX('Control Room'!$B$19:$H$19,1,WEEKDAY($A82,2))*(1+'Control Room'!$D$9)^80*'Process'!BD82),2),"")</x:f>
      </x:c>
      <x:c r="N82" s="16" t="str">
        <x:f>IF(AND(AND(81&lt;='Control Room'!$B$3,'Control Room'!$D$3="Ready"),12&lt;='Control Room'!$B$2),ROUND(MAX(0,'Process'!BH82*'Control Room'!$H$15*INDEX('Control Room'!$B$19:$H$19,1,WEEKDAY($A82,2))*(1+'Control Room'!$D$9)^80*'Process'!BI82),2),"")</x:f>
      </x:c>
    </x:row>
    <x:row r="83" ht="21" customHeight="1">
      <x:c r="A83" s="15" t="n">
        <x:f>IF(AND(82&lt;='Control Room'!$B$3,'Control Room'!$D$3="Ready"),'Process'!A83,"")</x:f>
        <x:v>73072</x:v>
      </x:c>
      <x:c r="B83" s="16" t="n">
        <x:f>IF(A83="","",SUM(C83:N83))</x:f>
        <x:v>4465.99</x:v>
      </x:c>
      <x:c r="C83" s="16" t="n">
        <x:f>IF(AND(AND(82&lt;='Control Room'!$B$3,'Control Room'!$D$3="Ready"),1&lt;='Control Room'!$B$2),ROUND(MAX(0,'Process'!E83*'Control Room'!$H$4*INDEX('Control Room'!$B$19:$H$19,1,WEEKDAY($A83,2))*(1+'Control Room'!$D$9)^81*'Process'!F83),2),"")</x:f>
        <x:v>1260.7</x:v>
      </x:c>
      <x:c r="D83" s="16" t="n">
        <x:f>IF(AND(AND(82&lt;='Control Room'!$B$3,'Control Room'!$D$3="Ready"),2&lt;='Control Room'!$B$2),ROUND(MAX(0,'Process'!J83*'Control Room'!$H$5*INDEX('Control Room'!$B$19:$H$19,1,WEEKDAY($A83,2))*(1+'Control Room'!$D$9)^81*'Process'!K83),2),"")</x:f>
        <x:v>1012.53</x:v>
      </x:c>
      <x:c r="E83" s="16" t="n">
        <x:f>IF(AND(AND(82&lt;='Control Room'!$B$3,'Control Room'!$D$3="Ready"),3&lt;='Control Room'!$B$2),ROUND(MAX(0,'Process'!O83*'Control Room'!$H$6*INDEX('Control Room'!$B$19:$H$19,1,WEEKDAY($A83,2))*(1+'Control Room'!$D$9)^81*'Process'!P83),2),"")</x:f>
        <x:v>1352.79</x:v>
      </x:c>
      <x:c r="F83" s="16" t="n">
        <x:f>IF(AND(AND(82&lt;='Control Room'!$B$3,'Control Room'!$D$3="Ready"),4&lt;='Control Room'!$B$2),ROUND(MAX(0,'Process'!T83*'Control Room'!$H$7*INDEX('Control Room'!$B$19:$H$19,1,WEEKDAY($A83,2))*(1+'Control Room'!$D$9)^81*'Process'!U83),2),"")</x:f>
        <x:v>839.97</x:v>
      </x:c>
      <x:c r="G83" s="16" t="str">
        <x:f>IF(AND(AND(82&lt;='Control Room'!$B$3,'Control Room'!$D$3="Ready"),5&lt;='Control Room'!$B$2),ROUND(MAX(0,'Process'!Y83*'Control Room'!$H$8*INDEX('Control Room'!$B$19:$H$19,1,WEEKDAY($A83,2))*(1+'Control Room'!$D$9)^81*'Process'!Z83),2),"")</x:f>
      </x:c>
      <x:c r="H83" s="16" t="str">
        <x:f>IF(AND(AND(82&lt;='Control Room'!$B$3,'Control Room'!$D$3="Ready"),6&lt;='Control Room'!$B$2),ROUND(MAX(0,'Process'!AD83*'Control Room'!$H$9*INDEX('Control Room'!$B$19:$H$19,1,WEEKDAY($A83,2))*(1+'Control Room'!$D$9)^81*'Process'!AE83),2),"")</x:f>
      </x:c>
      <x:c r="I83" s="16" t="str">
        <x:f>IF(AND(AND(82&lt;='Control Room'!$B$3,'Control Room'!$D$3="Ready"),7&lt;='Control Room'!$B$2),ROUND(MAX(0,'Process'!AI83*'Control Room'!$H$10*INDEX('Control Room'!$B$19:$H$19,1,WEEKDAY($A83,2))*(1+'Control Room'!$D$9)^81*'Process'!AJ83),2),"")</x:f>
      </x:c>
      <x:c r="J83" s="16" t="str">
        <x:f>IF(AND(AND(82&lt;='Control Room'!$B$3,'Control Room'!$D$3="Ready"),8&lt;='Control Room'!$B$2),ROUND(MAX(0,'Process'!AN83*'Control Room'!$H$11*INDEX('Control Room'!$B$19:$H$19,1,WEEKDAY($A83,2))*(1+'Control Room'!$D$9)^81*'Process'!AO83),2),"")</x:f>
      </x:c>
      <x:c r="K83" s="16" t="str">
        <x:f>IF(AND(AND(82&lt;='Control Room'!$B$3,'Control Room'!$D$3="Ready"),9&lt;='Control Room'!$B$2),ROUND(MAX(0,'Process'!AS83*'Control Room'!$H$12*INDEX('Control Room'!$B$19:$H$19,1,WEEKDAY($A83,2))*(1+'Control Room'!$D$9)^81*'Process'!AT83),2),"")</x:f>
      </x:c>
      <x:c r="L83" s="16" t="str">
        <x:f>IF(AND(AND(82&lt;='Control Room'!$B$3,'Control Room'!$D$3="Ready"),10&lt;='Control Room'!$B$2),ROUND(MAX(0,'Process'!AX83*'Control Room'!$H$13*INDEX('Control Room'!$B$19:$H$19,1,WEEKDAY($A83,2))*(1+'Control Room'!$D$9)^81*'Process'!AY83),2),"")</x:f>
      </x:c>
      <x:c r="M83" s="16" t="str">
        <x:f>IF(AND(AND(82&lt;='Control Room'!$B$3,'Control Room'!$D$3="Ready"),11&lt;='Control Room'!$B$2),ROUND(MAX(0,'Process'!BC83*'Control Room'!$H$14*INDEX('Control Room'!$B$19:$H$19,1,WEEKDAY($A83,2))*(1+'Control Room'!$D$9)^81*'Process'!BD83),2),"")</x:f>
      </x:c>
      <x:c r="N83" s="16" t="str">
        <x:f>IF(AND(AND(82&lt;='Control Room'!$B$3,'Control Room'!$D$3="Ready"),12&lt;='Control Room'!$B$2),ROUND(MAX(0,'Process'!BH83*'Control Room'!$H$15*INDEX('Control Room'!$B$19:$H$19,1,WEEKDAY($A83,2))*(1+'Control Room'!$D$9)^81*'Process'!BI83),2),"")</x:f>
      </x:c>
    </x:row>
    <x:row r="84" ht="21" customHeight="1">
      <x:c r="A84" s="15" t="n">
        <x:f>IF(AND(83&lt;='Control Room'!$B$3,'Control Room'!$D$3="Ready"),'Process'!A84,"")</x:f>
        <x:v>73073</x:v>
      </x:c>
      <x:c r="B84" s="16" t="n">
        <x:f>IF(A84="","",SUM(C84:N84))</x:f>
        <x:v>3661.2</x:v>
      </x:c>
      <x:c r="C84" s="16" t="n">
        <x:f>IF(AND(AND(83&lt;='Control Room'!$B$3,'Control Room'!$D$3="Ready"),1&lt;='Control Room'!$B$2),ROUND(MAX(0,'Process'!E84*'Control Room'!$H$4*INDEX('Control Room'!$B$19:$H$19,1,WEEKDAY($A84,2))*(1+'Control Room'!$D$9)^82*'Process'!F84),2),"")</x:f>
        <x:v>1029.07</x:v>
      </x:c>
      <x:c r="D84" s="16" t="n">
        <x:f>IF(AND(AND(83&lt;='Control Room'!$B$3,'Control Room'!$D$3="Ready"),2&lt;='Control Room'!$B$2),ROUND(MAX(0,'Process'!J84*'Control Room'!$H$5*INDEX('Control Room'!$B$19:$H$19,1,WEEKDAY($A84,2))*(1+'Control Room'!$D$9)^82*'Process'!K84),2),"")</x:f>
        <x:v>785.76</x:v>
      </x:c>
      <x:c r="E84" s="16" t="n">
        <x:f>IF(AND(AND(83&lt;='Control Room'!$B$3,'Control Room'!$D$3="Ready"),3&lt;='Control Room'!$B$2),ROUND(MAX(0,'Process'!O84*'Control Room'!$H$6*INDEX('Control Room'!$B$19:$H$19,1,WEEKDAY($A84,2))*(1+'Control Room'!$D$9)^82*'Process'!P84),2),"")</x:f>
        <x:v>1218.24</x:v>
      </x:c>
      <x:c r="F84" s="16" t="n">
        <x:f>IF(AND(AND(83&lt;='Control Room'!$B$3,'Control Room'!$D$3="Ready"),4&lt;='Control Room'!$B$2),ROUND(MAX(0,'Process'!T84*'Control Room'!$H$7*INDEX('Control Room'!$B$19:$H$19,1,WEEKDAY($A84,2))*(1+'Control Room'!$D$9)^82*'Process'!U84),2),"")</x:f>
        <x:v>628.13</x:v>
      </x:c>
      <x:c r="G84" s="16" t="str">
        <x:f>IF(AND(AND(83&lt;='Control Room'!$B$3,'Control Room'!$D$3="Ready"),5&lt;='Control Room'!$B$2),ROUND(MAX(0,'Process'!Y84*'Control Room'!$H$8*INDEX('Control Room'!$B$19:$H$19,1,WEEKDAY($A84,2))*(1+'Control Room'!$D$9)^82*'Process'!Z84),2),"")</x:f>
      </x:c>
      <x:c r="H84" s="16" t="str">
        <x:f>IF(AND(AND(83&lt;='Control Room'!$B$3,'Control Room'!$D$3="Ready"),6&lt;='Control Room'!$B$2),ROUND(MAX(0,'Process'!AD84*'Control Room'!$H$9*INDEX('Control Room'!$B$19:$H$19,1,WEEKDAY($A84,2))*(1+'Control Room'!$D$9)^82*'Process'!AE84),2),"")</x:f>
      </x:c>
      <x:c r="I84" s="16" t="str">
        <x:f>IF(AND(AND(83&lt;='Control Room'!$B$3,'Control Room'!$D$3="Ready"),7&lt;='Control Room'!$B$2),ROUND(MAX(0,'Process'!AI84*'Control Room'!$H$10*INDEX('Control Room'!$B$19:$H$19,1,WEEKDAY($A84,2))*(1+'Control Room'!$D$9)^82*'Process'!AJ84),2),"")</x:f>
      </x:c>
      <x:c r="J84" s="16" t="str">
        <x:f>IF(AND(AND(83&lt;='Control Room'!$B$3,'Control Room'!$D$3="Ready"),8&lt;='Control Room'!$B$2),ROUND(MAX(0,'Process'!AN84*'Control Room'!$H$11*INDEX('Control Room'!$B$19:$H$19,1,WEEKDAY($A84,2))*(1+'Control Room'!$D$9)^82*'Process'!AO84),2),"")</x:f>
      </x:c>
      <x:c r="K84" s="16" t="str">
        <x:f>IF(AND(AND(83&lt;='Control Room'!$B$3,'Control Room'!$D$3="Ready"),9&lt;='Control Room'!$B$2),ROUND(MAX(0,'Process'!AS84*'Control Room'!$H$12*INDEX('Control Room'!$B$19:$H$19,1,WEEKDAY($A84,2))*(1+'Control Room'!$D$9)^82*'Process'!AT84),2),"")</x:f>
      </x:c>
      <x:c r="L84" s="16" t="str">
        <x:f>IF(AND(AND(83&lt;='Control Room'!$B$3,'Control Room'!$D$3="Ready"),10&lt;='Control Room'!$B$2),ROUND(MAX(0,'Process'!AX84*'Control Room'!$H$13*INDEX('Control Room'!$B$19:$H$19,1,WEEKDAY($A84,2))*(1+'Control Room'!$D$9)^82*'Process'!AY84),2),"")</x:f>
      </x:c>
      <x:c r="M84" s="16" t="str">
        <x:f>IF(AND(AND(83&lt;='Control Room'!$B$3,'Control Room'!$D$3="Ready"),11&lt;='Control Room'!$B$2),ROUND(MAX(0,'Process'!BC84*'Control Room'!$H$14*INDEX('Control Room'!$B$19:$H$19,1,WEEKDAY($A84,2))*(1+'Control Room'!$D$9)^82*'Process'!BD84),2),"")</x:f>
      </x:c>
      <x:c r="N84" s="16" t="str">
        <x:f>IF(AND(AND(83&lt;='Control Room'!$B$3,'Control Room'!$D$3="Ready"),12&lt;='Control Room'!$B$2),ROUND(MAX(0,'Process'!BH84*'Control Room'!$H$15*INDEX('Control Room'!$B$19:$H$19,1,WEEKDAY($A84,2))*(1+'Control Room'!$D$9)^82*'Process'!BI84),2),"")</x:f>
      </x:c>
    </x:row>
    <x:row r="85" ht="21" customHeight="1">
      <x:c r="A85" s="15" t="n">
        <x:f>IF(AND(84&lt;='Control Room'!$B$3,'Control Room'!$D$3="Ready"),'Process'!A85,"")</x:f>
        <x:v>73074</x:v>
      </x:c>
      <x:c r="B85" s="16" t="n">
        <x:f>IF(A85="","",SUM(C85:N85))</x:f>
        <x:v>2640.5099999999998</x:v>
      </x:c>
      <x:c r="C85" s="16" t="n">
        <x:f>IF(AND(AND(84&lt;='Control Room'!$B$3,'Control Room'!$D$3="Ready"),1&lt;='Control Room'!$B$2),ROUND(MAX(0,'Process'!E85*'Control Room'!$H$4*INDEX('Control Room'!$B$19:$H$19,1,WEEKDAY($A85,2))*(1+'Control Room'!$D$9)^83*'Process'!F85),2),"")</x:f>
        <x:v>731.11</x:v>
      </x:c>
      <x:c r="D85" s="16" t="n">
        <x:f>IF(AND(AND(84&lt;='Control Room'!$B$3,'Control Room'!$D$3="Ready"),2&lt;='Control Room'!$B$2),ROUND(MAX(0,'Process'!J85*'Control Room'!$H$5*INDEX('Control Room'!$B$19:$H$19,1,WEEKDAY($A85,2))*(1+'Control Room'!$D$9)^83*'Process'!K85),2),"")</x:f>
        <x:v>528.41</x:v>
      </x:c>
      <x:c r="E85" s="16" t="n">
        <x:f>IF(AND(AND(84&lt;='Control Room'!$B$3,'Control Room'!$D$3="Ready"),3&lt;='Control Room'!$B$2),ROUND(MAX(0,'Process'!O85*'Control Room'!$H$6*INDEX('Control Room'!$B$19:$H$19,1,WEEKDAY($A85,2))*(1+'Control Room'!$D$9)^83*'Process'!P85),2),"")</x:f>
        <x:v>901.05</x:v>
      </x:c>
      <x:c r="F85" s="16" t="n">
        <x:f>IF(AND(AND(84&lt;='Control Room'!$B$3,'Control Room'!$D$3="Ready"),4&lt;='Control Room'!$B$2),ROUND(MAX(0,'Process'!T85*'Control Room'!$H$7*INDEX('Control Room'!$B$19:$H$19,1,WEEKDAY($A85,2))*(1+'Control Room'!$D$9)^83*'Process'!U85),2),"")</x:f>
        <x:v>479.94</x:v>
      </x:c>
      <x:c r="G85" s="16" t="str">
        <x:f>IF(AND(AND(84&lt;='Control Room'!$B$3,'Control Room'!$D$3="Ready"),5&lt;='Control Room'!$B$2),ROUND(MAX(0,'Process'!Y85*'Control Room'!$H$8*INDEX('Control Room'!$B$19:$H$19,1,WEEKDAY($A85,2))*(1+'Control Room'!$D$9)^83*'Process'!Z85),2),"")</x:f>
      </x:c>
      <x:c r="H85" s="16" t="str">
        <x:f>IF(AND(AND(84&lt;='Control Room'!$B$3,'Control Room'!$D$3="Ready"),6&lt;='Control Room'!$B$2),ROUND(MAX(0,'Process'!AD85*'Control Room'!$H$9*INDEX('Control Room'!$B$19:$H$19,1,WEEKDAY($A85,2))*(1+'Control Room'!$D$9)^83*'Process'!AE85),2),"")</x:f>
      </x:c>
      <x:c r="I85" s="16" t="str">
        <x:f>IF(AND(AND(84&lt;='Control Room'!$B$3,'Control Room'!$D$3="Ready"),7&lt;='Control Room'!$B$2),ROUND(MAX(0,'Process'!AI85*'Control Room'!$H$10*INDEX('Control Room'!$B$19:$H$19,1,WEEKDAY($A85,2))*(1+'Control Room'!$D$9)^83*'Process'!AJ85),2),"")</x:f>
      </x:c>
      <x:c r="J85" s="16" t="str">
        <x:f>IF(AND(AND(84&lt;='Control Room'!$B$3,'Control Room'!$D$3="Ready"),8&lt;='Control Room'!$B$2),ROUND(MAX(0,'Process'!AN85*'Control Room'!$H$11*INDEX('Control Room'!$B$19:$H$19,1,WEEKDAY($A85,2))*(1+'Control Room'!$D$9)^83*'Process'!AO85),2),"")</x:f>
      </x:c>
      <x:c r="K85" s="16" t="str">
        <x:f>IF(AND(AND(84&lt;='Control Room'!$B$3,'Control Room'!$D$3="Ready"),9&lt;='Control Room'!$B$2),ROUND(MAX(0,'Process'!AS85*'Control Room'!$H$12*INDEX('Control Room'!$B$19:$H$19,1,WEEKDAY($A85,2))*(1+'Control Room'!$D$9)^83*'Process'!AT85),2),"")</x:f>
      </x:c>
      <x:c r="L85" s="16" t="str">
        <x:f>IF(AND(AND(84&lt;='Control Room'!$B$3,'Control Room'!$D$3="Ready"),10&lt;='Control Room'!$B$2),ROUND(MAX(0,'Process'!AX85*'Control Room'!$H$13*INDEX('Control Room'!$B$19:$H$19,1,WEEKDAY($A85,2))*(1+'Control Room'!$D$9)^83*'Process'!AY85),2),"")</x:f>
      </x:c>
      <x:c r="M85" s="16" t="str">
        <x:f>IF(AND(AND(84&lt;='Control Room'!$B$3,'Control Room'!$D$3="Ready"),11&lt;='Control Room'!$B$2),ROUND(MAX(0,'Process'!BC85*'Control Room'!$H$14*INDEX('Control Room'!$B$19:$H$19,1,WEEKDAY($A85,2))*(1+'Control Room'!$D$9)^83*'Process'!BD85),2),"")</x:f>
      </x:c>
      <x:c r="N85" s="16" t="str">
        <x:f>IF(AND(AND(84&lt;='Control Room'!$B$3,'Control Room'!$D$3="Ready"),12&lt;='Control Room'!$B$2),ROUND(MAX(0,'Process'!BH85*'Control Room'!$H$15*INDEX('Control Room'!$B$19:$H$19,1,WEEKDAY($A85,2))*(1+'Control Room'!$D$9)^83*'Process'!BI85),2),"")</x:f>
      </x:c>
    </x:row>
    <x:row r="86" ht="21" customHeight="1">
      <x:c r="A86" s="15" t="n">
        <x:f>IF(AND(85&lt;='Control Room'!$B$3,'Control Room'!$D$3="Ready"),'Process'!A86,"")</x:f>
        <x:v>73075</x:v>
      </x:c>
      <x:c r="B86" s="16" t="n">
        <x:f>IF(A86="","",SUM(C86:N86))</x:f>
        <x:v>4530.48</x:v>
      </x:c>
      <x:c r="C86" s="16" t="n">
        <x:f>IF(AND(AND(85&lt;='Control Room'!$B$3,'Control Room'!$D$3="Ready"),1&lt;='Control Room'!$B$2),ROUND(MAX(0,'Process'!E86*'Control Room'!$H$4*INDEX('Control Room'!$B$19:$H$19,1,WEEKDAY($A86,2))*(1+'Control Room'!$D$9)^84*'Process'!F86),2),"")</x:f>
        <x:v>1333.39</x:v>
      </x:c>
      <x:c r="D86" s="16" t="n">
        <x:f>IF(AND(AND(85&lt;='Control Room'!$B$3,'Control Room'!$D$3="Ready"),2&lt;='Control Room'!$B$2),ROUND(MAX(0,'Process'!J86*'Control Room'!$H$5*INDEX('Control Room'!$B$19:$H$19,1,WEEKDAY($A86,2))*(1+'Control Room'!$D$9)^84*'Process'!K86),2),"")</x:f>
        <x:v>842.91</x:v>
      </x:c>
      <x:c r="E86" s="16" t="n">
        <x:f>IF(AND(AND(85&lt;='Control Room'!$B$3,'Control Room'!$D$3="Ready"),3&lt;='Control Room'!$B$2),ROUND(MAX(0,'Process'!O86*'Control Room'!$H$6*INDEX('Control Room'!$B$19:$H$19,1,WEEKDAY($A86,2))*(1+'Control Room'!$D$9)^84*'Process'!P86),2),"")</x:f>
        <x:v>1482.07</x:v>
      </x:c>
      <x:c r="F86" s="16" t="n">
        <x:f>IF(AND(AND(85&lt;='Control Room'!$B$3,'Control Room'!$D$3="Ready"),4&lt;='Control Room'!$B$2),ROUND(MAX(0,'Process'!T86*'Control Room'!$H$7*INDEX('Control Room'!$B$19:$H$19,1,WEEKDAY($A86,2))*(1+'Control Room'!$D$9)^84*'Process'!U86),2),"")</x:f>
        <x:v>872.11</x:v>
      </x:c>
      <x:c r="G86" s="16" t="str">
        <x:f>IF(AND(AND(85&lt;='Control Room'!$B$3,'Control Room'!$D$3="Ready"),5&lt;='Control Room'!$B$2),ROUND(MAX(0,'Process'!Y86*'Control Room'!$H$8*INDEX('Control Room'!$B$19:$H$19,1,WEEKDAY($A86,2))*(1+'Control Room'!$D$9)^84*'Process'!Z86),2),"")</x:f>
      </x:c>
      <x:c r="H86" s="16" t="str">
        <x:f>IF(AND(AND(85&lt;='Control Room'!$B$3,'Control Room'!$D$3="Ready"),6&lt;='Control Room'!$B$2),ROUND(MAX(0,'Process'!AD86*'Control Room'!$H$9*INDEX('Control Room'!$B$19:$H$19,1,WEEKDAY($A86,2))*(1+'Control Room'!$D$9)^84*'Process'!AE86),2),"")</x:f>
      </x:c>
      <x:c r="I86" s="16" t="str">
        <x:f>IF(AND(AND(85&lt;='Control Room'!$B$3,'Control Room'!$D$3="Ready"),7&lt;='Control Room'!$B$2),ROUND(MAX(0,'Process'!AI86*'Control Room'!$H$10*INDEX('Control Room'!$B$19:$H$19,1,WEEKDAY($A86,2))*(1+'Control Room'!$D$9)^84*'Process'!AJ86),2),"")</x:f>
      </x:c>
      <x:c r="J86" s="16" t="str">
        <x:f>IF(AND(AND(85&lt;='Control Room'!$B$3,'Control Room'!$D$3="Ready"),8&lt;='Control Room'!$B$2),ROUND(MAX(0,'Process'!AN86*'Control Room'!$H$11*INDEX('Control Room'!$B$19:$H$19,1,WEEKDAY($A86,2))*(1+'Control Room'!$D$9)^84*'Process'!AO86),2),"")</x:f>
      </x:c>
      <x:c r="K86" s="16" t="str">
        <x:f>IF(AND(AND(85&lt;='Control Room'!$B$3,'Control Room'!$D$3="Ready"),9&lt;='Control Room'!$B$2),ROUND(MAX(0,'Process'!AS86*'Control Room'!$H$12*INDEX('Control Room'!$B$19:$H$19,1,WEEKDAY($A86,2))*(1+'Control Room'!$D$9)^84*'Process'!AT86),2),"")</x:f>
      </x:c>
      <x:c r="L86" s="16" t="str">
        <x:f>IF(AND(AND(85&lt;='Control Room'!$B$3,'Control Room'!$D$3="Ready"),10&lt;='Control Room'!$B$2),ROUND(MAX(0,'Process'!AX86*'Control Room'!$H$13*INDEX('Control Room'!$B$19:$H$19,1,WEEKDAY($A86,2))*(1+'Control Room'!$D$9)^84*'Process'!AY86),2),"")</x:f>
      </x:c>
      <x:c r="M86" s="16" t="str">
        <x:f>IF(AND(AND(85&lt;='Control Room'!$B$3,'Control Room'!$D$3="Ready"),11&lt;='Control Room'!$B$2),ROUND(MAX(0,'Process'!BC86*'Control Room'!$H$14*INDEX('Control Room'!$B$19:$H$19,1,WEEKDAY($A86,2))*(1+'Control Room'!$D$9)^84*'Process'!BD86),2),"")</x:f>
      </x:c>
      <x:c r="N86" s="16" t="str">
        <x:f>IF(AND(AND(85&lt;='Control Room'!$B$3,'Control Room'!$D$3="Ready"),12&lt;='Control Room'!$B$2),ROUND(MAX(0,'Process'!BH86*'Control Room'!$H$15*INDEX('Control Room'!$B$19:$H$19,1,WEEKDAY($A86,2))*(1+'Control Room'!$D$9)^84*'Process'!BI86),2),"")</x:f>
      </x:c>
    </x:row>
    <x:row r="87" ht="21" customHeight="1">
      <x:c r="A87" s="15" t="n">
        <x:f>IF(AND(86&lt;='Control Room'!$B$3,'Control Room'!$D$3="Ready"),'Process'!A87,"")</x:f>
        <x:v>73076</x:v>
      </x:c>
      <x:c r="B87" s="16" t="n">
        <x:f>IF(A87="","",SUM(C87:N87))</x:f>
        <x:v>4506.88</x:v>
      </x:c>
      <x:c r="C87" s="16" t="n">
        <x:f>IF(AND(AND(86&lt;='Control Room'!$B$3,'Control Room'!$D$3="Ready"),1&lt;='Control Room'!$B$2),ROUND(MAX(0,'Process'!E87*'Control Room'!$H$4*INDEX('Control Room'!$B$19:$H$19,1,WEEKDAY($A87,2))*(1+'Control Room'!$D$9)^85*'Process'!F87),2),"")</x:f>
        <x:v>1356.49</x:v>
      </x:c>
      <x:c r="D87" s="16" t="n">
        <x:f>IF(AND(AND(86&lt;='Control Room'!$B$3,'Control Room'!$D$3="Ready"),2&lt;='Control Room'!$B$2),ROUND(MAX(0,'Process'!J87*'Control Room'!$H$5*INDEX('Control Room'!$B$19:$H$19,1,WEEKDAY($A87,2))*(1+'Control Room'!$D$9)^85*'Process'!K87),2),"")</x:f>
        <x:v>904.06</x:v>
      </x:c>
      <x:c r="E87" s="16" t="n">
        <x:f>IF(AND(AND(86&lt;='Control Room'!$B$3,'Control Room'!$D$3="Ready"),3&lt;='Control Room'!$B$2),ROUND(MAX(0,'Process'!O87*'Control Room'!$H$6*INDEX('Control Room'!$B$19:$H$19,1,WEEKDAY($A87,2))*(1+'Control Room'!$D$9)^85*'Process'!P87),2),"")</x:f>
        <x:v>1413.12</x:v>
      </x:c>
      <x:c r="F87" s="16" t="n">
        <x:f>IF(AND(AND(86&lt;='Control Room'!$B$3,'Control Room'!$D$3="Ready"),4&lt;='Control Room'!$B$2),ROUND(MAX(0,'Process'!T87*'Control Room'!$H$7*INDEX('Control Room'!$B$19:$H$19,1,WEEKDAY($A87,2))*(1+'Control Room'!$D$9)^85*'Process'!U87),2),"")</x:f>
        <x:v>833.21</x:v>
      </x:c>
      <x:c r="G87" s="16" t="str">
        <x:f>IF(AND(AND(86&lt;='Control Room'!$B$3,'Control Room'!$D$3="Ready"),5&lt;='Control Room'!$B$2),ROUND(MAX(0,'Process'!Y87*'Control Room'!$H$8*INDEX('Control Room'!$B$19:$H$19,1,WEEKDAY($A87,2))*(1+'Control Room'!$D$9)^85*'Process'!Z87),2),"")</x:f>
      </x:c>
      <x:c r="H87" s="16" t="str">
        <x:f>IF(AND(AND(86&lt;='Control Room'!$B$3,'Control Room'!$D$3="Ready"),6&lt;='Control Room'!$B$2),ROUND(MAX(0,'Process'!AD87*'Control Room'!$H$9*INDEX('Control Room'!$B$19:$H$19,1,WEEKDAY($A87,2))*(1+'Control Room'!$D$9)^85*'Process'!AE87),2),"")</x:f>
      </x:c>
      <x:c r="I87" s="16" t="str">
        <x:f>IF(AND(AND(86&lt;='Control Room'!$B$3,'Control Room'!$D$3="Ready"),7&lt;='Control Room'!$B$2),ROUND(MAX(0,'Process'!AI87*'Control Room'!$H$10*INDEX('Control Room'!$B$19:$H$19,1,WEEKDAY($A87,2))*(1+'Control Room'!$D$9)^85*'Process'!AJ87),2),"")</x:f>
      </x:c>
      <x:c r="J87" s="16" t="str">
        <x:f>IF(AND(AND(86&lt;='Control Room'!$B$3,'Control Room'!$D$3="Ready"),8&lt;='Control Room'!$B$2),ROUND(MAX(0,'Process'!AN87*'Control Room'!$H$11*INDEX('Control Room'!$B$19:$H$19,1,WEEKDAY($A87,2))*(1+'Control Room'!$D$9)^85*'Process'!AO87),2),"")</x:f>
      </x:c>
      <x:c r="K87" s="16" t="str">
        <x:f>IF(AND(AND(86&lt;='Control Room'!$B$3,'Control Room'!$D$3="Ready"),9&lt;='Control Room'!$B$2),ROUND(MAX(0,'Process'!AS87*'Control Room'!$H$12*INDEX('Control Room'!$B$19:$H$19,1,WEEKDAY($A87,2))*(1+'Control Room'!$D$9)^85*'Process'!AT87),2),"")</x:f>
      </x:c>
      <x:c r="L87" s="16" t="str">
        <x:f>IF(AND(AND(86&lt;='Control Room'!$B$3,'Control Room'!$D$3="Ready"),10&lt;='Control Room'!$B$2),ROUND(MAX(0,'Process'!AX87*'Control Room'!$H$13*INDEX('Control Room'!$B$19:$H$19,1,WEEKDAY($A87,2))*(1+'Control Room'!$D$9)^85*'Process'!AY87),2),"")</x:f>
      </x:c>
      <x:c r="M87" s="16" t="str">
        <x:f>IF(AND(AND(86&lt;='Control Room'!$B$3,'Control Room'!$D$3="Ready"),11&lt;='Control Room'!$B$2),ROUND(MAX(0,'Process'!BC87*'Control Room'!$H$14*INDEX('Control Room'!$B$19:$H$19,1,WEEKDAY($A87,2))*(1+'Control Room'!$D$9)^85*'Process'!BD87),2),"")</x:f>
      </x:c>
      <x:c r="N87" s="16" t="str">
        <x:f>IF(AND(AND(86&lt;='Control Room'!$B$3,'Control Room'!$D$3="Ready"),12&lt;='Control Room'!$B$2),ROUND(MAX(0,'Process'!BH87*'Control Room'!$H$15*INDEX('Control Room'!$B$19:$H$19,1,WEEKDAY($A87,2))*(1+'Control Room'!$D$9)^85*'Process'!BI87),2),"")</x:f>
      </x:c>
    </x:row>
    <x:row r="88" ht="21" customHeight="1">
      <x:c r="A88" s="15" t="n">
        <x:f>IF(AND(87&lt;='Control Room'!$B$3,'Control Room'!$D$3="Ready"),'Process'!A88,"")</x:f>
        <x:v>73077</x:v>
      </x:c>
      <x:c r="B88" s="16" t="n">
        <x:f>IF(A88="","",SUM(C88:N88))</x:f>
        <x:v>4237.11</x:v>
      </x:c>
      <x:c r="C88" s="16" t="n">
        <x:f>IF(AND(AND(87&lt;='Control Room'!$B$3,'Control Room'!$D$3="Ready"),1&lt;='Control Room'!$B$2),ROUND(MAX(0,'Process'!E88*'Control Room'!$H$4*INDEX('Control Room'!$B$19:$H$19,1,WEEKDAY($A88,2))*(1+'Control Room'!$D$9)^86*'Process'!F88),2),"")</x:f>
        <x:v>1272.18</x:v>
      </x:c>
      <x:c r="D88" s="16" t="n">
        <x:f>IF(AND(AND(87&lt;='Control Room'!$B$3,'Control Room'!$D$3="Ready"),2&lt;='Control Room'!$B$2),ROUND(MAX(0,'Process'!J88*'Control Room'!$H$5*INDEX('Control Room'!$B$19:$H$19,1,WEEKDAY($A88,2))*(1+'Control Room'!$D$9)^86*'Process'!K88),2),"")</x:f>
        <x:v>845.9</x:v>
      </x:c>
      <x:c r="E88" s="16" t="n">
        <x:f>IF(AND(AND(87&lt;='Control Room'!$B$3,'Control Room'!$D$3="Ready"),3&lt;='Control Room'!$B$2),ROUND(MAX(0,'Process'!O88*'Control Room'!$H$6*INDEX('Control Room'!$B$19:$H$19,1,WEEKDAY($A88,2))*(1+'Control Room'!$D$9)^86*'Process'!P88),2),"")</x:f>
        <x:v>1321.65</x:v>
      </x:c>
      <x:c r="F88" s="16" t="n">
        <x:f>IF(AND(AND(87&lt;='Control Room'!$B$3,'Control Room'!$D$3="Ready"),4&lt;='Control Room'!$B$2),ROUND(MAX(0,'Process'!T88*'Control Room'!$H$7*INDEX('Control Room'!$B$19:$H$19,1,WEEKDAY($A88,2))*(1+'Control Room'!$D$9)^86*'Process'!U88),2),"")</x:f>
        <x:v>797.38</x:v>
      </x:c>
      <x:c r="G88" s="16" t="str">
        <x:f>IF(AND(AND(87&lt;='Control Room'!$B$3,'Control Room'!$D$3="Ready"),5&lt;='Control Room'!$B$2),ROUND(MAX(0,'Process'!Y88*'Control Room'!$H$8*INDEX('Control Room'!$B$19:$H$19,1,WEEKDAY($A88,2))*(1+'Control Room'!$D$9)^86*'Process'!Z88),2),"")</x:f>
      </x:c>
      <x:c r="H88" s="16" t="str">
        <x:f>IF(AND(AND(87&lt;='Control Room'!$B$3,'Control Room'!$D$3="Ready"),6&lt;='Control Room'!$B$2),ROUND(MAX(0,'Process'!AD88*'Control Room'!$H$9*INDEX('Control Room'!$B$19:$H$19,1,WEEKDAY($A88,2))*(1+'Control Room'!$D$9)^86*'Process'!AE88),2),"")</x:f>
      </x:c>
      <x:c r="I88" s="16" t="str">
        <x:f>IF(AND(AND(87&lt;='Control Room'!$B$3,'Control Room'!$D$3="Ready"),7&lt;='Control Room'!$B$2),ROUND(MAX(0,'Process'!AI88*'Control Room'!$H$10*INDEX('Control Room'!$B$19:$H$19,1,WEEKDAY($A88,2))*(1+'Control Room'!$D$9)^86*'Process'!AJ88),2),"")</x:f>
      </x:c>
      <x:c r="J88" s="16" t="str">
        <x:f>IF(AND(AND(87&lt;='Control Room'!$B$3,'Control Room'!$D$3="Ready"),8&lt;='Control Room'!$B$2),ROUND(MAX(0,'Process'!AN88*'Control Room'!$H$11*INDEX('Control Room'!$B$19:$H$19,1,WEEKDAY($A88,2))*(1+'Control Room'!$D$9)^86*'Process'!AO88),2),"")</x:f>
      </x:c>
      <x:c r="K88" s="16" t="str">
        <x:f>IF(AND(AND(87&lt;='Control Room'!$B$3,'Control Room'!$D$3="Ready"),9&lt;='Control Room'!$B$2),ROUND(MAX(0,'Process'!AS88*'Control Room'!$H$12*INDEX('Control Room'!$B$19:$H$19,1,WEEKDAY($A88,2))*(1+'Control Room'!$D$9)^86*'Process'!AT88),2),"")</x:f>
      </x:c>
      <x:c r="L88" s="16" t="str">
        <x:f>IF(AND(AND(87&lt;='Control Room'!$B$3,'Control Room'!$D$3="Ready"),10&lt;='Control Room'!$B$2),ROUND(MAX(0,'Process'!AX88*'Control Room'!$H$13*INDEX('Control Room'!$B$19:$H$19,1,WEEKDAY($A88,2))*(1+'Control Room'!$D$9)^86*'Process'!AY88),2),"")</x:f>
      </x:c>
      <x:c r="M88" s="16" t="str">
        <x:f>IF(AND(AND(87&lt;='Control Room'!$B$3,'Control Room'!$D$3="Ready"),11&lt;='Control Room'!$B$2),ROUND(MAX(0,'Process'!BC88*'Control Room'!$H$14*INDEX('Control Room'!$B$19:$H$19,1,WEEKDAY($A88,2))*(1+'Control Room'!$D$9)^86*'Process'!BD88),2),"")</x:f>
      </x:c>
      <x:c r="N88" s="16" t="str">
        <x:f>IF(AND(AND(87&lt;='Control Room'!$B$3,'Control Room'!$D$3="Ready"),12&lt;='Control Room'!$B$2),ROUND(MAX(0,'Process'!BH88*'Control Room'!$H$15*INDEX('Control Room'!$B$19:$H$19,1,WEEKDAY($A88,2))*(1+'Control Room'!$D$9)^86*'Process'!BI88),2),"")</x:f>
      </x:c>
    </x:row>
    <x:row r="89" ht="21" customHeight="1">
      <x:c r="A89" s="15" t="n">
        <x:f>IF(AND(88&lt;='Control Room'!$B$3,'Control Room'!$D$3="Ready"),'Process'!A89,"")</x:f>
        <x:v>73078</x:v>
      </x:c>
      <x:c r="B89" s="16" t="n">
        <x:f>IF(A89="","",SUM(C89:N89))</x:f>
        <x:v>4351.929999999999</x:v>
      </x:c>
      <x:c r="C89" s="16" t="n">
        <x:f>IF(AND(AND(88&lt;='Control Room'!$B$3,'Control Room'!$D$3="Ready"),1&lt;='Control Room'!$B$2),ROUND(MAX(0,'Process'!E89*'Control Room'!$H$4*INDEX('Control Room'!$B$19:$H$19,1,WEEKDAY($A89,2))*(1+'Control Room'!$D$9)^87*'Process'!F89),2),"")</x:f>
        <x:v>1328.09</x:v>
      </x:c>
      <x:c r="D89" s="16" t="n">
        <x:f>IF(AND(AND(88&lt;='Control Room'!$B$3,'Control Room'!$D$3="Ready"),2&lt;='Control Room'!$B$2),ROUND(MAX(0,'Process'!J89*'Control Room'!$H$5*INDEX('Control Room'!$B$19:$H$19,1,WEEKDAY($A89,2))*(1+'Control Room'!$D$9)^87*'Process'!K89),2),"")</x:f>
        <x:v>826.8</x:v>
      </x:c>
      <x:c r="E89" s="16" t="n">
        <x:f>IF(AND(AND(88&lt;='Control Room'!$B$3,'Control Room'!$D$3="Ready"),3&lt;='Control Room'!$B$2),ROUND(MAX(0,'Process'!O89*'Control Room'!$H$6*INDEX('Control Room'!$B$19:$H$19,1,WEEKDAY($A89,2))*(1+'Control Room'!$D$9)^87*'Process'!P89),2),"")</x:f>
        <x:v>1424.39</x:v>
      </x:c>
      <x:c r="F89" s="16" t="n">
        <x:f>IF(AND(AND(88&lt;='Control Room'!$B$3,'Control Room'!$D$3="Ready"),4&lt;='Control Room'!$B$2),ROUND(MAX(0,'Process'!T89*'Control Room'!$H$7*INDEX('Control Room'!$B$19:$H$19,1,WEEKDAY($A89,2))*(1+'Control Room'!$D$9)^87*'Process'!U89),2),"")</x:f>
        <x:v>772.65</x:v>
      </x:c>
      <x:c r="G89" s="16" t="str">
        <x:f>IF(AND(AND(88&lt;='Control Room'!$B$3,'Control Room'!$D$3="Ready"),5&lt;='Control Room'!$B$2),ROUND(MAX(0,'Process'!Y89*'Control Room'!$H$8*INDEX('Control Room'!$B$19:$H$19,1,WEEKDAY($A89,2))*(1+'Control Room'!$D$9)^87*'Process'!Z89),2),"")</x:f>
      </x:c>
      <x:c r="H89" s="16" t="str">
        <x:f>IF(AND(AND(88&lt;='Control Room'!$B$3,'Control Room'!$D$3="Ready"),6&lt;='Control Room'!$B$2),ROUND(MAX(0,'Process'!AD89*'Control Room'!$H$9*INDEX('Control Room'!$B$19:$H$19,1,WEEKDAY($A89,2))*(1+'Control Room'!$D$9)^87*'Process'!AE89),2),"")</x:f>
      </x:c>
      <x:c r="I89" s="16" t="str">
        <x:f>IF(AND(AND(88&lt;='Control Room'!$B$3,'Control Room'!$D$3="Ready"),7&lt;='Control Room'!$B$2),ROUND(MAX(0,'Process'!AI89*'Control Room'!$H$10*INDEX('Control Room'!$B$19:$H$19,1,WEEKDAY($A89,2))*(1+'Control Room'!$D$9)^87*'Process'!AJ89),2),"")</x:f>
      </x:c>
      <x:c r="J89" s="16" t="str">
        <x:f>IF(AND(AND(88&lt;='Control Room'!$B$3,'Control Room'!$D$3="Ready"),8&lt;='Control Room'!$B$2),ROUND(MAX(0,'Process'!AN89*'Control Room'!$H$11*INDEX('Control Room'!$B$19:$H$19,1,WEEKDAY($A89,2))*(1+'Control Room'!$D$9)^87*'Process'!AO89),2),"")</x:f>
      </x:c>
      <x:c r="K89" s="16" t="str">
        <x:f>IF(AND(AND(88&lt;='Control Room'!$B$3,'Control Room'!$D$3="Ready"),9&lt;='Control Room'!$B$2),ROUND(MAX(0,'Process'!AS89*'Control Room'!$H$12*INDEX('Control Room'!$B$19:$H$19,1,WEEKDAY($A89,2))*(1+'Control Room'!$D$9)^87*'Process'!AT89),2),"")</x:f>
      </x:c>
      <x:c r="L89" s="16" t="str">
        <x:f>IF(AND(AND(88&lt;='Control Room'!$B$3,'Control Room'!$D$3="Ready"),10&lt;='Control Room'!$B$2),ROUND(MAX(0,'Process'!AX89*'Control Room'!$H$13*INDEX('Control Room'!$B$19:$H$19,1,WEEKDAY($A89,2))*(1+'Control Room'!$D$9)^87*'Process'!AY89),2),"")</x:f>
      </x:c>
      <x:c r="M89" s="16" t="str">
        <x:f>IF(AND(AND(88&lt;='Control Room'!$B$3,'Control Room'!$D$3="Ready"),11&lt;='Control Room'!$B$2),ROUND(MAX(0,'Process'!BC89*'Control Room'!$H$14*INDEX('Control Room'!$B$19:$H$19,1,WEEKDAY($A89,2))*(1+'Control Room'!$D$9)^87*'Process'!BD89),2),"")</x:f>
      </x:c>
      <x:c r="N89" s="16" t="str">
        <x:f>IF(AND(AND(88&lt;='Control Room'!$B$3,'Control Room'!$D$3="Ready"),12&lt;='Control Room'!$B$2),ROUND(MAX(0,'Process'!BH89*'Control Room'!$H$15*INDEX('Control Room'!$B$19:$H$19,1,WEEKDAY($A89,2))*(1+'Control Room'!$D$9)^87*'Process'!BI89),2),"")</x:f>
      </x:c>
    </x:row>
    <x:row r="90" ht="21" customHeight="1">
      <x:c r="A90" s="15" t="n">
        <x:f>IF(AND(89&lt;='Control Room'!$B$3,'Control Room'!$D$3="Ready"),'Process'!A90,"")</x:f>
        <x:v>73079</x:v>
      </x:c>
      <x:c r="B90" s="16" t="n">
        <x:f>IF(A90="","",SUM(C90:N90))</x:f>
        <x:v>4191.04</x:v>
      </x:c>
      <x:c r="C90" s="16" t="n">
        <x:f>IF(AND(AND(89&lt;='Control Room'!$B$3,'Control Room'!$D$3="Ready"),1&lt;='Control Room'!$B$2),ROUND(MAX(0,'Process'!E90*'Control Room'!$H$4*INDEX('Control Room'!$B$19:$H$19,1,WEEKDAY($A90,2))*(1+'Control Room'!$D$9)^88*'Process'!F90),2),"")</x:f>
        <x:v>1154.31</x:v>
      </x:c>
      <x:c r="D90" s="16" t="n">
        <x:f>IF(AND(AND(89&lt;='Control Room'!$B$3,'Control Room'!$D$3="Ready"),2&lt;='Control Room'!$B$2),ROUND(MAX(0,'Process'!J90*'Control Room'!$H$5*INDEX('Control Room'!$B$19:$H$19,1,WEEKDAY($A90,2))*(1+'Control Room'!$D$9)^88*'Process'!K90),2),"")</x:f>
        <x:v>805.77</x:v>
      </x:c>
      <x:c r="E90" s="16" t="n">
        <x:f>IF(AND(AND(89&lt;='Control Room'!$B$3,'Control Room'!$D$3="Ready"),3&lt;='Control Room'!$B$2),ROUND(MAX(0,'Process'!O90*'Control Room'!$H$6*INDEX('Control Room'!$B$19:$H$19,1,WEEKDAY($A90,2))*(1+'Control Room'!$D$9)^88*'Process'!P90),2),"")</x:f>
        <x:v>1420.05</x:v>
      </x:c>
      <x:c r="F90" s="16" t="n">
        <x:f>IF(AND(AND(89&lt;='Control Room'!$B$3,'Control Room'!$D$3="Ready"),4&lt;='Control Room'!$B$2),ROUND(MAX(0,'Process'!T90*'Control Room'!$H$7*INDEX('Control Room'!$B$19:$H$19,1,WEEKDAY($A90,2))*(1+'Control Room'!$D$9)^88*'Process'!U90),2),"")</x:f>
        <x:v>810.91</x:v>
      </x:c>
      <x:c r="G90" s="16" t="str">
        <x:f>IF(AND(AND(89&lt;='Control Room'!$B$3,'Control Room'!$D$3="Ready"),5&lt;='Control Room'!$B$2),ROUND(MAX(0,'Process'!Y90*'Control Room'!$H$8*INDEX('Control Room'!$B$19:$H$19,1,WEEKDAY($A90,2))*(1+'Control Room'!$D$9)^88*'Process'!Z90),2),"")</x:f>
      </x:c>
      <x:c r="H90" s="16" t="str">
        <x:f>IF(AND(AND(89&lt;='Control Room'!$B$3,'Control Room'!$D$3="Ready"),6&lt;='Control Room'!$B$2),ROUND(MAX(0,'Process'!AD90*'Control Room'!$H$9*INDEX('Control Room'!$B$19:$H$19,1,WEEKDAY($A90,2))*(1+'Control Room'!$D$9)^88*'Process'!AE90),2),"")</x:f>
      </x:c>
      <x:c r="I90" s="16" t="str">
        <x:f>IF(AND(AND(89&lt;='Control Room'!$B$3,'Control Room'!$D$3="Ready"),7&lt;='Control Room'!$B$2),ROUND(MAX(0,'Process'!AI90*'Control Room'!$H$10*INDEX('Control Room'!$B$19:$H$19,1,WEEKDAY($A90,2))*(1+'Control Room'!$D$9)^88*'Process'!AJ90),2),"")</x:f>
      </x:c>
      <x:c r="J90" s="16" t="str">
        <x:f>IF(AND(AND(89&lt;='Control Room'!$B$3,'Control Room'!$D$3="Ready"),8&lt;='Control Room'!$B$2),ROUND(MAX(0,'Process'!AN90*'Control Room'!$H$11*INDEX('Control Room'!$B$19:$H$19,1,WEEKDAY($A90,2))*(1+'Control Room'!$D$9)^88*'Process'!AO90),2),"")</x:f>
      </x:c>
      <x:c r="K90" s="16" t="str">
        <x:f>IF(AND(AND(89&lt;='Control Room'!$B$3,'Control Room'!$D$3="Ready"),9&lt;='Control Room'!$B$2),ROUND(MAX(0,'Process'!AS90*'Control Room'!$H$12*INDEX('Control Room'!$B$19:$H$19,1,WEEKDAY($A90,2))*(1+'Control Room'!$D$9)^88*'Process'!AT90),2),"")</x:f>
      </x:c>
      <x:c r="L90" s="16" t="str">
        <x:f>IF(AND(AND(89&lt;='Control Room'!$B$3,'Control Room'!$D$3="Ready"),10&lt;='Control Room'!$B$2),ROUND(MAX(0,'Process'!AX90*'Control Room'!$H$13*INDEX('Control Room'!$B$19:$H$19,1,WEEKDAY($A90,2))*(1+'Control Room'!$D$9)^88*'Process'!AY90),2),"")</x:f>
      </x:c>
      <x:c r="M90" s="16" t="str">
        <x:f>IF(AND(AND(89&lt;='Control Room'!$B$3,'Control Room'!$D$3="Ready"),11&lt;='Control Room'!$B$2),ROUND(MAX(0,'Process'!BC90*'Control Room'!$H$14*INDEX('Control Room'!$B$19:$H$19,1,WEEKDAY($A90,2))*(1+'Control Room'!$D$9)^88*'Process'!BD90),2),"")</x:f>
      </x:c>
      <x:c r="N90" s="16" t="str">
        <x:f>IF(AND(AND(89&lt;='Control Room'!$B$3,'Control Room'!$D$3="Ready"),12&lt;='Control Room'!$B$2),ROUND(MAX(0,'Process'!BH90*'Control Room'!$H$15*INDEX('Control Room'!$B$19:$H$19,1,WEEKDAY($A90,2))*(1+'Control Room'!$D$9)^88*'Process'!BI90),2),"")</x:f>
      </x:c>
    </x:row>
    <x:row r="91" ht="21" customHeight="1">
      <x:c r="A91" s="15" t="n">
        <x:f>IF(AND(90&lt;='Control Room'!$B$3,'Control Room'!$D$3="Ready"),'Process'!A91,"")</x:f>
        <x:v>73080</x:v>
      </x:c>
      <x:c r="B91" s="16" t="n">
        <x:f>IF(A91="","",SUM(C91:N91))</x:f>
        <x:v>3516.3700000000003</x:v>
      </x:c>
      <x:c r="C91" s="16" t="n">
        <x:f>IF(AND(AND(90&lt;='Control Room'!$B$3,'Control Room'!$D$3="Ready"),1&lt;='Control Room'!$B$2),ROUND(MAX(0,'Process'!E91*'Control Room'!$H$4*INDEX('Control Room'!$B$19:$H$19,1,WEEKDAY($A91,2))*(1+'Control Room'!$D$9)^89*'Process'!F91),2),"")</x:f>
        <x:v>1003.69</x:v>
      </x:c>
      <x:c r="D91" s="16" t="n">
        <x:f>IF(AND(AND(90&lt;='Control Room'!$B$3,'Control Room'!$D$3="Ready"),2&lt;='Control Room'!$B$2),ROUND(MAX(0,'Process'!J91*'Control Room'!$H$5*INDEX('Control Room'!$B$19:$H$19,1,WEEKDAY($A91,2))*(1+'Control Room'!$D$9)^89*'Process'!K91),2),"")</x:f>
        <x:v>724.28</x:v>
      </x:c>
      <x:c r="E91" s="16" t="n">
        <x:f>IF(AND(AND(90&lt;='Control Room'!$B$3,'Control Room'!$D$3="Ready"),3&lt;='Control Room'!$B$2),ROUND(MAX(0,'Process'!O91*'Control Room'!$H$6*INDEX('Control Room'!$B$19:$H$19,1,WEEKDAY($A91,2))*(1+'Control Room'!$D$9)^89*'Process'!P91),2),"")</x:f>
        <x:v>1166.88</x:v>
      </x:c>
      <x:c r="F91" s="16" t="n">
        <x:f>IF(AND(AND(90&lt;='Control Room'!$B$3,'Control Room'!$D$3="Ready"),4&lt;='Control Room'!$B$2),ROUND(MAX(0,'Process'!T91*'Control Room'!$H$7*INDEX('Control Room'!$B$19:$H$19,1,WEEKDAY($A91,2))*(1+'Control Room'!$D$9)^89*'Process'!U91),2),"")</x:f>
        <x:v>621.52</x:v>
      </x:c>
      <x:c r="G91" s="16" t="str">
        <x:f>IF(AND(AND(90&lt;='Control Room'!$B$3,'Control Room'!$D$3="Ready"),5&lt;='Control Room'!$B$2),ROUND(MAX(0,'Process'!Y91*'Control Room'!$H$8*INDEX('Control Room'!$B$19:$H$19,1,WEEKDAY($A91,2))*(1+'Control Room'!$D$9)^89*'Process'!Z91),2),"")</x:f>
      </x:c>
      <x:c r="H91" s="16" t="str">
        <x:f>IF(AND(AND(90&lt;='Control Room'!$B$3,'Control Room'!$D$3="Ready"),6&lt;='Control Room'!$B$2),ROUND(MAX(0,'Process'!AD91*'Control Room'!$H$9*INDEX('Control Room'!$B$19:$H$19,1,WEEKDAY($A91,2))*(1+'Control Room'!$D$9)^89*'Process'!AE91),2),"")</x:f>
      </x:c>
      <x:c r="I91" s="16" t="str">
        <x:f>IF(AND(AND(90&lt;='Control Room'!$B$3,'Control Room'!$D$3="Ready"),7&lt;='Control Room'!$B$2),ROUND(MAX(0,'Process'!AI91*'Control Room'!$H$10*INDEX('Control Room'!$B$19:$H$19,1,WEEKDAY($A91,2))*(1+'Control Room'!$D$9)^89*'Process'!AJ91),2),"")</x:f>
      </x:c>
      <x:c r="J91" s="16" t="str">
        <x:f>IF(AND(AND(90&lt;='Control Room'!$B$3,'Control Room'!$D$3="Ready"),8&lt;='Control Room'!$B$2),ROUND(MAX(0,'Process'!AN91*'Control Room'!$H$11*INDEX('Control Room'!$B$19:$H$19,1,WEEKDAY($A91,2))*(1+'Control Room'!$D$9)^89*'Process'!AO91),2),"")</x:f>
      </x:c>
      <x:c r="K91" s="16" t="str">
        <x:f>IF(AND(AND(90&lt;='Control Room'!$B$3,'Control Room'!$D$3="Ready"),9&lt;='Control Room'!$B$2),ROUND(MAX(0,'Process'!AS91*'Control Room'!$H$12*INDEX('Control Room'!$B$19:$H$19,1,WEEKDAY($A91,2))*(1+'Control Room'!$D$9)^89*'Process'!AT91),2),"")</x:f>
      </x:c>
      <x:c r="L91" s="16" t="str">
        <x:f>IF(AND(AND(90&lt;='Control Room'!$B$3,'Control Room'!$D$3="Ready"),10&lt;='Control Room'!$B$2),ROUND(MAX(0,'Process'!AX91*'Control Room'!$H$13*INDEX('Control Room'!$B$19:$H$19,1,WEEKDAY($A91,2))*(1+'Control Room'!$D$9)^89*'Process'!AY91),2),"")</x:f>
      </x:c>
      <x:c r="M91" s="16" t="str">
        <x:f>IF(AND(AND(90&lt;='Control Room'!$B$3,'Control Room'!$D$3="Ready"),11&lt;='Control Room'!$B$2),ROUND(MAX(0,'Process'!BC91*'Control Room'!$H$14*INDEX('Control Room'!$B$19:$H$19,1,WEEKDAY($A91,2))*(1+'Control Room'!$D$9)^89*'Process'!BD91),2),"")</x:f>
      </x:c>
      <x:c r="N91" s="16" t="str">
        <x:f>IF(AND(AND(90&lt;='Control Room'!$B$3,'Control Room'!$D$3="Ready"),12&lt;='Control Room'!$B$2),ROUND(MAX(0,'Process'!BH91*'Control Room'!$H$15*INDEX('Control Room'!$B$19:$H$19,1,WEEKDAY($A91,2))*(1+'Control Room'!$D$9)^89*'Process'!BI91),2),"")</x:f>
      </x:c>
    </x:row>
    <x:row r="92" ht="21" customHeight="1">
      <x:c r="A92" s="15" t="n">
        <x:f>IF(AND(91&lt;='Control Room'!$B$3,'Control Room'!$D$3="Ready"),'Process'!A92,"")</x:f>
        <x:v>73081</x:v>
      </x:c>
      <x:c r="B92" s="16" t="n">
        <x:f>IF(A92="","",SUM(C92:N92))</x:f>
        <x:v>2657.0599999999995</x:v>
      </x:c>
      <x:c r="C92" s="16" t="n">
        <x:f>IF(AND(AND(91&lt;='Control Room'!$B$3,'Control Room'!$D$3="Ready"),1&lt;='Control Room'!$B$2),ROUND(MAX(0,'Process'!E92*'Control Room'!$H$4*INDEX('Control Room'!$B$19:$H$19,1,WEEKDAY($A92,2))*(1+'Control Room'!$D$9)^90*'Process'!F92),2),"")</x:f>
        <x:v>739.34</x:v>
      </x:c>
      <x:c r="D92" s="16" t="n">
        <x:f>IF(AND(AND(91&lt;='Control Room'!$B$3,'Control Room'!$D$3="Ready"),2&lt;='Control Room'!$B$2),ROUND(MAX(0,'Process'!J92*'Control Room'!$H$5*INDEX('Control Room'!$B$19:$H$19,1,WEEKDAY($A92,2))*(1+'Control Room'!$D$9)^90*'Process'!K92),2),"")</x:f>
        <x:v>580.28</x:v>
      </x:c>
      <x:c r="E92" s="16" t="n">
        <x:f>IF(AND(AND(91&lt;='Control Room'!$B$3,'Control Room'!$D$3="Ready"),3&lt;='Control Room'!$B$2),ROUND(MAX(0,'Process'!O92*'Control Room'!$H$6*INDEX('Control Room'!$B$19:$H$19,1,WEEKDAY($A92,2))*(1+'Control Room'!$D$9)^90*'Process'!P92),2),"")</x:f>
        <x:v>876.91</x:v>
      </x:c>
      <x:c r="F92" s="16" t="n">
        <x:f>IF(AND(AND(91&lt;='Control Room'!$B$3,'Control Room'!$D$3="Ready"),4&lt;='Control Room'!$B$2),ROUND(MAX(0,'Process'!T92*'Control Room'!$H$7*INDEX('Control Room'!$B$19:$H$19,1,WEEKDAY($A92,2))*(1+'Control Room'!$D$9)^90*'Process'!U92),2),"")</x:f>
        <x:v>460.53</x:v>
      </x:c>
      <x:c r="G92" s="16" t="str">
        <x:f>IF(AND(AND(91&lt;='Control Room'!$B$3,'Control Room'!$D$3="Ready"),5&lt;='Control Room'!$B$2),ROUND(MAX(0,'Process'!Y92*'Control Room'!$H$8*INDEX('Control Room'!$B$19:$H$19,1,WEEKDAY($A92,2))*(1+'Control Room'!$D$9)^90*'Process'!Z92),2),"")</x:f>
      </x:c>
      <x:c r="H92" s="16" t="str">
        <x:f>IF(AND(AND(91&lt;='Control Room'!$B$3,'Control Room'!$D$3="Ready"),6&lt;='Control Room'!$B$2),ROUND(MAX(0,'Process'!AD92*'Control Room'!$H$9*INDEX('Control Room'!$B$19:$H$19,1,WEEKDAY($A92,2))*(1+'Control Room'!$D$9)^90*'Process'!AE92),2),"")</x:f>
      </x:c>
      <x:c r="I92" s="16" t="str">
        <x:f>IF(AND(AND(91&lt;='Control Room'!$B$3,'Control Room'!$D$3="Ready"),7&lt;='Control Room'!$B$2),ROUND(MAX(0,'Process'!AI92*'Control Room'!$H$10*INDEX('Control Room'!$B$19:$H$19,1,WEEKDAY($A92,2))*(1+'Control Room'!$D$9)^90*'Process'!AJ92),2),"")</x:f>
      </x:c>
      <x:c r="J92" s="16" t="str">
        <x:f>IF(AND(AND(91&lt;='Control Room'!$B$3,'Control Room'!$D$3="Ready"),8&lt;='Control Room'!$B$2),ROUND(MAX(0,'Process'!AN92*'Control Room'!$H$11*INDEX('Control Room'!$B$19:$H$19,1,WEEKDAY($A92,2))*(1+'Control Room'!$D$9)^90*'Process'!AO92),2),"")</x:f>
      </x:c>
      <x:c r="K92" s="16" t="str">
        <x:f>IF(AND(AND(91&lt;='Control Room'!$B$3,'Control Room'!$D$3="Ready"),9&lt;='Control Room'!$B$2),ROUND(MAX(0,'Process'!AS92*'Control Room'!$H$12*INDEX('Control Room'!$B$19:$H$19,1,WEEKDAY($A92,2))*(1+'Control Room'!$D$9)^90*'Process'!AT92),2),"")</x:f>
      </x:c>
      <x:c r="L92" s="16" t="str">
        <x:f>IF(AND(AND(91&lt;='Control Room'!$B$3,'Control Room'!$D$3="Ready"),10&lt;='Control Room'!$B$2),ROUND(MAX(0,'Process'!AX92*'Control Room'!$H$13*INDEX('Control Room'!$B$19:$H$19,1,WEEKDAY($A92,2))*(1+'Control Room'!$D$9)^90*'Process'!AY92),2),"")</x:f>
      </x:c>
      <x:c r="M92" s="16" t="str">
        <x:f>IF(AND(AND(91&lt;='Control Room'!$B$3,'Control Room'!$D$3="Ready"),11&lt;='Control Room'!$B$2),ROUND(MAX(0,'Process'!BC92*'Control Room'!$H$14*INDEX('Control Room'!$B$19:$H$19,1,WEEKDAY($A92,2))*(1+'Control Room'!$D$9)^90*'Process'!BD92),2),"")</x:f>
      </x:c>
      <x:c r="N92" s="16" t="str">
        <x:f>IF(AND(AND(91&lt;='Control Room'!$B$3,'Control Room'!$D$3="Ready"),12&lt;='Control Room'!$B$2),ROUND(MAX(0,'Process'!BH92*'Control Room'!$H$15*INDEX('Control Room'!$B$19:$H$19,1,WEEKDAY($A92,2))*(1+'Control Room'!$D$9)^90*'Process'!BI92),2),"")</x:f>
      </x:c>
    </x:row>
    <x:row r="93" ht="21" customHeight="1">
      <x:c r="A93" s="15" t="n">
        <x:f>IF(AND(92&lt;='Control Room'!$B$3,'Control Room'!$D$3="Ready"),'Process'!A93,"")</x:f>
        <x:v>73082</x:v>
      </x:c>
      <x:c r="B93" s="16" t="n">
        <x:f>IF(A93="","",SUM(C93:N93))</x:f>
        <x:v>4417.02</x:v>
      </x:c>
      <x:c r="C93" s="16" t="n">
        <x:f>IF(AND(AND(92&lt;='Control Room'!$B$3,'Control Room'!$D$3="Ready"),1&lt;='Control Room'!$B$2),ROUND(MAX(0,'Process'!E93*'Control Room'!$H$4*INDEX('Control Room'!$B$19:$H$19,1,WEEKDAY($A93,2))*(1+'Control Room'!$D$9)^91*'Process'!F93),2),"")</x:f>
        <x:v>1207.17</x:v>
      </x:c>
      <x:c r="D93" s="16" t="n">
        <x:f>IF(AND(AND(92&lt;='Control Room'!$B$3,'Control Room'!$D$3="Ready"),2&lt;='Control Room'!$B$2),ROUND(MAX(0,'Process'!J93*'Control Room'!$H$5*INDEX('Control Room'!$B$19:$H$19,1,WEEKDAY($A93,2))*(1+'Control Room'!$D$9)^91*'Process'!K93),2),"")</x:f>
        <x:v>975.62</x:v>
      </x:c>
      <x:c r="E93" s="16" t="n">
        <x:f>IF(AND(AND(92&lt;='Control Room'!$B$3,'Control Room'!$D$3="Ready"),3&lt;='Control Room'!$B$2),ROUND(MAX(0,'Process'!O93*'Control Room'!$H$6*INDEX('Control Room'!$B$19:$H$19,1,WEEKDAY($A93,2))*(1+'Control Room'!$D$9)^91*'Process'!P93),2),"")</x:f>
        <x:v>1488.79</x:v>
      </x:c>
      <x:c r="F93" s="16" t="n">
        <x:f>IF(AND(AND(92&lt;='Control Room'!$B$3,'Control Room'!$D$3="Ready"),4&lt;='Control Room'!$B$2),ROUND(MAX(0,'Process'!T93*'Control Room'!$H$7*INDEX('Control Room'!$B$19:$H$19,1,WEEKDAY($A93,2))*(1+'Control Room'!$D$9)^91*'Process'!U93),2),"")</x:f>
        <x:v>745.44</x:v>
      </x:c>
      <x:c r="G93" s="16" t="str">
        <x:f>IF(AND(AND(92&lt;='Control Room'!$B$3,'Control Room'!$D$3="Ready"),5&lt;='Control Room'!$B$2),ROUND(MAX(0,'Process'!Y93*'Control Room'!$H$8*INDEX('Control Room'!$B$19:$H$19,1,WEEKDAY($A93,2))*(1+'Control Room'!$D$9)^91*'Process'!Z93),2),"")</x:f>
      </x:c>
      <x:c r="H93" s="16" t="str">
        <x:f>IF(AND(AND(92&lt;='Control Room'!$B$3,'Control Room'!$D$3="Ready"),6&lt;='Control Room'!$B$2),ROUND(MAX(0,'Process'!AD93*'Control Room'!$H$9*INDEX('Control Room'!$B$19:$H$19,1,WEEKDAY($A93,2))*(1+'Control Room'!$D$9)^91*'Process'!AE93),2),"")</x:f>
      </x:c>
      <x:c r="I93" s="16" t="str">
        <x:f>IF(AND(AND(92&lt;='Control Room'!$B$3,'Control Room'!$D$3="Ready"),7&lt;='Control Room'!$B$2),ROUND(MAX(0,'Process'!AI93*'Control Room'!$H$10*INDEX('Control Room'!$B$19:$H$19,1,WEEKDAY($A93,2))*(1+'Control Room'!$D$9)^91*'Process'!AJ93),2),"")</x:f>
      </x:c>
      <x:c r="J93" s="16" t="str">
        <x:f>IF(AND(AND(92&lt;='Control Room'!$B$3,'Control Room'!$D$3="Ready"),8&lt;='Control Room'!$B$2),ROUND(MAX(0,'Process'!AN93*'Control Room'!$H$11*INDEX('Control Room'!$B$19:$H$19,1,WEEKDAY($A93,2))*(1+'Control Room'!$D$9)^91*'Process'!AO93),2),"")</x:f>
      </x:c>
      <x:c r="K93" s="16" t="str">
        <x:f>IF(AND(AND(92&lt;='Control Room'!$B$3,'Control Room'!$D$3="Ready"),9&lt;='Control Room'!$B$2),ROUND(MAX(0,'Process'!AS93*'Control Room'!$H$12*INDEX('Control Room'!$B$19:$H$19,1,WEEKDAY($A93,2))*(1+'Control Room'!$D$9)^91*'Process'!AT93),2),"")</x:f>
      </x:c>
      <x:c r="L93" s="16" t="str">
        <x:f>IF(AND(AND(92&lt;='Control Room'!$B$3,'Control Room'!$D$3="Ready"),10&lt;='Control Room'!$B$2),ROUND(MAX(0,'Process'!AX93*'Control Room'!$H$13*INDEX('Control Room'!$B$19:$H$19,1,WEEKDAY($A93,2))*(1+'Control Room'!$D$9)^91*'Process'!AY93),2),"")</x:f>
      </x:c>
      <x:c r="M93" s="16" t="str">
        <x:f>IF(AND(AND(92&lt;='Control Room'!$B$3,'Control Room'!$D$3="Ready"),11&lt;='Control Room'!$B$2),ROUND(MAX(0,'Process'!BC93*'Control Room'!$H$14*INDEX('Control Room'!$B$19:$H$19,1,WEEKDAY($A93,2))*(1+'Control Room'!$D$9)^91*'Process'!BD93),2),"")</x:f>
      </x:c>
      <x:c r="N93" s="16" t="str">
        <x:f>IF(AND(AND(92&lt;='Control Room'!$B$3,'Control Room'!$D$3="Ready"),12&lt;='Control Room'!$B$2),ROUND(MAX(0,'Process'!BH93*'Control Room'!$H$15*INDEX('Control Room'!$B$19:$H$19,1,WEEKDAY($A93,2))*(1+'Control Room'!$D$9)^91*'Process'!BI93),2),"")</x:f>
      </x:c>
    </x:row>
    <x:row r="94" ht="21" customHeight="1">
      <x:c r="A94" s="15" t="n">
        <x:f>IF(AND(93&lt;='Control Room'!$B$3,'Control Room'!$D$3="Ready"),'Process'!A94,"")</x:f>
        <x:v>73083</x:v>
      </x:c>
      <x:c r="B94" s="16" t="n">
        <x:f>IF(A94="","",SUM(C94:N94))</x:f>
        <x:v>4610.82</x:v>
      </x:c>
      <x:c r="C94" s="16" t="n">
        <x:f>IF(AND(AND(93&lt;='Control Room'!$B$3,'Control Room'!$D$3="Ready"),1&lt;='Control Room'!$B$2),ROUND(MAX(0,'Process'!E94*'Control Room'!$H$4*INDEX('Control Room'!$B$19:$H$19,1,WEEKDAY($A94,2))*(1+'Control Room'!$D$9)^92*'Process'!F94),2),"")</x:f>
        <x:v>1278.31</x:v>
      </x:c>
      <x:c r="D94" s="16" t="n">
        <x:f>IF(AND(AND(93&lt;='Control Room'!$B$3,'Control Room'!$D$3="Ready"),2&lt;='Control Room'!$B$2),ROUND(MAX(0,'Process'!J94*'Control Room'!$H$5*INDEX('Control Room'!$B$19:$H$19,1,WEEKDAY($A94,2))*(1+'Control Room'!$D$9)^92*'Process'!K94),2),"")</x:f>
        <x:v>983.56</x:v>
      </x:c>
      <x:c r="E94" s="16" t="n">
        <x:f>IF(AND(AND(93&lt;='Control Room'!$B$3,'Control Room'!$D$3="Ready"),3&lt;='Control Room'!$B$2),ROUND(MAX(0,'Process'!O94*'Control Room'!$H$6*INDEX('Control Room'!$B$19:$H$19,1,WEEKDAY($A94,2))*(1+'Control Room'!$D$9)^92*'Process'!P94),2),"")</x:f>
        <x:v>1495.44</x:v>
      </x:c>
      <x:c r="F94" s="16" t="n">
        <x:f>IF(AND(AND(93&lt;='Control Room'!$B$3,'Control Room'!$D$3="Ready"),4&lt;='Control Room'!$B$2),ROUND(MAX(0,'Process'!T94*'Control Room'!$H$7*INDEX('Control Room'!$B$19:$H$19,1,WEEKDAY($A94,2))*(1+'Control Room'!$D$9)^92*'Process'!U94),2),"")</x:f>
        <x:v>853.51</x:v>
      </x:c>
      <x:c r="G94" s="16" t="str">
        <x:f>IF(AND(AND(93&lt;='Control Room'!$B$3,'Control Room'!$D$3="Ready"),5&lt;='Control Room'!$B$2),ROUND(MAX(0,'Process'!Y94*'Control Room'!$H$8*INDEX('Control Room'!$B$19:$H$19,1,WEEKDAY($A94,2))*(1+'Control Room'!$D$9)^92*'Process'!Z94),2),"")</x:f>
      </x:c>
      <x:c r="H94" s="16" t="str">
        <x:f>IF(AND(AND(93&lt;='Control Room'!$B$3,'Control Room'!$D$3="Ready"),6&lt;='Control Room'!$B$2),ROUND(MAX(0,'Process'!AD94*'Control Room'!$H$9*INDEX('Control Room'!$B$19:$H$19,1,WEEKDAY($A94,2))*(1+'Control Room'!$D$9)^92*'Process'!AE94),2),"")</x:f>
      </x:c>
      <x:c r="I94" s="16" t="str">
        <x:f>IF(AND(AND(93&lt;='Control Room'!$B$3,'Control Room'!$D$3="Ready"),7&lt;='Control Room'!$B$2),ROUND(MAX(0,'Process'!AI94*'Control Room'!$H$10*INDEX('Control Room'!$B$19:$H$19,1,WEEKDAY($A94,2))*(1+'Control Room'!$D$9)^92*'Process'!AJ94),2),"")</x:f>
      </x:c>
      <x:c r="J94" s="16" t="str">
        <x:f>IF(AND(AND(93&lt;='Control Room'!$B$3,'Control Room'!$D$3="Ready"),8&lt;='Control Room'!$B$2),ROUND(MAX(0,'Process'!AN94*'Control Room'!$H$11*INDEX('Control Room'!$B$19:$H$19,1,WEEKDAY($A94,2))*(1+'Control Room'!$D$9)^92*'Process'!AO94),2),"")</x:f>
      </x:c>
      <x:c r="K94" s="16" t="str">
        <x:f>IF(AND(AND(93&lt;='Control Room'!$B$3,'Control Room'!$D$3="Ready"),9&lt;='Control Room'!$B$2),ROUND(MAX(0,'Process'!AS94*'Control Room'!$H$12*INDEX('Control Room'!$B$19:$H$19,1,WEEKDAY($A94,2))*(1+'Control Room'!$D$9)^92*'Process'!AT94),2),"")</x:f>
      </x:c>
      <x:c r="L94" s="16" t="str">
        <x:f>IF(AND(AND(93&lt;='Control Room'!$B$3,'Control Room'!$D$3="Ready"),10&lt;='Control Room'!$B$2),ROUND(MAX(0,'Process'!AX94*'Control Room'!$H$13*INDEX('Control Room'!$B$19:$H$19,1,WEEKDAY($A94,2))*(1+'Control Room'!$D$9)^92*'Process'!AY94),2),"")</x:f>
      </x:c>
      <x:c r="M94" s="16" t="str">
        <x:f>IF(AND(AND(93&lt;='Control Room'!$B$3,'Control Room'!$D$3="Ready"),11&lt;='Control Room'!$B$2),ROUND(MAX(0,'Process'!BC94*'Control Room'!$H$14*INDEX('Control Room'!$B$19:$H$19,1,WEEKDAY($A94,2))*(1+'Control Room'!$D$9)^92*'Process'!BD94),2),"")</x:f>
      </x:c>
      <x:c r="N94" s="16" t="str">
        <x:f>IF(AND(AND(93&lt;='Control Room'!$B$3,'Control Room'!$D$3="Ready"),12&lt;='Control Room'!$B$2),ROUND(MAX(0,'Process'!BH94*'Control Room'!$H$15*INDEX('Control Room'!$B$19:$H$19,1,WEEKDAY($A94,2))*(1+'Control Room'!$D$9)^92*'Process'!BI94),2),"")</x:f>
      </x:c>
    </x:row>
    <x:row r="95" ht="21" customHeight="1">
      <x:c r="A95" s="15" t="n">
        <x:f>IF(AND(94&lt;='Control Room'!$B$3,'Control Room'!$D$3="Ready"),'Process'!A95,"")</x:f>
        <x:v>73084</x:v>
      </x:c>
      <x:c r="B95" s="16" t="n">
        <x:f>IF(A95="","",SUM(C95:N95))</x:f>
        <x:v>4493.85</x:v>
      </x:c>
      <x:c r="C95" s="16" t="n">
        <x:f>IF(AND(AND(94&lt;='Control Room'!$B$3,'Control Room'!$D$3="Ready"),1&lt;='Control Room'!$B$2),ROUND(MAX(0,'Process'!E95*'Control Room'!$H$4*INDEX('Control Room'!$B$19:$H$19,1,WEEKDAY($A95,2))*(1+'Control Room'!$D$9)^93*'Process'!F95),2),"")</x:f>
        <x:v>1212.68</x:v>
      </x:c>
      <x:c r="D95" s="16" t="n">
        <x:f>IF(AND(AND(94&lt;='Control Room'!$B$3,'Control Room'!$D$3="Ready"),2&lt;='Control Room'!$B$2),ROUND(MAX(0,'Process'!J95*'Control Room'!$H$5*INDEX('Control Room'!$B$19:$H$19,1,WEEKDAY($A95,2))*(1+'Control Room'!$D$9)^93*'Process'!K95),2),"")</x:f>
        <x:v>1009.8</x:v>
      </x:c>
      <x:c r="E95" s="16" t="n">
        <x:f>IF(AND(AND(94&lt;='Control Room'!$B$3,'Control Room'!$D$3="Ready"),3&lt;='Control Room'!$B$2),ROUND(MAX(0,'Process'!O95*'Control Room'!$H$6*INDEX('Control Room'!$B$19:$H$19,1,WEEKDAY($A95,2))*(1+'Control Room'!$D$9)^93*'Process'!P95),2),"")</x:f>
        <x:v>1406.23</x:v>
      </x:c>
      <x:c r="F95" s="16" t="n">
        <x:f>IF(AND(AND(94&lt;='Control Room'!$B$3,'Control Room'!$D$3="Ready"),4&lt;='Control Room'!$B$2),ROUND(MAX(0,'Process'!T95*'Control Room'!$H$7*INDEX('Control Room'!$B$19:$H$19,1,WEEKDAY($A95,2))*(1+'Control Room'!$D$9)^93*'Process'!U95),2),"")</x:f>
        <x:v>865.14</x:v>
      </x:c>
      <x:c r="G95" s="16" t="str">
        <x:f>IF(AND(AND(94&lt;='Control Room'!$B$3,'Control Room'!$D$3="Ready"),5&lt;='Control Room'!$B$2),ROUND(MAX(0,'Process'!Y95*'Control Room'!$H$8*INDEX('Control Room'!$B$19:$H$19,1,WEEKDAY($A95,2))*(1+'Control Room'!$D$9)^93*'Process'!Z95),2),"")</x:f>
      </x:c>
      <x:c r="H95" s="16" t="str">
        <x:f>IF(AND(AND(94&lt;='Control Room'!$B$3,'Control Room'!$D$3="Ready"),6&lt;='Control Room'!$B$2),ROUND(MAX(0,'Process'!AD95*'Control Room'!$H$9*INDEX('Control Room'!$B$19:$H$19,1,WEEKDAY($A95,2))*(1+'Control Room'!$D$9)^93*'Process'!AE95),2),"")</x:f>
      </x:c>
      <x:c r="I95" s="16" t="str">
        <x:f>IF(AND(AND(94&lt;='Control Room'!$B$3,'Control Room'!$D$3="Ready"),7&lt;='Control Room'!$B$2),ROUND(MAX(0,'Process'!AI95*'Control Room'!$H$10*INDEX('Control Room'!$B$19:$H$19,1,WEEKDAY($A95,2))*(1+'Control Room'!$D$9)^93*'Process'!AJ95),2),"")</x:f>
      </x:c>
      <x:c r="J95" s="16" t="str">
        <x:f>IF(AND(AND(94&lt;='Control Room'!$B$3,'Control Room'!$D$3="Ready"),8&lt;='Control Room'!$B$2),ROUND(MAX(0,'Process'!AN95*'Control Room'!$H$11*INDEX('Control Room'!$B$19:$H$19,1,WEEKDAY($A95,2))*(1+'Control Room'!$D$9)^93*'Process'!AO95),2),"")</x:f>
      </x:c>
      <x:c r="K95" s="16" t="str">
        <x:f>IF(AND(AND(94&lt;='Control Room'!$B$3,'Control Room'!$D$3="Ready"),9&lt;='Control Room'!$B$2),ROUND(MAX(0,'Process'!AS95*'Control Room'!$H$12*INDEX('Control Room'!$B$19:$H$19,1,WEEKDAY($A95,2))*(1+'Control Room'!$D$9)^93*'Process'!AT95),2),"")</x:f>
      </x:c>
      <x:c r="L95" s="16" t="str">
        <x:f>IF(AND(AND(94&lt;='Control Room'!$B$3,'Control Room'!$D$3="Ready"),10&lt;='Control Room'!$B$2),ROUND(MAX(0,'Process'!AX95*'Control Room'!$H$13*INDEX('Control Room'!$B$19:$H$19,1,WEEKDAY($A95,2))*(1+'Control Room'!$D$9)^93*'Process'!AY95),2),"")</x:f>
      </x:c>
      <x:c r="M95" s="16" t="str">
        <x:f>IF(AND(AND(94&lt;='Control Room'!$B$3,'Control Room'!$D$3="Ready"),11&lt;='Control Room'!$B$2),ROUND(MAX(0,'Process'!BC95*'Control Room'!$H$14*INDEX('Control Room'!$B$19:$H$19,1,WEEKDAY($A95,2))*(1+'Control Room'!$D$9)^93*'Process'!BD95),2),"")</x:f>
      </x:c>
      <x:c r="N95" s="16" t="str">
        <x:f>IF(AND(AND(94&lt;='Control Room'!$B$3,'Control Room'!$D$3="Ready"),12&lt;='Control Room'!$B$2),ROUND(MAX(0,'Process'!BH95*'Control Room'!$H$15*INDEX('Control Room'!$B$19:$H$19,1,WEEKDAY($A95,2))*(1+'Control Room'!$D$9)^93*'Process'!BI95),2),"")</x:f>
      </x:c>
    </x:row>
    <x:row r="96" ht="21" customHeight="1">
      <x:c r="A96" s="15" t="n">
        <x:f>IF(AND(95&lt;='Control Room'!$B$3,'Control Room'!$D$3="Ready"),'Process'!A96,"")</x:f>
        <x:v>73085</x:v>
      </x:c>
      <x:c r="B96" s="16" t="n">
        <x:f>IF(A96="","",SUM(C96:N96))</x:f>
        <x:v>4603.02</x:v>
      </x:c>
      <x:c r="C96" s="16" t="n">
        <x:f>IF(AND(AND(95&lt;='Control Room'!$B$3,'Control Room'!$D$3="Ready"),1&lt;='Control Room'!$B$2),ROUND(MAX(0,'Process'!E96*'Control Room'!$H$4*INDEX('Control Room'!$B$19:$H$19,1,WEEKDAY($A96,2))*(1+'Control Room'!$D$9)^94*'Process'!F96),2),"")</x:f>
        <x:v>1217.41</x:v>
      </x:c>
      <x:c r="D96" s="16" t="n">
        <x:f>IF(AND(AND(95&lt;='Control Room'!$B$3,'Control Room'!$D$3="Ready"),2&lt;='Control Room'!$B$2),ROUND(MAX(0,'Process'!J96*'Control Room'!$H$5*INDEX('Control Room'!$B$19:$H$19,1,WEEKDAY($A96,2))*(1+'Control Room'!$D$9)^94*'Process'!K96),2),"")</x:f>
        <x:v>1043.39</x:v>
      </x:c>
      <x:c r="E96" s="16" t="n">
        <x:f>IF(AND(AND(95&lt;='Control Room'!$B$3,'Control Room'!$D$3="Ready"),3&lt;='Control Room'!$B$2),ROUND(MAX(0,'Process'!O96*'Control Room'!$H$6*INDEX('Control Room'!$B$19:$H$19,1,WEEKDAY($A96,2))*(1+'Control Room'!$D$9)^94*'Process'!P96),2),"")</x:f>
        <x:v>1437.04</x:v>
      </x:c>
      <x:c r="F96" s="16" t="n">
        <x:f>IF(AND(AND(95&lt;='Control Room'!$B$3,'Control Room'!$D$3="Ready"),4&lt;='Control Room'!$B$2),ROUND(MAX(0,'Process'!T96*'Control Room'!$H$7*INDEX('Control Room'!$B$19:$H$19,1,WEEKDAY($A96,2))*(1+'Control Room'!$D$9)^94*'Process'!U96),2),"")</x:f>
        <x:v>905.18</x:v>
      </x:c>
      <x:c r="G96" s="16" t="str">
        <x:f>IF(AND(AND(95&lt;='Control Room'!$B$3,'Control Room'!$D$3="Ready"),5&lt;='Control Room'!$B$2),ROUND(MAX(0,'Process'!Y96*'Control Room'!$H$8*INDEX('Control Room'!$B$19:$H$19,1,WEEKDAY($A96,2))*(1+'Control Room'!$D$9)^94*'Process'!Z96),2),"")</x:f>
      </x:c>
      <x:c r="H96" s="16" t="str">
        <x:f>IF(AND(AND(95&lt;='Control Room'!$B$3,'Control Room'!$D$3="Ready"),6&lt;='Control Room'!$B$2),ROUND(MAX(0,'Process'!AD96*'Control Room'!$H$9*INDEX('Control Room'!$B$19:$H$19,1,WEEKDAY($A96,2))*(1+'Control Room'!$D$9)^94*'Process'!AE96),2),"")</x:f>
      </x:c>
      <x:c r="I96" s="16" t="str">
        <x:f>IF(AND(AND(95&lt;='Control Room'!$B$3,'Control Room'!$D$3="Ready"),7&lt;='Control Room'!$B$2),ROUND(MAX(0,'Process'!AI96*'Control Room'!$H$10*INDEX('Control Room'!$B$19:$H$19,1,WEEKDAY($A96,2))*(1+'Control Room'!$D$9)^94*'Process'!AJ96),2),"")</x:f>
      </x:c>
      <x:c r="J96" s="16" t="str">
        <x:f>IF(AND(AND(95&lt;='Control Room'!$B$3,'Control Room'!$D$3="Ready"),8&lt;='Control Room'!$B$2),ROUND(MAX(0,'Process'!AN96*'Control Room'!$H$11*INDEX('Control Room'!$B$19:$H$19,1,WEEKDAY($A96,2))*(1+'Control Room'!$D$9)^94*'Process'!AO96),2),"")</x:f>
      </x:c>
      <x:c r="K96" s="16" t="str">
        <x:f>IF(AND(AND(95&lt;='Control Room'!$B$3,'Control Room'!$D$3="Ready"),9&lt;='Control Room'!$B$2),ROUND(MAX(0,'Process'!AS96*'Control Room'!$H$12*INDEX('Control Room'!$B$19:$H$19,1,WEEKDAY($A96,2))*(1+'Control Room'!$D$9)^94*'Process'!AT96),2),"")</x:f>
      </x:c>
      <x:c r="L96" s="16" t="str">
        <x:f>IF(AND(AND(95&lt;='Control Room'!$B$3,'Control Room'!$D$3="Ready"),10&lt;='Control Room'!$B$2),ROUND(MAX(0,'Process'!AX96*'Control Room'!$H$13*INDEX('Control Room'!$B$19:$H$19,1,WEEKDAY($A96,2))*(1+'Control Room'!$D$9)^94*'Process'!AY96),2),"")</x:f>
      </x:c>
      <x:c r="M96" s="16" t="str">
        <x:f>IF(AND(AND(95&lt;='Control Room'!$B$3,'Control Room'!$D$3="Ready"),11&lt;='Control Room'!$B$2),ROUND(MAX(0,'Process'!BC96*'Control Room'!$H$14*INDEX('Control Room'!$B$19:$H$19,1,WEEKDAY($A96,2))*(1+'Control Room'!$D$9)^94*'Process'!BD96),2),"")</x:f>
      </x:c>
      <x:c r="N96" s="16" t="str">
        <x:f>IF(AND(AND(95&lt;='Control Room'!$B$3,'Control Room'!$D$3="Ready"),12&lt;='Control Room'!$B$2),ROUND(MAX(0,'Process'!BH96*'Control Room'!$H$15*INDEX('Control Room'!$B$19:$H$19,1,WEEKDAY($A96,2))*(1+'Control Room'!$D$9)^94*'Process'!BI96),2),"")</x:f>
      </x:c>
    </x:row>
    <x:row r="97" ht="21" customHeight="1">
      <x:c r="A97" s="15" t="n">
        <x:f>IF(AND(96&lt;='Control Room'!$B$3,'Control Room'!$D$3="Ready"),'Process'!A97,"")</x:f>
        <x:v>73086</x:v>
      </x:c>
      <x:c r="B97" s="16" t="n">
        <x:f>IF(A97="","",SUM(C97:N97))</x:f>
        <x:v>4624.030000000001</x:v>
      </x:c>
      <x:c r="C97" s="16" t="n">
        <x:f>IF(AND(AND(96&lt;='Control Room'!$B$3,'Control Room'!$D$3="Ready"),1&lt;='Control Room'!$B$2),ROUND(MAX(0,'Process'!E97*'Control Room'!$H$4*INDEX('Control Room'!$B$19:$H$19,1,WEEKDAY($A97,2))*(1+'Control Room'!$D$9)^95*'Process'!F97),2),"")</x:f>
        <x:v>1154.28</x:v>
      </x:c>
      <x:c r="D97" s="16" t="n">
        <x:f>IF(AND(AND(96&lt;='Control Room'!$B$3,'Control Room'!$D$3="Ready"),2&lt;='Control Room'!$B$2),ROUND(MAX(0,'Process'!J97*'Control Room'!$H$5*INDEX('Control Room'!$B$19:$H$19,1,WEEKDAY($A97,2))*(1+'Control Room'!$D$9)^95*'Process'!K97),2),"")</x:f>
        <x:v>1032.49</x:v>
      </x:c>
      <x:c r="E97" s="16" t="n">
        <x:f>IF(AND(AND(96&lt;='Control Room'!$B$3,'Control Room'!$D$3="Ready"),3&lt;='Control Room'!$B$2),ROUND(MAX(0,'Process'!O97*'Control Room'!$H$6*INDEX('Control Room'!$B$19:$H$19,1,WEEKDAY($A97,2))*(1+'Control Room'!$D$9)^95*'Process'!P97),2),"")</x:f>
        <x:v>1562.95</x:v>
      </x:c>
      <x:c r="F97" s="16" t="n">
        <x:f>IF(AND(AND(96&lt;='Control Room'!$B$3,'Control Room'!$D$3="Ready"),4&lt;='Control Room'!$B$2),ROUND(MAX(0,'Process'!T97*'Control Room'!$H$7*INDEX('Control Room'!$B$19:$H$19,1,WEEKDAY($A97,2))*(1+'Control Room'!$D$9)^95*'Process'!U97),2),"")</x:f>
        <x:v>874.31</x:v>
      </x:c>
      <x:c r="G97" s="16" t="str">
        <x:f>IF(AND(AND(96&lt;='Control Room'!$B$3,'Control Room'!$D$3="Ready"),5&lt;='Control Room'!$B$2),ROUND(MAX(0,'Process'!Y97*'Control Room'!$H$8*INDEX('Control Room'!$B$19:$H$19,1,WEEKDAY($A97,2))*(1+'Control Room'!$D$9)^95*'Process'!Z97),2),"")</x:f>
      </x:c>
      <x:c r="H97" s="16" t="str">
        <x:f>IF(AND(AND(96&lt;='Control Room'!$B$3,'Control Room'!$D$3="Ready"),6&lt;='Control Room'!$B$2),ROUND(MAX(0,'Process'!AD97*'Control Room'!$H$9*INDEX('Control Room'!$B$19:$H$19,1,WEEKDAY($A97,2))*(1+'Control Room'!$D$9)^95*'Process'!AE97),2),"")</x:f>
      </x:c>
      <x:c r="I97" s="16" t="str">
        <x:f>IF(AND(AND(96&lt;='Control Room'!$B$3,'Control Room'!$D$3="Ready"),7&lt;='Control Room'!$B$2),ROUND(MAX(0,'Process'!AI97*'Control Room'!$H$10*INDEX('Control Room'!$B$19:$H$19,1,WEEKDAY($A97,2))*(1+'Control Room'!$D$9)^95*'Process'!AJ97),2),"")</x:f>
      </x:c>
      <x:c r="J97" s="16" t="str">
        <x:f>IF(AND(AND(96&lt;='Control Room'!$B$3,'Control Room'!$D$3="Ready"),8&lt;='Control Room'!$B$2),ROUND(MAX(0,'Process'!AN97*'Control Room'!$H$11*INDEX('Control Room'!$B$19:$H$19,1,WEEKDAY($A97,2))*(1+'Control Room'!$D$9)^95*'Process'!AO97),2),"")</x:f>
      </x:c>
      <x:c r="K97" s="16" t="str">
        <x:f>IF(AND(AND(96&lt;='Control Room'!$B$3,'Control Room'!$D$3="Ready"),9&lt;='Control Room'!$B$2),ROUND(MAX(0,'Process'!AS97*'Control Room'!$H$12*INDEX('Control Room'!$B$19:$H$19,1,WEEKDAY($A97,2))*(1+'Control Room'!$D$9)^95*'Process'!AT97),2),"")</x:f>
      </x:c>
      <x:c r="L97" s="16" t="str">
        <x:f>IF(AND(AND(96&lt;='Control Room'!$B$3,'Control Room'!$D$3="Ready"),10&lt;='Control Room'!$B$2),ROUND(MAX(0,'Process'!AX97*'Control Room'!$H$13*INDEX('Control Room'!$B$19:$H$19,1,WEEKDAY($A97,2))*(1+'Control Room'!$D$9)^95*'Process'!AY97),2),"")</x:f>
      </x:c>
      <x:c r="M97" s="16" t="str">
        <x:f>IF(AND(AND(96&lt;='Control Room'!$B$3,'Control Room'!$D$3="Ready"),11&lt;='Control Room'!$B$2),ROUND(MAX(0,'Process'!BC97*'Control Room'!$H$14*INDEX('Control Room'!$B$19:$H$19,1,WEEKDAY($A97,2))*(1+'Control Room'!$D$9)^95*'Process'!BD97),2),"")</x:f>
      </x:c>
      <x:c r="N97" s="16" t="str">
        <x:f>IF(AND(AND(96&lt;='Control Room'!$B$3,'Control Room'!$D$3="Ready"),12&lt;='Control Room'!$B$2),ROUND(MAX(0,'Process'!BH97*'Control Room'!$H$15*INDEX('Control Room'!$B$19:$H$19,1,WEEKDAY($A97,2))*(1+'Control Room'!$D$9)^95*'Process'!BI97),2),"")</x:f>
      </x:c>
    </x:row>
    <x:row r="98" ht="21" customHeight="1">
      <x:c r="A98" s="15" t="n">
        <x:f>IF(AND(97&lt;='Control Room'!$B$3,'Control Room'!$D$3="Ready"),'Process'!A98,"")</x:f>
        <x:v>73087</x:v>
      </x:c>
      <x:c r="B98" s="16" t="n">
        <x:f>IF(A98="","",SUM(C98:N98))</x:f>
        <x:v>3685.46</x:v>
      </x:c>
      <x:c r="C98" s="16" t="n">
        <x:f>IF(AND(AND(97&lt;='Control Room'!$B$3,'Control Room'!$D$3="Ready"),1&lt;='Control Room'!$B$2),ROUND(MAX(0,'Process'!E98*'Control Room'!$H$4*INDEX('Control Room'!$B$19:$H$19,1,WEEKDAY($A98,2))*(1+'Control Room'!$D$9)^96*'Process'!F98),2),"")</x:f>
        <x:v>958.21</x:v>
      </x:c>
      <x:c r="D98" s="16" t="n">
        <x:f>IF(AND(AND(97&lt;='Control Room'!$B$3,'Control Room'!$D$3="Ready"),2&lt;='Control Room'!$B$2),ROUND(MAX(0,'Process'!J98*'Control Room'!$H$5*INDEX('Control Room'!$B$19:$H$19,1,WEEKDAY($A98,2))*(1+'Control Room'!$D$9)^96*'Process'!K98),2),"")</x:f>
        <x:v>874.69</x:v>
      </x:c>
      <x:c r="E98" s="16" t="n">
        <x:f>IF(AND(AND(97&lt;='Control Room'!$B$3,'Control Room'!$D$3="Ready"),3&lt;='Control Room'!$B$2),ROUND(MAX(0,'Process'!O98*'Control Room'!$H$6*INDEX('Control Room'!$B$19:$H$19,1,WEEKDAY($A98,2))*(1+'Control Room'!$D$9)^96*'Process'!P98),2),"")</x:f>
        <x:v>1125.75</x:v>
      </x:c>
      <x:c r="F98" s="16" t="n">
        <x:f>IF(AND(AND(97&lt;='Control Room'!$B$3,'Control Room'!$D$3="Ready"),4&lt;='Control Room'!$B$2),ROUND(MAX(0,'Process'!T98*'Control Room'!$H$7*INDEX('Control Room'!$B$19:$H$19,1,WEEKDAY($A98,2))*(1+'Control Room'!$D$9)^96*'Process'!U98),2),"")</x:f>
        <x:v>726.81</x:v>
      </x:c>
      <x:c r="G98" s="16" t="str">
        <x:f>IF(AND(AND(97&lt;='Control Room'!$B$3,'Control Room'!$D$3="Ready"),5&lt;='Control Room'!$B$2),ROUND(MAX(0,'Process'!Y98*'Control Room'!$H$8*INDEX('Control Room'!$B$19:$H$19,1,WEEKDAY($A98,2))*(1+'Control Room'!$D$9)^96*'Process'!Z98),2),"")</x:f>
      </x:c>
      <x:c r="H98" s="16" t="str">
        <x:f>IF(AND(AND(97&lt;='Control Room'!$B$3,'Control Room'!$D$3="Ready"),6&lt;='Control Room'!$B$2),ROUND(MAX(0,'Process'!AD98*'Control Room'!$H$9*INDEX('Control Room'!$B$19:$H$19,1,WEEKDAY($A98,2))*(1+'Control Room'!$D$9)^96*'Process'!AE98),2),"")</x:f>
      </x:c>
      <x:c r="I98" s="16" t="str">
        <x:f>IF(AND(AND(97&lt;='Control Room'!$B$3,'Control Room'!$D$3="Ready"),7&lt;='Control Room'!$B$2),ROUND(MAX(0,'Process'!AI98*'Control Room'!$H$10*INDEX('Control Room'!$B$19:$H$19,1,WEEKDAY($A98,2))*(1+'Control Room'!$D$9)^96*'Process'!AJ98),2),"")</x:f>
      </x:c>
      <x:c r="J98" s="16" t="str">
        <x:f>IF(AND(AND(97&lt;='Control Room'!$B$3,'Control Room'!$D$3="Ready"),8&lt;='Control Room'!$B$2),ROUND(MAX(0,'Process'!AN98*'Control Room'!$H$11*INDEX('Control Room'!$B$19:$H$19,1,WEEKDAY($A98,2))*(1+'Control Room'!$D$9)^96*'Process'!AO98),2),"")</x:f>
      </x:c>
      <x:c r="K98" s="16" t="str">
        <x:f>IF(AND(AND(97&lt;='Control Room'!$B$3,'Control Room'!$D$3="Ready"),9&lt;='Control Room'!$B$2),ROUND(MAX(0,'Process'!AS98*'Control Room'!$H$12*INDEX('Control Room'!$B$19:$H$19,1,WEEKDAY($A98,2))*(1+'Control Room'!$D$9)^96*'Process'!AT98),2),"")</x:f>
      </x:c>
      <x:c r="L98" s="16" t="str">
        <x:f>IF(AND(AND(97&lt;='Control Room'!$B$3,'Control Room'!$D$3="Ready"),10&lt;='Control Room'!$B$2),ROUND(MAX(0,'Process'!AX98*'Control Room'!$H$13*INDEX('Control Room'!$B$19:$H$19,1,WEEKDAY($A98,2))*(1+'Control Room'!$D$9)^96*'Process'!AY98),2),"")</x:f>
      </x:c>
      <x:c r="M98" s="16" t="str">
        <x:f>IF(AND(AND(97&lt;='Control Room'!$B$3,'Control Room'!$D$3="Ready"),11&lt;='Control Room'!$B$2),ROUND(MAX(0,'Process'!BC98*'Control Room'!$H$14*INDEX('Control Room'!$B$19:$H$19,1,WEEKDAY($A98,2))*(1+'Control Room'!$D$9)^96*'Process'!BD98),2),"")</x:f>
      </x:c>
      <x:c r="N98" s="16" t="str">
        <x:f>IF(AND(AND(97&lt;='Control Room'!$B$3,'Control Room'!$D$3="Ready"),12&lt;='Control Room'!$B$2),ROUND(MAX(0,'Process'!BH98*'Control Room'!$H$15*INDEX('Control Room'!$B$19:$H$19,1,WEEKDAY($A98,2))*(1+'Control Room'!$D$9)^96*'Process'!BI98),2),"")</x:f>
      </x:c>
    </x:row>
    <x:row r="99" ht="21" customHeight="1">
      <x:c r="A99" s="15" t="n">
        <x:f>IF(AND(98&lt;='Control Room'!$B$3,'Control Room'!$D$3="Ready"),'Process'!A99,"")</x:f>
        <x:v>73088</x:v>
      </x:c>
      <x:c r="B99" s="16" t="n">
        <x:f>IF(A99="","",SUM(C99:N99))</x:f>
        <x:v>2705.25</x:v>
      </x:c>
      <x:c r="C99" s="16" t="n">
        <x:f>IF(AND(AND(98&lt;='Control Room'!$B$3,'Control Room'!$D$3="Ready"),1&lt;='Control Room'!$B$2),ROUND(MAX(0,'Process'!E99*'Control Room'!$H$4*INDEX('Control Room'!$B$19:$H$19,1,WEEKDAY($A99,2))*(1+'Control Room'!$D$9)^97*'Process'!F99),2),"")</x:f>
        <x:v>744.48</x:v>
      </x:c>
      <x:c r="D99" s="16" t="n">
        <x:f>IF(AND(AND(98&lt;='Control Room'!$B$3,'Control Room'!$D$3="Ready"),2&lt;='Control Room'!$B$2),ROUND(MAX(0,'Process'!J99*'Control Room'!$H$5*INDEX('Control Room'!$B$19:$H$19,1,WEEKDAY($A99,2))*(1+'Control Room'!$D$9)^97*'Process'!K99),2),"")</x:f>
        <x:v>603.57</x:v>
      </x:c>
      <x:c r="E99" s="16" t="n">
        <x:f>IF(AND(AND(98&lt;='Control Room'!$B$3,'Control Room'!$D$3="Ready"),3&lt;='Control Room'!$B$2),ROUND(MAX(0,'Process'!O99*'Control Room'!$H$6*INDEX('Control Room'!$B$19:$H$19,1,WEEKDAY($A99,2))*(1+'Control Room'!$D$9)^97*'Process'!P99),2),"")</x:f>
        <x:v>834.68</x:v>
      </x:c>
      <x:c r="F99" s="16" t="n">
        <x:f>IF(AND(AND(98&lt;='Control Room'!$B$3,'Control Room'!$D$3="Ready"),4&lt;='Control Room'!$B$2),ROUND(MAX(0,'Process'!T99*'Control Room'!$H$7*INDEX('Control Room'!$B$19:$H$19,1,WEEKDAY($A99,2))*(1+'Control Room'!$D$9)^97*'Process'!U99),2),"")</x:f>
        <x:v>522.52</x:v>
      </x:c>
      <x:c r="G99" s="16" t="str">
        <x:f>IF(AND(AND(98&lt;='Control Room'!$B$3,'Control Room'!$D$3="Ready"),5&lt;='Control Room'!$B$2),ROUND(MAX(0,'Process'!Y99*'Control Room'!$H$8*INDEX('Control Room'!$B$19:$H$19,1,WEEKDAY($A99,2))*(1+'Control Room'!$D$9)^97*'Process'!Z99),2),"")</x:f>
      </x:c>
      <x:c r="H99" s="16" t="str">
        <x:f>IF(AND(AND(98&lt;='Control Room'!$B$3,'Control Room'!$D$3="Ready"),6&lt;='Control Room'!$B$2),ROUND(MAX(0,'Process'!AD99*'Control Room'!$H$9*INDEX('Control Room'!$B$19:$H$19,1,WEEKDAY($A99,2))*(1+'Control Room'!$D$9)^97*'Process'!AE99),2),"")</x:f>
      </x:c>
      <x:c r="I99" s="16" t="str">
        <x:f>IF(AND(AND(98&lt;='Control Room'!$B$3,'Control Room'!$D$3="Ready"),7&lt;='Control Room'!$B$2),ROUND(MAX(0,'Process'!AI99*'Control Room'!$H$10*INDEX('Control Room'!$B$19:$H$19,1,WEEKDAY($A99,2))*(1+'Control Room'!$D$9)^97*'Process'!AJ99),2),"")</x:f>
      </x:c>
      <x:c r="J99" s="16" t="str">
        <x:f>IF(AND(AND(98&lt;='Control Room'!$B$3,'Control Room'!$D$3="Ready"),8&lt;='Control Room'!$B$2),ROUND(MAX(0,'Process'!AN99*'Control Room'!$H$11*INDEX('Control Room'!$B$19:$H$19,1,WEEKDAY($A99,2))*(1+'Control Room'!$D$9)^97*'Process'!AO99),2),"")</x:f>
      </x:c>
      <x:c r="K99" s="16" t="str">
        <x:f>IF(AND(AND(98&lt;='Control Room'!$B$3,'Control Room'!$D$3="Ready"),9&lt;='Control Room'!$B$2),ROUND(MAX(0,'Process'!AS99*'Control Room'!$H$12*INDEX('Control Room'!$B$19:$H$19,1,WEEKDAY($A99,2))*(1+'Control Room'!$D$9)^97*'Process'!AT99),2),"")</x:f>
      </x:c>
      <x:c r="L99" s="16" t="str">
        <x:f>IF(AND(AND(98&lt;='Control Room'!$B$3,'Control Room'!$D$3="Ready"),10&lt;='Control Room'!$B$2),ROUND(MAX(0,'Process'!AX99*'Control Room'!$H$13*INDEX('Control Room'!$B$19:$H$19,1,WEEKDAY($A99,2))*(1+'Control Room'!$D$9)^97*'Process'!AY99),2),"")</x:f>
      </x:c>
      <x:c r="M99" s="16" t="str">
        <x:f>IF(AND(AND(98&lt;='Control Room'!$B$3,'Control Room'!$D$3="Ready"),11&lt;='Control Room'!$B$2),ROUND(MAX(0,'Process'!BC99*'Control Room'!$H$14*INDEX('Control Room'!$B$19:$H$19,1,WEEKDAY($A99,2))*(1+'Control Room'!$D$9)^97*'Process'!BD99),2),"")</x:f>
      </x:c>
      <x:c r="N99" s="16" t="str">
        <x:f>IF(AND(AND(98&lt;='Control Room'!$B$3,'Control Room'!$D$3="Ready"),12&lt;='Control Room'!$B$2),ROUND(MAX(0,'Process'!BH99*'Control Room'!$H$15*INDEX('Control Room'!$B$19:$H$19,1,WEEKDAY($A99,2))*(1+'Control Room'!$D$9)^97*'Process'!BI99),2),"")</x:f>
      </x:c>
    </x:row>
    <x:row r="100" ht="21" customHeight="1">
      <x:c r="A100" s="15" t="n">
        <x:f>IF(AND(99&lt;='Control Room'!$B$3,'Control Room'!$D$3="Ready"),'Process'!A100,"")</x:f>
        <x:v>73089</x:v>
      </x:c>
      <x:c r="B100" s="16" t="n">
        <x:f>IF(A100="","",SUM(C100:N100))</x:f>
        <x:v>4689.63</x:v>
      </x:c>
      <x:c r="C100" s="16" t="n">
        <x:f>IF(AND(AND(99&lt;='Control Room'!$B$3,'Control Room'!$D$3="Ready"),1&lt;='Control Room'!$B$2),ROUND(MAX(0,'Process'!E100*'Control Room'!$H$4*INDEX('Control Room'!$B$19:$H$19,1,WEEKDAY($A100,2))*(1+'Control Room'!$D$9)^98*'Process'!F100),2),"")</x:f>
        <x:v>1212.2</x:v>
      </x:c>
      <x:c r="D100" s="16" t="n">
        <x:f>IF(AND(AND(99&lt;='Control Room'!$B$3,'Control Room'!$D$3="Ready"),2&lt;='Control Room'!$B$2),ROUND(MAX(0,'Process'!J100*'Control Room'!$H$5*INDEX('Control Room'!$B$19:$H$19,1,WEEKDAY($A100,2))*(1+'Control Room'!$D$9)^98*'Process'!K100),2),"")</x:f>
        <x:v>1004.58</x:v>
      </x:c>
      <x:c r="E100" s="16" t="n">
        <x:f>IF(AND(AND(99&lt;='Control Room'!$B$3,'Control Room'!$D$3="Ready"),3&lt;='Control Room'!$B$2),ROUND(MAX(0,'Process'!O100*'Control Room'!$H$6*INDEX('Control Room'!$B$19:$H$19,1,WEEKDAY($A100,2))*(1+'Control Room'!$D$9)^98*'Process'!P100),2),"")</x:f>
        <x:v>1480.77</x:v>
      </x:c>
      <x:c r="F100" s="16" t="n">
        <x:f>IF(AND(AND(99&lt;='Control Room'!$B$3,'Control Room'!$D$3="Ready"),4&lt;='Control Room'!$B$2),ROUND(MAX(0,'Process'!T100*'Control Room'!$H$7*INDEX('Control Room'!$B$19:$H$19,1,WEEKDAY($A100,2))*(1+'Control Room'!$D$9)^98*'Process'!U100),2),"")</x:f>
        <x:v>992.08</x:v>
      </x:c>
      <x:c r="G100" s="16" t="str">
        <x:f>IF(AND(AND(99&lt;='Control Room'!$B$3,'Control Room'!$D$3="Ready"),5&lt;='Control Room'!$B$2),ROUND(MAX(0,'Process'!Y100*'Control Room'!$H$8*INDEX('Control Room'!$B$19:$H$19,1,WEEKDAY($A100,2))*(1+'Control Room'!$D$9)^98*'Process'!Z100),2),"")</x:f>
      </x:c>
      <x:c r="H100" s="16" t="str">
        <x:f>IF(AND(AND(99&lt;='Control Room'!$B$3,'Control Room'!$D$3="Ready"),6&lt;='Control Room'!$B$2),ROUND(MAX(0,'Process'!AD100*'Control Room'!$H$9*INDEX('Control Room'!$B$19:$H$19,1,WEEKDAY($A100,2))*(1+'Control Room'!$D$9)^98*'Process'!AE100),2),"")</x:f>
      </x:c>
      <x:c r="I100" s="16" t="str">
        <x:f>IF(AND(AND(99&lt;='Control Room'!$B$3,'Control Room'!$D$3="Ready"),7&lt;='Control Room'!$B$2),ROUND(MAX(0,'Process'!AI100*'Control Room'!$H$10*INDEX('Control Room'!$B$19:$H$19,1,WEEKDAY($A100,2))*(1+'Control Room'!$D$9)^98*'Process'!AJ100),2),"")</x:f>
      </x:c>
      <x:c r="J100" s="16" t="str">
        <x:f>IF(AND(AND(99&lt;='Control Room'!$B$3,'Control Room'!$D$3="Ready"),8&lt;='Control Room'!$B$2),ROUND(MAX(0,'Process'!AN100*'Control Room'!$H$11*INDEX('Control Room'!$B$19:$H$19,1,WEEKDAY($A100,2))*(1+'Control Room'!$D$9)^98*'Process'!AO100),2),"")</x:f>
      </x:c>
      <x:c r="K100" s="16" t="str">
        <x:f>IF(AND(AND(99&lt;='Control Room'!$B$3,'Control Room'!$D$3="Ready"),9&lt;='Control Room'!$B$2),ROUND(MAX(0,'Process'!AS100*'Control Room'!$H$12*INDEX('Control Room'!$B$19:$H$19,1,WEEKDAY($A100,2))*(1+'Control Room'!$D$9)^98*'Process'!AT100),2),"")</x:f>
      </x:c>
      <x:c r="L100" s="16" t="str">
        <x:f>IF(AND(AND(99&lt;='Control Room'!$B$3,'Control Room'!$D$3="Ready"),10&lt;='Control Room'!$B$2),ROUND(MAX(0,'Process'!AX100*'Control Room'!$H$13*INDEX('Control Room'!$B$19:$H$19,1,WEEKDAY($A100,2))*(1+'Control Room'!$D$9)^98*'Process'!AY100),2),"")</x:f>
      </x:c>
      <x:c r="M100" s="16" t="str">
        <x:f>IF(AND(AND(99&lt;='Control Room'!$B$3,'Control Room'!$D$3="Ready"),11&lt;='Control Room'!$B$2),ROUND(MAX(0,'Process'!BC100*'Control Room'!$H$14*INDEX('Control Room'!$B$19:$H$19,1,WEEKDAY($A100,2))*(1+'Control Room'!$D$9)^98*'Process'!BD100),2),"")</x:f>
      </x:c>
      <x:c r="N100" s="16" t="str">
        <x:f>IF(AND(AND(99&lt;='Control Room'!$B$3,'Control Room'!$D$3="Ready"),12&lt;='Control Room'!$B$2),ROUND(MAX(0,'Process'!BH100*'Control Room'!$H$15*INDEX('Control Room'!$B$19:$H$19,1,WEEKDAY($A100,2))*(1+'Control Room'!$D$9)^98*'Process'!BI100),2),"")</x:f>
      </x:c>
    </x:row>
    <x:row r="101" ht="21" customHeight="1">
      <x:c r="A101" s="15" t="n">
        <x:f>IF(AND(100&lt;='Control Room'!$B$3,'Control Room'!$D$3="Ready"),'Process'!A101,"")</x:f>
        <x:v>73090</x:v>
      </x:c>
      <x:c r="B101" s="16" t="n">
        <x:f>IF(A101="","",SUM(C101:N101))</x:f>
        <x:v>8555.25</x:v>
      </x:c>
      <x:c r="C101" s="16" t="n">
        <x:f>IF(AND(AND(100&lt;='Control Room'!$B$3,'Control Room'!$D$3="Ready"),1&lt;='Control Room'!$B$2),ROUND(MAX(0,'Process'!E101*'Control Room'!$H$4*INDEX('Control Room'!$B$19:$H$19,1,WEEKDAY($A101,2))*(1+'Control Room'!$D$9)^99*'Process'!F101),2),"")</x:f>
        <x:v>2057.22</x:v>
      </x:c>
      <x:c r="D101" s="16" t="n">
        <x:f>IF(AND(AND(100&lt;='Control Room'!$B$3,'Control Room'!$D$3="Ready"),2&lt;='Control Room'!$B$2),ROUND(MAX(0,'Process'!J101*'Control Room'!$H$5*INDEX('Control Room'!$B$19:$H$19,1,WEEKDAY($A101,2))*(1+'Control Room'!$D$9)^99*'Process'!K101),2),"")</x:f>
        <x:v>1922.24</x:v>
      </x:c>
      <x:c r="E101" s="16" t="n">
        <x:f>IF(AND(AND(100&lt;='Control Room'!$B$3,'Control Room'!$D$3="Ready"),3&lt;='Control Room'!$B$2),ROUND(MAX(0,'Process'!O101*'Control Room'!$H$6*INDEX('Control Room'!$B$19:$H$19,1,WEEKDAY($A101,2))*(1+'Control Room'!$D$9)^99*'Process'!P101),2),"")</x:f>
        <x:v>2840.61</x:v>
      </x:c>
      <x:c r="F101" s="16" t="n">
        <x:f>IF(AND(AND(100&lt;='Control Room'!$B$3,'Control Room'!$D$3="Ready"),4&lt;='Control Room'!$B$2),ROUND(MAX(0,'Process'!T101*'Control Room'!$H$7*INDEX('Control Room'!$B$19:$H$19,1,WEEKDAY($A101,2))*(1+'Control Room'!$D$9)^99*'Process'!U101),2),"")</x:f>
        <x:v>1735.18</x:v>
      </x:c>
      <x:c r="G101" s="16" t="str">
        <x:f>IF(AND(AND(100&lt;='Control Room'!$B$3,'Control Room'!$D$3="Ready"),5&lt;='Control Room'!$B$2),ROUND(MAX(0,'Process'!Y101*'Control Room'!$H$8*INDEX('Control Room'!$B$19:$H$19,1,WEEKDAY($A101,2))*(1+'Control Room'!$D$9)^99*'Process'!Z101),2),"")</x:f>
      </x:c>
      <x:c r="H101" s="16" t="str">
        <x:f>IF(AND(AND(100&lt;='Control Room'!$B$3,'Control Room'!$D$3="Ready"),6&lt;='Control Room'!$B$2),ROUND(MAX(0,'Process'!AD101*'Control Room'!$H$9*INDEX('Control Room'!$B$19:$H$19,1,WEEKDAY($A101,2))*(1+'Control Room'!$D$9)^99*'Process'!AE101),2),"")</x:f>
      </x:c>
      <x:c r="I101" s="16" t="str">
        <x:f>IF(AND(AND(100&lt;='Control Room'!$B$3,'Control Room'!$D$3="Ready"),7&lt;='Control Room'!$B$2),ROUND(MAX(0,'Process'!AI101*'Control Room'!$H$10*INDEX('Control Room'!$B$19:$H$19,1,WEEKDAY($A101,2))*(1+'Control Room'!$D$9)^99*'Process'!AJ101),2),"")</x:f>
      </x:c>
      <x:c r="J101" s="16" t="str">
        <x:f>IF(AND(AND(100&lt;='Control Room'!$B$3,'Control Room'!$D$3="Ready"),8&lt;='Control Room'!$B$2),ROUND(MAX(0,'Process'!AN101*'Control Room'!$H$11*INDEX('Control Room'!$B$19:$H$19,1,WEEKDAY($A101,2))*(1+'Control Room'!$D$9)^99*'Process'!AO101),2),"")</x:f>
      </x:c>
      <x:c r="K101" s="16" t="str">
        <x:f>IF(AND(AND(100&lt;='Control Room'!$B$3,'Control Room'!$D$3="Ready"),9&lt;='Control Room'!$B$2),ROUND(MAX(0,'Process'!AS101*'Control Room'!$H$12*INDEX('Control Room'!$B$19:$H$19,1,WEEKDAY($A101,2))*(1+'Control Room'!$D$9)^99*'Process'!AT101),2),"")</x:f>
      </x:c>
      <x:c r="L101" s="16" t="str">
        <x:f>IF(AND(AND(100&lt;='Control Room'!$B$3,'Control Room'!$D$3="Ready"),10&lt;='Control Room'!$B$2),ROUND(MAX(0,'Process'!AX101*'Control Room'!$H$13*INDEX('Control Room'!$B$19:$H$19,1,WEEKDAY($A101,2))*(1+'Control Room'!$D$9)^99*'Process'!AY101),2),"")</x:f>
      </x:c>
      <x:c r="M101" s="16" t="str">
        <x:f>IF(AND(AND(100&lt;='Control Room'!$B$3,'Control Room'!$D$3="Ready"),11&lt;='Control Room'!$B$2),ROUND(MAX(0,'Process'!BC101*'Control Room'!$H$14*INDEX('Control Room'!$B$19:$H$19,1,WEEKDAY($A101,2))*(1+'Control Room'!$D$9)^99*'Process'!BD101),2),"")</x:f>
      </x:c>
      <x:c r="N101" s="16" t="str">
        <x:f>IF(AND(AND(100&lt;='Control Room'!$B$3,'Control Room'!$D$3="Ready"),12&lt;='Control Room'!$B$2),ROUND(MAX(0,'Process'!BH101*'Control Room'!$H$15*INDEX('Control Room'!$B$19:$H$19,1,WEEKDAY($A101,2))*(1+'Control Room'!$D$9)^99*'Process'!BI101),2),"")</x:f>
      </x:c>
    </x:row>
    <x:row r="102" ht="21" customHeight="1">
      <x:c r="A102" s="15" t="n">
        <x:f>IF(AND(101&lt;='Control Room'!$B$3,'Control Room'!$D$3="Ready"),'Process'!A102,"")</x:f>
        <x:v>73091</x:v>
      </x:c>
      <x:c r="B102" s="16" t="n">
        <x:f>IF(A102="","",SUM(C102:N102))</x:f>
        <x:v>13994.01</x:v>
      </x:c>
      <x:c r="C102" s="16" t="n">
        <x:f>IF(AND(AND(101&lt;='Control Room'!$B$3,'Control Room'!$D$3="Ready"),1&lt;='Control Room'!$B$2),ROUND(MAX(0,'Process'!E102*'Control Room'!$H$4*INDEX('Control Room'!$B$19:$H$19,1,WEEKDAY($A102,2))*(1+'Control Room'!$D$9)^100*'Process'!F102),2),"")</x:f>
        <x:v>3651.22</x:v>
      </x:c>
      <x:c r="D102" s="16" t="n">
        <x:f>IF(AND(AND(101&lt;='Control Room'!$B$3,'Control Room'!$D$3="Ready"),2&lt;='Control Room'!$B$2),ROUND(MAX(0,'Process'!J102*'Control Room'!$H$5*INDEX('Control Room'!$B$19:$H$19,1,WEEKDAY($A102,2))*(1+'Control Room'!$D$9)^100*'Process'!K102),2),"")</x:f>
        <x:v>2985.45</x:v>
      </x:c>
      <x:c r="E102" s="16" t="n">
        <x:f>IF(AND(AND(101&lt;='Control Room'!$B$3,'Control Room'!$D$3="Ready"),3&lt;='Control Room'!$B$2),ROUND(MAX(0,'Process'!O102*'Control Room'!$H$6*INDEX('Control Room'!$B$19:$H$19,1,WEEKDAY($A102,2))*(1+'Control Room'!$D$9)^100*'Process'!P102),2),"")</x:f>
        <x:v>4418.03</x:v>
      </x:c>
      <x:c r="F102" s="16" t="n">
        <x:f>IF(AND(AND(101&lt;='Control Room'!$B$3,'Control Room'!$D$3="Ready"),4&lt;='Control Room'!$B$2),ROUND(MAX(0,'Process'!T102*'Control Room'!$H$7*INDEX('Control Room'!$B$19:$H$19,1,WEEKDAY($A102,2))*(1+'Control Room'!$D$9)^100*'Process'!U102),2),"")</x:f>
        <x:v>2939.31</x:v>
      </x:c>
      <x:c r="G102" s="16" t="str">
        <x:f>IF(AND(AND(101&lt;='Control Room'!$B$3,'Control Room'!$D$3="Ready"),5&lt;='Control Room'!$B$2),ROUND(MAX(0,'Process'!Y102*'Control Room'!$H$8*INDEX('Control Room'!$B$19:$H$19,1,WEEKDAY($A102,2))*(1+'Control Room'!$D$9)^100*'Process'!Z102),2),"")</x:f>
      </x:c>
      <x:c r="H102" s="16" t="str">
        <x:f>IF(AND(AND(101&lt;='Control Room'!$B$3,'Control Room'!$D$3="Ready"),6&lt;='Control Room'!$B$2),ROUND(MAX(0,'Process'!AD102*'Control Room'!$H$9*INDEX('Control Room'!$B$19:$H$19,1,WEEKDAY($A102,2))*(1+'Control Room'!$D$9)^100*'Process'!AE102),2),"")</x:f>
      </x:c>
      <x:c r="I102" s="16" t="str">
        <x:f>IF(AND(AND(101&lt;='Control Room'!$B$3,'Control Room'!$D$3="Ready"),7&lt;='Control Room'!$B$2),ROUND(MAX(0,'Process'!AI102*'Control Room'!$H$10*INDEX('Control Room'!$B$19:$H$19,1,WEEKDAY($A102,2))*(1+'Control Room'!$D$9)^100*'Process'!AJ102),2),"")</x:f>
      </x:c>
      <x:c r="J102" s="16" t="str">
        <x:f>IF(AND(AND(101&lt;='Control Room'!$B$3,'Control Room'!$D$3="Ready"),8&lt;='Control Room'!$B$2),ROUND(MAX(0,'Process'!AN102*'Control Room'!$H$11*INDEX('Control Room'!$B$19:$H$19,1,WEEKDAY($A102,2))*(1+'Control Room'!$D$9)^100*'Process'!AO102),2),"")</x:f>
      </x:c>
      <x:c r="K102" s="16" t="str">
        <x:f>IF(AND(AND(101&lt;='Control Room'!$B$3,'Control Room'!$D$3="Ready"),9&lt;='Control Room'!$B$2),ROUND(MAX(0,'Process'!AS102*'Control Room'!$H$12*INDEX('Control Room'!$B$19:$H$19,1,WEEKDAY($A102,2))*(1+'Control Room'!$D$9)^100*'Process'!AT102),2),"")</x:f>
      </x:c>
      <x:c r="L102" s="16" t="str">
        <x:f>IF(AND(AND(101&lt;='Control Room'!$B$3,'Control Room'!$D$3="Ready"),10&lt;='Control Room'!$B$2),ROUND(MAX(0,'Process'!AX102*'Control Room'!$H$13*INDEX('Control Room'!$B$19:$H$19,1,WEEKDAY($A102,2))*(1+'Control Room'!$D$9)^100*'Process'!AY102),2),"")</x:f>
      </x:c>
      <x:c r="M102" s="16" t="str">
        <x:f>IF(AND(AND(101&lt;='Control Room'!$B$3,'Control Room'!$D$3="Ready"),11&lt;='Control Room'!$B$2),ROUND(MAX(0,'Process'!BC102*'Control Room'!$H$14*INDEX('Control Room'!$B$19:$H$19,1,WEEKDAY($A102,2))*(1+'Control Room'!$D$9)^100*'Process'!BD102),2),"")</x:f>
      </x:c>
      <x:c r="N102" s="16" t="str">
        <x:f>IF(AND(AND(101&lt;='Control Room'!$B$3,'Control Room'!$D$3="Ready"),12&lt;='Control Room'!$B$2),ROUND(MAX(0,'Process'!BH102*'Control Room'!$H$15*INDEX('Control Room'!$B$19:$H$19,1,WEEKDAY($A102,2))*(1+'Control Room'!$D$9)^100*'Process'!BI102),2),"")</x:f>
      </x:c>
    </x:row>
    <x:row r="103" ht="21" customHeight="1">
      <x:c r="A103" s="15" t="n">
        <x:f>IF(AND(102&lt;='Control Room'!$B$3,'Control Room'!$D$3="Ready"),'Process'!A103,"")</x:f>
        <x:v>73092</x:v>
      </x:c>
      <x:c r="B103" s="16" t="n">
        <x:f>IF(A103="","",SUM(C103:N103))</x:f>
        <x:v>8623.289999999999</x:v>
      </x:c>
      <x:c r="C103" s="16" t="n">
        <x:f>IF(AND(AND(102&lt;='Control Room'!$B$3,'Control Room'!$D$3="Ready"),1&lt;='Control Room'!$B$2),ROUND(MAX(0,'Process'!E103*'Control Room'!$H$4*INDEX('Control Room'!$B$19:$H$19,1,WEEKDAY($A103,2))*(1+'Control Room'!$D$9)^101*'Process'!F103),2),"")</x:f>
        <x:v>2417.89</x:v>
      </x:c>
      <x:c r="D103" s="16" t="n">
        <x:f>IF(AND(AND(102&lt;='Control Room'!$B$3,'Control Room'!$D$3="Ready"),2&lt;='Control Room'!$B$2),ROUND(MAX(0,'Process'!J103*'Control Room'!$H$5*INDEX('Control Room'!$B$19:$H$19,1,WEEKDAY($A103,2))*(1+'Control Room'!$D$9)^101*'Process'!K103),2),"")</x:f>
        <x:v>1805.87</x:v>
      </x:c>
      <x:c r="E103" s="16" t="n">
        <x:f>IF(AND(AND(102&lt;='Control Room'!$B$3,'Control Room'!$D$3="Ready"),3&lt;='Control Room'!$B$2),ROUND(MAX(0,'Process'!O103*'Control Room'!$H$6*INDEX('Control Room'!$B$19:$H$19,1,WEEKDAY($A103,2))*(1+'Control Room'!$D$9)^101*'Process'!P103),2),"")</x:f>
        <x:v>2700.39</x:v>
      </x:c>
      <x:c r="F103" s="16" t="n">
        <x:f>IF(AND(AND(102&lt;='Control Room'!$B$3,'Control Room'!$D$3="Ready"),4&lt;='Control Room'!$B$2),ROUND(MAX(0,'Process'!T103*'Control Room'!$H$7*INDEX('Control Room'!$B$19:$H$19,1,WEEKDAY($A103,2))*(1+'Control Room'!$D$9)^101*'Process'!U103),2),"")</x:f>
        <x:v>1699.14</x:v>
      </x:c>
      <x:c r="G103" s="16" t="str">
        <x:f>IF(AND(AND(102&lt;='Control Room'!$B$3,'Control Room'!$D$3="Ready"),5&lt;='Control Room'!$B$2),ROUND(MAX(0,'Process'!Y103*'Control Room'!$H$8*INDEX('Control Room'!$B$19:$H$19,1,WEEKDAY($A103,2))*(1+'Control Room'!$D$9)^101*'Process'!Z103),2),"")</x:f>
      </x:c>
      <x:c r="H103" s="16" t="str">
        <x:f>IF(AND(AND(102&lt;='Control Room'!$B$3,'Control Room'!$D$3="Ready"),6&lt;='Control Room'!$B$2),ROUND(MAX(0,'Process'!AD103*'Control Room'!$H$9*INDEX('Control Room'!$B$19:$H$19,1,WEEKDAY($A103,2))*(1+'Control Room'!$D$9)^101*'Process'!AE103),2),"")</x:f>
      </x:c>
      <x:c r="I103" s="16" t="str">
        <x:f>IF(AND(AND(102&lt;='Control Room'!$B$3,'Control Room'!$D$3="Ready"),7&lt;='Control Room'!$B$2),ROUND(MAX(0,'Process'!AI103*'Control Room'!$H$10*INDEX('Control Room'!$B$19:$H$19,1,WEEKDAY($A103,2))*(1+'Control Room'!$D$9)^101*'Process'!AJ103),2),"")</x:f>
      </x:c>
      <x:c r="J103" s="16" t="str">
        <x:f>IF(AND(AND(102&lt;='Control Room'!$B$3,'Control Room'!$D$3="Ready"),8&lt;='Control Room'!$B$2),ROUND(MAX(0,'Process'!AN103*'Control Room'!$H$11*INDEX('Control Room'!$B$19:$H$19,1,WEEKDAY($A103,2))*(1+'Control Room'!$D$9)^101*'Process'!AO103),2),"")</x:f>
      </x:c>
      <x:c r="K103" s="16" t="str">
        <x:f>IF(AND(AND(102&lt;='Control Room'!$B$3,'Control Room'!$D$3="Ready"),9&lt;='Control Room'!$B$2),ROUND(MAX(0,'Process'!AS103*'Control Room'!$H$12*INDEX('Control Room'!$B$19:$H$19,1,WEEKDAY($A103,2))*(1+'Control Room'!$D$9)^101*'Process'!AT103),2),"")</x:f>
      </x:c>
      <x:c r="L103" s="16" t="str">
        <x:f>IF(AND(AND(102&lt;='Control Room'!$B$3,'Control Room'!$D$3="Ready"),10&lt;='Control Room'!$B$2),ROUND(MAX(0,'Process'!AX103*'Control Room'!$H$13*INDEX('Control Room'!$B$19:$H$19,1,WEEKDAY($A103,2))*(1+'Control Room'!$D$9)^101*'Process'!AY103),2),"")</x:f>
      </x:c>
      <x:c r="M103" s="16" t="str">
        <x:f>IF(AND(AND(102&lt;='Control Room'!$B$3,'Control Room'!$D$3="Ready"),11&lt;='Control Room'!$B$2),ROUND(MAX(0,'Process'!BC103*'Control Room'!$H$14*INDEX('Control Room'!$B$19:$H$19,1,WEEKDAY($A103,2))*(1+'Control Room'!$D$9)^101*'Process'!BD103),2),"")</x:f>
      </x:c>
      <x:c r="N103" s="16" t="str">
        <x:f>IF(AND(AND(102&lt;='Control Room'!$B$3,'Control Room'!$D$3="Ready"),12&lt;='Control Room'!$B$2),ROUND(MAX(0,'Process'!BH103*'Control Room'!$H$15*INDEX('Control Room'!$B$19:$H$19,1,WEEKDAY($A103,2))*(1+'Control Room'!$D$9)^101*'Process'!BI103),2),"")</x:f>
      </x:c>
    </x:row>
    <x:row r="104" ht="21" customHeight="1">
      <x:c r="A104" s="15" t="n">
        <x:f>IF(AND(103&lt;='Control Room'!$B$3,'Control Room'!$D$3="Ready"),'Process'!A104,"")</x:f>
        <x:v>73093</x:v>
      </x:c>
      <x:c r="B104" s="16" t="n">
        <x:f>IF(A104="","",SUM(C104:N104))</x:f>
        <x:v>4737.4800000000005</x:v>
      </x:c>
      <x:c r="C104" s="16" t="n">
        <x:f>IF(AND(AND(103&lt;='Control Room'!$B$3,'Control Room'!$D$3="Ready"),1&lt;='Control Room'!$B$2),ROUND(MAX(0,'Process'!E104*'Control Room'!$H$4*INDEX('Control Room'!$B$19:$H$19,1,WEEKDAY($A104,2))*(1+'Control Room'!$D$9)^102*'Process'!F104),2),"")</x:f>
        <x:v>1425.48</x:v>
      </x:c>
      <x:c r="D104" s="16" t="n">
        <x:f>IF(AND(AND(103&lt;='Control Room'!$B$3,'Control Room'!$D$3="Ready"),2&lt;='Control Room'!$B$2),ROUND(MAX(0,'Process'!J104*'Control Room'!$H$5*INDEX('Control Room'!$B$19:$H$19,1,WEEKDAY($A104,2))*(1+'Control Room'!$D$9)^102*'Process'!K104),2),"")</x:f>
        <x:v>1008.27</x:v>
      </x:c>
      <x:c r="E104" s="16" t="n">
        <x:f>IF(AND(AND(103&lt;='Control Room'!$B$3,'Control Room'!$D$3="Ready"),3&lt;='Control Room'!$B$2),ROUND(MAX(0,'Process'!O104*'Control Room'!$H$6*INDEX('Control Room'!$B$19:$H$19,1,WEEKDAY($A104,2))*(1+'Control Room'!$D$9)^102*'Process'!P104),2),"")</x:f>
        <x:v>1423.39</x:v>
      </x:c>
      <x:c r="F104" s="16" t="n">
        <x:f>IF(AND(AND(103&lt;='Control Room'!$B$3,'Control Room'!$D$3="Ready"),4&lt;='Control Room'!$B$2),ROUND(MAX(0,'Process'!T104*'Control Room'!$H$7*INDEX('Control Room'!$B$19:$H$19,1,WEEKDAY($A104,2))*(1+'Control Room'!$D$9)^102*'Process'!U104),2),"")</x:f>
        <x:v>880.34</x:v>
      </x:c>
      <x:c r="G104" s="16" t="str">
        <x:f>IF(AND(AND(103&lt;='Control Room'!$B$3,'Control Room'!$D$3="Ready"),5&lt;='Control Room'!$B$2),ROUND(MAX(0,'Process'!Y104*'Control Room'!$H$8*INDEX('Control Room'!$B$19:$H$19,1,WEEKDAY($A104,2))*(1+'Control Room'!$D$9)^102*'Process'!Z104),2),"")</x:f>
      </x:c>
      <x:c r="H104" s="16" t="str">
        <x:f>IF(AND(AND(103&lt;='Control Room'!$B$3,'Control Room'!$D$3="Ready"),6&lt;='Control Room'!$B$2),ROUND(MAX(0,'Process'!AD104*'Control Room'!$H$9*INDEX('Control Room'!$B$19:$H$19,1,WEEKDAY($A104,2))*(1+'Control Room'!$D$9)^102*'Process'!AE104),2),"")</x:f>
      </x:c>
      <x:c r="I104" s="16" t="str">
        <x:f>IF(AND(AND(103&lt;='Control Room'!$B$3,'Control Room'!$D$3="Ready"),7&lt;='Control Room'!$B$2),ROUND(MAX(0,'Process'!AI104*'Control Room'!$H$10*INDEX('Control Room'!$B$19:$H$19,1,WEEKDAY($A104,2))*(1+'Control Room'!$D$9)^102*'Process'!AJ104),2),"")</x:f>
      </x:c>
      <x:c r="J104" s="16" t="str">
        <x:f>IF(AND(AND(103&lt;='Control Room'!$B$3,'Control Room'!$D$3="Ready"),8&lt;='Control Room'!$B$2),ROUND(MAX(0,'Process'!AN104*'Control Room'!$H$11*INDEX('Control Room'!$B$19:$H$19,1,WEEKDAY($A104,2))*(1+'Control Room'!$D$9)^102*'Process'!AO104),2),"")</x:f>
      </x:c>
      <x:c r="K104" s="16" t="str">
        <x:f>IF(AND(AND(103&lt;='Control Room'!$B$3,'Control Room'!$D$3="Ready"),9&lt;='Control Room'!$B$2),ROUND(MAX(0,'Process'!AS104*'Control Room'!$H$12*INDEX('Control Room'!$B$19:$H$19,1,WEEKDAY($A104,2))*(1+'Control Room'!$D$9)^102*'Process'!AT104),2),"")</x:f>
      </x:c>
      <x:c r="L104" s="16" t="str">
        <x:f>IF(AND(AND(103&lt;='Control Room'!$B$3,'Control Room'!$D$3="Ready"),10&lt;='Control Room'!$B$2),ROUND(MAX(0,'Process'!AX104*'Control Room'!$H$13*INDEX('Control Room'!$B$19:$H$19,1,WEEKDAY($A104,2))*(1+'Control Room'!$D$9)^102*'Process'!AY104),2),"")</x:f>
      </x:c>
      <x:c r="M104" s="16" t="str">
        <x:f>IF(AND(AND(103&lt;='Control Room'!$B$3,'Control Room'!$D$3="Ready"),11&lt;='Control Room'!$B$2),ROUND(MAX(0,'Process'!BC104*'Control Room'!$H$14*INDEX('Control Room'!$B$19:$H$19,1,WEEKDAY($A104,2))*(1+'Control Room'!$D$9)^102*'Process'!BD104),2),"")</x:f>
      </x:c>
      <x:c r="N104" s="16" t="str">
        <x:f>IF(AND(AND(103&lt;='Control Room'!$B$3,'Control Room'!$D$3="Ready"),12&lt;='Control Room'!$B$2),ROUND(MAX(0,'Process'!BH104*'Control Room'!$H$15*INDEX('Control Room'!$B$19:$H$19,1,WEEKDAY($A104,2))*(1+'Control Room'!$D$9)^102*'Process'!BI104),2),"")</x:f>
      </x:c>
    </x:row>
    <x:row r="105" ht="21" customHeight="1">
      <x:c r="A105" s="15" t="n">
        <x:f>IF(AND(104&lt;='Control Room'!$B$3,'Control Room'!$D$3="Ready"),'Process'!A105,"")</x:f>
        <x:v>73094</x:v>
      </x:c>
      <x:c r="B105" s="16" t="n">
        <x:f>IF(A105="","",SUM(C105:N105))</x:f>
        <x:v>3866.6</x:v>
      </x:c>
      <x:c r="C105" s="16" t="n">
        <x:f>IF(AND(AND(104&lt;='Control Room'!$B$3,'Control Room'!$D$3="Ready"),1&lt;='Control Room'!$B$2),ROUND(MAX(0,'Process'!E105*'Control Room'!$H$4*INDEX('Control Room'!$B$19:$H$19,1,WEEKDAY($A105,2))*(1+'Control Room'!$D$9)^103*'Process'!F105),2),"")</x:f>
        <x:v>1164.37</x:v>
      </x:c>
      <x:c r="D105" s="16" t="n">
        <x:f>IF(AND(AND(104&lt;='Control Room'!$B$3,'Control Room'!$D$3="Ready"),2&lt;='Control Room'!$B$2),ROUND(MAX(0,'Process'!J105*'Control Room'!$H$5*INDEX('Control Room'!$B$19:$H$19,1,WEEKDAY($A105,2))*(1+'Control Room'!$D$9)^103*'Process'!K105),2),"")</x:f>
        <x:v>859.55</x:v>
      </x:c>
      <x:c r="E105" s="16" t="n">
        <x:f>IF(AND(AND(104&lt;='Control Room'!$B$3,'Control Room'!$D$3="Ready"),3&lt;='Control Room'!$B$2),ROUND(MAX(0,'Process'!O105*'Control Room'!$H$6*INDEX('Control Room'!$B$19:$H$19,1,WEEKDAY($A105,2))*(1+'Control Room'!$D$9)^103*'Process'!P105),2),"")</x:f>
        <x:v>1158.58</x:v>
      </x:c>
      <x:c r="F105" s="16" t="n">
        <x:f>IF(AND(AND(104&lt;='Control Room'!$B$3,'Control Room'!$D$3="Ready"),4&lt;='Control Room'!$B$2),ROUND(MAX(0,'Process'!T105*'Control Room'!$H$7*INDEX('Control Room'!$B$19:$H$19,1,WEEKDAY($A105,2))*(1+'Control Room'!$D$9)^103*'Process'!U105),2),"")</x:f>
        <x:v>684.1</x:v>
      </x:c>
      <x:c r="G105" s="16" t="str">
        <x:f>IF(AND(AND(104&lt;='Control Room'!$B$3,'Control Room'!$D$3="Ready"),5&lt;='Control Room'!$B$2),ROUND(MAX(0,'Process'!Y105*'Control Room'!$H$8*INDEX('Control Room'!$B$19:$H$19,1,WEEKDAY($A105,2))*(1+'Control Room'!$D$9)^103*'Process'!Z105),2),"")</x:f>
      </x:c>
      <x:c r="H105" s="16" t="str">
        <x:f>IF(AND(AND(104&lt;='Control Room'!$B$3,'Control Room'!$D$3="Ready"),6&lt;='Control Room'!$B$2),ROUND(MAX(0,'Process'!AD105*'Control Room'!$H$9*INDEX('Control Room'!$B$19:$H$19,1,WEEKDAY($A105,2))*(1+'Control Room'!$D$9)^103*'Process'!AE105),2),"")</x:f>
      </x:c>
      <x:c r="I105" s="16" t="str">
        <x:f>IF(AND(AND(104&lt;='Control Room'!$B$3,'Control Room'!$D$3="Ready"),7&lt;='Control Room'!$B$2),ROUND(MAX(0,'Process'!AI105*'Control Room'!$H$10*INDEX('Control Room'!$B$19:$H$19,1,WEEKDAY($A105,2))*(1+'Control Room'!$D$9)^103*'Process'!AJ105),2),"")</x:f>
      </x:c>
      <x:c r="J105" s="16" t="str">
        <x:f>IF(AND(AND(104&lt;='Control Room'!$B$3,'Control Room'!$D$3="Ready"),8&lt;='Control Room'!$B$2),ROUND(MAX(0,'Process'!AN105*'Control Room'!$H$11*INDEX('Control Room'!$B$19:$H$19,1,WEEKDAY($A105,2))*(1+'Control Room'!$D$9)^103*'Process'!AO105),2),"")</x:f>
      </x:c>
      <x:c r="K105" s="16" t="str">
        <x:f>IF(AND(AND(104&lt;='Control Room'!$B$3,'Control Room'!$D$3="Ready"),9&lt;='Control Room'!$B$2),ROUND(MAX(0,'Process'!AS105*'Control Room'!$H$12*INDEX('Control Room'!$B$19:$H$19,1,WEEKDAY($A105,2))*(1+'Control Room'!$D$9)^103*'Process'!AT105),2),"")</x:f>
      </x:c>
      <x:c r="L105" s="16" t="str">
        <x:f>IF(AND(AND(104&lt;='Control Room'!$B$3,'Control Room'!$D$3="Ready"),10&lt;='Control Room'!$B$2),ROUND(MAX(0,'Process'!AX105*'Control Room'!$H$13*INDEX('Control Room'!$B$19:$H$19,1,WEEKDAY($A105,2))*(1+'Control Room'!$D$9)^103*'Process'!AY105),2),"")</x:f>
      </x:c>
      <x:c r="M105" s="16" t="str">
        <x:f>IF(AND(AND(104&lt;='Control Room'!$B$3,'Control Room'!$D$3="Ready"),11&lt;='Control Room'!$B$2),ROUND(MAX(0,'Process'!BC105*'Control Room'!$H$14*INDEX('Control Room'!$B$19:$H$19,1,WEEKDAY($A105,2))*(1+'Control Room'!$D$9)^103*'Process'!BD105),2),"")</x:f>
      </x:c>
      <x:c r="N105" s="16" t="str">
        <x:f>IF(AND(AND(104&lt;='Control Room'!$B$3,'Control Room'!$D$3="Ready"),12&lt;='Control Room'!$B$2),ROUND(MAX(0,'Process'!BH105*'Control Room'!$H$15*INDEX('Control Room'!$B$19:$H$19,1,WEEKDAY($A105,2))*(1+'Control Room'!$D$9)^103*'Process'!BI105),2),"")</x:f>
      </x:c>
    </x:row>
    <x:row r="106" ht="21" customHeight="1">
      <x:c r="A106" s="15" t="n">
        <x:f>IF(AND(105&lt;='Control Room'!$B$3,'Control Room'!$D$3="Ready"),'Process'!A106,"")</x:f>
        <x:v>73095</x:v>
      </x:c>
      <x:c r="B106" s="16" t="n">
        <x:f>IF(A106="","",SUM(C106:N106))</x:f>
        <x:v>2821.3</x:v>
      </x:c>
      <x:c r="C106" s="16" t="n">
        <x:f>IF(AND(AND(105&lt;='Control Room'!$B$3,'Control Room'!$D$3="Ready"),1&lt;='Control Room'!$B$2),ROUND(MAX(0,'Process'!E106*'Control Room'!$H$4*INDEX('Control Room'!$B$19:$H$19,1,WEEKDAY($A106,2))*(1+'Control Room'!$D$9)^104*'Process'!F106),2),"")</x:f>
        <x:v>838.66</x:v>
      </x:c>
      <x:c r="D106" s="16" t="n">
        <x:f>IF(AND(AND(105&lt;='Control Room'!$B$3,'Control Room'!$D$3="Ready"),2&lt;='Control Room'!$B$2),ROUND(MAX(0,'Process'!J106*'Control Room'!$H$5*INDEX('Control Room'!$B$19:$H$19,1,WEEKDAY($A106,2))*(1+'Control Room'!$D$9)^104*'Process'!K106),2),"")</x:f>
        <x:v>665.16</x:v>
      </x:c>
      <x:c r="E106" s="16" t="n">
        <x:f>IF(AND(AND(105&lt;='Control Room'!$B$3,'Control Room'!$D$3="Ready"),3&lt;='Control Room'!$B$2),ROUND(MAX(0,'Process'!O106*'Control Room'!$H$6*INDEX('Control Room'!$B$19:$H$19,1,WEEKDAY($A106,2))*(1+'Control Room'!$D$9)^104*'Process'!P106),2),"")</x:f>
        <x:v>852.97</x:v>
      </x:c>
      <x:c r="F106" s="16" t="n">
        <x:f>IF(AND(AND(105&lt;='Control Room'!$B$3,'Control Room'!$D$3="Ready"),4&lt;='Control Room'!$B$2),ROUND(MAX(0,'Process'!T106*'Control Room'!$H$7*INDEX('Control Room'!$B$19:$H$19,1,WEEKDAY($A106,2))*(1+'Control Room'!$D$9)^104*'Process'!U106),2),"")</x:f>
        <x:v>464.51</x:v>
      </x:c>
      <x:c r="G106" s="16" t="str">
        <x:f>IF(AND(AND(105&lt;='Control Room'!$B$3,'Control Room'!$D$3="Ready"),5&lt;='Control Room'!$B$2),ROUND(MAX(0,'Process'!Y106*'Control Room'!$H$8*INDEX('Control Room'!$B$19:$H$19,1,WEEKDAY($A106,2))*(1+'Control Room'!$D$9)^104*'Process'!Z106),2),"")</x:f>
      </x:c>
      <x:c r="H106" s="16" t="str">
        <x:f>IF(AND(AND(105&lt;='Control Room'!$B$3,'Control Room'!$D$3="Ready"),6&lt;='Control Room'!$B$2),ROUND(MAX(0,'Process'!AD106*'Control Room'!$H$9*INDEX('Control Room'!$B$19:$H$19,1,WEEKDAY($A106,2))*(1+'Control Room'!$D$9)^104*'Process'!AE106),2),"")</x:f>
      </x:c>
      <x:c r="I106" s="16" t="str">
        <x:f>IF(AND(AND(105&lt;='Control Room'!$B$3,'Control Room'!$D$3="Ready"),7&lt;='Control Room'!$B$2),ROUND(MAX(0,'Process'!AI106*'Control Room'!$H$10*INDEX('Control Room'!$B$19:$H$19,1,WEEKDAY($A106,2))*(1+'Control Room'!$D$9)^104*'Process'!AJ106),2),"")</x:f>
      </x:c>
      <x:c r="J106" s="16" t="str">
        <x:f>IF(AND(AND(105&lt;='Control Room'!$B$3,'Control Room'!$D$3="Ready"),8&lt;='Control Room'!$B$2),ROUND(MAX(0,'Process'!AN106*'Control Room'!$H$11*INDEX('Control Room'!$B$19:$H$19,1,WEEKDAY($A106,2))*(1+'Control Room'!$D$9)^104*'Process'!AO106),2),"")</x:f>
      </x:c>
      <x:c r="K106" s="16" t="str">
        <x:f>IF(AND(AND(105&lt;='Control Room'!$B$3,'Control Room'!$D$3="Ready"),9&lt;='Control Room'!$B$2),ROUND(MAX(0,'Process'!AS106*'Control Room'!$H$12*INDEX('Control Room'!$B$19:$H$19,1,WEEKDAY($A106,2))*(1+'Control Room'!$D$9)^104*'Process'!AT106),2),"")</x:f>
      </x:c>
      <x:c r="L106" s="16" t="str">
        <x:f>IF(AND(AND(105&lt;='Control Room'!$B$3,'Control Room'!$D$3="Ready"),10&lt;='Control Room'!$B$2),ROUND(MAX(0,'Process'!AX106*'Control Room'!$H$13*INDEX('Control Room'!$B$19:$H$19,1,WEEKDAY($A106,2))*(1+'Control Room'!$D$9)^104*'Process'!AY106),2),"")</x:f>
      </x:c>
      <x:c r="M106" s="16" t="str">
        <x:f>IF(AND(AND(105&lt;='Control Room'!$B$3,'Control Room'!$D$3="Ready"),11&lt;='Control Room'!$B$2),ROUND(MAX(0,'Process'!BC106*'Control Room'!$H$14*INDEX('Control Room'!$B$19:$H$19,1,WEEKDAY($A106,2))*(1+'Control Room'!$D$9)^104*'Process'!BD106),2),"")</x:f>
      </x:c>
      <x:c r="N106" s="16" t="str">
        <x:f>IF(AND(AND(105&lt;='Control Room'!$B$3,'Control Room'!$D$3="Ready"),12&lt;='Control Room'!$B$2),ROUND(MAX(0,'Process'!BH106*'Control Room'!$H$15*INDEX('Control Room'!$B$19:$H$19,1,WEEKDAY($A106,2))*(1+'Control Room'!$D$9)^104*'Process'!BI106),2),"")</x:f>
      </x:c>
    </x:row>
    <x:row r="107" ht="21" customHeight="1">
      <x:c r="A107" s="15" t="n">
        <x:f>IF(AND(106&lt;='Control Room'!$B$3,'Control Room'!$D$3="Ready"),'Process'!A107,"")</x:f>
        <x:v>73096</x:v>
      </x:c>
      <x:c r="B107" s="16" t="n">
        <x:f>IF(A107="","",SUM(C107:N107))</x:f>
        <x:v>4380.39</x:v>
      </x:c>
      <x:c r="C107" s="16" t="n">
        <x:f>IF(AND(AND(106&lt;='Control Room'!$B$3,'Control Room'!$D$3="Ready"),1&lt;='Control Room'!$B$2),ROUND(MAX(0,'Process'!E107*'Control Room'!$H$4*INDEX('Control Room'!$B$19:$H$19,1,WEEKDAY($A107,2))*(1+'Control Room'!$D$9)^105*'Process'!F107),2),"")</x:f>
        <x:v>1300.24</x:v>
      </x:c>
      <x:c r="D107" s="16" t="n">
        <x:f>IF(AND(AND(106&lt;='Control Room'!$B$3,'Control Room'!$D$3="Ready"),2&lt;='Control Room'!$B$2),ROUND(MAX(0,'Process'!J107*'Control Room'!$H$5*INDEX('Control Room'!$B$19:$H$19,1,WEEKDAY($A107,2))*(1+'Control Room'!$D$9)^105*'Process'!K107),2),"")</x:f>
        <x:v>972.56</x:v>
      </x:c>
      <x:c r="E107" s="16" t="n">
        <x:f>IF(AND(AND(106&lt;='Control Room'!$B$3,'Control Room'!$D$3="Ready"),3&lt;='Control Room'!$B$2),ROUND(MAX(0,'Process'!O107*'Control Room'!$H$6*INDEX('Control Room'!$B$19:$H$19,1,WEEKDAY($A107,2))*(1+'Control Room'!$D$9)^105*'Process'!P107),2),"")</x:f>
        <x:v>1306.87</x:v>
      </x:c>
      <x:c r="F107" s="16" t="n">
        <x:f>IF(AND(AND(106&lt;='Control Room'!$B$3,'Control Room'!$D$3="Ready"),4&lt;='Control Room'!$B$2),ROUND(MAX(0,'Process'!T107*'Control Room'!$H$7*INDEX('Control Room'!$B$19:$H$19,1,WEEKDAY($A107,2))*(1+'Control Room'!$D$9)^105*'Process'!U107),2),"")</x:f>
        <x:v>800.72</x:v>
      </x:c>
      <x:c r="G107" s="16" t="str">
        <x:f>IF(AND(AND(106&lt;='Control Room'!$B$3,'Control Room'!$D$3="Ready"),5&lt;='Control Room'!$B$2),ROUND(MAX(0,'Process'!Y107*'Control Room'!$H$8*INDEX('Control Room'!$B$19:$H$19,1,WEEKDAY($A107,2))*(1+'Control Room'!$D$9)^105*'Process'!Z107),2),"")</x:f>
      </x:c>
      <x:c r="H107" s="16" t="str">
        <x:f>IF(AND(AND(106&lt;='Control Room'!$B$3,'Control Room'!$D$3="Ready"),6&lt;='Control Room'!$B$2),ROUND(MAX(0,'Process'!AD107*'Control Room'!$H$9*INDEX('Control Room'!$B$19:$H$19,1,WEEKDAY($A107,2))*(1+'Control Room'!$D$9)^105*'Process'!AE107),2),"")</x:f>
      </x:c>
      <x:c r="I107" s="16" t="str">
        <x:f>IF(AND(AND(106&lt;='Control Room'!$B$3,'Control Room'!$D$3="Ready"),7&lt;='Control Room'!$B$2),ROUND(MAX(0,'Process'!AI107*'Control Room'!$H$10*INDEX('Control Room'!$B$19:$H$19,1,WEEKDAY($A107,2))*(1+'Control Room'!$D$9)^105*'Process'!AJ107),2),"")</x:f>
      </x:c>
      <x:c r="J107" s="16" t="str">
        <x:f>IF(AND(AND(106&lt;='Control Room'!$B$3,'Control Room'!$D$3="Ready"),8&lt;='Control Room'!$B$2),ROUND(MAX(0,'Process'!AN107*'Control Room'!$H$11*INDEX('Control Room'!$B$19:$H$19,1,WEEKDAY($A107,2))*(1+'Control Room'!$D$9)^105*'Process'!AO107),2),"")</x:f>
      </x:c>
      <x:c r="K107" s="16" t="str">
        <x:f>IF(AND(AND(106&lt;='Control Room'!$B$3,'Control Room'!$D$3="Ready"),9&lt;='Control Room'!$B$2),ROUND(MAX(0,'Process'!AS107*'Control Room'!$H$12*INDEX('Control Room'!$B$19:$H$19,1,WEEKDAY($A107,2))*(1+'Control Room'!$D$9)^105*'Process'!AT107),2),"")</x:f>
      </x:c>
      <x:c r="L107" s="16" t="str">
        <x:f>IF(AND(AND(106&lt;='Control Room'!$B$3,'Control Room'!$D$3="Ready"),10&lt;='Control Room'!$B$2),ROUND(MAX(0,'Process'!AX107*'Control Room'!$H$13*INDEX('Control Room'!$B$19:$H$19,1,WEEKDAY($A107,2))*(1+'Control Room'!$D$9)^105*'Process'!AY107),2),"")</x:f>
      </x:c>
      <x:c r="M107" s="16" t="str">
        <x:f>IF(AND(AND(106&lt;='Control Room'!$B$3,'Control Room'!$D$3="Ready"),11&lt;='Control Room'!$B$2),ROUND(MAX(0,'Process'!BC107*'Control Room'!$H$14*INDEX('Control Room'!$B$19:$H$19,1,WEEKDAY($A107,2))*(1+'Control Room'!$D$9)^105*'Process'!BD107),2),"")</x:f>
      </x:c>
      <x:c r="N107" s="16" t="str">
        <x:f>IF(AND(AND(106&lt;='Control Room'!$B$3,'Control Room'!$D$3="Ready"),12&lt;='Control Room'!$B$2),ROUND(MAX(0,'Process'!BH107*'Control Room'!$H$15*INDEX('Control Room'!$B$19:$H$19,1,WEEKDAY($A107,2))*(1+'Control Room'!$D$9)^105*'Process'!BI107),2),"")</x:f>
      </x:c>
    </x:row>
    <x:row r="108" ht="21" customHeight="1">
      <x:c r="A108" s="15" t="n">
        <x:f>IF(AND(107&lt;='Control Room'!$B$3,'Control Room'!$D$3="Ready"),'Process'!A108,"")</x:f>
        <x:v>73097</x:v>
      </x:c>
      <x:c r="B108" s="16" t="n">
        <x:f>IF(A108="","",SUM(C108:N108))</x:f>
        <x:v>4573.07</x:v>
      </x:c>
      <x:c r="C108" s="16" t="n">
        <x:f>IF(AND(AND(107&lt;='Control Room'!$B$3,'Control Room'!$D$3="Ready"),1&lt;='Control Room'!$B$2),ROUND(MAX(0,'Process'!E108*'Control Room'!$H$4*INDEX('Control Room'!$B$19:$H$19,1,WEEKDAY($A108,2))*(1+'Control Room'!$D$9)^106*'Process'!F108),2),"")</x:f>
        <x:v>1250.42</x:v>
      </x:c>
      <x:c r="D108" s="16" t="n">
        <x:f>IF(AND(AND(107&lt;='Control Room'!$B$3,'Control Room'!$D$3="Ready"),2&lt;='Control Room'!$B$2),ROUND(MAX(0,'Process'!J108*'Control Room'!$H$5*INDEX('Control Room'!$B$19:$H$19,1,WEEKDAY($A108,2))*(1+'Control Room'!$D$9)^106*'Process'!K108),2),"")</x:f>
        <x:v>1096.13</x:v>
      </x:c>
      <x:c r="E108" s="16" t="n">
        <x:f>IF(AND(AND(107&lt;='Control Room'!$B$3,'Control Room'!$D$3="Ready"),3&lt;='Control Room'!$B$2),ROUND(MAX(0,'Process'!O108*'Control Room'!$H$6*INDEX('Control Room'!$B$19:$H$19,1,WEEKDAY($A108,2))*(1+'Control Room'!$D$9)^106*'Process'!P108),2),"")</x:f>
        <x:v>1419.61</x:v>
      </x:c>
      <x:c r="F108" s="16" t="n">
        <x:f>IF(AND(AND(107&lt;='Control Room'!$B$3,'Control Room'!$D$3="Ready"),4&lt;='Control Room'!$B$2),ROUND(MAX(0,'Process'!T108*'Control Room'!$H$7*INDEX('Control Room'!$B$19:$H$19,1,WEEKDAY($A108,2))*(1+'Control Room'!$D$9)^106*'Process'!U108),2),"")</x:f>
        <x:v>806.91</x:v>
      </x:c>
      <x:c r="G108" s="16" t="str">
        <x:f>IF(AND(AND(107&lt;='Control Room'!$B$3,'Control Room'!$D$3="Ready"),5&lt;='Control Room'!$B$2),ROUND(MAX(0,'Process'!Y108*'Control Room'!$H$8*INDEX('Control Room'!$B$19:$H$19,1,WEEKDAY($A108,2))*(1+'Control Room'!$D$9)^106*'Process'!Z108),2),"")</x:f>
      </x:c>
      <x:c r="H108" s="16" t="str">
        <x:f>IF(AND(AND(107&lt;='Control Room'!$B$3,'Control Room'!$D$3="Ready"),6&lt;='Control Room'!$B$2),ROUND(MAX(0,'Process'!AD108*'Control Room'!$H$9*INDEX('Control Room'!$B$19:$H$19,1,WEEKDAY($A108,2))*(1+'Control Room'!$D$9)^106*'Process'!AE108),2),"")</x:f>
      </x:c>
      <x:c r="I108" s="16" t="str">
        <x:f>IF(AND(AND(107&lt;='Control Room'!$B$3,'Control Room'!$D$3="Ready"),7&lt;='Control Room'!$B$2),ROUND(MAX(0,'Process'!AI108*'Control Room'!$H$10*INDEX('Control Room'!$B$19:$H$19,1,WEEKDAY($A108,2))*(1+'Control Room'!$D$9)^106*'Process'!AJ108),2),"")</x:f>
      </x:c>
      <x:c r="J108" s="16" t="str">
        <x:f>IF(AND(AND(107&lt;='Control Room'!$B$3,'Control Room'!$D$3="Ready"),8&lt;='Control Room'!$B$2),ROUND(MAX(0,'Process'!AN108*'Control Room'!$H$11*INDEX('Control Room'!$B$19:$H$19,1,WEEKDAY($A108,2))*(1+'Control Room'!$D$9)^106*'Process'!AO108),2),"")</x:f>
      </x:c>
      <x:c r="K108" s="16" t="str">
        <x:f>IF(AND(AND(107&lt;='Control Room'!$B$3,'Control Room'!$D$3="Ready"),9&lt;='Control Room'!$B$2),ROUND(MAX(0,'Process'!AS108*'Control Room'!$H$12*INDEX('Control Room'!$B$19:$H$19,1,WEEKDAY($A108,2))*(1+'Control Room'!$D$9)^106*'Process'!AT108),2),"")</x:f>
      </x:c>
      <x:c r="L108" s="16" t="str">
        <x:f>IF(AND(AND(107&lt;='Control Room'!$B$3,'Control Room'!$D$3="Ready"),10&lt;='Control Room'!$B$2),ROUND(MAX(0,'Process'!AX108*'Control Room'!$H$13*INDEX('Control Room'!$B$19:$H$19,1,WEEKDAY($A108,2))*(1+'Control Room'!$D$9)^106*'Process'!AY108),2),"")</x:f>
      </x:c>
      <x:c r="M108" s="16" t="str">
        <x:f>IF(AND(AND(107&lt;='Control Room'!$B$3,'Control Room'!$D$3="Ready"),11&lt;='Control Room'!$B$2),ROUND(MAX(0,'Process'!BC108*'Control Room'!$H$14*INDEX('Control Room'!$B$19:$H$19,1,WEEKDAY($A108,2))*(1+'Control Room'!$D$9)^106*'Process'!BD108),2),"")</x:f>
      </x:c>
      <x:c r="N108" s="16" t="str">
        <x:f>IF(AND(AND(107&lt;='Control Room'!$B$3,'Control Room'!$D$3="Ready"),12&lt;='Control Room'!$B$2),ROUND(MAX(0,'Process'!BH108*'Control Room'!$H$15*INDEX('Control Room'!$B$19:$H$19,1,WEEKDAY($A108,2))*(1+'Control Room'!$D$9)^106*'Process'!BI108),2),"")</x:f>
      </x:c>
    </x:row>
    <x:row r="109" ht="21" customHeight="1">
      <x:c r="A109" s="15" t="n">
        <x:f>IF(AND(108&lt;='Control Room'!$B$3,'Control Room'!$D$3="Ready"),'Process'!A109,"")</x:f>
        <x:v>73098</x:v>
      </x:c>
      <x:c r="B109" s="16" t="n">
        <x:f>IF(A109="","",SUM(C109:N109))</x:f>
        <x:v>4448.63</x:v>
      </x:c>
      <x:c r="C109" s="16" t="n">
        <x:f>IF(AND(AND(108&lt;='Control Room'!$B$3,'Control Room'!$D$3="Ready"),1&lt;='Control Room'!$B$2),ROUND(MAX(0,'Process'!E109*'Control Room'!$H$4*INDEX('Control Room'!$B$19:$H$19,1,WEEKDAY($A109,2))*(1+'Control Room'!$D$9)^107*'Process'!F109),2),"")</x:f>
        <x:v>1173.84</x:v>
      </x:c>
      <x:c r="D109" s="16" t="n">
        <x:f>IF(AND(AND(108&lt;='Control Room'!$B$3,'Control Room'!$D$3="Ready"),2&lt;='Control Room'!$B$2),ROUND(MAX(0,'Process'!J109*'Control Room'!$H$5*INDEX('Control Room'!$B$19:$H$19,1,WEEKDAY($A109,2))*(1+'Control Room'!$D$9)^107*'Process'!K109),2),"")</x:f>
        <x:v>1100.5</x:v>
      </x:c>
      <x:c r="E109" s="16" t="n">
        <x:f>IF(AND(AND(108&lt;='Control Room'!$B$3,'Control Room'!$D$3="Ready"),3&lt;='Control Room'!$B$2),ROUND(MAX(0,'Process'!O109*'Control Room'!$H$6*INDEX('Control Room'!$B$19:$H$19,1,WEEKDAY($A109,2))*(1+'Control Room'!$D$9)^107*'Process'!P109),2),"")</x:f>
        <x:v>1373.51</x:v>
      </x:c>
      <x:c r="F109" s="16" t="n">
        <x:f>IF(AND(AND(108&lt;='Control Room'!$B$3,'Control Room'!$D$3="Ready"),4&lt;='Control Room'!$B$2),ROUND(MAX(0,'Process'!T109*'Control Room'!$H$7*INDEX('Control Room'!$B$19:$H$19,1,WEEKDAY($A109,2))*(1+'Control Room'!$D$9)^107*'Process'!U109),2),"")</x:f>
        <x:v>800.78</x:v>
      </x:c>
      <x:c r="G109" s="16" t="str">
        <x:f>IF(AND(AND(108&lt;='Control Room'!$B$3,'Control Room'!$D$3="Ready"),5&lt;='Control Room'!$B$2),ROUND(MAX(0,'Process'!Y109*'Control Room'!$H$8*INDEX('Control Room'!$B$19:$H$19,1,WEEKDAY($A109,2))*(1+'Control Room'!$D$9)^107*'Process'!Z109),2),"")</x:f>
      </x:c>
      <x:c r="H109" s="16" t="str">
        <x:f>IF(AND(AND(108&lt;='Control Room'!$B$3,'Control Room'!$D$3="Ready"),6&lt;='Control Room'!$B$2),ROUND(MAX(0,'Process'!AD109*'Control Room'!$H$9*INDEX('Control Room'!$B$19:$H$19,1,WEEKDAY($A109,2))*(1+'Control Room'!$D$9)^107*'Process'!AE109),2),"")</x:f>
      </x:c>
      <x:c r="I109" s="16" t="str">
        <x:f>IF(AND(AND(108&lt;='Control Room'!$B$3,'Control Room'!$D$3="Ready"),7&lt;='Control Room'!$B$2),ROUND(MAX(0,'Process'!AI109*'Control Room'!$H$10*INDEX('Control Room'!$B$19:$H$19,1,WEEKDAY($A109,2))*(1+'Control Room'!$D$9)^107*'Process'!AJ109),2),"")</x:f>
      </x:c>
      <x:c r="J109" s="16" t="str">
        <x:f>IF(AND(AND(108&lt;='Control Room'!$B$3,'Control Room'!$D$3="Ready"),8&lt;='Control Room'!$B$2),ROUND(MAX(0,'Process'!AN109*'Control Room'!$H$11*INDEX('Control Room'!$B$19:$H$19,1,WEEKDAY($A109,2))*(1+'Control Room'!$D$9)^107*'Process'!AO109),2),"")</x:f>
      </x:c>
      <x:c r="K109" s="16" t="str">
        <x:f>IF(AND(AND(108&lt;='Control Room'!$B$3,'Control Room'!$D$3="Ready"),9&lt;='Control Room'!$B$2),ROUND(MAX(0,'Process'!AS109*'Control Room'!$H$12*INDEX('Control Room'!$B$19:$H$19,1,WEEKDAY($A109,2))*(1+'Control Room'!$D$9)^107*'Process'!AT109),2),"")</x:f>
      </x:c>
      <x:c r="L109" s="16" t="str">
        <x:f>IF(AND(AND(108&lt;='Control Room'!$B$3,'Control Room'!$D$3="Ready"),10&lt;='Control Room'!$B$2),ROUND(MAX(0,'Process'!AX109*'Control Room'!$H$13*INDEX('Control Room'!$B$19:$H$19,1,WEEKDAY($A109,2))*(1+'Control Room'!$D$9)^107*'Process'!AY109),2),"")</x:f>
      </x:c>
      <x:c r="M109" s="16" t="str">
        <x:f>IF(AND(AND(108&lt;='Control Room'!$B$3,'Control Room'!$D$3="Ready"),11&lt;='Control Room'!$B$2),ROUND(MAX(0,'Process'!BC109*'Control Room'!$H$14*INDEX('Control Room'!$B$19:$H$19,1,WEEKDAY($A109,2))*(1+'Control Room'!$D$9)^107*'Process'!BD109),2),"")</x:f>
      </x:c>
      <x:c r="N109" s="16" t="str">
        <x:f>IF(AND(AND(108&lt;='Control Room'!$B$3,'Control Room'!$D$3="Ready"),12&lt;='Control Room'!$B$2),ROUND(MAX(0,'Process'!BH109*'Control Room'!$H$15*INDEX('Control Room'!$B$19:$H$19,1,WEEKDAY($A109,2))*(1+'Control Room'!$D$9)^107*'Process'!BI109),2),"")</x:f>
      </x:c>
    </x:row>
    <x:row r="110" ht="21" customHeight="1">
      <x:c r="A110" s="15" t="n">
        <x:f>IF(AND(109&lt;='Control Room'!$B$3,'Control Room'!$D$3="Ready"),'Process'!A110,"")</x:f>
        <x:v>73099</x:v>
      </x:c>
      <x:c r="B110" s="16" t="n">
        <x:f>IF(A110="","",SUM(C110:N110))</x:f>
        <x:v>4352.13</x:v>
      </x:c>
      <x:c r="C110" s="16" t="n">
        <x:f>IF(AND(AND(109&lt;='Control Room'!$B$3,'Control Room'!$D$3="Ready"),1&lt;='Control Room'!$B$2),ROUND(MAX(0,'Process'!E110*'Control Room'!$H$4*INDEX('Control Room'!$B$19:$H$19,1,WEEKDAY($A110,2))*(1+'Control Room'!$D$9)^108*'Process'!F110),2),"")</x:f>
        <x:v>1070.61</x:v>
      </x:c>
      <x:c r="D110" s="16" t="n">
        <x:f>IF(AND(AND(109&lt;='Control Room'!$B$3,'Control Room'!$D$3="Ready"),2&lt;='Control Room'!$B$2),ROUND(MAX(0,'Process'!J110*'Control Room'!$H$5*INDEX('Control Room'!$B$19:$H$19,1,WEEKDAY($A110,2))*(1+'Control Room'!$D$9)^108*'Process'!K110),2),"")</x:f>
        <x:v>1070.68</x:v>
      </x:c>
      <x:c r="E110" s="16" t="n">
        <x:f>IF(AND(AND(109&lt;='Control Room'!$B$3,'Control Room'!$D$3="Ready"),3&lt;='Control Room'!$B$2),ROUND(MAX(0,'Process'!O110*'Control Room'!$H$6*INDEX('Control Room'!$B$19:$H$19,1,WEEKDAY($A110,2))*(1+'Control Room'!$D$9)^108*'Process'!P110),2),"")</x:f>
        <x:v>1452.25</x:v>
      </x:c>
      <x:c r="F110" s="16" t="n">
        <x:f>IF(AND(AND(109&lt;='Control Room'!$B$3,'Control Room'!$D$3="Ready"),4&lt;='Control Room'!$B$2),ROUND(MAX(0,'Process'!T110*'Control Room'!$H$7*INDEX('Control Room'!$B$19:$H$19,1,WEEKDAY($A110,2))*(1+'Control Room'!$D$9)^108*'Process'!U110),2),"")</x:f>
        <x:v>758.59</x:v>
      </x:c>
      <x:c r="G110" s="16" t="str">
        <x:f>IF(AND(AND(109&lt;='Control Room'!$B$3,'Control Room'!$D$3="Ready"),5&lt;='Control Room'!$B$2),ROUND(MAX(0,'Process'!Y110*'Control Room'!$H$8*INDEX('Control Room'!$B$19:$H$19,1,WEEKDAY($A110,2))*(1+'Control Room'!$D$9)^108*'Process'!Z110),2),"")</x:f>
      </x:c>
      <x:c r="H110" s="16" t="str">
        <x:f>IF(AND(AND(109&lt;='Control Room'!$B$3,'Control Room'!$D$3="Ready"),6&lt;='Control Room'!$B$2),ROUND(MAX(0,'Process'!AD110*'Control Room'!$H$9*INDEX('Control Room'!$B$19:$H$19,1,WEEKDAY($A110,2))*(1+'Control Room'!$D$9)^108*'Process'!AE110),2),"")</x:f>
      </x:c>
      <x:c r="I110" s="16" t="str">
        <x:f>IF(AND(AND(109&lt;='Control Room'!$B$3,'Control Room'!$D$3="Ready"),7&lt;='Control Room'!$B$2),ROUND(MAX(0,'Process'!AI110*'Control Room'!$H$10*INDEX('Control Room'!$B$19:$H$19,1,WEEKDAY($A110,2))*(1+'Control Room'!$D$9)^108*'Process'!AJ110),2),"")</x:f>
      </x:c>
      <x:c r="J110" s="16" t="str">
        <x:f>IF(AND(AND(109&lt;='Control Room'!$B$3,'Control Room'!$D$3="Ready"),8&lt;='Control Room'!$B$2),ROUND(MAX(0,'Process'!AN110*'Control Room'!$H$11*INDEX('Control Room'!$B$19:$H$19,1,WEEKDAY($A110,2))*(1+'Control Room'!$D$9)^108*'Process'!AO110),2),"")</x:f>
      </x:c>
      <x:c r="K110" s="16" t="str">
        <x:f>IF(AND(AND(109&lt;='Control Room'!$B$3,'Control Room'!$D$3="Ready"),9&lt;='Control Room'!$B$2),ROUND(MAX(0,'Process'!AS110*'Control Room'!$H$12*INDEX('Control Room'!$B$19:$H$19,1,WEEKDAY($A110,2))*(1+'Control Room'!$D$9)^108*'Process'!AT110),2),"")</x:f>
      </x:c>
      <x:c r="L110" s="16" t="str">
        <x:f>IF(AND(AND(109&lt;='Control Room'!$B$3,'Control Room'!$D$3="Ready"),10&lt;='Control Room'!$B$2),ROUND(MAX(0,'Process'!AX110*'Control Room'!$H$13*INDEX('Control Room'!$B$19:$H$19,1,WEEKDAY($A110,2))*(1+'Control Room'!$D$9)^108*'Process'!AY110),2),"")</x:f>
      </x:c>
      <x:c r="M110" s="16" t="str">
        <x:f>IF(AND(AND(109&lt;='Control Room'!$B$3,'Control Room'!$D$3="Ready"),11&lt;='Control Room'!$B$2),ROUND(MAX(0,'Process'!BC110*'Control Room'!$H$14*INDEX('Control Room'!$B$19:$H$19,1,WEEKDAY($A110,2))*(1+'Control Room'!$D$9)^108*'Process'!BD110),2),"")</x:f>
      </x:c>
      <x:c r="N110" s="16" t="str">
        <x:f>IF(AND(AND(109&lt;='Control Room'!$B$3,'Control Room'!$D$3="Ready"),12&lt;='Control Room'!$B$2),ROUND(MAX(0,'Process'!BH110*'Control Room'!$H$15*INDEX('Control Room'!$B$19:$H$19,1,WEEKDAY($A110,2))*(1+'Control Room'!$D$9)^108*'Process'!BI110),2),"")</x:f>
      </x:c>
    </x:row>
    <x:row r="111" ht="21" customHeight="1">
      <x:c r="A111" s="15" t="n">
        <x:f>IF(AND(110&lt;='Control Room'!$B$3,'Control Room'!$D$3="Ready"),'Process'!A111,"")</x:f>
        <x:v>73100</x:v>
      </x:c>
      <x:c r="B111" s="16" t="n">
        <x:f>IF(A111="","",SUM(C111:N111))</x:f>
        <x:v>4345.1900000000005</x:v>
      </x:c>
      <x:c r="C111" s="16" t="n">
        <x:f>IF(AND(AND(110&lt;='Control Room'!$B$3,'Control Room'!$D$3="Ready"),1&lt;='Control Room'!$B$2),ROUND(MAX(0,'Process'!E111*'Control Room'!$H$4*INDEX('Control Room'!$B$19:$H$19,1,WEEKDAY($A111,2))*(1+'Control Room'!$D$9)^109*'Process'!F111),2),"")</x:f>
        <x:v>1059.12</x:v>
      </x:c>
      <x:c r="D111" s="16" t="n">
        <x:f>IF(AND(AND(110&lt;='Control Room'!$B$3,'Control Room'!$D$3="Ready"),2&lt;='Control Room'!$B$2),ROUND(MAX(0,'Process'!J111*'Control Room'!$H$5*INDEX('Control Room'!$B$19:$H$19,1,WEEKDAY($A111,2))*(1+'Control Room'!$D$9)^109*'Process'!K111),2),"")</x:f>
        <x:v>1096.97</x:v>
      </x:c>
      <x:c r="E111" s="16" t="n">
        <x:f>IF(AND(AND(110&lt;='Control Room'!$B$3,'Control Room'!$D$3="Ready"),3&lt;='Control Room'!$B$2),ROUND(MAX(0,'Process'!O111*'Control Room'!$H$6*INDEX('Control Room'!$B$19:$H$19,1,WEEKDAY($A111,2))*(1+'Control Room'!$D$9)^109*'Process'!P111),2),"")</x:f>
        <x:v>1394.81</x:v>
      </x:c>
      <x:c r="F111" s="16" t="n">
        <x:f>IF(AND(AND(110&lt;='Control Room'!$B$3,'Control Room'!$D$3="Ready"),4&lt;='Control Room'!$B$2),ROUND(MAX(0,'Process'!T111*'Control Room'!$H$7*INDEX('Control Room'!$B$19:$H$19,1,WEEKDAY($A111,2))*(1+'Control Room'!$D$9)^109*'Process'!U111),2),"")</x:f>
        <x:v>794.29</x:v>
      </x:c>
      <x:c r="G111" s="16" t="str">
        <x:f>IF(AND(AND(110&lt;='Control Room'!$B$3,'Control Room'!$D$3="Ready"),5&lt;='Control Room'!$B$2),ROUND(MAX(0,'Process'!Y111*'Control Room'!$H$8*INDEX('Control Room'!$B$19:$H$19,1,WEEKDAY($A111,2))*(1+'Control Room'!$D$9)^109*'Process'!Z111),2),"")</x:f>
      </x:c>
      <x:c r="H111" s="16" t="str">
        <x:f>IF(AND(AND(110&lt;='Control Room'!$B$3,'Control Room'!$D$3="Ready"),6&lt;='Control Room'!$B$2),ROUND(MAX(0,'Process'!AD111*'Control Room'!$H$9*INDEX('Control Room'!$B$19:$H$19,1,WEEKDAY($A111,2))*(1+'Control Room'!$D$9)^109*'Process'!AE111),2),"")</x:f>
      </x:c>
      <x:c r="I111" s="16" t="str">
        <x:f>IF(AND(AND(110&lt;='Control Room'!$B$3,'Control Room'!$D$3="Ready"),7&lt;='Control Room'!$B$2),ROUND(MAX(0,'Process'!AI111*'Control Room'!$H$10*INDEX('Control Room'!$B$19:$H$19,1,WEEKDAY($A111,2))*(1+'Control Room'!$D$9)^109*'Process'!AJ111),2),"")</x:f>
      </x:c>
      <x:c r="J111" s="16" t="str">
        <x:f>IF(AND(AND(110&lt;='Control Room'!$B$3,'Control Room'!$D$3="Ready"),8&lt;='Control Room'!$B$2),ROUND(MAX(0,'Process'!AN111*'Control Room'!$H$11*INDEX('Control Room'!$B$19:$H$19,1,WEEKDAY($A111,2))*(1+'Control Room'!$D$9)^109*'Process'!AO111),2),"")</x:f>
      </x:c>
      <x:c r="K111" s="16" t="str">
        <x:f>IF(AND(AND(110&lt;='Control Room'!$B$3,'Control Room'!$D$3="Ready"),9&lt;='Control Room'!$B$2),ROUND(MAX(0,'Process'!AS111*'Control Room'!$H$12*INDEX('Control Room'!$B$19:$H$19,1,WEEKDAY($A111,2))*(1+'Control Room'!$D$9)^109*'Process'!AT111),2),"")</x:f>
      </x:c>
      <x:c r="L111" s="16" t="str">
        <x:f>IF(AND(AND(110&lt;='Control Room'!$B$3,'Control Room'!$D$3="Ready"),10&lt;='Control Room'!$B$2),ROUND(MAX(0,'Process'!AX111*'Control Room'!$H$13*INDEX('Control Room'!$B$19:$H$19,1,WEEKDAY($A111,2))*(1+'Control Room'!$D$9)^109*'Process'!AY111),2),"")</x:f>
      </x:c>
      <x:c r="M111" s="16" t="str">
        <x:f>IF(AND(AND(110&lt;='Control Room'!$B$3,'Control Room'!$D$3="Ready"),11&lt;='Control Room'!$B$2),ROUND(MAX(0,'Process'!BC111*'Control Room'!$H$14*INDEX('Control Room'!$B$19:$H$19,1,WEEKDAY($A111,2))*(1+'Control Room'!$D$9)^109*'Process'!BD111),2),"")</x:f>
      </x:c>
      <x:c r="N111" s="16" t="str">
        <x:f>IF(AND(AND(110&lt;='Control Room'!$B$3,'Control Room'!$D$3="Ready"),12&lt;='Control Room'!$B$2),ROUND(MAX(0,'Process'!BH111*'Control Room'!$H$15*INDEX('Control Room'!$B$19:$H$19,1,WEEKDAY($A111,2))*(1+'Control Room'!$D$9)^109*'Process'!BI111),2),"")</x:f>
      </x:c>
    </x:row>
    <x:row r="112" ht="21" customHeight="1">
      <x:c r="A112" s="15" t="n">
        <x:f>IF(AND(111&lt;='Control Room'!$B$3,'Control Room'!$D$3="Ready"),'Process'!A112,"")</x:f>
        <x:v>73101</x:v>
      </x:c>
      <x:c r="B112" s="16" t="n">
        <x:f>IF(A112="","",SUM(C112:N112))</x:f>
        <x:v>3531.48</x:v>
      </x:c>
      <x:c r="C112" s="16" t="n">
        <x:f>IF(AND(AND(111&lt;='Control Room'!$B$3,'Control Room'!$D$3="Ready"),1&lt;='Control Room'!$B$2),ROUND(MAX(0,'Process'!E112*'Control Room'!$H$4*INDEX('Control Room'!$B$19:$H$19,1,WEEKDAY($A112,2))*(1+'Control Room'!$D$9)^110*'Process'!F112),2),"")</x:f>
        <x:v>824.97</x:v>
      </x:c>
      <x:c r="D112" s="16" t="n">
        <x:f>IF(AND(AND(111&lt;='Control Room'!$B$3,'Control Room'!$D$3="Ready"),2&lt;='Control Room'!$B$2),ROUND(MAX(0,'Process'!J112*'Control Room'!$H$5*INDEX('Control Room'!$B$19:$H$19,1,WEEKDAY($A112,2))*(1+'Control Room'!$D$9)^110*'Process'!K112),2),"")</x:f>
        <x:v>915.4</x:v>
      </x:c>
      <x:c r="E112" s="16" t="n">
        <x:f>IF(AND(AND(111&lt;='Control Room'!$B$3,'Control Room'!$D$3="Ready"),3&lt;='Control Room'!$B$2),ROUND(MAX(0,'Process'!O112*'Control Room'!$H$6*INDEX('Control Room'!$B$19:$H$19,1,WEEKDAY($A112,2))*(1+'Control Room'!$D$9)^110*'Process'!P112),2),"")</x:f>
        <x:v>1148.26</x:v>
      </x:c>
      <x:c r="F112" s="16" t="n">
        <x:f>IF(AND(AND(111&lt;='Control Room'!$B$3,'Control Room'!$D$3="Ready"),4&lt;='Control Room'!$B$2),ROUND(MAX(0,'Process'!T112*'Control Room'!$H$7*INDEX('Control Room'!$B$19:$H$19,1,WEEKDAY($A112,2))*(1+'Control Room'!$D$9)^110*'Process'!U112),2),"")</x:f>
        <x:v>642.85</x:v>
      </x:c>
      <x:c r="G112" s="16" t="str">
        <x:f>IF(AND(AND(111&lt;='Control Room'!$B$3,'Control Room'!$D$3="Ready"),5&lt;='Control Room'!$B$2),ROUND(MAX(0,'Process'!Y112*'Control Room'!$H$8*INDEX('Control Room'!$B$19:$H$19,1,WEEKDAY($A112,2))*(1+'Control Room'!$D$9)^110*'Process'!Z112),2),"")</x:f>
      </x:c>
      <x:c r="H112" s="16" t="str">
        <x:f>IF(AND(AND(111&lt;='Control Room'!$B$3,'Control Room'!$D$3="Ready"),6&lt;='Control Room'!$B$2),ROUND(MAX(0,'Process'!AD112*'Control Room'!$H$9*INDEX('Control Room'!$B$19:$H$19,1,WEEKDAY($A112,2))*(1+'Control Room'!$D$9)^110*'Process'!AE112),2),"")</x:f>
      </x:c>
      <x:c r="I112" s="16" t="str">
        <x:f>IF(AND(AND(111&lt;='Control Room'!$B$3,'Control Room'!$D$3="Ready"),7&lt;='Control Room'!$B$2),ROUND(MAX(0,'Process'!AI112*'Control Room'!$H$10*INDEX('Control Room'!$B$19:$H$19,1,WEEKDAY($A112,2))*(1+'Control Room'!$D$9)^110*'Process'!AJ112),2),"")</x:f>
      </x:c>
      <x:c r="J112" s="16" t="str">
        <x:f>IF(AND(AND(111&lt;='Control Room'!$B$3,'Control Room'!$D$3="Ready"),8&lt;='Control Room'!$B$2),ROUND(MAX(0,'Process'!AN112*'Control Room'!$H$11*INDEX('Control Room'!$B$19:$H$19,1,WEEKDAY($A112,2))*(1+'Control Room'!$D$9)^110*'Process'!AO112),2),"")</x:f>
      </x:c>
      <x:c r="K112" s="16" t="str">
        <x:f>IF(AND(AND(111&lt;='Control Room'!$B$3,'Control Room'!$D$3="Ready"),9&lt;='Control Room'!$B$2),ROUND(MAX(0,'Process'!AS112*'Control Room'!$H$12*INDEX('Control Room'!$B$19:$H$19,1,WEEKDAY($A112,2))*(1+'Control Room'!$D$9)^110*'Process'!AT112),2),"")</x:f>
      </x:c>
      <x:c r="L112" s="16" t="str">
        <x:f>IF(AND(AND(111&lt;='Control Room'!$B$3,'Control Room'!$D$3="Ready"),10&lt;='Control Room'!$B$2),ROUND(MAX(0,'Process'!AX112*'Control Room'!$H$13*INDEX('Control Room'!$B$19:$H$19,1,WEEKDAY($A112,2))*(1+'Control Room'!$D$9)^110*'Process'!AY112),2),"")</x:f>
      </x:c>
      <x:c r="M112" s="16" t="str">
        <x:f>IF(AND(AND(111&lt;='Control Room'!$B$3,'Control Room'!$D$3="Ready"),11&lt;='Control Room'!$B$2),ROUND(MAX(0,'Process'!BC112*'Control Room'!$H$14*INDEX('Control Room'!$B$19:$H$19,1,WEEKDAY($A112,2))*(1+'Control Room'!$D$9)^110*'Process'!BD112),2),"")</x:f>
      </x:c>
      <x:c r="N112" s="16" t="str">
        <x:f>IF(AND(AND(111&lt;='Control Room'!$B$3,'Control Room'!$D$3="Ready"),12&lt;='Control Room'!$B$2),ROUND(MAX(0,'Process'!BH112*'Control Room'!$H$15*INDEX('Control Room'!$B$19:$H$19,1,WEEKDAY($A112,2))*(1+'Control Room'!$D$9)^110*'Process'!BI112),2),"")</x:f>
      </x:c>
    </x:row>
    <x:row r="113" ht="21" customHeight="1">
      <x:c r="A113" s="15" t="n">
        <x:f>IF(AND(112&lt;='Control Room'!$B$3,'Control Room'!$D$3="Ready"),'Process'!A113,"")</x:f>
        <x:v>73102</x:v>
      </x:c>
      <x:c r="B113" s="16" t="n">
        <x:f>IF(A113="","",SUM(C113:N113))</x:f>
        <x:v>2639.52</x:v>
      </x:c>
      <x:c r="C113" s="16" t="n">
        <x:f>IF(AND(AND(112&lt;='Control Room'!$B$3,'Control Room'!$D$3="Ready"),1&lt;='Control Room'!$B$2),ROUND(MAX(0,'Process'!E113*'Control Room'!$H$4*INDEX('Control Room'!$B$19:$H$19,1,WEEKDAY($A113,2))*(1+'Control Room'!$D$9)^111*'Process'!F113),2),"")</x:f>
        <x:v>610.17</x:v>
      </x:c>
      <x:c r="D113" s="16" t="n">
        <x:f>IF(AND(AND(112&lt;='Control Room'!$B$3,'Control Room'!$D$3="Ready"),2&lt;='Control Room'!$B$2),ROUND(MAX(0,'Process'!J113*'Control Room'!$H$5*INDEX('Control Room'!$B$19:$H$19,1,WEEKDAY($A113,2))*(1+'Control Room'!$D$9)^111*'Process'!K113),2),"")</x:f>
        <x:v>706.48</x:v>
      </x:c>
      <x:c r="E113" s="16" t="n">
        <x:f>IF(AND(AND(112&lt;='Control Room'!$B$3,'Control Room'!$D$3="Ready"),3&lt;='Control Room'!$B$2),ROUND(MAX(0,'Process'!O113*'Control Room'!$H$6*INDEX('Control Room'!$B$19:$H$19,1,WEEKDAY($A113,2))*(1+'Control Room'!$D$9)^111*'Process'!P113),2),"")</x:f>
        <x:v>869.25</x:v>
      </x:c>
      <x:c r="F113" s="16" t="n">
        <x:f>IF(AND(AND(112&lt;='Control Room'!$B$3,'Control Room'!$D$3="Ready"),4&lt;='Control Room'!$B$2),ROUND(MAX(0,'Process'!T113*'Control Room'!$H$7*INDEX('Control Room'!$B$19:$H$19,1,WEEKDAY($A113,2))*(1+'Control Room'!$D$9)^111*'Process'!U113),2),"")</x:f>
        <x:v>453.62</x:v>
      </x:c>
      <x:c r="G113" s="16" t="str">
        <x:f>IF(AND(AND(112&lt;='Control Room'!$B$3,'Control Room'!$D$3="Ready"),5&lt;='Control Room'!$B$2),ROUND(MAX(0,'Process'!Y113*'Control Room'!$H$8*INDEX('Control Room'!$B$19:$H$19,1,WEEKDAY($A113,2))*(1+'Control Room'!$D$9)^111*'Process'!Z113),2),"")</x:f>
      </x:c>
      <x:c r="H113" s="16" t="str">
        <x:f>IF(AND(AND(112&lt;='Control Room'!$B$3,'Control Room'!$D$3="Ready"),6&lt;='Control Room'!$B$2),ROUND(MAX(0,'Process'!AD113*'Control Room'!$H$9*INDEX('Control Room'!$B$19:$H$19,1,WEEKDAY($A113,2))*(1+'Control Room'!$D$9)^111*'Process'!AE113),2),"")</x:f>
      </x:c>
      <x:c r="I113" s="16" t="str">
        <x:f>IF(AND(AND(112&lt;='Control Room'!$B$3,'Control Room'!$D$3="Ready"),7&lt;='Control Room'!$B$2),ROUND(MAX(0,'Process'!AI113*'Control Room'!$H$10*INDEX('Control Room'!$B$19:$H$19,1,WEEKDAY($A113,2))*(1+'Control Room'!$D$9)^111*'Process'!AJ113),2),"")</x:f>
      </x:c>
      <x:c r="J113" s="16" t="str">
        <x:f>IF(AND(AND(112&lt;='Control Room'!$B$3,'Control Room'!$D$3="Ready"),8&lt;='Control Room'!$B$2),ROUND(MAX(0,'Process'!AN113*'Control Room'!$H$11*INDEX('Control Room'!$B$19:$H$19,1,WEEKDAY($A113,2))*(1+'Control Room'!$D$9)^111*'Process'!AO113),2),"")</x:f>
      </x:c>
      <x:c r="K113" s="16" t="str">
        <x:f>IF(AND(AND(112&lt;='Control Room'!$B$3,'Control Room'!$D$3="Ready"),9&lt;='Control Room'!$B$2),ROUND(MAX(0,'Process'!AS113*'Control Room'!$H$12*INDEX('Control Room'!$B$19:$H$19,1,WEEKDAY($A113,2))*(1+'Control Room'!$D$9)^111*'Process'!AT113),2),"")</x:f>
      </x:c>
      <x:c r="L113" s="16" t="str">
        <x:f>IF(AND(AND(112&lt;='Control Room'!$B$3,'Control Room'!$D$3="Ready"),10&lt;='Control Room'!$B$2),ROUND(MAX(0,'Process'!AX113*'Control Room'!$H$13*INDEX('Control Room'!$B$19:$H$19,1,WEEKDAY($A113,2))*(1+'Control Room'!$D$9)^111*'Process'!AY113),2),"")</x:f>
      </x:c>
      <x:c r="M113" s="16" t="str">
        <x:f>IF(AND(AND(112&lt;='Control Room'!$B$3,'Control Room'!$D$3="Ready"),11&lt;='Control Room'!$B$2),ROUND(MAX(0,'Process'!BC113*'Control Room'!$H$14*INDEX('Control Room'!$B$19:$H$19,1,WEEKDAY($A113,2))*(1+'Control Room'!$D$9)^111*'Process'!BD113),2),"")</x:f>
      </x:c>
      <x:c r="N113" s="16" t="str">
        <x:f>IF(AND(AND(112&lt;='Control Room'!$B$3,'Control Room'!$D$3="Ready"),12&lt;='Control Room'!$B$2),ROUND(MAX(0,'Process'!BH113*'Control Room'!$H$15*INDEX('Control Room'!$B$19:$H$19,1,WEEKDAY($A113,2))*(1+'Control Room'!$D$9)^111*'Process'!BI113),2),"")</x:f>
      </x:c>
    </x:row>
    <x:row r="114" ht="21" customHeight="1">
      <x:c r="A114" s="15" t="n">
        <x:f>IF(AND(113&lt;='Control Room'!$B$3,'Control Room'!$D$3="Ready"),'Process'!A114,"")</x:f>
        <x:v>73103</x:v>
      </x:c>
      <x:c r="B114" s="16" t="n">
        <x:f>IF(A114="","",SUM(C114:N114))</x:f>
        <x:v>4439.32</x:v>
      </x:c>
      <x:c r="C114" s="16" t="n">
        <x:f>IF(AND(AND(113&lt;='Control Room'!$B$3,'Control Room'!$D$3="Ready"),1&lt;='Control Room'!$B$2),ROUND(MAX(0,'Process'!E114*'Control Room'!$H$4*INDEX('Control Room'!$B$19:$H$19,1,WEEKDAY($A114,2))*(1+'Control Room'!$D$9)^112*'Process'!F114),2),"")</x:f>
        <x:v>1085.65</x:v>
      </x:c>
      <x:c r="D114" s="16" t="n">
        <x:f>IF(AND(AND(113&lt;='Control Room'!$B$3,'Control Room'!$D$3="Ready"),2&lt;='Control Room'!$B$2),ROUND(MAX(0,'Process'!J114*'Control Room'!$H$5*INDEX('Control Room'!$B$19:$H$19,1,WEEKDAY($A114,2))*(1+'Control Room'!$D$9)^112*'Process'!K114),2),"")</x:f>
        <x:v>1128.03</x:v>
      </x:c>
      <x:c r="E114" s="16" t="n">
        <x:f>IF(AND(AND(113&lt;='Control Room'!$B$3,'Control Room'!$D$3="Ready"),3&lt;='Control Room'!$B$2),ROUND(MAX(0,'Process'!O114*'Control Room'!$H$6*INDEX('Control Room'!$B$19:$H$19,1,WEEKDAY($A114,2))*(1+'Control Room'!$D$9)^112*'Process'!P114),2),"")</x:f>
        <x:v>1462.28</x:v>
      </x:c>
      <x:c r="F114" s="16" t="n">
        <x:f>IF(AND(AND(113&lt;='Control Room'!$B$3,'Control Room'!$D$3="Ready"),4&lt;='Control Room'!$B$2),ROUND(MAX(0,'Process'!T114*'Control Room'!$H$7*INDEX('Control Room'!$B$19:$H$19,1,WEEKDAY($A114,2))*(1+'Control Room'!$D$9)^112*'Process'!U114),2),"")</x:f>
        <x:v>763.36</x:v>
      </x:c>
      <x:c r="G114" s="16" t="str">
        <x:f>IF(AND(AND(113&lt;='Control Room'!$B$3,'Control Room'!$D$3="Ready"),5&lt;='Control Room'!$B$2),ROUND(MAX(0,'Process'!Y114*'Control Room'!$H$8*INDEX('Control Room'!$B$19:$H$19,1,WEEKDAY($A114,2))*(1+'Control Room'!$D$9)^112*'Process'!Z114),2),"")</x:f>
      </x:c>
      <x:c r="H114" s="16" t="str">
        <x:f>IF(AND(AND(113&lt;='Control Room'!$B$3,'Control Room'!$D$3="Ready"),6&lt;='Control Room'!$B$2),ROUND(MAX(0,'Process'!AD114*'Control Room'!$H$9*INDEX('Control Room'!$B$19:$H$19,1,WEEKDAY($A114,2))*(1+'Control Room'!$D$9)^112*'Process'!AE114),2),"")</x:f>
      </x:c>
      <x:c r="I114" s="16" t="str">
        <x:f>IF(AND(AND(113&lt;='Control Room'!$B$3,'Control Room'!$D$3="Ready"),7&lt;='Control Room'!$B$2),ROUND(MAX(0,'Process'!AI114*'Control Room'!$H$10*INDEX('Control Room'!$B$19:$H$19,1,WEEKDAY($A114,2))*(1+'Control Room'!$D$9)^112*'Process'!AJ114),2),"")</x:f>
      </x:c>
      <x:c r="J114" s="16" t="str">
        <x:f>IF(AND(AND(113&lt;='Control Room'!$B$3,'Control Room'!$D$3="Ready"),8&lt;='Control Room'!$B$2),ROUND(MAX(0,'Process'!AN114*'Control Room'!$H$11*INDEX('Control Room'!$B$19:$H$19,1,WEEKDAY($A114,2))*(1+'Control Room'!$D$9)^112*'Process'!AO114),2),"")</x:f>
      </x:c>
      <x:c r="K114" s="16" t="str">
        <x:f>IF(AND(AND(113&lt;='Control Room'!$B$3,'Control Room'!$D$3="Ready"),9&lt;='Control Room'!$B$2),ROUND(MAX(0,'Process'!AS114*'Control Room'!$H$12*INDEX('Control Room'!$B$19:$H$19,1,WEEKDAY($A114,2))*(1+'Control Room'!$D$9)^112*'Process'!AT114),2),"")</x:f>
      </x:c>
      <x:c r="L114" s="16" t="str">
        <x:f>IF(AND(AND(113&lt;='Control Room'!$B$3,'Control Room'!$D$3="Ready"),10&lt;='Control Room'!$B$2),ROUND(MAX(0,'Process'!AX114*'Control Room'!$H$13*INDEX('Control Room'!$B$19:$H$19,1,WEEKDAY($A114,2))*(1+'Control Room'!$D$9)^112*'Process'!AY114),2),"")</x:f>
      </x:c>
      <x:c r="M114" s="16" t="str">
        <x:f>IF(AND(AND(113&lt;='Control Room'!$B$3,'Control Room'!$D$3="Ready"),11&lt;='Control Room'!$B$2),ROUND(MAX(0,'Process'!BC114*'Control Room'!$H$14*INDEX('Control Room'!$B$19:$H$19,1,WEEKDAY($A114,2))*(1+'Control Room'!$D$9)^112*'Process'!BD114),2),"")</x:f>
      </x:c>
      <x:c r="N114" s="16" t="str">
        <x:f>IF(AND(AND(113&lt;='Control Room'!$B$3,'Control Room'!$D$3="Ready"),12&lt;='Control Room'!$B$2),ROUND(MAX(0,'Process'!BH114*'Control Room'!$H$15*INDEX('Control Room'!$B$19:$H$19,1,WEEKDAY($A114,2))*(1+'Control Room'!$D$9)^112*'Process'!BI114),2),"")</x:f>
      </x:c>
    </x:row>
    <x:row r="115" ht="21" customHeight="1">
      <x:c r="A115" s="15" t="n">
        <x:f>IF(AND(114&lt;='Control Room'!$B$3,'Control Room'!$D$3="Ready"),'Process'!A115,"")</x:f>
        <x:v>73104</x:v>
      </x:c>
      <x:c r="B115" s="16" t="n">
        <x:f>IF(A115="","",SUM(C115:N115))</x:f>
        <x:v>4643.41</x:v>
      </x:c>
      <x:c r="C115" s="16" t="n">
        <x:f>IF(AND(AND(114&lt;='Control Room'!$B$3,'Control Room'!$D$3="Ready"),1&lt;='Control Room'!$B$2),ROUND(MAX(0,'Process'!E115*'Control Room'!$H$4*INDEX('Control Room'!$B$19:$H$19,1,WEEKDAY($A115,2))*(1+'Control Room'!$D$9)^113*'Process'!F115),2),"")</x:f>
        <x:v>1265.47</x:v>
      </x:c>
      <x:c r="D115" s="16" t="n">
        <x:f>IF(AND(AND(114&lt;='Control Room'!$B$3,'Control Room'!$D$3="Ready"),2&lt;='Control Room'!$B$2),ROUND(MAX(0,'Process'!J115*'Control Room'!$H$5*INDEX('Control Room'!$B$19:$H$19,1,WEEKDAY($A115,2))*(1+'Control Room'!$D$9)^113*'Process'!K115),2),"")</x:f>
        <x:v>1133.15</x:v>
      </x:c>
      <x:c r="E115" s="16" t="n">
        <x:f>IF(AND(AND(114&lt;='Control Room'!$B$3,'Control Room'!$D$3="Ready"),3&lt;='Control Room'!$B$2),ROUND(MAX(0,'Process'!O115*'Control Room'!$H$6*INDEX('Control Room'!$B$19:$H$19,1,WEEKDAY($A115,2))*(1+'Control Room'!$D$9)^113*'Process'!P115),2),"")</x:f>
        <x:v>1388.42</x:v>
      </x:c>
      <x:c r="F115" s="16" t="n">
        <x:f>IF(AND(AND(114&lt;='Control Room'!$B$3,'Control Room'!$D$3="Ready"),4&lt;='Control Room'!$B$2),ROUND(MAX(0,'Process'!T115*'Control Room'!$H$7*INDEX('Control Room'!$B$19:$H$19,1,WEEKDAY($A115,2))*(1+'Control Room'!$D$9)^113*'Process'!U115),2),"")</x:f>
        <x:v>856.37</x:v>
      </x:c>
      <x:c r="G115" s="16" t="str">
        <x:f>IF(AND(AND(114&lt;='Control Room'!$B$3,'Control Room'!$D$3="Ready"),5&lt;='Control Room'!$B$2),ROUND(MAX(0,'Process'!Y115*'Control Room'!$H$8*INDEX('Control Room'!$B$19:$H$19,1,WEEKDAY($A115,2))*(1+'Control Room'!$D$9)^113*'Process'!Z115),2),"")</x:f>
      </x:c>
      <x:c r="H115" s="16" t="str">
        <x:f>IF(AND(AND(114&lt;='Control Room'!$B$3,'Control Room'!$D$3="Ready"),6&lt;='Control Room'!$B$2),ROUND(MAX(0,'Process'!AD115*'Control Room'!$H$9*INDEX('Control Room'!$B$19:$H$19,1,WEEKDAY($A115,2))*(1+'Control Room'!$D$9)^113*'Process'!AE115),2),"")</x:f>
      </x:c>
      <x:c r="I115" s="16" t="str">
        <x:f>IF(AND(AND(114&lt;='Control Room'!$B$3,'Control Room'!$D$3="Ready"),7&lt;='Control Room'!$B$2),ROUND(MAX(0,'Process'!AI115*'Control Room'!$H$10*INDEX('Control Room'!$B$19:$H$19,1,WEEKDAY($A115,2))*(1+'Control Room'!$D$9)^113*'Process'!AJ115),2),"")</x:f>
      </x:c>
      <x:c r="J115" s="16" t="str">
        <x:f>IF(AND(AND(114&lt;='Control Room'!$B$3,'Control Room'!$D$3="Ready"),8&lt;='Control Room'!$B$2),ROUND(MAX(0,'Process'!AN115*'Control Room'!$H$11*INDEX('Control Room'!$B$19:$H$19,1,WEEKDAY($A115,2))*(1+'Control Room'!$D$9)^113*'Process'!AO115),2),"")</x:f>
      </x:c>
      <x:c r="K115" s="16" t="str">
        <x:f>IF(AND(AND(114&lt;='Control Room'!$B$3,'Control Room'!$D$3="Ready"),9&lt;='Control Room'!$B$2),ROUND(MAX(0,'Process'!AS115*'Control Room'!$H$12*INDEX('Control Room'!$B$19:$H$19,1,WEEKDAY($A115,2))*(1+'Control Room'!$D$9)^113*'Process'!AT115),2),"")</x:f>
      </x:c>
      <x:c r="L115" s="16" t="str">
        <x:f>IF(AND(AND(114&lt;='Control Room'!$B$3,'Control Room'!$D$3="Ready"),10&lt;='Control Room'!$B$2),ROUND(MAX(0,'Process'!AX115*'Control Room'!$H$13*INDEX('Control Room'!$B$19:$H$19,1,WEEKDAY($A115,2))*(1+'Control Room'!$D$9)^113*'Process'!AY115),2),"")</x:f>
      </x:c>
      <x:c r="M115" s="16" t="str">
        <x:f>IF(AND(AND(114&lt;='Control Room'!$B$3,'Control Room'!$D$3="Ready"),11&lt;='Control Room'!$B$2),ROUND(MAX(0,'Process'!BC115*'Control Room'!$H$14*INDEX('Control Room'!$B$19:$H$19,1,WEEKDAY($A115,2))*(1+'Control Room'!$D$9)^113*'Process'!BD115),2),"")</x:f>
      </x:c>
      <x:c r="N115" s="16" t="str">
        <x:f>IF(AND(AND(114&lt;='Control Room'!$B$3,'Control Room'!$D$3="Ready"),12&lt;='Control Room'!$B$2),ROUND(MAX(0,'Process'!BH115*'Control Room'!$H$15*INDEX('Control Room'!$B$19:$H$19,1,WEEKDAY($A115,2))*(1+'Control Room'!$D$9)^113*'Process'!BI115),2),"")</x:f>
      </x:c>
    </x:row>
    <x:row r="116" ht="21" customHeight="1">
      <x:c r="A116" s="15" t="n">
        <x:f>IF(AND(115&lt;='Control Room'!$B$3,'Control Room'!$D$3="Ready"),'Process'!A116,"")</x:f>
        <x:v>73105</x:v>
      </x:c>
      <x:c r="B116" s="16" t="n">
        <x:f>IF(A116="","",SUM(C116:N116))</x:f>
        <x:v>4664.49</x:v>
      </x:c>
      <x:c r="C116" s="16" t="n">
        <x:f>IF(AND(AND(115&lt;='Control Room'!$B$3,'Control Room'!$D$3="Ready"),1&lt;='Control Room'!$B$2),ROUND(MAX(0,'Process'!E116*'Control Room'!$H$4*INDEX('Control Room'!$B$19:$H$19,1,WEEKDAY($A116,2))*(1+'Control Room'!$D$9)^114*'Process'!F116),2),"")</x:f>
        <x:v>1204.35</x:v>
      </x:c>
      <x:c r="D116" s="16" t="n">
        <x:f>IF(AND(AND(115&lt;='Control Room'!$B$3,'Control Room'!$D$3="Ready"),2&lt;='Control Room'!$B$2),ROUND(MAX(0,'Process'!J116*'Control Room'!$H$5*INDEX('Control Room'!$B$19:$H$19,1,WEEKDAY($A116,2))*(1+'Control Room'!$D$9)^114*'Process'!K116),2),"")</x:f>
        <x:v>1106.23</x:v>
      </x:c>
      <x:c r="E116" s="16" t="n">
        <x:f>IF(AND(AND(115&lt;='Control Room'!$B$3,'Control Room'!$D$3="Ready"),3&lt;='Control Room'!$B$2),ROUND(MAX(0,'Process'!O116*'Control Room'!$H$6*INDEX('Control Room'!$B$19:$H$19,1,WEEKDAY($A116,2))*(1+'Control Room'!$D$9)^114*'Process'!P116),2),"")</x:f>
        <x:v>1429</x:v>
      </x:c>
      <x:c r="F116" s="16" t="n">
        <x:f>IF(AND(AND(115&lt;='Control Room'!$B$3,'Control Room'!$D$3="Ready"),4&lt;='Control Room'!$B$2),ROUND(MAX(0,'Process'!T116*'Control Room'!$H$7*INDEX('Control Room'!$B$19:$H$19,1,WEEKDAY($A116,2))*(1+'Control Room'!$D$9)^114*'Process'!U116),2),"")</x:f>
        <x:v>924.91</x:v>
      </x:c>
      <x:c r="G116" s="16" t="str">
        <x:f>IF(AND(AND(115&lt;='Control Room'!$B$3,'Control Room'!$D$3="Ready"),5&lt;='Control Room'!$B$2),ROUND(MAX(0,'Process'!Y116*'Control Room'!$H$8*INDEX('Control Room'!$B$19:$H$19,1,WEEKDAY($A116,2))*(1+'Control Room'!$D$9)^114*'Process'!Z116),2),"")</x:f>
      </x:c>
      <x:c r="H116" s="16" t="str">
        <x:f>IF(AND(AND(115&lt;='Control Room'!$B$3,'Control Room'!$D$3="Ready"),6&lt;='Control Room'!$B$2),ROUND(MAX(0,'Process'!AD116*'Control Room'!$H$9*INDEX('Control Room'!$B$19:$H$19,1,WEEKDAY($A116,2))*(1+'Control Room'!$D$9)^114*'Process'!AE116),2),"")</x:f>
      </x:c>
      <x:c r="I116" s="16" t="str">
        <x:f>IF(AND(AND(115&lt;='Control Room'!$B$3,'Control Room'!$D$3="Ready"),7&lt;='Control Room'!$B$2),ROUND(MAX(0,'Process'!AI116*'Control Room'!$H$10*INDEX('Control Room'!$B$19:$H$19,1,WEEKDAY($A116,2))*(1+'Control Room'!$D$9)^114*'Process'!AJ116),2),"")</x:f>
      </x:c>
      <x:c r="J116" s="16" t="str">
        <x:f>IF(AND(AND(115&lt;='Control Room'!$B$3,'Control Room'!$D$3="Ready"),8&lt;='Control Room'!$B$2),ROUND(MAX(0,'Process'!AN116*'Control Room'!$H$11*INDEX('Control Room'!$B$19:$H$19,1,WEEKDAY($A116,2))*(1+'Control Room'!$D$9)^114*'Process'!AO116),2),"")</x:f>
      </x:c>
      <x:c r="K116" s="16" t="str">
        <x:f>IF(AND(AND(115&lt;='Control Room'!$B$3,'Control Room'!$D$3="Ready"),9&lt;='Control Room'!$B$2),ROUND(MAX(0,'Process'!AS116*'Control Room'!$H$12*INDEX('Control Room'!$B$19:$H$19,1,WEEKDAY($A116,2))*(1+'Control Room'!$D$9)^114*'Process'!AT116),2),"")</x:f>
      </x:c>
      <x:c r="L116" s="16" t="str">
        <x:f>IF(AND(AND(115&lt;='Control Room'!$B$3,'Control Room'!$D$3="Ready"),10&lt;='Control Room'!$B$2),ROUND(MAX(0,'Process'!AX116*'Control Room'!$H$13*INDEX('Control Room'!$B$19:$H$19,1,WEEKDAY($A116,2))*(1+'Control Room'!$D$9)^114*'Process'!AY116),2),"")</x:f>
      </x:c>
      <x:c r="M116" s="16" t="str">
        <x:f>IF(AND(AND(115&lt;='Control Room'!$B$3,'Control Room'!$D$3="Ready"),11&lt;='Control Room'!$B$2),ROUND(MAX(0,'Process'!BC116*'Control Room'!$H$14*INDEX('Control Room'!$B$19:$H$19,1,WEEKDAY($A116,2))*(1+'Control Room'!$D$9)^114*'Process'!BD116),2),"")</x:f>
      </x:c>
      <x:c r="N116" s="16" t="str">
        <x:f>IF(AND(AND(115&lt;='Control Room'!$B$3,'Control Room'!$D$3="Ready"),12&lt;='Control Room'!$B$2),ROUND(MAX(0,'Process'!BH116*'Control Room'!$H$15*INDEX('Control Room'!$B$19:$H$19,1,WEEKDAY($A116,2))*(1+'Control Room'!$D$9)^114*'Process'!BI116),2),"")</x:f>
      </x:c>
    </x:row>
    <x:row r="117" ht="21" customHeight="1">
      <x:c r="A117" s="15" t="n">
        <x:f>IF(AND(116&lt;='Control Room'!$B$3,'Control Room'!$D$3="Ready"),'Process'!A117,"")</x:f>
        <x:v>73106</x:v>
      </x:c>
      <x:c r="B117" s="16" t="n">
        <x:f>IF(A117="","",SUM(C117:N117))</x:f>
        <x:v>4589.5199999999995</x:v>
      </x:c>
      <x:c r="C117" s="16" t="n">
        <x:f>IF(AND(AND(116&lt;='Control Room'!$B$3,'Control Room'!$D$3="Ready"),1&lt;='Control Room'!$B$2),ROUND(MAX(0,'Process'!E117*'Control Room'!$H$4*INDEX('Control Room'!$B$19:$H$19,1,WEEKDAY($A117,2))*(1+'Control Room'!$D$9)^115*'Process'!F117),2),"")</x:f>
        <x:v>1256.57</x:v>
      </x:c>
      <x:c r="D117" s="16" t="n">
        <x:f>IF(AND(AND(116&lt;='Control Room'!$B$3,'Control Room'!$D$3="Ready"),2&lt;='Control Room'!$B$2),ROUND(MAX(0,'Process'!J117*'Control Room'!$H$5*INDEX('Control Room'!$B$19:$H$19,1,WEEKDAY($A117,2))*(1+'Control Room'!$D$9)^115*'Process'!K117),2),"")</x:f>
        <x:v>1129.87</x:v>
      </x:c>
      <x:c r="E117" s="16" t="n">
        <x:f>IF(AND(AND(116&lt;='Control Room'!$B$3,'Control Room'!$D$3="Ready"),3&lt;='Control Room'!$B$2),ROUND(MAX(0,'Process'!O117*'Control Room'!$H$6*INDEX('Control Room'!$B$19:$H$19,1,WEEKDAY($A117,2))*(1+'Control Room'!$D$9)^115*'Process'!P117),2),"")</x:f>
        <x:v>1370.01</x:v>
      </x:c>
      <x:c r="F117" s="16" t="n">
        <x:f>IF(AND(AND(116&lt;='Control Room'!$B$3,'Control Room'!$D$3="Ready"),4&lt;='Control Room'!$B$2),ROUND(MAX(0,'Process'!T117*'Control Room'!$H$7*INDEX('Control Room'!$B$19:$H$19,1,WEEKDAY($A117,2))*(1+'Control Room'!$D$9)^115*'Process'!U117),2),"")</x:f>
        <x:v>833.07</x:v>
      </x:c>
      <x:c r="G117" s="16" t="str">
        <x:f>IF(AND(AND(116&lt;='Control Room'!$B$3,'Control Room'!$D$3="Ready"),5&lt;='Control Room'!$B$2),ROUND(MAX(0,'Process'!Y117*'Control Room'!$H$8*INDEX('Control Room'!$B$19:$H$19,1,WEEKDAY($A117,2))*(1+'Control Room'!$D$9)^115*'Process'!Z117),2),"")</x:f>
      </x:c>
      <x:c r="H117" s="16" t="str">
        <x:f>IF(AND(AND(116&lt;='Control Room'!$B$3,'Control Room'!$D$3="Ready"),6&lt;='Control Room'!$B$2),ROUND(MAX(0,'Process'!AD117*'Control Room'!$H$9*INDEX('Control Room'!$B$19:$H$19,1,WEEKDAY($A117,2))*(1+'Control Room'!$D$9)^115*'Process'!AE117),2),"")</x:f>
      </x:c>
      <x:c r="I117" s="16" t="str">
        <x:f>IF(AND(AND(116&lt;='Control Room'!$B$3,'Control Room'!$D$3="Ready"),7&lt;='Control Room'!$B$2),ROUND(MAX(0,'Process'!AI117*'Control Room'!$H$10*INDEX('Control Room'!$B$19:$H$19,1,WEEKDAY($A117,2))*(1+'Control Room'!$D$9)^115*'Process'!AJ117),2),"")</x:f>
      </x:c>
      <x:c r="J117" s="16" t="str">
        <x:f>IF(AND(AND(116&lt;='Control Room'!$B$3,'Control Room'!$D$3="Ready"),8&lt;='Control Room'!$B$2),ROUND(MAX(0,'Process'!AN117*'Control Room'!$H$11*INDEX('Control Room'!$B$19:$H$19,1,WEEKDAY($A117,2))*(1+'Control Room'!$D$9)^115*'Process'!AO117),2),"")</x:f>
      </x:c>
      <x:c r="K117" s="16" t="str">
        <x:f>IF(AND(AND(116&lt;='Control Room'!$B$3,'Control Room'!$D$3="Ready"),9&lt;='Control Room'!$B$2),ROUND(MAX(0,'Process'!AS117*'Control Room'!$H$12*INDEX('Control Room'!$B$19:$H$19,1,WEEKDAY($A117,2))*(1+'Control Room'!$D$9)^115*'Process'!AT117),2),"")</x:f>
      </x:c>
      <x:c r="L117" s="16" t="str">
        <x:f>IF(AND(AND(116&lt;='Control Room'!$B$3,'Control Room'!$D$3="Ready"),10&lt;='Control Room'!$B$2),ROUND(MAX(0,'Process'!AX117*'Control Room'!$H$13*INDEX('Control Room'!$B$19:$H$19,1,WEEKDAY($A117,2))*(1+'Control Room'!$D$9)^115*'Process'!AY117),2),"")</x:f>
      </x:c>
      <x:c r="M117" s="16" t="str">
        <x:f>IF(AND(AND(116&lt;='Control Room'!$B$3,'Control Room'!$D$3="Ready"),11&lt;='Control Room'!$B$2),ROUND(MAX(0,'Process'!BC117*'Control Room'!$H$14*INDEX('Control Room'!$B$19:$H$19,1,WEEKDAY($A117,2))*(1+'Control Room'!$D$9)^115*'Process'!BD117),2),"")</x:f>
      </x:c>
      <x:c r="N117" s="16" t="str">
        <x:f>IF(AND(AND(116&lt;='Control Room'!$B$3,'Control Room'!$D$3="Ready"),12&lt;='Control Room'!$B$2),ROUND(MAX(0,'Process'!BH117*'Control Room'!$H$15*INDEX('Control Room'!$B$19:$H$19,1,WEEKDAY($A117,2))*(1+'Control Room'!$D$9)^115*'Process'!BI117),2),"")</x:f>
      </x:c>
    </x:row>
    <x:row r="118" ht="21" customHeight="1">
      <x:c r="A118" s="15" t="n">
        <x:f>IF(AND(117&lt;='Control Room'!$B$3,'Control Room'!$D$3="Ready"),'Process'!A118,"")</x:f>
        <x:v>73107</x:v>
      </x:c>
      <x:c r="B118" s="16" t="n">
        <x:f>IF(A118="","",SUM(C118:N118))</x:f>
        <x:v>4467.23</x:v>
      </x:c>
      <x:c r="C118" s="16" t="n">
        <x:f>IF(AND(AND(117&lt;='Control Room'!$B$3,'Control Room'!$D$3="Ready"),1&lt;='Control Room'!$B$2),ROUND(MAX(0,'Process'!E118*'Control Room'!$H$4*INDEX('Control Room'!$B$19:$H$19,1,WEEKDAY($A118,2))*(1+'Control Room'!$D$9)^116*'Process'!F118),2),"")</x:f>
        <x:v>1079.25</x:v>
      </x:c>
      <x:c r="D118" s="16" t="n">
        <x:f>IF(AND(AND(117&lt;='Control Room'!$B$3,'Control Room'!$D$3="Ready"),2&lt;='Control Room'!$B$2),ROUND(MAX(0,'Process'!J118*'Control Room'!$H$5*INDEX('Control Room'!$B$19:$H$19,1,WEEKDAY($A118,2))*(1+'Control Room'!$D$9)^116*'Process'!K118),2),"")</x:f>
        <x:v>1038.58</x:v>
      </x:c>
      <x:c r="E118" s="16" t="n">
        <x:f>IF(AND(AND(117&lt;='Control Room'!$B$3,'Control Room'!$D$3="Ready"),3&lt;='Control Room'!$B$2),ROUND(MAX(0,'Process'!O118*'Control Room'!$H$6*INDEX('Control Room'!$B$19:$H$19,1,WEEKDAY($A118,2))*(1+'Control Room'!$D$9)^116*'Process'!P118),2),"")</x:f>
        <x:v>1487.08</x:v>
      </x:c>
      <x:c r="F118" s="16" t="n">
        <x:f>IF(AND(AND(117&lt;='Control Room'!$B$3,'Control Room'!$D$3="Ready"),4&lt;='Control Room'!$B$2),ROUND(MAX(0,'Process'!T118*'Control Room'!$H$7*INDEX('Control Room'!$B$19:$H$19,1,WEEKDAY($A118,2))*(1+'Control Room'!$D$9)^116*'Process'!U118),2),"")</x:f>
        <x:v>862.32</x:v>
      </x:c>
      <x:c r="G118" s="16" t="str">
        <x:f>IF(AND(AND(117&lt;='Control Room'!$B$3,'Control Room'!$D$3="Ready"),5&lt;='Control Room'!$B$2),ROUND(MAX(0,'Process'!Y118*'Control Room'!$H$8*INDEX('Control Room'!$B$19:$H$19,1,WEEKDAY($A118,2))*(1+'Control Room'!$D$9)^116*'Process'!Z118),2),"")</x:f>
      </x:c>
      <x:c r="H118" s="16" t="str">
        <x:f>IF(AND(AND(117&lt;='Control Room'!$B$3,'Control Room'!$D$3="Ready"),6&lt;='Control Room'!$B$2),ROUND(MAX(0,'Process'!AD118*'Control Room'!$H$9*INDEX('Control Room'!$B$19:$H$19,1,WEEKDAY($A118,2))*(1+'Control Room'!$D$9)^116*'Process'!AE118),2),"")</x:f>
      </x:c>
      <x:c r="I118" s="16" t="str">
        <x:f>IF(AND(AND(117&lt;='Control Room'!$B$3,'Control Room'!$D$3="Ready"),7&lt;='Control Room'!$B$2),ROUND(MAX(0,'Process'!AI118*'Control Room'!$H$10*INDEX('Control Room'!$B$19:$H$19,1,WEEKDAY($A118,2))*(1+'Control Room'!$D$9)^116*'Process'!AJ118),2),"")</x:f>
      </x:c>
      <x:c r="J118" s="16" t="str">
        <x:f>IF(AND(AND(117&lt;='Control Room'!$B$3,'Control Room'!$D$3="Ready"),8&lt;='Control Room'!$B$2),ROUND(MAX(0,'Process'!AN118*'Control Room'!$H$11*INDEX('Control Room'!$B$19:$H$19,1,WEEKDAY($A118,2))*(1+'Control Room'!$D$9)^116*'Process'!AO118),2),"")</x:f>
      </x:c>
      <x:c r="K118" s="16" t="str">
        <x:f>IF(AND(AND(117&lt;='Control Room'!$B$3,'Control Room'!$D$3="Ready"),9&lt;='Control Room'!$B$2),ROUND(MAX(0,'Process'!AS118*'Control Room'!$H$12*INDEX('Control Room'!$B$19:$H$19,1,WEEKDAY($A118,2))*(1+'Control Room'!$D$9)^116*'Process'!AT118),2),"")</x:f>
      </x:c>
      <x:c r="L118" s="16" t="str">
        <x:f>IF(AND(AND(117&lt;='Control Room'!$B$3,'Control Room'!$D$3="Ready"),10&lt;='Control Room'!$B$2),ROUND(MAX(0,'Process'!AX118*'Control Room'!$H$13*INDEX('Control Room'!$B$19:$H$19,1,WEEKDAY($A118,2))*(1+'Control Room'!$D$9)^116*'Process'!AY118),2),"")</x:f>
      </x:c>
      <x:c r="M118" s="16" t="str">
        <x:f>IF(AND(AND(117&lt;='Control Room'!$B$3,'Control Room'!$D$3="Ready"),11&lt;='Control Room'!$B$2),ROUND(MAX(0,'Process'!BC118*'Control Room'!$H$14*INDEX('Control Room'!$B$19:$H$19,1,WEEKDAY($A118,2))*(1+'Control Room'!$D$9)^116*'Process'!BD118),2),"")</x:f>
      </x:c>
      <x:c r="N118" s="16" t="str">
        <x:f>IF(AND(AND(117&lt;='Control Room'!$B$3,'Control Room'!$D$3="Ready"),12&lt;='Control Room'!$B$2),ROUND(MAX(0,'Process'!BH118*'Control Room'!$H$15*INDEX('Control Room'!$B$19:$H$19,1,WEEKDAY($A118,2))*(1+'Control Room'!$D$9)^116*'Process'!BI118),2),"")</x:f>
      </x:c>
    </x:row>
    <x:row r="119" ht="21" customHeight="1">
      <x:c r="A119" s="15" t="n">
        <x:f>IF(AND(118&lt;='Control Room'!$B$3,'Control Room'!$D$3="Ready"),'Process'!A119,"")</x:f>
        <x:v>73108</x:v>
      </x:c>
      <x:c r="B119" s="16" t="n">
        <x:f>IF(A119="","",SUM(C119:N119))</x:f>
        <x:v>3456.7699999999995</x:v>
      </x:c>
      <x:c r="C119" s="16" t="n">
        <x:f>IF(AND(AND(118&lt;='Control Room'!$B$3,'Control Room'!$D$3="Ready"),1&lt;='Control Room'!$B$2),ROUND(MAX(0,'Process'!E119*'Control Room'!$H$4*INDEX('Control Room'!$B$19:$H$19,1,WEEKDAY($A119,2))*(1+'Control Room'!$D$9)^117*'Process'!F119),2),"")</x:f>
        <x:v>833.99</x:v>
      </x:c>
      <x:c r="D119" s="16" t="n">
        <x:f>IF(AND(AND(118&lt;='Control Room'!$B$3,'Control Room'!$D$3="Ready"),2&lt;='Control Room'!$B$2),ROUND(MAX(0,'Process'!J119*'Control Room'!$H$5*INDEX('Control Room'!$B$19:$H$19,1,WEEKDAY($A119,2))*(1+'Control Room'!$D$9)^117*'Process'!K119),2),"")</x:f>
        <x:v>815.49</x:v>
      </x:c>
      <x:c r="E119" s="16" t="n">
        <x:f>IF(AND(AND(118&lt;='Control Room'!$B$3,'Control Room'!$D$3="Ready"),3&lt;='Control Room'!$B$2),ROUND(MAX(0,'Process'!O119*'Control Room'!$H$6*INDEX('Control Room'!$B$19:$H$19,1,WEEKDAY($A119,2))*(1+'Control Room'!$D$9)^117*'Process'!P119),2),"")</x:f>
        <x:v>1126.34</x:v>
      </x:c>
      <x:c r="F119" s="16" t="n">
        <x:f>IF(AND(AND(118&lt;='Control Room'!$B$3,'Control Room'!$D$3="Ready"),4&lt;='Control Room'!$B$2),ROUND(MAX(0,'Process'!T119*'Control Room'!$H$7*INDEX('Control Room'!$B$19:$H$19,1,WEEKDAY($A119,2))*(1+'Control Room'!$D$9)^117*'Process'!U119),2),"")</x:f>
        <x:v>680.95</x:v>
      </x:c>
      <x:c r="G119" s="16" t="str">
        <x:f>IF(AND(AND(118&lt;='Control Room'!$B$3,'Control Room'!$D$3="Ready"),5&lt;='Control Room'!$B$2),ROUND(MAX(0,'Process'!Y119*'Control Room'!$H$8*INDEX('Control Room'!$B$19:$H$19,1,WEEKDAY($A119,2))*(1+'Control Room'!$D$9)^117*'Process'!Z119),2),"")</x:f>
      </x:c>
      <x:c r="H119" s="16" t="str">
        <x:f>IF(AND(AND(118&lt;='Control Room'!$B$3,'Control Room'!$D$3="Ready"),6&lt;='Control Room'!$B$2),ROUND(MAX(0,'Process'!AD119*'Control Room'!$H$9*INDEX('Control Room'!$B$19:$H$19,1,WEEKDAY($A119,2))*(1+'Control Room'!$D$9)^117*'Process'!AE119),2),"")</x:f>
      </x:c>
      <x:c r="I119" s="16" t="str">
        <x:f>IF(AND(AND(118&lt;='Control Room'!$B$3,'Control Room'!$D$3="Ready"),7&lt;='Control Room'!$B$2),ROUND(MAX(0,'Process'!AI119*'Control Room'!$H$10*INDEX('Control Room'!$B$19:$H$19,1,WEEKDAY($A119,2))*(1+'Control Room'!$D$9)^117*'Process'!AJ119),2),"")</x:f>
      </x:c>
      <x:c r="J119" s="16" t="str">
        <x:f>IF(AND(AND(118&lt;='Control Room'!$B$3,'Control Room'!$D$3="Ready"),8&lt;='Control Room'!$B$2),ROUND(MAX(0,'Process'!AN119*'Control Room'!$H$11*INDEX('Control Room'!$B$19:$H$19,1,WEEKDAY($A119,2))*(1+'Control Room'!$D$9)^117*'Process'!AO119),2),"")</x:f>
      </x:c>
      <x:c r="K119" s="16" t="str">
        <x:f>IF(AND(AND(118&lt;='Control Room'!$B$3,'Control Room'!$D$3="Ready"),9&lt;='Control Room'!$B$2),ROUND(MAX(0,'Process'!AS119*'Control Room'!$H$12*INDEX('Control Room'!$B$19:$H$19,1,WEEKDAY($A119,2))*(1+'Control Room'!$D$9)^117*'Process'!AT119),2),"")</x:f>
      </x:c>
      <x:c r="L119" s="16" t="str">
        <x:f>IF(AND(AND(118&lt;='Control Room'!$B$3,'Control Room'!$D$3="Ready"),10&lt;='Control Room'!$B$2),ROUND(MAX(0,'Process'!AX119*'Control Room'!$H$13*INDEX('Control Room'!$B$19:$H$19,1,WEEKDAY($A119,2))*(1+'Control Room'!$D$9)^117*'Process'!AY119),2),"")</x:f>
      </x:c>
      <x:c r="M119" s="16" t="str">
        <x:f>IF(AND(AND(118&lt;='Control Room'!$B$3,'Control Room'!$D$3="Ready"),11&lt;='Control Room'!$B$2),ROUND(MAX(0,'Process'!BC119*'Control Room'!$H$14*INDEX('Control Room'!$B$19:$H$19,1,WEEKDAY($A119,2))*(1+'Control Room'!$D$9)^117*'Process'!BD119),2),"")</x:f>
      </x:c>
      <x:c r="N119" s="16" t="str">
        <x:f>IF(AND(AND(118&lt;='Control Room'!$B$3,'Control Room'!$D$3="Ready"),12&lt;='Control Room'!$B$2),ROUND(MAX(0,'Process'!BH119*'Control Room'!$H$15*INDEX('Control Room'!$B$19:$H$19,1,WEEKDAY($A119,2))*(1+'Control Room'!$D$9)^117*'Process'!BI119),2),"")</x:f>
      </x:c>
    </x:row>
    <x:row r="120" ht="21" customHeight="1">
      <x:c r="A120" s="15" t="n">
        <x:f>IF(AND(119&lt;='Control Room'!$B$3,'Control Room'!$D$3="Ready"),'Process'!A120,"")</x:f>
        <x:v>73109</x:v>
      </x:c>
      <x:c r="B120" s="16" t="n">
        <x:f>IF(A120="","",SUM(C120:N120))</x:f>
        <x:v>2507.72</x:v>
      </x:c>
      <x:c r="C120" s="16" t="n">
        <x:f>IF(AND(AND(119&lt;='Control Room'!$B$3,'Control Room'!$D$3="Ready"),1&lt;='Control Room'!$B$2),ROUND(MAX(0,'Process'!E120*'Control Room'!$H$4*INDEX('Control Room'!$B$19:$H$19,1,WEEKDAY($A120,2))*(1+'Control Room'!$D$9)^118*'Process'!F120),2),"")</x:f>
        <x:v>621.38</x:v>
      </x:c>
      <x:c r="D120" s="16" t="n">
        <x:f>IF(AND(AND(119&lt;='Control Room'!$B$3,'Control Room'!$D$3="Ready"),2&lt;='Control Room'!$B$2),ROUND(MAX(0,'Process'!J120*'Control Room'!$H$5*INDEX('Control Room'!$B$19:$H$19,1,WEEKDAY($A120,2))*(1+'Control Room'!$D$9)^118*'Process'!K120),2),"")</x:f>
        <x:v>607.13</x:v>
      </x:c>
      <x:c r="E120" s="16" t="n">
        <x:f>IF(AND(AND(119&lt;='Control Room'!$B$3,'Control Room'!$D$3="Ready"),3&lt;='Control Room'!$B$2),ROUND(MAX(0,'Process'!O120*'Control Room'!$H$6*INDEX('Control Room'!$B$19:$H$19,1,WEEKDAY($A120,2))*(1+'Control Room'!$D$9)^118*'Process'!P120),2),"")</x:f>
        <x:v>769.61</x:v>
      </x:c>
      <x:c r="F120" s="16" t="n">
        <x:f>IF(AND(AND(119&lt;='Control Room'!$B$3,'Control Room'!$D$3="Ready"),4&lt;='Control Room'!$B$2),ROUND(MAX(0,'Process'!T120*'Control Room'!$H$7*INDEX('Control Room'!$B$19:$H$19,1,WEEKDAY($A120,2))*(1+'Control Room'!$D$9)^118*'Process'!U120),2),"")</x:f>
        <x:v>509.6</x:v>
      </x:c>
      <x:c r="G120" s="16" t="str">
        <x:f>IF(AND(AND(119&lt;='Control Room'!$B$3,'Control Room'!$D$3="Ready"),5&lt;='Control Room'!$B$2),ROUND(MAX(0,'Process'!Y120*'Control Room'!$H$8*INDEX('Control Room'!$B$19:$H$19,1,WEEKDAY($A120,2))*(1+'Control Room'!$D$9)^118*'Process'!Z120),2),"")</x:f>
      </x:c>
      <x:c r="H120" s="16" t="str">
        <x:f>IF(AND(AND(119&lt;='Control Room'!$B$3,'Control Room'!$D$3="Ready"),6&lt;='Control Room'!$B$2),ROUND(MAX(0,'Process'!AD120*'Control Room'!$H$9*INDEX('Control Room'!$B$19:$H$19,1,WEEKDAY($A120,2))*(1+'Control Room'!$D$9)^118*'Process'!AE120),2),"")</x:f>
      </x:c>
      <x:c r="I120" s="16" t="str">
        <x:f>IF(AND(AND(119&lt;='Control Room'!$B$3,'Control Room'!$D$3="Ready"),7&lt;='Control Room'!$B$2),ROUND(MAX(0,'Process'!AI120*'Control Room'!$H$10*INDEX('Control Room'!$B$19:$H$19,1,WEEKDAY($A120,2))*(1+'Control Room'!$D$9)^118*'Process'!AJ120),2),"")</x:f>
      </x:c>
      <x:c r="J120" s="16" t="str">
        <x:f>IF(AND(AND(119&lt;='Control Room'!$B$3,'Control Room'!$D$3="Ready"),8&lt;='Control Room'!$B$2),ROUND(MAX(0,'Process'!AN120*'Control Room'!$H$11*INDEX('Control Room'!$B$19:$H$19,1,WEEKDAY($A120,2))*(1+'Control Room'!$D$9)^118*'Process'!AO120),2),"")</x:f>
      </x:c>
      <x:c r="K120" s="16" t="str">
        <x:f>IF(AND(AND(119&lt;='Control Room'!$B$3,'Control Room'!$D$3="Ready"),9&lt;='Control Room'!$B$2),ROUND(MAX(0,'Process'!AS120*'Control Room'!$H$12*INDEX('Control Room'!$B$19:$H$19,1,WEEKDAY($A120,2))*(1+'Control Room'!$D$9)^118*'Process'!AT120),2),"")</x:f>
      </x:c>
      <x:c r="L120" s="16" t="str">
        <x:f>IF(AND(AND(119&lt;='Control Room'!$B$3,'Control Room'!$D$3="Ready"),10&lt;='Control Room'!$B$2),ROUND(MAX(0,'Process'!AX120*'Control Room'!$H$13*INDEX('Control Room'!$B$19:$H$19,1,WEEKDAY($A120,2))*(1+'Control Room'!$D$9)^118*'Process'!AY120),2),"")</x:f>
      </x:c>
      <x:c r="M120" s="16" t="str">
        <x:f>IF(AND(AND(119&lt;='Control Room'!$B$3,'Control Room'!$D$3="Ready"),11&lt;='Control Room'!$B$2),ROUND(MAX(0,'Process'!BC120*'Control Room'!$H$14*INDEX('Control Room'!$B$19:$H$19,1,WEEKDAY($A120,2))*(1+'Control Room'!$D$9)^118*'Process'!BD120),2),"")</x:f>
      </x:c>
      <x:c r="N120" s="16" t="str">
        <x:f>IF(AND(AND(119&lt;='Control Room'!$B$3,'Control Room'!$D$3="Ready"),12&lt;='Control Room'!$B$2),ROUND(MAX(0,'Process'!BH120*'Control Room'!$H$15*INDEX('Control Room'!$B$19:$H$19,1,WEEKDAY($A120,2))*(1+'Control Room'!$D$9)^118*'Process'!BI120),2),"")</x:f>
      </x:c>
    </x:row>
    <x:row r="121" ht="21" customHeight="1">
      <x:c r="A121" s="15" t="n">
        <x:f>IF(AND(120&lt;='Control Room'!$B$3,'Control Room'!$D$3="Ready"),'Process'!A121,"")</x:f>
        <x:v>73110</x:v>
      </x:c>
      <x:c r="B121" s="16" t="n">
        <x:f>IF(A121="","",SUM(C121:N121))</x:f>
        <x:v>4321.96</x:v>
      </x:c>
      <x:c r="C121" s="16" t="n">
        <x:f>IF(AND(AND(120&lt;='Control Room'!$B$3,'Control Room'!$D$3="Ready"),1&lt;='Control Room'!$B$2),ROUND(MAX(0,'Process'!E121*'Control Room'!$H$4*INDEX('Control Room'!$B$19:$H$19,1,WEEKDAY($A121,2))*(1+'Control Room'!$D$9)^119*'Process'!F121),2),"")</x:f>
        <x:v>1032</x:v>
      </x:c>
      <x:c r="D121" s="16" t="n">
        <x:f>IF(AND(AND(120&lt;='Control Room'!$B$3,'Control Room'!$D$3="Ready"),2&lt;='Control Room'!$B$2),ROUND(MAX(0,'Process'!J121*'Control Room'!$H$5*INDEX('Control Room'!$B$19:$H$19,1,WEEKDAY($A121,2))*(1+'Control Room'!$D$9)^119*'Process'!K121),2),"")</x:f>
        <x:v>1021.56</x:v>
      </x:c>
      <x:c r="E121" s="16" t="n">
        <x:f>IF(AND(AND(120&lt;='Control Room'!$B$3,'Control Room'!$D$3="Ready"),3&lt;='Control Room'!$B$2),ROUND(MAX(0,'Process'!O121*'Control Room'!$H$6*INDEX('Control Room'!$B$19:$H$19,1,WEEKDAY($A121,2))*(1+'Control Room'!$D$9)^119*'Process'!P121),2),"")</x:f>
        <x:v>1441.44</x:v>
      </x:c>
      <x:c r="F121" s="16" t="n">
        <x:f>IF(AND(AND(120&lt;='Control Room'!$B$3,'Control Room'!$D$3="Ready"),4&lt;='Control Room'!$B$2),ROUND(MAX(0,'Process'!T121*'Control Room'!$H$7*INDEX('Control Room'!$B$19:$H$19,1,WEEKDAY($A121,2))*(1+'Control Room'!$D$9)^119*'Process'!U121),2),"")</x:f>
        <x:v>826.96</x:v>
      </x:c>
      <x:c r="G121" s="16" t="str">
        <x:f>IF(AND(AND(120&lt;='Control Room'!$B$3,'Control Room'!$D$3="Ready"),5&lt;='Control Room'!$B$2),ROUND(MAX(0,'Process'!Y121*'Control Room'!$H$8*INDEX('Control Room'!$B$19:$H$19,1,WEEKDAY($A121,2))*(1+'Control Room'!$D$9)^119*'Process'!Z121),2),"")</x:f>
      </x:c>
      <x:c r="H121" s="16" t="str">
        <x:f>IF(AND(AND(120&lt;='Control Room'!$B$3,'Control Room'!$D$3="Ready"),6&lt;='Control Room'!$B$2),ROUND(MAX(0,'Process'!AD121*'Control Room'!$H$9*INDEX('Control Room'!$B$19:$H$19,1,WEEKDAY($A121,2))*(1+'Control Room'!$D$9)^119*'Process'!AE121),2),"")</x:f>
      </x:c>
      <x:c r="I121" s="16" t="str">
        <x:f>IF(AND(AND(120&lt;='Control Room'!$B$3,'Control Room'!$D$3="Ready"),7&lt;='Control Room'!$B$2),ROUND(MAX(0,'Process'!AI121*'Control Room'!$H$10*INDEX('Control Room'!$B$19:$H$19,1,WEEKDAY($A121,2))*(1+'Control Room'!$D$9)^119*'Process'!AJ121),2),"")</x:f>
      </x:c>
      <x:c r="J121" s="16" t="str">
        <x:f>IF(AND(AND(120&lt;='Control Room'!$B$3,'Control Room'!$D$3="Ready"),8&lt;='Control Room'!$B$2),ROUND(MAX(0,'Process'!AN121*'Control Room'!$H$11*INDEX('Control Room'!$B$19:$H$19,1,WEEKDAY($A121,2))*(1+'Control Room'!$D$9)^119*'Process'!AO121),2),"")</x:f>
      </x:c>
      <x:c r="K121" s="16" t="str">
        <x:f>IF(AND(AND(120&lt;='Control Room'!$B$3,'Control Room'!$D$3="Ready"),9&lt;='Control Room'!$B$2),ROUND(MAX(0,'Process'!AS121*'Control Room'!$H$12*INDEX('Control Room'!$B$19:$H$19,1,WEEKDAY($A121,2))*(1+'Control Room'!$D$9)^119*'Process'!AT121),2),"")</x:f>
      </x:c>
      <x:c r="L121" s="16" t="str">
        <x:f>IF(AND(AND(120&lt;='Control Room'!$B$3,'Control Room'!$D$3="Ready"),10&lt;='Control Room'!$B$2),ROUND(MAX(0,'Process'!AX121*'Control Room'!$H$13*INDEX('Control Room'!$B$19:$H$19,1,WEEKDAY($A121,2))*(1+'Control Room'!$D$9)^119*'Process'!AY121),2),"")</x:f>
      </x:c>
      <x:c r="M121" s="16" t="str">
        <x:f>IF(AND(AND(120&lt;='Control Room'!$B$3,'Control Room'!$D$3="Ready"),11&lt;='Control Room'!$B$2),ROUND(MAX(0,'Process'!BC121*'Control Room'!$H$14*INDEX('Control Room'!$B$19:$H$19,1,WEEKDAY($A121,2))*(1+'Control Room'!$D$9)^119*'Process'!BD121),2),"")</x:f>
      </x:c>
      <x:c r="N121" s="16" t="str">
        <x:f>IF(AND(AND(120&lt;='Control Room'!$B$3,'Control Room'!$D$3="Ready"),12&lt;='Control Room'!$B$2),ROUND(MAX(0,'Process'!BH121*'Control Room'!$H$15*INDEX('Control Room'!$B$19:$H$19,1,WEEKDAY($A121,2))*(1+'Control Room'!$D$9)^119*'Process'!BI121),2),"")</x:f>
      </x:c>
    </x:row>
    <x:row r="122" ht="21" customHeight="1">
      <x:c r="A122" s="15" t="str">
        <x:f>IF(AND(121&lt;='Control Room'!$B$3,'Control Room'!$D$3="Ready"),'Process'!A122,"")</x:f>
      </x:c>
      <x:c r="B122" s="16" t="str">
        <x:f>IF(A122="","",SUM(C122:N122))</x:f>
      </x:c>
      <x:c r="C122" s="16" t="str">
        <x:f>IF(AND(AND(121&lt;='Control Room'!$B$3,'Control Room'!$D$3="Ready"),1&lt;='Control Room'!$B$2),ROUND(MAX(0,'Process'!E122*'Control Room'!$H$4*INDEX('Control Room'!$B$19:$H$19,1,WEEKDAY($A122,2))*(1+'Control Room'!$D$9)^120*'Process'!F122),2),"")</x:f>
      </x:c>
      <x:c r="D122" s="16" t="str">
        <x:f>IF(AND(AND(121&lt;='Control Room'!$B$3,'Control Room'!$D$3="Ready"),2&lt;='Control Room'!$B$2),ROUND(MAX(0,'Process'!J122*'Control Room'!$H$5*INDEX('Control Room'!$B$19:$H$19,1,WEEKDAY($A122,2))*(1+'Control Room'!$D$9)^120*'Process'!K122),2),"")</x:f>
      </x:c>
      <x:c r="E122" s="16" t="str">
        <x:f>IF(AND(AND(121&lt;='Control Room'!$B$3,'Control Room'!$D$3="Ready"),3&lt;='Control Room'!$B$2),ROUND(MAX(0,'Process'!O122*'Control Room'!$H$6*INDEX('Control Room'!$B$19:$H$19,1,WEEKDAY($A122,2))*(1+'Control Room'!$D$9)^120*'Process'!P122),2),"")</x:f>
      </x:c>
      <x:c r="F122" s="16" t="str">
        <x:f>IF(AND(AND(121&lt;='Control Room'!$B$3,'Control Room'!$D$3="Ready"),4&lt;='Control Room'!$B$2),ROUND(MAX(0,'Process'!T122*'Control Room'!$H$7*INDEX('Control Room'!$B$19:$H$19,1,WEEKDAY($A122,2))*(1+'Control Room'!$D$9)^120*'Process'!U122),2),"")</x:f>
      </x:c>
      <x:c r="G122" s="16" t="str">
        <x:f>IF(AND(AND(121&lt;='Control Room'!$B$3,'Control Room'!$D$3="Ready"),5&lt;='Control Room'!$B$2),ROUND(MAX(0,'Process'!Y122*'Control Room'!$H$8*INDEX('Control Room'!$B$19:$H$19,1,WEEKDAY($A122,2))*(1+'Control Room'!$D$9)^120*'Process'!Z122),2),"")</x:f>
      </x:c>
      <x:c r="H122" s="16" t="str">
        <x:f>IF(AND(AND(121&lt;='Control Room'!$B$3,'Control Room'!$D$3="Ready"),6&lt;='Control Room'!$B$2),ROUND(MAX(0,'Process'!AD122*'Control Room'!$H$9*INDEX('Control Room'!$B$19:$H$19,1,WEEKDAY($A122,2))*(1+'Control Room'!$D$9)^120*'Process'!AE122),2),"")</x:f>
      </x:c>
      <x:c r="I122" s="16" t="str">
        <x:f>IF(AND(AND(121&lt;='Control Room'!$B$3,'Control Room'!$D$3="Ready"),7&lt;='Control Room'!$B$2),ROUND(MAX(0,'Process'!AI122*'Control Room'!$H$10*INDEX('Control Room'!$B$19:$H$19,1,WEEKDAY($A122,2))*(1+'Control Room'!$D$9)^120*'Process'!AJ122),2),"")</x:f>
      </x:c>
      <x:c r="J122" s="16" t="str">
        <x:f>IF(AND(AND(121&lt;='Control Room'!$B$3,'Control Room'!$D$3="Ready"),8&lt;='Control Room'!$B$2),ROUND(MAX(0,'Process'!AN122*'Control Room'!$H$11*INDEX('Control Room'!$B$19:$H$19,1,WEEKDAY($A122,2))*(1+'Control Room'!$D$9)^120*'Process'!AO122),2),"")</x:f>
      </x:c>
      <x:c r="K122" s="16" t="str">
        <x:f>IF(AND(AND(121&lt;='Control Room'!$B$3,'Control Room'!$D$3="Ready"),9&lt;='Control Room'!$B$2),ROUND(MAX(0,'Process'!AS122*'Control Room'!$H$12*INDEX('Control Room'!$B$19:$H$19,1,WEEKDAY($A122,2))*(1+'Control Room'!$D$9)^120*'Process'!AT122),2),"")</x:f>
      </x:c>
      <x:c r="L122" s="16" t="str">
        <x:f>IF(AND(AND(121&lt;='Control Room'!$B$3,'Control Room'!$D$3="Ready"),10&lt;='Control Room'!$B$2),ROUND(MAX(0,'Process'!AX122*'Control Room'!$H$13*INDEX('Control Room'!$B$19:$H$19,1,WEEKDAY($A122,2))*(1+'Control Room'!$D$9)^120*'Process'!AY122),2),"")</x:f>
      </x:c>
      <x:c r="M122" s="16" t="str">
        <x:f>IF(AND(AND(121&lt;='Control Room'!$B$3,'Control Room'!$D$3="Ready"),11&lt;='Control Room'!$B$2),ROUND(MAX(0,'Process'!BC122*'Control Room'!$H$14*INDEX('Control Room'!$B$19:$H$19,1,WEEKDAY($A122,2))*(1+'Control Room'!$D$9)^120*'Process'!BD122),2),"")</x:f>
      </x:c>
      <x:c r="N122" s="16" t="str">
        <x:f>IF(AND(AND(121&lt;='Control Room'!$B$3,'Control Room'!$D$3="Ready"),12&lt;='Control Room'!$B$2),ROUND(MAX(0,'Process'!BH122*'Control Room'!$H$15*INDEX('Control Room'!$B$19:$H$19,1,WEEKDAY($A122,2))*(1+'Control Room'!$D$9)^120*'Process'!BI122),2),"")</x:f>
      </x:c>
    </x:row>
    <x:row r="123" ht="21" customHeight="1">
      <x:c r="A123" s="15" t="str">
        <x:f>IF(AND(122&lt;='Control Room'!$B$3,'Control Room'!$D$3="Ready"),'Process'!A123,"")</x:f>
      </x:c>
      <x:c r="B123" s="16" t="str">
        <x:f>IF(A123="","",SUM(C123:N123))</x:f>
      </x:c>
      <x:c r="C123" s="16" t="str">
        <x:f>IF(AND(AND(122&lt;='Control Room'!$B$3,'Control Room'!$D$3="Ready"),1&lt;='Control Room'!$B$2),ROUND(MAX(0,'Process'!E123*'Control Room'!$H$4*INDEX('Control Room'!$B$19:$H$19,1,WEEKDAY($A123,2))*(1+'Control Room'!$D$9)^121*'Process'!F123),2),"")</x:f>
      </x:c>
      <x:c r="D123" s="16" t="str">
        <x:f>IF(AND(AND(122&lt;='Control Room'!$B$3,'Control Room'!$D$3="Ready"),2&lt;='Control Room'!$B$2),ROUND(MAX(0,'Process'!J123*'Control Room'!$H$5*INDEX('Control Room'!$B$19:$H$19,1,WEEKDAY($A123,2))*(1+'Control Room'!$D$9)^121*'Process'!K123),2),"")</x:f>
      </x:c>
      <x:c r="E123" s="16" t="str">
        <x:f>IF(AND(AND(122&lt;='Control Room'!$B$3,'Control Room'!$D$3="Ready"),3&lt;='Control Room'!$B$2),ROUND(MAX(0,'Process'!O123*'Control Room'!$H$6*INDEX('Control Room'!$B$19:$H$19,1,WEEKDAY($A123,2))*(1+'Control Room'!$D$9)^121*'Process'!P123),2),"")</x:f>
      </x:c>
      <x:c r="F123" s="16" t="str">
        <x:f>IF(AND(AND(122&lt;='Control Room'!$B$3,'Control Room'!$D$3="Ready"),4&lt;='Control Room'!$B$2),ROUND(MAX(0,'Process'!T123*'Control Room'!$H$7*INDEX('Control Room'!$B$19:$H$19,1,WEEKDAY($A123,2))*(1+'Control Room'!$D$9)^121*'Process'!U123),2),"")</x:f>
      </x:c>
      <x:c r="G123" s="16" t="str">
        <x:f>IF(AND(AND(122&lt;='Control Room'!$B$3,'Control Room'!$D$3="Ready"),5&lt;='Control Room'!$B$2),ROUND(MAX(0,'Process'!Y123*'Control Room'!$H$8*INDEX('Control Room'!$B$19:$H$19,1,WEEKDAY($A123,2))*(1+'Control Room'!$D$9)^121*'Process'!Z123),2),"")</x:f>
      </x:c>
      <x:c r="H123" s="16" t="str">
        <x:f>IF(AND(AND(122&lt;='Control Room'!$B$3,'Control Room'!$D$3="Ready"),6&lt;='Control Room'!$B$2),ROUND(MAX(0,'Process'!AD123*'Control Room'!$H$9*INDEX('Control Room'!$B$19:$H$19,1,WEEKDAY($A123,2))*(1+'Control Room'!$D$9)^121*'Process'!AE123),2),"")</x:f>
      </x:c>
      <x:c r="I123" s="16" t="str">
        <x:f>IF(AND(AND(122&lt;='Control Room'!$B$3,'Control Room'!$D$3="Ready"),7&lt;='Control Room'!$B$2),ROUND(MAX(0,'Process'!AI123*'Control Room'!$H$10*INDEX('Control Room'!$B$19:$H$19,1,WEEKDAY($A123,2))*(1+'Control Room'!$D$9)^121*'Process'!AJ123),2),"")</x:f>
      </x:c>
      <x:c r="J123" s="16" t="str">
        <x:f>IF(AND(AND(122&lt;='Control Room'!$B$3,'Control Room'!$D$3="Ready"),8&lt;='Control Room'!$B$2),ROUND(MAX(0,'Process'!AN123*'Control Room'!$H$11*INDEX('Control Room'!$B$19:$H$19,1,WEEKDAY($A123,2))*(1+'Control Room'!$D$9)^121*'Process'!AO123),2),"")</x:f>
      </x:c>
      <x:c r="K123" s="16" t="str">
        <x:f>IF(AND(AND(122&lt;='Control Room'!$B$3,'Control Room'!$D$3="Ready"),9&lt;='Control Room'!$B$2),ROUND(MAX(0,'Process'!AS123*'Control Room'!$H$12*INDEX('Control Room'!$B$19:$H$19,1,WEEKDAY($A123,2))*(1+'Control Room'!$D$9)^121*'Process'!AT123),2),"")</x:f>
      </x:c>
      <x:c r="L123" s="16" t="str">
        <x:f>IF(AND(AND(122&lt;='Control Room'!$B$3,'Control Room'!$D$3="Ready"),10&lt;='Control Room'!$B$2),ROUND(MAX(0,'Process'!AX123*'Control Room'!$H$13*INDEX('Control Room'!$B$19:$H$19,1,WEEKDAY($A123,2))*(1+'Control Room'!$D$9)^121*'Process'!AY123),2),"")</x:f>
      </x:c>
      <x:c r="M123" s="16" t="str">
        <x:f>IF(AND(AND(122&lt;='Control Room'!$B$3,'Control Room'!$D$3="Ready"),11&lt;='Control Room'!$B$2),ROUND(MAX(0,'Process'!BC123*'Control Room'!$H$14*INDEX('Control Room'!$B$19:$H$19,1,WEEKDAY($A123,2))*(1+'Control Room'!$D$9)^121*'Process'!BD123),2),"")</x:f>
      </x:c>
      <x:c r="N123" s="16" t="str">
        <x:f>IF(AND(AND(122&lt;='Control Room'!$B$3,'Control Room'!$D$3="Ready"),12&lt;='Control Room'!$B$2),ROUND(MAX(0,'Process'!BH123*'Control Room'!$H$15*INDEX('Control Room'!$B$19:$H$19,1,WEEKDAY($A123,2))*(1+'Control Room'!$D$9)^121*'Process'!BI123),2),"")</x:f>
      </x:c>
    </x:row>
    <x:row r="124" ht="21" customHeight="1">
      <x:c r="A124" s="15" t="str">
        <x:f>IF(AND(123&lt;='Control Room'!$B$3,'Control Room'!$D$3="Ready"),'Process'!A124,"")</x:f>
      </x:c>
      <x:c r="B124" s="16" t="str">
        <x:f>IF(A124="","",SUM(C124:N124))</x:f>
      </x:c>
      <x:c r="C124" s="16" t="str">
        <x:f>IF(AND(AND(123&lt;='Control Room'!$B$3,'Control Room'!$D$3="Ready"),1&lt;='Control Room'!$B$2),ROUND(MAX(0,'Process'!E124*'Control Room'!$H$4*INDEX('Control Room'!$B$19:$H$19,1,WEEKDAY($A124,2))*(1+'Control Room'!$D$9)^122*'Process'!F124),2),"")</x:f>
      </x:c>
      <x:c r="D124" s="16" t="str">
        <x:f>IF(AND(AND(123&lt;='Control Room'!$B$3,'Control Room'!$D$3="Ready"),2&lt;='Control Room'!$B$2),ROUND(MAX(0,'Process'!J124*'Control Room'!$H$5*INDEX('Control Room'!$B$19:$H$19,1,WEEKDAY($A124,2))*(1+'Control Room'!$D$9)^122*'Process'!K124),2),"")</x:f>
      </x:c>
      <x:c r="E124" s="16" t="str">
        <x:f>IF(AND(AND(123&lt;='Control Room'!$B$3,'Control Room'!$D$3="Ready"),3&lt;='Control Room'!$B$2),ROUND(MAX(0,'Process'!O124*'Control Room'!$H$6*INDEX('Control Room'!$B$19:$H$19,1,WEEKDAY($A124,2))*(1+'Control Room'!$D$9)^122*'Process'!P124),2),"")</x:f>
      </x:c>
      <x:c r="F124" s="16" t="str">
        <x:f>IF(AND(AND(123&lt;='Control Room'!$B$3,'Control Room'!$D$3="Ready"),4&lt;='Control Room'!$B$2),ROUND(MAX(0,'Process'!T124*'Control Room'!$H$7*INDEX('Control Room'!$B$19:$H$19,1,WEEKDAY($A124,2))*(1+'Control Room'!$D$9)^122*'Process'!U124),2),"")</x:f>
      </x:c>
      <x:c r="G124" s="16" t="str">
        <x:f>IF(AND(AND(123&lt;='Control Room'!$B$3,'Control Room'!$D$3="Ready"),5&lt;='Control Room'!$B$2),ROUND(MAX(0,'Process'!Y124*'Control Room'!$H$8*INDEX('Control Room'!$B$19:$H$19,1,WEEKDAY($A124,2))*(1+'Control Room'!$D$9)^122*'Process'!Z124),2),"")</x:f>
      </x:c>
      <x:c r="H124" s="16" t="str">
        <x:f>IF(AND(AND(123&lt;='Control Room'!$B$3,'Control Room'!$D$3="Ready"),6&lt;='Control Room'!$B$2),ROUND(MAX(0,'Process'!AD124*'Control Room'!$H$9*INDEX('Control Room'!$B$19:$H$19,1,WEEKDAY($A124,2))*(1+'Control Room'!$D$9)^122*'Process'!AE124),2),"")</x:f>
      </x:c>
      <x:c r="I124" s="16" t="str">
        <x:f>IF(AND(AND(123&lt;='Control Room'!$B$3,'Control Room'!$D$3="Ready"),7&lt;='Control Room'!$B$2),ROUND(MAX(0,'Process'!AI124*'Control Room'!$H$10*INDEX('Control Room'!$B$19:$H$19,1,WEEKDAY($A124,2))*(1+'Control Room'!$D$9)^122*'Process'!AJ124),2),"")</x:f>
      </x:c>
      <x:c r="J124" s="16" t="str">
        <x:f>IF(AND(AND(123&lt;='Control Room'!$B$3,'Control Room'!$D$3="Ready"),8&lt;='Control Room'!$B$2),ROUND(MAX(0,'Process'!AN124*'Control Room'!$H$11*INDEX('Control Room'!$B$19:$H$19,1,WEEKDAY($A124,2))*(1+'Control Room'!$D$9)^122*'Process'!AO124),2),"")</x:f>
      </x:c>
      <x:c r="K124" s="16" t="str">
        <x:f>IF(AND(AND(123&lt;='Control Room'!$B$3,'Control Room'!$D$3="Ready"),9&lt;='Control Room'!$B$2),ROUND(MAX(0,'Process'!AS124*'Control Room'!$H$12*INDEX('Control Room'!$B$19:$H$19,1,WEEKDAY($A124,2))*(1+'Control Room'!$D$9)^122*'Process'!AT124),2),"")</x:f>
      </x:c>
      <x:c r="L124" s="16" t="str">
        <x:f>IF(AND(AND(123&lt;='Control Room'!$B$3,'Control Room'!$D$3="Ready"),10&lt;='Control Room'!$B$2),ROUND(MAX(0,'Process'!AX124*'Control Room'!$H$13*INDEX('Control Room'!$B$19:$H$19,1,WEEKDAY($A124,2))*(1+'Control Room'!$D$9)^122*'Process'!AY124),2),"")</x:f>
      </x:c>
      <x:c r="M124" s="16" t="str">
        <x:f>IF(AND(AND(123&lt;='Control Room'!$B$3,'Control Room'!$D$3="Ready"),11&lt;='Control Room'!$B$2),ROUND(MAX(0,'Process'!BC124*'Control Room'!$H$14*INDEX('Control Room'!$B$19:$H$19,1,WEEKDAY($A124,2))*(1+'Control Room'!$D$9)^122*'Process'!BD124),2),"")</x:f>
      </x:c>
      <x:c r="N124" s="16" t="str">
        <x:f>IF(AND(AND(123&lt;='Control Room'!$B$3,'Control Room'!$D$3="Ready"),12&lt;='Control Room'!$B$2),ROUND(MAX(0,'Process'!BH124*'Control Room'!$H$15*INDEX('Control Room'!$B$19:$H$19,1,WEEKDAY($A124,2))*(1+'Control Room'!$D$9)^122*'Process'!BI124),2),"")</x:f>
      </x:c>
    </x:row>
    <x:row r="125" ht="21" customHeight="1">
      <x:c r="A125" s="15" t="str">
        <x:f>IF(AND(124&lt;='Control Room'!$B$3,'Control Room'!$D$3="Ready"),'Process'!A125,"")</x:f>
      </x:c>
      <x:c r="B125" s="16" t="str">
        <x:f>IF(A125="","",SUM(C125:N125))</x:f>
      </x:c>
      <x:c r="C125" s="16" t="str">
        <x:f>IF(AND(AND(124&lt;='Control Room'!$B$3,'Control Room'!$D$3="Ready"),1&lt;='Control Room'!$B$2),ROUND(MAX(0,'Process'!E125*'Control Room'!$H$4*INDEX('Control Room'!$B$19:$H$19,1,WEEKDAY($A125,2))*(1+'Control Room'!$D$9)^123*'Process'!F125),2),"")</x:f>
      </x:c>
      <x:c r="D125" s="16" t="str">
        <x:f>IF(AND(AND(124&lt;='Control Room'!$B$3,'Control Room'!$D$3="Ready"),2&lt;='Control Room'!$B$2),ROUND(MAX(0,'Process'!J125*'Control Room'!$H$5*INDEX('Control Room'!$B$19:$H$19,1,WEEKDAY($A125,2))*(1+'Control Room'!$D$9)^123*'Process'!K125),2),"")</x:f>
      </x:c>
      <x:c r="E125" s="16" t="str">
        <x:f>IF(AND(AND(124&lt;='Control Room'!$B$3,'Control Room'!$D$3="Ready"),3&lt;='Control Room'!$B$2),ROUND(MAX(0,'Process'!O125*'Control Room'!$H$6*INDEX('Control Room'!$B$19:$H$19,1,WEEKDAY($A125,2))*(1+'Control Room'!$D$9)^123*'Process'!P125),2),"")</x:f>
      </x:c>
      <x:c r="F125" s="16" t="str">
        <x:f>IF(AND(AND(124&lt;='Control Room'!$B$3,'Control Room'!$D$3="Ready"),4&lt;='Control Room'!$B$2),ROUND(MAX(0,'Process'!T125*'Control Room'!$H$7*INDEX('Control Room'!$B$19:$H$19,1,WEEKDAY($A125,2))*(1+'Control Room'!$D$9)^123*'Process'!U125),2),"")</x:f>
      </x:c>
      <x:c r="G125" s="16" t="str">
        <x:f>IF(AND(AND(124&lt;='Control Room'!$B$3,'Control Room'!$D$3="Ready"),5&lt;='Control Room'!$B$2),ROUND(MAX(0,'Process'!Y125*'Control Room'!$H$8*INDEX('Control Room'!$B$19:$H$19,1,WEEKDAY($A125,2))*(1+'Control Room'!$D$9)^123*'Process'!Z125),2),"")</x:f>
      </x:c>
      <x:c r="H125" s="16" t="str">
        <x:f>IF(AND(AND(124&lt;='Control Room'!$B$3,'Control Room'!$D$3="Ready"),6&lt;='Control Room'!$B$2),ROUND(MAX(0,'Process'!AD125*'Control Room'!$H$9*INDEX('Control Room'!$B$19:$H$19,1,WEEKDAY($A125,2))*(1+'Control Room'!$D$9)^123*'Process'!AE125),2),"")</x:f>
      </x:c>
      <x:c r="I125" s="16" t="str">
        <x:f>IF(AND(AND(124&lt;='Control Room'!$B$3,'Control Room'!$D$3="Ready"),7&lt;='Control Room'!$B$2),ROUND(MAX(0,'Process'!AI125*'Control Room'!$H$10*INDEX('Control Room'!$B$19:$H$19,1,WEEKDAY($A125,2))*(1+'Control Room'!$D$9)^123*'Process'!AJ125),2),"")</x:f>
      </x:c>
      <x:c r="J125" s="16" t="str">
        <x:f>IF(AND(AND(124&lt;='Control Room'!$B$3,'Control Room'!$D$3="Ready"),8&lt;='Control Room'!$B$2),ROUND(MAX(0,'Process'!AN125*'Control Room'!$H$11*INDEX('Control Room'!$B$19:$H$19,1,WEEKDAY($A125,2))*(1+'Control Room'!$D$9)^123*'Process'!AO125),2),"")</x:f>
      </x:c>
      <x:c r="K125" s="16" t="str">
        <x:f>IF(AND(AND(124&lt;='Control Room'!$B$3,'Control Room'!$D$3="Ready"),9&lt;='Control Room'!$B$2),ROUND(MAX(0,'Process'!AS125*'Control Room'!$H$12*INDEX('Control Room'!$B$19:$H$19,1,WEEKDAY($A125,2))*(1+'Control Room'!$D$9)^123*'Process'!AT125),2),"")</x:f>
      </x:c>
      <x:c r="L125" s="16" t="str">
        <x:f>IF(AND(AND(124&lt;='Control Room'!$B$3,'Control Room'!$D$3="Ready"),10&lt;='Control Room'!$B$2),ROUND(MAX(0,'Process'!AX125*'Control Room'!$H$13*INDEX('Control Room'!$B$19:$H$19,1,WEEKDAY($A125,2))*(1+'Control Room'!$D$9)^123*'Process'!AY125),2),"")</x:f>
      </x:c>
      <x:c r="M125" s="16" t="str">
        <x:f>IF(AND(AND(124&lt;='Control Room'!$B$3,'Control Room'!$D$3="Ready"),11&lt;='Control Room'!$B$2),ROUND(MAX(0,'Process'!BC125*'Control Room'!$H$14*INDEX('Control Room'!$B$19:$H$19,1,WEEKDAY($A125,2))*(1+'Control Room'!$D$9)^123*'Process'!BD125),2),"")</x:f>
      </x:c>
      <x:c r="N125" s="16" t="str">
        <x:f>IF(AND(AND(124&lt;='Control Room'!$B$3,'Control Room'!$D$3="Ready"),12&lt;='Control Room'!$B$2),ROUND(MAX(0,'Process'!BH125*'Control Room'!$H$15*INDEX('Control Room'!$B$19:$H$19,1,WEEKDAY($A125,2))*(1+'Control Room'!$D$9)^123*'Process'!BI125),2),"")</x:f>
      </x:c>
    </x:row>
    <x:row r="126" ht="21" customHeight="1">
      <x:c r="A126" s="15" t="str">
        <x:f>IF(AND(125&lt;='Control Room'!$B$3,'Control Room'!$D$3="Ready"),'Process'!A126,"")</x:f>
      </x:c>
      <x:c r="B126" s="16" t="str">
        <x:f>IF(A126="","",SUM(C126:N126))</x:f>
      </x:c>
      <x:c r="C126" s="16" t="str">
        <x:f>IF(AND(AND(125&lt;='Control Room'!$B$3,'Control Room'!$D$3="Ready"),1&lt;='Control Room'!$B$2),ROUND(MAX(0,'Process'!E126*'Control Room'!$H$4*INDEX('Control Room'!$B$19:$H$19,1,WEEKDAY($A126,2))*(1+'Control Room'!$D$9)^124*'Process'!F126),2),"")</x:f>
      </x:c>
      <x:c r="D126" s="16" t="str">
        <x:f>IF(AND(AND(125&lt;='Control Room'!$B$3,'Control Room'!$D$3="Ready"),2&lt;='Control Room'!$B$2),ROUND(MAX(0,'Process'!J126*'Control Room'!$H$5*INDEX('Control Room'!$B$19:$H$19,1,WEEKDAY($A126,2))*(1+'Control Room'!$D$9)^124*'Process'!K126),2),"")</x:f>
      </x:c>
      <x:c r="E126" s="16" t="str">
        <x:f>IF(AND(AND(125&lt;='Control Room'!$B$3,'Control Room'!$D$3="Ready"),3&lt;='Control Room'!$B$2),ROUND(MAX(0,'Process'!O126*'Control Room'!$H$6*INDEX('Control Room'!$B$19:$H$19,1,WEEKDAY($A126,2))*(1+'Control Room'!$D$9)^124*'Process'!P126),2),"")</x:f>
      </x:c>
      <x:c r="F126" s="16" t="str">
        <x:f>IF(AND(AND(125&lt;='Control Room'!$B$3,'Control Room'!$D$3="Ready"),4&lt;='Control Room'!$B$2),ROUND(MAX(0,'Process'!T126*'Control Room'!$H$7*INDEX('Control Room'!$B$19:$H$19,1,WEEKDAY($A126,2))*(1+'Control Room'!$D$9)^124*'Process'!U126),2),"")</x:f>
      </x:c>
      <x:c r="G126" s="16" t="str">
        <x:f>IF(AND(AND(125&lt;='Control Room'!$B$3,'Control Room'!$D$3="Ready"),5&lt;='Control Room'!$B$2),ROUND(MAX(0,'Process'!Y126*'Control Room'!$H$8*INDEX('Control Room'!$B$19:$H$19,1,WEEKDAY($A126,2))*(1+'Control Room'!$D$9)^124*'Process'!Z126),2),"")</x:f>
      </x:c>
      <x:c r="H126" s="16" t="str">
        <x:f>IF(AND(AND(125&lt;='Control Room'!$B$3,'Control Room'!$D$3="Ready"),6&lt;='Control Room'!$B$2),ROUND(MAX(0,'Process'!AD126*'Control Room'!$H$9*INDEX('Control Room'!$B$19:$H$19,1,WEEKDAY($A126,2))*(1+'Control Room'!$D$9)^124*'Process'!AE126),2),"")</x:f>
      </x:c>
      <x:c r="I126" s="16" t="str">
        <x:f>IF(AND(AND(125&lt;='Control Room'!$B$3,'Control Room'!$D$3="Ready"),7&lt;='Control Room'!$B$2),ROUND(MAX(0,'Process'!AI126*'Control Room'!$H$10*INDEX('Control Room'!$B$19:$H$19,1,WEEKDAY($A126,2))*(1+'Control Room'!$D$9)^124*'Process'!AJ126),2),"")</x:f>
      </x:c>
      <x:c r="J126" s="16" t="str">
        <x:f>IF(AND(AND(125&lt;='Control Room'!$B$3,'Control Room'!$D$3="Ready"),8&lt;='Control Room'!$B$2),ROUND(MAX(0,'Process'!AN126*'Control Room'!$H$11*INDEX('Control Room'!$B$19:$H$19,1,WEEKDAY($A126,2))*(1+'Control Room'!$D$9)^124*'Process'!AO126),2),"")</x:f>
      </x:c>
      <x:c r="K126" s="16" t="str">
        <x:f>IF(AND(AND(125&lt;='Control Room'!$B$3,'Control Room'!$D$3="Ready"),9&lt;='Control Room'!$B$2),ROUND(MAX(0,'Process'!AS126*'Control Room'!$H$12*INDEX('Control Room'!$B$19:$H$19,1,WEEKDAY($A126,2))*(1+'Control Room'!$D$9)^124*'Process'!AT126),2),"")</x:f>
      </x:c>
      <x:c r="L126" s="16" t="str">
        <x:f>IF(AND(AND(125&lt;='Control Room'!$B$3,'Control Room'!$D$3="Ready"),10&lt;='Control Room'!$B$2),ROUND(MAX(0,'Process'!AX126*'Control Room'!$H$13*INDEX('Control Room'!$B$19:$H$19,1,WEEKDAY($A126,2))*(1+'Control Room'!$D$9)^124*'Process'!AY126),2),"")</x:f>
      </x:c>
      <x:c r="M126" s="16" t="str">
        <x:f>IF(AND(AND(125&lt;='Control Room'!$B$3,'Control Room'!$D$3="Ready"),11&lt;='Control Room'!$B$2),ROUND(MAX(0,'Process'!BC126*'Control Room'!$H$14*INDEX('Control Room'!$B$19:$H$19,1,WEEKDAY($A126,2))*(1+'Control Room'!$D$9)^124*'Process'!BD126),2),"")</x:f>
      </x:c>
      <x:c r="N126" s="16" t="str">
        <x:f>IF(AND(AND(125&lt;='Control Room'!$B$3,'Control Room'!$D$3="Ready"),12&lt;='Control Room'!$B$2),ROUND(MAX(0,'Process'!BH126*'Control Room'!$H$15*INDEX('Control Room'!$B$19:$H$19,1,WEEKDAY($A126,2))*(1+'Control Room'!$D$9)^124*'Process'!BI126),2),"")</x:f>
      </x:c>
    </x:row>
    <x:row r="127" ht="21" customHeight="1">
      <x:c r="A127" s="15" t="str">
        <x:f>IF(AND(126&lt;='Control Room'!$B$3,'Control Room'!$D$3="Ready"),'Process'!A127,"")</x:f>
      </x:c>
      <x:c r="B127" s="16" t="str">
        <x:f>IF(A127="","",SUM(C127:N127))</x:f>
      </x:c>
      <x:c r="C127" s="16" t="str">
        <x:f>IF(AND(AND(126&lt;='Control Room'!$B$3,'Control Room'!$D$3="Ready"),1&lt;='Control Room'!$B$2),ROUND(MAX(0,'Process'!E127*'Control Room'!$H$4*INDEX('Control Room'!$B$19:$H$19,1,WEEKDAY($A127,2))*(1+'Control Room'!$D$9)^125*'Process'!F127),2),"")</x:f>
      </x:c>
      <x:c r="D127" s="16" t="str">
        <x:f>IF(AND(AND(126&lt;='Control Room'!$B$3,'Control Room'!$D$3="Ready"),2&lt;='Control Room'!$B$2),ROUND(MAX(0,'Process'!J127*'Control Room'!$H$5*INDEX('Control Room'!$B$19:$H$19,1,WEEKDAY($A127,2))*(1+'Control Room'!$D$9)^125*'Process'!K127),2),"")</x:f>
      </x:c>
      <x:c r="E127" s="16" t="str">
        <x:f>IF(AND(AND(126&lt;='Control Room'!$B$3,'Control Room'!$D$3="Ready"),3&lt;='Control Room'!$B$2),ROUND(MAX(0,'Process'!O127*'Control Room'!$H$6*INDEX('Control Room'!$B$19:$H$19,1,WEEKDAY($A127,2))*(1+'Control Room'!$D$9)^125*'Process'!P127),2),"")</x:f>
      </x:c>
      <x:c r="F127" s="16" t="str">
        <x:f>IF(AND(AND(126&lt;='Control Room'!$B$3,'Control Room'!$D$3="Ready"),4&lt;='Control Room'!$B$2),ROUND(MAX(0,'Process'!T127*'Control Room'!$H$7*INDEX('Control Room'!$B$19:$H$19,1,WEEKDAY($A127,2))*(1+'Control Room'!$D$9)^125*'Process'!U127),2),"")</x:f>
      </x:c>
      <x:c r="G127" s="16" t="str">
        <x:f>IF(AND(AND(126&lt;='Control Room'!$B$3,'Control Room'!$D$3="Ready"),5&lt;='Control Room'!$B$2),ROUND(MAX(0,'Process'!Y127*'Control Room'!$H$8*INDEX('Control Room'!$B$19:$H$19,1,WEEKDAY($A127,2))*(1+'Control Room'!$D$9)^125*'Process'!Z127),2),"")</x:f>
      </x:c>
      <x:c r="H127" s="16" t="str">
        <x:f>IF(AND(AND(126&lt;='Control Room'!$B$3,'Control Room'!$D$3="Ready"),6&lt;='Control Room'!$B$2),ROUND(MAX(0,'Process'!AD127*'Control Room'!$H$9*INDEX('Control Room'!$B$19:$H$19,1,WEEKDAY($A127,2))*(1+'Control Room'!$D$9)^125*'Process'!AE127),2),"")</x:f>
      </x:c>
      <x:c r="I127" s="16" t="str">
        <x:f>IF(AND(AND(126&lt;='Control Room'!$B$3,'Control Room'!$D$3="Ready"),7&lt;='Control Room'!$B$2),ROUND(MAX(0,'Process'!AI127*'Control Room'!$H$10*INDEX('Control Room'!$B$19:$H$19,1,WEEKDAY($A127,2))*(1+'Control Room'!$D$9)^125*'Process'!AJ127),2),"")</x:f>
      </x:c>
      <x:c r="J127" s="16" t="str">
        <x:f>IF(AND(AND(126&lt;='Control Room'!$B$3,'Control Room'!$D$3="Ready"),8&lt;='Control Room'!$B$2),ROUND(MAX(0,'Process'!AN127*'Control Room'!$H$11*INDEX('Control Room'!$B$19:$H$19,1,WEEKDAY($A127,2))*(1+'Control Room'!$D$9)^125*'Process'!AO127),2),"")</x:f>
      </x:c>
      <x:c r="K127" s="16" t="str">
        <x:f>IF(AND(AND(126&lt;='Control Room'!$B$3,'Control Room'!$D$3="Ready"),9&lt;='Control Room'!$B$2),ROUND(MAX(0,'Process'!AS127*'Control Room'!$H$12*INDEX('Control Room'!$B$19:$H$19,1,WEEKDAY($A127,2))*(1+'Control Room'!$D$9)^125*'Process'!AT127),2),"")</x:f>
      </x:c>
      <x:c r="L127" s="16" t="str">
        <x:f>IF(AND(AND(126&lt;='Control Room'!$B$3,'Control Room'!$D$3="Ready"),10&lt;='Control Room'!$B$2),ROUND(MAX(0,'Process'!AX127*'Control Room'!$H$13*INDEX('Control Room'!$B$19:$H$19,1,WEEKDAY($A127,2))*(1+'Control Room'!$D$9)^125*'Process'!AY127),2),"")</x:f>
      </x:c>
      <x:c r="M127" s="16" t="str">
        <x:f>IF(AND(AND(126&lt;='Control Room'!$B$3,'Control Room'!$D$3="Ready"),11&lt;='Control Room'!$B$2),ROUND(MAX(0,'Process'!BC127*'Control Room'!$H$14*INDEX('Control Room'!$B$19:$H$19,1,WEEKDAY($A127,2))*(1+'Control Room'!$D$9)^125*'Process'!BD127),2),"")</x:f>
      </x:c>
      <x:c r="N127" s="16" t="str">
        <x:f>IF(AND(AND(126&lt;='Control Room'!$B$3,'Control Room'!$D$3="Ready"),12&lt;='Control Room'!$B$2),ROUND(MAX(0,'Process'!BH127*'Control Room'!$H$15*INDEX('Control Room'!$B$19:$H$19,1,WEEKDAY($A127,2))*(1+'Control Room'!$D$9)^125*'Process'!BI127),2),"")</x:f>
      </x:c>
    </x:row>
    <x:row r="128" ht="21" customHeight="1">
      <x:c r="A128" s="15" t="str">
        <x:f>IF(AND(127&lt;='Control Room'!$B$3,'Control Room'!$D$3="Ready"),'Process'!A128,"")</x:f>
      </x:c>
      <x:c r="B128" s="16" t="str">
        <x:f>IF(A128="","",SUM(C128:N128))</x:f>
      </x:c>
      <x:c r="C128" s="16" t="str">
        <x:f>IF(AND(AND(127&lt;='Control Room'!$B$3,'Control Room'!$D$3="Ready"),1&lt;='Control Room'!$B$2),ROUND(MAX(0,'Process'!E128*'Control Room'!$H$4*INDEX('Control Room'!$B$19:$H$19,1,WEEKDAY($A128,2))*(1+'Control Room'!$D$9)^126*'Process'!F128),2),"")</x:f>
      </x:c>
      <x:c r="D128" s="16" t="str">
        <x:f>IF(AND(AND(127&lt;='Control Room'!$B$3,'Control Room'!$D$3="Ready"),2&lt;='Control Room'!$B$2),ROUND(MAX(0,'Process'!J128*'Control Room'!$H$5*INDEX('Control Room'!$B$19:$H$19,1,WEEKDAY($A128,2))*(1+'Control Room'!$D$9)^126*'Process'!K128),2),"")</x:f>
      </x:c>
      <x:c r="E128" s="16" t="str">
        <x:f>IF(AND(AND(127&lt;='Control Room'!$B$3,'Control Room'!$D$3="Ready"),3&lt;='Control Room'!$B$2),ROUND(MAX(0,'Process'!O128*'Control Room'!$H$6*INDEX('Control Room'!$B$19:$H$19,1,WEEKDAY($A128,2))*(1+'Control Room'!$D$9)^126*'Process'!P128),2),"")</x:f>
      </x:c>
      <x:c r="F128" s="16" t="str">
        <x:f>IF(AND(AND(127&lt;='Control Room'!$B$3,'Control Room'!$D$3="Ready"),4&lt;='Control Room'!$B$2),ROUND(MAX(0,'Process'!T128*'Control Room'!$H$7*INDEX('Control Room'!$B$19:$H$19,1,WEEKDAY($A128,2))*(1+'Control Room'!$D$9)^126*'Process'!U128),2),"")</x:f>
      </x:c>
      <x:c r="G128" s="16" t="str">
        <x:f>IF(AND(AND(127&lt;='Control Room'!$B$3,'Control Room'!$D$3="Ready"),5&lt;='Control Room'!$B$2),ROUND(MAX(0,'Process'!Y128*'Control Room'!$H$8*INDEX('Control Room'!$B$19:$H$19,1,WEEKDAY($A128,2))*(1+'Control Room'!$D$9)^126*'Process'!Z128),2),"")</x:f>
      </x:c>
      <x:c r="H128" s="16" t="str">
        <x:f>IF(AND(AND(127&lt;='Control Room'!$B$3,'Control Room'!$D$3="Ready"),6&lt;='Control Room'!$B$2),ROUND(MAX(0,'Process'!AD128*'Control Room'!$H$9*INDEX('Control Room'!$B$19:$H$19,1,WEEKDAY($A128,2))*(1+'Control Room'!$D$9)^126*'Process'!AE128),2),"")</x:f>
      </x:c>
      <x:c r="I128" s="16" t="str">
        <x:f>IF(AND(AND(127&lt;='Control Room'!$B$3,'Control Room'!$D$3="Ready"),7&lt;='Control Room'!$B$2),ROUND(MAX(0,'Process'!AI128*'Control Room'!$H$10*INDEX('Control Room'!$B$19:$H$19,1,WEEKDAY($A128,2))*(1+'Control Room'!$D$9)^126*'Process'!AJ128),2),"")</x:f>
      </x:c>
      <x:c r="J128" s="16" t="str">
        <x:f>IF(AND(AND(127&lt;='Control Room'!$B$3,'Control Room'!$D$3="Ready"),8&lt;='Control Room'!$B$2),ROUND(MAX(0,'Process'!AN128*'Control Room'!$H$11*INDEX('Control Room'!$B$19:$H$19,1,WEEKDAY($A128,2))*(1+'Control Room'!$D$9)^126*'Process'!AO128),2),"")</x:f>
      </x:c>
      <x:c r="K128" s="16" t="str">
        <x:f>IF(AND(AND(127&lt;='Control Room'!$B$3,'Control Room'!$D$3="Ready"),9&lt;='Control Room'!$B$2),ROUND(MAX(0,'Process'!AS128*'Control Room'!$H$12*INDEX('Control Room'!$B$19:$H$19,1,WEEKDAY($A128,2))*(1+'Control Room'!$D$9)^126*'Process'!AT128),2),"")</x:f>
      </x:c>
      <x:c r="L128" s="16" t="str">
        <x:f>IF(AND(AND(127&lt;='Control Room'!$B$3,'Control Room'!$D$3="Ready"),10&lt;='Control Room'!$B$2),ROUND(MAX(0,'Process'!AX128*'Control Room'!$H$13*INDEX('Control Room'!$B$19:$H$19,1,WEEKDAY($A128,2))*(1+'Control Room'!$D$9)^126*'Process'!AY128),2),"")</x:f>
      </x:c>
      <x:c r="M128" s="16" t="str">
        <x:f>IF(AND(AND(127&lt;='Control Room'!$B$3,'Control Room'!$D$3="Ready"),11&lt;='Control Room'!$B$2),ROUND(MAX(0,'Process'!BC128*'Control Room'!$H$14*INDEX('Control Room'!$B$19:$H$19,1,WEEKDAY($A128,2))*(1+'Control Room'!$D$9)^126*'Process'!BD128),2),"")</x:f>
      </x:c>
      <x:c r="N128" s="16" t="str">
        <x:f>IF(AND(AND(127&lt;='Control Room'!$B$3,'Control Room'!$D$3="Ready"),12&lt;='Control Room'!$B$2),ROUND(MAX(0,'Process'!BH128*'Control Room'!$H$15*INDEX('Control Room'!$B$19:$H$19,1,WEEKDAY($A128,2))*(1+'Control Room'!$D$9)^126*'Process'!BI128),2),"")</x:f>
      </x:c>
    </x:row>
    <x:row r="129" ht="21" customHeight="1">
      <x:c r="A129" s="15" t="str">
        <x:f>IF(AND(128&lt;='Control Room'!$B$3,'Control Room'!$D$3="Ready"),'Process'!A129,"")</x:f>
      </x:c>
      <x:c r="B129" s="16" t="str">
        <x:f>IF(A129="","",SUM(C129:N129))</x:f>
      </x:c>
      <x:c r="C129" s="16" t="str">
        <x:f>IF(AND(AND(128&lt;='Control Room'!$B$3,'Control Room'!$D$3="Ready"),1&lt;='Control Room'!$B$2),ROUND(MAX(0,'Process'!E129*'Control Room'!$H$4*INDEX('Control Room'!$B$19:$H$19,1,WEEKDAY($A129,2))*(1+'Control Room'!$D$9)^127*'Process'!F129),2),"")</x:f>
      </x:c>
      <x:c r="D129" s="16" t="str">
        <x:f>IF(AND(AND(128&lt;='Control Room'!$B$3,'Control Room'!$D$3="Ready"),2&lt;='Control Room'!$B$2),ROUND(MAX(0,'Process'!J129*'Control Room'!$H$5*INDEX('Control Room'!$B$19:$H$19,1,WEEKDAY($A129,2))*(1+'Control Room'!$D$9)^127*'Process'!K129),2),"")</x:f>
      </x:c>
      <x:c r="E129" s="16" t="str">
        <x:f>IF(AND(AND(128&lt;='Control Room'!$B$3,'Control Room'!$D$3="Ready"),3&lt;='Control Room'!$B$2),ROUND(MAX(0,'Process'!O129*'Control Room'!$H$6*INDEX('Control Room'!$B$19:$H$19,1,WEEKDAY($A129,2))*(1+'Control Room'!$D$9)^127*'Process'!P129),2),"")</x:f>
      </x:c>
      <x:c r="F129" s="16" t="str">
        <x:f>IF(AND(AND(128&lt;='Control Room'!$B$3,'Control Room'!$D$3="Ready"),4&lt;='Control Room'!$B$2),ROUND(MAX(0,'Process'!T129*'Control Room'!$H$7*INDEX('Control Room'!$B$19:$H$19,1,WEEKDAY($A129,2))*(1+'Control Room'!$D$9)^127*'Process'!U129),2),"")</x:f>
      </x:c>
      <x:c r="G129" s="16" t="str">
        <x:f>IF(AND(AND(128&lt;='Control Room'!$B$3,'Control Room'!$D$3="Ready"),5&lt;='Control Room'!$B$2),ROUND(MAX(0,'Process'!Y129*'Control Room'!$H$8*INDEX('Control Room'!$B$19:$H$19,1,WEEKDAY($A129,2))*(1+'Control Room'!$D$9)^127*'Process'!Z129),2),"")</x:f>
      </x:c>
      <x:c r="H129" s="16" t="str">
        <x:f>IF(AND(AND(128&lt;='Control Room'!$B$3,'Control Room'!$D$3="Ready"),6&lt;='Control Room'!$B$2),ROUND(MAX(0,'Process'!AD129*'Control Room'!$H$9*INDEX('Control Room'!$B$19:$H$19,1,WEEKDAY($A129,2))*(1+'Control Room'!$D$9)^127*'Process'!AE129),2),"")</x:f>
      </x:c>
      <x:c r="I129" s="16" t="str">
        <x:f>IF(AND(AND(128&lt;='Control Room'!$B$3,'Control Room'!$D$3="Ready"),7&lt;='Control Room'!$B$2),ROUND(MAX(0,'Process'!AI129*'Control Room'!$H$10*INDEX('Control Room'!$B$19:$H$19,1,WEEKDAY($A129,2))*(1+'Control Room'!$D$9)^127*'Process'!AJ129),2),"")</x:f>
      </x:c>
      <x:c r="J129" s="16" t="str">
        <x:f>IF(AND(AND(128&lt;='Control Room'!$B$3,'Control Room'!$D$3="Ready"),8&lt;='Control Room'!$B$2),ROUND(MAX(0,'Process'!AN129*'Control Room'!$H$11*INDEX('Control Room'!$B$19:$H$19,1,WEEKDAY($A129,2))*(1+'Control Room'!$D$9)^127*'Process'!AO129),2),"")</x:f>
      </x:c>
      <x:c r="K129" s="16" t="str">
        <x:f>IF(AND(AND(128&lt;='Control Room'!$B$3,'Control Room'!$D$3="Ready"),9&lt;='Control Room'!$B$2),ROUND(MAX(0,'Process'!AS129*'Control Room'!$H$12*INDEX('Control Room'!$B$19:$H$19,1,WEEKDAY($A129,2))*(1+'Control Room'!$D$9)^127*'Process'!AT129),2),"")</x:f>
      </x:c>
      <x:c r="L129" s="16" t="str">
        <x:f>IF(AND(AND(128&lt;='Control Room'!$B$3,'Control Room'!$D$3="Ready"),10&lt;='Control Room'!$B$2),ROUND(MAX(0,'Process'!AX129*'Control Room'!$H$13*INDEX('Control Room'!$B$19:$H$19,1,WEEKDAY($A129,2))*(1+'Control Room'!$D$9)^127*'Process'!AY129),2),"")</x:f>
      </x:c>
      <x:c r="M129" s="16" t="str">
        <x:f>IF(AND(AND(128&lt;='Control Room'!$B$3,'Control Room'!$D$3="Ready"),11&lt;='Control Room'!$B$2),ROUND(MAX(0,'Process'!BC129*'Control Room'!$H$14*INDEX('Control Room'!$B$19:$H$19,1,WEEKDAY($A129,2))*(1+'Control Room'!$D$9)^127*'Process'!BD129),2),"")</x:f>
      </x:c>
      <x:c r="N129" s="16" t="str">
        <x:f>IF(AND(AND(128&lt;='Control Room'!$B$3,'Control Room'!$D$3="Ready"),12&lt;='Control Room'!$B$2),ROUND(MAX(0,'Process'!BH129*'Control Room'!$H$15*INDEX('Control Room'!$B$19:$H$19,1,WEEKDAY($A129,2))*(1+'Control Room'!$D$9)^127*'Process'!BI129),2),"")</x:f>
      </x:c>
    </x:row>
    <x:row r="130" ht="21" customHeight="1">
      <x:c r="A130" s="15" t="str">
        <x:f>IF(AND(129&lt;='Control Room'!$B$3,'Control Room'!$D$3="Ready"),'Process'!A130,"")</x:f>
      </x:c>
      <x:c r="B130" s="16" t="str">
        <x:f>IF(A130="","",SUM(C130:N130))</x:f>
      </x:c>
      <x:c r="C130" s="16" t="str">
        <x:f>IF(AND(AND(129&lt;='Control Room'!$B$3,'Control Room'!$D$3="Ready"),1&lt;='Control Room'!$B$2),ROUND(MAX(0,'Process'!E130*'Control Room'!$H$4*INDEX('Control Room'!$B$19:$H$19,1,WEEKDAY($A130,2))*(1+'Control Room'!$D$9)^128*'Process'!F130),2),"")</x:f>
      </x:c>
      <x:c r="D130" s="16" t="str">
        <x:f>IF(AND(AND(129&lt;='Control Room'!$B$3,'Control Room'!$D$3="Ready"),2&lt;='Control Room'!$B$2),ROUND(MAX(0,'Process'!J130*'Control Room'!$H$5*INDEX('Control Room'!$B$19:$H$19,1,WEEKDAY($A130,2))*(1+'Control Room'!$D$9)^128*'Process'!K130),2),"")</x:f>
      </x:c>
      <x:c r="E130" s="16" t="str">
        <x:f>IF(AND(AND(129&lt;='Control Room'!$B$3,'Control Room'!$D$3="Ready"),3&lt;='Control Room'!$B$2),ROUND(MAX(0,'Process'!O130*'Control Room'!$H$6*INDEX('Control Room'!$B$19:$H$19,1,WEEKDAY($A130,2))*(1+'Control Room'!$D$9)^128*'Process'!P130),2),"")</x:f>
      </x:c>
      <x:c r="F130" s="16" t="str">
        <x:f>IF(AND(AND(129&lt;='Control Room'!$B$3,'Control Room'!$D$3="Ready"),4&lt;='Control Room'!$B$2),ROUND(MAX(0,'Process'!T130*'Control Room'!$H$7*INDEX('Control Room'!$B$19:$H$19,1,WEEKDAY($A130,2))*(1+'Control Room'!$D$9)^128*'Process'!U130),2),"")</x:f>
      </x:c>
      <x:c r="G130" s="16" t="str">
        <x:f>IF(AND(AND(129&lt;='Control Room'!$B$3,'Control Room'!$D$3="Ready"),5&lt;='Control Room'!$B$2),ROUND(MAX(0,'Process'!Y130*'Control Room'!$H$8*INDEX('Control Room'!$B$19:$H$19,1,WEEKDAY($A130,2))*(1+'Control Room'!$D$9)^128*'Process'!Z130),2),"")</x:f>
      </x:c>
      <x:c r="H130" s="16" t="str">
        <x:f>IF(AND(AND(129&lt;='Control Room'!$B$3,'Control Room'!$D$3="Ready"),6&lt;='Control Room'!$B$2),ROUND(MAX(0,'Process'!AD130*'Control Room'!$H$9*INDEX('Control Room'!$B$19:$H$19,1,WEEKDAY($A130,2))*(1+'Control Room'!$D$9)^128*'Process'!AE130),2),"")</x:f>
      </x:c>
      <x:c r="I130" s="16" t="str">
        <x:f>IF(AND(AND(129&lt;='Control Room'!$B$3,'Control Room'!$D$3="Ready"),7&lt;='Control Room'!$B$2),ROUND(MAX(0,'Process'!AI130*'Control Room'!$H$10*INDEX('Control Room'!$B$19:$H$19,1,WEEKDAY($A130,2))*(1+'Control Room'!$D$9)^128*'Process'!AJ130),2),"")</x:f>
      </x:c>
      <x:c r="J130" s="16" t="str">
        <x:f>IF(AND(AND(129&lt;='Control Room'!$B$3,'Control Room'!$D$3="Ready"),8&lt;='Control Room'!$B$2),ROUND(MAX(0,'Process'!AN130*'Control Room'!$H$11*INDEX('Control Room'!$B$19:$H$19,1,WEEKDAY($A130,2))*(1+'Control Room'!$D$9)^128*'Process'!AO130),2),"")</x:f>
      </x:c>
      <x:c r="K130" s="16" t="str">
        <x:f>IF(AND(AND(129&lt;='Control Room'!$B$3,'Control Room'!$D$3="Ready"),9&lt;='Control Room'!$B$2),ROUND(MAX(0,'Process'!AS130*'Control Room'!$H$12*INDEX('Control Room'!$B$19:$H$19,1,WEEKDAY($A130,2))*(1+'Control Room'!$D$9)^128*'Process'!AT130),2),"")</x:f>
      </x:c>
      <x:c r="L130" s="16" t="str">
        <x:f>IF(AND(AND(129&lt;='Control Room'!$B$3,'Control Room'!$D$3="Ready"),10&lt;='Control Room'!$B$2),ROUND(MAX(0,'Process'!AX130*'Control Room'!$H$13*INDEX('Control Room'!$B$19:$H$19,1,WEEKDAY($A130,2))*(1+'Control Room'!$D$9)^128*'Process'!AY130),2),"")</x:f>
      </x:c>
      <x:c r="M130" s="16" t="str">
        <x:f>IF(AND(AND(129&lt;='Control Room'!$B$3,'Control Room'!$D$3="Ready"),11&lt;='Control Room'!$B$2),ROUND(MAX(0,'Process'!BC130*'Control Room'!$H$14*INDEX('Control Room'!$B$19:$H$19,1,WEEKDAY($A130,2))*(1+'Control Room'!$D$9)^128*'Process'!BD130),2),"")</x:f>
      </x:c>
      <x:c r="N130" s="16" t="str">
        <x:f>IF(AND(AND(129&lt;='Control Room'!$B$3,'Control Room'!$D$3="Ready"),12&lt;='Control Room'!$B$2),ROUND(MAX(0,'Process'!BH130*'Control Room'!$H$15*INDEX('Control Room'!$B$19:$H$19,1,WEEKDAY($A130,2))*(1+'Control Room'!$D$9)^128*'Process'!BI130),2),"")</x:f>
      </x:c>
    </x:row>
    <x:row r="131" ht="21" customHeight="1">
      <x:c r="A131" s="15" t="str">
        <x:f>IF(AND(130&lt;='Control Room'!$B$3,'Control Room'!$D$3="Ready"),'Process'!A131,"")</x:f>
      </x:c>
      <x:c r="B131" s="16" t="str">
        <x:f>IF(A131="","",SUM(C131:N131))</x:f>
      </x:c>
      <x:c r="C131" s="16" t="str">
        <x:f>IF(AND(AND(130&lt;='Control Room'!$B$3,'Control Room'!$D$3="Ready"),1&lt;='Control Room'!$B$2),ROUND(MAX(0,'Process'!E131*'Control Room'!$H$4*INDEX('Control Room'!$B$19:$H$19,1,WEEKDAY($A131,2))*(1+'Control Room'!$D$9)^129*'Process'!F131),2),"")</x:f>
      </x:c>
      <x:c r="D131" s="16" t="str">
        <x:f>IF(AND(AND(130&lt;='Control Room'!$B$3,'Control Room'!$D$3="Ready"),2&lt;='Control Room'!$B$2),ROUND(MAX(0,'Process'!J131*'Control Room'!$H$5*INDEX('Control Room'!$B$19:$H$19,1,WEEKDAY($A131,2))*(1+'Control Room'!$D$9)^129*'Process'!K131),2),"")</x:f>
      </x:c>
      <x:c r="E131" s="16" t="str">
        <x:f>IF(AND(AND(130&lt;='Control Room'!$B$3,'Control Room'!$D$3="Ready"),3&lt;='Control Room'!$B$2),ROUND(MAX(0,'Process'!O131*'Control Room'!$H$6*INDEX('Control Room'!$B$19:$H$19,1,WEEKDAY($A131,2))*(1+'Control Room'!$D$9)^129*'Process'!P131),2),"")</x:f>
      </x:c>
      <x:c r="F131" s="16" t="str">
        <x:f>IF(AND(AND(130&lt;='Control Room'!$B$3,'Control Room'!$D$3="Ready"),4&lt;='Control Room'!$B$2),ROUND(MAX(0,'Process'!T131*'Control Room'!$H$7*INDEX('Control Room'!$B$19:$H$19,1,WEEKDAY($A131,2))*(1+'Control Room'!$D$9)^129*'Process'!U131),2),"")</x:f>
      </x:c>
      <x:c r="G131" s="16" t="str">
        <x:f>IF(AND(AND(130&lt;='Control Room'!$B$3,'Control Room'!$D$3="Ready"),5&lt;='Control Room'!$B$2),ROUND(MAX(0,'Process'!Y131*'Control Room'!$H$8*INDEX('Control Room'!$B$19:$H$19,1,WEEKDAY($A131,2))*(1+'Control Room'!$D$9)^129*'Process'!Z131),2),"")</x:f>
      </x:c>
      <x:c r="H131" s="16" t="str">
        <x:f>IF(AND(AND(130&lt;='Control Room'!$B$3,'Control Room'!$D$3="Ready"),6&lt;='Control Room'!$B$2),ROUND(MAX(0,'Process'!AD131*'Control Room'!$H$9*INDEX('Control Room'!$B$19:$H$19,1,WEEKDAY($A131,2))*(1+'Control Room'!$D$9)^129*'Process'!AE131),2),"")</x:f>
      </x:c>
      <x:c r="I131" s="16" t="str">
        <x:f>IF(AND(AND(130&lt;='Control Room'!$B$3,'Control Room'!$D$3="Ready"),7&lt;='Control Room'!$B$2),ROUND(MAX(0,'Process'!AI131*'Control Room'!$H$10*INDEX('Control Room'!$B$19:$H$19,1,WEEKDAY($A131,2))*(1+'Control Room'!$D$9)^129*'Process'!AJ131),2),"")</x:f>
      </x:c>
      <x:c r="J131" s="16" t="str">
        <x:f>IF(AND(AND(130&lt;='Control Room'!$B$3,'Control Room'!$D$3="Ready"),8&lt;='Control Room'!$B$2),ROUND(MAX(0,'Process'!AN131*'Control Room'!$H$11*INDEX('Control Room'!$B$19:$H$19,1,WEEKDAY($A131,2))*(1+'Control Room'!$D$9)^129*'Process'!AO131),2),"")</x:f>
      </x:c>
      <x:c r="K131" s="16" t="str">
        <x:f>IF(AND(AND(130&lt;='Control Room'!$B$3,'Control Room'!$D$3="Ready"),9&lt;='Control Room'!$B$2),ROUND(MAX(0,'Process'!AS131*'Control Room'!$H$12*INDEX('Control Room'!$B$19:$H$19,1,WEEKDAY($A131,2))*(1+'Control Room'!$D$9)^129*'Process'!AT131),2),"")</x:f>
      </x:c>
      <x:c r="L131" s="16" t="str">
        <x:f>IF(AND(AND(130&lt;='Control Room'!$B$3,'Control Room'!$D$3="Ready"),10&lt;='Control Room'!$B$2),ROUND(MAX(0,'Process'!AX131*'Control Room'!$H$13*INDEX('Control Room'!$B$19:$H$19,1,WEEKDAY($A131,2))*(1+'Control Room'!$D$9)^129*'Process'!AY131),2),"")</x:f>
      </x:c>
      <x:c r="M131" s="16" t="str">
        <x:f>IF(AND(AND(130&lt;='Control Room'!$B$3,'Control Room'!$D$3="Ready"),11&lt;='Control Room'!$B$2),ROUND(MAX(0,'Process'!BC131*'Control Room'!$H$14*INDEX('Control Room'!$B$19:$H$19,1,WEEKDAY($A131,2))*(1+'Control Room'!$D$9)^129*'Process'!BD131),2),"")</x:f>
      </x:c>
      <x:c r="N131" s="16" t="str">
        <x:f>IF(AND(AND(130&lt;='Control Room'!$B$3,'Control Room'!$D$3="Ready"),12&lt;='Control Room'!$B$2),ROUND(MAX(0,'Process'!BH131*'Control Room'!$H$15*INDEX('Control Room'!$B$19:$H$19,1,WEEKDAY($A131,2))*(1+'Control Room'!$D$9)^129*'Process'!BI131),2),"")</x:f>
      </x:c>
    </x:row>
    <x:row r="132" ht="21" customHeight="1">
      <x:c r="A132" s="15" t="str">
        <x:f>IF(AND(131&lt;='Control Room'!$B$3,'Control Room'!$D$3="Ready"),'Process'!A132,"")</x:f>
      </x:c>
      <x:c r="B132" s="16" t="str">
        <x:f>IF(A132="","",SUM(C132:N132))</x:f>
      </x:c>
      <x:c r="C132" s="16" t="str">
        <x:f>IF(AND(AND(131&lt;='Control Room'!$B$3,'Control Room'!$D$3="Ready"),1&lt;='Control Room'!$B$2),ROUND(MAX(0,'Process'!E132*'Control Room'!$H$4*INDEX('Control Room'!$B$19:$H$19,1,WEEKDAY($A132,2))*(1+'Control Room'!$D$9)^130*'Process'!F132),2),"")</x:f>
      </x:c>
      <x:c r="D132" s="16" t="str">
        <x:f>IF(AND(AND(131&lt;='Control Room'!$B$3,'Control Room'!$D$3="Ready"),2&lt;='Control Room'!$B$2),ROUND(MAX(0,'Process'!J132*'Control Room'!$H$5*INDEX('Control Room'!$B$19:$H$19,1,WEEKDAY($A132,2))*(1+'Control Room'!$D$9)^130*'Process'!K132),2),"")</x:f>
      </x:c>
      <x:c r="E132" s="16" t="str">
        <x:f>IF(AND(AND(131&lt;='Control Room'!$B$3,'Control Room'!$D$3="Ready"),3&lt;='Control Room'!$B$2),ROUND(MAX(0,'Process'!O132*'Control Room'!$H$6*INDEX('Control Room'!$B$19:$H$19,1,WEEKDAY($A132,2))*(1+'Control Room'!$D$9)^130*'Process'!P132),2),"")</x:f>
      </x:c>
      <x:c r="F132" s="16" t="str">
        <x:f>IF(AND(AND(131&lt;='Control Room'!$B$3,'Control Room'!$D$3="Ready"),4&lt;='Control Room'!$B$2),ROUND(MAX(0,'Process'!T132*'Control Room'!$H$7*INDEX('Control Room'!$B$19:$H$19,1,WEEKDAY($A132,2))*(1+'Control Room'!$D$9)^130*'Process'!U132),2),"")</x:f>
      </x:c>
      <x:c r="G132" s="16" t="str">
        <x:f>IF(AND(AND(131&lt;='Control Room'!$B$3,'Control Room'!$D$3="Ready"),5&lt;='Control Room'!$B$2),ROUND(MAX(0,'Process'!Y132*'Control Room'!$H$8*INDEX('Control Room'!$B$19:$H$19,1,WEEKDAY($A132,2))*(1+'Control Room'!$D$9)^130*'Process'!Z132),2),"")</x:f>
      </x:c>
      <x:c r="H132" s="16" t="str">
        <x:f>IF(AND(AND(131&lt;='Control Room'!$B$3,'Control Room'!$D$3="Ready"),6&lt;='Control Room'!$B$2),ROUND(MAX(0,'Process'!AD132*'Control Room'!$H$9*INDEX('Control Room'!$B$19:$H$19,1,WEEKDAY($A132,2))*(1+'Control Room'!$D$9)^130*'Process'!AE132),2),"")</x:f>
      </x:c>
      <x:c r="I132" s="16" t="str">
        <x:f>IF(AND(AND(131&lt;='Control Room'!$B$3,'Control Room'!$D$3="Ready"),7&lt;='Control Room'!$B$2),ROUND(MAX(0,'Process'!AI132*'Control Room'!$H$10*INDEX('Control Room'!$B$19:$H$19,1,WEEKDAY($A132,2))*(1+'Control Room'!$D$9)^130*'Process'!AJ132),2),"")</x:f>
      </x:c>
      <x:c r="J132" s="16" t="str">
        <x:f>IF(AND(AND(131&lt;='Control Room'!$B$3,'Control Room'!$D$3="Ready"),8&lt;='Control Room'!$B$2),ROUND(MAX(0,'Process'!AN132*'Control Room'!$H$11*INDEX('Control Room'!$B$19:$H$19,1,WEEKDAY($A132,2))*(1+'Control Room'!$D$9)^130*'Process'!AO132),2),"")</x:f>
      </x:c>
      <x:c r="K132" s="16" t="str">
        <x:f>IF(AND(AND(131&lt;='Control Room'!$B$3,'Control Room'!$D$3="Ready"),9&lt;='Control Room'!$B$2),ROUND(MAX(0,'Process'!AS132*'Control Room'!$H$12*INDEX('Control Room'!$B$19:$H$19,1,WEEKDAY($A132,2))*(1+'Control Room'!$D$9)^130*'Process'!AT132),2),"")</x:f>
      </x:c>
      <x:c r="L132" s="16" t="str">
        <x:f>IF(AND(AND(131&lt;='Control Room'!$B$3,'Control Room'!$D$3="Ready"),10&lt;='Control Room'!$B$2),ROUND(MAX(0,'Process'!AX132*'Control Room'!$H$13*INDEX('Control Room'!$B$19:$H$19,1,WEEKDAY($A132,2))*(1+'Control Room'!$D$9)^130*'Process'!AY132),2),"")</x:f>
      </x:c>
      <x:c r="M132" s="16" t="str">
        <x:f>IF(AND(AND(131&lt;='Control Room'!$B$3,'Control Room'!$D$3="Ready"),11&lt;='Control Room'!$B$2),ROUND(MAX(0,'Process'!BC132*'Control Room'!$H$14*INDEX('Control Room'!$B$19:$H$19,1,WEEKDAY($A132,2))*(1+'Control Room'!$D$9)^130*'Process'!BD132),2),"")</x:f>
      </x:c>
      <x:c r="N132" s="16" t="str">
        <x:f>IF(AND(AND(131&lt;='Control Room'!$B$3,'Control Room'!$D$3="Ready"),12&lt;='Control Room'!$B$2),ROUND(MAX(0,'Process'!BH132*'Control Room'!$H$15*INDEX('Control Room'!$B$19:$H$19,1,WEEKDAY($A132,2))*(1+'Control Room'!$D$9)^130*'Process'!BI132),2),"")</x:f>
      </x:c>
    </x:row>
    <x:row r="133" ht="21" customHeight="1">
      <x:c r="A133" s="15" t="str">
        <x:f>IF(AND(132&lt;='Control Room'!$B$3,'Control Room'!$D$3="Ready"),'Process'!A133,"")</x:f>
      </x:c>
      <x:c r="B133" s="16" t="str">
        <x:f>IF(A133="","",SUM(C133:N133))</x:f>
      </x:c>
      <x:c r="C133" s="16" t="str">
        <x:f>IF(AND(AND(132&lt;='Control Room'!$B$3,'Control Room'!$D$3="Ready"),1&lt;='Control Room'!$B$2),ROUND(MAX(0,'Process'!E133*'Control Room'!$H$4*INDEX('Control Room'!$B$19:$H$19,1,WEEKDAY($A133,2))*(1+'Control Room'!$D$9)^131*'Process'!F133),2),"")</x:f>
      </x:c>
      <x:c r="D133" s="16" t="str">
        <x:f>IF(AND(AND(132&lt;='Control Room'!$B$3,'Control Room'!$D$3="Ready"),2&lt;='Control Room'!$B$2),ROUND(MAX(0,'Process'!J133*'Control Room'!$H$5*INDEX('Control Room'!$B$19:$H$19,1,WEEKDAY($A133,2))*(1+'Control Room'!$D$9)^131*'Process'!K133),2),"")</x:f>
      </x:c>
      <x:c r="E133" s="16" t="str">
        <x:f>IF(AND(AND(132&lt;='Control Room'!$B$3,'Control Room'!$D$3="Ready"),3&lt;='Control Room'!$B$2),ROUND(MAX(0,'Process'!O133*'Control Room'!$H$6*INDEX('Control Room'!$B$19:$H$19,1,WEEKDAY($A133,2))*(1+'Control Room'!$D$9)^131*'Process'!P133),2),"")</x:f>
      </x:c>
      <x:c r="F133" s="16" t="str">
        <x:f>IF(AND(AND(132&lt;='Control Room'!$B$3,'Control Room'!$D$3="Ready"),4&lt;='Control Room'!$B$2),ROUND(MAX(0,'Process'!T133*'Control Room'!$H$7*INDEX('Control Room'!$B$19:$H$19,1,WEEKDAY($A133,2))*(1+'Control Room'!$D$9)^131*'Process'!U133),2),"")</x:f>
      </x:c>
      <x:c r="G133" s="16" t="str">
        <x:f>IF(AND(AND(132&lt;='Control Room'!$B$3,'Control Room'!$D$3="Ready"),5&lt;='Control Room'!$B$2),ROUND(MAX(0,'Process'!Y133*'Control Room'!$H$8*INDEX('Control Room'!$B$19:$H$19,1,WEEKDAY($A133,2))*(1+'Control Room'!$D$9)^131*'Process'!Z133),2),"")</x:f>
      </x:c>
      <x:c r="H133" s="16" t="str">
        <x:f>IF(AND(AND(132&lt;='Control Room'!$B$3,'Control Room'!$D$3="Ready"),6&lt;='Control Room'!$B$2),ROUND(MAX(0,'Process'!AD133*'Control Room'!$H$9*INDEX('Control Room'!$B$19:$H$19,1,WEEKDAY($A133,2))*(1+'Control Room'!$D$9)^131*'Process'!AE133),2),"")</x:f>
      </x:c>
      <x:c r="I133" s="16" t="str">
        <x:f>IF(AND(AND(132&lt;='Control Room'!$B$3,'Control Room'!$D$3="Ready"),7&lt;='Control Room'!$B$2),ROUND(MAX(0,'Process'!AI133*'Control Room'!$H$10*INDEX('Control Room'!$B$19:$H$19,1,WEEKDAY($A133,2))*(1+'Control Room'!$D$9)^131*'Process'!AJ133),2),"")</x:f>
      </x:c>
      <x:c r="J133" s="16" t="str">
        <x:f>IF(AND(AND(132&lt;='Control Room'!$B$3,'Control Room'!$D$3="Ready"),8&lt;='Control Room'!$B$2),ROUND(MAX(0,'Process'!AN133*'Control Room'!$H$11*INDEX('Control Room'!$B$19:$H$19,1,WEEKDAY($A133,2))*(1+'Control Room'!$D$9)^131*'Process'!AO133),2),"")</x:f>
      </x:c>
      <x:c r="K133" s="16" t="str">
        <x:f>IF(AND(AND(132&lt;='Control Room'!$B$3,'Control Room'!$D$3="Ready"),9&lt;='Control Room'!$B$2),ROUND(MAX(0,'Process'!AS133*'Control Room'!$H$12*INDEX('Control Room'!$B$19:$H$19,1,WEEKDAY($A133,2))*(1+'Control Room'!$D$9)^131*'Process'!AT133),2),"")</x:f>
      </x:c>
      <x:c r="L133" s="16" t="str">
        <x:f>IF(AND(AND(132&lt;='Control Room'!$B$3,'Control Room'!$D$3="Ready"),10&lt;='Control Room'!$B$2),ROUND(MAX(0,'Process'!AX133*'Control Room'!$H$13*INDEX('Control Room'!$B$19:$H$19,1,WEEKDAY($A133,2))*(1+'Control Room'!$D$9)^131*'Process'!AY133),2),"")</x:f>
      </x:c>
      <x:c r="M133" s="16" t="str">
        <x:f>IF(AND(AND(132&lt;='Control Room'!$B$3,'Control Room'!$D$3="Ready"),11&lt;='Control Room'!$B$2),ROUND(MAX(0,'Process'!BC133*'Control Room'!$H$14*INDEX('Control Room'!$B$19:$H$19,1,WEEKDAY($A133,2))*(1+'Control Room'!$D$9)^131*'Process'!BD133),2),"")</x:f>
      </x:c>
      <x:c r="N133" s="16" t="str">
        <x:f>IF(AND(AND(132&lt;='Control Room'!$B$3,'Control Room'!$D$3="Ready"),12&lt;='Control Room'!$B$2),ROUND(MAX(0,'Process'!BH133*'Control Room'!$H$15*INDEX('Control Room'!$B$19:$H$19,1,WEEKDAY($A133,2))*(1+'Control Room'!$D$9)^131*'Process'!BI133),2),"")</x:f>
      </x:c>
    </x:row>
    <x:row r="134" ht="21" customHeight="1">
      <x:c r="A134" s="15" t="str">
        <x:f>IF(AND(133&lt;='Control Room'!$B$3,'Control Room'!$D$3="Ready"),'Process'!A134,"")</x:f>
      </x:c>
      <x:c r="B134" s="16" t="str">
        <x:f>IF(A134="","",SUM(C134:N134))</x:f>
      </x:c>
      <x:c r="C134" s="16" t="str">
        <x:f>IF(AND(AND(133&lt;='Control Room'!$B$3,'Control Room'!$D$3="Ready"),1&lt;='Control Room'!$B$2),ROUND(MAX(0,'Process'!E134*'Control Room'!$H$4*INDEX('Control Room'!$B$19:$H$19,1,WEEKDAY($A134,2))*(1+'Control Room'!$D$9)^132*'Process'!F134),2),"")</x:f>
      </x:c>
      <x:c r="D134" s="16" t="str">
        <x:f>IF(AND(AND(133&lt;='Control Room'!$B$3,'Control Room'!$D$3="Ready"),2&lt;='Control Room'!$B$2),ROUND(MAX(0,'Process'!J134*'Control Room'!$H$5*INDEX('Control Room'!$B$19:$H$19,1,WEEKDAY($A134,2))*(1+'Control Room'!$D$9)^132*'Process'!K134),2),"")</x:f>
      </x:c>
      <x:c r="E134" s="16" t="str">
        <x:f>IF(AND(AND(133&lt;='Control Room'!$B$3,'Control Room'!$D$3="Ready"),3&lt;='Control Room'!$B$2),ROUND(MAX(0,'Process'!O134*'Control Room'!$H$6*INDEX('Control Room'!$B$19:$H$19,1,WEEKDAY($A134,2))*(1+'Control Room'!$D$9)^132*'Process'!P134),2),"")</x:f>
      </x:c>
      <x:c r="F134" s="16" t="str">
        <x:f>IF(AND(AND(133&lt;='Control Room'!$B$3,'Control Room'!$D$3="Ready"),4&lt;='Control Room'!$B$2),ROUND(MAX(0,'Process'!T134*'Control Room'!$H$7*INDEX('Control Room'!$B$19:$H$19,1,WEEKDAY($A134,2))*(1+'Control Room'!$D$9)^132*'Process'!U134),2),"")</x:f>
      </x:c>
      <x:c r="G134" s="16" t="str">
        <x:f>IF(AND(AND(133&lt;='Control Room'!$B$3,'Control Room'!$D$3="Ready"),5&lt;='Control Room'!$B$2),ROUND(MAX(0,'Process'!Y134*'Control Room'!$H$8*INDEX('Control Room'!$B$19:$H$19,1,WEEKDAY($A134,2))*(1+'Control Room'!$D$9)^132*'Process'!Z134),2),"")</x:f>
      </x:c>
      <x:c r="H134" s="16" t="str">
        <x:f>IF(AND(AND(133&lt;='Control Room'!$B$3,'Control Room'!$D$3="Ready"),6&lt;='Control Room'!$B$2),ROUND(MAX(0,'Process'!AD134*'Control Room'!$H$9*INDEX('Control Room'!$B$19:$H$19,1,WEEKDAY($A134,2))*(1+'Control Room'!$D$9)^132*'Process'!AE134),2),"")</x:f>
      </x:c>
      <x:c r="I134" s="16" t="str">
        <x:f>IF(AND(AND(133&lt;='Control Room'!$B$3,'Control Room'!$D$3="Ready"),7&lt;='Control Room'!$B$2),ROUND(MAX(0,'Process'!AI134*'Control Room'!$H$10*INDEX('Control Room'!$B$19:$H$19,1,WEEKDAY($A134,2))*(1+'Control Room'!$D$9)^132*'Process'!AJ134),2),"")</x:f>
      </x:c>
      <x:c r="J134" s="16" t="str">
        <x:f>IF(AND(AND(133&lt;='Control Room'!$B$3,'Control Room'!$D$3="Ready"),8&lt;='Control Room'!$B$2),ROUND(MAX(0,'Process'!AN134*'Control Room'!$H$11*INDEX('Control Room'!$B$19:$H$19,1,WEEKDAY($A134,2))*(1+'Control Room'!$D$9)^132*'Process'!AO134),2),"")</x:f>
      </x:c>
      <x:c r="K134" s="16" t="str">
        <x:f>IF(AND(AND(133&lt;='Control Room'!$B$3,'Control Room'!$D$3="Ready"),9&lt;='Control Room'!$B$2),ROUND(MAX(0,'Process'!AS134*'Control Room'!$H$12*INDEX('Control Room'!$B$19:$H$19,1,WEEKDAY($A134,2))*(1+'Control Room'!$D$9)^132*'Process'!AT134),2),"")</x:f>
      </x:c>
      <x:c r="L134" s="16" t="str">
        <x:f>IF(AND(AND(133&lt;='Control Room'!$B$3,'Control Room'!$D$3="Ready"),10&lt;='Control Room'!$B$2),ROUND(MAX(0,'Process'!AX134*'Control Room'!$H$13*INDEX('Control Room'!$B$19:$H$19,1,WEEKDAY($A134,2))*(1+'Control Room'!$D$9)^132*'Process'!AY134),2),"")</x:f>
      </x:c>
      <x:c r="M134" s="16" t="str">
        <x:f>IF(AND(AND(133&lt;='Control Room'!$B$3,'Control Room'!$D$3="Ready"),11&lt;='Control Room'!$B$2),ROUND(MAX(0,'Process'!BC134*'Control Room'!$H$14*INDEX('Control Room'!$B$19:$H$19,1,WEEKDAY($A134,2))*(1+'Control Room'!$D$9)^132*'Process'!BD134),2),"")</x:f>
      </x:c>
      <x:c r="N134" s="16" t="str">
        <x:f>IF(AND(AND(133&lt;='Control Room'!$B$3,'Control Room'!$D$3="Ready"),12&lt;='Control Room'!$B$2),ROUND(MAX(0,'Process'!BH134*'Control Room'!$H$15*INDEX('Control Room'!$B$19:$H$19,1,WEEKDAY($A134,2))*(1+'Control Room'!$D$9)^132*'Process'!BI134),2),"")</x:f>
      </x:c>
    </x:row>
    <x:row r="135" ht="21" customHeight="1">
      <x:c r="A135" s="15" t="str">
        <x:f>IF(AND(134&lt;='Control Room'!$B$3,'Control Room'!$D$3="Ready"),'Process'!A135,"")</x:f>
      </x:c>
      <x:c r="B135" s="16" t="str">
        <x:f>IF(A135="","",SUM(C135:N135))</x:f>
      </x:c>
      <x:c r="C135" s="16" t="str">
        <x:f>IF(AND(AND(134&lt;='Control Room'!$B$3,'Control Room'!$D$3="Ready"),1&lt;='Control Room'!$B$2),ROUND(MAX(0,'Process'!E135*'Control Room'!$H$4*INDEX('Control Room'!$B$19:$H$19,1,WEEKDAY($A135,2))*(1+'Control Room'!$D$9)^133*'Process'!F135),2),"")</x:f>
      </x:c>
      <x:c r="D135" s="16" t="str">
        <x:f>IF(AND(AND(134&lt;='Control Room'!$B$3,'Control Room'!$D$3="Ready"),2&lt;='Control Room'!$B$2),ROUND(MAX(0,'Process'!J135*'Control Room'!$H$5*INDEX('Control Room'!$B$19:$H$19,1,WEEKDAY($A135,2))*(1+'Control Room'!$D$9)^133*'Process'!K135),2),"")</x:f>
      </x:c>
      <x:c r="E135" s="16" t="str">
        <x:f>IF(AND(AND(134&lt;='Control Room'!$B$3,'Control Room'!$D$3="Ready"),3&lt;='Control Room'!$B$2),ROUND(MAX(0,'Process'!O135*'Control Room'!$H$6*INDEX('Control Room'!$B$19:$H$19,1,WEEKDAY($A135,2))*(1+'Control Room'!$D$9)^133*'Process'!P135),2),"")</x:f>
      </x:c>
      <x:c r="F135" s="16" t="str">
        <x:f>IF(AND(AND(134&lt;='Control Room'!$B$3,'Control Room'!$D$3="Ready"),4&lt;='Control Room'!$B$2),ROUND(MAX(0,'Process'!T135*'Control Room'!$H$7*INDEX('Control Room'!$B$19:$H$19,1,WEEKDAY($A135,2))*(1+'Control Room'!$D$9)^133*'Process'!U135),2),"")</x:f>
      </x:c>
      <x:c r="G135" s="16" t="str">
        <x:f>IF(AND(AND(134&lt;='Control Room'!$B$3,'Control Room'!$D$3="Ready"),5&lt;='Control Room'!$B$2),ROUND(MAX(0,'Process'!Y135*'Control Room'!$H$8*INDEX('Control Room'!$B$19:$H$19,1,WEEKDAY($A135,2))*(1+'Control Room'!$D$9)^133*'Process'!Z135),2),"")</x:f>
      </x:c>
      <x:c r="H135" s="16" t="str">
        <x:f>IF(AND(AND(134&lt;='Control Room'!$B$3,'Control Room'!$D$3="Ready"),6&lt;='Control Room'!$B$2),ROUND(MAX(0,'Process'!AD135*'Control Room'!$H$9*INDEX('Control Room'!$B$19:$H$19,1,WEEKDAY($A135,2))*(1+'Control Room'!$D$9)^133*'Process'!AE135),2),"")</x:f>
      </x:c>
      <x:c r="I135" s="16" t="str">
        <x:f>IF(AND(AND(134&lt;='Control Room'!$B$3,'Control Room'!$D$3="Ready"),7&lt;='Control Room'!$B$2),ROUND(MAX(0,'Process'!AI135*'Control Room'!$H$10*INDEX('Control Room'!$B$19:$H$19,1,WEEKDAY($A135,2))*(1+'Control Room'!$D$9)^133*'Process'!AJ135),2),"")</x:f>
      </x:c>
      <x:c r="J135" s="16" t="str">
        <x:f>IF(AND(AND(134&lt;='Control Room'!$B$3,'Control Room'!$D$3="Ready"),8&lt;='Control Room'!$B$2),ROUND(MAX(0,'Process'!AN135*'Control Room'!$H$11*INDEX('Control Room'!$B$19:$H$19,1,WEEKDAY($A135,2))*(1+'Control Room'!$D$9)^133*'Process'!AO135),2),"")</x:f>
      </x:c>
      <x:c r="K135" s="16" t="str">
        <x:f>IF(AND(AND(134&lt;='Control Room'!$B$3,'Control Room'!$D$3="Ready"),9&lt;='Control Room'!$B$2),ROUND(MAX(0,'Process'!AS135*'Control Room'!$H$12*INDEX('Control Room'!$B$19:$H$19,1,WEEKDAY($A135,2))*(1+'Control Room'!$D$9)^133*'Process'!AT135),2),"")</x:f>
      </x:c>
      <x:c r="L135" s="16" t="str">
        <x:f>IF(AND(AND(134&lt;='Control Room'!$B$3,'Control Room'!$D$3="Ready"),10&lt;='Control Room'!$B$2),ROUND(MAX(0,'Process'!AX135*'Control Room'!$H$13*INDEX('Control Room'!$B$19:$H$19,1,WEEKDAY($A135,2))*(1+'Control Room'!$D$9)^133*'Process'!AY135),2),"")</x:f>
      </x:c>
      <x:c r="M135" s="16" t="str">
        <x:f>IF(AND(AND(134&lt;='Control Room'!$B$3,'Control Room'!$D$3="Ready"),11&lt;='Control Room'!$B$2),ROUND(MAX(0,'Process'!BC135*'Control Room'!$H$14*INDEX('Control Room'!$B$19:$H$19,1,WEEKDAY($A135,2))*(1+'Control Room'!$D$9)^133*'Process'!BD135),2),"")</x:f>
      </x:c>
      <x:c r="N135" s="16" t="str">
        <x:f>IF(AND(AND(134&lt;='Control Room'!$B$3,'Control Room'!$D$3="Ready"),12&lt;='Control Room'!$B$2),ROUND(MAX(0,'Process'!BH135*'Control Room'!$H$15*INDEX('Control Room'!$B$19:$H$19,1,WEEKDAY($A135,2))*(1+'Control Room'!$D$9)^133*'Process'!BI135),2),"")</x:f>
      </x:c>
    </x:row>
    <x:row r="136" ht="21" customHeight="1">
      <x:c r="A136" s="15" t="str">
        <x:f>IF(AND(135&lt;='Control Room'!$B$3,'Control Room'!$D$3="Ready"),'Process'!A136,"")</x:f>
      </x:c>
      <x:c r="B136" s="16" t="str">
        <x:f>IF(A136="","",SUM(C136:N136))</x:f>
      </x:c>
      <x:c r="C136" s="16" t="str">
        <x:f>IF(AND(AND(135&lt;='Control Room'!$B$3,'Control Room'!$D$3="Ready"),1&lt;='Control Room'!$B$2),ROUND(MAX(0,'Process'!E136*'Control Room'!$H$4*INDEX('Control Room'!$B$19:$H$19,1,WEEKDAY($A136,2))*(1+'Control Room'!$D$9)^134*'Process'!F136),2),"")</x:f>
      </x:c>
      <x:c r="D136" s="16" t="str">
        <x:f>IF(AND(AND(135&lt;='Control Room'!$B$3,'Control Room'!$D$3="Ready"),2&lt;='Control Room'!$B$2),ROUND(MAX(0,'Process'!J136*'Control Room'!$H$5*INDEX('Control Room'!$B$19:$H$19,1,WEEKDAY($A136,2))*(1+'Control Room'!$D$9)^134*'Process'!K136),2),"")</x:f>
      </x:c>
      <x:c r="E136" s="16" t="str">
        <x:f>IF(AND(AND(135&lt;='Control Room'!$B$3,'Control Room'!$D$3="Ready"),3&lt;='Control Room'!$B$2),ROUND(MAX(0,'Process'!O136*'Control Room'!$H$6*INDEX('Control Room'!$B$19:$H$19,1,WEEKDAY($A136,2))*(1+'Control Room'!$D$9)^134*'Process'!P136),2),"")</x:f>
      </x:c>
      <x:c r="F136" s="16" t="str">
        <x:f>IF(AND(AND(135&lt;='Control Room'!$B$3,'Control Room'!$D$3="Ready"),4&lt;='Control Room'!$B$2),ROUND(MAX(0,'Process'!T136*'Control Room'!$H$7*INDEX('Control Room'!$B$19:$H$19,1,WEEKDAY($A136,2))*(1+'Control Room'!$D$9)^134*'Process'!U136),2),"")</x:f>
      </x:c>
      <x:c r="G136" s="16" t="str">
        <x:f>IF(AND(AND(135&lt;='Control Room'!$B$3,'Control Room'!$D$3="Ready"),5&lt;='Control Room'!$B$2),ROUND(MAX(0,'Process'!Y136*'Control Room'!$H$8*INDEX('Control Room'!$B$19:$H$19,1,WEEKDAY($A136,2))*(1+'Control Room'!$D$9)^134*'Process'!Z136),2),"")</x:f>
      </x:c>
      <x:c r="H136" s="16" t="str">
        <x:f>IF(AND(AND(135&lt;='Control Room'!$B$3,'Control Room'!$D$3="Ready"),6&lt;='Control Room'!$B$2),ROUND(MAX(0,'Process'!AD136*'Control Room'!$H$9*INDEX('Control Room'!$B$19:$H$19,1,WEEKDAY($A136,2))*(1+'Control Room'!$D$9)^134*'Process'!AE136),2),"")</x:f>
      </x:c>
      <x:c r="I136" s="16" t="str">
        <x:f>IF(AND(AND(135&lt;='Control Room'!$B$3,'Control Room'!$D$3="Ready"),7&lt;='Control Room'!$B$2),ROUND(MAX(0,'Process'!AI136*'Control Room'!$H$10*INDEX('Control Room'!$B$19:$H$19,1,WEEKDAY($A136,2))*(1+'Control Room'!$D$9)^134*'Process'!AJ136),2),"")</x:f>
      </x:c>
      <x:c r="J136" s="16" t="str">
        <x:f>IF(AND(AND(135&lt;='Control Room'!$B$3,'Control Room'!$D$3="Ready"),8&lt;='Control Room'!$B$2),ROUND(MAX(0,'Process'!AN136*'Control Room'!$H$11*INDEX('Control Room'!$B$19:$H$19,1,WEEKDAY($A136,2))*(1+'Control Room'!$D$9)^134*'Process'!AO136),2),"")</x:f>
      </x:c>
      <x:c r="K136" s="16" t="str">
        <x:f>IF(AND(AND(135&lt;='Control Room'!$B$3,'Control Room'!$D$3="Ready"),9&lt;='Control Room'!$B$2),ROUND(MAX(0,'Process'!AS136*'Control Room'!$H$12*INDEX('Control Room'!$B$19:$H$19,1,WEEKDAY($A136,2))*(1+'Control Room'!$D$9)^134*'Process'!AT136),2),"")</x:f>
      </x:c>
      <x:c r="L136" s="16" t="str">
        <x:f>IF(AND(AND(135&lt;='Control Room'!$B$3,'Control Room'!$D$3="Ready"),10&lt;='Control Room'!$B$2),ROUND(MAX(0,'Process'!AX136*'Control Room'!$H$13*INDEX('Control Room'!$B$19:$H$19,1,WEEKDAY($A136,2))*(1+'Control Room'!$D$9)^134*'Process'!AY136),2),"")</x:f>
      </x:c>
      <x:c r="M136" s="16" t="str">
        <x:f>IF(AND(AND(135&lt;='Control Room'!$B$3,'Control Room'!$D$3="Ready"),11&lt;='Control Room'!$B$2),ROUND(MAX(0,'Process'!BC136*'Control Room'!$H$14*INDEX('Control Room'!$B$19:$H$19,1,WEEKDAY($A136,2))*(1+'Control Room'!$D$9)^134*'Process'!BD136),2),"")</x:f>
      </x:c>
      <x:c r="N136" s="16" t="str">
        <x:f>IF(AND(AND(135&lt;='Control Room'!$B$3,'Control Room'!$D$3="Ready"),12&lt;='Control Room'!$B$2),ROUND(MAX(0,'Process'!BH136*'Control Room'!$H$15*INDEX('Control Room'!$B$19:$H$19,1,WEEKDAY($A136,2))*(1+'Control Room'!$D$9)^134*'Process'!BI136),2),"")</x:f>
      </x:c>
    </x:row>
    <x:row r="137" ht="21" customHeight="1">
      <x:c r="A137" s="15" t="str">
        <x:f>IF(AND(136&lt;='Control Room'!$B$3,'Control Room'!$D$3="Ready"),'Process'!A137,"")</x:f>
      </x:c>
      <x:c r="B137" s="16" t="str">
        <x:f>IF(A137="","",SUM(C137:N137))</x:f>
      </x:c>
      <x:c r="C137" s="16" t="str">
        <x:f>IF(AND(AND(136&lt;='Control Room'!$B$3,'Control Room'!$D$3="Ready"),1&lt;='Control Room'!$B$2),ROUND(MAX(0,'Process'!E137*'Control Room'!$H$4*INDEX('Control Room'!$B$19:$H$19,1,WEEKDAY($A137,2))*(1+'Control Room'!$D$9)^135*'Process'!F137),2),"")</x:f>
      </x:c>
      <x:c r="D137" s="16" t="str">
        <x:f>IF(AND(AND(136&lt;='Control Room'!$B$3,'Control Room'!$D$3="Ready"),2&lt;='Control Room'!$B$2),ROUND(MAX(0,'Process'!J137*'Control Room'!$H$5*INDEX('Control Room'!$B$19:$H$19,1,WEEKDAY($A137,2))*(1+'Control Room'!$D$9)^135*'Process'!K137),2),"")</x:f>
      </x:c>
      <x:c r="E137" s="16" t="str">
        <x:f>IF(AND(AND(136&lt;='Control Room'!$B$3,'Control Room'!$D$3="Ready"),3&lt;='Control Room'!$B$2),ROUND(MAX(0,'Process'!O137*'Control Room'!$H$6*INDEX('Control Room'!$B$19:$H$19,1,WEEKDAY($A137,2))*(1+'Control Room'!$D$9)^135*'Process'!P137),2),"")</x:f>
      </x:c>
      <x:c r="F137" s="16" t="str">
        <x:f>IF(AND(AND(136&lt;='Control Room'!$B$3,'Control Room'!$D$3="Ready"),4&lt;='Control Room'!$B$2),ROUND(MAX(0,'Process'!T137*'Control Room'!$H$7*INDEX('Control Room'!$B$19:$H$19,1,WEEKDAY($A137,2))*(1+'Control Room'!$D$9)^135*'Process'!U137),2),"")</x:f>
      </x:c>
      <x:c r="G137" s="16" t="str">
        <x:f>IF(AND(AND(136&lt;='Control Room'!$B$3,'Control Room'!$D$3="Ready"),5&lt;='Control Room'!$B$2),ROUND(MAX(0,'Process'!Y137*'Control Room'!$H$8*INDEX('Control Room'!$B$19:$H$19,1,WEEKDAY($A137,2))*(1+'Control Room'!$D$9)^135*'Process'!Z137),2),"")</x:f>
      </x:c>
      <x:c r="H137" s="16" t="str">
        <x:f>IF(AND(AND(136&lt;='Control Room'!$B$3,'Control Room'!$D$3="Ready"),6&lt;='Control Room'!$B$2),ROUND(MAX(0,'Process'!AD137*'Control Room'!$H$9*INDEX('Control Room'!$B$19:$H$19,1,WEEKDAY($A137,2))*(1+'Control Room'!$D$9)^135*'Process'!AE137),2),"")</x:f>
      </x:c>
      <x:c r="I137" s="16" t="str">
        <x:f>IF(AND(AND(136&lt;='Control Room'!$B$3,'Control Room'!$D$3="Ready"),7&lt;='Control Room'!$B$2),ROUND(MAX(0,'Process'!AI137*'Control Room'!$H$10*INDEX('Control Room'!$B$19:$H$19,1,WEEKDAY($A137,2))*(1+'Control Room'!$D$9)^135*'Process'!AJ137),2),"")</x:f>
      </x:c>
      <x:c r="J137" s="16" t="str">
        <x:f>IF(AND(AND(136&lt;='Control Room'!$B$3,'Control Room'!$D$3="Ready"),8&lt;='Control Room'!$B$2),ROUND(MAX(0,'Process'!AN137*'Control Room'!$H$11*INDEX('Control Room'!$B$19:$H$19,1,WEEKDAY($A137,2))*(1+'Control Room'!$D$9)^135*'Process'!AO137),2),"")</x:f>
      </x:c>
      <x:c r="K137" s="16" t="str">
        <x:f>IF(AND(AND(136&lt;='Control Room'!$B$3,'Control Room'!$D$3="Ready"),9&lt;='Control Room'!$B$2),ROUND(MAX(0,'Process'!AS137*'Control Room'!$H$12*INDEX('Control Room'!$B$19:$H$19,1,WEEKDAY($A137,2))*(1+'Control Room'!$D$9)^135*'Process'!AT137),2),"")</x:f>
      </x:c>
      <x:c r="L137" s="16" t="str">
        <x:f>IF(AND(AND(136&lt;='Control Room'!$B$3,'Control Room'!$D$3="Ready"),10&lt;='Control Room'!$B$2),ROUND(MAX(0,'Process'!AX137*'Control Room'!$H$13*INDEX('Control Room'!$B$19:$H$19,1,WEEKDAY($A137,2))*(1+'Control Room'!$D$9)^135*'Process'!AY137),2),"")</x:f>
      </x:c>
      <x:c r="M137" s="16" t="str">
        <x:f>IF(AND(AND(136&lt;='Control Room'!$B$3,'Control Room'!$D$3="Ready"),11&lt;='Control Room'!$B$2),ROUND(MAX(0,'Process'!BC137*'Control Room'!$H$14*INDEX('Control Room'!$B$19:$H$19,1,WEEKDAY($A137,2))*(1+'Control Room'!$D$9)^135*'Process'!BD137),2),"")</x:f>
      </x:c>
      <x:c r="N137" s="16" t="str">
        <x:f>IF(AND(AND(136&lt;='Control Room'!$B$3,'Control Room'!$D$3="Ready"),12&lt;='Control Room'!$B$2),ROUND(MAX(0,'Process'!BH137*'Control Room'!$H$15*INDEX('Control Room'!$B$19:$H$19,1,WEEKDAY($A137,2))*(1+'Control Room'!$D$9)^135*'Process'!BI137),2),"")</x:f>
      </x:c>
    </x:row>
    <x:row r="138" ht="21" customHeight="1">
      <x:c r="A138" s="15" t="str">
        <x:f>IF(AND(137&lt;='Control Room'!$B$3,'Control Room'!$D$3="Ready"),'Process'!A138,"")</x:f>
      </x:c>
      <x:c r="B138" s="16" t="str">
        <x:f>IF(A138="","",SUM(C138:N138))</x:f>
      </x:c>
      <x:c r="C138" s="16" t="str">
        <x:f>IF(AND(AND(137&lt;='Control Room'!$B$3,'Control Room'!$D$3="Ready"),1&lt;='Control Room'!$B$2),ROUND(MAX(0,'Process'!E138*'Control Room'!$H$4*INDEX('Control Room'!$B$19:$H$19,1,WEEKDAY($A138,2))*(1+'Control Room'!$D$9)^136*'Process'!F138),2),"")</x:f>
      </x:c>
      <x:c r="D138" s="16" t="str">
        <x:f>IF(AND(AND(137&lt;='Control Room'!$B$3,'Control Room'!$D$3="Ready"),2&lt;='Control Room'!$B$2),ROUND(MAX(0,'Process'!J138*'Control Room'!$H$5*INDEX('Control Room'!$B$19:$H$19,1,WEEKDAY($A138,2))*(1+'Control Room'!$D$9)^136*'Process'!K138),2),"")</x:f>
      </x:c>
      <x:c r="E138" s="16" t="str">
        <x:f>IF(AND(AND(137&lt;='Control Room'!$B$3,'Control Room'!$D$3="Ready"),3&lt;='Control Room'!$B$2),ROUND(MAX(0,'Process'!O138*'Control Room'!$H$6*INDEX('Control Room'!$B$19:$H$19,1,WEEKDAY($A138,2))*(1+'Control Room'!$D$9)^136*'Process'!P138),2),"")</x:f>
      </x:c>
      <x:c r="F138" s="16" t="str">
        <x:f>IF(AND(AND(137&lt;='Control Room'!$B$3,'Control Room'!$D$3="Ready"),4&lt;='Control Room'!$B$2),ROUND(MAX(0,'Process'!T138*'Control Room'!$H$7*INDEX('Control Room'!$B$19:$H$19,1,WEEKDAY($A138,2))*(1+'Control Room'!$D$9)^136*'Process'!U138),2),"")</x:f>
      </x:c>
      <x:c r="G138" s="16" t="str">
        <x:f>IF(AND(AND(137&lt;='Control Room'!$B$3,'Control Room'!$D$3="Ready"),5&lt;='Control Room'!$B$2),ROUND(MAX(0,'Process'!Y138*'Control Room'!$H$8*INDEX('Control Room'!$B$19:$H$19,1,WEEKDAY($A138,2))*(1+'Control Room'!$D$9)^136*'Process'!Z138),2),"")</x:f>
      </x:c>
      <x:c r="H138" s="16" t="str">
        <x:f>IF(AND(AND(137&lt;='Control Room'!$B$3,'Control Room'!$D$3="Ready"),6&lt;='Control Room'!$B$2),ROUND(MAX(0,'Process'!AD138*'Control Room'!$H$9*INDEX('Control Room'!$B$19:$H$19,1,WEEKDAY($A138,2))*(1+'Control Room'!$D$9)^136*'Process'!AE138),2),"")</x:f>
      </x:c>
      <x:c r="I138" s="16" t="str">
        <x:f>IF(AND(AND(137&lt;='Control Room'!$B$3,'Control Room'!$D$3="Ready"),7&lt;='Control Room'!$B$2),ROUND(MAX(0,'Process'!AI138*'Control Room'!$H$10*INDEX('Control Room'!$B$19:$H$19,1,WEEKDAY($A138,2))*(1+'Control Room'!$D$9)^136*'Process'!AJ138),2),"")</x:f>
      </x:c>
      <x:c r="J138" s="16" t="str">
        <x:f>IF(AND(AND(137&lt;='Control Room'!$B$3,'Control Room'!$D$3="Ready"),8&lt;='Control Room'!$B$2),ROUND(MAX(0,'Process'!AN138*'Control Room'!$H$11*INDEX('Control Room'!$B$19:$H$19,1,WEEKDAY($A138,2))*(1+'Control Room'!$D$9)^136*'Process'!AO138),2),"")</x:f>
      </x:c>
      <x:c r="K138" s="16" t="str">
        <x:f>IF(AND(AND(137&lt;='Control Room'!$B$3,'Control Room'!$D$3="Ready"),9&lt;='Control Room'!$B$2),ROUND(MAX(0,'Process'!AS138*'Control Room'!$H$12*INDEX('Control Room'!$B$19:$H$19,1,WEEKDAY($A138,2))*(1+'Control Room'!$D$9)^136*'Process'!AT138),2),"")</x:f>
      </x:c>
      <x:c r="L138" s="16" t="str">
        <x:f>IF(AND(AND(137&lt;='Control Room'!$B$3,'Control Room'!$D$3="Ready"),10&lt;='Control Room'!$B$2),ROUND(MAX(0,'Process'!AX138*'Control Room'!$H$13*INDEX('Control Room'!$B$19:$H$19,1,WEEKDAY($A138,2))*(1+'Control Room'!$D$9)^136*'Process'!AY138),2),"")</x:f>
      </x:c>
      <x:c r="M138" s="16" t="str">
        <x:f>IF(AND(AND(137&lt;='Control Room'!$B$3,'Control Room'!$D$3="Ready"),11&lt;='Control Room'!$B$2),ROUND(MAX(0,'Process'!BC138*'Control Room'!$H$14*INDEX('Control Room'!$B$19:$H$19,1,WEEKDAY($A138,2))*(1+'Control Room'!$D$9)^136*'Process'!BD138),2),"")</x:f>
      </x:c>
      <x:c r="N138" s="16" t="str">
        <x:f>IF(AND(AND(137&lt;='Control Room'!$B$3,'Control Room'!$D$3="Ready"),12&lt;='Control Room'!$B$2),ROUND(MAX(0,'Process'!BH138*'Control Room'!$H$15*INDEX('Control Room'!$B$19:$H$19,1,WEEKDAY($A138,2))*(1+'Control Room'!$D$9)^136*'Process'!BI138),2),"")</x:f>
      </x:c>
    </x:row>
    <x:row r="139" ht="21" customHeight="1">
      <x:c r="A139" s="15" t="str">
        <x:f>IF(AND(138&lt;='Control Room'!$B$3,'Control Room'!$D$3="Ready"),'Process'!A139,"")</x:f>
      </x:c>
      <x:c r="B139" s="16" t="str">
        <x:f>IF(A139="","",SUM(C139:N139))</x:f>
      </x:c>
      <x:c r="C139" s="16" t="str">
        <x:f>IF(AND(AND(138&lt;='Control Room'!$B$3,'Control Room'!$D$3="Ready"),1&lt;='Control Room'!$B$2),ROUND(MAX(0,'Process'!E139*'Control Room'!$H$4*INDEX('Control Room'!$B$19:$H$19,1,WEEKDAY($A139,2))*(1+'Control Room'!$D$9)^137*'Process'!F139),2),"")</x:f>
      </x:c>
      <x:c r="D139" s="16" t="str">
        <x:f>IF(AND(AND(138&lt;='Control Room'!$B$3,'Control Room'!$D$3="Ready"),2&lt;='Control Room'!$B$2),ROUND(MAX(0,'Process'!J139*'Control Room'!$H$5*INDEX('Control Room'!$B$19:$H$19,1,WEEKDAY($A139,2))*(1+'Control Room'!$D$9)^137*'Process'!K139),2),"")</x:f>
      </x:c>
      <x:c r="E139" s="16" t="str">
        <x:f>IF(AND(AND(138&lt;='Control Room'!$B$3,'Control Room'!$D$3="Ready"),3&lt;='Control Room'!$B$2),ROUND(MAX(0,'Process'!O139*'Control Room'!$H$6*INDEX('Control Room'!$B$19:$H$19,1,WEEKDAY($A139,2))*(1+'Control Room'!$D$9)^137*'Process'!P139),2),"")</x:f>
      </x:c>
      <x:c r="F139" s="16" t="str">
        <x:f>IF(AND(AND(138&lt;='Control Room'!$B$3,'Control Room'!$D$3="Ready"),4&lt;='Control Room'!$B$2),ROUND(MAX(0,'Process'!T139*'Control Room'!$H$7*INDEX('Control Room'!$B$19:$H$19,1,WEEKDAY($A139,2))*(1+'Control Room'!$D$9)^137*'Process'!U139),2),"")</x:f>
      </x:c>
      <x:c r="G139" s="16" t="str">
        <x:f>IF(AND(AND(138&lt;='Control Room'!$B$3,'Control Room'!$D$3="Ready"),5&lt;='Control Room'!$B$2),ROUND(MAX(0,'Process'!Y139*'Control Room'!$H$8*INDEX('Control Room'!$B$19:$H$19,1,WEEKDAY($A139,2))*(1+'Control Room'!$D$9)^137*'Process'!Z139),2),"")</x:f>
      </x:c>
      <x:c r="H139" s="16" t="str">
        <x:f>IF(AND(AND(138&lt;='Control Room'!$B$3,'Control Room'!$D$3="Ready"),6&lt;='Control Room'!$B$2),ROUND(MAX(0,'Process'!AD139*'Control Room'!$H$9*INDEX('Control Room'!$B$19:$H$19,1,WEEKDAY($A139,2))*(1+'Control Room'!$D$9)^137*'Process'!AE139),2),"")</x:f>
      </x:c>
      <x:c r="I139" s="16" t="str">
        <x:f>IF(AND(AND(138&lt;='Control Room'!$B$3,'Control Room'!$D$3="Ready"),7&lt;='Control Room'!$B$2),ROUND(MAX(0,'Process'!AI139*'Control Room'!$H$10*INDEX('Control Room'!$B$19:$H$19,1,WEEKDAY($A139,2))*(1+'Control Room'!$D$9)^137*'Process'!AJ139),2),"")</x:f>
      </x:c>
      <x:c r="J139" s="16" t="str">
        <x:f>IF(AND(AND(138&lt;='Control Room'!$B$3,'Control Room'!$D$3="Ready"),8&lt;='Control Room'!$B$2),ROUND(MAX(0,'Process'!AN139*'Control Room'!$H$11*INDEX('Control Room'!$B$19:$H$19,1,WEEKDAY($A139,2))*(1+'Control Room'!$D$9)^137*'Process'!AO139),2),"")</x:f>
      </x:c>
      <x:c r="K139" s="16" t="str">
        <x:f>IF(AND(AND(138&lt;='Control Room'!$B$3,'Control Room'!$D$3="Ready"),9&lt;='Control Room'!$B$2),ROUND(MAX(0,'Process'!AS139*'Control Room'!$H$12*INDEX('Control Room'!$B$19:$H$19,1,WEEKDAY($A139,2))*(1+'Control Room'!$D$9)^137*'Process'!AT139),2),"")</x:f>
      </x:c>
      <x:c r="L139" s="16" t="str">
        <x:f>IF(AND(AND(138&lt;='Control Room'!$B$3,'Control Room'!$D$3="Ready"),10&lt;='Control Room'!$B$2),ROUND(MAX(0,'Process'!AX139*'Control Room'!$H$13*INDEX('Control Room'!$B$19:$H$19,1,WEEKDAY($A139,2))*(1+'Control Room'!$D$9)^137*'Process'!AY139),2),"")</x:f>
      </x:c>
      <x:c r="M139" s="16" t="str">
        <x:f>IF(AND(AND(138&lt;='Control Room'!$B$3,'Control Room'!$D$3="Ready"),11&lt;='Control Room'!$B$2),ROUND(MAX(0,'Process'!BC139*'Control Room'!$H$14*INDEX('Control Room'!$B$19:$H$19,1,WEEKDAY($A139,2))*(1+'Control Room'!$D$9)^137*'Process'!BD139),2),"")</x:f>
      </x:c>
      <x:c r="N139" s="16" t="str">
        <x:f>IF(AND(AND(138&lt;='Control Room'!$B$3,'Control Room'!$D$3="Ready"),12&lt;='Control Room'!$B$2),ROUND(MAX(0,'Process'!BH139*'Control Room'!$H$15*INDEX('Control Room'!$B$19:$H$19,1,WEEKDAY($A139,2))*(1+'Control Room'!$D$9)^137*'Process'!BI139),2),"")</x:f>
      </x:c>
    </x:row>
    <x:row r="140" ht="21" customHeight="1">
      <x:c r="A140" s="15" t="str">
        <x:f>IF(AND(139&lt;='Control Room'!$B$3,'Control Room'!$D$3="Ready"),'Process'!A140,"")</x:f>
      </x:c>
      <x:c r="B140" s="16" t="str">
        <x:f>IF(A140="","",SUM(C140:N140))</x:f>
      </x:c>
      <x:c r="C140" s="16" t="str">
        <x:f>IF(AND(AND(139&lt;='Control Room'!$B$3,'Control Room'!$D$3="Ready"),1&lt;='Control Room'!$B$2),ROUND(MAX(0,'Process'!E140*'Control Room'!$H$4*INDEX('Control Room'!$B$19:$H$19,1,WEEKDAY($A140,2))*(1+'Control Room'!$D$9)^138*'Process'!F140),2),"")</x:f>
      </x:c>
      <x:c r="D140" s="16" t="str">
        <x:f>IF(AND(AND(139&lt;='Control Room'!$B$3,'Control Room'!$D$3="Ready"),2&lt;='Control Room'!$B$2),ROUND(MAX(0,'Process'!J140*'Control Room'!$H$5*INDEX('Control Room'!$B$19:$H$19,1,WEEKDAY($A140,2))*(1+'Control Room'!$D$9)^138*'Process'!K140),2),"")</x:f>
      </x:c>
      <x:c r="E140" s="16" t="str">
        <x:f>IF(AND(AND(139&lt;='Control Room'!$B$3,'Control Room'!$D$3="Ready"),3&lt;='Control Room'!$B$2),ROUND(MAX(0,'Process'!O140*'Control Room'!$H$6*INDEX('Control Room'!$B$19:$H$19,1,WEEKDAY($A140,2))*(1+'Control Room'!$D$9)^138*'Process'!P140),2),"")</x:f>
      </x:c>
      <x:c r="F140" s="16" t="str">
        <x:f>IF(AND(AND(139&lt;='Control Room'!$B$3,'Control Room'!$D$3="Ready"),4&lt;='Control Room'!$B$2),ROUND(MAX(0,'Process'!T140*'Control Room'!$H$7*INDEX('Control Room'!$B$19:$H$19,1,WEEKDAY($A140,2))*(1+'Control Room'!$D$9)^138*'Process'!U140),2),"")</x:f>
      </x:c>
      <x:c r="G140" s="16" t="str">
        <x:f>IF(AND(AND(139&lt;='Control Room'!$B$3,'Control Room'!$D$3="Ready"),5&lt;='Control Room'!$B$2),ROUND(MAX(0,'Process'!Y140*'Control Room'!$H$8*INDEX('Control Room'!$B$19:$H$19,1,WEEKDAY($A140,2))*(1+'Control Room'!$D$9)^138*'Process'!Z140),2),"")</x:f>
      </x:c>
      <x:c r="H140" s="16" t="str">
        <x:f>IF(AND(AND(139&lt;='Control Room'!$B$3,'Control Room'!$D$3="Ready"),6&lt;='Control Room'!$B$2),ROUND(MAX(0,'Process'!AD140*'Control Room'!$H$9*INDEX('Control Room'!$B$19:$H$19,1,WEEKDAY($A140,2))*(1+'Control Room'!$D$9)^138*'Process'!AE140),2),"")</x:f>
      </x:c>
      <x:c r="I140" s="16" t="str">
        <x:f>IF(AND(AND(139&lt;='Control Room'!$B$3,'Control Room'!$D$3="Ready"),7&lt;='Control Room'!$B$2),ROUND(MAX(0,'Process'!AI140*'Control Room'!$H$10*INDEX('Control Room'!$B$19:$H$19,1,WEEKDAY($A140,2))*(1+'Control Room'!$D$9)^138*'Process'!AJ140),2),"")</x:f>
      </x:c>
      <x:c r="J140" s="16" t="str">
        <x:f>IF(AND(AND(139&lt;='Control Room'!$B$3,'Control Room'!$D$3="Ready"),8&lt;='Control Room'!$B$2),ROUND(MAX(0,'Process'!AN140*'Control Room'!$H$11*INDEX('Control Room'!$B$19:$H$19,1,WEEKDAY($A140,2))*(1+'Control Room'!$D$9)^138*'Process'!AO140),2),"")</x:f>
      </x:c>
      <x:c r="K140" s="16" t="str">
        <x:f>IF(AND(AND(139&lt;='Control Room'!$B$3,'Control Room'!$D$3="Ready"),9&lt;='Control Room'!$B$2),ROUND(MAX(0,'Process'!AS140*'Control Room'!$H$12*INDEX('Control Room'!$B$19:$H$19,1,WEEKDAY($A140,2))*(1+'Control Room'!$D$9)^138*'Process'!AT140),2),"")</x:f>
      </x:c>
      <x:c r="L140" s="16" t="str">
        <x:f>IF(AND(AND(139&lt;='Control Room'!$B$3,'Control Room'!$D$3="Ready"),10&lt;='Control Room'!$B$2),ROUND(MAX(0,'Process'!AX140*'Control Room'!$H$13*INDEX('Control Room'!$B$19:$H$19,1,WEEKDAY($A140,2))*(1+'Control Room'!$D$9)^138*'Process'!AY140),2),"")</x:f>
      </x:c>
      <x:c r="M140" s="16" t="str">
        <x:f>IF(AND(AND(139&lt;='Control Room'!$B$3,'Control Room'!$D$3="Ready"),11&lt;='Control Room'!$B$2),ROUND(MAX(0,'Process'!BC140*'Control Room'!$H$14*INDEX('Control Room'!$B$19:$H$19,1,WEEKDAY($A140,2))*(1+'Control Room'!$D$9)^138*'Process'!BD140),2),"")</x:f>
      </x:c>
      <x:c r="N140" s="16" t="str">
        <x:f>IF(AND(AND(139&lt;='Control Room'!$B$3,'Control Room'!$D$3="Ready"),12&lt;='Control Room'!$B$2),ROUND(MAX(0,'Process'!BH140*'Control Room'!$H$15*INDEX('Control Room'!$B$19:$H$19,1,WEEKDAY($A140,2))*(1+'Control Room'!$D$9)^138*'Process'!BI140),2),"")</x:f>
      </x:c>
    </x:row>
    <x:row r="141" ht="21" customHeight="1">
      <x:c r="A141" s="15" t="str">
        <x:f>IF(AND(140&lt;='Control Room'!$B$3,'Control Room'!$D$3="Ready"),'Process'!A141,"")</x:f>
      </x:c>
      <x:c r="B141" s="16" t="str">
        <x:f>IF(A141="","",SUM(C141:N141))</x:f>
      </x:c>
      <x:c r="C141" s="16" t="str">
        <x:f>IF(AND(AND(140&lt;='Control Room'!$B$3,'Control Room'!$D$3="Ready"),1&lt;='Control Room'!$B$2),ROUND(MAX(0,'Process'!E141*'Control Room'!$H$4*INDEX('Control Room'!$B$19:$H$19,1,WEEKDAY($A141,2))*(1+'Control Room'!$D$9)^139*'Process'!F141),2),"")</x:f>
      </x:c>
      <x:c r="D141" s="16" t="str">
        <x:f>IF(AND(AND(140&lt;='Control Room'!$B$3,'Control Room'!$D$3="Ready"),2&lt;='Control Room'!$B$2),ROUND(MAX(0,'Process'!J141*'Control Room'!$H$5*INDEX('Control Room'!$B$19:$H$19,1,WEEKDAY($A141,2))*(1+'Control Room'!$D$9)^139*'Process'!K141),2),"")</x:f>
      </x:c>
      <x:c r="E141" s="16" t="str">
        <x:f>IF(AND(AND(140&lt;='Control Room'!$B$3,'Control Room'!$D$3="Ready"),3&lt;='Control Room'!$B$2),ROUND(MAX(0,'Process'!O141*'Control Room'!$H$6*INDEX('Control Room'!$B$19:$H$19,1,WEEKDAY($A141,2))*(1+'Control Room'!$D$9)^139*'Process'!P141),2),"")</x:f>
      </x:c>
      <x:c r="F141" s="16" t="str">
        <x:f>IF(AND(AND(140&lt;='Control Room'!$B$3,'Control Room'!$D$3="Ready"),4&lt;='Control Room'!$B$2),ROUND(MAX(0,'Process'!T141*'Control Room'!$H$7*INDEX('Control Room'!$B$19:$H$19,1,WEEKDAY($A141,2))*(1+'Control Room'!$D$9)^139*'Process'!U141),2),"")</x:f>
      </x:c>
      <x:c r="G141" s="16" t="str">
        <x:f>IF(AND(AND(140&lt;='Control Room'!$B$3,'Control Room'!$D$3="Ready"),5&lt;='Control Room'!$B$2),ROUND(MAX(0,'Process'!Y141*'Control Room'!$H$8*INDEX('Control Room'!$B$19:$H$19,1,WEEKDAY($A141,2))*(1+'Control Room'!$D$9)^139*'Process'!Z141),2),"")</x:f>
      </x:c>
      <x:c r="H141" s="16" t="str">
        <x:f>IF(AND(AND(140&lt;='Control Room'!$B$3,'Control Room'!$D$3="Ready"),6&lt;='Control Room'!$B$2),ROUND(MAX(0,'Process'!AD141*'Control Room'!$H$9*INDEX('Control Room'!$B$19:$H$19,1,WEEKDAY($A141,2))*(1+'Control Room'!$D$9)^139*'Process'!AE141),2),"")</x:f>
      </x:c>
      <x:c r="I141" s="16" t="str">
        <x:f>IF(AND(AND(140&lt;='Control Room'!$B$3,'Control Room'!$D$3="Ready"),7&lt;='Control Room'!$B$2),ROUND(MAX(0,'Process'!AI141*'Control Room'!$H$10*INDEX('Control Room'!$B$19:$H$19,1,WEEKDAY($A141,2))*(1+'Control Room'!$D$9)^139*'Process'!AJ141),2),"")</x:f>
      </x:c>
      <x:c r="J141" s="16" t="str">
        <x:f>IF(AND(AND(140&lt;='Control Room'!$B$3,'Control Room'!$D$3="Ready"),8&lt;='Control Room'!$B$2),ROUND(MAX(0,'Process'!AN141*'Control Room'!$H$11*INDEX('Control Room'!$B$19:$H$19,1,WEEKDAY($A141,2))*(1+'Control Room'!$D$9)^139*'Process'!AO141),2),"")</x:f>
      </x:c>
      <x:c r="K141" s="16" t="str">
        <x:f>IF(AND(AND(140&lt;='Control Room'!$B$3,'Control Room'!$D$3="Ready"),9&lt;='Control Room'!$B$2),ROUND(MAX(0,'Process'!AS141*'Control Room'!$H$12*INDEX('Control Room'!$B$19:$H$19,1,WEEKDAY($A141,2))*(1+'Control Room'!$D$9)^139*'Process'!AT141),2),"")</x:f>
      </x:c>
      <x:c r="L141" s="16" t="str">
        <x:f>IF(AND(AND(140&lt;='Control Room'!$B$3,'Control Room'!$D$3="Ready"),10&lt;='Control Room'!$B$2),ROUND(MAX(0,'Process'!AX141*'Control Room'!$H$13*INDEX('Control Room'!$B$19:$H$19,1,WEEKDAY($A141,2))*(1+'Control Room'!$D$9)^139*'Process'!AY141),2),"")</x:f>
      </x:c>
      <x:c r="M141" s="16" t="str">
        <x:f>IF(AND(AND(140&lt;='Control Room'!$B$3,'Control Room'!$D$3="Ready"),11&lt;='Control Room'!$B$2),ROUND(MAX(0,'Process'!BC141*'Control Room'!$H$14*INDEX('Control Room'!$B$19:$H$19,1,WEEKDAY($A141,2))*(1+'Control Room'!$D$9)^139*'Process'!BD141),2),"")</x:f>
      </x:c>
      <x:c r="N141" s="16" t="str">
        <x:f>IF(AND(AND(140&lt;='Control Room'!$B$3,'Control Room'!$D$3="Ready"),12&lt;='Control Room'!$B$2),ROUND(MAX(0,'Process'!BH141*'Control Room'!$H$15*INDEX('Control Room'!$B$19:$H$19,1,WEEKDAY($A141,2))*(1+'Control Room'!$D$9)^139*'Process'!BI141),2),"")</x:f>
      </x:c>
    </x:row>
    <x:row r="142" ht="21" customHeight="1">
      <x:c r="A142" s="15" t="str">
        <x:f>IF(AND(141&lt;='Control Room'!$B$3,'Control Room'!$D$3="Ready"),'Process'!A142,"")</x:f>
      </x:c>
      <x:c r="B142" s="16" t="str">
        <x:f>IF(A142="","",SUM(C142:N142))</x:f>
      </x:c>
      <x:c r="C142" s="16" t="str">
        <x:f>IF(AND(AND(141&lt;='Control Room'!$B$3,'Control Room'!$D$3="Ready"),1&lt;='Control Room'!$B$2),ROUND(MAX(0,'Process'!E142*'Control Room'!$H$4*INDEX('Control Room'!$B$19:$H$19,1,WEEKDAY($A142,2))*(1+'Control Room'!$D$9)^140*'Process'!F142),2),"")</x:f>
      </x:c>
      <x:c r="D142" s="16" t="str">
        <x:f>IF(AND(AND(141&lt;='Control Room'!$B$3,'Control Room'!$D$3="Ready"),2&lt;='Control Room'!$B$2),ROUND(MAX(0,'Process'!J142*'Control Room'!$H$5*INDEX('Control Room'!$B$19:$H$19,1,WEEKDAY($A142,2))*(1+'Control Room'!$D$9)^140*'Process'!K142),2),"")</x:f>
      </x:c>
      <x:c r="E142" s="16" t="str">
        <x:f>IF(AND(AND(141&lt;='Control Room'!$B$3,'Control Room'!$D$3="Ready"),3&lt;='Control Room'!$B$2),ROUND(MAX(0,'Process'!O142*'Control Room'!$H$6*INDEX('Control Room'!$B$19:$H$19,1,WEEKDAY($A142,2))*(1+'Control Room'!$D$9)^140*'Process'!P142),2),"")</x:f>
      </x:c>
      <x:c r="F142" s="16" t="str">
        <x:f>IF(AND(AND(141&lt;='Control Room'!$B$3,'Control Room'!$D$3="Ready"),4&lt;='Control Room'!$B$2),ROUND(MAX(0,'Process'!T142*'Control Room'!$H$7*INDEX('Control Room'!$B$19:$H$19,1,WEEKDAY($A142,2))*(1+'Control Room'!$D$9)^140*'Process'!U142),2),"")</x:f>
      </x:c>
      <x:c r="G142" s="16" t="str">
        <x:f>IF(AND(AND(141&lt;='Control Room'!$B$3,'Control Room'!$D$3="Ready"),5&lt;='Control Room'!$B$2),ROUND(MAX(0,'Process'!Y142*'Control Room'!$H$8*INDEX('Control Room'!$B$19:$H$19,1,WEEKDAY($A142,2))*(1+'Control Room'!$D$9)^140*'Process'!Z142),2),"")</x:f>
      </x:c>
      <x:c r="H142" s="16" t="str">
        <x:f>IF(AND(AND(141&lt;='Control Room'!$B$3,'Control Room'!$D$3="Ready"),6&lt;='Control Room'!$B$2),ROUND(MAX(0,'Process'!AD142*'Control Room'!$H$9*INDEX('Control Room'!$B$19:$H$19,1,WEEKDAY($A142,2))*(1+'Control Room'!$D$9)^140*'Process'!AE142),2),"")</x:f>
      </x:c>
      <x:c r="I142" s="16" t="str">
        <x:f>IF(AND(AND(141&lt;='Control Room'!$B$3,'Control Room'!$D$3="Ready"),7&lt;='Control Room'!$B$2),ROUND(MAX(0,'Process'!AI142*'Control Room'!$H$10*INDEX('Control Room'!$B$19:$H$19,1,WEEKDAY($A142,2))*(1+'Control Room'!$D$9)^140*'Process'!AJ142),2),"")</x:f>
      </x:c>
      <x:c r="J142" s="16" t="str">
        <x:f>IF(AND(AND(141&lt;='Control Room'!$B$3,'Control Room'!$D$3="Ready"),8&lt;='Control Room'!$B$2),ROUND(MAX(0,'Process'!AN142*'Control Room'!$H$11*INDEX('Control Room'!$B$19:$H$19,1,WEEKDAY($A142,2))*(1+'Control Room'!$D$9)^140*'Process'!AO142),2),"")</x:f>
      </x:c>
      <x:c r="K142" s="16" t="str">
        <x:f>IF(AND(AND(141&lt;='Control Room'!$B$3,'Control Room'!$D$3="Ready"),9&lt;='Control Room'!$B$2),ROUND(MAX(0,'Process'!AS142*'Control Room'!$H$12*INDEX('Control Room'!$B$19:$H$19,1,WEEKDAY($A142,2))*(1+'Control Room'!$D$9)^140*'Process'!AT142),2),"")</x:f>
      </x:c>
      <x:c r="L142" s="16" t="str">
        <x:f>IF(AND(AND(141&lt;='Control Room'!$B$3,'Control Room'!$D$3="Ready"),10&lt;='Control Room'!$B$2),ROUND(MAX(0,'Process'!AX142*'Control Room'!$H$13*INDEX('Control Room'!$B$19:$H$19,1,WEEKDAY($A142,2))*(1+'Control Room'!$D$9)^140*'Process'!AY142),2),"")</x:f>
      </x:c>
      <x:c r="M142" s="16" t="str">
        <x:f>IF(AND(AND(141&lt;='Control Room'!$B$3,'Control Room'!$D$3="Ready"),11&lt;='Control Room'!$B$2),ROUND(MAX(0,'Process'!BC142*'Control Room'!$H$14*INDEX('Control Room'!$B$19:$H$19,1,WEEKDAY($A142,2))*(1+'Control Room'!$D$9)^140*'Process'!BD142),2),"")</x:f>
      </x:c>
      <x:c r="N142" s="16" t="str">
        <x:f>IF(AND(AND(141&lt;='Control Room'!$B$3,'Control Room'!$D$3="Ready"),12&lt;='Control Room'!$B$2),ROUND(MAX(0,'Process'!BH142*'Control Room'!$H$15*INDEX('Control Room'!$B$19:$H$19,1,WEEKDAY($A142,2))*(1+'Control Room'!$D$9)^140*'Process'!BI142),2),"")</x:f>
      </x:c>
    </x:row>
    <x:row r="143" ht="21" customHeight="1">
      <x:c r="A143" s="15" t="str">
        <x:f>IF(AND(142&lt;='Control Room'!$B$3,'Control Room'!$D$3="Ready"),'Process'!A143,"")</x:f>
      </x:c>
      <x:c r="B143" s="16" t="str">
        <x:f>IF(A143="","",SUM(C143:N143))</x:f>
      </x:c>
      <x:c r="C143" s="16" t="str">
        <x:f>IF(AND(AND(142&lt;='Control Room'!$B$3,'Control Room'!$D$3="Ready"),1&lt;='Control Room'!$B$2),ROUND(MAX(0,'Process'!E143*'Control Room'!$H$4*INDEX('Control Room'!$B$19:$H$19,1,WEEKDAY($A143,2))*(1+'Control Room'!$D$9)^141*'Process'!F143),2),"")</x:f>
      </x:c>
      <x:c r="D143" s="16" t="str">
        <x:f>IF(AND(AND(142&lt;='Control Room'!$B$3,'Control Room'!$D$3="Ready"),2&lt;='Control Room'!$B$2),ROUND(MAX(0,'Process'!J143*'Control Room'!$H$5*INDEX('Control Room'!$B$19:$H$19,1,WEEKDAY($A143,2))*(1+'Control Room'!$D$9)^141*'Process'!K143),2),"")</x:f>
      </x:c>
      <x:c r="E143" s="16" t="str">
        <x:f>IF(AND(AND(142&lt;='Control Room'!$B$3,'Control Room'!$D$3="Ready"),3&lt;='Control Room'!$B$2),ROUND(MAX(0,'Process'!O143*'Control Room'!$H$6*INDEX('Control Room'!$B$19:$H$19,1,WEEKDAY($A143,2))*(1+'Control Room'!$D$9)^141*'Process'!P143),2),"")</x:f>
      </x:c>
      <x:c r="F143" s="16" t="str">
        <x:f>IF(AND(AND(142&lt;='Control Room'!$B$3,'Control Room'!$D$3="Ready"),4&lt;='Control Room'!$B$2),ROUND(MAX(0,'Process'!T143*'Control Room'!$H$7*INDEX('Control Room'!$B$19:$H$19,1,WEEKDAY($A143,2))*(1+'Control Room'!$D$9)^141*'Process'!U143),2),"")</x:f>
      </x:c>
      <x:c r="G143" s="16" t="str">
        <x:f>IF(AND(AND(142&lt;='Control Room'!$B$3,'Control Room'!$D$3="Ready"),5&lt;='Control Room'!$B$2),ROUND(MAX(0,'Process'!Y143*'Control Room'!$H$8*INDEX('Control Room'!$B$19:$H$19,1,WEEKDAY($A143,2))*(1+'Control Room'!$D$9)^141*'Process'!Z143),2),"")</x:f>
      </x:c>
      <x:c r="H143" s="16" t="str">
        <x:f>IF(AND(AND(142&lt;='Control Room'!$B$3,'Control Room'!$D$3="Ready"),6&lt;='Control Room'!$B$2),ROUND(MAX(0,'Process'!AD143*'Control Room'!$H$9*INDEX('Control Room'!$B$19:$H$19,1,WEEKDAY($A143,2))*(1+'Control Room'!$D$9)^141*'Process'!AE143),2),"")</x:f>
      </x:c>
      <x:c r="I143" s="16" t="str">
        <x:f>IF(AND(AND(142&lt;='Control Room'!$B$3,'Control Room'!$D$3="Ready"),7&lt;='Control Room'!$B$2),ROUND(MAX(0,'Process'!AI143*'Control Room'!$H$10*INDEX('Control Room'!$B$19:$H$19,1,WEEKDAY($A143,2))*(1+'Control Room'!$D$9)^141*'Process'!AJ143),2),"")</x:f>
      </x:c>
      <x:c r="J143" s="16" t="str">
        <x:f>IF(AND(AND(142&lt;='Control Room'!$B$3,'Control Room'!$D$3="Ready"),8&lt;='Control Room'!$B$2),ROUND(MAX(0,'Process'!AN143*'Control Room'!$H$11*INDEX('Control Room'!$B$19:$H$19,1,WEEKDAY($A143,2))*(1+'Control Room'!$D$9)^141*'Process'!AO143),2),"")</x:f>
      </x:c>
      <x:c r="K143" s="16" t="str">
        <x:f>IF(AND(AND(142&lt;='Control Room'!$B$3,'Control Room'!$D$3="Ready"),9&lt;='Control Room'!$B$2),ROUND(MAX(0,'Process'!AS143*'Control Room'!$H$12*INDEX('Control Room'!$B$19:$H$19,1,WEEKDAY($A143,2))*(1+'Control Room'!$D$9)^141*'Process'!AT143),2),"")</x:f>
      </x:c>
      <x:c r="L143" s="16" t="str">
        <x:f>IF(AND(AND(142&lt;='Control Room'!$B$3,'Control Room'!$D$3="Ready"),10&lt;='Control Room'!$B$2),ROUND(MAX(0,'Process'!AX143*'Control Room'!$H$13*INDEX('Control Room'!$B$19:$H$19,1,WEEKDAY($A143,2))*(1+'Control Room'!$D$9)^141*'Process'!AY143),2),"")</x:f>
      </x:c>
      <x:c r="M143" s="16" t="str">
        <x:f>IF(AND(AND(142&lt;='Control Room'!$B$3,'Control Room'!$D$3="Ready"),11&lt;='Control Room'!$B$2),ROUND(MAX(0,'Process'!BC143*'Control Room'!$H$14*INDEX('Control Room'!$B$19:$H$19,1,WEEKDAY($A143,2))*(1+'Control Room'!$D$9)^141*'Process'!BD143),2),"")</x:f>
      </x:c>
      <x:c r="N143" s="16" t="str">
        <x:f>IF(AND(AND(142&lt;='Control Room'!$B$3,'Control Room'!$D$3="Ready"),12&lt;='Control Room'!$B$2),ROUND(MAX(0,'Process'!BH143*'Control Room'!$H$15*INDEX('Control Room'!$B$19:$H$19,1,WEEKDAY($A143,2))*(1+'Control Room'!$D$9)^141*'Process'!BI143),2),"")</x:f>
      </x:c>
    </x:row>
    <x:row r="144" ht="21" customHeight="1">
      <x:c r="A144" s="15" t="str">
        <x:f>IF(AND(143&lt;='Control Room'!$B$3,'Control Room'!$D$3="Ready"),'Process'!A144,"")</x:f>
      </x:c>
      <x:c r="B144" s="16" t="str">
        <x:f>IF(A144="","",SUM(C144:N144))</x:f>
      </x:c>
      <x:c r="C144" s="16" t="str">
        <x:f>IF(AND(AND(143&lt;='Control Room'!$B$3,'Control Room'!$D$3="Ready"),1&lt;='Control Room'!$B$2),ROUND(MAX(0,'Process'!E144*'Control Room'!$H$4*INDEX('Control Room'!$B$19:$H$19,1,WEEKDAY($A144,2))*(1+'Control Room'!$D$9)^142*'Process'!F144),2),"")</x:f>
      </x:c>
      <x:c r="D144" s="16" t="str">
        <x:f>IF(AND(AND(143&lt;='Control Room'!$B$3,'Control Room'!$D$3="Ready"),2&lt;='Control Room'!$B$2),ROUND(MAX(0,'Process'!J144*'Control Room'!$H$5*INDEX('Control Room'!$B$19:$H$19,1,WEEKDAY($A144,2))*(1+'Control Room'!$D$9)^142*'Process'!K144),2),"")</x:f>
      </x:c>
      <x:c r="E144" s="16" t="str">
        <x:f>IF(AND(AND(143&lt;='Control Room'!$B$3,'Control Room'!$D$3="Ready"),3&lt;='Control Room'!$B$2),ROUND(MAX(0,'Process'!O144*'Control Room'!$H$6*INDEX('Control Room'!$B$19:$H$19,1,WEEKDAY($A144,2))*(1+'Control Room'!$D$9)^142*'Process'!P144),2),"")</x:f>
      </x:c>
      <x:c r="F144" s="16" t="str">
        <x:f>IF(AND(AND(143&lt;='Control Room'!$B$3,'Control Room'!$D$3="Ready"),4&lt;='Control Room'!$B$2),ROUND(MAX(0,'Process'!T144*'Control Room'!$H$7*INDEX('Control Room'!$B$19:$H$19,1,WEEKDAY($A144,2))*(1+'Control Room'!$D$9)^142*'Process'!U144),2),"")</x:f>
      </x:c>
      <x:c r="G144" s="16" t="str">
        <x:f>IF(AND(AND(143&lt;='Control Room'!$B$3,'Control Room'!$D$3="Ready"),5&lt;='Control Room'!$B$2),ROUND(MAX(0,'Process'!Y144*'Control Room'!$H$8*INDEX('Control Room'!$B$19:$H$19,1,WEEKDAY($A144,2))*(1+'Control Room'!$D$9)^142*'Process'!Z144),2),"")</x:f>
      </x:c>
      <x:c r="H144" s="16" t="str">
        <x:f>IF(AND(AND(143&lt;='Control Room'!$B$3,'Control Room'!$D$3="Ready"),6&lt;='Control Room'!$B$2),ROUND(MAX(0,'Process'!AD144*'Control Room'!$H$9*INDEX('Control Room'!$B$19:$H$19,1,WEEKDAY($A144,2))*(1+'Control Room'!$D$9)^142*'Process'!AE144),2),"")</x:f>
      </x:c>
      <x:c r="I144" s="16" t="str">
        <x:f>IF(AND(AND(143&lt;='Control Room'!$B$3,'Control Room'!$D$3="Ready"),7&lt;='Control Room'!$B$2),ROUND(MAX(0,'Process'!AI144*'Control Room'!$H$10*INDEX('Control Room'!$B$19:$H$19,1,WEEKDAY($A144,2))*(1+'Control Room'!$D$9)^142*'Process'!AJ144),2),"")</x:f>
      </x:c>
      <x:c r="J144" s="16" t="str">
        <x:f>IF(AND(AND(143&lt;='Control Room'!$B$3,'Control Room'!$D$3="Ready"),8&lt;='Control Room'!$B$2),ROUND(MAX(0,'Process'!AN144*'Control Room'!$H$11*INDEX('Control Room'!$B$19:$H$19,1,WEEKDAY($A144,2))*(1+'Control Room'!$D$9)^142*'Process'!AO144),2),"")</x:f>
      </x:c>
      <x:c r="K144" s="16" t="str">
        <x:f>IF(AND(AND(143&lt;='Control Room'!$B$3,'Control Room'!$D$3="Ready"),9&lt;='Control Room'!$B$2),ROUND(MAX(0,'Process'!AS144*'Control Room'!$H$12*INDEX('Control Room'!$B$19:$H$19,1,WEEKDAY($A144,2))*(1+'Control Room'!$D$9)^142*'Process'!AT144),2),"")</x:f>
      </x:c>
      <x:c r="L144" s="16" t="str">
        <x:f>IF(AND(AND(143&lt;='Control Room'!$B$3,'Control Room'!$D$3="Ready"),10&lt;='Control Room'!$B$2),ROUND(MAX(0,'Process'!AX144*'Control Room'!$H$13*INDEX('Control Room'!$B$19:$H$19,1,WEEKDAY($A144,2))*(1+'Control Room'!$D$9)^142*'Process'!AY144),2),"")</x:f>
      </x:c>
      <x:c r="M144" s="16" t="str">
        <x:f>IF(AND(AND(143&lt;='Control Room'!$B$3,'Control Room'!$D$3="Ready"),11&lt;='Control Room'!$B$2),ROUND(MAX(0,'Process'!BC144*'Control Room'!$H$14*INDEX('Control Room'!$B$19:$H$19,1,WEEKDAY($A144,2))*(1+'Control Room'!$D$9)^142*'Process'!BD144),2),"")</x:f>
      </x:c>
      <x:c r="N144" s="16" t="str">
        <x:f>IF(AND(AND(143&lt;='Control Room'!$B$3,'Control Room'!$D$3="Ready"),12&lt;='Control Room'!$B$2),ROUND(MAX(0,'Process'!BH144*'Control Room'!$H$15*INDEX('Control Room'!$B$19:$H$19,1,WEEKDAY($A144,2))*(1+'Control Room'!$D$9)^142*'Process'!BI144),2),"")</x:f>
      </x:c>
    </x:row>
    <x:row r="145" ht="21" customHeight="1">
      <x:c r="A145" s="15" t="str">
        <x:f>IF(AND(144&lt;='Control Room'!$B$3,'Control Room'!$D$3="Ready"),'Process'!A145,"")</x:f>
      </x:c>
      <x:c r="B145" s="16" t="str">
        <x:f>IF(A145="","",SUM(C145:N145))</x:f>
      </x:c>
      <x:c r="C145" s="16" t="str">
        <x:f>IF(AND(AND(144&lt;='Control Room'!$B$3,'Control Room'!$D$3="Ready"),1&lt;='Control Room'!$B$2),ROUND(MAX(0,'Process'!E145*'Control Room'!$H$4*INDEX('Control Room'!$B$19:$H$19,1,WEEKDAY($A145,2))*(1+'Control Room'!$D$9)^143*'Process'!F145),2),"")</x:f>
      </x:c>
      <x:c r="D145" s="16" t="str">
        <x:f>IF(AND(AND(144&lt;='Control Room'!$B$3,'Control Room'!$D$3="Ready"),2&lt;='Control Room'!$B$2),ROUND(MAX(0,'Process'!J145*'Control Room'!$H$5*INDEX('Control Room'!$B$19:$H$19,1,WEEKDAY($A145,2))*(1+'Control Room'!$D$9)^143*'Process'!K145),2),"")</x:f>
      </x:c>
      <x:c r="E145" s="16" t="str">
        <x:f>IF(AND(AND(144&lt;='Control Room'!$B$3,'Control Room'!$D$3="Ready"),3&lt;='Control Room'!$B$2),ROUND(MAX(0,'Process'!O145*'Control Room'!$H$6*INDEX('Control Room'!$B$19:$H$19,1,WEEKDAY($A145,2))*(1+'Control Room'!$D$9)^143*'Process'!P145),2),"")</x:f>
      </x:c>
      <x:c r="F145" s="16" t="str">
        <x:f>IF(AND(AND(144&lt;='Control Room'!$B$3,'Control Room'!$D$3="Ready"),4&lt;='Control Room'!$B$2),ROUND(MAX(0,'Process'!T145*'Control Room'!$H$7*INDEX('Control Room'!$B$19:$H$19,1,WEEKDAY($A145,2))*(1+'Control Room'!$D$9)^143*'Process'!U145),2),"")</x:f>
      </x:c>
      <x:c r="G145" s="16" t="str">
        <x:f>IF(AND(AND(144&lt;='Control Room'!$B$3,'Control Room'!$D$3="Ready"),5&lt;='Control Room'!$B$2),ROUND(MAX(0,'Process'!Y145*'Control Room'!$H$8*INDEX('Control Room'!$B$19:$H$19,1,WEEKDAY($A145,2))*(1+'Control Room'!$D$9)^143*'Process'!Z145),2),"")</x:f>
      </x:c>
      <x:c r="H145" s="16" t="str">
        <x:f>IF(AND(AND(144&lt;='Control Room'!$B$3,'Control Room'!$D$3="Ready"),6&lt;='Control Room'!$B$2),ROUND(MAX(0,'Process'!AD145*'Control Room'!$H$9*INDEX('Control Room'!$B$19:$H$19,1,WEEKDAY($A145,2))*(1+'Control Room'!$D$9)^143*'Process'!AE145),2),"")</x:f>
      </x:c>
      <x:c r="I145" s="16" t="str">
        <x:f>IF(AND(AND(144&lt;='Control Room'!$B$3,'Control Room'!$D$3="Ready"),7&lt;='Control Room'!$B$2),ROUND(MAX(0,'Process'!AI145*'Control Room'!$H$10*INDEX('Control Room'!$B$19:$H$19,1,WEEKDAY($A145,2))*(1+'Control Room'!$D$9)^143*'Process'!AJ145),2),"")</x:f>
      </x:c>
      <x:c r="J145" s="16" t="str">
        <x:f>IF(AND(AND(144&lt;='Control Room'!$B$3,'Control Room'!$D$3="Ready"),8&lt;='Control Room'!$B$2),ROUND(MAX(0,'Process'!AN145*'Control Room'!$H$11*INDEX('Control Room'!$B$19:$H$19,1,WEEKDAY($A145,2))*(1+'Control Room'!$D$9)^143*'Process'!AO145),2),"")</x:f>
      </x:c>
      <x:c r="K145" s="16" t="str">
        <x:f>IF(AND(AND(144&lt;='Control Room'!$B$3,'Control Room'!$D$3="Ready"),9&lt;='Control Room'!$B$2),ROUND(MAX(0,'Process'!AS145*'Control Room'!$H$12*INDEX('Control Room'!$B$19:$H$19,1,WEEKDAY($A145,2))*(1+'Control Room'!$D$9)^143*'Process'!AT145),2),"")</x:f>
      </x:c>
      <x:c r="L145" s="16" t="str">
        <x:f>IF(AND(AND(144&lt;='Control Room'!$B$3,'Control Room'!$D$3="Ready"),10&lt;='Control Room'!$B$2),ROUND(MAX(0,'Process'!AX145*'Control Room'!$H$13*INDEX('Control Room'!$B$19:$H$19,1,WEEKDAY($A145,2))*(1+'Control Room'!$D$9)^143*'Process'!AY145),2),"")</x:f>
      </x:c>
      <x:c r="M145" s="16" t="str">
        <x:f>IF(AND(AND(144&lt;='Control Room'!$B$3,'Control Room'!$D$3="Ready"),11&lt;='Control Room'!$B$2),ROUND(MAX(0,'Process'!BC145*'Control Room'!$H$14*INDEX('Control Room'!$B$19:$H$19,1,WEEKDAY($A145,2))*(1+'Control Room'!$D$9)^143*'Process'!BD145),2),"")</x:f>
      </x:c>
      <x:c r="N145" s="16" t="str">
        <x:f>IF(AND(AND(144&lt;='Control Room'!$B$3,'Control Room'!$D$3="Ready"),12&lt;='Control Room'!$B$2),ROUND(MAX(0,'Process'!BH145*'Control Room'!$H$15*INDEX('Control Room'!$B$19:$H$19,1,WEEKDAY($A145,2))*(1+'Control Room'!$D$9)^143*'Process'!BI145),2),"")</x:f>
      </x:c>
    </x:row>
    <x:row r="146" ht="21" customHeight="1">
      <x:c r="A146" s="15" t="str">
        <x:f>IF(AND(145&lt;='Control Room'!$B$3,'Control Room'!$D$3="Ready"),'Process'!A146,"")</x:f>
      </x:c>
      <x:c r="B146" s="16" t="str">
        <x:f>IF(A146="","",SUM(C146:N146))</x:f>
      </x:c>
      <x:c r="C146" s="16" t="str">
        <x:f>IF(AND(AND(145&lt;='Control Room'!$B$3,'Control Room'!$D$3="Ready"),1&lt;='Control Room'!$B$2),ROUND(MAX(0,'Process'!E146*'Control Room'!$H$4*INDEX('Control Room'!$B$19:$H$19,1,WEEKDAY($A146,2))*(1+'Control Room'!$D$9)^144*'Process'!F146),2),"")</x:f>
      </x:c>
      <x:c r="D146" s="16" t="str">
        <x:f>IF(AND(AND(145&lt;='Control Room'!$B$3,'Control Room'!$D$3="Ready"),2&lt;='Control Room'!$B$2),ROUND(MAX(0,'Process'!J146*'Control Room'!$H$5*INDEX('Control Room'!$B$19:$H$19,1,WEEKDAY($A146,2))*(1+'Control Room'!$D$9)^144*'Process'!K146),2),"")</x:f>
      </x:c>
      <x:c r="E146" s="16" t="str">
        <x:f>IF(AND(AND(145&lt;='Control Room'!$B$3,'Control Room'!$D$3="Ready"),3&lt;='Control Room'!$B$2),ROUND(MAX(0,'Process'!O146*'Control Room'!$H$6*INDEX('Control Room'!$B$19:$H$19,1,WEEKDAY($A146,2))*(1+'Control Room'!$D$9)^144*'Process'!P146),2),"")</x:f>
      </x:c>
      <x:c r="F146" s="16" t="str">
        <x:f>IF(AND(AND(145&lt;='Control Room'!$B$3,'Control Room'!$D$3="Ready"),4&lt;='Control Room'!$B$2),ROUND(MAX(0,'Process'!T146*'Control Room'!$H$7*INDEX('Control Room'!$B$19:$H$19,1,WEEKDAY($A146,2))*(1+'Control Room'!$D$9)^144*'Process'!U146),2),"")</x:f>
      </x:c>
      <x:c r="G146" s="16" t="str">
        <x:f>IF(AND(AND(145&lt;='Control Room'!$B$3,'Control Room'!$D$3="Ready"),5&lt;='Control Room'!$B$2),ROUND(MAX(0,'Process'!Y146*'Control Room'!$H$8*INDEX('Control Room'!$B$19:$H$19,1,WEEKDAY($A146,2))*(1+'Control Room'!$D$9)^144*'Process'!Z146),2),"")</x:f>
      </x:c>
      <x:c r="H146" s="16" t="str">
        <x:f>IF(AND(AND(145&lt;='Control Room'!$B$3,'Control Room'!$D$3="Ready"),6&lt;='Control Room'!$B$2),ROUND(MAX(0,'Process'!AD146*'Control Room'!$H$9*INDEX('Control Room'!$B$19:$H$19,1,WEEKDAY($A146,2))*(1+'Control Room'!$D$9)^144*'Process'!AE146),2),"")</x:f>
      </x:c>
      <x:c r="I146" s="16" t="str">
        <x:f>IF(AND(AND(145&lt;='Control Room'!$B$3,'Control Room'!$D$3="Ready"),7&lt;='Control Room'!$B$2),ROUND(MAX(0,'Process'!AI146*'Control Room'!$H$10*INDEX('Control Room'!$B$19:$H$19,1,WEEKDAY($A146,2))*(1+'Control Room'!$D$9)^144*'Process'!AJ146),2),"")</x:f>
      </x:c>
      <x:c r="J146" s="16" t="str">
        <x:f>IF(AND(AND(145&lt;='Control Room'!$B$3,'Control Room'!$D$3="Ready"),8&lt;='Control Room'!$B$2),ROUND(MAX(0,'Process'!AN146*'Control Room'!$H$11*INDEX('Control Room'!$B$19:$H$19,1,WEEKDAY($A146,2))*(1+'Control Room'!$D$9)^144*'Process'!AO146),2),"")</x:f>
      </x:c>
      <x:c r="K146" s="16" t="str">
        <x:f>IF(AND(AND(145&lt;='Control Room'!$B$3,'Control Room'!$D$3="Ready"),9&lt;='Control Room'!$B$2),ROUND(MAX(0,'Process'!AS146*'Control Room'!$H$12*INDEX('Control Room'!$B$19:$H$19,1,WEEKDAY($A146,2))*(1+'Control Room'!$D$9)^144*'Process'!AT146),2),"")</x:f>
      </x:c>
      <x:c r="L146" s="16" t="str">
        <x:f>IF(AND(AND(145&lt;='Control Room'!$B$3,'Control Room'!$D$3="Ready"),10&lt;='Control Room'!$B$2),ROUND(MAX(0,'Process'!AX146*'Control Room'!$H$13*INDEX('Control Room'!$B$19:$H$19,1,WEEKDAY($A146,2))*(1+'Control Room'!$D$9)^144*'Process'!AY146),2),"")</x:f>
      </x:c>
      <x:c r="M146" s="16" t="str">
        <x:f>IF(AND(AND(145&lt;='Control Room'!$B$3,'Control Room'!$D$3="Ready"),11&lt;='Control Room'!$B$2),ROUND(MAX(0,'Process'!BC146*'Control Room'!$H$14*INDEX('Control Room'!$B$19:$H$19,1,WEEKDAY($A146,2))*(1+'Control Room'!$D$9)^144*'Process'!BD146),2),"")</x:f>
      </x:c>
      <x:c r="N146" s="16" t="str">
        <x:f>IF(AND(AND(145&lt;='Control Room'!$B$3,'Control Room'!$D$3="Ready"),12&lt;='Control Room'!$B$2),ROUND(MAX(0,'Process'!BH146*'Control Room'!$H$15*INDEX('Control Room'!$B$19:$H$19,1,WEEKDAY($A146,2))*(1+'Control Room'!$D$9)^144*'Process'!BI146),2),"")</x:f>
      </x:c>
    </x:row>
    <x:row r="147" ht="21" customHeight="1">
      <x:c r="A147" s="15" t="str">
        <x:f>IF(AND(146&lt;='Control Room'!$B$3,'Control Room'!$D$3="Ready"),'Process'!A147,"")</x:f>
      </x:c>
      <x:c r="B147" s="16" t="str">
        <x:f>IF(A147="","",SUM(C147:N147))</x:f>
      </x:c>
      <x:c r="C147" s="16" t="str">
        <x:f>IF(AND(AND(146&lt;='Control Room'!$B$3,'Control Room'!$D$3="Ready"),1&lt;='Control Room'!$B$2),ROUND(MAX(0,'Process'!E147*'Control Room'!$H$4*INDEX('Control Room'!$B$19:$H$19,1,WEEKDAY($A147,2))*(1+'Control Room'!$D$9)^145*'Process'!F147),2),"")</x:f>
      </x:c>
      <x:c r="D147" s="16" t="str">
        <x:f>IF(AND(AND(146&lt;='Control Room'!$B$3,'Control Room'!$D$3="Ready"),2&lt;='Control Room'!$B$2),ROUND(MAX(0,'Process'!J147*'Control Room'!$H$5*INDEX('Control Room'!$B$19:$H$19,1,WEEKDAY($A147,2))*(1+'Control Room'!$D$9)^145*'Process'!K147),2),"")</x:f>
      </x:c>
      <x:c r="E147" s="16" t="str">
        <x:f>IF(AND(AND(146&lt;='Control Room'!$B$3,'Control Room'!$D$3="Ready"),3&lt;='Control Room'!$B$2),ROUND(MAX(0,'Process'!O147*'Control Room'!$H$6*INDEX('Control Room'!$B$19:$H$19,1,WEEKDAY($A147,2))*(1+'Control Room'!$D$9)^145*'Process'!P147),2),"")</x:f>
      </x:c>
      <x:c r="F147" s="16" t="str">
        <x:f>IF(AND(AND(146&lt;='Control Room'!$B$3,'Control Room'!$D$3="Ready"),4&lt;='Control Room'!$B$2),ROUND(MAX(0,'Process'!T147*'Control Room'!$H$7*INDEX('Control Room'!$B$19:$H$19,1,WEEKDAY($A147,2))*(1+'Control Room'!$D$9)^145*'Process'!U147),2),"")</x:f>
      </x:c>
      <x:c r="G147" s="16" t="str">
        <x:f>IF(AND(AND(146&lt;='Control Room'!$B$3,'Control Room'!$D$3="Ready"),5&lt;='Control Room'!$B$2),ROUND(MAX(0,'Process'!Y147*'Control Room'!$H$8*INDEX('Control Room'!$B$19:$H$19,1,WEEKDAY($A147,2))*(1+'Control Room'!$D$9)^145*'Process'!Z147),2),"")</x:f>
      </x:c>
      <x:c r="H147" s="16" t="str">
        <x:f>IF(AND(AND(146&lt;='Control Room'!$B$3,'Control Room'!$D$3="Ready"),6&lt;='Control Room'!$B$2),ROUND(MAX(0,'Process'!AD147*'Control Room'!$H$9*INDEX('Control Room'!$B$19:$H$19,1,WEEKDAY($A147,2))*(1+'Control Room'!$D$9)^145*'Process'!AE147),2),"")</x:f>
      </x:c>
      <x:c r="I147" s="16" t="str">
        <x:f>IF(AND(AND(146&lt;='Control Room'!$B$3,'Control Room'!$D$3="Ready"),7&lt;='Control Room'!$B$2),ROUND(MAX(0,'Process'!AI147*'Control Room'!$H$10*INDEX('Control Room'!$B$19:$H$19,1,WEEKDAY($A147,2))*(1+'Control Room'!$D$9)^145*'Process'!AJ147),2),"")</x:f>
      </x:c>
      <x:c r="J147" s="16" t="str">
        <x:f>IF(AND(AND(146&lt;='Control Room'!$B$3,'Control Room'!$D$3="Ready"),8&lt;='Control Room'!$B$2),ROUND(MAX(0,'Process'!AN147*'Control Room'!$H$11*INDEX('Control Room'!$B$19:$H$19,1,WEEKDAY($A147,2))*(1+'Control Room'!$D$9)^145*'Process'!AO147),2),"")</x:f>
      </x:c>
      <x:c r="K147" s="16" t="str">
        <x:f>IF(AND(AND(146&lt;='Control Room'!$B$3,'Control Room'!$D$3="Ready"),9&lt;='Control Room'!$B$2),ROUND(MAX(0,'Process'!AS147*'Control Room'!$H$12*INDEX('Control Room'!$B$19:$H$19,1,WEEKDAY($A147,2))*(1+'Control Room'!$D$9)^145*'Process'!AT147),2),"")</x:f>
      </x:c>
      <x:c r="L147" s="16" t="str">
        <x:f>IF(AND(AND(146&lt;='Control Room'!$B$3,'Control Room'!$D$3="Ready"),10&lt;='Control Room'!$B$2),ROUND(MAX(0,'Process'!AX147*'Control Room'!$H$13*INDEX('Control Room'!$B$19:$H$19,1,WEEKDAY($A147,2))*(1+'Control Room'!$D$9)^145*'Process'!AY147),2),"")</x:f>
      </x:c>
      <x:c r="M147" s="16" t="str">
        <x:f>IF(AND(AND(146&lt;='Control Room'!$B$3,'Control Room'!$D$3="Ready"),11&lt;='Control Room'!$B$2),ROUND(MAX(0,'Process'!BC147*'Control Room'!$H$14*INDEX('Control Room'!$B$19:$H$19,1,WEEKDAY($A147,2))*(1+'Control Room'!$D$9)^145*'Process'!BD147),2),"")</x:f>
      </x:c>
      <x:c r="N147" s="16" t="str">
        <x:f>IF(AND(AND(146&lt;='Control Room'!$B$3,'Control Room'!$D$3="Ready"),12&lt;='Control Room'!$B$2),ROUND(MAX(0,'Process'!BH147*'Control Room'!$H$15*INDEX('Control Room'!$B$19:$H$19,1,WEEKDAY($A147,2))*(1+'Control Room'!$D$9)^145*'Process'!BI147),2),"")</x:f>
      </x:c>
    </x:row>
    <x:row r="148" ht="21" customHeight="1">
      <x:c r="A148" s="15" t="str">
        <x:f>IF(AND(147&lt;='Control Room'!$B$3,'Control Room'!$D$3="Ready"),'Process'!A148,"")</x:f>
      </x:c>
      <x:c r="B148" s="16" t="str">
        <x:f>IF(A148="","",SUM(C148:N148))</x:f>
      </x:c>
      <x:c r="C148" s="16" t="str">
        <x:f>IF(AND(AND(147&lt;='Control Room'!$B$3,'Control Room'!$D$3="Ready"),1&lt;='Control Room'!$B$2),ROUND(MAX(0,'Process'!E148*'Control Room'!$H$4*INDEX('Control Room'!$B$19:$H$19,1,WEEKDAY($A148,2))*(1+'Control Room'!$D$9)^146*'Process'!F148),2),"")</x:f>
      </x:c>
      <x:c r="D148" s="16" t="str">
        <x:f>IF(AND(AND(147&lt;='Control Room'!$B$3,'Control Room'!$D$3="Ready"),2&lt;='Control Room'!$B$2),ROUND(MAX(0,'Process'!J148*'Control Room'!$H$5*INDEX('Control Room'!$B$19:$H$19,1,WEEKDAY($A148,2))*(1+'Control Room'!$D$9)^146*'Process'!K148),2),"")</x:f>
      </x:c>
      <x:c r="E148" s="16" t="str">
        <x:f>IF(AND(AND(147&lt;='Control Room'!$B$3,'Control Room'!$D$3="Ready"),3&lt;='Control Room'!$B$2),ROUND(MAX(0,'Process'!O148*'Control Room'!$H$6*INDEX('Control Room'!$B$19:$H$19,1,WEEKDAY($A148,2))*(1+'Control Room'!$D$9)^146*'Process'!P148),2),"")</x:f>
      </x:c>
      <x:c r="F148" s="16" t="str">
        <x:f>IF(AND(AND(147&lt;='Control Room'!$B$3,'Control Room'!$D$3="Ready"),4&lt;='Control Room'!$B$2),ROUND(MAX(0,'Process'!T148*'Control Room'!$H$7*INDEX('Control Room'!$B$19:$H$19,1,WEEKDAY($A148,2))*(1+'Control Room'!$D$9)^146*'Process'!U148),2),"")</x:f>
      </x:c>
      <x:c r="G148" s="16" t="str">
        <x:f>IF(AND(AND(147&lt;='Control Room'!$B$3,'Control Room'!$D$3="Ready"),5&lt;='Control Room'!$B$2),ROUND(MAX(0,'Process'!Y148*'Control Room'!$H$8*INDEX('Control Room'!$B$19:$H$19,1,WEEKDAY($A148,2))*(1+'Control Room'!$D$9)^146*'Process'!Z148),2),"")</x:f>
      </x:c>
      <x:c r="H148" s="16" t="str">
        <x:f>IF(AND(AND(147&lt;='Control Room'!$B$3,'Control Room'!$D$3="Ready"),6&lt;='Control Room'!$B$2),ROUND(MAX(0,'Process'!AD148*'Control Room'!$H$9*INDEX('Control Room'!$B$19:$H$19,1,WEEKDAY($A148,2))*(1+'Control Room'!$D$9)^146*'Process'!AE148),2),"")</x:f>
      </x:c>
      <x:c r="I148" s="16" t="str">
        <x:f>IF(AND(AND(147&lt;='Control Room'!$B$3,'Control Room'!$D$3="Ready"),7&lt;='Control Room'!$B$2),ROUND(MAX(0,'Process'!AI148*'Control Room'!$H$10*INDEX('Control Room'!$B$19:$H$19,1,WEEKDAY($A148,2))*(1+'Control Room'!$D$9)^146*'Process'!AJ148),2),"")</x:f>
      </x:c>
      <x:c r="J148" s="16" t="str">
        <x:f>IF(AND(AND(147&lt;='Control Room'!$B$3,'Control Room'!$D$3="Ready"),8&lt;='Control Room'!$B$2),ROUND(MAX(0,'Process'!AN148*'Control Room'!$H$11*INDEX('Control Room'!$B$19:$H$19,1,WEEKDAY($A148,2))*(1+'Control Room'!$D$9)^146*'Process'!AO148),2),"")</x:f>
      </x:c>
      <x:c r="K148" s="16" t="str">
        <x:f>IF(AND(AND(147&lt;='Control Room'!$B$3,'Control Room'!$D$3="Ready"),9&lt;='Control Room'!$B$2),ROUND(MAX(0,'Process'!AS148*'Control Room'!$H$12*INDEX('Control Room'!$B$19:$H$19,1,WEEKDAY($A148,2))*(1+'Control Room'!$D$9)^146*'Process'!AT148),2),"")</x:f>
      </x:c>
      <x:c r="L148" s="16" t="str">
        <x:f>IF(AND(AND(147&lt;='Control Room'!$B$3,'Control Room'!$D$3="Ready"),10&lt;='Control Room'!$B$2),ROUND(MAX(0,'Process'!AX148*'Control Room'!$H$13*INDEX('Control Room'!$B$19:$H$19,1,WEEKDAY($A148,2))*(1+'Control Room'!$D$9)^146*'Process'!AY148),2),"")</x:f>
      </x:c>
      <x:c r="M148" s="16" t="str">
        <x:f>IF(AND(AND(147&lt;='Control Room'!$B$3,'Control Room'!$D$3="Ready"),11&lt;='Control Room'!$B$2),ROUND(MAX(0,'Process'!BC148*'Control Room'!$H$14*INDEX('Control Room'!$B$19:$H$19,1,WEEKDAY($A148,2))*(1+'Control Room'!$D$9)^146*'Process'!BD148),2),"")</x:f>
      </x:c>
      <x:c r="N148" s="16" t="str">
        <x:f>IF(AND(AND(147&lt;='Control Room'!$B$3,'Control Room'!$D$3="Ready"),12&lt;='Control Room'!$B$2),ROUND(MAX(0,'Process'!BH148*'Control Room'!$H$15*INDEX('Control Room'!$B$19:$H$19,1,WEEKDAY($A148,2))*(1+'Control Room'!$D$9)^146*'Process'!BI148),2),"")</x:f>
      </x:c>
    </x:row>
    <x:row r="149" ht="21" customHeight="1">
      <x:c r="A149" s="15" t="str">
        <x:f>IF(AND(148&lt;='Control Room'!$B$3,'Control Room'!$D$3="Ready"),'Process'!A149,"")</x:f>
      </x:c>
      <x:c r="B149" s="16" t="str">
        <x:f>IF(A149="","",SUM(C149:N149))</x:f>
      </x:c>
      <x:c r="C149" s="16" t="str">
        <x:f>IF(AND(AND(148&lt;='Control Room'!$B$3,'Control Room'!$D$3="Ready"),1&lt;='Control Room'!$B$2),ROUND(MAX(0,'Process'!E149*'Control Room'!$H$4*INDEX('Control Room'!$B$19:$H$19,1,WEEKDAY($A149,2))*(1+'Control Room'!$D$9)^147*'Process'!F149),2),"")</x:f>
      </x:c>
      <x:c r="D149" s="16" t="str">
        <x:f>IF(AND(AND(148&lt;='Control Room'!$B$3,'Control Room'!$D$3="Ready"),2&lt;='Control Room'!$B$2),ROUND(MAX(0,'Process'!J149*'Control Room'!$H$5*INDEX('Control Room'!$B$19:$H$19,1,WEEKDAY($A149,2))*(1+'Control Room'!$D$9)^147*'Process'!K149),2),"")</x:f>
      </x:c>
      <x:c r="E149" s="16" t="str">
        <x:f>IF(AND(AND(148&lt;='Control Room'!$B$3,'Control Room'!$D$3="Ready"),3&lt;='Control Room'!$B$2),ROUND(MAX(0,'Process'!O149*'Control Room'!$H$6*INDEX('Control Room'!$B$19:$H$19,1,WEEKDAY($A149,2))*(1+'Control Room'!$D$9)^147*'Process'!P149),2),"")</x:f>
      </x:c>
      <x:c r="F149" s="16" t="str">
        <x:f>IF(AND(AND(148&lt;='Control Room'!$B$3,'Control Room'!$D$3="Ready"),4&lt;='Control Room'!$B$2),ROUND(MAX(0,'Process'!T149*'Control Room'!$H$7*INDEX('Control Room'!$B$19:$H$19,1,WEEKDAY($A149,2))*(1+'Control Room'!$D$9)^147*'Process'!U149),2),"")</x:f>
      </x:c>
      <x:c r="G149" s="16" t="str">
        <x:f>IF(AND(AND(148&lt;='Control Room'!$B$3,'Control Room'!$D$3="Ready"),5&lt;='Control Room'!$B$2),ROUND(MAX(0,'Process'!Y149*'Control Room'!$H$8*INDEX('Control Room'!$B$19:$H$19,1,WEEKDAY($A149,2))*(1+'Control Room'!$D$9)^147*'Process'!Z149),2),"")</x:f>
      </x:c>
      <x:c r="H149" s="16" t="str">
        <x:f>IF(AND(AND(148&lt;='Control Room'!$B$3,'Control Room'!$D$3="Ready"),6&lt;='Control Room'!$B$2),ROUND(MAX(0,'Process'!AD149*'Control Room'!$H$9*INDEX('Control Room'!$B$19:$H$19,1,WEEKDAY($A149,2))*(1+'Control Room'!$D$9)^147*'Process'!AE149),2),"")</x:f>
      </x:c>
      <x:c r="I149" s="16" t="str">
        <x:f>IF(AND(AND(148&lt;='Control Room'!$B$3,'Control Room'!$D$3="Ready"),7&lt;='Control Room'!$B$2),ROUND(MAX(0,'Process'!AI149*'Control Room'!$H$10*INDEX('Control Room'!$B$19:$H$19,1,WEEKDAY($A149,2))*(1+'Control Room'!$D$9)^147*'Process'!AJ149),2),"")</x:f>
      </x:c>
      <x:c r="J149" s="16" t="str">
        <x:f>IF(AND(AND(148&lt;='Control Room'!$B$3,'Control Room'!$D$3="Ready"),8&lt;='Control Room'!$B$2),ROUND(MAX(0,'Process'!AN149*'Control Room'!$H$11*INDEX('Control Room'!$B$19:$H$19,1,WEEKDAY($A149,2))*(1+'Control Room'!$D$9)^147*'Process'!AO149),2),"")</x:f>
      </x:c>
      <x:c r="K149" s="16" t="str">
        <x:f>IF(AND(AND(148&lt;='Control Room'!$B$3,'Control Room'!$D$3="Ready"),9&lt;='Control Room'!$B$2),ROUND(MAX(0,'Process'!AS149*'Control Room'!$H$12*INDEX('Control Room'!$B$19:$H$19,1,WEEKDAY($A149,2))*(1+'Control Room'!$D$9)^147*'Process'!AT149),2),"")</x:f>
      </x:c>
      <x:c r="L149" s="16" t="str">
        <x:f>IF(AND(AND(148&lt;='Control Room'!$B$3,'Control Room'!$D$3="Ready"),10&lt;='Control Room'!$B$2),ROUND(MAX(0,'Process'!AX149*'Control Room'!$H$13*INDEX('Control Room'!$B$19:$H$19,1,WEEKDAY($A149,2))*(1+'Control Room'!$D$9)^147*'Process'!AY149),2),"")</x:f>
      </x:c>
      <x:c r="M149" s="16" t="str">
        <x:f>IF(AND(AND(148&lt;='Control Room'!$B$3,'Control Room'!$D$3="Ready"),11&lt;='Control Room'!$B$2),ROUND(MAX(0,'Process'!BC149*'Control Room'!$H$14*INDEX('Control Room'!$B$19:$H$19,1,WEEKDAY($A149,2))*(1+'Control Room'!$D$9)^147*'Process'!BD149),2),"")</x:f>
      </x:c>
      <x:c r="N149" s="16" t="str">
        <x:f>IF(AND(AND(148&lt;='Control Room'!$B$3,'Control Room'!$D$3="Ready"),12&lt;='Control Room'!$B$2),ROUND(MAX(0,'Process'!BH149*'Control Room'!$H$15*INDEX('Control Room'!$B$19:$H$19,1,WEEKDAY($A149,2))*(1+'Control Room'!$D$9)^147*'Process'!BI149),2),"")</x:f>
      </x:c>
    </x:row>
    <x:row r="150" ht="21" customHeight="1">
      <x:c r="A150" s="15" t="str">
        <x:f>IF(AND(149&lt;='Control Room'!$B$3,'Control Room'!$D$3="Ready"),'Process'!A150,"")</x:f>
      </x:c>
      <x:c r="B150" s="16" t="str">
        <x:f>IF(A150="","",SUM(C150:N150))</x:f>
      </x:c>
      <x:c r="C150" s="16" t="str">
        <x:f>IF(AND(AND(149&lt;='Control Room'!$B$3,'Control Room'!$D$3="Ready"),1&lt;='Control Room'!$B$2),ROUND(MAX(0,'Process'!E150*'Control Room'!$H$4*INDEX('Control Room'!$B$19:$H$19,1,WEEKDAY($A150,2))*(1+'Control Room'!$D$9)^148*'Process'!F150),2),"")</x:f>
      </x:c>
      <x:c r="D150" s="16" t="str">
        <x:f>IF(AND(AND(149&lt;='Control Room'!$B$3,'Control Room'!$D$3="Ready"),2&lt;='Control Room'!$B$2),ROUND(MAX(0,'Process'!J150*'Control Room'!$H$5*INDEX('Control Room'!$B$19:$H$19,1,WEEKDAY($A150,2))*(1+'Control Room'!$D$9)^148*'Process'!K150),2),"")</x:f>
      </x:c>
      <x:c r="E150" s="16" t="str">
        <x:f>IF(AND(AND(149&lt;='Control Room'!$B$3,'Control Room'!$D$3="Ready"),3&lt;='Control Room'!$B$2),ROUND(MAX(0,'Process'!O150*'Control Room'!$H$6*INDEX('Control Room'!$B$19:$H$19,1,WEEKDAY($A150,2))*(1+'Control Room'!$D$9)^148*'Process'!P150),2),"")</x:f>
      </x:c>
      <x:c r="F150" s="16" t="str">
        <x:f>IF(AND(AND(149&lt;='Control Room'!$B$3,'Control Room'!$D$3="Ready"),4&lt;='Control Room'!$B$2),ROUND(MAX(0,'Process'!T150*'Control Room'!$H$7*INDEX('Control Room'!$B$19:$H$19,1,WEEKDAY($A150,2))*(1+'Control Room'!$D$9)^148*'Process'!U150),2),"")</x:f>
      </x:c>
      <x:c r="G150" s="16" t="str">
        <x:f>IF(AND(AND(149&lt;='Control Room'!$B$3,'Control Room'!$D$3="Ready"),5&lt;='Control Room'!$B$2),ROUND(MAX(0,'Process'!Y150*'Control Room'!$H$8*INDEX('Control Room'!$B$19:$H$19,1,WEEKDAY($A150,2))*(1+'Control Room'!$D$9)^148*'Process'!Z150),2),"")</x:f>
      </x:c>
      <x:c r="H150" s="16" t="str">
        <x:f>IF(AND(AND(149&lt;='Control Room'!$B$3,'Control Room'!$D$3="Ready"),6&lt;='Control Room'!$B$2),ROUND(MAX(0,'Process'!AD150*'Control Room'!$H$9*INDEX('Control Room'!$B$19:$H$19,1,WEEKDAY($A150,2))*(1+'Control Room'!$D$9)^148*'Process'!AE150),2),"")</x:f>
      </x:c>
      <x:c r="I150" s="16" t="str">
        <x:f>IF(AND(AND(149&lt;='Control Room'!$B$3,'Control Room'!$D$3="Ready"),7&lt;='Control Room'!$B$2),ROUND(MAX(0,'Process'!AI150*'Control Room'!$H$10*INDEX('Control Room'!$B$19:$H$19,1,WEEKDAY($A150,2))*(1+'Control Room'!$D$9)^148*'Process'!AJ150),2),"")</x:f>
      </x:c>
      <x:c r="J150" s="16" t="str">
        <x:f>IF(AND(AND(149&lt;='Control Room'!$B$3,'Control Room'!$D$3="Ready"),8&lt;='Control Room'!$B$2),ROUND(MAX(0,'Process'!AN150*'Control Room'!$H$11*INDEX('Control Room'!$B$19:$H$19,1,WEEKDAY($A150,2))*(1+'Control Room'!$D$9)^148*'Process'!AO150),2),"")</x:f>
      </x:c>
      <x:c r="K150" s="16" t="str">
        <x:f>IF(AND(AND(149&lt;='Control Room'!$B$3,'Control Room'!$D$3="Ready"),9&lt;='Control Room'!$B$2),ROUND(MAX(0,'Process'!AS150*'Control Room'!$H$12*INDEX('Control Room'!$B$19:$H$19,1,WEEKDAY($A150,2))*(1+'Control Room'!$D$9)^148*'Process'!AT150),2),"")</x:f>
      </x:c>
      <x:c r="L150" s="16" t="str">
        <x:f>IF(AND(AND(149&lt;='Control Room'!$B$3,'Control Room'!$D$3="Ready"),10&lt;='Control Room'!$B$2),ROUND(MAX(0,'Process'!AX150*'Control Room'!$H$13*INDEX('Control Room'!$B$19:$H$19,1,WEEKDAY($A150,2))*(1+'Control Room'!$D$9)^148*'Process'!AY150),2),"")</x:f>
      </x:c>
      <x:c r="M150" s="16" t="str">
        <x:f>IF(AND(AND(149&lt;='Control Room'!$B$3,'Control Room'!$D$3="Ready"),11&lt;='Control Room'!$B$2),ROUND(MAX(0,'Process'!BC150*'Control Room'!$H$14*INDEX('Control Room'!$B$19:$H$19,1,WEEKDAY($A150,2))*(1+'Control Room'!$D$9)^148*'Process'!BD150),2),"")</x:f>
      </x:c>
      <x:c r="N150" s="16" t="str">
        <x:f>IF(AND(AND(149&lt;='Control Room'!$B$3,'Control Room'!$D$3="Ready"),12&lt;='Control Room'!$B$2),ROUND(MAX(0,'Process'!BH150*'Control Room'!$H$15*INDEX('Control Room'!$B$19:$H$19,1,WEEKDAY($A150,2))*(1+'Control Room'!$D$9)^148*'Process'!BI150),2),"")</x:f>
      </x:c>
    </x:row>
    <x:row r="151" ht="21" customHeight="1">
      <x:c r="A151" s="15" t="str">
        <x:f>IF(AND(150&lt;='Control Room'!$B$3,'Control Room'!$D$3="Ready"),'Process'!A151,"")</x:f>
      </x:c>
      <x:c r="B151" s="16" t="str">
        <x:f>IF(A151="","",SUM(C151:N151))</x:f>
      </x:c>
      <x:c r="C151" s="16" t="str">
        <x:f>IF(AND(AND(150&lt;='Control Room'!$B$3,'Control Room'!$D$3="Ready"),1&lt;='Control Room'!$B$2),ROUND(MAX(0,'Process'!E151*'Control Room'!$H$4*INDEX('Control Room'!$B$19:$H$19,1,WEEKDAY($A151,2))*(1+'Control Room'!$D$9)^149*'Process'!F151),2),"")</x:f>
      </x:c>
      <x:c r="D151" s="16" t="str">
        <x:f>IF(AND(AND(150&lt;='Control Room'!$B$3,'Control Room'!$D$3="Ready"),2&lt;='Control Room'!$B$2),ROUND(MAX(0,'Process'!J151*'Control Room'!$H$5*INDEX('Control Room'!$B$19:$H$19,1,WEEKDAY($A151,2))*(1+'Control Room'!$D$9)^149*'Process'!K151),2),"")</x:f>
      </x:c>
      <x:c r="E151" s="16" t="str">
        <x:f>IF(AND(AND(150&lt;='Control Room'!$B$3,'Control Room'!$D$3="Ready"),3&lt;='Control Room'!$B$2),ROUND(MAX(0,'Process'!O151*'Control Room'!$H$6*INDEX('Control Room'!$B$19:$H$19,1,WEEKDAY($A151,2))*(1+'Control Room'!$D$9)^149*'Process'!P151),2),"")</x:f>
      </x:c>
      <x:c r="F151" s="16" t="str">
        <x:f>IF(AND(AND(150&lt;='Control Room'!$B$3,'Control Room'!$D$3="Ready"),4&lt;='Control Room'!$B$2),ROUND(MAX(0,'Process'!T151*'Control Room'!$H$7*INDEX('Control Room'!$B$19:$H$19,1,WEEKDAY($A151,2))*(1+'Control Room'!$D$9)^149*'Process'!U151),2),"")</x:f>
      </x:c>
      <x:c r="G151" s="16" t="str">
        <x:f>IF(AND(AND(150&lt;='Control Room'!$B$3,'Control Room'!$D$3="Ready"),5&lt;='Control Room'!$B$2),ROUND(MAX(0,'Process'!Y151*'Control Room'!$H$8*INDEX('Control Room'!$B$19:$H$19,1,WEEKDAY($A151,2))*(1+'Control Room'!$D$9)^149*'Process'!Z151),2),"")</x:f>
      </x:c>
      <x:c r="H151" s="16" t="str">
        <x:f>IF(AND(AND(150&lt;='Control Room'!$B$3,'Control Room'!$D$3="Ready"),6&lt;='Control Room'!$B$2),ROUND(MAX(0,'Process'!AD151*'Control Room'!$H$9*INDEX('Control Room'!$B$19:$H$19,1,WEEKDAY($A151,2))*(1+'Control Room'!$D$9)^149*'Process'!AE151),2),"")</x:f>
      </x:c>
      <x:c r="I151" s="16" t="str">
        <x:f>IF(AND(AND(150&lt;='Control Room'!$B$3,'Control Room'!$D$3="Ready"),7&lt;='Control Room'!$B$2),ROUND(MAX(0,'Process'!AI151*'Control Room'!$H$10*INDEX('Control Room'!$B$19:$H$19,1,WEEKDAY($A151,2))*(1+'Control Room'!$D$9)^149*'Process'!AJ151),2),"")</x:f>
      </x:c>
      <x:c r="J151" s="16" t="str">
        <x:f>IF(AND(AND(150&lt;='Control Room'!$B$3,'Control Room'!$D$3="Ready"),8&lt;='Control Room'!$B$2),ROUND(MAX(0,'Process'!AN151*'Control Room'!$H$11*INDEX('Control Room'!$B$19:$H$19,1,WEEKDAY($A151,2))*(1+'Control Room'!$D$9)^149*'Process'!AO151),2),"")</x:f>
      </x:c>
      <x:c r="K151" s="16" t="str">
        <x:f>IF(AND(AND(150&lt;='Control Room'!$B$3,'Control Room'!$D$3="Ready"),9&lt;='Control Room'!$B$2),ROUND(MAX(0,'Process'!AS151*'Control Room'!$H$12*INDEX('Control Room'!$B$19:$H$19,1,WEEKDAY($A151,2))*(1+'Control Room'!$D$9)^149*'Process'!AT151),2),"")</x:f>
      </x:c>
      <x:c r="L151" s="16" t="str">
        <x:f>IF(AND(AND(150&lt;='Control Room'!$B$3,'Control Room'!$D$3="Ready"),10&lt;='Control Room'!$B$2),ROUND(MAX(0,'Process'!AX151*'Control Room'!$H$13*INDEX('Control Room'!$B$19:$H$19,1,WEEKDAY($A151,2))*(1+'Control Room'!$D$9)^149*'Process'!AY151),2),"")</x:f>
      </x:c>
      <x:c r="M151" s="16" t="str">
        <x:f>IF(AND(AND(150&lt;='Control Room'!$B$3,'Control Room'!$D$3="Ready"),11&lt;='Control Room'!$B$2),ROUND(MAX(0,'Process'!BC151*'Control Room'!$H$14*INDEX('Control Room'!$B$19:$H$19,1,WEEKDAY($A151,2))*(1+'Control Room'!$D$9)^149*'Process'!BD151),2),"")</x:f>
      </x:c>
      <x:c r="N151" s="16" t="str">
        <x:f>IF(AND(AND(150&lt;='Control Room'!$B$3,'Control Room'!$D$3="Ready"),12&lt;='Control Room'!$B$2),ROUND(MAX(0,'Process'!BH151*'Control Room'!$H$15*INDEX('Control Room'!$B$19:$H$19,1,WEEKDAY($A151,2))*(1+'Control Room'!$D$9)^149*'Process'!BI151),2),"")</x:f>
      </x:c>
    </x:row>
    <x:row r="152" ht="21" customHeight="1">
      <x:c r="A152" s="15" t="str">
        <x:f>IF(AND(151&lt;='Control Room'!$B$3,'Control Room'!$D$3="Ready"),'Process'!A152,"")</x:f>
      </x:c>
      <x:c r="B152" s="16" t="str">
        <x:f>IF(A152="","",SUM(C152:N152))</x:f>
      </x:c>
      <x:c r="C152" s="16" t="str">
        <x:f>IF(AND(AND(151&lt;='Control Room'!$B$3,'Control Room'!$D$3="Ready"),1&lt;='Control Room'!$B$2),ROUND(MAX(0,'Process'!E152*'Control Room'!$H$4*INDEX('Control Room'!$B$19:$H$19,1,WEEKDAY($A152,2))*(1+'Control Room'!$D$9)^150*'Process'!F152),2),"")</x:f>
      </x:c>
      <x:c r="D152" s="16" t="str">
        <x:f>IF(AND(AND(151&lt;='Control Room'!$B$3,'Control Room'!$D$3="Ready"),2&lt;='Control Room'!$B$2),ROUND(MAX(0,'Process'!J152*'Control Room'!$H$5*INDEX('Control Room'!$B$19:$H$19,1,WEEKDAY($A152,2))*(1+'Control Room'!$D$9)^150*'Process'!K152),2),"")</x:f>
      </x:c>
      <x:c r="E152" s="16" t="str">
        <x:f>IF(AND(AND(151&lt;='Control Room'!$B$3,'Control Room'!$D$3="Ready"),3&lt;='Control Room'!$B$2),ROUND(MAX(0,'Process'!O152*'Control Room'!$H$6*INDEX('Control Room'!$B$19:$H$19,1,WEEKDAY($A152,2))*(1+'Control Room'!$D$9)^150*'Process'!P152),2),"")</x:f>
      </x:c>
      <x:c r="F152" s="16" t="str">
        <x:f>IF(AND(AND(151&lt;='Control Room'!$B$3,'Control Room'!$D$3="Ready"),4&lt;='Control Room'!$B$2),ROUND(MAX(0,'Process'!T152*'Control Room'!$H$7*INDEX('Control Room'!$B$19:$H$19,1,WEEKDAY($A152,2))*(1+'Control Room'!$D$9)^150*'Process'!U152),2),"")</x:f>
      </x:c>
      <x:c r="G152" s="16" t="str">
        <x:f>IF(AND(AND(151&lt;='Control Room'!$B$3,'Control Room'!$D$3="Ready"),5&lt;='Control Room'!$B$2),ROUND(MAX(0,'Process'!Y152*'Control Room'!$H$8*INDEX('Control Room'!$B$19:$H$19,1,WEEKDAY($A152,2))*(1+'Control Room'!$D$9)^150*'Process'!Z152),2),"")</x:f>
      </x:c>
      <x:c r="H152" s="16" t="str">
        <x:f>IF(AND(AND(151&lt;='Control Room'!$B$3,'Control Room'!$D$3="Ready"),6&lt;='Control Room'!$B$2),ROUND(MAX(0,'Process'!AD152*'Control Room'!$H$9*INDEX('Control Room'!$B$19:$H$19,1,WEEKDAY($A152,2))*(1+'Control Room'!$D$9)^150*'Process'!AE152),2),"")</x:f>
      </x:c>
      <x:c r="I152" s="16" t="str">
        <x:f>IF(AND(AND(151&lt;='Control Room'!$B$3,'Control Room'!$D$3="Ready"),7&lt;='Control Room'!$B$2),ROUND(MAX(0,'Process'!AI152*'Control Room'!$H$10*INDEX('Control Room'!$B$19:$H$19,1,WEEKDAY($A152,2))*(1+'Control Room'!$D$9)^150*'Process'!AJ152),2),"")</x:f>
      </x:c>
      <x:c r="J152" s="16" t="str">
        <x:f>IF(AND(AND(151&lt;='Control Room'!$B$3,'Control Room'!$D$3="Ready"),8&lt;='Control Room'!$B$2),ROUND(MAX(0,'Process'!AN152*'Control Room'!$H$11*INDEX('Control Room'!$B$19:$H$19,1,WEEKDAY($A152,2))*(1+'Control Room'!$D$9)^150*'Process'!AO152),2),"")</x:f>
      </x:c>
      <x:c r="K152" s="16" t="str">
        <x:f>IF(AND(AND(151&lt;='Control Room'!$B$3,'Control Room'!$D$3="Ready"),9&lt;='Control Room'!$B$2),ROUND(MAX(0,'Process'!AS152*'Control Room'!$H$12*INDEX('Control Room'!$B$19:$H$19,1,WEEKDAY($A152,2))*(1+'Control Room'!$D$9)^150*'Process'!AT152),2),"")</x:f>
      </x:c>
      <x:c r="L152" s="16" t="str">
        <x:f>IF(AND(AND(151&lt;='Control Room'!$B$3,'Control Room'!$D$3="Ready"),10&lt;='Control Room'!$B$2),ROUND(MAX(0,'Process'!AX152*'Control Room'!$H$13*INDEX('Control Room'!$B$19:$H$19,1,WEEKDAY($A152,2))*(1+'Control Room'!$D$9)^150*'Process'!AY152),2),"")</x:f>
      </x:c>
      <x:c r="M152" s="16" t="str">
        <x:f>IF(AND(AND(151&lt;='Control Room'!$B$3,'Control Room'!$D$3="Ready"),11&lt;='Control Room'!$B$2),ROUND(MAX(0,'Process'!BC152*'Control Room'!$H$14*INDEX('Control Room'!$B$19:$H$19,1,WEEKDAY($A152,2))*(1+'Control Room'!$D$9)^150*'Process'!BD152),2),"")</x:f>
      </x:c>
      <x:c r="N152" s="16" t="str">
        <x:f>IF(AND(AND(151&lt;='Control Room'!$B$3,'Control Room'!$D$3="Ready"),12&lt;='Control Room'!$B$2),ROUND(MAX(0,'Process'!BH152*'Control Room'!$H$15*INDEX('Control Room'!$B$19:$H$19,1,WEEKDAY($A152,2))*(1+'Control Room'!$D$9)^150*'Process'!BI152),2),"")</x:f>
      </x:c>
    </x:row>
    <x:row r="153" ht="21" customHeight="1">
      <x:c r="A153" s="15" t="str">
        <x:f>IF(AND(152&lt;='Control Room'!$B$3,'Control Room'!$D$3="Ready"),'Process'!A153,"")</x:f>
      </x:c>
      <x:c r="B153" s="16" t="str">
        <x:f>IF(A153="","",SUM(C153:N153))</x:f>
      </x:c>
      <x:c r="C153" s="16" t="str">
        <x:f>IF(AND(AND(152&lt;='Control Room'!$B$3,'Control Room'!$D$3="Ready"),1&lt;='Control Room'!$B$2),ROUND(MAX(0,'Process'!E153*'Control Room'!$H$4*INDEX('Control Room'!$B$19:$H$19,1,WEEKDAY($A153,2))*(1+'Control Room'!$D$9)^151*'Process'!F153),2),"")</x:f>
      </x:c>
      <x:c r="D153" s="16" t="str">
        <x:f>IF(AND(AND(152&lt;='Control Room'!$B$3,'Control Room'!$D$3="Ready"),2&lt;='Control Room'!$B$2),ROUND(MAX(0,'Process'!J153*'Control Room'!$H$5*INDEX('Control Room'!$B$19:$H$19,1,WEEKDAY($A153,2))*(1+'Control Room'!$D$9)^151*'Process'!K153),2),"")</x:f>
      </x:c>
      <x:c r="E153" s="16" t="str">
        <x:f>IF(AND(AND(152&lt;='Control Room'!$B$3,'Control Room'!$D$3="Ready"),3&lt;='Control Room'!$B$2),ROUND(MAX(0,'Process'!O153*'Control Room'!$H$6*INDEX('Control Room'!$B$19:$H$19,1,WEEKDAY($A153,2))*(1+'Control Room'!$D$9)^151*'Process'!P153),2),"")</x:f>
      </x:c>
      <x:c r="F153" s="16" t="str">
        <x:f>IF(AND(AND(152&lt;='Control Room'!$B$3,'Control Room'!$D$3="Ready"),4&lt;='Control Room'!$B$2),ROUND(MAX(0,'Process'!T153*'Control Room'!$H$7*INDEX('Control Room'!$B$19:$H$19,1,WEEKDAY($A153,2))*(1+'Control Room'!$D$9)^151*'Process'!U153),2),"")</x:f>
      </x:c>
      <x:c r="G153" s="16" t="str">
        <x:f>IF(AND(AND(152&lt;='Control Room'!$B$3,'Control Room'!$D$3="Ready"),5&lt;='Control Room'!$B$2),ROUND(MAX(0,'Process'!Y153*'Control Room'!$H$8*INDEX('Control Room'!$B$19:$H$19,1,WEEKDAY($A153,2))*(1+'Control Room'!$D$9)^151*'Process'!Z153),2),"")</x:f>
      </x:c>
      <x:c r="H153" s="16" t="str">
        <x:f>IF(AND(AND(152&lt;='Control Room'!$B$3,'Control Room'!$D$3="Ready"),6&lt;='Control Room'!$B$2),ROUND(MAX(0,'Process'!AD153*'Control Room'!$H$9*INDEX('Control Room'!$B$19:$H$19,1,WEEKDAY($A153,2))*(1+'Control Room'!$D$9)^151*'Process'!AE153),2),"")</x:f>
      </x:c>
      <x:c r="I153" s="16" t="str">
        <x:f>IF(AND(AND(152&lt;='Control Room'!$B$3,'Control Room'!$D$3="Ready"),7&lt;='Control Room'!$B$2),ROUND(MAX(0,'Process'!AI153*'Control Room'!$H$10*INDEX('Control Room'!$B$19:$H$19,1,WEEKDAY($A153,2))*(1+'Control Room'!$D$9)^151*'Process'!AJ153),2),"")</x:f>
      </x:c>
      <x:c r="J153" s="16" t="str">
        <x:f>IF(AND(AND(152&lt;='Control Room'!$B$3,'Control Room'!$D$3="Ready"),8&lt;='Control Room'!$B$2),ROUND(MAX(0,'Process'!AN153*'Control Room'!$H$11*INDEX('Control Room'!$B$19:$H$19,1,WEEKDAY($A153,2))*(1+'Control Room'!$D$9)^151*'Process'!AO153),2),"")</x:f>
      </x:c>
      <x:c r="K153" s="16" t="str">
        <x:f>IF(AND(AND(152&lt;='Control Room'!$B$3,'Control Room'!$D$3="Ready"),9&lt;='Control Room'!$B$2),ROUND(MAX(0,'Process'!AS153*'Control Room'!$H$12*INDEX('Control Room'!$B$19:$H$19,1,WEEKDAY($A153,2))*(1+'Control Room'!$D$9)^151*'Process'!AT153),2),"")</x:f>
      </x:c>
      <x:c r="L153" s="16" t="str">
        <x:f>IF(AND(AND(152&lt;='Control Room'!$B$3,'Control Room'!$D$3="Ready"),10&lt;='Control Room'!$B$2),ROUND(MAX(0,'Process'!AX153*'Control Room'!$H$13*INDEX('Control Room'!$B$19:$H$19,1,WEEKDAY($A153,2))*(1+'Control Room'!$D$9)^151*'Process'!AY153),2),"")</x:f>
      </x:c>
      <x:c r="M153" s="16" t="str">
        <x:f>IF(AND(AND(152&lt;='Control Room'!$B$3,'Control Room'!$D$3="Ready"),11&lt;='Control Room'!$B$2),ROUND(MAX(0,'Process'!BC153*'Control Room'!$H$14*INDEX('Control Room'!$B$19:$H$19,1,WEEKDAY($A153,2))*(1+'Control Room'!$D$9)^151*'Process'!BD153),2),"")</x:f>
      </x:c>
      <x:c r="N153" s="16" t="str">
        <x:f>IF(AND(AND(152&lt;='Control Room'!$B$3,'Control Room'!$D$3="Ready"),12&lt;='Control Room'!$B$2),ROUND(MAX(0,'Process'!BH153*'Control Room'!$H$15*INDEX('Control Room'!$B$19:$H$19,1,WEEKDAY($A153,2))*(1+'Control Room'!$D$9)^151*'Process'!BI153),2),"")</x:f>
      </x:c>
    </x:row>
    <x:row r="154" ht="21" customHeight="1">
      <x:c r="A154" s="15" t="str">
        <x:f>IF(AND(153&lt;='Control Room'!$B$3,'Control Room'!$D$3="Ready"),'Process'!A154,"")</x:f>
      </x:c>
      <x:c r="B154" s="16" t="str">
        <x:f>IF(A154="","",SUM(C154:N154))</x:f>
      </x:c>
      <x:c r="C154" s="16" t="str">
        <x:f>IF(AND(AND(153&lt;='Control Room'!$B$3,'Control Room'!$D$3="Ready"),1&lt;='Control Room'!$B$2),ROUND(MAX(0,'Process'!E154*'Control Room'!$H$4*INDEX('Control Room'!$B$19:$H$19,1,WEEKDAY($A154,2))*(1+'Control Room'!$D$9)^152*'Process'!F154),2),"")</x:f>
      </x:c>
      <x:c r="D154" s="16" t="str">
        <x:f>IF(AND(AND(153&lt;='Control Room'!$B$3,'Control Room'!$D$3="Ready"),2&lt;='Control Room'!$B$2),ROUND(MAX(0,'Process'!J154*'Control Room'!$H$5*INDEX('Control Room'!$B$19:$H$19,1,WEEKDAY($A154,2))*(1+'Control Room'!$D$9)^152*'Process'!K154),2),"")</x:f>
      </x:c>
      <x:c r="E154" s="16" t="str">
        <x:f>IF(AND(AND(153&lt;='Control Room'!$B$3,'Control Room'!$D$3="Ready"),3&lt;='Control Room'!$B$2),ROUND(MAX(0,'Process'!O154*'Control Room'!$H$6*INDEX('Control Room'!$B$19:$H$19,1,WEEKDAY($A154,2))*(1+'Control Room'!$D$9)^152*'Process'!P154),2),"")</x:f>
      </x:c>
      <x:c r="F154" s="16" t="str">
        <x:f>IF(AND(AND(153&lt;='Control Room'!$B$3,'Control Room'!$D$3="Ready"),4&lt;='Control Room'!$B$2),ROUND(MAX(0,'Process'!T154*'Control Room'!$H$7*INDEX('Control Room'!$B$19:$H$19,1,WEEKDAY($A154,2))*(1+'Control Room'!$D$9)^152*'Process'!U154),2),"")</x:f>
      </x:c>
      <x:c r="G154" s="16" t="str">
        <x:f>IF(AND(AND(153&lt;='Control Room'!$B$3,'Control Room'!$D$3="Ready"),5&lt;='Control Room'!$B$2),ROUND(MAX(0,'Process'!Y154*'Control Room'!$H$8*INDEX('Control Room'!$B$19:$H$19,1,WEEKDAY($A154,2))*(1+'Control Room'!$D$9)^152*'Process'!Z154),2),"")</x:f>
      </x:c>
      <x:c r="H154" s="16" t="str">
        <x:f>IF(AND(AND(153&lt;='Control Room'!$B$3,'Control Room'!$D$3="Ready"),6&lt;='Control Room'!$B$2),ROUND(MAX(0,'Process'!AD154*'Control Room'!$H$9*INDEX('Control Room'!$B$19:$H$19,1,WEEKDAY($A154,2))*(1+'Control Room'!$D$9)^152*'Process'!AE154),2),"")</x:f>
      </x:c>
      <x:c r="I154" s="16" t="str">
        <x:f>IF(AND(AND(153&lt;='Control Room'!$B$3,'Control Room'!$D$3="Ready"),7&lt;='Control Room'!$B$2),ROUND(MAX(0,'Process'!AI154*'Control Room'!$H$10*INDEX('Control Room'!$B$19:$H$19,1,WEEKDAY($A154,2))*(1+'Control Room'!$D$9)^152*'Process'!AJ154),2),"")</x:f>
      </x:c>
      <x:c r="J154" s="16" t="str">
        <x:f>IF(AND(AND(153&lt;='Control Room'!$B$3,'Control Room'!$D$3="Ready"),8&lt;='Control Room'!$B$2),ROUND(MAX(0,'Process'!AN154*'Control Room'!$H$11*INDEX('Control Room'!$B$19:$H$19,1,WEEKDAY($A154,2))*(1+'Control Room'!$D$9)^152*'Process'!AO154),2),"")</x:f>
      </x:c>
      <x:c r="K154" s="16" t="str">
        <x:f>IF(AND(AND(153&lt;='Control Room'!$B$3,'Control Room'!$D$3="Ready"),9&lt;='Control Room'!$B$2),ROUND(MAX(0,'Process'!AS154*'Control Room'!$H$12*INDEX('Control Room'!$B$19:$H$19,1,WEEKDAY($A154,2))*(1+'Control Room'!$D$9)^152*'Process'!AT154),2),"")</x:f>
      </x:c>
      <x:c r="L154" s="16" t="str">
        <x:f>IF(AND(AND(153&lt;='Control Room'!$B$3,'Control Room'!$D$3="Ready"),10&lt;='Control Room'!$B$2),ROUND(MAX(0,'Process'!AX154*'Control Room'!$H$13*INDEX('Control Room'!$B$19:$H$19,1,WEEKDAY($A154,2))*(1+'Control Room'!$D$9)^152*'Process'!AY154),2),"")</x:f>
      </x:c>
      <x:c r="M154" s="16" t="str">
        <x:f>IF(AND(AND(153&lt;='Control Room'!$B$3,'Control Room'!$D$3="Ready"),11&lt;='Control Room'!$B$2),ROUND(MAX(0,'Process'!BC154*'Control Room'!$H$14*INDEX('Control Room'!$B$19:$H$19,1,WEEKDAY($A154,2))*(1+'Control Room'!$D$9)^152*'Process'!BD154),2),"")</x:f>
      </x:c>
      <x:c r="N154" s="16" t="str">
        <x:f>IF(AND(AND(153&lt;='Control Room'!$B$3,'Control Room'!$D$3="Ready"),12&lt;='Control Room'!$B$2),ROUND(MAX(0,'Process'!BH154*'Control Room'!$H$15*INDEX('Control Room'!$B$19:$H$19,1,WEEKDAY($A154,2))*(1+'Control Room'!$D$9)^152*'Process'!BI154),2),"")</x:f>
      </x:c>
    </x:row>
    <x:row r="155" ht="21" customHeight="1">
      <x:c r="A155" s="15" t="str">
        <x:f>IF(AND(154&lt;='Control Room'!$B$3,'Control Room'!$D$3="Ready"),'Process'!A155,"")</x:f>
      </x:c>
      <x:c r="B155" s="16" t="str">
        <x:f>IF(A155="","",SUM(C155:N155))</x:f>
      </x:c>
      <x:c r="C155" s="16" t="str">
        <x:f>IF(AND(AND(154&lt;='Control Room'!$B$3,'Control Room'!$D$3="Ready"),1&lt;='Control Room'!$B$2),ROUND(MAX(0,'Process'!E155*'Control Room'!$H$4*INDEX('Control Room'!$B$19:$H$19,1,WEEKDAY($A155,2))*(1+'Control Room'!$D$9)^153*'Process'!F155),2),"")</x:f>
      </x:c>
      <x:c r="D155" s="16" t="str">
        <x:f>IF(AND(AND(154&lt;='Control Room'!$B$3,'Control Room'!$D$3="Ready"),2&lt;='Control Room'!$B$2),ROUND(MAX(0,'Process'!J155*'Control Room'!$H$5*INDEX('Control Room'!$B$19:$H$19,1,WEEKDAY($A155,2))*(1+'Control Room'!$D$9)^153*'Process'!K155),2),"")</x:f>
      </x:c>
      <x:c r="E155" s="16" t="str">
        <x:f>IF(AND(AND(154&lt;='Control Room'!$B$3,'Control Room'!$D$3="Ready"),3&lt;='Control Room'!$B$2),ROUND(MAX(0,'Process'!O155*'Control Room'!$H$6*INDEX('Control Room'!$B$19:$H$19,1,WEEKDAY($A155,2))*(1+'Control Room'!$D$9)^153*'Process'!P155),2),"")</x:f>
      </x:c>
      <x:c r="F155" s="16" t="str">
        <x:f>IF(AND(AND(154&lt;='Control Room'!$B$3,'Control Room'!$D$3="Ready"),4&lt;='Control Room'!$B$2),ROUND(MAX(0,'Process'!T155*'Control Room'!$H$7*INDEX('Control Room'!$B$19:$H$19,1,WEEKDAY($A155,2))*(1+'Control Room'!$D$9)^153*'Process'!U155),2),"")</x:f>
      </x:c>
      <x:c r="G155" s="16" t="str">
        <x:f>IF(AND(AND(154&lt;='Control Room'!$B$3,'Control Room'!$D$3="Ready"),5&lt;='Control Room'!$B$2),ROUND(MAX(0,'Process'!Y155*'Control Room'!$H$8*INDEX('Control Room'!$B$19:$H$19,1,WEEKDAY($A155,2))*(1+'Control Room'!$D$9)^153*'Process'!Z155),2),"")</x:f>
      </x:c>
      <x:c r="H155" s="16" t="str">
        <x:f>IF(AND(AND(154&lt;='Control Room'!$B$3,'Control Room'!$D$3="Ready"),6&lt;='Control Room'!$B$2),ROUND(MAX(0,'Process'!AD155*'Control Room'!$H$9*INDEX('Control Room'!$B$19:$H$19,1,WEEKDAY($A155,2))*(1+'Control Room'!$D$9)^153*'Process'!AE155),2),"")</x:f>
      </x:c>
      <x:c r="I155" s="16" t="str">
        <x:f>IF(AND(AND(154&lt;='Control Room'!$B$3,'Control Room'!$D$3="Ready"),7&lt;='Control Room'!$B$2),ROUND(MAX(0,'Process'!AI155*'Control Room'!$H$10*INDEX('Control Room'!$B$19:$H$19,1,WEEKDAY($A155,2))*(1+'Control Room'!$D$9)^153*'Process'!AJ155),2),"")</x:f>
      </x:c>
      <x:c r="J155" s="16" t="str">
        <x:f>IF(AND(AND(154&lt;='Control Room'!$B$3,'Control Room'!$D$3="Ready"),8&lt;='Control Room'!$B$2),ROUND(MAX(0,'Process'!AN155*'Control Room'!$H$11*INDEX('Control Room'!$B$19:$H$19,1,WEEKDAY($A155,2))*(1+'Control Room'!$D$9)^153*'Process'!AO155),2),"")</x:f>
      </x:c>
      <x:c r="K155" s="16" t="str">
        <x:f>IF(AND(AND(154&lt;='Control Room'!$B$3,'Control Room'!$D$3="Ready"),9&lt;='Control Room'!$B$2),ROUND(MAX(0,'Process'!AS155*'Control Room'!$H$12*INDEX('Control Room'!$B$19:$H$19,1,WEEKDAY($A155,2))*(1+'Control Room'!$D$9)^153*'Process'!AT155),2),"")</x:f>
      </x:c>
      <x:c r="L155" s="16" t="str">
        <x:f>IF(AND(AND(154&lt;='Control Room'!$B$3,'Control Room'!$D$3="Ready"),10&lt;='Control Room'!$B$2),ROUND(MAX(0,'Process'!AX155*'Control Room'!$H$13*INDEX('Control Room'!$B$19:$H$19,1,WEEKDAY($A155,2))*(1+'Control Room'!$D$9)^153*'Process'!AY155),2),"")</x:f>
      </x:c>
      <x:c r="M155" s="16" t="str">
        <x:f>IF(AND(AND(154&lt;='Control Room'!$B$3,'Control Room'!$D$3="Ready"),11&lt;='Control Room'!$B$2),ROUND(MAX(0,'Process'!BC155*'Control Room'!$H$14*INDEX('Control Room'!$B$19:$H$19,1,WEEKDAY($A155,2))*(1+'Control Room'!$D$9)^153*'Process'!BD155),2),"")</x:f>
      </x:c>
      <x:c r="N155" s="16" t="str">
        <x:f>IF(AND(AND(154&lt;='Control Room'!$B$3,'Control Room'!$D$3="Ready"),12&lt;='Control Room'!$B$2),ROUND(MAX(0,'Process'!BH155*'Control Room'!$H$15*INDEX('Control Room'!$B$19:$H$19,1,WEEKDAY($A155,2))*(1+'Control Room'!$D$9)^153*'Process'!BI155),2),"")</x:f>
      </x:c>
    </x:row>
    <x:row r="156" ht="21" customHeight="1">
      <x:c r="A156" s="15" t="str">
        <x:f>IF(AND(155&lt;='Control Room'!$B$3,'Control Room'!$D$3="Ready"),'Process'!A156,"")</x:f>
      </x:c>
      <x:c r="B156" s="16" t="str">
        <x:f>IF(A156="","",SUM(C156:N156))</x:f>
      </x:c>
      <x:c r="C156" s="16" t="str">
        <x:f>IF(AND(AND(155&lt;='Control Room'!$B$3,'Control Room'!$D$3="Ready"),1&lt;='Control Room'!$B$2),ROUND(MAX(0,'Process'!E156*'Control Room'!$H$4*INDEX('Control Room'!$B$19:$H$19,1,WEEKDAY($A156,2))*(1+'Control Room'!$D$9)^154*'Process'!F156),2),"")</x:f>
      </x:c>
      <x:c r="D156" s="16" t="str">
        <x:f>IF(AND(AND(155&lt;='Control Room'!$B$3,'Control Room'!$D$3="Ready"),2&lt;='Control Room'!$B$2),ROUND(MAX(0,'Process'!J156*'Control Room'!$H$5*INDEX('Control Room'!$B$19:$H$19,1,WEEKDAY($A156,2))*(1+'Control Room'!$D$9)^154*'Process'!K156),2),"")</x:f>
      </x:c>
      <x:c r="E156" s="16" t="str">
        <x:f>IF(AND(AND(155&lt;='Control Room'!$B$3,'Control Room'!$D$3="Ready"),3&lt;='Control Room'!$B$2),ROUND(MAX(0,'Process'!O156*'Control Room'!$H$6*INDEX('Control Room'!$B$19:$H$19,1,WEEKDAY($A156,2))*(1+'Control Room'!$D$9)^154*'Process'!P156),2),"")</x:f>
      </x:c>
      <x:c r="F156" s="16" t="str">
        <x:f>IF(AND(AND(155&lt;='Control Room'!$B$3,'Control Room'!$D$3="Ready"),4&lt;='Control Room'!$B$2),ROUND(MAX(0,'Process'!T156*'Control Room'!$H$7*INDEX('Control Room'!$B$19:$H$19,1,WEEKDAY($A156,2))*(1+'Control Room'!$D$9)^154*'Process'!U156),2),"")</x:f>
      </x:c>
      <x:c r="G156" s="16" t="str">
        <x:f>IF(AND(AND(155&lt;='Control Room'!$B$3,'Control Room'!$D$3="Ready"),5&lt;='Control Room'!$B$2),ROUND(MAX(0,'Process'!Y156*'Control Room'!$H$8*INDEX('Control Room'!$B$19:$H$19,1,WEEKDAY($A156,2))*(1+'Control Room'!$D$9)^154*'Process'!Z156),2),"")</x:f>
      </x:c>
      <x:c r="H156" s="16" t="str">
        <x:f>IF(AND(AND(155&lt;='Control Room'!$B$3,'Control Room'!$D$3="Ready"),6&lt;='Control Room'!$B$2),ROUND(MAX(0,'Process'!AD156*'Control Room'!$H$9*INDEX('Control Room'!$B$19:$H$19,1,WEEKDAY($A156,2))*(1+'Control Room'!$D$9)^154*'Process'!AE156),2),"")</x:f>
      </x:c>
      <x:c r="I156" s="16" t="str">
        <x:f>IF(AND(AND(155&lt;='Control Room'!$B$3,'Control Room'!$D$3="Ready"),7&lt;='Control Room'!$B$2),ROUND(MAX(0,'Process'!AI156*'Control Room'!$H$10*INDEX('Control Room'!$B$19:$H$19,1,WEEKDAY($A156,2))*(1+'Control Room'!$D$9)^154*'Process'!AJ156),2),"")</x:f>
      </x:c>
      <x:c r="J156" s="16" t="str">
        <x:f>IF(AND(AND(155&lt;='Control Room'!$B$3,'Control Room'!$D$3="Ready"),8&lt;='Control Room'!$B$2),ROUND(MAX(0,'Process'!AN156*'Control Room'!$H$11*INDEX('Control Room'!$B$19:$H$19,1,WEEKDAY($A156,2))*(1+'Control Room'!$D$9)^154*'Process'!AO156),2),"")</x:f>
      </x:c>
      <x:c r="K156" s="16" t="str">
        <x:f>IF(AND(AND(155&lt;='Control Room'!$B$3,'Control Room'!$D$3="Ready"),9&lt;='Control Room'!$B$2),ROUND(MAX(0,'Process'!AS156*'Control Room'!$H$12*INDEX('Control Room'!$B$19:$H$19,1,WEEKDAY($A156,2))*(1+'Control Room'!$D$9)^154*'Process'!AT156),2),"")</x:f>
      </x:c>
      <x:c r="L156" s="16" t="str">
        <x:f>IF(AND(AND(155&lt;='Control Room'!$B$3,'Control Room'!$D$3="Ready"),10&lt;='Control Room'!$B$2),ROUND(MAX(0,'Process'!AX156*'Control Room'!$H$13*INDEX('Control Room'!$B$19:$H$19,1,WEEKDAY($A156,2))*(1+'Control Room'!$D$9)^154*'Process'!AY156),2),"")</x:f>
      </x:c>
      <x:c r="M156" s="16" t="str">
        <x:f>IF(AND(AND(155&lt;='Control Room'!$B$3,'Control Room'!$D$3="Ready"),11&lt;='Control Room'!$B$2),ROUND(MAX(0,'Process'!BC156*'Control Room'!$H$14*INDEX('Control Room'!$B$19:$H$19,1,WEEKDAY($A156,2))*(1+'Control Room'!$D$9)^154*'Process'!BD156),2),"")</x:f>
      </x:c>
      <x:c r="N156" s="16" t="str">
        <x:f>IF(AND(AND(155&lt;='Control Room'!$B$3,'Control Room'!$D$3="Ready"),12&lt;='Control Room'!$B$2),ROUND(MAX(0,'Process'!BH156*'Control Room'!$H$15*INDEX('Control Room'!$B$19:$H$19,1,WEEKDAY($A156,2))*(1+'Control Room'!$D$9)^154*'Process'!BI156),2),"")</x:f>
      </x:c>
    </x:row>
    <x:row r="157" ht="21" customHeight="1">
      <x:c r="A157" s="15" t="str">
        <x:f>IF(AND(156&lt;='Control Room'!$B$3,'Control Room'!$D$3="Ready"),'Process'!A157,"")</x:f>
      </x:c>
      <x:c r="B157" s="16" t="str">
        <x:f>IF(A157="","",SUM(C157:N157))</x:f>
      </x:c>
      <x:c r="C157" s="16" t="str">
        <x:f>IF(AND(AND(156&lt;='Control Room'!$B$3,'Control Room'!$D$3="Ready"),1&lt;='Control Room'!$B$2),ROUND(MAX(0,'Process'!E157*'Control Room'!$H$4*INDEX('Control Room'!$B$19:$H$19,1,WEEKDAY($A157,2))*(1+'Control Room'!$D$9)^155*'Process'!F157),2),"")</x:f>
      </x:c>
      <x:c r="D157" s="16" t="str">
        <x:f>IF(AND(AND(156&lt;='Control Room'!$B$3,'Control Room'!$D$3="Ready"),2&lt;='Control Room'!$B$2),ROUND(MAX(0,'Process'!J157*'Control Room'!$H$5*INDEX('Control Room'!$B$19:$H$19,1,WEEKDAY($A157,2))*(1+'Control Room'!$D$9)^155*'Process'!K157),2),"")</x:f>
      </x:c>
      <x:c r="E157" s="16" t="str">
        <x:f>IF(AND(AND(156&lt;='Control Room'!$B$3,'Control Room'!$D$3="Ready"),3&lt;='Control Room'!$B$2),ROUND(MAX(0,'Process'!O157*'Control Room'!$H$6*INDEX('Control Room'!$B$19:$H$19,1,WEEKDAY($A157,2))*(1+'Control Room'!$D$9)^155*'Process'!P157),2),"")</x:f>
      </x:c>
      <x:c r="F157" s="16" t="str">
        <x:f>IF(AND(AND(156&lt;='Control Room'!$B$3,'Control Room'!$D$3="Ready"),4&lt;='Control Room'!$B$2),ROUND(MAX(0,'Process'!T157*'Control Room'!$H$7*INDEX('Control Room'!$B$19:$H$19,1,WEEKDAY($A157,2))*(1+'Control Room'!$D$9)^155*'Process'!U157),2),"")</x:f>
      </x:c>
      <x:c r="G157" s="16" t="str">
        <x:f>IF(AND(AND(156&lt;='Control Room'!$B$3,'Control Room'!$D$3="Ready"),5&lt;='Control Room'!$B$2),ROUND(MAX(0,'Process'!Y157*'Control Room'!$H$8*INDEX('Control Room'!$B$19:$H$19,1,WEEKDAY($A157,2))*(1+'Control Room'!$D$9)^155*'Process'!Z157),2),"")</x:f>
      </x:c>
      <x:c r="H157" s="16" t="str">
        <x:f>IF(AND(AND(156&lt;='Control Room'!$B$3,'Control Room'!$D$3="Ready"),6&lt;='Control Room'!$B$2),ROUND(MAX(0,'Process'!AD157*'Control Room'!$H$9*INDEX('Control Room'!$B$19:$H$19,1,WEEKDAY($A157,2))*(1+'Control Room'!$D$9)^155*'Process'!AE157),2),"")</x:f>
      </x:c>
      <x:c r="I157" s="16" t="str">
        <x:f>IF(AND(AND(156&lt;='Control Room'!$B$3,'Control Room'!$D$3="Ready"),7&lt;='Control Room'!$B$2),ROUND(MAX(0,'Process'!AI157*'Control Room'!$H$10*INDEX('Control Room'!$B$19:$H$19,1,WEEKDAY($A157,2))*(1+'Control Room'!$D$9)^155*'Process'!AJ157),2),"")</x:f>
      </x:c>
      <x:c r="J157" s="16" t="str">
        <x:f>IF(AND(AND(156&lt;='Control Room'!$B$3,'Control Room'!$D$3="Ready"),8&lt;='Control Room'!$B$2),ROUND(MAX(0,'Process'!AN157*'Control Room'!$H$11*INDEX('Control Room'!$B$19:$H$19,1,WEEKDAY($A157,2))*(1+'Control Room'!$D$9)^155*'Process'!AO157),2),"")</x:f>
      </x:c>
      <x:c r="K157" s="16" t="str">
        <x:f>IF(AND(AND(156&lt;='Control Room'!$B$3,'Control Room'!$D$3="Ready"),9&lt;='Control Room'!$B$2),ROUND(MAX(0,'Process'!AS157*'Control Room'!$H$12*INDEX('Control Room'!$B$19:$H$19,1,WEEKDAY($A157,2))*(1+'Control Room'!$D$9)^155*'Process'!AT157),2),"")</x:f>
      </x:c>
      <x:c r="L157" s="16" t="str">
        <x:f>IF(AND(AND(156&lt;='Control Room'!$B$3,'Control Room'!$D$3="Ready"),10&lt;='Control Room'!$B$2),ROUND(MAX(0,'Process'!AX157*'Control Room'!$H$13*INDEX('Control Room'!$B$19:$H$19,1,WEEKDAY($A157,2))*(1+'Control Room'!$D$9)^155*'Process'!AY157),2),"")</x:f>
      </x:c>
      <x:c r="M157" s="16" t="str">
        <x:f>IF(AND(AND(156&lt;='Control Room'!$B$3,'Control Room'!$D$3="Ready"),11&lt;='Control Room'!$B$2),ROUND(MAX(0,'Process'!BC157*'Control Room'!$H$14*INDEX('Control Room'!$B$19:$H$19,1,WEEKDAY($A157,2))*(1+'Control Room'!$D$9)^155*'Process'!BD157),2),"")</x:f>
      </x:c>
      <x:c r="N157" s="16" t="str">
        <x:f>IF(AND(AND(156&lt;='Control Room'!$B$3,'Control Room'!$D$3="Ready"),12&lt;='Control Room'!$B$2),ROUND(MAX(0,'Process'!BH157*'Control Room'!$H$15*INDEX('Control Room'!$B$19:$H$19,1,WEEKDAY($A157,2))*(1+'Control Room'!$D$9)^155*'Process'!BI157),2),"")</x:f>
      </x:c>
    </x:row>
    <x:row r="158" ht="21" customHeight="1">
      <x:c r="A158" s="15" t="str">
        <x:f>IF(AND(157&lt;='Control Room'!$B$3,'Control Room'!$D$3="Ready"),'Process'!A158,"")</x:f>
      </x:c>
      <x:c r="B158" s="16" t="str">
        <x:f>IF(A158="","",SUM(C158:N158))</x:f>
      </x:c>
      <x:c r="C158" s="16" t="str">
        <x:f>IF(AND(AND(157&lt;='Control Room'!$B$3,'Control Room'!$D$3="Ready"),1&lt;='Control Room'!$B$2),ROUND(MAX(0,'Process'!E158*'Control Room'!$H$4*INDEX('Control Room'!$B$19:$H$19,1,WEEKDAY($A158,2))*(1+'Control Room'!$D$9)^156*'Process'!F158),2),"")</x:f>
      </x:c>
      <x:c r="D158" s="16" t="str">
        <x:f>IF(AND(AND(157&lt;='Control Room'!$B$3,'Control Room'!$D$3="Ready"),2&lt;='Control Room'!$B$2),ROUND(MAX(0,'Process'!J158*'Control Room'!$H$5*INDEX('Control Room'!$B$19:$H$19,1,WEEKDAY($A158,2))*(1+'Control Room'!$D$9)^156*'Process'!K158),2),"")</x:f>
      </x:c>
      <x:c r="E158" s="16" t="str">
        <x:f>IF(AND(AND(157&lt;='Control Room'!$B$3,'Control Room'!$D$3="Ready"),3&lt;='Control Room'!$B$2),ROUND(MAX(0,'Process'!O158*'Control Room'!$H$6*INDEX('Control Room'!$B$19:$H$19,1,WEEKDAY($A158,2))*(1+'Control Room'!$D$9)^156*'Process'!P158),2),"")</x:f>
      </x:c>
      <x:c r="F158" s="16" t="str">
        <x:f>IF(AND(AND(157&lt;='Control Room'!$B$3,'Control Room'!$D$3="Ready"),4&lt;='Control Room'!$B$2),ROUND(MAX(0,'Process'!T158*'Control Room'!$H$7*INDEX('Control Room'!$B$19:$H$19,1,WEEKDAY($A158,2))*(1+'Control Room'!$D$9)^156*'Process'!U158),2),"")</x:f>
      </x:c>
      <x:c r="G158" s="16" t="str">
        <x:f>IF(AND(AND(157&lt;='Control Room'!$B$3,'Control Room'!$D$3="Ready"),5&lt;='Control Room'!$B$2),ROUND(MAX(0,'Process'!Y158*'Control Room'!$H$8*INDEX('Control Room'!$B$19:$H$19,1,WEEKDAY($A158,2))*(1+'Control Room'!$D$9)^156*'Process'!Z158),2),"")</x:f>
      </x:c>
      <x:c r="H158" s="16" t="str">
        <x:f>IF(AND(AND(157&lt;='Control Room'!$B$3,'Control Room'!$D$3="Ready"),6&lt;='Control Room'!$B$2),ROUND(MAX(0,'Process'!AD158*'Control Room'!$H$9*INDEX('Control Room'!$B$19:$H$19,1,WEEKDAY($A158,2))*(1+'Control Room'!$D$9)^156*'Process'!AE158),2),"")</x:f>
      </x:c>
      <x:c r="I158" s="16" t="str">
        <x:f>IF(AND(AND(157&lt;='Control Room'!$B$3,'Control Room'!$D$3="Ready"),7&lt;='Control Room'!$B$2),ROUND(MAX(0,'Process'!AI158*'Control Room'!$H$10*INDEX('Control Room'!$B$19:$H$19,1,WEEKDAY($A158,2))*(1+'Control Room'!$D$9)^156*'Process'!AJ158),2),"")</x:f>
      </x:c>
      <x:c r="J158" s="16" t="str">
        <x:f>IF(AND(AND(157&lt;='Control Room'!$B$3,'Control Room'!$D$3="Ready"),8&lt;='Control Room'!$B$2),ROUND(MAX(0,'Process'!AN158*'Control Room'!$H$11*INDEX('Control Room'!$B$19:$H$19,1,WEEKDAY($A158,2))*(1+'Control Room'!$D$9)^156*'Process'!AO158),2),"")</x:f>
      </x:c>
      <x:c r="K158" s="16" t="str">
        <x:f>IF(AND(AND(157&lt;='Control Room'!$B$3,'Control Room'!$D$3="Ready"),9&lt;='Control Room'!$B$2),ROUND(MAX(0,'Process'!AS158*'Control Room'!$H$12*INDEX('Control Room'!$B$19:$H$19,1,WEEKDAY($A158,2))*(1+'Control Room'!$D$9)^156*'Process'!AT158),2),"")</x:f>
      </x:c>
      <x:c r="L158" s="16" t="str">
        <x:f>IF(AND(AND(157&lt;='Control Room'!$B$3,'Control Room'!$D$3="Ready"),10&lt;='Control Room'!$B$2),ROUND(MAX(0,'Process'!AX158*'Control Room'!$H$13*INDEX('Control Room'!$B$19:$H$19,1,WEEKDAY($A158,2))*(1+'Control Room'!$D$9)^156*'Process'!AY158),2),"")</x:f>
      </x:c>
      <x:c r="M158" s="16" t="str">
        <x:f>IF(AND(AND(157&lt;='Control Room'!$B$3,'Control Room'!$D$3="Ready"),11&lt;='Control Room'!$B$2),ROUND(MAX(0,'Process'!BC158*'Control Room'!$H$14*INDEX('Control Room'!$B$19:$H$19,1,WEEKDAY($A158,2))*(1+'Control Room'!$D$9)^156*'Process'!BD158),2),"")</x:f>
      </x:c>
      <x:c r="N158" s="16" t="str">
        <x:f>IF(AND(AND(157&lt;='Control Room'!$B$3,'Control Room'!$D$3="Ready"),12&lt;='Control Room'!$B$2),ROUND(MAX(0,'Process'!BH158*'Control Room'!$H$15*INDEX('Control Room'!$B$19:$H$19,1,WEEKDAY($A158,2))*(1+'Control Room'!$D$9)^156*'Process'!BI158),2),"")</x:f>
      </x:c>
    </x:row>
    <x:row r="159" ht="21" customHeight="1">
      <x:c r="A159" s="15" t="str">
        <x:f>IF(AND(158&lt;='Control Room'!$B$3,'Control Room'!$D$3="Ready"),'Process'!A159,"")</x:f>
      </x:c>
      <x:c r="B159" s="16" t="str">
        <x:f>IF(A159="","",SUM(C159:N159))</x:f>
      </x:c>
      <x:c r="C159" s="16" t="str">
        <x:f>IF(AND(AND(158&lt;='Control Room'!$B$3,'Control Room'!$D$3="Ready"),1&lt;='Control Room'!$B$2),ROUND(MAX(0,'Process'!E159*'Control Room'!$H$4*INDEX('Control Room'!$B$19:$H$19,1,WEEKDAY($A159,2))*(1+'Control Room'!$D$9)^157*'Process'!F159),2),"")</x:f>
      </x:c>
      <x:c r="D159" s="16" t="str">
        <x:f>IF(AND(AND(158&lt;='Control Room'!$B$3,'Control Room'!$D$3="Ready"),2&lt;='Control Room'!$B$2),ROUND(MAX(0,'Process'!J159*'Control Room'!$H$5*INDEX('Control Room'!$B$19:$H$19,1,WEEKDAY($A159,2))*(1+'Control Room'!$D$9)^157*'Process'!K159),2),"")</x:f>
      </x:c>
      <x:c r="E159" s="16" t="str">
        <x:f>IF(AND(AND(158&lt;='Control Room'!$B$3,'Control Room'!$D$3="Ready"),3&lt;='Control Room'!$B$2),ROUND(MAX(0,'Process'!O159*'Control Room'!$H$6*INDEX('Control Room'!$B$19:$H$19,1,WEEKDAY($A159,2))*(1+'Control Room'!$D$9)^157*'Process'!P159),2),"")</x:f>
      </x:c>
      <x:c r="F159" s="16" t="str">
        <x:f>IF(AND(AND(158&lt;='Control Room'!$B$3,'Control Room'!$D$3="Ready"),4&lt;='Control Room'!$B$2),ROUND(MAX(0,'Process'!T159*'Control Room'!$H$7*INDEX('Control Room'!$B$19:$H$19,1,WEEKDAY($A159,2))*(1+'Control Room'!$D$9)^157*'Process'!U159),2),"")</x:f>
      </x:c>
      <x:c r="G159" s="16" t="str">
        <x:f>IF(AND(AND(158&lt;='Control Room'!$B$3,'Control Room'!$D$3="Ready"),5&lt;='Control Room'!$B$2),ROUND(MAX(0,'Process'!Y159*'Control Room'!$H$8*INDEX('Control Room'!$B$19:$H$19,1,WEEKDAY($A159,2))*(1+'Control Room'!$D$9)^157*'Process'!Z159),2),"")</x:f>
      </x:c>
      <x:c r="H159" s="16" t="str">
        <x:f>IF(AND(AND(158&lt;='Control Room'!$B$3,'Control Room'!$D$3="Ready"),6&lt;='Control Room'!$B$2),ROUND(MAX(0,'Process'!AD159*'Control Room'!$H$9*INDEX('Control Room'!$B$19:$H$19,1,WEEKDAY($A159,2))*(1+'Control Room'!$D$9)^157*'Process'!AE159),2),"")</x:f>
      </x:c>
      <x:c r="I159" s="16" t="str">
        <x:f>IF(AND(AND(158&lt;='Control Room'!$B$3,'Control Room'!$D$3="Ready"),7&lt;='Control Room'!$B$2),ROUND(MAX(0,'Process'!AI159*'Control Room'!$H$10*INDEX('Control Room'!$B$19:$H$19,1,WEEKDAY($A159,2))*(1+'Control Room'!$D$9)^157*'Process'!AJ159),2),"")</x:f>
      </x:c>
      <x:c r="J159" s="16" t="str">
        <x:f>IF(AND(AND(158&lt;='Control Room'!$B$3,'Control Room'!$D$3="Ready"),8&lt;='Control Room'!$B$2),ROUND(MAX(0,'Process'!AN159*'Control Room'!$H$11*INDEX('Control Room'!$B$19:$H$19,1,WEEKDAY($A159,2))*(1+'Control Room'!$D$9)^157*'Process'!AO159),2),"")</x:f>
      </x:c>
      <x:c r="K159" s="16" t="str">
        <x:f>IF(AND(AND(158&lt;='Control Room'!$B$3,'Control Room'!$D$3="Ready"),9&lt;='Control Room'!$B$2),ROUND(MAX(0,'Process'!AS159*'Control Room'!$H$12*INDEX('Control Room'!$B$19:$H$19,1,WEEKDAY($A159,2))*(1+'Control Room'!$D$9)^157*'Process'!AT159),2),"")</x:f>
      </x:c>
      <x:c r="L159" s="16" t="str">
        <x:f>IF(AND(AND(158&lt;='Control Room'!$B$3,'Control Room'!$D$3="Ready"),10&lt;='Control Room'!$B$2),ROUND(MAX(0,'Process'!AX159*'Control Room'!$H$13*INDEX('Control Room'!$B$19:$H$19,1,WEEKDAY($A159,2))*(1+'Control Room'!$D$9)^157*'Process'!AY159),2),"")</x:f>
      </x:c>
      <x:c r="M159" s="16" t="str">
        <x:f>IF(AND(AND(158&lt;='Control Room'!$B$3,'Control Room'!$D$3="Ready"),11&lt;='Control Room'!$B$2),ROUND(MAX(0,'Process'!BC159*'Control Room'!$H$14*INDEX('Control Room'!$B$19:$H$19,1,WEEKDAY($A159,2))*(1+'Control Room'!$D$9)^157*'Process'!BD159),2),"")</x:f>
      </x:c>
      <x:c r="N159" s="16" t="str">
        <x:f>IF(AND(AND(158&lt;='Control Room'!$B$3,'Control Room'!$D$3="Ready"),12&lt;='Control Room'!$B$2),ROUND(MAX(0,'Process'!BH159*'Control Room'!$H$15*INDEX('Control Room'!$B$19:$H$19,1,WEEKDAY($A159,2))*(1+'Control Room'!$D$9)^157*'Process'!BI159),2),"")</x:f>
      </x:c>
    </x:row>
    <x:row r="160" ht="21" customHeight="1">
      <x:c r="A160" s="15" t="str">
        <x:f>IF(AND(159&lt;='Control Room'!$B$3,'Control Room'!$D$3="Ready"),'Process'!A160,"")</x:f>
      </x:c>
      <x:c r="B160" s="16" t="str">
        <x:f>IF(A160="","",SUM(C160:N160))</x:f>
      </x:c>
      <x:c r="C160" s="16" t="str">
        <x:f>IF(AND(AND(159&lt;='Control Room'!$B$3,'Control Room'!$D$3="Ready"),1&lt;='Control Room'!$B$2),ROUND(MAX(0,'Process'!E160*'Control Room'!$H$4*INDEX('Control Room'!$B$19:$H$19,1,WEEKDAY($A160,2))*(1+'Control Room'!$D$9)^158*'Process'!F160),2),"")</x:f>
      </x:c>
      <x:c r="D160" s="16" t="str">
        <x:f>IF(AND(AND(159&lt;='Control Room'!$B$3,'Control Room'!$D$3="Ready"),2&lt;='Control Room'!$B$2),ROUND(MAX(0,'Process'!J160*'Control Room'!$H$5*INDEX('Control Room'!$B$19:$H$19,1,WEEKDAY($A160,2))*(1+'Control Room'!$D$9)^158*'Process'!K160),2),"")</x:f>
      </x:c>
      <x:c r="E160" s="16" t="str">
        <x:f>IF(AND(AND(159&lt;='Control Room'!$B$3,'Control Room'!$D$3="Ready"),3&lt;='Control Room'!$B$2),ROUND(MAX(0,'Process'!O160*'Control Room'!$H$6*INDEX('Control Room'!$B$19:$H$19,1,WEEKDAY($A160,2))*(1+'Control Room'!$D$9)^158*'Process'!P160),2),"")</x:f>
      </x:c>
      <x:c r="F160" s="16" t="str">
        <x:f>IF(AND(AND(159&lt;='Control Room'!$B$3,'Control Room'!$D$3="Ready"),4&lt;='Control Room'!$B$2),ROUND(MAX(0,'Process'!T160*'Control Room'!$H$7*INDEX('Control Room'!$B$19:$H$19,1,WEEKDAY($A160,2))*(1+'Control Room'!$D$9)^158*'Process'!U160),2),"")</x:f>
      </x:c>
      <x:c r="G160" s="16" t="str">
        <x:f>IF(AND(AND(159&lt;='Control Room'!$B$3,'Control Room'!$D$3="Ready"),5&lt;='Control Room'!$B$2),ROUND(MAX(0,'Process'!Y160*'Control Room'!$H$8*INDEX('Control Room'!$B$19:$H$19,1,WEEKDAY($A160,2))*(1+'Control Room'!$D$9)^158*'Process'!Z160),2),"")</x:f>
      </x:c>
      <x:c r="H160" s="16" t="str">
        <x:f>IF(AND(AND(159&lt;='Control Room'!$B$3,'Control Room'!$D$3="Ready"),6&lt;='Control Room'!$B$2),ROUND(MAX(0,'Process'!AD160*'Control Room'!$H$9*INDEX('Control Room'!$B$19:$H$19,1,WEEKDAY($A160,2))*(1+'Control Room'!$D$9)^158*'Process'!AE160),2),"")</x:f>
      </x:c>
      <x:c r="I160" s="16" t="str">
        <x:f>IF(AND(AND(159&lt;='Control Room'!$B$3,'Control Room'!$D$3="Ready"),7&lt;='Control Room'!$B$2),ROUND(MAX(0,'Process'!AI160*'Control Room'!$H$10*INDEX('Control Room'!$B$19:$H$19,1,WEEKDAY($A160,2))*(1+'Control Room'!$D$9)^158*'Process'!AJ160),2),"")</x:f>
      </x:c>
      <x:c r="J160" s="16" t="str">
        <x:f>IF(AND(AND(159&lt;='Control Room'!$B$3,'Control Room'!$D$3="Ready"),8&lt;='Control Room'!$B$2),ROUND(MAX(0,'Process'!AN160*'Control Room'!$H$11*INDEX('Control Room'!$B$19:$H$19,1,WEEKDAY($A160,2))*(1+'Control Room'!$D$9)^158*'Process'!AO160),2),"")</x:f>
      </x:c>
      <x:c r="K160" s="16" t="str">
        <x:f>IF(AND(AND(159&lt;='Control Room'!$B$3,'Control Room'!$D$3="Ready"),9&lt;='Control Room'!$B$2),ROUND(MAX(0,'Process'!AS160*'Control Room'!$H$12*INDEX('Control Room'!$B$19:$H$19,1,WEEKDAY($A160,2))*(1+'Control Room'!$D$9)^158*'Process'!AT160),2),"")</x:f>
      </x:c>
      <x:c r="L160" s="16" t="str">
        <x:f>IF(AND(AND(159&lt;='Control Room'!$B$3,'Control Room'!$D$3="Ready"),10&lt;='Control Room'!$B$2),ROUND(MAX(0,'Process'!AX160*'Control Room'!$H$13*INDEX('Control Room'!$B$19:$H$19,1,WEEKDAY($A160,2))*(1+'Control Room'!$D$9)^158*'Process'!AY160),2),"")</x:f>
      </x:c>
      <x:c r="M160" s="16" t="str">
        <x:f>IF(AND(AND(159&lt;='Control Room'!$B$3,'Control Room'!$D$3="Ready"),11&lt;='Control Room'!$B$2),ROUND(MAX(0,'Process'!BC160*'Control Room'!$H$14*INDEX('Control Room'!$B$19:$H$19,1,WEEKDAY($A160,2))*(1+'Control Room'!$D$9)^158*'Process'!BD160),2),"")</x:f>
      </x:c>
      <x:c r="N160" s="16" t="str">
        <x:f>IF(AND(AND(159&lt;='Control Room'!$B$3,'Control Room'!$D$3="Ready"),12&lt;='Control Room'!$B$2),ROUND(MAX(0,'Process'!BH160*'Control Room'!$H$15*INDEX('Control Room'!$B$19:$H$19,1,WEEKDAY($A160,2))*(1+'Control Room'!$D$9)^158*'Process'!BI160),2),"")</x:f>
      </x:c>
    </x:row>
    <x:row r="161" ht="21" customHeight="1">
      <x:c r="A161" s="15" t="str">
        <x:f>IF(AND(160&lt;='Control Room'!$B$3,'Control Room'!$D$3="Ready"),'Process'!A161,"")</x:f>
      </x:c>
      <x:c r="B161" s="16" t="str">
        <x:f>IF(A161="","",SUM(C161:N161))</x:f>
      </x:c>
      <x:c r="C161" s="16" t="str">
        <x:f>IF(AND(AND(160&lt;='Control Room'!$B$3,'Control Room'!$D$3="Ready"),1&lt;='Control Room'!$B$2),ROUND(MAX(0,'Process'!E161*'Control Room'!$H$4*INDEX('Control Room'!$B$19:$H$19,1,WEEKDAY($A161,2))*(1+'Control Room'!$D$9)^159*'Process'!F161),2),"")</x:f>
      </x:c>
      <x:c r="D161" s="16" t="str">
        <x:f>IF(AND(AND(160&lt;='Control Room'!$B$3,'Control Room'!$D$3="Ready"),2&lt;='Control Room'!$B$2),ROUND(MAX(0,'Process'!J161*'Control Room'!$H$5*INDEX('Control Room'!$B$19:$H$19,1,WEEKDAY($A161,2))*(1+'Control Room'!$D$9)^159*'Process'!K161),2),"")</x:f>
      </x:c>
      <x:c r="E161" s="16" t="str">
        <x:f>IF(AND(AND(160&lt;='Control Room'!$B$3,'Control Room'!$D$3="Ready"),3&lt;='Control Room'!$B$2),ROUND(MAX(0,'Process'!O161*'Control Room'!$H$6*INDEX('Control Room'!$B$19:$H$19,1,WEEKDAY($A161,2))*(1+'Control Room'!$D$9)^159*'Process'!P161),2),"")</x:f>
      </x:c>
      <x:c r="F161" s="16" t="str">
        <x:f>IF(AND(AND(160&lt;='Control Room'!$B$3,'Control Room'!$D$3="Ready"),4&lt;='Control Room'!$B$2),ROUND(MAX(0,'Process'!T161*'Control Room'!$H$7*INDEX('Control Room'!$B$19:$H$19,1,WEEKDAY($A161,2))*(1+'Control Room'!$D$9)^159*'Process'!U161),2),"")</x:f>
      </x:c>
      <x:c r="G161" s="16" t="str">
        <x:f>IF(AND(AND(160&lt;='Control Room'!$B$3,'Control Room'!$D$3="Ready"),5&lt;='Control Room'!$B$2),ROUND(MAX(0,'Process'!Y161*'Control Room'!$H$8*INDEX('Control Room'!$B$19:$H$19,1,WEEKDAY($A161,2))*(1+'Control Room'!$D$9)^159*'Process'!Z161),2),"")</x:f>
      </x:c>
      <x:c r="H161" s="16" t="str">
        <x:f>IF(AND(AND(160&lt;='Control Room'!$B$3,'Control Room'!$D$3="Ready"),6&lt;='Control Room'!$B$2),ROUND(MAX(0,'Process'!AD161*'Control Room'!$H$9*INDEX('Control Room'!$B$19:$H$19,1,WEEKDAY($A161,2))*(1+'Control Room'!$D$9)^159*'Process'!AE161),2),"")</x:f>
      </x:c>
      <x:c r="I161" s="16" t="str">
        <x:f>IF(AND(AND(160&lt;='Control Room'!$B$3,'Control Room'!$D$3="Ready"),7&lt;='Control Room'!$B$2),ROUND(MAX(0,'Process'!AI161*'Control Room'!$H$10*INDEX('Control Room'!$B$19:$H$19,1,WEEKDAY($A161,2))*(1+'Control Room'!$D$9)^159*'Process'!AJ161),2),"")</x:f>
      </x:c>
      <x:c r="J161" s="16" t="str">
        <x:f>IF(AND(AND(160&lt;='Control Room'!$B$3,'Control Room'!$D$3="Ready"),8&lt;='Control Room'!$B$2),ROUND(MAX(0,'Process'!AN161*'Control Room'!$H$11*INDEX('Control Room'!$B$19:$H$19,1,WEEKDAY($A161,2))*(1+'Control Room'!$D$9)^159*'Process'!AO161),2),"")</x:f>
      </x:c>
      <x:c r="K161" s="16" t="str">
        <x:f>IF(AND(AND(160&lt;='Control Room'!$B$3,'Control Room'!$D$3="Ready"),9&lt;='Control Room'!$B$2),ROUND(MAX(0,'Process'!AS161*'Control Room'!$H$12*INDEX('Control Room'!$B$19:$H$19,1,WEEKDAY($A161,2))*(1+'Control Room'!$D$9)^159*'Process'!AT161),2),"")</x:f>
      </x:c>
      <x:c r="L161" s="16" t="str">
        <x:f>IF(AND(AND(160&lt;='Control Room'!$B$3,'Control Room'!$D$3="Ready"),10&lt;='Control Room'!$B$2),ROUND(MAX(0,'Process'!AX161*'Control Room'!$H$13*INDEX('Control Room'!$B$19:$H$19,1,WEEKDAY($A161,2))*(1+'Control Room'!$D$9)^159*'Process'!AY161),2),"")</x:f>
      </x:c>
      <x:c r="M161" s="16" t="str">
        <x:f>IF(AND(AND(160&lt;='Control Room'!$B$3,'Control Room'!$D$3="Ready"),11&lt;='Control Room'!$B$2),ROUND(MAX(0,'Process'!BC161*'Control Room'!$H$14*INDEX('Control Room'!$B$19:$H$19,1,WEEKDAY($A161,2))*(1+'Control Room'!$D$9)^159*'Process'!BD161),2),"")</x:f>
      </x:c>
      <x:c r="N161" s="16" t="str">
        <x:f>IF(AND(AND(160&lt;='Control Room'!$B$3,'Control Room'!$D$3="Ready"),12&lt;='Control Room'!$B$2),ROUND(MAX(0,'Process'!BH161*'Control Room'!$H$15*INDEX('Control Room'!$B$19:$H$19,1,WEEKDAY($A161,2))*(1+'Control Room'!$D$9)^159*'Process'!BI161),2),"")</x:f>
      </x:c>
    </x:row>
    <x:row r="162" ht="21" customHeight="1">
      <x:c r="A162" s="15" t="str">
        <x:f>IF(AND(161&lt;='Control Room'!$B$3,'Control Room'!$D$3="Ready"),'Process'!A162,"")</x:f>
      </x:c>
      <x:c r="B162" s="16" t="str">
        <x:f>IF(A162="","",SUM(C162:N162))</x:f>
      </x:c>
      <x:c r="C162" s="16" t="str">
        <x:f>IF(AND(AND(161&lt;='Control Room'!$B$3,'Control Room'!$D$3="Ready"),1&lt;='Control Room'!$B$2),ROUND(MAX(0,'Process'!E162*'Control Room'!$H$4*INDEX('Control Room'!$B$19:$H$19,1,WEEKDAY($A162,2))*(1+'Control Room'!$D$9)^160*'Process'!F162),2),"")</x:f>
      </x:c>
      <x:c r="D162" s="16" t="str">
        <x:f>IF(AND(AND(161&lt;='Control Room'!$B$3,'Control Room'!$D$3="Ready"),2&lt;='Control Room'!$B$2),ROUND(MAX(0,'Process'!J162*'Control Room'!$H$5*INDEX('Control Room'!$B$19:$H$19,1,WEEKDAY($A162,2))*(1+'Control Room'!$D$9)^160*'Process'!K162),2),"")</x:f>
      </x:c>
      <x:c r="E162" s="16" t="str">
        <x:f>IF(AND(AND(161&lt;='Control Room'!$B$3,'Control Room'!$D$3="Ready"),3&lt;='Control Room'!$B$2),ROUND(MAX(0,'Process'!O162*'Control Room'!$H$6*INDEX('Control Room'!$B$19:$H$19,1,WEEKDAY($A162,2))*(1+'Control Room'!$D$9)^160*'Process'!P162),2),"")</x:f>
      </x:c>
      <x:c r="F162" s="16" t="str">
        <x:f>IF(AND(AND(161&lt;='Control Room'!$B$3,'Control Room'!$D$3="Ready"),4&lt;='Control Room'!$B$2),ROUND(MAX(0,'Process'!T162*'Control Room'!$H$7*INDEX('Control Room'!$B$19:$H$19,1,WEEKDAY($A162,2))*(1+'Control Room'!$D$9)^160*'Process'!U162),2),"")</x:f>
      </x:c>
      <x:c r="G162" s="16" t="str">
        <x:f>IF(AND(AND(161&lt;='Control Room'!$B$3,'Control Room'!$D$3="Ready"),5&lt;='Control Room'!$B$2),ROUND(MAX(0,'Process'!Y162*'Control Room'!$H$8*INDEX('Control Room'!$B$19:$H$19,1,WEEKDAY($A162,2))*(1+'Control Room'!$D$9)^160*'Process'!Z162),2),"")</x:f>
      </x:c>
      <x:c r="H162" s="16" t="str">
        <x:f>IF(AND(AND(161&lt;='Control Room'!$B$3,'Control Room'!$D$3="Ready"),6&lt;='Control Room'!$B$2),ROUND(MAX(0,'Process'!AD162*'Control Room'!$H$9*INDEX('Control Room'!$B$19:$H$19,1,WEEKDAY($A162,2))*(1+'Control Room'!$D$9)^160*'Process'!AE162),2),"")</x:f>
      </x:c>
      <x:c r="I162" s="16" t="str">
        <x:f>IF(AND(AND(161&lt;='Control Room'!$B$3,'Control Room'!$D$3="Ready"),7&lt;='Control Room'!$B$2),ROUND(MAX(0,'Process'!AI162*'Control Room'!$H$10*INDEX('Control Room'!$B$19:$H$19,1,WEEKDAY($A162,2))*(1+'Control Room'!$D$9)^160*'Process'!AJ162),2),"")</x:f>
      </x:c>
      <x:c r="J162" s="16" t="str">
        <x:f>IF(AND(AND(161&lt;='Control Room'!$B$3,'Control Room'!$D$3="Ready"),8&lt;='Control Room'!$B$2),ROUND(MAX(0,'Process'!AN162*'Control Room'!$H$11*INDEX('Control Room'!$B$19:$H$19,1,WEEKDAY($A162,2))*(1+'Control Room'!$D$9)^160*'Process'!AO162),2),"")</x:f>
      </x:c>
      <x:c r="K162" s="16" t="str">
        <x:f>IF(AND(AND(161&lt;='Control Room'!$B$3,'Control Room'!$D$3="Ready"),9&lt;='Control Room'!$B$2),ROUND(MAX(0,'Process'!AS162*'Control Room'!$H$12*INDEX('Control Room'!$B$19:$H$19,1,WEEKDAY($A162,2))*(1+'Control Room'!$D$9)^160*'Process'!AT162),2),"")</x:f>
      </x:c>
      <x:c r="L162" s="16" t="str">
        <x:f>IF(AND(AND(161&lt;='Control Room'!$B$3,'Control Room'!$D$3="Ready"),10&lt;='Control Room'!$B$2),ROUND(MAX(0,'Process'!AX162*'Control Room'!$H$13*INDEX('Control Room'!$B$19:$H$19,1,WEEKDAY($A162,2))*(1+'Control Room'!$D$9)^160*'Process'!AY162),2),"")</x:f>
      </x:c>
      <x:c r="M162" s="16" t="str">
        <x:f>IF(AND(AND(161&lt;='Control Room'!$B$3,'Control Room'!$D$3="Ready"),11&lt;='Control Room'!$B$2),ROUND(MAX(0,'Process'!BC162*'Control Room'!$H$14*INDEX('Control Room'!$B$19:$H$19,1,WEEKDAY($A162,2))*(1+'Control Room'!$D$9)^160*'Process'!BD162),2),"")</x:f>
      </x:c>
      <x:c r="N162" s="16" t="str">
        <x:f>IF(AND(AND(161&lt;='Control Room'!$B$3,'Control Room'!$D$3="Ready"),12&lt;='Control Room'!$B$2),ROUND(MAX(0,'Process'!BH162*'Control Room'!$H$15*INDEX('Control Room'!$B$19:$H$19,1,WEEKDAY($A162,2))*(1+'Control Room'!$D$9)^160*'Process'!BI162),2),"")</x:f>
      </x:c>
    </x:row>
    <x:row r="163" ht="21" customHeight="1">
      <x:c r="A163" s="15" t="str">
        <x:f>IF(AND(162&lt;='Control Room'!$B$3,'Control Room'!$D$3="Ready"),'Process'!A163,"")</x:f>
      </x:c>
      <x:c r="B163" s="16" t="str">
        <x:f>IF(A163="","",SUM(C163:N163))</x:f>
      </x:c>
      <x:c r="C163" s="16" t="str">
        <x:f>IF(AND(AND(162&lt;='Control Room'!$B$3,'Control Room'!$D$3="Ready"),1&lt;='Control Room'!$B$2),ROUND(MAX(0,'Process'!E163*'Control Room'!$H$4*INDEX('Control Room'!$B$19:$H$19,1,WEEKDAY($A163,2))*(1+'Control Room'!$D$9)^161*'Process'!F163),2),"")</x:f>
      </x:c>
      <x:c r="D163" s="16" t="str">
        <x:f>IF(AND(AND(162&lt;='Control Room'!$B$3,'Control Room'!$D$3="Ready"),2&lt;='Control Room'!$B$2),ROUND(MAX(0,'Process'!J163*'Control Room'!$H$5*INDEX('Control Room'!$B$19:$H$19,1,WEEKDAY($A163,2))*(1+'Control Room'!$D$9)^161*'Process'!K163),2),"")</x:f>
      </x:c>
      <x:c r="E163" s="16" t="str">
        <x:f>IF(AND(AND(162&lt;='Control Room'!$B$3,'Control Room'!$D$3="Ready"),3&lt;='Control Room'!$B$2),ROUND(MAX(0,'Process'!O163*'Control Room'!$H$6*INDEX('Control Room'!$B$19:$H$19,1,WEEKDAY($A163,2))*(1+'Control Room'!$D$9)^161*'Process'!P163),2),"")</x:f>
      </x:c>
      <x:c r="F163" s="16" t="str">
        <x:f>IF(AND(AND(162&lt;='Control Room'!$B$3,'Control Room'!$D$3="Ready"),4&lt;='Control Room'!$B$2),ROUND(MAX(0,'Process'!T163*'Control Room'!$H$7*INDEX('Control Room'!$B$19:$H$19,1,WEEKDAY($A163,2))*(1+'Control Room'!$D$9)^161*'Process'!U163),2),"")</x:f>
      </x:c>
      <x:c r="G163" s="16" t="str">
        <x:f>IF(AND(AND(162&lt;='Control Room'!$B$3,'Control Room'!$D$3="Ready"),5&lt;='Control Room'!$B$2),ROUND(MAX(0,'Process'!Y163*'Control Room'!$H$8*INDEX('Control Room'!$B$19:$H$19,1,WEEKDAY($A163,2))*(1+'Control Room'!$D$9)^161*'Process'!Z163),2),"")</x:f>
      </x:c>
      <x:c r="H163" s="16" t="str">
        <x:f>IF(AND(AND(162&lt;='Control Room'!$B$3,'Control Room'!$D$3="Ready"),6&lt;='Control Room'!$B$2),ROUND(MAX(0,'Process'!AD163*'Control Room'!$H$9*INDEX('Control Room'!$B$19:$H$19,1,WEEKDAY($A163,2))*(1+'Control Room'!$D$9)^161*'Process'!AE163),2),"")</x:f>
      </x:c>
      <x:c r="I163" s="16" t="str">
        <x:f>IF(AND(AND(162&lt;='Control Room'!$B$3,'Control Room'!$D$3="Ready"),7&lt;='Control Room'!$B$2),ROUND(MAX(0,'Process'!AI163*'Control Room'!$H$10*INDEX('Control Room'!$B$19:$H$19,1,WEEKDAY($A163,2))*(1+'Control Room'!$D$9)^161*'Process'!AJ163),2),"")</x:f>
      </x:c>
      <x:c r="J163" s="16" t="str">
        <x:f>IF(AND(AND(162&lt;='Control Room'!$B$3,'Control Room'!$D$3="Ready"),8&lt;='Control Room'!$B$2),ROUND(MAX(0,'Process'!AN163*'Control Room'!$H$11*INDEX('Control Room'!$B$19:$H$19,1,WEEKDAY($A163,2))*(1+'Control Room'!$D$9)^161*'Process'!AO163),2),"")</x:f>
      </x:c>
      <x:c r="K163" s="16" t="str">
        <x:f>IF(AND(AND(162&lt;='Control Room'!$B$3,'Control Room'!$D$3="Ready"),9&lt;='Control Room'!$B$2),ROUND(MAX(0,'Process'!AS163*'Control Room'!$H$12*INDEX('Control Room'!$B$19:$H$19,1,WEEKDAY($A163,2))*(1+'Control Room'!$D$9)^161*'Process'!AT163),2),"")</x:f>
      </x:c>
      <x:c r="L163" s="16" t="str">
        <x:f>IF(AND(AND(162&lt;='Control Room'!$B$3,'Control Room'!$D$3="Ready"),10&lt;='Control Room'!$B$2),ROUND(MAX(0,'Process'!AX163*'Control Room'!$H$13*INDEX('Control Room'!$B$19:$H$19,1,WEEKDAY($A163,2))*(1+'Control Room'!$D$9)^161*'Process'!AY163),2),"")</x:f>
      </x:c>
      <x:c r="M163" s="16" t="str">
        <x:f>IF(AND(AND(162&lt;='Control Room'!$B$3,'Control Room'!$D$3="Ready"),11&lt;='Control Room'!$B$2),ROUND(MAX(0,'Process'!BC163*'Control Room'!$H$14*INDEX('Control Room'!$B$19:$H$19,1,WEEKDAY($A163,2))*(1+'Control Room'!$D$9)^161*'Process'!BD163),2),"")</x:f>
      </x:c>
      <x:c r="N163" s="16" t="str">
        <x:f>IF(AND(AND(162&lt;='Control Room'!$B$3,'Control Room'!$D$3="Ready"),12&lt;='Control Room'!$B$2),ROUND(MAX(0,'Process'!BH163*'Control Room'!$H$15*INDEX('Control Room'!$B$19:$H$19,1,WEEKDAY($A163,2))*(1+'Control Room'!$D$9)^161*'Process'!BI163),2),"")</x:f>
      </x:c>
    </x:row>
    <x:row r="164" ht="21" customHeight="1">
      <x:c r="A164" s="15" t="str">
        <x:f>IF(AND(163&lt;='Control Room'!$B$3,'Control Room'!$D$3="Ready"),'Process'!A164,"")</x:f>
      </x:c>
      <x:c r="B164" s="16" t="str">
        <x:f>IF(A164="","",SUM(C164:N164))</x:f>
      </x:c>
      <x:c r="C164" s="16" t="str">
        <x:f>IF(AND(AND(163&lt;='Control Room'!$B$3,'Control Room'!$D$3="Ready"),1&lt;='Control Room'!$B$2),ROUND(MAX(0,'Process'!E164*'Control Room'!$H$4*INDEX('Control Room'!$B$19:$H$19,1,WEEKDAY($A164,2))*(1+'Control Room'!$D$9)^162*'Process'!F164),2),"")</x:f>
      </x:c>
      <x:c r="D164" s="16" t="str">
        <x:f>IF(AND(AND(163&lt;='Control Room'!$B$3,'Control Room'!$D$3="Ready"),2&lt;='Control Room'!$B$2),ROUND(MAX(0,'Process'!J164*'Control Room'!$H$5*INDEX('Control Room'!$B$19:$H$19,1,WEEKDAY($A164,2))*(1+'Control Room'!$D$9)^162*'Process'!K164),2),"")</x:f>
      </x:c>
      <x:c r="E164" s="16" t="str">
        <x:f>IF(AND(AND(163&lt;='Control Room'!$B$3,'Control Room'!$D$3="Ready"),3&lt;='Control Room'!$B$2),ROUND(MAX(0,'Process'!O164*'Control Room'!$H$6*INDEX('Control Room'!$B$19:$H$19,1,WEEKDAY($A164,2))*(1+'Control Room'!$D$9)^162*'Process'!P164),2),"")</x:f>
      </x:c>
      <x:c r="F164" s="16" t="str">
        <x:f>IF(AND(AND(163&lt;='Control Room'!$B$3,'Control Room'!$D$3="Ready"),4&lt;='Control Room'!$B$2),ROUND(MAX(0,'Process'!T164*'Control Room'!$H$7*INDEX('Control Room'!$B$19:$H$19,1,WEEKDAY($A164,2))*(1+'Control Room'!$D$9)^162*'Process'!U164),2),"")</x:f>
      </x:c>
      <x:c r="G164" s="16" t="str">
        <x:f>IF(AND(AND(163&lt;='Control Room'!$B$3,'Control Room'!$D$3="Ready"),5&lt;='Control Room'!$B$2),ROUND(MAX(0,'Process'!Y164*'Control Room'!$H$8*INDEX('Control Room'!$B$19:$H$19,1,WEEKDAY($A164,2))*(1+'Control Room'!$D$9)^162*'Process'!Z164),2),"")</x:f>
      </x:c>
      <x:c r="H164" s="16" t="str">
        <x:f>IF(AND(AND(163&lt;='Control Room'!$B$3,'Control Room'!$D$3="Ready"),6&lt;='Control Room'!$B$2),ROUND(MAX(0,'Process'!AD164*'Control Room'!$H$9*INDEX('Control Room'!$B$19:$H$19,1,WEEKDAY($A164,2))*(1+'Control Room'!$D$9)^162*'Process'!AE164),2),"")</x:f>
      </x:c>
      <x:c r="I164" s="16" t="str">
        <x:f>IF(AND(AND(163&lt;='Control Room'!$B$3,'Control Room'!$D$3="Ready"),7&lt;='Control Room'!$B$2),ROUND(MAX(0,'Process'!AI164*'Control Room'!$H$10*INDEX('Control Room'!$B$19:$H$19,1,WEEKDAY($A164,2))*(1+'Control Room'!$D$9)^162*'Process'!AJ164),2),"")</x:f>
      </x:c>
      <x:c r="J164" s="16" t="str">
        <x:f>IF(AND(AND(163&lt;='Control Room'!$B$3,'Control Room'!$D$3="Ready"),8&lt;='Control Room'!$B$2),ROUND(MAX(0,'Process'!AN164*'Control Room'!$H$11*INDEX('Control Room'!$B$19:$H$19,1,WEEKDAY($A164,2))*(1+'Control Room'!$D$9)^162*'Process'!AO164),2),"")</x:f>
      </x:c>
      <x:c r="K164" s="16" t="str">
        <x:f>IF(AND(AND(163&lt;='Control Room'!$B$3,'Control Room'!$D$3="Ready"),9&lt;='Control Room'!$B$2),ROUND(MAX(0,'Process'!AS164*'Control Room'!$H$12*INDEX('Control Room'!$B$19:$H$19,1,WEEKDAY($A164,2))*(1+'Control Room'!$D$9)^162*'Process'!AT164),2),"")</x:f>
      </x:c>
      <x:c r="L164" s="16" t="str">
        <x:f>IF(AND(AND(163&lt;='Control Room'!$B$3,'Control Room'!$D$3="Ready"),10&lt;='Control Room'!$B$2),ROUND(MAX(0,'Process'!AX164*'Control Room'!$H$13*INDEX('Control Room'!$B$19:$H$19,1,WEEKDAY($A164,2))*(1+'Control Room'!$D$9)^162*'Process'!AY164),2),"")</x:f>
      </x:c>
      <x:c r="M164" s="16" t="str">
        <x:f>IF(AND(AND(163&lt;='Control Room'!$B$3,'Control Room'!$D$3="Ready"),11&lt;='Control Room'!$B$2),ROUND(MAX(0,'Process'!BC164*'Control Room'!$H$14*INDEX('Control Room'!$B$19:$H$19,1,WEEKDAY($A164,2))*(1+'Control Room'!$D$9)^162*'Process'!BD164),2),"")</x:f>
      </x:c>
      <x:c r="N164" s="16" t="str">
        <x:f>IF(AND(AND(163&lt;='Control Room'!$B$3,'Control Room'!$D$3="Ready"),12&lt;='Control Room'!$B$2),ROUND(MAX(0,'Process'!BH164*'Control Room'!$H$15*INDEX('Control Room'!$B$19:$H$19,1,WEEKDAY($A164,2))*(1+'Control Room'!$D$9)^162*'Process'!BI164),2),"")</x:f>
      </x:c>
    </x:row>
    <x:row r="165" ht="21" customHeight="1">
      <x:c r="A165" s="15" t="str">
        <x:f>IF(AND(164&lt;='Control Room'!$B$3,'Control Room'!$D$3="Ready"),'Process'!A165,"")</x:f>
      </x:c>
      <x:c r="B165" s="16" t="str">
        <x:f>IF(A165="","",SUM(C165:N165))</x:f>
      </x:c>
      <x:c r="C165" s="16" t="str">
        <x:f>IF(AND(AND(164&lt;='Control Room'!$B$3,'Control Room'!$D$3="Ready"),1&lt;='Control Room'!$B$2),ROUND(MAX(0,'Process'!E165*'Control Room'!$H$4*INDEX('Control Room'!$B$19:$H$19,1,WEEKDAY($A165,2))*(1+'Control Room'!$D$9)^163*'Process'!F165),2),"")</x:f>
      </x:c>
      <x:c r="D165" s="16" t="str">
        <x:f>IF(AND(AND(164&lt;='Control Room'!$B$3,'Control Room'!$D$3="Ready"),2&lt;='Control Room'!$B$2),ROUND(MAX(0,'Process'!J165*'Control Room'!$H$5*INDEX('Control Room'!$B$19:$H$19,1,WEEKDAY($A165,2))*(1+'Control Room'!$D$9)^163*'Process'!K165),2),"")</x:f>
      </x:c>
      <x:c r="E165" s="16" t="str">
        <x:f>IF(AND(AND(164&lt;='Control Room'!$B$3,'Control Room'!$D$3="Ready"),3&lt;='Control Room'!$B$2),ROUND(MAX(0,'Process'!O165*'Control Room'!$H$6*INDEX('Control Room'!$B$19:$H$19,1,WEEKDAY($A165,2))*(1+'Control Room'!$D$9)^163*'Process'!P165),2),"")</x:f>
      </x:c>
      <x:c r="F165" s="16" t="str">
        <x:f>IF(AND(AND(164&lt;='Control Room'!$B$3,'Control Room'!$D$3="Ready"),4&lt;='Control Room'!$B$2),ROUND(MAX(0,'Process'!T165*'Control Room'!$H$7*INDEX('Control Room'!$B$19:$H$19,1,WEEKDAY($A165,2))*(1+'Control Room'!$D$9)^163*'Process'!U165),2),"")</x:f>
      </x:c>
      <x:c r="G165" s="16" t="str">
        <x:f>IF(AND(AND(164&lt;='Control Room'!$B$3,'Control Room'!$D$3="Ready"),5&lt;='Control Room'!$B$2),ROUND(MAX(0,'Process'!Y165*'Control Room'!$H$8*INDEX('Control Room'!$B$19:$H$19,1,WEEKDAY($A165,2))*(1+'Control Room'!$D$9)^163*'Process'!Z165),2),"")</x:f>
      </x:c>
      <x:c r="H165" s="16" t="str">
        <x:f>IF(AND(AND(164&lt;='Control Room'!$B$3,'Control Room'!$D$3="Ready"),6&lt;='Control Room'!$B$2),ROUND(MAX(0,'Process'!AD165*'Control Room'!$H$9*INDEX('Control Room'!$B$19:$H$19,1,WEEKDAY($A165,2))*(1+'Control Room'!$D$9)^163*'Process'!AE165),2),"")</x:f>
      </x:c>
      <x:c r="I165" s="16" t="str">
        <x:f>IF(AND(AND(164&lt;='Control Room'!$B$3,'Control Room'!$D$3="Ready"),7&lt;='Control Room'!$B$2),ROUND(MAX(0,'Process'!AI165*'Control Room'!$H$10*INDEX('Control Room'!$B$19:$H$19,1,WEEKDAY($A165,2))*(1+'Control Room'!$D$9)^163*'Process'!AJ165),2),"")</x:f>
      </x:c>
      <x:c r="J165" s="16" t="str">
        <x:f>IF(AND(AND(164&lt;='Control Room'!$B$3,'Control Room'!$D$3="Ready"),8&lt;='Control Room'!$B$2),ROUND(MAX(0,'Process'!AN165*'Control Room'!$H$11*INDEX('Control Room'!$B$19:$H$19,1,WEEKDAY($A165,2))*(1+'Control Room'!$D$9)^163*'Process'!AO165),2),"")</x:f>
      </x:c>
      <x:c r="K165" s="16" t="str">
        <x:f>IF(AND(AND(164&lt;='Control Room'!$B$3,'Control Room'!$D$3="Ready"),9&lt;='Control Room'!$B$2),ROUND(MAX(0,'Process'!AS165*'Control Room'!$H$12*INDEX('Control Room'!$B$19:$H$19,1,WEEKDAY($A165,2))*(1+'Control Room'!$D$9)^163*'Process'!AT165),2),"")</x:f>
      </x:c>
      <x:c r="L165" s="16" t="str">
        <x:f>IF(AND(AND(164&lt;='Control Room'!$B$3,'Control Room'!$D$3="Ready"),10&lt;='Control Room'!$B$2),ROUND(MAX(0,'Process'!AX165*'Control Room'!$H$13*INDEX('Control Room'!$B$19:$H$19,1,WEEKDAY($A165,2))*(1+'Control Room'!$D$9)^163*'Process'!AY165),2),"")</x:f>
      </x:c>
      <x:c r="M165" s="16" t="str">
        <x:f>IF(AND(AND(164&lt;='Control Room'!$B$3,'Control Room'!$D$3="Ready"),11&lt;='Control Room'!$B$2),ROUND(MAX(0,'Process'!BC165*'Control Room'!$H$14*INDEX('Control Room'!$B$19:$H$19,1,WEEKDAY($A165,2))*(1+'Control Room'!$D$9)^163*'Process'!BD165),2),"")</x:f>
      </x:c>
      <x:c r="N165" s="16" t="str">
        <x:f>IF(AND(AND(164&lt;='Control Room'!$B$3,'Control Room'!$D$3="Ready"),12&lt;='Control Room'!$B$2),ROUND(MAX(0,'Process'!BH165*'Control Room'!$H$15*INDEX('Control Room'!$B$19:$H$19,1,WEEKDAY($A165,2))*(1+'Control Room'!$D$9)^163*'Process'!BI165),2),"")</x:f>
      </x:c>
    </x:row>
    <x:row r="166" ht="21" customHeight="1">
      <x:c r="A166" s="15" t="str">
        <x:f>IF(AND(165&lt;='Control Room'!$B$3,'Control Room'!$D$3="Ready"),'Process'!A166,"")</x:f>
      </x:c>
      <x:c r="B166" s="16" t="str">
        <x:f>IF(A166="","",SUM(C166:N166))</x:f>
      </x:c>
      <x:c r="C166" s="16" t="str">
        <x:f>IF(AND(AND(165&lt;='Control Room'!$B$3,'Control Room'!$D$3="Ready"),1&lt;='Control Room'!$B$2),ROUND(MAX(0,'Process'!E166*'Control Room'!$H$4*INDEX('Control Room'!$B$19:$H$19,1,WEEKDAY($A166,2))*(1+'Control Room'!$D$9)^164*'Process'!F166),2),"")</x:f>
      </x:c>
      <x:c r="D166" s="16" t="str">
        <x:f>IF(AND(AND(165&lt;='Control Room'!$B$3,'Control Room'!$D$3="Ready"),2&lt;='Control Room'!$B$2),ROUND(MAX(0,'Process'!J166*'Control Room'!$H$5*INDEX('Control Room'!$B$19:$H$19,1,WEEKDAY($A166,2))*(1+'Control Room'!$D$9)^164*'Process'!K166),2),"")</x:f>
      </x:c>
      <x:c r="E166" s="16" t="str">
        <x:f>IF(AND(AND(165&lt;='Control Room'!$B$3,'Control Room'!$D$3="Ready"),3&lt;='Control Room'!$B$2),ROUND(MAX(0,'Process'!O166*'Control Room'!$H$6*INDEX('Control Room'!$B$19:$H$19,1,WEEKDAY($A166,2))*(1+'Control Room'!$D$9)^164*'Process'!P166),2),"")</x:f>
      </x:c>
      <x:c r="F166" s="16" t="str">
        <x:f>IF(AND(AND(165&lt;='Control Room'!$B$3,'Control Room'!$D$3="Ready"),4&lt;='Control Room'!$B$2),ROUND(MAX(0,'Process'!T166*'Control Room'!$H$7*INDEX('Control Room'!$B$19:$H$19,1,WEEKDAY($A166,2))*(1+'Control Room'!$D$9)^164*'Process'!U166),2),"")</x:f>
      </x:c>
      <x:c r="G166" s="16" t="str">
        <x:f>IF(AND(AND(165&lt;='Control Room'!$B$3,'Control Room'!$D$3="Ready"),5&lt;='Control Room'!$B$2),ROUND(MAX(0,'Process'!Y166*'Control Room'!$H$8*INDEX('Control Room'!$B$19:$H$19,1,WEEKDAY($A166,2))*(1+'Control Room'!$D$9)^164*'Process'!Z166),2),"")</x:f>
      </x:c>
      <x:c r="H166" s="16" t="str">
        <x:f>IF(AND(AND(165&lt;='Control Room'!$B$3,'Control Room'!$D$3="Ready"),6&lt;='Control Room'!$B$2),ROUND(MAX(0,'Process'!AD166*'Control Room'!$H$9*INDEX('Control Room'!$B$19:$H$19,1,WEEKDAY($A166,2))*(1+'Control Room'!$D$9)^164*'Process'!AE166),2),"")</x:f>
      </x:c>
      <x:c r="I166" s="16" t="str">
        <x:f>IF(AND(AND(165&lt;='Control Room'!$B$3,'Control Room'!$D$3="Ready"),7&lt;='Control Room'!$B$2),ROUND(MAX(0,'Process'!AI166*'Control Room'!$H$10*INDEX('Control Room'!$B$19:$H$19,1,WEEKDAY($A166,2))*(1+'Control Room'!$D$9)^164*'Process'!AJ166),2),"")</x:f>
      </x:c>
      <x:c r="J166" s="16" t="str">
        <x:f>IF(AND(AND(165&lt;='Control Room'!$B$3,'Control Room'!$D$3="Ready"),8&lt;='Control Room'!$B$2),ROUND(MAX(0,'Process'!AN166*'Control Room'!$H$11*INDEX('Control Room'!$B$19:$H$19,1,WEEKDAY($A166,2))*(1+'Control Room'!$D$9)^164*'Process'!AO166),2),"")</x:f>
      </x:c>
      <x:c r="K166" s="16" t="str">
        <x:f>IF(AND(AND(165&lt;='Control Room'!$B$3,'Control Room'!$D$3="Ready"),9&lt;='Control Room'!$B$2),ROUND(MAX(0,'Process'!AS166*'Control Room'!$H$12*INDEX('Control Room'!$B$19:$H$19,1,WEEKDAY($A166,2))*(1+'Control Room'!$D$9)^164*'Process'!AT166),2),"")</x:f>
      </x:c>
      <x:c r="L166" s="16" t="str">
        <x:f>IF(AND(AND(165&lt;='Control Room'!$B$3,'Control Room'!$D$3="Ready"),10&lt;='Control Room'!$B$2),ROUND(MAX(0,'Process'!AX166*'Control Room'!$H$13*INDEX('Control Room'!$B$19:$H$19,1,WEEKDAY($A166,2))*(1+'Control Room'!$D$9)^164*'Process'!AY166),2),"")</x:f>
      </x:c>
      <x:c r="M166" s="16" t="str">
        <x:f>IF(AND(AND(165&lt;='Control Room'!$B$3,'Control Room'!$D$3="Ready"),11&lt;='Control Room'!$B$2),ROUND(MAX(0,'Process'!BC166*'Control Room'!$H$14*INDEX('Control Room'!$B$19:$H$19,1,WEEKDAY($A166,2))*(1+'Control Room'!$D$9)^164*'Process'!BD166),2),"")</x:f>
      </x:c>
      <x:c r="N166" s="16" t="str">
        <x:f>IF(AND(AND(165&lt;='Control Room'!$B$3,'Control Room'!$D$3="Ready"),12&lt;='Control Room'!$B$2),ROUND(MAX(0,'Process'!BH166*'Control Room'!$H$15*INDEX('Control Room'!$B$19:$H$19,1,WEEKDAY($A166,2))*(1+'Control Room'!$D$9)^164*'Process'!BI166),2),"")</x:f>
      </x:c>
    </x:row>
    <x:row r="167" ht="21" customHeight="1">
      <x:c r="A167" s="15" t="str">
        <x:f>IF(AND(166&lt;='Control Room'!$B$3,'Control Room'!$D$3="Ready"),'Process'!A167,"")</x:f>
      </x:c>
      <x:c r="B167" s="16" t="str">
        <x:f>IF(A167="","",SUM(C167:N167))</x:f>
      </x:c>
      <x:c r="C167" s="16" t="str">
        <x:f>IF(AND(AND(166&lt;='Control Room'!$B$3,'Control Room'!$D$3="Ready"),1&lt;='Control Room'!$B$2),ROUND(MAX(0,'Process'!E167*'Control Room'!$H$4*INDEX('Control Room'!$B$19:$H$19,1,WEEKDAY($A167,2))*(1+'Control Room'!$D$9)^165*'Process'!F167),2),"")</x:f>
      </x:c>
      <x:c r="D167" s="16" t="str">
        <x:f>IF(AND(AND(166&lt;='Control Room'!$B$3,'Control Room'!$D$3="Ready"),2&lt;='Control Room'!$B$2),ROUND(MAX(0,'Process'!J167*'Control Room'!$H$5*INDEX('Control Room'!$B$19:$H$19,1,WEEKDAY($A167,2))*(1+'Control Room'!$D$9)^165*'Process'!K167),2),"")</x:f>
      </x:c>
      <x:c r="E167" s="16" t="str">
        <x:f>IF(AND(AND(166&lt;='Control Room'!$B$3,'Control Room'!$D$3="Ready"),3&lt;='Control Room'!$B$2),ROUND(MAX(0,'Process'!O167*'Control Room'!$H$6*INDEX('Control Room'!$B$19:$H$19,1,WEEKDAY($A167,2))*(1+'Control Room'!$D$9)^165*'Process'!P167),2),"")</x:f>
      </x:c>
      <x:c r="F167" s="16" t="str">
        <x:f>IF(AND(AND(166&lt;='Control Room'!$B$3,'Control Room'!$D$3="Ready"),4&lt;='Control Room'!$B$2),ROUND(MAX(0,'Process'!T167*'Control Room'!$H$7*INDEX('Control Room'!$B$19:$H$19,1,WEEKDAY($A167,2))*(1+'Control Room'!$D$9)^165*'Process'!U167),2),"")</x:f>
      </x:c>
      <x:c r="G167" s="16" t="str">
        <x:f>IF(AND(AND(166&lt;='Control Room'!$B$3,'Control Room'!$D$3="Ready"),5&lt;='Control Room'!$B$2),ROUND(MAX(0,'Process'!Y167*'Control Room'!$H$8*INDEX('Control Room'!$B$19:$H$19,1,WEEKDAY($A167,2))*(1+'Control Room'!$D$9)^165*'Process'!Z167),2),"")</x:f>
      </x:c>
      <x:c r="H167" s="16" t="str">
        <x:f>IF(AND(AND(166&lt;='Control Room'!$B$3,'Control Room'!$D$3="Ready"),6&lt;='Control Room'!$B$2),ROUND(MAX(0,'Process'!AD167*'Control Room'!$H$9*INDEX('Control Room'!$B$19:$H$19,1,WEEKDAY($A167,2))*(1+'Control Room'!$D$9)^165*'Process'!AE167),2),"")</x:f>
      </x:c>
      <x:c r="I167" s="16" t="str">
        <x:f>IF(AND(AND(166&lt;='Control Room'!$B$3,'Control Room'!$D$3="Ready"),7&lt;='Control Room'!$B$2),ROUND(MAX(0,'Process'!AI167*'Control Room'!$H$10*INDEX('Control Room'!$B$19:$H$19,1,WEEKDAY($A167,2))*(1+'Control Room'!$D$9)^165*'Process'!AJ167),2),"")</x:f>
      </x:c>
      <x:c r="J167" s="16" t="str">
        <x:f>IF(AND(AND(166&lt;='Control Room'!$B$3,'Control Room'!$D$3="Ready"),8&lt;='Control Room'!$B$2),ROUND(MAX(0,'Process'!AN167*'Control Room'!$H$11*INDEX('Control Room'!$B$19:$H$19,1,WEEKDAY($A167,2))*(1+'Control Room'!$D$9)^165*'Process'!AO167),2),"")</x:f>
      </x:c>
      <x:c r="K167" s="16" t="str">
        <x:f>IF(AND(AND(166&lt;='Control Room'!$B$3,'Control Room'!$D$3="Ready"),9&lt;='Control Room'!$B$2),ROUND(MAX(0,'Process'!AS167*'Control Room'!$H$12*INDEX('Control Room'!$B$19:$H$19,1,WEEKDAY($A167,2))*(1+'Control Room'!$D$9)^165*'Process'!AT167),2),"")</x:f>
      </x:c>
      <x:c r="L167" s="16" t="str">
        <x:f>IF(AND(AND(166&lt;='Control Room'!$B$3,'Control Room'!$D$3="Ready"),10&lt;='Control Room'!$B$2),ROUND(MAX(0,'Process'!AX167*'Control Room'!$H$13*INDEX('Control Room'!$B$19:$H$19,1,WEEKDAY($A167,2))*(1+'Control Room'!$D$9)^165*'Process'!AY167),2),"")</x:f>
      </x:c>
      <x:c r="M167" s="16" t="str">
        <x:f>IF(AND(AND(166&lt;='Control Room'!$B$3,'Control Room'!$D$3="Ready"),11&lt;='Control Room'!$B$2),ROUND(MAX(0,'Process'!BC167*'Control Room'!$H$14*INDEX('Control Room'!$B$19:$H$19,1,WEEKDAY($A167,2))*(1+'Control Room'!$D$9)^165*'Process'!BD167),2),"")</x:f>
      </x:c>
      <x:c r="N167" s="16" t="str">
        <x:f>IF(AND(AND(166&lt;='Control Room'!$B$3,'Control Room'!$D$3="Ready"),12&lt;='Control Room'!$B$2),ROUND(MAX(0,'Process'!BH167*'Control Room'!$H$15*INDEX('Control Room'!$B$19:$H$19,1,WEEKDAY($A167,2))*(1+'Control Room'!$D$9)^165*'Process'!BI167),2),"")</x:f>
      </x:c>
    </x:row>
    <x:row r="168" ht="21" customHeight="1">
      <x:c r="A168" s="15" t="str">
        <x:f>IF(AND(167&lt;='Control Room'!$B$3,'Control Room'!$D$3="Ready"),'Process'!A168,"")</x:f>
      </x:c>
      <x:c r="B168" s="16" t="str">
        <x:f>IF(A168="","",SUM(C168:N168))</x:f>
      </x:c>
      <x:c r="C168" s="16" t="str">
        <x:f>IF(AND(AND(167&lt;='Control Room'!$B$3,'Control Room'!$D$3="Ready"),1&lt;='Control Room'!$B$2),ROUND(MAX(0,'Process'!E168*'Control Room'!$H$4*INDEX('Control Room'!$B$19:$H$19,1,WEEKDAY($A168,2))*(1+'Control Room'!$D$9)^166*'Process'!F168),2),"")</x:f>
      </x:c>
      <x:c r="D168" s="16" t="str">
        <x:f>IF(AND(AND(167&lt;='Control Room'!$B$3,'Control Room'!$D$3="Ready"),2&lt;='Control Room'!$B$2),ROUND(MAX(0,'Process'!J168*'Control Room'!$H$5*INDEX('Control Room'!$B$19:$H$19,1,WEEKDAY($A168,2))*(1+'Control Room'!$D$9)^166*'Process'!K168),2),"")</x:f>
      </x:c>
      <x:c r="E168" s="16" t="str">
        <x:f>IF(AND(AND(167&lt;='Control Room'!$B$3,'Control Room'!$D$3="Ready"),3&lt;='Control Room'!$B$2),ROUND(MAX(0,'Process'!O168*'Control Room'!$H$6*INDEX('Control Room'!$B$19:$H$19,1,WEEKDAY($A168,2))*(1+'Control Room'!$D$9)^166*'Process'!P168),2),"")</x:f>
      </x:c>
      <x:c r="F168" s="16" t="str">
        <x:f>IF(AND(AND(167&lt;='Control Room'!$B$3,'Control Room'!$D$3="Ready"),4&lt;='Control Room'!$B$2),ROUND(MAX(0,'Process'!T168*'Control Room'!$H$7*INDEX('Control Room'!$B$19:$H$19,1,WEEKDAY($A168,2))*(1+'Control Room'!$D$9)^166*'Process'!U168),2),"")</x:f>
      </x:c>
      <x:c r="G168" s="16" t="str">
        <x:f>IF(AND(AND(167&lt;='Control Room'!$B$3,'Control Room'!$D$3="Ready"),5&lt;='Control Room'!$B$2),ROUND(MAX(0,'Process'!Y168*'Control Room'!$H$8*INDEX('Control Room'!$B$19:$H$19,1,WEEKDAY($A168,2))*(1+'Control Room'!$D$9)^166*'Process'!Z168),2),"")</x:f>
      </x:c>
      <x:c r="H168" s="16" t="str">
        <x:f>IF(AND(AND(167&lt;='Control Room'!$B$3,'Control Room'!$D$3="Ready"),6&lt;='Control Room'!$B$2),ROUND(MAX(0,'Process'!AD168*'Control Room'!$H$9*INDEX('Control Room'!$B$19:$H$19,1,WEEKDAY($A168,2))*(1+'Control Room'!$D$9)^166*'Process'!AE168),2),"")</x:f>
      </x:c>
      <x:c r="I168" s="16" t="str">
        <x:f>IF(AND(AND(167&lt;='Control Room'!$B$3,'Control Room'!$D$3="Ready"),7&lt;='Control Room'!$B$2),ROUND(MAX(0,'Process'!AI168*'Control Room'!$H$10*INDEX('Control Room'!$B$19:$H$19,1,WEEKDAY($A168,2))*(1+'Control Room'!$D$9)^166*'Process'!AJ168),2),"")</x:f>
      </x:c>
      <x:c r="J168" s="16" t="str">
        <x:f>IF(AND(AND(167&lt;='Control Room'!$B$3,'Control Room'!$D$3="Ready"),8&lt;='Control Room'!$B$2),ROUND(MAX(0,'Process'!AN168*'Control Room'!$H$11*INDEX('Control Room'!$B$19:$H$19,1,WEEKDAY($A168,2))*(1+'Control Room'!$D$9)^166*'Process'!AO168),2),"")</x:f>
      </x:c>
      <x:c r="K168" s="16" t="str">
        <x:f>IF(AND(AND(167&lt;='Control Room'!$B$3,'Control Room'!$D$3="Ready"),9&lt;='Control Room'!$B$2),ROUND(MAX(0,'Process'!AS168*'Control Room'!$H$12*INDEX('Control Room'!$B$19:$H$19,1,WEEKDAY($A168,2))*(1+'Control Room'!$D$9)^166*'Process'!AT168),2),"")</x:f>
      </x:c>
      <x:c r="L168" s="16" t="str">
        <x:f>IF(AND(AND(167&lt;='Control Room'!$B$3,'Control Room'!$D$3="Ready"),10&lt;='Control Room'!$B$2),ROUND(MAX(0,'Process'!AX168*'Control Room'!$H$13*INDEX('Control Room'!$B$19:$H$19,1,WEEKDAY($A168,2))*(1+'Control Room'!$D$9)^166*'Process'!AY168),2),"")</x:f>
      </x:c>
      <x:c r="M168" s="16" t="str">
        <x:f>IF(AND(AND(167&lt;='Control Room'!$B$3,'Control Room'!$D$3="Ready"),11&lt;='Control Room'!$B$2),ROUND(MAX(0,'Process'!BC168*'Control Room'!$H$14*INDEX('Control Room'!$B$19:$H$19,1,WEEKDAY($A168,2))*(1+'Control Room'!$D$9)^166*'Process'!BD168),2),"")</x:f>
      </x:c>
      <x:c r="N168" s="16" t="str">
        <x:f>IF(AND(AND(167&lt;='Control Room'!$B$3,'Control Room'!$D$3="Ready"),12&lt;='Control Room'!$B$2),ROUND(MAX(0,'Process'!BH168*'Control Room'!$H$15*INDEX('Control Room'!$B$19:$H$19,1,WEEKDAY($A168,2))*(1+'Control Room'!$D$9)^166*'Process'!BI168),2),"")</x:f>
      </x:c>
    </x:row>
    <x:row r="169" ht="21" customHeight="1">
      <x:c r="A169" s="15" t="str">
        <x:f>IF(AND(168&lt;='Control Room'!$B$3,'Control Room'!$D$3="Ready"),'Process'!A169,"")</x:f>
      </x:c>
      <x:c r="B169" s="16" t="str">
        <x:f>IF(A169="","",SUM(C169:N169))</x:f>
      </x:c>
      <x:c r="C169" s="16" t="str">
        <x:f>IF(AND(AND(168&lt;='Control Room'!$B$3,'Control Room'!$D$3="Ready"),1&lt;='Control Room'!$B$2),ROUND(MAX(0,'Process'!E169*'Control Room'!$H$4*INDEX('Control Room'!$B$19:$H$19,1,WEEKDAY($A169,2))*(1+'Control Room'!$D$9)^167*'Process'!F169),2),"")</x:f>
      </x:c>
      <x:c r="D169" s="16" t="str">
        <x:f>IF(AND(AND(168&lt;='Control Room'!$B$3,'Control Room'!$D$3="Ready"),2&lt;='Control Room'!$B$2),ROUND(MAX(0,'Process'!J169*'Control Room'!$H$5*INDEX('Control Room'!$B$19:$H$19,1,WEEKDAY($A169,2))*(1+'Control Room'!$D$9)^167*'Process'!K169),2),"")</x:f>
      </x:c>
      <x:c r="E169" s="16" t="str">
        <x:f>IF(AND(AND(168&lt;='Control Room'!$B$3,'Control Room'!$D$3="Ready"),3&lt;='Control Room'!$B$2),ROUND(MAX(0,'Process'!O169*'Control Room'!$H$6*INDEX('Control Room'!$B$19:$H$19,1,WEEKDAY($A169,2))*(1+'Control Room'!$D$9)^167*'Process'!P169),2),"")</x:f>
      </x:c>
      <x:c r="F169" s="16" t="str">
        <x:f>IF(AND(AND(168&lt;='Control Room'!$B$3,'Control Room'!$D$3="Ready"),4&lt;='Control Room'!$B$2),ROUND(MAX(0,'Process'!T169*'Control Room'!$H$7*INDEX('Control Room'!$B$19:$H$19,1,WEEKDAY($A169,2))*(1+'Control Room'!$D$9)^167*'Process'!U169),2),"")</x:f>
      </x:c>
      <x:c r="G169" s="16" t="str">
        <x:f>IF(AND(AND(168&lt;='Control Room'!$B$3,'Control Room'!$D$3="Ready"),5&lt;='Control Room'!$B$2),ROUND(MAX(0,'Process'!Y169*'Control Room'!$H$8*INDEX('Control Room'!$B$19:$H$19,1,WEEKDAY($A169,2))*(1+'Control Room'!$D$9)^167*'Process'!Z169),2),"")</x:f>
      </x:c>
      <x:c r="H169" s="16" t="str">
        <x:f>IF(AND(AND(168&lt;='Control Room'!$B$3,'Control Room'!$D$3="Ready"),6&lt;='Control Room'!$B$2),ROUND(MAX(0,'Process'!AD169*'Control Room'!$H$9*INDEX('Control Room'!$B$19:$H$19,1,WEEKDAY($A169,2))*(1+'Control Room'!$D$9)^167*'Process'!AE169),2),"")</x:f>
      </x:c>
      <x:c r="I169" s="16" t="str">
        <x:f>IF(AND(AND(168&lt;='Control Room'!$B$3,'Control Room'!$D$3="Ready"),7&lt;='Control Room'!$B$2),ROUND(MAX(0,'Process'!AI169*'Control Room'!$H$10*INDEX('Control Room'!$B$19:$H$19,1,WEEKDAY($A169,2))*(1+'Control Room'!$D$9)^167*'Process'!AJ169),2),"")</x:f>
      </x:c>
      <x:c r="J169" s="16" t="str">
        <x:f>IF(AND(AND(168&lt;='Control Room'!$B$3,'Control Room'!$D$3="Ready"),8&lt;='Control Room'!$B$2),ROUND(MAX(0,'Process'!AN169*'Control Room'!$H$11*INDEX('Control Room'!$B$19:$H$19,1,WEEKDAY($A169,2))*(1+'Control Room'!$D$9)^167*'Process'!AO169),2),"")</x:f>
      </x:c>
      <x:c r="K169" s="16" t="str">
        <x:f>IF(AND(AND(168&lt;='Control Room'!$B$3,'Control Room'!$D$3="Ready"),9&lt;='Control Room'!$B$2),ROUND(MAX(0,'Process'!AS169*'Control Room'!$H$12*INDEX('Control Room'!$B$19:$H$19,1,WEEKDAY($A169,2))*(1+'Control Room'!$D$9)^167*'Process'!AT169),2),"")</x:f>
      </x:c>
      <x:c r="L169" s="16" t="str">
        <x:f>IF(AND(AND(168&lt;='Control Room'!$B$3,'Control Room'!$D$3="Ready"),10&lt;='Control Room'!$B$2),ROUND(MAX(0,'Process'!AX169*'Control Room'!$H$13*INDEX('Control Room'!$B$19:$H$19,1,WEEKDAY($A169,2))*(1+'Control Room'!$D$9)^167*'Process'!AY169),2),"")</x:f>
      </x:c>
      <x:c r="M169" s="16" t="str">
        <x:f>IF(AND(AND(168&lt;='Control Room'!$B$3,'Control Room'!$D$3="Ready"),11&lt;='Control Room'!$B$2),ROUND(MAX(0,'Process'!BC169*'Control Room'!$H$14*INDEX('Control Room'!$B$19:$H$19,1,WEEKDAY($A169,2))*(1+'Control Room'!$D$9)^167*'Process'!BD169),2),"")</x:f>
      </x:c>
      <x:c r="N169" s="16" t="str">
        <x:f>IF(AND(AND(168&lt;='Control Room'!$B$3,'Control Room'!$D$3="Ready"),12&lt;='Control Room'!$B$2),ROUND(MAX(0,'Process'!BH169*'Control Room'!$H$15*INDEX('Control Room'!$B$19:$H$19,1,WEEKDAY($A169,2))*(1+'Control Room'!$D$9)^167*'Process'!BI169),2),"")</x:f>
      </x:c>
    </x:row>
    <x:row r="170" ht="21" customHeight="1">
      <x:c r="A170" s="15" t="str">
        <x:f>IF(AND(169&lt;='Control Room'!$B$3,'Control Room'!$D$3="Ready"),'Process'!A170,"")</x:f>
      </x:c>
      <x:c r="B170" s="16" t="str">
        <x:f>IF(A170="","",SUM(C170:N170))</x:f>
      </x:c>
      <x:c r="C170" s="16" t="str">
        <x:f>IF(AND(AND(169&lt;='Control Room'!$B$3,'Control Room'!$D$3="Ready"),1&lt;='Control Room'!$B$2),ROUND(MAX(0,'Process'!E170*'Control Room'!$H$4*INDEX('Control Room'!$B$19:$H$19,1,WEEKDAY($A170,2))*(1+'Control Room'!$D$9)^168*'Process'!F170),2),"")</x:f>
      </x:c>
      <x:c r="D170" s="16" t="str">
        <x:f>IF(AND(AND(169&lt;='Control Room'!$B$3,'Control Room'!$D$3="Ready"),2&lt;='Control Room'!$B$2),ROUND(MAX(0,'Process'!J170*'Control Room'!$H$5*INDEX('Control Room'!$B$19:$H$19,1,WEEKDAY($A170,2))*(1+'Control Room'!$D$9)^168*'Process'!K170),2),"")</x:f>
      </x:c>
      <x:c r="E170" s="16" t="str">
        <x:f>IF(AND(AND(169&lt;='Control Room'!$B$3,'Control Room'!$D$3="Ready"),3&lt;='Control Room'!$B$2),ROUND(MAX(0,'Process'!O170*'Control Room'!$H$6*INDEX('Control Room'!$B$19:$H$19,1,WEEKDAY($A170,2))*(1+'Control Room'!$D$9)^168*'Process'!P170),2),"")</x:f>
      </x:c>
      <x:c r="F170" s="16" t="str">
        <x:f>IF(AND(AND(169&lt;='Control Room'!$B$3,'Control Room'!$D$3="Ready"),4&lt;='Control Room'!$B$2),ROUND(MAX(0,'Process'!T170*'Control Room'!$H$7*INDEX('Control Room'!$B$19:$H$19,1,WEEKDAY($A170,2))*(1+'Control Room'!$D$9)^168*'Process'!U170),2),"")</x:f>
      </x:c>
      <x:c r="G170" s="16" t="str">
        <x:f>IF(AND(AND(169&lt;='Control Room'!$B$3,'Control Room'!$D$3="Ready"),5&lt;='Control Room'!$B$2),ROUND(MAX(0,'Process'!Y170*'Control Room'!$H$8*INDEX('Control Room'!$B$19:$H$19,1,WEEKDAY($A170,2))*(1+'Control Room'!$D$9)^168*'Process'!Z170),2),"")</x:f>
      </x:c>
      <x:c r="H170" s="16" t="str">
        <x:f>IF(AND(AND(169&lt;='Control Room'!$B$3,'Control Room'!$D$3="Ready"),6&lt;='Control Room'!$B$2),ROUND(MAX(0,'Process'!AD170*'Control Room'!$H$9*INDEX('Control Room'!$B$19:$H$19,1,WEEKDAY($A170,2))*(1+'Control Room'!$D$9)^168*'Process'!AE170),2),"")</x:f>
      </x:c>
      <x:c r="I170" s="16" t="str">
        <x:f>IF(AND(AND(169&lt;='Control Room'!$B$3,'Control Room'!$D$3="Ready"),7&lt;='Control Room'!$B$2),ROUND(MAX(0,'Process'!AI170*'Control Room'!$H$10*INDEX('Control Room'!$B$19:$H$19,1,WEEKDAY($A170,2))*(1+'Control Room'!$D$9)^168*'Process'!AJ170),2),"")</x:f>
      </x:c>
      <x:c r="J170" s="16" t="str">
        <x:f>IF(AND(AND(169&lt;='Control Room'!$B$3,'Control Room'!$D$3="Ready"),8&lt;='Control Room'!$B$2),ROUND(MAX(0,'Process'!AN170*'Control Room'!$H$11*INDEX('Control Room'!$B$19:$H$19,1,WEEKDAY($A170,2))*(1+'Control Room'!$D$9)^168*'Process'!AO170),2),"")</x:f>
      </x:c>
      <x:c r="K170" s="16" t="str">
        <x:f>IF(AND(AND(169&lt;='Control Room'!$B$3,'Control Room'!$D$3="Ready"),9&lt;='Control Room'!$B$2),ROUND(MAX(0,'Process'!AS170*'Control Room'!$H$12*INDEX('Control Room'!$B$19:$H$19,1,WEEKDAY($A170,2))*(1+'Control Room'!$D$9)^168*'Process'!AT170),2),"")</x:f>
      </x:c>
      <x:c r="L170" s="16" t="str">
        <x:f>IF(AND(AND(169&lt;='Control Room'!$B$3,'Control Room'!$D$3="Ready"),10&lt;='Control Room'!$B$2),ROUND(MAX(0,'Process'!AX170*'Control Room'!$H$13*INDEX('Control Room'!$B$19:$H$19,1,WEEKDAY($A170,2))*(1+'Control Room'!$D$9)^168*'Process'!AY170),2),"")</x:f>
      </x:c>
      <x:c r="M170" s="16" t="str">
        <x:f>IF(AND(AND(169&lt;='Control Room'!$B$3,'Control Room'!$D$3="Ready"),11&lt;='Control Room'!$B$2),ROUND(MAX(0,'Process'!BC170*'Control Room'!$H$14*INDEX('Control Room'!$B$19:$H$19,1,WEEKDAY($A170,2))*(1+'Control Room'!$D$9)^168*'Process'!BD170),2),"")</x:f>
      </x:c>
      <x:c r="N170" s="16" t="str">
        <x:f>IF(AND(AND(169&lt;='Control Room'!$B$3,'Control Room'!$D$3="Ready"),12&lt;='Control Room'!$B$2),ROUND(MAX(0,'Process'!BH170*'Control Room'!$H$15*INDEX('Control Room'!$B$19:$H$19,1,WEEKDAY($A170,2))*(1+'Control Room'!$D$9)^168*'Process'!BI170),2),"")</x:f>
      </x:c>
    </x:row>
    <x:row r="171" ht="21" customHeight="1">
      <x:c r="A171" s="15" t="str">
        <x:f>IF(AND(170&lt;='Control Room'!$B$3,'Control Room'!$D$3="Ready"),'Process'!A171,"")</x:f>
      </x:c>
      <x:c r="B171" s="16" t="str">
        <x:f>IF(A171="","",SUM(C171:N171))</x:f>
      </x:c>
      <x:c r="C171" s="16" t="str">
        <x:f>IF(AND(AND(170&lt;='Control Room'!$B$3,'Control Room'!$D$3="Ready"),1&lt;='Control Room'!$B$2),ROUND(MAX(0,'Process'!E171*'Control Room'!$H$4*INDEX('Control Room'!$B$19:$H$19,1,WEEKDAY($A171,2))*(1+'Control Room'!$D$9)^169*'Process'!F171),2),"")</x:f>
      </x:c>
      <x:c r="D171" s="16" t="str">
        <x:f>IF(AND(AND(170&lt;='Control Room'!$B$3,'Control Room'!$D$3="Ready"),2&lt;='Control Room'!$B$2),ROUND(MAX(0,'Process'!J171*'Control Room'!$H$5*INDEX('Control Room'!$B$19:$H$19,1,WEEKDAY($A171,2))*(1+'Control Room'!$D$9)^169*'Process'!K171),2),"")</x:f>
      </x:c>
      <x:c r="E171" s="16" t="str">
        <x:f>IF(AND(AND(170&lt;='Control Room'!$B$3,'Control Room'!$D$3="Ready"),3&lt;='Control Room'!$B$2),ROUND(MAX(0,'Process'!O171*'Control Room'!$H$6*INDEX('Control Room'!$B$19:$H$19,1,WEEKDAY($A171,2))*(1+'Control Room'!$D$9)^169*'Process'!P171),2),"")</x:f>
      </x:c>
      <x:c r="F171" s="16" t="str">
        <x:f>IF(AND(AND(170&lt;='Control Room'!$B$3,'Control Room'!$D$3="Ready"),4&lt;='Control Room'!$B$2),ROUND(MAX(0,'Process'!T171*'Control Room'!$H$7*INDEX('Control Room'!$B$19:$H$19,1,WEEKDAY($A171,2))*(1+'Control Room'!$D$9)^169*'Process'!U171),2),"")</x:f>
      </x:c>
      <x:c r="G171" s="16" t="str">
        <x:f>IF(AND(AND(170&lt;='Control Room'!$B$3,'Control Room'!$D$3="Ready"),5&lt;='Control Room'!$B$2),ROUND(MAX(0,'Process'!Y171*'Control Room'!$H$8*INDEX('Control Room'!$B$19:$H$19,1,WEEKDAY($A171,2))*(1+'Control Room'!$D$9)^169*'Process'!Z171),2),"")</x:f>
      </x:c>
      <x:c r="H171" s="16" t="str">
        <x:f>IF(AND(AND(170&lt;='Control Room'!$B$3,'Control Room'!$D$3="Ready"),6&lt;='Control Room'!$B$2),ROUND(MAX(0,'Process'!AD171*'Control Room'!$H$9*INDEX('Control Room'!$B$19:$H$19,1,WEEKDAY($A171,2))*(1+'Control Room'!$D$9)^169*'Process'!AE171),2),"")</x:f>
      </x:c>
      <x:c r="I171" s="16" t="str">
        <x:f>IF(AND(AND(170&lt;='Control Room'!$B$3,'Control Room'!$D$3="Ready"),7&lt;='Control Room'!$B$2),ROUND(MAX(0,'Process'!AI171*'Control Room'!$H$10*INDEX('Control Room'!$B$19:$H$19,1,WEEKDAY($A171,2))*(1+'Control Room'!$D$9)^169*'Process'!AJ171),2),"")</x:f>
      </x:c>
      <x:c r="J171" s="16" t="str">
        <x:f>IF(AND(AND(170&lt;='Control Room'!$B$3,'Control Room'!$D$3="Ready"),8&lt;='Control Room'!$B$2),ROUND(MAX(0,'Process'!AN171*'Control Room'!$H$11*INDEX('Control Room'!$B$19:$H$19,1,WEEKDAY($A171,2))*(1+'Control Room'!$D$9)^169*'Process'!AO171),2),"")</x:f>
      </x:c>
      <x:c r="K171" s="16" t="str">
        <x:f>IF(AND(AND(170&lt;='Control Room'!$B$3,'Control Room'!$D$3="Ready"),9&lt;='Control Room'!$B$2),ROUND(MAX(0,'Process'!AS171*'Control Room'!$H$12*INDEX('Control Room'!$B$19:$H$19,1,WEEKDAY($A171,2))*(1+'Control Room'!$D$9)^169*'Process'!AT171),2),"")</x:f>
      </x:c>
      <x:c r="L171" s="16" t="str">
        <x:f>IF(AND(AND(170&lt;='Control Room'!$B$3,'Control Room'!$D$3="Ready"),10&lt;='Control Room'!$B$2),ROUND(MAX(0,'Process'!AX171*'Control Room'!$H$13*INDEX('Control Room'!$B$19:$H$19,1,WEEKDAY($A171,2))*(1+'Control Room'!$D$9)^169*'Process'!AY171),2),"")</x:f>
      </x:c>
      <x:c r="M171" s="16" t="str">
        <x:f>IF(AND(AND(170&lt;='Control Room'!$B$3,'Control Room'!$D$3="Ready"),11&lt;='Control Room'!$B$2),ROUND(MAX(0,'Process'!BC171*'Control Room'!$H$14*INDEX('Control Room'!$B$19:$H$19,1,WEEKDAY($A171,2))*(1+'Control Room'!$D$9)^169*'Process'!BD171),2),"")</x:f>
      </x:c>
      <x:c r="N171" s="16" t="str">
        <x:f>IF(AND(AND(170&lt;='Control Room'!$B$3,'Control Room'!$D$3="Ready"),12&lt;='Control Room'!$B$2),ROUND(MAX(0,'Process'!BH171*'Control Room'!$H$15*INDEX('Control Room'!$B$19:$H$19,1,WEEKDAY($A171,2))*(1+'Control Room'!$D$9)^169*'Process'!BI171),2),"")</x:f>
      </x:c>
    </x:row>
    <x:row r="172" ht="21" customHeight="1">
      <x:c r="A172" s="15" t="str">
        <x:f>IF(AND(171&lt;='Control Room'!$B$3,'Control Room'!$D$3="Ready"),'Process'!A172,"")</x:f>
      </x:c>
      <x:c r="B172" s="16" t="str">
        <x:f>IF(A172="","",SUM(C172:N172))</x:f>
      </x:c>
      <x:c r="C172" s="16" t="str">
        <x:f>IF(AND(AND(171&lt;='Control Room'!$B$3,'Control Room'!$D$3="Ready"),1&lt;='Control Room'!$B$2),ROUND(MAX(0,'Process'!E172*'Control Room'!$H$4*INDEX('Control Room'!$B$19:$H$19,1,WEEKDAY($A172,2))*(1+'Control Room'!$D$9)^170*'Process'!F172),2),"")</x:f>
      </x:c>
      <x:c r="D172" s="16" t="str">
        <x:f>IF(AND(AND(171&lt;='Control Room'!$B$3,'Control Room'!$D$3="Ready"),2&lt;='Control Room'!$B$2),ROUND(MAX(0,'Process'!J172*'Control Room'!$H$5*INDEX('Control Room'!$B$19:$H$19,1,WEEKDAY($A172,2))*(1+'Control Room'!$D$9)^170*'Process'!K172),2),"")</x:f>
      </x:c>
      <x:c r="E172" s="16" t="str">
        <x:f>IF(AND(AND(171&lt;='Control Room'!$B$3,'Control Room'!$D$3="Ready"),3&lt;='Control Room'!$B$2),ROUND(MAX(0,'Process'!O172*'Control Room'!$H$6*INDEX('Control Room'!$B$19:$H$19,1,WEEKDAY($A172,2))*(1+'Control Room'!$D$9)^170*'Process'!P172),2),"")</x:f>
      </x:c>
      <x:c r="F172" s="16" t="str">
        <x:f>IF(AND(AND(171&lt;='Control Room'!$B$3,'Control Room'!$D$3="Ready"),4&lt;='Control Room'!$B$2),ROUND(MAX(0,'Process'!T172*'Control Room'!$H$7*INDEX('Control Room'!$B$19:$H$19,1,WEEKDAY($A172,2))*(1+'Control Room'!$D$9)^170*'Process'!U172),2),"")</x:f>
      </x:c>
      <x:c r="G172" s="16" t="str">
        <x:f>IF(AND(AND(171&lt;='Control Room'!$B$3,'Control Room'!$D$3="Ready"),5&lt;='Control Room'!$B$2),ROUND(MAX(0,'Process'!Y172*'Control Room'!$H$8*INDEX('Control Room'!$B$19:$H$19,1,WEEKDAY($A172,2))*(1+'Control Room'!$D$9)^170*'Process'!Z172),2),"")</x:f>
      </x:c>
      <x:c r="H172" s="16" t="str">
        <x:f>IF(AND(AND(171&lt;='Control Room'!$B$3,'Control Room'!$D$3="Ready"),6&lt;='Control Room'!$B$2),ROUND(MAX(0,'Process'!AD172*'Control Room'!$H$9*INDEX('Control Room'!$B$19:$H$19,1,WEEKDAY($A172,2))*(1+'Control Room'!$D$9)^170*'Process'!AE172),2),"")</x:f>
      </x:c>
      <x:c r="I172" s="16" t="str">
        <x:f>IF(AND(AND(171&lt;='Control Room'!$B$3,'Control Room'!$D$3="Ready"),7&lt;='Control Room'!$B$2),ROUND(MAX(0,'Process'!AI172*'Control Room'!$H$10*INDEX('Control Room'!$B$19:$H$19,1,WEEKDAY($A172,2))*(1+'Control Room'!$D$9)^170*'Process'!AJ172),2),"")</x:f>
      </x:c>
      <x:c r="J172" s="16" t="str">
        <x:f>IF(AND(AND(171&lt;='Control Room'!$B$3,'Control Room'!$D$3="Ready"),8&lt;='Control Room'!$B$2),ROUND(MAX(0,'Process'!AN172*'Control Room'!$H$11*INDEX('Control Room'!$B$19:$H$19,1,WEEKDAY($A172,2))*(1+'Control Room'!$D$9)^170*'Process'!AO172),2),"")</x:f>
      </x:c>
      <x:c r="K172" s="16" t="str">
        <x:f>IF(AND(AND(171&lt;='Control Room'!$B$3,'Control Room'!$D$3="Ready"),9&lt;='Control Room'!$B$2),ROUND(MAX(0,'Process'!AS172*'Control Room'!$H$12*INDEX('Control Room'!$B$19:$H$19,1,WEEKDAY($A172,2))*(1+'Control Room'!$D$9)^170*'Process'!AT172),2),"")</x:f>
      </x:c>
      <x:c r="L172" s="16" t="str">
        <x:f>IF(AND(AND(171&lt;='Control Room'!$B$3,'Control Room'!$D$3="Ready"),10&lt;='Control Room'!$B$2),ROUND(MAX(0,'Process'!AX172*'Control Room'!$H$13*INDEX('Control Room'!$B$19:$H$19,1,WEEKDAY($A172,2))*(1+'Control Room'!$D$9)^170*'Process'!AY172),2),"")</x:f>
      </x:c>
      <x:c r="M172" s="16" t="str">
        <x:f>IF(AND(AND(171&lt;='Control Room'!$B$3,'Control Room'!$D$3="Ready"),11&lt;='Control Room'!$B$2),ROUND(MAX(0,'Process'!BC172*'Control Room'!$H$14*INDEX('Control Room'!$B$19:$H$19,1,WEEKDAY($A172,2))*(1+'Control Room'!$D$9)^170*'Process'!BD172),2),"")</x:f>
      </x:c>
      <x:c r="N172" s="16" t="str">
        <x:f>IF(AND(AND(171&lt;='Control Room'!$B$3,'Control Room'!$D$3="Ready"),12&lt;='Control Room'!$B$2),ROUND(MAX(0,'Process'!BH172*'Control Room'!$H$15*INDEX('Control Room'!$B$19:$H$19,1,WEEKDAY($A172,2))*(1+'Control Room'!$D$9)^170*'Process'!BI172),2),"")</x:f>
      </x:c>
    </x:row>
    <x:row r="173" ht="21" customHeight="1">
      <x:c r="A173" s="15" t="str">
        <x:f>IF(AND(172&lt;='Control Room'!$B$3,'Control Room'!$D$3="Ready"),'Process'!A173,"")</x:f>
      </x:c>
      <x:c r="B173" s="16" t="str">
        <x:f>IF(A173="","",SUM(C173:N173))</x:f>
      </x:c>
      <x:c r="C173" s="16" t="str">
        <x:f>IF(AND(AND(172&lt;='Control Room'!$B$3,'Control Room'!$D$3="Ready"),1&lt;='Control Room'!$B$2),ROUND(MAX(0,'Process'!E173*'Control Room'!$H$4*INDEX('Control Room'!$B$19:$H$19,1,WEEKDAY($A173,2))*(1+'Control Room'!$D$9)^171*'Process'!F173),2),"")</x:f>
      </x:c>
      <x:c r="D173" s="16" t="str">
        <x:f>IF(AND(AND(172&lt;='Control Room'!$B$3,'Control Room'!$D$3="Ready"),2&lt;='Control Room'!$B$2),ROUND(MAX(0,'Process'!J173*'Control Room'!$H$5*INDEX('Control Room'!$B$19:$H$19,1,WEEKDAY($A173,2))*(1+'Control Room'!$D$9)^171*'Process'!K173),2),"")</x:f>
      </x:c>
      <x:c r="E173" s="16" t="str">
        <x:f>IF(AND(AND(172&lt;='Control Room'!$B$3,'Control Room'!$D$3="Ready"),3&lt;='Control Room'!$B$2),ROUND(MAX(0,'Process'!O173*'Control Room'!$H$6*INDEX('Control Room'!$B$19:$H$19,1,WEEKDAY($A173,2))*(1+'Control Room'!$D$9)^171*'Process'!P173),2),"")</x:f>
      </x:c>
      <x:c r="F173" s="16" t="str">
        <x:f>IF(AND(AND(172&lt;='Control Room'!$B$3,'Control Room'!$D$3="Ready"),4&lt;='Control Room'!$B$2),ROUND(MAX(0,'Process'!T173*'Control Room'!$H$7*INDEX('Control Room'!$B$19:$H$19,1,WEEKDAY($A173,2))*(1+'Control Room'!$D$9)^171*'Process'!U173),2),"")</x:f>
      </x:c>
      <x:c r="G173" s="16" t="str">
        <x:f>IF(AND(AND(172&lt;='Control Room'!$B$3,'Control Room'!$D$3="Ready"),5&lt;='Control Room'!$B$2),ROUND(MAX(0,'Process'!Y173*'Control Room'!$H$8*INDEX('Control Room'!$B$19:$H$19,1,WEEKDAY($A173,2))*(1+'Control Room'!$D$9)^171*'Process'!Z173),2),"")</x:f>
      </x:c>
      <x:c r="H173" s="16" t="str">
        <x:f>IF(AND(AND(172&lt;='Control Room'!$B$3,'Control Room'!$D$3="Ready"),6&lt;='Control Room'!$B$2),ROUND(MAX(0,'Process'!AD173*'Control Room'!$H$9*INDEX('Control Room'!$B$19:$H$19,1,WEEKDAY($A173,2))*(1+'Control Room'!$D$9)^171*'Process'!AE173),2),"")</x:f>
      </x:c>
      <x:c r="I173" s="16" t="str">
        <x:f>IF(AND(AND(172&lt;='Control Room'!$B$3,'Control Room'!$D$3="Ready"),7&lt;='Control Room'!$B$2),ROUND(MAX(0,'Process'!AI173*'Control Room'!$H$10*INDEX('Control Room'!$B$19:$H$19,1,WEEKDAY($A173,2))*(1+'Control Room'!$D$9)^171*'Process'!AJ173),2),"")</x:f>
      </x:c>
      <x:c r="J173" s="16" t="str">
        <x:f>IF(AND(AND(172&lt;='Control Room'!$B$3,'Control Room'!$D$3="Ready"),8&lt;='Control Room'!$B$2),ROUND(MAX(0,'Process'!AN173*'Control Room'!$H$11*INDEX('Control Room'!$B$19:$H$19,1,WEEKDAY($A173,2))*(1+'Control Room'!$D$9)^171*'Process'!AO173),2),"")</x:f>
      </x:c>
      <x:c r="K173" s="16" t="str">
        <x:f>IF(AND(AND(172&lt;='Control Room'!$B$3,'Control Room'!$D$3="Ready"),9&lt;='Control Room'!$B$2),ROUND(MAX(0,'Process'!AS173*'Control Room'!$H$12*INDEX('Control Room'!$B$19:$H$19,1,WEEKDAY($A173,2))*(1+'Control Room'!$D$9)^171*'Process'!AT173),2),"")</x:f>
      </x:c>
      <x:c r="L173" s="16" t="str">
        <x:f>IF(AND(AND(172&lt;='Control Room'!$B$3,'Control Room'!$D$3="Ready"),10&lt;='Control Room'!$B$2),ROUND(MAX(0,'Process'!AX173*'Control Room'!$H$13*INDEX('Control Room'!$B$19:$H$19,1,WEEKDAY($A173,2))*(1+'Control Room'!$D$9)^171*'Process'!AY173),2),"")</x:f>
      </x:c>
      <x:c r="M173" s="16" t="str">
        <x:f>IF(AND(AND(172&lt;='Control Room'!$B$3,'Control Room'!$D$3="Ready"),11&lt;='Control Room'!$B$2),ROUND(MAX(0,'Process'!BC173*'Control Room'!$H$14*INDEX('Control Room'!$B$19:$H$19,1,WEEKDAY($A173,2))*(1+'Control Room'!$D$9)^171*'Process'!BD173),2),"")</x:f>
      </x:c>
      <x:c r="N173" s="16" t="str">
        <x:f>IF(AND(AND(172&lt;='Control Room'!$B$3,'Control Room'!$D$3="Ready"),12&lt;='Control Room'!$B$2),ROUND(MAX(0,'Process'!BH173*'Control Room'!$H$15*INDEX('Control Room'!$B$19:$H$19,1,WEEKDAY($A173,2))*(1+'Control Room'!$D$9)^171*'Process'!BI173),2),"")</x:f>
      </x:c>
    </x:row>
    <x:row r="174" ht="21" customHeight="1">
      <x:c r="A174" s="15" t="str">
        <x:f>IF(AND(173&lt;='Control Room'!$B$3,'Control Room'!$D$3="Ready"),'Process'!A174,"")</x:f>
      </x:c>
      <x:c r="B174" s="16" t="str">
        <x:f>IF(A174="","",SUM(C174:N174))</x:f>
      </x:c>
      <x:c r="C174" s="16" t="str">
        <x:f>IF(AND(AND(173&lt;='Control Room'!$B$3,'Control Room'!$D$3="Ready"),1&lt;='Control Room'!$B$2),ROUND(MAX(0,'Process'!E174*'Control Room'!$H$4*INDEX('Control Room'!$B$19:$H$19,1,WEEKDAY($A174,2))*(1+'Control Room'!$D$9)^172*'Process'!F174),2),"")</x:f>
      </x:c>
      <x:c r="D174" s="16" t="str">
        <x:f>IF(AND(AND(173&lt;='Control Room'!$B$3,'Control Room'!$D$3="Ready"),2&lt;='Control Room'!$B$2),ROUND(MAX(0,'Process'!J174*'Control Room'!$H$5*INDEX('Control Room'!$B$19:$H$19,1,WEEKDAY($A174,2))*(1+'Control Room'!$D$9)^172*'Process'!K174),2),"")</x:f>
      </x:c>
      <x:c r="E174" s="16" t="str">
        <x:f>IF(AND(AND(173&lt;='Control Room'!$B$3,'Control Room'!$D$3="Ready"),3&lt;='Control Room'!$B$2),ROUND(MAX(0,'Process'!O174*'Control Room'!$H$6*INDEX('Control Room'!$B$19:$H$19,1,WEEKDAY($A174,2))*(1+'Control Room'!$D$9)^172*'Process'!P174),2),"")</x:f>
      </x:c>
      <x:c r="F174" s="16" t="str">
        <x:f>IF(AND(AND(173&lt;='Control Room'!$B$3,'Control Room'!$D$3="Ready"),4&lt;='Control Room'!$B$2),ROUND(MAX(0,'Process'!T174*'Control Room'!$H$7*INDEX('Control Room'!$B$19:$H$19,1,WEEKDAY($A174,2))*(1+'Control Room'!$D$9)^172*'Process'!U174),2),"")</x:f>
      </x:c>
      <x:c r="G174" s="16" t="str">
        <x:f>IF(AND(AND(173&lt;='Control Room'!$B$3,'Control Room'!$D$3="Ready"),5&lt;='Control Room'!$B$2),ROUND(MAX(0,'Process'!Y174*'Control Room'!$H$8*INDEX('Control Room'!$B$19:$H$19,1,WEEKDAY($A174,2))*(1+'Control Room'!$D$9)^172*'Process'!Z174),2),"")</x:f>
      </x:c>
      <x:c r="H174" s="16" t="str">
        <x:f>IF(AND(AND(173&lt;='Control Room'!$B$3,'Control Room'!$D$3="Ready"),6&lt;='Control Room'!$B$2),ROUND(MAX(0,'Process'!AD174*'Control Room'!$H$9*INDEX('Control Room'!$B$19:$H$19,1,WEEKDAY($A174,2))*(1+'Control Room'!$D$9)^172*'Process'!AE174),2),"")</x:f>
      </x:c>
      <x:c r="I174" s="16" t="str">
        <x:f>IF(AND(AND(173&lt;='Control Room'!$B$3,'Control Room'!$D$3="Ready"),7&lt;='Control Room'!$B$2),ROUND(MAX(0,'Process'!AI174*'Control Room'!$H$10*INDEX('Control Room'!$B$19:$H$19,1,WEEKDAY($A174,2))*(1+'Control Room'!$D$9)^172*'Process'!AJ174),2),"")</x:f>
      </x:c>
      <x:c r="J174" s="16" t="str">
        <x:f>IF(AND(AND(173&lt;='Control Room'!$B$3,'Control Room'!$D$3="Ready"),8&lt;='Control Room'!$B$2),ROUND(MAX(0,'Process'!AN174*'Control Room'!$H$11*INDEX('Control Room'!$B$19:$H$19,1,WEEKDAY($A174,2))*(1+'Control Room'!$D$9)^172*'Process'!AO174),2),"")</x:f>
      </x:c>
      <x:c r="K174" s="16" t="str">
        <x:f>IF(AND(AND(173&lt;='Control Room'!$B$3,'Control Room'!$D$3="Ready"),9&lt;='Control Room'!$B$2),ROUND(MAX(0,'Process'!AS174*'Control Room'!$H$12*INDEX('Control Room'!$B$19:$H$19,1,WEEKDAY($A174,2))*(1+'Control Room'!$D$9)^172*'Process'!AT174),2),"")</x:f>
      </x:c>
      <x:c r="L174" s="16" t="str">
        <x:f>IF(AND(AND(173&lt;='Control Room'!$B$3,'Control Room'!$D$3="Ready"),10&lt;='Control Room'!$B$2),ROUND(MAX(0,'Process'!AX174*'Control Room'!$H$13*INDEX('Control Room'!$B$19:$H$19,1,WEEKDAY($A174,2))*(1+'Control Room'!$D$9)^172*'Process'!AY174),2),"")</x:f>
      </x:c>
      <x:c r="M174" s="16" t="str">
        <x:f>IF(AND(AND(173&lt;='Control Room'!$B$3,'Control Room'!$D$3="Ready"),11&lt;='Control Room'!$B$2),ROUND(MAX(0,'Process'!BC174*'Control Room'!$H$14*INDEX('Control Room'!$B$19:$H$19,1,WEEKDAY($A174,2))*(1+'Control Room'!$D$9)^172*'Process'!BD174),2),"")</x:f>
      </x:c>
      <x:c r="N174" s="16" t="str">
        <x:f>IF(AND(AND(173&lt;='Control Room'!$B$3,'Control Room'!$D$3="Ready"),12&lt;='Control Room'!$B$2),ROUND(MAX(0,'Process'!BH174*'Control Room'!$H$15*INDEX('Control Room'!$B$19:$H$19,1,WEEKDAY($A174,2))*(1+'Control Room'!$D$9)^172*'Process'!BI174),2),"")</x:f>
      </x:c>
    </x:row>
    <x:row r="175" ht="21" customHeight="1">
      <x:c r="A175" s="15" t="str">
        <x:f>IF(AND(174&lt;='Control Room'!$B$3,'Control Room'!$D$3="Ready"),'Process'!A175,"")</x:f>
      </x:c>
      <x:c r="B175" s="16" t="str">
        <x:f>IF(A175="","",SUM(C175:N175))</x:f>
      </x:c>
      <x:c r="C175" s="16" t="str">
        <x:f>IF(AND(AND(174&lt;='Control Room'!$B$3,'Control Room'!$D$3="Ready"),1&lt;='Control Room'!$B$2),ROUND(MAX(0,'Process'!E175*'Control Room'!$H$4*INDEX('Control Room'!$B$19:$H$19,1,WEEKDAY($A175,2))*(1+'Control Room'!$D$9)^173*'Process'!F175),2),"")</x:f>
      </x:c>
      <x:c r="D175" s="16" t="str">
        <x:f>IF(AND(AND(174&lt;='Control Room'!$B$3,'Control Room'!$D$3="Ready"),2&lt;='Control Room'!$B$2),ROUND(MAX(0,'Process'!J175*'Control Room'!$H$5*INDEX('Control Room'!$B$19:$H$19,1,WEEKDAY($A175,2))*(1+'Control Room'!$D$9)^173*'Process'!K175),2),"")</x:f>
      </x:c>
      <x:c r="E175" s="16" t="str">
        <x:f>IF(AND(AND(174&lt;='Control Room'!$B$3,'Control Room'!$D$3="Ready"),3&lt;='Control Room'!$B$2),ROUND(MAX(0,'Process'!O175*'Control Room'!$H$6*INDEX('Control Room'!$B$19:$H$19,1,WEEKDAY($A175,2))*(1+'Control Room'!$D$9)^173*'Process'!P175),2),"")</x:f>
      </x:c>
      <x:c r="F175" s="16" t="str">
        <x:f>IF(AND(AND(174&lt;='Control Room'!$B$3,'Control Room'!$D$3="Ready"),4&lt;='Control Room'!$B$2),ROUND(MAX(0,'Process'!T175*'Control Room'!$H$7*INDEX('Control Room'!$B$19:$H$19,1,WEEKDAY($A175,2))*(1+'Control Room'!$D$9)^173*'Process'!U175),2),"")</x:f>
      </x:c>
      <x:c r="G175" s="16" t="str">
        <x:f>IF(AND(AND(174&lt;='Control Room'!$B$3,'Control Room'!$D$3="Ready"),5&lt;='Control Room'!$B$2),ROUND(MAX(0,'Process'!Y175*'Control Room'!$H$8*INDEX('Control Room'!$B$19:$H$19,1,WEEKDAY($A175,2))*(1+'Control Room'!$D$9)^173*'Process'!Z175),2),"")</x:f>
      </x:c>
      <x:c r="H175" s="16" t="str">
        <x:f>IF(AND(AND(174&lt;='Control Room'!$B$3,'Control Room'!$D$3="Ready"),6&lt;='Control Room'!$B$2),ROUND(MAX(0,'Process'!AD175*'Control Room'!$H$9*INDEX('Control Room'!$B$19:$H$19,1,WEEKDAY($A175,2))*(1+'Control Room'!$D$9)^173*'Process'!AE175),2),"")</x:f>
      </x:c>
      <x:c r="I175" s="16" t="str">
        <x:f>IF(AND(AND(174&lt;='Control Room'!$B$3,'Control Room'!$D$3="Ready"),7&lt;='Control Room'!$B$2),ROUND(MAX(0,'Process'!AI175*'Control Room'!$H$10*INDEX('Control Room'!$B$19:$H$19,1,WEEKDAY($A175,2))*(1+'Control Room'!$D$9)^173*'Process'!AJ175),2),"")</x:f>
      </x:c>
      <x:c r="J175" s="16" t="str">
        <x:f>IF(AND(AND(174&lt;='Control Room'!$B$3,'Control Room'!$D$3="Ready"),8&lt;='Control Room'!$B$2),ROUND(MAX(0,'Process'!AN175*'Control Room'!$H$11*INDEX('Control Room'!$B$19:$H$19,1,WEEKDAY($A175,2))*(1+'Control Room'!$D$9)^173*'Process'!AO175),2),"")</x:f>
      </x:c>
      <x:c r="K175" s="16" t="str">
        <x:f>IF(AND(AND(174&lt;='Control Room'!$B$3,'Control Room'!$D$3="Ready"),9&lt;='Control Room'!$B$2),ROUND(MAX(0,'Process'!AS175*'Control Room'!$H$12*INDEX('Control Room'!$B$19:$H$19,1,WEEKDAY($A175,2))*(1+'Control Room'!$D$9)^173*'Process'!AT175),2),"")</x:f>
      </x:c>
      <x:c r="L175" s="16" t="str">
        <x:f>IF(AND(AND(174&lt;='Control Room'!$B$3,'Control Room'!$D$3="Ready"),10&lt;='Control Room'!$B$2),ROUND(MAX(0,'Process'!AX175*'Control Room'!$H$13*INDEX('Control Room'!$B$19:$H$19,1,WEEKDAY($A175,2))*(1+'Control Room'!$D$9)^173*'Process'!AY175),2),"")</x:f>
      </x:c>
      <x:c r="M175" s="16" t="str">
        <x:f>IF(AND(AND(174&lt;='Control Room'!$B$3,'Control Room'!$D$3="Ready"),11&lt;='Control Room'!$B$2),ROUND(MAX(0,'Process'!BC175*'Control Room'!$H$14*INDEX('Control Room'!$B$19:$H$19,1,WEEKDAY($A175,2))*(1+'Control Room'!$D$9)^173*'Process'!BD175),2),"")</x:f>
      </x:c>
      <x:c r="N175" s="16" t="str">
        <x:f>IF(AND(AND(174&lt;='Control Room'!$B$3,'Control Room'!$D$3="Ready"),12&lt;='Control Room'!$B$2),ROUND(MAX(0,'Process'!BH175*'Control Room'!$H$15*INDEX('Control Room'!$B$19:$H$19,1,WEEKDAY($A175,2))*(1+'Control Room'!$D$9)^173*'Process'!BI175),2),"")</x:f>
      </x:c>
    </x:row>
    <x:row r="176" ht="21" customHeight="1">
      <x:c r="A176" s="15" t="str">
        <x:f>IF(AND(175&lt;='Control Room'!$B$3,'Control Room'!$D$3="Ready"),'Process'!A176,"")</x:f>
      </x:c>
      <x:c r="B176" s="16" t="str">
        <x:f>IF(A176="","",SUM(C176:N176))</x:f>
      </x:c>
      <x:c r="C176" s="16" t="str">
        <x:f>IF(AND(AND(175&lt;='Control Room'!$B$3,'Control Room'!$D$3="Ready"),1&lt;='Control Room'!$B$2),ROUND(MAX(0,'Process'!E176*'Control Room'!$H$4*INDEX('Control Room'!$B$19:$H$19,1,WEEKDAY($A176,2))*(1+'Control Room'!$D$9)^174*'Process'!F176),2),"")</x:f>
      </x:c>
      <x:c r="D176" s="16" t="str">
        <x:f>IF(AND(AND(175&lt;='Control Room'!$B$3,'Control Room'!$D$3="Ready"),2&lt;='Control Room'!$B$2),ROUND(MAX(0,'Process'!J176*'Control Room'!$H$5*INDEX('Control Room'!$B$19:$H$19,1,WEEKDAY($A176,2))*(1+'Control Room'!$D$9)^174*'Process'!K176),2),"")</x:f>
      </x:c>
      <x:c r="E176" s="16" t="str">
        <x:f>IF(AND(AND(175&lt;='Control Room'!$B$3,'Control Room'!$D$3="Ready"),3&lt;='Control Room'!$B$2),ROUND(MAX(0,'Process'!O176*'Control Room'!$H$6*INDEX('Control Room'!$B$19:$H$19,1,WEEKDAY($A176,2))*(1+'Control Room'!$D$9)^174*'Process'!P176),2),"")</x:f>
      </x:c>
      <x:c r="F176" s="16" t="str">
        <x:f>IF(AND(AND(175&lt;='Control Room'!$B$3,'Control Room'!$D$3="Ready"),4&lt;='Control Room'!$B$2),ROUND(MAX(0,'Process'!T176*'Control Room'!$H$7*INDEX('Control Room'!$B$19:$H$19,1,WEEKDAY($A176,2))*(1+'Control Room'!$D$9)^174*'Process'!U176),2),"")</x:f>
      </x:c>
      <x:c r="G176" s="16" t="str">
        <x:f>IF(AND(AND(175&lt;='Control Room'!$B$3,'Control Room'!$D$3="Ready"),5&lt;='Control Room'!$B$2),ROUND(MAX(0,'Process'!Y176*'Control Room'!$H$8*INDEX('Control Room'!$B$19:$H$19,1,WEEKDAY($A176,2))*(1+'Control Room'!$D$9)^174*'Process'!Z176),2),"")</x:f>
      </x:c>
      <x:c r="H176" s="16" t="str">
        <x:f>IF(AND(AND(175&lt;='Control Room'!$B$3,'Control Room'!$D$3="Ready"),6&lt;='Control Room'!$B$2),ROUND(MAX(0,'Process'!AD176*'Control Room'!$H$9*INDEX('Control Room'!$B$19:$H$19,1,WEEKDAY($A176,2))*(1+'Control Room'!$D$9)^174*'Process'!AE176),2),"")</x:f>
      </x:c>
      <x:c r="I176" s="16" t="str">
        <x:f>IF(AND(AND(175&lt;='Control Room'!$B$3,'Control Room'!$D$3="Ready"),7&lt;='Control Room'!$B$2),ROUND(MAX(0,'Process'!AI176*'Control Room'!$H$10*INDEX('Control Room'!$B$19:$H$19,1,WEEKDAY($A176,2))*(1+'Control Room'!$D$9)^174*'Process'!AJ176),2),"")</x:f>
      </x:c>
      <x:c r="J176" s="16" t="str">
        <x:f>IF(AND(AND(175&lt;='Control Room'!$B$3,'Control Room'!$D$3="Ready"),8&lt;='Control Room'!$B$2),ROUND(MAX(0,'Process'!AN176*'Control Room'!$H$11*INDEX('Control Room'!$B$19:$H$19,1,WEEKDAY($A176,2))*(1+'Control Room'!$D$9)^174*'Process'!AO176),2),"")</x:f>
      </x:c>
      <x:c r="K176" s="16" t="str">
        <x:f>IF(AND(AND(175&lt;='Control Room'!$B$3,'Control Room'!$D$3="Ready"),9&lt;='Control Room'!$B$2),ROUND(MAX(0,'Process'!AS176*'Control Room'!$H$12*INDEX('Control Room'!$B$19:$H$19,1,WEEKDAY($A176,2))*(1+'Control Room'!$D$9)^174*'Process'!AT176),2),"")</x:f>
      </x:c>
      <x:c r="L176" s="16" t="str">
        <x:f>IF(AND(AND(175&lt;='Control Room'!$B$3,'Control Room'!$D$3="Ready"),10&lt;='Control Room'!$B$2),ROUND(MAX(0,'Process'!AX176*'Control Room'!$H$13*INDEX('Control Room'!$B$19:$H$19,1,WEEKDAY($A176,2))*(1+'Control Room'!$D$9)^174*'Process'!AY176),2),"")</x:f>
      </x:c>
      <x:c r="M176" s="16" t="str">
        <x:f>IF(AND(AND(175&lt;='Control Room'!$B$3,'Control Room'!$D$3="Ready"),11&lt;='Control Room'!$B$2),ROUND(MAX(0,'Process'!BC176*'Control Room'!$H$14*INDEX('Control Room'!$B$19:$H$19,1,WEEKDAY($A176,2))*(1+'Control Room'!$D$9)^174*'Process'!BD176),2),"")</x:f>
      </x:c>
      <x:c r="N176" s="16" t="str">
        <x:f>IF(AND(AND(175&lt;='Control Room'!$B$3,'Control Room'!$D$3="Ready"),12&lt;='Control Room'!$B$2),ROUND(MAX(0,'Process'!BH176*'Control Room'!$H$15*INDEX('Control Room'!$B$19:$H$19,1,WEEKDAY($A176,2))*(1+'Control Room'!$D$9)^174*'Process'!BI176),2),"")</x:f>
      </x:c>
    </x:row>
    <x:row r="177" ht="21" customHeight="1">
      <x:c r="A177" s="15" t="str">
        <x:f>IF(AND(176&lt;='Control Room'!$B$3,'Control Room'!$D$3="Ready"),'Process'!A177,"")</x:f>
      </x:c>
      <x:c r="B177" s="16" t="str">
        <x:f>IF(A177="","",SUM(C177:N177))</x:f>
      </x:c>
      <x:c r="C177" s="16" t="str">
        <x:f>IF(AND(AND(176&lt;='Control Room'!$B$3,'Control Room'!$D$3="Ready"),1&lt;='Control Room'!$B$2),ROUND(MAX(0,'Process'!E177*'Control Room'!$H$4*INDEX('Control Room'!$B$19:$H$19,1,WEEKDAY($A177,2))*(1+'Control Room'!$D$9)^175*'Process'!F177),2),"")</x:f>
      </x:c>
      <x:c r="D177" s="16" t="str">
        <x:f>IF(AND(AND(176&lt;='Control Room'!$B$3,'Control Room'!$D$3="Ready"),2&lt;='Control Room'!$B$2),ROUND(MAX(0,'Process'!J177*'Control Room'!$H$5*INDEX('Control Room'!$B$19:$H$19,1,WEEKDAY($A177,2))*(1+'Control Room'!$D$9)^175*'Process'!K177),2),"")</x:f>
      </x:c>
      <x:c r="E177" s="16" t="str">
        <x:f>IF(AND(AND(176&lt;='Control Room'!$B$3,'Control Room'!$D$3="Ready"),3&lt;='Control Room'!$B$2),ROUND(MAX(0,'Process'!O177*'Control Room'!$H$6*INDEX('Control Room'!$B$19:$H$19,1,WEEKDAY($A177,2))*(1+'Control Room'!$D$9)^175*'Process'!P177),2),"")</x:f>
      </x:c>
      <x:c r="F177" s="16" t="str">
        <x:f>IF(AND(AND(176&lt;='Control Room'!$B$3,'Control Room'!$D$3="Ready"),4&lt;='Control Room'!$B$2),ROUND(MAX(0,'Process'!T177*'Control Room'!$H$7*INDEX('Control Room'!$B$19:$H$19,1,WEEKDAY($A177,2))*(1+'Control Room'!$D$9)^175*'Process'!U177),2),"")</x:f>
      </x:c>
      <x:c r="G177" s="16" t="str">
        <x:f>IF(AND(AND(176&lt;='Control Room'!$B$3,'Control Room'!$D$3="Ready"),5&lt;='Control Room'!$B$2),ROUND(MAX(0,'Process'!Y177*'Control Room'!$H$8*INDEX('Control Room'!$B$19:$H$19,1,WEEKDAY($A177,2))*(1+'Control Room'!$D$9)^175*'Process'!Z177),2),"")</x:f>
      </x:c>
      <x:c r="H177" s="16" t="str">
        <x:f>IF(AND(AND(176&lt;='Control Room'!$B$3,'Control Room'!$D$3="Ready"),6&lt;='Control Room'!$B$2),ROUND(MAX(0,'Process'!AD177*'Control Room'!$H$9*INDEX('Control Room'!$B$19:$H$19,1,WEEKDAY($A177,2))*(1+'Control Room'!$D$9)^175*'Process'!AE177),2),"")</x:f>
      </x:c>
      <x:c r="I177" s="16" t="str">
        <x:f>IF(AND(AND(176&lt;='Control Room'!$B$3,'Control Room'!$D$3="Ready"),7&lt;='Control Room'!$B$2),ROUND(MAX(0,'Process'!AI177*'Control Room'!$H$10*INDEX('Control Room'!$B$19:$H$19,1,WEEKDAY($A177,2))*(1+'Control Room'!$D$9)^175*'Process'!AJ177),2),"")</x:f>
      </x:c>
      <x:c r="J177" s="16" t="str">
        <x:f>IF(AND(AND(176&lt;='Control Room'!$B$3,'Control Room'!$D$3="Ready"),8&lt;='Control Room'!$B$2),ROUND(MAX(0,'Process'!AN177*'Control Room'!$H$11*INDEX('Control Room'!$B$19:$H$19,1,WEEKDAY($A177,2))*(1+'Control Room'!$D$9)^175*'Process'!AO177),2),"")</x:f>
      </x:c>
      <x:c r="K177" s="16" t="str">
        <x:f>IF(AND(AND(176&lt;='Control Room'!$B$3,'Control Room'!$D$3="Ready"),9&lt;='Control Room'!$B$2),ROUND(MAX(0,'Process'!AS177*'Control Room'!$H$12*INDEX('Control Room'!$B$19:$H$19,1,WEEKDAY($A177,2))*(1+'Control Room'!$D$9)^175*'Process'!AT177),2),"")</x:f>
      </x:c>
      <x:c r="L177" s="16" t="str">
        <x:f>IF(AND(AND(176&lt;='Control Room'!$B$3,'Control Room'!$D$3="Ready"),10&lt;='Control Room'!$B$2),ROUND(MAX(0,'Process'!AX177*'Control Room'!$H$13*INDEX('Control Room'!$B$19:$H$19,1,WEEKDAY($A177,2))*(1+'Control Room'!$D$9)^175*'Process'!AY177),2),"")</x:f>
      </x:c>
      <x:c r="M177" s="16" t="str">
        <x:f>IF(AND(AND(176&lt;='Control Room'!$B$3,'Control Room'!$D$3="Ready"),11&lt;='Control Room'!$B$2),ROUND(MAX(0,'Process'!BC177*'Control Room'!$H$14*INDEX('Control Room'!$B$19:$H$19,1,WEEKDAY($A177,2))*(1+'Control Room'!$D$9)^175*'Process'!BD177),2),"")</x:f>
      </x:c>
      <x:c r="N177" s="16" t="str">
        <x:f>IF(AND(AND(176&lt;='Control Room'!$B$3,'Control Room'!$D$3="Ready"),12&lt;='Control Room'!$B$2),ROUND(MAX(0,'Process'!BH177*'Control Room'!$H$15*INDEX('Control Room'!$B$19:$H$19,1,WEEKDAY($A177,2))*(1+'Control Room'!$D$9)^175*'Process'!BI177),2),"")</x:f>
      </x:c>
    </x:row>
    <x:row r="178" ht="21" customHeight="1">
      <x:c r="A178" s="15" t="str">
        <x:f>IF(AND(177&lt;='Control Room'!$B$3,'Control Room'!$D$3="Ready"),'Process'!A178,"")</x:f>
      </x:c>
      <x:c r="B178" s="16" t="str">
        <x:f>IF(A178="","",SUM(C178:N178))</x:f>
      </x:c>
      <x:c r="C178" s="16" t="str">
        <x:f>IF(AND(AND(177&lt;='Control Room'!$B$3,'Control Room'!$D$3="Ready"),1&lt;='Control Room'!$B$2),ROUND(MAX(0,'Process'!E178*'Control Room'!$H$4*INDEX('Control Room'!$B$19:$H$19,1,WEEKDAY($A178,2))*(1+'Control Room'!$D$9)^176*'Process'!F178),2),"")</x:f>
      </x:c>
      <x:c r="D178" s="16" t="str">
        <x:f>IF(AND(AND(177&lt;='Control Room'!$B$3,'Control Room'!$D$3="Ready"),2&lt;='Control Room'!$B$2),ROUND(MAX(0,'Process'!J178*'Control Room'!$H$5*INDEX('Control Room'!$B$19:$H$19,1,WEEKDAY($A178,2))*(1+'Control Room'!$D$9)^176*'Process'!K178),2),"")</x:f>
      </x:c>
      <x:c r="E178" s="16" t="str">
        <x:f>IF(AND(AND(177&lt;='Control Room'!$B$3,'Control Room'!$D$3="Ready"),3&lt;='Control Room'!$B$2),ROUND(MAX(0,'Process'!O178*'Control Room'!$H$6*INDEX('Control Room'!$B$19:$H$19,1,WEEKDAY($A178,2))*(1+'Control Room'!$D$9)^176*'Process'!P178),2),"")</x:f>
      </x:c>
      <x:c r="F178" s="16" t="str">
        <x:f>IF(AND(AND(177&lt;='Control Room'!$B$3,'Control Room'!$D$3="Ready"),4&lt;='Control Room'!$B$2),ROUND(MAX(0,'Process'!T178*'Control Room'!$H$7*INDEX('Control Room'!$B$19:$H$19,1,WEEKDAY($A178,2))*(1+'Control Room'!$D$9)^176*'Process'!U178),2),"")</x:f>
      </x:c>
      <x:c r="G178" s="16" t="str">
        <x:f>IF(AND(AND(177&lt;='Control Room'!$B$3,'Control Room'!$D$3="Ready"),5&lt;='Control Room'!$B$2),ROUND(MAX(0,'Process'!Y178*'Control Room'!$H$8*INDEX('Control Room'!$B$19:$H$19,1,WEEKDAY($A178,2))*(1+'Control Room'!$D$9)^176*'Process'!Z178),2),"")</x:f>
      </x:c>
      <x:c r="H178" s="16" t="str">
        <x:f>IF(AND(AND(177&lt;='Control Room'!$B$3,'Control Room'!$D$3="Ready"),6&lt;='Control Room'!$B$2),ROUND(MAX(0,'Process'!AD178*'Control Room'!$H$9*INDEX('Control Room'!$B$19:$H$19,1,WEEKDAY($A178,2))*(1+'Control Room'!$D$9)^176*'Process'!AE178),2),"")</x:f>
      </x:c>
      <x:c r="I178" s="16" t="str">
        <x:f>IF(AND(AND(177&lt;='Control Room'!$B$3,'Control Room'!$D$3="Ready"),7&lt;='Control Room'!$B$2),ROUND(MAX(0,'Process'!AI178*'Control Room'!$H$10*INDEX('Control Room'!$B$19:$H$19,1,WEEKDAY($A178,2))*(1+'Control Room'!$D$9)^176*'Process'!AJ178),2),"")</x:f>
      </x:c>
      <x:c r="J178" s="16" t="str">
        <x:f>IF(AND(AND(177&lt;='Control Room'!$B$3,'Control Room'!$D$3="Ready"),8&lt;='Control Room'!$B$2),ROUND(MAX(0,'Process'!AN178*'Control Room'!$H$11*INDEX('Control Room'!$B$19:$H$19,1,WEEKDAY($A178,2))*(1+'Control Room'!$D$9)^176*'Process'!AO178),2),"")</x:f>
      </x:c>
      <x:c r="K178" s="16" t="str">
        <x:f>IF(AND(AND(177&lt;='Control Room'!$B$3,'Control Room'!$D$3="Ready"),9&lt;='Control Room'!$B$2),ROUND(MAX(0,'Process'!AS178*'Control Room'!$H$12*INDEX('Control Room'!$B$19:$H$19,1,WEEKDAY($A178,2))*(1+'Control Room'!$D$9)^176*'Process'!AT178),2),"")</x:f>
      </x:c>
      <x:c r="L178" s="16" t="str">
        <x:f>IF(AND(AND(177&lt;='Control Room'!$B$3,'Control Room'!$D$3="Ready"),10&lt;='Control Room'!$B$2),ROUND(MAX(0,'Process'!AX178*'Control Room'!$H$13*INDEX('Control Room'!$B$19:$H$19,1,WEEKDAY($A178,2))*(1+'Control Room'!$D$9)^176*'Process'!AY178),2),"")</x:f>
      </x:c>
      <x:c r="M178" s="16" t="str">
        <x:f>IF(AND(AND(177&lt;='Control Room'!$B$3,'Control Room'!$D$3="Ready"),11&lt;='Control Room'!$B$2),ROUND(MAX(0,'Process'!BC178*'Control Room'!$H$14*INDEX('Control Room'!$B$19:$H$19,1,WEEKDAY($A178,2))*(1+'Control Room'!$D$9)^176*'Process'!BD178),2),"")</x:f>
      </x:c>
      <x:c r="N178" s="16" t="str">
        <x:f>IF(AND(AND(177&lt;='Control Room'!$B$3,'Control Room'!$D$3="Ready"),12&lt;='Control Room'!$B$2),ROUND(MAX(0,'Process'!BH178*'Control Room'!$H$15*INDEX('Control Room'!$B$19:$H$19,1,WEEKDAY($A178,2))*(1+'Control Room'!$D$9)^176*'Process'!BI178),2),"")</x:f>
      </x:c>
    </x:row>
    <x:row r="179" ht="21" customHeight="1">
      <x:c r="A179" s="15" t="str">
        <x:f>IF(AND(178&lt;='Control Room'!$B$3,'Control Room'!$D$3="Ready"),'Process'!A179,"")</x:f>
      </x:c>
      <x:c r="B179" s="16" t="str">
        <x:f>IF(A179="","",SUM(C179:N179))</x:f>
      </x:c>
      <x:c r="C179" s="16" t="str">
        <x:f>IF(AND(AND(178&lt;='Control Room'!$B$3,'Control Room'!$D$3="Ready"),1&lt;='Control Room'!$B$2),ROUND(MAX(0,'Process'!E179*'Control Room'!$H$4*INDEX('Control Room'!$B$19:$H$19,1,WEEKDAY($A179,2))*(1+'Control Room'!$D$9)^177*'Process'!F179),2),"")</x:f>
      </x:c>
      <x:c r="D179" s="16" t="str">
        <x:f>IF(AND(AND(178&lt;='Control Room'!$B$3,'Control Room'!$D$3="Ready"),2&lt;='Control Room'!$B$2),ROUND(MAX(0,'Process'!J179*'Control Room'!$H$5*INDEX('Control Room'!$B$19:$H$19,1,WEEKDAY($A179,2))*(1+'Control Room'!$D$9)^177*'Process'!K179),2),"")</x:f>
      </x:c>
      <x:c r="E179" s="16" t="str">
        <x:f>IF(AND(AND(178&lt;='Control Room'!$B$3,'Control Room'!$D$3="Ready"),3&lt;='Control Room'!$B$2),ROUND(MAX(0,'Process'!O179*'Control Room'!$H$6*INDEX('Control Room'!$B$19:$H$19,1,WEEKDAY($A179,2))*(1+'Control Room'!$D$9)^177*'Process'!P179),2),"")</x:f>
      </x:c>
      <x:c r="F179" s="16" t="str">
        <x:f>IF(AND(AND(178&lt;='Control Room'!$B$3,'Control Room'!$D$3="Ready"),4&lt;='Control Room'!$B$2),ROUND(MAX(0,'Process'!T179*'Control Room'!$H$7*INDEX('Control Room'!$B$19:$H$19,1,WEEKDAY($A179,2))*(1+'Control Room'!$D$9)^177*'Process'!U179),2),"")</x:f>
      </x:c>
      <x:c r="G179" s="16" t="str">
        <x:f>IF(AND(AND(178&lt;='Control Room'!$B$3,'Control Room'!$D$3="Ready"),5&lt;='Control Room'!$B$2),ROUND(MAX(0,'Process'!Y179*'Control Room'!$H$8*INDEX('Control Room'!$B$19:$H$19,1,WEEKDAY($A179,2))*(1+'Control Room'!$D$9)^177*'Process'!Z179),2),"")</x:f>
      </x:c>
      <x:c r="H179" s="16" t="str">
        <x:f>IF(AND(AND(178&lt;='Control Room'!$B$3,'Control Room'!$D$3="Ready"),6&lt;='Control Room'!$B$2),ROUND(MAX(0,'Process'!AD179*'Control Room'!$H$9*INDEX('Control Room'!$B$19:$H$19,1,WEEKDAY($A179,2))*(1+'Control Room'!$D$9)^177*'Process'!AE179),2),"")</x:f>
      </x:c>
      <x:c r="I179" s="16" t="str">
        <x:f>IF(AND(AND(178&lt;='Control Room'!$B$3,'Control Room'!$D$3="Ready"),7&lt;='Control Room'!$B$2),ROUND(MAX(0,'Process'!AI179*'Control Room'!$H$10*INDEX('Control Room'!$B$19:$H$19,1,WEEKDAY($A179,2))*(1+'Control Room'!$D$9)^177*'Process'!AJ179),2),"")</x:f>
      </x:c>
      <x:c r="J179" s="16" t="str">
        <x:f>IF(AND(AND(178&lt;='Control Room'!$B$3,'Control Room'!$D$3="Ready"),8&lt;='Control Room'!$B$2),ROUND(MAX(0,'Process'!AN179*'Control Room'!$H$11*INDEX('Control Room'!$B$19:$H$19,1,WEEKDAY($A179,2))*(1+'Control Room'!$D$9)^177*'Process'!AO179),2),"")</x:f>
      </x:c>
      <x:c r="K179" s="16" t="str">
        <x:f>IF(AND(AND(178&lt;='Control Room'!$B$3,'Control Room'!$D$3="Ready"),9&lt;='Control Room'!$B$2),ROUND(MAX(0,'Process'!AS179*'Control Room'!$H$12*INDEX('Control Room'!$B$19:$H$19,1,WEEKDAY($A179,2))*(1+'Control Room'!$D$9)^177*'Process'!AT179),2),"")</x:f>
      </x:c>
      <x:c r="L179" s="16" t="str">
        <x:f>IF(AND(AND(178&lt;='Control Room'!$B$3,'Control Room'!$D$3="Ready"),10&lt;='Control Room'!$B$2),ROUND(MAX(0,'Process'!AX179*'Control Room'!$H$13*INDEX('Control Room'!$B$19:$H$19,1,WEEKDAY($A179,2))*(1+'Control Room'!$D$9)^177*'Process'!AY179),2),"")</x:f>
      </x:c>
      <x:c r="M179" s="16" t="str">
        <x:f>IF(AND(AND(178&lt;='Control Room'!$B$3,'Control Room'!$D$3="Ready"),11&lt;='Control Room'!$B$2),ROUND(MAX(0,'Process'!BC179*'Control Room'!$H$14*INDEX('Control Room'!$B$19:$H$19,1,WEEKDAY($A179,2))*(1+'Control Room'!$D$9)^177*'Process'!BD179),2),"")</x:f>
      </x:c>
      <x:c r="N179" s="16" t="str">
        <x:f>IF(AND(AND(178&lt;='Control Room'!$B$3,'Control Room'!$D$3="Ready"),12&lt;='Control Room'!$B$2),ROUND(MAX(0,'Process'!BH179*'Control Room'!$H$15*INDEX('Control Room'!$B$19:$H$19,1,WEEKDAY($A179,2))*(1+'Control Room'!$D$9)^177*'Process'!BI179),2),"")</x:f>
      </x:c>
    </x:row>
    <x:row r="180" ht="21" customHeight="1">
      <x:c r="A180" s="15" t="str">
        <x:f>IF(AND(179&lt;='Control Room'!$B$3,'Control Room'!$D$3="Ready"),'Process'!A180,"")</x:f>
      </x:c>
      <x:c r="B180" s="16" t="str">
        <x:f>IF(A180="","",SUM(C180:N180))</x:f>
      </x:c>
      <x:c r="C180" s="16" t="str">
        <x:f>IF(AND(AND(179&lt;='Control Room'!$B$3,'Control Room'!$D$3="Ready"),1&lt;='Control Room'!$B$2),ROUND(MAX(0,'Process'!E180*'Control Room'!$H$4*INDEX('Control Room'!$B$19:$H$19,1,WEEKDAY($A180,2))*(1+'Control Room'!$D$9)^178*'Process'!F180),2),"")</x:f>
      </x:c>
      <x:c r="D180" s="16" t="str">
        <x:f>IF(AND(AND(179&lt;='Control Room'!$B$3,'Control Room'!$D$3="Ready"),2&lt;='Control Room'!$B$2),ROUND(MAX(0,'Process'!J180*'Control Room'!$H$5*INDEX('Control Room'!$B$19:$H$19,1,WEEKDAY($A180,2))*(1+'Control Room'!$D$9)^178*'Process'!K180),2),"")</x:f>
      </x:c>
      <x:c r="E180" s="16" t="str">
        <x:f>IF(AND(AND(179&lt;='Control Room'!$B$3,'Control Room'!$D$3="Ready"),3&lt;='Control Room'!$B$2),ROUND(MAX(0,'Process'!O180*'Control Room'!$H$6*INDEX('Control Room'!$B$19:$H$19,1,WEEKDAY($A180,2))*(1+'Control Room'!$D$9)^178*'Process'!P180),2),"")</x:f>
      </x:c>
      <x:c r="F180" s="16" t="str">
        <x:f>IF(AND(AND(179&lt;='Control Room'!$B$3,'Control Room'!$D$3="Ready"),4&lt;='Control Room'!$B$2),ROUND(MAX(0,'Process'!T180*'Control Room'!$H$7*INDEX('Control Room'!$B$19:$H$19,1,WEEKDAY($A180,2))*(1+'Control Room'!$D$9)^178*'Process'!U180),2),"")</x:f>
      </x:c>
      <x:c r="G180" s="16" t="str">
        <x:f>IF(AND(AND(179&lt;='Control Room'!$B$3,'Control Room'!$D$3="Ready"),5&lt;='Control Room'!$B$2),ROUND(MAX(0,'Process'!Y180*'Control Room'!$H$8*INDEX('Control Room'!$B$19:$H$19,1,WEEKDAY($A180,2))*(1+'Control Room'!$D$9)^178*'Process'!Z180),2),"")</x:f>
      </x:c>
      <x:c r="H180" s="16" t="str">
        <x:f>IF(AND(AND(179&lt;='Control Room'!$B$3,'Control Room'!$D$3="Ready"),6&lt;='Control Room'!$B$2),ROUND(MAX(0,'Process'!AD180*'Control Room'!$H$9*INDEX('Control Room'!$B$19:$H$19,1,WEEKDAY($A180,2))*(1+'Control Room'!$D$9)^178*'Process'!AE180),2),"")</x:f>
      </x:c>
      <x:c r="I180" s="16" t="str">
        <x:f>IF(AND(AND(179&lt;='Control Room'!$B$3,'Control Room'!$D$3="Ready"),7&lt;='Control Room'!$B$2),ROUND(MAX(0,'Process'!AI180*'Control Room'!$H$10*INDEX('Control Room'!$B$19:$H$19,1,WEEKDAY($A180,2))*(1+'Control Room'!$D$9)^178*'Process'!AJ180),2),"")</x:f>
      </x:c>
      <x:c r="J180" s="16" t="str">
        <x:f>IF(AND(AND(179&lt;='Control Room'!$B$3,'Control Room'!$D$3="Ready"),8&lt;='Control Room'!$B$2),ROUND(MAX(0,'Process'!AN180*'Control Room'!$H$11*INDEX('Control Room'!$B$19:$H$19,1,WEEKDAY($A180,2))*(1+'Control Room'!$D$9)^178*'Process'!AO180),2),"")</x:f>
      </x:c>
      <x:c r="K180" s="16" t="str">
        <x:f>IF(AND(AND(179&lt;='Control Room'!$B$3,'Control Room'!$D$3="Ready"),9&lt;='Control Room'!$B$2),ROUND(MAX(0,'Process'!AS180*'Control Room'!$H$12*INDEX('Control Room'!$B$19:$H$19,1,WEEKDAY($A180,2))*(1+'Control Room'!$D$9)^178*'Process'!AT180),2),"")</x:f>
      </x:c>
      <x:c r="L180" s="16" t="str">
        <x:f>IF(AND(AND(179&lt;='Control Room'!$B$3,'Control Room'!$D$3="Ready"),10&lt;='Control Room'!$B$2),ROUND(MAX(0,'Process'!AX180*'Control Room'!$H$13*INDEX('Control Room'!$B$19:$H$19,1,WEEKDAY($A180,2))*(1+'Control Room'!$D$9)^178*'Process'!AY180),2),"")</x:f>
      </x:c>
      <x:c r="M180" s="16" t="str">
        <x:f>IF(AND(AND(179&lt;='Control Room'!$B$3,'Control Room'!$D$3="Ready"),11&lt;='Control Room'!$B$2),ROUND(MAX(0,'Process'!BC180*'Control Room'!$H$14*INDEX('Control Room'!$B$19:$H$19,1,WEEKDAY($A180,2))*(1+'Control Room'!$D$9)^178*'Process'!BD180),2),"")</x:f>
      </x:c>
      <x:c r="N180" s="16" t="str">
        <x:f>IF(AND(AND(179&lt;='Control Room'!$B$3,'Control Room'!$D$3="Ready"),12&lt;='Control Room'!$B$2),ROUND(MAX(0,'Process'!BH180*'Control Room'!$H$15*INDEX('Control Room'!$B$19:$H$19,1,WEEKDAY($A180,2))*(1+'Control Room'!$D$9)^178*'Process'!BI180),2),"")</x:f>
      </x:c>
    </x:row>
    <x:row r="181" ht="21" customHeight="1">
      <x:c r="A181" s="15" t="str">
        <x:f>IF(AND(180&lt;='Control Room'!$B$3,'Control Room'!$D$3="Ready"),'Process'!A181,"")</x:f>
      </x:c>
      <x:c r="B181" s="16" t="str">
        <x:f>IF(A181="","",SUM(C181:N181))</x:f>
      </x:c>
      <x:c r="C181" s="16" t="str">
        <x:f>IF(AND(AND(180&lt;='Control Room'!$B$3,'Control Room'!$D$3="Ready"),1&lt;='Control Room'!$B$2),ROUND(MAX(0,'Process'!E181*'Control Room'!$H$4*INDEX('Control Room'!$B$19:$H$19,1,WEEKDAY($A181,2))*(1+'Control Room'!$D$9)^179*'Process'!F181),2),"")</x:f>
      </x:c>
      <x:c r="D181" s="16" t="str">
        <x:f>IF(AND(AND(180&lt;='Control Room'!$B$3,'Control Room'!$D$3="Ready"),2&lt;='Control Room'!$B$2),ROUND(MAX(0,'Process'!J181*'Control Room'!$H$5*INDEX('Control Room'!$B$19:$H$19,1,WEEKDAY($A181,2))*(1+'Control Room'!$D$9)^179*'Process'!K181),2),"")</x:f>
      </x:c>
      <x:c r="E181" s="16" t="str">
        <x:f>IF(AND(AND(180&lt;='Control Room'!$B$3,'Control Room'!$D$3="Ready"),3&lt;='Control Room'!$B$2),ROUND(MAX(0,'Process'!O181*'Control Room'!$H$6*INDEX('Control Room'!$B$19:$H$19,1,WEEKDAY($A181,2))*(1+'Control Room'!$D$9)^179*'Process'!P181),2),"")</x:f>
      </x:c>
      <x:c r="F181" s="16" t="str">
        <x:f>IF(AND(AND(180&lt;='Control Room'!$B$3,'Control Room'!$D$3="Ready"),4&lt;='Control Room'!$B$2),ROUND(MAX(0,'Process'!T181*'Control Room'!$H$7*INDEX('Control Room'!$B$19:$H$19,1,WEEKDAY($A181,2))*(1+'Control Room'!$D$9)^179*'Process'!U181),2),"")</x:f>
      </x:c>
      <x:c r="G181" s="16" t="str">
        <x:f>IF(AND(AND(180&lt;='Control Room'!$B$3,'Control Room'!$D$3="Ready"),5&lt;='Control Room'!$B$2),ROUND(MAX(0,'Process'!Y181*'Control Room'!$H$8*INDEX('Control Room'!$B$19:$H$19,1,WEEKDAY($A181,2))*(1+'Control Room'!$D$9)^179*'Process'!Z181),2),"")</x:f>
      </x:c>
      <x:c r="H181" s="16" t="str">
        <x:f>IF(AND(AND(180&lt;='Control Room'!$B$3,'Control Room'!$D$3="Ready"),6&lt;='Control Room'!$B$2),ROUND(MAX(0,'Process'!AD181*'Control Room'!$H$9*INDEX('Control Room'!$B$19:$H$19,1,WEEKDAY($A181,2))*(1+'Control Room'!$D$9)^179*'Process'!AE181),2),"")</x:f>
      </x:c>
      <x:c r="I181" s="16" t="str">
        <x:f>IF(AND(AND(180&lt;='Control Room'!$B$3,'Control Room'!$D$3="Ready"),7&lt;='Control Room'!$B$2),ROUND(MAX(0,'Process'!AI181*'Control Room'!$H$10*INDEX('Control Room'!$B$19:$H$19,1,WEEKDAY($A181,2))*(1+'Control Room'!$D$9)^179*'Process'!AJ181),2),"")</x:f>
      </x:c>
      <x:c r="J181" s="16" t="str">
        <x:f>IF(AND(AND(180&lt;='Control Room'!$B$3,'Control Room'!$D$3="Ready"),8&lt;='Control Room'!$B$2),ROUND(MAX(0,'Process'!AN181*'Control Room'!$H$11*INDEX('Control Room'!$B$19:$H$19,1,WEEKDAY($A181,2))*(1+'Control Room'!$D$9)^179*'Process'!AO181),2),"")</x:f>
      </x:c>
      <x:c r="K181" s="16" t="str">
        <x:f>IF(AND(AND(180&lt;='Control Room'!$B$3,'Control Room'!$D$3="Ready"),9&lt;='Control Room'!$B$2),ROUND(MAX(0,'Process'!AS181*'Control Room'!$H$12*INDEX('Control Room'!$B$19:$H$19,1,WEEKDAY($A181,2))*(1+'Control Room'!$D$9)^179*'Process'!AT181),2),"")</x:f>
      </x:c>
      <x:c r="L181" s="16" t="str">
        <x:f>IF(AND(AND(180&lt;='Control Room'!$B$3,'Control Room'!$D$3="Ready"),10&lt;='Control Room'!$B$2),ROUND(MAX(0,'Process'!AX181*'Control Room'!$H$13*INDEX('Control Room'!$B$19:$H$19,1,WEEKDAY($A181,2))*(1+'Control Room'!$D$9)^179*'Process'!AY181),2),"")</x:f>
      </x:c>
      <x:c r="M181" s="16" t="str">
        <x:f>IF(AND(AND(180&lt;='Control Room'!$B$3,'Control Room'!$D$3="Ready"),11&lt;='Control Room'!$B$2),ROUND(MAX(0,'Process'!BC181*'Control Room'!$H$14*INDEX('Control Room'!$B$19:$H$19,1,WEEKDAY($A181,2))*(1+'Control Room'!$D$9)^179*'Process'!BD181),2),"")</x:f>
      </x:c>
      <x:c r="N181" s="16" t="str">
        <x:f>IF(AND(AND(180&lt;='Control Room'!$B$3,'Control Room'!$D$3="Ready"),12&lt;='Control Room'!$B$2),ROUND(MAX(0,'Process'!BH181*'Control Room'!$H$15*INDEX('Control Room'!$B$19:$H$19,1,WEEKDAY($A181,2))*(1+'Control Room'!$D$9)^179*'Process'!BI181),2),"")</x:f>
      </x:c>
    </x:row>
    <x:row r="182" ht="21" customHeight="1">
      <x:c r="A182" s="15" t="str">
        <x:f>IF(AND(181&lt;='Control Room'!$B$3,'Control Room'!$D$3="Ready"),'Process'!A182,"")</x:f>
      </x:c>
      <x:c r="B182" s="16" t="str">
        <x:f>IF(A182="","",SUM(C182:N182))</x:f>
      </x:c>
      <x:c r="C182" s="16" t="str">
        <x:f>IF(AND(AND(181&lt;='Control Room'!$B$3,'Control Room'!$D$3="Ready"),1&lt;='Control Room'!$B$2),ROUND(MAX(0,'Process'!E182*'Control Room'!$H$4*INDEX('Control Room'!$B$19:$H$19,1,WEEKDAY($A182,2))*(1+'Control Room'!$D$9)^180*'Process'!F182),2),"")</x:f>
      </x:c>
      <x:c r="D182" s="16" t="str">
        <x:f>IF(AND(AND(181&lt;='Control Room'!$B$3,'Control Room'!$D$3="Ready"),2&lt;='Control Room'!$B$2),ROUND(MAX(0,'Process'!J182*'Control Room'!$H$5*INDEX('Control Room'!$B$19:$H$19,1,WEEKDAY($A182,2))*(1+'Control Room'!$D$9)^180*'Process'!K182),2),"")</x:f>
      </x:c>
      <x:c r="E182" s="16" t="str">
        <x:f>IF(AND(AND(181&lt;='Control Room'!$B$3,'Control Room'!$D$3="Ready"),3&lt;='Control Room'!$B$2),ROUND(MAX(0,'Process'!O182*'Control Room'!$H$6*INDEX('Control Room'!$B$19:$H$19,1,WEEKDAY($A182,2))*(1+'Control Room'!$D$9)^180*'Process'!P182),2),"")</x:f>
      </x:c>
      <x:c r="F182" s="16" t="str">
        <x:f>IF(AND(AND(181&lt;='Control Room'!$B$3,'Control Room'!$D$3="Ready"),4&lt;='Control Room'!$B$2),ROUND(MAX(0,'Process'!T182*'Control Room'!$H$7*INDEX('Control Room'!$B$19:$H$19,1,WEEKDAY($A182,2))*(1+'Control Room'!$D$9)^180*'Process'!U182),2),"")</x:f>
      </x:c>
      <x:c r="G182" s="16" t="str">
        <x:f>IF(AND(AND(181&lt;='Control Room'!$B$3,'Control Room'!$D$3="Ready"),5&lt;='Control Room'!$B$2),ROUND(MAX(0,'Process'!Y182*'Control Room'!$H$8*INDEX('Control Room'!$B$19:$H$19,1,WEEKDAY($A182,2))*(1+'Control Room'!$D$9)^180*'Process'!Z182),2),"")</x:f>
      </x:c>
      <x:c r="H182" s="16" t="str">
        <x:f>IF(AND(AND(181&lt;='Control Room'!$B$3,'Control Room'!$D$3="Ready"),6&lt;='Control Room'!$B$2),ROUND(MAX(0,'Process'!AD182*'Control Room'!$H$9*INDEX('Control Room'!$B$19:$H$19,1,WEEKDAY($A182,2))*(1+'Control Room'!$D$9)^180*'Process'!AE182),2),"")</x:f>
      </x:c>
      <x:c r="I182" s="16" t="str">
        <x:f>IF(AND(AND(181&lt;='Control Room'!$B$3,'Control Room'!$D$3="Ready"),7&lt;='Control Room'!$B$2),ROUND(MAX(0,'Process'!AI182*'Control Room'!$H$10*INDEX('Control Room'!$B$19:$H$19,1,WEEKDAY($A182,2))*(1+'Control Room'!$D$9)^180*'Process'!AJ182),2),"")</x:f>
      </x:c>
      <x:c r="J182" s="16" t="str">
        <x:f>IF(AND(AND(181&lt;='Control Room'!$B$3,'Control Room'!$D$3="Ready"),8&lt;='Control Room'!$B$2),ROUND(MAX(0,'Process'!AN182*'Control Room'!$H$11*INDEX('Control Room'!$B$19:$H$19,1,WEEKDAY($A182,2))*(1+'Control Room'!$D$9)^180*'Process'!AO182),2),"")</x:f>
      </x:c>
      <x:c r="K182" s="16" t="str">
        <x:f>IF(AND(AND(181&lt;='Control Room'!$B$3,'Control Room'!$D$3="Ready"),9&lt;='Control Room'!$B$2),ROUND(MAX(0,'Process'!AS182*'Control Room'!$H$12*INDEX('Control Room'!$B$19:$H$19,1,WEEKDAY($A182,2))*(1+'Control Room'!$D$9)^180*'Process'!AT182),2),"")</x:f>
      </x:c>
      <x:c r="L182" s="16" t="str">
        <x:f>IF(AND(AND(181&lt;='Control Room'!$B$3,'Control Room'!$D$3="Ready"),10&lt;='Control Room'!$B$2),ROUND(MAX(0,'Process'!AX182*'Control Room'!$H$13*INDEX('Control Room'!$B$19:$H$19,1,WEEKDAY($A182,2))*(1+'Control Room'!$D$9)^180*'Process'!AY182),2),"")</x:f>
      </x:c>
      <x:c r="M182" s="16" t="str">
        <x:f>IF(AND(AND(181&lt;='Control Room'!$B$3,'Control Room'!$D$3="Ready"),11&lt;='Control Room'!$B$2),ROUND(MAX(0,'Process'!BC182*'Control Room'!$H$14*INDEX('Control Room'!$B$19:$H$19,1,WEEKDAY($A182,2))*(1+'Control Room'!$D$9)^180*'Process'!BD182),2),"")</x:f>
      </x:c>
      <x:c r="N182" s="16" t="str">
        <x:f>IF(AND(AND(181&lt;='Control Room'!$B$3,'Control Room'!$D$3="Ready"),12&lt;='Control Room'!$B$2),ROUND(MAX(0,'Process'!BH182*'Control Room'!$H$15*INDEX('Control Room'!$B$19:$H$19,1,WEEKDAY($A182,2))*(1+'Control Room'!$D$9)^180*'Process'!BI182),2),"")</x:f>
      </x:c>
    </x:row>
    <x:row r="183" ht="21" customHeight="1">
      <x:c r="A183" s="15" t="str">
        <x:f>IF(AND(182&lt;='Control Room'!$B$3,'Control Room'!$D$3="Ready"),'Process'!A183,"")</x:f>
      </x:c>
      <x:c r="B183" s="16" t="str">
        <x:f>IF(A183="","",SUM(C183:N183))</x:f>
      </x:c>
      <x:c r="C183" s="16" t="str">
        <x:f>IF(AND(AND(182&lt;='Control Room'!$B$3,'Control Room'!$D$3="Ready"),1&lt;='Control Room'!$B$2),ROUND(MAX(0,'Process'!E183*'Control Room'!$H$4*INDEX('Control Room'!$B$19:$H$19,1,WEEKDAY($A183,2))*(1+'Control Room'!$D$9)^181*'Process'!F183),2),"")</x:f>
      </x:c>
      <x:c r="D183" s="16" t="str">
        <x:f>IF(AND(AND(182&lt;='Control Room'!$B$3,'Control Room'!$D$3="Ready"),2&lt;='Control Room'!$B$2),ROUND(MAX(0,'Process'!J183*'Control Room'!$H$5*INDEX('Control Room'!$B$19:$H$19,1,WEEKDAY($A183,2))*(1+'Control Room'!$D$9)^181*'Process'!K183),2),"")</x:f>
      </x:c>
      <x:c r="E183" s="16" t="str">
        <x:f>IF(AND(AND(182&lt;='Control Room'!$B$3,'Control Room'!$D$3="Ready"),3&lt;='Control Room'!$B$2),ROUND(MAX(0,'Process'!O183*'Control Room'!$H$6*INDEX('Control Room'!$B$19:$H$19,1,WEEKDAY($A183,2))*(1+'Control Room'!$D$9)^181*'Process'!P183),2),"")</x:f>
      </x:c>
      <x:c r="F183" s="16" t="str">
        <x:f>IF(AND(AND(182&lt;='Control Room'!$B$3,'Control Room'!$D$3="Ready"),4&lt;='Control Room'!$B$2),ROUND(MAX(0,'Process'!T183*'Control Room'!$H$7*INDEX('Control Room'!$B$19:$H$19,1,WEEKDAY($A183,2))*(1+'Control Room'!$D$9)^181*'Process'!U183),2),"")</x:f>
      </x:c>
      <x:c r="G183" s="16" t="str">
        <x:f>IF(AND(AND(182&lt;='Control Room'!$B$3,'Control Room'!$D$3="Ready"),5&lt;='Control Room'!$B$2),ROUND(MAX(0,'Process'!Y183*'Control Room'!$H$8*INDEX('Control Room'!$B$19:$H$19,1,WEEKDAY($A183,2))*(1+'Control Room'!$D$9)^181*'Process'!Z183),2),"")</x:f>
      </x:c>
      <x:c r="H183" s="16" t="str">
        <x:f>IF(AND(AND(182&lt;='Control Room'!$B$3,'Control Room'!$D$3="Ready"),6&lt;='Control Room'!$B$2),ROUND(MAX(0,'Process'!AD183*'Control Room'!$H$9*INDEX('Control Room'!$B$19:$H$19,1,WEEKDAY($A183,2))*(1+'Control Room'!$D$9)^181*'Process'!AE183),2),"")</x:f>
      </x:c>
      <x:c r="I183" s="16" t="str">
        <x:f>IF(AND(AND(182&lt;='Control Room'!$B$3,'Control Room'!$D$3="Ready"),7&lt;='Control Room'!$B$2),ROUND(MAX(0,'Process'!AI183*'Control Room'!$H$10*INDEX('Control Room'!$B$19:$H$19,1,WEEKDAY($A183,2))*(1+'Control Room'!$D$9)^181*'Process'!AJ183),2),"")</x:f>
      </x:c>
      <x:c r="J183" s="16" t="str">
        <x:f>IF(AND(AND(182&lt;='Control Room'!$B$3,'Control Room'!$D$3="Ready"),8&lt;='Control Room'!$B$2),ROUND(MAX(0,'Process'!AN183*'Control Room'!$H$11*INDEX('Control Room'!$B$19:$H$19,1,WEEKDAY($A183,2))*(1+'Control Room'!$D$9)^181*'Process'!AO183),2),"")</x:f>
      </x:c>
      <x:c r="K183" s="16" t="str">
        <x:f>IF(AND(AND(182&lt;='Control Room'!$B$3,'Control Room'!$D$3="Ready"),9&lt;='Control Room'!$B$2),ROUND(MAX(0,'Process'!AS183*'Control Room'!$H$12*INDEX('Control Room'!$B$19:$H$19,1,WEEKDAY($A183,2))*(1+'Control Room'!$D$9)^181*'Process'!AT183),2),"")</x:f>
      </x:c>
      <x:c r="L183" s="16" t="str">
        <x:f>IF(AND(AND(182&lt;='Control Room'!$B$3,'Control Room'!$D$3="Ready"),10&lt;='Control Room'!$B$2),ROUND(MAX(0,'Process'!AX183*'Control Room'!$H$13*INDEX('Control Room'!$B$19:$H$19,1,WEEKDAY($A183,2))*(1+'Control Room'!$D$9)^181*'Process'!AY183),2),"")</x:f>
      </x:c>
      <x:c r="M183" s="16" t="str">
        <x:f>IF(AND(AND(182&lt;='Control Room'!$B$3,'Control Room'!$D$3="Ready"),11&lt;='Control Room'!$B$2),ROUND(MAX(0,'Process'!BC183*'Control Room'!$H$14*INDEX('Control Room'!$B$19:$H$19,1,WEEKDAY($A183,2))*(1+'Control Room'!$D$9)^181*'Process'!BD183),2),"")</x:f>
      </x:c>
      <x:c r="N183" s="16" t="str">
        <x:f>IF(AND(AND(182&lt;='Control Room'!$B$3,'Control Room'!$D$3="Ready"),12&lt;='Control Room'!$B$2),ROUND(MAX(0,'Process'!BH183*'Control Room'!$H$15*INDEX('Control Room'!$B$19:$H$19,1,WEEKDAY($A183,2))*(1+'Control Room'!$D$9)^181*'Process'!BI183),2),"")</x:f>
      </x:c>
    </x:row>
    <x:row r="184" ht="21" customHeight="1">
      <x:c r="A184" s="15" t="str">
        <x:f>IF(AND(183&lt;='Control Room'!$B$3,'Control Room'!$D$3="Ready"),'Process'!A184,"")</x:f>
      </x:c>
      <x:c r="B184" s="16" t="str">
        <x:f>IF(A184="","",SUM(C184:N184))</x:f>
      </x:c>
      <x:c r="C184" s="16" t="str">
        <x:f>IF(AND(AND(183&lt;='Control Room'!$B$3,'Control Room'!$D$3="Ready"),1&lt;='Control Room'!$B$2),ROUND(MAX(0,'Process'!E184*'Control Room'!$H$4*INDEX('Control Room'!$B$19:$H$19,1,WEEKDAY($A184,2))*(1+'Control Room'!$D$9)^182*'Process'!F184),2),"")</x:f>
      </x:c>
      <x:c r="D184" s="16" t="str">
        <x:f>IF(AND(AND(183&lt;='Control Room'!$B$3,'Control Room'!$D$3="Ready"),2&lt;='Control Room'!$B$2),ROUND(MAX(0,'Process'!J184*'Control Room'!$H$5*INDEX('Control Room'!$B$19:$H$19,1,WEEKDAY($A184,2))*(1+'Control Room'!$D$9)^182*'Process'!K184),2),"")</x:f>
      </x:c>
      <x:c r="E184" s="16" t="str">
        <x:f>IF(AND(AND(183&lt;='Control Room'!$B$3,'Control Room'!$D$3="Ready"),3&lt;='Control Room'!$B$2),ROUND(MAX(0,'Process'!O184*'Control Room'!$H$6*INDEX('Control Room'!$B$19:$H$19,1,WEEKDAY($A184,2))*(1+'Control Room'!$D$9)^182*'Process'!P184),2),"")</x:f>
      </x:c>
      <x:c r="F184" s="16" t="str">
        <x:f>IF(AND(AND(183&lt;='Control Room'!$B$3,'Control Room'!$D$3="Ready"),4&lt;='Control Room'!$B$2),ROUND(MAX(0,'Process'!T184*'Control Room'!$H$7*INDEX('Control Room'!$B$19:$H$19,1,WEEKDAY($A184,2))*(1+'Control Room'!$D$9)^182*'Process'!U184),2),"")</x:f>
      </x:c>
      <x:c r="G184" s="16" t="str">
        <x:f>IF(AND(AND(183&lt;='Control Room'!$B$3,'Control Room'!$D$3="Ready"),5&lt;='Control Room'!$B$2),ROUND(MAX(0,'Process'!Y184*'Control Room'!$H$8*INDEX('Control Room'!$B$19:$H$19,1,WEEKDAY($A184,2))*(1+'Control Room'!$D$9)^182*'Process'!Z184),2),"")</x:f>
      </x:c>
      <x:c r="H184" s="16" t="str">
        <x:f>IF(AND(AND(183&lt;='Control Room'!$B$3,'Control Room'!$D$3="Ready"),6&lt;='Control Room'!$B$2),ROUND(MAX(0,'Process'!AD184*'Control Room'!$H$9*INDEX('Control Room'!$B$19:$H$19,1,WEEKDAY($A184,2))*(1+'Control Room'!$D$9)^182*'Process'!AE184),2),"")</x:f>
      </x:c>
      <x:c r="I184" s="16" t="str">
        <x:f>IF(AND(AND(183&lt;='Control Room'!$B$3,'Control Room'!$D$3="Ready"),7&lt;='Control Room'!$B$2),ROUND(MAX(0,'Process'!AI184*'Control Room'!$H$10*INDEX('Control Room'!$B$19:$H$19,1,WEEKDAY($A184,2))*(1+'Control Room'!$D$9)^182*'Process'!AJ184),2),"")</x:f>
      </x:c>
      <x:c r="J184" s="16" t="str">
        <x:f>IF(AND(AND(183&lt;='Control Room'!$B$3,'Control Room'!$D$3="Ready"),8&lt;='Control Room'!$B$2),ROUND(MAX(0,'Process'!AN184*'Control Room'!$H$11*INDEX('Control Room'!$B$19:$H$19,1,WEEKDAY($A184,2))*(1+'Control Room'!$D$9)^182*'Process'!AO184),2),"")</x:f>
      </x:c>
      <x:c r="K184" s="16" t="str">
        <x:f>IF(AND(AND(183&lt;='Control Room'!$B$3,'Control Room'!$D$3="Ready"),9&lt;='Control Room'!$B$2),ROUND(MAX(0,'Process'!AS184*'Control Room'!$H$12*INDEX('Control Room'!$B$19:$H$19,1,WEEKDAY($A184,2))*(1+'Control Room'!$D$9)^182*'Process'!AT184),2),"")</x:f>
      </x:c>
      <x:c r="L184" s="16" t="str">
        <x:f>IF(AND(AND(183&lt;='Control Room'!$B$3,'Control Room'!$D$3="Ready"),10&lt;='Control Room'!$B$2),ROUND(MAX(0,'Process'!AX184*'Control Room'!$H$13*INDEX('Control Room'!$B$19:$H$19,1,WEEKDAY($A184,2))*(1+'Control Room'!$D$9)^182*'Process'!AY184),2),"")</x:f>
      </x:c>
      <x:c r="M184" s="16" t="str">
        <x:f>IF(AND(AND(183&lt;='Control Room'!$B$3,'Control Room'!$D$3="Ready"),11&lt;='Control Room'!$B$2),ROUND(MAX(0,'Process'!BC184*'Control Room'!$H$14*INDEX('Control Room'!$B$19:$H$19,1,WEEKDAY($A184,2))*(1+'Control Room'!$D$9)^182*'Process'!BD184),2),"")</x:f>
      </x:c>
      <x:c r="N184" s="16" t="str">
        <x:f>IF(AND(AND(183&lt;='Control Room'!$B$3,'Control Room'!$D$3="Ready"),12&lt;='Control Room'!$B$2),ROUND(MAX(0,'Process'!BH184*'Control Room'!$H$15*INDEX('Control Room'!$B$19:$H$19,1,WEEKDAY($A184,2))*(1+'Control Room'!$D$9)^182*'Process'!BI184),2),"")</x:f>
      </x:c>
    </x:row>
    <x:row r="185" ht="21" customHeight="1">
      <x:c r="A185" s="15" t="str">
        <x:f>IF(AND(184&lt;='Control Room'!$B$3,'Control Room'!$D$3="Ready"),'Process'!A185,"")</x:f>
      </x:c>
      <x:c r="B185" s="16" t="str">
        <x:f>IF(A185="","",SUM(C185:N185))</x:f>
      </x:c>
      <x:c r="C185" s="16" t="str">
        <x:f>IF(AND(AND(184&lt;='Control Room'!$B$3,'Control Room'!$D$3="Ready"),1&lt;='Control Room'!$B$2),ROUND(MAX(0,'Process'!E185*'Control Room'!$H$4*INDEX('Control Room'!$B$19:$H$19,1,WEEKDAY($A185,2))*(1+'Control Room'!$D$9)^183*'Process'!F185),2),"")</x:f>
      </x:c>
      <x:c r="D185" s="16" t="str">
        <x:f>IF(AND(AND(184&lt;='Control Room'!$B$3,'Control Room'!$D$3="Ready"),2&lt;='Control Room'!$B$2),ROUND(MAX(0,'Process'!J185*'Control Room'!$H$5*INDEX('Control Room'!$B$19:$H$19,1,WEEKDAY($A185,2))*(1+'Control Room'!$D$9)^183*'Process'!K185),2),"")</x:f>
      </x:c>
      <x:c r="E185" s="16" t="str">
        <x:f>IF(AND(AND(184&lt;='Control Room'!$B$3,'Control Room'!$D$3="Ready"),3&lt;='Control Room'!$B$2),ROUND(MAX(0,'Process'!O185*'Control Room'!$H$6*INDEX('Control Room'!$B$19:$H$19,1,WEEKDAY($A185,2))*(1+'Control Room'!$D$9)^183*'Process'!P185),2),"")</x:f>
      </x:c>
      <x:c r="F185" s="16" t="str">
        <x:f>IF(AND(AND(184&lt;='Control Room'!$B$3,'Control Room'!$D$3="Ready"),4&lt;='Control Room'!$B$2),ROUND(MAX(0,'Process'!T185*'Control Room'!$H$7*INDEX('Control Room'!$B$19:$H$19,1,WEEKDAY($A185,2))*(1+'Control Room'!$D$9)^183*'Process'!U185),2),"")</x:f>
      </x:c>
      <x:c r="G185" s="16" t="str">
        <x:f>IF(AND(AND(184&lt;='Control Room'!$B$3,'Control Room'!$D$3="Ready"),5&lt;='Control Room'!$B$2),ROUND(MAX(0,'Process'!Y185*'Control Room'!$H$8*INDEX('Control Room'!$B$19:$H$19,1,WEEKDAY($A185,2))*(1+'Control Room'!$D$9)^183*'Process'!Z185),2),"")</x:f>
      </x:c>
      <x:c r="H185" s="16" t="str">
        <x:f>IF(AND(AND(184&lt;='Control Room'!$B$3,'Control Room'!$D$3="Ready"),6&lt;='Control Room'!$B$2),ROUND(MAX(0,'Process'!AD185*'Control Room'!$H$9*INDEX('Control Room'!$B$19:$H$19,1,WEEKDAY($A185,2))*(1+'Control Room'!$D$9)^183*'Process'!AE185),2),"")</x:f>
      </x:c>
      <x:c r="I185" s="16" t="str">
        <x:f>IF(AND(AND(184&lt;='Control Room'!$B$3,'Control Room'!$D$3="Ready"),7&lt;='Control Room'!$B$2),ROUND(MAX(0,'Process'!AI185*'Control Room'!$H$10*INDEX('Control Room'!$B$19:$H$19,1,WEEKDAY($A185,2))*(1+'Control Room'!$D$9)^183*'Process'!AJ185),2),"")</x:f>
      </x:c>
      <x:c r="J185" s="16" t="str">
        <x:f>IF(AND(AND(184&lt;='Control Room'!$B$3,'Control Room'!$D$3="Ready"),8&lt;='Control Room'!$B$2),ROUND(MAX(0,'Process'!AN185*'Control Room'!$H$11*INDEX('Control Room'!$B$19:$H$19,1,WEEKDAY($A185,2))*(1+'Control Room'!$D$9)^183*'Process'!AO185),2),"")</x:f>
      </x:c>
      <x:c r="K185" s="16" t="str">
        <x:f>IF(AND(AND(184&lt;='Control Room'!$B$3,'Control Room'!$D$3="Ready"),9&lt;='Control Room'!$B$2),ROUND(MAX(0,'Process'!AS185*'Control Room'!$H$12*INDEX('Control Room'!$B$19:$H$19,1,WEEKDAY($A185,2))*(1+'Control Room'!$D$9)^183*'Process'!AT185),2),"")</x:f>
      </x:c>
      <x:c r="L185" s="16" t="str">
        <x:f>IF(AND(AND(184&lt;='Control Room'!$B$3,'Control Room'!$D$3="Ready"),10&lt;='Control Room'!$B$2),ROUND(MAX(0,'Process'!AX185*'Control Room'!$H$13*INDEX('Control Room'!$B$19:$H$19,1,WEEKDAY($A185,2))*(1+'Control Room'!$D$9)^183*'Process'!AY185),2),"")</x:f>
      </x:c>
      <x:c r="M185" s="16" t="str">
        <x:f>IF(AND(AND(184&lt;='Control Room'!$B$3,'Control Room'!$D$3="Ready"),11&lt;='Control Room'!$B$2),ROUND(MAX(0,'Process'!BC185*'Control Room'!$H$14*INDEX('Control Room'!$B$19:$H$19,1,WEEKDAY($A185,2))*(1+'Control Room'!$D$9)^183*'Process'!BD185),2),"")</x:f>
      </x:c>
      <x:c r="N185" s="16" t="str">
        <x:f>IF(AND(AND(184&lt;='Control Room'!$B$3,'Control Room'!$D$3="Ready"),12&lt;='Control Room'!$B$2),ROUND(MAX(0,'Process'!BH185*'Control Room'!$H$15*INDEX('Control Room'!$B$19:$H$19,1,WEEKDAY($A185,2))*(1+'Control Room'!$D$9)^183*'Process'!BI185),2),"")</x:f>
      </x:c>
    </x:row>
    <x:row r="186" ht="21" customHeight="1">
      <x:c r="A186" s="15" t="str">
        <x:f>IF(AND(185&lt;='Control Room'!$B$3,'Control Room'!$D$3="Ready"),'Process'!A186,"")</x:f>
      </x:c>
      <x:c r="B186" s="16" t="str">
        <x:f>IF(A186="","",SUM(C186:N186))</x:f>
      </x:c>
      <x:c r="C186" s="16" t="str">
        <x:f>IF(AND(AND(185&lt;='Control Room'!$B$3,'Control Room'!$D$3="Ready"),1&lt;='Control Room'!$B$2),ROUND(MAX(0,'Process'!E186*'Control Room'!$H$4*INDEX('Control Room'!$B$19:$H$19,1,WEEKDAY($A186,2))*(1+'Control Room'!$D$9)^184*'Process'!F186),2),"")</x:f>
      </x:c>
      <x:c r="D186" s="16" t="str">
        <x:f>IF(AND(AND(185&lt;='Control Room'!$B$3,'Control Room'!$D$3="Ready"),2&lt;='Control Room'!$B$2),ROUND(MAX(0,'Process'!J186*'Control Room'!$H$5*INDEX('Control Room'!$B$19:$H$19,1,WEEKDAY($A186,2))*(1+'Control Room'!$D$9)^184*'Process'!K186),2),"")</x:f>
      </x:c>
      <x:c r="E186" s="16" t="str">
        <x:f>IF(AND(AND(185&lt;='Control Room'!$B$3,'Control Room'!$D$3="Ready"),3&lt;='Control Room'!$B$2),ROUND(MAX(0,'Process'!O186*'Control Room'!$H$6*INDEX('Control Room'!$B$19:$H$19,1,WEEKDAY($A186,2))*(1+'Control Room'!$D$9)^184*'Process'!P186),2),"")</x:f>
      </x:c>
      <x:c r="F186" s="16" t="str">
        <x:f>IF(AND(AND(185&lt;='Control Room'!$B$3,'Control Room'!$D$3="Ready"),4&lt;='Control Room'!$B$2),ROUND(MAX(0,'Process'!T186*'Control Room'!$H$7*INDEX('Control Room'!$B$19:$H$19,1,WEEKDAY($A186,2))*(1+'Control Room'!$D$9)^184*'Process'!U186),2),"")</x:f>
      </x:c>
      <x:c r="G186" s="16" t="str">
        <x:f>IF(AND(AND(185&lt;='Control Room'!$B$3,'Control Room'!$D$3="Ready"),5&lt;='Control Room'!$B$2),ROUND(MAX(0,'Process'!Y186*'Control Room'!$H$8*INDEX('Control Room'!$B$19:$H$19,1,WEEKDAY($A186,2))*(1+'Control Room'!$D$9)^184*'Process'!Z186),2),"")</x:f>
      </x:c>
      <x:c r="H186" s="16" t="str">
        <x:f>IF(AND(AND(185&lt;='Control Room'!$B$3,'Control Room'!$D$3="Ready"),6&lt;='Control Room'!$B$2),ROUND(MAX(0,'Process'!AD186*'Control Room'!$H$9*INDEX('Control Room'!$B$19:$H$19,1,WEEKDAY($A186,2))*(1+'Control Room'!$D$9)^184*'Process'!AE186),2),"")</x:f>
      </x:c>
      <x:c r="I186" s="16" t="str">
        <x:f>IF(AND(AND(185&lt;='Control Room'!$B$3,'Control Room'!$D$3="Ready"),7&lt;='Control Room'!$B$2),ROUND(MAX(0,'Process'!AI186*'Control Room'!$H$10*INDEX('Control Room'!$B$19:$H$19,1,WEEKDAY($A186,2))*(1+'Control Room'!$D$9)^184*'Process'!AJ186),2),"")</x:f>
      </x:c>
      <x:c r="J186" s="16" t="str">
        <x:f>IF(AND(AND(185&lt;='Control Room'!$B$3,'Control Room'!$D$3="Ready"),8&lt;='Control Room'!$B$2),ROUND(MAX(0,'Process'!AN186*'Control Room'!$H$11*INDEX('Control Room'!$B$19:$H$19,1,WEEKDAY($A186,2))*(1+'Control Room'!$D$9)^184*'Process'!AO186),2),"")</x:f>
      </x:c>
      <x:c r="K186" s="16" t="str">
        <x:f>IF(AND(AND(185&lt;='Control Room'!$B$3,'Control Room'!$D$3="Ready"),9&lt;='Control Room'!$B$2),ROUND(MAX(0,'Process'!AS186*'Control Room'!$H$12*INDEX('Control Room'!$B$19:$H$19,1,WEEKDAY($A186,2))*(1+'Control Room'!$D$9)^184*'Process'!AT186),2),"")</x:f>
      </x:c>
      <x:c r="L186" s="16" t="str">
        <x:f>IF(AND(AND(185&lt;='Control Room'!$B$3,'Control Room'!$D$3="Ready"),10&lt;='Control Room'!$B$2),ROUND(MAX(0,'Process'!AX186*'Control Room'!$H$13*INDEX('Control Room'!$B$19:$H$19,1,WEEKDAY($A186,2))*(1+'Control Room'!$D$9)^184*'Process'!AY186),2),"")</x:f>
      </x:c>
      <x:c r="M186" s="16" t="str">
        <x:f>IF(AND(AND(185&lt;='Control Room'!$B$3,'Control Room'!$D$3="Ready"),11&lt;='Control Room'!$B$2),ROUND(MAX(0,'Process'!BC186*'Control Room'!$H$14*INDEX('Control Room'!$B$19:$H$19,1,WEEKDAY($A186,2))*(1+'Control Room'!$D$9)^184*'Process'!BD186),2),"")</x:f>
      </x:c>
      <x:c r="N186" s="16" t="str">
        <x:f>IF(AND(AND(185&lt;='Control Room'!$B$3,'Control Room'!$D$3="Ready"),12&lt;='Control Room'!$B$2),ROUND(MAX(0,'Process'!BH186*'Control Room'!$H$15*INDEX('Control Room'!$B$19:$H$19,1,WEEKDAY($A186,2))*(1+'Control Room'!$D$9)^184*'Process'!BI186),2),"")</x:f>
      </x:c>
    </x:row>
    <x:row r="187" ht="21" customHeight="1">
      <x:c r="A187" s="15" t="str">
        <x:f>IF(AND(186&lt;='Control Room'!$B$3,'Control Room'!$D$3="Ready"),'Process'!A187,"")</x:f>
      </x:c>
      <x:c r="B187" s="16" t="str">
        <x:f>IF(A187="","",SUM(C187:N187))</x:f>
      </x:c>
      <x:c r="C187" s="16" t="str">
        <x:f>IF(AND(AND(186&lt;='Control Room'!$B$3,'Control Room'!$D$3="Ready"),1&lt;='Control Room'!$B$2),ROUND(MAX(0,'Process'!E187*'Control Room'!$H$4*INDEX('Control Room'!$B$19:$H$19,1,WEEKDAY($A187,2))*(1+'Control Room'!$D$9)^185*'Process'!F187),2),"")</x:f>
      </x:c>
      <x:c r="D187" s="16" t="str">
        <x:f>IF(AND(AND(186&lt;='Control Room'!$B$3,'Control Room'!$D$3="Ready"),2&lt;='Control Room'!$B$2),ROUND(MAX(0,'Process'!J187*'Control Room'!$H$5*INDEX('Control Room'!$B$19:$H$19,1,WEEKDAY($A187,2))*(1+'Control Room'!$D$9)^185*'Process'!K187),2),"")</x:f>
      </x:c>
      <x:c r="E187" s="16" t="str">
        <x:f>IF(AND(AND(186&lt;='Control Room'!$B$3,'Control Room'!$D$3="Ready"),3&lt;='Control Room'!$B$2),ROUND(MAX(0,'Process'!O187*'Control Room'!$H$6*INDEX('Control Room'!$B$19:$H$19,1,WEEKDAY($A187,2))*(1+'Control Room'!$D$9)^185*'Process'!P187),2),"")</x:f>
      </x:c>
      <x:c r="F187" s="16" t="str">
        <x:f>IF(AND(AND(186&lt;='Control Room'!$B$3,'Control Room'!$D$3="Ready"),4&lt;='Control Room'!$B$2),ROUND(MAX(0,'Process'!T187*'Control Room'!$H$7*INDEX('Control Room'!$B$19:$H$19,1,WEEKDAY($A187,2))*(1+'Control Room'!$D$9)^185*'Process'!U187),2),"")</x:f>
      </x:c>
      <x:c r="G187" s="16" t="str">
        <x:f>IF(AND(AND(186&lt;='Control Room'!$B$3,'Control Room'!$D$3="Ready"),5&lt;='Control Room'!$B$2),ROUND(MAX(0,'Process'!Y187*'Control Room'!$H$8*INDEX('Control Room'!$B$19:$H$19,1,WEEKDAY($A187,2))*(1+'Control Room'!$D$9)^185*'Process'!Z187),2),"")</x:f>
      </x:c>
      <x:c r="H187" s="16" t="str">
        <x:f>IF(AND(AND(186&lt;='Control Room'!$B$3,'Control Room'!$D$3="Ready"),6&lt;='Control Room'!$B$2),ROUND(MAX(0,'Process'!AD187*'Control Room'!$H$9*INDEX('Control Room'!$B$19:$H$19,1,WEEKDAY($A187,2))*(1+'Control Room'!$D$9)^185*'Process'!AE187),2),"")</x:f>
      </x:c>
      <x:c r="I187" s="16" t="str">
        <x:f>IF(AND(AND(186&lt;='Control Room'!$B$3,'Control Room'!$D$3="Ready"),7&lt;='Control Room'!$B$2),ROUND(MAX(0,'Process'!AI187*'Control Room'!$H$10*INDEX('Control Room'!$B$19:$H$19,1,WEEKDAY($A187,2))*(1+'Control Room'!$D$9)^185*'Process'!AJ187),2),"")</x:f>
      </x:c>
      <x:c r="J187" s="16" t="str">
        <x:f>IF(AND(AND(186&lt;='Control Room'!$B$3,'Control Room'!$D$3="Ready"),8&lt;='Control Room'!$B$2),ROUND(MAX(0,'Process'!AN187*'Control Room'!$H$11*INDEX('Control Room'!$B$19:$H$19,1,WEEKDAY($A187,2))*(1+'Control Room'!$D$9)^185*'Process'!AO187),2),"")</x:f>
      </x:c>
      <x:c r="K187" s="16" t="str">
        <x:f>IF(AND(AND(186&lt;='Control Room'!$B$3,'Control Room'!$D$3="Ready"),9&lt;='Control Room'!$B$2),ROUND(MAX(0,'Process'!AS187*'Control Room'!$H$12*INDEX('Control Room'!$B$19:$H$19,1,WEEKDAY($A187,2))*(1+'Control Room'!$D$9)^185*'Process'!AT187),2),"")</x:f>
      </x:c>
      <x:c r="L187" s="16" t="str">
        <x:f>IF(AND(AND(186&lt;='Control Room'!$B$3,'Control Room'!$D$3="Ready"),10&lt;='Control Room'!$B$2),ROUND(MAX(0,'Process'!AX187*'Control Room'!$H$13*INDEX('Control Room'!$B$19:$H$19,1,WEEKDAY($A187,2))*(1+'Control Room'!$D$9)^185*'Process'!AY187),2),"")</x:f>
      </x:c>
      <x:c r="M187" s="16" t="str">
        <x:f>IF(AND(AND(186&lt;='Control Room'!$B$3,'Control Room'!$D$3="Ready"),11&lt;='Control Room'!$B$2),ROUND(MAX(0,'Process'!BC187*'Control Room'!$H$14*INDEX('Control Room'!$B$19:$H$19,1,WEEKDAY($A187,2))*(1+'Control Room'!$D$9)^185*'Process'!BD187),2),"")</x:f>
      </x:c>
      <x:c r="N187" s="16" t="str">
        <x:f>IF(AND(AND(186&lt;='Control Room'!$B$3,'Control Room'!$D$3="Ready"),12&lt;='Control Room'!$B$2),ROUND(MAX(0,'Process'!BH187*'Control Room'!$H$15*INDEX('Control Room'!$B$19:$H$19,1,WEEKDAY($A187,2))*(1+'Control Room'!$D$9)^185*'Process'!BI187),2),"")</x:f>
      </x:c>
    </x:row>
    <x:row r="188" ht="21" customHeight="1">
      <x:c r="A188" s="15" t="str">
        <x:f>IF(AND(187&lt;='Control Room'!$B$3,'Control Room'!$D$3="Ready"),'Process'!A188,"")</x:f>
      </x:c>
      <x:c r="B188" s="16" t="str">
        <x:f>IF(A188="","",SUM(C188:N188))</x:f>
      </x:c>
      <x:c r="C188" s="16" t="str">
        <x:f>IF(AND(AND(187&lt;='Control Room'!$B$3,'Control Room'!$D$3="Ready"),1&lt;='Control Room'!$B$2),ROUND(MAX(0,'Process'!E188*'Control Room'!$H$4*INDEX('Control Room'!$B$19:$H$19,1,WEEKDAY($A188,2))*(1+'Control Room'!$D$9)^186*'Process'!F188),2),"")</x:f>
      </x:c>
      <x:c r="D188" s="16" t="str">
        <x:f>IF(AND(AND(187&lt;='Control Room'!$B$3,'Control Room'!$D$3="Ready"),2&lt;='Control Room'!$B$2),ROUND(MAX(0,'Process'!J188*'Control Room'!$H$5*INDEX('Control Room'!$B$19:$H$19,1,WEEKDAY($A188,2))*(1+'Control Room'!$D$9)^186*'Process'!K188),2),"")</x:f>
      </x:c>
      <x:c r="E188" s="16" t="str">
        <x:f>IF(AND(AND(187&lt;='Control Room'!$B$3,'Control Room'!$D$3="Ready"),3&lt;='Control Room'!$B$2),ROUND(MAX(0,'Process'!O188*'Control Room'!$H$6*INDEX('Control Room'!$B$19:$H$19,1,WEEKDAY($A188,2))*(1+'Control Room'!$D$9)^186*'Process'!P188),2),"")</x:f>
      </x:c>
      <x:c r="F188" s="16" t="str">
        <x:f>IF(AND(AND(187&lt;='Control Room'!$B$3,'Control Room'!$D$3="Ready"),4&lt;='Control Room'!$B$2),ROUND(MAX(0,'Process'!T188*'Control Room'!$H$7*INDEX('Control Room'!$B$19:$H$19,1,WEEKDAY($A188,2))*(1+'Control Room'!$D$9)^186*'Process'!U188),2),"")</x:f>
      </x:c>
      <x:c r="G188" s="16" t="str">
        <x:f>IF(AND(AND(187&lt;='Control Room'!$B$3,'Control Room'!$D$3="Ready"),5&lt;='Control Room'!$B$2),ROUND(MAX(0,'Process'!Y188*'Control Room'!$H$8*INDEX('Control Room'!$B$19:$H$19,1,WEEKDAY($A188,2))*(1+'Control Room'!$D$9)^186*'Process'!Z188),2),"")</x:f>
      </x:c>
      <x:c r="H188" s="16" t="str">
        <x:f>IF(AND(AND(187&lt;='Control Room'!$B$3,'Control Room'!$D$3="Ready"),6&lt;='Control Room'!$B$2),ROUND(MAX(0,'Process'!AD188*'Control Room'!$H$9*INDEX('Control Room'!$B$19:$H$19,1,WEEKDAY($A188,2))*(1+'Control Room'!$D$9)^186*'Process'!AE188),2),"")</x:f>
      </x:c>
      <x:c r="I188" s="16" t="str">
        <x:f>IF(AND(AND(187&lt;='Control Room'!$B$3,'Control Room'!$D$3="Ready"),7&lt;='Control Room'!$B$2),ROUND(MAX(0,'Process'!AI188*'Control Room'!$H$10*INDEX('Control Room'!$B$19:$H$19,1,WEEKDAY($A188,2))*(1+'Control Room'!$D$9)^186*'Process'!AJ188),2),"")</x:f>
      </x:c>
      <x:c r="J188" s="16" t="str">
        <x:f>IF(AND(AND(187&lt;='Control Room'!$B$3,'Control Room'!$D$3="Ready"),8&lt;='Control Room'!$B$2),ROUND(MAX(0,'Process'!AN188*'Control Room'!$H$11*INDEX('Control Room'!$B$19:$H$19,1,WEEKDAY($A188,2))*(1+'Control Room'!$D$9)^186*'Process'!AO188),2),"")</x:f>
      </x:c>
      <x:c r="K188" s="16" t="str">
        <x:f>IF(AND(AND(187&lt;='Control Room'!$B$3,'Control Room'!$D$3="Ready"),9&lt;='Control Room'!$B$2),ROUND(MAX(0,'Process'!AS188*'Control Room'!$H$12*INDEX('Control Room'!$B$19:$H$19,1,WEEKDAY($A188,2))*(1+'Control Room'!$D$9)^186*'Process'!AT188),2),"")</x:f>
      </x:c>
      <x:c r="L188" s="16" t="str">
        <x:f>IF(AND(AND(187&lt;='Control Room'!$B$3,'Control Room'!$D$3="Ready"),10&lt;='Control Room'!$B$2),ROUND(MAX(0,'Process'!AX188*'Control Room'!$H$13*INDEX('Control Room'!$B$19:$H$19,1,WEEKDAY($A188,2))*(1+'Control Room'!$D$9)^186*'Process'!AY188),2),"")</x:f>
      </x:c>
      <x:c r="M188" s="16" t="str">
        <x:f>IF(AND(AND(187&lt;='Control Room'!$B$3,'Control Room'!$D$3="Ready"),11&lt;='Control Room'!$B$2),ROUND(MAX(0,'Process'!BC188*'Control Room'!$H$14*INDEX('Control Room'!$B$19:$H$19,1,WEEKDAY($A188,2))*(1+'Control Room'!$D$9)^186*'Process'!BD188),2),"")</x:f>
      </x:c>
      <x:c r="N188" s="16" t="str">
        <x:f>IF(AND(AND(187&lt;='Control Room'!$B$3,'Control Room'!$D$3="Ready"),12&lt;='Control Room'!$B$2),ROUND(MAX(0,'Process'!BH188*'Control Room'!$H$15*INDEX('Control Room'!$B$19:$H$19,1,WEEKDAY($A188,2))*(1+'Control Room'!$D$9)^186*'Process'!BI188),2),"")</x:f>
      </x:c>
    </x:row>
    <x:row r="189" ht="21" customHeight="1">
      <x:c r="A189" s="15" t="str">
        <x:f>IF(AND(188&lt;='Control Room'!$B$3,'Control Room'!$D$3="Ready"),'Process'!A189,"")</x:f>
      </x:c>
      <x:c r="B189" s="16" t="str">
        <x:f>IF(A189="","",SUM(C189:N189))</x:f>
      </x:c>
      <x:c r="C189" s="16" t="str">
        <x:f>IF(AND(AND(188&lt;='Control Room'!$B$3,'Control Room'!$D$3="Ready"),1&lt;='Control Room'!$B$2),ROUND(MAX(0,'Process'!E189*'Control Room'!$H$4*INDEX('Control Room'!$B$19:$H$19,1,WEEKDAY($A189,2))*(1+'Control Room'!$D$9)^187*'Process'!F189),2),"")</x:f>
      </x:c>
      <x:c r="D189" s="16" t="str">
        <x:f>IF(AND(AND(188&lt;='Control Room'!$B$3,'Control Room'!$D$3="Ready"),2&lt;='Control Room'!$B$2),ROUND(MAX(0,'Process'!J189*'Control Room'!$H$5*INDEX('Control Room'!$B$19:$H$19,1,WEEKDAY($A189,2))*(1+'Control Room'!$D$9)^187*'Process'!K189),2),"")</x:f>
      </x:c>
      <x:c r="E189" s="16" t="str">
        <x:f>IF(AND(AND(188&lt;='Control Room'!$B$3,'Control Room'!$D$3="Ready"),3&lt;='Control Room'!$B$2),ROUND(MAX(0,'Process'!O189*'Control Room'!$H$6*INDEX('Control Room'!$B$19:$H$19,1,WEEKDAY($A189,2))*(1+'Control Room'!$D$9)^187*'Process'!P189),2),"")</x:f>
      </x:c>
      <x:c r="F189" s="16" t="str">
        <x:f>IF(AND(AND(188&lt;='Control Room'!$B$3,'Control Room'!$D$3="Ready"),4&lt;='Control Room'!$B$2),ROUND(MAX(0,'Process'!T189*'Control Room'!$H$7*INDEX('Control Room'!$B$19:$H$19,1,WEEKDAY($A189,2))*(1+'Control Room'!$D$9)^187*'Process'!U189),2),"")</x:f>
      </x:c>
      <x:c r="G189" s="16" t="str">
        <x:f>IF(AND(AND(188&lt;='Control Room'!$B$3,'Control Room'!$D$3="Ready"),5&lt;='Control Room'!$B$2),ROUND(MAX(0,'Process'!Y189*'Control Room'!$H$8*INDEX('Control Room'!$B$19:$H$19,1,WEEKDAY($A189,2))*(1+'Control Room'!$D$9)^187*'Process'!Z189),2),"")</x:f>
      </x:c>
      <x:c r="H189" s="16" t="str">
        <x:f>IF(AND(AND(188&lt;='Control Room'!$B$3,'Control Room'!$D$3="Ready"),6&lt;='Control Room'!$B$2),ROUND(MAX(0,'Process'!AD189*'Control Room'!$H$9*INDEX('Control Room'!$B$19:$H$19,1,WEEKDAY($A189,2))*(1+'Control Room'!$D$9)^187*'Process'!AE189),2),"")</x:f>
      </x:c>
      <x:c r="I189" s="16" t="str">
        <x:f>IF(AND(AND(188&lt;='Control Room'!$B$3,'Control Room'!$D$3="Ready"),7&lt;='Control Room'!$B$2),ROUND(MAX(0,'Process'!AI189*'Control Room'!$H$10*INDEX('Control Room'!$B$19:$H$19,1,WEEKDAY($A189,2))*(1+'Control Room'!$D$9)^187*'Process'!AJ189),2),"")</x:f>
      </x:c>
      <x:c r="J189" s="16" t="str">
        <x:f>IF(AND(AND(188&lt;='Control Room'!$B$3,'Control Room'!$D$3="Ready"),8&lt;='Control Room'!$B$2),ROUND(MAX(0,'Process'!AN189*'Control Room'!$H$11*INDEX('Control Room'!$B$19:$H$19,1,WEEKDAY($A189,2))*(1+'Control Room'!$D$9)^187*'Process'!AO189),2),"")</x:f>
      </x:c>
      <x:c r="K189" s="16" t="str">
        <x:f>IF(AND(AND(188&lt;='Control Room'!$B$3,'Control Room'!$D$3="Ready"),9&lt;='Control Room'!$B$2),ROUND(MAX(0,'Process'!AS189*'Control Room'!$H$12*INDEX('Control Room'!$B$19:$H$19,1,WEEKDAY($A189,2))*(1+'Control Room'!$D$9)^187*'Process'!AT189),2),"")</x:f>
      </x:c>
      <x:c r="L189" s="16" t="str">
        <x:f>IF(AND(AND(188&lt;='Control Room'!$B$3,'Control Room'!$D$3="Ready"),10&lt;='Control Room'!$B$2),ROUND(MAX(0,'Process'!AX189*'Control Room'!$H$13*INDEX('Control Room'!$B$19:$H$19,1,WEEKDAY($A189,2))*(1+'Control Room'!$D$9)^187*'Process'!AY189),2),"")</x:f>
      </x:c>
      <x:c r="M189" s="16" t="str">
        <x:f>IF(AND(AND(188&lt;='Control Room'!$B$3,'Control Room'!$D$3="Ready"),11&lt;='Control Room'!$B$2),ROUND(MAX(0,'Process'!BC189*'Control Room'!$H$14*INDEX('Control Room'!$B$19:$H$19,1,WEEKDAY($A189,2))*(1+'Control Room'!$D$9)^187*'Process'!BD189),2),"")</x:f>
      </x:c>
      <x:c r="N189" s="16" t="str">
        <x:f>IF(AND(AND(188&lt;='Control Room'!$B$3,'Control Room'!$D$3="Ready"),12&lt;='Control Room'!$B$2),ROUND(MAX(0,'Process'!BH189*'Control Room'!$H$15*INDEX('Control Room'!$B$19:$H$19,1,WEEKDAY($A189,2))*(1+'Control Room'!$D$9)^187*'Process'!BI189),2),"")</x:f>
      </x:c>
    </x:row>
    <x:row r="190" ht="21" customHeight="1">
      <x:c r="A190" s="15" t="str">
        <x:f>IF(AND(189&lt;='Control Room'!$B$3,'Control Room'!$D$3="Ready"),'Process'!A190,"")</x:f>
      </x:c>
      <x:c r="B190" s="16" t="str">
        <x:f>IF(A190="","",SUM(C190:N190))</x:f>
      </x:c>
      <x:c r="C190" s="16" t="str">
        <x:f>IF(AND(AND(189&lt;='Control Room'!$B$3,'Control Room'!$D$3="Ready"),1&lt;='Control Room'!$B$2),ROUND(MAX(0,'Process'!E190*'Control Room'!$H$4*INDEX('Control Room'!$B$19:$H$19,1,WEEKDAY($A190,2))*(1+'Control Room'!$D$9)^188*'Process'!F190),2),"")</x:f>
      </x:c>
      <x:c r="D190" s="16" t="str">
        <x:f>IF(AND(AND(189&lt;='Control Room'!$B$3,'Control Room'!$D$3="Ready"),2&lt;='Control Room'!$B$2),ROUND(MAX(0,'Process'!J190*'Control Room'!$H$5*INDEX('Control Room'!$B$19:$H$19,1,WEEKDAY($A190,2))*(1+'Control Room'!$D$9)^188*'Process'!K190),2),"")</x:f>
      </x:c>
      <x:c r="E190" s="16" t="str">
        <x:f>IF(AND(AND(189&lt;='Control Room'!$B$3,'Control Room'!$D$3="Ready"),3&lt;='Control Room'!$B$2),ROUND(MAX(0,'Process'!O190*'Control Room'!$H$6*INDEX('Control Room'!$B$19:$H$19,1,WEEKDAY($A190,2))*(1+'Control Room'!$D$9)^188*'Process'!P190),2),"")</x:f>
      </x:c>
      <x:c r="F190" s="16" t="str">
        <x:f>IF(AND(AND(189&lt;='Control Room'!$B$3,'Control Room'!$D$3="Ready"),4&lt;='Control Room'!$B$2),ROUND(MAX(0,'Process'!T190*'Control Room'!$H$7*INDEX('Control Room'!$B$19:$H$19,1,WEEKDAY($A190,2))*(1+'Control Room'!$D$9)^188*'Process'!U190),2),"")</x:f>
      </x:c>
      <x:c r="G190" s="16" t="str">
        <x:f>IF(AND(AND(189&lt;='Control Room'!$B$3,'Control Room'!$D$3="Ready"),5&lt;='Control Room'!$B$2),ROUND(MAX(0,'Process'!Y190*'Control Room'!$H$8*INDEX('Control Room'!$B$19:$H$19,1,WEEKDAY($A190,2))*(1+'Control Room'!$D$9)^188*'Process'!Z190),2),"")</x:f>
      </x:c>
      <x:c r="H190" s="16" t="str">
        <x:f>IF(AND(AND(189&lt;='Control Room'!$B$3,'Control Room'!$D$3="Ready"),6&lt;='Control Room'!$B$2),ROUND(MAX(0,'Process'!AD190*'Control Room'!$H$9*INDEX('Control Room'!$B$19:$H$19,1,WEEKDAY($A190,2))*(1+'Control Room'!$D$9)^188*'Process'!AE190),2),"")</x:f>
      </x:c>
      <x:c r="I190" s="16" t="str">
        <x:f>IF(AND(AND(189&lt;='Control Room'!$B$3,'Control Room'!$D$3="Ready"),7&lt;='Control Room'!$B$2),ROUND(MAX(0,'Process'!AI190*'Control Room'!$H$10*INDEX('Control Room'!$B$19:$H$19,1,WEEKDAY($A190,2))*(1+'Control Room'!$D$9)^188*'Process'!AJ190),2),"")</x:f>
      </x:c>
      <x:c r="J190" s="16" t="str">
        <x:f>IF(AND(AND(189&lt;='Control Room'!$B$3,'Control Room'!$D$3="Ready"),8&lt;='Control Room'!$B$2),ROUND(MAX(0,'Process'!AN190*'Control Room'!$H$11*INDEX('Control Room'!$B$19:$H$19,1,WEEKDAY($A190,2))*(1+'Control Room'!$D$9)^188*'Process'!AO190),2),"")</x:f>
      </x:c>
      <x:c r="K190" s="16" t="str">
        <x:f>IF(AND(AND(189&lt;='Control Room'!$B$3,'Control Room'!$D$3="Ready"),9&lt;='Control Room'!$B$2),ROUND(MAX(0,'Process'!AS190*'Control Room'!$H$12*INDEX('Control Room'!$B$19:$H$19,1,WEEKDAY($A190,2))*(1+'Control Room'!$D$9)^188*'Process'!AT190),2),"")</x:f>
      </x:c>
      <x:c r="L190" s="16" t="str">
        <x:f>IF(AND(AND(189&lt;='Control Room'!$B$3,'Control Room'!$D$3="Ready"),10&lt;='Control Room'!$B$2),ROUND(MAX(0,'Process'!AX190*'Control Room'!$H$13*INDEX('Control Room'!$B$19:$H$19,1,WEEKDAY($A190,2))*(1+'Control Room'!$D$9)^188*'Process'!AY190),2),"")</x:f>
      </x:c>
      <x:c r="M190" s="16" t="str">
        <x:f>IF(AND(AND(189&lt;='Control Room'!$B$3,'Control Room'!$D$3="Ready"),11&lt;='Control Room'!$B$2),ROUND(MAX(0,'Process'!BC190*'Control Room'!$H$14*INDEX('Control Room'!$B$19:$H$19,1,WEEKDAY($A190,2))*(1+'Control Room'!$D$9)^188*'Process'!BD190),2),"")</x:f>
      </x:c>
      <x:c r="N190" s="16" t="str">
        <x:f>IF(AND(AND(189&lt;='Control Room'!$B$3,'Control Room'!$D$3="Ready"),12&lt;='Control Room'!$B$2),ROUND(MAX(0,'Process'!BH190*'Control Room'!$H$15*INDEX('Control Room'!$B$19:$H$19,1,WEEKDAY($A190,2))*(1+'Control Room'!$D$9)^188*'Process'!BI190),2),"")</x:f>
      </x:c>
    </x:row>
    <x:row r="191" ht="21" customHeight="1">
      <x:c r="A191" s="15" t="str">
        <x:f>IF(AND(190&lt;='Control Room'!$B$3,'Control Room'!$D$3="Ready"),'Process'!A191,"")</x:f>
      </x:c>
      <x:c r="B191" s="16" t="str">
        <x:f>IF(A191="","",SUM(C191:N191))</x:f>
      </x:c>
      <x:c r="C191" s="16" t="str">
        <x:f>IF(AND(AND(190&lt;='Control Room'!$B$3,'Control Room'!$D$3="Ready"),1&lt;='Control Room'!$B$2),ROUND(MAX(0,'Process'!E191*'Control Room'!$H$4*INDEX('Control Room'!$B$19:$H$19,1,WEEKDAY($A191,2))*(1+'Control Room'!$D$9)^189*'Process'!F191),2),"")</x:f>
      </x:c>
      <x:c r="D191" s="16" t="str">
        <x:f>IF(AND(AND(190&lt;='Control Room'!$B$3,'Control Room'!$D$3="Ready"),2&lt;='Control Room'!$B$2),ROUND(MAX(0,'Process'!J191*'Control Room'!$H$5*INDEX('Control Room'!$B$19:$H$19,1,WEEKDAY($A191,2))*(1+'Control Room'!$D$9)^189*'Process'!K191),2),"")</x:f>
      </x:c>
      <x:c r="E191" s="16" t="str">
        <x:f>IF(AND(AND(190&lt;='Control Room'!$B$3,'Control Room'!$D$3="Ready"),3&lt;='Control Room'!$B$2),ROUND(MAX(0,'Process'!O191*'Control Room'!$H$6*INDEX('Control Room'!$B$19:$H$19,1,WEEKDAY($A191,2))*(1+'Control Room'!$D$9)^189*'Process'!P191),2),"")</x:f>
      </x:c>
      <x:c r="F191" s="16" t="str">
        <x:f>IF(AND(AND(190&lt;='Control Room'!$B$3,'Control Room'!$D$3="Ready"),4&lt;='Control Room'!$B$2),ROUND(MAX(0,'Process'!T191*'Control Room'!$H$7*INDEX('Control Room'!$B$19:$H$19,1,WEEKDAY($A191,2))*(1+'Control Room'!$D$9)^189*'Process'!U191),2),"")</x:f>
      </x:c>
      <x:c r="G191" s="16" t="str">
        <x:f>IF(AND(AND(190&lt;='Control Room'!$B$3,'Control Room'!$D$3="Ready"),5&lt;='Control Room'!$B$2),ROUND(MAX(0,'Process'!Y191*'Control Room'!$H$8*INDEX('Control Room'!$B$19:$H$19,1,WEEKDAY($A191,2))*(1+'Control Room'!$D$9)^189*'Process'!Z191),2),"")</x:f>
      </x:c>
      <x:c r="H191" s="16" t="str">
        <x:f>IF(AND(AND(190&lt;='Control Room'!$B$3,'Control Room'!$D$3="Ready"),6&lt;='Control Room'!$B$2),ROUND(MAX(0,'Process'!AD191*'Control Room'!$H$9*INDEX('Control Room'!$B$19:$H$19,1,WEEKDAY($A191,2))*(1+'Control Room'!$D$9)^189*'Process'!AE191),2),"")</x:f>
      </x:c>
      <x:c r="I191" s="16" t="str">
        <x:f>IF(AND(AND(190&lt;='Control Room'!$B$3,'Control Room'!$D$3="Ready"),7&lt;='Control Room'!$B$2),ROUND(MAX(0,'Process'!AI191*'Control Room'!$H$10*INDEX('Control Room'!$B$19:$H$19,1,WEEKDAY($A191,2))*(1+'Control Room'!$D$9)^189*'Process'!AJ191),2),"")</x:f>
      </x:c>
      <x:c r="J191" s="16" t="str">
        <x:f>IF(AND(AND(190&lt;='Control Room'!$B$3,'Control Room'!$D$3="Ready"),8&lt;='Control Room'!$B$2),ROUND(MAX(0,'Process'!AN191*'Control Room'!$H$11*INDEX('Control Room'!$B$19:$H$19,1,WEEKDAY($A191,2))*(1+'Control Room'!$D$9)^189*'Process'!AO191),2),"")</x:f>
      </x:c>
      <x:c r="K191" s="16" t="str">
        <x:f>IF(AND(AND(190&lt;='Control Room'!$B$3,'Control Room'!$D$3="Ready"),9&lt;='Control Room'!$B$2),ROUND(MAX(0,'Process'!AS191*'Control Room'!$H$12*INDEX('Control Room'!$B$19:$H$19,1,WEEKDAY($A191,2))*(1+'Control Room'!$D$9)^189*'Process'!AT191),2),"")</x:f>
      </x:c>
      <x:c r="L191" s="16" t="str">
        <x:f>IF(AND(AND(190&lt;='Control Room'!$B$3,'Control Room'!$D$3="Ready"),10&lt;='Control Room'!$B$2),ROUND(MAX(0,'Process'!AX191*'Control Room'!$H$13*INDEX('Control Room'!$B$19:$H$19,1,WEEKDAY($A191,2))*(1+'Control Room'!$D$9)^189*'Process'!AY191),2),"")</x:f>
      </x:c>
      <x:c r="M191" s="16" t="str">
        <x:f>IF(AND(AND(190&lt;='Control Room'!$B$3,'Control Room'!$D$3="Ready"),11&lt;='Control Room'!$B$2),ROUND(MAX(0,'Process'!BC191*'Control Room'!$H$14*INDEX('Control Room'!$B$19:$H$19,1,WEEKDAY($A191,2))*(1+'Control Room'!$D$9)^189*'Process'!BD191),2),"")</x:f>
      </x:c>
      <x:c r="N191" s="16" t="str">
        <x:f>IF(AND(AND(190&lt;='Control Room'!$B$3,'Control Room'!$D$3="Ready"),12&lt;='Control Room'!$B$2),ROUND(MAX(0,'Process'!BH191*'Control Room'!$H$15*INDEX('Control Room'!$B$19:$H$19,1,WEEKDAY($A191,2))*(1+'Control Room'!$D$9)^189*'Process'!BI191),2),"")</x:f>
      </x:c>
    </x:row>
    <x:row r="192" ht="21" customHeight="1">
      <x:c r="A192" s="15" t="str">
        <x:f>IF(AND(191&lt;='Control Room'!$B$3,'Control Room'!$D$3="Ready"),'Process'!A192,"")</x:f>
      </x:c>
      <x:c r="B192" s="16" t="str">
        <x:f>IF(A192="","",SUM(C192:N192))</x:f>
      </x:c>
      <x:c r="C192" s="16" t="str">
        <x:f>IF(AND(AND(191&lt;='Control Room'!$B$3,'Control Room'!$D$3="Ready"),1&lt;='Control Room'!$B$2),ROUND(MAX(0,'Process'!E192*'Control Room'!$H$4*INDEX('Control Room'!$B$19:$H$19,1,WEEKDAY($A192,2))*(1+'Control Room'!$D$9)^190*'Process'!F192),2),"")</x:f>
      </x:c>
      <x:c r="D192" s="16" t="str">
        <x:f>IF(AND(AND(191&lt;='Control Room'!$B$3,'Control Room'!$D$3="Ready"),2&lt;='Control Room'!$B$2),ROUND(MAX(0,'Process'!J192*'Control Room'!$H$5*INDEX('Control Room'!$B$19:$H$19,1,WEEKDAY($A192,2))*(1+'Control Room'!$D$9)^190*'Process'!K192),2),"")</x:f>
      </x:c>
      <x:c r="E192" s="16" t="str">
        <x:f>IF(AND(AND(191&lt;='Control Room'!$B$3,'Control Room'!$D$3="Ready"),3&lt;='Control Room'!$B$2),ROUND(MAX(0,'Process'!O192*'Control Room'!$H$6*INDEX('Control Room'!$B$19:$H$19,1,WEEKDAY($A192,2))*(1+'Control Room'!$D$9)^190*'Process'!P192),2),"")</x:f>
      </x:c>
      <x:c r="F192" s="16" t="str">
        <x:f>IF(AND(AND(191&lt;='Control Room'!$B$3,'Control Room'!$D$3="Ready"),4&lt;='Control Room'!$B$2),ROUND(MAX(0,'Process'!T192*'Control Room'!$H$7*INDEX('Control Room'!$B$19:$H$19,1,WEEKDAY($A192,2))*(1+'Control Room'!$D$9)^190*'Process'!U192),2),"")</x:f>
      </x:c>
      <x:c r="G192" s="16" t="str">
        <x:f>IF(AND(AND(191&lt;='Control Room'!$B$3,'Control Room'!$D$3="Ready"),5&lt;='Control Room'!$B$2),ROUND(MAX(0,'Process'!Y192*'Control Room'!$H$8*INDEX('Control Room'!$B$19:$H$19,1,WEEKDAY($A192,2))*(1+'Control Room'!$D$9)^190*'Process'!Z192),2),"")</x:f>
      </x:c>
      <x:c r="H192" s="16" t="str">
        <x:f>IF(AND(AND(191&lt;='Control Room'!$B$3,'Control Room'!$D$3="Ready"),6&lt;='Control Room'!$B$2),ROUND(MAX(0,'Process'!AD192*'Control Room'!$H$9*INDEX('Control Room'!$B$19:$H$19,1,WEEKDAY($A192,2))*(1+'Control Room'!$D$9)^190*'Process'!AE192),2),"")</x:f>
      </x:c>
      <x:c r="I192" s="16" t="str">
        <x:f>IF(AND(AND(191&lt;='Control Room'!$B$3,'Control Room'!$D$3="Ready"),7&lt;='Control Room'!$B$2),ROUND(MAX(0,'Process'!AI192*'Control Room'!$H$10*INDEX('Control Room'!$B$19:$H$19,1,WEEKDAY($A192,2))*(1+'Control Room'!$D$9)^190*'Process'!AJ192),2),"")</x:f>
      </x:c>
      <x:c r="J192" s="16" t="str">
        <x:f>IF(AND(AND(191&lt;='Control Room'!$B$3,'Control Room'!$D$3="Ready"),8&lt;='Control Room'!$B$2),ROUND(MAX(0,'Process'!AN192*'Control Room'!$H$11*INDEX('Control Room'!$B$19:$H$19,1,WEEKDAY($A192,2))*(1+'Control Room'!$D$9)^190*'Process'!AO192),2),"")</x:f>
      </x:c>
      <x:c r="K192" s="16" t="str">
        <x:f>IF(AND(AND(191&lt;='Control Room'!$B$3,'Control Room'!$D$3="Ready"),9&lt;='Control Room'!$B$2),ROUND(MAX(0,'Process'!AS192*'Control Room'!$H$12*INDEX('Control Room'!$B$19:$H$19,1,WEEKDAY($A192,2))*(1+'Control Room'!$D$9)^190*'Process'!AT192),2),"")</x:f>
      </x:c>
      <x:c r="L192" s="16" t="str">
        <x:f>IF(AND(AND(191&lt;='Control Room'!$B$3,'Control Room'!$D$3="Ready"),10&lt;='Control Room'!$B$2),ROUND(MAX(0,'Process'!AX192*'Control Room'!$H$13*INDEX('Control Room'!$B$19:$H$19,1,WEEKDAY($A192,2))*(1+'Control Room'!$D$9)^190*'Process'!AY192),2),"")</x:f>
      </x:c>
      <x:c r="M192" s="16" t="str">
        <x:f>IF(AND(AND(191&lt;='Control Room'!$B$3,'Control Room'!$D$3="Ready"),11&lt;='Control Room'!$B$2),ROUND(MAX(0,'Process'!BC192*'Control Room'!$H$14*INDEX('Control Room'!$B$19:$H$19,1,WEEKDAY($A192,2))*(1+'Control Room'!$D$9)^190*'Process'!BD192),2),"")</x:f>
      </x:c>
      <x:c r="N192" s="16" t="str">
        <x:f>IF(AND(AND(191&lt;='Control Room'!$B$3,'Control Room'!$D$3="Ready"),12&lt;='Control Room'!$B$2),ROUND(MAX(0,'Process'!BH192*'Control Room'!$H$15*INDEX('Control Room'!$B$19:$H$19,1,WEEKDAY($A192,2))*(1+'Control Room'!$D$9)^190*'Process'!BI192),2),"")</x:f>
      </x:c>
    </x:row>
    <x:row r="193" ht="21" customHeight="1">
      <x:c r="A193" s="15" t="str">
        <x:f>IF(AND(192&lt;='Control Room'!$B$3,'Control Room'!$D$3="Ready"),'Process'!A193,"")</x:f>
      </x:c>
      <x:c r="B193" s="16" t="str">
        <x:f>IF(A193="","",SUM(C193:N193))</x:f>
      </x:c>
      <x:c r="C193" s="16" t="str">
        <x:f>IF(AND(AND(192&lt;='Control Room'!$B$3,'Control Room'!$D$3="Ready"),1&lt;='Control Room'!$B$2),ROUND(MAX(0,'Process'!E193*'Control Room'!$H$4*INDEX('Control Room'!$B$19:$H$19,1,WEEKDAY($A193,2))*(1+'Control Room'!$D$9)^191*'Process'!F193),2),"")</x:f>
      </x:c>
      <x:c r="D193" s="16" t="str">
        <x:f>IF(AND(AND(192&lt;='Control Room'!$B$3,'Control Room'!$D$3="Ready"),2&lt;='Control Room'!$B$2),ROUND(MAX(0,'Process'!J193*'Control Room'!$H$5*INDEX('Control Room'!$B$19:$H$19,1,WEEKDAY($A193,2))*(1+'Control Room'!$D$9)^191*'Process'!K193),2),"")</x:f>
      </x:c>
      <x:c r="E193" s="16" t="str">
        <x:f>IF(AND(AND(192&lt;='Control Room'!$B$3,'Control Room'!$D$3="Ready"),3&lt;='Control Room'!$B$2),ROUND(MAX(0,'Process'!O193*'Control Room'!$H$6*INDEX('Control Room'!$B$19:$H$19,1,WEEKDAY($A193,2))*(1+'Control Room'!$D$9)^191*'Process'!P193),2),"")</x:f>
      </x:c>
      <x:c r="F193" s="16" t="str">
        <x:f>IF(AND(AND(192&lt;='Control Room'!$B$3,'Control Room'!$D$3="Ready"),4&lt;='Control Room'!$B$2),ROUND(MAX(0,'Process'!T193*'Control Room'!$H$7*INDEX('Control Room'!$B$19:$H$19,1,WEEKDAY($A193,2))*(1+'Control Room'!$D$9)^191*'Process'!U193),2),"")</x:f>
      </x:c>
      <x:c r="G193" s="16" t="str">
        <x:f>IF(AND(AND(192&lt;='Control Room'!$B$3,'Control Room'!$D$3="Ready"),5&lt;='Control Room'!$B$2),ROUND(MAX(0,'Process'!Y193*'Control Room'!$H$8*INDEX('Control Room'!$B$19:$H$19,1,WEEKDAY($A193,2))*(1+'Control Room'!$D$9)^191*'Process'!Z193),2),"")</x:f>
      </x:c>
      <x:c r="H193" s="16" t="str">
        <x:f>IF(AND(AND(192&lt;='Control Room'!$B$3,'Control Room'!$D$3="Ready"),6&lt;='Control Room'!$B$2),ROUND(MAX(0,'Process'!AD193*'Control Room'!$H$9*INDEX('Control Room'!$B$19:$H$19,1,WEEKDAY($A193,2))*(1+'Control Room'!$D$9)^191*'Process'!AE193),2),"")</x:f>
      </x:c>
      <x:c r="I193" s="16" t="str">
        <x:f>IF(AND(AND(192&lt;='Control Room'!$B$3,'Control Room'!$D$3="Ready"),7&lt;='Control Room'!$B$2),ROUND(MAX(0,'Process'!AI193*'Control Room'!$H$10*INDEX('Control Room'!$B$19:$H$19,1,WEEKDAY($A193,2))*(1+'Control Room'!$D$9)^191*'Process'!AJ193),2),"")</x:f>
      </x:c>
      <x:c r="J193" s="16" t="str">
        <x:f>IF(AND(AND(192&lt;='Control Room'!$B$3,'Control Room'!$D$3="Ready"),8&lt;='Control Room'!$B$2),ROUND(MAX(0,'Process'!AN193*'Control Room'!$H$11*INDEX('Control Room'!$B$19:$H$19,1,WEEKDAY($A193,2))*(1+'Control Room'!$D$9)^191*'Process'!AO193),2),"")</x:f>
      </x:c>
      <x:c r="K193" s="16" t="str">
        <x:f>IF(AND(AND(192&lt;='Control Room'!$B$3,'Control Room'!$D$3="Ready"),9&lt;='Control Room'!$B$2),ROUND(MAX(0,'Process'!AS193*'Control Room'!$H$12*INDEX('Control Room'!$B$19:$H$19,1,WEEKDAY($A193,2))*(1+'Control Room'!$D$9)^191*'Process'!AT193),2),"")</x:f>
      </x:c>
      <x:c r="L193" s="16" t="str">
        <x:f>IF(AND(AND(192&lt;='Control Room'!$B$3,'Control Room'!$D$3="Ready"),10&lt;='Control Room'!$B$2),ROUND(MAX(0,'Process'!AX193*'Control Room'!$H$13*INDEX('Control Room'!$B$19:$H$19,1,WEEKDAY($A193,2))*(1+'Control Room'!$D$9)^191*'Process'!AY193),2),"")</x:f>
      </x:c>
      <x:c r="M193" s="16" t="str">
        <x:f>IF(AND(AND(192&lt;='Control Room'!$B$3,'Control Room'!$D$3="Ready"),11&lt;='Control Room'!$B$2),ROUND(MAX(0,'Process'!BC193*'Control Room'!$H$14*INDEX('Control Room'!$B$19:$H$19,1,WEEKDAY($A193,2))*(1+'Control Room'!$D$9)^191*'Process'!BD193),2),"")</x:f>
      </x:c>
      <x:c r="N193" s="16" t="str">
        <x:f>IF(AND(AND(192&lt;='Control Room'!$B$3,'Control Room'!$D$3="Ready"),12&lt;='Control Room'!$B$2),ROUND(MAX(0,'Process'!BH193*'Control Room'!$H$15*INDEX('Control Room'!$B$19:$H$19,1,WEEKDAY($A193,2))*(1+'Control Room'!$D$9)^191*'Process'!BI193),2),"")</x:f>
      </x:c>
    </x:row>
    <x:row r="194" ht="21" customHeight="1">
      <x:c r="A194" s="15" t="str">
        <x:f>IF(AND(193&lt;='Control Room'!$B$3,'Control Room'!$D$3="Ready"),'Process'!A194,"")</x:f>
      </x:c>
      <x:c r="B194" s="16" t="str">
        <x:f>IF(A194="","",SUM(C194:N194))</x:f>
      </x:c>
      <x:c r="C194" s="16" t="str">
        <x:f>IF(AND(AND(193&lt;='Control Room'!$B$3,'Control Room'!$D$3="Ready"),1&lt;='Control Room'!$B$2),ROUND(MAX(0,'Process'!E194*'Control Room'!$H$4*INDEX('Control Room'!$B$19:$H$19,1,WEEKDAY($A194,2))*(1+'Control Room'!$D$9)^192*'Process'!F194),2),"")</x:f>
      </x:c>
      <x:c r="D194" s="16" t="str">
        <x:f>IF(AND(AND(193&lt;='Control Room'!$B$3,'Control Room'!$D$3="Ready"),2&lt;='Control Room'!$B$2),ROUND(MAX(0,'Process'!J194*'Control Room'!$H$5*INDEX('Control Room'!$B$19:$H$19,1,WEEKDAY($A194,2))*(1+'Control Room'!$D$9)^192*'Process'!K194),2),"")</x:f>
      </x:c>
      <x:c r="E194" s="16" t="str">
        <x:f>IF(AND(AND(193&lt;='Control Room'!$B$3,'Control Room'!$D$3="Ready"),3&lt;='Control Room'!$B$2),ROUND(MAX(0,'Process'!O194*'Control Room'!$H$6*INDEX('Control Room'!$B$19:$H$19,1,WEEKDAY($A194,2))*(1+'Control Room'!$D$9)^192*'Process'!P194),2),"")</x:f>
      </x:c>
      <x:c r="F194" s="16" t="str">
        <x:f>IF(AND(AND(193&lt;='Control Room'!$B$3,'Control Room'!$D$3="Ready"),4&lt;='Control Room'!$B$2),ROUND(MAX(0,'Process'!T194*'Control Room'!$H$7*INDEX('Control Room'!$B$19:$H$19,1,WEEKDAY($A194,2))*(1+'Control Room'!$D$9)^192*'Process'!U194),2),"")</x:f>
      </x:c>
      <x:c r="G194" s="16" t="str">
        <x:f>IF(AND(AND(193&lt;='Control Room'!$B$3,'Control Room'!$D$3="Ready"),5&lt;='Control Room'!$B$2),ROUND(MAX(0,'Process'!Y194*'Control Room'!$H$8*INDEX('Control Room'!$B$19:$H$19,1,WEEKDAY($A194,2))*(1+'Control Room'!$D$9)^192*'Process'!Z194),2),"")</x:f>
      </x:c>
      <x:c r="H194" s="16" t="str">
        <x:f>IF(AND(AND(193&lt;='Control Room'!$B$3,'Control Room'!$D$3="Ready"),6&lt;='Control Room'!$B$2),ROUND(MAX(0,'Process'!AD194*'Control Room'!$H$9*INDEX('Control Room'!$B$19:$H$19,1,WEEKDAY($A194,2))*(1+'Control Room'!$D$9)^192*'Process'!AE194),2),"")</x:f>
      </x:c>
      <x:c r="I194" s="16" t="str">
        <x:f>IF(AND(AND(193&lt;='Control Room'!$B$3,'Control Room'!$D$3="Ready"),7&lt;='Control Room'!$B$2),ROUND(MAX(0,'Process'!AI194*'Control Room'!$H$10*INDEX('Control Room'!$B$19:$H$19,1,WEEKDAY($A194,2))*(1+'Control Room'!$D$9)^192*'Process'!AJ194),2),"")</x:f>
      </x:c>
      <x:c r="J194" s="16" t="str">
        <x:f>IF(AND(AND(193&lt;='Control Room'!$B$3,'Control Room'!$D$3="Ready"),8&lt;='Control Room'!$B$2),ROUND(MAX(0,'Process'!AN194*'Control Room'!$H$11*INDEX('Control Room'!$B$19:$H$19,1,WEEKDAY($A194,2))*(1+'Control Room'!$D$9)^192*'Process'!AO194),2),"")</x:f>
      </x:c>
      <x:c r="K194" s="16" t="str">
        <x:f>IF(AND(AND(193&lt;='Control Room'!$B$3,'Control Room'!$D$3="Ready"),9&lt;='Control Room'!$B$2),ROUND(MAX(0,'Process'!AS194*'Control Room'!$H$12*INDEX('Control Room'!$B$19:$H$19,1,WEEKDAY($A194,2))*(1+'Control Room'!$D$9)^192*'Process'!AT194),2),"")</x:f>
      </x:c>
      <x:c r="L194" s="16" t="str">
        <x:f>IF(AND(AND(193&lt;='Control Room'!$B$3,'Control Room'!$D$3="Ready"),10&lt;='Control Room'!$B$2),ROUND(MAX(0,'Process'!AX194*'Control Room'!$H$13*INDEX('Control Room'!$B$19:$H$19,1,WEEKDAY($A194,2))*(1+'Control Room'!$D$9)^192*'Process'!AY194),2),"")</x:f>
      </x:c>
      <x:c r="M194" s="16" t="str">
        <x:f>IF(AND(AND(193&lt;='Control Room'!$B$3,'Control Room'!$D$3="Ready"),11&lt;='Control Room'!$B$2),ROUND(MAX(0,'Process'!BC194*'Control Room'!$H$14*INDEX('Control Room'!$B$19:$H$19,1,WEEKDAY($A194,2))*(1+'Control Room'!$D$9)^192*'Process'!BD194),2),"")</x:f>
      </x:c>
      <x:c r="N194" s="16" t="str">
        <x:f>IF(AND(AND(193&lt;='Control Room'!$B$3,'Control Room'!$D$3="Ready"),12&lt;='Control Room'!$B$2),ROUND(MAX(0,'Process'!BH194*'Control Room'!$H$15*INDEX('Control Room'!$B$19:$H$19,1,WEEKDAY($A194,2))*(1+'Control Room'!$D$9)^192*'Process'!BI194),2),"")</x:f>
      </x:c>
    </x:row>
    <x:row r="195" ht="21" customHeight="1">
      <x:c r="A195" s="15" t="str">
        <x:f>IF(AND(194&lt;='Control Room'!$B$3,'Control Room'!$D$3="Ready"),'Process'!A195,"")</x:f>
      </x:c>
      <x:c r="B195" s="16" t="str">
        <x:f>IF(A195="","",SUM(C195:N195))</x:f>
      </x:c>
      <x:c r="C195" s="16" t="str">
        <x:f>IF(AND(AND(194&lt;='Control Room'!$B$3,'Control Room'!$D$3="Ready"),1&lt;='Control Room'!$B$2),ROUND(MAX(0,'Process'!E195*'Control Room'!$H$4*INDEX('Control Room'!$B$19:$H$19,1,WEEKDAY($A195,2))*(1+'Control Room'!$D$9)^193*'Process'!F195),2),"")</x:f>
      </x:c>
      <x:c r="D195" s="16" t="str">
        <x:f>IF(AND(AND(194&lt;='Control Room'!$B$3,'Control Room'!$D$3="Ready"),2&lt;='Control Room'!$B$2),ROUND(MAX(0,'Process'!J195*'Control Room'!$H$5*INDEX('Control Room'!$B$19:$H$19,1,WEEKDAY($A195,2))*(1+'Control Room'!$D$9)^193*'Process'!K195),2),"")</x:f>
      </x:c>
      <x:c r="E195" s="16" t="str">
        <x:f>IF(AND(AND(194&lt;='Control Room'!$B$3,'Control Room'!$D$3="Ready"),3&lt;='Control Room'!$B$2),ROUND(MAX(0,'Process'!O195*'Control Room'!$H$6*INDEX('Control Room'!$B$19:$H$19,1,WEEKDAY($A195,2))*(1+'Control Room'!$D$9)^193*'Process'!P195),2),"")</x:f>
      </x:c>
      <x:c r="F195" s="16" t="str">
        <x:f>IF(AND(AND(194&lt;='Control Room'!$B$3,'Control Room'!$D$3="Ready"),4&lt;='Control Room'!$B$2),ROUND(MAX(0,'Process'!T195*'Control Room'!$H$7*INDEX('Control Room'!$B$19:$H$19,1,WEEKDAY($A195,2))*(1+'Control Room'!$D$9)^193*'Process'!U195),2),"")</x:f>
      </x:c>
      <x:c r="G195" s="16" t="str">
        <x:f>IF(AND(AND(194&lt;='Control Room'!$B$3,'Control Room'!$D$3="Ready"),5&lt;='Control Room'!$B$2),ROUND(MAX(0,'Process'!Y195*'Control Room'!$H$8*INDEX('Control Room'!$B$19:$H$19,1,WEEKDAY($A195,2))*(1+'Control Room'!$D$9)^193*'Process'!Z195),2),"")</x:f>
      </x:c>
      <x:c r="H195" s="16" t="str">
        <x:f>IF(AND(AND(194&lt;='Control Room'!$B$3,'Control Room'!$D$3="Ready"),6&lt;='Control Room'!$B$2),ROUND(MAX(0,'Process'!AD195*'Control Room'!$H$9*INDEX('Control Room'!$B$19:$H$19,1,WEEKDAY($A195,2))*(1+'Control Room'!$D$9)^193*'Process'!AE195),2),"")</x:f>
      </x:c>
      <x:c r="I195" s="16" t="str">
        <x:f>IF(AND(AND(194&lt;='Control Room'!$B$3,'Control Room'!$D$3="Ready"),7&lt;='Control Room'!$B$2),ROUND(MAX(0,'Process'!AI195*'Control Room'!$H$10*INDEX('Control Room'!$B$19:$H$19,1,WEEKDAY($A195,2))*(1+'Control Room'!$D$9)^193*'Process'!AJ195),2),"")</x:f>
      </x:c>
      <x:c r="J195" s="16" t="str">
        <x:f>IF(AND(AND(194&lt;='Control Room'!$B$3,'Control Room'!$D$3="Ready"),8&lt;='Control Room'!$B$2),ROUND(MAX(0,'Process'!AN195*'Control Room'!$H$11*INDEX('Control Room'!$B$19:$H$19,1,WEEKDAY($A195,2))*(1+'Control Room'!$D$9)^193*'Process'!AO195),2),"")</x:f>
      </x:c>
      <x:c r="K195" s="16" t="str">
        <x:f>IF(AND(AND(194&lt;='Control Room'!$B$3,'Control Room'!$D$3="Ready"),9&lt;='Control Room'!$B$2),ROUND(MAX(0,'Process'!AS195*'Control Room'!$H$12*INDEX('Control Room'!$B$19:$H$19,1,WEEKDAY($A195,2))*(1+'Control Room'!$D$9)^193*'Process'!AT195),2),"")</x:f>
      </x:c>
      <x:c r="L195" s="16" t="str">
        <x:f>IF(AND(AND(194&lt;='Control Room'!$B$3,'Control Room'!$D$3="Ready"),10&lt;='Control Room'!$B$2),ROUND(MAX(0,'Process'!AX195*'Control Room'!$H$13*INDEX('Control Room'!$B$19:$H$19,1,WEEKDAY($A195,2))*(1+'Control Room'!$D$9)^193*'Process'!AY195),2),"")</x:f>
      </x:c>
      <x:c r="M195" s="16" t="str">
        <x:f>IF(AND(AND(194&lt;='Control Room'!$B$3,'Control Room'!$D$3="Ready"),11&lt;='Control Room'!$B$2),ROUND(MAX(0,'Process'!BC195*'Control Room'!$H$14*INDEX('Control Room'!$B$19:$H$19,1,WEEKDAY($A195,2))*(1+'Control Room'!$D$9)^193*'Process'!BD195),2),"")</x:f>
      </x:c>
      <x:c r="N195" s="16" t="str">
        <x:f>IF(AND(AND(194&lt;='Control Room'!$B$3,'Control Room'!$D$3="Ready"),12&lt;='Control Room'!$B$2),ROUND(MAX(0,'Process'!BH195*'Control Room'!$H$15*INDEX('Control Room'!$B$19:$H$19,1,WEEKDAY($A195,2))*(1+'Control Room'!$D$9)^193*'Process'!BI195),2),"")</x:f>
      </x:c>
    </x:row>
    <x:row r="196" ht="21" customHeight="1">
      <x:c r="A196" s="15" t="str">
        <x:f>IF(AND(195&lt;='Control Room'!$B$3,'Control Room'!$D$3="Ready"),'Process'!A196,"")</x:f>
      </x:c>
      <x:c r="B196" s="16" t="str">
        <x:f>IF(A196="","",SUM(C196:N196))</x:f>
      </x:c>
      <x:c r="C196" s="16" t="str">
        <x:f>IF(AND(AND(195&lt;='Control Room'!$B$3,'Control Room'!$D$3="Ready"),1&lt;='Control Room'!$B$2),ROUND(MAX(0,'Process'!E196*'Control Room'!$H$4*INDEX('Control Room'!$B$19:$H$19,1,WEEKDAY($A196,2))*(1+'Control Room'!$D$9)^194*'Process'!F196),2),"")</x:f>
      </x:c>
      <x:c r="D196" s="16" t="str">
        <x:f>IF(AND(AND(195&lt;='Control Room'!$B$3,'Control Room'!$D$3="Ready"),2&lt;='Control Room'!$B$2),ROUND(MAX(0,'Process'!J196*'Control Room'!$H$5*INDEX('Control Room'!$B$19:$H$19,1,WEEKDAY($A196,2))*(1+'Control Room'!$D$9)^194*'Process'!K196),2),"")</x:f>
      </x:c>
      <x:c r="E196" s="16" t="str">
        <x:f>IF(AND(AND(195&lt;='Control Room'!$B$3,'Control Room'!$D$3="Ready"),3&lt;='Control Room'!$B$2),ROUND(MAX(0,'Process'!O196*'Control Room'!$H$6*INDEX('Control Room'!$B$19:$H$19,1,WEEKDAY($A196,2))*(1+'Control Room'!$D$9)^194*'Process'!P196),2),"")</x:f>
      </x:c>
      <x:c r="F196" s="16" t="str">
        <x:f>IF(AND(AND(195&lt;='Control Room'!$B$3,'Control Room'!$D$3="Ready"),4&lt;='Control Room'!$B$2),ROUND(MAX(0,'Process'!T196*'Control Room'!$H$7*INDEX('Control Room'!$B$19:$H$19,1,WEEKDAY($A196,2))*(1+'Control Room'!$D$9)^194*'Process'!U196),2),"")</x:f>
      </x:c>
      <x:c r="G196" s="16" t="str">
        <x:f>IF(AND(AND(195&lt;='Control Room'!$B$3,'Control Room'!$D$3="Ready"),5&lt;='Control Room'!$B$2),ROUND(MAX(0,'Process'!Y196*'Control Room'!$H$8*INDEX('Control Room'!$B$19:$H$19,1,WEEKDAY($A196,2))*(1+'Control Room'!$D$9)^194*'Process'!Z196),2),"")</x:f>
      </x:c>
      <x:c r="H196" s="16" t="str">
        <x:f>IF(AND(AND(195&lt;='Control Room'!$B$3,'Control Room'!$D$3="Ready"),6&lt;='Control Room'!$B$2),ROUND(MAX(0,'Process'!AD196*'Control Room'!$H$9*INDEX('Control Room'!$B$19:$H$19,1,WEEKDAY($A196,2))*(1+'Control Room'!$D$9)^194*'Process'!AE196),2),"")</x:f>
      </x:c>
      <x:c r="I196" s="16" t="str">
        <x:f>IF(AND(AND(195&lt;='Control Room'!$B$3,'Control Room'!$D$3="Ready"),7&lt;='Control Room'!$B$2),ROUND(MAX(0,'Process'!AI196*'Control Room'!$H$10*INDEX('Control Room'!$B$19:$H$19,1,WEEKDAY($A196,2))*(1+'Control Room'!$D$9)^194*'Process'!AJ196),2),"")</x:f>
      </x:c>
      <x:c r="J196" s="16" t="str">
        <x:f>IF(AND(AND(195&lt;='Control Room'!$B$3,'Control Room'!$D$3="Ready"),8&lt;='Control Room'!$B$2),ROUND(MAX(0,'Process'!AN196*'Control Room'!$H$11*INDEX('Control Room'!$B$19:$H$19,1,WEEKDAY($A196,2))*(1+'Control Room'!$D$9)^194*'Process'!AO196),2),"")</x:f>
      </x:c>
      <x:c r="K196" s="16" t="str">
        <x:f>IF(AND(AND(195&lt;='Control Room'!$B$3,'Control Room'!$D$3="Ready"),9&lt;='Control Room'!$B$2),ROUND(MAX(0,'Process'!AS196*'Control Room'!$H$12*INDEX('Control Room'!$B$19:$H$19,1,WEEKDAY($A196,2))*(1+'Control Room'!$D$9)^194*'Process'!AT196),2),"")</x:f>
      </x:c>
      <x:c r="L196" s="16" t="str">
        <x:f>IF(AND(AND(195&lt;='Control Room'!$B$3,'Control Room'!$D$3="Ready"),10&lt;='Control Room'!$B$2),ROUND(MAX(0,'Process'!AX196*'Control Room'!$H$13*INDEX('Control Room'!$B$19:$H$19,1,WEEKDAY($A196,2))*(1+'Control Room'!$D$9)^194*'Process'!AY196),2),"")</x:f>
      </x:c>
      <x:c r="M196" s="16" t="str">
        <x:f>IF(AND(AND(195&lt;='Control Room'!$B$3,'Control Room'!$D$3="Ready"),11&lt;='Control Room'!$B$2),ROUND(MAX(0,'Process'!BC196*'Control Room'!$H$14*INDEX('Control Room'!$B$19:$H$19,1,WEEKDAY($A196,2))*(1+'Control Room'!$D$9)^194*'Process'!BD196),2),"")</x:f>
      </x:c>
      <x:c r="N196" s="16" t="str">
        <x:f>IF(AND(AND(195&lt;='Control Room'!$B$3,'Control Room'!$D$3="Ready"),12&lt;='Control Room'!$B$2),ROUND(MAX(0,'Process'!BH196*'Control Room'!$H$15*INDEX('Control Room'!$B$19:$H$19,1,WEEKDAY($A196,2))*(1+'Control Room'!$D$9)^194*'Process'!BI196),2),"")</x:f>
      </x:c>
    </x:row>
    <x:row r="197" ht="21" customHeight="1">
      <x:c r="A197" s="15" t="str">
        <x:f>IF(AND(196&lt;='Control Room'!$B$3,'Control Room'!$D$3="Ready"),'Process'!A197,"")</x:f>
      </x:c>
      <x:c r="B197" s="16" t="str">
        <x:f>IF(A197="","",SUM(C197:N197))</x:f>
      </x:c>
      <x:c r="C197" s="16" t="str">
        <x:f>IF(AND(AND(196&lt;='Control Room'!$B$3,'Control Room'!$D$3="Ready"),1&lt;='Control Room'!$B$2),ROUND(MAX(0,'Process'!E197*'Control Room'!$H$4*INDEX('Control Room'!$B$19:$H$19,1,WEEKDAY($A197,2))*(1+'Control Room'!$D$9)^195*'Process'!F197),2),"")</x:f>
      </x:c>
      <x:c r="D197" s="16" t="str">
        <x:f>IF(AND(AND(196&lt;='Control Room'!$B$3,'Control Room'!$D$3="Ready"),2&lt;='Control Room'!$B$2),ROUND(MAX(0,'Process'!J197*'Control Room'!$H$5*INDEX('Control Room'!$B$19:$H$19,1,WEEKDAY($A197,2))*(1+'Control Room'!$D$9)^195*'Process'!K197),2),"")</x:f>
      </x:c>
      <x:c r="E197" s="16" t="str">
        <x:f>IF(AND(AND(196&lt;='Control Room'!$B$3,'Control Room'!$D$3="Ready"),3&lt;='Control Room'!$B$2),ROUND(MAX(0,'Process'!O197*'Control Room'!$H$6*INDEX('Control Room'!$B$19:$H$19,1,WEEKDAY($A197,2))*(1+'Control Room'!$D$9)^195*'Process'!P197),2),"")</x:f>
      </x:c>
      <x:c r="F197" s="16" t="str">
        <x:f>IF(AND(AND(196&lt;='Control Room'!$B$3,'Control Room'!$D$3="Ready"),4&lt;='Control Room'!$B$2),ROUND(MAX(0,'Process'!T197*'Control Room'!$H$7*INDEX('Control Room'!$B$19:$H$19,1,WEEKDAY($A197,2))*(1+'Control Room'!$D$9)^195*'Process'!U197),2),"")</x:f>
      </x:c>
      <x:c r="G197" s="16" t="str">
        <x:f>IF(AND(AND(196&lt;='Control Room'!$B$3,'Control Room'!$D$3="Ready"),5&lt;='Control Room'!$B$2),ROUND(MAX(0,'Process'!Y197*'Control Room'!$H$8*INDEX('Control Room'!$B$19:$H$19,1,WEEKDAY($A197,2))*(1+'Control Room'!$D$9)^195*'Process'!Z197),2),"")</x:f>
      </x:c>
      <x:c r="H197" s="16" t="str">
        <x:f>IF(AND(AND(196&lt;='Control Room'!$B$3,'Control Room'!$D$3="Ready"),6&lt;='Control Room'!$B$2),ROUND(MAX(0,'Process'!AD197*'Control Room'!$H$9*INDEX('Control Room'!$B$19:$H$19,1,WEEKDAY($A197,2))*(1+'Control Room'!$D$9)^195*'Process'!AE197),2),"")</x:f>
      </x:c>
      <x:c r="I197" s="16" t="str">
        <x:f>IF(AND(AND(196&lt;='Control Room'!$B$3,'Control Room'!$D$3="Ready"),7&lt;='Control Room'!$B$2),ROUND(MAX(0,'Process'!AI197*'Control Room'!$H$10*INDEX('Control Room'!$B$19:$H$19,1,WEEKDAY($A197,2))*(1+'Control Room'!$D$9)^195*'Process'!AJ197),2),"")</x:f>
      </x:c>
      <x:c r="J197" s="16" t="str">
        <x:f>IF(AND(AND(196&lt;='Control Room'!$B$3,'Control Room'!$D$3="Ready"),8&lt;='Control Room'!$B$2),ROUND(MAX(0,'Process'!AN197*'Control Room'!$H$11*INDEX('Control Room'!$B$19:$H$19,1,WEEKDAY($A197,2))*(1+'Control Room'!$D$9)^195*'Process'!AO197),2),"")</x:f>
      </x:c>
      <x:c r="K197" s="16" t="str">
        <x:f>IF(AND(AND(196&lt;='Control Room'!$B$3,'Control Room'!$D$3="Ready"),9&lt;='Control Room'!$B$2),ROUND(MAX(0,'Process'!AS197*'Control Room'!$H$12*INDEX('Control Room'!$B$19:$H$19,1,WEEKDAY($A197,2))*(1+'Control Room'!$D$9)^195*'Process'!AT197),2),"")</x:f>
      </x:c>
      <x:c r="L197" s="16" t="str">
        <x:f>IF(AND(AND(196&lt;='Control Room'!$B$3,'Control Room'!$D$3="Ready"),10&lt;='Control Room'!$B$2),ROUND(MAX(0,'Process'!AX197*'Control Room'!$H$13*INDEX('Control Room'!$B$19:$H$19,1,WEEKDAY($A197,2))*(1+'Control Room'!$D$9)^195*'Process'!AY197),2),"")</x:f>
      </x:c>
      <x:c r="M197" s="16" t="str">
        <x:f>IF(AND(AND(196&lt;='Control Room'!$B$3,'Control Room'!$D$3="Ready"),11&lt;='Control Room'!$B$2),ROUND(MAX(0,'Process'!BC197*'Control Room'!$H$14*INDEX('Control Room'!$B$19:$H$19,1,WEEKDAY($A197,2))*(1+'Control Room'!$D$9)^195*'Process'!BD197),2),"")</x:f>
      </x:c>
      <x:c r="N197" s="16" t="str">
        <x:f>IF(AND(AND(196&lt;='Control Room'!$B$3,'Control Room'!$D$3="Ready"),12&lt;='Control Room'!$B$2),ROUND(MAX(0,'Process'!BH197*'Control Room'!$H$15*INDEX('Control Room'!$B$19:$H$19,1,WEEKDAY($A197,2))*(1+'Control Room'!$D$9)^195*'Process'!BI197),2),"")</x:f>
      </x:c>
    </x:row>
    <x:row r="198" ht="21" customHeight="1">
      <x:c r="A198" s="15" t="str">
        <x:f>IF(AND(197&lt;='Control Room'!$B$3,'Control Room'!$D$3="Ready"),'Process'!A198,"")</x:f>
      </x:c>
      <x:c r="B198" s="16" t="str">
        <x:f>IF(A198="","",SUM(C198:N198))</x:f>
      </x:c>
      <x:c r="C198" s="16" t="str">
        <x:f>IF(AND(AND(197&lt;='Control Room'!$B$3,'Control Room'!$D$3="Ready"),1&lt;='Control Room'!$B$2),ROUND(MAX(0,'Process'!E198*'Control Room'!$H$4*INDEX('Control Room'!$B$19:$H$19,1,WEEKDAY($A198,2))*(1+'Control Room'!$D$9)^196*'Process'!F198),2),"")</x:f>
      </x:c>
      <x:c r="D198" s="16" t="str">
        <x:f>IF(AND(AND(197&lt;='Control Room'!$B$3,'Control Room'!$D$3="Ready"),2&lt;='Control Room'!$B$2),ROUND(MAX(0,'Process'!J198*'Control Room'!$H$5*INDEX('Control Room'!$B$19:$H$19,1,WEEKDAY($A198,2))*(1+'Control Room'!$D$9)^196*'Process'!K198),2),"")</x:f>
      </x:c>
      <x:c r="E198" s="16" t="str">
        <x:f>IF(AND(AND(197&lt;='Control Room'!$B$3,'Control Room'!$D$3="Ready"),3&lt;='Control Room'!$B$2),ROUND(MAX(0,'Process'!O198*'Control Room'!$H$6*INDEX('Control Room'!$B$19:$H$19,1,WEEKDAY($A198,2))*(1+'Control Room'!$D$9)^196*'Process'!P198),2),"")</x:f>
      </x:c>
      <x:c r="F198" s="16" t="str">
        <x:f>IF(AND(AND(197&lt;='Control Room'!$B$3,'Control Room'!$D$3="Ready"),4&lt;='Control Room'!$B$2),ROUND(MAX(0,'Process'!T198*'Control Room'!$H$7*INDEX('Control Room'!$B$19:$H$19,1,WEEKDAY($A198,2))*(1+'Control Room'!$D$9)^196*'Process'!U198),2),"")</x:f>
      </x:c>
      <x:c r="G198" s="16" t="str">
        <x:f>IF(AND(AND(197&lt;='Control Room'!$B$3,'Control Room'!$D$3="Ready"),5&lt;='Control Room'!$B$2),ROUND(MAX(0,'Process'!Y198*'Control Room'!$H$8*INDEX('Control Room'!$B$19:$H$19,1,WEEKDAY($A198,2))*(1+'Control Room'!$D$9)^196*'Process'!Z198),2),"")</x:f>
      </x:c>
      <x:c r="H198" s="16" t="str">
        <x:f>IF(AND(AND(197&lt;='Control Room'!$B$3,'Control Room'!$D$3="Ready"),6&lt;='Control Room'!$B$2),ROUND(MAX(0,'Process'!AD198*'Control Room'!$H$9*INDEX('Control Room'!$B$19:$H$19,1,WEEKDAY($A198,2))*(1+'Control Room'!$D$9)^196*'Process'!AE198),2),"")</x:f>
      </x:c>
      <x:c r="I198" s="16" t="str">
        <x:f>IF(AND(AND(197&lt;='Control Room'!$B$3,'Control Room'!$D$3="Ready"),7&lt;='Control Room'!$B$2),ROUND(MAX(0,'Process'!AI198*'Control Room'!$H$10*INDEX('Control Room'!$B$19:$H$19,1,WEEKDAY($A198,2))*(1+'Control Room'!$D$9)^196*'Process'!AJ198),2),"")</x:f>
      </x:c>
      <x:c r="J198" s="16" t="str">
        <x:f>IF(AND(AND(197&lt;='Control Room'!$B$3,'Control Room'!$D$3="Ready"),8&lt;='Control Room'!$B$2),ROUND(MAX(0,'Process'!AN198*'Control Room'!$H$11*INDEX('Control Room'!$B$19:$H$19,1,WEEKDAY($A198,2))*(1+'Control Room'!$D$9)^196*'Process'!AO198),2),"")</x:f>
      </x:c>
      <x:c r="K198" s="16" t="str">
        <x:f>IF(AND(AND(197&lt;='Control Room'!$B$3,'Control Room'!$D$3="Ready"),9&lt;='Control Room'!$B$2),ROUND(MAX(0,'Process'!AS198*'Control Room'!$H$12*INDEX('Control Room'!$B$19:$H$19,1,WEEKDAY($A198,2))*(1+'Control Room'!$D$9)^196*'Process'!AT198),2),"")</x:f>
      </x:c>
      <x:c r="L198" s="16" t="str">
        <x:f>IF(AND(AND(197&lt;='Control Room'!$B$3,'Control Room'!$D$3="Ready"),10&lt;='Control Room'!$B$2),ROUND(MAX(0,'Process'!AX198*'Control Room'!$H$13*INDEX('Control Room'!$B$19:$H$19,1,WEEKDAY($A198,2))*(1+'Control Room'!$D$9)^196*'Process'!AY198),2),"")</x:f>
      </x:c>
      <x:c r="M198" s="16" t="str">
        <x:f>IF(AND(AND(197&lt;='Control Room'!$B$3,'Control Room'!$D$3="Ready"),11&lt;='Control Room'!$B$2),ROUND(MAX(0,'Process'!BC198*'Control Room'!$H$14*INDEX('Control Room'!$B$19:$H$19,1,WEEKDAY($A198,2))*(1+'Control Room'!$D$9)^196*'Process'!BD198),2),"")</x:f>
      </x:c>
      <x:c r="N198" s="16" t="str">
        <x:f>IF(AND(AND(197&lt;='Control Room'!$B$3,'Control Room'!$D$3="Ready"),12&lt;='Control Room'!$B$2),ROUND(MAX(0,'Process'!BH198*'Control Room'!$H$15*INDEX('Control Room'!$B$19:$H$19,1,WEEKDAY($A198,2))*(1+'Control Room'!$D$9)^196*'Process'!BI198),2),"")</x:f>
      </x:c>
    </x:row>
    <x:row r="199" ht="21" customHeight="1">
      <x:c r="A199" s="15" t="str">
        <x:f>IF(AND(198&lt;='Control Room'!$B$3,'Control Room'!$D$3="Ready"),'Process'!A199,"")</x:f>
      </x:c>
      <x:c r="B199" s="16" t="str">
        <x:f>IF(A199="","",SUM(C199:N199))</x:f>
      </x:c>
      <x:c r="C199" s="16" t="str">
        <x:f>IF(AND(AND(198&lt;='Control Room'!$B$3,'Control Room'!$D$3="Ready"),1&lt;='Control Room'!$B$2),ROUND(MAX(0,'Process'!E199*'Control Room'!$H$4*INDEX('Control Room'!$B$19:$H$19,1,WEEKDAY($A199,2))*(1+'Control Room'!$D$9)^197*'Process'!F199),2),"")</x:f>
      </x:c>
      <x:c r="D199" s="16" t="str">
        <x:f>IF(AND(AND(198&lt;='Control Room'!$B$3,'Control Room'!$D$3="Ready"),2&lt;='Control Room'!$B$2),ROUND(MAX(0,'Process'!J199*'Control Room'!$H$5*INDEX('Control Room'!$B$19:$H$19,1,WEEKDAY($A199,2))*(1+'Control Room'!$D$9)^197*'Process'!K199),2),"")</x:f>
      </x:c>
      <x:c r="E199" s="16" t="str">
        <x:f>IF(AND(AND(198&lt;='Control Room'!$B$3,'Control Room'!$D$3="Ready"),3&lt;='Control Room'!$B$2),ROUND(MAX(0,'Process'!O199*'Control Room'!$H$6*INDEX('Control Room'!$B$19:$H$19,1,WEEKDAY($A199,2))*(1+'Control Room'!$D$9)^197*'Process'!P199),2),"")</x:f>
      </x:c>
      <x:c r="F199" s="16" t="str">
        <x:f>IF(AND(AND(198&lt;='Control Room'!$B$3,'Control Room'!$D$3="Ready"),4&lt;='Control Room'!$B$2),ROUND(MAX(0,'Process'!T199*'Control Room'!$H$7*INDEX('Control Room'!$B$19:$H$19,1,WEEKDAY($A199,2))*(1+'Control Room'!$D$9)^197*'Process'!U199),2),"")</x:f>
      </x:c>
      <x:c r="G199" s="16" t="str">
        <x:f>IF(AND(AND(198&lt;='Control Room'!$B$3,'Control Room'!$D$3="Ready"),5&lt;='Control Room'!$B$2),ROUND(MAX(0,'Process'!Y199*'Control Room'!$H$8*INDEX('Control Room'!$B$19:$H$19,1,WEEKDAY($A199,2))*(1+'Control Room'!$D$9)^197*'Process'!Z199),2),"")</x:f>
      </x:c>
      <x:c r="H199" s="16" t="str">
        <x:f>IF(AND(AND(198&lt;='Control Room'!$B$3,'Control Room'!$D$3="Ready"),6&lt;='Control Room'!$B$2),ROUND(MAX(0,'Process'!AD199*'Control Room'!$H$9*INDEX('Control Room'!$B$19:$H$19,1,WEEKDAY($A199,2))*(1+'Control Room'!$D$9)^197*'Process'!AE199),2),"")</x:f>
      </x:c>
      <x:c r="I199" s="16" t="str">
        <x:f>IF(AND(AND(198&lt;='Control Room'!$B$3,'Control Room'!$D$3="Ready"),7&lt;='Control Room'!$B$2),ROUND(MAX(0,'Process'!AI199*'Control Room'!$H$10*INDEX('Control Room'!$B$19:$H$19,1,WEEKDAY($A199,2))*(1+'Control Room'!$D$9)^197*'Process'!AJ199),2),"")</x:f>
      </x:c>
      <x:c r="J199" s="16" t="str">
        <x:f>IF(AND(AND(198&lt;='Control Room'!$B$3,'Control Room'!$D$3="Ready"),8&lt;='Control Room'!$B$2),ROUND(MAX(0,'Process'!AN199*'Control Room'!$H$11*INDEX('Control Room'!$B$19:$H$19,1,WEEKDAY($A199,2))*(1+'Control Room'!$D$9)^197*'Process'!AO199),2),"")</x:f>
      </x:c>
      <x:c r="K199" s="16" t="str">
        <x:f>IF(AND(AND(198&lt;='Control Room'!$B$3,'Control Room'!$D$3="Ready"),9&lt;='Control Room'!$B$2),ROUND(MAX(0,'Process'!AS199*'Control Room'!$H$12*INDEX('Control Room'!$B$19:$H$19,1,WEEKDAY($A199,2))*(1+'Control Room'!$D$9)^197*'Process'!AT199),2),"")</x:f>
      </x:c>
      <x:c r="L199" s="16" t="str">
        <x:f>IF(AND(AND(198&lt;='Control Room'!$B$3,'Control Room'!$D$3="Ready"),10&lt;='Control Room'!$B$2),ROUND(MAX(0,'Process'!AX199*'Control Room'!$H$13*INDEX('Control Room'!$B$19:$H$19,1,WEEKDAY($A199,2))*(1+'Control Room'!$D$9)^197*'Process'!AY199),2),"")</x:f>
      </x:c>
      <x:c r="M199" s="16" t="str">
        <x:f>IF(AND(AND(198&lt;='Control Room'!$B$3,'Control Room'!$D$3="Ready"),11&lt;='Control Room'!$B$2),ROUND(MAX(0,'Process'!BC199*'Control Room'!$H$14*INDEX('Control Room'!$B$19:$H$19,1,WEEKDAY($A199,2))*(1+'Control Room'!$D$9)^197*'Process'!BD199),2),"")</x:f>
      </x:c>
      <x:c r="N199" s="16" t="str">
        <x:f>IF(AND(AND(198&lt;='Control Room'!$B$3,'Control Room'!$D$3="Ready"),12&lt;='Control Room'!$B$2),ROUND(MAX(0,'Process'!BH199*'Control Room'!$H$15*INDEX('Control Room'!$B$19:$H$19,1,WEEKDAY($A199,2))*(1+'Control Room'!$D$9)^197*'Process'!BI199),2),"")</x:f>
      </x:c>
    </x:row>
    <x:row r="200" ht="21" customHeight="1">
      <x:c r="A200" s="15" t="str">
        <x:f>IF(AND(199&lt;='Control Room'!$B$3,'Control Room'!$D$3="Ready"),'Process'!A200,"")</x:f>
      </x:c>
      <x:c r="B200" s="16" t="str">
        <x:f>IF(A200="","",SUM(C200:N200))</x:f>
      </x:c>
      <x:c r="C200" s="16" t="str">
        <x:f>IF(AND(AND(199&lt;='Control Room'!$B$3,'Control Room'!$D$3="Ready"),1&lt;='Control Room'!$B$2),ROUND(MAX(0,'Process'!E200*'Control Room'!$H$4*INDEX('Control Room'!$B$19:$H$19,1,WEEKDAY($A200,2))*(1+'Control Room'!$D$9)^198*'Process'!F200),2),"")</x:f>
      </x:c>
      <x:c r="D200" s="16" t="str">
        <x:f>IF(AND(AND(199&lt;='Control Room'!$B$3,'Control Room'!$D$3="Ready"),2&lt;='Control Room'!$B$2),ROUND(MAX(0,'Process'!J200*'Control Room'!$H$5*INDEX('Control Room'!$B$19:$H$19,1,WEEKDAY($A200,2))*(1+'Control Room'!$D$9)^198*'Process'!K200),2),"")</x:f>
      </x:c>
      <x:c r="E200" s="16" t="str">
        <x:f>IF(AND(AND(199&lt;='Control Room'!$B$3,'Control Room'!$D$3="Ready"),3&lt;='Control Room'!$B$2),ROUND(MAX(0,'Process'!O200*'Control Room'!$H$6*INDEX('Control Room'!$B$19:$H$19,1,WEEKDAY($A200,2))*(1+'Control Room'!$D$9)^198*'Process'!P200),2),"")</x:f>
      </x:c>
      <x:c r="F200" s="16" t="str">
        <x:f>IF(AND(AND(199&lt;='Control Room'!$B$3,'Control Room'!$D$3="Ready"),4&lt;='Control Room'!$B$2),ROUND(MAX(0,'Process'!T200*'Control Room'!$H$7*INDEX('Control Room'!$B$19:$H$19,1,WEEKDAY($A200,2))*(1+'Control Room'!$D$9)^198*'Process'!U200),2),"")</x:f>
      </x:c>
      <x:c r="G200" s="16" t="str">
        <x:f>IF(AND(AND(199&lt;='Control Room'!$B$3,'Control Room'!$D$3="Ready"),5&lt;='Control Room'!$B$2),ROUND(MAX(0,'Process'!Y200*'Control Room'!$H$8*INDEX('Control Room'!$B$19:$H$19,1,WEEKDAY($A200,2))*(1+'Control Room'!$D$9)^198*'Process'!Z200),2),"")</x:f>
      </x:c>
      <x:c r="H200" s="16" t="str">
        <x:f>IF(AND(AND(199&lt;='Control Room'!$B$3,'Control Room'!$D$3="Ready"),6&lt;='Control Room'!$B$2),ROUND(MAX(0,'Process'!AD200*'Control Room'!$H$9*INDEX('Control Room'!$B$19:$H$19,1,WEEKDAY($A200,2))*(1+'Control Room'!$D$9)^198*'Process'!AE200),2),"")</x:f>
      </x:c>
      <x:c r="I200" s="16" t="str">
        <x:f>IF(AND(AND(199&lt;='Control Room'!$B$3,'Control Room'!$D$3="Ready"),7&lt;='Control Room'!$B$2),ROUND(MAX(0,'Process'!AI200*'Control Room'!$H$10*INDEX('Control Room'!$B$19:$H$19,1,WEEKDAY($A200,2))*(1+'Control Room'!$D$9)^198*'Process'!AJ200),2),"")</x:f>
      </x:c>
      <x:c r="J200" s="16" t="str">
        <x:f>IF(AND(AND(199&lt;='Control Room'!$B$3,'Control Room'!$D$3="Ready"),8&lt;='Control Room'!$B$2),ROUND(MAX(0,'Process'!AN200*'Control Room'!$H$11*INDEX('Control Room'!$B$19:$H$19,1,WEEKDAY($A200,2))*(1+'Control Room'!$D$9)^198*'Process'!AO200),2),"")</x:f>
      </x:c>
      <x:c r="K200" s="16" t="str">
        <x:f>IF(AND(AND(199&lt;='Control Room'!$B$3,'Control Room'!$D$3="Ready"),9&lt;='Control Room'!$B$2),ROUND(MAX(0,'Process'!AS200*'Control Room'!$H$12*INDEX('Control Room'!$B$19:$H$19,1,WEEKDAY($A200,2))*(1+'Control Room'!$D$9)^198*'Process'!AT200),2),"")</x:f>
      </x:c>
      <x:c r="L200" s="16" t="str">
        <x:f>IF(AND(AND(199&lt;='Control Room'!$B$3,'Control Room'!$D$3="Ready"),10&lt;='Control Room'!$B$2),ROUND(MAX(0,'Process'!AX200*'Control Room'!$H$13*INDEX('Control Room'!$B$19:$H$19,1,WEEKDAY($A200,2))*(1+'Control Room'!$D$9)^198*'Process'!AY200),2),"")</x:f>
      </x:c>
      <x:c r="M200" s="16" t="str">
        <x:f>IF(AND(AND(199&lt;='Control Room'!$B$3,'Control Room'!$D$3="Ready"),11&lt;='Control Room'!$B$2),ROUND(MAX(0,'Process'!BC200*'Control Room'!$H$14*INDEX('Control Room'!$B$19:$H$19,1,WEEKDAY($A200,2))*(1+'Control Room'!$D$9)^198*'Process'!BD200),2),"")</x:f>
      </x:c>
      <x:c r="N200" s="16" t="str">
        <x:f>IF(AND(AND(199&lt;='Control Room'!$B$3,'Control Room'!$D$3="Ready"),12&lt;='Control Room'!$B$2),ROUND(MAX(0,'Process'!BH200*'Control Room'!$H$15*INDEX('Control Room'!$B$19:$H$19,1,WEEKDAY($A200,2))*(1+'Control Room'!$D$9)^198*'Process'!BI200),2),"")</x:f>
      </x:c>
    </x:row>
    <x:row r="201" ht="21" customHeight="1">
      <x:c r="A201" s="15" t="str">
        <x:f>IF(AND(200&lt;='Control Room'!$B$3,'Control Room'!$D$3="Ready"),'Process'!A201,"")</x:f>
      </x:c>
      <x:c r="B201" s="16" t="str">
        <x:f>IF(A201="","",SUM(C201:N201))</x:f>
      </x:c>
      <x:c r="C201" s="16" t="str">
        <x:f>IF(AND(AND(200&lt;='Control Room'!$B$3,'Control Room'!$D$3="Ready"),1&lt;='Control Room'!$B$2),ROUND(MAX(0,'Process'!E201*'Control Room'!$H$4*INDEX('Control Room'!$B$19:$H$19,1,WEEKDAY($A201,2))*(1+'Control Room'!$D$9)^199*'Process'!F201),2),"")</x:f>
      </x:c>
      <x:c r="D201" s="16" t="str">
        <x:f>IF(AND(AND(200&lt;='Control Room'!$B$3,'Control Room'!$D$3="Ready"),2&lt;='Control Room'!$B$2),ROUND(MAX(0,'Process'!J201*'Control Room'!$H$5*INDEX('Control Room'!$B$19:$H$19,1,WEEKDAY($A201,2))*(1+'Control Room'!$D$9)^199*'Process'!K201),2),"")</x:f>
      </x:c>
      <x:c r="E201" s="16" t="str">
        <x:f>IF(AND(AND(200&lt;='Control Room'!$B$3,'Control Room'!$D$3="Ready"),3&lt;='Control Room'!$B$2),ROUND(MAX(0,'Process'!O201*'Control Room'!$H$6*INDEX('Control Room'!$B$19:$H$19,1,WEEKDAY($A201,2))*(1+'Control Room'!$D$9)^199*'Process'!P201),2),"")</x:f>
      </x:c>
      <x:c r="F201" s="16" t="str">
        <x:f>IF(AND(AND(200&lt;='Control Room'!$B$3,'Control Room'!$D$3="Ready"),4&lt;='Control Room'!$B$2),ROUND(MAX(0,'Process'!T201*'Control Room'!$H$7*INDEX('Control Room'!$B$19:$H$19,1,WEEKDAY($A201,2))*(1+'Control Room'!$D$9)^199*'Process'!U201),2),"")</x:f>
      </x:c>
      <x:c r="G201" s="16" t="str">
        <x:f>IF(AND(AND(200&lt;='Control Room'!$B$3,'Control Room'!$D$3="Ready"),5&lt;='Control Room'!$B$2),ROUND(MAX(0,'Process'!Y201*'Control Room'!$H$8*INDEX('Control Room'!$B$19:$H$19,1,WEEKDAY($A201,2))*(1+'Control Room'!$D$9)^199*'Process'!Z201),2),"")</x:f>
      </x:c>
      <x:c r="H201" s="16" t="str">
        <x:f>IF(AND(AND(200&lt;='Control Room'!$B$3,'Control Room'!$D$3="Ready"),6&lt;='Control Room'!$B$2),ROUND(MAX(0,'Process'!AD201*'Control Room'!$H$9*INDEX('Control Room'!$B$19:$H$19,1,WEEKDAY($A201,2))*(1+'Control Room'!$D$9)^199*'Process'!AE201),2),"")</x:f>
      </x:c>
      <x:c r="I201" s="16" t="str">
        <x:f>IF(AND(AND(200&lt;='Control Room'!$B$3,'Control Room'!$D$3="Ready"),7&lt;='Control Room'!$B$2),ROUND(MAX(0,'Process'!AI201*'Control Room'!$H$10*INDEX('Control Room'!$B$19:$H$19,1,WEEKDAY($A201,2))*(1+'Control Room'!$D$9)^199*'Process'!AJ201),2),"")</x:f>
      </x:c>
      <x:c r="J201" s="16" t="str">
        <x:f>IF(AND(AND(200&lt;='Control Room'!$B$3,'Control Room'!$D$3="Ready"),8&lt;='Control Room'!$B$2),ROUND(MAX(0,'Process'!AN201*'Control Room'!$H$11*INDEX('Control Room'!$B$19:$H$19,1,WEEKDAY($A201,2))*(1+'Control Room'!$D$9)^199*'Process'!AO201),2),"")</x:f>
      </x:c>
      <x:c r="K201" s="16" t="str">
        <x:f>IF(AND(AND(200&lt;='Control Room'!$B$3,'Control Room'!$D$3="Ready"),9&lt;='Control Room'!$B$2),ROUND(MAX(0,'Process'!AS201*'Control Room'!$H$12*INDEX('Control Room'!$B$19:$H$19,1,WEEKDAY($A201,2))*(1+'Control Room'!$D$9)^199*'Process'!AT201),2),"")</x:f>
      </x:c>
      <x:c r="L201" s="16" t="str">
        <x:f>IF(AND(AND(200&lt;='Control Room'!$B$3,'Control Room'!$D$3="Ready"),10&lt;='Control Room'!$B$2),ROUND(MAX(0,'Process'!AX201*'Control Room'!$H$13*INDEX('Control Room'!$B$19:$H$19,1,WEEKDAY($A201,2))*(1+'Control Room'!$D$9)^199*'Process'!AY201),2),"")</x:f>
      </x:c>
      <x:c r="M201" s="16" t="str">
        <x:f>IF(AND(AND(200&lt;='Control Room'!$B$3,'Control Room'!$D$3="Ready"),11&lt;='Control Room'!$B$2),ROUND(MAX(0,'Process'!BC201*'Control Room'!$H$14*INDEX('Control Room'!$B$19:$H$19,1,WEEKDAY($A201,2))*(1+'Control Room'!$D$9)^199*'Process'!BD201),2),"")</x:f>
      </x:c>
      <x:c r="N201" s="16" t="str">
        <x:f>IF(AND(AND(200&lt;='Control Room'!$B$3,'Control Room'!$D$3="Ready"),12&lt;='Control Room'!$B$2),ROUND(MAX(0,'Process'!BH201*'Control Room'!$H$15*INDEX('Control Room'!$B$19:$H$19,1,WEEKDAY($A201,2))*(1+'Control Room'!$D$9)^199*'Process'!BI201),2),"")</x:f>
      </x:c>
    </x:row>
    <x:row r="202" ht="21" customHeight="1">
      <x:c r="A202" s="15" t="str">
        <x:f>IF(AND(201&lt;='Control Room'!$B$3,'Control Room'!$D$3="Ready"),'Process'!A202,"")</x:f>
      </x:c>
      <x:c r="B202" s="16" t="str">
        <x:f>IF(A202="","",SUM(C202:N202))</x:f>
      </x:c>
      <x:c r="C202" s="16" t="str">
        <x:f>IF(AND(AND(201&lt;='Control Room'!$B$3,'Control Room'!$D$3="Ready"),1&lt;='Control Room'!$B$2),ROUND(MAX(0,'Process'!E202*'Control Room'!$H$4*INDEX('Control Room'!$B$19:$H$19,1,WEEKDAY($A202,2))*(1+'Control Room'!$D$9)^200*'Process'!F202),2),"")</x:f>
      </x:c>
      <x:c r="D202" s="16" t="str">
        <x:f>IF(AND(AND(201&lt;='Control Room'!$B$3,'Control Room'!$D$3="Ready"),2&lt;='Control Room'!$B$2),ROUND(MAX(0,'Process'!J202*'Control Room'!$H$5*INDEX('Control Room'!$B$19:$H$19,1,WEEKDAY($A202,2))*(1+'Control Room'!$D$9)^200*'Process'!K202),2),"")</x:f>
      </x:c>
      <x:c r="E202" s="16" t="str">
        <x:f>IF(AND(AND(201&lt;='Control Room'!$B$3,'Control Room'!$D$3="Ready"),3&lt;='Control Room'!$B$2),ROUND(MAX(0,'Process'!O202*'Control Room'!$H$6*INDEX('Control Room'!$B$19:$H$19,1,WEEKDAY($A202,2))*(1+'Control Room'!$D$9)^200*'Process'!P202),2),"")</x:f>
      </x:c>
      <x:c r="F202" s="16" t="str">
        <x:f>IF(AND(AND(201&lt;='Control Room'!$B$3,'Control Room'!$D$3="Ready"),4&lt;='Control Room'!$B$2),ROUND(MAX(0,'Process'!T202*'Control Room'!$H$7*INDEX('Control Room'!$B$19:$H$19,1,WEEKDAY($A202,2))*(1+'Control Room'!$D$9)^200*'Process'!U202),2),"")</x:f>
      </x:c>
      <x:c r="G202" s="16" t="str">
        <x:f>IF(AND(AND(201&lt;='Control Room'!$B$3,'Control Room'!$D$3="Ready"),5&lt;='Control Room'!$B$2),ROUND(MAX(0,'Process'!Y202*'Control Room'!$H$8*INDEX('Control Room'!$B$19:$H$19,1,WEEKDAY($A202,2))*(1+'Control Room'!$D$9)^200*'Process'!Z202),2),"")</x:f>
      </x:c>
      <x:c r="H202" s="16" t="str">
        <x:f>IF(AND(AND(201&lt;='Control Room'!$B$3,'Control Room'!$D$3="Ready"),6&lt;='Control Room'!$B$2),ROUND(MAX(0,'Process'!AD202*'Control Room'!$H$9*INDEX('Control Room'!$B$19:$H$19,1,WEEKDAY($A202,2))*(1+'Control Room'!$D$9)^200*'Process'!AE202),2),"")</x:f>
      </x:c>
      <x:c r="I202" s="16" t="str">
        <x:f>IF(AND(AND(201&lt;='Control Room'!$B$3,'Control Room'!$D$3="Ready"),7&lt;='Control Room'!$B$2),ROUND(MAX(0,'Process'!AI202*'Control Room'!$H$10*INDEX('Control Room'!$B$19:$H$19,1,WEEKDAY($A202,2))*(1+'Control Room'!$D$9)^200*'Process'!AJ202),2),"")</x:f>
      </x:c>
      <x:c r="J202" s="16" t="str">
        <x:f>IF(AND(AND(201&lt;='Control Room'!$B$3,'Control Room'!$D$3="Ready"),8&lt;='Control Room'!$B$2),ROUND(MAX(0,'Process'!AN202*'Control Room'!$H$11*INDEX('Control Room'!$B$19:$H$19,1,WEEKDAY($A202,2))*(1+'Control Room'!$D$9)^200*'Process'!AO202),2),"")</x:f>
      </x:c>
      <x:c r="K202" s="16" t="str">
        <x:f>IF(AND(AND(201&lt;='Control Room'!$B$3,'Control Room'!$D$3="Ready"),9&lt;='Control Room'!$B$2),ROUND(MAX(0,'Process'!AS202*'Control Room'!$H$12*INDEX('Control Room'!$B$19:$H$19,1,WEEKDAY($A202,2))*(1+'Control Room'!$D$9)^200*'Process'!AT202),2),"")</x:f>
      </x:c>
      <x:c r="L202" s="16" t="str">
        <x:f>IF(AND(AND(201&lt;='Control Room'!$B$3,'Control Room'!$D$3="Ready"),10&lt;='Control Room'!$B$2),ROUND(MAX(0,'Process'!AX202*'Control Room'!$H$13*INDEX('Control Room'!$B$19:$H$19,1,WEEKDAY($A202,2))*(1+'Control Room'!$D$9)^200*'Process'!AY202),2),"")</x:f>
      </x:c>
      <x:c r="M202" s="16" t="str">
        <x:f>IF(AND(AND(201&lt;='Control Room'!$B$3,'Control Room'!$D$3="Ready"),11&lt;='Control Room'!$B$2),ROUND(MAX(0,'Process'!BC202*'Control Room'!$H$14*INDEX('Control Room'!$B$19:$H$19,1,WEEKDAY($A202,2))*(1+'Control Room'!$D$9)^200*'Process'!BD202),2),"")</x:f>
      </x:c>
      <x:c r="N202" s="16" t="str">
        <x:f>IF(AND(AND(201&lt;='Control Room'!$B$3,'Control Room'!$D$3="Ready"),12&lt;='Control Room'!$B$2),ROUND(MAX(0,'Process'!BH202*'Control Room'!$H$15*INDEX('Control Room'!$B$19:$H$19,1,WEEKDAY($A202,2))*(1+'Control Room'!$D$9)^200*'Process'!BI202),2),"")</x:f>
      </x:c>
    </x:row>
    <x:row r="203" ht="21" customHeight="1">
      <x:c r="A203" s="15" t="str">
        <x:f>IF(AND(202&lt;='Control Room'!$B$3,'Control Room'!$D$3="Ready"),'Process'!A203,"")</x:f>
      </x:c>
      <x:c r="B203" s="16" t="str">
        <x:f>IF(A203="","",SUM(C203:N203))</x:f>
      </x:c>
      <x:c r="C203" s="16" t="str">
        <x:f>IF(AND(AND(202&lt;='Control Room'!$B$3,'Control Room'!$D$3="Ready"),1&lt;='Control Room'!$B$2),ROUND(MAX(0,'Process'!E203*'Control Room'!$H$4*INDEX('Control Room'!$B$19:$H$19,1,WEEKDAY($A203,2))*(1+'Control Room'!$D$9)^201*'Process'!F203),2),"")</x:f>
      </x:c>
      <x:c r="D203" s="16" t="str">
        <x:f>IF(AND(AND(202&lt;='Control Room'!$B$3,'Control Room'!$D$3="Ready"),2&lt;='Control Room'!$B$2),ROUND(MAX(0,'Process'!J203*'Control Room'!$H$5*INDEX('Control Room'!$B$19:$H$19,1,WEEKDAY($A203,2))*(1+'Control Room'!$D$9)^201*'Process'!K203),2),"")</x:f>
      </x:c>
      <x:c r="E203" s="16" t="str">
        <x:f>IF(AND(AND(202&lt;='Control Room'!$B$3,'Control Room'!$D$3="Ready"),3&lt;='Control Room'!$B$2),ROUND(MAX(0,'Process'!O203*'Control Room'!$H$6*INDEX('Control Room'!$B$19:$H$19,1,WEEKDAY($A203,2))*(1+'Control Room'!$D$9)^201*'Process'!P203),2),"")</x:f>
      </x:c>
      <x:c r="F203" s="16" t="str">
        <x:f>IF(AND(AND(202&lt;='Control Room'!$B$3,'Control Room'!$D$3="Ready"),4&lt;='Control Room'!$B$2),ROUND(MAX(0,'Process'!T203*'Control Room'!$H$7*INDEX('Control Room'!$B$19:$H$19,1,WEEKDAY($A203,2))*(1+'Control Room'!$D$9)^201*'Process'!U203),2),"")</x:f>
      </x:c>
      <x:c r="G203" s="16" t="str">
        <x:f>IF(AND(AND(202&lt;='Control Room'!$B$3,'Control Room'!$D$3="Ready"),5&lt;='Control Room'!$B$2),ROUND(MAX(0,'Process'!Y203*'Control Room'!$H$8*INDEX('Control Room'!$B$19:$H$19,1,WEEKDAY($A203,2))*(1+'Control Room'!$D$9)^201*'Process'!Z203),2),"")</x:f>
      </x:c>
      <x:c r="H203" s="16" t="str">
        <x:f>IF(AND(AND(202&lt;='Control Room'!$B$3,'Control Room'!$D$3="Ready"),6&lt;='Control Room'!$B$2),ROUND(MAX(0,'Process'!AD203*'Control Room'!$H$9*INDEX('Control Room'!$B$19:$H$19,1,WEEKDAY($A203,2))*(1+'Control Room'!$D$9)^201*'Process'!AE203),2),"")</x:f>
      </x:c>
      <x:c r="I203" s="16" t="str">
        <x:f>IF(AND(AND(202&lt;='Control Room'!$B$3,'Control Room'!$D$3="Ready"),7&lt;='Control Room'!$B$2),ROUND(MAX(0,'Process'!AI203*'Control Room'!$H$10*INDEX('Control Room'!$B$19:$H$19,1,WEEKDAY($A203,2))*(1+'Control Room'!$D$9)^201*'Process'!AJ203),2),"")</x:f>
      </x:c>
      <x:c r="J203" s="16" t="str">
        <x:f>IF(AND(AND(202&lt;='Control Room'!$B$3,'Control Room'!$D$3="Ready"),8&lt;='Control Room'!$B$2),ROUND(MAX(0,'Process'!AN203*'Control Room'!$H$11*INDEX('Control Room'!$B$19:$H$19,1,WEEKDAY($A203,2))*(1+'Control Room'!$D$9)^201*'Process'!AO203),2),"")</x:f>
      </x:c>
      <x:c r="K203" s="16" t="str">
        <x:f>IF(AND(AND(202&lt;='Control Room'!$B$3,'Control Room'!$D$3="Ready"),9&lt;='Control Room'!$B$2),ROUND(MAX(0,'Process'!AS203*'Control Room'!$H$12*INDEX('Control Room'!$B$19:$H$19,1,WEEKDAY($A203,2))*(1+'Control Room'!$D$9)^201*'Process'!AT203),2),"")</x:f>
      </x:c>
      <x:c r="L203" s="16" t="str">
        <x:f>IF(AND(AND(202&lt;='Control Room'!$B$3,'Control Room'!$D$3="Ready"),10&lt;='Control Room'!$B$2),ROUND(MAX(0,'Process'!AX203*'Control Room'!$H$13*INDEX('Control Room'!$B$19:$H$19,1,WEEKDAY($A203,2))*(1+'Control Room'!$D$9)^201*'Process'!AY203),2),"")</x:f>
      </x:c>
      <x:c r="M203" s="16" t="str">
        <x:f>IF(AND(AND(202&lt;='Control Room'!$B$3,'Control Room'!$D$3="Ready"),11&lt;='Control Room'!$B$2),ROUND(MAX(0,'Process'!BC203*'Control Room'!$H$14*INDEX('Control Room'!$B$19:$H$19,1,WEEKDAY($A203,2))*(1+'Control Room'!$D$9)^201*'Process'!BD203),2),"")</x:f>
      </x:c>
      <x:c r="N203" s="16" t="str">
        <x:f>IF(AND(AND(202&lt;='Control Room'!$B$3,'Control Room'!$D$3="Ready"),12&lt;='Control Room'!$B$2),ROUND(MAX(0,'Process'!BH203*'Control Room'!$H$15*INDEX('Control Room'!$B$19:$H$19,1,WEEKDAY($A203,2))*(1+'Control Room'!$D$9)^201*'Process'!BI203),2),"")</x:f>
      </x:c>
    </x:row>
    <x:row r="204" ht="21" customHeight="1">
      <x:c r="A204" s="15" t="str">
        <x:f>IF(AND(203&lt;='Control Room'!$B$3,'Control Room'!$D$3="Ready"),'Process'!A204,"")</x:f>
      </x:c>
      <x:c r="B204" s="16" t="str">
        <x:f>IF(A204="","",SUM(C204:N204))</x:f>
      </x:c>
      <x:c r="C204" s="16" t="str">
        <x:f>IF(AND(AND(203&lt;='Control Room'!$B$3,'Control Room'!$D$3="Ready"),1&lt;='Control Room'!$B$2),ROUND(MAX(0,'Process'!E204*'Control Room'!$H$4*INDEX('Control Room'!$B$19:$H$19,1,WEEKDAY($A204,2))*(1+'Control Room'!$D$9)^202*'Process'!F204),2),"")</x:f>
      </x:c>
      <x:c r="D204" s="16" t="str">
        <x:f>IF(AND(AND(203&lt;='Control Room'!$B$3,'Control Room'!$D$3="Ready"),2&lt;='Control Room'!$B$2),ROUND(MAX(0,'Process'!J204*'Control Room'!$H$5*INDEX('Control Room'!$B$19:$H$19,1,WEEKDAY($A204,2))*(1+'Control Room'!$D$9)^202*'Process'!K204),2),"")</x:f>
      </x:c>
      <x:c r="E204" s="16" t="str">
        <x:f>IF(AND(AND(203&lt;='Control Room'!$B$3,'Control Room'!$D$3="Ready"),3&lt;='Control Room'!$B$2),ROUND(MAX(0,'Process'!O204*'Control Room'!$H$6*INDEX('Control Room'!$B$19:$H$19,1,WEEKDAY($A204,2))*(1+'Control Room'!$D$9)^202*'Process'!P204),2),"")</x:f>
      </x:c>
      <x:c r="F204" s="16" t="str">
        <x:f>IF(AND(AND(203&lt;='Control Room'!$B$3,'Control Room'!$D$3="Ready"),4&lt;='Control Room'!$B$2),ROUND(MAX(0,'Process'!T204*'Control Room'!$H$7*INDEX('Control Room'!$B$19:$H$19,1,WEEKDAY($A204,2))*(1+'Control Room'!$D$9)^202*'Process'!U204),2),"")</x:f>
      </x:c>
      <x:c r="G204" s="16" t="str">
        <x:f>IF(AND(AND(203&lt;='Control Room'!$B$3,'Control Room'!$D$3="Ready"),5&lt;='Control Room'!$B$2),ROUND(MAX(0,'Process'!Y204*'Control Room'!$H$8*INDEX('Control Room'!$B$19:$H$19,1,WEEKDAY($A204,2))*(1+'Control Room'!$D$9)^202*'Process'!Z204),2),"")</x:f>
      </x:c>
      <x:c r="H204" s="16" t="str">
        <x:f>IF(AND(AND(203&lt;='Control Room'!$B$3,'Control Room'!$D$3="Ready"),6&lt;='Control Room'!$B$2),ROUND(MAX(0,'Process'!AD204*'Control Room'!$H$9*INDEX('Control Room'!$B$19:$H$19,1,WEEKDAY($A204,2))*(1+'Control Room'!$D$9)^202*'Process'!AE204),2),"")</x:f>
      </x:c>
      <x:c r="I204" s="16" t="str">
        <x:f>IF(AND(AND(203&lt;='Control Room'!$B$3,'Control Room'!$D$3="Ready"),7&lt;='Control Room'!$B$2),ROUND(MAX(0,'Process'!AI204*'Control Room'!$H$10*INDEX('Control Room'!$B$19:$H$19,1,WEEKDAY($A204,2))*(1+'Control Room'!$D$9)^202*'Process'!AJ204),2),"")</x:f>
      </x:c>
      <x:c r="J204" s="16" t="str">
        <x:f>IF(AND(AND(203&lt;='Control Room'!$B$3,'Control Room'!$D$3="Ready"),8&lt;='Control Room'!$B$2),ROUND(MAX(0,'Process'!AN204*'Control Room'!$H$11*INDEX('Control Room'!$B$19:$H$19,1,WEEKDAY($A204,2))*(1+'Control Room'!$D$9)^202*'Process'!AO204),2),"")</x:f>
      </x:c>
      <x:c r="K204" s="16" t="str">
        <x:f>IF(AND(AND(203&lt;='Control Room'!$B$3,'Control Room'!$D$3="Ready"),9&lt;='Control Room'!$B$2),ROUND(MAX(0,'Process'!AS204*'Control Room'!$H$12*INDEX('Control Room'!$B$19:$H$19,1,WEEKDAY($A204,2))*(1+'Control Room'!$D$9)^202*'Process'!AT204),2),"")</x:f>
      </x:c>
      <x:c r="L204" s="16" t="str">
        <x:f>IF(AND(AND(203&lt;='Control Room'!$B$3,'Control Room'!$D$3="Ready"),10&lt;='Control Room'!$B$2),ROUND(MAX(0,'Process'!AX204*'Control Room'!$H$13*INDEX('Control Room'!$B$19:$H$19,1,WEEKDAY($A204,2))*(1+'Control Room'!$D$9)^202*'Process'!AY204),2),"")</x:f>
      </x:c>
      <x:c r="M204" s="16" t="str">
        <x:f>IF(AND(AND(203&lt;='Control Room'!$B$3,'Control Room'!$D$3="Ready"),11&lt;='Control Room'!$B$2),ROUND(MAX(0,'Process'!BC204*'Control Room'!$H$14*INDEX('Control Room'!$B$19:$H$19,1,WEEKDAY($A204,2))*(1+'Control Room'!$D$9)^202*'Process'!BD204),2),"")</x:f>
      </x:c>
      <x:c r="N204" s="16" t="str">
        <x:f>IF(AND(AND(203&lt;='Control Room'!$B$3,'Control Room'!$D$3="Ready"),12&lt;='Control Room'!$B$2),ROUND(MAX(0,'Process'!BH204*'Control Room'!$H$15*INDEX('Control Room'!$B$19:$H$19,1,WEEKDAY($A204,2))*(1+'Control Room'!$D$9)^202*'Process'!BI204),2),"")</x:f>
      </x:c>
    </x:row>
    <x:row r="205" ht="21" customHeight="1">
      <x:c r="A205" s="15" t="str">
        <x:f>IF(AND(204&lt;='Control Room'!$B$3,'Control Room'!$D$3="Ready"),'Process'!A205,"")</x:f>
      </x:c>
      <x:c r="B205" s="16" t="str">
        <x:f>IF(A205="","",SUM(C205:N205))</x:f>
      </x:c>
      <x:c r="C205" s="16" t="str">
        <x:f>IF(AND(AND(204&lt;='Control Room'!$B$3,'Control Room'!$D$3="Ready"),1&lt;='Control Room'!$B$2),ROUND(MAX(0,'Process'!E205*'Control Room'!$H$4*INDEX('Control Room'!$B$19:$H$19,1,WEEKDAY($A205,2))*(1+'Control Room'!$D$9)^203*'Process'!F205),2),"")</x:f>
      </x:c>
      <x:c r="D205" s="16" t="str">
        <x:f>IF(AND(AND(204&lt;='Control Room'!$B$3,'Control Room'!$D$3="Ready"),2&lt;='Control Room'!$B$2),ROUND(MAX(0,'Process'!J205*'Control Room'!$H$5*INDEX('Control Room'!$B$19:$H$19,1,WEEKDAY($A205,2))*(1+'Control Room'!$D$9)^203*'Process'!K205),2),"")</x:f>
      </x:c>
      <x:c r="E205" s="16" t="str">
        <x:f>IF(AND(AND(204&lt;='Control Room'!$B$3,'Control Room'!$D$3="Ready"),3&lt;='Control Room'!$B$2),ROUND(MAX(0,'Process'!O205*'Control Room'!$H$6*INDEX('Control Room'!$B$19:$H$19,1,WEEKDAY($A205,2))*(1+'Control Room'!$D$9)^203*'Process'!P205),2),"")</x:f>
      </x:c>
      <x:c r="F205" s="16" t="str">
        <x:f>IF(AND(AND(204&lt;='Control Room'!$B$3,'Control Room'!$D$3="Ready"),4&lt;='Control Room'!$B$2),ROUND(MAX(0,'Process'!T205*'Control Room'!$H$7*INDEX('Control Room'!$B$19:$H$19,1,WEEKDAY($A205,2))*(1+'Control Room'!$D$9)^203*'Process'!U205),2),"")</x:f>
      </x:c>
      <x:c r="G205" s="16" t="str">
        <x:f>IF(AND(AND(204&lt;='Control Room'!$B$3,'Control Room'!$D$3="Ready"),5&lt;='Control Room'!$B$2),ROUND(MAX(0,'Process'!Y205*'Control Room'!$H$8*INDEX('Control Room'!$B$19:$H$19,1,WEEKDAY($A205,2))*(1+'Control Room'!$D$9)^203*'Process'!Z205),2),"")</x:f>
      </x:c>
      <x:c r="H205" s="16" t="str">
        <x:f>IF(AND(AND(204&lt;='Control Room'!$B$3,'Control Room'!$D$3="Ready"),6&lt;='Control Room'!$B$2),ROUND(MAX(0,'Process'!AD205*'Control Room'!$H$9*INDEX('Control Room'!$B$19:$H$19,1,WEEKDAY($A205,2))*(1+'Control Room'!$D$9)^203*'Process'!AE205),2),"")</x:f>
      </x:c>
      <x:c r="I205" s="16" t="str">
        <x:f>IF(AND(AND(204&lt;='Control Room'!$B$3,'Control Room'!$D$3="Ready"),7&lt;='Control Room'!$B$2),ROUND(MAX(0,'Process'!AI205*'Control Room'!$H$10*INDEX('Control Room'!$B$19:$H$19,1,WEEKDAY($A205,2))*(1+'Control Room'!$D$9)^203*'Process'!AJ205),2),"")</x:f>
      </x:c>
      <x:c r="J205" s="16" t="str">
        <x:f>IF(AND(AND(204&lt;='Control Room'!$B$3,'Control Room'!$D$3="Ready"),8&lt;='Control Room'!$B$2),ROUND(MAX(0,'Process'!AN205*'Control Room'!$H$11*INDEX('Control Room'!$B$19:$H$19,1,WEEKDAY($A205,2))*(1+'Control Room'!$D$9)^203*'Process'!AO205),2),"")</x:f>
      </x:c>
      <x:c r="K205" s="16" t="str">
        <x:f>IF(AND(AND(204&lt;='Control Room'!$B$3,'Control Room'!$D$3="Ready"),9&lt;='Control Room'!$B$2),ROUND(MAX(0,'Process'!AS205*'Control Room'!$H$12*INDEX('Control Room'!$B$19:$H$19,1,WEEKDAY($A205,2))*(1+'Control Room'!$D$9)^203*'Process'!AT205),2),"")</x:f>
      </x:c>
      <x:c r="L205" s="16" t="str">
        <x:f>IF(AND(AND(204&lt;='Control Room'!$B$3,'Control Room'!$D$3="Ready"),10&lt;='Control Room'!$B$2),ROUND(MAX(0,'Process'!AX205*'Control Room'!$H$13*INDEX('Control Room'!$B$19:$H$19,1,WEEKDAY($A205,2))*(1+'Control Room'!$D$9)^203*'Process'!AY205),2),"")</x:f>
      </x:c>
      <x:c r="M205" s="16" t="str">
        <x:f>IF(AND(AND(204&lt;='Control Room'!$B$3,'Control Room'!$D$3="Ready"),11&lt;='Control Room'!$B$2),ROUND(MAX(0,'Process'!BC205*'Control Room'!$H$14*INDEX('Control Room'!$B$19:$H$19,1,WEEKDAY($A205,2))*(1+'Control Room'!$D$9)^203*'Process'!BD205),2),"")</x:f>
      </x:c>
      <x:c r="N205" s="16" t="str">
        <x:f>IF(AND(AND(204&lt;='Control Room'!$B$3,'Control Room'!$D$3="Ready"),12&lt;='Control Room'!$B$2),ROUND(MAX(0,'Process'!BH205*'Control Room'!$H$15*INDEX('Control Room'!$B$19:$H$19,1,WEEKDAY($A205,2))*(1+'Control Room'!$D$9)^203*'Process'!BI205),2),"")</x:f>
      </x:c>
    </x:row>
    <x:row r="206" ht="21" customHeight="1">
      <x:c r="A206" s="15" t="str">
        <x:f>IF(AND(205&lt;='Control Room'!$B$3,'Control Room'!$D$3="Ready"),'Process'!A206,"")</x:f>
      </x:c>
      <x:c r="B206" s="16" t="str">
        <x:f>IF(A206="","",SUM(C206:N206))</x:f>
      </x:c>
      <x:c r="C206" s="16" t="str">
        <x:f>IF(AND(AND(205&lt;='Control Room'!$B$3,'Control Room'!$D$3="Ready"),1&lt;='Control Room'!$B$2),ROUND(MAX(0,'Process'!E206*'Control Room'!$H$4*INDEX('Control Room'!$B$19:$H$19,1,WEEKDAY($A206,2))*(1+'Control Room'!$D$9)^204*'Process'!F206),2),"")</x:f>
      </x:c>
      <x:c r="D206" s="16" t="str">
        <x:f>IF(AND(AND(205&lt;='Control Room'!$B$3,'Control Room'!$D$3="Ready"),2&lt;='Control Room'!$B$2),ROUND(MAX(0,'Process'!J206*'Control Room'!$H$5*INDEX('Control Room'!$B$19:$H$19,1,WEEKDAY($A206,2))*(1+'Control Room'!$D$9)^204*'Process'!K206),2),"")</x:f>
      </x:c>
      <x:c r="E206" s="16" t="str">
        <x:f>IF(AND(AND(205&lt;='Control Room'!$B$3,'Control Room'!$D$3="Ready"),3&lt;='Control Room'!$B$2),ROUND(MAX(0,'Process'!O206*'Control Room'!$H$6*INDEX('Control Room'!$B$19:$H$19,1,WEEKDAY($A206,2))*(1+'Control Room'!$D$9)^204*'Process'!P206),2),"")</x:f>
      </x:c>
      <x:c r="F206" s="16" t="str">
        <x:f>IF(AND(AND(205&lt;='Control Room'!$B$3,'Control Room'!$D$3="Ready"),4&lt;='Control Room'!$B$2),ROUND(MAX(0,'Process'!T206*'Control Room'!$H$7*INDEX('Control Room'!$B$19:$H$19,1,WEEKDAY($A206,2))*(1+'Control Room'!$D$9)^204*'Process'!U206),2),"")</x:f>
      </x:c>
      <x:c r="G206" s="16" t="str">
        <x:f>IF(AND(AND(205&lt;='Control Room'!$B$3,'Control Room'!$D$3="Ready"),5&lt;='Control Room'!$B$2),ROUND(MAX(0,'Process'!Y206*'Control Room'!$H$8*INDEX('Control Room'!$B$19:$H$19,1,WEEKDAY($A206,2))*(1+'Control Room'!$D$9)^204*'Process'!Z206),2),"")</x:f>
      </x:c>
      <x:c r="H206" s="16" t="str">
        <x:f>IF(AND(AND(205&lt;='Control Room'!$B$3,'Control Room'!$D$3="Ready"),6&lt;='Control Room'!$B$2),ROUND(MAX(0,'Process'!AD206*'Control Room'!$H$9*INDEX('Control Room'!$B$19:$H$19,1,WEEKDAY($A206,2))*(1+'Control Room'!$D$9)^204*'Process'!AE206),2),"")</x:f>
      </x:c>
      <x:c r="I206" s="16" t="str">
        <x:f>IF(AND(AND(205&lt;='Control Room'!$B$3,'Control Room'!$D$3="Ready"),7&lt;='Control Room'!$B$2),ROUND(MAX(0,'Process'!AI206*'Control Room'!$H$10*INDEX('Control Room'!$B$19:$H$19,1,WEEKDAY($A206,2))*(1+'Control Room'!$D$9)^204*'Process'!AJ206),2),"")</x:f>
      </x:c>
      <x:c r="J206" s="16" t="str">
        <x:f>IF(AND(AND(205&lt;='Control Room'!$B$3,'Control Room'!$D$3="Ready"),8&lt;='Control Room'!$B$2),ROUND(MAX(0,'Process'!AN206*'Control Room'!$H$11*INDEX('Control Room'!$B$19:$H$19,1,WEEKDAY($A206,2))*(1+'Control Room'!$D$9)^204*'Process'!AO206),2),"")</x:f>
      </x:c>
      <x:c r="K206" s="16" t="str">
        <x:f>IF(AND(AND(205&lt;='Control Room'!$B$3,'Control Room'!$D$3="Ready"),9&lt;='Control Room'!$B$2),ROUND(MAX(0,'Process'!AS206*'Control Room'!$H$12*INDEX('Control Room'!$B$19:$H$19,1,WEEKDAY($A206,2))*(1+'Control Room'!$D$9)^204*'Process'!AT206),2),"")</x:f>
      </x:c>
      <x:c r="L206" s="16" t="str">
        <x:f>IF(AND(AND(205&lt;='Control Room'!$B$3,'Control Room'!$D$3="Ready"),10&lt;='Control Room'!$B$2),ROUND(MAX(0,'Process'!AX206*'Control Room'!$H$13*INDEX('Control Room'!$B$19:$H$19,1,WEEKDAY($A206,2))*(1+'Control Room'!$D$9)^204*'Process'!AY206),2),"")</x:f>
      </x:c>
      <x:c r="M206" s="16" t="str">
        <x:f>IF(AND(AND(205&lt;='Control Room'!$B$3,'Control Room'!$D$3="Ready"),11&lt;='Control Room'!$B$2),ROUND(MAX(0,'Process'!BC206*'Control Room'!$H$14*INDEX('Control Room'!$B$19:$H$19,1,WEEKDAY($A206,2))*(1+'Control Room'!$D$9)^204*'Process'!BD206),2),"")</x:f>
      </x:c>
      <x:c r="N206" s="16" t="str">
        <x:f>IF(AND(AND(205&lt;='Control Room'!$B$3,'Control Room'!$D$3="Ready"),12&lt;='Control Room'!$B$2),ROUND(MAX(0,'Process'!BH206*'Control Room'!$H$15*INDEX('Control Room'!$B$19:$H$19,1,WEEKDAY($A206,2))*(1+'Control Room'!$D$9)^204*'Process'!BI206),2),"")</x:f>
      </x:c>
    </x:row>
    <x:row r="207" ht="21" customHeight="1">
      <x:c r="A207" s="15" t="str">
        <x:f>IF(AND(206&lt;='Control Room'!$B$3,'Control Room'!$D$3="Ready"),'Process'!A207,"")</x:f>
      </x:c>
      <x:c r="B207" s="16" t="str">
        <x:f>IF(A207="","",SUM(C207:N207))</x:f>
      </x:c>
      <x:c r="C207" s="16" t="str">
        <x:f>IF(AND(AND(206&lt;='Control Room'!$B$3,'Control Room'!$D$3="Ready"),1&lt;='Control Room'!$B$2),ROUND(MAX(0,'Process'!E207*'Control Room'!$H$4*INDEX('Control Room'!$B$19:$H$19,1,WEEKDAY($A207,2))*(1+'Control Room'!$D$9)^205*'Process'!F207),2),"")</x:f>
      </x:c>
      <x:c r="D207" s="16" t="str">
        <x:f>IF(AND(AND(206&lt;='Control Room'!$B$3,'Control Room'!$D$3="Ready"),2&lt;='Control Room'!$B$2),ROUND(MAX(0,'Process'!J207*'Control Room'!$H$5*INDEX('Control Room'!$B$19:$H$19,1,WEEKDAY($A207,2))*(1+'Control Room'!$D$9)^205*'Process'!K207),2),"")</x:f>
      </x:c>
      <x:c r="E207" s="16" t="str">
        <x:f>IF(AND(AND(206&lt;='Control Room'!$B$3,'Control Room'!$D$3="Ready"),3&lt;='Control Room'!$B$2),ROUND(MAX(0,'Process'!O207*'Control Room'!$H$6*INDEX('Control Room'!$B$19:$H$19,1,WEEKDAY($A207,2))*(1+'Control Room'!$D$9)^205*'Process'!P207),2),"")</x:f>
      </x:c>
      <x:c r="F207" s="16" t="str">
        <x:f>IF(AND(AND(206&lt;='Control Room'!$B$3,'Control Room'!$D$3="Ready"),4&lt;='Control Room'!$B$2),ROUND(MAX(0,'Process'!T207*'Control Room'!$H$7*INDEX('Control Room'!$B$19:$H$19,1,WEEKDAY($A207,2))*(1+'Control Room'!$D$9)^205*'Process'!U207),2),"")</x:f>
      </x:c>
      <x:c r="G207" s="16" t="str">
        <x:f>IF(AND(AND(206&lt;='Control Room'!$B$3,'Control Room'!$D$3="Ready"),5&lt;='Control Room'!$B$2),ROUND(MAX(0,'Process'!Y207*'Control Room'!$H$8*INDEX('Control Room'!$B$19:$H$19,1,WEEKDAY($A207,2))*(1+'Control Room'!$D$9)^205*'Process'!Z207),2),"")</x:f>
      </x:c>
      <x:c r="H207" s="16" t="str">
        <x:f>IF(AND(AND(206&lt;='Control Room'!$B$3,'Control Room'!$D$3="Ready"),6&lt;='Control Room'!$B$2),ROUND(MAX(0,'Process'!AD207*'Control Room'!$H$9*INDEX('Control Room'!$B$19:$H$19,1,WEEKDAY($A207,2))*(1+'Control Room'!$D$9)^205*'Process'!AE207),2),"")</x:f>
      </x:c>
      <x:c r="I207" s="16" t="str">
        <x:f>IF(AND(AND(206&lt;='Control Room'!$B$3,'Control Room'!$D$3="Ready"),7&lt;='Control Room'!$B$2),ROUND(MAX(0,'Process'!AI207*'Control Room'!$H$10*INDEX('Control Room'!$B$19:$H$19,1,WEEKDAY($A207,2))*(1+'Control Room'!$D$9)^205*'Process'!AJ207),2),"")</x:f>
      </x:c>
      <x:c r="J207" s="16" t="str">
        <x:f>IF(AND(AND(206&lt;='Control Room'!$B$3,'Control Room'!$D$3="Ready"),8&lt;='Control Room'!$B$2),ROUND(MAX(0,'Process'!AN207*'Control Room'!$H$11*INDEX('Control Room'!$B$19:$H$19,1,WEEKDAY($A207,2))*(1+'Control Room'!$D$9)^205*'Process'!AO207),2),"")</x:f>
      </x:c>
      <x:c r="K207" s="16" t="str">
        <x:f>IF(AND(AND(206&lt;='Control Room'!$B$3,'Control Room'!$D$3="Ready"),9&lt;='Control Room'!$B$2),ROUND(MAX(0,'Process'!AS207*'Control Room'!$H$12*INDEX('Control Room'!$B$19:$H$19,1,WEEKDAY($A207,2))*(1+'Control Room'!$D$9)^205*'Process'!AT207),2),"")</x:f>
      </x:c>
      <x:c r="L207" s="16" t="str">
        <x:f>IF(AND(AND(206&lt;='Control Room'!$B$3,'Control Room'!$D$3="Ready"),10&lt;='Control Room'!$B$2),ROUND(MAX(0,'Process'!AX207*'Control Room'!$H$13*INDEX('Control Room'!$B$19:$H$19,1,WEEKDAY($A207,2))*(1+'Control Room'!$D$9)^205*'Process'!AY207),2),"")</x:f>
      </x:c>
      <x:c r="M207" s="16" t="str">
        <x:f>IF(AND(AND(206&lt;='Control Room'!$B$3,'Control Room'!$D$3="Ready"),11&lt;='Control Room'!$B$2),ROUND(MAX(0,'Process'!BC207*'Control Room'!$H$14*INDEX('Control Room'!$B$19:$H$19,1,WEEKDAY($A207,2))*(1+'Control Room'!$D$9)^205*'Process'!BD207),2),"")</x:f>
      </x:c>
      <x:c r="N207" s="16" t="str">
        <x:f>IF(AND(AND(206&lt;='Control Room'!$B$3,'Control Room'!$D$3="Ready"),12&lt;='Control Room'!$B$2),ROUND(MAX(0,'Process'!BH207*'Control Room'!$H$15*INDEX('Control Room'!$B$19:$H$19,1,WEEKDAY($A207,2))*(1+'Control Room'!$D$9)^205*'Process'!BI207),2),"")</x:f>
      </x:c>
    </x:row>
    <x:row r="208" ht="21" customHeight="1">
      <x:c r="A208" s="15" t="str">
        <x:f>IF(AND(207&lt;='Control Room'!$B$3,'Control Room'!$D$3="Ready"),'Process'!A208,"")</x:f>
      </x:c>
      <x:c r="B208" s="16" t="str">
        <x:f>IF(A208="","",SUM(C208:N208))</x:f>
      </x:c>
      <x:c r="C208" s="16" t="str">
        <x:f>IF(AND(AND(207&lt;='Control Room'!$B$3,'Control Room'!$D$3="Ready"),1&lt;='Control Room'!$B$2),ROUND(MAX(0,'Process'!E208*'Control Room'!$H$4*INDEX('Control Room'!$B$19:$H$19,1,WEEKDAY($A208,2))*(1+'Control Room'!$D$9)^206*'Process'!F208),2),"")</x:f>
      </x:c>
      <x:c r="D208" s="16" t="str">
        <x:f>IF(AND(AND(207&lt;='Control Room'!$B$3,'Control Room'!$D$3="Ready"),2&lt;='Control Room'!$B$2),ROUND(MAX(0,'Process'!J208*'Control Room'!$H$5*INDEX('Control Room'!$B$19:$H$19,1,WEEKDAY($A208,2))*(1+'Control Room'!$D$9)^206*'Process'!K208),2),"")</x:f>
      </x:c>
      <x:c r="E208" s="16" t="str">
        <x:f>IF(AND(AND(207&lt;='Control Room'!$B$3,'Control Room'!$D$3="Ready"),3&lt;='Control Room'!$B$2),ROUND(MAX(0,'Process'!O208*'Control Room'!$H$6*INDEX('Control Room'!$B$19:$H$19,1,WEEKDAY($A208,2))*(1+'Control Room'!$D$9)^206*'Process'!P208),2),"")</x:f>
      </x:c>
      <x:c r="F208" s="16" t="str">
        <x:f>IF(AND(AND(207&lt;='Control Room'!$B$3,'Control Room'!$D$3="Ready"),4&lt;='Control Room'!$B$2),ROUND(MAX(0,'Process'!T208*'Control Room'!$H$7*INDEX('Control Room'!$B$19:$H$19,1,WEEKDAY($A208,2))*(1+'Control Room'!$D$9)^206*'Process'!U208),2),"")</x:f>
      </x:c>
      <x:c r="G208" s="16" t="str">
        <x:f>IF(AND(AND(207&lt;='Control Room'!$B$3,'Control Room'!$D$3="Ready"),5&lt;='Control Room'!$B$2),ROUND(MAX(0,'Process'!Y208*'Control Room'!$H$8*INDEX('Control Room'!$B$19:$H$19,1,WEEKDAY($A208,2))*(1+'Control Room'!$D$9)^206*'Process'!Z208),2),"")</x:f>
      </x:c>
      <x:c r="H208" s="16" t="str">
        <x:f>IF(AND(AND(207&lt;='Control Room'!$B$3,'Control Room'!$D$3="Ready"),6&lt;='Control Room'!$B$2),ROUND(MAX(0,'Process'!AD208*'Control Room'!$H$9*INDEX('Control Room'!$B$19:$H$19,1,WEEKDAY($A208,2))*(1+'Control Room'!$D$9)^206*'Process'!AE208),2),"")</x:f>
      </x:c>
      <x:c r="I208" s="16" t="str">
        <x:f>IF(AND(AND(207&lt;='Control Room'!$B$3,'Control Room'!$D$3="Ready"),7&lt;='Control Room'!$B$2),ROUND(MAX(0,'Process'!AI208*'Control Room'!$H$10*INDEX('Control Room'!$B$19:$H$19,1,WEEKDAY($A208,2))*(1+'Control Room'!$D$9)^206*'Process'!AJ208),2),"")</x:f>
      </x:c>
      <x:c r="J208" s="16" t="str">
        <x:f>IF(AND(AND(207&lt;='Control Room'!$B$3,'Control Room'!$D$3="Ready"),8&lt;='Control Room'!$B$2),ROUND(MAX(0,'Process'!AN208*'Control Room'!$H$11*INDEX('Control Room'!$B$19:$H$19,1,WEEKDAY($A208,2))*(1+'Control Room'!$D$9)^206*'Process'!AO208),2),"")</x:f>
      </x:c>
      <x:c r="K208" s="16" t="str">
        <x:f>IF(AND(AND(207&lt;='Control Room'!$B$3,'Control Room'!$D$3="Ready"),9&lt;='Control Room'!$B$2),ROUND(MAX(0,'Process'!AS208*'Control Room'!$H$12*INDEX('Control Room'!$B$19:$H$19,1,WEEKDAY($A208,2))*(1+'Control Room'!$D$9)^206*'Process'!AT208),2),"")</x:f>
      </x:c>
      <x:c r="L208" s="16" t="str">
        <x:f>IF(AND(AND(207&lt;='Control Room'!$B$3,'Control Room'!$D$3="Ready"),10&lt;='Control Room'!$B$2),ROUND(MAX(0,'Process'!AX208*'Control Room'!$H$13*INDEX('Control Room'!$B$19:$H$19,1,WEEKDAY($A208,2))*(1+'Control Room'!$D$9)^206*'Process'!AY208),2),"")</x:f>
      </x:c>
      <x:c r="M208" s="16" t="str">
        <x:f>IF(AND(AND(207&lt;='Control Room'!$B$3,'Control Room'!$D$3="Ready"),11&lt;='Control Room'!$B$2),ROUND(MAX(0,'Process'!BC208*'Control Room'!$H$14*INDEX('Control Room'!$B$19:$H$19,1,WEEKDAY($A208,2))*(1+'Control Room'!$D$9)^206*'Process'!BD208),2),"")</x:f>
      </x:c>
      <x:c r="N208" s="16" t="str">
        <x:f>IF(AND(AND(207&lt;='Control Room'!$B$3,'Control Room'!$D$3="Ready"),12&lt;='Control Room'!$B$2),ROUND(MAX(0,'Process'!BH208*'Control Room'!$H$15*INDEX('Control Room'!$B$19:$H$19,1,WEEKDAY($A208,2))*(1+'Control Room'!$D$9)^206*'Process'!BI208),2),"")</x:f>
      </x:c>
    </x:row>
    <x:row r="209" ht="21" customHeight="1">
      <x:c r="A209" s="15" t="str">
        <x:f>IF(AND(208&lt;='Control Room'!$B$3,'Control Room'!$D$3="Ready"),'Process'!A209,"")</x:f>
      </x:c>
      <x:c r="B209" s="16" t="str">
        <x:f>IF(A209="","",SUM(C209:N209))</x:f>
      </x:c>
      <x:c r="C209" s="16" t="str">
        <x:f>IF(AND(AND(208&lt;='Control Room'!$B$3,'Control Room'!$D$3="Ready"),1&lt;='Control Room'!$B$2),ROUND(MAX(0,'Process'!E209*'Control Room'!$H$4*INDEX('Control Room'!$B$19:$H$19,1,WEEKDAY($A209,2))*(1+'Control Room'!$D$9)^207*'Process'!F209),2),"")</x:f>
      </x:c>
      <x:c r="D209" s="16" t="str">
        <x:f>IF(AND(AND(208&lt;='Control Room'!$B$3,'Control Room'!$D$3="Ready"),2&lt;='Control Room'!$B$2),ROUND(MAX(0,'Process'!J209*'Control Room'!$H$5*INDEX('Control Room'!$B$19:$H$19,1,WEEKDAY($A209,2))*(1+'Control Room'!$D$9)^207*'Process'!K209),2),"")</x:f>
      </x:c>
      <x:c r="E209" s="16" t="str">
        <x:f>IF(AND(AND(208&lt;='Control Room'!$B$3,'Control Room'!$D$3="Ready"),3&lt;='Control Room'!$B$2),ROUND(MAX(0,'Process'!O209*'Control Room'!$H$6*INDEX('Control Room'!$B$19:$H$19,1,WEEKDAY($A209,2))*(1+'Control Room'!$D$9)^207*'Process'!P209),2),"")</x:f>
      </x:c>
      <x:c r="F209" s="16" t="str">
        <x:f>IF(AND(AND(208&lt;='Control Room'!$B$3,'Control Room'!$D$3="Ready"),4&lt;='Control Room'!$B$2),ROUND(MAX(0,'Process'!T209*'Control Room'!$H$7*INDEX('Control Room'!$B$19:$H$19,1,WEEKDAY($A209,2))*(1+'Control Room'!$D$9)^207*'Process'!U209),2),"")</x:f>
      </x:c>
      <x:c r="G209" s="16" t="str">
        <x:f>IF(AND(AND(208&lt;='Control Room'!$B$3,'Control Room'!$D$3="Ready"),5&lt;='Control Room'!$B$2),ROUND(MAX(0,'Process'!Y209*'Control Room'!$H$8*INDEX('Control Room'!$B$19:$H$19,1,WEEKDAY($A209,2))*(1+'Control Room'!$D$9)^207*'Process'!Z209),2),"")</x:f>
      </x:c>
      <x:c r="H209" s="16" t="str">
        <x:f>IF(AND(AND(208&lt;='Control Room'!$B$3,'Control Room'!$D$3="Ready"),6&lt;='Control Room'!$B$2),ROUND(MAX(0,'Process'!AD209*'Control Room'!$H$9*INDEX('Control Room'!$B$19:$H$19,1,WEEKDAY($A209,2))*(1+'Control Room'!$D$9)^207*'Process'!AE209),2),"")</x:f>
      </x:c>
      <x:c r="I209" s="16" t="str">
        <x:f>IF(AND(AND(208&lt;='Control Room'!$B$3,'Control Room'!$D$3="Ready"),7&lt;='Control Room'!$B$2),ROUND(MAX(0,'Process'!AI209*'Control Room'!$H$10*INDEX('Control Room'!$B$19:$H$19,1,WEEKDAY($A209,2))*(1+'Control Room'!$D$9)^207*'Process'!AJ209),2),"")</x:f>
      </x:c>
      <x:c r="J209" s="16" t="str">
        <x:f>IF(AND(AND(208&lt;='Control Room'!$B$3,'Control Room'!$D$3="Ready"),8&lt;='Control Room'!$B$2),ROUND(MAX(0,'Process'!AN209*'Control Room'!$H$11*INDEX('Control Room'!$B$19:$H$19,1,WEEKDAY($A209,2))*(1+'Control Room'!$D$9)^207*'Process'!AO209),2),"")</x:f>
      </x:c>
      <x:c r="K209" s="16" t="str">
        <x:f>IF(AND(AND(208&lt;='Control Room'!$B$3,'Control Room'!$D$3="Ready"),9&lt;='Control Room'!$B$2),ROUND(MAX(0,'Process'!AS209*'Control Room'!$H$12*INDEX('Control Room'!$B$19:$H$19,1,WEEKDAY($A209,2))*(1+'Control Room'!$D$9)^207*'Process'!AT209),2),"")</x:f>
      </x:c>
      <x:c r="L209" s="16" t="str">
        <x:f>IF(AND(AND(208&lt;='Control Room'!$B$3,'Control Room'!$D$3="Ready"),10&lt;='Control Room'!$B$2),ROUND(MAX(0,'Process'!AX209*'Control Room'!$H$13*INDEX('Control Room'!$B$19:$H$19,1,WEEKDAY($A209,2))*(1+'Control Room'!$D$9)^207*'Process'!AY209),2),"")</x:f>
      </x:c>
      <x:c r="M209" s="16" t="str">
        <x:f>IF(AND(AND(208&lt;='Control Room'!$B$3,'Control Room'!$D$3="Ready"),11&lt;='Control Room'!$B$2),ROUND(MAX(0,'Process'!BC209*'Control Room'!$H$14*INDEX('Control Room'!$B$19:$H$19,1,WEEKDAY($A209,2))*(1+'Control Room'!$D$9)^207*'Process'!BD209),2),"")</x:f>
      </x:c>
      <x:c r="N209" s="16" t="str">
        <x:f>IF(AND(AND(208&lt;='Control Room'!$B$3,'Control Room'!$D$3="Ready"),12&lt;='Control Room'!$B$2),ROUND(MAX(0,'Process'!BH209*'Control Room'!$H$15*INDEX('Control Room'!$B$19:$H$19,1,WEEKDAY($A209,2))*(1+'Control Room'!$D$9)^207*'Process'!BI209),2),"")</x:f>
      </x:c>
    </x:row>
    <x:row r="210" ht="21" customHeight="1">
      <x:c r="A210" s="15" t="str">
        <x:f>IF(AND(209&lt;='Control Room'!$B$3,'Control Room'!$D$3="Ready"),'Process'!A210,"")</x:f>
      </x:c>
      <x:c r="B210" s="16" t="str">
        <x:f>IF(A210="","",SUM(C210:N210))</x:f>
      </x:c>
      <x:c r="C210" s="16" t="str">
        <x:f>IF(AND(AND(209&lt;='Control Room'!$B$3,'Control Room'!$D$3="Ready"),1&lt;='Control Room'!$B$2),ROUND(MAX(0,'Process'!E210*'Control Room'!$H$4*INDEX('Control Room'!$B$19:$H$19,1,WEEKDAY($A210,2))*(1+'Control Room'!$D$9)^208*'Process'!F210),2),"")</x:f>
      </x:c>
      <x:c r="D210" s="16" t="str">
        <x:f>IF(AND(AND(209&lt;='Control Room'!$B$3,'Control Room'!$D$3="Ready"),2&lt;='Control Room'!$B$2),ROUND(MAX(0,'Process'!J210*'Control Room'!$H$5*INDEX('Control Room'!$B$19:$H$19,1,WEEKDAY($A210,2))*(1+'Control Room'!$D$9)^208*'Process'!K210),2),"")</x:f>
      </x:c>
      <x:c r="E210" s="16" t="str">
        <x:f>IF(AND(AND(209&lt;='Control Room'!$B$3,'Control Room'!$D$3="Ready"),3&lt;='Control Room'!$B$2),ROUND(MAX(0,'Process'!O210*'Control Room'!$H$6*INDEX('Control Room'!$B$19:$H$19,1,WEEKDAY($A210,2))*(1+'Control Room'!$D$9)^208*'Process'!P210),2),"")</x:f>
      </x:c>
      <x:c r="F210" s="16" t="str">
        <x:f>IF(AND(AND(209&lt;='Control Room'!$B$3,'Control Room'!$D$3="Ready"),4&lt;='Control Room'!$B$2),ROUND(MAX(0,'Process'!T210*'Control Room'!$H$7*INDEX('Control Room'!$B$19:$H$19,1,WEEKDAY($A210,2))*(1+'Control Room'!$D$9)^208*'Process'!U210),2),"")</x:f>
      </x:c>
      <x:c r="G210" s="16" t="str">
        <x:f>IF(AND(AND(209&lt;='Control Room'!$B$3,'Control Room'!$D$3="Ready"),5&lt;='Control Room'!$B$2),ROUND(MAX(0,'Process'!Y210*'Control Room'!$H$8*INDEX('Control Room'!$B$19:$H$19,1,WEEKDAY($A210,2))*(1+'Control Room'!$D$9)^208*'Process'!Z210),2),"")</x:f>
      </x:c>
      <x:c r="H210" s="16" t="str">
        <x:f>IF(AND(AND(209&lt;='Control Room'!$B$3,'Control Room'!$D$3="Ready"),6&lt;='Control Room'!$B$2),ROUND(MAX(0,'Process'!AD210*'Control Room'!$H$9*INDEX('Control Room'!$B$19:$H$19,1,WEEKDAY($A210,2))*(1+'Control Room'!$D$9)^208*'Process'!AE210),2),"")</x:f>
      </x:c>
      <x:c r="I210" s="16" t="str">
        <x:f>IF(AND(AND(209&lt;='Control Room'!$B$3,'Control Room'!$D$3="Ready"),7&lt;='Control Room'!$B$2),ROUND(MAX(0,'Process'!AI210*'Control Room'!$H$10*INDEX('Control Room'!$B$19:$H$19,1,WEEKDAY($A210,2))*(1+'Control Room'!$D$9)^208*'Process'!AJ210),2),"")</x:f>
      </x:c>
      <x:c r="J210" s="16" t="str">
        <x:f>IF(AND(AND(209&lt;='Control Room'!$B$3,'Control Room'!$D$3="Ready"),8&lt;='Control Room'!$B$2),ROUND(MAX(0,'Process'!AN210*'Control Room'!$H$11*INDEX('Control Room'!$B$19:$H$19,1,WEEKDAY($A210,2))*(1+'Control Room'!$D$9)^208*'Process'!AO210),2),"")</x:f>
      </x:c>
      <x:c r="K210" s="16" t="str">
        <x:f>IF(AND(AND(209&lt;='Control Room'!$B$3,'Control Room'!$D$3="Ready"),9&lt;='Control Room'!$B$2),ROUND(MAX(0,'Process'!AS210*'Control Room'!$H$12*INDEX('Control Room'!$B$19:$H$19,1,WEEKDAY($A210,2))*(1+'Control Room'!$D$9)^208*'Process'!AT210),2),"")</x:f>
      </x:c>
      <x:c r="L210" s="16" t="str">
        <x:f>IF(AND(AND(209&lt;='Control Room'!$B$3,'Control Room'!$D$3="Ready"),10&lt;='Control Room'!$B$2),ROUND(MAX(0,'Process'!AX210*'Control Room'!$H$13*INDEX('Control Room'!$B$19:$H$19,1,WEEKDAY($A210,2))*(1+'Control Room'!$D$9)^208*'Process'!AY210),2),"")</x:f>
      </x:c>
      <x:c r="M210" s="16" t="str">
        <x:f>IF(AND(AND(209&lt;='Control Room'!$B$3,'Control Room'!$D$3="Ready"),11&lt;='Control Room'!$B$2),ROUND(MAX(0,'Process'!BC210*'Control Room'!$H$14*INDEX('Control Room'!$B$19:$H$19,1,WEEKDAY($A210,2))*(1+'Control Room'!$D$9)^208*'Process'!BD210),2),"")</x:f>
      </x:c>
      <x:c r="N210" s="16" t="str">
        <x:f>IF(AND(AND(209&lt;='Control Room'!$B$3,'Control Room'!$D$3="Ready"),12&lt;='Control Room'!$B$2),ROUND(MAX(0,'Process'!BH210*'Control Room'!$H$15*INDEX('Control Room'!$B$19:$H$19,1,WEEKDAY($A210,2))*(1+'Control Room'!$D$9)^208*'Process'!BI210),2),"")</x:f>
      </x:c>
    </x:row>
    <x:row r="211" ht="21" customHeight="1">
      <x:c r="A211" s="15" t="str">
        <x:f>IF(AND(210&lt;='Control Room'!$B$3,'Control Room'!$D$3="Ready"),'Process'!A211,"")</x:f>
      </x:c>
      <x:c r="B211" s="16" t="str">
        <x:f>IF(A211="","",SUM(C211:N211))</x:f>
      </x:c>
      <x:c r="C211" s="16" t="str">
        <x:f>IF(AND(AND(210&lt;='Control Room'!$B$3,'Control Room'!$D$3="Ready"),1&lt;='Control Room'!$B$2),ROUND(MAX(0,'Process'!E211*'Control Room'!$H$4*INDEX('Control Room'!$B$19:$H$19,1,WEEKDAY($A211,2))*(1+'Control Room'!$D$9)^209*'Process'!F211),2),"")</x:f>
      </x:c>
      <x:c r="D211" s="16" t="str">
        <x:f>IF(AND(AND(210&lt;='Control Room'!$B$3,'Control Room'!$D$3="Ready"),2&lt;='Control Room'!$B$2),ROUND(MAX(0,'Process'!J211*'Control Room'!$H$5*INDEX('Control Room'!$B$19:$H$19,1,WEEKDAY($A211,2))*(1+'Control Room'!$D$9)^209*'Process'!K211),2),"")</x:f>
      </x:c>
      <x:c r="E211" s="16" t="str">
        <x:f>IF(AND(AND(210&lt;='Control Room'!$B$3,'Control Room'!$D$3="Ready"),3&lt;='Control Room'!$B$2),ROUND(MAX(0,'Process'!O211*'Control Room'!$H$6*INDEX('Control Room'!$B$19:$H$19,1,WEEKDAY($A211,2))*(1+'Control Room'!$D$9)^209*'Process'!P211),2),"")</x:f>
      </x:c>
      <x:c r="F211" s="16" t="str">
        <x:f>IF(AND(AND(210&lt;='Control Room'!$B$3,'Control Room'!$D$3="Ready"),4&lt;='Control Room'!$B$2),ROUND(MAX(0,'Process'!T211*'Control Room'!$H$7*INDEX('Control Room'!$B$19:$H$19,1,WEEKDAY($A211,2))*(1+'Control Room'!$D$9)^209*'Process'!U211),2),"")</x:f>
      </x:c>
      <x:c r="G211" s="16" t="str">
        <x:f>IF(AND(AND(210&lt;='Control Room'!$B$3,'Control Room'!$D$3="Ready"),5&lt;='Control Room'!$B$2),ROUND(MAX(0,'Process'!Y211*'Control Room'!$H$8*INDEX('Control Room'!$B$19:$H$19,1,WEEKDAY($A211,2))*(1+'Control Room'!$D$9)^209*'Process'!Z211),2),"")</x:f>
      </x:c>
      <x:c r="H211" s="16" t="str">
        <x:f>IF(AND(AND(210&lt;='Control Room'!$B$3,'Control Room'!$D$3="Ready"),6&lt;='Control Room'!$B$2),ROUND(MAX(0,'Process'!AD211*'Control Room'!$H$9*INDEX('Control Room'!$B$19:$H$19,1,WEEKDAY($A211,2))*(1+'Control Room'!$D$9)^209*'Process'!AE211),2),"")</x:f>
      </x:c>
      <x:c r="I211" s="16" t="str">
        <x:f>IF(AND(AND(210&lt;='Control Room'!$B$3,'Control Room'!$D$3="Ready"),7&lt;='Control Room'!$B$2),ROUND(MAX(0,'Process'!AI211*'Control Room'!$H$10*INDEX('Control Room'!$B$19:$H$19,1,WEEKDAY($A211,2))*(1+'Control Room'!$D$9)^209*'Process'!AJ211),2),"")</x:f>
      </x:c>
      <x:c r="J211" s="16" t="str">
        <x:f>IF(AND(AND(210&lt;='Control Room'!$B$3,'Control Room'!$D$3="Ready"),8&lt;='Control Room'!$B$2),ROUND(MAX(0,'Process'!AN211*'Control Room'!$H$11*INDEX('Control Room'!$B$19:$H$19,1,WEEKDAY($A211,2))*(1+'Control Room'!$D$9)^209*'Process'!AO211),2),"")</x:f>
      </x:c>
      <x:c r="K211" s="16" t="str">
        <x:f>IF(AND(AND(210&lt;='Control Room'!$B$3,'Control Room'!$D$3="Ready"),9&lt;='Control Room'!$B$2),ROUND(MAX(0,'Process'!AS211*'Control Room'!$H$12*INDEX('Control Room'!$B$19:$H$19,1,WEEKDAY($A211,2))*(1+'Control Room'!$D$9)^209*'Process'!AT211),2),"")</x:f>
      </x:c>
      <x:c r="L211" s="16" t="str">
        <x:f>IF(AND(AND(210&lt;='Control Room'!$B$3,'Control Room'!$D$3="Ready"),10&lt;='Control Room'!$B$2),ROUND(MAX(0,'Process'!AX211*'Control Room'!$H$13*INDEX('Control Room'!$B$19:$H$19,1,WEEKDAY($A211,2))*(1+'Control Room'!$D$9)^209*'Process'!AY211),2),"")</x:f>
      </x:c>
      <x:c r="M211" s="16" t="str">
        <x:f>IF(AND(AND(210&lt;='Control Room'!$B$3,'Control Room'!$D$3="Ready"),11&lt;='Control Room'!$B$2),ROUND(MAX(0,'Process'!BC211*'Control Room'!$H$14*INDEX('Control Room'!$B$19:$H$19,1,WEEKDAY($A211,2))*(1+'Control Room'!$D$9)^209*'Process'!BD211),2),"")</x:f>
      </x:c>
      <x:c r="N211" s="16" t="str">
        <x:f>IF(AND(AND(210&lt;='Control Room'!$B$3,'Control Room'!$D$3="Ready"),12&lt;='Control Room'!$B$2),ROUND(MAX(0,'Process'!BH211*'Control Room'!$H$15*INDEX('Control Room'!$B$19:$H$19,1,WEEKDAY($A211,2))*(1+'Control Room'!$D$9)^209*'Process'!BI211),2),"")</x:f>
      </x:c>
    </x:row>
    <x:row r="212" ht="21" customHeight="1">
      <x:c r="A212" s="15" t="str">
        <x:f>IF(AND(211&lt;='Control Room'!$B$3,'Control Room'!$D$3="Ready"),'Process'!A212,"")</x:f>
      </x:c>
      <x:c r="B212" s="16" t="str">
        <x:f>IF(A212="","",SUM(C212:N212))</x:f>
      </x:c>
      <x:c r="C212" s="16" t="str">
        <x:f>IF(AND(AND(211&lt;='Control Room'!$B$3,'Control Room'!$D$3="Ready"),1&lt;='Control Room'!$B$2),ROUND(MAX(0,'Process'!E212*'Control Room'!$H$4*INDEX('Control Room'!$B$19:$H$19,1,WEEKDAY($A212,2))*(1+'Control Room'!$D$9)^210*'Process'!F212),2),"")</x:f>
      </x:c>
      <x:c r="D212" s="16" t="str">
        <x:f>IF(AND(AND(211&lt;='Control Room'!$B$3,'Control Room'!$D$3="Ready"),2&lt;='Control Room'!$B$2),ROUND(MAX(0,'Process'!J212*'Control Room'!$H$5*INDEX('Control Room'!$B$19:$H$19,1,WEEKDAY($A212,2))*(1+'Control Room'!$D$9)^210*'Process'!K212),2),"")</x:f>
      </x:c>
      <x:c r="E212" s="16" t="str">
        <x:f>IF(AND(AND(211&lt;='Control Room'!$B$3,'Control Room'!$D$3="Ready"),3&lt;='Control Room'!$B$2),ROUND(MAX(0,'Process'!O212*'Control Room'!$H$6*INDEX('Control Room'!$B$19:$H$19,1,WEEKDAY($A212,2))*(1+'Control Room'!$D$9)^210*'Process'!P212),2),"")</x:f>
      </x:c>
      <x:c r="F212" s="16" t="str">
        <x:f>IF(AND(AND(211&lt;='Control Room'!$B$3,'Control Room'!$D$3="Ready"),4&lt;='Control Room'!$B$2),ROUND(MAX(0,'Process'!T212*'Control Room'!$H$7*INDEX('Control Room'!$B$19:$H$19,1,WEEKDAY($A212,2))*(1+'Control Room'!$D$9)^210*'Process'!U212),2),"")</x:f>
      </x:c>
      <x:c r="G212" s="16" t="str">
        <x:f>IF(AND(AND(211&lt;='Control Room'!$B$3,'Control Room'!$D$3="Ready"),5&lt;='Control Room'!$B$2),ROUND(MAX(0,'Process'!Y212*'Control Room'!$H$8*INDEX('Control Room'!$B$19:$H$19,1,WEEKDAY($A212,2))*(1+'Control Room'!$D$9)^210*'Process'!Z212),2),"")</x:f>
      </x:c>
      <x:c r="H212" s="16" t="str">
        <x:f>IF(AND(AND(211&lt;='Control Room'!$B$3,'Control Room'!$D$3="Ready"),6&lt;='Control Room'!$B$2),ROUND(MAX(0,'Process'!AD212*'Control Room'!$H$9*INDEX('Control Room'!$B$19:$H$19,1,WEEKDAY($A212,2))*(1+'Control Room'!$D$9)^210*'Process'!AE212),2),"")</x:f>
      </x:c>
      <x:c r="I212" s="16" t="str">
        <x:f>IF(AND(AND(211&lt;='Control Room'!$B$3,'Control Room'!$D$3="Ready"),7&lt;='Control Room'!$B$2),ROUND(MAX(0,'Process'!AI212*'Control Room'!$H$10*INDEX('Control Room'!$B$19:$H$19,1,WEEKDAY($A212,2))*(1+'Control Room'!$D$9)^210*'Process'!AJ212),2),"")</x:f>
      </x:c>
      <x:c r="J212" s="16" t="str">
        <x:f>IF(AND(AND(211&lt;='Control Room'!$B$3,'Control Room'!$D$3="Ready"),8&lt;='Control Room'!$B$2),ROUND(MAX(0,'Process'!AN212*'Control Room'!$H$11*INDEX('Control Room'!$B$19:$H$19,1,WEEKDAY($A212,2))*(1+'Control Room'!$D$9)^210*'Process'!AO212),2),"")</x:f>
      </x:c>
      <x:c r="K212" s="16" t="str">
        <x:f>IF(AND(AND(211&lt;='Control Room'!$B$3,'Control Room'!$D$3="Ready"),9&lt;='Control Room'!$B$2),ROUND(MAX(0,'Process'!AS212*'Control Room'!$H$12*INDEX('Control Room'!$B$19:$H$19,1,WEEKDAY($A212,2))*(1+'Control Room'!$D$9)^210*'Process'!AT212),2),"")</x:f>
      </x:c>
      <x:c r="L212" s="16" t="str">
        <x:f>IF(AND(AND(211&lt;='Control Room'!$B$3,'Control Room'!$D$3="Ready"),10&lt;='Control Room'!$B$2),ROUND(MAX(0,'Process'!AX212*'Control Room'!$H$13*INDEX('Control Room'!$B$19:$H$19,1,WEEKDAY($A212,2))*(1+'Control Room'!$D$9)^210*'Process'!AY212),2),"")</x:f>
      </x:c>
      <x:c r="M212" s="16" t="str">
        <x:f>IF(AND(AND(211&lt;='Control Room'!$B$3,'Control Room'!$D$3="Ready"),11&lt;='Control Room'!$B$2),ROUND(MAX(0,'Process'!BC212*'Control Room'!$H$14*INDEX('Control Room'!$B$19:$H$19,1,WEEKDAY($A212,2))*(1+'Control Room'!$D$9)^210*'Process'!BD212),2),"")</x:f>
      </x:c>
      <x:c r="N212" s="16" t="str">
        <x:f>IF(AND(AND(211&lt;='Control Room'!$B$3,'Control Room'!$D$3="Ready"),12&lt;='Control Room'!$B$2),ROUND(MAX(0,'Process'!BH212*'Control Room'!$H$15*INDEX('Control Room'!$B$19:$H$19,1,WEEKDAY($A212,2))*(1+'Control Room'!$D$9)^210*'Process'!BI212),2),"")</x:f>
      </x:c>
    </x:row>
    <x:row r="213" ht="21" customHeight="1">
      <x:c r="A213" s="15" t="str">
        <x:f>IF(AND(212&lt;='Control Room'!$B$3,'Control Room'!$D$3="Ready"),'Process'!A213,"")</x:f>
      </x:c>
      <x:c r="B213" s="16" t="str">
        <x:f>IF(A213="","",SUM(C213:N213))</x:f>
      </x:c>
      <x:c r="C213" s="16" t="str">
        <x:f>IF(AND(AND(212&lt;='Control Room'!$B$3,'Control Room'!$D$3="Ready"),1&lt;='Control Room'!$B$2),ROUND(MAX(0,'Process'!E213*'Control Room'!$H$4*INDEX('Control Room'!$B$19:$H$19,1,WEEKDAY($A213,2))*(1+'Control Room'!$D$9)^211*'Process'!F213),2),"")</x:f>
      </x:c>
      <x:c r="D213" s="16" t="str">
        <x:f>IF(AND(AND(212&lt;='Control Room'!$B$3,'Control Room'!$D$3="Ready"),2&lt;='Control Room'!$B$2),ROUND(MAX(0,'Process'!J213*'Control Room'!$H$5*INDEX('Control Room'!$B$19:$H$19,1,WEEKDAY($A213,2))*(1+'Control Room'!$D$9)^211*'Process'!K213),2),"")</x:f>
      </x:c>
      <x:c r="E213" s="16" t="str">
        <x:f>IF(AND(AND(212&lt;='Control Room'!$B$3,'Control Room'!$D$3="Ready"),3&lt;='Control Room'!$B$2),ROUND(MAX(0,'Process'!O213*'Control Room'!$H$6*INDEX('Control Room'!$B$19:$H$19,1,WEEKDAY($A213,2))*(1+'Control Room'!$D$9)^211*'Process'!P213),2),"")</x:f>
      </x:c>
      <x:c r="F213" s="16" t="str">
        <x:f>IF(AND(AND(212&lt;='Control Room'!$B$3,'Control Room'!$D$3="Ready"),4&lt;='Control Room'!$B$2),ROUND(MAX(0,'Process'!T213*'Control Room'!$H$7*INDEX('Control Room'!$B$19:$H$19,1,WEEKDAY($A213,2))*(1+'Control Room'!$D$9)^211*'Process'!U213),2),"")</x:f>
      </x:c>
      <x:c r="G213" s="16" t="str">
        <x:f>IF(AND(AND(212&lt;='Control Room'!$B$3,'Control Room'!$D$3="Ready"),5&lt;='Control Room'!$B$2),ROUND(MAX(0,'Process'!Y213*'Control Room'!$H$8*INDEX('Control Room'!$B$19:$H$19,1,WEEKDAY($A213,2))*(1+'Control Room'!$D$9)^211*'Process'!Z213),2),"")</x:f>
      </x:c>
      <x:c r="H213" s="16" t="str">
        <x:f>IF(AND(AND(212&lt;='Control Room'!$B$3,'Control Room'!$D$3="Ready"),6&lt;='Control Room'!$B$2),ROUND(MAX(0,'Process'!AD213*'Control Room'!$H$9*INDEX('Control Room'!$B$19:$H$19,1,WEEKDAY($A213,2))*(1+'Control Room'!$D$9)^211*'Process'!AE213),2),"")</x:f>
      </x:c>
      <x:c r="I213" s="16" t="str">
        <x:f>IF(AND(AND(212&lt;='Control Room'!$B$3,'Control Room'!$D$3="Ready"),7&lt;='Control Room'!$B$2),ROUND(MAX(0,'Process'!AI213*'Control Room'!$H$10*INDEX('Control Room'!$B$19:$H$19,1,WEEKDAY($A213,2))*(1+'Control Room'!$D$9)^211*'Process'!AJ213),2),"")</x:f>
      </x:c>
      <x:c r="J213" s="16" t="str">
        <x:f>IF(AND(AND(212&lt;='Control Room'!$B$3,'Control Room'!$D$3="Ready"),8&lt;='Control Room'!$B$2),ROUND(MAX(0,'Process'!AN213*'Control Room'!$H$11*INDEX('Control Room'!$B$19:$H$19,1,WEEKDAY($A213,2))*(1+'Control Room'!$D$9)^211*'Process'!AO213),2),"")</x:f>
      </x:c>
      <x:c r="K213" s="16" t="str">
        <x:f>IF(AND(AND(212&lt;='Control Room'!$B$3,'Control Room'!$D$3="Ready"),9&lt;='Control Room'!$B$2),ROUND(MAX(0,'Process'!AS213*'Control Room'!$H$12*INDEX('Control Room'!$B$19:$H$19,1,WEEKDAY($A213,2))*(1+'Control Room'!$D$9)^211*'Process'!AT213),2),"")</x:f>
      </x:c>
      <x:c r="L213" s="16" t="str">
        <x:f>IF(AND(AND(212&lt;='Control Room'!$B$3,'Control Room'!$D$3="Ready"),10&lt;='Control Room'!$B$2),ROUND(MAX(0,'Process'!AX213*'Control Room'!$H$13*INDEX('Control Room'!$B$19:$H$19,1,WEEKDAY($A213,2))*(1+'Control Room'!$D$9)^211*'Process'!AY213),2),"")</x:f>
      </x:c>
      <x:c r="M213" s="16" t="str">
        <x:f>IF(AND(AND(212&lt;='Control Room'!$B$3,'Control Room'!$D$3="Ready"),11&lt;='Control Room'!$B$2),ROUND(MAX(0,'Process'!BC213*'Control Room'!$H$14*INDEX('Control Room'!$B$19:$H$19,1,WEEKDAY($A213,2))*(1+'Control Room'!$D$9)^211*'Process'!BD213),2),"")</x:f>
      </x:c>
      <x:c r="N213" s="16" t="str">
        <x:f>IF(AND(AND(212&lt;='Control Room'!$B$3,'Control Room'!$D$3="Ready"),12&lt;='Control Room'!$B$2),ROUND(MAX(0,'Process'!BH213*'Control Room'!$H$15*INDEX('Control Room'!$B$19:$H$19,1,WEEKDAY($A213,2))*(1+'Control Room'!$D$9)^211*'Process'!BI213),2),"")</x:f>
      </x:c>
    </x:row>
    <x:row r="214" ht="21" customHeight="1">
      <x:c r="A214" s="15" t="str">
        <x:f>IF(AND(213&lt;='Control Room'!$B$3,'Control Room'!$D$3="Ready"),'Process'!A214,"")</x:f>
      </x:c>
      <x:c r="B214" s="16" t="str">
        <x:f>IF(A214="","",SUM(C214:N214))</x:f>
      </x:c>
      <x:c r="C214" s="16" t="str">
        <x:f>IF(AND(AND(213&lt;='Control Room'!$B$3,'Control Room'!$D$3="Ready"),1&lt;='Control Room'!$B$2),ROUND(MAX(0,'Process'!E214*'Control Room'!$H$4*INDEX('Control Room'!$B$19:$H$19,1,WEEKDAY($A214,2))*(1+'Control Room'!$D$9)^212*'Process'!F214),2),"")</x:f>
      </x:c>
      <x:c r="D214" s="16" t="str">
        <x:f>IF(AND(AND(213&lt;='Control Room'!$B$3,'Control Room'!$D$3="Ready"),2&lt;='Control Room'!$B$2),ROUND(MAX(0,'Process'!J214*'Control Room'!$H$5*INDEX('Control Room'!$B$19:$H$19,1,WEEKDAY($A214,2))*(1+'Control Room'!$D$9)^212*'Process'!K214),2),"")</x:f>
      </x:c>
      <x:c r="E214" s="16" t="str">
        <x:f>IF(AND(AND(213&lt;='Control Room'!$B$3,'Control Room'!$D$3="Ready"),3&lt;='Control Room'!$B$2),ROUND(MAX(0,'Process'!O214*'Control Room'!$H$6*INDEX('Control Room'!$B$19:$H$19,1,WEEKDAY($A214,2))*(1+'Control Room'!$D$9)^212*'Process'!P214),2),"")</x:f>
      </x:c>
      <x:c r="F214" s="16" t="str">
        <x:f>IF(AND(AND(213&lt;='Control Room'!$B$3,'Control Room'!$D$3="Ready"),4&lt;='Control Room'!$B$2),ROUND(MAX(0,'Process'!T214*'Control Room'!$H$7*INDEX('Control Room'!$B$19:$H$19,1,WEEKDAY($A214,2))*(1+'Control Room'!$D$9)^212*'Process'!U214),2),"")</x:f>
      </x:c>
      <x:c r="G214" s="16" t="str">
        <x:f>IF(AND(AND(213&lt;='Control Room'!$B$3,'Control Room'!$D$3="Ready"),5&lt;='Control Room'!$B$2),ROUND(MAX(0,'Process'!Y214*'Control Room'!$H$8*INDEX('Control Room'!$B$19:$H$19,1,WEEKDAY($A214,2))*(1+'Control Room'!$D$9)^212*'Process'!Z214),2),"")</x:f>
      </x:c>
      <x:c r="H214" s="16" t="str">
        <x:f>IF(AND(AND(213&lt;='Control Room'!$B$3,'Control Room'!$D$3="Ready"),6&lt;='Control Room'!$B$2),ROUND(MAX(0,'Process'!AD214*'Control Room'!$H$9*INDEX('Control Room'!$B$19:$H$19,1,WEEKDAY($A214,2))*(1+'Control Room'!$D$9)^212*'Process'!AE214),2),"")</x:f>
      </x:c>
      <x:c r="I214" s="16" t="str">
        <x:f>IF(AND(AND(213&lt;='Control Room'!$B$3,'Control Room'!$D$3="Ready"),7&lt;='Control Room'!$B$2),ROUND(MAX(0,'Process'!AI214*'Control Room'!$H$10*INDEX('Control Room'!$B$19:$H$19,1,WEEKDAY($A214,2))*(1+'Control Room'!$D$9)^212*'Process'!AJ214),2),"")</x:f>
      </x:c>
      <x:c r="J214" s="16" t="str">
        <x:f>IF(AND(AND(213&lt;='Control Room'!$B$3,'Control Room'!$D$3="Ready"),8&lt;='Control Room'!$B$2),ROUND(MAX(0,'Process'!AN214*'Control Room'!$H$11*INDEX('Control Room'!$B$19:$H$19,1,WEEKDAY($A214,2))*(1+'Control Room'!$D$9)^212*'Process'!AO214),2),"")</x:f>
      </x:c>
      <x:c r="K214" s="16" t="str">
        <x:f>IF(AND(AND(213&lt;='Control Room'!$B$3,'Control Room'!$D$3="Ready"),9&lt;='Control Room'!$B$2),ROUND(MAX(0,'Process'!AS214*'Control Room'!$H$12*INDEX('Control Room'!$B$19:$H$19,1,WEEKDAY($A214,2))*(1+'Control Room'!$D$9)^212*'Process'!AT214),2),"")</x:f>
      </x:c>
      <x:c r="L214" s="16" t="str">
        <x:f>IF(AND(AND(213&lt;='Control Room'!$B$3,'Control Room'!$D$3="Ready"),10&lt;='Control Room'!$B$2),ROUND(MAX(0,'Process'!AX214*'Control Room'!$H$13*INDEX('Control Room'!$B$19:$H$19,1,WEEKDAY($A214,2))*(1+'Control Room'!$D$9)^212*'Process'!AY214),2),"")</x:f>
      </x:c>
      <x:c r="M214" s="16" t="str">
        <x:f>IF(AND(AND(213&lt;='Control Room'!$B$3,'Control Room'!$D$3="Ready"),11&lt;='Control Room'!$B$2),ROUND(MAX(0,'Process'!BC214*'Control Room'!$H$14*INDEX('Control Room'!$B$19:$H$19,1,WEEKDAY($A214,2))*(1+'Control Room'!$D$9)^212*'Process'!BD214),2),"")</x:f>
      </x:c>
      <x:c r="N214" s="16" t="str">
        <x:f>IF(AND(AND(213&lt;='Control Room'!$B$3,'Control Room'!$D$3="Ready"),12&lt;='Control Room'!$B$2),ROUND(MAX(0,'Process'!BH214*'Control Room'!$H$15*INDEX('Control Room'!$B$19:$H$19,1,WEEKDAY($A214,2))*(1+'Control Room'!$D$9)^212*'Process'!BI214),2),"")</x:f>
      </x:c>
    </x:row>
    <x:row r="215" ht="21" customHeight="1">
      <x:c r="A215" s="15" t="str">
        <x:f>IF(AND(214&lt;='Control Room'!$B$3,'Control Room'!$D$3="Ready"),'Process'!A215,"")</x:f>
      </x:c>
      <x:c r="B215" s="16" t="str">
        <x:f>IF(A215="","",SUM(C215:N215))</x:f>
      </x:c>
      <x:c r="C215" s="16" t="str">
        <x:f>IF(AND(AND(214&lt;='Control Room'!$B$3,'Control Room'!$D$3="Ready"),1&lt;='Control Room'!$B$2),ROUND(MAX(0,'Process'!E215*'Control Room'!$H$4*INDEX('Control Room'!$B$19:$H$19,1,WEEKDAY($A215,2))*(1+'Control Room'!$D$9)^213*'Process'!F215),2),"")</x:f>
      </x:c>
      <x:c r="D215" s="16" t="str">
        <x:f>IF(AND(AND(214&lt;='Control Room'!$B$3,'Control Room'!$D$3="Ready"),2&lt;='Control Room'!$B$2),ROUND(MAX(0,'Process'!J215*'Control Room'!$H$5*INDEX('Control Room'!$B$19:$H$19,1,WEEKDAY($A215,2))*(1+'Control Room'!$D$9)^213*'Process'!K215),2),"")</x:f>
      </x:c>
      <x:c r="E215" s="16" t="str">
        <x:f>IF(AND(AND(214&lt;='Control Room'!$B$3,'Control Room'!$D$3="Ready"),3&lt;='Control Room'!$B$2),ROUND(MAX(0,'Process'!O215*'Control Room'!$H$6*INDEX('Control Room'!$B$19:$H$19,1,WEEKDAY($A215,2))*(1+'Control Room'!$D$9)^213*'Process'!P215),2),"")</x:f>
      </x:c>
      <x:c r="F215" s="16" t="str">
        <x:f>IF(AND(AND(214&lt;='Control Room'!$B$3,'Control Room'!$D$3="Ready"),4&lt;='Control Room'!$B$2),ROUND(MAX(0,'Process'!T215*'Control Room'!$H$7*INDEX('Control Room'!$B$19:$H$19,1,WEEKDAY($A215,2))*(1+'Control Room'!$D$9)^213*'Process'!U215),2),"")</x:f>
      </x:c>
      <x:c r="G215" s="16" t="str">
        <x:f>IF(AND(AND(214&lt;='Control Room'!$B$3,'Control Room'!$D$3="Ready"),5&lt;='Control Room'!$B$2),ROUND(MAX(0,'Process'!Y215*'Control Room'!$H$8*INDEX('Control Room'!$B$19:$H$19,1,WEEKDAY($A215,2))*(1+'Control Room'!$D$9)^213*'Process'!Z215),2),"")</x:f>
      </x:c>
      <x:c r="H215" s="16" t="str">
        <x:f>IF(AND(AND(214&lt;='Control Room'!$B$3,'Control Room'!$D$3="Ready"),6&lt;='Control Room'!$B$2),ROUND(MAX(0,'Process'!AD215*'Control Room'!$H$9*INDEX('Control Room'!$B$19:$H$19,1,WEEKDAY($A215,2))*(1+'Control Room'!$D$9)^213*'Process'!AE215),2),"")</x:f>
      </x:c>
      <x:c r="I215" s="16" t="str">
        <x:f>IF(AND(AND(214&lt;='Control Room'!$B$3,'Control Room'!$D$3="Ready"),7&lt;='Control Room'!$B$2),ROUND(MAX(0,'Process'!AI215*'Control Room'!$H$10*INDEX('Control Room'!$B$19:$H$19,1,WEEKDAY($A215,2))*(1+'Control Room'!$D$9)^213*'Process'!AJ215),2),"")</x:f>
      </x:c>
      <x:c r="J215" s="16" t="str">
        <x:f>IF(AND(AND(214&lt;='Control Room'!$B$3,'Control Room'!$D$3="Ready"),8&lt;='Control Room'!$B$2),ROUND(MAX(0,'Process'!AN215*'Control Room'!$H$11*INDEX('Control Room'!$B$19:$H$19,1,WEEKDAY($A215,2))*(1+'Control Room'!$D$9)^213*'Process'!AO215),2),"")</x:f>
      </x:c>
      <x:c r="K215" s="16" t="str">
        <x:f>IF(AND(AND(214&lt;='Control Room'!$B$3,'Control Room'!$D$3="Ready"),9&lt;='Control Room'!$B$2),ROUND(MAX(0,'Process'!AS215*'Control Room'!$H$12*INDEX('Control Room'!$B$19:$H$19,1,WEEKDAY($A215,2))*(1+'Control Room'!$D$9)^213*'Process'!AT215),2),"")</x:f>
      </x:c>
      <x:c r="L215" s="16" t="str">
        <x:f>IF(AND(AND(214&lt;='Control Room'!$B$3,'Control Room'!$D$3="Ready"),10&lt;='Control Room'!$B$2),ROUND(MAX(0,'Process'!AX215*'Control Room'!$H$13*INDEX('Control Room'!$B$19:$H$19,1,WEEKDAY($A215,2))*(1+'Control Room'!$D$9)^213*'Process'!AY215),2),"")</x:f>
      </x:c>
      <x:c r="M215" s="16" t="str">
        <x:f>IF(AND(AND(214&lt;='Control Room'!$B$3,'Control Room'!$D$3="Ready"),11&lt;='Control Room'!$B$2),ROUND(MAX(0,'Process'!BC215*'Control Room'!$H$14*INDEX('Control Room'!$B$19:$H$19,1,WEEKDAY($A215,2))*(1+'Control Room'!$D$9)^213*'Process'!BD215),2),"")</x:f>
      </x:c>
      <x:c r="N215" s="16" t="str">
        <x:f>IF(AND(AND(214&lt;='Control Room'!$B$3,'Control Room'!$D$3="Ready"),12&lt;='Control Room'!$B$2),ROUND(MAX(0,'Process'!BH215*'Control Room'!$H$15*INDEX('Control Room'!$B$19:$H$19,1,WEEKDAY($A215,2))*(1+'Control Room'!$D$9)^213*'Process'!BI215),2),"")</x:f>
      </x:c>
    </x:row>
    <x:row r="216" ht="21" customHeight="1">
      <x:c r="A216" s="15" t="str">
        <x:f>IF(AND(215&lt;='Control Room'!$B$3,'Control Room'!$D$3="Ready"),'Process'!A216,"")</x:f>
      </x:c>
      <x:c r="B216" s="16" t="str">
        <x:f>IF(A216="","",SUM(C216:N216))</x:f>
      </x:c>
      <x:c r="C216" s="16" t="str">
        <x:f>IF(AND(AND(215&lt;='Control Room'!$B$3,'Control Room'!$D$3="Ready"),1&lt;='Control Room'!$B$2),ROUND(MAX(0,'Process'!E216*'Control Room'!$H$4*INDEX('Control Room'!$B$19:$H$19,1,WEEKDAY($A216,2))*(1+'Control Room'!$D$9)^214*'Process'!F216),2),"")</x:f>
      </x:c>
      <x:c r="D216" s="16" t="str">
        <x:f>IF(AND(AND(215&lt;='Control Room'!$B$3,'Control Room'!$D$3="Ready"),2&lt;='Control Room'!$B$2),ROUND(MAX(0,'Process'!J216*'Control Room'!$H$5*INDEX('Control Room'!$B$19:$H$19,1,WEEKDAY($A216,2))*(1+'Control Room'!$D$9)^214*'Process'!K216),2),"")</x:f>
      </x:c>
      <x:c r="E216" s="16" t="str">
        <x:f>IF(AND(AND(215&lt;='Control Room'!$B$3,'Control Room'!$D$3="Ready"),3&lt;='Control Room'!$B$2),ROUND(MAX(0,'Process'!O216*'Control Room'!$H$6*INDEX('Control Room'!$B$19:$H$19,1,WEEKDAY($A216,2))*(1+'Control Room'!$D$9)^214*'Process'!P216),2),"")</x:f>
      </x:c>
      <x:c r="F216" s="16" t="str">
        <x:f>IF(AND(AND(215&lt;='Control Room'!$B$3,'Control Room'!$D$3="Ready"),4&lt;='Control Room'!$B$2),ROUND(MAX(0,'Process'!T216*'Control Room'!$H$7*INDEX('Control Room'!$B$19:$H$19,1,WEEKDAY($A216,2))*(1+'Control Room'!$D$9)^214*'Process'!U216),2),"")</x:f>
      </x:c>
      <x:c r="G216" s="16" t="str">
        <x:f>IF(AND(AND(215&lt;='Control Room'!$B$3,'Control Room'!$D$3="Ready"),5&lt;='Control Room'!$B$2),ROUND(MAX(0,'Process'!Y216*'Control Room'!$H$8*INDEX('Control Room'!$B$19:$H$19,1,WEEKDAY($A216,2))*(1+'Control Room'!$D$9)^214*'Process'!Z216),2),"")</x:f>
      </x:c>
      <x:c r="H216" s="16" t="str">
        <x:f>IF(AND(AND(215&lt;='Control Room'!$B$3,'Control Room'!$D$3="Ready"),6&lt;='Control Room'!$B$2),ROUND(MAX(0,'Process'!AD216*'Control Room'!$H$9*INDEX('Control Room'!$B$19:$H$19,1,WEEKDAY($A216,2))*(1+'Control Room'!$D$9)^214*'Process'!AE216),2),"")</x:f>
      </x:c>
      <x:c r="I216" s="16" t="str">
        <x:f>IF(AND(AND(215&lt;='Control Room'!$B$3,'Control Room'!$D$3="Ready"),7&lt;='Control Room'!$B$2),ROUND(MAX(0,'Process'!AI216*'Control Room'!$H$10*INDEX('Control Room'!$B$19:$H$19,1,WEEKDAY($A216,2))*(1+'Control Room'!$D$9)^214*'Process'!AJ216),2),"")</x:f>
      </x:c>
      <x:c r="J216" s="16" t="str">
        <x:f>IF(AND(AND(215&lt;='Control Room'!$B$3,'Control Room'!$D$3="Ready"),8&lt;='Control Room'!$B$2),ROUND(MAX(0,'Process'!AN216*'Control Room'!$H$11*INDEX('Control Room'!$B$19:$H$19,1,WEEKDAY($A216,2))*(1+'Control Room'!$D$9)^214*'Process'!AO216),2),"")</x:f>
      </x:c>
      <x:c r="K216" s="16" t="str">
        <x:f>IF(AND(AND(215&lt;='Control Room'!$B$3,'Control Room'!$D$3="Ready"),9&lt;='Control Room'!$B$2),ROUND(MAX(0,'Process'!AS216*'Control Room'!$H$12*INDEX('Control Room'!$B$19:$H$19,1,WEEKDAY($A216,2))*(1+'Control Room'!$D$9)^214*'Process'!AT216),2),"")</x:f>
      </x:c>
      <x:c r="L216" s="16" t="str">
        <x:f>IF(AND(AND(215&lt;='Control Room'!$B$3,'Control Room'!$D$3="Ready"),10&lt;='Control Room'!$B$2),ROUND(MAX(0,'Process'!AX216*'Control Room'!$H$13*INDEX('Control Room'!$B$19:$H$19,1,WEEKDAY($A216,2))*(1+'Control Room'!$D$9)^214*'Process'!AY216),2),"")</x:f>
      </x:c>
      <x:c r="M216" s="16" t="str">
        <x:f>IF(AND(AND(215&lt;='Control Room'!$B$3,'Control Room'!$D$3="Ready"),11&lt;='Control Room'!$B$2),ROUND(MAX(0,'Process'!BC216*'Control Room'!$H$14*INDEX('Control Room'!$B$19:$H$19,1,WEEKDAY($A216,2))*(1+'Control Room'!$D$9)^214*'Process'!BD216),2),"")</x:f>
      </x:c>
      <x:c r="N216" s="16" t="str">
        <x:f>IF(AND(AND(215&lt;='Control Room'!$B$3,'Control Room'!$D$3="Ready"),12&lt;='Control Room'!$B$2),ROUND(MAX(0,'Process'!BH216*'Control Room'!$H$15*INDEX('Control Room'!$B$19:$H$19,1,WEEKDAY($A216,2))*(1+'Control Room'!$D$9)^214*'Process'!BI216),2),"")</x:f>
      </x:c>
    </x:row>
    <x:row r="217" ht="21" customHeight="1">
      <x:c r="A217" s="15" t="str">
        <x:f>IF(AND(216&lt;='Control Room'!$B$3,'Control Room'!$D$3="Ready"),'Process'!A217,"")</x:f>
      </x:c>
      <x:c r="B217" s="16" t="str">
        <x:f>IF(A217="","",SUM(C217:N217))</x:f>
      </x:c>
      <x:c r="C217" s="16" t="str">
        <x:f>IF(AND(AND(216&lt;='Control Room'!$B$3,'Control Room'!$D$3="Ready"),1&lt;='Control Room'!$B$2),ROUND(MAX(0,'Process'!E217*'Control Room'!$H$4*INDEX('Control Room'!$B$19:$H$19,1,WEEKDAY($A217,2))*(1+'Control Room'!$D$9)^215*'Process'!F217),2),"")</x:f>
      </x:c>
      <x:c r="D217" s="16" t="str">
        <x:f>IF(AND(AND(216&lt;='Control Room'!$B$3,'Control Room'!$D$3="Ready"),2&lt;='Control Room'!$B$2),ROUND(MAX(0,'Process'!J217*'Control Room'!$H$5*INDEX('Control Room'!$B$19:$H$19,1,WEEKDAY($A217,2))*(1+'Control Room'!$D$9)^215*'Process'!K217),2),"")</x:f>
      </x:c>
      <x:c r="E217" s="16" t="str">
        <x:f>IF(AND(AND(216&lt;='Control Room'!$B$3,'Control Room'!$D$3="Ready"),3&lt;='Control Room'!$B$2),ROUND(MAX(0,'Process'!O217*'Control Room'!$H$6*INDEX('Control Room'!$B$19:$H$19,1,WEEKDAY($A217,2))*(1+'Control Room'!$D$9)^215*'Process'!P217),2),"")</x:f>
      </x:c>
      <x:c r="F217" s="16" t="str">
        <x:f>IF(AND(AND(216&lt;='Control Room'!$B$3,'Control Room'!$D$3="Ready"),4&lt;='Control Room'!$B$2),ROUND(MAX(0,'Process'!T217*'Control Room'!$H$7*INDEX('Control Room'!$B$19:$H$19,1,WEEKDAY($A217,2))*(1+'Control Room'!$D$9)^215*'Process'!U217),2),"")</x:f>
      </x:c>
      <x:c r="G217" s="16" t="str">
        <x:f>IF(AND(AND(216&lt;='Control Room'!$B$3,'Control Room'!$D$3="Ready"),5&lt;='Control Room'!$B$2),ROUND(MAX(0,'Process'!Y217*'Control Room'!$H$8*INDEX('Control Room'!$B$19:$H$19,1,WEEKDAY($A217,2))*(1+'Control Room'!$D$9)^215*'Process'!Z217),2),"")</x:f>
      </x:c>
      <x:c r="H217" s="16" t="str">
        <x:f>IF(AND(AND(216&lt;='Control Room'!$B$3,'Control Room'!$D$3="Ready"),6&lt;='Control Room'!$B$2),ROUND(MAX(0,'Process'!AD217*'Control Room'!$H$9*INDEX('Control Room'!$B$19:$H$19,1,WEEKDAY($A217,2))*(1+'Control Room'!$D$9)^215*'Process'!AE217),2),"")</x:f>
      </x:c>
      <x:c r="I217" s="16" t="str">
        <x:f>IF(AND(AND(216&lt;='Control Room'!$B$3,'Control Room'!$D$3="Ready"),7&lt;='Control Room'!$B$2),ROUND(MAX(0,'Process'!AI217*'Control Room'!$H$10*INDEX('Control Room'!$B$19:$H$19,1,WEEKDAY($A217,2))*(1+'Control Room'!$D$9)^215*'Process'!AJ217),2),"")</x:f>
      </x:c>
      <x:c r="J217" s="16" t="str">
        <x:f>IF(AND(AND(216&lt;='Control Room'!$B$3,'Control Room'!$D$3="Ready"),8&lt;='Control Room'!$B$2),ROUND(MAX(0,'Process'!AN217*'Control Room'!$H$11*INDEX('Control Room'!$B$19:$H$19,1,WEEKDAY($A217,2))*(1+'Control Room'!$D$9)^215*'Process'!AO217),2),"")</x:f>
      </x:c>
      <x:c r="K217" s="16" t="str">
        <x:f>IF(AND(AND(216&lt;='Control Room'!$B$3,'Control Room'!$D$3="Ready"),9&lt;='Control Room'!$B$2),ROUND(MAX(0,'Process'!AS217*'Control Room'!$H$12*INDEX('Control Room'!$B$19:$H$19,1,WEEKDAY($A217,2))*(1+'Control Room'!$D$9)^215*'Process'!AT217),2),"")</x:f>
      </x:c>
      <x:c r="L217" s="16" t="str">
        <x:f>IF(AND(AND(216&lt;='Control Room'!$B$3,'Control Room'!$D$3="Ready"),10&lt;='Control Room'!$B$2),ROUND(MAX(0,'Process'!AX217*'Control Room'!$H$13*INDEX('Control Room'!$B$19:$H$19,1,WEEKDAY($A217,2))*(1+'Control Room'!$D$9)^215*'Process'!AY217),2),"")</x:f>
      </x:c>
      <x:c r="M217" s="16" t="str">
        <x:f>IF(AND(AND(216&lt;='Control Room'!$B$3,'Control Room'!$D$3="Ready"),11&lt;='Control Room'!$B$2),ROUND(MAX(0,'Process'!BC217*'Control Room'!$H$14*INDEX('Control Room'!$B$19:$H$19,1,WEEKDAY($A217,2))*(1+'Control Room'!$D$9)^215*'Process'!BD217),2),"")</x:f>
      </x:c>
      <x:c r="N217" s="16" t="str">
        <x:f>IF(AND(AND(216&lt;='Control Room'!$B$3,'Control Room'!$D$3="Ready"),12&lt;='Control Room'!$B$2),ROUND(MAX(0,'Process'!BH217*'Control Room'!$H$15*INDEX('Control Room'!$B$19:$H$19,1,WEEKDAY($A217,2))*(1+'Control Room'!$D$9)^215*'Process'!BI217),2),"")</x:f>
      </x:c>
    </x:row>
    <x:row r="218" ht="21" customHeight="1">
      <x:c r="A218" s="15" t="str">
        <x:f>IF(AND(217&lt;='Control Room'!$B$3,'Control Room'!$D$3="Ready"),'Process'!A218,"")</x:f>
      </x:c>
      <x:c r="B218" s="16" t="str">
        <x:f>IF(A218="","",SUM(C218:N218))</x:f>
      </x:c>
      <x:c r="C218" s="16" t="str">
        <x:f>IF(AND(AND(217&lt;='Control Room'!$B$3,'Control Room'!$D$3="Ready"),1&lt;='Control Room'!$B$2),ROUND(MAX(0,'Process'!E218*'Control Room'!$H$4*INDEX('Control Room'!$B$19:$H$19,1,WEEKDAY($A218,2))*(1+'Control Room'!$D$9)^216*'Process'!F218),2),"")</x:f>
      </x:c>
      <x:c r="D218" s="16" t="str">
        <x:f>IF(AND(AND(217&lt;='Control Room'!$B$3,'Control Room'!$D$3="Ready"),2&lt;='Control Room'!$B$2),ROUND(MAX(0,'Process'!J218*'Control Room'!$H$5*INDEX('Control Room'!$B$19:$H$19,1,WEEKDAY($A218,2))*(1+'Control Room'!$D$9)^216*'Process'!K218),2),"")</x:f>
      </x:c>
      <x:c r="E218" s="16" t="str">
        <x:f>IF(AND(AND(217&lt;='Control Room'!$B$3,'Control Room'!$D$3="Ready"),3&lt;='Control Room'!$B$2),ROUND(MAX(0,'Process'!O218*'Control Room'!$H$6*INDEX('Control Room'!$B$19:$H$19,1,WEEKDAY($A218,2))*(1+'Control Room'!$D$9)^216*'Process'!P218),2),"")</x:f>
      </x:c>
      <x:c r="F218" s="16" t="str">
        <x:f>IF(AND(AND(217&lt;='Control Room'!$B$3,'Control Room'!$D$3="Ready"),4&lt;='Control Room'!$B$2),ROUND(MAX(0,'Process'!T218*'Control Room'!$H$7*INDEX('Control Room'!$B$19:$H$19,1,WEEKDAY($A218,2))*(1+'Control Room'!$D$9)^216*'Process'!U218),2),"")</x:f>
      </x:c>
      <x:c r="G218" s="16" t="str">
        <x:f>IF(AND(AND(217&lt;='Control Room'!$B$3,'Control Room'!$D$3="Ready"),5&lt;='Control Room'!$B$2),ROUND(MAX(0,'Process'!Y218*'Control Room'!$H$8*INDEX('Control Room'!$B$19:$H$19,1,WEEKDAY($A218,2))*(1+'Control Room'!$D$9)^216*'Process'!Z218),2),"")</x:f>
      </x:c>
      <x:c r="H218" s="16" t="str">
        <x:f>IF(AND(AND(217&lt;='Control Room'!$B$3,'Control Room'!$D$3="Ready"),6&lt;='Control Room'!$B$2),ROUND(MAX(0,'Process'!AD218*'Control Room'!$H$9*INDEX('Control Room'!$B$19:$H$19,1,WEEKDAY($A218,2))*(1+'Control Room'!$D$9)^216*'Process'!AE218),2),"")</x:f>
      </x:c>
      <x:c r="I218" s="16" t="str">
        <x:f>IF(AND(AND(217&lt;='Control Room'!$B$3,'Control Room'!$D$3="Ready"),7&lt;='Control Room'!$B$2),ROUND(MAX(0,'Process'!AI218*'Control Room'!$H$10*INDEX('Control Room'!$B$19:$H$19,1,WEEKDAY($A218,2))*(1+'Control Room'!$D$9)^216*'Process'!AJ218),2),"")</x:f>
      </x:c>
      <x:c r="J218" s="16" t="str">
        <x:f>IF(AND(AND(217&lt;='Control Room'!$B$3,'Control Room'!$D$3="Ready"),8&lt;='Control Room'!$B$2),ROUND(MAX(0,'Process'!AN218*'Control Room'!$H$11*INDEX('Control Room'!$B$19:$H$19,1,WEEKDAY($A218,2))*(1+'Control Room'!$D$9)^216*'Process'!AO218),2),"")</x:f>
      </x:c>
      <x:c r="K218" s="16" t="str">
        <x:f>IF(AND(AND(217&lt;='Control Room'!$B$3,'Control Room'!$D$3="Ready"),9&lt;='Control Room'!$B$2),ROUND(MAX(0,'Process'!AS218*'Control Room'!$H$12*INDEX('Control Room'!$B$19:$H$19,1,WEEKDAY($A218,2))*(1+'Control Room'!$D$9)^216*'Process'!AT218),2),"")</x:f>
      </x:c>
      <x:c r="L218" s="16" t="str">
        <x:f>IF(AND(AND(217&lt;='Control Room'!$B$3,'Control Room'!$D$3="Ready"),10&lt;='Control Room'!$B$2),ROUND(MAX(0,'Process'!AX218*'Control Room'!$H$13*INDEX('Control Room'!$B$19:$H$19,1,WEEKDAY($A218,2))*(1+'Control Room'!$D$9)^216*'Process'!AY218),2),"")</x:f>
      </x:c>
      <x:c r="M218" s="16" t="str">
        <x:f>IF(AND(AND(217&lt;='Control Room'!$B$3,'Control Room'!$D$3="Ready"),11&lt;='Control Room'!$B$2),ROUND(MAX(0,'Process'!BC218*'Control Room'!$H$14*INDEX('Control Room'!$B$19:$H$19,1,WEEKDAY($A218,2))*(1+'Control Room'!$D$9)^216*'Process'!BD218),2),"")</x:f>
      </x:c>
      <x:c r="N218" s="16" t="str">
        <x:f>IF(AND(AND(217&lt;='Control Room'!$B$3,'Control Room'!$D$3="Ready"),12&lt;='Control Room'!$B$2),ROUND(MAX(0,'Process'!BH218*'Control Room'!$H$15*INDEX('Control Room'!$B$19:$H$19,1,WEEKDAY($A218,2))*(1+'Control Room'!$D$9)^216*'Process'!BI218),2),"")</x:f>
      </x:c>
    </x:row>
    <x:row r="219" ht="21" customHeight="1">
      <x:c r="A219" s="15" t="str">
        <x:f>IF(AND(218&lt;='Control Room'!$B$3,'Control Room'!$D$3="Ready"),'Process'!A219,"")</x:f>
      </x:c>
      <x:c r="B219" s="16" t="str">
        <x:f>IF(A219="","",SUM(C219:N219))</x:f>
      </x:c>
      <x:c r="C219" s="16" t="str">
        <x:f>IF(AND(AND(218&lt;='Control Room'!$B$3,'Control Room'!$D$3="Ready"),1&lt;='Control Room'!$B$2),ROUND(MAX(0,'Process'!E219*'Control Room'!$H$4*INDEX('Control Room'!$B$19:$H$19,1,WEEKDAY($A219,2))*(1+'Control Room'!$D$9)^217*'Process'!F219),2),"")</x:f>
      </x:c>
      <x:c r="D219" s="16" t="str">
        <x:f>IF(AND(AND(218&lt;='Control Room'!$B$3,'Control Room'!$D$3="Ready"),2&lt;='Control Room'!$B$2),ROUND(MAX(0,'Process'!J219*'Control Room'!$H$5*INDEX('Control Room'!$B$19:$H$19,1,WEEKDAY($A219,2))*(1+'Control Room'!$D$9)^217*'Process'!K219),2),"")</x:f>
      </x:c>
      <x:c r="E219" s="16" t="str">
        <x:f>IF(AND(AND(218&lt;='Control Room'!$B$3,'Control Room'!$D$3="Ready"),3&lt;='Control Room'!$B$2),ROUND(MAX(0,'Process'!O219*'Control Room'!$H$6*INDEX('Control Room'!$B$19:$H$19,1,WEEKDAY($A219,2))*(1+'Control Room'!$D$9)^217*'Process'!P219),2),"")</x:f>
      </x:c>
      <x:c r="F219" s="16" t="str">
        <x:f>IF(AND(AND(218&lt;='Control Room'!$B$3,'Control Room'!$D$3="Ready"),4&lt;='Control Room'!$B$2),ROUND(MAX(0,'Process'!T219*'Control Room'!$H$7*INDEX('Control Room'!$B$19:$H$19,1,WEEKDAY($A219,2))*(1+'Control Room'!$D$9)^217*'Process'!U219),2),"")</x:f>
      </x:c>
      <x:c r="G219" s="16" t="str">
        <x:f>IF(AND(AND(218&lt;='Control Room'!$B$3,'Control Room'!$D$3="Ready"),5&lt;='Control Room'!$B$2),ROUND(MAX(0,'Process'!Y219*'Control Room'!$H$8*INDEX('Control Room'!$B$19:$H$19,1,WEEKDAY($A219,2))*(1+'Control Room'!$D$9)^217*'Process'!Z219),2),"")</x:f>
      </x:c>
      <x:c r="H219" s="16" t="str">
        <x:f>IF(AND(AND(218&lt;='Control Room'!$B$3,'Control Room'!$D$3="Ready"),6&lt;='Control Room'!$B$2),ROUND(MAX(0,'Process'!AD219*'Control Room'!$H$9*INDEX('Control Room'!$B$19:$H$19,1,WEEKDAY($A219,2))*(1+'Control Room'!$D$9)^217*'Process'!AE219),2),"")</x:f>
      </x:c>
      <x:c r="I219" s="16" t="str">
        <x:f>IF(AND(AND(218&lt;='Control Room'!$B$3,'Control Room'!$D$3="Ready"),7&lt;='Control Room'!$B$2),ROUND(MAX(0,'Process'!AI219*'Control Room'!$H$10*INDEX('Control Room'!$B$19:$H$19,1,WEEKDAY($A219,2))*(1+'Control Room'!$D$9)^217*'Process'!AJ219),2),"")</x:f>
      </x:c>
      <x:c r="J219" s="16" t="str">
        <x:f>IF(AND(AND(218&lt;='Control Room'!$B$3,'Control Room'!$D$3="Ready"),8&lt;='Control Room'!$B$2),ROUND(MAX(0,'Process'!AN219*'Control Room'!$H$11*INDEX('Control Room'!$B$19:$H$19,1,WEEKDAY($A219,2))*(1+'Control Room'!$D$9)^217*'Process'!AO219),2),"")</x:f>
      </x:c>
      <x:c r="K219" s="16" t="str">
        <x:f>IF(AND(AND(218&lt;='Control Room'!$B$3,'Control Room'!$D$3="Ready"),9&lt;='Control Room'!$B$2),ROUND(MAX(0,'Process'!AS219*'Control Room'!$H$12*INDEX('Control Room'!$B$19:$H$19,1,WEEKDAY($A219,2))*(1+'Control Room'!$D$9)^217*'Process'!AT219),2),"")</x:f>
      </x:c>
      <x:c r="L219" s="16" t="str">
        <x:f>IF(AND(AND(218&lt;='Control Room'!$B$3,'Control Room'!$D$3="Ready"),10&lt;='Control Room'!$B$2),ROUND(MAX(0,'Process'!AX219*'Control Room'!$H$13*INDEX('Control Room'!$B$19:$H$19,1,WEEKDAY($A219,2))*(1+'Control Room'!$D$9)^217*'Process'!AY219),2),"")</x:f>
      </x:c>
      <x:c r="M219" s="16" t="str">
        <x:f>IF(AND(AND(218&lt;='Control Room'!$B$3,'Control Room'!$D$3="Ready"),11&lt;='Control Room'!$B$2),ROUND(MAX(0,'Process'!BC219*'Control Room'!$H$14*INDEX('Control Room'!$B$19:$H$19,1,WEEKDAY($A219,2))*(1+'Control Room'!$D$9)^217*'Process'!BD219),2),"")</x:f>
      </x:c>
      <x:c r="N219" s="16" t="str">
        <x:f>IF(AND(AND(218&lt;='Control Room'!$B$3,'Control Room'!$D$3="Ready"),12&lt;='Control Room'!$B$2),ROUND(MAX(0,'Process'!BH219*'Control Room'!$H$15*INDEX('Control Room'!$B$19:$H$19,1,WEEKDAY($A219,2))*(1+'Control Room'!$D$9)^217*'Process'!BI219),2),"")</x:f>
      </x:c>
    </x:row>
    <x:row r="220" ht="21" customHeight="1">
      <x:c r="A220" s="15" t="str">
        <x:f>IF(AND(219&lt;='Control Room'!$B$3,'Control Room'!$D$3="Ready"),'Process'!A220,"")</x:f>
      </x:c>
      <x:c r="B220" s="16" t="str">
        <x:f>IF(A220="","",SUM(C220:N220))</x:f>
      </x:c>
      <x:c r="C220" s="16" t="str">
        <x:f>IF(AND(AND(219&lt;='Control Room'!$B$3,'Control Room'!$D$3="Ready"),1&lt;='Control Room'!$B$2),ROUND(MAX(0,'Process'!E220*'Control Room'!$H$4*INDEX('Control Room'!$B$19:$H$19,1,WEEKDAY($A220,2))*(1+'Control Room'!$D$9)^218*'Process'!F220),2),"")</x:f>
      </x:c>
      <x:c r="D220" s="16" t="str">
        <x:f>IF(AND(AND(219&lt;='Control Room'!$B$3,'Control Room'!$D$3="Ready"),2&lt;='Control Room'!$B$2),ROUND(MAX(0,'Process'!J220*'Control Room'!$H$5*INDEX('Control Room'!$B$19:$H$19,1,WEEKDAY($A220,2))*(1+'Control Room'!$D$9)^218*'Process'!K220),2),"")</x:f>
      </x:c>
      <x:c r="E220" s="16" t="str">
        <x:f>IF(AND(AND(219&lt;='Control Room'!$B$3,'Control Room'!$D$3="Ready"),3&lt;='Control Room'!$B$2),ROUND(MAX(0,'Process'!O220*'Control Room'!$H$6*INDEX('Control Room'!$B$19:$H$19,1,WEEKDAY($A220,2))*(1+'Control Room'!$D$9)^218*'Process'!P220),2),"")</x:f>
      </x:c>
      <x:c r="F220" s="16" t="str">
        <x:f>IF(AND(AND(219&lt;='Control Room'!$B$3,'Control Room'!$D$3="Ready"),4&lt;='Control Room'!$B$2),ROUND(MAX(0,'Process'!T220*'Control Room'!$H$7*INDEX('Control Room'!$B$19:$H$19,1,WEEKDAY($A220,2))*(1+'Control Room'!$D$9)^218*'Process'!U220),2),"")</x:f>
      </x:c>
      <x:c r="G220" s="16" t="str">
        <x:f>IF(AND(AND(219&lt;='Control Room'!$B$3,'Control Room'!$D$3="Ready"),5&lt;='Control Room'!$B$2),ROUND(MAX(0,'Process'!Y220*'Control Room'!$H$8*INDEX('Control Room'!$B$19:$H$19,1,WEEKDAY($A220,2))*(1+'Control Room'!$D$9)^218*'Process'!Z220),2),"")</x:f>
      </x:c>
      <x:c r="H220" s="16" t="str">
        <x:f>IF(AND(AND(219&lt;='Control Room'!$B$3,'Control Room'!$D$3="Ready"),6&lt;='Control Room'!$B$2),ROUND(MAX(0,'Process'!AD220*'Control Room'!$H$9*INDEX('Control Room'!$B$19:$H$19,1,WEEKDAY($A220,2))*(1+'Control Room'!$D$9)^218*'Process'!AE220),2),"")</x:f>
      </x:c>
      <x:c r="I220" s="16" t="str">
        <x:f>IF(AND(AND(219&lt;='Control Room'!$B$3,'Control Room'!$D$3="Ready"),7&lt;='Control Room'!$B$2),ROUND(MAX(0,'Process'!AI220*'Control Room'!$H$10*INDEX('Control Room'!$B$19:$H$19,1,WEEKDAY($A220,2))*(1+'Control Room'!$D$9)^218*'Process'!AJ220),2),"")</x:f>
      </x:c>
      <x:c r="J220" s="16" t="str">
        <x:f>IF(AND(AND(219&lt;='Control Room'!$B$3,'Control Room'!$D$3="Ready"),8&lt;='Control Room'!$B$2),ROUND(MAX(0,'Process'!AN220*'Control Room'!$H$11*INDEX('Control Room'!$B$19:$H$19,1,WEEKDAY($A220,2))*(1+'Control Room'!$D$9)^218*'Process'!AO220),2),"")</x:f>
      </x:c>
      <x:c r="K220" s="16" t="str">
        <x:f>IF(AND(AND(219&lt;='Control Room'!$B$3,'Control Room'!$D$3="Ready"),9&lt;='Control Room'!$B$2),ROUND(MAX(0,'Process'!AS220*'Control Room'!$H$12*INDEX('Control Room'!$B$19:$H$19,1,WEEKDAY($A220,2))*(1+'Control Room'!$D$9)^218*'Process'!AT220),2),"")</x:f>
      </x:c>
      <x:c r="L220" s="16" t="str">
        <x:f>IF(AND(AND(219&lt;='Control Room'!$B$3,'Control Room'!$D$3="Ready"),10&lt;='Control Room'!$B$2),ROUND(MAX(0,'Process'!AX220*'Control Room'!$H$13*INDEX('Control Room'!$B$19:$H$19,1,WEEKDAY($A220,2))*(1+'Control Room'!$D$9)^218*'Process'!AY220),2),"")</x:f>
      </x:c>
      <x:c r="M220" s="16" t="str">
        <x:f>IF(AND(AND(219&lt;='Control Room'!$B$3,'Control Room'!$D$3="Ready"),11&lt;='Control Room'!$B$2),ROUND(MAX(0,'Process'!BC220*'Control Room'!$H$14*INDEX('Control Room'!$B$19:$H$19,1,WEEKDAY($A220,2))*(1+'Control Room'!$D$9)^218*'Process'!BD220),2),"")</x:f>
      </x:c>
      <x:c r="N220" s="16" t="str">
        <x:f>IF(AND(AND(219&lt;='Control Room'!$B$3,'Control Room'!$D$3="Ready"),12&lt;='Control Room'!$B$2),ROUND(MAX(0,'Process'!BH220*'Control Room'!$H$15*INDEX('Control Room'!$B$19:$H$19,1,WEEKDAY($A220,2))*(1+'Control Room'!$D$9)^218*'Process'!BI220),2),"")</x:f>
      </x:c>
    </x:row>
    <x:row r="221" ht="21" customHeight="1">
      <x:c r="A221" s="15" t="str">
        <x:f>IF(AND(220&lt;='Control Room'!$B$3,'Control Room'!$D$3="Ready"),'Process'!A221,"")</x:f>
      </x:c>
      <x:c r="B221" s="16" t="str">
        <x:f>IF(A221="","",SUM(C221:N221))</x:f>
      </x:c>
      <x:c r="C221" s="16" t="str">
        <x:f>IF(AND(AND(220&lt;='Control Room'!$B$3,'Control Room'!$D$3="Ready"),1&lt;='Control Room'!$B$2),ROUND(MAX(0,'Process'!E221*'Control Room'!$H$4*INDEX('Control Room'!$B$19:$H$19,1,WEEKDAY($A221,2))*(1+'Control Room'!$D$9)^219*'Process'!F221),2),"")</x:f>
      </x:c>
      <x:c r="D221" s="16" t="str">
        <x:f>IF(AND(AND(220&lt;='Control Room'!$B$3,'Control Room'!$D$3="Ready"),2&lt;='Control Room'!$B$2),ROUND(MAX(0,'Process'!J221*'Control Room'!$H$5*INDEX('Control Room'!$B$19:$H$19,1,WEEKDAY($A221,2))*(1+'Control Room'!$D$9)^219*'Process'!K221),2),"")</x:f>
      </x:c>
      <x:c r="E221" s="16" t="str">
        <x:f>IF(AND(AND(220&lt;='Control Room'!$B$3,'Control Room'!$D$3="Ready"),3&lt;='Control Room'!$B$2),ROUND(MAX(0,'Process'!O221*'Control Room'!$H$6*INDEX('Control Room'!$B$19:$H$19,1,WEEKDAY($A221,2))*(1+'Control Room'!$D$9)^219*'Process'!P221),2),"")</x:f>
      </x:c>
      <x:c r="F221" s="16" t="str">
        <x:f>IF(AND(AND(220&lt;='Control Room'!$B$3,'Control Room'!$D$3="Ready"),4&lt;='Control Room'!$B$2),ROUND(MAX(0,'Process'!T221*'Control Room'!$H$7*INDEX('Control Room'!$B$19:$H$19,1,WEEKDAY($A221,2))*(1+'Control Room'!$D$9)^219*'Process'!U221),2),"")</x:f>
      </x:c>
      <x:c r="G221" s="16" t="str">
        <x:f>IF(AND(AND(220&lt;='Control Room'!$B$3,'Control Room'!$D$3="Ready"),5&lt;='Control Room'!$B$2),ROUND(MAX(0,'Process'!Y221*'Control Room'!$H$8*INDEX('Control Room'!$B$19:$H$19,1,WEEKDAY($A221,2))*(1+'Control Room'!$D$9)^219*'Process'!Z221),2),"")</x:f>
      </x:c>
      <x:c r="H221" s="16" t="str">
        <x:f>IF(AND(AND(220&lt;='Control Room'!$B$3,'Control Room'!$D$3="Ready"),6&lt;='Control Room'!$B$2),ROUND(MAX(0,'Process'!AD221*'Control Room'!$H$9*INDEX('Control Room'!$B$19:$H$19,1,WEEKDAY($A221,2))*(1+'Control Room'!$D$9)^219*'Process'!AE221),2),"")</x:f>
      </x:c>
      <x:c r="I221" s="16" t="str">
        <x:f>IF(AND(AND(220&lt;='Control Room'!$B$3,'Control Room'!$D$3="Ready"),7&lt;='Control Room'!$B$2),ROUND(MAX(0,'Process'!AI221*'Control Room'!$H$10*INDEX('Control Room'!$B$19:$H$19,1,WEEKDAY($A221,2))*(1+'Control Room'!$D$9)^219*'Process'!AJ221),2),"")</x:f>
      </x:c>
      <x:c r="J221" s="16" t="str">
        <x:f>IF(AND(AND(220&lt;='Control Room'!$B$3,'Control Room'!$D$3="Ready"),8&lt;='Control Room'!$B$2),ROUND(MAX(0,'Process'!AN221*'Control Room'!$H$11*INDEX('Control Room'!$B$19:$H$19,1,WEEKDAY($A221,2))*(1+'Control Room'!$D$9)^219*'Process'!AO221),2),"")</x:f>
      </x:c>
      <x:c r="K221" s="16" t="str">
        <x:f>IF(AND(AND(220&lt;='Control Room'!$B$3,'Control Room'!$D$3="Ready"),9&lt;='Control Room'!$B$2),ROUND(MAX(0,'Process'!AS221*'Control Room'!$H$12*INDEX('Control Room'!$B$19:$H$19,1,WEEKDAY($A221,2))*(1+'Control Room'!$D$9)^219*'Process'!AT221),2),"")</x:f>
      </x:c>
      <x:c r="L221" s="16" t="str">
        <x:f>IF(AND(AND(220&lt;='Control Room'!$B$3,'Control Room'!$D$3="Ready"),10&lt;='Control Room'!$B$2),ROUND(MAX(0,'Process'!AX221*'Control Room'!$H$13*INDEX('Control Room'!$B$19:$H$19,1,WEEKDAY($A221,2))*(1+'Control Room'!$D$9)^219*'Process'!AY221),2),"")</x:f>
      </x:c>
      <x:c r="M221" s="16" t="str">
        <x:f>IF(AND(AND(220&lt;='Control Room'!$B$3,'Control Room'!$D$3="Ready"),11&lt;='Control Room'!$B$2),ROUND(MAX(0,'Process'!BC221*'Control Room'!$H$14*INDEX('Control Room'!$B$19:$H$19,1,WEEKDAY($A221,2))*(1+'Control Room'!$D$9)^219*'Process'!BD221),2),"")</x:f>
      </x:c>
      <x:c r="N221" s="16" t="str">
        <x:f>IF(AND(AND(220&lt;='Control Room'!$B$3,'Control Room'!$D$3="Ready"),12&lt;='Control Room'!$B$2),ROUND(MAX(0,'Process'!BH221*'Control Room'!$H$15*INDEX('Control Room'!$B$19:$H$19,1,WEEKDAY($A221,2))*(1+'Control Room'!$D$9)^219*'Process'!BI221),2),"")</x:f>
      </x:c>
    </x:row>
    <x:row r="222" ht="21" customHeight="1">
      <x:c r="A222" s="15" t="str">
        <x:f>IF(AND(221&lt;='Control Room'!$B$3,'Control Room'!$D$3="Ready"),'Process'!A222,"")</x:f>
      </x:c>
      <x:c r="B222" s="16" t="str">
        <x:f>IF(A222="","",SUM(C222:N222))</x:f>
      </x:c>
      <x:c r="C222" s="16" t="str">
        <x:f>IF(AND(AND(221&lt;='Control Room'!$B$3,'Control Room'!$D$3="Ready"),1&lt;='Control Room'!$B$2),ROUND(MAX(0,'Process'!E222*'Control Room'!$H$4*INDEX('Control Room'!$B$19:$H$19,1,WEEKDAY($A222,2))*(1+'Control Room'!$D$9)^220*'Process'!F222),2),"")</x:f>
      </x:c>
      <x:c r="D222" s="16" t="str">
        <x:f>IF(AND(AND(221&lt;='Control Room'!$B$3,'Control Room'!$D$3="Ready"),2&lt;='Control Room'!$B$2),ROUND(MAX(0,'Process'!J222*'Control Room'!$H$5*INDEX('Control Room'!$B$19:$H$19,1,WEEKDAY($A222,2))*(1+'Control Room'!$D$9)^220*'Process'!K222),2),"")</x:f>
      </x:c>
      <x:c r="E222" s="16" t="str">
        <x:f>IF(AND(AND(221&lt;='Control Room'!$B$3,'Control Room'!$D$3="Ready"),3&lt;='Control Room'!$B$2),ROUND(MAX(0,'Process'!O222*'Control Room'!$H$6*INDEX('Control Room'!$B$19:$H$19,1,WEEKDAY($A222,2))*(1+'Control Room'!$D$9)^220*'Process'!P222),2),"")</x:f>
      </x:c>
      <x:c r="F222" s="16" t="str">
        <x:f>IF(AND(AND(221&lt;='Control Room'!$B$3,'Control Room'!$D$3="Ready"),4&lt;='Control Room'!$B$2),ROUND(MAX(0,'Process'!T222*'Control Room'!$H$7*INDEX('Control Room'!$B$19:$H$19,1,WEEKDAY($A222,2))*(1+'Control Room'!$D$9)^220*'Process'!U222),2),"")</x:f>
      </x:c>
      <x:c r="G222" s="16" t="str">
        <x:f>IF(AND(AND(221&lt;='Control Room'!$B$3,'Control Room'!$D$3="Ready"),5&lt;='Control Room'!$B$2),ROUND(MAX(0,'Process'!Y222*'Control Room'!$H$8*INDEX('Control Room'!$B$19:$H$19,1,WEEKDAY($A222,2))*(1+'Control Room'!$D$9)^220*'Process'!Z222),2),"")</x:f>
      </x:c>
      <x:c r="H222" s="16" t="str">
        <x:f>IF(AND(AND(221&lt;='Control Room'!$B$3,'Control Room'!$D$3="Ready"),6&lt;='Control Room'!$B$2),ROUND(MAX(0,'Process'!AD222*'Control Room'!$H$9*INDEX('Control Room'!$B$19:$H$19,1,WEEKDAY($A222,2))*(1+'Control Room'!$D$9)^220*'Process'!AE222),2),"")</x:f>
      </x:c>
      <x:c r="I222" s="16" t="str">
        <x:f>IF(AND(AND(221&lt;='Control Room'!$B$3,'Control Room'!$D$3="Ready"),7&lt;='Control Room'!$B$2),ROUND(MAX(0,'Process'!AI222*'Control Room'!$H$10*INDEX('Control Room'!$B$19:$H$19,1,WEEKDAY($A222,2))*(1+'Control Room'!$D$9)^220*'Process'!AJ222),2),"")</x:f>
      </x:c>
      <x:c r="J222" s="16" t="str">
        <x:f>IF(AND(AND(221&lt;='Control Room'!$B$3,'Control Room'!$D$3="Ready"),8&lt;='Control Room'!$B$2),ROUND(MAX(0,'Process'!AN222*'Control Room'!$H$11*INDEX('Control Room'!$B$19:$H$19,1,WEEKDAY($A222,2))*(1+'Control Room'!$D$9)^220*'Process'!AO222),2),"")</x:f>
      </x:c>
      <x:c r="K222" s="16" t="str">
        <x:f>IF(AND(AND(221&lt;='Control Room'!$B$3,'Control Room'!$D$3="Ready"),9&lt;='Control Room'!$B$2),ROUND(MAX(0,'Process'!AS222*'Control Room'!$H$12*INDEX('Control Room'!$B$19:$H$19,1,WEEKDAY($A222,2))*(1+'Control Room'!$D$9)^220*'Process'!AT222),2),"")</x:f>
      </x:c>
      <x:c r="L222" s="16" t="str">
        <x:f>IF(AND(AND(221&lt;='Control Room'!$B$3,'Control Room'!$D$3="Ready"),10&lt;='Control Room'!$B$2),ROUND(MAX(0,'Process'!AX222*'Control Room'!$H$13*INDEX('Control Room'!$B$19:$H$19,1,WEEKDAY($A222,2))*(1+'Control Room'!$D$9)^220*'Process'!AY222),2),"")</x:f>
      </x:c>
      <x:c r="M222" s="16" t="str">
        <x:f>IF(AND(AND(221&lt;='Control Room'!$B$3,'Control Room'!$D$3="Ready"),11&lt;='Control Room'!$B$2),ROUND(MAX(0,'Process'!BC222*'Control Room'!$H$14*INDEX('Control Room'!$B$19:$H$19,1,WEEKDAY($A222,2))*(1+'Control Room'!$D$9)^220*'Process'!BD222),2),"")</x:f>
      </x:c>
      <x:c r="N222" s="16" t="str">
        <x:f>IF(AND(AND(221&lt;='Control Room'!$B$3,'Control Room'!$D$3="Ready"),12&lt;='Control Room'!$B$2),ROUND(MAX(0,'Process'!BH222*'Control Room'!$H$15*INDEX('Control Room'!$B$19:$H$19,1,WEEKDAY($A222,2))*(1+'Control Room'!$D$9)^220*'Process'!BI222),2),"")</x:f>
      </x:c>
    </x:row>
    <x:row r="223" ht="21" customHeight="1">
      <x:c r="A223" s="15" t="str">
        <x:f>IF(AND(222&lt;='Control Room'!$B$3,'Control Room'!$D$3="Ready"),'Process'!A223,"")</x:f>
      </x:c>
      <x:c r="B223" s="16" t="str">
        <x:f>IF(A223="","",SUM(C223:N223))</x:f>
      </x:c>
      <x:c r="C223" s="16" t="str">
        <x:f>IF(AND(AND(222&lt;='Control Room'!$B$3,'Control Room'!$D$3="Ready"),1&lt;='Control Room'!$B$2),ROUND(MAX(0,'Process'!E223*'Control Room'!$H$4*INDEX('Control Room'!$B$19:$H$19,1,WEEKDAY($A223,2))*(1+'Control Room'!$D$9)^221*'Process'!F223),2),"")</x:f>
      </x:c>
      <x:c r="D223" s="16" t="str">
        <x:f>IF(AND(AND(222&lt;='Control Room'!$B$3,'Control Room'!$D$3="Ready"),2&lt;='Control Room'!$B$2),ROUND(MAX(0,'Process'!J223*'Control Room'!$H$5*INDEX('Control Room'!$B$19:$H$19,1,WEEKDAY($A223,2))*(1+'Control Room'!$D$9)^221*'Process'!K223),2),"")</x:f>
      </x:c>
      <x:c r="E223" s="16" t="str">
        <x:f>IF(AND(AND(222&lt;='Control Room'!$B$3,'Control Room'!$D$3="Ready"),3&lt;='Control Room'!$B$2),ROUND(MAX(0,'Process'!O223*'Control Room'!$H$6*INDEX('Control Room'!$B$19:$H$19,1,WEEKDAY($A223,2))*(1+'Control Room'!$D$9)^221*'Process'!P223),2),"")</x:f>
      </x:c>
      <x:c r="F223" s="16" t="str">
        <x:f>IF(AND(AND(222&lt;='Control Room'!$B$3,'Control Room'!$D$3="Ready"),4&lt;='Control Room'!$B$2),ROUND(MAX(0,'Process'!T223*'Control Room'!$H$7*INDEX('Control Room'!$B$19:$H$19,1,WEEKDAY($A223,2))*(1+'Control Room'!$D$9)^221*'Process'!U223),2),"")</x:f>
      </x:c>
      <x:c r="G223" s="16" t="str">
        <x:f>IF(AND(AND(222&lt;='Control Room'!$B$3,'Control Room'!$D$3="Ready"),5&lt;='Control Room'!$B$2),ROUND(MAX(0,'Process'!Y223*'Control Room'!$H$8*INDEX('Control Room'!$B$19:$H$19,1,WEEKDAY($A223,2))*(1+'Control Room'!$D$9)^221*'Process'!Z223),2),"")</x:f>
      </x:c>
      <x:c r="H223" s="16" t="str">
        <x:f>IF(AND(AND(222&lt;='Control Room'!$B$3,'Control Room'!$D$3="Ready"),6&lt;='Control Room'!$B$2),ROUND(MAX(0,'Process'!AD223*'Control Room'!$H$9*INDEX('Control Room'!$B$19:$H$19,1,WEEKDAY($A223,2))*(1+'Control Room'!$D$9)^221*'Process'!AE223),2),"")</x:f>
      </x:c>
      <x:c r="I223" s="16" t="str">
        <x:f>IF(AND(AND(222&lt;='Control Room'!$B$3,'Control Room'!$D$3="Ready"),7&lt;='Control Room'!$B$2),ROUND(MAX(0,'Process'!AI223*'Control Room'!$H$10*INDEX('Control Room'!$B$19:$H$19,1,WEEKDAY($A223,2))*(1+'Control Room'!$D$9)^221*'Process'!AJ223),2),"")</x:f>
      </x:c>
      <x:c r="J223" s="16" t="str">
        <x:f>IF(AND(AND(222&lt;='Control Room'!$B$3,'Control Room'!$D$3="Ready"),8&lt;='Control Room'!$B$2),ROUND(MAX(0,'Process'!AN223*'Control Room'!$H$11*INDEX('Control Room'!$B$19:$H$19,1,WEEKDAY($A223,2))*(1+'Control Room'!$D$9)^221*'Process'!AO223),2),"")</x:f>
      </x:c>
      <x:c r="K223" s="16" t="str">
        <x:f>IF(AND(AND(222&lt;='Control Room'!$B$3,'Control Room'!$D$3="Ready"),9&lt;='Control Room'!$B$2),ROUND(MAX(0,'Process'!AS223*'Control Room'!$H$12*INDEX('Control Room'!$B$19:$H$19,1,WEEKDAY($A223,2))*(1+'Control Room'!$D$9)^221*'Process'!AT223),2),"")</x:f>
      </x:c>
      <x:c r="L223" s="16" t="str">
        <x:f>IF(AND(AND(222&lt;='Control Room'!$B$3,'Control Room'!$D$3="Ready"),10&lt;='Control Room'!$B$2),ROUND(MAX(0,'Process'!AX223*'Control Room'!$H$13*INDEX('Control Room'!$B$19:$H$19,1,WEEKDAY($A223,2))*(1+'Control Room'!$D$9)^221*'Process'!AY223),2),"")</x:f>
      </x:c>
      <x:c r="M223" s="16" t="str">
        <x:f>IF(AND(AND(222&lt;='Control Room'!$B$3,'Control Room'!$D$3="Ready"),11&lt;='Control Room'!$B$2),ROUND(MAX(0,'Process'!BC223*'Control Room'!$H$14*INDEX('Control Room'!$B$19:$H$19,1,WEEKDAY($A223,2))*(1+'Control Room'!$D$9)^221*'Process'!BD223),2),"")</x:f>
      </x:c>
      <x:c r="N223" s="16" t="str">
        <x:f>IF(AND(AND(222&lt;='Control Room'!$B$3,'Control Room'!$D$3="Ready"),12&lt;='Control Room'!$B$2),ROUND(MAX(0,'Process'!BH223*'Control Room'!$H$15*INDEX('Control Room'!$B$19:$H$19,1,WEEKDAY($A223,2))*(1+'Control Room'!$D$9)^221*'Process'!BI223),2),"")</x:f>
      </x:c>
    </x:row>
    <x:row r="224" ht="21" customHeight="1">
      <x:c r="A224" s="15" t="str">
        <x:f>IF(AND(223&lt;='Control Room'!$B$3,'Control Room'!$D$3="Ready"),'Process'!A224,"")</x:f>
      </x:c>
      <x:c r="B224" s="16" t="str">
        <x:f>IF(A224="","",SUM(C224:N224))</x:f>
      </x:c>
      <x:c r="C224" s="16" t="str">
        <x:f>IF(AND(AND(223&lt;='Control Room'!$B$3,'Control Room'!$D$3="Ready"),1&lt;='Control Room'!$B$2),ROUND(MAX(0,'Process'!E224*'Control Room'!$H$4*INDEX('Control Room'!$B$19:$H$19,1,WEEKDAY($A224,2))*(1+'Control Room'!$D$9)^222*'Process'!F224),2),"")</x:f>
      </x:c>
      <x:c r="D224" s="16" t="str">
        <x:f>IF(AND(AND(223&lt;='Control Room'!$B$3,'Control Room'!$D$3="Ready"),2&lt;='Control Room'!$B$2),ROUND(MAX(0,'Process'!J224*'Control Room'!$H$5*INDEX('Control Room'!$B$19:$H$19,1,WEEKDAY($A224,2))*(1+'Control Room'!$D$9)^222*'Process'!K224),2),"")</x:f>
      </x:c>
      <x:c r="E224" s="16" t="str">
        <x:f>IF(AND(AND(223&lt;='Control Room'!$B$3,'Control Room'!$D$3="Ready"),3&lt;='Control Room'!$B$2),ROUND(MAX(0,'Process'!O224*'Control Room'!$H$6*INDEX('Control Room'!$B$19:$H$19,1,WEEKDAY($A224,2))*(1+'Control Room'!$D$9)^222*'Process'!P224),2),"")</x:f>
      </x:c>
      <x:c r="F224" s="16" t="str">
        <x:f>IF(AND(AND(223&lt;='Control Room'!$B$3,'Control Room'!$D$3="Ready"),4&lt;='Control Room'!$B$2),ROUND(MAX(0,'Process'!T224*'Control Room'!$H$7*INDEX('Control Room'!$B$19:$H$19,1,WEEKDAY($A224,2))*(1+'Control Room'!$D$9)^222*'Process'!U224),2),"")</x:f>
      </x:c>
      <x:c r="G224" s="16" t="str">
        <x:f>IF(AND(AND(223&lt;='Control Room'!$B$3,'Control Room'!$D$3="Ready"),5&lt;='Control Room'!$B$2),ROUND(MAX(0,'Process'!Y224*'Control Room'!$H$8*INDEX('Control Room'!$B$19:$H$19,1,WEEKDAY($A224,2))*(1+'Control Room'!$D$9)^222*'Process'!Z224),2),"")</x:f>
      </x:c>
      <x:c r="H224" s="16" t="str">
        <x:f>IF(AND(AND(223&lt;='Control Room'!$B$3,'Control Room'!$D$3="Ready"),6&lt;='Control Room'!$B$2),ROUND(MAX(0,'Process'!AD224*'Control Room'!$H$9*INDEX('Control Room'!$B$19:$H$19,1,WEEKDAY($A224,2))*(1+'Control Room'!$D$9)^222*'Process'!AE224),2),"")</x:f>
      </x:c>
      <x:c r="I224" s="16" t="str">
        <x:f>IF(AND(AND(223&lt;='Control Room'!$B$3,'Control Room'!$D$3="Ready"),7&lt;='Control Room'!$B$2),ROUND(MAX(0,'Process'!AI224*'Control Room'!$H$10*INDEX('Control Room'!$B$19:$H$19,1,WEEKDAY($A224,2))*(1+'Control Room'!$D$9)^222*'Process'!AJ224),2),"")</x:f>
      </x:c>
      <x:c r="J224" s="16" t="str">
        <x:f>IF(AND(AND(223&lt;='Control Room'!$B$3,'Control Room'!$D$3="Ready"),8&lt;='Control Room'!$B$2),ROUND(MAX(0,'Process'!AN224*'Control Room'!$H$11*INDEX('Control Room'!$B$19:$H$19,1,WEEKDAY($A224,2))*(1+'Control Room'!$D$9)^222*'Process'!AO224),2),"")</x:f>
      </x:c>
      <x:c r="K224" s="16" t="str">
        <x:f>IF(AND(AND(223&lt;='Control Room'!$B$3,'Control Room'!$D$3="Ready"),9&lt;='Control Room'!$B$2),ROUND(MAX(0,'Process'!AS224*'Control Room'!$H$12*INDEX('Control Room'!$B$19:$H$19,1,WEEKDAY($A224,2))*(1+'Control Room'!$D$9)^222*'Process'!AT224),2),"")</x:f>
      </x:c>
      <x:c r="L224" s="16" t="str">
        <x:f>IF(AND(AND(223&lt;='Control Room'!$B$3,'Control Room'!$D$3="Ready"),10&lt;='Control Room'!$B$2),ROUND(MAX(0,'Process'!AX224*'Control Room'!$H$13*INDEX('Control Room'!$B$19:$H$19,1,WEEKDAY($A224,2))*(1+'Control Room'!$D$9)^222*'Process'!AY224),2),"")</x:f>
      </x:c>
      <x:c r="M224" s="16" t="str">
        <x:f>IF(AND(AND(223&lt;='Control Room'!$B$3,'Control Room'!$D$3="Ready"),11&lt;='Control Room'!$B$2),ROUND(MAX(0,'Process'!BC224*'Control Room'!$H$14*INDEX('Control Room'!$B$19:$H$19,1,WEEKDAY($A224,2))*(1+'Control Room'!$D$9)^222*'Process'!BD224),2),"")</x:f>
      </x:c>
      <x:c r="N224" s="16" t="str">
        <x:f>IF(AND(AND(223&lt;='Control Room'!$B$3,'Control Room'!$D$3="Ready"),12&lt;='Control Room'!$B$2),ROUND(MAX(0,'Process'!BH224*'Control Room'!$H$15*INDEX('Control Room'!$B$19:$H$19,1,WEEKDAY($A224,2))*(1+'Control Room'!$D$9)^222*'Process'!BI224),2),"")</x:f>
      </x:c>
    </x:row>
    <x:row r="225" ht="21" customHeight="1">
      <x:c r="A225" s="15" t="str">
        <x:f>IF(AND(224&lt;='Control Room'!$B$3,'Control Room'!$D$3="Ready"),'Process'!A225,"")</x:f>
      </x:c>
      <x:c r="B225" s="16" t="str">
        <x:f>IF(A225="","",SUM(C225:N225))</x:f>
      </x:c>
      <x:c r="C225" s="16" t="str">
        <x:f>IF(AND(AND(224&lt;='Control Room'!$B$3,'Control Room'!$D$3="Ready"),1&lt;='Control Room'!$B$2),ROUND(MAX(0,'Process'!E225*'Control Room'!$H$4*INDEX('Control Room'!$B$19:$H$19,1,WEEKDAY($A225,2))*(1+'Control Room'!$D$9)^223*'Process'!F225),2),"")</x:f>
      </x:c>
      <x:c r="D225" s="16" t="str">
        <x:f>IF(AND(AND(224&lt;='Control Room'!$B$3,'Control Room'!$D$3="Ready"),2&lt;='Control Room'!$B$2),ROUND(MAX(0,'Process'!J225*'Control Room'!$H$5*INDEX('Control Room'!$B$19:$H$19,1,WEEKDAY($A225,2))*(1+'Control Room'!$D$9)^223*'Process'!K225),2),"")</x:f>
      </x:c>
      <x:c r="E225" s="16" t="str">
        <x:f>IF(AND(AND(224&lt;='Control Room'!$B$3,'Control Room'!$D$3="Ready"),3&lt;='Control Room'!$B$2),ROUND(MAX(0,'Process'!O225*'Control Room'!$H$6*INDEX('Control Room'!$B$19:$H$19,1,WEEKDAY($A225,2))*(1+'Control Room'!$D$9)^223*'Process'!P225),2),"")</x:f>
      </x:c>
      <x:c r="F225" s="16" t="str">
        <x:f>IF(AND(AND(224&lt;='Control Room'!$B$3,'Control Room'!$D$3="Ready"),4&lt;='Control Room'!$B$2),ROUND(MAX(0,'Process'!T225*'Control Room'!$H$7*INDEX('Control Room'!$B$19:$H$19,1,WEEKDAY($A225,2))*(1+'Control Room'!$D$9)^223*'Process'!U225),2),"")</x:f>
      </x:c>
      <x:c r="G225" s="16" t="str">
        <x:f>IF(AND(AND(224&lt;='Control Room'!$B$3,'Control Room'!$D$3="Ready"),5&lt;='Control Room'!$B$2),ROUND(MAX(0,'Process'!Y225*'Control Room'!$H$8*INDEX('Control Room'!$B$19:$H$19,1,WEEKDAY($A225,2))*(1+'Control Room'!$D$9)^223*'Process'!Z225),2),"")</x:f>
      </x:c>
      <x:c r="H225" s="16" t="str">
        <x:f>IF(AND(AND(224&lt;='Control Room'!$B$3,'Control Room'!$D$3="Ready"),6&lt;='Control Room'!$B$2),ROUND(MAX(0,'Process'!AD225*'Control Room'!$H$9*INDEX('Control Room'!$B$19:$H$19,1,WEEKDAY($A225,2))*(1+'Control Room'!$D$9)^223*'Process'!AE225),2),"")</x:f>
      </x:c>
      <x:c r="I225" s="16" t="str">
        <x:f>IF(AND(AND(224&lt;='Control Room'!$B$3,'Control Room'!$D$3="Ready"),7&lt;='Control Room'!$B$2),ROUND(MAX(0,'Process'!AI225*'Control Room'!$H$10*INDEX('Control Room'!$B$19:$H$19,1,WEEKDAY($A225,2))*(1+'Control Room'!$D$9)^223*'Process'!AJ225),2),"")</x:f>
      </x:c>
      <x:c r="J225" s="16" t="str">
        <x:f>IF(AND(AND(224&lt;='Control Room'!$B$3,'Control Room'!$D$3="Ready"),8&lt;='Control Room'!$B$2),ROUND(MAX(0,'Process'!AN225*'Control Room'!$H$11*INDEX('Control Room'!$B$19:$H$19,1,WEEKDAY($A225,2))*(1+'Control Room'!$D$9)^223*'Process'!AO225),2),"")</x:f>
      </x:c>
      <x:c r="K225" s="16" t="str">
        <x:f>IF(AND(AND(224&lt;='Control Room'!$B$3,'Control Room'!$D$3="Ready"),9&lt;='Control Room'!$B$2),ROUND(MAX(0,'Process'!AS225*'Control Room'!$H$12*INDEX('Control Room'!$B$19:$H$19,1,WEEKDAY($A225,2))*(1+'Control Room'!$D$9)^223*'Process'!AT225),2),"")</x:f>
      </x:c>
      <x:c r="L225" s="16" t="str">
        <x:f>IF(AND(AND(224&lt;='Control Room'!$B$3,'Control Room'!$D$3="Ready"),10&lt;='Control Room'!$B$2),ROUND(MAX(0,'Process'!AX225*'Control Room'!$H$13*INDEX('Control Room'!$B$19:$H$19,1,WEEKDAY($A225,2))*(1+'Control Room'!$D$9)^223*'Process'!AY225),2),"")</x:f>
      </x:c>
      <x:c r="M225" s="16" t="str">
        <x:f>IF(AND(AND(224&lt;='Control Room'!$B$3,'Control Room'!$D$3="Ready"),11&lt;='Control Room'!$B$2),ROUND(MAX(0,'Process'!BC225*'Control Room'!$H$14*INDEX('Control Room'!$B$19:$H$19,1,WEEKDAY($A225,2))*(1+'Control Room'!$D$9)^223*'Process'!BD225),2),"")</x:f>
      </x:c>
      <x:c r="N225" s="16" t="str">
        <x:f>IF(AND(AND(224&lt;='Control Room'!$B$3,'Control Room'!$D$3="Ready"),12&lt;='Control Room'!$B$2),ROUND(MAX(0,'Process'!BH225*'Control Room'!$H$15*INDEX('Control Room'!$B$19:$H$19,1,WEEKDAY($A225,2))*(1+'Control Room'!$D$9)^223*'Process'!BI225),2),"")</x:f>
      </x:c>
    </x:row>
    <x:row r="226" ht="21" customHeight="1">
      <x:c r="A226" s="15" t="str">
        <x:f>IF(AND(225&lt;='Control Room'!$B$3,'Control Room'!$D$3="Ready"),'Process'!A226,"")</x:f>
      </x:c>
      <x:c r="B226" s="16" t="str">
        <x:f>IF(A226="","",SUM(C226:N226))</x:f>
      </x:c>
      <x:c r="C226" s="16" t="str">
        <x:f>IF(AND(AND(225&lt;='Control Room'!$B$3,'Control Room'!$D$3="Ready"),1&lt;='Control Room'!$B$2),ROUND(MAX(0,'Process'!E226*'Control Room'!$H$4*INDEX('Control Room'!$B$19:$H$19,1,WEEKDAY($A226,2))*(1+'Control Room'!$D$9)^224*'Process'!F226),2),"")</x:f>
      </x:c>
      <x:c r="D226" s="16" t="str">
        <x:f>IF(AND(AND(225&lt;='Control Room'!$B$3,'Control Room'!$D$3="Ready"),2&lt;='Control Room'!$B$2),ROUND(MAX(0,'Process'!J226*'Control Room'!$H$5*INDEX('Control Room'!$B$19:$H$19,1,WEEKDAY($A226,2))*(1+'Control Room'!$D$9)^224*'Process'!K226),2),"")</x:f>
      </x:c>
      <x:c r="E226" s="16" t="str">
        <x:f>IF(AND(AND(225&lt;='Control Room'!$B$3,'Control Room'!$D$3="Ready"),3&lt;='Control Room'!$B$2),ROUND(MAX(0,'Process'!O226*'Control Room'!$H$6*INDEX('Control Room'!$B$19:$H$19,1,WEEKDAY($A226,2))*(1+'Control Room'!$D$9)^224*'Process'!P226),2),"")</x:f>
      </x:c>
      <x:c r="F226" s="16" t="str">
        <x:f>IF(AND(AND(225&lt;='Control Room'!$B$3,'Control Room'!$D$3="Ready"),4&lt;='Control Room'!$B$2),ROUND(MAX(0,'Process'!T226*'Control Room'!$H$7*INDEX('Control Room'!$B$19:$H$19,1,WEEKDAY($A226,2))*(1+'Control Room'!$D$9)^224*'Process'!U226),2),"")</x:f>
      </x:c>
      <x:c r="G226" s="16" t="str">
        <x:f>IF(AND(AND(225&lt;='Control Room'!$B$3,'Control Room'!$D$3="Ready"),5&lt;='Control Room'!$B$2),ROUND(MAX(0,'Process'!Y226*'Control Room'!$H$8*INDEX('Control Room'!$B$19:$H$19,1,WEEKDAY($A226,2))*(1+'Control Room'!$D$9)^224*'Process'!Z226),2),"")</x:f>
      </x:c>
      <x:c r="H226" s="16" t="str">
        <x:f>IF(AND(AND(225&lt;='Control Room'!$B$3,'Control Room'!$D$3="Ready"),6&lt;='Control Room'!$B$2),ROUND(MAX(0,'Process'!AD226*'Control Room'!$H$9*INDEX('Control Room'!$B$19:$H$19,1,WEEKDAY($A226,2))*(1+'Control Room'!$D$9)^224*'Process'!AE226),2),"")</x:f>
      </x:c>
      <x:c r="I226" s="16" t="str">
        <x:f>IF(AND(AND(225&lt;='Control Room'!$B$3,'Control Room'!$D$3="Ready"),7&lt;='Control Room'!$B$2),ROUND(MAX(0,'Process'!AI226*'Control Room'!$H$10*INDEX('Control Room'!$B$19:$H$19,1,WEEKDAY($A226,2))*(1+'Control Room'!$D$9)^224*'Process'!AJ226),2),"")</x:f>
      </x:c>
      <x:c r="J226" s="16" t="str">
        <x:f>IF(AND(AND(225&lt;='Control Room'!$B$3,'Control Room'!$D$3="Ready"),8&lt;='Control Room'!$B$2),ROUND(MAX(0,'Process'!AN226*'Control Room'!$H$11*INDEX('Control Room'!$B$19:$H$19,1,WEEKDAY($A226,2))*(1+'Control Room'!$D$9)^224*'Process'!AO226),2),"")</x:f>
      </x:c>
      <x:c r="K226" s="16" t="str">
        <x:f>IF(AND(AND(225&lt;='Control Room'!$B$3,'Control Room'!$D$3="Ready"),9&lt;='Control Room'!$B$2),ROUND(MAX(0,'Process'!AS226*'Control Room'!$H$12*INDEX('Control Room'!$B$19:$H$19,1,WEEKDAY($A226,2))*(1+'Control Room'!$D$9)^224*'Process'!AT226),2),"")</x:f>
      </x:c>
      <x:c r="L226" s="16" t="str">
        <x:f>IF(AND(AND(225&lt;='Control Room'!$B$3,'Control Room'!$D$3="Ready"),10&lt;='Control Room'!$B$2),ROUND(MAX(0,'Process'!AX226*'Control Room'!$H$13*INDEX('Control Room'!$B$19:$H$19,1,WEEKDAY($A226,2))*(1+'Control Room'!$D$9)^224*'Process'!AY226),2),"")</x:f>
      </x:c>
      <x:c r="M226" s="16" t="str">
        <x:f>IF(AND(AND(225&lt;='Control Room'!$B$3,'Control Room'!$D$3="Ready"),11&lt;='Control Room'!$B$2),ROUND(MAX(0,'Process'!BC226*'Control Room'!$H$14*INDEX('Control Room'!$B$19:$H$19,1,WEEKDAY($A226,2))*(1+'Control Room'!$D$9)^224*'Process'!BD226),2),"")</x:f>
      </x:c>
      <x:c r="N226" s="16" t="str">
        <x:f>IF(AND(AND(225&lt;='Control Room'!$B$3,'Control Room'!$D$3="Ready"),12&lt;='Control Room'!$B$2),ROUND(MAX(0,'Process'!BH226*'Control Room'!$H$15*INDEX('Control Room'!$B$19:$H$19,1,WEEKDAY($A226,2))*(1+'Control Room'!$D$9)^224*'Process'!BI226),2),"")</x:f>
      </x:c>
    </x:row>
    <x:row r="227" ht="21" customHeight="1">
      <x:c r="A227" s="15" t="str">
        <x:f>IF(AND(226&lt;='Control Room'!$B$3,'Control Room'!$D$3="Ready"),'Process'!A227,"")</x:f>
      </x:c>
      <x:c r="B227" s="16" t="str">
        <x:f>IF(A227="","",SUM(C227:N227))</x:f>
      </x:c>
      <x:c r="C227" s="16" t="str">
        <x:f>IF(AND(AND(226&lt;='Control Room'!$B$3,'Control Room'!$D$3="Ready"),1&lt;='Control Room'!$B$2),ROUND(MAX(0,'Process'!E227*'Control Room'!$H$4*INDEX('Control Room'!$B$19:$H$19,1,WEEKDAY($A227,2))*(1+'Control Room'!$D$9)^225*'Process'!F227),2),"")</x:f>
      </x:c>
      <x:c r="D227" s="16" t="str">
        <x:f>IF(AND(AND(226&lt;='Control Room'!$B$3,'Control Room'!$D$3="Ready"),2&lt;='Control Room'!$B$2),ROUND(MAX(0,'Process'!J227*'Control Room'!$H$5*INDEX('Control Room'!$B$19:$H$19,1,WEEKDAY($A227,2))*(1+'Control Room'!$D$9)^225*'Process'!K227),2),"")</x:f>
      </x:c>
      <x:c r="E227" s="16" t="str">
        <x:f>IF(AND(AND(226&lt;='Control Room'!$B$3,'Control Room'!$D$3="Ready"),3&lt;='Control Room'!$B$2),ROUND(MAX(0,'Process'!O227*'Control Room'!$H$6*INDEX('Control Room'!$B$19:$H$19,1,WEEKDAY($A227,2))*(1+'Control Room'!$D$9)^225*'Process'!P227),2),"")</x:f>
      </x:c>
      <x:c r="F227" s="16" t="str">
        <x:f>IF(AND(AND(226&lt;='Control Room'!$B$3,'Control Room'!$D$3="Ready"),4&lt;='Control Room'!$B$2),ROUND(MAX(0,'Process'!T227*'Control Room'!$H$7*INDEX('Control Room'!$B$19:$H$19,1,WEEKDAY($A227,2))*(1+'Control Room'!$D$9)^225*'Process'!U227),2),"")</x:f>
      </x:c>
      <x:c r="G227" s="16" t="str">
        <x:f>IF(AND(AND(226&lt;='Control Room'!$B$3,'Control Room'!$D$3="Ready"),5&lt;='Control Room'!$B$2),ROUND(MAX(0,'Process'!Y227*'Control Room'!$H$8*INDEX('Control Room'!$B$19:$H$19,1,WEEKDAY($A227,2))*(1+'Control Room'!$D$9)^225*'Process'!Z227),2),"")</x:f>
      </x:c>
      <x:c r="H227" s="16" t="str">
        <x:f>IF(AND(AND(226&lt;='Control Room'!$B$3,'Control Room'!$D$3="Ready"),6&lt;='Control Room'!$B$2),ROUND(MAX(0,'Process'!AD227*'Control Room'!$H$9*INDEX('Control Room'!$B$19:$H$19,1,WEEKDAY($A227,2))*(1+'Control Room'!$D$9)^225*'Process'!AE227),2),"")</x:f>
      </x:c>
      <x:c r="I227" s="16" t="str">
        <x:f>IF(AND(AND(226&lt;='Control Room'!$B$3,'Control Room'!$D$3="Ready"),7&lt;='Control Room'!$B$2),ROUND(MAX(0,'Process'!AI227*'Control Room'!$H$10*INDEX('Control Room'!$B$19:$H$19,1,WEEKDAY($A227,2))*(1+'Control Room'!$D$9)^225*'Process'!AJ227),2),"")</x:f>
      </x:c>
      <x:c r="J227" s="16" t="str">
        <x:f>IF(AND(AND(226&lt;='Control Room'!$B$3,'Control Room'!$D$3="Ready"),8&lt;='Control Room'!$B$2),ROUND(MAX(0,'Process'!AN227*'Control Room'!$H$11*INDEX('Control Room'!$B$19:$H$19,1,WEEKDAY($A227,2))*(1+'Control Room'!$D$9)^225*'Process'!AO227),2),"")</x:f>
      </x:c>
      <x:c r="K227" s="16" t="str">
        <x:f>IF(AND(AND(226&lt;='Control Room'!$B$3,'Control Room'!$D$3="Ready"),9&lt;='Control Room'!$B$2),ROUND(MAX(0,'Process'!AS227*'Control Room'!$H$12*INDEX('Control Room'!$B$19:$H$19,1,WEEKDAY($A227,2))*(1+'Control Room'!$D$9)^225*'Process'!AT227),2),"")</x:f>
      </x:c>
      <x:c r="L227" s="16" t="str">
        <x:f>IF(AND(AND(226&lt;='Control Room'!$B$3,'Control Room'!$D$3="Ready"),10&lt;='Control Room'!$B$2),ROUND(MAX(0,'Process'!AX227*'Control Room'!$H$13*INDEX('Control Room'!$B$19:$H$19,1,WEEKDAY($A227,2))*(1+'Control Room'!$D$9)^225*'Process'!AY227),2),"")</x:f>
      </x:c>
      <x:c r="M227" s="16" t="str">
        <x:f>IF(AND(AND(226&lt;='Control Room'!$B$3,'Control Room'!$D$3="Ready"),11&lt;='Control Room'!$B$2),ROUND(MAX(0,'Process'!BC227*'Control Room'!$H$14*INDEX('Control Room'!$B$19:$H$19,1,WEEKDAY($A227,2))*(1+'Control Room'!$D$9)^225*'Process'!BD227),2),"")</x:f>
      </x:c>
      <x:c r="N227" s="16" t="str">
        <x:f>IF(AND(AND(226&lt;='Control Room'!$B$3,'Control Room'!$D$3="Ready"),12&lt;='Control Room'!$B$2),ROUND(MAX(0,'Process'!BH227*'Control Room'!$H$15*INDEX('Control Room'!$B$19:$H$19,1,WEEKDAY($A227,2))*(1+'Control Room'!$D$9)^225*'Process'!BI227),2),"")</x:f>
      </x:c>
    </x:row>
    <x:row r="228" ht="21" customHeight="1">
      <x:c r="A228" s="15" t="str">
        <x:f>IF(AND(227&lt;='Control Room'!$B$3,'Control Room'!$D$3="Ready"),'Process'!A228,"")</x:f>
      </x:c>
      <x:c r="B228" s="16" t="str">
        <x:f>IF(A228="","",SUM(C228:N228))</x:f>
      </x:c>
      <x:c r="C228" s="16" t="str">
        <x:f>IF(AND(AND(227&lt;='Control Room'!$B$3,'Control Room'!$D$3="Ready"),1&lt;='Control Room'!$B$2),ROUND(MAX(0,'Process'!E228*'Control Room'!$H$4*INDEX('Control Room'!$B$19:$H$19,1,WEEKDAY($A228,2))*(1+'Control Room'!$D$9)^226*'Process'!F228),2),"")</x:f>
      </x:c>
      <x:c r="D228" s="16" t="str">
        <x:f>IF(AND(AND(227&lt;='Control Room'!$B$3,'Control Room'!$D$3="Ready"),2&lt;='Control Room'!$B$2),ROUND(MAX(0,'Process'!J228*'Control Room'!$H$5*INDEX('Control Room'!$B$19:$H$19,1,WEEKDAY($A228,2))*(1+'Control Room'!$D$9)^226*'Process'!K228),2),"")</x:f>
      </x:c>
      <x:c r="E228" s="16" t="str">
        <x:f>IF(AND(AND(227&lt;='Control Room'!$B$3,'Control Room'!$D$3="Ready"),3&lt;='Control Room'!$B$2),ROUND(MAX(0,'Process'!O228*'Control Room'!$H$6*INDEX('Control Room'!$B$19:$H$19,1,WEEKDAY($A228,2))*(1+'Control Room'!$D$9)^226*'Process'!P228),2),"")</x:f>
      </x:c>
      <x:c r="F228" s="16" t="str">
        <x:f>IF(AND(AND(227&lt;='Control Room'!$B$3,'Control Room'!$D$3="Ready"),4&lt;='Control Room'!$B$2),ROUND(MAX(0,'Process'!T228*'Control Room'!$H$7*INDEX('Control Room'!$B$19:$H$19,1,WEEKDAY($A228,2))*(1+'Control Room'!$D$9)^226*'Process'!U228),2),"")</x:f>
      </x:c>
      <x:c r="G228" s="16" t="str">
        <x:f>IF(AND(AND(227&lt;='Control Room'!$B$3,'Control Room'!$D$3="Ready"),5&lt;='Control Room'!$B$2),ROUND(MAX(0,'Process'!Y228*'Control Room'!$H$8*INDEX('Control Room'!$B$19:$H$19,1,WEEKDAY($A228,2))*(1+'Control Room'!$D$9)^226*'Process'!Z228),2),"")</x:f>
      </x:c>
      <x:c r="H228" s="16" t="str">
        <x:f>IF(AND(AND(227&lt;='Control Room'!$B$3,'Control Room'!$D$3="Ready"),6&lt;='Control Room'!$B$2),ROUND(MAX(0,'Process'!AD228*'Control Room'!$H$9*INDEX('Control Room'!$B$19:$H$19,1,WEEKDAY($A228,2))*(1+'Control Room'!$D$9)^226*'Process'!AE228),2),"")</x:f>
      </x:c>
      <x:c r="I228" s="16" t="str">
        <x:f>IF(AND(AND(227&lt;='Control Room'!$B$3,'Control Room'!$D$3="Ready"),7&lt;='Control Room'!$B$2),ROUND(MAX(0,'Process'!AI228*'Control Room'!$H$10*INDEX('Control Room'!$B$19:$H$19,1,WEEKDAY($A228,2))*(1+'Control Room'!$D$9)^226*'Process'!AJ228),2),"")</x:f>
      </x:c>
      <x:c r="J228" s="16" t="str">
        <x:f>IF(AND(AND(227&lt;='Control Room'!$B$3,'Control Room'!$D$3="Ready"),8&lt;='Control Room'!$B$2),ROUND(MAX(0,'Process'!AN228*'Control Room'!$H$11*INDEX('Control Room'!$B$19:$H$19,1,WEEKDAY($A228,2))*(1+'Control Room'!$D$9)^226*'Process'!AO228),2),"")</x:f>
      </x:c>
      <x:c r="K228" s="16" t="str">
        <x:f>IF(AND(AND(227&lt;='Control Room'!$B$3,'Control Room'!$D$3="Ready"),9&lt;='Control Room'!$B$2),ROUND(MAX(0,'Process'!AS228*'Control Room'!$H$12*INDEX('Control Room'!$B$19:$H$19,1,WEEKDAY($A228,2))*(1+'Control Room'!$D$9)^226*'Process'!AT228),2),"")</x:f>
      </x:c>
      <x:c r="L228" s="16" t="str">
        <x:f>IF(AND(AND(227&lt;='Control Room'!$B$3,'Control Room'!$D$3="Ready"),10&lt;='Control Room'!$B$2),ROUND(MAX(0,'Process'!AX228*'Control Room'!$H$13*INDEX('Control Room'!$B$19:$H$19,1,WEEKDAY($A228,2))*(1+'Control Room'!$D$9)^226*'Process'!AY228),2),"")</x:f>
      </x:c>
      <x:c r="M228" s="16" t="str">
        <x:f>IF(AND(AND(227&lt;='Control Room'!$B$3,'Control Room'!$D$3="Ready"),11&lt;='Control Room'!$B$2),ROUND(MAX(0,'Process'!BC228*'Control Room'!$H$14*INDEX('Control Room'!$B$19:$H$19,1,WEEKDAY($A228,2))*(1+'Control Room'!$D$9)^226*'Process'!BD228),2),"")</x:f>
      </x:c>
      <x:c r="N228" s="16" t="str">
        <x:f>IF(AND(AND(227&lt;='Control Room'!$B$3,'Control Room'!$D$3="Ready"),12&lt;='Control Room'!$B$2),ROUND(MAX(0,'Process'!BH228*'Control Room'!$H$15*INDEX('Control Room'!$B$19:$H$19,1,WEEKDAY($A228,2))*(1+'Control Room'!$D$9)^226*'Process'!BI228),2),"")</x:f>
      </x:c>
    </x:row>
    <x:row r="229" ht="21" customHeight="1">
      <x:c r="A229" s="15" t="str">
        <x:f>IF(AND(228&lt;='Control Room'!$B$3,'Control Room'!$D$3="Ready"),'Process'!A229,"")</x:f>
      </x:c>
      <x:c r="B229" s="16" t="str">
        <x:f>IF(A229="","",SUM(C229:N229))</x:f>
      </x:c>
      <x:c r="C229" s="16" t="str">
        <x:f>IF(AND(AND(228&lt;='Control Room'!$B$3,'Control Room'!$D$3="Ready"),1&lt;='Control Room'!$B$2),ROUND(MAX(0,'Process'!E229*'Control Room'!$H$4*INDEX('Control Room'!$B$19:$H$19,1,WEEKDAY($A229,2))*(1+'Control Room'!$D$9)^227*'Process'!F229),2),"")</x:f>
      </x:c>
      <x:c r="D229" s="16" t="str">
        <x:f>IF(AND(AND(228&lt;='Control Room'!$B$3,'Control Room'!$D$3="Ready"),2&lt;='Control Room'!$B$2),ROUND(MAX(0,'Process'!J229*'Control Room'!$H$5*INDEX('Control Room'!$B$19:$H$19,1,WEEKDAY($A229,2))*(1+'Control Room'!$D$9)^227*'Process'!K229),2),"")</x:f>
      </x:c>
      <x:c r="E229" s="16" t="str">
        <x:f>IF(AND(AND(228&lt;='Control Room'!$B$3,'Control Room'!$D$3="Ready"),3&lt;='Control Room'!$B$2),ROUND(MAX(0,'Process'!O229*'Control Room'!$H$6*INDEX('Control Room'!$B$19:$H$19,1,WEEKDAY($A229,2))*(1+'Control Room'!$D$9)^227*'Process'!P229),2),"")</x:f>
      </x:c>
      <x:c r="F229" s="16" t="str">
        <x:f>IF(AND(AND(228&lt;='Control Room'!$B$3,'Control Room'!$D$3="Ready"),4&lt;='Control Room'!$B$2),ROUND(MAX(0,'Process'!T229*'Control Room'!$H$7*INDEX('Control Room'!$B$19:$H$19,1,WEEKDAY($A229,2))*(1+'Control Room'!$D$9)^227*'Process'!U229),2),"")</x:f>
      </x:c>
      <x:c r="G229" s="16" t="str">
        <x:f>IF(AND(AND(228&lt;='Control Room'!$B$3,'Control Room'!$D$3="Ready"),5&lt;='Control Room'!$B$2),ROUND(MAX(0,'Process'!Y229*'Control Room'!$H$8*INDEX('Control Room'!$B$19:$H$19,1,WEEKDAY($A229,2))*(1+'Control Room'!$D$9)^227*'Process'!Z229),2),"")</x:f>
      </x:c>
      <x:c r="H229" s="16" t="str">
        <x:f>IF(AND(AND(228&lt;='Control Room'!$B$3,'Control Room'!$D$3="Ready"),6&lt;='Control Room'!$B$2),ROUND(MAX(0,'Process'!AD229*'Control Room'!$H$9*INDEX('Control Room'!$B$19:$H$19,1,WEEKDAY($A229,2))*(1+'Control Room'!$D$9)^227*'Process'!AE229),2),"")</x:f>
      </x:c>
      <x:c r="I229" s="16" t="str">
        <x:f>IF(AND(AND(228&lt;='Control Room'!$B$3,'Control Room'!$D$3="Ready"),7&lt;='Control Room'!$B$2),ROUND(MAX(0,'Process'!AI229*'Control Room'!$H$10*INDEX('Control Room'!$B$19:$H$19,1,WEEKDAY($A229,2))*(1+'Control Room'!$D$9)^227*'Process'!AJ229),2),"")</x:f>
      </x:c>
      <x:c r="J229" s="16" t="str">
        <x:f>IF(AND(AND(228&lt;='Control Room'!$B$3,'Control Room'!$D$3="Ready"),8&lt;='Control Room'!$B$2),ROUND(MAX(0,'Process'!AN229*'Control Room'!$H$11*INDEX('Control Room'!$B$19:$H$19,1,WEEKDAY($A229,2))*(1+'Control Room'!$D$9)^227*'Process'!AO229),2),"")</x:f>
      </x:c>
      <x:c r="K229" s="16" t="str">
        <x:f>IF(AND(AND(228&lt;='Control Room'!$B$3,'Control Room'!$D$3="Ready"),9&lt;='Control Room'!$B$2),ROUND(MAX(0,'Process'!AS229*'Control Room'!$H$12*INDEX('Control Room'!$B$19:$H$19,1,WEEKDAY($A229,2))*(1+'Control Room'!$D$9)^227*'Process'!AT229),2),"")</x:f>
      </x:c>
      <x:c r="L229" s="16" t="str">
        <x:f>IF(AND(AND(228&lt;='Control Room'!$B$3,'Control Room'!$D$3="Ready"),10&lt;='Control Room'!$B$2),ROUND(MAX(0,'Process'!AX229*'Control Room'!$H$13*INDEX('Control Room'!$B$19:$H$19,1,WEEKDAY($A229,2))*(1+'Control Room'!$D$9)^227*'Process'!AY229),2),"")</x:f>
      </x:c>
      <x:c r="M229" s="16" t="str">
        <x:f>IF(AND(AND(228&lt;='Control Room'!$B$3,'Control Room'!$D$3="Ready"),11&lt;='Control Room'!$B$2),ROUND(MAX(0,'Process'!BC229*'Control Room'!$H$14*INDEX('Control Room'!$B$19:$H$19,1,WEEKDAY($A229,2))*(1+'Control Room'!$D$9)^227*'Process'!BD229),2),"")</x:f>
      </x:c>
      <x:c r="N229" s="16" t="str">
        <x:f>IF(AND(AND(228&lt;='Control Room'!$B$3,'Control Room'!$D$3="Ready"),12&lt;='Control Room'!$B$2),ROUND(MAX(0,'Process'!BH229*'Control Room'!$H$15*INDEX('Control Room'!$B$19:$H$19,1,WEEKDAY($A229,2))*(1+'Control Room'!$D$9)^227*'Process'!BI229),2),"")</x:f>
      </x:c>
    </x:row>
    <x:row r="230" ht="21" customHeight="1">
      <x:c r="A230" s="15" t="str">
        <x:f>IF(AND(229&lt;='Control Room'!$B$3,'Control Room'!$D$3="Ready"),'Process'!A230,"")</x:f>
      </x:c>
      <x:c r="B230" s="16" t="str">
        <x:f>IF(A230="","",SUM(C230:N230))</x:f>
      </x:c>
      <x:c r="C230" s="16" t="str">
        <x:f>IF(AND(AND(229&lt;='Control Room'!$B$3,'Control Room'!$D$3="Ready"),1&lt;='Control Room'!$B$2),ROUND(MAX(0,'Process'!E230*'Control Room'!$H$4*INDEX('Control Room'!$B$19:$H$19,1,WEEKDAY($A230,2))*(1+'Control Room'!$D$9)^228*'Process'!F230),2),"")</x:f>
      </x:c>
      <x:c r="D230" s="16" t="str">
        <x:f>IF(AND(AND(229&lt;='Control Room'!$B$3,'Control Room'!$D$3="Ready"),2&lt;='Control Room'!$B$2),ROUND(MAX(0,'Process'!J230*'Control Room'!$H$5*INDEX('Control Room'!$B$19:$H$19,1,WEEKDAY($A230,2))*(1+'Control Room'!$D$9)^228*'Process'!K230),2),"")</x:f>
      </x:c>
      <x:c r="E230" s="16" t="str">
        <x:f>IF(AND(AND(229&lt;='Control Room'!$B$3,'Control Room'!$D$3="Ready"),3&lt;='Control Room'!$B$2),ROUND(MAX(0,'Process'!O230*'Control Room'!$H$6*INDEX('Control Room'!$B$19:$H$19,1,WEEKDAY($A230,2))*(1+'Control Room'!$D$9)^228*'Process'!P230),2),"")</x:f>
      </x:c>
      <x:c r="F230" s="16" t="str">
        <x:f>IF(AND(AND(229&lt;='Control Room'!$B$3,'Control Room'!$D$3="Ready"),4&lt;='Control Room'!$B$2),ROUND(MAX(0,'Process'!T230*'Control Room'!$H$7*INDEX('Control Room'!$B$19:$H$19,1,WEEKDAY($A230,2))*(1+'Control Room'!$D$9)^228*'Process'!U230),2),"")</x:f>
      </x:c>
      <x:c r="G230" s="16" t="str">
        <x:f>IF(AND(AND(229&lt;='Control Room'!$B$3,'Control Room'!$D$3="Ready"),5&lt;='Control Room'!$B$2),ROUND(MAX(0,'Process'!Y230*'Control Room'!$H$8*INDEX('Control Room'!$B$19:$H$19,1,WEEKDAY($A230,2))*(1+'Control Room'!$D$9)^228*'Process'!Z230),2),"")</x:f>
      </x:c>
      <x:c r="H230" s="16" t="str">
        <x:f>IF(AND(AND(229&lt;='Control Room'!$B$3,'Control Room'!$D$3="Ready"),6&lt;='Control Room'!$B$2),ROUND(MAX(0,'Process'!AD230*'Control Room'!$H$9*INDEX('Control Room'!$B$19:$H$19,1,WEEKDAY($A230,2))*(1+'Control Room'!$D$9)^228*'Process'!AE230),2),"")</x:f>
      </x:c>
      <x:c r="I230" s="16" t="str">
        <x:f>IF(AND(AND(229&lt;='Control Room'!$B$3,'Control Room'!$D$3="Ready"),7&lt;='Control Room'!$B$2),ROUND(MAX(0,'Process'!AI230*'Control Room'!$H$10*INDEX('Control Room'!$B$19:$H$19,1,WEEKDAY($A230,2))*(1+'Control Room'!$D$9)^228*'Process'!AJ230),2),"")</x:f>
      </x:c>
      <x:c r="J230" s="16" t="str">
        <x:f>IF(AND(AND(229&lt;='Control Room'!$B$3,'Control Room'!$D$3="Ready"),8&lt;='Control Room'!$B$2),ROUND(MAX(0,'Process'!AN230*'Control Room'!$H$11*INDEX('Control Room'!$B$19:$H$19,1,WEEKDAY($A230,2))*(1+'Control Room'!$D$9)^228*'Process'!AO230),2),"")</x:f>
      </x:c>
      <x:c r="K230" s="16" t="str">
        <x:f>IF(AND(AND(229&lt;='Control Room'!$B$3,'Control Room'!$D$3="Ready"),9&lt;='Control Room'!$B$2),ROUND(MAX(0,'Process'!AS230*'Control Room'!$H$12*INDEX('Control Room'!$B$19:$H$19,1,WEEKDAY($A230,2))*(1+'Control Room'!$D$9)^228*'Process'!AT230),2),"")</x:f>
      </x:c>
      <x:c r="L230" s="16" t="str">
        <x:f>IF(AND(AND(229&lt;='Control Room'!$B$3,'Control Room'!$D$3="Ready"),10&lt;='Control Room'!$B$2),ROUND(MAX(0,'Process'!AX230*'Control Room'!$H$13*INDEX('Control Room'!$B$19:$H$19,1,WEEKDAY($A230,2))*(1+'Control Room'!$D$9)^228*'Process'!AY230),2),"")</x:f>
      </x:c>
      <x:c r="M230" s="16" t="str">
        <x:f>IF(AND(AND(229&lt;='Control Room'!$B$3,'Control Room'!$D$3="Ready"),11&lt;='Control Room'!$B$2),ROUND(MAX(0,'Process'!BC230*'Control Room'!$H$14*INDEX('Control Room'!$B$19:$H$19,1,WEEKDAY($A230,2))*(1+'Control Room'!$D$9)^228*'Process'!BD230),2),"")</x:f>
      </x:c>
      <x:c r="N230" s="16" t="str">
        <x:f>IF(AND(AND(229&lt;='Control Room'!$B$3,'Control Room'!$D$3="Ready"),12&lt;='Control Room'!$B$2),ROUND(MAX(0,'Process'!BH230*'Control Room'!$H$15*INDEX('Control Room'!$B$19:$H$19,1,WEEKDAY($A230,2))*(1+'Control Room'!$D$9)^228*'Process'!BI230),2),"")</x:f>
      </x:c>
    </x:row>
    <x:row r="231" ht="21" customHeight="1">
      <x:c r="A231" s="15" t="str">
        <x:f>IF(AND(230&lt;='Control Room'!$B$3,'Control Room'!$D$3="Ready"),'Process'!A231,"")</x:f>
      </x:c>
      <x:c r="B231" s="16" t="str">
        <x:f>IF(A231="","",SUM(C231:N231))</x:f>
      </x:c>
      <x:c r="C231" s="16" t="str">
        <x:f>IF(AND(AND(230&lt;='Control Room'!$B$3,'Control Room'!$D$3="Ready"),1&lt;='Control Room'!$B$2),ROUND(MAX(0,'Process'!E231*'Control Room'!$H$4*INDEX('Control Room'!$B$19:$H$19,1,WEEKDAY($A231,2))*(1+'Control Room'!$D$9)^229*'Process'!F231),2),"")</x:f>
      </x:c>
      <x:c r="D231" s="16" t="str">
        <x:f>IF(AND(AND(230&lt;='Control Room'!$B$3,'Control Room'!$D$3="Ready"),2&lt;='Control Room'!$B$2),ROUND(MAX(0,'Process'!J231*'Control Room'!$H$5*INDEX('Control Room'!$B$19:$H$19,1,WEEKDAY($A231,2))*(1+'Control Room'!$D$9)^229*'Process'!K231),2),"")</x:f>
      </x:c>
      <x:c r="E231" s="16" t="str">
        <x:f>IF(AND(AND(230&lt;='Control Room'!$B$3,'Control Room'!$D$3="Ready"),3&lt;='Control Room'!$B$2),ROUND(MAX(0,'Process'!O231*'Control Room'!$H$6*INDEX('Control Room'!$B$19:$H$19,1,WEEKDAY($A231,2))*(1+'Control Room'!$D$9)^229*'Process'!P231),2),"")</x:f>
      </x:c>
      <x:c r="F231" s="16" t="str">
        <x:f>IF(AND(AND(230&lt;='Control Room'!$B$3,'Control Room'!$D$3="Ready"),4&lt;='Control Room'!$B$2),ROUND(MAX(0,'Process'!T231*'Control Room'!$H$7*INDEX('Control Room'!$B$19:$H$19,1,WEEKDAY($A231,2))*(1+'Control Room'!$D$9)^229*'Process'!U231),2),"")</x:f>
      </x:c>
      <x:c r="G231" s="16" t="str">
        <x:f>IF(AND(AND(230&lt;='Control Room'!$B$3,'Control Room'!$D$3="Ready"),5&lt;='Control Room'!$B$2),ROUND(MAX(0,'Process'!Y231*'Control Room'!$H$8*INDEX('Control Room'!$B$19:$H$19,1,WEEKDAY($A231,2))*(1+'Control Room'!$D$9)^229*'Process'!Z231),2),"")</x:f>
      </x:c>
      <x:c r="H231" s="16" t="str">
        <x:f>IF(AND(AND(230&lt;='Control Room'!$B$3,'Control Room'!$D$3="Ready"),6&lt;='Control Room'!$B$2),ROUND(MAX(0,'Process'!AD231*'Control Room'!$H$9*INDEX('Control Room'!$B$19:$H$19,1,WEEKDAY($A231,2))*(1+'Control Room'!$D$9)^229*'Process'!AE231),2),"")</x:f>
      </x:c>
      <x:c r="I231" s="16" t="str">
        <x:f>IF(AND(AND(230&lt;='Control Room'!$B$3,'Control Room'!$D$3="Ready"),7&lt;='Control Room'!$B$2),ROUND(MAX(0,'Process'!AI231*'Control Room'!$H$10*INDEX('Control Room'!$B$19:$H$19,1,WEEKDAY($A231,2))*(1+'Control Room'!$D$9)^229*'Process'!AJ231),2),"")</x:f>
      </x:c>
      <x:c r="J231" s="16" t="str">
        <x:f>IF(AND(AND(230&lt;='Control Room'!$B$3,'Control Room'!$D$3="Ready"),8&lt;='Control Room'!$B$2),ROUND(MAX(0,'Process'!AN231*'Control Room'!$H$11*INDEX('Control Room'!$B$19:$H$19,1,WEEKDAY($A231,2))*(1+'Control Room'!$D$9)^229*'Process'!AO231),2),"")</x:f>
      </x:c>
      <x:c r="K231" s="16" t="str">
        <x:f>IF(AND(AND(230&lt;='Control Room'!$B$3,'Control Room'!$D$3="Ready"),9&lt;='Control Room'!$B$2),ROUND(MAX(0,'Process'!AS231*'Control Room'!$H$12*INDEX('Control Room'!$B$19:$H$19,1,WEEKDAY($A231,2))*(1+'Control Room'!$D$9)^229*'Process'!AT231),2),"")</x:f>
      </x:c>
      <x:c r="L231" s="16" t="str">
        <x:f>IF(AND(AND(230&lt;='Control Room'!$B$3,'Control Room'!$D$3="Ready"),10&lt;='Control Room'!$B$2),ROUND(MAX(0,'Process'!AX231*'Control Room'!$H$13*INDEX('Control Room'!$B$19:$H$19,1,WEEKDAY($A231,2))*(1+'Control Room'!$D$9)^229*'Process'!AY231),2),"")</x:f>
      </x:c>
      <x:c r="M231" s="16" t="str">
        <x:f>IF(AND(AND(230&lt;='Control Room'!$B$3,'Control Room'!$D$3="Ready"),11&lt;='Control Room'!$B$2),ROUND(MAX(0,'Process'!BC231*'Control Room'!$H$14*INDEX('Control Room'!$B$19:$H$19,1,WEEKDAY($A231,2))*(1+'Control Room'!$D$9)^229*'Process'!BD231),2),"")</x:f>
      </x:c>
      <x:c r="N231" s="16" t="str">
        <x:f>IF(AND(AND(230&lt;='Control Room'!$B$3,'Control Room'!$D$3="Ready"),12&lt;='Control Room'!$B$2),ROUND(MAX(0,'Process'!BH231*'Control Room'!$H$15*INDEX('Control Room'!$B$19:$H$19,1,WEEKDAY($A231,2))*(1+'Control Room'!$D$9)^229*'Process'!BI231),2),"")</x:f>
      </x:c>
    </x:row>
    <x:row r="232" ht="21" customHeight="1">
      <x:c r="A232" s="15" t="str">
        <x:f>IF(AND(231&lt;='Control Room'!$B$3,'Control Room'!$D$3="Ready"),'Process'!A232,"")</x:f>
      </x:c>
      <x:c r="B232" s="16" t="str">
        <x:f>IF(A232="","",SUM(C232:N232))</x:f>
      </x:c>
      <x:c r="C232" s="16" t="str">
        <x:f>IF(AND(AND(231&lt;='Control Room'!$B$3,'Control Room'!$D$3="Ready"),1&lt;='Control Room'!$B$2),ROUND(MAX(0,'Process'!E232*'Control Room'!$H$4*INDEX('Control Room'!$B$19:$H$19,1,WEEKDAY($A232,2))*(1+'Control Room'!$D$9)^230*'Process'!F232),2),"")</x:f>
      </x:c>
      <x:c r="D232" s="16" t="str">
        <x:f>IF(AND(AND(231&lt;='Control Room'!$B$3,'Control Room'!$D$3="Ready"),2&lt;='Control Room'!$B$2),ROUND(MAX(0,'Process'!J232*'Control Room'!$H$5*INDEX('Control Room'!$B$19:$H$19,1,WEEKDAY($A232,2))*(1+'Control Room'!$D$9)^230*'Process'!K232),2),"")</x:f>
      </x:c>
      <x:c r="E232" s="16" t="str">
        <x:f>IF(AND(AND(231&lt;='Control Room'!$B$3,'Control Room'!$D$3="Ready"),3&lt;='Control Room'!$B$2),ROUND(MAX(0,'Process'!O232*'Control Room'!$H$6*INDEX('Control Room'!$B$19:$H$19,1,WEEKDAY($A232,2))*(1+'Control Room'!$D$9)^230*'Process'!P232),2),"")</x:f>
      </x:c>
      <x:c r="F232" s="16" t="str">
        <x:f>IF(AND(AND(231&lt;='Control Room'!$B$3,'Control Room'!$D$3="Ready"),4&lt;='Control Room'!$B$2),ROUND(MAX(0,'Process'!T232*'Control Room'!$H$7*INDEX('Control Room'!$B$19:$H$19,1,WEEKDAY($A232,2))*(1+'Control Room'!$D$9)^230*'Process'!U232),2),"")</x:f>
      </x:c>
      <x:c r="G232" s="16" t="str">
        <x:f>IF(AND(AND(231&lt;='Control Room'!$B$3,'Control Room'!$D$3="Ready"),5&lt;='Control Room'!$B$2),ROUND(MAX(0,'Process'!Y232*'Control Room'!$H$8*INDEX('Control Room'!$B$19:$H$19,1,WEEKDAY($A232,2))*(1+'Control Room'!$D$9)^230*'Process'!Z232),2),"")</x:f>
      </x:c>
      <x:c r="H232" s="16" t="str">
        <x:f>IF(AND(AND(231&lt;='Control Room'!$B$3,'Control Room'!$D$3="Ready"),6&lt;='Control Room'!$B$2),ROUND(MAX(0,'Process'!AD232*'Control Room'!$H$9*INDEX('Control Room'!$B$19:$H$19,1,WEEKDAY($A232,2))*(1+'Control Room'!$D$9)^230*'Process'!AE232),2),"")</x:f>
      </x:c>
      <x:c r="I232" s="16" t="str">
        <x:f>IF(AND(AND(231&lt;='Control Room'!$B$3,'Control Room'!$D$3="Ready"),7&lt;='Control Room'!$B$2),ROUND(MAX(0,'Process'!AI232*'Control Room'!$H$10*INDEX('Control Room'!$B$19:$H$19,1,WEEKDAY($A232,2))*(1+'Control Room'!$D$9)^230*'Process'!AJ232),2),"")</x:f>
      </x:c>
      <x:c r="J232" s="16" t="str">
        <x:f>IF(AND(AND(231&lt;='Control Room'!$B$3,'Control Room'!$D$3="Ready"),8&lt;='Control Room'!$B$2),ROUND(MAX(0,'Process'!AN232*'Control Room'!$H$11*INDEX('Control Room'!$B$19:$H$19,1,WEEKDAY($A232,2))*(1+'Control Room'!$D$9)^230*'Process'!AO232),2),"")</x:f>
      </x:c>
      <x:c r="K232" s="16" t="str">
        <x:f>IF(AND(AND(231&lt;='Control Room'!$B$3,'Control Room'!$D$3="Ready"),9&lt;='Control Room'!$B$2),ROUND(MAX(0,'Process'!AS232*'Control Room'!$H$12*INDEX('Control Room'!$B$19:$H$19,1,WEEKDAY($A232,2))*(1+'Control Room'!$D$9)^230*'Process'!AT232),2),"")</x:f>
      </x:c>
      <x:c r="L232" s="16" t="str">
        <x:f>IF(AND(AND(231&lt;='Control Room'!$B$3,'Control Room'!$D$3="Ready"),10&lt;='Control Room'!$B$2),ROUND(MAX(0,'Process'!AX232*'Control Room'!$H$13*INDEX('Control Room'!$B$19:$H$19,1,WEEKDAY($A232,2))*(1+'Control Room'!$D$9)^230*'Process'!AY232),2),"")</x:f>
      </x:c>
      <x:c r="M232" s="16" t="str">
        <x:f>IF(AND(AND(231&lt;='Control Room'!$B$3,'Control Room'!$D$3="Ready"),11&lt;='Control Room'!$B$2),ROUND(MAX(0,'Process'!BC232*'Control Room'!$H$14*INDEX('Control Room'!$B$19:$H$19,1,WEEKDAY($A232,2))*(1+'Control Room'!$D$9)^230*'Process'!BD232),2),"")</x:f>
      </x:c>
      <x:c r="N232" s="16" t="str">
        <x:f>IF(AND(AND(231&lt;='Control Room'!$B$3,'Control Room'!$D$3="Ready"),12&lt;='Control Room'!$B$2),ROUND(MAX(0,'Process'!BH232*'Control Room'!$H$15*INDEX('Control Room'!$B$19:$H$19,1,WEEKDAY($A232,2))*(1+'Control Room'!$D$9)^230*'Process'!BI232),2),"")</x:f>
      </x:c>
    </x:row>
    <x:row r="233" ht="21" customHeight="1">
      <x:c r="A233" s="15" t="str">
        <x:f>IF(AND(232&lt;='Control Room'!$B$3,'Control Room'!$D$3="Ready"),'Process'!A233,"")</x:f>
      </x:c>
      <x:c r="B233" s="16" t="str">
        <x:f>IF(A233="","",SUM(C233:N233))</x:f>
      </x:c>
      <x:c r="C233" s="16" t="str">
        <x:f>IF(AND(AND(232&lt;='Control Room'!$B$3,'Control Room'!$D$3="Ready"),1&lt;='Control Room'!$B$2),ROUND(MAX(0,'Process'!E233*'Control Room'!$H$4*INDEX('Control Room'!$B$19:$H$19,1,WEEKDAY($A233,2))*(1+'Control Room'!$D$9)^231*'Process'!F233),2),"")</x:f>
      </x:c>
      <x:c r="D233" s="16" t="str">
        <x:f>IF(AND(AND(232&lt;='Control Room'!$B$3,'Control Room'!$D$3="Ready"),2&lt;='Control Room'!$B$2),ROUND(MAX(0,'Process'!J233*'Control Room'!$H$5*INDEX('Control Room'!$B$19:$H$19,1,WEEKDAY($A233,2))*(1+'Control Room'!$D$9)^231*'Process'!K233),2),"")</x:f>
      </x:c>
      <x:c r="E233" s="16" t="str">
        <x:f>IF(AND(AND(232&lt;='Control Room'!$B$3,'Control Room'!$D$3="Ready"),3&lt;='Control Room'!$B$2),ROUND(MAX(0,'Process'!O233*'Control Room'!$H$6*INDEX('Control Room'!$B$19:$H$19,1,WEEKDAY($A233,2))*(1+'Control Room'!$D$9)^231*'Process'!P233),2),"")</x:f>
      </x:c>
      <x:c r="F233" s="16" t="str">
        <x:f>IF(AND(AND(232&lt;='Control Room'!$B$3,'Control Room'!$D$3="Ready"),4&lt;='Control Room'!$B$2),ROUND(MAX(0,'Process'!T233*'Control Room'!$H$7*INDEX('Control Room'!$B$19:$H$19,1,WEEKDAY($A233,2))*(1+'Control Room'!$D$9)^231*'Process'!U233),2),"")</x:f>
      </x:c>
      <x:c r="G233" s="16" t="str">
        <x:f>IF(AND(AND(232&lt;='Control Room'!$B$3,'Control Room'!$D$3="Ready"),5&lt;='Control Room'!$B$2),ROUND(MAX(0,'Process'!Y233*'Control Room'!$H$8*INDEX('Control Room'!$B$19:$H$19,1,WEEKDAY($A233,2))*(1+'Control Room'!$D$9)^231*'Process'!Z233),2),"")</x:f>
      </x:c>
      <x:c r="H233" s="16" t="str">
        <x:f>IF(AND(AND(232&lt;='Control Room'!$B$3,'Control Room'!$D$3="Ready"),6&lt;='Control Room'!$B$2),ROUND(MAX(0,'Process'!AD233*'Control Room'!$H$9*INDEX('Control Room'!$B$19:$H$19,1,WEEKDAY($A233,2))*(1+'Control Room'!$D$9)^231*'Process'!AE233),2),"")</x:f>
      </x:c>
      <x:c r="I233" s="16" t="str">
        <x:f>IF(AND(AND(232&lt;='Control Room'!$B$3,'Control Room'!$D$3="Ready"),7&lt;='Control Room'!$B$2),ROUND(MAX(0,'Process'!AI233*'Control Room'!$H$10*INDEX('Control Room'!$B$19:$H$19,1,WEEKDAY($A233,2))*(1+'Control Room'!$D$9)^231*'Process'!AJ233),2),"")</x:f>
      </x:c>
      <x:c r="J233" s="16" t="str">
        <x:f>IF(AND(AND(232&lt;='Control Room'!$B$3,'Control Room'!$D$3="Ready"),8&lt;='Control Room'!$B$2),ROUND(MAX(0,'Process'!AN233*'Control Room'!$H$11*INDEX('Control Room'!$B$19:$H$19,1,WEEKDAY($A233,2))*(1+'Control Room'!$D$9)^231*'Process'!AO233),2),"")</x:f>
      </x:c>
      <x:c r="K233" s="16" t="str">
        <x:f>IF(AND(AND(232&lt;='Control Room'!$B$3,'Control Room'!$D$3="Ready"),9&lt;='Control Room'!$B$2),ROUND(MAX(0,'Process'!AS233*'Control Room'!$H$12*INDEX('Control Room'!$B$19:$H$19,1,WEEKDAY($A233,2))*(1+'Control Room'!$D$9)^231*'Process'!AT233),2),"")</x:f>
      </x:c>
      <x:c r="L233" s="16" t="str">
        <x:f>IF(AND(AND(232&lt;='Control Room'!$B$3,'Control Room'!$D$3="Ready"),10&lt;='Control Room'!$B$2),ROUND(MAX(0,'Process'!AX233*'Control Room'!$H$13*INDEX('Control Room'!$B$19:$H$19,1,WEEKDAY($A233,2))*(1+'Control Room'!$D$9)^231*'Process'!AY233),2),"")</x:f>
      </x:c>
      <x:c r="M233" s="16" t="str">
        <x:f>IF(AND(AND(232&lt;='Control Room'!$B$3,'Control Room'!$D$3="Ready"),11&lt;='Control Room'!$B$2),ROUND(MAX(0,'Process'!BC233*'Control Room'!$H$14*INDEX('Control Room'!$B$19:$H$19,1,WEEKDAY($A233,2))*(1+'Control Room'!$D$9)^231*'Process'!BD233),2),"")</x:f>
      </x:c>
      <x:c r="N233" s="16" t="str">
        <x:f>IF(AND(AND(232&lt;='Control Room'!$B$3,'Control Room'!$D$3="Ready"),12&lt;='Control Room'!$B$2),ROUND(MAX(0,'Process'!BH233*'Control Room'!$H$15*INDEX('Control Room'!$B$19:$H$19,1,WEEKDAY($A233,2))*(1+'Control Room'!$D$9)^231*'Process'!BI233),2),"")</x:f>
      </x:c>
    </x:row>
    <x:row r="234" ht="21" customHeight="1">
      <x:c r="A234" s="15" t="str">
        <x:f>IF(AND(233&lt;='Control Room'!$B$3,'Control Room'!$D$3="Ready"),'Process'!A234,"")</x:f>
      </x:c>
      <x:c r="B234" s="16" t="str">
        <x:f>IF(A234="","",SUM(C234:N234))</x:f>
      </x:c>
      <x:c r="C234" s="16" t="str">
        <x:f>IF(AND(AND(233&lt;='Control Room'!$B$3,'Control Room'!$D$3="Ready"),1&lt;='Control Room'!$B$2),ROUND(MAX(0,'Process'!E234*'Control Room'!$H$4*INDEX('Control Room'!$B$19:$H$19,1,WEEKDAY($A234,2))*(1+'Control Room'!$D$9)^232*'Process'!F234),2),"")</x:f>
      </x:c>
      <x:c r="D234" s="16" t="str">
        <x:f>IF(AND(AND(233&lt;='Control Room'!$B$3,'Control Room'!$D$3="Ready"),2&lt;='Control Room'!$B$2),ROUND(MAX(0,'Process'!J234*'Control Room'!$H$5*INDEX('Control Room'!$B$19:$H$19,1,WEEKDAY($A234,2))*(1+'Control Room'!$D$9)^232*'Process'!K234),2),"")</x:f>
      </x:c>
      <x:c r="E234" s="16" t="str">
        <x:f>IF(AND(AND(233&lt;='Control Room'!$B$3,'Control Room'!$D$3="Ready"),3&lt;='Control Room'!$B$2),ROUND(MAX(0,'Process'!O234*'Control Room'!$H$6*INDEX('Control Room'!$B$19:$H$19,1,WEEKDAY($A234,2))*(1+'Control Room'!$D$9)^232*'Process'!P234),2),"")</x:f>
      </x:c>
      <x:c r="F234" s="16" t="str">
        <x:f>IF(AND(AND(233&lt;='Control Room'!$B$3,'Control Room'!$D$3="Ready"),4&lt;='Control Room'!$B$2),ROUND(MAX(0,'Process'!T234*'Control Room'!$H$7*INDEX('Control Room'!$B$19:$H$19,1,WEEKDAY($A234,2))*(1+'Control Room'!$D$9)^232*'Process'!U234),2),"")</x:f>
      </x:c>
      <x:c r="G234" s="16" t="str">
        <x:f>IF(AND(AND(233&lt;='Control Room'!$B$3,'Control Room'!$D$3="Ready"),5&lt;='Control Room'!$B$2),ROUND(MAX(0,'Process'!Y234*'Control Room'!$H$8*INDEX('Control Room'!$B$19:$H$19,1,WEEKDAY($A234,2))*(1+'Control Room'!$D$9)^232*'Process'!Z234),2),"")</x:f>
      </x:c>
      <x:c r="H234" s="16" t="str">
        <x:f>IF(AND(AND(233&lt;='Control Room'!$B$3,'Control Room'!$D$3="Ready"),6&lt;='Control Room'!$B$2),ROUND(MAX(0,'Process'!AD234*'Control Room'!$H$9*INDEX('Control Room'!$B$19:$H$19,1,WEEKDAY($A234,2))*(1+'Control Room'!$D$9)^232*'Process'!AE234),2),"")</x:f>
      </x:c>
      <x:c r="I234" s="16" t="str">
        <x:f>IF(AND(AND(233&lt;='Control Room'!$B$3,'Control Room'!$D$3="Ready"),7&lt;='Control Room'!$B$2),ROUND(MAX(0,'Process'!AI234*'Control Room'!$H$10*INDEX('Control Room'!$B$19:$H$19,1,WEEKDAY($A234,2))*(1+'Control Room'!$D$9)^232*'Process'!AJ234),2),"")</x:f>
      </x:c>
      <x:c r="J234" s="16" t="str">
        <x:f>IF(AND(AND(233&lt;='Control Room'!$B$3,'Control Room'!$D$3="Ready"),8&lt;='Control Room'!$B$2),ROUND(MAX(0,'Process'!AN234*'Control Room'!$H$11*INDEX('Control Room'!$B$19:$H$19,1,WEEKDAY($A234,2))*(1+'Control Room'!$D$9)^232*'Process'!AO234),2),"")</x:f>
      </x:c>
      <x:c r="K234" s="16" t="str">
        <x:f>IF(AND(AND(233&lt;='Control Room'!$B$3,'Control Room'!$D$3="Ready"),9&lt;='Control Room'!$B$2),ROUND(MAX(0,'Process'!AS234*'Control Room'!$H$12*INDEX('Control Room'!$B$19:$H$19,1,WEEKDAY($A234,2))*(1+'Control Room'!$D$9)^232*'Process'!AT234),2),"")</x:f>
      </x:c>
      <x:c r="L234" s="16" t="str">
        <x:f>IF(AND(AND(233&lt;='Control Room'!$B$3,'Control Room'!$D$3="Ready"),10&lt;='Control Room'!$B$2),ROUND(MAX(0,'Process'!AX234*'Control Room'!$H$13*INDEX('Control Room'!$B$19:$H$19,1,WEEKDAY($A234,2))*(1+'Control Room'!$D$9)^232*'Process'!AY234),2),"")</x:f>
      </x:c>
      <x:c r="M234" s="16" t="str">
        <x:f>IF(AND(AND(233&lt;='Control Room'!$B$3,'Control Room'!$D$3="Ready"),11&lt;='Control Room'!$B$2),ROUND(MAX(0,'Process'!BC234*'Control Room'!$H$14*INDEX('Control Room'!$B$19:$H$19,1,WEEKDAY($A234,2))*(1+'Control Room'!$D$9)^232*'Process'!BD234),2),"")</x:f>
      </x:c>
      <x:c r="N234" s="16" t="str">
        <x:f>IF(AND(AND(233&lt;='Control Room'!$B$3,'Control Room'!$D$3="Ready"),12&lt;='Control Room'!$B$2),ROUND(MAX(0,'Process'!BH234*'Control Room'!$H$15*INDEX('Control Room'!$B$19:$H$19,1,WEEKDAY($A234,2))*(1+'Control Room'!$D$9)^232*'Process'!BI234),2),"")</x:f>
      </x:c>
    </x:row>
    <x:row r="235" ht="21" customHeight="1">
      <x:c r="A235" s="15" t="str">
        <x:f>IF(AND(234&lt;='Control Room'!$B$3,'Control Room'!$D$3="Ready"),'Process'!A235,"")</x:f>
      </x:c>
      <x:c r="B235" s="16" t="str">
        <x:f>IF(A235="","",SUM(C235:N235))</x:f>
      </x:c>
      <x:c r="C235" s="16" t="str">
        <x:f>IF(AND(AND(234&lt;='Control Room'!$B$3,'Control Room'!$D$3="Ready"),1&lt;='Control Room'!$B$2),ROUND(MAX(0,'Process'!E235*'Control Room'!$H$4*INDEX('Control Room'!$B$19:$H$19,1,WEEKDAY($A235,2))*(1+'Control Room'!$D$9)^233*'Process'!F235),2),"")</x:f>
      </x:c>
      <x:c r="D235" s="16" t="str">
        <x:f>IF(AND(AND(234&lt;='Control Room'!$B$3,'Control Room'!$D$3="Ready"),2&lt;='Control Room'!$B$2),ROUND(MAX(0,'Process'!J235*'Control Room'!$H$5*INDEX('Control Room'!$B$19:$H$19,1,WEEKDAY($A235,2))*(1+'Control Room'!$D$9)^233*'Process'!K235),2),"")</x:f>
      </x:c>
      <x:c r="E235" s="16" t="str">
        <x:f>IF(AND(AND(234&lt;='Control Room'!$B$3,'Control Room'!$D$3="Ready"),3&lt;='Control Room'!$B$2),ROUND(MAX(0,'Process'!O235*'Control Room'!$H$6*INDEX('Control Room'!$B$19:$H$19,1,WEEKDAY($A235,2))*(1+'Control Room'!$D$9)^233*'Process'!P235),2),"")</x:f>
      </x:c>
      <x:c r="F235" s="16" t="str">
        <x:f>IF(AND(AND(234&lt;='Control Room'!$B$3,'Control Room'!$D$3="Ready"),4&lt;='Control Room'!$B$2),ROUND(MAX(0,'Process'!T235*'Control Room'!$H$7*INDEX('Control Room'!$B$19:$H$19,1,WEEKDAY($A235,2))*(1+'Control Room'!$D$9)^233*'Process'!U235),2),"")</x:f>
      </x:c>
      <x:c r="G235" s="16" t="str">
        <x:f>IF(AND(AND(234&lt;='Control Room'!$B$3,'Control Room'!$D$3="Ready"),5&lt;='Control Room'!$B$2),ROUND(MAX(0,'Process'!Y235*'Control Room'!$H$8*INDEX('Control Room'!$B$19:$H$19,1,WEEKDAY($A235,2))*(1+'Control Room'!$D$9)^233*'Process'!Z235),2),"")</x:f>
      </x:c>
      <x:c r="H235" s="16" t="str">
        <x:f>IF(AND(AND(234&lt;='Control Room'!$B$3,'Control Room'!$D$3="Ready"),6&lt;='Control Room'!$B$2),ROUND(MAX(0,'Process'!AD235*'Control Room'!$H$9*INDEX('Control Room'!$B$19:$H$19,1,WEEKDAY($A235,2))*(1+'Control Room'!$D$9)^233*'Process'!AE235),2),"")</x:f>
      </x:c>
      <x:c r="I235" s="16" t="str">
        <x:f>IF(AND(AND(234&lt;='Control Room'!$B$3,'Control Room'!$D$3="Ready"),7&lt;='Control Room'!$B$2),ROUND(MAX(0,'Process'!AI235*'Control Room'!$H$10*INDEX('Control Room'!$B$19:$H$19,1,WEEKDAY($A235,2))*(1+'Control Room'!$D$9)^233*'Process'!AJ235),2),"")</x:f>
      </x:c>
      <x:c r="J235" s="16" t="str">
        <x:f>IF(AND(AND(234&lt;='Control Room'!$B$3,'Control Room'!$D$3="Ready"),8&lt;='Control Room'!$B$2),ROUND(MAX(0,'Process'!AN235*'Control Room'!$H$11*INDEX('Control Room'!$B$19:$H$19,1,WEEKDAY($A235,2))*(1+'Control Room'!$D$9)^233*'Process'!AO235),2),"")</x:f>
      </x:c>
      <x:c r="K235" s="16" t="str">
        <x:f>IF(AND(AND(234&lt;='Control Room'!$B$3,'Control Room'!$D$3="Ready"),9&lt;='Control Room'!$B$2),ROUND(MAX(0,'Process'!AS235*'Control Room'!$H$12*INDEX('Control Room'!$B$19:$H$19,1,WEEKDAY($A235,2))*(1+'Control Room'!$D$9)^233*'Process'!AT235),2),"")</x:f>
      </x:c>
      <x:c r="L235" s="16" t="str">
        <x:f>IF(AND(AND(234&lt;='Control Room'!$B$3,'Control Room'!$D$3="Ready"),10&lt;='Control Room'!$B$2),ROUND(MAX(0,'Process'!AX235*'Control Room'!$H$13*INDEX('Control Room'!$B$19:$H$19,1,WEEKDAY($A235,2))*(1+'Control Room'!$D$9)^233*'Process'!AY235),2),"")</x:f>
      </x:c>
      <x:c r="M235" s="16" t="str">
        <x:f>IF(AND(AND(234&lt;='Control Room'!$B$3,'Control Room'!$D$3="Ready"),11&lt;='Control Room'!$B$2),ROUND(MAX(0,'Process'!BC235*'Control Room'!$H$14*INDEX('Control Room'!$B$19:$H$19,1,WEEKDAY($A235,2))*(1+'Control Room'!$D$9)^233*'Process'!BD235),2),"")</x:f>
      </x:c>
      <x:c r="N235" s="16" t="str">
        <x:f>IF(AND(AND(234&lt;='Control Room'!$B$3,'Control Room'!$D$3="Ready"),12&lt;='Control Room'!$B$2),ROUND(MAX(0,'Process'!BH235*'Control Room'!$H$15*INDEX('Control Room'!$B$19:$H$19,1,WEEKDAY($A235,2))*(1+'Control Room'!$D$9)^233*'Process'!BI235),2),"")</x:f>
      </x:c>
    </x:row>
    <x:row r="236" ht="21" customHeight="1">
      <x:c r="A236" s="15" t="str">
        <x:f>IF(AND(235&lt;='Control Room'!$B$3,'Control Room'!$D$3="Ready"),'Process'!A236,"")</x:f>
      </x:c>
      <x:c r="B236" s="16" t="str">
        <x:f>IF(A236="","",SUM(C236:N236))</x:f>
      </x:c>
      <x:c r="C236" s="16" t="str">
        <x:f>IF(AND(AND(235&lt;='Control Room'!$B$3,'Control Room'!$D$3="Ready"),1&lt;='Control Room'!$B$2),ROUND(MAX(0,'Process'!E236*'Control Room'!$H$4*INDEX('Control Room'!$B$19:$H$19,1,WEEKDAY($A236,2))*(1+'Control Room'!$D$9)^234*'Process'!F236),2),"")</x:f>
      </x:c>
      <x:c r="D236" s="16" t="str">
        <x:f>IF(AND(AND(235&lt;='Control Room'!$B$3,'Control Room'!$D$3="Ready"),2&lt;='Control Room'!$B$2),ROUND(MAX(0,'Process'!J236*'Control Room'!$H$5*INDEX('Control Room'!$B$19:$H$19,1,WEEKDAY($A236,2))*(1+'Control Room'!$D$9)^234*'Process'!K236),2),"")</x:f>
      </x:c>
      <x:c r="E236" s="16" t="str">
        <x:f>IF(AND(AND(235&lt;='Control Room'!$B$3,'Control Room'!$D$3="Ready"),3&lt;='Control Room'!$B$2),ROUND(MAX(0,'Process'!O236*'Control Room'!$H$6*INDEX('Control Room'!$B$19:$H$19,1,WEEKDAY($A236,2))*(1+'Control Room'!$D$9)^234*'Process'!P236),2),"")</x:f>
      </x:c>
      <x:c r="F236" s="16" t="str">
        <x:f>IF(AND(AND(235&lt;='Control Room'!$B$3,'Control Room'!$D$3="Ready"),4&lt;='Control Room'!$B$2),ROUND(MAX(0,'Process'!T236*'Control Room'!$H$7*INDEX('Control Room'!$B$19:$H$19,1,WEEKDAY($A236,2))*(1+'Control Room'!$D$9)^234*'Process'!U236),2),"")</x:f>
      </x:c>
      <x:c r="G236" s="16" t="str">
        <x:f>IF(AND(AND(235&lt;='Control Room'!$B$3,'Control Room'!$D$3="Ready"),5&lt;='Control Room'!$B$2),ROUND(MAX(0,'Process'!Y236*'Control Room'!$H$8*INDEX('Control Room'!$B$19:$H$19,1,WEEKDAY($A236,2))*(1+'Control Room'!$D$9)^234*'Process'!Z236),2),"")</x:f>
      </x:c>
      <x:c r="H236" s="16" t="str">
        <x:f>IF(AND(AND(235&lt;='Control Room'!$B$3,'Control Room'!$D$3="Ready"),6&lt;='Control Room'!$B$2),ROUND(MAX(0,'Process'!AD236*'Control Room'!$H$9*INDEX('Control Room'!$B$19:$H$19,1,WEEKDAY($A236,2))*(1+'Control Room'!$D$9)^234*'Process'!AE236),2),"")</x:f>
      </x:c>
      <x:c r="I236" s="16" t="str">
        <x:f>IF(AND(AND(235&lt;='Control Room'!$B$3,'Control Room'!$D$3="Ready"),7&lt;='Control Room'!$B$2),ROUND(MAX(0,'Process'!AI236*'Control Room'!$H$10*INDEX('Control Room'!$B$19:$H$19,1,WEEKDAY($A236,2))*(1+'Control Room'!$D$9)^234*'Process'!AJ236),2),"")</x:f>
      </x:c>
      <x:c r="J236" s="16" t="str">
        <x:f>IF(AND(AND(235&lt;='Control Room'!$B$3,'Control Room'!$D$3="Ready"),8&lt;='Control Room'!$B$2),ROUND(MAX(0,'Process'!AN236*'Control Room'!$H$11*INDEX('Control Room'!$B$19:$H$19,1,WEEKDAY($A236,2))*(1+'Control Room'!$D$9)^234*'Process'!AO236),2),"")</x:f>
      </x:c>
      <x:c r="K236" s="16" t="str">
        <x:f>IF(AND(AND(235&lt;='Control Room'!$B$3,'Control Room'!$D$3="Ready"),9&lt;='Control Room'!$B$2),ROUND(MAX(0,'Process'!AS236*'Control Room'!$H$12*INDEX('Control Room'!$B$19:$H$19,1,WEEKDAY($A236,2))*(1+'Control Room'!$D$9)^234*'Process'!AT236),2),"")</x:f>
      </x:c>
      <x:c r="L236" s="16" t="str">
        <x:f>IF(AND(AND(235&lt;='Control Room'!$B$3,'Control Room'!$D$3="Ready"),10&lt;='Control Room'!$B$2),ROUND(MAX(0,'Process'!AX236*'Control Room'!$H$13*INDEX('Control Room'!$B$19:$H$19,1,WEEKDAY($A236,2))*(1+'Control Room'!$D$9)^234*'Process'!AY236),2),"")</x:f>
      </x:c>
      <x:c r="M236" s="16" t="str">
        <x:f>IF(AND(AND(235&lt;='Control Room'!$B$3,'Control Room'!$D$3="Ready"),11&lt;='Control Room'!$B$2),ROUND(MAX(0,'Process'!BC236*'Control Room'!$H$14*INDEX('Control Room'!$B$19:$H$19,1,WEEKDAY($A236,2))*(1+'Control Room'!$D$9)^234*'Process'!BD236),2),"")</x:f>
      </x:c>
      <x:c r="N236" s="16" t="str">
        <x:f>IF(AND(AND(235&lt;='Control Room'!$B$3,'Control Room'!$D$3="Ready"),12&lt;='Control Room'!$B$2),ROUND(MAX(0,'Process'!BH236*'Control Room'!$H$15*INDEX('Control Room'!$B$19:$H$19,1,WEEKDAY($A236,2))*(1+'Control Room'!$D$9)^234*'Process'!BI236),2),"")</x:f>
      </x:c>
    </x:row>
    <x:row r="237" ht="21" customHeight="1">
      <x:c r="A237" s="15" t="str">
        <x:f>IF(AND(236&lt;='Control Room'!$B$3,'Control Room'!$D$3="Ready"),'Process'!A237,"")</x:f>
      </x:c>
      <x:c r="B237" s="16" t="str">
        <x:f>IF(A237="","",SUM(C237:N237))</x:f>
      </x:c>
      <x:c r="C237" s="16" t="str">
        <x:f>IF(AND(AND(236&lt;='Control Room'!$B$3,'Control Room'!$D$3="Ready"),1&lt;='Control Room'!$B$2),ROUND(MAX(0,'Process'!E237*'Control Room'!$H$4*INDEX('Control Room'!$B$19:$H$19,1,WEEKDAY($A237,2))*(1+'Control Room'!$D$9)^235*'Process'!F237),2),"")</x:f>
      </x:c>
      <x:c r="D237" s="16" t="str">
        <x:f>IF(AND(AND(236&lt;='Control Room'!$B$3,'Control Room'!$D$3="Ready"),2&lt;='Control Room'!$B$2),ROUND(MAX(0,'Process'!J237*'Control Room'!$H$5*INDEX('Control Room'!$B$19:$H$19,1,WEEKDAY($A237,2))*(1+'Control Room'!$D$9)^235*'Process'!K237),2),"")</x:f>
      </x:c>
      <x:c r="E237" s="16" t="str">
        <x:f>IF(AND(AND(236&lt;='Control Room'!$B$3,'Control Room'!$D$3="Ready"),3&lt;='Control Room'!$B$2),ROUND(MAX(0,'Process'!O237*'Control Room'!$H$6*INDEX('Control Room'!$B$19:$H$19,1,WEEKDAY($A237,2))*(1+'Control Room'!$D$9)^235*'Process'!P237),2),"")</x:f>
      </x:c>
      <x:c r="F237" s="16" t="str">
        <x:f>IF(AND(AND(236&lt;='Control Room'!$B$3,'Control Room'!$D$3="Ready"),4&lt;='Control Room'!$B$2),ROUND(MAX(0,'Process'!T237*'Control Room'!$H$7*INDEX('Control Room'!$B$19:$H$19,1,WEEKDAY($A237,2))*(1+'Control Room'!$D$9)^235*'Process'!U237),2),"")</x:f>
      </x:c>
      <x:c r="G237" s="16" t="str">
        <x:f>IF(AND(AND(236&lt;='Control Room'!$B$3,'Control Room'!$D$3="Ready"),5&lt;='Control Room'!$B$2),ROUND(MAX(0,'Process'!Y237*'Control Room'!$H$8*INDEX('Control Room'!$B$19:$H$19,1,WEEKDAY($A237,2))*(1+'Control Room'!$D$9)^235*'Process'!Z237),2),"")</x:f>
      </x:c>
      <x:c r="H237" s="16" t="str">
        <x:f>IF(AND(AND(236&lt;='Control Room'!$B$3,'Control Room'!$D$3="Ready"),6&lt;='Control Room'!$B$2),ROUND(MAX(0,'Process'!AD237*'Control Room'!$H$9*INDEX('Control Room'!$B$19:$H$19,1,WEEKDAY($A237,2))*(1+'Control Room'!$D$9)^235*'Process'!AE237),2),"")</x:f>
      </x:c>
      <x:c r="I237" s="16" t="str">
        <x:f>IF(AND(AND(236&lt;='Control Room'!$B$3,'Control Room'!$D$3="Ready"),7&lt;='Control Room'!$B$2),ROUND(MAX(0,'Process'!AI237*'Control Room'!$H$10*INDEX('Control Room'!$B$19:$H$19,1,WEEKDAY($A237,2))*(1+'Control Room'!$D$9)^235*'Process'!AJ237),2),"")</x:f>
      </x:c>
      <x:c r="J237" s="16" t="str">
        <x:f>IF(AND(AND(236&lt;='Control Room'!$B$3,'Control Room'!$D$3="Ready"),8&lt;='Control Room'!$B$2),ROUND(MAX(0,'Process'!AN237*'Control Room'!$H$11*INDEX('Control Room'!$B$19:$H$19,1,WEEKDAY($A237,2))*(1+'Control Room'!$D$9)^235*'Process'!AO237),2),"")</x:f>
      </x:c>
      <x:c r="K237" s="16" t="str">
        <x:f>IF(AND(AND(236&lt;='Control Room'!$B$3,'Control Room'!$D$3="Ready"),9&lt;='Control Room'!$B$2),ROUND(MAX(0,'Process'!AS237*'Control Room'!$H$12*INDEX('Control Room'!$B$19:$H$19,1,WEEKDAY($A237,2))*(1+'Control Room'!$D$9)^235*'Process'!AT237),2),"")</x:f>
      </x:c>
      <x:c r="L237" s="16" t="str">
        <x:f>IF(AND(AND(236&lt;='Control Room'!$B$3,'Control Room'!$D$3="Ready"),10&lt;='Control Room'!$B$2),ROUND(MAX(0,'Process'!AX237*'Control Room'!$H$13*INDEX('Control Room'!$B$19:$H$19,1,WEEKDAY($A237,2))*(1+'Control Room'!$D$9)^235*'Process'!AY237),2),"")</x:f>
      </x:c>
      <x:c r="M237" s="16" t="str">
        <x:f>IF(AND(AND(236&lt;='Control Room'!$B$3,'Control Room'!$D$3="Ready"),11&lt;='Control Room'!$B$2),ROUND(MAX(0,'Process'!BC237*'Control Room'!$H$14*INDEX('Control Room'!$B$19:$H$19,1,WEEKDAY($A237,2))*(1+'Control Room'!$D$9)^235*'Process'!BD237),2),"")</x:f>
      </x:c>
      <x:c r="N237" s="16" t="str">
        <x:f>IF(AND(AND(236&lt;='Control Room'!$B$3,'Control Room'!$D$3="Ready"),12&lt;='Control Room'!$B$2),ROUND(MAX(0,'Process'!BH237*'Control Room'!$H$15*INDEX('Control Room'!$B$19:$H$19,1,WEEKDAY($A237,2))*(1+'Control Room'!$D$9)^235*'Process'!BI237),2),"")</x:f>
      </x:c>
    </x:row>
    <x:row r="238" ht="21" customHeight="1">
      <x:c r="A238" s="15" t="str">
        <x:f>IF(AND(237&lt;='Control Room'!$B$3,'Control Room'!$D$3="Ready"),'Process'!A238,"")</x:f>
      </x:c>
      <x:c r="B238" s="16" t="str">
        <x:f>IF(A238="","",SUM(C238:N238))</x:f>
      </x:c>
      <x:c r="C238" s="16" t="str">
        <x:f>IF(AND(AND(237&lt;='Control Room'!$B$3,'Control Room'!$D$3="Ready"),1&lt;='Control Room'!$B$2),ROUND(MAX(0,'Process'!E238*'Control Room'!$H$4*INDEX('Control Room'!$B$19:$H$19,1,WEEKDAY($A238,2))*(1+'Control Room'!$D$9)^236*'Process'!F238),2),"")</x:f>
      </x:c>
      <x:c r="D238" s="16" t="str">
        <x:f>IF(AND(AND(237&lt;='Control Room'!$B$3,'Control Room'!$D$3="Ready"),2&lt;='Control Room'!$B$2),ROUND(MAX(0,'Process'!J238*'Control Room'!$H$5*INDEX('Control Room'!$B$19:$H$19,1,WEEKDAY($A238,2))*(1+'Control Room'!$D$9)^236*'Process'!K238),2),"")</x:f>
      </x:c>
      <x:c r="E238" s="16" t="str">
        <x:f>IF(AND(AND(237&lt;='Control Room'!$B$3,'Control Room'!$D$3="Ready"),3&lt;='Control Room'!$B$2),ROUND(MAX(0,'Process'!O238*'Control Room'!$H$6*INDEX('Control Room'!$B$19:$H$19,1,WEEKDAY($A238,2))*(1+'Control Room'!$D$9)^236*'Process'!P238),2),"")</x:f>
      </x:c>
      <x:c r="F238" s="16" t="str">
        <x:f>IF(AND(AND(237&lt;='Control Room'!$B$3,'Control Room'!$D$3="Ready"),4&lt;='Control Room'!$B$2),ROUND(MAX(0,'Process'!T238*'Control Room'!$H$7*INDEX('Control Room'!$B$19:$H$19,1,WEEKDAY($A238,2))*(1+'Control Room'!$D$9)^236*'Process'!U238),2),"")</x:f>
      </x:c>
      <x:c r="G238" s="16" t="str">
        <x:f>IF(AND(AND(237&lt;='Control Room'!$B$3,'Control Room'!$D$3="Ready"),5&lt;='Control Room'!$B$2),ROUND(MAX(0,'Process'!Y238*'Control Room'!$H$8*INDEX('Control Room'!$B$19:$H$19,1,WEEKDAY($A238,2))*(1+'Control Room'!$D$9)^236*'Process'!Z238),2),"")</x:f>
      </x:c>
      <x:c r="H238" s="16" t="str">
        <x:f>IF(AND(AND(237&lt;='Control Room'!$B$3,'Control Room'!$D$3="Ready"),6&lt;='Control Room'!$B$2),ROUND(MAX(0,'Process'!AD238*'Control Room'!$H$9*INDEX('Control Room'!$B$19:$H$19,1,WEEKDAY($A238,2))*(1+'Control Room'!$D$9)^236*'Process'!AE238),2),"")</x:f>
      </x:c>
      <x:c r="I238" s="16" t="str">
        <x:f>IF(AND(AND(237&lt;='Control Room'!$B$3,'Control Room'!$D$3="Ready"),7&lt;='Control Room'!$B$2),ROUND(MAX(0,'Process'!AI238*'Control Room'!$H$10*INDEX('Control Room'!$B$19:$H$19,1,WEEKDAY($A238,2))*(1+'Control Room'!$D$9)^236*'Process'!AJ238),2),"")</x:f>
      </x:c>
      <x:c r="J238" s="16" t="str">
        <x:f>IF(AND(AND(237&lt;='Control Room'!$B$3,'Control Room'!$D$3="Ready"),8&lt;='Control Room'!$B$2),ROUND(MAX(0,'Process'!AN238*'Control Room'!$H$11*INDEX('Control Room'!$B$19:$H$19,1,WEEKDAY($A238,2))*(1+'Control Room'!$D$9)^236*'Process'!AO238),2),"")</x:f>
      </x:c>
      <x:c r="K238" s="16" t="str">
        <x:f>IF(AND(AND(237&lt;='Control Room'!$B$3,'Control Room'!$D$3="Ready"),9&lt;='Control Room'!$B$2),ROUND(MAX(0,'Process'!AS238*'Control Room'!$H$12*INDEX('Control Room'!$B$19:$H$19,1,WEEKDAY($A238,2))*(1+'Control Room'!$D$9)^236*'Process'!AT238),2),"")</x:f>
      </x:c>
      <x:c r="L238" s="16" t="str">
        <x:f>IF(AND(AND(237&lt;='Control Room'!$B$3,'Control Room'!$D$3="Ready"),10&lt;='Control Room'!$B$2),ROUND(MAX(0,'Process'!AX238*'Control Room'!$H$13*INDEX('Control Room'!$B$19:$H$19,1,WEEKDAY($A238,2))*(1+'Control Room'!$D$9)^236*'Process'!AY238),2),"")</x:f>
      </x:c>
      <x:c r="M238" s="16" t="str">
        <x:f>IF(AND(AND(237&lt;='Control Room'!$B$3,'Control Room'!$D$3="Ready"),11&lt;='Control Room'!$B$2),ROUND(MAX(0,'Process'!BC238*'Control Room'!$H$14*INDEX('Control Room'!$B$19:$H$19,1,WEEKDAY($A238,2))*(1+'Control Room'!$D$9)^236*'Process'!BD238),2),"")</x:f>
      </x:c>
      <x:c r="N238" s="16" t="str">
        <x:f>IF(AND(AND(237&lt;='Control Room'!$B$3,'Control Room'!$D$3="Ready"),12&lt;='Control Room'!$B$2),ROUND(MAX(0,'Process'!BH238*'Control Room'!$H$15*INDEX('Control Room'!$B$19:$H$19,1,WEEKDAY($A238,2))*(1+'Control Room'!$D$9)^236*'Process'!BI238),2),"")</x:f>
      </x:c>
    </x:row>
    <x:row r="239" ht="21" customHeight="1">
      <x:c r="A239" s="15" t="str">
        <x:f>IF(AND(238&lt;='Control Room'!$B$3,'Control Room'!$D$3="Ready"),'Process'!A239,"")</x:f>
      </x:c>
      <x:c r="B239" s="16" t="str">
        <x:f>IF(A239="","",SUM(C239:N239))</x:f>
      </x:c>
      <x:c r="C239" s="16" t="str">
        <x:f>IF(AND(AND(238&lt;='Control Room'!$B$3,'Control Room'!$D$3="Ready"),1&lt;='Control Room'!$B$2),ROUND(MAX(0,'Process'!E239*'Control Room'!$H$4*INDEX('Control Room'!$B$19:$H$19,1,WEEKDAY($A239,2))*(1+'Control Room'!$D$9)^237*'Process'!F239),2),"")</x:f>
      </x:c>
      <x:c r="D239" s="16" t="str">
        <x:f>IF(AND(AND(238&lt;='Control Room'!$B$3,'Control Room'!$D$3="Ready"),2&lt;='Control Room'!$B$2),ROUND(MAX(0,'Process'!J239*'Control Room'!$H$5*INDEX('Control Room'!$B$19:$H$19,1,WEEKDAY($A239,2))*(1+'Control Room'!$D$9)^237*'Process'!K239),2),"")</x:f>
      </x:c>
      <x:c r="E239" s="16" t="str">
        <x:f>IF(AND(AND(238&lt;='Control Room'!$B$3,'Control Room'!$D$3="Ready"),3&lt;='Control Room'!$B$2),ROUND(MAX(0,'Process'!O239*'Control Room'!$H$6*INDEX('Control Room'!$B$19:$H$19,1,WEEKDAY($A239,2))*(1+'Control Room'!$D$9)^237*'Process'!P239),2),"")</x:f>
      </x:c>
      <x:c r="F239" s="16" t="str">
        <x:f>IF(AND(AND(238&lt;='Control Room'!$B$3,'Control Room'!$D$3="Ready"),4&lt;='Control Room'!$B$2),ROUND(MAX(0,'Process'!T239*'Control Room'!$H$7*INDEX('Control Room'!$B$19:$H$19,1,WEEKDAY($A239,2))*(1+'Control Room'!$D$9)^237*'Process'!U239),2),"")</x:f>
      </x:c>
      <x:c r="G239" s="16" t="str">
        <x:f>IF(AND(AND(238&lt;='Control Room'!$B$3,'Control Room'!$D$3="Ready"),5&lt;='Control Room'!$B$2),ROUND(MAX(0,'Process'!Y239*'Control Room'!$H$8*INDEX('Control Room'!$B$19:$H$19,1,WEEKDAY($A239,2))*(1+'Control Room'!$D$9)^237*'Process'!Z239),2),"")</x:f>
      </x:c>
      <x:c r="H239" s="16" t="str">
        <x:f>IF(AND(AND(238&lt;='Control Room'!$B$3,'Control Room'!$D$3="Ready"),6&lt;='Control Room'!$B$2),ROUND(MAX(0,'Process'!AD239*'Control Room'!$H$9*INDEX('Control Room'!$B$19:$H$19,1,WEEKDAY($A239,2))*(1+'Control Room'!$D$9)^237*'Process'!AE239),2),"")</x:f>
      </x:c>
      <x:c r="I239" s="16" t="str">
        <x:f>IF(AND(AND(238&lt;='Control Room'!$B$3,'Control Room'!$D$3="Ready"),7&lt;='Control Room'!$B$2),ROUND(MAX(0,'Process'!AI239*'Control Room'!$H$10*INDEX('Control Room'!$B$19:$H$19,1,WEEKDAY($A239,2))*(1+'Control Room'!$D$9)^237*'Process'!AJ239),2),"")</x:f>
      </x:c>
      <x:c r="J239" s="16" t="str">
        <x:f>IF(AND(AND(238&lt;='Control Room'!$B$3,'Control Room'!$D$3="Ready"),8&lt;='Control Room'!$B$2),ROUND(MAX(0,'Process'!AN239*'Control Room'!$H$11*INDEX('Control Room'!$B$19:$H$19,1,WEEKDAY($A239,2))*(1+'Control Room'!$D$9)^237*'Process'!AO239),2),"")</x:f>
      </x:c>
      <x:c r="K239" s="16" t="str">
        <x:f>IF(AND(AND(238&lt;='Control Room'!$B$3,'Control Room'!$D$3="Ready"),9&lt;='Control Room'!$B$2),ROUND(MAX(0,'Process'!AS239*'Control Room'!$H$12*INDEX('Control Room'!$B$19:$H$19,1,WEEKDAY($A239,2))*(1+'Control Room'!$D$9)^237*'Process'!AT239),2),"")</x:f>
      </x:c>
      <x:c r="L239" s="16" t="str">
        <x:f>IF(AND(AND(238&lt;='Control Room'!$B$3,'Control Room'!$D$3="Ready"),10&lt;='Control Room'!$B$2),ROUND(MAX(0,'Process'!AX239*'Control Room'!$H$13*INDEX('Control Room'!$B$19:$H$19,1,WEEKDAY($A239,2))*(1+'Control Room'!$D$9)^237*'Process'!AY239),2),"")</x:f>
      </x:c>
      <x:c r="M239" s="16" t="str">
        <x:f>IF(AND(AND(238&lt;='Control Room'!$B$3,'Control Room'!$D$3="Ready"),11&lt;='Control Room'!$B$2),ROUND(MAX(0,'Process'!BC239*'Control Room'!$H$14*INDEX('Control Room'!$B$19:$H$19,1,WEEKDAY($A239,2))*(1+'Control Room'!$D$9)^237*'Process'!BD239),2),"")</x:f>
      </x:c>
      <x:c r="N239" s="16" t="str">
        <x:f>IF(AND(AND(238&lt;='Control Room'!$B$3,'Control Room'!$D$3="Ready"),12&lt;='Control Room'!$B$2),ROUND(MAX(0,'Process'!BH239*'Control Room'!$H$15*INDEX('Control Room'!$B$19:$H$19,1,WEEKDAY($A239,2))*(1+'Control Room'!$D$9)^237*'Process'!BI239),2),"")</x:f>
      </x:c>
    </x:row>
    <x:row r="240" ht="21" customHeight="1">
      <x:c r="A240" s="15" t="str">
        <x:f>IF(AND(239&lt;='Control Room'!$B$3,'Control Room'!$D$3="Ready"),'Process'!A240,"")</x:f>
      </x:c>
      <x:c r="B240" s="16" t="str">
        <x:f>IF(A240="","",SUM(C240:N240))</x:f>
      </x:c>
      <x:c r="C240" s="16" t="str">
        <x:f>IF(AND(AND(239&lt;='Control Room'!$B$3,'Control Room'!$D$3="Ready"),1&lt;='Control Room'!$B$2),ROUND(MAX(0,'Process'!E240*'Control Room'!$H$4*INDEX('Control Room'!$B$19:$H$19,1,WEEKDAY($A240,2))*(1+'Control Room'!$D$9)^238*'Process'!F240),2),"")</x:f>
      </x:c>
      <x:c r="D240" s="16" t="str">
        <x:f>IF(AND(AND(239&lt;='Control Room'!$B$3,'Control Room'!$D$3="Ready"),2&lt;='Control Room'!$B$2),ROUND(MAX(0,'Process'!J240*'Control Room'!$H$5*INDEX('Control Room'!$B$19:$H$19,1,WEEKDAY($A240,2))*(1+'Control Room'!$D$9)^238*'Process'!K240),2),"")</x:f>
      </x:c>
      <x:c r="E240" s="16" t="str">
        <x:f>IF(AND(AND(239&lt;='Control Room'!$B$3,'Control Room'!$D$3="Ready"),3&lt;='Control Room'!$B$2),ROUND(MAX(0,'Process'!O240*'Control Room'!$H$6*INDEX('Control Room'!$B$19:$H$19,1,WEEKDAY($A240,2))*(1+'Control Room'!$D$9)^238*'Process'!P240),2),"")</x:f>
      </x:c>
      <x:c r="F240" s="16" t="str">
        <x:f>IF(AND(AND(239&lt;='Control Room'!$B$3,'Control Room'!$D$3="Ready"),4&lt;='Control Room'!$B$2),ROUND(MAX(0,'Process'!T240*'Control Room'!$H$7*INDEX('Control Room'!$B$19:$H$19,1,WEEKDAY($A240,2))*(1+'Control Room'!$D$9)^238*'Process'!U240),2),"")</x:f>
      </x:c>
      <x:c r="G240" s="16" t="str">
        <x:f>IF(AND(AND(239&lt;='Control Room'!$B$3,'Control Room'!$D$3="Ready"),5&lt;='Control Room'!$B$2),ROUND(MAX(0,'Process'!Y240*'Control Room'!$H$8*INDEX('Control Room'!$B$19:$H$19,1,WEEKDAY($A240,2))*(1+'Control Room'!$D$9)^238*'Process'!Z240),2),"")</x:f>
      </x:c>
      <x:c r="H240" s="16" t="str">
        <x:f>IF(AND(AND(239&lt;='Control Room'!$B$3,'Control Room'!$D$3="Ready"),6&lt;='Control Room'!$B$2),ROUND(MAX(0,'Process'!AD240*'Control Room'!$H$9*INDEX('Control Room'!$B$19:$H$19,1,WEEKDAY($A240,2))*(1+'Control Room'!$D$9)^238*'Process'!AE240),2),"")</x:f>
      </x:c>
      <x:c r="I240" s="16" t="str">
        <x:f>IF(AND(AND(239&lt;='Control Room'!$B$3,'Control Room'!$D$3="Ready"),7&lt;='Control Room'!$B$2),ROUND(MAX(0,'Process'!AI240*'Control Room'!$H$10*INDEX('Control Room'!$B$19:$H$19,1,WEEKDAY($A240,2))*(1+'Control Room'!$D$9)^238*'Process'!AJ240),2),"")</x:f>
      </x:c>
      <x:c r="J240" s="16" t="str">
        <x:f>IF(AND(AND(239&lt;='Control Room'!$B$3,'Control Room'!$D$3="Ready"),8&lt;='Control Room'!$B$2),ROUND(MAX(0,'Process'!AN240*'Control Room'!$H$11*INDEX('Control Room'!$B$19:$H$19,1,WEEKDAY($A240,2))*(1+'Control Room'!$D$9)^238*'Process'!AO240),2),"")</x:f>
      </x:c>
      <x:c r="K240" s="16" t="str">
        <x:f>IF(AND(AND(239&lt;='Control Room'!$B$3,'Control Room'!$D$3="Ready"),9&lt;='Control Room'!$B$2),ROUND(MAX(0,'Process'!AS240*'Control Room'!$H$12*INDEX('Control Room'!$B$19:$H$19,1,WEEKDAY($A240,2))*(1+'Control Room'!$D$9)^238*'Process'!AT240),2),"")</x:f>
      </x:c>
      <x:c r="L240" s="16" t="str">
        <x:f>IF(AND(AND(239&lt;='Control Room'!$B$3,'Control Room'!$D$3="Ready"),10&lt;='Control Room'!$B$2),ROUND(MAX(0,'Process'!AX240*'Control Room'!$H$13*INDEX('Control Room'!$B$19:$H$19,1,WEEKDAY($A240,2))*(1+'Control Room'!$D$9)^238*'Process'!AY240),2),"")</x:f>
      </x:c>
      <x:c r="M240" s="16" t="str">
        <x:f>IF(AND(AND(239&lt;='Control Room'!$B$3,'Control Room'!$D$3="Ready"),11&lt;='Control Room'!$B$2),ROUND(MAX(0,'Process'!BC240*'Control Room'!$H$14*INDEX('Control Room'!$B$19:$H$19,1,WEEKDAY($A240,2))*(1+'Control Room'!$D$9)^238*'Process'!BD240),2),"")</x:f>
      </x:c>
      <x:c r="N240" s="16" t="str">
        <x:f>IF(AND(AND(239&lt;='Control Room'!$B$3,'Control Room'!$D$3="Ready"),12&lt;='Control Room'!$B$2),ROUND(MAX(0,'Process'!BH240*'Control Room'!$H$15*INDEX('Control Room'!$B$19:$H$19,1,WEEKDAY($A240,2))*(1+'Control Room'!$D$9)^238*'Process'!BI240),2),"")</x:f>
      </x:c>
    </x:row>
    <x:row r="241" ht="21" customHeight="1">
      <x:c r="A241" s="15" t="str">
        <x:f>IF(AND(240&lt;='Control Room'!$B$3,'Control Room'!$D$3="Ready"),'Process'!A241,"")</x:f>
      </x:c>
      <x:c r="B241" s="16" t="str">
        <x:f>IF(A241="","",SUM(C241:N241))</x:f>
      </x:c>
      <x:c r="C241" s="16" t="str">
        <x:f>IF(AND(AND(240&lt;='Control Room'!$B$3,'Control Room'!$D$3="Ready"),1&lt;='Control Room'!$B$2),ROUND(MAX(0,'Process'!E241*'Control Room'!$H$4*INDEX('Control Room'!$B$19:$H$19,1,WEEKDAY($A241,2))*(1+'Control Room'!$D$9)^239*'Process'!F241),2),"")</x:f>
      </x:c>
      <x:c r="D241" s="16" t="str">
        <x:f>IF(AND(AND(240&lt;='Control Room'!$B$3,'Control Room'!$D$3="Ready"),2&lt;='Control Room'!$B$2),ROUND(MAX(0,'Process'!J241*'Control Room'!$H$5*INDEX('Control Room'!$B$19:$H$19,1,WEEKDAY($A241,2))*(1+'Control Room'!$D$9)^239*'Process'!K241),2),"")</x:f>
      </x:c>
      <x:c r="E241" s="16" t="str">
        <x:f>IF(AND(AND(240&lt;='Control Room'!$B$3,'Control Room'!$D$3="Ready"),3&lt;='Control Room'!$B$2),ROUND(MAX(0,'Process'!O241*'Control Room'!$H$6*INDEX('Control Room'!$B$19:$H$19,1,WEEKDAY($A241,2))*(1+'Control Room'!$D$9)^239*'Process'!P241),2),"")</x:f>
      </x:c>
      <x:c r="F241" s="16" t="str">
        <x:f>IF(AND(AND(240&lt;='Control Room'!$B$3,'Control Room'!$D$3="Ready"),4&lt;='Control Room'!$B$2),ROUND(MAX(0,'Process'!T241*'Control Room'!$H$7*INDEX('Control Room'!$B$19:$H$19,1,WEEKDAY($A241,2))*(1+'Control Room'!$D$9)^239*'Process'!U241),2),"")</x:f>
      </x:c>
      <x:c r="G241" s="16" t="str">
        <x:f>IF(AND(AND(240&lt;='Control Room'!$B$3,'Control Room'!$D$3="Ready"),5&lt;='Control Room'!$B$2),ROUND(MAX(0,'Process'!Y241*'Control Room'!$H$8*INDEX('Control Room'!$B$19:$H$19,1,WEEKDAY($A241,2))*(1+'Control Room'!$D$9)^239*'Process'!Z241),2),"")</x:f>
      </x:c>
      <x:c r="H241" s="16" t="str">
        <x:f>IF(AND(AND(240&lt;='Control Room'!$B$3,'Control Room'!$D$3="Ready"),6&lt;='Control Room'!$B$2),ROUND(MAX(0,'Process'!AD241*'Control Room'!$H$9*INDEX('Control Room'!$B$19:$H$19,1,WEEKDAY($A241,2))*(1+'Control Room'!$D$9)^239*'Process'!AE241),2),"")</x:f>
      </x:c>
      <x:c r="I241" s="16" t="str">
        <x:f>IF(AND(AND(240&lt;='Control Room'!$B$3,'Control Room'!$D$3="Ready"),7&lt;='Control Room'!$B$2),ROUND(MAX(0,'Process'!AI241*'Control Room'!$H$10*INDEX('Control Room'!$B$19:$H$19,1,WEEKDAY($A241,2))*(1+'Control Room'!$D$9)^239*'Process'!AJ241),2),"")</x:f>
      </x:c>
      <x:c r="J241" s="16" t="str">
        <x:f>IF(AND(AND(240&lt;='Control Room'!$B$3,'Control Room'!$D$3="Ready"),8&lt;='Control Room'!$B$2),ROUND(MAX(0,'Process'!AN241*'Control Room'!$H$11*INDEX('Control Room'!$B$19:$H$19,1,WEEKDAY($A241,2))*(1+'Control Room'!$D$9)^239*'Process'!AO241),2),"")</x:f>
      </x:c>
      <x:c r="K241" s="16" t="str">
        <x:f>IF(AND(AND(240&lt;='Control Room'!$B$3,'Control Room'!$D$3="Ready"),9&lt;='Control Room'!$B$2),ROUND(MAX(0,'Process'!AS241*'Control Room'!$H$12*INDEX('Control Room'!$B$19:$H$19,1,WEEKDAY($A241,2))*(1+'Control Room'!$D$9)^239*'Process'!AT241),2),"")</x:f>
      </x:c>
      <x:c r="L241" s="16" t="str">
        <x:f>IF(AND(AND(240&lt;='Control Room'!$B$3,'Control Room'!$D$3="Ready"),10&lt;='Control Room'!$B$2),ROUND(MAX(0,'Process'!AX241*'Control Room'!$H$13*INDEX('Control Room'!$B$19:$H$19,1,WEEKDAY($A241,2))*(1+'Control Room'!$D$9)^239*'Process'!AY241),2),"")</x:f>
      </x:c>
      <x:c r="M241" s="16" t="str">
        <x:f>IF(AND(AND(240&lt;='Control Room'!$B$3,'Control Room'!$D$3="Ready"),11&lt;='Control Room'!$B$2),ROUND(MAX(0,'Process'!BC241*'Control Room'!$H$14*INDEX('Control Room'!$B$19:$H$19,1,WEEKDAY($A241,2))*(1+'Control Room'!$D$9)^239*'Process'!BD241),2),"")</x:f>
      </x:c>
      <x:c r="N241" s="16" t="str">
        <x:f>IF(AND(AND(240&lt;='Control Room'!$B$3,'Control Room'!$D$3="Ready"),12&lt;='Control Room'!$B$2),ROUND(MAX(0,'Process'!BH241*'Control Room'!$H$15*INDEX('Control Room'!$B$19:$H$19,1,WEEKDAY($A241,2))*(1+'Control Room'!$D$9)^239*'Process'!BI241),2),"")</x:f>
      </x:c>
    </x:row>
    <x:row r="242" ht="21" customHeight="1">
      <x:c r="A242" s="15" t="str">
        <x:f>IF(AND(241&lt;='Control Room'!$B$3,'Control Room'!$D$3="Ready"),'Process'!A242,"")</x:f>
      </x:c>
      <x:c r="B242" s="16" t="str">
        <x:f>IF(A242="","",SUM(C242:N242))</x:f>
      </x:c>
      <x:c r="C242" s="16" t="str">
        <x:f>IF(AND(AND(241&lt;='Control Room'!$B$3,'Control Room'!$D$3="Ready"),1&lt;='Control Room'!$B$2),ROUND(MAX(0,'Process'!E242*'Control Room'!$H$4*INDEX('Control Room'!$B$19:$H$19,1,WEEKDAY($A242,2))*(1+'Control Room'!$D$9)^240*'Process'!F242),2),"")</x:f>
      </x:c>
      <x:c r="D242" s="16" t="str">
        <x:f>IF(AND(AND(241&lt;='Control Room'!$B$3,'Control Room'!$D$3="Ready"),2&lt;='Control Room'!$B$2),ROUND(MAX(0,'Process'!J242*'Control Room'!$H$5*INDEX('Control Room'!$B$19:$H$19,1,WEEKDAY($A242,2))*(1+'Control Room'!$D$9)^240*'Process'!K242),2),"")</x:f>
      </x:c>
      <x:c r="E242" s="16" t="str">
        <x:f>IF(AND(AND(241&lt;='Control Room'!$B$3,'Control Room'!$D$3="Ready"),3&lt;='Control Room'!$B$2),ROUND(MAX(0,'Process'!O242*'Control Room'!$H$6*INDEX('Control Room'!$B$19:$H$19,1,WEEKDAY($A242,2))*(1+'Control Room'!$D$9)^240*'Process'!P242),2),"")</x:f>
      </x:c>
      <x:c r="F242" s="16" t="str">
        <x:f>IF(AND(AND(241&lt;='Control Room'!$B$3,'Control Room'!$D$3="Ready"),4&lt;='Control Room'!$B$2),ROUND(MAX(0,'Process'!T242*'Control Room'!$H$7*INDEX('Control Room'!$B$19:$H$19,1,WEEKDAY($A242,2))*(1+'Control Room'!$D$9)^240*'Process'!U242),2),"")</x:f>
      </x:c>
      <x:c r="G242" s="16" t="str">
        <x:f>IF(AND(AND(241&lt;='Control Room'!$B$3,'Control Room'!$D$3="Ready"),5&lt;='Control Room'!$B$2),ROUND(MAX(0,'Process'!Y242*'Control Room'!$H$8*INDEX('Control Room'!$B$19:$H$19,1,WEEKDAY($A242,2))*(1+'Control Room'!$D$9)^240*'Process'!Z242),2),"")</x:f>
      </x:c>
      <x:c r="H242" s="16" t="str">
        <x:f>IF(AND(AND(241&lt;='Control Room'!$B$3,'Control Room'!$D$3="Ready"),6&lt;='Control Room'!$B$2),ROUND(MAX(0,'Process'!AD242*'Control Room'!$H$9*INDEX('Control Room'!$B$19:$H$19,1,WEEKDAY($A242,2))*(1+'Control Room'!$D$9)^240*'Process'!AE242),2),"")</x:f>
      </x:c>
      <x:c r="I242" s="16" t="str">
        <x:f>IF(AND(AND(241&lt;='Control Room'!$B$3,'Control Room'!$D$3="Ready"),7&lt;='Control Room'!$B$2),ROUND(MAX(0,'Process'!AI242*'Control Room'!$H$10*INDEX('Control Room'!$B$19:$H$19,1,WEEKDAY($A242,2))*(1+'Control Room'!$D$9)^240*'Process'!AJ242),2),"")</x:f>
      </x:c>
      <x:c r="J242" s="16" t="str">
        <x:f>IF(AND(AND(241&lt;='Control Room'!$B$3,'Control Room'!$D$3="Ready"),8&lt;='Control Room'!$B$2),ROUND(MAX(0,'Process'!AN242*'Control Room'!$H$11*INDEX('Control Room'!$B$19:$H$19,1,WEEKDAY($A242,2))*(1+'Control Room'!$D$9)^240*'Process'!AO242),2),"")</x:f>
      </x:c>
      <x:c r="K242" s="16" t="str">
        <x:f>IF(AND(AND(241&lt;='Control Room'!$B$3,'Control Room'!$D$3="Ready"),9&lt;='Control Room'!$B$2),ROUND(MAX(0,'Process'!AS242*'Control Room'!$H$12*INDEX('Control Room'!$B$19:$H$19,1,WEEKDAY($A242,2))*(1+'Control Room'!$D$9)^240*'Process'!AT242),2),"")</x:f>
      </x:c>
      <x:c r="L242" s="16" t="str">
        <x:f>IF(AND(AND(241&lt;='Control Room'!$B$3,'Control Room'!$D$3="Ready"),10&lt;='Control Room'!$B$2),ROUND(MAX(0,'Process'!AX242*'Control Room'!$H$13*INDEX('Control Room'!$B$19:$H$19,1,WEEKDAY($A242,2))*(1+'Control Room'!$D$9)^240*'Process'!AY242),2),"")</x:f>
      </x:c>
      <x:c r="M242" s="16" t="str">
        <x:f>IF(AND(AND(241&lt;='Control Room'!$B$3,'Control Room'!$D$3="Ready"),11&lt;='Control Room'!$B$2),ROUND(MAX(0,'Process'!BC242*'Control Room'!$H$14*INDEX('Control Room'!$B$19:$H$19,1,WEEKDAY($A242,2))*(1+'Control Room'!$D$9)^240*'Process'!BD242),2),"")</x:f>
      </x:c>
      <x:c r="N242" s="16" t="str">
        <x:f>IF(AND(AND(241&lt;='Control Room'!$B$3,'Control Room'!$D$3="Ready"),12&lt;='Control Room'!$B$2),ROUND(MAX(0,'Process'!BH242*'Control Room'!$H$15*INDEX('Control Room'!$B$19:$H$19,1,WEEKDAY($A242,2))*(1+'Control Room'!$D$9)^240*'Process'!BI242),2),"")</x:f>
      </x:c>
    </x:row>
    <x:row r="243" ht="21" customHeight="1">
      <x:c r="A243" s="15" t="str">
        <x:f>IF(AND(242&lt;='Control Room'!$B$3,'Control Room'!$D$3="Ready"),'Process'!A243,"")</x:f>
      </x:c>
      <x:c r="B243" s="16" t="str">
        <x:f>IF(A243="","",SUM(C243:N243))</x:f>
      </x:c>
      <x:c r="C243" s="16" t="str">
        <x:f>IF(AND(AND(242&lt;='Control Room'!$B$3,'Control Room'!$D$3="Ready"),1&lt;='Control Room'!$B$2),ROUND(MAX(0,'Process'!E243*'Control Room'!$H$4*INDEX('Control Room'!$B$19:$H$19,1,WEEKDAY($A243,2))*(1+'Control Room'!$D$9)^241*'Process'!F243),2),"")</x:f>
      </x:c>
      <x:c r="D243" s="16" t="str">
        <x:f>IF(AND(AND(242&lt;='Control Room'!$B$3,'Control Room'!$D$3="Ready"),2&lt;='Control Room'!$B$2),ROUND(MAX(0,'Process'!J243*'Control Room'!$H$5*INDEX('Control Room'!$B$19:$H$19,1,WEEKDAY($A243,2))*(1+'Control Room'!$D$9)^241*'Process'!K243),2),"")</x:f>
      </x:c>
      <x:c r="E243" s="16" t="str">
        <x:f>IF(AND(AND(242&lt;='Control Room'!$B$3,'Control Room'!$D$3="Ready"),3&lt;='Control Room'!$B$2),ROUND(MAX(0,'Process'!O243*'Control Room'!$H$6*INDEX('Control Room'!$B$19:$H$19,1,WEEKDAY($A243,2))*(1+'Control Room'!$D$9)^241*'Process'!P243),2),"")</x:f>
      </x:c>
      <x:c r="F243" s="16" t="str">
        <x:f>IF(AND(AND(242&lt;='Control Room'!$B$3,'Control Room'!$D$3="Ready"),4&lt;='Control Room'!$B$2),ROUND(MAX(0,'Process'!T243*'Control Room'!$H$7*INDEX('Control Room'!$B$19:$H$19,1,WEEKDAY($A243,2))*(1+'Control Room'!$D$9)^241*'Process'!U243),2),"")</x:f>
      </x:c>
      <x:c r="G243" s="16" t="str">
        <x:f>IF(AND(AND(242&lt;='Control Room'!$B$3,'Control Room'!$D$3="Ready"),5&lt;='Control Room'!$B$2),ROUND(MAX(0,'Process'!Y243*'Control Room'!$H$8*INDEX('Control Room'!$B$19:$H$19,1,WEEKDAY($A243,2))*(1+'Control Room'!$D$9)^241*'Process'!Z243),2),"")</x:f>
      </x:c>
      <x:c r="H243" s="16" t="str">
        <x:f>IF(AND(AND(242&lt;='Control Room'!$B$3,'Control Room'!$D$3="Ready"),6&lt;='Control Room'!$B$2),ROUND(MAX(0,'Process'!AD243*'Control Room'!$H$9*INDEX('Control Room'!$B$19:$H$19,1,WEEKDAY($A243,2))*(1+'Control Room'!$D$9)^241*'Process'!AE243),2),"")</x:f>
      </x:c>
      <x:c r="I243" s="16" t="str">
        <x:f>IF(AND(AND(242&lt;='Control Room'!$B$3,'Control Room'!$D$3="Ready"),7&lt;='Control Room'!$B$2),ROUND(MAX(0,'Process'!AI243*'Control Room'!$H$10*INDEX('Control Room'!$B$19:$H$19,1,WEEKDAY($A243,2))*(1+'Control Room'!$D$9)^241*'Process'!AJ243),2),"")</x:f>
      </x:c>
      <x:c r="J243" s="16" t="str">
        <x:f>IF(AND(AND(242&lt;='Control Room'!$B$3,'Control Room'!$D$3="Ready"),8&lt;='Control Room'!$B$2),ROUND(MAX(0,'Process'!AN243*'Control Room'!$H$11*INDEX('Control Room'!$B$19:$H$19,1,WEEKDAY($A243,2))*(1+'Control Room'!$D$9)^241*'Process'!AO243),2),"")</x:f>
      </x:c>
      <x:c r="K243" s="16" t="str">
        <x:f>IF(AND(AND(242&lt;='Control Room'!$B$3,'Control Room'!$D$3="Ready"),9&lt;='Control Room'!$B$2),ROUND(MAX(0,'Process'!AS243*'Control Room'!$H$12*INDEX('Control Room'!$B$19:$H$19,1,WEEKDAY($A243,2))*(1+'Control Room'!$D$9)^241*'Process'!AT243),2),"")</x:f>
      </x:c>
      <x:c r="L243" s="16" t="str">
        <x:f>IF(AND(AND(242&lt;='Control Room'!$B$3,'Control Room'!$D$3="Ready"),10&lt;='Control Room'!$B$2),ROUND(MAX(0,'Process'!AX243*'Control Room'!$H$13*INDEX('Control Room'!$B$19:$H$19,1,WEEKDAY($A243,2))*(1+'Control Room'!$D$9)^241*'Process'!AY243),2),"")</x:f>
      </x:c>
      <x:c r="M243" s="16" t="str">
        <x:f>IF(AND(AND(242&lt;='Control Room'!$B$3,'Control Room'!$D$3="Ready"),11&lt;='Control Room'!$B$2),ROUND(MAX(0,'Process'!BC243*'Control Room'!$H$14*INDEX('Control Room'!$B$19:$H$19,1,WEEKDAY($A243,2))*(1+'Control Room'!$D$9)^241*'Process'!BD243),2),"")</x:f>
      </x:c>
      <x:c r="N243" s="16" t="str">
        <x:f>IF(AND(AND(242&lt;='Control Room'!$B$3,'Control Room'!$D$3="Ready"),12&lt;='Control Room'!$B$2),ROUND(MAX(0,'Process'!BH243*'Control Room'!$H$15*INDEX('Control Room'!$B$19:$H$19,1,WEEKDAY($A243,2))*(1+'Control Room'!$D$9)^241*'Process'!BI243),2),"")</x:f>
      </x:c>
    </x:row>
    <x:row r="244" ht="21" customHeight="1">
      <x:c r="A244" s="15" t="str">
        <x:f>IF(AND(243&lt;='Control Room'!$B$3,'Control Room'!$D$3="Ready"),'Process'!A244,"")</x:f>
      </x:c>
      <x:c r="B244" s="16" t="str">
        <x:f>IF(A244="","",SUM(C244:N244))</x:f>
      </x:c>
      <x:c r="C244" s="16" t="str">
        <x:f>IF(AND(AND(243&lt;='Control Room'!$B$3,'Control Room'!$D$3="Ready"),1&lt;='Control Room'!$B$2),ROUND(MAX(0,'Process'!E244*'Control Room'!$H$4*INDEX('Control Room'!$B$19:$H$19,1,WEEKDAY($A244,2))*(1+'Control Room'!$D$9)^242*'Process'!F244),2),"")</x:f>
      </x:c>
      <x:c r="D244" s="16" t="str">
        <x:f>IF(AND(AND(243&lt;='Control Room'!$B$3,'Control Room'!$D$3="Ready"),2&lt;='Control Room'!$B$2),ROUND(MAX(0,'Process'!J244*'Control Room'!$H$5*INDEX('Control Room'!$B$19:$H$19,1,WEEKDAY($A244,2))*(1+'Control Room'!$D$9)^242*'Process'!K244),2),"")</x:f>
      </x:c>
      <x:c r="E244" s="16" t="str">
        <x:f>IF(AND(AND(243&lt;='Control Room'!$B$3,'Control Room'!$D$3="Ready"),3&lt;='Control Room'!$B$2),ROUND(MAX(0,'Process'!O244*'Control Room'!$H$6*INDEX('Control Room'!$B$19:$H$19,1,WEEKDAY($A244,2))*(1+'Control Room'!$D$9)^242*'Process'!P244),2),"")</x:f>
      </x:c>
      <x:c r="F244" s="16" t="str">
        <x:f>IF(AND(AND(243&lt;='Control Room'!$B$3,'Control Room'!$D$3="Ready"),4&lt;='Control Room'!$B$2),ROUND(MAX(0,'Process'!T244*'Control Room'!$H$7*INDEX('Control Room'!$B$19:$H$19,1,WEEKDAY($A244,2))*(1+'Control Room'!$D$9)^242*'Process'!U244),2),"")</x:f>
      </x:c>
      <x:c r="G244" s="16" t="str">
        <x:f>IF(AND(AND(243&lt;='Control Room'!$B$3,'Control Room'!$D$3="Ready"),5&lt;='Control Room'!$B$2),ROUND(MAX(0,'Process'!Y244*'Control Room'!$H$8*INDEX('Control Room'!$B$19:$H$19,1,WEEKDAY($A244,2))*(1+'Control Room'!$D$9)^242*'Process'!Z244),2),"")</x:f>
      </x:c>
      <x:c r="H244" s="16" t="str">
        <x:f>IF(AND(AND(243&lt;='Control Room'!$B$3,'Control Room'!$D$3="Ready"),6&lt;='Control Room'!$B$2),ROUND(MAX(0,'Process'!AD244*'Control Room'!$H$9*INDEX('Control Room'!$B$19:$H$19,1,WEEKDAY($A244,2))*(1+'Control Room'!$D$9)^242*'Process'!AE244),2),"")</x:f>
      </x:c>
      <x:c r="I244" s="16" t="str">
        <x:f>IF(AND(AND(243&lt;='Control Room'!$B$3,'Control Room'!$D$3="Ready"),7&lt;='Control Room'!$B$2),ROUND(MAX(0,'Process'!AI244*'Control Room'!$H$10*INDEX('Control Room'!$B$19:$H$19,1,WEEKDAY($A244,2))*(1+'Control Room'!$D$9)^242*'Process'!AJ244),2),"")</x:f>
      </x:c>
      <x:c r="J244" s="16" t="str">
        <x:f>IF(AND(AND(243&lt;='Control Room'!$B$3,'Control Room'!$D$3="Ready"),8&lt;='Control Room'!$B$2),ROUND(MAX(0,'Process'!AN244*'Control Room'!$H$11*INDEX('Control Room'!$B$19:$H$19,1,WEEKDAY($A244,2))*(1+'Control Room'!$D$9)^242*'Process'!AO244),2),"")</x:f>
      </x:c>
      <x:c r="K244" s="16" t="str">
        <x:f>IF(AND(AND(243&lt;='Control Room'!$B$3,'Control Room'!$D$3="Ready"),9&lt;='Control Room'!$B$2),ROUND(MAX(0,'Process'!AS244*'Control Room'!$H$12*INDEX('Control Room'!$B$19:$H$19,1,WEEKDAY($A244,2))*(1+'Control Room'!$D$9)^242*'Process'!AT244),2),"")</x:f>
      </x:c>
      <x:c r="L244" s="16" t="str">
        <x:f>IF(AND(AND(243&lt;='Control Room'!$B$3,'Control Room'!$D$3="Ready"),10&lt;='Control Room'!$B$2),ROUND(MAX(0,'Process'!AX244*'Control Room'!$H$13*INDEX('Control Room'!$B$19:$H$19,1,WEEKDAY($A244,2))*(1+'Control Room'!$D$9)^242*'Process'!AY244),2),"")</x:f>
      </x:c>
      <x:c r="M244" s="16" t="str">
        <x:f>IF(AND(AND(243&lt;='Control Room'!$B$3,'Control Room'!$D$3="Ready"),11&lt;='Control Room'!$B$2),ROUND(MAX(0,'Process'!BC244*'Control Room'!$H$14*INDEX('Control Room'!$B$19:$H$19,1,WEEKDAY($A244,2))*(1+'Control Room'!$D$9)^242*'Process'!BD244),2),"")</x:f>
      </x:c>
      <x:c r="N244" s="16" t="str">
        <x:f>IF(AND(AND(243&lt;='Control Room'!$B$3,'Control Room'!$D$3="Ready"),12&lt;='Control Room'!$B$2),ROUND(MAX(0,'Process'!BH244*'Control Room'!$H$15*INDEX('Control Room'!$B$19:$H$19,1,WEEKDAY($A244,2))*(1+'Control Room'!$D$9)^242*'Process'!BI244),2),"")</x:f>
      </x:c>
    </x:row>
    <x:row r="245" ht="21" customHeight="1">
      <x:c r="A245" s="15" t="str">
        <x:f>IF(AND(244&lt;='Control Room'!$B$3,'Control Room'!$D$3="Ready"),'Process'!A245,"")</x:f>
      </x:c>
      <x:c r="B245" s="16" t="str">
        <x:f>IF(A245="","",SUM(C245:N245))</x:f>
      </x:c>
      <x:c r="C245" s="16" t="str">
        <x:f>IF(AND(AND(244&lt;='Control Room'!$B$3,'Control Room'!$D$3="Ready"),1&lt;='Control Room'!$B$2),ROUND(MAX(0,'Process'!E245*'Control Room'!$H$4*INDEX('Control Room'!$B$19:$H$19,1,WEEKDAY($A245,2))*(1+'Control Room'!$D$9)^243*'Process'!F245),2),"")</x:f>
      </x:c>
      <x:c r="D245" s="16" t="str">
        <x:f>IF(AND(AND(244&lt;='Control Room'!$B$3,'Control Room'!$D$3="Ready"),2&lt;='Control Room'!$B$2),ROUND(MAX(0,'Process'!J245*'Control Room'!$H$5*INDEX('Control Room'!$B$19:$H$19,1,WEEKDAY($A245,2))*(1+'Control Room'!$D$9)^243*'Process'!K245),2),"")</x:f>
      </x:c>
      <x:c r="E245" s="16" t="str">
        <x:f>IF(AND(AND(244&lt;='Control Room'!$B$3,'Control Room'!$D$3="Ready"),3&lt;='Control Room'!$B$2),ROUND(MAX(0,'Process'!O245*'Control Room'!$H$6*INDEX('Control Room'!$B$19:$H$19,1,WEEKDAY($A245,2))*(1+'Control Room'!$D$9)^243*'Process'!P245),2),"")</x:f>
      </x:c>
      <x:c r="F245" s="16" t="str">
        <x:f>IF(AND(AND(244&lt;='Control Room'!$B$3,'Control Room'!$D$3="Ready"),4&lt;='Control Room'!$B$2),ROUND(MAX(0,'Process'!T245*'Control Room'!$H$7*INDEX('Control Room'!$B$19:$H$19,1,WEEKDAY($A245,2))*(1+'Control Room'!$D$9)^243*'Process'!U245),2),"")</x:f>
      </x:c>
      <x:c r="G245" s="16" t="str">
        <x:f>IF(AND(AND(244&lt;='Control Room'!$B$3,'Control Room'!$D$3="Ready"),5&lt;='Control Room'!$B$2),ROUND(MAX(0,'Process'!Y245*'Control Room'!$H$8*INDEX('Control Room'!$B$19:$H$19,1,WEEKDAY($A245,2))*(1+'Control Room'!$D$9)^243*'Process'!Z245),2),"")</x:f>
      </x:c>
      <x:c r="H245" s="16" t="str">
        <x:f>IF(AND(AND(244&lt;='Control Room'!$B$3,'Control Room'!$D$3="Ready"),6&lt;='Control Room'!$B$2),ROUND(MAX(0,'Process'!AD245*'Control Room'!$H$9*INDEX('Control Room'!$B$19:$H$19,1,WEEKDAY($A245,2))*(1+'Control Room'!$D$9)^243*'Process'!AE245),2),"")</x:f>
      </x:c>
      <x:c r="I245" s="16" t="str">
        <x:f>IF(AND(AND(244&lt;='Control Room'!$B$3,'Control Room'!$D$3="Ready"),7&lt;='Control Room'!$B$2),ROUND(MAX(0,'Process'!AI245*'Control Room'!$H$10*INDEX('Control Room'!$B$19:$H$19,1,WEEKDAY($A245,2))*(1+'Control Room'!$D$9)^243*'Process'!AJ245),2),"")</x:f>
      </x:c>
      <x:c r="J245" s="16" t="str">
        <x:f>IF(AND(AND(244&lt;='Control Room'!$B$3,'Control Room'!$D$3="Ready"),8&lt;='Control Room'!$B$2),ROUND(MAX(0,'Process'!AN245*'Control Room'!$H$11*INDEX('Control Room'!$B$19:$H$19,1,WEEKDAY($A245,2))*(1+'Control Room'!$D$9)^243*'Process'!AO245),2),"")</x:f>
      </x:c>
      <x:c r="K245" s="16" t="str">
        <x:f>IF(AND(AND(244&lt;='Control Room'!$B$3,'Control Room'!$D$3="Ready"),9&lt;='Control Room'!$B$2),ROUND(MAX(0,'Process'!AS245*'Control Room'!$H$12*INDEX('Control Room'!$B$19:$H$19,1,WEEKDAY($A245,2))*(1+'Control Room'!$D$9)^243*'Process'!AT245),2),"")</x:f>
      </x:c>
      <x:c r="L245" s="16" t="str">
        <x:f>IF(AND(AND(244&lt;='Control Room'!$B$3,'Control Room'!$D$3="Ready"),10&lt;='Control Room'!$B$2),ROUND(MAX(0,'Process'!AX245*'Control Room'!$H$13*INDEX('Control Room'!$B$19:$H$19,1,WEEKDAY($A245,2))*(1+'Control Room'!$D$9)^243*'Process'!AY245),2),"")</x:f>
      </x:c>
      <x:c r="M245" s="16" t="str">
        <x:f>IF(AND(AND(244&lt;='Control Room'!$B$3,'Control Room'!$D$3="Ready"),11&lt;='Control Room'!$B$2),ROUND(MAX(0,'Process'!BC245*'Control Room'!$H$14*INDEX('Control Room'!$B$19:$H$19,1,WEEKDAY($A245,2))*(1+'Control Room'!$D$9)^243*'Process'!BD245),2),"")</x:f>
      </x:c>
      <x:c r="N245" s="16" t="str">
        <x:f>IF(AND(AND(244&lt;='Control Room'!$B$3,'Control Room'!$D$3="Ready"),12&lt;='Control Room'!$B$2),ROUND(MAX(0,'Process'!BH245*'Control Room'!$H$15*INDEX('Control Room'!$B$19:$H$19,1,WEEKDAY($A245,2))*(1+'Control Room'!$D$9)^243*'Process'!BI245),2),"")</x:f>
      </x:c>
    </x:row>
    <x:row r="246" ht="21" customHeight="1">
      <x:c r="A246" s="15" t="str">
        <x:f>IF(AND(245&lt;='Control Room'!$B$3,'Control Room'!$D$3="Ready"),'Process'!A246,"")</x:f>
      </x:c>
      <x:c r="B246" s="16" t="str">
        <x:f>IF(A246="","",SUM(C246:N246))</x:f>
      </x:c>
      <x:c r="C246" s="16" t="str">
        <x:f>IF(AND(AND(245&lt;='Control Room'!$B$3,'Control Room'!$D$3="Ready"),1&lt;='Control Room'!$B$2),ROUND(MAX(0,'Process'!E246*'Control Room'!$H$4*INDEX('Control Room'!$B$19:$H$19,1,WEEKDAY($A246,2))*(1+'Control Room'!$D$9)^244*'Process'!F246),2),"")</x:f>
      </x:c>
      <x:c r="D246" s="16" t="str">
        <x:f>IF(AND(AND(245&lt;='Control Room'!$B$3,'Control Room'!$D$3="Ready"),2&lt;='Control Room'!$B$2),ROUND(MAX(0,'Process'!J246*'Control Room'!$H$5*INDEX('Control Room'!$B$19:$H$19,1,WEEKDAY($A246,2))*(1+'Control Room'!$D$9)^244*'Process'!K246),2),"")</x:f>
      </x:c>
      <x:c r="E246" s="16" t="str">
        <x:f>IF(AND(AND(245&lt;='Control Room'!$B$3,'Control Room'!$D$3="Ready"),3&lt;='Control Room'!$B$2),ROUND(MAX(0,'Process'!O246*'Control Room'!$H$6*INDEX('Control Room'!$B$19:$H$19,1,WEEKDAY($A246,2))*(1+'Control Room'!$D$9)^244*'Process'!P246),2),"")</x:f>
      </x:c>
      <x:c r="F246" s="16" t="str">
        <x:f>IF(AND(AND(245&lt;='Control Room'!$B$3,'Control Room'!$D$3="Ready"),4&lt;='Control Room'!$B$2),ROUND(MAX(0,'Process'!T246*'Control Room'!$H$7*INDEX('Control Room'!$B$19:$H$19,1,WEEKDAY($A246,2))*(1+'Control Room'!$D$9)^244*'Process'!U246),2),"")</x:f>
      </x:c>
      <x:c r="G246" s="16" t="str">
        <x:f>IF(AND(AND(245&lt;='Control Room'!$B$3,'Control Room'!$D$3="Ready"),5&lt;='Control Room'!$B$2),ROUND(MAX(0,'Process'!Y246*'Control Room'!$H$8*INDEX('Control Room'!$B$19:$H$19,1,WEEKDAY($A246,2))*(1+'Control Room'!$D$9)^244*'Process'!Z246),2),"")</x:f>
      </x:c>
      <x:c r="H246" s="16" t="str">
        <x:f>IF(AND(AND(245&lt;='Control Room'!$B$3,'Control Room'!$D$3="Ready"),6&lt;='Control Room'!$B$2),ROUND(MAX(0,'Process'!AD246*'Control Room'!$H$9*INDEX('Control Room'!$B$19:$H$19,1,WEEKDAY($A246,2))*(1+'Control Room'!$D$9)^244*'Process'!AE246),2),"")</x:f>
      </x:c>
      <x:c r="I246" s="16" t="str">
        <x:f>IF(AND(AND(245&lt;='Control Room'!$B$3,'Control Room'!$D$3="Ready"),7&lt;='Control Room'!$B$2),ROUND(MAX(0,'Process'!AI246*'Control Room'!$H$10*INDEX('Control Room'!$B$19:$H$19,1,WEEKDAY($A246,2))*(1+'Control Room'!$D$9)^244*'Process'!AJ246),2),"")</x:f>
      </x:c>
      <x:c r="J246" s="16" t="str">
        <x:f>IF(AND(AND(245&lt;='Control Room'!$B$3,'Control Room'!$D$3="Ready"),8&lt;='Control Room'!$B$2),ROUND(MAX(0,'Process'!AN246*'Control Room'!$H$11*INDEX('Control Room'!$B$19:$H$19,1,WEEKDAY($A246,2))*(1+'Control Room'!$D$9)^244*'Process'!AO246),2),"")</x:f>
      </x:c>
      <x:c r="K246" s="16" t="str">
        <x:f>IF(AND(AND(245&lt;='Control Room'!$B$3,'Control Room'!$D$3="Ready"),9&lt;='Control Room'!$B$2),ROUND(MAX(0,'Process'!AS246*'Control Room'!$H$12*INDEX('Control Room'!$B$19:$H$19,1,WEEKDAY($A246,2))*(1+'Control Room'!$D$9)^244*'Process'!AT246),2),"")</x:f>
      </x:c>
      <x:c r="L246" s="16" t="str">
        <x:f>IF(AND(AND(245&lt;='Control Room'!$B$3,'Control Room'!$D$3="Ready"),10&lt;='Control Room'!$B$2),ROUND(MAX(0,'Process'!AX246*'Control Room'!$H$13*INDEX('Control Room'!$B$19:$H$19,1,WEEKDAY($A246,2))*(1+'Control Room'!$D$9)^244*'Process'!AY246),2),"")</x:f>
      </x:c>
      <x:c r="M246" s="16" t="str">
        <x:f>IF(AND(AND(245&lt;='Control Room'!$B$3,'Control Room'!$D$3="Ready"),11&lt;='Control Room'!$B$2),ROUND(MAX(0,'Process'!BC246*'Control Room'!$H$14*INDEX('Control Room'!$B$19:$H$19,1,WEEKDAY($A246,2))*(1+'Control Room'!$D$9)^244*'Process'!BD246),2),"")</x:f>
      </x:c>
      <x:c r="N246" s="16" t="str">
        <x:f>IF(AND(AND(245&lt;='Control Room'!$B$3,'Control Room'!$D$3="Ready"),12&lt;='Control Room'!$B$2),ROUND(MAX(0,'Process'!BH246*'Control Room'!$H$15*INDEX('Control Room'!$B$19:$H$19,1,WEEKDAY($A246,2))*(1+'Control Room'!$D$9)^244*'Process'!BI246),2),"")</x:f>
      </x:c>
    </x:row>
    <x:row r="247" ht="21" customHeight="1">
      <x:c r="A247" s="15" t="str">
        <x:f>IF(AND(246&lt;='Control Room'!$B$3,'Control Room'!$D$3="Ready"),'Process'!A247,"")</x:f>
      </x:c>
      <x:c r="B247" s="16" t="str">
        <x:f>IF(A247="","",SUM(C247:N247))</x:f>
      </x:c>
      <x:c r="C247" s="16" t="str">
        <x:f>IF(AND(AND(246&lt;='Control Room'!$B$3,'Control Room'!$D$3="Ready"),1&lt;='Control Room'!$B$2),ROUND(MAX(0,'Process'!E247*'Control Room'!$H$4*INDEX('Control Room'!$B$19:$H$19,1,WEEKDAY($A247,2))*(1+'Control Room'!$D$9)^245*'Process'!F247),2),"")</x:f>
      </x:c>
      <x:c r="D247" s="16" t="str">
        <x:f>IF(AND(AND(246&lt;='Control Room'!$B$3,'Control Room'!$D$3="Ready"),2&lt;='Control Room'!$B$2),ROUND(MAX(0,'Process'!J247*'Control Room'!$H$5*INDEX('Control Room'!$B$19:$H$19,1,WEEKDAY($A247,2))*(1+'Control Room'!$D$9)^245*'Process'!K247),2),"")</x:f>
      </x:c>
      <x:c r="E247" s="16" t="str">
        <x:f>IF(AND(AND(246&lt;='Control Room'!$B$3,'Control Room'!$D$3="Ready"),3&lt;='Control Room'!$B$2),ROUND(MAX(0,'Process'!O247*'Control Room'!$H$6*INDEX('Control Room'!$B$19:$H$19,1,WEEKDAY($A247,2))*(1+'Control Room'!$D$9)^245*'Process'!P247),2),"")</x:f>
      </x:c>
      <x:c r="F247" s="16" t="str">
        <x:f>IF(AND(AND(246&lt;='Control Room'!$B$3,'Control Room'!$D$3="Ready"),4&lt;='Control Room'!$B$2),ROUND(MAX(0,'Process'!T247*'Control Room'!$H$7*INDEX('Control Room'!$B$19:$H$19,1,WEEKDAY($A247,2))*(1+'Control Room'!$D$9)^245*'Process'!U247),2),"")</x:f>
      </x:c>
      <x:c r="G247" s="16" t="str">
        <x:f>IF(AND(AND(246&lt;='Control Room'!$B$3,'Control Room'!$D$3="Ready"),5&lt;='Control Room'!$B$2),ROUND(MAX(0,'Process'!Y247*'Control Room'!$H$8*INDEX('Control Room'!$B$19:$H$19,1,WEEKDAY($A247,2))*(1+'Control Room'!$D$9)^245*'Process'!Z247),2),"")</x:f>
      </x:c>
      <x:c r="H247" s="16" t="str">
        <x:f>IF(AND(AND(246&lt;='Control Room'!$B$3,'Control Room'!$D$3="Ready"),6&lt;='Control Room'!$B$2),ROUND(MAX(0,'Process'!AD247*'Control Room'!$H$9*INDEX('Control Room'!$B$19:$H$19,1,WEEKDAY($A247,2))*(1+'Control Room'!$D$9)^245*'Process'!AE247),2),"")</x:f>
      </x:c>
      <x:c r="I247" s="16" t="str">
        <x:f>IF(AND(AND(246&lt;='Control Room'!$B$3,'Control Room'!$D$3="Ready"),7&lt;='Control Room'!$B$2),ROUND(MAX(0,'Process'!AI247*'Control Room'!$H$10*INDEX('Control Room'!$B$19:$H$19,1,WEEKDAY($A247,2))*(1+'Control Room'!$D$9)^245*'Process'!AJ247),2),"")</x:f>
      </x:c>
      <x:c r="J247" s="16" t="str">
        <x:f>IF(AND(AND(246&lt;='Control Room'!$B$3,'Control Room'!$D$3="Ready"),8&lt;='Control Room'!$B$2),ROUND(MAX(0,'Process'!AN247*'Control Room'!$H$11*INDEX('Control Room'!$B$19:$H$19,1,WEEKDAY($A247,2))*(1+'Control Room'!$D$9)^245*'Process'!AO247),2),"")</x:f>
      </x:c>
      <x:c r="K247" s="16" t="str">
        <x:f>IF(AND(AND(246&lt;='Control Room'!$B$3,'Control Room'!$D$3="Ready"),9&lt;='Control Room'!$B$2),ROUND(MAX(0,'Process'!AS247*'Control Room'!$H$12*INDEX('Control Room'!$B$19:$H$19,1,WEEKDAY($A247,2))*(1+'Control Room'!$D$9)^245*'Process'!AT247),2),"")</x:f>
      </x:c>
      <x:c r="L247" s="16" t="str">
        <x:f>IF(AND(AND(246&lt;='Control Room'!$B$3,'Control Room'!$D$3="Ready"),10&lt;='Control Room'!$B$2),ROUND(MAX(0,'Process'!AX247*'Control Room'!$H$13*INDEX('Control Room'!$B$19:$H$19,1,WEEKDAY($A247,2))*(1+'Control Room'!$D$9)^245*'Process'!AY247),2),"")</x:f>
      </x:c>
      <x:c r="M247" s="16" t="str">
        <x:f>IF(AND(AND(246&lt;='Control Room'!$B$3,'Control Room'!$D$3="Ready"),11&lt;='Control Room'!$B$2),ROUND(MAX(0,'Process'!BC247*'Control Room'!$H$14*INDEX('Control Room'!$B$19:$H$19,1,WEEKDAY($A247,2))*(1+'Control Room'!$D$9)^245*'Process'!BD247),2),"")</x:f>
      </x:c>
      <x:c r="N247" s="16" t="str">
        <x:f>IF(AND(AND(246&lt;='Control Room'!$B$3,'Control Room'!$D$3="Ready"),12&lt;='Control Room'!$B$2),ROUND(MAX(0,'Process'!BH247*'Control Room'!$H$15*INDEX('Control Room'!$B$19:$H$19,1,WEEKDAY($A247,2))*(1+'Control Room'!$D$9)^245*'Process'!BI247),2),"")</x:f>
      </x:c>
    </x:row>
    <x:row r="248" ht="21" customHeight="1">
      <x:c r="A248" s="15" t="str">
        <x:f>IF(AND(247&lt;='Control Room'!$B$3,'Control Room'!$D$3="Ready"),'Process'!A248,"")</x:f>
      </x:c>
      <x:c r="B248" s="16" t="str">
        <x:f>IF(A248="","",SUM(C248:N248))</x:f>
      </x:c>
      <x:c r="C248" s="16" t="str">
        <x:f>IF(AND(AND(247&lt;='Control Room'!$B$3,'Control Room'!$D$3="Ready"),1&lt;='Control Room'!$B$2),ROUND(MAX(0,'Process'!E248*'Control Room'!$H$4*INDEX('Control Room'!$B$19:$H$19,1,WEEKDAY($A248,2))*(1+'Control Room'!$D$9)^246*'Process'!F248),2),"")</x:f>
      </x:c>
      <x:c r="D248" s="16" t="str">
        <x:f>IF(AND(AND(247&lt;='Control Room'!$B$3,'Control Room'!$D$3="Ready"),2&lt;='Control Room'!$B$2),ROUND(MAX(0,'Process'!J248*'Control Room'!$H$5*INDEX('Control Room'!$B$19:$H$19,1,WEEKDAY($A248,2))*(1+'Control Room'!$D$9)^246*'Process'!K248),2),"")</x:f>
      </x:c>
      <x:c r="E248" s="16" t="str">
        <x:f>IF(AND(AND(247&lt;='Control Room'!$B$3,'Control Room'!$D$3="Ready"),3&lt;='Control Room'!$B$2),ROUND(MAX(0,'Process'!O248*'Control Room'!$H$6*INDEX('Control Room'!$B$19:$H$19,1,WEEKDAY($A248,2))*(1+'Control Room'!$D$9)^246*'Process'!P248),2),"")</x:f>
      </x:c>
      <x:c r="F248" s="16" t="str">
        <x:f>IF(AND(AND(247&lt;='Control Room'!$B$3,'Control Room'!$D$3="Ready"),4&lt;='Control Room'!$B$2),ROUND(MAX(0,'Process'!T248*'Control Room'!$H$7*INDEX('Control Room'!$B$19:$H$19,1,WEEKDAY($A248,2))*(1+'Control Room'!$D$9)^246*'Process'!U248),2),"")</x:f>
      </x:c>
      <x:c r="G248" s="16" t="str">
        <x:f>IF(AND(AND(247&lt;='Control Room'!$B$3,'Control Room'!$D$3="Ready"),5&lt;='Control Room'!$B$2),ROUND(MAX(0,'Process'!Y248*'Control Room'!$H$8*INDEX('Control Room'!$B$19:$H$19,1,WEEKDAY($A248,2))*(1+'Control Room'!$D$9)^246*'Process'!Z248),2),"")</x:f>
      </x:c>
      <x:c r="H248" s="16" t="str">
        <x:f>IF(AND(AND(247&lt;='Control Room'!$B$3,'Control Room'!$D$3="Ready"),6&lt;='Control Room'!$B$2),ROUND(MAX(0,'Process'!AD248*'Control Room'!$H$9*INDEX('Control Room'!$B$19:$H$19,1,WEEKDAY($A248,2))*(1+'Control Room'!$D$9)^246*'Process'!AE248),2),"")</x:f>
      </x:c>
      <x:c r="I248" s="16" t="str">
        <x:f>IF(AND(AND(247&lt;='Control Room'!$B$3,'Control Room'!$D$3="Ready"),7&lt;='Control Room'!$B$2),ROUND(MAX(0,'Process'!AI248*'Control Room'!$H$10*INDEX('Control Room'!$B$19:$H$19,1,WEEKDAY($A248,2))*(1+'Control Room'!$D$9)^246*'Process'!AJ248),2),"")</x:f>
      </x:c>
      <x:c r="J248" s="16" t="str">
        <x:f>IF(AND(AND(247&lt;='Control Room'!$B$3,'Control Room'!$D$3="Ready"),8&lt;='Control Room'!$B$2),ROUND(MAX(0,'Process'!AN248*'Control Room'!$H$11*INDEX('Control Room'!$B$19:$H$19,1,WEEKDAY($A248,2))*(1+'Control Room'!$D$9)^246*'Process'!AO248),2),"")</x:f>
      </x:c>
      <x:c r="K248" s="16" t="str">
        <x:f>IF(AND(AND(247&lt;='Control Room'!$B$3,'Control Room'!$D$3="Ready"),9&lt;='Control Room'!$B$2),ROUND(MAX(0,'Process'!AS248*'Control Room'!$H$12*INDEX('Control Room'!$B$19:$H$19,1,WEEKDAY($A248,2))*(1+'Control Room'!$D$9)^246*'Process'!AT248),2),"")</x:f>
      </x:c>
      <x:c r="L248" s="16" t="str">
        <x:f>IF(AND(AND(247&lt;='Control Room'!$B$3,'Control Room'!$D$3="Ready"),10&lt;='Control Room'!$B$2),ROUND(MAX(0,'Process'!AX248*'Control Room'!$H$13*INDEX('Control Room'!$B$19:$H$19,1,WEEKDAY($A248,2))*(1+'Control Room'!$D$9)^246*'Process'!AY248),2),"")</x:f>
      </x:c>
      <x:c r="M248" s="16" t="str">
        <x:f>IF(AND(AND(247&lt;='Control Room'!$B$3,'Control Room'!$D$3="Ready"),11&lt;='Control Room'!$B$2),ROUND(MAX(0,'Process'!BC248*'Control Room'!$H$14*INDEX('Control Room'!$B$19:$H$19,1,WEEKDAY($A248,2))*(1+'Control Room'!$D$9)^246*'Process'!BD248),2),"")</x:f>
      </x:c>
      <x:c r="N248" s="16" t="str">
        <x:f>IF(AND(AND(247&lt;='Control Room'!$B$3,'Control Room'!$D$3="Ready"),12&lt;='Control Room'!$B$2),ROUND(MAX(0,'Process'!BH248*'Control Room'!$H$15*INDEX('Control Room'!$B$19:$H$19,1,WEEKDAY($A248,2))*(1+'Control Room'!$D$9)^246*'Process'!BI248),2),"")</x:f>
      </x:c>
    </x:row>
    <x:row r="249" ht="21" customHeight="1">
      <x:c r="A249" s="15" t="str">
        <x:f>IF(AND(248&lt;='Control Room'!$B$3,'Control Room'!$D$3="Ready"),'Process'!A249,"")</x:f>
      </x:c>
      <x:c r="B249" s="16" t="str">
        <x:f>IF(A249="","",SUM(C249:N249))</x:f>
      </x:c>
      <x:c r="C249" s="16" t="str">
        <x:f>IF(AND(AND(248&lt;='Control Room'!$B$3,'Control Room'!$D$3="Ready"),1&lt;='Control Room'!$B$2),ROUND(MAX(0,'Process'!E249*'Control Room'!$H$4*INDEX('Control Room'!$B$19:$H$19,1,WEEKDAY($A249,2))*(1+'Control Room'!$D$9)^247*'Process'!F249),2),"")</x:f>
      </x:c>
      <x:c r="D249" s="16" t="str">
        <x:f>IF(AND(AND(248&lt;='Control Room'!$B$3,'Control Room'!$D$3="Ready"),2&lt;='Control Room'!$B$2),ROUND(MAX(0,'Process'!J249*'Control Room'!$H$5*INDEX('Control Room'!$B$19:$H$19,1,WEEKDAY($A249,2))*(1+'Control Room'!$D$9)^247*'Process'!K249),2),"")</x:f>
      </x:c>
      <x:c r="E249" s="16" t="str">
        <x:f>IF(AND(AND(248&lt;='Control Room'!$B$3,'Control Room'!$D$3="Ready"),3&lt;='Control Room'!$B$2),ROUND(MAX(0,'Process'!O249*'Control Room'!$H$6*INDEX('Control Room'!$B$19:$H$19,1,WEEKDAY($A249,2))*(1+'Control Room'!$D$9)^247*'Process'!P249),2),"")</x:f>
      </x:c>
      <x:c r="F249" s="16" t="str">
        <x:f>IF(AND(AND(248&lt;='Control Room'!$B$3,'Control Room'!$D$3="Ready"),4&lt;='Control Room'!$B$2),ROUND(MAX(0,'Process'!T249*'Control Room'!$H$7*INDEX('Control Room'!$B$19:$H$19,1,WEEKDAY($A249,2))*(1+'Control Room'!$D$9)^247*'Process'!U249),2),"")</x:f>
      </x:c>
      <x:c r="G249" s="16" t="str">
        <x:f>IF(AND(AND(248&lt;='Control Room'!$B$3,'Control Room'!$D$3="Ready"),5&lt;='Control Room'!$B$2),ROUND(MAX(0,'Process'!Y249*'Control Room'!$H$8*INDEX('Control Room'!$B$19:$H$19,1,WEEKDAY($A249,2))*(1+'Control Room'!$D$9)^247*'Process'!Z249),2),"")</x:f>
      </x:c>
      <x:c r="H249" s="16" t="str">
        <x:f>IF(AND(AND(248&lt;='Control Room'!$B$3,'Control Room'!$D$3="Ready"),6&lt;='Control Room'!$B$2),ROUND(MAX(0,'Process'!AD249*'Control Room'!$H$9*INDEX('Control Room'!$B$19:$H$19,1,WEEKDAY($A249,2))*(1+'Control Room'!$D$9)^247*'Process'!AE249),2),"")</x:f>
      </x:c>
      <x:c r="I249" s="16" t="str">
        <x:f>IF(AND(AND(248&lt;='Control Room'!$B$3,'Control Room'!$D$3="Ready"),7&lt;='Control Room'!$B$2),ROUND(MAX(0,'Process'!AI249*'Control Room'!$H$10*INDEX('Control Room'!$B$19:$H$19,1,WEEKDAY($A249,2))*(1+'Control Room'!$D$9)^247*'Process'!AJ249),2),"")</x:f>
      </x:c>
      <x:c r="J249" s="16" t="str">
        <x:f>IF(AND(AND(248&lt;='Control Room'!$B$3,'Control Room'!$D$3="Ready"),8&lt;='Control Room'!$B$2),ROUND(MAX(0,'Process'!AN249*'Control Room'!$H$11*INDEX('Control Room'!$B$19:$H$19,1,WEEKDAY($A249,2))*(1+'Control Room'!$D$9)^247*'Process'!AO249),2),"")</x:f>
      </x:c>
      <x:c r="K249" s="16" t="str">
        <x:f>IF(AND(AND(248&lt;='Control Room'!$B$3,'Control Room'!$D$3="Ready"),9&lt;='Control Room'!$B$2),ROUND(MAX(0,'Process'!AS249*'Control Room'!$H$12*INDEX('Control Room'!$B$19:$H$19,1,WEEKDAY($A249,2))*(1+'Control Room'!$D$9)^247*'Process'!AT249),2),"")</x:f>
      </x:c>
      <x:c r="L249" s="16" t="str">
        <x:f>IF(AND(AND(248&lt;='Control Room'!$B$3,'Control Room'!$D$3="Ready"),10&lt;='Control Room'!$B$2),ROUND(MAX(0,'Process'!AX249*'Control Room'!$H$13*INDEX('Control Room'!$B$19:$H$19,1,WEEKDAY($A249,2))*(1+'Control Room'!$D$9)^247*'Process'!AY249),2),"")</x:f>
      </x:c>
      <x:c r="M249" s="16" t="str">
        <x:f>IF(AND(AND(248&lt;='Control Room'!$B$3,'Control Room'!$D$3="Ready"),11&lt;='Control Room'!$B$2),ROUND(MAX(0,'Process'!BC249*'Control Room'!$H$14*INDEX('Control Room'!$B$19:$H$19,1,WEEKDAY($A249,2))*(1+'Control Room'!$D$9)^247*'Process'!BD249),2),"")</x:f>
      </x:c>
      <x:c r="N249" s="16" t="str">
        <x:f>IF(AND(AND(248&lt;='Control Room'!$B$3,'Control Room'!$D$3="Ready"),12&lt;='Control Room'!$B$2),ROUND(MAX(0,'Process'!BH249*'Control Room'!$H$15*INDEX('Control Room'!$B$19:$H$19,1,WEEKDAY($A249,2))*(1+'Control Room'!$D$9)^247*'Process'!BI249),2),"")</x:f>
      </x:c>
    </x:row>
    <x:row r="250" ht="21" customHeight="1">
      <x:c r="A250" s="15" t="str">
        <x:f>IF(AND(249&lt;='Control Room'!$B$3,'Control Room'!$D$3="Ready"),'Process'!A250,"")</x:f>
      </x:c>
      <x:c r="B250" s="16" t="str">
        <x:f>IF(A250="","",SUM(C250:N250))</x:f>
      </x:c>
      <x:c r="C250" s="16" t="str">
        <x:f>IF(AND(AND(249&lt;='Control Room'!$B$3,'Control Room'!$D$3="Ready"),1&lt;='Control Room'!$B$2),ROUND(MAX(0,'Process'!E250*'Control Room'!$H$4*INDEX('Control Room'!$B$19:$H$19,1,WEEKDAY($A250,2))*(1+'Control Room'!$D$9)^248*'Process'!F250),2),"")</x:f>
      </x:c>
      <x:c r="D250" s="16" t="str">
        <x:f>IF(AND(AND(249&lt;='Control Room'!$B$3,'Control Room'!$D$3="Ready"),2&lt;='Control Room'!$B$2),ROUND(MAX(0,'Process'!J250*'Control Room'!$H$5*INDEX('Control Room'!$B$19:$H$19,1,WEEKDAY($A250,2))*(1+'Control Room'!$D$9)^248*'Process'!K250),2),"")</x:f>
      </x:c>
      <x:c r="E250" s="16" t="str">
        <x:f>IF(AND(AND(249&lt;='Control Room'!$B$3,'Control Room'!$D$3="Ready"),3&lt;='Control Room'!$B$2),ROUND(MAX(0,'Process'!O250*'Control Room'!$H$6*INDEX('Control Room'!$B$19:$H$19,1,WEEKDAY($A250,2))*(1+'Control Room'!$D$9)^248*'Process'!P250),2),"")</x:f>
      </x:c>
      <x:c r="F250" s="16" t="str">
        <x:f>IF(AND(AND(249&lt;='Control Room'!$B$3,'Control Room'!$D$3="Ready"),4&lt;='Control Room'!$B$2),ROUND(MAX(0,'Process'!T250*'Control Room'!$H$7*INDEX('Control Room'!$B$19:$H$19,1,WEEKDAY($A250,2))*(1+'Control Room'!$D$9)^248*'Process'!U250),2),"")</x:f>
      </x:c>
      <x:c r="G250" s="16" t="str">
        <x:f>IF(AND(AND(249&lt;='Control Room'!$B$3,'Control Room'!$D$3="Ready"),5&lt;='Control Room'!$B$2),ROUND(MAX(0,'Process'!Y250*'Control Room'!$H$8*INDEX('Control Room'!$B$19:$H$19,1,WEEKDAY($A250,2))*(1+'Control Room'!$D$9)^248*'Process'!Z250),2),"")</x:f>
      </x:c>
      <x:c r="H250" s="16" t="str">
        <x:f>IF(AND(AND(249&lt;='Control Room'!$B$3,'Control Room'!$D$3="Ready"),6&lt;='Control Room'!$B$2),ROUND(MAX(0,'Process'!AD250*'Control Room'!$H$9*INDEX('Control Room'!$B$19:$H$19,1,WEEKDAY($A250,2))*(1+'Control Room'!$D$9)^248*'Process'!AE250),2),"")</x:f>
      </x:c>
      <x:c r="I250" s="16" t="str">
        <x:f>IF(AND(AND(249&lt;='Control Room'!$B$3,'Control Room'!$D$3="Ready"),7&lt;='Control Room'!$B$2),ROUND(MAX(0,'Process'!AI250*'Control Room'!$H$10*INDEX('Control Room'!$B$19:$H$19,1,WEEKDAY($A250,2))*(1+'Control Room'!$D$9)^248*'Process'!AJ250),2),"")</x:f>
      </x:c>
      <x:c r="J250" s="16" t="str">
        <x:f>IF(AND(AND(249&lt;='Control Room'!$B$3,'Control Room'!$D$3="Ready"),8&lt;='Control Room'!$B$2),ROUND(MAX(0,'Process'!AN250*'Control Room'!$H$11*INDEX('Control Room'!$B$19:$H$19,1,WEEKDAY($A250,2))*(1+'Control Room'!$D$9)^248*'Process'!AO250),2),"")</x:f>
      </x:c>
      <x:c r="K250" s="16" t="str">
        <x:f>IF(AND(AND(249&lt;='Control Room'!$B$3,'Control Room'!$D$3="Ready"),9&lt;='Control Room'!$B$2),ROUND(MAX(0,'Process'!AS250*'Control Room'!$H$12*INDEX('Control Room'!$B$19:$H$19,1,WEEKDAY($A250,2))*(1+'Control Room'!$D$9)^248*'Process'!AT250),2),"")</x:f>
      </x:c>
      <x:c r="L250" s="16" t="str">
        <x:f>IF(AND(AND(249&lt;='Control Room'!$B$3,'Control Room'!$D$3="Ready"),10&lt;='Control Room'!$B$2),ROUND(MAX(0,'Process'!AX250*'Control Room'!$H$13*INDEX('Control Room'!$B$19:$H$19,1,WEEKDAY($A250,2))*(1+'Control Room'!$D$9)^248*'Process'!AY250),2),"")</x:f>
      </x:c>
      <x:c r="M250" s="16" t="str">
        <x:f>IF(AND(AND(249&lt;='Control Room'!$B$3,'Control Room'!$D$3="Ready"),11&lt;='Control Room'!$B$2),ROUND(MAX(0,'Process'!BC250*'Control Room'!$H$14*INDEX('Control Room'!$B$19:$H$19,1,WEEKDAY($A250,2))*(1+'Control Room'!$D$9)^248*'Process'!BD250),2),"")</x:f>
      </x:c>
      <x:c r="N250" s="16" t="str">
        <x:f>IF(AND(AND(249&lt;='Control Room'!$B$3,'Control Room'!$D$3="Ready"),12&lt;='Control Room'!$B$2),ROUND(MAX(0,'Process'!BH250*'Control Room'!$H$15*INDEX('Control Room'!$B$19:$H$19,1,WEEKDAY($A250,2))*(1+'Control Room'!$D$9)^248*'Process'!BI250),2),"")</x:f>
      </x:c>
    </x:row>
    <x:row r="251" ht="21" customHeight="1">
      <x:c r="A251" s="15" t="str">
        <x:f>IF(AND(250&lt;='Control Room'!$B$3,'Control Room'!$D$3="Ready"),'Process'!A251,"")</x:f>
      </x:c>
      <x:c r="B251" s="16" t="str">
        <x:f>IF(A251="","",SUM(C251:N251))</x:f>
      </x:c>
      <x:c r="C251" s="16" t="str">
        <x:f>IF(AND(AND(250&lt;='Control Room'!$B$3,'Control Room'!$D$3="Ready"),1&lt;='Control Room'!$B$2),ROUND(MAX(0,'Process'!E251*'Control Room'!$H$4*INDEX('Control Room'!$B$19:$H$19,1,WEEKDAY($A251,2))*(1+'Control Room'!$D$9)^249*'Process'!F251),2),"")</x:f>
      </x:c>
      <x:c r="D251" s="16" t="str">
        <x:f>IF(AND(AND(250&lt;='Control Room'!$B$3,'Control Room'!$D$3="Ready"),2&lt;='Control Room'!$B$2),ROUND(MAX(0,'Process'!J251*'Control Room'!$H$5*INDEX('Control Room'!$B$19:$H$19,1,WEEKDAY($A251,2))*(1+'Control Room'!$D$9)^249*'Process'!K251),2),"")</x:f>
      </x:c>
      <x:c r="E251" s="16" t="str">
        <x:f>IF(AND(AND(250&lt;='Control Room'!$B$3,'Control Room'!$D$3="Ready"),3&lt;='Control Room'!$B$2),ROUND(MAX(0,'Process'!O251*'Control Room'!$H$6*INDEX('Control Room'!$B$19:$H$19,1,WEEKDAY($A251,2))*(1+'Control Room'!$D$9)^249*'Process'!P251),2),"")</x:f>
      </x:c>
      <x:c r="F251" s="16" t="str">
        <x:f>IF(AND(AND(250&lt;='Control Room'!$B$3,'Control Room'!$D$3="Ready"),4&lt;='Control Room'!$B$2),ROUND(MAX(0,'Process'!T251*'Control Room'!$H$7*INDEX('Control Room'!$B$19:$H$19,1,WEEKDAY($A251,2))*(1+'Control Room'!$D$9)^249*'Process'!U251),2),"")</x:f>
      </x:c>
      <x:c r="G251" s="16" t="str">
        <x:f>IF(AND(AND(250&lt;='Control Room'!$B$3,'Control Room'!$D$3="Ready"),5&lt;='Control Room'!$B$2),ROUND(MAX(0,'Process'!Y251*'Control Room'!$H$8*INDEX('Control Room'!$B$19:$H$19,1,WEEKDAY($A251,2))*(1+'Control Room'!$D$9)^249*'Process'!Z251),2),"")</x:f>
      </x:c>
      <x:c r="H251" s="16" t="str">
        <x:f>IF(AND(AND(250&lt;='Control Room'!$B$3,'Control Room'!$D$3="Ready"),6&lt;='Control Room'!$B$2),ROUND(MAX(0,'Process'!AD251*'Control Room'!$H$9*INDEX('Control Room'!$B$19:$H$19,1,WEEKDAY($A251,2))*(1+'Control Room'!$D$9)^249*'Process'!AE251),2),"")</x:f>
      </x:c>
      <x:c r="I251" s="16" t="str">
        <x:f>IF(AND(AND(250&lt;='Control Room'!$B$3,'Control Room'!$D$3="Ready"),7&lt;='Control Room'!$B$2),ROUND(MAX(0,'Process'!AI251*'Control Room'!$H$10*INDEX('Control Room'!$B$19:$H$19,1,WEEKDAY($A251,2))*(1+'Control Room'!$D$9)^249*'Process'!AJ251),2),"")</x:f>
      </x:c>
      <x:c r="J251" s="16" t="str">
        <x:f>IF(AND(AND(250&lt;='Control Room'!$B$3,'Control Room'!$D$3="Ready"),8&lt;='Control Room'!$B$2),ROUND(MAX(0,'Process'!AN251*'Control Room'!$H$11*INDEX('Control Room'!$B$19:$H$19,1,WEEKDAY($A251,2))*(1+'Control Room'!$D$9)^249*'Process'!AO251),2),"")</x:f>
      </x:c>
      <x:c r="K251" s="16" t="str">
        <x:f>IF(AND(AND(250&lt;='Control Room'!$B$3,'Control Room'!$D$3="Ready"),9&lt;='Control Room'!$B$2),ROUND(MAX(0,'Process'!AS251*'Control Room'!$H$12*INDEX('Control Room'!$B$19:$H$19,1,WEEKDAY($A251,2))*(1+'Control Room'!$D$9)^249*'Process'!AT251),2),"")</x:f>
      </x:c>
      <x:c r="L251" s="16" t="str">
        <x:f>IF(AND(AND(250&lt;='Control Room'!$B$3,'Control Room'!$D$3="Ready"),10&lt;='Control Room'!$B$2),ROUND(MAX(0,'Process'!AX251*'Control Room'!$H$13*INDEX('Control Room'!$B$19:$H$19,1,WEEKDAY($A251,2))*(1+'Control Room'!$D$9)^249*'Process'!AY251),2),"")</x:f>
      </x:c>
      <x:c r="M251" s="16" t="str">
        <x:f>IF(AND(AND(250&lt;='Control Room'!$B$3,'Control Room'!$D$3="Ready"),11&lt;='Control Room'!$B$2),ROUND(MAX(0,'Process'!BC251*'Control Room'!$H$14*INDEX('Control Room'!$B$19:$H$19,1,WEEKDAY($A251,2))*(1+'Control Room'!$D$9)^249*'Process'!BD251),2),"")</x:f>
      </x:c>
      <x:c r="N251" s="16" t="str">
        <x:f>IF(AND(AND(250&lt;='Control Room'!$B$3,'Control Room'!$D$3="Ready"),12&lt;='Control Room'!$B$2),ROUND(MAX(0,'Process'!BH251*'Control Room'!$H$15*INDEX('Control Room'!$B$19:$H$19,1,WEEKDAY($A251,2))*(1+'Control Room'!$D$9)^249*'Process'!BI251),2),"")</x:f>
      </x:c>
    </x:row>
    <x:row r="252" ht="21" customHeight="1">
      <x:c r="A252" s="15" t="str">
        <x:f>IF(AND(251&lt;='Control Room'!$B$3,'Control Room'!$D$3="Ready"),'Process'!A252,"")</x:f>
      </x:c>
      <x:c r="B252" s="16" t="str">
        <x:f>IF(A252="","",SUM(C252:N252))</x:f>
      </x:c>
      <x:c r="C252" s="16" t="str">
        <x:f>IF(AND(AND(251&lt;='Control Room'!$B$3,'Control Room'!$D$3="Ready"),1&lt;='Control Room'!$B$2),ROUND(MAX(0,'Process'!E252*'Control Room'!$H$4*INDEX('Control Room'!$B$19:$H$19,1,WEEKDAY($A252,2))*(1+'Control Room'!$D$9)^250*'Process'!F252),2),"")</x:f>
      </x:c>
      <x:c r="D252" s="16" t="str">
        <x:f>IF(AND(AND(251&lt;='Control Room'!$B$3,'Control Room'!$D$3="Ready"),2&lt;='Control Room'!$B$2),ROUND(MAX(0,'Process'!J252*'Control Room'!$H$5*INDEX('Control Room'!$B$19:$H$19,1,WEEKDAY($A252,2))*(1+'Control Room'!$D$9)^250*'Process'!K252),2),"")</x:f>
      </x:c>
      <x:c r="E252" s="16" t="str">
        <x:f>IF(AND(AND(251&lt;='Control Room'!$B$3,'Control Room'!$D$3="Ready"),3&lt;='Control Room'!$B$2),ROUND(MAX(0,'Process'!O252*'Control Room'!$H$6*INDEX('Control Room'!$B$19:$H$19,1,WEEKDAY($A252,2))*(1+'Control Room'!$D$9)^250*'Process'!P252),2),"")</x:f>
      </x:c>
      <x:c r="F252" s="16" t="str">
        <x:f>IF(AND(AND(251&lt;='Control Room'!$B$3,'Control Room'!$D$3="Ready"),4&lt;='Control Room'!$B$2),ROUND(MAX(0,'Process'!T252*'Control Room'!$H$7*INDEX('Control Room'!$B$19:$H$19,1,WEEKDAY($A252,2))*(1+'Control Room'!$D$9)^250*'Process'!U252),2),"")</x:f>
      </x:c>
      <x:c r="G252" s="16" t="str">
        <x:f>IF(AND(AND(251&lt;='Control Room'!$B$3,'Control Room'!$D$3="Ready"),5&lt;='Control Room'!$B$2),ROUND(MAX(0,'Process'!Y252*'Control Room'!$H$8*INDEX('Control Room'!$B$19:$H$19,1,WEEKDAY($A252,2))*(1+'Control Room'!$D$9)^250*'Process'!Z252),2),"")</x:f>
      </x:c>
      <x:c r="H252" s="16" t="str">
        <x:f>IF(AND(AND(251&lt;='Control Room'!$B$3,'Control Room'!$D$3="Ready"),6&lt;='Control Room'!$B$2),ROUND(MAX(0,'Process'!AD252*'Control Room'!$H$9*INDEX('Control Room'!$B$19:$H$19,1,WEEKDAY($A252,2))*(1+'Control Room'!$D$9)^250*'Process'!AE252),2),"")</x:f>
      </x:c>
      <x:c r="I252" s="16" t="str">
        <x:f>IF(AND(AND(251&lt;='Control Room'!$B$3,'Control Room'!$D$3="Ready"),7&lt;='Control Room'!$B$2),ROUND(MAX(0,'Process'!AI252*'Control Room'!$H$10*INDEX('Control Room'!$B$19:$H$19,1,WEEKDAY($A252,2))*(1+'Control Room'!$D$9)^250*'Process'!AJ252),2),"")</x:f>
      </x:c>
      <x:c r="J252" s="16" t="str">
        <x:f>IF(AND(AND(251&lt;='Control Room'!$B$3,'Control Room'!$D$3="Ready"),8&lt;='Control Room'!$B$2),ROUND(MAX(0,'Process'!AN252*'Control Room'!$H$11*INDEX('Control Room'!$B$19:$H$19,1,WEEKDAY($A252,2))*(1+'Control Room'!$D$9)^250*'Process'!AO252),2),"")</x:f>
      </x:c>
      <x:c r="K252" s="16" t="str">
        <x:f>IF(AND(AND(251&lt;='Control Room'!$B$3,'Control Room'!$D$3="Ready"),9&lt;='Control Room'!$B$2),ROUND(MAX(0,'Process'!AS252*'Control Room'!$H$12*INDEX('Control Room'!$B$19:$H$19,1,WEEKDAY($A252,2))*(1+'Control Room'!$D$9)^250*'Process'!AT252),2),"")</x:f>
      </x:c>
      <x:c r="L252" s="16" t="str">
        <x:f>IF(AND(AND(251&lt;='Control Room'!$B$3,'Control Room'!$D$3="Ready"),10&lt;='Control Room'!$B$2),ROUND(MAX(0,'Process'!AX252*'Control Room'!$H$13*INDEX('Control Room'!$B$19:$H$19,1,WEEKDAY($A252,2))*(1+'Control Room'!$D$9)^250*'Process'!AY252),2),"")</x:f>
      </x:c>
      <x:c r="M252" s="16" t="str">
        <x:f>IF(AND(AND(251&lt;='Control Room'!$B$3,'Control Room'!$D$3="Ready"),11&lt;='Control Room'!$B$2),ROUND(MAX(0,'Process'!BC252*'Control Room'!$H$14*INDEX('Control Room'!$B$19:$H$19,1,WEEKDAY($A252,2))*(1+'Control Room'!$D$9)^250*'Process'!BD252),2),"")</x:f>
      </x:c>
      <x:c r="N252" s="16" t="str">
        <x:f>IF(AND(AND(251&lt;='Control Room'!$B$3,'Control Room'!$D$3="Ready"),12&lt;='Control Room'!$B$2),ROUND(MAX(0,'Process'!BH252*'Control Room'!$H$15*INDEX('Control Room'!$B$19:$H$19,1,WEEKDAY($A252,2))*(1+'Control Room'!$D$9)^250*'Process'!BI252),2),"")</x:f>
      </x:c>
    </x:row>
    <x:row r="253" ht="21" customHeight="1">
      <x:c r="A253" s="15" t="str">
        <x:f>IF(AND(252&lt;='Control Room'!$B$3,'Control Room'!$D$3="Ready"),'Process'!A253,"")</x:f>
      </x:c>
      <x:c r="B253" s="16" t="str">
        <x:f>IF(A253="","",SUM(C253:N253))</x:f>
      </x:c>
      <x:c r="C253" s="16" t="str">
        <x:f>IF(AND(AND(252&lt;='Control Room'!$B$3,'Control Room'!$D$3="Ready"),1&lt;='Control Room'!$B$2),ROUND(MAX(0,'Process'!E253*'Control Room'!$H$4*INDEX('Control Room'!$B$19:$H$19,1,WEEKDAY($A253,2))*(1+'Control Room'!$D$9)^251*'Process'!F253),2),"")</x:f>
      </x:c>
      <x:c r="D253" s="16" t="str">
        <x:f>IF(AND(AND(252&lt;='Control Room'!$B$3,'Control Room'!$D$3="Ready"),2&lt;='Control Room'!$B$2),ROUND(MAX(0,'Process'!J253*'Control Room'!$H$5*INDEX('Control Room'!$B$19:$H$19,1,WEEKDAY($A253,2))*(1+'Control Room'!$D$9)^251*'Process'!K253),2),"")</x:f>
      </x:c>
      <x:c r="E253" s="16" t="str">
        <x:f>IF(AND(AND(252&lt;='Control Room'!$B$3,'Control Room'!$D$3="Ready"),3&lt;='Control Room'!$B$2),ROUND(MAX(0,'Process'!O253*'Control Room'!$H$6*INDEX('Control Room'!$B$19:$H$19,1,WEEKDAY($A253,2))*(1+'Control Room'!$D$9)^251*'Process'!P253),2),"")</x:f>
      </x:c>
      <x:c r="F253" s="16" t="str">
        <x:f>IF(AND(AND(252&lt;='Control Room'!$B$3,'Control Room'!$D$3="Ready"),4&lt;='Control Room'!$B$2),ROUND(MAX(0,'Process'!T253*'Control Room'!$H$7*INDEX('Control Room'!$B$19:$H$19,1,WEEKDAY($A253,2))*(1+'Control Room'!$D$9)^251*'Process'!U253),2),"")</x:f>
      </x:c>
      <x:c r="G253" s="16" t="str">
        <x:f>IF(AND(AND(252&lt;='Control Room'!$B$3,'Control Room'!$D$3="Ready"),5&lt;='Control Room'!$B$2),ROUND(MAX(0,'Process'!Y253*'Control Room'!$H$8*INDEX('Control Room'!$B$19:$H$19,1,WEEKDAY($A253,2))*(1+'Control Room'!$D$9)^251*'Process'!Z253),2),"")</x:f>
      </x:c>
      <x:c r="H253" s="16" t="str">
        <x:f>IF(AND(AND(252&lt;='Control Room'!$B$3,'Control Room'!$D$3="Ready"),6&lt;='Control Room'!$B$2),ROUND(MAX(0,'Process'!AD253*'Control Room'!$H$9*INDEX('Control Room'!$B$19:$H$19,1,WEEKDAY($A253,2))*(1+'Control Room'!$D$9)^251*'Process'!AE253),2),"")</x:f>
      </x:c>
      <x:c r="I253" s="16" t="str">
        <x:f>IF(AND(AND(252&lt;='Control Room'!$B$3,'Control Room'!$D$3="Ready"),7&lt;='Control Room'!$B$2),ROUND(MAX(0,'Process'!AI253*'Control Room'!$H$10*INDEX('Control Room'!$B$19:$H$19,1,WEEKDAY($A253,2))*(1+'Control Room'!$D$9)^251*'Process'!AJ253),2),"")</x:f>
      </x:c>
      <x:c r="J253" s="16" t="str">
        <x:f>IF(AND(AND(252&lt;='Control Room'!$B$3,'Control Room'!$D$3="Ready"),8&lt;='Control Room'!$B$2),ROUND(MAX(0,'Process'!AN253*'Control Room'!$H$11*INDEX('Control Room'!$B$19:$H$19,1,WEEKDAY($A253,2))*(1+'Control Room'!$D$9)^251*'Process'!AO253),2),"")</x:f>
      </x:c>
      <x:c r="K253" s="16" t="str">
        <x:f>IF(AND(AND(252&lt;='Control Room'!$B$3,'Control Room'!$D$3="Ready"),9&lt;='Control Room'!$B$2),ROUND(MAX(0,'Process'!AS253*'Control Room'!$H$12*INDEX('Control Room'!$B$19:$H$19,1,WEEKDAY($A253,2))*(1+'Control Room'!$D$9)^251*'Process'!AT253),2),"")</x:f>
      </x:c>
      <x:c r="L253" s="16" t="str">
        <x:f>IF(AND(AND(252&lt;='Control Room'!$B$3,'Control Room'!$D$3="Ready"),10&lt;='Control Room'!$B$2),ROUND(MAX(0,'Process'!AX253*'Control Room'!$H$13*INDEX('Control Room'!$B$19:$H$19,1,WEEKDAY($A253,2))*(1+'Control Room'!$D$9)^251*'Process'!AY253),2),"")</x:f>
      </x:c>
      <x:c r="M253" s="16" t="str">
        <x:f>IF(AND(AND(252&lt;='Control Room'!$B$3,'Control Room'!$D$3="Ready"),11&lt;='Control Room'!$B$2),ROUND(MAX(0,'Process'!BC253*'Control Room'!$H$14*INDEX('Control Room'!$B$19:$H$19,1,WEEKDAY($A253,2))*(1+'Control Room'!$D$9)^251*'Process'!BD253),2),"")</x:f>
      </x:c>
      <x:c r="N253" s="16" t="str">
        <x:f>IF(AND(AND(252&lt;='Control Room'!$B$3,'Control Room'!$D$3="Ready"),12&lt;='Control Room'!$B$2),ROUND(MAX(0,'Process'!BH253*'Control Room'!$H$15*INDEX('Control Room'!$B$19:$H$19,1,WEEKDAY($A253,2))*(1+'Control Room'!$D$9)^251*'Process'!BI253),2),"")</x:f>
      </x:c>
    </x:row>
    <x:row r="254" ht="21" customHeight="1">
      <x:c r="A254" s="15" t="str">
        <x:f>IF(AND(253&lt;='Control Room'!$B$3,'Control Room'!$D$3="Ready"),'Process'!A254,"")</x:f>
      </x:c>
      <x:c r="B254" s="16" t="str">
        <x:f>IF(A254="","",SUM(C254:N254))</x:f>
      </x:c>
      <x:c r="C254" s="16" t="str">
        <x:f>IF(AND(AND(253&lt;='Control Room'!$B$3,'Control Room'!$D$3="Ready"),1&lt;='Control Room'!$B$2),ROUND(MAX(0,'Process'!E254*'Control Room'!$H$4*INDEX('Control Room'!$B$19:$H$19,1,WEEKDAY($A254,2))*(1+'Control Room'!$D$9)^252*'Process'!F254),2),"")</x:f>
      </x:c>
      <x:c r="D254" s="16" t="str">
        <x:f>IF(AND(AND(253&lt;='Control Room'!$B$3,'Control Room'!$D$3="Ready"),2&lt;='Control Room'!$B$2),ROUND(MAX(0,'Process'!J254*'Control Room'!$H$5*INDEX('Control Room'!$B$19:$H$19,1,WEEKDAY($A254,2))*(1+'Control Room'!$D$9)^252*'Process'!K254),2),"")</x:f>
      </x:c>
      <x:c r="E254" s="16" t="str">
        <x:f>IF(AND(AND(253&lt;='Control Room'!$B$3,'Control Room'!$D$3="Ready"),3&lt;='Control Room'!$B$2),ROUND(MAX(0,'Process'!O254*'Control Room'!$H$6*INDEX('Control Room'!$B$19:$H$19,1,WEEKDAY($A254,2))*(1+'Control Room'!$D$9)^252*'Process'!P254),2),"")</x:f>
      </x:c>
      <x:c r="F254" s="16" t="str">
        <x:f>IF(AND(AND(253&lt;='Control Room'!$B$3,'Control Room'!$D$3="Ready"),4&lt;='Control Room'!$B$2),ROUND(MAX(0,'Process'!T254*'Control Room'!$H$7*INDEX('Control Room'!$B$19:$H$19,1,WEEKDAY($A254,2))*(1+'Control Room'!$D$9)^252*'Process'!U254),2),"")</x:f>
      </x:c>
      <x:c r="G254" s="16" t="str">
        <x:f>IF(AND(AND(253&lt;='Control Room'!$B$3,'Control Room'!$D$3="Ready"),5&lt;='Control Room'!$B$2),ROUND(MAX(0,'Process'!Y254*'Control Room'!$H$8*INDEX('Control Room'!$B$19:$H$19,1,WEEKDAY($A254,2))*(1+'Control Room'!$D$9)^252*'Process'!Z254),2),"")</x:f>
      </x:c>
      <x:c r="H254" s="16" t="str">
        <x:f>IF(AND(AND(253&lt;='Control Room'!$B$3,'Control Room'!$D$3="Ready"),6&lt;='Control Room'!$B$2),ROUND(MAX(0,'Process'!AD254*'Control Room'!$H$9*INDEX('Control Room'!$B$19:$H$19,1,WEEKDAY($A254,2))*(1+'Control Room'!$D$9)^252*'Process'!AE254),2),"")</x:f>
      </x:c>
      <x:c r="I254" s="16" t="str">
        <x:f>IF(AND(AND(253&lt;='Control Room'!$B$3,'Control Room'!$D$3="Ready"),7&lt;='Control Room'!$B$2),ROUND(MAX(0,'Process'!AI254*'Control Room'!$H$10*INDEX('Control Room'!$B$19:$H$19,1,WEEKDAY($A254,2))*(1+'Control Room'!$D$9)^252*'Process'!AJ254),2),"")</x:f>
      </x:c>
      <x:c r="J254" s="16" t="str">
        <x:f>IF(AND(AND(253&lt;='Control Room'!$B$3,'Control Room'!$D$3="Ready"),8&lt;='Control Room'!$B$2),ROUND(MAX(0,'Process'!AN254*'Control Room'!$H$11*INDEX('Control Room'!$B$19:$H$19,1,WEEKDAY($A254,2))*(1+'Control Room'!$D$9)^252*'Process'!AO254),2),"")</x:f>
      </x:c>
      <x:c r="K254" s="16" t="str">
        <x:f>IF(AND(AND(253&lt;='Control Room'!$B$3,'Control Room'!$D$3="Ready"),9&lt;='Control Room'!$B$2),ROUND(MAX(0,'Process'!AS254*'Control Room'!$H$12*INDEX('Control Room'!$B$19:$H$19,1,WEEKDAY($A254,2))*(1+'Control Room'!$D$9)^252*'Process'!AT254),2),"")</x:f>
      </x:c>
      <x:c r="L254" s="16" t="str">
        <x:f>IF(AND(AND(253&lt;='Control Room'!$B$3,'Control Room'!$D$3="Ready"),10&lt;='Control Room'!$B$2),ROUND(MAX(0,'Process'!AX254*'Control Room'!$H$13*INDEX('Control Room'!$B$19:$H$19,1,WEEKDAY($A254,2))*(1+'Control Room'!$D$9)^252*'Process'!AY254),2),"")</x:f>
      </x:c>
      <x:c r="M254" s="16" t="str">
        <x:f>IF(AND(AND(253&lt;='Control Room'!$B$3,'Control Room'!$D$3="Ready"),11&lt;='Control Room'!$B$2),ROUND(MAX(0,'Process'!BC254*'Control Room'!$H$14*INDEX('Control Room'!$B$19:$H$19,1,WEEKDAY($A254,2))*(1+'Control Room'!$D$9)^252*'Process'!BD254),2),"")</x:f>
      </x:c>
      <x:c r="N254" s="16" t="str">
        <x:f>IF(AND(AND(253&lt;='Control Room'!$B$3,'Control Room'!$D$3="Ready"),12&lt;='Control Room'!$B$2),ROUND(MAX(0,'Process'!BH254*'Control Room'!$H$15*INDEX('Control Room'!$B$19:$H$19,1,WEEKDAY($A254,2))*(1+'Control Room'!$D$9)^252*'Process'!BI254),2),"")</x:f>
      </x:c>
    </x:row>
    <x:row r="255" ht="21" customHeight="1">
      <x:c r="A255" s="15" t="str">
        <x:f>IF(AND(254&lt;='Control Room'!$B$3,'Control Room'!$D$3="Ready"),'Process'!A255,"")</x:f>
      </x:c>
      <x:c r="B255" s="16" t="str">
        <x:f>IF(A255="","",SUM(C255:N255))</x:f>
      </x:c>
      <x:c r="C255" s="16" t="str">
        <x:f>IF(AND(AND(254&lt;='Control Room'!$B$3,'Control Room'!$D$3="Ready"),1&lt;='Control Room'!$B$2),ROUND(MAX(0,'Process'!E255*'Control Room'!$H$4*INDEX('Control Room'!$B$19:$H$19,1,WEEKDAY($A255,2))*(1+'Control Room'!$D$9)^253*'Process'!F255),2),"")</x:f>
      </x:c>
      <x:c r="D255" s="16" t="str">
        <x:f>IF(AND(AND(254&lt;='Control Room'!$B$3,'Control Room'!$D$3="Ready"),2&lt;='Control Room'!$B$2),ROUND(MAX(0,'Process'!J255*'Control Room'!$H$5*INDEX('Control Room'!$B$19:$H$19,1,WEEKDAY($A255,2))*(1+'Control Room'!$D$9)^253*'Process'!K255),2),"")</x:f>
      </x:c>
      <x:c r="E255" s="16" t="str">
        <x:f>IF(AND(AND(254&lt;='Control Room'!$B$3,'Control Room'!$D$3="Ready"),3&lt;='Control Room'!$B$2),ROUND(MAX(0,'Process'!O255*'Control Room'!$H$6*INDEX('Control Room'!$B$19:$H$19,1,WEEKDAY($A255,2))*(1+'Control Room'!$D$9)^253*'Process'!P255),2),"")</x:f>
      </x:c>
      <x:c r="F255" s="16" t="str">
        <x:f>IF(AND(AND(254&lt;='Control Room'!$B$3,'Control Room'!$D$3="Ready"),4&lt;='Control Room'!$B$2),ROUND(MAX(0,'Process'!T255*'Control Room'!$H$7*INDEX('Control Room'!$B$19:$H$19,1,WEEKDAY($A255,2))*(1+'Control Room'!$D$9)^253*'Process'!U255),2),"")</x:f>
      </x:c>
      <x:c r="G255" s="16" t="str">
        <x:f>IF(AND(AND(254&lt;='Control Room'!$B$3,'Control Room'!$D$3="Ready"),5&lt;='Control Room'!$B$2),ROUND(MAX(0,'Process'!Y255*'Control Room'!$H$8*INDEX('Control Room'!$B$19:$H$19,1,WEEKDAY($A255,2))*(1+'Control Room'!$D$9)^253*'Process'!Z255),2),"")</x:f>
      </x:c>
      <x:c r="H255" s="16" t="str">
        <x:f>IF(AND(AND(254&lt;='Control Room'!$B$3,'Control Room'!$D$3="Ready"),6&lt;='Control Room'!$B$2),ROUND(MAX(0,'Process'!AD255*'Control Room'!$H$9*INDEX('Control Room'!$B$19:$H$19,1,WEEKDAY($A255,2))*(1+'Control Room'!$D$9)^253*'Process'!AE255),2),"")</x:f>
      </x:c>
      <x:c r="I255" s="16" t="str">
        <x:f>IF(AND(AND(254&lt;='Control Room'!$B$3,'Control Room'!$D$3="Ready"),7&lt;='Control Room'!$B$2),ROUND(MAX(0,'Process'!AI255*'Control Room'!$H$10*INDEX('Control Room'!$B$19:$H$19,1,WEEKDAY($A255,2))*(1+'Control Room'!$D$9)^253*'Process'!AJ255),2),"")</x:f>
      </x:c>
      <x:c r="J255" s="16" t="str">
        <x:f>IF(AND(AND(254&lt;='Control Room'!$B$3,'Control Room'!$D$3="Ready"),8&lt;='Control Room'!$B$2),ROUND(MAX(0,'Process'!AN255*'Control Room'!$H$11*INDEX('Control Room'!$B$19:$H$19,1,WEEKDAY($A255,2))*(1+'Control Room'!$D$9)^253*'Process'!AO255),2),"")</x:f>
      </x:c>
      <x:c r="K255" s="16" t="str">
        <x:f>IF(AND(AND(254&lt;='Control Room'!$B$3,'Control Room'!$D$3="Ready"),9&lt;='Control Room'!$B$2),ROUND(MAX(0,'Process'!AS255*'Control Room'!$H$12*INDEX('Control Room'!$B$19:$H$19,1,WEEKDAY($A255,2))*(1+'Control Room'!$D$9)^253*'Process'!AT255),2),"")</x:f>
      </x:c>
      <x:c r="L255" s="16" t="str">
        <x:f>IF(AND(AND(254&lt;='Control Room'!$B$3,'Control Room'!$D$3="Ready"),10&lt;='Control Room'!$B$2),ROUND(MAX(0,'Process'!AX255*'Control Room'!$H$13*INDEX('Control Room'!$B$19:$H$19,1,WEEKDAY($A255,2))*(1+'Control Room'!$D$9)^253*'Process'!AY255),2),"")</x:f>
      </x:c>
      <x:c r="M255" s="16" t="str">
        <x:f>IF(AND(AND(254&lt;='Control Room'!$B$3,'Control Room'!$D$3="Ready"),11&lt;='Control Room'!$B$2),ROUND(MAX(0,'Process'!BC255*'Control Room'!$H$14*INDEX('Control Room'!$B$19:$H$19,1,WEEKDAY($A255,2))*(1+'Control Room'!$D$9)^253*'Process'!BD255),2),"")</x:f>
      </x:c>
      <x:c r="N255" s="16" t="str">
        <x:f>IF(AND(AND(254&lt;='Control Room'!$B$3,'Control Room'!$D$3="Ready"),12&lt;='Control Room'!$B$2),ROUND(MAX(0,'Process'!BH255*'Control Room'!$H$15*INDEX('Control Room'!$B$19:$H$19,1,WEEKDAY($A255,2))*(1+'Control Room'!$D$9)^253*'Process'!BI255),2),"")</x:f>
      </x:c>
    </x:row>
    <x:row r="256" ht="21" customHeight="1">
      <x:c r="A256" s="15" t="str">
        <x:f>IF(AND(255&lt;='Control Room'!$B$3,'Control Room'!$D$3="Ready"),'Process'!A256,"")</x:f>
      </x:c>
      <x:c r="B256" s="16" t="str">
        <x:f>IF(A256="","",SUM(C256:N256))</x:f>
      </x:c>
      <x:c r="C256" s="16" t="str">
        <x:f>IF(AND(AND(255&lt;='Control Room'!$B$3,'Control Room'!$D$3="Ready"),1&lt;='Control Room'!$B$2),ROUND(MAX(0,'Process'!E256*'Control Room'!$H$4*INDEX('Control Room'!$B$19:$H$19,1,WEEKDAY($A256,2))*(1+'Control Room'!$D$9)^254*'Process'!F256),2),"")</x:f>
      </x:c>
      <x:c r="D256" s="16" t="str">
        <x:f>IF(AND(AND(255&lt;='Control Room'!$B$3,'Control Room'!$D$3="Ready"),2&lt;='Control Room'!$B$2),ROUND(MAX(0,'Process'!J256*'Control Room'!$H$5*INDEX('Control Room'!$B$19:$H$19,1,WEEKDAY($A256,2))*(1+'Control Room'!$D$9)^254*'Process'!K256),2),"")</x:f>
      </x:c>
      <x:c r="E256" s="16" t="str">
        <x:f>IF(AND(AND(255&lt;='Control Room'!$B$3,'Control Room'!$D$3="Ready"),3&lt;='Control Room'!$B$2),ROUND(MAX(0,'Process'!O256*'Control Room'!$H$6*INDEX('Control Room'!$B$19:$H$19,1,WEEKDAY($A256,2))*(1+'Control Room'!$D$9)^254*'Process'!P256),2),"")</x:f>
      </x:c>
      <x:c r="F256" s="16" t="str">
        <x:f>IF(AND(AND(255&lt;='Control Room'!$B$3,'Control Room'!$D$3="Ready"),4&lt;='Control Room'!$B$2),ROUND(MAX(0,'Process'!T256*'Control Room'!$H$7*INDEX('Control Room'!$B$19:$H$19,1,WEEKDAY($A256,2))*(1+'Control Room'!$D$9)^254*'Process'!U256),2),"")</x:f>
      </x:c>
      <x:c r="G256" s="16" t="str">
        <x:f>IF(AND(AND(255&lt;='Control Room'!$B$3,'Control Room'!$D$3="Ready"),5&lt;='Control Room'!$B$2),ROUND(MAX(0,'Process'!Y256*'Control Room'!$H$8*INDEX('Control Room'!$B$19:$H$19,1,WEEKDAY($A256,2))*(1+'Control Room'!$D$9)^254*'Process'!Z256),2),"")</x:f>
      </x:c>
      <x:c r="H256" s="16" t="str">
        <x:f>IF(AND(AND(255&lt;='Control Room'!$B$3,'Control Room'!$D$3="Ready"),6&lt;='Control Room'!$B$2),ROUND(MAX(0,'Process'!AD256*'Control Room'!$H$9*INDEX('Control Room'!$B$19:$H$19,1,WEEKDAY($A256,2))*(1+'Control Room'!$D$9)^254*'Process'!AE256),2),"")</x:f>
      </x:c>
      <x:c r="I256" s="16" t="str">
        <x:f>IF(AND(AND(255&lt;='Control Room'!$B$3,'Control Room'!$D$3="Ready"),7&lt;='Control Room'!$B$2),ROUND(MAX(0,'Process'!AI256*'Control Room'!$H$10*INDEX('Control Room'!$B$19:$H$19,1,WEEKDAY($A256,2))*(1+'Control Room'!$D$9)^254*'Process'!AJ256),2),"")</x:f>
      </x:c>
      <x:c r="J256" s="16" t="str">
        <x:f>IF(AND(AND(255&lt;='Control Room'!$B$3,'Control Room'!$D$3="Ready"),8&lt;='Control Room'!$B$2),ROUND(MAX(0,'Process'!AN256*'Control Room'!$H$11*INDEX('Control Room'!$B$19:$H$19,1,WEEKDAY($A256,2))*(1+'Control Room'!$D$9)^254*'Process'!AO256),2),"")</x:f>
      </x:c>
      <x:c r="K256" s="16" t="str">
        <x:f>IF(AND(AND(255&lt;='Control Room'!$B$3,'Control Room'!$D$3="Ready"),9&lt;='Control Room'!$B$2),ROUND(MAX(0,'Process'!AS256*'Control Room'!$H$12*INDEX('Control Room'!$B$19:$H$19,1,WEEKDAY($A256,2))*(1+'Control Room'!$D$9)^254*'Process'!AT256),2),"")</x:f>
      </x:c>
      <x:c r="L256" s="16" t="str">
        <x:f>IF(AND(AND(255&lt;='Control Room'!$B$3,'Control Room'!$D$3="Ready"),10&lt;='Control Room'!$B$2),ROUND(MAX(0,'Process'!AX256*'Control Room'!$H$13*INDEX('Control Room'!$B$19:$H$19,1,WEEKDAY($A256,2))*(1+'Control Room'!$D$9)^254*'Process'!AY256),2),"")</x:f>
      </x:c>
      <x:c r="M256" s="16" t="str">
        <x:f>IF(AND(AND(255&lt;='Control Room'!$B$3,'Control Room'!$D$3="Ready"),11&lt;='Control Room'!$B$2),ROUND(MAX(0,'Process'!BC256*'Control Room'!$H$14*INDEX('Control Room'!$B$19:$H$19,1,WEEKDAY($A256,2))*(1+'Control Room'!$D$9)^254*'Process'!BD256),2),"")</x:f>
      </x:c>
      <x:c r="N256" s="16" t="str">
        <x:f>IF(AND(AND(255&lt;='Control Room'!$B$3,'Control Room'!$D$3="Ready"),12&lt;='Control Room'!$B$2),ROUND(MAX(0,'Process'!BH256*'Control Room'!$H$15*INDEX('Control Room'!$B$19:$H$19,1,WEEKDAY($A256,2))*(1+'Control Room'!$D$9)^254*'Process'!BI256),2),"")</x:f>
      </x:c>
    </x:row>
    <x:row r="257" ht="21" customHeight="1">
      <x:c r="A257" s="15" t="str">
        <x:f>IF(AND(256&lt;='Control Room'!$B$3,'Control Room'!$D$3="Ready"),'Process'!A257,"")</x:f>
      </x:c>
      <x:c r="B257" s="16" t="str">
        <x:f>IF(A257="","",SUM(C257:N257))</x:f>
      </x:c>
      <x:c r="C257" s="16" t="str">
        <x:f>IF(AND(AND(256&lt;='Control Room'!$B$3,'Control Room'!$D$3="Ready"),1&lt;='Control Room'!$B$2),ROUND(MAX(0,'Process'!E257*'Control Room'!$H$4*INDEX('Control Room'!$B$19:$H$19,1,WEEKDAY($A257,2))*(1+'Control Room'!$D$9)^255*'Process'!F257),2),"")</x:f>
      </x:c>
      <x:c r="D257" s="16" t="str">
        <x:f>IF(AND(AND(256&lt;='Control Room'!$B$3,'Control Room'!$D$3="Ready"),2&lt;='Control Room'!$B$2),ROUND(MAX(0,'Process'!J257*'Control Room'!$H$5*INDEX('Control Room'!$B$19:$H$19,1,WEEKDAY($A257,2))*(1+'Control Room'!$D$9)^255*'Process'!K257),2),"")</x:f>
      </x:c>
      <x:c r="E257" s="16" t="str">
        <x:f>IF(AND(AND(256&lt;='Control Room'!$B$3,'Control Room'!$D$3="Ready"),3&lt;='Control Room'!$B$2),ROUND(MAX(0,'Process'!O257*'Control Room'!$H$6*INDEX('Control Room'!$B$19:$H$19,1,WEEKDAY($A257,2))*(1+'Control Room'!$D$9)^255*'Process'!P257),2),"")</x:f>
      </x:c>
      <x:c r="F257" s="16" t="str">
        <x:f>IF(AND(AND(256&lt;='Control Room'!$B$3,'Control Room'!$D$3="Ready"),4&lt;='Control Room'!$B$2),ROUND(MAX(0,'Process'!T257*'Control Room'!$H$7*INDEX('Control Room'!$B$19:$H$19,1,WEEKDAY($A257,2))*(1+'Control Room'!$D$9)^255*'Process'!U257),2),"")</x:f>
      </x:c>
      <x:c r="G257" s="16" t="str">
        <x:f>IF(AND(AND(256&lt;='Control Room'!$B$3,'Control Room'!$D$3="Ready"),5&lt;='Control Room'!$B$2),ROUND(MAX(0,'Process'!Y257*'Control Room'!$H$8*INDEX('Control Room'!$B$19:$H$19,1,WEEKDAY($A257,2))*(1+'Control Room'!$D$9)^255*'Process'!Z257),2),"")</x:f>
      </x:c>
      <x:c r="H257" s="16" t="str">
        <x:f>IF(AND(AND(256&lt;='Control Room'!$B$3,'Control Room'!$D$3="Ready"),6&lt;='Control Room'!$B$2),ROUND(MAX(0,'Process'!AD257*'Control Room'!$H$9*INDEX('Control Room'!$B$19:$H$19,1,WEEKDAY($A257,2))*(1+'Control Room'!$D$9)^255*'Process'!AE257),2),"")</x:f>
      </x:c>
      <x:c r="I257" s="16" t="str">
        <x:f>IF(AND(AND(256&lt;='Control Room'!$B$3,'Control Room'!$D$3="Ready"),7&lt;='Control Room'!$B$2),ROUND(MAX(0,'Process'!AI257*'Control Room'!$H$10*INDEX('Control Room'!$B$19:$H$19,1,WEEKDAY($A257,2))*(1+'Control Room'!$D$9)^255*'Process'!AJ257),2),"")</x:f>
      </x:c>
      <x:c r="J257" s="16" t="str">
        <x:f>IF(AND(AND(256&lt;='Control Room'!$B$3,'Control Room'!$D$3="Ready"),8&lt;='Control Room'!$B$2),ROUND(MAX(0,'Process'!AN257*'Control Room'!$H$11*INDEX('Control Room'!$B$19:$H$19,1,WEEKDAY($A257,2))*(1+'Control Room'!$D$9)^255*'Process'!AO257),2),"")</x:f>
      </x:c>
      <x:c r="K257" s="16" t="str">
        <x:f>IF(AND(AND(256&lt;='Control Room'!$B$3,'Control Room'!$D$3="Ready"),9&lt;='Control Room'!$B$2),ROUND(MAX(0,'Process'!AS257*'Control Room'!$H$12*INDEX('Control Room'!$B$19:$H$19,1,WEEKDAY($A257,2))*(1+'Control Room'!$D$9)^255*'Process'!AT257),2),"")</x:f>
      </x:c>
      <x:c r="L257" s="16" t="str">
        <x:f>IF(AND(AND(256&lt;='Control Room'!$B$3,'Control Room'!$D$3="Ready"),10&lt;='Control Room'!$B$2),ROUND(MAX(0,'Process'!AX257*'Control Room'!$H$13*INDEX('Control Room'!$B$19:$H$19,1,WEEKDAY($A257,2))*(1+'Control Room'!$D$9)^255*'Process'!AY257),2),"")</x:f>
      </x:c>
      <x:c r="M257" s="16" t="str">
        <x:f>IF(AND(AND(256&lt;='Control Room'!$B$3,'Control Room'!$D$3="Ready"),11&lt;='Control Room'!$B$2),ROUND(MAX(0,'Process'!BC257*'Control Room'!$H$14*INDEX('Control Room'!$B$19:$H$19,1,WEEKDAY($A257,2))*(1+'Control Room'!$D$9)^255*'Process'!BD257),2),"")</x:f>
      </x:c>
      <x:c r="N257" s="16" t="str">
        <x:f>IF(AND(AND(256&lt;='Control Room'!$B$3,'Control Room'!$D$3="Ready"),12&lt;='Control Room'!$B$2),ROUND(MAX(0,'Process'!BH257*'Control Room'!$H$15*INDEX('Control Room'!$B$19:$H$19,1,WEEKDAY($A257,2))*(1+'Control Room'!$D$9)^255*'Process'!BI257),2),"")</x:f>
      </x:c>
    </x:row>
    <x:row r="258" ht="21" customHeight="1">
      <x:c r="A258" s="15" t="str">
        <x:f>IF(AND(257&lt;='Control Room'!$B$3,'Control Room'!$D$3="Ready"),'Process'!A258,"")</x:f>
      </x:c>
      <x:c r="B258" s="16" t="str">
        <x:f>IF(A258="","",SUM(C258:N258))</x:f>
      </x:c>
      <x:c r="C258" s="16" t="str">
        <x:f>IF(AND(AND(257&lt;='Control Room'!$B$3,'Control Room'!$D$3="Ready"),1&lt;='Control Room'!$B$2),ROUND(MAX(0,'Process'!E258*'Control Room'!$H$4*INDEX('Control Room'!$B$19:$H$19,1,WEEKDAY($A258,2))*(1+'Control Room'!$D$9)^256*'Process'!F258),2),"")</x:f>
      </x:c>
      <x:c r="D258" s="16" t="str">
        <x:f>IF(AND(AND(257&lt;='Control Room'!$B$3,'Control Room'!$D$3="Ready"),2&lt;='Control Room'!$B$2),ROUND(MAX(0,'Process'!J258*'Control Room'!$H$5*INDEX('Control Room'!$B$19:$H$19,1,WEEKDAY($A258,2))*(1+'Control Room'!$D$9)^256*'Process'!K258),2),"")</x:f>
      </x:c>
      <x:c r="E258" s="16" t="str">
        <x:f>IF(AND(AND(257&lt;='Control Room'!$B$3,'Control Room'!$D$3="Ready"),3&lt;='Control Room'!$B$2),ROUND(MAX(0,'Process'!O258*'Control Room'!$H$6*INDEX('Control Room'!$B$19:$H$19,1,WEEKDAY($A258,2))*(1+'Control Room'!$D$9)^256*'Process'!P258),2),"")</x:f>
      </x:c>
      <x:c r="F258" s="16" t="str">
        <x:f>IF(AND(AND(257&lt;='Control Room'!$B$3,'Control Room'!$D$3="Ready"),4&lt;='Control Room'!$B$2),ROUND(MAX(0,'Process'!T258*'Control Room'!$H$7*INDEX('Control Room'!$B$19:$H$19,1,WEEKDAY($A258,2))*(1+'Control Room'!$D$9)^256*'Process'!U258),2),"")</x:f>
      </x:c>
      <x:c r="G258" s="16" t="str">
        <x:f>IF(AND(AND(257&lt;='Control Room'!$B$3,'Control Room'!$D$3="Ready"),5&lt;='Control Room'!$B$2),ROUND(MAX(0,'Process'!Y258*'Control Room'!$H$8*INDEX('Control Room'!$B$19:$H$19,1,WEEKDAY($A258,2))*(1+'Control Room'!$D$9)^256*'Process'!Z258),2),"")</x:f>
      </x:c>
      <x:c r="H258" s="16" t="str">
        <x:f>IF(AND(AND(257&lt;='Control Room'!$B$3,'Control Room'!$D$3="Ready"),6&lt;='Control Room'!$B$2),ROUND(MAX(0,'Process'!AD258*'Control Room'!$H$9*INDEX('Control Room'!$B$19:$H$19,1,WEEKDAY($A258,2))*(1+'Control Room'!$D$9)^256*'Process'!AE258),2),"")</x:f>
      </x:c>
      <x:c r="I258" s="16" t="str">
        <x:f>IF(AND(AND(257&lt;='Control Room'!$B$3,'Control Room'!$D$3="Ready"),7&lt;='Control Room'!$B$2),ROUND(MAX(0,'Process'!AI258*'Control Room'!$H$10*INDEX('Control Room'!$B$19:$H$19,1,WEEKDAY($A258,2))*(1+'Control Room'!$D$9)^256*'Process'!AJ258),2),"")</x:f>
      </x:c>
      <x:c r="J258" s="16" t="str">
        <x:f>IF(AND(AND(257&lt;='Control Room'!$B$3,'Control Room'!$D$3="Ready"),8&lt;='Control Room'!$B$2),ROUND(MAX(0,'Process'!AN258*'Control Room'!$H$11*INDEX('Control Room'!$B$19:$H$19,1,WEEKDAY($A258,2))*(1+'Control Room'!$D$9)^256*'Process'!AO258),2),"")</x:f>
      </x:c>
      <x:c r="K258" s="16" t="str">
        <x:f>IF(AND(AND(257&lt;='Control Room'!$B$3,'Control Room'!$D$3="Ready"),9&lt;='Control Room'!$B$2),ROUND(MAX(0,'Process'!AS258*'Control Room'!$H$12*INDEX('Control Room'!$B$19:$H$19,1,WEEKDAY($A258,2))*(1+'Control Room'!$D$9)^256*'Process'!AT258),2),"")</x:f>
      </x:c>
      <x:c r="L258" s="16" t="str">
        <x:f>IF(AND(AND(257&lt;='Control Room'!$B$3,'Control Room'!$D$3="Ready"),10&lt;='Control Room'!$B$2),ROUND(MAX(0,'Process'!AX258*'Control Room'!$H$13*INDEX('Control Room'!$B$19:$H$19,1,WEEKDAY($A258,2))*(1+'Control Room'!$D$9)^256*'Process'!AY258),2),"")</x:f>
      </x:c>
      <x:c r="M258" s="16" t="str">
        <x:f>IF(AND(AND(257&lt;='Control Room'!$B$3,'Control Room'!$D$3="Ready"),11&lt;='Control Room'!$B$2),ROUND(MAX(0,'Process'!BC258*'Control Room'!$H$14*INDEX('Control Room'!$B$19:$H$19,1,WEEKDAY($A258,2))*(1+'Control Room'!$D$9)^256*'Process'!BD258),2),"")</x:f>
      </x:c>
      <x:c r="N258" s="16" t="str">
        <x:f>IF(AND(AND(257&lt;='Control Room'!$B$3,'Control Room'!$D$3="Ready"),12&lt;='Control Room'!$B$2),ROUND(MAX(0,'Process'!BH258*'Control Room'!$H$15*INDEX('Control Room'!$B$19:$H$19,1,WEEKDAY($A258,2))*(1+'Control Room'!$D$9)^256*'Process'!BI258),2),"")</x:f>
      </x:c>
    </x:row>
    <x:row r="259" ht="21" customHeight="1">
      <x:c r="A259" s="15" t="str">
        <x:f>IF(AND(258&lt;='Control Room'!$B$3,'Control Room'!$D$3="Ready"),'Process'!A259,"")</x:f>
      </x:c>
      <x:c r="B259" s="16" t="str">
        <x:f>IF(A259="","",SUM(C259:N259))</x:f>
      </x:c>
      <x:c r="C259" s="16" t="str">
        <x:f>IF(AND(AND(258&lt;='Control Room'!$B$3,'Control Room'!$D$3="Ready"),1&lt;='Control Room'!$B$2),ROUND(MAX(0,'Process'!E259*'Control Room'!$H$4*INDEX('Control Room'!$B$19:$H$19,1,WEEKDAY($A259,2))*(1+'Control Room'!$D$9)^257*'Process'!F259),2),"")</x:f>
      </x:c>
      <x:c r="D259" s="16" t="str">
        <x:f>IF(AND(AND(258&lt;='Control Room'!$B$3,'Control Room'!$D$3="Ready"),2&lt;='Control Room'!$B$2),ROUND(MAX(0,'Process'!J259*'Control Room'!$H$5*INDEX('Control Room'!$B$19:$H$19,1,WEEKDAY($A259,2))*(1+'Control Room'!$D$9)^257*'Process'!K259),2),"")</x:f>
      </x:c>
      <x:c r="E259" s="16" t="str">
        <x:f>IF(AND(AND(258&lt;='Control Room'!$B$3,'Control Room'!$D$3="Ready"),3&lt;='Control Room'!$B$2),ROUND(MAX(0,'Process'!O259*'Control Room'!$H$6*INDEX('Control Room'!$B$19:$H$19,1,WEEKDAY($A259,2))*(1+'Control Room'!$D$9)^257*'Process'!P259),2),"")</x:f>
      </x:c>
      <x:c r="F259" s="16" t="str">
        <x:f>IF(AND(AND(258&lt;='Control Room'!$B$3,'Control Room'!$D$3="Ready"),4&lt;='Control Room'!$B$2),ROUND(MAX(0,'Process'!T259*'Control Room'!$H$7*INDEX('Control Room'!$B$19:$H$19,1,WEEKDAY($A259,2))*(1+'Control Room'!$D$9)^257*'Process'!U259),2),"")</x:f>
      </x:c>
      <x:c r="G259" s="16" t="str">
        <x:f>IF(AND(AND(258&lt;='Control Room'!$B$3,'Control Room'!$D$3="Ready"),5&lt;='Control Room'!$B$2),ROUND(MAX(0,'Process'!Y259*'Control Room'!$H$8*INDEX('Control Room'!$B$19:$H$19,1,WEEKDAY($A259,2))*(1+'Control Room'!$D$9)^257*'Process'!Z259),2),"")</x:f>
      </x:c>
      <x:c r="H259" s="16" t="str">
        <x:f>IF(AND(AND(258&lt;='Control Room'!$B$3,'Control Room'!$D$3="Ready"),6&lt;='Control Room'!$B$2),ROUND(MAX(0,'Process'!AD259*'Control Room'!$H$9*INDEX('Control Room'!$B$19:$H$19,1,WEEKDAY($A259,2))*(1+'Control Room'!$D$9)^257*'Process'!AE259),2),"")</x:f>
      </x:c>
      <x:c r="I259" s="16" t="str">
        <x:f>IF(AND(AND(258&lt;='Control Room'!$B$3,'Control Room'!$D$3="Ready"),7&lt;='Control Room'!$B$2),ROUND(MAX(0,'Process'!AI259*'Control Room'!$H$10*INDEX('Control Room'!$B$19:$H$19,1,WEEKDAY($A259,2))*(1+'Control Room'!$D$9)^257*'Process'!AJ259),2),"")</x:f>
      </x:c>
      <x:c r="J259" s="16" t="str">
        <x:f>IF(AND(AND(258&lt;='Control Room'!$B$3,'Control Room'!$D$3="Ready"),8&lt;='Control Room'!$B$2),ROUND(MAX(0,'Process'!AN259*'Control Room'!$H$11*INDEX('Control Room'!$B$19:$H$19,1,WEEKDAY($A259,2))*(1+'Control Room'!$D$9)^257*'Process'!AO259),2),"")</x:f>
      </x:c>
      <x:c r="K259" s="16" t="str">
        <x:f>IF(AND(AND(258&lt;='Control Room'!$B$3,'Control Room'!$D$3="Ready"),9&lt;='Control Room'!$B$2),ROUND(MAX(0,'Process'!AS259*'Control Room'!$H$12*INDEX('Control Room'!$B$19:$H$19,1,WEEKDAY($A259,2))*(1+'Control Room'!$D$9)^257*'Process'!AT259),2),"")</x:f>
      </x:c>
      <x:c r="L259" s="16" t="str">
        <x:f>IF(AND(AND(258&lt;='Control Room'!$B$3,'Control Room'!$D$3="Ready"),10&lt;='Control Room'!$B$2),ROUND(MAX(0,'Process'!AX259*'Control Room'!$H$13*INDEX('Control Room'!$B$19:$H$19,1,WEEKDAY($A259,2))*(1+'Control Room'!$D$9)^257*'Process'!AY259),2),"")</x:f>
      </x:c>
      <x:c r="M259" s="16" t="str">
        <x:f>IF(AND(AND(258&lt;='Control Room'!$B$3,'Control Room'!$D$3="Ready"),11&lt;='Control Room'!$B$2),ROUND(MAX(0,'Process'!BC259*'Control Room'!$H$14*INDEX('Control Room'!$B$19:$H$19,1,WEEKDAY($A259,2))*(1+'Control Room'!$D$9)^257*'Process'!BD259),2),"")</x:f>
      </x:c>
      <x:c r="N259" s="16" t="str">
        <x:f>IF(AND(AND(258&lt;='Control Room'!$B$3,'Control Room'!$D$3="Ready"),12&lt;='Control Room'!$B$2),ROUND(MAX(0,'Process'!BH259*'Control Room'!$H$15*INDEX('Control Room'!$B$19:$H$19,1,WEEKDAY($A259,2))*(1+'Control Room'!$D$9)^257*'Process'!BI259),2),"")</x:f>
      </x:c>
    </x:row>
    <x:row r="260" ht="21" customHeight="1">
      <x:c r="A260" s="15" t="str">
        <x:f>IF(AND(259&lt;='Control Room'!$B$3,'Control Room'!$D$3="Ready"),'Process'!A260,"")</x:f>
      </x:c>
      <x:c r="B260" s="16" t="str">
        <x:f>IF(A260="","",SUM(C260:N260))</x:f>
      </x:c>
      <x:c r="C260" s="16" t="str">
        <x:f>IF(AND(AND(259&lt;='Control Room'!$B$3,'Control Room'!$D$3="Ready"),1&lt;='Control Room'!$B$2),ROUND(MAX(0,'Process'!E260*'Control Room'!$H$4*INDEX('Control Room'!$B$19:$H$19,1,WEEKDAY($A260,2))*(1+'Control Room'!$D$9)^258*'Process'!F260),2),"")</x:f>
      </x:c>
      <x:c r="D260" s="16" t="str">
        <x:f>IF(AND(AND(259&lt;='Control Room'!$B$3,'Control Room'!$D$3="Ready"),2&lt;='Control Room'!$B$2),ROUND(MAX(0,'Process'!J260*'Control Room'!$H$5*INDEX('Control Room'!$B$19:$H$19,1,WEEKDAY($A260,2))*(1+'Control Room'!$D$9)^258*'Process'!K260),2),"")</x:f>
      </x:c>
      <x:c r="E260" s="16" t="str">
        <x:f>IF(AND(AND(259&lt;='Control Room'!$B$3,'Control Room'!$D$3="Ready"),3&lt;='Control Room'!$B$2),ROUND(MAX(0,'Process'!O260*'Control Room'!$H$6*INDEX('Control Room'!$B$19:$H$19,1,WEEKDAY($A260,2))*(1+'Control Room'!$D$9)^258*'Process'!P260),2),"")</x:f>
      </x:c>
      <x:c r="F260" s="16" t="str">
        <x:f>IF(AND(AND(259&lt;='Control Room'!$B$3,'Control Room'!$D$3="Ready"),4&lt;='Control Room'!$B$2),ROUND(MAX(0,'Process'!T260*'Control Room'!$H$7*INDEX('Control Room'!$B$19:$H$19,1,WEEKDAY($A260,2))*(1+'Control Room'!$D$9)^258*'Process'!U260),2),"")</x:f>
      </x:c>
      <x:c r="G260" s="16" t="str">
        <x:f>IF(AND(AND(259&lt;='Control Room'!$B$3,'Control Room'!$D$3="Ready"),5&lt;='Control Room'!$B$2),ROUND(MAX(0,'Process'!Y260*'Control Room'!$H$8*INDEX('Control Room'!$B$19:$H$19,1,WEEKDAY($A260,2))*(1+'Control Room'!$D$9)^258*'Process'!Z260),2),"")</x:f>
      </x:c>
      <x:c r="H260" s="16" t="str">
        <x:f>IF(AND(AND(259&lt;='Control Room'!$B$3,'Control Room'!$D$3="Ready"),6&lt;='Control Room'!$B$2),ROUND(MAX(0,'Process'!AD260*'Control Room'!$H$9*INDEX('Control Room'!$B$19:$H$19,1,WEEKDAY($A260,2))*(1+'Control Room'!$D$9)^258*'Process'!AE260),2),"")</x:f>
      </x:c>
      <x:c r="I260" s="16" t="str">
        <x:f>IF(AND(AND(259&lt;='Control Room'!$B$3,'Control Room'!$D$3="Ready"),7&lt;='Control Room'!$B$2),ROUND(MAX(0,'Process'!AI260*'Control Room'!$H$10*INDEX('Control Room'!$B$19:$H$19,1,WEEKDAY($A260,2))*(1+'Control Room'!$D$9)^258*'Process'!AJ260),2),"")</x:f>
      </x:c>
      <x:c r="J260" s="16" t="str">
        <x:f>IF(AND(AND(259&lt;='Control Room'!$B$3,'Control Room'!$D$3="Ready"),8&lt;='Control Room'!$B$2),ROUND(MAX(0,'Process'!AN260*'Control Room'!$H$11*INDEX('Control Room'!$B$19:$H$19,1,WEEKDAY($A260,2))*(1+'Control Room'!$D$9)^258*'Process'!AO260),2),"")</x:f>
      </x:c>
      <x:c r="K260" s="16" t="str">
        <x:f>IF(AND(AND(259&lt;='Control Room'!$B$3,'Control Room'!$D$3="Ready"),9&lt;='Control Room'!$B$2),ROUND(MAX(0,'Process'!AS260*'Control Room'!$H$12*INDEX('Control Room'!$B$19:$H$19,1,WEEKDAY($A260,2))*(1+'Control Room'!$D$9)^258*'Process'!AT260),2),"")</x:f>
      </x:c>
      <x:c r="L260" s="16" t="str">
        <x:f>IF(AND(AND(259&lt;='Control Room'!$B$3,'Control Room'!$D$3="Ready"),10&lt;='Control Room'!$B$2),ROUND(MAX(0,'Process'!AX260*'Control Room'!$H$13*INDEX('Control Room'!$B$19:$H$19,1,WEEKDAY($A260,2))*(1+'Control Room'!$D$9)^258*'Process'!AY260),2),"")</x:f>
      </x:c>
      <x:c r="M260" s="16" t="str">
        <x:f>IF(AND(AND(259&lt;='Control Room'!$B$3,'Control Room'!$D$3="Ready"),11&lt;='Control Room'!$B$2),ROUND(MAX(0,'Process'!BC260*'Control Room'!$H$14*INDEX('Control Room'!$B$19:$H$19,1,WEEKDAY($A260,2))*(1+'Control Room'!$D$9)^258*'Process'!BD260),2),"")</x:f>
      </x:c>
      <x:c r="N260" s="16" t="str">
        <x:f>IF(AND(AND(259&lt;='Control Room'!$B$3,'Control Room'!$D$3="Ready"),12&lt;='Control Room'!$B$2),ROUND(MAX(0,'Process'!BH260*'Control Room'!$H$15*INDEX('Control Room'!$B$19:$H$19,1,WEEKDAY($A260,2))*(1+'Control Room'!$D$9)^258*'Process'!BI260),2),"")</x:f>
      </x:c>
    </x:row>
    <x:row r="261" ht="21" customHeight="1">
      <x:c r="A261" s="15" t="str">
        <x:f>IF(AND(260&lt;='Control Room'!$B$3,'Control Room'!$D$3="Ready"),'Process'!A261,"")</x:f>
      </x:c>
      <x:c r="B261" s="16" t="str">
        <x:f>IF(A261="","",SUM(C261:N261))</x:f>
      </x:c>
      <x:c r="C261" s="16" t="str">
        <x:f>IF(AND(AND(260&lt;='Control Room'!$B$3,'Control Room'!$D$3="Ready"),1&lt;='Control Room'!$B$2),ROUND(MAX(0,'Process'!E261*'Control Room'!$H$4*INDEX('Control Room'!$B$19:$H$19,1,WEEKDAY($A261,2))*(1+'Control Room'!$D$9)^259*'Process'!F261),2),"")</x:f>
      </x:c>
      <x:c r="D261" s="16" t="str">
        <x:f>IF(AND(AND(260&lt;='Control Room'!$B$3,'Control Room'!$D$3="Ready"),2&lt;='Control Room'!$B$2),ROUND(MAX(0,'Process'!J261*'Control Room'!$H$5*INDEX('Control Room'!$B$19:$H$19,1,WEEKDAY($A261,2))*(1+'Control Room'!$D$9)^259*'Process'!K261),2),"")</x:f>
      </x:c>
      <x:c r="E261" s="16" t="str">
        <x:f>IF(AND(AND(260&lt;='Control Room'!$B$3,'Control Room'!$D$3="Ready"),3&lt;='Control Room'!$B$2),ROUND(MAX(0,'Process'!O261*'Control Room'!$H$6*INDEX('Control Room'!$B$19:$H$19,1,WEEKDAY($A261,2))*(1+'Control Room'!$D$9)^259*'Process'!P261),2),"")</x:f>
      </x:c>
      <x:c r="F261" s="16" t="str">
        <x:f>IF(AND(AND(260&lt;='Control Room'!$B$3,'Control Room'!$D$3="Ready"),4&lt;='Control Room'!$B$2),ROUND(MAX(0,'Process'!T261*'Control Room'!$H$7*INDEX('Control Room'!$B$19:$H$19,1,WEEKDAY($A261,2))*(1+'Control Room'!$D$9)^259*'Process'!U261),2),"")</x:f>
      </x:c>
      <x:c r="G261" s="16" t="str">
        <x:f>IF(AND(AND(260&lt;='Control Room'!$B$3,'Control Room'!$D$3="Ready"),5&lt;='Control Room'!$B$2),ROUND(MAX(0,'Process'!Y261*'Control Room'!$H$8*INDEX('Control Room'!$B$19:$H$19,1,WEEKDAY($A261,2))*(1+'Control Room'!$D$9)^259*'Process'!Z261),2),"")</x:f>
      </x:c>
      <x:c r="H261" s="16" t="str">
        <x:f>IF(AND(AND(260&lt;='Control Room'!$B$3,'Control Room'!$D$3="Ready"),6&lt;='Control Room'!$B$2),ROUND(MAX(0,'Process'!AD261*'Control Room'!$H$9*INDEX('Control Room'!$B$19:$H$19,1,WEEKDAY($A261,2))*(1+'Control Room'!$D$9)^259*'Process'!AE261),2),"")</x:f>
      </x:c>
      <x:c r="I261" s="16" t="str">
        <x:f>IF(AND(AND(260&lt;='Control Room'!$B$3,'Control Room'!$D$3="Ready"),7&lt;='Control Room'!$B$2),ROUND(MAX(0,'Process'!AI261*'Control Room'!$H$10*INDEX('Control Room'!$B$19:$H$19,1,WEEKDAY($A261,2))*(1+'Control Room'!$D$9)^259*'Process'!AJ261),2),"")</x:f>
      </x:c>
      <x:c r="J261" s="16" t="str">
        <x:f>IF(AND(AND(260&lt;='Control Room'!$B$3,'Control Room'!$D$3="Ready"),8&lt;='Control Room'!$B$2),ROUND(MAX(0,'Process'!AN261*'Control Room'!$H$11*INDEX('Control Room'!$B$19:$H$19,1,WEEKDAY($A261,2))*(1+'Control Room'!$D$9)^259*'Process'!AO261),2),"")</x:f>
      </x:c>
      <x:c r="K261" s="16" t="str">
        <x:f>IF(AND(AND(260&lt;='Control Room'!$B$3,'Control Room'!$D$3="Ready"),9&lt;='Control Room'!$B$2),ROUND(MAX(0,'Process'!AS261*'Control Room'!$H$12*INDEX('Control Room'!$B$19:$H$19,1,WEEKDAY($A261,2))*(1+'Control Room'!$D$9)^259*'Process'!AT261),2),"")</x:f>
      </x:c>
      <x:c r="L261" s="16" t="str">
        <x:f>IF(AND(AND(260&lt;='Control Room'!$B$3,'Control Room'!$D$3="Ready"),10&lt;='Control Room'!$B$2),ROUND(MAX(0,'Process'!AX261*'Control Room'!$H$13*INDEX('Control Room'!$B$19:$H$19,1,WEEKDAY($A261,2))*(1+'Control Room'!$D$9)^259*'Process'!AY261),2),"")</x:f>
      </x:c>
      <x:c r="M261" s="16" t="str">
        <x:f>IF(AND(AND(260&lt;='Control Room'!$B$3,'Control Room'!$D$3="Ready"),11&lt;='Control Room'!$B$2),ROUND(MAX(0,'Process'!BC261*'Control Room'!$H$14*INDEX('Control Room'!$B$19:$H$19,1,WEEKDAY($A261,2))*(1+'Control Room'!$D$9)^259*'Process'!BD261),2),"")</x:f>
      </x:c>
      <x:c r="N261" s="16" t="str">
        <x:f>IF(AND(AND(260&lt;='Control Room'!$B$3,'Control Room'!$D$3="Ready"),12&lt;='Control Room'!$B$2),ROUND(MAX(0,'Process'!BH261*'Control Room'!$H$15*INDEX('Control Room'!$B$19:$H$19,1,WEEKDAY($A261,2))*(1+'Control Room'!$D$9)^259*'Process'!BI261),2),"")</x:f>
      </x:c>
    </x:row>
    <x:row r="262" ht="21" customHeight="1">
      <x:c r="A262" s="15" t="str">
        <x:f>IF(AND(261&lt;='Control Room'!$B$3,'Control Room'!$D$3="Ready"),'Process'!A262,"")</x:f>
      </x:c>
      <x:c r="B262" s="16" t="str">
        <x:f>IF(A262="","",SUM(C262:N262))</x:f>
      </x:c>
      <x:c r="C262" s="16" t="str">
        <x:f>IF(AND(AND(261&lt;='Control Room'!$B$3,'Control Room'!$D$3="Ready"),1&lt;='Control Room'!$B$2),ROUND(MAX(0,'Process'!E262*'Control Room'!$H$4*INDEX('Control Room'!$B$19:$H$19,1,WEEKDAY($A262,2))*(1+'Control Room'!$D$9)^260*'Process'!F262),2),"")</x:f>
      </x:c>
      <x:c r="D262" s="16" t="str">
        <x:f>IF(AND(AND(261&lt;='Control Room'!$B$3,'Control Room'!$D$3="Ready"),2&lt;='Control Room'!$B$2),ROUND(MAX(0,'Process'!J262*'Control Room'!$H$5*INDEX('Control Room'!$B$19:$H$19,1,WEEKDAY($A262,2))*(1+'Control Room'!$D$9)^260*'Process'!K262),2),"")</x:f>
      </x:c>
      <x:c r="E262" s="16" t="str">
        <x:f>IF(AND(AND(261&lt;='Control Room'!$B$3,'Control Room'!$D$3="Ready"),3&lt;='Control Room'!$B$2),ROUND(MAX(0,'Process'!O262*'Control Room'!$H$6*INDEX('Control Room'!$B$19:$H$19,1,WEEKDAY($A262,2))*(1+'Control Room'!$D$9)^260*'Process'!P262),2),"")</x:f>
      </x:c>
      <x:c r="F262" s="16" t="str">
        <x:f>IF(AND(AND(261&lt;='Control Room'!$B$3,'Control Room'!$D$3="Ready"),4&lt;='Control Room'!$B$2),ROUND(MAX(0,'Process'!T262*'Control Room'!$H$7*INDEX('Control Room'!$B$19:$H$19,1,WEEKDAY($A262,2))*(1+'Control Room'!$D$9)^260*'Process'!U262),2),"")</x:f>
      </x:c>
      <x:c r="G262" s="16" t="str">
        <x:f>IF(AND(AND(261&lt;='Control Room'!$B$3,'Control Room'!$D$3="Ready"),5&lt;='Control Room'!$B$2),ROUND(MAX(0,'Process'!Y262*'Control Room'!$H$8*INDEX('Control Room'!$B$19:$H$19,1,WEEKDAY($A262,2))*(1+'Control Room'!$D$9)^260*'Process'!Z262),2),"")</x:f>
      </x:c>
      <x:c r="H262" s="16" t="str">
        <x:f>IF(AND(AND(261&lt;='Control Room'!$B$3,'Control Room'!$D$3="Ready"),6&lt;='Control Room'!$B$2),ROUND(MAX(0,'Process'!AD262*'Control Room'!$H$9*INDEX('Control Room'!$B$19:$H$19,1,WEEKDAY($A262,2))*(1+'Control Room'!$D$9)^260*'Process'!AE262),2),"")</x:f>
      </x:c>
      <x:c r="I262" s="16" t="str">
        <x:f>IF(AND(AND(261&lt;='Control Room'!$B$3,'Control Room'!$D$3="Ready"),7&lt;='Control Room'!$B$2),ROUND(MAX(0,'Process'!AI262*'Control Room'!$H$10*INDEX('Control Room'!$B$19:$H$19,1,WEEKDAY($A262,2))*(1+'Control Room'!$D$9)^260*'Process'!AJ262),2),"")</x:f>
      </x:c>
      <x:c r="J262" s="16" t="str">
        <x:f>IF(AND(AND(261&lt;='Control Room'!$B$3,'Control Room'!$D$3="Ready"),8&lt;='Control Room'!$B$2),ROUND(MAX(0,'Process'!AN262*'Control Room'!$H$11*INDEX('Control Room'!$B$19:$H$19,1,WEEKDAY($A262,2))*(1+'Control Room'!$D$9)^260*'Process'!AO262),2),"")</x:f>
      </x:c>
      <x:c r="K262" s="16" t="str">
        <x:f>IF(AND(AND(261&lt;='Control Room'!$B$3,'Control Room'!$D$3="Ready"),9&lt;='Control Room'!$B$2),ROUND(MAX(0,'Process'!AS262*'Control Room'!$H$12*INDEX('Control Room'!$B$19:$H$19,1,WEEKDAY($A262,2))*(1+'Control Room'!$D$9)^260*'Process'!AT262),2),"")</x:f>
      </x:c>
      <x:c r="L262" s="16" t="str">
        <x:f>IF(AND(AND(261&lt;='Control Room'!$B$3,'Control Room'!$D$3="Ready"),10&lt;='Control Room'!$B$2),ROUND(MAX(0,'Process'!AX262*'Control Room'!$H$13*INDEX('Control Room'!$B$19:$H$19,1,WEEKDAY($A262,2))*(1+'Control Room'!$D$9)^260*'Process'!AY262),2),"")</x:f>
      </x:c>
      <x:c r="M262" s="16" t="str">
        <x:f>IF(AND(AND(261&lt;='Control Room'!$B$3,'Control Room'!$D$3="Ready"),11&lt;='Control Room'!$B$2),ROUND(MAX(0,'Process'!BC262*'Control Room'!$H$14*INDEX('Control Room'!$B$19:$H$19,1,WEEKDAY($A262,2))*(1+'Control Room'!$D$9)^260*'Process'!BD262),2),"")</x:f>
      </x:c>
      <x:c r="N262" s="16" t="str">
        <x:f>IF(AND(AND(261&lt;='Control Room'!$B$3,'Control Room'!$D$3="Ready"),12&lt;='Control Room'!$B$2),ROUND(MAX(0,'Process'!BH262*'Control Room'!$H$15*INDEX('Control Room'!$B$19:$H$19,1,WEEKDAY($A262,2))*(1+'Control Room'!$D$9)^260*'Process'!BI262),2),"")</x:f>
      </x:c>
    </x:row>
    <x:row r="263" ht="21" customHeight="1">
      <x:c r="A263" s="15" t="str">
        <x:f>IF(AND(262&lt;='Control Room'!$B$3,'Control Room'!$D$3="Ready"),'Process'!A263,"")</x:f>
      </x:c>
      <x:c r="B263" s="16" t="str">
        <x:f>IF(A263="","",SUM(C263:N263))</x:f>
      </x:c>
      <x:c r="C263" s="16" t="str">
        <x:f>IF(AND(AND(262&lt;='Control Room'!$B$3,'Control Room'!$D$3="Ready"),1&lt;='Control Room'!$B$2),ROUND(MAX(0,'Process'!E263*'Control Room'!$H$4*INDEX('Control Room'!$B$19:$H$19,1,WEEKDAY($A263,2))*(1+'Control Room'!$D$9)^261*'Process'!F263),2),"")</x:f>
      </x:c>
      <x:c r="D263" s="16" t="str">
        <x:f>IF(AND(AND(262&lt;='Control Room'!$B$3,'Control Room'!$D$3="Ready"),2&lt;='Control Room'!$B$2),ROUND(MAX(0,'Process'!J263*'Control Room'!$H$5*INDEX('Control Room'!$B$19:$H$19,1,WEEKDAY($A263,2))*(1+'Control Room'!$D$9)^261*'Process'!K263),2),"")</x:f>
      </x:c>
      <x:c r="E263" s="16" t="str">
        <x:f>IF(AND(AND(262&lt;='Control Room'!$B$3,'Control Room'!$D$3="Ready"),3&lt;='Control Room'!$B$2),ROUND(MAX(0,'Process'!O263*'Control Room'!$H$6*INDEX('Control Room'!$B$19:$H$19,1,WEEKDAY($A263,2))*(1+'Control Room'!$D$9)^261*'Process'!P263),2),"")</x:f>
      </x:c>
      <x:c r="F263" s="16" t="str">
        <x:f>IF(AND(AND(262&lt;='Control Room'!$B$3,'Control Room'!$D$3="Ready"),4&lt;='Control Room'!$B$2),ROUND(MAX(0,'Process'!T263*'Control Room'!$H$7*INDEX('Control Room'!$B$19:$H$19,1,WEEKDAY($A263,2))*(1+'Control Room'!$D$9)^261*'Process'!U263),2),"")</x:f>
      </x:c>
      <x:c r="G263" s="16" t="str">
        <x:f>IF(AND(AND(262&lt;='Control Room'!$B$3,'Control Room'!$D$3="Ready"),5&lt;='Control Room'!$B$2),ROUND(MAX(0,'Process'!Y263*'Control Room'!$H$8*INDEX('Control Room'!$B$19:$H$19,1,WEEKDAY($A263,2))*(1+'Control Room'!$D$9)^261*'Process'!Z263),2),"")</x:f>
      </x:c>
      <x:c r="H263" s="16" t="str">
        <x:f>IF(AND(AND(262&lt;='Control Room'!$B$3,'Control Room'!$D$3="Ready"),6&lt;='Control Room'!$B$2),ROUND(MAX(0,'Process'!AD263*'Control Room'!$H$9*INDEX('Control Room'!$B$19:$H$19,1,WEEKDAY($A263,2))*(1+'Control Room'!$D$9)^261*'Process'!AE263),2),"")</x:f>
      </x:c>
      <x:c r="I263" s="16" t="str">
        <x:f>IF(AND(AND(262&lt;='Control Room'!$B$3,'Control Room'!$D$3="Ready"),7&lt;='Control Room'!$B$2),ROUND(MAX(0,'Process'!AI263*'Control Room'!$H$10*INDEX('Control Room'!$B$19:$H$19,1,WEEKDAY($A263,2))*(1+'Control Room'!$D$9)^261*'Process'!AJ263),2),"")</x:f>
      </x:c>
      <x:c r="J263" s="16" t="str">
        <x:f>IF(AND(AND(262&lt;='Control Room'!$B$3,'Control Room'!$D$3="Ready"),8&lt;='Control Room'!$B$2),ROUND(MAX(0,'Process'!AN263*'Control Room'!$H$11*INDEX('Control Room'!$B$19:$H$19,1,WEEKDAY($A263,2))*(1+'Control Room'!$D$9)^261*'Process'!AO263),2),"")</x:f>
      </x:c>
      <x:c r="K263" s="16" t="str">
        <x:f>IF(AND(AND(262&lt;='Control Room'!$B$3,'Control Room'!$D$3="Ready"),9&lt;='Control Room'!$B$2),ROUND(MAX(0,'Process'!AS263*'Control Room'!$H$12*INDEX('Control Room'!$B$19:$H$19,1,WEEKDAY($A263,2))*(1+'Control Room'!$D$9)^261*'Process'!AT263),2),"")</x:f>
      </x:c>
      <x:c r="L263" s="16" t="str">
        <x:f>IF(AND(AND(262&lt;='Control Room'!$B$3,'Control Room'!$D$3="Ready"),10&lt;='Control Room'!$B$2),ROUND(MAX(0,'Process'!AX263*'Control Room'!$H$13*INDEX('Control Room'!$B$19:$H$19,1,WEEKDAY($A263,2))*(1+'Control Room'!$D$9)^261*'Process'!AY263),2),"")</x:f>
      </x:c>
      <x:c r="M263" s="16" t="str">
        <x:f>IF(AND(AND(262&lt;='Control Room'!$B$3,'Control Room'!$D$3="Ready"),11&lt;='Control Room'!$B$2),ROUND(MAX(0,'Process'!BC263*'Control Room'!$H$14*INDEX('Control Room'!$B$19:$H$19,1,WEEKDAY($A263,2))*(1+'Control Room'!$D$9)^261*'Process'!BD263),2),"")</x:f>
      </x:c>
      <x:c r="N263" s="16" t="str">
        <x:f>IF(AND(AND(262&lt;='Control Room'!$B$3,'Control Room'!$D$3="Ready"),12&lt;='Control Room'!$B$2),ROUND(MAX(0,'Process'!BH263*'Control Room'!$H$15*INDEX('Control Room'!$B$19:$H$19,1,WEEKDAY($A263,2))*(1+'Control Room'!$D$9)^261*'Process'!BI263),2),"")</x:f>
      </x:c>
    </x:row>
    <x:row r="264" ht="21" customHeight="1">
      <x:c r="A264" s="15" t="str">
        <x:f>IF(AND(263&lt;='Control Room'!$B$3,'Control Room'!$D$3="Ready"),'Process'!A264,"")</x:f>
      </x:c>
      <x:c r="B264" s="16" t="str">
        <x:f>IF(A264="","",SUM(C264:N264))</x:f>
      </x:c>
      <x:c r="C264" s="16" t="str">
        <x:f>IF(AND(AND(263&lt;='Control Room'!$B$3,'Control Room'!$D$3="Ready"),1&lt;='Control Room'!$B$2),ROUND(MAX(0,'Process'!E264*'Control Room'!$H$4*INDEX('Control Room'!$B$19:$H$19,1,WEEKDAY($A264,2))*(1+'Control Room'!$D$9)^262*'Process'!F264),2),"")</x:f>
      </x:c>
      <x:c r="D264" s="16" t="str">
        <x:f>IF(AND(AND(263&lt;='Control Room'!$B$3,'Control Room'!$D$3="Ready"),2&lt;='Control Room'!$B$2),ROUND(MAX(0,'Process'!J264*'Control Room'!$H$5*INDEX('Control Room'!$B$19:$H$19,1,WEEKDAY($A264,2))*(1+'Control Room'!$D$9)^262*'Process'!K264),2),"")</x:f>
      </x:c>
      <x:c r="E264" s="16" t="str">
        <x:f>IF(AND(AND(263&lt;='Control Room'!$B$3,'Control Room'!$D$3="Ready"),3&lt;='Control Room'!$B$2),ROUND(MAX(0,'Process'!O264*'Control Room'!$H$6*INDEX('Control Room'!$B$19:$H$19,1,WEEKDAY($A264,2))*(1+'Control Room'!$D$9)^262*'Process'!P264),2),"")</x:f>
      </x:c>
      <x:c r="F264" s="16" t="str">
        <x:f>IF(AND(AND(263&lt;='Control Room'!$B$3,'Control Room'!$D$3="Ready"),4&lt;='Control Room'!$B$2),ROUND(MAX(0,'Process'!T264*'Control Room'!$H$7*INDEX('Control Room'!$B$19:$H$19,1,WEEKDAY($A264,2))*(1+'Control Room'!$D$9)^262*'Process'!U264),2),"")</x:f>
      </x:c>
      <x:c r="G264" s="16" t="str">
        <x:f>IF(AND(AND(263&lt;='Control Room'!$B$3,'Control Room'!$D$3="Ready"),5&lt;='Control Room'!$B$2),ROUND(MAX(0,'Process'!Y264*'Control Room'!$H$8*INDEX('Control Room'!$B$19:$H$19,1,WEEKDAY($A264,2))*(1+'Control Room'!$D$9)^262*'Process'!Z264),2),"")</x:f>
      </x:c>
      <x:c r="H264" s="16" t="str">
        <x:f>IF(AND(AND(263&lt;='Control Room'!$B$3,'Control Room'!$D$3="Ready"),6&lt;='Control Room'!$B$2),ROUND(MAX(0,'Process'!AD264*'Control Room'!$H$9*INDEX('Control Room'!$B$19:$H$19,1,WEEKDAY($A264,2))*(1+'Control Room'!$D$9)^262*'Process'!AE264),2),"")</x:f>
      </x:c>
      <x:c r="I264" s="16" t="str">
        <x:f>IF(AND(AND(263&lt;='Control Room'!$B$3,'Control Room'!$D$3="Ready"),7&lt;='Control Room'!$B$2),ROUND(MAX(0,'Process'!AI264*'Control Room'!$H$10*INDEX('Control Room'!$B$19:$H$19,1,WEEKDAY($A264,2))*(1+'Control Room'!$D$9)^262*'Process'!AJ264),2),"")</x:f>
      </x:c>
      <x:c r="J264" s="16" t="str">
        <x:f>IF(AND(AND(263&lt;='Control Room'!$B$3,'Control Room'!$D$3="Ready"),8&lt;='Control Room'!$B$2),ROUND(MAX(0,'Process'!AN264*'Control Room'!$H$11*INDEX('Control Room'!$B$19:$H$19,1,WEEKDAY($A264,2))*(1+'Control Room'!$D$9)^262*'Process'!AO264),2),"")</x:f>
      </x:c>
      <x:c r="K264" s="16" t="str">
        <x:f>IF(AND(AND(263&lt;='Control Room'!$B$3,'Control Room'!$D$3="Ready"),9&lt;='Control Room'!$B$2),ROUND(MAX(0,'Process'!AS264*'Control Room'!$H$12*INDEX('Control Room'!$B$19:$H$19,1,WEEKDAY($A264,2))*(1+'Control Room'!$D$9)^262*'Process'!AT264),2),"")</x:f>
      </x:c>
      <x:c r="L264" s="16" t="str">
        <x:f>IF(AND(AND(263&lt;='Control Room'!$B$3,'Control Room'!$D$3="Ready"),10&lt;='Control Room'!$B$2),ROUND(MAX(0,'Process'!AX264*'Control Room'!$H$13*INDEX('Control Room'!$B$19:$H$19,1,WEEKDAY($A264,2))*(1+'Control Room'!$D$9)^262*'Process'!AY264),2),"")</x:f>
      </x:c>
      <x:c r="M264" s="16" t="str">
        <x:f>IF(AND(AND(263&lt;='Control Room'!$B$3,'Control Room'!$D$3="Ready"),11&lt;='Control Room'!$B$2),ROUND(MAX(0,'Process'!BC264*'Control Room'!$H$14*INDEX('Control Room'!$B$19:$H$19,1,WEEKDAY($A264,2))*(1+'Control Room'!$D$9)^262*'Process'!BD264),2),"")</x:f>
      </x:c>
      <x:c r="N264" s="16" t="str">
        <x:f>IF(AND(AND(263&lt;='Control Room'!$B$3,'Control Room'!$D$3="Ready"),12&lt;='Control Room'!$B$2),ROUND(MAX(0,'Process'!BH264*'Control Room'!$H$15*INDEX('Control Room'!$B$19:$H$19,1,WEEKDAY($A264,2))*(1+'Control Room'!$D$9)^262*'Process'!BI264),2),"")</x:f>
      </x:c>
    </x:row>
    <x:row r="265" ht="21" customHeight="1">
      <x:c r="A265" s="15" t="str">
        <x:f>IF(AND(264&lt;='Control Room'!$B$3,'Control Room'!$D$3="Ready"),'Process'!A265,"")</x:f>
      </x:c>
      <x:c r="B265" s="16" t="str">
        <x:f>IF(A265="","",SUM(C265:N265))</x:f>
      </x:c>
      <x:c r="C265" s="16" t="str">
        <x:f>IF(AND(AND(264&lt;='Control Room'!$B$3,'Control Room'!$D$3="Ready"),1&lt;='Control Room'!$B$2),ROUND(MAX(0,'Process'!E265*'Control Room'!$H$4*INDEX('Control Room'!$B$19:$H$19,1,WEEKDAY($A265,2))*(1+'Control Room'!$D$9)^263*'Process'!F265),2),"")</x:f>
      </x:c>
      <x:c r="D265" s="16" t="str">
        <x:f>IF(AND(AND(264&lt;='Control Room'!$B$3,'Control Room'!$D$3="Ready"),2&lt;='Control Room'!$B$2),ROUND(MAX(0,'Process'!J265*'Control Room'!$H$5*INDEX('Control Room'!$B$19:$H$19,1,WEEKDAY($A265,2))*(1+'Control Room'!$D$9)^263*'Process'!K265),2),"")</x:f>
      </x:c>
      <x:c r="E265" s="16" t="str">
        <x:f>IF(AND(AND(264&lt;='Control Room'!$B$3,'Control Room'!$D$3="Ready"),3&lt;='Control Room'!$B$2),ROUND(MAX(0,'Process'!O265*'Control Room'!$H$6*INDEX('Control Room'!$B$19:$H$19,1,WEEKDAY($A265,2))*(1+'Control Room'!$D$9)^263*'Process'!P265),2),"")</x:f>
      </x:c>
      <x:c r="F265" s="16" t="str">
        <x:f>IF(AND(AND(264&lt;='Control Room'!$B$3,'Control Room'!$D$3="Ready"),4&lt;='Control Room'!$B$2),ROUND(MAX(0,'Process'!T265*'Control Room'!$H$7*INDEX('Control Room'!$B$19:$H$19,1,WEEKDAY($A265,2))*(1+'Control Room'!$D$9)^263*'Process'!U265),2),"")</x:f>
      </x:c>
      <x:c r="G265" s="16" t="str">
        <x:f>IF(AND(AND(264&lt;='Control Room'!$B$3,'Control Room'!$D$3="Ready"),5&lt;='Control Room'!$B$2),ROUND(MAX(0,'Process'!Y265*'Control Room'!$H$8*INDEX('Control Room'!$B$19:$H$19,1,WEEKDAY($A265,2))*(1+'Control Room'!$D$9)^263*'Process'!Z265),2),"")</x:f>
      </x:c>
      <x:c r="H265" s="16" t="str">
        <x:f>IF(AND(AND(264&lt;='Control Room'!$B$3,'Control Room'!$D$3="Ready"),6&lt;='Control Room'!$B$2),ROUND(MAX(0,'Process'!AD265*'Control Room'!$H$9*INDEX('Control Room'!$B$19:$H$19,1,WEEKDAY($A265,2))*(1+'Control Room'!$D$9)^263*'Process'!AE265),2),"")</x:f>
      </x:c>
      <x:c r="I265" s="16" t="str">
        <x:f>IF(AND(AND(264&lt;='Control Room'!$B$3,'Control Room'!$D$3="Ready"),7&lt;='Control Room'!$B$2),ROUND(MAX(0,'Process'!AI265*'Control Room'!$H$10*INDEX('Control Room'!$B$19:$H$19,1,WEEKDAY($A265,2))*(1+'Control Room'!$D$9)^263*'Process'!AJ265),2),"")</x:f>
      </x:c>
      <x:c r="J265" s="16" t="str">
        <x:f>IF(AND(AND(264&lt;='Control Room'!$B$3,'Control Room'!$D$3="Ready"),8&lt;='Control Room'!$B$2),ROUND(MAX(0,'Process'!AN265*'Control Room'!$H$11*INDEX('Control Room'!$B$19:$H$19,1,WEEKDAY($A265,2))*(1+'Control Room'!$D$9)^263*'Process'!AO265),2),"")</x:f>
      </x:c>
      <x:c r="K265" s="16" t="str">
        <x:f>IF(AND(AND(264&lt;='Control Room'!$B$3,'Control Room'!$D$3="Ready"),9&lt;='Control Room'!$B$2),ROUND(MAX(0,'Process'!AS265*'Control Room'!$H$12*INDEX('Control Room'!$B$19:$H$19,1,WEEKDAY($A265,2))*(1+'Control Room'!$D$9)^263*'Process'!AT265),2),"")</x:f>
      </x:c>
      <x:c r="L265" s="16" t="str">
        <x:f>IF(AND(AND(264&lt;='Control Room'!$B$3,'Control Room'!$D$3="Ready"),10&lt;='Control Room'!$B$2),ROUND(MAX(0,'Process'!AX265*'Control Room'!$H$13*INDEX('Control Room'!$B$19:$H$19,1,WEEKDAY($A265,2))*(1+'Control Room'!$D$9)^263*'Process'!AY265),2),"")</x:f>
      </x:c>
      <x:c r="M265" s="16" t="str">
        <x:f>IF(AND(AND(264&lt;='Control Room'!$B$3,'Control Room'!$D$3="Ready"),11&lt;='Control Room'!$B$2),ROUND(MAX(0,'Process'!BC265*'Control Room'!$H$14*INDEX('Control Room'!$B$19:$H$19,1,WEEKDAY($A265,2))*(1+'Control Room'!$D$9)^263*'Process'!BD265),2),"")</x:f>
      </x:c>
      <x:c r="N265" s="16" t="str">
        <x:f>IF(AND(AND(264&lt;='Control Room'!$B$3,'Control Room'!$D$3="Ready"),12&lt;='Control Room'!$B$2),ROUND(MAX(0,'Process'!BH265*'Control Room'!$H$15*INDEX('Control Room'!$B$19:$H$19,1,WEEKDAY($A265,2))*(1+'Control Room'!$D$9)^263*'Process'!BI265),2),"")</x:f>
      </x:c>
    </x:row>
    <x:row r="266" ht="21" customHeight="1">
      <x:c r="A266" s="15" t="str">
        <x:f>IF(AND(265&lt;='Control Room'!$B$3,'Control Room'!$D$3="Ready"),'Process'!A266,"")</x:f>
      </x:c>
      <x:c r="B266" s="16" t="str">
        <x:f>IF(A266="","",SUM(C266:N266))</x:f>
      </x:c>
      <x:c r="C266" s="16" t="str">
        <x:f>IF(AND(AND(265&lt;='Control Room'!$B$3,'Control Room'!$D$3="Ready"),1&lt;='Control Room'!$B$2),ROUND(MAX(0,'Process'!E266*'Control Room'!$H$4*INDEX('Control Room'!$B$19:$H$19,1,WEEKDAY($A266,2))*(1+'Control Room'!$D$9)^264*'Process'!F266),2),"")</x:f>
      </x:c>
      <x:c r="D266" s="16" t="str">
        <x:f>IF(AND(AND(265&lt;='Control Room'!$B$3,'Control Room'!$D$3="Ready"),2&lt;='Control Room'!$B$2),ROUND(MAX(0,'Process'!J266*'Control Room'!$H$5*INDEX('Control Room'!$B$19:$H$19,1,WEEKDAY($A266,2))*(1+'Control Room'!$D$9)^264*'Process'!K266),2),"")</x:f>
      </x:c>
      <x:c r="E266" s="16" t="str">
        <x:f>IF(AND(AND(265&lt;='Control Room'!$B$3,'Control Room'!$D$3="Ready"),3&lt;='Control Room'!$B$2),ROUND(MAX(0,'Process'!O266*'Control Room'!$H$6*INDEX('Control Room'!$B$19:$H$19,1,WEEKDAY($A266,2))*(1+'Control Room'!$D$9)^264*'Process'!P266),2),"")</x:f>
      </x:c>
      <x:c r="F266" s="16" t="str">
        <x:f>IF(AND(AND(265&lt;='Control Room'!$B$3,'Control Room'!$D$3="Ready"),4&lt;='Control Room'!$B$2),ROUND(MAX(0,'Process'!T266*'Control Room'!$H$7*INDEX('Control Room'!$B$19:$H$19,1,WEEKDAY($A266,2))*(1+'Control Room'!$D$9)^264*'Process'!U266),2),"")</x:f>
      </x:c>
      <x:c r="G266" s="16" t="str">
        <x:f>IF(AND(AND(265&lt;='Control Room'!$B$3,'Control Room'!$D$3="Ready"),5&lt;='Control Room'!$B$2),ROUND(MAX(0,'Process'!Y266*'Control Room'!$H$8*INDEX('Control Room'!$B$19:$H$19,1,WEEKDAY($A266,2))*(1+'Control Room'!$D$9)^264*'Process'!Z266),2),"")</x:f>
      </x:c>
      <x:c r="H266" s="16" t="str">
        <x:f>IF(AND(AND(265&lt;='Control Room'!$B$3,'Control Room'!$D$3="Ready"),6&lt;='Control Room'!$B$2),ROUND(MAX(0,'Process'!AD266*'Control Room'!$H$9*INDEX('Control Room'!$B$19:$H$19,1,WEEKDAY($A266,2))*(1+'Control Room'!$D$9)^264*'Process'!AE266),2),"")</x:f>
      </x:c>
      <x:c r="I266" s="16" t="str">
        <x:f>IF(AND(AND(265&lt;='Control Room'!$B$3,'Control Room'!$D$3="Ready"),7&lt;='Control Room'!$B$2),ROUND(MAX(0,'Process'!AI266*'Control Room'!$H$10*INDEX('Control Room'!$B$19:$H$19,1,WEEKDAY($A266,2))*(1+'Control Room'!$D$9)^264*'Process'!AJ266),2),"")</x:f>
      </x:c>
      <x:c r="J266" s="16" t="str">
        <x:f>IF(AND(AND(265&lt;='Control Room'!$B$3,'Control Room'!$D$3="Ready"),8&lt;='Control Room'!$B$2),ROUND(MAX(0,'Process'!AN266*'Control Room'!$H$11*INDEX('Control Room'!$B$19:$H$19,1,WEEKDAY($A266,2))*(1+'Control Room'!$D$9)^264*'Process'!AO266),2),"")</x:f>
      </x:c>
      <x:c r="K266" s="16" t="str">
        <x:f>IF(AND(AND(265&lt;='Control Room'!$B$3,'Control Room'!$D$3="Ready"),9&lt;='Control Room'!$B$2),ROUND(MAX(0,'Process'!AS266*'Control Room'!$H$12*INDEX('Control Room'!$B$19:$H$19,1,WEEKDAY($A266,2))*(1+'Control Room'!$D$9)^264*'Process'!AT266),2),"")</x:f>
      </x:c>
      <x:c r="L266" s="16" t="str">
        <x:f>IF(AND(AND(265&lt;='Control Room'!$B$3,'Control Room'!$D$3="Ready"),10&lt;='Control Room'!$B$2),ROUND(MAX(0,'Process'!AX266*'Control Room'!$H$13*INDEX('Control Room'!$B$19:$H$19,1,WEEKDAY($A266,2))*(1+'Control Room'!$D$9)^264*'Process'!AY266),2),"")</x:f>
      </x:c>
      <x:c r="M266" s="16" t="str">
        <x:f>IF(AND(AND(265&lt;='Control Room'!$B$3,'Control Room'!$D$3="Ready"),11&lt;='Control Room'!$B$2),ROUND(MAX(0,'Process'!BC266*'Control Room'!$H$14*INDEX('Control Room'!$B$19:$H$19,1,WEEKDAY($A266,2))*(1+'Control Room'!$D$9)^264*'Process'!BD266),2),"")</x:f>
      </x:c>
      <x:c r="N266" s="16" t="str">
        <x:f>IF(AND(AND(265&lt;='Control Room'!$B$3,'Control Room'!$D$3="Ready"),12&lt;='Control Room'!$B$2),ROUND(MAX(0,'Process'!BH266*'Control Room'!$H$15*INDEX('Control Room'!$B$19:$H$19,1,WEEKDAY($A266,2))*(1+'Control Room'!$D$9)^264*'Process'!BI266),2),"")</x:f>
      </x:c>
    </x:row>
    <x:row r="267" ht="21" customHeight="1">
      <x:c r="A267" s="15" t="str">
        <x:f>IF(AND(266&lt;='Control Room'!$B$3,'Control Room'!$D$3="Ready"),'Process'!A267,"")</x:f>
      </x:c>
      <x:c r="B267" s="16" t="str">
        <x:f>IF(A267="","",SUM(C267:N267))</x:f>
      </x:c>
      <x:c r="C267" s="16" t="str">
        <x:f>IF(AND(AND(266&lt;='Control Room'!$B$3,'Control Room'!$D$3="Ready"),1&lt;='Control Room'!$B$2),ROUND(MAX(0,'Process'!E267*'Control Room'!$H$4*INDEX('Control Room'!$B$19:$H$19,1,WEEKDAY($A267,2))*(1+'Control Room'!$D$9)^265*'Process'!F267),2),"")</x:f>
      </x:c>
      <x:c r="D267" s="16" t="str">
        <x:f>IF(AND(AND(266&lt;='Control Room'!$B$3,'Control Room'!$D$3="Ready"),2&lt;='Control Room'!$B$2),ROUND(MAX(0,'Process'!J267*'Control Room'!$H$5*INDEX('Control Room'!$B$19:$H$19,1,WEEKDAY($A267,2))*(1+'Control Room'!$D$9)^265*'Process'!K267),2),"")</x:f>
      </x:c>
      <x:c r="E267" s="16" t="str">
        <x:f>IF(AND(AND(266&lt;='Control Room'!$B$3,'Control Room'!$D$3="Ready"),3&lt;='Control Room'!$B$2),ROUND(MAX(0,'Process'!O267*'Control Room'!$H$6*INDEX('Control Room'!$B$19:$H$19,1,WEEKDAY($A267,2))*(1+'Control Room'!$D$9)^265*'Process'!P267),2),"")</x:f>
      </x:c>
      <x:c r="F267" s="16" t="str">
        <x:f>IF(AND(AND(266&lt;='Control Room'!$B$3,'Control Room'!$D$3="Ready"),4&lt;='Control Room'!$B$2),ROUND(MAX(0,'Process'!T267*'Control Room'!$H$7*INDEX('Control Room'!$B$19:$H$19,1,WEEKDAY($A267,2))*(1+'Control Room'!$D$9)^265*'Process'!U267),2),"")</x:f>
      </x:c>
      <x:c r="G267" s="16" t="str">
        <x:f>IF(AND(AND(266&lt;='Control Room'!$B$3,'Control Room'!$D$3="Ready"),5&lt;='Control Room'!$B$2),ROUND(MAX(0,'Process'!Y267*'Control Room'!$H$8*INDEX('Control Room'!$B$19:$H$19,1,WEEKDAY($A267,2))*(1+'Control Room'!$D$9)^265*'Process'!Z267),2),"")</x:f>
      </x:c>
      <x:c r="H267" s="16" t="str">
        <x:f>IF(AND(AND(266&lt;='Control Room'!$B$3,'Control Room'!$D$3="Ready"),6&lt;='Control Room'!$B$2),ROUND(MAX(0,'Process'!AD267*'Control Room'!$H$9*INDEX('Control Room'!$B$19:$H$19,1,WEEKDAY($A267,2))*(1+'Control Room'!$D$9)^265*'Process'!AE267),2),"")</x:f>
      </x:c>
      <x:c r="I267" s="16" t="str">
        <x:f>IF(AND(AND(266&lt;='Control Room'!$B$3,'Control Room'!$D$3="Ready"),7&lt;='Control Room'!$B$2),ROUND(MAX(0,'Process'!AI267*'Control Room'!$H$10*INDEX('Control Room'!$B$19:$H$19,1,WEEKDAY($A267,2))*(1+'Control Room'!$D$9)^265*'Process'!AJ267),2),"")</x:f>
      </x:c>
      <x:c r="J267" s="16" t="str">
        <x:f>IF(AND(AND(266&lt;='Control Room'!$B$3,'Control Room'!$D$3="Ready"),8&lt;='Control Room'!$B$2),ROUND(MAX(0,'Process'!AN267*'Control Room'!$H$11*INDEX('Control Room'!$B$19:$H$19,1,WEEKDAY($A267,2))*(1+'Control Room'!$D$9)^265*'Process'!AO267),2),"")</x:f>
      </x:c>
      <x:c r="K267" s="16" t="str">
        <x:f>IF(AND(AND(266&lt;='Control Room'!$B$3,'Control Room'!$D$3="Ready"),9&lt;='Control Room'!$B$2),ROUND(MAX(0,'Process'!AS267*'Control Room'!$H$12*INDEX('Control Room'!$B$19:$H$19,1,WEEKDAY($A267,2))*(1+'Control Room'!$D$9)^265*'Process'!AT267),2),"")</x:f>
      </x:c>
      <x:c r="L267" s="16" t="str">
        <x:f>IF(AND(AND(266&lt;='Control Room'!$B$3,'Control Room'!$D$3="Ready"),10&lt;='Control Room'!$B$2),ROUND(MAX(0,'Process'!AX267*'Control Room'!$H$13*INDEX('Control Room'!$B$19:$H$19,1,WEEKDAY($A267,2))*(1+'Control Room'!$D$9)^265*'Process'!AY267),2),"")</x:f>
      </x:c>
      <x:c r="M267" s="16" t="str">
        <x:f>IF(AND(AND(266&lt;='Control Room'!$B$3,'Control Room'!$D$3="Ready"),11&lt;='Control Room'!$B$2),ROUND(MAX(0,'Process'!BC267*'Control Room'!$H$14*INDEX('Control Room'!$B$19:$H$19,1,WEEKDAY($A267,2))*(1+'Control Room'!$D$9)^265*'Process'!BD267),2),"")</x:f>
      </x:c>
      <x:c r="N267" s="16" t="str">
        <x:f>IF(AND(AND(266&lt;='Control Room'!$B$3,'Control Room'!$D$3="Ready"),12&lt;='Control Room'!$B$2),ROUND(MAX(0,'Process'!BH267*'Control Room'!$H$15*INDEX('Control Room'!$B$19:$H$19,1,WEEKDAY($A267,2))*(1+'Control Room'!$D$9)^265*'Process'!BI267),2),"")</x:f>
      </x:c>
    </x:row>
    <x:row r="268" ht="21" customHeight="1">
      <x:c r="A268" s="15" t="str">
        <x:f>IF(AND(267&lt;='Control Room'!$B$3,'Control Room'!$D$3="Ready"),'Process'!A268,"")</x:f>
      </x:c>
      <x:c r="B268" s="16" t="str">
        <x:f>IF(A268="","",SUM(C268:N268))</x:f>
      </x:c>
      <x:c r="C268" s="16" t="str">
        <x:f>IF(AND(AND(267&lt;='Control Room'!$B$3,'Control Room'!$D$3="Ready"),1&lt;='Control Room'!$B$2),ROUND(MAX(0,'Process'!E268*'Control Room'!$H$4*INDEX('Control Room'!$B$19:$H$19,1,WEEKDAY($A268,2))*(1+'Control Room'!$D$9)^266*'Process'!F268),2),"")</x:f>
      </x:c>
      <x:c r="D268" s="16" t="str">
        <x:f>IF(AND(AND(267&lt;='Control Room'!$B$3,'Control Room'!$D$3="Ready"),2&lt;='Control Room'!$B$2),ROUND(MAX(0,'Process'!J268*'Control Room'!$H$5*INDEX('Control Room'!$B$19:$H$19,1,WEEKDAY($A268,2))*(1+'Control Room'!$D$9)^266*'Process'!K268),2),"")</x:f>
      </x:c>
      <x:c r="E268" s="16" t="str">
        <x:f>IF(AND(AND(267&lt;='Control Room'!$B$3,'Control Room'!$D$3="Ready"),3&lt;='Control Room'!$B$2),ROUND(MAX(0,'Process'!O268*'Control Room'!$H$6*INDEX('Control Room'!$B$19:$H$19,1,WEEKDAY($A268,2))*(1+'Control Room'!$D$9)^266*'Process'!P268),2),"")</x:f>
      </x:c>
      <x:c r="F268" s="16" t="str">
        <x:f>IF(AND(AND(267&lt;='Control Room'!$B$3,'Control Room'!$D$3="Ready"),4&lt;='Control Room'!$B$2),ROUND(MAX(0,'Process'!T268*'Control Room'!$H$7*INDEX('Control Room'!$B$19:$H$19,1,WEEKDAY($A268,2))*(1+'Control Room'!$D$9)^266*'Process'!U268),2),"")</x:f>
      </x:c>
      <x:c r="G268" s="16" t="str">
        <x:f>IF(AND(AND(267&lt;='Control Room'!$B$3,'Control Room'!$D$3="Ready"),5&lt;='Control Room'!$B$2),ROUND(MAX(0,'Process'!Y268*'Control Room'!$H$8*INDEX('Control Room'!$B$19:$H$19,1,WEEKDAY($A268,2))*(1+'Control Room'!$D$9)^266*'Process'!Z268),2),"")</x:f>
      </x:c>
      <x:c r="H268" s="16" t="str">
        <x:f>IF(AND(AND(267&lt;='Control Room'!$B$3,'Control Room'!$D$3="Ready"),6&lt;='Control Room'!$B$2),ROUND(MAX(0,'Process'!AD268*'Control Room'!$H$9*INDEX('Control Room'!$B$19:$H$19,1,WEEKDAY($A268,2))*(1+'Control Room'!$D$9)^266*'Process'!AE268),2),"")</x:f>
      </x:c>
      <x:c r="I268" s="16" t="str">
        <x:f>IF(AND(AND(267&lt;='Control Room'!$B$3,'Control Room'!$D$3="Ready"),7&lt;='Control Room'!$B$2),ROUND(MAX(0,'Process'!AI268*'Control Room'!$H$10*INDEX('Control Room'!$B$19:$H$19,1,WEEKDAY($A268,2))*(1+'Control Room'!$D$9)^266*'Process'!AJ268),2),"")</x:f>
      </x:c>
      <x:c r="J268" s="16" t="str">
        <x:f>IF(AND(AND(267&lt;='Control Room'!$B$3,'Control Room'!$D$3="Ready"),8&lt;='Control Room'!$B$2),ROUND(MAX(0,'Process'!AN268*'Control Room'!$H$11*INDEX('Control Room'!$B$19:$H$19,1,WEEKDAY($A268,2))*(1+'Control Room'!$D$9)^266*'Process'!AO268),2),"")</x:f>
      </x:c>
      <x:c r="K268" s="16" t="str">
        <x:f>IF(AND(AND(267&lt;='Control Room'!$B$3,'Control Room'!$D$3="Ready"),9&lt;='Control Room'!$B$2),ROUND(MAX(0,'Process'!AS268*'Control Room'!$H$12*INDEX('Control Room'!$B$19:$H$19,1,WEEKDAY($A268,2))*(1+'Control Room'!$D$9)^266*'Process'!AT268),2),"")</x:f>
      </x:c>
      <x:c r="L268" s="16" t="str">
        <x:f>IF(AND(AND(267&lt;='Control Room'!$B$3,'Control Room'!$D$3="Ready"),10&lt;='Control Room'!$B$2),ROUND(MAX(0,'Process'!AX268*'Control Room'!$H$13*INDEX('Control Room'!$B$19:$H$19,1,WEEKDAY($A268,2))*(1+'Control Room'!$D$9)^266*'Process'!AY268),2),"")</x:f>
      </x:c>
      <x:c r="M268" s="16" t="str">
        <x:f>IF(AND(AND(267&lt;='Control Room'!$B$3,'Control Room'!$D$3="Ready"),11&lt;='Control Room'!$B$2),ROUND(MAX(0,'Process'!BC268*'Control Room'!$H$14*INDEX('Control Room'!$B$19:$H$19,1,WEEKDAY($A268,2))*(1+'Control Room'!$D$9)^266*'Process'!BD268),2),"")</x:f>
      </x:c>
      <x:c r="N268" s="16" t="str">
        <x:f>IF(AND(AND(267&lt;='Control Room'!$B$3,'Control Room'!$D$3="Ready"),12&lt;='Control Room'!$B$2),ROUND(MAX(0,'Process'!BH268*'Control Room'!$H$15*INDEX('Control Room'!$B$19:$H$19,1,WEEKDAY($A268,2))*(1+'Control Room'!$D$9)^266*'Process'!BI268),2),"")</x:f>
      </x:c>
    </x:row>
    <x:row r="269" ht="21" customHeight="1">
      <x:c r="A269" s="15" t="str">
        <x:f>IF(AND(268&lt;='Control Room'!$B$3,'Control Room'!$D$3="Ready"),'Process'!A269,"")</x:f>
      </x:c>
      <x:c r="B269" s="16" t="str">
        <x:f>IF(A269="","",SUM(C269:N269))</x:f>
      </x:c>
      <x:c r="C269" s="16" t="str">
        <x:f>IF(AND(AND(268&lt;='Control Room'!$B$3,'Control Room'!$D$3="Ready"),1&lt;='Control Room'!$B$2),ROUND(MAX(0,'Process'!E269*'Control Room'!$H$4*INDEX('Control Room'!$B$19:$H$19,1,WEEKDAY($A269,2))*(1+'Control Room'!$D$9)^267*'Process'!F269),2),"")</x:f>
      </x:c>
      <x:c r="D269" s="16" t="str">
        <x:f>IF(AND(AND(268&lt;='Control Room'!$B$3,'Control Room'!$D$3="Ready"),2&lt;='Control Room'!$B$2),ROUND(MAX(0,'Process'!J269*'Control Room'!$H$5*INDEX('Control Room'!$B$19:$H$19,1,WEEKDAY($A269,2))*(1+'Control Room'!$D$9)^267*'Process'!K269),2),"")</x:f>
      </x:c>
      <x:c r="E269" s="16" t="str">
        <x:f>IF(AND(AND(268&lt;='Control Room'!$B$3,'Control Room'!$D$3="Ready"),3&lt;='Control Room'!$B$2),ROUND(MAX(0,'Process'!O269*'Control Room'!$H$6*INDEX('Control Room'!$B$19:$H$19,1,WEEKDAY($A269,2))*(1+'Control Room'!$D$9)^267*'Process'!P269),2),"")</x:f>
      </x:c>
      <x:c r="F269" s="16" t="str">
        <x:f>IF(AND(AND(268&lt;='Control Room'!$B$3,'Control Room'!$D$3="Ready"),4&lt;='Control Room'!$B$2),ROUND(MAX(0,'Process'!T269*'Control Room'!$H$7*INDEX('Control Room'!$B$19:$H$19,1,WEEKDAY($A269,2))*(1+'Control Room'!$D$9)^267*'Process'!U269),2),"")</x:f>
      </x:c>
      <x:c r="G269" s="16" t="str">
        <x:f>IF(AND(AND(268&lt;='Control Room'!$B$3,'Control Room'!$D$3="Ready"),5&lt;='Control Room'!$B$2),ROUND(MAX(0,'Process'!Y269*'Control Room'!$H$8*INDEX('Control Room'!$B$19:$H$19,1,WEEKDAY($A269,2))*(1+'Control Room'!$D$9)^267*'Process'!Z269),2),"")</x:f>
      </x:c>
      <x:c r="H269" s="16" t="str">
        <x:f>IF(AND(AND(268&lt;='Control Room'!$B$3,'Control Room'!$D$3="Ready"),6&lt;='Control Room'!$B$2),ROUND(MAX(0,'Process'!AD269*'Control Room'!$H$9*INDEX('Control Room'!$B$19:$H$19,1,WEEKDAY($A269,2))*(1+'Control Room'!$D$9)^267*'Process'!AE269),2),"")</x:f>
      </x:c>
      <x:c r="I269" s="16" t="str">
        <x:f>IF(AND(AND(268&lt;='Control Room'!$B$3,'Control Room'!$D$3="Ready"),7&lt;='Control Room'!$B$2),ROUND(MAX(0,'Process'!AI269*'Control Room'!$H$10*INDEX('Control Room'!$B$19:$H$19,1,WEEKDAY($A269,2))*(1+'Control Room'!$D$9)^267*'Process'!AJ269),2),"")</x:f>
      </x:c>
      <x:c r="J269" s="16" t="str">
        <x:f>IF(AND(AND(268&lt;='Control Room'!$B$3,'Control Room'!$D$3="Ready"),8&lt;='Control Room'!$B$2),ROUND(MAX(0,'Process'!AN269*'Control Room'!$H$11*INDEX('Control Room'!$B$19:$H$19,1,WEEKDAY($A269,2))*(1+'Control Room'!$D$9)^267*'Process'!AO269),2),"")</x:f>
      </x:c>
      <x:c r="K269" s="16" t="str">
        <x:f>IF(AND(AND(268&lt;='Control Room'!$B$3,'Control Room'!$D$3="Ready"),9&lt;='Control Room'!$B$2),ROUND(MAX(0,'Process'!AS269*'Control Room'!$H$12*INDEX('Control Room'!$B$19:$H$19,1,WEEKDAY($A269,2))*(1+'Control Room'!$D$9)^267*'Process'!AT269),2),"")</x:f>
      </x:c>
      <x:c r="L269" s="16" t="str">
        <x:f>IF(AND(AND(268&lt;='Control Room'!$B$3,'Control Room'!$D$3="Ready"),10&lt;='Control Room'!$B$2),ROUND(MAX(0,'Process'!AX269*'Control Room'!$H$13*INDEX('Control Room'!$B$19:$H$19,1,WEEKDAY($A269,2))*(1+'Control Room'!$D$9)^267*'Process'!AY269),2),"")</x:f>
      </x:c>
      <x:c r="M269" s="16" t="str">
        <x:f>IF(AND(AND(268&lt;='Control Room'!$B$3,'Control Room'!$D$3="Ready"),11&lt;='Control Room'!$B$2),ROUND(MAX(0,'Process'!BC269*'Control Room'!$H$14*INDEX('Control Room'!$B$19:$H$19,1,WEEKDAY($A269,2))*(1+'Control Room'!$D$9)^267*'Process'!BD269),2),"")</x:f>
      </x:c>
      <x:c r="N269" s="16" t="str">
        <x:f>IF(AND(AND(268&lt;='Control Room'!$B$3,'Control Room'!$D$3="Ready"),12&lt;='Control Room'!$B$2),ROUND(MAX(0,'Process'!BH269*'Control Room'!$H$15*INDEX('Control Room'!$B$19:$H$19,1,WEEKDAY($A269,2))*(1+'Control Room'!$D$9)^267*'Process'!BI269),2),"")</x:f>
      </x:c>
    </x:row>
    <x:row r="270" ht="21" customHeight="1">
      <x:c r="A270" s="15" t="str">
        <x:f>IF(AND(269&lt;='Control Room'!$B$3,'Control Room'!$D$3="Ready"),'Process'!A270,"")</x:f>
      </x:c>
      <x:c r="B270" s="16" t="str">
        <x:f>IF(A270="","",SUM(C270:N270))</x:f>
      </x:c>
      <x:c r="C270" s="16" t="str">
        <x:f>IF(AND(AND(269&lt;='Control Room'!$B$3,'Control Room'!$D$3="Ready"),1&lt;='Control Room'!$B$2),ROUND(MAX(0,'Process'!E270*'Control Room'!$H$4*INDEX('Control Room'!$B$19:$H$19,1,WEEKDAY($A270,2))*(1+'Control Room'!$D$9)^268*'Process'!F270),2),"")</x:f>
      </x:c>
      <x:c r="D270" s="16" t="str">
        <x:f>IF(AND(AND(269&lt;='Control Room'!$B$3,'Control Room'!$D$3="Ready"),2&lt;='Control Room'!$B$2),ROUND(MAX(0,'Process'!J270*'Control Room'!$H$5*INDEX('Control Room'!$B$19:$H$19,1,WEEKDAY($A270,2))*(1+'Control Room'!$D$9)^268*'Process'!K270),2),"")</x:f>
      </x:c>
      <x:c r="E270" s="16" t="str">
        <x:f>IF(AND(AND(269&lt;='Control Room'!$B$3,'Control Room'!$D$3="Ready"),3&lt;='Control Room'!$B$2),ROUND(MAX(0,'Process'!O270*'Control Room'!$H$6*INDEX('Control Room'!$B$19:$H$19,1,WEEKDAY($A270,2))*(1+'Control Room'!$D$9)^268*'Process'!P270),2),"")</x:f>
      </x:c>
      <x:c r="F270" s="16" t="str">
        <x:f>IF(AND(AND(269&lt;='Control Room'!$B$3,'Control Room'!$D$3="Ready"),4&lt;='Control Room'!$B$2),ROUND(MAX(0,'Process'!T270*'Control Room'!$H$7*INDEX('Control Room'!$B$19:$H$19,1,WEEKDAY($A270,2))*(1+'Control Room'!$D$9)^268*'Process'!U270),2),"")</x:f>
      </x:c>
      <x:c r="G270" s="16" t="str">
        <x:f>IF(AND(AND(269&lt;='Control Room'!$B$3,'Control Room'!$D$3="Ready"),5&lt;='Control Room'!$B$2),ROUND(MAX(0,'Process'!Y270*'Control Room'!$H$8*INDEX('Control Room'!$B$19:$H$19,1,WEEKDAY($A270,2))*(1+'Control Room'!$D$9)^268*'Process'!Z270),2),"")</x:f>
      </x:c>
      <x:c r="H270" s="16" t="str">
        <x:f>IF(AND(AND(269&lt;='Control Room'!$B$3,'Control Room'!$D$3="Ready"),6&lt;='Control Room'!$B$2),ROUND(MAX(0,'Process'!AD270*'Control Room'!$H$9*INDEX('Control Room'!$B$19:$H$19,1,WEEKDAY($A270,2))*(1+'Control Room'!$D$9)^268*'Process'!AE270),2),"")</x:f>
      </x:c>
      <x:c r="I270" s="16" t="str">
        <x:f>IF(AND(AND(269&lt;='Control Room'!$B$3,'Control Room'!$D$3="Ready"),7&lt;='Control Room'!$B$2),ROUND(MAX(0,'Process'!AI270*'Control Room'!$H$10*INDEX('Control Room'!$B$19:$H$19,1,WEEKDAY($A270,2))*(1+'Control Room'!$D$9)^268*'Process'!AJ270),2),"")</x:f>
      </x:c>
      <x:c r="J270" s="16" t="str">
        <x:f>IF(AND(AND(269&lt;='Control Room'!$B$3,'Control Room'!$D$3="Ready"),8&lt;='Control Room'!$B$2),ROUND(MAX(0,'Process'!AN270*'Control Room'!$H$11*INDEX('Control Room'!$B$19:$H$19,1,WEEKDAY($A270,2))*(1+'Control Room'!$D$9)^268*'Process'!AO270),2),"")</x:f>
      </x:c>
      <x:c r="K270" s="16" t="str">
        <x:f>IF(AND(AND(269&lt;='Control Room'!$B$3,'Control Room'!$D$3="Ready"),9&lt;='Control Room'!$B$2),ROUND(MAX(0,'Process'!AS270*'Control Room'!$H$12*INDEX('Control Room'!$B$19:$H$19,1,WEEKDAY($A270,2))*(1+'Control Room'!$D$9)^268*'Process'!AT270),2),"")</x:f>
      </x:c>
      <x:c r="L270" s="16" t="str">
        <x:f>IF(AND(AND(269&lt;='Control Room'!$B$3,'Control Room'!$D$3="Ready"),10&lt;='Control Room'!$B$2),ROUND(MAX(0,'Process'!AX270*'Control Room'!$H$13*INDEX('Control Room'!$B$19:$H$19,1,WEEKDAY($A270,2))*(1+'Control Room'!$D$9)^268*'Process'!AY270),2),"")</x:f>
      </x:c>
      <x:c r="M270" s="16" t="str">
        <x:f>IF(AND(AND(269&lt;='Control Room'!$B$3,'Control Room'!$D$3="Ready"),11&lt;='Control Room'!$B$2),ROUND(MAX(0,'Process'!BC270*'Control Room'!$H$14*INDEX('Control Room'!$B$19:$H$19,1,WEEKDAY($A270,2))*(1+'Control Room'!$D$9)^268*'Process'!BD270),2),"")</x:f>
      </x:c>
      <x:c r="N270" s="16" t="str">
        <x:f>IF(AND(AND(269&lt;='Control Room'!$B$3,'Control Room'!$D$3="Ready"),12&lt;='Control Room'!$B$2),ROUND(MAX(0,'Process'!BH270*'Control Room'!$H$15*INDEX('Control Room'!$B$19:$H$19,1,WEEKDAY($A270,2))*(1+'Control Room'!$D$9)^268*'Process'!BI270),2),"")</x:f>
      </x:c>
    </x:row>
    <x:row r="271" ht="21" customHeight="1">
      <x:c r="A271" s="15" t="str">
        <x:f>IF(AND(270&lt;='Control Room'!$B$3,'Control Room'!$D$3="Ready"),'Process'!A271,"")</x:f>
      </x:c>
      <x:c r="B271" s="16" t="str">
        <x:f>IF(A271="","",SUM(C271:N271))</x:f>
      </x:c>
      <x:c r="C271" s="16" t="str">
        <x:f>IF(AND(AND(270&lt;='Control Room'!$B$3,'Control Room'!$D$3="Ready"),1&lt;='Control Room'!$B$2),ROUND(MAX(0,'Process'!E271*'Control Room'!$H$4*INDEX('Control Room'!$B$19:$H$19,1,WEEKDAY($A271,2))*(1+'Control Room'!$D$9)^269*'Process'!F271),2),"")</x:f>
      </x:c>
      <x:c r="D271" s="16" t="str">
        <x:f>IF(AND(AND(270&lt;='Control Room'!$B$3,'Control Room'!$D$3="Ready"),2&lt;='Control Room'!$B$2),ROUND(MAX(0,'Process'!J271*'Control Room'!$H$5*INDEX('Control Room'!$B$19:$H$19,1,WEEKDAY($A271,2))*(1+'Control Room'!$D$9)^269*'Process'!K271),2),"")</x:f>
      </x:c>
      <x:c r="E271" s="16" t="str">
        <x:f>IF(AND(AND(270&lt;='Control Room'!$B$3,'Control Room'!$D$3="Ready"),3&lt;='Control Room'!$B$2),ROUND(MAX(0,'Process'!O271*'Control Room'!$H$6*INDEX('Control Room'!$B$19:$H$19,1,WEEKDAY($A271,2))*(1+'Control Room'!$D$9)^269*'Process'!P271),2),"")</x:f>
      </x:c>
      <x:c r="F271" s="16" t="str">
        <x:f>IF(AND(AND(270&lt;='Control Room'!$B$3,'Control Room'!$D$3="Ready"),4&lt;='Control Room'!$B$2),ROUND(MAX(0,'Process'!T271*'Control Room'!$H$7*INDEX('Control Room'!$B$19:$H$19,1,WEEKDAY($A271,2))*(1+'Control Room'!$D$9)^269*'Process'!U271),2),"")</x:f>
      </x:c>
      <x:c r="G271" s="16" t="str">
        <x:f>IF(AND(AND(270&lt;='Control Room'!$B$3,'Control Room'!$D$3="Ready"),5&lt;='Control Room'!$B$2),ROUND(MAX(0,'Process'!Y271*'Control Room'!$H$8*INDEX('Control Room'!$B$19:$H$19,1,WEEKDAY($A271,2))*(1+'Control Room'!$D$9)^269*'Process'!Z271),2),"")</x:f>
      </x:c>
      <x:c r="H271" s="16" t="str">
        <x:f>IF(AND(AND(270&lt;='Control Room'!$B$3,'Control Room'!$D$3="Ready"),6&lt;='Control Room'!$B$2),ROUND(MAX(0,'Process'!AD271*'Control Room'!$H$9*INDEX('Control Room'!$B$19:$H$19,1,WEEKDAY($A271,2))*(1+'Control Room'!$D$9)^269*'Process'!AE271),2),"")</x:f>
      </x:c>
      <x:c r="I271" s="16" t="str">
        <x:f>IF(AND(AND(270&lt;='Control Room'!$B$3,'Control Room'!$D$3="Ready"),7&lt;='Control Room'!$B$2),ROUND(MAX(0,'Process'!AI271*'Control Room'!$H$10*INDEX('Control Room'!$B$19:$H$19,1,WEEKDAY($A271,2))*(1+'Control Room'!$D$9)^269*'Process'!AJ271),2),"")</x:f>
      </x:c>
      <x:c r="J271" s="16" t="str">
        <x:f>IF(AND(AND(270&lt;='Control Room'!$B$3,'Control Room'!$D$3="Ready"),8&lt;='Control Room'!$B$2),ROUND(MAX(0,'Process'!AN271*'Control Room'!$H$11*INDEX('Control Room'!$B$19:$H$19,1,WEEKDAY($A271,2))*(1+'Control Room'!$D$9)^269*'Process'!AO271),2),"")</x:f>
      </x:c>
      <x:c r="K271" s="16" t="str">
        <x:f>IF(AND(AND(270&lt;='Control Room'!$B$3,'Control Room'!$D$3="Ready"),9&lt;='Control Room'!$B$2),ROUND(MAX(0,'Process'!AS271*'Control Room'!$H$12*INDEX('Control Room'!$B$19:$H$19,1,WEEKDAY($A271,2))*(1+'Control Room'!$D$9)^269*'Process'!AT271),2),"")</x:f>
      </x:c>
      <x:c r="L271" s="16" t="str">
        <x:f>IF(AND(AND(270&lt;='Control Room'!$B$3,'Control Room'!$D$3="Ready"),10&lt;='Control Room'!$B$2),ROUND(MAX(0,'Process'!AX271*'Control Room'!$H$13*INDEX('Control Room'!$B$19:$H$19,1,WEEKDAY($A271,2))*(1+'Control Room'!$D$9)^269*'Process'!AY271),2),"")</x:f>
      </x:c>
      <x:c r="M271" s="16" t="str">
        <x:f>IF(AND(AND(270&lt;='Control Room'!$B$3,'Control Room'!$D$3="Ready"),11&lt;='Control Room'!$B$2),ROUND(MAX(0,'Process'!BC271*'Control Room'!$H$14*INDEX('Control Room'!$B$19:$H$19,1,WEEKDAY($A271,2))*(1+'Control Room'!$D$9)^269*'Process'!BD271),2),"")</x:f>
      </x:c>
      <x:c r="N271" s="16" t="str">
        <x:f>IF(AND(AND(270&lt;='Control Room'!$B$3,'Control Room'!$D$3="Ready"),12&lt;='Control Room'!$B$2),ROUND(MAX(0,'Process'!BH271*'Control Room'!$H$15*INDEX('Control Room'!$B$19:$H$19,1,WEEKDAY($A271,2))*(1+'Control Room'!$D$9)^269*'Process'!BI271),2),"")</x:f>
      </x:c>
    </x:row>
    <x:row r="272" ht="21" customHeight="1">
      <x:c r="A272" s="15" t="str">
        <x:f>IF(AND(271&lt;='Control Room'!$B$3,'Control Room'!$D$3="Ready"),'Process'!A272,"")</x:f>
      </x:c>
      <x:c r="B272" s="16" t="str">
        <x:f>IF(A272="","",SUM(C272:N272))</x:f>
      </x:c>
      <x:c r="C272" s="16" t="str">
        <x:f>IF(AND(AND(271&lt;='Control Room'!$B$3,'Control Room'!$D$3="Ready"),1&lt;='Control Room'!$B$2),ROUND(MAX(0,'Process'!E272*'Control Room'!$H$4*INDEX('Control Room'!$B$19:$H$19,1,WEEKDAY($A272,2))*(1+'Control Room'!$D$9)^270*'Process'!F272),2),"")</x:f>
      </x:c>
      <x:c r="D272" s="16" t="str">
        <x:f>IF(AND(AND(271&lt;='Control Room'!$B$3,'Control Room'!$D$3="Ready"),2&lt;='Control Room'!$B$2),ROUND(MAX(0,'Process'!J272*'Control Room'!$H$5*INDEX('Control Room'!$B$19:$H$19,1,WEEKDAY($A272,2))*(1+'Control Room'!$D$9)^270*'Process'!K272),2),"")</x:f>
      </x:c>
      <x:c r="E272" s="16" t="str">
        <x:f>IF(AND(AND(271&lt;='Control Room'!$B$3,'Control Room'!$D$3="Ready"),3&lt;='Control Room'!$B$2),ROUND(MAX(0,'Process'!O272*'Control Room'!$H$6*INDEX('Control Room'!$B$19:$H$19,1,WEEKDAY($A272,2))*(1+'Control Room'!$D$9)^270*'Process'!P272),2),"")</x:f>
      </x:c>
      <x:c r="F272" s="16" t="str">
        <x:f>IF(AND(AND(271&lt;='Control Room'!$B$3,'Control Room'!$D$3="Ready"),4&lt;='Control Room'!$B$2),ROUND(MAX(0,'Process'!T272*'Control Room'!$H$7*INDEX('Control Room'!$B$19:$H$19,1,WEEKDAY($A272,2))*(1+'Control Room'!$D$9)^270*'Process'!U272),2),"")</x:f>
      </x:c>
      <x:c r="G272" s="16" t="str">
        <x:f>IF(AND(AND(271&lt;='Control Room'!$B$3,'Control Room'!$D$3="Ready"),5&lt;='Control Room'!$B$2),ROUND(MAX(0,'Process'!Y272*'Control Room'!$H$8*INDEX('Control Room'!$B$19:$H$19,1,WEEKDAY($A272,2))*(1+'Control Room'!$D$9)^270*'Process'!Z272),2),"")</x:f>
      </x:c>
      <x:c r="H272" s="16" t="str">
        <x:f>IF(AND(AND(271&lt;='Control Room'!$B$3,'Control Room'!$D$3="Ready"),6&lt;='Control Room'!$B$2),ROUND(MAX(0,'Process'!AD272*'Control Room'!$H$9*INDEX('Control Room'!$B$19:$H$19,1,WEEKDAY($A272,2))*(1+'Control Room'!$D$9)^270*'Process'!AE272),2),"")</x:f>
      </x:c>
      <x:c r="I272" s="16" t="str">
        <x:f>IF(AND(AND(271&lt;='Control Room'!$B$3,'Control Room'!$D$3="Ready"),7&lt;='Control Room'!$B$2),ROUND(MAX(0,'Process'!AI272*'Control Room'!$H$10*INDEX('Control Room'!$B$19:$H$19,1,WEEKDAY($A272,2))*(1+'Control Room'!$D$9)^270*'Process'!AJ272),2),"")</x:f>
      </x:c>
      <x:c r="J272" s="16" t="str">
        <x:f>IF(AND(AND(271&lt;='Control Room'!$B$3,'Control Room'!$D$3="Ready"),8&lt;='Control Room'!$B$2),ROUND(MAX(0,'Process'!AN272*'Control Room'!$H$11*INDEX('Control Room'!$B$19:$H$19,1,WEEKDAY($A272,2))*(1+'Control Room'!$D$9)^270*'Process'!AO272),2),"")</x:f>
      </x:c>
      <x:c r="K272" s="16" t="str">
        <x:f>IF(AND(AND(271&lt;='Control Room'!$B$3,'Control Room'!$D$3="Ready"),9&lt;='Control Room'!$B$2),ROUND(MAX(0,'Process'!AS272*'Control Room'!$H$12*INDEX('Control Room'!$B$19:$H$19,1,WEEKDAY($A272,2))*(1+'Control Room'!$D$9)^270*'Process'!AT272),2),"")</x:f>
      </x:c>
      <x:c r="L272" s="16" t="str">
        <x:f>IF(AND(AND(271&lt;='Control Room'!$B$3,'Control Room'!$D$3="Ready"),10&lt;='Control Room'!$B$2),ROUND(MAX(0,'Process'!AX272*'Control Room'!$H$13*INDEX('Control Room'!$B$19:$H$19,1,WEEKDAY($A272,2))*(1+'Control Room'!$D$9)^270*'Process'!AY272),2),"")</x:f>
      </x:c>
      <x:c r="M272" s="16" t="str">
        <x:f>IF(AND(AND(271&lt;='Control Room'!$B$3,'Control Room'!$D$3="Ready"),11&lt;='Control Room'!$B$2),ROUND(MAX(0,'Process'!BC272*'Control Room'!$H$14*INDEX('Control Room'!$B$19:$H$19,1,WEEKDAY($A272,2))*(1+'Control Room'!$D$9)^270*'Process'!BD272),2),"")</x:f>
      </x:c>
      <x:c r="N272" s="16" t="str">
        <x:f>IF(AND(AND(271&lt;='Control Room'!$B$3,'Control Room'!$D$3="Ready"),12&lt;='Control Room'!$B$2),ROUND(MAX(0,'Process'!BH272*'Control Room'!$H$15*INDEX('Control Room'!$B$19:$H$19,1,WEEKDAY($A272,2))*(1+'Control Room'!$D$9)^270*'Process'!BI272),2),"")</x:f>
      </x:c>
    </x:row>
    <x:row r="273" ht="21" customHeight="1">
      <x:c r="A273" s="15" t="str">
        <x:f>IF(AND(272&lt;='Control Room'!$B$3,'Control Room'!$D$3="Ready"),'Process'!A273,"")</x:f>
      </x:c>
      <x:c r="B273" s="16" t="str">
        <x:f>IF(A273="","",SUM(C273:N273))</x:f>
      </x:c>
      <x:c r="C273" s="16" t="str">
        <x:f>IF(AND(AND(272&lt;='Control Room'!$B$3,'Control Room'!$D$3="Ready"),1&lt;='Control Room'!$B$2),ROUND(MAX(0,'Process'!E273*'Control Room'!$H$4*INDEX('Control Room'!$B$19:$H$19,1,WEEKDAY($A273,2))*(1+'Control Room'!$D$9)^271*'Process'!F273),2),"")</x:f>
      </x:c>
      <x:c r="D273" s="16" t="str">
        <x:f>IF(AND(AND(272&lt;='Control Room'!$B$3,'Control Room'!$D$3="Ready"),2&lt;='Control Room'!$B$2),ROUND(MAX(0,'Process'!J273*'Control Room'!$H$5*INDEX('Control Room'!$B$19:$H$19,1,WEEKDAY($A273,2))*(1+'Control Room'!$D$9)^271*'Process'!K273),2),"")</x:f>
      </x:c>
      <x:c r="E273" s="16" t="str">
        <x:f>IF(AND(AND(272&lt;='Control Room'!$B$3,'Control Room'!$D$3="Ready"),3&lt;='Control Room'!$B$2),ROUND(MAX(0,'Process'!O273*'Control Room'!$H$6*INDEX('Control Room'!$B$19:$H$19,1,WEEKDAY($A273,2))*(1+'Control Room'!$D$9)^271*'Process'!P273),2),"")</x:f>
      </x:c>
      <x:c r="F273" s="16" t="str">
        <x:f>IF(AND(AND(272&lt;='Control Room'!$B$3,'Control Room'!$D$3="Ready"),4&lt;='Control Room'!$B$2),ROUND(MAX(0,'Process'!T273*'Control Room'!$H$7*INDEX('Control Room'!$B$19:$H$19,1,WEEKDAY($A273,2))*(1+'Control Room'!$D$9)^271*'Process'!U273),2),"")</x:f>
      </x:c>
      <x:c r="G273" s="16" t="str">
        <x:f>IF(AND(AND(272&lt;='Control Room'!$B$3,'Control Room'!$D$3="Ready"),5&lt;='Control Room'!$B$2),ROUND(MAX(0,'Process'!Y273*'Control Room'!$H$8*INDEX('Control Room'!$B$19:$H$19,1,WEEKDAY($A273,2))*(1+'Control Room'!$D$9)^271*'Process'!Z273),2),"")</x:f>
      </x:c>
      <x:c r="H273" s="16" t="str">
        <x:f>IF(AND(AND(272&lt;='Control Room'!$B$3,'Control Room'!$D$3="Ready"),6&lt;='Control Room'!$B$2),ROUND(MAX(0,'Process'!AD273*'Control Room'!$H$9*INDEX('Control Room'!$B$19:$H$19,1,WEEKDAY($A273,2))*(1+'Control Room'!$D$9)^271*'Process'!AE273),2),"")</x:f>
      </x:c>
      <x:c r="I273" s="16" t="str">
        <x:f>IF(AND(AND(272&lt;='Control Room'!$B$3,'Control Room'!$D$3="Ready"),7&lt;='Control Room'!$B$2),ROUND(MAX(0,'Process'!AI273*'Control Room'!$H$10*INDEX('Control Room'!$B$19:$H$19,1,WEEKDAY($A273,2))*(1+'Control Room'!$D$9)^271*'Process'!AJ273),2),"")</x:f>
      </x:c>
      <x:c r="J273" s="16" t="str">
        <x:f>IF(AND(AND(272&lt;='Control Room'!$B$3,'Control Room'!$D$3="Ready"),8&lt;='Control Room'!$B$2),ROUND(MAX(0,'Process'!AN273*'Control Room'!$H$11*INDEX('Control Room'!$B$19:$H$19,1,WEEKDAY($A273,2))*(1+'Control Room'!$D$9)^271*'Process'!AO273),2),"")</x:f>
      </x:c>
      <x:c r="K273" s="16" t="str">
        <x:f>IF(AND(AND(272&lt;='Control Room'!$B$3,'Control Room'!$D$3="Ready"),9&lt;='Control Room'!$B$2),ROUND(MAX(0,'Process'!AS273*'Control Room'!$H$12*INDEX('Control Room'!$B$19:$H$19,1,WEEKDAY($A273,2))*(1+'Control Room'!$D$9)^271*'Process'!AT273),2),"")</x:f>
      </x:c>
      <x:c r="L273" s="16" t="str">
        <x:f>IF(AND(AND(272&lt;='Control Room'!$B$3,'Control Room'!$D$3="Ready"),10&lt;='Control Room'!$B$2),ROUND(MAX(0,'Process'!AX273*'Control Room'!$H$13*INDEX('Control Room'!$B$19:$H$19,1,WEEKDAY($A273,2))*(1+'Control Room'!$D$9)^271*'Process'!AY273),2),"")</x:f>
      </x:c>
      <x:c r="M273" s="16" t="str">
        <x:f>IF(AND(AND(272&lt;='Control Room'!$B$3,'Control Room'!$D$3="Ready"),11&lt;='Control Room'!$B$2),ROUND(MAX(0,'Process'!BC273*'Control Room'!$H$14*INDEX('Control Room'!$B$19:$H$19,1,WEEKDAY($A273,2))*(1+'Control Room'!$D$9)^271*'Process'!BD273),2),"")</x:f>
      </x:c>
      <x:c r="N273" s="16" t="str">
        <x:f>IF(AND(AND(272&lt;='Control Room'!$B$3,'Control Room'!$D$3="Ready"),12&lt;='Control Room'!$B$2),ROUND(MAX(0,'Process'!BH273*'Control Room'!$H$15*INDEX('Control Room'!$B$19:$H$19,1,WEEKDAY($A273,2))*(1+'Control Room'!$D$9)^271*'Process'!BI273),2),"")</x:f>
      </x:c>
    </x:row>
    <x:row r="274" ht="21" customHeight="1">
      <x:c r="A274" s="15" t="str">
        <x:f>IF(AND(273&lt;='Control Room'!$B$3,'Control Room'!$D$3="Ready"),'Process'!A274,"")</x:f>
      </x:c>
      <x:c r="B274" s="16" t="str">
        <x:f>IF(A274="","",SUM(C274:N274))</x:f>
      </x:c>
      <x:c r="C274" s="16" t="str">
        <x:f>IF(AND(AND(273&lt;='Control Room'!$B$3,'Control Room'!$D$3="Ready"),1&lt;='Control Room'!$B$2),ROUND(MAX(0,'Process'!E274*'Control Room'!$H$4*INDEX('Control Room'!$B$19:$H$19,1,WEEKDAY($A274,2))*(1+'Control Room'!$D$9)^272*'Process'!F274),2),"")</x:f>
      </x:c>
      <x:c r="D274" s="16" t="str">
        <x:f>IF(AND(AND(273&lt;='Control Room'!$B$3,'Control Room'!$D$3="Ready"),2&lt;='Control Room'!$B$2),ROUND(MAX(0,'Process'!J274*'Control Room'!$H$5*INDEX('Control Room'!$B$19:$H$19,1,WEEKDAY($A274,2))*(1+'Control Room'!$D$9)^272*'Process'!K274),2),"")</x:f>
      </x:c>
      <x:c r="E274" s="16" t="str">
        <x:f>IF(AND(AND(273&lt;='Control Room'!$B$3,'Control Room'!$D$3="Ready"),3&lt;='Control Room'!$B$2),ROUND(MAX(0,'Process'!O274*'Control Room'!$H$6*INDEX('Control Room'!$B$19:$H$19,1,WEEKDAY($A274,2))*(1+'Control Room'!$D$9)^272*'Process'!P274),2),"")</x:f>
      </x:c>
      <x:c r="F274" s="16" t="str">
        <x:f>IF(AND(AND(273&lt;='Control Room'!$B$3,'Control Room'!$D$3="Ready"),4&lt;='Control Room'!$B$2),ROUND(MAX(0,'Process'!T274*'Control Room'!$H$7*INDEX('Control Room'!$B$19:$H$19,1,WEEKDAY($A274,2))*(1+'Control Room'!$D$9)^272*'Process'!U274),2),"")</x:f>
      </x:c>
      <x:c r="G274" s="16" t="str">
        <x:f>IF(AND(AND(273&lt;='Control Room'!$B$3,'Control Room'!$D$3="Ready"),5&lt;='Control Room'!$B$2),ROUND(MAX(0,'Process'!Y274*'Control Room'!$H$8*INDEX('Control Room'!$B$19:$H$19,1,WEEKDAY($A274,2))*(1+'Control Room'!$D$9)^272*'Process'!Z274),2),"")</x:f>
      </x:c>
      <x:c r="H274" s="16" t="str">
        <x:f>IF(AND(AND(273&lt;='Control Room'!$B$3,'Control Room'!$D$3="Ready"),6&lt;='Control Room'!$B$2),ROUND(MAX(0,'Process'!AD274*'Control Room'!$H$9*INDEX('Control Room'!$B$19:$H$19,1,WEEKDAY($A274,2))*(1+'Control Room'!$D$9)^272*'Process'!AE274),2),"")</x:f>
      </x:c>
      <x:c r="I274" s="16" t="str">
        <x:f>IF(AND(AND(273&lt;='Control Room'!$B$3,'Control Room'!$D$3="Ready"),7&lt;='Control Room'!$B$2),ROUND(MAX(0,'Process'!AI274*'Control Room'!$H$10*INDEX('Control Room'!$B$19:$H$19,1,WEEKDAY($A274,2))*(1+'Control Room'!$D$9)^272*'Process'!AJ274),2),"")</x:f>
      </x:c>
      <x:c r="J274" s="16" t="str">
        <x:f>IF(AND(AND(273&lt;='Control Room'!$B$3,'Control Room'!$D$3="Ready"),8&lt;='Control Room'!$B$2),ROUND(MAX(0,'Process'!AN274*'Control Room'!$H$11*INDEX('Control Room'!$B$19:$H$19,1,WEEKDAY($A274,2))*(1+'Control Room'!$D$9)^272*'Process'!AO274),2),"")</x:f>
      </x:c>
      <x:c r="K274" s="16" t="str">
        <x:f>IF(AND(AND(273&lt;='Control Room'!$B$3,'Control Room'!$D$3="Ready"),9&lt;='Control Room'!$B$2),ROUND(MAX(0,'Process'!AS274*'Control Room'!$H$12*INDEX('Control Room'!$B$19:$H$19,1,WEEKDAY($A274,2))*(1+'Control Room'!$D$9)^272*'Process'!AT274),2),"")</x:f>
      </x:c>
      <x:c r="L274" s="16" t="str">
        <x:f>IF(AND(AND(273&lt;='Control Room'!$B$3,'Control Room'!$D$3="Ready"),10&lt;='Control Room'!$B$2),ROUND(MAX(0,'Process'!AX274*'Control Room'!$H$13*INDEX('Control Room'!$B$19:$H$19,1,WEEKDAY($A274,2))*(1+'Control Room'!$D$9)^272*'Process'!AY274),2),"")</x:f>
      </x:c>
      <x:c r="M274" s="16" t="str">
        <x:f>IF(AND(AND(273&lt;='Control Room'!$B$3,'Control Room'!$D$3="Ready"),11&lt;='Control Room'!$B$2),ROUND(MAX(0,'Process'!BC274*'Control Room'!$H$14*INDEX('Control Room'!$B$19:$H$19,1,WEEKDAY($A274,2))*(1+'Control Room'!$D$9)^272*'Process'!BD274),2),"")</x:f>
      </x:c>
      <x:c r="N274" s="16" t="str">
        <x:f>IF(AND(AND(273&lt;='Control Room'!$B$3,'Control Room'!$D$3="Ready"),12&lt;='Control Room'!$B$2),ROUND(MAX(0,'Process'!BH274*'Control Room'!$H$15*INDEX('Control Room'!$B$19:$H$19,1,WEEKDAY($A274,2))*(1+'Control Room'!$D$9)^272*'Process'!BI274),2),"")</x:f>
      </x:c>
    </x:row>
    <x:row r="275" ht="21" customHeight="1">
      <x:c r="A275" s="15" t="str">
        <x:f>IF(AND(274&lt;='Control Room'!$B$3,'Control Room'!$D$3="Ready"),'Process'!A275,"")</x:f>
      </x:c>
      <x:c r="B275" s="16" t="str">
        <x:f>IF(A275="","",SUM(C275:N275))</x:f>
      </x:c>
      <x:c r="C275" s="16" t="str">
        <x:f>IF(AND(AND(274&lt;='Control Room'!$B$3,'Control Room'!$D$3="Ready"),1&lt;='Control Room'!$B$2),ROUND(MAX(0,'Process'!E275*'Control Room'!$H$4*INDEX('Control Room'!$B$19:$H$19,1,WEEKDAY($A275,2))*(1+'Control Room'!$D$9)^273*'Process'!F275),2),"")</x:f>
      </x:c>
      <x:c r="D275" s="16" t="str">
        <x:f>IF(AND(AND(274&lt;='Control Room'!$B$3,'Control Room'!$D$3="Ready"),2&lt;='Control Room'!$B$2),ROUND(MAX(0,'Process'!J275*'Control Room'!$H$5*INDEX('Control Room'!$B$19:$H$19,1,WEEKDAY($A275,2))*(1+'Control Room'!$D$9)^273*'Process'!K275),2),"")</x:f>
      </x:c>
      <x:c r="E275" s="16" t="str">
        <x:f>IF(AND(AND(274&lt;='Control Room'!$B$3,'Control Room'!$D$3="Ready"),3&lt;='Control Room'!$B$2),ROUND(MAX(0,'Process'!O275*'Control Room'!$H$6*INDEX('Control Room'!$B$19:$H$19,1,WEEKDAY($A275,2))*(1+'Control Room'!$D$9)^273*'Process'!P275),2),"")</x:f>
      </x:c>
      <x:c r="F275" s="16" t="str">
        <x:f>IF(AND(AND(274&lt;='Control Room'!$B$3,'Control Room'!$D$3="Ready"),4&lt;='Control Room'!$B$2),ROUND(MAX(0,'Process'!T275*'Control Room'!$H$7*INDEX('Control Room'!$B$19:$H$19,1,WEEKDAY($A275,2))*(1+'Control Room'!$D$9)^273*'Process'!U275),2),"")</x:f>
      </x:c>
      <x:c r="G275" s="16" t="str">
        <x:f>IF(AND(AND(274&lt;='Control Room'!$B$3,'Control Room'!$D$3="Ready"),5&lt;='Control Room'!$B$2),ROUND(MAX(0,'Process'!Y275*'Control Room'!$H$8*INDEX('Control Room'!$B$19:$H$19,1,WEEKDAY($A275,2))*(1+'Control Room'!$D$9)^273*'Process'!Z275),2),"")</x:f>
      </x:c>
      <x:c r="H275" s="16" t="str">
        <x:f>IF(AND(AND(274&lt;='Control Room'!$B$3,'Control Room'!$D$3="Ready"),6&lt;='Control Room'!$B$2),ROUND(MAX(0,'Process'!AD275*'Control Room'!$H$9*INDEX('Control Room'!$B$19:$H$19,1,WEEKDAY($A275,2))*(1+'Control Room'!$D$9)^273*'Process'!AE275),2),"")</x:f>
      </x:c>
      <x:c r="I275" s="16" t="str">
        <x:f>IF(AND(AND(274&lt;='Control Room'!$B$3,'Control Room'!$D$3="Ready"),7&lt;='Control Room'!$B$2),ROUND(MAX(0,'Process'!AI275*'Control Room'!$H$10*INDEX('Control Room'!$B$19:$H$19,1,WEEKDAY($A275,2))*(1+'Control Room'!$D$9)^273*'Process'!AJ275),2),"")</x:f>
      </x:c>
      <x:c r="J275" s="16" t="str">
        <x:f>IF(AND(AND(274&lt;='Control Room'!$B$3,'Control Room'!$D$3="Ready"),8&lt;='Control Room'!$B$2),ROUND(MAX(0,'Process'!AN275*'Control Room'!$H$11*INDEX('Control Room'!$B$19:$H$19,1,WEEKDAY($A275,2))*(1+'Control Room'!$D$9)^273*'Process'!AO275),2),"")</x:f>
      </x:c>
      <x:c r="K275" s="16" t="str">
        <x:f>IF(AND(AND(274&lt;='Control Room'!$B$3,'Control Room'!$D$3="Ready"),9&lt;='Control Room'!$B$2),ROUND(MAX(0,'Process'!AS275*'Control Room'!$H$12*INDEX('Control Room'!$B$19:$H$19,1,WEEKDAY($A275,2))*(1+'Control Room'!$D$9)^273*'Process'!AT275),2),"")</x:f>
      </x:c>
      <x:c r="L275" s="16" t="str">
        <x:f>IF(AND(AND(274&lt;='Control Room'!$B$3,'Control Room'!$D$3="Ready"),10&lt;='Control Room'!$B$2),ROUND(MAX(0,'Process'!AX275*'Control Room'!$H$13*INDEX('Control Room'!$B$19:$H$19,1,WEEKDAY($A275,2))*(1+'Control Room'!$D$9)^273*'Process'!AY275),2),"")</x:f>
      </x:c>
      <x:c r="M275" s="16" t="str">
        <x:f>IF(AND(AND(274&lt;='Control Room'!$B$3,'Control Room'!$D$3="Ready"),11&lt;='Control Room'!$B$2),ROUND(MAX(0,'Process'!BC275*'Control Room'!$H$14*INDEX('Control Room'!$B$19:$H$19,1,WEEKDAY($A275,2))*(1+'Control Room'!$D$9)^273*'Process'!BD275),2),"")</x:f>
      </x:c>
      <x:c r="N275" s="16" t="str">
        <x:f>IF(AND(AND(274&lt;='Control Room'!$B$3,'Control Room'!$D$3="Ready"),12&lt;='Control Room'!$B$2),ROUND(MAX(0,'Process'!BH275*'Control Room'!$H$15*INDEX('Control Room'!$B$19:$H$19,1,WEEKDAY($A275,2))*(1+'Control Room'!$D$9)^273*'Process'!BI275),2),"")</x:f>
      </x:c>
    </x:row>
    <x:row r="276" ht="21" customHeight="1">
      <x:c r="A276" s="15" t="str">
        <x:f>IF(AND(275&lt;='Control Room'!$B$3,'Control Room'!$D$3="Ready"),'Process'!A276,"")</x:f>
      </x:c>
      <x:c r="B276" s="16" t="str">
        <x:f>IF(A276="","",SUM(C276:N276))</x:f>
      </x:c>
      <x:c r="C276" s="16" t="str">
        <x:f>IF(AND(AND(275&lt;='Control Room'!$B$3,'Control Room'!$D$3="Ready"),1&lt;='Control Room'!$B$2),ROUND(MAX(0,'Process'!E276*'Control Room'!$H$4*INDEX('Control Room'!$B$19:$H$19,1,WEEKDAY($A276,2))*(1+'Control Room'!$D$9)^274*'Process'!F276),2),"")</x:f>
      </x:c>
      <x:c r="D276" s="16" t="str">
        <x:f>IF(AND(AND(275&lt;='Control Room'!$B$3,'Control Room'!$D$3="Ready"),2&lt;='Control Room'!$B$2),ROUND(MAX(0,'Process'!J276*'Control Room'!$H$5*INDEX('Control Room'!$B$19:$H$19,1,WEEKDAY($A276,2))*(1+'Control Room'!$D$9)^274*'Process'!K276),2),"")</x:f>
      </x:c>
      <x:c r="E276" s="16" t="str">
        <x:f>IF(AND(AND(275&lt;='Control Room'!$B$3,'Control Room'!$D$3="Ready"),3&lt;='Control Room'!$B$2),ROUND(MAX(0,'Process'!O276*'Control Room'!$H$6*INDEX('Control Room'!$B$19:$H$19,1,WEEKDAY($A276,2))*(1+'Control Room'!$D$9)^274*'Process'!P276),2),"")</x:f>
      </x:c>
      <x:c r="F276" s="16" t="str">
        <x:f>IF(AND(AND(275&lt;='Control Room'!$B$3,'Control Room'!$D$3="Ready"),4&lt;='Control Room'!$B$2),ROUND(MAX(0,'Process'!T276*'Control Room'!$H$7*INDEX('Control Room'!$B$19:$H$19,1,WEEKDAY($A276,2))*(1+'Control Room'!$D$9)^274*'Process'!U276),2),"")</x:f>
      </x:c>
      <x:c r="G276" s="16" t="str">
        <x:f>IF(AND(AND(275&lt;='Control Room'!$B$3,'Control Room'!$D$3="Ready"),5&lt;='Control Room'!$B$2),ROUND(MAX(0,'Process'!Y276*'Control Room'!$H$8*INDEX('Control Room'!$B$19:$H$19,1,WEEKDAY($A276,2))*(1+'Control Room'!$D$9)^274*'Process'!Z276),2),"")</x:f>
      </x:c>
      <x:c r="H276" s="16" t="str">
        <x:f>IF(AND(AND(275&lt;='Control Room'!$B$3,'Control Room'!$D$3="Ready"),6&lt;='Control Room'!$B$2),ROUND(MAX(0,'Process'!AD276*'Control Room'!$H$9*INDEX('Control Room'!$B$19:$H$19,1,WEEKDAY($A276,2))*(1+'Control Room'!$D$9)^274*'Process'!AE276),2),"")</x:f>
      </x:c>
      <x:c r="I276" s="16" t="str">
        <x:f>IF(AND(AND(275&lt;='Control Room'!$B$3,'Control Room'!$D$3="Ready"),7&lt;='Control Room'!$B$2),ROUND(MAX(0,'Process'!AI276*'Control Room'!$H$10*INDEX('Control Room'!$B$19:$H$19,1,WEEKDAY($A276,2))*(1+'Control Room'!$D$9)^274*'Process'!AJ276),2),"")</x:f>
      </x:c>
      <x:c r="J276" s="16" t="str">
        <x:f>IF(AND(AND(275&lt;='Control Room'!$B$3,'Control Room'!$D$3="Ready"),8&lt;='Control Room'!$B$2),ROUND(MAX(0,'Process'!AN276*'Control Room'!$H$11*INDEX('Control Room'!$B$19:$H$19,1,WEEKDAY($A276,2))*(1+'Control Room'!$D$9)^274*'Process'!AO276),2),"")</x:f>
      </x:c>
      <x:c r="K276" s="16" t="str">
        <x:f>IF(AND(AND(275&lt;='Control Room'!$B$3,'Control Room'!$D$3="Ready"),9&lt;='Control Room'!$B$2),ROUND(MAX(0,'Process'!AS276*'Control Room'!$H$12*INDEX('Control Room'!$B$19:$H$19,1,WEEKDAY($A276,2))*(1+'Control Room'!$D$9)^274*'Process'!AT276),2),"")</x:f>
      </x:c>
      <x:c r="L276" s="16" t="str">
        <x:f>IF(AND(AND(275&lt;='Control Room'!$B$3,'Control Room'!$D$3="Ready"),10&lt;='Control Room'!$B$2),ROUND(MAX(0,'Process'!AX276*'Control Room'!$H$13*INDEX('Control Room'!$B$19:$H$19,1,WEEKDAY($A276,2))*(1+'Control Room'!$D$9)^274*'Process'!AY276),2),"")</x:f>
      </x:c>
      <x:c r="M276" s="16" t="str">
        <x:f>IF(AND(AND(275&lt;='Control Room'!$B$3,'Control Room'!$D$3="Ready"),11&lt;='Control Room'!$B$2),ROUND(MAX(0,'Process'!BC276*'Control Room'!$H$14*INDEX('Control Room'!$B$19:$H$19,1,WEEKDAY($A276,2))*(1+'Control Room'!$D$9)^274*'Process'!BD276),2),"")</x:f>
      </x:c>
      <x:c r="N276" s="16" t="str">
        <x:f>IF(AND(AND(275&lt;='Control Room'!$B$3,'Control Room'!$D$3="Ready"),12&lt;='Control Room'!$B$2),ROUND(MAX(0,'Process'!BH276*'Control Room'!$H$15*INDEX('Control Room'!$B$19:$H$19,1,WEEKDAY($A276,2))*(1+'Control Room'!$D$9)^274*'Process'!BI276),2),"")</x:f>
      </x:c>
    </x:row>
    <x:row r="277" ht="21" customHeight="1">
      <x:c r="A277" s="15" t="str">
        <x:f>IF(AND(276&lt;='Control Room'!$B$3,'Control Room'!$D$3="Ready"),'Process'!A277,"")</x:f>
      </x:c>
      <x:c r="B277" s="16" t="str">
        <x:f>IF(A277="","",SUM(C277:N277))</x:f>
      </x:c>
      <x:c r="C277" s="16" t="str">
        <x:f>IF(AND(AND(276&lt;='Control Room'!$B$3,'Control Room'!$D$3="Ready"),1&lt;='Control Room'!$B$2),ROUND(MAX(0,'Process'!E277*'Control Room'!$H$4*INDEX('Control Room'!$B$19:$H$19,1,WEEKDAY($A277,2))*(1+'Control Room'!$D$9)^275*'Process'!F277),2),"")</x:f>
      </x:c>
      <x:c r="D277" s="16" t="str">
        <x:f>IF(AND(AND(276&lt;='Control Room'!$B$3,'Control Room'!$D$3="Ready"),2&lt;='Control Room'!$B$2),ROUND(MAX(0,'Process'!J277*'Control Room'!$H$5*INDEX('Control Room'!$B$19:$H$19,1,WEEKDAY($A277,2))*(1+'Control Room'!$D$9)^275*'Process'!K277),2),"")</x:f>
      </x:c>
      <x:c r="E277" s="16" t="str">
        <x:f>IF(AND(AND(276&lt;='Control Room'!$B$3,'Control Room'!$D$3="Ready"),3&lt;='Control Room'!$B$2),ROUND(MAX(0,'Process'!O277*'Control Room'!$H$6*INDEX('Control Room'!$B$19:$H$19,1,WEEKDAY($A277,2))*(1+'Control Room'!$D$9)^275*'Process'!P277),2),"")</x:f>
      </x:c>
      <x:c r="F277" s="16" t="str">
        <x:f>IF(AND(AND(276&lt;='Control Room'!$B$3,'Control Room'!$D$3="Ready"),4&lt;='Control Room'!$B$2),ROUND(MAX(0,'Process'!T277*'Control Room'!$H$7*INDEX('Control Room'!$B$19:$H$19,1,WEEKDAY($A277,2))*(1+'Control Room'!$D$9)^275*'Process'!U277),2),"")</x:f>
      </x:c>
      <x:c r="G277" s="16" t="str">
        <x:f>IF(AND(AND(276&lt;='Control Room'!$B$3,'Control Room'!$D$3="Ready"),5&lt;='Control Room'!$B$2),ROUND(MAX(0,'Process'!Y277*'Control Room'!$H$8*INDEX('Control Room'!$B$19:$H$19,1,WEEKDAY($A277,2))*(1+'Control Room'!$D$9)^275*'Process'!Z277),2),"")</x:f>
      </x:c>
      <x:c r="H277" s="16" t="str">
        <x:f>IF(AND(AND(276&lt;='Control Room'!$B$3,'Control Room'!$D$3="Ready"),6&lt;='Control Room'!$B$2),ROUND(MAX(0,'Process'!AD277*'Control Room'!$H$9*INDEX('Control Room'!$B$19:$H$19,1,WEEKDAY($A277,2))*(1+'Control Room'!$D$9)^275*'Process'!AE277),2),"")</x:f>
      </x:c>
      <x:c r="I277" s="16" t="str">
        <x:f>IF(AND(AND(276&lt;='Control Room'!$B$3,'Control Room'!$D$3="Ready"),7&lt;='Control Room'!$B$2),ROUND(MAX(0,'Process'!AI277*'Control Room'!$H$10*INDEX('Control Room'!$B$19:$H$19,1,WEEKDAY($A277,2))*(1+'Control Room'!$D$9)^275*'Process'!AJ277),2),"")</x:f>
      </x:c>
      <x:c r="J277" s="16" t="str">
        <x:f>IF(AND(AND(276&lt;='Control Room'!$B$3,'Control Room'!$D$3="Ready"),8&lt;='Control Room'!$B$2),ROUND(MAX(0,'Process'!AN277*'Control Room'!$H$11*INDEX('Control Room'!$B$19:$H$19,1,WEEKDAY($A277,2))*(1+'Control Room'!$D$9)^275*'Process'!AO277),2),"")</x:f>
      </x:c>
      <x:c r="K277" s="16" t="str">
        <x:f>IF(AND(AND(276&lt;='Control Room'!$B$3,'Control Room'!$D$3="Ready"),9&lt;='Control Room'!$B$2),ROUND(MAX(0,'Process'!AS277*'Control Room'!$H$12*INDEX('Control Room'!$B$19:$H$19,1,WEEKDAY($A277,2))*(1+'Control Room'!$D$9)^275*'Process'!AT277),2),"")</x:f>
      </x:c>
      <x:c r="L277" s="16" t="str">
        <x:f>IF(AND(AND(276&lt;='Control Room'!$B$3,'Control Room'!$D$3="Ready"),10&lt;='Control Room'!$B$2),ROUND(MAX(0,'Process'!AX277*'Control Room'!$H$13*INDEX('Control Room'!$B$19:$H$19,1,WEEKDAY($A277,2))*(1+'Control Room'!$D$9)^275*'Process'!AY277),2),"")</x:f>
      </x:c>
      <x:c r="M277" s="16" t="str">
        <x:f>IF(AND(AND(276&lt;='Control Room'!$B$3,'Control Room'!$D$3="Ready"),11&lt;='Control Room'!$B$2),ROUND(MAX(0,'Process'!BC277*'Control Room'!$H$14*INDEX('Control Room'!$B$19:$H$19,1,WEEKDAY($A277,2))*(1+'Control Room'!$D$9)^275*'Process'!BD277),2),"")</x:f>
      </x:c>
      <x:c r="N277" s="16" t="str">
        <x:f>IF(AND(AND(276&lt;='Control Room'!$B$3,'Control Room'!$D$3="Ready"),12&lt;='Control Room'!$B$2),ROUND(MAX(0,'Process'!BH277*'Control Room'!$H$15*INDEX('Control Room'!$B$19:$H$19,1,WEEKDAY($A277,2))*(1+'Control Room'!$D$9)^275*'Process'!BI277),2),"")</x:f>
      </x:c>
    </x:row>
    <x:row r="278" ht="21" customHeight="1">
      <x:c r="A278" s="15" t="str">
        <x:f>IF(AND(277&lt;='Control Room'!$B$3,'Control Room'!$D$3="Ready"),'Process'!A278,"")</x:f>
      </x:c>
      <x:c r="B278" s="16" t="str">
        <x:f>IF(A278="","",SUM(C278:N278))</x:f>
      </x:c>
      <x:c r="C278" s="16" t="str">
        <x:f>IF(AND(AND(277&lt;='Control Room'!$B$3,'Control Room'!$D$3="Ready"),1&lt;='Control Room'!$B$2),ROUND(MAX(0,'Process'!E278*'Control Room'!$H$4*INDEX('Control Room'!$B$19:$H$19,1,WEEKDAY($A278,2))*(1+'Control Room'!$D$9)^276*'Process'!F278),2),"")</x:f>
      </x:c>
      <x:c r="D278" s="16" t="str">
        <x:f>IF(AND(AND(277&lt;='Control Room'!$B$3,'Control Room'!$D$3="Ready"),2&lt;='Control Room'!$B$2),ROUND(MAX(0,'Process'!J278*'Control Room'!$H$5*INDEX('Control Room'!$B$19:$H$19,1,WEEKDAY($A278,2))*(1+'Control Room'!$D$9)^276*'Process'!K278),2),"")</x:f>
      </x:c>
      <x:c r="E278" s="16" t="str">
        <x:f>IF(AND(AND(277&lt;='Control Room'!$B$3,'Control Room'!$D$3="Ready"),3&lt;='Control Room'!$B$2),ROUND(MAX(0,'Process'!O278*'Control Room'!$H$6*INDEX('Control Room'!$B$19:$H$19,1,WEEKDAY($A278,2))*(1+'Control Room'!$D$9)^276*'Process'!P278),2),"")</x:f>
      </x:c>
      <x:c r="F278" s="16" t="str">
        <x:f>IF(AND(AND(277&lt;='Control Room'!$B$3,'Control Room'!$D$3="Ready"),4&lt;='Control Room'!$B$2),ROUND(MAX(0,'Process'!T278*'Control Room'!$H$7*INDEX('Control Room'!$B$19:$H$19,1,WEEKDAY($A278,2))*(1+'Control Room'!$D$9)^276*'Process'!U278),2),"")</x:f>
      </x:c>
      <x:c r="G278" s="16" t="str">
        <x:f>IF(AND(AND(277&lt;='Control Room'!$B$3,'Control Room'!$D$3="Ready"),5&lt;='Control Room'!$B$2),ROUND(MAX(0,'Process'!Y278*'Control Room'!$H$8*INDEX('Control Room'!$B$19:$H$19,1,WEEKDAY($A278,2))*(1+'Control Room'!$D$9)^276*'Process'!Z278),2),"")</x:f>
      </x:c>
      <x:c r="H278" s="16" t="str">
        <x:f>IF(AND(AND(277&lt;='Control Room'!$B$3,'Control Room'!$D$3="Ready"),6&lt;='Control Room'!$B$2),ROUND(MAX(0,'Process'!AD278*'Control Room'!$H$9*INDEX('Control Room'!$B$19:$H$19,1,WEEKDAY($A278,2))*(1+'Control Room'!$D$9)^276*'Process'!AE278),2),"")</x:f>
      </x:c>
      <x:c r="I278" s="16" t="str">
        <x:f>IF(AND(AND(277&lt;='Control Room'!$B$3,'Control Room'!$D$3="Ready"),7&lt;='Control Room'!$B$2),ROUND(MAX(0,'Process'!AI278*'Control Room'!$H$10*INDEX('Control Room'!$B$19:$H$19,1,WEEKDAY($A278,2))*(1+'Control Room'!$D$9)^276*'Process'!AJ278),2),"")</x:f>
      </x:c>
      <x:c r="J278" s="16" t="str">
        <x:f>IF(AND(AND(277&lt;='Control Room'!$B$3,'Control Room'!$D$3="Ready"),8&lt;='Control Room'!$B$2),ROUND(MAX(0,'Process'!AN278*'Control Room'!$H$11*INDEX('Control Room'!$B$19:$H$19,1,WEEKDAY($A278,2))*(1+'Control Room'!$D$9)^276*'Process'!AO278),2),"")</x:f>
      </x:c>
      <x:c r="K278" s="16" t="str">
        <x:f>IF(AND(AND(277&lt;='Control Room'!$B$3,'Control Room'!$D$3="Ready"),9&lt;='Control Room'!$B$2),ROUND(MAX(0,'Process'!AS278*'Control Room'!$H$12*INDEX('Control Room'!$B$19:$H$19,1,WEEKDAY($A278,2))*(1+'Control Room'!$D$9)^276*'Process'!AT278),2),"")</x:f>
      </x:c>
      <x:c r="L278" s="16" t="str">
        <x:f>IF(AND(AND(277&lt;='Control Room'!$B$3,'Control Room'!$D$3="Ready"),10&lt;='Control Room'!$B$2),ROUND(MAX(0,'Process'!AX278*'Control Room'!$H$13*INDEX('Control Room'!$B$19:$H$19,1,WEEKDAY($A278,2))*(1+'Control Room'!$D$9)^276*'Process'!AY278),2),"")</x:f>
      </x:c>
      <x:c r="M278" s="16" t="str">
        <x:f>IF(AND(AND(277&lt;='Control Room'!$B$3,'Control Room'!$D$3="Ready"),11&lt;='Control Room'!$B$2),ROUND(MAX(0,'Process'!BC278*'Control Room'!$H$14*INDEX('Control Room'!$B$19:$H$19,1,WEEKDAY($A278,2))*(1+'Control Room'!$D$9)^276*'Process'!BD278),2),"")</x:f>
      </x:c>
      <x:c r="N278" s="16" t="str">
        <x:f>IF(AND(AND(277&lt;='Control Room'!$B$3,'Control Room'!$D$3="Ready"),12&lt;='Control Room'!$B$2),ROUND(MAX(0,'Process'!BH278*'Control Room'!$H$15*INDEX('Control Room'!$B$19:$H$19,1,WEEKDAY($A278,2))*(1+'Control Room'!$D$9)^276*'Process'!BI278),2),"")</x:f>
      </x:c>
    </x:row>
    <x:row r="279" ht="21" customHeight="1">
      <x:c r="A279" s="15" t="str">
        <x:f>IF(AND(278&lt;='Control Room'!$B$3,'Control Room'!$D$3="Ready"),'Process'!A279,"")</x:f>
      </x:c>
      <x:c r="B279" s="16" t="str">
        <x:f>IF(A279="","",SUM(C279:N279))</x:f>
      </x:c>
      <x:c r="C279" s="16" t="str">
        <x:f>IF(AND(AND(278&lt;='Control Room'!$B$3,'Control Room'!$D$3="Ready"),1&lt;='Control Room'!$B$2),ROUND(MAX(0,'Process'!E279*'Control Room'!$H$4*INDEX('Control Room'!$B$19:$H$19,1,WEEKDAY($A279,2))*(1+'Control Room'!$D$9)^277*'Process'!F279),2),"")</x:f>
      </x:c>
      <x:c r="D279" s="16" t="str">
        <x:f>IF(AND(AND(278&lt;='Control Room'!$B$3,'Control Room'!$D$3="Ready"),2&lt;='Control Room'!$B$2),ROUND(MAX(0,'Process'!J279*'Control Room'!$H$5*INDEX('Control Room'!$B$19:$H$19,1,WEEKDAY($A279,2))*(1+'Control Room'!$D$9)^277*'Process'!K279),2),"")</x:f>
      </x:c>
      <x:c r="E279" s="16" t="str">
        <x:f>IF(AND(AND(278&lt;='Control Room'!$B$3,'Control Room'!$D$3="Ready"),3&lt;='Control Room'!$B$2),ROUND(MAX(0,'Process'!O279*'Control Room'!$H$6*INDEX('Control Room'!$B$19:$H$19,1,WEEKDAY($A279,2))*(1+'Control Room'!$D$9)^277*'Process'!P279),2),"")</x:f>
      </x:c>
      <x:c r="F279" s="16" t="str">
        <x:f>IF(AND(AND(278&lt;='Control Room'!$B$3,'Control Room'!$D$3="Ready"),4&lt;='Control Room'!$B$2),ROUND(MAX(0,'Process'!T279*'Control Room'!$H$7*INDEX('Control Room'!$B$19:$H$19,1,WEEKDAY($A279,2))*(1+'Control Room'!$D$9)^277*'Process'!U279),2),"")</x:f>
      </x:c>
      <x:c r="G279" s="16" t="str">
        <x:f>IF(AND(AND(278&lt;='Control Room'!$B$3,'Control Room'!$D$3="Ready"),5&lt;='Control Room'!$B$2),ROUND(MAX(0,'Process'!Y279*'Control Room'!$H$8*INDEX('Control Room'!$B$19:$H$19,1,WEEKDAY($A279,2))*(1+'Control Room'!$D$9)^277*'Process'!Z279),2),"")</x:f>
      </x:c>
      <x:c r="H279" s="16" t="str">
        <x:f>IF(AND(AND(278&lt;='Control Room'!$B$3,'Control Room'!$D$3="Ready"),6&lt;='Control Room'!$B$2),ROUND(MAX(0,'Process'!AD279*'Control Room'!$H$9*INDEX('Control Room'!$B$19:$H$19,1,WEEKDAY($A279,2))*(1+'Control Room'!$D$9)^277*'Process'!AE279),2),"")</x:f>
      </x:c>
      <x:c r="I279" s="16" t="str">
        <x:f>IF(AND(AND(278&lt;='Control Room'!$B$3,'Control Room'!$D$3="Ready"),7&lt;='Control Room'!$B$2),ROUND(MAX(0,'Process'!AI279*'Control Room'!$H$10*INDEX('Control Room'!$B$19:$H$19,1,WEEKDAY($A279,2))*(1+'Control Room'!$D$9)^277*'Process'!AJ279),2),"")</x:f>
      </x:c>
      <x:c r="J279" s="16" t="str">
        <x:f>IF(AND(AND(278&lt;='Control Room'!$B$3,'Control Room'!$D$3="Ready"),8&lt;='Control Room'!$B$2),ROUND(MAX(0,'Process'!AN279*'Control Room'!$H$11*INDEX('Control Room'!$B$19:$H$19,1,WEEKDAY($A279,2))*(1+'Control Room'!$D$9)^277*'Process'!AO279),2),"")</x:f>
      </x:c>
      <x:c r="K279" s="16" t="str">
        <x:f>IF(AND(AND(278&lt;='Control Room'!$B$3,'Control Room'!$D$3="Ready"),9&lt;='Control Room'!$B$2),ROUND(MAX(0,'Process'!AS279*'Control Room'!$H$12*INDEX('Control Room'!$B$19:$H$19,1,WEEKDAY($A279,2))*(1+'Control Room'!$D$9)^277*'Process'!AT279),2),"")</x:f>
      </x:c>
      <x:c r="L279" s="16" t="str">
        <x:f>IF(AND(AND(278&lt;='Control Room'!$B$3,'Control Room'!$D$3="Ready"),10&lt;='Control Room'!$B$2),ROUND(MAX(0,'Process'!AX279*'Control Room'!$H$13*INDEX('Control Room'!$B$19:$H$19,1,WEEKDAY($A279,2))*(1+'Control Room'!$D$9)^277*'Process'!AY279),2),"")</x:f>
      </x:c>
      <x:c r="M279" s="16" t="str">
        <x:f>IF(AND(AND(278&lt;='Control Room'!$B$3,'Control Room'!$D$3="Ready"),11&lt;='Control Room'!$B$2),ROUND(MAX(0,'Process'!BC279*'Control Room'!$H$14*INDEX('Control Room'!$B$19:$H$19,1,WEEKDAY($A279,2))*(1+'Control Room'!$D$9)^277*'Process'!BD279),2),"")</x:f>
      </x:c>
      <x:c r="N279" s="16" t="str">
        <x:f>IF(AND(AND(278&lt;='Control Room'!$B$3,'Control Room'!$D$3="Ready"),12&lt;='Control Room'!$B$2),ROUND(MAX(0,'Process'!BH279*'Control Room'!$H$15*INDEX('Control Room'!$B$19:$H$19,1,WEEKDAY($A279,2))*(1+'Control Room'!$D$9)^277*'Process'!BI279),2),"")</x:f>
      </x:c>
    </x:row>
    <x:row r="280" ht="21" customHeight="1">
      <x:c r="A280" s="15" t="str">
        <x:f>IF(AND(279&lt;='Control Room'!$B$3,'Control Room'!$D$3="Ready"),'Process'!A280,"")</x:f>
      </x:c>
      <x:c r="B280" s="16" t="str">
        <x:f>IF(A280="","",SUM(C280:N280))</x:f>
      </x:c>
      <x:c r="C280" s="16" t="str">
        <x:f>IF(AND(AND(279&lt;='Control Room'!$B$3,'Control Room'!$D$3="Ready"),1&lt;='Control Room'!$B$2),ROUND(MAX(0,'Process'!E280*'Control Room'!$H$4*INDEX('Control Room'!$B$19:$H$19,1,WEEKDAY($A280,2))*(1+'Control Room'!$D$9)^278*'Process'!F280),2),"")</x:f>
      </x:c>
      <x:c r="D280" s="16" t="str">
        <x:f>IF(AND(AND(279&lt;='Control Room'!$B$3,'Control Room'!$D$3="Ready"),2&lt;='Control Room'!$B$2),ROUND(MAX(0,'Process'!J280*'Control Room'!$H$5*INDEX('Control Room'!$B$19:$H$19,1,WEEKDAY($A280,2))*(1+'Control Room'!$D$9)^278*'Process'!K280),2),"")</x:f>
      </x:c>
      <x:c r="E280" s="16" t="str">
        <x:f>IF(AND(AND(279&lt;='Control Room'!$B$3,'Control Room'!$D$3="Ready"),3&lt;='Control Room'!$B$2),ROUND(MAX(0,'Process'!O280*'Control Room'!$H$6*INDEX('Control Room'!$B$19:$H$19,1,WEEKDAY($A280,2))*(1+'Control Room'!$D$9)^278*'Process'!P280),2),"")</x:f>
      </x:c>
      <x:c r="F280" s="16" t="str">
        <x:f>IF(AND(AND(279&lt;='Control Room'!$B$3,'Control Room'!$D$3="Ready"),4&lt;='Control Room'!$B$2),ROUND(MAX(0,'Process'!T280*'Control Room'!$H$7*INDEX('Control Room'!$B$19:$H$19,1,WEEKDAY($A280,2))*(1+'Control Room'!$D$9)^278*'Process'!U280),2),"")</x:f>
      </x:c>
      <x:c r="G280" s="16" t="str">
        <x:f>IF(AND(AND(279&lt;='Control Room'!$B$3,'Control Room'!$D$3="Ready"),5&lt;='Control Room'!$B$2),ROUND(MAX(0,'Process'!Y280*'Control Room'!$H$8*INDEX('Control Room'!$B$19:$H$19,1,WEEKDAY($A280,2))*(1+'Control Room'!$D$9)^278*'Process'!Z280),2),"")</x:f>
      </x:c>
      <x:c r="H280" s="16" t="str">
        <x:f>IF(AND(AND(279&lt;='Control Room'!$B$3,'Control Room'!$D$3="Ready"),6&lt;='Control Room'!$B$2),ROUND(MAX(0,'Process'!AD280*'Control Room'!$H$9*INDEX('Control Room'!$B$19:$H$19,1,WEEKDAY($A280,2))*(1+'Control Room'!$D$9)^278*'Process'!AE280),2),"")</x:f>
      </x:c>
      <x:c r="I280" s="16" t="str">
        <x:f>IF(AND(AND(279&lt;='Control Room'!$B$3,'Control Room'!$D$3="Ready"),7&lt;='Control Room'!$B$2),ROUND(MAX(0,'Process'!AI280*'Control Room'!$H$10*INDEX('Control Room'!$B$19:$H$19,1,WEEKDAY($A280,2))*(1+'Control Room'!$D$9)^278*'Process'!AJ280),2),"")</x:f>
      </x:c>
      <x:c r="J280" s="16" t="str">
        <x:f>IF(AND(AND(279&lt;='Control Room'!$B$3,'Control Room'!$D$3="Ready"),8&lt;='Control Room'!$B$2),ROUND(MAX(0,'Process'!AN280*'Control Room'!$H$11*INDEX('Control Room'!$B$19:$H$19,1,WEEKDAY($A280,2))*(1+'Control Room'!$D$9)^278*'Process'!AO280),2),"")</x:f>
      </x:c>
      <x:c r="K280" s="16" t="str">
        <x:f>IF(AND(AND(279&lt;='Control Room'!$B$3,'Control Room'!$D$3="Ready"),9&lt;='Control Room'!$B$2),ROUND(MAX(0,'Process'!AS280*'Control Room'!$H$12*INDEX('Control Room'!$B$19:$H$19,1,WEEKDAY($A280,2))*(1+'Control Room'!$D$9)^278*'Process'!AT280),2),"")</x:f>
      </x:c>
      <x:c r="L280" s="16" t="str">
        <x:f>IF(AND(AND(279&lt;='Control Room'!$B$3,'Control Room'!$D$3="Ready"),10&lt;='Control Room'!$B$2),ROUND(MAX(0,'Process'!AX280*'Control Room'!$H$13*INDEX('Control Room'!$B$19:$H$19,1,WEEKDAY($A280,2))*(1+'Control Room'!$D$9)^278*'Process'!AY280),2),"")</x:f>
      </x:c>
      <x:c r="M280" s="16" t="str">
        <x:f>IF(AND(AND(279&lt;='Control Room'!$B$3,'Control Room'!$D$3="Ready"),11&lt;='Control Room'!$B$2),ROUND(MAX(0,'Process'!BC280*'Control Room'!$H$14*INDEX('Control Room'!$B$19:$H$19,1,WEEKDAY($A280,2))*(1+'Control Room'!$D$9)^278*'Process'!BD280),2),"")</x:f>
      </x:c>
      <x:c r="N280" s="16" t="str">
        <x:f>IF(AND(AND(279&lt;='Control Room'!$B$3,'Control Room'!$D$3="Ready"),12&lt;='Control Room'!$B$2),ROUND(MAX(0,'Process'!BH280*'Control Room'!$H$15*INDEX('Control Room'!$B$19:$H$19,1,WEEKDAY($A280,2))*(1+'Control Room'!$D$9)^278*'Process'!BI280),2),"")</x:f>
      </x:c>
    </x:row>
    <x:row r="281" ht="21" customHeight="1">
      <x:c r="A281" s="15" t="str">
        <x:f>IF(AND(280&lt;='Control Room'!$B$3,'Control Room'!$D$3="Ready"),'Process'!A281,"")</x:f>
      </x:c>
      <x:c r="B281" s="16" t="str">
        <x:f>IF(A281="","",SUM(C281:N281))</x:f>
      </x:c>
      <x:c r="C281" s="16" t="str">
        <x:f>IF(AND(AND(280&lt;='Control Room'!$B$3,'Control Room'!$D$3="Ready"),1&lt;='Control Room'!$B$2),ROUND(MAX(0,'Process'!E281*'Control Room'!$H$4*INDEX('Control Room'!$B$19:$H$19,1,WEEKDAY($A281,2))*(1+'Control Room'!$D$9)^279*'Process'!F281),2),"")</x:f>
      </x:c>
      <x:c r="D281" s="16" t="str">
        <x:f>IF(AND(AND(280&lt;='Control Room'!$B$3,'Control Room'!$D$3="Ready"),2&lt;='Control Room'!$B$2),ROUND(MAX(0,'Process'!J281*'Control Room'!$H$5*INDEX('Control Room'!$B$19:$H$19,1,WEEKDAY($A281,2))*(1+'Control Room'!$D$9)^279*'Process'!K281),2),"")</x:f>
      </x:c>
      <x:c r="E281" s="16" t="str">
        <x:f>IF(AND(AND(280&lt;='Control Room'!$B$3,'Control Room'!$D$3="Ready"),3&lt;='Control Room'!$B$2),ROUND(MAX(0,'Process'!O281*'Control Room'!$H$6*INDEX('Control Room'!$B$19:$H$19,1,WEEKDAY($A281,2))*(1+'Control Room'!$D$9)^279*'Process'!P281),2),"")</x:f>
      </x:c>
      <x:c r="F281" s="16" t="str">
        <x:f>IF(AND(AND(280&lt;='Control Room'!$B$3,'Control Room'!$D$3="Ready"),4&lt;='Control Room'!$B$2),ROUND(MAX(0,'Process'!T281*'Control Room'!$H$7*INDEX('Control Room'!$B$19:$H$19,1,WEEKDAY($A281,2))*(1+'Control Room'!$D$9)^279*'Process'!U281),2),"")</x:f>
      </x:c>
      <x:c r="G281" s="16" t="str">
        <x:f>IF(AND(AND(280&lt;='Control Room'!$B$3,'Control Room'!$D$3="Ready"),5&lt;='Control Room'!$B$2),ROUND(MAX(0,'Process'!Y281*'Control Room'!$H$8*INDEX('Control Room'!$B$19:$H$19,1,WEEKDAY($A281,2))*(1+'Control Room'!$D$9)^279*'Process'!Z281),2),"")</x:f>
      </x:c>
      <x:c r="H281" s="16" t="str">
        <x:f>IF(AND(AND(280&lt;='Control Room'!$B$3,'Control Room'!$D$3="Ready"),6&lt;='Control Room'!$B$2),ROUND(MAX(0,'Process'!AD281*'Control Room'!$H$9*INDEX('Control Room'!$B$19:$H$19,1,WEEKDAY($A281,2))*(1+'Control Room'!$D$9)^279*'Process'!AE281),2),"")</x:f>
      </x:c>
      <x:c r="I281" s="16" t="str">
        <x:f>IF(AND(AND(280&lt;='Control Room'!$B$3,'Control Room'!$D$3="Ready"),7&lt;='Control Room'!$B$2),ROUND(MAX(0,'Process'!AI281*'Control Room'!$H$10*INDEX('Control Room'!$B$19:$H$19,1,WEEKDAY($A281,2))*(1+'Control Room'!$D$9)^279*'Process'!AJ281),2),"")</x:f>
      </x:c>
      <x:c r="J281" s="16" t="str">
        <x:f>IF(AND(AND(280&lt;='Control Room'!$B$3,'Control Room'!$D$3="Ready"),8&lt;='Control Room'!$B$2),ROUND(MAX(0,'Process'!AN281*'Control Room'!$H$11*INDEX('Control Room'!$B$19:$H$19,1,WEEKDAY($A281,2))*(1+'Control Room'!$D$9)^279*'Process'!AO281),2),"")</x:f>
      </x:c>
      <x:c r="K281" s="16" t="str">
        <x:f>IF(AND(AND(280&lt;='Control Room'!$B$3,'Control Room'!$D$3="Ready"),9&lt;='Control Room'!$B$2),ROUND(MAX(0,'Process'!AS281*'Control Room'!$H$12*INDEX('Control Room'!$B$19:$H$19,1,WEEKDAY($A281,2))*(1+'Control Room'!$D$9)^279*'Process'!AT281),2),"")</x:f>
      </x:c>
      <x:c r="L281" s="16" t="str">
        <x:f>IF(AND(AND(280&lt;='Control Room'!$B$3,'Control Room'!$D$3="Ready"),10&lt;='Control Room'!$B$2),ROUND(MAX(0,'Process'!AX281*'Control Room'!$H$13*INDEX('Control Room'!$B$19:$H$19,1,WEEKDAY($A281,2))*(1+'Control Room'!$D$9)^279*'Process'!AY281),2),"")</x:f>
      </x:c>
      <x:c r="M281" s="16" t="str">
        <x:f>IF(AND(AND(280&lt;='Control Room'!$B$3,'Control Room'!$D$3="Ready"),11&lt;='Control Room'!$B$2),ROUND(MAX(0,'Process'!BC281*'Control Room'!$H$14*INDEX('Control Room'!$B$19:$H$19,1,WEEKDAY($A281,2))*(1+'Control Room'!$D$9)^279*'Process'!BD281),2),"")</x:f>
      </x:c>
      <x:c r="N281" s="16" t="str">
        <x:f>IF(AND(AND(280&lt;='Control Room'!$B$3,'Control Room'!$D$3="Ready"),12&lt;='Control Room'!$B$2),ROUND(MAX(0,'Process'!BH281*'Control Room'!$H$15*INDEX('Control Room'!$B$19:$H$19,1,WEEKDAY($A281,2))*(1+'Control Room'!$D$9)^279*'Process'!BI281),2),"")</x:f>
      </x:c>
    </x:row>
    <x:row r="282" ht="21" customHeight="1">
      <x:c r="A282" s="15" t="str">
        <x:f>IF(AND(281&lt;='Control Room'!$B$3,'Control Room'!$D$3="Ready"),'Process'!A282,"")</x:f>
      </x:c>
      <x:c r="B282" s="16" t="str">
        <x:f>IF(A282="","",SUM(C282:N282))</x:f>
      </x:c>
      <x:c r="C282" s="16" t="str">
        <x:f>IF(AND(AND(281&lt;='Control Room'!$B$3,'Control Room'!$D$3="Ready"),1&lt;='Control Room'!$B$2),ROUND(MAX(0,'Process'!E282*'Control Room'!$H$4*INDEX('Control Room'!$B$19:$H$19,1,WEEKDAY($A282,2))*(1+'Control Room'!$D$9)^280*'Process'!F282),2),"")</x:f>
      </x:c>
      <x:c r="D282" s="16" t="str">
        <x:f>IF(AND(AND(281&lt;='Control Room'!$B$3,'Control Room'!$D$3="Ready"),2&lt;='Control Room'!$B$2),ROUND(MAX(0,'Process'!J282*'Control Room'!$H$5*INDEX('Control Room'!$B$19:$H$19,1,WEEKDAY($A282,2))*(1+'Control Room'!$D$9)^280*'Process'!K282),2),"")</x:f>
      </x:c>
      <x:c r="E282" s="16" t="str">
        <x:f>IF(AND(AND(281&lt;='Control Room'!$B$3,'Control Room'!$D$3="Ready"),3&lt;='Control Room'!$B$2),ROUND(MAX(0,'Process'!O282*'Control Room'!$H$6*INDEX('Control Room'!$B$19:$H$19,1,WEEKDAY($A282,2))*(1+'Control Room'!$D$9)^280*'Process'!P282),2),"")</x:f>
      </x:c>
      <x:c r="F282" s="16" t="str">
        <x:f>IF(AND(AND(281&lt;='Control Room'!$B$3,'Control Room'!$D$3="Ready"),4&lt;='Control Room'!$B$2),ROUND(MAX(0,'Process'!T282*'Control Room'!$H$7*INDEX('Control Room'!$B$19:$H$19,1,WEEKDAY($A282,2))*(1+'Control Room'!$D$9)^280*'Process'!U282),2),"")</x:f>
      </x:c>
      <x:c r="G282" s="16" t="str">
        <x:f>IF(AND(AND(281&lt;='Control Room'!$B$3,'Control Room'!$D$3="Ready"),5&lt;='Control Room'!$B$2),ROUND(MAX(0,'Process'!Y282*'Control Room'!$H$8*INDEX('Control Room'!$B$19:$H$19,1,WEEKDAY($A282,2))*(1+'Control Room'!$D$9)^280*'Process'!Z282),2),"")</x:f>
      </x:c>
      <x:c r="H282" s="16" t="str">
        <x:f>IF(AND(AND(281&lt;='Control Room'!$B$3,'Control Room'!$D$3="Ready"),6&lt;='Control Room'!$B$2),ROUND(MAX(0,'Process'!AD282*'Control Room'!$H$9*INDEX('Control Room'!$B$19:$H$19,1,WEEKDAY($A282,2))*(1+'Control Room'!$D$9)^280*'Process'!AE282),2),"")</x:f>
      </x:c>
      <x:c r="I282" s="16" t="str">
        <x:f>IF(AND(AND(281&lt;='Control Room'!$B$3,'Control Room'!$D$3="Ready"),7&lt;='Control Room'!$B$2),ROUND(MAX(0,'Process'!AI282*'Control Room'!$H$10*INDEX('Control Room'!$B$19:$H$19,1,WEEKDAY($A282,2))*(1+'Control Room'!$D$9)^280*'Process'!AJ282),2),"")</x:f>
      </x:c>
      <x:c r="J282" s="16" t="str">
        <x:f>IF(AND(AND(281&lt;='Control Room'!$B$3,'Control Room'!$D$3="Ready"),8&lt;='Control Room'!$B$2),ROUND(MAX(0,'Process'!AN282*'Control Room'!$H$11*INDEX('Control Room'!$B$19:$H$19,1,WEEKDAY($A282,2))*(1+'Control Room'!$D$9)^280*'Process'!AO282),2),"")</x:f>
      </x:c>
      <x:c r="K282" s="16" t="str">
        <x:f>IF(AND(AND(281&lt;='Control Room'!$B$3,'Control Room'!$D$3="Ready"),9&lt;='Control Room'!$B$2),ROUND(MAX(0,'Process'!AS282*'Control Room'!$H$12*INDEX('Control Room'!$B$19:$H$19,1,WEEKDAY($A282,2))*(1+'Control Room'!$D$9)^280*'Process'!AT282),2),"")</x:f>
      </x:c>
      <x:c r="L282" s="16" t="str">
        <x:f>IF(AND(AND(281&lt;='Control Room'!$B$3,'Control Room'!$D$3="Ready"),10&lt;='Control Room'!$B$2),ROUND(MAX(0,'Process'!AX282*'Control Room'!$H$13*INDEX('Control Room'!$B$19:$H$19,1,WEEKDAY($A282,2))*(1+'Control Room'!$D$9)^280*'Process'!AY282),2),"")</x:f>
      </x:c>
      <x:c r="M282" s="16" t="str">
        <x:f>IF(AND(AND(281&lt;='Control Room'!$B$3,'Control Room'!$D$3="Ready"),11&lt;='Control Room'!$B$2),ROUND(MAX(0,'Process'!BC282*'Control Room'!$H$14*INDEX('Control Room'!$B$19:$H$19,1,WEEKDAY($A282,2))*(1+'Control Room'!$D$9)^280*'Process'!BD282),2),"")</x:f>
      </x:c>
      <x:c r="N282" s="16" t="str">
        <x:f>IF(AND(AND(281&lt;='Control Room'!$B$3,'Control Room'!$D$3="Ready"),12&lt;='Control Room'!$B$2),ROUND(MAX(0,'Process'!BH282*'Control Room'!$H$15*INDEX('Control Room'!$B$19:$H$19,1,WEEKDAY($A282,2))*(1+'Control Room'!$D$9)^280*'Process'!BI282),2),"")</x:f>
      </x:c>
    </x:row>
    <x:row r="283" ht="21" customHeight="1">
      <x:c r="A283" s="15" t="str">
        <x:f>IF(AND(282&lt;='Control Room'!$B$3,'Control Room'!$D$3="Ready"),'Process'!A283,"")</x:f>
      </x:c>
      <x:c r="B283" s="16" t="str">
        <x:f>IF(A283="","",SUM(C283:N283))</x:f>
      </x:c>
      <x:c r="C283" s="16" t="str">
        <x:f>IF(AND(AND(282&lt;='Control Room'!$B$3,'Control Room'!$D$3="Ready"),1&lt;='Control Room'!$B$2),ROUND(MAX(0,'Process'!E283*'Control Room'!$H$4*INDEX('Control Room'!$B$19:$H$19,1,WEEKDAY($A283,2))*(1+'Control Room'!$D$9)^281*'Process'!F283),2),"")</x:f>
      </x:c>
      <x:c r="D283" s="16" t="str">
        <x:f>IF(AND(AND(282&lt;='Control Room'!$B$3,'Control Room'!$D$3="Ready"),2&lt;='Control Room'!$B$2),ROUND(MAX(0,'Process'!J283*'Control Room'!$H$5*INDEX('Control Room'!$B$19:$H$19,1,WEEKDAY($A283,2))*(1+'Control Room'!$D$9)^281*'Process'!K283),2),"")</x:f>
      </x:c>
      <x:c r="E283" s="16" t="str">
        <x:f>IF(AND(AND(282&lt;='Control Room'!$B$3,'Control Room'!$D$3="Ready"),3&lt;='Control Room'!$B$2),ROUND(MAX(0,'Process'!O283*'Control Room'!$H$6*INDEX('Control Room'!$B$19:$H$19,1,WEEKDAY($A283,2))*(1+'Control Room'!$D$9)^281*'Process'!P283),2),"")</x:f>
      </x:c>
      <x:c r="F283" s="16" t="str">
        <x:f>IF(AND(AND(282&lt;='Control Room'!$B$3,'Control Room'!$D$3="Ready"),4&lt;='Control Room'!$B$2),ROUND(MAX(0,'Process'!T283*'Control Room'!$H$7*INDEX('Control Room'!$B$19:$H$19,1,WEEKDAY($A283,2))*(1+'Control Room'!$D$9)^281*'Process'!U283),2),"")</x:f>
      </x:c>
      <x:c r="G283" s="16" t="str">
        <x:f>IF(AND(AND(282&lt;='Control Room'!$B$3,'Control Room'!$D$3="Ready"),5&lt;='Control Room'!$B$2),ROUND(MAX(0,'Process'!Y283*'Control Room'!$H$8*INDEX('Control Room'!$B$19:$H$19,1,WEEKDAY($A283,2))*(1+'Control Room'!$D$9)^281*'Process'!Z283),2),"")</x:f>
      </x:c>
      <x:c r="H283" s="16" t="str">
        <x:f>IF(AND(AND(282&lt;='Control Room'!$B$3,'Control Room'!$D$3="Ready"),6&lt;='Control Room'!$B$2),ROUND(MAX(0,'Process'!AD283*'Control Room'!$H$9*INDEX('Control Room'!$B$19:$H$19,1,WEEKDAY($A283,2))*(1+'Control Room'!$D$9)^281*'Process'!AE283),2),"")</x:f>
      </x:c>
      <x:c r="I283" s="16" t="str">
        <x:f>IF(AND(AND(282&lt;='Control Room'!$B$3,'Control Room'!$D$3="Ready"),7&lt;='Control Room'!$B$2),ROUND(MAX(0,'Process'!AI283*'Control Room'!$H$10*INDEX('Control Room'!$B$19:$H$19,1,WEEKDAY($A283,2))*(1+'Control Room'!$D$9)^281*'Process'!AJ283),2),"")</x:f>
      </x:c>
      <x:c r="J283" s="16" t="str">
        <x:f>IF(AND(AND(282&lt;='Control Room'!$B$3,'Control Room'!$D$3="Ready"),8&lt;='Control Room'!$B$2),ROUND(MAX(0,'Process'!AN283*'Control Room'!$H$11*INDEX('Control Room'!$B$19:$H$19,1,WEEKDAY($A283,2))*(1+'Control Room'!$D$9)^281*'Process'!AO283),2),"")</x:f>
      </x:c>
      <x:c r="K283" s="16" t="str">
        <x:f>IF(AND(AND(282&lt;='Control Room'!$B$3,'Control Room'!$D$3="Ready"),9&lt;='Control Room'!$B$2),ROUND(MAX(0,'Process'!AS283*'Control Room'!$H$12*INDEX('Control Room'!$B$19:$H$19,1,WEEKDAY($A283,2))*(1+'Control Room'!$D$9)^281*'Process'!AT283),2),"")</x:f>
      </x:c>
      <x:c r="L283" s="16" t="str">
        <x:f>IF(AND(AND(282&lt;='Control Room'!$B$3,'Control Room'!$D$3="Ready"),10&lt;='Control Room'!$B$2),ROUND(MAX(0,'Process'!AX283*'Control Room'!$H$13*INDEX('Control Room'!$B$19:$H$19,1,WEEKDAY($A283,2))*(1+'Control Room'!$D$9)^281*'Process'!AY283),2),"")</x:f>
      </x:c>
      <x:c r="M283" s="16" t="str">
        <x:f>IF(AND(AND(282&lt;='Control Room'!$B$3,'Control Room'!$D$3="Ready"),11&lt;='Control Room'!$B$2),ROUND(MAX(0,'Process'!BC283*'Control Room'!$H$14*INDEX('Control Room'!$B$19:$H$19,1,WEEKDAY($A283,2))*(1+'Control Room'!$D$9)^281*'Process'!BD283),2),"")</x:f>
      </x:c>
      <x:c r="N283" s="16" t="str">
        <x:f>IF(AND(AND(282&lt;='Control Room'!$B$3,'Control Room'!$D$3="Ready"),12&lt;='Control Room'!$B$2),ROUND(MAX(0,'Process'!BH283*'Control Room'!$H$15*INDEX('Control Room'!$B$19:$H$19,1,WEEKDAY($A283,2))*(1+'Control Room'!$D$9)^281*'Process'!BI283),2),"")</x:f>
      </x:c>
    </x:row>
    <x:row r="284" ht="21" customHeight="1">
      <x:c r="A284" s="15" t="str">
        <x:f>IF(AND(283&lt;='Control Room'!$B$3,'Control Room'!$D$3="Ready"),'Process'!A284,"")</x:f>
      </x:c>
      <x:c r="B284" s="16" t="str">
        <x:f>IF(A284="","",SUM(C284:N284))</x:f>
      </x:c>
      <x:c r="C284" s="16" t="str">
        <x:f>IF(AND(AND(283&lt;='Control Room'!$B$3,'Control Room'!$D$3="Ready"),1&lt;='Control Room'!$B$2),ROUND(MAX(0,'Process'!E284*'Control Room'!$H$4*INDEX('Control Room'!$B$19:$H$19,1,WEEKDAY($A284,2))*(1+'Control Room'!$D$9)^282*'Process'!F284),2),"")</x:f>
      </x:c>
      <x:c r="D284" s="16" t="str">
        <x:f>IF(AND(AND(283&lt;='Control Room'!$B$3,'Control Room'!$D$3="Ready"),2&lt;='Control Room'!$B$2),ROUND(MAX(0,'Process'!J284*'Control Room'!$H$5*INDEX('Control Room'!$B$19:$H$19,1,WEEKDAY($A284,2))*(1+'Control Room'!$D$9)^282*'Process'!K284),2),"")</x:f>
      </x:c>
      <x:c r="E284" s="16" t="str">
        <x:f>IF(AND(AND(283&lt;='Control Room'!$B$3,'Control Room'!$D$3="Ready"),3&lt;='Control Room'!$B$2),ROUND(MAX(0,'Process'!O284*'Control Room'!$H$6*INDEX('Control Room'!$B$19:$H$19,1,WEEKDAY($A284,2))*(1+'Control Room'!$D$9)^282*'Process'!P284),2),"")</x:f>
      </x:c>
      <x:c r="F284" s="16" t="str">
        <x:f>IF(AND(AND(283&lt;='Control Room'!$B$3,'Control Room'!$D$3="Ready"),4&lt;='Control Room'!$B$2),ROUND(MAX(0,'Process'!T284*'Control Room'!$H$7*INDEX('Control Room'!$B$19:$H$19,1,WEEKDAY($A284,2))*(1+'Control Room'!$D$9)^282*'Process'!U284),2),"")</x:f>
      </x:c>
      <x:c r="G284" s="16" t="str">
        <x:f>IF(AND(AND(283&lt;='Control Room'!$B$3,'Control Room'!$D$3="Ready"),5&lt;='Control Room'!$B$2),ROUND(MAX(0,'Process'!Y284*'Control Room'!$H$8*INDEX('Control Room'!$B$19:$H$19,1,WEEKDAY($A284,2))*(1+'Control Room'!$D$9)^282*'Process'!Z284),2),"")</x:f>
      </x:c>
      <x:c r="H284" s="16" t="str">
        <x:f>IF(AND(AND(283&lt;='Control Room'!$B$3,'Control Room'!$D$3="Ready"),6&lt;='Control Room'!$B$2),ROUND(MAX(0,'Process'!AD284*'Control Room'!$H$9*INDEX('Control Room'!$B$19:$H$19,1,WEEKDAY($A284,2))*(1+'Control Room'!$D$9)^282*'Process'!AE284),2),"")</x:f>
      </x:c>
      <x:c r="I284" s="16" t="str">
        <x:f>IF(AND(AND(283&lt;='Control Room'!$B$3,'Control Room'!$D$3="Ready"),7&lt;='Control Room'!$B$2),ROUND(MAX(0,'Process'!AI284*'Control Room'!$H$10*INDEX('Control Room'!$B$19:$H$19,1,WEEKDAY($A284,2))*(1+'Control Room'!$D$9)^282*'Process'!AJ284),2),"")</x:f>
      </x:c>
      <x:c r="J284" s="16" t="str">
        <x:f>IF(AND(AND(283&lt;='Control Room'!$B$3,'Control Room'!$D$3="Ready"),8&lt;='Control Room'!$B$2),ROUND(MAX(0,'Process'!AN284*'Control Room'!$H$11*INDEX('Control Room'!$B$19:$H$19,1,WEEKDAY($A284,2))*(1+'Control Room'!$D$9)^282*'Process'!AO284),2),"")</x:f>
      </x:c>
      <x:c r="K284" s="16" t="str">
        <x:f>IF(AND(AND(283&lt;='Control Room'!$B$3,'Control Room'!$D$3="Ready"),9&lt;='Control Room'!$B$2),ROUND(MAX(0,'Process'!AS284*'Control Room'!$H$12*INDEX('Control Room'!$B$19:$H$19,1,WEEKDAY($A284,2))*(1+'Control Room'!$D$9)^282*'Process'!AT284),2),"")</x:f>
      </x:c>
      <x:c r="L284" s="16" t="str">
        <x:f>IF(AND(AND(283&lt;='Control Room'!$B$3,'Control Room'!$D$3="Ready"),10&lt;='Control Room'!$B$2),ROUND(MAX(0,'Process'!AX284*'Control Room'!$H$13*INDEX('Control Room'!$B$19:$H$19,1,WEEKDAY($A284,2))*(1+'Control Room'!$D$9)^282*'Process'!AY284),2),"")</x:f>
      </x:c>
      <x:c r="M284" s="16" t="str">
        <x:f>IF(AND(AND(283&lt;='Control Room'!$B$3,'Control Room'!$D$3="Ready"),11&lt;='Control Room'!$B$2),ROUND(MAX(0,'Process'!BC284*'Control Room'!$H$14*INDEX('Control Room'!$B$19:$H$19,1,WEEKDAY($A284,2))*(1+'Control Room'!$D$9)^282*'Process'!BD284),2),"")</x:f>
      </x:c>
      <x:c r="N284" s="16" t="str">
        <x:f>IF(AND(AND(283&lt;='Control Room'!$B$3,'Control Room'!$D$3="Ready"),12&lt;='Control Room'!$B$2),ROUND(MAX(0,'Process'!BH284*'Control Room'!$H$15*INDEX('Control Room'!$B$19:$H$19,1,WEEKDAY($A284,2))*(1+'Control Room'!$D$9)^282*'Process'!BI284),2),"")</x:f>
      </x:c>
    </x:row>
    <x:row r="285" ht="21" customHeight="1">
      <x:c r="A285" s="15" t="str">
        <x:f>IF(AND(284&lt;='Control Room'!$B$3,'Control Room'!$D$3="Ready"),'Process'!A285,"")</x:f>
      </x:c>
      <x:c r="B285" s="16" t="str">
        <x:f>IF(A285="","",SUM(C285:N285))</x:f>
      </x:c>
      <x:c r="C285" s="16" t="str">
        <x:f>IF(AND(AND(284&lt;='Control Room'!$B$3,'Control Room'!$D$3="Ready"),1&lt;='Control Room'!$B$2),ROUND(MAX(0,'Process'!E285*'Control Room'!$H$4*INDEX('Control Room'!$B$19:$H$19,1,WEEKDAY($A285,2))*(1+'Control Room'!$D$9)^283*'Process'!F285),2),"")</x:f>
      </x:c>
      <x:c r="D285" s="16" t="str">
        <x:f>IF(AND(AND(284&lt;='Control Room'!$B$3,'Control Room'!$D$3="Ready"),2&lt;='Control Room'!$B$2),ROUND(MAX(0,'Process'!J285*'Control Room'!$H$5*INDEX('Control Room'!$B$19:$H$19,1,WEEKDAY($A285,2))*(1+'Control Room'!$D$9)^283*'Process'!K285),2),"")</x:f>
      </x:c>
      <x:c r="E285" s="16" t="str">
        <x:f>IF(AND(AND(284&lt;='Control Room'!$B$3,'Control Room'!$D$3="Ready"),3&lt;='Control Room'!$B$2),ROUND(MAX(0,'Process'!O285*'Control Room'!$H$6*INDEX('Control Room'!$B$19:$H$19,1,WEEKDAY($A285,2))*(1+'Control Room'!$D$9)^283*'Process'!P285),2),"")</x:f>
      </x:c>
      <x:c r="F285" s="16" t="str">
        <x:f>IF(AND(AND(284&lt;='Control Room'!$B$3,'Control Room'!$D$3="Ready"),4&lt;='Control Room'!$B$2),ROUND(MAX(0,'Process'!T285*'Control Room'!$H$7*INDEX('Control Room'!$B$19:$H$19,1,WEEKDAY($A285,2))*(1+'Control Room'!$D$9)^283*'Process'!U285),2),"")</x:f>
      </x:c>
      <x:c r="G285" s="16" t="str">
        <x:f>IF(AND(AND(284&lt;='Control Room'!$B$3,'Control Room'!$D$3="Ready"),5&lt;='Control Room'!$B$2),ROUND(MAX(0,'Process'!Y285*'Control Room'!$H$8*INDEX('Control Room'!$B$19:$H$19,1,WEEKDAY($A285,2))*(1+'Control Room'!$D$9)^283*'Process'!Z285),2),"")</x:f>
      </x:c>
      <x:c r="H285" s="16" t="str">
        <x:f>IF(AND(AND(284&lt;='Control Room'!$B$3,'Control Room'!$D$3="Ready"),6&lt;='Control Room'!$B$2),ROUND(MAX(0,'Process'!AD285*'Control Room'!$H$9*INDEX('Control Room'!$B$19:$H$19,1,WEEKDAY($A285,2))*(1+'Control Room'!$D$9)^283*'Process'!AE285),2),"")</x:f>
      </x:c>
      <x:c r="I285" s="16" t="str">
        <x:f>IF(AND(AND(284&lt;='Control Room'!$B$3,'Control Room'!$D$3="Ready"),7&lt;='Control Room'!$B$2),ROUND(MAX(0,'Process'!AI285*'Control Room'!$H$10*INDEX('Control Room'!$B$19:$H$19,1,WEEKDAY($A285,2))*(1+'Control Room'!$D$9)^283*'Process'!AJ285),2),"")</x:f>
      </x:c>
      <x:c r="J285" s="16" t="str">
        <x:f>IF(AND(AND(284&lt;='Control Room'!$B$3,'Control Room'!$D$3="Ready"),8&lt;='Control Room'!$B$2),ROUND(MAX(0,'Process'!AN285*'Control Room'!$H$11*INDEX('Control Room'!$B$19:$H$19,1,WEEKDAY($A285,2))*(1+'Control Room'!$D$9)^283*'Process'!AO285),2),"")</x:f>
      </x:c>
      <x:c r="K285" s="16" t="str">
        <x:f>IF(AND(AND(284&lt;='Control Room'!$B$3,'Control Room'!$D$3="Ready"),9&lt;='Control Room'!$B$2),ROUND(MAX(0,'Process'!AS285*'Control Room'!$H$12*INDEX('Control Room'!$B$19:$H$19,1,WEEKDAY($A285,2))*(1+'Control Room'!$D$9)^283*'Process'!AT285),2),"")</x:f>
      </x:c>
      <x:c r="L285" s="16" t="str">
        <x:f>IF(AND(AND(284&lt;='Control Room'!$B$3,'Control Room'!$D$3="Ready"),10&lt;='Control Room'!$B$2),ROUND(MAX(0,'Process'!AX285*'Control Room'!$H$13*INDEX('Control Room'!$B$19:$H$19,1,WEEKDAY($A285,2))*(1+'Control Room'!$D$9)^283*'Process'!AY285),2),"")</x:f>
      </x:c>
      <x:c r="M285" s="16" t="str">
        <x:f>IF(AND(AND(284&lt;='Control Room'!$B$3,'Control Room'!$D$3="Ready"),11&lt;='Control Room'!$B$2),ROUND(MAX(0,'Process'!BC285*'Control Room'!$H$14*INDEX('Control Room'!$B$19:$H$19,1,WEEKDAY($A285,2))*(1+'Control Room'!$D$9)^283*'Process'!BD285),2),"")</x:f>
      </x:c>
      <x:c r="N285" s="16" t="str">
        <x:f>IF(AND(AND(284&lt;='Control Room'!$B$3,'Control Room'!$D$3="Ready"),12&lt;='Control Room'!$B$2),ROUND(MAX(0,'Process'!BH285*'Control Room'!$H$15*INDEX('Control Room'!$B$19:$H$19,1,WEEKDAY($A285,2))*(1+'Control Room'!$D$9)^283*'Process'!BI285),2),"")</x:f>
      </x:c>
    </x:row>
    <x:row r="286" ht="21" customHeight="1">
      <x:c r="A286" s="15" t="str">
        <x:f>IF(AND(285&lt;='Control Room'!$B$3,'Control Room'!$D$3="Ready"),'Process'!A286,"")</x:f>
      </x:c>
      <x:c r="B286" s="16" t="str">
        <x:f>IF(A286="","",SUM(C286:N286))</x:f>
      </x:c>
      <x:c r="C286" s="16" t="str">
        <x:f>IF(AND(AND(285&lt;='Control Room'!$B$3,'Control Room'!$D$3="Ready"),1&lt;='Control Room'!$B$2),ROUND(MAX(0,'Process'!E286*'Control Room'!$H$4*INDEX('Control Room'!$B$19:$H$19,1,WEEKDAY($A286,2))*(1+'Control Room'!$D$9)^284*'Process'!F286),2),"")</x:f>
      </x:c>
      <x:c r="D286" s="16" t="str">
        <x:f>IF(AND(AND(285&lt;='Control Room'!$B$3,'Control Room'!$D$3="Ready"),2&lt;='Control Room'!$B$2),ROUND(MAX(0,'Process'!J286*'Control Room'!$H$5*INDEX('Control Room'!$B$19:$H$19,1,WEEKDAY($A286,2))*(1+'Control Room'!$D$9)^284*'Process'!K286),2),"")</x:f>
      </x:c>
      <x:c r="E286" s="16" t="str">
        <x:f>IF(AND(AND(285&lt;='Control Room'!$B$3,'Control Room'!$D$3="Ready"),3&lt;='Control Room'!$B$2),ROUND(MAX(0,'Process'!O286*'Control Room'!$H$6*INDEX('Control Room'!$B$19:$H$19,1,WEEKDAY($A286,2))*(1+'Control Room'!$D$9)^284*'Process'!P286),2),"")</x:f>
      </x:c>
      <x:c r="F286" s="16" t="str">
        <x:f>IF(AND(AND(285&lt;='Control Room'!$B$3,'Control Room'!$D$3="Ready"),4&lt;='Control Room'!$B$2),ROUND(MAX(0,'Process'!T286*'Control Room'!$H$7*INDEX('Control Room'!$B$19:$H$19,1,WEEKDAY($A286,2))*(1+'Control Room'!$D$9)^284*'Process'!U286),2),"")</x:f>
      </x:c>
      <x:c r="G286" s="16" t="str">
        <x:f>IF(AND(AND(285&lt;='Control Room'!$B$3,'Control Room'!$D$3="Ready"),5&lt;='Control Room'!$B$2),ROUND(MAX(0,'Process'!Y286*'Control Room'!$H$8*INDEX('Control Room'!$B$19:$H$19,1,WEEKDAY($A286,2))*(1+'Control Room'!$D$9)^284*'Process'!Z286),2),"")</x:f>
      </x:c>
      <x:c r="H286" s="16" t="str">
        <x:f>IF(AND(AND(285&lt;='Control Room'!$B$3,'Control Room'!$D$3="Ready"),6&lt;='Control Room'!$B$2),ROUND(MAX(0,'Process'!AD286*'Control Room'!$H$9*INDEX('Control Room'!$B$19:$H$19,1,WEEKDAY($A286,2))*(1+'Control Room'!$D$9)^284*'Process'!AE286),2),"")</x:f>
      </x:c>
      <x:c r="I286" s="16" t="str">
        <x:f>IF(AND(AND(285&lt;='Control Room'!$B$3,'Control Room'!$D$3="Ready"),7&lt;='Control Room'!$B$2),ROUND(MAX(0,'Process'!AI286*'Control Room'!$H$10*INDEX('Control Room'!$B$19:$H$19,1,WEEKDAY($A286,2))*(1+'Control Room'!$D$9)^284*'Process'!AJ286),2),"")</x:f>
      </x:c>
      <x:c r="J286" s="16" t="str">
        <x:f>IF(AND(AND(285&lt;='Control Room'!$B$3,'Control Room'!$D$3="Ready"),8&lt;='Control Room'!$B$2),ROUND(MAX(0,'Process'!AN286*'Control Room'!$H$11*INDEX('Control Room'!$B$19:$H$19,1,WEEKDAY($A286,2))*(1+'Control Room'!$D$9)^284*'Process'!AO286),2),"")</x:f>
      </x:c>
      <x:c r="K286" s="16" t="str">
        <x:f>IF(AND(AND(285&lt;='Control Room'!$B$3,'Control Room'!$D$3="Ready"),9&lt;='Control Room'!$B$2),ROUND(MAX(0,'Process'!AS286*'Control Room'!$H$12*INDEX('Control Room'!$B$19:$H$19,1,WEEKDAY($A286,2))*(1+'Control Room'!$D$9)^284*'Process'!AT286),2),"")</x:f>
      </x:c>
      <x:c r="L286" s="16" t="str">
        <x:f>IF(AND(AND(285&lt;='Control Room'!$B$3,'Control Room'!$D$3="Ready"),10&lt;='Control Room'!$B$2),ROUND(MAX(0,'Process'!AX286*'Control Room'!$H$13*INDEX('Control Room'!$B$19:$H$19,1,WEEKDAY($A286,2))*(1+'Control Room'!$D$9)^284*'Process'!AY286),2),"")</x:f>
      </x:c>
      <x:c r="M286" s="16" t="str">
        <x:f>IF(AND(AND(285&lt;='Control Room'!$B$3,'Control Room'!$D$3="Ready"),11&lt;='Control Room'!$B$2),ROUND(MAX(0,'Process'!BC286*'Control Room'!$H$14*INDEX('Control Room'!$B$19:$H$19,1,WEEKDAY($A286,2))*(1+'Control Room'!$D$9)^284*'Process'!BD286),2),"")</x:f>
      </x:c>
      <x:c r="N286" s="16" t="str">
        <x:f>IF(AND(AND(285&lt;='Control Room'!$B$3,'Control Room'!$D$3="Ready"),12&lt;='Control Room'!$B$2),ROUND(MAX(0,'Process'!BH286*'Control Room'!$H$15*INDEX('Control Room'!$B$19:$H$19,1,WEEKDAY($A286,2))*(1+'Control Room'!$D$9)^284*'Process'!BI286),2),"")</x:f>
      </x:c>
    </x:row>
    <x:row r="287" ht="21" customHeight="1">
      <x:c r="A287" s="15" t="str">
        <x:f>IF(AND(286&lt;='Control Room'!$B$3,'Control Room'!$D$3="Ready"),'Process'!A287,"")</x:f>
      </x:c>
      <x:c r="B287" s="16" t="str">
        <x:f>IF(A287="","",SUM(C287:N287))</x:f>
      </x:c>
      <x:c r="C287" s="16" t="str">
        <x:f>IF(AND(AND(286&lt;='Control Room'!$B$3,'Control Room'!$D$3="Ready"),1&lt;='Control Room'!$B$2),ROUND(MAX(0,'Process'!E287*'Control Room'!$H$4*INDEX('Control Room'!$B$19:$H$19,1,WEEKDAY($A287,2))*(1+'Control Room'!$D$9)^285*'Process'!F287),2),"")</x:f>
      </x:c>
      <x:c r="D287" s="16" t="str">
        <x:f>IF(AND(AND(286&lt;='Control Room'!$B$3,'Control Room'!$D$3="Ready"),2&lt;='Control Room'!$B$2),ROUND(MAX(0,'Process'!J287*'Control Room'!$H$5*INDEX('Control Room'!$B$19:$H$19,1,WEEKDAY($A287,2))*(1+'Control Room'!$D$9)^285*'Process'!K287),2),"")</x:f>
      </x:c>
      <x:c r="E287" s="16" t="str">
        <x:f>IF(AND(AND(286&lt;='Control Room'!$B$3,'Control Room'!$D$3="Ready"),3&lt;='Control Room'!$B$2),ROUND(MAX(0,'Process'!O287*'Control Room'!$H$6*INDEX('Control Room'!$B$19:$H$19,1,WEEKDAY($A287,2))*(1+'Control Room'!$D$9)^285*'Process'!P287),2),"")</x:f>
      </x:c>
      <x:c r="F287" s="16" t="str">
        <x:f>IF(AND(AND(286&lt;='Control Room'!$B$3,'Control Room'!$D$3="Ready"),4&lt;='Control Room'!$B$2),ROUND(MAX(0,'Process'!T287*'Control Room'!$H$7*INDEX('Control Room'!$B$19:$H$19,1,WEEKDAY($A287,2))*(1+'Control Room'!$D$9)^285*'Process'!U287),2),"")</x:f>
      </x:c>
      <x:c r="G287" s="16" t="str">
        <x:f>IF(AND(AND(286&lt;='Control Room'!$B$3,'Control Room'!$D$3="Ready"),5&lt;='Control Room'!$B$2),ROUND(MAX(0,'Process'!Y287*'Control Room'!$H$8*INDEX('Control Room'!$B$19:$H$19,1,WEEKDAY($A287,2))*(1+'Control Room'!$D$9)^285*'Process'!Z287),2),"")</x:f>
      </x:c>
      <x:c r="H287" s="16" t="str">
        <x:f>IF(AND(AND(286&lt;='Control Room'!$B$3,'Control Room'!$D$3="Ready"),6&lt;='Control Room'!$B$2),ROUND(MAX(0,'Process'!AD287*'Control Room'!$H$9*INDEX('Control Room'!$B$19:$H$19,1,WEEKDAY($A287,2))*(1+'Control Room'!$D$9)^285*'Process'!AE287),2),"")</x:f>
      </x:c>
      <x:c r="I287" s="16" t="str">
        <x:f>IF(AND(AND(286&lt;='Control Room'!$B$3,'Control Room'!$D$3="Ready"),7&lt;='Control Room'!$B$2),ROUND(MAX(0,'Process'!AI287*'Control Room'!$H$10*INDEX('Control Room'!$B$19:$H$19,1,WEEKDAY($A287,2))*(1+'Control Room'!$D$9)^285*'Process'!AJ287),2),"")</x:f>
      </x:c>
      <x:c r="J287" s="16" t="str">
        <x:f>IF(AND(AND(286&lt;='Control Room'!$B$3,'Control Room'!$D$3="Ready"),8&lt;='Control Room'!$B$2),ROUND(MAX(0,'Process'!AN287*'Control Room'!$H$11*INDEX('Control Room'!$B$19:$H$19,1,WEEKDAY($A287,2))*(1+'Control Room'!$D$9)^285*'Process'!AO287),2),"")</x:f>
      </x:c>
      <x:c r="K287" s="16" t="str">
        <x:f>IF(AND(AND(286&lt;='Control Room'!$B$3,'Control Room'!$D$3="Ready"),9&lt;='Control Room'!$B$2),ROUND(MAX(0,'Process'!AS287*'Control Room'!$H$12*INDEX('Control Room'!$B$19:$H$19,1,WEEKDAY($A287,2))*(1+'Control Room'!$D$9)^285*'Process'!AT287),2),"")</x:f>
      </x:c>
      <x:c r="L287" s="16" t="str">
        <x:f>IF(AND(AND(286&lt;='Control Room'!$B$3,'Control Room'!$D$3="Ready"),10&lt;='Control Room'!$B$2),ROUND(MAX(0,'Process'!AX287*'Control Room'!$H$13*INDEX('Control Room'!$B$19:$H$19,1,WEEKDAY($A287,2))*(1+'Control Room'!$D$9)^285*'Process'!AY287),2),"")</x:f>
      </x:c>
      <x:c r="M287" s="16" t="str">
        <x:f>IF(AND(AND(286&lt;='Control Room'!$B$3,'Control Room'!$D$3="Ready"),11&lt;='Control Room'!$B$2),ROUND(MAX(0,'Process'!BC287*'Control Room'!$H$14*INDEX('Control Room'!$B$19:$H$19,1,WEEKDAY($A287,2))*(1+'Control Room'!$D$9)^285*'Process'!BD287),2),"")</x:f>
      </x:c>
      <x:c r="N287" s="16" t="str">
        <x:f>IF(AND(AND(286&lt;='Control Room'!$B$3,'Control Room'!$D$3="Ready"),12&lt;='Control Room'!$B$2),ROUND(MAX(0,'Process'!BH287*'Control Room'!$H$15*INDEX('Control Room'!$B$19:$H$19,1,WEEKDAY($A287,2))*(1+'Control Room'!$D$9)^285*'Process'!BI287),2),"")</x:f>
      </x:c>
    </x:row>
    <x:row r="288" ht="21" customHeight="1">
      <x:c r="A288" s="15" t="str">
        <x:f>IF(AND(287&lt;='Control Room'!$B$3,'Control Room'!$D$3="Ready"),'Process'!A288,"")</x:f>
      </x:c>
      <x:c r="B288" s="16" t="str">
        <x:f>IF(A288="","",SUM(C288:N288))</x:f>
      </x:c>
      <x:c r="C288" s="16" t="str">
        <x:f>IF(AND(AND(287&lt;='Control Room'!$B$3,'Control Room'!$D$3="Ready"),1&lt;='Control Room'!$B$2),ROUND(MAX(0,'Process'!E288*'Control Room'!$H$4*INDEX('Control Room'!$B$19:$H$19,1,WEEKDAY($A288,2))*(1+'Control Room'!$D$9)^286*'Process'!F288),2),"")</x:f>
      </x:c>
      <x:c r="D288" s="16" t="str">
        <x:f>IF(AND(AND(287&lt;='Control Room'!$B$3,'Control Room'!$D$3="Ready"),2&lt;='Control Room'!$B$2),ROUND(MAX(0,'Process'!J288*'Control Room'!$H$5*INDEX('Control Room'!$B$19:$H$19,1,WEEKDAY($A288,2))*(1+'Control Room'!$D$9)^286*'Process'!K288),2),"")</x:f>
      </x:c>
      <x:c r="E288" s="16" t="str">
        <x:f>IF(AND(AND(287&lt;='Control Room'!$B$3,'Control Room'!$D$3="Ready"),3&lt;='Control Room'!$B$2),ROUND(MAX(0,'Process'!O288*'Control Room'!$H$6*INDEX('Control Room'!$B$19:$H$19,1,WEEKDAY($A288,2))*(1+'Control Room'!$D$9)^286*'Process'!P288),2),"")</x:f>
      </x:c>
      <x:c r="F288" s="16" t="str">
        <x:f>IF(AND(AND(287&lt;='Control Room'!$B$3,'Control Room'!$D$3="Ready"),4&lt;='Control Room'!$B$2),ROUND(MAX(0,'Process'!T288*'Control Room'!$H$7*INDEX('Control Room'!$B$19:$H$19,1,WEEKDAY($A288,2))*(1+'Control Room'!$D$9)^286*'Process'!U288),2),"")</x:f>
      </x:c>
      <x:c r="G288" s="16" t="str">
        <x:f>IF(AND(AND(287&lt;='Control Room'!$B$3,'Control Room'!$D$3="Ready"),5&lt;='Control Room'!$B$2),ROUND(MAX(0,'Process'!Y288*'Control Room'!$H$8*INDEX('Control Room'!$B$19:$H$19,1,WEEKDAY($A288,2))*(1+'Control Room'!$D$9)^286*'Process'!Z288),2),"")</x:f>
      </x:c>
      <x:c r="H288" s="16" t="str">
        <x:f>IF(AND(AND(287&lt;='Control Room'!$B$3,'Control Room'!$D$3="Ready"),6&lt;='Control Room'!$B$2),ROUND(MAX(0,'Process'!AD288*'Control Room'!$H$9*INDEX('Control Room'!$B$19:$H$19,1,WEEKDAY($A288,2))*(1+'Control Room'!$D$9)^286*'Process'!AE288),2),"")</x:f>
      </x:c>
      <x:c r="I288" s="16" t="str">
        <x:f>IF(AND(AND(287&lt;='Control Room'!$B$3,'Control Room'!$D$3="Ready"),7&lt;='Control Room'!$B$2),ROUND(MAX(0,'Process'!AI288*'Control Room'!$H$10*INDEX('Control Room'!$B$19:$H$19,1,WEEKDAY($A288,2))*(1+'Control Room'!$D$9)^286*'Process'!AJ288),2),"")</x:f>
      </x:c>
      <x:c r="J288" s="16" t="str">
        <x:f>IF(AND(AND(287&lt;='Control Room'!$B$3,'Control Room'!$D$3="Ready"),8&lt;='Control Room'!$B$2),ROUND(MAX(0,'Process'!AN288*'Control Room'!$H$11*INDEX('Control Room'!$B$19:$H$19,1,WEEKDAY($A288,2))*(1+'Control Room'!$D$9)^286*'Process'!AO288),2),"")</x:f>
      </x:c>
      <x:c r="K288" s="16" t="str">
        <x:f>IF(AND(AND(287&lt;='Control Room'!$B$3,'Control Room'!$D$3="Ready"),9&lt;='Control Room'!$B$2),ROUND(MAX(0,'Process'!AS288*'Control Room'!$H$12*INDEX('Control Room'!$B$19:$H$19,1,WEEKDAY($A288,2))*(1+'Control Room'!$D$9)^286*'Process'!AT288),2),"")</x:f>
      </x:c>
      <x:c r="L288" s="16" t="str">
        <x:f>IF(AND(AND(287&lt;='Control Room'!$B$3,'Control Room'!$D$3="Ready"),10&lt;='Control Room'!$B$2),ROUND(MAX(0,'Process'!AX288*'Control Room'!$H$13*INDEX('Control Room'!$B$19:$H$19,1,WEEKDAY($A288,2))*(1+'Control Room'!$D$9)^286*'Process'!AY288),2),"")</x:f>
      </x:c>
      <x:c r="M288" s="16" t="str">
        <x:f>IF(AND(AND(287&lt;='Control Room'!$B$3,'Control Room'!$D$3="Ready"),11&lt;='Control Room'!$B$2),ROUND(MAX(0,'Process'!BC288*'Control Room'!$H$14*INDEX('Control Room'!$B$19:$H$19,1,WEEKDAY($A288,2))*(1+'Control Room'!$D$9)^286*'Process'!BD288),2),"")</x:f>
      </x:c>
      <x:c r="N288" s="16" t="str">
        <x:f>IF(AND(AND(287&lt;='Control Room'!$B$3,'Control Room'!$D$3="Ready"),12&lt;='Control Room'!$B$2),ROUND(MAX(0,'Process'!BH288*'Control Room'!$H$15*INDEX('Control Room'!$B$19:$H$19,1,WEEKDAY($A288,2))*(1+'Control Room'!$D$9)^286*'Process'!BI288),2),"")</x:f>
      </x:c>
    </x:row>
    <x:row r="289" ht="21" customHeight="1">
      <x:c r="A289" s="15" t="str">
        <x:f>IF(AND(288&lt;='Control Room'!$B$3,'Control Room'!$D$3="Ready"),'Process'!A289,"")</x:f>
      </x:c>
      <x:c r="B289" s="16" t="str">
        <x:f>IF(A289="","",SUM(C289:N289))</x:f>
      </x:c>
      <x:c r="C289" s="16" t="str">
        <x:f>IF(AND(AND(288&lt;='Control Room'!$B$3,'Control Room'!$D$3="Ready"),1&lt;='Control Room'!$B$2),ROUND(MAX(0,'Process'!E289*'Control Room'!$H$4*INDEX('Control Room'!$B$19:$H$19,1,WEEKDAY($A289,2))*(1+'Control Room'!$D$9)^287*'Process'!F289),2),"")</x:f>
      </x:c>
      <x:c r="D289" s="16" t="str">
        <x:f>IF(AND(AND(288&lt;='Control Room'!$B$3,'Control Room'!$D$3="Ready"),2&lt;='Control Room'!$B$2),ROUND(MAX(0,'Process'!J289*'Control Room'!$H$5*INDEX('Control Room'!$B$19:$H$19,1,WEEKDAY($A289,2))*(1+'Control Room'!$D$9)^287*'Process'!K289),2),"")</x:f>
      </x:c>
      <x:c r="E289" s="16" t="str">
        <x:f>IF(AND(AND(288&lt;='Control Room'!$B$3,'Control Room'!$D$3="Ready"),3&lt;='Control Room'!$B$2),ROUND(MAX(0,'Process'!O289*'Control Room'!$H$6*INDEX('Control Room'!$B$19:$H$19,1,WEEKDAY($A289,2))*(1+'Control Room'!$D$9)^287*'Process'!P289),2),"")</x:f>
      </x:c>
      <x:c r="F289" s="16" t="str">
        <x:f>IF(AND(AND(288&lt;='Control Room'!$B$3,'Control Room'!$D$3="Ready"),4&lt;='Control Room'!$B$2),ROUND(MAX(0,'Process'!T289*'Control Room'!$H$7*INDEX('Control Room'!$B$19:$H$19,1,WEEKDAY($A289,2))*(1+'Control Room'!$D$9)^287*'Process'!U289),2),"")</x:f>
      </x:c>
      <x:c r="G289" s="16" t="str">
        <x:f>IF(AND(AND(288&lt;='Control Room'!$B$3,'Control Room'!$D$3="Ready"),5&lt;='Control Room'!$B$2),ROUND(MAX(0,'Process'!Y289*'Control Room'!$H$8*INDEX('Control Room'!$B$19:$H$19,1,WEEKDAY($A289,2))*(1+'Control Room'!$D$9)^287*'Process'!Z289),2),"")</x:f>
      </x:c>
      <x:c r="H289" s="16" t="str">
        <x:f>IF(AND(AND(288&lt;='Control Room'!$B$3,'Control Room'!$D$3="Ready"),6&lt;='Control Room'!$B$2),ROUND(MAX(0,'Process'!AD289*'Control Room'!$H$9*INDEX('Control Room'!$B$19:$H$19,1,WEEKDAY($A289,2))*(1+'Control Room'!$D$9)^287*'Process'!AE289),2),"")</x:f>
      </x:c>
      <x:c r="I289" s="16" t="str">
        <x:f>IF(AND(AND(288&lt;='Control Room'!$B$3,'Control Room'!$D$3="Ready"),7&lt;='Control Room'!$B$2),ROUND(MAX(0,'Process'!AI289*'Control Room'!$H$10*INDEX('Control Room'!$B$19:$H$19,1,WEEKDAY($A289,2))*(1+'Control Room'!$D$9)^287*'Process'!AJ289),2),"")</x:f>
      </x:c>
      <x:c r="J289" s="16" t="str">
        <x:f>IF(AND(AND(288&lt;='Control Room'!$B$3,'Control Room'!$D$3="Ready"),8&lt;='Control Room'!$B$2),ROUND(MAX(0,'Process'!AN289*'Control Room'!$H$11*INDEX('Control Room'!$B$19:$H$19,1,WEEKDAY($A289,2))*(1+'Control Room'!$D$9)^287*'Process'!AO289),2),"")</x:f>
      </x:c>
      <x:c r="K289" s="16" t="str">
        <x:f>IF(AND(AND(288&lt;='Control Room'!$B$3,'Control Room'!$D$3="Ready"),9&lt;='Control Room'!$B$2),ROUND(MAX(0,'Process'!AS289*'Control Room'!$H$12*INDEX('Control Room'!$B$19:$H$19,1,WEEKDAY($A289,2))*(1+'Control Room'!$D$9)^287*'Process'!AT289),2),"")</x:f>
      </x:c>
      <x:c r="L289" s="16" t="str">
        <x:f>IF(AND(AND(288&lt;='Control Room'!$B$3,'Control Room'!$D$3="Ready"),10&lt;='Control Room'!$B$2),ROUND(MAX(0,'Process'!AX289*'Control Room'!$H$13*INDEX('Control Room'!$B$19:$H$19,1,WEEKDAY($A289,2))*(1+'Control Room'!$D$9)^287*'Process'!AY289),2),"")</x:f>
      </x:c>
      <x:c r="M289" s="16" t="str">
        <x:f>IF(AND(AND(288&lt;='Control Room'!$B$3,'Control Room'!$D$3="Ready"),11&lt;='Control Room'!$B$2),ROUND(MAX(0,'Process'!BC289*'Control Room'!$H$14*INDEX('Control Room'!$B$19:$H$19,1,WEEKDAY($A289,2))*(1+'Control Room'!$D$9)^287*'Process'!BD289),2),"")</x:f>
      </x:c>
      <x:c r="N289" s="16" t="str">
        <x:f>IF(AND(AND(288&lt;='Control Room'!$B$3,'Control Room'!$D$3="Ready"),12&lt;='Control Room'!$B$2),ROUND(MAX(0,'Process'!BH289*'Control Room'!$H$15*INDEX('Control Room'!$B$19:$H$19,1,WEEKDAY($A289,2))*(1+'Control Room'!$D$9)^287*'Process'!BI289),2),"")</x:f>
      </x:c>
    </x:row>
    <x:row r="290" ht="21" customHeight="1">
      <x:c r="A290" s="15" t="str">
        <x:f>IF(AND(289&lt;='Control Room'!$B$3,'Control Room'!$D$3="Ready"),'Process'!A290,"")</x:f>
      </x:c>
      <x:c r="B290" s="16" t="str">
        <x:f>IF(A290="","",SUM(C290:N290))</x:f>
      </x:c>
      <x:c r="C290" s="16" t="str">
        <x:f>IF(AND(AND(289&lt;='Control Room'!$B$3,'Control Room'!$D$3="Ready"),1&lt;='Control Room'!$B$2),ROUND(MAX(0,'Process'!E290*'Control Room'!$H$4*INDEX('Control Room'!$B$19:$H$19,1,WEEKDAY($A290,2))*(1+'Control Room'!$D$9)^288*'Process'!F290),2),"")</x:f>
      </x:c>
      <x:c r="D290" s="16" t="str">
        <x:f>IF(AND(AND(289&lt;='Control Room'!$B$3,'Control Room'!$D$3="Ready"),2&lt;='Control Room'!$B$2),ROUND(MAX(0,'Process'!J290*'Control Room'!$H$5*INDEX('Control Room'!$B$19:$H$19,1,WEEKDAY($A290,2))*(1+'Control Room'!$D$9)^288*'Process'!K290),2),"")</x:f>
      </x:c>
      <x:c r="E290" s="16" t="str">
        <x:f>IF(AND(AND(289&lt;='Control Room'!$B$3,'Control Room'!$D$3="Ready"),3&lt;='Control Room'!$B$2),ROUND(MAX(0,'Process'!O290*'Control Room'!$H$6*INDEX('Control Room'!$B$19:$H$19,1,WEEKDAY($A290,2))*(1+'Control Room'!$D$9)^288*'Process'!P290),2),"")</x:f>
      </x:c>
      <x:c r="F290" s="16" t="str">
        <x:f>IF(AND(AND(289&lt;='Control Room'!$B$3,'Control Room'!$D$3="Ready"),4&lt;='Control Room'!$B$2),ROUND(MAX(0,'Process'!T290*'Control Room'!$H$7*INDEX('Control Room'!$B$19:$H$19,1,WEEKDAY($A290,2))*(1+'Control Room'!$D$9)^288*'Process'!U290),2),"")</x:f>
      </x:c>
      <x:c r="G290" s="16" t="str">
        <x:f>IF(AND(AND(289&lt;='Control Room'!$B$3,'Control Room'!$D$3="Ready"),5&lt;='Control Room'!$B$2),ROUND(MAX(0,'Process'!Y290*'Control Room'!$H$8*INDEX('Control Room'!$B$19:$H$19,1,WEEKDAY($A290,2))*(1+'Control Room'!$D$9)^288*'Process'!Z290),2),"")</x:f>
      </x:c>
      <x:c r="H290" s="16" t="str">
        <x:f>IF(AND(AND(289&lt;='Control Room'!$B$3,'Control Room'!$D$3="Ready"),6&lt;='Control Room'!$B$2),ROUND(MAX(0,'Process'!AD290*'Control Room'!$H$9*INDEX('Control Room'!$B$19:$H$19,1,WEEKDAY($A290,2))*(1+'Control Room'!$D$9)^288*'Process'!AE290),2),"")</x:f>
      </x:c>
      <x:c r="I290" s="16" t="str">
        <x:f>IF(AND(AND(289&lt;='Control Room'!$B$3,'Control Room'!$D$3="Ready"),7&lt;='Control Room'!$B$2),ROUND(MAX(0,'Process'!AI290*'Control Room'!$H$10*INDEX('Control Room'!$B$19:$H$19,1,WEEKDAY($A290,2))*(1+'Control Room'!$D$9)^288*'Process'!AJ290),2),"")</x:f>
      </x:c>
      <x:c r="J290" s="16" t="str">
        <x:f>IF(AND(AND(289&lt;='Control Room'!$B$3,'Control Room'!$D$3="Ready"),8&lt;='Control Room'!$B$2),ROUND(MAX(0,'Process'!AN290*'Control Room'!$H$11*INDEX('Control Room'!$B$19:$H$19,1,WEEKDAY($A290,2))*(1+'Control Room'!$D$9)^288*'Process'!AO290),2),"")</x:f>
      </x:c>
      <x:c r="K290" s="16" t="str">
        <x:f>IF(AND(AND(289&lt;='Control Room'!$B$3,'Control Room'!$D$3="Ready"),9&lt;='Control Room'!$B$2),ROUND(MAX(0,'Process'!AS290*'Control Room'!$H$12*INDEX('Control Room'!$B$19:$H$19,1,WEEKDAY($A290,2))*(1+'Control Room'!$D$9)^288*'Process'!AT290),2),"")</x:f>
      </x:c>
      <x:c r="L290" s="16" t="str">
        <x:f>IF(AND(AND(289&lt;='Control Room'!$B$3,'Control Room'!$D$3="Ready"),10&lt;='Control Room'!$B$2),ROUND(MAX(0,'Process'!AX290*'Control Room'!$H$13*INDEX('Control Room'!$B$19:$H$19,1,WEEKDAY($A290,2))*(1+'Control Room'!$D$9)^288*'Process'!AY290),2),"")</x:f>
      </x:c>
      <x:c r="M290" s="16" t="str">
        <x:f>IF(AND(AND(289&lt;='Control Room'!$B$3,'Control Room'!$D$3="Ready"),11&lt;='Control Room'!$B$2),ROUND(MAX(0,'Process'!BC290*'Control Room'!$H$14*INDEX('Control Room'!$B$19:$H$19,1,WEEKDAY($A290,2))*(1+'Control Room'!$D$9)^288*'Process'!BD290),2),"")</x:f>
      </x:c>
      <x:c r="N290" s="16" t="str">
        <x:f>IF(AND(AND(289&lt;='Control Room'!$B$3,'Control Room'!$D$3="Ready"),12&lt;='Control Room'!$B$2),ROUND(MAX(0,'Process'!BH290*'Control Room'!$H$15*INDEX('Control Room'!$B$19:$H$19,1,WEEKDAY($A290,2))*(1+'Control Room'!$D$9)^288*'Process'!BI290),2),"")</x:f>
      </x:c>
    </x:row>
    <x:row r="291" ht="21" customHeight="1">
      <x:c r="A291" s="15" t="str">
        <x:f>IF(AND(290&lt;='Control Room'!$B$3,'Control Room'!$D$3="Ready"),'Process'!A291,"")</x:f>
      </x:c>
      <x:c r="B291" s="16" t="str">
        <x:f>IF(A291="","",SUM(C291:N291))</x:f>
      </x:c>
      <x:c r="C291" s="16" t="str">
        <x:f>IF(AND(AND(290&lt;='Control Room'!$B$3,'Control Room'!$D$3="Ready"),1&lt;='Control Room'!$B$2),ROUND(MAX(0,'Process'!E291*'Control Room'!$H$4*INDEX('Control Room'!$B$19:$H$19,1,WEEKDAY($A291,2))*(1+'Control Room'!$D$9)^289*'Process'!F291),2),"")</x:f>
      </x:c>
      <x:c r="D291" s="16" t="str">
        <x:f>IF(AND(AND(290&lt;='Control Room'!$B$3,'Control Room'!$D$3="Ready"),2&lt;='Control Room'!$B$2),ROUND(MAX(0,'Process'!J291*'Control Room'!$H$5*INDEX('Control Room'!$B$19:$H$19,1,WEEKDAY($A291,2))*(1+'Control Room'!$D$9)^289*'Process'!K291),2),"")</x:f>
      </x:c>
      <x:c r="E291" s="16" t="str">
        <x:f>IF(AND(AND(290&lt;='Control Room'!$B$3,'Control Room'!$D$3="Ready"),3&lt;='Control Room'!$B$2),ROUND(MAX(0,'Process'!O291*'Control Room'!$H$6*INDEX('Control Room'!$B$19:$H$19,1,WEEKDAY($A291,2))*(1+'Control Room'!$D$9)^289*'Process'!P291),2),"")</x:f>
      </x:c>
      <x:c r="F291" s="16" t="str">
        <x:f>IF(AND(AND(290&lt;='Control Room'!$B$3,'Control Room'!$D$3="Ready"),4&lt;='Control Room'!$B$2),ROUND(MAX(0,'Process'!T291*'Control Room'!$H$7*INDEX('Control Room'!$B$19:$H$19,1,WEEKDAY($A291,2))*(1+'Control Room'!$D$9)^289*'Process'!U291),2),"")</x:f>
      </x:c>
      <x:c r="G291" s="16" t="str">
        <x:f>IF(AND(AND(290&lt;='Control Room'!$B$3,'Control Room'!$D$3="Ready"),5&lt;='Control Room'!$B$2),ROUND(MAX(0,'Process'!Y291*'Control Room'!$H$8*INDEX('Control Room'!$B$19:$H$19,1,WEEKDAY($A291,2))*(1+'Control Room'!$D$9)^289*'Process'!Z291),2),"")</x:f>
      </x:c>
      <x:c r="H291" s="16" t="str">
        <x:f>IF(AND(AND(290&lt;='Control Room'!$B$3,'Control Room'!$D$3="Ready"),6&lt;='Control Room'!$B$2),ROUND(MAX(0,'Process'!AD291*'Control Room'!$H$9*INDEX('Control Room'!$B$19:$H$19,1,WEEKDAY($A291,2))*(1+'Control Room'!$D$9)^289*'Process'!AE291),2),"")</x:f>
      </x:c>
      <x:c r="I291" s="16" t="str">
        <x:f>IF(AND(AND(290&lt;='Control Room'!$B$3,'Control Room'!$D$3="Ready"),7&lt;='Control Room'!$B$2),ROUND(MAX(0,'Process'!AI291*'Control Room'!$H$10*INDEX('Control Room'!$B$19:$H$19,1,WEEKDAY($A291,2))*(1+'Control Room'!$D$9)^289*'Process'!AJ291),2),"")</x:f>
      </x:c>
      <x:c r="J291" s="16" t="str">
        <x:f>IF(AND(AND(290&lt;='Control Room'!$B$3,'Control Room'!$D$3="Ready"),8&lt;='Control Room'!$B$2),ROUND(MAX(0,'Process'!AN291*'Control Room'!$H$11*INDEX('Control Room'!$B$19:$H$19,1,WEEKDAY($A291,2))*(1+'Control Room'!$D$9)^289*'Process'!AO291),2),"")</x:f>
      </x:c>
      <x:c r="K291" s="16" t="str">
        <x:f>IF(AND(AND(290&lt;='Control Room'!$B$3,'Control Room'!$D$3="Ready"),9&lt;='Control Room'!$B$2),ROUND(MAX(0,'Process'!AS291*'Control Room'!$H$12*INDEX('Control Room'!$B$19:$H$19,1,WEEKDAY($A291,2))*(1+'Control Room'!$D$9)^289*'Process'!AT291),2),"")</x:f>
      </x:c>
      <x:c r="L291" s="16" t="str">
        <x:f>IF(AND(AND(290&lt;='Control Room'!$B$3,'Control Room'!$D$3="Ready"),10&lt;='Control Room'!$B$2),ROUND(MAX(0,'Process'!AX291*'Control Room'!$H$13*INDEX('Control Room'!$B$19:$H$19,1,WEEKDAY($A291,2))*(1+'Control Room'!$D$9)^289*'Process'!AY291),2),"")</x:f>
      </x:c>
      <x:c r="M291" s="16" t="str">
        <x:f>IF(AND(AND(290&lt;='Control Room'!$B$3,'Control Room'!$D$3="Ready"),11&lt;='Control Room'!$B$2),ROUND(MAX(0,'Process'!BC291*'Control Room'!$H$14*INDEX('Control Room'!$B$19:$H$19,1,WEEKDAY($A291,2))*(1+'Control Room'!$D$9)^289*'Process'!BD291),2),"")</x:f>
      </x:c>
      <x:c r="N291" s="16" t="str">
        <x:f>IF(AND(AND(290&lt;='Control Room'!$B$3,'Control Room'!$D$3="Ready"),12&lt;='Control Room'!$B$2),ROUND(MAX(0,'Process'!BH291*'Control Room'!$H$15*INDEX('Control Room'!$B$19:$H$19,1,WEEKDAY($A291,2))*(1+'Control Room'!$D$9)^289*'Process'!BI291),2),"")</x:f>
      </x:c>
    </x:row>
    <x:row r="292" ht="21" customHeight="1">
      <x:c r="A292" s="15" t="str">
        <x:f>IF(AND(291&lt;='Control Room'!$B$3,'Control Room'!$D$3="Ready"),'Process'!A292,"")</x:f>
      </x:c>
      <x:c r="B292" s="16" t="str">
        <x:f>IF(A292="","",SUM(C292:N292))</x:f>
      </x:c>
      <x:c r="C292" s="16" t="str">
        <x:f>IF(AND(AND(291&lt;='Control Room'!$B$3,'Control Room'!$D$3="Ready"),1&lt;='Control Room'!$B$2),ROUND(MAX(0,'Process'!E292*'Control Room'!$H$4*INDEX('Control Room'!$B$19:$H$19,1,WEEKDAY($A292,2))*(1+'Control Room'!$D$9)^290*'Process'!F292),2),"")</x:f>
      </x:c>
      <x:c r="D292" s="16" t="str">
        <x:f>IF(AND(AND(291&lt;='Control Room'!$B$3,'Control Room'!$D$3="Ready"),2&lt;='Control Room'!$B$2),ROUND(MAX(0,'Process'!J292*'Control Room'!$H$5*INDEX('Control Room'!$B$19:$H$19,1,WEEKDAY($A292,2))*(1+'Control Room'!$D$9)^290*'Process'!K292),2),"")</x:f>
      </x:c>
      <x:c r="E292" s="16" t="str">
        <x:f>IF(AND(AND(291&lt;='Control Room'!$B$3,'Control Room'!$D$3="Ready"),3&lt;='Control Room'!$B$2),ROUND(MAX(0,'Process'!O292*'Control Room'!$H$6*INDEX('Control Room'!$B$19:$H$19,1,WEEKDAY($A292,2))*(1+'Control Room'!$D$9)^290*'Process'!P292),2),"")</x:f>
      </x:c>
      <x:c r="F292" s="16" t="str">
        <x:f>IF(AND(AND(291&lt;='Control Room'!$B$3,'Control Room'!$D$3="Ready"),4&lt;='Control Room'!$B$2),ROUND(MAX(0,'Process'!T292*'Control Room'!$H$7*INDEX('Control Room'!$B$19:$H$19,1,WEEKDAY($A292,2))*(1+'Control Room'!$D$9)^290*'Process'!U292),2),"")</x:f>
      </x:c>
      <x:c r="G292" s="16" t="str">
        <x:f>IF(AND(AND(291&lt;='Control Room'!$B$3,'Control Room'!$D$3="Ready"),5&lt;='Control Room'!$B$2),ROUND(MAX(0,'Process'!Y292*'Control Room'!$H$8*INDEX('Control Room'!$B$19:$H$19,1,WEEKDAY($A292,2))*(1+'Control Room'!$D$9)^290*'Process'!Z292),2),"")</x:f>
      </x:c>
      <x:c r="H292" s="16" t="str">
        <x:f>IF(AND(AND(291&lt;='Control Room'!$B$3,'Control Room'!$D$3="Ready"),6&lt;='Control Room'!$B$2),ROUND(MAX(0,'Process'!AD292*'Control Room'!$H$9*INDEX('Control Room'!$B$19:$H$19,1,WEEKDAY($A292,2))*(1+'Control Room'!$D$9)^290*'Process'!AE292),2),"")</x:f>
      </x:c>
      <x:c r="I292" s="16" t="str">
        <x:f>IF(AND(AND(291&lt;='Control Room'!$B$3,'Control Room'!$D$3="Ready"),7&lt;='Control Room'!$B$2),ROUND(MAX(0,'Process'!AI292*'Control Room'!$H$10*INDEX('Control Room'!$B$19:$H$19,1,WEEKDAY($A292,2))*(1+'Control Room'!$D$9)^290*'Process'!AJ292),2),"")</x:f>
      </x:c>
      <x:c r="J292" s="16" t="str">
        <x:f>IF(AND(AND(291&lt;='Control Room'!$B$3,'Control Room'!$D$3="Ready"),8&lt;='Control Room'!$B$2),ROUND(MAX(0,'Process'!AN292*'Control Room'!$H$11*INDEX('Control Room'!$B$19:$H$19,1,WEEKDAY($A292,2))*(1+'Control Room'!$D$9)^290*'Process'!AO292),2),"")</x:f>
      </x:c>
      <x:c r="K292" s="16" t="str">
        <x:f>IF(AND(AND(291&lt;='Control Room'!$B$3,'Control Room'!$D$3="Ready"),9&lt;='Control Room'!$B$2),ROUND(MAX(0,'Process'!AS292*'Control Room'!$H$12*INDEX('Control Room'!$B$19:$H$19,1,WEEKDAY($A292,2))*(1+'Control Room'!$D$9)^290*'Process'!AT292),2),"")</x:f>
      </x:c>
      <x:c r="L292" s="16" t="str">
        <x:f>IF(AND(AND(291&lt;='Control Room'!$B$3,'Control Room'!$D$3="Ready"),10&lt;='Control Room'!$B$2),ROUND(MAX(0,'Process'!AX292*'Control Room'!$H$13*INDEX('Control Room'!$B$19:$H$19,1,WEEKDAY($A292,2))*(1+'Control Room'!$D$9)^290*'Process'!AY292),2),"")</x:f>
      </x:c>
      <x:c r="M292" s="16" t="str">
        <x:f>IF(AND(AND(291&lt;='Control Room'!$B$3,'Control Room'!$D$3="Ready"),11&lt;='Control Room'!$B$2),ROUND(MAX(0,'Process'!BC292*'Control Room'!$H$14*INDEX('Control Room'!$B$19:$H$19,1,WEEKDAY($A292,2))*(1+'Control Room'!$D$9)^290*'Process'!BD292),2),"")</x:f>
      </x:c>
      <x:c r="N292" s="16" t="str">
        <x:f>IF(AND(AND(291&lt;='Control Room'!$B$3,'Control Room'!$D$3="Ready"),12&lt;='Control Room'!$B$2),ROUND(MAX(0,'Process'!BH292*'Control Room'!$H$15*INDEX('Control Room'!$B$19:$H$19,1,WEEKDAY($A292,2))*(1+'Control Room'!$D$9)^290*'Process'!BI292),2),"")</x:f>
      </x:c>
    </x:row>
    <x:row r="293" ht="21" customHeight="1">
      <x:c r="A293" s="15" t="str">
        <x:f>IF(AND(292&lt;='Control Room'!$B$3,'Control Room'!$D$3="Ready"),'Process'!A293,"")</x:f>
      </x:c>
      <x:c r="B293" s="16" t="str">
        <x:f>IF(A293="","",SUM(C293:N293))</x:f>
      </x:c>
      <x:c r="C293" s="16" t="str">
        <x:f>IF(AND(AND(292&lt;='Control Room'!$B$3,'Control Room'!$D$3="Ready"),1&lt;='Control Room'!$B$2),ROUND(MAX(0,'Process'!E293*'Control Room'!$H$4*INDEX('Control Room'!$B$19:$H$19,1,WEEKDAY($A293,2))*(1+'Control Room'!$D$9)^291*'Process'!F293),2),"")</x:f>
      </x:c>
      <x:c r="D293" s="16" t="str">
        <x:f>IF(AND(AND(292&lt;='Control Room'!$B$3,'Control Room'!$D$3="Ready"),2&lt;='Control Room'!$B$2),ROUND(MAX(0,'Process'!J293*'Control Room'!$H$5*INDEX('Control Room'!$B$19:$H$19,1,WEEKDAY($A293,2))*(1+'Control Room'!$D$9)^291*'Process'!K293),2),"")</x:f>
      </x:c>
      <x:c r="E293" s="16" t="str">
        <x:f>IF(AND(AND(292&lt;='Control Room'!$B$3,'Control Room'!$D$3="Ready"),3&lt;='Control Room'!$B$2),ROUND(MAX(0,'Process'!O293*'Control Room'!$H$6*INDEX('Control Room'!$B$19:$H$19,1,WEEKDAY($A293,2))*(1+'Control Room'!$D$9)^291*'Process'!P293),2),"")</x:f>
      </x:c>
      <x:c r="F293" s="16" t="str">
        <x:f>IF(AND(AND(292&lt;='Control Room'!$B$3,'Control Room'!$D$3="Ready"),4&lt;='Control Room'!$B$2),ROUND(MAX(0,'Process'!T293*'Control Room'!$H$7*INDEX('Control Room'!$B$19:$H$19,1,WEEKDAY($A293,2))*(1+'Control Room'!$D$9)^291*'Process'!U293),2),"")</x:f>
      </x:c>
      <x:c r="G293" s="16" t="str">
        <x:f>IF(AND(AND(292&lt;='Control Room'!$B$3,'Control Room'!$D$3="Ready"),5&lt;='Control Room'!$B$2),ROUND(MAX(0,'Process'!Y293*'Control Room'!$H$8*INDEX('Control Room'!$B$19:$H$19,1,WEEKDAY($A293,2))*(1+'Control Room'!$D$9)^291*'Process'!Z293),2),"")</x:f>
      </x:c>
      <x:c r="H293" s="16" t="str">
        <x:f>IF(AND(AND(292&lt;='Control Room'!$B$3,'Control Room'!$D$3="Ready"),6&lt;='Control Room'!$B$2),ROUND(MAX(0,'Process'!AD293*'Control Room'!$H$9*INDEX('Control Room'!$B$19:$H$19,1,WEEKDAY($A293,2))*(1+'Control Room'!$D$9)^291*'Process'!AE293),2),"")</x:f>
      </x:c>
      <x:c r="I293" s="16" t="str">
        <x:f>IF(AND(AND(292&lt;='Control Room'!$B$3,'Control Room'!$D$3="Ready"),7&lt;='Control Room'!$B$2),ROUND(MAX(0,'Process'!AI293*'Control Room'!$H$10*INDEX('Control Room'!$B$19:$H$19,1,WEEKDAY($A293,2))*(1+'Control Room'!$D$9)^291*'Process'!AJ293),2),"")</x:f>
      </x:c>
      <x:c r="J293" s="16" t="str">
        <x:f>IF(AND(AND(292&lt;='Control Room'!$B$3,'Control Room'!$D$3="Ready"),8&lt;='Control Room'!$B$2),ROUND(MAX(0,'Process'!AN293*'Control Room'!$H$11*INDEX('Control Room'!$B$19:$H$19,1,WEEKDAY($A293,2))*(1+'Control Room'!$D$9)^291*'Process'!AO293),2),"")</x:f>
      </x:c>
      <x:c r="K293" s="16" t="str">
        <x:f>IF(AND(AND(292&lt;='Control Room'!$B$3,'Control Room'!$D$3="Ready"),9&lt;='Control Room'!$B$2),ROUND(MAX(0,'Process'!AS293*'Control Room'!$H$12*INDEX('Control Room'!$B$19:$H$19,1,WEEKDAY($A293,2))*(1+'Control Room'!$D$9)^291*'Process'!AT293),2),"")</x:f>
      </x:c>
      <x:c r="L293" s="16" t="str">
        <x:f>IF(AND(AND(292&lt;='Control Room'!$B$3,'Control Room'!$D$3="Ready"),10&lt;='Control Room'!$B$2),ROUND(MAX(0,'Process'!AX293*'Control Room'!$H$13*INDEX('Control Room'!$B$19:$H$19,1,WEEKDAY($A293,2))*(1+'Control Room'!$D$9)^291*'Process'!AY293),2),"")</x:f>
      </x:c>
      <x:c r="M293" s="16" t="str">
        <x:f>IF(AND(AND(292&lt;='Control Room'!$B$3,'Control Room'!$D$3="Ready"),11&lt;='Control Room'!$B$2),ROUND(MAX(0,'Process'!BC293*'Control Room'!$H$14*INDEX('Control Room'!$B$19:$H$19,1,WEEKDAY($A293,2))*(1+'Control Room'!$D$9)^291*'Process'!BD293),2),"")</x:f>
      </x:c>
      <x:c r="N293" s="16" t="str">
        <x:f>IF(AND(AND(292&lt;='Control Room'!$B$3,'Control Room'!$D$3="Ready"),12&lt;='Control Room'!$B$2),ROUND(MAX(0,'Process'!BH293*'Control Room'!$H$15*INDEX('Control Room'!$B$19:$H$19,1,WEEKDAY($A293,2))*(1+'Control Room'!$D$9)^291*'Process'!BI293),2),"")</x:f>
      </x:c>
    </x:row>
    <x:row r="294" ht="21" customHeight="1">
      <x:c r="A294" s="15" t="str">
        <x:f>IF(AND(293&lt;='Control Room'!$B$3,'Control Room'!$D$3="Ready"),'Process'!A294,"")</x:f>
      </x:c>
      <x:c r="B294" s="16" t="str">
        <x:f>IF(A294="","",SUM(C294:N294))</x:f>
      </x:c>
      <x:c r="C294" s="16" t="str">
        <x:f>IF(AND(AND(293&lt;='Control Room'!$B$3,'Control Room'!$D$3="Ready"),1&lt;='Control Room'!$B$2),ROUND(MAX(0,'Process'!E294*'Control Room'!$H$4*INDEX('Control Room'!$B$19:$H$19,1,WEEKDAY($A294,2))*(1+'Control Room'!$D$9)^292*'Process'!F294),2),"")</x:f>
      </x:c>
      <x:c r="D294" s="16" t="str">
        <x:f>IF(AND(AND(293&lt;='Control Room'!$B$3,'Control Room'!$D$3="Ready"),2&lt;='Control Room'!$B$2),ROUND(MAX(0,'Process'!J294*'Control Room'!$H$5*INDEX('Control Room'!$B$19:$H$19,1,WEEKDAY($A294,2))*(1+'Control Room'!$D$9)^292*'Process'!K294),2),"")</x:f>
      </x:c>
      <x:c r="E294" s="16" t="str">
        <x:f>IF(AND(AND(293&lt;='Control Room'!$B$3,'Control Room'!$D$3="Ready"),3&lt;='Control Room'!$B$2),ROUND(MAX(0,'Process'!O294*'Control Room'!$H$6*INDEX('Control Room'!$B$19:$H$19,1,WEEKDAY($A294,2))*(1+'Control Room'!$D$9)^292*'Process'!P294),2),"")</x:f>
      </x:c>
      <x:c r="F294" s="16" t="str">
        <x:f>IF(AND(AND(293&lt;='Control Room'!$B$3,'Control Room'!$D$3="Ready"),4&lt;='Control Room'!$B$2),ROUND(MAX(0,'Process'!T294*'Control Room'!$H$7*INDEX('Control Room'!$B$19:$H$19,1,WEEKDAY($A294,2))*(1+'Control Room'!$D$9)^292*'Process'!U294),2),"")</x:f>
      </x:c>
      <x:c r="G294" s="16" t="str">
        <x:f>IF(AND(AND(293&lt;='Control Room'!$B$3,'Control Room'!$D$3="Ready"),5&lt;='Control Room'!$B$2),ROUND(MAX(0,'Process'!Y294*'Control Room'!$H$8*INDEX('Control Room'!$B$19:$H$19,1,WEEKDAY($A294,2))*(1+'Control Room'!$D$9)^292*'Process'!Z294),2),"")</x:f>
      </x:c>
      <x:c r="H294" s="16" t="str">
        <x:f>IF(AND(AND(293&lt;='Control Room'!$B$3,'Control Room'!$D$3="Ready"),6&lt;='Control Room'!$B$2),ROUND(MAX(0,'Process'!AD294*'Control Room'!$H$9*INDEX('Control Room'!$B$19:$H$19,1,WEEKDAY($A294,2))*(1+'Control Room'!$D$9)^292*'Process'!AE294),2),"")</x:f>
      </x:c>
      <x:c r="I294" s="16" t="str">
        <x:f>IF(AND(AND(293&lt;='Control Room'!$B$3,'Control Room'!$D$3="Ready"),7&lt;='Control Room'!$B$2),ROUND(MAX(0,'Process'!AI294*'Control Room'!$H$10*INDEX('Control Room'!$B$19:$H$19,1,WEEKDAY($A294,2))*(1+'Control Room'!$D$9)^292*'Process'!AJ294),2),"")</x:f>
      </x:c>
      <x:c r="J294" s="16" t="str">
        <x:f>IF(AND(AND(293&lt;='Control Room'!$B$3,'Control Room'!$D$3="Ready"),8&lt;='Control Room'!$B$2),ROUND(MAX(0,'Process'!AN294*'Control Room'!$H$11*INDEX('Control Room'!$B$19:$H$19,1,WEEKDAY($A294,2))*(1+'Control Room'!$D$9)^292*'Process'!AO294),2),"")</x:f>
      </x:c>
      <x:c r="K294" s="16" t="str">
        <x:f>IF(AND(AND(293&lt;='Control Room'!$B$3,'Control Room'!$D$3="Ready"),9&lt;='Control Room'!$B$2),ROUND(MAX(0,'Process'!AS294*'Control Room'!$H$12*INDEX('Control Room'!$B$19:$H$19,1,WEEKDAY($A294,2))*(1+'Control Room'!$D$9)^292*'Process'!AT294),2),"")</x:f>
      </x:c>
      <x:c r="L294" s="16" t="str">
        <x:f>IF(AND(AND(293&lt;='Control Room'!$B$3,'Control Room'!$D$3="Ready"),10&lt;='Control Room'!$B$2),ROUND(MAX(0,'Process'!AX294*'Control Room'!$H$13*INDEX('Control Room'!$B$19:$H$19,1,WEEKDAY($A294,2))*(1+'Control Room'!$D$9)^292*'Process'!AY294),2),"")</x:f>
      </x:c>
      <x:c r="M294" s="16" t="str">
        <x:f>IF(AND(AND(293&lt;='Control Room'!$B$3,'Control Room'!$D$3="Ready"),11&lt;='Control Room'!$B$2),ROUND(MAX(0,'Process'!BC294*'Control Room'!$H$14*INDEX('Control Room'!$B$19:$H$19,1,WEEKDAY($A294,2))*(1+'Control Room'!$D$9)^292*'Process'!BD294),2),"")</x:f>
      </x:c>
      <x:c r="N294" s="16" t="str">
        <x:f>IF(AND(AND(293&lt;='Control Room'!$B$3,'Control Room'!$D$3="Ready"),12&lt;='Control Room'!$B$2),ROUND(MAX(0,'Process'!BH294*'Control Room'!$H$15*INDEX('Control Room'!$B$19:$H$19,1,WEEKDAY($A294,2))*(1+'Control Room'!$D$9)^292*'Process'!BI294),2),"")</x:f>
      </x:c>
    </x:row>
    <x:row r="295" ht="21" customHeight="1">
      <x:c r="A295" s="15" t="str">
        <x:f>IF(AND(294&lt;='Control Room'!$B$3,'Control Room'!$D$3="Ready"),'Process'!A295,"")</x:f>
      </x:c>
      <x:c r="B295" s="16" t="str">
        <x:f>IF(A295="","",SUM(C295:N295))</x:f>
      </x:c>
      <x:c r="C295" s="16" t="str">
        <x:f>IF(AND(AND(294&lt;='Control Room'!$B$3,'Control Room'!$D$3="Ready"),1&lt;='Control Room'!$B$2),ROUND(MAX(0,'Process'!E295*'Control Room'!$H$4*INDEX('Control Room'!$B$19:$H$19,1,WEEKDAY($A295,2))*(1+'Control Room'!$D$9)^293*'Process'!F295),2),"")</x:f>
      </x:c>
      <x:c r="D295" s="16" t="str">
        <x:f>IF(AND(AND(294&lt;='Control Room'!$B$3,'Control Room'!$D$3="Ready"),2&lt;='Control Room'!$B$2),ROUND(MAX(0,'Process'!J295*'Control Room'!$H$5*INDEX('Control Room'!$B$19:$H$19,1,WEEKDAY($A295,2))*(1+'Control Room'!$D$9)^293*'Process'!K295),2),"")</x:f>
      </x:c>
      <x:c r="E295" s="16" t="str">
        <x:f>IF(AND(AND(294&lt;='Control Room'!$B$3,'Control Room'!$D$3="Ready"),3&lt;='Control Room'!$B$2),ROUND(MAX(0,'Process'!O295*'Control Room'!$H$6*INDEX('Control Room'!$B$19:$H$19,1,WEEKDAY($A295,2))*(1+'Control Room'!$D$9)^293*'Process'!P295),2),"")</x:f>
      </x:c>
      <x:c r="F295" s="16" t="str">
        <x:f>IF(AND(AND(294&lt;='Control Room'!$B$3,'Control Room'!$D$3="Ready"),4&lt;='Control Room'!$B$2),ROUND(MAX(0,'Process'!T295*'Control Room'!$H$7*INDEX('Control Room'!$B$19:$H$19,1,WEEKDAY($A295,2))*(1+'Control Room'!$D$9)^293*'Process'!U295),2),"")</x:f>
      </x:c>
      <x:c r="G295" s="16" t="str">
        <x:f>IF(AND(AND(294&lt;='Control Room'!$B$3,'Control Room'!$D$3="Ready"),5&lt;='Control Room'!$B$2),ROUND(MAX(0,'Process'!Y295*'Control Room'!$H$8*INDEX('Control Room'!$B$19:$H$19,1,WEEKDAY($A295,2))*(1+'Control Room'!$D$9)^293*'Process'!Z295),2),"")</x:f>
      </x:c>
      <x:c r="H295" s="16" t="str">
        <x:f>IF(AND(AND(294&lt;='Control Room'!$B$3,'Control Room'!$D$3="Ready"),6&lt;='Control Room'!$B$2),ROUND(MAX(0,'Process'!AD295*'Control Room'!$H$9*INDEX('Control Room'!$B$19:$H$19,1,WEEKDAY($A295,2))*(1+'Control Room'!$D$9)^293*'Process'!AE295),2),"")</x:f>
      </x:c>
      <x:c r="I295" s="16" t="str">
        <x:f>IF(AND(AND(294&lt;='Control Room'!$B$3,'Control Room'!$D$3="Ready"),7&lt;='Control Room'!$B$2),ROUND(MAX(0,'Process'!AI295*'Control Room'!$H$10*INDEX('Control Room'!$B$19:$H$19,1,WEEKDAY($A295,2))*(1+'Control Room'!$D$9)^293*'Process'!AJ295),2),"")</x:f>
      </x:c>
      <x:c r="J295" s="16" t="str">
        <x:f>IF(AND(AND(294&lt;='Control Room'!$B$3,'Control Room'!$D$3="Ready"),8&lt;='Control Room'!$B$2),ROUND(MAX(0,'Process'!AN295*'Control Room'!$H$11*INDEX('Control Room'!$B$19:$H$19,1,WEEKDAY($A295,2))*(1+'Control Room'!$D$9)^293*'Process'!AO295),2),"")</x:f>
      </x:c>
      <x:c r="K295" s="16" t="str">
        <x:f>IF(AND(AND(294&lt;='Control Room'!$B$3,'Control Room'!$D$3="Ready"),9&lt;='Control Room'!$B$2),ROUND(MAX(0,'Process'!AS295*'Control Room'!$H$12*INDEX('Control Room'!$B$19:$H$19,1,WEEKDAY($A295,2))*(1+'Control Room'!$D$9)^293*'Process'!AT295),2),"")</x:f>
      </x:c>
      <x:c r="L295" s="16" t="str">
        <x:f>IF(AND(AND(294&lt;='Control Room'!$B$3,'Control Room'!$D$3="Ready"),10&lt;='Control Room'!$B$2),ROUND(MAX(0,'Process'!AX295*'Control Room'!$H$13*INDEX('Control Room'!$B$19:$H$19,1,WEEKDAY($A295,2))*(1+'Control Room'!$D$9)^293*'Process'!AY295),2),"")</x:f>
      </x:c>
      <x:c r="M295" s="16" t="str">
        <x:f>IF(AND(AND(294&lt;='Control Room'!$B$3,'Control Room'!$D$3="Ready"),11&lt;='Control Room'!$B$2),ROUND(MAX(0,'Process'!BC295*'Control Room'!$H$14*INDEX('Control Room'!$B$19:$H$19,1,WEEKDAY($A295,2))*(1+'Control Room'!$D$9)^293*'Process'!BD295),2),"")</x:f>
      </x:c>
      <x:c r="N295" s="16" t="str">
        <x:f>IF(AND(AND(294&lt;='Control Room'!$B$3,'Control Room'!$D$3="Ready"),12&lt;='Control Room'!$B$2),ROUND(MAX(0,'Process'!BH295*'Control Room'!$H$15*INDEX('Control Room'!$B$19:$H$19,1,WEEKDAY($A295,2))*(1+'Control Room'!$D$9)^293*'Process'!BI295),2),"")</x:f>
      </x:c>
    </x:row>
    <x:row r="296" ht="21" customHeight="1">
      <x:c r="A296" s="15" t="str">
        <x:f>IF(AND(295&lt;='Control Room'!$B$3,'Control Room'!$D$3="Ready"),'Process'!A296,"")</x:f>
      </x:c>
      <x:c r="B296" s="16" t="str">
        <x:f>IF(A296="","",SUM(C296:N296))</x:f>
      </x:c>
      <x:c r="C296" s="16" t="str">
        <x:f>IF(AND(AND(295&lt;='Control Room'!$B$3,'Control Room'!$D$3="Ready"),1&lt;='Control Room'!$B$2),ROUND(MAX(0,'Process'!E296*'Control Room'!$H$4*INDEX('Control Room'!$B$19:$H$19,1,WEEKDAY($A296,2))*(1+'Control Room'!$D$9)^294*'Process'!F296),2),"")</x:f>
      </x:c>
      <x:c r="D296" s="16" t="str">
        <x:f>IF(AND(AND(295&lt;='Control Room'!$B$3,'Control Room'!$D$3="Ready"),2&lt;='Control Room'!$B$2),ROUND(MAX(0,'Process'!J296*'Control Room'!$H$5*INDEX('Control Room'!$B$19:$H$19,1,WEEKDAY($A296,2))*(1+'Control Room'!$D$9)^294*'Process'!K296),2),"")</x:f>
      </x:c>
      <x:c r="E296" s="16" t="str">
        <x:f>IF(AND(AND(295&lt;='Control Room'!$B$3,'Control Room'!$D$3="Ready"),3&lt;='Control Room'!$B$2),ROUND(MAX(0,'Process'!O296*'Control Room'!$H$6*INDEX('Control Room'!$B$19:$H$19,1,WEEKDAY($A296,2))*(1+'Control Room'!$D$9)^294*'Process'!P296),2),"")</x:f>
      </x:c>
      <x:c r="F296" s="16" t="str">
        <x:f>IF(AND(AND(295&lt;='Control Room'!$B$3,'Control Room'!$D$3="Ready"),4&lt;='Control Room'!$B$2),ROUND(MAX(0,'Process'!T296*'Control Room'!$H$7*INDEX('Control Room'!$B$19:$H$19,1,WEEKDAY($A296,2))*(1+'Control Room'!$D$9)^294*'Process'!U296),2),"")</x:f>
      </x:c>
      <x:c r="G296" s="16" t="str">
        <x:f>IF(AND(AND(295&lt;='Control Room'!$B$3,'Control Room'!$D$3="Ready"),5&lt;='Control Room'!$B$2),ROUND(MAX(0,'Process'!Y296*'Control Room'!$H$8*INDEX('Control Room'!$B$19:$H$19,1,WEEKDAY($A296,2))*(1+'Control Room'!$D$9)^294*'Process'!Z296),2),"")</x:f>
      </x:c>
      <x:c r="H296" s="16" t="str">
        <x:f>IF(AND(AND(295&lt;='Control Room'!$B$3,'Control Room'!$D$3="Ready"),6&lt;='Control Room'!$B$2),ROUND(MAX(0,'Process'!AD296*'Control Room'!$H$9*INDEX('Control Room'!$B$19:$H$19,1,WEEKDAY($A296,2))*(1+'Control Room'!$D$9)^294*'Process'!AE296),2),"")</x:f>
      </x:c>
      <x:c r="I296" s="16" t="str">
        <x:f>IF(AND(AND(295&lt;='Control Room'!$B$3,'Control Room'!$D$3="Ready"),7&lt;='Control Room'!$B$2),ROUND(MAX(0,'Process'!AI296*'Control Room'!$H$10*INDEX('Control Room'!$B$19:$H$19,1,WEEKDAY($A296,2))*(1+'Control Room'!$D$9)^294*'Process'!AJ296),2),"")</x:f>
      </x:c>
      <x:c r="J296" s="16" t="str">
        <x:f>IF(AND(AND(295&lt;='Control Room'!$B$3,'Control Room'!$D$3="Ready"),8&lt;='Control Room'!$B$2),ROUND(MAX(0,'Process'!AN296*'Control Room'!$H$11*INDEX('Control Room'!$B$19:$H$19,1,WEEKDAY($A296,2))*(1+'Control Room'!$D$9)^294*'Process'!AO296),2),"")</x:f>
      </x:c>
      <x:c r="K296" s="16" t="str">
        <x:f>IF(AND(AND(295&lt;='Control Room'!$B$3,'Control Room'!$D$3="Ready"),9&lt;='Control Room'!$B$2),ROUND(MAX(0,'Process'!AS296*'Control Room'!$H$12*INDEX('Control Room'!$B$19:$H$19,1,WEEKDAY($A296,2))*(1+'Control Room'!$D$9)^294*'Process'!AT296),2),"")</x:f>
      </x:c>
      <x:c r="L296" s="16" t="str">
        <x:f>IF(AND(AND(295&lt;='Control Room'!$B$3,'Control Room'!$D$3="Ready"),10&lt;='Control Room'!$B$2),ROUND(MAX(0,'Process'!AX296*'Control Room'!$H$13*INDEX('Control Room'!$B$19:$H$19,1,WEEKDAY($A296,2))*(1+'Control Room'!$D$9)^294*'Process'!AY296),2),"")</x:f>
      </x:c>
      <x:c r="M296" s="16" t="str">
        <x:f>IF(AND(AND(295&lt;='Control Room'!$B$3,'Control Room'!$D$3="Ready"),11&lt;='Control Room'!$B$2),ROUND(MAX(0,'Process'!BC296*'Control Room'!$H$14*INDEX('Control Room'!$B$19:$H$19,1,WEEKDAY($A296,2))*(1+'Control Room'!$D$9)^294*'Process'!BD296),2),"")</x:f>
      </x:c>
      <x:c r="N296" s="16" t="str">
        <x:f>IF(AND(AND(295&lt;='Control Room'!$B$3,'Control Room'!$D$3="Ready"),12&lt;='Control Room'!$B$2),ROUND(MAX(0,'Process'!BH296*'Control Room'!$H$15*INDEX('Control Room'!$B$19:$H$19,1,WEEKDAY($A296,2))*(1+'Control Room'!$D$9)^294*'Process'!BI296),2),"")</x:f>
      </x:c>
    </x:row>
    <x:row r="297" ht="21" customHeight="1">
      <x:c r="A297" s="15" t="str">
        <x:f>IF(AND(296&lt;='Control Room'!$B$3,'Control Room'!$D$3="Ready"),'Process'!A297,"")</x:f>
      </x:c>
      <x:c r="B297" s="16" t="str">
        <x:f>IF(A297="","",SUM(C297:N297))</x:f>
      </x:c>
      <x:c r="C297" s="16" t="str">
        <x:f>IF(AND(AND(296&lt;='Control Room'!$B$3,'Control Room'!$D$3="Ready"),1&lt;='Control Room'!$B$2),ROUND(MAX(0,'Process'!E297*'Control Room'!$H$4*INDEX('Control Room'!$B$19:$H$19,1,WEEKDAY($A297,2))*(1+'Control Room'!$D$9)^295*'Process'!F297),2),"")</x:f>
      </x:c>
      <x:c r="D297" s="16" t="str">
        <x:f>IF(AND(AND(296&lt;='Control Room'!$B$3,'Control Room'!$D$3="Ready"),2&lt;='Control Room'!$B$2),ROUND(MAX(0,'Process'!J297*'Control Room'!$H$5*INDEX('Control Room'!$B$19:$H$19,1,WEEKDAY($A297,2))*(1+'Control Room'!$D$9)^295*'Process'!K297),2),"")</x:f>
      </x:c>
      <x:c r="E297" s="16" t="str">
        <x:f>IF(AND(AND(296&lt;='Control Room'!$B$3,'Control Room'!$D$3="Ready"),3&lt;='Control Room'!$B$2),ROUND(MAX(0,'Process'!O297*'Control Room'!$H$6*INDEX('Control Room'!$B$19:$H$19,1,WEEKDAY($A297,2))*(1+'Control Room'!$D$9)^295*'Process'!P297),2),"")</x:f>
      </x:c>
      <x:c r="F297" s="16" t="str">
        <x:f>IF(AND(AND(296&lt;='Control Room'!$B$3,'Control Room'!$D$3="Ready"),4&lt;='Control Room'!$B$2),ROUND(MAX(0,'Process'!T297*'Control Room'!$H$7*INDEX('Control Room'!$B$19:$H$19,1,WEEKDAY($A297,2))*(1+'Control Room'!$D$9)^295*'Process'!U297),2),"")</x:f>
      </x:c>
      <x:c r="G297" s="16" t="str">
        <x:f>IF(AND(AND(296&lt;='Control Room'!$B$3,'Control Room'!$D$3="Ready"),5&lt;='Control Room'!$B$2),ROUND(MAX(0,'Process'!Y297*'Control Room'!$H$8*INDEX('Control Room'!$B$19:$H$19,1,WEEKDAY($A297,2))*(1+'Control Room'!$D$9)^295*'Process'!Z297),2),"")</x:f>
      </x:c>
      <x:c r="H297" s="16" t="str">
        <x:f>IF(AND(AND(296&lt;='Control Room'!$B$3,'Control Room'!$D$3="Ready"),6&lt;='Control Room'!$B$2),ROUND(MAX(0,'Process'!AD297*'Control Room'!$H$9*INDEX('Control Room'!$B$19:$H$19,1,WEEKDAY($A297,2))*(1+'Control Room'!$D$9)^295*'Process'!AE297),2),"")</x:f>
      </x:c>
      <x:c r="I297" s="16" t="str">
        <x:f>IF(AND(AND(296&lt;='Control Room'!$B$3,'Control Room'!$D$3="Ready"),7&lt;='Control Room'!$B$2),ROUND(MAX(0,'Process'!AI297*'Control Room'!$H$10*INDEX('Control Room'!$B$19:$H$19,1,WEEKDAY($A297,2))*(1+'Control Room'!$D$9)^295*'Process'!AJ297),2),"")</x:f>
      </x:c>
      <x:c r="J297" s="16" t="str">
        <x:f>IF(AND(AND(296&lt;='Control Room'!$B$3,'Control Room'!$D$3="Ready"),8&lt;='Control Room'!$B$2),ROUND(MAX(0,'Process'!AN297*'Control Room'!$H$11*INDEX('Control Room'!$B$19:$H$19,1,WEEKDAY($A297,2))*(1+'Control Room'!$D$9)^295*'Process'!AO297),2),"")</x:f>
      </x:c>
      <x:c r="K297" s="16" t="str">
        <x:f>IF(AND(AND(296&lt;='Control Room'!$B$3,'Control Room'!$D$3="Ready"),9&lt;='Control Room'!$B$2),ROUND(MAX(0,'Process'!AS297*'Control Room'!$H$12*INDEX('Control Room'!$B$19:$H$19,1,WEEKDAY($A297,2))*(1+'Control Room'!$D$9)^295*'Process'!AT297),2),"")</x:f>
      </x:c>
      <x:c r="L297" s="16" t="str">
        <x:f>IF(AND(AND(296&lt;='Control Room'!$B$3,'Control Room'!$D$3="Ready"),10&lt;='Control Room'!$B$2),ROUND(MAX(0,'Process'!AX297*'Control Room'!$H$13*INDEX('Control Room'!$B$19:$H$19,1,WEEKDAY($A297,2))*(1+'Control Room'!$D$9)^295*'Process'!AY297),2),"")</x:f>
      </x:c>
      <x:c r="M297" s="16" t="str">
        <x:f>IF(AND(AND(296&lt;='Control Room'!$B$3,'Control Room'!$D$3="Ready"),11&lt;='Control Room'!$B$2),ROUND(MAX(0,'Process'!BC297*'Control Room'!$H$14*INDEX('Control Room'!$B$19:$H$19,1,WEEKDAY($A297,2))*(1+'Control Room'!$D$9)^295*'Process'!BD297),2),"")</x:f>
      </x:c>
      <x:c r="N297" s="16" t="str">
        <x:f>IF(AND(AND(296&lt;='Control Room'!$B$3,'Control Room'!$D$3="Ready"),12&lt;='Control Room'!$B$2),ROUND(MAX(0,'Process'!BH297*'Control Room'!$H$15*INDEX('Control Room'!$B$19:$H$19,1,WEEKDAY($A297,2))*(1+'Control Room'!$D$9)^295*'Process'!BI297),2),"")</x:f>
      </x:c>
    </x:row>
    <x:row r="298" ht="21" customHeight="1">
      <x:c r="A298" s="15" t="str">
        <x:f>IF(AND(297&lt;='Control Room'!$B$3,'Control Room'!$D$3="Ready"),'Process'!A298,"")</x:f>
      </x:c>
      <x:c r="B298" s="16" t="str">
        <x:f>IF(A298="","",SUM(C298:N298))</x:f>
      </x:c>
      <x:c r="C298" s="16" t="str">
        <x:f>IF(AND(AND(297&lt;='Control Room'!$B$3,'Control Room'!$D$3="Ready"),1&lt;='Control Room'!$B$2),ROUND(MAX(0,'Process'!E298*'Control Room'!$H$4*INDEX('Control Room'!$B$19:$H$19,1,WEEKDAY($A298,2))*(1+'Control Room'!$D$9)^296*'Process'!F298),2),"")</x:f>
      </x:c>
      <x:c r="D298" s="16" t="str">
        <x:f>IF(AND(AND(297&lt;='Control Room'!$B$3,'Control Room'!$D$3="Ready"),2&lt;='Control Room'!$B$2),ROUND(MAX(0,'Process'!J298*'Control Room'!$H$5*INDEX('Control Room'!$B$19:$H$19,1,WEEKDAY($A298,2))*(1+'Control Room'!$D$9)^296*'Process'!K298),2),"")</x:f>
      </x:c>
      <x:c r="E298" s="16" t="str">
        <x:f>IF(AND(AND(297&lt;='Control Room'!$B$3,'Control Room'!$D$3="Ready"),3&lt;='Control Room'!$B$2),ROUND(MAX(0,'Process'!O298*'Control Room'!$H$6*INDEX('Control Room'!$B$19:$H$19,1,WEEKDAY($A298,2))*(1+'Control Room'!$D$9)^296*'Process'!P298),2),"")</x:f>
      </x:c>
      <x:c r="F298" s="16" t="str">
        <x:f>IF(AND(AND(297&lt;='Control Room'!$B$3,'Control Room'!$D$3="Ready"),4&lt;='Control Room'!$B$2),ROUND(MAX(0,'Process'!T298*'Control Room'!$H$7*INDEX('Control Room'!$B$19:$H$19,1,WEEKDAY($A298,2))*(1+'Control Room'!$D$9)^296*'Process'!U298),2),"")</x:f>
      </x:c>
      <x:c r="G298" s="16" t="str">
        <x:f>IF(AND(AND(297&lt;='Control Room'!$B$3,'Control Room'!$D$3="Ready"),5&lt;='Control Room'!$B$2),ROUND(MAX(0,'Process'!Y298*'Control Room'!$H$8*INDEX('Control Room'!$B$19:$H$19,1,WEEKDAY($A298,2))*(1+'Control Room'!$D$9)^296*'Process'!Z298),2),"")</x:f>
      </x:c>
      <x:c r="H298" s="16" t="str">
        <x:f>IF(AND(AND(297&lt;='Control Room'!$B$3,'Control Room'!$D$3="Ready"),6&lt;='Control Room'!$B$2),ROUND(MAX(0,'Process'!AD298*'Control Room'!$H$9*INDEX('Control Room'!$B$19:$H$19,1,WEEKDAY($A298,2))*(1+'Control Room'!$D$9)^296*'Process'!AE298),2),"")</x:f>
      </x:c>
      <x:c r="I298" s="16" t="str">
        <x:f>IF(AND(AND(297&lt;='Control Room'!$B$3,'Control Room'!$D$3="Ready"),7&lt;='Control Room'!$B$2),ROUND(MAX(0,'Process'!AI298*'Control Room'!$H$10*INDEX('Control Room'!$B$19:$H$19,1,WEEKDAY($A298,2))*(1+'Control Room'!$D$9)^296*'Process'!AJ298),2),"")</x:f>
      </x:c>
      <x:c r="J298" s="16" t="str">
        <x:f>IF(AND(AND(297&lt;='Control Room'!$B$3,'Control Room'!$D$3="Ready"),8&lt;='Control Room'!$B$2),ROUND(MAX(0,'Process'!AN298*'Control Room'!$H$11*INDEX('Control Room'!$B$19:$H$19,1,WEEKDAY($A298,2))*(1+'Control Room'!$D$9)^296*'Process'!AO298),2),"")</x:f>
      </x:c>
      <x:c r="K298" s="16" t="str">
        <x:f>IF(AND(AND(297&lt;='Control Room'!$B$3,'Control Room'!$D$3="Ready"),9&lt;='Control Room'!$B$2),ROUND(MAX(0,'Process'!AS298*'Control Room'!$H$12*INDEX('Control Room'!$B$19:$H$19,1,WEEKDAY($A298,2))*(1+'Control Room'!$D$9)^296*'Process'!AT298),2),"")</x:f>
      </x:c>
      <x:c r="L298" s="16" t="str">
        <x:f>IF(AND(AND(297&lt;='Control Room'!$B$3,'Control Room'!$D$3="Ready"),10&lt;='Control Room'!$B$2),ROUND(MAX(0,'Process'!AX298*'Control Room'!$H$13*INDEX('Control Room'!$B$19:$H$19,1,WEEKDAY($A298,2))*(1+'Control Room'!$D$9)^296*'Process'!AY298),2),"")</x:f>
      </x:c>
      <x:c r="M298" s="16" t="str">
        <x:f>IF(AND(AND(297&lt;='Control Room'!$B$3,'Control Room'!$D$3="Ready"),11&lt;='Control Room'!$B$2),ROUND(MAX(0,'Process'!BC298*'Control Room'!$H$14*INDEX('Control Room'!$B$19:$H$19,1,WEEKDAY($A298,2))*(1+'Control Room'!$D$9)^296*'Process'!BD298),2),"")</x:f>
      </x:c>
      <x:c r="N298" s="16" t="str">
        <x:f>IF(AND(AND(297&lt;='Control Room'!$B$3,'Control Room'!$D$3="Ready"),12&lt;='Control Room'!$B$2),ROUND(MAX(0,'Process'!BH298*'Control Room'!$H$15*INDEX('Control Room'!$B$19:$H$19,1,WEEKDAY($A298,2))*(1+'Control Room'!$D$9)^296*'Process'!BI298),2),"")</x:f>
      </x:c>
    </x:row>
    <x:row r="299" ht="21" customHeight="1">
      <x:c r="A299" s="15" t="str">
        <x:f>IF(AND(298&lt;='Control Room'!$B$3,'Control Room'!$D$3="Ready"),'Process'!A299,"")</x:f>
      </x:c>
      <x:c r="B299" s="16" t="str">
        <x:f>IF(A299="","",SUM(C299:N299))</x:f>
      </x:c>
      <x:c r="C299" s="16" t="str">
        <x:f>IF(AND(AND(298&lt;='Control Room'!$B$3,'Control Room'!$D$3="Ready"),1&lt;='Control Room'!$B$2),ROUND(MAX(0,'Process'!E299*'Control Room'!$H$4*INDEX('Control Room'!$B$19:$H$19,1,WEEKDAY($A299,2))*(1+'Control Room'!$D$9)^297*'Process'!F299),2),"")</x:f>
      </x:c>
      <x:c r="D299" s="16" t="str">
        <x:f>IF(AND(AND(298&lt;='Control Room'!$B$3,'Control Room'!$D$3="Ready"),2&lt;='Control Room'!$B$2),ROUND(MAX(0,'Process'!J299*'Control Room'!$H$5*INDEX('Control Room'!$B$19:$H$19,1,WEEKDAY($A299,2))*(1+'Control Room'!$D$9)^297*'Process'!K299),2),"")</x:f>
      </x:c>
      <x:c r="E299" s="16" t="str">
        <x:f>IF(AND(AND(298&lt;='Control Room'!$B$3,'Control Room'!$D$3="Ready"),3&lt;='Control Room'!$B$2),ROUND(MAX(0,'Process'!O299*'Control Room'!$H$6*INDEX('Control Room'!$B$19:$H$19,1,WEEKDAY($A299,2))*(1+'Control Room'!$D$9)^297*'Process'!P299),2),"")</x:f>
      </x:c>
      <x:c r="F299" s="16" t="str">
        <x:f>IF(AND(AND(298&lt;='Control Room'!$B$3,'Control Room'!$D$3="Ready"),4&lt;='Control Room'!$B$2),ROUND(MAX(0,'Process'!T299*'Control Room'!$H$7*INDEX('Control Room'!$B$19:$H$19,1,WEEKDAY($A299,2))*(1+'Control Room'!$D$9)^297*'Process'!U299),2),"")</x:f>
      </x:c>
      <x:c r="G299" s="16" t="str">
        <x:f>IF(AND(AND(298&lt;='Control Room'!$B$3,'Control Room'!$D$3="Ready"),5&lt;='Control Room'!$B$2),ROUND(MAX(0,'Process'!Y299*'Control Room'!$H$8*INDEX('Control Room'!$B$19:$H$19,1,WEEKDAY($A299,2))*(1+'Control Room'!$D$9)^297*'Process'!Z299),2),"")</x:f>
      </x:c>
      <x:c r="H299" s="16" t="str">
        <x:f>IF(AND(AND(298&lt;='Control Room'!$B$3,'Control Room'!$D$3="Ready"),6&lt;='Control Room'!$B$2),ROUND(MAX(0,'Process'!AD299*'Control Room'!$H$9*INDEX('Control Room'!$B$19:$H$19,1,WEEKDAY($A299,2))*(1+'Control Room'!$D$9)^297*'Process'!AE299),2),"")</x:f>
      </x:c>
      <x:c r="I299" s="16" t="str">
        <x:f>IF(AND(AND(298&lt;='Control Room'!$B$3,'Control Room'!$D$3="Ready"),7&lt;='Control Room'!$B$2),ROUND(MAX(0,'Process'!AI299*'Control Room'!$H$10*INDEX('Control Room'!$B$19:$H$19,1,WEEKDAY($A299,2))*(1+'Control Room'!$D$9)^297*'Process'!AJ299),2),"")</x:f>
      </x:c>
      <x:c r="J299" s="16" t="str">
        <x:f>IF(AND(AND(298&lt;='Control Room'!$B$3,'Control Room'!$D$3="Ready"),8&lt;='Control Room'!$B$2),ROUND(MAX(0,'Process'!AN299*'Control Room'!$H$11*INDEX('Control Room'!$B$19:$H$19,1,WEEKDAY($A299,2))*(1+'Control Room'!$D$9)^297*'Process'!AO299),2),"")</x:f>
      </x:c>
      <x:c r="K299" s="16" t="str">
        <x:f>IF(AND(AND(298&lt;='Control Room'!$B$3,'Control Room'!$D$3="Ready"),9&lt;='Control Room'!$B$2),ROUND(MAX(0,'Process'!AS299*'Control Room'!$H$12*INDEX('Control Room'!$B$19:$H$19,1,WEEKDAY($A299,2))*(1+'Control Room'!$D$9)^297*'Process'!AT299),2),"")</x:f>
      </x:c>
      <x:c r="L299" s="16" t="str">
        <x:f>IF(AND(AND(298&lt;='Control Room'!$B$3,'Control Room'!$D$3="Ready"),10&lt;='Control Room'!$B$2),ROUND(MAX(0,'Process'!AX299*'Control Room'!$H$13*INDEX('Control Room'!$B$19:$H$19,1,WEEKDAY($A299,2))*(1+'Control Room'!$D$9)^297*'Process'!AY299),2),"")</x:f>
      </x:c>
      <x:c r="M299" s="16" t="str">
        <x:f>IF(AND(AND(298&lt;='Control Room'!$B$3,'Control Room'!$D$3="Ready"),11&lt;='Control Room'!$B$2),ROUND(MAX(0,'Process'!BC299*'Control Room'!$H$14*INDEX('Control Room'!$B$19:$H$19,1,WEEKDAY($A299,2))*(1+'Control Room'!$D$9)^297*'Process'!BD299),2),"")</x:f>
      </x:c>
      <x:c r="N299" s="16" t="str">
        <x:f>IF(AND(AND(298&lt;='Control Room'!$B$3,'Control Room'!$D$3="Ready"),12&lt;='Control Room'!$B$2),ROUND(MAX(0,'Process'!BH299*'Control Room'!$H$15*INDEX('Control Room'!$B$19:$H$19,1,WEEKDAY($A299,2))*(1+'Control Room'!$D$9)^297*'Process'!BI299),2),"")</x:f>
      </x:c>
    </x:row>
    <x:row r="300" ht="21" customHeight="1">
      <x:c r="A300" s="15" t="str">
        <x:f>IF(AND(299&lt;='Control Room'!$B$3,'Control Room'!$D$3="Ready"),'Process'!A300,"")</x:f>
      </x:c>
      <x:c r="B300" s="16" t="str">
        <x:f>IF(A300="","",SUM(C300:N300))</x:f>
      </x:c>
      <x:c r="C300" s="16" t="str">
        <x:f>IF(AND(AND(299&lt;='Control Room'!$B$3,'Control Room'!$D$3="Ready"),1&lt;='Control Room'!$B$2),ROUND(MAX(0,'Process'!E300*'Control Room'!$H$4*INDEX('Control Room'!$B$19:$H$19,1,WEEKDAY($A300,2))*(1+'Control Room'!$D$9)^298*'Process'!F300),2),"")</x:f>
      </x:c>
      <x:c r="D300" s="16" t="str">
        <x:f>IF(AND(AND(299&lt;='Control Room'!$B$3,'Control Room'!$D$3="Ready"),2&lt;='Control Room'!$B$2),ROUND(MAX(0,'Process'!J300*'Control Room'!$H$5*INDEX('Control Room'!$B$19:$H$19,1,WEEKDAY($A300,2))*(1+'Control Room'!$D$9)^298*'Process'!K300),2),"")</x:f>
      </x:c>
      <x:c r="E300" s="16" t="str">
        <x:f>IF(AND(AND(299&lt;='Control Room'!$B$3,'Control Room'!$D$3="Ready"),3&lt;='Control Room'!$B$2),ROUND(MAX(0,'Process'!O300*'Control Room'!$H$6*INDEX('Control Room'!$B$19:$H$19,1,WEEKDAY($A300,2))*(1+'Control Room'!$D$9)^298*'Process'!P300),2),"")</x:f>
      </x:c>
      <x:c r="F300" s="16" t="str">
        <x:f>IF(AND(AND(299&lt;='Control Room'!$B$3,'Control Room'!$D$3="Ready"),4&lt;='Control Room'!$B$2),ROUND(MAX(0,'Process'!T300*'Control Room'!$H$7*INDEX('Control Room'!$B$19:$H$19,1,WEEKDAY($A300,2))*(1+'Control Room'!$D$9)^298*'Process'!U300),2),"")</x:f>
      </x:c>
      <x:c r="G300" s="16" t="str">
        <x:f>IF(AND(AND(299&lt;='Control Room'!$B$3,'Control Room'!$D$3="Ready"),5&lt;='Control Room'!$B$2),ROUND(MAX(0,'Process'!Y300*'Control Room'!$H$8*INDEX('Control Room'!$B$19:$H$19,1,WEEKDAY($A300,2))*(1+'Control Room'!$D$9)^298*'Process'!Z300),2),"")</x:f>
      </x:c>
      <x:c r="H300" s="16" t="str">
        <x:f>IF(AND(AND(299&lt;='Control Room'!$B$3,'Control Room'!$D$3="Ready"),6&lt;='Control Room'!$B$2),ROUND(MAX(0,'Process'!AD300*'Control Room'!$H$9*INDEX('Control Room'!$B$19:$H$19,1,WEEKDAY($A300,2))*(1+'Control Room'!$D$9)^298*'Process'!AE300),2),"")</x:f>
      </x:c>
      <x:c r="I300" s="16" t="str">
        <x:f>IF(AND(AND(299&lt;='Control Room'!$B$3,'Control Room'!$D$3="Ready"),7&lt;='Control Room'!$B$2),ROUND(MAX(0,'Process'!AI300*'Control Room'!$H$10*INDEX('Control Room'!$B$19:$H$19,1,WEEKDAY($A300,2))*(1+'Control Room'!$D$9)^298*'Process'!AJ300),2),"")</x:f>
      </x:c>
      <x:c r="J300" s="16" t="str">
        <x:f>IF(AND(AND(299&lt;='Control Room'!$B$3,'Control Room'!$D$3="Ready"),8&lt;='Control Room'!$B$2),ROUND(MAX(0,'Process'!AN300*'Control Room'!$H$11*INDEX('Control Room'!$B$19:$H$19,1,WEEKDAY($A300,2))*(1+'Control Room'!$D$9)^298*'Process'!AO300),2),"")</x:f>
      </x:c>
      <x:c r="K300" s="16" t="str">
        <x:f>IF(AND(AND(299&lt;='Control Room'!$B$3,'Control Room'!$D$3="Ready"),9&lt;='Control Room'!$B$2),ROUND(MAX(0,'Process'!AS300*'Control Room'!$H$12*INDEX('Control Room'!$B$19:$H$19,1,WEEKDAY($A300,2))*(1+'Control Room'!$D$9)^298*'Process'!AT300),2),"")</x:f>
      </x:c>
      <x:c r="L300" s="16" t="str">
        <x:f>IF(AND(AND(299&lt;='Control Room'!$B$3,'Control Room'!$D$3="Ready"),10&lt;='Control Room'!$B$2),ROUND(MAX(0,'Process'!AX300*'Control Room'!$H$13*INDEX('Control Room'!$B$19:$H$19,1,WEEKDAY($A300,2))*(1+'Control Room'!$D$9)^298*'Process'!AY300),2),"")</x:f>
      </x:c>
      <x:c r="M300" s="16" t="str">
        <x:f>IF(AND(AND(299&lt;='Control Room'!$B$3,'Control Room'!$D$3="Ready"),11&lt;='Control Room'!$B$2),ROUND(MAX(0,'Process'!BC300*'Control Room'!$H$14*INDEX('Control Room'!$B$19:$H$19,1,WEEKDAY($A300,2))*(1+'Control Room'!$D$9)^298*'Process'!BD300),2),"")</x:f>
      </x:c>
      <x:c r="N300" s="16" t="str">
        <x:f>IF(AND(AND(299&lt;='Control Room'!$B$3,'Control Room'!$D$3="Ready"),12&lt;='Control Room'!$B$2),ROUND(MAX(0,'Process'!BH300*'Control Room'!$H$15*INDEX('Control Room'!$B$19:$H$19,1,WEEKDAY($A300,2))*(1+'Control Room'!$D$9)^298*'Process'!BI300),2),"")</x:f>
      </x:c>
    </x:row>
    <x:row r="301" ht="21" customHeight="1">
      <x:c r="A301" s="15" t="str">
        <x:f>IF(AND(300&lt;='Control Room'!$B$3,'Control Room'!$D$3="Ready"),'Process'!A301,"")</x:f>
      </x:c>
      <x:c r="B301" s="16" t="str">
        <x:f>IF(A301="","",SUM(C301:N301))</x:f>
      </x:c>
      <x:c r="C301" s="16" t="str">
        <x:f>IF(AND(AND(300&lt;='Control Room'!$B$3,'Control Room'!$D$3="Ready"),1&lt;='Control Room'!$B$2),ROUND(MAX(0,'Process'!E301*'Control Room'!$H$4*INDEX('Control Room'!$B$19:$H$19,1,WEEKDAY($A301,2))*(1+'Control Room'!$D$9)^299*'Process'!F301),2),"")</x:f>
      </x:c>
      <x:c r="D301" s="16" t="str">
        <x:f>IF(AND(AND(300&lt;='Control Room'!$B$3,'Control Room'!$D$3="Ready"),2&lt;='Control Room'!$B$2),ROUND(MAX(0,'Process'!J301*'Control Room'!$H$5*INDEX('Control Room'!$B$19:$H$19,1,WEEKDAY($A301,2))*(1+'Control Room'!$D$9)^299*'Process'!K301),2),"")</x:f>
      </x:c>
      <x:c r="E301" s="16" t="str">
        <x:f>IF(AND(AND(300&lt;='Control Room'!$B$3,'Control Room'!$D$3="Ready"),3&lt;='Control Room'!$B$2),ROUND(MAX(0,'Process'!O301*'Control Room'!$H$6*INDEX('Control Room'!$B$19:$H$19,1,WEEKDAY($A301,2))*(1+'Control Room'!$D$9)^299*'Process'!P301),2),"")</x:f>
      </x:c>
      <x:c r="F301" s="16" t="str">
        <x:f>IF(AND(AND(300&lt;='Control Room'!$B$3,'Control Room'!$D$3="Ready"),4&lt;='Control Room'!$B$2),ROUND(MAX(0,'Process'!T301*'Control Room'!$H$7*INDEX('Control Room'!$B$19:$H$19,1,WEEKDAY($A301,2))*(1+'Control Room'!$D$9)^299*'Process'!U301),2),"")</x:f>
      </x:c>
      <x:c r="G301" s="16" t="str">
        <x:f>IF(AND(AND(300&lt;='Control Room'!$B$3,'Control Room'!$D$3="Ready"),5&lt;='Control Room'!$B$2),ROUND(MAX(0,'Process'!Y301*'Control Room'!$H$8*INDEX('Control Room'!$B$19:$H$19,1,WEEKDAY($A301,2))*(1+'Control Room'!$D$9)^299*'Process'!Z301),2),"")</x:f>
      </x:c>
      <x:c r="H301" s="16" t="str">
        <x:f>IF(AND(AND(300&lt;='Control Room'!$B$3,'Control Room'!$D$3="Ready"),6&lt;='Control Room'!$B$2),ROUND(MAX(0,'Process'!AD301*'Control Room'!$H$9*INDEX('Control Room'!$B$19:$H$19,1,WEEKDAY($A301,2))*(1+'Control Room'!$D$9)^299*'Process'!AE301),2),"")</x:f>
      </x:c>
      <x:c r="I301" s="16" t="str">
        <x:f>IF(AND(AND(300&lt;='Control Room'!$B$3,'Control Room'!$D$3="Ready"),7&lt;='Control Room'!$B$2),ROUND(MAX(0,'Process'!AI301*'Control Room'!$H$10*INDEX('Control Room'!$B$19:$H$19,1,WEEKDAY($A301,2))*(1+'Control Room'!$D$9)^299*'Process'!AJ301),2),"")</x:f>
      </x:c>
      <x:c r="J301" s="16" t="str">
        <x:f>IF(AND(AND(300&lt;='Control Room'!$B$3,'Control Room'!$D$3="Ready"),8&lt;='Control Room'!$B$2),ROUND(MAX(0,'Process'!AN301*'Control Room'!$H$11*INDEX('Control Room'!$B$19:$H$19,1,WEEKDAY($A301,2))*(1+'Control Room'!$D$9)^299*'Process'!AO301),2),"")</x:f>
      </x:c>
      <x:c r="K301" s="16" t="str">
        <x:f>IF(AND(AND(300&lt;='Control Room'!$B$3,'Control Room'!$D$3="Ready"),9&lt;='Control Room'!$B$2),ROUND(MAX(0,'Process'!AS301*'Control Room'!$H$12*INDEX('Control Room'!$B$19:$H$19,1,WEEKDAY($A301,2))*(1+'Control Room'!$D$9)^299*'Process'!AT301),2),"")</x:f>
      </x:c>
      <x:c r="L301" s="16" t="str">
        <x:f>IF(AND(AND(300&lt;='Control Room'!$B$3,'Control Room'!$D$3="Ready"),10&lt;='Control Room'!$B$2),ROUND(MAX(0,'Process'!AX301*'Control Room'!$H$13*INDEX('Control Room'!$B$19:$H$19,1,WEEKDAY($A301,2))*(1+'Control Room'!$D$9)^299*'Process'!AY301),2),"")</x:f>
      </x:c>
      <x:c r="M301" s="16" t="str">
        <x:f>IF(AND(AND(300&lt;='Control Room'!$B$3,'Control Room'!$D$3="Ready"),11&lt;='Control Room'!$B$2),ROUND(MAX(0,'Process'!BC301*'Control Room'!$H$14*INDEX('Control Room'!$B$19:$H$19,1,WEEKDAY($A301,2))*(1+'Control Room'!$D$9)^299*'Process'!BD301),2),"")</x:f>
      </x:c>
      <x:c r="N301" s="16" t="str">
        <x:f>IF(AND(AND(300&lt;='Control Room'!$B$3,'Control Room'!$D$3="Ready"),12&lt;='Control Room'!$B$2),ROUND(MAX(0,'Process'!BH301*'Control Room'!$H$15*INDEX('Control Room'!$B$19:$H$19,1,WEEKDAY($A301,2))*(1+'Control Room'!$D$9)^299*'Process'!BI301),2),"")</x:f>
      </x:c>
    </x:row>
    <x:row r="302" ht="21" customHeight="1">
      <x:c r="A302" s="15" t="str">
        <x:f>IF(AND(301&lt;='Control Room'!$B$3,'Control Room'!$D$3="Ready"),'Process'!A302,"")</x:f>
      </x:c>
      <x:c r="B302" s="16" t="str">
        <x:f>IF(A302="","",SUM(C302:N302))</x:f>
      </x:c>
      <x:c r="C302" s="16" t="str">
        <x:f>IF(AND(AND(301&lt;='Control Room'!$B$3,'Control Room'!$D$3="Ready"),1&lt;='Control Room'!$B$2),ROUND(MAX(0,'Process'!E302*'Control Room'!$H$4*INDEX('Control Room'!$B$19:$H$19,1,WEEKDAY($A302,2))*(1+'Control Room'!$D$9)^300*'Process'!F302),2),"")</x:f>
      </x:c>
      <x:c r="D302" s="16" t="str">
        <x:f>IF(AND(AND(301&lt;='Control Room'!$B$3,'Control Room'!$D$3="Ready"),2&lt;='Control Room'!$B$2),ROUND(MAX(0,'Process'!J302*'Control Room'!$H$5*INDEX('Control Room'!$B$19:$H$19,1,WEEKDAY($A302,2))*(1+'Control Room'!$D$9)^300*'Process'!K302),2),"")</x:f>
      </x:c>
      <x:c r="E302" s="16" t="str">
        <x:f>IF(AND(AND(301&lt;='Control Room'!$B$3,'Control Room'!$D$3="Ready"),3&lt;='Control Room'!$B$2),ROUND(MAX(0,'Process'!O302*'Control Room'!$H$6*INDEX('Control Room'!$B$19:$H$19,1,WEEKDAY($A302,2))*(1+'Control Room'!$D$9)^300*'Process'!P302),2),"")</x:f>
      </x:c>
      <x:c r="F302" s="16" t="str">
        <x:f>IF(AND(AND(301&lt;='Control Room'!$B$3,'Control Room'!$D$3="Ready"),4&lt;='Control Room'!$B$2),ROUND(MAX(0,'Process'!T302*'Control Room'!$H$7*INDEX('Control Room'!$B$19:$H$19,1,WEEKDAY($A302,2))*(1+'Control Room'!$D$9)^300*'Process'!U302),2),"")</x:f>
      </x:c>
      <x:c r="G302" s="16" t="str">
        <x:f>IF(AND(AND(301&lt;='Control Room'!$B$3,'Control Room'!$D$3="Ready"),5&lt;='Control Room'!$B$2),ROUND(MAX(0,'Process'!Y302*'Control Room'!$H$8*INDEX('Control Room'!$B$19:$H$19,1,WEEKDAY($A302,2))*(1+'Control Room'!$D$9)^300*'Process'!Z302),2),"")</x:f>
      </x:c>
      <x:c r="H302" s="16" t="str">
        <x:f>IF(AND(AND(301&lt;='Control Room'!$B$3,'Control Room'!$D$3="Ready"),6&lt;='Control Room'!$B$2),ROUND(MAX(0,'Process'!AD302*'Control Room'!$H$9*INDEX('Control Room'!$B$19:$H$19,1,WEEKDAY($A302,2))*(1+'Control Room'!$D$9)^300*'Process'!AE302),2),"")</x:f>
      </x:c>
      <x:c r="I302" s="16" t="str">
        <x:f>IF(AND(AND(301&lt;='Control Room'!$B$3,'Control Room'!$D$3="Ready"),7&lt;='Control Room'!$B$2),ROUND(MAX(0,'Process'!AI302*'Control Room'!$H$10*INDEX('Control Room'!$B$19:$H$19,1,WEEKDAY($A302,2))*(1+'Control Room'!$D$9)^300*'Process'!AJ302),2),"")</x:f>
      </x:c>
      <x:c r="J302" s="16" t="str">
        <x:f>IF(AND(AND(301&lt;='Control Room'!$B$3,'Control Room'!$D$3="Ready"),8&lt;='Control Room'!$B$2),ROUND(MAX(0,'Process'!AN302*'Control Room'!$H$11*INDEX('Control Room'!$B$19:$H$19,1,WEEKDAY($A302,2))*(1+'Control Room'!$D$9)^300*'Process'!AO302),2),"")</x:f>
      </x:c>
      <x:c r="K302" s="16" t="str">
        <x:f>IF(AND(AND(301&lt;='Control Room'!$B$3,'Control Room'!$D$3="Ready"),9&lt;='Control Room'!$B$2),ROUND(MAX(0,'Process'!AS302*'Control Room'!$H$12*INDEX('Control Room'!$B$19:$H$19,1,WEEKDAY($A302,2))*(1+'Control Room'!$D$9)^300*'Process'!AT302),2),"")</x:f>
      </x:c>
      <x:c r="L302" s="16" t="str">
        <x:f>IF(AND(AND(301&lt;='Control Room'!$B$3,'Control Room'!$D$3="Ready"),10&lt;='Control Room'!$B$2),ROUND(MAX(0,'Process'!AX302*'Control Room'!$H$13*INDEX('Control Room'!$B$19:$H$19,1,WEEKDAY($A302,2))*(1+'Control Room'!$D$9)^300*'Process'!AY302),2),"")</x:f>
      </x:c>
      <x:c r="M302" s="16" t="str">
        <x:f>IF(AND(AND(301&lt;='Control Room'!$B$3,'Control Room'!$D$3="Ready"),11&lt;='Control Room'!$B$2),ROUND(MAX(0,'Process'!BC302*'Control Room'!$H$14*INDEX('Control Room'!$B$19:$H$19,1,WEEKDAY($A302,2))*(1+'Control Room'!$D$9)^300*'Process'!BD302),2),"")</x:f>
      </x:c>
      <x:c r="N302" s="16" t="str">
        <x:f>IF(AND(AND(301&lt;='Control Room'!$B$3,'Control Room'!$D$3="Ready"),12&lt;='Control Room'!$B$2),ROUND(MAX(0,'Process'!BH302*'Control Room'!$H$15*INDEX('Control Room'!$B$19:$H$19,1,WEEKDAY($A302,2))*(1+'Control Room'!$D$9)^300*'Process'!BI302),2),"")</x:f>
      </x:c>
    </x:row>
    <x:row r="303" ht="21" customHeight="1">
      <x:c r="A303" s="15" t="str">
        <x:f>IF(AND(302&lt;='Control Room'!$B$3,'Control Room'!$D$3="Ready"),'Process'!A303,"")</x:f>
      </x:c>
      <x:c r="B303" s="16" t="str">
        <x:f>IF(A303="","",SUM(C303:N303))</x:f>
      </x:c>
      <x:c r="C303" s="16" t="str">
        <x:f>IF(AND(AND(302&lt;='Control Room'!$B$3,'Control Room'!$D$3="Ready"),1&lt;='Control Room'!$B$2),ROUND(MAX(0,'Process'!E303*'Control Room'!$H$4*INDEX('Control Room'!$B$19:$H$19,1,WEEKDAY($A303,2))*(1+'Control Room'!$D$9)^301*'Process'!F303),2),"")</x:f>
      </x:c>
      <x:c r="D303" s="16" t="str">
        <x:f>IF(AND(AND(302&lt;='Control Room'!$B$3,'Control Room'!$D$3="Ready"),2&lt;='Control Room'!$B$2),ROUND(MAX(0,'Process'!J303*'Control Room'!$H$5*INDEX('Control Room'!$B$19:$H$19,1,WEEKDAY($A303,2))*(1+'Control Room'!$D$9)^301*'Process'!K303),2),"")</x:f>
      </x:c>
      <x:c r="E303" s="16" t="str">
        <x:f>IF(AND(AND(302&lt;='Control Room'!$B$3,'Control Room'!$D$3="Ready"),3&lt;='Control Room'!$B$2),ROUND(MAX(0,'Process'!O303*'Control Room'!$H$6*INDEX('Control Room'!$B$19:$H$19,1,WEEKDAY($A303,2))*(1+'Control Room'!$D$9)^301*'Process'!P303),2),"")</x:f>
      </x:c>
      <x:c r="F303" s="16" t="str">
        <x:f>IF(AND(AND(302&lt;='Control Room'!$B$3,'Control Room'!$D$3="Ready"),4&lt;='Control Room'!$B$2),ROUND(MAX(0,'Process'!T303*'Control Room'!$H$7*INDEX('Control Room'!$B$19:$H$19,1,WEEKDAY($A303,2))*(1+'Control Room'!$D$9)^301*'Process'!U303),2),"")</x:f>
      </x:c>
      <x:c r="G303" s="16" t="str">
        <x:f>IF(AND(AND(302&lt;='Control Room'!$B$3,'Control Room'!$D$3="Ready"),5&lt;='Control Room'!$B$2),ROUND(MAX(0,'Process'!Y303*'Control Room'!$H$8*INDEX('Control Room'!$B$19:$H$19,1,WEEKDAY($A303,2))*(1+'Control Room'!$D$9)^301*'Process'!Z303),2),"")</x:f>
      </x:c>
      <x:c r="H303" s="16" t="str">
        <x:f>IF(AND(AND(302&lt;='Control Room'!$B$3,'Control Room'!$D$3="Ready"),6&lt;='Control Room'!$B$2),ROUND(MAX(0,'Process'!AD303*'Control Room'!$H$9*INDEX('Control Room'!$B$19:$H$19,1,WEEKDAY($A303,2))*(1+'Control Room'!$D$9)^301*'Process'!AE303),2),"")</x:f>
      </x:c>
      <x:c r="I303" s="16" t="str">
        <x:f>IF(AND(AND(302&lt;='Control Room'!$B$3,'Control Room'!$D$3="Ready"),7&lt;='Control Room'!$B$2),ROUND(MAX(0,'Process'!AI303*'Control Room'!$H$10*INDEX('Control Room'!$B$19:$H$19,1,WEEKDAY($A303,2))*(1+'Control Room'!$D$9)^301*'Process'!AJ303),2),"")</x:f>
      </x:c>
      <x:c r="J303" s="16" t="str">
        <x:f>IF(AND(AND(302&lt;='Control Room'!$B$3,'Control Room'!$D$3="Ready"),8&lt;='Control Room'!$B$2),ROUND(MAX(0,'Process'!AN303*'Control Room'!$H$11*INDEX('Control Room'!$B$19:$H$19,1,WEEKDAY($A303,2))*(1+'Control Room'!$D$9)^301*'Process'!AO303),2),"")</x:f>
      </x:c>
      <x:c r="K303" s="16" t="str">
        <x:f>IF(AND(AND(302&lt;='Control Room'!$B$3,'Control Room'!$D$3="Ready"),9&lt;='Control Room'!$B$2),ROUND(MAX(0,'Process'!AS303*'Control Room'!$H$12*INDEX('Control Room'!$B$19:$H$19,1,WEEKDAY($A303,2))*(1+'Control Room'!$D$9)^301*'Process'!AT303),2),"")</x:f>
      </x:c>
      <x:c r="L303" s="16" t="str">
        <x:f>IF(AND(AND(302&lt;='Control Room'!$B$3,'Control Room'!$D$3="Ready"),10&lt;='Control Room'!$B$2),ROUND(MAX(0,'Process'!AX303*'Control Room'!$H$13*INDEX('Control Room'!$B$19:$H$19,1,WEEKDAY($A303,2))*(1+'Control Room'!$D$9)^301*'Process'!AY303),2),"")</x:f>
      </x:c>
      <x:c r="M303" s="16" t="str">
        <x:f>IF(AND(AND(302&lt;='Control Room'!$B$3,'Control Room'!$D$3="Ready"),11&lt;='Control Room'!$B$2),ROUND(MAX(0,'Process'!BC303*'Control Room'!$H$14*INDEX('Control Room'!$B$19:$H$19,1,WEEKDAY($A303,2))*(1+'Control Room'!$D$9)^301*'Process'!BD303),2),"")</x:f>
      </x:c>
      <x:c r="N303" s="16" t="str">
        <x:f>IF(AND(AND(302&lt;='Control Room'!$B$3,'Control Room'!$D$3="Ready"),12&lt;='Control Room'!$B$2),ROUND(MAX(0,'Process'!BH303*'Control Room'!$H$15*INDEX('Control Room'!$B$19:$H$19,1,WEEKDAY($A303,2))*(1+'Control Room'!$D$9)^301*'Process'!BI303),2),"")</x:f>
      </x:c>
    </x:row>
    <x:row r="304" ht="21" customHeight="1">
      <x:c r="A304" s="15" t="str">
        <x:f>IF(AND(303&lt;='Control Room'!$B$3,'Control Room'!$D$3="Ready"),'Process'!A304,"")</x:f>
      </x:c>
      <x:c r="B304" s="16" t="str">
        <x:f>IF(A304="","",SUM(C304:N304))</x:f>
      </x:c>
      <x:c r="C304" s="16" t="str">
        <x:f>IF(AND(AND(303&lt;='Control Room'!$B$3,'Control Room'!$D$3="Ready"),1&lt;='Control Room'!$B$2),ROUND(MAX(0,'Process'!E304*'Control Room'!$H$4*INDEX('Control Room'!$B$19:$H$19,1,WEEKDAY($A304,2))*(1+'Control Room'!$D$9)^302*'Process'!F304),2),"")</x:f>
      </x:c>
      <x:c r="D304" s="16" t="str">
        <x:f>IF(AND(AND(303&lt;='Control Room'!$B$3,'Control Room'!$D$3="Ready"),2&lt;='Control Room'!$B$2),ROUND(MAX(0,'Process'!J304*'Control Room'!$H$5*INDEX('Control Room'!$B$19:$H$19,1,WEEKDAY($A304,2))*(1+'Control Room'!$D$9)^302*'Process'!K304),2),"")</x:f>
      </x:c>
      <x:c r="E304" s="16" t="str">
        <x:f>IF(AND(AND(303&lt;='Control Room'!$B$3,'Control Room'!$D$3="Ready"),3&lt;='Control Room'!$B$2),ROUND(MAX(0,'Process'!O304*'Control Room'!$H$6*INDEX('Control Room'!$B$19:$H$19,1,WEEKDAY($A304,2))*(1+'Control Room'!$D$9)^302*'Process'!P304),2),"")</x:f>
      </x:c>
      <x:c r="F304" s="16" t="str">
        <x:f>IF(AND(AND(303&lt;='Control Room'!$B$3,'Control Room'!$D$3="Ready"),4&lt;='Control Room'!$B$2),ROUND(MAX(0,'Process'!T304*'Control Room'!$H$7*INDEX('Control Room'!$B$19:$H$19,1,WEEKDAY($A304,2))*(1+'Control Room'!$D$9)^302*'Process'!U304),2),"")</x:f>
      </x:c>
      <x:c r="G304" s="16" t="str">
        <x:f>IF(AND(AND(303&lt;='Control Room'!$B$3,'Control Room'!$D$3="Ready"),5&lt;='Control Room'!$B$2),ROUND(MAX(0,'Process'!Y304*'Control Room'!$H$8*INDEX('Control Room'!$B$19:$H$19,1,WEEKDAY($A304,2))*(1+'Control Room'!$D$9)^302*'Process'!Z304),2),"")</x:f>
      </x:c>
      <x:c r="H304" s="16" t="str">
        <x:f>IF(AND(AND(303&lt;='Control Room'!$B$3,'Control Room'!$D$3="Ready"),6&lt;='Control Room'!$B$2),ROUND(MAX(0,'Process'!AD304*'Control Room'!$H$9*INDEX('Control Room'!$B$19:$H$19,1,WEEKDAY($A304,2))*(1+'Control Room'!$D$9)^302*'Process'!AE304),2),"")</x:f>
      </x:c>
      <x:c r="I304" s="16" t="str">
        <x:f>IF(AND(AND(303&lt;='Control Room'!$B$3,'Control Room'!$D$3="Ready"),7&lt;='Control Room'!$B$2),ROUND(MAX(0,'Process'!AI304*'Control Room'!$H$10*INDEX('Control Room'!$B$19:$H$19,1,WEEKDAY($A304,2))*(1+'Control Room'!$D$9)^302*'Process'!AJ304),2),"")</x:f>
      </x:c>
      <x:c r="J304" s="16" t="str">
        <x:f>IF(AND(AND(303&lt;='Control Room'!$B$3,'Control Room'!$D$3="Ready"),8&lt;='Control Room'!$B$2),ROUND(MAX(0,'Process'!AN304*'Control Room'!$H$11*INDEX('Control Room'!$B$19:$H$19,1,WEEKDAY($A304,2))*(1+'Control Room'!$D$9)^302*'Process'!AO304),2),"")</x:f>
      </x:c>
      <x:c r="K304" s="16" t="str">
        <x:f>IF(AND(AND(303&lt;='Control Room'!$B$3,'Control Room'!$D$3="Ready"),9&lt;='Control Room'!$B$2),ROUND(MAX(0,'Process'!AS304*'Control Room'!$H$12*INDEX('Control Room'!$B$19:$H$19,1,WEEKDAY($A304,2))*(1+'Control Room'!$D$9)^302*'Process'!AT304),2),"")</x:f>
      </x:c>
      <x:c r="L304" s="16" t="str">
        <x:f>IF(AND(AND(303&lt;='Control Room'!$B$3,'Control Room'!$D$3="Ready"),10&lt;='Control Room'!$B$2),ROUND(MAX(0,'Process'!AX304*'Control Room'!$H$13*INDEX('Control Room'!$B$19:$H$19,1,WEEKDAY($A304,2))*(1+'Control Room'!$D$9)^302*'Process'!AY304),2),"")</x:f>
      </x:c>
      <x:c r="M304" s="16" t="str">
        <x:f>IF(AND(AND(303&lt;='Control Room'!$B$3,'Control Room'!$D$3="Ready"),11&lt;='Control Room'!$B$2),ROUND(MAX(0,'Process'!BC304*'Control Room'!$H$14*INDEX('Control Room'!$B$19:$H$19,1,WEEKDAY($A304,2))*(1+'Control Room'!$D$9)^302*'Process'!BD304),2),"")</x:f>
      </x:c>
      <x:c r="N304" s="16" t="str">
        <x:f>IF(AND(AND(303&lt;='Control Room'!$B$3,'Control Room'!$D$3="Ready"),12&lt;='Control Room'!$B$2),ROUND(MAX(0,'Process'!BH304*'Control Room'!$H$15*INDEX('Control Room'!$B$19:$H$19,1,WEEKDAY($A304,2))*(1+'Control Room'!$D$9)^302*'Process'!BI304),2),"")</x:f>
      </x:c>
    </x:row>
    <x:row r="305" ht="21" customHeight="1">
      <x:c r="A305" s="15" t="str">
        <x:f>IF(AND(304&lt;='Control Room'!$B$3,'Control Room'!$D$3="Ready"),'Process'!A305,"")</x:f>
      </x:c>
      <x:c r="B305" s="16" t="str">
        <x:f>IF(A305="","",SUM(C305:N305))</x:f>
      </x:c>
      <x:c r="C305" s="16" t="str">
        <x:f>IF(AND(AND(304&lt;='Control Room'!$B$3,'Control Room'!$D$3="Ready"),1&lt;='Control Room'!$B$2),ROUND(MAX(0,'Process'!E305*'Control Room'!$H$4*INDEX('Control Room'!$B$19:$H$19,1,WEEKDAY($A305,2))*(1+'Control Room'!$D$9)^303*'Process'!F305),2),"")</x:f>
      </x:c>
      <x:c r="D305" s="16" t="str">
        <x:f>IF(AND(AND(304&lt;='Control Room'!$B$3,'Control Room'!$D$3="Ready"),2&lt;='Control Room'!$B$2),ROUND(MAX(0,'Process'!J305*'Control Room'!$H$5*INDEX('Control Room'!$B$19:$H$19,1,WEEKDAY($A305,2))*(1+'Control Room'!$D$9)^303*'Process'!K305),2),"")</x:f>
      </x:c>
      <x:c r="E305" s="16" t="str">
        <x:f>IF(AND(AND(304&lt;='Control Room'!$B$3,'Control Room'!$D$3="Ready"),3&lt;='Control Room'!$B$2),ROUND(MAX(0,'Process'!O305*'Control Room'!$H$6*INDEX('Control Room'!$B$19:$H$19,1,WEEKDAY($A305,2))*(1+'Control Room'!$D$9)^303*'Process'!P305),2),"")</x:f>
      </x:c>
      <x:c r="F305" s="16" t="str">
        <x:f>IF(AND(AND(304&lt;='Control Room'!$B$3,'Control Room'!$D$3="Ready"),4&lt;='Control Room'!$B$2),ROUND(MAX(0,'Process'!T305*'Control Room'!$H$7*INDEX('Control Room'!$B$19:$H$19,1,WEEKDAY($A305,2))*(1+'Control Room'!$D$9)^303*'Process'!U305),2),"")</x:f>
      </x:c>
      <x:c r="G305" s="16" t="str">
        <x:f>IF(AND(AND(304&lt;='Control Room'!$B$3,'Control Room'!$D$3="Ready"),5&lt;='Control Room'!$B$2),ROUND(MAX(0,'Process'!Y305*'Control Room'!$H$8*INDEX('Control Room'!$B$19:$H$19,1,WEEKDAY($A305,2))*(1+'Control Room'!$D$9)^303*'Process'!Z305),2),"")</x:f>
      </x:c>
      <x:c r="H305" s="16" t="str">
        <x:f>IF(AND(AND(304&lt;='Control Room'!$B$3,'Control Room'!$D$3="Ready"),6&lt;='Control Room'!$B$2),ROUND(MAX(0,'Process'!AD305*'Control Room'!$H$9*INDEX('Control Room'!$B$19:$H$19,1,WEEKDAY($A305,2))*(1+'Control Room'!$D$9)^303*'Process'!AE305),2),"")</x:f>
      </x:c>
      <x:c r="I305" s="16" t="str">
        <x:f>IF(AND(AND(304&lt;='Control Room'!$B$3,'Control Room'!$D$3="Ready"),7&lt;='Control Room'!$B$2),ROUND(MAX(0,'Process'!AI305*'Control Room'!$H$10*INDEX('Control Room'!$B$19:$H$19,1,WEEKDAY($A305,2))*(1+'Control Room'!$D$9)^303*'Process'!AJ305),2),"")</x:f>
      </x:c>
      <x:c r="J305" s="16" t="str">
        <x:f>IF(AND(AND(304&lt;='Control Room'!$B$3,'Control Room'!$D$3="Ready"),8&lt;='Control Room'!$B$2),ROUND(MAX(0,'Process'!AN305*'Control Room'!$H$11*INDEX('Control Room'!$B$19:$H$19,1,WEEKDAY($A305,2))*(1+'Control Room'!$D$9)^303*'Process'!AO305),2),"")</x:f>
      </x:c>
      <x:c r="K305" s="16" t="str">
        <x:f>IF(AND(AND(304&lt;='Control Room'!$B$3,'Control Room'!$D$3="Ready"),9&lt;='Control Room'!$B$2),ROUND(MAX(0,'Process'!AS305*'Control Room'!$H$12*INDEX('Control Room'!$B$19:$H$19,1,WEEKDAY($A305,2))*(1+'Control Room'!$D$9)^303*'Process'!AT305),2),"")</x:f>
      </x:c>
      <x:c r="L305" s="16" t="str">
        <x:f>IF(AND(AND(304&lt;='Control Room'!$B$3,'Control Room'!$D$3="Ready"),10&lt;='Control Room'!$B$2),ROUND(MAX(0,'Process'!AX305*'Control Room'!$H$13*INDEX('Control Room'!$B$19:$H$19,1,WEEKDAY($A305,2))*(1+'Control Room'!$D$9)^303*'Process'!AY305),2),"")</x:f>
      </x:c>
      <x:c r="M305" s="16" t="str">
        <x:f>IF(AND(AND(304&lt;='Control Room'!$B$3,'Control Room'!$D$3="Ready"),11&lt;='Control Room'!$B$2),ROUND(MAX(0,'Process'!BC305*'Control Room'!$H$14*INDEX('Control Room'!$B$19:$H$19,1,WEEKDAY($A305,2))*(1+'Control Room'!$D$9)^303*'Process'!BD305),2),"")</x:f>
      </x:c>
      <x:c r="N305" s="16" t="str">
        <x:f>IF(AND(AND(304&lt;='Control Room'!$B$3,'Control Room'!$D$3="Ready"),12&lt;='Control Room'!$B$2),ROUND(MAX(0,'Process'!BH305*'Control Room'!$H$15*INDEX('Control Room'!$B$19:$H$19,1,WEEKDAY($A305,2))*(1+'Control Room'!$D$9)^303*'Process'!BI305),2),"")</x:f>
      </x:c>
    </x:row>
    <x:row r="306" ht="21" customHeight="1">
      <x:c r="A306" s="15" t="str">
        <x:f>IF(AND(305&lt;='Control Room'!$B$3,'Control Room'!$D$3="Ready"),'Process'!A306,"")</x:f>
      </x:c>
      <x:c r="B306" s="16" t="str">
        <x:f>IF(A306="","",SUM(C306:N306))</x:f>
      </x:c>
      <x:c r="C306" s="16" t="str">
        <x:f>IF(AND(AND(305&lt;='Control Room'!$B$3,'Control Room'!$D$3="Ready"),1&lt;='Control Room'!$B$2),ROUND(MAX(0,'Process'!E306*'Control Room'!$H$4*INDEX('Control Room'!$B$19:$H$19,1,WEEKDAY($A306,2))*(1+'Control Room'!$D$9)^304*'Process'!F306),2),"")</x:f>
      </x:c>
      <x:c r="D306" s="16" t="str">
        <x:f>IF(AND(AND(305&lt;='Control Room'!$B$3,'Control Room'!$D$3="Ready"),2&lt;='Control Room'!$B$2),ROUND(MAX(0,'Process'!J306*'Control Room'!$H$5*INDEX('Control Room'!$B$19:$H$19,1,WEEKDAY($A306,2))*(1+'Control Room'!$D$9)^304*'Process'!K306),2),"")</x:f>
      </x:c>
      <x:c r="E306" s="16" t="str">
        <x:f>IF(AND(AND(305&lt;='Control Room'!$B$3,'Control Room'!$D$3="Ready"),3&lt;='Control Room'!$B$2),ROUND(MAX(0,'Process'!O306*'Control Room'!$H$6*INDEX('Control Room'!$B$19:$H$19,1,WEEKDAY($A306,2))*(1+'Control Room'!$D$9)^304*'Process'!P306),2),"")</x:f>
      </x:c>
      <x:c r="F306" s="16" t="str">
        <x:f>IF(AND(AND(305&lt;='Control Room'!$B$3,'Control Room'!$D$3="Ready"),4&lt;='Control Room'!$B$2),ROUND(MAX(0,'Process'!T306*'Control Room'!$H$7*INDEX('Control Room'!$B$19:$H$19,1,WEEKDAY($A306,2))*(1+'Control Room'!$D$9)^304*'Process'!U306),2),"")</x:f>
      </x:c>
      <x:c r="G306" s="16" t="str">
        <x:f>IF(AND(AND(305&lt;='Control Room'!$B$3,'Control Room'!$D$3="Ready"),5&lt;='Control Room'!$B$2),ROUND(MAX(0,'Process'!Y306*'Control Room'!$H$8*INDEX('Control Room'!$B$19:$H$19,1,WEEKDAY($A306,2))*(1+'Control Room'!$D$9)^304*'Process'!Z306),2),"")</x:f>
      </x:c>
      <x:c r="H306" s="16" t="str">
        <x:f>IF(AND(AND(305&lt;='Control Room'!$B$3,'Control Room'!$D$3="Ready"),6&lt;='Control Room'!$B$2),ROUND(MAX(0,'Process'!AD306*'Control Room'!$H$9*INDEX('Control Room'!$B$19:$H$19,1,WEEKDAY($A306,2))*(1+'Control Room'!$D$9)^304*'Process'!AE306),2),"")</x:f>
      </x:c>
      <x:c r="I306" s="16" t="str">
        <x:f>IF(AND(AND(305&lt;='Control Room'!$B$3,'Control Room'!$D$3="Ready"),7&lt;='Control Room'!$B$2),ROUND(MAX(0,'Process'!AI306*'Control Room'!$H$10*INDEX('Control Room'!$B$19:$H$19,1,WEEKDAY($A306,2))*(1+'Control Room'!$D$9)^304*'Process'!AJ306),2),"")</x:f>
      </x:c>
      <x:c r="J306" s="16" t="str">
        <x:f>IF(AND(AND(305&lt;='Control Room'!$B$3,'Control Room'!$D$3="Ready"),8&lt;='Control Room'!$B$2),ROUND(MAX(0,'Process'!AN306*'Control Room'!$H$11*INDEX('Control Room'!$B$19:$H$19,1,WEEKDAY($A306,2))*(1+'Control Room'!$D$9)^304*'Process'!AO306),2),"")</x:f>
      </x:c>
      <x:c r="K306" s="16" t="str">
        <x:f>IF(AND(AND(305&lt;='Control Room'!$B$3,'Control Room'!$D$3="Ready"),9&lt;='Control Room'!$B$2),ROUND(MAX(0,'Process'!AS306*'Control Room'!$H$12*INDEX('Control Room'!$B$19:$H$19,1,WEEKDAY($A306,2))*(1+'Control Room'!$D$9)^304*'Process'!AT306),2),"")</x:f>
      </x:c>
      <x:c r="L306" s="16" t="str">
        <x:f>IF(AND(AND(305&lt;='Control Room'!$B$3,'Control Room'!$D$3="Ready"),10&lt;='Control Room'!$B$2),ROUND(MAX(0,'Process'!AX306*'Control Room'!$H$13*INDEX('Control Room'!$B$19:$H$19,1,WEEKDAY($A306,2))*(1+'Control Room'!$D$9)^304*'Process'!AY306),2),"")</x:f>
      </x:c>
      <x:c r="M306" s="16" t="str">
        <x:f>IF(AND(AND(305&lt;='Control Room'!$B$3,'Control Room'!$D$3="Ready"),11&lt;='Control Room'!$B$2),ROUND(MAX(0,'Process'!BC306*'Control Room'!$H$14*INDEX('Control Room'!$B$19:$H$19,1,WEEKDAY($A306,2))*(1+'Control Room'!$D$9)^304*'Process'!BD306),2),"")</x:f>
      </x:c>
      <x:c r="N306" s="16" t="str">
        <x:f>IF(AND(AND(305&lt;='Control Room'!$B$3,'Control Room'!$D$3="Ready"),12&lt;='Control Room'!$B$2),ROUND(MAX(0,'Process'!BH306*'Control Room'!$H$15*INDEX('Control Room'!$B$19:$H$19,1,WEEKDAY($A306,2))*(1+'Control Room'!$D$9)^304*'Process'!BI306),2),"")</x:f>
      </x:c>
    </x:row>
    <x:row r="307" ht="21" customHeight="1">
      <x:c r="A307" s="15" t="str">
        <x:f>IF(AND(306&lt;='Control Room'!$B$3,'Control Room'!$D$3="Ready"),'Process'!A307,"")</x:f>
      </x:c>
      <x:c r="B307" s="16" t="str">
        <x:f>IF(A307="","",SUM(C307:N307))</x:f>
      </x:c>
      <x:c r="C307" s="16" t="str">
        <x:f>IF(AND(AND(306&lt;='Control Room'!$B$3,'Control Room'!$D$3="Ready"),1&lt;='Control Room'!$B$2),ROUND(MAX(0,'Process'!E307*'Control Room'!$H$4*INDEX('Control Room'!$B$19:$H$19,1,WEEKDAY($A307,2))*(1+'Control Room'!$D$9)^305*'Process'!F307),2),"")</x:f>
      </x:c>
      <x:c r="D307" s="16" t="str">
        <x:f>IF(AND(AND(306&lt;='Control Room'!$B$3,'Control Room'!$D$3="Ready"),2&lt;='Control Room'!$B$2),ROUND(MAX(0,'Process'!J307*'Control Room'!$H$5*INDEX('Control Room'!$B$19:$H$19,1,WEEKDAY($A307,2))*(1+'Control Room'!$D$9)^305*'Process'!K307),2),"")</x:f>
      </x:c>
      <x:c r="E307" s="16" t="str">
        <x:f>IF(AND(AND(306&lt;='Control Room'!$B$3,'Control Room'!$D$3="Ready"),3&lt;='Control Room'!$B$2),ROUND(MAX(0,'Process'!O307*'Control Room'!$H$6*INDEX('Control Room'!$B$19:$H$19,1,WEEKDAY($A307,2))*(1+'Control Room'!$D$9)^305*'Process'!P307),2),"")</x:f>
      </x:c>
      <x:c r="F307" s="16" t="str">
        <x:f>IF(AND(AND(306&lt;='Control Room'!$B$3,'Control Room'!$D$3="Ready"),4&lt;='Control Room'!$B$2),ROUND(MAX(0,'Process'!T307*'Control Room'!$H$7*INDEX('Control Room'!$B$19:$H$19,1,WEEKDAY($A307,2))*(1+'Control Room'!$D$9)^305*'Process'!U307),2),"")</x:f>
      </x:c>
      <x:c r="G307" s="16" t="str">
        <x:f>IF(AND(AND(306&lt;='Control Room'!$B$3,'Control Room'!$D$3="Ready"),5&lt;='Control Room'!$B$2),ROUND(MAX(0,'Process'!Y307*'Control Room'!$H$8*INDEX('Control Room'!$B$19:$H$19,1,WEEKDAY($A307,2))*(1+'Control Room'!$D$9)^305*'Process'!Z307),2),"")</x:f>
      </x:c>
      <x:c r="H307" s="16" t="str">
        <x:f>IF(AND(AND(306&lt;='Control Room'!$B$3,'Control Room'!$D$3="Ready"),6&lt;='Control Room'!$B$2),ROUND(MAX(0,'Process'!AD307*'Control Room'!$H$9*INDEX('Control Room'!$B$19:$H$19,1,WEEKDAY($A307,2))*(1+'Control Room'!$D$9)^305*'Process'!AE307),2),"")</x:f>
      </x:c>
      <x:c r="I307" s="16" t="str">
        <x:f>IF(AND(AND(306&lt;='Control Room'!$B$3,'Control Room'!$D$3="Ready"),7&lt;='Control Room'!$B$2),ROUND(MAX(0,'Process'!AI307*'Control Room'!$H$10*INDEX('Control Room'!$B$19:$H$19,1,WEEKDAY($A307,2))*(1+'Control Room'!$D$9)^305*'Process'!AJ307),2),"")</x:f>
      </x:c>
      <x:c r="J307" s="16" t="str">
        <x:f>IF(AND(AND(306&lt;='Control Room'!$B$3,'Control Room'!$D$3="Ready"),8&lt;='Control Room'!$B$2),ROUND(MAX(0,'Process'!AN307*'Control Room'!$H$11*INDEX('Control Room'!$B$19:$H$19,1,WEEKDAY($A307,2))*(1+'Control Room'!$D$9)^305*'Process'!AO307),2),"")</x:f>
      </x:c>
      <x:c r="K307" s="16" t="str">
        <x:f>IF(AND(AND(306&lt;='Control Room'!$B$3,'Control Room'!$D$3="Ready"),9&lt;='Control Room'!$B$2),ROUND(MAX(0,'Process'!AS307*'Control Room'!$H$12*INDEX('Control Room'!$B$19:$H$19,1,WEEKDAY($A307,2))*(1+'Control Room'!$D$9)^305*'Process'!AT307),2),"")</x:f>
      </x:c>
      <x:c r="L307" s="16" t="str">
        <x:f>IF(AND(AND(306&lt;='Control Room'!$B$3,'Control Room'!$D$3="Ready"),10&lt;='Control Room'!$B$2),ROUND(MAX(0,'Process'!AX307*'Control Room'!$H$13*INDEX('Control Room'!$B$19:$H$19,1,WEEKDAY($A307,2))*(1+'Control Room'!$D$9)^305*'Process'!AY307),2),"")</x:f>
      </x:c>
      <x:c r="M307" s="16" t="str">
        <x:f>IF(AND(AND(306&lt;='Control Room'!$B$3,'Control Room'!$D$3="Ready"),11&lt;='Control Room'!$B$2),ROUND(MAX(0,'Process'!BC307*'Control Room'!$H$14*INDEX('Control Room'!$B$19:$H$19,1,WEEKDAY($A307,2))*(1+'Control Room'!$D$9)^305*'Process'!BD307),2),"")</x:f>
      </x:c>
      <x:c r="N307" s="16" t="str">
        <x:f>IF(AND(AND(306&lt;='Control Room'!$B$3,'Control Room'!$D$3="Ready"),12&lt;='Control Room'!$B$2),ROUND(MAX(0,'Process'!BH307*'Control Room'!$H$15*INDEX('Control Room'!$B$19:$H$19,1,WEEKDAY($A307,2))*(1+'Control Room'!$D$9)^305*'Process'!BI307),2),"")</x:f>
      </x:c>
    </x:row>
    <x:row r="308" ht="21" customHeight="1">
      <x:c r="A308" s="15" t="str">
        <x:f>IF(AND(307&lt;='Control Room'!$B$3,'Control Room'!$D$3="Ready"),'Process'!A308,"")</x:f>
      </x:c>
      <x:c r="B308" s="16" t="str">
        <x:f>IF(A308="","",SUM(C308:N308))</x:f>
      </x:c>
      <x:c r="C308" s="16" t="str">
        <x:f>IF(AND(AND(307&lt;='Control Room'!$B$3,'Control Room'!$D$3="Ready"),1&lt;='Control Room'!$B$2),ROUND(MAX(0,'Process'!E308*'Control Room'!$H$4*INDEX('Control Room'!$B$19:$H$19,1,WEEKDAY($A308,2))*(1+'Control Room'!$D$9)^306*'Process'!F308),2),"")</x:f>
      </x:c>
      <x:c r="D308" s="16" t="str">
        <x:f>IF(AND(AND(307&lt;='Control Room'!$B$3,'Control Room'!$D$3="Ready"),2&lt;='Control Room'!$B$2),ROUND(MAX(0,'Process'!J308*'Control Room'!$H$5*INDEX('Control Room'!$B$19:$H$19,1,WEEKDAY($A308,2))*(1+'Control Room'!$D$9)^306*'Process'!K308),2),"")</x:f>
      </x:c>
      <x:c r="E308" s="16" t="str">
        <x:f>IF(AND(AND(307&lt;='Control Room'!$B$3,'Control Room'!$D$3="Ready"),3&lt;='Control Room'!$B$2),ROUND(MAX(0,'Process'!O308*'Control Room'!$H$6*INDEX('Control Room'!$B$19:$H$19,1,WEEKDAY($A308,2))*(1+'Control Room'!$D$9)^306*'Process'!P308),2),"")</x:f>
      </x:c>
      <x:c r="F308" s="16" t="str">
        <x:f>IF(AND(AND(307&lt;='Control Room'!$B$3,'Control Room'!$D$3="Ready"),4&lt;='Control Room'!$B$2),ROUND(MAX(0,'Process'!T308*'Control Room'!$H$7*INDEX('Control Room'!$B$19:$H$19,1,WEEKDAY($A308,2))*(1+'Control Room'!$D$9)^306*'Process'!U308),2),"")</x:f>
      </x:c>
      <x:c r="G308" s="16" t="str">
        <x:f>IF(AND(AND(307&lt;='Control Room'!$B$3,'Control Room'!$D$3="Ready"),5&lt;='Control Room'!$B$2),ROUND(MAX(0,'Process'!Y308*'Control Room'!$H$8*INDEX('Control Room'!$B$19:$H$19,1,WEEKDAY($A308,2))*(1+'Control Room'!$D$9)^306*'Process'!Z308),2),"")</x:f>
      </x:c>
      <x:c r="H308" s="16" t="str">
        <x:f>IF(AND(AND(307&lt;='Control Room'!$B$3,'Control Room'!$D$3="Ready"),6&lt;='Control Room'!$B$2),ROUND(MAX(0,'Process'!AD308*'Control Room'!$H$9*INDEX('Control Room'!$B$19:$H$19,1,WEEKDAY($A308,2))*(1+'Control Room'!$D$9)^306*'Process'!AE308),2),"")</x:f>
      </x:c>
      <x:c r="I308" s="16" t="str">
        <x:f>IF(AND(AND(307&lt;='Control Room'!$B$3,'Control Room'!$D$3="Ready"),7&lt;='Control Room'!$B$2),ROUND(MAX(0,'Process'!AI308*'Control Room'!$H$10*INDEX('Control Room'!$B$19:$H$19,1,WEEKDAY($A308,2))*(1+'Control Room'!$D$9)^306*'Process'!AJ308),2),"")</x:f>
      </x:c>
      <x:c r="J308" s="16" t="str">
        <x:f>IF(AND(AND(307&lt;='Control Room'!$B$3,'Control Room'!$D$3="Ready"),8&lt;='Control Room'!$B$2),ROUND(MAX(0,'Process'!AN308*'Control Room'!$H$11*INDEX('Control Room'!$B$19:$H$19,1,WEEKDAY($A308,2))*(1+'Control Room'!$D$9)^306*'Process'!AO308),2),"")</x:f>
      </x:c>
      <x:c r="K308" s="16" t="str">
        <x:f>IF(AND(AND(307&lt;='Control Room'!$B$3,'Control Room'!$D$3="Ready"),9&lt;='Control Room'!$B$2),ROUND(MAX(0,'Process'!AS308*'Control Room'!$H$12*INDEX('Control Room'!$B$19:$H$19,1,WEEKDAY($A308,2))*(1+'Control Room'!$D$9)^306*'Process'!AT308),2),"")</x:f>
      </x:c>
      <x:c r="L308" s="16" t="str">
        <x:f>IF(AND(AND(307&lt;='Control Room'!$B$3,'Control Room'!$D$3="Ready"),10&lt;='Control Room'!$B$2),ROUND(MAX(0,'Process'!AX308*'Control Room'!$H$13*INDEX('Control Room'!$B$19:$H$19,1,WEEKDAY($A308,2))*(1+'Control Room'!$D$9)^306*'Process'!AY308),2),"")</x:f>
      </x:c>
      <x:c r="M308" s="16" t="str">
        <x:f>IF(AND(AND(307&lt;='Control Room'!$B$3,'Control Room'!$D$3="Ready"),11&lt;='Control Room'!$B$2),ROUND(MAX(0,'Process'!BC308*'Control Room'!$H$14*INDEX('Control Room'!$B$19:$H$19,1,WEEKDAY($A308,2))*(1+'Control Room'!$D$9)^306*'Process'!BD308),2),"")</x:f>
      </x:c>
      <x:c r="N308" s="16" t="str">
        <x:f>IF(AND(AND(307&lt;='Control Room'!$B$3,'Control Room'!$D$3="Ready"),12&lt;='Control Room'!$B$2),ROUND(MAX(0,'Process'!BH308*'Control Room'!$H$15*INDEX('Control Room'!$B$19:$H$19,1,WEEKDAY($A308,2))*(1+'Control Room'!$D$9)^306*'Process'!BI308),2),"")</x:f>
      </x:c>
    </x:row>
    <x:row r="309" ht="21" customHeight="1">
      <x:c r="A309" s="15" t="str">
        <x:f>IF(AND(308&lt;='Control Room'!$B$3,'Control Room'!$D$3="Ready"),'Process'!A309,"")</x:f>
      </x:c>
      <x:c r="B309" s="16" t="str">
        <x:f>IF(A309="","",SUM(C309:N309))</x:f>
      </x:c>
      <x:c r="C309" s="16" t="str">
        <x:f>IF(AND(AND(308&lt;='Control Room'!$B$3,'Control Room'!$D$3="Ready"),1&lt;='Control Room'!$B$2),ROUND(MAX(0,'Process'!E309*'Control Room'!$H$4*INDEX('Control Room'!$B$19:$H$19,1,WEEKDAY($A309,2))*(1+'Control Room'!$D$9)^307*'Process'!F309),2),"")</x:f>
      </x:c>
      <x:c r="D309" s="16" t="str">
        <x:f>IF(AND(AND(308&lt;='Control Room'!$B$3,'Control Room'!$D$3="Ready"),2&lt;='Control Room'!$B$2),ROUND(MAX(0,'Process'!J309*'Control Room'!$H$5*INDEX('Control Room'!$B$19:$H$19,1,WEEKDAY($A309,2))*(1+'Control Room'!$D$9)^307*'Process'!K309),2),"")</x:f>
      </x:c>
      <x:c r="E309" s="16" t="str">
        <x:f>IF(AND(AND(308&lt;='Control Room'!$B$3,'Control Room'!$D$3="Ready"),3&lt;='Control Room'!$B$2),ROUND(MAX(0,'Process'!O309*'Control Room'!$H$6*INDEX('Control Room'!$B$19:$H$19,1,WEEKDAY($A309,2))*(1+'Control Room'!$D$9)^307*'Process'!P309),2),"")</x:f>
      </x:c>
      <x:c r="F309" s="16" t="str">
        <x:f>IF(AND(AND(308&lt;='Control Room'!$B$3,'Control Room'!$D$3="Ready"),4&lt;='Control Room'!$B$2),ROUND(MAX(0,'Process'!T309*'Control Room'!$H$7*INDEX('Control Room'!$B$19:$H$19,1,WEEKDAY($A309,2))*(1+'Control Room'!$D$9)^307*'Process'!U309),2),"")</x:f>
      </x:c>
      <x:c r="G309" s="16" t="str">
        <x:f>IF(AND(AND(308&lt;='Control Room'!$B$3,'Control Room'!$D$3="Ready"),5&lt;='Control Room'!$B$2),ROUND(MAX(0,'Process'!Y309*'Control Room'!$H$8*INDEX('Control Room'!$B$19:$H$19,1,WEEKDAY($A309,2))*(1+'Control Room'!$D$9)^307*'Process'!Z309),2),"")</x:f>
      </x:c>
      <x:c r="H309" s="16" t="str">
        <x:f>IF(AND(AND(308&lt;='Control Room'!$B$3,'Control Room'!$D$3="Ready"),6&lt;='Control Room'!$B$2),ROUND(MAX(0,'Process'!AD309*'Control Room'!$H$9*INDEX('Control Room'!$B$19:$H$19,1,WEEKDAY($A309,2))*(1+'Control Room'!$D$9)^307*'Process'!AE309),2),"")</x:f>
      </x:c>
      <x:c r="I309" s="16" t="str">
        <x:f>IF(AND(AND(308&lt;='Control Room'!$B$3,'Control Room'!$D$3="Ready"),7&lt;='Control Room'!$B$2),ROUND(MAX(0,'Process'!AI309*'Control Room'!$H$10*INDEX('Control Room'!$B$19:$H$19,1,WEEKDAY($A309,2))*(1+'Control Room'!$D$9)^307*'Process'!AJ309),2),"")</x:f>
      </x:c>
      <x:c r="J309" s="16" t="str">
        <x:f>IF(AND(AND(308&lt;='Control Room'!$B$3,'Control Room'!$D$3="Ready"),8&lt;='Control Room'!$B$2),ROUND(MAX(0,'Process'!AN309*'Control Room'!$H$11*INDEX('Control Room'!$B$19:$H$19,1,WEEKDAY($A309,2))*(1+'Control Room'!$D$9)^307*'Process'!AO309),2),"")</x:f>
      </x:c>
      <x:c r="K309" s="16" t="str">
        <x:f>IF(AND(AND(308&lt;='Control Room'!$B$3,'Control Room'!$D$3="Ready"),9&lt;='Control Room'!$B$2),ROUND(MAX(0,'Process'!AS309*'Control Room'!$H$12*INDEX('Control Room'!$B$19:$H$19,1,WEEKDAY($A309,2))*(1+'Control Room'!$D$9)^307*'Process'!AT309),2),"")</x:f>
      </x:c>
      <x:c r="L309" s="16" t="str">
        <x:f>IF(AND(AND(308&lt;='Control Room'!$B$3,'Control Room'!$D$3="Ready"),10&lt;='Control Room'!$B$2),ROUND(MAX(0,'Process'!AX309*'Control Room'!$H$13*INDEX('Control Room'!$B$19:$H$19,1,WEEKDAY($A309,2))*(1+'Control Room'!$D$9)^307*'Process'!AY309),2),"")</x:f>
      </x:c>
      <x:c r="M309" s="16" t="str">
        <x:f>IF(AND(AND(308&lt;='Control Room'!$B$3,'Control Room'!$D$3="Ready"),11&lt;='Control Room'!$B$2),ROUND(MAX(0,'Process'!BC309*'Control Room'!$H$14*INDEX('Control Room'!$B$19:$H$19,1,WEEKDAY($A309,2))*(1+'Control Room'!$D$9)^307*'Process'!BD309),2),"")</x:f>
      </x:c>
      <x:c r="N309" s="16" t="str">
        <x:f>IF(AND(AND(308&lt;='Control Room'!$B$3,'Control Room'!$D$3="Ready"),12&lt;='Control Room'!$B$2),ROUND(MAX(0,'Process'!BH309*'Control Room'!$H$15*INDEX('Control Room'!$B$19:$H$19,1,WEEKDAY($A309,2))*(1+'Control Room'!$D$9)^307*'Process'!BI309),2),"")</x:f>
      </x:c>
    </x:row>
    <x:row r="310" ht="21" customHeight="1">
      <x:c r="A310" s="15" t="str">
        <x:f>IF(AND(309&lt;='Control Room'!$B$3,'Control Room'!$D$3="Ready"),'Process'!A310,"")</x:f>
      </x:c>
      <x:c r="B310" s="16" t="str">
        <x:f>IF(A310="","",SUM(C310:N310))</x:f>
      </x:c>
      <x:c r="C310" s="16" t="str">
        <x:f>IF(AND(AND(309&lt;='Control Room'!$B$3,'Control Room'!$D$3="Ready"),1&lt;='Control Room'!$B$2),ROUND(MAX(0,'Process'!E310*'Control Room'!$H$4*INDEX('Control Room'!$B$19:$H$19,1,WEEKDAY($A310,2))*(1+'Control Room'!$D$9)^308*'Process'!F310),2),"")</x:f>
      </x:c>
      <x:c r="D310" s="16" t="str">
        <x:f>IF(AND(AND(309&lt;='Control Room'!$B$3,'Control Room'!$D$3="Ready"),2&lt;='Control Room'!$B$2),ROUND(MAX(0,'Process'!J310*'Control Room'!$H$5*INDEX('Control Room'!$B$19:$H$19,1,WEEKDAY($A310,2))*(1+'Control Room'!$D$9)^308*'Process'!K310),2),"")</x:f>
      </x:c>
      <x:c r="E310" s="16" t="str">
        <x:f>IF(AND(AND(309&lt;='Control Room'!$B$3,'Control Room'!$D$3="Ready"),3&lt;='Control Room'!$B$2),ROUND(MAX(0,'Process'!O310*'Control Room'!$H$6*INDEX('Control Room'!$B$19:$H$19,1,WEEKDAY($A310,2))*(1+'Control Room'!$D$9)^308*'Process'!P310),2),"")</x:f>
      </x:c>
      <x:c r="F310" s="16" t="str">
        <x:f>IF(AND(AND(309&lt;='Control Room'!$B$3,'Control Room'!$D$3="Ready"),4&lt;='Control Room'!$B$2),ROUND(MAX(0,'Process'!T310*'Control Room'!$H$7*INDEX('Control Room'!$B$19:$H$19,1,WEEKDAY($A310,2))*(1+'Control Room'!$D$9)^308*'Process'!U310),2),"")</x:f>
      </x:c>
      <x:c r="G310" s="16" t="str">
        <x:f>IF(AND(AND(309&lt;='Control Room'!$B$3,'Control Room'!$D$3="Ready"),5&lt;='Control Room'!$B$2),ROUND(MAX(0,'Process'!Y310*'Control Room'!$H$8*INDEX('Control Room'!$B$19:$H$19,1,WEEKDAY($A310,2))*(1+'Control Room'!$D$9)^308*'Process'!Z310),2),"")</x:f>
      </x:c>
      <x:c r="H310" s="16" t="str">
        <x:f>IF(AND(AND(309&lt;='Control Room'!$B$3,'Control Room'!$D$3="Ready"),6&lt;='Control Room'!$B$2),ROUND(MAX(0,'Process'!AD310*'Control Room'!$H$9*INDEX('Control Room'!$B$19:$H$19,1,WEEKDAY($A310,2))*(1+'Control Room'!$D$9)^308*'Process'!AE310),2),"")</x:f>
      </x:c>
      <x:c r="I310" s="16" t="str">
        <x:f>IF(AND(AND(309&lt;='Control Room'!$B$3,'Control Room'!$D$3="Ready"),7&lt;='Control Room'!$B$2),ROUND(MAX(0,'Process'!AI310*'Control Room'!$H$10*INDEX('Control Room'!$B$19:$H$19,1,WEEKDAY($A310,2))*(1+'Control Room'!$D$9)^308*'Process'!AJ310),2),"")</x:f>
      </x:c>
      <x:c r="J310" s="16" t="str">
        <x:f>IF(AND(AND(309&lt;='Control Room'!$B$3,'Control Room'!$D$3="Ready"),8&lt;='Control Room'!$B$2),ROUND(MAX(0,'Process'!AN310*'Control Room'!$H$11*INDEX('Control Room'!$B$19:$H$19,1,WEEKDAY($A310,2))*(1+'Control Room'!$D$9)^308*'Process'!AO310),2),"")</x:f>
      </x:c>
      <x:c r="K310" s="16" t="str">
        <x:f>IF(AND(AND(309&lt;='Control Room'!$B$3,'Control Room'!$D$3="Ready"),9&lt;='Control Room'!$B$2),ROUND(MAX(0,'Process'!AS310*'Control Room'!$H$12*INDEX('Control Room'!$B$19:$H$19,1,WEEKDAY($A310,2))*(1+'Control Room'!$D$9)^308*'Process'!AT310),2),"")</x:f>
      </x:c>
      <x:c r="L310" s="16" t="str">
        <x:f>IF(AND(AND(309&lt;='Control Room'!$B$3,'Control Room'!$D$3="Ready"),10&lt;='Control Room'!$B$2),ROUND(MAX(0,'Process'!AX310*'Control Room'!$H$13*INDEX('Control Room'!$B$19:$H$19,1,WEEKDAY($A310,2))*(1+'Control Room'!$D$9)^308*'Process'!AY310),2),"")</x:f>
      </x:c>
      <x:c r="M310" s="16" t="str">
        <x:f>IF(AND(AND(309&lt;='Control Room'!$B$3,'Control Room'!$D$3="Ready"),11&lt;='Control Room'!$B$2),ROUND(MAX(0,'Process'!BC310*'Control Room'!$H$14*INDEX('Control Room'!$B$19:$H$19,1,WEEKDAY($A310,2))*(1+'Control Room'!$D$9)^308*'Process'!BD310),2),"")</x:f>
      </x:c>
      <x:c r="N310" s="16" t="str">
        <x:f>IF(AND(AND(309&lt;='Control Room'!$B$3,'Control Room'!$D$3="Ready"),12&lt;='Control Room'!$B$2),ROUND(MAX(0,'Process'!BH310*'Control Room'!$H$15*INDEX('Control Room'!$B$19:$H$19,1,WEEKDAY($A310,2))*(1+'Control Room'!$D$9)^308*'Process'!BI310),2),"")</x:f>
      </x:c>
    </x:row>
    <x:row r="311" ht="21" customHeight="1">
      <x:c r="A311" s="15" t="str">
        <x:f>IF(AND(310&lt;='Control Room'!$B$3,'Control Room'!$D$3="Ready"),'Process'!A311,"")</x:f>
      </x:c>
      <x:c r="B311" s="16" t="str">
        <x:f>IF(A311="","",SUM(C311:N311))</x:f>
      </x:c>
      <x:c r="C311" s="16" t="str">
        <x:f>IF(AND(AND(310&lt;='Control Room'!$B$3,'Control Room'!$D$3="Ready"),1&lt;='Control Room'!$B$2),ROUND(MAX(0,'Process'!E311*'Control Room'!$H$4*INDEX('Control Room'!$B$19:$H$19,1,WEEKDAY($A311,2))*(1+'Control Room'!$D$9)^309*'Process'!F311),2),"")</x:f>
      </x:c>
      <x:c r="D311" s="16" t="str">
        <x:f>IF(AND(AND(310&lt;='Control Room'!$B$3,'Control Room'!$D$3="Ready"),2&lt;='Control Room'!$B$2),ROUND(MAX(0,'Process'!J311*'Control Room'!$H$5*INDEX('Control Room'!$B$19:$H$19,1,WEEKDAY($A311,2))*(1+'Control Room'!$D$9)^309*'Process'!K311),2),"")</x:f>
      </x:c>
      <x:c r="E311" s="16" t="str">
        <x:f>IF(AND(AND(310&lt;='Control Room'!$B$3,'Control Room'!$D$3="Ready"),3&lt;='Control Room'!$B$2),ROUND(MAX(0,'Process'!O311*'Control Room'!$H$6*INDEX('Control Room'!$B$19:$H$19,1,WEEKDAY($A311,2))*(1+'Control Room'!$D$9)^309*'Process'!P311),2),"")</x:f>
      </x:c>
      <x:c r="F311" s="16" t="str">
        <x:f>IF(AND(AND(310&lt;='Control Room'!$B$3,'Control Room'!$D$3="Ready"),4&lt;='Control Room'!$B$2),ROUND(MAX(0,'Process'!T311*'Control Room'!$H$7*INDEX('Control Room'!$B$19:$H$19,1,WEEKDAY($A311,2))*(1+'Control Room'!$D$9)^309*'Process'!U311),2),"")</x:f>
      </x:c>
      <x:c r="G311" s="16" t="str">
        <x:f>IF(AND(AND(310&lt;='Control Room'!$B$3,'Control Room'!$D$3="Ready"),5&lt;='Control Room'!$B$2),ROUND(MAX(0,'Process'!Y311*'Control Room'!$H$8*INDEX('Control Room'!$B$19:$H$19,1,WEEKDAY($A311,2))*(1+'Control Room'!$D$9)^309*'Process'!Z311),2),"")</x:f>
      </x:c>
      <x:c r="H311" s="16" t="str">
        <x:f>IF(AND(AND(310&lt;='Control Room'!$B$3,'Control Room'!$D$3="Ready"),6&lt;='Control Room'!$B$2),ROUND(MAX(0,'Process'!AD311*'Control Room'!$H$9*INDEX('Control Room'!$B$19:$H$19,1,WEEKDAY($A311,2))*(1+'Control Room'!$D$9)^309*'Process'!AE311),2),"")</x:f>
      </x:c>
      <x:c r="I311" s="16" t="str">
        <x:f>IF(AND(AND(310&lt;='Control Room'!$B$3,'Control Room'!$D$3="Ready"),7&lt;='Control Room'!$B$2),ROUND(MAX(0,'Process'!AI311*'Control Room'!$H$10*INDEX('Control Room'!$B$19:$H$19,1,WEEKDAY($A311,2))*(1+'Control Room'!$D$9)^309*'Process'!AJ311),2),"")</x:f>
      </x:c>
      <x:c r="J311" s="16" t="str">
        <x:f>IF(AND(AND(310&lt;='Control Room'!$B$3,'Control Room'!$D$3="Ready"),8&lt;='Control Room'!$B$2),ROUND(MAX(0,'Process'!AN311*'Control Room'!$H$11*INDEX('Control Room'!$B$19:$H$19,1,WEEKDAY($A311,2))*(1+'Control Room'!$D$9)^309*'Process'!AO311),2),"")</x:f>
      </x:c>
      <x:c r="K311" s="16" t="str">
        <x:f>IF(AND(AND(310&lt;='Control Room'!$B$3,'Control Room'!$D$3="Ready"),9&lt;='Control Room'!$B$2),ROUND(MAX(0,'Process'!AS311*'Control Room'!$H$12*INDEX('Control Room'!$B$19:$H$19,1,WEEKDAY($A311,2))*(1+'Control Room'!$D$9)^309*'Process'!AT311),2),"")</x:f>
      </x:c>
      <x:c r="L311" s="16" t="str">
        <x:f>IF(AND(AND(310&lt;='Control Room'!$B$3,'Control Room'!$D$3="Ready"),10&lt;='Control Room'!$B$2),ROUND(MAX(0,'Process'!AX311*'Control Room'!$H$13*INDEX('Control Room'!$B$19:$H$19,1,WEEKDAY($A311,2))*(1+'Control Room'!$D$9)^309*'Process'!AY311),2),"")</x:f>
      </x:c>
      <x:c r="M311" s="16" t="str">
        <x:f>IF(AND(AND(310&lt;='Control Room'!$B$3,'Control Room'!$D$3="Ready"),11&lt;='Control Room'!$B$2),ROUND(MAX(0,'Process'!BC311*'Control Room'!$H$14*INDEX('Control Room'!$B$19:$H$19,1,WEEKDAY($A311,2))*(1+'Control Room'!$D$9)^309*'Process'!BD311),2),"")</x:f>
      </x:c>
      <x:c r="N311" s="16" t="str">
        <x:f>IF(AND(AND(310&lt;='Control Room'!$B$3,'Control Room'!$D$3="Ready"),12&lt;='Control Room'!$B$2),ROUND(MAX(0,'Process'!BH311*'Control Room'!$H$15*INDEX('Control Room'!$B$19:$H$19,1,WEEKDAY($A311,2))*(1+'Control Room'!$D$9)^309*'Process'!BI311),2),"")</x:f>
      </x:c>
    </x:row>
    <x:row r="312" ht="21" customHeight="1">
      <x:c r="A312" s="15" t="str">
        <x:f>IF(AND(311&lt;='Control Room'!$B$3,'Control Room'!$D$3="Ready"),'Process'!A312,"")</x:f>
      </x:c>
      <x:c r="B312" s="16" t="str">
        <x:f>IF(A312="","",SUM(C312:N312))</x:f>
      </x:c>
      <x:c r="C312" s="16" t="str">
        <x:f>IF(AND(AND(311&lt;='Control Room'!$B$3,'Control Room'!$D$3="Ready"),1&lt;='Control Room'!$B$2),ROUND(MAX(0,'Process'!E312*'Control Room'!$H$4*INDEX('Control Room'!$B$19:$H$19,1,WEEKDAY($A312,2))*(1+'Control Room'!$D$9)^310*'Process'!F312),2),"")</x:f>
      </x:c>
      <x:c r="D312" s="16" t="str">
        <x:f>IF(AND(AND(311&lt;='Control Room'!$B$3,'Control Room'!$D$3="Ready"),2&lt;='Control Room'!$B$2),ROUND(MAX(0,'Process'!J312*'Control Room'!$H$5*INDEX('Control Room'!$B$19:$H$19,1,WEEKDAY($A312,2))*(1+'Control Room'!$D$9)^310*'Process'!K312),2),"")</x:f>
      </x:c>
      <x:c r="E312" s="16" t="str">
        <x:f>IF(AND(AND(311&lt;='Control Room'!$B$3,'Control Room'!$D$3="Ready"),3&lt;='Control Room'!$B$2),ROUND(MAX(0,'Process'!O312*'Control Room'!$H$6*INDEX('Control Room'!$B$19:$H$19,1,WEEKDAY($A312,2))*(1+'Control Room'!$D$9)^310*'Process'!P312),2),"")</x:f>
      </x:c>
      <x:c r="F312" s="16" t="str">
        <x:f>IF(AND(AND(311&lt;='Control Room'!$B$3,'Control Room'!$D$3="Ready"),4&lt;='Control Room'!$B$2),ROUND(MAX(0,'Process'!T312*'Control Room'!$H$7*INDEX('Control Room'!$B$19:$H$19,1,WEEKDAY($A312,2))*(1+'Control Room'!$D$9)^310*'Process'!U312),2),"")</x:f>
      </x:c>
      <x:c r="G312" s="16" t="str">
        <x:f>IF(AND(AND(311&lt;='Control Room'!$B$3,'Control Room'!$D$3="Ready"),5&lt;='Control Room'!$B$2),ROUND(MAX(0,'Process'!Y312*'Control Room'!$H$8*INDEX('Control Room'!$B$19:$H$19,1,WEEKDAY($A312,2))*(1+'Control Room'!$D$9)^310*'Process'!Z312),2),"")</x:f>
      </x:c>
      <x:c r="H312" s="16" t="str">
        <x:f>IF(AND(AND(311&lt;='Control Room'!$B$3,'Control Room'!$D$3="Ready"),6&lt;='Control Room'!$B$2),ROUND(MAX(0,'Process'!AD312*'Control Room'!$H$9*INDEX('Control Room'!$B$19:$H$19,1,WEEKDAY($A312,2))*(1+'Control Room'!$D$9)^310*'Process'!AE312),2),"")</x:f>
      </x:c>
      <x:c r="I312" s="16" t="str">
        <x:f>IF(AND(AND(311&lt;='Control Room'!$B$3,'Control Room'!$D$3="Ready"),7&lt;='Control Room'!$B$2),ROUND(MAX(0,'Process'!AI312*'Control Room'!$H$10*INDEX('Control Room'!$B$19:$H$19,1,WEEKDAY($A312,2))*(1+'Control Room'!$D$9)^310*'Process'!AJ312),2),"")</x:f>
      </x:c>
      <x:c r="J312" s="16" t="str">
        <x:f>IF(AND(AND(311&lt;='Control Room'!$B$3,'Control Room'!$D$3="Ready"),8&lt;='Control Room'!$B$2),ROUND(MAX(0,'Process'!AN312*'Control Room'!$H$11*INDEX('Control Room'!$B$19:$H$19,1,WEEKDAY($A312,2))*(1+'Control Room'!$D$9)^310*'Process'!AO312),2),"")</x:f>
      </x:c>
      <x:c r="K312" s="16" t="str">
        <x:f>IF(AND(AND(311&lt;='Control Room'!$B$3,'Control Room'!$D$3="Ready"),9&lt;='Control Room'!$B$2),ROUND(MAX(0,'Process'!AS312*'Control Room'!$H$12*INDEX('Control Room'!$B$19:$H$19,1,WEEKDAY($A312,2))*(1+'Control Room'!$D$9)^310*'Process'!AT312),2),"")</x:f>
      </x:c>
      <x:c r="L312" s="16" t="str">
        <x:f>IF(AND(AND(311&lt;='Control Room'!$B$3,'Control Room'!$D$3="Ready"),10&lt;='Control Room'!$B$2),ROUND(MAX(0,'Process'!AX312*'Control Room'!$H$13*INDEX('Control Room'!$B$19:$H$19,1,WEEKDAY($A312,2))*(1+'Control Room'!$D$9)^310*'Process'!AY312),2),"")</x:f>
      </x:c>
      <x:c r="M312" s="16" t="str">
        <x:f>IF(AND(AND(311&lt;='Control Room'!$B$3,'Control Room'!$D$3="Ready"),11&lt;='Control Room'!$B$2),ROUND(MAX(0,'Process'!BC312*'Control Room'!$H$14*INDEX('Control Room'!$B$19:$H$19,1,WEEKDAY($A312,2))*(1+'Control Room'!$D$9)^310*'Process'!BD312),2),"")</x:f>
      </x:c>
      <x:c r="N312" s="16" t="str">
        <x:f>IF(AND(AND(311&lt;='Control Room'!$B$3,'Control Room'!$D$3="Ready"),12&lt;='Control Room'!$B$2),ROUND(MAX(0,'Process'!BH312*'Control Room'!$H$15*INDEX('Control Room'!$B$19:$H$19,1,WEEKDAY($A312,2))*(1+'Control Room'!$D$9)^310*'Process'!BI312),2),"")</x:f>
      </x:c>
    </x:row>
    <x:row r="313" ht="21" customHeight="1">
      <x:c r="A313" s="15" t="str">
        <x:f>IF(AND(312&lt;='Control Room'!$B$3,'Control Room'!$D$3="Ready"),'Process'!A313,"")</x:f>
      </x:c>
      <x:c r="B313" s="16" t="str">
        <x:f>IF(A313="","",SUM(C313:N313))</x:f>
      </x:c>
      <x:c r="C313" s="16" t="str">
        <x:f>IF(AND(AND(312&lt;='Control Room'!$B$3,'Control Room'!$D$3="Ready"),1&lt;='Control Room'!$B$2),ROUND(MAX(0,'Process'!E313*'Control Room'!$H$4*INDEX('Control Room'!$B$19:$H$19,1,WEEKDAY($A313,2))*(1+'Control Room'!$D$9)^311*'Process'!F313),2),"")</x:f>
      </x:c>
      <x:c r="D313" s="16" t="str">
        <x:f>IF(AND(AND(312&lt;='Control Room'!$B$3,'Control Room'!$D$3="Ready"),2&lt;='Control Room'!$B$2),ROUND(MAX(0,'Process'!J313*'Control Room'!$H$5*INDEX('Control Room'!$B$19:$H$19,1,WEEKDAY($A313,2))*(1+'Control Room'!$D$9)^311*'Process'!K313),2),"")</x:f>
      </x:c>
      <x:c r="E313" s="16" t="str">
        <x:f>IF(AND(AND(312&lt;='Control Room'!$B$3,'Control Room'!$D$3="Ready"),3&lt;='Control Room'!$B$2),ROUND(MAX(0,'Process'!O313*'Control Room'!$H$6*INDEX('Control Room'!$B$19:$H$19,1,WEEKDAY($A313,2))*(1+'Control Room'!$D$9)^311*'Process'!P313),2),"")</x:f>
      </x:c>
      <x:c r="F313" s="16" t="str">
        <x:f>IF(AND(AND(312&lt;='Control Room'!$B$3,'Control Room'!$D$3="Ready"),4&lt;='Control Room'!$B$2),ROUND(MAX(0,'Process'!T313*'Control Room'!$H$7*INDEX('Control Room'!$B$19:$H$19,1,WEEKDAY($A313,2))*(1+'Control Room'!$D$9)^311*'Process'!U313),2),"")</x:f>
      </x:c>
      <x:c r="G313" s="16" t="str">
        <x:f>IF(AND(AND(312&lt;='Control Room'!$B$3,'Control Room'!$D$3="Ready"),5&lt;='Control Room'!$B$2),ROUND(MAX(0,'Process'!Y313*'Control Room'!$H$8*INDEX('Control Room'!$B$19:$H$19,1,WEEKDAY($A313,2))*(1+'Control Room'!$D$9)^311*'Process'!Z313),2),"")</x:f>
      </x:c>
      <x:c r="H313" s="16" t="str">
        <x:f>IF(AND(AND(312&lt;='Control Room'!$B$3,'Control Room'!$D$3="Ready"),6&lt;='Control Room'!$B$2),ROUND(MAX(0,'Process'!AD313*'Control Room'!$H$9*INDEX('Control Room'!$B$19:$H$19,1,WEEKDAY($A313,2))*(1+'Control Room'!$D$9)^311*'Process'!AE313),2),"")</x:f>
      </x:c>
      <x:c r="I313" s="16" t="str">
        <x:f>IF(AND(AND(312&lt;='Control Room'!$B$3,'Control Room'!$D$3="Ready"),7&lt;='Control Room'!$B$2),ROUND(MAX(0,'Process'!AI313*'Control Room'!$H$10*INDEX('Control Room'!$B$19:$H$19,1,WEEKDAY($A313,2))*(1+'Control Room'!$D$9)^311*'Process'!AJ313),2),"")</x:f>
      </x:c>
      <x:c r="J313" s="16" t="str">
        <x:f>IF(AND(AND(312&lt;='Control Room'!$B$3,'Control Room'!$D$3="Ready"),8&lt;='Control Room'!$B$2),ROUND(MAX(0,'Process'!AN313*'Control Room'!$H$11*INDEX('Control Room'!$B$19:$H$19,1,WEEKDAY($A313,2))*(1+'Control Room'!$D$9)^311*'Process'!AO313),2),"")</x:f>
      </x:c>
      <x:c r="K313" s="16" t="str">
        <x:f>IF(AND(AND(312&lt;='Control Room'!$B$3,'Control Room'!$D$3="Ready"),9&lt;='Control Room'!$B$2),ROUND(MAX(0,'Process'!AS313*'Control Room'!$H$12*INDEX('Control Room'!$B$19:$H$19,1,WEEKDAY($A313,2))*(1+'Control Room'!$D$9)^311*'Process'!AT313),2),"")</x:f>
      </x:c>
      <x:c r="L313" s="16" t="str">
        <x:f>IF(AND(AND(312&lt;='Control Room'!$B$3,'Control Room'!$D$3="Ready"),10&lt;='Control Room'!$B$2),ROUND(MAX(0,'Process'!AX313*'Control Room'!$H$13*INDEX('Control Room'!$B$19:$H$19,1,WEEKDAY($A313,2))*(1+'Control Room'!$D$9)^311*'Process'!AY313),2),"")</x:f>
      </x:c>
      <x:c r="M313" s="16" t="str">
        <x:f>IF(AND(AND(312&lt;='Control Room'!$B$3,'Control Room'!$D$3="Ready"),11&lt;='Control Room'!$B$2),ROUND(MAX(0,'Process'!BC313*'Control Room'!$H$14*INDEX('Control Room'!$B$19:$H$19,1,WEEKDAY($A313,2))*(1+'Control Room'!$D$9)^311*'Process'!BD313),2),"")</x:f>
      </x:c>
      <x:c r="N313" s="16" t="str">
        <x:f>IF(AND(AND(312&lt;='Control Room'!$B$3,'Control Room'!$D$3="Ready"),12&lt;='Control Room'!$B$2),ROUND(MAX(0,'Process'!BH313*'Control Room'!$H$15*INDEX('Control Room'!$B$19:$H$19,1,WEEKDAY($A313,2))*(1+'Control Room'!$D$9)^311*'Process'!BI313),2),"")</x:f>
      </x:c>
    </x:row>
    <x:row r="314" ht="21" customHeight="1">
      <x:c r="A314" s="15" t="str">
        <x:f>IF(AND(313&lt;='Control Room'!$B$3,'Control Room'!$D$3="Ready"),'Process'!A314,"")</x:f>
      </x:c>
      <x:c r="B314" s="16" t="str">
        <x:f>IF(A314="","",SUM(C314:N314))</x:f>
      </x:c>
      <x:c r="C314" s="16" t="str">
        <x:f>IF(AND(AND(313&lt;='Control Room'!$B$3,'Control Room'!$D$3="Ready"),1&lt;='Control Room'!$B$2),ROUND(MAX(0,'Process'!E314*'Control Room'!$H$4*INDEX('Control Room'!$B$19:$H$19,1,WEEKDAY($A314,2))*(1+'Control Room'!$D$9)^312*'Process'!F314),2),"")</x:f>
      </x:c>
      <x:c r="D314" s="16" t="str">
        <x:f>IF(AND(AND(313&lt;='Control Room'!$B$3,'Control Room'!$D$3="Ready"),2&lt;='Control Room'!$B$2),ROUND(MAX(0,'Process'!J314*'Control Room'!$H$5*INDEX('Control Room'!$B$19:$H$19,1,WEEKDAY($A314,2))*(1+'Control Room'!$D$9)^312*'Process'!K314),2),"")</x:f>
      </x:c>
      <x:c r="E314" s="16" t="str">
        <x:f>IF(AND(AND(313&lt;='Control Room'!$B$3,'Control Room'!$D$3="Ready"),3&lt;='Control Room'!$B$2),ROUND(MAX(0,'Process'!O314*'Control Room'!$H$6*INDEX('Control Room'!$B$19:$H$19,1,WEEKDAY($A314,2))*(1+'Control Room'!$D$9)^312*'Process'!P314),2),"")</x:f>
      </x:c>
      <x:c r="F314" s="16" t="str">
        <x:f>IF(AND(AND(313&lt;='Control Room'!$B$3,'Control Room'!$D$3="Ready"),4&lt;='Control Room'!$B$2),ROUND(MAX(0,'Process'!T314*'Control Room'!$H$7*INDEX('Control Room'!$B$19:$H$19,1,WEEKDAY($A314,2))*(1+'Control Room'!$D$9)^312*'Process'!U314),2),"")</x:f>
      </x:c>
      <x:c r="G314" s="16" t="str">
        <x:f>IF(AND(AND(313&lt;='Control Room'!$B$3,'Control Room'!$D$3="Ready"),5&lt;='Control Room'!$B$2),ROUND(MAX(0,'Process'!Y314*'Control Room'!$H$8*INDEX('Control Room'!$B$19:$H$19,1,WEEKDAY($A314,2))*(1+'Control Room'!$D$9)^312*'Process'!Z314),2),"")</x:f>
      </x:c>
      <x:c r="H314" s="16" t="str">
        <x:f>IF(AND(AND(313&lt;='Control Room'!$B$3,'Control Room'!$D$3="Ready"),6&lt;='Control Room'!$B$2),ROUND(MAX(0,'Process'!AD314*'Control Room'!$H$9*INDEX('Control Room'!$B$19:$H$19,1,WEEKDAY($A314,2))*(1+'Control Room'!$D$9)^312*'Process'!AE314),2),"")</x:f>
      </x:c>
      <x:c r="I314" s="16" t="str">
        <x:f>IF(AND(AND(313&lt;='Control Room'!$B$3,'Control Room'!$D$3="Ready"),7&lt;='Control Room'!$B$2),ROUND(MAX(0,'Process'!AI314*'Control Room'!$H$10*INDEX('Control Room'!$B$19:$H$19,1,WEEKDAY($A314,2))*(1+'Control Room'!$D$9)^312*'Process'!AJ314),2),"")</x:f>
      </x:c>
      <x:c r="J314" s="16" t="str">
        <x:f>IF(AND(AND(313&lt;='Control Room'!$B$3,'Control Room'!$D$3="Ready"),8&lt;='Control Room'!$B$2),ROUND(MAX(0,'Process'!AN314*'Control Room'!$H$11*INDEX('Control Room'!$B$19:$H$19,1,WEEKDAY($A314,2))*(1+'Control Room'!$D$9)^312*'Process'!AO314),2),"")</x:f>
      </x:c>
      <x:c r="K314" s="16" t="str">
        <x:f>IF(AND(AND(313&lt;='Control Room'!$B$3,'Control Room'!$D$3="Ready"),9&lt;='Control Room'!$B$2),ROUND(MAX(0,'Process'!AS314*'Control Room'!$H$12*INDEX('Control Room'!$B$19:$H$19,1,WEEKDAY($A314,2))*(1+'Control Room'!$D$9)^312*'Process'!AT314),2),"")</x:f>
      </x:c>
      <x:c r="L314" s="16" t="str">
        <x:f>IF(AND(AND(313&lt;='Control Room'!$B$3,'Control Room'!$D$3="Ready"),10&lt;='Control Room'!$B$2),ROUND(MAX(0,'Process'!AX314*'Control Room'!$H$13*INDEX('Control Room'!$B$19:$H$19,1,WEEKDAY($A314,2))*(1+'Control Room'!$D$9)^312*'Process'!AY314),2),"")</x:f>
      </x:c>
      <x:c r="M314" s="16" t="str">
        <x:f>IF(AND(AND(313&lt;='Control Room'!$B$3,'Control Room'!$D$3="Ready"),11&lt;='Control Room'!$B$2),ROUND(MAX(0,'Process'!BC314*'Control Room'!$H$14*INDEX('Control Room'!$B$19:$H$19,1,WEEKDAY($A314,2))*(1+'Control Room'!$D$9)^312*'Process'!BD314),2),"")</x:f>
      </x:c>
      <x:c r="N314" s="16" t="str">
        <x:f>IF(AND(AND(313&lt;='Control Room'!$B$3,'Control Room'!$D$3="Ready"),12&lt;='Control Room'!$B$2),ROUND(MAX(0,'Process'!BH314*'Control Room'!$H$15*INDEX('Control Room'!$B$19:$H$19,1,WEEKDAY($A314,2))*(1+'Control Room'!$D$9)^312*'Process'!BI314),2),"")</x:f>
      </x:c>
    </x:row>
    <x:row r="315" ht="21" customHeight="1">
      <x:c r="A315" s="15" t="str">
        <x:f>IF(AND(314&lt;='Control Room'!$B$3,'Control Room'!$D$3="Ready"),'Process'!A315,"")</x:f>
      </x:c>
      <x:c r="B315" s="16" t="str">
        <x:f>IF(A315="","",SUM(C315:N315))</x:f>
      </x:c>
      <x:c r="C315" s="16" t="str">
        <x:f>IF(AND(AND(314&lt;='Control Room'!$B$3,'Control Room'!$D$3="Ready"),1&lt;='Control Room'!$B$2),ROUND(MAX(0,'Process'!E315*'Control Room'!$H$4*INDEX('Control Room'!$B$19:$H$19,1,WEEKDAY($A315,2))*(1+'Control Room'!$D$9)^313*'Process'!F315),2),"")</x:f>
      </x:c>
      <x:c r="D315" s="16" t="str">
        <x:f>IF(AND(AND(314&lt;='Control Room'!$B$3,'Control Room'!$D$3="Ready"),2&lt;='Control Room'!$B$2),ROUND(MAX(0,'Process'!J315*'Control Room'!$H$5*INDEX('Control Room'!$B$19:$H$19,1,WEEKDAY($A315,2))*(1+'Control Room'!$D$9)^313*'Process'!K315),2),"")</x:f>
      </x:c>
      <x:c r="E315" s="16" t="str">
        <x:f>IF(AND(AND(314&lt;='Control Room'!$B$3,'Control Room'!$D$3="Ready"),3&lt;='Control Room'!$B$2),ROUND(MAX(0,'Process'!O315*'Control Room'!$H$6*INDEX('Control Room'!$B$19:$H$19,1,WEEKDAY($A315,2))*(1+'Control Room'!$D$9)^313*'Process'!P315),2),"")</x:f>
      </x:c>
      <x:c r="F315" s="16" t="str">
        <x:f>IF(AND(AND(314&lt;='Control Room'!$B$3,'Control Room'!$D$3="Ready"),4&lt;='Control Room'!$B$2),ROUND(MAX(0,'Process'!T315*'Control Room'!$H$7*INDEX('Control Room'!$B$19:$H$19,1,WEEKDAY($A315,2))*(1+'Control Room'!$D$9)^313*'Process'!U315),2),"")</x:f>
      </x:c>
      <x:c r="G315" s="16" t="str">
        <x:f>IF(AND(AND(314&lt;='Control Room'!$B$3,'Control Room'!$D$3="Ready"),5&lt;='Control Room'!$B$2),ROUND(MAX(0,'Process'!Y315*'Control Room'!$H$8*INDEX('Control Room'!$B$19:$H$19,1,WEEKDAY($A315,2))*(1+'Control Room'!$D$9)^313*'Process'!Z315),2),"")</x:f>
      </x:c>
      <x:c r="H315" s="16" t="str">
        <x:f>IF(AND(AND(314&lt;='Control Room'!$B$3,'Control Room'!$D$3="Ready"),6&lt;='Control Room'!$B$2),ROUND(MAX(0,'Process'!AD315*'Control Room'!$H$9*INDEX('Control Room'!$B$19:$H$19,1,WEEKDAY($A315,2))*(1+'Control Room'!$D$9)^313*'Process'!AE315),2),"")</x:f>
      </x:c>
      <x:c r="I315" s="16" t="str">
        <x:f>IF(AND(AND(314&lt;='Control Room'!$B$3,'Control Room'!$D$3="Ready"),7&lt;='Control Room'!$B$2),ROUND(MAX(0,'Process'!AI315*'Control Room'!$H$10*INDEX('Control Room'!$B$19:$H$19,1,WEEKDAY($A315,2))*(1+'Control Room'!$D$9)^313*'Process'!AJ315),2),"")</x:f>
      </x:c>
      <x:c r="J315" s="16" t="str">
        <x:f>IF(AND(AND(314&lt;='Control Room'!$B$3,'Control Room'!$D$3="Ready"),8&lt;='Control Room'!$B$2),ROUND(MAX(0,'Process'!AN315*'Control Room'!$H$11*INDEX('Control Room'!$B$19:$H$19,1,WEEKDAY($A315,2))*(1+'Control Room'!$D$9)^313*'Process'!AO315),2),"")</x:f>
      </x:c>
      <x:c r="K315" s="16" t="str">
        <x:f>IF(AND(AND(314&lt;='Control Room'!$B$3,'Control Room'!$D$3="Ready"),9&lt;='Control Room'!$B$2),ROUND(MAX(0,'Process'!AS315*'Control Room'!$H$12*INDEX('Control Room'!$B$19:$H$19,1,WEEKDAY($A315,2))*(1+'Control Room'!$D$9)^313*'Process'!AT315),2),"")</x:f>
      </x:c>
      <x:c r="L315" s="16" t="str">
        <x:f>IF(AND(AND(314&lt;='Control Room'!$B$3,'Control Room'!$D$3="Ready"),10&lt;='Control Room'!$B$2),ROUND(MAX(0,'Process'!AX315*'Control Room'!$H$13*INDEX('Control Room'!$B$19:$H$19,1,WEEKDAY($A315,2))*(1+'Control Room'!$D$9)^313*'Process'!AY315),2),"")</x:f>
      </x:c>
      <x:c r="M315" s="16" t="str">
        <x:f>IF(AND(AND(314&lt;='Control Room'!$B$3,'Control Room'!$D$3="Ready"),11&lt;='Control Room'!$B$2),ROUND(MAX(0,'Process'!BC315*'Control Room'!$H$14*INDEX('Control Room'!$B$19:$H$19,1,WEEKDAY($A315,2))*(1+'Control Room'!$D$9)^313*'Process'!BD315),2),"")</x:f>
      </x:c>
      <x:c r="N315" s="16" t="str">
        <x:f>IF(AND(AND(314&lt;='Control Room'!$B$3,'Control Room'!$D$3="Ready"),12&lt;='Control Room'!$B$2),ROUND(MAX(0,'Process'!BH315*'Control Room'!$H$15*INDEX('Control Room'!$B$19:$H$19,1,WEEKDAY($A315,2))*(1+'Control Room'!$D$9)^313*'Process'!BI315),2),"")</x:f>
      </x:c>
    </x:row>
    <x:row r="316" ht="21" customHeight="1">
      <x:c r="A316" s="15" t="str">
        <x:f>IF(AND(315&lt;='Control Room'!$B$3,'Control Room'!$D$3="Ready"),'Process'!A316,"")</x:f>
      </x:c>
      <x:c r="B316" s="16" t="str">
        <x:f>IF(A316="","",SUM(C316:N316))</x:f>
      </x:c>
      <x:c r="C316" s="16" t="str">
        <x:f>IF(AND(AND(315&lt;='Control Room'!$B$3,'Control Room'!$D$3="Ready"),1&lt;='Control Room'!$B$2),ROUND(MAX(0,'Process'!E316*'Control Room'!$H$4*INDEX('Control Room'!$B$19:$H$19,1,WEEKDAY($A316,2))*(1+'Control Room'!$D$9)^314*'Process'!F316),2),"")</x:f>
      </x:c>
      <x:c r="D316" s="16" t="str">
        <x:f>IF(AND(AND(315&lt;='Control Room'!$B$3,'Control Room'!$D$3="Ready"),2&lt;='Control Room'!$B$2),ROUND(MAX(0,'Process'!J316*'Control Room'!$H$5*INDEX('Control Room'!$B$19:$H$19,1,WEEKDAY($A316,2))*(1+'Control Room'!$D$9)^314*'Process'!K316),2),"")</x:f>
      </x:c>
      <x:c r="E316" s="16" t="str">
        <x:f>IF(AND(AND(315&lt;='Control Room'!$B$3,'Control Room'!$D$3="Ready"),3&lt;='Control Room'!$B$2),ROUND(MAX(0,'Process'!O316*'Control Room'!$H$6*INDEX('Control Room'!$B$19:$H$19,1,WEEKDAY($A316,2))*(1+'Control Room'!$D$9)^314*'Process'!P316),2),"")</x:f>
      </x:c>
      <x:c r="F316" s="16" t="str">
        <x:f>IF(AND(AND(315&lt;='Control Room'!$B$3,'Control Room'!$D$3="Ready"),4&lt;='Control Room'!$B$2),ROUND(MAX(0,'Process'!T316*'Control Room'!$H$7*INDEX('Control Room'!$B$19:$H$19,1,WEEKDAY($A316,2))*(1+'Control Room'!$D$9)^314*'Process'!U316),2),"")</x:f>
      </x:c>
      <x:c r="G316" s="16" t="str">
        <x:f>IF(AND(AND(315&lt;='Control Room'!$B$3,'Control Room'!$D$3="Ready"),5&lt;='Control Room'!$B$2),ROUND(MAX(0,'Process'!Y316*'Control Room'!$H$8*INDEX('Control Room'!$B$19:$H$19,1,WEEKDAY($A316,2))*(1+'Control Room'!$D$9)^314*'Process'!Z316),2),"")</x:f>
      </x:c>
      <x:c r="H316" s="16" t="str">
        <x:f>IF(AND(AND(315&lt;='Control Room'!$B$3,'Control Room'!$D$3="Ready"),6&lt;='Control Room'!$B$2),ROUND(MAX(0,'Process'!AD316*'Control Room'!$H$9*INDEX('Control Room'!$B$19:$H$19,1,WEEKDAY($A316,2))*(1+'Control Room'!$D$9)^314*'Process'!AE316),2),"")</x:f>
      </x:c>
      <x:c r="I316" s="16" t="str">
        <x:f>IF(AND(AND(315&lt;='Control Room'!$B$3,'Control Room'!$D$3="Ready"),7&lt;='Control Room'!$B$2),ROUND(MAX(0,'Process'!AI316*'Control Room'!$H$10*INDEX('Control Room'!$B$19:$H$19,1,WEEKDAY($A316,2))*(1+'Control Room'!$D$9)^314*'Process'!AJ316),2),"")</x:f>
      </x:c>
      <x:c r="J316" s="16" t="str">
        <x:f>IF(AND(AND(315&lt;='Control Room'!$B$3,'Control Room'!$D$3="Ready"),8&lt;='Control Room'!$B$2),ROUND(MAX(0,'Process'!AN316*'Control Room'!$H$11*INDEX('Control Room'!$B$19:$H$19,1,WEEKDAY($A316,2))*(1+'Control Room'!$D$9)^314*'Process'!AO316),2),"")</x:f>
      </x:c>
      <x:c r="K316" s="16" t="str">
        <x:f>IF(AND(AND(315&lt;='Control Room'!$B$3,'Control Room'!$D$3="Ready"),9&lt;='Control Room'!$B$2),ROUND(MAX(0,'Process'!AS316*'Control Room'!$H$12*INDEX('Control Room'!$B$19:$H$19,1,WEEKDAY($A316,2))*(1+'Control Room'!$D$9)^314*'Process'!AT316),2),"")</x:f>
      </x:c>
      <x:c r="L316" s="16" t="str">
        <x:f>IF(AND(AND(315&lt;='Control Room'!$B$3,'Control Room'!$D$3="Ready"),10&lt;='Control Room'!$B$2),ROUND(MAX(0,'Process'!AX316*'Control Room'!$H$13*INDEX('Control Room'!$B$19:$H$19,1,WEEKDAY($A316,2))*(1+'Control Room'!$D$9)^314*'Process'!AY316),2),"")</x:f>
      </x:c>
      <x:c r="M316" s="16" t="str">
        <x:f>IF(AND(AND(315&lt;='Control Room'!$B$3,'Control Room'!$D$3="Ready"),11&lt;='Control Room'!$B$2),ROUND(MAX(0,'Process'!BC316*'Control Room'!$H$14*INDEX('Control Room'!$B$19:$H$19,1,WEEKDAY($A316,2))*(1+'Control Room'!$D$9)^314*'Process'!BD316),2),"")</x:f>
      </x:c>
      <x:c r="N316" s="16" t="str">
        <x:f>IF(AND(AND(315&lt;='Control Room'!$B$3,'Control Room'!$D$3="Ready"),12&lt;='Control Room'!$B$2),ROUND(MAX(0,'Process'!BH316*'Control Room'!$H$15*INDEX('Control Room'!$B$19:$H$19,1,WEEKDAY($A316,2))*(1+'Control Room'!$D$9)^314*'Process'!BI316),2),"")</x:f>
      </x:c>
    </x:row>
    <x:row r="317" ht="21" customHeight="1">
      <x:c r="A317" s="15" t="str">
        <x:f>IF(AND(316&lt;='Control Room'!$B$3,'Control Room'!$D$3="Ready"),'Process'!A317,"")</x:f>
      </x:c>
      <x:c r="B317" s="16" t="str">
        <x:f>IF(A317="","",SUM(C317:N317))</x:f>
      </x:c>
      <x:c r="C317" s="16" t="str">
        <x:f>IF(AND(AND(316&lt;='Control Room'!$B$3,'Control Room'!$D$3="Ready"),1&lt;='Control Room'!$B$2),ROUND(MAX(0,'Process'!E317*'Control Room'!$H$4*INDEX('Control Room'!$B$19:$H$19,1,WEEKDAY($A317,2))*(1+'Control Room'!$D$9)^315*'Process'!F317),2),"")</x:f>
      </x:c>
      <x:c r="D317" s="16" t="str">
        <x:f>IF(AND(AND(316&lt;='Control Room'!$B$3,'Control Room'!$D$3="Ready"),2&lt;='Control Room'!$B$2),ROUND(MAX(0,'Process'!J317*'Control Room'!$H$5*INDEX('Control Room'!$B$19:$H$19,1,WEEKDAY($A317,2))*(1+'Control Room'!$D$9)^315*'Process'!K317),2),"")</x:f>
      </x:c>
      <x:c r="E317" s="16" t="str">
        <x:f>IF(AND(AND(316&lt;='Control Room'!$B$3,'Control Room'!$D$3="Ready"),3&lt;='Control Room'!$B$2),ROUND(MAX(0,'Process'!O317*'Control Room'!$H$6*INDEX('Control Room'!$B$19:$H$19,1,WEEKDAY($A317,2))*(1+'Control Room'!$D$9)^315*'Process'!P317),2),"")</x:f>
      </x:c>
      <x:c r="F317" s="16" t="str">
        <x:f>IF(AND(AND(316&lt;='Control Room'!$B$3,'Control Room'!$D$3="Ready"),4&lt;='Control Room'!$B$2),ROUND(MAX(0,'Process'!T317*'Control Room'!$H$7*INDEX('Control Room'!$B$19:$H$19,1,WEEKDAY($A317,2))*(1+'Control Room'!$D$9)^315*'Process'!U317),2),"")</x:f>
      </x:c>
      <x:c r="G317" s="16" t="str">
        <x:f>IF(AND(AND(316&lt;='Control Room'!$B$3,'Control Room'!$D$3="Ready"),5&lt;='Control Room'!$B$2),ROUND(MAX(0,'Process'!Y317*'Control Room'!$H$8*INDEX('Control Room'!$B$19:$H$19,1,WEEKDAY($A317,2))*(1+'Control Room'!$D$9)^315*'Process'!Z317),2),"")</x:f>
      </x:c>
      <x:c r="H317" s="16" t="str">
        <x:f>IF(AND(AND(316&lt;='Control Room'!$B$3,'Control Room'!$D$3="Ready"),6&lt;='Control Room'!$B$2),ROUND(MAX(0,'Process'!AD317*'Control Room'!$H$9*INDEX('Control Room'!$B$19:$H$19,1,WEEKDAY($A317,2))*(1+'Control Room'!$D$9)^315*'Process'!AE317),2),"")</x:f>
      </x:c>
      <x:c r="I317" s="16" t="str">
        <x:f>IF(AND(AND(316&lt;='Control Room'!$B$3,'Control Room'!$D$3="Ready"),7&lt;='Control Room'!$B$2),ROUND(MAX(0,'Process'!AI317*'Control Room'!$H$10*INDEX('Control Room'!$B$19:$H$19,1,WEEKDAY($A317,2))*(1+'Control Room'!$D$9)^315*'Process'!AJ317),2),"")</x:f>
      </x:c>
      <x:c r="J317" s="16" t="str">
        <x:f>IF(AND(AND(316&lt;='Control Room'!$B$3,'Control Room'!$D$3="Ready"),8&lt;='Control Room'!$B$2),ROUND(MAX(0,'Process'!AN317*'Control Room'!$H$11*INDEX('Control Room'!$B$19:$H$19,1,WEEKDAY($A317,2))*(1+'Control Room'!$D$9)^315*'Process'!AO317),2),"")</x:f>
      </x:c>
      <x:c r="K317" s="16" t="str">
        <x:f>IF(AND(AND(316&lt;='Control Room'!$B$3,'Control Room'!$D$3="Ready"),9&lt;='Control Room'!$B$2),ROUND(MAX(0,'Process'!AS317*'Control Room'!$H$12*INDEX('Control Room'!$B$19:$H$19,1,WEEKDAY($A317,2))*(1+'Control Room'!$D$9)^315*'Process'!AT317),2),"")</x:f>
      </x:c>
      <x:c r="L317" s="16" t="str">
        <x:f>IF(AND(AND(316&lt;='Control Room'!$B$3,'Control Room'!$D$3="Ready"),10&lt;='Control Room'!$B$2),ROUND(MAX(0,'Process'!AX317*'Control Room'!$H$13*INDEX('Control Room'!$B$19:$H$19,1,WEEKDAY($A317,2))*(1+'Control Room'!$D$9)^315*'Process'!AY317),2),"")</x:f>
      </x:c>
      <x:c r="M317" s="16" t="str">
        <x:f>IF(AND(AND(316&lt;='Control Room'!$B$3,'Control Room'!$D$3="Ready"),11&lt;='Control Room'!$B$2),ROUND(MAX(0,'Process'!BC317*'Control Room'!$H$14*INDEX('Control Room'!$B$19:$H$19,1,WEEKDAY($A317,2))*(1+'Control Room'!$D$9)^315*'Process'!BD317),2),"")</x:f>
      </x:c>
      <x:c r="N317" s="16" t="str">
        <x:f>IF(AND(AND(316&lt;='Control Room'!$B$3,'Control Room'!$D$3="Ready"),12&lt;='Control Room'!$B$2),ROUND(MAX(0,'Process'!BH317*'Control Room'!$H$15*INDEX('Control Room'!$B$19:$H$19,1,WEEKDAY($A317,2))*(1+'Control Room'!$D$9)^315*'Process'!BI317),2),"")</x:f>
      </x:c>
    </x:row>
    <x:row r="318" ht="21" customHeight="1">
      <x:c r="A318" s="15" t="str">
        <x:f>IF(AND(317&lt;='Control Room'!$B$3,'Control Room'!$D$3="Ready"),'Process'!A318,"")</x:f>
      </x:c>
      <x:c r="B318" s="16" t="str">
        <x:f>IF(A318="","",SUM(C318:N318))</x:f>
      </x:c>
      <x:c r="C318" s="16" t="str">
        <x:f>IF(AND(AND(317&lt;='Control Room'!$B$3,'Control Room'!$D$3="Ready"),1&lt;='Control Room'!$B$2),ROUND(MAX(0,'Process'!E318*'Control Room'!$H$4*INDEX('Control Room'!$B$19:$H$19,1,WEEKDAY($A318,2))*(1+'Control Room'!$D$9)^316*'Process'!F318),2),"")</x:f>
      </x:c>
      <x:c r="D318" s="16" t="str">
        <x:f>IF(AND(AND(317&lt;='Control Room'!$B$3,'Control Room'!$D$3="Ready"),2&lt;='Control Room'!$B$2),ROUND(MAX(0,'Process'!J318*'Control Room'!$H$5*INDEX('Control Room'!$B$19:$H$19,1,WEEKDAY($A318,2))*(1+'Control Room'!$D$9)^316*'Process'!K318),2),"")</x:f>
      </x:c>
      <x:c r="E318" s="16" t="str">
        <x:f>IF(AND(AND(317&lt;='Control Room'!$B$3,'Control Room'!$D$3="Ready"),3&lt;='Control Room'!$B$2),ROUND(MAX(0,'Process'!O318*'Control Room'!$H$6*INDEX('Control Room'!$B$19:$H$19,1,WEEKDAY($A318,2))*(1+'Control Room'!$D$9)^316*'Process'!P318),2),"")</x:f>
      </x:c>
      <x:c r="F318" s="16" t="str">
        <x:f>IF(AND(AND(317&lt;='Control Room'!$B$3,'Control Room'!$D$3="Ready"),4&lt;='Control Room'!$B$2),ROUND(MAX(0,'Process'!T318*'Control Room'!$H$7*INDEX('Control Room'!$B$19:$H$19,1,WEEKDAY($A318,2))*(1+'Control Room'!$D$9)^316*'Process'!U318),2),"")</x:f>
      </x:c>
      <x:c r="G318" s="16" t="str">
        <x:f>IF(AND(AND(317&lt;='Control Room'!$B$3,'Control Room'!$D$3="Ready"),5&lt;='Control Room'!$B$2),ROUND(MAX(0,'Process'!Y318*'Control Room'!$H$8*INDEX('Control Room'!$B$19:$H$19,1,WEEKDAY($A318,2))*(1+'Control Room'!$D$9)^316*'Process'!Z318),2),"")</x:f>
      </x:c>
      <x:c r="H318" s="16" t="str">
        <x:f>IF(AND(AND(317&lt;='Control Room'!$B$3,'Control Room'!$D$3="Ready"),6&lt;='Control Room'!$B$2),ROUND(MAX(0,'Process'!AD318*'Control Room'!$H$9*INDEX('Control Room'!$B$19:$H$19,1,WEEKDAY($A318,2))*(1+'Control Room'!$D$9)^316*'Process'!AE318),2),"")</x:f>
      </x:c>
      <x:c r="I318" s="16" t="str">
        <x:f>IF(AND(AND(317&lt;='Control Room'!$B$3,'Control Room'!$D$3="Ready"),7&lt;='Control Room'!$B$2),ROUND(MAX(0,'Process'!AI318*'Control Room'!$H$10*INDEX('Control Room'!$B$19:$H$19,1,WEEKDAY($A318,2))*(1+'Control Room'!$D$9)^316*'Process'!AJ318),2),"")</x:f>
      </x:c>
      <x:c r="J318" s="16" t="str">
        <x:f>IF(AND(AND(317&lt;='Control Room'!$B$3,'Control Room'!$D$3="Ready"),8&lt;='Control Room'!$B$2),ROUND(MAX(0,'Process'!AN318*'Control Room'!$H$11*INDEX('Control Room'!$B$19:$H$19,1,WEEKDAY($A318,2))*(1+'Control Room'!$D$9)^316*'Process'!AO318),2),"")</x:f>
      </x:c>
      <x:c r="K318" s="16" t="str">
        <x:f>IF(AND(AND(317&lt;='Control Room'!$B$3,'Control Room'!$D$3="Ready"),9&lt;='Control Room'!$B$2),ROUND(MAX(0,'Process'!AS318*'Control Room'!$H$12*INDEX('Control Room'!$B$19:$H$19,1,WEEKDAY($A318,2))*(1+'Control Room'!$D$9)^316*'Process'!AT318),2),"")</x:f>
      </x:c>
      <x:c r="L318" s="16" t="str">
        <x:f>IF(AND(AND(317&lt;='Control Room'!$B$3,'Control Room'!$D$3="Ready"),10&lt;='Control Room'!$B$2),ROUND(MAX(0,'Process'!AX318*'Control Room'!$H$13*INDEX('Control Room'!$B$19:$H$19,1,WEEKDAY($A318,2))*(1+'Control Room'!$D$9)^316*'Process'!AY318),2),"")</x:f>
      </x:c>
      <x:c r="M318" s="16" t="str">
        <x:f>IF(AND(AND(317&lt;='Control Room'!$B$3,'Control Room'!$D$3="Ready"),11&lt;='Control Room'!$B$2),ROUND(MAX(0,'Process'!BC318*'Control Room'!$H$14*INDEX('Control Room'!$B$19:$H$19,1,WEEKDAY($A318,2))*(1+'Control Room'!$D$9)^316*'Process'!BD318),2),"")</x:f>
      </x:c>
      <x:c r="N318" s="16" t="str">
        <x:f>IF(AND(AND(317&lt;='Control Room'!$B$3,'Control Room'!$D$3="Ready"),12&lt;='Control Room'!$B$2),ROUND(MAX(0,'Process'!BH318*'Control Room'!$H$15*INDEX('Control Room'!$B$19:$H$19,1,WEEKDAY($A318,2))*(1+'Control Room'!$D$9)^316*'Process'!BI318),2),"")</x:f>
      </x:c>
    </x:row>
    <x:row r="319" ht="21" customHeight="1">
      <x:c r="A319" s="15" t="str">
        <x:f>IF(AND(318&lt;='Control Room'!$B$3,'Control Room'!$D$3="Ready"),'Process'!A319,"")</x:f>
      </x:c>
      <x:c r="B319" s="16" t="str">
        <x:f>IF(A319="","",SUM(C319:N319))</x:f>
      </x:c>
      <x:c r="C319" s="16" t="str">
        <x:f>IF(AND(AND(318&lt;='Control Room'!$B$3,'Control Room'!$D$3="Ready"),1&lt;='Control Room'!$B$2),ROUND(MAX(0,'Process'!E319*'Control Room'!$H$4*INDEX('Control Room'!$B$19:$H$19,1,WEEKDAY($A319,2))*(1+'Control Room'!$D$9)^317*'Process'!F319),2),"")</x:f>
      </x:c>
      <x:c r="D319" s="16" t="str">
        <x:f>IF(AND(AND(318&lt;='Control Room'!$B$3,'Control Room'!$D$3="Ready"),2&lt;='Control Room'!$B$2),ROUND(MAX(0,'Process'!J319*'Control Room'!$H$5*INDEX('Control Room'!$B$19:$H$19,1,WEEKDAY($A319,2))*(1+'Control Room'!$D$9)^317*'Process'!K319),2),"")</x:f>
      </x:c>
      <x:c r="E319" s="16" t="str">
        <x:f>IF(AND(AND(318&lt;='Control Room'!$B$3,'Control Room'!$D$3="Ready"),3&lt;='Control Room'!$B$2),ROUND(MAX(0,'Process'!O319*'Control Room'!$H$6*INDEX('Control Room'!$B$19:$H$19,1,WEEKDAY($A319,2))*(1+'Control Room'!$D$9)^317*'Process'!P319),2),"")</x:f>
      </x:c>
      <x:c r="F319" s="16" t="str">
        <x:f>IF(AND(AND(318&lt;='Control Room'!$B$3,'Control Room'!$D$3="Ready"),4&lt;='Control Room'!$B$2),ROUND(MAX(0,'Process'!T319*'Control Room'!$H$7*INDEX('Control Room'!$B$19:$H$19,1,WEEKDAY($A319,2))*(1+'Control Room'!$D$9)^317*'Process'!U319),2),"")</x:f>
      </x:c>
      <x:c r="G319" s="16" t="str">
        <x:f>IF(AND(AND(318&lt;='Control Room'!$B$3,'Control Room'!$D$3="Ready"),5&lt;='Control Room'!$B$2),ROUND(MAX(0,'Process'!Y319*'Control Room'!$H$8*INDEX('Control Room'!$B$19:$H$19,1,WEEKDAY($A319,2))*(1+'Control Room'!$D$9)^317*'Process'!Z319),2),"")</x:f>
      </x:c>
      <x:c r="H319" s="16" t="str">
        <x:f>IF(AND(AND(318&lt;='Control Room'!$B$3,'Control Room'!$D$3="Ready"),6&lt;='Control Room'!$B$2),ROUND(MAX(0,'Process'!AD319*'Control Room'!$H$9*INDEX('Control Room'!$B$19:$H$19,1,WEEKDAY($A319,2))*(1+'Control Room'!$D$9)^317*'Process'!AE319),2),"")</x:f>
      </x:c>
      <x:c r="I319" s="16" t="str">
        <x:f>IF(AND(AND(318&lt;='Control Room'!$B$3,'Control Room'!$D$3="Ready"),7&lt;='Control Room'!$B$2),ROUND(MAX(0,'Process'!AI319*'Control Room'!$H$10*INDEX('Control Room'!$B$19:$H$19,1,WEEKDAY($A319,2))*(1+'Control Room'!$D$9)^317*'Process'!AJ319),2),"")</x:f>
      </x:c>
      <x:c r="J319" s="16" t="str">
        <x:f>IF(AND(AND(318&lt;='Control Room'!$B$3,'Control Room'!$D$3="Ready"),8&lt;='Control Room'!$B$2),ROUND(MAX(0,'Process'!AN319*'Control Room'!$H$11*INDEX('Control Room'!$B$19:$H$19,1,WEEKDAY($A319,2))*(1+'Control Room'!$D$9)^317*'Process'!AO319),2),"")</x:f>
      </x:c>
      <x:c r="K319" s="16" t="str">
        <x:f>IF(AND(AND(318&lt;='Control Room'!$B$3,'Control Room'!$D$3="Ready"),9&lt;='Control Room'!$B$2),ROUND(MAX(0,'Process'!AS319*'Control Room'!$H$12*INDEX('Control Room'!$B$19:$H$19,1,WEEKDAY($A319,2))*(1+'Control Room'!$D$9)^317*'Process'!AT319),2),"")</x:f>
      </x:c>
      <x:c r="L319" s="16" t="str">
        <x:f>IF(AND(AND(318&lt;='Control Room'!$B$3,'Control Room'!$D$3="Ready"),10&lt;='Control Room'!$B$2),ROUND(MAX(0,'Process'!AX319*'Control Room'!$H$13*INDEX('Control Room'!$B$19:$H$19,1,WEEKDAY($A319,2))*(1+'Control Room'!$D$9)^317*'Process'!AY319),2),"")</x:f>
      </x:c>
      <x:c r="M319" s="16" t="str">
        <x:f>IF(AND(AND(318&lt;='Control Room'!$B$3,'Control Room'!$D$3="Ready"),11&lt;='Control Room'!$B$2),ROUND(MAX(0,'Process'!BC319*'Control Room'!$H$14*INDEX('Control Room'!$B$19:$H$19,1,WEEKDAY($A319,2))*(1+'Control Room'!$D$9)^317*'Process'!BD319),2),"")</x:f>
      </x:c>
      <x:c r="N319" s="16" t="str">
        <x:f>IF(AND(AND(318&lt;='Control Room'!$B$3,'Control Room'!$D$3="Ready"),12&lt;='Control Room'!$B$2),ROUND(MAX(0,'Process'!BH319*'Control Room'!$H$15*INDEX('Control Room'!$B$19:$H$19,1,WEEKDAY($A319,2))*(1+'Control Room'!$D$9)^317*'Process'!BI319),2),"")</x:f>
      </x:c>
    </x:row>
    <x:row r="320" ht="21" customHeight="1">
      <x:c r="A320" s="15" t="str">
        <x:f>IF(AND(319&lt;='Control Room'!$B$3,'Control Room'!$D$3="Ready"),'Process'!A320,"")</x:f>
      </x:c>
      <x:c r="B320" s="16" t="str">
        <x:f>IF(A320="","",SUM(C320:N320))</x:f>
      </x:c>
      <x:c r="C320" s="16" t="str">
        <x:f>IF(AND(AND(319&lt;='Control Room'!$B$3,'Control Room'!$D$3="Ready"),1&lt;='Control Room'!$B$2),ROUND(MAX(0,'Process'!E320*'Control Room'!$H$4*INDEX('Control Room'!$B$19:$H$19,1,WEEKDAY($A320,2))*(1+'Control Room'!$D$9)^318*'Process'!F320),2),"")</x:f>
      </x:c>
      <x:c r="D320" s="16" t="str">
        <x:f>IF(AND(AND(319&lt;='Control Room'!$B$3,'Control Room'!$D$3="Ready"),2&lt;='Control Room'!$B$2),ROUND(MAX(0,'Process'!J320*'Control Room'!$H$5*INDEX('Control Room'!$B$19:$H$19,1,WEEKDAY($A320,2))*(1+'Control Room'!$D$9)^318*'Process'!K320),2),"")</x:f>
      </x:c>
      <x:c r="E320" s="16" t="str">
        <x:f>IF(AND(AND(319&lt;='Control Room'!$B$3,'Control Room'!$D$3="Ready"),3&lt;='Control Room'!$B$2),ROUND(MAX(0,'Process'!O320*'Control Room'!$H$6*INDEX('Control Room'!$B$19:$H$19,1,WEEKDAY($A320,2))*(1+'Control Room'!$D$9)^318*'Process'!P320),2),"")</x:f>
      </x:c>
      <x:c r="F320" s="16" t="str">
        <x:f>IF(AND(AND(319&lt;='Control Room'!$B$3,'Control Room'!$D$3="Ready"),4&lt;='Control Room'!$B$2),ROUND(MAX(0,'Process'!T320*'Control Room'!$H$7*INDEX('Control Room'!$B$19:$H$19,1,WEEKDAY($A320,2))*(1+'Control Room'!$D$9)^318*'Process'!U320),2),"")</x:f>
      </x:c>
      <x:c r="G320" s="16" t="str">
        <x:f>IF(AND(AND(319&lt;='Control Room'!$B$3,'Control Room'!$D$3="Ready"),5&lt;='Control Room'!$B$2),ROUND(MAX(0,'Process'!Y320*'Control Room'!$H$8*INDEX('Control Room'!$B$19:$H$19,1,WEEKDAY($A320,2))*(1+'Control Room'!$D$9)^318*'Process'!Z320),2),"")</x:f>
      </x:c>
      <x:c r="H320" s="16" t="str">
        <x:f>IF(AND(AND(319&lt;='Control Room'!$B$3,'Control Room'!$D$3="Ready"),6&lt;='Control Room'!$B$2),ROUND(MAX(0,'Process'!AD320*'Control Room'!$H$9*INDEX('Control Room'!$B$19:$H$19,1,WEEKDAY($A320,2))*(1+'Control Room'!$D$9)^318*'Process'!AE320),2),"")</x:f>
      </x:c>
      <x:c r="I320" s="16" t="str">
        <x:f>IF(AND(AND(319&lt;='Control Room'!$B$3,'Control Room'!$D$3="Ready"),7&lt;='Control Room'!$B$2),ROUND(MAX(0,'Process'!AI320*'Control Room'!$H$10*INDEX('Control Room'!$B$19:$H$19,1,WEEKDAY($A320,2))*(1+'Control Room'!$D$9)^318*'Process'!AJ320),2),"")</x:f>
      </x:c>
      <x:c r="J320" s="16" t="str">
        <x:f>IF(AND(AND(319&lt;='Control Room'!$B$3,'Control Room'!$D$3="Ready"),8&lt;='Control Room'!$B$2),ROUND(MAX(0,'Process'!AN320*'Control Room'!$H$11*INDEX('Control Room'!$B$19:$H$19,1,WEEKDAY($A320,2))*(1+'Control Room'!$D$9)^318*'Process'!AO320),2),"")</x:f>
      </x:c>
      <x:c r="K320" s="16" t="str">
        <x:f>IF(AND(AND(319&lt;='Control Room'!$B$3,'Control Room'!$D$3="Ready"),9&lt;='Control Room'!$B$2),ROUND(MAX(0,'Process'!AS320*'Control Room'!$H$12*INDEX('Control Room'!$B$19:$H$19,1,WEEKDAY($A320,2))*(1+'Control Room'!$D$9)^318*'Process'!AT320),2),"")</x:f>
      </x:c>
      <x:c r="L320" s="16" t="str">
        <x:f>IF(AND(AND(319&lt;='Control Room'!$B$3,'Control Room'!$D$3="Ready"),10&lt;='Control Room'!$B$2),ROUND(MAX(0,'Process'!AX320*'Control Room'!$H$13*INDEX('Control Room'!$B$19:$H$19,1,WEEKDAY($A320,2))*(1+'Control Room'!$D$9)^318*'Process'!AY320),2),"")</x:f>
      </x:c>
      <x:c r="M320" s="16" t="str">
        <x:f>IF(AND(AND(319&lt;='Control Room'!$B$3,'Control Room'!$D$3="Ready"),11&lt;='Control Room'!$B$2),ROUND(MAX(0,'Process'!BC320*'Control Room'!$H$14*INDEX('Control Room'!$B$19:$H$19,1,WEEKDAY($A320,2))*(1+'Control Room'!$D$9)^318*'Process'!BD320),2),"")</x:f>
      </x:c>
      <x:c r="N320" s="16" t="str">
        <x:f>IF(AND(AND(319&lt;='Control Room'!$B$3,'Control Room'!$D$3="Ready"),12&lt;='Control Room'!$B$2),ROUND(MAX(0,'Process'!BH320*'Control Room'!$H$15*INDEX('Control Room'!$B$19:$H$19,1,WEEKDAY($A320,2))*(1+'Control Room'!$D$9)^318*'Process'!BI320),2),"")</x:f>
      </x:c>
    </x:row>
    <x:row r="321" ht="21" customHeight="1">
      <x:c r="A321" s="15" t="str">
        <x:f>IF(AND(320&lt;='Control Room'!$B$3,'Control Room'!$D$3="Ready"),'Process'!A321,"")</x:f>
      </x:c>
      <x:c r="B321" s="16" t="str">
        <x:f>IF(A321="","",SUM(C321:N321))</x:f>
      </x:c>
      <x:c r="C321" s="16" t="str">
        <x:f>IF(AND(AND(320&lt;='Control Room'!$B$3,'Control Room'!$D$3="Ready"),1&lt;='Control Room'!$B$2),ROUND(MAX(0,'Process'!E321*'Control Room'!$H$4*INDEX('Control Room'!$B$19:$H$19,1,WEEKDAY($A321,2))*(1+'Control Room'!$D$9)^319*'Process'!F321),2),"")</x:f>
      </x:c>
      <x:c r="D321" s="16" t="str">
        <x:f>IF(AND(AND(320&lt;='Control Room'!$B$3,'Control Room'!$D$3="Ready"),2&lt;='Control Room'!$B$2),ROUND(MAX(0,'Process'!J321*'Control Room'!$H$5*INDEX('Control Room'!$B$19:$H$19,1,WEEKDAY($A321,2))*(1+'Control Room'!$D$9)^319*'Process'!K321),2),"")</x:f>
      </x:c>
      <x:c r="E321" s="16" t="str">
        <x:f>IF(AND(AND(320&lt;='Control Room'!$B$3,'Control Room'!$D$3="Ready"),3&lt;='Control Room'!$B$2),ROUND(MAX(0,'Process'!O321*'Control Room'!$H$6*INDEX('Control Room'!$B$19:$H$19,1,WEEKDAY($A321,2))*(1+'Control Room'!$D$9)^319*'Process'!P321),2),"")</x:f>
      </x:c>
      <x:c r="F321" s="16" t="str">
        <x:f>IF(AND(AND(320&lt;='Control Room'!$B$3,'Control Room'!$D$3="Ready"),4&lt;='Control Room'!$B$2),ROUND(MAX(0,'Process'!T321*'Control Room'!$H$7*INDEX('Control Room'!$B$19:$H$19,1,WEEKDAY($A321,2))*(1+'Control Room'!$D$9)^319*'Process'!U321),2),"")</x:f>
      </x:c>
      <x:c r="G321" s="16" t="str">
        <x:f>IF(AND(AND(320&lt;='Control Room'!$B$3,'Control Room'!$D$3="Ready"),5&lt;='Control Room'!$B$2),ROUND(MAX(0,'Process'!Y321*'Control Room'!$H$8*INDEX('Control Room'!$B$19:$H$19,1,WEEKDAY($A321,2))*(1+'Control Room'!$D$9)^319*'Process'!Z321),2),"")</x:f>
      </x:c>
      <x:c r="H321" s="16" t="str">
        <x:f>IF(AND(AND(320&lt;='Control Room'!$B$3,'Control Room'!$D$3="Ready"),6&lt;='Control Room'!$B$2),ROUND(MAX(0,'Process'!AD321*'Control Room'!$H$9*INDEX('Control Room'!$B$19:$H$19,1,WEEKDAY($A321,2))*(1+'Control Room'!$D$9)^319*'Process'!AE321),2),"")</x:f>
      </x:c>
      <x:c r="I321" s="16" t="str">
        <x:f>IF(AND(AND(320&lt;='Control Room'!$B$3,'Control Room'!$D$3="Ready"),7&lt;='Control Room'!$B$2),ROUND(MAX(0,'Process'!AI321*'Control Room'!$H$10*INDEX('Control Room'!$B$19:$H$19,1,WEEKDAY($A321,2))*(1+'Control Room'!$D$9)^319*'Process'!AJ321),2),"")</x:f>
      </x:c>
      <x:c r="J321" s="16" t="str">
        <x:f>IF(AND(AND(320&lt;='Control Room'!$B$3,'Control Room'!$D$3="Ready"),8&lt;='Control Room'!$B$2),ROUND(MAX(0,'Process'!AN321*'Control Room'!$H$11*INDEX('Control Room'!$B$19:$H$19,1,WEEKDAY($A321,2))*(1+'Control Room'!$D$9)^319*'Process'!AO321),2),"")</x:f>
      </x:c>
      <x:c r="K321" s="16" t="str">
        <x:f>IF(AND(AND(320&lt;='Control Room'!$B$3,'Control Room'!$D$3="Ready"),9&lt;='Control Room'!$B$2),ROUND(MAX(0,'Process'!AS321*'Control Room'!$H$12*INDEX('Control Room'!$B$19:$H$19,1,WEEKDAY($A321,2))*(1+'Control Room'!$D$9)^319*'Process'!AT321),2),"")</x:f>
      </x:c>
      <x:c r="L321" s="16" t="str">
        <x:f>IF(AND(AND(320&lt;='Control Room'!$B$3,'Control Room'!$D$3="Ready"),10&lt;='Control Room'!$B$2),ROUND(MAX(0,'Process'!AX321*'Control Room'!$H$13*INDEX('Control Room'!$B$19:$H$19,1,WEEKDAY($A321,2))*(1+'Control Room'!$D$9)^319*'Process'!AY321),2),"")</x:f>
      </x:c>
      <x:c r="M321" s="16" t="str">
        <x:f>IF(AND(AND(320&lt;='Control Room'!$B$3,'Control Room'!$D$3="Ready"),11&lt;='Control Room'!$B$2),ROUND(MAX(0,'Process'!BC321*'Control Room'!$H$14*INDEX('Control Room'!$B$19:$H$19,1,WEEKDAY($A321,2))*(1+'Control Room'!$D$9)^319*'Process'!BD321),2),"")</x:f>
      </x:c>
      <x:c r="N321" s="16" t="str">
        <x:f>IF(AND(AND(320&lt;='Control Room'!$B$3,'Control Room'!$D$3="Ready"),12&lt;='Control Room'!$B$2),ROUND(MAX(0,'Process'!BH321*'Control Room'!$H$15*INDEX('Control Room'!$B$19:$H$19,1,WEEKDAY($A321,2))*(1+'Control Room'!$D$9)^319*'Process'!BI321),2),"")</x:f>
      </x:c>
    </x:row>
    <x:row r="322" ht="21" customHeight="1">
      <x:c r="A322" s="15" t="str">
        <x:f>IF(AND(321&lt;='Control Room'!$B$3,'Control Room'!$D$3="Ready"),'Process'!A322,"")</x:f>
      </x:c>
      <x:c r="B322" s="16" t="str">
        <x:f>IF(A322="","",SUM(C322:N322))</x:f>
      </x:c>
      <x:c r="C322" s="16" t="str">
        <x:f>IF(AND(AND(321&lt;='Control Room'!$B$3,'Control Room'!$D$3="Ready"),1&lt;='Control Room'!$B$2),ROUND(MAX(0,'Process'!E322*'Control Room'!$H$4*INDEX('Control Room'!$B$19:$H$19,1,WEEKDAY($A322,2))*(1+'Control Room'!$D$9)^320*'Process'!F322),2),"")</x:f>
      </x:c>
      <x:c r="D322" s="16" t="str">
        <x:f>IF(AND(AND(321&lt;='Control Room'!$B$3,'Control Room'!$D$3="Ready"),2&lt;='Control Room'!$B$2),ROUND(MAX(0,'Process'!J322*'Control Room'!$H$5*INDEX('Control Room'!$B$19:$H$19,1,WEEKDAY($A322,2))*(1+'Control Room'!$D$9)^320*'Process'!K322),2),"")</x:f>
      </x:c>
      <x:c r="E322" s="16" t="str">
        <x:f>IF(AND(AND(321&lt;='Control Room'!$B$3,'Control Room'!$D$3="Ready"),3&lt;='Control Room'!$B$2),ROUND(MAX(0,'Process'!O322*'Control Room'!$H$6*INDEX('Control Room'!$B$19:$H$19,1,WEEKDAY($A322,2))*(1+'Control Room'!$D$9)^320*'Process'!P322),2),"")</x:f>
      </x:c>
      <x:c r="F322" s="16" t="str">
        <x:f>IF(AND(AND(321&lt;='Control Room'!$B$3,'Control Room'!$D$3="Ready"),4&lt;='Control Room'!$B$2),ROUND(MAX(0,'Process'!T322*'Control Room'!$H$7*INDEX('Control Room'!$B$19:$H$19,1,WEEKDAY($A322,2))*(1+'Control Room'!$D$9)^320*'Process'!U322),2),"")</x:f>
      </x:c>
      <x:c r="G322" s="16" t="str">
        <x:f>IF(AND(AND(321&lt;='Control Room'!$B$3,'Control Room'!$D$3="Ready"),5&lt;='Control Room'!$B$2),ROUND(MAX(0,'Process'!Y322*'Control Room'!$H$8*INDEX('Control Room'!$B$19:$H$19,1,WEEKDAY($A322,2))*(1+'Control Room'!$D$9)^320*'Process'!Z322),2),"")</x:f>
      </x:c>
      <x:c r="H322" s="16" t="str">
        <x:f>IF(AND(AND(321&lt;='Control Room'!$B$3,'Control Room'!$D$3="Ready"),6&lt;='Control Room'!$B$2),ROUND(MAX(0,'Process'!AD322*'Control Room'!$H$9*INDEX('Control Room'!$B$19:$H$19,1,WEEKDAY($A322,2))*(1+'Control Room'!$D$9)^320*'Process'!AE322),2),"")</x:f>
      </x:c>
      <x:c r="I322" s="16" t="str">
        <x:f>IF(AND(AND(321&lt;='Control Room'!$B$3,'Control Room'!$D$3="Ready"),7&lt;='Control Room'!$B$2),ROUND(MAX(0,'Process'!AI322*'Control Room'!$H$10*INDEX('Control Room'!$B$19:$H$19,1,WEEKDAY($A322,2))*(1+'Control Room'!$D$9)^320*'Process'!AJ322),2),"")</x:f>
      </x:c>
      <x:c r="J322" s="16" t="str">
        <x:f>IF(AND(AND(321&lt;='Control Room'!$B$3,'Control Room'!$D$3="Ready"),8&lt;='Control Room'!$B$2),ROUND(MAX(0,'Process'!AN322*'Control Room'!$H$11*INDEX('Control Room'!$B$19:$H$19,1,WEEKDAY($A322,2))*(1+'Control Room'!$D$9)^320*'Process'!AO322),2),"")</x:f>
      </x:c>
      <x:c r="K322" s="16" t="str">
        <x:f>IF(AND(AND(321&lt;='Control Room'!$B$3,'Control Room'!$D$3="Ready"),9&lt;='Control Room'!$B$2),ROUND(MAX(0,'Process'!AS322*'Control Room'!$H$12*INDEX('Control Room'!$B$19:$H$19,1,WEEKDAY($A322,2))*(1+'Control Room'!$D$9)^320*'Process'!AT322),2),"")</x:f>
      </x:c>
      <x:c r="L322" s="16" t="str">
        <x:f>IF(AND(AND(321&lt;='Control Room'!$B$3,'Control Room'!$D$3="Ready"),10&lt;='Control Room'!$B$2),ROUND(MAX(0,'Process'!AX322*'Control Room'!$H$13*INDEX('Control Room'!$B$19:$H$19,1,WEEKDAY($A322,2))*(1+'Control Room'!$D$9)^320*'Process'!AY322),2),"")</x:f>
      </x:c>
      <x:c r="M322" s="16" t="str">
        <x:f>IF(AND(AND(321&lt;='Control Room'!$B$3,'Control Room'!$D$3="Ready"),11&lt;='Control Room'!$B$2),ROUND(MAX(0,'Process'!BC322*'Control Room'!$H$14*INDEX('Control Room'!$B$19:$H$19,1,WEEKDAY($A322,2))*(1+'Control Room'!$D$9)^320*'Process'!BD322),2),"")</x:f>
      </x:c>
      <x:c r="N322" s="16" t="str">
        <x:f>IF(AND(AND(321&lt;='Control Room'!$B$3,'Control Room'!$D$3="Ready"),12&lt;='Control Room'!$B$2),ROUND(MAX(0,'Process'!BH322*'Control Room'!$H$15*INDEX('Control Room'!$B$19:$H$19,1,WEEKDAY($A322,2))*(1+'Control Room'!$D$9)^320*'Process'!BI322),2),"")</x:f>
      </x:c>
    </x:row>
    <x:row r="323" ht="21" customHeight="1">
      <x:c r="A323" s="15" t="str">
        <x:f>IF(AND(322&lt;='Control Room'!$B$3,'Control Room'!$D$3="Ready"),'Process'!A323,"")</x:f>
      </x:c>
      <x:c r="B323" s="16" t="str">
        <x:f>IF(A323="","",SUM(C323:N323))</x:f>
      </x:c>
      <x:c r="C323" s="16" t="str">
        <x:f>IF(AND(AND(322&lt;='Control Room'!$B$3,'Control Room'!$D$3="Ready"),1&lt;='Control Room'!$B$2),ROUND(MAX(0,'Process'!E323*'Control Room'!$H$4*INDEX('Control Room'!$B$19:$H$19,1,WEEKDAY($A323,2))*(1+'Control Room'!$D$9)^321*'Process'!F323),2),"")</x:f>
      </x:c>
      <x:c r="D323" s="16" t="str">
        <x:f>IF(AND(AND(322&lt;='Control Room'!$B$3,'Control Room'!$D$3="Ready"),2&lt;='Control Room'!$B$2),ROUND(MAX(0,'Process'!J323*'Control Room'!$H$5*INDEX('Control Room'!$B$19:$H$19,1,WEEKDAY($A323,2))*(1+'Control Room'!$D$9)^321*'Process'!K323),2),"")</x:f>
      </x:c>
      <x:c r="E323" s="16" t="str">
        <x:f>IF(AND(AND(322&lt;='Control Room'!$B$3,'Control Room'!$D$3="Ready"),3&lt;='Control Room'!$B$2),ROUND(MAX(0,'Process'!O323*'Control Room'!$H$6*INDEX('Control Room'!$B$19:$H$19,1,WEEKDAY($A323,2))*(1+'Control Room'!$D$9)^321*'Process'!P323),2),"")</x:f>
      </x:c>
      <x:c r="F323" s="16" t="str">
        <x:f>IF(AND(AND(322&lt;='Control Room'!$B$3,'Control Room'!$D$3="Ready"),4&lt;='Control Room'!$B$2),ROUND(MAX(0,'Process'!T323*'Control Room'!$H$7*INDEX('Control Room'!$B$19:$H$19,1,WEEKDAY($A323,2))*(1+'Control Room'!$D$9)^321*'Process'!U323),2),"")</x:f>
      </x:c>
      <x:c r="G323" s="16" t="str">
        <x:f>IF(AND(AND(322&lt;='Control Room'!$B$3,'Control Room'!$D$3="Ready"),5&lt;='Control Room'!$B$2),ROUND(MAX(0,'Process'!Y323*'Control Room'!$H$8*INDEX('Control Room'!$B$19:$H$19,1,WEEKDAY($A323,2))*(1+'Control Room'!$D$9)^321*'Process'!Z323),2),"")</x:f>
      </x:c>
      <x:c r="H323" s="16" t="str">
        <x:f>IF(AND(AND(322&lt;='Control Room'!$B$3,'Control Room'!$D$3="Ready"),6&lt;='Control Room'!$B$2),ROUND(MAX(0,'Process'!AD323*'Control Room'!$H$9*INDEX('Control Room'!$B$19:$H$19,1,WEEKDAY($A323,2))*(1+'Control Room'!$D$9)^321*'Process'!AE323),2),"")</x:f>
      </x:c>
      <x:c r="I323" s="16" t="str">
        <x:f>IF(AND(AND(322&lt;='Control Room'!$B$3,'Control Room'!$D$3="Ready"),7&lt;='Control Room'!$B$2),ROUND(MAX(0,'Process'!AI323*'Control Room'!$H$10*INDEX('Control Room'!$B$19:$H$19,1,WEEKDAY($A323,2))*(1+'Control Room'!$D$9)^321*'Process'!AJ323),2),"")</x:f>
      </x:c>
      <x:c r="J323" s="16" t="str">
        <x:f>IF(AND(AND(322&lt;='Control Room'!$B$3,'Control Room'!$D$3="Ready"),8&lt;='Control Room'!$B$2),ROUND(MAX(0,'Process'!AN323*'Control Room'!$H$11*INDEX('Control Room'!$B$19:$H$19,1,WEEKDAY($A323,2))*(1+'Control Room'!$D$9)^321*'Process'!AO323),2),"")</x:f>
      </x:c>
      <x:c r="K323" s="16" t="str">
        <x:f>IF(AND(AND(322&lt;='Control Room'!$B$3,'Control Room'!$D$3="Ready"),9&lt;='Control Room'!$B$2),ROUND(MAX(0,'Process'!AS323*'Control Room'!$H$12*INDEX('Control Room'!$B$19:$H$19,1,WEEKDAY($A323,2))*(1+'Control Room'!$D$9)^321*'Process'!AT323),2),"")</x:f>
      </x:c>
      <x:c r="L323" s="16" t="str">
        <x:f>IF(AND(AND(322&lt;='Control Room'!$B$3,'Control Room'!$D$3="Ready"),10&lt;='Control Room'!$B$2),ROUND(MAX(0,'Process'!AX323*'Control Room'!$H$13*INDEX('Control Room'!$B$19:$H$19,1,WEEKDAY($A323,2))*(1+'Control Room'!$D$9)^321*'Process'!AY323),2),"")</x:f>
      </x:c>
      <x:c r="M323" s="16" t="str">
        <x:f>IF(AND(AND(322&lt;='Control Room'!$B$3,'Control Room'!$D$3="Ready"),11&lt;='Control Room'!$B$2),ROUND(MAX(0,'Process'!BC323*'Control Room'!$H$14*INDEX('Control Room'!$B$19:$H$19,1,WEEKDAY($A323,2))*(1+'Control Room'!$D$9)^321*'Process'!BD323),2),"")</x:f>
      </x:c>
      <x:c r="N323" s="16" t="str">
        <x:f>IF(AND(AND(322&lt;='Control Room'!$B$3,'Control Room'!$D$3="Ready"),12&lt;='Control Room'!$B$2),ROUND(MAX(0,'Process'!BH323*'Control Room'!$H$15*INDEX('Control Room'!$B$19:$H$19,1,WEEKDAY($A323,2))*(1+'Control Room'!$D$9)^321*'Process'!BI323),2),"")</x:f>
      </x:c>
    </x:row>
    <x:row r="324" ht="21" customHeight="1">
      <x:c r="A324" s="15" t="str">
        <x:f>IF(AND(323&lt;='Control Room'!$B$3,'Control Room'!$D$3="Ready"),'Process'!A324,"")</x:f>
      </x:c>
      <x:c r="B324" s="16" t="str">
        <x:f>IF(A324="","",SUM(C324:N324))</x:f>
      </x:c>
      <x:c r="C324" s="16" t="str">
        <x:f>IF(AND(AND(323&lt;='Control Room'!$B$3,'Control Room'!$D$3="Ready"),1&lt;='Control Room'!$B$2),ROUND(MAX(0,'Process'!E324*'Control Room'!$H$4*INDEX('Control Room'!$B$19:$H$19,1,WEEKDAY($A324,2))*(1+'Control Room'!$D$9)^322*'Process'!F324),2),"")</x:f>
      </x:c>
      <x:c r="D324" s="16" t="str">
        <x:f>IF(AND(AND(323&lt;='Control Room'!$B$3,'Control Room'!$D$3="Ready"),2&lt;='Control Room'!$B$2),ROUND(MAX(0,'Process'!J324*'Control Room'!$H$5*INDEX('Control Room'!$B$19:$H$19,1,WEEKDAY($A324,2))*(1+'Control Room'!$D$9)^322*'Process'!K324),2),"")</x:f>
      </x:c>
      <x:c r="E324" s="16" t="str">
        <x:f>IF(AND(AND(323&lt;='Control Room'!$B$3,'Control Room'!$D$3="Ready"),3&lt;='Control Room'!$B$2),ROUND(MAX(0,'Process'!O324*'Control Room'!$H$6*INDEX('Control Room'!$B$19:$H$19,1,WEEKDAY($A324,2))*(1+'Control Room'!$D$9)^322*'Process'!P324),2),"")</x:f>
      </x:c>
      <x:c r="F324" s="16" t="str">
        <x:f>IF(AND(AND(323&lt;='Control Room'!$B$3,'Control Room'!$D$3="Ready"),4&lt;='Control Room'!$B$2),ROUND(MAX(0,'Process'!T324*'Control Room'!$H$7*INDEX('Control Room'!$B$19:$H$19,1,WEEKDAY($A324,2))*(1+'Control Room'!$D$9)^322*'Process'!U324),2),"")</x:f>
      </x:c>
      <x:c r="G324" s="16" t="str">
        <x:f>IF(AND(AND(323&lt;='Control Room'!$B$3,'Control Room'!$D$3="Ready"),5&lt;='Control Room'!$B$2),ROUND(MAX(0,'Process'!Y324*'Control Room'!$H$8*INDEX('Control Room'!$B$19:$H$19,1,WEEKDAY($A324,2))*(1+'Control Room'!$D$9)^322*'Process'!Z324),2),"")</x:f>
      </x:c>
      <x:c r="H324" s="16" t="str">
        <x:f>IF(AND(AND(323&lt;='Control Room'!$B$3,'Control Room'!$D$3="Ready"),6&lt;='Control Room'!$B$2),ROUND(MAX(0,'Process'!AD324*'Control Room'!$H$9*INDEX('Control Room'!$B$19:$H$19,1,WEEKDAY($A324,2))*(1+'Control Room'!$D$9)^322*'Process'!AE324),2),"")</x:f>
      </x:c>
      <x:c r="I324" s="16" t="str">
        <x:f>IF(AND(AND(323&lt;='Control Room'!$B$3,'Control Room'!$D$3="Ready"),7&lt;='Control Room'!$B$2),ROUND(MAX(0,'Process'!AI324*'Control Room'!$H$10*INDEX('Control Room'!$B$19:$H$19,1,WEEKDAY($A324,2))*(1+'Control Room'!$D$9)^322*'Process'!AJ324),2),"")</x:f>
      </x:c>
      <x:c r="J324" s="16" t="str">
        <x:f>IF(AND(AND(323&lt;='Control Room'!$B$3,'Control Room'!$D$3="Ready"),8&lt;='Control Room'!$B$2),ROUND(MAX(0,'Process'!AN324*'Control Room'!$H$11*INDEX('Control Room'!$B$19:$H$19,1,WEEKDAY($A324,2))*(1+'Control Room'!$D$9)^322*'Process'!AO324),2),"")</x:f>
      </x:c>
      <x:c r="K324" s="16" t="str">
        <x:f>IF(AND(AND(323&lt;='Control Room'!$B$3,'Control Room'!$D$3="Ready"),9&lt;='Control Room'!$B$2),ROUND(MAX(0,'Process'!AS324*'Control Room'!$H$12*INDEX('Control Room'!$B$19:$H$19,1,WEEKDAY($A324,2))*(1+'Control Room'!$D$9)^322*'Process'!AT324),2),"")</x:f>
      </x:c>
      <x:c r="L324" s="16" t="str">
        <x:f>IF(AND(AND(323&lt;='Control Room'!$B$3,'Control Room'!$D$3="Ready"),10&lt;='Control Room'!$B$2),ROUND(MAX(0,'Process'!AX324*'Control Room'!$H$13*INDEX('Control Room'!$B$19:$H$19,1,WEEKDAY($A324,2))*(1+'Control Room'!$D$9)^322*'Process'!AY324),2),"")</x:f>
      </x:c>
      <x:c r="M324" s="16" t="str">
        <x:f>IF(AND(AND(323&lt;='Control Room'!$B$3,'Control Room'!$D$3="Ready"),11&lt;='Control Room'!$B$2),ROUND(MAX(0,'Process'!BC324*'Control Room'!$H$14*INDEX('Control Room'!$B$19:$H$19,1,WEEKDAY($A324,2))*(1+'Control Room'!$D$9)^322*'Process'!BD324),2),"")</x:f>
      </x:c>
      <x:c r="N324" s="16" t="str">
        <x:f>IF(AND(AND(323&lt;='Control Room'!$B$3,'Control Room'!$D$3="Ready"),12&lt;='Control Room'!$B$2),ROUND(MAX(0,'Process'!BH324*'Control Room'!$H$15*INDEX('Control Room'!$B$19:$H$19,1,WEEKDAY($A324,2))*(1+'Control Room'!$D$9)^322*'Process'!BI324),2),"")</x:f>
      </x:c>
    </x:row>
    <x:row r="325" ht="21" customHeight="1">
      <x:c r="A325" s="15" t="str">
        <x:f>IF(AND(324&lt;='Control Room'!$B$3,'Control Room'!$D$3="Ready"),'Process'!A325,"")</x:f>
      </x:c>
      <x:c r="B325" s="16" t="str">
        <x:f>IF(A325="","",SUM(C325:N325))</x:f>
      </x:c>
      <x:c r="C325" s="16" t="str">
        <x:f>IF(AND(AND(324&lt;='Control Room'!$B$3,'Control Room'!$D$3="Ready"),1&lt;='Control Room'!$B$2),ROUND(MAX(0,'Process'!E325*'Control Room'!$H$4*INDEX('Control Room'!$B$19:$H$19,1,WEEKDAY($A325,2))*(1+'Control Room'!$D$9)^323*'Process'!F325),2),"")</x:f>
      </x:c>
      <x:c r="D325" s="16" t="str">
        <x:f>IF(AND(AND(324&lt;='Control Room'!$B$3,'Control Room'!$D$3="Ready"),2&lt;='Control Room'!$B$2),ROUND(MAX(0,'Process'!J325*'Control Room'!$H$5*INDEX('Control Room'!$B$19:$H$19,1,WEEKDAY($A325,2))*(1+'Control Room'!$D$9)^323*'Process'!K325),2),"")</x:f>
      </x:c>
      <x:c r="E325" s="16" t="str">
        <x:f>IF(AND(AND(324&lt;='Control Room'!$B$3,'Control Room'!$D$3="Ready"),3&lt;='Control Room'!$B$2),ROUND(MAX(0,'Process'!O325*'Control Room'!$H$6*INDEX('Control Room'!$B$19:$H$19,1,WEEKDAY($A325,2))*(1+'Control Room'!$D$9)^323*'Process'!P325),2),"")</x:f>
      </x:c>
      <x:c r="F325" s="16" t="str">
        <x:f>IF(AND(AND(324&lt;='Control Room'!$B$3,'Control Room'!$D$3="Ready"),4&lt;='Control Room'!$B$2),ROUND(MAX(0,'Process'!T325*'Control Room'!$H$7*INDEX('Control Room'!$B$19:$H$19,1,WEEKDAY($A325,2))*(1+'Control Room'!$D$9)^323*'Process'!U325),2),"")</x:f>
      </x:c>
      <x:c r="G325" s="16" t="str">
        <x:f>IF(AND(AND(324&lt;='Control Room'!$B$3,'Control Room'!$D$3="Ready"),5&lt;='Control Room'!$B$2),ROUND(MAX(0,'Process'!Y325*'Control Room'!$H$8*INDEX('Control Room'!$B$19:$H$19,1,WEEKDAY($A325,2))*(1+'Control Room'!$D$9)^323*'Process'!Z325),2),"")</x:f>
      </x:c>
      <x:c r="H325" s="16" t="str">
        <x:f>IF(AND(AND(324&lt;='Control Room'!$B$3,'Control Room'!$D$3="Ready"),6&lt;='Control Room'!$B$2),ROUND(MAX(0,'Process'!AD325*'Control Room'!$H$9*INDEX('Control Room'!$B$19:$H$19,1,WEEKDAY($A325,2))*(1+'Control Room'!$D$9)^323*'Process'!AE325),2),"")</x:f>
      </x:c>
      <x:c r="I325" s="16" t="str">
        <x:f>IF(AND(AND(324&lt;='Control Room'!$B$3,'Control Room'!$D$3="Ready"),7&lt;='Control Room'!$B$2),ROUND(MAX(0,'Process'!AI325*'Control Room'!$H$10*INDEX('Control Room'!$B$19:$H$19,1,WEEKDAY($A325,2))*(1+'Control Room'!$D$9)^323*'Process'!AJ325),2),"")</x:f>
      </x:c>
      <x:c r="J325" s="16" t="str">
        <x:f>IF(AND(AND(324&lt;='Control Room'!$B$3,'Control Room'!$D$3="Ready"),8&lt;='Control Room'!$B$2),ROUND(MAX(0,'Process'!AN325*'Control Room'!$H$11*INDEX('Control Room'!$B$19:$H$19,1,WEEKDAY($A325,2))*(1+'Control Room'!$D$9)^323*'Process'!AO325),2),"")</x:f>
      </x:c>
      <x:c r="K325" s="16" t="str">
        <x:f>IF(AND(AND(324&lt;='Control Room'!$B$3,'Control Room'!$D$3="Ready"),9&lt;='Control Room'!$B$2),ROUND(MAX(0,'Process'!AS325*'Control Room'!$H$12*INDEX('Control Room'!$B$19:$H$19,1,WEEKDAY($A325,2))*(1+'Control Room'!$D$9)^323*'Process'!AT325),2),"")</x:f>
      </x:c>
      <x:c r="L325" s="16" t="str">
        <x:f>IF(AND(AND(324&lt;='Control Room'!$B$3,'Control Room'!$D$3="Ready"),10&lt;='Control Room'!$B$2),ROUND(MAX(0,'Process'!AX325*'Control Room'!$H$13*INDEX('Control Room'!$B$19:$H$19,1,WEEKDAY($A325,2))*(1+'Control Room'!$D$9)^323*'Process'!AY325),2),"")</x:f>
      </x:c>
      <x:c r="M325" s="16" t="str">
        <x:f>IF(AND(AND(324&lt;='Control Room'!$B$3,'Control Room'!$D$3="Ready"),11&lt;='Control Room'!$B$2),ROUND(MAX(0,'Process'!BC325*'Control Room'!$H$14*INDEX('Control Room'!$B$19:$H$19,1,WEEKDAY($A325,2))*(1+'Control Room'!$D$9)^323*'Process'!BD325),2),"")</x:f>
      </x:c>
      <x:c r="N325" s="16" t="str">
        <x:f>IF(AND(AND(324&lt;='Control Room'!$B$3,'Control Room'!$D$3="Ready"),12&lt;='Control Room'!$B$2),ROUND(MAX(0,'Process'!BH325*'Control Room'!$H$15*INDEX('Control Room'!$B$19:$H$19,1,WEEKDAY($A325,2))*(1+'Control Room'!$D$9)^323*'Process'!BI325),2),"")</x:f>
      </x:c>
    </x:row>
    <x:row r="326" ht="21" customHeight="1">
      <x:c r="A326" s="15" t="str">
        <x:f>IF(AND(325&lt;='Control Room'!$B$3,'Control Room'!$D$3="Ready"),'Process'!A326,"")</x:f>
      </x:c>
      <x:c r="B326" s="16" t="str">
        <x:f>IF(A326="","",SUM(C326:N326))</x:f>
      </x:c>
      <x:c r="C326" s="16" t="str">
        <x:f>IF(AND(AND(325&lt;='Control Room'!$B$3,'Control Room'!$D$3="Ready"),1&lt;='Control Room'!$B$2),ROUND(MAX(0,'Process'!E326*'Control Room'!$H$4*INDEX('Control Room'!$B$19:$H$19,1,WEEKDAY($A326,2))*(1+'Control Room'!$D$9)^324*'Process'!F326),2),"")</x:f>
      </x:c>
      <x:c r="D326" s="16" t="str">
        <x:f>IF(AND(AND(325&lt;='Control Room'!$B$3,'Control Room'!$D$3="Ready"),2&lt;='Control Room'!$B$2),ROUND(MAX(0,'Process'!J326*'Control Room'!$H$5*INDEX('Control Room'!$B$19:$H$19,1,WEEKDAY($A326,2))*(1+'Control Room'!$D$9)^324*'Process'!K326),2),"")</x:f>
      </x:c>
      <x:c r="E326" s="16" t="str">
        <x:f>IF(AND(AND(325&lt;='Control Room'!$B$3,'Control Room'!$D$3="Ready"),3&lt;='Control Room'!$B$2),ROUND(MAX(0,'Process'!O326*'Control Room'!$H$6*INDEX('Control Room'!$B$19:$H$19,1,WEEKDAY($A326,2))*(1+'Control Room'!$D$9)^324*'Process'!P326),2),"")</x:f>
      </x:c>
      <x:c r="F326" s="16" t="str">
        <x:f>IF(AND(AND(325&lt;='Control Room'!$B$3,'Control Room'!$D$3="Ready"),4&lt;='Control Room'!$B$2),ROUND(MAX(0,'Process'!T326*'Control Room'!$H$7*INDEX('Control Room'!$B$19:$H$19,1,WEEKDAY($A326,2))*(1+'Control Room'!$D$9)^324*'Process'!U326),2),"")</x:f>
      </x:c>
      <x:c r="G326" s="16" t="str">
        <x:f>IF(AND(AND(325&lt;='Control Room'!$B$3,'Control Room'!$D$3="Ready"),5&lt;='Control Room'!$B$2),ROUND(MAX(0,'Process'!Y326*'Control Room'!$H$8*INDEX('Control Room'!$B$19:$H$19,1,WEEKDAY($A326,2))*(1+'Control Room'!$D$9)^324*'Process'!Z326),2),"")</x:f>
      </x:c>
      <x:c r="H326" s="16" t="str">
        <x:f>IF(AND(AND(325&lt;='Control Room'!$B$3,'Control Room'!$D$3="Ready"),6&lt;='Control Room'!$B$2),ROUND(MAX(0,'Process'!AD326*'Control Room'!$H$9*INDEX('Control Room'!$B$19:$H$19,1,WEEKDAY($A326,2))*(1+'Control Room'!$D$9)^324*'Process'!AE326),2),"")</x:f>
      </x:c>
      <x:c r="I326" s="16" t="str">
        <x:f>IF(AND(AND(325&lt;='Control Room'!$B$3,'Control Room'!$D$3="Ready"),7&lt;='Control Room'!$B$2),ROUND(MAX(0,'Process'!AI326*'Control Room'!$H$10*INDEX('Control Room'!$B$19:$H$19,1,WEEKDAY($A326,2))*(1+'Control Room'!$D$9)^324*'Process'!AJ326),2),"")</x:f>
      </x:c>
      <x:c r="J326" s="16" t="str">
        <x:f>IF(AND(AND(325&lt;='Control Room'!$B$3,'Control Room'!$D$3="Ready"),8&lt;='Control Room'!$B$2),ROUND(MAX(0,'Process'!AN326*'Control Room'!$H$11*INDEX('Control Room'!$B$19:$H$19,1,WEEKDAY($A326,2))*(1+'Control Room'!$D$9)^324*'Process'!AO326),2),"")</x:f>
      </x:c>
      <x:c r="K326" s="16" t="str">
        <x:f>IF(AND(AND(325&lt;='Control Room'!$B$3,'Control Room'!$D$3="Ready"),9&lt;='Control Room'!$B$2),ROUND(MAX(0,'Process'!AS326*'Control Room'!$H$12*INDEX('Control Room'!$B$19:$H$19,1,WEEKDAY($A326,2))*(1+'Control Room'!$D$9)^324*'Process'!AT326),2),"")</x:f>
      </x:c>
      <x:c r="L326" s="16" t="str">
        <x:f>IF(AND(AND(325&lt;='Control Room'!$B$3,'Control Room'!$D$3="Ready"),10&lt;='Control Room'!$B$2),ROUND(MAX(0,'Process'!AX326*'Control Room'!$H$13*INDEX('Control Room'!$B$19:$H$19,1,WEEKDAY($A326,2))*(1+'Control Room'!$D$9)^324*'Process'!AY326),2),"")</x:f>
      </x:c>
      <x:c r="M326" s="16" t="str">
        <x:f>IF(AND(AND(325&lt;='Control Room'!$B$3,'Control Room'!$D$3="Ready"),11&lt;='Control Room'!$B$2),ROUND(MAX(0,'Process'!BC326*'Control Room'!$H$14*INDEX('Control Room'!$B$19:$H$19,1,WEEKDAY($A326,2))*(1+'Control Room'!$D$9)^324*'Process'!BD326),2),"")</x:f>
      </x:c>
      <x:c r="N326" s="16" t="str">
        <x:f>IF(AND(AND(325&lt;='Control Room'!$B$3,'Control Room'!$D$3="Ready"),12&lt;='Control Room'!$B$2),ROUND(MAX(0,'Process'!BH326*'Control Room'!$H$15*INDEX('Control Room'!$B$19:$H$19,1,WEEKDAY($A326,2))*(1+'Control Room'!$D$9)^324*'Process'!BI326),2),"")</x:f>
      </x:c>
    </x:row>
    <x:row r="327" ht="21" customHeight="1">
      <x:c r="A327" s="15" t="str">
        <x:f>IF(AND(326&lt;='Control Room'!$B$3,'Control Room'!$D$3="Ready"),'Process'!A327,"")</x:f>
      </x:c>
      <x:c r="B327" s="16" t="str">
        <x:f>IF(A327="","",SUM(C327:N327))</x:f>
      </x:c>
      <x:c r="C327" s="16" t="str">
        <x:f>IF(AND(AND(326&lt;='Control Room'!$B$3,'Control Room'!$D$3="Ready"),1&lt;='Control Room'!$B$2),ROUND(MAX(0,'Process'!E327*'Control Room'!$H$4*INDEX('Control Room'!$B$19:$H$19,1,WEEKDAY($A327,2))*(1+'Control Room'!$D$9)^325*'Process'!F327),2),"")</x:f>
      </x:c>
      <x:c r="D327" s="16" t="str">
        <x:f>IF(AND(AND(326&lt;='Control Room'!$B$3,'Control Room'!$D$3="Ready"),2&lt;='Control Room'!$B$2),ROUND(MAX(0,'Process'!J327*'Control Room'!$H$5*INDEX('Control Room'!$B$19:$H$19,1,WEEKDAY($A327,2))*(1+'Control Room'!$D$9)^325*'Process'!K327),2),"")</x:f>
      </x:c>
      <x:c r="E327" s="16" t="str">
        <x:f>IF(AND(AND(326&lt;='Control Room'!$B$3,'Control Room'!$D$3="Ready"),3&lt;='Control Room'!$B$2),ROUND(MAX(0,'Process'!O327*'Control Room'!$H$6*INDEX('Control Room'!$B$19:$H$19,1,WEEKDAY($A327,2))*(1+'Control Room'!$D$9)^325*'Process'!P327),2),"")</x:f>
      </x:c>
      <x:c r="F327" s="16" t="str">
        <x:f>IF(AND(AND(326&lt;='Control Room'!$B$3,'Control Room'!$D$3="Ready"),4&lt;='Control Room'!$B$2),ROUND(MAX(0,'Process'!T327*'Control Room'!$H$7*INDEX('Control Room'!$B$19:$H$19,1,WEEKDAY($A327,2))*(1+'Control Room'!$D$9)^325*'Process'!U327),2),"")</x:f>
      </x:c>
      <x:c r="G327" s="16" t="str">
        <x:f>IF(AND(AND(326&lt;='Control Room'!$B$3,'Control Room'!$D$3="Ready"),5&lt;='Control Room'!$B$2),ROUND(MAX(0,'Process'!Y327*'Control Room'!$H$8*INDEX('Control Room'!$B$19:$H$19,1,WEEKDAY($A327,2))*(1+'Control Room'!$D$9)^325*'Process'!Z327),2),"")</x:f>
      </x:c>
      <x:c r="H327" s="16" t="str">
        <x:f>IF(AND(AND(326&lt;='Control Room'!$B$3,'Control Room'!$D$3="Ready"),6&lt;='Control Room'!$B$2),ROUND(MAX(0,'Process'!AD327*'Control Room'!$H$9*INDEX('Control Room'!$B$19:$H$19,1,WEEKDAY($A327,2))*(1+'Control Room'!$D$9)^325*'Process'!AE327),2),"")</x:f>
      </x:c>
      <x:c r="I327" s="16" t="str">
        <x:f>IF(AND(AND(326&lt;='Control Room'!$B$3,'Control Room'!$D$3="Ready"),7&lt;='Control Room'!$B$2),ROUND(MAX(0,'Process'!AI327*'Control Room'!$H$10*INDEX('Control Room'!$B$19:$H$19,1,WEEKDAY($A327,2))*(1+'Control Room'!$D$9)^325*'Process'!AJ327),2),"")</x:f>
      </x:c>
      <x:c r="J327" s="16" t="str">
        <x:f>IF(AND(AND(326&lt;='Control Room'!$B$3,'Control Room'!$D$3="Ready"),8&lt;='Control Room'!$B$2),ROUND(MAX(0,'Process'!AN327*'Control Room'!$H$11*INDEX('Control Room'!$B$19:$H$19,1,WEEKDAY($A327,2))*(1+'Control Room'!$D$9)^325*'Process'!AO327),2),"")</x:f>
      </x:c>
      <x:c r="K327" s="16" t="str">
        <x:f>IF(AND(AND(326&lt;='Control Room'!$B$3,'Control Room'!$D$3="Ready"),9&lt;='Control Room'!$B$2),ROUND(MAX(0,'Process'!AS327*'Control Room'!$H$12*INDEX('Control Room'!$B$19:$H$19,1,WEEKDAY($A327,2))*(1+'Control Room'!$D$9)^325*'Process'!AT327),2),"")</x:f>
      </x:c>
      <x:c r="L327" s="16" t="str">
        <x:f>IF(AND(AND(326&lt;='Control Room'!$B$3,'Control Room'!$D$3="Ready"),10&lt;='Control Room'!$B$2),ROUND(MAX(0,'Process'!AX327*'Control Room'!$H$13*INDEX('Control Room'!$B$19:$H$19,1,WEEKDAY($A327,2))*(1+'Control Room'!$D$9)^325*'Process'!AY327),2),"")</x:f>
      </x:c>
      <x:c r="M327" s="16" t="str">
        <x:f>IF(AND(AND(326&lt;='Control Room'!$B$3,'Control Room'!$D$3="Ready"),11&lt;='Control Room'!$B$2),ROUND(MAX(0,'Process'!BC327*'Control Room'!$H$14*INDEX('Control Room'!$B$19:$H$19,1,WEEKDAY($A327,2))*(1+'Control Room'!$D$9)^325*'Process'!BD327),2),"")</x:f>
      </x:c>
      <x:c r="N327" s="16" t="str">
        <x:f>IF(AND(AND(326&lt;='Control Room'!$B$3,'Control Room'!$D$3="Ready"),12&lt;='Control Room'!$B$2),ROUND(MAX(0,'Process'!BH327*'Control Room'!$H$15*INDEX('Control Room'!$B$19:$H$19,1,WEEKDAY($A327,2))*(1+'Control Room'!$D$9)^325*'Process'!BI327),2),"")</x:f>
      </x:c>
    </x:row>
    <x:row r="328" ht="21" customHeight="1">
      <x:c r="A328" s="15" t="str">
        <x:f>IF(AND(327&lt;='Control Room'!$B$3,'Control Room'!$D$3="Ready"),'Process'!A328,"")</x:f>
      </x:c>
      <x:c r="B328" s="16" t="str">
        <x:f>IF(A328="","",SUM(C328:N328))</x:f>
      </x:c>
      <x:c r="C328" s="16" t="str">
        <x:f>IF(AND(AND(327&lt;='Control Room'!$B$3,'Control Room'!$D$3="Ready"),1&lt;='Control Room'!$B$2),ROUND(MAX(0,'Process'!E328*'Control Room'!$H$4*INDEX('Control Room'!$B$19:$H$19,1,WEEKDAY($A328,2))*(1+'Control Room'!$D$9)^326*'Process'!F328),2),"")</x:f>
      </x:c>
      <x:c r="D328" s="16" t="str">
        <x:f>IF(AND(AND(327&lt;='Control Room'!$B$3,'Control Room'!$D$3="Ready"),2&lt;='Control Room'!$B$2),ROUND(MAX(0,'Process'!J328*'Control Room'!$H$5*INDEX('Control Room'!$B$19:$H$19,1,WEEKDAY($A328,2))*(1+'Control Room'!$D$9)^326*'Process'!K328),2),"")</x:f>
      </x:c>
      <x:c r="E328" s="16" t="str">
        <x:f>IF(AND(AND(327&lt;='Control Room'!$B$3,'Control Room'!$D$3="Ready"),3&lt;='Control Room'!$B$2),ROUND(MAX(0,'Process'!O328*'Control Room'!$H$6*INDEX('Control Room'!$B$19:$H$19,1,WEEKDAY($A328,2))*(1+'Control Room'!$D$9)^326*'Process'!P328),2),"")</x:f>
      </x:c>
      <x:c r="F328" s="16" t="str">
        <x:f>IF(AND(AND(327&lt;='Control Room'!$B$3,'Control Room'!$D$3="Ready"),4&lt;='Control Room'!$B$2),ROUND(MAX(0,'Process'!T328*'Control Room'!$H$7*INDEX('Control Room'!$B$19:$H$19,1,WEEKDAY($A328,2))*(1+'Control Room'!$D$9)^326*'Process'!U328),2),"")</x:f>
      </x:c>
      <x:c r="G328" s="16" t="str">
        <x:f>IF(AND(AND(327&lt;='Control Room'!$B$3,'Control Room'!$D$3="Ready"),5&lt;='Control Room'!$B$2),ROUND(MAX(0,'Process'!Y328*'Control Room'!$H$8*INDEX('Control Room'!$B$19:$H$19,1,WEEKDAY($A328,2))*(1+'Control Room'!$D$9)^326*'Process'!Z328),2),"")</x:f>
      </x:c>
      <x:c r="H328" s="16" t="str">
        <x:f>IF(AND(AND(327&lt;='Control Room'!$B$3,'Control Room'!$D$3="Ready"),6&lt;='Control Room'!$B$2),ROUND(MAX(0,'Process'!AD328*'Control Room'!$H$9*INDEX('Control Room'!$B$19:$H$19,1,WEEKDAY($A328,2))*(1+'Control Room'!$D$9)^326*'Process'!AE328),2),"")</x:f>
      </x:c>
      <x:c r="I328" s="16" t="str">
        <x:f>IF(AND(AND(327&lt;='Control Room'!$B$3,'Control Room'!$D$3="Ready"),7&lt;='Control Room'!$B$2),ROUND(MAX(0,'Process'!AI328*'Control Room'!$H$10*INDEX('Control Room'!$B$19:$H$19,1,WEEKDAY($A328,2))*(1+'Control Room'!$D$9)^326*'Process'!AJ328),2),"")</x:f>
      </x:c>
      <x:c r="J328" s="16" t="str">
        <x:f>IF(AND(AND(327&lt;='Control Room'!$B$3,'Control Room'!$D$3="Ready"),8&lt;='Control Room'!$B$2),ROUND(MAX(0,'Process'!AN328*'Control Room'!$H$11*INDEX('Control Room'!$B$19:$H$19,1,WEEKDAY($A328,2))*(1+'Control Room'!$D$9)^326*'Process'!AO328),2),"")</x:f>
      </x:c>
      <x:c r="K328" s="16" t="str">
        <x:f>IF(AND(AND(327&lt;='Control Room'!$B$3,'Control Room'!$D$3="Ready"),9&lt;='Control Room'!$B$2),ROUND(MAX(0,'Process'!AS328*'Control Room'!$H$12*INDEX('Control Room'!$B$19:$H$19,1,WEEKDAY($A328,2))*(1+'Control Room'!$D$9)^326*'Process'!AT328),2),"")</x:f>
      </x:c>
      <x:c r="L328" s="16" t="str">
        <x:f>IF(AND(AND(327&lt;='Control Room'!$B$3,'Control Room'!$D$3="Ready"),10&lt;='Control Room'!$B$2),ROUND(MAX(0,'Process'!AX328*'Control Room'!$H$13*INDEX('Control Room'!$B$19:$H$19,1,WEEKDAY($A328,2))*(1+'Control Room'!$D$9)^326*'Process'!AY328),2),"")</x:f>
      </x:c>
      <x:c r="M328" s="16" t="str">
        <x:f>IF(AND(AND(327&lt;='Control Room'!$B$3,'Control Room'!$D$3="Ready"),11&lt;='Control Room'!$B$2),ROUND(MAX(0,'Process'!BC328*'Control Room'!$H$14*INDEX('Control Room'!$B$19:$H$19,1,WEEKDAY($A328,2))*(1+'Control Room'!$D$9)^326*'Process'!BD328),2),"")</x:f>
      </x:c>
      <x:c r="N328" s="16" t="str">
        <x:f>IF(AND(AND(327&lt;='Control Room'!$B$3,'Control Room'!$D$3="Ready"),12&lt;='Control Room'!$B$2),ROUND(MAX(0,'Process'!BH328*'Control Room'!$H$15*INDEX('Control Room'!$B$19:$H$19,1,WEEKDAY($A328,2))*(1+'Control Room'!$D$9)^326*'Process'!BI328),2),"")</x:f>
      </x:c>
    </x:row>
    <x:row r="329" ht="21" customHeight="1">
      <x:c r="A329" s="15" t="str">
        <x:f>IF(AND(328&lt;='Control Room'!$B$3,'Control Room'!$D$3="Ready"),'Process'!A329,"")</x:f>
      </x:c>
      <x:c r="B329" s="16" t="str">
        <x:f>IF(A329="","",SUM(C329:N329))</x:f>
      </x:c>
      <x:c r="C329" s="16" t="str">
        <x:f>IF(AND(AND(328&lt;='Control Room'!$B$3,'Control Room'!$D$3="Ready"),1&lt;='Control Room'!$B$2),ROUND(MAX(0,'Process'!E329*'Control Room'!$H$4*INDEX('Control Room'!$B$19:$H$19,1,WEEKDAY($A329,2))*(1+'Control Room'!$D$9)^327*'Process'!F329),2),"")</x:f>
      </x:c>
      <x:c r="D329" s="16" t="str">
        <x:f>IF(AND(AND(328&lt;='Control Room'!$B$3,'Control Room'!$D$3="Ready"),2&lt;='Control Room'!$B$2),ROUND(MAX(0,'Process'!J329*'Control Room'!$H$5*INDEX('Control Room'!$B$19:$H$19,1,WEEKDAY($A329,2))*(1+'Control Room'!$D$9)^327*'Process'!K329),2),"")</x:f>
      </x:c>
      <x:c r="E329" s="16" t="str">
        <x:f>IF(AND(AND(328&lt;='Control Room'!$B$3,'Control Room'!$D$3="Ready"),3&lt;='Control Room'!$B$2),ROUND(MAX(0,'Process'!O329*'Control Room'!$H$6*INDEX('Control Room'!$B$19:$H$19,1,WEEKDAY($A329,2))*(1+'Control Room'!$D$9)^327*'Process'!P329),2),"")</x:f>
      </x:c>
      <x:c r="F329" s="16" t="str">
        <x:f>IF(AND(AND(328&lt;='Control Room'!$B$3,'Control Room'!$D$3="Ready"),4&lt;='Control Room'!$B$2),ROUND(MAX(0,'Process'!T329*'Control Room'!$H$7*INDEX('Control Room'!$B$19:$H$19,1,WEEKDAY($A329,2))*(1+'Control Room'!$D$9)^327*'Process'!U329),2),"")</x:f>
      </x:c>
      <x:c r="G329" s="16" t="str">
        <x:f>IF(AND(AND(328&lt;='Control Room'!$B$3,'Control Room'!$D$3="Ready"),5&lt;='Control Room'!$B$2),ROUND(MAX(0,'Process'!Y329*'Control Room'!$H$8*INDEX('Control Room'!$B$19:$H$19,1,WEEKDAY($A329,2))*(1+'Control Room'!$D$9)^327*'Process'!Z329),2),"")</x:f>
      </x:c>
      <x:c r="H329" s="16" t="str">
        <x:f>IF(AND(AND(328&lt;='Control Room'!$B$3,'Control Room'!$D$3="Ready"),6&lt;='Control Room'!$B$2),ROUND(MAX(0,'Process'!AD329*'Control Room'!$H$9*INDEX('Control Room'!$B$19:$H$19,1,WEEKDAY($A329,2))*(1+'Control Room'!$D$9)^327*'Process'!AE329),2),"")</x:f>
      </x:c>
      <x:c r="I329" s="16" t="str">
        <x:f>IF(AND(AND(328&lt;='Control Room'!$B$3,'Control Room'!$D$3="Ready"),7&lt;='Control Room'!$B$2),ROUND(MAX(0,'Process'!AI329*'Control Room'!$H$10*INDEX('Control Room'!$B$19:$H$19,1,WEEKDAY($A329,2))*(1+'Control Room'!$D$9)^327*'Process'!AJ329),2),"")</x:f>
      </x:c>
      <x:c r="J329" s="16" t="str">
        <x:f>IF(AND(AND(328&lt;='Control Room'!$B$3,'Control Room'!$D$3="Ready"),8&lt;='Control Room'!$B$2),ROUND(MAX(0,'Process'!AN329*'Control Room'!$H$11*INDEX('Control Room'!$B$19:$H$19,1,WEEKDAY($A329,2))*(1+'Control Room'!$D$9)^327*'Process'!AO329),2),"")</x:f>
      </x:c>
      <x:c r="K329" s="16" t="str">
        <x:f>IF(AND(AND(328&lt;='Control Room'!$B$3,'Control Room'!$D$3="Ready"),9&lt;='Control Room'!$B$2),ROUND(MAX(0,'Process'!AS329*'Control Room'!$H$12*INDEX('Control Room'!$B$19:$H$19,1,WEEKDAY($A329,2))*(1+'Control Room'!$D$9)^327*'Process'!AT329),2),"")</x:f>
      </x:c>
      <x:c r="L329" s="16" t="str">
        <x:f>IF(AND(AND(328&lt;='Control Room'!$B$3,'Control Room'!$D$3="Ready"),10&lt;='Control Room'!$B$2),ROUND(MAX(0,'Process'!AX329*'Control Room'!$H$13*INDEX('Control Room'!$B$19:$H$19,1,WEEKDAY($A329,2))*(1+'Control Room'!$D$9)^327*'Process'!AY329),2),"")</x:f>
      </x:c>
      <x:c r="M329" s="16" t="str">
        <x:f>IF(AND(AND(328&lt;='Control Room'!$B$3,'Control Room'!$D$3="Ready"),11&lt;='Control Room'!$B$2),ROUND(MAX(0,'Process'!BC329*'Control Room'!$H$14*INDEX('Control Room'!$B$19:$H$19,1,WEEKDAY($A329,2))*(1+'Control Room'!$D$9)^327*'Process'!BD329),2),"")</x:f>
      </x:c>
      <x:c r="N329" s="16" t="str">
        <x:f>IF(AND(AND(328&lt;='Control Room'!$B$3,'Control Room'!$D$3="Ready"),12&lt;='Control Room'!$B$2),ROUND(MAX(0,'Process'!BH329*'Control Room'!$H$15*INDEX('Control Room'!$B$19:$H$19,1,WEEKDAY($A329,2))*(1+'Control Room'!$D$9)^327*'Process'!BI329),2),"")</x:f>
      </x:c>
    </x:row>
    <x:row r="330" ht="21" customHeight="1">
      <x:c r="A330" s="15" t="str">
        <x:f>IF(AND(329&lt;='Control Room'!$B$3,'Control Room'!$D$3="Ready"),'Process'!A330,"")</x:f>
      </x:c>
      <x:c r="B330" s="16" t="str">
        <x:f>IF(A330="","",SUM(C330:N330))</x:f>
      </x:c>
      <x:c r="C330" s="16" t="str">
        <x:f>IF(AND(AND(329&lt;='Control Room'!$B$3,'Control Room'!$D$3="Ready"),1&lt;='Control Room'!$B$2),ROUND(MAX(0,'Process'!E330*'Control Room'!$H$4*INDEX('Control Room'!$B$19:$H$19,1,WEEKDAY($A330,2))*(1+'Control Room'!$D$9)^328*'Process'!F330),2),"")</x:f>
      </x:c>
      <x:c r="D330" s="16" t="str">
        <x:f>IF(AND(AND(329&lt;='Control Room'!$B$3,'Control Room'!$D$3="Ready"),2&lt;='Control Room'!$B$2),ROUND(MAX(0,'Process'!J330*'Control Room'!$H$5*INDEX('Control Room'!$B$19:$H$19,1,WEEKDAY($A330,2))*(1+'Control Room'!$D$9)^328*'Process'!K330),2),"")</x:f>
      </x:c>
      <x:c r="E330" s="16" t="str">
        <x:f>IF(AND(AND(329&lt;='Control Room'!$B$3,'Control Room'!$D$3="Ready"),3&lt;='Control Room'!$B$2),ROUND(MAX(0,'Process'!O330*'Control Room'!$H$6*INDEX('Control Room'!$B$19:$H$19,1,WEEKDAY($A330,2))*(1+'Control Room'!$D$9)^328*'Process'!P330),2),"")</x:f>
      </x:c>
      <x:c r="F330" s="16" t="str">
        <x:f>IF(AND(AND(329&lt;='Control Room'!$B$3,'Control Room'!$D$3="Ready"),4&lt;='Control Room'!$B$2),ROUND(MAX(0,'Process'!T330*'Control Room'!$H$7*INDEX('Control Room'!$B$19:$H$19,1,WEEKDAY($A330,2))*(1+'Control Room'!$D$9)^328*'Process'!U330),2),"")</x:f>
      </x:c>
      <x:c r="G330" s="16" t="str">
        <x:f>IF(AND(AND(329&lt;='Control Room'!$B$3,'Control Room'!$D$3="Ready"),5&lt;='Control Room'!$B$2),ROUND(MAX(0,'Process'!Y330*'Control Room'!$H$8*INDEX('Control Room'!$B$19:$H$19,1,WEEKDAY($A330,2))*(1+'Control Room'!$D$9)^328*'Process'!Z330),2),"")</x:f>
      </x:c>
      <x:c r="H330" s="16" t="str">
        <x:f>IF(AND(AND(329&lt;='Control Room'!$B$3,'Control Room'!$D$3="Ready"),6&lt;='Control Room'!$B$2),ROUND(MAX(0,'Process'!AD330*'Control Room'!$H$9*INDEX('Control Room'!$B$19:$H$19,1,WEEKDAY($A330,2))*(1+'Control Room'!$D$9)^328*'Process'!AE330),2),"")</x:f>
      </x:c>
      <x:c r="I330" s="16" t="str">
        <x:f>IF(AND(AND(329&lt;='Control Room'!$B$3,'Control Room'!$D$3="Ready"),7&lt;='Control Room'!$B$2),ROUND(MAX(0,'Process'!AI330*'Control Room'!$H$10*INDEX('Control Room'!$B$19:$H$19,1,WEEKDAY($A330,2))*(1+'Control Room'!$D$9)^328*'Process'!AJ330),2),"")</x:f>
      </x:c>
      <x:c r="J330" s="16" t="str">
        <x:f>IF(AND(AND(329&lt;='Control Room'!$B$3,'Control Room'!$D$3="Ready"),8&lt;='Control Room'!$B$2),ROUND(MAX(0,'Process'!AN330*'Control Room'!$H$11*INDEX('Control Room'!$B$19:$H$19,1,WEEKDAY($A330,2))*(1+'Control Room'!$D$9)^328*'Process'!AO330),2),"")</x:f>
      </x:c>
      <x:c r="K330" s="16" t="str">
        <x:f>IF(AND(AND(329&lt;='Control Room'!$B$3,'Control Room'!$D$3="Ready"),9&lt;='Control Room'!$B$2),ROUND(MAX(0,'Process'!AS330*'Control Room'!$H$12*INDEX('Control Room'!$B$19:$H$19,1,WEEKDAY($A330,2))*(1+'Control Room'!$D$9)^328*'Process'!AT330),2),"")</x:f>
      </x:c>
      <x:c r="L330" s="16" t="str">
        <x:f>IF(AND(AND(329&lt;='Control Room'!$B$3,'Control Room'!$D$3="Ready"),10&lt;='Control Room'!$B$2),ROUND(MAX(0,'Process'!AX330*'Control Room'!$H$13*INDEX('Control Room'!$B$19:$H$19,1,WEEKDAY($A330,2))*(1+'Control Room'!$D$9)^328*'Process'!AY330),2),"")</x:f>
      </x:c>
      <x:c r="M330" s="16" t="str">
        <x:f>IF(AND(AND(329&lt;='Control Room'!$B$3,'Control Room'!$D$3="Ready"),11&lt;='Control Room'!$B$2),ROUND(MAX(0,'Process'!BC330*'Control Room'!$H$14*INDEX('Control Room'!$B$19:$H$19,1,WEEKDAY($A330,2))*(1+'Control Room'!$D$9)^328*'Process'!BD330),2),"")</x:f>
      </x:c>
      <x:c r="N330" s="16" t="str">
        <x:f>IF(AND(AND(329&lt;='Control Room'!$B$3,'Control Room'!$D$3="Ready"),12&lt;='Control Room'!$B$2),ROUND(MAX(0,'Process'!BH330*'Control Room'!$H$15*INDEX('Control Room'!$B$19:$H$19,1,WEEKDAY($A330,2))*(1+'Control Room'!$D$9)^328*'Process'!BI330),2),"")</x:f>
      </x:c>
    </x:row>
    <x:row r="331" ht="21" customHeight="1">
      <x:c r="A331" s="15" t="str">
        <x:f>IF(AND(330&lt;='Control Room'!$B$3,'Control Room'!$D$3="Ready"),'Process'!A331,"")</x:f>
      </x:c>
      <x:c r="B331" s="16" t="str">
        <x:f>IF(A331="","",SUM(C331:N331))</x:f>
      </x:c>
      <x:c r="C331" s="16" t="str">
        <x:f>IF(AND(AND(330&lt;='Control Room'!$B$3,'Control Room'!$D$3="Ready"),1&lt;='Control Room'!$B$2),ROUND(MAX(0,'Process'!E331*'Control Room'!$H$4*INDEX('Control Room'!$B$19:$H$19,1,WEEKDAY($A331,2))*(1+'Control Room'!$D$9)^329*'Process'!F331),2),"")</x:f>
      </x:c>
      <x:c r="D331" s="16" t="str">
        <x:f>IF(AND(AND(330&lt;='Control Room'!$B$3,'Control Room'!$D$3="Ready"),2&lt;='Control Room'!$B$2),ROUND(MAX(0,'Process'!J331*'Control Room'!$H$5*INDEX('Control Room'!$B$19:$H$19,1,WEEKDAY($A331,2))*(1+'Control Room'!$D$9)^329*'Process'!K331),2),"")</x:f>
      </x:c>
      <x:c r="E331" s="16" t="str">
        <x:f>IF(AND(AND(330&lt;='Control Room'!$B$3,'Control Room'!$D$3="Ready"),3&lt;='Control Room'!$B$2),ROUND(MAX(0,'Process'!O331*'Control Room'!$H$6*INDEX('Control Room'!$B$19:$H$19,1,WEEKDAY($A331,2))*(1+'Control Room'!$D$9)^329*'Process'!P331),2),"")</x:f>
      </x:c>
      <x:c r="F331" s="16" t="str">
        <x:f>IF(AND(AND(330&lt;='Control Room'!$B$3,'Control Room'!$D$3="Ready"),4&lt;='Control Room'!$B$2),ROUND(MAX(0,'Process'!T331*'Control Room'!$H$7*INDEX('Control Room'!$B$19:$H$19,1,WEEKDAY($A331,2))*(1+'Control Room'!$D$9)^329*'Process'!U331),2),"")</x:f>
      </x:c>
      <x:c r="G331" s="16" t="str">
        <x:f>IF(AND(AND(330&lt;='Control Room'!$B$3,'Control Room'!$D$3="Ready"),5&lt;='Control Room'!$B$2),ROUND(MAX(0,'Process'!Y331*'Control Room'!$H$8*INDEX('Control Room'!$B$19:$H$19,1,WEEKDAY($A331,2))*(1+'Control Room'!$D$9)^329*'Process'!Z331),2),"")</x:f>
      </x:c>
      <x:c r="H331" s="16" t="str">
        <x:f>IF(AND(AND(330&lt;='Control Room'!$B$3,'Control Room'!$D$3="Ready"),6&lt;='Control Room'!$B$2),ROUND(MAX(0,'Process'!AD331*'Control Room'!$H$9*INDEX('Control Room'!$B$19:$H$19,1,WEEKDAY($A331,2))*(1+'Control Room'!$D$9)^329*'Process'!AE331),2),"")</x:f>
      </x:c>
      <x:c r="I331" s="16" t="str">
        <x:f>IF(AND(AND(330&lt;='Control Room'!$B$3,'Control Room'!$D$3="Ready"),7&lt;='Control Room'!$B$2),ROUND(MAX(0,'Process'!AI331*'Control Room'!$H$10*INDEX('Control Room'!$B$19:$H$19,1,WEEKDAY($A331,2))*(1+'Control Room'!$D$9)^329*'Process'!AJ331),2),"")</x:f>
      </x:c>
      <x:c r="J331" s="16" t="str">
        <x:f>IF(AND(AND(330&lt;='Control Room'!$B$3,'Control Room'!$D$3="Ready"),8&lt;='Control Room'!$B$2),ROUND(MAX(0,'Process'!AN331*'Control Room'!$H$11*INDEX('Control Room'!$B$19:$H$19,1,WEEKDAY($A331,2))*(1+'Control Room'!$D$9)^329*'Process'!AO331),2),"")</x:f>
      </x:c>
      <x:c r="K331" s="16" t="str">
        <x:f>IF(AND(AND(330&lt;='Control Room'!$B$3,'Control Room'!$D$3="Ready"),9&lt;='Control Room'!$B$2),ROUND(MAX(0,'Process'!AS331*'Control Room'!$H$12*INDEX('Control Room'!$B$19:$H$19,1,WEEKDAY($A331,2))*(1+'Control Room'!$D$9)^329*'Process'!AT331),2),"")</x:f>
      </x:c>
      <x:c r="L331" s="16" t="str">
        <x:f>IF(AND(AND(330&lt;='Control Room'!$B$3,'Control Room'!$D$3="Ready"),10&lt;='Control Room'!$B$2),ROUND(MAX(0,'Process'!AX331*'Control Room'!$H$13*INDEX('Control Room'!$B$19:$H$19,1,WEEKDAY($A331,2))*(1+'Control Room'!$D$9)^329*'Process'!AY331),2),"")</x:f>
      </x:c>
      <x:c r="M331" s="16" t="str">
        <x:f>IF(AND(AND(330&lt;='Control Room'!$B$3,'Control Room'!$D$3="Ready"),11&lt;='Control Room'!$B$2),ROUND(MAX(0,'Process'!BC331*'Control Room'!$H$14*INDEX('Control Room'!$B$19:$H$19,1,WEEKDAY($A331,2))*(1+'Control Room'!$D$9)^329*'Process'!BD331),2),"")</x:f>
      </x:c>
      <x:c r="N331" s="16" t="str">
        <x:f>IF(AND(AND(330&lt;='Control Room'!$B$3,'Control Room'!$D$3="Ready"),12&lt;='Control Room'!$B$2),ROUND(MAX(0,'Process'!BH331*'Control Room'!$H$15*INDEX('Control Room'!$B$19:$H$19,1,WEEKDAY($A331,2))*(1+'Control Room'!$D$9)^329*'Process'!BI331),2),"")</x:f>
      </x:c>
    </x:row>
    <x:row r="332" ht="21" customHeight="1">
      <x:c r="A332" s="15" t="str">
        <x:f>IF(AND(331&lt;='Control Room'!$B$3,'Control Room'!$D$3="Ready"),'Process'!A332,"")</x:f>
      </x:c>
      <x:c r="B332" s="16" t="str">
        <x:f>IF(A332="","",SUM(C332:N332))</x:f>
      </x:c>
      <x:c r="C332" s="16" t="str">
        <x:f>IF(AND(AND(331&lt;='Control Room'!$B$3,'Control Room'!$D$3="Ready"),1&lt;='Control Room'!$B$2),ROUND(MAX(0,'Process'!E332*'Control Room'!$H$4*INDEX('Control Room'!$B$19:$H$19,1,WEEKDAY($A332,2))*(1+'Control Room'!$D$9)^330*'Process'!F332),2),"")</x:f>
      </x:c>
      <x:c r="D332" s="16" t="str">
        <x:f>IF(AND(AND(331&lt;='Control Room'!$B$3,'Control Room'!$D$3="Ready"),2&lt;='Control Room'!$B$2),ROUND(MAX(0,'Process'!J332*'Control Room'!$H$5*INDEX('Control Room'!$B$19:$H$19,1,WEEKDAY($A332,2))*(1+'Control Room'!$D$9)^330*'Process'!K332),2),"")</x:f>
      </x:c>
      <x:c r="E332" s="16" t="str">
        <x:f>IF(AND(AND(331&lt;='Control Room'!$B$3,'Control Room'!$D$3="Ready"),3&lt;='Control Room'!$B$2),ROUND(MAX(0,'Process'!O332*'Control Room'!$H$6*INDEX('Control Room'!$B$19:$H$19,1,WEEKDAY($A332,2))*(1+'Control Room'!$D$9)^330*'Process'!P332),2),"")</x:f>
      </x:c>
      <x:c r="F332" s="16" t="str">
        <x:f>IF(AND(AND(331&lt;='Control Room'!$B$3,'Control Room'!$D$3="Ready"),4&lt;='Control Room'!$B$2),ROUND(MAX(0,'Process'!T332*'Control Room'!$H$7*INDEX('Control Room'!$B$19:$H$19,1,WEEKDAY($A332,2))*(1+'Control Room'!$D$9)^330*'Process'!U332),2),"")</x:f>
      </x:c>
      <x:c r="G332" s="16" t="str">
        <x:f>IF(AND(AND(331&lt;='Control Room'!$B$3,'Control Room'!$D$3="Ready"),5&lt;='Control Room'!$B$2),ROUND(MAX(0,'Process'!Y332*'Control Room'!$H$8*INDEX('Control Room'!$B$19:$H$19,1,WEEKDAY($A332,2))*(1+'Control Room'!$D$9)^330*'Process'!Z332),2),"")</x:f>
      </x:c>
      <x:c r="H332" s="16" t="str">
        <x:f>IF(AND(AND(331&lt;='Control Room'!$B$3,'Control Room'!$D$3="Ready"),6&lt;='Control Room'!$B$2),ROUND(MAX(0,'Process'!AD332*'Control Room'!$H$9*INDEX('Control Room'!$B$19:$H$19,1,WEEKDAY($A332,2))*(1+'Control Room'!$D$9)^330*'Process'!AE332),2),"")</x:f>
      </x:c>
      <x:c r="I332" s="16" t="str">
        <x:f>IF(AND(AND(331&lt;='Control Room'!$B$3,'Control Room'!$D$3="Ready"),7&lt;='Control Room'!$B$2),ROUND(MAX(0,'Process'!AI332*'Control Room'!$H$10*INDEX('Control Room'!$B$19:$H$19,1,WEEKDAY($A332,2))*(1+'Control Room'!$D$9)^330*'Process'!AJ332),2),"")</x:f>
      </x:c>
      <x:c r="J332" s="16" t="str">
        <x:f>IF(AND(AND(331&lt;='Control Room'!$B$3,'Control Room'!$D$3="Ready"),8&lt;='Control Room'!$B$2),ROUND(MAX(0,'Process'!AN332*'Control Room'!$H$11*INDEX('Control Room'!$B$19:$H$19,1,WEEKDAY($A332,2))*(1+'Control Room'!$D$9)^330*'Process'!AO332),2),"")</x:f>
      </x:c>
      <x:c r="K332" s="16" t="str">
        <x:f>IF(AND(AND(331&lt;='Control Room'!$B$3,'Control Room'!$D$3="Ready"),9&lt;='Control Room'!$B$2),ROUND(MAX(0,'Process'!AS332*'Control Room'!$H$12*INDEX('Control Room'!$B$19:$H$19,1,WEEKDAY($A332,2))*(1+'Control Room'!$D$9)^330*'Process'!AT332),2),"")</x:f>
      </x:c>
      <x:c r="L332" s="16" t="str">
        <x:f>IF(AND(AND(331&lt;='Control Room'!$B$3,'Control Room'!$D$3="Ready"),10&lt;='Control Room'!$B$2),ROUND(MAX(0,'Process'!AX332*'Control Room'!$H$13*INDEX('Control Room'!$B$19:$H$19,1,WEEKDAY($A332,2))*(1+'Control Room'!$D$9)^330*'Process'!AY332),2),"")</x:f>
      </x:c>
      <x:c r="M332" s="16" t="str">
        <x:f>IF(AND(AND(331&lt;='Control Room'!$B$3,'Control Room'!$D$3="Ready"),11&lt;='Control Room'!$B$2),ROUND(MAX(0,'Process'!BC332*'Control Room'!$H$14*INDEX('Control Room'!$B$19:$H$19,1,WEEKDAY($A332,2))*(1+'Control Room'!$D$9)^330*'Process'!BD332),2),"")</x:f>
      </x:c>
      <x:c r="N332" s="16" t="str">
        <x:f>IF(AND(AND(331&lt;='Control Room'!$B$3,'Control Room'!$D$3="Ready"),12&lt;='Control Room'!$B$2),ROUND(MAX(0,'Process'!BH332*'Control Room'!$H$15*INDEX('Control Room'!$B$19:$H$19,1,WEEKDAY($A332,2))*(1+'Control Room'!$D$9)^330*'Process'!BI332),2),"")</x:f>
      </x:c>
    </x:row>
    <x:row r="333" ht="21" customHeight="1">
      <x:c r="A333" s="15" t="str">
        <x:f>IF(AND(332&lt;='Control Room'!$B$3,'Control Room'!$D$3="Ready"),'Process'!A333,"")</x:f>
      </x:c>
      <x:c r="B333" s="16" t="str">
        <x:f>IF(A333="","",SUM(C333:N333))</x:f>
      </x:c>
      <x:c r="C333" s="16" t="str">
        <x:f>IF(AND(AND(332&lt;='Control Room'!$B$3,'Control Room'!$D$3="Ready"),1&lt;='Control Room'!$B$2),ROUND(MAX(0,'Process'!E333*'Control Room'!$H$4*INDEX('Control Room'!$B$19:$H$19,1,WEEKDAY($A333,2))*(1+'Control Room'!$D$9)^331*'Process'!F333),2),"")</x:f>
      </x:c>
      <x:c r="D333" s="16" t="str">
        <x:f>IF(AND(AND(332&lt;='Control Room'!$B$3,'Control Room'!$D$3="Ready"),2&lt;='Control Room'!$B$2),ROUND(MAX(0,'Process'!J333*'Control Room'!$H$5*INDEX('Control Room'!$B$19:$H$19,1,WEEKDAY($A333,2))*(1+'Control Room'!$D$9)^331*'Process'!K333),2),"")</x:f>
      </x:c>
      <x:c r="E333" s="16" t="str">
        <x:f>IF(AND(AND(332&lt;='Control Room'!$B$3,'Control Room'!$D$3="Ready"),3&lt;='Control Room'!$B$2),ROUND(MAX(0,'Process'!O333*'Control Room'!$H$6*INDEX('Control Room'!$B$19:$H$19,1,WEEKDAY($A333,2))*(1+'Control Room'!$D$9)^331*'Process'!P333),2),"")</x:f>
      </x:c>
      <x:c r="F333" s="16" t="str">
        <x:f>IF(AND(AND(332&lt;='Control Room'!$B$3,'Control Room'!$D$3="Ready"),4&lt;='Control Room'!$B$2),ROUND(MAX(0,'Process'!T333*'Control Room'!$H$7*INDEX('Control Room'!$B$19:$H$19,1,WEEKDAY($A333,2))*(1+'Control Room'!$D$9)^331*'Process'!U333),2),"")</x:f>
      </x:c>
      <x:c r="G333" s="16" t="str">
        <x:f>IF(AND(AND(332&lt;='Control Room'!$B$3,'Control Room'!$D$3="Ready"),5&lt;='Control Room'!$B$2),ROUND(MAX(0,'Process'!Y333*'Control Room'!$H$8*INDEX('Control Room'!$B$19:$H$19,1,WEEKDAY($A333,2))*(1+'Control Room'!$D$9)^331*'Process'!Z333),2),"")</x:f>
      </x:c>
      <x:c r="H333" s="16" t="str">
        <x:f>IF(AND(AND(332&lt;='Control Room'!$B$3,'Control Room'!$D$3="Ready"),6&lt;='Control Room'!$B$2),ROUND(MAX(0,'Process'!AD333*'Control Room'!$H$9*INDEX('Control Room'!$B$19:$H$19,1,WEEKDAY($A333,2))*(1+'Control Room'!$D$9)^331*'Process'!AE333),2),"")</x:f>
      </x:c>
      <x:c r="I333" s="16" t="str">
        <x:f>IF(AND(AND(332&lt;='Control Room'!$B$3,'Control Room'!$D$3="Ready"),7&lt;='Control Room'!$B$2),ROUND(MAX(0,'Process'!AI333*'Control Room'!$H$10*INDEX('Control Room'!$B$19:$H$19,1,WEEKDAY($A333,2))*(1+'Control Room'!$D$9)^331*'Process'!AJ333),2),"")</x:f>
      </x:c>
      <x:c r="J333" s="16" t="str">
        <x:f>IF(AND(AND(332&lt;='Control Room'!$B$3,'Control Room'!$D$3="Ready"),8&lt;='Control Room'!$B$2),ROUND(MAX(0,'Process'!AN333*'Control Room'!$H$11*INDEX('Control Room'!$B$19:$H$19,1,WEEKDAY($A333,2))*(1+'Control Room'!$D$9)^331*'Process'!AO333),2),"")</x:f>
      </x:c>
      <x:c r="K333" s="16" t="str">
        <x:f>IF(AND(AND(332&lt;='Control Room'!$B$3,'Control Room'!$D$3="Ready"),9&lt;='Control Room'!$B$2),ROUND(MAX(0,'Process'!AS333*'Control Room'!$H$12*INDEX('Control Room'!$B$19:$H$19,1,WEEKDAY($A333,2))*(1+'Control Room'!$D$9)^331*'Process'!AT333),2),"")</x:f>
      </x:c>
      <x:c r="L333" s="16" t="str">
        <x:f>IF(AND(AND(332&lt;='Control Room'!$B$3,'Control Room'!$D$3="Ready"),10&lt;='Control Room'!$B$2),ROUND(MAX(0,'Process'!AX333*'Control Room'!$H$13*INDEX('Control Room'!$B$19:$H$19,1,WEEKDAY($A333,2))*(1+'Control Room'!$D$9)^331*'Process'!AY333),2),"")</x:f>
      </x:c>
      <x:c r="M333" s="16" t="str">
        <x:f>IF(AND(AND(332&lt;='Control Room'!$B$3,'Control Room'!$D$3="Ready"),11&lt;='Control Room'!$B$2),ROUND(MAX(0,'Process'!BC333*'Control Room'!$H$14*INDEX('Control Room'!$B$19:$H$19,1,WEEKDAY($A333,2))*(1+'Control Room'!$D$9)^331*'Process'!BD333),2),"")</x:f>
      </x:c>
      <x:c r="N333" s="16" t="str">
        <x:f>IF(AND(AND(332&lt;='Control Room'!$B$3,'Control Room'!$D$3="Ready"),12&lt;='Control Room'!$B$2),ROUND(MAX(0,'Process'!BH333*'Control Room'!$H$15*INDEX('Control Room'!$B$19:$H$19,1,WEEKDAY($A333,2))*(1+'Control Room'!$D$9)^331*'Process'!BI333),2),"")</x:f>
      </x:c>
    </x:row>
    <x:row r="334" ht="21" customHeight="1">
      <x:c r="A334" s="15" t="str">
        <x:f>IF(AND(333&lt;='Control Room'!$B$3,'Control Room'!$D$3="Ready"),'Process'!A334,"")</x:f>
      </x:c>
      <x:c r="B334" s="16" t="str">
        <x:f>IF(A334="","",SUM(C334:N334))</x:f>
      </x:c>
      <x:c r="C334" s="16" t="str">
        <x:f>IF(AND(AND(333&lt;='Control Room'!$B$3,'Control Room'!$D$3="Ready"),1&lt;='Control Room'!$B$2),ROUND(MAX(0,'Process'!E334*'Control Room'!$H$4*INDEX('Control Room'!$B$19:$H$19,1,WEEKDAY($A334,2))*(1+'Control Room'!$D$9)^332*'Process'!F334),2),"")</x:f>
      </x:c>
      <x:c r="D334" s="16" t="str">
        <x:f>IF(AND(AND(333&lt;='Control Room'!$B$3,'Control Room'!$D$3="Ready"),2&lt;='Control Room'!$B$2),ROUND(MAX(0,'Process'!J334*'Control Room'!$H$5*INDEX('Control Room'!$B$19:$H$19,1,WEEKDAY($A334,2))*(1+'Control Room'!$D$9)^332*'Process'!K334),2),"")</x:f>
      </x:c>
      <x:c r="E334" s="16" t="str">
        <x:f>IF(AND(AND(333&lt;='Control Room'!$B$3,'Control Room'!$D$3="Ready"),3&lt;='Control Room'!$B$2),ROUND(MAX(0,'Process'!O334*'Control Room'!$H$6*INDEX('Control Room'!$B$19:$H$19,1,WEEKDAY($A334,2))*(1+'Control Room'!$D$9)^332*'Process'!P334),2),"")</x:f>
      </x:c>
      <x:c r="F334" s="16" t="str">
        <x:f>IF(AND(AND(333&lt;='Control Room'!$B$3,'Control Room'!$D$3="Ready"),4&lt;='Control Room'!$B$2),ROUND(MAX(0,'Process'!T334*'Control Room'!$H$7*INDEX('Control Room'!$B$19:$H$19,1,WEEKDAY($A334,2))*(1+'Control Room'!$D$9)^332*'Process'!U334),2),"")</x:f>
      </x:c>
      <x:c r="G334" s="16" t="str">
        <x:f>IF(AND(AND(333&lt;='Control Room'!$B$3,'Control Room'!$D$3="Ready"),5&lt;='Control Room'!$B$2),ROUND(MAX(0,'Process'!Y334*'Control Room'!$H$8*INDEX('Control Room'!$B$19:$H$19,1,WEEKDAY($A334,2))*(1+'Control Room'!$D$9)^332*'Process'!Z334),2),"")</x:f>
      </x:c>
      <x:c r="H334" s="16" t="str">
        <x:f>IF(AND(AND(333&lt;='Control Room'!$B$3,'Control Room'!$D$3="Ready"),6&lt;='Control Room'!$B$2),ROUND(MAX(0,'Process'!AD334*'Control Room'!$H$9*INDEX('Control Room'!$B$19:$H$19,1,WEEKDAY($A334,2))*(1+'Control Room'!$D$9)^332*'Process'!AE334),2),"")</x:f>
      </x:c>
      <x:c r="I334" s="16" t="str">
        <x:f>IF(AND(AND(333&lt;='Control Room'!$B$3,'Control Room'!$D$3="Ready"),7&lt;='Control Room'!$B$2),ROUND(MAX(0,'Process'!AI334*'Control Room'!$H$10*INDEX('Control Room'!$B$19:$H$19,1,WEEKDAY($A334,2))*(1+'Control Room'!$D$9)^332*'Process'!AJ334),2),"")</x:f>
      </x:c>
      <x:c r="J334" s="16" t="str">
        <x:f>IF(AND(AND(333&lt;='Control Room'!$B$3,'Control Room'!$D$3="Ready"),8&lt;='Control Room'!$B$2),ROUND(MAX(0,'Process'!AN334*'Control Room'!$H$11*INDEX('Control Room'!$B$19:$H$19,1,WEEKDAY($A334,2))*(1+'Control Room'!$D$9)^332*'Process'!AO334),2),"")</x:f>
      </x:c>
      <x:c r="K334" s="16" t="str">
        <x:f>IF(AND(AND(333&lt;='Control Room'!$B$3,'Control Room'!$D$3="Ready"),9&lt;='Control Room'!$B$2),ROUND(MAX(0,'Process'!AS334*'Control Room'!$H$12*INDEX('Control Room'!$B$19:$H$19,1,WEEKDAY($A334,2))*(1+'Control Room'!$D$9)^332*'Process'!AT334),2),"")</x:f>
      </x:c>
      <x:c r="L334" s="16" t="str">
        <x:f>IF(AND(AND(333&lt;='Control Room'!$B$3,'Control Room'!$D$3="Ready"),10&lt;='Control Room'!$B$2),ROUND(MAX(0,'Process'!AX334*'Control Room'!$H$13*INDEX('Control Room'!$B$19:$H$19,1,WEEKDAY($A334,2))*(1+'Control Room'!$D$9)^332*'Process'!AY334),2),"")</x:f>
      </x:c>
      <x:c r="M334" s="16" t="str">
        <x:f>IF(AND(AND(333&lt;='Control Room'!$B$3,'Control Room'!$D$3="Ready"),11&lt;='Control Room'!$B$2),ROUND(MAX(0,'Process'!BC334*'Control Room'!$H$14*INDEX('Control Room'!$B$19:$H$19,1,WEEKDAY($A334,2))*(1+'Control Room'!$D$9)^332*'Process'!BD334),2),"")</x:f>
      </x:c>
      <x:c r="N334" s="16" t="str">
        <x:f>IF(AND(AND(333&lt;='Control Room'!$B$3,'Control Room'!$D$3="Ready"),12&lt;='Control Room'!$B$2),ROUND(MAX(0,'Process'!BH334*'Control Room'!$H$15*INDEX('Control Room'!$B$19:$H$19,1,WEEKDAY($A334,2))*(1+'Control Room'!$D$9)^332*'Process'!BI334),2),"")</x:f>
      </x:c>
    </x:row>
    <x:row r="335" ht="21" customHeight="1">
      <x:c r="A335" s="15" t="str">
        <x:f>IF(AND(334&lt;='Control Room'!$B$3,'Control Room'!$D$3="Ready"),'Process'!A335,"")</x:f>
      </x:c>
      <x:c r="B335" s="16" t="str">
        <x:f>IF(A335="","",SUM(C335:N335))</x:f>
      </x:c>
      <x:c r="C335" s="16" t="str">
        <x:f>IF(AND(AND(334&lt;='Control Room'!$B$3,'Control Room'!$D$3="Ready"),1&lt;='Control Room'!$B$2),ROUND(MAX(0,'Process'!E335*'Control Room'!$H$4*INDEX('Control Room'!$B$19:$H$19,1,WEEKDAY($A335,2))*(1+'Control Room'!$D$9)^333*'Process'!F335),2),"")</x:f>
      </x:c>
      <x:c r="D335" s="16" t="str">
        <x:f>IF(AND(AND(334&lt;='Control Room'!$B$3,'Control Room'!$D$3="Ready"),2&lt;='Control Room'!$B$2),ROUND(MAX(0,'Process'!J335*'Control Room'!$H$5*INDEX('Control Room'!$B$19:$H$19,1,WEEKDAY($A335,2))*(1+'Control Room'!$D$9)^333*'Process'!K335),2),"")</x:f>
      </x:c>
      <x:c r="E335" s="16" t="str">
        <x:f>IF(AND(AND(334&lt;='Control Room'!$B$3,'Control Room'!$D$3="Ready"),3&lt;='Control Room'!$B$2),ROUND(MAX(0,'Process'!O335*'Control Room'!$H$6*INDEX('Control Room'!$B$19:$H$19,1,WEEKDAY($A335,2))*(1+'Control Room'!$D$9)^333*'Process'!P335),2),"")</x:f>
      </x:c>
      <x:c r="F335" s="16" t="str">
        <x:f>IF(AND(AND(334&lt;='Control Room'!$B$3,'Control Room'!$D$3="Ready"),4&lt;='Control Room'!$B$2),ROUND(MAX(0,'Process'!T335*'Control Room'!$H$7*INDEX('Control Room'!$B$19:$H$19,1,WEEKDAY($A335,2))*(1+'Control Room'!$D$9)^333*'Process'!U335),2),"")</x:f>
      </x:c>
      <x:c r="G335" s="16" t="str">
        <x:f>IF(AND(AND(334&lt;='Control Room'!$B$3,'Control Room'!$D$3="Ready"),5&lt;='Control Room'!$B$2),ROUND(MAX(0,'Process'!Y335*'Control Room'!$H$8*INDEX('Control Room'!$B$19:$H$19,1,WEEKDAY($A335,2))*(1+'Control Room'!$D$9)^333*'Process'!Z335),2),"")</x:f>
      </x:c>
      <x:c r="H335" s="16" t="str">
        <x:f>IF(AND(AND(334&lt;='Control Room'!$B$3,'Control Room'!$D$3="Ready"),6&lt;='Control Room'!$B$2),ROUND(MAX(0,'Process'!AD335*'Control Room'!$H$9*INDEX('Control Room'!$B$19:$H$19,1,WEEKDAY($A335,2))*(1+'Control Room'!$D$9)^333*'Process'!AE335),2),"")</x:f>
      </x:c>
      <x:c r="I335" s="16" t="str">
        <x:f>IF(AND(AND(334&lt;='Control Room'!$B$3,'Control Room'!$D$3="Ready"),7&lt;='Control Room'!$B$2),ROUND(MAX(0,'Process'!AI335*'Control Room'!$H$10*INDEX('Control Room'!$B$19:$H$19,1,WEEKDAY($A335,2))*(1+'Control Room'!$D$9)^333*'Process'!AJ335),2),"")</x:f>
      </x:c>
      <x:c r="J335" s="16" t="str">
        <x:f>IF(AND(AND(334&lt;='Control Room'!$B$3,'Control Room'!$D$3="Ready"),8&lt;='Control Room'!$B$2),ROUND(MAX(0,'Process'!AN335*'Control Room'!$H$11*INDEX('Control Room'!$B$19:$H$19,1,WEEKDAY($A335,2))*(1+'Control Room'!$D$9)^333*'Process'!AO335),2),"")</x:f>
      </x:c>
      <x:c r="K335" s="16" t="str">
        <x:f>IF(AND(AND(334&lt;='Control Room'!$B$3,'Control Room'!$D$3="Ready"),9&lt;='Control Room'!$B$2),ROUND(MAX(0,'Process'!AS335*'Control Room'!$H$12*INDEX('Control Room'!$B$19:$H$19,1,WEEKDAY($A335,2))*(1+'Control Room'!$D$9)^333*'Process'!AT335),2),"")</x:f>
      </x:c>
      <x:c r="L335" s="16" t="str">
        <x:f>IF(AND(AND(334&lt;='Control Room'!$B$3,'Control Room'!$D$3="Ready"),10&lt;='Control Room'!$B$2),ROUND(MAX(0,'Process'!AX335*'Control Room'!$H$13*INDEX('Control Room'!$B$19:$H$19,1,WEEKDAY($A335,2))*(1+'Control Room'!$D$9)^333*'Process'!AY335),2),"")</x:f>
      </x:c>
      <x:c r="M335" s="16" t="str">
        <x:f>IF(AND(AND(334&lt;='Control Room'!$B$3,'Control Room'!$D$3="Ready"),11&lt;='Control Room'!$B$2),ROUND(MAX(0,'Process'!BC335*'Control Room'!$H$14*INDEX('Control Room'!$B$19:$H$19,1,WEEKDAY($A335,2))*(1+'Control Room'!$D$9)^333*'Process'!BD335),2),"")</x:f>
      </x:c>
      <x:c r="N335" s="16" t="str">
        <x:f>IF(AND(AND(334&lt;='Control Room'!$B$3,'Control Room'!$D$3="Ready"),12&lt;='Control Room'!$B$2),ROUND(MAX(0,'Process'!BH335*'Control Room'!$H$15*INDEX('Control Room'!$B$19:$H$19,1,WEEKDAY($A335,2))*(1+'Control Room'!$D$9)^333*'Process'!BI335),2),"")</x:f>
      </x:c>
    </x:row>
    <x:row r="336" ht="21" customHeight="1">
      <x:c r="A336" s="15" t="str">
        <x:f>IF(AND(335&lt;='Control Room'!$B$3,'Control Room'!$D$3="Ready"),'Process'!A336,"")</x:f>
      </x:c>
      <x:c r="B336" s="16" t="str">
        <x:f>IF(A336="","",SUM(C336:N336))</x:f>
      </x:c>
      <x:c r="C336" s="16" t="str">
        <x:f>IF(AND(AND(335&lt;='Control Room'!$B$3,'Control Room'!$D$3="Ready"),1&lt;='Control Room'!$B$2),ROUND(MAX(0,'Process'!E336*'Control Room'!$H$4*INDEX('Control Room'!$B$19:$H$19,1,WEEKDAY($A336,2))*(1+'Control Room'!$D$9)^334*'Process'!F336),2),"")</x:f>
      </x:c>
      <x:c r="D336" s="16" t="str">
        <x:f>IF(AND(AND(335&lt;='Control Room'!$B$3,'Control Room'!$D$3="Ready"),2&lt;='Control Room'!$B$2),ROUND(MAX(0,'Process'!J336*'Control Room'!$H$5*INDEX('Control Room'!$B$19:$H$19,1,WEEKDAY($A336,2))*(1+'Control Room'!$D$9)^334*'Process'!K336),2),"")</x:f>
      </x:c>
      <x:c r="E336" s="16" t="str">
        <x:f>IF(AND(AND(335&lt;='Control Room'!$B$3,'Control Room'!$D$3="Ready"),3&lt;='Control Room'!$B$2),ROUND(MAX(0,'Process'!O336*'Control Room'!$H$6*INDEX('Control Room'!$B$19:$H$19,1,WEEKDAY($A336,2))*(1+'Control Room'!$D$9)^334*'Process'!P336),2),"")</x:f>
      </x:c>
      <x:c r="F336" s="16" t="str">
        <x:f>IF(AND(AND(335&lt;='Control Room'!$B$3,'Control Room'!$D$3="Ready"),4&lt;='Control Room'!$B$2),ROUND(MAX(0,'Process'!T336*'Control Room'!$H$7*INDEX('Control Room'!$B$19:$H$19,1,WEEKDAY($A336,2))*(1+'Control Room'!$D$9)^334*'Process'!U336),2),"")</x:f>
      </x:c>
      <x:c r="G336" s="16" t="str">
        <x:f>IF(AND(AND(335&lt;='Control Room'!$B$3,'Control Room'!$D$3="Ready"),5&lt;='Control Room'!$B$2),ROUND(MAX(0,'Process'!Y336*'Control Room'!$H$8*INDEX('Control Room'!$B$19:$H$19,1,WEEKDAY($A336,2))*(1+'Control Room'!$D$9)^334*'Process'!Z336),2),"")</x:f>
      </x:c>
      <x:c r="H336" s="16" t="str">
        <x:f>IF(AND(AND(335&lt;='Control Room'!$B$3,'Control Room'!$D$3="Ready"),6&lt;='Control Room'!$B$2),ROUND(MAX(0,'Process'!AD336*'Control Room'!$H$9*INDEX('Control Room'!$B$19:$H$19,1,WEEKDAY($A336,2))*(1+'Control Room'!$D$9)^334*'Process'!AE336),2),"")</x:f>
      </x:c>
      <x:c r="I336" s="16" t="str">
        <x:f>IF(AND(AND(335&lt;='Control Room'!$B$3,'Control Room'!$D$3="Ready"),7&lt;='Control Room'!$B$2),ROUND(MAX(0,'Process'!AI336*'Control Room'!$H$10*INDEX('Control Room'!$B$19:$H$19,1,WEEKDAY($A336,2))*(1+'Control Room'!$D$9)^334*'Process'!AJ336),2),"")</x:f>
      </x:c>
      <x:c r="J336" s="16" t="str">
        <x:f>IF(AND(AND(335&lt;='Control Room'!$B$3,'Control Room'!$D$3="Ready"),8&lt;='Control Room'!$B$2),ROUND(MAX(0,'Process'!AN336*'Control Room'!$H$11*INDEX('Control Room'!$B$19:$H$19,1,WEEKDAY($A336,2))*(1+'Control Room'!$D$9)^334*'Process'!AO336),2),"")</x:f>
      </x:c>
      <x:c r="K336" s="16" t="str">
        <x:f>IF(AND(AND(335&lt;='Control Room'!$B$3,'Control Room'!$D$3="Ready"),9&lt;='Control Room'!$B$2),ROUND(MAX(0,'Process'!AS336*'Control Room'!$H$12*INDEX('Control Room'!$B$19:$H$19,1,WEEKDAY($A336,2))*(1+'Control Room'!$D$9)^334*'Process'!AT336),2),"")</x:f>
      </x:c>
      <x:c r="L336" s="16" t="str">
        <x:f>IF(AND(AND(335&lt;='Control Room'!$B$3,'Control Room'!$D$3="Ready"),10&lt;='Control Room'!$B$2),ROUND(MAX(0,'Process'!AX336*'Control Room'!$H$13*INDEX('Control Room'!$B$19:$H$19,1,WEEKDAY($A336,2))*(1+'Control Room'!$D$9)^334*'Process'!AY336),2),"")</x:f>
      </x:c>
      <x:c r="M336" s="16" t="str">
        <x:f>IF(AND(AND(335&lt;='Control Room'!$B$3,'Control Room'!$D$3="Ready"),11&lt;='Control Room'!$B$2),ROUND(MAX(0,'Process'!BC336*'Control Room'!$H$14*INDEX('Control Room'!$B$19:$H$19,1,WEEKDAY($A336,2))*(1+'Control Room'!$D$9)^334*'Process'!BD336),2),"")</x:f>
      </x:c>
      <x:c r="N336" s="16" t="str">
        <x:f>IF(AND(AND(335&lt;='Control Room'!$B$3,'Control Room'!$D$3="Ready"),12&lt;='Control Room'!$B$2),ROUND(MAX(0,'Process'!BH336*'Control Room'!$H$15*INDEX('Control Room'!$B$19:$H$19,1,WEEKDAY($A336,2))*(1+'Control Room'!$D$9)^334*'Process'!BI336),2),"")</x:f>
      </x:c>
    </x:row>
    <x:row r="337" ht="21" customHeight="1">
      <x:c r="A337" s="15" t="str">
        <x:f>IF(AND(336&lt;='Control Room'!$B$3,'Control Room'!$D$3="Ready"),'Process'!A337,"")</x:f>
      </x:c>
      <x:c r="B337" s="16" t="str">
        <x:f>IF(A337="","",SUM(C337:N337))</x:f>
      </x:c>
      <x:c r="C337" s="16" t="str">
        <x:f>IF(AND(AND(336&lt;='Control Room'!$B$3,'Control Room'!$D$3="Ready"),1&lt;='Control Room'!$B$2),ROUND(MAX(0,'Process'!E337*'Control Room'!$H$4*INDEX('Control Room'!$B$19:$H$19,1,WEEKDAY($A337,2))*(1+'Control Room'!$D$9)^335*'Process'!F337),2),"")</x:f>
      </x:c>
      <x:c r="D337" s="16" t="str">
        <x:f>IF(AND(AND(336&lt;='Control Room'!$B$3,'Control Room'!$D$3="Ready"),2&lt;='Control Room'!$B$2),ROUND(MAX(0,'Process'!J337*'Control Room'!$H$5*INDEX('Control Room'!$B$19:$H$19,1,WEEKDAY($A337,2))*(1+'Control Room'!$D$9)^335*'Process'!K337),2),"")</x:f>
      </x:c>
      <x:c r="E337" s="16" t="str">
        <x:f>IF(AND(AND(336&lt;='Control Room'!$B$3,'Control Room'!$D$3="Ready"),3&lt;='Control Room'!$B$2),ROUND(MAX(0,'Process'!O337*'Control Room'!$H$6*INDEX('Control Room'!$B$19:$H$19,1,WEEKDAY($A337,2))*(1+'Control Room'!$D$9)^335*'Process'!P337),2),"")</x:f>
      </x:c>
      <x:c r="F337" s="16" t="str">
        <x:f>IF(AND(AND(336&lt;='Control Room'!$B$3,'Control Room'!$D$3="Ready"),4&lt;='Control Room'!$B$2),ROUND(MAX(0,'Process'!T337*'Control Room'!$H$7*INDEX('Control Room'!$B$19:$H$19,1,WEEKDAY($A337,2))*(1+'Control Room'!$D$9)^335*'Process'!U337),2),"")</x:f>
      </x:c>
      <x:c r="G337" s="16" t="str">
        <x:f>IF(AND(AND(336&lt;='Control Room'!$B$3,'Control Room'!$D$3="Ready"),5&lt;='Control Room'!$B$2),ROUND(MAX(0,'Process'!Y337*'Control Room'!$H$8*INDEX('Control Room'!$B$19:$H$19,1,WEEKDAY($A337,2))*(1+'Control Room'!$D$9)^335*'Process'!Z337),2),"")</x:f>
      </x:c>
      <x:c r="H337" s="16" t="str">
        <x:f>IF(AND(AND(336&lt;='Control Room'!$B$3,'Control Room'!$D$3="Ready"),6&lt;='Control Room'!$B$2),ROUND(MAX(0,'Process'!AD337*'Control Room'!$H$9*INDEX('Control Room'!$B$19:$H$19,1,WEEKDAY($A337,2))*(1+'Control Room'!$D$9)^335*'Process'!AE337),2),"")</x:f>
      </x:c>
      <x:c r="I337" s="16" t="str">
        <x:f>IF(AND(AND(336&lt;='Control Room'!$B$3,'Control Room'!$D$3="Ready"),7&lt;='Control Room'!$B$2),ROUND(MAX(0,'Process'!AI337*'Control Room'!$H$10*INDEX('Control Room'!$B$19:$H$19,1,WEEKDAY($A337,2))*(1+'Control Room'!$D$9)^335*'Process'!AJ337),2),"")</x:f>
      </x:c>
      <x:c r="J337" s="16" t="str">
        <x:f>IF(AND(AND(336&lt;='Control Room'!$B$3,'Control Room'!$D$3="Ready"),8&lt;='Control Room'!$B$2),ROUND(MAX(0,'Process'!AN337*'Control Room'!$H$11*INDEX('Control Room'!$B$19:$H$19,1,WEEKDAY($A337,2))*(1+'Control Room'!$D$9)^335*'Process'!AO337),2),"")</x:f>
      </x:c>
      <x:c r="K337" s="16" t="str">
        <x:f>IF(AND(AND(336&lt;='Control Room'!$B$3,'Control Room'!$D$3="Ready"),9&lt;='Control Room'!$B$2),ROUND(MAX(0,'Process'!AS337*'Control Room'!$H$12*INDEX('Control Room'!$B$19:$H$19,1,WEEKDAY($A337,2))*(1+'Control Room'!$D$9)^335*'Process'!AT337),2),"")</x:f>
      </x:c>
      <x:c r="L337" s="16" t="str">
        <x:f>IF(AND(AND(336&lt;='Control Room'!$B$3,'Control Room'!$D$3="Ready"),10&lt;='Control Room'!$B$2),ROUND(MAX(0,'Process'!AX337*'Control Room'!$H$13*INDEX('Control Room'!$B$19:$H$19,1,WEEKDAY($A337,2))*(1+'Control Room'!$D$9)^335*'Process'!AY337),2),"")</x:f>
      </x:c>
      <x:c r="M337" s="16" t="str">
        <x:f>IF(AND(AND(336&lt;='Control Room'!$B$3,'Control Room'!$D$3="Ready"),11&lt;='Control Room'!$B$2),ROUND(MAX(0,'Process'!BC337*'Control Room'!$H$14*INDEX('Control Room'!$B$19:$H$19,1,WEEKDAY($A337,2))*(1+'Control Room'!$D$9)^335*'Process'!BD337),2),"")</x:f>
      </x:c>
      <x:c r="N337" s="16" t="str">
        <x:f>IF(AND(AND(336&lt;='Control Room'!$B$3,'Control Room'!$D$3="Ready"),12&lt;='Control Room'!$B$2),ROUND(MAX(0,'Process'!BH337*'Control Room'!$H$15*INDEX('Control Room'!$B$19:$H$19,1,WEEKDAY($A337,2))*(1+'Control Room'!$D$9)^335*'Process'!BI337),2),"")</x:f>
      </x:c>
    </x:row>
    <x:row r="338" ht="21" customHeight="1">
      <x:c r="A338" s="15" t="str">
        <x:f>IF(AND(337&lt;='Control Room'!$B$3,'Control Room'!$D$3="Ready"),'Process'!A338,"")</x:f>
      </x:c>
      <x:c r="B338" s="16" t="str">
        <x:f>IF(A338="","",SUM(C338:N338))</x:f>
      </x:c>
      <x:c r="C338" s="16" t="str">
        <x:f>IF(AND(AND(337&lt;='Control Room'!$B$3,'Control Room'!$D$3="Ready"),1&lt;='Control Room'!$B$2),ROUND(MAX(0,'Process'!E338*'Control Room'!$H$4*INDEX('Control Room'!$B$19:$H$19,1,WEEKDAY($A338,2))*(1+'Control Room'!$D$9)^336*'Process'!F338),2),"")</x:f>
      </x:c>
      <x:c r="D338" s="16" t="str">
        <x:f>IF(AND(AND(337&lt;='Control Room'!$B$3,'Control Room'!$D$3="Ready"),2&lt;='Control Room'!$B$2),ROUND(MAX(0,'Process'!J338*'Control Room'!$H$5*INDEX('Control Room'!$B$19:$H$19,1,WEEKDAY($A338,2))*(1+'Control Room'!$D$9)^336*'Process'!K338),2),"")</x:f>
      </x:c>
      <x:c r="E338" s="16" t="str">
        <x:f>IF(AND(AND(337&lt;='Control Room'!$B$3,'Control Room'!$D$3="Ready"),3&lt;='Control Room'!$B$2),ROUND(MAX(0,'Process'!O338*'Control Room'!$H$6*INDEX('Control Room'!$B$19:$H$19,1,WEEKDAY($A338,2))*(1+'Control Room'!$D$9)^336*'Process'!P338),2),"")</x:f>
      </x:c>
      <x:c r="F338" s="16" t="str">
        <x:f>IF(AND(AND(337&lt;='Control Room'!$B$3,'Control Room'!$D$3="Ready"),4&lt;='Control Room'!$B$2),ROUND(MAX(0,'Process'!T338*'Control Room'!$H$7*INDEX('Control Room'!$B$19:$H$19,1,WEEKDAY($A338,2))*(1+'Control Room'!$D$9)^336*'Process'!U338),2),"")</x:f>
      </x:c>
      <x:c r="G338" s="16" t="str">
        <x:f>IF(AND(AND(337&lt;='Control Room'!$B$3,'Control Room'!$D$3="Ready"),5&lt;='Control Room'!$B$2),ROUND(MAX(0,'Process'!Y338*'Control Room'!$H$8*INDEX('Control Room'!$B$19:$H$19,1,WEEKDAY($A338,2))*(1+'Control Room'!$D$9)^336*'Process'!Z338),2),"")</x:f>
      </x:c>
      <x:c r="H338" s="16" t="str">
        <x:f>IF(AND(AND(337&lt;='Control Room'!$B$3,'Control Room'!$D$3="Ready"),6&lt;='Control Room'!$B$2),ROUND(MAX(0,'Process'!AD338*'Control Room'!$H$9*INDEX('Control Room'!$B$19:$H$19,1,WEEKDAY($A338,2))*(1+'Control Room'!$D$9)^336*'Process'!AE338),2),"")</x:f>
      </x:c>
      <x:c r="I338" s="16" t="str">
        <x:f>IF(AND(AND(337&lt;='Control Room'!$B$3,'Control Room'!$D$3="Ready"),7&lt;='Control Room'!$B$2),ROUND(MAX(0,'Process'!AI338*'Control Room'!$H$10*INDEX('Control Room'!$B$19:$H$19,1,WEEKDAY($A338,2))*(1+'Control Room'!$D$9)^336*'Process'!AJ338),2),"")</x:f>
      </x:c>
      <x:c r="J338" s="16" t="str">
        <x:f>IF(AND(AND(337&lt;='Control Room'!$B$3,'Control Room'!$D$3="Ready"),8&lt;='Control Room'!$B$2),ROUND(MAX(0,'Process'!AN338*'Control Room'!$H$11*INDEX('Control Room'!$B$19:$H$19,1,WEEKDAY($A338,2))*(1+'Control Room'!$D$9)^336*'Process'!AO338),2),"")</x:f>
      </x:c>
      <x:c r="K338" s="16" t="str">
        <x:f>IF(AND(AND(337&lt;='Control Room'!$B$3,'Control Room'!$D$3="Ready"),9&lt;='Control Room'!$B$2),ROUND(MAX(0,'Process'!AS338*'Control Room'!$H$12*INDEX('Control Room'!$B$19:$H$19,1,WEEKDAY($A338,2))*(1+'Control Room'!$D$9)^336*'Process'!AT338),2),"")</x:f>
      </x:c>
      <x:c r="L338" s="16" t="str">
        <x:f>IF(AND(AND(337&lt;='Control Room'!$B$3,'Control Room'!$D$3="Ready"),10&lt;='Control Room'!$B$2),ROUND(MAX(0,'Process'!AX338*'Control Room'!$H$13*INDEX('Control Room'!$B$19:$H$19,1,WEEKDAY($A338,2))*(1+'Control Room'!$D$9)^336*'Process'!AY338),2),"")</x:f>
      </x:c>
      <x:c r="M338" s="16" t="str">
        <x:f>IF(AND(AND(337&lt;='Control Room'!$B$3,'Control Room'!$D$3="Ready"),11&lt;='Control Room'!$B$2),ROUND(MAX(0,'Process'!BC338*'Control Room'!$H$14*INDEX('Control Room'!$B$19:$H$19,1,WEEKDAY($A338,2))*(1+'Control Room'!$D$9)^336*'Process'!BD338),2),"")</x:f>
      </x:c>
      <x:c r="N338" s="16" t="str">
        <x:f>IF(AND(AND(337&lt;='Control Room'!$B$3,'Control Room'!$D$3="Ready"),12&lt;='Control Room'!$B$2),ROUND(MAX(0,'Process'!BH338*'Control Room'!$H$15*INDEX('Control Room'!$B$19:$H$19,1,WEEKDAY($A338,2))*(1+'Control Room'!$D$9)^336*'Process'!BI338),2),"")</x:f>
      </x:c>
    </x:row>
    <x:row r="339" ht="21" customHeight="1">
      <x:c r="A339" s="15" t="str">
        <x:f>IF(AND(338&lt;='Control Room'!$B$3,'Control Room'!$D$3="Ready"),'Process'!A339,"")</x:f>
      </x:c>
      <x:c r="B339" s="16" t="str">
        <x:f>IF(A339="","",SUM(C339:N339))</x:f>
      </x:c>
      <x:c r="C339" s="16" t="str">
        <x:f>IF(AND(AND(338&lt;='Control Room'!$B$3,'Control Room'!$D$3="Ready"),1&lt;='Control Room'!$B$2),ROUND(MAX(0,'Process'!E339*'Control Room'!$H$4*INDEX('Control Room'!$B$19:$H$19,1,WEEKDAY($A339,2))*(1+'Control Room'!$D$9)^337*'Process'!F339),2),"")</x:f>
      </x:c>
      <x:c r="D339" s="16" t="str">
        <x:f>IF(AND(AND(338&lt;='Control Room'!$B$3,'Control Room'!$D$3="Ready"),2&lt;='Control Room'!$B$2),ROUND(MAX(0,'Process'!J339*'Control Room'!$H$5*INDEX('Control Room'!$B$19:$H$19,1,WEEKDAY($A339,2))*(1+'Control Room'!$D$9)^337*'Process'!K339),2),"")</x:f>
      </x:c>
      <x:c r="E339" s="16" t="str">
        <x:f>IF(AND(AND(338&lt;='Control Room'!$B$3,'Control Room'!$D$3="Ready"),3&lt;='Control Room'!$B$2),ROUND(MAX(0,'Process'!O339*'Control Room'!$H$6*INDEX('Control Room'!$B$19:$H$19,1,WEEKDAY($A339,2))*(1+'Control Room'!$D$9)^337*'Process'!P339),2),"")</x:f>
      </x:c>
      <x:c r="F339" s="16" t="str">
        <x:f>IF(AND(AND(338&lt;='Control Room'!$B$3,'Control Room'!$D$3="Ready"),4&lt;='Control Room'!$B$2),ROUND(MAX(0,'Process'!T339*'Control Room'!$H$7*INDEX('Control Room'!$B$19:$H$19,1,WEEKDAY($A339,2))*(1+'Control Room'!$D$9)^337*'Process'!U339),2),"")</x:f>
      </x:c>
      <x:c r="G339" s="16" t="str">
        <x:f>IF(AND(AND(338&lt;='Control Room'!$B$3,'Control Room'!$D$3="Ready"),5&lt;='Control Room'!$B$2),ROUND(MAX(0,'Process'!Y339*'Control Room'!$H$8*INDEX('Control Room'!$B$19:$H$19,1,WEEKDAY($A339,2))*(1+'Control Room'!$D$9)^337*'Process'!Z339),2),"")</x:f>
      </x:c>
      <x:c r="H339" s="16" t="str">
        <x:f>IF(AND(AND(338&lt;='Control Room'!$B$3,'Control Room'!$D$3="Ready"),6&lt;='Control Room'!$B$2),ROUND(MAX(0,'Process'!AD339*'Control Room'!$H$9*INDEX('Control Room'!$B$19:$H$19,1,WEEKDAY($A339,2))*(1+'Control Room'!$D$9)^337*'Process'!AE339),2),"")</x:f>
      </x:c>
      <x:c r="I339" s="16" t="str">
        <x:f>IF(AND(AND(338&lt;='Control Room'!$B$3,'Control Room'!$D$3="Ready"),7&lt;='Control Room'!$B$2),ROUND(MAX(0,'Process'!AI339*'Control Room'!$H$10*INDEX('Control Room'!$B$19:$H$19,1,WEEKDAY($A339,2))*(1+'Control Room'!$D$9)^337*'Process'!AJ339),2),"")</x:f>
      </x:c>
      <x:c r="J339" s="16" t="str">
        <x:f>IF(AND(AND(338&lt;='Control Room'!$B$3,'Control Room'!$D$3="Ready"),8&lt;='Control Room'!$B$2),ROUND(MAX(0,'Process'!AN339*'Control Room'!$H$11*INDEX('Control Room'!$B$19:$H$19,1,WEEKDAY($A339,2))*(1+'Control Room'!$D$9)^337*'Process'!AO339),2),"")</x:f>
      </x:c>
      <x:c r="K339" s="16" t="str">
        <x:f>IF(AND(AND(338&lt;='Control Room'!$B$3,'Control Room'!$D$3="Ready"),9&lt;='Control Room'!$B$2),ROUND(MAX(0,'Process'!AS339*'Control Room'!$H$12*INDEX('Control Room'!$B$19:$H$19,1,WEEKDAY($A339,2))*(1+'Control Room'!$D$9)^337*'Process'!AT339),2),"")</x:f>
      </x:c>
      <x:c r="L339" s="16" t="str">
        <x:f>IF(AND(AND(338&lt;='Control Room'!$B$3,'Control Room'!$D$3="Ready"),10&lt;='Control Room'!$B$2),ROUND(MAX(0,'Process'!AX339*'Control Room'!$H$13*INDEX('Control Room'!$B$19:$H$19,1,WEEKDAY($A339,2))*(1+'Control Room'!$D$9)^337*'Process'!AY339),2),"")</x:f>
      </x:c>
      <x:c r="M339" s="16" t="str">
        <x:f>IF(AND(AND(338&lt;='Control Room'!$B$3,'Control Room'!$D$3="Ready"),11&lt;='Control Room'!$B$2),ROUND(MAX(0,'Process'!BC339*'Control Room'!$H$14*INDEX('Control Room'!$B$19:$H$19,1,WEEKDAY($A339,2))*(1+'Control Room'!$D$9)^337*'Process'!BD339),2),"")</x:f>
      </x:c>
      <x:c r="N339" s="16" t="str">
        <x:f>IF(AND(AND(338&lt;='Control Room'!$B$3,'Control Room'!$D$3="Ready"),12&lt;='Control Room'!$B$2),ROUND(MAX(0,'Process'!BH339*'Control Room'!$H$15*INDEX('Control Room'!$B$19:$H$19,1,WEEKDAY($A339,2))*(1+'Control Room'!$D$9)^337*'Process'!BI339),2),"")</x:f>
      </x:c>
    </x:row>
    <x:row r="340" ht="21" customHeight="1">
      <x:c r="A340" s="15" t="str">
        <x:f>IF(AND(339&lt;='Control Room'!$B$3,'Control Room'!$D$3="Ready"),'Process'!A340,"")</x:f>
      </x:c>
      <x:c r="B340" s="16" t="str">
        <x:f>IF(A340="","",SUM(C340:N340))</x:f>
      </x:c>
      <x:c r="C340" s="16" t="str">
        <x:f>IF(AND(AND(339&lt;='Control Room'!$B$3,'Control Room'!$D$3="Ready"),1&lt;='Control Room'!$B$2),ROUND(MAX(0,'Process'!E340*'Control Room'!$H$4*INDEX('Control Room'!$B$19:$H$19,1,WEEKDAY($A340,2))*(1+'Control Room'!$D$9)^338*'Process'!F340),2),"")</x:f>
      </x:c>
      <x:c r="D340" s="16" t="str">
        <x:f>IF(AND(AND(339&lt;='Control Room'!$B$3,'Control Room'!$D$3="Ready"),2&lt;='Control Room'!$B$2),ROUND(MAX(0,'Process'!J340*'Control Room'!$H$5*INDEX('Control Room'!$B$19:$H$19,1,WEEKDAY($A340,2))*(1+'Control Room'!$D$9)^338*'Process'!K340),2),"")</x:f>
      </x:c>
      <x:c r="E340" s="16" t="str">
        <x:f>IF(AND(AND(339&lt;='Control Room'!$B$3,'Control Room'!$D$3="Ready"),3&lt;='Control Room'!$B$2),ROUND(MAX(0,'Process'!O340*'Control Room'!$H$6*INDEX('Control Room'!$B$19:$H$19,1,WEEKDAY($A340,2))*(1+'Control Room'!$D$9)^338*'Process'!P340),2),"")</x:f>
      </x:c>
      <x:c r="F340" s="16" t="str">
        <x:f>IF(AND(AND(339&lt;='Control Room'!$B$3,'Control Room'!$D$3="Ready"),4&lt;='Control Room'!$B$2),ROUND(MAX(0,'Process'!T340*'Control Room'!$H$7*INDEX('Control Room'!$B$19:$H$19,1,WEEKDAY($A340,2))*(1+'Control Room'!$D$9)^338*'Process'!U340),2),"")</x:f>
      </x:c>
      <x:c r="G340" s="16" t="str">
        <x:f>IF(AND(AND(339&lt;='Control Room'!$B$3,'Control Room'!$D$3="Ready"),5&lt;='Control Room'!$B$2),ROUND(MAX(0,'Process'!Y340*'Control Room'!$H$8*INDEX('Control Room'!$B$19:$H$19,1,WEEKDAY($A340,2))*(1+'Control Room'!$D$9)^338*'Process'!Z340),2),"")</x:f>
      </x:c>
      <x:c r="H340" s="16" t="str">
        <x:f>IF(AND(AND(339&lt;='Control Room'!$B$3,'Control Room'!$D$3="Ready"),6&lt;='Control Room'!$B$2),ROUND(MAX(0,'Process'!AD340*'Control Room'!$H$9*INDEX('Control Room'!$B$19:$H$19,1,WEEKDAY($A340,2))*(1+'Control Room'!$D$9)^338*'Process'!AE340),2),"")</x:f>
      </x:c>
      <x:c r="I340" s="16" t="str">
        <x:f>IF(AND(AND(339&lt;='Control Room'!$B$3,'Control Room'!$D$3="Ready"),7&lt;='Control Room'!$B$2),ROUND(MAX(0,'Process'!AI340*'Control Room'!$H$10*INDEX('Control Room'!$B$19:$H$19,1,WEEKDAY($A340,2))*(1+'Control Room'!$D$9)^338*'Process'!AJ340),2),"")</x:f>
      </x:c>
      <x:c r="J340" s="16" t="str">
        <x:f>IF(AND(AND(339&lt;='Control Room'!$B$3,'Control Room'!$D$3="Ready"),8&lt;='Control Room'!$B$2),ROUND(MAX(0,'Process'!AN340*'Control Room'!$H$11*INDEX('Control Room'!$B$19:$H$19,1,WEEKDAY($A340,2))*(1+'Control Room'!$D$9)^338*'Process'!AO340),2),"")</x:f>
      </x:c>
      <x:c r="K340" s="16" t="str">
        <x:f>IF(AND(AND(339&lt;='Control Room'!$B$3,'Control Room'!$D$3="Ready"),9&lt;='Control Room'!$B$2),ROUND(MAX(0,'Process'!AS340*'Control Room'!$H$12*INDEX('Control Room'!$B$19:$H$19,1,WEEKDAY($A340,2))*(1+'Control Room'!$D$9)^338*'Process'!AT340),2),"")</x:f>
      </x:c>
      <x:c r="L340" s="16" t="str">
        <x:f>IF(AND(AND(339&lt;='Control Room'!$B$3,'Control Room'!$D$3="Ready"),10&lt;='Control Room'!$B$2),ROUND(MAX(0,'Process'!AX340*'Control Room'!$H$13*INDEX('Control Room'!$B$19:$H$19,1,WEEKDAY($A340,2))*(1+'Control Room'!$D$9)^338*'Process'!AY340),2),"")</x:f>
      </x:c>
      <x:c r="M340" s="16" t="str">
        <x:f>IF(AND(AND(339&lt;='Control Room'!$B$3,'Control Room'!$D$3="Ready"),11&lt;='Control Room'!$B$2),ROUND(MAX(0,'Process'!BC340*'Control Room'!$H$14*INDEX('Control Room'!$B$19:$H$19,1,WEEKDAY($A340,2))*(1+'Control Room'!$D$9)^338*'Process'!BD340),2),"")</x:f>
      </x:c>
      <x:c r="N340" s="16" t="str">
        <x:f>IF(AND(AND(339&lt;='Control Room'!$B$3,'Control Room'!$D$3="Ready"),12&lt;='Control Room'!$B$2),ROUND(MAX(0,'Process'!BH340*'Control Room'!$H$15*INDEX('Control Room'!$B$19:$H$19,1,WEEKDAY($A340,2))*(1+'Control Room'!$D$9)^338*'Process'!BI340),2),"")</x:f>
      </x:c>
    </x:row>
    <x:row r="341" ht="21" customHeight="1">
      <x:c r="A341" s="15" t="str">
        <x:f>IF(AND(340&lt;='Control Room'!$B$3,'Control Room'!$D$3="Ready"),'Process'!A341,"")</x:f>
      </x:c>
      <x:c r="B341" s="16" t="str">
        <x:f>IF(A341="","",SUM(C341:N341))</x:f>
      </x:c>
      <x:c r="C341" s="16" t="str">
        <x:f>IF(AND(AND(340&lt;='Control Room'!$B$3,'Control Room'!$D$3="Ready"),1&lt;='Control Room'!$B$2),ROUND(MAX(0,'Process'!E341*'Control Room'!$H$4*INDEX('Control Room'!$B$19:$H$19,1,WEEKDAY($A341,2))*(1+'Control Room'!$D$9)^339*'Process'!F341),2),"")</x:f>
      </x:c>
      <x:c r="D341" s="16" t="str">
        <x:f>IF(AND(AND(340&lt;='Control Room'!$B$3,'Control Room'!$D$3="Ready"),2&lt;='Control Room'!$B$2),ROUND(MAX(0,'Process'!J341*'Control Room'!$H$5*INDEX('Control Room'!$B$19:$H$19,1,WEEKDAY($A341,2))*(1+'Control Room'!$D$9)^339*'Process'!K341),2),"")</x:f>
      </x:c>
      <x:c r="E341" s="16" t="str">
        <x:f>IF(AND(AND(340&lt;='Control Room'!$B$3,'Control Room'!$D$3="Ready"),3&lt;='Control Room'!$B$2),ROUND(MAX(0,'Process'!O341*'Control Room'!$H$6*INDEX('Control Room'!$B$19:$H$19,1,WEEKDAY($A341,2))*(1+'Control Room'!$D$9)^339*'Process'!P341),2),"")</x:f>
      </x:c>
      <x:c r="F341" s="16" t="str">
        <x:f>IF(AND(AND(340&lt;='Control Room'!$B$3,'Control Room'!$D$3="Ready"),4&lt;='Control Room'!$B$2),ROUND(MAX(0,'Process'!T341*'Control Room'!$H$7*INDEX('Control Room'!$B$19:$H$19,1,WEEKDAY($A341,2))*(1+'Control Room'!$D$9)^339*'Process'!U341),2),"")</x:f>
      </x:c>
      <x:c r="G341" s="16" t="str">
        <x:f>IF(AND(AND(340&lt;='Control Room'!$B$3,'Control Room'!$D$3="Ready"),5&lt;='Control Room'!$B$2),ROUND(MAX(0,'Process'!Y341*'Control Room'!$H$8*INDEX('Control Room'!$B$19:$H$19,1,WEEKDAY($A341,2))*(1+'Control Room'!$D$9)^339*'Process'!Z341),2),"")</x:f>
      </x:c>
      <x:c r="H341" s="16" t="str">
        <x:f>IF(AND(AND(340&lt;='Control Room'!$B$3,'Control Room'!$D$3="Ready"),6&lt;='Control Room'!$B$2),ROUND(MAX(0,'Process'!AD341*'Control Room'!$H$9*INDEX('Control Room'!$B$19:$H$19,1,WEEKDAY($A341,2))*(1+'Control Room'!$D$9)^339*'Process'!AE341),2),"")</x:f>
      </x:c>
      <x:c r="I341" s="16" t="str">
        <x:f>IF(AND(AND(340&lt;='Control Room'!$B$3,'Control Room'!$D$3="Ready"),7&lt;='Control Room'!$B$2),ROUND(MAX(0,'Process'!AI341*'Control Room'!$H$10*INDEX('Control Room'!$B$19:$H$19,1,WEEKDAY($A341,2))*(1+'Control Room'!$D$9)^339*'Process'!AJ341),2),"")</x:f>
      </x:c>
      <x:c r="J341" s="16" t="str">
        <x:f>IF(AND(AND(340&lt;='Control Room'!$B$3,'Control Room'!$D$3="Ready"),8&lt;='Control Room'!$B$2),ROUND(MAX(0,'Process'!AN341*'Control Room'!$H$11*INDEX('Control Room'!$B$19:$H$19,1,WEEKDAY($A341,2))*(1+'Control Room'!$D$9)^339*'Process'!AO341),2),"")</x:f>
      </x:c>
      <x:c r="K341" s="16" t="str">
        <x:f>IF(AND(AND(340&lt;='Control Room'!$B$3,'Control Room'!$D$3="Ready"),9&lt;='Control Room'!$B$2),ROUND(MAX(0,'Process'!AS341*'Control Room'!$H$12*INDEX('Control Room'!$B$19:$H$19,1,WEEKDAY($A341,2))*(1+'Control Room'!$D$9)^339*'Process'!AT341),2),"")</x:f>
      </x:c>
      <x:c r="L341" s="16" t="str">
        <x:f>IF(AND(AND(340&lt;='Control Room'!$B$3,'Control Room'!$D$3="Ready"),10&lt;='Control Room'!$B$2),ROUND(MAX(0,'Process'!AX341*'Control Room'!$H$13*INDEX('Control Room'!$B$19:$H$19,1,WEEKDAY($A341,2))*(1+'Control Room'!$D$9)^339*'Process'!AY341),2),"")</x:f>
      </x:c>
      <x:c r="M341" s="16" t="str">
        <x:f>IF(AND(AND(340&lt;='Control Room'!$B$3,'Control Room'!$D$3="Ready"),11&lt;='Control Room'!$B$2),ROUND(MAX(0,'Process'!BC341*'Control Room'!$H$14*INDEX('Control Room'!$B$19:$H$19,1,WEEKDAY($A341,2))*(1+'Control Room'!$D$9)^339*'Process'!BD341),2),"")</x:f>
      </x:c>
      <x:c r="N341" s="16" t="str">
        <x:f>IF(AND(AND(340&lt;='Control Room'!$B$3,'Control Room'!$D$3="Ready"),12&lt;='Control Room'!$B$2),ROUND(MAX(0,'Process'!BH341*'Control Room'!$H$15*INDEX('Control Room'!$B$19:$H$19,1,WEEKDAY($A341,2))*(1+'Control Room'!$D$9)^339*'Process'!BI341),2),"")</x:f>
      </x:c>
    </x:row>
    <x:row r="342" ht="21" customHeight="1">
      <x:c r="A342" s="15" t="str">
        <x:f>IF(AND(341&lt;='Control Room'!$B$3,'Control Room'!$D$3="Ready"),'Process'!A342,"")</x:f>
      </x:c>
      <x:c r="B342" s="16" t="str">
        <x:f>IF(A342="","",SUM(C342:N342))</x:f>
      </x:c>
      <x:c r="C342" s="16" t="str">
        <x:f>IF(AND(AND(341&lt;='Control Room'!$B$3,'Control Room'!$D$3="Ready"),1&lt;='Control Room'!$B$2),ROUND(MAX(0,'Process'!E342*'Control Room'!$H$4*INDEX('Control Room'!$B$19:$H$19,1,WEEKDAY($A342,2))*(1+'Control Room'!$D$9)^340*'Process'!F342),2),"")</x:f>
      </x:c>
      <x:c r="D342" s="16" t="str">
        <x:f>IF(AND(AND(341&lt;='Control Room'!$B$3,'Control Room'!$D$3="Ready"),2&lt;='Control Room'!$B$2),ROUND(MAX(0,'Process'!J342*'Control Room'!$H$5*INDEX('Control Room'!$B$19:$H$19,1,WEEKDAY($A342,2))*(1+'Control Room'!$D$9)^340*'Process'!K342),2),"")</x:f>
      </x:c>
      <x:c r="E342" s="16" t="str">
        <x:f>IF(AND(AND(341&lt;='Control Room'!$B$3,'Control Room'!$D$3="Ready"),3&lt;='Control Room'!$B$2),ROUND(MAX(0,'Process'!O342*'Control Room'!$H$6*INDEX('Control Room'!$B$19:$H$19,1,WEEKDAY($A342,2))*(1+'Control Room'!$D$9)^340*'Process'!P342),2),"")</x:f>
      </x:c>
      <x:c r="F342" s="16" t="str">
        <x:f>IF(AND(AND(341&lt;='Control Room'!$B$3,'Control Room'!$D$3="Ready"),4&lt;='Control Room'!$B$2),ROUND(MAX(0,'Process'!T342*'Control Room'!$H$7*INDEX('Control Room'!$B$19:$H$19,1,WEEKDAY($A342,2))*(1+'Control Room'!$D$9)^340*'Process'!U342),2),"")</x:f>
      </x:c>
      <x:c r="G342" s="16" t="str">
        <x:f>IF(AND(AND(341&lt;='Control Room'!$B$3,'Control Room'!$D$3="Ready"),5&lt;='Control Room'!$B$2),ROUND(MAX(0,'Process'!Y342*'Control Room'!$H$8*INDEX('Control Room'!$B$19:$H$19,1,WEEKDAY($A342,2))*(1+'Control Room'!$D$9)^340*'Process'!Z342),2),"")</x:f>
      </x:c>
      <x:c r="H342" s="16" t="str">
        <x:f>IF(AND(AND(341&lt;='Control Room'!$B$3,'Control Room'!$D$3="Ready"),6&lt;='Control Room'!$B$2),ROUND(MAX(0,'Process'!AD342*'Control Room'!$H$9*INDEX('Control Room'!$B$19:$H$19,1,WEEKDAY($A342,2))*(1+'Control Room'!$D$9)^340*'Process'!AE342),2),"")</x:f>
      </x:c>
      <x:c r="I342" s="16" t="str">
        <x:f>IF(AND(AND(341&lt;='Control Room'!$B$3,'Control Room'!$D$3="Ready"),7&lt;='Control Room'!$B$2),ROUND(MAX(0,'Process'!AI342*'Control Room'!$H$10*INDEX('Control Room'!$B$19:$H$19,1,WEEKDAY($A342,2))*(1+'Control Room'!$D$9)^340*'Process'!AJ342),2),"")</x:f>
      </x:c>
      <x:c r="J342" s="16" t="str">
        <x:f>IF(AND(AND(341&lt;='Control Room'!$B$3,'Control Room'!$D$3="Ready"),8&lt;='Control Room'!$B$2),ROUND(MAX(0,'Process'!AN342*'Control Room'!$H$11*INDEX('Control Room'!$B$19:$H$19,1,WEEKDAY($A342,2))*(1+'Control Room'!$D$9)^340*'Process'!AO342),2),"")</x:f>
      </x:c>
      <x:c r="K342" s="16" t="str">
        <x:f>IF(AND(AND(341&lt;='Control Room'!$B$3,'Control Room'!$D$3="Ready"),9&lt;='Control Room'!$B$2),ROUND(MAX(0,'Process'!AS342*'Control Room'!$H$12*INDEX('Control Room'!$B$19:$H$19,1,WEEKDAY($A342,2))*(1+'Control Room'!$D$9)^340*'Process'!AT342),2),"")</x:f>
      </x:c>
      <x:c r="L342" s="16" t="str">
        <x:f>IF(AND(AND(341&lt;='Control Room'!$B$3,'Control Room'!$D$3="Ready"),10&lt;='Control Room'!$B$2),ROUND(MAX(0,'Process'!AX342*'Control Room'!$H$13*INDEX('Control Room'!$B$19:$H$19,1,WEEKDAY($A342,2))*(1+'Control Room'!$D$9)^340*'Process'!AY342),2),"")</x:f>
      </x:c>
      <x:c r="M342" s="16" t="str">
        <x:f>IF(AND(AND(341&lt;='Control Room'!$B$3,'Control Room'!$D$3="Ready"),11&lt;='Control Room'!$B$2),ROUND(MAX(0,'Process'!BC342*'Control Room'!$H$14*INDEX('Control Room'!$B$19:$H$19,1,WEEKDAY($A342,2))*(1+'Control Room'!$D$9)^340*'Process'!BD342),2),"")</x:f>
      </x:c>
      <x:c r="N342" s="16" t="str">
        <x:f>IF(AND(AND(341&lt;='Control Room'!$B$3,'Control Room'!$D$3="Ready"),12&lt;='Control Room'!$B$2),ROUND(MAX(0,'Process'!BH342*'Control Room'!$H$15*INDEX('Control Room'!$B$19:$H$19,1,WEEKDAY($A342,2))*(1+'Control Room'!$D$9)^340*'Process'!BI342),2),"")</x:f>
      </x:c>
    </x:row>
    <x:row r="343" ht="21" customHeight="1">
      <x:c r="A343" s="15" t="str">
        <x:f>IF(AND(342&lt;='Control Room'!$B$3,'Control Room'!$D$3="Ready"),'Process'!A343,"")</x:f>
      </x:c>
      <x:c r="B343" s="16" t="str">
        <x:f>IF(A343="","",SUM(C343:N343))</x:f>
      </x:c>
      <x:c r="C343" s="16" t="str">
        <x:f>IF(AND(AND(342&lt;='Control Room'!$B$3,'Control Room'!$D$3="Ready"),1&lt;='Control Room'!$B$2),ROUND(MAX(0,'Process'!E343*'Control Room'!$H$4*INDEX('Control Room'!$B$19:$H$19,1,WEEKDAY($A343,2))*(1+'Control Room'!$D$9)^341*'Process'!F343),2),"")</x:f>
      </x:c>
      <x:c r="D343" s="16" t="str">
        <x:f>IF(AND(AND(342&lt;='Control Room'!$B$3,'Control Room'!$D$3="Ready"),2&lt;='Control Room'!$B$2),ROUND(MAX(0,'Process'!J343*'Control Room'!$H$5*INDEX('Control Room'!$B$19:$H$19,1,WEEKDAY($A343,2))*(1+'Control Room'!$D$9)^341*'Process'!K343),2),"")</x:f>
      </x:c>
      <x:c r="E343" s="16" t="str">
        <x:f>IF(AND(AND(342&lt;='Control Room'!$B$3,'Control Room'!$D$3="Ready"),3&lt;='Control Room'!$B$2),ROUND(MAX(0,'Process'!O343*'Control Room'!$H$6*INDEX('Control Room'!$B$19:$H$19,1,WEEKDAY($A343,2))*(1+'Control Room'!$D$9)^341*'Process'!P343),2),"")</x:f>
      </x:c>
      <x:c r="F343" s="16" t="str">
        <x:f>IF(AND(AND(342&lt;='Control Room'!$B$3,'Control Room'!$D$3="Ready"),4&lt;='Control Room'!$B$2),ROUND(MAX(0,'Process'!T343*'Control Room'!$H$7*INDEX('Control Room'!$B$19:$H$19,1,WEEKDAY($A343,2))*(1+'Control Room'!$D$9)^341*'Process'!U343),2),"")</x:f>
      </x:c>
      <x:c r="G343" s="16" t="str">
        <x:f>IF(AND(AND(342&lt;='Control Room'!$B$3,'Control Room'!$D$3="Ready"),5&lt;='Control Room'!$B$2),ROUND(MAX(0,'Process'!Y343*'Control Room'!$H$8*INDEX('Control Room'!$B$19:$H$19,1,WEEKDAY($A343,2))*(1+'Control Room'!$D$9)^341*'Process'!Z343),2),"")</x:f>
      </x:c>
      <x:c r="H343" s="16" t="str">
        <x:f>IF(AND(AND(342&lt;='Control Room'!$B$3,'Control Room'!$D$3="Ready"),6&lt;='Control Room'!$B$2),ROUND(MAX(0,'Process'!AD343*'Control Room'!$H$9*INDEX('Control Room'!$B$19:$H$19,1,WEEKDAY($A343,2))*(1+'Control Room'!$D$9)^341*'Process'!AE343),2),"")</x:f>
      </x:c>
      <x:c r="I343" s="16" t="str">
        <x:f>IF(AND(AND(342&lt;='Control Room'!$B$3,'Control Room'!$D$3="Ready"),7&lt;='Control Room'!$B$2),ROUND(MAX(0,'Process'!AI343*'Control Room'!$H$10*INDEX('Control Room'!$B$19:$H$19,1,WEEKDAY($A343,2))*(1+'Control Room'!$D$9)^341*'Process'!AJ343),2),"")</x:f>
      </x:c>
      <x:c r="J343" s="16" t="str">
        <x:f>IF(AND(AND(342&lt;='Control Room'!$B$3,'Control Room'!$D$3="Ready"),8&lt;='Control Room'!$B$2),ROUND(MAX(0,'Process'!AN343*'Control Room'!$H$11*INDEX('Control Room'!$B$19:$H$19,1,WEEKDAY($A343,2))*(1+'Control Room'!$D$9)^341*'Process'!AO343),2),"")</x:f>
      </x:c>
      <x:c r="K343" s="16" t="str">
        <x:f>IF(AND(AND(342&lt;='Control Room'!$B$3,'Control Room'!$D$3="Ready"),9&lt;='Control Room'!$B$2),ROUND(MAX(0,'Process'!AS343*'Control Room'!$H$12*INDEX('Control Room'!$B$19:$H$19,1,WEEKDAY($A343,2))*(1+'Control Room'!$D$9)^341*'Process'!AT343),2),"")</x:f>
      </x:c>
      <x:c r="L343" s="16" t="str">
        <x:f>IF(AND(AND(342&lt;='Control Room'!$B$3,'Control Room'!$D$3="Ready"),10&lt;='Control Room'!$B$2),ROUND(MAX(0,'Process'!AX343*'Control Room'!$H$13*INDEX('Control Room'!$B$19:$H$19,1,WEEKDAY($A343,2))*(1+'Control Room'!$D$9)^341*'Process'!AY343),2),"")</x:f>
      </x:c>
      <x:c r="M343" s="16" t="str">
        <x:f>IF(AND(AND(342&lt;='Control Room'!$B$3,'Control Room'!$D$3="Ready"),11&lt;='Control Room'!$B$2),ROUND(MAX(0,'Process'!BC343*'Control Room'!$H$14*INDEX('Control Room'!$B$19:$H$19,1,WEEKDAY($A343,2))*(1+'Control Room'!$D$9)^341*'Process'!BD343),2),"")</x:f>
      </x:c>
      <x:c r="N343" s="16" t="str">
        <x:f>IF(AND(AND(342&lt;='Control Room'!$B$3,'Control Room'!$D$3="Ready"),12&lt;='Control Room'!$B$2),ROUND(MAX(0,'Process'!BH343*'Control Room'!$H$15*INDEX('Control Room'!$B$19:$H$19,1,WEEKDAY($A343,2))*(1+'Control Room'!$D$9)^341*'Process'!BI343),2),"")</x:f>
      </x:c>
    </x:row>
    <x:row r="344" ht="21" customHeight="1">
      <x:c r="A344" s="15" t="str">
        <x:f>IF(AND(343&lt;='Control Room'!$B$3,'Control Room'!$D$3="Ready"),'Process'!A344,"")</x:f>
      </x:c>
      <x:c r="B344" s="16" t="str">
        <x:f>IF(A344="","",SUM(C344:N344))</x:f>
      </x:c>
      <x:c r="C344" s="16" t="str">
        <x:f>IF(AND(AND(343&lt;='Control Room'!$B$3,'Control Room'!$D$3="Ready"),1&lt;='Control Room'!$B$2),ROUND(MAX(0,'Process'!E344*'Control Room'!$H$4*INDEX('Control Room'!$B$19:$H$19,1,WEEKDAY($A344,2))*(1+'Control Room'!$D$9)^342*'Process'!F344),2),"")</x:f>
      </x:c>
      <x:c r="D344" s="16" t="str">
        <x:f>IF(AND(AND(343&lt;='Control Room'!$B$3,'Control Room'!$D$3="Ready"),2&lt;='Control Room'!$B$2),ROUND(MAX(0,'Process'!J344*'Control Room'!$H$5*INDEX('Control Room'!$B$19:$H$19,1,WEEKDAY($A344,2))*(1+'Control Room'!$D$9)^342*'Process'!K344),2),"")</x:f>
      </x:c>
      <x:c r="E344" s="16" t="str">
        <x:f>IF(AND(AND(343&lt;='Control Room'!$B$3,'Control Room'!$D$3="Ready"),3&lt;='Control Room'!$B$2),ROUND(MAX(0,'Process'!O344*'Control Room'!$H$6*INDEX('Control Room'!$B$19:$H$19,1,WEEKDAY($A344,2))*(1+'Control Room'!$D$9)^342*'Process'!P344),2),"")</x:f>
      </x:c>
      <x:c r="F344" s="16" t="str">
        <x:f>IF(AND(AND(343&lt;='Control Room'!$B$3,'Control Room'!$D$3="Ready"),4&lt;='Control Room'!$B$2),ROUND(MAX(0,'Process'!T344*'Control Room'!$H$7*INDEX('Control Room'!$B$19:$H$19,1,WEEKDAY($A344,2))*(1+'Control Room'!$D$9)^342*'Process'!U344),2),"")</x:f>
      </x:c>
      <x:c r="G344" s="16" t="str">
        <x:f>IF(AND(AND(343&lt;='Control Room'!$B$3,'Control Room'!$D$3="Ready"),5&lt;='Control Room'!$B$2),ROUND(MAX(0,'Process'!Y344*'Control Room'!$H$8*INDEX('Control Room'!$B$19:$H$19,1,WEEKDAY($A344,2))*(1+'Control Room'!$D$9)^342*'Process'!Z344),2),"")</x:f>
      </x:c>
      <x:c r="H344" s="16" t="str">
        <x:f>IF(AND(AND(343&lt;='Control Room'!$B$3,'Control Room'!$D$3="Ready"),6&lt;='Control Room'!$B$2),ROUND(MAX(0,'Process'!AD344*'Control Room'!$H$9*INDEX('Control Room'!$B$19:$H$19,1,WEEKDAY($A344,2))*(1+'Control Room'!$D$9)^342*'Process'!AE344),2),"")</x:f>
      </x:c>
      <x:c r="I344" s="16" t="str">
        <x:f>IF(AND(AND(343&lt;='Control Room'!$B$3,'Control Room'!$D$3="Ready"),7&lt;='Control Room'!$B$2),ROUND(MAX(0,'Process'!AI344*'Control Room'!$H$10*INDEX('Control Room'!$B$19:$H$19,1,WEEKDAY($A344,2))*(1+'Control Room'!$D$9)^342*'Process'!AJ344),2),"")</x:f>
      </x:c>
      <x:c r="J344" s="16" t="str">
        <x:f>IF(AND(AND(343&lt;='Control Room'!$B$3,'Control Room'!$D$3="Ready"),8&lt;='Control Room'!$B$2),ROUND(MAX(0,'Process'!AN344*'Control Room'!$H$11*INDEX('Control Room'!$B$19:$H$19,1,WEEKDAY($A344,2))*(1+'Control Room'!$D$9)^342*'Process'!AO344),2),"")</x:f>
      </x:c>
      <x:c r="K344" s="16" t="str">
        <x:f>IF(AND(AND(343&lt;='Control Room'!$B$3,'Control Room'!$D$3="Ready"),9&lt;='Control Room'!$B$2),ROUND(MAX(0,'Process'!AS344*'Control Room'!$H$12*INDEX('Control Room'!$B$19:$H$19,1,WEEKDAY($A344,2))*(1+'Control Room'!$D$9)^342*'Process'!AT344),2),"")</x:f>
      </x:c>
      <x:c r="L344" s="16" t="str">
        <x:f>IF(AND(AND(343&lt;='Control Room'!$B$3,'Control Room'!$D$3="Ready"),10&lt;='Control Room'!$B$2),ROUND(MAX(0,'Process'!AX344*'Control Room'!$H$13*INDEX('Control Room'!$B$19:$H$19,1,WEEKDAY($A344,2))*(1+'Control Room'!$D$9)^342*'Process'!AY344),2),"")</x:f>
      </x:c>
      <x:c r="M344" s="16" t="str">
        <x:f>IF(AND(AND(343&lt;='Control Room'!$B$3,'Control Room'!$D$3="Ready"),11&lt;='Control Room'!$B$2),ROUND(MAX(0,'Process'!BC344*'Control Room'!$H$14*INDEX('Control Room'!$B$19:$H$19,1,WEEKDAY($A344,2))*(1+'Control Room'!$D$9)^342*'Process'!BD344),2),"")</x:f>
      </x:c>
      <x:c r="N344" s="16" t="str">
        <x:f>IF(AND(AND(343&lt;='Control Room'!$B$3,'Control Room'!$D$3="Ready"),12&lt;='Control Room'!$B$2),ROUND(MAX(0,'Process'!BH344*'Control Room'!$H$15*INDEX('Control Room'!$B$19:$H$19,1,WEEKDAY($A344,2))*(1+'Control Room'!$D$9)^342*'Process'!BI344),2),"")</x:f>
      </x:c>
    </x:row>
    <x:row r="345" ht="21" customHeight="1">
      <x:c r="A345" s="15" t="str">
        <x:f>IF(AND(344&lt;='Control Room'!$B$3,'Control Room'!$D$3="Ready"),'Process'!A345,"")</x:f>
      </x:c>
      <x:c r="B345" s="16" t="str">
        <x:f>IF(A345="","",SUM(C345:N345))</x:f>
      </x:c>
      <x:c r="C345" s="16" t="str">
        <x:f>IF(AND(AND(344&lt;='Control Room'!$B$3,'Control Room'!$D$3="Ready"),1&lt;='Control Room'!$B$2),ROUND(MAX(0,'Process'!E345*'Control Room'!$H$4*INDEX('Control Room'!$B$19:$H$19,1,WEEKDAY($A345,2))*(1+'Control Room'!$D$9)^343*'Process'!F345),2),"")</x:f>
      </x:c>
      <x:c r="D345" s="16" t="str">
        <x:f>IF(AND(AND(344&lt;='Control Room'!$B$3,'Control Room'!$D$3="Ready"),2&lt;='Control Room'!$B$2),ROUND(MAX(0,'Process'!J345*'Control Room'!$H$5*INDEX('Control Room'!$B$19:$H$19,1,WEEKDAY($A345,2))*(1+'Control Room'!$D$9)^343*'Process'!K345),2),"")</x:f>
      </x:c>
      <x:c r="E345" s="16" t="str">
        <x:f>IF(AND(AND(344&lt;='Control Room'!$B$3,'Control Room'!$D$3="Ready"),3&lt;='Control Room'!$B$2),ROUND(MAX(0,'Process'!O345*'Control Room'!$H$6*INDEX('Control Room'!$B$19:$H$19,1,WEEKDAY($A345,2))*(1+'Control Room'!$D$9)^343*'Process'!P345),2),"")</x:f>
      </x:c>
      <x:c r="F345" s="16" t="str">
        <x:f>IF(AND(AND(344&lt;='Control Room'!$B$3,'Control Room'!$D$3="Ready"),4&lt;='Control Room'!$B$2),ROUND(MAX(0,'Process'!T345*'Control Room'!$H$7*INDEX('Control Room'!$B$19:$H$19,1,WEEKDAY($A345,2))*(1+'Control Room'!$D$9)^343*'Process'!U345),2),"")</x:f>
      </x:c>
      <x:c r="G345" s="16" t="str">
        <x:f>IF(AND(AND(344&lt;='Control Room'!$B$3,'Control Room'!$D$3="Ready"),5&lt;='Control Room'!$B$2),ROUND(MAX(0,'Process'!Y345*'Control Room'!$H$8*INDEX('Control Room'!$B$19:$H$19,1,WEEKDAY($A345,2))*(1+'Control Room'!$D$9)^343*'Process'!Z345),2),"")</x:f>
      </x:c>
      <x:c r="H345" s="16" t="str">
        <x:f>IF(AND(AND(344&lt;='Control Room'!$B$3,'Control Room'!$D$3="Ready"),6&lt;='Control Room'!$B$2),ROUND(MAX(0,'Process'!AD345*'Control Room'!$H$9*INDEX('Control Room'!$B$19:$H$19,1,WEEKDAY($A345,2))*(1+'Control Room'!$D$9)^343*'Process'!AE345),2),"")</x:f>
      </x:c>
      <x:c r="I345" s="16" t="str">
        <x:f>IF(AND(AND(344&lt;='Control Room'!$B$3,'Control Room'!$D$3="Ready"),7&lt;='Control Room'!$B$2),ROUND(MAX(0,'Process'!AI345*'Control Room'!$H$10*INDEX('Control Room'!$B$19:$H$19,1,WEEKDAY($A345,2))*(1+'Control Room'!$D$9)^343*'Process'!AJ345),2),"")</x:f>
      </x:c>
      <x:c r="J345" s="16" t="str">
        <x:f>IF(AND(AND(344&lt;='Control Room'!$B$3,'Control Room'!$D$3="Ready"),8&lt;='Control Room'!$B$2),ROUND(MAX(0,'Process'!AN345*'Control Room'!$H$11*INDEX('Control Room'!$B$19:$H$19,1,WEEKDAY($A345,2))*(1+'Control Room'!$D$9)^343*'Process'!AO345),2),"")</x:f>
      </x:c>
      <x:c r="K345" s="16" t="str">
        <x:f>IF(AND(AND(344&lt;='Control Room'!$B$3,'Control Room'!$D$3="Ready"),9&lt;='Control Room'!$B$2),ROUND(MAX(0,'Process'!AS345*'Control Room'!$H$12*INDEX('Control Room'!$B$19:$H$19,1,WEEKDAY($A345,2))*(1+'Control Room'!$D$9)^343*'Process'!AT345),2),"")</x:f>
      </x:c>
      <x:c r="L345" s="16" t="str">
        <x:f>IF(AND(AND(344&lt;='Control Room'!$B$3,'Control Room'!$D$3="Ready"),10&lt;='Control Room'!$B$2),ROUND(MAX(0,'Process'!AX345*'Control Room'!$H$13*INDEX('Control Room'!$B$19:$H$19,1,WEEKDAY($A345,2))*(1+'Control Room'!$D$9)^343*'Process'!AY345),2),"")</x:f>
      </x:c>
      <x:c r="M345" s="16" t="str">
        <x:f>IF(AND(AND(344&lt;='Control Room'!$B$3,'Control Room'!$D$3="Ready"),11&lt;='Control Room'!$B$2),ROUND(MAX(0,'Process'!BC345*'Control Room'!$H$14*INDEX('Control Room'!$B$19:$H$19,1,WEEKDAY($A345,2))*(1+'Control Room'!$D$9)^343*'Process'!BD345),2),"")</x:f>
      </x:c>
      <x:c r="N345" s="16" t="str">
        <x:f>IF(AND(AND(344&lt;='Control Room'!$B$3,'Control Room'!$D$3="Ready"),12&lt;='Control Room'!$B$2),ROUND(MAX(0,'Process'!BH345*'Control Room'!$H$15*INDEX('Control Room'!$B$19:$H$19,1,WEEKDAY($A345,2))*(1+'Control Room'!$D$9)^343*'Process'!BI345),2),"")</x:f>
      </x:c>
    </x:row>
    <x:row r="346" ht="21" customHeight="1">
      <x:c r="A346" s="15" t="str">
        <x:f>IF(AND(345&lt;='Control Room'!$B$3,'Control Room'!$D$3="Ready"),'Process'!A346,"")</x:f>
      </x:c>
      <x:c r="B346" s="16" t="str">
        <x:f>IF(A346="","",SUM(C346:N346))</x:f>
      </x:c>
      <x:c r="C346" s="16" t="str">
        <x:f>IF(AND(AND(345&lt;='Control Room'!$B$3,'Control Room'!$D$3="Ready"),1&lt;='Control Room'!$B$2),ROUND(MAX(0,'Process'!E346*'Control Room'!$H$4*INDEX('Control Room'!$B$19:$H$19,1,WEEKDAY($A346,2))*(1+'Control Room'!$D$9)^344*'Process'!F346),2),"")</x:f>
      </x:c>
      <x:c r="D346" s="16" t="str">
        <x:f>IF(AND(AND(345&lt;='Control Room'!$B$3,'Control Room'!$D$3="Ready"),2&lt;='Control Room'!$B$2),ROUND(MAX(0,'Process'!J346*'Control Room'!$H$5*INDEX('Control Room'!$B$19:$H$19,1,WEEKDAY($A346,2))*(1+'Control Room'!$D$9)^344*'Process'!K346),2),"")</x:f>
      </x:c>
      <x:c r="E346" s="16" t="str">
        <x:f>IF(AND(AND(345&lt;='Control Room'!$B$3,'Control Room'!$D$3="Ready"),3&lt;='Control Room'!$B$2),ROUND(MAX(0,'Process'!O346*'Control Room'!$H$6*INDEX('Control Room'!$B$19:$H$19,1,WEEKDAY($A346,2))*(1+'Control Room'!$D$9)^344*'Process'!P346),2),"")</x:f>
      </x:c>
      <x:c r="F346" s="16" t="str">
        <x:f>IF(AND(AND(345&lt;='Control Room'!$B$3,'Control Room'!$D$3="Ready"),4&lt;='Control Room'!$B$2),ROUND(MAX(0,'Process'!T346*'Control Room'!$H$7*INDEX('Control Room'!$B$19:$H$19,1,WEEKDAY($A346,2))*(1+'Control Room'!$D$9)^344*'Process'!U346),2),"")</x:f>
      </x:c>
      <x:c r="G346" s="16" t="str">
        <x:f>IF(AND(AND(345&lt;='Control Room'!$B$3,'Control Room'!$D$3="Ready"),5&lt;='Control Room'!$B$2),ROUND(MAX(0,'Process'!Y346*'Control Room'!$H$8*INDEX('Control Room'!$B$19:$H$19,1,WEEKDAY($A346,2))*(1+'Control Room'!$D$9)^344*'Process'!Z346),2),"")</x:f>
      </x:c>
      <x:c r="H346" s="16" t="str">
        <x:f>IF(AND(AND(345&lt;='Control Room'!$B$3,'Control Room'!$D$3="Ready"),6&lt;='Control Room'!$B$2),ROUND(MAX(0,'Process'!AD346*'Control Room'!$H$9*INDEX('Control Room'!$B$19:$H$19,1,WEEKDAY($A346,2))*(1+'Control Room'!$D$9)^344*'Process'!AE346),2),"")</x:f>
      </x:c>
      <x:c r="I346" s="16" t="str">
        <x:f>IF(AND(AND(345&lt;='Control Room'!$B$3,'Control Room'!$D$3="Ready"),7&lt;='Control Room'!$B$2),ROUND(MAX(0,'Process'!AI346*'Control Room'!$H$10*INDEX('Control Room'!$B$19:$H$19,1,WEEKDAY($A346,2))*(1+'Control Room'!$D$9)^344*'Process'!AJ346),2),"")</x:f>
      </x:c>
      <x:c r="J346" s="16" t="str">
        <x:f>IF(AND(AND(345&lt;='Control Room'!$B$3,'Control Room'!$D$3="Ready"),8&lt;='Control Room'!$B$2),ROUND(MAX(0,'Process'!AN346*'Control Room'!$H$11*INDEX('Control Room'!$B$19:$H$19,1,WEEKDAY($A346,2))*(1+'Control Room'!$D$9)^344*'Process'!AO346),2),"")</x:f>
      </x:c>
      <x:c r="K346" s="16" t="str">
        <x:f>IF(AND(AND(345&lt;='Control Room'!$B$3,'Control Room'!$D$3="Ready"),9&lt;='Control Room'!$B$2),ROUND(MAX(0,'Process'!AS346*'Control Room'!$H$12*INDEX('Control Room'!$B$19:$H$19,1,WEEKDAY($A346,2))*(1+'Control Room'!$D$9)^344*'Process'!AT346),2),"")</x:f>
      </x:c>
      <x:c r="L346" s="16" t="str">
        <x:f>IF(AND(AND(345&lt;='Control Room'!$B$3,'Control Room'!$D$3="Ready"),10&lt;='Control Room'!$B$2),ROUND(MAX(0,'Process'!AX346*'Control Room'!$H$13*INDEX('Control Room'!$B$19:$H$19,1,WEEKDAY($A346,2))*(1+'Control Room'!$D$9)^344*'Process'!AY346),2),"")</x:f>
      </x:c>
      <x:c r="M346" s="16" t="str">
        <x:f>IF(AND(AND(345&lt;='Control Room'!$B$3,'Control Room'!$D$3="Ready"),11&lt;='Control Room'!$B$2),ROUND(MAX(0,'Process'!BC346*'Control Room'!$H$14*INDEX('Control Room'!$B$19:$H$19,1,WEEKDAY($A346,2))*(1+'Control Room'!$D$9)^344*'Process'!BD346),2),"")</x:f>
      </x:c>
      <x:c r="N346" s="16" t="str">
        <x:f>IF(AND(AND(345&lt;='Control Room'!$B$3,'Control Room'!$D$3="Ready"),12&lt;='Control Room'!$B$2),ROUND(MAX(0,'Process'!BH346*'Control Room'!$H$15*INDEX('Control Room'!$B$19:$H$19,1,WEEKDAY($A346,2))*(1+'Control Room'!$D$9)^344*'Process'!BI346),2),"")</x:f>
      </x:c>
    </x:row>
    <x:row r="347" ht="21" customHeight="1">
      <x:c r="A347" s="15" t="str">
        <x:f>IF(AND(346&lt;='Control Room'!$B$3,'Control Room'!$D$3="Ready"),'Process'!A347,"")</x:f>
      </x:c>
      <x:c r="B347" s="16" t="str">
        <x:f>IF(A347="","",SUM(C347:N347))</x:f>
      </x:c>
      <x:c r="C347" s="16" t="str">
        <x:f>IF(AND(AND(346&lt;='Control Room'!$B$3,'Control Room'!$D$3="Ready"),1&lt;='Control Room'!$B$2),ROUND(MAX(0,'Process'!E347*'Control Room'!$H$4*INDEX('Control Room'!$B$19:$H$19,1,WEEKDAY($A347,2))*(1+'Control Room'!$D$9)^345*'Process'!F347),2),"")</x:f>
      </x:c>
      <x:c r="D347" s="16" t="str">
        <x:f>IF(AND(AND(346&lt;='Control Room'!$B$3,'Control Room'!$D$3="Ready"),2&lt;='Control Room'!$B$2),ROUND(MAX(0,'Process'!J347*'Control Room'!$H$5*INDEX('Control Room'!$B$19:$H$19,1,WEEKDAY($A347,2))*(1+'Control Room'!$D$9)^345*'Process'!K347),2),"")</x:f>
      </x:c>
      <x:c r="E347" s="16" t="str">
        <x:f>IF(AND(AND(346&lt;='Control Room'!$B$3,'Control Room'!$D$3="Ready"),3&lt;='Control Room'!$B$2),ROUND(MAX(0,'Process'!O347*'Control Room'!$H$6*INDEX('Control Room'!$B$19:$H$19,1,WEEKDAY($A347,2))*(1+'Control Room'!$D$9)^345*'Process'!P347),2),"")</x:f>
      </x:c>
      <x:c r="F347" s="16" t="str">
        <x:f>IF(AND(AND(346&lt;='Control Room'!$B$3,'Control Room'!$D$3="Ready"),4&lt;='Control Room'!$B$2),ROUND(MAX(0,'Process'!T347*'Control Room'!$H$7*INDEX('Control Room'!$B$19:$H$19,1,WEEKDAY($A347,2))*(1+'Control Room'!$D$9)^345*'Process'!U347),2),"")</x:f>
      </x:c>
      <x:c r="G347" s="16" t="str">
        <x:f>IF(AND(AND(346&lt;='Control Room'!$B$3,'Control Room'!$D$3="Ready"),5&lt;='Control Room'!$B$2),ROUND(MAX(0,'Process'!Y347*'Control Room'!$H$8*INDEX('Control Room'!$B$19:$H$19,1,WEEKDAY($A347,2))*(1+'Control Room'!$D$9)^345*'Process'!Z347),2),"")</x:f>
      </x:c>
      <x:c r="H347" s="16" t="str">
        <x:f>IF(AND(AND(346&lt;='Control Room'!$B$3,'Control Room'!$D$3="Ready"),6&lt;='Control Room'!$B$2),ROUND(MAX(0,'Process'!AD347*'Control Room'!$H$9*INDEX('Control Room'!$B$19:$H$19,1,WEEKDAY($A347,2))*(1+'Control Room'!$D$9)^345*'Process'!AE347),2),"")</x:f>
      </x:c>
      <x:c r="I347" s="16" t="str">
        <x:f>IF(AND(AND(346&lt;='Control Room'!$B$3,'Control Room'!$D$3="Ready"),7&lt;='Control Room'!$B$2),ROUND(MAX(0,'Process'!AI347*'Control Room'!$H$10*INDEX('Control Room'!$B$19:$H$19,1,WEEKDAY($A347,2))*(1+'Control Room'!$D$9)^345*'Process'!AJ347),2),"")</x:f>
      </x:c>
      <x:c r="J347" s="16" t="str">
        <x:f>IF(AND(AND(346&lt;='Control Room'!$B$3,'Control Room'!$D$3="Ready"),8&lt;='Control Room'!$B$2),ROUND(MAX(0,'Process'!AN347*'Control Room'!$H$11*INDEX('Control Room'!$B$19:$H$19,1,WEEKDAY($A347,2))*(1+'Control Room'!$D$9)^345*'Process'!AO347),2),"")</x:f>
      </x:c>
      <x:c r="K347" s="16" t="str">
        <x:f>IF(AND(AND(346&lt;='Control Room'!$B$3,'Control Room'!$D$3="Ready"),9&lt;='Control Room'!$B$2),ROUND(MAX(0,'Process'!AS347*'Control Room'!$H$12*INDEX('Control Room'!$B$19:$H$19,1,WEEKDAY($A347,2))*(1+'Control Room'!$D$9)^345*'Process'!AT347),2),"")</x:f>
      </x:c>
      <x:c r="L347" s="16" t="str">
        <x:f>IF(AND(AND(346&lt;='Control Room'!$B$3,'Control Room'!$D$3="Ready"),10&lt;='Control Room'!$B$2),ROUND(MAX(0,'Process'!AX347*'Control Room'!$H$13*INDEX('Control Room'!$B$19:$H$19,1,WEEKDAY($A347,2))*(1+'Control Room'!$D$9)^345*'Process'!AY347),2),"")</x:f>
      </x:c>
      <x:c r="M347" s="16" t="str">
        <x:f>IF(AND(AND(346&lt;='Control Room'!$B$3,'Control Room'!$D$3="Ready"),11&lt;='Control Room'!$B$2),ROUND(MAX(0,'Process'!BC347*'Control Room'!$H$14*INDEX('Control Room'!$B$19:$H$19,1,WEEKDAY($A347,2))*(1+'Control Room'!$D$9)^345*'Process'!BD347),2),"")</x:f>
      </x:c>
      <x:c r="N347" s="16" t="str">
        <x:f>IF(AND(AND(346&lt;='Control Room'!$B$3,'Control Room'!$D$3="Ready"),12&lt;='Control Room'!$B$2),ROUND(MAX(0,'Process'!BH347*'Control Room'!$H$15*INDEX('Control Room'!$B$19:$H$19,1,WEEKDAY($A347,2))*(1+'Control Room'!$D$9)^345*'Process'!BI347),2),"")</x:f>
      </x:c>
    </x:row>
    <x:row r="348" ht="21" customHeight="1">
      <x:c r="A348" s="15" t="str">
        <x:f>IF(AND(347&lt;='Control Room'!$B$3,'Control Room'!$D$3="Ready"),'Process'!A348,"")</x:f>
      </x:c>
      <x:c r="B348" s="16" t="str">
        <x:f>IF(A348="","",SUM(C348:N348))</x:f>
      </x:c>
      <x:c r="C348" s="16" t="str">
        <x:f>IF(AND(AND(347&lt;='Control Room'!$B$3,'Control Room'!$D$3="Ready"),1&lt;='Control Room'!$B$2),ROUND(MAX(0,'Process'!E348*'Control Room'!$H$4*INDEX('Control Room'!$B$19:$H$19,1,WEEKDAY($A348,2))*(1+'Control Room'!$D$9)^346*'Process'!F348),2),"")</x:f>
      </x:c>
      <x:c r="D348" s="16" t="str">
        <x:f>IF(AND(AND(347&lt;='Control Room'!$B$3,'Control Room'!$D$3="Ready"),2&lt;='Control Room'!$B$2),ROUND(MAX(0,'Process'!J348*'Control Room'!$H$5*INDEX('Control Room'!$B$19:$H$19,1,WEEKDAY($A348,2))*(1+'Control Room'!$D$9)^346*'Process'!K348),2),"")</x:f>
      </x:c>
      <x:c r="E348" s="16" t="str">
        <x:f>IF(AND(AND(347&lt;='Control Room'!$B$3,'Control Room'!$D$3="Ready"),3&lt;='Control Room'!$B$2),ROUND(MAX(0,'Process'!O348*'Control Room'!$H$6*INDEX('Control Room'!$B$19:$H$19,1,WEEKDAY($A348,2))*(1+'Control Room'!$D$9)^346*'Process'!P348),2),"")</x:f>
      </x:c>
      <x:c r="F348" s="16" t="str">
        <x:f>IF(AND(AND(347&lt;='Control Room'!$B$3,'Control Room'!$D$3="Ready"),4&lt;='Control Room'!$B$2),ROUND(MAX(0,'Process'!T348*'Control Room'!$H$7*INDEX('Control Room'!$B$19:$H$19,1,WEEKDAY($A348,2))*(1+'Control Room'!$D$9)^346*'Process'!U348),2),"")</x:f>
      </x:c>
      <x:c r="G348" s="16" t="str">
        <x:f>IF(AND(AND(347&lt;='Control Room'!$B$3,'Control Room'!$D$3="Ready"),5&lt;='Control Room'!$B$2),ROUND(MAX(0,'Process'!Y348*'Control Room'!$H$8*INDEX('Control Room'!$B$19:$H$19,1,WEEKDAY($A348,2))*(1+'Control Room'!$D$9)^346*'Process'!Z348),2),"")</x:f>
      </x:c>
      <x:c r="H348" s="16" t="str">
        <x:f>IF(AND(AND(347&lt;='Control Room'!$B$3,'Control Room'!$D$3="Ready"),6&lt;='Control Room'!$B$2),ROUND(MAX(0,'Process'!AD348*'Control Room'!$H$9*INDEX('Control Room'!$B$19:$H$19,1,WEEKDAY($A348,2))*(1+'Control Room'!$D$9)^346*'Process'!AE348),2),"")</x:f>
      </x:c>
      <x:c r="I348" s="16" t="str">
        <x:f>IF(AND(AND(347&lt;='Control Room'!$B$3,'Control Room'!$D$3="Ready"),7&lt;='Control Room'!$B$2),ROUND(MAX(0,'Process'!AI348*'Control Room'!$H$10*INDEX('Control Room'!$B$19:$H$19,1,WEEKDAY($A348,2))*(1+'Control Room'!$D$9)^346*'Process'!AJ348),2),"")</x:f>
      </x:c>
      <x:c r="J348" s="16" t="str">
        <x:f>IF(AND(AND(347&lt;='Control Room'!$B$3,'Control Room'!$D$3="Ready"),8&lt;='Control Room'!$B$2),ROUND(MAX(0,'Process'!AN348*'Control Room'!$H$11*INDEX('Control Room'!$B$19:$H$19,1,WEEKDAY($A348,2))*(1+'Control Room'!$D$9)^346*'Process'!AO348),2),"")</x:f>
      </x:c>
      <x:c r="K348" s="16" t="str">
        <x:f>IF(AND(AND(347&lt;='Control Room'!$B$3,'Control Room'!$D$3="Ready"),9&lt;='Control Room'!$B$2),ROUND(MAX(0,'Process'!AS348*'Control Room'!$H$12*INDEX('Control Room'!$B$19:$H$19,1,WEEKDAY($A348,2))*(1+'Control Room'!$D$9)^346*'Process'!AT348),2),"")</x:f>
      </x:c>
      <x:c r="L348" s="16" t="str">
        <x:f>IF(AND(AND(347&lt;='Control Room'!$B$3,'Control Room'!$D$3="Ready"),10&lt;='Control Room'!$B$2),ROUND(MAX(0,'Process'!AX348*'Control Room'!$H$13*INDEX('Control Room'!$B$19:$H$19,1,WEEKDAY($A348,2))*(1+'Control Room'!$D$9)^346*'Process'!AY348),2),"")</x:f>
      </x:c>
      <x:c r="M348" s="16" t="str">
        <x:f>IF(AND(AND(347&lt;='Control Room'!$B$3,'Control Room'!$D$3="Ready"),11&lt;='Control Room'!$B$2),ROUND(MAX(0,'Process'!BC348*'Control Room'!$H$14*INDEX('Control Room'!$B$19:$H$19,1,WEEKDAY($A348,2))*(1+'Control Room'!$D$9)^346*'Process'!BD348),2),"")</x:f>
      </x:c>
      <x:c r="N348" s="16" t="str">
        <x:f>IF(AND(AND(347&lt;='Control Room'!$B$3,'Control Room'!$D$3="Ready"),12&lt;='Control Room'!$B$2),ROUND(MAX(0,'Process'!BH348*'Control Room'!$H$15*INDEX('Control Room'!$B$19:$H$19,1,WEEKDAY($A348,2))*(1+'Control Room'!$D$9)^346*'Process'!BI348),2),"")</x:f>
      </x:c>
    </x:row>
    <x:row r="349" ht="21" customHeight="1">
      <x:c r="A349" s="15" t="str">
        <x:f>IF(AND(348&lt;='Control Room'!$B$3,'Control Room'!$D$3="Ready"),'Process'!A349,"")</x:f>
      </x:c>
      <x:c r="B349" s="16" t="str">
        <x:f>IF(A349="","",SUM(C349:N349))</x:f>
      </x:c>
      <x:c r="C349" s="16" t="str">
        <x:f>IF(AND(AND(348&lt;='Control Room'!$B$3,'Control Room'!$D$3="Ready"),1&lt;='Control Room'!$B$2),ROUND(MAX(0,'Process'!E349*'Control Room'!$H$4*INDEX('Control Room'!$B$19:$H$19,1,WEEKDAY($A349,2))*(1+'Control Room'!$D$9)^347*'Process'!F349),2),"")</x:f>
      </x:c>
      <x:c r="D349" s="16" t="str">
        <x:f>IF(AND(AND(348&lt;='Control Room'!$B$3,'Control Room'!$D$3="Ready"),2&lt;='Control Room'!$B$2),ROUND(MAX(0,'Process'!J349*'Control Room'!$H$5*INDEX('Control Room'!$B$19:$H$19,1,WEEKDAY($A349,2))*(1+'Control Room'!$D$9)^347*'Process'!K349),2),"")</x:f>
      </x:c>
      <x:c r="E349" s="16" t="str">
        <x:f>IF(AND(AND(348&lt;='Control Room'!$B$3,'Control Room'!$D$3="Ready"),3&lt;='Control Room'!$B$2),ROUND(MAX(0,'Process'!O349*'Control Room'!$H$6*INDEX('Control Room'!$B$19:$H$19,1,WEEKDAY($A349,2))*(1+'Control Room'!$D$9)^347*'Process'!P349),2),"")</x:f>
      </x:c>
      <x:c r="F349" s="16" t="str">
        <x:f>IF(AND(AND(348&lt;='Control Room'!$B$3,'Control Room'!$D$3="Ready"),4&lt;='Control Room'!$B$2),ROUND(MAX(0,'Process'!T349*'Control Room'!$H$7*INDEX('Control Room'!$B$19:$H$19,1,WEEKDAY($A349,2))*(1+'Control Room'!$D$9)^347*'Process'!U349),2),"")</x:f>
      </x:c>
      <x:c r="G349" s="16" t="str">
        <x:f>IF(AND(AND(348&lt;='Control Room'!$B$3,'Control Room'!$D$3="Ready"),5&lt;='Control Room'!$B$2),ROUND(MAX(0,'Process'!Y349*'Control Room'!$H$8*INDEX('Control Room'!$B$19:$H$19,1,WEEKDAY($A349,2))*(1+'Control Room'!$D$9)^347*'Process'!Z349),2),"")</x:f>
      </x:c>
      <x:c r="H349" s="16" t="str">
        <x:f>IF(AND(AND(348&lt;='Control Room'!$B$3,'Control Room'!$D$3="Ready"),6&lt;='Control Room'!$B$2),ROUND(MAX(0,'Process'!AD349*'Control Room'!$H$9*INDEX('Control Room'!$B$19:$H$19,1,WEEKDAY($A349,2))*(1+'Control Room'!$D$9)^347*'Process'!AE349),2),"")</x:f>
      </x:c>
      <x:c r="I349" s="16" t="str">
        <x:f>IF(AND(AND(348&lt;='Control Room'!$B$3,'Control Room'!$D$3="Ready"),7&lt;='Control Room'!$B$2),ROUND(MAX(0,'Process'!AI349*'Control Room'!$H$10*INDEX('Control Room'!$B$19:$H$19,1,WEEKDAY($A349,2))*(1+'Control Room'!$D$9)^347*'Process'!AJ349),2),"")</x:f>
      </x:c>
      <x:c r="J349" s="16" t="str">
        <x:f>IF(AND(AND(348&lt;='Control Room'!$B$3,'Control Room'!$D$3="Ready"),8&lt;='Control Room'!$B$2),ROUND(MAX(0,'Process'!AN349*'Control Room'!$H$11*INDEX('Control Room'!$B$19:$H$19,1,WEEKDAY($A349,2))*(1+'Control Room'!$D$9)^347*'Process'!AO349),2),"")</x:f>
      </x:c>
      <x:c r="K349" s="16" t="str">
        <x:f>IF(AND(AND(348&lt;='Control Room'!$B$3,'Control Room'!$D$3="Ready"),9&lt;='Control Room'!$B$2),ROUND(MAX(0,'Process'!AS349*'Control Room'!$H$12*INDEX('Control Room'!$B$19:$H$19,1,WEEKDAY($A349,2))*(1+'Control Room'!$D$9)^347*'Process'!AT349),2),"")</x:f>
      </x:c>
      <x:c r="L349" s="16" t="str">
        <x:f>IF(AND(AND(348&lt;='Control Room'!$B$3,'Control Room'!$D$3="Ready"),10&lt;='Control Room'!$B$2),ROUND(MAX(0,'Process'!AX349*'Control Room'!$H$13*INDEX('Control Room'!$B$19:$H$19,1,WEEKDAY($A349,2))*(1+'Control Room'!$D$9)^347*'Process'!AY349),2),"")</x:f>
      </x:c>
      <x:c r="M349" s="16" t="str">
        <x:f>IF(AND(AND(348&lt;='Control Room'!$B$3,'Control Room'!$D$3="Ready"),11&lt;='Control Room'!$B$2),ROUND(MAX(0,'Process'!BC349*'Control Room'!$H$14*INDEX('Control Room'!$B$19:$H$19,1,WEEKDAY($A349,2))*(1+'Control Room'!$D$9)^347*'Process'!BD349),2),"")</x:f>
      </x:c>
      <x:c r="N349" s="16" t="str">
        <x:f>IF(AND(AND(348&lt;='Control Room'!$B$3,'Control Room'!$D$3="Ready"),12&lt;='Control Room'!$B$2),ROUND(MAX(0,'Process'!BH349*'Control Room'!$H$15*INDEX('Control Room'!$B$19:$H$19,1,WEEKDAY($A349,2))*(1+'Control Room'!$D$9)^347*'Process'!BI349),2),"")</x:f>
      </x:c>
    </x:row>
    <x:row r="350" ht="21" customHeight="1">
      <x:c r="A350" s="15" t="str">
        <x:f>IF(AND(349&lt;='Control Room'!$B$3,'Control Room'!$D$3="Ready"),'Process'!A350,"")</x:f>
      </x:c>
      <x:c r="B350" s="16" t="str">
        <x:f>IF(A350="","",SUM(C350:N350))</x:f>
      </x:c>
      <x:c r="C350" s="16" t="str">
        <x:f>IF(AND(AND(349&lt;='Control Room'!$B$3,'Control Room'!$D$3="Ready"),1&lt;='Control Room'!$B$2),ROUND(MAX(0,'Process'!E350*'Control Room'!$H$4*INDEX('Control Room'!$B$19:$H$19,1,WEEKDAY($A350,2))*(1+'Control Room'!$D$9)^348*'Process'!F350),2),"")</x:f>
      </x:c>
      <x:c r="D350" s="16" t="str">
        <x:f>IF(AND(AND(349&lt;='Control Room'!$B$3,'Control Room'!$D$3="Ready"),2&lt;='Control Room'!$B$2),ROUND(MAX(0,'Process'!J350*'Control Room'!$H$5*INDEX('Control Room'!$B$19:$H$19,1,WEEKDAY($A350,2))*(1+'Control Room'!$D$9)^348*'Process'!K350),2),"")</x:f>
      </x:c>
      <x:c r="E350" s="16" t="str">
        <x:f>IF(AND(AND(349&lt;='Control Room'!$B$3,'Control Room'!$D$3="Ready"),3&lt;='Control Room'!$B$2),ROUND(MAX(0,'Process'!O350*'Control Room'!$H$6*INDEX('Control Room'!$B$19:$H$19,1,WEEKDAY($A350,2))*(1+'Control Room'!$D$9)^348*'Process'!P350),2),"")</x:f>
      </x:c>
      <x:c r="F350" s="16" t="str">
        <x:f>IF(AND(AND(349&lt;='Control Room'!$B$3,'Control Room'!$D$3="Ready"),4&lt;='Control Room'!$B$2),ROUND(MAX(0,'Process'!T350*'Control Room'!$H$7*INDEX('Control Room'!$B$19:$H$19,1,WEEKDAY($A350,2))*(1+'Control Room'!$D$9)^348*'Process'!U350),2),"")</x:f>
      </x:c>
      <x:c r="G350" s="16" t="str">
        <x:f>IF(AND(AND(349&lt;='Control Room'!$B$3,'Control Room'!$D$3="Ready"),5&lt;='Control Room'!$B$2),ROUND(MAX(0,'Process'!Y350*'Control Room'!$H$8*INDEX('Control Room'!$B$19:$H$19,1,WEEKDAY($A350,2))*(1+'Control Room'!$D$9)^348*'Process'!Z350),2),"")</x:f>
      </x:c>
      <x:c r="H350" s="16" t="str">
        <x:f>IF(AND(AND(349&lt;='Control Room'!$B$3,'Control Room'!$D$3="Ready"),6&lt;='Control Room'!$B$2),ROUND(MAX(0,'Process'!AD350*'Control Room'!$H$9*INDEX('Control Room'!$B$19:$H$19,1,WEEKDAY($A350,2))*(1+'Control Room'!$D$9)^348*'Process'!AE350),2),"")</x:f>
      </x:c>
      <x:c r="I350" s="16" t="str">
        <x:f>IF(AND(AND(349&lt;='Control Room'!$B$3,'Control Room'!$D$3="Ready"),7&lt;='Control Room'!$B$2),ROUND(MAX(0,'Process'!AI350*'Control Room'!$H$10*INDEX('Control Room'!$B$19:$H$19,1,WEEKDAY($A350,2))*(1+'Control Room'!$D$9)^348*'Process'!AJ350),2),"")</x:f>
      </x:c>
      <x:c r="J350" s="16" t="str">
        <x:f>IF(AND(AND(349&lt;='Control Room'!$B$3,'Control Room'!$D$3="Ready"),8&lt;='Control Room'!$B$2),ROUND(MAX(0,'Process'!AN350*'Control Room'!$H$11*INDEX('Control Room'!$B$19:$H$19,1,WEEKDAY($A350,2))*(1+'Control Room'!$D$9)^348*'Process'!AO350),2),"")</x:f>
      </x:c>
      <x:c r="K350" s="16" t="str">
        <x:f>IF(AND(AND(349&lt;='Control Room'!$B$3,'Control Room'!$D$3="Ready"),9&lt;='Control Room'!$B$2),ROUND(MAX(0,'Process'!AS350*'Control Room'!$H$12*INDEX('Control Room'!$B$19:$H$19,1,WEEKDAY($A350,2))*(1+'Control Room'!$D$9)^348*'Process'!AT350),2),"")</x:f>
      </x:c>
      <x:c r="L350" s="16" t="str">
        <x:f>IF(AND(AND(349&lt;='Control Room'!$B$3,'Control Room'!$D$3="Ready"),10&lt;='Control Room'!$B$2),ROUND(MAX(0,'Process'!AX350*'Control Room'!$H$13*INDEX('Control Room'!$B$19:$H$19,1,WEEKDAY($A350,2))*(1+'Control Room'!$D$9)^348*'Process'!AY350),2),"")</x:f>
      </x:c>
      <x:c r="M350" s="16" t="str">
        <x:f>IF(AND(AND(349&lt;='Control Room'!$B$3,'Control Room'!$D$3="Ready"),11&lt;='Control Room'!$B$2),ROUND(MAX(0,'Process'!BC350*'Control Room'!$H$14*INDEX('Control Room'!$B$19:$H$19,1,WEEKDAY($A350,2))*(1+'Control Room'!$D$9)^348*'Process'!BD350),2),"")</x:f>
      </x:c>
      <x:c r="N350" s="16" t="str">
        <x:f>IF(AND(AND(349&lt;='Control Room'!$B$3,'Control Room'!$D$3="Ready"),12&lt;='Control Room'!$B$2),ROUND(MAX(0,'Process'!BH350*'Control Room'!$H$15*INDEX('Control Room'!$B$19:$H$19,1,WEEKDAY($A350,2))*(1+'Control Room'!$D$9)^348*'Process'!BI350),2),"")</x:f>
      </x:c>
    </x:row>
    <x:row r="351" ht="21" customHeight="1">
      <x:c r="A351" s="15" t="str">
        <x:f>IF(AND(350&lt;='Control Room'!$B$3,'Control Room'!$D$3="Ready"),'Process'!A351,"")</x:f>
      </x:c>
      <x:c r="B351" s="16" t="str">
        <x:f>IF(A351="","",SUM(C351:N351))</x:f>
      </x:c>
      <x:c r="C351" s="16" t="str">
        <x:f>IF(AND(AND(350&lt;='Control Room'!$B$3,'Control Room'!$D$3="Ready"),1&lt;='Control Room'!$B$2),ROUND(MAX(0,'Process'!E351*'Control Room'!$H$4*INDEX('Control Room'!$B$19:$H$19,1,WEEKDAY($A351,2))*(1+'Control Room'!$D$9)^349*'Process'!F351),2),"")</x:f>
      </x:c>
      <x:c r="D351" s="16" t="str">
        <x:f>IF(AND(AND(350&lt;='Control Room'!$B$3,'Control Room'!$D$3="Ready"),2&lt;='Control Room'!$B$2),ROUND(MAX(0,'Process'!J351*'Control Room'!$H$5*INDEX('Control Room'!$B$19:$H$19,1,WEEKDAY($A351,2))*(1+'Control Room'!$D$9)^349*'Process'!K351),2),"")</x:f>
      </x:c>
      <x:c r="E351" s="16" t="str">
        <x:f>IF(AND(AND(350&lt;='Control Room'!$B$3,'Control Room'!$D$3="Ready"),3&lt;='Control Room'!$B$2),ROUND(MAX(0,'Process'!O351*'Control Room'!$H$6*INDEX('Control Room'!$B$19:$H$19,1,WEEKDAY($A351,2))*(1+'Control Room'!$D$9)^349*'Process'!P351),2),"")</x:f>
      </x:c>
      <x:c r="F351" s="16" t="str">
        <x:f>IF(AND(AND(350&lt;='Control Room'!$B$3,'Control Room'!$D$3="Ready"),4&lt;='Control Room'!$B$2),ROUND(MAX(0,'Process'!T351*'Control Room'!$H$7*INDEX('Control Room'!$B$19:$H$19,1,WEEKDAY($A351,2))*(1+'Control Room'!$D$9)^349*'Process'!U351),2),"")</x:f>
      </x:c>
      <x:c r="G351" s="16" t="str">
        <x:f>IF(AND(AND(350&lt;='Control Room'!$B$3,'Control Room'!$D$3="Ready"),5&lt;='Control Room'!$B$2),ROUND(MAX(0,'Process'!Y351*'Control Room'!$H$8*INDEX('Control Room'!$B$19:$H$19,1,WEEKDAY($A351,2))*(1+'Control Room'!$D$9)^349*'Process'!Z351),2),"")</x:f>
      </x:c>
      <x:c r="H351" s="16" t="str">
        <x:f>IF(AND(AND(350&lt;='Control Room'!$B$3,'Control Room'!$D$3="Ready"),6&lt;='Control Room'!$B$2),ROUND(MAX(0,'Process'!AD351*'Control Room'!$H$9*INDEX('Control Room'!$B$19:$H$19,1,WEEKDAY($A351,2))*(1+'Control Room'!$D$9)^349*'Process'!AE351),2),"")</x:f>
      </x:c>
      <x:c r="I351" s="16" t="str">
        <x:f>IF(AND(AND(350&lt;='Control Room'!$B$3,'Control Room'!$D$3="Ready"),7&lt;='Control Room'!$B$2),ROUND(MAX(0,'Process'!AI351*'Control Room'!$H$10*INDEX('Control Room'!$B$19:$H$19,1,WEEKDAY($A351,2))*(1+'Control Room'!$D$9)^349*'Process'!AJ351),2),"")</x:f>
      </x:c>
      <x:c r="J351" s="16" t="str">
        <x:f>IF(AND(AND(350&lt;='Control Room'!$B$3,'Control Room'!$D$3="Ready"),8&lt;='Control Room'!$B$2),ROUND(MAX(0,'Process'!AN351*'Control Room'!$H$11*INDEX('Control Room'!$B$19:$H$19,1,WEEKDAY($A351,2))*(1+'Control Room'!$D$9)^349*'Process'!AO351),2),"")</x:f>
      </x:c>
      <x:c r="K351" s="16" t="str">
        <x:f>IF(AND(AND(350&lt;='Control Room'!$B$3,'Control Room'!$D$3="Ready"),9&lt;='Control Room'!$B$2),ROUND(MAX(0,'Process'!AS351*'Control Room'!$H$12*INDEX('Control Room'!$B$19:$H$19,1,WEEKDAY($A351,2))*(1+'Control Room'!$D$9)^349*'Process'!AT351),2),"")</x:f>
      </x:c>
      <x:c r="L351" s="16" t="str">
        <x:f>IF(AND(AND(350&lt;='Control Room'!$B$3,'Control Room'!$D$3="Ready"),10&lt;='Control Room'!$B$2),ROUND(MAX(0,'Process'!AX351*'Control Room'!$H$13*INDEX('Control Room'!$B$19:$H$19,1,WEEKDAY($A351,2))*(1+'Control Room'!$D$9)^349*'Process'!AY351),2),"")</x:f>
      </x:c>
      <x:c r="M351" s="16" t="str">
        <x:f>IF(AND(AND(350&lt;='Control Room'!$B$3,'Control Room'!$D$3="Ready"),11&lt;='Control Room'!$B$2),ROUND(MAX(0,'Process'!BC351*'Control Room'!$H$14*INDEX('Control Room'!$B$19:$H$19,1,WEEKDAY($A351,2))*(1+'Control Room'!$D$9)^349*'Process'!BD351),2),"")</x:f>
      </x:c>
      <x:c r="N351" s="16" t="str">
        <x:f>IF(AND(AND(350&lt;='Control Room'!$B$3,'Control Room'!$D$3="Ready"),12&lt;='Control Room'!$B$2),ROUND(MAX(0,'Process'!BH351*'Control Room'!$H$15*INDEX('Control Room'!$B$19:$H$19,1,WEEKDAY($A351,2))*(1+'Control Room'!$D$9)^349*'Process'!BI351),2),"")</x:f>
      </x:c>
    </x:row>
    <x:row r="352" ht="21" customHeight="1">
      <x:c r="A352" s="15" t="str">
        <x:f>IF(AND(351&lt;='Control Room'!$B$3,'Control Room'!$D$3="Ready"),'Process'!A352,"")</x:f>
      </x:c>
      <x:c r="B352" s="16" t="str">
        <x:f>IF(A352="","",SUM(C352:N352))</x:f>
      </x:c>
      <x:c r="C352" s="16" t="str">
        <x:f>IF(AND(AND(351&lt;='Control Room'!$B$3,'Control Room'!$D$3="Ready"),1&lt;='Control Room'!$B$2),ROUND(MAX(0,'Process'!E352*'Control Room'!$H$4*INDEX('Control Room'!$B$19:$H$19,1,WEEKDAY($A352,2))*(1+'Control Room'!$D$9)^350*'Process'!F352),2),"")</x:f>
      </x:c>
      <x:c r="D352" s="16" t="str">
        <x:f>IF(AND(AND(351&lt;='Control Room'!$B$3,'Control Room'!$D$3="Ready"),2&lt;='Control Room'!$B$2),ROUND(MAX(0,'Process'!J352*'Control Room'!$H$5*INDEX('Control Room'!$B$19:$H$19,1,WEEKDAY($A352,2))*(1+'Control Room'!$D$9)^350*'Process'!K352),2),"")</x:f>
      </x:c>
      <x:c r="E352" s="16" t="str">
        <x:f>IF(AND(AND(351&lt;='Control Room'!$B$3,'Control Room'!$D$3="Ready"),3&lt;='Control Room'!$B$2),ROUND(MAX(0,'Process'!O352*'Control Room'!$H$6*INDEX('Control Room'!$B$19:$H$19,1,WEEKDAY($A352,2))*(1+'Control Room'!$D$9)^350*'Process'!P352),2),"")</x:f>
      </x:c>
      <x:c r="F352" s="16" t="str">
        <x:f>IF(AND(AND(351&lt;='Control Room'!$B$3,'Control Room'!$D$3="Ready"),4&lt;='Control Room'!$B$2),ROUND(MAX(0,'Process'!T352*'Control Room'!$H$7*INDEX('Control Room'!$B$19:$H$19,1,WEEKDAY($A352,2))*(1+'Control Room'!$D$9)^350*'Process'!U352),2),"")</x:f>
      </x:c>
      <x:c r="G352" s="16" t="str">
        <x:f>IF(AND(AND(351&lt;='Control Room'!$B$3,'Control Room'!$D$3="Ready"),5&lt;='Control Room'!$B$2),ROUND(MAX(0,'Process'!Y352*'Control Room'!$H$8*INDEX('Control Room'!$B$19:$H$19,1,WEEKDAY($A352,2))*(1+'Control Room'!$D$9)^350*'Process'!Z352),2),"")</x:f>
      </x:c>
      <x:c r="H352" s="16" t="str">
        <x:f>IF(AND(AND(351&lt;='Control Room'!$B$3,'Control Room'!$D$3="Ready"),6&lt;='Control Room'!$B$2),ROUND(MAX(0,'Process'!AD352*'Control Room'!$H$9*INDEX('Control Room'!$B$19:$H$19,1,WEEKDAY($A352,2))*(1+'Control Room'!$D$9)^350*'Process'!AE352),2),"")</x:f>
      </x:c>
      <x:c r="I352" s="16" t="str">
        <x:f>IF(AND(AND(351&lt;='Control Room'!$B$3,'Control Room'!$D$3="Ready"),7&lt;='Control Room'!$B$2),ROUND(MAX(0,'Process'!AI352*'Control Room'!$H$10*INDEX('Control Room'!$B$19:$H$19,1,WEEKDAY($A352,2))*(1+'Control Room'!$D$9)^350*'Process'!AJ352),2),"")</x:f>
      </x:c>
      <x:c r="J352" s="16" t="str">
        <x:f>IF(AND(AND(351&lt;='Control Room'!$B$3,'Control Room'!$D$3="Ready"),8&lt;='Control Room'!$B$2),ROUND(MAX(0,'Process'!AN352*'Control Room'!$H$11*INDEX('Control Room'!$B$19:$H$19,1,WEEKDAY($A352,2))*(1+'Control Room'!$D$9)^350*'Process'!AO352),2),"")</x:f>
      </x:c>
      <x:c r="K352" s="16" t="str">
        <x:f>IF(AND(AND(351&lt;='Control Room'!$B$3,'Control Room'!$D$3="Ready"),9&lt;='Control Room'!$B$2),ROUND(MAX(0,'Process'!AS352*'Control Room'!$H$12*INDEX('Control Room'!$B$19:$H$19,1,WEEKDAY($A352,2))*(1+'Control Room'!$D$9)^350*'Process'!AT352),2),"")</x:f>
      </x:c>
      <x:c r="L352" s="16" t="str">
        <x:f>IF(AND(AND(351&lt;='Control Room'!$B$3,'Control Room'!$D$3="Ready"),10&lt;='Control Room'!$B$2),ROUND(MAX(0,'Process'!AX352*'Control Room'!$H$13*INDEX('Control Room'!$B$19:$H$19,1,WEEKDAY($A352,2))*(1+'Control Room'!$D$9)^350*'Process'!AY352),2),"")</x:f>
      </x:c>
      <x:c r="M352" s="16" t="str">
        <x:f>IF(AND(AND(351&lt;='Control Room'!$B$3,'Control Room'!$D$3="Ready"),11&lt;='Control Room'!$B$2),ROUND(MAX(0,'Process'!BC352*'Control Room'!$H$14*INDEX('Control Room'!$B$19:$H$19,1,WEEKDAY($A352,2))*(1+'Control Room'!$D$9)^350*'Process'!BD352),2),"")</x:f>
      </x:c>
      <x:c r="N352" s="16" t="str">
        <x:f>IF(AND(AND(351&lt;='Control Room'!$B$3,'Control Room'!$D$3="Ready"),12&lt;='Control Room'!$B$2),ROUND(MAX(0,'Process'!BH352*'Control Room'!$H$15*INDEX('Control Room'!$B$19:$H$19,1,WEEKDAY($A352,2))*(1+'Control Room'!$D$9)^350*'Process'!BI352),2),"")</x:f>
      </x:c>
    </x:row>
    <x:row r="353" ht="21" customHeight="1">
      <x:c r="A353" s="15" t="str">
        <x:f>IF(AND(352&lt;='Control Room'!$B$3,'Control Room'!$D$3="Ready"),'Process'!A353,"")</x:f>
      </x:c>
      <x:c r="B353" s="16" t="str">
        <x:f>IF(A353="","",SUM(C353:N353))</x:f>
      </x:c>
      <x:c r="C353" s="16" t="str">
        <x:f>IF(AND(AND(352&lt;='Control Room'!$B$3,'Control Room'!$D$3="Ready"),1&lt;='Control Room'!$B$2),ROUND(MAX(0,'Process'!E353*'Control Room'!$H$4*INDEX('Control Room'!$B$19:$H$19,1,WEEKDAY($A353,2))*(1+'Control Room'!$D$9)^351*'Process'!F353),2),"")</x:f>
      </x:c>
      <x:c r="D353" s="16" t="str">
        <x:f>IF(AND(AND(352&lt;='Control Room'!$B$3,'Control Room'!$D$3="Ready"),2&lt;='Control Room'!$B$2),ROUND(MAX(0,'Process'!J353*'Control Room'!$H$5*INDEX('Control Room'!$B$19:$H$19,1,WEEKDAY($A353,2))*(1+'Control Room'!$D$9)^351*'Process'!K353),2),"")</x:f>
      </x:c>
      <x:c r="E353" s="16" t="str">
        <x:f>IF(AND(AND(352&lt;='Control Room'!$B$3,'Control Room'!$D$3="Ready"),3&lt;='Control Room'!$B$2),ROUND(MAX(0,'Process'!O353*'Control Room'!$H$6*INDEX('Control Room'!$B$19:$H$19,1,WEEKDAY($A353,2))*(1+'Control Room'!$D$9)^351*'Process'!P353),2),"")</x:f>
      </x:c>
      <x:c r="F353" s="16" t="str">
        <x:f>IF(AND(AND(352&lt;='Control Room'!$B$3,'Control Room'!$D$3="Ready"),4&lt;='Control Room'!$B$2),ROUND(MAX(0,'Process'!T353*'Control Room'!$H$7*INDEX('Control Room'!$B$19:$H$19,1,WEEKDAY($A353,2))*(1+'Control Room'!$D$9)^351*'Process'!U353),2),"")</x:f>
      </x:c>
      <x:c r="G353" s="16" t="str">
        <x:f>IF(AND(AND(352&lt;='Control Room'!$B$3,'Control Room'!$D$3="Ready"),5&lt;='Control Room'!$B$2),ROUND(MAX(0,'Process'!Y353*'Control Room'!$H$8*INDEX('Control Room'!$B$19:$H$19,1,WEEKDAY($A353,2))*(1+'Control Room'!$D$9)^351*'Process'!Z353),2),"")</x:f>
      </x:c>
      <x:c r="H353" s="16" t="str">
        <x:f>IF(AND(AND(352&lt;='Control Room'!$B$3,'Control Room'!$D$3="Ready"),6&lt;='Control Room'!$B$2),ROUND(MAX(0,'Process'!AD353*'Control Room'!$H$9*INDEX('Control Room'!$B$19:$H$19,1,WEEKDAY($A353,2))*(1+'Control Room'!$D$9)^351*'Process'!AE353),2),"")</x:f>
      </x:c>
      <x:c r="I353" s="16" t="str">
        <x:f>IF(AND(AND(352&lt;='Control Room'!$B$3,'Control Room'!$D$3="Ready"),7&lt;='Control Room'!$B$2),ROUND(MAX(0,'Process'!AI353*'Control Room'!$H$10*INDEX('Control Room'!$B$19:$H$19,1,WEEKDAY($A353,2))*(1+'Control Room'!$D$9)^351*'Process'!AJ353),2),"")</x:f>
      </x:c>
      <x:c r="J353" s="16" t="str">
        <x:f>IF(AND(AND(352&lt;='Control Room'!$B$3,'Control Room'!$D$3="Ready"),8&lt;='Control Room'!$B$2),ROUND(MAX(0,'Process'!AN353*'Control Room'!$H$11*INDEX('Control Room'!$B$19:$H$19,1,WEEKDAY($A353,2))*(1+'Control Room'!$D$9)^351*'Process'!AO353),2),"")</x:f>
      </x:c>
      <x:c r="K353" s="16" t="str">
        <x:f>IF(AND(AND(352&lt;='Control Room'!$B$3,'Control Room'!$D$3="Ready"),9&lt;='Control Room'!$B$2),ROUND(MAX(0,'Process'!AS353*'Control Room'!$H$12*INDEX('Control Room'!$B$19:$H$19,1,WEEKDAY($A353,2))*(1+'Control Room'!$D$9)^351*'Process'!AT353),2),"")</x:f>
      </x:c>
      <x:c r="L353" s="16" t="str">
        <x:f>IF(AND(AND(352&lt;='Control Room'!$B$3,'Control Room'!$D$3="Ready"),10&lt;='Control Room'!$B$2),ROUND(MAX(0,'Process'!AX353*'Control Room'!$H$13*INDEX('Control Room'!$B$19:$H$19,1,WEEKDAY($A353,2))*(1+'Control Room'!$D$9)^351*'Process'!AY353),2),"")</x:f>
      </x:c>
      <x:c r="M353" s="16" t="str">
        <x:f>IF(AND(AND(352&lt;='Control Room'!$B$3,'Control Room'!$D$3="Ready"),11&lt;='Control Room'!$B$2),ROUND(MAX(0,'Process'!BC353*'Control Room'!$H$14*INDEX('Control Room'!$B$19:$H$19,1,WEEKDAY($A353,2))*(1+'Control Room'!$D$9)^351*'Process'!BD353),2),"")</x:f>
      </x:c>
      <x:c r="N353" s="16" t="str">
        <x:f>IF(AND(AND(352&lt;='Control Room'!$B$3,'Control Room'!$D$3="Ready"),12&lt;='Control Room'!$B$2),ROUND(MAX(0,'Process'!BH353*'Control Room'!$H$15*INDEX('Control Room'!$B$19:$H$19,1,WEEKDAY($A353,2))*(1+'Control Room'!$D$9)^351*'Process'!BI353),2),"")</x:f>
      </x:c>
    </x:row>
    <x:row r="354" ht="21" customHeight="1">
      <x:c r="A354" s="15" t="str">
        <x:f>IF(AND(353&lt;='Control Room'!$B$3,'Control Room'!$D$3="Ready"),'Process'!A354,"")</x:f>
      </x:c>
      <x:c r="B354" s="16" t="str">
        <x:f>IF(A354="","",SUM(C354:N354))</x:f>
      </x:c>
      <x:c r="C354" s="16" t="str">
        <x:f>IF(AND(AND(353&lt;='Control Room'!$B$3,'Control Room'!$D$3="Ready"),1&lt;='Control Room'!$B$2),ROUND(MAX(0,'Process'!E354*'Control Room'!$H$4*INDEX('Control Room'!$B$19:$H$19,1,WEEKDAY($A354,2))*(1+'Control Room'!$D$9)^352*'Process'!F354),2),"")</x:f>
      </x:c>
      <x:c r="D354" s="16" t="str">
        <x:f>IF(AND(AND(353&lt;='Control Room'!$B$3,'Control Room'!$D$3="Ready"),2&lt;='Control Room'!$B$2),ROUND(MAX(0,'Process'!J354*'Control Room'!$H$5*INDEX('Control Room'!$B$19:$H$19,1,WEEKDAY($A354,2))*(1+'Control Room'!$D$9)^352*'Process'!K354),2),"")</x:f>
      </x:c>
      <x:c r="E354" s="16" t="str">
        <x:f>IF(AND(AND(353&lt;='Control Room'!$B$3,'Control Room'!$D$3="Ready"),3&lt;='Control Room'!$B$2),ROUND(MAX(0,'Process'!O354*'Control Room'!$H$6*INDEX('Control Room'!$B$19:$H$19,1,WEEKDAY($A354,2))*(1+'Control Room'!$D$9)^352*'Process'!P354),2),"")</x:f>
      </x:c>
      <x:c r="F354" s="16" t="str">
        <x:f>IF(AND(AND(353&lt;='Control Room'!$B$3,'Control Room'!$D$3="Ready"),4&lt;='Control Room'!$B$2),ROUND(MAX(0,'Process'!T354*'Control Room'!$H$7*INDEX('Control Room'!$B$19:$H$19,1,WEEKDAY($A354,2))*(1+'Control Room'!$D$9)^352*'Process'!U354),2),"")</x:f>
      </x:c>
      <x:c r="G354" s="16" t="str">
        <x:f>IF(AND(AND(353&lt;='Control Room'!$B$3,'Control Room'!$D$3="Ready"),5&lt;='Control Room'!$B$2),ROUND(MAX(0,'Process'!Y354*'Control Room'!$H$8*INDEX('Control Room'!$B$19:$H$19,1,WEEKDAY($A354,2))*(1+'Control Room'!$D$9)^352*'Process'!Z354),2),"")</x:f>
      </x:c>
      <x:c r="H354" s="16" t="str">
        <x:f>IF(AND(AND(353&lt;='Control Room'!$B$3,'Control Room'!$D$3="Ready"),6&lt;='Control Room'!$B$2),ROUND(MAX(0,'Process'!AD354*'Control Room'!$H$9*INDEX('Control Room'!$B$19:$H$19,1,WEEKDAY($A354,2))*(1+'Control Room'!$D$9)^352*'Process'!AE354),2),"")</x:f>
      </x:c>
      <x:c r="I354" s="16" t="str">
        <x:f>IF(AND(AND(353&lt;='Control Room'!$B$3,'Control Room'!$D$3="Ready"),7&lt;='Control Room'!$B$2),ROUND(MAX(0,'Process'!AI354*'Control Room'!$H$10*INDEX('Control Room'!$B$19:$H$19,1,WEEKDAY($A354,2))*(1+'Control Room'!$D$9)^352*'Process'!AJ354),2),"")</x:f>
      </x:c>
      <x:c r="J354" s="16" t="str">
        <x:f>IF(AND(AND(353&lt;='Control Room'!$B$3,'Control Room'!$D$3="Ready"),8&lt;='Control Room'!$B$2),ROUND(MAX(0,'Process'!AN354*'Control Room'!$H$11*INDEX('Control Room'!$B$19:$H$19,1,WEEKDAY($A354,2))*(1+'Control Room'!$D$9)^352*'Process'!AO354),2),"")</x:f>
      </x:c>
      <x:c r="K354" s="16" t="str">
        <x:f>IF(AND(AND(353&lt;='Control Room'!$B$3,'Control Room'!$D$3="Ready"),9&lt;='Control Room'!$B$2),ROUND(MAX(0,'Process'!AS354*'Control Room'!$H$12*INDEX('Control Room'!$B$19:$H$19,1,WEEKDAY($A354,2))*(1+'Control Room'!$D$9)^352*'Process'!AT354),2),"")</x:f>
      </x:c>
      <x:c r="L354" s="16" t="str">
        <x:f>IF(AND(AND(353&lt;='Control Room'!$B$3,'Control Room'!$D$3="Ready"),10&lt;='Control Room'!$B$2),ROUND(MAX(0,'Process'!AX354*'Control Room'!$H$13*INDEX('Control Room'!$B$19:$H$19,1,WEEKDAY($A354,2))*(1+'Control Room'!$D$9)^352*'Process'!AY354),2),"")</x:f>
      </x:c>
      <x:c r="M354" s="16" t="str">
        <x:f>IF(AND(AND(353&lt;='Control Room'!$B$3,'Control Room'!$D$3="Ready"),11&lt;='Control Room'!$B$2),ROUND(MAX(0,'Process'!BC354*'Control Room'!$H$14*INDEX('Control Room'!$B$19:$H$19,1,WEEKDAY($A354,2))*(1+'Control Room'!$D$9)^352*'Process'!BD354),2),"")</x:f>
      </x:c>
      <x:c r="N354" s="16" t="str">
        <x:f>IF(AND(AND(353&lt;='Control Room'!$B$3,'Control Room'!$D$3="Ready"),12&lt;='Control Room'!$B$2),ROUND(MAX(0,'Process'!BH354*'Control Room'!$H$15*INDEX('Control Room'!$B$19:$H$19,1,WEEKDAY($A354,2))*(1+'Control Room'!$D$9)^352*'Process'!BI354),2),"")</x:f>
      </x:c>
    </x:row>
    <x:row r="355" ht="21" customHeight="1">
      <x:c r="A355" s="15" t="str">
        <x:f>IF(AND(354&lt;='Control Room'!$B$3,'Control Room'!$D$3="Ready"),'Process'!A355,"")</x:f>
      </x:c>
      <x:c r="B355" s="16" t="str">
        <x:f>IF(A355="","",SUM(C355:N355))</x:f>
      </x:c>
      <x:c r="C355" s="16" t="str">
        <x:f>IF(AND(AND(354&lt;='Control Room'!$B$3,'Control Room'!$D$3="Ready"),1&lt;='Control Room'!$B$2),ROUND(MAX(0,'Process'!E355*'Control Room'!$H$4*INDEX('Control Room'!$B$19:$H$19,1,WEEKDAY($A355,2))*(1+'Control Room'!$D$9)^353*'Process'!F355),2),"")</x:f>
      </x:c>
      <x:c r="D355" s="16" t="str">
        <x:f>IF(AND(AND(354&lt;='Control Room'!$B$3,'Control Room'!$D$3="Ready"),2&lt;='Control Room'!$B$2),ROUND(MAX(0,'Process'!J355*'Control Room'!$H$5*INDEX('Control Room'!$B$19:$H$19,1,WEEKDAY($A355,2))*(1+'Control Room'!$D$9)^353*'Process'!K355),2),"")</x:f>
      </x:c>
      <x:c r="E355" s="16" t="str">
        <x:f>IF(AND(AND(354&lt;='Control Room'!$B$3,'Control Room'!$D$3="Ready"),3&lt;='Control Room'!$B$2),ROUND(MAX(0,'Process'!O355*'Control Room'!$H$6*INDEX('Control Room'!$B$19:$H$19,1,WEEKDAY($A355,2))*(1+'Control Room'!$D$9)^353*'Process'!P355),2),"")</x:f>
      </x:c>
      <x:c r="F355" s="16" t="str">
        <x:f>IF(AND(AND(354&lt;='Control Room'!$B$3,'Control Room'!$D$3="Ready"),4&lt;='Control Room'!$B$2),ROUND(MAX(0,'Process'!T355*'Control Room'!$H$7*INDEX('Control Room'!$B$19:$H$19,1,WEEKDAY($A355,2))*(1+'Control Room'!$D$9)^353*'Process'!U355),2),"")</x:f>
      </x:c>
      <x:c r="G355" s="16" t="str">
        <x:f>IF(AND(AND(354&lt;='Control Room'!$B$3,'Control Room'!$D$3="Ready"),5&lt;='Control Room'!$B$2),ROUND(MAX(0,'Process'!Y355*'Control Room'!$H$8*INDEX('Control Room'!$B$19:$H$19,1,WEEKDAY($A355,2))*(1+'Control Room'!$D$9)^353*'Process'!Z355),2),"")</x:f>
      </x:c>
      <x:c r="H355" s="16" t="str">
        <x:f>IF(AND(AND(354&lt;='Control Room'!$B$3,'Control Room'!$D$3="Ready"),6&lt;='Control Room'!$B$2),ROUND(MAX(0,'Process'!AD355*'Control Room'!$H$9*INDEX('Control Room'!$B$19:$H$19,1,WEEKDAY($A355,2))*(1+'Control Room'!$D$9)^353*'Process'!AE355),2),"")</x:f>
      </x:c>
      <x:c r="I355" s="16" t="str">
        <x:f>IF(AND(AND(354&lt;='Control Room'!$B$3,'Control Room'!$D$3="Ready"),7&lt;='Control Room'!$B$2),ROUND(MAX(0,'Process'!AI355*'Control Room'!$H$10*INDEX('Control Room'!$B$19:$H$19,1,WEEKDAY($A355,2))*(1+'Control Room'!$D$9)^353*'Process'!AJ355),2),"")</x:f>
      </x:c>
      <x:c r="J355" s="16" t="str">
        <x:f>IF(AND(AND(354&lt;='Control Room'!$B$3,'Control Room'!$D$3="Ready"),8&lt;='Control Room'!$B$2),ROUND(MAX(0,'Process'!AN355*'Control Room'!$H$11*INDEX('Control Room'!$B$19:$H$19,1,WEEKDAY($A355,2))*(1+'Control Room'!$D$9)^353*'Process'!AO355),2),"")</x:f>
      </x:c>
      <x:c r="K355" s="16" t="str">
        <x:f>IF(AND(AND(354&lt;='Control Room'!$B$3,'Control Room'!$D$3="Ready"),9&lt;='Control Room'!$B$2),ROUND(MAX(0,'Process'!AS355*'Control Room'!$H$12*INDEX('Control Room'!$B$19:$H$19,1,WEEKDAY($A355,2))*(1+'Control Room'!$D$9)^353*'Process'!AT355),2),"")</x:f>
      </x:c>
      <x:c r="L355" s="16" t="str">
        <x:f>IF(AND(AND(354&lt;='Control Room'!$B$3,'Control Room'!$D$3="Ready"),10&lt;='Control Room'!$B$2),ROUND(MAX(0,'Process'!AX355*'Control Room'!$H$13*INDEX('Control Room'!$B$19:$H$19,1,WEEKDAY($A355,2))*(1+'Control Room'!$D$9)^353*'Process'!AY355),2),"")</x:f>
      </x:c>
      <x:c r="M355" s="16" t="str">
        <x:f>IF(AND(AND(354&lt;='Control Room'!$B$3,'Control Room'!$D$3="Ready"),11&lt;='Control Room'!$B$2),ROUND(MAX(0,'Process'!BC355*'Control Room'!$H$14*INDEX('Control Room'!$B$19:$H$19,1,WEEKDAY($A355,2))*(1+'Control Room'!$D$9)^353*'Process'!BD355),2),"")</x:f>
      </x:c>
      <x:c r="N355" s="16" t="str">
        <x:f>IF(AND(AND(354&lt;='Control Room'!$B$3,'Control Room'!$D$3="Ready"),12&lt;='Control Room'!$B$2),ROUND(MAX(0,'Process'!BH355*'Control Room'!$H$15*INDEX('Control Room'!$B$19:$H$19,1,WEEKDAY($A355,2))*(1+'Control Room'!$D$9)^353*'Process'!BI355),2),"")</x:f>
      </x:c>
    </x:row>
    <x:row r="356" ht="21" customHeight="1">
      <x:c r="A356" s="15" t="str">
        <x:f>IF(AND(355&lt;='Control Room'!$B$3,'Control Room'!$D$3="Ready"),'Process'!A356,"")</x:f>
      </x:c>
      <x:c r="B356" s="16" t="str">
        <x:f>IF(A356="","",SUM(C356:N356))</x:f>
      </x:c>
      <x:c r="C356" s="16" t="str">
        <x:f>IF(AND(AND(355&lt;='Control Room'!$B$3,'Control Room'!$D$3="Ready"),1&lt;='Control Room'!$B$2),ROUND(MAX(0,'Process'!E356*'Control Room'!$H$4*INDEX('Control Room'!$B$19:$H$19,1,WEEKDAY($A356,2))*(1+'Control Room'!$D$9)^354*'Process'!F356),2),"")</x:f>
      </x:c>
      <x:c r="D356" s="16" t="str">
        <x:f>IF(AND(AND(355&lt;='Control Room'!$B$3,'Control Room'!$D$3="Ready"),2&lt;='Control Room'!$B$2),ROUND(MAX(0,'Process'!J356*'Control Room'!$H$5*INDEX('Control Room'!$B$19:$H$19,1,WEEKDAY($A356,2))*(1+'Control Room'!$D$9)^354*'Process'!K356),2),"")</x:f>
      </x:c>
      <x:c r="E356" s="16" t="str">
        <x:f>IF(AND(AND(355&lt;='Control Room'!$B$3,'Control Room'!$D$3="Ready"),3&lt;='Control Room'!$B$2),ROUND(MAX(0,'Process'!O356*'Control Room'!$H$6*INDEX('Control Room'!$B$19:$H$19,1,WEEKDAY($A356,2))*(1+'Control Room'!$D$9)^354*'Process'!P356),2),"")</x:f>
      </x:c>
      <x:c r="F356" s="16" t="str">
        <x:f>IF(AND(AND(355&lt;='Control Room'!$B$3,'Control Room'!$D$3="Ready"),4&lt;='Control Room'!$B$2),ROUND(MAX(0,'Process'!T356*'Control Room'!$H$7*INDEX('Control Room'!$B$19:$H$19,1,WEEKDAY($A356,2))*(1+'Control Room'!$D$9)^354*'Process'!U356),2),"")</x:f>
      </x:c>
      <x:c r="G356" s="16" t="str">
        <x:f>IF(AND(AND(355&lt;='Control Room'!$B$3,'Control Room'!$D$3="Ready"),5&lt;='Control Room'!$B$2),ROUND(MAX(0,'Process'!Y356*'Control Room'!$H$8*INDEX('Control Room'!$B$19:$H$19,1,WEEKDAY($A356,2))*(1+'Control Room'!$D$9)^354*'Process'!Z356),2),"")</x:f>
      </x:c>
      <x:c r="H356" s="16" t="str">
        <x:f>IF(AND(AND(355&lt;='Control Room'!$B$3,'Control Room'!$D$3="Ready"),6&lt;='Control Room'!$B$2),ROUND(MAX(0,'Process'!AD356*'Control Room'!$H$9*INDEX('Control Room'!$B$19:$H$19,1,WEEKDAY($A356,2))*(1+'Control Room'!$D$9)^354*'Process'!AE356),2),"")</x:f>
      </x:c>
      <x:c r="I356" s="16" t="str">
        <x:f>IF(AND(AND(355&lt;='Control Room'!$B$3,'Control Room'!$D$3="Ready"),7&lt;='Control Room'!$B$2),ROUND(MAX(0,'Process'!AI356*'Control Room'!$H$10*INDEX('Control Room'!$B$19:$H$19,1,WEEKDAY($A356,2))*(1+'Control Room'!$D$9)^354*'Process'!AJ356),2),"")</x:f>
      </x:c>
      <x:c r="J356" s="16" t="str">
        <x:f>IF(AND(AND(355&lt;='Control Room'!$B$3,'Control Room'!$D$3="Ready"),8&lt;='Control Room'!$B$2),ROUND(MAX(0,'Process'!AN356*'Control Room'!$H$11*INDEX('Control Room'!$B$19:$H$19,1,WEEKDAY($A356,2))*(1+'Control Room'!$D$9)^354*'Process'!AO356),2),"")</x:f>
      </x:c>
      <x:c r="K356" s="16" t="str">
        <x:f>IF(AND(AND(355&lt;='Control Room'!$B$3,'Control Room'!$D$3="Ready"),9&lt;='Control Room'!$B$2),ROUND(MAX(0,'Process'!AS356*'Control Room'!$H$12*INDEX('Control Room'!$B$19:$H$19,1,WEEKDAY($A356,2))*(1+'Control Room'!$D$9)^354*'Process'!AT356),2),"")</x:f>
      </x:c>
      <x:c r="L356" s="16" t="str">
        <x:f>IF(AND(AND(355&lt;='Control Room'!$B$3,'Control Room'!$D$3="Ready"),10&lt;='Control Room'!$B$2),ROUND(MAX(0,'Process'!AX356*'Control Room'!$H$13*INDEX('Control Room'!$B$19:$H$19,1,WEEKDAY($A356,2))*(1+'Control Room'!$D$9)^354*'Process'!AY356),2),"")</x:f>
      </x:c>
      <x:c r="M356" s="16" t="str">
        <x:f>IF(AND(AND(355&lt;='Control Room'!$B$3,'Control Room'!$D$3="Ready"),11&lt;='Control Room'!$B$2),ROUND(MAX(0,'Process'!BC356*'Control Room'!$H$14*INDEX('Control Room'!$B$19:$H$19,1,WEEKDAY($A356,2))*(1+'Control Room'!$D$9)^354*'Process'!BD356),2),"")</x:f>
      </x:c>
      <x:c r="N356" s="16" t="str">
        <x:f>IF(AND(AND(355&lt;='Control Room'!$B$3,'Control Room'!$D$3="Ready"),12&lt;='Control Room'!$B$2),ROUND(MAX(0,'Process'!BH356*'Control Room'!$H$15*INDEX('Control Room'!$B$19:$H$19,1,WEEKDAY($A356,2))*(1+'Control Room'!$D$9)^354*'Process'!BI356),2),"")</x:f>
      </x:c>
    </x:row>
    <x:row r="357" ht="21" customHeight="1">
      <x:c r="A357" s="15" t="str">
        <x:f>IF(AND(356&lt;='Control Room'!$B$3,'Control Room'!$D$3="Ready"),'Process'!A357,"")</x:f>
      </x:c>
      <x:c r="B357" s="16" t="str">
        <x:f>IF(A357="","",SUM(C357:N357))</x:f>
      </x:c>
      <x:c r="C357" s="16" t="str">
        <x:f>IF(AND(AND(356&lt;='Control Room'!$B$3,'Control Room'!$D$3="Ready"),1&lt;='Control Room'!$B$2),ROUND(MAX(0,'Process'!E357*'Control Room'!$H$4*INDEX('Control Room'!$B$19:$H$19,1,WEEKDAY($A357,2))*(1+'Control Room'!$D$9)^355*'Process'!F357),2),"")</x:f>
      </x:c>
      <x:c r="D357" s="16" t="str">
        <x:f>IF(AND(AND(356&lt;='Control Room'!$B$3,'Control Room'!$D$3="Ready"),2&lt;='Control Room'!$B$2),ROUND(MAX(0,'Process'!J357*'Control Room'!$H$5*INDEX('Control Room'!$B$19:$H$19,1,WEEKDAY($A357,2))*(1+'Control Room'!$D$9)^355*'Process'!K357),2),"")</x:f>
      </x:c>
      <x:c r="E357" s="16" t="str">
        <x:f>IF(AND(AND(356&lt;='Control Room'!$B$3,'Control Room'!$D$3="Ready"),3&lt;='Control Room'!$B$2),ROUND(MAX(0,'Process'!O357*'Control Room'!$H$6*INDEX('Control Room'!$B$19:$H$19,1,WEEKDAY($A357,2))*(1+'Control Room'!$D$9)^355*'Process'!P357),2),"")</x:f>
      </x:c>
      <x:c r="F357" s="16" t="str">
        <x:f>IF(AND(AND(356&lt;='Control Room'!$B$3,'Control Room'!$D$3="Ready"),4&lt;='Control Room'!$B$2),ROUND(MAX(0,'Process'!T357*'Control Room'!$H$7*INDEX('Control Room'!$B$19:$H$19,1,WEEKDAY($A357,2))*(1+'Control Room'!$D$9)^355*'Process'!U357),2),"")</x:f>
      </x:c>
      <x:c r="G357" s="16" t="str">
        <x:f>IF(AND(AND(356&lt;='Control Room'!$B$3,'Control Room'!$D$3="Ready"),5&lt;='Control Room'!$B$2),ROUND(MAX(0,'Process'!Y357*'Control Room'!$H$8*INDEX('Control Room'!$B$19:$H$19,1,WEEKDAY($A357,2))*(1+'Control Room'!$D$9)^355*'Process'!Z357),2),"")</x:f>
      </x:c>
      <x:c r="H357" s="16" t="str">
        <x:f>IF(AND(AND(356&lt;='Control Room'!$B$3,'Control Room'!$D$3="Ready"),6&lt;='Control Room'!$B$2),ROUND(MAX(0,'Process'!AD357*'Control Room'!$H$9*INDEX('Control Room'!$B$19:$H$19,1,WEEKDAY($A357,2))*(1+'Control Room'!$D$9)^355*'Process'!AE357),2),"")</x:f>
      </x:c>
      <x:c r="I357" s="16" t="str">
        <x:f>IF(AND(AND(356&lt;='Control Room'!$B$3,'Control Room'!$D$3="Ready"),7&lt;='Control Room'!$B$2),ROUND(MAX(0,'Process'!AI357*'Control Room'!$H$10*INDEX('Control Room'!$B$19:$H$19,1,WEEKDAY($A357,2))*(1+'Control Room'!$D$9)^355*'Process'!AJ357),2),"")</x:f>
      </x:c>
      <x:c r="J357" s="16" t="str">
        <x:f>IF(AND(AND(356&lt;='Control Room'!$B$3,'Control Room'!$D$3="Ready"),8&lt;='Control Room'!$B$2),ROUND(MAX(0,'Process'!AN357*'Control Room'!$H$11*INDEX('Control Room'!$B$19:$H$19,1,WEEKDAY($A357,2))*(1+'Control Room'!$D$9)^355*'Process'!AO357),2),"")</x:f>
      </x:c>
      <x:c r="K357" s="16" t="str">
        <x:f>IF(AND(AND(356&lt;='Control Room'!$B$3,'Control Room'!$D$3="Ready"),9&lt;='Control Room'!$B$2),ROUND(MAX(0,'Process'!AS357*'Control Room'!$H$12*INDEX('Control Room'!$B$19:$H$19,1,WEEKDAY($A357,2))*(1+'Control Room'!$D$9)^355*'Process'!AT357),2),"")</x:f>
      </x:c>
      <x:c r="L357" s="16" t="str">
        <x:f>IF(AND(AND(356&lt;='Control Room'!$B$3,'Control Room'!$D$3="Ready"),10&lt;='Control Room'!$B$2),ROUND(MAX(0,'Process'!AX357*'Control Room'!$H$13*INDEX('Control Room'!$B$19:$H$19,1,WEEKDAY($A357,2))*(1+'Control Room'!$D$9)^355*'Process'!AY357),2),"")</x:f>
      </x:c>
      <x:c r="M357" s="16" t="str">
        <x:f>IF(AND(AND(356&lt;='Control Room'!$B$3,'Control Room'!$D$3="Ready"),11&lt;='Control Room'!$B$2),ROUND(MAX(0,'Process'!BC357*'Control Room'!$H$14*INDEX('Control Room'!$B$19:$H$19,1,WEEKDAY($A357,2))*(1+'Control Room'!$D$9)^355*'Process'!BD357),2),"")</x:f>
      </x:c>
      <x:c r="N357" s="16" t="str">
        <x:f>IF(AND(AND(356&lt;='Control Room'!$B$3,'Control Room'!$D$3="Ready"),12&lt;='Control Room'!$B$2),ROUND(MAX(0,'Process'!BH357*'Control Room'!$H$15*INDEX('Control Room'!$B$19:$H$19,1,WEEKDAY($A357,2))*(1+'Control Room'!$D$9)^355*'Process'!BI357),2),"")</x:f>
      </x:c>
    </x:row>
    <x:row r="358" ht="21" customHeight="1">
      <x:c r="A358" s="15" t="str">
        <x:f>IF(AND(357&lt;='Control Room'!$B$3,'Control Room'!$D$3="Ready"),'Process'!A358,"")</x:f>
      </x:c>
      <x:c r="B358" s="16" t="str">
        <x:f>IF(A358="","",SUM(C358:N358))</x:f>
      </x:c>
      <x:c r="C358" s="16" t="str">
        <x:f>IF(AND(AND(357&lt;='Control Room'!$B$3,'Control Room'!$D$3="Ready"),1&lt;='Control Room'!$B$2),ROUND(MAX(0,'Process'!E358*'Control Room'!$H$4*INDEX('Control Room'!$B$19:$H$19,1,WEEKDAY($A358,2))*(1+'Control Room'!$D$9)^356*'Process'!F358),2),"")</x:f>
      </x:c>
      <x:c r="D358" s="16" t="str">
        <x:f>IF(AND(AND(357&lt;='Control Room'!$B$3,'Control Room'!$D$3="Ready"),2&lt;='Control Room'!$B$2),ROUND(MAX(0,'Process'!J358*'Control Room'!$H$5*INDEX('Control Room'!$B$19:$H$19,1,WEEKDAY($A358,2))*(1+'Control Room'!$D$9)^356*'Process'!K358),2),"")</x:f>
      </x:c>
      <x:c r="E358" s="16" t="str">
        <x:f>IF(AND(AND(357&lt;='Control Room'!$B$3,'Control Room'!$D$3="Ready"),3&lt;='Control Room'!$B$2),ROUND(MAX(0,'Process'!O358*'Control Room'!$H$6*INDEX('Control Room'!$B$19:$H$19,1,WEEKDAY($A358,2))*(1+'Control Room'!$D$9)^356*'Process'!P358),2),"")</x:f>
      </x:c>
      <x:c r="F358" s="16" t="str">
        <x:f>IF(AND(AND(357&lt;='Control Room'!$B$3,'Control Room'!$D$3="Ready"),4&lt;='Control Room'!$B$2),ROUND(MAX(0,'Process'!T358*'Control Room'!$H$7*INDEX('Control Room'!$B$19:$H$19,1,WEEKDAY($A358,2))*(1+'Control Room'!$D$9)^356*'Process'!U358),2),"")</x:f>
      </x:c>
      <x:c r="G358" s="16" t="str">
        <x:f>IF(AND(AND(357&lt;='Control Room'!$B$3,'Control Room'!$D$3="Ready"),5&lt;='Control Room'!$B$2),ROUND(MAX(0,'Process'!Y358*'Control Room'!$H$8*INDEX('Control Room'!$B$19:$H$19,1,WEEKDAY($A358,2))*(1+'Control Room'!$D$9)^356*'Process'!Z358),2),"")</x:f>
      </x:c>
      <x:c r="H358" s="16" t="str">
        <x:f>IF(AND(AND(357&lt;='Control Room'!$B$3,'Control Room'!$D$3="Ready"),6&lt;='Control Room'!$B$2),ROUND(MAX(0,'Process'!AD358*'Control Room'!$H$9*INDEX('Control Room'!$B$19:$H$19,1,WEEKDAY($A358,2))*(1+'Control Room'!$D$9)^356*'Process'!AE358),2),"")</x:f>
      </x:c>
      <x:c r="I358" s="16" t="str">
        <x:f>IF(AND(AND(357&lt;='Control Room'!$B$3,'Control Room'!$D$3="Ready"),7&lt;='Control Room'!$B$2),ROUND(MAX(0,'Process'!AI358*'Control Room'!$H$10*INDEX('Control Room'!$B$19:$H$19,1,WEEKDAY($A358,2))*(1+'Control Room'!$D$9)^356*'Process'!AJ358),2),"")</x:f>
      </x:c>
      <x:c r="J358" s="16" t="str">
        <x:f>IF(AND(AND(357&lt;='Control Room'!$B$3,'Control Room'!$D$3="Ready"),8&lt;='Control Room'!$B$2),ROUND(MAX(0,'Process'!AN358*'Control Room'!$H$11*INDEX('Control Room'!$B$19:$H$19,1,WEEKDAY($A358,2))*(1+'Control Room'!$D$9)^356*'Process'!AO358),2),"")</x:f>
      </x:c>
      <x:c r="K358" s="16" t="str">
        <x:f>IF(AND(AND(357&lt;='Control Room'!$B$3,'Control Room'!$D$3="Ready"),9&lt;='Control Room'!$B$2),ROUND(MAX(0,'Process'!AS358*'Control Room'!$H$12*INDEX('Control Room'!$B$19:$H$19,1,WEEKDAY($A358,2))*(1+'Control Room'!$D$9)^356*'Process'!AT358),2),"")</x:f>
      </x:c>
      <x:c r="L358" s="16" t="str">
        <x:f>IF(AND(AND(357&lt;='Control Room'!$B$3,'Control Room'!$D$3="Ready"),10&lt;='Control Room'!$B$2),ROUND(MAX(0,'Process'!AX358*'Control Room'!$H$13*INDEX('Control Room'!$B$19:$H$19,1,WEEKDAY($A358,2))*(1+'Control Room'!$D$9)^356*'Process'!AY358),2),"")</x:f>
      </x:c>
      <x:c r="M358" s="16" t="str">
        <x:f>IF(AND(AND(357&lt;='Control Room'!$B$3,'Control Room'!$D$3="Ready"),11&lt;='Control Room'!$B$2),ROUND(MAX(0,'Process'!BC358*'Control Room'!$H$14*INDEX('Control Room'!$B$19:$H$19,1,WEEKDAY($A358,2))*(1+'Control Room'!$D$9)^356*'Process'!BD358),2),"")</x:f>
      </x:c>
      <x:c r="N358" s="16" t="str">
        <x:f>IF(AND(AND(357&lt;='Control Room'!$B$3,'Control Room'!$D$3="Ready"),12&lt;='Control Room'!$B$2),ROUND(MAX(0,'Process'!BH358*'Control Room'!$H$15*INDEX('Control Room'!$B$19:$H$19,1,WEEKDAY($A358,2))*(1+'Control Room'!$D$9)^356*'Process'!BI358),2),"")</x:f>
      </x:c>
    </x:row>
    <x:row r="359" ht="21" customHeight="1">
      <x:c r="A359" s="15" t="str">
        <x:f>IF(AND(358&lt;='Control Room'!$B$3,'Control Room'!$D$3="Ready"),'Process'!A359,"")</x:f>
      </x:c>
      <x:c r="B359" s="16" t="str">
        <x:f>IF(A359="","",SUM(C359:N359))</x:f>
      </x:c>
      <x:c r="C359" s="16" t="str">
        <x:f>IF(AND(AND(358&lt;='Control Room'!$B$3,'Control Room'!$D$3="Ready"),1&lt;='Control Room'!$B$2),ROUND(MAX(0,'Process'!E359*'Control Room'!$H$4*INDEX('Control Room'!$B$19:$H$19,1,WEEKDAY($A359,2))*(1+'Control Room'!$D$9)^357*'Process'!F359),2),"")</x:f>
      </x:c>
      <x:c r="D359" s="16" t="str">
        <x:f>IF(AND(AND(358&lt;='Control Room'!$B$3,'Control Room'!$D$3="Ready"),2&lt;='Control Room'!$B$2),ROUND(MAX(0,'Process'!J359*'Control Room'!$H$5*INDEX('Control Room'!$B$19:$H$19,1,WEEKDAY($A359,2))*(1+'Control Room'!$D$9)^357*'Process'!K359),2),"")</x:f>
      </x:c>
      <x:c r="E359" s="16" t="str">
        <x:f>IF(AND(AND(358&lt;='Control Room'!$B$3,'Control Room'!$D$3="Ready"),3&lt;='Control Room'!$B$2),ROUND(MAX(0,'Process'!O359*'Control Room'!$H$6*INDEX('Control Room'!$B$19:$H$19,1,WEEKDAY($A359,2))*(1+'Control Room'!$D$9)^357*'Process'!P359),2),"")</x:f>
      </x:c>
      <x:c r="F359" s="16" t="str">
        <x:f>IF(AND(AND(358&lt;='Control Room'!$B$3,'Control Room'!$D$3="Ready"),4&lt;='Control Room'!$B$2),ROUND(MAX(0,'Process'!T359*'Control Room'!$H$7*INDEX('Control Room'!$B$19:$H$19,1,WEEKDAY($A359,2))*(1+'Control Room'!$D$9)^357*'Process'!U359),2),"")</x:f>
      </x:c>
      <x:c r="G359" s="16" t="str">
        <x:f>IF(AND(AND(358&lt;='Control Room'!$B$3,'Control Room'!$D$3="Ready"),5&lt;='Control Room'!$B$2),ROUND(MAX(0,'Process'!Y359*'Control Room'!$H$8*INDEX('Control Room'!$B$19:$H$19,1,WEEKDAY($A359,2))*(1+'Control Room'!$D$9)^357*'Process'!Z359),2),"")</x:f>
      </x:c>
      <x:c r="H359" s="16" t="str">
        <x:f>IF(AND(AND(358&lt;='Control Room'!$B$3,'Control Room'!$D$3="Ready"),6&lt;='Control Room'!$B$2),ROUND(MAX(0,'Process'!AD359*'Control Room'!$H$9*INDEX('Control Room'!$B$19:$H$19,1,WEEKDAY($A359,2))*(1+'Control Room'!$D$9)^357*'Process'!AE359),2),"")</x:f>
      </x:c>
      <x:c r="I359" s="16" t="str">
        <x:f>IF(AND(AND(358&lt;='Control Room'!$B$3,'Control Room'!$D$3="Ready"),7&lt;='Control Room'!$B$2),ROUND(MAX(0,'Process'!AI359*'Control Room'!$H$10*INDEX('Control Room'!$B$19:$H$19,1,WEEKDAY($A359,2))*(1+'Control Room'!$D$9)^357*'Process'!AJ359),2),"")</x:f>
      </x:c>
      <x:c r="J359" s="16" t="str">
        <x:f>IF(AND(AND(358&lt;='Control Room'!$B$3,'Control Room'!$D$3="Ready"),8&lt;='Control Room'!$B$2),ROUND(MAX(0,'Process'!AN359*'Control Room'!$H$11*INDEX('Control Room'!$B$19:$H$19,1,WEEKDAY($A359,2))*(1+'Control Room'!$D$9)^357*'Process'!AO359),2),"")</x:f>
      </x:c>
      <x:c r="K359" s="16" t="str">
        <x:f>IF(AND(AND(358&lt;='Control Room'!$B$3,'Control Room'!$D$3="Ready"),9&lt;='Control Room'!$B$2),ROUND(MAX(0,'Process'!AS359*'Control Room'!$H$12*INDEX('Control Room'!$B$19:$H$19,1,WEEKDAY($A359,2))*(1+'Control Room'!$D$9)^357*'Process'!AT359),2),"")</x:f>
      </x:c>
      <x:c r="L359" s="16" t="str">
        <x:f>IF(AND(AND(358&lt;='Control Room'!$B$3,'Control Room'!$D$3="Ready"),10&lt;='Control Room'!$B$2),ROUND(MAX(0,'Process'!AX359*'Control Room'!$H$13*INDEX('Control Room'!$B$19:$H$19,1,WEEKDAY($A359,2))*(1+'Control Room'!$D$9)^357*'Process'!AY359),2),"")</x:f>
      </x:c>
      <x:c r="M359" s="16" t="str">
        <x:f>IF(AND(AND(358&lt;='Control Room'!$B$3,'Control Room'!$D$3="Ready"),11&lt;='Control Room'!$B$2),ROUND(MAX(0,'Process'!BC359*'Control Room'!$H$14*INDEX('Control Room'!$B$19:$H$19,1,WEEKDAY($A359,2))*(1+'Control Room'!$D$9)^357*'Process'!BD359),2),"")</x:f>
      </x:c>
      <x:c r="N359" s="16" t="str">
        <x:f>IF(AND(AND(358&lt;='Control Room'!$B$3,'Control Room'!$D$3="Ready"),12&lt;='Control Room'!$B$2),ROUND(MAX(0,'Process'!BH359*'Control Room'!$H$15*INDEX('Control Room'!$B$19:$H$19,1,WEEKDAY($A359,2))*(1+'Control Room'!$D$9)^357*'Process'!BI359),2),"")</x:f>
      </x:c>
    </x:row>
    <x:row r="360" ht="21" customHeight="1">
      <x:c r="A360" s="15" t="str">
        <x:f>IF(AND(359&lt;='Control Room'!$B$3,'Control Room'!$D$3="Ready"),'Process'!A360,"")</x:f>
      </x:c>
      <x:c r="B360" s="16" t="str">
        <x:f>IF(A360="","",SUM(C360:N360))</x:f>
      </x:c>
      <x:c r="C360" s="16" t="str">
        <x:f>IF(AND(AND(359&lt;='Control Room'!$B$3,'Control Room'!$D$3="Ready"),1&lt;='Control Room'!$B$2),ROUND(MAX(0,'Process'!E360*'Control Room'!$H$4*INDEX('Control Room'!$B$19:$H$19,1,WEEKDAY($A360,2))*(1+'Control Room'!$D$9)^358*'Process'!F360),2),"")</x:f>
      </x:c>
      <x:c r="D360" s="16" t="str">
        <x:f>IF(AND(AND(359&lt;='Control Room'!$B$3,'Control Room'!$D$3="Ready"),2&lt;='Control Room'!$B$2),ROUND(MAX(0,'Process'!J360*'Control Room'!$H$5*INDEX('Control Room'!$B$19:$H$19,1,WEEKDAY($A360,2))*(1+'Control Room'!$D$9)^358*'Process'!K360),2),"")</x:f>
      </x:c>
      <x:c r="E360" s="16" t="str">
        <x:f>IF(AND(AND(359&lt;='Control Room'!$B$3,'Control Room'!$D$3="Ready"),3&lt;='Control Room'!$B$2),ROUND(MAX(0,'Process'!O360*'Control Room'!$H$6*INDEX('Control Room'!$B$19:$H$19,1,WEEKDAY($A360,2))*(1+'Control Room'!$D$9)^358*'Process'!P360),2),"")</x:f>
      </x:c>
      <x:c r="F360" s="16" t="str">
        <x:f>IF(AND(AND(359&lt;='Control Room'!$B$3,'Control Room'!$D$3="Ready"),4&lt;='Control Room'!$B$2),ROUND(MAX(0,'Process'!T360*'Control Room'!$H$7*INDEX('Control Room'!$B$19:$H$19,1,WEEKDAY($A360,2))*(1+'Control Room'!$D$9)^358*'Process'!U360),2),"")</x:f>
      </x:c>
      <x:c r="G360" s="16" t="str">
        <x:f>IF(AND(AND(359&lt;='Control Room'!$B$3,'Control Room'!$D$3="Ready"),5&lt;='Control Room'!$B$2),ROUND(MAX(0,'Process'!Y360*'Control Room'!$H$8*INDEX('Control Room'!$B$19:$H$19,1,WEEKDAY($A360,2))*(1+'Control Room'!$D$9)^358*'Process'!Z360),2),"")</x:f>
      </x:c>
      <x:c r="H360" s="16" t="str">
        <x:f>IF(AND(AND(359&lt;='Control Room'!$B$3,'Control Room'!$D$3="Ready"),6&lt;='Control Room'!$B$2),ROUND(MAX(0,'Process'!AD360*'Control Room'!$H$9*INDEX('Control Room'!$B$19:$H$19,1,WEEKDAY($A360,2))*(1+'Control Room'!$D$9)^358*'Process'!AE360),2),"")</x:f>
      </x:c>
      <x:c r="I360" s="16" t="str">
        <x:f>IF(AND(AND(359&lt;='Control Room'!$B$3,'Control Room'!$D$3="Ready"),7&lt;='Control Room'!$B$2),ROUND(MAX(0,'Process'!AI360*'Control Room'!$H$10*INDEX('Control Room'!$B$19:$H$19,1,WEEKDAY($A360,2))*(1+'Control Room'!$D$9)^358*'Process'!AJ360),2),"")</x:f>
      </x:c>
      <x:c r="J360" s="16" t="str">
        <x:f>IF(AND(AND(359&lt;='Control Room'!$B$3,'Control Room'!$D$3="Ready"),8&lt;='Control Room'!$B$2),ROUND(MAX(0,'Process'!AN360*'Control Room'!$H$11*INDEX('Control Room'!$B$19:$H$19,1,WEEKDAY($A360,2))*(1+'Control Room'!$D$9)^358*'Process'!AO360),2),"")</x:f>
      </x:c>
      <x:c r="K360" s="16" t="str">
        <x:f>IF(AND(AND(359&lt;='Control Room'!$B$3,'Control Room'!$D$3="Ready"),9&lt;='Control Room'!$B$2),ROUND(MAX(0,'Process'!AS360*'Control Room'!$H$12*INDEX('Control Room'!$B$19:$H$19,1,WEEKDAY($A360,2))*(1+'Control Room'!$D$9)^358*'Process'!AT360),2),"")</x:f>
      </x:c>
      <x:c r="L360" s="16" t="str">
        <x:f>IF(AND(AND(359&lt;='Control Room'!$B$3,'Control Room'!$D$3="Ready"),10&lt;='Control Room'!$B$2),ROUND(MAX(0,'Process'!AX360*'Control Room'!$H$13*INDEX('Control Room'!$B$19:$H$19,1,WEEKDAY($A360,2))*(1+'Control Room'!$D$9)^358*'Process'!AY360),2),"")</x:f>
      </x:c>
      <x:c r="M360" s="16" t="str">
        <x:f>IF(AND(AND(359&lt;='Control Room'!$B$3,'Control Room'!$D$3="Ready"),11&lt;='Control Room'!$B$2),ROUND(MAX(0,'Process'!BC360*'Control Room'!$H$14*INDEX('Control Room'!$B$19:$H$19,1,WEEKDAY($A360,2))*(1+'Control Room'!$D$9)^358*'Process'!BD360),2),"")</x:f>
      </x:c>
      <x:c r="N360" s="16" t="str">
        <x:f>IF(AND(AND(359&lt;='Control Room'!$B$3,'Control Room'!$D$3="Ready"),12&lt;='Control Room'!$B$2),ROUND(MAX(0,'Process'!BH360*'Control Room'!$H$15*INDEX('Control Room'!$B$19:$H$19,1,WEEKDAY($A360,2))*(1+'Control Room'!$D$9)^358*'Process'!BI360),2),"")</x:f>
      </x:c>
    </x:row>
    <x:row r="361" ht="21" customHeight="1">
      <x:c r="A361" s="15" t="str">
        <x:f>IF(AND(360&lt;='Control Room'!$B$3,'Control Room'!$D$3="Ready"),'Process'!A361,"")</x:f>
      </x:c>
      <x:c r="B361" s="16" t="str">
        <x:f>IF(A361="","",SUM(C361:N361))</x:f>
      </x:c>
      <x:c r="C361" s="16" t="str">
        <x:f>IF(AND(AND(360&lt;='Control Room'!$B$3,'Control Room'!$D$3="Ready"),1&lt;='Control Room'!$B$2),ROUND(MAX(0,'Process'!E361*'Control Room'!$H$4*INDEX('Control Room'!$B$19:$H$19,1,WEEKDAY($A361,2))*(1+'Control Room'!$D$9)^359*'Process'!F361),2),"")</x:f>
      </x:c>
      <x:c r="D361" s="16" t="str">
        <x:f>IF(AND(AND(360&lt;='Control Room'!$B$3,'Control Room'!$D$3="Ready"),2&lt;='Control Room'!$B$2),ROUND(MAX(0,'Process'!J361*'Control Room'!$H$5*INDEX('Control Room'!$B$19:$H$19,1,WEEKDAY($A361,2))*(1+'Control Room'!$D$9)^359*'Process'!K361),2),"")</x:f>
      </x:c>
      <x:c r="E361" s="16" t="str">
        <x:f>IF(AND(AND(360&lt;='Control Room'!$B$3,'Control Room'!$D$3="Ready"),3&lt;='Control Room'!$B$2),ROUND(MAX(0,'Process'!O361*'Control Room'!$H$6*INDEX('Control Room'!$B$19:$H$19,1,WEEKDAY($A361,2))*(1+'Control Room'!$D$9)^359*'Process'!P361),2),"")</x:f>
      </x:c>
      <x:c r="F361" s="16" t="str">
        <x:f>IF(AND(AND(360&lt;='Control Room'!$B$3,'Control Room'!$D$3="Ready"),4&lt;='Control Room'!$B$2),ROUND(MAX(0,'Process'!T361*'Control Room'!$H$7*INDEX('Control Room'!$B$19:$H$19,1,WEEKDAY($A361,2))*(1+'Control Room'!$D$9)^359*'Process'!U361),2),"")</x:f>
      </x:c>
      <x:c r="G361" s="16" t="str">
        <x:f>IF(AND(AND(360&lt;='Control Room'!$B$3,'Control Room'!$D$3="Ready"),5&lt;='Control Room'!$B$2),ROUND(MAX(0,'Process'!Y361*'Control Room'!$H$8*INDEX('Control Room'!$B$19:$H$19,1,WEEKDAY($A361,2))*(1+'Control Room'!$D$9)^359*'Process'!Z361),2),"")</x:f>
      </x:c>
      <x:c r="H361" s="16" t="str">
        <x:f>IF(AND(AND(360&lt;='Control Room'!$B$3,'Control Room'!$D$3="Ready"),6&lt;='Control Room'!$B$2),ROUND(MAX(0,'Process'!AD361*'Control Room'!$H$9*INDEX('Control Room'!$B$19:$H$19,1,WEEKDAY($A361,2))*(1+'Control Room'!$D$9)^359*'Process'!AE361),2),"")</x:f>
      </x:c>
      <x:c r="I361" s="16" t="str">
        <x:f>IF(AND(AND(360&lt;='Control Room'!$B$3,'Control Room'!$D$3="Ready"),7&lt;='Control Room'!$B$2),ROUND(MAX(0,'Process'!AI361*'Control Room'!$H$10*INDEX('Control Room'!$B$19:$H$19,1,WEEKDAY($A361,2))*(1+'Control Room'!$D$9)^359*'Process'!AJ361),2),"")</x:f>
      </x:c>
      <x:c r="J361" s="16" t="str">
        <x:f>IF(AND(AND(360&lt;='Control Room'!$B$3,'Control Room'!$D$3="Ready"),8&lt;='Control Room'!$B$2),ROUND(MAX(0,'Process'!AN361*'Control Room'!$H$11*INDEX('Control Room'!$B$19:$H$19,1,WEEKDAY($A361,2))*(1+'Control Room'!$D$9)^359*'Process'!AO361),2),"")</x:f>
      </x:c>
      <x:c r="K361" s="16" t="str">
        <x:f>IF(AND(AND(360&lt;='Control Room'!$B$3,'Control Room'!$D$3="Ready"),9&lt;='Control Room'!$B$2),ROUND(MAX(0,'Process'!AS361*'Control Room'!$H$12*INDEX('Control Room'!$B$19:$H$19,1,WEEKDAY($A361,2))*(1+'Control Room'!$D$9)^359*'Process'!AT361),2),"")</x:f>
      </x:c>
      <x:c r="L361" s="16" t="str">
        <x:f>IF(AND(AND(360&lt;='Control Room'!$B$3,'Control Room'!$D$3="Ready"),10&lt;='Control Room'!$B$2),ROUND(MAX(0,'Process'!AX361*'Control Room'!$H$13*INDEX('Control Room'!$B$19:$H$19,1,WEEKDAY($A361,2))*(1+'Control Room'!$D$9)^359*'Process'!AY361),2),"")</x:f>
      </x:c>
      <x:c r="M361" s="16" t="str">
        <x:f>IF(AND(AND(360&lt;='Control Room'!$B$3,'Control Room'!$D$3="Ready"),11&lt;='Control Room'!$B$2),ROUND(MAX(0,'Process'!BC361*'Control Room'!$H$14*INDEX('Control Room'!$B$19:$H$19,1,WEEKDAY($A361,2))*(1+'Control Room'!$D$9)^359*'Process'!BD361),2),"")</x:f>
      </x:c>
      <x:c r="N361" s="16" t="str">
        <x:f>IF(AND(AND(360&lt;='Control Room'!$B$3,'Control Room'!$D$3="Ready"),12&lt;='Control Room'!$B$2),ROUND(MAX(0,'Process'!BH361*'Control Room'!$H$15*INDEX('Control Room'!$B$19:$H$19,1,WEEKDAY($A361,2))*(1+'Control Room'!$D$9)^359*'Process'!BI361),2),"")</x:f>
      </x:c>
    </x:row>
    <x:row r="362" ht="21" customHeight="1">
      <x:c r="A362" s="15" t="str">
        <x:f>IF(AND(361&lt;='Control Room'!$B$3,'Control Room'!$D$3="Ready"),'Process'!A362,"")</x:f>
      </x:c>
      <x:c r="B362" s="16" t="str">
        <x:f>IF(A362="","",SUM(C362:N362))</x:f>
      </x:c>
      <x:c r="C362" s="16" t="str">
        <x:f>IF(AND(AND(361&lt;='Control Room'!$B$3,'Control Room'!$D$3="Ready"),1&lt;='Control Room'!$B$2),ROUND(MAX(0,'Process'!E362*'Control Room'!$H$4*INDEX('Control Room'!$B$19:$H$19,1,WEEKDAY($A362,2))*(1+'Control Room'!$D$9)^360*'Process'!F362),2),"")</x:f>
      </x:c>
      <x:c r="D362" s="16" t="str">
        <x:f>IF(AND(AND(361&lt;='Control Room'!$B$3,'Control Room'!$D$3="Ready"),2&lt;='Control Room'!$B$2),ROUND(MAX(0,'Process'!J362*'Control Room'!$H$5*INDEX('Control Room'!$B$19:$H$19,1,WEEKDAY($A362,2))*(1+'Control Room'!$D$9)^360*'Process'!K362),2),"")</x:f>
      </x:c>
      <x:c r="E362" s="16" t="str">
        <x:f>IF(AND(AND(361&lt;='Control Room'!$B$3,'Control Room'!$D$3="Ready"),3&lt;='Control Room'!$B$2),ROUND(MAX(0,'Process'!O362*'Control Room'!$H$6*INDEX('Control Room'!$B$19:$H$19,1,WEEKDAY($A362,2))*(1+'Control Room'!$D$9)^360*'Process'!P362),2),"")</x:f>
      </x:c>
      <x:c r="F362" s="16" t="str">
        <x:f>IF(AND(AND(361&lt;='Control Room'!$B$3,'Control Room'!$D$3="Ready"),4&lt;='Control Room'!$B$2),ROUND(MAX(0,'Process'!T362*'Control Room'!$H$7*INDEX('Control Room'!$B$19:$H$19,1,WEEKDAY($A362,2))*(1+'Control Room'!$D$9)^360*'Process'!U362),2),"")</x:f>
      </x:c>
      <x:c r="G362" s="16" t="str">
        <x:f>IF(AND(AND(361&lt;='Control Room'!$B$3,'Control Room'!$D$3="Ready"),5&lt;='Control Room'!$B$2),ROUND(MAX(0,'Process'!Y362*'Control Room'!$H$8*INDEX('Control Room'!$B$19:$H$19,1,WEEKDAY($A362,2))*(1+'Control Room'!$D$9)^360*'Process'!Z362),2),"")</x:f>
      </x:c>
      <x:c r="H362" s="16" t="str">
        <x:f>IF(AND(AND(361&lt;='Control Room'!$B$3,'Control Room'!$D$3="Ready"),6&lt;='Control Room'!$B$2),ROUND(MAX(0,'Process'!AD362*'Control Room'!$H$9*INDEX('Control Room'!$B$19:$H$19,1,WEEKDAY($A362,2))*(1+'Control Room'!$D$9)^360*'Process'!AE362),2),"")</x:f>
      </x:c>
      <x:c r="I362" s="16" t="str">
        <x:f>IF(AND(AND(361&lt;='Control Room'!$B$3,'Control Room'!$D$3="Ready"),7&lt;='Control Room'!$B$2),ROUND(MAX(0,'Process'!AI362*'Control Room'!$H$10*INDEX('Control Room'!$B$19:$H$19,1,WEEKDAY($A362,2))*(1+'Control Room'!$D$9)^360*'Process'!AJ362),2),"")</x:f>
      </x:c>
      <x:c r="J362" s="16" t="str">
        <x:f>IF(AND(AND(361&lt;='Control Room'!$B$3,'Control Room'!$D$3="Ready"),8&lt;='Control Room'!$B$2),ROUND(MAX(0,'Process'!AN362*'Control Room'!$H$11*INDEX('Control Room'!$B$19:$H$19,1,WEEKDAY($A362,2))*(1+'Control Room'!$D$9)^360*'Process'!AO362),2),"")</x:f>
      </x:c>
      <x:c r="K362" s="16" t="str">
        <x:f>IF(AND(AND(361&lt;='Control Room'!$B$3,'Control Room'!$D$3="Ready"),9&lt;='Control Room'!$B$2),ROUND(MAX(0,'Process'!AS362*'Control Room'!$H$12*INDEX('Control Room'!$B$19:$H$19,1,WEEKDAY($A362,2))*(1+'Control Room'!$D$9)^360*'Process'!AT362),2),"")</x:f>
      </x:c>
      <x:c r="L362" s="16" t="str">
        <x:f>IF(AND(AND(361&lt;='Control Room'!$B$3,'Control Room'!$D$3="Ready"),10&lt;='Control Room'!$B$2),ROUND(MAX(0,'Process'!AX362*'Control Room'!$H$13*INDEX('Control Room'!$B$19:$H$19,1,WEEKDAY($A362,2))*(1+'Control Room'!$D$9)^360*'Process'!AY362),2),"")</x:f>
      </x:c>
      <x:c r="M362" s="16" t="str">
        <x:f>IF(AND(AND(361&lt;='Control Room'!$B$3,'Control Room'!$D$3="Ready"),11&lt;='Control Room'!$B$2),ROUND(MAX(0,'Process'!BC362*'Control Room'!$H$14*INDEX('Control Room'!$B$19:$H$19,1,WEEKDAY($A362,2))*(1+'Control Room'!$D$9)^360*'Process'!BD362),2),"")</x:f>
      </x:c>
      <x:c r="N362" s="16" t="str">
        <x:f>IF(AND(AND(361&lt;='Control Room'!$B$3,'Control Room'!$D$3="Ready"),12&lt;='Control Room'!$B$2),ROUND(MAX(0,'Process'!BH362*'Control Room'!$H$15*INDEX('Control Room'!$B$19:$H$19,1,WEEKDAY($A362,2))*(1+'Control Room'!$D$9)^360*'Process'!BI362),2),"")</x:f>
      </x:c>
    </x:row>
    <x:row r="363" ht="21" customHeight="1">
      <x:c r="A363" s="15" t="str">
        <x:f>IF(AND(362&lt;='Control Room'!$B$3,'Control Room'!$D$3="Ready"),'Process'!A363,"")</x:f>
      </x:c>
      <x:c r="B363" s="16" t="str">
        <x:f>IF(A363="","",SUM(C363:N363))</x:f>
      </x:c>
      <x:c r="C363" s="16" t="str">
        <x:f>IF(AND(AND(362&lt;='Control Room'!$B$3,'Control Room'!$D$3="Ready"),1&lt;='Control Room'!$B$2),ROUND(MAX(0,'Process'!E363*'Control Room'!$H$4*INDEX('Control Room'!$B$19:$H$19,1,WEEKDAY($A363,2))*(1+'Control Room'!$D$9)^361*'Process'!F363),2),"")</x:f>
      </x:c>
      <x:c r="D363" s="16" t="str">
        <x:f>IF(AND(AND(362&lt;='Control Room'!$B$3,'Control Room'!$D$3="Ready"),2&lt;='Control Room'!$B$2),ROUND(MAX(0,'Process'!J363*'Control Room'!$H$5*INDEX('Control Room'!$B$19:$H$19,1,WEEKDAY($A363,2))*(1+'Control Room'!$D$9)^361*'Process'!K363),2),"")</x:f>
      </x:c>
      <x:c r="E363" s="16" t="str">
        <x:f>IF(AND(AND(362&lt;='Control Room'!$B$3,'Control Room'!$D$3="Ready"),3&lt;='Control Room'!$B$2),ROUND(MAX(0,'Process'!O363*'Control Room'!$H$6*INDEX('Control Room'!$B$19:$H$19,1,WEEKDAY($A363,2))*(1+'Control Room'!$D$9)^361*'Process'!P363),2),"")</x:f>
      </x:c>
      <x:c r="F363" s="16" t="str">
        <x:f>IF(AND(AND(362&lt;='Control Room'!$B$3,'Control Room'!$D$3="Ready"),4&lt;='Control Room'!$B$2),ROUND(MAX(0,'Process'!T363*'Control Room'!$H$7*INDEX('Control Room'!$B$19:$H$19,1,WEEKDAY($A363,2))*(1+'Control Room'!$D$9)^361*'Process'!U363),2),"")</x:f>
      </x:c>
      <x:c r="G363" s="16" t="str">
        <x:f>IF(AND(AND(362&lt;='Control Room'!$B$3,'Control Room'!$D$3="Ready"),5&lt;='Control Room'!$B$2),ROUND(MAX(0,'Process'!Y363*'Control Room'!$H$8*INDEX('Control Room'!$B$19:$H$19,1,WEEKDAY($A363,2))*(1+'Control Room'!$D$9)^361*'Process'!Z363),2),"")</x:f>
      </x:c>
      <x:c r="H363" s="16" t="str">
        <x:f>IF(AND(AND(362&lt;='Control Room'!$B$3,'Control Room'!$D$3="Ready"),6&lt;='Control Room'!$B$2),ROUND(MAX(0,'Process'!AD363*'Control Room'!$H$9*INDEX('Control Room'!$B$19:$H$19,1,WEEKDAY($A363,2))*(1+'Control Room'!$D$9)^361*'Process'!AE363),2),"")</x:f>
      </x:c>
      <x:c r="I363" s="16" t="str">
        <x:f>IF(AND(AND(362&lt;='Control Room'!$B$3,'Control Room'!$D$3="Ready"),7&lt;='Control Room'!$B$2),ROUND(MAX(0,'Process'!AI363*'Control Room'!$H$10*INDEX('Control Room'!$B$19:$H$19,1,WEEKDAY($A363,2))*(1+'Control Room'!$D$9)^361*'Process'!AJ363),2),"")</x:f>
      </x:c>
      <x:c r="J363" s="16" t="str">
        <x:f>IF(AND(AND(362&lt;='Control Room'!$B$3,'Control Room'!$D$3="Ready"),8&lt;='Control Room'!$B$2),ROUND(MAX(0,'Process'!AN363*'Control Room'!$H$11*INDEX('Control Room'!$B$19:$H$19,1,WEEKDAY($A363,2))*(1+'Control Room'!$D$9)^361*'Process'!AO363),2),"")</x:f>
      </x:c>
      <x:c r="K363" s="16" t="str">
        <x:f>IF(AND(AND(362&lt;='Control Room'!$B$3,'Control Room'!$D$3="Ready"),9&lt;='Control Room'!$B$2),ROUND(MAX(0,'Process'!AS363*'Control Room'!$H$12*INDEX('Control Room'!$B$19:$H$19,1,WEEKDAY($A363,2))*(1+'Control Room'!$D$9)^361*'Process'!AT363),2),"")</x:f>
      </x:c>
      <x:c r="L363" s="16" t="str">
        <x:f>IF(AND(AND(362&lt;='Control Room'!$B$3,'Control Room'!$D$3="Ready"),10&lt;='Control Room'!$B$2),ROUND(MAX(0,'Process'!AX363*'Control Room'!$H$13*INDEX('Control Room'!$B$19:$H$19,1,WEEKDAY($A363,2))*(1+'Control Room'!$D$9)^361*'Process'!AY363),2),"")</x:f>
      </x:c>
      <x:c r="M363" s="16" t="str">
        <x:f>IF(AND(AND(362&lt;='Control Room'!$B$3,'Control Room'!$D$3="Ready"),11&lt;='Control Room'!$B$2),ROUND(MAX(0,'Process'!BC363*'Control Room'!$H$14*INDEX('Control Room'!$B$19:$H$19,1,WEEKDAY($A363,2))*(1+'Control Room'!$D$9)^361*'Process'!BD363),2),"")</x:f>
      </x:c>
      <x:c r="N363" s="16" t="str">
        <x:f>IF(AND(AND(362&lt;='Control Room'!$B$3,'Control Room'!$D$3="Ready"),12&lt;='Control Room'!$B$2),ROUND(MAX(0,'Process'!BH363*'Control Room'!$H$15*INDEX('Control Room'!$B$19:$H$19,1,WEEKDAY($A363,2))*(1+'Control Room'!$D$9)^361*'Process'!BI363),2),"")</x:f>
      </x:c>
    </x:row>
    <x:row r="364" ht="21" customHeight="1">
      <x:c r="A364" s="15" t="str">
        <x:f>IF(AND(363&lt;='Control Room'!$B$3,'Control Room'!$D$3="Ready"),'Process'!A364,"")</x:f>
      </x:c>
      <x:c r="B364" s="16" t="str">
        <x:f>IF(A364="","",SUM(C364:N364))</x:f>
      </x:c>
      <x:c r="C364" s="16" t="str">
        <x:f>IF(AND(AND(363&lt;='Control Room'!$B$3,'Control Room'!$D$3="Ready"),1&lt;='Control Room'!$B$2),ROUND(MAX(0,'Process'!E364*'Control Room'!$H$4*INDEX('Control Room'!$B$19:$H$19,1,WEEKDAY($A364,2))*(1+'Control Room'!$D$9)^362*'Process'!F364),2),"")</x:f>
      </x:c>
      <x:c r="D364" s="16" t="str">
        <x:f>IF(AND(AND(363&lt;='Control Room'!$B$3,'Control Room'!$D$3="Ready"),2&lt;='Control Room'!$B$2),ROUND(MAX(0,'Process'!J364*'Control Room'!$H$5*INDEX('Control Room'!$B$19:$H$19,1,WEEKDAY($A364,2))*(1+'Control Room'!$D$9)^362*'Process'!K364),2),"")</x:f>
      </x:c>
      <x:c r="E364" s="16" t="str">
        <x:f>IF(AND(AND(363&lt;='Control Room'!$B$3,'Control Room'!$D$3="Ready"),3&lt;='Control Room'!$B$2),ROUND(MAX(0,'Process'!O364*'Control Room'!$H$6*INDEX('Control Room'!$B$19:$H$19,1,WEEKDAY($A364,2))*(1+'Control Room'!$D$9)^362*'Process'!P364),2),"")</x:f>
      </x:c>
      <x:c r="F364" s="16" t="str">
        <x:f>IF(AND(AND(363&lt;='Control Room'!$B$3,'Control Room'!$D$3="Ready"),4&lt;='Control Room'!$B$2),ROUND(MAX(0,'Process'!T364*'Control Room'!$H$7*INDEX('Control Room'!$B$19:$H$19,1,WEEKDAY($A364,2))*(1+'Control Room'!$D$9)^362*'Process'!U364),2),"")</x:f>
      </x:c>
      <x:c r="G364" s="16" t="str">
        <x:f>IF(AND(AND(363&lt;='Control Room'!$B$3,'Control Room'!$D$3="Ready"),5&lt;='Control Room'!$B$2),ROUND(MAX(0,'Process'!Y364*'Control Room'!$H$8*INDEX('Control Room'!$B$19:$H$19,1,WEEKDAY($A364,2))*(1+'Control Room'!$D$9)^362*'Process'!Z364),2),"")</x:f>
      </x:c>
      <x:c r="H364" s="16" t="str">
        <x:f>IF(AND(AND(363&lt;='Control Room'!$B$3,'Control Room'!$D$3="Ready"),6&lt;='Control Room'!$B$2),ROUND(MAX(0,'Process'!AD364*'Control Room'!$H$9*INDEX('Control Room'!$B$19:$H$19,1,WEEKDAY($A364,2))*(1+'Control Room'!$D$9)^362*'Process'!AE364),2),"")</x:f>
      </x:c>
      <x:c r="I364" s="16" t="str">
        <x:f>IF(AND(AND(363&lt;='Control Room'!$B$3,'Control Room'!$D$3="Ready"),7&lt;='Control Room'!$B$2),ROUND(MAX(0,'Process'!AI364*'Control Room'!$H$10*INDEX('Control Room'!$B$19:$H$19,1,WEEKDAY($A364,2))*(1+'Control Room'!$D$9)^362*'Process'!AJ364),2),"")</x:f>
      </x:c>
      <x:c r="J364" s="16" t="str">
        <x:f>IF(AND(AND(363&lt;='Control Room'!$B$3,'Control Room'!$D$3="Ready"),8&lt;='Control Room'!$B$2),ROUND(MAX(0,'Process'!AN364*'Control Room'!$H$11*INDEX('Control Room'!$B$19:$H$19,1,WEEKDAY($A364,2))*(1+'Control Room'!$D$9)^362*'Process'!AO364),2),"")</x:f>
      </x:c>
      <x:c r="K364" s="16" t="str">
        <x:f>IF(AND(AND(363&lt;='Control Room'!$B$3,'Control Room'!$D$3="Ready"),9&lt;='Control Room'!$B$2),ROUND(MAX(0,'Process'!AS364*'Control Room'!$H$12*INDEX('Control Room'!$B$19:$H$19,1,WEEKDAY($A364,2))*(1+'Control Room'!$D$9)^362*'Process'!AT364),2),"")</x:f>
      </x:c>
      <x:c r="L364" s="16" t="str">
        <x:f>IF(AND(AND(363&lt;='Control Room'!$B$3,'Control Room'!$D$3="Ready"),10&lt;='Control Room'!$B$2),ROUND(MAX(0,'Process'!AX364*'Control Room'!$H$13*INDEX('Control Room'!$B$19:$H$19,1,WEEKDAY($A364,2))*(1+'Control Room'!$D$9)^362*'Process'!AY364),2),"")</x:f>
      </x:c>
      <x:c r="M364" s="16" t="str">
        <x:f>IF(AND(AND(363&lt;='Control Room'!$B$3,'Control Room'!$D$3="Ready"),11&lt;='Control Room'!$B$2),ROUND(MAX(0,'Process'!BC364*'Control Room'!$H$14*INDEX('Control Room'!$B$19:$H$19,1,WEEKDAY($A364,2))*(1+'Control Room'!$D$9)^362*'Process'!BD364),2),"")</x:f>
      </x:c>
      <x:c r="N364" s="16" t="str">
        <x:f>IF(AND(AND(363&lt;='Control Room'!$B$3,'Control Room'!$D$3="Ready"),12&lt;='Control Room'!$B$2),ROUND(MAX(0,'Process'!BH364*'Control Room'!$H$15*INDEX('Control Room'!$B$19:$H$19,1,WEEKDAY($A364,2))*(1+'Control Room'!$D$9)^362*'Process'!BI364),2),"")</x:f>
      </x:c>
    </x:row>
    <x:row r="365" ht="21" customHeight="1">
      <x:c r="A365" s="15" t="str">
        <x:f>IF(AND(364&lt;='Control Room'!$B$3,'Control Room'!$D$3="Ready"),'Process'!A365,"")</x:f>
      </x:c>
      <x:c r="B365" s="16" t="str">
        <x:f>IF(A365="","",SUM(C365:N365))</x:f>
      </x:c>
      <x:c r="C365" s="16" t="str">
        <x:f>IF(AND(AND(364&lt;='Control Room'!$B$3,'Control Room'!$D$3="Ready"),1&lt;='Control Room'!$B$2),ROUND(MAX(0,'Process'!E365*'Control Room'!$H$4*INDEX('Control Room'!$B$19:$H$19,1,WEEKDAY($A365,2))*(1+'Control Room'!$D$9)^363*'Process'!F365),2),"")</x:f>
      </x:c>
      <x:c r="D365" s="16" t="str">
        <x:f>IF(AND(AND(364&lt;='Control Room'!$B$3,'Control Room'!$D$3="Ready"),2&lt;='Control Room'!$B$2),ROUND(MAX(0,'Process'!J365*'Control Room'!$H$5*INDEX('Control Room'!$B$19:$H$19,1,WEEKDAY($A365,2))*(1+'Control Room'!$D$9)^363*'Process'!K365),2),"")</x:f>
      </x:c>
      <x:c r="E365" s="16" t="str">
        <x:f>IF(AND(AND(364&lt;='Control Room'!$B$3,'Control Room'!$D$3="Ready"),3&lt;='Control Room'!$B$2),ROUND(MAX(0,'Process'!O365*'Control Room'!$H$6*INDEX('Control Room'!$B$19:$H$19,1,WEEKDAY($A365,2))*(1+'Control Room'!$D$9)^363*'Process'!P365),2),"")</x:f>
      </x:c>
      <x:c r="F365" s="16" t="str">
        <x:f>IF(AND(AND(364&lt;='Control Room'!$B$3,'Control Room'!$D$3="Ready"),4&lt;='Control Room'!$B$2),ROUND(MAX(0,'Process'!T365*'Control Room'!$H$7*INDEX('Control Room'!$B$19:$H$19,1,WEEKDAY($A365,2))*(1+'Control Room'!$D$9)^363*'Process'!U365),2),"")</x:f>
      </x:c>
      <x:c r="G365" s="16" t="str">
        <x:f>IF(AND(AND(364&lt;='Control Room'!$B$3,'Control Room'!$D$3="Ready"),5&lt;='Control Room'!$B$2),ROUND(MAX(0,'Process'!Y365*'Control Room'!$H$8*INDEX('Control Room'!$B$19:$H$19,1,WEEKDAY($A365,2))*(1+'Control Room'!$D$9)^363*'Process'!Z365),2),"")</x:f>
      </x:c>
      <x:c r="H365" s="16" t="str">
        <x:f>IF(AND(AND(364&lt;='Control Room'!$B$3,'Control Room'!$D$3="Ready"),6&lt;='Control Room'!$B$2),ROUND(MAX(0,'Process'!AD365*'Control Room'!$H$9*INDEX('Control Room'!$B$19:$H$19,1,WEEKDAY($A365,2))*(1+'Control Room'!$D$9)^363*'Process'!AE365),2),"")</x:f>
      </x:c>
      <x:c r="I365" s="16" t="str">
        <x:f>IF(AND(AND(364&lt;='Control Room'!$B$3,'Control Room'!$D$3="Ready"),7&lt;='Control Room'!$B$2),ROUND(MAX(0,'Process'!AI365*'Control Room'!$H$10*INDEX('Control Room'!$B$19:$H$19,1,WEEKDAY($A365,2))*(1+'Control Room'!$D$9)^363*'Process'!AJ365),2),"")</x:f>
      </x:c>
      <x:c r="J365" s="16" t="str">
        <x:f>IF(AND(AND(364&lt;='Control Room'!$B$3,'Control Room'!$D$3="Ready"),8&lt;='Control Room'!$B$2),ROUND(MAX(0,'Process'!AN365*'Control Room'!$H$11*INDEX('Control Room'!$B$19:$H$19,1,WEEKDAY($A365,2))*(1+'Control Room'!$D$9)^363*'Process'!AO365),2),"")</x:f>
      </x:c>
      <x:c r="K365" s="16" t="str">
        <x:f>IF(AND(AND(364&lt;='Control Room'!$B$3,'Control Room'!$D$3="Ready"),9&lt;='Control Room'!$B$2),ROUND(MAX(0,'Process'!AS365*'Control Room'!$H$12*INDEX('Control Room'!$B$19:$H$19,1,WEEKDAY($A365,2))*(1+'Control Room'!$D$9)^363*'Process'!AT365),2),"")</x:f>
      </x:c>
      <x:c r="L365" s="16" t="str">
        <x:f>IF(AND(AND(364&lt;='Control Room'!$B$3,'Control Room'!$D$3="Ready"),10&lt;='Control Room'!$B$2),ROUND(MAX(0,'Process'!AX365*'Control Room'!$H$13*INDEX('Control Room'!$B$19:$H$19,1,WEEKDAY($A365,2))*(1+'Control Room'!$D$9)^363*'Process'!AY365),2),"")</x:f>
      </x:c>
      <x:c r="M365" s="16" t="str">
        <x:f>IF(AND(AND(364&lt;='Control Room'!$B$3,'Control Room'!$D$3="Ready"),11&lt;='Control Room'!$B$2),ROUND(MAX(0,'Process'!BC365*'Control Room'!$H$14*INDEX('Control Room'!$B$19:$H$19,1,WEEKDAY($A365,2))*(1+'Control Room'!$D$9)^363*'Process'!BD365),2),"")</x:f>
      </x:c>
      <x:c r="N365" s="16" t="str">
        <x:f>IF(AND(AND(364&lt;='Control Room'!$B$3,'Control Room'!$D$3="Ready"),12&lt;='Control Room'!$B$2),ROUND(MAX(0,'Process'!BH365*'Control Room'!$H$15*INDEX('Control Room'!$B$19:$H$19,1,WEEKDAY($A365,2))*(1+'Control Room'!$D$9)^363*'Process'!BI365),2),"")</x:f>
      </x:c>
    </x:row>
    <x:row r="366" ht="21" customHeight="1">
      <x:c r="A366" s="15" t="str">
        <x:f>IF(AND(365&lt;='Control Room'!$B$3,'Control Room'!$D$3="Ready"),'Process'!A366,"")</x:f>
      </x:c>
      <x:c r="B366" s="16" t="str">
        <x:f>IF(A366="","",SUM(C366:N366))</x:f>
      </x:c>
      <x:c r="C366" s="16" t="str">
        <x:f>IF(AND(AND(365&lt;='Control Room'!$B$3,'Control Room'!$D$3="Ready"),1&lt;='Control Room'!$B$2),ROUND(MAX(0,'Process'!E366*'Control Room'!$H$4*INDEX('Control Room'!$B$19:$H$19,1,WEEKDAY($A366,2))*(1+'Control Room'!$D$9)^364*'Process'!F366),2),"")</x:f>
      </x:c>
      <x:c r="D366" s="16" t="str">
        <x:f>IF(AND(AND(365&lt;='Control Room'!$B$3,'Control Room'!$D$3="Ready"),2&lt;='Control Room'!$B$2),ROUND(MAX(0,'Process'!J366*'Control Room'!$H$5*INDEX('Control Room'!$B$19:$H$19,1,WEEKDAY($A366,2))*(1+'Control Room'!$D$9)^364*'Process'!K366),2),"")</x:f>
      </x:c>
      <x:c r="E366" s="16" t="str">
        <x:f>IF(AND(AND(365&lt;='Control Room'!$B$3,'Control Room'!$D$3="Ready"),3&lt;='Control Room'!$B$2),ROUND(MAX(0,'Process'!O366*'Control Room'!$H$6*INDEX('Control Room'!$B$19:$H$19,1,WEEKDAY($A366,2))*(1+'Control Room'!$D$9)^364*'Process'!P366),2),"")</x:f>
      </x:c>
      <x:c r="F366" s="16" t="str">
        <x:f>IF(AND(AND(365&lt;='Control Room'!$B$3,'Control Room'!$D$3="Ready"),4&lt;='Control Room'!$B$2),ROUND(MAX(0,'Process'!T366*'Control Room'!$H$7*INDEX('Control Room'!$B$19:$H$19,1,WEEKDAY($A366,2))*(1+'Control Room'!$D$9)^364*'Process'!U366),2),"")</x:f>
      </x:c>
      <x:c r="G366" s="16" t="str">
        <x:f>IF(AND(AND(365&lt;='Control Room'!$B$3,'Control Room'!$D$3="Ready"),5&lt;='Control Room'!$B$2),ROUND(MAX(0,'Process'!Y366*'Control Room'!$H$8*INDEX('Control Room'!$B$19:$H$19,1,WEEKDAY($A366,2))*(1+'Control Room'!$D$9)^364*'Process'!Z366),2),"")</x:f>
      </x:c>
      <x:c r="H366" s="16" t="str">
        <x:f>IF(AND(AND(365&lt;='Control Room'!$B$3,'Control Room'!$D$3="Ready"),6&lt;='Control Room'!$B$2),ROUND(MAX(0,'Process'!AD366*'Control Room'!$H$9*INDEX('Control Room'!$B$19:$H$19,1,WEEKDAY($A366,2))*(1+'Control Room'!$D$9)^364*'Process'!AE366),2),"")</x:f>
      </x:c>
      <x:c r="I366" s="16" t="str">
        <x:f>IF(AND(AND(365&lt;='Control Room'!$B$3,'Control Room'!$D$3="Ready"),7&lt;='Control Room'!$B$2),ROUND(MAX(0,'Process'!AI366*'Control Room'!$H$10*INDEX('Control Room'!$B$19:$H$19,1,WEEKDAY($A366,2))*(1+'Control Room'!$D$9)^364*'Process'!AJ366),2),"")</x:f>
      </x:c>
      <x:c r="J366" s="16" t="str">
        <x:f>IF(AND(AND(365&lt;='Control Room'!$B$3,'Control Room'!$D$3="Ready"),8&lt;='Control Room'!$B$2),ROUND(MAX(0,'Process'!AN366*'Control Room'!$H$11*INDEX('Control Room'!$B$19:$H$19,1,WEEKDAY($A366,2))*(1+'Control Room'!$D$9)^364*'Process'!AO366),2),"")</x:f>
      </x:c>
      <x:c r="K366" s="16" t="str">
        <x:f>IF(AND(AND(365&lt;='Control Room'!$B$3,'Control Room'!$D$3="Ready"),9&lt;='Control Room'!$B$2),ROUND(MAX(0,'Process'!AS366*'Control Room'!$H$12*INDEX('Control Room'!$B$19:$H$19,1,WEEKDAY($A366,2))*(1+'Control Room'!$D$9)^364*'Process'!AT366),2),"")</x:f>
      </x:c>
      <x:c r="L366" s="16" t="str">
        <x:f>IF(AND(AND(365&lt;='Control Room'!$B$3,'Control Room'!$D$3="Ready"),10&lt;='Control Room'!$B$2),ROUND(MAX(0,'Process'!AX366*'Control Room'!$H$13*INDEX('Control Room'!$B$19:$H$19,1,WEEKDAY($A366,2))*(1+'Control Room'!$D$9)^364*'Process'!AY366),2),"")</x:f>
      </x:c>
      <x:c r="M366" s="16" t="str">
        <x:f>IF(AND(AND(365&lt;='Control Room'!$B$3,'Control Room'!$D$3="Ready"),11&lt;='Control Room'!$B$2),ROUND(MAX(0,'Process'!BC366*'Control Room'!$H$14*INDEX('Control Room'!$B$19:$H$19,1,WEEKDAY($A366,2))*(1+'Control Room'!$D$9)^364*'Process'!BD366),2),"")</x:f>
      </x:c>
      <x:c r="N366" s="16" t="str">
        <x:f>IF(AND(AND(365&lt;='Control Room'!$B$3,'Control Room'!$D$3="Ready"),12&lt;='Control Room'!$B$2),ROUND(MAX(0,'Process'!BH366*'Control Room'!$H$15*INDEX('Control Room'!$B$19:$H$19,1,WEEKDAY($A366,2))*(1+'Control Room'!$D$9)^364*'Process'!BI366),2),"")</x:f>
      </x:c>
    </x:row>
    <x:row r="367" ht="21" customHeight="1">
      <x:c r="A367" s="15" t="str">
        <x:f>IF(AND(366&lt;='Control Room'!$B$3,'Control Room'!$D$3="Ready"),'Process'!A367,"")</x:f>
      </x:c>
      <x:c r="B367" s="16" t="str">
        <x:f>IF(A367="","",SUM(C367:N367))</x:f>
      </x:c>
      <x:c r="C367" s="16" t="str">
        <x:f>IF(AND(AND(366&lt;='Control Room'!$B$3,'Control Room'!$D$3="Ready"),1&lt;='Control Room'!$B$2),ROUND(MAX(0,'Process'!E367*'Control Room'!$H$4*INDEX('Control Room'!$B$19:$H$19,1,WEEKDAY($A367,2))*(1+'Control Room'!$D$9)^365*'Process'!F367),2),"")</x:f>
      </x:c>
      <x:c r="D367" s="16" t="str">
        <x:f>IF(AND(AND(366&lt;='Control Room'!$B$3,'Control Room'!$D$3="Ready"),2&lt;='Control Room'!$B$2),ROUND(MAX(0,'Process'!J367*'Control Room'!$H$5*INDEX('Control Room'!$B$19:$H$19,1,WEEKDAY($A367,2))*(1+'Control Room'!$D$9)^365*'Process'!K367),2),"")</x:f>
      </x:c>
      <x:c r="E367" s="16" t="str">
        <x:f>IF(AND(AND(366&lt;='Control Room'!$B$3,'Control Room'!$D$3="Ready"),3&lt;='Control Room'!$B$2),ROUND(MAX(0,'Process'!O367*'Control Room'!$H$6*INDEX('Control Room'!$B$19:$H$19,1,WEEKDAY($A367,2))*(1+'Control Room'!$D$9)^365*'Process'!P367),2),"")</x:f>
      </x:c>
      <x:c r="F367" s="16" t="str">
        <x:f>IF(AND(AND(366&lt;='Control Room'!$B$3,'Control Room'!$D$3="Ready"),4&lt;='Control Room'!$B$2),ROUND(MAX(0,'Process'!T367*'Control Room'!$H$7*INDEX('Control Room'!$B$19:$H$19,1,WEEKDAY($A367,2))*(1+'Control Room'!$D$9)^365*'Process'!U367),2),"")</x:f>
      </x:c>
      <x:c r="G367" s="16" t="str">
        <x:f>IF(AND(AND(366&lt;='Control Room'!$B$3,'Control Room'!$D$3="Ready"),5&lt;='Control Room'!$B$2),ROUND(MAX(0,'Process'!Y367*'Control Room'!$H$8*INDEX('Control Room'!$B$19:$H$19,1,WEEKDAY($A367,2))*(1+'Control Room'!$D$9)^365*'Process'!Z367),2),"")</x:f>
      </x:c>
      <x:c r="H367" s="16" t="str">
        <x:f>IF(AND(AND(366&lt;='Control Room'!$B$3,'Control Room'!$D$3="Ready"),6&lt;='Control Room'!$B$2),ROUND(MAX(0,'Process'!AD367*'Control Room'!$H$9*INDEX('Control Room'!$B$19:$H$19,1,WEEKDAY($A367,2))*(1+'Control Room'!$D$9)^365*'Process'!AE367),2),"")</x:f>
      </x:c>
      <x:c r="I367" s="16" t="str">
        <x:f>IF(AND(AND(366&lt;='Control Room'!$B$3,'Control Room'!$D$3="Ready"),7&lt;='Control Room'!$B$2),ROUND(MAX(0,'Process'!AI367*'Control Room'!$H$10*INDEX('Control Room'!$B$19:$H$19,1,WEEKDAY($A367,2))*(1+'Control Room'!$D$9)^365*'Process'!AJ367),2),"")</x:f>
      </x:c>
      <x:c r="J367" s="16" t="str">
        <x:f>IF(AND(AND(366&lt;='Control Room'!$B$3,'Control Room'!$D$3="Ready"),8&lt;='Control Room'!$B$2),ROUND(MAX(0,'Process'!AN367*'Control Room'!$H$11*INDEX('Control Room'!$B$19:$H$19,1,WEEKDAY($A367,2))*(1+'Control Room'!$D$9)^365*'Process'!AO367),2),"")</x:f>
      </x:c>
      <x:c r="K367" s="16" t="str">
        <x:f>IF(AND(AND(366&lt;='Control Room'!$B$3,'Control Room'!$D$3="Ready"),9&lt;='Control Room'!$B$2),ROUND(MAX(0,'Process'!AS367*'Control Room'!$H$12*INDEX('Control Room'!$B$19:$H$19,1,WEEKDAY($A367,2))*(1+'Control Room'!$D$9)^365*'Process'!AT367),2),"")</x:f>
      </x:c>
      <x:c r="L367" s="16" t="str">
        <x:f>IF(AND(AND(366&lt;='Control Room'!$B$3,'Control Room'!$D$3="Ready"),10&lt;='Control Room'!$B$2),ROUND(MAX(0,'Process'!AX367*'Control Room'!$H$13*INDEX('Control Room'!$B$19:$H$19,1,WEEKDAY($A367,2))*(1+'Control Room'!$D$9)^365*'Process'!AY367),2),"")</x:f>
      </x:c>
      <x:c r="M367" s="16" t="str">
        <x:f>IF(AND(AND(366&lt;='Control Room'!$B$3,'Control Room'!$D$3="Ready"),11&lt;='Control Room'!$B$2),ROUND(MAX(0,'Process'!BC367*'Control Room'!$H$14*INDEX('Control Room'!$B$19:$H$19,1,WEEKDAY($A367,2))*(1+'Control Room'!$D$9)^365*'Process'!BD367),2),"")</x:f>
      </x:c>
      <x:c r="N367" s="16" t="str">
        <x:f>IF(AND(AND(366&lt;='Control Room'!$B$3,'Control Room'!$D$3="Ready"),12&lt;='Control Room'!$B$2),ROUND(MAX(0,'Process'!BH367*'Control Room'!$H$15*INDEX('Control Room'!$B$19:$H$19,1,WEEKDAY($A367,2))*(1+'Control Room'!$D$9)^365*'Process'!BI367),2),"")</x:f>
      </x:c>
    </x:row>
    <x:row r="368" ht="21" customHeight="1">
      <x:c r="A368" s="15" t="str">
        <x:f>IF(AND(367&lt;='Control Room'!$B$3,'Control Room'!$D$3="Ready"),'Process'!A368,"")</x:f>
      </x:c>
      <x:c r="B368" s="16" t="str">
        <x:f>IF(A368="","",SUM(C368:N368))</x:f>
      </x:c>
      <x:c r="C368" s="16" t="str">
        <x:f>IF(AND(AND(367&lt;='Control Room'!$B$3,'Control Room'!$D$3="Ready"),1&lt;='Control Room'!$B$2),ROUND(MAX(0,'Process'!E368*'Control Room'!$H$4*INDEX('Control Room'!$B$19:$H$19,1,WEEKDAY($A368,2))*(1+'Control Room'!$D$9)^366*'Process'!F368),2),"")</x:f>
      </x:c>
      <x:c r="D368" s="16" t="str">
        <x:f>IF(AND(AND(367&lt;='Control Room'!$B$3,'Control Room'!$D$3="Ready"),2&lt;='Control Room'!$B$2),ROUND(MAX(0,'Process'!J368*'Control Room'!$H$5*INDEX('Control Room'!$B$19:$H$19,1,WEEKDAY($A368,2))*(1+'Control Room'!$D$9)^366*'Process'!K368),2),"")</x:f>
      </x:c>
      <x:c r="E368" s="16" t="str">
        <x:f>IF(AND(AND(367&lt;='Control Room'!$B$3,'Control Room'!$D$3="Ready"),3&lt;='Control Room'!$B$2),ROUND(MAX(0,'Process'!O368*'Control Room'!$H$6*INDEX('Control Room'!$B$19:$H$19,1,WEEKDAY($A368,2))*(1+'Control Room'!$D$9)^366*'Process'!P368),2),"")</x:f>
      </x:c>
      <x:c r="F368" s="16" t="str">
        <x:f>IF(AND(AND(367&lt;='Control Room'!$B$3,'Control Room'!$D$3="Ready"),4&lt;='Control Room'!$B$2),ROUND(MAX(0,'Process'!T368*'Control Room'!$H$7*INDEX('Control Room'!$B$19:$H$19,1,WEEKDAY($A368,2))*(1+'Control Room'!$D$9)^366*'Process'!U368),2),"")</x:f>
      </x:c>
      <x:c r="G368" s="16" t="str">
        <x:f>IF(AND(AND(367&lt;='Control Room'!$B$3,'Control Room'!$D$3="Ready"),5&lt;='Control Room'!$B$2),ROUND(MAX(0,'Process'!Y368*'Control Room'!$H$8*INDEX('Control Room'!$B$19:$H$19,1,WEEKDAY($A368,2))*(1+'Control Room'!$D$9)^366*'Process'!Z368),2),"")</x:f>
      </x:c>
      <x:c r="H368" s="16" t="str">
        <x:f>IF(AND(AND(367&lt;='Control Room'!$B$3,'Control Room'!$D$3="Ready"),6&lt;='Control Room'!$B$2),ROUND(MAX(0,'Process'!AD368*'Control Room'!$H$9*INDEX('Control Room'!$B$19:$H$19,1,WEEKDAY($A368,2))*(1+'Control Room'!$D$9)^366*'Process'!AE368),2),"")</x:f>
      </x:c>
      <x:c r="I368" s="16" t="str">
        <x:f>IF(AND(AND(367&lt;='Control Room'!$B$3,'Control Room'!$D$3="Ready"),7&lt;='Control Room'!$B$2),ROUND(MAX(0,'Process'!AI368*'Control Room'!$H$10*INDEX('Control Room'!$B$19:$H$19,1,WEEKDAY($A368,2))*(1+'Control Room'!$D$9)^366*'Process'!AJ368),2),"")</x:f>
      </x:c>
      <x:c r="J368" s="16" t="str">
        <x:f>IF(AND(AND(367&lt;='Control Room'!$B$3,'Control Room'!$D$3="Ready"),8&lt;='Control Room'!$B$2),ROUND(MAX(0,'Process'!AN368*'Control Room'!$H$11*INDEX('Control Room'!$B$19:$H$19,1,WEEKDAY($A368,2))*(1+'Control Room'!$D$9)^366*'Process'!AO368),2),"")</x:f>
      </x:c>
      <x:c r="K368" s="16" t="str">
        <x:f>IF(AND(AND(367&lt;='Control Room'!$B$3,'Control Room'!$D$3="Ready"),9&lt;='Control Room'!$B$2),ROUND(MAX(0,'Process'!AS368*'Control Room'!$H$12*INDEX('Control Room'!$B$19:$H$19,1,WEEKDAY($A368,2))*(1+'Control Room'!$D$9)^366*'Process'!AT368),2),"")</x:f>
      </x:c>
      <x:c r="L368" s="16" t="str">
        <x:f>IF(AND(AND(367&lt;='Control Room'!$B$3,'Control Room'!$D$3="Ready"),10&lt;='Control Room'!$B$2),ROUND(MAX(0,'Process'!AX368*'Control Room'!$H$13*INDEX('Control Room'!$B$19:$H$19,1,WEEKDAY($A368,2))*(1+'Control Room'!$D$9)^366*'Process'!AY368),2),"")</x:f>
      </x:c>
      <x:c r="M368" s="16" t="str">
        <x:f>IF(AND(AND(367&lt;='Control Room'!$B$3,'Control Room'!$D$3="Ready"),11&lt;='Control Room'!$B$2),ROUND(MAX(0,'Process'!BC368*'Control Room'!$H$14*INDEX('Control Room'!$B$19:$H$19,1,WEEKDAY($A368,2))*(1+'Control Room'!$D$9)^366*'Process'!BD368),2),"")</x:f>
      </x:c>
      <x:c r="N368" s="16" t="str">
        <x:f>IF(AND(AND(367&lt;='Control Room'!$B$3,'Control Room'!$D$3="Ready"),12&lt;='Control Room'!$B$2),ROUND(MAX(0,'Process'!BH368*'Control Room'!$H$15*INDEX('Control Room'!$B$19:$H$19,1,WEEKDAY($A368,2))*(1+'Control Room'!$D$9)^366*'Process'!BI368),2),"")</x:f>
      </x:c>
    </x:row>
    <x:row r="369" ht="21" customHeight="1">
      <x:c r="A369" s="15" t="str">
        <x:f>IF(AND(368&lt;='Control Room'!$B$3,'Control Room'!$D$3="Ready"),'Process'!A369,"")</x:f>
      </x:c>
      <x:c r="B369" s="16" t="str">
        <x:f>IF(A369="","",SUM(C369:N369))</x:f>
      </x:c>
      <x:c r="C369" s="16" t="str">
        <x:f>IF(AND(AND(368&lt;='Control Room'!$B$3,'Control Room'!$D$3="Ready"),1&lt;='Control Room'!$B$2),ROUND(MAX(0,'Process'!E369*'Control Room'!$H$4*INDEX('Control Room'!$B$19:$H$19,1,WEEKDAY($A369,2))*(1+'Control Room'!$D$9)^367*'Process'!F369),2),"")</x:f>
      </x:c>
      <x:c r="D369" s="16" t="str">
        <x:f>IF(AND(AND(368&lt;='Control Room'!$B$3,'Control Room'!$D$3="Ready"),2&lt;='Control Room'!$B$2),ROUND(MAX(0,'Process'!J369*'Control Room'!$H$5*INDEX('Control Room'!$B$19:$H$19,1,WEEKDAY($A369,2))*(1+'Control Room'!$D$9)^367*'Process'!K369),2),"")</x:f>
      </x:c>
      <x:c r="E369" s="16" t="str">
        <x:f>IF(AND(AND(368&lt;='Control Room'!$B$3,'Control Room'!$D$3="Ready"),3&lt;='Control Room'!$B$2),ROUND(MAX(0,'Process'!O369*'Control Room'!$H$6*INDEX('Control Room'!$B$19:$H$19,1,WEEKDAY($A369,2))*(1+'Control Room'!$D$9)^367*'Process'!P369),2),"")</x:f>
      </x:c>
      <x:c r="F369" s="16" t="str">
        <x:f>IF(AND(AND(368&lt;='Control Room'!$B$3,'Control Room'!$D$3="Ready"),4&lt;='Control Room'!$B$2),ROUND(MAX(0,'Process'!T369*'Control Room'!$H$7*INDEX('Control Room'!$B$19:$H$19,1,WEEKDAY($A369,2))*(1+'Control Room'!$D$9)^367*'Process'!U369),2),"")</x:f>
      </x:c>
      <x:c r="G369" s="16" t="str">
        <x:f>IF(AND(AND(368&lt;='Control Room'!$B$3,'Control Room'!$D$3="Ready"),5&lt;='Control Room'!$B$2),ROUND(MAX(0,'Process'!Y369*'Control Room'!$H$8*INDEX('Control Room'!$B$19:$H$19,1,WEEKDAY($A369,2))*(1+'Control Room'!$D$9)^367*'Process'!Z369),2),"")</x:f>
      </x:c>
      <x:c r="H369" s="16" t="str">
        <x:f>IF(AND(AND(368&lt;='Control Room'!$B$3,'Control Room'!$D$3="Ready"),6&lt;='Control Room'!$B$2),ROUND(MAX(0,'Process'!AD369*'Control Room'!$H$9*INDEX('Control Room'!$B$19:$H$19,1,WEEKDAY($A369,2))*(1+'Control Room'!$D$9)^367*'Process'!AE369),2),"")</x:f>
      </x:c>
      <x:c r="I369" s="16" t="str">
        <x:f>IF(AND(AND(368&lt;='Control Room'!$B$3,'Control Room'!$D$3="Ready"),7&lt;='Control Room'!$B$2),ROUND(MAX(0,'Process'!AI369*'Control Room'!$H$10*INDEX('Control Room'!$B$19:$H$19,1,WEEKDAY($A369,2))*(1+'Control Room'!$D$9)^367*'Process'!AJ369),2),"")</x:f>
      </x:c>
      <x:c r="J369" s="16" t="str">
        <x:f>IF(AND(AND(368&lt;='Control Room'!$B$3,'Control Room'!$D$3="Ready"),8&lt;='Control Room'!$B$2),ROUND(MAX(0,'Process'!AN369*'Control Room'!$H$11*INDEX('Control Room'!$B$19:$H$19,1,WEEKDAY($A369,2))*(1+'Control Room'!$D$9)^367*'Process'!AO369),2),"")</x:f>
      </x:c>
      <x:c r="K369" s="16" t="str">
        <x:f>IF(AND(AND(368&lt;='Control Room'!$B$3,'Control Room'!$D$3="Ready"),9&lt;='Control Room'!$B$2),ROUND(MAX(0,'Process'!AS369*'Control Room'!$H$12*INDEX('Control Room'!$B$19:$H$19,1,WEEKDAY($A369,2))*(1+'Control Room'!$D$9)^367*'Process'!AT369),2),"")</x:f>
      </x:c>
      <x:c r="L369" s="16" t="str">
        <x:f>IF(AND(AND(368&lt;='Control Room'!$B$3,'Control Room'!$D$3="Ready"),10&lt;='Control Room'!$B$2),ROUND(MAX(0,'Process'!AX369*'Control Room'!$H$13*INDEX('Control Room'!$B$19:$H$19,1,WEEKDAY($A369,2))*(1+'Control Room'!$D$9)^367*'Process'!AY369),2),"")</x:f>
      </x:c>
      <x:c r="M369" s="16" t="str">
        <x:f>IF(AND(AND(368&lt;='Control Room'!$B$3,'Control Room'!$D$3="Ready"),11&lt;='Control Room'!$B$2),ROUND(MAX(0,'Process'!BC369*'Control Room'!$H$14*INDEX('Control Room'!$B$19:$H$19,1,WEEKDAY($A369,2))*(1+'Control Room'!$D$9)^367*'Process'!BD369),2),"")</x:f>
      </x:c>
      <x:c r="N369" s="16" t="str">
        <x:f>IF(AND(AND(368&lt;='Control Room'!$B$3,'Control Room'!$D$3="Ready"),12&lt;='Control Room'!$B$2),ROUND(MAX(0,'Process'!BH369*'Control Room'!$H$15*INDEX('Control Room'!$B$19:$H$19,1,WEEKDAY($A369,2))*(1+'Control Room'!$D$9)^367*'Process'!BI369),2),"")</x:f>
      </x:c>
    </x:row>
    <x:row r="370" ht="21" customHeight="1">
      <x:c r="A370" s="15" t="str">
        <x:f>IF(AND(369&lt;='Control Room'!$B$3,'Control Room'!$D$3="Ready"),'Process'!A370,"")</x:f>
      </x:c>
      <x:c r="B370" s="16" t="str">
        <x:f>IF(A370="","",SUM(C370:N370))</x:f>
      </x:c>
      <x:c r="C370" s="16" t="str">
        <x:f>IF(AND(AND(369&lt;='Control Room'!$B$3,'Control Room'!$D$3="Ready"),1&lt;='Control Room'!$B$2),ROUND(MAX(0,'Process'!E370*'Control Room'!$H$4*INDEX('Control Room'!$B$19:$H$19,1,WEEKDAY($A370,2))*(1+'Control Room'!$D$9)^368*'Process'!F370),2),"")</x:f>
      </x:c>
      <x:c r="D370" s="16" t="str">
        <x:f>IF(AND(AND(369&lt;='Control Room'!$B$3,'Control Room'!$D$3="Ready"),2&lt;='Control Room'!$B$2),ROUND(MAX(0,'Process'!J370*'Control Room'!$H$5*INDEX('Control Room'!$B$19:$H$19,1,WEEKDAY($A370,2))*(1+'Control Room'!$D$9)^368*'Process'!K370),2),"")</x:f>
      </x:c>
      <x:c r="E370" s="16" t="str">
        <x:f>IF(AND(AND(369&lt;='Control Room'!$B$3,'Control Room'!$D$3="Ready"),3&lt;='Control Room'!$B$2),ROUND(MAX(0,'Process'!O370*'Control Room'!$H$6*INDEX('Control Room'!$B$19:$H$19,1,WEEKDAY($A370,2))*(1+'Control Room'!$D$9)^368*'Process'!P370),2),"")</x:f>
      </x:c>
      <x:c r="F370" s="16" t="str">
        <x:f>IF(AND(AND(369&lt;='Control Room'!$B$3,'Control Room'!$D$3="Ready"),4&lt;='Control Room'!$B$2),ROUND(MAX(0,'Process'!T370*'Control Room'!$H$7*INDEX('Control Room'!$B$19:$H$19,1,WEEKDAY($A370,2))*(1+'Control Room'!$D$9)^368*'Process'!U370),2),"")</x:f>
      </x:c>
      <x:c r="G370" s="16" t="str">
        <x:f>IF(AND(AND(369&lt;='Control Room'!$B$3,'Control Room'!$D$3="Ready"),5&lt;='Control Room'!$B$2),ROUND(MAX(0,'Process'!Y370*'Control Room'!$H$8*INDEX('Control Room'!$B$19:$H$19,1,WEEKDAY($A370,2))*(1+'Control Room'!$D$9)^368*'Process'!Z370),2),"")</x:f>
      </x:c>
      <x:c r="H370" s="16" t="str">
        <x:f>IF(AND(AND(369&lt;='Control Room'!$B$3,'Control Room'!$D$3="Ready"),6&lt;='Control Room'!$B$2),ROUND(MAX(0,'Process'!AD370*'Control Room'!$H$9*INDEX('Control Room'!$B$19:$H$19,1,WEEKDAY($A370,2))*(1+'Control Room'!$D$9)^368*'Process'!AE370),2),"")</x:f>
      </x:c>
      <x:c r="I370" s="16" t="str">
        <x:f>IF(AND(AND(369&lt;='Control Room'!$B$3,'Control Room'!$D$3="Ready"),7&lt;='Control Room'!$B$2),ROUND(MAX(0,'Process'!AI370*'Control Room'!$H$10*INDEX('Control Room'!$B$19:$H$19,1,WEEKDAY($A370,2))*(1+'Control Room'!$D$9)^368*'Process'!AJ370),2),"")</x:f>
      </x:c>
      <x:c r="J370" s="16" t="str">
        <x:f>IF(AND(AND(369&lt;='Control Room'!$B$3,'Control Room'!$D$3="Ready"),8&lt;='Control Room'!$B$2),ROUND(MAX(0,'Process'!AN370*'Control Room'!$H$11*INDEX('Control Room'!$B$19:$H$19,1,WEEKDAY($A370,2))*(1+'Control Room'!$D$9)^368*'Process'!AO370),2),"")</x:f>
      </x:c>
      <x:c r="K370" s="16" t="str">
        <x:f>IF(AND(AND(369&lt;='Control Room'!$B$3,'Control Room'!$D$3="Ready"),9&lt;='Control Room'!$B$2),ROUND(MAX(0,'Process'!AS370*'Control Room'!$H$12*INDEX('Control Room'!$B$19:$H$19,1,WEEKDAY($A370,2))*(1+'Control Room'!$D$9)^368*'Process'!AT370),2),"")</x:f>
      </x:c>
      <x:c r="L370" s="16" t="str">
        <x:f>IF(AND(AND(369&lt;='Control Room'!$B$3,'Control Room'!$D$3="Ready"),10&lt;='Control Room'!$B$2),ROUND(MAX(0,'Process'!AX370*'Control Room'!$H$13*INDEX('Control Room'!$B$19:$H$19,1,WEEKDAY($A370,2))*(1+'Control Room'!$D$9)^368*'Process'!AY370),2),"")</x:f>
      </x:c>
      <x:c r="M370" s="16" t="str">
        <x:f>IF(AND(AND(369&lt;='Control Room'!$B$3,'Control Room'!$D$3="Ready"),11&lt;='Control Room'!$B$2),ROUND(MAX(0,'Process'!BC370*'Control Room'!$H$14*INDEX('Control Room'!$B$19:$H$19,1,WEEKDAY($A370,2))*(1+'Control Room'!$D$9)^368*'Process'!BD370),2),"")</x:f>
      </x:c>
      <x:c r="N370" s="16" t="str">
        <x:f>IF(AND(AND(369&lt;='Control Room'!$B$3,'Control Room'!$D$3="Ready"),12&lt;='Control Room'!$B$2),ROUND(MAX(0,'Process'!BH370*'Control Room'!$H$15*INDEX('Control Room'!$B$19:$H$19,1,WEEKDAY($A370,2))*(1+'Control Room'!$D$9)^368*'Process'!BI370),2),"")</x:f>
      </x:c>
    </x:row>
    <x:row r="371" ht="21" customHeight="1">
      <x:c r="A371" s="15" t="str">
        <x:f>IF(AND(370&lt;='Control Room'!$B$3,'Control Room'!$D$3="Ready"),'Process'!A371,"")</x:f>
      </x:c>
      <x:c r="B371" s="16" t="str">
        <x:f>IF(A371="","",SUM(C371:N371))</x:f>
      </x:c>
      <x:c r="C371" s="16" t="str">
        <x:f>IF(AND(AND(370&lt;='Control Room'!$B$3,'Control Room'!$D$3="Ready"),1&lt;='Control Room'!$B$2),ROUND(MAX(0,'Process'!E371*'Control Room'!$H$4*INDEX('Control Room'!$B$19:$H$19,1,WEEKDAY($A371,2))*(1+'Control Room'!$D$9)^369*'Process'!F371),2),"")</x:f>
      </x:c>
      <x:c r="D371" s="16" t="str">
        <x:f>IF(AND(AND(370&lt;='Control Room'!$B$3,'Control Room'!$D$3="Ready"),2&lt;='Control Room'!$B$2),ROUND(MAX(0,'Process'!J371*'Control Room'!$H$5*INDEX('Control Room'!$B$19:$H$19,1,WEEKDAY($A371,2))*(1+'Control Room'!$D$9)^369*'Process'!K371),2),"")</x:f>
      </x:c>
      <x:c r="E371" s="16" t="str">
        <x:f>IF(AND(AND(370&lt;='Control Room'!$B$3,'Control Room'!$D$3="Ready"),3&lt;='Control Room'!$B$2),ROUND(MAX(0,'Process'!O371*'Control Room'!$H$6*INDEX('Control Room'!$B$19:$H$19,1,WEEKDAY($A371,2))*(1+'Control Room'!$D$9)^369*'Process'!P371),2),"")</x:f>
      </x:c>
      <x:c r="F371" s="16" t="str">
        <x:f>IF(AND(AND(370&lt;='Control Room'!$B$3,'Control Room'!$D$3="Ready"),4&lt;='Control Room'!$B$2),ROUND(MAX(0,'Process'!T371*'Control Room'!$H$7*INDEX('Control Room'!$B$19:$H$19,1,WEEKDAY($A371,2))*(1+'Control Room'!$D$9)^369*'Process'!U371),2),"")</x:f>
      </x:c>
      <x:c r="G371" s="16" t="str">
        <x:f>IF(AND(AND(370&lt;='Control Room'!$B$3,'Control Room'!$D$3="Ready"),5&lt;='Control Room'!$B$2),ROUND(MAX(0,'Process'!Y371*'Control Room'!$H$8*INDEX('Control Room'!$B$19:$H$19,1,WEEKDAY($A371,2))*(1+'Control Room'!$D$9)^369*'Process'!Z371),2),"")</x:f>
      </x:c>
      <x:c r="H371" s="16" t="str">
        <x:f>IF(AND(AND(370&lt;='Control Room'!$B$3,'Control Room'!$D$3="Ready"),6&lt;='Control Room'!$B$2),ROUND(MAX(0,'Process'!AD371*'Control Room'!$H$9*INDEX('Control Room'!$B$19:$H$19,1,WEEKDAY($A371,2))*(1+'Control Room'!$D$9)^369*'Process'!AE371),2),"")</x:f>
      </x:c>
      <x:c r="I371" s="16" t="str">
        <x:f>IF(AND(AND(370&lt;='Control Room'!$B$3,'Control Room'!$D$3="Ready"),7&lt;='Control Room'!$B$2),ROUND(MAX(0,'Process'!AI371*'Control Room'!$H$10*INDEX('Control Room'!$B$19:$H$19,1,WEEKDAY($A371,2))*(1+'Control Room'!$D$9)^369*'Process'!AJ371),2),"")</x:f>
      </x:c>
      <x:c r="J371" s="16" t="str">
        <x:f>IF(AND(AND(370&lt;='Control Room'!$B$3,'Control Room'!$D$3="Ready"),8&lt;='Control Room'!$B$2),ROUND(MAX(0,'Process'!AN371*'Control Room'!$H$11*INDEX('Control Room'!$B$19:$H$19,1,WEEKDAY($A371,2))*(1+'Control Room'!$D$9)^369*'Process'!AO371),2),"")</x:f>
      </x:c>
      <x:c r="K371" s="16" t="str">
        <x:f>IF(AND(AND(370&lt;='Control Room'!$B$3,'Control Room'!$D$3="Ready"),9&lt;='Control Room'!$B$2),ROUND(MAX(0,'Process'!AS371*'Control Room'!$H$12*INDEX('Control Room'!$B$19:$H$19,1,WEEKDAY($A371,2))*(1+'Control Room'!$D$9)^369*'Process'!AT371),2),"")</x:f>
      </x:c>
      <x:c r="L371" s="16" t="str">
        <x:f>IF(AND(AND(370&lt;='Control Room'!$B$3,'Control Room'!$D$3="Ready"),10&lt;='Control Room'!$B$2),ROUND(MAX(0,'Process'!AX371*'Control Room'!$H$13*INDEX('Control Room'!$B$19:$H$19,1,WEEKDAY($A371,2))*(1+'Control Room'!$D$9)^369*'Process'!AY371),2),"")</x:f>
      </x:c>
      <x:c r="M371" s="16" t="str">
        <x:f>IF(AND(AND(370&lt;='Control Room'!$B$3,'Control Room'!$D$3="Ready"),11&lt;='Control Room'!$B$2),ROUND(MAX(0,'Process'!BC371*'Control Room'!$H$14*INDEX('Control Room'!$B$19:$H$19,1,WEEKDAY($A371,2))*(1+'Control Room'!$D$9)^369*'Process'!BD371),2),"")</x:f>
      </x:c>
      <x:c r="N371" s="16" t="str">
        <x:f>IF(AND(AND(370&lt;='Control Room'!$B$3,'Control Room'!$D$3="Ready"),12&lt;='Control Room'!$B$2),ROUND(MAX(0,'Process'!BH371*'Control Room'!$H$15*INDEX('Control Room'!$B$19:$H$19,1,WEEKDAY($A371,2))*(1+'Control Room'!$D$9)^369*'Process'!BI371),2),"")</x:f>
      </x:c>
    </x:row>
    <x:row r="372" ht="21" customHeight="1">
      <x:c r="A372" s="15" t="str">
        <x:f>IF(AND(371&lt;='Control Room'!$B$3,'Control Room'!$D$3="Ready"),'Process'!A372,"")</x:f>
      </x:c>
      <x:c r="B372" s="16" t="str">
        <x:f>IF(A372="","",SUM(C372:N372))</x:f>
      </x:c>
      <x:c r="C372" s="16" t="str">
        <x:f>IF(AND(AND(371&lt;='Control Room'!$B$3,'Control Room'!$D$3="Ready"),1&lt;='Control Room'!$B$2),ROUND(MAX(0,'Process'!E372*'Control Room'!$H$4*INDEX('Control Room'!$B$19:$H$19,1,WEEKDAY($A372,2))*(1+'Control Room'!$D$9)^370*'Process'!F372),2),"")</x:f>
      </x:c>
      <x:c r="D372" s="16" t="str">
        <x:f>IF(AND(AND(371&lt;='Control Room'!$B$3,'Control Room'!$D$3="Ready"),2&lt;='Control Room'!$B$2),ROUND(MAX(0,'Process'!J372*'Control Room'!$H$5*INDEX('Control Room'!$B$19:$H$19,1,WEEKDAY($A372,2))*(1+'Control Room'!$D$9)^370*'Process'!K372),2),"")</x:f>
      </x:c>
      <x:c r="E372" s="16" t="str">
        <x:f>IF(AND(AND(371&lt;='Control Room'!$B$3,'Control Room'!$D$3="Ready"),3&lt;='Control Room'!$B$2),ROUND(MAX(0,'Process'!O372*'Control Room'!$H$6*INDEX('Control Room'!$B$19:$H$19,1,WEEKDAY($A372,2))*(1+'Control Room'!$D$9)^370*'Process'!P372),2),"")</x:f>
      </x:c>
      <x:c r="F372" s="16" t="str">
        <x:f>IF(AND(AND(371&lt;='Control Room'!$B$3,'Control Room'!$D$3="Ready"),4&lt;='Control Room'!$B$2),ROUND(MAX(0,'Process'!T372*'Control Room'!$H$7*INDEX('Control Room'!$B$19:$H$19,1,WEEKDAY($A372,2))*(1+'Control Room'!$D$9)^370*'Process'!U372),2),"")</x:f>
      </x:c>
      <x:c r="G372" s="16" t="str">
        <x:f>IF(AND(AND(371&lt;='Control Room'!$B$3,'Control Room'!$D$3="Ready"),5&lt;='Control Room'!$B$2),ROUND(MAX(0,'Process'!Y372*'Control Room'!$H$8*INDEX('Control Room'!$B$19:$H$19,1,WEEKDAY($A372,2))*(1+'Control Room'!$D$9)^370*'Process'!Z372),2),"")</x:f>
      </x:c>
      <x:c r="H372" s="16" t="str">
        <x:f>IF(AND(AND(371&lt;='Control Room'!$B$3,'Control Room'!$D$3="Ready"),6&lt;='Control Room'!$B$2),ROUND(MAX(0,'Process'!AD372*'Control Room'!$H$9*INDEX('Control Room'!$B$19:$H$19,1,WEEKDAY($A372,2))*(1+'Control Room'!$D$9)^370*'Process'!AE372),2),"")</x:f>
      </x:c>
      <x:c r="I372" s="16" t="str">
        <x:f>IF(AND(AND(371&lt;='Control Room'!$B$3,'Control Room'!$D$3="Ready"),7&lt;='Control Room'!$B$2),ROUND(MAX(0,'Process'!AI372*'Control Room'!$H$10*INDEX('Control Room'!$B$19:$H$19,1,WEEKDAY($A372,2))*(1+'Control Room'!$D$9)^370*'Process'!AJ372),2),"")</x:f>
      </x:c>
      <x:c r="J372" s="16" t="str">
        <x:f>IF(AND(AND(371&lt;='Control Room'!$B$3,'Control Room'!$D$3="Ready"),8&lt;='Control Room'!$B$2),ROUND(MAX(0,'Process'!AN372*'Control Room'!$H$11*INDEX('Control Room'!$B$19:$H$19,1,WEEKDAY($A372,2))*(1+'Control Room'!$D$9)^370*'Process'!AO372),2),"")</x:f>
      </x:c>
      <x:c r="K372" s="16" t="str">
        <x:f>IF(AND(AND(371&lt;='Control Room'!$B$3,'Control Room'!$D$3="Ready"),9&lt;='Control Room'!$B$2),ROUND(MAX(0,'Process'!AS372*'Control Room'!$H$12*INDEX('Control Room'!$B$19:$H$19,1,WEEKDAY($A372,2))*(1+'Control Room'!$D$9)^370*'Process'!AT372),2),"")</x:f>
      </x:c>
      <x:c r="L372" s="16" t="str">
        <x:f>IF(AND(AND(371&lt;='Control Room'!$B$3,'Control Room'!$D$3="Ready"),10&lt;='Control Room'!$B$2),ROUND(MAX(0,'Process'!AX372*'Control Room'!$H$13*INDEX('Control Room'!$B$19:$H$19,1,WEEKDAY($A372,2))*(1+'Control Room'!$D$9)^370*'Process'!AY372),2),"")</x:f>
      </x:c>
      <x:c r="M372" s="16" t="str">
        <x:f>IF(AND(AND(371&lt;='Control Room'!$B$3,'Control Room'!$D$3="Ready"),11&lt;='Control Room'!$B$2),ROUND(MAX(0,'Process'!BC372*'Control Room'!$H$14*INDEX('Control Room'!$B$19:$H$19,1,WEEKDAY($A372,2))*(1+'Control Room'!$D$9)^370*'Process'!BD372),2),"")</x:f>
      </x:c>
      <x:c r="N372" s="16" t="str">
        <x:f>IF(AND(AND(371&lt;='Control Room'!$B$3,'Control Room'!$D$3="Ready"),12&lt;='Control Room'!$B$2),ROUND(MAX(0,'Process'!BH372*'Control Room'!$H$15*INDEX('Control Room'!$B$19:$H$19,1,WEEKDAY($A372,2))*(1+'Control Room'!$D$9)^370*'Process'!BI372),2),"")</x:f>
      </x:c>
    </x:row>
    <x:row r="373" ht="21" customHeight="1">
      <x:c r="A373" s="15" t="str">
        <x:f>IF(AND(372&lt;='Control Room'!$B$3,'Control Room'!$D$3="Ready"),'Process'!A373,"")</x:f>
      </x:c>
      <x:c r="B373" s="16" t="str">
        <x:f>IF(A373="","",SUM(C373:N373))</x:f>
      </x:c>
      <x:c r="C373" s="16" t="str">
        <x:f>IF(AND(AND(372&lt;='Control Room'!$B$3,'Control Room'!$D$3="Ready"),1&lt;='Control Room'!$B$2),ROUND(MAX(0,'Process'!E373*'Control Room'!$H$4*INDEX('Control Room'!$B$19:$H$19,1,WEEKDAY($A373,2))*(1+'Control Room'!$D$9)^371*'Process'!F373),2),"")</x:f>
      </x:c>
      <x:c r="D373" s="16" t="str">
        <x:f>IF(AND(AND(372&lt;='Control Room'!$B$3,'Control Room'!$D$3="Ready"),2&lt;='Control Room'!$B$2),ROUND(MAX(0,'Process'!J373*'Control Room'!$H$5*INDEX('Control Room'!$B$19:$H$19,1,WEEKDAY($A373,2))*(1+'Control Room'!$D$9)^371*'Process'!K373),2),"")</x:f>
      </x:c>
      <x:c r="E373" s="16" t="str">
        <x:f>IF(AND(AND(372&lt;='Control Room'!$B$3,'Control Room'!$D$3="Ready"),3&lt;='Control Room'!$B$2),ROUND(MAX(0,'Process'!O373*'Control Room'!$H$6*INDEX('Control Room'!$B$19:$H$19,1,WEEKDAY($A373,2))*(1+'Control Room'!$D$9)^371*'Process'!P373),2),"")</x:f>
      </x:c>
      <x:c r="F373" s="16" t="str">
        <x:f>IF(AND(AND(372&lt;='Control Room'!$B$3,'Control Room'!$D$3="Ready"),4&lt;='Control Room'!$B$2),ROUND(MAX(0,'Process'!T373*'Control Room'!$H$7*INDEX('Control Room'!$B$19:$H$19,1,WEEKDAY($A373,2))*(1+'Control Room'!$D$9)^371*'Process'!U373),2),"")</x:f>
      </x:c>
      <x:c r="G373" s="16" t="str">
        <x:f>IF(AND(AND(372&lt;='Control Room'!$B$3,'Control Room'!$D$3="Ready"),5&lt;='Control Room'!$B$2),ROUND(MAX(0,'Process'!Y373*'Control Room'!$H$8*INDEX('Control Room'!$B$19:$H$19,1,WEEKDAY($A373,2))*(1+'Control Room'!$D$9)^371*'Process'!Z373),2),"")</x:f>
      </x:c>
      <x:c r="H373" s="16" t="str">
        <x:f>IF(AND(AND(372&lt;='Control Room'!$B$3,'Control Room'!$D$3="Ready"),6&lt;='Control Room'!$B$2),ROUND(MAX(0,'Process'!AD373*'Control Room'!$H$9*INDEX('Control Room'!$B$19:$H$19,1,WEEKDAY($A373,2))*(1+'Control Room'!$D$9)^371*'Process'!AE373),2),"")</x:f>
      </x:c>
      <x:c r="I373" s="16" t="str">
        <x:f>IF(AND(AND(372&lt;='Control Room'!$B$3,'Control Room'!$D$3="Ready"),7&lt;='Control Room'!$B$2),ROUND(MAX(0,'Process'!AI373*'Control Room'!$H$10*INDEX('Control Room'!$B$19:$H$19,1,WEEKDAY($A373,2))*(1+'Control Room'!$D$9)^371*'Process'!AJ373),2),"")</x:f>
      </x:c>
      <x:c r="J373" s="16" t="str">
        <x:f>IF(AND(AND(372&lt;='Control Room'!$B$3,'Control Room'!$D$3="Ready"),8&lt;='Control Room'!$B$2),ROUND(MAX(0,'Process'!AN373*'Control Room'!$H$11*INDEX('Control Room'!$B$19:$H$19,1,WEEKDAY($A373,2))*(1+'Control Room'!$D$9)^371*'Process'!AO373),2),"")</x:f>
      </x:c>
      <x:c r="K373" s="16" t="str">
        <x:f>IF(AND(AND(372&lt;='Control Room'!$B$3,'Control Room'!$D$3="Ready"),9&lt;='Control Room'!$B$2),ROUND(MAX(0,'Process'!AS373*'Control Room'!$H$12*INDEX('Control Room'!$B$19:$H$19,1,WEEKDAY($A373,2))*(1+'Control Room'!$D$9)^371*'Process'!AT373),2),"")</x:f>
      </x:c>
      <x:c r="L373" s="16" t="str">
        <x:f>IF(AND(AND(372&lt;='Control Room'!$B$3,'Control Room'!$D$3="Ready"),10&lt;='Control Room'!$B$2),ROUND(MAX(0,'Process'!AX373*'Control Room'!$H$13*INDEX('Control Room'!$B$19:$H$19,1,WEEKDAY($A373,2))*(1+'Control Room'!$D$9)^371*'Process'!AY373),2),"")</x:f>
      </x:c>
      <x:c r="M373" s="16" t="str">
        <x:f>IF(AND(AND(372&lt;='Control Room'!$B$3,'Control Room'!$D$3="Ready"),11&lt;='Control Room'!$B$2),ROUND(MAX(0,'Process'!BC373*'Control Room'!$H$14*INDEX('Control Room'!$B$19:$H$19,1,WEEKDAY($A373,2))*(1+'Control Room'!$D$9)^371*'Process'!BD373),2),"")</x:f>
      </x:c>
      <x:c r="N373" s="16" t="str">
        <x:f>IF(AND(AND(372&lt;='Control Room'!$B$3,'Control Room'!$D$3="Ready"),12&lt;='Control Room'!$B$2),ROUND(MAX(0,'Process'!BH373*'Control Room'!$H$15*INDEX('Control Room'!$B$19:$H$19,1,WEEKDAY($A373,2))*(1+'Control Room'!$D$9)^371*'Process'!BI373),2),"")</x:f>
      </x:c>
    </x:row>
    <x:row r="374" ht="21" customHeight="1">
      <x:c r="A374" s="15" t="str">
        <x:f>IF(AND(373&lt;='Control Room'!$B$3,'Control Room'!$D$3="Ready"),'Process'!A374,"")</x:f>
      </x:c>
      <x:c r="B374" s="16" t="str">
        <x:f>IF(A374="","",SUM(C374:N374))</x:f>
      </x:c>
      <x:c r="C374" s="16" t="str">
        <x:f>IF(AND(AND(373&lt;='Control Room'!$B$3,'Control Room'!$D$3="Ready"),1&lt;='Control Room'!$B$2),ROUND(MAX(0,'Process'!E374*'Control Room'!$H$4*INDEX('Control Room'!$B$19:$H$19,1,WEEKDAY($A374,2))*(1+'Control Room'!$D$9)^372*'Process'!F374),2),"")</x:f>
      </x:c>
      <x:c r="D374" s="16" t="str">
        <x:f>IF(AND(AND(373&lt;='Control Room'!$B$3,'Control Room'!$D$3="Ready"),2&lt;='Control Room'!$B$2),ROUND(MAX(0,'Process'!J374*'Control Room'!$H$5*INDEX('Control Room'!$B$19:$H$19,1,WEEKDAY($A374,2))*(1+'Control Room'!$D$9)^372*'Process'!K374),2),"")</x:f>
      </x:c>
      <x:c r="E374" s="16" t="str">
        <x:f>IF(AND(AND(373&lt;='Control Room'!$B$3,'Control Room'!$D$3="Ready"),3&lt;='Control Room'!$B$2),ROUND(MAX(0,'Process'!O374*'Control Room'!$H$6*INDEX('Control Room'!$B$19:$H$19,1,WEEKDAY($A374,2))*(1+'Control Room'!$D$9)^372*'Process'!P374),2),"")</x:f>
      </x:c>
      <x:c r="F374" s="16" t="str">
        <x:f>IF(AND(AND(373&lt;='Control Room'!$B$3,'Control Room'!$D$3="Ready"),4&lt;='Control Room'!$B$2),ROUND(MAX(0,'Process'!T374*'Control Room'!$H$7*INDEX('Control Room'!$B$19:$H$19,1,WEEKDAY($A374,2))*(1+'Control Room'!$D$9)^372*'Process'!U374),2),"")</x:f>
      </x:c>
      <x:c r="G374" s="16" t="str">
        <x:f>IF(AND(AND(373&lt;='Control Room'!$B$3,'Control Room'!$D$3="Ready"),5&lt;='Control Room'!$B$2),ROUND(MAX(0,'Process'!Y374*'Control Room'!$H$8*INDEX('Control Room'!$B$19:$H$19,1,WEEKDAY($A374,2))*(1+'Control Room'!$D$9)^372*'Process'!Z374),2),"")</x:f>
      </x:c>
      <x:c r="H374" s="16" t="str">
        <x:f>IF(AND(AND(373&lt;='Control Room'!$B$3,'Control Room'!$D$3="Ready"),6&lt;='Control Room'!$B$2),ROUND(MAX(0,'Process'!AD374*'Control Room'!$H$9*INDEX('Control Room'!$B$19:$H$19,1,WEEKDAY($A374,2))*(1+'Control Room'!$D$9)^372*'Process'!AE374),2),"")</x:f>
      </x:c>
      <x:c r="I374" s="16" t="str">
        <x:f>IF(AND(AND(373&lt;='Control Room'!$B$3,'Control Room'!$D$3="Ready"),7&lt;='Control Room'!$B$2),ROUND(MAX(0,'Process'!AI374*'Control Room'!$H$10*INDEX('Control Room'!$B$19:$H$19,1,WEEKDAY($A374,2))*(1+'Control Room'!$D$9)^372*'Process'!AJ374),2),"")</x:f>
      </x:c>
      <x:c r="J374" s="16" t="str">
        <x:f>IF(AND(AND(373&lt;='Control Room'!$B$3,'Control Room'!$D$3="Ready"),8&lt;='Control Room'!$B$2),ROUND(MAX(0,'Process'!AN374*'Control Room'!$H$11*INDEX('Control Room'!$B$19:$H$19,1,WEEKDAY($A374,2))*(1+'Control Room'!$D$9)^372*'Process'!AO374),2),"")</x:f>
      </x:c>
      <x:c r="K374" s="16" t="str">
        <x:f>IF(AND(AND(373&lt;='Control Room'!$B$3,'Control Room'!$D$3="Ready"),9&lt;='Control Room'!$B$2),ROUND(MAX(0,'Process'!AS374*'Control Room'!$H$12*INDEX('Control Room'!$B$19:$H$19,1,WEEKDAY($A374,2))*(1+'Control Room'!$D$9)^372*'Process'!AT374),2),"")</x:f>
      </x:c>
      <x:c r="L374" s="16" t="str">
        <x:f>IF(AND(AND(373&lt;='Control Room'!$B$3,'Control Room'!$D$3="Ready"),10&lt;='Control Room'!$B$2),ROUND(MAX(0,'Process'!AX374*'Control Room'!$H$13*INDEX('Control Room'!$B$19:$H$19,1,WEEKDAY($A374,2))*(1+'Control Room'!$D$9)^372*'Process'!AY374),2),"")</x:f>
      </x:c>
      <x:c r="M374" s="16" t="str">
        <x:f>IF(AND(AND(373&lt;='Control Room'!$B$3,'Control Room'!$D$3="Ready"),11&lt;='Control Room'!$B$2),ROUND(MAX(0,'Process'!BC374*'Control Room'!$H$14*INDEX('Control Room'!$B$19:$H$19,1,WEEKDAY($A374,2))*(1+'Control Room'!$D$9)^372*'Process'!BD374),2),"")</x:f>
      </x:c>
      <x:c r="N374" s="16" t="str">
        <x:f>IF(AND(AND(373&lt;='Control Room'!$B$3,'Control Room'!$D$3="Ready"),12&lt;='Control Room'!$B$2),ROUND(MAX(0,'Process'!BH374*'Control Room'!$H$15*INDEX('Control Room'!$B$19:$H$19,1,WEEKDAY($A374,2))*(1+'Control Room'!$D$9)^372*'Process'!BI374),2),"")</x:f>
      </x:c>
    </x:row>
    <x:row r="375" ht="21" customHeight="1">
      <x:c r="A375" s="15" t="str">
        <x:f>IF(AND(374&lt;='Control Room'!$B$3,'Control Room'!$D$3="Ready"),'Process'!A375,"")</x:f>
      </x:c>
      <x:c r="B375" s="16" t="str">
        <x:f>IF(A375="","",SUM(C375:N375))</x:f>
      </x:c>
      <x:c r="C375" s="16" t="str">
        <x:f>IF(AND(AND(374&lt;='Control Room'!$B$3,'Control Room'!$D$3="Ready"),1&lt;='Control Room'!$B$2),ROUND(MAX(0,'Process'!E375*'Control Room'!$H$4*INDEX('Control Room'!$B$19:$H$19,1,WEEKDAY($A375,2))*(1+'Control Room'!$D$9)^373*'Process'!F375),2),"")</x:f>
      </x:c>
      <x:c r="D375" s="16" t="str">
        <x:f>IF(AND(AND(374&lt;='Control Room'!$B$3,'Control Room'!$D$3="Ready"),2&lt;='Control Room'!$B$2),ROUND(MAX(0,'Process'!J375*'Control Room'!$H$5*INDEX('Control Room'!$B$19:$H$19,1,WEEKDAY($A375,2))*(1+'Control Room'!$D$9)^373*'Process'!K375),2),"")</x:f>
      </x:c>
      <x:c r="E375" s="16" t="str">
        <x:f>IF(AND(AND(374&lt;='Control Room'!$B$3,'Control Room'!$D$3="Ready"),3&lt;='Control Room'!$B$2),ROUND(MAX(0,'Process'!O375*'Control Room'!$H$6*INDEX('Control Room'!$B$19:$H$19,1,WEEKDAY($A375,2))*(1+'Control Room'!$D$9)^373*'Process'!P375),2),"")</x:f>
      </x:c>
      <x:c r="F375" s="16" t="str">
        <x:f>IF(AND(AND(374&lt;='Control Room'!$B$3,'Control Room'!$D$3="Ready"),4&lt;='Control Room'!$B$2),ROUND(MAX(0,'Process'!T375*'Control Room'!$H$7*INDEX('Control Room'!$B$19:$H$19,1,WEEKDAY($A375,2))*(1+'Control Room'!$D$9)^373*'Process'!U375),2),"")</x:f>
      </x:c>
      <x:c r="G375" s="16" t="str">
        <x:f>IF(AND(AND(374&lt;='Control Room'!$B$3,'Control Room'!$D$3="Ready"),5&lt;='Control Room'!$B$2),ROUND(MAX(0,'Process'!Y375*'Control Room'!$H$8*INDEX('Control Room'!$B$19:$H$19,1,WEEKDAY($A375,2))*(1+'Control Room'!$D$9)^373*'Process'!Z375),2),"")</x:f>
      </x:c>
      <x:c r="H375" s="16" t="str">
        <x:f>IF(AND(AND(374&lt;='Control Room'!$B$3,'Control Room'!$D$3="Ready"),6&lt;='Control Room'!$B$2),ROUND(MAX(0,'Process'!AD375*'Control Room'!$H$9*INDEX('Control Room'!$B$19:$H$19,1,WEEKDAY($A375,2))*(1+'Control Room'!$D$9)^373*'Process'!AE375),2),"")</x:f>
      </x:c>
      <x:c r="I375" s="16" t="str">
        <x:f>IF(AND(AND(374&lt;='Control Room'!$B$3,'Control Room'!$D$3="Ready"),7&lt;='Control Room'!$B$2),ROUND(MAX(0,'Process'!AI375*'Control Room'!$H$10*INDEX('Control Room'!$B$19:$H$19,1,WEEKDAY($A375,2))*(1+'Control Room'!$D$9)^373*'Process'!AJ375),2),"")</x:f>
      </x:c>
      <x:c r="J375" s="16" t="str">
        <x:f>IF(AND(AND(374&lt;='Control Room'!$B$3,'Control Room'!$D$3="Ready"),8&lt;='Control Room'!$B$2),ROUND(MAX(0,'Process'!AN375*'Control Room'!$H$11*INDEX('Control Room'!$B$19:$H$19,1,WEEKDAY($A375,2))*(1+'Control Room'!$D$9)^373*'Process'!AO375),2),"")</x:f>
      </x:c>
      <x:c r="K375" s="16" t="str">
        <x:f>IF(AND(AND(374&lt;='Control Room'!$B$3,'Control Room'!$D$3="Ready"),9&lt;='Control Room'!$B$2),ROUND(MAX(0,'Process'!AS375*'Control Room'!$H$12*INDEX('Control Room'!$B$19:$H$19,1,WEEKDAY($A375,2))*(1+'Control Room'!$D$9)^373*'Process'!AT375),2),"")</x:f>
      </x:c>
      <x:c r="L375" s="16" t="str">
        <x:f>IF(AND(AND(374&lt;='Control Room'!$B$3,'Control Room'!$D$3="Ready"),10&lt;='Control Room'!$B$2),ROUND(MAX(0,'Process'!AX375*'Control Room'!$H$13*INDEX('Control Room'!$B$19:$H$19,1,WEEKDAY($A375,2))*(1+'Control Room'!$D$9)^373*'Process'!AY375),2),"")</x:f>
      </x:c>
      <x:c r="M375" s="16" t="str">
        <x:f>IF(AND(AND(374&lt;='Control Room'!$B$3,'Control Room'!$D$3="Ready"),11&lt;='Control Room'!$B$2),ROUND(MAX(0,'Process'!BC375*'Control Room'!$H$14*INDEX('Control Room'!$B$19:$H$19,1,WEEKDAY($A375,2))*(1+'Control Room'!$D$9)^373*'Process'!BD375),2),"")</x:f>
      </x:c>
      <x:c r="N375" s="16" t="str">
        <x:f>IF(AND(AND(374&lt;='Control Room'!$B$3,'Control Room'!$D$3="Ready"),12&lt;='Control Room'!$B$2),ROUND(MAX(0,'Process'!BH375*'Control Room'!$H$15*INDEX('Control Room'!$B$19:$H$19,1,WEEKDAY($A375,2))*(1+'Control Room'!$D$9)^373*'Process'!BI375),2),"")</x:f>
      </x:c>
    </x:row>
    <x:row r="376" ht="21" customHeight="1">
      <x:c r="A376" s="15" t="str">
        <x:f>IF(AND(375&lt;='Control Room'!$B$3,'Control Room'!$D$3="Ready"),'Process'!A376,"")</x:f>
      </x:c>
      <x:c r="B376" s="16" t="str">
        <x:f>IF(A376="","",SUM(C376:N376))</x:f>
      </x:c>
      <x:c r="C376" s="16" t="str">
        <x:f>IF(AND(AND(375&lt;='Control Room'!$B$3,'Control Room'!$D$3="Ready"),1&lt;='Control Room'!$B$2),ROUND(MAX(0,'Process'!E376*'Control Room'!$H$4*INDEX('Control Room'!$B$19:$H$19,1,WEEKDAY($A376,2))*(1+'Control Room'!$D$9)^374*'Process'!F376),2),"")</x:f>
      </x:c>
      <x:c r="D376" s="16" t="str">
        <x:f>IF(AND(AND(375&lt;='Control Room'!$B$3,'Control Room'!$D$3="Ready"),2&lt;='Control Room'!$B$2),ROUND(MAX(0,'Process'!J376*'Control Room'!$H$5*INDEX('Control Room'!$B$19:$H$19,1,WEEKDAY($A376,2))*(1+'Control Room'!$D$9)^374*'Process'!K376),2),"")</x:f>
      </x:c>
      <x:c r="E376" s="16" t="str">
        <x:f>IF(AND(AND(375&lt;='Control Room'!$B$3,'Control Room'!$D$3="Ready"),3&lt;='Control Room'!$B$2),ROUND(MAX(0,'Process'!O376*'Control Room'!$H$6*INDEX('Control Room'!$B$19:$H$19,1,WEEKDAY($A376,2))*(1+'Control Room'!$D$9)^374*'Process'!P376),2),"")</x:f>
      </x:c>
      <x:c r="F376" s="16" t="str">
        <x:f>IF(AND(AND(375&lt;='Control Room'!$B$3,'Control Room'!$D$3="Ready"),4&lt;='Control Room'!$B$2),ROUND(MAX(0,'Process'!T376*'Control Room'!$H$7*INDEX('Control Room'!$B$19:$H$19,1,WEEKDAY($A376,2))*(1+'Control Room'!$D$9)^374*'Process'!U376),2),"")</x:f>
      </x:c>
      <x:c r="G376" s="16" t="str">
        <x:f>IF(AND(AND(375&lt;='Control Room'!$B$3,'Control Room'!$D$3="Ready"),5&lt;='Control Room'!$B$2),ROUND(MAX(0,'Process'!Y376*'Control Room'!$H$8*INDEX('Control Room'!$B$19:$H$19,1,WEEKDAY($A376,2))*(1+'Control Room'!$D$9)^374*'Process'!Z376),2),"")</x:f>
      </x:c>
      <x:c r="H376" s="16" t="str">
        <x:f>IF(AND(AND(375&lt;='Control Room'!$B$3,'Control Room'!$D$3="Ready"),6&lt;='Control Room'!$B$2),ROUND(MAX(0,'Process'!AD376*'Control Room'!$H$9*INDEX('Control Room'!$B$19:$H$19,1,WEEKDAY($A376,2))*(1+'Control Room'!$D$9)^374*'Process'!AE376),2),"")</x:f>
      </x:c>
      <x:c r="I376" s="16" t="str">
        <x:f>IF(AND(AND(375&lt;='Control Room'!$B$3,'Control Room'!$D$3="Ready"),7&lt;='Control Room'!$B$2),ROUND(MAX(0,'Process'!AI376*'Control Room'!$H$10*INDEX('Control Room'!$B$19:$H$19,1,WEEKDAY($A376,2))*(1+'Control Room'!$D$9)^374*'Process'!AJ376),2),"")</x:f>
      </x:c>
      <x:c r="J376" s="16" t="str">
        <x:f>IF(AND(AND(375&lt;='Control Room'!$B$3,'Control Room'!$D$3="Ready"),8&lt;='Control Room'!$B$2),ROUND(MAX(0,'Process'!AN376*'Control Room'!$H$11*INDEX('Control Room'!$B$19:$H$19,1,WEEKDAY($A376,2))*(1+'Control Room'!$D$9)^374*'Process'!AO376),2),"")</x:f>
      </x:c>
      <x:c r="K376" s="16" t="str">
        <x:f>IF(AND(AND(375&lt;='Control Room'!$B$3,'Control Room'!$D$3="Ready"),9&lt;='Control Room'!$B$2),ROUND(MAX(0,'Process'!AS376*'Control Room'!$H$12*INDEX('Control Room'!$B$19:$H$19,1,WEEKDAY($A376,2))*(1+'Control Room'!$D$9)^374*'Process'!AT376),2),"")</x:f>
      </x:c>
      <x:c r="L376" s="16" t="str">
        <x:f>IF(AND(AND(375&lt;='Control Room'!$B$3,'Control Room'!$D$3="Ready"),10&lt;='Control Room'!$B$2),ROUND(MAX(0,'Process'!AX376*'Control Room'!$H$13*INDEX('Control Room'!$B$19:$H$19,1,WEEKDAY($A376,2))*(1+'Control Room'!$D$9)^374*'Process'!AY376),2),"")</x:f>
      </x:c>
      <x:c r="M376" s="16" t="str">
        <x:f>IF(AND(AND(375&lt;='Control Room'!$B$3,'Control Room'!$D$3="Ready"),11&lt;='Control Room'!$B$2),ROUND(MAX(0,'Process'!BC376*'Control Room'!$H$14*INDEX('Control Room'!$B$19:$H$19,1,WEEKDAY($A376,2))*(1+'Control Room'!$D$9)^374*'Process'!BD376),2),"")</x:f>
      </x:c>
      <x:c r="N376" s="16" t="str">
        <x:f>IF(AND(AND(375&lt;='Control Room'!$B$3,'Control Room'!$D$3="Ready"),12&lt;='Control Room'!$B$2),ROUND(MAX(0,'Process'!BH376*'Control Room'!$H$15*INDEX('Control Room'!$B$19:$H$19,1,WEEKDAY($A376,2))*(1+'Control Room'!$D$9)^374*'Process'!BI376),2),"")</x:f>
      </x:c>
    </x:row>
    <x:row r="377" ht="21" customHeight="1">
      <x:c r="A377" s="15" t="str">
        <x:f>IF(AND(376&lt;='Control Room'!$B$3,'Control Room'!$D$3="Ready"),'Process'!A377,"")</x:f>
      </x:c>
      <x:c r="B377" s="16" t="str">
        <x:f>IF(A377="","",SUM(C377:N377))</x:f>
      </x:c>
      <x:c r="C377" s="16" t="str">
        <x:f>IF(AND(AND(376&lt;='Control Room'!$B$3,'Control Room'!$D$3="Ready"),1&lt;='Control Room'!$B$2),ROUND(MAX(0,'Process'!E377*'Control Room'!$H$4*INDEX('Control Room'!$B$19:$H$19,1,WEEKDAY($A377,2))*(1+'Control Room'!$D$9)^375*'Process'!F377),2),"")</x:f>
      </x:c>
      <x:c r="D377" s="16" t="str">
        <x:f>IF(AND(AND(376&lt;='Control Room'!$B$3,'Control Room'!$D$3="Ready"),2&lt;='Control Room'!$B$2),ROUND(MAX(0,'Process'!J377*'Control Room'!$H$5*INDEX('Control Room'!$B$19:$H$19,1,WEEKDAY($A377,2))*(1+'Control Room'!$D$9)^375*'Process'!K377),2),"")</x:f>
      </x:c>
      <x:c r="E377" s="16" t="str">
        <x:f>IF(AND(AND(376&lt;='Control Room'!$B$3,'Control Room'!$D$3="Ready"),3&lt;='Control Room'!$B$2),ROUND(MAX(0,'Process'!O377*'Control Room'!$H$6*INDEX('Control Room'!$B$19:$H$19,1,WEEKDAY($A377,2))*(1+'Control Room'!$D$9)^375*'Process'!P377),2),"")</x:f>
      </x:c>
      <x:c r="F377" s="16" t="str">
        <x:f>IF(AND(AND(376&lt;='Control Room'!$B$3,'Control Room'!$D$3="Ready"),4&lt;='Control Room'!$B$2),ROUND(MAX(0,'Process'!T377*'Control Room'!$H$7*INDEX('Control Room'!$B$19:$H$19,1,WEEKDAY($A377,2))*(1+'Control Room'!$D$9)^375*'Process'!U377),2),"")</x:f>
      </x:c>
      <x:c r="G377" s="16" t="str">
        <x:f>IF(AND(AND(376&lt;='Control Room'!$B$3,'Control Room'!$D$3="Ready"),5&lt;='Control Room'!$B$2),ROUND(MAX(0,'Process'!Y377*'Control Room'!$H$8*INDEX('Control Room'!$B$19:$H$19,1,WEEKDAY($A377,2))*(1+'Control Room'!$D$9)^375*'Process'!Z377),2),"")</x:f>
      </x:c>
      <x:c r="H377" s="16" t="str">
        <x:f>IF(AND(AND(376&lt;='Control Room'!$B$3,'Control Room'!$D$3="Ready"),6&lt;='Control Room'!$B$2),ROUND(MAX(0,'Process'!AD377*'Control Room'!$H$9*INDEX('Control Room'!$B$19:$H$19,1,WEEKDAY($A377,2))*(1+'Control Room'!$D$9)^375*'Process'!AE377),2),"")</x:f>
      </x:c>
      <x:c r="I377" s="16" t="str">
        <x:f>IF(AND(AND(376&lt;='Control Room'!$B$3,'Control Room'!$D$3="Ready"),7&lt;='Control Room'!$B$2),ROUND(MAX(0,'Process'!AI377*'Control Room'!$H$10*INDEX('Control Room'!$B$19:$H$19,1,WEEKDAY($A377,2))*(1+'Control Room'!$D$9)^375*'Process'!AJ377),2),"")</x:f>
      </x:c>
      <x:c r="J377" s="16" t="str">
        <x:f>IF(AND(AND(376&lt;='Control Room'!$B$3,'Control Room'!$D$3="Ready"),8&lt;='Control Room'!$B$2),ROUND(MAX(0,'Process'!AN377*'Control Room'!$H$11*INDEX('Control Room'!$B$19:$H$19,1,WEEKDAY($A377,2))*(1+'Control Room'!$D$9)^375*'Process'!AO377),2),"")</x:f>
      </x:c>
      <x:c r="K377" s="16" t="str">
        <x:f>IF(AND(AND(376&lt;='Control Room'!$B$3,'Control Room'!$D$3="Ready"),9&lt;='Control Room'!$B$2),ROUND(MAX(0,'Process'!AS377*'Control Room'!$H$12*INDEX('Control Room'!$B$19:$H$19,1,WEEKDAY($A377,2))*(1+'Control Room'!$D$9)^375*'Process'!AT377),2),"")</x:f>
      </x:c>
      <x:c r="L377" s="16" t="str">
        <x:f>IF(AND(AND(376&lt;='Control Room'!$B$3,'Control Room'!$D$3="Ready"),10&lt;='Control Room'!$B$2),ROUND(MAX(0,'Process'!AX377*'Control Room'!$H$13*INDEX('Control Room'!$B$19:$H$19,1,WEEKDAY($A377,2))*(1+'Control Room'!$D$9)^375*'Process'!AY377),2),"")</x:f>
      </x:c>
      <x:c r="M377" s="16" t="str">
        <x:f>IF(AND(AND(376&lt;='Control Room'!$B$3,'Control Room'!$D$3="Ready"),11&lt;='Control Room'!$B$2),ROUND(MAX(0,'Process'!BC377*'Control Room'!$H$14*INDEX('Control Room'!$B$19:$H$19,1,WEEKDAY($A377,2))*(1+'Control Room'!$D$9)^375*'Process'!BD377),2),"")</x:f>
      </x:c>
      <x:c r="N377" s="16" t="str">
        <x:f>IF(AND(AND(376&lt;='Control Room'!$B$3,'Control Room'!$D$3="Ready"),12&lt;='Control Room'!$B$2),ROUND(MAX(0,'Process'!BH377*'Control Room'!$H$15*INDEX('Control Room'!$B$19:$H$19,1,WEEKDAY($A377,2))*(1+'Control Room'!$D$9)^375*'Process'!BI377),2),"")</x:f>
      </x:c>
    </x:row>
    <x:row r="378" ht="21" customHeight="1">
      <x:c r="A378" s="15" t="str">
        <x:f>IF(AND(377&lt;='Control Room'!$B$3,'Control Room'!$D$3="Ready"),'Process'!A378,"")</x:f>
      </x:c>
      <x:c r="B378" s="16" t="str">
        <x:f>IF(A378="","",SUM(C378:N378))</x:f>
      </x:c>
      <x:c r="C378" s="16" t="str">
        <x:f>IF(AND(AND(377&lt;='Control Room'!$B$3,'Control Room'!$D$3="Ready"),1&lt;='Control Room'!$B$2),ROUND(MAX(0,'Process'!E378*'Control Room'!$H$4*INDEX('Control Room'!$B$19:$H$19,1,WEEKDAY($A378,2))*(1+'Control Room'!$D$9)^376*'Process'!F378),2),"")</x:f>
      </x:c>
      <x:c r="D378" s="16" t="str">
        <x:f>IF(AND(AND(377&lt;='Control Room'!$B$3,'Control Room'!$D$3="Ready"),2&lt;='Control Room'!$B$2),ROUND(MAX(0,'Process'!J378*'Control Room'!$H$5*INDEX('Control Room'!$B$19:$H$19,1,WEEKDAY($A378,2))*(1+'Control Room'!$D$9)^376*'Process'!K378),2),"")</x:f>
      </x:c>
      <x:c r="E378" s="16" t="str">
        <x:f>IF(AND(AND(377&lt;='Control Room'!$B$3,'Control Room'!$D$3="Ready"),3&lt;='Control Room'!$B$2),ROUND(MAX(0,'Process'!O378*'Control Room'!$H$6*INDEX('Control Room'!$B$19:$H$19,1,WEEKDAY($A378,2))*(1+'Control Room'!$D$9)^376*'Process'!P378),2),"")</x:f>
      </x:c>
      <x:c r="F378" s="16" t="str">
        <x:f>IF(AND(AND(377&lt;='Control Room'!$B$3,'Control Room'!$D$3="Ready"),4&lt;='Control Room'!$B$2),ROUND(MAX(0,'Process'!T378*'Control Room'!$H$7*INDEX('Control Room'!$B$19:$H$19,1,WEEKDAY($A378,2))*(1+'Control Room'!$D$9)^376*'Process'!U378),2),"")</x:f>
      </x:c>
      <x:c r="G378" s="16" t="str">
        <x:f>IF(AND(AND(377&lt;='Control Room'!$B$3,'Control Room'!$D$3="Ready"),5&lt;='Control Room'!$B$2),ROUND(MAX(0,'Process'!Y378*'Control Room'!$H$8*INDEX('Control Room'!$B$19:$H$19,1,WEEKDAY($A378,2))*(1+'Control Room'!$D$9)^376*'Process'!Z378),2),"")</x:f>
      </x:c>
      <x:c r="H378" s="16" t="str">
        <x:f>IF(AND(AND(377&lt;='Control Room'!$B$3,'Control Room'!$D$3="Ready"),6&lt;='Control Room'!$B$2),ROUND(MAX(0,'Process'!AD378*'Control Room'!$H$9*INDEX('Control Room'!$B$19:$H$19,1,WEEKDAY($A378,2))*(1+'Control Room'!$D$9)^376*'Process'!AE378),2),"")</x:f>
      </x:c>
      <x:c r="I378" s="16" t="str">
        <x:f>IF(AND(AND(377&lt;='Control Room'!$B$3,'Control Room'!$D$3="Ready"),7&lt;='Control Room'!$B$2),ROUND(MAX(0,'Process'!AI378*'Control Room'!$H$10*INDEX('Control Room'!$B$19:$H$19,1,WEEKDAY($A378,2))*(1+'Control Room'!$D$9)^376*'Process'!AJ378),2),"")</x:f>
      </x:c>
      <x:c r="J378" s="16" t="str">
        <x:f>IF(AND(AND(377&lt;='Control Room'!$B$3,'Control Room'!$D$3="Ready"),8&lt;='Control Room'!$B$2),ROUND(MAX(0,'Process'!AN378*'Control Room'!$H$11*INDEX('Control Room'!$B$19:$H$19,1,WEEKDAY($A378,2))*(1+'Control Room'!$D$9)^376*'Process'!AO378),2),"")</x:f>
      </x:c>
      <x:c r="K378" s="16" t="str">
        <x:f>IF(AND(AND(377&lt;='Control Room'!$B$3,'Control Room'!$D$3="Ready"),9&lt;='Control Room'!$B$2),ROUND(MAX(0,'Process'!AS378*'Control Room'!$H$12*INDEX('Control Room'!$B$19:$H$19,1,WEEKDAY($A378,2))*(1+'Control Room'!$D$9)^376*'Process'!AT378),2),"")</x:f>
      </x:c>
      <x:c r="L378" s="16" t="str">
        <x:f>IF(AND(AND(377&lt;='Control Room'!$B$3,'Control Room'!$D$3="Ready"),10&lt;='Control Room'!$B$2),ROUND(MAX(0,'Process'!AX378*'Control Room'!$H$13*INDEX('Control Room'!$B$19:$H$19,1,WEEKDAY($A378,2))*(1+'Control Room'!$D$9)^376*'Process'!AY378),2),"")</x:f>
      </x:c>
      <x:c r="M378" s="16" t="str">
        <x:f>IF(AND(AND(377&lt;='Control Room'!$B$3,'Control Room'!$D$3="Ready"),11&lt;='Control Room'!$B$2),ROUND(MAX(0,'Process'!BC378*'Control Room'!$H$14*INDEX('Control Room'!$B$19:$H$19,1,WEEKDAY($A378,2))*(1+'Control Room'!$D$9)^376*'Process'!BD378),2),"")</x:f>
      </x:c>
      <x:c r="N378" s="16" t="str">
        <x:f>IF(AND(AND(377&lt;='Control Room'!$B$3,'Control Room'!$D$3="Ready"),12&lt;='Control Room'!$B$2),ROUND(MAX(0,'Process'!BH378*'Control Room'!$H$15*INDEX('Control Room'!$B$19:$H$19,1,WEEKDAY($A378,2))*(1+'Control Room'!$D$9)^376*'Process'!BI378),2),"")</x:f>
      </x:c>
    </x:row>
    <x:row r="379" ht="21" customHeight="1">
      <x:c r="A379" s="15" t="str">
        <x:f>IF(AND(378&lt;='Control Room'!$B$3,'Control Room'!$D$3="Ready"),'Process'!A379,"")</x:f>
      </x:c>
      <x:c r="B379" s="16" t="str">
        <x:f>IF(A379="","",SUM(C379:N379))</x:f>
      </x:c>
      <x:c r="C379" s="16" t="str">
        <x:f>IF(AND(AND(378&lt;='Control Room'!$B$3,'Control Room'!$D$3="Ready"),1&lt;='Control Room'!$B$2),ROUND(MAX(0,'Process'!E379*'Control Room'!$H$4*INDEX('Control Room'!$B$19:$H$19,1,WEEKDAY($A379,2))*(1+'Control Room'!$D$9)^377*'Process'!F379),2),"")</x:f>
      </x:c>
      <x:c r="D379" s="16" t="str">
        <x:f>IF(AND(AND(378&lt;='Control Room'!$B$3,'Control Room'!$D$3="Ready"),2&lt;='Control Room'!$B$2),ROUND(MAX(0,'Process'!J379*'Control Room'!$H$5*INDEX('Control Room'!$B$19:$H$19,1,WEEKDAY($A379,2))*(1+'Control Room'!$D$9)^377*'Process'!K379),2),"")</x:f>
      </x:c>
      <x:c r="E379" s="16" t="str">
        <x:f>IF(AND(AND(378&lt;='Control Room'!$B$3,'Control Room'!$D$3="Ready"),3&lt;='Control Room'!$B$2),ROUND(MAX(0,'Process'!O379*'Control Room'!$H$6*INDEX('Control Room'!$B$19:$H$19,1,WEEKDAY($A379,2))*(1+'Control Room'!$D$9)^377*'Process'!P379),2),"")</x:f>
      </x:c>
      <x:c r="F379" s="16" t="str">
        <x:f>IF(AND(AND(378&lt;='Control Room'!$B$3,'Control Room'!$D$3="Ready"),4&lt;='Control Room'!$B$2),ROUND(MAX(0,'Process'!T379*'Control Room'!$H$7*INDEX('Control Room'!$B$19:$H$19,1,WEEKDAY($A379,2))*(1+'Control Room'!$D$9)^377*'Process'!U379),2),"")</x:f>
      </x:c>
      <x:c r="G379" s="16" t="str">
        <x:f>IF(AND(AND(378&lt;='Control Room'!$B$3,'Control Room'!$D$3="Ready"),5&lt;='Control Room'!$B$2),ROUND(MAX(0,'Process'!Y379*'Control Room'!$H$8*INDEX('Control Room'!$B$19:$H$19,1,WEEKDAY($A379,2))*(1+'Control Room'!$D$9)^377*'Process'!Z379),2),"")</x:f>
      </x:c>
      <x:c r="H379" s="16" t="str">
        <x:f>IF(AND(AND(378&lt;='Control Room'!$B$3,'Control Room'!$D$3="Ready"),6&lt;='Control Room'!$B$2),ROUND(MAX(0,'Process'!AD379*'Control Room'!$H$9*INDEX('Control Room'!$B$19:$H$19,1,WEEKDAY($A379,2))*(1+'Control Room'!$D$9)^377*'Process'!AE379),2),"")</x:f>
      </x:c>
      <x:c r="I379" s="16" t="str">
        <x:f>IF(AND(AND(378&lt;='Control Room'!$B$3,'Control Room'!$D$3="Ready"),7&lt;='Control Room'!$B$2),ROUND(MAX(0,'Process'!AI379*'Control Room'!$H$10*INDEX('Control Room'!$B$19:$H$19,1,WEEKDAY($A379,2))*(1+'Control Room'!$D$9)^377*'Process'!AJ379),2),"")</x:f>
      </x:c>
      <x:c r="J379" s="16" t="str">
        <x:f>IF(AND(AND(378&lt;='Control Room'!$B$3,'Control Room'!$D$3="Ready"),8&lt;='Control Room'!$B$2),ROUND(MAX(0,'Process'!AN379*'Control Room'!$H$11*INDEX('Control Room'!$B$19:$H$19,1,WEEKDAY($A379,2))*(1+'Control Room'!$D$9)^377*'Process'!AO379),2),"")</x:f>
      </x:c>
      <x:c r="K379" s="16" t="str">
        <x:f>IF(AND(AND(378&lt;='Control Room'!$B$3,'Control Room'!$D$3="Ready"),9&lt;='Control Room'!$B$2),ROUND(MAX(0,'Process'!AS379*'Control Room'!$H$12*INDEX('Control Room'!$B$19:$H$19,1,WEEKDAY($A379,2))*(1+'Control Room'!$D$9)^377*'Process'!AT379),2),"")</x:f>
      </x:c>
      <x:c r="L379" s="16" t="str">
        <x:f>IF(AND(AND(378&lt;='Control Room'!$B$3,'Control Room'!$D$3="Ready"),10&lt;='Control Room'!$B$2),ROUND(MAX(0,'Process'!AX379*'Control Room'!$H$13*INDEX('Control Room'!$B$19:$H$19,1,WEEKDAY($A379,2))*(1+'Control Room'!$D$9)^377*'Process'!AY379),2),"")</x:f>
      </x:c>
      <x:c r="M379" s="16" t="str">
        <x:f>IF(AND(AND(378&lt;='Control Room'!$B$3,'Control Room'!$D$3="Ready"),11&lt;='Control Room'!$B$2),ROUND(MAX(0,'Process'!BC379*'Control Room'!$H$14*INDEX('Control Room'!$B$19:$H$19,1,WEEKDAY($A379,2))*(1+'Control Room'!$D$9)^377*'Process'!BD379),2),"")</x:f>
      </x:c>
      <x:c r="N379" s="16" t="str">
        <x:f>IF(AND(AND(378&lt;='Control Room'!$B$3,'Control Room'!$D$3="Ready"),12&lt;='Control Room'!$B$2),ROUND(MAX(0,'Process'!BH379*'Control Room'!$H$15*INDEX('Control Room'!$B$19:$H$19,1,WEEKDAY($A379,2))*(1+'Control Room'!$D$9)^377*'Process'!BI379),2),"")</x:f>
      </x:c>
    </x:row>
    <x:row r="380" ht="21" customHeight="1">
      <x:c r="A380" s="15" t="str">
        <x:f>IF(AND(379&lt;='Control Room'!$B$3,'Control Room'!$D$3="Ready"),'Process'!A380,"")</x:f>
      </x:c>
      <x:c r="B380" s="16" t="str">
        <x:f>IF(A380="","",SUM(C380:N380))</x:f>
      </x:c>
      <x:c r="C380" s="16" t="str">
        <x:f>IF(AND(AND(379&lt;='Control Room'!$B$3,'Control Room'!$D$3="Ready"),1&lt;='Control Room'!$B$2),ROUND(MAX(0,'Process'!E380*'Control Room'!$H$4*INDEX('Control Room'!$B$19:$H$19,1,WEEKDAY($A380,2))*(1+'Control Room'!$D$9)^378*'Process'!F380),2),"")</x:f>
      </x:c>
      <x:c r="D380" s="16" t="str">
        <x:f>IF(AND(AND(379&lt;='Control Room'!$B$3,'Control Room'!$D$3="Ready"),2&lt;='Control Room'!$B$2),ROUND(MAX(0,'Process'!J380*'Control Room'!$H$5*INDEX('Control Room'!$B$19:$H$19,1,WEEKDAY($A380,2))*(1+'Control Room'!$D$9)^378*'Process'!K380),2),"")</x:f>
      </x:c>
      <x:c r="E380" s="16" t="str">
        <x:f>IF(AND(AND(379&lt;='Control Room'!$B$3,'Control Room'!$D$3="Ready"),3&lt;='Control Room'!$B$2),ROUND(MAX(0,'Process'!O380*'Control Room'!$H$6*INDEX('Control Room'!$B$19:$H$19,1,WEEKDAY($A380,2))*(1+'Control Room'!$D$9)^378*'Process'!P380),2),"")</x:f>
      </x:c>
      <x:c r="F380" s="16" t="str">
        <x:f>IF(AND(AND(379&lt;='Control Room'!$B$3,'Control Room'!$D$3="Ready"),4&lt;='Control Room'!$B$2),ROUND(MAX(0,'Process'!T380*'Control Room'!$H$7*INDEX('Control Room'!$B$19:$H$19,1,WEEKDAY($A380,2))*(1+'Control Room'!$D$9)^378*'Process'!U380),2),"")</x:f>
      </x:c>
      <x:c r="G380" s="16" t="str">
        <x:f>IF(AND(AND(379&lt;='Control Room'!$B$3,'Control Room'!$D$3="Ready"),5&lt;='Control Room'!$B$2),ROUND(MAX(0,'Process'!Y380*'Control Room'!$H$8*INDEX('Control Room'!$B$19:$H$19,1,WEEKDAY($A380,2))*(1+'Control Room'!$D$9)^378*'Process'!Z380),2),"")</x:f>
      </x:c>
      <x:c r="H380" s="16" t="str">
        <x:f>IF(AND(AND(379&lt;='Control Room'!$B$3,'Control Room'!$D$3="Ready"),6&lt;='Control Room'!$B$2),ROUND(MAX(0,'Process'!AD380*'Control Room'!$H$9*INDEX('Control Room'!$B$19:$H$19,1,WEEKDAY($A380,2))*(1+'Control Room'!$D$9)^378*'Process'!AE380),2),"")</x:f>
      </x:c>
      <x:c r="I380" s="16" t="str">
        <x:f>IF(AND(AND(379&lt;='Control Room'!$B$3,'Control Room'!$D$3="Ready"),7&lt;='Control Room'!$B$2),ROUND(MAX(0,'Process'!AI380*'Control Room'!$H$10*INDEX('Control Room'!$B$19:$H$19,1,WEEKDAY($A380,2))*(1+'Control Room'!$D$9)^378*'Process'!AJ380),2),"")</x:f>
      </x:c>
      <x:c r="J380" s="16" t="str">
        <x:f>IF(AND(AND(379&lt;='Control Room'!$B$3,'Control Room'!$D$3="Ready"),8&lt;='Control Room'!$B$2),ROUND(MAX(0,'Process'!AN380*'Control Room'!$H$11*INDEX('Control Room'!$B$19:$H$19,1,WEEKDAY($A380,2))*(1+'Control Room'!$D$9)^378*'Process'!AO380),2),"")</x:f>
      </x:c>
      <x:c r="K380" s="16" t="str">
        <x:f>IF(AND(AND(379&lt;='Control Room'!$B$3,'Control Room'!$D$3="Ready"),9&lt;='Control Room'!$B$2),ROUND(MAX(0,'Process'!AS380*'Control Room'!$H$12*INDEX('Control Room'!$B$19:$H$19,1,WEEKDAY($A380,2))*(1+'Control Room'!$D$9)^378*'Process'!AT380),2),"")</x:f>
      </x:c>
      <x:c r="L380" s="16" t="str">
        <x:f>IF(AND(AND(379&lt;='Control Room'!$B$3,'Control Room'!$D$3="Ready"),10&lt;='Control Room'!$B$2),ROUND(MAX(0,'Process'!AX380*'Control Room'!$H$13*INDEX('Control Room'!$B$19:$H$19,1,WEEKDAY($A380,2))*(1+'Control Room'!$D$9)^378*'Process'!AY380),2),"")</x:f>
      </x:c>
      <x:c r="M380" s="16" t="str">
        <x:f>IF(AND(AND(379&lt;='Control Room'!$B$3,'Control Room'!$D$3="Ready"),11&lt;='Control Room'!$B$2),ROUND(MAX(0,'Process'!BC380*'Control Room'!$H$14*INDEX('Control Room'!$B$19:$H$19,1,WEEKDAY($A380,2))*(1+'Control Room'!$D$9)^378*'Process'!BD380),2),"")</x:f>
      </x:c>
      <x:c r="N380" s="16" t="str">
        <x:f>IF(AND(AND(379&lt;='Control Room'!$B$3,'Control Room'!$D$3="Ready"),12&lt;='Control Room'!$B$2),ROUND(MAX(0,'Process'!BH380*'Control Room'!$H$15*INDEX('Control Room'!$B$19:$H$19,1,WEEKDAY($A380,2))*(1+'Control Room'!$D$9)^378*'Process'!BI380),2),"")</x:f>
      </x:c>
    </x:row>
    <x:row r="381" ht="21" customHeight="1">
      <x:c r="A381" s="15" t="str">
        <x:f>IF(AND(380&lt;='Control Room'!$B$3,'Control Room'!$D$3="Ready"),'Process'!A381,"")</x:f>
      </x:c>
      <x:c r="B381" s="16" t="str">
        <x:f>IF(A381="","",SUM(C381:N381))</x:f>
      </x:c>
      <x:c r="C381" s="16" t="str">
        <x:f>IF(AND(AND(380&lt;='Control Room'!$B$3,'Control Room'!$D$3="Ready"),1&lt;='Control Room'!$B$2),ROUND(MAX(0,'Process'!E381*'Control Room'!$H$4*INDEX('Control Room'!$B$19:$H$19,1,WEEKDAY($A381,2))*(1+'Control Room'!$D$9)^379*'Process'!F381),2),"")</x:f>
      </x:c>
      <x:c r="D381" s="16" t="str">
        <x:f>IF(AND(AND(380&lt;='Control Room'!$B$3,'Control Room'!$D$3="Ready"),2&lt;='Control Room'!$B$2),ROUND(MAX(0,'Process'!J381*'Control Room'!$H$5*INDEX('Control Room'!$B$19:$H$19,1,WEEKDAY($A381,2))*(1+'Control Room'!$D$9)^379*'Process'!K381),2),"")</x:f>
      </x:c>
      <x:c r="E381" s="16" t="str">
        <x:f>IF(AND(AND(380&lt;='Control Room'!$B$3,'Control Room'!$D$3="Ready"),3&lt;='Control Room'!$B$2),ROUND(MAX(0,'Process'!O381*'Control Room'!$H$6*INDEX('Control Room'!$B$19:$H$19,1,WEEKDAY($A381,2))*(1+'Control Room'!$D$9)^379*'Process'!P381),2),"")</x:f>
      </x:c>
      <x:c r="F381" s="16" t="str">
        <x:f>IF(AND(AND(380&lt;='Control Room'!$B$3,'Control Room'!$D$3="Ready"),4&lt;='Control Room'!$B$2),ROUND(MAX(0,'Process'!T381*'Control Room'!$H$7*INDEX('Control Room'!$B$19:$H$19,1,WEEKDAY($A381,2))*(1+'Control Room'!$D$9)^379*'Process'!U381),2),"")</x:f>
      </x:c>
      <x:c r="G381" s="16" t="str">
        <x:f>IF(AND(AND(380&lt;='Control Room'!$B$3,'Control Room'!$D$3="Ready"),5&lt;='Control Room'!$B$2),ROUND(MAX(0,'Process'!Y381*'Control Room'!$H$8*INDEX('Control Room'!$B$19:$H$19,1,WEEKDAY($A381,2))*(1+'Control Room'!$D$9)^379*'Process'!Z381),2),"")</x:f>
      </x:c>
      <x:c r="H381" s="16" t="str">
        <x:f>IF(AND(AND(380&lt;='Control Room'!$B$3,'Control Room'!$D$3="Ready"),6&lt;='Control Room'!$B$2),ROUND(MAX(0,'Process'!AD381*'Control Room'!$H$9*INDEX('Control Room'!$B$19:$H$19,1,WEEKDAY($A381,2))*(1+'Control Room'!$D$9)^379*'Process'!AE381),2),"")</x:f>
      </x:c>
      <x:c r="I381" s="16" t="str">
        <x:f>IF(AND(AND(380&lt;='Control Room'!$B$3,'Control Room'!$D$3="Ready"),7&lt;='Control Room'!$B$2),ROUND(MAX(0,'Process'!AI381*'Control Room'!$H$10*INDEX('Control Room'!$B$19:$H$19,1,WEEKDAY($A381,2))*(1+'Control Room'!$D$9)^379*'Process'!AJ381),2),"")</x:f>
      </x:c>
      <x:c r="J381" s="16" t="str">
        <x:f>IF(AND(AND(380&lt;='Control Room'!$B$3,'Control Room'!$D$3="Ready"),8&lt;='Control Room'!$B$2),ROUND(MAX(0,'Process'!AN381*'Control Room'!$H$11*INDEX('Control Room'!$B$19:$H$19,1,WEEKDAY($A381,2))*(1+'Control Room'!$D$9)^379*'Process'!AO381),2),"")</x:f>
      </x:c>
      <x:c r="K381" s="16" t="str">
        <x:f>IF(AND(AND(380&lt;='Control Room'!$B$3,'Control Room'!$D$3="Ready"),9&lt;='Control Room'!$B$2),ROUND(MAX(0,'Process'!AS381*'Control Room'!$H$12*INDEX('Control Room'!$B$19:$H$19,1,WEEKDAY($A381,2))*(1+'Control Room'!$D$9)^379*'Process'!AT381),2),"")</x:f>
      </x:c>
      <x:c r="L381" s="16" t="str">
        <x:f>IF(AND(AND(380&lt;='Control Room'!$B$3,'Control Room'!$D$3="Ready"),10&lt;='Control Room'!$B$2),ROUND(MAX(0,'Process'!AX381*'Control Room'!$H$13*INDEX('Control Room'!$B$19:$H$19,1,WEEKDAY($A381,2))*(1+'Control Room'!$D$9)^379*'Process'!AY381),2),"")</x:f>
      </x:c>
      <x:c r="M381" s="16" t="str">
        <x:f>IF(AND(AND(380&lt;='Control Room'!$B$3,'Control Room'!$D$3="Ready"),11&lt;='Control Room'!$B$2),ROUND(MAX(0,'Process'!BC381*'Control Room'!$H$14*INDEX('Control Room'!$B$19:$H$19,1,WEEKDAY($A381,2))*(1+'Control Room'!$D$9)^379*'Process'!BD381),2),"")</x:f>
      </x:c>
      <x:c r="N381" s="16" t="str">
        <x:f>IF(AND(AND(380&lt;='Control Room'!$B$3,'Control Room'!$D$3="Ready"),12&lt;='Control Room'!$B$2),ROUND(MAX(0,'Process'!BH381*'Control Room'!$H$15*INDEX('Control Room'!$B$19:$H$19,1,WEEKDAY($A381,2))*(1+'Control Room'!$D$9)^379*'Process'!BI381),2),"")</x:f>
      </x:c>
    </x:row>
    <x:row r="382" ht="21" customHeight="1">
      <x:c r="A382" s="15" t="str">
        <x:f>IF(AND(381&lt;='Control Room'!$B$3,'Control Room'!$D$3="Ready"),'Process'!A382,"")</x:f>
      </x:c>
      <x:c r="B382" s="16" t="str">
        <x:f>IF(A382="","",SUM(C382:N382))</x:f>
      </x:c>
      <x:c r="C382" s="16" t="str">
        <x:f>IF(AND(AND(381&lt;='Control Room'!$B$3,'Control Room'!$D$3="Ready"),1&lt;='Control Room'!$B$2),ROUND(MAX(0,'Process'!E382*'Control Room'!$H$4*INDEX('Control Room'!$B$19:$H$19,1,WEEKDAY($A382,2))*(1+'Control Room'!$D$9)^380*'Process'!F382),2),"")</x:f>
      </x:c>
      <x:c r="D382" s="16" t="str">
        <x:f>IF(AND(AND(381&lt;='Control Room'!$B$3,'Control Room'!$D$3="Ready"),2&lt;='Control Room'!$B$2),ROUND(MAX(0,'Process'!J382*'Control Room'!$H$5*INDEX('Control Room'!$B$19:$H$19,1,WEEKDAY($A382,2))*(1+'Control Room'!$D$9)^380*'Process'!K382),2),"")</x:f>
      </x:c>
      <x:c r="E382" s="16" t="str">
        <x:f>IF(AND(AND(381&lt;='Control Room'!$B$3,'Control Room'!$D$3="Ready"),3&lt;='Control Room'!$B$2),ROUND(MAX(0,'Process'!O382*'Control Room'!$H$6*INDEX('Control Room'!$B$19:$H$19,1,WEEKDAY($A382,2))*(1+'Control Room'!$D$9)^380*'Process'!P382),2),"")</x:f>
      </x:c>
      <x:c r="F382" s="16" t="str">
        <x:f>IF(AND(AND(381&lt;='Control Room'!$B$3,'Control Room'!$D$3="Ready"),4&lt;='Control Room'!$B$2),ROUND(MAX(0,'Process'!T382*'Control Room'!$H$7*INDEX('Control Room'!$B$19:$H$19,1,WEEKDAY($A382,2))*(1+'Control Room'!$D$9)^380*'Process'!U382),2),"")</x:f>
      </x:c>
      <x:c r="G382" s="16" t="str">
        <x:f>IF(AND(AND(381&lt;='Control Room'!$B$3,'Control Room'!$D$3="Ready"),5&lt;='Control Room'!$B$2),ROUND(MAX(0,'Process'!Y382*'Control Room'!$H$8*INDEX('Control Room'!$B$19:$H$19,1,WEEKDAY($A382,2))*(1+'Control Room'!$D$9)^380*'Process'!Z382),2),"")</x:f>
      </x:c>
      <x:c r="H382" s="16" t="str">
        <x:f>IF(AND(AND(381&lt;='Control Room'!$B$3,'Control Room'!$D$3="Ready"),6&lt;='Control Room'!$B$2),ROUND(MAX(0,'Process'!AD382*'Control Room'!$H$9*INDEX('Control Room'!$B$19:$H$19,1,WEEKDAY($A382,2))*(1+'Control Room'!$D$9)^380*'Process'!AE382),2),"")</x:f>
      </x:c>
      <x:c r="I382" s="16" t="str">
        <x:f>IF(AND(AND(381&lt;='Control Room'!$B$3,'Control Room'!$D$3="Ready"),7&lt;='Control Room'!$B$2),ROUND(MAX(0,'Process'!AI382*'Control Room'!$H$10*INDEX('Control Room'!$B$19:$H$19,1,WEEKDAY($A382,2))*(1+'Control Room'!$D$9)^380*'Process'!AJ382),2),"")</x:f>
      </x:c>
      <x:c r="J382" s="16" t="str">
        <x:f>IF(AND(AND(381&lt;='Control Room'!$B$3,'Control Room'!$D$3="Ready"),8&lt;='Control Room'!$B$2),ROUND(MAX(0,'Process'!AN382*'Control Room'!$H$11*INDEX('Control Room'!$B$19:$H$19,1,WEEKDAY($A382,2))*(1+'Control Room'!$D$9)^380*'Process'!AO382),2),"")</x:f>
      </x:c>
      <x:c r="K382" s="16" t="str">
        <x:f>IF(AND(AND(381&lt;='Control Room'!$B$3,'Control Room'!$D$3="Ready"),9&lt;='Control Room'!$B$2),ROUND(MAX(0,'Process'!AS382*'Control Room'!$H$12*INDEX('Control Room'!$B$19:$H$19,1,WEEKDAY($A382,2))*(1+'Control Room'!$D$9)^380*'Process'!AT382),2),"")</x:f>
      </x:c>
      <x:c r="L382" s="16" t="str">
        <x:f>IF(AND(AND(381&lt;='Control Room'!$B$3,'Control Room'!$D$3="Ready"),10&lt;='Control Room'!$B$2),ROUND(MAX(0,'Process'!AX382*'Control Room'!$H$13*INDEX('Control Room'!$B$19:$H$19,1,WEEKDAY($A382,2))*(1+'Control Room'!$D$9)^380*'Process'!AY382),2),"")</x:f>
      </x:c>
      <x:c r="M382" s="16" t="str">
        <x:f>IF(AND(AND(381&lt;='Control Room'!$B$3,'Control Room'!$D$3="Ready"),11&lt;='Control Room'!$B$2),ROUND(MAX(0,'Process'!BC382*'Control Room'!$H$14*INDEX('Control Room'!$B$19:$H$19,1,WEEKDAY($A382,2))*(1+'Control Room'!$D$9)^380*'Process'!BD382),2),"")</x:f>
      </x:c>
      <x:c r="N382" s="16" t="str">
        <x:f>IF(AND(AND(381&lt;='Control Room'!$B$3,'Control Room'!$D$3="Ready"),12&lt;='Control Room'!$B$2),ROUND(MAX(0,'Process'!BH382*'Control Room'!$H$15*INDEX('Control Room'!$B$19:$H$19,1,WEEKDAY($A382,2))*(1+'Control Room'!$D$9)^380*'Process'!BI382),2),"")</x:f>
      </x:c>
    </x:row>
    <x:row r="383" ht="21" customHeight="1">
      <x:c r="A383" s="15" t="str">
        <x:f>IF(AND(382&lt;='Control Room'!$B$3,'Control Room'!$D$3="Ready"),'Process'!A383,"")</x:f>
      </x:c>
      <x:c r="B383" s="16" t="str">
        <x:f>IF(A383="","",SUM(C383:N383))</x:f>
      </x:c>
      <x:c r="C383" s="16" t="str">
        <x:f>IF(AND(AND(382&lt;='Control Room'!$B$3,'Control Room'!$D$3="Ready"),1&lt;='Control Room'!$B$2),ROUND(MAX(0,'Process'!E383*'Control Room'!$H$4*INDEX('Control Room'!$B$19:$H$19,1,WEEKDAY($A383,2))*(1+'Control Room'!$D$9)^381*'Process'!F383),2),"")</x:f>
      </x:c>
      <x:c r="D383" s="16" t="str">
        <x:f>IF(AND(AND(382&lt;='Control Room'!$B$3,'Control Room'!$D$3="Ready"),2&lt;='Control Room'!$B$2),ROUND(MAX(0,'Process'!J383*'Control Room'!$H$5*INDEX('Control Room'!$B$19:$H$19,1,WEEKDAY($A383,2))*(1+'Control Room'!$D$9)^381*'Process'!K383),2),"")</x:f>
      </x:c>
      <x:c r="E383" s="16" t="str">
        <x:f>IF(AND(AND(382&lt;='Control Room'!$B$3,'Control Room'!$D$3="Ready"),3&lt;='Control Room'!$B$2),ROUND(MAX(0,'Process'!O383*'Control Room'!$H$6*INDEX('Control Room'!$B$19:$H$19,1,WEEKDAY($A383,2))*(1+'Control Room'!$D$9)^381*'Process'!P383),2),"")</x:f>
      </x:c>
      <x:c r="F383" s="16" t="str">
        <x:f>IF(AND(AND(382&lt;='Control Room'!$B$3,'Control Room'!$D$3="Ready"),4&lt;='Control Room'!$B$2),ROUND(MAX(0,'Process'!T383*'Control Room'!$H$7*INDEX('Control Room'!$B$19:$H$19,1,WEEKDAY($A383,2))*(1+'Control Room'!$D$9)^381*'Process'!U383),2),"")</x:f>
      </x:c>
      <x:c r="G383" s="16" t="str">
        <x:f>IF(AND(AND(382&lt;='Control Room'!$B$3,'Control Room'!$D$3="Ready"),5&lt;='Control Room'!$B$2),ROUND(MAX(0,'Process'!Y383*'Control Room'!$H$8*INDEX('Control Room'!$B$19:$H$19,1,WEEKDAY($A383,2))*(1+'Control Room'!$D$9)^381*'Process'!Z383),2),"")</x:f>
      </x:c>
      <x:c r="H383" s="16" t="str">
        <x:f>IF(AND(AND(382&lt;='Control Room'!$B$3,'Control Room'!$D$3="Ready"),6&lt;='Control Room'!$B$2),ROUND(MAX(0,'Process'!AD383*'Control Room'!$H$9*INDEX('Control Room'!$B$19:$H$19,1,WEEKDAY($A383,2))*(1+'Control Room'!$D$9)^381*'Process'!AE383),2),"")</x:f>
      </x:c>
      <x:c r="I383" s="16" t="str">
        <x:f>IF(AND(AND(382&lt;='Control Room'!$B$3,'Control Room'!$D$3="Ready"),7&lt;='Control Room'!$B$2),ROUND(MAX(0,'Process'!AI383*'Control Room'!$H$10*INDEX('Control Room'!$B$19:$H$19,1,WEEKDAY($A383,2))*(1+'Control Room'!$D$9)^381*'Process'!AJ383),2),"")</x:f>
      </x:c>
      <x:c r="J383" s="16" t="str">
        <x:f>IF(AND(AND(382&lt;='Control Room'!$B$3,'Control Room'!$D$3="Ready"),8&lt;='Control Room'!$B$2),ROUND(MAX(0,'Process'!AN383*'Control Room'!$H$11*INDEX('Control Room'!$B$19:$H$19,1,WEEKDAY($A383,2))*(1+'Control Room'!$D$9)^381*'Process'!AO383),2),"")</x:f>
      </x:c>
      <x:c r="K383" s="16" t="str">
        <x:f>IF(AND(AND(382&lt;='Control Room'!$B$3,'Control Room'!$D$3="Ready"),9&lt;='Control Room'!$B$2),ROUND(MAX(0,'Process'!AS383*'Control Room'!$H$12*INDEX('Control Room'!$B$19:$H$19,1,WEEKDAY($A383,2))*(1+'Control Room'!$D$9)^381*'Process'!AT383),2),"")</x:f>
      </x:c>
      <x:c r="L383" s="16" t="str">
        <x:f>IF(AND(AND(382&lt;='Control Room'!$B$3,'Control Room'!$D$3="Ready"),10&lt;='Control Room'!$B$2),ROUND(MAX(0,'Process'!AX383*'Control Room'!$H$13*INDEX('Control Room'!$B$19:$H$19,1,WEEKDAY($A383,2))*(1+'Control Room'!$D$9)^381*'Process'!AY383),2),"")</x:f>
      </x:c>
      <x:c r="M383" s="16" t="str">
        <x:f>IF(AND(AND(382&lt;='Control Room'!$B$3,'Control Room'!$D$3="Ready"),11&lt;='Control Room'!$B$2),ROUND(MAX(0,'Process'!BC383*'Control Room'!$H$14*INDEX('Control Room'!$B$19:$H$19,1,WEEKDAY($A383,2))*(1+'Control Room'!$D$9)^381*'Process'!BD383),2),"")</x:f>
      </x:c>
      <x:c r="N383" s="16" t="str">
        <x:f>IF(AND(AND(382&lt;='Control Room'!$B$3,'Control Room'!$D$3="Ready"),12&lt;='Control Room'!$B$2),ROUND(MAX(0,'Process'!BH383*'Control Room'!$H$15*INDEX('Control Room'!$B$19:$H$19,1,WEEKDAY($A383,2))*(1+'Control Room'!$D$9)^381*'Process'!BI383),2),"")</x:f>
      </x:c>
    </x:row>
    <x:row r="384" ht="21" customHeight="1">
      <x:c r="A384" s="15" t="str">
        <x:f>IF(AND(383&lt;='Control Room'!$B$3,'Control Room'!$D$3="Ready"),'Process'!A384,"")</x:f>
      </x:c>
      <x:c r="B384" s="16" t="str">
        <x:f>IF(A384="","",SUM(C384:N384))</x:f>
      </x:c>
      <x:c r="C384" s="16" t="str">
        <x:f>IF(AND(AND(383&lt;='Control Room'!$B$3,'Control Room'!$D$3="Ready"),1&lt;='Control Room'!$B$2),ROUND(MAX(0,'Process'!E384*'Control Room'!$H$4*INDEX('Control Room'!$B$19:$H$19,1,WEEKDAY($A384,2))*(1+'Control Room'!$D$9)^382*'Process'!F384),2),"")</x:f>
      </x:c>
      <x:c r="D384" s="16" t="str">
        <x:f>IF(AND(AND(383&lt;='Control Room'!$B$3,'Control Room'!$D$3="Ready"),2&lt;='Control Room'!$B$2),ROUND(MAX(0,'Process'!J384*'Control Room'!$H$5*INDEX('Control Room'!$B$19:$H$19,1,WEEKDAY($A384,2))*(1+'Control Room'!$D$9)^382*'Process'!K384),2),"")</x:f>
      </x:c>
      <x:c r="E384" s="16" t="str">
        <x:f>IF(AND(AND(383&lt;='Control Room'!$B$3,'Control Room'!$D$3="Ready"),3&lt;='Control Room'!$B$2),ROUND(MAX(0,'Process'!O384*'Control Room'!$H$6*INDEX('Control Room'!$B$19:$H$19,1,WEEKDAY($A384,2))*(1+'Control Room'!$D$9)^382*'Process'!P384),2),"")</x:f>
      </x:c>
      <x:c r="F384" s="16" t="str">
        <x:f>IF(AND(AND(383&lt;='Control Room'!$B$3,'Control Room'!$D$3="Ready"),4&lt;='Control Room'!$B$2),ROUND(MAX(0,'Process'!T384*'Control Room'!$H$7*INDEX('Control Room'!$B$19:$H$19,1,WEEKDAY($A384,2))*(1+'Control Room'!$D$9)^382*'Process'!U384),2),"")</x:f>
      </x:c>
      <x:c r="G384" s="16" t="str">
        <x:f>IF(AND(AND(383&lt;='Control Room'!$B$3,'Control Room'!$D$3="Ready"),5&lt;='Control Room'!$B$2),ROUND(MAX(0,'Process'!Y384*'Control Room'!$H$8*INDEX('Control Room'!$B$19:$H$19,1,WEEKDAY($A384,2))*(1+'Control Room'!$D$9)^382*'Process'!Z384),2),"")</x:f>
      </x:c>
      <x:c r="H384" s="16" t="str">
        <x:f>IF(AND(AND(383&lt;='Control Room'!$B$3,'Control Room'!$D$3="Ready"),6&lt;='Control Room'!$B$2),ROUND(MAX(0,'Process'!AD384*'Control Room'!$H$9*INDEX('Control Room'!$B$19:$H$19,1,WEEKDAY($A384,2))*(1+'Control Room'!$D$9)^382*'Process'!AE384),2),"")</x:f>
      </x:c>
      <x:c r="I384" s="16" t="str">
        <x:f>IF(AND(AND(383&lt;='Control Room'!$B$3,'Control Room'!$D$3="Ready"),7&lt;='Control Room'!$B$2),ROUND(MAX(0,'Process'!AI384*'Control Room'!$H$10*INDEX('Control Room'!$B$19:$H$19,1,WEEKDAY($A384,2))*(1+'Control Room'!$D$9)^382*'Process'!AJ384),2),"")</x:f>
      </x:c>
      <x:c r="J384" s="16" t="str">
        <x:f>IF(AND(AND(383&lt;='Control Room'!$B$3,'Control Room'!$D$3="Ready"),8&lt;='Control Room'!$B$2),ROUND(MAX(0,'Process'!AN384*'Control Room'!$H$11*INDEX('Control Room'!$B$19:$H$19,1,WEEKDAY($A384,2))*(1+'Control Room'!$D$9)^382*'Process'!AO384),2),"")</x:f>
      </x:c>
      <x:c r="K384" s="16" t="str">
        <x:f>IF(AND(AND(383&lt;='Control Room'!$B$3,'Control Room'!$D$3="Ready"),9&lt;='Control Room'!$B$2),ROUND(MAX(0,'Process'!AS384*'Control Room'!$H$12*INDEX('Control Room'!$B$19:$H$19,1,WEEKDAY($A384,2))*(1+'Control Room'!$D$9)^382*'Process'!AT384),2),"")</x:f>
      </x:c>
      <x:c r="L384" s="16" t="str">
        <x:f>IF(AND(AND(383&lt;='Control Room'!$B$3,'Control Room'!$D$3="Ready"),10&lt;='Control Room'!$B$2),ROUND(MAX(0,'Process'!AX384*'Control Room'!$H$13*INDEX('Control Room'!$B$19:$H$19,1,WEEKDAY($A384,2))*(1+'Control Room'!$D$9)^382*'Process'!AY384),2),"")</x:f>
      </x:c>
      <x:c r="M384" s="16" t="str">
        <x:f>IF(AND(AND(383&lt;='Control Room'!$B$3,'Control Room'!$D$3="Ready"),11&lt;='Control Room'!$B$2),ROUND(MAX(0,'Process'!BC384*'Control Room'!$H$14*INDEX('Control Room'!$B$19:$H$19,1,WEEKDAY($A384,2))*(1+'Control Room'!$D$9)^382*'Process'!BD384),2),"")</x:f>
      </x:c>
      <x:c r="N384" s="16" t="str">
        <x:f>IF(AND(AND(383&lt;='Control Room'!$B$3,'Control Room'!$D$3="Ready"),12&lt;='Control Room'!$B$2),ROUND(MAX(0,'Process'!BH384*'Control Room'!$H$15*INDEX('Control Room'!$B$19:$H$19,1,WEEKDAY($A384,2))*(1+'Control Room'!$D$9)^382*'Process'!BI384),2),"")</x:f>
      </x:c>
    </x:row>
    <x:row r="385" ht="21" customHeight="1">
      <x:c r="A385" s="15" t="str">
        <x:f>IF(AND(384&lt;='Control Room'!$B$3,'Control Room'!$D$3="Ready"),'Process'!A385,"")</x:f>
      </x:c>
      <x:c r="B385" s="16" t="str">
        <x:f>IF(A385="","",SUM(C385:N385))</x:f>
      </x:c>
      <x:c r="C385" s="16" t="str">
        <x:f>IF(AND(AND(384&lt;='Control Room'!$B$3,'Control Room'!$D$3="Ready"),1&lt;='Control Room'!$B$2),ROUND(MAX(0,'Process'!E385*'Control Room'!$H$4*INDEX('Control Room'!$B$19:$H$19,1,WEEKDAY($A385,2))*(1+'Control Room'!$D$9)^383*'Process'!F385),2),"")</x:f>
      </x:c>
      <x:c r="D385" s="16" t="str">
        <x:f>IF(AND(AND(384&lt;='Control Room'!$B$3,'Control Room'!$D$3="Ready"),2&lt;='Control Room'!$B$2),ROUND(MAX(0,'Process'!J385*'Control Room'!$H$5*INDEX('Control Room'!$B$19:$H$19,1,WEEKDAY($A385,2))*(1+'Control Room'!$D$9)^383*'Process'!K385),2),"")</x:f>
      </x:c>
      <x:c r="E385" s="16" t="str">
        <x:f>IF(AND(AND(384&lt;='Control Room'!$B$3,'Control Room'!$D$3="Ready"),3&lt;='Control Room'!$B$2),ROUND(MAX(0,'Process'!O385*'Control Room'!$H$6*INDEX('Control Room'!$B$19:$H$19,1,WEEKDAY($A385,2))*(1+'Control Room'!$D$9)^383*'Process'!P385),2),"")</x:f>
      </x:c>
      <x:c r="F385" s="16" t="str">
        <x:f>IF(AND(AND(384&lt;='Control Room'!$B$3,'Control Room'!$D$3="Ready"),4&lt;='Control Room'!$B$2),ROUND(MAX(0,'Process'!T385*'Control Room'!$H$7*INDEX('Control Room'!$B$19:$H$19,1,WEEKDAY($A385,2))*(1+'Control Room'!$D$9)^383*'Process'!U385),2),"")</x:f>
      </x:c>
      <x:c r="G385" s="16" t="str">
        <x:f>IF(AND(AND(384&lt;='Control Room'!$B$3,'Control Room'!$D$3="Ready"),5&lt;='Control Room'!$B$2),ROUND(MAX(0,'Process'!Y385*'Control Room'!$H$8*INDEX('Control Room'!$B$19:$H$19,1,WEEKDAY($A385,2))*(1+'Control Room'!$D$9)^383*'Process'!Z385),2),"")</x:f>
      </x:c>
      <x:c r="H385" s="16" t="str">
        <x:f>IF(AND(AND(384&lt;='Control Room'!$B$3,'Control Room'!$D$3="Ready"),6&lt;='Control Room'!$B$2),ROUND(MAX(0,'Process'!AD385*'Control Room'!$H$9*INDEX('Control Room'!$B$19:$H$19,1,WEEKDAY($A385,2))*(1+'Control Room'!$D$9)^383*'Process'!AE385),2),"")</x:f>
      </x:c>
      <x:c r="I385" s="16" t="str">
        <x:f>IF(AND(AND(384&lt;='Control Room'!$B$3,'Control Room'!$D$3="Ready"),7&lt;='Control Room'!$B$2),ROUND(MAX(0,'Process'!AI385*'Control Room'!$H$10*INDEX('Control Room'!$B$19:$H$19,1,WEEKDAY($A385,2))*(1+'Control Room'!$D$9)^383*'Process'!AJ385),2),"")</x:f>
      </x:c>
      <x:c r="J385" s="16" t="str">
        <x:f>IF(AND(AND(384&lt;='Control Room'!$B$3,'Control Room'!$D$3="Ready"),8&lt;='Control Room'!$B$2),ROUND(MAX(0,'Process'!AN385*'Control Room'!$H$11*INDEX('Control Room'!$B$19:$H$19,1,WEEKDAY($A385,2))*(1+'Control Room'!$D$9)^383*'Process'!AO385),2),"")</x:f>
      </x:c>
      <x:c r="K385" s="16" t="str">
        <x:f>IF(AND(AND(384&lt;='Control Room'!$B$3,'Control Room'!$D$3="Ready"),9&lt;='Control Room'!$B$2),ROUND(MAX(0,'Process'!AS385*'Control Room'!$H$12*INDEX('Control Room'!$B$19:$H$19,1,WEEKDAY($A385,2))*(1+'Control Room'!$D$9)^383*'Process'!AT385),2),"")</x:f>
      </x:c>
      <x:c r="L385" s="16" t="str">
        <x:f>IF(AND(AND(384&lt;='Control Room'!$B$3,'Control Room'!$D$3="Ready"),10&lt;='Control Room'!$B$2),ROUND(MAX(0,'Process'!AX385*'Control Room'!$H$13*INDEX('Control Room'!$B$19:$H$19,1,WEEKDAY($A385,2))*(1+'Control Room'!$D$9)^383*'Process'!AY385),2),"")</x:f>
      </x:c>
      <x:c r="M385" s="16" t="str">
        <x:f>IF(AND(AND(384&lt;='Control Room'!$B$3,'Control Room'!$D$3="Ready"),11&lt;='Control Room'!$B$2),ROUND(MAX(0,'Process'!BC385*'Control Room'!$H$14*INDEX('Control Room'!$B$19:$H$19,1,WEEKDAY($A385,2))*(1+'Control Room'!$D$9)^383*'Process'!BD385),2),"")</x:f>
      </x:c>
      <x:c r="N385" s="16" t="str">
        <x:f>IF(AND(AND(384&lt;='Control Room'!$B$3,'Control Room'!$D$3="Ready"),12&lt;='Control Room'!$B$2),ROUND(MAX(0,'Process'!BH385*'Control Room'!$H$15*INDEX('Control Room'!$B$19:$H$19,1,WEEKDAY($A385,2))*(1+'Control Room'!$D$9)^383*'Process'!BI385),2),"")</x:f>
      </x:c>
    </x:row>
    <x:row r="386" ht="21" customHeight="1">
      <x:c r="A386" s="15" t="str">
        <x:f>IF(AND(385&lt;='Control Room'!$B$3,'Control Room'!$D$3="Ready"),'Process'!A386,"")</x:f>
      </x:c>
      <x:c r="B386" s="16" t="str">
        <x:f>IF(A386="","",SUM(C386:N386))</x:f>
      </x:c>
      <x:c r="C386" s="16" t="str">
        <x:f>IF(AND(AND(385&lt;='Control Room'!$B$3,'Control Room'!$D$3="Ready"),1&lt;='Control Room'!$B$2),ROUND(MAX(0,'Process'!E386*'Control Room'!$H$4*INDEX('Control Room'!$B$19:$H$19,1,WEEKDAY($A386,2))*(1+'Control Room'!$D$9)^384*'Process'!F386),2),"")</x:f>
      </x:c>
      <x:c r="D386" s="16" t="str">
        <x:f>IF(AND(AND(385&lt;='Control Room'!$B$3,'Control Room'!$D$3="Ready"),2&lt;='Control Room'!$B$2),ROUND(MAX(0,'Process'!J386*'Control Room'!$H$5*INDEX('Control Room'!$B$19:$H$19,1,WEEKDAY($A386,2))*(1+'Control Room'!$D$9)^384*'Process'!K386),2),"")</x:f>
      </x:c>
      <x:c r="E386" s="16" t="str">
        <x:f>IF(AND(AND(385&lt;='Control Room'!$B$3,'Control Room'!$D$3="Ready"),3&lt;='Control Room'!$B$2),ROUND(MAX(0,'Process'!O386*'Control Room'!$H$6*INDEX('Control Room'!$B$19:$H$19,1,WEEKDAY($A386,2))*(1+'Control Room'!$D$9)^384*'Process'!P386),2),"")</x:f>
      </x:c>
      <x:c r="F386" s="16" t="str">
        <x:f>IF(AND(AND(385&lt;='Control Room'!$B$3,'Control Room'!$D$3="Ready"),4&lt;='Control Room'!$B$2),ROUND(MAX(0,'Process'!T386*'Control Room'!$H$7*INDEX('Control Room'!$B$19:$H$19,1,WEEKDAY($A386,2))*(1+'Control Room'!$D$9)^384*'Process'!U386),2),"")</x:f>
      </x:c>
      <x:c r="G386" s="16" t="str">
        <x:f>IF(AND(AND(385&lt;='Control Room'!$B$3,'Control Room'!$D$3="Ready"),5&lt;='Control Room'!$B$2),ROUND(MAX(0,'Process'!Y386*'Control Room'!$H$8*INDEX('Control Room'!$B$19:$H$19,1,WEEKDAY($A386,2))*(1+'Control Room'!$D$9)^384*'Process'!Z386),2),"")</x:f>
      </x:c>
      <x:c r="H386" s="16" t="str">
        <x:f>IF(AND(AND(385&lt;='Control Room'!$B$3,'Control Room'!$D$3="Ready"),6&lt;='Control Room'!$B$2),ROUND(MAX(0,'Process'!AD386*'Control Room'!$H$9*INDEX('Control Room'!$B$19:$H$19,1,WEEKDAY($A386,2))*(1+'Control Room'!$D$9)^384*'Process'!AE386),2),"")</x:f>
      </x:c>
      <x:c r="I386" s="16" t="str">
        <x:f>IF(AND(AND(385&lt;='Control Room'!$B$3,'Control Room'!$D$3="Ready"),7&lt;='Control Room'!$B$2),ROUND(MAX(0,'Process'!AI386*'Control Room'!$H$10*INDEX('Control Room'!$B$19:$H$19,1,WEEKDAY($A386,2))*(1+'Control Room'!$D$9)^384*'Process'!AJ386),2),"")</x:f>
      </x:c>
      <x:c r="J386" s="16" t="str">
        <x:f>IF(AND(AND(385&lt;='Control Room'!$B$3,'Control Room'!$D$3="Ready"),8&lt;='Control Room'!$B$2),ROUND(MAX(0,'Process'!AN386*'Control Room'!$H$11*INDEX('Control Room'!$B$19:$H$19,1,WEEKDAY($A386,2))*(1+'Control Room'!$D$9)^384*'Process'!AO386),2),"")</x:f>
      </x:c>
      <x:c r="K386" s="16" t="str">
        <x:f>IF(AND(AND(385&lt;='Control Room'!$B$3,'Control Room'!$D$3="Ready"),9&lt;='Control Room'!$B$2),ROUND(MAX(0,'Process'!AS386*'Control Room'!$H$12*INDEX('Control Room'!$B$19:$H$19,1,WEEKDAY($A386,2))*(1+'Control Room'!$D$9)^384*'Process'!AT386),2),"")</x:f>
      </x:c>
      <x:c r="L386" s="16" t="str">
        <x:f>IF(AND(AND(385&lt;='Control Room'!$B$3,'Control Room'!$D$3="Ready"),10&lt;='Control Room'!$B$2),ROUND(MAX(0,'Process'!AX386*'Control Room'!$H$13*INDEX('Control Room'!$B$19:$H$19,1,WEEKDAY($A386,2))*(1+'Control Room'!$D$9)^384*'Process'!AY386),2),"")</x:f>
      </x:c>
      <x:c r="M386" s="16" t="str">
        <x:f>IF(AND(AND(385&lt;='Control Room'!$B$3,'Control Room'!$D$3="Ready"),11&lt;='Control Room'!$B$2),ROUND(MAX(0,'Process'!BC386*'Control Room'!$H$14*INDEX('Control Room'!$B$19:$H$19,1,WEEKDAY($A386,2))*(1+'Control Room'!$D$9)^384*'Process'!BD386),2),"")</x:f>
      </x:c>
      <x:c r="N386" s="16" t="str">
        <x:f>IF(AND(AND(385&lt;='Control Room'!$B$3,'Control Room'!$D$3="Ready"),12&lt;='Control Room'!$B$2),ROUND(MAX(0,'Process'!BH386*'Control Room'!$H$15*INDEX('Control Room'!$B$19:$H$19,1,WEEKDAY($A386,2))*(1+'Control Room'!$D$9)^384*'Process'!BI386),2),"")</x:f>
      </x:c>
    </x:row>
    <x:row r="387" ht="21" customHeight="1">
      <x:c r="A387" s="15" t="str">
        <x:f>IF(AND(386&lt;='Control Room'!$B$3,'Control Room'!$D$3="Ready"),'Process'!A387,"")</x:f>
      </x:c>
      <x:c r="B387" s="16" t="str">
        <x:f>IF(A387="","",SUM(C387:N387))</x:f>
      </x:c>
      <x:c r="C387" s="16" t="str">
        <x:f>IF(AND(AND(386&lt;='Control Room'!$B$3,'Control Room'!$D$3="Ready"),1&lt;='Control Room'!$B$2),ROUND(MAX(0,'Process'!E387*'Control Room'!$H$4*INDEX('Control Room'!$B$19:$H$19,1,WEEKDAY($A387,2))*(1+'Control Room'!$D$9)^385*'Process'!F387),2),"")</x:f>
      </x:c>
      <x:c r="D387" s="16" t="str">
        <x:f>IF(AND(AND(386&lt;='Control Room'!$B$3,'Control Room'!$D$3="Ready"),2&lt;='Control Room'!$B$2),ROUND(MAX(0,'Process'!J387*'Control Room'!$H$5*INDEX('Control Room'!$B$19:$H$19,1,WEEKDAY($A387,2))*(1+'Control Room'!$D$9)^385*'Process'!K387),2),"")</x:f>
      </x:c>
      <x:c r="E387" s="16" t="str">
        <x:f>IF(AND(AND(386&lt;='Control Room'!$B$3,'Control Room'!$D$3="Ready"),3&lt;='Control Room'!$B$2),ROUND(MAX(0,'Process'!O387*'Control Room'!$H$6*INDEX('Control Room'!$B$19:$H$19,1,WEEKDAY($A387,2))*(1+'Control Room'!$D$9)^385*'Process'!P387),2),"")</x:f>
      </x:c>
      <x:c r="F387" s="16" t="str">
        <x:f>IF(AND(AND(386&lt;='Control Room'!$B$3,'Control Room'!$D$3="Ready"),4&lt;='Control Room'!$B$2),ROUND(MAX(0,'Process'!T387*'Control Room'!$H$7*INDEX('Control Room'!$B$19:$H$19,1,WEEKDAY($A387,2))*(1+'Control Room'!$D$9)^385*'Process'!U387),2),"")</x:f>
      </x:c>
      <x:c r="G387" s="16" t="str">
        <x:f>IF(AND(AND(386&lt;='Control Room'!$B$3,'Control Room'!$D$3="Ready"),5&lt;='Control Room'!$B$2),ROUND(MAX(0,'Process'!Y387*'Control Room'!$H$8*INDEX('Control Room'!$B$19:$H$19,1,WEEKDAY($A387,2))*(1+'Control Room'!$D$9)^385*'Process'!Z387),2),"")</x:f>
      </x:c>
      <x:c r="H387" s="16" t="str">
        <x:f>IF(AND(AND(386&lt;='Control Room'!$B$3,'Control Room'!$D$3="Ready"),6&lt;='Control Room'!$B$2),ROUND(MAX(0,'Process'!AD387*'Control Room'!$H$9*INDEX('Control Room'!$B$19:$H$19,1,WEEKDAY($A387,2))*(1+'Control Room'!$D$9)^385*'Process'!AE387),2),"")</x:f>
      </x:c>
      <x:c r="I387" s="16" t="str">
        <x:f>IF(AND(AND(386&lt;='Control Room'!$B$3,'Control Room'!$D$3="Ready"),7&lt;='Control Room'!$B$2),ROUND(MAX(0,'Process'!AI387*'Control Room'!$H$10*INDEX('Control Room'!$B$19:$H$19,1,WEEKDAY($A387,2))*(1+'Control Room'!$D$9)^385*'Process'!AJ387),2),"")</x:f>
      </x:c>
      <x:c r="J387" s="16" t="str">
        <x:f>IF(AND(AND(386&lt;='Control Room'!$B$3,'Control Room'!$D$3="Ready"),8&lt;='Control Room'!$B$2),ROUND(MAX(0,'Process'!AN387*'Control Room'!$H$11*INDEX('Control Room'!$B$19:$H$19,1,WEEKDAY($A387,2))*(1+'Control Room'!$D$9)^385*'Process'!AO387),2),"")</x:f>
      </x:c>
      <x:c r="K387" s="16" t="str">
        <x:f>IF(AND(AND(386&lt;='Control Room'!$B$3,'Control Room'!$D$3="Ready"),9&lt;='Control Room'!$B$2),ROUND(MAX(0,'Process'!AS387*'Control Room'!$H$12*INDEX('Control Room'!$B$19:$H$19,1,WEEKDAY($A387,2))*(1+'Control Room'!$D$9)^385*'Process'!AT387),2),"")</x:f>
      </x:c>
      <x:c r="L387" s="16" t="str">
        <x:f>IF(AND(AND(386&lt;='Control Room'!$B$3,'Control Room'!$D$3="Ready"),10&lt;='Control Room'!$B$2),ROUND(MAX(0,'Process'!AX387*'Control Room'!$H$13*INDEX('Control Room'!$B$19:$H$19,1,WEEKDAY($A387,2))*(1+'Control Room'!$D$9)^385*'Process'!AY387),2),"")</x:f>
      </x:c>
      <x:c r="M387" s="16" t="str">
        <x:f>IF(AND(AND(386&lt;='Control Room'!$B$3,'Control Room'!$D$3="Ready"),11&lt;='Control Room'!$B$2),ROUND(MAX(0,'Process'!BC387*'Control Room'!$H$14*INDEX('Control Room'!$B$19:$H$19,1,WEEKDAY($A387,2))*(1+'Control Room'!$D$9)^385*'Process'!BD387),2),"")</x:f>
      </x:c>
      <x:c r="N387" s="16" t="str">
        <x:f>IF(AND(AND(386&lt;='Control Room'!$B$3,'Control Room'!$D$3="Ready"),12&lt;='Control Room'!$B$2),ROUND(MAX(0,'Process'!BH387*'Control Room'!$H$15*INDEX('Control Room'!$B$19:$H$19,1,WEEKDAY($A387,2))*(1+'Control Room'!$D$9)^385*'Process'!BI387),2),"")</x:f>
      </x:c>
    </x:row>
    <x:row r="388" ht="21" customHeight="1">
      <x:c r="A388" s="15" t="str">
        <x:f>IF(AND(387&lt;='Control Room'!$B$3,'Control Room'!$D$3="Ready"),'Process'!A388,"")</x:f>
      </x:c>
      <x:c r="B388" s="16" t="str">
        <x:f>IF(A388="","",SUM(C388:N388))</x:f>
      </x:c>
      <x:c r="C388" s="16" t="str">
        <x:f>IF(AND(AND(387&lt;='Control Room'!$B$3,'Control Room'!$D$3="Ready"),1&lt;='Control Room'!$B$2),ROUND(MAX(0,'Process'!E388*'Control Room'!$H$4*INDEX('Control Room'!$B$19:$H$19,1,WEEKDAY($A388,2))*(1+'Control Room'!$D$9)^386*'Process'!F388),2),"")</x:f>
      </x:c>
      <x:c r="D388" s="16" t="str">
        <x:f>IF(AND(AND(387&lt;='Control Room'!$B$3,'Control Room'!$D$3="Ready"),2&lt;='Control Room'!$B$2),ROUND(MAX(0,'Process'!J388*'Control Room'!$H$5*INDEX('Control Room'!$B$19:$H$19,1,WEEKDAY($A388,2))*(1+'Control Room'!$D$9)^386*'Process'!K388),2),"")</x:f>
      </x:c>
      <x:c r="E388" s="16" t="str">
        <x:f>IF(AND(AND(387&lt;='Control Room'!$B$3,'Control Room'!$D$3="Ready"),3&lt;='Control Room'!$B$2),ROUND(MAX(0,'Process'!O388*'Control Room'!$H$6*INDEX('Control Room'!$B$19:$H$19,1,WEEKDAY($A388,2))*(1+'Control Room'!$D$9)^386*'Process'!P388),2),"")</x:f>
      </x:c>
      <x:c r="F388" s="16" t="str">
        <x:f>IF(AND(AND(387&lt;='Control Room'!$B$3,'Control Room'!$D$3="Ready"),4&lt;='Control Room'!$B$2),ROUND(MAX(0,'Process'!T388*'Control Room'!$H$7*INDEX('Control Room'!$B$19:$H$19,1,WEEKDAY($A388,2))*(1+'Control Room'!$D$9)^386*'Process'!U388),2),"")</x:f>
      </x:c>
      <x:c r="G388" s="16" t="str">
        <x:f>IF(AND(AND(387&lt;='Control Room'!$B$3,'Control Room'!$D$3="Ready"),5&lt;='Control Room'!$B$2),ROUND(MAX(0,'Process'!Y388*'Control Room'!$H$8*INDEX('Control Room'!$B$19:$H$19,1,WEEKDAY($A388,2))*(1+'Control Room'!$D$9)^386*'Process'!Z388),2),"")</x:f>
      </x:c>
      <x:c r="H388" s="16" t="str">
        <x:f>IF(AND(AND(387&lt;='Control Room'!$B$3,'Control Room'!$D$3="Ready"),6&lt;='Control Room'!$B$2),ROUND(MAX(0,'Process'!AD388*'Control Room'!$H$9*INDEX('Control Room'!$B$19:$H$19,1,WEEKDAY($A388,2))*(1+'Control Room'!$D$9)^386*'Process'!AE388),2),"")</x:f>
      </x:c>
      <x:c r="I388" s="16" t="str">
        <x:f>IF(AND(AND(387&lt;='Control Room'!$B$3,'Control Room'!$D$3="Ready"),7&lt;='Control Room'!$B$2),ROUND(MAX(0,'Process'!AI388*'Control Room'!$H$10*INDEX('Control Room'!$B$19:$H$19,1,WEEKDAY($A388,2))*(1+'Control Room'!$D$9)^386*'Process'!AJ388),2),"")</x:f>
      </x:c>
      <x:c r="J388" s="16" t="str">
        <x:f>IF(AND(AND(387&lt;='Control Room'!$B$3,'Control Room'!$D$3="Ready"),8&lt;='Control Room'!$B$2),ROUND(MAX(0,'Process'!AN388*'Control Room'!$H$11*INDEX('Control Room'!$B$19:$H$19,1,WEEKDAY($A388,2))*(1+'Control Room'!$D$9)^386*'Process'!AO388),2),"")</x:f>
      </x:c>
      <x:c r="K388" s="16" t="str">
        <x:f>IF(AND(AND(387&lt;='Control Room'!$B$3,'Control Room'!$D$3="Ready"),9&lt;='Control Room'!$B$2),ROUND(MAX(0,'Process'!AS388*'Control Room'!$H$12*INDEX('Control Room'!$B$19:$H$19,1,WEEKDAY($A388,2))*(1+'Control Room'!$D$9)^386*'Process'!AT388),2),"")</x:f>
      </x:c>
      <x:c r="L388" s="16" t="str">
        <x:f>IF(AND(AND(387&lt;='Control Room'!$B$3,'Control Room'!$D$3="Ready"),10&lt;='Control Room'!$B$2),ROUND(MAX(0,'Process'!AX388*'Control Room'!$H$13*INDEX('Control Room'!$B$19:$H$19,1,WEEKDAY($A388,2))*(1+'Control Room'!$D$9)^386*'Process'!AY388),2),"")</x:f>
      </x:c>
      <x:c r="M388" s="16" t="str">
        <x:f>IF(AND(AND(387&lt;='Control Room'!$B$3,'Control Room'!$D$3="Ready"),11&lt;='Control Room'!$B$2),ROUND(MAX(0,'Process'!BC388*'Control Room'!$H$14*INDEX('Control Room'!$B$19:$H$19,1,WEEKDAY($A388,2))*(1+'Control Room'!$D$9)^386*'Process'!BD388),2),"")</x:f>
      </x:c>
      <x:c r="N388" s="16" t="str">
        <x:f>IF(AND(AND(387&lt;='Control Room'!$B$3,'Control Room'!$D$3="Ready"),12&lt;='Control Room'!$B$2),ROUND(MAX(0,'Process'!BH388*'Control Room'!$H$15*INDEX('Control Room'!$B$19:$H$19,1,WEEKDAY($A388,2))*(1+'Control Room'!$D$9)^386*'Process'!BI388),2),"")</x:f>
      </x:c>
    </x:row>
    <x:row r="389" ht="21" customHeight="1">
      <x:c r="A389" s="15" t="str">
        <x:f>IF(AND(388&lt;='Control Room'!$B$3,'Control Room'!$D$3="Ready"),'Process'!A389,"")</x:f>
      </x:c>
      <x:c r="B389" s="16" t="str">
        <x:f>IF(A389="","",SUM(C389:N389))</x:f>
      </x:c>
      <x:c r="C389" s="16" t="str">
        <x:f>IF(AND(AND(388&lt;='Control Room'!$B$3,'Control Room'!$D$3="Ready"),1&lt;='Control Room'!$B$2),ROUND(MAX(0,'Process'!E389*'Control Room'!$H$4*INDEX('Control Room'!$B$19:$H$19,1,WEEKDAY($A389,2))*(1+'Control Room'!$D$9)^387*'Process'!F389),2),"")</x:f>
      </x:c>
      <x:c r="D389" s="16" t="str">
        <x:f>IF(AND(AND(388&lt;='Control Room'!$B$3,'Control Room'!$D$3="Ready"),2&lt;='Control Room'!$B$2),ROUND(MAX(0,'Process'!J389*'Control Room'!$H$5*INDEX('Control Room'!$B$19:$H$19,1,WEEKDAY($A389,2))*(1+'Control Room'!$D$9)^387*'Process'!K389),2),"")</x:f>
      </x:c>
      <x:c r="E389" s="16" t="str">
        <x:f>IF(AND(AND(388&lt;='Control Room'!$B$3,'Control Room'!$D$3="Ready"),3&lt;='Control Room'!$B$2),ROUND(MAX(0,'Process'!O389*'Control Room'!$H$6*INDEX('Control Room'!$B$19:$H$19,1,WEEKDAY($A389,2))*(1+'Control Room'!$D$9)^387*'Process'!P389),2),"")</x:f>
      </x:c>
      <x:c r="F389" s="16" t="str">
        <x:f>IF(AND(AND(388&lt;='Control Room'!$B$3,'Control Room'!$D$3="Ready"),4&lt;='Control Room'!$B$2),ROUND(MAX(0,'Process'!T389*'Control Room'!$H$7*INDEX('Control Room'!$B$19:$H$19,1,WEEKDAY($A389,2))*(1+'Control Room'!$D$9)^387*'Process'!U389),2),"")</x:f>
      </x:c>
      <x:c r="G389" s="16" t="str">
        <x:f>IF(AND(AND(388&lt;='Control Room'!$B$3,'Control Room'!$D$3="Ready"),5&lt;='Control Room'!$B$2),ROUND(MAX(0,'Process'!Y389*'Control Room'!$H$8*INDEX('Control Room'!$B$19:$H$19,1,WEEKDAY($A389,2))*(1+'Control Room'!$D$9)^387*'Process'!Z389),2),"")</x:f>
      </x:c>
      <x:c r="H389" s="16" t="str">
        <x:f>IF(AND(AND(388&lt;='Control Room'!$B$3,'Control Room'!$D$3="Ready"),6&lt;='Control Room'!$B$2),ROUND(MAX(0,'Process'!AD389*'Control Room'!$H$9*INDEX('Control Room'!$B$19:$H$19,1,WEEKDAY($A389,2))*(1+'Control Room'!$D$9)^387*'Process'!AE389),2),"")</x:f>
      </x:c>
      <x:c r="I389" s="16" t="str">
        <x:f>IF(AND(AND(388&lt;='Control Room'!$B$3,'Control Room'!$D$3="Ready"),7&lt;='Control Room'!$B$2),ROUND(MAX(0,'Process'!AI389*'Control Room'!$H$10*INDEX('Control Room'!$B$19:$H$19,1,WEEKDAY($A389,2))*(1+'Control Room'!$D$9)^387*'Process'!AJ389),2),"")</x:f>
      </x:c>
      <x:c r="J389" s="16" t="str">
        <x:f>IF(AND(AND(388&lt;='Control Room'!$B$3,'Control Room'!$D$3="Ready"),8&lt;='Control Room'!$B$2),ROUND(MAX(0,'Process'!AN389*'Control Room'!$H$11*INDEX('Control Room'!$B$19:$H$19,1,WEEKDAY($A389,2))*(1+'Control Room'!$D$9)^387*'Process'!AO389),2),"")</x:f>
      </x:c>
      <x:c r="K389" s="16" t="str">
        <x:f>IF(AND(AND(388&lt;='Control Room'!$B$3,'Control Room'!$D$3="Ready"),9&lt;='Control Room'!$B$2),ROUND(MAX(0,'Process'!AS389*'Control Room'!$H$12*INDEX('Control Room'!$B$19:$H$19,1,WEEKDAY($A389,2))*(1+'Control Room'!$D$9)^387*'Process'!AT389),2),"")</x:f>
      </x:c>
      <x:c r="L389" s="16" t="str">
        <x:f>IF(AND(AND(388&lt;='Control Room'!$B$3,'Control Room'!$D$3="Ready"),10&lt;='Control Room'!$B$2),ROUND(MAX(0,'Process'!AX389*'Control Room'!$H$13*INDEX('Control Room'!$B$19:$H$19,1,WEEKDAY($A389,2))*(1+'Control Room'!$D$9)^387*'Process'!AY389),2),"")</x:f>
      </x:c>
      <x:c r="M389" s="16" t="str">
        <x:f>IF(AND(AND(388&lt;='Control Room'!$B$3,'Control Room'!$D$3="Ready"),11&lt;='Control Room'!$B$2),ROUND(MAX(0,'Process'!BC389*'Control Room'!$H$14*INDEX('Control Room'!$B$19:$H$19,1,WEEKDAY($A389,2))*(1+'Control Room'!$D$9)^387*'Process'!BD389),2),"")</x:f>
      </x:c>
      <x:c r="N389" s="16" t="str">
        <x:f>IF(AND(AND(388&lt;='Control Room'!$B$3,'Control Room'!$D$3="Ready"),12&lt;='Control Room'!$B$2),ROUND(MAX(0,'Process'!BH389*'Control Room'!$H$15*INDEX('Control Room'!$B$19:$H$19,1,WEEKDAY($A389,2))*(1+'Control Room'!$D$9)^387*'Process'!BI389),2),"")</x:f>
      </x:c>
    </x:row>
    <x:row r="390" ht="21" customHeight="1">
      <x:c r="A390" s="15" t="str">
        <x:f>IF(AND(389&lt;='Control Room'!$B$3,'Control Room'!$D$3="Ready"),'Process'!A390,"")</x:f>
      </x:c>
      <x:c r="B390" s="16" t="str">
        <x:f>IF(A390="","",SUM(C390:N390))</x:f>
      </x:c>
      <x:c r="C390" s="16" t="str">
        <x:f>IF(AND(AND(389&lt;='Control Room'!$B$3,'Control Room'!$D$3="Ready"),1&lt;='Control Room'!$B$2),ROUND(MAX(0,'Process'!E390*'Control Room'!$H$4*INDEX('Control Room'!$B$19:$H$19,1,WEEKDAY($A390,2))*(1+'Control Room'!$D$9)^388*'Process'!F390),2),"")</x:f>
      </x:c>
      <x:c r="D390" s="16" t="str">
        <x:f>IF(AND(AND(389&lt;='Control Room'!$B$3,'Control Room'!$D$3="Ready"),2&lt;='Control Room'!$B$2),ROUND(MAX(0,'Process'!J390*'Control Room'!$H$5*INDEX('Control Room'!$B$19:$H$19,1,WEEKDAY($A390,2))*(1+'Control Room'!$D$9)^388*'Process'!K390),2),"")</x:f>
      </x:c>
      <x:c r="E390" s="16" t="str">
        <x:f>IF(AND(AND(389&lt;='Control Room'!$B$3,'Control Room'!$D$3="Ready"),3&lt;='Control Room'!$B$2),ROUND(MAX(0,'Process'!O390*'Control Room'!$H$6*INDEX('Control Room'!$B$19:$H$19,1,WEEKDAY($A390,2))*(1+'Control Room'!$D$9)^388*'Process'!P390),2),"")</x:f>
      </x:c>
      <x:c r="F390" s="16" t="str">
        <x:f>IF(AND(AND(389&lt;='Control Room'!$B$3,'Control Room'!$D$3="Ready"),4&lt;='Control Room'!$B$2),ROUND(MAX(0,'Process'!T390*'Control Room'!$H$7*INDEX('Control Room'!$B$19:$H$19,1,WEEKDAY($A390,2))*(1+'Control Room'!$D$9)^388*'Process'!U390),2),"")</x:f>
      </x:c>
      <x:c r="G390" s="16" t="str">
        <x:f>IF(AND(AND(389&lt;='Control Room'!$B$3,'Control Room'!$D$3="Ready"),5&lt;='Control Room'!$B$2),ROUND(MAX(0,'Process'!Y390*'Control Room'!$H$8*INDEX('Control Room'!$B$19:$H$19,1,WEEKDAY($A390,2))*(1+'Control Room'!$D$9)^388*'Process'!Z390),2),"")</x:f>
      </x:c>
      <x:c r="H390" s="16" t="str">
        <x:f>IF(AND(AND(389&lt;='Control Room'!$B$3,'Control Room'!$D$3="Ready"),6&lt;='Control Room'!$B$2),ROUND(MAX(0,'Process'!AD390*'Control Room'!$H$9*INDEX('Control Room'!$B$19:$H$19,1,WEEKDAY($A390,2))*(1+'Control Room'!$D$9)^388*'Process'!AE390),2),"")</x:f>
      </x:c>
      <x:c r="I390" s="16" t="str">
        <x:f>IF(AND(AND(389&lt;='Control Room'!$B$3,'Control Room'!$D$3="Ready"),7&lt;='Control Room'!$B$2),ROUND(MAX(0,'Process'!AI390*'Control Room'!$H$10*INDEX('Control Room'!$B$19:$H$19,1,WEEKDAY($A390,2))*(1+'Control Room'!$D$9)^388*'Process'!AJ390),2),"")</x:f>
      </x:c>
      <x:c r="J390" s="16" t="str">
        <x:f>IF(AND(AND(389&lt;='Control Room'!$B$3,'Control Room'!$D$3="Ready"),8&lt;='Control Room'!$B$2),ROUND(MAX(0,'Process'!AN390*'Control Room'!$H$11*INDEX('Control Room'!$B$19:$H$19,1,WEEKDAY($A390,2))*(1+'Control Room'!$D$9)^388*'Process'!AO390),2),"")</x:f>
      </x:c>
      <x:c r="K390" s="16" t="str">
        <x:f>IF(AND(AND(389&lt;='Control Room'!$B$3,'Control Room'!$D$3="Ready"),9&lt;='Control Room'!$B$2),ROUND(MAX(0,'Process'!AS390*'Control Room'!$H$12*INDEX('Control Room'!$B$19:$H$19,1,WEEKDAY($A390,2))*(1+'Control Room'!$D$9)^388*'Process'!AT390),2),"")</x:f>
      </x:c>
      <x:c r="L390" s="16" t="str">
        <x:f>IF(AND(AND(389&lt;='Control Room'!$B$3,'Control Room'!$D$3="Ready"),10&lt;='Control Room'!$B$2),ROUND(MAX(0,'Process'!AX390*'Control Room'!$H$13*INDEX('Control Room'!$B$19:$H$19,1,WEEKDAY($A390,2))*(1+'Control Room'!$D$9)^388*'Process'!AY390),2),"")</x:f>
      </x:c>
      <x:c r="M390" s="16" t="str">
        <x:f>IF(AND(AND(389&lt;='Control Room'!$B$3,'Control Room'!$D$3="Ready"),11&lt;='Control Room'!$B$2),ROUND(MAX(0,'Process'!BC390*'Control Room'!$H$14*INDEX('Control Room'!$B$19:$H$19,1,WEEKDAY($A390,2))*(1+'Control Room'!$D$9)^388*'Process'!BD390),2),"")</x:f>
      </x:c>
      <x:c r="N390" s="16" t="str">
        <x:f>IF(AND(AND(389&lt;='Control Room'!$B$3,'Control Room'!$D$3="Ready"),12&lt;='Control Room'!$B$2),ROUND(MAX(0,'Process'!BH390*'Control Room'!$H$15*INDEX('Control Room'!$B$19:$H$19,1,WEEKDAY($A390,2))*(1+'Control Room'!$D$9)^388*'Process'!BI390),2),"")</x:f>
      </x:c>
    </x:row>
    <x:row r="391" ht="21" customHeight="1">
      <x:c r="A391" s="15" t="str">
        <x:f>IF(AND(390&lt;='Control Room'!$B$3,'Control Room'!$D$3="Ready"),'Process'!A391,"")</x:f>
      </x:c>
      <x:c r="B391" s="16" t="str">
        <x:f>IF(A391="","",SUM(C391:N391))</x:f>
      </x:c>
      <x:c r="C391" s="16" t="str">
        <x:f>IF(AND(AND(390&lt;='Control Room'!$B$3,'Control Room'!$D$3="Ready"),1&lt;='Control Room'!$B$2),ROUND(MAX(0,'Process'!E391*'Control Room'!$H$4*INDEX('Control Room'!$B$19:$H$19,1,WEEKDAY($A391,2))*(1+'Control Room'!$D$9)^389*'Process'!F391),2),"")</x:f>
      </x:c>
      <x:c r="D391" s="16" t="str">
        <x:f>IF(AND(AND(390&lt;='Control Room'!$B$3,'Control Room'!$D$3="Ready"),2&lt;='Control Room'!$B$2),ROUND(MAX(0,'Process'!J391*'Control Room'!$H$5*INDEX('Control Room'!$B$19:$H$19,1,WEEKDAY($A391,2))*(1+'Control Room'!$D$9)^389*'Process'!K391),2),"")</x:f>
      </x:c>
      <x:c r="E391" s="16" t="str">
        <x:f>IF(AND(AND(390&lt;='Control Room'!$B$3,'Control Room'!$D$3="Ready"),3&lt;='Control Room'!$B$2),ROUND(MAX(0,'Process'!O391*'Control Room'!$H$6*INDEX('Control Room'!$B$19:$H$19,1,WEEKDAY($A391,2))*(1+'Control Room'!$D$9)^389*'Process'!P391),2),"")</x:f>
      </x:c>
      <x:c r="F391" s="16" t="str">
        <x:f>IF(AND(AND(390&lt;='Control Room'!$B$3,'Control Room'!$D$3="Ready"),4&lt;='Control Room'!$B$2),ROUND(MAX(0,'Process'!T391*'Control Room'!$H$7*INDEX('Control Room'!$B$19:$H$19,1,WEEKDAY($A391,2))*(1+'Control Room'!$D$9)^389*'Process'!U391),2),"")</x:f>
      </x:c>
      <x:c r="G391" s="16" t="str">
        <x:f>IF(AND(AND(390&lt;='Control Room'!$B$3,'Control Room'!$D$3="Ready"),5&lt;='Control Room'!$B$2),ROUND(MAX(0,'Process'!Y391*'Control Room'!$H$8*INDEX('Control Room'!$B$19:$H$19,1,WEEKDAY($A391,2))*(1+'Control Room'!$D$9)^389*'Process'!Z391),2),"")</x:f>
      </x:c>
      <x:c r="H391" s="16" t="str">
        <x:f>IF(AND(AND(390&lt;='Control Room'!$B$3,'Control Room'!$D$3="Ready"),6&lt;='Control Room'!$B$2),ROUND(MAX(0,'Process'!AD391*'Control Room'!$H$9*INDEX('Control Room'!$B$19:$H$19,1,WEEKDAY($A391,2))*(1+'Control Room'!$D$9)^389*'Process'!AE391),2),"")</x:f>
      </x:c>
      <x:c r="I391" s="16" t="str">
        <x:f>IF(AND(AND(390&lt;='Control Room'!$B$3,'Control Room'!$D$3="Ready"),7&lt;='Control Room'!$B$2),ROUND(MAX(0,'Process'!AI391*'Control Room'!$H$10*INDEX('Control Room'!$B$19:$H$19,1,WEEKDAY($A391,2))*(1+'Control Room'!$D$9)^389*'Process'!AJ391),2),"")</x:f>
      </x:c>
      <x:c r="J391" s="16" t="str">
        <x:f>IF(AND(AND(390&lt;='Control Room'!$B$3,'Control Room'!$D$3="Ready"),8&lt;='Control Room'!$B$2),ROUND(MAX(0,'Process'!AN391*'Control Room'!$H$11*INDEX('Control Room'!$B$19:$H$19,1,WEEKDAY($A391,2))*(1+'Control Room'!$D$9)^389*'Process'!AO391),2),"")</x:f>
      </x:c>
      <x:c r="K391" s="16" t="str">
        <x:f>IF(AND(AND(390&lt;='Control Room'!$B$3,'Control Room'!$D$3="Ready"),9&lt;='Control Room'!$B$2),ROUND(MAX(0,'Process'!AS391*'Control Room'!$H$12*INDEX('Control Room'!$B$19:$H$19,1,WEEKDAY($A391,2))*(1+'Control Room'!$D$9)^389*'Process'!AT391),2),"")</x:f>
      </x:c>
      <x:c r="L391" s="16" t="str">
        <x:f>IF(AND(AND(390&lt;='Control Room'!$B$3,'Control Room'!$D$3="Ready"),10&lt;='Control Room'!$B$2),ROUND(MAX(0,'Process'!AX391*'Control Room'!$H$13*INDEX('Control Room'!$B$19:$H$19,1,WEEKDAY($A391,2))*(1+'Control Room'!$D$9)^389*'Process'!AY391),2),"")</x:f>
      </x:c>
      <x:c r="M391" s="16" t="str">
        <x:f>IF(AND(AND(390&lt;='Control Room'!$B$3,'Control Room'!$D$3="Ready"),11&lt;='Control Room'!$B$2),ROUND(MAX(0,'Process'!BC391*'Control Room'!$H$14*INDEX('Control Room'!$B$19:$H$19,1,WEEKDAY($A391,2))*(1+'Control Room'!$D$9)^389*'Process'!BD391),2),"")</x:f>
      </x:c>
      <x:c r="N391" s="16" t="str">
        <x:f>IF(AND(AND(390&lt;='Control Room'!$B$3,'Control Room'!$D$3="Ready"),12&lt;='Control Room'!$B$2),ROUND(MAX(0,'Process'!BH391*'Control Room'!$H$15*INDEX('Control Room'!$B$19:$H$19,1,WEEKDAY($A391,2))*(1+'Control Room'!$D$9)^389*'Process'!BI391),2),"")</x:f>
      </x:c>
    </x:row>
    <x:row r="392" ht="21" customHeight="1">
      <x:c r="A392" s="15" t="str">
        <x:f>IF(AND(391&lt;='Control Room'!$B$3,'Control Room'!$D$3="Ready"),'Process'!A392,"")</x:f>
      </x:c>
      <x:c r="B392" s="16" t="str">
        <x:f>IF(A392="","",SUM(C392:N392))</x:f>
      </x:c>
      <x:c r="C392" s="16" t="str">
        <x:f>IF(AND(AND(391&lt;='Control Room'!$B$3,'Control Room'!$D$3="Ready"),1&lt;='Control Room'!$B$2),ROUND(MAX(0,'Process'!E392*'Control Room'!$H$4*INDEX('Control Room'!$B$19:$H$19,1,WEEKDAY($A392,2))*(1+'Control Room'!$D$9)^390*'Process'!F392),2),"")</x:f>
      </x:c>
      <x:c r="D392" s="16" t="str">
        <x:f>IF(AND(AND(391&lt;='Control Room'!$B$3,'Control Room'!$D$3="Ready"),2&lt;='Control Room'!$B$2),ROUND(MAX(0,'Process'!J392*'Control Room'!$H$5*INDEX('Control Room'!$B$19:$H$19,1,WEEKDAY($A392,2))*(1+'Control Room'!$D$9)^390*'Process'!K392),2),"")</x:f>
      </x:c>
      <x:c r="E392" s="16" t="str">
        <x:f>IF(AND(AND(391&lt;='Control Room'!$B$3,'Control Room'!$D$3="Ready"),3&lt;='Control Room'!$B$2),ROUND(MAX(0,'Process'!O392*'Control Room'!$H$6*INDEX('Control Room'!$B$19:$H$19,1,WEEKDAY($A392,2))*(1+'Control Room'!$D$9)^390*'Process'!P392),2),"")</x:f>
      </x:c>
      <x:c r="F392" s="16" t="str">
        <x:f>IF(AND(AND(391&lt;='Control Room'!$B$3,'Control Room'!$D$3="Ready"),4&lt;='Control Room'!$B$2),ROUND(MAX(0,'Process'!T392*'Control Room'!$H$7*INDEX('Control Room'!$B$19:$H$19,1,WEEKDAY($A392,2))*(1+'Control Room'!$D$9)^390*'Process'!U392),2),"")</x:f>
      </x:c>
      <x:c r="G392" s="16" t="str">
        <x:f>IF(AND(AND(391&lt;='Control Room'!$B$3,'Control Room'!$D$3="Ready"),5&lt;='Control Room'!$B$2),ROUND(MAX(0,'Process'!Y392*'Control Room'!$H$8*INDEX('Control Room'!$B$19:$H$19,1,WEEKDAY($A392,2))*(1+'Control Room'!$D$9)^390*'Process'!Z392),2),"")</x:f>
      </x:c>
      <x:c r="H392" s="16" t="str">
        <x:f>IF(AND(AND(391&lt;='Control Room'!$B$3,'Control Room'!$D$3="Ready"),6&lt;='Control Room'!$B$2),ROUND(MAX(0,'Process'!AD392*'Control Room'!$H$9*INDEX('Control Room'!$B$19:$H$19,1,WEEKDAY($A392,2))*(1+'Control Room'!$D$9)^390*'Process'!AE392),2),"")</x:f>
      </x:c>
      <x:c r="I392" s="16" t="str">
        <x:f>IF(AND(AND(391&lt;='Control Room'!$B$3,'Control Room'!$D$3="Ready"),7&lt;='Control Room'!$B$2),ROUND(MAX(0,'Process'!AI392*'Control Room'!$H$10*INDEX('Control Room'!$B$19:$H$19,1,WEEKDAY($A392,2))*(1+'Control Room'!$D$9)^390*'Process'!AJ392),2),"")</x:f>
      </x:c>
      <x:c r="J392" s="16" t="str">
        <x:f>IF(AND(AND(391&lt;='Control Room'!$B$3,'Control Room'!$D$3="Ready"),8&lt;='Control Room'!$B$2),ROUND(MAX(0,'Process'!AN392*'Control Room'!$H$11*INDEX('Control Room'!$B$19:$H$19,1,WEEKDAY($A392,2))*(1+'Control Room'!$D$9)^390*'Process'!AO392),2),"")</x:f>
      </x:c>
      <x:c r="K392" s="16" t="str">
        <x:f>IF(AND(AND(391&lt;='Control Room'!$B$3,'Control Room'!$D$3="Ready"),9&lt;='Control Room'!$B$2),ROUND(MAX(0,'Process'!AS392*'Control Room'!$H$12*INDEX('Control Room'!$B$19:$H$19,1,WEEKDAY($A392,2))*(1+'Control Room'!$D$9)^390*'Process'!AT392),2),"")</x:f>
      </x:c>
      <x:c r="L392" s="16" t="str">
        <x:f>IF(AND(AND(391&lt;='Control Room'!$B$3,'Control Room'!$D$3="Ready"),10&lt;='Control Room'!$B$2),ROUND(MAX(0,'Process'!AX392*'Control Room'!$H$13*INDEX('Control Room'!$B$19:$H$19,1,WEEKDAY($A392,2))*(1+'Control Room'!$D$9)^390*'Process'!AY392),2),"")</x:f>
      </x:c>
      <x:c r="M392" s="16" t="str">
        <x:f>IF(AND(AND(391&lt;='Control Room'!$B$3,'Control Room'!$D$3="Ready"),11&lt;='Control Room'!$B$2),ROUND(MAX(0,'Process'!BC392*'Control Room'!$H$14*INDEX('Control Room'!$B$19:$H$19,1,WEEKDAY($A392,2))*(1+'Control Room'!$D$9)^390*'Process'!BD392),2),"")</x:f>
      </x:c>
      <x:c r="N392" s="16" t="str">
        <x:f>IF(AND(AND(391&lt;='Control Room'!$B$3,'Control Room'!$D$3="Ready"),12&lt;='Control Room'!$B$2),ROUND(MAX(0,'Process'!BH392*'Control Room'!$H$15*INDEX('Control Room'!$B$19:$H$19,1,WEEKDAY($A392,2))*(1+'Control Room'!$D$9)^390*'Process'!BI392),2),"")</x:f>
      </x:c>
    </x:row>
    <x:row r="393" ht="21" customHeight="1">
      <x:c r="A393" s="15" t="str">
        <x:f>IF(AND(392&lt;='Control Room'!$B$3,'Control Room'!$D$3="Ready"),'Process'!A393,"")</x:f>
      </x:c>
      <x:c r="B393" s="16" t="str">
        <x:f>IF(A393="","",SUM(C393:N393))</x:f>
      </x:c>
      <x:c r="C393" s="16" t="str">
        <x:f>IF(AND(AND(392&lt;='Control Room'!$B$3,'Control Room'!$D$3="Ready"),1&lt;='Control Room'!$B$2),ROUND(MAX(0,'Process'!E393*'Control Room'!$H$4*INDEX('Control Room'!$B$19:$H$19,1,WEEKDAY($A393,2))*(1+'Control Room'!$D$9)^391*'Process'!F393),2),"")</x:f>
      </x:c>
      <x:c r="D393" s="16" t="str">
        <x:f>IF(AND(AND(392&lt;='Control Room'!$B$3,'Control Room'!$D$3="Ready"),2&lt;='Control Room'!$B$2),ROUND(MAX(0,'Process'!J393*'Control Room'!$H$5*INDEX('Control Room'!$B$19:$H$19,1,WEEKDAY($A393,2))*(1+'Control Room'!$D$9)^391*'Process'!K393),2),"")</x:f>
      </x:c>
      <x:c r="E393" s="16" t="str">
        <x:f>IF(AND(AND(392&lt;='Control Room'!$B$3,'Control Room'!$D$3="Ready"),3&lt;='Control Room'!$B$2),ROUND(MAX(0,'Process'!O393*'Control Room'!$H$6*INDEX('Control Room'!$B$19:$H$19,1,WEEKDAY($A393,2))*(1+'Control Room'!$D$9)^391*'Process'!P393),2),"")</x:f>
      </x:c>
      <x:c r="F393" s="16" t="str">
        <x:f>IF(AND(AND(392&lt;='Control Room'!$B$3,'Control Room'!$D$3="Ready"),4&lt;='Control Room'!$B$2),ROUND(MAX(0,'Process'!T393*'Control Room'!$H$7*INDEX('Control Room'!$B$19:$H$19,1,WEEKDAY($A393,2))*(1+'Control Room'!$D$9)^391*'Process'!U393),2),"")</x:f>
      </x:c>
      <x:c r="G393" s="16" t="str">
        <x:f>IF(AND(AND(392&lt;='Control Room'!$B$3,'Control Room'!$D$3="Ready"),5&lt;='Control Room'!$B$2),ROUND(MAX(0,'Process'!Y393*'Control Room'!$H$8*INDEX('Control Room'!$B$19:$H$19,1,WEEKDAY($A393,2))*(1+'Control Room'!$D$9)^391*'Process'!Z393),2),"")</x:f>
      </x:c>
      <x:c r="H393" s="16" t="str">
        <x:f>IF(AND(AND(392&lt;='Control Room'!$B$3,'Control Room'!$D$3="Ready"),6&lt;='Control Room'!$B$2),ROUND(MAX(0,'Process'!AD393*'Control Room'!$H$9*INDEX('Control Room'!$B$19:$H$19,1,WEEKDAY($A393,2))*(1+'Control Room'!$D$9)^391*'Process'!AE393),2),"")</x:f>
      </x:c>
      <x:c r="I393" s="16" t="str">
        <x:f>IF(AND(AND(392&lt;='Control Room'!$B$3,'Control Room'!$D$3="Ready"),7&lt;='Control Room'!$B$2),ROUND(MAX(0,'Process'!AI393*'Control Room'!$H$10*INDEX('Control Room'!$B$19:$H$19,1,WEEKDAY($A393,2))*(1+'Control Room'!$D$9)^391*'Process'!AJ393),2),"")</x:f>
      </x:c>
      <x:c r="J393" s="16" t="str">
        <x:f>IF(AND(AND(392&lt;='Control Room'!$B$3,'Control Room'!$D$3="Ready"),8&lt;='Control Room'!$B$2),ROUND(MAX(0,'Process'!AN393*'Control Room'!$H$11*INDEX('Control Room'!$B$19:$H$19,1,WEEKDAY($A393,2))*(1+'Control Room'!$D$9)^391*'Process'!AO393),2),"")</x:f>
      </x:c>
      <x:c r="K393" s="16" t="str">
        <x:f>IF(AND(AND(392&lt;='Control Room'!$B$3,'Control Room'!$D$3="Ready"),9&lt;='Control Room'!$B$2),ROUND(MAX(0,'Process'!AS393*'Control Room'!$H$12*INDEX('Control Room'!$B$19:$H$19,1,WEEKDAY($A393,2))*(1+'Control Room'!$D$9)^391*'Process'!AT393),2),"")</x:f>
      </x:c>
      <x:c r="L393" s="16" t="str">
        <x:f>IF(AND(AND(392&lt;='Control Room'!$B$3,'Control Room'!$D$3="Ready"),10&lt;='Control Room'!$B$2),ROUND(MAX(0,'Process'!AX393*'Control Room'!$H$13*INDEX('Control Room'!$B$19:$H$19,1,WEEKDAY($A393,2))*(1+'Control Room'!$D$9)^391*'Process'!AY393),2),"")</x:f>
      </x:c>
      <x:c r="M393" s="16" t="str">
        <x:f>IF(AND(AND(392&lt;='Control Room'!$B$3,'Control Room'!$D$3="Ready"),11&lt;='Control Room'!$B$2),ROUND(MAX(0,'Process'!BC393*'Control Room'!$H$14*INDEX('Control Room'!$B$19:$H$19,1,WEEKDAY($A393,2))*(1+'Control Room'!$D$9)^391*'Process'!BD393),2),"")</x:f>
      </x:c>
      <x:c r="N393" s="16" t="str">
        <x:f>IF(AND(AND(392&lt;='Control Room'!$B$3,'Control Room'!$D$3="Ready"),12&lt;='Control Room'!$B$2),ROUND(MAX(0,'Process'!BH393*'Control Room'!$H$15*INDEX('Control Room'!$B$19:$H$19,1,WEEKDAY($A393,2))*(1+'Control Room'!$D$9)^391*'Process'!BI393),2),"")</x:f>
      </x:c>
    </x:row>
    <x:row r="394" ht="21" customHeight="1">
      <x:c r="A394" s="15" t="str">
        <x:f>IF(AND(393&lt;='Control Room'!$B$3,'Control Room'!$D$3="Ready"),'Process'!A394,"")</x:f>
      </x:c>
      <x:c r="B394" s="16" t="str">
        <x:f>IF(A394="","",SUM(C394:N394))</x:f>
      </x:c>
      <x:c r="C394" s="16" t="str">
        <x:f>IF(AND(AND(393&lt;='Control Room'!$B$3,'Control Room'!$D$3="Ready"),1&lt;='Control Room'!$B$2),ROUND(MAX(0,'Process'!E394*'Control Room'!$H$4*INDEX('Control Room'!$B$19:$H$19,1,WEEKDAY($A394,2))*(1+'Control Room'!$D$9)^392*'Process'!F394),2),"")</x:f>
      </x:c>
      <x:c r="D394" s="16" t="str">
        <x:f>IF(AND(AND(393&lt;='Control Room'!$B$3,'Control Room'!$D$3="Ready"),2&lt;='Control Room'!$B$2),ROUND(MAX(0,'Process'!J394*'Control Room'!$H$5*INDEX('Control Room'!$B$19:$H$19,1,WEEKDAY($A394,2))*(1+'Control Room'!$D$9)^392*'Process'!K394),2),"")</x:f>
      </x:c>
      <x:c r="E394" s="16" t="str">
        <x:f>IF(AND(AND(393&lt;='Control Room'!$B$3,'Control Room'!$D$3="Ready"),3&lt;='Control Room'!$B$2),ROUND(MAX(0,'Process'!O394*'Control Room'!$H$6*INDEX('Control Room'!$B$19:$H$19,1,WEEKDAY($A394,2))*(1+'Control Room'!$D$9)^392*'Process'!P394),2),"")</x:f>
      </x:c>
      <x:c r="F394" s="16" t="str">
        <x:f>IF(AND(AND(393&lt;='Control Room'!$B$3,'Control Room'!$D$3="Ready"),4&lt;='Control Room'!$B$2),ROUND(MAX(0,'Process'!T394*'Control Room'!$H$7*INDEX('Control Room'!$B$19:$H$19,1,WEEKDAY($A394,2))*(1+'Control Room'!$D$9)^392*'Process'!U394),2),"")</x:f>
      </x:c>
      <x:c r="G394" s="16" t="str">
        <x:f>IF(AND(AND(393&lt;='Control Room'!$B$3,'Control Room'!$D$3="Ready"),5&lt;='Control Room'!$B$2),ROUND(MAX(0,'Process'!Y394*'Control Room'!$H$8*INDEX('Control Room'!$B$19:$H$19,1,WEEKDAY($A394,2))*(1+'Control Room'!$D$9)^392*'Process'!Z394),2),"")</x:f>
      </x:c>
      <x:c r="H394" s="16" t="str">
        <x:f>IF(AND(AND(393&lt;='Control Room'!$B$3,'Control Room'!$D$3="Ready"),6&lt;='Control Room'!$B$2),ROUND(MAX(0,'Process'!AD394*'Control Room'!$H$9*INDEX('Control Room'!$B$19:$H$19,1,WEEKDAY($A394,2))*(1+'Control Room'!$D$9)^392*'Process'!AE394),2),"")</x:f>
      </x:c>
      <x:c r="I394" s="16" t="str">
        <x:f>IF(AND(AND(393&lt;='Control Room'!$B$3,'Control Room'!$D$3="Ready"),7&lt;='Control Room'!$B$2),ROUND(MAX(0,'Process'!AI394*'Control Room'!$H$10*INDEX('Control Room'!$B$19:$H$19,1,WEEKDAY($A394,2))*(1+'Control Room'!$D$9)^392*'Process'!AJ394),2),"")</x:f>
      </x:c>
      <x:c r="J394" s="16" t="str">
        <x:f>IF(AND(AND(393&lt;='Control Room'!$B$3,'Control Room'!$D$3="Ready"),8&lt;='Control Room'!$B$2),ROUND(MAX(0,'Process'!AN394*'Control Room'!$H$11*INDEX('Control Room'!$B$19:$H$19,1,WEEKDAY($A394,2))*(1+'Control Room'!$D$9)^392*'Process'!AO394),2),"")</x:f>
      </x:c>
      <x:c r="K394" s="16" t="str">
        <x:f>IF(AND(AND(393&lt;='Control Room'!$B$3,'Control Room'!$D$3="Ready"),9&lt;='Control Room'!$B$2),ROUND(MAX(0,'Process'!AS394*'Control Room'!$H$12*INDEX('Control Room'!$B$19:$H$19,1,WEEKDAY($A394,2))*(1+'Control Room'!$D$9)^392*'Process'!AT394),2),"")</x:f>
      </x:c>
      <x:c r="L394" s="16" t="str">
        <x:f>IF(AND(AND(393&lt;='Control Room'!$B$3,'Control Room'!$D$3="Ready"),10&lt;='Control Room'!$B$2),ROUND(MAX(0,'Process'!AX394*'Control Room'!$H$13*INDEX('Control Room'!$B$19:$H$19,1,WEEKDAY($A394,2))*(1+'Control Room'!$D$9)^392*'Process'!AY394),2),"")</x:f>
      </x:c>
      <x:c r="M394" s="16" t="str">
        <x:f>IF(AND(AND(393&lt;='Control Room'!$B$3,'Control Room'!$D$3="Ready"),11&lt;='Control Room'!$B$2),ROUND(MAX(0,'Process'!BC394*'Control Room'!$H$14*INDEX('Control Room'!$B$19:$H$19,1,WEEKDAY($A394,2))*(1+'Control Room'!$D$9)^392*'Process'!BD394),2),"")</x:f>
      </x:c>
      <x:c r="N394" s="16" t="str">
        <x:f>IF(AND(AND(393&lt;='Control Room'!$B$3,'Control Room'!$D$3="Ready"),12&lt;='Control Room'!$B$2),ROUND(MAX(0,'Process'!BH394*'Control Room'!$H$15*INDEX('Control Room'!$B$19:$H$19,1,WEEKDAY($A394,2))*(1+'Control Room'!$D$9)^392*'Process'!BI394),2),"")</x:f>
      </x:c>
    </x:row>
    <x:row r="395" ht="21" customHeight="1">
      <x:c r="A395" s="15" t="str">
        <x:f>IF(AND(394&lt;='Control Room'!$B$3,'Control Room'!$D$3="Ready"),'Process'!A395,"")</x:f>
      </x:c>
      <x:c r="B395" s="16" t="str">
        <x:f>IF(A395="","",SUM(C395:N395))</x:f>
      </x:c>
      <x:c r="C395" s="16" t="str">
        <x:f>IF(AND(AND(394&lt;='Control Room'!$B$3,'Control Room'!$D$3="Ready"),1&lt;='Control Room'!$B$2),ROUND(MAX(0,'Process'!E395*'Control Room'!$H$4*INDEX('Control Room'!$B$19:$H$19,1,WEEKDAY($A395,2))*(1+'Control Room'!$D$9)^393*'Process'!F395),2),"")</x:f>
      </x:c>
      <x:c r="D395" s="16" t="str">
        <x:f>IF(AND(AND(394&lt;='Control Room'!$B$3,'Control Room'!$D$3="Ready"),2&lt;='Control Room'!$B$2),ROUND(MAX(0,'Process'!J395*'Control Room'!$H$5*INDEX('Control Room'!$B$19:$H$19,1,WEEKDAY($A395,2))*(1+'Control Room'!$D$9)^393*'Process'!K395),2),"")</x:f>
      </x:c>
      <x:c r="E395" s="16" t="str">
        <x:f>IF(AND(AND(394&lt;='Control Room'!$B$3,'Control Room'!$D$3="Ready"),3&lt;='Control Room'!$B$2),ROUND(MAX(0,'Process'!O395*'Control Room'!$H$6*INDEX('Control Room'!$B$19:$H$19,1,WEEKDAY($A395,2))*(1+'Control Room'!$D$9)^393*'Process'!P395),2),"")</x:f>
      </x:c>
      <x:c r="F395" s="16" t="str">
        <x:f>IF(AND(AND(394&lt;='Control Room'!$B$3,'Control Room'!$D$3="Ready"),4&lt;='Control Room'!$B$2),ROUND(MAX(0,'Process'!T395*'Control Room'!$H$7*INDEX('Control Room'!$B$19:$H$19,1,WEEKDAY($A395,2))*(1+'Control Room'!$D$9)^393*'Process'!U395),2),"")</x:f>
      </x:c>
      <x:c r="G395" s="16" t="str">
        <x:f>IF(AND(AND(394&lt;='Control Room'!$B$3,'Control Room'!$D$3="Ready"),5&lt;='Control Room'!$B$2),ROUND(MAX(0,'Process'!Y395*'Control Room'!$H$8*INDEX('Control Room'!$B$19:$H$19,1,WEEKDAY($A395,2))*(1+'Control Room'!$D$9)^393*'Process'!Z395),2),"")</x:f>
      </x:c>
      <x:c r="H395" s="16" t="str">
        <x:f>IF(AND(AND(394&lt;='Control Room'!$B$3,'Control Room'!$D$3="Ready"),6&lt;='Control Room'!$B$2),ROUND(MAX(0,'Process'!AD395*'Control Room'!$H$9*INDEX('Control Room'!$B$19:$H$19,1,WEEKDAY($A395,2))*(1+'Control Room'!$D$9)^393*'Process'!AE395),2),"")</x:f>
      </x:c>
      <x:c r="I395" s="16" t="str">
        <x:f>IF(AND(AND(394&lt;='Control Room'!$B$3,'Control Room'!$D$3="Ready"),7&lt;='Control Room'!$B$2),ROUND(MAX(0,'Process'!AI395*'Control Room'!$H$10*INDEX('Control Room'!$B$19:$H$19,1,WEEKDAY($A395,2))*(1+'Control Room'!$D$9)^393*'Process'!AJ395),2),"")</x:f>
      </x:c>
      <x:c r="J395" s="16" t="str">
        <x:f>IF(AND(AND(394&lt;='Control Room'!$B$3,'Control Room'!$D$3="Ready"),8&lt;='Control Room'!$B$2),ROUND(MAX(0,'Process'!AN395*'Control Room'!$H$11*INDEX('Control Room'!$B$19:$H$19,1,WEEKDAY($A395,2))*(1+'Control Room'!$D$9)^393*'Process'!AO395),2),"")</x:f>
      </x:c>
      <x:c r="K395" s="16" t="str">
        <x:f>IF(AND(AND(394&lt;='Control Room'!$B$3,'Control Room'!$D$3="Ready"),9&lt;='Control Room'!$B$2),ROUND(MAX(0,'Process'!AS395*'Control Room'!$H$12*INDEX('Control Room'!$B$19:$H$19,1,WEEKDAY($A395,2))*(1+'Control Room'!$D$9)^393*'Process'!AT395),2),"")</x:f>
      </x:c>
      <x:c r="L395" s="16" t="str">
        <x:f>IF(AND(AND(394&lt;='Control Room'!$B$3,'Control Room'!$D$3="Ready"),10&lt;='Control Room'!$B$2),ROUND(MAX(0,'Process'!AX395*'Control Room'!$H$13*INDEX('Control Room'!$B$19:$H$19,1,WEEKDAY($A395,2))*(1+'Control Room'!$D$9)^393*'Process'!AY395),2),"")</x:f>
      </x:c>
      <x:c r="M395" s="16" t="str">
        <x:f>IF(AND(AND(394&lt;='Control Room'!$B$3,'Control Room'!$D$3="Ready"),11&lt;='Control Room'!$B$2),ROUND(MAX(0,'Process'!BC395*'Control Room'!$H$14*INDEX('Control Room'!$B$19:$H$19,1,WEEKDAY($A395,2))*(1+'Control Room'!$D$9)^393*'Process'!BD395),2),"")</x:f>
      </x:c>
      <x:c r="N395" s="16" t="str">
        <x:f>IF(AND(AND(394&lt;='Control Room'!$B$3,'Control Room'!$D$3="Ready"),12&lt;='Control Room'!$B$2),ROUND(MAX(0,'Process'!BH395*'Control Room'!$H$15*INDEX('Control Room'!$B$19:$H$19,1,WEEKDAY($A395,2))*(1+'Control Room'!$D$9)^393*'Process'!BI395),2),"")</x:f>
      </x:c>
    </x:row>
    <x:row r="396" ht="21" customHeight="1">
      <x:c r="A396" s="15" t="str">
        <x:f>IF(AND(395&lt;='Control Room'!$B$3,'Control Room'!$D$3="Ready"),'Process'!A396,"")</x:f>
      </x:c>
      <x:c r="B396" s="16" t="str">
        <x:f>IF(A396="","",SUM(C396:N396))</x:f>
      </x:c>
      <x:c r="C396" s="16" t="str">
        <x:f>IF(AND(AND(395&lt;='Control Room'!$B$3,'Control Room'!$D$3="Ready"),1&lt;='Control Room'!$B$2),ROUND(MAX(0,'Process'!E396*'Control Room'!$H$4*INDEX('Control Room'!$B$19:$H$19,1,WEEKDAY($A396,2))*(1+'Control Room'!$D$9)^394*'Process'!F396),2),"")</x:f>
      </x:c>
      <x:c r="D396" s="16" t="str">
        <x:f>IF(AND(AND(395&lt;='Control Room'!$B$3,'Control Room'!$D$3="Ready"),2&lt;='Control Room'!$B$2),ROUND(MAX(0,'Process'!J396*'Control Room'!$H$5*INDEX('Control Room'!$B$19:$H$19,1,WEEKDAY($A396,2))*(1+'Control Room'!$D$9)^394*'Process'!K396),2),"")</x:f>
      </x:c>
      <x:c r="E396" s="16" t="str">
        <x:f>IF(AND(AND(395&lt;='Control Room'!$B$3,'Control Room'!$D$3="Ready"),3&lt;='Control Room'!$B$2),ROUND(MAX(0,'Process'!O396*'Control Room'!$H$6*INDEX('Control Room'!$B$19:$H$19,1,WEEKDAY($A396,2))*(1+'Control Room'!$D$9)^394*'Process'!P396),2),"")</x:f>
      </x:c>
      <x:c r="F396" s="16" t="str">
        <x:f>IF(AND(AND(395&lt;='Control Room'!$B$3,'Control Room'!$D$3="Ready"),4&lt;='Control Room'!$B$2),ROUND(MAX(0,'Process'!T396*'Control Room'!$H$7*INDEX('Control Room'!$B$19:$H$19,1,WEEKDAY($A396,2))*(1+'Control Room'!$D$9)^394*'Process'!U396),2),"")</x:f>
      </x:c>
      <x:c r="G396" s="16" t="str">
        <x:f>IF(AND(AND(395&lt;='Control Room'!$B$3,'Control Room'!$D$3="Ready"),5&lt;='Control Room'!$B$2),ROUND(MAX(0,'Process'!Y396*'Control Room'!$H$8*INDEX('Control Room'!$B$19:$H$19,1,WEEKDAY($A396,2))*(1+'Control Room'!$D$9)^394*'Process'!Z396),2),"")</x:f>
      </x:c>
      <x:c r="H396" s="16" t="str">
        <x:f>IF(AND(AND(395&lt;='Control Room'!$B$3,'Control Room'!$D$3="Ready"),6&lt;='Control Room'!$B$2),ROUND(MAX(0,'Process'!AD396*'Control Room'!$H$9*INDEX('Control Room'!$B$19:$H$19,1,WEEKDAY($A396,2))*(1+'Control Room'!$D$9)^394*'Process'!AE396),2),"")</x:f>
      </x:c>
      <x:c r="I396" s="16" t="str">
        <x:f>IF(AND(AND(395&lt;='Control Room'!$B$3,'Control Room'!$D$3="Ready"),7&lt;='Control Room'!$B$2),ROUND(MAX(0,'Process'!AI396*'Control Room'!$H$10*INDEX('Control Room'!$B$19:$H$19,1,WEEKDAY($A396,2))*(1+'Control Room'!$D$9)^394*'Process'!AJ396),2),"")</x:f>
      </x:c>
      <x:c r="J396" s="16" t="str">
        <x:f>IF(AND(AND(395&lt;='Control Room'!$B$3,'Control Room'!$D$3="Ready"),8&lt;='Control Room'!$B$2),ROUND(MAX(0,'Process'!AN396*'Control Room'!$H$11*INDEX('Control Room'!$B$19:$H$19,1,WEEKDAY($A396,2))*(1+'Control Room'!$D$9)^394*'Process'!AO396),2),"")</x:f>
      </x:c>
      <x:c r="K396" s="16" t="str">
        <x:f>IF(AND(AND(395&lt;='Control Room'!$B$3,'Control Room'!$D$3="Ready"),9&lt;='Control Room'!$B$2),ROUND(MAX(0,'Process'!AS396*'Control Room'!$H$12*INDEX('Control Room'!$B$19:$H$19,1,WEEKDAY($A396,2))*(1+'Control Room'!$D$9)^394*'Process'!AT396),2),"")</x:f>
      </x:c>
      <x:c r="L396" s="16" t="str">
        <x:f>IF(AND(AND(395&lt;='Control Room'!$B$3,'Control Room'!$D$3="Ready"),10&lt;='Control Room'!$B$2),ROUND(MAX(0,'Process'!AX396*'Control Room'!$H$13*INDEX('Control Room'!$B$19:$H$19,1,WEEKDAY($A396,2))*(1+'Control Room'!$D$9)^394*'Process'!AY396),2),"")</x:f>
      </x:c>
      <x:c r="M396" s="16" t="str">
        <x:f>IF(AND(AND(395&lt;='Control Room'!$B$3,'Control Room'!$D$3="Ready"),11&lt;='Control Room'!$B$2),ROUND(MAX(0,'Process'!BC396*'Control Room'!$H$14*INDEX('Control Room'!$B$19:$H$19,1,WEEKDAY($A396,2))*(1+'Control Room'!$D$9)^394*'Process'!BD396),2),"")</x:f>
      </x:c>
      <x:c r="N396" s="16" t="str">
        <x:f>IF(AND(AND(395&lt;='Control Room'!$B$3,'Control Room'!$D$3="Ready"),12&lt;='Control Room'!$B$2),ROUND(MAX(0,'Process'!BH396*'Control Room'!$H$15*INDEX('Control Room'!$B$19:$H$19,1,WEEKDAY($A396,2))*(1+'Control Room'!$D$9)^394*'Process'!BI396),2),"")</x:f>
      </x:c>
    </x:row>
    <x:row r="397" ht="21" customHeight="1">
      <x:c r="A397" s="15" t="str">
        <x:f>IF(AND(396&lt;='Control Room'!$B$3,'Control Room'!$D$3="Ready"),'Process'!A397,"")</x:f>
      </x:c>
      <x:c r="B397" s="16" t="str">
        <x:f>IF(A397="","",SUM(C397:N397))</x:f>
      </x:c>
      <x:c r="C397" s="16" t="str">
        <x:f>IF(AND(AND(396&lt;='Control Room'!$B$3,'Control Room'!$D$3="Ready"),1&lt;='Control Room'!$B$2),ROUND(MAX(0,'Process'!E397*'Control Room'!$H$4*INDEX('Control Room'!$B$19:$H$19,1,WEEKDAY($A397,2))*(1+'Control Room'!$D$9)^395*'Process'!F397),2),"")</x:f>
      </x:c>
      <x:c r="D397" s="16" t="str">
        <x:f>IF(AND(AND(396&lt;='Control Room'!$B$3,'Control Room'!$D$3="Ready"),2&lt;='Control Room'!$B$2),ROUND(MAX(0,'Process'!J397*'Control Room'!$H$5*INDEX('Control Room'!$B$19:$H$19,1,WEEKDAY($A397,2))*(1+'Control Room'!$D$9)^395*'Process'!K397),2),"")</x:f>
      </x:c>
      <x:c r="E397" s="16" t="str">
        <x:f>IF(AND(AND(396&lt;='Control Room'!$B$3,'Control Room'!$D$3="Ready"),3&lt;='Control Room'!$B$2),ROUND(MAX(0,'Process'!O397*'Control Room'!$H$6*INDEX('Control Room'!$B$19:$H$19,1,WEEKDAY($A397,2))*(1+'Control Room'!$D$9)^395*'Process'!P397),2),"")</x:f>
      </x:c>
      <x:c r="F397" s="16" t="str">
        <x:f>IF(AND(AND(396&lt;='Control Room'!$B$3,'Control Room'!$D$3="Ready"),4&lt;='Control Room'!$B$2),ROUND(MAX(0,'Process'!T397*'Control Room'!$H$7*INDEX('Control Room'!$B$19:$H$19,1,WEEKDAY($A397,2))*(1+'Control Room'!$D$9)^395*'Process'!U397),2),"")</x:f>
      </x:c>
      <x:c r="G397" s="16" t="str">
        <x:f>IF(AND(AND(396&lt;='Control Room'!$B$3,'Control Room'!$D$3="Ready"),5&lt;='Control Room'!$B$2),ROUND(MAX(0,'Process'!Y397*'Control Room'!$H$8*INDEX('Control Room'!$B$19:$H$19,1,WEEKDAY($A397,2))*(1+'Control Room'!$D$9)^395*'Process'!Z397),2),"")</x:f>
      </x:c>
      <x:c r="H397" s="16" t="str">
        <x:f>IF(AND(AND(396&lt;='Control Room'!$B$3,'Control Room'!$D$3="Ready"),6&lt;='Control Room'!$B$2),ROUND(MAX(0,'Process'!AD397*'Control Room'!$H$9*INDEX('Control Room'!$B$19:$H$19,1,WEEKDAY($A397,2))*(1+'Control Room'!$D$9)^395*'Process'!AE397),2),"")</x:f>
      </x:c>
      <x:c r="I397" s="16" t="str">
        <x:f>IF(AND(AND(396&lt;='Control Room'!$B$3,'Control Room'!$D$3="Ready"),7&lt;='Control Room'!$B$2),ROUND(MAX(0,'Process'!AI397*'Control Room'!$H$10*INDEX('Control Room'!$B$19:$H$19,1,WEEKDAY($A397,2))*(1+'Control Room'!$D$9)^395*'Process'!AJ397),2),"")</x:f>
      </x:c>
      <x:c r="J397" s="16" t="str">
        <x:f>IF(AND(AND(396&lt;='Control Room'!$B$3,'Control Room'!$D$3="Ready"),8&lt;='Control Room'!$B$2),ROUND(MAX(0,'Process'!AN397*'Control Room'!$H$11*INDEX('Control Room'!$B$19:$H$19,1,WEEKDAY($A397,2))*(1+'Control Room'!$D$9)^395*'Process'!AO397),2),"")</x:f>
      </x:c>
      <x:c r="K397" s="16" t="str">
        <x:f>IF(AND(AND(396&lt;='Control Room'!$B$3,'Control Room'!$D$3="Ready"),9&lt;='Control Room'!$B$2),ROUND(MAX(0,'Process'!AS397*'Control Room'!$H$12*INDEX('Control Room'!$B$19:$H$19,1,WEEKDAY($A397,2))*(1+'Control Room'!$D$9)^395*'Process'!AT397),2),"")</x:f>
      </x:c>
      <x:c r="L397" s="16" t="str">
        <x:f>IF(AND(AND(396&lt;='Control Room'!$B$3,'Control Room'!$D$3="Ready"),10&lt;='Control Room'!$B$2),ROUND(MAX(0,'Process'!AX397*'Control Room'!$H$13*INDEX('Control Room'!$B$19:$H$19,1,WEEKDAY($A397,2))*(1+'Control Room'!$D$9)^395*'Process'!AY397),2),"")</x:f>
      </x:c>
      <x:c r="M397" s="16" t="str">
        <x:f>IF(AND(AND(396&lt;='Control Room'!$B$3,'Control Room'!$D$3="Ready"),11&lt;='Control Room'!$B$2),ROUND(MAX(0,'Process'!BC397*'Control Room'!$H$14*INDEX('Control Room'!$B$19:$H$19,1,WEEKDAY($A397,2))*(1+'Control Room'!$D$9)^395*'Process'!BD397),2),"")</x:f>
      </x:c>
      <x:c r="N397" s="16" t="str">
        <x:f>IF(AND(AND(396&lt;='Control Room'!$B$3,'Control Room'!$D$3="Ready"),12&lt;='Control Room'!$B$2),ROUND(MAX(0,'Process'!BH397*'Control Room'!$H$15*INDEX('Control Room'!$B$19:$H$19,1,WEEKDAY($A397,2))*(1+'Control Room'!$D$9)^395*'Process'!BI397),2),"")</x:f>
      </x:c>
    </x:row>
    <x:row r="398" ht="21" customHeight="1">
      <x:c r="A398" s="15" t="str">
        <x:f>IF(AND(397&lt;='Control Room'!$B$3,'Control Room'!$D$3="Ready"),'Process'!A398,"")</x:f>
      </x:c>
      <x:c r="B398" s="16" t="str">
        <x:f>IF(A398="","",SUM(C398:N398))</x:f>
      </x:c>
      <x:c r="C398" s="16" t="str">
        <x:f>IF(AND(AND(397&lt;='Control Room'!$B$3,'Control Room'!$D$3="Ready"),1&lt;='Control Room'!$B$2),ROUND(MAX(0,'Process'!E398*'Control Room'!$H$4*INDEX('Control Room'!$B$19:$H$19,1,WEEKDAY($A398,2))*(1+'Control Room'!$D$9)^396*'Process'!F398),2),"")</x:f>
      </x:c>
      <x:c r="D398" s="16" t="str">
        <x:f>IF(AND(AND(397&lt;='Control Room'!$B$3,'Control Room'!$D$3="Ready"),2&lt;='Control Room'!$B$2),ROUND(MAX(0,'Process'!J398*'Control Room'!$H$5*INDEX('Control Room'!$B$19:$H$19,1,WEEKDAY($A398,2))*(1+'Control Room'!$D$9)^396*'Process'!K398),2),"")</x:f>
      </x:c>
      <x:c r="E398" s="16" t="str">
        <x:f>IF(AND(AND(397&lt;='Control Room'!$B$3,'Control Room'!$D$3="Ready"),3&lt;='Control Room'!$B$2),ROUND(MAX(0,'Process'!O398*'Control Room'!$H$6*INDEX('Control Room'!$B$19:$H$19,1,WEEKDAY($A398,2))*(1+'Control Room'!$D$9)^396*'Process'!P398),2),"")</x:f>
      </x:c>
      <x:c r="F398" s="16" t="str">
        <x:f>IF(AND(AND(397&lt;='Control Room'!$B$3,'Control Room'!$D$3="Ready"),4&lt;='Control Room'!$B$2),ROUND(MAX(0,'Process'!T398*'Control Room'!$H$7*INDEX('Control Room'!$B$19:$H$19,1,WEEKDAY($A398,2))*(1+'Control Room'!$D$9)^396*'Process'!U398),2),"")</x:f>
      </x:c>
      <x:c r="G398" s="16" t="str">
        <x:f>IF(AND(AND(397&lt;='Control Room'!$B$3,'Control Room'!$D$3="Ready"),5&lt;='Control Room'!$B$2),ROUND(MAX(0,'Process'!Y398*'Control Room'!$H$8*INDEX('Control Room'!$B$19:$H$19,1,WEEKDAY($A398,2))*(1+'Control Room'!$D$9)^396*'Process'!Z398),2),"")</x:f>
      </x:c>
      <x:c r="H398" s="16" t="str">
        <x:f>IF(AND(AND(397&lt;='Control Room'!$B$3,'Control Room'!$D$3="Ready"),6&lt;='Control Room'!$B$2),ROUND(MAX(0,'Process'!AD398*'Control Room'!$H$9*INDEX('Control Room'!$B$19:$H$19,1,WEEKDAY($A398,2))*(1+'Control Room'!$D$9)^396*'Process'!AE398),2),"")</x:f>
      </x:c>
      <x:c r="I398" s="16" t="str">
        <x:f>IF(AND(AND(397&lt;='Control Room'!$B$3,'Control Room'!$D$3="Ready"),7&lt;='Control Room'!$B$2),ROUND(MAX(0,'Process'!AI398*'Control Room'!$H$10*INDEX('Control Room'!$B$19:$H$19,1,WEEKDAY($A398,2))*(1+'Control Room'!$D$9)^396*'Process'!AJ398),2),"")</x:f>
      </x:c>
      <x:c r="J398" s="16" t="str">
        <x:f>IF(AND(AND(397&lt;='Control Room'!$B$3,'Control Room'!$D$3="Ready"),8&lt;='Control Room'!$B$2),ROUND(MAX(0,'Process'!AN398*'Control Room'!$H$11*INDEX('Control Room'!$B$19:$H$19,1,WEEKDAY($A398,2))*(1+'Control Room'!$D$9)^396*'Process'!AO398),2),"")</x:f>
      </x:c>
      <x:c r="K398" s="16" t="str">
        <x:f>IF(AND(AND(397&lt;='Control Room'!$B$3,'Control Room'!$D$3="Ready"),9&lt;='Control Room'!$B$2),ROUND(MAX(0,'Process'!AS398*'Control Room'!$H$12*INDEX('Control Room'!$B$19:$H$19,1,WEEKDAY($A398,2))*(1+'Control Room'!$D$9)^396*'Process'!AT398),2),"")</x:f>
      </x:c>
      <x:c r="L398" s="16" t="str">
        <x:f>IF(AND(AND(397&lt;='Control Room'!$B$3,'Control Room'!$D$3="Ready"),10&lt;='Control Room'!$B$2),ROUND(MAX(0,'Process'!AX398*'Control Room'!$H$13*INDEX('Control Room'!$B$19:$H$19,1,WEEKDAY($A398,2))*(1+'Control Room'!$D$9)^396*'Process'!AY398),2),"")</x:f>
      </x:c>
      <x:c r="M398" s="16" t="str">
        <x:f>IF(AND(AND(397&lt;='Control Room'!$B$3,'Control Room'!$D$3="Ready"),11&lt;='Control Room'!$B$2),ROUND(MAX(0,'Process'!BC398*'Control Room'!$H$14*INDEX('Control Room'!$B$19:$H$19,1,WEEKDAY($A398,2))*(1+'Control Room'!$D$9)^396*'Process'!BD398),2),"")</x:f>
      </x:c>
      <x:c r="N398" s="16" t="str">
        <x:f>IF(AND(AND(397&lt;='Control Room'!$B$3,'Control Room'!$D$3="Ready"),12&lt;='Control Room'!$B$2),ROUND(MAX(0,'Process'!BH398*'Control Room'!$H$15*INDEX('Control Room'!$B$19:$H$19,1,WEEKDAY($A398,2))*(1+'Control Room'!$D$9)^396*'Process'!BI398),2),"")</x:f>
      </x:c>
    </x:row>
    <x:row r="399" ht="21" customHeight="1">
      <x:c r="A399" s="15" t="str">
        <x:f>IF(AND(398&lt;='Control Room'!$B$3,'Control Room'!$D$3="Ready"),'Process'!A399,"")</x:f>
      </x:c>
      <x:c r="B399" s="16" t="str">
        <x:f>IF(A399="","",SUM(C399:N399))</x:f>
      </x:c>
      <x:c r="C399" s="16" t="str">
        <x:f>IF(AND(AND(398&lt;='Control Room'!$B$3,'Control Room'!$D$3="Ready"),1&lt;='Control Room'!$B$2),ROUND(MAX(0,'Process'!E399*'Control Room'!$H$4*INDEX('Control Room'!$B$19:$H$19,1,WEEKDAY($A399,2))*(1+'Control Room'!$D$9)^397*'Process'!F399),2),"")</x:f>
      </x:c>
      <x:c r="D399" s="16" t="str">
        <x:f>IF(AND(AND(398&lt;='Control Room'!$B$3,'Control Room'!$D$3="Ready"),2&lt;='Control Room'!$B$2),ROUND(MAX(0,'Process'!J399*'Control Room'!$H$5*INDEX('Control Room'!$B$19:$H$19,1,WEEKDAY($A399,2))*(1+'Control Room'!$D$9)^397*'Process'!K399),2),"")</x:f>
      </x:c>
      <x:c r="E399" s="16" t="str">
        <x:f>IF(AND(AND(398&lt;='Control Room'!$B$3,'Control Room'!$D$3="Ready"),3&lt;='Control Room'!$B$2),ROUND(MAX(0,'Process'!O399*'Control Room'!$H$6*INDEX('Control Room'!$B$19:$H$19,1,WEEKDAY($A399,2))*(1+'Control Room'!$D$9)^397*'Process'!P399),2),"")</x:f>
      </x:c>
      <x:c r="F399" s="16" t="str">
        <x:f>IF(AND(AND(398&lt;='Control Room'!$B$3,'Control Room'!$D$3="Ready"),4&lt;='Control Room'!$B$2),ROUND(MAX(0,'Process'!T399*'Control Room'!$H$7*INDEX('Control Room'!$B$19:$H$19,1,WEEKDAY($A399,2))*(1+'Control Room'!$D$9)^397*'Process'!U399),2),"")</x:f>
      </x:c>
      <x:c r="G399" s="16" t="str">
        <x:f>IF(AND(AND(398&lt;='Control Room'!$B$3,'Control Room'!$D$3="Ready"),5&lt;='Control Room'!$B$2),ROUND(MAX(0,'Process'!Y399*'Control Room'!$H$8*INDEX('Control Room'!$B$19:$H$19,1,WEEKDAY($A399,2))*(1+'Control Room'!$D$9)^397*'Process'!Z399),2),"")</x:f>
      </x:c>
      <x:c r="H399" s="16" t="str">
        <x:f>IF(AND(AND(398&lt;='Control Room'!$B$3,'Control Room'!$D$3="Ready"),6&lt;='Control Room'!$B$2),ROUND(MAX(0,'Process'!AD399*'Control Room'!$H$9*INDEX('Control Room'!$B$19:$H$19,1,WEEKDAY($A399,2))*(1+'Control Room'!$D$9)^397*'Process'!AE399),2),"")</x:f>
      </x:c>
      <x:c r="I399" s="16" t="str">
        <x:f>IF(AND(AND(398&lt;='Control Room'!$B$3,'Control Room'!$D$3="Ready"),7&lt;='Control Room'!$B$2),ROUND(MAX(0,'Process'!AI399*'Control Room'!$H$10*INDEX('Control Room'!$B$19:$H$19,1,WEEKDAY($A399,2))*(1+'Control Room'!$D$9)^397*'Process'!AJ399),2),"")</x:f>
      </x:c>
      <x:c r="J399" s="16" t="str">
        <x:f>IF(AND(AND(398&lt;='Control Room'!$B$3,'Control Room'!$D$3="Ready"),8&lt;='Control Room'!$B$2),ROUND(MAX(0,'Process'!AN399*'Control Room'!$H$11*INDEX('Control Room'!$B$19:$H$19,1,WEEKDAY($A399,2))*(1+'Control Room'!$D$9)^397*'Process'!AO399),2),"")</x:f>
      </x:c>
      <x:c r="K399" s="16" t="str">
        <x:f>IF(AND(AND(398&lt;='Control Room'!$B$3,'Control Room'!$D$3="Ready"),9&lt;='Control Room'!$B$2),ROUND(MAX(0,'Process'!AS399*'Control Room'!$H$12*INDEX('Control Room'!$B$19:$H$19,1,WEEKDAY($A399,2))*(1+'Control Room'!$D$9)^397*'Process'!AT399),2),"")</x:f>
      </x:c>
      <x:c r="L399" s="16" t="str">
        <x:f>IF(AND(AND(398&lt;='Control Room'!$B$3,'Control Room'!$D$3="Ready"),10&lt;='Control Room'!$B$2),ROUND(MAX(0,'Process'!AX399*'Control Room'!$H$13*INDEX('Control Room'!$B$19:$H$19,1,WEEKDAY($A399,2))*(1+'Control Room'!$D$9)^397*'Process'!AY399),2),"")</x:f>
      </x:c>
      <x:c r="M399" s="16" t="str">
        <x:f>IF(AND(AND(398&lt;='Control Room'!$B$3,'Control Room'!$D$3="Ready"),11&lt;='Control Room'!$B$2),ROUND(MAX(0,'Process'!BC399*'Control Room'!$H$14*INDEX('Control Room'!$B$19:$H$19,1,WEEKDAY($A399,2))*(1+'Control Room'!$D$9)^397*'Process'!BD399),2),"")</x:f>
      </x:c>
      <x:c r="N399" s="16" t="str">
        <x:f>IF(AND(AND(398&lt;='Control Room'!$B$3,'Control Room'!$D$3="Ready"),12&lt;='Control Room'!$B$2),ROUND(MAX(0,'Process'!BH399*'Control Room'!$H$15*INDEX('Control Room'!$B$19:$H$19,1,WEEKDAY($A399,2))*(1+'Control Room'!$D$9)^397*'Process'!BI399),2),"")</x:f>
      </x:c>
    </x:row>
    <x:row r="400" ht="21" customHeight="1">
      <x:c r="A400" s="15" t="str">
        <x:f>IF(AND(399&lt;='Control Room'!$B$3,'Control Room'!$D$3="Ready"),'Process'!A400,"")</x:f>
      </x:c>
      <x:c r="B400" s="16" t="str">
        <x:f>IF(A400="","",SUM(C400:N400))</x:f>
      </x:c>
      <x:c r="C400" s="16" t="str">
        <x:f>IF(AND(AND(399&lt;='Control Room'!$B$3,'Control Room'!$D$3="Ready"),1&lt;='Control Room'!$B$2),ROUND(MAX(0,'Process'!E400*'Control Room'!$H$4*INDEX('Control Room'!$B$19:$H$19,1,WEEKDAY($A400,2))*(1+'Control Room'!$D$9)^398*'Process'!F400),2),"")</x:f>
      </x:c>
      <x:c r="D400" s="16" t="str">
        <x:f>IF(AND(AND(399&lt;='Control Room'!$B$3,'Control Room'!$D$3="Ready"),2&lt;='Control Room'!$B$2),ROUND(MAX(0,'Process'!J400*'Control Room'!$H$5*INDEX('Control Room'!$B$19:$H$19,1,WEEKDAY($A400,2))*(1+'Control Room'!$D$9)^398*'Process'!K400),2),"")</x:f>
      </x:c>
      <x:c r="E400" s="16" t="str">
        <x:f>IF(AND(AND(399&lt;='Control Room'!$B$3,'Control Room'!$D$3="Ready"),3&lt;='Control Room'!$B$2),ROUND(MAX(0,'Process'!O400*'Control Room'!$H$6*INDEX('Control Room'!$B$19:$H$19,1,WEEKDAY($A400,2))*(1+'Control Room'!$D$9)^398*'Process'!P400),2),"")</x:f>
      </x:c>
      <x:c r="F400" s="16" t="str">
        <x:f>IF(AND(AND(399&lt;='Control Room'!$B$3,'Control Room'!$D$3="Ready"),4&lt;='Control Room'!$B$2),ROUND(MAX(0,'Process'!T400*'Control Room'!$H$7*INDEX('Control Room'!$B$19:$H$19,1,WEEKDAY($A400,2))*(1+'Control Room'!$D$9)^398*'Process'!U400),2),"")</x:f>
      </x:c>
      <x:c r="G400" s="16" t="str">
        <x:f>IF(AND(AND(399&lt;='Control Room'!$B$3,'Control Room'!$D$3="Ready"),5&lt;='Control Room'!$B$2),ROUND(MAX(0,'Process'!Y400*'Control Room'!$H$8*INDEX('Control Room'!$B$19:$H$19,1,WEEKDAY($A400,2))*(1+'Control Room'!$D$9)^398*'Process'!Z400),2),"")</x:f>
      </x:c>
      <x:c r="H400" s="16" t="str">
        <x:f>IF(AND(AND(399&lt;='Control Room'!$B$3,'Control Room'!$D$3="Ready"),6&lt;='Control Room'!$B$2),ROUND(MAX(0,'Process'!AD400*'Control Room'!$H$9*INDEX('Control Room'!$B$19:$H$19,1,WEEKDAY($A400,2))*(1+'Control Room'!$D$9)^398*'Process'!AE400),2),"")</x:f>
      </x:c>
      <x:c r="I400" s="16" t="str">
        <x:f>IF(AND(AND(399&lt;='Control Room'!$B$3,'Control Room'!$D$3="Ready"),7&lt;='Control Room'!$B$2),ROUND(MAX(0,'Process'!AI400*'Control Room'!$H$10*INDEX('Control Room'!$B$19:$H$19,1,WEEKDAY($A400,2))*(1+'Control Room'!$D$9)^398*'Process'!AJ400),2),"")</x:f>
      </x:c>
      <x:c r="J400" s="16" t="str">
        <x:f>IF(AND(AND(399&lt;='Control Room'!$B$3,'Control Room'!$D$3="Ready"),8&lt;='Control Room'!$B$2),ROUND(MAX(0,'Process'!AN400*'Control Room'!$H$11*INDEX('Control Room'!$B$19:$H$19,1,WEEKDAY($A400,2))*(1+'Control Room'!$D$9)^398*'Process'!AO400),2),"")</x:f>
      </x:c>
      <x:c r="K400" s="16" t="str">
        <x:f>IF(AND(AND(399&lt;='Control Room'!$B$3,'Control Room'!$D$3="Ready"),9&lt;='Control Room'!$B$2),ROUND(MAX(0,'Process'!AS400*'Control Room'!$H$12*INDEX('Control Room'!$B$19:$H$19,1,WEEKDAY($A400,2))*(1+'Control Room'!$D$9)^398*'Process'!AT400),2),"")</x:f>
      </x:c>
      <x:c r="L400" s="16" t="str">
        <x:f>IF(AND(AND(399&lt;='Control Room'!$B$3,'Control Room'!$D$3="Ready"),10&lt;='Control Room'!$B$2),ROUND(MAX(0,'Process'!AX400*'Control Room'!$H$13*INDEX('Control Room'!$B$19:$H$19,1,WEEKDAY($A400,2))*(1+'Control Room'!$D$9)^398*'Process'!AY400),2),"")</x:f>
      </x:c>
      <x:c r="M400" s="16" t="str">
        <x:f>IF(AND(AND(399&lt;='Control Room'!$B$3,'Control Room'!$D$3="Ready"),11&lt;='Control Room'!$B$2),ROUND(MAX(0,'Process'!BC400*'Control Room'!$H$14*INDEX('Control Room'!$B$19:$H$19,1,WEEKDAY($A400,2))*(1+'Control Room'!$D$9)^398*'Process'!BD400),2),"")</x:f>
      </x:c>
      <x:c r="N400" s="16" t="str">
        <x:f>IF(AND(AND(399&lt;='Control Room'!$B$3,'Control Room'!$D$3="Ready"),12&lt;='Control Room'!$B$2),ROUND(MAX(0,'Process'!BH400*'Control Room'!$H$15*INDEX('Control Room'!$B$19:$H$19,1,WEEKDAY($A400,2))*(1+'Control Room'!$D$9)^398*'Process'!BI400),2),"")</x:f>
      </x:c>
    </x:row>
    <x:row r="401" ht="21" customHeight="1">
      <x:c r="A401" s="15" t="str">
        <x:f>IF(AND(400&lt;='Control Room'!$B$3,'Control Room'!$D$3="Ready"),'Process'!A401,"")</x:f>
      </x:c>
      <x:c r="B401" s="16" t="str">
        <x:f>IF(A401="","",SUM(C401:N401))</x:f>
      </x:c>
      <x:c r="C401" s="16" t="str">
        <x:f>IF(AND(AND(400&lt;='Control Room'!$B$3,'Control Room'!$D$3="Ready"),1&lt;='Control Room'!$B$2),ROUND(MAX(0,'Process'!E401*'Control Room'!$H$4*INDEX('Control Room'!$B$19:$H$19,1,WEEKDAY($A401,2))*(1+'Control Room'!$D$9)^399*'Process'!F401),2),"")</x:f>
      </x:c>
      <x:c r="D401" s="16" t="str">
        <x:f>IF(AND(AND(400&lt;='Control Room'!$B$3,'Control Room'!$D$3="Ready"),2&lt;='Control Room'!$B$2),ROUND(MAX(0,'Process'!J401*'Control Room'!$H$5*INDEX('Control Room'!$B$19:$H$19,1,WEEKDAY($A401,2))*(1+'Control Room'!$D$9)^399*'Process'!K401),2),"")</x:f>
      </x:c>
      <x:c r="E401" s="16" t="str">
        <x:f>IF(AND(AND(400&lt;='Control Room'!$B$3,'Control Room'!$D$3="Ready"),3&lt;='Control Room'!$B$2),ROUND(MAX(0,'Process'!O401*'Control Room'!$H$6*INDEX('Control Room'!$B$19:$H$19,1,WEEKDAY($A401,2))*(1+'Control Room'!$D$9)^399*'Process'!P401),2),"")</x:f>
      </x:c>
      <x:c r="F401" s="16" t="str">
        <x:f>IF(AND(AND(400&lt;='Control Room'!$B$3,'Control Room'!$D$3="Ready"),4&lt;='Control Room'!$B$2),ROUND(MAX(0,'Process'!T401*'Control Room'!$H$7*INDEX('Control Room'!$B$19:$H$19,1,WEEKDAY($A401,2))*(1+'Control Room'!$D$9)^399*'Process'!U401),2),"")</x:f>
      </x:c>
      <x:c r="G401" s="16" t="str">
        <x:f>IF(AND(AND(400&lt;='Control Room'!$B$3,'Control Room'!$D$3="Ready"),5&lt;='Control Room'!$B$2),ROUND(MAX(0,'Process'!Y401*'Control Room'!$H$8*INDEX('Control Room'!$B$19:$H$19,1,WEEKDAY($A401,2))*(1+'Control Room'!$D$9)^399*'Process'!Z401),2),"")</x:f>
      </x:c>
      <x:c r="H401" s="16" t="str">
        <x:f>IF(AND(AND(400&lt;='Control Room'!$B$3,'Control Room'!$D$3="Ready"),6&lt;='Control Room'!$B$2),ROUND(MAX(0,'Process'!AD401*'Control Room'!$H$9*INDEX('Control Room'!$B$19:$H$19,1,WEEKDAY($A401,2))*(1+'Control Room'!$D$9)^399*'Process'!AE401),2),"")</x:f>
      </x:c>
      <x:c r="I401" s="16" t="str">
        <x:f>IF(AND(AND(400&lt;='Control Room'!$B$3,'Control Room'!$D$3="Ready"),7&lt;='Control Room'!$B$2),ROUND(MAX(0,'Process'!AI401*'Control Room'!$H$10*INDEX('Control Room'!$B$19:$H$19,1,WEEKDAY($A401,2))*(1+'Control Room'!$D$9)^399*'Process'!AJ401),2),"")</x:f>
      </x:c>
      <x:c r="J401" s="16" t="str">
        <x:f>IF(AND(AND(400&lt;='Control Room'!$B$3,'Control Room'!$D$3="Ready"),8&lt;='Control Room'!$B$2),ROUND(MAX(0,'Process'!AN401*'Control Room'!$H$11*INDEX('Control Room'!$B$19:$H$19,1,WEEKDAY($A401,2))*(1+'Control Room'!$D$9)^399*'Process'!AO401),2),"")</x:f>
      </x:c>
      <x:c r="K401" s="16" t="str">
        <x:f>IF(AND(AND(400&lt;='Control Room'!$B$3,'Control Room'!$D$3="Ready"),9&lt;='Control Room'!$B$2),ROUND(MAX(0,'Process'!AS401*'Control Room'!$H$12*INDEX('Control Room'!$B$19:$H$19,1,WEEKDAY($A401,2))*(1+'Control Room'!$D$9)^399*'Process'!AT401),2),"")</x:f>
      </x:c>
      <x:c r="L401" s="16" t="str">
        <x:f>IF(AND(AND(400&lt;='Control Room'!$B$3,'Control Room'!$D$3="Ready"),10&lt;='Control Room'!$B$2),ROUND(MAX(0,'Process'!AX401*'Control Room'!$H$13*INDEX('Control Room'!$B$19:$H$19,1,WEEKDAY($A401,2))*(1+'Control Room'!$D$9)^399*'Process'!AY401),2),"")</x:f>
      </x:c>
      <x:c r="M401" s="16" t="str">
        <x:f>IF(AND(AND(400&lt;='Control Room'!$B$3,'Control Room'!$D$3="Ready"),11&lt;='Control Room'!$B$2),ROUND(MAX(0,'Process'!BC401*'Control Room'!$H$14*INDEX('Control Room'!$B$19:$H$19,1,WEEKDAY($A401,2))*(1+'Control Room'!$D$9)^399*'Process'!BD401),2),"")</x:f>
      </x:c>
      <x:c r="N401" s="16" t="str">
        <x:f>IF(AND(AND(400&lt;='Control Room'!$B$3,'Control Room'!$D$3="Ready"),12&lt;='Control Room'!$B$2),ROUND(MAX(0,'Process'!BH401*'Control Room'!$H$15*INDEX('Control Room'!$B$19:$H$19,1,WEEKDAY($A401,2))*(1+'Control Room'!$D$9)^399*'Process'!BI401),2),"")</x:f>
      </x:c>
    </x:row>
    <x:row r="402" ht="21" customHeight="1">
      <x:c r="A402" s="15" t="str">
        <x:f>IF(AND(401&lt;='Control Room'!$B$3,'Control Room'!$D$3="Ready"),'Process'!A402,"")</x:f>
      </x:c>
      <x:c r="B402" s="16" t="str">
        <x:f>IF(A402="","",SUM(C402:N402))</x:f>
      </x:c>
      <x:c r="C402" s="16" t="str">
        <x:f>IF(AND(AND(401&lt;='Control Room'!$B$3,'Control Room'!$D$3="Ready"),1&lt;='Control Room'!$B$2),ROUND(MAX(0,'Process'!E402*'Control Room'!$H$4*INDEX('Control Room'!$B$19:$H$19,1,WEEKDAY($A402,2))*(1+'Control Room'!$D$9)^400*'Process'!F402),2),"")</x:f>
      </x:c>
      <x:c r="D402" s="16" t="str">
        <x:f>IF(AND(AND(401&lt;='Control Room'!$B$3,'Control Room'!$D$3="Ready"),2&lt;='Control Room'!$B$2),ROUND(MAX(0,'Process'!J402*'Control Room'!$H$5*INDEX('Control Room'!$B$19:$H$19,1,WEEKDAY($A402,2))*(1+'Control Room'!$D$9)^400*'Process'!K402),2),"")</x:f>
      </x:c>
      <x:c r="E402" s="16" t="str">
        <x:f>IF(AND(AND(401&lt;='Control Room'!$B$3,'Control Room'!$D$3="Ready"),3&lt;='Control Room'!$B$2),ROUND(MAX(0,'Process'!O402*'Control Room'!$H$6*INDEX('Control Room'!$B$19:$H$19,1,WEEKDAY($A402,2))*(1+'Control Room'!$D$9)^400*'Process'!P402),2),"")</x:f>
      </x:c>
      <x:c r="F402" s="16" t="str">
        <x:f>IF(AND(AND(401&lt;='Control Room'!$B$3,'Control Room'!$D$3="Ready"),4&lt;='Control Room'!$B$2),ROUND(MAX(0,'Process'!T402*'Control Room'!$H$7*INDEX('Control Room'!$B$19:$H$19,1,WEEKDAY($A402,2))*(1+'Control Room'!$D$9)^400*'Process'!U402),2),"")</x:f>
      </x:c>
      <x:c r="G402" s="16" t="str">
        <x:f>IF(AND(AND(401&lt;='Control Room'!$B$3,'Control Room'!$D$3="Ready"),5&lt;='Control Room'!$B$2),ROUND(MAX(0,'Process'!Y402*'Control Room'!$H$8*INDEX('Control Room'!$B$19:$H$19,1,WEEKDAY($A402,2))*(1+'Control Room'!$D$9)^400*'Process'!Z402),2),"")</x:f>
      </x:c>
      <x:c r="H402" s="16" t="str">
        <x:f>IF(AND(AND(401&lt;='Control Room'!$B$3,'Control Room'!$D$3="Ready"),6&lt;='Control Room'!$B$2),ROUND(MAX(0,'Process'!AD402*'Control Room'!$H$9*INDEX('Control Room'!$B$19:$H$19,1,WEEKDAY($A402,2))*(1+'Control Room'!$D$9)^400*'Process'!AE402),2),"")</x:f>
      </x:c>
      <x:c r="I402" s="16" t="str">
        <x:f>IF(AND(AND(401&lt;='Control Room'!$B$3,'Control Room'!$D$3="Ready"),7&lt;='Control Room'!$B$2),ROUND(MAX(0,'Process'!AI402*'Control Room'!$H$10*INDEX('Control Room'!$B$19:$H$19,1,WEEKDAY($A402,2))*(1+'Control Room'!$D$9)^400*'Process'!AJ402),2),"")</x:f>
      </x:c>
      <x:c r="J402" s="16" t="str">
        <x:f>IF(AND(AND(401&lt;='Control Room'!$B$3,'Control Room'!$D$3="Ready"),8&lt;='Control Room'!$B$2),ROUND(MAX(0,'Process'!AN402*'Control Room'!$H$11*INDEX('Control Room'!$B$19:$H$19,1,WEEKDAY($A402,2))*(1+'Control Room'!$D$9)^400*'Process'!AO402),2),"")</x:f>
      </x:c>
      <x:c r="K402" s="16" t="str">
        <x:f>IF(AND(AND(401&lt;='Control Room'!$B$3,'Control Room'!$D$3="Ready"),9&lt;='Control Room'!$B$2),ROUND(MAX(0,'Process'!AS402*'Control Room'!$H$12*INDEX('Control Room'!$B$19:$H$19,1,WEEKDAY($A402,2))*(1+'Control Room'!$D$9)^400*'Process'!AT402),2),"")</x:f>
      </x:c>
      <x:c r="L402" s="16" t="str">
        <x:f>IF(AND(AND(401&lt;='Control Room'!$B$3,'Control Room'!$D$3="Ready"),10&lt;='Control Room'!$B$2),ROUND(MAX(0,'Process'!AX402*'Control Room'!$H$13*INDEX('Control Room'!$B$19:$H$19,1,WEEKDAY($A402,2))*(1+'Control Room'!$D$9)^400*'Process'!AY402),2),"")</x:f>
      </x:c>
      <x:c r="M402" s="16" t="str">
        <x:f>IF(AND(AND(401&lt;='Control Room'!$B$3,'Control Room'!$D$3="Ready"),11&lt;='Control Room'!$B$2),ROUND(MAX(0,'Process'!BC402*'Control Room'!$H$14*INDEX('Control Room'!$B$19:$H$19,1,WEEKDAY($A402,2))*(1+'Control Room'!$D$9)^400*'Process'!BD402),2),"")</x:f>
      </x:c>
      <x:c r="N402" s="16" t="str">
        <x:f>IF(AND(AND(401&lt;='Control Room'!$B$3,'Control Room'!$D$3="Ready"),12&lt;='Control Room'!$B$2),ROUND(MAX(0,'Process'!BH402*'Control Room'!$H$15*INDEX('Control Room'!$B$19:$H$19,1,WEEKDAY($A402,2))*(1+'Control Room'!$D$9)^400*'Process'!BI402),2),"")</x:f>
      </x:c>
    </x:row>
    <x:row r="403" ht="21" customHeight="1">
      <x:c r="A403" s="15" t="str">
        <x:f>IF(AND(402&lt;='Control Room'!$B$3,'Control Room'!$D$3="Ready"),'Process'!A403,"")</x:f>
      </x:c>
      <x:c r="B403" s="16" t="str">
        <x:f>IF(A403="","",SUM(C403:N403))</x:f>
      </x:c>
      <x:c r="C403" s="16" t="str">
        <x:f>IF(AND(AND(402&lt;='Control Room'!$B$3,'Control Room'!$D$3="Ready"),1&lt;='Control Room'!$B$2),ROUND(MAX(0,'Process'!E403*'Control Room'!$H$4*INDEX('Control Room'!$B$19:$H$19,1,WEEKDAY($A403,2))*(1+'Control Room'!$D$9)^401*'Process'!F403),2),"")</x:f>
      </x:c>
      <x:c r="D403" s="16" t="str">
        <x:f>IF(AND(AND(402&lt;='Control Room'!$B$3,'Control Room'!$D$3="Ready"),2&lt;='Control Room'!$B$2),ROUND(MAX(0,'Process'!J403*'Control Room'!$H$5*INDEX('Control Room'!$B$19:$H$19,1,WEEKDAY($A403,2))*(1+'Control Room'!$D$9)^401*'Process'!K403),2),"")</x:f>
      </x:c>
      <x:c r="E403" s="16" t="str">
        <x:f>IF(AND(AND(402&lt;='Control Room'!$B$3,'Control Room'!$D$3="Ready"),3&lt;='Control Room'!$B$2),ROUND(MAX(0,'Process'!O403*'Control Room'!$H$6*INDEX('Control Room'!$B$19:$H$19,1,WEEKDAY($A403,2))*(1+'Control Room'!$D$9)^401*'Process'!P403),2),"")</x:f>
      </x:c>
      <x:c r="F403" s="16" t="str">
        <x:f>IF(AND(AND(402&lt;='Control Room'!$B$3,'Control Room'!$D$3="Ready"),4&lt;='Control Room'!$B$2),ROUND(MAX(0,'Process'!T403*'Control Room'!$H$7*INDEX('Control Room'!$B$19:$H$19,1,WEEKDAY($A403,2))*(1+'Control Room'!$D$9)^401*'Process'!U403),2),"")</x:f>
      </x:c>
      <x:c r="G403" s="16" t="str">
        <x:f>IF(AND(AND(402&lt;='Control Room'!$B$3,'Control Room'!$D$3="Ready"),5&lt;='Control Room'!$B$2),ROUND(MAX(0,'Process'!Y403*'Control Room'!$H$8*INDEX('Control Room'!$B$19:$H$19,1,WEEKDAY($A403,2))*(1+'Control Room'!$D$9)^401*'Process'!Z403),2),"")</x:f>
      </x:c>
      <x:c r="H403" s="16" t="str">
        <x:f>IF(AND(AND(402&lt;='Control Room'!$B$3,'Control Room'!$D$3="Ready"),6&lt;='Control Room'!$B$2),ROUND(MAX(0,'Process'!AD403*'Control Room'!$H$9*INDEX('Control Room'!$B$19:$H$19,1,WEEKDAY($A403,2))*(1+'Control Room'!$D$9)^401*'Process'!AE403),2),"")</x:f>
      </x:c>
      <x:c r="I403" s="16" t="str">
        <x:f>IF(AND(AND(402&lt;='Control Room'!$B$3,'Control Room'!$D$3="Ready"),7&lt;='Control Room'!$B$2),ROUND(MAX(0,'Process'!AI403*'Control Room'!$H$10*INDEX('Control Room'!$B$19:$H$19,1,WEEKDAY($A403,2))*(1+'Control Room'!$D$9)^401*'Process'!AJ403),2),"")</x:f>
      </x:c>
      <x:c r="J403" s="16" t="str">
        <x:f>IF(AND(AND(402&lt;='Control Room'!$B$3,'Control Room'!$D$3="Ready"),8&lt;='Control Room'!$B$2),ROUND(MAX(0,'Process'!AN403*'Control Room'!$H$11*INDEX('Control Room'!$B$19:$H$19,1,WEEKDAY($A403,2))*(1+'Control Room'!$D$9)^401*'Process'!AO403),2),"")</x:f>
      </x:c>
      <x:c r="K403" s="16" t="str">
        <x:f>IF(AND(AND(402&lt;='Control Room'!$B$3,'Control Room'!$D$3="Ready"),9&lt;='Control Room'!$B$2),ROUND(MAX(0,'Process'!AS403*'Control Room'!$H$12*INDEX('Control Room'!$B$19:$H$19,1,WEEKDAY($A403,2))*(1+'Control Room'!$D$9)^401*'Process'!AT403),2),"")</x:f>
      </x:c>
      <x:c r="L403" s="16" t="str">
        <x:f>IF(AND(AND(402&lt;='Control Room'!$B$3,'Control Room'!$D$3="Ready"),10&lt;='Control Room'!$B$2),ROUND(MAX(0,'Process'!AX403*'Control Room'!$H$13*INDEX('Control Room'!$B$19:$H$19,1,WEEKDAY($A403,2))*(1+'Control Room'!$D$9)^401*'Process'!AY403),2),"")</x:f>
      </x:c>
      <x:c r="M403" s="16" t="str">
        <x:f>IF(AND(AND(402&lt;='Control Room'!$B$3,'Control Room'!$D$3="Ready"),11&lt;='Control Room'!$B$2),ROUND(MAX(0,'Process'!BC403*'Control Room'!$H$14*INDEX('Control Room'!$B$19:$H$19,1,WEEKDAY($A403,2))*(1+'Control Room'!$D$9)^401*'Process'!BD403),2),"")</x:f>
      </x:c>
      <x:c r="N403" s="16" t="str">
        <x:f>IF(AND(AND(402&lt;='Control Room'!$B$3,'Control Room'!$D$3="Ready"),12&lt;='Control Room'!$B$2),ROUND(MAX(0,'Process'!BH403*'Control Room'!$H$15*INDEX('Control Room'!$B$19:$H$19,1,WEEKDAY($A403,2))*(1+'Control Room'!$D$9)^401*'Process'!BI403),2),"")</x:f>
      </x:c>
    </x:row>
    <x:row r="404" ht="21" customHeight="1">
      <x:c r="A404" s="15" t="str">
        <x:f>IF(AND(403&lt;='Control Room'!$B$3,'Control Room'!$D$3="Ready"),'Process'!A404,"")</x:f>
      </x:c>
      <x:c r="B404" s="16" t="str">
        <x:f>IF(A404="","",SUM(C404:N404))</x:f>
      </x:c>
      <x:c r="C404" s="16" t="str">
        <x:f>IF(AND(AND(403&lt;='Control Room'!$B$3,'Control Room'!$D$3="Ready"),1&lt;='Control Room'!$B$2),ROUND(MAX(0,'Process'!E404*'Control Room'!$H$4*INDEX('Control Room'!$B$19:$H$19,1,WEEKDAY($A404,2))*(1+'Control Room'!$D$9)^402*'Process'!F404),2),"")</x:f>
      </x:c>
      <x:c r="D404" s="16" t="str">
        <x:f>IF(AND(AND(403&lt;='Control Room'!$B$3,'Control Room'!$D$3="Ready"),2&lt;='Control Room'!$B$2),ROUND(MAX(0,'Process'!J404*'Control Room'!$H$5*INDEX('Control Room'!$B$19:$H$19,1,WEEKDAY($A404,2))*(1+'Control Room'!$D$9)^402*'Process'!K404),2),"")</x:f>
      </x:c>
      <x:c r="E404" s="16" t="str">
        <x:f>IF(AND(AND(403&lt;='Control Room'!$B$3,'Control Room'!$D$3="Ready"),3&lt;='Control Room'!$B$2),ROUND(MAX(0,'Process'!O404*'Control Room'!$H$6*INDEX('Control Room'!$B$19:$H$19,1,WEEKDAY($A404,2))*(1+'Control Room'!$D$9)^402*'Process'!P404),2),"")</x:f>
      </x:c>
      <x:c r="F404" s="16" t="str">
        <x:f>IF(AND(AND(403&lt;='Control Room'!$B$3,'Control Room'!$D$3="Ready"),4&lt;='Control Room'!$B$2),ROUND(MAX(0,'Process'!T404*'Control Room'!$H$7*INDEX('Control Room'!$B$19:$H$19,1,WEEKDAY($A404,2))*(1+'Control Room'!$D$9)^402*'Process'!U404),2),"")</x:f>
      </x:c>
      <x:c r="G404" s="16" t="str">
        <x:f>IF(AND(AND(403&lt;='Control Room'!$B$3,'Control Room'!$D$3="Ready"),5&lt;='Control Room'!$B$2),ROUND(MAX(0,'Process'!Y404*'Control Room'!$H$8*INDEX('Control Room'!$B$19:$H$19,1,WEEKDAY($A404,2))*(1+'Control Room'!$D$9)^402*'Process'!Z404),2),"")</x:f>
      </x:c>
      <x:c r="H404" s="16" t="str">
        <x:f>IF(AND(AND(403&lt;='Control Room'!$B$3,'Control Room'!$D$3="Ready"),6&lt;='Control Room'!$B$2),ROUND(MAX(0,'Process'!AD404*'Control Room'!$H$9*INDEX('Control Room'!$B$19:$H$19,1,WEEKDAY($A404,2))*(1+'Control Room'!$D$9)^402*'Process'!AE404),2),"")</x:f>
      </x:c>
      <x:c r="I404" s="16" t="str">
        <x:f>IF(AND(AND(403&lt;='Control Room'!$B$3,'Control Room'!$D$3="Ready"),7&lt;='Control Room'!$B$2),ROUND(MAX(0,'Process'!AI404*'Control Room'!$H$10*INDEX('Control Room'!$B$19:$H$19,1,WEEKDAY($A404,2))*(1+'Control Room'!$D$9)^402*'Process'!AJ404),2),"")</x:f>
      </x:c>
      <x:c r="J404" s="16" t="str">
        <x:f>IF(AND(AND(403&lt;='Control Room'!$B$3,'Control Room'!$D$3="Ready"),8&lt;='Control Room'!$B$2),ROUND(MAX(0,'Process'!AN404*'Control Room'!$H$11*INDEX('Control Room'!$B$19:$H$19,1,WEEKDAY($A404,2))*(1+'Control Room'!$D$9)^402*'Process'!AO404),2),"")</x:f>
      </x:c>
      <x:c r="K404" s="16" t="str">
        <x:f>IF(AND(AND(403&lt;='Control Room'!$B$3,'Control Room'!$D$3="Ready"),9&lt;='Control Room'!$B$2),ROUND(MAX(0,'Process'!AS404*'Control Room'!$H$12*INDEX('Control Room'!$B$19:$H$19,1,WEEKDAY($A404,2))*(1+'Control Room'!$D$9)^402*'Process'!AT404),2),"")</x:f>
      </x:c>
      <x:c r="L404" s="16" t="str">
        <x:f>IF(AND(AND(403&lt;='Control Room'!$B$3,'Control Room'!$D$3="Ready"),10&lt;='Control Room'!$B$2),ROUND(MAX(0,'Process'!AX404*'Control Room'!$H$13*INDEX('Control Room'!$B$19:$H$19,1,WEEKDAY($A404,2))*(1+'Control Room'!$D$9)^402*'Process'!AY404),2),"")</x:f>
      </x:c>
      <x:c r="M404" s="16" t="str">
        <x:f>IF(AND(AND(403&lt;='Control Room'!$B$3,'Control Room'!$D$3="Ready"),11&lt;='Control Room'!$B$2),ROUND(MAX(0,'Process'!BC404*'Control Room'!$H$14*INDEX('Control Room'!$B$19:$H$19,1,WEEKDAY($A404,2))*(1+'Control Room'!$D$9)^402*'Process'!BD404),2),"")</x:f>
      </x:c>
      <x:c r="N404" s="16" t="str">
        <x:f>IF(AND(AND(403&lt;='Control Room'!$B$3,'Control Room'!$D$3="Ready"),12&lt;='Control Room'!$B$2),ROUND(MAX(0,'Process'!BH404*'Control Room'!$H$15*INDEX('Control Room'!$B$19:$H$19,1,WEEKDAY($A404,2))*(1+'Control Room'!$D$9)^402*'Process'!BI404),2),"")</x:f>
      </x:c>
    </x:row>
    <x:row r="405" ht="21" customHeight="1">
      <x:c r="A405" s="15" t="str">
        <x:f>IF(AND(404&lt;='Control Room'!$B$3,'Control Room'!$D$3="Ready"),'Process'!A405,"")</x:f>
      </x:c>
      <x:c r="B405" s="16" t="str">
        <x:f>IF(A405="","",SUM(C405:N405))</x:f>
      </x:c>
      <x:c r="C405" s="16" t="str">
        <x:f>IF(AND(AND(404&lt;='Control Room'!$B$3,'Control Room'!$D$3="Ready"),1&lt;='Control Room'!$B$2),ROUND(MAX(0,'Process'!E405*'Control Room'!$H$4*INDEX('Control Room'!$B$19:$H$19,1,WEEKDAY($A405,2))*(1+'Control Room'!$D$9)^403*'Process'!F405),2),"")</x:f>
      </x:c>
      <x:c r="D405" s="16" t="str">
        <x:f>IF(AND(AND(404&lt;='Control Room'!$B$3,'Control Room'!$D$3="Ready"),2&lt;='Control Room'!$B$2),ROUND(MAX(0,'Process'!J405*'Control Room'!$H$5*INDEX('Control Room'!$B$19:$H$19,1,WEEKDAY($A405,2))*(1+'Control Room'!$D$9)^403*'Process'!K405),2),"")</x:f>
      </x:c>
      <x:c r="E405" s="16" t="str">
        <x:f>IF(AND(AND(404&lt;='Control Room'!$B$3,'Control Room'!$D$3="Ready"),3&lt;='Control Room'!$B$2),ROUND(MAX(0,'Process'!O405*'Control Room'!$H$6*INDEX('Control Room'!$B$19:$H$19,1,WEEKDAY($A405,2))*(1+'Control Room'!$D$9)^403*'Process'!P405),2),"")</x:f>
      </x:c>
      <x:c r="F405" s="16" t="str">
        <x:f>IF(AND(AND(404&lt;='Control Room'!$B$3,'Control Room'!$D$3="Ready"),4&lt;='Control Room'!$B$2),ROUND(MAX(0,'Process'!T405*'Control Room'!$H$7*INDEX('Control Room'!$B$19:$H$19,1,WEEKDAY($A405,2))*(1+'Control Room'!$D$9)^403*'Process'!U405),2),"")</x:f>
      </x:c>
      <x:c r="G405" s="16" t="str">
        <x:f>IF(AND(AND(404&lt;='Control Room'!$B$3,'Control Room'!$D$3="Ready"),5&lt;='Control Room'!$B$2),ROUND(MAX(0,'Process'!Y405*'Control Room'!$H$8*INDEX('Control Room'!$B$19:$H$19,1,WEEKDAY($A405,2))*(1+'Control Room'!$D$9)^403*'Process'!Z405),2),"")</x:f>
      </x:c>
      <x:c r="H405" s="16" t="str">
        <x:f>IF(AND(AND(404&lt;='Control Room'!$B$3,'Control Room'!$D$3="Ready"),6&lt;='Control Room'!$B$2),ROUND(MAX(0,'Process'!AD405*'Control Room'!$H$9*INDEX('Control Room'!$B$19:$H$19,1,WEEKDAY($A405,2))*(1+'Control Room'!$D$9)^403*'Process'!AE405),2),"")</x:f>
      </x:c>
      <x:c r="I405" s="16" t="str">
        <x:f>IF(AND(AND(404&lt;='Control Room'!$B$3,'Control Room'!$D$3="Ready"),7&lt;='Control Room'!$B$2),ROUND(MAX(0,'Process'!AI405*'Control Room'!$H$10*INDEX('Control Room'!$B$19:$H$19,1,WEEKDAY($A405,2))*(1+'Control Room'!$D$9)^403*'Process'!AJ405),2),"")</x:f>
      </x:c>
      <x:c r="J405" s="16" t="str">
        <x:f>IF(AND(AND(404&lt;='Control Room'!$B$3,'Control Room'!$D$3="Ready"),8&lt;='Control Room'!$B$2),ROUND(MAX(0,'Process'!AN405*'Control Room'!$H$11*INDEX('Control Room'!$B$19:$H$19,1,WEEKDAY($A405,2))*(1+'Control Room'!$D$9)^403*'Process'!AO405),2),"")</x:f>
      </x:c>
      <x:c r="K405" s="16" t="str">
        <x:f>IF(AND(AND(404&lt;='Control Room'!$B$3,'Control Room'!$D$3="Ready"),9&lt;='Control Room'!$B$2),ROUND(MAX(0,'Process'!AS405*'Control Room'!$H$12*INDEX('Control Room'!$B$19:$H$19,1,WEEKDAY($A405,2))*(1+'Control Room'!$D$9)^403*'Process'!AT405),2),"")</x:f>
      </x:c>
      <x:c r="L405" s="16" t="str">
        <x:f>IF(AND(AND(404&lt;='Control Room'!$B$3,'Control Room'!$D$3="Ready"),10&lt;='Control Room'!$B$2),ROUND(MAX(0,'Process'!AX405*'Control Room'!$H$13*INDEX('Control Room'!$B$19:$H$19,1,WEEKDAY($A405,2))*(1+'Control Room'!$D$9)^403*'Process'!AY405),2),"")</x:f>
      </x:c>
      <x:c r="M405" s="16" t="str">
        <x:f>IF(AND(AND(404&lt;='Control Room'!$B$3,'Control Room'!$D$3="Ready"),11&lt;='Control Room'!$B$2),ROUND(MAX(0,'Process'!BC405*'Control Room'!$H$14*INDEX('Control Room'!$B$19:$H$19,1,WEEKDAY($A405,2))*(1+'Control Room'!$D$9)^403*'Process'!BD405),2),"")</x:f>
      </x:c>
      <x:c r="N405" s="16" t="str">
        <x:f>IF(AND(AND(404&lt;='Control Room'!$B$3,'Control Room'!$D$3="Ready"),12&lt;='Control Room'!$B$2),ROUND(MAX(0,'Process'!BH405*'Control Room'!$H$15*INDEX('Control Room'!$B$19:$H$19,1,WEEKDAY($A405,2))*(1+'Control Room'!$D$9)^403*'Process'!BI405),2),"")</x:f>
      </x:c>
    </x:row>
    <x:row r="406" ht="21" customHeight="1">
      <x:c r="A406" s="15" t="str">
        <x:f>IF(AND(405&lt;='Control Room'!$B$3,'Control Room'!$D$3="Ready"),'Process'!A406,"")</x:f>
      </x:c>
      <x:c r="B406" s="16" t="str">
        <x:f>IF(A406="","",SUM(C406:N406))</x:f>
      </x:c>
      <x:c r="C406" s="16" t="str">
        <x:f>IF(AND(AND(405&lt;='Control Room'!$B$3,'Control Room'!$D$3="Ready"),1&lt;='Control Room'!$B$2),ROUND(MAX(0,'Process'!E406*'Control Room'!$H$4*INDEX('Control Room'!$B$19:$H$19,1,WEEKDAY($A406,2))*(1+'Control Room'!$D$9)^404*'Process'!F406),2),"")</x:f>
      </x:c>
      <x:c r="D406" s="16" t="str">
        <x:f>IF(AND(AND(405&lt;='Control Room'!$B$3,'Control Room'!$D$3="Ready"),2&lt;='Control Room'!$B$2),ROUND(MAX(0,'Process'!J406*'Control Room'!$H$5*INDEX('Control Room'!$B$19:$H$19,1,WEEKDAY($A406,2))*(1+'Control Room'!$D$9)^404*'Process'!K406),2),"")</x:f>
      </x:c>
      <x:c r="E406" s="16" t="str">
        <x:f>IF(AND(AND(405&lt;='Control Room'!$B$3,'Control Room'!$D$3="Ready"),3&lt;='Control Room'!$B$2),ROUND(MAX(0,'Process'!O406*'Control Room'!$H$6*INDEX('Control Room'!$B$19:$H$19,1,WEEKDAY($A406,2))*(1+'Control Room'!$D$9)^404*'Process'!P406),2),"")</x:f>
      </x:c>
      <x:c r="F406" s="16" t="str">
        <x:f>IF(AND(AND(405&lt;='Control Room'!$B$3,'Control Room'!$D$3="Ready"),4&lt;='Control Room'!$B$2),ROUND(MAX(0,'Process'!T406*'Control Room'!$H$7*INDEX('Control Room'!$B$19:$H$19,1,WEEKDAY($A406,2))*(1+'Control Room'!$D$9)^404*'Process'!U406),2),"")</x:f>
      </x:c>
      <x:c r="G406" s="16" t="str">
        <x:f>IF(AND(AND(405&lt;='Control Room'!$B$3,'Control Room'!$D$3="Ready"),5&lt;='Control Room'!$B$2),ROUND(MAX(0,'Process'!Y406*'Control Room'!$H$8*INDEX('Control Room'!$B$19:$H$19,1,WEEKDAY($A406,2))*(1+'Control Room'!$D$9)^404*'Process'!Z406),2),"")</x:f>
      </x:c>
      <x:c r="H406" s="16" t="str">
        <x:f>IF(AND(AND(405&lt;='Control Room'!$B$3,'Control Room'!$D$3="Ready"),6&lt;='Control Room'!$B$2),ROUND(MAX(0,'Process'!AD406*'Control Room'!$H$9*INDEX('Control Room'!$B$19:$H$19,1,WEEKDAY($A406,2))*(1+'Control Room'!$D$9)^404*'Process'!AE406),2),"")</x:f>
      </x:c>
      <x:c r="I406" s="16" t="str">
        <x:f>IF(AND(AND(405&lt;='Control Room'!$B$3,'Control Room'!$D$3="Ready"),7&lt;='Control Room'!$B$2),ROUND(MAX(0,'Process'!AI406*'Control Room'!$H$10*INDEX('Control Room'!$B$19:$H$19,1,WEEKDAY($A406,2))*(1+'Control Room'!$D$9)^404*'Process'!AJ406),2),"")</x:f>
      </x:c>
      <x:c r="J406" s="16" t="str">
        <x:f>IF(AND(AND(405&lt;='Control Room'!$B$3,'Control Room'!$D$3="Ready"),8&lt;='Control Room'!$B$2),ROUND(MAX(0,'Process'!AN406*'Control Room'!$H$11*INDEX('Control Room'!$B$19:$H$19,1,WEEKDAY($A406,2))*(1+'Control Room'!$D$9)^404*'Process'!AO406),2),"")</x:f>
      </x:c>
      <x:c r="K406" s="16" t="str">
        <x:f>IF(AND(AND(405&lt;='Control Room'!$B$3,'Control Room'!$D$3="Ready"),9&lt;='Control Room'!$B$2),ROUND(MAX(0,'Process'!AS406*'Control Room'!$H$12*INDEX('Control Room'!$B$19:$H$19,1,WEEKDAY($A406,2))*(1+'Control Room'!$D$9)^404*'Process'!AT406),2),"")</x:f>
      </x:c>
      <x:c r="L406" s="16" t="str">
        <x:f>IF(AND(AND(405&lt;='Control Room'!$B$3,'Control Room'!$D$3="Ready"),10&lt;='Control Room'!$B$2),ROUND(MAX(0,'Process'!AX406*'Control Room'!$H$13*INDEX('Control Room'!$B$19:$H$19,1,WEEKDAY($A406,2))*(1+'Control Room'!$D$9)^404*'Process'!AY406),2),"")</x:f>
      </x:c>
      <x:c r="M406" s="16" t="str">
        <x:f>IF(AND(AND(405&lt;='Control Room'!$B$3,'Control Room'!$D$3="Ready"),11&lt;='Control Room'!$B$2),ROUND(MAX(0,'Process'!BC406*'Control Room'!$H$14*INDEX('Control Room'!$B$19:$H$19,1,WEEKDAY($A406,2))*(1+'Control Room'!$D$9)^404*'Process'!BD406),2),"")</x:f>
      </x:c>
      <x:c r="N406" s="16" t="str">
        <x:f>IF(AND(AND(405&lt;='Control Room'!$B$3,'Control Room'!$D$3="Ready"),12&lt;='Control Room'!$B$2),ROUND(MAX(0,'Process'!BH406*'Control Room'!$H$15*INDEX('Control Room'!$B$19:$H$19,1,WEEKDAY($A406,2))*(1+'Control Room'!$D$9)^404*'Process'!BI406),2),"")</x:f>
      </x:c>
    </x:row>
    <x:row r="407" ht="21" customHeight="1">
      <x:c r="A407" s="15" t="str">
        <x:f>IF(AND(406&lt;='Control Room'!$B$3,'Control Room'!$D$3="Ready"),'Process'!A407,"")</x:f>
      </x:c>
      <x:c r="B407" s="16" t="str">
        <x:f>IF(A407="","",SUM(C407:N407))</x:f>
      </x:c>
      <x:c r="C407" s="16" t="str">
        <x:f>IF(AND(AND(406&lt;='Control Room'!$B$3,'Control Room'!$D$3="Ready"),1&lt;='Control Room'!$B$2),ROUND(MAX(0,'Process'!E407*'Control Room'!$H$4*INDEX('Control Room'!$B$19:$H$19,1,WEEKDAY($A407,2))*(1+'Control Room'!$D$9)^405*'Process'!F407),2),"")</x:f>
      </x:c>
      <x:c r="D407" s="16" t="str">
        <x:f>IF(AND(AND(406&lt;='Control Room'!$B$3,'Control Room'!$D$3="Ready"),2&lt;='Control Room'!$B$2),ROUND(MAX(0,'Process'!J407*'Control Room'!$H$5*INDEX('Control Room'!$B$19:$H$19,1,WEEKDAY($A407,2))*(1+'Control Room'!$D$9)^405*'Process'!K407),2),"")</x:f>
      </x:c>
      <x:c r="E407" s="16" t="str">
        <x:f>IF(AND(AND(406&lt;='Control Room'!$B$3,'Control Room'!$D$3="Ready"),3&lt;='Control Room'!$B$2),ROUND(MAX(0,'Process'!O407*'Control Room'!$H$6*INDEX('Control Room'!$B$19:$H$19,1,WEEKDAY($A407,2))*(1+'Control Room'!$D$9)^405*'Process'!P407),2),"")</x:f>
      </x:c>
      <x:c r="F407" s="16" t="str">
        <x:f>IF(AND(AND(406&lt;='Control Room'!$B$3,'Control Room'!$D$3="Ready"),4&lt;='Control Room'!$B$2),ROUND(MAX(0,'Process'!T407*'Control Room'!$H$7*INDEX('Control Room'!$B$19:$H$19,1,WEEKDAY($A407,2))*(1+'Control Room'!$D$9)^405*'Process'!U407),2),"")</x:f>
      </x:c>
      <x:c r="G407" s="16" t="str">
        <x:f>IF(AND(AND(406&lt;='Control Room'!$B$3,'Control Room'!$D$3="Ready"),5&lt;='Control Room'!$B$2),ROUND(MAX(0,'Process'!Y407*'Control Room'!$H$8*INDEX('Control Room'!$B$19:$H$19,1,WEEKDAY($A407,2))*(1+'Control Room'!$D$9)^405*'Process'!Z407),2),"")</x:f>
      </x:c>
      <x:c r="H407" s="16" t="str">
        <x:f>IF(AND(AND(406&lt;='Control Room'!$B$3,'Control Room'!$D$3="Ready"),6&lt;='Control Room'!$B$2),ROUND(MAX(0,'Process'!AD407*'Control Room'!$H$9*INDEX('Control Room'!$B$19:$H$19,1,WEEKDAY($A407,2))*(1+'Control Room'!$D$9)^405*'Process'!AE407),2),"")</x:f>
      </x:c>
      <x:c r="I407" s="16" t="str">
        <x:f>IF(AND(AND(406&lt;='Control Room'!$B$3,'Control Room'!$D$3="Ready"),7&lt;='Control Room'!$B$2),ROUND(MAX(0,'Process'!AI407*'Control Room'!$H$10*INDEX('Control Room'!$B$19:$H$19,1,WEEKDAY($A407,2))*(1+'Control Room'!$D$9)^405*'Process'!AJ407),2),"")</x:f>
      </x:c>
      <x:c r="J407" s="16" t="str">
        <x:f>IF(AND(AND(406&lt;='Control Room'!$B$3,'Control Room'!$D$3="Ready"),8&lt;='Control Room'!$B$2),ROUND(MAX(0,'Process'!AN407*'Control Room'!$H$11*INDEX('Control Room'!$B$19:$H$19,1,WEEKDAY($A407,2))*(1+'Control Room'!$D$9)^405*'Process'!AO407),2),"")</x:f>
      </x:c>
      <x:c r="K407" s="16" t="str">
        <x:f>IF(AND(AND(406&lt;='Control Room'!$B$3,'Control Room'!$D$3="Ready"),9&lt;='Control Room'!$B$2),ROUND(MAX(0,'Process'!AS407*'Control Room'!$H$12*INDEX('Control Room'!$B$19:$H$19,1,WEEKDAY($A407,2))*(1+'Control Room'!$D$9)^405*'Process'!AT407),2),"")</x:f>
      </x:c>
      <x:c r="L407" s="16" t="str">
        <x:f>IF(AND(AND(406&lt;='Control Room'!$B$3,'Control Room'!$D$3="Ready"),10&lt;='Control Room'!$B$2),ROUND(MAX(0,'Process'!AX407*'Control Room'!$H$13*INDEX('Control Room'!$B$19:$H$19,1,WEEKDAY($A407,2))*(1+'Control Room'!$D$9)^405*'Process'!AY407),2),"")</x:f>
      </x:c>
      <x:c r="M407" s="16" t="str">
        <x:f>IF(AND(AND(406&lt;='Control Room'!$B$3,'Control Room'!$D$3="Ready"),11&lt;='Control Room'!$B$2),ROUND(MAX(0,'Process'!BC407*'Control Room'!$H$14*INDEX('Control Room'!$B$19:$H$19,1,WEEKDAY($A407,2))*(1+'Control Room'!$D$9)^405*'Process'!BD407),2),"")</x:f>
      </x:c>
      <x:c r="N407" s="16" t="str">
        <x:f>IF(AND(AND(406&lt;='Control Room'!$B$3,'Control Room'!$D$3="Ready"),12&lt;='Control Room'!$B$2),ROUND(MAX(0,'Process'!BH407*'Control Room'!$H$15*INDEX('Control Room'!$B$19:$H$19,1,WEEKDAY($A407,2))*(1+'Control Room'!$D$9)^405*'Process'!BI407),2),"")</x:f>
      </x:c>
    </x:row>
    <x:row r="408" ht="21" customHeight="1">
      <x:c r="A408" s="15" t="str">
        <x:f>IF(AND(407&lt;='Control Room'!$B$3,'Control Room'!$D$3="Ready"),'Process'!A408,"")</x:f>
      </x:c>
      <x:c r="B408" s="16" t="str">
        <x:f>IF(A408="","",SUM(C408:N408))</x:f>
      </x:c>
      <x:c r="C408" s="16" t="str">
        <x:f>IF(AND(AND(407&lt;='Control Room'!$B$3,'Control Room'!$D$3="Ready"),1&lt;='Control Room'!$B$2),ROUND(MAX(0,'Process'!E408*'Control Room'!$H$4*INDEX('Control Room'!$B$19:$H$19,1,WEEKDAY($A408,2))*(1+'Control Room'!$D$9)^406*'Process'!F408),2),"")</x:f>
      </x:c>
      <x:c r="D408" s="16" t="str">
        <x:f>IF(AND(AND(407&lt;='Control Room'!$B$3,'Control Room'!$D$3="Ready"),2&lt;='Control Room'!$B$2),ROUND(MAX(0,'Process'!J408*'Control Room'!$H$5*INDEX('Control Room'!$B$19:$H$19,1,WEEKDAY($A408,2))*(1+'Control Room'!$D$9)^406*'Process'!K408),2),"")</x:f>
      </x:c>
      <x:c r="E408" s="16" t="str">
        <x:f>IF(AND(AND(407&lt;='Control Room'!$B$3,'Control Room'!$D$3="Ready"),3&lt;='Control Room'!$B$2),ROUND(MAX(0,'Process'!O408*'Control Room'!$H$6*INDEX('Control Room'!$B$19:$H$19,1,WEEKDAY($A408,2))*(1+'Control Room'!$D$9)^406*'Process'!P408),2),"")</x:f>
      </x:c>
      <x:c r="F408" s="16" t="str">
        <x:f>IF(AND(AND(407&lt;='Control Room'!$B$3,'Control Room'!$D$3="Ready"),4&lt;='Control Room'!$B$2),ROUND(MAX(0,'Process'!T408*'Control Room'!$H$7*INDEX('Control Room'!$B$19:$H$19,1,WEEKDAY($A408,2))*(1+'Control Room'!$D$9)^406*'Process'!U408),2),"")</x:f>
      </x:c>
      <x:c r="G408" s="16" t="str">
        <x:f>IF(AND(AND(407&lt;='Control Room'!$B$3,'Control Room'!$D$3="Ready"),5&lt;='Control Room'!$B$2),ROUND(MAX(0,'Process'!Y408*'Control Room'!$H$8*INDEX('Control Room'!$B$19:$H$19,1,WEEKDAY($A408,2))*(1+'Control Room'!$D$9)^406*'Process'!Z408),2),"")</x:f>
      </x:c>
      <x:c r="H408" s="16" t="str">
        <x:f>IF(AND(AND(407&lt;='Control Room'!$B$3,'Control Room'!$D$3="Ready"),6&lt;='Control Room'!$B$2),ROUND(MAX(0,'Process'!AD408*'Control Room'!$H$9*INDEX('Control Room'!$B$19:$H$19,1,WEEKDAY($A408,2))*(1+'Control Room'!$D$9)^406*'Process'!AE408),2),"")</x:f>
      </x:c>
      <x:c r="I408" s="16" t="str">
        <x:f>IF(AND(AND(407&lt;='Control Room'!$B$3,'Control Room'!$D$3="Ready"),7&lt;='Control Room'!$B$2),ROUND(MAX(0,'Process'!AI408*'Control Room'!$H$10*INDEX('Control Room'!$B$19:$H$19,1,WEEKDAY($A408,2))*(1+'Control Room'!$D$9)^406*'Process'!AJ408),2),"")</x:f>
      </x:c>
      <x:c r="J408" s="16" t="str">
        <x:f>IF(AND(AND(407&lt;='Control Room'!$B$3,'Control Room'!$D$3="Ready"),8&lt;='Control Room'!$B$2),ROUND(MAX(0,'Process'!AN408*'Control Room'!$H$11*INDEX('Control Room'!$B$19:$H$19,1,WEEKDAY($A408,2))*(1+'Control Room'!$D$9)^406*'Process'!AO408),2),"")</x:f>
      </x:c>
      <x:c r="K408" s="16" t="str">
        <x:f>IF(AND(AND(407&lt;='Control Room'!$B$3,'Control Room'!$D$3="Ready"),9&lt;='Control Room'!$B$2),ROUND(MAX(0,'Process'!AS408*'Control Room'!$H$12*INDEX('Control Room'!$B$19:$H$19,1,WEEKDAY($A408,2))*(1+'Control Room'!$D$9)^406*'Process'!AT408),2),"")</x:f>
      </x:c>
      <x:c r="L408" s="16" t="str">
        <x:f>IF(AND(AND(407&lt;='Control Room'!$B$3,'Control Room'!$D$3="Ready"),10&lt;='Control Room'!$B$2),ROUND(MAX(0,'Process'!AX408*'Control Room'!$H$13*INDEX('Control Room'!$B$19:$H$19,1,WEEKDAY($A408,2))*(1+'Control Room'!$D$9)^406*'Process'!AY408),2),"")</x:f>
      </x:c>
      <x:c r="M408" s="16" t="str">
        <x:f>IF(AND(AND(407&lt;='Control Room'!$B$3,'Control Room'!$D$3="Ready"),11&lt;='Control Room'!$B$2),ROUND(MAX(0,'Process'!BC408*'Control Room'!$H$14*INDEX('Control Room'!$B$19:$H$19,1,WEEKDAY($A408,2))*(1+'Control Room'!$D$9)^406*'Process'!BD408),2),"")</x:f>
      </x:c>
      <x:c r="N408" s="16" t="str">
        <x:f>IF(AND(AND(407&lt;='Control Room'!$B$3,'Control Room'!$D$3="Ready"),12&lt;='Control Room'!$B$2),ROUND(MAX(0,'Process'!BH408*'Control Room'!$H$15*INDEX('Control Room'!$B$19:$H$19,1,WEEKDAY($A408,2))*(1+'Control Room'!$D$9)^406*'Process'!BI408),2),"")</x:f>
      </x:c>
    </x:row>
    <x:row r="409" ht="21" customHeight="1">
      <x:c r="A409" s="15" t="str">
        <x:f>IF(AND(408&lt;='Control Room'!$B$3,'Control Room'!$D$3="Ready"),'Process'!A409,"")</x:f>
      </x:c>
      <x:c r="B409" s="16" t="str">
        <x:f>IF(A409="","",SUM(C409:N409))</x:f>
      </x:c>
      <x:c r="C409" s="16" t="str">
        <x:f>IF(AND(AND(408&lt;='Control Room'!$B$3,'Control Room'!$D$3="Ready"),1&lt;='Control Room'!$B$2),ROUND(MAX(0,'Process'!E409*'Control Room'!$H$4*INDEX('Control Room'!$B$19:$H$19,1,WEEKDAY($A409,2))*(1+'Control Room'!$D$9)^407*'Process'!F409),2),"")</x:f>
      </x:c>
      <x:c r="D409" s="16" t="str">
        <x:f>IF(AND(AND(408&lt;='Control Room'!$B$3,'Control Room'!$D$3="Ready"),2&lt;='Control Room'!$B$2),ROUND(MAX(0,'Process'!J409*'Control Room'!$H$5*INDEX('Control Room'!$B$19:$H$19,1,WEEKDAY($A409,2))*(1+'Control Room'!$D$9)^407*'Process'!K409),2),"")</x:f>
      </x:c>
      <x:c r="E409" s="16" t="str">
        <x:f>IF(AND(AND(408&lt;='Control Room'!$B$3,'Control Room'!$D$3="Ready"),3&lt;='Control Room'!$B$2),ROUND(MAX(0,'Process'!O409*'Control Room'!$H$6*INDEX('Control Room'!$B$19:$H$19,1,WEEKDAY($A409,2))*(1+'Control Room'!$D$9)^407*'Process'!P409),2),"")</x:f>
      </x:c>
      <x:c r="F409" s="16" t="str">
        <x:f>IF(AND(AND(408&lt;='Control Room'!$B$3,'Control Room'!$D$3="Ready"),4&lt;='Control Room'!$B$2),ROUND(MAX(0,'Process'!T409*'Control Room'!$H$7*INDEX('Control Room'!$B$19:$H$19,1,WEEKDAY($A409,2))*(1+'Control Room'!$D$9)^407*'Process'!U409),2),"")</x:f>
      </x:c>
      <x:c r="G409" s="16" t="str">
        <x:f>IF(AND(AND(408&lt;='Control Room'!$B$3,'Control Room'!$D$3="Ready"),5&lt;='Control Room'!$B$2),ROUND(MAX(0,'Process'!Y409*'Control Room'!$H$8*INDEX('Control Room'!$B$19:$H$19,1,WEEKDAY($A409,2))*(1+'Control Room'!$D$9)^407*'Process'!Z409),2),"")</x:f>
      </x:c>
      <x:c r="H409" s="16" t="str">
        <x:f>IF(AND(AND(408&lt;='Control Room'!$B$3,'Control Room'!$D$3="Ready"),6&lt;='Control Room'!$B$2),ROUND(MAX(0,'Process'!AD409*'Control Room'!$H$9*INDEX('Control Room'!$B$19:$H$19,1,WEEKDAY($A409,2))*(1+'Control Room'!$D$9)^407*'Process'!AE409),2),"")</x:f>
      </x:c>
      <x:c r="I409" s="16" t="str">
        <x:f>IF(AND(AND(408&lt;='Control Room'!$B$3,'Control Room'!$D$3="Ready"),7&lt;='Control Room'!$B$2),ROUND(MAX(0,'Process'!AI409*'Control Room'!$H$10*INDEX('Control Room'!$B$19:$H$19,1,WEEKDAY($A409,2))*(1+'Control Room'!$D$9)^407*'Process'!AJ409),2),"")</x:f>
      </x:c>
      <x:c r="J409" s="16" t="str">
        <x:f>IF(AND(AND(408&lt;='Control Room'!$B$3,'Control Room'!$D$3="Ready"),8&lt;='Control Room'!$B$2),ROUND(MAX(0,'Process'!AN409*'Control Room'!$H$11*INDEX('Control Room'!$B$19:$H$19,1,WEEKDAY($A409,2))*(1+'Control Room'!$D$9)^407*'Process'!AO409),2),"")</x:f>
      </x:c>
      <x:c r="K409" s="16" t="str">
        <x:f>IF(AND(AND(408&lt;='Control Room'!$B$3,'Control Room'!$D$3="Ready"),9&lt;='Control Room'!$B$2),ROUND(MAX(0,'Process'!AS409*'Control Room'!$H$12*INDEX('Control Room'!$B$19:$H$19,1,WEEKDAY($A409,2))*(1+'Control Room'!$D$9)^407*'Process'!AT409),2),"")</x:f>
      </x:c>
      <x:c r="L409" s="16" t="str">
        <x:f>IF(AND(AND(408&lt;='Control Room'!$B$3,'Control Room'!$D$3="Ready"),10&lt;='Control Room'!$B$2),ROUND(MAX(0,'Process'!AX409*'Control Room'!$H$13*INDEX('Control Room'!$B$19:$H$19,1,WEEKDAY($A409,2))*(1+'Control Room'!$D$9)^407*'Process'!AY409),2),"")</x:f>
      </x:c>
      <x:c r="M409" s="16" t="str">
        <x:f>IF(AND(AND(408&lt;='Control Room'!$B$3,'Control Room'!$D$3="Ready"),11&lt;='Control Room'!$B$2),ROUND(MAX(0,'Process'!BC409*'Control Room'!$H$14*INDEX('Control Room'!$B$19:$H$19,1,WEEKDAY($A409,2))*(1+'Control Room'!$D$9)^407*'Process'!BD409),2),"")</x:f>
      </x:c>
      <x:c r="N409" s="16" t="str">
        <x:f>IF(AND(AND(408&lt;='Control Room'!$B$3,'Control Room'!$D$3="Ready"),12&lt;='Control Room'!$B$2),ROUND(MAX(0,'Process'!BH409*'Control Room'!$H$15*INDEX('Control Room'!$B$19:$H$19,1,WEEKDAY($A409,2))*(1+'Control Room'!$D$9)^407*'Process'!BI409),2),"")</x:f>
      </x:c>
    </x:row>
    <x:row r="410" ht="21" customHeight="1">
      <x:c r="A410" s="15" t="str">
        <x:f>IF(AND(409&lt;='Control Room'!$B$3,'Control Room'!$D$3="Ready"),'Process'!A410,"")</x:f>
      </x:c>
      <x:c r="B410" s="16" t="str">
        <x:f>IF(A410="","",SUM(C410:N410))</x:f>
      </x:c>
      <x:c r="C410" s="16" t="str">
        <x:f>IF(AND(AND(409&lt;='Control Room'!$B$3,'Control Room'!$D$3="Ready"),1&lt;='Control Room'!$B$2),ROUND(MAX(0,'Process'!E410*'Control Room'!$H$4*INDEX('Control Room'!$B$19:$H$19,1,WEEKDAY($A410,2))*(1+'Control Room'!$D$9)^408*'Process'!F410),2),"")</x:f>
      </x:c>
      <x:c r="D410" s="16" t="str">
        <x:f>IF(AND(AND(409&lt;='Control Room'!$B$3,'Control Room'!$D$3="Ready"),2&lt;='Control Room'!$B$2),ROUND(MAX(0,'Process'!J410*'Control Room'!$H$5*INDEX('Control Room'!$B$19:$H$19,1,WEEKDAY($A410,2))*(1+'Control Room'!$D$9)^408*'Process'!K410),2),"")</x:f>
      </x:c>
      <x:c r="E410" s="16" t="str">
        <x:f>IF(AND(AND(409&lt;='Control Room'!$B$3,'Control Room'!$D$3="Ready"),3&lt;='Control Room'!$B$2),ROUND(MAX(0,'Process'!O410*'Control Room'!$H$6*INDEX('Control Room'!$B$19:$H$19,1,WEEKDAY($A410,2))*(1+'Control Room'!$D$9)^408*'Process'!P410),2),"")</x:f>
      </x:c>
      <x:c r="F410" s="16" t="str">
        <x:f>IF(AND(AND(409&lt;='Control Room'!$B$3,'Control Room'!$D$3="Ready"),4&lt;='Control Room'!$B$2),ROUND(MAX(0,'Process'!T410*'Control Room'!$H$7*INDEX('Control Room'!$B$19:$H$19,1,WEEKDAY($A410,2))*(1+'Control Room'!$D$9)^408*'Process'!U410),2),"")</x:f>
      </x:c>
      <x:c r="G410" s="16" t="str">
        <x:f>IF(AND(AND(409&lt;='Control Room'!$B$3,'Control Room'!$D$3="Ready"),5&lt;='Control Room'!$B$2),ROUND(MAX(0,'Process'!Y410*'Control Room'!$H$8*INDEX('Control Room'!$B$19:$H$19,1,WEEKDAY($A410,2))*(1+'Control Room'!$D$9)^408*'Process'!Z410),2),"")</x:f>
      </x:c>
      <x:c r="H410" s="16" t="str">
        <x:f>IF(AND(AND(409&lt;='Control Room'!$B$3,'Control Room'!$D$3="Ready"),6&lt;='Control Room'!$B$2),ROUND(MAX(0,'Process'!AD410*'Control Room'!$H$9*INDEX('Control Room'!$B$19:$H$19,1,WEEKDAY($A410,2))*(1+'Control Room'!$D$9)^408*'Process'!AE410),2),"")</x:f>
      </x:c>
      <x:c r="I410" s="16" t="str">
        <x:f>IF(AND(AND(409&lt;='Control Room'!$B$3,'Control Room'!$D$3="Ready"),7&lt;='Control Room'!$B$2),ROUND(MAX(0,'Process'!AI410*'Control Room'!$H$10*INDEX('Control Room'!$B$19:$H$19,1,WEEKDAY($A410,2))*(1+'Control Room'!$D$9)^408*'Process'!AJ410),2),"")</x:f>
      </x:c>
      <x:c r="J410" s="16" t="str">
        <x:f>IF(AND(AND(409&lt;='Control Room'!$B$3,'Control Room'!$D$3="Ready"),8&lt;='Control Room'!$B$2),ROUND(MAX(0,'Process'!AN410*'Control Room'!$H$11*INDEX('Control Room'!$B$19:$H$19,1,WEEKDAY($A410,2))*(1+'Control Room'!$D$9)^408*'Process'!AO410),2),"")</x:f>
      </x:c>
      <x:c r="K410" s="16" t="str">
        <x:f>IF(AND(AND(409&lt;='Control Room'!$B$3,'Control Room'!$D$3="Ready"),9&lt;='Control Room'!$B$2),ROUND(MAX(0,'Process'!AS410*'Control Room'!$H$12*INDEX('Control Room'!$B$19:$H$19,1,WEEKDAY($A410,2))*(1+'Control Room'!$D$9)^408*'Process'!AT410),2),"")</x:f>
      </x:c>
      <x:c r="L410" s="16" t="str">
        <x:f>IF(AND(AND(409&lt;='Control Room'!$B$3,'Control Room'!$D$3="Ready"),10&lt;='Control Room'!$B$2),ROUND(MAX(0,'Process'!AX410*'Control Room'!$H$13*INDEX('Control Room'!$B$19:$H$19,1,WEEKDAY($A410,2))*(1+'Control Room'!$D$9)^408*'Process'!AY410),2),"")</x:f>
      </x:c>
      <x:c r="M410" s="16" t="str">
        <x:f>IF(AND(AND(409&lt;='Control Room'!$B$3,'Control Room'!$D$3="Ready"),11&lt;='Control Room'!$B$2),ROUND(MAX(0,'Process'!BC410*'Control Room'!$H$14*INDEX('Control Room'!$B$19:$H$19,1,WEEKDAY($A410,2))*(1+'Control Room'!$D$9)^408*'Process'!BD410),2),"")</x:f>
      </x:c>
      <x:c r="N410" s="16" t="str">
        <x:f>IF(AND(AND(409&lt;='Control Room'!$B$3,'Control Room'!$D$3="Ready"),12&lt;='Control Room'!$B$2),ROUND(MAX(0,'Process'!BH410*'Control Room'!$H$15*INDEX('Control Room'!$B$19:$H$19,1,WEEKDAY($A410,2))*(1+'Control Room'!$D$9)^408*'Process'!BI410),2),"")</x:f>
      </x:c>
    </x:row>
    <x:row r="411" ht="21" customHeight="1">
      <x:c r="A411" s="15" t="str">
        <x:f>IF(AND(410&lt;='Control Room'!$B$3,'Control Room'!$D$3="Ready"),'Process'!A411,"")</x:f>
      </x:c>
      <x:c r="B411" s="16" t="str">
        <x:f>IF(A411="","",SUM(C411:N411))</x:f>
      </x:c>
      <x:c r="C411" s="16" t="str">
        <x:f>IF(AND(AND(410&lt;='Control Room'!$B$3,'Control Room'!$D$3="Ready"),1&lt;='Control Room'!$B$2),ROUND(MAX(0,'Process'!E411*'Control Room'!$H$4*INDEX('Control Room'!$B$19:$H$19,1,WEEKDAY($A411,2))*(1+'Control Room'!$D$9)^409*'Process'!F411),2),"")</x:f>
      </x:c>
      <x:c r="D411" s="16" t="str">
        <x:f>IF(AND(AND(410&lt;='Control Room'!$B$3,'Control Room'!$D$3="Ready"),2&lt;='Control Room'!$B$2),ROUND(MAX(0,'Process'!J411*'Control Room'!$H$5*INDEX('Control Room'!$B$19:$H$19,1,WEEKDAY($A411,2))*(1+'Control Room'!$D$9)^409*'Process'!K411),2),"")</x:f>
      </x:c>
      <x:c r="E411" s="16" t="str">
        <x:f>IF(AND(AND(410&lt;='Control Room'!$B$3,'Control Room'!$D$3="Ready"),3&lt;='Control Room'!$B$2),ROUND(MAX(0,'Process'!O411*'Control Room'!$H$6*INDEX('Control Room'!$B$19:$H$19,1,WEEKDAY($A411,2))*(1+'Control Room'!$D$9)^409*'Process'!P411),2),"")</x:f>
      </x:c>
      <x:c r="F411" s="16" t="str">
        <x:f>IF(AND(AND(410&lt;='Control Room'!$B$3,'Control Room'!$D$3="Ready"),4&lt;='Control Room'!$B$2),ROUND(MAX(0,'Process'!T411*'Control Room'!$H$7*INDEX('Control Room'!$B$19:$H$19,1,WEEKDAY($A411,2))*(1+'Control Room'!$D$9)^409*'Process'!U411),2),"")</x:f>
      </x:c>
      <x:c r="G411" s="16" t="str">
        <x:f>IF(AND(AND(410&lt;='Control Room'!$B$3,'Control Room'!$D$3="Ready"),5&lt;='Control Room'!$B$2),ROUND(MAX(0,'Process'!Y411*'Control Room'!$H$8*INDEX('Control Room'!$B$19:$H$19,1,WEEKDAY($A411,2))*(1+'Control Room'!$D$9)^409*'Process'!Z411),2),"")</x:f>
      </x:c>
      <x:c r="H411" s="16" t="str">
        <x:f>IF(AND(AND(410&lt;='Control Room'!$B$3,'Control Room'!$D$3="Ready"),6&lt;='Control Room'!$B$2),ROUND(MAX(0,'Process'!AD411*'Control Room'!$H$9*INDEX('Control Room'!$B$19:$H$19,1,WEEKDAY($A411,2))*(1+'Control Room'!$D$9)^409*'Process'!AE411),2),"")</x:f>
      </x:c>
      <x:c r="I411" s="16" t="str">
        <x:f>IF(AND(AND(410&lt;='Control Room'!$B$3,'Control Room'!$D$3="Ready"),7&lt;='Control Room'!$B$2),ROUND(MAX(0,'Process'!AI411*'Control Room'!$H$10*INDEX('Control Room'!$B$19:$H$19,1,WEEKDAY($A411,2))*(1+'Control Room'!$D$9)^409*'Process'!AJ411),2),"")</x:f>
      </x:c>
      <x:c r="J411" s="16" t="str">
        <x:f>IF(AND(AND(410&lt;='Control Room'!$B$3,'Control Room'!$D$3="Ready"),8&lt;='Control Room'!$B$2),ROUND(MAX(0,'Process'!AN411*'Control Room'!$H$11*INDEX('Control Room'!$B$19:$H$19,1,WEEKDAY($A411,2))*(1+'Control Room'!$D$9)^409*'Process'!AO411),2),"")</x:f>
      </x:c>
      <x:c r="K411" s="16" t="str">
        <x:f>IF(AND(AND(410&lt;='Control Room'!$B$3,'Control Room'!$D$3="Ready"),9&lt;='Control Room'!$B$2),ROUND(MAX(0,'Process'!AS411*'Control Room'!$H$12*INDEX('Control Room'!$B$19:$H$19,1,WEEKDAY($A411,2))*(1+'Control Room'!$D$9)^409*'Process'!AT411),2),"")</x:f>
      </x:c>
      <x:c r="L411" s="16" t="str">
        <x:f>IF(AND(AND(410&lt;='Control Room'!$B$3,'Control Room'!$D$3="Ready"),10&lt;='Control Room'!$B$2),ROUND(MAX(0,'Process'!AX411*'Control Room'!$H$13*INDEX('Control Room'!$B$19:$H$19,1,WEEKDAY($A411,2))*(1+'Control Room'!$D$9)^409*'Process'!AY411),2),"")</x:f>
      </x:c>
      <x:c r="M411" s="16" t="str">
        <x:f>IF(AND(AND(410&lt;='Control Room'!$B$3,'Control Room'!$D$3="Ready"),11&lt;='Control Room'!$B$2),ROUND(MAX(0,'Process'!BC411*'Control Room'!$H$14*INDEX('Control Room'!$B$19:$H$19,1,WEEKDAY($A411,2))*(1+'Control Room'!$D$9)^409*'Process'!BD411),2),"")</x:f>
      </x:c>
      <x:c r="N411" s="16" t="str">
        <x:f>IF(AND(AND(410&lt;='Control Room'!$B$3,'Control Room'!$D$3="Ready"),12&lt;='Control Room'!$B$2),ROUND(MAX(0,'Process'!BH411*'Control Room'!$H$15*INDEX('Control Room'!$B$19:$H$19,1,WEEKDAY($A411,2))*(1+'Control Room'!$D$9)^409*'Process'!BI411),2),"")</x:f>
      </x:c>
    </x:row>
    <x:row r="412" ht="21" customHeight="1">
      <x:c r="A412" s="15" t="str">
        <x:f>IF(AND(411&lt;='Control Room'!$B$3,'Control Room'!$D$3="Ready"),'Process'!A412,"")</x:f>
      </x:c>
      <x:c r="B412" s="16" t="str">
        <x:f>IF(A412="","",SUM(C412:N412))</x:f>
      </x:c>
      <x:c r="C412" s="16" t="str">
        <x:f>IF(AND(AND(411&lt;='Control Room'!$B$3,'Control Room'!$D$3="Ready"),1&lt;='Control Room'!$B$2),ROUND(MAX(0,'Process'!E412*'Control Room'!$H$4*INDEX('Control Room'!$B$19:$H$19,1,WEEKDAY($A412,2))*(1+'Control Room'!$D$9)^410*'Process'!F412),2),"")</x:f>
      </x:c>
      <x:c r="D412" s="16" t="str">
        <x:f>IF(AND(AND(411&lt;='Control Room'!$B$3,'Control Room'!$D$3="Ready"),2&lt;='Control Room'!$B$2),ROUND(MAX(0,'Process'!J412*'Control Room'!$H$5*INDEX('Control Room'!$B$19:$H$19,1,WEEKDAY($A412,2))*(1+'Control Room'!$D$9)^410*'Process'!K412),2),"")</x:f>
      </x:c>
      <x:c r="E412" s="16" t="str">
        <x:f>IF(AND(AND(411&lt;='Control Room'!$B$3,'Control Room'!$D$3="Ready"),3&lt;='Control Room'!$B$2),ROUND(MAX(0,'Process'!O412*'Control Room'!$H$6*INDEX('Control Room'!$B$19:$H$19,1,WEEKDAY($A412,2))*(1+'Control Room'!$D$9)^410*'Process'!P412),2),"")</x:f>
      </x:c>
      <x:c r="F412" s="16" t="str">
        <x:f>IF(AND(AND(411&lt;='Control Room'!$B$3,'Control Room'!$D$3="Ready"),4&lt;='Control Room'!$B$2),ROUND(MAX(0,'Process'!T412*'Control Room'!$H$7*INDEX('Control Room'!$B$19:$H$19,1,WEEKDAY($A412,2))*(1+'Control Room'!$D$9)^410*'Process'!U412),2),"")</x:f>
      </x:c>
      <x:c r="G412" s="16" t="str">
        <x:f>IF(AND(AND(411&lt;='Control Room'!$B$3,'Control Room'!$D$3="Ready"),5&lt;='Control Room'!$B$2),ROUND(MAX(0,'Process'!Y412*'Control Room'!$H$8*INDEX('Control Room'!$B$19:$H$19,1,WEEKDAY($A412,2))*(1+'Control Room'!$D$9)^410*'Process'!Z412),2),"")</x:f>
      </x:c>
      <x:c r="H412" s="16" t="str">
        <x:f>IF(AND(AND(411&lt;='Control Room'!$B$3,'Control Room'!$D$3="Ready"),6&lt;='Control Room'!$B$2),ROUND(MAX(0,'Process'!AD412*'Control Room'!$H$9*INDEX('Control Room'!$B$19:$H$19,1,WEEKDAY($A412,2))*(1+'Control Room'!$D$9)^410*'Process'!AE412),2),"")</x:f>
      </x:c>
      <x:c r="I412" s="16" t="str">
        <x:f>IF(AND(AND(411&lt;='Control Room'!$B$3,'Control Room'!$D$3="Ready"),7&lt;='Control Room'!$B$2),ROUND(MAX(0,'Process'!AI412*'Control Room'!$H$10*INDEX('Control Room'!$B$19:$H$19,1,WEEKDAY($A412,2))*(1+'Control Room'!$D$9)^410*'Process'!AJ412),2),"")</x:f>
      </x:c>
      <x:c r="J412" s="16" t="str">
        <x:f>IF(AND(AND(411&lt;='Control Room'!$B$3,'Control Room'!$D$3="Ready"),8&lt;='Control Room'!$B$2),ROUND(MAX(0,'Process'!AN412*'Control Room'!$H$11*INDEX('Control Room'!$B$19:$H$19,1,WEEKDAY($A412,2))*(1+'Control Room'!$D$9)^410*'Process'!AO412),2),"")</x:f>
      </x:c>
      <x:c r="K412" s="16" t="str">
        <x:f>IF(AND(AND(411&lt;='Control Room'!$B$3,'Control Room'!$D$3="Ready"),9&lt;='Control Room'!$B$2),ROUND(MAX(0,'Process'!AS412*'Control Room'!$H$12*INDEX('Control Room'!$B$19:$H$19,1,WEEKDAY($A412,2))*(1+'Control Room'!$D$9)^410*'Process'!AT412),2),"")</x:f>
      </x:c>
      <x:c r="L412" s="16" t="str">
        <x:f>IF(AND(AND(411&lt;='Control Room'!$B$3,'Control Room'!$D$3="Ready"),10&lt;='Control Room'!$B$2),ROUND(MAX(0,'Process'!AX412*'Control Room'!$H$13*INDEX('Control Room'!$B$19:$H$19,1,WEEKDAY($A412,2))*(1+'Control Room'!$D$9)^410*'Process'!AY412),2),"")</x:f>
      </x:c>
      <x:c r="M412" s="16" t="str">
        <x:f>IF(AND(AND(411&lt;='Control Room'!$B$3,'Control Room'!$D$3="Ready"),11&lt;='Control Room'!$B$2),ROUND(MAX(0,'Process'!BC412*'Control Room'!$H$14*INDEX('Control Room'!$B$19:$H$19,1,WEEKDAY($A412,2))*(1+'Control Room'!$D$9)^410*'Process'!BD412),2),"")</x:f>
      </x:c>
      <x:c r="N412" s="16" t="str">
        <x:f>IF(AND(AND(411&lt;='Control Room'!$B$3,'Control Room'!$D$3="Ready"),12&lt;='Control Room'!$B$2),ROUND(MAX(0,'Process'!BH412*'Control Room'!$H$15*INDEX('Control Room'!$B$19:$H$19,1,WEEKDAY($A412,2))*(1+'Control Room'!$D$9)^410*'Process'!BI412),2),"")</x:f>
      </x:c>
    </x:row>
    <x:row r="413" ht="21" customHeight="1">
      <x:c r="A413" s="15" t="str">
        <x:f>IF(AND(412&lt;='Control Room'!$B$3,'Control Room'!$D$3="Ready"),'Process'!A413,"")</x:f>
      </x:c>
      <x:c r="B413" s="16" t="str">
        <x:f>IF(A413="","",SUM(C413:N413))</x:f>
      </x:c>
      <x:c r="C413" s="16" t="str">
        <x:f>IF(AND(AND(412&lt;='Control Room'!$B$3,'Control Room'!$D$3="Ready"),1&lt;='Control Room'!$B$2),ROUND(MAX(0,'Process'!E413*'Control Room'!$H$4*INDEX('Control Room'!$B$19:$H$19,1,WEEKDAY($A413,2))*(1+'Control Room'!$D$9)^411*'Process'!F413),2),"")</x:f>
      </x:c>
      <x:c r="D413" s="16" t="str">
        <x:f>IF(AND(AND(412&lt;='Control Room'!$B$3,'Control Room'!$D$3="Ready"),2&lt;='Control Room'!$B$2),ROUND(MAX(0,'Process'!J413*'Control Room'!$H$5*INDEX('Control Room'!$B$19:$H$19,1,WEEKDAY($A413,2))*(1+'Control Room'!$D$9)^411*'Process'!K413),2),"")</x:f>
      </x:c>
      <x:c r="E413" s="16" t="str">
        <x:f>IF(AND(AND(412&lt;='Control Room'!$B$3,'Control Room'!$D$3="Ready"),3&lt;='Control Room'!$B$2),ROUND(MAX(0,'Process'!O413*'Control Room'!$H$6*INDEX('Control Room'!$B$19:$H$19,1,WEEKDAY($A413,2))*(1+'Control Room'!$D$9)^411*'Process'!P413),2),"")</x:f>
      </x:c>
      <x:c r="F413" s="16" t="str">
        <x:f>IF(AND(AND(412&lt;='Control Room'!$B$3,'Control Room'!$D$3="Ready"),4&lt;='Control Room'!$B$2),ROUND(MAX(0,'Process'!T413*'Control Room'!$H$7*INDEX('Control Room'!$B$19:$H$19,1,WEEKDAY($A413,2))*(1+'Control Room'!$D$9)^411*'Process'!U413),2),"")</x:f>
      </x:c>
      <x:c r="G413" s="16" t="str">
        <x:f>IF(AND(AND(412&lt;='Control Room'!$B$3,'Control Room'!$D$3="Ready"),5&lt;='Control Room'!$B$2),ROUND(MAX(0,'Process'!Y413*'Control Room'!$H$8*INDEX('Control Room'!$B$19:$H$19,1,WEEKDAY($A413,2))*(1+'Control Room'!$D$9)^411*'Process'!Z413),2),"")</x:f>
      </x:c>
      <x:c r="H413" s="16" t="str">
        <x:f>IF(AND(AND(412&lt;='Control Room'!$B$3,'Control Room'!$D$3="Ready"),6&lt;='Control Room'!$B$2),ROUND(MAX(0,'Process'!AD413*'Control Room'!$H$9*INDEX('Control Room'!$B$19:$H$19,1,WEEKDAY($A413,2))*(1+'Control Room'!$D$9)^411*'Process'!AE413),2),"")</x:f>
      </x:c>
      <x:c r="I413" s="16" t="str">
        <x:f>IF(AND(AND(412&lt;='Control Room'!$B$3,'Control Room'!$D$3="Ready"),7&lt;='Control Room'!$B$2),ROUND(MAX(0,'Process'!AI413*'Control Room'!$H$10*INDEX('Control Room'!$B$19:$H$19,1,WEEKDAY($A413,2))*(1+'Control Room'!$D$9)^411*'Process'!AJ413),2),"")</x:f>
      </x:c>
      <x:c r="J413" s="16" t="str">
        <x:f>IF(AND(AND(412&lt;='Control Room'!$B$3,'Control Room'!$D$3="Ready"),8&lt;='Control Room'!$B$2),ROUND(MAX(0,'Process'!AN413*'Control Room'!$H$11*INDEX('Control Room'!$B$19:$H$19,1,WEEKDAY($A413,2))*(1+'Control Room'!$D$9)^411*'Process'!AO413),2),"")</x:f>
      </x:c>
      <x:c r="K413" s="16" t="str">
        <x:f>IF(AND(AND(412&lt;='Control Room'!$B$3,'Control Room'!$D$3="Ready"),9&lt;='Control Room'!$B$2),ROUND(MAX(0,'Process'!AS413*'Control Room'!$H$12*INDEX('Control Room'!$B$19:$H$19,1,WEEKDAY($A413,2))*(1+'Control Room'!$D$9)^411*'Process'!AT413),2),"")</x:f>
      </x:c>
      <x:c r="L413" s="16" t="str">
        <x:f>IF(AND(AND(412&lt;='Control Room'!$B$3,'Control Room'!$D$3="Ready"),10&lt;='Control Room'!$B$2),ROUND(MAX(0,'Process'!AX413*'Control Room'!$H$13*INDEX('Control Room'!$B$19:$H$19,1,WEEKDAY($A413,2))*(1+'Control Room'!$D$9)^411*'Process'!AY413),2),"")</x:f>
      </x:c>
      <x:c r="M413" s="16" t="str">
        <x:f>IF(AND(AND(412&lt;='Control Room'!$B$3,'Control Room'!$D$3="Ready"),11&lt;='Control Room'!$B$2),ROUND(MAX(0,'Process'!BC413*'Control Room'!$H$14*INDEX('Control Room'!$B$19:$H$19,1,WEEKDAY($A413,2))*(1+'Control Room'!$D$9)^411*'Process'!BD413),2),"")</x:f>
      </x:c>
      <x:c r="N413" s="16" t="str">
        <x:f>IF(AND(AND(412&lt;='Control Room'!$B$3,'Control Room'!$D$3="Ready"),12&lt;='Control Room'!$B$2),ROUND(MAX(0,'Process'!BH413*'Control Room'!$H$15*INDEX('Control Room'!$B$19:$H$19,1,WEEKDAY($A413,2))*(1+'Control Room'!$D$9)^411*'Process'!BI413),2),"")</x:f>
      </x:c>
    </x:row>
    <x:row r="414" ht="21" customHeight="1">
      <x:c r="A414" s="15" t="str">
        <x:f>IF(AND(413&lt;='Control Room'!$B$3,'Control Room'!$D$3="Ready"),'Process'!A414,"")</x:f>
      </x:c>
      <x:c r="B414" s="16" t="str">
        <x:f>IF(A414="","",SUM(C414:N414))</x:f>
      </x:c>
      <x:c r="C414" s="16" t="str">
        <x:f>IF(AND(AND(413&lt;='Control Room'!$B$3,'Control Room'!$D$3="Ready"),1&lt;='Control Room'!$B$2),ROUND(MAX(0,'Process'!E414*'Control Room'!$H$4*INDEX('Control Room'!$B$19:$H$19,1,WEEKDAY($A414,2))*(1+'Control Room'!$D$9)^412*'Process'!F414),2),"")</x:f>
      </x:c>
      <x:c r="D414" s="16" t="str">
        <x:f>IF(AND(AND(413&lt;='Control Room'!$B$3,'Control Room'!$D$3="Ready"),2&lt;='Control Room'!$B$2),ROUND(MAX(0,'Process'!J414*'Control Room'!$H$5*INDEX('Control Room'!$B$19:$H$19,1,WEEKDAY($A414,2))*(1+'Control Room'!$D$9)^412*'Process'!K414),2),"")</x:f>
      </x:c>
      <x:c r="E414" s="16" t="str">
        <x:f>IF(AND(AND(413&lt;='Control Room'!$B$3,'Control Room'!$D$3="Ready"),3&lt;='Control Room'!$B$2),ROUND(MAX(0,'Process'!O414*'Control Room'!$H$6*INDEX('Control Room'!$B$19:$H$19,1,WEEKDAY($A414,2))*(1+'Control Room'!$D$9)^412*'Process'!P414),2),"")</x:f>
      </x:c>
      <x:c r="F414" s="16" t="str">
        <x:f>IF(AND(AND(413&lt;='Control Room'!$B$3,'Control Room'!$D$3="Ready"),4&lt;='Control Room'!$B$2),ROUND(MAX(0,'Process'!T414*'Control Room'!$H$7*INDEX('Control Room'!$B$19:$H$19,1,WEEKDAY($A414,2))*(1+'Control Room'!$D$9)^412*'Process'!U414),2),"")</x:f>
      </x:c>
      <x:c r="G414" s="16" t="str">
        <x:f>IF(AND(AND(413&lt;='Control Room'!$B$3,'Control Room'!$D$3="Ready"),5&lt;='Control Room'!$B$2),ROUND(MAX(0,'Process'!Y414*'Control Room'!$H$8*INDEX('Control Room'!$B$19:$H$19,1,WEEKDAY($A414,2))*(1+'Control Room'!$D$9)^412*'Process'!Z414),2),"")</x:f>
      </x:c>
      <x:c r="H414" s="16" t="str">
        <x:f>IF(AND(AND(413&lt;='Control Room'!$B$3,'Control Room'!$D$3="Ready"),6&lt;='Control Room'!$B$2),ROUND(MAX(0,'Process'!AD414*'Control Room'!$H$9*INDEX('Control Room'!$B$19:$H$19,1,WEEKDAY($A414,2))*(1+'Control Room'!$D$9)^412*'Process'!AE414),2),"")</x:f>
      </x:c>
      <x:c r="I414" s="16" t="str">
        <x:f>IF(AND(AND(413&lt;='Control Room'!$B$3,'Control Room'!$D$3="Ready"),7&lt;='Control Room'!$B$2),ROUND(MAX(0,'Process'!AI414*'Control Room'!$H$10*INDEX('Control Room'!$B$19:$H$19,1,WEEKDAY($A414,2))*(1+'Control Room'!$D$9)^412*'Process'!AJ414),2),"")</x:f>
      </x:c>
      <x:c r="J414" s="16" t="str">
        <x:f>IF(AND(AND(413&lt;='Control Room'!$B$3,'Control Room'!$D$3="Ready"),8&lt;='Control Room'!$B$2),ROUND(MAX(0,'Process'!AN414*'Control Room'!$H$11*INDEX('Control Room'!$B$19:$H$19,1,WEEKDAY($A414,2))*(1+'Control Room'!$D$9)^412*'Process'!AO414),2),"")</x:f>
      </x:c>
      <x:c r="K414" s="16" t="str">
        <x:f>IF(AND(AND(413&lt;='Control Room'!$B$3,'Control Room'!$D$3="Ready"),9&lt;='Control Room'!$B$2),ROUND(MAX(0,'Process'!AS414*'Control Room'!$H$12*INDEX('Control Room'!$B$19:$H$19,1,WEEKDAY($A414,2))*(1+'Control Room'!$D$9)^412*'Process'!AT414),2),"")</x:f>
      </x:c>
      <x:c r="L414" s="16" t="str">
        <x:f>IF(AND(AND(413&lt;='Control Room'!$B$3,'Control Room'!$D$3="Ready"),10&lt;='Control Room'!$B$2),ROUND(MAX(0,'Process'!AX414*'Control Room'!$H$13*INDEX('Control Room'!$B$19:$H$19,1,WEEKDAY($A414,2))*(1+'Control Room'!$D$9)^412*'Process'!AY414),2),"")</x:f>
      </x:c>
      <x:c r="M414" s="16" t="str">
        <x:f>IF(AND(AND(413&lt;='Control Room'!$B$3,'Control Room'!$D$3="Ready"),11&lt;='Control Room'!$B$2),ROUND(MAX(0,'Process'!BC414*'Control Room'!$H$14*INDEX('Control Room'!$B$19:$H$19,1,WEEKDAY($A414,2))*(1+'Control Room'!$D$9)^412*'Process'!BD414),2),"")</x:f>
      </x:c>
      <x:c r="N414" s="16" t="str">
        <x:f>IF(AND(AND(413&lt;='Control Room'!$B$3,'Control Room'!$D$3="Ready"),12&lt;='Control Room'!$B$2),ROUND(MAX(0,'Process'!BH414*'Control Room'!$H$15*INDEX('Control Room'!$B$19:$H$19,1,WEEKDAY($A414,2))*(1+'Control Room'!$D$9)^412*'Process'!BI414),2),"")</x:f>
      </x:c>
    </x:row>
    <x:row r="415" ht="21" customHeight="1">
      <x:c r="A415" s="15" t="str">
        <x:f>IF(AND(414&lt;='Control Room'!$B$3,'Control Room'!$D$3="Ready"),'Process'!A415,"")</x:f>
      </x:c>
      <x:c r="B415" s="16" t="str">
        <x:f>IF(A415="","",SUM(C415:N415))</x:f>
      </x:c>
      <x:c r="C415" s="16" t="str">
        <x:f>IF(AND(AND(414&lt;='Control Room'!$B$3,'Control Room'!$D$3="Ready"),1&lt;='Control Room'!$B$2),ROUND(MAX(0,'Process'!E415*'Control Room'!$H$4*INDEX('Control Room'!$B$19:$H$19,1,WEEKDAY($A415,2))*(1+'Control Room'!$D$9)^413*'Process'!F415),2),"")</x:f>
      </x:c>
      <x:c r="D415" s="16" t="str">
        <x:f>IF(AND(AND(414&lt;='Control Room'!$B$3,'Control Room'!$D$3="Ready"),2&lt;='Control Room'!$B$2),ROUND(MAX(0,'Process'!J415*'Control Room'!$H$5*INDEX('Control Room'!$B$19:$H$19,1,WEEKDAY($A415,2))*(1+'Control Room'!$D$9)^413*'Process'!K415),2),"")</x:f>
      </x:c>
      <x:c r="E415" s="16" t="str">
        <x:f>IF(AND(AND(414&lt;='Control Room'!$B$3,'Control Room'!$D$3="Ready"),3&lt;='Control Room'!$B$2),ROUND(MAX(0,'Process'!O415*'Control Room'!$H$6*INDEX('Control Room'!$B$19:$H$19,1,WEEKDAY($A415,2))*(1+'Control Room'!$D$9)^413*'Process'!P415),2),"")</x:f>
      </x:c>
      <x:c r="F415" s="16" t="str">
        <x:f>IF(AND(AND(414&lt;='Control Room'!$B$3,'Control Room'!$D$3="Ready"),4&lt;='Control Room'!$B$2),ROUND(MAX(0,'Process'!T415*'Control Room'!$H$7*INDEX('Control Room'!$B$19:$H$19,1,WEEKDAY($A415,2))*(1+'Control Room'!$D$9)^413*'Process'!U415),2),"")</x:f>
      </x:c>
      <x:c r="G415" s="16" t="str">
        <x:f>IF(AND(AND(414&lt;='Control Room'!$B$3,'Control Room'!$D$3="Ready"),5&lt;='Control Room'!$B$2),ROUND(MAX(0,'Process'!Y415*'Control Room'!$H$8*INDEX('Control Room'!$B$19:$H$19,1,WEEKDAY($A415,2))*(1+'Control Room'!$D$9)^413*'Process'!Z415),2),"")</x:f>
      </x:c>
      <x:c r="H415" s="16" t="str">
        <x:f>IF(AND(AND(414&lt;='Control Room'!$B$3,'Control Room'!$D$3="Ready"),6&lt;='Control Room'!$B$2),ROUND(MAX(0,'Process'!AD415*'Control Room'!$H$9*INDEX('Control Room'!$B$19:$H$19,1,WEEKDAY($A415,2))*(1+'Control Room'!$D$9)^413*'Process'!AE415),2),"")</x:f>
      </x:c>
      <x:c r="I415" s="16" t="str">
        <x:f>IF(AND(AND(414&lt;='Control Room'!$B$3,'Control Room'!$D$3="Ready"),7&lt;='Control Room'!$B$2),ROUND(MAX(0,'Process'!AI415*'Control Room'!$H$10*INDEX('Control Room'!$B$19:$H$19,1,WEEKDAY($A415,2))*(1+'Control Room'!$D$9)^413*'Process'!AJ415),2),"")</x:f>
      </x:c>
      <x:c r="J415" s="16" t="str">
        <x:f>IF(AND(AND(414&lt;='Control Room'!$B$3,'Control Room'!$D$3="Ready"),8&lt;='Control Room'!$B$2),ROUND(MAX(0,'Process'!AN415*'Control Room'!$H$11*INDEX('Control Room'!$B$19:$H$19,1,WEEKDAY($A415,2))*(1+'Control Room'!$D$9)^413*'Process'!AO415),2),"")</x:f>
      </x:c>
      <x:c r="K415" s="16" t="str">
        <x:f>IF(AND(AND(414&lt;='Control Room'!$B$3,'Control Room'!$D$3="Ready"),9&lt;='Control Room'!$B$2),ROUND(MAX(0,'Process'!AS415*'Control Room'!$H$12*INDEX('Control Room'!$B$19:$H$19,1,WEEKDAY($A415,2))*(1+'Control Room'!$D$9)^413*'Process'!AT415),2),"")</x:f>
      </x:c>
      <x:c r="L415" s="16" t="str">
        <x:f>IF(AND(AND(414&lt;='Control Room'!$B$3,'Control Room'!$D$3="Ready"),10&lt;='Control Room'!$B$2),ROUND(MAX(0,'Process'!AX415*'Control Room'!$H$13*INDEX('Control Room'!$B$19:$H$19,1,WEEKDAY($A415,2))*(1+'Control Room'!$D$9)^413*'Process'!AY415),2),"")</x:f>
      </x:c>
      <x:c r="M415" s="16" t="str">
        <x:f>IF(AND(AND(414&lt;='Control Room'!$B$3,'Control Room'!$D$3="Ready"),11&lt;='Control Room'!$B$2),ROUND(MAX(0,'Process'!BC415*'Control Room'!$H$14*INDEX('Control Room'!$B$19:$H$19,1,WEEKDAY($A415,2))*(1+'Control Room'!$D$9)^413*'Process'!BD415),2),"")</x:f>
      </x:c>
      <x:c r="N415" s="16" t="str">
        <x:f>IF(AND(AND(414&lt;='Control Room'!$B$3,'Control Room'!$D$3="Ready"),12&lt;='Control Room'!$B$2),ROUND(MAX(0,'Process'!BH415*'Control Room'!$H$15*INDEX('Control Room'!$B$19:$H$19,1,WEEKDAY($A415,2))*(1+'Control Room'!$D$9)^413*'Process'!BI415),2),"")</x:f>
      </x:c>
    </x:row>
    <x:row r="416" ht="21" customHeight="1">
      <x:c r="A416" s="15" t="str">
        <x:f>IF(AND(415&lt;='Control Room'!$B$3,'Control Room'!$D$3="Ready"),'Process'!A416,"")</x:f>
      </x:c>
      <x:c r="B416" s="16" t="str">
        <x:f>IF(A416="","",SUM(C416:N416))</x:f>
      </x:c>
      <x:c r="C416" s="16" t="str">
        <x:f>IF(AND(AND(415&lt;='Control Room'!$B$3,'Control Room'!$D$3="Ready"),1&lt;='Control Room'!$B$2),ROUND(MAX(0,'Process'!E416*'Control Room'!$H$4*INDEX('Control Room'!$B$19:$H$19,1,WEEKDAY($A416,2))*(1+'Control Room'!$D$9)^414*'Process'!F416),2),"")</x:f>
      </x:c>
      <x:c r="D416" s="16" t="str">
        <x:f>IF(AND(AND(415&lt;='Control Room'!$B$3,'Control Room'!$D$3="Ready"),2&lt;='Control Room'!$B$2),ROUND(MAX(0,'Process'!J416*'Control Room'!$H$5*INDEX('Control Room'!$B$19:$H$19,1,WEEKDAY($A416,2))*(1+'Control Room'!$D$9)^414*'Process'!K416),2),"")</x:f>
      </x:c>
      <x:c r="E416" s="16" t="str">
        <x:f>IF(AND(AND(415&lt;='Control Room'!$B$3,'Control Room'!$D$3="Ready"),3&lt;='Control Room'!$B$2),ROUND(MAX(0,'Process'!O416*'Control Room'!$H$6*INDEX('Control Room'!$B$19:$H$19,1,WEEKDAY($A416,2))*(1+'Control Room'!$D$9)^414*'Process'!P416),2),"")</x:f>
      </x:c>
      <x:c r="F416" s="16" t="str">
        <x:f>IF(AND(AND(415&lt;='Control Room'!$B$3,'Control Room'!$D$3="Ready"),4&lt;='Control Room'!$B$2),ROUND(MAX(0,'Process'!T416*'Control Room'!$H$7*INDEX('Control Room'!$B$19:$H$19,1,WEEKDAY($A416,2))*(1+'Control Room'!$D$9)^414*'Process'!U416),2),"")</x:f>
      </x:c>
      <x:c r="G416" s="16" t="str">
        <x:f>IF(AND(AND(415&lt;='Control Room'!$B$3,'Control Room'!$D$3="Ready"),5&lt;='Control Room'!$B$2),ROUND(MAX(0,'Process'!Y416*'Control Room'!$H$8*INDEX('Control Room'!$B$19:$H$19,1,WEEKDAY($A416,2))*(1+'Control Room'!$D$9)^414*'Process'!Z416),2),"")</x:f>
      </x:c>
      <x:c r="H416" s="16" t="str">
        <x:f>IF(AND(AND(415&lt;='Control Room'!$B$3,'Control Room'!$D$3="Ready"),6&lt;='Control Room'!$B$2),ROUND(MAX(0,'Process'!AD416*'Control Room'!$H$9*INDEX('Control Room'!$B$19:$H$19,1,WEEKDAY($A416,2))*(1+'Control Room'!$D$9)^414*'Process'!AE416),2),"")</x:f>
      </x:c>
      <x:c r="I416" s="16" t="str">
        <x:f>IF(AND(AND(415&lt;='Control Room'!$B$3,'Control Room'!$D$3="Ready"),7&lt;='Control Room'!$B$2),ROUND(MAX(0,'Process'!AI416*'Control Room'!$H$10*INDEX('Control Room'!$B$19:$H$19,1,WEEKDAY($A416,2))*(1+'Control Room'!$D$9)^414*'Process'!AJ416),2),"")</x:f>
      </x:c>
      <x:c r="J416" s="16" t="str">
        <x:f>IF(AND(AND(415&lt;='Control Room'!$B$3,'Control Room'!$D$3="Ready"),8&lt;='Control Room'!$B$2),ROUND(MAX(0,'Process'!AN416*'Control Room'!$H$11*INDEX('Control Room'!$B$19:$H$19,1,WEEKDAY($A416,2))*(1+'Control Room'!$D$9)^414*'Process'!AO416),2),"")</x:f>
      </x:c>
      <x:c r="K416" s="16" t="str">
        <x:f>IF(AND(AND(415&lt;='Control Room'!$B$3,'Control Room'!$D$3="Ready"),9&lt;='Control Room'!$B$2),ROUND(MAX(0,'Process'!AS416*'Control Room'!$H$12*INDEX('Control Room'!$B$19:$H$19,1,WEEKDAY($A416,2))*(1+'Control Room'!$D$9)^414*'Process'!AT416),2),"")</x:f>
      </x:c>
      <x:c r="L416" s="16" t="str">
        <x:f>IF(AND(AND(415&lt;='Control Room'!$B$3,'Control Room'!$D$3="Ready"),10&lt;='Control Room'!$B$2),ROUND(MAX(0,'Process'!AX416*'Control Room'!$H$13*INDEX('Control Room'!$B$19:$H$19,1,WEEKDAY($A416,2))*(1+'Control Room'!$D$9)^414*'Process'!AY416),2),"")</x:f>
      </x:c>
      <x:c r="M416" s="16" t="str">
        <x:f>IF(AND(AND(415&lt;='Control Room'!$B$3,'Control Room'!$D$3="Ready"),11&lt;='Control Room'!$B$2),ROUND(MAX(0,'Process'!BC416*'Control Room'!$H$14*INDEX('Control Room'!$B$19:$H$19,1,WEEKDAY($A416,2))*(1+'Control Room'!$D$9)^414*'Process'!BD416),2),"")</x:f>
      </x:c>
      <x:c r="N416" s="16" t="str">
        <x:f>IF(AND(AND(415&lt;='Control Room'!$B$3,'Control Room'!$D$3="Ready"),12&lt;='Control Room'!$B$2),ROUND(MAX(0,'Process'!BH416*'Control Room'!$H$15*INDEX('Control Room'!$B$19:$H$19,1,WEEKDAY($A416,2))*(1+'Control Room'!$D$9)^414*'Process'!BI416),2),"")</x:f>
      </x:c>
    </x:row>
    <x:row r="417" ht="21" customHeight="1">
      <x:c r="A417" s="15" t="str">
        <x:f>IF(AND(416&lt;='Control Room'!$B$3,'Control Room'!$D$3="Ready"),'Process'!A417,"")</x:f>
      </x:c>
      <x:c r="B417" s="16" t="str">
        <x:f>IF(A417="","",SUM(C417:N417))</x:f>
      </x:c>
      <x:c r="C417" s="16" t="str">
        <x:f>IF(AND(AND(416&lt;='Control Room'!$B$3,'Control Room'!$D$3="Ready"),1&lt;='Control Room'!$B$2),ROUND(MAX(0,'Process'!E417*'Control Room'!$H$4*INDEX('Control Room'!$B$19:$H$19,1,WEEKDAY($A417,2))*(1+'Control Room'!$D$9)^415*'Process'!F417),2),"")</x:f>
      </x:c>
      <x:c r="D417" s="16" t="str">
        <x:f>IF(AND(AND(416&lt;='Control Room'!$B$3,'Control Room'!$D$3="Ready"),2&lt;='Control Room'!$B$2),ROUND(MAX(0,'Process'!J417*'Control Room'!$H$5*INDEX('Control Room'!$B$19:$H$19,1,WEEKDAY($A417,2))*(1+'Control Room'!$D$9)^415*'Process'!K417),2),"")</x:f>
      </x:c>
      <x:c r="E417" s="16" t="str">
        <x:f>IF(AND(AND(416&lt;='Control Room'!$B$3,'Control Room'!$D$3="Ready"),3&lt;='Control Room'!$B$2),ROUND(MAX(0,'Process'!O417*'Control Room'!$H$6*INDEX('Control Room'!$B$19:$H$19,1,WEEKDAY($A417,2))*(1+'Control Room'!$D$9)^415*'Process'!P417),2),"")</x:f>
      </x:c>
      <x:c r="F417" s="16" t="str">
        <x:f>IF(AND(AND(416&lt;='Control Room'!$B$3,'Control Room'!$D$3="Ready"),4&lt;='Control Room'!$B$2),ROUND(MAX(0,'Process'!T417*'Control Room'!$H$7*INDEX('Control Room'!$B$19:$H$19,1,WEEKDAY($A417,2))*(1+'Control Room'!$D$9)^415*'Process'!U417),2),"")</x:f>
      </x:c>
      <x:c r="G417" s="16" t="str">
        <x:f>IF(AND(AND(416&lt;='Control Room'!$B$3,'Control Room'!$D$3="Ready"),5&lt;='Control Room'!$B$2),ROUND(MAX(0,'Process'!Y417*'Control Room'!$H$8*INDEX('Control Room'!$B$19:$H$19,1,WEEKDAY($A417,2))*(1+'Control Room'!$D$9)^415*'Process'!Z417),2),"")</x:f>
      </x:c>
      <x:c r="H417" s="16" t="str">
        <x:f>IF(AND(AND(416&lt;='Control Room'!$B$3,'Control Room'!$D$3="Ready"),6&lt;='Control Room'!$B$2),ROUND(MAX(0,'Process'!AD417*'Control Room'!$H$9*INDEX('Control Room'!$B$19:$H$19,1,WEEKDAY($A417,2))*(1+'Control Room'!$D$9)^415*'Process'!AE417),2),"")</x:f>
      </x:c>
      <x:c r="I417" s="16" t="str">
        <x:f>IF(AND(AND(416&lt;='Control Room'!$B$3,'Control Room'!$D$3="Ready"),7&lt;='Control Room'!$B$2),ROUND(MAX(0,'Process'!AI417*'Control Room'!$H$10*INDEX('Control Room'!$B$19:$H$19,1,WEEKDAY($A417,2))*(1+'Control Room'!$D$9)^415*'Process'!AJ417),2),"")</x:f>
      </x:c>
      <x:c r="J417" s="16" t="str">
        <x:f>IF(AND(AND(416&lt;='Control Room'!$B$3,'Control Room'!$D$3="Ready"),8&lt;='Control Room'!$B$2),ROUND(MAX(0,'Process'!AN417*'Control Room'!$H$11*INDEX('Control Room'!$B$19:$H$19,1,WEEKDAY($A417,2))*(1+'Control Room'!$D$9)^415*'Process'!AO417),2),"")</x:f>
      </x:c>
      <x:c r="K417" s="16" t="str">
        <x:f>IF(AND(AND(416&lt;='Control Room'!$B$3,'Control Room'!$D$3="Ready"),9&lt;='Control Room'!$B$2),ROUND(MAX(0,'Process'!AS417*'Control Room'!$H$12*INDEX('Control Room'!$B$19:$H$19,1,WEEKDAY($A417,2))*(1+'Control Room'!$D$9)^415*'Process'!AT417),2),"")</x:f>
      </x:c>
      <x:c r="L417" s="16" t="str">
        <x:f>IF(AND(AND(416&lt;='Control Room'!$B$3,'Control Room'!$D$3="Ready"),10&lt;='Control Room'!$B$2),ROUND(MAX(0,'Process'!AX417*'Control Room'!$H$13*INDEX('Control Room'!$B$19:$H$19,1,WEEKDAY($A417,2))*(1+'Control Room'!$D$9)^415*'Process'!AY417),2),"")</x:f>
      </x:c>
      <x:c r="M417" s="16" t="str">
        <x:f>IF(AND(AND(416&lt;='Control Room'!$B$3,'Control Room'!$D$3="Ready"),11&lt;='Control Room'!$B$2),ROUND(MAX(0,'Process'!BC417*'Control Room'!$H$14*INDEX('Control Room'!$B$19:$H$19,1,WEEKDAY($A417,2))*(1+'Control Room'!$D$9)^415*'Process'!BD417),2),"")</x:f>
      </x:c>
      <x:c r="N417" s="16" t="str">
        <x:f>IF(AND(AND(416&lt;='Control Room'!$B$3,'Control Room'!$D$3="Ready"),12&lt;='Control Room'!$B$2),ROUND(MAX(0,'Process'!BH417*'Control Room'!$H$15*INDEX('Control Room'!$B$19:$H$19,1,WEEKDAY($A417,2))*(1+'Control Room'!$D$9)^415*'Process'!BI417),2),"")</x:f>
      </x:c>
    </x:row>
    <x:row r="418" ht="21" customHeight="1">
      <x:c r="A418" s="15" t="str">
        <x:f>IF(AND(417&lt;='Control Room'!$B$3,'Control Room'!$D$3="Ready"),'Process'!A418,"")</x:f>
      </x:c>
      <x:c r="B418" s="16" t="str">
        <x:f>IF(A418="","",SUM(C418:N418))</x:f>
      </x:c>
      <x:c r="C418" s="16" t="str">
        <x:f>IF(AND(AND(417&lt;='Control Room'!$B$3,'Control Room'!$D$3="Ready"),1&lt;='Control Room'!$B$2),ROUND(MAX(0,'Process'!E418*'Control Room'!$H$4*INDEX('Control Room'!$B$19:$H$19,1,WEEKDAY($A418,2))*(1+'Control Room'!$D$9)^416*'Process'!F418),2),"")</x:f>
      </x:c>
      <x:c r="D418" s="16" t="str">
        <x:f>IF(AND(AND(417&lt;='Control Room'!$B$3,'Control Room'!$D$3="Ready"),2&lt;='Control Room'!$B$2),ROUND(MAX(0,'Process'!J418*'Control Room'!$H$5*INDEX('Control Room'!$B$19:$H$19,1,WEEKDAY($A418,2))*(1+'Control Room'!$D$9)^416*'Process'!K418),2),"")</x:f>
      </x:c>
      <x:c r="E418" s="16" t="str">
        <x:f>IF(AND(AND(417&lt;='Control Room'!$B$3,'Control Room'!$D$3="Ready"),3&lt;='Control Room'!$B$2),ROUND(MAX(0,'Process'!O418*'Control Room'!$H$6*INDEX('Control Room'!$B$19:$H$19,1,WEEKDAY($A418,2))*(1+'Control Room'!$D$9)^416*'Process'!P418),2),"")</x:f>
      </x:c>
      <x:c r="F418" s="16" t="str">
        <x:f>IF(AND(AND(417&lt;='Control Room'!$B$3,'Control Room'!$D$3="Ready"),4&lt;='Control Room'!$B$2),ROUND(MAX(0,'Process'!T418*'Control Room'!$H$7*INDEX('Control Room'!$B$19:$H$19,1,WEEKDAY($A418,2))*(1+'Control Room'!$D$9)^416*'Process'!U418),2),"")</x:f>
      </x:c>
      <x:c r="G418" s="16" t="str">
        <x:f>IF(AND(AND(417&lt;='Control Room'!$B$3,'Control Room'!$D$3="Ready"),5&lt;='Control Room'!$B$2),ROUND(MAX(0,'Process'!Y418*'Control Room'!$H$8*INDEX('Control Room'!$B$19:$H$19,1,WEEKDAY($A418,2))*(1+'Control Room'!$D$9)^416*'Process'!Z418),2),"")</x:f>
      </x:c>
      <x:c r="H418" s="16" t="str">
        <x:f>IF(AND(AND(417&lt;='Control Room'!$B$3,'Control Room'!$D$3="Ready"),6&lt;='Control Room'!$B$2),ROUND(MAX(0,'Process'!AD418*'Control Room'!$H$9*INDEX('Control Room'!$B$19:$H$19,1,WEEKDAY($A418,2))*(1+'Control Room'!$D$9)^416*'Process'!AE418),2),"")</x:f>
      </x:c>
      <x:c r="I418" s="16" t="str">
        <x:f>IF(AND(AND(417&lt;='Control Room'!$B$3,'Control Room'!$D$3="Ready"),7&lt;='Control Room'!$B$2),ROUND(MAX(0,'Process'!AI418*'Control Room'!$H$10*INDEX('Control Room'!$B$19:$H$19,1,WEEKDAY($A418,2))*(1+'Control Room'!$D$9)^416*'Process'!AJ418),2),"")</x:f>
      </x:c>
      <x:c r="J418" s="16" t="str">
        <x:f>IF(AND(AND(417&lt;='Control Room'!$B$3,'Control Room'!$D$3="Ready"),8&lt;='Control Room'!$B$2),ROUND(MAX(0,'Process'!AN418*'Control Room'!$H$11*INDEX('Control Room'!$B$19:$H$19,1,WEEKDAY($A418,2))*(1+'Control Room'!$D$9)^416*'Process'!AO418),2),"")</x:f>
      </x:c>
      <x:c r="K418" s="16" t="str">
        <x:f>IF(AND(AND(417&lt;='Control Room'!$B$3,'Control Room'!$D$3="Ready"),9&lt;='Control Room'!$B$2),ROUND(MAX(0,'Process'!AS418*'Control Room'!$H$12*INDEX('Control Room'!$B$19:$H$19,1,WEEKDAY($A418,2))*(1+'Control Room'!$D$9)^416*'Process'!AT418),2),"")</x:f>
      </x:c>
      <x:c r="L418" s="16" t="str">
        <x:f>IF(AND(AND(417&lt;='Control Room'!$B$3,'Control Room'!$D$3="Ready"),10&lt;='Control Room'!$B$2),ROUND(MAX(0,'Process'!AX418*'Control Room'!$H$13*INDEX('Control Room'!$B$19:$H$19,1,WEEKDAY($A418,2))*(1+'Control Room'!$D$9)^416*'Process'!AY418),2),"")</x:f>
      </x:c>
      <x:c r="M418" s="16" t="str">
        <x:f>IF(AND(AND(417&lt;='Control Room'!$B$3,'Control Room'!$D$3="Ready"),11&lt;='Control Room'!$B$2),ROUND(MAX(0,'Process'!BC418*'Control Room'!$H$14*INDEX('Control Room'!$B$19:$H$19,1,WEEKDAY($A418,2))*(1+'Control Room'!$D$9)^416*'Process'!BD418),2),"")</x:f>
      </x:c>
      <x:c r="N418" s="16" t="str">
        <x:f>IF(AND(AND(417&lt;='Control Room'!$B$3,'Control Room'!$D$3="Ready"),12&lt;='Control Room'!$B$2),ROUND(MAX(0,'Process'!BH418*'Control Room'!$H$15*INDEX('Control Room'!$B$19:$H$19,1,WEEKDAY($A418,2))*(1+'Control Room'!$D$9)^416*'Process'!BI418),2),"")</x:f>
      </x:c>
    </x:row>
    <x:row r="419" ht="21" customHeight="1">
      <x:c r="A419" s="15" t="str">
        <x:f>IF(AND(418&lt;='Control Room'!$B$3,'Control Room'!$D$3="Ready"),'Process'!A419,"")</x:f>
      </x:c>
      <x:c r="B419" s="16" t="str">
        <x:f>IF(A419="","",SUM(C419:N419))</x:f>
      </x:c>
      <x:c r="C419" s="16" t="str">
        <x:f>IF(AND(AND(418&lt;='Control Room'!$B$3,'Control Room'!$D$3="Ready"),1&lt;='Control Room'!$B$2),ROUND(MAX(0,'Process'!E419*'Control Room'!$H$4*INDEX('Control Room'!$B$19:$H$19,1,WEEKDAY($A419,2))*(1+'Control Room'!$D$9)^417*'Process'!F419),2),"")</x:f>
      </x:c>
      <x:c r="D419" s="16" t="str">
        <x:f>IF(AND(AND(418&lt;='Control Room'!$B$3,'Control Room'!$D$3="Ready"),2&lt;='Control Room'!$B$2),ROUND(MAX(0,'Process'!J419*'Control Room'!$H$5*INDEX('Control Room'!$B$19:$H$19,1,WEEKDAY($A419,2))*(1+'Control Room'!$D$9)^417*'Process'!K419),2),"")</x:f>
      </x:c>
      <x:c r="E419" s="16" t="str">
        <x:f>IF(AND(AND(418&lt;='Control Room'!$B$3,'Control Room'!$D$3="Ready"),3&lt;='Control Room'!$B$2),ROUND(MAX(0,'Process'!O419*'Control Room'!$H$6*INDEX('Control Room'!$B$19:$H$19,1,WEEKDAY($A419,2))*(1+'Control Room'!$D$9)^417*'Process'!P419),2),"")</x:f>
      </x:c>
      <x:c r="F419" s="16" t="str">
        <x:f>IF(AND(AND(418&lt;='Control Room'!$B$3,'Control Room'!$D$3="Ready"),4&lt;='Control Room'!$B$2),ROUND(MAX(0,'Process'!T419*'Control Room'!$H$7*INDEX('Control Room'!$B$19:$H$19,1,WEEKDAY($A419,2))*(1+'Control Room'!$D$9)^417*'Process'!U419),2),"")</x:f>
      </x:c>
      <x:c r="G419" s="16" t="str">
        <x:f>IF(AND(AND(418&lt;='Control Room'!$B$3,'Control Room'!$D$3="Ready"),5&lt;='Control Room'!$B$2),ROUND(MAX(0,'Process'!Y419*'Control Room'!$H$8*INDEX('Control Room'!$B$19:$H$19,1,WEEKDAY($A419,2))*(1+'Control Room'!$D$9)^417*'Process'!Z419),2),"")</x:f>
      </x:c>
      <x:c r="H419" s="16" t="str">
        <x:f>IF(AND(AND(418&lt;='Control Room'!$B$3,'Control Room'!$D$3="Ready"),6&lt;='Control Room'!$B$2),ROUND(MAX(0,'Process'!AD419*'Control Room'!$H$9*INDEX('Control Room'!$B$19:$H$19,1,WEEKDAY($A419,2))*(1+'Control Room'!$D$9)^417*'Process'!AE419),2),"")</x:f>
      </x:c>
      <x:c r="I419" s="16" t="str">
        <x:f>IF(AND(AND(418&lt;='Control Room'!$B$3,'Control Room'!$D$3="Ready"),7&lt;='Control Room'!$B$2),ROUND(MAX(0,'Process'!AI419*'Control Room'!$H$10*INDEX('Control Room'!$B$19:$H$19,1,WEEKDAY($A419,2))*(1+'Control Room'!$D$9)^417*'Process'!AJ419),2),"")</x:f>
      </x:c>
      <x:c r="J419" s="16" t="str">
        <x:f>IF(AND(AND(418&lt;='Control Room'!$B$3,'Control Room'!$D$3="Ready"),8&lt;='Control Room'!$B$2),ROUND(MAX(0,'Process'!AN419*'Control Room'!$H$11*INDEX('Control Room'!$B$19:$H$19,1,WEEKDAY($A419,2))*(1+'Control Room'!$D$9)^417*'Process'!AO419),2),"")</x:f>
      </x:c>
      <x:c r="K419" s="16" t="str">
        <x:f>IF(AND(AND(418&lt;='Control Room'!$B$3,'Control Room'!$D$3="Ready"),9&lt;='Control Room'!$B$2),ROUND(MAX(0,'Process'!AS419*'Control Room'!$H$12*INDEX('Control Room'!$B$19:$H$19,1,WEEKDAY($A419,2))*(1+'Control Room'!$D$9)^417*'Process'!AT419),2),"")</x:f>
      </x:c>
      <x:c r="L419" s="16" t="str">
        <x:f>IF(AND(AND(418&lt;='Control Room'!$B$3,'Control Room'!$D$3="Ready"),10&lt;='Control Room'!$B$2),ROUND(MAX(0,'Process'!AX419*'Control Room'!$H$13*INDEX('Control Room'!$B$19:$H$19,1,WEEKDAY($A419,2))*(1+'Control Room'!$D$9)^417*'Process'!AY419),2),"")</x:f>
      </x:c>
      <x:c r="M419" s="16" t="str">
        <x:f>IF(AND(AND(418&lt;='Control Room'!$B$3,'Control Room'!$D$3="Ready"),11&lt;='Control Room'!$B$2),ROUND(MAX(0,'Process'!BC419*'Control Room'!$H$14*INDEX('Control Room'!$B$19:$H$19,1,WEEKDAY($A419,2))*(1+'Control Room'!$D$9)^417*'Process'!BD419),2),"")</x:f>
      </x:c>
      <x:c r="N419" s="16" t="str">
        <x:f>IF(AND(AND(418&lt;='Control Room'!$B$3,'Control Room'!$D$3="Ready"),12&lt;='Control Room'!$B$2),ROUND(MAX(0,'Process'!BH419*'Control Room'!$H$15*INDEX('Control Room'!$B$19:$H$19,1,WEEKDAY($A419,2))*(1+'Control Room'!$D$9)^417*'Process'!BI419),2),"")</x:f>
      </x:c>
    </x:row>
    <x:row r="420" ht="21" customHeight="1">
      <x:c r="A420" s="15" t="str">
        <x:f>IF(AND(419&lt;='Control Room'!$B$3,'Control Room'!$D$3="Ready"),'Process'!A420,"")</x:f>
      </x:c>
      <x:c r="B420" s="16" t="str">
        <x:f>IF(A420="","",SUM(C420:N420))</x:f>
      </x:c>
      <x:c r="C420" s="16" t="str">
        <x:f>IF(AND(AND(419&lt;='Control Room'!$B$3,'Control Room'!$D$3="Ready"),1&lt;='Control Room'!$B$2),ROUND(MAX(0,'Process'!E420*'Control Room'!$H$4*INDEX('Control Room'!$B$19:$H$19,1,WEEKDAY($A420,2))*(1+'Control Room'!$D$9)^418*'Process'!F420),2),"")</x:f>
      </x:c>
      <x:c r="D420" s="16" t="str">
        <x:f>IF(AND(AND(419&lt;='Control Room'!$B$3,'Control Room'!$D$3="Ready"),2&lt;='Control Room'!$B$2),ROUND(MAX(0,'Process'!J420*'Control Room'!$H$5*INDEX('Control Room'!$B$19:$H$19,1,WEEKDAY($A420,2))*(1+'Control Room'!$D$9)^418*'Process'!K420),2),"")</x:f>
      </x:c>
      <x:c r="E420" s="16" t="str">
        <x:f>IF(AND(AND(419&lt;='Control Room'!$B$3,'Control Room'!$D$3="Ready"),3&lt;='Control Room'!$B$2),ROUND(MAX(0,'Process'!O420*'Control Room'!$H$6*INDEX('Control Room'!$B$19:$H$19,1,WEEKDAY($A420,2))*(1+'Control Room'!$D$9)^418*'Process'!P420),2),"")</x:f>
      </x:c>
      <x:c r="F420" s="16" t="str">
        <x:f>IF(AND(AND(419&lt;='Control Room'!$B$3,'Control Room'!$D$3="Ready"),4&lt;='Control Room'!$B$2),ROUND(MAX(0,'Process'!T420*'Control Room'!$H$7*INDEX('Control Room'!$B$19:$H$19,1,WEEKDAY($A420,2))*(1+'Control Room'!$D$9)^418*'Process'!U420),2),"")</x:f>
      </x:c>
      <x:c r="G420" s="16" t="str">
        <x:f>IF(AND(AND(419&lt;='Control Room'!$B$3,'Control Room'!$D$3="Ready"),5&lt;='Control Room'!$B$2),ROUND(MAX(0,'Process'!Y420*'Control Room'!$H$8*INDEX('Control Room'!$B$19:$H$19,1,WEEKDAY($A420,2))*(1+'Control Room'!$D$9)^418*'Process'!Z420),2),"")</x:f>
      </x:c>
      <x:c r="H420" s="16" t="str">
        <x:f>IF(AND(AND(419&lt;='Control Room'!$B$3,'Control Room'!$D$3="Ready"),6&lt;='Control Room'!$B$2),ROUND(MAX(0,'Process'!AD420*'Control Room'!$H$9*INDEX('Control Room'!$B$19:$H$19,1,WEEKDAY($A420,2))*(1+'Control Room'!$D$9)^418*'Process'!AE420),2),"")</x:f>
      </x:c>
      <x:c r="I420" s="16" t="str">
        <x:f>IF(AND(AND(419&lt;='Control Room'!$B$3,'Control Room'!$D$3="Ready"),7&lt;='Control Room'!$B$2),ROUND(MAX(0,'Process'!AI420*'Control Room'!$H$10*INDEX('Control Room'!$B$19:$H$19,1,WEEKDAY($A420,2))*(1+'Control Room'!$D$9)^418*'Process'!AJ420),2),"")</x:f>
      </x:c>
      <x:c r="J420" s="16" t="str">
        <x:f>IF(AND(AND(419&lt;='Control Room'!$B$3,'Control Room'!$D$3="Ready"),8&lt;='Control Room'!$B$2),ROUND(MAX(0,'Process'!AN420*'Control Room'!$H$11*INDEX('Control Room'!$B$19:$H$19,1,WEEKDAY($A420,2))*(1+'Control Room'!$D$9)^418*'Process'!AO420),2),"")</x:f>
      </x:c>
      <x:c r="K420" s="16" t="str">
        <x:f>IF(AND(AND(419&lt;='Control Room'!$B$3,'Control Room'!$D$3="Ready"),9&lt;='Control Room'!$B$2),ROUND(MAX(0,'Process'!AS420*'Control Room'!$H$12*INDEX('Control Room'!$B$19:$H$19,1,WEEKDAY($A420,2))*(1+'Control Room'!$D$9)^418*'Process'!AT420),2),"")</x:f>
      </x:c>
      <x:c r="L420" s="16" t="str">
        <x:f>IF(AND(AND(419&lt;='Control Room'!$B$3,'Control Room'!$D$3="Ready"),10&lt;='Control Room'!$B$2),ROUND(MAX(0,'Process'!AX420*'Control Room'!$H$13*INDEX('Control Room'!$B$19:$H$19,1,WEEKDAY($A420,2))*(1+'Control Room'!$D$9)^418*'Process'!AY420),2),"")</x:f>
      </x:c>
      <x:c r="M420" s="16" t="str">
        <x:f>IF(AND(AND(419&lt;='Control Room'!$B$3,'Control Room'!$D$3="Ready"),11&lt;='Control Room'!$B$2),ROUND(MAX(0,'Process'!BC420*'Control Room'!$H$14*INDEX('Control Room'!$B$19:$H$19,1,WEEKDAY($A420,2))*(1+'Control Room'!$D$9)^418*'Process'!BD420),2),"")</x:f>
      </x:c>
      <x:c r="N420" s="16" t="str">
        <x:f>IF(AND(AND(419&lt;='Control Room'!$B$3,'Control Room'!$D$3="Ready"),12&lt;='Control Room'!$B$2),ROUND(MAX(0,'Process'!BH420*'Control Room'!$H$15*INDEX('Control Room'!$B$19:$H$19,1,WEEKDAY($A420,2))*(1+'Control Room'!$D$9)^418*'Process'!BI420),2),"")</x:f>
      </x:c>
    </x:row>
    <x:row r="421" ht="21" customHeight="1">
      <x:c r="A421" s="15" t="str">
        <x:f>IF(AND(420&lt;='Control Room'!$B$3,'Control Room'!$D$3="Ready"),'Process'!A421,"")</x:f>
      </x:c>
      <x:c r="B421" s="16" t="str">
        <x:f>IF(A421="","",SUM(C421:N421))</x:f>
      </x:c>
      <x:c r="C421" s="16" t="str">
        <x:f>IF(AND(AND(420&lt;='Control Room'!$B$3,'Control Room'!$D$3="Ready"),1&lt;='Control Room'!$B$2),ROUND(MAX(0,'Process'!E421*'Control Room'!$H$4*INDEX('Control Room'!$B$19:$H$19,1,WEEKDAY($A421,2))*(1+'Control Room'!$D$9)^419*'Process'!F421),2),"")</x:f>
      </x:c>
      <x:c r="D421" s="16" t="str">
        <x:f>IF(AND(AND(420&lt;='Control Room'!$B$3,'Control Room'!$D$3="Ready"),2&lt;='Control Room'!$B$2),ROUND(MAX(0,'Process'!J421*'Control Room'!$H$5*INDEX('Control Room'!$B$19:$H$19,1,WEEKDAY($A421,2))*(1+'Control Room'!$D$9)^419*'Process'!K421),2),"")</x:f>
      </x:c>
      <x:c r="E421" s="16" t="str">
        <x:f>IF(AND(AND(420&lt;='Control Room'!$B$3,'Control Room'!$D$3="Ready"),3&lt;='Control Room'!$B$2),ROUND(MAX(0,'Process'!O421*'Control Room'!$H$6*INDEX('Control Room'!$B$19:$H$19,1,WEEKDAY($A421,2))*(1+'Control Room'!$D$9)^419*'Process'!P421),2),"")</x:f>
      </x:c>
      <x:c r="F421" s="16" t="str">
        <x:f>IF(AND(AND(420&lt;='Control Room'!$B$3,'Control Room'!$D$3="Ready"),4&lt;='Control Room'!$B$2),ROUND(MAX(0,'Process'!T421*'Control Room'!$H$7*INDEX('Control Room'!$B$19:$H$19,1,WEEKDAY($A421,2))*(1+'Control Room'!$D$9)^419*'Process'!U421),2),"")</x:f>
      </x:c>
      <x:c r="G421" s="16" t="str">
        <x:f>IF(AND(AND(420&lt;='Control Room'!$B$3,'Control Room'!$D$3="Ready"),5&lt;='Control Room'!$B$2),ROUND(MAX(0,'Process'!Y421*'Control Room'!$H$8*INDEX('Control Room'!$B$19:$H$19,1,WEEKDAY($A421,2))*(1+'Control Room'!$D$9)^419*'Process'!Z421),2),"")</x:f>
      </x:c>
      <x:c r="H421" s="16" t="str">
        <x:f>IF(AND(AND(420&lt;='Control Room'!$B$3,'Control Room'!$D$3="Ready"),6&lt;='Control Room'!$B$2),ROUND(MAX(0,'Process'!AD421*'Control Room'!$H$9*INDEX('Control Room'!$B$19:$H$19,1,WEEKDAY($A421,2))*(1+'Control Room'!$D$9)^419*'Process'!AE421),2),"")</x:f>
      </x:c>
      <x:c r="I421" s="16" t="str">
        <x:f>IF(AND(AND(420&lt;='Control Room'!$B$3,'Control Room'!$D$3="Ready"),7&lt;='Control Room'!$B$2),ROUND(MAX(0,'Process'!AI421*'Control Room'!$H$10*INDEX('Control Room'!$B$19:$H$19,1,WEEKDAY($A421,2))*(1+'Control Room'!$D$9)^419*'Process'!AJ421),2),"")</x:f>
      </x:c>
      <x:c r="J421" s="16" t="str">
        <x:f>IF(AND(AND(420&lt;='Control Room'!$B$3,'Control Room'!$D$3="Ready"),8&lt;='Control Room'!$B$2),ROUND(MAX(0,'Process'!AN421*'Control Room'!$H$11*INDEX('Control Room'!$B$19:$H$19,1,WEEKDAY($A421,2))*(1+'Control Room'!$D$9)^419*'Process'!AO421),2),"")</x:f>
      </x:c>
      <x:c r="K421" s="16" t="str">
        <x:f>IF(AND(AND(420&lt;='Control Room'!$B$3,'Control Room'!$D$3="Ready"),9&lt;='Control Room'!$B$2),ROUND(MAX(0,'Process'!AS421*'Control Room'!$H$12*INDEX('Control Room'!$B$19:$H$19,1,WEEKDAY($A421,2))*(1+'Control Room'!$D$9)^419*'Process'!AT421),2),"")</x:f>
      </x:c>
      <x:c r="L421" s="16" t="str">
        <x:f>IF(AND(AND(420&lt;='Control Room'!$B$3,'Control Room'!$D$3="Ready"),10&lt;='Control Room'!$B$2),ROUND(MAX(0,'Process'!AX421*'Control Room'!$H$13*INDEX('Control Room'!$B$19:$H$19,1,WEEKDAY($A421,2))*(1+'Control Room'!$D$9)^419*'Process'!AY421),2),"")</x:f>
      </x:c>
      <x:c r="M421" s="16" t="str">
        <x:f>IF(AND(AND(420&lt;='Control Room'!$B$3,'Control Room'!$D$3="Ready"),11&lt;='Control Room'!$B$2),ROUND(MAX(0,'Process'!BC421*'Control Room'!$H$14*INDEX('Control Room'!$B$19:$H$19,1,WEEKDAY($A421,2))*(1+'Control Room'!$D$9)^419*'Process'!BD421),2),"")</x:f>
      </x:c>
      <x:c r="N421" s="16" t="str">
        <x:f>IF(AND(AND(420&lt;='Control Room'!$B$3,'Control Room'!$D$3="Ready"),12&lt;='Control Room'!$B$2),ROUND(MAX(0,'Process'!BH421*'Control Room'!$H$15*INDEX('Control Room'!$B$19:$H$19,1,WEEKDAY($A421,2))*(1+'Control Room'!$D$9)^419*'Process'!BI421),2),"")</x:f>
      </x:c>
    </x:row>
    <x:row r="422" ht="21" customHeight="1">
      <x:c r="A422" s="15" t="str">
        <x:f>IF(AND(421&lt;='Control Room'!$B$3,'Control Room'!$D$3="Ready"),'Process'!A422,"")</x:f>
      </x:c>
      <x:c r="B422" s="16" t="str">
        <x:f>IF(A422="","",SUM(C422:N422))</x:f>
      </x:c>
      <x:c r="C422" s="16" t="str">
        <x:f>IF(AND(AND(421&lt;='Control Room'!$B$3,'Control Room'!$D$3="Ready"),1&lt;='Control Room'!$B$2),ROUND(MAX(0,'Process'!E422*'Control Room'!$H$4*INDEX('Control Room'!$B$19:$H$19,1,WEEKDAY($A422,2))*(1+'Control Room'!$D$9)^420*'Process'!F422),2),"")</x:f>
      </x:c>
      <x:c r="D422" s="16" t="str">
        <x:f>IF(AND(AND(421&lt;='Control Room'!$B$3,'Control Room'!$D$3="Ready"),2&lt;='Control Room'!$B$2),ROUND(MAX(0,'Process'!J422*'Control Room'!$H$5*INDEX('Control Room'!$B$19:$H$19,1,WEEKDAY($A422,2))*(1+'Control Room'!$D$9)^420*'Process'!K422),2),"")</x:f>
      </x:c>
      <x:c r="E422" s="16" t="str">
        <x:f>IF(AND(AND(421&lt;='Control Room'!$B$3,'Control Room'!$D$3="Ready"),3&lt;='Control Room'!$B$2),ROUND(MAX(0,'Process'!O422*'Control Room'!$H$6*INDEX('Control Room'!$B$19:$H$19,1,WEEKDAY($A422,2))*(1+'Control Room'!$D$9)^420*'Process'!P422),2),"")</x:f>
      </x:c>
      <x:c r="F422" s="16" t="str">
        <x:f>IF(AND(AND(421&lt;='Control Room'!$B$3,'Control Room'!$D$3="Ready"),4&lt;='Control Room'!$B$2),ROUND(MAX(0,'Process'!T422*'Control Room'!$H$7*INDEX('Control Room'!$B$19:$H$19,1,WEEKDAY($A422,2))*(1+'Control Room'!$D$9)^420*'Process'!U422),2),"")</x:f>
      </x:c>
      <x:c r="G422" s="16" t="str">
        <x:f>IF(AND(AND(421&lt;='Control Room'!$B$3,'Control Room'!$D$3="Ready"),5&lt;='Control Room'!$B$2),ROUND(MAX(0,'Process'!Y422*'Control Room'!$H$8*INDEX('Control Room'!$B$19:$H$19,1,WEEKDAY($A422,2))*(1+'Control Room'!$D$9)^420*'Process'!Z422),2),"")</x:f>
      </x:c>
      <x:c r="H422" s="16" t="str">
        <x:f>IF(AND(AND(421&lt;='Control Room'!$B$3,'Control Room'!$D$3="Ready"),6&lt;='Control Room'!$B$2),ROUND(MAX(0,'Process'!AD422*'Control Room'!$H$9*INDEX('Control Room'!$B$19:$H$19,1,WEEKDAY($A422,2))*(1+'Control Room'!$D$9)^420*'Process'!AE422),2),"")</x:f>
      </x:c>
      <x:c r="I422" s="16" t="str">
        <x:f>IF(AND(AND(421&lt;='Control Room'!$B$3,'Control Room'!$D$3="Ready"),7&lt;='Control Room'!$B$2),ROUND(MAX(0,'Process'!AI422*'Control Room'!$H$10*INDEX('Control Room'!$B$19:$H$19,1,WEEKDAY($A422,2))*(1+'Control Room'!$D$9)^420*'Process'!AJ422),2),"")</x:f>
      </x:c>
      <x:c r="J422" s="16" t="str">
        <x:f>IF(AND(AND(421&lt;='Control Room'!$B$3,'Control Room'!$D$3="Ready"),8&lt;='Control Room'!$B$2),ROUND(MAX(0,'Process'!AN422*'Control Room'!$H$11*INDEX('Control Room'!$B$19:$H$19,1,WEEKDAY($A422,2))*(1+'Control Room'!$D$9)^420*'Process'!AO422),2),"")</x:f>
      </x:c>
      <x:c r="K422" s="16" t="str">
        <x:f>IF(AND(AND(421&lt;='Control Room'!$B$3,'Control Room'!$D$3="Ready"),9&lt;='Control Room'!$B$2),ROUND(MAX(0,'Process'!AS422*'Control Room'!$H$12*INDEX('Control Room'!$B$19:$H$19,1,WEEKDAY($A422,2))*(1+'Control Room'!$D$9)^420*'Process'!AT422),2),"")</x:f>
      </x:c>
      <x:c r="L422" s="16" t="str">
        <x:f>IF(AND(AND(421&lt;='Control Room'!$B$3,'Control Room'!$D$3="Ready"),10&lt;='Control Room'!$B$2),ROUND(MAX(0,'Process'!AX422*'Control Room'!$H$13*INDEX('Control Room'!$B$19:$H$19,1,WEEKDAY($A422,2))*(1+'Control Room'!$D$9)^420*'Process'!AY422),2),"")</x:f>
      </x:c>
      <x:c r="M422" s="16" t="str">
        <x:f>IF(AND(AND(421&lt;='Control Room'!$B$3,'Control Room'!$D$3="Ready"),11&lt;='Control Room'!$B$2),ROUND(MAX(0,'Process'!BC422*'Control Room'!$H$14*INDEX('Control Room'!$B$19:$H$19,1,WEEKDAY($A422,2))*(1+'Control Room'!$D$9)^420*'Process'!BD422),2),"")</x:f>
      </x:c>
      <x:c r="N422" s="16" t="str">
        <x:f>IF(AND(AND(421&lt;='Control Room'!$B$3,'Control Room'!$D$3="Ready"),12&lt;='Control Room'!$B$2),ROUND(MAX(0,'Process'!BH422*'Control Room'!$H$15*INDEX('Control Room'!$B$19:$H$19,1,WEEKDAY($A422,2))*(1+'Control Room'!$D$9)^420*'Process'!BI422),2),"")</x:f>
      </x:c>
    </x:row>
    <x:row r="423" ht="21" customHeight="1">
      <x:c r="A423" s="15" t="str">
        <x:f>IF(AND(422&lt;='Control Room'!$B$3,'Control Room'!$D$3="Ready"),'Process'!A423,"")</x:f>
      </x:c>
      <x:c r="B423" s="16" t="str">
        <x:f>IF(A423="","",SUM(C423:N423))</x:f>
      </x:c>
      <x:c r="C423" s="16" t="str">
        <x:f>IF(AND(AND(422&lt;='Control Room'!$B$3,'Control Room'!$D$3="Ready"),1&lt;='Control Room'!$B$2),ROUND(MAX(0,'Process'!E423*'Control Room'!$H$4*INDEX('Control Room'!$B$19:$H$19,1,WEEKDAY($A423,2))*(1+'Control Room'!$D$9)^421*'Process'!F423),2),"")</x:f>
      </x:c>
      <x:c r="D423" s="16" t="str">
        <x:f>IF(AND(AND(422&lt;='Control Room'!$B$3,'Control Room'!$D$3="Ready"),2&lt;='Control Room'!$B$2),ROUND(MAX(0,'Process'!J423*'Control Room'!$H$5*INDEX('Control Room'!$B$19:$H$19,1,WEEKDAY($A423,2))*(1+'Control Room'!$D$9)^421*'Process'!K423),2),"")</x:f>
      </x:c>
      <x:c r="E423" s="16" t="str">
        <x:f>IF(AND(AND(422&lt;='Control Room'!$B$3,'Control Room'!$D$3="Ready"),3&lt;='Control Room'!$B$2),ROUND(MAX(0,'Process'!O423*'Control Room'!$H$6*INDEX('Control Room'!$B$19:$H$19,1,WEEKDAY($A423,2))*(1+'Control Room'!$D$9)^421*'Process'!P423),2),"")</x:f>
      </x:c>
      <x:c r="F423" s="16" t="str">
        <x:f>IF(AND(AND(422&lt;='Control Room'!$B$3,'Control Room'!$D$3="Ready"),4&lt;='Control Room'!$B$2),ROUND(MAX(0,'Process'!T423*'Control Room'!$H$7*INDEX('Control Room'!$B$19:$H$19,1,WEEKDAY($A423,2))*(1+'Control Room'!$D$9)^421*'Process'!U423),2),"")</x:f>
      </x:c>
      <x:c r="G423" s="16" t="str">
        <x:f>IF(AND(AND(422&lt;='Control Room'!$B$3,'Control Room'!$D$3="Ready"),5&lt;='Control Room'!$B$2),ROUND(MAX(0,'Process'!Y423*'Control Room'!$H$8*INDEX('Control Room'!$B$19:$H$19,1,WEEKDAY($A423,2))*(1+'Control Room'!$D$9)^421*'Process'!Z423),2),"")</x:f>
      </x:c>
      <x:c r="H423" s="16" t="str">
        <x:f>IF(AND(AND(422&lt;='Control Room'!$B$3,'Control Room'!$D$3="Ready"),6&lt;='Control Room'!$B$2),ROUND(MAX(0,'Process'!AD423*'Control Room'!$H$9*INDEX('Control Room'!$B$19:$H$19,1,WEEKDAY($A423,2))*(1+'Control Room'!$D$9)^421*'Process'!AE423),2),"")</x:f>
      </x:c>
      <x:c r="I423" s="16" t="str">
        <x:f>IF(AND(AND(422&lt;='Control Room'!$B$3,'Control Room'!$D$3="Ready"),7&lt;='Control Room'!$B$2),ROUND(MAX(0,'Process'!AI423*'Control Room'!$H$10*INDEX('Control Room'!$B$19:$H$19,1,WEEKDAY($A423,2))*(1+'Control Room'!$D$9)^421*'Process'!AJ423),2),"")</x:f>
      </x:c>
      <x:c r="J423" s="16" t="str">
        <x:f>IF(AND(AND(422&lt;='Control Room'!$B$3,'Control Room'!$D$3="Ready"),8&lt;='Control Room'!$B$2),ROUND(MAX(0,'Process'!AN423*'Control Room'!$H$11*INDEX('Control Room'!$B$19:$H$19,1,WEEKDAY($A423,2))*(1+'Control Room'!$D$9)^421*'Process'!AO423),2),"")</x:f>
      </x:c>
      <x:c r="K423" s="16" t="str">
        <x:f>IF(AND(AND(422&lt;='Control Room'!$B$3,'Control Room'!$D$3="Ready"),9&lt;='Control Room'!$B$2),ROUND(MAX(0,'Process'!AS423*'Control Room'!$H$12*INDEX('Control Room'!$B$19:$H$19,1,WEEKDAY($A423,2))*(1+'Control Room'!$D$9)^421*'Process'!AT423),2),"")</x:f>
      </x:c>
      <x:c r="L423" s="16" t="str">
        <x:f>IF(AND(AND(422&lt;='Control Room'!$B$3,'Control Room'!$D$3="Ready"),10&lt;='Control Room'!$B$2),ROUND(MAX(0,'Process'!AX423*'Control Room'!$H$13*INDEX('Control Room'!$B$19:$H$19,1,WEEKDAY($A423,2))*(1+'Control Room'!$D$9)^421*'Process'!AY423),2),"")</x:f>
      </x:c>
      <x:c r="M423" s="16" t="str">
        <x:f>IF(AND(AND(422&lt;='Control Room'!$B$3,'Control Room'!$D$3="Ready"),11&lt;='Control Room'!$B$2),ROUND(MAX(0,'Process'!BC423*'Control Room'!$H$14*INDEX('Control Room'!$B$19:$H$19,1,WEEKDAY($A423,2))*(1+'Control Room'!$D$9)^421*'Process'!BD423),2),"")</x:f>
      </x:c>
      <x:c r="N423" s="16" t="str">
        <x:f>IF(AND(AND(422&lt;='Control Room'!$B$3,'Control Room'!$D$3="Ready"),12&lt;='Control Room'!$B$2),ROUND(MAX(0,'Process'!BH423*'Control Room'!$H$15*INDEX('Control Room'!$B$19:$H$19,1,WEEKDAY($A423,2))*(1+'Control Room'!$D$9)^421*'Process'!BI423),2),"")</x:f>
      </x:c>
    </x:row>
    <x:row r="424" ht="21" customHeight="1">
      <x:c r="A424" s="15" t="str">
        <x:f>IF(AND(423&lt;='Control Room'!$B$3,'Control Room'!$D$3="Ready"),'Process'!A424,"")</x:f>
      </x:c>
      <x:c r="B424" s="16" t="str">
        <x:f>IF(A424="","",SUM(C424:N424))</x:f>
      </x:c>
      <x:c r="C424" s="16" t="str">
        <x:f>IF(AND(AND(423&lt;='Control Room'!$B$3,'Control Room'!$D$3="Ready"),1&lt;='Control Room'!$B$2),ROUND(MAX(0,'Process'!E424*'Control Room'!$H$4*INDEX('Control Room'!$B$19:$H$19,1,WEEKDAY($A424,2))*(1+'Control Room'!$D$9)^422*'Process'!F424),2),"")</x:f>
      </x:c>
      <x:c r="D424" s="16" t="str">
        <x:f>IF(AND(AND(423&lt;='Control Room'!$B$3,'Control Room'!$D$3="Ready"),2&lt;='Control Room'!$B$2),ROUND(MAX(0,'Process'!J424*'Control Room'!$H$5*INDEX('Control Room'!$B$19:$H$19,1,WEEKDAY($A424,2))*(1+'Control Room'!$D$9)^422*'Process'!K424),2),"")</x:f>
      </x:c>
      <x:c r="E424" s="16" t="str">
        <x:f>IF(AND(AND(423&lt;='Control Room'!$B$3,'Control Room'!$D$3="Ready"),3&lt;='Control Room'!$B$2),ROUND(MAX(0,'Process'!O424*'Control Room'!$H$6*INDEX('Control Room'!$B$19:$H$19,1,WEEKDAY($A424,2))*(1+'Control Room'!$D$9)^422*'Process'!P424),2),"")</x:f>
      </x:c>
      <x:c r="F424" s="16" t="str">
        <x:f>IF(AND(AND(423&lt;='Control Room'!$B$3,'Control Room'!$D$3="Ready"),4&lt;='Control Room'!$B$2),ROUND(MAX(0,'Process'!T424*'Control Room'!$H$7*INDEX('Control Room'!$B$19:$H$19,1,WEEKDAY($A424,2))*(1+'Control Room'!$D$9)^422*'Process'!U424),2),"")</x:f>
      </x:c>
      <x:c r="G424" s="16" t="str">
        <x:f>IF(AND(AND(423&lt;='Control Room'!$B$3,'Control Room'!$D$3="Ready"),5&lt;='Control Room'!$B$2),ROUND(MAX(0,'Process'!Y424*'Control Room'!$H$8*INDEX('Control Room'!$B$19:$H$19,1,WEEKDAY($A424,2))*(1+'Control Room'!$D$9)^422*'Process'!Z424),2),"")</x:f>
      </x:c>
      <x:c r="H424" s="16" t="str">
        <x:f>IF(AND(AND(423&lt;='Control Room'!$B$3,'Control Room'!$D$3="Ready"),6&lt;='Control Room'!$B$2),ROUND(MAX(0,'Process'!AD424*'Control Room'!$H$9*INDEX('Control Room'!$B$19:$H$19,1,WEEKDAY($A424,2))*(1+'Control Room'!$D$9)^422*'Process'!AE424),2),"")</x:f>
      </x:c>
      <x:c r="I424" s="16" t="str">
        <x:f>IF(AND(AND(423&lt;='Control Room'!$B$3,'Control Room'!$D$3="Ready"),7&lt;='Control Room'!$B$2),ROUND(MAX(0,'Process'!AI424*'Control Room'!$H$10*INDEX('Control Room'!$B$19:$H$19,1,WEEKDAY($A424,2))*(1+'Control Room'!$D$9)^422*'Process'!AJ424),2),"")</x:f>
      </x:c>
      <x:c r="J424" s="16" t="str">
        <x:f>IF(AND(AND(423&lt;='Control Room'!$B$3,'Control Room'!$D$3="Ready"),8&lt;='Control Room'!$B$2),ROUND(MAX(0,'Process'!AN424*'Control Room'!$H$11*INDEX('Control Room'!$B$19:$H$19,1,WEEKDAY($A424,2))*(1+'Control Room'!$D$9)^422*'Process'!AO424),2),"")</x:f>
      </x:c>
      <x:c r="K424" s="16" t="str">
        <x:f>IF(AND(AND(423&lt;='Control Room'!$B$3,'Control Room'!$D$3="Ready"),9&lt;='Control Room'!$B$2),ROUND(MAX(0,'Process'!AS424*'Control Room'!$H$12*INDEX('Control Room'!$B$19:$H$19,1,WEEKDAY($A424,2))*(1+'Control Room'!$D$9)^422*'Process'!AT424),2),"")</x:f>
      </x:c>
      <x:c r="L424" s="16" t="str">
        <x:f>IF(AND(AND(423&lt;='Control Room'!$B$3,'Control Room'!$D$3="Ready"),10&lt;='Control Room'!$B$2),ROUND(MAX(0,'Process'!AX424*'Control Room'!$H$13*INDEX('Control Room'!$B$19:$H$19,1,WEEKDAY($A424,2))*(1+'Control Room'!$D$9)^422*'Process'!AY424),2),"")</x:f>
      </x:c>
      <x:c r="M424" s="16" t="str">
        <x:f>IF(AND(AND(423&lt;='Control Room'!$B$3,'Control Room'!$D$3="Ready"),11&lt;='Control Room'!$B$2),ROUND(MAX(0,'Process'!BC424*'Control Room'!$H$14*INDEX('Control Room'!$B$19:$H$19,1,WEEKDAY($A424,2))*(1+'Control Room'!$D$9)^422*'Process'!BD424),2),"")</x:f>
      </x:c>
      <x:c r="N424" s="16" t="str">
        <x:f>IF(AND(AND(423&lt;='Control Room'!$B$3,'Control Room'!$D$3="Ready"),12&lt;='Control Room'!$B$2),ROUND(MAX(0,'Process'!BH424*'Control Room'!$H$15*INDEX('Control Room'!$B$19:$H$19,1,WEEKDAY($A424,2))*(1+'Control Room'!$D$9)^422*'Process'!BI424),2),"")</x:f>
      </x:c>
    </x:row>
    <x:row r="425" ht="21" customHeight="1">
      <x:c r="A425" s="15" t="str">
        <x:f>IF(AND(424&lt;='Control Room'!$B$3,'Control Room'!$D$3="Ready"),'Process'!A425,"")</x:f>
      </x:c>
      <x:c r="B425" s="16" t="str">
        <x:f>IF(A425="","",SUM(C425:N425))</x:f>
      </x:c>
      <x:c r="C425" s="16" t="str">
        <x:f>IF(AND(AND(424&lt;='Control Room'!$B$3,'Control Room'!$D$3="Ready"),1&lt;='Control Room'!$B$2),ROUND(MAX(0,'Process'!E425*'Control Room'!$H$4*INDEX('Control Room'!$B$19:$H$19,1,WEEKDAY($A425,2))*(1+'Control Room'!$D$9)^423*'Process'!F425),2),"")</x:f>
      </x:c>
      <x:c r="D425" s="16" t="str">
        <x:f>IF(AND(AND(424&lt;='Control Room'!$B$3,'Control Room'!$D$3="Ready"),2&lt;='Control Room'!$B$2),ROUND(MAX(0,'Process'!J425*'Control Room'!$H$5*INDEX('Control Room'!$B$19:$H$19,1,WEEKDAY($A425,2))*(1+'Control Room'!$D$9)^423*'Process'!K425),2),"")</x:f>
      </x:c>
      <x:c r="E425" s="16" t="str">
        <x:f>IF(AND(AND(424&lt;='Control Room'!$B$3,'Control Room'!$D$3="Ready"),3&lt;='Control Room'!$B$2),ROUND(MAX(0,'Process'!O425*'Control Room'!$H$6*INDEX('Control Room'!$B$19:$H$19,1,WEEKDAY($A425,2))*(1+'Control Room'!$D$9)^423*'Process'!P425),2),"")</x:f>
      </x:c>
      <x:c r="F425" s="16" t="str">
        <x:f>IF(AND(AND(424&lt;='Control Room'!$B$3,'Control Room'!$D$3="Ready"),4&lt;='Control Room'!$B$2),ROUND(MAX(0,'Process'!T425*'Control Room'!$H$7*INDEX('Control Room'!$B$19:$H$19,1,WEEKDAY($A425,2))*(1+'Control Room'!$D$9)^423*'Process'!U425),2),"")</x:f>
      </x:c>
      <x:c r="G425" s="16" t="str">
        <x:f>IF(AND(AND(424&lt;='Control Room'!$B$3,'Control Room'!$D$3="Ready"),5&lt;='Control Room'!$B$2),ROUND(MAX(0,'Process'!Y425*'Control Room'!$H$8*INDEX('Control Room'!$B$19:$H$19,1,WEEKDAY($A425,2))*(1+'Control Room'!$D$9)^423*'Process'!Z425),2),"")</x:f>
      </x:c>
      <x:c r="H425" s="16" t="str">
        <x:f>IF(AND(AND(424&lt;='Control Room'!$B$3,'Control Room'!$D$3="Ready"),6&lt;='Control Room'!$B$2),ROUND(MAX(0,'Process'!AD425*'Control Room'!$H$9*INDEX('Control Room'!$B$19:$H$19,1,WEEKDAY($A425,2))*(1+'Control Room'!$D$9)^423*'Process'!AE425),2),"")</x:f>
      </x:c>
      <x:c r="I425" s="16" t="str">
        <x:f>IF(AND(AND(424&lt;='Control Room'!$B$3,'Control Room'!$D$3="Ready"),7&lt;='Control Room'!$B$2),ROUND(MAX(0,'Process'!AI425*'Control Room'!$H$10*INDEX('Control Room'!$B$19:$H$19,1,WEEKDAY($A425,2))*(1+'Control Room'!$D$9)^423*'Process'!AJ425),2),"")</x:f>
      </x:c>
      <x:c r="J425" s="16" t="str">
        <x:f>IF(AND(AND(424&lt;='Control Room'!$B$3,'Control Room'!$D$3="Ready"),8&lt;='Control Room'!$B$2),ROUND(MAX(0,'Process'!AN425*'Control Room'!$H$11*INDEX('Control Room'!$B$19:$H$19,1,WEEKDAY($A425,2))*(1+'Control Room'!$D$9)^423*'Process'!AO425),2),"")</x:f>
      </x:c>
      <x:c r="K425" s="16" t="str">
        <x:f>IF(AND(AND(424&lt;='Control Room'!$B$3,'Control Room'!$D$3="Ready"),9&lt;='Control Room'!$B$2),ROUND(MAX(0,'Process'!AS425*'Control Room'!$H$12*INDEX('Control Room'!$B$19:$H$19,1,WEEKDAY($A425,2))*(1+'Control Room'!$D$9)^423*'Process'!AT425),2),"")</x:f>
      </x:c>
      <x:c r="L425" s="16" t="str">
        <x:f>IF(AND(AND(424&lt;='Control Room'!$B$3,'Control Room'!$D$3="Ready"),10&lt;='Control Room'!$B$2),ROUND(MAX(0,'Process'!AX425*'Control Room'!$H$13*INDEX('Control Room'!$B$19:$H$19,1,WEEKDAY($A425,2))*(1+'Control Room'!$D$9)^423*'Process'!AY425),2),"")</x:f>
      </x:c>
      <x:c r="M425" s="16" t="str">
        <x:f>IF(AND(AND(424&lt;='Control Room'!$B$3,'Control Room'!$D$3="Ready"),11&lt;='Control Room'!$B$2),ROUND(MAX(0,'Process'!BC425*'Control Room'!$H$14*INDEX('Control Room'!$B$19:$H$19,1,WEEKDAY($A425,2))*(1+'Control Room'!$D$9)^423*'Process'!BD425),2),"")</x:f>
      </x:c>
      <x:c r="N425" s="16" t="str">
        <x:f>IF(AND(AND(424&lt;='Control Room'!$B$3,'Control Room'!$D$3="Ready"),12&lt;='Control Room'!$B$2),ROUND(MAX(0,'Process'!BH425*'Control Room'!$H$15*INDEX('Control Room'!$B$19:$H$19,1,WEEKDAY($A425,2))*(1+'Control Room'!$D$9)^423*'Process'!BI425),2),"")</x:f>
      </x:c>
    </x:row>
    <x:row r="426" ht="21" customHeight="1">
      <x:c r="A426" s="15" t="str">
        <x:f>IF(AND(425&lt;='Control Room'!$B$3,'Control Room'!$D$3="Ready"),'Process'!A426,"")</x:f>
      </x:c>
      <x:c r="B426" s="16" t="str">
        <x:f>IF(A426="","",SUM(C426:N426))</x:f>
      </x:c>
      <x:c r="C426" s="16" t="str">
        <x:f>IF(AND(AND(425&lt;='Control Room'!$B$3,'Control Room'!$D$3="Ready"),1&lt;='Control Room'!$B$2),ROUND(MAX(0,'Process'!E426*'Control Room'!$H$4*INDEX('Control Room'!$B$19:$H$19,1,WEEKDAY($A426,2))*(1+'Control Room'!$D$9)^424*'Process'!F426),2),"")</x:f>
      </x:c>
      <x:c r="D426" s="16" t="str">
        <x:f>IF(AND(AND(425&lt;='Control Room'!$B$3,'Control Room'!$D$3="Ready"),2&lt;='Control Room'!$B$2),ROUND(MAX(0,'Process'!J426*'Control Room'!$H$5*INDEX('Control Room'!$B$19:$H$19,1,WEEKDAY($A426,2))*(1+'Control Room'!$D$9)^424*'Process'!K426),2),"")</x:f>
      </x:c>
      <x:c r="E426" s="16" t="str">
        <x:f>IF(AND(AND(425&lt;='Control Room'!$B$3,'Control Room'!$D$3="Ready"),3&lt;='Control Room'!$B$2),ROUND(MAX(0,'Process'!O426*'Control Room'!$H$6*INDEX('Control Room'!$B$19:$H$19,1,WEEKDAY($A426,2))*(1+'Control Room'!$D$9)^424*'Process'!P426),2),"")</x:f>
      </x:c>
      <x:c r="F426" s="16" t="str">
        <x:f>IF(AND(AND(425&lt;='Control Room'!$B$3,'Control Room'!$D$3="Ready"),4&lt;='Control Room'!$B$2),ROUND(MAX(0,'Process'!T426*'Control Room'!$H$7*INDEX('Control Room'!$B$19:$H$19,1,WEEKDAY($A426,2))*(1+'Control Room'!$D$9)^424*'Process'!U426),2),"")</x:f>
      </x:c>
      <x:c r="G426" s="16" t="str">
        <x:f>IF(AND(AND(425&lt;='Control Room'!$B$3,'Control Room'!$D$3="Ready"),5&lt;='Control Room'!$B$2),ROUND(MAX(0,'Process'!Y426*'Control Room'!$H$8*INDEX('Control Room'!$B$19:$H$19,1,WEEKDAY($A426,2))*(1+'Control Room'!$D$9)^424*'Process'!Z426),2),"")</x:f>
      </x:c>
      <x:c r="H426" s="16" t="str">
        <x:f>IF(AND(AND(425&lt;='Control Room'!$B$3,'Control Room'!$D$3="Ready"),6&lt;='Control Room'!$B$2),ROUND(MAX(0,'Process'!AD426*'Control Room'!$H$9*INDEX('Control Room'!$B$19:$H$19,1,WEEKDAY($A426,2))*(1+'Control Room'!$D$9)^424*'Process'!AE426),2),"")</x:f>
      </x:c>
      <x:c r="I426" s="16" t="str">
        <x:f>IF(AND(AND(425&lt;='Control Room'!$B$3,'Control Room'!$D$3="Ready"),7&lt;='Control Room'!$B$2),ROUND(MAX(0,'Process'!AI426*'Control Room'!$H$10*INDEX('Control Room'!$B$19:$H$19,1,WEEKDAY($A426,2))*(1+'Control Room'!$D$9)^424*'Process'!AJ426),2),"")</x:f>
      </x:c>
      <x:c r="J426" s="16" t="str">
        <x:f>IF(AND(AND(425&lt;='Control Room'!$B$3,'Control Room'!$D$3="Ready"),8&lt;='Control Room'!$B$2),ROUND(MAX(0,'Process'!AN426*'Control Room'!$H$11*INDEX('Control Room'!$B$19:$H$19,1,WEEKDAY($A426,2))*(1+'Control Room'!$D$9)^424*'Process'!AO426),2),"")</x:f>
      </x:c>
      <x:c r="K426" s="16" t="str">
        <x:f>IF(AND(AND(425&lt;='Control Room'!$B$3,'Control Room'!$D$3="Ready"),9&lt;='Control Room'!$B$2),ROUND(MAX(0,'Process'!AS426*'Control Room'!$H$12*INDEX('Control Room'!$B$19:$H$19,1,WEEKDAY($A426,2))*(1+'Control Room'!$D$9)^424*'Process'!AT426),2),"")</x:f>
      </x:c>
      <x:c r="L426" s="16" t="str">
        <x:f>IF(AND(AND(425&lt;='Control Room'!$B$3,'Control Room'!$D$3="Ready"),10&lt;='Control Room'!$B$2),ROUND(MAX(0,'Process'!AX426*'Control Room'!$H$13*INDEX('Control Room'!$B$19:$H$19,1,WEEKDAY($A426,2))*(1+'Control Room'!$D$9)^424*'Process'!AY426),2),"")</x:f>
      </x:c>
      <x:c r="M426" s="16" t="str">
        <x:f>IF(AND(AND(425&lt;='Control Room'!$B$3,'Control Room'!$D$3="Ready"),11&lt;='Control Room'!$B$2),ROUND(MAX(0,'Process'!BC426*'Control Room'!$H$14*INDEX('Control Room'!$B$19:$H$19,1,WEEKDAY($A426,2))*(1+'Control Room'!$D$9)^424*'Process'!BD426),2),"")</x:f>
      </x:c>
      <x:c r="N426" s="16" t="str">
        <x:f>IF(AND(AND(425&lt;='Control Room'!$B$3,'Control Room'!$D$3="Ready"),12&lt;='Control Room'!$B$2),ROUND(MAX(0,'Process'!BH426*'Control Room'!$H$15*INDEX('Control Room'!$B$19:$H$19,1,WEEKDAY($A426,2))*(1+'Control Room'!$D$9)^424*'Process'!BI426),2),"")</x:f>
      </x:c>
    </x:row>
    <x:row r="427" ht="21" customHeight="1">
      <x:c r="A427" s="15" t="str">
        <x:f>IF(AND(426&lt;='Control Room'!$B$3,'Control Room'!$D$3="Ready"),'Process'!A427,"")</x:f>
      </x:c>
      <x:c r="B427" s="16" t="str">
        <x:f>IF(A427="","",SUM(C427:N427))</x:f>
      </x:c>
      <x:c r="C427" s="16" t="str">
        <x:f>IF(AND(AND(426&lt;='Control Room'!$B$3,'Control Room'!$D$3="Ready"),1&lt;='Control Room'!$B$2),ROUND(MAX(0,'Process'!E427*'Control Room'!$H$4*INDEX('Control Room'!$B$19:$H$19,1,WEEKDAY($A427,2))*(1+'Control Room'!$D$9)^425*'Process'!F427),2),"")</x:f>
      </x:c>
      <x:c r="D427" s="16" t="str">
        <x:f>IF(AND(AND(426&lt;='Control Room'!$B$3,'Control Room'!$D$3="Ready"),2&lt;='Control Room'!$B$2),ROUND(MAX(0,'Process'!J427*'Control Room'!$H$5*INDEX('Control Room'!$B$19:$H$19,1,WEEKDAY($A427,2))*(1+'Control Room'!$D$9)^425*'Process'!K427),2),"")</x:f>
      </x:c>
      <x:c r="E427" s="16" t="str">
        <x:f>IF(AND(AND(426&lt;='Control Room'!$B$3,'Control Room'!$D$3="Ready"),3&lt;='Control Room'!$B$2),ROUND(MAX(0,'Process'!O427*'Control Room'!$H$6*INDEX('Control Room'!$B$19:$H$19,1,WEEKDAY($A427,2))*(1+'Control Room'!$D$9)^425*'Process'!P427),2),"")</x:f>
      </x:c>
      <x:c r="F427" s="16" t="str">
        <x:f>IF(AND(AND(426&lt;='Control Room'!$B$3,'Control Room'!$D$3="Ready"),4&lt;='Control Room'!$B$2),ROUND(MAX(0,'Process'!T427*'Control Room'!$H$7*INDEX('Control Room'!$B$19:$H$19,1,WEEKDAY($A427,2))*(1+'Control Room'!$D$9)^425*'Process'!U427),2),"")</x:f>
      </x:c>
      <x:c r="G427" s="16" t="str">
        <x:f>IF(AND(AND(426&lt;='Control Room'!$B$3,'Control Room'!$D$3="Ready"),5&lt;='Control Room'!$B$2),ROUND(MAX(0,'Process'!Y427*'Control Room'!$H$8*INDEX('Control Room'!$B$19:$H$19,1,WEEKDAY($A427,2))*(1+'Control Room'!$D$9)^425*'Process'!Z427),2),"")</x:f>
      </x:c>
      <x:c r="H427" s="16" t="str">
        <x:f>IF(AND(AND(426&lt;='Control Room'!$B$3,'Control Room'!$D$3="Ready"),6&lt;='Control Room'!$B$2),ROUND(MAX(0,'Process'!AD427*'Control Room'!$H$9*INDEX('Control Room'!$B$19:$H$19,1,WEEKDAY($A427,2))*(1+'Control Room'!$D$9)^425*'Process'!AE427),2),"")</x:f>
      </x:c>
      <x:c r="I427" s="16" t="str">
        <x:f>IF(AND(AND(426&lt;='Control Room'!$B$3,'Control Room'!$D$3="Ready"),7&lt;='Control Room'!$B$2),ROUND(MAX(0,'Process'!AI427*'Control Room'!$H$10*INDEX('Control Room'!$B$19:$H$19,1,WEEKDAY($A427,2))*(1+'Control Room'!$D$9)^425*'Process'!AJ427),2),"")</x:f>
      </x:c>
      <x:c r="J427" s="16" t="str">
        <x:f>IF(AND(AND(426&lt;='Control Room'!$B$3,'Control Room'!$D$3="Ready"),8&lt;='Control Room'!$B$2),ROUND(MAX(0,'Process'!AN427*'Control Room'!$H$11*INDEX('Control Room'!$B$19:$H$19,1,WEEKDAY($A427,2))*(1+'Control Room'!$D$9)^425*'Process'!AO427),2),"")</x:f>
      </x:c>
      <x:c r="K427" s="16" t="str">
        <x:f>IF(AND(AND(426&lt;='Control Room'!$B$3,'Control Room'!$D$3="Ready"),9&lt;='Control Room'!$B$2),ROUND(MAX(0,'Process'!AS427*'Control Room'!$H$12*INDEX('Control Room'!$B$19:$H$19,1,WEEKDAY($A427,2))*(1+'Control Room'!$D$9)^425*'Process'!AT427),2),"")</x:f>
      </x:c>
      <x:c r="L427" s="16" t="str">
        <x:f>IF(AND(AND(426&lt;='Control Room'!$B$3,'Control Room'!$D$3="Ready"),10&lt;='Control Room'!$B$2),ROUND(MAX(0,'Process'!AX427*'Control Room'!$H$13*INDEX('Control Room'!$B$19:$H$19,1,WEEKDAY($A427,2))*(1+'Control Room'!$D$9)^425*'Process'!AY427),2),"")</x:f>
      </x:c>
      <x:c r="M427" s="16" t="str">
        <x:f>IF(AND(AND(426&lt;='Control Room'!$B$3,'Control Room'!$D$3="Ready"),11&lt;='Control Room'!$B$2),ROUND(MAX(0,'Process'!BC427*'Control Room'!$H$14*INDEX('Control Room'!$B$19:$H$19,1,WEEKDAY($A427,2))*(1+'Control Room'!$D$9)^425*'Process'!BD427),2),"")</x:f>
      </x:c>
      <x:c r="N427" s="16" t="str">
        <x:f>IF(AND(AND(426&lt;='Control Room'!$B$3,'Control Room'!$D$3="Ready"),12&lt;='Control Room'!$B$2),ROUND(MAX(0,'Process'!BH427*'Control Room'!$H$15*INDEX('Control Room'!$B$19:$H$19,1,WEEKDAY($A427,2))*(1+'Control Room'!$D$9)^425*'Process'!BI427),2),"")</x:f>
      </x:c>
    </x:row>
    <x:row r="428" ht="21" customHeight="1">
      <x:c r="A428" s="15" t="str">
        <x:f>IF(AND(427&lt;='Control Room'!$B$3,'Control Room'!$D$3="Ready"),'Process'!A428,"")</x:f>
      </x:c>
      <x:c r="B428" s="16" t="str">
        <x:f>IF(A428="","",SUM(C428:N428))</x:f>
      </x:c>
      <x:c r="C428" s="16" t="str">
        <x:f>IF(AND(AND(427&lt;='Control Room'!$B$3,'Control Room'!$D$3="Ready"),1&lt;='Control Room'!$B$2),ROUND(MAX(0,'Process'!E428*'Control Room'!$H$4*INDEX('Control Room'!$B$19:$H$19,1,WEEKDAY($A428,2))*(1+'Control Room'!$D$9)^426*'Process'!F428),2),"")</x:f>
      </x:c>
      <x:c r="D428" s="16" t="str">
        <x:f>IF(AND(AND(427&lt;='Control Room'!$B$3,'Control Room'!$D$3="Ready"),2&lt;='Control Room'!$B$2),ROUND(MAX(0,'Process'!J428*'Control Room'!$H$5*INDEX('Control Room'!$B$19:$H$19,1,WEEKDAY($A428,2))*(1+'Control Room'!$D$9)^426*'Process'!K428),2),"")</x:f>
      </x:c>
      <x:c r="E428" s="16" t="str">
        <x:f>IF(AND(AND(427&lt;='Control Room'!$B$3,'Control Room'!$D$3="Ready"),3&lt;='Control Room'!$B$2),ROUND(MAX(0,'Process'!O428*'Control Room'!$H$6*INDEX('Control Room'!$B$19:$H$19,1,WEEKDAY($A428,2))*(1+'Control Room'!$D$9)^426*'Process'!P428),2),"")</x:f>
      </x:c>
      <x:c r="F428" s="16" t="str">
        <x:f>IF(AND(AND(427&lt;='Control Room'!$B$3,'Control Room'!$D$3="Ready"),4&lt;='Control Room'!$B$2),ROUND(MAX(0,'Process'!T428*'Control Room'!$H$7*INDEX('Control Room'!$B$19:$H$19,1,WEEKDAY($A428,2))*(1+'Control Room'!$D$9)^426*'Process'!U428),2),"")</x:f>
      </x:c>
      <x:c r="G428" s="16" t="str">
        <x:f>IF(AND(AND(427&lt;='Control Room'!$B$3,'Control Room'!$D$3="Ready"),5&lt;='Control Room'!$B$2),ROUND(MAX(0,'Process'!Y428*'Control Room'!$H$8*INDEX('Control Room'!$B$19:$H$19,1,WEEKDAY($A428,2))*(1+'Control Room'!$D$9)^426*'Process'!Z428),2),"")</x:f>
      </x:c>
      <x:c r="H428" s="16" t="str">
        <x:f>IF(AND(AND(427&lt;='Control Room'!$B$3,'Control Room'!$D$3="Ready"),6&lt;='Control Room'!$B$2),ROUND(MAX(0,'Process'!AD428*'Control Room'!$H$9*INDEX('Control Room'!$B$19:$H$19,1,WEEKDAY($A428,2))*(1+'Control Room'!$D$9)^426*'Process'!AE428),2),"")</x:f>
      </x:c>
      <x:c r="I428" s="16" t="str">
        <x:f>IF(AND(AND(427&lt;='Control Room'!$B$3,'Control Room'!$D$3="Ready"),7&lt;='Control Room'!$B$2),ROUND(MAX(0,'Process'!AI428*'Control Room'!$H$10*INDEX('Control Room'!$B$19:$H$19,1,WEEKDAY($A428,2))*(1+'Control Room'!$D$9)^426*'Process'!AJ428),2),"")</x:f>
      </x:c>
      <x:c r="J428" s="16" t="str">
        <x:f>IF(AND(AND(427&lt;='Control Room'!$B$3,'Control Room'!$D$3="Ready"),8&lt;='Control Room'!$B$2),ROUND(MAX(0,'Process'!AN428*'Control Room'!$H$11*INDEX('Control Room'!$B$19:$H$19,1,WEEKDAY($A428,2))*(1+'Control Room'!$D$9)^426*'Process'!AO428),2),"")</x:f>
      </x:c>
      <x:c r="K428" s="16" t="str">
        <x:f>IF(AND(AND(427&lt;='Control Room'!$B$3,'Control Room'!$D$3="Ready"),9&lt;='Control Room'!$B$2),ROUND(MAX(0,'Process'!AS428*'Control Room'!$H$12*INDEX('Control Room'!$B$19:$H$19,1,WEEKDAY($A428,2))*(1+'Control Room'!$D$9)^426*'Process'!AT428),2),"")</x:f>
      </x:c>
      <x:c r="L428" s="16" t="str">
        <x:f>IF(AND(AND(427&lt;='Control Room'!$B$3,'Control Room'!$D$3="Ready"),10&lt;='Control Room'!$B$2),ROUND(MAX(0,'Process'!AX428*'Control Room'!$H$13*INDEX('Control Room'!$B$19:$H$19,1,WEEKDAY($A428,2))*(1+'Control Room'!$D$9)^426*'Process'!AY428),2),"")</x:f>
      </x:c>
      <x:c r="M428" s="16" t="str">
        <x:f>IF(AND(AND(427&lt;='Control Room'!$B$3,'Control Room'!$D$3="Ready"),11&lt;='Control Room'!$B$2),ROUND(MAX(0,'Process'!BC428*'Control Room'!$H$14*INDEX('Control Room'!$B$19:$H$19,1,WEEKDAY($A428,2))*(1+'Control Room'!$D$9)^426*'Process'!BD428),2),"")</x:f>
      </x:c>
      <x:c r="N428" s="16" t="str">
        <x:f>IF(AND(AND(427&lt;='Control Room'!$B$3,'Control Room'!$D$3="Ready"),12&lt;='Control Room'!$B$2),ROUND(MAX(0,'Process'!BH428*'Control Room'!$H$15*INDEX('Control Room'!$B$19:$H$19,1,WEEKDAY($A428,2))*(1+'Control Room'!$D$9)^426*'Process'!BI428),2),"")</x:f>
      </x:c>
    </x:row>
    <x:row r="429" ht="21" customHeight="1">
      <x:c r="A429" s="15" t="str">
        <x:f>IF(AND(428&lt;='Control Room'!$B$3,'Control Room'!$D$3="Ready"),'Process'!A429,"")</x:f>
      </x:c>
      <x:c r="B429" s="16" t="str">
        <x:f>IF(A429="","",SUM(C429:N429))</x:f>
      </x:c>
      <x:c r="C429" s="16" t="str">
        <x:f>IF(AND(AND(428&lt;='Control Room'!$B$3,'Control Room'!$D$3="Ready"),1&lt;='Control Room'!$B$2),ROUND(MAX(0,'Process'!E429*'Control Room'!$H$4*INDEX('Control Room'!$B$19:$H$19,1,WEEKDAY($A429,2))*(1+'Control Room'!$D$9)^427*'Process'!F429),2),"")</x:f>
      </x:c>
      <x:c r="D429" s="16" t="str">
        <x:f>IF(AND(AND(428&lt;='Control Room'!$B$3,'Control Room'!$D$3="Ready"),2&lt;='Control Room'!$B$2),ROUND(MAX(0,'Process'!J429*'Control Room'!$H$5*INDEX('Control Room'!$B$19:$H$19,1,WEEKDAY($A429,2))*(1+'Control Room'!$D$9)^427*'Process'!K429),2),"")</x:f>
      </x:c>
      <x:c r="E429" s="16" t="str">
        <x:f>IF(AND(AND(428&lt;='Control Room'!$B$3,'Control Room'!$D$3="Ready"),3&lt;='Control Room'!$B$2),ROUND(MAX(0,'Process'!O429*'Control Room'!$H$6*INDEX('Control Room'!$B$19:$H$19,1,WEEKDAY($A429,2))*(1+'Control Room'!$D$9)^427*'Process'!P429),2),"")</x:f>
      </x:c>
      <x:c r="F429" s="16" t="str">
        <x:f>IF(AND(AND(428&lt;='Control Room'!$B$3,'Control Room'!$D$3="Ready"),4&lt;='Control Room'!$B$2),ROUND(MAX(0,'Process'!T429*'Control Room'!$H$7*INDEX('Control Room'!$B$19:$H$19,1,WEEKDAY($A429,2))*(1+'Control Room'!$D$9)^427*'Process'!U429),2),"")</x:f>
      </x:c>
      <x:c r="G429" s="16" t="str">
        <x:f>IF(AND(AND(428&lt;='Control Room'!$B$3,'Control Room'!$D$3="Ready"),5&lt;='Control Room'!$B$2),ROUND(MAX(0,'Process'!Y429*'Control Room'!$H$8*INDEX('Control Room'!$B$19:$H$19,1,WEEKDAY($A429,2))*(1+'Control Room'!$D$9)^427*'Process'!Z429),2),"")</x:f>
      </x:c>
      <x:c r="H429" s="16" t="str">
        <x:f>IF(AND(AND(428&lt;='Control Room'!$B$3,'Control Room'!$D$3="Ready"),6&lt;='Control Room'!$B$2),ROUND(MAX(0,'Process'!AD429*'Control Room'!$H$9*INDEX('Control Room'!$B$19:$H$19,1,WEEKDAY($A429,2))*(1+'Control Room'!$D$9)^427*'Process'!AE429),2),"")</x:f>
      </x:c>
      <x:c r="I429" s="16" t="str">
        <x:f>IF(AND(AND(428&lt;='Control Room'!$B$3,'Control Room'!$D$3="Ready"),7&lt;='Control Room'!$B$2),ROUND(MAX(0,'Process'!AI429*'Control Room'!$H$10*INDEX('Control Room'!$B$19:$H$19,1,WEEKDAY($A429,2))*(1+'Control Room'!$D$9)^427*'Process'!AJ429),2),"")</x:f>
      </x:c>
      <x:c r="J429" s="16" t="str">
        <x:f>IF(AND(AND(428&lt;='Control Room'!$B$3,'Control Room'!$D$3="Ready"),8&lt;='Control Room'!$B$2),ROUND(MAX(0,'Process'!AN429*'Control Room'!$H$11*INDEX('Control Room'!$B$19:$H$19,1,WEEKDAY($A429,2))*(1+'Control Room'!$D$9)^427*'Process'!AO429),2),"")</x:f>
      </x:c>
      <x:c r="K429" s="16" t="str">
        <x:f>IF(AND(AND(428&lt;='Control Room'!$B$3,'Control Room'!$D$3="Ready"),9&lt;='Control Room'!$B$2),ROUND(MAX(0,'Process'!AS429*'Control Room'!$H$12*INDEX('Control Room'!$B$19:$H$19,1,WEEKDAY($A429,2))*(1+'Control Room'!$D$9)^427*'Process'!AT429),2),"")</x:f>
      </x:c>
      <x:c r="L429" s="16" t="str">
        <x:f>IF(AND(AND(428&lt;='Control Room'!$B$3,'Control Room'!$D$3="Ready"),10&lt;='Control Room'!$B$2),ROUND(MAX(0,'Process'!AX429*'Control Room'!$H$13*INDEX('Control Room'!$B$19:$H$19,1,WEEKDAY($A429,2))*(1+'Control Room'!$D$9)^427*'Process'!AY429),2),"")</x:f>
      </x:c>
      <x:c r="M429" s="16" t="str">
        <x:f>IF(AND(AND(428&lt;='Control Room'!$B$3,'Control Room'!$D$3="Ready"),11&lt;='Control Room'!$B$2),ROUND(MAX(0,'Process'!BC429*'Control Room'!$H$14*INDEX('Control Room'!$B$19:$H$19,1,WEEKDAY($A429,2))*(1+'Control Room'!$D$9)^427*'Process'!BD429),2),"")</x:f>
      </x:c>
      <x:c r="N429" s="16" t="str">
        <x:f>IF(AND(AND(428&lt;='Control Room'!$B$3,'Control Room'!$D$3="Ready"),12&lt;='Control Room'!$B$2),ROUND(MAX(0,'Process'!BH429*'Control Room'!$H$15*INDEX('Control Room'!$B$19:$H$19,1,WEEKDAY($A429,2))*(1+'Control Room'!$D$9)^427*'Process'!BI429),2),"")</x:f>
      </x:c>
    </x:row>
    <x:row r="430" ht="21" customHeight="1">
      <x:c r="A430" s="15" t="str">
        <x:f>IF(AND(429&lt;='Control Room'!$B$3,'Control Room'!$D$3="Ready"),'Process'!A430,"")</x:f>
      </x:c>
      <x:c r="B430" s="16" t="str">
        <x:f>IF(A430="","",SUM(C430:N430))</x:f>
      </x:c>
      <x:c r="C430" s="16" t="str">
        <x:f>IF(AND(AND(429&lt;='Control Room'!$B$3,'Control Room'!$D$3="Ready"),1&lt;='Control Room'!$B$2),ROUND(MAX(0,'Process'!E430*'Control Room'!$H$4*INDEX('Control Room'!$B$19:$H$19,1,WEEKDAY($A430,2))*(1+'Control Room'!$D$9)^428*'Process'!F430),2),"")</x:f>
      </x:c>
      <x:c r="D430" s="16" t="str">
        <x:f>IF(AND(AND(429&lt;='Control Room'!$B$3,'Control Room'!$D$3="Ready"),2&lt;='Control Room'!$B$2),ROUND(MAX(0,'Process'!J430*'Control Room'!$H$5*INDEX('Control Room'!$B$19:$H$19,1,WEEKDAY($A430,2))*(1+'Control Room'!$D$9)^428*'Process'!K430),2),"")</x:f>
      </x:c>
      <x:c r="E430" s="16" t="str">
        <x:f>IF(AND(AND(429&lt;='Control Room'!$B$3,'Control Room'!$D$3="Ready"),3&lt;='Control Room'!$B$2),ROUND(MAX(0,'Process'!O430*'Control Room'!$H$6*INDEX('Control Room'!$B$19:$H$19,1,WEEKDAY($A430,2))*(1+'Control Room'!$D$9)^428*'Process'!P430),2),"")</x:f>
      </x:c>
      <x:c r="F430" s="16" t="str">
        <x:f>IF(AND(AND(429&lt;='Control Room'!$B$3,'Control Room'!$D$3="Ready"),4&lt;='Control Room'!$B$2),ROUND(MAX(0,'Process'!T430*'Control Room'!$H$7*INDEX('Control Room'!$B$19:$H$19,1,WEEKDAY($A430,2))*(1+'Control Room'!$D$9)^428*'Process'!U430),2),"")</x:f>
      </x:c>
      <x:c r="G430" s="16" t="str">
        <x:f>IF(AND(AND(429&lt;='Control Room'!$B$3,'Control Room'!$D$3="Ready"),5&lt;='Control Room'!$B$2),ROUND(MAX(0,'Process'!Y430*'Control Room'!$H$8*INDEX('Control Room'!$B$19:$H$19,1,WEEKDAY($A430,2))*(1+'Control Room'!$D$9)^428*'Process'!Z430),2),"")</x:f>
      </x:c>
      <x:c r="H430" s="16" t="str">
        <x:f>IF(AND(AND(429&lt;='Control Room'!$B$3,'Control Room'!$D$3="Ready"),6&lt;='Control Room'!$B$2),ROUND(MAX(0,'Process'!AD430*'Control Room'!$H$9*INDEX('Control Room'!$B$19:$H$19,1,WEEKDAY($A430,2))*(1+'Control Room'!$D$9)^428*'Process'!AE430),2),"")</x:f>
      </x:c>
      <x:c r="I430" s="16" t="str">
        <x:f>IF(AND(AND(429&lt;='Control Room'!$B$3,'Control Room'!$D$3="Ready"),7&lt;='Control Room'!$B$2),ROUND(MAX(0,'Process'!AI430*'Control Room'!$H$10*INDEX('Control Room'!$B$19:$H$19,1,WEEKDAY($A430,2))*(1+'Control Room'!$D$9)^428*'Process'!AJ430),2),"")</x:f>
      </x:c>
      <x:c r="J430" s="16" t="str">
        <x:f>IF(AND(AND(429&lt;='Control Room'!$B$3,'Control Room'!$D$3="Ready"),8&lt;='Control Room'!$B$2),ROUND(MAX(0,'Process'!AN430*'Control Room'!$H$11*INDEX('Control Room'!$B$19:$H$19,1,WEEKDAY($A430,2))*(1+'Control Room'!$D$9)^428*'Process'!AO430),2),"")</x:f>
      </x:c>
      <x:c r="K430" s="16" t="str">
        <x:f>IF(AND(AND(429&lt;='Control Room'!$B$3,'Control Room'!$D$3="Ready"),9&lt;='Control Room'!$B$2),ROUND(MAX(0,'Process'!AS430*'Control Room'!$H$12*INDEX('Control Room'!$B$19:$H$19,1,WEEKDAY($A430,2))*(1+'Control Room'!$D$9)^428*'Process'!AT430),2),"")</x:f>
      </x:c>
      <x:c r="L430" s="16" t="str">
        <x:f>IF(AND(AND(429&lt;='Control Room'!$B$3,'Control Room'!$D$3="Ready"),10&lt;='Control Room'!$B$2),ROUND(MAX(0,'Process'!AX430*'Control Room'!$H$13*INDEX('Control Room'!$B$19:$H$19,1,WEEKDAY($A430,2))*(1+'Control Room'!$D$9)^428*'Process'!AY430),2),"")</x:f>
      </x:c>
      <x:c r="M430" s="16" t="str">
        <x:f>IF(AND(AND(429&lt;='Control Room'!$B$3,'Control Room'!$D$3="Ready"),11&lt;='Control Room'!$B$2),ROUND(MAX(0,'Process'!BC430*'Control Room'!$H$14*INDEX('Control Room'!$B$19:$H$19,1,WEEKDAY($A430,2))*(1+'Control Room'!$D$9)^428*'Process'!BD430),2),"")</x:f>
      </x:c>
      <x:c r="N430" s="16" t="str">
        <x:f>IF(AND(AND(429&lt;='Control Room'!$B$3,'Control Room'!$D$3="Ready"),12&lt;='Control Room'!$B$2),ROUND(MAX(0,'Process'!BH430*'Control Room'!$H$15*INDEX('Control Room'!$B$19:$H$19,1,WEEKDAY($A430,2))*(1+'Control Room'!$D$9)^428*'Process'!BI430),2),"")</x:f>
      </x:c>
    </x:row>
    <x:row r="431" ht="21" customHeight="1">
      <x:c r="A431" s="15" t="str">
        <x:f>IF(AND(430&lt;='Control Room'!$B$3,'Control Room'!$D$3="Ready"),'Process'!A431,"")</x:f>
      </x:c>
      <x:c r="B431" s="16" t="str">
        <x:f>IF(A431="","",SUM(C431:N431))</x:f>
      </x:c>
      <x:c r="C431" s="16" t="str">
        <x:f>IF(AND(AND(430&lt;='Control Room'!$B$3,'Control Room'!$D$3="Ready"),1&lt;='Control Room'!$B$2),ROUND(MAX(0,'Process'!E431*'Control Room'!$H$4*INDEX('Control Room'!$B$19:$H$19,1,WEEKDAY($A431,2))*(1+'Control Room'!$D$9)^429*'Process'!F431),2),"")</x:f>
      </x:c>
      <x:c r="D431" s="16" t="str">
        <x:f>IF(AND(AND(430&lt;='Control Room'!$B$3,'Control Room'!$D$3="Ready"),2&lt;='Control Room'!$B$2),ROUND(MAX(0,'Process'!J431*'Control Room'!$H$5*INDEX('Control Room'!$B$19:$H$19,1,WEEKDAY($A431,2))*(1+'Control Room'!$D$9)^429*'Process'!K431),2),"")</x:f>
      </x:c>
      <x:c r="E431" s="16" t="str">
        <x:f>IF(AND(AND(430&lt;='Control Room'!$B$3,'Control Room'!$D$3="Ready"),3&lt;='Control Room'!$B$2),ROUND(MAX(0,'Process'!O431*'Control Room'!$H$6*INDEX('Control Room'!$B$19:$H$19,1,WEEKDAY($A431,2))*(1+'Control Room'!$D$9)^429*'Process'!P431),2),"")</x:f>
      </x:c>
      <x:c r="F431" s="16" t="str">
        <x:f>IF(AND(AND(430&lt;='Control Room'!$B$3,'Control Room'!$D$3="Ready"),4&lt;='Control Room'!$B$2),ROUND(MAX(0,'Process'!T431*'Control Room'!$H$7*INDEX('Control Room'!$B$19:$H$19,1,WEEKDAY($A431,2))*(1+'Control Room'!$D$9)^429*'Process'!U431),2),"")</x:f>
      </x:c>
      <x:c r="G431" s="16" t="str">
        <x:f>IF(AND(AND(430&lt;='Control Room'!$B$3,'Control Room'!$D$3="Ready"),5&lt;='Control Room'!$B$2),ROUND(MAX(0,'Process'!Y431*'Control Room'!$H$8*INDEX('Control Room'!$B$19:$H$19,1,WEEKDAY($A431,2))*(1+'Control Room'!$D$9)^429*'Process'!Z431),2),"")</x:f>
      </x:c>
      <x:c r="H431" s="16" t="str">
        <x:f>IF(AND(AND(430&lt;='Control Room'!$B$3,'Control Room'!$D$3="Ready"),6&lt;='Control Room'!$B$2),ROUND(MAX(0,'Process'!AD431*'Control Room'!$H$9*INDEX('Control Room'!$B$19:$H$19,1,WEEKDAY($A431,2))*(1+'Control Room'!$D$9)^429*'Process'!AE431),2),"")</x:f>
      </x:c>
      <x:c r="I431" s="16" t="str">
        <x:f>IF(AND(AND(430&lt;='Control Room'!$B$3,'Control Room'!$D$3="Ready"),7&lt;='Control Room'!$B$2),ROUND(MAX(0,'Process'!AI431*'Control Room'!$H$10*INDEX('Control Room'!$B$19:$H$19,1,WEEKDAY($A431,2))*(1+'Control Room'!$D$9)^429*'Process'!AJ431),2),"")</x:f>
      </x:c>
      <x:c r="J431" s="16" t="str">
        <x:f>IF(AND(AND(430&lt;='Control Room'!$B$3,'Control Room'!$D$3="Ready"),8&lt;='Control Room'!$B$2),ROUND(MAX(0,'Process'!AN431*'Control Room'!$H$11*INDEX('Control Room'!$B$19:$H$19,1,WEEKDAY($A431,2))*(1+'Control Room'!$D$9)^429*'Process'!AO431),2),"")</x:f>
      </x:c>
      <x:c r="K431" s="16" t="str">
        <x:f>IF(AND(AND(430&lt;='Control Room'!$B$3,'Control Room'!$D$3="Ready"),9&lt;='Control Room'!$B$2),ROUND(MAX(0,'Process'!AS431*'Control Room'!$H$12*INDEX('Control Room'!$B$19:$H$19,1,WEEKDAY($A431,2))*(1+'Control Room'!$D$9)^429*'Process'!AT431),2),"")</x:f>
      </x:c>
      <x:c r="L431" s="16" t="str">
        <x:f>IF(AND(AND(430&lt;='Control Room'!$B$3,'Control Room'!$D$3="Ready"),10&lt;='Control Room'!$B$2),ROUND(MAX(0,'Process'!AX431*'Control Room'!$H$13*INDEX('Control Room'!$B$19:$H$19,1,WEEKDAY($A431,2))*(1+'Control Room'!$D$9)^429*'Process'!AY431),2),"")</x:f>
      </x:c>
      <x:c r="M431" s="16" t="str">
        <x:f>IF(AND(AND(430&lt;='Control Room'!$B$3,'Control Room'!$D$3="Ready"),11&lt;='Control Room'!$B$2),ROUND(MAX(0,'Process'!BC431*'Control Room'!$H$14*INDEX('Control Room'!$B$19:$H$19,1,WEEKDAY($A431,2))*(1+'Control Room'!$D$9)^429*'Process'!BD431),2),"")</x:f>
      </x:c>
      <x:c r="N431" s="16" t="str">
        <x:f>IF(AND(AND(430&lt;='Control Room'!$B$3,'Control Room'!$D$3="Ready"),12&lt;='Control Room'!$B$2),ROUND(MAX(0,'Process'!BH431*'Control Room'!$H$15*INDEX('Control Room'!$B$19:$H$19,1,WEEKDAY($A431,2))*(1+'Control Room'!$D$9)^429*'Process'!BI431),2),"")</x:f>
      </x:c>
    </x:row>
    <x:row r="432" ht="21" customHeight="1">
      <x:c r="A432" s="15" t="str">
        <x:f>IF(AND(431&lt;='Control Room'!$B$3,'Control Room'!$D$3="Ready"),'Process'!A432,"")</x:f>
      </x:c>
      <x:c r="B432" s="16" t="str">
        <x:f>IF(A432="","",SUM(C432:N432))</x:f>
      </x:c>
      <x:c r="C432" s="16" t="str">
        <x:f>IF(AND(AND(431&lt;='Control Room'!$B$3,'Control Room'!$D$3="Ready"),1&lt;='Control Room'!$B$2),ROUND(MAX(0,'Process'!E432*'Control Room'!$H$4*INDEX('Control Room'!$B$19:$H$19,1,WEEKDAY($A432,2))*(1+'Control Room'!$D$9)^430*'Process'!F432),2),"")</x:f>
      </x:c>
      <x:c r="D432" s="16" t="str">
        <x:f>IF(AND(AND(431&lt;='Control Room'!$B$3,'Control Room'!$D$3="Ready"),2&lt;='Control Room'!$B$2),ROUND(MAX(0,'Process'!J432*'Control Room'!$H$5*INDEX('Control Room'!$B$19:$H$19,1,WEEKDAY($A432,2))*(1+'Control Room'!$D$9)^430*'Process'!K432),2),"")</x:f>
      </x:c>
      <x:c r="E432" s="16" t="str">
        <x:f>IF(AND(AND(431&lt;='Control Room'!$B$3,'Control Room'!$D$3="Ready"),3&lt;='Control Room'!$B$2),ROUND(MAX(0,'Process'!O432*'Control Room'!$H$6*INDEX('Control Room'!$B$19:$H$19,1,WEEKDAY($A432,2))*(1+'Control Room'!$D$9)^430*'Process'!P432),2),"")</x:f>
      </x:c>
      <x:c r="F432" s="16" t="str">
        <x:f>IF(AND(AND(431&lt;='Control Room'!$B$3,'Control Room'!$D$3="Ready"),4&lt;='Control Room'!$B$2),ROUND(MAX(0,'Process'!T432*'Control Room'!$H$7*INDEX('Control Room'!$B$19:$H$19,1,WEEKDAY($A432,2))*(1+'Control Room'!$D$9)^430*'Process'!U432),2),"")</x:f>
      </x:c>
      <x:c r="G432" s="16" t="str">
        <x:f>IF(AND(AND(431&lt;='Control Room'!$B$3,'Control Room'!$D$3="Ready"),5&lt;='Control Room'!$B$2),ROUND(MAX(0,'Process'!Y432*'Control Room'!$H$8*INDEX('Control Room'!$B$19:$H$19,1,WEEKDAY($A432,2))*(1+'Control Room'!$D$9)^430*'Process'!Z432),2),"")</x:f>
      </x:c>
      <x:c r="H432" s="16" t="str">
        <x:f>IF(AND(AND(431&lt;='Control Room'!$B$3,'Control Room'!$D$3="Ready"),6&lt;='Control Room'!$B$2),ROUND(MAX(0,'Process'!AD432*'Control Room'!$H$9*INDEX('Control Room'!$B$19:$H$19,1,WEEKDAY($A432,2))*(1+'Control Room'!$D$9)^430*'Process'!AE432),2),"")</x:f>
      </x:c>
      <x:c r="I432" s="16" t="str">
        <x:f>IF(AND(AND(431&lt;='Control Room'!$B$3,'Control Room'!$D$3="Ready"),7&lt;='Control Room'!$B$2),ROUND(MAX(0,'Process'!AI432*'Control Room'!$H$10*INDEX('Control Room'!$B$19:$H$19,1,WEEKDAY($A432,2))*(1+'Control Room'!$D$9)^430*'Process'!AJ432),2),"")</x:f>
      </x:c>
      <x:c r="J432" s="16" t="str">
        <x:f>IF(AND(AND(431&lt;='Control Room'!$B$3,'Control Room'!$D$3="Ready"),8&lt;='Control Room'!$B$2),ROUND(MAX(0,'Process'!AN432*'Control Room'!$H$11*INDEX('Control Room'!$B$19:$H$19,1,WEEKDAY($A432,2))*(1+'Control Room'!$D$9)^430*'Process'!AO432),2),"")</x:f>
      </x:c>
      <x:c r="K432" s="16" t="str">
        <x:f>IF(AND(AND(431&lt;='Control Room'!$B$3,'Control Room'!$D$3="Ready"),9&lt;='Control Room'!$B$2),ROUND(MAX(0,'Process'!AS432*'Control Room'!$H$12*INDEX('Control Room'!$B$19:$H$19,1,WEEKDAY($A432,2))*(1+'Control Room'!$D$9)^430*'Process'!AT432),2),"")</x:f>
      </x:c>
      <x:c r="L432" s="16" t="str">
        <x:f>IF(AND(AND(431&lt;='Control Room'!$B$3,'Control Room'!$D$3="Ready"),10&lt;='Control Room'!$B$2),ROUND(MAX(0,'Process'!AX432*'Control Room'!$H$13*INDEX('Control Room'!$B$19:$H$19,1,WEEKDAY($A432,2))*(1+'Control Room'!$D$9)^430*'Process'!AY432),2),"")</x:f>
      </x:c>
      <x:c r="M432" s="16" t="str">
        <x:f>IF(AND(AND(431&lt;='Control Room'!$B$3,'Control Room'!$D$3="Ready"),11&lt;='Control Room'!$B$2),ROUND(MAX(0,'Process'!BC432*'Control Room'!$H$14*INDEX('Control Room'!$B$19:$H$19,1,WEEKDAY($A432,2))*(1+'Control Room'!$D$9)^430*'Process'!BD432),2),"")</x:f>
      </x:c>
      <x:c r="N432" s="16" t="str">
        <x:f>IF(AND(AND(431&lt;='Control Room'!$B$3,'Control Room'!$D$3="Ready"),12&lt;='Control Room'!$B$2),ROUND(MAX(0,'Process'!BH432*'Control Room'!$H$15*INDEX('Control Room'!$B$19:$H$19,1,WEEKDAY($A432,2))*(1+'Control Room'!$D$9)^430*'Process'!BI432),2),"")</x:f>
      </x:c>
    </x:row>
    <x:row r="433" ht="21" customHeight="1">
      <x:c r="A433" s="15" t="str">
        <x:f>IF(AND(432&lt;='Control Room'!$B$3,'Control Room'!$D$3="Ready"),'Process'!A433,"")</x:f>
      </x:c>
      <x:c r="B433" s="16" t="str">
        <x:f>IF(A433="","",SUM(C433:N433))</x:f>
      </x:c>
      <x:c r="C433" s="16" t="str">
        <x:f>IF(AND(AND(432&lt;='Control Room'!$B$3,'Control Room'!$D$3="Ready"),1&lt;='Control Room'!$B$2),ROUND(MAX(0,'Process'!E433*'Control Room'!$H$4*INDEX('Control Room'!$B$19:$H$19,1,WEEKDAY($A433,2))*(1+'Control Room'!$D$9)^431*'Process'!F433),2),"")</x:f>
      </x:c>
      <x:c r="D433" s="16" t="str">
        <x:f>IF(AND(AND(432&lt;='Control Room'!$B$3,'Control Room'!$D$3="Ready"),2&lt;='Control Room'!$B$2),ROUND(MAX(0,'Process'!J433*'Control Room'!$H$5*INDEX('Control Room'!$B$19:$H$19,1,WEEKDAY($A433,2))*(1+'Control Room'!$D$9)^431*'Process'!K433),2),"")</x:f>
      </x:c>
      <x:c r="E433" s="16" t="str">
        <x:f>IF(AND(AND(432&lt;='Control Room'!$B$3,'Control Room'!$D$3="Ready"),3&lt;='Control Room'!$B$2),ROUND(MAX(0,'Process'!O433*'Control Room'!$H$6*INDEX('Control Room'!$B$19:$H$19,1,WEEKDAY($A433,2))*(1+'Control Room'!$D$9)^431*'Process'!P433),2),"")</x:f>
      </x:c>
      <x:c r="F433" s="16" t="str">
        <x:f>IF(AND(AND(432&lt;='Control Room'!$B$3,'Control Room'!$D$3="Ready"),4&lt;='Control Room'!$B$2),ROUND(MAX(0,'Process'!T433*'Control Room'!$H$7*INDEX('Control Room'!$B$19:$H$19,1,WEEKDAY($A433,2))*(1+'Control Room'!$D$9)^431*'Process'!U433),2),"")</x:f>
      </x:c>
      <x:c r="G433" s="16" t="str">
        <x:f>IF(AND(AND(432&lt;='Control Room'!$B$3,'Control Room'!$D$3="Ready"),5&lt;='Control Room'!$B$2),ROUND(MAX(0,'Process'!Y433*'Control Room'!$H$8*INDEX('Control Room'!$B$19:$H$19,1,WEEKDAY($A433,2))*(1+'Control Room'!$D$9)^431*'Process'!Z433),2),"")</x:f>
      </x:c>
      <x:c r="H433" s="16" t="str">
        <x:f>IF(AND(AND(432&lt;='Control Room'!$B$3,'Control Room'!$D$3="Ready"),6&lt;='Control Room'!$B$2),ROUND(MAX(0,'Process'!AD433*'Control Room'!$H$9*INDEX('Control Room'!$B$19:$H$19,1,WEEKDAY($A433,2))*(1+'Control Room'!$D$9)^431*'Process'!AE433),2),"")</x:f>
      </x:c>
      <x:c r="I433" s="16" t="str">
        <x:f>IF(AND(AND(432&lt;='Control Room'!$B$3,'Control Room'!$D$3="Ready"),7&lt;='Control Room'!$B$2),ROUND(MAX(0,'Process'!AI433*'Control Room'!$H$10*INDEX('Control Room'!$B$19:$H$19,1,WEEKDAY($A433,2))*(1+'Control Room'!$D$9)^431*'Process'!AJ433),2),"")</x:f>
      </x:c>
      <x:c r="J433" s="16" t="str">
        <x:f>IF(AND(AND(432&lt;='Control Room'!$B$3,'Control Room'!$D$3="Ready"),8&lt;='Control Room'!$B$2),ROUND(MAX(0,'Process'!AN433*'Control Room'!$H$11*INDEX('Control Room'!$B$19:$H$19,1,WEEKDAY($A433,2))*(1+'Control Room'!$D$9)^431*'Process'!AO433),2),"")</x:f>
      </x:c>
      <x:c r="K433" s="16" t="str">
        <x:f>IF(AND(AND(432&lt;='Control Room'!$B$3,'Control Room'!$D$3="Ready"),9&lt;='Control Room'!$B$2),ROUND(MAX(0,'Process'!AS433*'Control Room'!$H$12*INDEX('Control Room'!$B$19:$H$19,1,WEEKDAY($A433,2))*(1+'Control Room'!$D$9)^431*'Process'!AT433),2),"")</x:f>
      </x:c>
      <x:c r="L433" s="16" t="str">
        <x:f>IF(AND(AND(432&lt;='Control Room'!$B$3,'Control Room'!$D$3="Ready"),10&lt;='Control Room'!$B$2),ROUND(MAX(0,'Process'!AX433*'Control Room'!$H$13*INDEX('Control Room'!$B$19:$H$19,1,WEEKDAY($A433,2))*(1+'Control Room'!$D$9)^431*'Process'!AY433),2),"")</x:f>
      </x:c>
      <x:c r="M433" s="16" t="str">
        <x:f>IF(AND(AND(432&lt;='Control Room'!$B$3,'Control Room'!$D$3="Ready"),11&lt;='Control Room'!$B$2),ROUND(MAX(0,'Process'!BC433*'Control Room'!$H$14*INDEX('Control Room'!$B$19:$H$19,1,WEEKDAY($A433,2))*(1+'Control Room'!$D$9)^431*'Process'!BD433),2),"")</x:f>
      </x:c>
      <x:c r="N433" s="16" t="str">
        <x:f>IF(AND(AND(432&lt;='Control Room'!$B$3,'Control Room'!$D$3="Ready"),12&lt;='Control Room'!$B$2),ROUND(MAX(0,'Process'!BH433*'Control Room'!$H$15*INDEX('Control Room'!$B$19:$H$19,1,WEEKDAY($A433,2))*(1+'Control Room'!$D$9)^431*'Process'!BI433),2),"")</x:f>
      </x:c>
    </x:row>
    <x:row r="434" ht="21" customHeight="1">
      <x:c r="A434" s="15" t="str">
        <x:f>IF(AND(433&lt;='Control Room'!$B$3,'Control Room'!$D$3="Ready"),'Process'!A434,"")</x:f>
      </x:c>
      <x:c r="B434" s="16" t="str">
        <x:f>IF(A434="","",SUM(C434:N434))</x:f>
      </x:c>
      <x:c r="C434" s="16" t="str">
        <x:f>IF(AND(AND(433&lt;='Control Room'!$B$3,'Control Room'!$D$3="Ready"),1&lt;='Control Room'!$B$2),ROUND(MAX(0,'Process'!E434*'Control Room'!$H$4*INDEX('Control Room'!$B$19:$H$19,1,WEEKDAY($A434,2))*(1+'Control Room'!$D$9)^432*'Process'!F434),2),"")</x:f>
      </x:c>
      <x:c r="D434" s="16" t="str">
        <x:f>IF(AND(AND(433&lt;='Control Room'!$B$3,'Control Room'!$D$3="Ready"),2&lt;='Control Room'!$B$2),ROUND(MAX(0,'Process'!J434*'Control Room'!$H$5*INDEX('Control Room'!$B$19:$H$19,1,WEEKDAY($A434,2))*(1+'Control Room'!$D$9)^432*'Process'!K434),2),"")</x:f>
      </x:c>
      <x:c r="E434" s="16" t="str">
        <x:f>IF(AND(AND(433&lt;='Control Room'!$B$3,'Control Room'!$D$3="Ready"),3&lt;='Control Room'!$B$2),ROUND(MAX(0,'Process'!O434*'Control Room'!$H$6*INDEX('Control Room'!$B$19:$H$19,1,WEEKDAY($A434,2))*(1+'Control Room'!$D$9)^432*'Process'!P434),2),"")</x:f>
      </x:c>
      <x:c r="F434" s="16" t="str">
        <x:f>IF(AND(AND(433&lt;='Control Room'!$B$3,'Control Room'!$D$3="Ready"),4&lt;='Control Room'!$B$2),ROUND(MAX(0,'Process'!T434*'Control Room'!$H$7*INDEX('Control Room'!$B$19:$H$19,1,WEEKDAY($A434,2))*(1+'Control Room'!$D$9)^432*'Process'!U434),2),"")</x:f>
      </x:c>
      <x:c r="G434" s="16" t="str">
        <x:f>IF(AND(AND(433&lt;='Control Room'!$B$3,'Control Room'!$D$3="Ready"),5&lt;='Control Room'!$B$2),ROUND(MAX(0,'Process'!Y434*'Control Room'!$H$8*INDEX('Control Room'!$B$19:$H$19,1,WEEKDAY($A434,2))*(1+'Control Room'!$D$9)^432*'Process'!Z434),2),"")</x:f>
      </x:c>
      <x:c r="H434" s="16" t="str">
        <x:f>IF(AND(AND(433&lt;='Control Room'!$B$3,'Control Room'!$D$3="Ready"),6&lt;='Control Room'!$B$2),ROUND(MAX(0,'Process'!AD434*'Control Room'!$H$9*INDEX('Control Room'!$B$19:$H$19,1,WEEKDAY($A434,2))*(1+'Control Room'!$D$9)^432*'Process'!AE434),2),"")</x:f>
      </x:c>
      <x:c r="I434" s="16" t="str">
        <x:f>IF(AND(AND(433&lt;='Control Room'!$B$3,'Control Room'!$D$3="Ready"),7&lt;='Control Room'!$B$2),ROUND(MAX(0,'Process'!AI434*'Control Room'!$H$10*INDEX('Control Room'!$B$19:$H$19,1,WEEKDAY($A434,2))*(1+'Control Room'!$D$9)^432*'Process'!AJ434),2),"")</x:f>
      </x:c>
      <x:c r="J434" s="16" t="str">
        <x:f>IF(AND(AND(433&lt;='Control Room'!$B$3,'Control Room'!$D$3="Ready"),8&lt;='Control Room'!$B$2),ROUND(MAX(0,'Process'!AN434*'Control Room'!$H$11*INDEX('Control Room'!$B$19:$H$19,1,WEEKDAY($A434,2))*(1+'Control Room'!$D$9)^432*'Process'!AO434),2),"")</x:f>
      </x:c>
      <x:c r="K434" s="16" t="str">
        <x:f>IF(AND(AND(433&lt;='Control Room'!$B$3,'Control Room'!$D$3="Ready"),9&lt;='Control Room'!$B$2),ROUND(MAX(0,'Process'!AS434*'Control Room'!$H$12*INDEX('Control Room'!$B$19:$H$19,1,WEEKDAY($A434,2))*(1+'Control Room'!$D$9)^432*'Process'!AT434),2),"")</x:f>
      </x:c>
      <x:c r="L434" s="16" t="str">
        <x:f>IF(AND(AND(433&lt;='Control Room'!$B$3,'Control Room'!$D$3="Ready"),10&lt;='Control Room'!$B$2),ROUND(MAX(0,'Process'!AX434*'Control Room'!$H$13*INDEX('Control Room'!$B$19:$H$19,1,WEEKDAY($A434,2))*(1+'Control Room'!$D$9)^432*'Process'!AY434),2),"")</x:f>
      </x:c>
      <x:c r="M434" s="16" t="str">
        <x:f>IF(AND(AND(433&lt;='Control Room'!$B$3,'Control Room'!$D$3="Ready"),11&lt;='Control Room'!$B$2),ROUND(MAX(0,'Process'!BC434*'Control Room'!$H$14*INDEX('Control Room'!$B$19:$H$19,1,WEEKDAY($A434,2))*(1+'Control Room'!$D$9)^432*'Process'!BD434),2),"")</x:f>
      </x:c>
      <x:c r="N434" s="16" t="str">
        <x:f>IF(AND(AND(433&lt;='Control Room'!$B$3,'Control Room'!$D$3="Ready"),12&lt;='Control Room'!$B$2),ROUND(MAX(0,'Process'!BH434*'Control Room'!$H$15*INDEX('Control Room'!$B$19:$H$19,1,WEEKDAY($A434,2))*(1+'Control Room'!$D$9)^432*'Process'!BI434),2),"")</x:f>
      </x:c>
    </x:row>
    <x:row r="435" ht="21" customHeight="1">
      <x:c r="A435" s="15" t="str">
        <x:f>IF(AND(434&lt;='Control Room'!$B$3,'Control Room'!$D$3="Ready"),'Process'!A435,"")</x:f>
      </x:c>
      <x:c r="B435" s="16" t="str">
        <x:f>IF(A435="","",SUM(C435:N435))</x:f>
      </x:c>
      <x:c r="C435" s="16" t="str">
        <x:f>IF(AND(AND(434&lt;='Control Room'!$B$3,'Control Room'!$D$3="Ready"),1&lt;='Control Room'!$B$2),ROUND(MAX(0,'Process'!E435*'Control Room'!$H$4*INDEX('Control Room'!$B$19:$H$19,1,WEEKDAY($A435,2))*(1+'Control Room'!$D$9)^433*'Process'!F435),2),"")</x:f>
      </x:c>
      <x:c r="D435" s="16" t="str">
        <x:f>IF(AND(AND(434&lt;='Control Room'!$B$3,'Control Room'!$D$3="Ready"),2&lt;='Control Room'!$B$2),ROUND(MAX(0,'Process'!J435*'Control Room'!$H$5*INDEX('Control Room'!$B$19:$H$19,1,WEEKDAY($A435,2))*(1+'Control Room'!$D$9)^433*'Process'!K435),2),"")</x:f>
      </x:c>
      <x:c r="E435" s="16" t="str">
        <x:f>IF(AND(AND(434&lt;='Control Room'!$B$3,'Control Room'!$D$3="Ready"),3&lt;='Control Room'!$B$2),ROUND(MAX(0,'Process'!O435*'Control Room'!$H$6*INDEX('Control Room'!$B$19:$H$19,1,WEEKDAY($A435,2))*(1+'Control Room'!$D$9)^433*'Process'!P435),2),"")</x:f>
      </x:c>
      <x:c r="F435" s="16" t="str">
        <x:f>IF(AND(AND(434&lt;='Control Room'!$B$3,'Control Room'!$D$3="Ready"),4&lt;='Control Room'!$B$2),ROUND(MAX(0,'Process'!T435*'Control Room'!$H$7*INDEX('Control Room'!$B$19:$H$19,1,WEEKDAY($A435,2))*(1+'Control Room'!$D$9)^433*'Process'!U435),2),"")</x:f>
      </x:c>
      <x:c r="G435" s="16" t="str">
        <x:f>IF(AND(AND(434&lt;='Control Room'!$B$3,'Control Room'!$D$3="Ready"),5&lt;='Control Room'!$B$2),ROUND(MAX(0,'Process'!Y435*'Control Room'!$H$8*INDEX('Control Room'!$B$19:$H$19,1,WEEKDAY($A435,2))*(1+'Control Room'!$D$9)^433*'Process'!Z435),2),"")</x:f>
      </x:c>
      <x:c r="H435" s="16" t="str">
        <x:f>IF(AND(AND(434&lt;='Control Room'!$B$3,'Control Room'!$D$3="Ready"),6&lt;='Control Room'!$B$2),ROUND(MAX(0,'Process'!AD435*'Control Room'!$H$9*INDEX('Control Room'!$B$19:$H$19,1,WEEKDAY($A435,2))*(1+'Control Room'!$D$9)^433*'Process'!AE435),2),"")</x:f>
      </x:c>
      <x:c r="I435" s="16" t="str">
        <x:f>IF(AND(AND(434&lt;='Control Room'!$B$3,'Control Room'!$D$3="Ready"),7&lt;='Control Room'!$B$2),ROUND(MAX(0,'Process'!AI435*'Control Room'!$H$10*INDEX('Control Room'!$B$19:$H$19,1,WEEKDAY($A435,2))*(1+'Control Room'!$D$9)^433*'Process'!AJ435),2),"")</x:f>
      </x:c>
      <x:c r="J435" s="16" t="str">
        <x:f>IF(AND(AND(434&lt;='Control Room'!$B$3,'Control Room'!$D$3="Ready"),8&lt;='Control Room'!$B$2),ROUND(MAX(0,'Process'!AN435*'Control Room'!$H$11*INDEX('Control Room'!$B$19:$H$19,1,WEEKDAY($A435,2))*(1+'Control Room'!$D$9)^433*'Process'!AO435),2),"")</x:f>
      </x:c>
      <x:c r="K435" s="16" t="str">
        <x:f>IF(AND(AND(434&lt;='Control Room'!$B$3,'Control Room'!$D$3="Ready"),9&lt;='Control Room'!$B$2),ROUND(MAX(0,'Process'!AS435*'Control Room'!$H$12*INDEX('Control Room'!$B$19:$H$19,1,WEEKDAY($A435,2))*(1+'Control Room'!$D$9)^433*'Process'!AT435),2),"")</x:f>
      </x:c>
      <x:c r="L435" s="16" t="str">
        <x:f>IF(AND(AND(434&lt;='Control Room'!$B$3,'Control Room'!$D$3="Ready"),10&lt;='Control Room'!$B$2),ROUND(MAX(0,'Process'!AX435*'Control Room'!$H$13*INDEX('Control Room'!$B$19:$H$19,1,WEEKDAY($A435,2))*(1+'Control Room'!$D$9)^433*'Process'!AY435),2),"")</x:f>
      </x:c>
      <x:c r="M435" s="16" t="str">
        <x:f>IF(AND(AND(434&lt;='Control Room'!$B$3,'Control Room'!$D$3="Ready"),11&lt;='Control Room'!$B$2),ROUND(MAX(0,'Process'!BC435*'Control Room'!$H$14*INDEX('Control Room'!$B$19:$H$19,1,WEEKDAY($A435,2))*(1+'Control Room'!$D$9)^433*'Process'!BD435),2),"")</x:f>
      </x:c>
      <x:c r="N435" s="16" t="str">
        <x:f>IF(AND(AND(434&lt;='Control Room'!$B$3,'Control Room'!$D$3="Ready"),12&lt;='Control Room'!$B$2),ROUND(MAX(0,'Process'!BH435*'Control Room'!$H$15*INDEX('Control Room'!$B$19:$H$19,1,WEEKDAY($A435,2))*(1+'Control Room'!$D$9)^433*'Process'!BI435),2),"")</x:f>
      </x:c>
    </x:row>
    <x:row r="436" ht="21" customHeight="1">
      <x:c r="A436" s="15" t="str">
        <x:f>IF(AND(435&lt;='Control Room'!$B$3,'Control Room'!$D$3="Ready"),'Process'!A436,"")</x:f>
      </x:c>
      <x:c r="B436" s="16" t="str">
        <x:f>IF(A436="","",SUM(C436:N436))</x:f>
      </x:c>
      <x:c r="C436" s="16" t="str">
        <x:f>IF(AND(AND(435&lt;='Control Room'!$B$3,'Control Room'!$D$3="Ready"),1&lt;='Control Room'!$B$2),ROUND(MAX(0,'Process'!E436*'Control Room'!$H$4*INDEX('Control Room'!$B$19:$H$19,1,WEEKDAY($A436,2))*(1+'Control Room'!$D$9)^434*'Process'!F436),2),"")</x:f>
      </x:c>
      <x:c r="D436" s="16" t="str">
        <x:f>IF(AND(AND(435&lt;='Control Room'!$B$3,'Control Room'!$D$3="Ready"),2&lt;='Control Room'!$B$2),ROUND(MAX(0,'Process'!J436*'Control Room'!$H$5*INDEX('Control Room'!$B$19:$H$19,1,WEEKDAY($A436,2))*(1+'Control Room'!$D$9)^434*'Process'!K436),2),"")</x:f>
      </x:c>
      <x:c r="E436" s="16" t="str">
        <x:f>IF(AND(AND(435&lt;='Control Room'!$B$3,'Control Room'!$D$3="Ready"),3&lt;='Control Room'!$B$2),ROUND(MAX(0,'Process'!O436*'Control Room'!$H$6*INDEX('Control Room'!$B$19:$H$19,1,WEEKDAY($A436,2))*(1+'Control Room'!$D$9)^434*'Process'!P436),2),"")</x:f>
      </x:c>
      <x:c r="F436" s="16" t="str">
        <x:f>IF(AND(AND(435&lt;='Control Room'!$B$3,'Control Room'!$D$3="Ready"),4&lt;='Control Room'!$B$2),ROUND(MAX(0,'Process'!T436*'Control Room'!$H$7*INDEX('Control Room'!$B$19:$H$19,1,WEEKDAY($A436,2))*(1+'Control Room'!$D$9)^434*'Process'!U436),2),"")</x:f>
      </x:c>
      <x:c r="G436" s="16" t="str">
        <x:f>IF(AND(AND(435&lt;='Control Room'!$B$3,'Control Room'!$D$3="Ready"),5&lt;='Control Room'!$B$2),ROUND(MAX(0,'Process'!Y436*'Control Room'!$H$8*INDEX('Control Room'!$B$19:$H$19,1,WEEKDAY($A436,2))*(1+'Control Room'!$D$9)^434*'Process'!Z436),2),"")</x:f>
      </x:c>
      <x:c r="H436" s="16" t="str">
        <x:f>IF(AND(AND(435&lt;='Control Room'!$B$3,'Control Room'!$D$3="Ready"),6&lt;='Control Room'!$B$2),ROUND(MAX(0,'Process'!AD436*'Control Room'!$H$9*INDEX('Control Room'!$B$19:$H$19,1,WEEKDAY($A436,2))*(1+'Control Room'!$D$9)^434*'Process'!AE436),2),"")</x:f>
      </x:c>
      <x:c r="I436" s="16" t="str">
        <x:f>IF(AND(AND(435&lt;='Control Room'!$B$3,'Control Room'!$D$3="Ready"),7&lt;='Control Room'!$B$2),ROUND(MAX(0,'Process'!AI436*'Control Room'!$H$10*INDEX('Control Room'!$B$19:$H$19,1,WEEKDAY($A436,2))*(1+'Control Room'!$D$9)^434*'Process'!AJ436),2),"")</x:f>
      </x:c>
      <x:c r="J436" s="16" t="str">
        <x:f>IF(AND(AND(435&lt;='Control Room'!$B$3,'Control Room'!$D$3="Ready"),8&lt;='Control Room'!$B$2),ROUND(MAX(0,'Process'!AN436*'Control Room'!$H$11*INDEX('Control Room'!$B$19:$H$19,1,WEEKDAY($A436,2))*(1+'Control Room'!$D$9)^434*'Process'!AO436),2),"")</x:f>
      </x:c>
      <x:c r="K436" s="16" t="str">
        <x:f>IF(AND(AND(435&lt;='Control Room'!$B$3,'Control Room'!$D$3="Ready"),9&lt;='Control Room'!$B$2),ROUND(MAX(0,'Process'!AS436*'Control Room'!$H$12*INDEX('Control Room'!$B$19:$H$19,1,WEEKDAY($A436,2))*(1+'Control Room'!$D$9)^434*'Process'!AT436),2),"")</x:f>
      </x:c>
      <x:c r="L436" s="16" t="str">
        <x:f>IF(AND(AND(435&lt;='Control Room'!$B$3,'Control Room'!$D$3="Ready"),10&lt;='Control Room'!$B$2),ROUND(MAX(0,'Process'!AX436*'Control Room'!$H$13*INDEX('Control Room'!$B$19:$H$19,1,WEEKDAY($A436,2))*(1+'Control Room'!$D$9)^434*'Process'!AY436),2),"")</x:f>
      </x:c>
      <x:c r="M436" s="16" t="str">
        <x:f>IF(AND(AND(435&lt;='Control Room'!$B$3,'Control Room'!$D$3="Ready"),11&lt;='Control Room'!$B$2),ROUND(MAX(0,'Process'!BC436*'Control Room'!$H$14*INDEX('Control Room'!$B$19:$H$19,1,WEEKDAY($A436,2))*(1+'Control Room'!$D$9)^434*'Process'!BD436),2),"")</x:f>
      </x:c>
      <x:c r="N436" s="16" t="str">
        <x:f>IF(AND(AND(435&lt;='Control Room'!$B$3,'Control Room'!$D$3="Ready"),12&lt;='Control Room'!$B$2),ROUND(MAX(0,'Process'!BH436*'Control Room'!$H$15*INDEX('Control Room'!$B$19:$H$19,1,WEEKDAY($A436,2))*(1+'Control Room'!$D$9)^434*'Process'!BI436),2),"")</x:f>
      </x:c>
    </x:row>
    <x:row r="437" ht="21" customHeight="1">
      <x:c r="A437" s="15" t="str">
        <x:f>IF(AND(436&lt;='Control Room'!$B$3,'Control Room'!$D$3="Ready"),'Process'!A437,"")</x:f>
      </x:c>
      <x:c r="B437" s="16" t="str">
        <x:f>IF(A437="","",SUM(C437:N437))</x:f>
      </x:c>
      <x:c r="C437" s="16" t="str">
        <x:f>IF(AND(AND(436&lt;='Control Room'!$B$3,'Control Room'!$D$3="Ready"),1&lt;='Control Room'!$B$2),ROUND(MAX(0,'Process'!E437*'Control Room'!$H$4*INDEX('Control Room'!$B$19:$H$19,1,WEEKDAY($A437,2))*(1+'Control Room'!$D$9)^435*'Process'!F437),2),"")</x:f>
      </x:c>
      <x:c r="D437" s="16" t="str">
        <x:f>IF(AND(AND(436&lt;='Control Room'!$B$3,'Control Room'!$D$3="Ready"),2&lt;='Control Room'!$B$2),ROUND(MAX(0,'Process'!J437*'Control Room'!$H$5*INDEX('Control Room'!$B$19:$H$19,1,WEEKDAY($A437,2))*(1+'Control Room'!$D$9)^435*'Process'!K437),2),"")</x:f>
      </x:c>
      <x:c r="E437" s="16" t="str">
        <x:f>IF(AND(AND(436&lt;='Control Room'!$B$3,'Control Room'!$D$3="Ready"),3&lt;='Control Room'!$B$2),ROUND(MAX(0,'Process'!O437*'Control Room'!$H$6*INDEX('Control Room'!$B$19:$H$19,1,WEEKDAY($A437,2))*(1+'Control Room'!$D$9)^435*'Process'!P437),2),"")</x:f>
      </x:c>
      <x:c r="F437" s="16" t="str">
        <x:f>IF(AND(AND(436&lt;='Control Room'!$B$3,'Control Room'!$D$3="Ready"),4&lt;='Control Room'!$B$2),ROUND(MAX(0,'Process'!T437*'Control Room'!$H$7*INDEX('Control Room'!$B$19:$H$19,1,WEEKDAY($A437,2))*(1+'Control Room'!$D$9)^435*'Process'!U437),2),"")</x:f>
      </x:c>
      <x:c r="G437" s="16" t="str">
        <x:f>IF(AND(AND(436&lt;='Control Room'!$B$3,'Control Room'!$D$3="Ready"),5&lt;='Control Room'!$B$2),ROUND(MAX(0,'Process'!Y437*'Control Room'!$H$8*INDEX('Control Room'!$B$19:$H$19,1,WEEKDAY($A437,2))*(1+'Control Room'!$D$9)^435*'Process'!Z437),2),"")</x:f>
      </x:c>
      <x:c r="H437" s="16" t="str">
        <x:f>IF(AND(AND(436&lt;='Control Room'!$B$3,'Control Room'!$D$3="Ready"),6&lt;='Control Room'!$B$2),ROUND(MAX(0,'Process'!AD437*'Control Room'!$H$9*INDEX('Control Room'!$B$19:$H$19,1,WEEKDAY($A437,2))*(1+'Control Room'!$D$9)^435*'Process'!AE437),2),"")</x:f>
      </x:c>
      <x:c r="I437" s="16" t="str">
        <x:f>IF(AND(AND(436&lt;='Control Room'!$B$3,'Control Room'!$D$3="Ready"),7&lt;='Control Room'!$B$2),ROUND(MAX(0,'Process'!AI437*'Control Room'!$H$10*INDEX('Control Room'!$B$19:$H$19,1,WEEKDAY($A437,2))*(1+'Control Room'!$D$9)^435*'Process'!AJ437),2),"")</x:f>
      </x:c>
      <x:c r="J437" s="16" t="str">
        <x:f>IF(AND(AND(436&lt;='Control Room'!$B$3,'Control Room'!$D$3="Ready"),8&lt;='Control Room'!$B$2),ROUND(MAX(0,'Process'!AN437*'Control Room'!$H$11*INDEX('Control Room'!$B$19:$H$19,1,WEEKDAY($A437,2))*(1+'Control Room'!$D$9)^435*'Process'!AO437),2),"")</x:f>
      </x:c>
      <x:c r="K437" s="16" t="str">
        <x:f>IF(AND(AND(436&lt;='Control Room'!$B$3,'Control Room'!$D$3="Ready"),9&lt;='Control Room'!$B$2),ROUND(MAX(0,'Process'!AS437*'Control Room'!$H$12*INDEX('Control Room'!$B$19:$H$19,1,WEEKDAY($A437,2))*(1+'Control Room'!$D$9)^435*'Process'!AT437),2),"")</x:f>
      </x:c>
      <x:c r="L437" s="16" t="str">
        <x:f>IF(AND(AND(436&lt;='Control Room'!$B$3,'Control Room'!$D$3="Ready"),10&lt;='Control Room'!$B$2),ROUND(MAX(0,'Process'!AX437*'Control Room'!$H$13*INDEX('Control Room'!$B$19:$H$19,1,WEEKDAY($A437,2))*(1+'Control Room'!$D$9)^435*'Process'!AY437),2),"")</x:f>
      </x:c>
      <x:c r="M437" s="16" t="str">
        <x:f>IF(AND(AND(436&lt;='Control Room'!$B$3,'Control Room'!$D$3="Ready"),11&lt;='Control Room'!$B$2),ROUND(MAX(0,'Process'!BC437*'Control Room'!$H$14*INDEX('Control Room'!$B$19:$H$19,1,WEEKDAY($A437,2))*(1+'Control Room'!$D$9)^435*'Process'!BD437),2),"")</x:f>
      </x:c>
      <x:c r="N437" s="16" t="str">
        <x:f>IF(AND(AND(436&lt;='Control Room'!$B$3,'Control Room'!$D$3="Ready"),12&lt;='Control Room'!$B$2),ROUND(MAX(0,'Process'!BH437*'Control Room'!$H$15*INDEX('Control Room'!$B$19:$H$19,1,WEEKDAY($A437,2))*(1+'Control Room'!$D$9)^435*'Process'!BI437),2),"")</x:f>
      </x:c>
    </x:row>
    <x:row r="438" ht="21" customHeight="1">
      <x:c r="A438" s="15" t="str">
        <x:f>IF(AND(437&lt;='Control Room'!$B$3,'Control Room'!$D$3="Ready"),'Process'!A438,"")</x:f>
      </x:c>
      <x:c r="B438" s="16" t="str">
        <x:f>IF(A438="","",SUM(C438:N438))</x:f>
      </x:c>
      <x:c r="C438" s="16" t="str">
        <x:f>IF(AND(AND(437&lt;='Control Room'!$B$3,'Control Room'!$D$3="Ready"),1&lt;='Control Room'!$B$2),ROUND(MAX(0,'Process'!E438*'Control Room'!$H$4*INDEX('Control Room'!$B$19:$H$19,1,WEEKDAY($A438,2))*(1+'Control Room'!$D$9)^436*'Process'!F438),2),"")</x:f>
      </x:c>
      <x:c r="D438" s="16" t="str">
        <x:f>IF(AND(AND(437&lt;='Control Room'!$B$3,'Control Room'!$D$3="Ready"),2&lt;='Control Room'!$B$2),ROUND(MAX(0,'Process'!J438*'Control Room'!$H$5*INDEX('Control Room'!$B$19:$H$19,1,WEEKDAY($A438,2))*(1+'Control Room'!$D$9)^436*'Process'!K438),2),"")</x:f>
      </x:c>
      <x:c r="E438" s="16" t="str">
        <x:f>IF(AND(AND(437&lt;='Control Room'!$B$3,'Control Room'!$D$3="Ready"),3&lt;='Control Room'!$B$2),ROUND(MAX(0,'Process'!O438*'Control Room'!$H$6*INDEX('Control Room'!$B$19:$H$19,1,WEEKDAY($A438,2))*(1+'Control Room'!$D$9)^436*'Process'!P438),2),"")</x:f>
      </x:c>
      <x:c r="F438" s="16" t="str">
        <x:f>IF(AND(AND(437&lt;='Control Room'!$B$3,'Control Room'!$D$3="Ready"),4&lt;='Control Room'!$B$2),ROUND(MAX(0,'Process'!T438*'Control Room'!$H$7*INDEX('Control Room'!$B$19:$H$19,1,WEEKDAY($A438,2))*(1+'Control Room'!$D$9)^436*'Process'!U438),2),"")</x:f>
      </x:c>
      <x:c r="G438" s="16" t="str">
        <x:f>IF(AND(AND(437&lt;='Control Room'!$B$3,'Control Room'!$D$3="Ready"),5&lt;='Control Room'!$B$2),ROUND(MAX(0,'Process'!Y438*'Control Room'!$H$8*INDEX('Control Room'!$B$19:$H$19,1,WEEKDAY($A438,2))*(1+'Control Room'!$D$9)^436*'Process'!Z438),2),"")</x:f>
      </x:c>
      <x:c r="H438" s="16" t="str">
        <x:f>IF(AND(AND(437&lt;='Control Room'!$B$3,'Control Room'!$D$3="Ready"),6&lt;='Control Room'!$B$2),ROUND(MAX(0,'Process'!AD438*'Control Room'!$H$9*INDEX('Control Room'!$B$19:$H$19,1,WEEKDAY($A438,2))*(1+'Control Room'!$D$9)^436*'Process'!AE438),2),"")</x:f>
      </x:c>
      <x:c r="I438" s="16" t="str">
        <x:f>IF(AND(AND(437&lt;='Control Room'!$B$3,'Control Room'!$D$3="Ready"),7&lt;='Control Room'!$B$2),ROUND(MAX(0,'Process'!AI438*'Control Room'!$H$10*INDEX('Control Room'!$B$19:$H$19,1,WEEKDAY($A438,2))*(1+'Control Room'!$D$9)^436*'Process'!AJ438),2),"")</x:f>
      </x:c>
      <x:c r="J438" s="16" t="str">
        <x:f>IF(AND(AND(437&lt;='Control Room'!$B$3,'Control Room'!$D$3="Ready"),8&lt;='Control Room'!$B$2),ROUND(MAX(0,'Process'!AN438*'Control Room'!$H$11*INDEX('Control Room'!$B$19:$H$19,1,WEEKDAY($A438,2))*(1+'Control Room'!$D$9)^436*'Process'!AO438),2),"")</x:f>
      </x:c>
      <x:c r="K438" s="16" t="str">
        <x:f>IF(AND(AND(437&lt;='Control Room'!$B$3,'Control Room'!$D$3="Ready"),9&lt;='Control Room'!$B$2),ROUND(MAX(0,'Process'!AS438*'Control Room'!$H$12*INDEX('Control Room'!$B$19:$H$19,1,WEEKDAY($A438,2))*(1+'Control Room'!$D$9)^436*'Process'!AT438),2),"")</x:f>
      </x:c>
      <x:c r="L438" s="16" t="str">
        <x:f>IF(AND(AND(437&lt;='Control Room'!$B$3,'Control Room'!$D$3="Ready"),10&lt;='Control Room'!$B$2),ROUND(MAX(0,'Process'!AX438*'Control Room'!$H$13*INDEX('Control Room'!$B$19:$H$19,1,WEEKDAY($A438,2))*(1+'Control Room'!$D$9)^436*'Process'!AY438),2),"")</x:f>
      </x:c>
      <x:c r="M438" s="16" t="str">
        <x:f>IF(AND(AND(437&lt;='Control Room'!$B$3,'Control Room'!$D$3="Ready"),11&lt;='Control Room'!$B$2),ROUND(MAX(0,'Process'!BC438*'Control Room'!$H$14*INDEX('Control Room'!$B$19:$H$19,1,WEEKDAY($A438,2))*(1+'Control Room'!$D$9)^436*'Process'!BD438),2),"")</x:f>
      </x:c>
      <x:c r="N438" s="16" t="str">
        <x:f>IF(AND(AND(437&lt;='Control Room'!$B$3,'Control Room'!$D$3="Ready"),12&lt;='Control Room'!$B$2),ROUND(MAX(0,'Process'!BH438*'Control Room'!$H$15*INDEX('Control Room'!$B$19:$H$19,1,WEEKDAY($A438,2))*(1+'Control Room'!$D$9)^436*'Process'!BI438),2),"")</x:f>
      </x:c>
    </x:row>
    <x:row r="439" ht="21" customHeight="1">
      <x:c r="A439" s="15" t="str">
        <x:f>IF(AND(438&lt;='Control Room'!$B$3,'Control Room'!$D$3="Ready"),'Process'!A439,"")</x:f>
      </x:c>
      <x:c r="B439" s="16" t="str">
        <x:f>IF(A439="","",SUM(C439:N439))</x:f>
      </x:c>
      <x:c r="C439" s="16" t="str">
        <x:f>IF(AND(AND(438&lt;='Control Room'!$B$3,'Control Room'!$D$3="Ready"),1&lt;='Control Room'!$B$2),ROUND(MAX(0,'Process'!E439*'Control Room'!$H$4*INDEX('Control Room'!$B$19:$H$19,1,WEEKDAY($A439,2))*(1+'Control Room'!$D$9)^437*'Process'!F439),2),"")</x:f>
      </x:c>
      <x:c r="D439" s="16" t="str">
        <x:f>IF(AND(AND(438&lt;='Control Room'!$B$3,'Control Room'!$D$3="Ready"),2&lt;='Control Room'!$B$2),ROUND(MAX(0,'Process'!J439*'Control Room'!$H$5*INDEX('Control Room'!$B$19:$H$19,1,WEEKDAY($A439,2))*(1+'Control Room'!$D$9)^437*'Process'!K439),2),"")</x:f>
      </x:c>
      <x:c r="E439" s="16" t="str">
        <x:f>IF(AND(AND(438&lt;='Control Room'!$B$3,'Control Room'!$D$3="Ready"),3&lt;='Control Room'!$B$2),ROUND(MAX(0,'Process'!O439*'Control Room'!$H$6*INDEX('Control Room'!$B$19:$H$19,1,WEEKDAY($A439,2))*(1+'Control Room'!$D$9)^437*'Process'!P439),2),"")</x:f>
      </x:c>
      <x:c r="F439" s="16" t="str">
        <x:f>IF(AND(AND(438&lt;='Control Room'!$B$3,'Control Room'!$D$3="Ready"),4&lt;='Control Room'!$B$2),ROUND(MAX(0,'Process'!T439*'Control Room'!$H$7*INDEX('Control Room'!$B$19:$H$19,1,WEEKDAY($A439,2))*(1+'Control Room'!$D$9)^437*'Process'!U439),2),"")</x:f>
      </x:c>
      <x:c r="G439" s="16" t="str">
        <x:f>IF(AND(AND(438&lt;='Control Room'!$B$3,'Control Room'!$D$3="Ready"),5&lt;='Control Room'!$B$2),ROUND(MAX(0,'Process'!Y439*'Control Room'!$H$8*INDEX('Control Room'!$B$19:$H$19,1,WEEKDAY($A439,2))*(1+'Control Room'!$D$9)^437*'Process'!Z439),2),"")</x:f>
      </x:c>
      <x:c r="H439" s="16" t="str">
        <x:f>IF(AND(AND(438&lt;='Control Room'!$B$3,'Control Room'!$D$3="Ready"),6&lt;='Control Room'!$B$2),ROUND(MAX(0,'Process'!AD439*'Control Room'!$H$9*INDEX('Control Room'!$B$19:$H$19,1,WEEKDAY($A439,2))*(1+'Control Room'!$D$9)^437*'Process'!AE439),2),"")</x:f>
      </x:c>
      <x:c r="I439" s="16" t="str">
        <x:f>IF(AND(AND(438&lt;='Control Room'!$B$3,'Control Room'!$D$3="Ready"),7&lt;='Control Room'!$B$2),ROUND(MAX(0,'Process'!AI439*'Control Room'!$H$10*INDEX('Control Room'!$B$19:$H$19,1,WEEKDAY($A439,2))*(1+'Control Room'!$D$9)^437*'Process'!AJ439),2),"")</x:f>
      </x:c>
      <x:c r="J439" s="16" t="str">
        <x:f>IF(AND(AND(438&lt;='Control Room'!$B$3,'Control Room'!$D$3="Ready"),8&lt;='Control Room'!$B$2),ROUND(MAX(0,'Process'!AN439*'Control Room'!$H$11*INDEX('Control Room'!$B$19:$H$19,1,WEEKDAY($A439,2))*(1+'Control Room'!$D$9)^437*'Process'!AO439),2),"")</x:f>
      </x:c>
      <x:c r="K439" s="16" t="str">
        <x:f>IF(AND(AND(438&lt;='Control Room'!$B$3,'Control Room'!$D$3="Ready"),9&lt;='Control Room'!$B$2),ROUND(MAX(0,'Process'!AS439*'Control Room'!$H$12*INDEX('Control Room'!$B$19:$H$19,1,WEEKDAY($A439,2))*(1+'Control Room'!$D$9)^437*'Process'!AT439),2),"")</x:f>
      </x:c>
      <x:c r="L439" s="16" t="str">
        <x:f>IF(AND(AND(438&lt;='Control Room'!$B$3,'Control Room'!$D$3="Ready"),10&lt;='Control Room'!$B$2),ROUND(MAX(0,'Process'!AX439*'Control Room'!$H$13*INDEX('Control Room'!$B$19:$H$19,1,WEEKDAY($A439,2))*(1+'Control Room'!$D$9)^437*'Process'!AY439),2),"")</x:f>
      </x:c>
      <x:c r="M439" s="16" t="str">
        <x:f>IF(AND(AND(438&lt;='Control Room'!$B$3,'Control Room'!$D$3="Ready"),11&lt;='Control Room'!$B$2),ROUND(MAX(0,'Process'!BC439*'Control Room'!$H$14*INDEX('Control Room'!$B$19:$H$19,1,WEEKDAY($A439,2))*(1+'Control Room'!$D$9)^437*'Process'!BD439),2),"")</x:f>
      </x:c>
      <x:c r="N439" s="16" t="str">
        <x:f>IF(AND(AND(438&lt;='Control Room'!$B$3,'Control Room'!$D$3="Ready"),12&lt;='Control Room'!$B$2),ROUND(MAX(0,'Process'!BH439*'Control Room'!$H$15*INDEX('Control Room'!$B$19:$H$19,1,WEEKDAY($A439,2))*(1+'Control Room'!$D$9)^437*'Process'!BI439),2),"")</x:f>
      </x:c>
    </x:row>
    <x:row r="440" ht="21" customHeight="1">
      <x:c r="A440" s="15" t="str">
        <x:f>IF(AND(439&lt;='Control Room'!$B$3,'Control Room'!$D$3="Ready"),'Process'!A440,"")</x:f>
      </x:c>
      <x:c r="B440" s="16" t="str">
        <x:f>IF(A440="","",SUM(C440:N440))</x:f>
      </x:c>
      <x:c r="C440" s="16" t="str">
        <x:f>IF(AND(AND(439&lt;='Control Room'!$B$3,'Control Room'!$D$3="Ready"),1&lt;='Control Room'!$B$2),ROUND(MAX(0,'Process'!E440*'Control Room'!$H$4*INDEX('Control Room'!$B$19:$H$19,1,WEEKDAY($A440,2))*(1+'Control Room'!$D$9)^438*'Process'!F440),2),"")</x:f>
      </x:c>
      <x:c r="D440" s="16" t="str">
        <x:f>IF(AND(AND(439&lt;='Control Room'!$B$3,'Control Room'!$D$3="Ready"),2&lt;='Control Room'!$B$2),ROUND(MAX(0,'Process'!J440*'Control Room'!$H$5*INDEX('Control Room'!$B$19:$H$19,1,WEEKDAY($A440,2))*(1+'Control Room'!$D$9)^438*'Process'!K440),2),"")</x:f>
      </x:c>
      <x:c r="E440" s="16" t="str">
        <x:f>IF(AND(AND(439&lt;='Control Room'!$B$3,'Control Room'!$D$3="Ready"),3&lt;='Control Room'!$B$2),ROUND(MAX(0,'Process'!O440*'Control Room'!$H$6*INDEX('Control Room'!$B$19:$H$19,1,WEEKDAY($A440,2))*(1+'Control Room'!$D$9)^438*'Process'!P440),2),"")</x:f>
      </x:c>
      <x:c r="F440" s="16" t="str">
        <x:f>IF(AND(AND(439&lt;='Control Room'!$B$3,'Control Room'!$D$3="Ready"),4&lt;='Control Room'!$B$2),ROUND(MAX(0,'Process'!T440*'Control Room'!$H$7*INDEX('Control Room'!$B$19:$H$19,1,WEEKDAY($A440,2))*(1+'Control Room'!$D$9)^438*'Process'!U440),2),"")</x:f>
      </x:c>
      <x:c r="G440" s="16" t="str">
        <x:f>IF(AND(AND(439&lt;='Control Room'!$B$3,'Control Room'!$D$3="Ready"),5&lt;='Control Room'!$B$2),ROUND(MAX(0,'Process'!Y440*'Control Room'!$H$8*INDEX('Control Room'!$B$19:$H$19,1,WEEKDAY($A440,2))*(1+'Control Room'!$D$9)^438*'Process'!Z440),2),"")</x:f>
      </x:c>
      <x:c r="H440" s="16" t="str">
        <x:f>IF(AND(AND(439&lt;='Control Room'!$B$3,'Control Room'!$D$3="Ready"),6&lt;='Control Room'!$B$2),ROUND(MAX(0,'Process'!AD440*'Control Room'!$H$9*INDEX('Control Room'!$B$19:$H$19,1,WEEKDAY($A440,2))*(1+'Control Room'!$D$9)^438*'Process'!AE440),2),"")</x:f>
      </x:c>
      <x:c r="I440" s="16" t="str">
        <x:f>IF(AND(AND(439&lt;='Control Room'!$B$3,'Control Room'!$D$3="Ready"),7&lt;='Control Room'!$B$2),ROUND(MAX(0,'Process'!AI440*'Control Room'!$H$10*INDEX('Control Room'!$B$19:$H$19,1,WEEKDAY($A440,2))*(1+'Control Room'!$D$9)^438*'Process'!AJ440),2),"")</x:f>
      </x:c>
      <x:c r="J440" s="16" t="str">
        <x:f>IF(AND(AND(439&lt;='Control Room'!$B$3,'Control Room'!$D$3="Ready"),8&lt;='Control Room'!$B$2),ROUND(MAX(0,'Process'!AN440*'Control Room'!$H$11*INDEX('Control Room'!$B$19:$H$19,1,WEEKDAY($A440,2))*(1+'Control Room'!$D$9)^438*'Process'!AO440),2),"")</x:f>
      </x:c>
      <x:c r="K440" s="16" t="str">
        <x:f>IF(AND(AND(439&lt;='Control Room'!$B$3,'Control Room'!$D$3="Ready"),9&lt;='Control Room'!$B$2),ROUND(MAX(0,'Process'!AS440*'Control Room'!$H$12*INDEX('Control Room'!$B$19:$H$19,1,WEEKDAY($A440,2))*(1+'Control Room'!$D$9)^438*'Process'!AT440),2),"")</x:f>
      </x:c>
      <x:c r="L440" s="16" t="str">
        <x:f>IF(AND(AND(439&lt;='Control Room'!$B$3,'Control Room'!$D$3="Ready"),10&lt;='Control Room'!$B$2),ROUND(MAX(0,'Process'!AX440*'Control Room'!$H$13*INDEX('Control Room'!$B$19:$H$19,1,WEEKDAY($A440,2))*(1+'Control Room'!$D$9)^438*'Process'!AY440),2),"")</x:f>
      </x:c>
      <x:c r="M440" s="16" t="str">
        <x:f>IF(AND(AND(439&lt;='Control Room'!$B$3,'Control Room'!$D$3="Ready"),11&lt;='Control Room'!$B$2),ROUND(MAX(0,'Process'!BC440*'Control Room'!$H$14*INDEX('Control Room'!$B$19:$H$19,1,WEEKDAY($A440,2))*(1+'Control Room'!$D$9)^438*'Process'!BD440),2),"")</x:f>
      </x:c>
      <x:c r="N440" s="16" t="str">
        <x:f>IF(AND(AND(439&lt;='Control Room'!$B$3,'Control Room'!$D$3="Ready"),12&lt;='Control Room'!$B$2),ROUND(MAX(0,'Process'!BH440*'Control Room'!$H$15*INDEX('Control Room'!$B$19:$H$19,1,WEEKDAY($A440,2))*(1+'Control Room'!$D$9)^438*'Process'!BI440),2),"")</x:f>
      </x:c>
    </x:row>
    <x:row r="441" ht="21" customHeight="1">
      <x:c r="A441" s="15" t="str">
        <x:f>IF(AND(440&lt;='Control Room'!$B$3,'Control Room'!$D$3="Ready"),'Process'!A441,"")</x:f>
      </x:c>
      <x:c r="B441" s="16" t="str">
        <x:f>IF(A441="","",SUM(C441:N441))</x:f>
      </x:c>
      <x:c r="C441" s="16" t="str">
        <x:f>IF(AND(AND(440&lt;='Control Room'!$B$3,'Control Room'!$D$3="Ready"),1&lt;='Control Room'!$B$2),ROUND(MAX(0,'Process'!E441*'Control Room'!$H$4*INDEX('Control Room'!$B$19:$H$19,1,WEEKDAY($A441,2))*(1+'Control Room'!$D$9)^439*'Process'!F441),2),"")</x:f>
      </x:c>
      <x:c r="D441" s="16" t="str">
        <x:f>IF(AND(AND(440&lt;='Control Room'!$B$3,'Control Room'!$D$3="Ready"),2&lt;='Control Room'!$B$2),ROUND(MAX(0,'Process'!J441*'Control Room'!$H$5*INDEX('Control Room'!$B$19:$H$19,1,WEEKDAY($A441,2))*(1+'Control Room'!$D$9)^439*'Process'!K441),2),"")</x:f>
      </x:c>
      <x:c r="E441" s="16" t="str">
        <x:f>IF(AND(AND(440&lt;='Control Room'!$B$3,'Control Room'!$D$3="Ready"),3&lt;='Control Room'!$B$2),ROUND(MAX(0,'Process'!O441*'Control Room'!$H$6*INDEX('Control Room'!$B$19:$H$19,1,WEEKDAY($A441,2))*(1+'Control Room'!$D$9)^439*'Process'!P441),2),"")</x:f>
      </x:c>
      <x:c r="F441" s="16" t="str">
        <x:f>IF(AND(AND(440&lt;='Control Room'!$B$3,'Control Room'!$D$3="Ready"),4&lt;='Control Room'!$B$2),ROUND(MAX(0,'Process'!T441*'Control Room'!$H$7*INDEX('Control Room'!$B$19:$H$19,1,WEEKDAY($A441,2))*(1+'Control Room'!$D$9)^439*'Process'!U441),2),"")</x:f>
      </x:c>
      <x:c r="G441" s="16" t="str">
        <x:f>IF(AND(AND(440&lt;='Control Room'!$B$3,'Control Room'!$D$3="Ready"),5&lt;='Control Room'!$B$2),ROUND(MAX(0,'Process'!Y441*'Control Room'!$H$8*INDEX('Control Room'!$B$19:$H$19,1,WEEKDAY($A441,2))*(1+'Control Room'!$D$9)^439*'Process'!Z441),2),"")</x:f>
      </x:c>
      <x:c r="H441" s="16" t="str">
        <x:f>IF(AND(AND(440&lt;='Control Room'!$B$3,'Control Room'!$D$3="Ready"),6&lt;='Control Room'!$B$2),ROUND(MAX(0,'Process'!AD441*'Control Room'!$H$9*INDEX('Control Room'!$B$19:$H$19,1,WEEKDAY($A441,2))*(1+'Control Room'!$D$9)^439*'Process'!AE441),2),"")</x:f>
      </x:c>
      <x:c r="I441" s="16" t="str">
        <x:f>IF(AND(AND(440&lt;='Control Room'!$B$3,'Control Room'!$D$3="Ready"),7&lt;='Control Room'!$B$2),ROUND(MAX(0,'Process'!AI441*'Control Room'!$H$10*INDEX('Control Room'!$B$19:$H$19,1,WEEKDAY($A441,2))*(1+'Control Room'!$D$9)^439*'Process'!AJ441),2),"")</x:f>
      </x:c>
      <x:c r="J441" s="16" t="str">
        <x:f>IF(AND(AND(440&lt;='Control Room'!$B$3,'Control Room'!$D$3="Ready"),8&lt;='Control Room'!$B$2),ROUND(MAX(0,'Process'!AN441*'Control Room'!$H$11*INDEX('Control Room'!$B$19:$H$19,1,WEEKDAY($A441,2))*(1+'Control Room'!$D$9)^439*'Process'!AO441),2),"")</x:f>
      </x:c>
      <x:c r="K441" s="16" t="str">
        <x:f>IF(AND(AND(440&lt;='Control Room'!$B$3,'Control Room'!$D$3="Ready"),9&lt;='Control Room'!$B$2),ROUND(MAX(0,'Process'!AS441*'Control Room'!$H$12*INDEX('Control Room'!$B$19:$H$19,1,WEEKDAY($A441,2))*(1+'Control Room'!$D$9)^439*'Process'!AT441),2),"")</x:f>
      </x:c>
      <x:c r="L441" s="16" t="str">
        <x:f>IF(AND(AND(440&lt;='Control Room'!$B$3,'Control Room'!$D$3="Ready"),10&lt;='Control Room'!$B$2),ROUND(MAX(0,'Process'!AX441*'Control Room'!$H$13*INDEX('Control Room'!$B$19:$H$19,1,WEEKDAY($A441,2))*(1+'Control Room'!$D$9)^439*'Process'!AY441),2),"")</x:f>
      </x:c>
      <x:c r="M441" s="16" t="str">
        <x:f>IF(AND(AND(440&lt;='Control Room'!$B$3,'Control Room'!$D$3="Ready"),11&lt;='Control Room'!$B$2),ROUND(MAX(0,'Process'!BC441*'Control Room'!$H$14*INDEX('Control Room'!$B$19:$H$19,1,WEEKDAY($A441,2))*(1+'Control Room'!$D$9)^439*'Process'!BD441),2),"")</x:f>
      </x:c>
      <x:c r="N441" s="16" t="str">
        <x:f>IF(AND(AND(440&lt;='Control Room'!$B$3,'Control Room'!$D$3="Ready"),12&lt;='Control Room'!$B$2),ROUND(MAX(0,'Process'!BH441*'Control Room'!$H$15*INDEX('Control Room'!$B$19:$H$19,1,WEEKDAY($A441,2))*(1+'Control Room'!$D$9)^439*'Process'!BI441),2),"")</x:f>
      </x:c>
    </x:row>
    <x:row r="442" ht="21" customHeight="1">
      <x:c r="A442" s="15" t="str">
        <x:f>IF(AND(441&lt;='Control Room'!$B$3,'Control Room'!$D$3="Ready"),'Process'!A442,"")</x:f>
      </x:c>
      <x:c r="B442" s="16" t="str">
        <x:f>IF(A442="","",SUM(C442:N442))</x:f>
      </x:c>
      <x:c r="C442" s="16" t="str">
        <x:f>IF(AND(AND(441&lt;='Control Room'!$B$3,'Control Room'!$D$3="Ready"),1&lt;='Control Room'!$B$2),ROUND(MAX(0,'Process'!E442*'Control Room'!$H$4*INDEX('Control Room'!$B$19:$H$19,1,WEEKDAY($A442,2))*(1+'Control Room'!$D$9)^440*'Process'!F442),2),"")</x:f>
      </x:c>
      <x:c r="D442" s="16" t="str">
        <x:f>IF(AND(AND(441&lt;='Control Room'!$B$3,'Control Room'!$D$3="Ready"),2&lt;='Control Room'!$B$2),ROUND(MAX(0,'Process'!J442*'Control Room'!$H$5*INDEX('Control Room'!$B$19:$H$19,1,WEEKDAY($A442,2))*(1+'Control Room'!$D$9)^440*'Process'!K442),2),"")</x:f>
      </x:c>
      <x:c r="E442" s="16" t="str">
        <x:f>IF(AND(AND(441&lt;='Control Room'!$B$3,'Control Room'!$D$3="Ready"),3&lt;='Control Room'!$B$2),ROUND(MAX(0,'Process'!O442*'Control Room'!$H$6*INDEX('Control Room'!$B$19:$H$19,1,WEEKDAY($A442,2))*(1+'Control Room'!$D$9)^440*'Process'!P442),2),"")</x:f>
      </x:c>
      <x:c r="F442" s="16" t="str">
        <x:f>IF(AND(AND(441&lt;='Control Room'!$B$3,'Control Room'!$D$3="Ready"),4&lt;='Control Room'!$B$2),ROUND(MAX(0,'Process'!T442*'Control Room'!$H$7*INDEX('Control Room'!$B$19:$H$19,1,WEEKDAY($A442,2))*(1+'Control Room'!$D$9)^440*'Process'!U442),2),"")</x:f>
      </x:c>
      <x:c r="G442" s="16" t="str">
        <x:f>IF(AND(AND(441&lt;='Control Room'!$B$3,'Control Room'!$D$3="Ready"),5&lt;='Control Room'!$B$2),ROUND(MAX(0,'Process'!Y442*'Control Room'!$H$8*INDEX('Control Room'!$B$19:$H$19,1,WEEKDAY($A442,2))*(1+'Control Room'!$D$9)^440*'Process'!Z442),2),"")</x:f>
      </x:c>
      <x:c r="H442" s="16" t="str">
        <x:f>IF(AND(AND(441&lt;='Control Room'!$B$3,'Control Room'!$D$3="Ready"),6&lt;='Control Room'!$B$2),ROUND(MAX(0,'Process'!AD442*'Control Room'!$H$9*INDEX('Control Room'!$B$19:$H$19,1,WEEKDAY($A442,2))*(1+'Control Room'!$D$9)^440*'Process'!AE442),2),"")</x:f>
      </x:c>
      <x:c r="I442" s="16" t="str">
        <x:f>IF(AND(AND(441&lt;='Control Room'!$B$3,'Control Room'!$D$3="Ready"),7&lt;='Control Room'!$B$2),ROUND(MAX(0,'Process'!AI442*'Control Room'!$H$10*INDEX('Control Room'!$B$19:$H$19,1,WEEKDAY($A442,2))*(1+'Control Room'!$D$9)^440*'Process'!AJ442),2),"")</x:f>
      </x:c>
      <x:c r="J442" s="16" t="str">
        <x:f>IF(AND(AND(441&lt;='Control Room'!$B$3,'Control Room'!$D$3="Ready"),8&lt;='Control Room'!$B$2),ROUND(MAX(0,'Process'!AN442*'Control Room'!$H$11*INDEX('Control Room'!$B$19:$H$19,1,WEEKDAY($A442,2))*(1+'Control Room'!$D$9)^440*'Process'!AO442),2),"")</x:f>
      </x:c>
      <x:c r="K442" s="16" t="str">
        <x:f>IF(AND(AND(441&lt;='Control Room'!$B$3,'Control Room'!$D$3="Ready"),9&lt;='Control Room'!$B$2),ROUND(MAX(0,'Process'!AS442*'Control Room'!$H$12*INDEX('Control Room'!$B$19:$H$19,1,WEEKDAY($A442,2))*(1+'Control Room'!$D$9)^440*'Process'!AT442),2),"")</x:f>
      </x:c>
      <x:c r="L442" s="16" t="str">
        <x:f>IF(AND(AND(441&lt;='Control Room'!$B$3,'Control Room'!$D$3="Ready"),10&lt;='Control Room'!$B$2),ROUND(MAX(0,'Process'!AX442*'Control Room'!$H$13*INDEX('Control Room'!$B$19:$H$19,1,WEEKDAY($A442,2))*(1+'Control Room'!$D$9)^440*'Process'!AY442),2),"")</x:f>
      </x:c>
      <x:c r="M442" s="16" t="str">
        <x:f>IF(AND(AND(441&lt;='Control Room'!$B$3,'Control Room'!$D$3="Ready"),11&lt;='Control Room'!$B$2),ROUND(MAX(0,'Process'!BC442*'Control Room'!$H$14*INDEX('Control Room'!$B$19:$H$19,1,WEEKDAY($A442,2))*(1+'Control Room'!$D$9)^440*'Process'!BD442),2),"")</x:f>
      </x:c>
      <x:c r="N442" s="16" t="str">
        <x:f>IF(AND(AND(441&lt;='Control Room'!$B$3,'Control Room'!$D$3="Ready"),12&lt;='Control Room'!$B$2),ROUND(MAX(0,'Process'!BH442*'Control Room'!$H$15*INDEX('Control Room'!$B$19:$H$19,1,WEEKDAY($A442,2))*(1+'Control Room'!$D$9)^440*'Process'!BI442),2),"")</x:f>
      </x:c>
    </x:row>
    <x:row r="443" ht="21" customHeight="1">
      <x:c r="A443" s="15" t="str">
        <x:f>IF(AND(442&lt;='Control Room'!$B$3,'Control Room'!$D$3="Ready"),'Process'!A443,"")</x:f>
      </x:c>
      <x:c r="B443" s="16" t="str">
        <x:f>IF(A443="","",SUM(C443:N443))</x:f>
      </x:c>
      <x:c r="C443" s="16" t="str">
        <x:f>IF(AND(AND(442&lt;='Control Room'!$B$3,'Control Room'!$D$3="Ready"),1&lt;='Control Room'!$B$2),ROUND(MAX(0,'Process'!E443*'Control Room'!$H$4*INDEX('Control Room'!$B$19:$H$19,1,WEEKDAY($A443,2))*(1+'Control Room'!$D$9)^441*'Process'!F443),2),"")</x:f>
      </x:c>
      <x:c r="D443" s="16" t="str">
        <x:f>IF(AND(AND(442&lt;='Control Room'!$B$3,'Control Room'!$D$3="Ready"),2&lt;='Control Room'!$B$2),ROUND(MAX(0,'Process'!J443*'Control Room'!$H$5*INDEX('Control Room'!$B$19:$H$19,1,WEEKDAY($A443,2))*(1+'Control Room'!$D$9)^441*'Process'!K443),2),"")</x:f>
      </x:c>
      <x:c r="E443" s="16" t="str">
        <x:f>IF(AND(AND(442&lt;='Control Room'!$B$3,'Control Room'!$D$3="Ready"),3&lt;='Control Room'!$B$2),ROUND(MAX(0,'Process'!O443*'Control Room'!$H$6*INDEX('Control Room'!$B$19:$H$19,1,WEEKDAY($A443,2))*(1+'Control Room'!$D$9)^441*'Process'!P443),2),"")</x:f>
      </x:c>
      <x:c r="F443" s="16" t="str">
        <x:f>IF(AND(AND(442&lt;='Control Room'!$B$3,'Control Room'!$D$3="Ready"),4&lt;='Control Room'!$B$2),ROUND(MAX(0,'Process'!T443*'Control Room'!$H$7*INDEX('Control Room'!$B$19:$H$19,1,WEEKDAY($A443,2))*(1+'Control Room'!$D$9)^441*'Process'!U443),2),"")</x:f>
      </x:c>
      <x:c r="G443" s="16" t="str">
        <x:f>IF(AND(AND(442&lt;='Control Room'!$B$3,'Control Room'!$D$3="Ready"),5&lt;='Control Room'!$B$2),ROUND(MAX(0,'Process'!Y443*'Control Room'!$H$8*INDEX('Control Room'!$B$19:$H$19,1,WEEKDAY($A443,2))*(1+'Control Room'!$D$9)^441*'Process'!Z443),2),"")</x:f>
      </x:c>
      <x:c r="H443" s="16" t="str">
        <x:f>IF(AND(AND(442&lt;='Control Room'!$B$3,'Control Room'!$D$3="Ready"),6&lt;='Control Room'!$B$2),ROUND(MAX(0,'Process'!AD443*'Control Room'!$H$9*INDEX('Control Room'!$B$19:$H$19,1,WEEKDAY($A443,2))*(1+'Control Room'!$D$9)^441*'Process'!AE443),2),"")</x:f>
      </x:c>
      <x:c r="I443" s="16" t="str">
        <x:f>IF(AND(AND(442&lt;='Control Room'!$B$3,'Control Room'!$D$3="Ready"),7&lt;='Control Room'!$B$2),ROUND(MAX(0,'Process'!AI443*'Control Room'!$H$10*INDEX('Control Room'!$B$19:$H$19,1,WEEKDAY($A443,2))*(1+'Control Room'!$D$9)^441*'Process'!AJ443),2),"")</x:f>
      </x:c>
      <x:c r="J443" s="16" t="str">
        <x:f>IF(AND(AND(442&lt;='Control Room'!$B$3,'Control Room'!$D$3="Ready"),8&lt;='Control Room'!$B$2),ROUND(MAX(0,'Process'!AN443*'Control Room'!$H$11*INDEX('Control Room'!$B$19:$H$19,1,WEEKDAY($A443,2))*(1+'Control Room'!$D$9)^441*'Process'!AO443),2),"")</x:f>
      </x:c>
      <x:c r="K443" s="16" t="str">
        <x:f>IF(AND(AND(442&lt;='Control Room'!$B$3,'Control Room'!$D$3="Ready"),9&lt;='Control Room'!$B$2),ROUND(MAX(0,'Process'!AS443*'Control Room'!$H$12*INDEX('Control Room'!$B$19:$H$19,1,WEEKDAY($A443,2))*(1+'Control Room'!$D$9)^441*'Process'!AT443),2),"")</x:f>
      </x:c>
      <x:c r="L443" s="16" t="str">
        <x:f>IF(AND(AND(442&lt;='Control Room'!$B$3,'Control Room'!$D$3="Ready"),10&lt;='Control Room'!$B$2),ROUND(MAX(0,'Process'!AX443*'Control Room'!$H$13*INDEX('Control Room'!$B$19:$H$19,1,WEEKDAY($A443,2))*(1+'Control Room'!$D$9)^441*'Process'!AY443),2),"")</x:f>
      </x:c>
      <x:c r="M443" s="16" t="str">
        <x:f>IF(AND(AND(442&lt;='Control Room'!$B$3,'Control Room'!$D$3="Ready"),11&lt;='Control Room'!$B$2),ROUND(MAX(0,'Process'!BC443*'Control Room'!$H$14*INDEX('Control Room'!$B$19:$H$19,1,WEEKDAY($A443,2))*(1+'Control Room'!$D$9)^441*'Process'!BD443),2),"")</x:f>
      </x:c>
      <x:c r="N443" s="16" t="str">
        <x:f>IF(AND(AND(442&lt;='Control Room'!$B$3,'Control Room'!$D$3="Ready"),12&lt;='Control Room'!$B$2),ROUND(MAX(0,'Process'!BH443*'Control Room'!$H$15*INDEX('Control Room'!$B$19:$H$19,1,WEEKDAY($A443,2))*(1+'Control Room'!$D$9)^441*'Process'!BI443),2),"")</x:f>
      </x:c>
    </x:row>
    <x:row r="444" ht="21" customHeight="1">
      <x:c r="A444" s="15" t="str">
        <x:f>IF(AND(443&lt;='Control Room'!$B$3,'Control Room'!$D$3="Ready"),'Process'!A444,"")</x:f>
      </x:c>
      <x:c r="B444" s="16" t="str">
        <x:f>IF(A444="","",SUM(C444:N444))</x:f>
      </x:c>
      <x:c r="C444" s="16" t="str">
        <x:f>IF(AND(AND(443&lt;='Control Room'!$B$3,'Control Room'!$D$3="Ready"),1&lt;='Control Room'!$B$2),ROUND(MAX(0,'Process'!E444*'Control Room'!$H$4*INDEX('Control Room'!$B$19:$H$19,1,WEEKDAY($A444,2))*(1+'Control Room'!$D$9)^442*'Process'!F444),2),"")</x:f>
      </x:c>
      <x:c r="D444" s="16" t="str">
        <x:f>IF(AND(AND(443&lt;='Control Room'!$B$3,'Control Room'!$D$3="Ready"),2&lt;='Control Room'!$B$2),ROUND(MAX(0,'Process'!J444*'Control Room'!$H$5*INDEX('Control Room'!$B$19:$H$19,1,WEEKDAY($A444,2))*(1+'Control Room'!$D$9)^442*'Process'!K444),2),"")</x:f>
      </x:c>
      <x:c r="E444" s="16" t="str">
        <x:f>IF(AND(AND(443&lt;='Control Room'!$B$3,'Control Room'!$D$3="Ready"),3&lt;='Control Room'!$B$2),ROUND(MAX(0,'Process'!O444*'Control Room'!$H$6*INDEX('Control Room'!$B$19:$H$19,1,WEEKDAY($A444,2))*(1+'Control Room'!$D$9)^442*'Process'!P444),2),"")</x:f>
      </x:c>
      <x:c r="F444" s="16" t="str">
        <x:f>IF(AND(AND(443&lt;='Control Room'!$B$3,'Control Room'!$D$3="Ready"),4&lt;='Control Room'!$B$2),ROUND(MAX(0,'Process'!T444*'Control Room'!$H$7*INDEX('Control Room'!$B$19:$H$19,1,WEEKDAY($A444,2))*(1+'Control Room'!$D$9)^442*'Process'!U444),2),"")</x:f>
      </x:c>
      <x:c r="G444" s="16" t="str">
        <x:f>IF(AND(AND(443&lt;='Control Room'!$B$3,'Control Room'!$D$3="Ready"),5&lt;='Control Room'!$B$2),ROUND(MAX(0,'Process'!Y444*'Control Room'!$H$8*INDEX('Control Room'!$B$19:$H$19,1,WEEKDAY($A444,2))*(1+'Control Room'!$D$9)^442*'Process'!Z444),2),"")</x:f>
      </x:c>
      <x:c r="H444" s="16" t="str">
        <x:f>IF(AND(AND(443&lt;='Control Room'!$B$3,'Control Room'!$D$3="Ready"),6&lt;='Control Room'!$B$2),ROUND(MAX(0,'Process'!AD444*'Control Room'!$H$9*INDEX('Control Room'!$B$19:$H$19,1,WEEKDAY($A444,2))*(1+'Control Room'!$D$9)^442*'Process'!AE444),2),"")</x:f>
      </x:c>
      <x:c r="I444" s="16" t="str">
        <x:f>IF(AND(AND(443&lt;='Control Room'!$B$3,'Control Room'!$D$3="Ready"),7&lt;='Control Room'!$B$2),ROUND(MAX(0,'Process'!AI444*'Control Room'!$H$10*INDEX('Control Room'!$B$19:$H$19,1,WEEKDAY($A444,2))*(1+'Control Room'!$D$9)^442*'Process'!AJ444),2),"")</x:f>
      </x:c>
      <x:c r="J444" s="16" t="str">
        <x:f>IF(AND(AND(443&lt;='Control Room'!$B$3,'Control Room'!$D$3="Ready"),8&lt;='Control Room'!$B$2),ROUND(MAX(0,'Process'!AN444*'Control Room'!$H$11*INDEX('Control Room'!$B$19:$H$19,1,WEEKDAY($A444,2))*(1+'Control Room'!$D$9)^442*'Process'!AO444),2),"")</x:f>
      </x:c>
      <x:c r="K444" s="16" t="str">
        <x:f>IF(AND(AND(443&lt;='Control Room'!$B$3,'Control Room'!$D$3="Ready"),9&lt;='Control Room'!$B$2),ROUND(MAX(0,'Process'!AS444*'Control Room'!$H$12*INDEX('Control Room'!$B$19:$H$19,1,WEEKDAY($A444,2))*(1+'Control Room'!$D$9)^442*'Process'!AT444),2),"")</x:f>
      </x:c>
      <x:c r="L444" s="16" t="str">
        <x:f>IF(AND(AND(443&lt;='Control Room'!$B$3,'Control Room'!$D$3="Ready"),10&lt;='Control Room'!$B$2),ROUND(MAX(0,'Process'!AX444*'Control Room'!$H$13*INDEX('Control Room'!$B$19:$H$19,1,WEEKDAY($A444,2))*(1+'Control Room'!$D$9)^442*'Process'!AY444),2),"")</x:f>
      </x:c>
      <x:c r="M444" s="16" t="str">
        <x:f>IF(AND(AND(443&lt;='Control Room'!$B$3,'Control Room'!$D$3="Ready"),11&lt;='Control Room'!$B$2),ROUND(MAX(0,'Process'!BC444*'Control Room'!$H$14*INDEX('Control Room'!$B$19:$H$19,1,WEEKDAY($A444,2))*(1+'Control Room'!$D$9)^442*'Process'!BD444),2),"")</x:f>
      </x:c>
      <x:c r="N444" s="16" t="str">
        <x:f>IF(AND(AND(443&lt;='Control Room'!$B$3,'Control Room'!$D$3="Ready"),12&lt;='Control Room'!$B$2),ROUND(MAX(0,'Process'!BH444*'Control Room'!$H$15*INDEX('Control Room'!$B$19:$H$19,1,WEEKDAY($A444,2))*(1+'Control Room'!$D$9)^442*'Process'!BI444),2),"")</x:f>
      </x:c>
    </x:row>
    <x:row r="445" ht="21" customHeight="1">
      <x:c r="A445" s="15" t="str">
        <x:f>IF(AND(444&lt;='Control Room'!$B$3,'Control Room'!$D$3="Ready"),'Process'!A445,"")</x:f>
      </x:c>
      <x:c r="B445" s="16" t="str">
        <x:f>IF(A445="","",SUM(C445:N445))</x:f>
      </x:c>
      <x:c r="C445" s="16" t="str">
        <x:f>IF(AND(AND(444&lt;='Control Room'!$B$3,'Control Room'!$D$3="Ready"),1&lt;='Control Room'!$B$2),ROUND(MAX(0,'Process'!E445*'Control Room'!$H$4*INDEX('Control Room'!$B$19:$H$19,1,WEEKDAY($A445,2))*(1+'Control Room'!$D$9)^443*'Process'!F445),2),"")</x:f>
      </x:c>
      <x:c r="D445" s="16" t="str">
        <x:f>IF(AND(AND(444&lt;='Control Room'!$B$3,'Control Room'!$D$3="Ready"),2&lt;='Control Room'!$B$2),ROUND(MAX(0,'Process'!J445*'Control Room'!$H$5*INDEX('Control Room'!$B$19:$H$19,1,WEEKDAY($A445,2))*(1+'Control Room'!$D$9)^443*'Process'!K445),2),"")</x:f>
      </x:c>
      <x:c r="E445" s="16" t="str">
        <x:f>IF(AND(AND(444&lt;='Control Room'!$B$3,'Control Room'!$D$3="Ready"),3&lt;='Control Room'!$B$2),ROUND(MAX(0,'Process'!O445*'Control Room'!$H$6*INDEX('Control Room'!$B$19:$H$19,1,WEEKDAY($A445,2))*(1+'Control Room'!$D$9)^443*'Process'!P445),2),"")</x:f>
      </x:c>
      <x:c r="F445" s="16" t="str">
        <x:f>IF(AND(AND(444&lt;='Control Room'!$B$3,'Control Room'!$D$3="Ready"),4&lt;='Control Room'!$B$2),ROUND(MAX(0,'Process'!T445*'Control Room'!$H$7*INDEX('Control Room'!$B$19:$H$19,1,WEEKDAY($A445,2))*(1+'Control Room'!$D$9)^443*'Process'!U445),2),"")</x:f>
      </x:c>
      <x:c r="G445" s="16" t="str">
        <x:f>IF(AND(AND(444&lt;='Control Room'!$B$3,'Control Room'!$D$3="Ready"),5&lt;='Control Room'!$B$2),ROUND(MAX(0,'Process'!Y445*'Control Room'!$H$8*INDEX('Control Room'!$B$19:$H$19,1,WEEKDAY($A445,2))*(1+'Control Room'!$D$9)^443*'Process'!Z445),2),"")</x:f>
      </x:c>
      <x:c r="H445" s="16" t="str">
        <x:f>IF(AND(AND(444&lt;='Control Room'!$B$3,'Control Room'!$D$3="Ready"),6&lt;='Control Room'!$B$2),ROUND(MAX(0,'Process'!AD445*'Control Room'!$H$9*INDEX('Control Room'!$B$19:$H$19,1,WEEKDAY($A445,2))*(1+'Control Room'!$D$9)^443*'Process'!AE445),2),"")</x:f>
      </x:c>
      <x:c r="I445" s="16" t="str">
        <x:f>IF(AND(AND(444&lt;='Control Room'!$B$3,'Control Room'!$D$3="Ready"),7&lt;='Control Room'!$B$2),ROUND(MAX(0,'Process'!AI445*'Control Room'!$H$10*INDEX('Control Room'!$B$19:$H$19,1,WEEKDAY($A445,2))*(1+'Control Room'!$D$9)^443*'Process'!AJ445),2),"")</x:f>
      </x:c>
      <x:c r="J445" s="16" t="str">
        <x:f>IF(AND(AND(444&lt;='Control Room'!$B$3,'Control Room'!$D$3="Ready"),8&lt;='Control Room'!$B$2),ROUND(MAX(0,'Process'!AN445*'Control Room'!$H$11*INDEX('Control Room'!$B$19:$H$19,1,WEEKDAY($A445,2))*(1+'Control Room'!$D$9)^443*'Process'!AO445),2),"")</x:f>
      </x:c>
      <x:c r="K445" s="16" t="str">
        <x:f>IF(AND(AND(444&lt;='Control Room'!$B$3,'Control Room'!$D$3="Ready"),9&lt;='Control Room'!$B$2),ROUND(MAX(0,'Process'!AS445*'Control Room'!$H$12*INDEX('Control Room'!$B$19:$H$19,1,WEEKDAY($A445,2))*(1+'Control Room'!$D$9)^443*'Process'!AT445),2),"")</x:f>
      </x:c>
      <x:c r="L445" s="16" t="str">
        <x:f>IF(AND(AND(444&lt;='Control Room'!$B$3,'Control Room'!$D$3="Ready"),10&lt;='Control Room'!$B$2),ROUND(MAX(0,'Process'!AX445*'Control Room'!$H$13*INDEX('Control Room'!$B$19:$H$19,1,WEEKDAY($A445,2))*(1+'Control Room'!$D$9)^443*'Process'!AY445),2),"")</x:f>
      </x:c>
      <x:c r="M445" s="16" t="str">
        <x:f>IF(AND(AND(444&lt;='Control Room'!$B$3,'Control Room'!$D$3="Ready"),11&lt;='Control Room'!$B$2),ROUND(MAX(0,'Process'!BC445*'Control Room'!$H$14*INDEX('Control Room'!$B$19:$H$19,1,WEEKDAY($A445,2))*(1+'Control Room'!$D$9)^443*'Process'!BD445),2),"")</x:f>
      </x:c>
      <x:c r="N445" s="16" t="str">
        <x:f>IF(AND(AND(444&lt;='Control Room'!$B$3,'Control Room'!$D$3="Ready"),12&lt;='Control Room'!$B$2),ROUND(MAX(0,'Process'!BH445*'Control Room'!$H$15*INDEX('Control Room'!$B$19:$H$19,1,WEEKDAY($A445,2))*(1+'Control Room'!$D$9)^443*'Process'!BI445),2),"")</x:f>
      </x:c>
    </x:row>
    <x:row r="446" ht="21" customHeight="1">
      <x:c r="A446" s="15" t="str">
        <x:f>IF(AND(445&lt;='Control Room'!$B$3,'Control Room'!$D$3="Ready"),'Process'!A446,"")</x:f>
      </x:c>
      <x:c r="B446" s="16" t="str">
        <x:f>IF(A446="","",SUM(C446:N446))</x:f>
      </x:c>
      <x:c r="C446" s="16" t="str">
        <x:f>IF(AND(AND(445&lt;='Control Room'!$B$3,'Control Room'!$D$3="Ready"),1&lt;='Control Room'!$B$2),ROUND(MAX(0,'Process'!E446*'Control Room'!$H$4*INDEX('Control Room'!$B$19:$H$19,1,WEEKDAY($A446,2))*(1+'Control Room'!$D$9)^444*'Process'!F446),2),"")</x:f>
      </x:c>
      <x:c r="D446" s="16" t="str">
        <x:f>IF(AND(AND(445&lt;='Control Room'!$B$3,'Control Room'!$D$3="Ready"),2&lt;='Control Room'!$B$2),ROUND(MAX(0,'Process'!J446*'Control Room'!$H$5*INDEX('Control Room'!$B$19:$H$19,1,WEEKDAY($A446,2))*(1+'Control Room'!$D$9)^444*'Process'!K446),2),"")</x:f>
      </x:c>
      <x:c r="E446" s="16" t="str">
        <x:f>IF(AND(AND(445&lt;='Control Room'!$B$3,'Control Room'!$D$3="Ready"),3&lt;='Control Room'!$B$2),ROUND(MAX(0,'Process'!O446*'Control Room'!$H$6*INDEX('Control Room'!$B$19:$H$19,1,WEEKDAY($A446,2))*(1+'Control Room'!$D$9)^444*'Process'!P446),2),"")</x:f>
      </x:c>
      <x:c r="F446" s="16" t="str">
        <x:f>IF(AND(AND(445&lt;='Control Room'!$B$3,'Control Room'!$D$3="Ready"),4&lt;='Control Room'!$B$2),ROUND(MAX(0,'Process'!T446*'Control Room'!$H$7*INDEX('Control Room'!$B$19:$H$19,1,WEEKDAY($A446,2))*(1+'Control Room'!$D$9)^444*'Process'!U446),2),"")</x:f>
      </x:c>
      <x:c r="G446" s="16" t="str">
        <x:f>IF(AND(AND(445&lt;='Control Room'!$B$3,'Control Room'!$D$3="Ready"),5&lt;='Control Room'!$B$2),ROUND(MAX(0,'Process'!Y446*'Control Room'!$H$8*INDEX('Control Room'!$B$19:$H$19,1,WEEKDAY($A446,2))*(1+'Control Room'!$D$9)^444*'Process'!Z446),2),"")</x:f>
      </x:c>
      <x:c r="H446" s="16" t="str">
        <x:f>IF(AND(AND(445&lt;='Control Room'!$B$3,'Control Room'!$D$3="Ready"),6&lt;='Control Room'!$B$2),ROUND(MAX(0,'Process'!AD446*'Control Room'!$H$9*INDEX('Control Room'!$B$19:$H$19,1,WEEKDAY($A446,2))*(1+'Control Room'!$D$9)^444*'Process'!AE446),2),"")</x:f>
      </x:c>
      <x:c r="I446" s="16" t="str">
        <x:f>IF(AND(AND(445&lt;='Control Room'!$B$3,'Control Room'!$D$3="Ready"),7&lt;='Control Room'!$B$2),ROUND(MAX(0,'Process'!AI446*'Control Room'!$H$10*INDEX('Control Room'!$B$19:$H$19,1,WEEKDAY($A446,2))*(1+'Control Room'!$D$9)^444*'Process'!AJ446),2),"")</x:f>
      </x:c>
      <x:c r="J446" s="16" t="str">
        <x:f>IF(AND(AND(445&lt;='Control Room'!$B$3,'Control Room'!$D$3="Ready"),8&lt;='Control Room'!$B$2),ROUND(MAX(0,'Process'!AN446*'Control Room'!$H$11*INDEX('Control Room'!$B$19:$H$19,1,WEEKDAY($A446,2))*(1+'Control Room'!$D$9)^444*'Process'!AO446),2),"")</x:f>
      </x:c>
      <x:c r="K446" s="16" t="str">
        <x:f>IF(AND(AND(445&lt;='Control Room'!$B$3,'Control Room'!$D$3="Ready"),9&lt;='Control Room'!$B$2),ROUND(MAX(0,'Process'!AS446*'Control Room'!$H$12*INDEX('Control Room'!$B$19:$H$19,1,WEEKDAY($A446,2))*(1+'Control Room'!$D$9)^444*'Process'!AT446),2),"")</x:f>
      </x:c>
      <x:c r="L446" s="16" t="str">
        <x:f>IF(AND(AND(445&lt;='Control Room'!$B$3,'Control Room'!$D$3="Ready"),10&lt;='Control Room'!$B$2),ROUND(MAX(0,'Process'!AX446*'Control Room'!$H$13*INDEX('Control Room'!$B$19:$H$19,1,WEEKDAY($A446,2))*(1+'Control Room'!$D$9)^444*'Process'!AY446),2),"")</x:f>
      </x:c>
      <x:c r="M446" s="16" t="str">
        <x:f>IF(AND(AND(445&lt;='Control Room'!$B$3,'Control Room'!$D$3="Ready"),11&lt;='Control Room'!$B$2),ROUND(MAX(0,'Process'!BC446*'Control Room'!$H$14*INDEX('Control Room'!$B$19:$H$19,1,WEEKDAY($A446,2))*(1+'Control Room'!$D$9)^444*'Process'!BD446),2),"")</x:f>
      </x:c>
      <x:c r="N446" s="16" t="str">
        <x:f>IF(AND(AND(445&lt;='Control Room'!$B$3,'Control Room'!$D$3="Ready"),12&lt;='Control Room'!$B$2),ROUND(MAX(0,'Process'!BH446*'Control Room'!$H$15*INDEX('Control Room'!$B$19:$H$19,1,WEEKDAY($A446,2))*(1+'Control Room'!$D$9)^444*'Process'!BI446),2),"")</x:f>
      </x:c>
    </x:row>
    <x:row r="447" ht="21" customHeight="1">
      <x:c r="A447" s="15" t="str">
        <x:f>IF(AND(446&lt;='Control Room'!$B$3,'Control Room'!$D$3="Ready"),'Process'!A447,"")</x:f>
      </x:c>
      <x:c r="B447" s="16" t="str">
        <x:f>IF(A447="","",SUM(C447:N447))</x:f>
      </x:c>
      <x:c r="C447" s="16" t="str">
        <x:f>IF(AND(AND(446&lt;='Control Room'!$B$3,'Control Room'!$D$3="Ready"),1&lt;='Control Room'!$B$2),ROUND(MAX(0,'Process'!E447*'Control Room'!$H$4*INDEX('Control Room'!$B$19:$H$19,1,WEEKDAY($A447,2))*(1+'Control Room'!$D$9)^445*'Process'!F447),2),"")</x:f>
      </x:c>
      <x:c r="D447" s="16" t="str">
        <x:f>IF(AND(AND(446&lt;='Control Room'!$B$3,'Control Room'!$D$3="Ready"),2&lt;='Control Room'!$B$2),ROUND(MAX(0,'Process'!J447*'Control Room'!$H$5*INDEX('Control Room'!$B$19:$H$19,1,WEEKDAY($A447,2))*(1+'Control Room'!$D$9)^445*'Process'!K447),2),"")</x:f>
      </x:c>
      <x:c r="E447" s="16" t="str">
        <x:f>IF(AND(AND(446&lt;='Control Room'!$B$3,'Control Room'!$D$3="Ready"),3&lt;='Control Room'!$B$2),ROUND(MAX(0,'Process'!O447*'Control Room'!$H$6*INDEX('Control Room'!$B$19:$H$19,1,WEEKDAY($A447,2))*(1+'Control Room'!$D$9)^445*'Process'!P447),2),"")</x:f>
      </x:c>
      <x:c r="F447" s="16" t="str">
        <x:f>IF(AND(AND(446&lt;='Control Room'!$B$3,'Control Room'!$D$3="Ready"),4&lt;='Control Room'!$B$2),ROUND(MAX(0,'Process'!T447*'Control Room'!$H$7*INDEX('Control Room'!$B$19:$H$19,1,WEEKDAY($A447,2))*(1+'Control Room'!$D$9)^445*'Process'!U447),2),"")</x:f>
      </x:c>
      <x:c r="G447" s="16" t="str">
        <x:f>IF(AND(AND(446&lt;='Control Room'!$B$3,'Control Room'!$D$3="Ready"),5&lt;='Control Room'!$B$2),ROUND(MAX(0,'Process'!Y447*'Control Room'!$H$8*INDEX('Control Room'!$B$19:$H$19,1,WEEKDAY($A447,2))*(1+'Control Room'!$D$9)^445*'Process'!Z447),2),"")</x:f>
      </x:c>
      <x:c r="H447" s="16" t="str">
        <x:f>IF(AND(AND(446&lt;='Control Room'!$B$3,'Control Room'!$D$3="Ready"),6&lt;='Control Room'!$B$2),ROUND(MAX(0,'Process'!AD447*'Control Room'!$H$9*INDEX('Control Room'!$B$19:$H$19,1,WEEKDAY($A447,2))*(1+'Control Room'!$D$9)^445*'Process'!AE447),2),"")</x:f>
      </x:c>
      <x:c r="I447" s="16" t="str">
        <x:f>IF(AND(AND(446&lt;='Control Room'!$B$3,'Control Room'!$D$3="Ready"),7&lt;='Control Room'!$B$2),ROUND(MAX(0,'Process'!AI447*'Control Room'!$H$10*INDEX('Control Room'!$B$19:$H$19,1,WEEKDAY($A447,2))*(1+'Control Room'!$D$9)^445*'Process'!AJ447),2),"")</x:f>
      </x:c>
      <x:c r="J447" s="16" t="str">
        <x:f>IF(AND(AND(446&lt;='Control Room'!$B$3,'Control Room'!$D$3="Ready"),8&lt;='Control Room'!$B$2),ROUND(MAX(0,'Process'!AN447*'Control Room'!$H$11*INDEX('Control Room'!$B$19:$H$19,1,WEEKDAY($A447,2))*(1+'Control Room'!$D$9)^445*'Process'!AO447),2),"")</x:f>
      </x:c>
      <x:c r="K447" s="16" t="str">
        <x:f>IF(AND(AND(446&lt;='Control Room'!$B$3,'Control Room'!$D$3="Ready"),9&lt;='Control Room'!$B$2),ROUND(MAX(0,'Process'!AS447*'Control Room'!$H$12*INDEX('Control Room'!$B$19:$H$19,1,WEEKDAY($A447,2))*(1+'Control Room'!$D$9)^445*'Process'!AT447),2),"")</x:f>
      </x:c>
      <x:c r="L447" s="16" t="str">
        <x:f>IF(AND(AND(446&lt;='Control Room'!$B$3,'Control Room'!$D$3="Ready"),10&lt;='Control Room'!$B$2),ROUND(MAX(0,'Process'!AX447*'Control Room'!$H$13*INDEX('Control Room'!$B$19:$H$19,1,WEEKDAY($A447,2))*(1+'Control Room'!$D$9)^445*'Process'!AY447),2),"")</x:f>
      </x:c>
      <x:c r="M447" s="16" t="str">
        <x:f>IF(AND(AND(446&lt;='Control Room'!$B$3,'Control Room'!$D$3="Ready"),11&lt;='Control Room'!$B$2),ROUND(MAX(0,'Process'!BC447*'Control Room'!$H$14*INDEX('Control Room'!$B$19:$H$19,1,WEEKDAY($A447,2))*(1+'Control Room'!$D$9)^445*'Process'!BD447),2),"")</x:f>
      </x:c>
      <x:c r="N447" s="16" t="str">
        <x:f>IF(AND(AND(446&lt;='Control Room'!$B$3,'Control Room'!$D$3="Ready"),12&lt;='Control Room'!$B$2),ROUND(MAX(0,'Process'!BH447*'Control Room'!$H$15*INDEX('Control Room'!$B$19:$H$19,1,WEEKDAY($A447,2))*(1+'Control Room'!$D$9)^445*'Process'!BI447),2),"")</x:f>
      </x:c>
    </x:row>
    <x:row r="448" ht="21" customHeight="1">
      <x:c r="A448" s="15" t="str">
        <x:f>IF(AND(447&lt;='Control Room'!$B$3,'Control Room'!$D$3="Ready"),'Process'!A448,"")</x:f>
      </x:c>
      <x:c r="B448" s="16" t="str">
        <x:f>IF(A448="","",SUM(C448:N448))</x:f>
      </x:c>
      <x:c r="C448" s="16" t="str">
        <x:f>IF(AND(AND(447&lt;='Control Room'!$B$3,'Control Room'!$D$3="Ready"),1&lt;='Control Room'!$B$2),ROUND(MAX(0,'Process'!E448*'Control Room'!$H$4*INDEX('Control Room'!$B$19:$H$19,1,WEEKDAY($A448,2))*(1+'Control Room'!$D$9)^446*'Process'!F448),2),"")</x:f>
      </x:c>
      <x:c r="D448" s="16" t="str">
        <x:f>IF(AND(AND(447&lt;='Control Room'!$B$3,'Control Room'!$D$3="Ready"),2&lt;='Control Room'!$B$2),ROUND(MAX(0,'Process'!J448*'Control Room'!$H$5*INDEX('Control Room'!$B$19:$H$19,1,WEEKDAY($A448,2))*(1+'Control Room'!$D$9)^446*'Process'!K448),2),"")</x:f>
      </x:c>
      <x:c r="E448" s="16" t="str">
        <x:f>IF(AND(AND(447&lt;='Control Room'!$B$3,'Control Room'!$D$3="Ready"),3&lt;='Control Room'!$B$2),ROUND(MAX(0,'Process'!O448*'Control Room'!$H$6*INDEX('Control Room'!$B$19:$H$19,1,WEEKDAY($A448,2))*(1+'Control Room'!$D$9)^446*'Process'!P448),2),"")</x:f>
      </x:c>
      <x:c r="F448" s="16" t="str">
        <x:f>IF(AND(AND(447&lt;='Control Room'!$B$3,'Control Room'!$D$3="Ready"),4&lt;='Control Room'!$B$2),ROUND(MAX(0,'Process'!T448*'Control Room'!$H$7*INDEX('Control Room'!$B$19:$H$19,1,WEEKDAY($A448,2))*(1+'Control Room'!$D$9)^446*'Process'!U448),2),"")</x:f>
      </x:c>
      <x:c r="G448" s="16" t="str">
        <x:f>IF(AND(AND(447&lt;='Control Room'!$B$3,'Control Room'!$D$3="Ready"),5&lt;='Control Room'!$B$2),ROUND(MAX(0,'Process'!Y448*'Control Room'!$H$8*INDEX('Control Room'!$B$19:$H$19,1,WEEKDAY($A448,2))*(1+'Control Room'!$D$9)^446*'Process'!Z448),2),"")</x:f>
      </x:c>
      <x:c r="H448" s="16" t="str">
        <x:f>IF(AND(AND(447&lt;='Control Room'!$B$3,'Control Room'!$D$3="Ready"),6&lt;='Control Room'!$B$2),ROUND(MAX(0,'Process'!AD448*'Control Room'!$H$9*INDEX('Control Room'!$B$19:$H$19,1,WEEKDAY($A448,2))*(1+'Control Room'!$D$9)^446*'Process'!AE448),2),"")</x:f>
      </x:c>
      <x:c r="I448" s="16" t="str">
        <x:f>IF(AND(AND(447&lt;='Control Room'!$B$3,'Control Room'!$D$3="Ready"),7&lt;='Control Room'!$B$2),ROUND(MAX(0,'Process'!AI448*'Control Room'!$H$10*INDEX('Control Room'!$B$19:$H$19,1,WEEKDAY($A448,2))*(1+'Control Room'!$D$9)^446*'Process'!AJ448),2),"")</x:f>
      </x:c>
      <x:c r="J448" s="16" t="str">
        <x:f>IF(AND(AND(447&lt;='Control Room'!$B$3,'Control Room'!$D$3="Ready"),8&lt;='Control Room'!$B$2),ROUND(MAX(0,'Process'!AN448*'Control Room'!$H$11*INDEX('Control Room'!$B$19:$H$19,1,WEEKDAY($A448,2))*(1+'Control Room'!$D$9)^446*'Process'!AO448),2),"")</x:f>
      </x:c>
      <x:c r="K448" s="16" t="str">
        <x:f>IF(AND(AND(447&lt;='Control Room'!$B$3,'Control Room'!$D$3="Ready"),9&lt;='Control Room'!$B$2),ROUND(MAX(0,'Process'!AS448*'Control Room'!$H$12*INDEX('Control Room'!$B$19:$H$19,1,WEEKDAY($A448,2))*(1+'Control Room'!$D$9)^446*'Process'!AT448),2),"")</x:f>
      </x:c>
      <x:c r="L448" s="16" t="str">
        <x:f>IF(AND(AND(447&lt;='Control Room'!$B$3,'Control Room'!$D$3="Ready"),10&lt;='Control Room'!$B$2),ROUND(MAX(0,'Process'!AX448*'Control Room'!$H$13*INDEX('Control Room'!$B$19:$H$19,1,WEEKDAY($A448,2))*(1+'Control Room'!$D$9)^446*'Process'!AY448),2),"")</x:f>
      </x:c>
      <x:c r="M448" s="16" t="str">
        <x:f>IF(AND(AND(447&lt;='Control Room'!$B$3,'Control Room'!$D$3="Ready"),11&lt;='Control Room'!$B$2),ROUND(MAX(0,'Process'!BC448*'Control Room'!$H$14*INDEX('Control Room'!$B$19:$H$19,1,WEEKDAY($A448,2))*(1+'Control Room'!$D$9)^446*'Process'!BD448),2),"")</x:f>
      </x:c>
      <x:c r="N448" s="16" t="str">
        <x:f>IF(AND(AND(447&lt;='Control Room'!$B$3,'Control Room'!$D$3="Ready"),12&lt;='Control Room'!$B$2),ROUND(MAX(0,'Process'!BH448*'Control Room'!$H$15*INDEX('Control Room'!$B$19:$H$19,1,WEEKDAY($A448,2))*(1+'Control Room'!$D$9)^446*'Process'!BI448),2),"")</x:f>
      </x:c>
    </x:row>
    <x:row r="449" ht="21" customHeight="1">
      <x:c r="A449" s="15" t="str">
        <x:f>IF(AND(448&lt;='Control Room'!$B$3,'Control Room'!$D$3="Ready"),'Process'!A449,"")</x:f>
      </x:c>
      <x:c r="B449" s="16" t="str">
        <x:f>IF(A449="","",SUM(C449:N449))</x:f>
      </x:c>
      <x:c r="C449" s="16" t="str">
        <x:f>IF(AND(AND(448&lt;='Control Room'!$B$3,'Control Room'!$D$3="Ready"),1&lt;='Control Room'!$B$2),ROUND(MAX(0,'Process'!E449*'Control Room'!$H$4*INDEX('Control Room'!$B$19:$H$19,1,WEEKDAY($A449,2))*(1+'Control Room'!$D$9)^447*'Process'!F449),2),"")</x:f>
      </x:c>
      <x:c r="D449" s="16" t="str">
        <x:f>IF(AND(AND(448&lt;='Control Room'!$B$3,'Control Room'!$D$3="Ready"),2&lt;='Control Room'!$B$2),ROUND(MAX(0,'Process'!J449*'Control Room'!$H$5*INDEX('Control Room'!$B$19:$H$19,1,WEEKDAY($A449,2))*(1+'Control Room'!$D$9)^447*'Process'!K449),2),"")</x:f>
      </x:c>
      <x:c r="E449" s="16" t="str">
        <x:f>IF(AND(AND(448&lt;='Control Room'!$B$3,'Control Room'!$D$3="Ready"),3&lt;='Control Room'!$B$2),ROUND(MAX(0,'Process'!O449*'Control Room'!$H$6*INDEX('Control Room'!$B$19:$H$19,1,WEEKDAY($A449,2))*(1+'Control Room'!$D$9)^447*'Process'!P449),2),"")</x:f>
      </x:c>
      <x:c r="F449" s="16" t="str">
        <x:f>IF(AND(AND(448&lt;='Control Room'!$B$3,'Control Room'!$D$3="Ready"),4&lt;='Control Room'!$B$2),ROUND(MAX(0,'Process'!T449*'Control Room'!$H$7*INDEX('Control Room'!$B$19:$H$19,1,WEEKDAY($A449,2))*(1+'Control Room'!$D$9)^447*'Process'!U449),2),"")</x:f>
      </x:c>
      <x:c r="G449" s="16" t="str">
        <x:f>IF(AND(AND(448&lt;='Control Room'!$B$3,'Control Room'!$D$3="Ready"),5&lt;='Control Room'!$B$2),ROUND(MAX(0,'Process'!Y449*'Control Room'!$H$8*INDEX('Control Room'!$B$19:$H$19,1,WEEKDAY($A449,2))*(1+'Control Room'!$D$9)^447*'Process'!Z449),2),"")</x:f>
      </x:c>
      <x:c r="H449" s="16" t="str">
        <x:f>IF(AND(AND(448&lt;='Control Room'!$B$3,'Control Room'!$D$3="Ready"),6&lt;='Control Room'!$B$2),ROUND(MAX(0,'Process'!AD449*'Control Room'!$H$9*INDEX('Control Room'!$B$19:$H$19,1,WEEKDAY($A449,2))*(1+'Control Room'!$D$9)^447*'Process'!AE449),2),"")</x:f>
      </x:c>
      <x:c r="I449" s="16" t="str">
        <x:f>IF(AND(AND(448&lt;='Control Room'!$B$3,'Control Room'!$D$3="Ready"),7&lt;='Control Room'!$B$2),ROUND(MAX(0,'Process'!AI449*'Control Room'!$H$10*INDEX('Control Room'!$B$19:$H$19,1,WEEKDAY($A449,2))*(1+'Control Room'!$D$9)^447*'Process'!AJ449),2),"")</x:f>
      </x:c>
      <x:c r="J449" s="16" t="str">
        <x:f>IF(AND(AND(448&lt;='Control Room'!$B$3,'Control Room'!$D$3="Ready"),8&lt;='Control Room'!$B$2),ROUND(MAX(0,'Process'!AN449*'Control Room'!$H$11*INDEX('Control Room'!$B$19:$H$19,1,WEEKDAY($A449,2))*(1+'Control Room'!$D$9)^447*'Process'!AO449),2),"")</x:f>
      </x:c>
      <x:c r="K449" s="16" t="str">
        <x:f>IF(AND(AND(448&lt;='Control Room'!$B$3,'Control Room'!$D$3="Ready"),9&lt;='Control Room'!$B$2),ROUND(MAX(0,'Process'!AS449*'Control Room'!$H$12*INDEX('Control Room'!$B$19:$H$19,1,WEEKDAY($A449,2))*(1+'Control Room'!$D$9)^447*'Process'!AT449),2),"")</x:f>
      </x:c>
      <x:c r="L449" s="16" t="str">
        <x:f>IF(AND(AND(448&lt;='Control Room'!$B$3,'Control Room'!$D$3="Ready"),10&lt;='Control Room'!$B$2),ROUND(MAX(0,'Process'!AX449*'Control Room'!$H$13*INDEX('Control Room'!$B$19:$H$19,1,WEEKDAY($A449,2))*(1+'Control Room'!$D$9)^447*'Process'!AY449),2),"")</x:f>
      </x:c>
      <x:c r="M449" s="16" t="str">
        <x:f>IF(AND(AND(448&lt;='Control Room'!$B$3,'Control Room'!$D$3="Ready"),11&lt;='Control Room'!$B$2),ROUND(MAX(0,'Process'!BC449*'Control Room'!$H$14*INDEX('Control Room'!$B$19:$H$19,1,WEEKDAY($A449,2))*(1+'Control Room'!$D$9)^447*'Process'!BD449),2),"")</x:f>
      </x:c>
      <x:c r="N449" s="16" t="str">
        <x:f>IF(AND(AND(448&lt;='Control Room'!$B$3,'Control Room'!$D$3="Ready"),12&lt;='Control Room'!$B$2),ROUND(MAX(0,'Process'!BH449*'Control Room'!$H$15*INDEX('Control Room'!$B$19:$H$19,1,WEEKDAY($A449,2))*(1+'Control Room'!$D$9)^447*'Process'!BI449),2),"")</x:f>
      </x:c>
    </x:row>
    <x:row r="450" ht="21" customHeight="1">
      <x:c r="A450" s="15" t="str">
        <x:f>IF(AND(449&lt;='Control Room'!$B$3,'Control Room'!$D$3="Ready"),'Process'!A450,"")</x:f>
      </x:c>
      <x:c r="B450" s="16" t="str">
        <x:f>IF(A450="","",SUM(C450:N450))</x:f>
      </x:c>
      <x:c r="C450" s="16" t="str">
        <x:f>IF(AND(AND(449&lt;='Control Room'!$B$3,'Control Room'!$D$3="Ready"),1&lt;='Control Room'!$B$2),ROUND(MAX(0,'Process'!E450*'Control Room'!$H$4*INDEX('Control Room'!$B$19:$H$19,1,WEEKDAY($A450,2))*(1+'Control Room'!$D$9)^448*'Process'!F450),2),"")</x:f>
      </x:c>
      <x:c r="D450" s="16" t="str">
        <x:f>IF(AND(AND(449&lt;='Control Room'!$B$3,'Control Room'!$D$3="Ready"),2&lt;='Control Room'!$B$2),ROUND(MAX(0,'Process'!J450*'Control Room'!$H$5*INDEX('Control Room'!$B$19:$H$19,1,WEEKDAY($A450,2))*(1+'Control Room'!$D$9)^448*'Process'!K450),2),"")</x:f>
      </x:c>
      <x:c r="E450" s="16" t="str">
        <x:f>IF(AND(AND(449&lt;='Control Room'!$B$3,'Control Room'!$D$3="Ready"),3&lt;='Control Room'!$B$2),ROUND(MAX(0,'Process'!O450*'Control Room'!$H$6*INDEX('Control Room'!$B$19:$H$19,1,WEEKDAY($A450,2))*(1+'Control Room'!$D$9)^448*'Process'!P450),2),"")</x:f>
      </x:c>
      <x:c r="F450" s="16" t="str">
        <x:f>IF(AND(AND(449&lt;='Control Room'!$B$3,'Control Room'!$D$3="Ready"),4&lt;='Control Room'!$B$2),ROUND(MAX(0,'Process'!T450*'Control Room'!$H$7*INDEX('Control Room'!$B$19:$H$19,1,WEEKDAY($A450,2))*(1+'Control Room'!$D$9)^448*'Process'!U450),2),"")</x:f>
      </x:c>
      <x:c r="G450" s="16" t="str">
        <x:f>IF(AND(AND(449&lt;='Control Room'!$B$3,'Control Room'!$D$3="Ready"),5&lt;='Control Room'!$B$2),ROUND(MAX(0,'Process'!Y450*'Control Room'!$H$8*INDEX('Control Room'!$B$19:$H$19,1,WEEKDAY($A450,2))*(1+'Control Room'!$D$9)^448*'Process'!Z450),2),"")</x:f>
      </x:c>
      <x:c r="H450" s="16" t="str">
        <x:f>IF(AND(AND(449&lt;='Control Room'!$B$3,'Control Room'!$D$3="Ready"),6&lt;='Control Room'!$B$2),ROUND(MAX(0,'Process'!AD450*'Control Room'!$H$9*INDEX('Control Room'!$B$19:$H$19,1,WEEKDAY($A450,2))*(1+'Control Room'!$D$9)^448*'Process'!AE450),2),"")</x:f>
      </x:c>
      <x:c r="I450" s="16" t="str">
        <x:f>IF(AND(AND(449&lt;='Control Room'!$B$3,'Control Room'!$D$3="Ready"),7&lt;='Control Room'!$B$2),ROUND(MAX(0,'Process'!AI450*'Control Room'!$H$10*INDEX('Control Room'!$B$19:$H$19,1,WEEKDAY($A450,2))*(1+'Control Room'!$D$9)^448*'Process'!AJ450),2),"")</x:f>
      </x:c>
      <x:c r="J450" s="16" t="str">
        <x:f>IF(AND(AND(449&lt;='Control Room'!$B$3,'Control Room'!$D$3="Ready"),8&lt;='Control Room'!$B$2),ROUND(MAX(0,'Process'!AN450*'Control Room'!$H$11*INDEX('Control Room'!$B$19:$H$19,1,WEEKDAY($A450,2))*(1+'Control Room'!$D$9)^448*'Process'!AO450),2),"")</x:f>
      </x:c>
      <x:c r="K450" s="16" t="str">
        <x:f>IF(AND(AND(449&lt;='Control Room'!$B$3,'Control Room'!$D$3="Ready"),9&lt;='Control Room'!$B$2),ROUND(MAX(0,'Process'!AS450*'Control Room'!$H$12*INDEX('Control Room'!$B$19:$H$19,1,WEEKDAY($A450,2))*(1+'Control Room'!$D$9)^448*'Process'!AT450),2),"")</x:f>
      </x:c>
      <x:c r="L450" s="16" t="str">
        <x:f>IF(AND(AND(449&lt;='Control Room'!$B$3,'Control Room'!$D$3="Ready"),10&lt;='Control Room'!$B$2),ROUND(MAX(0,'Process'!AX450*'Control Room'!$H$13*INDEX('Control Room'!$B$19:$H$19,1,WEEKDAY($A450,2))*(1+'Control Room'!$D$9)^448*'Process'!AY450),2),"")</x:f>
      </x:c>
      <x:c r="M450" s="16" t="str">
        <x:f>IF(AND(AND(449&lt;='Control Room'!$B$3,'Control Room'!$D$3="Ready"),11&lt;='Control Room'!$B$2),ROUND(MAX(0,'Process'!BC450*'Control Room'!$H$14*INDEX('Control Room'!$B$19:$H$19,1,WEEKDAY($A450,2))*(1+'Control Room'!$D$9)^448*'Process'!BD450),2),"")</x:f>
      </x:c>
      <x:c r="N450" s="16" t="str">
        <x:f>IF(AND(AND(449&lt;='Control Room'!$B$3,'Control Room'!$D$3="Ready"),12&lt;='Control Room'!$B$2),ROUND(MAX(0,'Process'!BH450*'Control Room'!$H$15*INDEX('Control Room'!$B$19:$H$19,1,WEEKDAY($A450,2))*(1+'Control Room'!$D$9)^448*'Process'!BI450),2),"")</x:f>
      </x:c>
    </x:row>
    <x:row r="451" ht="21" customHeight="1">
      <x:c r="A451" s="15" t="str">
        <x:f>IF(AND(450&lt;='Control Room'!$B$3,'Control Room'!$D$3="Ready"),'Process'!A451,"")</x:f>
      </x:c>
      <x:c r="B451" s="16" t="str">
        <x:f>IF(A451="","",SUM(C451:N451))</x:f>
      </x:c>
      <x:c r="C451" s="16" t="str">
        <x:f>IF(AND(AND(450&lt;='Control Room'!$B$3,'Control Room'!$D$3="Ready"),1&lt;='Control Room'!$B$2),ROUND(MAX(0,'Process'!E451*'Control Room'!$H$4*INDEX('Control Room'!$B$19:$H$19,1,WEEKDAY($A451,2))*(1+'Control Room'!$D$9)^449*'Process'!F451),2),"")</x:f>
      </x:c>
      <x:c r="D451" s="16" t="str">
        <x:f>IF(AND(AND(450&lt;='Control Room'!$B$3,'Control Room'!$D$3="Ready"),2&lt;='Control Room'!$B$2),ROUND(MAX(0,'Process'!J451*'Control Room'!$H$5*INDEX('Control Room'!$B$19:$H$19,1,WEEKDAY($A451,2))*(1+'Control Room'!$D$9)^449*'Process'!K451),2),"")</x:f>
      </x:c>
      <x:c r="E451" s="16" t="str">
        <x:f>IF(AND(AND(450&lt;='Control Room'!$B$3,'Control Room'!$D$3="Ready"),3&lt;='Control Room'!$B$2),ROUND(MAX(0,'Process'!O451*'Control Room'!$H$6*INDEX('Control Room'!$B$19:$H$19,1,WEEKDAY($A451,2))*(1+'Control Room'!$D$9)^449*'Process'!P451),2),"")</x:f>
      </x:c>
      <x:c r="F451" s="16" t="str">
        <x:f>IF(AND(AND(450&lt;='Control Room'!$B$3,'Control Room'!$D$3="Ready"),4&lt;='Control Room'!$B$2),ROUND(MAX(0,'Process'!T451*'Control Room'!$H$7*INDEX('Control Room'!$B$19:$H$19,1,WEEKDAY($A451,2))*(1+'Control Room'!$D$9)^449*'Process'!U451),2),"")</x:f>
      </x:c>
      <x:c r="G451" s="16" t="str">
        <x:f>IF(AND(AND(450&lt;='Control Room'!$B$3,'Control Room'!$D$3="Ready"),5&lt;='Control Room'!$B$2),ROUND(MAX(0,'Process'!Y451*'Control Room'!$H$8*INDEX('Control Room'!$B$19:$H$19,1,WEEKDAY($A451,2))*(1+'Control Room'!$D$9)^449*'Process'!Z451),2),"")</x:f>
      </x:c>
      <x:c r="H451" s="16" t="str">
        <x:f>IF(AND(AND(450&lt;='Control Room'!$B$3,'Control Room'!$D$3="Ready"),6&lt;='Control Room'!$B$2),ROUND(MAX(0,'Process'!AD451*'Control Room'!$H$9*INDEX('Control Room'!$B$19:$H$19,1,WEEKDAY($A451,2))*(1+'Control Room'!$D$9)^449*'Process'!AE451),2),"")</x:f>
      </x:c>
      <x:c r="I451" s="16" t="str">
        <x:f>IF(AND(AND(450&lt;='Control Room'!$B$3,'Control Room'!$D$3="Ready"),7&lt;='Control Room'!$B$2),ROUND(MAX(0,'Process'!AI451*'Control Room'!$H$10*INDEX('Control Room'!$B$19:$H$19,1,WEEKDAY($A451,2))*(1+'Control Room'!$D$9)^449*'Process'!AJ451),2),"")</x:f>
      </x:c>
      <x:c r="J451" s="16" t="str">
        <x:f>IF(AND(AND(450&lt;='Control Room'!$B$3,'Control Room'!$D$3="Ready"),8&lt;='Control Room'!$B$2),ROUND(MAX(0,'Process'!AN451*'Control Room'!$H$11*INDEX('Control Room'!$B$19:$H$19,1,WEEKDAY($A451,2))*(1+'Control Room'!$D$9)^449*'Process'!AO451),2),"")</x:f>
      </x:c>
      <x:c r="K451" s="16" t="str">
        <x:f>IF(AND(AND(450&lt;='Control Room'!$B$3,'Control Room'!$D$3="Ready"),9&lt;='Control Room'!$B$2),ROUND(MAX(0,'Process'!AS451*'Control Room'!$H$12*INDEX('Control Room'!$B$19:$H$19,1,WEEKDAY($A451,2))*(1+'Control Room'!$D$9)^449*'Process'!AT451),2),"")</x:f>
      </x:c>
      <x:c r="L451" s="16" t="str">
        <x:f>IF(AND(AND(450&lt;='Control Room'!$B$3,'Control Room'!$D$3="Ready"),10&lt;='Control Room'!$B$2),ROUND(MAX(0,'Process'!AX451*'Control Room'!$H$13*INDEX('Control Room'!$B$19:$H$19,1,WEEKDAY($A451,2))*(1+'Control Room'!$D$9)^449*'Process'!AY451),2),"")</x:f>
      </x:c>
      <x:c r="M451" s="16" t="str">
        <x:f>IF(AND(AND(450&lt;='Control Room'!$B$3,'Control Room'!$D$3="Ready"),11&lt;='Control Room'!$B$2),ROUND(MAX(0,'Process'!BC451*'Control Room'!$H$14*INDEX('Control Room'!$B$19:$H$19,1,WEEKDAY($A451,2))*(1+'Control Room'!$D$9)^449*'Process'!BD451),2),"")</x:f>
      </x:c>
      <x:c r="N451" s="16" t="str">
        <x:f>IF(AND(AND(450&lt;='Control Room'!$B$3,'Control Room'!$D$3="Ready"),12&lt;='Control Room'!$B$2),ROUND(MAX(0,'Process'!BH451*'Control Room'!$H$15*INDEX('Control Room'!$B$19:$H$19,1,WEEKDAY($A451,2))*(1+'Control Room'!$D$9)^449*'Process'!BI451),2),"")</x:f>
      </x:c>
    </x:row>
    <x:row r="452" ht="21" customHeight="1">
      <x:c r="A452" s="15" t="str">
        <x:f>IF(AND(451&lt;='Control Room'!$B$3,'Control Room'!$D$3="Ready"),'Process'!A452,"")</x:f>
      </x:c>
      <x:c r="B452" s="16" t="str">
        <x:f>IF(A452="","",SUM(C452:N452))</x:f>
      </x:c>
      <x:c r="C452" s="16" t="str">
        <x:f>IF(AND(AND(451&lt;='Control Room'!$B$3,'Control Room'!$D$3="Ready"),1&lt;='Control Room'!$B$2),ROUND(MAX(0,'Process'!E452*'Control Room'!$H$4*INDEX('Control Room'!$B$19:$H$19,1,WEEKDAY($A452,2))*(1+'Control Room'!$D$9)^450*'Process'!F452),2),"")</x:f>
      </x:c>
      <x:c r="D452" s="16" t="str">
        <x:f>IF(AND(AND(451&lt;='Control Room'!$B$3,'Control Room'!$D$3="Ready"),2&lt;='Control Room'!$B$2),ROUND(MAX(0,'Process'!J452*'Control Room'!$H$5*INDEX('Control Room'!$B$19:$H$19,1,WEEKDAY($A452,2))*(1+'Control Room'!$D$9)^450*'Process'!K452),2),"")</x:f>
      </x:c>
      <x:c r="E452" s="16" t="str">
        <x:f>IF(AND(AND(451&lt;='Control Room'!$B$3,'Control Room'!$D$3="Ready"),3&lt;='Control Room'!$B$2),ROUND(MAX(0,'Process'!O452*'Control Room'!$H$6*INDEX('Control Room'!$B$19:$H$19,1,WEEKDAY($A452,2))*(1+'Control Room'!$D$9)^450*'Process'!P452),2),"")</x:f>
      </x:c>
      <x:c r="F452" s="16" t="str">
        <x:f>IF(AND(AND(451&lt;='Control Room'!$B$3,'Control Room'!$D$3="Ready"),4&lt;='Control Room'!$B$2),ROUND(MAX(0,'Process'!T452*'Control Room'!$H$7*INDEX('Control Room'!$B$19:$H$19,1,WEEKDAY($A452,2))*(1+'Control Room'!$D$9)^450*'Process'!U452),2),"")</x:f>
      </x:c>
      <x:c r="G452" s="16" t="str">
        <x:f>IF(AND(AND(451&lt;='Control Room'!$B$3,'Control Room'!$D$3="Ready"),5&lt;='Control Room'!$B$2),ROUND(MAX(0,'Process'!Y452*'Control Room'!$H$8*INDEX('Control Room'!$B$19:$H$19,1,WEEKDAY($A452,2))*(1+'Control Room'!$D$9)^450*'Process'!Z452),2),"")</x:f>
      </x:c>
      <x:c r="H452" s="16" t="str">
        <x:f>IF(AND(AND(451&lt;='Control Room'!$B$3,'Control Room'!$D$3="Ready"),6&lt;='Control Room'!$B$2),ROUND(MAX(0,'Process'!AD452*'Control Room'!$H$9*INDEX('Control Room'!$B$19:$H$19,1,WEEKDAY($A452,2))*(1+'Control Room'!$D$9)^450*'Process'!AE452),2),"")</x:f>
      </x:c>
      <x:c r="I452" s="16" t="str">
        <x:f>IF(AND(AND(451&lt;='Control Room'!$B$3,'Control Room'!$D$3="Ready"),7&lt;='Control Room'!$B$2),ROUND(MAX(0,'Process'!AI452*'Control Room'!$H$10*INDEX('Control Room'!$B$19:$H$19,1,WEEKDAY($A452,2))*(1+'Control Room'!$D$9)^450*'Process'!AJ452),2),"")</x:f>
      </x:c>
      <x:c r="J452" s="16" t="str">
        <x:f>IF(AND(AND(451&lt;='Control Room'!$B$3,'Control Room'!$D$3="Ready"),8&lt;='Control Room'!$B$2),ROUND(MAX(0,'Process'!AN452*'Control Room'!$H$11*INDEX('Control Room'!$B$19:$H$19,1,WEEKDAY($A452,2))*(1+'Control Room'!$D$9)^450*'Process'!AO452),2),"")</x:f>
      </x:c>
      <x:c r="K452" s="16" t="str">
        <x:f>IF(AND(AND(451&lt;='Control Room'!$B$3,'Control Room'!$D$3="Ready"),9&lt;='Control Room'!$B$2),ROUND(MAX(0,'Process'!AS452*'Control Room'!$H$12*INDEX('Control Room'!$B$19:$H$19,1,WEEKDAY($A452,2))*(1+'Control Room'!$D$9)^450*'Process'!AT452),2),"")</x:f>
      </x:c>
      <x:c r="L452" s="16" t="str">
        <x:f>IF(AND(AND(451&lt;='Control Room'!$B$3,'Control Room'!$D$3="Ready"),10&lt;='Control Room'!$B$2),ROUND(MAX(0,'Process'!AX452*'Control Room'!$H$13*INDEX('Control Room'!$B$19:$H$19,1,WEEKDAY($A452,2))*(1+'Control Room'!$D$9)^450*'Process'!AY452),2),"")</x:f>
      </x:c>
      <x:c r="M452" s="16" t="str">
        <x:f>IF(AND(AND(451&lt;='Control Room'!$B$3,'Control Room'!$D$3="Ready"),11&lt;='Control Room'!$B$2),ROUND(MAX(0,'Process'!BC452*'Control Room'!$H$14*INDEX('Control Room'!$B$19:$H$19,1,WEEKDAY($A452,2))*(1+'Control Room'!$D$9)^450*'Process'!BD452),2),"")</x:f>
      </x:c>
      <x:c r="N452" s="16" t="str">
        <x:f>IF(AND(AND(451&lt;='Control Room'!$B$3,'Control Room'!$D$3="Ready"),12&lt;='Control Room'!$B$2),ROUND(MAX(0,'Process'!BH452*'Control Room'!$H$15*INDEX('Control Room'!$B$19:$H$19,1,WEEKDAY($A452,2))*(1+'Control Room'!$D$9)^450*'Process'!BI452),2),"")</x:f>
      </x:c>
    </x:row>
    <x:row r="453" ht="21" customHeight="1">
      <x:c r="A453" s="15" t="str">
        <x:f>IF(AND(452&lt;='Control Room'!$B$3,'Control Room'!$D$3="Ready"),'Process'!A453,"")</x:f>
      </x:c>
      <x:c r="B453" s="16" t="str">
        <x:f>IF(A453="","",SUM(C453:N453))</x:f>
      </x:c>
      <x:c r="C453" s="16" t="str">
        <x:f>IF(AND(AND(452&lt;='Control Room'!$B$3,'Control Room'!$D$3="Ready"),1&lt;='Control Room'!$B$2),ROUND(MAX(0,'Process'!E453*'Control Room'!$H$4*INDEX('Control Room'!$B$19:$H$19,1,WEEKDAY($A453,2))*(1+'Control Room'!$D$9)^451*'Process'!F453),2),"")</x:f>
      </x:c>
      <x:c r="D453" s="16" t="str">
        <x:f>IF(AND(AND(452&lt;='Control Room'!$B$3,'Control Room'!$D$3="Ready"),2&lt;='Control Room'!$B$2),ROUND(MAX(0,'Process'!J453*'Control Room'!$H$5*INDEX('Control Room'!$B$19:$H$19,1,WEEKDAY($A453,2))*(1+'Control Room'!$D$9)^451*'Process'!K453),2),"")</x:f>
      </x:c>
      <x:c r="E453" s="16" t="str">
        <x:f>IF(AND(AND(452&lt;='Control Room'!$B$3,'Control Room'!$D$3="Ready"),3&lt;='Control Room'!$B$2),ROUND(MAX(0,'Process'!O453*'Control Room'!$H$6*INDEX('Control Room'!$B$19:$H$19,1,WEEKDAY($A453,2))*(1+'Control Room'!$D$9)^451*'Process'!P453),2),"")</x:f>
      </x:c>
      <x:c r="F453" s="16" t="str">
        <x:f>IF(AND(AND(452&lt;='Control Room'!$B$3,'Control Room'!$D$3="Ready"),4&lt;='Control Room'!$B$2),ROUND(MAX(0,'Process'!T453*'Control Room'!$H$7*INDEX('Control Room'!$B$19:$H$19,1,WEEKDAY($A453,2))*(1+'Control Room'!$D$9)^451*'Process'!U453),2),"")</x:f>
      </x:c>
      <x:c r="G453" s="16" t="str">
        <x:f>IF(AND(AND(452&lt;='Control Room'!$B$3,'Control Room'!$D$3="Ready"),5&lt;='Control Room'!$B$2),ROUND(MAX(0,'Process'!Y453*'Control Room'!$H$8*INDEX('Control Room'!$B$19:$H$19,1,WEEKDAY($A453,2))*(1+'Control Room'!$D$9)^451*'Process'!Z453),2),"")</x:f>
      </x:c>
      <x:c r="H453" s="16" t="str">
        <x:f>IF(AND(AND(452&lt;='Control Room'!$B$3,'Control Room'!$D$3="Ready"),6&lt;='Control Room'!$B$2),ROUND(MAX(0,'Process'!AD453*'Control Room'!$H$9*INDEX('Control Room'!$B$19:$H$19,1,WEEKDAY($A453,2))*(1+'Control Room'!$D$9)^451*'Process'!AE453),2),"")</x:f>
      </x:c>
      <x:c r="I453" s="16" t="str">
        <x:f>IF(AND(AND(452&lt;='Control Room'!$B$3,'Control Room'!$D$3="Ready"),7&lt;='Control Room'!$B$2),ROUND(MAX(0,'Process'!AI453*'Control Room'!$H$10*INDEX('Control Room'!$B$19:$H$19,1,WEEKDAY($A453,2))*(1+'Control Room'!$D$9)^451*'Process'!AJ453),2),"")</x:f>
      </x:c>
      <x:c r="J453" s="16" t="str">
        <x:f>IF(AND(AND(452&lt;='Control Room'!$B$3,'Control Room'!$D$3="Ready"),8&lt;='Control Room'!$B$2),ROUND(MAX(0,'Process'!AN453*'Control Room'!$H$11*INDEX('Control Room'!$B$19:$H$19,1,WEEKDAY($A453,2))*(1+'Control Room'!$D$9)^451*'Process'!AO453),2),"")</x:f>
      </x:c>
      <x:c r="K453" s="16" t="str">
        <x:f>IF(AND(AND(452&lt;='Control Room'!$B$3,'Control Room'!$D$3="Ready"),9&lt;='Control Room'!$B$2),ROUND(MAX(0,'Process'!AS453*'Control Room'!$H$12*INDEX('Control Room'!$B$19:$H$19,1,WEEKDAY($A453,2))*(1+'Control Room'!$D$9)^451*'Process'!AT453),2),"")</x:f>
      </x:c>
      <x:c r="L453" s="16" t="str">
        <x:f>IF(AND(AND(452&lt;='Control Room'!$B$3,'Control Room'!$D$3="Ready"),10&lt;='Control Room'!$B$2),ROUND(MAX(0,'Process'!AX453*'Control Room'!$H$13*INDEX('Control Room'!$B$19:$H$19,1,WEEKDAY($A453,2))*(1+'Control Room'!$D$9)^451*'Process'!AY453),2),"")</x:f>
      </x:c>
      <x:c r="M453" s="16" t="str">
        <x:f>IF(AND(AND(452&lt;='Control Room'!$B$3,'Control Room'!$D$3="Ready"),11&lt;='Control Room'!$B$2),ROUND(MAX(0,'Process'!BC453*'Control Room'!$H$14*INDEX('Control Room'!$B$19:$H$19,1,WEEKDAY($A453,2))*(1+'Control Room'!$D$9)^451*'Process'!BD453),2),"")</x:f>
      </x:c>
      <x:c r="N453" s="16" t="str">
        <x:f>IF(AND(AND(452&lt;='Control Room'!$B$3,'Control Room'!$D$3="Ready"),12&lt;='Control Room'!$B$2),ROUND(MAX(0,'Process'!BH453*'Control Room'!$H$15*INDEX('Control Room'!$B$19:$H$19,1,WEEKDAY($A453,2))*(1+'Control Room'!$D$9)^451*'Process'!BI453),2),"")</x:f>
      </x:c>
    </x:row>
    <x:row r="454" ht="21" customHeight="1">
      <x:c r="A454" s="15" t="str">
        <x:f>IF(AND(453&lt;='Control Room'!$B$3,'Control Room'!$D$3="Ready"),'Process'!A454,"")</x:f>
      </x:c>
      <x:c r="B454" s="16" t="str">
        <x:f>IF(A454="","",SUM(C454:N454))</x:f>
      </x:c>
      <x:c r="C454" s="16" t="str">
        <x:f>IF(AND(AND(453&lt;='Control Room'!$B$3,'Control Room'!$D$3="Ready"),1&lt;='Control Room'!$B$2),ROUND(MAX(0,'Process'!E454*'Control Room'!$H$4*INDEX('Control Room'!$B$19:$H$19,1,WEEKDAY($A454,2))*(1+'Control Room'!$D$9)^452*'Process'!F454),2),"")</x:f>
      </x:c>
      <x:c r="D454" s="16" t="str">
        <x:f>IF(AND(AND(453&lt;='Control Room'!$B$3,'Control Room'!$D$3="Ready"),2&lt;='Control Room'!$B$2),ROUND(MAX(0,'Process'!J454*'Control Room'!$H$5*INDEX('Control Room'!$B$19:$H$19,1,WEEKDAY($A454,2))*(1+'Control Room'!$D$9)^452*'Process'!K454),2),"")</x:f>
      </x:c>
      <x:c r="E454" s="16" t="str">
        <x:f>IF(AND(AND(453&lt;='Control Room'!$B$3,'Control Room'!$D$3="Ready"),3&lt;='Control Room'!$B$2),ROUND(MAX(0,'Process'!O454*'Control Room'!$H$6*INDEX('Control Room'!$B$19:$H$19,1,WEEKDAY($A454,2))*(1+'Control Room'!$D$9)^452*'Process'!P454),2),"")</x:f>
      </x:c>
      <x:c r="F454" s="16" t="str">
        <x:f>IF(AND(AND(453&lt;='Control Room'!$B$3,'Control Room'!$D$3="Ready"),4&lt;='Control Room'!$B$2),ROUND(MAX(0,'Process'!T454*'Control Room'!$H$7*INDEX('Control Room'!$B$19:$H$19,1,WEEKDAY($A454,2))*(1+'Control Room'!$D$9)^452*'Process'!U454),2),"")</x:f>
      </x:c>
      <x:c r="G454" s="16" t="str">
        <x:f>IF(AND(AND(453&lt;='Control Room'!$B$3,'Control Room'!$D$3="Ready"),5&lt;='Control Room'!$B$2),ROUND(MAX(0,'Process'!Y454*'Control Room'!$H$8*INDEX('Control Room'!$B$19:$H$19,1,WEEKDAY($A454,2))*(1+'Control Room'!$D$9)^452*'Process'!Z454),2),"")</x:f>
      </x:c>
      <x:c r="H454" s="16" t="str">
        <x:f>IF(AND(AND(453&lt;='Control Room'!$B$3,'Control Room'!$D$3="Ready"),6&lt;='Control Room'!$B$2),ROUND(MAX(0,'Process'!AD454*'Control Room'!$H$9*INDEX('Control Room'!$B$19:$H$19,1,WEEKDAY($A454,2))*(1+'Control Room'!$D$9)^452*'Process'!AE454),2),"")</x:f>
      </x:c>
      <x:c r="I454" s="16" t="str">
        <x:f>IF(AND(AND(453&lt;='Control Room'!$B$3,'Control Room'!$D$3="Ready"),7&lt;='Control Room'!$B$2),ROUND(MAX(0,'Process'!AI454*'Control Room'!$H$10*INDEX('Control Room'!$B$19:$H$19,1,WEEKDAY($A454,2))*(1+'Control Room'!$D$9)^452*'Process'!AJ454),2),"")</x:f>
      </x:c>
      <x:c r="J454" s="16" t="str">
        <x:f>IF(AND(AND(453&lt;='Control Room'!$B$3,'Control Room'!$D$3="Ready"),8&lt;='Control Room'!$B$2),ROUND(MAX(0,'Process'!AN454*'Control Room'!$H$11*INDEX('Control Room'!$B$19:$H$19,1,WEEKDAY($A454,2))*(1+'Control Room'!$D$9)^452*'Process'!AO454),2),"")</x:f>
      </x:c>
      <x:c r="K454" s="16" t="str">
        <x:f>IF(AND(AND(453&lt;='Control Room'!$B$3,'Control Room'!$D$3="Ready"),9&lt;='Control Room'!$B$2),ROUND(MAX(0,'Process'!AS454*'Control Room'!$H$12*INDEX('Control Room'!$B$19:$H$19,1,WEEKDAY($A454,2))*(1+'Control Room'!$D$9)^452*'Process'!AT454),2),"")</x:f>
      </x:c>
      <x:c r="L454" s="16" t="str">
        <x:f>IF(AND(AND(453&lt;='Control Room'!$B$3,'Control Room'!$D$3="Ready"),10&lt;='Control Room'!$B$2),ROUND(MAX(0,'Process'!AX454*'Control Room'!$H$13*INDEX('Control Room'!$B$19:$H$19,1,WEEKDAY($A454,2))*(1+'Control Room'!$D$9)^452*'Process'!AY454),2),"")</x:f>
      </x:c>
      <x:c r="M454" s="16" t="str">
        <x:f>IF(AND(AND(453&lt;='Control Room'!$B$3,'Control Room'!$D$3="Ready"),11&lt;='Control Room'!$B$2),ROUND(MAX(0,'Process'!BC454*'Control Room'!$H$14*INDEX('Control Room'!$B$19:$H$19,1,WEEKDAY($A454,2))*(1+'Control Room'!$D$9)^452*'Process'!BD454),2),"")</x:f>
      </x:c>
      <x:c r="N454" s="16" t="str">
        <x:f>IF(AND(AND(453&lt;='Control Room'!$B$3,'Control Room'!$D$3="Ready"),12&lt;='Control Room'!$B$2),ROUND(MAX(0,'Process'!BH454*'Control Room'!$H$15*INDEX('Control Room'!$B$19:$H$19,1,WEEKDAY($A454,2))*(1+'Control Room'!$D$9)^452*'Process'!BI454),2),"")</x:f>
      </x:c>
    </x:row>
    <x:row r="455" ht="21" customHeight="1">
      <x:c r="A455" s="15" t="str">
        <x:f>IF(AND(454&lt;='Control Room'!$B$3,'Control Room'!$D$3="Ready"),'Process'!A455,"")</x:f>
      </x:c>
      <x:c r="B455" s="16" t="str">
        <x:f>IF(A455="","",SUM(C455:N455))</x:f>
      </x:c>
      <x:c r="C455" s="16" t="str">
        <x:f>IF(AND(AND(454&lt;='Control Room'!$B$3,'Control Room'!$D$3="Ready"),1&lt;='Control Room'!$B$2),ROUND(MAX(0,'Process'!E455*'Control Room'!$H$4*INDEX('Control Room'!$B$19:$H$19,1,WEEKDAY($A455,2))*(1+'Control Room'!$D$9)^453*'Process'!F455),2),"")</x:f>
      </x:c>
      <x:c r="D455" s="16" t="str">
        <x:f>IF(AND(AND(454&lt;='Control Room'!$B$3,'Control Room'!$D$3="Ready"),2&lt;='Control Room'!$B$2),ROUND(MAX(0,'Process'!J455*'Control Room'!$H$5*INDEX('Control Room'!$B$19:$H$19,1,WEEKDAY($A455,2))*(1+'Control Room'!$D$9)^453*'Process'!K455),2),"")</x:f>
      </x:c>
      <x:c r="E455" s="16" t="str">
        <x:f>IF(AND(AND(454&lt;='Control Room'!$B$3,'Control Room'!$D$3="Ready"),3&lt;='Control Room'!$B$2),ROUND(MAX(0,'Process'!O455*'Control Room'!$H$6*INDEX('Control Room'!$B$19:$H$19,1,WEEKDAY($A455,2))*(1+'Control Room'!$D$9)^453*'Process'!P455),2),"")</x:f>
      </x:c>
      <x:c r="F455" s="16" t="str">
        <x:f>IF(AND(AND(454&lt;='Control Room'!$B$3,'Control Room'!$D$3="Ready"),4&lt;='Control Room'!$B$2),ROUND(MAX(0,'Process'!T455*'Control Room'!$H$7*INDEX('Control Room'!$B$19:$H$19,1,WEEKDAY($A455,2))*(1+'Control Room'!$D$9)^453*'Process'!U455),2),"")</x:f>
      </x:c>
      <x:c r="G455" s="16" t="str">
        <x:f>IF(AND(AND(454&lt;='Control Room'!$B$3,'Control Room'!$D$3="Ready"),5&lt;='Control Room'!$B$2),ROUND(MAX(0,'Process'!Y455*'Control Room'!$H$8*INDEX('Control Room'!$B$19:$H$19,1,WEEKDAY($A455,2))*(1+'Control Room'!$D$9)^453*'Process'!Z455),2),"")</x:f>
      </x:c>
      <x:c r="H455" s="16" t="str">
        <x:f>IF(AND(AND(454&lt;='Control Room'!$B$3,'Control Room'!$D$3="Ready"),6&lt;='Control Room'!$B$2),ROUND(MAX(0,'Process'!AD455*'Control Room'!$H$9*INDEX('Control Room'!$B$19:$H$19,1,WEEKDAY($A455,2))*(1+'Control Room'!$D$9)^453*'Process'!AE455),2),"")</x:f>
      </x:c>
      <x:c r="I455" s="16" t="str">
        <x:f>IF(AND(AND(454&lt;='Control Room'!$B$3,'Control Room'!$D$3="Ready"),7&lt;='Control Room'!$B$2),ROUND(MAX(0,'Process'!AI455*'Control Room'!$H$10*INDEX('Control Room'!$B$19:$H$19,1,WEEKDAY($A455,2))*(1+'Control Room'!$D$9)^453*'Process'!AJ455),2),"")</x:f>
      </x:c>
      <x:c r="J455" s="16" t="str">
        <x:f>IF(AND(AND(454&lt;='Control Room'!$B$3,'Control Room'!$D$3="Ready"),8&lt;='Control Room'!$B$2),ROUND(MAX(0,'Process'!AN455*'Control Room'!$H$11*INDEX('Control Room'!$B$19:$H$19,1,WEEKDAY($A455,2))*(1+'Control Room'!$D$9)^453*'Process'!AO455),2),"")</x:f>
      </x:c>
      <x:c r="K455" s="16" t="str">
        <x:f>IF(AND(AND(454&lt;='Control Room'!$B$3,'Control Room'!$D$3="Ready"),9&lt;='Control Room'!$B$2),ROUND(MAX(0,'Process'!AS455*'Control Room'!$H$12*INDEX('Control Room'!$B$19:$H$19,1,WEEKDAY($A455,2))*(1+'Control Room'!$D$9)^453*'Process'!AT455),2),"")</x:f>
      </x:c>
      <x:c r="L455" s="16" t="str">
        <x:f>IF(AND(AND(454&lt;='Control Room'!$B$3,'Control Room'!$D$3="Ready"),10&lt;='Control Room'!$B$2),ROUND(MAX(0,'Process'!AX455*'Control Room'!$H$13*INDEX('Control Room'!$B$19:$H$19,1,WEEKDAY($A455,2))*(1+'Control Room'!$D$9)^453*'Process'!AY455),2),"")</x:f>
      </x:c>
      <x:c r="M455" s="16" t="str">
        <x:f>IF(AND(AND(454&lt;='Control Room'!$B$3,'Control Room'!$D$3="Ready"),11&lt;='Control Room'!$B$2),ROUND(MAX(0,'Process'!BC455*'Control Room'!$H$14*INDEX('Control Room'!$B$19:$H$19,1,WEEKDAY($A455,2))*(1+'Control Room'!$D$9)^453*'Process'!BD455),2),"")</x:f>
      </x:c>
      <x:c r="N455" s="16" t="str">
        <x:f>IF(AND(AND(454&lt;='Control Room'!$B$3,'Control Room'!$D$3="Ready"),12&lt;='Control Room'!$B$2),ROUND(MAX(0,'Process'!BH455*'Control Room'!$H$15*INDEX('Control Room'!$B$19:$H$19,1,WEEKDAY($A455,2))*(1+'Control Room'!$D$9)^453*'Process'!BI455),2),"")</x:f>
      </x:c>
    </x:row>
    <x:row r="456" ht="21" customHeight="1">
      <x:c r="A456" s="15" t="str">
        <x:f>IF(AND(455&lt;='Control Room'!$B$3,'Control Room'!$D$3="Ready"),'Process'!A456,"")</x:f>
      </x:c>
      <x:c r="B456" s="16" t="str">
        <x:f>IF(A456="","",SUM(C456:N456))</x:f>
      </x:c>
      <x:c r="C456" s="16" t="str">
        <x:f>IF(AND(AND(455&lt;='Control Room'!$B$3,'Control Room'!$D$3="Ready"),1&lt;='Control Room'!$B$2),ROUND(MAX(0,'Process'!E456*'Control Room'!$H$4*INDEX('Control Room'!$B$19:$H$19,1,WEEKDAY($A456,2))*(1+'Control Room'!$D$9)^454*'Process'!F456),2),"")</x:f>
      </x:c>
      <x:c r="D456" s="16" t="str">
        <x:f>IF(AND(AND(455&lt;='Control Room'!$B$3,'Control Room'!$D$3="Ready"),2&lt;='Control Room'!$B$2),ROUND(MAX(0,'Process'!J456*'Control Room'!$H$5*INDEX('Control Room'!$B$19:$H$19,1,WEEKDAY($A456,2))*(1+'Control Room'!$D$9)^454*'Process'!K456),2),"")</x:f>
      </x:c>
      <x:c r="E456" s="16" t="str">
        <x:f>IF(AND(AND(455&lt;='Control Room'!$B$3,'Control Room'!$D$3="Ready"),3&lt;='Control Room'!$B$2),ROUND(MAX(0,'Process'!O456*'Control Room'!$H$6*INDEX('Control Room'!$B$19:$H$19,1,WEEKDAY($A456,2))*(1+'Control Room'!$D$9)^454*'Process'!P456),2),"")</x:f>
      </x:c>
      <x:c r="F456" s="16" t="str">
        <x:f>IF(AND(AND(455&lt;='Control Room'!$B$3,'Control Room'!$D$3="Ready"),4&lt;='Control Room'!$B$2),ROUND(MAX(0,'Process'!T456*'Control Room'!$H$7*INDEX('Control Room'!$B$19:$H$19,1,WEEKDAY($A456,2))*(1+'Control Room'!$D$9)^454*'Process'!U456),2),"")</x:f>
      </x:c>
      <x:c r="G456" s="16" t="str">
        <x:f>IF(AND(AND(455&lt;='Control Room'!$B$3,'Control Room'!$D$3="Ready"),5&lt;='Control Room'!$B$2),ROUND(MAX(0,'Process'!Y456*'Control Room'!$H$8*INDEX('Control Room'!$B$19:$H$19,1,WEEKDAY($A456,2))*(1+'Control Room'!$D$9)^454*'Process'!Z456),2),"")</x:f>
      </x:c>
      <x:c r="H456" s="16" t="str">
        <x:f>IF(AND(AND(455&lt;='Control Room'!$B$3,'Control Room'!$D$3="Ready"),6&lt;='Control Room'!$B$2),ROUND(MAX(0,'Process'!AD456*'Control Room'!$H$9*INDEX('Control Room'!$B$19:$H$19,1,WEEKDAY($A456,2))*(1+'Control Room'!$D$9)^454*'Process'!AE456),2),"")</x:f>
      </x:c>
      <x:c r="I456" s="16" t="str">
        <x:f>IF(AND(AND(455&lt;='Control Room'!$B$3,'Control Room'!$D$3="Ready"),7&lt;='Control Room'!$B$2),ROUND(MAX(0,'Process'!AI456*'Control Room'!$H$10*INDEX('Control Room'!$B$19:$H$19,1,WEEKDAY($A456,2))*(1+'Control Room'!$D$9)^454*'Process'!AJ456),2),"")</x:f>
      </x:c>
      <x:c r="J456" s="16" t="str">
        <x:f>IF(AND(AND(455&lt;='Control Room'!$B$3,'Control Room'!$D$3="Ready"),8&lt;='Control Room'!$B$2),ROUND(MAX(0,'Process'!AN456*'Control Room'!$H$11*INDEX('Control Room'!$B$19:$H$19,1,WEEKDAY($A456,2))*(1+'Control Room'!$D$9)^454*'Process'!AO456),2),"")</x:f>
      </x:c>
      <x:c r="K456" s="16" t="str">
        <x:f>IF(AND(AND(455&lt;='Control Room'!$B$3,'Control Room'!$D$3="Ready"),9&lt;='Control Room'!$B$2),ROUND(MAX(0,'Process'!AS456*'Control Room'!$H$12*INDEX('Control Room'!$B$19:$H$19,1,WEEKDAY($A456,2))*(1+'Control Room'!$D$9)^454*'Process'!AT456),2),"")</x:f>
      </x:c>
      <x:c r="L456" s="16" t="str">
        <x:f>IF(AND(AND(455&lt;='Control Room'!$B$3,'Control Room'!$D$3="Ready"),10&lt;='Control Room'!$B$2),ROUND(MAX(0,'Process'!AX456*'Control Room'!$H$13*INDEX('Control Room'!$B$19:$H$19,1,WEEKDAY($A456,2))*(1+'Control Room'!$D$9)^454*'Process'!AY456),2),"")</x:f>
      </x:c>
      <x:c r="M456" s="16" t="str">
        <x:f>IF(AND(AND(455&lt;='Control Room'!$B$3,'Control Room'!$D$3="Ready"),11&lt;='Control Room'!$B$2),ROUND(MAX(0,'Process'!BC456*'Control Room'!$H$14*INDEX('Control Room'!$B$19:$H$19,1,WEEKDAY($A456,2))*(1+'Control Room'!$D$9)^454*'Process'!BD456),2),"")</x:f>
      </x:c>
      <x:c r="N456" s="16" t="str">
        <x:f>IF(AND(AND(455&lt;='Control Room'!$B$3,'Control Room'!$D$3="Ready"),12&lt;='Control Room'!$B$2),ROUND(MAX(0,'Process'!BH456*'Control Room'!$H$15*INDEX('Control Room'!$B$19:$H$19,1,WEEKDAY($A456,2))*(1+'Control Room'!$D$9)^454*'Process'!BI456),2),"")</x:f>
      </x:c>
    </x:row>
    <x:row r="457" ht="21" customHeight="1">
      <x:c r="A457" s="15" t="str">
        <x:f>IF(AND(456&lt;='Control Room'!$B$3,'Control Room'!$D$3="Ready"),'Process'!A457,"")</x:f>
      </x:c>
      <x:c r="B457" s="16" t="str">
        <x:f>IF(A457="","",SUM(C457:N457))</x:f>
      </x:c>
      <x:c r="C457" s="16" t="str">
        <x:f>IF(AND(AND(456&lt;='Control Room'!$B$3,'Control Room'!$D$3="Ready"),1&lt;='Control Room'!$B$2),ROUND(MAX(0,'Process'!E457*'Control Room'!$H$4*INDEX('Control Room'!$B$19:$H$19,1,WEEKDAY($A457,2))*(1+'Control Room'!$D$9)^455*'Process'!F457),2),"")</x:f>
      </x:c>
      <x:c r="D457" s="16" t="str">
        <x:f>IF(AND(AND(456&lt;='Control Room'!$B$3,'Control Room'!$D$3="Ready"),2&lt;='Control Room'!$B$2),ROUND(MAX(0,'Process'!J457*'Control Room'!$H$5*INDEX('Control Room'!$B$19:$H$19,1,WEEKDAY($A457,2))*(1+'Control Room'!$D$9)^455*'Process'!K457),2),"")</x:f>
      </x:c>
      <x:c r="E457" s="16" t="str">
        <x:f>IF(AND(AND(456&lt;='Control Room'!$B$3,'Control Room'!$D$3="Ready"),3&lt;='Control Room'!$B$2),ROUND(MAX(0,'Process'!O457*'Control Room'!$H$6*INDEX('Control Room'!$B$19:$H$19,1,WEEKDAY($A457,2))*(1+'Control Room'!$D$9)^455*'Process'!P457),2),"")</x:f>
      </x:c>
      <x:c r="F457" s="16" t="str">
        <x:f>IF(AND(AND(456&lt;='Control Room'!$B$3,'Control Room'!$D$3="Ready"),4&lt;='Control Room'!$B$2),ROUND(MAX(0,'Process'!T457*'Control Room'!$H$7*INDEX('Control Room'!$B$19:$H$19,1,WEEKDAY($A457,2))*(1+'Control Room'!$D$9)^455*'Process'!U457),2),"")</x:f>
      </x:c>
      <x:c r="G457" s="16" t="str">
        <x:f>IF(AND(AND(456&lt;='Control Room'!$B$3,'Control Room'!$D$3="Ready"),5&lt;='Control Room'!$B$2),ROUND(MAX(0,'Process'!Y457*'Control Room'!$H$8*INDEX('Control Room'!$B$19:$H$19,1,WEEKDAY($A457,2))*(1+'Control Room'!$D$9)^455*'Process'!Z457),2),"")</x:f>
      </x:c>
      <x:c r="H457" s="16" t="str">
        <x:f>IF(AND(AND(456&lt;='Control Room'!$B$3,'Control Room'!$D$3="Ready"),6&lt;='Control Room'!$B$2),ROUND(MAX(0,'Process'!AD457*'Control Room'!$H$9*INDEX('Control Room'!$B$19:$H$19,1,WEEKDAY($A457,2))*(1+'Control Room'!$D$9)^455*'Process'!AE457),2),"")</x:f>
      </x:c>
      <x:c r="I457" s="16" t="str">
        <x:f>IF(AND(AND(456&lt;='Control Room'!$B$3,'Control Room'!$D$3="Ready"),7&lt;='Control Room'!$B$2),ROUND(MAX(0,'Process'!AI457*'Control Room'!$H$10*INDEX('Control Room'!$B$19:$H$19,1,WEEKDAY($A457,2))*(1+'Control Room'!$D$9)^455*'Process'!AJ457),2),"")</x:f>
      </x:c>
      <x:c r="J457" s="16" t="str">
        <x:f>IF(AND(AND(456&lt;='Control Room'!$B$3,'Control Room'!$D$3="Ready"),8&lt;='Control Room'!$B$2),ROUND(MAX(0,'Process'!AN457*'Control Room'!$H$11*INDEX('Control Room'!$B$19:$H$19,1,WEEKDAY($A457,2))*(1+'Control Room'!$D$9)^455*'Process'!AO457),2),"")</x:f>
      </x:c>
      <x:c r="K457" s="16" t="str">
        <x:f>IF(AND(AND(456&lt;='Control Room'!$B$3,'Control Room'!$D$3="Ready"),9&lt;='Control Room'!$B$2),ROUND(MAX(0,'Process'!AS457*'Control Room'!$H$12*INDEX('Control Room'!$B$19:$H$19,1,WEEKDAY($A457,2))*(1+'Control Room'!$D$9)^455*'Process'!AT457),2),"")</x:f>
      </x:c>
      <x:c r="L457" s="16" t="str">
        <x:f>IF(AND(AND(456&lt;='Control Room'!$B$3,'Control Room'!$D$3="Ready"),10&lt;='Control Room'!$B$2),ROUND(MAX(0,'Process'!AX457*'Control Room'!$H$13*INDEX('Control Room'!$B$19:$H$19,1,WEEKDAY($A457,2))*(1+'Control Room'!$D$9)^455*'Process'!AY457),2),"")</x:f>
      </x:c>
      <x:c r="M457" s="16" t="str">
        <x:f>IF(AND(AND(456&lt;='Control Room'!$B$3,'Control Room'!$D$3="Ready"),11&lt;='Control Room'!$B$2),ROUND(MAX(0,'Process'!BC457*'Control Room'!$H$14*INDEX('Control Room'!$B$19:$H$19,1,WEEKDAY($A457,2))*(1+'Control Room'!$D$9)^455*'Process'!BD457),2),"")</x:f>
      </x:c>
      <x:c r="N457" s="16" t="str">
        <x:f>IF(AND(AND(456&lt;='Control Room'!$B$3,'Control Room'!$D$3="Ready"),12&lt;='Control Room'!$B$2),ROUND(MAX(0,'Process'!BH457*'Control Room'!$H$15*INDEX('Control Room'!$B$19:$H$19,1,WEEKDAY($A457,2))*(1+'Control Room'!$D$9)^455*'Process'!BI457),2),"")</x:f>
      </x:c>
    </x:row>
    <x:row r="458" ht="21" customHeight="1">
      <x:c r="A458" s="15" t="str">
        <x:f>IF(AND(457&lt;='Control Room'!$B$3,'Control Room'!$D$3="Ready"),'Process'!A458,"")</x:f>
      </x:c>
      <x:c r="B458" s="16" t="str">
        <x:f>IF(A458="","",SUM(C458:N458))</x:f>
      </x:c>
      <x:c r="C458" s="16" t="str">
        <x:f>IF(AND(AND(457&lt;='Control Room'!$B$3,'Control Room'!$D$3="Ready"),1&lt;='Control Room'!$B$2),ROUND(MAX(0,'Process'!E458*'Control Room'!$H$4*INDEX('Control Room'!$B$19:$H$19,1,WEEKDAY($A458,2))*(1+'Control Room'!$D$9)^456*'Process'!F458),2),"")</x:f>
      </x:c>
      <x:c r="D458" s="16" t="str">
        <x:f>IF(AND(AND(457&lt;='Control Room'!$B$3,'Control Room'!$D$3="Ready"),2&lt;='Control Room'!$B$2),ROUND(MAX(0,'Process'!J458*'Control Room'!$H$5*INDEX('Control Room'!$B$19:$H$19,1,WEEKDAY($A458,2))*(1+'Control Room'!$D$9)^456*'Process'!K458),2),"")</x:f>
      </x:c>
      <x:c r="E458" s="16" t="str">
        <x:f>IF(AND(AND(457&lt;='Control Room'!$B$3,'Control Room'!$D$3="Ready"),3&lt;='Control Room'!$B$2),ROUND(MAX(0,'Process'!O458*'Control Room'!$H$6*INDEX('Control Room'!$B$19:$H$19,1,WEEKDAY($A458,2))*(1+'Control Room'!$D$9)^456*'Process'!P458),2),"")</x:f>
      </x:c>
      <x:c r="F458" s="16" t="str">
        <x:f>IF(AND(AND(457&lt;='Control Room'!$B$3,'Control Room'!$D$3="Ready"),4&lt;='Control Room'!$B$2),ROUND(MAX(0,'Process'!T458*'Control Room'!$H$7*INDEX('Control Room'!$B$19:$H$19,1,WEEKDAY($A458,2))*(1+'Control Room'!$D$9)^456*'Process'!U458),2),"")</x:f>
      </x:c>
      <x:c r="G458" s="16" t="str">
        <x:f>IF(AND(AND(457&lt;='Control Room'!$B$3,'Control Room'!$D$3="Ready"),5&lt;='Control Room'!$B$2),ROUND(MAX(0,'Process'!Y458*'Control Room'!$H$8*INDEX('Control Room'!$B$19:$H$19,1,WEEKDAY($A458,2))*(1+'Control Room'!$D$9)^456*'Process'!Z458),2),"")</x:f>
      </x:c>
      <x:c r="H458" s="16" t="str">
        <x:f>IF(AND(AND(457&lt;='Control Room'!$B$3,'Control Room'!$D$3="Ready"),6&lt;='Control Room'!$B$2),ROUND(MAX(0,'Process'!AD458*'Control Room'!$H$9*INDEX('Control Room'!$B$19:$H$19,1,WEEKDAY($A458,2))*(1+'Control Room'!$D$9)^456*'Process'!AE458),2),"")</x:f>
      </x:c>
      <x:c r="I458" s="16" t="str">
        <x:f>IF(AND(AND(457&lt;='Control Room'!$B$3,'Control Room'!$D$3="Ready"),7&lt;='Control Room'!$B$2),ROUND(MAX(0,'Process'!AI458*'Control Room'!$H$10*INDEX('Control Room'!$B$19:$H$19,1,WEEKDAY($A458,2))*(1+'Control Room'!$D$9)^456*'Process'!AJ458),2),"")</x:f>
      </x:c>
      <x:c r="J458" s="16" t="str">
        <x:f>IF(AND(AND(457&lt;='Control Room'!$B$3,'Control Room'!$D$3="Ready"),8&lt;='Control Room'!$B$2),ROUND(MAX(0,'Process'!AN458*'Control Room'!$H$11*INDEX('Control Room'!$B$19:$H$19,1,WEEKDAY($A458,2))*(1+'Control Room'!$D$9)^456*'Process'!AO458),2),"")</x:f>
      </x:c>
      <x:c r="K458" s="16" t="str">
        <x:f>IF(AND(AND(457&lt;='Control Room'!$B$3,'Control Room'!$D$3="Ready"),9&lt;='Control Room'!$B$2),ROUND(MAX(0,'Process'!AS458*'Control Room'!$H$12*INDEX('Control Room'!$B$19:$H$19,1,WEEKDAY($A458,2))*(1+'Control Room'!$D$9)^456*'Process'!AT458),2),"")</x:f>
      </x:c>
      <x:c r="L458" s="16" t="str">
        <x:f>IF(AND(AND(457&lt;='Control Room'!$B$3,'Control Room'!$D$3="Ready"),10&lt;='Control Room'!$B$2),ROUND(MAX(0,'Process'!AX458*'Control Room'!$H$13*INDEX('Control Room'!$B$19:$H$19,1,WEEKDAY($A458,2))*(1+'Control Room'!$D$9)^456*'Process'!AY458),2),"")</x:f>
      </x:c>
      <x:c r="M458" s="16" t="str">
        <x:f>IF(AND(AND(457&lt;='Control Room'!$B$3,'Control Room'!$D$3="Ready"),11&lt;='Control Room'!$B$2),ROUND(MAX(0,'Process'!BC458*'Control Room'!$H$14*INDEX('Control Room'!$B$19:$H$19,1,WEEKDAY($A458,2))*(1+'Control Room'!$D$9)^456*'Process'!BD458),2),"")</x:f>
      </x:c>
      <x:c r="N458" s="16" t="str">
        <x:f>IF(AND(AND(457&lt;='Control Room'!$B$3,'Control Room'!$D$3="Ready"),12&lt;='Control Room'!$B$2),ROUND(MAX(0,'Process'!BH458*'Control Room'!$H$15*INDEX('Control Room'!$B$19:$H$19,1,WEEKDAY($A458,2))*(1+'Control Room'!$D$9)^456*'Process'!BI458),2),"")</x:f>
      </x:c>
    </x:row>
    <x:row r="459" ht="21" customHeight="1">
      <x:c r="A459" s="15" t="str">
        <x:f>IF(AND(458&lt;='Control Room'!$B$3,'Control Room'!$D$3="Ready"),'Process'!A459,"")</x:f>
      </x:c>
      <x:c r="B459" s="16" t="str">
        <x:f>IF(A459="","",SUM(C459:N459))</x:f>
      </x:c>
      <x:c r="C459" s="16" t="str">
        <x:f>IF(AND(AND(458&lt;='Control Room'!$B$3,'Control Room'!$D$3="Ready"),1&lt;='Control Room'!$B$2),ROUND(MAX(0,'Process'!E459*'Control Room'!$H$4*INDEX('Control Room'!$B$19:$H$19,1,WEEKDAY($A459,2))*(1+'Control Room'!$D$9)^457*'Process'!F459),2),"")</x:f>
      </x:c>
      <x:c r="D459" s="16" t="str">
        <x:f>IF(AND(AND(458&lt;='Control Room'!$B$3,'Control Room'!$D$3="Ready"),2&lt;='Control Room'!$B$2),ROUND(MAX(0,'Process'!J459*'Control Room'!$H$5*INDEX('Control Room'!$B$19:$H$19,1,WEEKDAY($A459,2))*(1+'Control Room'!$D$9)^457*'Process'!K459),2),"")</x:f>
      </x:c>
      <x:c r="E459" s="16" t="str">
        <x:f>IF(AND(AND(458&lt;='Control Room'!$B$3,'Control Room'!$D$3="Ready"),3&lt;='Control Room'!$B$2),ROUND(MAX(0,'Process'!O459*'Control Room'!$H$6*INDEX('Control Room'!$B$19:$H$19,1,WEEKDAY($A459,2))*(1+'Control Room'!$D$9)^457*'Process'!P459),2),"")</x:f>
      </x:c>
      <x:c r="F459" s="16" t="str">
        <x:f>IF(AND(AND(458&lt;='Control Room'!$B$3,'Control Room'!$D$3="Ready"),4&lt;='Control Room'!$B$2),ROUND(MAX(0,'Process'!T459*'Control Room'!$H$7*INDEX('Control Room'!$B$19:$H$19,1,WEEKDAY($A459,2))*(1+'Control Room'!$D$9)^457*'Process'!U459),2),"")</x:f>
      </x:c>
      <x:c r="G459" s="16" t="str">
        <x:f>IF(AND(AND(458&lt;='Control Room'!$B$3,'Control Room'!$D$3="Ready"),5&lt;='Control Room'!$B$2),ROUND(MAX(0,'Process'!Y459*'Control Room'!$H$8*INDEX('Control Room'!$B$19:$H$19,1,WEEKDAY($A459,2))*(1+'Control Room'!$D$9)^457*'Process'!Z459),2),"")</x:f>
      </x:c>
      <x:c r="H459" s="16" t="str">
        <x:f>IF(AND(AND(458&lt;='Control Room'!$B$3,'Control Room'!$D$3="Ready"),6&lt;='Control Room'!$B$2),ROUND(MAX(0,'Process'!AD459*'Control Room'!$H$9*INDEX('Control Room'!$B$19:$H$19,1,WEEKDAY($A459,2))*(1+'Control Room'!$D$9)^457*'Process'!AE459),2),"")</x:f>
      </x:c>
      <x:c r="I459" s="16" t="str">
        <x:f>IF(AND(AND(458&lt;='Control Room'!$B$3,'Control Room'!$D$3="Ready"),7&lt;='Control Room'!$B$2),ROUND(MAX(0,'Process'!AI459*'Control Room'!$H$10*INDEX('Control Room'!$B$19:$H$19,1,WEEKDAY($A459,2))*(1+'Control Room'!$D$9)^457*'Process'!AJ459),2),"")</x:f>
      </x:c>
      <x:c r="J459" s="16" t="str">
        <x:f>IF(AND(AND(458&lt;='Control Room'!$B$3,'Control Room'!$D$3="Ready"),8&lt;='Control Room'!$B$2),ROUND(MAX(0,'Process'!AN459*'Control Room'!$H$11*INDEX('Control Room'!$B$19:$H$19,1,WEEKDAY($A459,2))*(1+'Control Room'!$D$9)^457*'Process'!AO459),2),"")</x:f>
      </x:c>
      <x:c r="K459" s="16" t="str">
        <x:f>IF(AND(AND(458&lt;='Control Room'!$B$3,'Control Room'!$D$3="Ready"),9&lt;='Control Room'!$B$2),ROUND(MAX(0,'Process'!AS459*'Control Room'!$H$12*INDEX('Control Room'!$B$19:$H$19,1,WEEKDAY($A459,2))*(1+'Control Room'!$D$9)^457*'Process'!AT459),2),"")</x:f>
      </x:c>
      <x:c r="L459" s="16" t="str">
        <x:f>IF(AND(AND(458&lt;='Control Room'!$B$3,'Control Room'!$D$3="Ready"),10&lt;='Control Room'!$B$2),ROUND(MAX(0,'Process'!AX459*'Control Room'!$H$13*INDEX('Control Room'!$B$19:$H$19,1,WEEKDAY($A459,2))*(1+'Control Room'!$D$9)^457*'Process'!AY459),2),"")</x:f>
      </x:c>
      <x:c r="M459" s="16" t="str">
        <x:f>IF(AND(AND(458&lt;='Control Room'!$B$3,'Control Room'!$D$3="Ready"),11&lt;='Control Room'!$B$2),ROUND(MAX(0,'Process'!BC459*'Control Room'!$H$14*INDEX('Control Room'!$B$19:$H$19,1,WEEKDAY($A459,2))*(1+'Control Room'!$D$9)^457*'Process'!BD459),2),"")</x:f>
      </x:c>
      <x:c r="N459" s="16" t="str">
        <x:f>IF(AND(AND(458&lt;='Control Room'!$B$3,'Control Room'!$D$3="Ready"),12&lt;='Control Room'!$B$2),ROUND(MAX(0,'Process'!BH459*'Control Room'!$H$15*INDEX('Control Room'!$B$19:$H$19,1,WEEKDAY($A459,2))*(1+'Control Room'!$D$9)^457*'Process'!BI459),2),"")</x:f>
      </x:c>
    </x:row>
    <x:row r="460" ht="21" customHeight="1">
      <x:c r="A460" s="15" t="str">
        <x:f>IF(AND(459&lt;='Control Room'!$B$3,'Control Room'!$D$3="Ready"),'Process'!A460,"")</x:f>
      </x:c>
      <x:c r="B460" s="16" t="str">
        <x:f>IF(A460="","",SUM(C460:N460))</x:f>
      </x:c>
      <x:c r="C460" s="16" t="str">
        <x:f>IF(AND(AND(459&lt;='Control Room'!$B$3,'Control Room'!$D$3="Ready"),1&lt;='Control Room'!$B$2),ROUND(MAX(0,'Process'!E460*'Control Room'!$H$4*INDEX('Control Room'!$B$19:$H$19,1,WEEKDAY($A460,2))*(1+'Control Room'!$D$9)^458*'Process'!F460),2),"")</x:f>
      </x:c>
      <x:c r="D460" s="16" t="str">
        <x:f>IF(AND(AND(459&lt;='Control Room'!$B$3,'Control Room'!$D$3="Ready"),2&lt;='Control Room'!$B$2),ROUND(MAX(0,'Process'!J460*'Control Room'!$H$5*INDEX('Control Room'!$B$19:$H$19,1,WEEKDAY($A460,2))*(1+'Control Room'!$D$9)^458*'Process'!K460),2),"")</x:f>
      </x:c>
      <x:c r="E460" s="16" t="str">
        <x:f>IF(AND(AND(459&lt;='Control Room'!$B$3,'Control Room'!$D$3="Ready"),3&lt;='Control Room'!$B$2),ROUND(MAX(0,'Process'!O460*'Control Room'!$H$6*INDEX('Control Room'!$B$19:$H$19,1,WEEKDAY($A460,2))*(1+'Control Room'!$D$9)^458*'Process'!P460),2),"")</x:f>
      </x:c>
      <x:c r="F460" s="16" t="str">
        <x:f>IF(AND(AND(459&lt;='Control Room'!$B$3,'Control Room'!$D$3="Ready"),4&lt;='Control Room'!$B$2),ROUND(MAX(0,'Process'!T460*'Control Room'!$H$7*INDEX('Control Room'!$B$19:$H$19,1,WEEKDAY($A460,2))*(1+'Control Room'!$D$9)^458*'Process'!U460),2),"")</x:f>
      </x:c>
      <x:c r="G460" s="16" t="str">
        <x:f>IF(AND(AND(459&lt;='Control Room'!$B$3,'Control Room'!$D$3="Ready"),5&lt;='Control Room'!$B$2),ROUND(MAX(0,'Process'!Y460*'Control Room'!$H$8*INDEX('Control Room'!$B$19:$H$19,1,WEEKDAY($A460,2))*(1+'Control Room'!$D$9)^458*'Process'!Z460),2),"")</x:f>
      </x:c>
      <x:c r="H460" s="16" t="str">
        <x:f>IF(AND(AND(459&lt;='Control Room'!$B$3,'Control Room'!$D$3="Ready"),6&lt;='Control Room'!$B$2),ROUND(MAX(0,'Process'!AD460*'Control Room'!$H$9*INDEX('Control Room'!$B$19:$H$19,1,WEEKDAY($A460,2))*(1+'Control Room'!$D$9)^458*'Process'!AE460),2),"")</x:f>
      </x:c>
      <x:c r="I460" s="16" t="str">
        <x:f>IF(AND(AND(459&lt;='Control Room'!$B$3,'Control Room'!$D$3="Ready"),7&lt;='Control Room'!$B$2),ROUND(MAX(0,'Process'!AI460*'Control Room'!$H$10*INDEX('Control Room'!$B$19:$H$19,1,WEEKDAY($A460,2))*(1+'Control Room'!$D$9)^458*'Process'!AJ460),2),"")</x:f>
      </x:c>
      <x:c r="J460" s="16" t="str">
        <x:f>IF(AND(AND(459&lt;='Control Room'!$B$3,'Control Room'!$D$3="Ready"),8&lt;='Control Room'!$B$2),ROUND(MAX(0,'Process'!AN460*'Control Room'!$H$11*INDEX('Control Room'!$B$19:$H$19,1,WEEKDAY($A460,2))*(1+'Control Room'!$D$9)^458*'Process'!AO460),2),"")</x:f>
      </x:c>
      <x:c r="K460" s="16" t="str">
        <x:f>IF(AND(AND(459&lt;='Control Room'!$B$3,'Control Room'!$D$3="Ready"),9&lt;='Control Room'!$B$2),ROUND(MAX(0,'Process'!AS460*'Control Room'!$H$12*INDEX('Control Room'!$B$19:$H$19,1,WEEKDAY($A460,2))*(1+'Control Room'!$D$9)^458*'Process'!AT460),2),"")</x:f>
      </x:c>
      <x:c r="L460" s="16" t="str">
        <x:f>IF(AND(AND(459&lt;='Control Room'!$B$3,'Control Room'!$D$3="Ready"),10&lt;='Control Room'!$B$2),ROUND(MAX(0,'Process'!AX460*'Control Room'!$H$13*INDEX('Control Room'!$B$19:$H$19,1,WEEKDAY($A460,2))*(1+'Control Room'!$D$9)^458*'Process'!AY460),2),"")</x:f>
      </x:c>
      <x:c r="M460" s="16" t="str">
        <x:f>IF(AND(AND(459&lt;='Control Room'!$B$3,'Control Room'!$D$3="Ready"),11&lt;='Control Room'!$B$2),ROUND(MAX(0,'Process'!BC460*'Control Room'!$H$14*INDEX('Control Room'!$B$19:$H$19,1,WEEKDAY($A460,2))*(1+'Control Room'!$D$9)^458*'Process'!BD460),2),"")</x:f>
      </x:c>
      <x:c r="N460" s="16" t="str">
        <x:f>IF(AND(AND(459&lt;='Control Room'!$B$3,'Control Room'!$D$3="Ready"),12&lt;='Control Room'!$B$2),ROUND(MAX(0,'Process'!BH460*'Control Room'!$H$15*INDEX('Control Room'!$B$19:$H$19,1,WEEKDAY($A460,2))*(1+'Control Room'!$D$9)^458*'Process'!BI460),2),"")</x:f>
      </x:c>
    </x:row>
    <x:row r="461" ht="21" customHeight="1">
      <x:c r="A461" s="15" t="str">
        <x:f>IF(AND(460&lt;='Control Room'!$B$3,'Control Room'!$D$3="Ready"),'Process'!A461,"")</x:f>
      </x:c>
      <x:c r="B461" s="16" t="str">
        <x:f>IF(A461="","",SUM(C461:N461))</x:f>
      </x:c>
      <x:c r="C461" s="16" t="str">
        <x:f>IF(AND(AND(460&lt;='Control Room'!$B$3,'Control Room'!$D$3="Ready"),1&lt;='Control Room'!$B$2),ROUND(MAX(0,'Process'!E461*'Control Room'!$H$4*INDEX('Control Room'!$B$19:$H$19,1,WEEKDAY($A461,2))*(1+'Control Room'!$D$9)^459*'Process'!F461),2),"")</x:f>
      </x:c>
      <x:c r="D461" s="16" t="str">
        <x:f>IF(AND(AND(460&lt;='Control Room'!$B$3,'Control Room'!$D$3="Ready"),2&lt;='Control Room'!$B$2),ROUND(MAX(0,'Process'!J461*'Control Room'!$H$5*INDEX('Control Room'!$B$19:$H$19,1,WEEKDAY($A461,2))*(1+'Control Room'!$D$9)^459*'Process'!K461),2),"")</x:f>
      </x:c>
      <x:c r="E461" s="16" t="str">
        <x:f>IF(AND(AND(460&lt;='Control Room'!$B$3,'Control Room'!$D$3="Ready"),3&lt;='Control Room'!$B$2),ROUND(MAX(0,'Process'!O461*'Control Room'!$H$6*INDEX('Control Room'!$B$19:$H$19,1,WEEKDAY($A461,2))*(1+'Control Room'!$D$9)^459*'Process'!P461),2),"")</x:f>
      </x:c>
      <x:c r="F461" s="16" t="str">
        <x:f>IF(AND(AND(460&lt;='Control Room'!$B$3,'Control Room'!$D$3="Ready"),4&lt;='Control Room'!$B$2),ROUND(MAX(0,'Process'!T461*'Control Room'!$H$7*INDEX('Control Room'!$B$19:$H$19,1,WEEKDAY($A461,2))*(1+'Control Room'!$D$9)^459*'Process'!U461),2),"")</x:f>
      </x:c>
      <x:c r="G461" s="16" t="str">
        <x:f>IF(AND(AND(460&lt;='Control Room'!$B$3,'Control Room'!$D$3="Ready"),5&lt;='Control Room'!$B$2),ROUND(MAX(0,'Process'!Y461*'Control Room'!$H$8*INDEX('Control Room'!$B$19:$H$19,1,WEEKDAY($A461,2))*(1+'Control Room'!$D$9)^459*'Process'!Z461),2),"")</x:f>
      </x:c>
      <x:c r="H461" s="16" t="str">
        <x:f>IF(AND(AND(460&lt;='Control Room'!$B$3,'Control Room'!$D$3="Ready"),6&lt;='Control Room'!$B$2),ROUND(MAX(0,'Process'!AD461*'Control Room'!$H$9*INDEX('Control Room'!$B$19:$H$19,1,WEEKDAY($A461,2))*(1+'Control Room'!$D$9)^459*'Process'!AE461),2),"")</x:f>
      </x:c>
      <x:c r="I461" s="16" t="str">
        <x:f>IF(AND(AND(460&lt;='Control Room'!$B$3,'Control Room'!$D$3="Ready"),7&lt;='Control Room'!$B$2),ROUND(MAX(0,'Process'!AI461*'Control Room'!$H$10*INDEX('Control Room'!$B$19:$H$19,1,WEEKDAY($A461,2))*(1+'Control Room'!$D$9)^459*'Process'!AJ461),2),"")</x:f>
      </x:c>
      <x:c r="J461" s="16" t="str">
        <x:f>IF(AND(AND(460&lt;='Control Room'!$B$3,'Control Room'!$D$3="Ready"),8&lt;='Control Room'!$B$2),ROUND(MAX(0,'Process'!AN461*'Control Room'!$H$11*INDEX('Control Room'!$B$19:$H$19,1,WEEKDAY($A461,2))*(1+'Control Room'!$D$9)^459*'Process'!AO461),2),"")</x:f>
      </x:c>
      <x:c r="K461" s="16" t="str">
        <x:f>IF(AND(AND(460&lt;='Control Room'!$B$3,'Control Room'!$D$3="Ready"),9&lt;='Control Room'!$B$2),ROUND(MAX(0,'Process'!AS461*'Control Room'!$H$12*INDEX('Control Room'!$B$19:$H$19,1,WEEKDAY($A461,2))*(1+'Control Room'!$D$9)^459*'Process'!AT461),2),"")</x:f>
      </x:c>
      <x:c r="L461" s="16" t="str">
        <x:f>IF(AND(AND(460&lt;='Control Room'!$B$3,'Control Room'!$D$3="Ready"),10&lt;='Control Room'!$B$2),ROUND(MAX(0,'Process'!AX461*'Control Room'!$H$13*INDEX('Control Room'!$B$19:$H$19,1,WEEKDAY($A461,2))*(1+'Control Room'!$D$9)^459*'Process'!AY461),2),"")</x:f>
      </x:c>
      <x:c r="M461" s="16" t="str">
        <x:f>IF(AND(AND(460&lt;='Control Room'!$B$3,'Control Room'!$D$3="Ready"),11&lt;='Control Room'!$B$2),ROUND(MAX(0,'Process'!BC461*'Control Room'!$H$14*INDEX('Control Room'!$B$19:$H$19,1,WEEKDAY($A461,2))*(1+'Control Room'!$D$9)^459*'Process'!BD461),2),"")</x:f>
      </x:c>
      <x:c r="N461" s="16" t="str">
        <x:f>IF(AND(AND(460&lt;='Control Room'!$B$3,'Control Room'!$D$3="Ready"),12&lt;='Control Room'!$B$2),ROUND(MAX(0,'Process'!BH461*'Control Room'!$H$15*INDEX('Control Room'!$B$19:$H$19,1,WEEKDAY($A461,2))*(1+'Control Room'!$D$9)^459*'Process'!BI461),2),"")</x:f>
      </x:c>
    </x:row>
    <x:row r="462" ht="21" customHeight="1">
      <x:c r="A462" s="15" t="str">
        <x:f>IF(AND(461&lt;='Control Room'!$B$3,'Control Room'!$D$3="Ready"),'Process'!A462,"")</x:f>
      </x:c>
      <x:c r="B462" s="16" t="str">
        <x:f>IF(A462="","",SUM(C462:N462))</x:f>
      </x:c>
      <x:c r="C462" s="16" t="str">
        <x:f>IF(AND(AND(461&lt;='Control Room'!$B$3,'Control Room'!$D$3="Ready"),1&lt;='Control Room'!$B$2),ROUND(MAX(0,'Process'!E462*'Control Room'!$H$4*INDEX('Control Room'!$B$19:$H$19,1,WEEKDAY($A462,2))*(1+'Control Room'!$D$9)^460*'Process'!F462),2),"")</x:f>
      </x:c>
      <x:c r="D462" s="16" t="str">
        <x:f>IF(AND(AND(461&lt;='Control Room'!$B$3,'Control Room'!$D$3="Ready"),2&lt;='Control Room'!$B$2),ROUND(MAX(0,'Process'!J462*'Control Room'!$H$5*INDEX('Control Room'!$B$19:$H$19,1,WEEKDAY($A462,2))*(1+'Control Room'!$D$9)^460*'Process'!K462),2),"")</x:f>
      </x:c>
      <x:c r="E462" s="16" t="str">
        <x:f>IF(AND(AND(461&lt;='Control Room'!$B$3,'Control Room'!$D$3="Ready"),3&lt;='Control Room'!$B$2),ROUND(MAX(0,'Process'!O462*'Control Room'!$H$6*INDEX('Control Room'!$B$19:$H$19,1,WEEKDAY($A462,2))*(1+'Control Room'!$D$9)^460*'Process'!P462),2),"")</x:f>
      </x:c>
      <x:c r="F462" s="16" t="str">
        <x:f>IF(AND(AND(461&lt;='Control Room'!$B$3,'Control Room'!$D$3="Ready"),4&lt;='Control Room'!$B$2),ROUND(MAX(0,'Process'!T462*'Control Room'!$H$7*INDEX('Control Room'!$B$19:$H$19,1,WEEKDAY($A462,2))*(1+'Control Room'!$D$9)^460*'Process'!U462),2),"")</x:f>
      </x:c>
      <x:c r="G462" s="16" t="str">
        <x:f>IF(AND(AND(461&lt;='Control Room'!$B$3,'Control Room'!$D$3="Ready"),5&lt;='Control Room'!$B$2),ROUND(MAX(0,'Process'!Y462*'Control Room'!$H$8*INDEX('Control Room'!$B$19:$H$19,1,WEEKDAY($A462,2))*(1+'Control Room'!$D$9)^460*'Process'!Z462),2),"")</x:f>
      </x:c>
      <x:c r="H462" s="16" t="str">
        <x:f>IF(AND(AND(461&lt;='Control Room'!$B$3,'Control Room'!$D$3="Ready"),6&lt;='Control Room'!$B$2),ROUND(MAX(0,'Process'!AD462*'Control Room'!$H$9*INDEX('Control Room'!$B$19:$H$19,1,WEEKDAY($A462,2))*(1+'Control Room'!$D$9)^460*'Process'!AE462),2),"")</x:f>
      </x:c>
      <x:c r="I462" s="16" t="str">
        <x:f>IF(AND(AND(461&lt;='Control Room'!$B$3,'Control Room'!$D$3="Ready"),7&lt;='Control Room'!$B$2),ROUND(MAX(0,'Process'!AI462*'Control Room'!$H$10*INDEX('Control Room'!$B$19:$H$19,1,WEEKDAY($A462,2))*(1+'Control Room'!$D$9)^460*'Process'!AJ462),2),"")</x:f>
      </x:c>
      <x:c r="J462" s="16" t="str">
        <x:f>IF(AND(AND(461&lt;='Control Room'!$B$3,'Control Room'!$D$3="Ready"),8&lt;='Control Room'!$B$2),ROUND(MAX(0,'Process'!AN462*'Control Room'!$H$11*INDEX('Control Room'!$B$19:$H$19,1,WEEKDAY($A462,2))*(1+'Control Room'!$D$9)^460*'Process'!AO462),2),"")</x:f>
      </x:c>
      <x:c r="K462" s="16" t="str">
        <x:f>IF(AND(AND(461&lt;='Control Room'!$B$3,'Control Room'!$D$3="Ready"),9&lt;='Control Room'!$B$2),ROUND(MAX(0,'Process'!AS462*'Control Room'!$H$12*INDEX('Control Room'!$B$19:$H$19,1,WEEKDAY($A462,2))*(1+'Control Room'!$D$9)^460*'Process'!AT462),2),"")</x:f>
      </x:c>
      <x:c r="L462" s="16" t="str">
        <x:f>IF(AND(AND(461&lt;='Control Room'!$B$3,'Control Room'!$D$3="Ready"),10&lt;='Control Room'!$B$2),ROUND(MAX(0,'Process'!AX462*'Control Room'!$H$13*INDEX('Control Room'!$B$19:$H$19,1,WEEKDAY($A462,2))*(1+'Control Room'!$D$9)^460*'Process'!AY462),2),"")</x:f>
      </x:c>
      <x:c r="M462" s="16" t="str">
        <x:f>IF(AND(AND(461&lt;='Control Room'!$B$3,'Control Room'!$D$3="Ready"),11&lt;='Control Room'!$B$2),ROUND(MAX(0,'Process'!BC462*'Control Room'!$H$14*INDEX('Control Room'!$B$19:$H$19,1,WEEKDAY($A462,2))*(1+'Control Room'!$D$9)^460*'Process'!BD462),2),"")</x:f>
      </x:c>
      <x:c r="N462" s="16" t="str">
        <x:f>IF(AND(AND(461&lt;='Control Room'!$B$3,'Control Room'!$D$3="Ready"),12&lt;='Control Room'!$B$2),ROUND(MAX(0,'Process'!BH462*'Control Room'!$H$15*INDEX('Control Room'!$B$19:$H$19,1,WEEKDAY($A462,2))*(1+'Control Room'!$D$9)^460*'Process'!BI462),2),"")</x:f>
      </x:c>
    </x:row>
    <x:row r="463" ht="21" customHeight="1">
      <x:c r="A463" s="15" t="str">
        <x:f>IF(AND(462&lt;='Control Room'!$B$3,'Control Room'!$D$3="Ready"),'Process'!A463,"")</x:f>
      </x:c>
      <x:c r="B463" s="16" t="str">
        <x:f>IF(A463="","",SUM(C463:N463))</x:f>
      </x:c>
      <x:c r="C463" s="16" t="str">
        <x:f>IF(AND(AND(462&lt;='Control Room'!$B$3,'Control Room'!$D$3="Ready"),1&lt;='Control Room'!$B$2),ROUND(MAX(0,'Process'!E463*'Control Room'!$H$4*INDEX('Control Room'!$B$19:$H$19,1,WEEKDAY($A463,2))*(1+'Control Room'!$D$9)^461*'Process'!F463),2),"")</x:f>
      </x:c>
      <x:c r="D463" s="16" t="str">
        <x:f>IF(AND(AND(462&lt;='Control Room'!$B$3,'Control Room'!$D$3="Ready"),2&lt;='Control Room'!$B$2),ROUND(MAX(0,'Process'!J463*'Control Room'!$H$5*INDEX('Control Room'!$B$19:$H$19,1,WEEKDAY($A463,2))*(1+'Control Room'!$D$9)^461*'Process'!K463),2),"")</x:f>
      </x:c>
      <x:c r="E463" s="16" t="str">
        <x:f>IF(AND(AND(462&lt;='Control Room'!$B$3,'Control Room'!$D$3="Ready"),3&lt;='Control Room'!$B$2),ROUND(MAX(0,'Process'!O463*'Control Room'!$H$6*INDEX('Control Room'!$B$19:$H$19,1,WEEKDAY($A463,2))*(1+'Control Room'!$D$9)^461*'Process'!P463),2),"")</x:f>
      </x:c>
      <x:c r="F463" s="16" t="str">
        <x:f>IF(AND(AND(462&lt;='Control Room'!$B$3,'Control Room'!$D$3="Ready"),4&lt;='Control Room'!$B$2),ROUND(MAX(0,'Process'!T463*'Control Room'!$H$7*INDEX('Control Room'!$B$19:$H$19,1,WEEKDAY($A463,2))*(1+'Control Room'!$D$9)^461*'Process'!U463),2),"")</x:f>
      </x:c>
      <x:c r="G463" s="16" t="str">
        <x:f>IF(AND(AND(462&lt;='Control Room'!$B$3,'Control Room'!$D$3="Ready"),5&lt;='Control Room'!$B$2),ROUND(MAX(0,'Process'!Y463*'Control Room'!$H$8*INDEX('Control Room'!$B$19:$H$19,1,WEEKDAY($A463,2))*(1+'Control Room'!$D$9)^461*'Process'!Z463),2),"")</x:f>
      </x:c>
      <x:c r="H463" s="16" t="str">
        <x:f>IF(AND(AND(462&lt;='Control Room'!$B$3,'Control Room'!$D$3="Ready"),6&lt;='Control Room'!$B$2),ROUND(MAX(0,'Process'!AD463*'Control Room'!$H$9*INDEX('Control Room'!$B$19:$H$19,1,WEEKDAY($A463,2))*(1+'Control Room'!$D$9)^461*'Process'!AE463),2),"")</x:f>
      </x:c>
      <x:c r="I463" s="16" t="str">
        <x:f>IF(AND(AND(462&lt;='Control Room'!$B$3,'Control Room'!$D$3="Ready"),7&lt;='Control Room'!$B$2),ROUND(MAX(0,'Process'!AI463*'Control Room'!$H$10*INDEX('Control Room'!$B$19:$H$19,1,WEEKDAY($A463,2))*(1+'Control Room'!$D$9)^461*'Process'!AJ463),2),"")</x:f>
      </x:c>
      <x:c r="J463" s="16" t="str">
        <x:f>IF(AND(AND(462&lt;='Control Room'!$B$3,'Control Room'!$D$3="Ready"),8&lt;='Control Room'!$B$2),ROUND(MAX(0,'Process'!AN463*'Control Room'!$H$11*INDEX('Control Room'!$B$19:$H$19,1,WEEKDAY($A463,2))*(1+'Control Room'!$D$9)^461*'Process'!AO463),2),"")</x:f>
      </x:c>
      <x:c r="K463" s="16" t="str">
        <x:f>IF(AND(AND(462&lt;='Control Room'!$B$3,'Control Room'!$D$3="Ready"),9&lt;='Control Room'!$B$2),ROUND(MAX(0,'Process'!AS463*'Control Room'!$H$12*INDEX('Control Room'!$B$19:$H$19,1,WEEKDAY($A463,2))*(1+'Control Room'!$D$9)^461*'Process'!AT463),2),"")</x:f>
      </x:c>
      <x:c r="L463" s="16" t="str">
        <x:f>IF(AND(AND(462&lt;='Control Room'!$B$3,'Control Room'!$D$3="Ready"),10&lt;='Control Room'!$B$2),ROUND(MAX(0,'Process'!AX463*'Control Room'!$H$13*INDEX('Control Room'!$B$19:$H$19,1,WEEKDAY($A463,2))*(1+'Control Room'!$D$9)^461*'Process'!AY463),2),"")</x:f>
      </x:c>
      <x:c r="M463" s="16" t="str">
        <x:f>IF(AND(AND(462&lt;='Control Room'!$B$3,'Control Room'!$D$3="Ready"),11&lt;='Control Room'!$B$2),ROUND(MAX(0,'Process'!BC463*'Control Room'!$H$14*INDEX('Control Room'!$B$19:$H$19,1,WEEKDAY($A463,2))*(1+'Control Room'!$D$9)^461*'Process'!BD463),2),"")</x:f>
      </x:c>
      <x:c r="N463" s="16" t="str">
        <x:f>IF(AND(AND(462&lt;='Control Room'!$B$3,'Control Room'!$D$3="Ready"),12&lt;='Control Room'!$B$2),ROUND(MAX(0,'Process'!BH463*'Control Room'!$H$15*INDEX('Control Room'!$B$19:$H$19,1,WEEKDAY($A463,2))*(1+'Control Room'!$D$9)^461*'Process'!BI463),2),"")</x:f>
      </x:c>
    </x:row>
    <x:row r="464" ht="21" customHeight="1">
      <x:c r="A464" s="15" t="str">
        <x:f>IF(AND(463&lt;='Control Room'!$B$3,'Control Room'!$D$3="Ready"),'Process'!A464,"")</x:f>
      </x:c>
      <x:c r="B464" s="16" t="str">
        <x:f>IF(A464="","",SUM(C464:N464))</x:f>
      </x:c>
      <x:c r="C464" s="16" t="str">
        <x:f>IF(AND(AND(463&lt;='Control Room'!$B$3,'Control Room'!$D$3="Ready"),1&lt;='Control Room'!$B$2),ROUND(MAX(0,'Process'!E464*'Control Room'!$H$4*INDEX('Control Room'!$B$19:$H$19,1,WEEKDAY($A464,2))*(1+'Control Room'!$D$9)^462*'Process'!F464),2),"")</x:f>
      </x:c>
      <x:c r="D464" s="16" t="str">
        <x:f>IF(AND(AND(463&lt;='Control Room'!$B$3,'Control Room'!$D$3="Ready"),2&lt;='Control Room'!$B$2),ROUND(MAX(0,'Process'!J464*'Control Room'!$H$5*INDEX('Control Room'!$B$19:$H$19,1,WEEKDAY($A464,2))*(1+'Control Room'!$D$9)^462*'Process'!K464),2),"")</x:f>
      </x:c>
      <x:c r="E464" s="16" t="str">
        <x:f>IF(AND(AND(463&lt;='Control Room'!$B$3,'Control Room'!$D$3="Ready"),3&lt;='Control Room'!$B$2),ROUND(MAX(0,'Process'!O464*'Control Room'!$H$6*INDEX('Control Room'!$B$19:$H$19,1,WEEKDAY($A464,2))*(1+'Control Room'!$D$9)^462*'Process'!P464),2),"")</x:f>
      </x:c>
      <x:c r="F464" s="16" t="str">
        <x:f>IF(AND(AND(463&lt;='Control Room'!$B$3,'Control Room'!$D$3="Ready"),4&lt;='Control Room'!$B$2),ROUND(MAX(0,'Process'!T464*'Control Room'!$H$7*INDEX('Control Room'!$B$19:$H$19,1,WEEKDAY($A464,2))*(1+'Control Room'!$D$9)^462*'Process'!U464),2),"")</x:f>
      </x:c>
      <x:c r="G464" s="16" t="str">
        <x:f>IF(AND(AND(463&lt;='Control Room'!$B$3,'Control Room'!$D$3="Ready"),5&lt;='Control Room'!$B$2),ROUND(MAX(0,'Process'!Y464*'Control Room'!$H$8*INDEX('Control Room'!$B$19:$H$19,1,WEEKDAY($A464,2))*(1+'Control Room'!$D$9)^462*'Process'!Z464),2),"")</x:f>
      </x:c>
      <x:c r="H464" s="16" t="str">
        <x:f>IF(AND(AND(463&lt;='Control Room'!$B$3,'Control Room'!$D$3="Ready"),6&lt;='Control Room'!$B$2),ROUND(MAX(0,'Process'!AD464*'Control Room'!$H$9*INDEX('Control Room'!$B$19:$H$19,1,WEEKDAY($A464,2))*(1+'Control Room'!$D$9)^462*'Process'!AE464),2),"")</x:f>
      </x:c>
      <x:c r="I464" s="16" t="str">
        <x:f>IF(AND(AND(463&lt;='Control Room'!$B$3,'Control Room'!$D$3="Ready"),7&lt;='Control Room'!$B$2),ROUND(MAX(0,'Process'!AI464*'Control Room'!$H$10*INDEX('Control Room'!$B$19:$H$19,1,WEEKDAY($A464,2))*(1+'Control Room'!$D$9)^462*'Process'!AJ464),2),"")</x:f>
      </x:c>
      <x:c r="J464" s="16" t="str">
        <x:f>IF(AND(AND(463&lt;='Control Room'!$B$3,'Control Room'!$D$3="Ready"),8&lt;='Control Room'!$B$2),ROUND(MAX(0,'Process'!AN464*'Control Room'!$H$11*INDEX('Control Room'!$B$19:$H$19,1,WEEKDAY($A464,2))*(1+'Control Room'!$D$9)^462*'Process'!AO464),2),"")</x:f>
      </x:c>
      <x:c r="K464" s="16" t="str">
        <x:f>IF(AND(AND(463&lt;='Control Room'!$B$3,'Control Room'!$D$3="Ready"),9&lt;='Control Room'!$B$2),ROUND(MAX(0,'Process'!AS464*'Control Room'!$H$12*INDEX('Control Room'!$B$19:$H$19,1,WEEKDAY($A464,2))*(1+'Control Room'!$D$9)^462*'Process'!AT464),2),"")</x:f>
      </x:c>
      <x:c r="L464" s="16" t="str">
        <x:f>IF(AND(AND(463&lt;='Control Room'!$B$3,'Control Room'!$D$3="Ready"),10&lt;='Control Room'!$B$2),ROUND(MAX(0,'Process'!AX464*'Control Room'!$H$13*INDEX('Control Room'!$B$19:$H$19,1,WEEKDAY($A464,2))*(1+'Control Room'!$D$9)^462*'Process'!AY464),2),"")</x:f>
      </x:c>
      <x:c r="M464" s="16" t="str">
        <x:f>IF(AND(AND(463&lt;='Control Room'!$B$3,'Control Room'!$D$3="Ready"),11&lt;='Control Room'!$B$2),ROUND(MAX(0,'Process'!BC464*'Control Room'!$H$14*INDEX('Control Room'!$B$19:$H$19,1,WEEKDAY($A464,2))*(1+'Control Room'!$D$9)^462*'Process'!BD464),2),"")</x:f>
      </x:c>
      <x:c r="N464" s="16" t="str">
        <x:f>IF(AND(AND(463&lt;='Control Room'!$B$3,'Control Room'!$D$3="Ready"),12&lt;='Control Room'!$B$2),ROUND(MAX(0,'Process'!BH464*'Control Room'!$H$15*INDEX('Control Room'!$B$19:$H$19,1,WEEKDAY($A464,2))*(1+'Control Room'!$D$9)^462*'Process'!BI464),2),"")</x:f>
      </x:c>
    </x:row>
    <x:row r="465" ht="21" customHeight="1">
      <x:c r="A465" s="15" t="str">
        <x:f>IF(AND(464&lt;='Control Room'!$B$3,'Control Room'!$D$3="Ready"),'Process'!A465,"")</x:f>
      </x:c>
      <x:c r="B465" s="16" t="str">
        <x:f>IF(A465="","",SUM(C465:N465))</x:f>
      </x:c>
      <x:c r="C465" s="16" t="str">
        <x:f>IF(AND(AND(464&lt;='Control Room'!$B$3,'Control Room'!$D$3="Ready"),1&lt;='Control Room'!$B$2),ROUND(MAX(0,'Process'!E465*'Control Room'!$H$4*INDEX('Control Room'!$B$19:$H$19,1,WEEKDAY($A465,2))*(1+'Control Room'!$D$9)^463*'Process'!F465),2),"")</x:f>
      </x:c>
      <x:c r="D465" s="16" t="str">
        <x:f>IF(AND(AND(464&lt;='Control Room'!$B$3,'Control Room'!$D$3="Ready"),2&lt;='Control Room'!$B$2),ROUND(MAX(0,'Process'!J465*'Control Room'!$H$5*INDEX('Control Room'!$B$19:$H$19,1,WEEKDAY($A465,2))*(1+'Control Room'!$D$9)^463*'Process'!K465),2),"")</x:f>
      </x:c>
      <x:c r="E465" s="16" t="str">
        <x:f>IF(AND(AND(464&lt;='Control Room'!$B$3,'Control Room'!$D$3="Ready"),3&lt;='Control Room'!$B$2),ROUND(MAX(0,'Process'!O465*'Control Room'!$H$6*INDEX('Control Room'!$B$19:$H$19,1,WEEKDAY($A465,2))*(1+'Control Room'!$D$9)^463*'Process'!P465),2),"")</x:f>
      </x:c>
      <x:c r="F465" s="16" t="str">
        <x:f>IF(AND(AND(464&lt;='Control Room'!$B$3,'Control Room'!$D$3="Ready"),4&lt;='Control Room'!$B$2),ROUND(MAX(0,'Process'!T465*'Control Room'!$H$7*INDEX('Control Room'!$B$19:$H$19,1,WEEKDAY($A465,2))*(1+'Control Room'!$D$9)^463*'Process'!U465),2),"")</x:f>
      </x:c>
      <x:c r="G465" s="16" t="str">
        <x:f>IF(AND(AND(464&lt;='Control Room'!$B$3,'Control Room'!$D$3="Ready"),5&lt;='Control Room'!$B$2),ROUND(MAX(0,'Process'!Y465*'Control Room'!$H$8*INDEX('Control Room'!$B$19:$H$19,1,WEEKDAY($A465,2))*(1+'Control Room'!$D$9)^463*'Process'!Z465),2),"")</x:f>
      </x:c>
      <x:c r="H465" s="16" t="str">
        <x:f>IF(AND(AND(464&lt;='Control Room'!$B$3,'Control Room'!$D$3="Ready"),6&lt;='Control Room'!$B$2),ROUND(MAX(0,'Process'!AD465*'Control Room'!$H$9*INDEX('Control Room'!$B$19:$H$19,1,WEEKDAY($A465,2))*(1+'Control Room'!$D$9)^463*'Process'!AE465),2),"")</x:f>
      </x:c>
      <x:c r="I465" s="16" t="str">
        <x:f>IF(AND(AND(464&lt;='Control Room'!$B$3,'Control Room'!$D$3="Ready"),7&lt;='Control Room'!$B$2),ROUND(MAX(0,'Process'!AI465*'Control Room'!$H$10*INDEX('Control Room'!$B$19:$H$19,1,WEEKDAY($A465,2))*(1+'Control Room'!$D$9)^463*'Process'!AJ465),2),"")</x:f>
      </x:c>
      <x:c r="J465" s="16" t="str">
        <x:f>IF(AND(AND(464&lt;='Control Room'!$B$3,'Control Room'!$D$3="Ready"),8&lt;='Control Room'!$B$2),ROUND(MAX(0,'Process'!AN465*'Control Room'!$H$11*INDEX('Control Room'!$B$19:$H$19,1,WEEKDAY($A465,2))*(1+'Control Room'!$D$9)^463*'Process'!AO465),2),"")</x:f>
      </x:c>
      <x:c r="K465" s="16" t="str">
        <x:f>IF(AND(AND(464&lt;='Control Room'!$B$3,'Control Room'!$D$3="Ready"),9&lt;='Control Room'!$B$2),ROUND(MAX(0,'Process'!AS465*'Control Room'!$H$12*INDEX('Control Room'!$B$19:$H$19,1,WEEKDAY($A465,2))*(1+'Control Room'!$D$9)^463*'Process'!AT465),2),"")</x:f>
      </x:c>
      <x:c r="L465" s="16" t="str">
        <x:f>IF(AND(AND(464&lt;='Control Room'!$B$3,'Control Room'!$D$3="Ready"),10&lt;='Control Room'!$B$2),ROUND(MAX(0,'Process'!AX465*'Control Room'!$H$13*INDEX('Control Room'!$B$19:$H$19,1,WEEKDAY($A465,2))*(1+'Control Room'!$D$9)^463*'Process'!AY465),2),"")</x:f>
      </x:c>
      <x:c r="M465" s="16" t="str">
        <x:f>IF(AND(AND(464&lt;='Control Room'!$B$3,'Control Room'!$D$3="Ready"),11&lt;='Control Room'!$B$2),ROUND(MAX(0,'Process'!BC465*'Control Room'!$H$14*INDEX('Control Room'!$B$19:$H$19,1,WEEKDAY($A465,2))*(1+'Control Room'!$D$9)^463*'Process'!BD465),2),"")</x:f>
      </x:c>
      <x:c r="N465" s="16" t="str">
        <x:f>IF(AND(AND(464&lt;='Control Room'!$B$3,'Control Room'!$D$3="Ready"),12&lt;='Control Room'!$B$2),ROUND(MAX(0,'Process'!BH465*'Control Room'!$H$15*INDEX('Control Room'!$B$19:$H$19,1,WEEKDAY($A465,2))*(1+'Control Room'!$D$9)^463*'Process'!BI465),2),"")</x:f>
      </x:c>
    </x:row>
    <x:row r="466" ht="21" customHeight="1">
      <x:c r="A466" s="15" t="str">
        <x:f>IF(AND(465&lt;='Control Room'!$B$3,'Control Room'!$D$3="Ready"),'Process'!A466,"")</x:f>
      </x:c>
      <x:c r="B466" s="16" t="str">
        <x:f>IF(A466="","",SUM(C466:N466))</x:f>
      </x:c>
      <x:c r="C466" s="16" t="str">
        <x:f>IF(AND(AND(465&lt;='Control Room'!$B$3,'Control Room'!$D$3="Ready"),1&lt;='Control Room'!$B$2),ROUND(MAX(0,'Process'!E466*'Control Room'!$H$4*INDEX('Control Room'!$B$19:$H$19,1,WEEKDAY($A466,2))*(1+'Control Room'!$D$9)^464*'Process'!F466),2),"")</x:f>
      </x:c>
      <x:c r="D466" s="16" t="str">
        <x:f>IF(AND(AND(465&lt;='Control Room'!$B$3,'Control Room'!$D$3="Ready"),2&lt;='Control Room'!$B$2),ROUND(MAX(0,'Process'!J466*'Control Room'!$H$5*INDEX('Control Room'!$B$19:$H$19,1,WEEKDAY($A466,2))*(1+'Control Room'!$D$9)^464*'Process'!K466),2),"")</x:f>
      </x:c>
      <x:c r="E466" s="16" t="str">
        <x:f>IF(AND(AND(465&lt;='Control Room'!$B$3,'Control Room'!$D$3="Ready"),3&lt;='Control Room'!$B$2),ROUND(MAX(0,'Process'!O466*'Control Room'!$H$6*INDEX('Control Room'!$B$19:$H$19,1,WEEKDAY($A466,2))*(1+'Control Room'!$D$9)^464*'Process'!P466),2),"")</x:f>
      </x:c>
      <x:c r="F466" s="16" t="str">
        <x:f>IF(AND(AND(465&lt;='Control Room'!$B$3,'Control Room'!$D$3="Ready"),4&lt;='Control Room'!$B$2),ROUND(MAX(0,'Process'!T466*'Control Room'!$H$7*INDEX('Control Room'!$B$19:$H$19,1,WEEKDAY($A466,2))*(1+'Control Room'!$D$9)^464*'Process'!U466),2),"")</x:f>
      </x:c>
      <x:c r="G466" s="16" t="str">
        <x:f>IF(AND(AND(465&lt;='Control Room'!$B$3,'Control Room'!$D$3="Ready"),5&lt;='Control Room'!$B$2),ROUND(MAX(0,'Process'!Y466*'Control Room'!$H$8*INDEX('Control Room'!$B$19:$H$19,1,WEEKDAY($A466,2))*(1+'Control Room'!$D$9)^464*'Process'!Z466),2),"")</x:f>
      </x:c>
      <x:c r="H466" s="16" t="str">
        <x:f>IF(AND(AND(465&lt;='Control Room'!$B$3,'Control Room'!$D$3="Ready"),6&lt;='Control Room'!$B$2),ROUND(MAX(0,'Process'!AD466*'Control Room'!$H$9*INDEX('Control Room'!$B$19:$H$19,1,WEEKDAY($A466,2))*(1+'Control Room'!$D$9)^464*'Process'!AE466),2),"")</x:f>
      </x:c>
      <x:c r="I466" s="16" t="str">
        <x:f>IF(AND(AND(465&lt;='Control Room'!$B$3,'Control Room'!$D$3="Ready"),7&lt;='Control Room'!$B$2),ROUND(MAX(0,'Process'!AI466*'Control Room'!$H$10*INDEX('Control Room'!$B$19:$H$19,1,WEEKDAY($A466,2))*(1+'Control Room'!$D$9)^464*'Process'!AJ466),2),"")</x:f>
      </x:c>
      <x:c r="J466" s="16" t="str">
        <x:f>IF(AND(AND(465&lt;='Control Room'!$B$3,'Control Room'!$D$3="Ready"),8&lt;='Control Room'!$B$2),ROUND(MAX(0,'Process'!AN466*'Control Room'!$H$11*INDEX('Control Room'!$B$19:$H$19,1,WEEKDAY($A466,2))*(1+'Control Room'!$D$9)^464*'Process'!AO466),2),"")</x:f>
      </x:c>
      <x:c r="K466" s="16" t="str">
        <x:f>IF(AND(AND(465&lt;='Control Room'!$B$3,'Control Room'!$D$3="Ready"),9&lt;='Control Room'!$B$2),ROUND(MAX(0,'Process'!AS466*'Control Room'!$H$12*INDEX('Control Room'!$B$19:$H$19,1,WEEKDAY($A466,2))*(1+'Control Room'!$D$9)^464*'Process'!AT466),2),"")</x:f>
      </x:c>
      <x:c r="L466" s="16" t="str">
        <x:f>IF(AND(AND(465&lt;='Control Room'!$B$3,'Control Room'!$D$3="Ready"),10&lt;='Control Room'!$B$2),ROUND(MAX(0,'Process'!AX466*'Control Room'!$H$13*INDEX('Control Room'!$B$19:$H$19,1,WEEKDAY($A466,2))*(1+'Control Room'!$D$9)^464*'Process'!AY466),2),"")</x:f>
      </x:c>
      <x:c r="M466" s="16" t="str">
        <x:f>IF(AND(AND(465&lt;='Control Room'!$B$3,'Control Room'!$D$3="Ready"),11&lt;='Control Room'!$B$2),ROUND(MAX(0,'Process'!BC466*'Control Room'!$H$14*INDEX('Control Room'!$B$19:$H$19,1,WEEKDAY($A466,2))*(1+'Control Room'!$D$9)^464*'Process'!BD466),2),"")</x:f>
      </x:c>
      <x:c r="N466" s="16" t="str">
        <x:f>IF(AND(AND(465&lt;='Control Room'!$B$3,'Control Room'!$D$3="Ready"),12&lt;='Control Room'!$B$2),ROUND(MAX(0,'Process'!BH466*'Control Room'!$H$15*INDEX('Control Room'!$B$19:$H$19,1,WEEKDAY($A466,2))*(1+'Control Room'!$D$9)^464*'Process'!BI466),2),"")</x:f>
      </x:c>
    </x:row>
    <x:row r="467" ht="21" customHeight="1">
      <x:c r="A467" s="15" t="str">
        <x:f>IF(AND(466&lt;='Control Room'!$B$3,'Control Room'!$D$3="Ready"),'Process'!A467,"")</x:f>
      </x:c>
      <x:c r="B467" s="16" t="str">
        <x:f>IF(A467="","",SUM(C467:N467))</x:f>
      </x:c>
      <x:c r="C467" s="16" t="str">
        <x:f>IF(AND(AND(466&lt;='Control Room'!$B$3,'Control Room'!$D$3="Ready"),1&lt;='Control Room'!$B$2),ROUND(MAX(0,'Process'!E467*'Control Room'!$H$4*INDEX('Control Room'!$B$19:$H$19,1,WEEKDAY($A467,2))*(1+'Control Room'!$D$9)^465*'Process'!F467),2),"")</x:f>
      </x:c>
      <x:c r="D467" s="16" t="str">
        <x:f>IF(AND(AND(466&lt;='Control Room'!$B$3,'Control Room'!$D$3="Ready"),2&lt;='Control Room'!$B$2),ROUND(MAX(0,'Process'!J467*'Control Room'!$H$5*INDEX('Control Room'!$B$19:$H$19,1,WEEKDAY($A467,2))*(1+'Control Room'!$D$9)^465*'Process'!K467),2),"")</x:f>
      </x:c>
      <x:c r="E467" s="16" t="str">
        <x:f>IF(AND(AND(466&lt;='Control Room'!$B$3,'Control Room'!$D$3="Ready"),3&lt;='Control Room'!$B$2),ROUND(MAX(0,'Process'!O467*'Control Room'!$H$6*INDEX('Control Room'!$B$19:$H$19,1,WEEKDAY($A467,2))*(1+'Control Room'!$D$9)^465*'Process'!P467),2),"")</x:f>
      </x:c>
      <x:c r="F467" s="16" t="str">
        <x:f>IF(AND(AND(466&lt;='Control Room'!$B$3,'Control Room'!$D$3="Ready"),4&lt;='Control Room'!$B$2),ROUND(MAX(0,'Process'!T467*'Control Room'!$H$7*INDEX('Control Room'!$B$19:$H$19,1,WEEKDAY($A467,2))*(1+'Control Room'!$D$9)^465*'Process'!U467),2),"")</x:f>
      </x:c>
      <x:c r="G467" s="16" t="str">
        <x:f>IF(AND(AND(466&lt;='Control Room'!$B$3,'Control Room'!$D$3="Ready"),5&lt;='Control Room'!$B$2),ROUND(MAX(0,'Process'!Y467*'Control Room'!$H$8*INDEX('Control Room'!$B$19:$H$19,1,WEEKDAY($A467,2))*(1+'Control Room'!$D$9)^465*'Process'!Z467),2),"")</x:f>
      </x:c>
      <x:c r="H467" s="16" t="str">
        <x:f>IF(AND(AND(466&lt;='Control Room'!$B$3,'Control Room'!$D$3="Ready"),6&lt;='Control Room'!$B$2),ROUND(MAX(0,'Process'!AD467*'Control Room'!$H$9*INDEX('Control Room'!$B$19:$H$19,1,WEEKDAY($A467,2))*(1+'Control Room'!$D$9)^465*'Process'!AE467),2),"")</x:f>
      </x:c>
      <x:c r="I467" s="16" t="str">
        <x:f>IF(AND(AND(466&lt;='Control Room'!$B$3,'Control Room'!$D$3="Ready"),7&lt;='Control Room'!$B$2),ROUND(MAX(0,'Process'!AI467*'Control Room'!$H$10*INDEX('Control Room'!$B$19:$H$19,1,WEEKDAY($A467,2))*(1+'Control Room'!$D$9)^465*'Process'!AJ467),2),"")</x:f>
      </x:c>
      <x:c r="J467" s="16" t="str">
        <x:f>IF(AND(AND(466&lt;='Control Room'!$B$3,'Control Room'!$D$3="Ready"),8&lt;='Control Room'!$B$2),ROUND(MAX(0,'Process'!AN467*'Control Room'!$H$11*INDEX('Control Room'!$B$19:$H$19,1,WEEKDAY($A467,2))*(1+'Control Room'!$D$9)^465*'Process'!AO467),2),"")</x:f>
      </x:c>
      <x:c r="K467" s="16" t="str">
        <x:f>IF(AND(AND(466&lt;='Control Room'!$B$3,'Control Room'!$D$3="Ready"),9&lt;='Control Room'!$B$2),ROUND(MAX(0,'Process'!AS467*'Control Room'!$H$12*INDEX('Control Room'!$B$19:$H$19,1,WEEKDAY($A467,2))*(1+'Control Room'!$D$9)^465*'Process'!AT467),2),"")</x:f>
      </x:c>
      <x:c r="L467" s="16" t="str">
        <x:f>IF(AND(AND(466&lt;='Control Room'!$B$3,'Control Room'!$D$3="Ready"),10&lt;='Control Room'!$B$2),ROUND(MAX(0,'Process'!AX467*'Control Room'!$H$13*INDEX('Control Room'!$B$19:$H$19,1,WEEKDAY($A467,2))*(1+'Control Room'!$D$9)^465*'Process'!AY467),2),"")</x:f>
      </x:c>
      <x:c r="M467" s="16" t="str">
        <x:f>IF(AND(AND(466&lt;='Control Room'!$B$3,'Control Room'!$D$3="Ready"),11&lt;='Control Room'!$B$2),ROUND(MAX(0,'Process'!BC467*'Control Room'!$H$14*INDEX('Control Room'!$B$19:$H$19,1,WEEKDAY($A467,2))*(1+'Control Room'!$D$9)^465*'Process'!BD467),2),"")</x:f>
      </x:c>
      <x:c r="N467" s="16" t="str">
        <x:f>IF(AND(AND(466&lt;='Control Room'!$B$3,'Control Room'!$D$3="Ready"),12&lt;='Control Room'!$B$2),ROUND(MAX(0,'Process'!BH467*'Control Room'!$H$15*INDEX('Control Room'!$B$19:$H$19,1,WEEKDAY($A467,2))*(1+'Control Room'!$D$9)^465*'Process'!BI467),2),"")</x:f>
      </x:c>
    </x:row>
    <x:row r="468" ht="21" customHeight="1">
      <x:c r="A468" s="15" t="str">
        <x:f>IF(AND(467&lt;='Control Room'!$B$3,'Control Room'!$D$3="Ready"),'Process'!A468,"")</x:f>
      </x:c>
      <x:c r="B468" s="16" t="str">
        <x:f>IF(A468="","",SUM(C468:N468))</x:f>
      </x:c>
      <x:c r="C468" s="16" t="str">
        <x:f>IF(AND(AND(467&lt;='Control Room'!$B$3,'Control Room'!$D$3="Ready"),1&lt;='Control Room'!$B$2),ROUND(MAX(0,'Process'!E468*'Control Room'!$H$4*INDEX('Control Room'!$B$19:$H$19,1,WEEKDAY($A468,2))*(1+'Control Room'!$D$9)^466*'Process'!F468),2),"")</x:f>
      </x:c>
      <x:c r="D468" s="16" t="str">
        <x:f>IF(AND(AND(467&lt;='Control Room'!$B$3,'Control Room'!$D$3="Ready"),2&lt;='Control Room'!$B$2),ROUND(MAX(0,'Process'!J468*'Control Room'!$H$5*INDEX('Control Room'!$B$19:$H$19,1,WEEKDAY($A468,2))*(1+'Control Room'!$D$9)^466*'Process'!K468),2),"")</x:f>
      </x:c>
      <x:c r="E468" s="16" t="str">
        <x:f>IF(AND(AND(467&lt;='Control Room'!$B$3,'Control Room'!$D$3="Ready"),3&lt;='Control Room'!$B$2),ROUND(MAX(0,'Process'!O468*'Control Room'!$H$6*INDEX('Control Room'!$B$19:$H$19,1,WEEKDAY($A468,2))*(1+'Control Room'!$D$9)^466*'Process'!P468),2),"")</x:f>
      </x:c>
      <x:c r="F468" s="16" t="str">
        <x:f>IF(AND(AND(467&lt;='Control Room'!$B$3,'Control Room'!$D$3="Ready"),4&lt;='Control Room'!$B$2),ROUND(MAX(0,'Process'!T468*'Control Room'!$H$7*INDEX('Control Room'!$B$19:$H$19,1,WEEKDAY($A468,2))*(1+'Control Room'!$D$9)^466*'Process'!U468),2),"")</x:f>
      </x:c>
      <x:c r="G468" s="16" t="str">
        <x:f>IF(AND(AND(467&lt;='Control Room'!$B$3,'Control Room'!$D$3="Ready"),5&lt;='Control Room'!$B$2),ROUND(MAX(0,'Process'!Y468*'Control Room'!$H$8*INDEX('Control Room'!$B$19:$H$19,1,WEEKDAY($A468,2))*(1+'Control Room'!$D$9)^466*'Process'!Z468),2),"")</x:f>
      </x:c>
      <x:c r="H468" s="16" t="str">
        <x:f>IF(AND(AND(467&lt;='Control Room'!$B$3,'Control Room'!$D$3="Ready"),6&lt;='Control Room'!$B$2),ROUND(MAX(0,'Process'!AD468*'Control Room'!$H$9*INDEX('Control Room'!$B$19:$H$19,1,WEEKDAY($A468,2))*(1+'Control Room'!$D$9)^466*'Process'!AE468),2),"")</x:f>
      </x:c>
      <x:c r="I468" s="16" t="str">
        <x:f>IF(AND(AND(467&lt;='Control Room'!$B$3,'Control Room'!$D$3="Ready"),7&lt;='Control Room'!$B$2),ROUND(MAX(0,'Process'!AI468*'Control Room'!$H$10*INDEX('Control Room'!$B$19:$H$19,1,WEEKDAY($A468,2))*(1+'Control Room'!$D$9)^466*'Process'!AJ468),2),"")</x:f>
      </x:c>
      <x:c r="J468" s="16" t="str">
        <x:f>IF(AND(AND(467&lt;='Control Room'!$B$3,'Control Room'!$D$3="Ready"),8&lt;='Control Room'!$B$2),ROUND(MAX(0,'Process'!AN468*'Control Room'!$H$11*INDEX('Control Room'!$B$19:$H$19,1,WEEKDAY($A468,2))*(1+'Control Room'!$D$9)^466*'Process'!AO468),2),"")</x:f>
      </x:c>
      <x:c r="K468" s="16" t="str">
        <x:f>IF(AND(AND(467&lt;='Control Room'!$B$3,'Control Room'!$D$3="Ready"),9&lt;='Control Room'!$B$2),ROUND(MAX(0,'Process'!AS468*'Control Room'!$H$12*INDEX('Control Room'!$B$19:$H$19,1,WEEKDAY($A468,2))*(1+'Control Room'!$D$9)^466*'Process'!AT468),2),"")</x:f>
      </x:c>
      <x:c r="L468" s="16" t="str">
        <x:f>IF(AND(AND(467&lt;='Control Room'!$B$3,'Control Room'!$D$3="Ready"),10&lt;='Control Room'!$B$2),ROUND(MAX(0,'Process'!AX468*'Control Room'!$H$13*INDEX('Control Room'!$B$19:$H$19,1,WEEKDAY($A468,2))*(1+'Control Room'!$D$9)^466*'Process'!AY468),2),"")</x:f>
      </x:c>
      <x:c r="M468" s="16" t="str">
        <x:f>IF(AND(AND(467&lt;='Control Room'!$B$3,'Control Room'!$D$3="Ready"),11&lt;='Control Room'!$B$2),ROUND(MAX(0,'Process'!BC468*'Control Room'!$H$14*INDEX('Control Room'!$B$19:$H$19,1,WEEKDAY($A468,2))*(1+'Control Room'!$D$9)^466*'Process'!BD468),2),"")</x:f>
      </x:c>
      <x:c r="N468" s="16" t="str">
        <x:f>IF(AND(AND(467&lt;='Control Room'!$B$3,'Control Room'!$D$3="Ready"),12&lt;='Control Room'!$B$2),ROUND(MAX(0,'Process'!BH468*'Control Room'!$H$15*INDEX('Control Room'!$B$19:$H$19,1,WEEKDAY($A468,2))*(1+'Control Room'!$D$9)^466*'Process'!BI468),2),"")</x:f>
      </x:c>
    </x:row>
    <x:row r="469" ht="21" customHeight="1">
      <x:c r="A469" s="15" t="str">
        <x:f>IF(AND(468&lt;='Control Room'!$B$3,'Control Room'!$D$3="Ready"),'Process'!A469,"")</x:f>
      </x:c>
      <x:c r="B469" s="16" t="str">
        <x:f>IF(A469="","",SUM(C469:N469))</x:f>
      </x:c>
      <x:c r="C469" s="16" t="str">
        <x:f>IF(AND(AND(468&lt;='Control Room'!$B$3,'Control Room'!$D$3="Ready"),1&lt;='Control Room'!$B$2),ROUND(MAX(0,'Process'!E469*'Control Room'!$H$4*INDEX('Control Room'!$B$19:$H$19,1,WEEKDAY($A469,2))*(1+'Control Room'!$D$9)^467*'Process'!F469),2),"")</x:f>
      </x:c>
      <x:c r="D469" s="16" t="str">
        <x:f>IF(AND(AND(468&lt;='Control Room'!$B$3,'Control Room'!$D$3="Ready"),2&lt;='Control Room'!$B$2),ROUND(MAX(0,'Process'!J469*'Control Room'!$H$5*INDEX('Control Room'!$B$19:$H$19,1,WEEKDAY($A469,2))*(1+'Control Room'!$D$9)^467*'Process'!K469),2),"")</x:f>
      </x:c>
      <x:c r="E469" s="16" t="str">
        <x:f>IF(AND(AND(468&lt;='Control Room'!$B$3,'Control Room'!$D$3="Ready"),3&lt;='Control Room'!$B$2),ROUND(MAX(0,'Process'!O469*'Control Room'!$H$6*INDEX('Control Room'!$B$19:$H$19,1,WEEKDAY($A469,2))*(1+'Control Room'!$D$9)^467*'Process'!P469),2),"")</x:f>
      </x:c>
      <x:c r="F469" s="16" t="str">
        <x:f>IF(AND(AND(468&lt;='Control Room'!$B$3,'Control Room'!$D$3="Ready"),4&lt;='Control Room'!$B$2),ROUND(MAX(0,'Process'!T469*'Control Room'!$H$7*INDEX('Control Room'!$B$19:$H$19,1,WEEKDAY($A469,2))*(1+'Control Room'!$D$9)^467*'Process'!U469),2),"")</x:f>
      </x:c>
      <x:c r="G469" s="16" t="str">
        <x:f>IF(AND(AND(468&lt;='Control Room'!$B$3,'Control Room'!$D$3="Ready"),5&lt;='Control Room'!$B$2),ROUND(MAX(0,'Process'!Y469*'Control Room'!$H$8*INDEX('Control Room'!$B$19:$H$19,1,WEEKDAY($A469,2))*(1+'Control Room'!$D$9)^467*'Process'!Z469),2),"")</x:f>
      </x:c>
      <x:c r="H469" s="16" t="str">
        <x:f>IF(AND(AND(468&lt;='Control Room'!$B$3,'Control Room'!$D$3="Ready"),6&lt;='Control Room'!$B$2),ROUND(MAX(0,'Process'!AD469*'Control Room'!$H$9*INDEX('Control Room'!$B$19:$H$19,1,WEEKDAY($A469,2))*(1+'Control Room'!$D$9)^467*'Process'!AE469),2),"")</x:f>
      </x:c>
      <x:c r="I469" s="16" t="str">
        <x:f>IF(AND(AND(468&lt;='Control Room'!$B$3,'Control Room'!$D$3="Ready"),7&lt;='Control Room'!$B$2),ROUND(MAX(0,'Process'!AI469*'Control Room'!$H$10*INDEX('Control Room'!$B$19:$H$19,1,WEEKDAY($A469,2))*(1+'Control Room'!$D$9)^467*'Process'!AJ469),2),"")</x:f>
      </x:c>
      <x:c r="J469" s="16" t="str">
        <x:f>IF(AND(AND(468&lt;='Control Room'!$B$3,'Control Room'!$D$3="Ready"),8&lt;='Control Room'!$B$2),ROUND(MAX(0,'Process'!AN469*'Control Room'!$H$11*INDEX('Control Room'!$B$19:$H$19,1,WEEKDAY($A469,2))*(1+'Control Room'!$D$9)^467*'Process'!AO469),2),"")</x:f>
      </x:c>
      <x:c r="K469" s="16" t="str">
        <x:f>IF(AND(AND(468&lt;='Control Room'!$B$3,'Control Room'!$D$3="Ready"),9&lt;='Control Room'!$B$2),ROUND(MAX(0,'Process'!AS469*'Control Room'!$H$12*INDEX('Control Room'!$B$19:$H$19,1,WEEKDAY($A469,2))*(1+'Control Room'!$D$9)^467*'Process'!AT469),2),"")</x:f>
      </x:c>
      <x:c r="L469" s="16" t="str">
        <x:f>IF(AND(AND(468&lt;='Control Room'!$B$3,'Control Room'!$D$3="Ready"),10&lt;='Control Room'!$B$2),ROUND(MAX(0,'Process'!AX469*'Control Room'!$H$13*INDEX('Control Room'!$B$19:$H$19,1,WEEKDAY($A469,2))*(1+'Control Room'!$D$9)^467*'Process'!AY469),2),"")</x:f>
      </x:c>
      <x:c r="M469" s="16" t="str">
        <x:f>IF(AND(AND(468&lt;='Control Room'!$B$3,'Control Room'!$D$3="Ready"),11&lt;='Control Room'!$B$2),ROUND(MAX(0,'Process'!BC469*'Control Room'!$H$14*INDEX('Control Room'!$B$19:$H$19,1,WEEKDAY($A469,2))*(1+'Control Room'!$D$9)^467*'Process'!BD469),2),"")</x:f>
      </x:c>
      <x:c r="N469" s="16" t="str">
        <x:f>IF(AND(AND(468&lt;='Control Room'!$B$3,'Control Room'!$D$3="Ready"),12&lt;='Control Room'!$B$2),ROUND(MAX(0,'Process'!BH469*'Control Room'!$H$15*INDEX('Control Room'!$B$19:$H$19,1,WEEKDAY($A469,2))*(1+'Control Room'!$D$9)^467*'Process'!BI469),2),"")</x:f>
      </x:c>
    </x:row>
    <x:row r="470" ht="21" customHeight="1">
      <x:c r="A470" s="15" t="str">
        <x:f>IF(AND(469&lt;='Control Room'!$B$3,'Control Room'!$D$3="Ready"),'Process'!A470,"")</x:f>
      </x:c>
      <x:c r="B470" s="16" t="str">
        <x:f>IF(A470="","",SUM(C470:N470))</x:f>
      </x:c>
      <x:c r="C470" s="16" t="str">
        <x:f>IF(AND(AND(469&lt;='Control Room'!$B$3,'Control Room'!$D$3="Ready"),1&lt;='Control Room'!$B$2),ROUND(MAX(0,'Process'!E470*'Control Room'!$H$4*INDEX('Control Room'!$B$19:$H$19,1,WEEKDAY($A470,2))*(1+'Control Room'!$D$9)^468*'Process'!F470),2),"")</x:f>
      </x:c>
      <x:c r="D470" s="16" t="str">
        <x:f>IF(AND(AND(469&lt;='Control Room'!$B$3,'Control Room'!$D$3="Ready"),2&lt;='Control Room'!$B$2),ROUND(MAX(0,'Process'!J470*'Control Room'!$H$5*INDEX('Control Room'!$B$19:$H$19,1,WEEKDAY($A470,2))*(1+'Control Room'!$D$9)^468*'Process'!K470),2),"")</x:f>
      </x:c>
      <x:c r="E470" s="16" t="str">
        <x:f>IF(AND(AND(469&lt;='Control Room'!$B$3,'Control Room'!$D$3="Ready"),3&lt;='Control Room'!$B$2),ROUND(MAX(0,'Process'!O470*'Control Room'!$H$6*INDEX('Control Room'!$B$19:$H$19,1,WEEKDAY($A470,2))*(1+'Control Room'!$D$9)^468*'Process'!P470),2),"")</x:f>
      </x:c>
      <x:c r="F470" s="16" t="str">
        <x:f>IF(AND(AND(469&lt;='Control Room'!$B$3,'Control Room'!$D$3="Ready"),4&lt;='Control Room'!$B$2),ROUND(MAX(0,'Process'!T470*'Control Room'!$H$7*INDEX('Control Room'!$B$19:$H$19,1,WEEKDAY($A470,2))*(1+'Control Room'!$D$9)^468*'Process'!U470),2),"")</x:f>
      </x:c>
      <x:c r="G470" s="16" t="str">
        <x:f>IF(AND(AND(469&lt;='Control Room'!$B$3,'Control Room'!$D$3="Ready"),5&lt;='Control Room'!$B$2),ROUND(MAX(0,'Process'!Y470*'Control Room'!$H$8*INDEX('Control Room'!$B$19:$H$19,1,WEEKDAY($A470,2))*(1+'Control Room'!$D$9)^468*'Process'!Z470),2),"")</x:f>
      </x:c>
      <x:c r="H470" s="16" t="str">
        <x:f>IF(AND(AND(469&lt;='Control Room'!$B$3,'Control Room'!$D$3="Ready"),6&lt;='Control Room'!$B$2),ROUND(MAX(0,'Process'!AD470*'Control Room'!$H$9*INDEX('Control Room'!$B$19:$H$19,1,WEEKDAY($A470,2))*(1+'Control Room'!$D$9)^468*'Process'!AE470),2),"")</x:f>
      </x:c>
      <x:c r="I470" s="16" t="str">
        <x:f>IF(AND(AND(469&lt;='Control Room'!$B$3,'Control Room'!$D$3="Ready"),7&lt;='Control Room'!$B$2),ROUND(MAX(0,'Process'!AI470*'Control Room'!$H$10*INDEX('Control Room'!$B$19:$H$19,1,WEEKDAY($A470,2))*(1+'Control Room'!$D$9)^468*'Process'!AJ470),2),"")</x:f>
      </x:c>
      <x:c r="J470" s="16" t="str">
        <x:f>IF(AND(AND(469&lt;='Control Room'!$B$3,'Control Room'!$D$3="Ready"),8&lt;='Control Room'!$B$2),ROUND(MAX(0,'Process'!AN470*'Control Room'!$H$11*INDEX('Control Room'!$B$19:$H$19,1,WEEKDAY($A470,2))*(1+'Control Room'!$D$9)^468*'Process'!AO470),2),"")</x:f>
      </x:c>
      <x:c r="K470" s="16" t="str">
        <x:f>IF(AND(AND(469&lt;='Control Room'!$B$3,'Control Room'!$D$3="Ready"),9&lt;='Control Room'!$B$2),ROUND(MAX(0,'Process'!AS470*'Control Room'!$H$12*INDEX('Control Room'!$B$19:$H$19,1,WEEKDAY($A470,2))*(1+'Control Room'!$D$9)^468*'Process'!AT470),2),"")</x:f>
      </x:c>
      <x:c r="L470" s="16" t="str">
        <x:f>IF(AND(AND(469&lt;='Control Room'!$B$3,'Control Room'!$D$3="Ready"),10&lt;='Control Room'!$B$2),ROUND(MAX(0,'Process'!AX470*'Control Room'!$H$13*INDEX('Control Room'!$B$19:$H$19,1,WEEKDAY($A470,2))*(1+'Control Room'!$D$9)^468*'Process'!AY470),2),"")</x:f>
      </x:c>
      <x:c r="M470" s="16" t="str">
        <x:f>IF(AND(AND(469&lt;='Control Room'!$B$3,'Control Room'!$D$3="Ready"),11&lt;='Control Room'!$B$2),ROUND(MAX(0,'Process'!BC470*'Control Room'!$H$14*INDEX('Control Room'!$B$19:$H$19,1,WEEKDAY($A470,2))*(1+'Control Room'!$D$9)^468*'Process'!BD470),2),"")</x:f>
      </x:c>
      <x:c r="N470" s="16" t="str">
        <x:f>IF(AND(AND(469&lt;='Control Room'!$B$3,'Control Room'!$D$3="Ready"),12&lt;='Control Room'!$B$2),ROUND(MAX(0,'Process'!BH470*'Control Room'!$H$15*INDEX('Control Room'!$B$19:$H$19,1,WEEKDAY($A470,2))*(1+'Control Room'!$D$9)^468*'Process'!BI470),2),"")</x:f>
      </x:c>
    </x:row>
    <x:row r="471" ht="21" customHeight="1">
      <x:c r="A471" s="15" t="str">
        <x:f>IF(AND(470&lt;='Control Room'!$B$3,'Control Room'!$D$3="Ready"),'Process'!A471,"")</x:f>
      </x:c>
      <x:c r="B471" s="16" t="str">
        <x:f>IF(A471="","",SUM(C471:N471))</x:f>
      </x:c>
      <x:c r="C471" s="16" t="str">
        <x:f>IF(AND(AND(470&lt;='Control Room'!$B$3,'Control Room'!$D$3="Ready"),1&lt;='Control Room'!$B$2),ROUND(MAX(0,'Process'!E471*'Control Room'!$H$4*INDEX('Control Room'!$B$19:$H$19,1,WEEKDAY($A471,2))*(1+'Control Room'!$D$9)^469*'Process'!F471),2),"")</x:f>
      </x:c>
      <x:c r="D471" s="16" t="str">
        <x:f>IF(AND(AND(470&lt;='Control Room'!$B$3,'Control Room'!$D$3="Ready"),2&lt;='Control Room'!$B$2),ROUND(MAX(0,'Process'!J471*'Control Room'!$H$5*INDEX('Control Room'!$B$19:$H$19,1,WEEKDAY($A471,2))*(1+'Control Room'!$D$9)^469*'Process'!K471),2),"")</x:f>
      </x:c>
      <x:c r="E471" s="16" t="str">
        <x:f>IF(AND(AND(470&lt;='Control Room'!$B$3,'Control Room'!$D$3="Ready"),3&lt;='Control Room'!$B$2),ROUND(MAX(0,'Process'!O471*'Control Room'!$H$6*INDEX('Control Room'!$B$19:$H$19,1,WEEKDAY($A471,2))*(1+'Control Room'!$D$9)^469*'Process'!P471),2),"")</x:f>
      </x:c>
      <x:c r="F471" s="16" t="str">
        <x:f>IF(AND(AND(470&lt;='Control Room'!$B$3,'Control Room'!$D$3="Ready"),4&lt;='Control Room'!$B$2),ROUND(MAX(0,'Process'!T471*'Control Room'!$H$7*INDEX('Control Room'!$B$19:$H$19,1,WEEKDAY($A471,2))*(1+'Control Room'!$D$9)^469*'Process'!U471),2),"")</x:f>
      </x:c>
      <x:c r="G471" s="16" t="str">
        <x:f>IF(AND(AND(470&lt;='Control Room'!$B$3,'Control Room'!$D$3="Ready"),5&lt;='Control Room'!$B$2),ROUND(MAX(0,'Process'!Y471*'Control Room'!$H$8*INDEX('Control Room'!$B$19:$H$19,1,WEEKDAY($A471,2))*(1+'Control Room'!$D$9)^469*'Process'!Z471),2),"")</x:f>
      </x:c>
      <x:c r="H471" s="16" t="str">
        <x:f>IF(AND(AND(470&lt;='Control Room'!$B$3,'Control Room'!$D$3="Ready"),6&lt;='Control Room'!$B$2),ROUND(MAX(0,'Process'!AD471*'Control Room'!$H$9*INDEX('Control Room'!$B$19:$H$19,1,WEEKDAY($A471,2))*(1+'Control Room'!$D$9)^469*'Process'!AE471),2),"")</x:f>
      </x:c>
      <x:c r="I471" s="16" t="str">
        <x:f>IF(AND(AND(470&lt;='Control Room'!$B$3,'Control Room'!$D$3="Ready"),7&lt;='Control Room'!$B$2),ROUND(MAX(0,'Process'!AI471*'Control Room'!$H$10*INDEX('Control Room'!$B$19:$H$19,1,WEEKDAY($A471,2))*(1+'Control Room'!$D$9)^469*'Process'!AJ471),2),"")</x:f>
      </x:c>
      <x:c r="J471" s="16" t="str">
        <x:f>IF(AND(AND(470&lt;='Control Room'!$B$3,'Control Room'!$D$3="Ready"),8&lt;='Control Room'!$B$2),ROUND(MAX(0,'Process'!AN471*'Control Room'!$H$11*INDEX('Control Room'!$B$19:$H$19,1,WEEKDAY($A471,2))*(1+'Control Room'!$D$9)^469*'Process'!AO471),2),"")</x:f>
      </x:c>
      <x:c r="K471" s="16" t="str">
        <x:f>IF(AND(AND(470&lt;='Control Room'!$B$3,'Control Room'!$D$3="Ready"),9&lt;='Control Room'!$B$2),ROUND(MAX(0,'Process'!AS471*'Control Room'!$H$12*INDEX('Control Room'!$B$19:$H$19,1,WEEKDAY($A471,2))*(1+'Control Room'!$D$9)^469*'Process'!AT471),2),"")</x:f>
      </x:c>
      <x:c r="L471" s="16" t="str">
        <x:f>IF(AND(AND(470&lt;='Control Room'!$B$3,'Control Room'!$D$3="Ready"),10&lt;='Control Room'!$B$2),ROUND(MAX(0,'Process'!AX471*'Control Room'!$H$13*INDEX('Control Room'!$B$19:$H$19,1,WEEKDAY($A471,2))*(1+'Control Room'!$D$9)^469*'Process'!AY471),2),"")</x:f>
      </x:c>
      <x:c r="M471" s="16" t="str">
        <x:f>IF(AND(AND(470&lt;='Control Room'!$B$3,'Control Room'!$D$3="Ready"),11&lt;='Control Room'!$B$2),ROUND(MAX(0,'Process'!BC471*'Control Room'!$H$14*INDEX('Control Room'!$B$19:$H$19,1,WEEKDAY($A471,2))*(1+'Control Room'!$D$9)^469*'Process'!BD471),2),"")</x:f>
      </x:c>
      <x:c r="N471" s="16" t="str">
        <x:f>IF(AND(AND(470&lt;='Control Room'!$B$3,'Control Room'!$D$3="Ready"),12&lt;='Control Room'!$B$2),ROUND(MAX(0,'Process'!BH471*'Control Room'!$H$15*INDEX('Control Room'!$B$19:$H$19,1,WEEKDAY($A471,2))*(1+'Control Room'!$D$9)^469*'Process'!BI471),2),"")</x:f>
      </x:c>
    </x:row>
    <x:row r="472" ht="21" customHeight="1">
      <x:c r="A472" s="15" t="str">
        <x:f>IF(AND(471&lt;='Control Room'!$B$3,'Control Room'!$D$3="Ready"),'Process'!A472,"")</x:f>
      </x:c>
      <x:c r="B472" s="16" t="str">
        <x:f>IF(A472="","",SUM(C472:N472))</x:f>
      </x:c>
      <x:c r="C472" s="16" t="str">
        <x:f>IF(AND(AND(471&lt;='Control Room'!$B$3,'Control Room'!$D$3="Ready"),1&lt;='Control Room'!$B$2),ROUND(MAX(0,'Process'!E472*'Control Room'!$H$4*INDEX('Control Room'!$B$19:$H$19,1,WEEKDAY($A472,2))*(1+'Control Room'!$D$9)^470*'Process'!F472),2),"")</x:f>
      </x:c>
      <x:c r="D472" s="16" t="str">
        <x:f>IF(AND(AND(471&lt;='Control Room'!$B$3,'Control Room'!$D$3="Ready"),2&lt;='Control Room'!$B$2),ROUND(MAX(0,'Process'!J472*'Control Room'!$H$5*INDEX('Control Room'!$B$19:$H$19,1,WEEKDAY($A472,2))*(1+'Control Room'!$D$9)^470*'Process'!K472),2),"")</x:f>
      </x:c>
      <x:c r="E472" s="16" t="str">
        <x:f>IF(AND(AND(471&lt;='Control Room'!$B$3,'Control Room'!$D$3="Ready"),3&lt;='Control Room'!$B$2),ROUND(MAX(0,'Process'!O472*'Control Room'!$H$6*INDEX('Control Room'!$B$19:$H$19,1,WEEKDAY($A472,2))*(1+'Control Room'!$D$9)^470*'Process'!P472),2),"")</x:f>
      </x:c>
      <x:c r="F472" s="16" t="str">
        <x:f>IF(AND(AND(471&lt;='Control Room'!$B$3,'Control Room'!$D$3="Ready"),4&lt;='Control Room'!$B$2),ROUND(MAX(0,'Process'!T472*'Control Room'!$H$7*INDEX('Control Room'!$B$19:$H$19,1,WEEKDAY($A472,2))*(1+'Control Room'!$D$9)^470*'Process'!U472),2),"")</x:f>
      </x:c>
      <x:c r="G472" s="16" t="str">
        <x:f>IF(AND(AND(471&lt;='Control Room'!$B$3,'Control Room'!$D$3="Ready"),5&lt;='Control Room'!$B$2),ROUND(MAX(0,'Process'!Y472*'Control Room'!$H$8*INDEX('Control Room'!$B$19:$H$19,1,WEEKDAY($A472,2))*(1+'Control Room'!$D$9)^470*'Process'!Z472),2),"")</x:f>
      </x:c>
      <x:c r="H472" s="16" t="str">
        <x:f>IF(AND(AND(471&lt;='Control Room'!$B$3,'Control Room'!$D$3="Ready"),6&lt;='Control Room'!$B$2),ROUND(MAX(0,'Process'!AD472*'Control Room'!$H$9*INDEX('Control Room'!$B$19:$H$19,1,WEEKDAY($A472,2))*(1+'Control Room'!$D$9)^470*'Process'!AE472),2),"")</x:f>
      </x:c>
      <x:c r="I472" s="16" t="str">
        <x:f>IF(AND(AND(471&lt;='Control Room'!$B$3,'Control Room'!$D$3="Ready"),7&lt;='Control Room'!$B$2),ROUND(MAX(0,'Process'!AI472*'Control Room'!$H$10*INDEX('Control Room'!$B$19:$H$19,1,WEEKDAY($A472,2))*(1+'Control Room'!$D$9)^470*'Process'!AJ472),2),"")</x:f>
      </x:c>
      <x:c r="J472" s="16" t="str">
        <x:f>IF(AND(AND(471&lt;='Control Room'!$B$3,'Control Room'!$D$3="Ready"),8&lt;='Control Room'!$B$2),ROUND(MAX(0,'Process'!AN472*'Control Room'!$H$11*INDEX('Control Room'!$B$19:$H$19,1,WEEKDAY($A472,2))*(1+'Control Room'!$D$9)^470*'Process'!AO472),2),"")</x:f>
      </x:c>
      <x:c r="K472" s="16" t="str">
        <x:f>IF(AND(AND(471&lt;='Control Room'!$B$3,'Control Room'!$D$3="Ready"),9&lt;='Control Room'!$B$2),ROUND(MAX(0,'Process'!AS472*'Control Room'!$H$12*INDEX('Control Room'!$B$19:$H$19,1,WEEKDAY($A472,2))*(1+'Control Room'!$D$9)^470*'Process'!AT472),2),"")</x:f>
      </x:c>
      <x:c r="L472" s="16" t="str">
        <x:f>IF(AND(AND(471&lt;='Control Room'!$B$3,'Control Room'!$D$3="Ready"),10&lt;='Control Room'!$B$2),ROUND(MAX(0,'Process'!AX472*'Control Room'!$H$13*INDEX('Control Room'!$B$19:$H$19,1,WEEKDAY($A472,2))*(1+'Control Room'!$D$9)^470*'Process'!AY472),2),"")</x:f>
      </x:c>
      <x:c r="M472" s="16" t="str">
        <x:f>IF(AND(AND(471&lt;='Control Room'!$B$3,'Control Room'!$D$3="Ready"),11&lt;='Control Room'!$B$2),ROUND(MAX(0,'Process'!BC472*'Control Room'!$H$14*INDEX('Control Room'!$B$19:$H$19,1,WEEKDAY($A472,2))*(1+'Control Room'!$D$9)^470*'Process'!BD472),2),"")</x:f>
      </x:c>
      <x:c r="N472" s="16" t="str">
        <x:f>IF(AND(AND(471&lt;='Control Room'!$B$3,'Control Room'!$D$3="Ready"),12&lt;='Control Room'!$B$2),ROUND(MAX(0,'Process'!BH472*'Control Room'!$H$15*INDEX('Control Room'!$B$19:$H$19,1,WEEKDAY($A472,2))*(1+'Control Room'!$D$9)^470*'Process'!BI472),2),"")</x:f>
      </x:c>
    </x:row>
    <x:row r="473" ht="21" customHeight="1">
      <x:c r="A473" s="15" t="str">
        <x:f>IF(AND(472&lt;='Control Room'!$B$3,'Control Room'!$D$3="Ready"),'Process'!A473,"")</x:f>
      </x:c>
      <x:c r="B473" s="16" t="str">
        <x:f>IF(A473="","",SUM(C473:N473))</x:f>
      </x:c>
      <x:c r="C473" s="16" t="str">
        <x:f>IF(AND(AND(472&lt;='Control Room'!$B$3,'Control Room'!$D$3="Ready"),1&lt;='Control Room'!$B$2),ROUND(MAX(0,'Process'!E473*'Control Room'!$H$4*INDEX('Control Room'!$B$19:$H$19,1,WEEKDAY($A473,2))*(1+'Control Room'!$D$9)^471*'Process'!F473),2),"")</x:f>
      </x:c>
      <x:c r="D473" s="16" t="str">
        <x:f>IF(AND(AND(472&lt;='Control Room'!$B$3,'Control Room'!$D$3="Ready"),2&lt;='Control Room'!$B$2),ROUND(MAX(0,'Process'!J473*'Control Room'!$H$5*INDEX('Control Room'!$B$19:$H$19,1,WEEKDAY($A473,2))*(1+'Control Room'!$D$9)^471*'Process'!K473),2),"")</x:f>
      </x:c>
      <x:c r="E473" s="16" t="str">
        <x:f>IF(AND(AND(472&lt;='Control Room'!$B$3,'Control Room'!$D$3="Ready"),3&lt;='Control Room'!$B$2),ROUND(MAX(0,'Process'!O473*'Control Room'!$H$6*INDEX('Control Room'!$B$19:$H$19,1,WEEKDAY($A473,2))*(1+'Control Room'!$D$9)^471*'Process'!P473),2),"")</x:f>
      </x:c>
      <x:c r="F473" s="16" t="str">
        <x:f>IF(AND(AND(472&lt;='Control Room'!$B$3,'Control Room'!$D$3="Ready"),4&lt;='Control Room'!$B$2),ROUND(MAX(0,'Process'!T473*'Control Room'!$H$7*INDEX('Control Room'!$B$19:$H$19,1,WEEKDAY($A473,2))*(1+'Control Room'!$D$9)^471*'Process'!U473),2),"")</x:f>
      </x:c>
      <x:c r="G473" s="16" t="str">
        <x:f>IF(AND(AND(472&lt;='Control Room'!$B$3,'Control Room'!$D$3="Ready"),5&lt;='Control Room'!$B$2),ROUND(MAX(0,'Process'!Y473*'Control Room'!$H$8*INDEX('Control Room'!$B$19:$H$19,1,WEEKDAY($A473,2))*(1+'Control Room'!$D$9)^471*'Process'!Z473),2),"")</x:f>
      </x:c>
      <x:c r="H473" s="16" t="str">
        <x:f>IF(AND(AND(472&lt;='Control Room'!$B$3,'Control Room'!$D$3="Ready"),6&lt;='Control Room'!$B$2),ROUND(MAX(0,'Process'!AD473*'Control Room'!$H$9*INDEX('Control Room'!$B$19:$H$19,1,WEEKDAY($A473,2))*(1+'Control Room'!$D$9)^471*'Process'!AE473),2),"")</x:f>
      </x:c>
      <x:c r="I473" s="16" t="str">
        <x:f>IF(AND(AND(472&lt;='Control Room'!$B$3,'Control Room'!$D$3="Ready"),7&lt;='Control Room'!$B$2),ROUND(MAX(0,'Process'!AI473*'Control Room'!$H$10*INDEX('Control Room'!$B$19:$H$19,1,WEEKDAY($A473,2))*(1+'Control Room'!$D$9)^471*'Process'!AJ473),2),"")</x:f>
      </x:c>
      <x:c r="J473" s="16" t="str">
        <x:f>IF(AND(AND(472&lt;='Control Room'!$B$3,'Control Room'!$D$3="Ready"),8&lt;='Control Room'!$B$2),ROUND(MAX(0,'Process'!AN473*'Control Room'!$H$11*INDEX('Control Room'!$B$19:$H$19,1,WEEKDAY($A473,2))*(1+'Control Room'!$D$9)^471*'Process'!AO473),2),"")</x:f>
      </x:c>
      <x:c r="K473" s="16" t="str">
        <x:f>IF(AND(AND(472&lt;='Control Room'!$B$3,'Control Room'!$D$3="Ready"),9&lt;='Control Room'!$B$2),ROUND(MAX(0,'Process'!AS473*'Control Room'!$H$12*INDEX('Control Room'!$B$19:$H$19,1,WEEKDAY($A473,2))*(1+'Control Room'!$D$9)^471*'Process'!AT473),2),"")</x:f>
      </x:c>
      <x:c r="L473" s="16" t="str">
        <x:f>IF(AND(AND(472&lt;='Control Room'!$B$3,'Control Room'!$D$3="Ready"),10&lt;='Control Room'!$B$2),ROUND(MAX(0,'Process'!AX473*'Control Room'!$H$13*INDEX('Control Room'!$B$19:$H$19,1,WEEKDAY($A473,2))*(1+'Control Room'!$D$9)^471*'Process'!AY473),2),"")</x:f>
      </x:c>
      <x:c r="M473" s="16" t="str">
        <x:f>IF(AND(AND(472&lt;='Control Room'!$B$3,'Control Room'!$D$3="Ready"),11&lt;='Control Room'!$B$2),ROUND(MAX(0,'Process'!BC473*'Control Room'!$H$14*INDEX('Control Room'!$B$19:$H$19,1,WEEKDAY($A473,2))*(1+'Control Room'!$D$9)^471*'Process'!BD473),2),"")</x:f>
      </x:c>
      <x:c r="N473" s="16" t="str">
        <x:f>IF(AND(AND(472&lt;='Control Room'!$B$3,'Control Room'!$D$3="Ready"),12&lt;='Control Room'!$B$2),ROUND(MAX(0,'Process'!BH473*'Control Room'!$H$15*INDEX('Control Room'!$B$19:$H$19,1,WEEKDAY($A473,2))*(1+'Control Room'!$D$9)^471*'Process'!BI473),2),"")</x:f>
      </x:c>
    </x:row>
    <x:row r="474" ht="21" customHeight="1">
      <x:c r="A474" s="15" t="str">
        <x:f>IF(AND(473&lt;='Control Room'!$B$3,'Control Room'!$D$3="Ready"),'Process'!A474,"")</x:f>
      </x:c>
      <x:c r="B474" s="16" t="str">
        <x:f>IF(A474="","",SUM(C474:N474))</x:f>
      </x:c>
      <x:c r="C474" s="16" t="str">
        <x:f>IF(AND(AND(473&lt;='Control Room'!$B$3,'Control Room'!$D$3="Ready"),1&lt;='Control Room'!$B$2),ROUND(MAX(0,'Process'!E474*'Control Room'!$H$4*INDEX('Control Room'!$B$19:$H$19,1,WEEKDAY($A474,2))*(1+'Control Room'!$D$9)^472*'Process'!F474),2),"")</x:f>
      </x:c>
      <x:c r="D474" s="16" t="str">
        <x:f>IF(AND(AND(473&lt;='Control Room'!$B$3,'Control Room'!$D$3="Ready"),2&lt;='Control Room'!$B$2),ROUND(MAX(0,'Process'!J474*'Control Room'!$H$5*INDEX('Control Room'!$B$19:$H$19,1,WEEKDAY($A474,2))*(1+'Control Room'!$D$9)^472*'Process'!K474),2),"")</x:f>
      </x:c>
      <x:c r="E474" s="16" t="str">
        <x:f>IF(AND(AND(473&lt;='Control Room'!$B$3,'Control Room'!$D$3="Ready"),3&lt;='Control Room'!$B$2),ROUND(MAX(0,'Process'!O474*'Control Room'!$H$6*INDEX('Control Room'!$B$19:$H$19,1,WEEKDAY($A474,2))*(1+'Control Room'!$D$9)^472*'Process'!P474),2),"")</x:f>
      </x:c>
      <x:c r="F474" s="16" t="str">
        <x:f>IF(AND(AND(473&lt;='Control Room'!$B$3,'Control Room'!$D$3="Ready"),4&lt;='Control Room'!$B$2),ROUND(MAX(0,'Process'!T474*'Control Room'!$H$7*INDEX('Control Room'!$B$19:$H$19,1,WEEKDAY($A474,2))*(1+'Control Room'!$D$9)^472*'Process'!U474),2),"")</x:f>
      </x:c>
      <x:c r="G474" s="16" t="str">
        <x:f>IF(AND(AND(473&lt;='Control Room'!$B$3,'Control Room'!$D$3="Ready"),5&lt;='Control Room'!$B$2),ROUND(MAX(0,'Process'!Y474*'Control Room'!$H$8*INDEX('Control Room'!$B$19:$H$19,1,WEEKDAY($A474,2))*(1+'Control Room'!$D$9)^472*'Process'!Z474),2),"")</x:f>
      </x:c>
      <x:c r="H474" s="16" t="str">
        <x:f>IF(AND(AND(473&lt;='Control Room'!$B$3,'Control Room'!$D$3="Ready"),6&lt;='Control Room'!$B$2),ROUND(MAX(0,'Process'!AD474*'Control Room'!$H$9*INDEX('Control Room'!$B$19:$H$19,1,WEEKDAY($A474,2))*(1+'Control Room'!$D$9)^472*'Process'!AE474),2),"")</x:f>
      </x:c>
      <x:c r="I474" s="16" t="str">
        <x:f>IF(AND(AND(473&lt;='Control Room'!$B$3,'Control Room'!$D$3="Ready"),7&lt;='Control Room'!$B$2),ROUND(MAX(0,'Process'!AI474*'Control Room'!$H$10*INDEX('Control Room'!$B$19:$H$19,1,WEEKDAY($A474,2))*(1+'Control Room'!$D$9)^472*'Process'!AJ474),2),"")</x:f>
      </x:c>
      <x:c r="J474" s="16" t="str">
        <x:f>IF(AND(AND(473&lt;='Control Room'!$B$3,'Control Room'!$D$3="Ready"),8&lt;='Control Room'!$B$2),ROUND(MAX(0,'Process'!AN474*'Control Room'!$H$11*INDEX('Control Room'!$B$19:$H$19,1,WEEKDAY($A474,2))*(1+'Control Room'!$D$9)^472*'Process'!AO474),2),"")</x:f>
      </x:c>
      <x:c r="K474" s="16" t="str">
        <x:f>IF(AND(AND(473&lt;='Control Room'!$B$3,'Control Room'!$D$3="Ready"),9&lt;='Control Room'!$B$2),ROUND(MAX(0,'Process'!AS474*'Control Room'!$H$12*INDEX('Control Room'!$B$19:$H$19,1,WEEKDAY($A474,2))*(1+'Control Room'!$D$9)^472*'Process'!AT474),2),"")</x:f>
      </x:c>
      <x:c r="L474" s="16" t="str">
        <x:f>IF(AND(AND(473&lt;='Control Room'!$B$3,'Control Room'!$D$3="Ready"),10&lt;='Control Room'!$B$2),ROUND(MAX(0,'Process'!AX474*'Control Room'!$H$13*INDEX('Control Room'!$B$19:$H$19,1,WEEKDAY($A474,2))*(1+'Control Room'!$D$9)^472*'Process'!AY474),2),"")</x:f>
      </x:c>
      <x:c r="M474" s="16" t="str">
        <x:f>IF(AND(AND(473&lt;='Control Room'!$B$3,'Control Room'!$D$3="Ready"),11&lt;='Control Room'!$B$2),ROUND(MAX(0,'Process'!BC474*'Control Room'!$H$14*INDEX('Control Room'!$B$19:$H$19,1,WEEKDAY($A474,2))*(1+'Control Room'!$D$9)^472*'Process'!BD474),2),"")</x:f>
      </x:c>
      <x:c r="N474" s="16" t="str">
        <x:f>IF(AND(AND(473&lt;='Control Room'!$B$3,'Control Room'!$D$3="Ready"),12&lt;='Control Room'!$B$2),ROUND(MAX(0,'Process'!BH474*'Control Room'!$H$15*INDEX('Control Room'!$B$19:$H$19,1,WEEKDAY($A474,2))*(1+'Control Room'!$D$9)^472*'Process'!BI474),2),"")</x:f>
      </x:c>
    </x:row>
    <x:row r="475" ht="21" customHeight="1">
      <x:c r="A475" s="15" t="str">
        <x:f>IF(AND(474&lt;='Control Room'!$B$3,'Control Room'!$D$3="Ready"),'Process'!A475,"")</x:f>
      </x:c>
      <x:c r="B475" s="16" t="str">
        <x:f>IF(A475="","",SUM(C475:N475))</x:f>
      </x:c>
      <x:c r="C475" s="16" t="str">
        <x:f>IF(AND(AND(474&lt;='Control Room'!$B$3,'Control Room'!$D$3="Ready"),1&lt;='Control Room'!$B$2),ROUND(MAX(0,'Process'!E475*'Control Room'!$H$4*INDEX('Control Room'!$B$19:$H$19,1,WEEKDAY($A475,2))*(1+'Control Room'!$D$9)^473*'Process'!F475),2),"")</x:f>
      </x:c>
      <x:c r="D475" s="16" t="str">
        <x:f>IF(AND(AND(474&lt;='Control Room'!$B$3,'Control Room'!$D$3="Ready"),2&lt;='Control Room'!$B$2),ROUND(MAX(0,'Process'!J475*'Control Room'!$H$5*INDEX('Control Room'!$B$19:$H$19,1,WEEKDAY($A475,2))*(1+'Control Room'!$D$9)^473*'Process'!K475),2),"")</x:f>
      </x:c>
      <x:c r="E475" s="16" t="str">
        <x:f>IF(AND(AND(474&lt;='Control Room'!$B$3,'Control Room'!$D$3="Ready"),3&lt;='Control Room'!$B$2),ROUND(MAX(0,'Process'!O475*'Control Room'!$H$6*INDEX('Control Room'!$B$19:$H$19,1,WEEKDAY($A475,2))*(1+'Control Room'!$D$9)^473*'Process'!P475),2),"")</x:f>
      </x:c>
      <x:c r="F475" s="16" t="str">
        <x:f>IF(AND(AND(474&lt;='Control Room'!$B$3,'Control Room'!$D$3="Ready"),4&lt;='Control Room'!$B$2),ROUND(MAX(0,'Process'!T475*'Control Room'!$H$7*INDEX('Control Room'!$B$19:$H$19,1,WEEKDAY($A475,2))*(1+'Control Room'!$D$9)^473*'Process'!U475),2),"")</x:f>
      </x:c>
      <x:c r="G475" s="16" t="str">
        <x:f>IF(AND(AND(474&lt;='Control Room'!$B$3,'Control Room'!$D$3="Ready"),5&lt;='Control Room'!$B$2),ROUND(MAX(0,'Process'!Y475*'Control Room'!$H$8*INDEX('Control Room'!$B$19:$H$19,1,WEEKDAY($A475,2))*(1+'Control Room'!$D$9)^473*'Process'!Z475),2),"")</x:f>
      </x:c>
      <x:c r="H475" s="16" t="str">
        <x:f>IF(AND(AND(474&lt;='Control Room'!$B$3,'Control Room'!$D$3="Ready"),6&lt;='Control Room'!$B$2),ROUND(MAX(0,'Process'!AD475*'Control Room'!$H$9*INDEX('Control Room'!$B$19:$H$19,1,WEEKDAY($A475,2))*(1+'Control Room'!$D$9)^473*'Process'!AE475),2),"")</x:f>
      </x:c>
      <x:c r="I475" s="16" t="str">
        <x:f>IF(AND(AND(474&lt;='Control Room'!$B$3,'Control Room'!$D$3="Ready"),7&lt;='Control Room'!$B$2),ROUND(MAX(0,'Process'!AI475*'Control Room'!$H$10*INDEX('Control Room'!$B$19:$H$19,1,WEEKDAY($A475,2))*(1+'Control Room'!$D$9)^473*'Process'!AJ475),2),"")</x:f>
      </x:c>
      <x:c r="J475" s="16" t="str">
        <x:f>IF(AND(AND(474&lt;='Control Room'!$B$3,'Control Room'!$D$3="Ready"),8&lt;='Control Room'!$B$2),ROUND(MAX(0,'Process'!AN475*'Control Room'!$H$11*INDEX('Control Room'!$B$19:$H$19,1,WEEKDAY($A475,2))*(1+'Control Room'!$D$9)^473*'Process'!AO475),2),"")</x:f>
      </x:c>
      <x:c r="K475" s="16" t="str">
        <x:f>IF(AND(AND(474&lt;='Control Room'!$B$3,'Control Room'!$D$3="Ready"),9&lt;='Control Room'!$B$2),ROUND(MAX(0,'Process'!AS475*'Control Room'!$H$12*INDEX('Control Room'!$B$19:$H$19,1,WEEKDAY($A475,2))*(1+'Control Room'!$D$9)^473*'Process'!AT475),2),"")</x:f>
      </x:c>
      <x:c r="L475" s="16" t="str">
        <x:f>IF(AND(AND(474&lt;='Control Room'!$B$3,'Control Room'!$D$3="Ready"),10&lt;='Control Room'!$B$2),ROUND(MAX(0,'Process'!AX475*'Control Room'!$H$13*INDEX('Control Room'!$B$19:$H$19,1,WEEKDAY($A475,2))*(1+'Control Room'!$D$9)^473*'Process'!AY475),2),"")</x:f>
      </x:c>
      <x:c r="M475" s="16" t="str">
        <x:f>IF(AND(AND(474&lt;='Control Room'!$B$3,'Control Room'!$D$3="Ready"),11&lt;='Control Room'!$B$2),ROUND(MAX(0,'Process'!BC475*'Control Room'!$H$14*INDEX('Control Room'!$B$19:$H$19,1,WEEKDAY($A475,2))*(1+'Control Room'!$D$9)^473*'Process'!BD475),2),"")</x:f>
      </x:c>
      <x:c r="N475" s="16" t="str">
        <x:f>IF(AND(AND(474&lt;='Control Room'!$B$3,'Control Room'!$D$3="Ready"),12&lt;='Control Room'!$B$2),ROUND(MAX(0,'Process'!BH475*'Control Room'!$H$15*INDEX('Control Room'!$B$19:$H$19,1,WEEKDAY($A475,2))*(1+'Control Room'!$D$9)^473*'Process'!BI475),2),"")</x:f>
      </x:c>
    </x:row>
    <x:row r="476" ht="21" customHeight="1">
      <x:c r="A476" s="15" t="str">
        <x:f>IF(AND(475&lt;='Control Room'!$B$3,'Control Room'!$D$3="Ready"),'Process'!A476,"")</x:f>
      </x:c>
      <x:c r="B476" s="16" t="str">
        <x:f>IF(A476="","",SUM(C476:N476))</x:f>
      </x:c>
      <x:c r="C476" s="16" t="str">
        <x:f>IF(AND(AND(475&lt;='Control Room'!$B$3,'Control Room'!$D$3="Ready"),1&lt;='Control Room'!$B$2),ROUND(MAX(0,'Process'!E476*'Control Room'!$H$4*INDEX('Control Room'!$B$19:$H$19,1,WEEKDAY($A476,2))*(1+'Control Room'!$D$9)^474*'Process'!F476),2),"")</x:f>
      </x:c>
      <x:c r="D476" s="16" t="str">
        <x:f>IF(AND(AND(475&lt;='Control Room'!$B$3,'Control Room'!$D$3="Ready"),2&lt;='Control Room'!$B$2),ROUND(MAX(0,'Process'!J476*'Control Room'!$H$5*INDEX('Control Room'!$B$19:$H$19,1,WEEKDAY($A476,2))*(1+'Control Room'!$D$9)^474*'Process'!K476),2),"")</x:f>
      </x:c>
      <x:c r="E476" s="16" t="str">
        <x:f>IF(AND(AND(475&lt;='Control Room'!$B$3,'Control Room'!$D$3="Ready"),3&lt;='Control Room'!$B$2),ROUND(MAX(0,'Process'!O476*'Control Room'!$H$6*INDEX('Control Room'!$B$19:$H$19,1,WEEKDAY($A476,2))*(1+'Control Room'!$D$9)^474*'Process'!P476),2),"")</x:f>
      </x:c>
      <x:c r="F476" s="16" t="str">
        <x:f>IF(AND(AND(475&lt;='Control Room'!$B$3,'Control Room'!$D$3="Ready"),4&lt;='Control Room'!$B$2),ROUND(MAX(0,'Process'!T476*'Control Room'!$H$7*INDEX('Control Room'!$B$19:$H$19,1,WEEKDAY($A476,2))*(1+'Control Room'!$D$9)^474*'Process'!U476),2),"")</x:f>
      </x:c>
      <x:c r="G476" s="16" t="str">
        <x:f>IF(AND(AND(475&lt;='Control Room'!$B$3,'Control Room'!$D$3="Ready"),5&lt;='Control Room'!$B$2),ROUND(MAX(0,'Process'!Y476*'Control Room'!$H$8*INDEX('Control Room'!$B$19:$H$19,1,WEEKDAY($A476,2))*(1+'Control Room'!$D$9)^474*'Process'!Z476),2),"")</x:f>
      </x:c>
      <x:c r="H476" s="16" t="str">
        <x:f>IF(AND(AND(475&lt;='Control Room'!$B$3,'Control Room'!$D$3="Ready"),6&lt;='Control Room'!$B$2),ROUND(MAX(0,'Process'!AD476*'Control Room'!$H$9*INDEX('Control Room'!$B$19:$H$19,1,WEEKDAY($A476,2))*(1+'Control Room'!$D$9)^474*'Process'!AE476),2),"")</x:f>
      </x:c>
      <x:c r="I476" s="16" t="str">
        <x:f>IF(AND(AND(475&lt;='Control Room'!$B$3,'Control Room'!$D$3="Ready"),7&lt;='Control Room'!$B$2),ROUND(MAX(0,'Process'!AI476*'Control Room'!$H$10*INDEX('Control Room'!$B$19:$H$19,1,WEEKDAY($A476,2))*(1+'Control Room'!$D$9)^474*'Process'!AJ476),2),"")</x:f>
      </x:c>
      <x:c r="J476" s="16" t="str">
        <x:f>IF(AND(AND(475&lt;='Control Room'!$B$3,'Control Room'!$D$3="Ready"),8&lt;='Control Room'!$B$2),ROUND(MAX(0,'Process'!AN476*'Control Room'!$H$11*INDEX('Control Room'!$B$19:$H$19,1,WEEKDAY($A476,2))*(1+'Control Room'!$D$9)^474*'Process'!AO476),2),"")</x:f>
      </x:c>
      <x:c r="K476" s="16" t="str">
        <x:f>IF(AND(AND(475&lt;='Control Room'!$B$3,'Control Room'!$D$3="Ready"),9&lt;='Control Room'!$B$2),ROUND(MAX(0,'Process'!AS476*'Control Room'!$H$12*INDEX('Control Room'!$B$19:$H$19,1,WEEKDAY($A476,2))*(1+'Control Room'!$D$9)^474*'Process'!AT476),2),"")</x:f>
      </x:c>
      <x:c r="L476" s="16" t="str">
        <x:f>IF(AND(AND(475&lt;='Control Room'!$B$3,'Control Room'!$D$3="Ready"),10&lt;='Control Room'!$B$2),ROUND(MAX(0,'Process'!AX476*'Control Room'!$H$13*INDEX('Control Room'!$B$19:$H$19,1,WEEKDAY($A476,2))*(1+'Control Room'!$D$9)^474*'Process'!AY476),2),"")</x:f>
      </x:c>
      <x:c r="M476" s="16" t="str">
        <x:f>IF(AND(AND(475&lt;='Control Room'!$B$3,'Control Room'!$D$3="Ready"),11&lt;='Control Room'!$B$2),ROUND(MAX(0,'Process'!BC476*'Control Room'!$H$14*INDEX('Control Room'!$B$19:$H$19,1,WEEKDAY($A476,2))*(1+'Control Room'!$D$9)^474*'Process'!BD476),2),"")</x:f>
      </x:c>
      <x:c r="N476" s="16" t="str">
        <x:f>IF(AND(AND(475&lt;='Control Room'!$B$3,'Control Room'!$D$3="Ready"),12&lt;='Control Room'!$B$2),ROUND(MAX(0,'Process'!BH476*'Control Room'!$H$15*INDEX('Control Room'!$B$19:$H$19,1,WEEKDAY($A476,2))*(1+'Control Room'!$D$9)^474*'Process'!BI476),2),"")</x:f>
      </x:c>
    </x:row>
    <x:row r="477" ht="21" customHeight="1">
      <x:c r="A477" s="15" t="str">
        <x:f>IF(AND(476&lt;='Control Room'!$B$3,'Control Room'!$D$3="Ready"),'Process'!A477,"")</x:f>
      </x:c>
      <x:c r="B477" s="16" t="str">
        <x:f>IF(A477="","",SUM(C477:N477))</x:f>
      </x:c>
      <x:c r="C477" s="16" t="str">
        <x:f>IF(AND(AND(476&lt;='Control Room'!$B$3,'Control Room'!$D$3="Ready"),1&lt;='Control Room'!$B$2),ROUND(MAX(0,'Process'!E477*'Control Room'!$H$4*INDEX('Control Room'!$B$19:$H$19,1,WEEKDAY($A477,2))*(1+'Control Room'!$D$9)^475*'Process'!F477),2),"")</x:f>
      </x:c>
      <x:c r="D477" s="16" t="str">
        <x:f>IF(AND(AND(476&lt;='Control Room'!$B$3,'Control Room'!$D$3="Ready"),2&lt;='Control Room'!$B$2),ROUND(MAX(0,'Process'!J477*'Control Room'!$H$5*INDEX('Control Room'!$B$19:$H$19,1,WEEKDAY($A477,2))*(1+'Control Room'!$D$9)^475*'Process'!K477),2),"")</x:f>
      </x:c>
      <x:c r="E477" s="16" t="str">
        <x:f>IF(AND(AND(476&lt;='Control Room'!$B$3,'Control Room'!$D$3="Ready"),3&lt;='Control Room'!$B$2),ROUND(MAX(0,'Process'!O477*'Control Room'!$H$6*INDEX('Control Room'!$B$19:$H$19,1,WEEKDAY($A477,2))*(1+'Control Room'!$D$9)^475*'Process'!P477),2),"")</x:f>
      </x:c>
      <x:c r="F477" s="16" t="str">
        <x:f>IF(AND(AND(476&lt;='Control Room'!$B$3,'Control Room'!$D$3="Ready"),4&lt;='Control Room'!$B$2),ROUND(MAX(0,'Process'!T477*'Control Room'!$H$7*INDEX('Control Room'!$B$19:$H$19,1,WEEKDAY($A477,2))*(1+'Control Room'!$D$9)^475*'Process'!U477),2),"")</x:f>
      </x:c>
      <x:c r="G477" s="16" t="str">
        <x:f>IF(AND(AND(476&lt;='Control Room'!$B$3,'Control Room'!$D$3="Ready"),5&lt;='Control Room'!$B$2),ROUND(MAX(0,'Process'!Y477*'Control Room'!$H$8*INDEX('Control Room'!$B$19:$H$19,1,WEEKDAY($A477,2))*(1+'Control Room'!$D$9)^475*'Process'!Z477),2),"")</x:f>
      </x:c>
      <x:c r="H477" s="16" t="str">
        <x:f>IF(AND(AND(476&lt;='Control Room'!$B$3,'Control Room'!$D$3="Ready"),6&lt;='Control Room'!$B$2),ROUND(MAX(0,'Process'!AD477*'Control Room'!$H$9*INDEX('Control Room'!$B$19:$H$19,1,WEEKDAY($A477,2))*(1+'Control Room'!$D$9)^475*'Process'!AE477),2),"")</x:f>
      </x:c>
      <x:c r="I477" s="16" t="str">
        <x:f>IF(AND(AND(476&lt;='Control Room'!$B$3,'Control Room'!$D$3="Ready"),7&lt;='Control Room'!$B$2),ROUND(MAX(0,'Process'!AI477*'Control Room'!$H$10*INDEX('Control Room'!$B$19:$H$19,1,WEEKDAY($A477,2))*(1+'Control Room'!$D$9)^475*'Process'!AJ477),2),"")</x:f>
      </x:c>
      <x:c r="J477" s="16" t="str">
        <x:f>IF(AND(AND(476&lt;='Control Room'!$B$3,'Control Room'!$D$3="Ready"),8&lt;='Control Room'!$B$2),ROUND(MAX(0,'Process'!AN477*'Control Room'!$H$11*INDEX('Control Room'!$B$19:$H$19,1,WEEKDAY($A477,2))*(1+'Control Room'!$D$9)^475*'Process'!AO477),2),"")</x:f>
      </x:c>
      <x:c r="K477" s="16" t="str">
        <x:f>IF(AND(AND(476&lt;='Control Room'!$B$3,'Control Room'!$D$3="Ready"),9&lt;='Control Room'!$B$2),ROUND(MAX(0,'Process'!AS477*'Control Room'!$H$12*INDEX('Control Room'!$B$19:$H$19,1,WEEKDAY($A477,2))*(1+'Control Room'!$D$9)^475*'Process'!AT477),2),"")</x:f>
      </x:c>
      <x:c r="L477" s="16" t="str">
        <x:f>IF(AND(AND(476&lt;='Control Room'!$B$3,'Control Room'!$D$3="Ready"),10&lt;='Control Room'!$B$2),ROUND(MAX(0,'Process'!AX477*'Control Room'!$H$13*INDEX('Control Room'!$B$19:$H$19,1,WEEKDAY($A477,2))*(1+'Control Room'!$D$9)^475*'Process'!AY477),2),"")</x:f>
      </x:c>
      <x:c r="M477" s="16" t="str">
        <x:f>IF(AND(AND(476&lt;='Control Room'!$B$3,'Control Room'!$D$3="Ready"),11&lt;='Control Room'!$B$2),ROUND(MAX(0,'Process'!BC477*'Control Room'!$H$14*INDEX('Control Room'!$B$19:$H$19,1,WEEKDAY($A477,2))*(1+'Control Room'!$D$9)^475*'Process'!BD477),2),"")</x:f>
      </x:c>
      <x:c r="N477" s="16" t="str">
        <x:f>IF(AND(AND(476&lt;='Control Room'!$B$3,'Control Room'!$D$3="Ready"),12&lt;='Control Room'!$B$2),ROUND(MAX(0,'Process'!BH477*'Control Room'!$H$15*INDEX('Control Room'!$B$19:$H$19,1,WEEKDAY($A477,2))*(1+'Control Room'!$D$9)^475*'Process'!BI477),2),"")</x:f>
      </x:c>
    </x:row>
    <x:row r="478" ht="21" customHeight="1">
      <x:c r="A478" s="15" t="str">
        <x:f>IF(AND(477&lt;='Control Room'!$B$3,'Control Room'!$D$3="Ready"),'Process'!A478,"")</x:f>
      </x:c>
      <x:c r="B478" s="16" t="str">
        <x:f>IF(A478="","",SUM(C478:N478))</x:f>
      </x:c>
      <x:c r="C478" s="16" t="str">
        <x:f>IF(AND(AND(477&lt;='Control Room'!$B$3,'Control Room'!$D$3="Ready"),1&lt;='Control Room'!$B$2),ROUND(MAX(0,'Process'!E478*'Control Room'!$H$4*INDEX('Control Room'!$B$19:$H$19,1,WEEKDAY($A478,2))*(1+'Control Room'!$D$9)^476*'Process'!F478),2),"")</x:f>
      </x:c>
      <x:c r="D478" s="16" t="str">
        <x:f>IF(AND(AND(477&lt;='Control Room'!$B$3,'Control Room'!$D$3="Ready"),2&lt;='Control Room'!$B$2),ROUND(MAX(0,'Process'!J478*'Control Room'!$H$5*INDEX('Control Room'!$B$19:$H$19,1,WEEKDAY($A478,2))*(1+'Control Room'!$D$9)^476*'Process'!K478),2),"")</x:f>
      </x:c>
      <x:c r="E478" s="16" t="str">
        <x:f>IF(AND(AND(477&lt;='Control Room'!$B$3,'Control Room'!$D$3="Ready"),3&lt;='Control Room'!$B$2),ROUND(MAX(0,'Process'!O478*'Control Room'!$H$6*INDEX('Control Room'!$B$19:$H$19,1,WEEKDAY($A478,2))*(1+'Control Room'!$D$9)^476*'Process'!P478),2),"")</x:f>
      </x:c>
      <x:c r="F478" s="16" t="str">
        <x:f>IF(AND(AND(477&lt;='Control Room'!$B$3,'Control Room'!$D$3="Ready"),4&lt;='Control Room'!$B$2),ROUND(MAX(0,'Process'!T478*'Control Room'!$H$7*INDEX('Control Room'!$B$19:$H$19,1,WEEKDAY($A478,2))*(1+'Control Room'!$D$9)^476*'Process'!U478),2),"")</x:f>
      </x:c>
      <x:c r="G478" s="16" t="str">
        <x:f>IF(AND(AND(477&lt;='Control Room'!$B$3,'Control Room'!$D$3="Ready"),5&lt;='Control Room'!$B$2),ROUND(MAX(0,'Process'!Y478*'Control Room'!$H$8*INDEX('Control Room'!$B$19:$H$19,1,WEEKDAY($A478,2))*(1+'Control Room'!$D$9)^476*'Process'!Z478),2),"")</x:f>
      </x:c>
      <x:c r="H478" s="16" t="str">
        <x:f>IF(AND(AND(477&lt;='Control Room'!$B$3,'Control Room'!$D$3="Ready"),6&lt;='Control Room'!$B$2),ROUND(MAX(0,'Process'!AD478*'Control Room'!$H$9*INDEX('Control Room'!$B$19:$H$19,1,WEEKDAY($A478,2))*(1+'Control Room'!$D$9)^476*'Process'!AE478),2),"")</x:f>
      </x:c>
      <x:c r="I478" s="16" t="str">
        <x:f>IF(AND(AND(477&lt;='Control Room'!$B$3,'Control Room'!$D$3="Ready"),7&lt;='Control Room'!$B$2),ROUND(MAX(0,'Process'!AI478*'Control Room'!$H$10*INDEX('Control Room'!$B$19:$H$19,1,WEEKDAY($A478,2))*(1+'Control Room'!$D$9)^476*'Process'!AJ478),2),"")</x:f>
      </x:c>
      <x:c r="J478" s="16" t="str">
        <x:f>IF(AND(AND(477&lt;='Control Room'!$B$3,'Control Room'!$D$3="Ready"),8&lt;='Control Room'!$B$2),ROUND(MAX(0,'Process'!AN478*'Control Room'!$H$11*INDEX('Control Room'!$B$19:$H$19,1,WEEKDAY($A478,2))*(1+'Control Room'!$D$9)^476*'Process'!AO478),2),"")</x:f>
      </x:c>
      <x:c r="K478" s="16" t="str">
        <x:f>IF(AND(AND(477&lt;='Control Room'!$B$3,'Control Room'!$D$3="Ready"),9&lt;='Control Room'!$B$2),ROUND(MAX(0,'Process'!AS478*'Control Room'!$H$12*INDEX('Control Room'!$B$19:$H$19,1,WEEKDAY($A478,2))*(1+'Control Room'!$D$9)^476*'Process'!AT478),2),"")</x:f>
      </x:c>
      <x:c r="L478" s="16" t="str">
        <x:f>IF(AND(AND(477&lt;='Control Room'!$B$3,'Control Room'!$D$3="Ready"),10&lt;='Control Room'!$B$2),ROUND(MAX(0,'Process'!AX478*'Control Room'!$H$13*INDEX('Control Room'!$B$19:$H$19,1,WEEKDAY($A478,2))*(1+'Control Room'!$D$9)^476*'Process'!AY478),2),"")</x:f>
      </x:c>
      <x:c r="M478" s="16" t="str">
        <x:f>IF(AND(AND(477&lt;='Control Room'!$B$3,'Control Room'!$D$3="Ready"),11&lt;='Control Room'!$B$2),ROUND(MAX(0,'Process'!BC478*'Control Room'!$H$14*INDEX('Control Room'!$B$19:$H$19,1,WEEKDAY($A478,2))*(1+'Control Room'!$D$9)^476*'Process'!BD478),2),"")</x:f>
      </x:c>
      <x:c r="N478" s="16" t="str">
        <x:f>IF(AND(AND(477&lt;='Control Room'!$B$3,'Control Room'!$D$3="Ready"),12&lt;='Control Room'!$B$2),ROUND(MAX(0,'Process'!BH478*'Control Room'!$H$15*INDEX('Control Room'!$B$19:$H$19,1,WEEKDAY($A478,2))*(1+'Control Room'!$D$9)^476*'Process'!BI478),2),"")</x:f>
      </x:c>
    </x:row>
    <x:row r="479" ht="21" customHeight="1">
      <x:c r="A479" s="15" t="str">
        <x:f>IF(AND(478&lt;='Control Room'!$B$3,'Control Room'!$D$3="Ready"),'Process'!A479,"")</x:f>
      </x:c>
      <x:c r="B479" s="16" t="str">
        <x:f>IF(A479="","",SUM(C479:N479))</x:f>
      </x:c>
      <x:c r="C479" s="16" t="str">
        <x:f>IF(AND(AND(478&lt;='Control Room'!$B$3,'Control Room'!$D$3="Ready"),1&lt;='Control Room'!$B$2),ROUND(MAX(0,'Process'!E479*'Control Room'!$H$4*INDEX('Control Room'!$B$19:$H$19,1,WEEKDAY($A479,2))*(1+'Control Room'!$D$9)^477*'Process'!F479),2),"")</x:f>
      </x:c>
      <x:c r="D479" s="16" t="str">
        <x:f>IF(AND(AND(478&lt;='Control Room'!$B$3,'Control Room'!$D$3="Ready"),2&lt;='Control Room'!$B$2),ROUND(MAX(0,'Process'!J479*'Control Room'!$H$5*INDEX('Control Room'!$B$19:$H$19,1,WEEKDAY($A479,2))*(1+'Control Room'!$D$9)^477*'Process'!K479),2),"")</x:f>
      </x:c>
      <x:c r="E479" s="16" t="str">
        <x:f>IF(AND(AND(478&lt;='Control Room'!$B$3,'Control Room'!$D$3="Ready"),3&lt;='Control Room'!$B$2),ROUND(MAX(0,'Process'!O479*'Control Room'!$H$6*INDEX('Control Room'!$B$19:$H$19,1,WEEKDAY($A479,2))*(1+'Control Room'!$D$9)^477*'Process'!P479),2),"")</x:f>
      </x:c>
      <x:c r="F479" s="16" t="str">
        <x:f>IF(AND(AND(478&lt;='Control Room'!$B$3,'Control Room'!$D$3="Ready"),4&lt;='Control Room'!$B$2),ROUND(MAX(0,'Process'!T479*'Control Room'!$H$7*INDEX('Control Room'!$B$19:$H$19,1,WEEKDAY($A479,2))*(1+'Control Room'!$D$9)^477*'Process'!U479),2),"")</x:f>
      </x:c>
      <x:c r="G479" s="16" t="str">
        <x:f>IF(AND(AND(478&lt;='Control Room'!$B$3,'Control Room'!$D$3="Ready"),5&lt;='Control Room'!$B$2),ROUND(MAX(0,'Process'!Y479*'Control Room'!$H$8*INDEX('Control Room'!$B$19:$H$19,1,WEEKDAY($A479,2))*(1+'Control Room'!$D$9)^477*'Process'!Z479),2),"")</x:f>
      </x:c>
      <x:c r="H479" s="16" t="str">
        <x:f>IF(AND(AND(478&lt;='Control Room'!$B$3,'Control Room'!$D$3="Ready"),6&lt;='Control Room'!$B$2),ROUND(MAX(0,'Process'!AD479*'Control Room'!$H$9*INDEX('Control Room'!$B$19:$H$19,1,WEEKDAY($A479,2))*(1+'Control Room'!$D$9)^477*'Process'!AE479),2),"")</x:f>
      </x:c>
      <x:c r="I479" s="16" t="str">
        <x:f>IF(AND(AND(478&lt;='Control Room'!$B$3,'Control Room'!$D$3="Ready"),7&lt;='Control Room'!$B$2),ROUND(MAX(0,'Process'!AI479*'Control Room'!$H$10*INDEX('Control Room'!$B$19:$H$19,1,WEEKDAY($A479,2))*(1+'Control Room'!$D$9)^477*'Process'!AJ479),2),"")</x:f>
      </x:c>
      <x:c r="J479" s="16" t="str">
        <x:f>IF(AND(AND(478&lt;='Control Room'!$B$3,'Control Room'!$D$3="Ready"),8&lt;='Control Room'!$B$2),ROUND(MAX(0,'Process'!AN479*'Control Room'!$H$11*INDEX('Control Room'!$B$19:$H$19,1,WEEKDAY($A479,2))*(1+'Control Room'!$D$9)^477*'Process'!AO479),2),"")</x:f>
      </x:c>
      <x:c r="K479" s="16" t="str">
        <x:f>IF(AND(AND(478&lt;='Control Room'!$B$3,'Control Room'!$D$3="Ready"),9&lt;='Control Room'!$B$2),ROUND(MAX(0,'Process'!AS479*'Control Room'!$H$12*INDEX('Control Room'!$B$19:$H$19,1,WEEKDAY($A479,2))*(1+'Control Room'!$D$9)^477*'Process'!AT479),2),"")</x:f>
      </x:c>
      <x:c r="L479" s="16" t="str">
        <x:f>IF(AND(AND(478&lt;='Control Room'!$B$3,'Control Room'!$D$3="Ready"),10&lt;='Control Room'!$B$2),ROUND(MAX(0,'Process'!AX479*'Control Room'!$H$13*INDEX('Control Room'!$B$19:$H$19,1,WEEKDAY($A479,2))*(1+'Control Room'!$D$9)^477*'Process'!AY479),2),"")</x:f>
      </x:c>
      <x:c r="M479" s="16" t="str">
        <x:f>IF(AND(AND(478&lt;='Control Room'!$B$3,'Control Room'!$D$3="Ready"),11&lt;='Control Room'!$B$2),ROUND(MAX(0,'Process'!BC479*'Control Room'!$H$14*INDEX('Control Room'!$B$19:$H$19,1,WEEKDAY($A479,2))*(1+'Control Room'!$D$9)^477*'Process'!BD479),2),"")</x:f>
      </x:c>
      <x:c r="N479" s="16" t="str">
        <x:f>IF(AND(AND(478&lt;='Control Room'!$B$3,'Control Room'!$D$3="Ready"),12&lt;='Control Room'!$B$2),ROUND(MAX(0,'Process'!BH479*'Control Room'!$H$15*INDEX('Control Room'!$B$19:$H$19,1,WEEKDAY($A479,2))*(1+'Control Room'!$D$9)^477*'Process'!BI479),2),"")</x:f>
      </x:c>
    </x:row>
    <x:row r="480" ht="21" customHeight="1">
      <x:c r="A480" s="15" t="str">
        <x:f>IF(AND(479&lt;='Control Room'!$B$3,'Control Room'!$D$3="Ready"),'Process'!A480,"")</x:f>
      </x:c>
      <x:c r="B480" s="16" t="str">
        <x:f>IF(A480="","",SUM(C480:N480))</x:f>
      </x:c>
      <x:c r="C480" s="16" t="str">
        <x:f>IF(AND(AND(479&lt;='Control Room'!$B$3,'Control Room'!$D$3="Ready"),1&lt;='Control Room'!$B$2),ROUND(MAX(0,'Process'!E480*'Control Room'!$H$4*INDEX('Control Room'!$B$19:$H$19,1,WEEKDAY($A480,2))*(1+'Control Room'!$D$9)^478*'Process'!F480),2),"")</x:f>
      </x:c>
      <x:c r="D480" s="16" t="str">
        <x:f>IF(AND(AND(479&lt;='Control Room'!$B$3,'Control Room'!$D$3="Ready"),2&lt;='Control Room'!$B$2),ROUND(MAX(0,'Process'!J480*'Control Room'!$H$5*INDEX('Control Room'!$B$19:$H$19,1,WEEKDAY($A480,2))*(1+'Control Room'!$D$9)^478*'Process'!K480),2),"")</x:f>
      </x:c>
      <x:c r="E480" s="16" t="str">
        <x:f>IF(AND(AND(479&lt;='Control Room'!$B$3,'Control Room'!$D$3="Ready"),3&lt;='Control Room'!$B$2),ROUND(MAX(0,'Process'!O480*'Control Room'!$H$6*INDEX('Control Room'!$B$19:$H$19,1,WEEKDAY($A480,2))*(1+'Control Room'!$D$9)^478*'Process'!P480),2),"")</x:f>
      </x:c>
      <x:c r="F480" s="16" t="str">
        <x:f>IF(AND(AND(479&lt;='Control Room'!$B$3,'Control Room'!$D$3="Ready"),4&lt;='Control Room'!$B$2),ROUND(MAX(0,'Process'!T480*'Control Room'!$H$7*INDEX('Control Room'!$B$19:$H$19,1,WEEKDAY($A480,2))*(1+'Control Room'!$D$9)^478*'Process'!U480),2),"")</x:f>
      </x:c>
      <x:c r="G480" s="16" t="str">
        <x:f>IF(AND(AND(479&lt;='Control Room'!$B$3,'Control Room'!$D$3="Ready"),5&lt;='Control Room'!$B$2),ROUND(MAX(0,'Process'!Y480*'Control Room'!$H$8*INDEX('Control Room'!$B$19:$H$19,1,WEEKDAY($A480,2))*(1+'Control Room'!$D$9)^478*'Process'!Z480),2),"")</x:f>
      </x:c>
      <x:c r="H480" s="16" t="str">
        <x:f>IF(AND(AND(479&lt;='Control Room'!$B$3,'Control Room'!$D$3="Ready"),6&lt;='Control Room'!$B$2),ROUND(MAX(0,'Process'!AD480*'Control Room'!$H$9*INDEX('Control Room'!$B$19:$H$19,1,WEEKDAY($A480,2))*(1+'Control Room'!$D$9)^478*'Process'!AE480),2),"")</x:f>
      </x:c>
      <x:c r="I480" s="16" t="str">
        <x:f>IF(AND(AND(479&lt;='Control Room'!$B$3,'Control Room'!$D$3="Ready"),7&lt;='Control Room'!$B$2),ROUND(MAX(0,'Process'!AI480*'Control Room'!$H$10*INDEX('Control Room'!$B$19:$H$19,1,WEEKDAY($A480,2))*(1+'Control Room'!$D$9)^478*'Process'!AJ480),2),"")</x:f>
      </x:c>
      <x:c r="J480" s="16" t="str">
        <x:f>IF(AND(AND(479&lt;='Control Room'!$B$3,'Control Room'!$D$3="Ready"),8&lt;='Control Room'!$B$2),ROUND(MAX(0,'Process'!AN480*'Control Room'!$H$11*INDEX('Control Room'!$B$19:$H$19,1,WEEKDAY($A480,2))*(1+'Control Room'!$D$9)^478*'Process'!AO480),2),"")</x:f>
      </x:c>
      <x:c r="K480" s="16" t="str">
        <x:f>IF(AND(AND(479&lt;='Control Room'!$B$3,'Control Room'!$D$3="Ready"),9&lt;='Control Room'!$B$2),ROUND(MAX(0,'Process'!AS480*'Control Room'!$H$12*INDEX('Control Room'!$B$19:$H$19,1,WEEKDAY($A480,2))*(1+'Control Room'!$D$9)^478*'Process'!AT480),2),"")</x:f>
      </x:c>
      <x:c r="L480" s="16" t="str">
        <x:f>IF(AND(AND(479&lt;='Control Room'!$B$3,'Control Room'!$D$3="Ready"),10&lt;='Control Room'!$B$2),ROUND(MAX(0,'Process'!AX480*'Control Room'!$H$13*INDEX('Control Room'!$B$19:$H$19,1,WEEKDAY($A480,2))*(1+'Control Room'!$D$9)^478*'Process'!AY480),2),"")</x:f>
      </x:c>
      <x:c r="M480" s="16" t="str">
        <x:f>IF(AND(AND(479&lt;='Control Room'!$B$3,'Control Room'!$D$3="Ready"),11&lt;='Control Room'!$B$2),ROUND(MAX(0,'Process'!BC480*'Control Room'!$H$14*INDEX('Control Room'!$B$19:$H$19,1,WEEKDAY($A480,2))*(1+'Control Room'!$D$9)^478*'Process'!BD480),2),"")</x:f>
      </x:c>
      <x:c r="N480" s="16" t="str">
        <x:f>IF(AND(AND(479&lt;='Control Room'!$B$3,'Control Room'!$D$3="Ready"),12&lt;='Control Room'!$B$2),ROUND(MAX(0,'Process'!BH480*'Control Room'!$H$15*INDEX('Control Room'!$B$19:$H$19,1,WEEKDAY($A480,2))*(1+'Control Room'!$D$9)^478*'Process'!BI480),2),"")</x:f>
      </x:c>
    </x:row>
    <x:row r="481" ht="21" customHeight="1">
      <x:c r="A481" s="15" t="str">
        <x:f>IF(AND(480&lt;='Control Room'!$B$3,'Control Room'!$D$3="Ready"),'Process'!A481,"")</x:f>
      </x:c>
      <x:c r="B481" s="16" t="str">
        <x:f>IF(A481="","",SUM(C481:N481))</x:f>
      </x:c>
      <x:c r="C481" s="16" t="str">
        <x:f>IF(AND(AND(480&lt;='Control Room'!$B$3,'Control Room'!$D$3="Ready"),1&lt;='Control Room'!$B$2),ROUND(MAX(0,'Process'!E481*'Control Room'!$H$4*INDEX('Control Room'!$B$19:$H$19,1,WEEKDAY($A481,2))*(1+'Control Room'!$D$9)^479*'Process'!F481),2),"")</x:f>
      </x:c>
      <x:c r="D481" s="16" t="str">
        <x:f>IF(AND(AND(480&lt;='Control Room'!$B$3,'Control Room'!$D$3="Ready"),2&lt;='Control Room'!$B$2),ROUND(MAX(0,'Process'!J481*'Control Room'!$H$5*INDEX('Control Room'!$B$19:$H$19,1,WEEKDAY($A481,2))*(1+'Control Room'!$D$9)^479*'Process'!K481),2),"")</x:f>
      </x:c>
      <x:c r="E481" s="16" t="str">
        <x:f>IF(AND(AND(480&lt;='Control Room'!$B$3,'Control Room'!$D$3="Ready"),3&lt;='Control Room'!$B$2),ROUND(MAX(0,'Process'!O481*'Control Room'!$H$6*INDEX('Control Room'!$B$19:$H$19,1,WEEKDAY($A481,2))*(1+'Control Room'!$D$9)^479*'Process'!P481),2),"")</x:f>
      </x:c>
      <x:c r="F481" s="16" t="str">
        <x:f>IF(AND(AND(480&lt;='Control Room'!$B$3,'Control Room'!$D$3="Ready"),4&lt;='Control Room'!$B$2),ROUND(MAX(0,'Process'!T481*'Control Room'!$H$7*INDEX('Control Room'!$B$19:$H$19,1,WEEKDAY($A481,2))*(1+'Control Room'!$D$9)^479*'Process'!U481),2),"")</x:f>
      </x:c>
      <x:c r="G481" s="16" t="str">
        <x:f>IF(AND(AND(480&lt;='Control Room'!$B$3,'Control Room'!$D$3="Ready"),5&lt;='Control Room'!$B$2),ROUND(MAX(0,'Process'!Y481*'Control Room'!$H$8*INDEX('Control Room'!$B$19:$H$19,1,WEEKDAY($A481,2))*(1+'Control Room'!$D$9)^479*'Process'!Z481),2),"")</x:f>
      </x:c>
      <x:c r="H481" s="16" t="str">
        <x:f>IF(AND(AND(480&lt;='Control Room'!$B$3,'Control Room'!$D$3="Ready"),6&lt;='Control Room'!$B$2),ROUND(MAX(0,'Process'!AD481*'Control Room'!$H$9*INDEX('Control Room'!$B$19:$H$19,1,WEEKDAY($A481,2))*(1+'Control Room'!$D$9)^479*'Process'!AE481),2),"")</x:f>
      </x:c>
      <x:c r="I481" s="16" t="str">
        <x:f>IF(AND(AND(480&lt;='Control Room'!$B$3,'Control Room'!$D$3="Ready"),7&lt;='Control Room'!$B$2),ROUND(MAX(0,'Process'!AI481*'Control Room'!$H$10*INDEX('Control Room'!$B$19:$H$19,1,WEEKDAY($A481,2))*(1+'Control Room'!$D$9)^479*'Process'!AJ481),2),"")</x:f>
      </x:c>
      <x:c r="J481" s="16" t="str">
        <x:f>IF(AND(AND(480&lt;='Control Room'!$B$3,'Control Room'!$D$3="Ready"),8&lt;='Control Room'!$B$2),ROUND(MAX(0,'Process'!AN481*'Control Room'!$H$11*INDEX('Control Room'!$B$19:$H$19,1,WEEKDAY($A481,2))*(1+'Control Room'!$D$9)^479*'Process'!AO481),2),"")</x:f>
      </x:c>
      <x:c r="K481" s="16" t="str">
        <x:f>IF(AND(AND(480&lt;='Control Room'!$B$3,'Control Room'!$D$3="Ready"),9&lt;='Control Room'!$B$2),ROUND(MAX(0,'Process'!AS481*'Control Room'!$H$12*INDEX('Control Room'!$B$19:$H$19,1,WEEKDAY($A481,2))*(1+'Control Room'!$D$9)^479*'Process'!AT481),2),"")</x:f>
      </x:c>
      <x:c r="L481" s="16" t="str">
        <x:f>IF(AND(AND(480&lt;='Control Room'!$B$3,'Control Room'!$D$3="Ready"),10&lt;='Control Room'!$B$2),ROUND(MAX(0,'Process'!AX481*'Control Room'!$H$13*INDEX('Control Room'!$B$19:$H$19,1,WEEKDAY($A481,2))*(1+'Control Room'!$D$9)^479*'Process'!AY481),2),"")</x:f>
      </x:c>
      <x:c r="M481" s="16" t="str">
        <x:f>IF(AND(AND(480&lt;='Control Room'!$B$3,'Control Room'!$D$3="Ready"),11&lt;='Control Room'!$B$2),ROUND(MAX(0,'Process'!BC481*'Control Room'!$H$14*INDEX('Control Room'!$B$19:$H$19,1,WEEKDAY($A481,2))*(1+'Control Room'!$D$9)^479*'Process'!BD481),2),"")</x:f>
      </x:c>
      <x:c r="N481" s="16" t="str">
        <x:f>IF(AND(AND(480&lt;='Control Room'!$B$3,'Control Room'!$D$3="Ready"),12&lt;='Control Room'!$B$2),ROUND(MAX(0,'Process'!BH481*'Control Room'!$H$15*INDEX('Control Room'!$B$19:$H$19,1,WEEKDAY($A481,2))*(1+'Control Room'!$D$9)^479*'Process'!BI481),2),"")</x:f>
      </x:c>
    </x:row>
    <x:row r="482" ht="21" customHeight="1">
      <x:c r="A482" s="15" t="str">
        <x:f>IF(AND(481&lt;='Control Room'!$B$3,'Control Room'!$D$3="Ready"),'Process'!A482,"")</x:f>
      </x:c>
      <x:c r="B482" s="16" t="str">
        <x:f>IF(A482="","",SUM(C482:N482))</x:f>
      </x:c>
      <x:c r="C482" s="16" t="str">
        <x:f>IF(AND(AND(481&lt;='Control Room'!$B$3,'Control Room'!$D$3="Ready"),1&lt;='Control Room'!$B$2),ROUND(MAX(0,'Process'!E482*'Control Room'!$H$4*INDEX('Control Room'!$B$19:$H$19,1,WEEKDAY($A482,2))*(1+'Control Room'!$D$9)^480*'Process'!F482),2),"")</x:f>
      </x:c>
      <x:c r="D482" s="16" t="str">
        <x:f>IF(AND(AND(481&lt;='Control Room'!$B$3,'Control Room'!$D$3="Ready"),2&lt;='Control Room'!$B$2),ROUND(MAX(0,'Process'!J482*'Control Room'!$H$5*INDEX('Control Room'!$B$19:$H$19,1,WEEKDAY($A482,2))*(1+'Control Room'!$D$9)^480*'Process'!K482),2),"")</x:f>
      </x:c>
      <x:c r="E482" s="16" t="str">
        <x:f>IF(AND(AND(481&lt;='Control Room'!$B$3,'Control Room'!$D$3="Ready"),3&lt;='Control Room'!$B$2),ROUND(MAX(0,'Process'!O482*'Control Room'!$H$6*INDEX('Control Room'!$B$19:$H$19,1,WEEKDAY($A482,2))*(1+'Control Room'!$D$9)^480*'Process'!P482),2),"")</x:f>
      </x:c>
      <x:c r="F482" s="16" t="str">
        <x:f>IF(AND(AND(481&lt;='Control Room'!$B$3,'Control Room'!$D$3="Ready"),4&lt;='Control Room'!$B$2),ROUND(MAX(0,'Process'!T482*'Control Room'!$H$7*INDEX('Control Room'!$B$19:$H$19,1,WEEKDAY($A482,2))*(1+'Control Room'!$D$9)^480*'Process'!U482),2),"")</x:f>
      </x:c>
      <x:c r="G482" s="16" t="str">
        <x:f>IF(AND(AND(481&lt;='Control Room'!$B$3,'Control Room'!$D$3="Ready"),5&lt;='Control Room'!$B$2),ROUND(MAX(0,'Process'!Y482*'Control Room'!$H$8*INDEX('Control Room'!$B$19:$H$19,1,WEEKDAY($A482,2))*(1+'Control Room'!$D$9)^480*'Process'!Z482),2),"")</x:f>
      </x:c>
      <x:c r="H482" s="16" t="str">
        <x:f>IF(AND(AND(481&lt;='Control Room'!$B$3,'Control Room'!$D$3="Ready"),6&lt;='Control Room'!$B$2),ROUND(MAX(0,'Process'!AD482*'Control Room'!$H$9*INDEX('Control Room'!$B$19:$H$19,1,WEEKDAY($A482,2))*(1+'Control Room'!$D$9)^480*'Process'!AE482),2),"")</x:f>
      </x:c>
      <x:c r="I482" s="16" t="str">
        <x:f>IF(AND(AND(481&lt;='Control Room'!$B$3,'Control Room'!$D$3="Ready"),7&lt;='Control Room'!$B$2),ROUND(MAX(0,'Process'!AI482*'Control Room'!$H$10*INDEX('Control Room'!$B$19:$H$19,1,WEEKDAY($A482,2))*(1+'Control Room'!$D$9)^480*'Process'!AJ482),2),"")</x:f>
      </x:c>
      <x:c r="J482" s="16" t="str">
        <x:f>IF(AND(AND(481&lt;='Control Room'!$B$3,'Control Room'!$D$3="Ready"),8&lt;='Control Room'!$B$2),ROUND(MAX(0,'Process'!AN482*'Control Room'!$H$11*INDEX('Control Room'!$B$19:$H$19,1,WEEKDAY($A482,2))*(1+'Control Room'!$D$9)^480*'Process'!AO482),2),"")</x:f>
      </x:c>
      <x:c r="K482" s="16" t="str">
        <x:f>IF(AND(AND(481&lt;='Control Room'!$B$3,'Control Room'!$D$3="Ready"),9&lt;='Control Room'!$B$2),ROUND(MAX(0,'Process'!AS482*'Control Room'!$H$12*INDEX('Control Room'!$B$19:$H$19,1,WEEKDAY($A482,2))*(1+'Control Room'!$D$9)^480*'Process'!AT482),2),"")</x:f>
      </x:c>
      <x:c r="L482" s="16" t="str">
        <x:f>IF(AND(AND(481&lt;='Control Room'!$B$3,'Control Room'!$D$3="Ready"),10&lt;='Control Room'!$B$2),ROUND(MAX(0,'Process'!AX482*'Control Room'!$H$13*INDEX('Control Room'!$B$19:$H$19,1,WEEKDAY($A482,2))*(1+'Control Room'!$D$9)^480*'Process'!AY482),2),"")</x:f>
      </x:c>
      <x:c r="M482" s="16" t="str">
        <x:f>IF(AND(AND(481&lt;='Control Room'!$B$3,'Control Room'!$D$3="Ready"),11&lt;='Control Room'!$B$2),ROUND(MAX(0,'Process'!BC482*'Control Room'!$H$14*INDEX('Control Room'!$B$19:$H$19,1,WEEKDAY($A482,2))*(1+'Control Room'!$D$9)^480*'Process'!BD482),2),"")</x:f>
      </x:c>
      <x:c r="N482" s="16" t="str">
        <x:f>IF(AND(AND(481&lt;='Control Room'!$B$3,'Control Room'!$D$3="Ready"),12&lt;='Control Room'!$B$2),ROUND(MAX(0,'Process'!BH482*'Control Room'!$H$15*INDEX('Control Room'!$B$19:$H$19,1,WEEKDAY($A482,2))*(1+'Control Room'!$D$9)^480*'Process'!BI482),2),"")</x:f>
      </x:c>
    </x:row>
    <x:row r="483" ht="21" customHeight="1">
      <x:c r="A483" s="15" t="str">
        <x:f>IF(AND(482&lt;='Control Room'!$B$3,'Control Room'!$D$3="Ready"),'Process'!A483,"")</x:f>
      </x:c>
      <x:c r="B483" s="16" t="str">
        <x:f>IF(A483="","",SUM(C483:N483))</x:f>
      </x:c>
      <x:c r="C483" s="16" t="str">
        <x:f>IF(AND(AND(482&lt;='Control Room'!$B$3,'Control Room'!$D$3="Ready"),1&lt;='Control Room'!$B$2),ROUND(MAX(0,'Process'!E483*'Control Room'!$H$4*INDEX('Control Room'!$B$19:$H$19,1,WEEKDAY($A483,2))*(1+'Control Room'!$D$9)^481*'Process'!F483),2),"")</x:f>
      </x:c>
      <x:c r="D483" s="16" t="str">
        <x:f>IF(AND(AND(482&lt;='Control Room'!$B$3,'Control Room'!$D$3="Ready"),2&lt;='Control Room'!$B$2),ROUND(MAX(0,'Process'!J483*'Control Room'!$H$5*INDEX('Control Room'!$B$19:$H$19,1,WEEKDAY($A483,2))*(1+'Control Room'!$D$9)^481*'Process'!K483),2),"")</x:f>
      </x:c>
      <x:c r="E483" s="16" t="str">
        <x:f>IF(AND(AND(482&lt;='Control Room'!$B$3,'Control Room'!$D$3="Ready"),3&lt;='Control Room'!$B$2),ROUND(MAX(0,'Process'!O483*'Control Room'!$H$6*INDEX('Control Room'!$B$19:$H$19,1,WEEKDAY($A483,2))*(1+'Control Room'!$D$9)^481*'Process'!P483),2),"")</x:f>
      </x:c>
      <x:c r="F483" s="16" t="str">
        <x:f>IF(AND(AND(482&lt;='Control Room'!$B$3,'Control Room'!$D$3="Ready"),4&lt;='Control Room'!$B$2),ROUND(MAX(0,'Process'!T483*'Control Room'!$H$7*INDEX('Control Room'!$B$19:$H$19,1,WEEKDAY($A483,2))*(1+'Control Room'!$D$9)^481*'Process'!U483),2),"")</x:f>
      </x:c>
      <x:c r="G483" s="16" t="str">
        <x:f>IF(AND(AND(482&lt;='Control Room'!$B$3,'Control Room'!$D$3="Ready"),5&lt;='Control Room'!$B$2),ROUND(MAX(0,'Process'!Y483*'Control Room'!$H$8*INDEX('Control Room'!$B$19:$H$19,1,WEEKDAY($A483,2))*(1+'Control Room'!$D$9)^481*'Process'!Z483),2),"")</x:f>
      </x:c>
      <x:c r="H483" s="16" t="str">
        <x:f>IF(AND(AND(482&lt;='Control Room'!$B$3,'Control Room'!$D$3="Ready"),6&lt;='Control Room'!$B$2),ROUND(MAX(0,'Process'!AD483*'Control Room'!$H$9*INDEX('Control Room'!$B$19:$H$19,1,WEEKDAY($A483,2))*(1+'Control Room'!$D$9)^481*'Process'!AE483),2),"")</x:f>
      </x:c>
      <x:c r="I483" s="16" t="str">
        <x:f>IF(AND(AND(482&lt;='Control Room'!$B$3,'Control Room'!$D$3="Ready"),7&lt;='Control Room'!$B$2),ROUND(MAX(0,'Process'!AI483*'Control Room'!$H$10*INDEX('Control Room'!$B$19:$H$19,1,WEEKDAY($A483,2))*(1+'Control Room'!$D$9)^481*'Process'!AJ483),2),"")</x:f>
      </x:c>
      <x:c r="J483" s="16" t="str">
        <x:f>IF(AND(AND(482&lt;='Control Room'!$B$3,'Control Room'!$D$3="Ready"),8&lt;='Control Room'!$B$2),ROUND(MAX(0,'Process'!AN483*'Control Room'!$H$11*INDEX('Control Room'!$B$19:$H$19,1,WEEKDAY($A483,2))*(1+'Control Room'!$D$9)^481*'Process'!AO483),2),"")</x:f>
      </x:c>
      <x:c r="K483" s="16" t="str">
        <x:f>IF(AND(AND(482&lt;='Control Room'!$B$3,'Control Room'!$D$3="Ready"),9&lt;='Control Room'!$B$2),ROUND(MAX(0,'Process'!AS483*'Control Room'!$H$12*INDEX('Control Room'!$B$19:$H$19,1,WEEKDAY($A483,2))*(1+'Control Room'!$D$9)^481*'Process'!AT483),2),"")</x:f>
      </x:c>
      <x:c r="L483" s="16" t="str">
        <x:f>IF(AND(AND(482&lt;='Control Room'!$B$3,'Control Room'!$D$3="Ready"),10&lt;='Control Room'!$B$2),ROUND(MAX(0,'Process'!AX483*'Control Room'!$H$13*INDEX('Control Room'!$B$19:$H$19,1,WEEKDAY($A483,2))*(1+'Control Room'!$D$9)^481*'Process'!AY483),2),"")</x:f>
      </x:c>
      <x:c r="M483" s="16" t="str">
        <x:f>IF(AND(AND(482&lt;='Control Room'!$B$3,'Control Room'!$D$3="Ready"),11&lt;='Control Room'!$B$2),ROUND(MAX(0,'Process'!BC483*'Control Room'!$H$14*INDEX('Control Room'!$B$19:$H$19,1,WEEKDAY($A483,2))*(1+'Control Room'!$D$9)^481*'Process'!BD483),2),"")</x:f>
      </x:c>
      <x:c r="N483" s="16" t="str">
        <x:f>IF(AND(AND(482&lt;='Control Room'!$B$3,'Control Room'!$D$3="Ready"),12&lt;='Control Room'!$B$2),ROUND(MAX(0,'Process'!BH483*'Control Room'!$H$15*INDEX('Control Room'!$B$19:$H$19,1,WEEKDAY($A483,2))*(1+'Control Room'!$D$9)^481*'Process'!BI483),2),"")</x:f>
      </x:c>
    </x:row>
    <x:row r="484" ht="21" customHeight="1">
      <x:c r="A484" s="15" t="str">
        <x:f>IF(AND(483&lt;='Control Room'!$B$3,'Control Room'!$D$3="Ready"),'Process'!A484,"")</x:f>
      </x:c>
      <x:c r="B484" s="16" t="str">
        <x:f>IF(A484="","",SUM(C484:N484))</x:f>
      </x:c>
      <x:c r="C484" s="16" t="str">
        <x:f>IF(AND(AND(483&lt;='Control Room'!$B$3,'Control Room'!$D$3="Ready"),1&lt;='Control Room'!$B$2),ROUND(MAX(0,'Process'!E484*'Control Room'!$H$4*INDEX('Control Room'!$B$19:$H$19,1,WEEKDAY($A484,2))*(1+'Control Room'!$D$9)^482*'Process'!F484),2),"")</x:f>
      </x:c>
      <x:c r="D484" s="16" t="str">
        <x:f>IF(AND(AND(483&lt;='Control Room'!$B$3,'Control Room'!$D$3="Ready"),2&lt;='Control Room'!$B$2),ROUND(MAX(0,'Process'!J484*'Control Room'!$H$5*INDEX('Control Room'!$B$19:$H$19,1,WEEKDAY($A484,2))*(1+'Control Room'!$D$9)^482*'Process'!K484),2),"")</x:f>
      </x:c>
      <x:c r="E484" s="16" t="str">
        <x:f>IF(AND(AND(483&lt;='Control Room'!$B$3,'Control Room'!$D$3="Ready"),3&lt;='Control Room'!$B$2),ROUND(MAX(0,'Process'!O484*'Control Room'!$H$6*INDEX('Control Room'!$B$19:$H$19,1,WEEKDAY($A484,2))*(1+'Control Room'!$D$9)^482*'Process'!P484),2),"")</x:f>
      </x:c>
      <x:c r="F484" s="16" t="str">
        <x:f>IF(AND(AND(483&lt;='Control Room'!$B$3,'Control Room'!$D$3="Ready"),4&lt;='Control Room'!$B$2),ROUND(MAX(0,'Process'!T484*'Control Room'!$H$7*INDEX('Control Room'!$B$19:$H$19,1,WEEKDAY($A484,2))*(1+'Control Room'!$D$9)^482*'Process'!U484),2),"")</x:f>
      </x:c>
      <x:c r="G484" s="16" t="str">
        <x:f>IF(AND(AND(483&lt;='Control Room'!$B$3,'Control Room'!$D$3="Ready"),5&lt;='Control Room'!$B$2),ROUND(MAX(0,'Process'!Y484*'Control Room'!$H$8*INDEX('Control Room'!$B$19:$H$19,1,WEEKDAY($A484,2))*(1+'Control Room'!$D$9)^482*'Process'!Z484),2),"")</x:f>
      </x:c>
      <x:c r="H484" s="16" t="str">
        <x:f>IF(AND(AND(483&lt;='Control Room'!$B$3,'Control Room'!$D$3="Ready"),6&lt;='Control Room'!$B$2),ROUND(MAX(0,'Process'!AD484*'Control Room'!$H$9*INDEX('Control Room'!$B$19:$H$19,1,WEEKDAY($A484,2))*(1+'Control Room'!$D$9)^482*'Process'!AE484),2),"")</x:f>
      </x:c>
      <x:c r="I484" s="16" t="str">
        <x:f>IF(AND(AND(483&lt;='Control Room'!$B$3,'Control Room'!$D$3="Ready"),7&lt;='Control Room'!$B$2),ROUND(MAX(0,'Process'!AI484*'Control Room'!$H$10*INDEX('Control Room'!$B$19:$H$19,1,WEEKDAY($A484,2))*(1+'Control Room'!$D$9)^482*'Process'!AJ484),2),"")</x:f>
      </x:c>
      <x:c r="J484" s="16" t="str">
        <x:f>IF(AND(AND(483&lt;='Control Room'!$B$3,'Control Room'!$D$3="Ready"),8&lt;='Control Room'!$B$2),ROUND(MAX(0,'Process'!AN484*'Control Room'!$H$11*INDEX('Control Room'!$B$19:$H$19,1,WEEKDAY($A484,2))*(1+'Control Room'!$D$9)^482*'Process'!AO484),2),"")</x:f>
      </x:c>
      <x:c r="K484" s="16" t="str">
        <x:f>IF(AND(AND(483&lt;='Control Room'!$B$3,'Control Room'!$D$3="Ready"),9&lt;='Control Room'!$B$2),ROUND(MAX(0,'Process'!AS484*'Control Room'!$H$12*INDEX('Control Room'!$B$19:$H$19,1,WEEKDAY($A484,2))*(1+'Control Room'!$D$9)^482*'Process'!AT484),2),"")</x:f>
      </x:c>
      <x:c r="L484" s="16" t="str">
        <x:f>IF(AND(AND(483&lt;='Control Room'!$B$3,'Control Room'!$D$3="Ready"),10&lt;='Control Room'!$B$2),ROUND(MAX(0,'Process'!AX484*'Control Room'!$H$13*INDEX('Control Room'!$B$19:$H$19,1,WEEKDAY($A484,2))*(1+'Control Room'!$D$9)^482*'Process'!AY484),2),"")</x:f>
      </x:c>
      <x:c r="M484" s="16" t="str">
        <x:f>IF(AND(AND(483&lt;='Control Room'!$B$3,'Control Room'!$D$3="Ready"),11&lt;='Control Room'!$B$2),ROUND(MAX(0,'Process'!BC484*'Control Room'!$H$14*INDEX('Control Room'!$B$19:$H$19,1,WEEKDAY($A484,2))*(1+'Control Room'!$D$9)^482*'Process'!BD484),2),"")</x:f>
      </x:c>
      <x:c r="N484" s="16" t="str">
        <x:f>IF(AND(AND(483&lt;='Control Room'!$B$3,'Control Room'!$D$3="Ready"),12&lt;='Control Room'!$B$2),ROUND(MAX(0,'Process'!BH484*'Control Room'!$H$15*INDEX('Control Room'!$B$19:$H$19,1,WEEKDAY($A484,2))*(1+'Control Room'!$D$9)^482*'Process'!BI484),2),"")</x:f>
      </x:c>
    </x:row>
    <x:row r="485" ht="21" customHeight="1">
      <x:c r="A485" s="15" t="str">
        <x:f>IF(AND(484&lt;='Control Room'!$B$3,'Control Room'!$D$3="Ready"),'Process'!A485,"")</x:f>
      </x:c>
      <x:c r="B485" s="16" t="str">
        <x:f>IF(A485="","",SUM(C485:N485))</x:f>
      </x:c>
      <x:c r="C485" s="16" t="str">
        <x:f>IF(AND(AND(484&lt;='Control Room'!$B$3,'Control Room'!$D$3="Ready"),1&lt;='Control Room'!$B$2),ROUND(MAX(0,'Process'!E485*'Control Room'!$H$4*INDEX('Control Room'!$B$19:$H$19,1,WEEKDAY($A485,2))*(1+'Control Room'!$D$9)^483*'Process'!F485),2),"")</x:f>
      </x:c>
      <x:c r="D485" s="16" t="str">
        <x:f>IF(AND(AND(484&lt;='Control Room'!$B$3,'Control Room'!$D$3="Ready"),2&lt;='Control Room'!$B$2),ROUND(MAX(0,'Process'!J485*'Control Room'!$H$5*INDEX('Control Room'!$B$19:$H$19,1,WEEKDAY($A485,2))*(1+'Control Room'!$D$9)^483*'Process'!K485),2),"")</x:f>
      </x:c>
      <x:c r="E485" s="16" t="str">
        <x:f>IF(AND(AND(484&lt;='Control Room'!$B$3,'Control Room'!$D$3="Ready"),3&lt;='Control Room'!$B$2),ROUND(MAX(0,'Process'!O485*'Control Room'!$H$6*INDEX('Control Room'!$B$19:$H$19,1,WEEKDAY($A485,2))*(1+'Control Room'!$D$9)^483*'Process'!P485),2),"")</x:f>
      </x:c>
      <x:c r="F485" s="16" t="str">
        <x:f>IF(AND(AND(484&lt;='Control Room'!$B$3,'Control Room'!$D$3="Ready"),4&lt;='Control Room'!$B$2),ROUND(MAX(0,'Process'!T485*'Control Room'!$H$7*INDEX('Control Room'!$B$19:$H$19,1,WEEKDAY($A485,2))*(1+'Control Room'!$D$9)^483*'Process'!U485),2),"")</x:f>
      </x:c>
      <x:c r="G485" s="16" t="str">
        <x:f>IF(AND(AND(484&lt;='Control Room'!$B$3,'Control Room'!$D$3="Ready"),5&lt;='Control Room'!$B$2),ROUND(MAX(0,'Process'!Y485*'Control Room'!$H$8*INDEX('Control Room'!$B$19:$H$19,1,WEEKDAY($A485,2))*(1+'Control Room'!$D$9)^483*'Process'!Z485),2),"")</x:f>
      </x:c>
      <x:c r="H485" s="16" t="str">
        <x:f>IF(AND(AND(484&lt;='Control Room'!$B$3,'Control Room'!$D$3="Ready"),6&lt;='Control Room'!$B$2),ROUND(MAX(0,'Process'!AD485*'Control Room'!$H$9*INDEX('Control Room'!$B$19:$H$19,1,WEEKDAY($A485,2))*(1+'Control Room'!$D$9)^483*'Process'!AE485),2),"")</x:f>
      </x:c>
      <x:c r="I485" s="16" t="str">
        <x:f>IF(AND(AND(484&lt;='Control Room'!$B$3,'Control Room'!$D$3="Ready"),7&lt;='Control Room'!$B$2),ROUND(MAX(0,'Process'!AI485*'Control Room'!$H$10*INDEX('Control Room'!$B$19:$H$19,1,WEEKDAY($A485,2))*(1+'Control Room'!$D$9)^483*'Process'!AJ485),2),"")</x:f>
      </x:c>
      <x:c r="J485" s="16" t="str">
        <x:f>IF(AND(AND(484&lt;='Control Room'!$B$3,'Control Room'!$D$3="Ready"),8&lt;='Control Room'!$B$2),ROUND(MAX(0,'Process'!AN485*'Control Room'!$H$11*INDEX('Control Room'!$B$19:$H$19,1,WEEKDAY($A485,2))*(1+'Control Room'!$D$9)^483*'Process'!AO485),2),"")</x:f>
      </x:c>
      <x:c r="K485" s="16" t="str">
        <x:f>IF(AND(AND(484&lt;='Control Room'!$B$3,'Control Room'!$D$3="Ready"),9&lt;='Control Room'!$B$2),ROUND(MAX(0,'Process'!AS485*'Control Room'!$H$12*INDEX('Control Room'!$B$19:$H$19,1,WEEKDAY($A485,2))*(1+'Control Room'!$D$9)^483*'Process'!AT485),2),"")</x:f>
      </x:c>
      <x:c r="L485" s="16" t="str">
        <x:f>IF(AND(AND(484&lt;='Control Room'!$B$3,'Control Room'!$D$3="Ready"),10&lt;='Control Room'!$B$2),ROUND(MAX(0,'Process'!AX485*'Control Room'!$H$13*INDEX('Control Room'!$B$19:$H$19,1,WEEKDAY($A485,2))*(1+'Control Room'!$D$9)^483*'Process'!AY485),2),"")</x:f>
      </x:c>
      <x:c r="M485" s="16" t="str">
        <x:f>IF(AND(AND(484&lt;='Control Room'!$B$3,'Control Room'!$D$3="Ready"),11&lt;='Control Room'!$B$2),ROUND(MAX(0,'Process'!BC485*'Control Room'!$H$14*INDEX('Control Room'!$B$19:$H$19,1,WEEKDAY($A485,2))*(1+'Control Room'!$D$9)^483*'Process'!BD485),2),"")</x:f>
      </x:c>
      <x:c r="N485" s="16" t="str">
        <x:f>IF(AND(AND(484&lt;='Control Room'!$B$3,'Control Room'!$D$3="Ready"),12&lt;='Control Room'!$B$2),ROUND(MAX(0,'Process'!BH485*'Control Room'!$H$15*INDEX('Control Room'!$B$19:$H$19,1,WEEKDAY($A485,2))*(1+'Control Room'!$D$9)^483*'Process'!BI485),2),"")</x:f>
      </x:c>
    </x:row>
    <x:row r="486" ht="21" customHeight="1">
      <x:c r="A486" s="15" t="str">
        <x:f>IF(AND(485&lt;='Control Room'!$B$3,'Control Room'!$D$3="Ready"),'Process'!A486,"")</x:f>
      </x:c>
      <x:c r="B486" s="16" t="str">
        <x:f>IF(A486="","",SUM(C486:N486))</x:f>
      </x:c>
      <x:c r="C486" s="16" t="str">
        <x:f>IF(AND(AND(485&lt;='Control Room'!$B$3,'Control Room'!$D$3="Ready"),1&lt;='Control Room'!$B$2),ROUND(MAX(0,'Process'!E486*'Control Room'!$H$4*INDEX('Control Room'!$B$19:$H$19,1,WEEKDAY($A486,2))*(1+'Control Room'!$D$9)^484*'Process'!F486),2),"")</x:f>
      </x:c>
      <x:c r="D486" s="16" t="str">
        <x:f>IF(AND(AND(485&lt;='Control Room'!$B$3,'Control Room'!$D$3="Ready"),2&lt;='Control Room'!$B$2),ROUND(MAX(0,'Process'!J486*'Control Room'!$H$5*INDEX('Control Room'!$B$19:$H$19,1,WEEKDAY($A486,2))*(1+'Control Room'!$D$9)^484*'Process'!K486),2),"")</x:f>
      </x:c>
      <x:c r="E486" s="16" t="str">
        <x:f>IF(AND(AND(485&lt;='Control Room'!$B$3,'Control Room'!$D$3="Ready"),3&lt;='Control Room'!$B$2),ROUND(MAX(0,'Process'!O486*'Control Room'!$H$6*INDEX('Control Room'!$B$19:$H$19,1,WEEKDAY($A486,2))*(1+'Control Room'!$D$9)^484*'Process'!P486),2),"")</x:f>
      </x:c>
      <x:c r="F486" s="16" t="str">
        <x:f>IF(AND(AND(485&lt;='Control Room'!$B$3,'Control Room'!$D$3="Ready"),4&lt;='Control Room'!$B$2),ROUND(MAX(0,'Process'!T486*'Control Room'!$H$7*INDEX('Control Room'!$B$19:$H$19,1,WEEKDAY($A486,2))*(1+'Control Room'!$D$9)^484*'Process'!U486),2),"")</x:f>
      </x:c>
      <x:c r="G486" s="16" t="str">
        <x:f>IF(AND(AND(485&lt;='Control Room'!$B$3,'Control Room'!$D$3="Ready"),5&lt;='Control Room'!$B$2),ROUND(MAX(0,'Process'!Y486*'Control Room'!$H$8*INDEX('Control Room'!$B$19:$H$19,1,WEEKDAY($A486,2))*(1+'Control Room'!$D$9)^484*'Process'!Z486),2),"")</x:f>
      </x:c>
      <x:c r="H486" s="16" t="str">
        <x:f>IF(AND(AND(485&lt;='Control Room'!$B$3,'Control Room'!$D$3="Ready"),6&lt;='Control Room'!$B$2),ROUND(MAX(0,'Process'!AD486*'Control Room'!$H$9*INDEX('Control Room'!$B$19:$H$19,1,WEEKDAY($A486,2))*(1+'Control Room'!$D$9)^484*'Process'!AE486),2),"")</x:f>
      </x:c>
      <x:c r="I486" s="16" t="str">
        <x:f>IF(AND(AND(485&lt;='Control Room'!$B$3,'Control Room'!$D$3="Ready"),7&lt;='Control Room'!$B$2),ROUND(MAX(0,'Process'!AI486*'Control Room'!$H$10*INDEX('Control Room'!$B$19:$H$19,1,WEEKDAY($A486,2))*(1+'Control Room'!$D$9)^484*'Process'!AJ486),2),"")</x:f>
      </x:c>
      <x:c r="J486" s="16" t="str">
        <x:f>IF(AND(AND(485&lt;='Control Room'!$B$3,'Control Room'!$D$3="Ready"),8&lt;='Control Room'!$B$2),ROUND(MAX(0,'Process'!AN486*'Control Room'!$H$11*INDEX('Control Room'!$B$19:$H$19,1,WEEKDAY($A486,2))*(1+'Control Room'!$D$9)^484*'Process'!AO486),2),"")</x:f>
      </x:c>
      <x:c r="K486" s="16" t="str">
        <x:f>IF(AND(AND(485&lt;='Control Room'!$B$3,'Control Room'!$D$3="Ready"),9&lt;='Control Room'!$B$2),ROUND(MAX(0,'Process'!AS486*'Control Room'!$H$12*INDEX('Control Room'!$B$19:$H$19,1,WEEKDAY($A486,2))*(1+'Control Room'!$D$9)^484*'Process'!AT486),2),"")</x:f>
      </x:c>
      <x:c r="L486" s="16" t="str">
        <x:f>IF(AND(AND(485&lt;='Control Room'!$B$3,'Control Room'!$D$3="Ready"),10&lt;='Control Room'!$B$2),ROUND(MAX(0,'Process'!AX486*'Control Room'!$H$13*INDEX('Control Room'!$B$19:$H$19,1,WEEKDAY($A486,2))*(1+'Control Room'!$D$9)^484*'Process'!AY486),2),"")</x:f>
      </x:c>
      <x:c r="M486" s="16" t="str">
        <x:f>IF(AND(AND(485&lt;='Control Room'!$B$3,'Control Room'!$D$3="Ready"),11&lt;='Control Room'!$B$2),ROUND(MAX(0,'Process'!BC486*'Control Room'!$H$14*INDEX('Control Room'!$B$19:$H$19,1,WEEKDAY($A486,2))*(1+'Control Room'!$D$9)^484*'Process'!BD486),2),"")</x:f>
      </x:c>
      <x:c r="N486" s="16" t="str">
        <x:f>IF(AND(AND(485&lt;='Control Room'!$B$3,'Control Room'!$D$3="Ready"),12&lt;='Control Room'!$B$2),ROUND(MAX(0,'Process'!BH486*'Control Room'!$H$15*INDEX('Control Room'!$B$19:$H$19,1,WEEKDAY($A486,2))*(1+'Control Room'!$D$9)^484*'Process'!BI486),2),"")</x:f>
      </x:c>
    </x:row>
    <x:row r="487" ht="21" customHeight="1">
      <x:c r="A487" s="15" t="str">
        <x:f>IF(AND(486&lt;='Control Room'!$B$3,'Control Room'!$D$3="Ready"),'Process'!A487,"")</x:f>
      </x:c>
      <x:c r="B487" s="16" t="str">
        <x:f>IF(A487="","",SUM(C487:N487))</x:f>
      </x:c>
      <x:c r="C487" s="16" t="str">
        <x:f>IF(AND(AND(486&lt;='Control Room'!$B$3,'Control Room'!$D$3="Ready"),1&lt;='Control Room'!$B$2),ROUND(MAX(0,'Process'!E487*'Control Room'!$H$4*INDEX('Control Room'!$B$19:$H$19,1,WEEKDAY($A487,2))*(1+'Control Room'!$D$9)^485*'Process'!F487),2),"")</x:f>
      </x:c>
      <x:c r="D487" s="16" t="str">
        <x:f>IF(AND(AND(486&lt;='Control Room'!$B$3,'Control Room'!$D$3="Ready"),2&lt;='Control Room'!$B$2),ROUND(MAX(0,'Process'!J487*'Control Room'!$H$5*INDEX('Control Room'!$B$19:$H$19,1,WEEKDAY($A487,2))*(1+'Control Room'!$D$9)^485*'Process'!K487),2),"")</x:f>
      </x:c>
      <x:c r="E487" s="16" t="str">
        <x:f>IF(AND(AND(486&lt;='Control Room'!$B$3,'Control Room'!$D$3="Ready"),3&lt;='Control Room'!$B$2),ROUND(MAX(0,'Process'!O487*'Control Room'!$H$6*INDEX('Control Room'!$B$19:$H$19,1,WEEKDAY($A487,2))*(1+'Control Room'!$D$9)^485*'Process'!P487),2),"")</x:f>
      </x:c>
      <x:c r="F487" s="16" t="str">
        <x:f>IF(AND(AND(486&lt;='Control Room'!$B$3,'Control Room'!$D$3="Ready"),4&lt;='Control Room'!$B$2),ROUND(MAX(0,'Process'!T487*'Control Room'!$H$7*INDEX('Control Room'!$B$19:$H$19,1,WEEKDAY($A487,2))*(1+'Control Room'!$D$9)^485*'Process'!U487),2),"")</x:f>
      </x:c>
      <x:c r="G487" s="16" t="str">
        <x:f>IF(AND(AND(486&lt;='Control Room'!$B$3,'Control Room'!$D$3="Ready"),5&lt;='Control Room'!$B$2),ROUND(MAX(0,'Process'!Y487*'Control Room'!$H$8*INDEX('Control Room'!$B$19:$H$19,1,WEEKDAY($A487,2))*(1+'Control Room'!$D$9)^485*'Process'!Z487),2),"")</x:f>
      </x:c>
      <x:c r="H487" s="16" t="str">
        <x:f>IF(AND(AND(486&lt;='Control Room'!$B$3,'Control Room'!$D$3="Ready"),6&lt;='Control Room'!$B$2),ROUND(MAX(0,'Process'!AD487*'Control Room'!$H$9*INDEX('Control Room'!$B$19:$H$19,1,WEEKDAY($A487,2))*(1+'Control Room'!$D$9)^485*'Process'!AE487),2),"")</x:f>
      </x:c>
      <x:c r="I487" s="16" t="str">
        <x:f>IF(AND(AND(486&lt;='Control Room'!$B$3,'Control Room'!$D$3="Ready"),7&lt;='Control Room'!$B$2),ROUND(MAX(0,'Process'!AI487*'Control Room'!$H$10*INDEX('Control Room'!$B$19:$H$19,1,WEEKDAY($A487,2))*(1+'Control Room'!$D$9)^485*'Process'!AJ487),2),"")</x:f>
      </x:c>
      <x:c r="J487" s="16" t="str">
        <x:f>IF(AND(AND(486&lt;='Control Room'!$B$3,'Control Room'!$D$3="Ready"),8&lt;='Control Room'!$B$2),ROUND(MAX(0,'Process'!AN487*'Control Room'!$H$11*INDEX('Control Room'!$B$19:$H$19,1,WEEKDAY($A487,2))*(1+'Control Room'!$D$9)^485*'Process'!AO487),2),"")</x:f>
      </x:c>
      <x:c r="K487" s="16" t="str">
        <x:f>IF(AND(AND(486&lt;='Control Room'!$B$3,'Control Room'!$D$3="Ready"),9&lt;='Control Room'!$B$2),ROUND(MAX(0,'Process'!AS487*'Control Room'!$H$12*INDEX('Control Room'!$B$19:$H$19,1,WEEKDAY($A487,2))*(1+'Control Room'!$D$9)^485*'Process'!AT487),2),"")</x:f>
      </x:c>
      <x:c r="L487" s="16" t="str">
        <x:f>IF(AND(AND(486&lt;='Control Room'!$B$3,'Control Room'!$D$3="Ready"),10&lt;='Control Room'!$B$2),ROUND(MAX(0,'Process'!AX487*'Control Room'!$H$13*INDEX('Control Room'!$B$19:$H$19,1,WEEKDAY($A487,2))*(1+'Control Room'!$D$9)^485*'Process'!AY487),2),"")</x:f>
      </x:c>
      <x:c r="M487" s="16" t="str">
        <x:f>IF(AND(AND(486&lt;='Control Room'!$B$3,'Control Room'!$D$3="Ready"),11&lt;='Control Room'!$B$2),ROUND(MAX(0,'Process'!BC487*'Control Room'!$H$14*INDEX('Control Room'!$B$19:$H$19,1,WEEKDAY($A487,2))*(1+'Control Room'!$D$9)^485*'Process'!BD487),2),"")</x:f>
      </x:c>
      <x:c r="N487" s="16" t="str">
        <x:f>IF(AND(AND(486&lt;='Control Room'!$B$3,'Control Room'!$D$3="Ready"),12&lt;='Control Room'!$B$2),ROUND(MAX(0,'Process'!BH487*'Control Room'!$H$15*INDEX('Control Room'!$B$19:$H$19,1,WEEKDAY($A487,2))*(1+'Control Room'!$D$9)^485*'Process'!BI487),2),"")</x:f>
      </x:c>
    </x:row>
    <x:row r="488" ht="21" customHeight="1">
      <x:c r="A488" s="15" t="str">
        <x:f>IF(AND(487&lt;='Control Room'!$B$3,'Control Room'!$D$3="Ready"),'Process'!A488,"")</x:f>
      </x:c>
      <x:c r="B488" s="16" t="str">
        <x:f>IF(A488="","",SUM(C488:N488))</x:f>
      </x:c>
      <x:c r="C488" s="16" t="str">
        <x:f>IF(AND(AND(487&lt;='Control Room'!$B$3,'Control Room'!$D$3="Ready"),1&lt;='Control Room'!$B$2),ROUND(MAX(0,'Process'!E488*'Control Room'!$H$4*INDEX('Control Room'!$B$19:$H$19,1,WEEKDAY($A488,2))*(1+'Control Room'!$D$9)^486*'Process'!F488),2),"")</x:f>
      </x:c>
      <x:c r="D488" s="16" t="str">
        <x:f>IF(AND(AND(487&lt;='Control Room'!$B$3,'Control Room'!$D$3="Ready"),2&lt;='Control Room'!$B$2),ROUND(MAX(0,'Process'!J488*'Control Room'!$H$5*INDEX('Control Room'!$B$19:$H$19,1,WEEKDAY($A488,2))*(1+'Control Room'!$D$9)^486*'Process'!K488),2),"")</x:f>
      </x:c>
      <x:c r="E488" s="16" t="str">
        <x:f>IF(AND(AND(487&lt;='Control Room'!$B$3,'Control Room'!$D$3="Ready"),3&lt;='Control Room'!$B$2),ROUND(MAX(0,'Process'!O488*'Control Room'!$H$6*INDEX('Control Room'!$B$19:$H$19,1,WEEKDAY($A488,2))*(1+'Control Room'!$D$9)^486*'Process'!P488),2),"")</x:f>
      </x:c>
      <x:c r="F488" s="16" t="str">
        <x:f>IF(AND(AND(487&lt;='Control Room'!$B$3,'Control Room'!$D$3="Ready"),4&lt;='Control Room'!$B$2),ROUND(MAX(0,'Process'!T488*'Control Room'!$H$7*INDEX('Control Room'!$B$19:$H$19,1,WEEKDAY($A488,2))*(1+'Control Room'!$D$9)^486*'Process'!U488),2),"")</x:f>
      </x:c>
      <x:c r="G488" s="16" t="str">
        <x:f>IF(AND(AND(487&lt;='Control Room'!$B$3,'Control Room'!$D$3="Ready"),5&lt;='Control Room'!$B$2),ROUND(MAX(0,'Process'!Y488*'Control Room'!$H$8*INDEX('Control Room'!$B$19:$H$19,1,WEEKDAY($A488,2))*(1+'Control Room'!$D$9)^486*'Process'!Z488),2),"")</x:f>
      </x:c>
      <x:c r="H488" s="16" t="str">
        <x:f>IF(AND(AND(487&lt;='Control Room'!$B$3,'Control Room'!$D$3="Ready"),6&lt;='Control Room'!$B$2),ROUND(MAX(0,'Process'!AD488*'Control Room'!$H$9*INDEX('Control Room'!$B$19:$H$19,1,WEEKDAY($A488,2))*(1+'Control Room'!$D$9)^486*'Process'!AE488),2),"")</x:f>
      </x:c>
      <x:c r="I488" s="16" t="str">
        <x:f>IF(AND(AND(487&lt;='Control Room'!$B$3,'Control Room'!$D$3="Ready"),7&lt;='Control Room'!$B$2),ROUND(MAX(0,'Process'!AI488*'Control Room'!$H$10*INDEX('Control Room'!$B$19:$H$19,1,WEEKDAY($A488,2))*(1+'Control Room'!$D$9)^486*'Process'!AJ488),2),"")</x:f>
      </x:c>
      <x:c r="J488" s="16" t="str">
        <x:f>IF(AND(AND(487&lt;='Control Room'!$B$3,'Control Room'!$D$3="Ready"),8&lt;='Control Room'!$B$2),ROUND(MAX(0,'Process'!AN488*'Control Room'!$H$11*INDEX('Control Room'!$B$19:$H$19,1,WEEKDAY($A488,2))*(1+'Control Room'!$D$9)^486*'Process'!AO488),2),"")</x:f>
      </x:c>
      <x:c r="K488" s="16" t="str">
        <x:f>IF(AND(AND(487&lt;='Control Room'!$B$3,'Control Room'!$D$3="Ready"),9&lt;='Control Room'!$B$2),ROUND(MAX(0,'Process'!AS488*'Control Room'!$H$12*INDEX('Control Room'!$B$19:$H$19,1,WEEKDAY($A488,2))*(1+'Control Room'!$D$9)^486*'Process'!AT488),2),"")</x:f>
      </x:c>
      <x:c r="L488" s="16" t="str">
        <x:f>IF(AND(AND(487&lt;='Control Room'!$B$3,'Control Room'!$D$3="Ready"),10&lt;='Control Room'!$B$2),ROUND(MAX(0,'Process'!AX488*'Control Room'!$H$13*INDEX('Control Room'!$B$19:$H$19,1,WEEKDAY($A488,2))*(1+'Control Room'!$D$9)^486*'Process'!AY488),2),"")</x:f>
      </x:c>
      <x:c r="M488" s="16" t="str">
        <x:f>IF(AND(AND(487&lt;='Control Room'!$B$3,'Control Room'!$D$3="Ready"),11&lt;='Control Room'!$B$2),ROUND(MAX(0,'Process'!BC488*'Control Room'!$H$14*INDEX('Control Room'!$B$19:$H$19,1,WEEKDAY($A488,2))*(1+'Control Room'!$D$9)^486*'Process'!BD488),2),"")</x:f>
      </x:c>
      <x:c r="N488" s="16" t="str">
        <x:f>IF(AND(AND(487&lt;='Control Room'!$B$3,'Control Room'!$D$3="Ready"),12&lt;='Control Room'!$B$2),ROUND(MAX(0,'Process'!BH488*'Control Room'!$H$15*INDEX('Control Room'!$B$19:$H$19,1,WEEKDAY($A488,2))*(1+'Control Room'!$D$9)^486*'Process'!BI488),2),"")</x:f>
      </x:c>
    </x:row>
    <x:row r="489" ht="21" customHeight="1">
      <x:c r="A489" s="15" t="str">
        <x:f>IF(AND(488&lt;='Control Room'!$B$3,'Control Room'!$D$3="Ready"),'Process'!A489,"")</x:f>
      </x:c>
      <x:c r="B489" s="16" t="str">
        <x:f>IF(A489="","",SUM(C489:N489))</x:f>
      </x:c>
      <x:c r="C489" s="16" t="str">
        <x:f>IF(AND(AND(488&lt;='Control Room'!$B$3,'Control Room'!$D$3="Ready"),1&lt;='Control Room'!$B$2),ROUND(MAX(0,'Process'!E489*'Control Room'!$H$4*INDEX('Control Room'!$B$19:$H$19,1,WEEKDAY($A489,2))*(1+'Control Room'!$D$9)^487*'Process'!F489),2),"")</x:f>
      </x:c>
      <x:c r="D489" s="16" t="str">
        <x:f>IF(AND(AND(488&lt;='Control Room'!$B$3,'Control Room'!$D$3="Ready"),2&lt;='Control Room'!$B$2),ROUND(MAX(0,'Process'!J489*'Control Room'!$H$5*INDEX('Control Room'!$B$19:$H$19,1,WEEKDAY($A489,2))*(1+'Control Room'!$D$9)^487*'Process'!K489),2),"")</x:f>
      </x:c>
      <x:c r="E489" s="16" t="str">
        <x:f>IF(AND(AND(488&lt;='Control Room'!$B$3,'Control Room'!$D$3="Ready"),3&lt;='Control Room'!$B$2),ROUND(MAX(0,'Process'!O489*'Control Room'!$H$6*INDEX('Control Room'!$B$19:$H$19,1,WEEKDAY($A489,2))*(1+'Control Room'!$D$9)^487*'Process'!P489),2),"")</x:f>
      </x:c>
      <x:c r="F489" s="16" t="str">
        <x:f>IF(AND(AND(488&lt;='Control Room'!$B$3,'Control Room'!$D$3="Ready"),4&lt;='Control Room'!$B$2),ROUND(MAX(0,'Process'!T489*'Control Room'!$H$7*INDEX('Control Room'!$B$19:$H$19,1,WEEKDAY($A489,2))*(1+'Control Room'!$D$9)^487*'Process'!U489),2),"")</x:f>
      </x:c>
      <x:c r="G489" s="16" t="str">
        <x:f>IF(AND(AND(488&lt;='Control Room'!$B$3,'Control Room'!$D$3="Ready"),5&lt;='Control Room'!$B$2),ROUND(MAX(0,'Process'!Y489*'Control Room'!$H$8*INDEX('Control Room'!$B$19:$H$19,1,WEEKDAY($A489,2))*(1+'Control Room'!$D$9)^487*'Process'!Z489),2),"")</x:f>
      </x:c>
      <x:c r="H489" s="16" t="str">
        <x:f>IF(AND(AND(488&lt;='Control Room'!$B$3,'Control Room'!$D$3="Ready"),6&lt;='Control Room'!$B$2),ROUND(MAX(0,'Process'!AD489*'Control Room'!$H$9*INDEX('Control Room'!$B$19:$H$19,1,WEEKDAY($A489,2))*(1+'Control Room'!$D$9)^487*'Process'!AE489),2),"")</x:f>
      </x:c>
      <x:c r="I489" s="16" t="str">
        <x:f>IF(AND(AND(488&lt;='Control Room'!$B$3,'Control Room'!$D$3="Ready"),7&lt;='Control Room'!$B$2),ROUND(MAX(0,'Process'!AI489*'Control Room'!$H$10*INDEX('Control Room'!$B$19:$H$19,1,WEEKDAY($A489,2))*(1+'Control Room'!$D$9)^487*'Process'!AJ489),2),"")</x:f>
      </x:c>
      <x:c r="J489" s="16" t="str">
        <x:f>IF(AND(AND(488&lt;='Control Room'!$B$3,'Control Room'!$D$3="Ready"),8&lt;='Control Room'!$B$2),ROUND(MAX(0,'Process'!AN489*'Control Room'!$H$11*INDEX('Control Room'!$B$19:$H$19,1,WEEKDAY($A489,2))*(1+'Control Room'!$D$9)^487*'Process'!AO489),2),"")</x:f>
      </x:c>
      <x:c r="K489" s="16" t="str">
        <x:f>IF(AND(AND(488&lt;='Control Room'!$B$3,'Control Room'!$D$3="Ready"),9&lt;='Control Room'!$B$2),ROUND(MAX(0,'Process'!AS489*'Control Room'!$H$12*INDEX('Control Room'!$B$19:$H$19,1,WEEKDAY($A489,2))*(1+'Control Room'!$D$9)^487*'Process'!AT489),2),"")</x:f>
      </x:c>
      <x:c r="L489" s="16" t="str">
        <x:f>IF(AND(AND(488&lt;='Control Room'!$B$3,'Control Room'!$D$3="Ready"),10&lt;='Control Room'!$B$2),ROUND(MAX(0,'Process'!AX489*'Control Room'!$H$13*INDEX('Control Room'!$B$19:$H$19,1,WEEKDAY($A489,2))*(1+'Control Room'!$D$9)^487*'Process'!AY489),2),"")</x:f>
      </x:c>
      <x:c r="M489" s="16" t="str">
        <x:f>IF(AND(AND(488&lt;='Control Room'!$B$3,'Control Room'!$D$3="Ready"),11&lt;='Control Room'!$B$2),ROUND(MAX(0,'Process'!BC489*'Control Room'!$H$14*INDEX('Control Room'!$B$19:$H$19,1,WEEKDAY($A489,2))*(1+'Control Room'!$D$9)^487*'Process'!BD489),2),"")</x:f>
      </x:c>
      <x:c r="N489" s="16" t="str">
        <x:f>IF(AND(AND(488&lt;='Control Room'!$B$3,'Control Room'!$D$3="Ready"),12&lt;='Control Room'!$B$2),ROUND(MAX(0,'Process'!BH489*'Control Room'!$H$15*INDEX('Control Room'!$B$19:$H$19,1,WEEKDAY($A489,2))*(1+'Control Room'!$D$9)^487*'Process'!BI489),2),"")</x:f>
      </x:c>
    </x:row>
    <x:row r="490" ht="21" customHeight="1">
      <x:c r="A490" s="15" t="str">
        <x:f>IF(AND(489&lt;='Control Room'!$B$3,'Control Room'!$D$3="Ready"),'Process'!A490,"")</x:f>
      </x:c>
      <x:c r="B490" s="16" t="str">
        <x:f>IF(A490="","",SUM(C490:N490))</x:f>
      </x:c>
      <x:c r="C490" s="16" t="str">
        <x:f>IF(AND(AND(489&lt;='Control Room'!$B$3,'Control Room'!$D$3="Ready"),1&lt;='Control Room'!$B$2),ROUND(MAX(0,'Process'!E490*'Control Room'!$H$4*INDEX('Control Room'!$B$19:$H$19,1,WEEKDAY($A490,2))*(1+'Control Room'!$D$9)^488*'Process'!F490),2),"")</x:f>
      </x:c>
      <x:c r="D490" s="16" t="str">
        <x:f>IF(AND(AND(489&lt;='Control Room'!$B$3,'Control Room'!$D$3="Ready"),2&lt;='Control Room'!$B$2),ROUND(MAX(0,'Process'!J490*'Control Room'!$H$5*INDEX('Control Room'!$B$19:$H$19,1,WEEKDAY($A490,2))*(1+'Control Room'!$D$9)^488*'Process'!K490),2),"")</x:f>
      </x:c>
      <x:c r="E490" s="16" t="str">
        <x:f>IF(AND(AND(489&lt;='Control Room'!$B$3,'Control Room'!$D$3="Ready"),3&lt;='Control Room'!$B$2),ROUND(MAX(0,'Process'!O490*'Control Room'!$H$6*INDEX('Control Room'!$B$19:$H$19,1,WEEKDAY($A490,2))*(1+'Control Room'!$D$9)^488*'Process'!P490),2),"")</x:f>
      </x:c>
      <x:c r="F490" s="16" t="str">
        <x:f>IF(AND(AND(489&lt;='Control Room'!$B$3,'Control Room'!$D$3="Ready"),4&lt;='Control Room'!$B$2),ROUND(MAX(0,'Process'!T490*'Control Room'!$H$7*INDEX('Control Room'!$B$19:$H$19,1,WEEKDAY($A490,2))*(1+'Control Room'!$D$9)^488*'Process'!U490),2),"")</x:f>
      </x:c>
      <x:c r="G490" s="16" t="str">
        <x:f>IF(AND(AND(489&lt;='Control Room'!$B$3,'Control Room'!$D$3="Ready"),5&lt;='Control Room'!$B$2),ROUND(MAX(0,'Process'!Y490*'Control Room'!$H$8*INDEX('Control Room'!$B$19:$H$19,1,WEEKDAY($A490,2))*(1+'Control Room'!$D$9)^488*'Process'!Z490),2),"")</x:f>
      </x:c>
      <x:c r="H490" s="16" t="str">
        <x:f>IF(AND(AND(489&lt;='Control Room'!$B$3,'Control Room'!$D$3="Ready"),6&lt;='Control Room'!$B$2),ROUND(MAX(0,'Process'!AD490*'Control Room'!$H$9*INDEX('Control Room'!$B$19:$H$19,1,WEEKDAY($A490,2))*(1+'Control Room'!$D$9)^488*'Process'!AE490),2),"")</x:f>
      </x:c>
      <x:c r="I490" s="16" t="str">
        <x:f>IF(AND(AND(489&lt;='Control Room'!$B$3,'Control Room'!$D$3="Ready"),7&lt;='Control Room'!$B$2),ROUND(MAX(0,'Process'!AI490*'Control Room'!$H$10*INDEX('Control Room'!$B$19:$H$19,1,WEEKDAY($A490,2))*(1+'Control Room'!$D$9)^488*'Process'!AJ490),2),"")</x:f>
      </x:c>
      <x:c r="J490" s="16" t="str">
        <x:f>IF(AND(AND(489&lt;='Control Room'!$B$3,'Control Room'!$D$3="Ready"),8&lt;='Control Room'!$B$2),ROUND(MAX(0,'Process'!AN490*'Control Room'!$H$11*INDEX('Control Room'!$B$19:$H$19,1,WEEKDAY($A490,2))*(1+'Control Room'!$D$9)^488*'Process'!AO490),2),"")</x:f>
      </x:c>
      <x:c r="K490" s="16" t="str">
        <x:f>IF(AND(AND(489&lt;='Control Room'!$B$3,'Control Room'!$D$3="Ready"),9&lt;='Control Room'!$B$2),ROUND(MAX(0,'Process'!AS490*'Control Room'!$H$12*INDEX('Control Room'!$B$19:$H$19,1,WEEKDAY($A490,2))*(1+'Control Room'!$D$9)^488*'Process'!AT490),2),"")</x:f>
      </x:c>
      <x:c r="L490" s="16" t="str">
        <x:f>IF(AND(AND(489&lt;='Control Room'!$B$3,'Control Room'!$D$3="Ready"),10&lt;='Control Room'!$B$2),ROUND(MAX(0,'Process'!AX490*'Control Room'!$H$13*INDEX('Control Room'!$B$19:$H$19,1,WEEKDAY($A490,2))*(1+'Control Room'!$D$9)^488*'Process'!AY490),2),"")</x:f>
      </x:c>
      <x:c r="M490" s="16" t="str">
        <x:f>IF(AND(AND(489&lt;='Control Room'!$B$3,'Control Room'!$D$3="Ready"),11&lt;='Control Room'!$B$2),ROUND(MAX(0,'Process'!BC490*'Control Room'!$H$14*INDEX('Control Room'!$B$19:$H$19,1,WEEKDAY($A490,2))*(1+'Control Room'!$D$9)^488*'Process'!BD490),2),"")</x:f>
      </x:c>
      <x:c r="N490" s="16" t="str">
        <x:f>IF(AND(AND(489&lt;='Control Room'!$B$3,'Control Room'!$D$3="Ready"),12&lt;='Control Room'!$B$2),ROUND(MAX(0,'Process'!BH490*'Control Room'!$H$15*INDEX('Control Room'!$B$19:$H$19,1,WEEKDAY($A490,2))*(1+'Control Room'!$D$9)^488*'Process'!BI490),2),"")</x:f>
      </x:c>
    </x:row>
    <x:row r="491" ht="21" customHeight="1">
      <x:c r="A491" s="15" t="str">
        <x:f>IF(AND(490&lt;='Control Room'!$B$3,'Control Room'!$D$3="Ready"),'Process'!A491,"")</x:f>
      </x:c>
      <x:c r="B491" s="16" t="str">
        <x:f>IF(A491="","",SUM(C491:N491))</x:f>
      </x:c>
      <x:c r="C491" s="16" t="str">
        <x:f>IF(AND(AND(490&lt;='Control Room'!$B$3,'Control Room'!$D$3="Ready"),1&lt;='Control Room'!$B$2),ROUND(MAX(0,'Process'!E491*'Control Room'!$H$4*INDEX('Control Room'!$B$19:$H$19,1,WEEKDAY($A491,2))*(1+'Control Room'!$D$9)^489*'Process'!F491),2),"")</x:f>
      </x:c>
      <x:c r="D491" s="16" t="str">
        <x:f>IF(AND(AND(490&lt;='Control Room'!$B$3,'Control Room'!$D$3="Ready"),2&lt;='Control Room'!$B$2),ROUND(MAX(0,'Process'!J491*'Control Room'!$H$5*INDEX('Control Room'!$B$19:$H$19,1,WEEKDAY($A491,2))*(1+'Control Room'!$D$9)^489*'Process'!K491),2),"")</x:f>
      </x:c>
      <x:c r="E491" s="16" t="str">
        <x:f>IF(AND(AND(490&lt;='Control Room'!$B$3,'Control Room'!$D$3="Ready"),3&lt;='Control Room'!$B$2),ROUND(MAX(0,'Process'!O491*'Control Room'!$H$6*INDEX('Control Room'!$B$19:$H$19,1,WEEKDAY($A491,2))*(1+'Control Room'!$D$9)^489*'Process'!P491),2),"")</x:f>
      </x:c>
      <x:c r="F491" s="16" t="str">
        <x:f>IF(AND(AND(490&lt;='Control Room'!$B$3,'Control Room'!$D$3="Ready"),4&lt;='Control Room'!$B$2),ROUND(MAX(0,'Process'!T491*'Control Room'!$H$7*INDEX('Control Room'!$B$19:$H$19,1,WEEKDAY($A491,2))*(1+'Control Room'!$D$9)^489*'Process'!U491),2),"")</x:f>
      </x:c>
      <x:c r="G491" s="16" t="str">
        <x:f>IF(AND(AND(490&lt;='Control Room'!$B$3,'Control Room'!$D$3="Ready"),5&lt;='Control Room'!$B$2),ROUND(MAX(0,'Process'!Y491*'Control Room'!$H$8*INDEX('Control Room'!$B$19:$H$19,1,WEEKDAY($A491,2))*(1+'Control Room'!$D$9)^489*'Process'!Z491),2),"")</x:f>
      </x:c>
      <x:c r="H491" s="16" t="str">
        <x:f>IF(AND(AND(490&lt;='Control Room'!$B$3,'Control Room'!$D$3="Ready"),6&lt;='Control Room'!$B$2),ROUND(MAX(0,'Process'!AD491*'Control Room'!$H$9*INDEX('Control Room'!$B$19:$H$19,1,WEEKDAY($A491,2))*(1+'Control Room'!$D$9)^489*'Process'!AE491),2),"")</x:f>
      </x:c>
      <x:c r="I491" s="16" t="str">
        <x:f>IF(AND(AND(490&lt;='Control Room'!$B$3,'Control Room'!$D$3="Ready"),7&lt;='Control Room'!$B$2),ROUND(MAX(0,'Process'!AI491*'Control Room'!$H$10*INDEX('Control Room'!$B$19:$H$19,1,WEEKDAY($A491,2))*(1+'Control Room'!$D$9)^489*'Process'!AJ491),2),"")</x:f>
      </x:c>
      <x:c r="J491" s="16" t="str">
        <x:f>IF(AND(AND(490&lt;='Control Room'!$B$3,'Control Room'!$D$3="Ready"),8&lt;='Control Room'!$B$2),ROUND(MAX(0,'Process'!AN491*'Control Room'!$H$11*INDEX('Control Room'!$B$19:$H$19,1,WEEKDAY($A491,2))*(1+'Control Room'!$D$9)^489*'Process'!AO491),2),"")</x:f>
      </x:c>
      <x:c r="K491" s="16" t="str">
        <x:f>IF(AND(AND(490&lt;='Control Room'!$B$3,'Control Room'!$D$3="Ready"),9&lt;='Control Room'!$B$2),ROUND(MAX(0,'Process'!AS491*'Control Room'!$H$12*INDEX('Control Room'!$B$19:$H$19,1,WEEKDAY($A491,2))*(1+'Control Room'!$D$9)^489*'Process'!AT491),2),"")</x:f>
      </x:c>
      <x:c r="L491" s="16" t="str">
        <x:f>IF(AND(AND(490&lt;='Control Room'!$B$3,'Control Room'!$D$3="Ready"),10&lt;='Control Room'!$B$2),ROUND(MAX(0,'Process'!AX491*'Control Room'!$H$13*INDEX('Control Room'!$B$19:$H$19,1,WEEKDAY($A491,2))*(1+'Control Room'!$D$9)^489*'Process'!AY491),2),"")</x:f>
      </x:c>
      <x:c r="M491" s="16" t="str">
        <x:f>IF(AND(AND(490&lt;='Control Room'!$B$3,'Control Room'!$D$3="Ready"),11&lt;='Control Room'!$B$2),ROUND(MAX(0,'Process'!BC491*'Control Room'!$H$14*INDEX('Control Room'!$B$19:$H$19,1,WEEKDAY($A491,2))*(1+'Control Room'!$D$9)^489*'Process'!BD491),2),"")</x:f>
      </x:c>
      <x:c r="N491" s="16" t="str">
        <x:f>IF(AND(AND(490&lt;='Control Room'!$B$3,'Control Room'!$D$3="Ready"),12&lt;='Control Room'!$B$2),ROUND(MAX(0,'Process'!BH491*'Control Room'!$H$15*INDEX('Control Room'!$B$19:$H$19,1,WEEKDAY($A491,2))*(1+'Control Room'!$D$9)^489*'Process'!BI491),2),"")</x:f>
      </x:c>
    </x:row>
    <x:row r="492" ht="21" customHeight="1">
      <x:c r="A492" s="15" t="str">
        <x:f>IF(AND(491&lt;='Control Room'!$B$3,'Control Room'!$D$3="Ready"),'Process'!A492,"")</x:f>
      </x:c>
      <x:c r="B492" s="16" t="str">
        <x:f>IF(A492="","",SUM(C492:N492))</x:f>
      </x:c>
      <x:c r="C492" s="16" t="str">
        <x:f>IF(AND(AND(491&lt;='Control Room'!$B$3,'Control Room'!$D$3="Ready"),1&lt;='Control Room'!$B$2),ROUND(MAX(0,'Process'!E492*'Control Room'!$H$4*INDEX('Control Room'!$B$19:$H$19,1,WEEKDAY($A492,2))*(1+'Control Room'!$D$9)^490*'Process'!F492),2),"")</x:f>
      </x:c>
      <x:c r="D492" s="16" t="str">
        <x:f>IF(AND(AND(491&lt;='Control Room'!$B$3,'Control Room'!$D$3="Ready"),2&lt;='Control Room'!$B$2),ROUND(MAX(0,'Process'!J492*'Control Room'!$H$5*INDEX('Control Room'!$B$19:$H$19,1,WEEKDAY($A492,2))*(1+'Control Room'!$D$9)^490*'Process'!K492),2),"")</x:f>
      </x:c>
      <x:c r="E492" s="16" t="str">
        <x:f>IF(AND(AND(491&lt;='Control Room'!$B$3,'Control Room'!$D$3="Ready"),3&lt;='Control Room'!$B$2),ROUND(MAX(0,'Process'!O492*'Control Room'!$H$6*INDEX('Control Room'!$B$19:$H$19,1,WEEKDAY($A492,2))*(1+'Control Room'!$D$9)^490*'Process'!P492),2),"")</x:f>
      </x:c>
      <x:c r="F492" s="16" t="str">
        <x:f>IF(AND(AND(491&lt;='Control Room'!$B$3,'Control Room'!$D$3="Ready"),4&lt;='Control Room'!$B$2),ROUND(MAX(0,'Process'!T492*'Control Room'!$H$7*INDEX('Control Room'!$B$19:$H$19,1,WEEKDAY($A492,2))*(1+'Control Room'!$D$9)^490*'Process'!U492),2),"")</x:f>
      </x:c>
      <x:c r="G492" s="16" t="str">
        <x:f>IF(AND(AND(491&lt;='Control Room'!$B$3,'Control Room'!$D$3="Ready"),5&lt;='Control Room'!$B$2),ROUND(MAX(0,'Process'!Y492*'Control Room'!$H$8*INDEX('Control Room'!$B$19:$H$19,1,WEEKDAY($A492,2))*(1+'Control Room'!$D$9)^490*'Process'!Z492),2),"")</x:f>
      </x:c>
      <x:c r="H492" s="16" t="str">
        <x:f>IF(AND(AND(491&lt;='Control Room'!$B$3,'Control Room'!$D$3="Ready"),6&lt;='Control Room'!$B$2),ROUND(MAX(0,'Process'!AD492*'Control Room'!$H$9*INDEX('Control Room'!$B$19:$H$19,1,WEEKDAY($A492,2))*(1+'Control Room'!$D$9)^490*'Process'!AE492),2),"")</x:f>
      </x:c>
      <x:c r="I492" s="16" t="str">
        <x:f>IF(AND(AND(491&lt;='Control Room'!$B$3,'Control Room'!$D$3="Ready"),7&lt;='Control Room'!$B$2),ROUND(MAX(0,'Process'!AI492*'Control Room'!$H$10*INDEX('Control Room'!$B$19:$H$19,1,WEEKDAY($A492,2))*(1+'Control Room'!$D$9)^490*'Process'!AJ492),2),"")</x:f>
      </x:c>
      <x:c r="J492" s="16" t="str">
        <x:f>IF(AND(AND(491&lt;='Control Room'!$B$3,'Control Room'!$D$3="Ready"),8&lt;='Control Room'!$B$2),ROUND(MAX(0,'Process'!AN492*'Control Room'!$H$11*INDEX('Control Room'!$B$19:$H$19,1,WEEKDAY($A492,2))*(1+'Control Room'!$D$9)^490*'Process'!AO492),2),"")</x:f>
      </x:c>
      <x:c r="K492" s="16" t="str">
        <x:f>IF(AND(AND(491&lt;='Control Room'!$B$3,'Control Room'!$D$3="Ready"),9&lt;='Control Room'!$B$2),ROUND(MAX(0,'Process'!AS492*'Control Room'!$H$12*INDEX('Control Room'!$B$19:$H$19,1,WEEKDAY($A492,2))*(1+'Control Room'!$D$9)^490*'Process'!AT492),2),"")</x:f>
      </x:c>
      <x:c r="L492" s="16" t="str">
        <x:f>IF(AND(AND(491&lt;='Control Room'!$B$3,'Control Room'!$D$3="Ready"),10&lt;='Control Room'!$B$2),ROUND(MAX(0,'Process'!AX492*'Control Room'!$H$13*INDEX('Control Room'!$B$19:$H$19,1,WEEKDAY($A492,2))*(1+'Control Room'!$D$9)^490*'Process'!AY492),2),"")</x:f>
      </x:c>
      <x:c r="M492" s="16" t="str">
        <x:f>IF(AND(AND(491&lt;='Control Room'!$B$3,'Control Room'!$D$3="Ready"),11&lt;='Control Room'!$B$2),ROUND(MAX(0,'Process'!BC492*'Control Room'!$H$14*INDEX('Control Room'!$B$19:$H$19,1,WEEKDAY($A492,2))*(1+'Control Room'!$D$9)^490*'Process'!BD492),2),"")</x:f>
      </x:c>
      <x:c r="N492" s="16" t="str">
        <x:f>IF(AND(AND(491&lt;='Control Room'!$B$3,'Control Room'!$D$3="Ready"),12&lt;='Control Room'!$B$2),ROUND(MAX(0,'Process'!BH492*'Control Room'!$H$15*INDEX('Control Room'!$B$19:$H$19,1,WEEKDAY($A492,2))*(1+'Control Room'!$D$9)^490*'Process'!BI492),2),"")</x:f>
      </x:c>
    </x:row>
    <x:row r="493" ht="21" customHeight="1">
      <x:c r="A493" s="15" t="str">
        <x:f>IF(AND(492&lt;='Control Room'!$B$3,'Control Room'!$D$3="Ready"),'Process'!A493,"")</x:f>
      </x:c>
      <x:c r="B493" s="16" t="str">
        <x:f>IF(A493="","",SUM(C493:N493))</x:f>
      </x:c>
      <x:c r="C493" s="16" t="str">
        <x:f>IF(AND(AND(492&lt;='Control Room'!$B$3,'Control Room'!$D$3="Ready"),1&lt;='Control Room'!$B$2),ROUND(MAX(0,'Process'!E493*'Control Room'!$H$4*INDEX('Control Room'!$B$19:$H$19,1,WEEKDAY($A493,2))*(1+'Control Room'!$D$9)^491*'Process'!F493),2),"")</x:f>
      </x:c>
      <x:c r="D493" s="16" t="str">
        <x:f>IF(AND(AND(492&lt;='Control Room'!$B$3,'Control Room'!$D$3="Ready"),2&lt;='Control Room'!$B$2),ROUND(MAX(0,'Process'!J493*'Control Room'!$H$5*INDEX('Control Room'!$B$19:$H$19,1,WEEKDAY($A493,2))*(1+'Control Room'!$D$9)^491*'Process'!K493),2),"")</x:f>
      </x:c>
      <x:c r="E493" s="16" t="str">
        <x:f>IF(AND(AND(492&lt;='Control Room'!$B$3,'Control Room'!$D$3="Ready"),3&lt;='Control Room'!$B$2),ROUND(MAX(0,'Process'!O493*'Control Room'!$H$6*INDEX('Control Room'!$B$19:$H$19,1,WEEKDAY($A493,2))*(1+'Control Room'!$D$9)^491*'Process'!P493),2),"")</x:f>
      </x:c>
      <x:c r="F493" s="16" t="str">
        <x:f>IF(AND(AND(492&lt;='Control Room'!$B$3,'Control Room'!$D$3="Ready"),4&lt;='Control Room'!$B$2),ROUND(MAX(0,'Process'!T493*'Control Room'!$H$7*INDEX('Control Room'!$B$19:$H$19,1,WEEKDAY($A493,2))*(1+'Control Room'!$D$9)^491*'Process'!U493),2),"")</x:f>
      </x:c>
      <x:c r="G493" s="16" t="str">
        <x:f>IF(AND(AND(492&lt;='Control Room'!$B$3,'Control Room'!$D$3="Ready"),5&lt;='Control Room'!$B$2),ROUND(MAX(0,'Process'!Y493*'Control Room'!$H$8*INDEX('Control Room'!$B$19:$H$19,1,WEEKDAY($A493,2))*(1+'Control Room'!$D$9)^491*'Process'!Z493),2),"")</x:f>
      </x:c>
      <x:c r="H493" s="16" t="str">
        <x:f>IF(AND(AND(492&lt;='Control Room'!$B$3,'Control Room'!$D$3="Ready"),6&lt;='Control Room'!$B$2),ROUND(MAX(0,'Process'!AD493*'Control Room'!$H$9*INDEX('Control Room'!$B$19:$H$19,1,WEEKDAY($A493,2))*(1+'Control Room'!$D$9)^491*'Process'!AE493),2),"")</x:f>
      </x:c>
      <x:c r="I493" s="16" t="str">
        <x:f>IF(AND(AND(492&lt;='Control Room'!$B$3,'Control Room'!$D$3="Ready"),7&lt;='Control Room'!$B$2),ROUND(MAX(0,'Process'!AI493*'Control Room'!$H$10*INDEX('Control Room'!$B$19:$H$19,1,WEEKDAY($A493,2))*(1+'Control Room'!$D$9)^491*'Process'!AJ493),2),"")</x:f>
      </x:c>
      <x:c r="J493" s="16" t="str">
        <x:f>IF(AND(AND(492&lt;='Control Room'!$B$3,'Control Room'!$D$3="Ready"),8&lt;='Control Room'!$B$2),ROUND(MAX(0,'Process'!AN493*'Control Room'!$H$11*INDEX('Control Room'!$B$19:$H$19,1,WEEKDAY($A493,2))*(1+'Control Room'!$D$9)^491*'Process'!AO493),2),"")</x:f>
      </x:c>
      <x:c r="K493" s="16" t="str">
        <x:f>IF(AND(AND(492&lt;='Control Room'!$B$3,'Control Room'!$D$3="Ready"),9&lt;='Control Room'!$B$2),ROUND(MAX(0,'Process'!AS493*'Control Room'!$H$12*INDEX('Control Room'!$B$19:$H$19,1,WEEKDAY($A493,2))*(1+'Control Room'!$D$9)^491*'Process'!AT493),2),"")</x:f>
      </x:c>
      <x:c r="L493" s="16" t="str">
        <x:f>IF(AND(AND(492&lt;='Control Room'!$B$3,'Control Room'!$D$3="Ready"),10&lt;='Control Room'!$B$2),ROUND(MAX(0,'Process'!AX493*'Control Room'!$H$13*INDEX('Control Room'!$B$19:$H$19,1,WEEKDAY($A493,2))*(1+'Control Room'!$D$9)^491*'Process'!AY493),2),"")</x:f>
      </x:c>
      <x:c r="M493" s="16" t="str">
        <x:f>IF(AND(AND(492&lt;='Control Room'!$B$3,'Control Room'!$D$3="Ready"),11&lt;='Control Room'!$B$2),ROUND(MAX(0,'Process'!BC493*'Control Room'!$H$14*INDEX('Control Room'!$B$19:$H$19,1,WEEKDAY($A493,2))*(1+'Control Room'!$D$9)^491*'Process'!BD493),2),"")</x:f>
      </x:c>
      <x:c r="N493" s="16" t="str">
        <x:f>IF(AND(AND(492&lt;='Control Room'!$B$3,'Control Room'!$D$3="Ready"),12&lt;='Control Room'!$B$2),ROUND(MAX(0,'Process'!BH493*'Control Room'!$H$15*INDEX('Control Room'!$B$19:$H$19,1,WEEKDAY($A493,2))*(1+'Control Room'!$D$9)^491*'Process'!BI493),2),"")</x:f>
      </x:c>
    </x:row>
    <x:row r="494" ht="21" customHeight="1">
      <x:c r="A494" s="15" t="str">
        <x:f>IF(AND(493&lt;='Control Room'!$B$3,'Control Room'!$D$3="Ready"),'Process'!A494,"")</x:f>
      </x:c>
      <x:c r="B494" s="16" t="str">
        <x:f>IF(A494="","",SUM(C494:N494))</x:f>
      </x:c>
      <x:c r="C494" s="16" t="str">
        <x:f>IF(AND(AND(493&lt;='Control Room'!$B$3,'Control Room'!$D$3="Ready"),1&lt;='Control Room'!$B$2),ROUND(MAX(0,'Process'!E494*'Control Room'!$H$4*INDEX('Control Room'!$B$19:$H$19,1,WEEKDAY($A494,2))*(1+'Control Room'!$D$9)^492*'Process'!F494),2),"")</x:f>
      </x:c>
      <x:c r="D494" s="16" t="str">
        <x:f>IF(AND(AND(493&lt;='Control Room'!$B$3,'Control Room'!$D$3="Ready"),2&lt;='Control Room'!$B$2),ROUND(MAX(0,'Process'!J494*'Control Room'!$H$5*INDEX('Control Room'!$B$19:$H$19,1,WEEKDAY($A494,2))*(1+'Control Room'!$D$9)^492*'Process'!K494),2),"")</x:f>
      </x:c>
      <x:c r="E494" s="16" t="str">
        <x:f>IF(AND(AND(493&lt;='Control Room'!$B$3,'Control Room'!$D$3="Ready"),3&lt;='Control Room'!$B$2),ROUND(MAX(0,'Process'!O494*'Control Room'!$H$6*INDEX('Control Room'!$B$19:$H$19,1,WEEKDAY($A494,2))*(1+'Control Room'!$D$9)^492*'Process'!P494),2),"")</x:f>
      </x:c>
      <x:c r="F494" s="16" t="str">
        <x:f>IF(AND(AND(493&lt;='Control Room'!$B$3,'Control Room'!$D$3="Ready"),4&lt;='Control Room'!$B$2),ROUND(MAX(0,'Process'!T494*'Control Room'!$H$7*INDEX('Control Room'!$B$19:$H$19,1,WEEKDAY($A494,2))*(1+'Control Room'!$D$9)^492*'Process'!U494),2),"")</x:f>
      </x:c>
      <x:c r="G494" s="16" t="str">
        <x:f>IF(AND(AND(493&lt;='Control Room'!$B$3,'Control Room'!$D$3="Ready"),5&lt;='Control Room'!$B$2),ROUND(MAX(0,'Process'!Y494*'Control Room'!$H$8*INDEX('Control Room'!$B$19:$H$19,1,WEEKDAY($A494,2))*(1+'Control Room'!$D$9)^492*'Process'!Z494),2),"")</x:f>
      </x:c>
      <x:c r="H494" s="16" t="str">
        <x:f>IF(AND(AND(493&lt;='Control Room'!$B$3,'Control Room'!$D$3="Ready"),6&lt;='Control Room'!$B$2),ROUND(MAX(0,'Process'!AD494*'Control Room'!$H$9*INDEX('Control Room'!$B$19:$H$19,1,WEEKDAY($A494,2))*(1+'Control Room'!$D$9)^492*'Process'!AE494),2),"")</x:f>
      </x:c>
      <x:c r="I494" s="16" t="str">
        <x:f>IF(AND(AND(493&lt;='Control Room'!$B$3,'Control Room'!$D$3="Ready"),7&lt;='Control Room'!$B$2),ROUND(MAX(0,'Process'!AI494*'Control Room'!$H$10*INDEX('Control Room'!$B$19:$H$19,1,WEEKDAY($A494,2))*(1+'Control Room'!$D$9)^492*'Process'!AJ494),2),"")</x:f>
      </x:c>
      <x:c r="J494" s="16" t="str">
        <x:f>IF(AND(AND(493&lt;='Control Room'!$B$3,'Control Room'!$D$3="Ready"),8&lt;='Control Room'!$B$2),ROUND(MAX(0,'Process'!AN494*'Control Room'!$H$11*INDEX('Control Room'!$B$19:$H$19,1,WEEKDAY($A494,2))*(1+'Control Room'!$D$9)^492*'Process'!AO494),2),"")</x:f>
      </x:c>
      <x:c r="K494" s="16" t="str">
        <x:f>IF(AND(AND(493&lt;='Control Room'!$B$3,'Control Room'!$D$3="Ready"),9&lt;='Control Room'!$B$2),ROUND(MAX(0,'Process'!AS494*'Control Room'!$H$12*INDEX('Control Room'!$B$19:$H$19,1,WEEKDAY($A494,2))*(1+'Control Room'!$D$9)^492*'Process'!AT494),2),"")</x:f>
      </x:c>
      <x:c r="L494" s="16" t="str">
        <x:f>IF(AND(AND(493&lt;='Control Room'!$B$3,'Control Room'!$D$3="Ready"),10&lt;='Control Room'!$B$2),ROUND(MAX(0,'Process'!AX494*'Control Room'!$H$13*INDEX('Control Room'!$B$19:$H$19,1,WEEKDAY($A494,2))*(1+'Control Room'!$D$9)^492*'Process'!AY494),2),"")</x:f>
      </x:c>
      <x:c r="M494" s="16" t="str">
        <x:f>IF(AND(AND(493&lt;='Control Room'!$B$3,'Control Room'!$D$3="Ready"),11&lt;='Control Room'!$B$2),ROUND(MAX(0,'Process'!BC494*'Control Room'!$H$14*INDEX('Control Room'!$B$19:$H$19,1,WEEKDAY($A494,2))*(1+'Control Room'!$D$9)^492*'Process'!BD494),2),"")</x:f>
      </x:c>
      <x:c r="N494" s="16" t="str">
        <x:f>IF(AND(AND(493&lt;='Control Room'!$B$3,'Control Room'!$D$3="Ready"),12&lt;='Control Room'!$B$2),ROUND(MAX(0,'Process'!BH494*'Control Room'!$H$15*INDEX('Control Room'!$B$19:$H$19,1,WEEKDAY($A494,2))*(1+'Control Room'!$D$9)^492*'Process'!BI494),2),"")</x:f>
      </x:c>
    </x:row>
    <x:row r="495" ht="21" customHeight="1">
      <x:c r="A495" s="15" t="str">
        <x:f>IF(AND(494&lt;='Control Room'!$B$3,'Control Room'!$D$3="Ready"),'Process'!A495,"")</x:f>
      </x:c>
      <x:c r="B495" s="16" t="str">
        <x:f>IF(A495="","",SUM(C495:N495))</x:f>
      </x:c>
      <x:c r="C495" s="16" t="str">
        <x:f>IF(AND(AND(494&lt;='Control Room'!$B$3,'Control Room'!$D$3="Ready"),1&lt;='Control Room'!$B$2),ROUND(MAX(0,'Process'!E495*'Control Room'!$H$4*INDEX('Control Room'!$B$19:$H$19,1,WEEKDAY($A495,2))*(1+'Control Room'!$D$9)^493*'Process'!F495),2),"")</x:f>
      </x:c>
      <x:c r="D495" s="16" t="str">
        <x:f>IF(AND(AND(494&lt;='Control Room'!$B$3,'Control Room'!$D$3="Ready"),2&lt;='Control Room'!$B$2),ROUND(MAX(0,'Process'!J495*'Control Room'!$H$5*INDEX('Control Room'!$B$19:$H$19,1,WEEKDAY($A495,2))*(1+'Control Room'!$D$9)^493*'Process'!K495),2),"")</x:f>
      </x:c>
      <x:c r="E495" s="16" t="str">
        <x:f>IF(AND(AND(494&lt;='Control Room'!$B$3,'Control Room'!$D$3="Ready"),3&lt;='Control Room'!$B$2),ROUND(MAX(0,'Process'!O495*'Control Room'!$H$6*INDEX('Control Room'!$B$19:$H$19,1,WEEKDAY($A495,2))*(1+'Control Room'!$D$9)^493*'Process'!P495),2),"")</x:f>
      </x:c>
      <x:c r="F495" s="16" t="str">
        <x:f>IF(AND(AND(494&lt;='Control Room'!$B$3,'Control Room'!$D$3="Ready"),4&lt;='Control Room'!$B$2),ROUND(MAX(0,'Process'!T495*'Control Room'!$H$7*INDEX('Control Room'!$B$19:$H$19,1,WEEKDAY($A495,2))*(1+'Control Room'!$D$9)^493*'Process'!U495),2),"")</x:f>
      </x:c>
      <x:c r="G495" s="16" t="str">
        <x:f>IF(AND(AND(494&lt;='Control Room'!$B$3,'Control Room'!$D$3="Ready"),5&lt;='Control Room'!$B$2),ROUND(MAX(0,'Process'!Y495*'Control Room'!$H$8*INDEX('Control Room'!$B$19:$H$19,1,WEEKDAY($A495,2))*(1+'Control Room'!$D$9)^493*'Process'!Z495),2),"")</x:f>
      </x:c>
      <x:c r="H495" s="16" t="str">
        <x:f>IF(AND(AND(494&lt;='Control Room'!$B$3,'Control Room'!$D$3="Ready"),6&lt;='Control Room'!$B$2),ROUND(MAX(0,'Process'!AD495*'Control Room'!$H$9*INDEX('Control Room'!$B$19:$H$19,1,WEEKDAY($A495,2))*(1+'Control Room'!$D$9)^493*'Process'!AE495),2),"")</x:f>
      </x:c>
      <x:c r="I495" s="16" t="str">
        <x:f>IF(AND(AND(494&lt;='Control Room'!$B$3,'Control Room'!$D$3="Ready"),7&lt;='Control Room'!$B$2),ROUND(MAX(0,'Process'!AI495*'Control Room'!$H$10*INDEX('Control Room'!$B$19:$H$19,1,WEEKDAY($A495,2))*(1+'Control Room'!$D$9)^493*'Process'!AJ495),2),"")</x:f>
      </x:c>
      <x:c r="J495" s="16" t="str">
        <x:f>IF(AND(AND(494&lt;='Control Room'!$B$3,'Control Room'!$D$3="Ready"),8&lt;='Control Room'!$B$2),ROUND(MAX(0,'Process'!AN495*'Control Room'!$H$11*INDEX('Control Room'!$B$19:$H$19,1,WEEKDAY($A495,2))*(1+'Control Room'!$D$9)^493*'Process'!AO495),2),"")</x:f>
      </x:c>
      <x:c r="K495" s="16" t="str">
        <x:f>IF(AND(AND(494&lt;='Control Room'!$B$3,'Control Room'!$D$3="Ready"),9&lt;='Control Room'!$B$2),ROUND(MAX(0,'Process'!AS495*'Control Room'!$H$12*INDEX('Control Room'!$B$19:$H$19,1,WEEKDAY($A495,2))*(1+'Control Room'!$D$9)^493*'Process'!AT495),2),"")</x:f>
      </x:c>
      <x:c r="L495" s="16" t="str">
        <x:f>IF(AND(AND(494&lt;='Control Room'!$B$3,'Control Room'!$D$3="Ready"),10&lt;='Control Room'!$B$2),ROUND(MAX(0,'Process'!AX495*'Control Room'!$H$13*INDEX('Control Room'!$B$19:$H$19,1,WEEKDAY($A495,2))*(1+'Control Room'!$D$9)^493*'Process'!AY495),2),"")</x:f>
      </x:c>
      <x:c r="M495" s="16" t="str">
        <x:f>IF(AND(AND(494&lt;='Control Room'!$B$3,'Control Room'!$D$3="Ready"),11&lt;='Control Room'!$B$2),ROUND(MAX(0,'Process'!BC495*'Control Room'!$H$14*INDEX('Control Room'!$B$19:$H$19,1,WEEKDAY($A495,2))*(1+'Control Room'!$D$9)^493*'Process'!BD495),2),"")</x:f>
      </x:c>
      <x:c r="N495" s="16" t="str">
        <x:f>IF(AND(AND(494&lt;='Control Room'!$B$3,'Control Room'!$D$3="Ready"),12&lt;='Control Room'!$B$2),ROUND(MAX(0,'Process'!BH495*'Control Room'!$H$15*INDEX('Control Room'!$B$19:$H$19,1,WEEKDAY($A495,2))*(1+'Control Room'!$D$9)^493*'Process'!BI495),2),"")</x:f>
      </x:c>
    </x:row>
    <x:row r="496" ht="21" customHeight="1">
      <x:c r="A496" s="15" t="str">
        <x:f>IF(AND(495&lt;='Control Room'!$B$3,'Control Room'!$D$3="Ready"),'Process'!A496,"")</x:f>
      </x:c>
      <x:c r="B496" s="16" t="str">
        <x:f>IF(A496="","",SUM(C496:N496))</x:f>
      </x:c>
      <x:c r="C496" s="16" t="str">
        <x:f>IF(AND(AND(495&lt;='Control Room'!$B$3,'Control Room'!$D$3="Ready"),1&lt;='Control Room'!$B$2),ROUND(MAX(0,'Process'!E496*'Control Room'!$H$4*INDEX('Control Room'!$B$19:$H$19,1,WEEKDAY($A496,2))*(1+'Control Room'!$D$9)^494*'Process'!F496),2),"")</x:f>
      </x:c>
      <x:c r="D496" s="16" t="str">
        <x:f>IF(AND(AND(495&lt;='Control Room'!$B$3,'Control Room'!$D$3="Ready"),2&lt;='Control Room'!$B$2),ROUND(MAX(0,'Process'!J496*'Control Room'!$H$5*INDEX('Control Room'!$B$19:$H$19,1,WEEKDAY($A496,2))*(1+'Control Room'!$D$9)^494*'Process'!K496),2),"")</x:f>
      </x:c>
      <x:c r="E496" s="16" t="str">
        <x:f>IF(AND(AND(495&lt;='Control Room'!$B$3,'Control Room'!$D$3="Ready"),3&lt;='Control Room'!$B$2),ROUND(MAX(0,'Process'!O496*'Control Room'!$H$6*INDEX('Control Room'!$B$19:$H$19,1,WEEKDAY($A496,2))*(1+'Control Room'!$D$9)^494*'Process'!P496),2),"")</x:f>
      </x:c>
      <x:c r="F496" s="16" t="str">
        <x:f>IF(AND(AND(495&lt;='Control Room'!$B$3,'Control Room'!$D$3="Ready"),4&lt;='Control Room'!$B$2),ROUND(MAX(0,'Process'!T496*'Control Room'!$H$7*INDEX('Control Room'!$B$19:$H$19,1,WEEKDAY($A496,2))*(1+'Control Room'!$D$9)^494*'Process'!U496),2),"")</x:f>
      </x:c>
      <x:c r="G496" s="16" t="str">
        <x:f>IF(AND(AND(495&lt;='Control Room'!$B$3,'Control Room'!$D$3="Ready"),5&lt;='Control Room'!$B$2),ROUND(MAX(0,'Process'!Y496*'Control Room'!$H$8*INDEX('Control Room'!$B$19:$H$19,1,WEEKDAY($A496,2))*(1+'Control Room'!$D$9)^494*'Process'!Z496),2),"")</x:f>
      </x:c>
      <x:c r="H496" s="16" t="str">
        <x:f>IF(AND(AND(495&lt;='Control Room'!$B$3,'Control Room'!$D$3="Ready"),6&lt;='Control Room'!$B$2),ROUND(MAX(0,'Process'!AD496*'Control Room'!$H$9*INDEX('Control Room'!$B$19:$H$19,1,WEEKDAY($A496,2))*(1+'Control Room'!$D$9)^494*'Process'!AE496),2),"")</x:f>
      </x:c>
      <x:c r="I496" s="16" t="str">
        <x:f>IF(AND(AND(495&lt;='Control Room'!$B$3,'Control Room'!$D$3="Ready"),7&lt;='Control Room'!$B$2),ROUND(MAX(0,'Process'!AI496*'Control Room'!$H$10*INDEX('Control Room'!$B$19:$H$19,1,WEEKDAY($A496,2))*(1+'Control Room'!$D$9)^494*'Process'!AJ496),2),"")</x:f>
      </x:c>
      <x:c r="J496" s="16" t="str">
        <x:f>IF(AND(AND(495&lt;='Control Room'!$B$3,'Control Room'!$D$3="Ready"),8&lt;='Control Room'!$B$2),ROUND(MAX(0,'Process'!AN496*'Control Room'!$H$11*INDEX('Control Room'!$B$19:$H$19,1,WEEKDAY($A496,2))*(1+'Control Room'!$D$9)^494*'Process'!AO496),2),"")</x:f>
      </x:c>
      <x:c r="K496" s="16" t="str">
        <x:f>IF(AND(AND(495&lt;='Control Room'!$B$3,'Control Room'!$D$3="Ready"),9&lt;='Control Room'!$B$2),ROUND(MAX(0,'Process'!AS496*'Control Room'!$H$12*INDEX('Control Room'!$B$19:$H$19,1,WEEKDAY($A496,2))*(1+'Control Room'!$D$9)^494*'Process'!AT496),2),"")</x:f>
      </x:c>
      <x:c r="L496" s="16" t="str">
        <x:f>IF(AND(AND(495&lt;='Control Room'!$B$3,'Control Room'!$D$3="Ready"),10&lt;='Control Room'!$B$2),ROUND(MAX(0,'Process'!AX496*'Control Room'!$H$13*INDEX('Control Room'!$B$19:$H$19,1,WEEKDAY($A496,2))*(1+'Control Room'!$D$9)^494*'Process'!AY496),2),"")</x:f>
      </x:c>
      <x:c r="M496" s="16" t="str">
        <x:f>IF(AND(AND(495&lt;='Control Room'!$B$3,'Control Room'!$D$3="Ready"),11&lt;='Control Room'!$B$2),ROUND(MAX(0,'Process'!BC496*'Control Room'!$H$14*INDEX('Control Room'!$B$19:$H$19,1,WEEKDAY($A496,2))*(1+'Control Room'!$D$9)^494*'Process'!BD496),2),"")</x:f>
      </x:c>
      <x:c r="N496" s="16" t="str">
        <x:f>IF(AND(AND(495&lt;='Control Room'!$B$3,'Control Room'!$D$3="Ready"),12&lt;='Control Room'!$B$2),ROUND(MAX(0,'Process'!BH496*'Control Room'!$H$15*INDEX('Control Room'!$B$19:$H$19,1,WEEKDAY($A496,2))*(1+'Control Room'!$D$9)^494*'Process'!BI496),2),"")</x:f>
      </x:c>
    </x:row>
    <x:row r="497" ht="21" customHeight="1">
      <x:c r="A497" s="15" t="str">
        <x:f>IF(AND(496&lt;='Control Room'!$B$3,'Control Room'!$D$3="Ready"),'Process'!A497,"")</x:f>
      </x:c>
      <x:c r="B497" s="16" t="str">
        <x:f>IF(A497="","",SUM(C497:N497))</x:f>
      </x:c>
      <x:c r="C497" s="16" t="str">
        <x:f>IF(AND(AND(496&lt;='Control Room'!$B$3,'Control Room'!$D$3="Ready"),1&lt;='Control Room'!$B$2),ROUND(MAX(0,'Process'!E497*'Control Room'!$H$4*INDEX('Control Room'!$B$19:$H$19,1,WEEKDAY($A497,2))*(1+'Control Room'!$D$9)^495*'Process'!F497),2),"")</x:f>
      </x:c>
      <x:c r="D497" s="16" t="str">
        <x:f>IF(AND(AND(496&lt;='Control Room'!$B$3,'Control Room'!$D$3="Ready"),2&lt;='Control Room'!$B$2),ROUND(MAX(0,'Process'!J497*'Control Room'!$H$5*INDEX('Control Room'!$B$19:$H$19,1,WEEKDAY($A497,2))*(1+'Control Room'!$D$9)^495*'Process'!K497),2),"")</x:f>
      </x:c>
      <x:c r="E497" s="16" t="str">
        <x:f>IF(AND(AND(496&lt;='Control Room'!$B$3,'Control Room'!$D$3="Ready"),3&lt;='Control Room'!$B$2),ROUND(MAX(0,'Process'!O497*'Control Room'!$H$6*INDEX('Control Room'!$B$19:$H$19,1,WEEKDAY($A497,2))*(1+'Control Room'!$D$9)^495*'Process'!P497),2),"")</x:f>
      </x:c>
      <x:c r="F497" s="16" t="str">
        <x:f>IF(AND(AND(496&lt;='Control Room'!$B$3,'Control Room'!$D$3="Ready"),4&lt;='Control Room'!$B$2),ROUND(MAX(0,'Process'!T497*'Control Room'!$H$7*INDEX('Control Room'!$B$19:$H$19,1,WEEKDAY($A497,2))*(1+'Control Room'!$D$9)^495*'Process'!U497),2),"")</x:f>
      </x:c>
      <x:c r="G497" s="16" t="str">
        <x:f>IF(AND(AND(496&lt;='Control Room'!$B$3,'Control Room'!$D$3="Ready"),5&lt;='Control Room'!$B$2),ROUND(MAX(0,'Process'!Y497*'Control Room'!$H$8*INDEX('Control Room'!$B$19:$H$19,1,WEEKDAY($A497,2))*(1+'Control Room'!$D$9)^495*'Process'!Z497),2),"")</x:f>
      </x:c>
      <x:c r="H497" s="16" t="str">
        <x:f>IF(AND(AND(496&lt;='Control Room'!$B$3,'Control Room'!$D$3="Ready"),6&lt;='Control Room'!$B$2),ROUND(MAX(0,'Process'!AD497*'Control Room'!$H$9*INDEX('Control Room'!$B$19:$H$19,1,WEEKDAY($A497,2))*(1+'Control Room'!$D$9)^495*'Process'!AE497),2),"")</x:f>
      </x:c>
      <x:c r="I497" s="16" t="str">
        <x:f>IF(AND(AND(496&lt;='Control Room'!$B$3,'Control Room'!$D$3="Ready"),7&lt;='Control Room'!$B$2),ROUND(MAX(0,'Process'!AI497*'Control Room'!$H$10*INDEX('Control Room'!$B$19:$H$19,1,WEEKDAY($A497,2))*(1+'Control Room'!$D$9)^495*'Process'!AJ497),2),"")</x:f>
      </x:c>
      <x:c r="J497" s="16" t="str">
        <x:f>IF(AND(AND(496&lt;='Control Room'!$B$3,'Control Room'!$D$3="Ready"),8&lt;='Control Room'!$B$2),ROUND(MAX(0,'Process'!AN497*'Control Room'!$H$11*INDEX('Control Room'!$B$19:$H$19,1,WEEKDAY($A497,2))*(1+'Control Room'!$D$9)^495*'Process'!AO497),2),"")</x:f>
      </x:c>
      <x:c r="K497" s="16" t="str">
        <x:f>IF(AND(AND(496&lt;='Control Room'!$B$3,'Control Room'!$D$3="Ready"),9&lt;='Control Room'!$B$2),ROUND(MAX(0,'Process'!AS497*'Control Room'!$H$12*INDEX('Control Room'!$B$19:$H$19,1,WEEKDAY($A497,2))*(1+'Control Room'!$D$9)^495*'Process'!AT497),2),"")</x:f>
      </x:c>
      <x:c r="L497" s="16" t="str">
        <x:f>IF(AND(AND(496&lt;='Control Room'!$B$3,'Control Room'!$D$3="Ready"),10&lt;='Control Room'!$B$2),ROUND(MAX(0,'Process'!AX497*'Control Room'!$H$13*INDEX('Control Room'!$B$19:$H$19,1,WEEKDAY($A497,2))*(1+'Control Room'!$D$9)^495*'Process'!AY497),2),"")</x:f>
      </x:c>
      <x:c r="M497" s="16" t="str">
        <x:f>IF(AND(AND(496&lt;='Control Room'!$B$3,'Control Room'!$D$3="Ready"),11&lt;='Control Room'!$B$2),ROUND(MAX(0,'Process'!BC497*'Control Room'!$H$14*INDEX('Control Room'!$B$19:$H$19,1,WEEKDAY($A497,2))*(1+'Control Room'!$D$9)^495*'Process'!BD497),2),"")</x:f>
      </x:c>
      <x:c r="N497" s="16" t="str">
        <x:f>IF(AND(AND(496&lt;='Control Room'!$B$3,'Control Room'!$D$3="Ready"),12&lt;='Control Room'!$B$2),ROUND(MAX(0,'Process'!BH497*'Control Room'!$H$15*INDEX('Control Room'!$B$19:$H$19,1,WEEKDAY($A497,2))*(1+'Control Room'!$D$9)^495*'Process'!BI497),2),"")</x:f>
      </x:c>
    </x:row>
    <x:row r="498" ht="21" customHeight="1">
      <x:c r="A498" s="15" t="str">
        <x:f>IF(AND(497&lt;='Control Room'!$B$3,'Control Room'!$D$3="Ready"),'Process'!A498,"")</x:f>
      </x:c>
      <x:c r="B498" s="16" t="str">
        <x:f>IF(A498="","",SUM(C498:N498))</x:f>
      </x:c>
      <x:c r="C498" s="16" t="str">
        <x:f>IF(AND(AND(497&lt;='Control Room'!$B$3,'Control Room'!$D$3="Ready"),1&lt;='Control Room'!$B$2),ROUND(MAX(0,'Process'!E498*'Control Room'!$H$4*INDEX('Control Room'!$B$19:$H$19,1,WEEKDAY($A498,2))*(1+'Control Room'!$D$9)^496*'Process'!F498),2),"")</x:f>
      </x:c>
      <x:c r="D498" s="16" t="str">
        <x:f>IF(AND(AND(497&lt;='Control Room'!$B$3,'Control Room'!$D$3="Ready"),2&lt;='Control Room'!$B$2),ROUND(MAX(0,'Process'!J498*'Control Room'!$H$5*INDEX('Control Room'!$B$19:$H$19,1,WEEKDAY($A498,2))*(1+'Control Room'!$D$9)^496*'Process'!K498),2),"")</x:f>
      </x:c>
      <x:c r="E498" s="16" t="str">
        <x:f>IF(AND(AND(497&lt;='Control Room'!$B$3,'Control Room'!$D$3="Ready"),3&lt;='Control Room'!$B$2),ROUND(MAX(0,'Process'!O498*'Control Room'!$H$6*INDEX('Control Room'!$B$19:$H$19,1,WEEKDAY($A498,2))*(1+'Control Room'!$D$9)^496*'Process'!P498),2),"")</x:f>
      </x:c>
      <x:c r="F498" s="16" t="str">
        <x:f>IF(AND(AND(497&lt;='Control Room'!$B$3,'Control Room'!$D$3="Ready"),4&lt;='Control Room'!$B$2),ROUND(MAX(0,'Process'!T498*'Control Room'!$H$7*INDEX('Control Room'!$B$19:$H$19,1,WEEKDAY($A498,2))*(1+'Control Room'!$D$9)^496*'Process'!U498),2),"")</x:f>
      </x:c>
      <x:c r="G498" s="16" t="str">
        <x:f>IF(AND(AND(497&lt;='Control Room'!$B$3,'Control Room'!$D$3="Ready"),5&lt;='Control Room'!$B$2),ROUND(MAX(0,'Process'!Y498*'Control Room'!$H$8*INDEX('Control Room'!$B$19:$H$19,1,WEEKDAY($A498,2))*(1+'Control Room'!$D$9)^496*'Process'!Z498),2),"")</x:f>
      </x:c>
      <x:c r="H498" s="16" t="str">
        <x:f>IF(AND(AND(497&lt;='Control Room'!$B$3,'Control Room'!$D$3="Ready"),6&lt;='Control Room'!$B$2),ROUND(MAX(0,'Process'!AD498*'Control Room'!$H$9*INDEX('Control Room'!$B$19:$H$19,1,WEEKDAY($A498,2))*(1+'Control Room'!$D$9)^496*'Process'!AE498),2),"")</x:f>
      </x:c>
      <x:c r="I498" s="16" t="str">
        <x:f>IF(AND(AND(497&lt;='Control Room'!$B$3,'Control Room'!$D$3="Ready"),7&lt;='Control Room'!$B$2),ROUND(MAX(0,'Process'!AI498*'Control Room'!$H$10*INDEX('Control Room'!$B$19:$H$19,1,WEEKDAY($A498,2))*(1+'Control Room'!$D$9)^496*'Process'!AJ498),2),"")</x:f>
      </x:c>
      <x:c r="J498" s="16" t="str">
        <x:f>IF(AND(AND(497&lt;='Control Room'!$B$3,'Control Room'!$D$3="Ready"),8&lt;='Control Room'!$B$2),ROUND(MAX(0,'Process'!AN498*'Control Room'!$H$11*INDEX('Control Room'!$B$19:$H$19,1,WEEKDAY($A498,2))*(1+'Control Room'!$D$9)^496*'Process'!AO498),2),"")</x:f>
      </x:c>
      <x:c r="K498" s="16" t="str">
        <x:f>IF(AND(AND(497&lt;='Control Room'!$B$3,'Control Room'!$D$3="Ready"),9&lt;='Control Room'!$B$2),ROUND(MAX(0,'Process'!AS498*'Control Room'!$H$12*INDEX('Control Room'!$B$19:$H$19,1,WEEKDAY($A498,2))*(1+'Control Room'!$D$9)^496*'Process'!AT498),2),"")</x:f>
      </x:c>
      <x:c r="L498" s="16" t="str">
        <x:f>IF(AND(AND(497&lt;='Control Room'!$B$3,'Control Room'!$D$3="Ready"),10&lt;='Control Room'!$B$2),ROUND(MAX(0,'Process'!AX498*'Control Room'!$H$13*INDEX('Control Room'!$B$19:$H$19,1,WEEKDAY($A498,2))*(1+'Control Room'!$D$9)^496*'Process'!AY498),2),"")</x:f>
      </x:c>
      <x:c r="M498" s="16" t="str">
        <x:f>IF(AND(AND(497&lt;='Control Room'!$B$3,'Control Room'!$D$3="Ready"),11&lt;='Control Room'!$B$2),ROUND(MAX(0,'Process'!BC498*'Control Room'!$H$14*INDEX('Control Room'!$B$19:$H$19,1,WEEKDAY($A498,2))*(1+'Control Room'!$D$9)^496*'Process'!BD498),2),"")</x:f>
      </x:c>
      <x:c r="N498" s="16" t="str">
        <x:f>IF(AND(AND(497&lt;='Control Room'!$B$3,'Control Room'!$D$3="Ready"),12&lt;='Control Room'!$B$2),ROUND(MAX(0,'Process'!BH498*'Control Room'!$H$15*INDEX('Control Room'!$B$19:$H$19,1,WEEKDAY($A498,2))*(1+'Control Room'!$D$9)^496*'Process'!BI498),2),"")</x:f>
      </x:c>
    </x:row>
    <x:row r="499" ht="21" customHeight="1">
      <x:c r="A499" s="15" t="str">
        <x:f>IF(AND(498&lt;='Control Room'!$B$3,'Control Room'!$D$3="Ready"),'Process'!A499,"")</x:f>
      </x:c>
      <x:c r="B499" s="16" t="str">
        <x:f>IF(A499="","",SUM(C499:N499))</x:f>
      </x:c>
      <x:c r="C499" s="16" t="str">
        <x:f>IF(AND(AND(498&lt;='Control Room'!$B$3,'Control Room'!$D$3="Ready"),1&lt;='Control Room'!$B$2),ROUND(MAX(0,'Process'!E499*'Control Room'!$H$4*INDEX('Control Room'!$B$19:$H$19,1,WEEKDAY($A499,2))*(1+'Control Room'!$D$9)^497*'Process'!F499),2),"")</x:f>
      </x:c>
      <x:c r="D499" s="16" t="str">
        <x:f>IF(AND(AND(498&lt;='Control Room'!$B$3,'Control Room'!$D$3="Ready"),2&lt;='Control Room'!$B$2),ROUND(MAX(0,'Process'!J499*'Control Room'!$H$5*INDEX('Control Room'!$B$19:$H$19,1,WEEKDAY($A499,2))*(1+'Control Room'!$D$9)^497*'Process'!K499),2),"")</x:f>
      </x:c>
      <x:c r="E499" s="16" t="str">
        <x:f>IF(AND(AND(498&lt;='Control Room'!$B$3,'Control Room'!$D$3="Ready"),3&lt;='Control Room'!$B$2),ROUND(MAX(0,'Process'!O499*'Control Room'!$H$6*INDEX('Control Room'!$B$19:$H$19,1,WEEKDAY($A499,2))*(1+'Control Room'!$D$9)^497*'Process'!P499),2),"")</x:f>
      </x:c>
      <x:c r="F499" s="16" t="str">
        <x:f>IF(AND(AND(498&lt;='Control Room'!$B$3,'Control Room'!$D$3="Ready"),4&lt;='Control Room'!$B$2),ROUND(MAX(0,'Process'!T499*'Control Room'!$H$7*INDEX('Control Room'!$B$19:$H$19,1,WEEKDAY($A499,2))*(1+'Control Room'!$D$9)^497*'Process'!U499),2),"")</x:f>
      </x:c>
      <x:c r="G499" s="16" t="str">
        <x:f>IF(AND(AND(498&lt;='Control Room'!$B$3,'Control Room'!$D$3="Ready"),5&lt;='Control Room'!$B$2),ROUND(MAX(0,'Process'!Y499*'Control Room'!$H$8*INDEX('Control Room'!$B$19:$H$19,1,WEEKDAY($A499,2))*(1+'Control Room'!$D$9)^497*'Process'!Z499),2),"")</x:f>
      </x:c>
      <x:c r="H499" s="16" t="str">
        <x:f>IF(AND(AND(498&lt;='Control Room'!$B$3,'Control Room'!$D$3="Ready"),6&lt;='Control Room'!$B$2),ROUND(MAX(0,'Process'!AD499*'Control Room'!$H$9*INDEX('Control Room'!$B$19:$H$19,1,WEEKDAY($A499,2))*(1+'Control Room'!$D$9)^497*'Process'!AE499),2),"")</x:f>
      </x:c>
      <x:c r="I499" s="16" t="str">
        <x:f>IF(AND(AND(498&lt;='Control Room'!$B$3,'Control Room'!$D$3="Ready"),7&lt;='Control Room'!$B$2),ROUND(MAX(0,'Process'!AI499*'Control Room'!$H$10*INDEX('Control Room'!$B$19:$H$19,1,WEEKDAY($A499,2))*(1+'Control Room'!$D$9)^497*'Process'!AJ499),2),"")</x:f>
      </x:c>
      <x:c r="J499" s="16" t="str">
        <x:f>IF(AND(AND(498&lt;='Control Room'!$B$3,'Control Room'!$D$3="Ready"),8&lt;='Control Room'!$B$2),ROUND(MAX(0,'Process'!AN499*'Control Room'!$H$11*INDEX('Control Room'!$B$19:$H$19,1,WEEKDAY($A499,2))*(1+'Control Room'!$D$9)^497*'Process'!AO499),2),"")</x:f>
      </x:c>
      <x:c r="K499" s="16" t="str">
        <x:f>IF(AND(AND(498&lt;='Control Room'!$B$3,'Control Room'!$D$3="Ready"),9&lt;='Control Room'!$B$2),ROUND(MAX(0,'Process'!AS499*'Control Room'!$H$12*INDEX('Control Room'!$B$19:$H$19,1,WEEKDAY($A499,2))*(1+'Control Room'!$D$9)^497*'Process'!AT499),2),"")</x:f>
      </x:c>
      <x:c r="L499" s="16" t="str">
        <x:f>IF(AND(AND(498&lt;='Control Room'!$B$3,'Control Room'!$D$3="Ready"),10&lt;='Control Room'!$B$2),ROUND(MAX(0,'Process'!AX499*'Control Room'!$H$13*INDEX('Control Room'!$B$19:$H$19,1,WEEKDAY($A499,2))*(1+'Control Room'!$D$9)^497*'Process'!AY499),2),"")</x:f>
      </x:c>
      <x:c r="M499" s="16" t="str">
        <x:f>IF(AND(AND(498&lt;='Control Room'!$B$3,'Control Room'!$D$3="Ready"),11&lt;='Control Room'!$B$2),ROUND(MAX(0,'Process'!BC499*'Control Room'!$H$14*INDEX('Control Room'!$B$19:$H$19,1,WEEKDAY($A499,2))*(1+'Control Room'!$D$9)^497*'Process'!BD499),2),"")</x:f>
      </x:c>
      <x:c r="N499" s="16" t="str">
        <x:f>IF(AND(AND(498&lt;='Control Room'!$B$3,'Control Room'!$D$3="Ready"),12&lt;='Control Room'!$B$2),ROUND(MAX(0,'Process'!BH499*'Control Room'!$H$15*INDEX('Control Room'!$B$19:$H$19,1,WEEKDAY($A499,2))*(1+'Control Room'!$D$9)^497*'Process'!BI499),2),"")</x:f>
      </x:c>
    </x:row>
    <x:row r="500" ht="21" customHeight="1">
      <x:c r="A500" s="15" t="str">
        <x:f>IF(AND(499&lt;='Control Room'!$B$3,'Control Room'!$D$3="Ready"),'Process'!A500,"")</x:f>
      </x:c>
      <x:c r="B500" s="16" t="str">
        <x:f>IF(A500="","",SUM(C500:N500))</x:f>
      </x:c>
      <x:c r="C500" s="16" t="str">
        <x:f>IF(AND(AND(499&lt;='Control Room'!$B$3,'Control Room'!$D$3="Ready"),1&lt;='Control Room'!$B$2),ROUND(MAX(0,'Process'!E500*'Control Room'!$H$4*INDEX('Control Room'!$B$19:$H$19,1,WEEKDAY($A500,2))*(1+'Control Room'!$D$9)^498*'Process'!F500),2),"")</x:f>
      </x:c>
      <x:c r="D500" s="16" t="str">
        <x:f>IF(AND(AND(499&lt;='Control Room'!$B$3,'Control Room'!$D$3="Ready"),2&lt;='Control Room'!$B$2),ROUND(MAX(0,'Process'!J500*'Control Room'!$H$5*INDEX('Control Room'!$B$19:$H$19,1,WEEKDAY($A500,2))*(1+'Control Room'!$D$9)^498*'Process'!K500),2),"")</x:f>
      </x:c>
      <x:c r="E500" s="16" t="str">
        <x:f>IF(AND(AND(499&lt;='Control Room'!$B$3,'Control Room'!$D$3="Ready"),3&lt;='Control Room'!$B$2),ROUND(MAX(0,'Process'!O500*'Control Room'!$H$6*INDEX('Control Room'!$B$19:$H$19,1,WEEKDAY($A500,2))*(1+'Control Room'!$D$9)^498*'Process'!P500),2),"")</x:f>
      </x:c>
      <x:c r="F500" s="16" t="str">
        <x:f>IF(AND(AND(499&lt;='Control Room'!$B$3,'Control Room'!$D$3="Ready"),4&lt;='Control Room'!$B$2),ROUND(MAX(0,'Process'!T500*'Control Room'!$H$7*INDEX('Control Room'!$B$19:$H$19,1,WEEKDAY($A500,2))*(1+'Control Room'!$D$9)^498*'Process'!U500),2),"")</x:f>
      </x:c>
      <x:c r="G500" s="16" t="str">
        <x:f>IF(AND(AND(499&lt;='Control Room'!$B$3,'Control Room'!$D$3="Ready"),5&lt;='Control Room'!$B$2),ROUND(MAX(0,'Process'!Y500*'Control Room'!$H$8*INDEX('Control Room'!$B$19:$H$19,1,WEEKDAY($A500,2))*(1+'Control Room'!$D$9)^498*'Process'!Z500),2),"")</x:f>
      </x:c>
      <x:c r="H500" s="16" t="str">
        <x:f>IF(AND(AND(499&lt;='Control Room'!$B$3,'Control Room'!$D$3="Ready"),6&lt;='Control Room'!$B$2),ROUND(MAX(0,'Process'!AD500*'Control Room'!$H$9*INDEX('Control Room'!$B$19:$H$19,1,WEEKDAY($A500,2))*(1+'Control Room'!$D$9)^498*'Process'!AE500),2),"")</x:f>
      </x:c>
      <x:c r="I500" s="16" t="str">
        <x:f>IF(AND(AND(499&lt;='Control Room'!$B$3,'Control Room'!$D$3="Ready"),7&lt;='Control Room'!$B$2),ROUND(MAX(0,'Process'!AI500*'Control Room'!$H$10*INDEX('Control Room'!$B$19:$H$19,1,WEEKDAY($A500,2))*(1+'Control Room'!$D$9)^498*'Process'!AJ500),2),"")</x:f>
      </x:c>
      <x:c r="J500" s="16" t="str">
        <x:f>IF(AND(AND(499&lt;='Control Room'!$B$3,'Control Room'!$D$3="Ready"),8&lt;='Control Room'!$B$2),ROUND(MAX(0,'Process'!AN500*'Control Room'!$H$11*INDEX('Control Room'!$B$19:$H$19,1,WEEKDAY($A500,2))*(1+'Control Room'!$D$9)^498*'Process'!AO500),2),"")</x:f>
      </x:c>
      <x:c r="K500" s="16" t="str">
        <x:f>IF(AND(AND(499&lt;='Control Room'!$B$3,'Control Room'!$D$3="Ready"),9&lt;='Control Room'!$B$2),ROUND(MAX(0,'Process'!AS500*'Control Room'!$H$12*INDEX('Control Room'!$B$19:$H$19,1,WEEKDAY($A500,2))*(1+'Control Room'!$D$9)^498*'Process'!AT500),2),"")</x:f>
      </x:c>
      <x:c r="L500" s="16" t="str">
        <x:f>IF(AND(AND(499&lt;='Control Room'!$B$3,'Control Room'!$D$3="Ready"),10&lt;='Control Room'!$B$2),ROUND(MAX(0,'Process'!AX500*'Control Room'!$H$13*INDEX('Control Room'!$B$19:$H$19,1,WEEKDAY($A500,2))*(1+'Control Room'!$D$9)^498*'Process'!AY500),2),"")</x:f>
      </x:c>
      <x:c r="M500" s="16" t="str">
        <x:f>IF(AND(AND(499&lt;='Control Room'!$B$3,'Control Room'!$D$3="Ready"),11&lt;='Control Room'!$B$2),ROUND(MAX(0,'Process'!BC500*'Control Room'!$H$14*INDEX('Control Room'!$B$19:$H$19,1,WEEKDAY($A500,2))*(1+'Control Room'!$D$9)^498*'Process'!BD500),2),"")</x:f>
      </x:c>
      <x:c r="N500" s="16" t="str">
        <x:f>IF(AND(AND(499&lt;='Control Room'!$B$3,'Control Room'!$D$3="Ready"),12&lt;='Control Room'!$B$2),ROUND(MAX(0,'Process'!BH500*'Control Room'!$H$15*INDEX('Control Room'!$B$19:$H$19,1,WEEKDAY($A500,2))*(1+'Control Room'!$D$9)^498*'Process'!BI500),2),"")</x:f>
      </x:c>
    </x:row>
    <x:row r="501" ht="21" customHeight="1">
      <x:c r="A501" s="15" t="str">
        <x:f>IF(AND(500&lt;='Control Room'!$B$3,'Control Room'!$D$3="Ready"),'Process'!A501,"")</x:f>
      </x:c>
      <x:c r="B501" s="16" t="str">
        <x:f>IF(A501="","",SUM(C501:N501))</x:f>
      </x:c>
      <x:c r="C501" s="16" t="str">
        <x:f>IF(AND(AND(500&lt;='Control Room'!$B$3,'Control Room'!$D$3="Ready"),1&lt;='Control Room'!$B$2),ROUND(MAX(0,'Process'!E501*'Control Room'!$H$4*INDEX('Control Room'!$B$19:$H$19,1,WEEKDAY($A501,2))*(1+'Control Room'!$D$9)^499*'Process'!F501),2),"")</x:f>
      </x:c>
      <x:c r="D501" s="16" t="str">
        <x:f>IF(AND(AND(500&lt;='Control Room'!$B$3,'Control Room'!$D$3="Ready"),2&lt;='Control Room'!$B$2),ROUND(MAX(0,'Process'!J501*'Control Room'!$H$5*INDEX('Control Room'!$B$19:$H$19,1,WEEKDAY($A501,2))*(1+'Control Room'!$D$9)^499*'Process'!K501),2),"")</x:f>
      </x:c>
      <x:c r="E501" s="16" t="str">
        <x:f>IF(AND(AND(500&lt;='Control Room'!$B$3,'Control Room'!$D$3="Ready"),3&lt;='Control Room'!$B$2),ROUND(MAX(0,'Process'!O501*'Control Room'!$H$6*INDEX('Control Room'!$B$19:$H$19,1,WEEKDAY($A501,2))*(1+'Control Room'!$D$9)^499*'Process'!P501),2),"")</x:f>
      </x:c>
      <x:c r="F501" s="16" t="str">
        <x:f>IF(AND(AND(500&lt;='Control Room'!$B$3,'Control Room'!$D$3="Ready"),4&lt;='Control Room'!$B$2),ROUND(MAX(0,'Process'!T501*'Control Room'!$H$7*INDEX('Control Room'!$B$19:$H$19,1,WEEKDAY($A501,2))*(1+'Control Room'!$D$9)^499*'Process'!U501),2),"")</x:f>
      </x:c>
      <x:c r="G501" s="16" t="str">
        <x:f>IF(AND(AND(500&lt;='Control Room'!$B$3,'Control Room'!$D$3="Ready"),5&lt;='Control Room'!$B$2),ROUND(MAX(0,'Process'!Y501*'Control Room'!$H$8*INDEX('Control Room'!$B$19:$H$19,1,WEEKDAY($A501,2))*(1+'Control Room'!$D$9)^499*'Process'!Z501),2),"")</x:f>
      </x:c>
      <x:c r="H501" s="16" t="str">
        <x:f>IF(AND(AND(500&lt;='Control Room'!$B$3,'Control Room'!$D$3="Ready"),6&lt;='Control Room'!$B$2),ROUND(MAX(0,'Process'!AD501*'Control Room'!$H$9*INDEX('Control Room'!$B$19:$H$19,1,WEEKDAY($A501,2))*(1+'Control Room'!$D$9)^499*'Process'!AE501),2),"")</x:f>
      </x:c>
      <x:c r="I501" s="16" t="str">
        <x:f>IF(AND(AND(500&lt;='Control Room'!$B$3,'Control Room'!$D$3="Ready"),7&lt;='Control Room'!$B$2),ROUND(MAX(0,'Process'!AI501*'Control Room'!$H$10*INDEX('Control Room'!$B$19:$H$19,1,WEEKDAY($A501,2))*(1+'Control Room'!$D$9)^499*'Process'!AJ501),2),"")</x:f>
      </x:c>
      <x:c r="J501" s="16" t="str">
        <x:f>IF(AND(AND(500&lt;='Control Room'!$B$3,'Control Room'!$D$3="Ready"),8&lt;='Control Room'!$B$2),ROUND(MAX(0,'Process'!AN501*'Control Room'!$H$11*INDEX('Control Room'!$B$19:$H$19,1,WEEKDAY($A501,2))*(1+'Control Room'!$D$9)^499*'Process'!AO501),2),"")</x:f>
      </x:c>
      <x:c r="K501" s="16" t="str">
        <x:f>IF(AND(AND(500&lt;='Control Room'!$B$3,'Control Room'!$D$3="Ready"),9&lt;='Control Room'!$B$2),ROUND(MAX(0,'Process'!AS501*'Control Room'!$H$12*INDEX('Control Room'!$B$19:$H$19,1,WEEKDAY($A501,2))*(1+'Control Room'!$D$9)^499*'Process'!AT501),2),"")</x:f>
      </x:c>
      <x:c r="L501" s="16" t="str">
        <x:f>IF(AND(AND(500&lt;='Control Room'!$B$3,'Control Room'!$D$3="Ready"),10&lt;='Control Room'!$B$2),ROUND(MAX(0,'Process'!AX501*'Control Room'!$H$13*INDEX('Control Room'!$B$19:$H$19,1,WEEKDAY($A501,2))*(1+'Control Room'!$D$9)^499*'Process'!AY501),2),"")</x:f>
      </x:c>
      <x:c r="M501" s="16" t="str">
        <x:f>IF(AND(AND(500&lt;='Control Room'!$B$3,'Control Room'!$D$3="Ready"),11&lt;='Control Room'!$B$2),ROUND(MAX(0,'Process'!BC501*'Control Room'!$H$14*INDEX('Control Room'!$B$19:$H$19,1,WEEKDAY($A501,2))*(1+'Control Room'!$D$9)^499*'Process'!BD501),2),"")</x:f>
      </x:c>
      <x:c r="N501" s="16" t="str">
        <x:f>IF(AND(AND(500&lt;='Control Room'!$B$3,'Control Room'!$D$3="Ready"),12&lt;='Control Room'!$B$2),ROUND(MAX(0,'Process'!BH501*'Control Room'!$H$15*INDEX('Control Room'!$B$19:$H$19,1,WEEKDAY($A501,2))*(1+'Control Room'!$D$9)^499*'Process'!BI501),2),"")</x:f>
      </x:c>
    </x:row>
    <x:row r="502" ht="21" customHeight="1">
      <x:c r="A502" s="15" t="str">
        <x:f>IF(AND(501&lt;='Control Room'!$B$3,'Control Room'!$D$3="Ready"),'Process'!A502,"")</x:f>
      </x:c>
      <x:c r="B502" s="16" t="str">
        <x:f>IF(A502="","",SUM(C502:N502))</x:f>
      </x:c>
      <x:c r="C502" s="16" t="str">
        <x:f>IF(AND(AND(501&lt;='Control Room'!$B$3,'Control Room'!$D$3="Ready"),1&lt;='Control Room'!$B$2),ROUND(MAX(0,'Process'!E502*'Control Room'!$H$4*INDEX('Control Room'!$B$19:$H$19,1,WEEKDAY($A502,2))*(1+'Control Room'!$D$9)^500*'Process'!F502),2),"")</x:f>
      </x:c>
      <x:c r="D502" s="16" t="str">
        <x:f>IF(AND(AND(501&lt;='Control Room'!$B$3,'Control Room'!$D$3="Ready"),2&lt;='Control Room'!$B$2),ROUND(MAX(0,'Process'!J502*'Control Room'!$H$5*INDEX('Control Room'!$B$19:$H$19,1,WEEKDAY($A502,2))*(1+'Control Room'!$D$9)^500*'Process'!K502),2),"")</x:f>
      </x:c>
      <x:c r="E502" s="16" t="str">
        <x:f>IF(AND(AND(501&lt;='Control Room'!$B$3,'Control Room'!$D$3="Ready"),3&lt;='Control Room'!$B$2),ROUND(MAX(0,'Process'!O502*'Control Room'!$H$6*INDEX('Control Room'!$B$19:$H$19,1,WEEKDAY($A502,2))*(1+'Control Room'!$D$9)^500*'Process'!P502),2),"")</x:f>
      </x:c>
      <x:c r="F502" s="16" t="str">
        <x:f>IF(AND(AND(501&lt;='Control Room'!$B$3,'Control Room'!$D$3="Ready"),4&lt;='Control Room'!$B$2),ROUND(MAX(0,'Process'!T502*'Control Room'!$H$7*INDEX('Control Room'!$B$19:$H$19,1,WEEKDAY($A502,2))*(1+'Control Room'!$D$9)^500*'Process'!U502),2),"")</x:f>
      </x:c>
      <x:c r="G502" s="16" t="str">
        <x:f>IF(AND(AND(501&lt;='Control Room'!$B$3,'Control Room'!$D$3="Ready"),5&lt;='Control Room'!$B$2),ROUND(MAX(0,'Process'!Y502*'Control Room'!$H$8*INDEX('Control Room'!$B$19:$H$19,1,WEEKDAY($A502,2))*(1+'Control Room'!$D$9)^500*'Process'!Z502),2),"")</x:f>
      </x:c>
      <x:c r="H502" s="16" t="str">
        <x:f>IF(AND(AND(501&lt;='Control Room'!$B$3,'Control Room'!$D$3="Ready"),6&lt;='Control Room'!$B$2),ROUND(MAX(0,'Process'!AD502*'Control Room'!$H$9*INDEX('Control Room'!$B$19:$H$19,1,WEEKDAY($A502,2))*(1+'Control Room'!$D$9)^500*'Process'!AE502),2),"")</x:f>
      </x:c>
      <x:c r="I502" s="16" t="str">
        <x:f>IF(AND(AND(501&lt;='Control Room'!$B$3,'Control Room'!$D$3="Ready"),7&lt;='Control Room'!$B$2),ROUND(MAX(0,'Process'!AI502*'Control Room'!$H$10*INDEX('Control Room'!$B$19:$H$19,1,WEEKDAY($A502,2))*(1+'Control Room'!$D$9)^500*'Process'!AJ502),2),"")</x:f>
      </x:c>
      <x:c r="J502" s="16" t="str">
        <x:f>IF(AND(AND(501&lt;='Control Room'!$B$3,'Control Room'!$D$3="Ready"),8&lt;='Control Room'!$B$2),ROUND(MAX(0,'Process'!AN502*'Control Room'!$H$11*INDEX('Control Room'!$B$19:$H$19,1,WEEKDAY($A502,2))*(1+'Control Room'!$D$9)^500*'Process'!AO502),2),"")</x:f>
      </x:c>
      <x:c r="K502" s="16" t="str">
        <x:f>IF(AND(AND(501&lt;='Control Room'!$B$3,'Control Room'!$D$3="Ready"),9&lt;='Control Room'!$B$2),ROUND(MAX(0,'Process'!AS502*'Control Room'!$H$12*INDEX('Control Room'!$B$19:$H$19,1,WEEKDAY($A502,2))*(1+'Control Room'!$D$9)^500*'Process'!AT502),2),"")</x:f>
      </x:c>
      <x:c r="L502" s="16" t="str">
        <x:f>IF(AND(AND(501&lt;='Control Room'!$B$3,'Control Room'!$D$3="Ready"),10&lt;='Control Room'!$B$2),ROUND(MAX(0,'Process'!AX502*'Control Room'!$H$13*INDEX('Control Room'!$B$19:$H$19,1,WEEKDAY($A502,2))*(1+'Control Room'!$D$9)^500*'Process'!AY502),2),"")</x:f>
      </x:c>
      <x:c r="M502" s="16" t="str">
        <x:f>IF(AND(AND(501&lt;='Control Room'!$B$3,'Control Room'!$D$3="Ready"),11&lt;='Control Room'!$B$2),ROUND(MAX(0,'Process'!BC502*'Control Room'!$H$14*INDEX('Control Room'!$B$19:$H$19,1,WEEKDAY($A502,2))*(1+'Control Room'!$D$9)^500*'Process'!BD502),2),"")</x:f>
      </x:c>
      <x:c r="N502" s="16" t="str">
        <x:f>IF(AND(AND(501&lt;='Control Room'!$B$3,'Control Room'!$D$3="Ready"),12&lt;='Control Room'!$B$2),ROUND(MAX(0,'Process'!BH502*'Control Room'!$H$15*INDEX('Control Room'!$B$19:$H$19,1,WEEKDAY($A502,2))*(1+'Control Room'!$D$9)^500*'Process'!BI502),2),"")</x:f>
      </x:c>
    </x:row>
    <x:row r="503" ht="21" customHeight="1">
      <x:c r="A503" s="15" t="str">
        <x:f>IF(AND(502&lt;='Control Room'!$B$3,'Control Room'!$D$3="Ready"),'Process'!A503,"")</x:f>
      </x:c>
      <x:c r="B503" s="16" t="str">
        <x:f>IF(A503="","",SUM(C503:N503))</x:f>
      </x:c>
      <x:c r="C503" s="16" t="str">
        <x:f>IF(AND(AND(502&lt;='Control Room'!$B$3,'Control Room'!$D$3="Ready"),1&lt;='Control Room'!$B$2),ROUND(MAX(0,'Process'!E503*'Control Room'!$H$4*INDEX('Control Room'!$B$19:$H$19,1,WEEKDAY($A503,2))*(1+'Control Room'!$D$9)^501*'Process'!F503),2),"")</x:f>
      </x:c>
      <x:c r="D503" s="16" t="str">
        <x:f>IF(AND(AND(502&lt;='Control Room'!$B$3,'Control Room'!$D$3="Ready"),2&lt;='Control Room'!$B$2),ROUND(MAX(0,'Process'!J503*'Control Room'!$H$5*INDEX('Control Room'!$B$19:$H$19,1,WEEKDAY($A503,2))*(1+'Control Room'!$D$9)^501*'Process'!K503),2),"")</x:f>
      </x:c>
      <x:c r="E503" s="16" t="str">
        <x:f>IF(AND(AND(502&lt;='Control Room'!$B$3,'Control Room'!$D$3="Ready"),3&lt;='Control Room'!$B$2),ROUND(MAX(0,'Process'!O503*'Control Room'!$H$6*INDEX('Control Room'!$B$19:$H$19,1,WEEKDAY($A503,2))*(1+'Control Room'!$D$9)^501*'Process'!P503),2),"")</x:f>
      </x:c>
      <x:c r="F503" s="16" t="str">
        <x:f>IF(AND(AND(502&lt;='Control Room'!$B$3,'Control Room'!$D$3="Ready"),4&lt;='Control Room'!$B$2),ROUND(MAX(0,'Process'!T503*'Control Room'!$H$7*INDEX('Control Room'!$B$19:$H$19,1,WEEKDAY($A503,2))*(1+'Control Room'!$D$9)^501*'Process'!U503),2),"")</x:f>
      </x:c>
      <x:c r="G503" s="16" t="str">
        <x:f>IF(AND(AND(502&lt;='Control Room'!$B$3,'Control Room'!$D$3="Ready"),5&lt;='Control Room'!$B$2),ROUND(MAX(0,'Process'!Y503*'Control Room'!$H$8*INDEX('Control Room'!$B$19:$H$19,1,WEEKDAY($A503,2))*(1+'Control Room'!$D$9)^501*'Process'!Z503),2),"")</x:f>
      </x:c>
      <x:c r="H503" s="16" t="str">
        <x:f>IF(AND(AND(502&lt;='Control Room'!$B$3,'Control Room'!$D$3="Ready"),6&lt;='Control Room'!$B$2),ROUND(MAX(0,'Process'!AD503*'Control Room'!$H$9*INDEX('Control Room'!$B$19:$H$19,1,WEEKDAY($A503,2))*(1+'Control Room'!$D$9)^501*'Process'!AE503),2),"")</x:f>
      </x:c>
      <x:c r="I503" s="16" t="str">
        <x:f>IF(AND(AND(502&lt;='Control Room'!$B$3,'Control Room'!$D$3="Ready"),7&lt;='Control Room'!$B$2),ROUND(MAX(0,'Process'!AI503*'Control Room'!$H$10*INDEX('Control Room'!$B$19:$H$19,1,WEEKDAY($A503,2))*(1+'Control Room'!$D$9)^501*'Process'!AJ503),2),"")</x:f>
      </x:c>
      <x:c r="J503" s="16" t="str">
        <x:f>IF(AND(AND(502&lt;='Control Room'!$B$3,'Control Room'!$D$3="Ready"),8&lt;='Control Room'!$B$2),ROUND(MAX(0,'Process'!AN503*'Control Room'!$H$11*INDEX('Control Room'!$B$19:$H$19,1,WEEKDAY($A503,2))*(1+'Control Room'!$D$9)^501*'Process'!AO503),2),"")</x:f>
      </x:c>
      <x:c r="K503" s="16" t="str">
        <x:f>IF(AND(AND(502&lt;='Control Room'!$B$3,'Control Room'!$D$3="Ready"),9&lt;='Control Room'!$B$2),ROUND(MAX(0,'Process'!AS503*'Control Room'!$H$12*INDEX('Control Room'!$B$19:$H$19,1,WEEKDAY($A503,2))*(1+'Control Room'!$D$9)^501*'Process'!AT503),2),"")</x:f>
      </x:c>
      <x:c r="L503" s="16" t="str">
        <x:f>IF(AND(AND(502&lt;='Control Room'!$B$3,'Control Room'!$D$3="Ready"),10&lt;='Control Room'!$B$2),ROUND(MAX(0,'Process'!AX503*'Control Room'!$H$13*INDEX('Control Room'!$B$19:$H$19,1,WEEKDAY($A503,2))*(1+'Control Room'!$D$9)^501*'Process'!AY503),2),"")</x:f>
      </x:c>
      <x:c r="M503" s="16" t="str">
        <x:f>IF(AND(AND(502&lt;='Control Room'!$B$3,'Control Room'!$D$3="Ready"),11&lt;='Control Room'!$B$2),ROUND(MAX(0,'Process'!BC503*'Control Room'!$H$14*INDEX('Control Room'!$B$19:$H$19,1,WEEKDAY($A503,2))*(1+'Control Room'!$D$9)^501*'Process'!BD503),2),"")</x:f>
      </x:c>
      <x:c r="N503" s="16" t="str">
        <x:f>IF(AND(AND(502&lt;='Control Room'!$B$3,'Control Room'!$D$3="Ready"),12&lt;='Control Room'!$B$2),ROUND(MAX(0,'Process'!BH503*'Control Room'!$H$15*INDEX('Control Room'!$B$19:$H$19,1,WEEKDAY($A503,2))*(1+'Control Room'!$D$9)^501*'Process'!BI503),2),"")</x:f>
      </x:c>
    </x:row>
    <x:row r="504" ht="21" customHeight="1">
      <x:c r="A504" s="15" t="str">
        <x:f>IF(AND(503&lt;='Control Room'!$B$3,'Control Room'!$D$3="Ready"),'Process'!A504,"")</x:f>
      </x:c>
      <x:c r="B504" s="16" t="str">
        <x:f>IF(A504="","",SUM(C504:N504))</x:f>
      </x:c>
      <x:c r="C504" s="16" t="str">
        <x:f>IF(AND(AND(503&lt;='Control Room'!$B$3,'Control Room'!$D$3="Ready"),1&lt;='Control Room'!$B$2),ROUND(MAX(0,'Process'!E504*'Control Room'!$H$4*INDEX('Control Room'!$B$19:$H$19,1,WEEKDAY($A504,2))*(1+'Control Room'!$D$9)^502*'Process'!F504),2),"")</x:f>
      </x:c>
      <x:c r="D504" s="16" t="str">
        <x:f>IF(AND(AND(503&lt;='Control Room'!$B$3,'Control Room'!$D$3="Ready"),2&lt;='Control Room'!$B$2),ROUND(MAX(0,'Process'!J504*'Control Room'!$H$5*INDEX('Control Room'!$B$19:$H$19,1,WEEKDAY($A504,2))*(1+'Control Room'!$D$9)^502*'Process'!K504),2),"")</x:f>
      </x:c>
      <x:c r="E504" s="16" t="str">
        <x:f>IF(AND(AND(503&lt;='Control Room'!$B$3,'Control Room'!$D$3="Ready"),3&lt;='Control Room'!$B$2),ROUND(MAX(0,'Process'!O504*'Control Room'!$H$6*INDEX('Control Room'!$B$19:$H$19,1,WEEKDAY($A504,2))*(1+'Control Room'!$D$9)^502*'Process'!P504),2),"")</x:f>
      </x:c>
      <x:c r="F504" s="16" t="str">
        <x:f>IF(AND(AND(503&lt;='Control Room'!$B$3,'Control Room'!$D$3="Ready"),4&lt;='Control Room'!$B$2),ROUND(MAX(0,'Process'!T504*'Control Room'!$H$7*INDEX('Control Room'!$B$19:$H$19,1,WEEKDAY($A504,2))*(1+'Control Room'!$D$9)^502*'Process'!U504),2),"")</x:f>
      </x:c>
      <x:c r="G504" s="16" t="str">
        <x:f>IF(AND(AND(503&lt;='Control Room'!$B$3,'Control Room'!$D$3="Ready"),5&lt;='Control Room'!$B$2),ROUND(MAX(0,'Process'!Y504*'Control Room'!$H$8*INDEX('Control Room'!$B$19:$H$19,1,WEEKDAY($A504,2))*(1+'Control Room'!$D$9)^502*'Process'!Z504),2),"")</x:f>
      </x:c>
      <x:c r="H504" s="16" t="str">
        <x:f>IF(AND(AND(503&lt;='Control Room'!$B$3,'Control Room'!$D$3="Ready"),6&lt;='Control Room'!$B$2),ROUND(MAX(0,'Process'!AD504*'Control Room'!$H$9*INDEX('Control Room'!$B$19:$H$19,1,WEEKDAY($A504,2))*(1+'Control Room'!$D$9)^502*'Process'!AE504),2),"")</x:f>
      </x:c>
      <x:c r="I504" s="16" t="str">
        <x:f>IF(AND(AND(503&lt;='Control Room'!$B$3,'Control Room'!$D$3="Ready"),7&lt;='Control Room'!$B$2),ROUND(MAX(0,'Process'!AI504*'Control Room'!$H$10*INDEX('Control Room'!$B$19:$H$19,1,WEEKDAY($A504,2))*(1+'Control Room'!$D$9)^502*'Process'!AJ504),2),"")</x:f>
      </x:c>
      <x:c r="J504" s="16" t="str">
        <x:f>IF(AND(AND(503&lt;='Control Room'!$B$3,'Control Room'!$D$3="Ready"),8&lt;='Control Room'!$B$2),ROUND(MAX(0,'Process'!AN504*'Control Room'!$H$11*INDEX('Control Room'!$B$19:$H$19,1,WEEKDAY($A504,2))*(1+'Control Room'!$D$9)^502*'Process'!AO504),2),"")</x:f>
      </x:c>
      <x:c r="K504" s="16" t="str">
        <x:f>IF(AND(AND(503&lt;='Control Room'!$B$3,'Control Room'!$D$3="Ready"),9&lt;='Control Room'!$B$2),ROUND(MAX(0,'Process'!AS504*'Control Room'!$H$12*INDEX('Control Room'!$B$19:$H$19,1,WEEKDAY($A504,2))*(1+'Control Room'!$D$9)^502*'Process'!AT504),2),"")</x:f>
      </x:c>
      <x:c r="L504" s="16" t="str">
        <x:f>IF(AND(AND(503&lt;='Control Room'!$B$3,'Control Room'!$D$3="Ready"),10&lt;='Control Room'!$B$2),ROUND(MAX(0,'Process'!AX504*'Control Room'!$H$13*INDEX('Control Room'!$B$19:$H$19,1,WEEKDAY($A504,2))*(1+'Control Room'!$D$9)^502*'Process'!AY504),2),"")</x:f>
      </x:c>
      <x:c r="M504" s="16" t="str">
        <x:f>IF(AND(AND(503&lt;='Control Room'!$B$3,'Control Room'!$D$3="Ready"),11&lt;='Control Room'!$B$2),ROUND(MAX(0,'Process'!BC504*'Control Room'!$H$14*INDEX('Control Room'!$B$19:$H$19,1,WEEKDAY($A504,2))*(1+'Control Room'!$D$9)^502*'Process'!BD504),2),"")</x:f>
      </x:c>
      <x:c r="N504" s="16" t="str">
        <x:f>IF(AND(AND(503&lt;='Control Room'!$B$3,'Control Room'!$D$3="Ready"),12&lt;='Control Room'!$B$2),ROUND(MAX(0,'Process'!BH504*'Control Room'!$H$15*INDEX('Control Room'!$B$19:$H$19,1,WEEKDAY($A504,2))*(1+'Control Room'!$D$9)^502*'Process'!BI504),2),"")</x:f>
      </x:c>
    </x:row>
    <x:row r="505" ht="21" customHeight="1">
      <x:c r="A505" s="15" t="str">
        <x:f>IF(AND(504&lt;='Control Room'!$B$3,'Control Room'!$D$3="Ready"),'Process'!A505,"")</x:f>
      </x:c>
      <x:c r="B505" s="16" t="str">
        <x:f>IF(A505="","",SUM(C505:N505))</x:f>
      </x:c>
      <x:c r="C505" s="16" t="str">
        <x:f>IF(AND(AND(504&lt;='Control Room'!$B$3,'Control Room'!$D$3="Ready"),1&lt;='Control Room'!$B$2),ROUND(MAX(0,'Process'!E505*'Control Room'!$H$4*INDEX('Control Room'!$B$19:$H$19,1,WEEKDAY($A505,2))*(1+'Control Room'!$D$9)^503*'Process'!F505),2),"")</x:f>
      </x:c>
      <x:c r="D505" s="16" t="str">
        <x:f>IF(AND(AND(504&lt;='Control Room'!$B$3,'Control Room'!$D$3="Ready"),2&lt;='Control Room'!$B$2),ROUND(MAX(0,'Process'!J505*'Control Room'!$H$5*INDEX('Control Room'!$B$19:$H$19,1,WEEKDAY($A505,2))*(1+'Control Room'!$D$9)^503*'Process'!K505),2),"")</x:f>
      </x:c>
      <x:c r="E505" s="16" t="str">
        <x:f>IF(AND(AND(504&lt;='Control Room'!$B$3,'Control Room'!$D$3="Ready"),3&lt;='Control Room'!$B$2),ROUND(MAX(0,'Process'!O505*'Control Room'!$H$6*INDEX('Control Room'!$B$19:$H$19,1,WEEKDAY($A505,2))*(1+'Control Room'!$D$9)^503*'Process'!P505),2),"")</x:f>
      </x:c>
      <x:c r="F505" s="16" t="str">
        <x:f>IF(AND(AND(504&lt;='Control Room'!$B$3,'Control Room'!$D$3="Ready"),4&lt;='Control Room'!$B$2),ROUND(MAX(0,'Process'!T505*'Control Room'!$H$7*INDEX('Control Room'!$B$19:$H$19,1,WEEKDAY($A505,2))*(1+'Control Room'!$D$9)^503*'Process'!U505),2),"")</x:f>
      </x:c>
      <x:c r="G505" s="16" t="str">
        <x:f>IF(AND(AND(504&lt;='Control Room'!$B$3,'Control Room'!$D$3="Ready"),5&lt;='Control Room'!$B$2),ROUND(MAX(0,'Process'!Y505*'Control Room'!$H$8*INDEX('Control Room'!$B$19:$H$19,1,WEEKDAY($A505,2))*(1+'Control Room'!$D$9)^503*'Process'!Z505),2),"")</x:f>
      </x:c>
      <x:c r="H505" s="16" t="str">
        <x:f>IF(AND(AND(504&lt;='Control Room'!$B$3,'Control Room'!$D$3="Ready"),6&lt;='Control Room'!$B$2),ROUND(MAX(0,'Process'!AD505*'Control Room'!$H$9*INDEX('Control Room'!$B$19:$H$19,1,WEEKDAY($A505,2))*(1+'Control Room'!$D$9)^503*'Process'!AE505),2),"")</x:f>
      </x:c>
      <x:c r="I505" s="16" t="str">
        <x:f>IF(AND(AND(504&lt;='Control Room'!$B$3,'Control Room'!$D$3="Ready"),7&lt;='Control Room'!$B$2),ROUND(MAX(0,'Process'!AI505*'Control Room'!$H$10*INDEX('Control Room'!$B$19:$H$19,1,WEEKDAY($A505,2))*(1+'Control Room'!$D$9)^503*'Process'!AJ505),2),"")</x:f>
      </x:c>
      <x:c r="J505" s="16" t="str">
        <x:f>IF(AND(AND(504&lt;='Control Room'!$B$3,'Control Room'!$D$3="Ready"),8&lt;='Control Room'!$B$2),ROUND(MAX(0,'Process'!AN505*'Control Room'!$H$11*INDEX('Control Room'!$B$19:$H$19,1,WEEKDAY($A505,2))*(1+'Control Room'!$D$9)^503*'Process'!AO505),2),"")</x:f>
      </x:c>
      <x:c r="K505" s="16" t="str">
        <x:f>IF(AND(AND(504&lt;='Control Room'!$B$3,'Control Room'!$D$3="Ready"),9&lt;='Control Room'!$B$2),ROUND(MAX(0,'Process'!AS505*'Control Room'!$H$12*INDEX('Control Room'!$B$19:$H$19,1,WEEKDAY($A505,2))*(1+'Control Room'!$D$9)^503*'Process'!AT505),2),"")</x:f>
      </x:c>
      <x:c r="L505" s="16" t="str">
        <x:f>IF(AND(AND(504&lt;='Control Room'!$B$3,'Control Room'!$D$3="Ready"),10&lt;='Control Room'!$B$2),ROUND(MAX(0,'Process'!AX505*'Control Room'!$H$13*INDEX('Control Room'!$B$19:$H$19,1,WEEKDAY($A505,2))*(1+'Control Room'!$D$9)^503*'Process'!AY505),2),"")</x:f>
      </x:c>
      <x:c r="M505" s="16" t="str">
        <x:f>IF(AND(AND(504&lt;='Control Room'!$B$3,'Control Room'!$D$3="Ready"),11&lt;='Control Room'!$B$2),ROUND(MAX(0,'Process'!BC505*'Control Room'!$H$14*INDEX('Control Room'!$B$19:$H$19,1,WEEKDAY($A505,2))*(1+'Control Room'!$D$9)^503*'Process'!BD505),2),"")</x:f>
      </x:c>
      <x:c r="N505" s="16" t="str">
        <x:f>IF(AND(AND(504&lt;='Control Room'!$B$3,'Control Room'!$D$3="Ready"),12&lt;='Control Room'!$B$2),ROUND(MAX(0,'Process'!BH505*'Control Room'!$H$15*INDEX('Control Room'!$B$19:$H$19,1,WEEKDAY($A505,2))*(1+'Control Room'!$D$9)^503*'Process'!BI505),2),"")</x:f>
      </x:c>
    </x:row>
    <x:row r="506" ht="21" customHeight="1">
      <x:c r="A506" s="15" t="str">
        <x:f>IF(AND(505&lt;='Control Room'!$B$3,'Control Room'!$D$3="Ready"),'Process'!A506,"")</x:f>
      </x:c>
      <x:c r="B506" s="16" t="str">
        <x:f>IF(A506="","",SUM(C506:N506))</x:f>
      </x:c>
      <x:c r="C506" s="16" t="str">
        <x:f>IF(AND(AND(505&lt;='Control Room'!$B$3,'Control Room'!$D$3="Ready"),1&lt;='Control Room'!$B$2),ROUND(MAX(0,'Process'!E506*'Control Room'!$H$4*INDEX('Control Room'!$B$19:$H$19,1,WEEKDAY($A506,2))*(1+'Control Room'!$D$9)^504*'Process'!F506),2),"")</x:f>
      </x:c>
      <x:c r="D506" s="16" t="str">
        <x:f>IF(AND(AND(505&lt;='Control Room'!$B$3,'Control Room'!$D$3="Ready"),2&lt;='Control Room'!$B$2),ROUND(MAX(0,'Process'!J506*'Control Room'!$H$5*INDEX('Control Room'!$B$19:$H$19,1,WEEKDAY($A506,2))*(1+'Control Room'!$D$9)^504*'Process'!K506),2),"")</x:f>
      </x:c>
      <x:c r="E506" s="16" t="str">
        <x:f>IF(AND(AND(505&lt;='Control Room'!$B$3,'Control Room'!$D$3="Ready"),3&lt;='Control Room'!$B$2),ROUND(MAX(0,'Process'!O506*'Control Room'!$H$6*INDEX('Control Room'!$B$19:$H$19,1,WEEKDAY($A506,2))*(1+'Control Room'!$D$9)^504*'Process'!P506),2),"")</x:f>
      </x:c>
      <x:c r="F506" s="16" t="str">
        <x:f>IF(AND(AND(505&lt;='Control Room'!$B$3,'Control Room'!$D$3="Ready"),4&lt;='Control Room'!$B$2),ROUND(MAX(0,'Process'!T506*'Control Room'!$H$7*INDEX('Control Room'!$B$19:$H$19,1,WEEKDAY($A506,2))*(1+'Control Room'!$D$9)^504*'Process'!U506),2),"")</x:f>
      </x:c>
      <x:c r="G506" s="16" t="str">
        <x:f>IF(AND(AND(505&lt;='Control Room'!$B$3,'Control Room'!$D$3="Ready"),5&lt;='Control Room'!$B$2),ROUND(MAX(0,'Process'!Y506*'Control Room'!$H$8*INDEX('Control Room'!$B$19:$H$19,1,WEEKDAY($A506,2))*(1+'Control Room'!$D$9)^504*'Process'!Z506),2),"")</x:f>
      </x:c>
      <x:c r="H506" s="16" t="str">
        <x:f>IF(AND(AND(505&lt;='Control Room'!$B$3,'Control Room'!$D$3="Ready"),6&lt;='Control Room'!$B$2),ROUND(MAX(0,'Process'!AD506*'Control Room'!$H$9*INDEX('Control Room'!$B$19:$H$19,1,WEEKDAY($A506,2))*(1+'Control Room'!$D$9)^504*'Process'!AE506),2),"")</x:f>
      </x:c>
      <x:c r="I506" s="16" t="str">
        <x:f>IF(AND(AND(505&lt;='Control Room'!$B$3,'Control Room'!$D$3="Ready"),7&lt;='Control Room'!$B$2),ROUND(MAX(0,'Process'!AI506*'Control Room'!$H$10*INDEX('Control Room'!$B$19:$H$19,1,WEEKDAY($A506,2))*(1+'Control Room'!$D$9)^504*'Process'!AJ506),2),"")</x:f>
      </x:c>
      <x:c r="J506" s="16" t="str">
        <x:f>IF(AND(AND(505&lt;='Control Room'!$B$3,'Control Room'!$D$3="Ready"),8&lt;='Control Room'!$B$2),ROUND(MAX(0,'Process'!AN506*'Control Room'!$H$11*INDEX('Control Room'!$B$19:$H$19,1,WEEKDAY($A506,2))*(1+'Control Room'!$D$9)^504*'Process'!AO506),2),"")</x:f>
      </x:c>
      <x:c r="K506" s="16" t="str">
        <x:f>IF(AND(AND(505&lt;='Control Room'!$B$3,'Control Room'!$D$3="Ready"),9&lt;='Control Room'!$B$2),ROUND(MAX(0,'Process'!AS506*'Control Room'!$H$12*INDEX('Control Room'!$B$19:$H$19,1,WEEKDAY($A506,2))*(1+'Control Room'!$D$9)^504*'Process'!AT506),2),"")</x:f>
      </x:c>
      <x:c r="L506" s="16" t="str">
        <x:f>IF(AND(AND(505&lt;='Control Room'!$B$3,'Control Room'!$D$3="Ready"),10&lt;='Control Room'!$B$2),ROUND(MAX(0,'Process'!AX506*'Control Room'!$H$13*INDEX('Control Room'!$B$19:$H$19,1,WEEKDAY($A506,2))*(1+'Control Room'!$D$9)^504*'Process'!AY506),2),"")</x:f>
      </x:c>
      <x:c r="M506" s="16" t="str">
        <x:f>IF(AND(AND(505&lt;='Control Room'!$B$3,'Control Room'!$D$3="Ready"),11&lt;='Control Room'!$B$2),ROUND(MAX(0,'Process'!BC506*'Control Room'!$H$14*INDEX('Control Room'!$B$19:$H$19,1,WEEKDAY($A506,2))*(1+'Control Room'!$D$9)^504*'Process'!BD506),2),"")</x:f>
      </x:c>
      <x:c r="N506" s="16" t="str">
        <x:f>IF(AND(AND(505&lt;='Control Room'!$B$3,'Control Room'!$D$3="Ready"),12&lt;='Control Room'!$B$2),ROUND(MAX(0,'Process'!BH506*'Control Room'!$H$15*INDEX('Control Room'!$B$19:$H$19,1,WEEKDAY($A506,2))*(1+'Control Room'!$D$9)^504*'Process'!BI506),2),"")</x:f>
      </x:c>
    </x:row>
    <x:row r="507" ht="21" customHeight="1">
      <x:c r="A507" s="15" t="str">
        <x:f>IF(AND(506&lt;='Control Room'!$B$3,'Control Room'!$D$3="Ready"),'Process'!A507,"")</x:f>
      </x:c>
      <x:c r="B507" s="16" t="str">
        <x:f>IF(A507="","",SUM(C507:N507))</x:f>
      </x:c>
      <x:c r="C507" s="16" t="str">
        <x:f>IF(AND(AND(506&lt;='Control Room'!$B$3,'Control Room'!$D$3="Ready"),1&lt;='Control Room'!$B$2),ROUND(MAX(0,'Process'!E507*'Control Room'!$H$4*INDEX('Control Room'!$B$19:$H$19,1,WEEKDAY($A507,2))*(1+'Control Room'!$D$9)^505*'Process'!F507),2),"")</x:f>
      </x:c>
      <x:c r="D507" s="16" t="str">
        <x:f>IF(AND(AND(506&lt;='Control Room'!$B$3,'Control Room'!$D$3="Ready"),2&lt;='Control Room'!$B$2),ROUND(MAX(0,'Process'!J507*'Control Room'!$H$5*INDEX('Control Room'!$B$19:$H$19,1,WEEKDAY($A507,2))*(1+'Control Room'!$D$9)^505*'Process'!K507),2),"")</x:f>
      </x:c>
      <x:c r="E507" s="16" t="str">
        <x:f>IF(AND(AND(506&lt;='Control Room'!$B$3,'Control Room'!$D$3="Ready"),3&lt;='Control Room'!$B$2),ROUND(MAX(0,'Process'!O507*'Control Room'!$H$6*INDEX('Control Room'!$B$19:$H$19,1,WEEKDAY($A507,2))*(1+'Control Room'!$D$9)^505*'Process'!P507),2),"")</x:f>
      </x:c>
      <x:c r="F507" s="16" t="str">
        <x:f>IF(AND(AND(506&lt;='Control Room'!$B$3,'Control Room'!$D$3="Ready"),4&lt;='Control Room'!$B$2),ROUND(MAX(0,'Process'!T507*'Control Room'!$H$7*INDEX('Control Room'!$B$19:$H$19,1,WEEKDAY($A507,2))*(1+'Control Room'!$D$9)^505*'Process'!U507),2),"")</x:f>
      </x:c>
      <x:c r="G507" s="16" t="str">
        <x:f>IF(AND(AND(506&lt;='Control Room'!$B$3,'Control Room'!$D$3="Ready"),5&lt;='Control Room'!$B$2),ROUND(MAX(0,'Process'!Y507*'Control Room'!$H$8*INDEX('Control Room'!$B$19:$H$19,1,WEEKDAY($A507,2))*(1+'Control Room'!$D$9)^505*'Process'!Z507),2),"")</x:f>
      </x:c>
      <x:c r="H507" s="16" t="str">
        <x:f>IF(AND(AND(506&lt;='Control Room'!$B$3,'Control Room'!$D$3="Ready"),6&lt;='Control Room'!$B$2),ROUND(MAX(0,'Process'!AD507*'Control Room'!$H$9*INDEX('Control Room'!$B$19:$H$19,1,WEEKDAY($A507,2))*(1+'Control Room'!$D$9)^505*'Process'!AE507),2),"")</x:f>
      </x:c>
      <x:c r="I507" s="16" t="str">
        <x:f>IF(AND(AND(506&lt;='Control Room'!$B$3,'Control Room'!$D$3="Ready"),7&lt;='Control Room'!$B$2),ROUND(MAX(0,'Process'!AI507*'Control Room'!$H$10*INDEX('Control Room'!$B$19:$H$19,1,WEEKDAY($A507,2))*(1+'Control Room'!$D$9)^505*'Process'!AJ507),2),"")</x:f>
      </x:c>
      <x:c r="J507" s="16" t="str">
        <x:f>IF(AND(AND(506&lt;='Control Room'!$B$3,'Control Room'!$D$3="Ready"),8&lt;='Control Room'!$B$2),ROUND(MAX(0,'Process'!AN507*'Control Room'!$H$11*INDEX('Control Room'!$B$19:$H$19,1,WEEKDAY($A507,2))*(1+'Control Room'!$D$9)^505*'Process'!AO507),2),"")</x:f>
      </x:c>
      <x:c r="K507" s="16" t="str">
        <x:f>IF(AND(AND(506&lt;='Control Room'!$B$3,'Control Room'!$D$3="Ready"),9&lt;='Control Room'!$B$2),ROUND(MAX(0,'Process'!AS507*'Control Room'!$H$12*INDEX('Control Room'!$B$19:$H$19,1,WEEKDAY($A507,2))*(1+'Control Room'!$D$9)^505*'Process'!AT507),2),"")</x:f>
      </x:c>
      <x:c r="L507" s="16" t="str">
        <x:f>IF(AND(AND(506&lt;='Control Room'!$B$3,'Control Room'!$D$3="Ready"),10&lt;='Control Room'!$B$2),ROUND(MAX(0,'Process'!AX507*'Control Room'!$H$13*INDEX('Control Room'!$B$19:$H$19,1,WEEKDAY($A507,2))*(1+'Control Room'!$D$9)^505*'Process'!AY507),2),"")</x:f>
      </x:c>
      <x:c r="M507" s="16" t="str">
        <x:f>IF(AND(AND(506&lt;='Control Room'!$B$3,'Control Room'!$D$3="Ready"),11&lt;='Control Room'!$B$2),ROUND(MAX(0,'Process'!BC507*'Control Room'!$H$14*INDEX('Control Room'!$B$19:$H$19,1,WEEKDAY($A507,2))*(1+'Control Room'!$D$9)^505*'Process'!BD507),2),"")</x:f>
      </x:c>
      <x:c r="N507" s="16" t="str">
        <x:f>IF(AND(AND(506&lt;='Control Room'!$B$3,'Control Room'!$D$3="Ready"),12&lt;='Control Room'!$B$2),ROUND(MAX(0,'Process'!BH507*'Control Room'!$H$15*INDEX('Control Room'!$B$19:$H$19,1,WEEKDAY($A507,2))*(1+'Control Room'!$D$9)^505*'Process'!BI507),2),"")</x:f>
      </x:c>
    </x:row>
    <x:row r="508" ht="21" customHeight="1">
      <x:c r="A508" s="15" t="str">
        <x:f>IF(AND(507&lt;='Control Room'!$B$3,'Control Room'!$D$3="Ready"),'Process'!A508,"")</x:f>
      </x:c>
      <x:c r="B508" s="16" t="str">
        <x:f>IF(A508="","",SUM(C508:N508))</x:f>
      </x:c>
      <x:c r="C508" s="16" t="str">
        <x:f>IF(AND(AND(507&lt;='Control Room'!$B$3,'Control Room'!$D$3="Ready"),1&lt;='Control Room'!$B$2),ROUND(MAX(0,'Process'!E508*'Control Room'!$H$4*INDEX('Control Room'!$B$19:$H$19,1,WEEKDAY($A508,2))*(1+'Control Room'!$D$9)^506*'Process'!F508),2),"")</x:f>
      </x:c>
      <x:c r="D508" s="16" t="str">
        <x:f>IF(AND(AND(507&lt;='Control Room'!$B$3,'Control Room'!$D$3="Ready"),2&lt;='Control Room'!$B$2),ROUND(MAX(0,'Process'!J508*'Control Room'!$H$5*INDEX('Control Room'!$B$19:$H$19,1,WEEKDAY($A508,2))*(1+'Control Room'!$D$9)^506*'Process'!K508),2),"")</x:f>
      </x:c>
      <x:c r="E508" s="16" t="str">
        <x:f>IF(AND(AND(507&lt;='Control Room'!$B$3,'Control Room'!$D$3="Ready"),3&lt;='Control Room'!$B$2),ROUND(MAX(0,'Process'!O508*'Control Room'!$H$6*INDEX('Control Room'!$B$19:$H$19,1,WEEKDAY($A508,2))*(1+'Control Room'!$D$9)^506*'Process'!P508),2),"")</x:f>
      </x:c>
      <x:c r="F508" s="16" t="str">
        <x:f>IF(AND(AND(507&lt;='Control Room'!$B$3,'Control Room'!$D$3="Ready"),4&lt;='Control Room'!$B$2),ROUND(MAX(0,'Process'!T508*'Control Room'!$H$7*INDEX('Control Room'!$B$19:$H$19,1,WEEKDAY($A508,2))*(1+'Control Room'!$D$9)^506*'Process'!U508),2),"")</x:f>
      </x:c>
      <x:c r="G508" s="16" t="str">
        <x:f>IF(AND(AND(507&lt;='Control Room'!$B$3,'Control Room'!$D$3="Ready"),5&lt;='Control Room'!$B$2),ROUND(MAX(0,'Process'!Y508*'Control Room'!$H$8*INDEX('Control Room'!$B$19:$H$19,1,WEEKDAY($A508,2))*(1+'Control Room'!$D$9)^506*'Process'!Z508),2),"")</x:f>
      </x:c>
      <x:c r="H508" s="16" t="str">
        <x:f>IF(AND(AND(507&lt;='Control Room'!$B$3,'Control Room'!$D$3="Ready"),6&lt;='Control Room'!$B$2),ROUND(MAX(0,'Process'!AD508*'Control Room'!$H$9*INDEX('Control Room'!$B$19:$H$19,1,WEEKDAY($A508,2))*(1+'Control Room'!$D$9)^506*'Process'!AE508),2),"")</x:f>
      </x:c>
      <x:c r="I508" s="16" t="str">
        <x:f>IF(AND(AND(507&lt;='Control Room'!$B$3,'Control Room'!$D$3="Ready"),7&lt;='Control Room'!$B$2),ROUND(MAX(0,'Process'!AI508*'Control Room'!$H$10*INDEX('Control Room'!$B$19:$H$19,1,WEEKDAY($A508,2))*(1+'Control Room'!$D$9)^506*'Process'!AJ508),2),"")</x:f>
      </x:c>
      <x:c r="J508" s="16" t="str">
        <x:f>IF(AND(AND(507&lt;='Control Room'!$B$3,'Control Room'!$D$3="Ready"),8&lt;='Control Room'!$B$2),ROUND(MAX(0,'Process'!AN508*'Control Room'!$H$11*INDEX('Control Room'!$B$19:$H$19,1,WEEKDAY($A508,2))*(1+'Control Room'!$D$9)^506*'Process'!AO508),2),"")</x:f>
      </x:c>
      <x:c r="K508" s="16" t="str">
        <x:f>IF(AND(AND(507&lt;='Control Room'!$B$3,'Control Room'!$D$3="Ready"),9&lt;='Control Room'!$B$2),ROUND(MAX(0,'Process'!AS508*'Control Room'!$H$12*INDEX('Control Room'!$B$19:$H$19,1,WEEKDAY($A508,2))*(1+'Control Room'!$D$9)^506*'Process'!AT508),2),"")</x:f>
      </x:c>
      <x:c r="L508" s="16" t="str">
        <x:f>IF(AND(AND(507&lt;='Control Room'!$B$3,'Control Room'!$D$3="Ready"),10&lt;='Control Room'!$B$2),ROUND(MAX(0,'Process'!AX508*'Control Room'!$H$13*INDEX('Control Room'!$B$19:$H$19,1,WEEKDAY($A508,2))*(1+'Control Room'!$D$9)^506*'Process'!AY508),2),"")</x:f>
      </x:c>
      <x:c r="M508" s="16" t="str">
        <x:f>IF(AND(AND(507&lt;='Control Room'!$B$3,'Control Room'!$D$3="Ready"),11&lt;='Control Room'!$B$2),ROUND(MAX(0,'Process'!BC508*'Control Room'!$H$14*INDEX('Control Room'!$B$19:$H$19,1,WEEKDAY($A508,2))*(1+'Control Room'!$D$9)^506*'Process'!BD508),2),"")</x:f>
      </x:c>
      <x:c r="N508" s="16" t="str">
        <x:f>IF(AND(AND(507&lt;='Control Room'!$B$3,'Control Room'!$D$3="Ready"),12&lt;='Control Room'!$B$2),ROUND(MAX(0,'Process'!BH508*'Control Room'!$H$15*INDEX('Control Room'!$B$19:$H$19,1,WEEKDAY($A508,2))*(1+'Control Room'!$D$9)^506*'Process'!BI508),2),"")</x:f>
      </x:c>
    </x:row>
    <x:row r="509" ht="21" customHeight="1">
      <x:c r="A509" s="15" t="str">
        <x:f>IF(AND(508&lt;='Control Room'!$B$3,'Control Room'!$D$3="Ready"),'Process'!A509,"")</x:f>
      </x:c>
      <x:c r="B509" s="16" t="str">
        <x:f>IF(A509="","",SUM(C509:N509))</x:f>
      </x:c>
      <x:c r="C509" s="16" t="str">
        <x:f>IF(AND(AND(508&lt;='Control Room'!$B$3,'Control Room'!$D$3="Ready"),1&lt;='Control Room'!$B$2),ROUND(MAX(0,'Process'!E509*'Control Room'!$H$4*INDEX('Control Room'!$B$19:$H$19,1,WEEKDAY($A509,2))*(1+'Control Room'!$D$9)^507*'Process'!F509),2),"")</x:f>
      </x:c>
      <x:c r="D509" s="16" t="str">
        <x:f>IF(AND(AND(508&lt;='Control Room'!$B$3,'Control Room'!$D$3="Ready"),2&lt;='Control Room'!$B$2),ROUND(MAX(0,'Process'!J509*'Control Room'!$H$5*INDEX('Control Room'!$B$19:$H$19,1,WEEKDAY($A509,2))*(1+'Control Room'!$D$9)^507*'Process'!K509),2),"")</x:f>
      </x:c>
      <x:c r="E509" s="16" t="str">
        <x:f>IF(AND(AND(508&lt;='Control Room'!$B$3,'Control Room'!$D$3="Ready"),3&lt;='Control Room'!$B$2),ROUND(MAX(0,'Process'!O509*'Control Room'!$H$6*INDEX('Control Room'!$B$19:$H$19,1,WEEKDAY($A509,2))*(1+'Control Room'!$D$9)^507*'Process'!P509),2),"")</x:f>
      </x:c>
      <x:c r="F509" s="16" t="str">
        <x:f>IF(AND(AND(508&lt;='Control Room'!$B$3,'Control Room'!$D$3="Ready"),4&lt;='Control Room'!$B$2),ROUND(MAX(0,'Process'!T509*'Control Room'!$H$7*INDEX('Control Room'!$B$19:$H$19,1,WEEKDAY($A509,2))*(1+'Control Room'!$D$9)^507*'Process'!U509),2),"")</x:f>
      </x:c>
      <x:c r="G509" s="16" t="str">
        <x:f>IF(AND(AND(508&lt;='Control Room'!$B$3,'Control Room'!$D$3="Ready"),5&lt;='Control Room'!$B$2),ROUND(MAX(0,'Process'!Y509*'Control Room'!$H$8*INDEX('Control Room'!$B$19:$H$19,1,WEEKDAY($A509,2))*(1+'Control Room'!$D$9)^507*'Process'!Z509),2),"")</x:f>
      </x:c>
      <x:c r="H509" s="16" t="str">
        <x:f>IF(AND(AND(508&lt;='Control Room'!$B$3,'Control Room'!$D$3="Ready"),6&lt;='Control Room'!$B$2),ROUND(MAX(0,'Process'!AD509*'Control Room'!$H$9*INDEX('Control Room'!$B$19:$H$19,1,WEEKDAY($A509,2))*(1+'Control Room'!$D$9)^507*'Process'!AE509),2),"")</x:f>
      </x:c>
      <x:c r="I509" s="16" t="str">
        <x:f>IF(AND(AND(508&lt;='Control Room'!$B$3,'Control Room'!$D$3="Ready"),7&lt;='Control Room'!$B$2),ROUND(MAX(0,'Process'!AI509*'Control Room'!$H$10*INDEX('Control Room'!$B$19:$H$19,1,WEEKDAY($A509,2))*(1+'Control Room'!$D$9)^507*'Process'!AJ509),2),"")</x:f>
      </x:c>
      <x:c r="J509" s="16" t="str">
        <x:f>IF(AND(AND(508&lt;='Control Room'!$B$3,'Control Room'!$D$3="Ready"),8&lt;='Control Room'!$B$2),ROUND(MAX(0,'Process'!AN509*'Control Room'!$H$11*INDEX('Control Room'!$B$19:$H$19,1,WEEKDAY($A509,2))*(1+'Control Room'!$D$9)^507*'Process'!AO509),2),"")</x:f>
      </x:c>
      <x:c r="K509" s="16" t="str">
        <x:f>IF(AND(AND(508&lt;='Control Room'!$B$3,'Control Room'!$D$3="Ready"),9&lt;='Control Room'!$B$2),ROUND(MAX(0,'Process'!AS509*'Control Room'!$H$12*INDEX('Control Room'!$B$19:$H$19,1,WEEKDAY($A509,2))*(1+'Control Room'!$D$9)^507*'Process'!AT509),2),"")</x:f>
      </x:c>
      <x:c r="L509" s="16" t="str">
        <x:f>IF(AND(AND(508&lt;='Control Room'!$B$3,'Control Room'!$D$3="Ready"),10&lt;='Control Room'!$B$2),ROUND(MAX(0,'Process'!AX509*'Control Room'!$H$13*INDEX('Control Room'!$B$19:$H$19,1,WEEKDAY($A509,2))*(1+'Control Room'!$D$9)^507*'Process'!AY509),2),"")</x:f>
      </x:c>
      <x:c r="M509" s="16" t="str">
        <x:f>IF(AND(AND(508&lt;='Control Room'!$B$3,'Control Room'!$D$3="Ready"),11&lt;='Control Room'!$B$2),ROUND(MAX(0,'Process'!BC509*'Control Room'!$H$14*INDEX('Control Room'!$B$19:$H$19,1,WEEKDAY($A509,2))*(1+'Control Room'!$D$9)^507*'Process'!BD509),2),"")</x:f>
      </x:c>
      <x:c r="N509" s="16" t="str">
        <x:f>IF(AND(AND(508&lt;='Control Room'!$B$3,'Control Room'!$D$3="Ready"),12&lt;='Control Room'!$B$2),ROUND(MAX(0,'Process'!BH509*'Control Room'!$H$15*INDEX('Control Room'!$B$19:$H$19,1,WEEKDAY($A509,2))*(1+'Control Room'!$D$9)^507*'Process'!BI509),2),"")</x:f>
      </x:c>
    </x:row>
    <x:row r="510" ht="21" customHeight="1">
      <x:c r="A510" s="15" t="str">
        <x:f>IF(AND(509&lt;='Control Room'!$B$3,'Control Room'!$D$3="Ready"),'Process'!A510,"")</x:f>
      </x:c>
      <x:c r="B510" s="16" t="str">
        <x:f>IF(A510="","",SUM(C510:N510))</x:f>
      </x:c>
      <x:c r="C510" s="16" t="str">
        <x:f>IF(AND(AND(509&lt;='Control Room'!$B$3,'Control Room'!$D$3="Ready"),1&lt;='Control Room'!$B$2),ROUND(MAX(0,'Process'!E510*'Control Room'!$H$4*INDEX('Control Room'!$B$19:$H$19,1,WEEKDAY($A510,2))*(1+'Control Room'!$D$9)^508*'Process'!F510),2),"")</x:f>
      </x:c>
      <x:c r="D510" s="16" t="str">
        <x:f>IF(AND(AND(509&lt;='Control Room'!$B$3,'Control Room'!$D$3="Ready"),2&lt;='Control Room'!$B$2),ROUND(MAX(0,'Process'!J510*'Control Room'!$H$5*INDEX('Control Room'!$B$19:$H$19,1,WEEKDAY($A510,2))*(1+'Control Room'!$D$9)^508*'Process'!K510),2),"")</x:f>
      </x:c>
      <x:c r="E510" s="16" t="str">
        <x:f>IF(AND(AND(509&lt;='Control Room'!$B$3,'Control Room'!$D$3="Ready"),3&lt;='Control Room'!$B$2),ROUND(MAX(0,'Process'!O510*'Control Room'!$H$6*INDEX('Control Room'!$B$19:$H$19,1,WEEKDAY($A510,2))*(1+'Control Room'!$D$9)^508*'Process'!P510),2),"")</x:f>
      </x:c>
      <x:c r="F510" s="16" t="str">
        <x:f>IF(AND(AND(509&lt;='Control Room'!$B$3,'Control Room'!$D$3="Ready"),4&lt;='Control Room'!$B$2),ROUND(MAX(0,'Process'!T510*'Control Room'!$H$7*INDEX('Control Room'!$B$19:$H$19,1,WEEKDAY($A510,2))*(1+'Control Room'!$D$9)^508*'Process'!U510),2),"")</x:f>
      </x:c>
      <x:c r="G510" s="16" t="str">
        <x:f>IF(AND(AND(509&lt;='Control Room'!$B$3,'Control Room'!$D$3="Ready"),5&lt;='Control Room'!$B$2),ROUND(MAX(0,'Process'!Y510*'Control Room'!$H$8*INDEX('Control Room'!$B$19:$H$19,1,WEEKDAY($A510,2))*(1+'Control Room'!$D$9)^508*'Process'!Z510),2),"")</x:f>
      </x:c>
      <x:c r="H510" s="16" t="str">
        <x:f>IF(AND(AND(509&lt;='Control Room'!$B$3,'Control Room'!$D$3="Ready"),6&lt;='Control Room'!$B$2),ROUND(MAX(0,'Process'!AD510*'Control Room'!$H$9*INDEX('Control Room'!$B$19:$H$19,1,WEEKDAY($A510,2))*(1+'Control Room'!$D$9)^508*'Process'!AE510),2),"")</x:f>
      </x:c>
      <x:c r="I510" s="16" t="str">
        <x:f>IF(AND(AND(509&lt;='Control Room'!$B$3,'Control Room'!$D$3="Ready"),7&lt;='Control Room'!$B$2),ROUND(MAX(0,'Process'!AI510*'Control Room'!$H$10*INDEX('Control Room'!$B$19:$H$19,1,WEEKDAY($A510,2))*(1+'Control Room'!$D$9)^508*'Process'!AJ510),2),"")</x:f>
      </x:c>
      <x:c r="J510" s="16" t="str">
        <x:f>IF(AND(AND(509&lt;='Control Room'!$B$3,'Control Room'!$D$3="Ready"),8&lt;='Control Room'!$B$2),ROUND(MAX(0,'Process'!AN510*'Control Room'!$H$11*INDEX('Control Room'!$B$19:$H$19,1,WEEKDAY($A510,2))*(1+'Control Room'!$D$9)^508*'Process'!AO510),2),"")</x:f>
      </x:c>
      <x:c r="K510" s="16" t="str">
        <x:f>IF(AND(AND(509&lt;='Control Room'!$B$3,'Control Room'!$D$3="Ready"),9&lt;='Control Room'!$B$2),ROUND(MAX(0,'Process'!AS510*'Control Room'!$H$12*INDEX('Control Room'!$B$19:$H$19,1,WEEKDAY($A510,2))*(1+'Control Room'!$D$9)^508*'Process'!AT510),2),"")</x:f>
      </x:c>
      <x:c r="L510" s="16" t="str">
        <x:f>IF(AND(AND(509&lt;='Control Room'!$B$3,'Control Room'!$D$3="Ready"),10&lt;='Control Room'!$B$2),ROUND(MAX(0,'Process'!AX510*'Control Room'!$H$13*INDEX('Control Room'!$B$19:$H$19,1,WEEKDAY($A510,2))*(1+'Control Room'!$D$9)^508*'Process'!AY510),2),"")</x:f>
      </x:c>
      <x:c r="M510" s="16" t="str">
        <x:f>IF(AND(AND(509&lt;='Control Room'!$B$3,'Control Room'!$D$3="Ready"),11&lt;='Control Room'!$B$2),ROUND(MAX(0,'Process'!BC510*'Control Room'!$H$14*INDEX('Control Room'!$B$19:$H$19,1,WEEKDAY($A510,2))*(1+'Control Room'!$D$9)^508*'Process'!BD510),2),"")</x:f>
      </x:c>
      <x:c r="N510" s="16" t="str">
        <x:f>IF(AND(AND(509&lt;='Control Room'!$B$3,'Control Room'!$D$3="Ready"),12&lt;='Control Room'!$B$2),ROUND(MAX(0,'Process'!BH510*'Control Room'!$H$15*INDEX('Control Room'!$B$19:$H$19,1,WEEKDAY($A510,2))*(1+'Control Room'!$D$9)^508*'Process'!BI510),2),"")</x:f>
      </x:c>
    </x:row>
    <x:row r="511" ht="21" customHeight="1">
      <x:c r="A511" s="15" t="str">
        <x:f>IF(AND(510&lt;='Control Room'!$B$3,'Control Room'!$D$3="Ready"),'Process'!A511,"")</x:f>
      </x:c>
      <x:c r="B511" s="16" t="str">
        <x:f>IF(A511="","",SUM(C511:N511))</x:f>
      </x:c>
      <x:c r="C511" s="16" t="str">
        <x:f>IF(AND(AND(510&lt;='Control Room'!$B$3,'Control Room'!$D$3="Ready"),1&lt;='Control Room'!$B$2),ROUND(MAX(0,'Process'!E511*'Control Room'!$H$4*INDEX('Control Room'!$B$19:$H$19,1,WEEKDAY($A511,2))*(1+'Control Room'!$D$9)^509*'Process'!F511),2),"")</x:f>
      </x:c>
      <x:c r="D511" s="16" t="str">
        <x:f>IF(AND(AND(510&lt;='Control Room'!$B$3,'Control Room'!$D$3="Ready"),2&lt;='Control Room'!$B$2),ROUND(MAX(0,'Process'!J511*'Control Room'!$H$5*INDEX('Control Room'!$B$19:$H$19,1,WEEKDAY($A511,2))*(1+'Control Room'!$D$9)^509*'Process'!K511),2),"")</x:f>
      </x:c>
      <x:c r="E511" s="16" t="str">
        <x:f>IF(AND(AND(510&lt;='Control Room'!$B$3,'Control Room'!$D$3="Ready"),3&lt;='Control Room'!$B$2),ROUND(MAX(0,'Process'!O511*'Control Room'!$H$6*INDEX('Control Room'!$B$19:$H$19,1,WEEKDAY($A511,2))*(1+'Control Room'!$D$9)^509*'Process'!P511),2),"")</x:f>
      </x:c>
      <x:c r="F511" s="16" t="str">
        <x:f>IF(AND(AND(510&lt;='Control Room'!$B$3,'Control Room'!$D$3="Ready"),4&lt;='Control Room'!$B$2),ROUND(MAX(0,'Process'!T511*'Control Room'!$H$7*INDEX('Control Room'!$B$19:$H$19,1,WEEKDAY($A511,2))*(1+'Control Room'!$D$9)^509*'Process'!U511),2),"")</x:f>
      </x:c>
      <x:c r="G511" s="16" t="str">
        <x:f>IF(AND(AND(510&lt;='Control Room'!$B$3,'Control Room'!$D$3="Ready"),5&lt;='Control Room'!$B$2),ROUND(MAX(0,'Process'!Y511*'Control Room'!$H$8*INDEX('Control Room'!$B$19:$H$19,1,WEEKDAY($A511,2))*(1+'Control Room'!$D$9)^509*'Process'!Z511),2),"")</x:f>
      </x:c>
      <x:c r="H511" s="16" t="str">
        <x:f>IF(AND(AND(510&lt;='Control Room'!$B$3,'Control Room'!$D$3="Ready"),6&lt;='Control Room'!$B$2),ROUND(MAX(0,'Process'!AD511*'Control Room'!$H$9*INDEX('Control Room'!$B$19:$H$19,1,WEEKDAY($A511,2))*(1+'Control Room'!$D$9)^509*'Process'!AE511),2),"")</x:f>
      </x:c>
      <x:c r="I511" s="16" t="str">
        <x:f>IF(AND(AND(510&lt;='Control Room'!$B$3,'Control Room'!$D$3="Ready"),7&lt;='Control Room'!$B$2),ROUND(MAX(0,'Process'!AI511*'Control Room'!$H$10*INDEX('Control Room'!$B$19:$H$19,1,WEEKDAY($A511,2))*(1+'Control Room'!$D$9)^509*'Process'!AJ511),2),"")</x:f>
      </x:c>
      <x:c r="J511" s="16" t="str">
        <x:f>IF(AND(AND(510&lt;='Control Room'!$B$3,'Control Room'!$D$3="Ready"),8&lt;='Control Room'!$B$2),ROUND(MAX(0,'Process'!AN511*'Control Room'!$H$11*INDEX('Control Room'!$B$19:$H$19,1,WEEKDAY($A511,2))*(1+'Control Room'!$D$9)^509*'Process'!AO511),2),"")</x:f>
      </x:c>
      <x:c r="K511" s="16" t="str">
        <x:f>IF(AND(AND(510&lt;='Control Room'!$B$3,'Control Room'!$D$3="Ready"),9&lt;='Control Room'!$B$2),ROUND(MAX(0,'Process'!AS511*'Control Room'!$H$12*INDEX('Control Room'!$B$19:$H$19,1,WEEKDAY($A511,2))*(1+'Control Room'!$D$9)^509*'Process'!AT511),2),"")</x:f>
      </x:c>
      <x:c r="L511" s="16" t="str">
        <x:f>IF(AND(AND(510&lt;='Control Room'!$B$3,'Control Room'!$D$3="Ready"),10&lt;='Control Room'!$B$2),ROUND(MAX(0,'Process'!AX511*'Control Room'!$H$13*INDEX('Control Room'!$B$19:$H$19,1,WEEKDAY($A511,2))*(1+'Control Room'!$D$9)^509*'Process'!AY511),2),"")</x:f>
      </x:c>
      <x:c r="M511" s="16" t="str">
        <x:f>IF(AND(AND(510&lt;='Control Room'!$B$3,'Control Room'!$D$3="Ready"),11&lt;='Control Room'!$B$2),ROUND(MAX(0,'Process'!BC511*'Control Room'!$H$14*INDEX('Control Room'!$B$19:$H$19,1,WEEKDAY($A511,2))*(1+'Control Room'!$D$9)^509*'Process'!BD511),2),"")</x:f>
      </x:c>
      <x:c r="N511" s="16" t="str">
        <x:f>IF(AND(AND(510&lt;='Control Room'!$B$3,'Control Room'!$D$3="Ready"),12&lt;='Control Room'!$B$2),ROUND(MAX(0,'Process'!BH511*'Control Room'!$H$15*INDEX('Control Room'!$B$19:$H$19,1,WEEKDAY($A511,2))*(1+'Control Room'!$D$9)^509*'Process'!BI511),2),"")</x:f>
      </x:c>
    </x:row>
    <x:row r="512" ht="21" customHeight="1">
      <x:c r="A512" s="15" t="str">
        <x:f>IF(AND(511&lt;='Control Room'!$B$3,'Control Room'!$D$3="Ready"),'Process'!A512,"")</x:f>
      </x:c>
      <x:c r="B512" s="16" t="str">
        <x:f>IF(A512="","",SUM(C512:N512))</x:f>
      </x:c>
      <x:c r="C512" s="16" t="str">
        <x:f>IF(AND(AND(511&lt;='Control Room'!$B$3,'Control Room'!$D$3="Ready"),1&lt;='Control Room'!$B$2),ROUND(MAX(0,'Process'!E512*'Control Room'!$H$4*INDEX('Control Room'!$B$19:$H$19,1,WEEKDAY($A512,2))*(1+'Control Room'!$D$9)^510*'Process'!F512),2),"")</x:f>
      </x:c>
      <x:c r="D512" s="16" t="str">
        <x:f>IF(AND(AND(511&lt;='Control Room'!$B$3,'Control Room'!$D$3="Ready"),2&lt;='Control Room'!$B$2),ROUND(MAX(0,'Process'!J512*'Control Room'!$H$5*INDEX('Control Room'!$B$19:$H$19,1,WEEKDAY($A512,2))*(1+'Control Room'!$D$9)^510*'Process'!K512),2),"")</x:f>
      </x:c>
      <x:c r="E512" s="16" t="str">
        <x:f>IF(AND(AND(511&lt;='Control Room'!$B$3,'Control Room'!$D$3="Ready"),3&lt;='Control Room'!$B$2),ROUND(MAX(0,'Process'!O512*'Control Room'!$H$6*INDEX('Control Room'!$B$19:$H$19,1,WEEKDAY($A512,2))*(1+'Control Room'!$D$9)^510*'Process'!P512),2),"")</x:f>
      </x:c>
      <x:c r="F512" s="16" t="str">
        <x:f>IF(AND(AND(511&lt;='Control Room'!$B$3,'Control Room'!$D$3="Ready"),4&lt;='Control Room'!$B$2),ROUND(MAX(0,'Process'!T512*'Control Room'!$H$7*INDEX('Control Room'!$B$19:$H$19,1,WEEKDAY($A512,2))*(1+'Control Room'!$D$9)^510*'Process'!U512),2),"")</x:f>
      </x:c>
      <x:c r="G512" s="16" t="str">
        <x:f>IF(AND(AND(511&lt;='Control Room'!$B$3,'Control Room'!$D$3="Ready"),5&lt;='Control Room'!$B$2),ROUND(MAX(0,'Process'!Y512*'Control Room'!$H$8*INDEX('Control Room'!$B$19:$H$19,1,WEEKDAY($A512,2))*(1+'Control Room'!$D$9)^510*'Process'!Z512),2),"")</x:f>
      </x:c>
      <x:c r="H512" s="16" t="str">
        <x:f>IF(AND(AND(511&lt;='Control Room'!$B$3,'Control Room'!$D$3="Ready"),6&lt;='Control Room'!$B$2),ROUND(MAX(0,'Process'!AD512*'Control Room'!$H$9*INDEX('Control Room'!$B$19:$H$19,1,WEEKDAY($A512,2))*(1+'Control Room'!$D$9)^510*'Process'!AE512),2),"")</x:f>
      </x:c>
      <x:c r="I512" s="16" t="str">
        <x:f>IF(AND(AND(511&lt;='Control Room'!$B$3,'Control Room'!$D$3="Ready"),7&lt;='Control Room'!$B$2),ROUND(MAX(0,'Process'!AI512*'Control Room'!$H$10*INDEX('Control Room'!$B$19:$H$19,1,WEEKDAY($A512,2))*(1+'Control Room'!$D$9)^510*'Process'!AJ512),2),"")</x:f>
      </x:c>
      <x:c r="J512" s="16" t="str">
        <x:f>IF(AND(AND(511&lt;='Control Room'!$B$3,'Control Room'!$D$3="Ready"),8&lt;='Control Room'!$B$2),ROUND(MAX(0,'Process'!AN512*'Control Room'!$H$11*INDEX('Control Room'!$B$19:$H$19,1,WEEKDAY($A512,2))*(1+'Control Room'!$D$9)^510*'Process'!AO512),2),"")</x:f>
      </x:c>
      <x:c r="K512" s="16" t="str">
        <x:f>IF(AND(AND(511&lt;='Control Room'!$B$3,'Control Room'!$D$3="Ready"),9&lt;='Control Room'!$B$2),ROUND(MAX(0,'Process'!AS512*'Control Room'!$H$12*INDEX('Control Room'!$B$19:$H$19,1,WEEKDAY($A512,2))*(1+'Control Room'!$D$9)^510*'Process'!AT512),2),"")</x:f>
      </x:c>
      <x:c r="L512" s="16" t="str">
        <x:f>IF(AND(AND(511&lt;='Control Room'!$B$3,'Control Room'!$D$3="Ready"),10&lt;='Control Room'!$B$2),ROUND(MAX(0,'Process'!AX512*'Control Room'!$H$13*INDEX('Control Room'!$B$19:$H$19,1,WEEKDAY($A512,2))*(1+'Control Room'!$D$9)^510*'Process'!AY512),2),"")</x:f>
      </x:c>
      <x:c r="M512" s="16" t="str">
        <x:f>IF(AND(AND(511&lt;='Control Room'!$B$3,'Control Room'!$D$3="Ready"),11&lt;='Control Room'!$B$2),ROUND(MAX(0,'Process'!BC512*'Control Room'!$H$14*INDEX('Control Room'!$B$19:$H$19,1,WEEKDAY($A512,2))*(1+'Control Room'!$D$9)^510*'Process'!BD512),2),"")</x:f>
      </x:c>
      <x:c r="N512" s="16" t="str">
        <x:f>IF(AND(AND(511&lt;='Control Room'!$B$3,'Control Room'!$D$3="Ready"),12&lt;='Control Room'!$B$2),ROUND(MAX(0,'Process'!BH512*'Control Room'!$H$15*INDEX('Control Room'!$B$19:$H$19,1,WEEKDAY($A512,2))*(1+'Control Room'!$D$9)^510*'Process'!BI512),2),"")</x:f>
      </x:c>
    </x:row>
    <x:row r="513" ht="21" customHeight="1">
      <x:c r="A513" s="15" t="str">
        <x:f>IF(AND(512&lt;='Control Room'!$B$3,'Control Room'!$D$3="Ready"),'Process'!A513,"")</x:f>
      </x:c>
      <x:c r="B513" s="16" t="str">
        <x:f>IF(A513="","",SUM(C513:N513))</x:f>
      </x:c>
      <x:c r="C513" s="16" t="str">
        <x:f>IF(AND(AND(512&lt;='Control Room'!$B$3,'Control Room'!$D$3="Ready"),1&lt;='Control Room'!$B$2),ROUND(MAX(0,'Process'!E513*'Control Room'!$H$4*INDEX('Control Room'!$B$19:$H$19,1,WEEKDAY($A513,2))*(1+'Control Room'!$D$9)^511*'Process'!F513),2),"")</x:f>
      </x:c>
      <x:c r="D513" s="16" t="str">
        <x:f>IF(AND(AND(512&lt;='Control Room'!$B$3,'Control Room'!$D$3="Ready"),2&lt;='Control Room'!$B$2),ROUND(MAX(0,'Process'!J513*'Control Room'!$H$5*INDEX('Control Room'!$B$19:$H$19,1,WEEKDAY($A513,2))*(1+'Control Room'!$D$9)^511*'Process'!K513),2),"")</x:f>
      </x:c>
      <x:c r="E513" s="16" t="str">
        <x:f>IF(AND(AND(512&lt;='Control Room'!$B$3,'Control Room'!$D$3="Ready"),3&lt;='Control Room'!$B$2),ROUND(MAX(0,'Process'!O513*'Control Room'!$H$6*INDEX('Control Room'!$B$19:$H$19,1,WEEKDAY($A513,2))*(1+'Control Room'!$D$9)^511*'Process'!P513),2),"")</x:f>
      </x:c>
      <x:c r="F513" s="16" t="str">
        <x:f>IF(AND(AND(512&lt;='Control Room'!$B$3,'Control Room'!$D$3="Ready"),4&lt;='Control Room'!$B$2),ROUND(MAX(0,'Process'!T513*'Control Room'!$H$7*INDEX('Control Room'!$B$19:$H$19,1,WEEKDAY($A513,2))*(1+'Control Room'!$D$9)^511*'Process'!U513),2),"")</x:f>
      </x:c>
      <x:c r="G513" s="16" t="str">
        <x:f>IF(AND(AND(512&lt;='Control Room'!$B$3,'Control Room'!$D$3="Ready"),5&lt;='Control Room'!$B$2),ROUND(MAX(0,'Process'!Y513*'Control Room'!$H$8*INDEX('Control Room'!$B$19:$H$19,1,WEEKDAY($A513,2))*(1+'Control Room'!$D$9)^511*'Process'!Z513),2),"")</x:f>
      </x:c>
      <x:c r="H513" s="16" t="str">
        <x:f>IF(AND(AND(512&lt;='Control Room'!$B$3,'Control Room'!$D$3="Ready"),6&lt;='Control Room'!$B$2),ROUND(MAX(0,'Process'!AD513*'Control Room'!$H$9*INDEX('Control Room'!$B$19:$H$19,1,WEEKDAY($A513,2))*(1+'Control Room'!$D$9)^511*'Process'!AE513),2),"")</x:f>
      </x:c>
      <x:c r="I513" s="16" t="str">
        <x:f>IF(AND(AND(512&lt;='Control Room'!$B$3,'Control Room'!$D$3="Ready"),7&lt;='Control Room'!$B$2),ROUND(MAX(0,'Process'!AI513*'Control Room'!$H$10*INDEX('Control Room'!$B$19:$H$19,1,WEEKDAY($A513,2))*(1+'Control Room'!$D$9)^511*'Process'!AJ513),2),"")</x:f>
      </x:c>
      <x:c r="J513" s="16" t="str">
        <x:f>IF(AND(AND(512&lt;='Control Room'!$B$3,'Control Room'!$D$3="Ready"),8&lt;='Control Room'!$B$2),ROUND(MAX(0,'Process'!AN513*'Control Room'!$H$11*INDEX('Control Room'!$B$19:$H$19,1,WEEKDAY($A513,2))*(1+'Control Room'!$D$9)^511*'Process'!AO513),2),"")</x:f>
      </x:c>
      <x:c r="K513" s="16" t="str">
        <x:f>IF(AND(AND(512&lt;='Control Room'!$B$3,'Control Room'!$D$3="Ready"),9&lt;='Control Room'!$B$2),ROUND(MAX(0,'Process'!AS513*'Control Room'!$H$12*INDEX('Control Room'!$B$19:$H$19,1,WEEKDAY($A513,2))*(1+'Control Room'!$D$9)^511*'Process'!AT513),2),"")</x:f>
      </x:c>
      <x:c r="L513" s="16" t="str">
        <x:f>IF(AND(AND(512&lt;='Control Room'!$B$3,'Control Room'!$D$3="Ready"),10&lt;='Control Room'!$B$2),ROUND(MAX(0,'Process'!AX513*'Control Room'!$H$13*INDEX('Control Room'!$B$19:$H$19,1,WEEKDAY($A513,2))*(1+'Control Room'!$D$9)^511*'Process'!AY513),2),"")</x:f>
      </x:c>
      <x:c r="M513" s="16" t="str">
        <x:f>IF(AND(AND(512&lt;='Control Room'!$B$3,'Control Room'!$D$3="Ready"),11&lt;='Control Room'!$B$2),ROUND(MAX(0,'Process'!BC513*'Control Room'!$H$14*INDEX('Control Room'!$B$19:$H$19,1,WEEKDAY($A513,2))*(1+'Control Room'!$D$9)^511*'Process'!BD513),2),"")</x:f>
      </x:c>
      <x:c r="N513" s="16" t="str">
        <x:f>IF(AND(AND(512&lt;='Control Room'!$B$3,'Control Room'!$D$3="Ready"),12&lt;='Control Room'!$B$2),ROUND(MAX(0,'Process'!BH513*'Control Room'!$H$15*INDEX('Control Room'!$B$19:$H$19,1,WEEKDAY($A513,2))*(1+'Control Room'!$D$9)^511*'Process'!BI513),2),"")</x:f>
      </x:c>
    </x:row>
    <x:row r="514" ht="21" customHeight="1">
      <x:c r="A514" s="15" t="str">
        <x:f>IF(AND(513&lt;='Control Room'!$B$3,'Control Room'!$D$3="Ready"),'Process'!A514,"")</x:f>
      </x:c>
      <x:c r="B514" s="16" t="str">
        <x:f>IF(A514="","",SUM(C514:N514))</x:f>
      </x:c>
      <x:c r="C514" s="16" t="str">
        <x:f>IF(AND(AND(513&lt;='Control Room'!$B$3,'Control Room'!$D$3="Ready"),1&lt;='Control Room'!$B$2),ROUND(MAX(0,'Process'!E514*'Control Room'!$H$4*INDEX('Control Room'!$B$19:$H$19,1,WEEKDAY($A514,2))*(1+'Control Room'!$D$9)^512*'Process'!F514),2),"")</x:f>
      </x:c>
      <x:c r="D514" s="16" t="str">
        <x:f>IF(AND(AND(513&lt;='Control Room'!$B$3,'Control Room'!$D$3="Ready"),2&lt;='Control Room'!$B$2),ROUND(MAX(0,'Process'!J514*'Control Room'!$H$5*INDEX('Control Room'!$B$19:$H$19,1,WEEKDAY($A514,2))*(1+'Control Room'!$D$9)^512*'Process'!K514),2),"")</x:f>
      </x:c>
      <x:c r="E514" s="16" t="str">
        <x:f>IF(AND(AND(513&lt;='Control Room'!$B$3,'Control Room'!$D$3="Ready"),3&lt;='Control Room'!$B$2),ROUND(MAX(0,'Process'!O514*'Control Room'!$H$6*INDEX('Control Room'!$B$19:$H$19,1,WEEKDAY($A514,2))*(1+'Control Room'!$D$9)^512*'Process'!P514),2),"")</x:f>
      </x:c>
      <x:c r="F514" s="16" t="str">
        <x:f>IF(AND(AND(513&lt;='Control Room'!$B$3,'Control Room'!$D$3="Ready"),4&lt;='Control Room'!$B$2),ROUND(MAX(0,'Process'!T514*'Control Room'!$H$7*INDEX('Control Room'!$B$19:$H$19,1,WEEKDAY($A514,2))*(1+'Control Room'!$D$9)^512*'Process'!U514),2),"")</x:f>
      </x:c>
      <x:c r="G514" s="16" t="str">
        <x:f>IF(AND(AND(513&lt;='Control Room'!$B$3,'Control Room'!$D$3="Ready"),5&lt;='Control Room'!$B$2),ROUND(MAX(0,'Process'!Y514*'Control Room'!$H$8*INDEX('Control Room'!$B$19:$H$19,1,WEEKDAY($A514,2))*(1+'Control Room'!$D$9)^512*'Process'!Z514),2),"")</x:f>
      </x:c>
      <x:c r="H514" s="16" t="str">
        <x:f>IF(AND(AND(513&lt;='Control Room'!$B$3,'Control Room'!$D$3="Ready"),6&lt;='Control Room'!$B$2),ROUND(MAX(0,'Process'!AD514*'Control Room'!$H$9*INDEX('Control Room'!$B$19:$H$19,1,WEEKDAY($A514,2))*(1+'Control Room'!$D$9)^512*'Process'!AE514),2),"")</x:f>
      </x:c>
      <x:c r="I514" s="16" t="str">
        <x:f>IF(AND(AND(513&lt;='Control Room'!$B$3,'Control Room'!$D$3="Ready"),7&lt;='Control Room'!$B$2),ROUND(MAX(0,'Process'!AI514*'Control Room'!$H$10*INDEX('Control Room'!$B$19:$H$19,1,WEEKDAY($A514,2))*(1+'Control Room'!$D$9)^512*'Process'!AJ514),2),"")</x:f>
      </x:c>
      <x:c r="J514" s="16" t="str">
        <x:f>IF(AND(AND(513&lt;='Control Room'!$B$3,'Control Room'!$D$3="Ready"),8&lt;='Control Room'!$B$2),ROUND(MAX(0,'Process'!AN514*'Control Room'!$H$11*INDEX('Control Room'!$B$19:$H$19,1,WEEKDAY($A514,2))*(1+'Control Room'!$D$9)^512*'Process'!AO514),2),"")</x:f>
      </x:c>
      <x:c r="K514" s="16" t="str">
        <x:f>IF(AND(AND(513&lt;='Control Room'!$B$3,'Control Room'!$D$3="Ready"),9&lt;='Control Room'!$B$2),ROUND(MAX(0,'Process'!AS514*'Control Room'!$H$12*INDEX('Control Room'!$B$19:$H$19,1,WEEKDAY($A514,2))*(1+'Control Room'!$D$9)^512*'Process'!AT514),2),"")</x:f>
      </x:c>
      <x:c r="L514" s="16" t="str">
        <x:f>IF(AND(AND(513&lt;='Control Room'!$B$3,'Control Room'!$D$3="Ready"),10&lt;='Control Room'!$B$2),ROUND(MAX(0,'Process'!AX514*'Control Room'!$H$13*INDEX('Control Room'!$B$19:$H$19,1,WEEKDAY($A514,2))*(1+'Control Room'!$D$9)^512*'Process'!AY514),2),"")</x:f>
      </x:c>
      <x:c r="M514" s="16" t="str">
        <x:f>IF(AND(AND(513&lt;='Control Room'!$B$3,'Control Room'!$D$3="Ready"),11&lt;='Control Room'!$B$2),ROUND(MAX(0,'Process'!BC514*'Control Room'!$H$14*INDEX('Control Room'!$B$19:$H$19,1,WEEKDAY($A514,2))*(1+'Control Room'!$D$9)^512*'Process'!BD514),2),"")</x:f>
      </x:c>
      <x:c r="N514" s="16" t="str">
        <x:f>IF(AND(AND(513&lt;='Control Room'!$B$3,'Control Room'!$D$3="Ready"),12&lt;='Control Room'!$B$2),ROUND(MAX(0,'Process'!BH514*'Control Room'!$H$15*INDEX('Control Room'!$B$19:$H$19,1,WEEKDAY($A514,2))*(1+'Control Room'!$D$9)^512*'Process'!BI514),2),"")</x:f>
      </x:c>
    </x:row>
    <x:row r="515" ht="21" customHeight="1">
      <x:c r="A515" s="15" t="str">
        <x:f>IF(AND(514&lt;='Control Room'!$B$3,'Control Room'!$D$3="Ready"),'Process'!A515,"")</x:f>
      </x:c>
      <x:c r="B515" s="16" t="str">
        <x:f>IF(A515="","",SUM(C515:N515))</x:f>
      </x:c>
      <x:c r="C515" s="16" t="str">
        <x:f>IF(AND(AND(514&lt;='Control Room'!$B$3,'Control Room'!$D$3="Ready"),1&lt;='Control Room'!$B$2),ROUND(MAX(0,'Process'!E515*'Control Room'!$H$4*INDEX('Control Room'!$B$19:$H$19,1,WEEKDAY($A515,2))*(1+'Control Room'!$D$9)^513*'Process'!F515),2),"")</x:f>
      </x:c>
      <x:c r="D515" s="16" t="str">
        <x:f>IF(AND(AND(514&lt;='Control Room'!$B$3,'Control Room'!$D$3="Ready"),2&lt;='Control Room'!$B$2),ROUND(MAX(0,'Process'!J515*'Control Room'!$H$5*INDEX('Control Room'!$B$19:$H$19,1,WEEKDAY($A515,2))*(1+'Control Room'!$D$9)^513*'Process'!K515),2),"")</x:f>
      </x:c>
      <x:c r="E515" s="16" t="str">
        <x:f>IF(AND(AND(514&lt;='Control Room'!$B$3,'Control Room'!$D$3="Ready"),3&lt;='Control Room'!$B$2),ROUND(MAX(0,'Process'!O515*'Control Room'!$H$6*INDEX('Control Room'!$B$19:$H$19,1,WEEKDAY($A515,2))*(1+'Control Room'!$D$9)^513*'Process'!P515),2),"")</x:f>
      </x:c>
      <x:c r="F515" s="16" t="str">
        <x:f>IF(AND(AND(514&lt;='Control Room'!$B$3,'Control Room'!$D$3="Ready"),4&lt;='Control Room'!$B$2),ROUND(MAX(0,'Process'!T515*'Control Room'!$H$7*INDEX('Control Room'!$B$19:$H$19,1,WEEKDAY($A515,2))*(1+'Control Room'!$D$9)^513*'Process'!U515),2),"")</x:f>
      </x:c>
      <x:c r="G515" s="16" t="str">
        <x:f>IF(AND(AND(514&lt;='Control Room'!$B$3,'Control Room'!$D$3="Ready"),5&lt;='Control Room'!$B$2),ROUND(MAX(0,'Process'!Y515*'Control Room'!$H$8*INDEX('Control Room'!$B$19:$H$19,1,WEEKDAY($A515,2))*(1+'Control Room'!$D$9)^513*'Process'!Z515),2),"")</x:f>
      </x:c>
      <x:c r="H515" s="16" t="str">
        <x:f>IF(AND(AND(514&lt;='Control Room'!$B$3,'Control Room'!$D$3="Ready"),6&lt;='Control Room'!$B$2),ROUND(MAX(0,'Process'!AD515*'Control Room'!$H$9*INDEX('Control Room'!$B$19:$H$19,1,WEEKDAY($A515,2))*(1+'Control Room'!$D$9)^513*'Process'!AE515),2),"")</x:f>
      </x:c>
      <x:c r="I515" s="16" t="str">
        <x:f>IF(AND(AND(514&lt;='Control Room'!$B$3,'Control Room'!$D$3="Ready"),7&lt;='Control Room'!$B$2),ROUND(MAX(0,'Process'!AI515*'Control Room'!$H$10*INDEX('Control Room'!$B$19:$H$19,1,WEEKDAY($A515,2))*(1+'Control Room'!$D$9)^513*'Process'!AJ515),2),"")</x:f>
      </x:c>
      <x:c r="J515" s="16" t="str">
        <x:f>IF(AND(AND(514&lt;='Control Room'!$B$3,'Control Room'!$D$3="Ready"),8&lt;='Control Room'!$B$2),ROUND(MAX(0,'Process'!AN515*'Control Room'!$H$11*INDEX('Control Room'!$B$19:$H$19,1,WEEKDAY($A515,2))*(1+'Control Room'!$D$9)^513*'Process'!AO515),2),"")</x:f>
      </x:c>
      <x:c r="K515" s="16" t="str">
        <x:f>IF(AND(AND(514&lt;='Control Room'!$B$3,'Control Room'!$D$3="Ready"),9&lt;='Control Room'!$B$2),ROUND(MAX(0,'Process'!AS515*'Control Room'!$H$12*INDEX('Control Room'!$B$19:$H$19,1,WEEKDAY($A515,2))*(1+'Control Room'!$D$9)^513*'Process'!AT515),2),"")</x:f>
      </x:c>
      <x:c r="L515" s="16" t="str">
        <x:f>IF(AND(AND(514&lt;='Control Room'!$B$3,'Control Room'!$D$3="Ready"),10&lt;='Control Room'!$B$2),ROUND(MAX(0,'Process'!AX515*'Control Room'!$H$13*INDEX('Control Room'!$B$19:$H$19,1,WEEKDAY($A515,2))*(1+'Control Room'!$D$9)^513*'Process'!AY515),2),"")</x:f>
      </x:c>
      <x:c r="M515" s="16" t="str">
        <x:f>IF(AND(AND(514&lt;='Control Room'!$B$3,'Control Room'!$D$3="Ready"),11&lt;='Control Room'!$B$2),ROUND(MAX(0,'Process'!BC515*'Control Room'!$H$14*INDEX('Control Room'!$B$19:$H$19,1,WEEKDAY($A515,2))*(1+'Control Room'!$D$9)^513*'Process'!BD515),2),"")</x:f>
      </x:c>
      <x:c r="N515" s="16" t="str">
        <x:f>IF(AND(AND(514&lt;='Control Room'!$B$3,'Control Room'!$D$3="Ready"),12&lt;='Control Room'!$B$2),ROUND(MAX(0,'Process'!BH515*'Control Room'!$H$15*INDEX('Control Room'!$B$19:$H$19,1,WEEKDAY($A515,2))*(1+'Control Room'!$D$9)^513*'Process'!BI515),2),"")</x:f>
      </x:c>
    </x:row>
    <x:row r="516" ht="21" customHeight="1">
      <x:c r="A516" s="15" t="str">
        <x:f>IF(AND(515&lt;='Control Room'!$B$3,'Control Room'!$D$3="Ready"),'Process'!A516,"")</x:f>
      </x:c>
      <x:c r="B516" s="16" t="str">
        <x:f>IF(A516="","",SUM(C516:N516))</x:f>
      </x:c>
      <x:c r="C516" s="16" t="str">
        <x:f>IF(AND(AND(515&lt;='Control Room'!$B$3,'Control Room'!$D$3="Ready"),1&lt;='Control Room'!$B$2),ROUND(MAX(0,'Process'!E516*'Control Room'!$H$4*INDEX('Control Room'!$B$19:$H$19,1,WEEKDAY($A516,2))*(1+'Control Room'!$D$9)^514*'Process'!F516),2),"")</x:f>
      </x:c>
      <x:c r="D516" s="16" t="str">
        <x:f>IF(AND(AND(515&lt;='Control Room'!$B$3,'Control Room'!$D$3="Ready"),2&lt;='Control Room'!$B$2),ROUND(MAX(0,'Process'!J516*'Control Room'!$H$5*INDEX('Control Room'!$B$19:$H$19,1,WEEKDAY($A516,2))*(1+'Control Room'!$D$9)^514*'Process'!K516),2),"")</x:f>
      </x:c>
      <x:c r="E516" s="16" t="str">
        <x:f>IF(AND(AND(515&lt;='Control Room'!$B$3,'Control Room'!$D$3="Ready"),3&lt;='Control Room'!$B$2),ROUND(MAX(0,'Process'!O516*'Control Room'!$H$6*INDEX('Control Room'!$B$19:$H$19,1,WEEKDAY($A516,2))*(1+'Control Room'!$D$9)^514*'Process'!P516),2),"")</x:f>
      </x:c>
      <x:c r="F516" s="16" t="str">
        <x:f>IF(AND(AND(515&lt;='Control Room'!$B$3,'Control Room'!$D$3="Ready"),4&lt;='Control Room'!$B$2),ROUND(MAX(0,'Process'!T516*'Control Room'!$H$7*INDEX('Control Room'!$B$19:$H$19,1,WEEKDAY($A516,2))*(1+'Control Room'!$D$9)^514*'Process'!U516),2),"")</x:f>
      </x:c>
      <x:c r="G516" s="16" t="str">
        <x:f>IF(AND(AND(515&lt;='Control Room'!$B$3,'Control Room'!$D$3="Ready"),5&lt;='Control Room'!$B$2),ROUND(MAX(0,'Process'!Y516*'Control Room'!$H$8*INDEX('Control Room'!$B$19:$H$19,1,WEEKDAY($A516,2))*(1+'Control Room'!$D$9)^514*'Process'!Z516),2),"")</x:f>
      </x:c>
      <x:c r="H516" s="16" t="str">
        <x:f>IF(AND(AND(515&lt;='Control Room'!$B$3,'Control Room'!$D$3="Ready"),6&lt;='Control Room'!$B$2),ROUND(MAX(0,'Process'!AD516*'Control Room'!$H$9*INDEX('Control Room'!$B$19:$H$19,1,WEEKDAY($A516,2))*(1+'Control Room'!$D$9)^514*'Process'!AE516),2),"")</x:f>
      </x:c>
      <x:c r="I516" s="16" t="str">
        <x:f>IF(AND(AND(515&lt;='Control Room'!$B$3,'Control Room'!$D$3="Ready"),7&lt;='Control Room'!$B$2),ROUND(MAX(0,'Process'!AI516*'Control Room'!$H$10*INDEX('Control Room'!$B$19:$H$19,1,WEEKDAY($A516,2))*(1+'Control Room'!$D$9)^514*'Process'!AJ516),2),"")</x:f>
      </x:c>
      <x:c r="J516" s="16" t="str">
        <x:f>IF(AND(AND(515&lt;='Control Room'!$B$3,'Control Room'!$D$3="Ready"),8&lt;='Control Room'!$B$2),ROUND(MAX(0,'Process'!AN516*'Control Room'!$H$11*INDEX('Control Room'!$B$19:$H$19,1,WEEKDAY($A516,2))*(1+'Control Room'!$D$9)^514*'Process'!AO516),2),"")</x:f>
      </x:c>
      <x:c r="K516" s="16" t="str">
        <x:f>IF(AND(AND(515&lt;='Control Room'!$B$3,'Control Room'!$D$3="Ready"),9&lt;='Control Room'!$B$2),ROUND(MAX(0,'Process'!AS516*'Control Room'!$H$12*INDEX('Control Room'!$B$19:$H$19,1,WEEKDAY($A516,2))*(1+'Control Room'!$D$9)^514*'Process'!AT516),2),"")</x:f>
      </x:c>
      <x:c r="L516" s="16" t="str">
        <x:f>IF(AND(AND(515&lt;='Control Room'!$B$3,'Control Room'!$D$3="Ready"),10&lt;='Control Room'!$B$2),ROUND(MAX(0,'Process'!AX516*'Control Room'!$H$13*INDEX('Control Room'!$B$19:$H$19,1,WEEKDAY($A516,2))*(1+'Control Room'!$D$9)^514*'Process'!AY516),2),"")</x:f>
      </x:c>
      <x:c r="M516" s="16" t="str">
        <x:f>IF(AND(AND(515&lt;='Control Room'!$B$3,'Control Room'!$D$3="Ready"),11&lt;='Control Room'!$B$2),ROUND(MAX(0,'Process'!BC516*'Control Room'!$H$14*INDEX('Control Room'!$B$19:$H$19,1,WEEKDAY($A516,2))*(1+'Control Room'!$D$9)^514*'Process'!BD516),2),"")</x:f>
      </x:c>
      <x:c r="N516" s="16" t="str">
        <x:f>IF(AND(AND(515&lt;='Control Room'!$B$3,'Control Room'!$D$3="Ready"),12&lt;='Control Room'!$B$2),ROUND(MAX(0,'Process'!BH516*'Control Room'!$H$15*INDEX('Control Room'!$B$19:$H$19,1,WEEKDAY($A516,2))*(1+'Control Room'!$D$9)^514*'Process'!BI516),2),"")</x:f>
      </x:c>
    </x:row>
    <x:row r="517" ht="21" customHeight="1">
      <x:c r="A517" s="15" t="str">
        <x:f>IF(AND(516&lt;='Control Room'!$B$3,'Control Room'!$D$3="Ready"),'Process'!A517,"")</x:f>
      </x:c>
      <x:c r="B517" s="16" t="str">
        <x:f>IF(A517="","",SUM(C517:N517))</x:f>
      </x:c>
      <x:c r="C517" s="16" t="str">
        <x:f>IF(AND(AND(516&lt;='Control Room'!$B$3,'Control Room'!$D$3="Ready"),1&lt;='Control Room'!$B$2),ROUND(MAX(0,'Process'!E517*'Control Room'!$H$4*INDEX('Control Room'!$B$19:$H$19,1,WEEKDAY($A517,2))*(1+'Control Room'!$D$9)^515*'Process'!F517),2),"")</x:f>
      </x:c>
      <x:c r="D517" s="16" t="str">
        <x:f>IF(AND(AND(516&lt;='Control Room'!$B$3,'Control Room'!$D$3="Ready"),2&lt;='Control Room'!$B$2),ROUND(MAX(0,'Process'!J517*'Control Room'!$H$5*INDEX('Control Room'!$B$19:$H$19,1,WEEKDAY($A517,2))*(1+'Control Room'!$D$9)^515*'Process'!K517),2),"")</x:f>
      </x:c>
      <x:c r="E517" s="16" t="str">
        <x:f>IF(AND(AND(516&lt;='Control Room'!$B$3,'Control Room'!$D$3="Ready"),3&lt;='Control Room'!$B$2),ROUND(MAX(0,'Process'!O517*'Control Room'!$H$6*INDEX('Control Room'!$B$19:$H$19,1,WEEKDAY($A517,2))*(1+'Control Room'!$D$9)^515*'Process'!P517),2),"")</x:f>
      </x:c>
      <x:c r="F517" s="16" t="str">
        <x:f>IF(AND(AND(516&lt;='Control Room'!$B$3,'Control Room'!$D$3="Ready"),4&lt;='Control Room'!$B$2),ROUND(MAX(0,'Process'!T517*'Control Room'!$H$7*INDEX('Control Room'!$B$19:$H$19,1,WEEKDAY($A517,2))*(1+'Control Room'!$D$9)^515*'Process'!U517),2),"")</x:f>
      </x:c>
      <x:c r="G517" s="16" t="str">
        <x:f>IF(AND(AND(516&lt;='Control Room'!$B$3,'Control Room'!$D$3="Ready"),5&lt;='Control Room'!$B$2),ROUND(MAX(0,'Process'!Y517*'Control Room'!$H$8*INDEX('Control Room'!$B$19:$H$19,1,WEEKDAY($A517,2))*(1+'Control Room'!$D$9)^515*'Process'!Z517),2),"")</x:f>
      </x:c>
      <x:c r="H517" s="16" t="str">
        <x:f>IF(AND(AND(516&lt;='Control Room'!$B$3,'Control Room'!$D$3="Ready"),6&lt;='Control Room'!$B$2),ROUND(MAX(0,'Process'!AD517*'Control Room'!$H$9*INDEX('Control Room'!$B$19:$H$19,1,WEEKDAY($A517,2))*(1+'Control Room'!$D$9)^515*'Process'!AE517),2),"")</x:f>
      </x:c>
      <x:c r="I517" s="16" t="str">
        <x:f>IF(AND(AND(516&lt;='Control Room'!$B$3,'Control Room'!$D$3="Ready"),7&lt;='Control Room'!$B$2),ROUND(MAX(0,'Process'!AI517*'Control Room'!$H$10*INDEX('Control Room'!$B$19:$H$19,1,WEEKDAY($A517,2))*(1+'Control Room'!$D$9)^515*'Process'!AJ517),2),"")</x:f>
      </x:c>
      <x:c r="J517" s="16" t="str">
        <x:f>IF(AND(AND(516&lt;='Control Room'!$B$3,'Control Room'!$D$3="Ready"),8&lt;='Control Room'!$B$2),ROUND(MAX(0,'Process'!AN517*'Control Room'!$H$11*INDEX('Control Room'!$B$19:$H$19,1,WEEKDAY($A517,2))*(1+'Control Room'!$D$9)^515*'Process'!AO517),2),"")</x:f>
      </x:c>
      <x:c r="K517" s="16" t="str">
        <x:f>IF(AND(AND(516&lt;='Control Room'!$B$3,'Control Room'!$D$3="Ready"),9&lt;='Control Room'!$B$2),ROUND(MAX(0,'Process'!AS517*'Control Room'!$H$12*INDEX('Control Room'!$B$19:$H$19,1,WEEKDAY($A517,2))*(1+'Control Room'!$D$9)^515*'Process'!AT517),2),"")</x:f>
      </x:c>
      <x:c r="L517" s="16" t="str">
        <x:f>IF(AND(AND(516&lt;='Control Room'!$B$3,'Control Room'!$D$3="Ready"),10&lt;='Control Room'!$B$2),ROUND(MAX(0,'Process'!AX517*'Control Room'!$H$13*INDEX('Control Room'!$B$19:$H$19,1,WEEKDAY($A517,2))*(1+'Control Room'!$D$9)^515*'Process'!AY517),2),"")</x:f>
      </x:c>
      <x:c r="M517" s="16" t="str">
        <x:f>IF(AND(AND(516&lt;='Control Room'!$B$3,'Control Room'!$D$3="Ready"),11&lt;='Control Room'!$B$2),ROUND(MAX(0,'Process'!BC517*'Control Room'!$H$14*INDEX('Control Room'!$B$19:$H$19,1,WEEKDAY($A517,2))*(1+'Control Room'!$D$9)^515*'Process'!BD517),2),"")</x:f>
      </x:c>
      <x:c r="N517" s="16" t="str">
        <x:f>IF(AND(AND(516&lt;='Control Room'!$B$3,'Control Room'!$D$3="Ready"),12&lt;='Control Room'!$B$2),ROUND(MAX(0,'Process'!BH517*'Control Room'!$H$15*INDEX('Control Room'!$B$19:$H$19,1,WEEKDAY($A517,2))*(1+'Control Room'!$D$9)^515*'Process'!BI517),2),"")</x:f>
      </x:c>
    </x:row>
    <x:row r="518" ht="21" customHeight="1">
      <x:c r="A518" s="15" t="str">
        <x:f>IF(AND(517&lt;='Control Room'!$B$3,'Control Room'!$D$3="Ready"),'Process'!A518,"")</x:f>
      </x:c>
      <x:c r="B518" s="16" t="str">
        <x:f>IF(A518="","",SUM(C518:N518))</x:f>
      </x:c>
      <x:c r="C518" s="16" t="str">
        <x:f>IF(AND(AND(517&lt;='Control Room'!$B$3,'Control Room'!$D$3="Ready"),1&lt;='Control Room'!$B$2),ROUND(MAX(0,'Process'!E518*'Control Room'!$H$4*INDEX('Control Room'!$B$19:$H$19,1,WEEKDAY($A518,2))*(1+'Control Room'!$D$9)^516*'Process'!F518),2),"")</x:f>
      </x:c>
      <x:c r="D518" s="16" t="str">
        <x:f>IF(AND(AND(517&lt;='Control Room'!$B$3,'Control Room'!$D$3="Ready"),2&lt;='Control Room'!$B$2),ROUND(MAX(0,'Process'!J518*'Control Room'!$H$5*INDEX('Control Room'!$B$19:$H$19,1,WEEKDAY($A518,2))*(1+'Control Room'!$D$9)^516*'Process'!K518),2),"")</x:f>
      </x:c>
      <x:c r="E518" s="16" t="str">
        <x:f>IF(AND(AND(517&lt;='Control Room'!$B$3,'Control Room'!$D$3="Ready"),3&lt;='Control Room'!$B$2),ROUND(MAX(0,'Process'!O518*'Control Room'!$H$6*INDEX('Control Room'!$B$19:$H$19,1,WEEKDAY($A518,2))*(1+'Control Room'!$D$9)^516*'Process'!P518),2),"")</x:f>
      </x:c>
      <x:c r="F518" s="16" t="str">
        <x:f>IF(AND(AND(517&lt;='Control Room'!$B$3,'Control Room'!$D$3="Ready"),4&lt;='Control Room'!$B$2),ROUND(MAX(0,'Process'!T518*'Control Room'!$H$7*INDEX('Control Room'!$B$19:$H$19,1,WEEKDAY($A518,2))*(1+'Control Room'!$D$9)^516*'Process'!U518),2),"")</x:f>
      </x:c>
      <x:c r="G518" s="16" t="str">
        <x:f>IF(AND(AND(517&lt;='Control Room'!$B$3,'Control Room'!$D$3="Ready"),5&lt;='Control Room'!$B$2),ROUND(MAX(0,'Process'!Y518*'Control Room'!$H$8*INDEX('Control Room'!$B$19:$H$19,1,WEEKDAY($A518,2))*(1+'Control Room'!$D$9)^516*'Process'!Z518),2),"")</x:f>
      </x:c>
      <x:c r="H518" s="16" t="str">
        <x:f>IF(AND(AND(517&lt;='Control Room'!$B$3,'Control Room'!$D$3="Ready"),6&lt;='Control Room'!$B$2),ROUND(MAX(0,'Process'!AD518*'Control Room'!$H$9*INDEX('Control Room'!$B$19:$H$19,1,WEEKDAY($A518,2))*(1+'Control Room'!$D$9)^516*'Process'!AE518),2),"")</x:f>
      </x:c>
      <x:c r="I518" s="16" t="str">
        <x:f>IF(AND(AND(517&lt;='Control Room'!$B$3,'Control Room'!$D$3="Ready"),7&lt;='Control Room'!$B$2),ROUND(MAX(0,'Process'!AI518*'Control Room'!$H$10*INDEX('Control Room'!$B$19:$H$19,1,WEEKDAY($A518,2))*(1+'Control Room'!$D$9)^516*'Process'!AJ518),2),"")</x:f>
      </x:c>
      <x:c r="J518" s="16" t="str">
        <x:f>IF(AND(AND(517&lt;='Control Room'!$B$3,'Control Room'!$D$3="Ready"),8&lt;='Control Room'!$B$2),ROUND(MAX(0,'Process'!AN518*'Control Room'!$H$11*INDEX('Control Room'!$B$19:$H$19,1,WEEKDAY($A518,2))*(1+'Control Room'!$D$9)^516*'Process'!AO518),2),"")</x:f>
      </x:c>
      <x:c r="K518" s="16" t="str">
        <x:f>IF(AND(AND(517&lt;='Control Room'!$B$3,'Control Room'!$D$3="Ready"),9&lt;='Control Room'!$B$2),ROUND(MAX(0,'Process'!AS518*'Control Room'!$H$12*INDEX('Control Room'!$B$19:$H$19,1,WEEKDAY($A518,2))*(1+'Control Room'!$D$9)^516*'Process'!AT518),2),"")</x:f>
      </x:c>
      <x:c r="L518" s="16" t="str">
        <x:f>IF(AND(AND(517&lt;='Control Room'!$B$3,'Control Room'!$D$3="Ready"),10&lt;='Control Room'!$B$2),ROUND(MAX(0,'Process'!AX518*'Control Room'!$H$13*INDEX('Control Room'!$B$19:$H$19,1,WEEKDAY($A518,2))*(1+'Control Room'!$D$9)^516*'Process'!AY518),2),"")</x:f>
      </x:c>
      <x:c r="M518" s="16" t="str">
        <x:f>IF(AND(AND(517&lt;='Control Room'!$B$3,'Control Room'!$D$3="Ready"),11&lt;='Control Room'!$B$2),ROUND(MAX(0,'Process'!BC518*'Control Room'!$H$14*INDEX('Control Room'!$B$19:$H$19,1,WEEKDAY($A518,2))*(1+'Control Room'!$D$9)^516*'Process'!BD518),2),"")</x:f>
      </x:c>
      <x:c r="N518" s="16" t="str">
        <x:f>IF(AND(AND(517&lt;='Control Room'!$B$3,'Control Room'!$D$3="Ready"),12&lt;='Control Room'!$B$2),ROUND(MAX(0,'Process'!BH518*'Control Room'!$H$15*INDEX('Control Room'!$B$19:$H$19,1,WEEKDAY($A518,2))*(1+'Control Room'!$D$9)^516*'Process'!BI518),2),"")</x:f>
      </x:c>
    </x:row>
    <x:row r="519" ht="21" customHeight="1">
      <x:c r="A519" s="15" t="str">
        <x:f>IF(AND(518&lt;='Control Room'!$B$3,'Control Room'!$D$3="Ready"),'Process'!A519,"")</x:f>
      </x:c>
      <x:c r="B519" s="16" t="str">
        <x:f>IF(A519="","",SUM(C519:N519))</x:f>
      </x:c>
      <x:c r="C519" s="16" t="str">
        <x:f>IF(AND(AND(518&lt;='Control Room'!$B$3,'Control Room'!$D$3="Ready"),1&lt;='Control Room'!$B$2),ROUND(MAX(0,'Process'!E519*'Control Room'!$H$4*INDEX('Control Room'!$B$19:$H$19,1,WEEKDAY($A519,2))*(1+'Control Room'!$D$9)^517*'Process'!F519),2),"")</x:f>
      </x:c>
      <x:c r="D519" s="16" t="str">
        <x:f>IF(AND(AND(518&lt;='Control Room'!$B$3,'Control Room'!$D$3="Ready"),2&lt;='Control Room'!$B$2),ROUND(MAX(0,'Process'!J519*'Control Room'!$H$5*INDEX('Control Room'!$B$19:$H$19,1,WEEKDAY($A519,2))*(1+'Control Room'!$D$9)^517*'Process'!K519),2),"")</x:f>
      </x:c>
      <x:c r="E519" s="16" t="str">
        <x:f>IF(AND(AND(518&lt;='Control Room'!$B$3,'Control Room'!$D$3="Ready"),3&lt;='Control Room'!$B$2),ROUND(MAX(0,'Process'!O519*'Control Room'!$H$6*INDEX('Control Room'!$B$19:$H$19,1,WEEKDAY($A519,2))*(1+'Control Room'!$D$9)^517*'Process'!P519),2),"")</x:f>
      </x:c>
      <x:c r="F519" s="16" t="str">
        <x:f>IF(AND(AND(518&lt;='Control Room'!$B$3,'Control Room'!$D$3="Ready"),4&lt;='Control Room'!$B$2),ROUND(MAX(0,'Process'!T519*'Control Room'!$H$7*INDEX('Control Room'!$B$19:$H$19,1,WEEKDAY($A519,2))*(1+'Control Room'!$D$9)^517*'Process'!U519),2),"")</x:f>
      </x:c>
      <x:c r="G519" s="16" t="str">
        <x:f>IF(AND(AND(518&lt;='Control Room'!$B$3,'Control Room'!$D$3="Ready"),5&lt;='Control Room'!$B$2),ROUND(MAX(0,'Process'!Y519*'Control Room'!$H$8*INDEX('Control Room'!$B$19:$H$19,1,WEEKDAY($A519,2))*(1+'Control Room'!$D$9)^517*'Process'!Z519),2),"")</x:f>
      </x:c>
      <x:c r="H519" s="16" t="str">
        <x:f>IF(AND(AND(518&lt;='Control Room'!$B$3,'Control Room'!$D$3="Ready"),6&lt;='Control Room'!$B$2),ROUND(MAX(0,'Process'!AD519*'Control Room'!$H$9*INDEX('Control Room'!$B$19:$H$19,1,WEEKDAY($A519,2))*(1+'Control Room'!$D$9)^517*'Process'!AE519),2),"")</x:f>
      </x:c>
      <x:c r="I519" s="16" t="str">
        <x:f>IF(AND(AND(518&lt;='Control Room'!$B$3,'Control Room'!$D$3="Ready"),7&lt;='Control Room'!$B$2),ROUND(MAX(0,'Process'!AI519*'Control Room'!$H$10*INDEX('Control Room'!$B$19:$H$19,1,WEEKDAY($A519,2))*(1+'Control Room'!$D$9)^517*'Process'!AJ519),2),"")</x:f>
      </x:c>
      <x:c r="J519" s="16" t="str">
        <x:f>IF(AND(AND(518&lt;='Control Room'!$B$3,'Control Room'!$D$3="Ready"),8&lt;='Control Room'!$B$2),ROUND(MAX(0,'Process'!AN519*'Control Room'!$H$11*INDEX('Control Room'!$B$19:$H$19,1,WEEKDAY($A519,2))*(1+'Control Room'!$D$9)^517*'Process'!AO519),2),"")</x:f>
      </x:c>
      <x:c r="K519" s="16" t="str">
        <x:f>IF(AND(AND(518&lt;='Control Room'!$B$3,'Control Room'!$D$3="Ready"),9&lt;='Control Room'!$B$2),ROUND(MAX(0,'Process'!AS519*'Control Room'!$H$12*INDEX('Control Room'!$B$19:$H$19,1,WEEKDAY($A519,2))*(1+'Control Room'!$D$9)^517*'Process'!AT519),2),"")</x:f>
      </x:c>
      <x:c r="L519" s="16" t="str">
        <x:f>IF(AND(AND(518&lt;='Control Room'!$B$3,'Control Room'!$D$3="Ready"),10&lt;='Control Room'!$B$2),ROUND(MAX(0,'Process'!AX519*'Control Room'!$H$13*INDEX('Control Room'!$B$19:$H$19,1,WEEKDAY($A519,2))*(1+'Control Room'!$D$9)^517*'Process'!AY519),2),"")</x:f>
      </x:c>
      <x:c r="M519" s="16" t="str">
        <x:f>IF(AND(AND(518&lt;='Control Room'!$B$3,'Control Room'!$D$3="Ready"),11&lt;='Control Room'!$B$2),ROUND(MAX(0,'Process'!BC519*'Control Room'!$H$14*INDEX('Control Room'!$B$19:$H$19,1,WEEKDAY($A519,2))*(1+'Control Room'!$D$9)^517*'Process'!BD519),2),"")</x:f>
      </x:c>
      <x:c r="N519" s="16" t="str">
        <x:f>IF(AND(AND(518&lt;='Control Room'!$B$3,'Control Room'!$D$3="Ready"),12&lt;='Control Room'!$B$2),ROUND(MAX(0,'Process'!BH519*'Control Room'!$H$15*INDEX('Control Room'!$B$19:$H$19,1,WEEKDAY($A519,2))*(1+'Control Room'!$D$9)^517*'Process'!BI519),2),"")</x:f>
      </x:c>
    </x:row>
    <x:row r="520" ht="21" customHeight="1">
      <x:c r="A520" s="15" t="str">
        <x:f>IF(AND(519&lt;='Control Room'!$B$3,'Control Room'!$D$3="Ready"),'Process'!A520,"")</x:f>
      </x:c>
      <x:c r="B520" s="16" t="str">
        <x:f>IF(A520="","",SUM(C520:N520))</x:f>
      </x:c>
      <x:c r="C520" s="16" t="str">
        <x:f>IF(AND(AND(519&lt;='Control Room'!$B$3,'Control Room'!$D$3="Ready"),1&lt;='Control Room'!$B$2),ROUND(MAX(0,'Process'!E520*'Control Room'!$H$4*INDEX('Control Room'!$B$19:$H$19,1,WEEKDAY($A520,2))*(1+'Control Room'!$D$9)^518*'Process'!F520),2),"")</x:f>
      </x:c>
      <x:c r="D520" s="16" t="str">
        <x:f>IF(AND(AND(519&lt;='Control Room'!$B$3,'Control Room'!$D$3="Ready"),2&lt;='Control Room'!$B$2),ROUND(MAX(0,'Process'!J520*'Control Room'!$H$5*INDEX('Control Room'!$B$19:$H$19,1,WEEKDAY($A520,2))*(1+'Control Room'!$D$9)^518*'Process'!K520),2),"")</x:f>
      </x:c>
      <x:c r="E520" s="16" t="str">
        <x:f>IF(AND(AND(519&lt;='Control Room'!$B$3,'Control Room'!$D$3="Ready"),3&lt;='Control Room'!$B$2),ROUND(MAX(0,'Process'!O520*'Control Room'!$H$6*INDEX('Control Room'!$B$19:$H$19,1,WEEKDAY($A520,2))*(1+'Control Room'!$D$9)^518*'Process'!P520),2),"")</x:f>
      </x:c>
      <x:c r="F520" s="16" t="str">
        <x:f>IF(AND(AND(519&lt;='Control Room'!$B$3,'Control Room'!$D$3="Ready"),4&lt;='Control Room'!$B$2),ROUND(MAX(0,'Process'!T520*'Control Room'!$H$7*INDEX('Control Room'!$B$19:$H$19,1,WEEKDAY($A520,2))*(1+'Control Room'!$D$9)^518*'Process'!U520),2),"")</x:f>
      </x:c>
      <x:c r="G520" s="16" t="str">
        <x:f>IF(AND(AND(519&lt;='Control Room'!$B$3,'Control Room'!$D$3="Ready"),5&lt;='Control Room'!$B$2),ROUND(MAX(0,'Process'!Y520*'Control Room'!$H$8*INDEX('Control Room'!$B$19:$H$19,1,WEEKDAY($A520,2))*(1+'Control Room'!$D$9)^518*'Process'!Z520),2),"")</x:f>
      </x:c>
      <x:c r="H520" s="16" t="str">
        <x:f>IF(AND(AND(519&lt;='Control Room'!$B$3,'Control Room'!$D$3="Ready"),6&lt;='Control Room'!$B$2),ROUND(MAX(0,'Process'!AD520*'Control Room'!$H$9*INDEX('Control Room'!$B$19:$H$19,1,WEEKDAY($A520,2))*(1+'Control Room'!$D$9)^518*'Process'!AE520),2),"")</x:f>
      </x:c>
      <x:c r="I520" s="16" t="str">
        <x:f>IF(AND(AND(519&lt;='Control Room'!$B$3,'Control Room'!$D$3="Ready"),7&lt;='Control Room'!$B$2),ROUND(MAX(0,'Process'!AI520*'Control Room'!$H$10*INDEX('Control Room'!$B$19:$H$19,1,WEEKDAY($A520,2))*(1+'Control Room'!$D$9)^518*'Process'!AJ520),2),"")</x:f>
      </x:c>
      <x:c r="J520" s="16" t="str">
        <x:f>IF(AND(AND(519&lt;='Control Room'!$B$3,'Control Room'!$D$3="Ready"),8&lt;='Control Room'!$B$2),ROUND(MAX(0,'Process'!AN520*'Control Room'!$H$11*INDEX('Control Room'!$B$19:$H$19,1,WEEKDAY($A520,2))*(1+'Control Room'!$D$9)^518*'Process'!AO520),2),"")</x:f>
      </x:c>
      <x:c r="K520" s="16" t="str">
        <x:f>IF(AND(AND(519&lt;='Control Room'!$B$3,'Control Room'!$D$3="Ready"),9&lt;='Control Room'!$B$2),ROUND(MAX(0,'Process'!AS520*'Control Room'!$H$12*INDEX('Control Room'!$B$19:$H$19,1,WEEKDAY($A520,2))*(1+'Control Room'!$D$9)^518*'Process'!AT520),2),"")</x:f>
      </x:c>
      <x:c r="L520" s="16" t="str">
        <x:f>IF(AND(AND(519&lt;='Control Room'!$B$3,'Control Room'!$D$3="Ready"),10&lt;='Control Room'!$B$2),ROUND(MAX(0,'Process'!AX520*'Control Room'!$H$13*INDEX('Control Room'!$B$19:$H$19,1,WEEKDAY($A520,2))*(1+'Control Room'!$D$9)^518*'Process'!AY520),2),"")</x:f>
      </x:c>
      <x:c r="M520" s="16" t="str">
        <x:f>IF(AND(AND(519&lt;='Control Room'!$B$3,'Control Room'!$D$3="Ready"),11&lt;='Control Room'!$B$2),ROUND(MAX(0,'Process'!BC520*'Control Room'!$H$14*INDEX('Control Room'!$B$19:$H$19,1,WEEKDAY($A520,2))*(1+'Control Room'!$D$9)^518*'Process'!BD520),2),"")</x:f>
      </x:c>
      <x:c r="N520" s="16" t="str">
        <x:f>IF(AND(AND(519&lt;='Control Room'!$B$3,'Control Room'!$D$3="Ready"),12&lt;='Control Room'!$B$2),ROUND(MAX(0,'Process'!BH520*'Control Room'!$H$15*INDEX('Control Room'!$B$19:$H$19,1,WEEKDAY($A520,2))*(1+'Control Room'!$D$9)^518*'Process'!BI520),2),"")</x:f>
      </x:c>
    </x:row>
    <x:row r="521" ht="21" customHeight="1">
      <x:c r="A521" s="15" t="str">
        <x:f>IF(AND(520&lt;='Control Room'!$B$3,'Control Room'!$D$3="Ready"),'Process'!A521,"")</x:f>
      </x:c>
      <x:c r="B521" s="16" t="str">
        <x:f>IF(A521="","",SUM(C521:N521))</x:f>
      </x:c>
      <x:c r="C521" s="16" t="str">
        <x:f>IF(AND(AND(520&lt;='Control Room'!$B$3,'Control Room'!$D$3="Ready"),1&lt;='Control Room'!$B$2),ROUND(MAX(0,'Process'!E521*'Control Room'!$H$4*INDEX('Control Room'!$B$19:$H$19,1,WEEKDAY($A521,2))*(1+'Control Room'!$D$9)^519*'Process'!F521),2),"")</x:f>
      </x:c>
      <x:c r="D521" s="16" t="str">
        <x:f>IF(AND(AND(520&lt;='Control Room'!$B$3,'Control Room'!$D$3="Ready"),2&lt;='Control Room'!$B$2),ROUND(MAX(0,'Process'!J521*'Control Room'!$H$5*INDEX('Control Room'!$B$19:$H$19,1,WEEKDAY($A521,2))*(1+'Control Room'!$D$9)^519*'Process'!K521),2),"")</x:f>
      </x:c>
      <x:c r="E521" s="16" t="str">
        <x:f>IF(AND(AND(520&lt;='Control Room'!$B$3,'Control Room'!$D$3="Ready"),3&lt;='Control Room'!$B$2),ROUND(MAX(0,'Process'!O521*'Control Room'!$H$6*INDEX('Control Room'!$B$19:$H$19,1,WEEKDAY($A521,2))*(1+'Control Room'!$D$9)^519*'Process'!P521),2),"")</x:f>
      </x:c>
      <x:c r="F521" s="16" t="str">
        <x:f>IF(AND(AND(520&lt;='Control Room'!$B$3,'Control Room'!$D$3="Ready"),4&lt;='Control Room'!$B$2),ROUND(MAX(0,'Process'!T521*'Control Room'!$H$7*INDEX('Control Room'!$B$19:$H$19,1,WEEKDAY($A521,2))*(1+'Control Room'!$D$9)^519*'Process'!U521),2),"")</x:f>
      </x:c>
      <x:c r="G521" s="16" t="str">
        <x:f>IF(AND(AND(520&lt;='Control Room'!$B$3,'Control Room'!$D$3="Ready"),5&lt;='Control Room'!$B$2),ROUND(MAX(0,'Process'!Y521*'Control Room'!$H$8*INDEX('Control Room'!$B$19:$H$19,1,WEEKDAY($A521,2))*(1+'Control Room'!$D$9)^519*'Process'!Z521),2),"")</x:f>
      </x:c>
      <x:c r="H521" s="16" t="str">
        <x:f>IF(AND(AND(520&lt;='Control Room'!$B$3,'Control Room'!$D$3="Ready"),6&lt;='Control Room'!$B$2),ROUND(MAX(0,'Process'!AD521*'Control Room'!$H$9*INDEX('Control Room'!$B$19:$H$19,1,WEEKDAY($A521,2))*(1+'Control Room'!$D$9)^519*'Process'!AE521),2),"")</x:f>
      </x:c>
      <x:c r="I521" s="16" t="str">
        <x:f>IF(AND(AND(520&lt;='Control Room'!$B$3,'Control Room'!$D$3="Ready"),7&lt;='Control Room'!$B$2),ROUND(MAX(0,'Process'!AI521*'Control Room'!$H$10*INDEX('Control Room'!$B$19:$H$19,1,WEEKDAY($A521,2))*(1+'Control Room'!$D$9)^519*'Process'!AJ521),2),"")</x:f>
      </x:c>
      <x:c r="J521" s="16" t="str">
        <x:f>IF(AND(AND(520&lt;='Control Room'!$B$3,'Control Room'!$D$3="Ready"),8&lt;='Control Room'!$B$2),ROUND(MAX(0,'Process'!AN521*'Control Room'!$H$11*INDEX('Control Room'!$B$19:$H$19,1,WEEKDAY($A521,2))*(1+'Control Room'!$D$9)^519*'Process'!AO521),2),"")</x:f>
      </x:c>
      <x:c r="K521" s="16" t="str">
        <x:f>IF(AND(AND(520&lt;='Control Room'!$B$3,'Control Room'!$D$3="Ready"),9&lt;='Control Room'!$B$2),ROUND(MAX(0,'Process'!AS521*'Control Room'!$H$12*INDEX('Control Room'!$B$19:$H$19,1,WEEKDAY($A521,2))*(1+'Control Room'!$D$9)^519*'Process'!AT521),2),"")</x:f>
      </x:c>
      <x:c r="L521" s="16" t="str">
        <x:f>IF(AND(AND(520&lt;='Control Room'!$B$3,'Control Room'!$D$3="Ready"),10&lt;='Control Room'!$B$2),ROUND(MAX(0,'Process'!AX521*'Control Room'!$H$13*INDEX('Control Room'!$B$19:$H$19,1,WEEKDAY($A521,2))*(1+'Control Room'!$D$9)^519*'Process'!AY521),2),"")</x:f>
      </x:c>
      <x:c r="M521" s="16" t="str">
        <x:f>IF(AND(AND(520&lt;='Control Room'!$B$3,'Control Room'!$D$3="Ready"),11&lt;='Control Room'!$B$2),ROUND(MAX(0,'Process'!BC521*'Control Room'!$H$14*INDEX('Control Room'!$B$19:$H$19,1,WEEKDAY($A521,2))*(1+'Control Room'!$D$9)^519*'Process'!BD521),2),"")</x:f>
      </x:c>
      <x:c r="N521" s="16" t="str">
        <x:f>IF(AND(AND(520&lt;='Control Room'!$B$3,'Control Room'!$D$3="Ready"),12&lt;='Control Room'!$B$2),ROUND(MAX(0,'Process'!BH521*'Control Room'!$H$15*INDEX('Control Room'!$B$19:$H$19,1,WEEKDAY($A521,2))*(1+'Control Room'!$D$9)^519*'Process'!BI521),2),"")</x:f>
      </x:c>
    </x:row>
    <x:row r="522" ht="21" customHeight="1">
      <x:c r="A522" s="15" t="str">
        <x:f>IF(AND(521&lt;='Control Room'!$B$3,'Control Room'!$D$3="Ready"),'Process'!A522,"")</x:f>
      </x:c>
      <x:c r="B522" s="16" t="str">
        <x:f>IF(A522="","",SUM(C522:N522))</x:f>
      </x:c>
      <x:c r="C522" s="16" t="str">
        <x:f>IF(AND(AND(521&lt;='Control Room'!$B$3,'Control Room'!$D$3="Ready"),1&lt;='Control Room'!$B$2),ROUND(MAX(0,'Process'!E522*'Control Room'!$H$4*INDEX('Control Room'!$B$19:$H$19,1,WEEKDAY($A522,2))*(1+'Control Room'!$D$9)^520*'Process'!F522),2),"")</x:f>
      </x:c>
      <x:c r="D522" s="16" t="str">
        <x:f>IF(AND(AND(521&lt;='Control Room'!$B$3,'Control Room'!$D$3="Ready"),2&lt;='Control Room'!$B$2),ROUND(MAX(0,'Process'!J522*'Control Room'!$H$5*INDEX('Control Room'!$B$19:$H$19,1,WEEKDAY($A522,2))*(1+'Control Room'!$D$9)^520*'Process'!K522),2),"")</x:f>
      </x:c>
      <x:c r="E522" s="16" t="str">
        <x:f>IF(AND(AND(521&lt;='Control Room'!$B$3,'Control Room'!$D$3="Ready"),3&lt;='Control Room'!$B$2),ROUND(MAX(0,'Process'!O522*'Control Room'!$H$6*INDEX('Control Room'!$B$19:$H$19,1,WEEKDAY($A522,2))*(1+'Control Room'!$D$9)^520*'Process'!P522),2),"")</x:f>
      </x:c>
      <x:c r="F522" s="16" t="str">
        <x:f>IF(AND(AND(521&lt;='Control Room'!$B$3,'Control Room'!$D$3="Ready"),4&lt;='Control Room'!$B$2),ROUND(MAX(0,'Process'!T522*'Control Room'!$H$7*INDEX('Control Room'!$B$19:$H$19,1,WEEKDAY($A522,2))*(1+'Control Room'!$D$9)^520*'Process'!U522),2),"")</x:f>
      </x:c>
      <x:c r="G522" s="16" t="str">
        <x:f>IF(AND(AND(521&lt;='Control Room'!$B$3,'Control Room'!$D$3="Ready"),5&lt;='Control Room'!$B$2),ROUND(MAX(0,'Process'!Y522*'Control Room'!$H$8*INDEX('Control Room'!$B$19:$H$19,1,WEEKDAY($A522,2))*(1+'Control Room'!$D$9)^520*'Process'!Z522),2),"")</x:f>
      </x:c>
      <x:c r="H522" s="16" t="str">
        <x:f>IF(AND(AND(521&lt;='Control Room'!$B$3,'Control Room'!$D$3="Ready"),6&lt;='Control Room'!$B$2),ROUND(MAX(0,'Process'!AD522*'Control Room'!$H$9*INDEX('Control Room'!$B$19:$H$19,1,WEEKDAY($A522,2))*(1+'Control Room'!$D$9)^520*'Process'!AE522),2),"")</x:f>
      </x:c>
      <x:c r="I522" s="16" t="str">
        <x:f>IF(AND(AND(521&lt;='Control Room'!$B$3,'Control Room'!$D$3="Ready"),7&lt;='Control Room'!$B$2),ROUND(MAX(0,'Process'!AI522*'Control Room'!$H$10*INDEX('Control Room'!$B$19:$H$19,1,WEEKDAY($A522,2))*(1+'Control Room'!$D$9)^520*'Process'!AJ522),2),"")</x:f>
      </x:c>
      <x:c r="J522" s="16" t="str">
        <x:f>IF(AND(AND(521&lt;='Control Room'!$B$3,'Control Room'!$D$3="Ready"),8&lt;='Control Room'!$B$2),ROUND(MAX(0,'Process'!AN522*'Control Room'!$H$11*INDEX('Control Room'!$B$19:$H$19,1,WEEKDAY($A522,2))*(1+'Control Room'!$D$9)^520*'Process'!AO522),2),"")</x:f>
      </x:c>
      <x:c r="K522" s="16" t="str">
        <x:f>IF(AND(AND(521&lt;='Control Room'!$B$3,'Control Room'!$D$3="Ready"),9&lt;='Control Room'!$B$2),ROUND(MAX(0,'Process'!AS522*'Control Room'!$H$12*INDEX('Control Room'!$B$19:$H$19,1,WEEKDAY($A522,2))*(1+'Control Room'!$D$9)^520*'Process'!AT522),2),"")</x:f>
      </x:c>
      <x:c r="L522" s="16" t="str">
        <x:f>IF(AND(AND(521&lt;='Control Room'!$B$3,'Control Room'!$D$3="Ready"),10&lt;='Control Room'!$B$2),ROUND(MAX(0,'Process'!AX522*'Control Room'!$H$13*INDEX('Control Room'!$B$19:$H$19,1,WEEKDAY($A522,2))*(1+'Control Room'!$D$9)^520*'Process'!AY522),2),"")</x:f>
      </x:c>
      <x:c r="M522" s="16" t="str">
        <x:f>IF(AND(AND(521&lt;='Control Room'!$B$3,'Control Room'!$D$3="Ready"),11&lt;='Control Room'!$B$2),ROUND(MAX(0,'Process'!BC522*'Control Room'!$H$14*INDEX('Control Room'!$B$19:$H$19,1,WEEKDAY($A522,2))*(1+'Control Room'!$D$9)^520*'Process'!BD522),2),"")</x:f>
      </x:c>
      <x:c r="N522" s="16" t="str">
        <x:f>IF(AND(AND(521&lt;='Control Room'!$B$3,'Control Room'!$D$3="Ready"),12&lt;='Control Room'!$B$2),ROUND(MAX(0,'Process'!BH522*'Control Room'!$H$15*INDEX('Control Room'!$B$19:$H$19,1,WEEKDAY($A522,2))*(1+'Control Room'!$D$9)^520*'Process'!BI522),2),"")</x:f>
      </x:c>
    </x:row>
    <x:row r="523" ht="21" customHeight="1">
      <x:c r="A523" s="15" t="str">
        <x:f>IF(AND(522&lt;='Control Room'!$B$3,'Control Room'!$D$3="Ready"),'Process'!A523,"")</x:f>
      </x:c>
      <x:c r="B523" s="16" t="str">
        <x:f>IF(A523="","",SUM(C523:N523))</x:f>
      </x:c>
      <x:c r="C523" s="16" t="str">
        <x:f>IF(AND(AND(522&lt;='Control Room'!$B$3,'Control Room'!$D$3="Ready"),1&lt;='Control Room'!$B$2),ROUND(MAX(0,'Process'!E523*'Control Room'!$H$4*INDEX('Control Room'!$B$19:$H$19,1,WEEKDAY($A523,2))*(1+'Control Room'!$D$9)^521*'Process'!F523),2),"")</x:f>
      </x:c>
      <x:c r="D523" s="16" t="str">
        <x:f>IF(AND(AND(522&lt;='Control Room'!$B$3,'Control Room'!$D$3="Ready"),2&lt;='Control Room'!$B$2),ROUND(MAX(0,'Process'!J523*'Control Room'!$H$5*INDEX('Control Room'!$B$19:$H$19,1,WEEKDAY($A523,2))*(1+'Control Room'!$D$9)^521*'Process'!K523),2),"")</x:f>
      </x:c>
      <x:c r="E523" s="16" t="str">
        <x:f>IF(AND(AND(522&lt;='Control Room'!$B$3,'Control Room'!$D$3="Ready"),3&lt;='Control Room'!$B$2),ROUND(MAX(0,'Process'!O523*'Control Room'!$H$6*INDEX('Control Room'!$B$19:$H$19,1,WEEKDAY($A523,2))*(1+'Control Room'!$D$9)^521*'Process'!P523),2),"")</x:f>
      </x:c>
      <x:c r="F523" s="16" t="str">
        <x:f>IF(AND(AND(522&lt;='Control Room'!$B$3,'Control Room'!$D$3="Ready"),4&lt;='Control Room'!$B$2),ROUND(MAX(0,'Process'!T523*'Control Room'!$H$7*INDEX('Control Room'!$B$19:$H$19,1,WEEKDAY($A523,2))*(1+'Control Room'!$D$9)^521*'Process'!U523),2),"")</x:f>
      </x:c>
      <x:c r="G523" s="16" t="str">
        <x:f>IF(AND(AND(522&lt;='Control Room'!$B$3,'Control Room'!$D$3="Ready"),5&lt;='Control Room'!$B$2),ROUND(MAX(0,'Process'!Y523*'Control Room'!$H$8*INDEX('Control Room'!$B$19:$H$19,1,WEEKDAY($A523,2))*(1+'Control Room'!$D$9)^521*'Process'!Z523),2),"")</x:f>
      </x:c>
      <x:c r="H523" s="16" t="str">
        <x:f>IF(AND(AND(522&lt;='Control Room'!$B$3,'Control Room'!$D$3="Ready"),6&lt;='Control Room'!$B$2),ROUND(MAX(0,'Process'!AD523*'Control Room'!$H$9*INDEX('Control Room'!$B$19:$H$19,1,WEEKDAY($A523,2))*(1+'Control Room'!$D$9)^521*'Process'!AE523),2),"")</x:f>
      </x:c>
      <x:c r="I523" s="16" t="str">
        <x:f>IF(AND(AND(522&lt;='Control Room'!$B$3,'Control Room'!$D$3="Ready"),7&lt;='Control Room'!$B$2),ROUND(MAX(0,'Process'!AI523*'Control Room'!$H$10*INDEX('Control Room'!$B$19:$H$19,1,WEEKDAY($A523,2))*(1+'Control Room'!$D$9)^521*'Process'!AJ523),2),"")</x:f>
      </x:c>
      <x:c r="J523" s="16" t="str">
        <x:f>IF(AND(AND(522&lt;='Control Room'!$B$3,'Control Room'!$D$3="Ready"),8&lt;='Control Room'!$B$2),ROUND(MAX(0,'Process'!AN523*'Control Room'!$H$11*INDEX('Control Room'!$B$19:$H$19,1,WEEKDAY($A523,2))*(1+'Control Room'!$D$9)^521*'Process'!AO523),2),"")</x:f>
      </x:c>
      <x:c r="K523" s="16" t="str">
        <x:f>IF(AND(AND(522&lt;='Control Room'!$B$3,'Control Room'!$D$3="Ready"),9&lt;='Control Room'!$B$2),ROUND(MAX(0,'Process'!AS523*'Control Room'!$H$12*INDEX('Control Room'!$B$19:$H$19,1,WEEKDAY($A523,2))*(1+'Control Room'!$D$9)^521*'Process'!AT523),2),"")</x:f>
      </x:c>
      <x:c r="L523" s="16" t="str">
        <x:f>IF(AND(AND(522&lt;='Control Room'!$B$3,'Control Room'!$D$3="Ready"),10&lt;='Control Room'!$B$2),ROUND(MAX(0,'Process'!AX523*'Control Room'!$H$13*INDEX('Control Room'!$B$19:$H$19,1,WEEKDAY($A523,2))*(1+'Control Room'!$D$9)^521*'Process'!AY523),2),"")</x:f>
      </x:c>
      <x:c r="M523" s="16" t="str">
        <x:f>IF(AND(AND(522&lt;='Control Room'!$B$3,'Control Room'!$D$3="Ready"),11&lt;='Control Room'!$B$2),ROUND(MAX(0,'Process'!BC523*'Control Room'!$H$14*INDEX('Control Room'!$B$19:$H$19,1,WEEKDAY($A523,2))*(1+'Control Room'!$D$9)^521*'Process'!BD523),2),"")</x:f>
      </x:c>
      <x:c r="N523" s="16" t="str">
        <x:f>IF(AND(AND(522&lt;='Control Room'!$B$3,'Control Room'!$D$3="Ready"),12&lt;='Control Room'!$B$2),ROUND(MAX(0,'Process'!BH523*'Control Room'!$H$15*INDEX('Control Room'!$B$19:$H$19,1,WEEKDAY($A523,2))*(1+'Control Room'!$D$9)^521*'Process'!BI523),2),"")</x:f>
      </x:c>
    </x:row>
    <x:row r="524" ht="21" customHeight="1">
      <x:c r="A524" s="15" t="str">
        <x:f>IF(AND(523&lt;='Control Room'!$B$3,'Control Room'!$D$3="Ready"),'Process'!A524,"")</x:f>
      </x:c>
      <x:c r="B524" s="16" t="str">
        <x:f>IF(A524="","",SUM(C524:N524))</x:f>
      </x:c>
      <x:c r="C524" s="16" t="str">
        <x:f>IF(AND(AND(523&lt;='Control Room'!$B$3,'Control Room'!$D$3="Ready"),1&lt;='Control Room'!$B$2),ROUND(MAX(0,'Process'!E524*'Control Room'!$H$4*INDEX('Control Room'!$B$19:$H$19,1,WEEKDAY($A524,2))*(1+'Control Room'!$D$9)^522*'Process'!F524),2),"")</x:f>
      </x:c>
      <x:c r="D524" s="16" t="str">
        <x:f>IF(AND(AND(523&lt;='Control Room'!$B$3,'Control Room'!$D$3="Ready"),2&lt;='Control Room'!$B$2),ROUND(MAX(0,'Process'!J524*'Control Room'!$H$5*INDEX('Control Room'!$B$19:$H$19,1,WEEKDAY($A524,2))*(1+'Control Room'!$D$9)^522*'Process'!K524),2),"")</x:f>
      </x:c>
      <x:c r="E524" s="16" t="str">
        <x:f>IF(AND(AND(523&lt;='Control Room'!$B$3,'Control Room'!$D$3="Ready"),3&lt;='Control Room'!$B$2),ROUND(MAX(0,'Process'!O524*'Control Room'!$H$6*INDEX('Control Room'!$B$19:$H$19,1,WEEKDAY($A524,2))*(1+'Control Room'!$D$9)^522*'Process'!P524),2),"")</x:f>
      </x:c>
      <x:c r="F524" s="16" t="str">
        <x:f>IF(AND(AND(523&lt;='Control Room'!$B$3,'Control Room'!$D$3="Ready"),4&lt;='Control Room'!$B$2),ROUND(MAX(0,'Process'!T524*'Control Room'!$H$7*INDEX('Control Room'!$B$19:$H$19,1,WEEKDAY($A524,2))*(1+'Control Room'!$D$9)^522*'Process'!U524),2),"")</x:f>
      </x:c>
      <x:c r="G524" s="16" t="str">
        <x:f>IF(AND(AND(523&lt;='Control Room'!$B$3,'Control Room'!$D$3="Ready"),5&lt;='Control Room'!$B$2),ROUND(MAX(0,'Process'!Y524*'Control Room'!$H$8*INDEX('Control Room'!$B$19:$H$19,1,WEEKDAY($A524,2))*(1+'Control Room'!$D$9)^522*'Process'!Z524),2),"")</x:f>
      </x:c>
      <x:c r="H524" s="16" t="str">
        <x:f>IF(AND(AND(523&lt;='Control Room'!$B$3,'Control Room'!$D$3="Ready"),6&lt;='Control Room'!$B$2),ROUND(MAX(0,'Process'!AD524*'Control Room'!$H$9*INDEX('Control Room'!$B$19:$H$19,1,WEEKDAY($A524,2))*(1+'Control Room'!$D$9)^522*'Process'!AE524),2),"")</x:f>
      </x:c>
      <x:c r="I524" s="16" t="str">
        <x:f>IF(AND(AND(523&lt;='Control Room'!$B$3,'Control Room'!$D$3="Ready"),7&lt;='Control Room'!$B$2),ROUND(MAX(0,'Process'!AI524*'Control Room'!$H$10*INDEX('Control Room'!$B$19:$H$19,1,WEEKDAY($A524,2))*(1+'Control Room'!$D$9)^522*'Process'!AJ524),2),"")</x:f>
      </x:c>
      <x:c r="J524" s="16" t="str">
        <x:f>IF(AND(AND(523&lt;='Control Room'!$B$3,'Control Room'!$D$3="Ready"),8&lt;='Control Room'!$B$2),ROUND(MAX(0,'Process'!AN524*'Control Room'!$H$11*INDEX('Control Room'!$B$19:$H$19,1,WEEKDAY($A524,2))*(1+'Control Room'!$D$9)^522*'Process'!AO524),2),"")</x:f>
      </x:c>
      <x:c r="K524" s="16" t="str">
        <x:f>IF(AND(AND(523&lt;='Control Room'!$B$3,'Control Room'!$D$3="Ready"),9&lt;='Control Room'!$B$2),ROUND(MAX(0,'Process'!AS524*'Control Room'!$H$12*INDEX('Control Room'!$B$19:$H$19,1,WEEKDAY($A524,2))*(1+'Control Room'!$D$9)^522*'Process'!AT524),2),"")</x:f>
      </x:c>
      <x:c r="L524" s="16" t="str">
        <x:f>IF(AND(AND(523&lt;='Control Room'!$B$3,'Control Room'!$D$3="Ready"),10&lt;='Control Room'!$B$2),ROUND(MAX(0,'Process'!AX524*'Control Room'!$H$13*INDEX('Control Room'!$B$19:$H$19,1,WEEKDAY($A524,2))*(1+'Control Room'!$D$9)^522*'Process'!AY524),2),"")</x:f>
      </x:c>
      <x:c r="M524" s="16" t="str">
        <x:f>IF(AND(AND(523&lt;='Control Room'!$B$3,'Control Room'!$D$3="Ready"),11&lt;='Control Room'!$B$2),ROUND(MAX(0,'Process'!BC524*'Control Room'!$H$14*INDEX('Control Room'!$B$19:$H$19,1,WEEKDAY($A524,2))*(1+'Control Room'!$D$9)^522*'Process'!BD524),2),"")</x:f>
      </x:c>
      <x:c r="N524" s="16" t="str">
        <x:f>IF(AND(AND(523&lt;='Control Room'!$B$3,'Control Room'!$D$3="Ready"),12&lt;='Control Room'!$B$2),ROUND(MAX(0,'Process'!BH524*'Control Room'!$H$15*INDEX('Control Room'!$B$19:$H$19,1,WEEKDAY($A524,2))*(1+'Control Room'!$D$9)^522*'Process'!BI524),2),"")</x:f>
      </x:c>
    </x:row>
    <x:row r="525" ht="21" customHeight="1">
      <x:c r="A525" s="15" t="str">
        <x:f>IF(AND(524&lt;='Control Room'!$B$3,'Control Room'!$D$3="Ready"),'Process'!A525,"")</x:f>
      </x:c>
      <x:c r="B525" s="16" t="str">
        <x:f>IF(A525="","",SUM(C525:N525))</x:f>
      </x:c>
      <x:c r="C525" s="16" t="str">
        <x:f>IF(AND(AND(524&lt;='Control Room'!$B$3,'Control Room'!$D$3="Ready"),1&lt;='Control Room'!$B$2),ROUND(MAX(0,'Process'!E525*'Control Room'!$H$4*INDEX('Control Room'!$B$19:$H$19,1,WEEKDAY($A525,2))*(1+'Control Room'!$D$9)^523*'Process'!F525),2),"")</x:f>
      </x:c>
      <x:c r="D525" s="16" t="str">
        <x:f>IF(AND(AND(524&lt;='Control Room'!$B$3,'Control Room'!$D$3="Ready"),2&lt;='Control Room'!$B$2),ROUND(MAX(0,'Process'!J525*'Control Room'!$H$5*INDEX('Control Room'!$B$19:$H$19,1,WEEKDAY($A525,2))*(1+'Control Room'!$D$9)^523*'Process'!K525),2),"")</x:f>
      </x:c>
      <x:c r="E525" s="16" t="str">
        <x:f>IF(AND(AND(524&lt;='Control Room'!$B$3,'Control Room'!$D$3="Ready"),3&lt;='Control Room'!$B$2),ROUND(MAX(0,'Process'!O525*'Control Room'!$H$6*INDEX('Control Room'!$B$19:$H$19,1,WEEKDAY($A525,2))*(1+'Control Room'!$D$9)^523*'Process'!P525),2),"")</x:f>
      </x:c>
      <x:c r="F525" s="16" t="str">
        <x:f>IF(AND(AND(524&lt;='Control Room'!$B$3,'Control Room'!$D$3="Ready"),4&lt;='Control Room'!$B$2),ROUND(MAX(0,'Process'!T525*'Control Room'!$H$7*INDEX('Control Room'!$B$19:$H$19,1,WEEKDAY($A525,2))*(1+'Control Room'!$D$9)^523*'Process'!U525),2),"")</x:f>
      </x:c>
      <x:c r="G525" s="16" t="str">
        <x:f>IF(AND(AND(524&lt;='Control Room'!$B$3,'Control Room'!$D$3="Ready"),5&lt;='Control Room'!$B$2),ROUND(MAX(0,'Process'!Y525*'Control Room'!$H$8*INDEX('Control Room'!$B$19:$H$19,1,WEEKDAY($A525,2))*(1+'Control Room'!$D$9)^523*'Process'!Z525),2),"")</x:f>
      </x:c>
      <x:c r="H525" s="16" t="str">
        <x:f>IF(AND(AND(524&lt;='Control Room'!$B$3,'Control Room'!$D$3="Ready"),6&lt;='Control Room'!$B$2),ROUND(MAX(0,'Process'!AD525*'Control Room'!$H$9*INDEX('Control Room'!$B$19:$H$19,1,WEEKDAY($A525,2))*(1+'Control Room'!$D$9)^523*'Process'!AE525),2),"")</x:f>
      </x:c>
      <x:c r="I525" s="16" t="str">
        <x:f>IF(AND(AND(524&lt;='Control Room'!$B$3,'Control Room'!$D$3="Ready"),7&lt;='Control Room'!$B$2),ROUND(MAX(0,'Process'!AI525*'Control Room'!$H$10*INDEX('Control Room'!$B$19:$H$19,1,WEEKDAY($A525,2))*(1+'Control Room'!$D$9)^523*'Process'!AJ525),2),"")</x:f>
      </x:c>
      <x:c r="J525" s="16" t="str">
        <x:f>IF(AND(AND(524&lt;='Control Room'!$B$3,'Control Room'!$D$3="Ready"),8&lt;='Control Room'!$B$2),ROUND(MAX(0,'Process'!AN525*'Control Room'!$H$11*INDEX('Control Room'!$B$19:$H$19,1,WEEKDAY($A525,2))*(1+'Control Room'!$D$9)^523*'Process'!AO525),2),"")</x:f>
      </x:c>
      <x:c r="K525" s="16" t="str">
        <x:f>IF(AND(AND(524&lt;='Control Room'!$B$3,'Control Room'!$D$3="Ready"),9&lt;='Control Room'!$B$2),ROUND(MAX(0,'Process'!AS525*'Control Room'!$H$12*INDEX('Control Room'!$B$19:$H$19,1,WEEKDAY($A525,2))*(1+'Control Room'!$D$9)^523*'Process'!AT525),2),"")</x:f>
      </x:c>
      <x:c r="L525" s="16" t="str">
        <x:f>IF(AND(AND(524&lt;='Control Room'!$B$3,'Control Room'!$D$3="Ready"),10&lt;='Control Room'!$B$2),ROUND(MAX(0,'Process'!AX525*'Control Room'!$H$13*INDEX('Control Room'!$B$19:$H$19,1,WEEKDAY($A525,2))*(1+'Control Room'!$D$9)^523*'Process'!AY525),2),"")</x:f>
      </x:c>
      <x:c r="M525" s="16" t="str">
        <x:f>IF(AND(AND(524&lt;='Control Room'!$B$3,'Control Room'!$D$3="Ready"),11&lt;='Control Room'!$B$2),ROUND(MAX(0,'Process'!BC525*'Control Room'!$H$14*INDEX('Control Room'!$B$19:$H$19,1,WEEKDAY($A525,2))*(1+'Control Room'!$D$9)^523*'Process'!BD525),2),"")</x:f>
      </x:c>
      <x:c r="N525" s="16" t="str">
        <x:f>IF(AND(AND(524&lt;='Control Room'!$B$3,'Control Room'!$D$3="Ready"),12&lt;='Control Room'!$B$2),ROUND(MAX(0,'Process'!BH525*'Control Room'!$H$15*INDEX('Control Room'!$B$19:$H$19,1,WEEKDAY($A525,2))*(1+'Control Room'!$D$9)^523*'Process'!BI525),2),"")</x:f>
      </x:c>
    </x:row>
    <x:row r="526" ht="21" customHeight="1">
      <x:c r="A526" s="15" t="str">
        <x:f>IF(AND(525&lt;='Control Room'!$B$3,'Control Room'!$D$3="Ready"),'Process'!A526,"")</x:f>
      </x:c>
      <x:c r="B526" s="16" t="str">
        <x:f>IF(A526="","",SUM(C526:N526))</x:f>
      </x:c>
      <x:c r="C526" s="16" t="str">
        <x:f>IF(AND(AND(525&lt;='Control Room'!$B$3,'Control Room'!$D$3="Ready"),1&lt;='Control Room'!$B$2),ROUND(MAX(0,'Process'!E526*'Control Room'!$H$4*INDEX('Control Room'!$B$19:$H$19,1,WEEKDAY($A526,2))*(1+'Control Room'!$D$9)^524*'Process'!F526),2),"")</x:f>
      </x:c>
      <x:c r="D526" s="16" t="str">
        <x:f>IF(AND(AND(525&lt;='Control Room'!$B$3,'Control Room'!$D$3="Ready"),2&lt;='Control Room'!$B$2),ROUND(MAX(0,'Process'!J526*'Control Room'!$H$5*INDEX('Control Room'!$B$19:$H$19,1,WEEKDAY($A526,2))*(1+'Control Room'!$D$9)^524*'Process'!K526),2),"")</x:f>
      </x:c>
      <x:c r="E526" s="16" t="str">
        <x:f>IF(AND(AND(525&lt;='Control Room'!$B$3,'Control Room'!$D$3="Ready"),3&lt;='Control Room'!$B$2),ROUND(MAX(0,'Process'!O526*'Control Room'!$H$6*INDEX('Control Room'!$B$19:$H$19,1,WEEKDAY($A526,2))*(1+'Control Room'!$D$9)^524*'Process'!P526),2),"")</x:f>
      </x:c>
      <x:c r="F526" s="16" t="str">
        <x:f>IF(AND(AND(525&lt;='Control Room'!$B$3,'Control Room'!$D$3="Ready"),4&lt;='Control Room'!$B$2),ROUND(MAX(0,'Process'!T526*'Control Room'!$H$7*INDEX('Control Room'!$B$19:$H$19,1,WEEKDAY($A526,2))*(1+'Control Room'!$D$9)^524*'Process'!U526),2),"")</x:f>
      </x:c>
      <x:c r="G526" s="16" t="str">
        <x:f>IF(AND(AND(525&lt;='Control Room'!$B$3,'Control Room'!$D$3="Ready"),5&lt;='Control Room'!$B$2),ROUND(MAX(0,'Process'!Y526*'Control Room'!$H$8*INDEX('Control Room'!$B$19:$H$19,1,WEEKDAY($A526,2))*(1+'Control Room'!$D$9)^524*'Process'!Z526),2),"")</x:f>
      </x:c>
      <x:c r="H526" s="16" t="str">
        <x:f>IF(AND(AND(525&lt;='Control Room'!$B$3,'Control Room'!$D$3="Ready"),6&lt;='Control Room'!$B$2),ROUND(MAX(0,'Process'!AD526*'Control Room'!$H$9*INDEX('Control Room'!$B$19:$H$19,1,WEEKDAY($A526,2))*(1+'Control Room'!$D$9)^524*'Process'!AE526),2),"")</x:f>
      </x:c>
      <x:c r="I526" s="16" t="str">
        <x:f>IF(AND(AND(525&lt;='Control Room'!$B$3,'Control Room'!$D$3="Ready"),7&lt;='Control Room'!$B$2),ROUND(MAX(0,'Process'!AI526*'Control Room'!$H$10*INDEX('Control Room'!$B$19:$H$19,1,WEEKDAY($A526,2))*(1+'Control Room'!$D$9)^524*'Process'!AJ526),2),"")</x:f>
      </x:c>
      <x:c r="J526" s="16" t="str">
        <x:f>IF(AND(AND(525&lt;='Control Room'!$B$3,'Control Room'!$D$3="Ready"),8&lt;='Control Room'!$B$2),ROUND(MAX(0,'Process'!AN526*'Control Room'!$H$11*INDEX('Control Room'!$B$19:$H$19,1,WEEKDAY($A526,2))*(1+'Control Room'!$D$9)^524*'Process'!AO526),2),"")</x:f>
      </x:c>
      <x:c r="K526" s="16" t="str">
        <x:f>IF(AND(AND(525&lt;='Control Room'!$B$3,'Control Room'!$D$3="Ready"),9&lt;='Control Room'!$B$2),ROUND(MAX(0,'Process'!AS526*'Control Room'!$H$12*INDEX('Control Room'!$B$19:$H$19,1,WEEKDAY($A526,2))*(1+'Control Room'!$D$9)^524*'Process'!AT526),2),"")</x:f>
      </x:c>
      <x:c r="L526" s="16" t="str">
        <x:f>IF(AND(AND(525&lt;='Control Room'!$B$3,'Control Room'!$D$3="Ready"),10&lt;='Control Room'!$B$2),ROUND(MAX(0,'Process'!AX526*'Control Room'!$H$13*INDEX('Control Room'!$B$19:$H$19,1,WEEKDAY($A526,2))*(1+'Control Room'!$D$9)^524*'Process'!AY526),2),"")</x:f>
      </x:c>
      <x:c r="M526" s="16" t="str">
        <x:f>IF(AND(AND(525&lt;='Control Room'!$B$3,'Control Room'!$D$3="Ready"),11&lt;='Control Room'!$B$2),ROUND(MAX(0,'Process'!BC526*'Control Room'!$H$14*INDEX('Control Room'!$B$19:$H$19,1,WEEKDAY($A526,2))*(1+'Control Room'!$D$9)^524*'Process'!BD526),2),"")</x:f>
      </x:c>
      <x:c r="N526" s="16" t="str">
        <x:f>IF(AND(AND(525&lt;='Control Room'!$B$3,'Control Room'!$D$3="Ready"),12&lt;='Control Room'!$B$2),ROUND(MAX(0,'Process'!BH526*'Control Room'!$H$15*INDEX('Control Room'!$B$19:$H$19,1,WEEKDAY($A526,2))*(1+'Control Room'!$D$9)^524*'Process'!BI526),2),"")</x:f>
      </x:c>
    </x:row>
    <x:row r="527" ht="21" customHeight="1">
      <x:c r="A527" s="15" t="str">
        <x:f>IF(AND(526&lt;='Control Room'!$B$3,'Control Room'!$D$3="Ready"),'Process'!A527,"")</x:f>
      </x:c>
      <x:c r="B527" s="16" t="str">
        <x:f>IF(A527="","",SUM(C527:N527))</x:f>
      </x:c>
      <x:c r="C527" s="16" t="str">
        <x:f>IF(AND(AND(526&lt;='Control Room'!$B$3,'Control Room'!$D$3="Ready"),1&lt;='Control Room'!$B$2),ROUND(MAX(0,'Process'!E527*'Control Room'!$H$4*INDEX('Control Room'!$B$19:$H$19,1,WEEKDAY($A527,2))*(1+'Control Room'!$D$9)^525*'Process'!F527),2),"")</x:f>
      </x:c>
      <x:c r="D527" s="16" t="str">
        <x:f>IF(AND(AND(526&lt;='Control Room'!$B$3,'Control Room'!$D$3="Ready"),2&lt;='Control Room'!$B$2),ROUND(MAX(0,'Process'!J527*'Control Room'!$H$5*INDEX('Control Room'!$B$19:$H$19,1,WEEKDAY($A527,2))*(1+'Control Room'!$D$9)^525*'Process'!K527),2),"")</x:f>
      </x:c>
      <x:c r="E527" s="16" t="str">
        <x:f>IF(AND(AND(526&lt;='Control Room'!$B$3,'Control Room'!$D$3="Ready"),3&lt;='Control Room'!$B$2),ROUND(MAX(0,'Process'!O527*'Control Room'!$H$6*INDEX('Control Room'!$B$19:$H$19,1,WEEKDAY($A527,2))*(1+'Control Room'!$D$9)^525*'Process'!P527),2),"")</x:f>
      </x:c>
      <x:c r="F527" s="16" t="str">
        <x:f>IF(AND(AND(526&lt;='Control Room'!$B$3,'Control Room'!$D$3="Ready"),4&lt;='Control Room'!$B$2),ROUND(MAX(0,'Process'!T527*'Control Room'!$H$7*INDEX('Control Room'!$B$19:$H$19,1,WEEKDAY($A527,2))*(1+'Control Room'!$D$9)^525*'Process'!U527),2),"")</x:f>
      </x:c>
      <x:c r="G527" s="16" t="str">
        <x:f>IF(AND(AND(526&lt;='Control Room'!$B$3,'Control Room'!$D$3="Ready"),5&lt;='Control Room'!$B$2),ROUND(MAX(0,'Process'!Y527*'Control Room'!$H$8*INDEX('Control Room'!$B$19:$H$19,1,WEEKDAY($A527,2))*(1+'Control Room'!$D$9)^525*'Process'!Z527),2),"")</x:f>
      </x:c>
      <x:c r="H527" s="16" t="str">
        <x:f>IF(AND(AND(526&lt;='Control Room'!$B$3,'Control Room'!$D$3="Ready"),6&lt;='Control Room'!$B$2),ROUND(MAX(0,'Process'!AD527*'Control Room'!$H$9*INDEX('Control Room'!$B$19:$H$19,1,WEEKDAY($A527,2))*(1+'Control Room'!$D$9)^525*'Process'!AE527),2),"")</x:f>
      </x:c>
      <x:c r="I527" s="16" t="str">
        <x:f>IF(AND(AND(526&lt;='Control Room'!$B$3,'Control Room'!$D$3="Ready"),7&lt;='Control Room'!$B$2),ROUND(MAX(0,'Process'!AI527*'Control Room'!$H$10*INDEX('Control Room'!$B$19:$H$19,1,WEEKDAY($A527,2))*(1+'Control Room'!$D$9)^525*'Process'!AJ527),2),"")</x:f>
      </x:c>
      <x:c r="J527" s="16" t="str">
        <x:f>IF(AND(AND(526&lt;='Control Room'!$B$3,'Control Room'!$D$3="Ready"),8&lt;='Control Room'!$B$2),ROUND(MAX(0,'Process'!AN527*'Control Room'!$H$11*INDEX('Control Room'!$B$19:$H$19,1,WEEKDAY($A527,2))*(1+'Control Room'!$D$9)^525*'Process'!AO527),2),"")</x:f>
      </x:c>
      <x:c r="K527" s="16" t="str">
        <x:f>IF(AND(AND(526&lt;='Control Room'!$B$3,'Control Room'!$D$3="Ready"),9&lt;='Control Room'!$B$2),ROUND(MAX(0,'Process'!AS527*'Control Room'!$H$12*INDEX('Control Room'!$B$19:$H$19,1,WEEKDAY($A527,2))*(1+'Control Room'!$D$9)^525*'Process'!AT527),2),"")</x:f>
      </x:c>
      <x:c r="L527" s="16" t="str">
        <x:f>IF(AND(AND(526&lt;='Control Room'!$B$3,'Control Room'!$D$3="Ready"),10&lt;='Control Room'!$B$2),ROUND(MAX(0,'Process'!AX527*'Control Room'!$H$13*INDEX('Control Room'!$B$19:$H$19,1,WEEKDAY($A527,2))*(1+'Control Room'!$D$9)^525*'Process'!AY527),2),"")</x:f>
      </x:c>
      <x:c r="M527" s="16" t="str">
        <x:f>IF(AND(AND(526&lt;='Control Room'!$B$3,'Control Room'!$D$3="Ready"),11&lt;='Control Room'!$B$2),ROUND(MAX(0,'Process'!BC527*'Control Room'!$H$14*INDEX('Control Room'!$B$19:$H$19,1,WEEKDAY($A527,2))*(1+'Control Room'!$D$9)^525*'Process'!BD527),2),"")</x:f>
      </x:c>
      <x:c r="N527" s="16" t="str">
        <x:f>IF(AND(AND(526&lt;='Control Room'!$B$3,'Control Room'!$D$3="Ready"),12&lt;='Control Room'!$B$2),ROUND(MAX(0,'Process'!BH527*'Control Room'!$H$15*INDEX('Control Room'!$B$19:$H$19,1,WEEKDAY($A527,2))*(1+'Control Room'!$D$9)^525*'Process'!BI527),2),"")</x:f>
      </x:c>
    </x:row>
    <x:row r="528" ht="21" customHeight="1">
      <x:c r="A528" s="15" t="str">
        <x:f>IF(AND(527&lt;='Control Room'!$B$3,'Control Room'!$D$3="Ready"),'Process'!A528,"")</x:f>
      </x:c>
      <x:c r="B528" s="16" t="str">
        <x:f>IF(A528="","",SUM(C528:N528))</x:f>
      </x:c>
      <x:c r="C528" s="16" t="str">
        <x:f>IF(AND(AND(527&lt;='Control Room'!$B$3,'Control Room'!$D$3="Ready"),1&lt;='Control Room'!$B$2),ROUND(MAX(0,'Process'!E528*'Control Room'!$H$4*INDEX('Control Room'!$B$19:$H$19,1,WEEKDAY($A528,2))*(1+'Control Room'!$D$9)^526*'Process'!F528),2),"")</x:f>
      </x:c>
      <x:c r="D528" s="16" t="str">
        <x:f>IF(AND(AND(527&lt;='Control Room'!$B$3,'Control Room'!$D$3="Ready"),2&lt;='Control Room'!$B$2),ROUND(MAX(0,'Process'!J528*'Control Room'!$H$5*INDEX('Control Room'!$B$19:$H$19,1,WEEKDAY($A528,2))*(1+'Control Room'!$D$9)^526*'Process'!K528),2),"")</x:f>
      </x:c>
      <x:c r="E528" s="16" t="str">
        <x:f>IF(AND(AND(527&lt;='Control Room'!$B$3,'Control Room'!$D$3="Ready"),3&lt;='Control Room'!$B$2),ROUND(MAX(0,'Process'!O528*'Control Room'!$H$6*INDEX('Control Room'!$B$19:$H$19,1,WEEKDAY($A528,2))*(1+'Control Room'!$D$9)^526*'Process'!P528),2),"")</x:f>
      </x:c>
      <x:c r="F528" s="16" t="str">
        <x:f>IF(AND(AND(527&lt;='Control Room'!$B$3,'Control Room'!$D$3="Ready"),4&lt;='Control Room'!$B$2),ROUND(MAX(0,'Process'!T528*'Control Room'!$H$7*INDEX('Control Room'!$B$19:$H$19,1,WEEKDAY($A528,2))*(1+'Control Room'!$D$9)^526*'Process'!U528),2),"")</x:f>
      </x:c>
      <x:c r="G528" s="16" t="str">
        <x:f>IF(AND(AND(527&lt;='Control Room'!$B$3,'Control Room'!$D$3="Ready"),5&lt;='Control Room'!$B$2),ROUND(MAX(0,'Process'!Y528*'Control Room'!$H$8*INDEX('Control Room'!$B$19:$H$19,1,WEEKDAY($A528,2))*(1+'Control Room'!$D$9)^526*'Process'!Z528),2),"")</x:f>
      </x:c>
      <x:c r="H528" s="16" t="str">
        <x:f>IF(AND(AND(527&lt;='Control Room'!$B$3,'Control Room'!$D$3="Ready"),6&lt;='Control Room'!$B$2),ROUND(MAX(0,'Process'!AD528*'Control Room'!$H$9*INDEX('Control Room'!$B$19:$H$19,1,WEEKDAY($A528,2))*(1+'Control Room'!$D$9)^526*'Process'!AE528),2),"")</x:f>
      </x:c>
      <x:c r="I528" s="16" t="str">
        <x:f>IF(AND(AND(527&lt;='Control Room'!$B$3,'Control Room'!$D$3="Ready"),7&lt;='Control Room'!$B$2),ROUND(MAX(0,'Process'!AI528*'Control Room'!$H$10*INDEX('Control Room'!$B$19:$H$19,1,WEEKDAY($A528,2))*(1+'Control Room'!$D$9)^526*'Process'!AJ528),2),"")</x:f>
      </x:c>
      <x:c r="J528" s="16" t="str">
        <x:f>IF(AND(AND(527&lt;='Control Room'!$B$3,'Control Room'!$D$3="Ready"),8&lt;='Control Room'!$B$2),ROUND(MAX(0,'Process'!AN528*'Control Room'!$H$11*INDEX('Control Room'!$B$19:$H$19,1,WEEKDAY($A528,2))*(1+'Control Room'!$D$9)^526*'Process'!AO528),2),"")</x:f>
      </x:c>
      <x:c r="K528" s="16" t="str">
        <x:f>IF(AND(AND(527&lt;='Control Room'!$B$3,'Control Room'!$D$3="Ready"),9&lt;='Control Room'!$B$2),ROUND(MAX(0,'Process'!AS528*'Control Room'!$H$12*INDEX('Control Room'!$B$19:$H$19,1,WEEKDAY($A528,2))*(1+'Control Room'!$D$9)^526*'Process'!AT528),2),"")</x:f>
      </x:c>
      <x:c r="L528" s="16" t="str">
        <x:f>IF(AND(AND(527&lt;='Control Room'!$B$3,'Control Room'!$D$3="Ready"),10&lt;='Control Room'!$B$2),ROUND(MAX(0,'Process'!AX528*'Control Room'!$H$13*INDEX('Control Room'!$B$19:$H$19,1,WEEKDAY($A528,2))*(1+'Control Room'!$D$9)^526*'Process'!AY528),2),"")</x:f>
      </x:c>
      <x:c r="M528" s="16" t="str">
        <x:f>IF(AND(AND(527&lt;='Control Room'!$B$3,'Control Room'!$D$3="Ready"),11&lt;='Control Room'!$B$2),ROUND(MAX(0,'Process'!BC528*'Control Room'!$H$14*INDEX('Control Room'!$B$19:$H$19,1,WEEKDAY($A528,2))*(1+'Control Room'!$D$9)^526*'Process'!BD528),2),"")</x:f>
      </x:c>
      <x:c r="N528" s="16" t="str">
        <x:f>IF(AND(AND(527&lt;='Control Room'!$B$3,'Control Room'!$D$3="Ready"),12&lt;='Control Room'!$B$2),ROUND(MAX(0,'Process'!BH528*'Control Room'!$H$15*INDEX('Control Room'!$B$19:$H$19,1,WEEKDAY($A528,2))*(1+'Control Room'!$D$9)^526*'Process'!BI528),2),"")</x:f>
      </x:c>
    </x:row>
    <x:row r="529" ht="21" customHeight="1">
      <x:c r="A529" s="15" t="str">
        <x:f>IF(AND(528&lt;='Control Room'!$B$3,'Control Room'!$D$3="Ready"),'Process'!A529,"")</x:f>
      </x:c>
      <x:c r="B529" s="16" t="str">
        <x:f>IF(A529="","",SUM(C529:N529))</x:f>
      </x:c>
      <x:c r="C529" s="16" t="str">
        <x:f>IF(AND(AND(528&lt;='Control Room'!$B$3,'Control Room'!$D$3="Ready"),1&lt;='Control Room'!$B$2),ROUND(MAX(0,'Process'!E529*'Control Room'!$H$4*INDEX('Control Room'!$B$19:$H$19,1,WEEKDAY($A529,2))*(1+'Control Room'!$D$9)^527*'Process'!F529),2),"")</x:f>
      </x:c>
      <x:c r="D529" s="16" t="str">
        <x:f>IF(AND(AND(528&lt;='Control Room'!$B$3,'Control Room'!$D$3="Ready"),2&lt;='Control Room'!$B$2),ROUND(MAX(0,'Process'!J529*'Control Room'!$H$5*INDEX('Control Room'!$B$19:$H$19,1,WEEKDAY($A529,2))*(1+'Control Room'!$D$9)^527*'Process'!K529),2),"")</x:f>
      </x:c>
      <x:c r="E529" s="16" t="str">
        <x:f>IF(AND(AND(528&lt;='Control Room'!$B$3,'Control Room'!$D$3="Ready"),3&lt;='Control Room'!$B$2),ROUND(MAX(0,'Process'!O529*'Control Room'!$H$6*INDEX('Control Room'!$B$19:$H$19,1,WEEKDAY($A529,2))*(1+'Control Room'!$D$9)^527*'Process'!P529),2),"")</x:f>
      </x:c>
      <x:c r="F529" s="16" t="str">
        <x:f>IF(AND(AND(528&lt;='Control Room'!$B$3,'Control Room'!$D$3="Ready"),4&lt;='Control Room'!$B$2),ROUND(MAX(0,'Process'!T529*'Control Room'!$H$7*INDEX('Control Room'!$B$19:$H$19,1,WEEKDAY($A529,2))*(1+'Control Room'!$D$9)^527*'Process'!U529),2),"")</x:f>
      </x:c>
      <x:c r="G529" s="16" t="str">
        <x:f>IF(AND(AND(528&lt;='Control Room'!$B$3,'Control Room'!$D$3="Ready"),5&lt;='Control Room'!$B$2),ROUND(MAX(0,'Process'!Y529*'Control Room'!$H$8*INDEX('Control Room'!$B$19:$H$19,1,WEEKDAY($A529,2))*(1+'Control Room'!$D$9)^527*'Process'!Z529),2),"")</x:f>
      </x:c>
      <x:c r="H529" s="16" t="str">
        <x:f>IF(AND(AND(528&lt;='Control Room'!$B$3,'Control Room'!$D$3="Ready"),6&lt;='Control Room'!$B$2),ROUND(MAX(0,'Process'!AD529*'Control Room'!$H$9*INDEX('Control Room'!$B$19:$H$19,1,WEEKDAY($A529,2))*(1+'Control Room'!$D$9)^527*'Process'!AE529),2),"")</x:f>
      </x:c>
      <x:c r="I529" s="16" t="str">
        <x:f>IF(AND(AND(528&lt;='Control Room'!$B$3,'Control Room'!$D$3="Ready"),7&lt;='Control Room'!$B$2),ROUND(MAX(0,'Process'!AI529*'Control Room'!$H$10*INDEX('Control Room'!$B$19:$H$19,1,WEEKDAY($A529,2))*(1+'Control Room'!$D$9)^527*'Process'!AJ529),2),"")</x:f>
      </x:c>
      <x:c r="J529" s="16" t="str">
        <x:f>IF(AND(AND(528&lt;='Control Room'!$B$3,'Control Room'!$D$3="Ready"),8&lt;='Control Room'!$B$2),ROUND(MAX(0,'Process'!AN529*'Control Room'!$H$11*INDEX('Control Room'!$B$19:$H$19,1,WEEKDAY($A529,2))*(1+'Control Room'!$D$9)^527*'Process'!AO529),2),"")</x:f>
      </x:c>
      <x:c r="K529" s="16" t="str">
        <x:f>IF(AND(AND(528&lt;='Control Room'!$B$3,'Control Room'!$D$3="Ready"),9&lt;='Control Room'!$B$2),ROUND(MAX(0,'Process'!AS529*'Control Room'!$H$12*INDEX('Control Room'!$B$19:$H$19,1,WEEKDAY($A529,2))*(1+'Control Room'!$D$9)^527*'Process'!AT529),2),"")</x:f>
      </x:c>
      <x:c r="L529" s="16" t="str">
        <x:f>IF(AND(AND(528&lt;='Control Room'!$B$3,'Control Room'!$D$3="Ready"),10&lt;='Control Room'!$B$2),ROUND(MAX(0,'Process'!AX529*'Control Room'!$H$13*INDEX('Control Room'!$B$19:$H$19,1,WEEKDAY($A529,2))*(1+'Control Room'!$D$9)^527*'Process'!AY529),2),"")</x:f>
      </x:c>
      <x:c r="M529" s="16" t="str">
        <x:f>IF(AND(AND(528&lt;='Control Room'!$B$3,'Control Room'!$D$3="Ready"),11&lt;='Control Room'!$B$2),ROUND(MAX(0,'Process'!BC529*'Control Room'!$H$14*INDEX('Control Room'!$B$19:$H$19,1,WEEKDAY($A529,2))*(1+'Control Room'!$D$9)^527*'Process'!BD529),2),"")</x:f>
      </x:c>
      <x:c r="N529" s="16" t="str">
        <x:f>IF(AND(AND(528&lt;='Control Room'!$B$3,'Control Room'!$D$3="Ready"),12&lt;='Control Room'!$B$2),ROUND(MAX(0,'Process'!BH529*'Control Room'!$H$15*INDEX('Control Room'!$B$19:$H$19,1,WEEKDAY($A529,2))*(1+'Control Room'!$D$9)^527*'Process'!BI529),2),"")</x:f>
      </x:c>
    </x:row>
    <x:row r="530" ht="21" customHeight="1">
      <x:c r="A530" s="15" t="str">
        <x:f>IF(AND(529&lt;='Control Room'!$B$3,'Control Room'!$D$3="Ready"),'Process'!A530,"")</x:f>
      </x:c>
      <x:c r="B530" s="16" t="str">
        <x:f>IF(A530="","",SUM(C530:N530))</x:f>
      </x:c>
      <x:c r="C530" s="16" t="str">
        <x:f>IF(AND(AND(529&lt;='Control Room'!$B$3,'Control Room'!$D$3="Ready"),1&lt;='Control Room'!$B$2),ROUND(MAX(0,'Process'!E530*'Control Room'!$H$4*INDEX('Control Room'!$B$19:$H$19,1,WEEKDAY($A530,2))*(1+'Control Room'!$D$9)^528*'Process'!F530),2),"")</x:f>
      </x:c>
      <x:c r="D530" s="16" t="str">
        <x:f>IF(AND(AND(529&lt;='Control Room'!$B$3,'Control Room'!$D$3="Ready"),2&lt;='Control Room'!$B$2),ROUND(MAX(0,'Process'!J530*'Control Room'!$H$5*INDEX('Control Room'!$B$19:$H$19,1,WEEKDAY($A530,2))*(1+'Control Room'!$D$9)^528*'Process'!K530),2),"")</x:f>
      </x:c>
      <x:c r="E530" s="16" t="str">
        <x:f>IF(AND(AND(529&lt;='Control Room'!$B$3,'Control Room'!$D$3="Ready"),3&lt;='Control Room'!$B$2),ROUND(MAX(0,'Process'!O530*'Control Room'!$H$6*INDEX('Control Room'!$B$19:$H$19,1,WEEKDAY($A530,2))*(1+'Control Room'!$D$9)^528*'Process'!P530),2),"")</x:f>
      </x:c>
      <x:c r="F530" s="16" t="str">
        <x:f>IF(AND(AND(529&lt;='Control Room'!$B$3,'Control Room'!$D$3="Ready"),4&lt;='Control Room'!$B$2),ROUND(MAX(0,'Process'!T530*'Control Room'!$H$7*INDEX('Control Room'!$B$19:$H$19,1,WEEKDAY($A530,2))*(1+'Control Room'!$D$9)^528*'Process'!U530),2),"")</x:f>
      </x:c>
      <x:c r="G530" s="16" t="str">
        <x:f>IF(AND(AND(529&lt;='Control Room'!$B$3,'Control Room'!$D$3="Ready"),5&lt;='Control Room'!$B$2),ROUND(MAX(0,'Process'!Y530*'Control Room'!$H$8*INDEX('Control Room'!$B$19:$H$19,1,WEEKDAY($A530,2))*(1+'Control Room'!$D$9)^528*'Process'!Z530),2),"")</x:f>
      </x:c>
      <x:c r="H530" s="16" t="str">
        <x:f>IF(AND(AND(529&lt;='Control Room'!$B$3,'Control Room'!$D$3="Ready"),6&lt;='Control Room'!$B$2),ROUND(MAX(0,'Process'!AD530*'Control Room'!$H$9*INDEX('Control Room'!$B$19:$H$19,1,WEEKDAY($A530,2))*(1+'Control Room'!$D$9)^528*'Process'!AE530),2),"")</x:f>
      </x:c>
      <x:c r="I530" s="16" t="str">
        <x:f>IF(AND(AND(529&lt;='Control Room'!$B$3,'Control Room'!$D$3="Ready"),7&lt;='Control Room'!$B$2),ROUND(MAX(0,'Process'!AI530*'Control Room'!$H$10*INDEX('Control Room'!$B$19:$H$19,1,WEEKDAY($A530,2))*(1+'Control Room'!$D$9)^528*'Process'!AJ530),2),"")</x:f>
      </x:c>
      <x:c r="J530" s="16" t="str">
        <x:f>IF(AND(AND(529&lt;='Control Room'!$B$3,'Control Room'!$D$3="Ready"),8&lt;='Control Room'!$B$2),ROUND(MAX(0,'Process'!AN530*'Control Room'!$H$11*INDEX('Control Room'!$B$19:$H$19,1,WEEKDAY($A530,2))*(1+'Control Room'!$D$9)^528*'Process'!AO530),2),"")</x:f>
      </x:c>
      <x:c r="K530" s="16" t="str">
        <x:f>IF(AND(AND(529&lt;='Control Room'!$B$3,'Control Room'!$D$3="Ready"),9&lt;='Control Room'!$B$2),ROUND(MAX(0,'Process'!AS530*'Control Room'!$H$12*INDEX('Control Room'!$B$19:$H$19,1,WEEKDAY($A530,2))*(1+'Control Room'!$D$9)^528*'Process'!AT530),2),"")</x:f>
      </x:c>
      <x:c r="L530" s="16" t="str">
        <x:f>IF(AND(AND(529&lt;='Control Room'!$B$3,'Control Room'!$D$3="Ready"),10&lt;='Control Room'!$B$2),ROUND(MAX(0,'Process'!AX530*'Control Room'!$H$13*INDEX('Control Room'!$B$19:$H$19,1,WEEKDAY($A530,2))*(1+'Control Room'!$D$9)^528*'Process'!AY530),2),"")</x:f>
      </x:c>
      <x:c r="M530" s="16" t="str">
        <x:f>IF(AND(AND(529&lt;='Control Room'!$B$3,'Control Room'!$D$3="Ready"),11&lt;='Control Room'!$B$2),ROUND(MAX(0,'Process'!BC530*'Control Room'!$H$14*INDEX('Control Room'!$B$19:$H$19,1,WEEKDAY($A530,2))*(1+'Control Room'!$D$9)^528*'Process'!BD530),2),"")</x:f>
      </x:c>
      <x:c r="N530" s="16" t="str">
        <x:f>IF(AND(AND(529&lt;='Control Room'!$B$3,'Control Room'!$D$3="Ready"),12&lt;='Control Room'!$B$2),ROUND(MAX(0,'Process'!BH530*'Control Room'!$H$15*INDEX('Control Room'!$B$19:$H$19,1,WEEKDAY($A530,2))*(1+'Control Room'!$D$9)^528*'Process'!BI530),2),"")</x:f>
      </x:c>
    </x:row>
    <x:row r="531" ht="21" customHeight="1">
      <x:c r="A531" s="15" t="str">
        <x:f>IF(AND(530&lt;='Control Room'!$B$3,'Control Room'!$D$3="Ready"),'Process'!A531,"")</x:f>
      </x:c>
      <x:c r="B531" s="16" t="str">
        <x:f>IF(A531="","",SUM(C531:N531))</x:f>
      </x:c>
      <x:c r="C531" s="16" t="str">
        <x:f>IF(AND(AND(530&lt;='Control Room'!$B$3,'Control Room'!$D$3="Ready"),1&lt;='Control Room'!$B$2),ROUND(MAX(0,'Process'!E531*'Control Room'!$H$4*INDEX('Control Room'!$B$19:$H$19,1,WEEKDAY($A531,2))*(1+'Control Room'!$D$9)^529*'Process'!F531),2),"")</x:f>
      </x:c>
      <x:c r="D531" s="16" t="str">
        <x:f>IF(AND(AND(530&lt;='Control Room'!$B$3,'Control Room'!$D$3="Ready"),2&lt;='Control Room'!$B$2),ROUND(MAX(0,'Process'!J531*'Control Room'!$H$5*INDEX('Control Room'!$B$19:$H$19,1,WEEKDAY($A531,2))*(1+'Control Room'!$D$9)^529*'Process'!K531),2),"")</x:f>
      </x:c>
      <x:c r="E531" s="16" t="str">
        <x:f>IF(AND(AND(530&lt;='Control Room'!$B$3,'Control Room'!$D$3="Ready"),3&lt;='Control Room'!$B$2),ROUND(MAX(0,'Process'!O531*'Control Room'!$H$6*INDEX('Control Room'!$B$19:$H$19,1,WEEKDAY($A531,2))*(1+'Control Room'!$D$9)^529*'Process'!P531),2),"")</x:f>
      </x:c>
      <x:c r="F531" s="16" t="str">
        <x:f>IF(AND(AND(530&lt;='Control Room'!$B$3,'Control Room'!$D$3="Ready"),4&lt;='Control Room'!$B$2),ROUND(MAX(0,'Process'!T531*'Control Room'!$H$7*INDEX('Control Room'!$B$19:$H$19,1,WEEKDAY($A531,2))*(1+'Control Room'!$D$9)^529*'Process'!U531),2),"")</x:f>
      </x:c>
      <x:c r="G531" s="16" t="str">
        <x:f>IF(AND(AND(530&lt;='Control Room'!$B$3,'Control Room'!$D$3="Ready"),5&lt;='Control Room'!$B$2),ROUND(MAX(0,'Process'!Y531*'Control Room'!$H$8*INDEX('Control Room'!$B$19:$H$19,1,WEEKDAY($A531,2))*(1+'Control Room'!$D$9)^529*'Process'!Z531),2),"")</x:f>
      </x:c>
      <x:c r="H531" s="16" t="str">
        <x:f>IF(AND(AND(530&lt;='Control Room'!$B$3,'Control Room'!$D$3="Ready"),6&lt;='Control Room'!$B$2),ROUND(MAX(0,'Process'!AD531*'Control Room'!$H$9*INDEX('Control Room'!$B$19:$H$19,1,WEEKDAY($A531,2))*(1+'Control Room'!$D$9)^529*'Process'!AE531),2),"")</x:f>
      </x:c>
      <x:c r="I531" s="16" t="str">
        <x:f>IF(AND(AND(530&lt;='Control Room'!$B$3,'Control Room'!$D$3="Ready"),7&lt;='Control Room'!$B$2),ROUND(MAX(0,'Process'!AI531*'Control Room'!$H$10*INDEX('Control Room'!$B$19:$H$19,1,WEEKDAY($A531,2))*(1+'Control Room'!$D$9)^529*'Process'!AJ531),2),"")</x:f>
      </x:c>
      <x:c r="J531" s="16" t="str">
        <x:f>IF(AND(AND(530&lt;='Control Room'!$B$3,'Control Room'!$D$3="Ready"),8&lt;='Control Room'!$B$2),ROUND(MAX(0,'Process'!AN531*'Control Room'!$H$11*INDEX('Control Room'!$B$19:$H$19,1,WEEKDAY($A531,2))*(1+'Control Room'!$D$9)^529*'Process'!AO531),2),"")</x:f>
      </x:c>
      <x:c r="K531" s="16" t="str">
        <x:f>IF(AND(AND(530&lt;='Control Room'!$B$3,'Control Room'!$D$3="Ready"),9&lt;='Control Room'!$B$2),ROUND(MAX(0,'Process'!AS531*'Control Room'!$H$12*INDEX('Control Room'!$B$19:$H$19,1,WEEKDAY($A531,2))*(1+'Control Room'!$D$9)^529*'Process'!AT531),2),"")</x:f>
      </x:c>
      <x:c r="L531" s="16" t="str">
        <x:f>IF(AND(AND(530&lt;='Control Room'!$B$3,'Control Room'!$D$3="Ready"),10&lt;='Control Room'!$B$2),ROUND(MAX(0,'Process'!AX531*'Control Room'!$H$13*INDEX('Control Room'!$B$19:$H$19,1,WEEKDAY($A531,2))*(1+'Control Room'!$D$9)^529*'Process'!AY531),2),"")</x:f>
      </x:c>
      <x:c r="M531" s="16" t="str">
        <x:f>IF(AND(AND(530&lt;='Control Room'!$B$3,'Control Room'!$D$3="Ready"),11&lt;='Control Room'!$B$2),ROUND(MAX(0,'Process'!BC531*'Control Room'!$H$14*INDEX('Control Room'!$B$19:$H$19,1,WEEKDAY($A531,2))*(1+'Control Room'!$D$9)^529*'Process'!BD531),2),"")</x:f>
      </x:c>
      <x:c r="N531" s="16" t="str">
        <x:f>IF(AND(AND(530&lt;='Control Room'!$B$3,'Control Room'!$D$3="Ready"),12&lt;='Control Room'!$B$2),ROUND(MAX(0,'Process'!BH531*'Control Room'!$H$15*INDEX('Control Room'!$B$19:$H$19,1,WEEKDAY($A531,2))*(1+'Control Room'!$D$9)^529*'Process'!BI531),2),"")</x:f>
      </x:c>
    </x:row>
    <x:row r="532" ht="21" customHeight="1">
      <x:c r="A532" s="15" t="str">
        <x:f>IF(AND(531&lt;='Control Room'!$B$3,'Control Room'!$D$3="Ready"),'Process'!A532,"")</x:f>
      </x:c>
      <x:c r="B532" s="16" t="str">
        <x:f>IF(A532="","",SUM(C532:N532))</x:f>
      </x:c>
      <x:c r="C532" s="16" t="str">
        <x:f>IF(AND(AND(531&lt;='Control Room'!$B$3,'Control Room'!$D$3="Ready"),1&lt;='Control Room'!$B$2),ROUND(MAX(0,'Process'!E532*'Control Room'!$H$4*INDEX('Control Room'!$B$19:$H$19,1,WEEKDAY($A532,2))*(1+'Control Room'!$D$9)^530*'Process'!F532),2),"")</x:f>
      </x:c>
      <x:c r="D532" s="16" t="str">
        <x:f>IF(AND(AND(531&lt;='Control Room'!$B$3,'Control Room'!$D$3="Ready"),2&lt;='Control Room'!$B$2),ROUND(MAX(0,'Process'!J532*'Control Room'!$H$5*INDEX('Control Room'!$B$19:$H$19,1,WEEKDAY($A532,2))*(1+'Control Room'!$D$9)^530*'Process'!K532),2),"")</x:f>
      </x:c>
      <x:c r="E532" s="16" t="str">
        <x:f>IF(AND(AND(531&lt;='Control Room'!$B$3,'Control Room'!$D$3="Ready"),3&lt;='Control Room'!$B$2),ROUND(MAX(0,'Process'!O532*'Control Room'!$H$6*INDEX('Control Room'!$B$19:$H$19,1,WEEKDAY($A532,2))*(1+'Control Room'!$D$9)^530*'Process'!P532),2),"")</x:f>
      </x:c>
      <x:c r="F532" s="16" t="str">
        <x:f>IF(AND(AND(531&lt;='Control Room'!$B$3,'Control Room'!$D$3="Ready"),4&lt;='Control Room'!$B$2),ROUND(MAX(0,'Process'!T532*'Control Room'!$H$7*INDEX('Control Room'!$B$19:$H$19,1,WEEKDAY($A532,2))*(1+'Control Room'!$D$9)^530*'Process'!U532),2),"")</x:f>
      </x:c>
      <x:c r="G532" s="16" t="str">
        <x:f>IF(AND(AND(531&lt;='Control Room'!$B$3,'Control Room'!$D$3="Ready"),5&lt;='Control Room'!$B$2),ROUND(MAX(0,'Process'!Y532*'Control Room'!$H$8*INDEX('Control Room'!$B$19:$H$19,1,WEEKDAY($A532,2))*(1+'Control Room'!$D$9)^530*'Process'!Z532),2),"")</x:f>
      </x:c>
      <x:c r="H532" s="16" t="str">
        <x:f>IF(AND(AND(531&lt;='Control Room'!$B$3,'Control Room'!$D$3="Ready"),6&lt;='Control Room'!$B$2),ROUND(MAX(0,'Process'!AD532*'Control Room'!$H$9*INDEX('Control Room'!$B$19:$H$19,1,WEEKDAY($A532,2))*(1+'Control Room'!$D$9)^530*'Process'!AE532),2),"")</x:f>
      </x:c>
      <x:c r="I532" s="16" t="str">
        <x:f>IF(AND(AND(531&lt;='Control Room'!$B$3,'Control Room'!$D$3="Ready"),7&lt;='Control Room'!$B$2),ROUND(MAX(0,'Process'!AI532*'Control Room'!$H$10*INDEX('Control Room'!$B$19:$H$19,1,WEEKDAY($A532,2))*(1+'Control Room'!$D$9)^530*'Process'!AJ532),2),"")</x:f>
      </x:c>
      <x:c r="J532" s="16" t="str">
        <x:f>IF(AND(AND(531&lt;='Control Room'!$B$3,'Control Room'!$D$3="Ready"),8&lt;='Control Room'!$B$2),ROUND(MAX(0,'Process'!AN532*'Control Room'!$H$11*INDEX('Control Room'!$B$19:$H$19,1,WEEKDAY($A532,2))*(1+'Control Room'!$D$9)^530*'Process'!AO532),2),"")</x:f>
      </x:c>
      <x:c r="K532" s="16" t="str">
        <x:f>IF(AND(AND(531&lt;='Control Room'!$B$3,'Control Room'!$D$3="Ready"),9&lt;='Control Room'!$B$2),ROUND(MAX(0,'Process'!AS532*'Control Room'!$H$12*INDEX('Control Room'!$B$19:$H$19,1,WEEKDAY($A532,2))*(1+'Control Room'!$D$9)^530*'Process'!AT532),2),"")</x:f>
      </x:c>
      <x:c r="L532" s="16" t="str">
        <x:f>IF(AND(AND(531&lt;='Control Room'!$B$3,'Control Room'!$D$3="Ready"),10&lt;='Control Room'!$B$2),ROUND(MAX(0,'Process'!AX532*'Control Room'!$H$13*INDEX('Control Room'!$B$19:$H$19,1,WEEKDAY($A532,2))*(1+'Control Room'!$D$9)^530*'Process'!AY532),2),"")</x:f>
      </x:c>
      <x:c r="M532" s="16" t="str">
        <x:f>IF(AND(AND(531&lt;='Control Room'!$B$3,'Control Room'!$D$3="Ready"),11&lt;='Control Room'!$B$2),ROUND(MAX(0,'Process'!BC532*'Control Room'!$H$14*INDEX('Control Room'!$B$19:$H$19,1,WEEKDAY($A532,2))*(1+'Control Room'!$D$9)^530*'Process'!BD532),2),"")</x:f>
      </x:c>
      <x:c r="N532" s="16" t="str">
        <x:f>IF(AND(AND(531&lt;='Control Room'!$B$3,'Control Room'!$D$3="Ready"),12&lt;='Control Room'!$B$2),ROUND(MAX(0,'Process'!BH532*'Control Room'!$H$15*INDEX('Control Room'!$B$19:$H$19,1,WEEKDAY($A532,2))*(1+'Control Room'!$D$9)^530*'Process'!BI532),2),"")</x:f>
      </x:c>
    </x:row>
    <x:row r="533" ht="21" customHeight="1">
      <x:c r="A533" s="15" t="str">
        <x:f>IF(AND(532&lt;='Control Room'!$B$3,'Control Room'!$D$3="Ready"),'Process'!A533,"")</x:f>
      </x:c>
      <x:c r="B533" s="16" t="str">
        <x:f>IF(A533="","",SUM(C533:N533))</x:f>
      </x:c>
      <x:c r="C533" s="16" t="str">
        <x:f>IF(AND(AND(532&lt;='Control Room'!$B$3,'Control Room'!$D$3="Ready"),1&lt;='Control Room'!$B$2),ROUND(MAX(0,'Process'!E533*'Control Room'!$H$4*INDEX('Control Room'!$B$19:$H$19,1,WEEKDAY($A533,2))*(1+'Control Room'!$D$9)^531*'Process'!F533),2),"")</x:f>
      </x:c>
      <x:c r="D533" s="16" t="str">
        <x:f>IF(AND(AND(532&lt;='Control Room'!$B$3,'Control Room'!$D$3="Ready"),2&lt;='Control Room'!$B$2),ROUND(MAX(0,'Process'!J533*'Control Room'!$H$5*INDEX('Control Room'!$B$19:$H$19,1,WEEKDAY($A533,2))*(1+'Control Room'!$D$9)^531*'Process'!K533),2),"")</x:f>
      </x:c>
      <x:c r="E533" s="16" t="str">
        <x:f>IF(AND(AND(532&lt;='Control Room'!$B$3,'Control Room'!$D$3="Ready"),3&lt;='Control Room'!$B$2),ROUND(MAX(0,'Process'!O533*'Control Room'!$H$6*INDEX('Control Room'!$B$19:$H$19,1,WEEKDAY($A533,2))*(1+'Control Room'!$D$9)^531*'Process'!P533),2),"")</x:f>
      </x:c>
      <x:c r="F533" s="16" t="str">
        <x:f>IF(AND(AND(532&lt;='Control Room'!$B$3,'Control Room'!$D$3="Ready"),4&lt;='Control Room'!$B$2),ROUND(MAX(0,'Process'!T533*'Control Room'!$H$7*INDEX('Control Room'!$B$19:$H$19,1,WEEKDAY($A533,2))*(1+'Control Room'!$D$9)^531*'Process'!U533),2),"")</x:f>
      </x:c>
      <x:c r="G533" s="16" t="str">
        <x:f>IF(AND(AND(532&lt;='Control Room'!$B$3,'Control Room'!$D$3="Ready"),5&lt;='Control Room'!$B$2),ROUND(MAX(0,'Process'!Y533*'Control Room'!$H$8*INDEX('Control Room'!$B$19:$H$19,1,WEEKDAY($A533,2))*(1+'Control Room'!$D$9)^531*'Process'!Z533),2),"")</x:f>
      </x:c>
      <x:c r="H533" s="16" t="str">
        <x:f>IF(AND(AND(532&lt;='Control Room'!$B$3,'Control Room'!$D$3="Ready"),6&lt;='Control Room'!$B$2),ROUND(MAX(0,'Process'!AD533*'Control Room'!$H$9*INDEX('Control Room'!$B$19:$H$19,1,WEEKDAY($A533,2))*(1+'Control Room'!$D$9)^531*'Process'!AE533),2),"")</x:f>
      </x:c>
      <x:c r="I533" s="16" t="str">
        <x:f>IF(AND(AND(532&lt;='Control Room'!$B$3,'Control Room'!$D$3="Ready"),7&lt;='Control Room'!$B$2),ROUND(MAX(0,'Process'!AI533*'Control Room'!$H$10*INDEX('Control Room'!$B$19:$H$19,1,WEEKDAY($A533,2))*(1+'Control Room'!$D$9)^531*'Process'!AJ533),2),"")</x:f>
      </x:c>
      <x:c r="J533" s="16" t="str">
        <x:f>IF(AND(AND(532&lt;='Control Room'!$B$3,'Control Room'!$D$3="Ready"),8&lt;='Control Room'!$B$2),ROUND(MAX(0,'Process'!AN533*'Control Room'!$H$11*INDEX('Control Room'!$B$19:$H$19,1,WEEKDAY($A533,2))*(1+'Control Room'!$D$9)^531*'Process'!AO533),2),"")</x:f>
      </x:c>
      <x:c r="K533" s="16" t="str">
        <x:f>IF(AND(AND(532&lt;='Control Room'!$B$3,'Control Room'!$D$3="Ready"),9&lt;='Control Room'!$B$2),ROUND(MAX(0,'Process'!AS533*'Control Room'!$H$12*INDEX('Control Room'!$B$19:$H$19,1,WEEKDAY($A533,2))*(1+'Control Room'!$D$9)^531*'Process'!AT533),2),"")</x:f>
      </x:c>
      <x:c r="L533" s="16" t="str">
        <x:f>IF(AND(AND(532&lt;='Control Room'!$B$3,'Control Room'!$D$3="Ready"),10&lt;='Control Room'!$B$2),ROUND(MAX(0,'Process'!AX533*'Control Room'!$H$13*INDEX('Control Room'!$B$19:$H$19,1,WEEKDAY($A533,2))*(1+'Control Room'!$D$9)^531*'Process'!AY533),2),"")</x:f>
      </x:c>
      <x:c r="M533" s="16" t="str">
        <x:f>IF(AND(AND(532&lt;='Control Room'!$B$3,'Control Room'!$D$3="Ready"),11&lt;='Control Room'!$B$2),ROUND(MAX(0,'Process'!BC533*'Control Room'!$H$14*INDEX('Control Room'!$B$19:$H$19,1,WEEKDAY($A533,2))*(1+'Control Room'!$D$9)^531*'Process'!BD533),2),"")</x:f>
      </x:c>
      <x:c r="N533" s="16" t="str">
        <x:f>IF(AND(AND(532&lt;='Control Room'!$B$3,'Control Room'!$D$3="Ready"),12&lt;='Control Room'!$B$2),ROUND(MAX(0,'Process'!BH533*'Control Room'!$H$15*INDEX('Control Room'!$B$19:$H$19,1,WEEKDAY($A533,2))*(1+'Control Room'!$D$9)^531*'Process'!BI533),2),"")</x:f>
      </x:c>
    </x:row>
    <x:row r="534" ht="21" customHeight="1">
      <x:c r="A534" s="15" t="str">
        <x:f>IF(AND(533&lt;='Control Room'!$B$3,'Control Room'!$D$3="Ready"),'Process'!A534,"")</x:f>
      </x:c>
      <x:c r="B534" s="16" t="str">
        <x:f>IF(A534="","",SUM(C534:N534))</x:f>
      </x:c>
      <x:c r="C534" s="16" t="str">
        <x:f>IF(AND(AND(533&lt;='Control Room'!$B$3,'Control Room'!$D$3="Ready"),1&lt;='Control Room'!$B$2),ROUND(MAX(0,'Process'!E534*'Control Room'!$H$4*INDEX('Control Room'!$B$19:$H$19,1,WEEKDAY($A534,2))*(1+'Control Room'!$D$9)^532*'Process'!F534),2),"")</x:f>
      </x:c>
      <x:c r="D534" s="16" t="str">
        <x:f>IF(AND(AND(533&lt;='Control Room'!$B$3,'Control Room'!$D$3="Ready"),2&lt;='Control Room'!$B$2),ROUND(MAX(0,'Process'!J534*'Control Room'!$H$5*INDEX('Control Room'!$B$19:$H$19,1,WEEKDAY($A534,2))*(1+'Control Room'!$D$9)^532*'Process'!K534),2),"")</x:f>
      </x:c>
      <x:c r="E534" s="16" t="str">
        <x:f>IF(AND(AND(533&lt;='Control Room'!$B$3,'Control Room'!$D$3="Ready"),3&lt;='Control Room'!$B$2),ROUND(MAX(0,'Process'!O534*'Control Room'!$H$6*INDEX('Control Room'!$B$19:$H$19,1,WEEKDAY($A534,2))*(1+'Control Room'!$D$9)^532*'Process'!P534),2),"")</x:f>
      </x:c>
      <x:c r="F534" s="16" t="str">
        <x:f>IF(AND(AND(533&lt;='Control Room'!$B$3,'Control Room'!$D$3="Ready"),4&lt;='Control Room'!$B$2),ROUND(MAX(0,'Process'!T534*'Control Room'!$H$7*INDEX('Control Room'!$B$19:$H$19,1,WEEKDAY($A534,2))*(1+'Control Room'!$D$9)^532*'Process'!U534),2),"")</x:f>
      </x:c>
      <x:c r="G534" s="16" t="str">
        <x:f>IF(AND(AND(533&lt;='Control Room'!$B$3,'Control Room'!$D$3="Ready"),5&lt;='Control Room'!$B$2),ROUND(MAX(0,'Process'!Y534*'Control Room'!$H$8*INDEX('Control Room'!$B$19:$H$19,1,WEEKDAY($A534,2))*(1+'Control Room'!$D$9)^532*'Process'!Z534),2),"")</x:f>
      </x:c>
      <x:c r="H534" s="16" t="str">
        <x:f>IF(AND(AND(533&lt;='Control Room'!$B$3,'Control Room'!$D$3="Ready"),6&lt;='Control Room'!$B$2),ROUND(MAX(0,'Process'!AD534*'Control Room'!$H$9*INDEX('Control Room'!$B$19:$H$19,1,WEEKDAY($A534,2))*(1+'Control Room'!$D$9)^532*'Process'!AE534),2),"")</x:f>
      </x:c>
      <x:c r="I534" s="16" t="str">
        <x:f>IF(AND(AND(533&lt;='Control Room'!$B$3,'Control Room'!$D$3="Ready"),7&lt;='Control Room'!$B$2),ROUND(MAX(0,'Process'!AI534*'Control Room'!$H$10*INDEX('Control Room'!$B$19:$H$19,1,WEEKDAY($A534,2))*(1+'Control Room'!$D$9)^532*'Process'!AJ534),2),"")</x:f>
      </x:c>
      <x:c r="J534" s="16" t="str">
        <x:f>IF(AND(AND(533&lt;='Control Room'!$B$3,'Control Room'!$D$3="Ready"),8&lt;='Control Room'!$B$2),ROUND(MAX(0,'Process'!AN534*'Control Room'!$H$11*INDEX('Control Room'!$B$19:$H$19,1,WEEKDAY($A534,2))*(1+'Control Room'!$D$9)^532*'Process'!AO534),2),"")</x:f>
      </x:c>
      <x:c r="K534" s="16" t="str">
        <x:f>IF(AND(AND(533&lt;='Control Room'!$B$3,'Control Room'!$D$3="Ready"),9&lt;='Control Room'!$B$2),ROUND(MAX(0,'Process'!AS534*'Control Room'!$H$12*INDEX('Control Room'!$B$19:$H$19,1,WEEKDAY($A534,2))*(1+'Control Room'!$D$9)^532*'Process'!AT534),2),"")</x:f>
      </x:c>
      <x:c r="L534" s="16" t="str">
        <x:f>IF(AND(AND(533&lt;='Control Room'!$B$3,'Control Room'!$D$3="Ready"),10&lt;='Control Room'!$B$2),ROUND(MAX(0,'Process'!AX534*'Control Room'!$H$13*INDEX('Control Room'!$B$19:$H$19,1,WEEKDAY($A534,2))*(1+'Control Room'!$D$9)^532*'Process'!AY534),2),"")</x:f>
      </x:c>
      <x:c r="M534" s="16" t="str">
        <x:f>IF(AND(AND(533&lt;='Control Room'!$B$3,'Control Room'!$D$3="Ready"),11&lt;='Control Room'!$B$2),ROUND(MAX(0,'Process'!BC534*'Control Room'!$H$14*INDEX('Control Room'!$B$19:$H$19,1,WEEKDAY($A534,2))*(1+'Control Room'!$D$9)^532*'Process'!BD534),2),"")</x:f>
      </x:c>
      <x:c r="N534" s="16" t="str">
        <x:f>IF(AND(AND(533&lt;='Control Room'!$B$3,'Control Room'!$D$3="Ready"),12&lt;='Control Room'!$B$2),ROUND(MAX(0,'Process'!BH534*'Control Room'!$H$15*INDEX('Control Room'!$B$19:$H$19,1,WEEKDAY($A534,2))*(1+'Control Room'!$D$9)^532*'Process'!BI534),2),"")</x:f>
      </x:c>
    </x:row>
    <x:row r="535" ht="21" customHeight="1">
      <x:c r="A535" s="15" t="str">
        <x:f>IF(AND(534&lt;='Control Room'!$B$3,'Control Room'!$D$3="Ready"),'Process'!A535,"")</x:f>
      </x:c>
      <x:c r="B535" s="16" t="str">
        <x:f>IF(A535="","",SUM(C535:N535))</x:f>
      </x:c>
      <x:c r="C535" s="16" t="str">
        <x:f>IF(AND(AND(534&lt;='Control Room'!$B$3,'Control Room'!$D$3="Ready"),1&lt;='Control Room'!$B$2),ROUND(MAX(0,'Process'!E535*'Control Room'!$H$4*INDEX('Control Room'!$B$19:$H$19,1,WEEKDAY($A535,2))*(1+'Control Room'!$D$9)^533*'Process'!F535),2),"")</x:f>
      </x:c>
      <x:c r="D535" s="16" t="str">
        <x:f>IF(AND(AND(534&lt;='Control Room'!$B$3,'Control Room'!$D$3="Ready"),2&lt;='Control Room'!$B$2),ROUND(MAX(0,'Process'!J535*'Control Room'!$H$5*INDEX('Control Room'!$B$19:$H$19,1,WEEKDAY($A535,2))*(1+'Control Room'!$D$9)^533*'Process'!K535),2),"")</x:f>
      </x:c>
      <x:c r="E535" s="16" t="str">
        <x:f>IF(AND(AND(534&lt;='Control Room'!$B$3,'Control Room'!$D$3="Ready"),3&lt;='Control Room'!$B$2),ROUND(MAX(0,'Process'!O535*'Control Room'!$H$6*INDEX('Control Room'!$B$19:$H$19,1,WEEKDAY($A535,2))*(1+'Control Room'!$D$9)^533*'Process'!P535),2),"")</x:f>
      </x:c>
      <x:c r="F535" s="16" t="str">
        <x:f>IF(AND(AND(534&lt;='Control Room'!$B$3,'Control Room'!$D$3="Ready"),4&lt;='Control Room'!$B$2),ROUND(MAX(0,'Process'!T535*'Control Room'!$H$7*INDEX('Control Room'!$B$19:$H$19,1,WEEKDAY($A535,2))*(1+'Control Room'!$D$9)^533*'Process'!U535),2),"")</x:f>
      </x:c>
      <x:c r="G535" s="16" t="str">
        <x:f>IF(AND(AND(534&lt;='Control Room'!$B$3,'Control Room'!$D$3="Ready"),5&lt;='Control Room'!$B$2),ROUND(MAX(0,'Process'!Y535*'Control Room'!$H$8*INDEX('Control Room'!$B$19:$H$19,1,WEEKDAY($A535,2))*(1+'Control Room'!$D$9)^533*'Process'!Z535),2),"")</x:f>
      </x:c>
      <x:c r="H535" s="16" t="str">
        <x:f>IF(AND(AND(534&lt;='Control Room'!$B$3,'Control Room'!$D$3="Ready"),6&lt;='Control Room'!$B$2),ROUND(MAX(0,'Process'!AD535*'Control Room'!$H$9*INDEX('Control Room'!$B$19:$H$19,1,WEEKDAY($A535,2))*(1+'Control Room'!$D$9)^533*'Process'!AE535),2),"")</x:f>
      </x:c>
      <x:c r="I535" s="16" t="str">
        <x:f>IF(AND(AND(534&lt;='Control Room'!$B$3,'Control Room'!$D$3="Ready"),7&lt;='Control Room'!$B$2),ROUND(MAX(0,'Process'!AI535*'Control Room'!$H$10*INDEX('Control Room'!$B$19:$H$19,1,WEEKDAY($A535,2))*(1+'Control Room'!$D$9)^533*'Process'!AJ535),2),"")</x:f>
      </x:c>
      <x:c r="J535" s="16" t="str">
        <x:f>IF(AND(AND(534&lt;='Control Room'!$B$3,'Control Room'!$D$3="Ready"),8&lt;='Control Room'!$B$2),ROUND(MAX(0,'Process'!AN535*'Control Room'!$H$11*INDEX('Control Room'!$B$19:$H$19,1,WEEKDAY($A535,2))*(1+'Control Room'!$D$9)^533*'Process'!AO535),2),"")</x:f>
      </x:c>
      <x:c r="K535" s="16" t="str">
        <x:f>IF(AND(AND(534&lt;='Control Room'!$B$3,'Control Room'!$D$3="Ready"),9&lt;='Control Room'!$B$2),ROUND(MAX(0,'Process'!AS535*'Control Room'!$H$12*INDEX('Control Room'!$B$19:$H$19,1,WEEKDAY($A535,2))*(1+'Control Room'!$D$9)^533*'Process'!AT535),2),"")</x:f>
      </x:c>
      <x:c r="L535" s="16" t="str">
        <x:f>IF(AND(AND(534&lt;='Control Room'!$B$3,'Control Room'!$D$3="Ready"),10&lt;='Control Room'!$B$2),ROUND(MAX(0,'Process'!AX535*'Control Room'!$H$13*INDEX('Control Room'!$B$19:$H$19,1,WEEKDAY($A535,2))*(1+'Control Room'!$D$9)^533*'Process'!AY535),2),"")</x:f>
      </x:c>
      <x:c r="M535" s="16" t="str">
        <x:f>IF(AND(AND(534&lt;='Control Room'!$B$3,'Control Room'!$D$3="Ready"),11&lt;='Control Room'!$B$2),ROUND(MAX(0,'Process'!BC535*'Control Room'!$H$14*INDEX('Control Room'!$B$19:$H$19,1,WEEKDAY($A535,2))*(1+'Control Room'!$D$9)^533*'Process'!BD535),2),"")</x:f>
      </x:c>
      <x:c r="N535" s="16" t="str">
        <x:f>IF(AND(AND(534&lt;='Control Room'!$B$3,'Control Room'!$D$3="Ready"),12&lt;='Control Room'!$B$2),ROUND(MAX(0,'Process'!BH535*'Control Room'!$H$15*INDEX('Control Room'!$B$19:$H$19,1,WEEKDAY($A535,2))*(1+'Control Room'!$D$9)^533*'Process'!BI535),2),"")</x:f>
      </x:c>
    </x:row>
    <x:row r="536" ht="21" customHeight="1">
      <x:c r="A536" s="15" t="str">
        <x:f>IF(AND(535&lt;='Control Room'!$B$3,'Control Room'!$D$3="Ready"),'Process'!A536,"")</x:f>
      </x:c>
      <x:c r="B536" s="16" t="str">
        <x:f>IF(A536="","",SUM(C536:N536))</x:f>
      </x:c>
      <x:c r="C536" s="16" t="str">
        <x:f>IF(AND(AND(535&lt;='Control Room'!$B$3,'Control Room'!$D$3="Ready"),1&lt;='Control Room'!$B$2),ROUND(MAX(0,'Process'!E536*'Control Room'!$H$4*INDEX('Control Room'!$B$19:$H$19,1,WEEKDAY($A536,2))*(1+'Control Room'!$D$9)^534*'Process'!F536),2),"")</x:f>
      </x:c>
      <x:c r="D536" s="16" t="str">
        <x:f>IF(AND(AND(535&lt;='Control Room'!$B$3,'Control Room'!$D$3="Ready"),2&lt;='Control Room'!$B$2),ROUND(MAX(0,'Process'!J536*'Control Room'!$H$5*INDEX('Control Room'!$B$19:$H$19,1,WEEKDAY($A536,2))*(1+'Control Room'!$D$9)^534*'Process'!K536),2),"")</x:f>
      </x:c>
      <x:c r="E536" s="16" t="str">
        <x:f>IF(AND(AND(535&lt;='Control Room'!$B$3,'Control Room'!$D$3="Ready"),3&lt;='Control Room'!$B$2),ROUND(MAX(0,'Process'!O536*'Control Room'!$H$6*INDEX('Control Room'!$B$19:$H$19,1,WEEKDAY($A536,2))*(1+'Control Room'!$D$9)^534*'Process'!P536),2),"")</x:f>
      </x:c>
      <x:c r="F536" s="16" t="str">
        <x:f>IF(AND(AND(535&lt;='Control Room'!$B$3,'Control Room'!$D$3="Ready"),4&lt;='Control Room'!$B$2),ROUND(MAX(0,'Process'!T536*'Control Room'!$H$7*INDEX('Control Room'!$B$19:$H$19,1,WEEKDAY($A536,2))*(1+'Control Room'!$D$9)^534*'Process'!U536),2),"")</x:f>
      </x:c>
      <x:c r="G536" s="16" t="str">
        <x:f>IF(AND(AND(535&lt;='Control Room'!$B$3,'Control Room'!$D$3="Ready"),5&lt;='Control Room'!$B$2),ROUND(MAX(0,'Process'!Y536*'Control Room'!$H$8*INDEX('Control Room'!$B$19:$H$19,1,WEEKDAY($A536,2))*(1+'Control Room'!$D$9)^534*'Process'!Z536),2),"")</x:f>
      </x:c>
      <x:c r="H536" s="16" t="str">
        <x:f>IF(AND(AND(535&lt;='Control Room'!$B$3,'Control Room'!$D$3="Ready"),6&lt;='Control Room'!$B$2),ROUND(MAX(0,'Process'!AD536*'Control Room'!$H$9*INDEX('Control Room'!$B$19:$H$19,1,WEEKDAY($A536,2))*(1+'Control Room'!$D$9)^534*'Process'!AE536),2),"")</x:f>
      </x:c>
      <x:c r="I536" s="16" t="str">
        <x:f>IF(AND(AND(535&lt;='Control Room'!$B$3,'Control Room'!$D$3="Ready"),7&lt;='Control Room'!$B$2),ROUND(MAX(0,'Process'!AI536*'Control Room'!$H$10*INDEX('Control Room'!$B$19:$H$19,1,WEEKDAY($A536,2))*(1+'Control Room'!$D$9)^534*'Process'!AJ536),2),"")</x:f>
      </x:c>
      <x:c r="J536" s="16" t="str">
        <x:f>IF(AND(AND(535&lt;='Control Room'!$B$3,'Control Room'!$D$3="Ready"),8&lt;='Control Room'!$B$2),ROUND(MAX(0,'Process'!AN536*'Control Room'!$H$11*INDEX('Control Room'!$B$19:$H$19,1,WEEKDAY($A536,2))*(1+'Control Room'!$D$9)^534*'Process'!AO536),2),"")</x:f>
      </x:c>
      <x:c r="K536" s="16" t="str">
        <x:f>IF(AND(AND(535&lt;='Control Room'!$B$3,'Control Room'!$D$3="Ready"),9&lt;='Control Room'!$B$2),ROUND(MAX(0,'Process'!AS536*'Control Room'!$H$12*INDEX('Control Room'!$B$19:$H$19,1,WEEKDAY($A536,2))*(1+'Control Room'!$D$9)^534*'Process'!AT536),2),"")</x:f>
      </x:c>
      <x:c r="L536" s="16" t="str">
        <x:f>IF(AND(AND(535&lt;='Control Room'!$B$3,'Control Room'!$D$3="Ready"),10&lt;='Control Room'!$B$2),ROUND(MAX(0,'Process'!AX536*'Control Room'!$H$13*INDEX('Control Room'!$B$19:$H$19,1,WEEKDAY($A536,2))*(1+'Control Room'!$D$9)^534*'Process'!AY536),2),"")</x:f>
      </x:c>
      <x:c r="M536" s="16" t="str">
        <x:f>IF(AND(AND(535&lt;='Control Room'!$B$3,'Control Room'!$D$3="Ready"),11&lt;='Control Room'!$B$2),ROUND(MAX(0,'Process'!BC536*'Control Room'!$H$14*INDEX('Control Room'!$B$19:$H$19,1,WEEKDAY($A536,2))*(1+'Control Room'!$D$9)^534*'Process'!BD536),2),"")</x:f>
      </x:c>
      <x:c r="N536" s="16" t="str">
        <x:f>IF(AND(AND(535&lt;='Control Room'!$B$3,'Control Room'!$D$3="Ready"),12&lt;='Control Room'!$B$2),ROUND(MAX(0,'Process'!BH536*'Control Room'!$H$15*INDEX('Control Room'!$B$19:$H$19,1,WEEKDAY($A536,2))*(1+'Control Room'!$D$9)^534*'Process'!BI536),2),"")</x:f>
      </x:c>
    </x:row>
    <x:row r="537" ht="21" customHeight="1">
      <x:c r="A537" s="15" t="str">
        <x:f>IF(AND(536&lt;='Control Room'!$B$3,'Control Room'!$D$3="Ready"),'Process'!A537,"")</x:f>
      </x:c>
      <x:c r="B537" s="16" t="str">
        <x:f>IF(A537="","",SUM(C537:N537))</x:f>
      </x:c>
      <x:c r="C537" s="16" t="str">
        <x:f>IF(AND(AND(536&lt;='Control Room'!$B$3,'Control Room'!$D$3="Ready"),1&lt;='Control Room'!$B$2),ROUND(MAX(0,'Process'!E537*'Control Room'!$H$4*INDEX('Control Room'!$B$19:$H$19,1,WEEKDAY($A537,2))*(1+'Control Room'!$D$9)^535*'Process'!F537),2),"")</x:f>
      </x:c>
      <x:c r="D537" s="16" t="str">
        <x:f>IF(AND(AND(536&lt;='Control Room'!$B$3,'Control Room'!$D$3="Ready"),2&lt;='Control Room'!$B$2),ROUND(MAX(0,'Process'!J537*'Control Room'!$H$5*INDEX('Control Room'!$B$19:$H$19,1,WEEKDAY($A537,2))*(1+'Control Room'!$D$9)^535*'Process'!K537),2),"")</x:f>
      </x:c>
      <x:c r="E537" s="16" t="str">
        <x:f>IF(AND(AND(536&lt;='Control Room'!$B$3,'Control Room'!$D$3="Ready"),3&lt;='Control Room'!$B$2),ROUND(MAX(0,'Process'!O537*'Control Room'!$H$6*INDEX('Control Room'!$B$19:$H$19,1,WEEKDAY($A537,2))*(1+'Control Room'!$D$9)^535*'Process'!P537),2),"")</x:f>
      </x:c>
      <x:c r="F537" s="16" t="str">
        <x:f>IF(AND(AND(536&lt;='Control Room'!$B$3,'Control Room'!$D$3="Ready"),4&lt;='Control Room'!$B$2),ROUND(MAX(0,'Process'!T537*'Control Room'!$H$7*INDEX('Control Room'!$B$19:$H$19,1,WEEKDAY($A537,2))*(1+'Control Room'!$D$9)^535*'Process'!U537),2),"")</x:f>
      </x:c>
      <x:c r="G537" s="16" t="str">
        <x:f>IF(AND(AND(536&lt;='Control Room'!$B$3,'Control Room'!$D$3="Ready"),5&lt;='Control Room'!$B$2),ROUND(MAX(0,'Process'!Y537*'Control Room'!$H$8*INDEX('Control Room'!$B$19:$H$19,1,WEEKDAY($A537,2))*(1+'Control Room'!$D$9)^535*'Process'!Z537),2),"")</x:f>
      </x:c>
      <x:c r="H537" s="16" t="str">
        <x:f>IF(AND(AND(536&lt;='Control Room'!$B$3,'Control Room'!$D$3="Ready"),6&lt;='Control Room'!$B$2),ROUND(MAX(0,'Process'!AD537*'Control Room'!$H$9*INDEX('Control Room'!$B$19:$H$19,1,WEEKDAY($A537,2))*(1+'Control Room'!$D$9)^535*'Process'!AE537),2),"")</x:f>
      </x:c>
      <x:c r="I537" s="16" t="str">
        <x:f>IF(AND(AND(536&lt;='Control Room'!$B$3,'Control Room'!$D$3="Ready"),7&lt;='Control Room'!$B$2),ROUND(MAX(0,'Process'!AI537*'Control Room'!$H$10*INDEX('Control Room'!$B$19:$H$19,1,WEEKDAY($A537,2))*(1+'Control Room'!$D$9)^535*'Process'!AJ537),2),"")</x:f>
      </x:c>
      <x:c r="J537" s="16" t="str">
        <x:f>IF(AND(AND(536&lt;='Control Room'!$B$3,'Control Room'!$D$3="Ready"),8&lt;='Control Room'!$B$2),ROUND(MAX(0,'Process'!AN537*'Control Room'!$H$11*INDEX('Control Room'!$B$19:$H$19,1,WEEKDAY($A537,2))*(1+'Control Room'!$D$9)^535*'Process'!AO537),2),"")</x:f>
      </x:c>
      <x:c r="K537" s="16" t="str">
        <x:f>IF(AND(AND(536&lt;='Control Room'!$B$3,'Control Room'!$D$3="Ready"),9&lt;='Control Room'!$B$2),ROUND(MAX(0,'Process'!AS537*'Control Room'!$H$12*INDEX('Control Room'!$B$19:$H$19,1,WEEKDAY($A537,2))*(1+'Control Room'!$D$9)^535*'Process'!AT537),2),"")</x:f>
      </x:c>
      <x:c r="L537" s="16" t="str">
        <x:f>IF(AND(AND(536&lt;='Control Room'!$B$3,'Control Room'!$D$3="Ready"),10&lt;='Control Room'!$B$2),ROUND(MAX(0,'Process'!AX537*'Control Room'!$H$13*INDEX('Control Room'!$B$19:$H$19,1,WEEKDAY($A537,2))*(1+'Control Room'!$D$9)^535*'Process'!AY537),2),"")</x:f>
      </x:c>
      <x:c r="M537" s="16" t="str">
        <x:f>IF(AND(AND(536&lt;='Control Room'!$B$3,'Control Room'!$D$3="Ready"),11&lt;='Control Room'!$B$2),ROUND(MAX(0,'Process'!BC537*'Control Room'!$H$14*INDEX('Control Room'!$B$19:$H$19,1,WEEKDAY($A537,2))*(1+'Control Room'!$D$9)^535*'Process'!BD537),2),"")</x:f>
      </x:c>
      <x:c r="N537" s="16" t="str">
        <x:f>IF(AND(AND(536&lt;='Control Room'!$B$3,'Control Room'!$D$3="Ready"),12&lt;='Control Room'!$B$2),ROUND(MAX(0,'Process'!BH537*'Control Room'!$H$15*INDEX('Control Room'!$B$19:$H$19,1,WEEKDAY($A537,2))*(1+'Control Room'!$D$9)^535*'Process'!BI537),2),"")</x:f>
      </x:c>
    </x:row>
    <x:row r="538" ht="21" customHeight="1">
      <x:c r="A538" s="15" t="str">
        <x:f>IF(AND(537&lt;='Control Room'!$B$3,'Control Room'!$D$3="Ready"),'Process'!A538,"")</x:f>
      </x:c>
      <x:c r="B538" s="16" t="str">
        <x:f>IF(A538="","",SUM(C538:N538))</x:f>
      </x:c>
      <x:c r="C538" s="16" t="str">
        <x:f>IF(AND(AND(537&lt;='Control Room'!$B$3,'Control Room'!$D$3="Ready"),1&lt;='Control Room'!$B$2),ROUND(MAX(0,'Process'!E538*'Control Room'!$H$4*INDEX('Control Room'!$B$19:$H$19,1,WEEKDAY($A538,2))*(1+'Control Room'!$D$9)^536*'Process'!F538),2),"")</x:f>
      </x:c>
      <x:c r="D538" s="16" t="str">
        <x:f>IF(AND(AND(537&lt;='Control Room'!$B$3,'Control Room'!$D$3="Ready"),2&lt;='Control Room'!$B$2),ROUND(MAX(0,'Process'!J538*'Control Room'!$H$5*INDEX('Control Room'!$B$19:$H$19,1,WEEKDAY($A538,2))*(1+'Control Room'!$D$9)^536*'Process'!K538),2),"")</x:f>
      </x:c>
      <x:c r="E538" s="16" t="str">
        <x:f>IF(AND(AND(537&lt;='Control Room'!$B$3,'Control Room'!$D$3="Ready"),3&lt;='Control Room'!$B$2),ROUND(MAX(0,'Process'!O538*'Control Room'!$H$6*INDEX('Control Room'!$B$19:$H$19,1,WEEKDAY($A538,2))*(1+'Control Room'!$D$9)^536*'Process'!P538),2),"")</x:f>
      </x:c>
      <x:c r="F538" s="16" t="str">
        <x:f>IF(AND(AND(537&lt;='Control Room'!$B$3,'Control Room'!$D$3="Ready"),4&lt;='Control Room'!$B$2),ROUND(MAX(0,'Process'!T538*'Control Room'!$H$7*INDEX('Control Room'!$B$19:$H$19,1,WEEKDAY($A538,2))*(1+'Control Room'!$D$9)^536*'Process'!U538),2),"")</x:f>
      </x:c>
      <x:c r="G538" s="16" t="str">
        <x:f>IF(AND(AND(537&lt;='Control Room'!$B$3,'Control Room'!$D$3="Ready"),5&lt;='Control Room'!$B$2),ROUND(MAX(0,'Process'!Y538*'Control Room'!$H$8*INDEX('Control Room'!$B$19:$H$19,1,WEEKDAY($A538,2))*(1+'Control Room'!$D$9)^536*'Process'!Z538),2),"")</x:f>
      </x:c>
      <x:c r="H538" s="16" t="str">
        <x:f>IF(AND(AND(537&lt;='Control Room'!$B$3,'Control Room'!$D$3="Ready"),6&lt;='Control Room'!$B$2),ROUND(MAX(0,'Process'!AD538*'Control Room'!$H$9*INDEX('Control Room'!$B$19:$H$19,1,WEEKDAY($A538,2))*(1+'Control Room'!$D$9)^536*'Process'!AE538),2),"")</x:f>
      </x:c>
      <x:c r="I538" s="16" t="str">
        <x:f>IF(AND(AND(537&lt;='Control Room'!$B$3,'Control Room'!$D$3="Ready"),7&lt;='Control Room'!$B$2),ROUND(MAX(0,'Process'!AI538*'Control Room'!$H$10*INDEX('Control Room'!$B$19:$H$19,1,WEEKDAY($A538,2))*(1+'Control Room'!$D$9)^536*'Process'!AJ538),2),"")</x:f>
      </x:c>
      <x:c r="J538" s="16" t="str">
        <x:f>IF(AND(AND(537&lt;='Control Room'!$B$3,'Control Room'!$D$3="Ready"),8&lt;='Control Room'!$B$2),ROUND(MAX(0,'Process'!AN538*'Control Room'!$H$11*INDEX('Control Room'!$B$19:$H$19,1,WEEKDAY($A538,2))*(1+'Control Room'!$D$9)^536*'Process'!AO538),2),"")</x:f>
      </x:c>
      <x:c r="K538" s="16" t="str">
        <x:f>IF(AND(AND(537&lt;='Control Room'!$B$3,'Control Room'!$D$3="Ready"),9&lt;='Control Room'!$B$2),ROUND(MAX(0,'Process'!AS538*'Control Room'!$H$12*INDEX('Control Room'!$B$19:$H$19,1,WEEKDAY($A538,2))*(1+'Control Room'!$D$9)^536*'Process'!AT538),2),"")</x:f>
      </x:c>
      <x:c r="L538" s="16" t="str">
        <x:f>IF(AND(AND(537&lt;='Control Room'!$B$3,'Control Room'!$D$3="Ready"),10&lt;='Control Room'!$B$2),ROUND(MAX(0,'Process'!AX538*'Control Room'!$H$13*INDEX('Control Room'!$B$19:$H$19,1,WEEKDAY($A538,2))*(1+'Control Room'!$D$9)^536*'Process'!AY538),2),"")</x:f>
      </x:c>
      <x:c r="M538" s="16" t="str">
        <x:f>IF(AND(AND(537&lt;='Control Room'!$B$3,'Control Room'!$D$3="Ready"),11&lt;='Control Room'!$B$2),ROUND(MAX(0,'Process'!BC538*'Control Room'!$H$14*INDEX('Control Room'!$B$19:$H$19,1,WEEKDAY($A538,2))*(1+'Control Room'!$D$9)^536*'Process'!BD538),2),"")</x:f>
      </x:c>
      <x:c r="N538" s="16" t="str">
        <x:f>IF(AND(AND(537&lt;='Control Room'!$B$3,'Control Room'!$D$3="Ready"),12&lt;='Control Room'!$B$2),ROUND(MAX(0,'Process'!BH538*'Control Room'!$H$15*INDEX('Control Room'!$B$19:$H$19,1,WEEKDAY($A538,2))*(1+'Control Room'!$D$9)^536*'Process'!BI538),2),"")</x:f>
      </x:c>
    </x:row>
    <x:row r="539" ht="21" customHeight="1">
      <x:c r="A539" s="15" t="str">
        <x:f>IF(AND(538&lt;='Control Room'!$B$3,'Control Room'!$D$3="Ready"),'Process'!A539,"")</x:f>
      </x:c>
      <x:c r="B539" s="16" t="str">
        <x:f>IF(A539="","",SUM(C539:N539))</x:f>
      </x:c>
      <x:c r="C539" s="16" t="str">
        <x:f>IF(AND(AND(538&lt;='Control Room'!$B$3,'Control Room'!$D$3="Ready"),1&lt;='Control Room'!$B$2),ROUND(MAX(0,'Process'!E539*'Control Room'!$H$4*INDEX('Control Room'!$B$19:$H$19,1,WEEKDAY($A539,2))*(1+'Control Room'!$D$9)^537*'Process'!F539),2),"")</x:f>
      </x:c>
      <x:c r="D539" s="16" t="str">
        <x:f>IF(AND(AND(538&lt;='Control Room'!$B$3,'Control Room'!$D$3="Ready"),2&lt;='Control Room'!$B$2),ROUND(MAX(0,'Process'!J539*'Control Room'!$H$5*INDEX('Control Room'!$B$19:$H$19,1,WEEKDAY($A539,2))*(1+'Control Room'!$D$9)^537*'Process'!K539),2),"")</x:f>
      </x:c>
      <x:c r="E539" s="16" t="str">
        <x:f>IF(AND(AND(538&lt;='Control Room'!$B$3,'Control Room'!$D$3="Ready"),3&lt;='Control Room'!$B$2),ROUND(MAX(0,'Process'!O539*'Control Room'!$H$6*INDEX('Control Room'!$B$19:$H$19,1,WEEKDAY($A539,2))*(1+'Control Room'!$D$9)^537*'Process'!P539),2),"")</x:f>
      </x:c>
      <x:c r="F539" s="16" t="str">
        <x:f>IF(AND(AND(538&lt;='Control Room'!$B$3,'Control Room'!$D$3="Ready"),4&lt;='Control Room'!$B$2),ROUND(MAX(0,'Process'!T539*'Control Room'!$H$7*INDEX('Control Room'!$B$19:$H$19,1,WEEKDAY($A539,2))*(1+'Control Room'!$D$9)^537*'Process'!U539),2),"")</x:f>
      </x:c>
      <x:c r="G539" s="16" t="str">
        <x:f>IF(AND(AND(538&lt;='Control Room'!$B$3,'Control Room'!$D$3="Ready"),5&lt;='Control Room'!$B$2),ROUND(MAX(0,'Process'!Y539*'Control Room'!$H$8*INDEX('Control Room'!$B$19:$H$19,1,WEEKDAY($A539,2))*(1+'Control Room'!$D$9)^537*'Process'!Z539),2),"")</x:f>
      </x:c>
      <x:c r="H539" s="16" t="str">
        <x:f>IF(AND(AND(538&lt;='Control Room'!$B$3,'Control Room'!$D$3="Ready"),6&lt;='Control Room'!$B$2),ROUND(MAX(0,'Process'!AD539*'Control Room'!$H$9*INDEX('Control Room'!$B$19:$H$19,1,WEEKDAY($A539,2))*(1+'Control Room'!$D$9)^537*'Process'!AE539),2),"")</x:f>
      </x:c>
      <x:c r="I539" s="16" t="str">
        <x:f>IF(AND(AND(538&lt;='Control Room'!$B$3,'Control Room'!$D$3="Ready"),7&lt;='Control Room'!$B$2),ROUND(MAX(0,'Process'!AI539*'Control Room'!$H$10*INDEX('Control Room'!$B$19:$H$19,1,WEEKDAY($A539,2))*(1+'Control Room'!$D$9)^537*'Process'!AJ539),2),"")</x:f>
      </x:c>
      <x:c r="J539" s="16" t="str">
        <x:f>IF(AND(AND(538&lt;='Control Room'!$B$3,'Control Room'!$D$3="Ready"),8&lt;='Control Room'!$B$2),ROUND(MAX(0,'Process'!AN539*'Control Room'!$H$11*INDEX('Control Room'!$B$19:$H$19,1,WEEKDAY($A539,2))*(1+'Control Room'!$D$9)^537*'Process'!AO539),2),"")</x:f>
      </x:c>
      <x:c r="K539" s="16" t="str">
        <x:f>IF(AND(AND(538&lt;='Control Room'!$B$3,'Control Room'!$D$3="Ready"),9&lt;='Control Room'!$B$2),ROUND(MAX(0,'Process'!AS539*'Control Room'!$H$12*INDEX('Control Room'!$B$19:$H$19,1,WEEKDAY($A539,2))*(1+'Control Room'!$D$9)^537*'Process'!AT539),2),"")</x:f>
      </x:c>
      <x:c r="L539" s="16" t="str">
        <x:f>IF(AND(AND(538&lt;='Control Room'!$B$3,'Control Room'!$D$3="Ready"),10&lt;='Control Room'!$B$2),ROUND(MAX(0,'Process'!AX539*'Control Room'!$H$13*INDEX('Control Room'!$B$19:$H$19,1,WEEKDAY($A539,2))*(1+'Control Room'!$D$9)^537*'Process'!AY539),2),"")</x:f>
      </x:c>
      <x:c r="M539" s="16" t="str">
        <x:f>IF(AND(AND(538&lt;='Control Room'!$B$3,'Control Room'!$D$3="Ready"),11&lt;='Control Room'!$B$2),ROUND(MAX(0,'Process'!BC539*'Control Room'!$H$14*INDEX('Control Room'!$B$19:$H$19,1,WEEKDAY($A539,2))*(1+'Control Room'!$D$9)^537*'Process'!BD539),2),"")</x:f>
      </x:c>
      <x:c r="N539" s="16" t="str">
        <x:f>IF(AND(AND(538&lt;='Control Room'!$B$3,'Control Room'!$D$3="Ready"),12&lt;='Control Room'!$B$2),ROUND(MAX(0,'Process'!BH539*'Control Room'!$H$15*INDEX('Control Room'!$B$19:$H$19,1,WEEKDAY($A539,2))*(1+'Control Room'!$D$9)^537*'Process'!BI539),2),"")</x:f>
      </x:c>
    </x:row>
    <x:row r="540" ht="21" customHeight="1">
      <x:c r="A540" s="15" t="str">
        <x:f>IF(AND(539&lt;='Control Room'!$B$3,'Control Room'!$D$3="Ready"),'Process'!A540,"")</x:f>
      </x:c>
      <x:c r="B540" s="16" t="str">
        <x:f>IF(A540="","",SUM(C540:N540))</x:f>
      </x:c>
      <x:c r="C540" s="16" t="str">
        <x:f>IF(AND(AND(539&lt;='Control Room'!$B$3,'Control Room'!$D$3="Ready"),1&lt;='Control Room'!$B$2),ROUND(MAX(0,'Process'!E540*'Control Room'!$H$4*INDEX('Control Room'!$B$19:$H$19,1,WEEKDAY($A540,2))*(1+'Control Room'!$D$9)^538*'Process'!F540),2),"")</x:f>
      </x:c>
      <x:c r="D540" s="16" t="str">
        <x:f>IF(AND(AND(539&lt;='Control Room'!$B$3,'Control Room'!$D$3="Ready"),2&lt;='Control Room'!$B$2),ROUND(MAX(0,'Process'!J540*'Control Room'!$H$5*INDEX('Control Room'!$B$19:$H$19,1,WEEKDAY($A540,2))*(1+'Control Room'!$D$9)^538*'Process'!K540),2),"")</x:f>
      </x:c>
      <x:c r="E540" s="16" t="str">
        <x:f>IF(AND(AND(539&lt;='Control Room'!$B$3,'Control Room'!$D$3="Ready"),3&lt;='Control Room'!$B$2),ROUND(MAX(0,'Process'!O540*'Control Room'!$H$6*INDEX('Control Room'!$B$19:$H$19,1,WEEKDAY($A540,2))*(1+'Control Room'!$D$9)^538*'Process'!P540),2),"")</x:f>
      </x:c>
      <x:c r="F540" s="16" t="str">
        <x:f>IF(AND(AND(539&lt;='Control Room'!$B$3,'Control Room'!$D$3="Ready"),4&lt;='Control Room'!$B$2),ROUND(MAX(0,'Process'!T540*'Control Room'!$H$7*INDEX('Control Room'!$B$19:$H$19,1,WEEKDAY($A540,2))*(1+'Control Room'!$D$9)^538*'Process'!U540),2),"")</x:f>
      </x:c>
      <x:c r="G540" s="16" t="str">
        <x:f>IF(AND(AND(539&lt;='Control Room'!$B$3,'Control Room'!$D$3="Ready"),5&lt;='Control Room'!$B$2),ROUND(MAX(0,'Process'!Y540*'Control Room'!$H$8*INDEX('Control Room'!$B$19:$H$19,1,WEEKDAY($A540,2))*(1+'Control Room'!$D$9)^538*'Process'!Z540),2),"")</x:f>
      </x:c>
      <x:c r="H540" s="16" t="str">
        <x:f>IF(AND(AND(539&lt;='Control Room'!$B$3,'Control Room'!$D$3="Ready"),6&lt;='Control Room'!$B$2),ROUND(MAX(0,'Process'!AD540*'Control Room'!$H$9*INDEX('Control Room'!$B$19:$H$19,1,WEEKDAY($A540,2))*(1+'Control Room'!$D$9)^538*'Process'!AE540),2),"")</x:f>
      </x:c>
      <x:c r="I540" s="16" t="str">
        <x:f>IF(AND(AND(539&lt;='Control Room'!$B$3,'Control Room'!$D$3="Ready"),7&lt;='Control Room'!$B$2),ROUND(MAX(0,'Process'!AI540*'Control Room'!$H$10*INDEX('Control Room'!$B$19:$H$19,1,WEEKDAY($A540,2))*(1+'Control Room'!$D$9)^538*'Process'!AJ540),2),"")</x:f>
      </x:c>
      <x:c r="J540" s="16" t="str">
        <x:f>IF(AND(AND(539&lt;='Control Room'!$B$3,'Control Room'!$D$3="Ready"),8&lt;='Control Room'!$B$2),ROUND(MAX(0,'Process'!AN540*'Control Room'!$H$11*INDEX('Control Room'!$B$19:$H$19,1,WEEKDAY($A540,2))*(1+'Control Room'!$D$9)^538*'Process'!AO540),2),"")</x:f>
      </x:c>
      <x:c r="K540" s="16" t="str">
        <x:f>IF(AND(AND(539&lt;='Control Room'!$B$3,'Control Room'!$D$3="Ready"),9&lt;='Control Room'!$B$2),ROUND(MAX(0,'Process'!AS540*'Control Room'!$H$12*INDEX('Control Room'!$B$19:$H$19,1,WEEKDAY($A540,2))*(1+'Control Room'!$D$9)^538*'Process'!AT540),2),"")</x:f>
      </x:c>
      <x:c r="L540" s="16" t="str">
        <x:f>IF(AND(AND(539&lt;='Control Room'!$B$3,'Control Room'!$D$3="Ready"),10&lt;='Control Room'!$B$2),ROUND(MAX(0,'Process'!AX540*'Control Room'!$H$13*INDEX('Control Room'!$B$19:$H$19,1,WEEKDAY($A540,2))*(1+'Control Room'!$D$9)^538*'Process'!AY540),2),"")</x:f>
      </x:c>
      <x:c r="M540" s="16" t="str">
        <x:f>IF(AND(AND(539&lt;='Control Room'!$B$3,'Control Room'!$D$3="Ready"),11&lt;='Control Room'!$B$2),ROUND(MAX(0,'Process'!BC540*'Control Room'!$H$14*INDEX('Control Room'!$B$19:$H$19,1,WEEKDAY($A540,2))*(1+'Control Room'!$D$9)^538*'Process'!BD540),2),"")</x:f>
      </x:c>
      <x:c r="N540" s="16" t="str">
        <x:f>IF(AND(AND(539&lt;='Control Room'!$B$3,'Control Room'!$D$3="Ready"),12&lt;='Control Room'!$B$2),ROUND(MAX(0,'Process'!BH540*'Control Room'!$H$15*INDEX('Control Room'!$B$19:$H$19,1,WEEKDAY($A540,2))*(1+'Control Room'!$D$9)^538*'Process'!BI540),2),"")</x:f>
      </x:c>
    </x:row>
    <x:row r="541" ht="21" customHeight="1">
      <x:c r="A541" s="15" t="str">
        <x:f>IF(AND(540&lt;='Control Room'!$B$3,'Control Room'!$D$3="Ready"),'Process'!A541,"")</x:f>
      </x:c>
      <x:c r="B541" s="16" t="str">
        <x:f>IF(A541="","",SUM(C541:N541))</x:f>
      </x:c>
      <x:c r="C541" s="16" t="str">
        <x:f>IF(AND(AND(540&lt;='Control Room'!$B$3,'Control Room'!$D$3="Ready"),1&lt;='Control Room'!$B$2),ROUND(MAX(0,'Process'!E541*'Control Room'!$H$4*INDEX('Control Room'!$B$19:$H$19,1,WEEKDAY($A541,2))*(1+'Control Room'!$D$9)^539*'Process'!F541),2),"")</x:f>
      </x:c>
      <x:c r="D541" s="16" t="str">
        <x:f>IF(AND(AND(540&lt;='Control Room'!$B$3,'Control Room'!$D$3="Ready"),2&lt;='Control Room'!$B$2),ROUND(MAX(0,'Process'!J541*'Control Room'!$H$5*INDEX('Control Room'!$B$19:$H$19,1,WEEKDAY($A541,2))*(1+'Control Room'!$D$9)^539*'Process'!K541),2),"")</x:f>
      </x:c>
      <x:c r="E541" s="16" t="str">
        <x:f>IF(AND(AND(540&lt;='Control Room'!$B$3,'Control Room'!$D$3="Ready"),3&lt;='Control Room'!$B$2),ROUND(MAX(0,'Process'!O541*'Control Room'!$H$6*INDEX('Control Room'!$B$19:$H$19,1,WEEKDAY($A541,2))*(1+'Control Room'!$D$9)^539*'Process'!P541),2),"")</x:f>
      </x:c>
      <x:c r="F541" s="16" t="str">
        <x:f>IF(AND(AND(540&lt;='Control Room'!$B$3,'Control Room'!$D$3="Ready"),4&lt;='Control Room'!$B$2),ROUND(MAX(0,'Process'!T541*'Control Room'!$H$7*INDEX('Control Room'!$B$19:$H$19,1,WEEKDAY($A541,2))*(1+'Control Room'!$D$9)^539*'Process'!U541),2),"")</x:f>
      </x:c>
      <x:c r="G541" s="16" t="str">
        <x:f>IF(AND(AND(540&lt;='Control Room'!$B$3,'Control Room'!$D$3="Ready"),5&lt;='Control Room'!$B$2),ROUND(MAX(0,'Process'!Y541*'Control Room'!$H$8*INDEX('Control Room'!$B$19:$H$19,1,WEEKDAY($A541,2))*(1+'Control Room'!$D$9)^539*'Process'!Z541),2),"")</x:f>
      </x:c>
      <x:c r="H541" s="16" t="str">
        <x:f>IF(AND(AND(540&lt;='Control Room'!$B$3,'Control Room'!$D$3="Ready"),6&lt;='Control Room'!$B$2),ROUND(MAX(0,'Process'!AD541*'Control Room'!$H$9*INDEX('Control Room'!$B$19:$H$19,1,WEEKDAY($A541,2))*(1+'Control Room'!$D$9)^539*'Process'!AE541),2),"")</x:f>
      </x:c>
      <x:c r="I541" s="16" t="str">
        <x:f>IF(AND(AND(540&lt;='Control Room'!$B$3,'Control Room'!$D$3="Ready"),7&lt;='Control Room'!$B$2),ROUND(MAX(0,'Process'!AI541*'Control Room'!$H$10*INDEX('Control Room'!$B$19:$H$19,1,WEEKDAY($A541,2))*(1+'Control Room'!$D$9)^539*'Process'!AJ541),2),"")</x:f>
      </x:c>
      <x:c r="J541" s="16" t="str">
        <x:f>IF(AND(AND(540&lt;='Control Room'!$B$3,'Control Room'!$D$3="Ready"),8&lt;='Control Room'!$B$2),ROUND(MAX(0,'Process'!AN541*'Control Room'!$H$11*INDEX('Control Room'!$B$19:$H$19,1,WEEKDAY($A541,2))*(1+'Control Room'!$D$9)^539*'Process'!AO541),2),"")</x:f>
      </x:c>
      <x:c r="K541" s="16" t="str">
        <x:f>IF(AND(AND(540&lt;='Control Room'!$B$3,'Control Room'!$D$3="Ready"),9&lt;='Control Room'!$B$2),ROUND(MAX(0,'Process'!AS541*'Control Room'!$H$12*INDEX('Control Room'!$B$19:$H$19,1,WEEKDAY($A541,2))*(1+'Control Room'!$D$9)^539*'Process'!AT541),2),"")</x:f>
      </x:c>
      <x:c r="L541" s="16" t="str">
        <x:f>IF(AND(AND(540&lt;='Control Room'!$B$3,'Control Room'!$D$3="Ready"),10&lt;='Control Room'!$B$2),ROUND(MAX(0,'Process'!AX541*'Control Room'!$H$13*INDEX('Control Room'!$B$19:$H$19,1,WEEKDAY($A541,2))*(1+'Control Room'!$D$9)^539*'Process'!AY541),2),"")</x:f>
      </x:c>
      <x:c r="M541" s="16" t="str">
        <x:f>IF(AND(AND(540&lt;='Control Room'!$B$3,'Control Room'!$D$3="Ready"),11&lt;='Control Room'!$B$2),ROUND(MAX(0,'Process'!BC541*'Control Room'!$H$14*INDEX('Control Room'!$B$19:$H$19,1,WEEKDAY($A541,2))*(1+'Control Room'!$D$9)^539*'Process'!BD541),2),"")</x:f>
      </x:c>
      <x:c r="N541" s="16" t="str">
        <x:f>IF(AND(AND(540&lt;='Control Room'!$B$3,'Control Room'!$D$3="Ready"),12&lt;='Control Room'!$B$2),ROUND(MAX(0,'Process'!BH541*'Control Room'!$H$15*INDEX('Control Room'!$B$19:$H$19,1,WEEKDAY($A541,2))*(1+'Control Room'!$D$9)^539*'Process'!BI541),2),"")</x:f>
      </x:c>
    </x:row>
    <x:row r="542" ht="21" customHeight="1">
      <x:c r="A542" s="15" t="str">
        <x:f>IF(AND(541&lt;='Control Room'!$B$3,'Control Room'!$D$3="Ready"),'Process'!A542,"")</x:f>
      </x:c>
      <x:c r="B542" s="16" t="str">
        <x:f>IF(A542="","",SUM(C542:N542))</x:f>
      </x:c>
      <x:c r="C542" s="16" t="str">
        <x:f>IF(AND(AND(541&lt;='Control Room'!$B$3,'Control Room'!$D$3="Ready"),1&lt;='Control Room'!$B$2),ROUND(MAX(0,'Process'!E542*'Control Room'!$H$4*INDEX('Control Room'!$B$19:$H$19,1,WEEKDAY($A542,2))*(1+'Control Room'!$D$9)^540*'Process'!F542),2),"")</x:f>
      </x:c>
      <x:c r="D542" s="16" t="str">
        <x:f>IF(AND(AND(541&lt;='Control Room'!$B$3,'Control Room'!$D$3="Ready"),2&lt;='Control Room'!$B$2),ROUND(MAX(0,'Process'!J542*'Control Room'!$H$5*INDEX('Control Room'!$B$19:$H$19,1,WEEKDAY($A542,2))*(1+'Control Room'!$D$9)^540*'Process'!K542),2),"")</x:f>
      </x:c>
      <x:c r="E542" s="16" t="str">
        <x:f>IF(AND(AND(541&lt;='Control Room'!$B$3,'Control Room'!$D$3="Ready"),3&lt;='Control Room'!$B$2),ROUND(MAX(0,'Process'!O542*'Control Room'!$H$6*INDEX('Control Room'!$B$19:$H$19,1,WEEKDAY($A542,2))*(1+'Control Room'!$D$9)^540*'Process'!P542),2),"")</x:f>
      </x:c>
      <x:c r="F542" s="16" t="str">
        <x:f>IF(AND(AND(541&lt;='Control Room'!$B$3,'Control Room'!$D$3="Ready"),4&lt;='Control Room'!$B$2),ROUND(MAX(0,'Process'!T542*'Control Room'!$H$7*INDEX('Control Room'!$B$19:$H$19,1,WEEKDAY($A542,2))*(1+'Control Room'!$D$9)^540*'Process'!U542),2),"")</x:f>
      </x:c>
      <x:c r="G542" s="16" t="str">
        <x:f>IF(AND(AND(541&lt;='Control Room'!$B$3,'Control Room'!$D$3="Ready"),5&lt;='Control Room'!$B$2),ROUND(MAX(0,'Process'!Y542*'Control Room'!$H$8*INDEX('Control Room'!$B$19:$H$19,1,WEEKDAY($A542,2))*(1+'Control Room'!$D$9)^540*'Process'!Z542),2),"")</x:f>
      </x:c>
      <x:c r="H542" s="16" t="str">
        <x:f>IF(AND(AND(541&lt;='Control Room'!$B$3,'Control Room'!$D$3="Ready"),6&lt;='Control Room'!$B$2),ROUND(MAX(0,'Process'!AD542*'Control Room'!$H$9*INDEX('Control Room'!$B$19:$H$19,1,WEEKDAY($A542,2))*(1+'Control Room'!$D$9)^540*'Process'!AE542),2),"")</x:f>
      </x:c>
      <x:c r="I542" s="16" t="str">
        <x:f>IF(AND(AND(541&lt;='Control Room'!$B$3,'Control Room'!$D$3="Ready"),7&lt;='Control Room'!$B$2),ROUND(MAX(0,'Process'!AI542*'Control Room'!$H$10*INDEX('Control Room'!$B$19:$H$19,1,WEEKDAY($A542,2))*(1+'Control Room'!$D$9)^540*'Process'!AJ542),2),"")</x:f>
      </x:c>
      <x:c r="J542" s="16" t="str">
        <x:f>IF(AND(AND(541&lt;='Control Room'!$B$3,'Control Room'!$D$3="Ready"),8&lt;='Control Room'!$B$2),ROUND(MAX(0,'Process'!AN542*'Control Room'!$H$11*INDEX('Control Room'!$B$19:$H$19,1,WEEKDAY($A542,2))*(1+'Control Room'!$D$9)^540*'Process'!AO542),2),"")</x:f>
      </x:c>
      <x:c r="K542" s="16" t="str">
        <x:f>IF(AND(AND(541&lt;='Control Room'!$B$3,'Control Room'!$D$3="Ready"),9&lt;='Control Room'!$B$2),ROUND(MAX(0,'Process'!AS542*'Control Room'!$H$12*INDEX('Control Room'!$B$19:$H$19,1,WEEKDAY($A542,2))*(1+'Control Room'!$D$9)^540*'Process'!AT542),2),"")</x:f>
      </x:c>
      <x:c r="L542" s="16" t="str">
        <x:f>IF(AND(AND(541&lt;='Control Room'!$B$3,'Control Room'!$D$3="Ready"),10&lt;='Control Room'!$B$2),ROUND(MAX(0,'Process'!AX542*'Control Room'!$H$13*INDEX('Control Room'!$B$19:$H$19,1,WEEKDAY($A542,2))*(1+'Control Room'!$D$9)^540*'Process'!AY542),2),"")</x:f>
      </x:c>
      <x:c r="M542" s="16" t="str">
        <x:f>IF(AND(AND(541&lt;='Control Room'!$B$3,'Control Room'!$D$3="Ready"),11&lt;='Control Room'!$B$2),ROUND(MAX(0,'Process'!BC542*'Control Room'!$H$14*INDEX('Control Room'!$B$19:$H$19,1,WEEKDAY($A542,2))*(1+'Control Room'!$D$9)^540*'Process'!BD542),2),"")</x:f>
      </x:c>
      <x:c r="N542" s="16" t="str">
        <x:f>IF(AND(AND(541&lt;='Control Room'!$B$3,'Control Room'!$D$3="Ready"),12&lt;='Control Room'!$B$2),ROUND(MAX(0,'Process'!BH542*'Control Room'!$H$15*INDEX('Control Room'!$B$19:$H$19,1,WEEKDAY($A542,2))*(1+'Control Room'!$D$9)^540*'Process'!BI542),2),"")</x:f>
      </x:c>
    </x:row>
    <x:row r="543" ht="21" customHeight="1">
      <x:c r="A543" s="15" t="str">
        <x:f>IF(AND(542&lt;='Control Room'!$B$3,'Control Room'!$D$3="Ready"),'Process'!A543,"")</x:f>
      </x:c>
      <x:c r="B543" s="16" t="str">
        <x:f>IF(A543="","",SUM(C543:N543))</x:f>
      </x:c>
      <x:c r="C543" s="16" t="str">
        <x:f>IF(AND(AND(542&lt;='Control Room'!$B$3,'Control Room'!$D$3="Ready"),1&lt;='Control Room'!$B$2),ROUND(MAX(0,'Process'!E543*'Control Room'!$H$4*INDEX('Control Room'!$B$19:$H$19,1,WEEKDAY($A543,2))*(1+'Control Room'!$D$9)^541*'Process'!F543),2),"")</x:f>
      </x:c>
      <x:c r="D543" s="16" t="str">
        <x:f>IF(AND(AND(542&lt;='Control Room'!$B$3,'Control Room'!$D$3="Ready"),2&lt;='Control Room'!$B$2),ROUND(MAX(0,'Process'!J543*'Control Room'!$H$5*INDEX('Control Room'!$B$19:$H$19,1,WEEKDAY($A543,2))*(1+'Control Room'!$D$9)^541*'Process'!K543),2),"")</x:f>
      </x:c>
      <x:c r="E543" s="16" t="str">
        <x:f>IF(AND(AND(542&lt;='Control Room'!$B$3,'Control Room'!$D$3="Ready"),3&lt;='Control Room'!$B$2),ROUND(MAX(0,'Process'!O543*'Control Room'!$H$6*INDEX('Control Room'!$B$19:$H$19,1,WEEKDAY($A543,2))*(1+'Control Room'!$D$9)^541*'Process'!P543),2),"")</x:f>
      </x:c>
      <x:c r="F543" s="16" t="str">
        <x:f>IF(AND(AND(542&lt;='Control Room'!$B$3,'Control Room'!$D$3="Ready"),4&lt;='Control Room'!$B$2),ROUND(MAX(0,'Process'!T543*'Control Room'!$H$7*INDEX('Control Room'!$B$19:$H$19,1,WEEKDAY($A543,2))*(1+'Control Room'!$D$9)^541*'Process'!U543),2),"")</x:f>
      </x:c>
      <x:c r="G543" s="16" t="str">
        <x:f>IF(AND(AND(542&lt;='Control Room'!$B$3,'Control Room'!$D$3="Ready"),5&lt;='Control Room'!$B$2),ROUND(MAX(0,'Process'!Y543*'Control Room'!$H$8*INDEX('Control Room'!$B$19:$H$19,1,WEEKDAY($A543,2))*(1+'Control Room'!$D$9)^541*'Process'!Z543),2),"")</x:f>
      </x:c>
      <x:c r="H543" s="16" t="str">
        <x:f>IF(AND(AND(542&lt;='Control Room'!$B$3,'Control Room'!$D$3="Ready"),6&lt;='Control Room'!$B$2),ROUND(MAX(0,'Process'!AD543*'Control Room'!$H$9*INDEX('Control Room'!$B$19:$H$19,1,WEEKDAY($A543,2))*(1+'Control Room'!$D$9)^541*'Process'!AE543),2),"")</x:f>
      </x:c>
      <x:c r="I543" s="16" t="str">
        <x:f>IF(AND(AND(542&lt;='Control Room'!$B$3,'Control Room'!$D$3="Ready"),7&lt;='Control Room'!$B$2),ROUND(MAX(0,'Process'!AI543*'Control Room'!$H$10*INDEX('Control Room'!$B$19:$H$19,1,WEEKDAY($A543,2))*(1+'Control Room'!$D$9)^541*'Process'!AJ543),2),"")</x:f>
      </x:c>
      <x:c r="J543" s="16" t="str">
        <x:f>IF(AND(AND(542&lt;='Control Room'!$B$3,'Control Room'!$D$3="Ready"),8&lt;='Control Room'!$B$2),ROUND(MAX(0,'Process'!AN543*'Control Room'!$H$11*INDEX('Control Room'!$B$19:$H$19,1,WEEKDAY($A543,2))*(1+'Control Room'!$D$9)^541*'Process'!AO543),2),"")</x:f>
      </x:c>
      <x:c r="K543" s="16" t="str">
        <x:f>IF(AND(AND(542&lt;='Control Room'!$B$3,'Control Room'!$D$3="Ready"),9&lt;='Control Room'!$B$2),ROUND(MAX(0,'Process'!AS543*'Control Room'!$H$12*INDEX('Control Room'!$B$19:$H$19,1,WEEKDAY($A543,2))*(1+'Control Room'!$D$9)^541*'Process'!AT543),2),"")</x:f>
      </x:c>
      <x:c r="L543" s="16" t="str">
        <x:f>IF(AND(AND(542&lt;='Control Room'!$B$3,'Control Room'!$D$3="Ready"),10&lt;='Control Room'!$B$2),ROUND(MAX(0,'Process'!AX543*'Control Room'!$H$13*INDEX('Control Room'!$B$19:$H$19,1,WEEKDAY($A543,2))*(1+'Control Room'!$D$9)^541*'Process'!AY543),2),"")</x:f>
      </x:c>
      <x:c r="M543" s="16" t="str">
        <x:f>IF(AND(AND(542&lt;='Control Room'!$B$3,'Control Room'!$D$3="Ready"),11&lt;='Control Room'!$B$2),ROUND(MAX(0,'Process'!BC543*'Control Room'!$H$14*INDEX('Control Room'!$B$19:$H$19,1,WEEKDAY($A543,2))*(1+'Control Room'!$D$9)^541*'Process'!BD543),2),"")</x:f>
      </x:c>
      <x:c r="N543" s="16" t="str">
        <x:f>IF(AND(AND(542&lt;='Control Room'!$B$3,'Control Room'!$D$3="Ready"),12&lt;='Control Room'!$B$2),ROUND(MAX(0,'Process'!BH543*'Control Room'!$H$15*INDEX('Control Room'!$B$19:$H$19,1,WEEKDAY($A543,2))*(1+'Control Room'!$D$9)^541*'Process'!BI543),2),"")</x:f>
      </x:c>
    </x:row>
    <x:row r="544" ht="21" customHeight="1">
      <x:c r="A544" s="15" t="str">
        <x:f>IF(AND(543&lt;='Control Room'!$B$3,'Control Room'!$D$3="Ready"),'Process'!A544,"")</x:f>
      </x:c>
      <x:c r="B544" s="16" t="str">
        <x:f>IF(A544="","",SUM(C544:N544))</x:f>
      </x:c>
      <x:c r="C544" s="16" t="str">
        <x:f>IF(AND(AND(543&lt;='Control Room'!$B$3,'Control Room'!$D$3="Ready"),1&lt;='Control Room'!$B$2),ROUND(MAX(0,'Process'!E544*'Control Room'!$H$4*INDEX('Control Room'!$B$19:$H$19,1,WEEKDAY($A544,2))*(1+'Control Room'!$D$9)^542*'Process'!F544),2),"")</x:f>
      </x:c>
      <x:c r="D544" s="16" t="str">
        <x:f>IF(AND(AND(543&lt;='Control Room'!$B$3,'Control Room'!$D$3="Ready"),2&lt;='Control Room'!$B$2),ROUND(MAX(0,'Process'!J544*'Control Room'!$H$5*INDEX('Control Room'!$B$19:$H$19,1,WEEKDAY($A544,2))*(1+'Control Room'!$D$9)^542*'Process'!K544),2),"")</x:f>
      </x:c>
      <x:c r="E544" s="16" t="str">
        <x:f>IF(AND(AND(543&lt;='Control Room'!$B$3,'Control Room'!$D$3="Ready"),3&lt;='Control Room'!$B$2),ROUND(MAX(0,'Process'!O544*'Control Room'!$H$6*INDEX('Control Room'!$B$19:$H$19,1,WEEKDAY($A544,2))*(1+'Control Room'!$D$9)^542*'Process'!P544),2),"")</x:f>
      </x:c>
      <x:c r="F544" s="16" t="str">
        <x:f>IF(AND(AND(543&lt;='Control Room'!$B$3,'Control Room'!$D$3="Ready"),4&lt;='Control Room'!$B$2),ROUND(MAX(0,'Process'!T544*'Control Room'!$H$7*INDEX('Control Room'!$B$19:$H$19,1,WEEKDAY($A544,2))*(1+'Control Room'!$D$9)^542*'Process'!U544),2),"")</x:f>
      </x:c>
      <x:c r="G544" s="16" t="str">
        <x:f>IF(AND(AND(543&lt;='Control Room'!$B$3,'Control Room'!$D$3="Ready"),5&lt;='Control Room'!$B$2),ROUND(MAX(0,'Process'!Y544*'Control Room'!$H$8*INDEX('Control Room'!$B$19:$H$19,1,WEEKDAY($A544,2))*(1+'Control Room'!$D$9)^542*'Process'!Z544),2),"")</x:f>
      </x:c>
      <x:c r="H544" s="16" t="str">
        <x:f>IF(AND(AND(543&lt;='Control Room'!$B$3,'Control Room'!$D$3="Ready"),6&lt;='Control Room'!$B$2),ROUND(MAX(0,'Process'!AD544*'Control Room'!$H$9*INDEX('Control Room'!$B$19:$H$19,1,WEEKDAY($A544,2))*(1+'Control Room'!$D$9)^542*'Process'!AE544),2),"")</x:f>
      </x:c>
      <x:c r="I544" s="16" t="str">
        <x:f>IF(AND(AND(543&lt;='Control Room'!$B$3,'Control Room'!$D$3="Ready"),7&lt;='Control Room'!$B$2),ROUND(MAX(0,'Process'!AI544*'Control Room'!$H$10*INDEX('Control Room'!$B$19:$H$19,1,WEEKDAY($A544,2))*(1+'Control Room'!$D$9)^542*'Process'!AJ544),2),"")</x:f>
      </x:c>
      <x:c r="J544" s="16" t="str">
        <x:f>IF(AND(AND(543&lt;='Control Room'!$B$3,'Control Room'!$D$3="Ready"),8&lt;='Control Room'!$B$2),ROUND(MAX(0,'Process'!AN544*'Control Room'!$H$11*INDEX('Control Room'!$B$19:$H$19,1,WEEKDAY($A544,2))*(1+'Control Room'!$D$9)^542*'Process'!AO544),2),"")</x:f>
      </x:c>
      <x:c r="K544" s="16" t="str">
        <x:f>IF(AND(AND(543&lt;='Control Room'!$B$3,'Control Room'!$D$3="Ready"),9&lt;='Control Room'!$B$2),ROUND(MAX(0,'Process'!AS544*'Control Room'!$H$12*INDEX('Control Room'!$B$19:$H$19,1,WEEKDAY($A544,2))*(1+'Control Room'!$D$9)^542*'Process'!AT544),2),"")</x:f>
      </x:c>
      <x:c r="L544" s="16" t="str">
        <x:f>IF(AND(AND(543&lt;='Control Room'!$B$3,'Control Room'!$D$3="Ready"),10&lt;='Control Room'!$B$2),ROUND(MAX(0,'Process'!AX544*'Control Room'!$H$13*INDEX('Control Room'!$B$19:$H$19,1,WEEKDAY($A544,2))*(1+'Control Room'!$D$9)^542*'Process'!AY544),2),"")</x:f>
      </x:c>
      <x:c r="M544" s="16" t="str">
        <x:f>IF(AND(AND(543&lt;='Control Room'!$B$3,'Control Room'!$D$3="Ready"),11&lt;='Control Room'!$B$2),ROUND(MAX(0,'Process'!BC544*'Control Room'!$H$14*INDEX('Control Room'!$B$19:$H$19,1,WEEKDAY($A544,2))*(1+'Control Room'!$D$9)^542*'Process'!BD544),2),"")</x:f>
      </x:c>
      <x:c r="N544" s="16" t="str">
        <x:f>IF(AND(AND(543&lt;='Control Room'!$B$3,'Control Room'!$D$3="Ready"),12&lt;='Control Room'!$B$2),ROUND(MAX(0,'Process'!BH544*'Control Room'!$H$15*INDEX('Control Room'!$B$19:$H$19,1,WEEKDAY($A544,2))*(1+'Control Room'!$D$9)^542*'Process'!BI544),2),"")</x:f>
      </x:c>
    </x:row>
    <x:row r="545" ht="21" customHeight="1">
      <x:c r="A545" s="15" t="str">
        <x:f>IF(AND(544&lt;='Control Room'!$B$3,'Control Room'!$D$3="Ready"),'Process'!A545,"")</x:f>
      </x:c>
      <x:c r="B545" s="16" t="str">
        <x:f>IF(A545="","",SUM(C545:N545))</x:f>
      </x:c>
      <x:c r="C545" s="16" t="str">
        <x:f>IF(AND(AND(544&lt;='Control Room'!$B$3,'Control Room'!$D$3="Ready"),1&lt;='Control Room'!$B$2),ROUND(MAX(0,'Process'!E545*'Control Room'!$H$4*INDEX('Control Room'!$B$19:$H$19,1,WEEKDAY($A545,2))*(1+'Control Room'!$D$9)^543*'Process'!F545),2),"")</x:f>
      </x:c>
      <x:c r="D545" s="16" t="str">
        <x:f>IF(AND(AND(544&lt;='Control Room'!$B$3,'Control Room'!$D$3="Ready"),2&lt;='Control Room'!$B$2),ROUND(MAX(0,'Process'!J545*'Control Room'!$H$5*INDEX('Control Room'!$B$19:$H$19,1,WEEKDAY($A545,2))*(1+'Control Room'!$D$9)^543*'Process'!K545),2),"")</x:f>
      </x:c>
      <x:c r="E545" s="16" t="str">
        <x:f>IF(AND(AND(544&lt;='Control Room'!$B$3,'Control Room'!$D$3="Ready"),3&lt;='Control Room'!$B$2),ROUND(MAX(0,'Process'!O545*'Control Room'!$H$6*INDEX('Control Room'!$B$19:$H$19,1,WEEKDAY($A545,2))*(1+'Control Room'!$D$9)^543*'Process'!P545),2),"")</x:f>
      </x:c>
      <x:c r="F545" s="16" t="str">
        <x:f>IF(AND(AND(544&lt;='Control Room'!$B$3,'Control Room'!$D$3="Ready"),4&lt;='Control Room'!$B$2),ROUND(MAX(0,'Process'!T545*'Control Room'!$H$7*INDEX('Control Room'!$B$19:$H$19,1,WEEKDAY($A545,2))*(1+'Control Room'!$D$9)^543*'Process'!U545),2),"")</x:f>
      </x:c>
      <x:c r="G545" s="16" t="str">
        <x:f>IF(AND(AND(544&lt;='Control Room'!$B$3,'Control Room'!$D$3="Ready"),5&lt;='Control Room'!$B$2),ROUND(MAX(0,'Process'!Y545*'Control Room'!$H$8*INDEX('Control Room'!$B$19:$H$19,1,WEEKDAY($A545,2))*(1+'Control Room'!$D$9)^543*'Process'!Z545),2),"")</x:f>
      </x:c>
      <x:c r="H545" s="16" t="str">
        <x:f>IF(AND(AND(544&lt;='Control Room'!$B$3,'Control Room'!$D$3="Ready"),6&lt;='Control Room'!$B$2),ROUND(MAX(0,'Process'!AD545*'Control Room'!$H$9*INDEX('Control Room'!$B$19:$H$19,1,WEEKDAY($A545,2))*(1+'Control Room'!$D$9)^543*'Process'!AE545),2),"")</x:f>
      </x:c>
      <x:c r="I545" s="16" t="str">
        <x:f>IF(AND(AND(544&lt;='Control Room'!$B$3,'Control Room'!$D$3="Ready"),7&lt;='Control Room'!$B$2),ROUND(MAX(0,'Process'!AI545*'Control Room'!$H$10*INDEX('Control Room'!$B$19:$H$19,1,WEEKDAY($A545,2))*(1+'Control Room'!$D$9)^543*'Process'!AJ545),2),"")</x:f>
      </x:c>
      <x:c r="J545" s="16" t="str">
        <x:f>IF(AND(AND(544&lt;='Control Room'!$B$3,'Control Room'!$D$3="Ready"),8&lt;='Control Room'!$B$2),ROUND(MAX(0,'Process'!AN545*'Control Room'!$H$11*INDEX('Control Room'!$B$19:$H$19,1,WEEKDAY($A545,2))*(1+'Control Room'!$D$9)^543*'Process'!AO545),2),"")</x:f>
      </x:c>
      <x:c r="K545" s="16" t="str">
        <x:f>IF(AND(AND(544&lt;='Control Room'!$B$3,'Control Room'!$D$3="Ready"),9&lt;='Control Room'!$B$2),ROUND(MAX(0,'Process'!AS545*'Control Room'!$H$12*INDEX('Control Room'!$B$19:$H$19,1,WEEKDAY($A545,2))*(1+'Control Room'!$D$9)^543*'Process'!AT545),2),"")</x:f>
      </x:c>
      <x:c r="L545" s="16" t="str">
        <x:f>IF(AND(AND(544&lt;='Control Room'!$B$3,'Control Room'!$D$3="Ready"),10&lt;='Control Room'!$B$2),ROUND(MAX(0,'Process'!AX545*'Control Room'!$H$13*INDEX('Control Room'!$B$19:$H$19,1,WEEKDAY($A545,2))*(1+'Control Room'!$D$9)^543*'Process'!AY545),2),"")</x:f>
      </x:c>
      <x:c r="M545" s="16" t="str">
        <x:f>IF(AND(AND(544&lt;='Control Room'!$B$3,'Control Room'!$D$3="Ready"),11&lt;='Control Room'!$B$2),ROUND(MAX(0,'Process'!BC545*'Control Room'!$H$14*INDEX('Control Room'!$B$19:$H$19,1,WEEKDAY($A545,2))*(1+'Control Room'!$D$9)^543*'Process'!BD545),2),"")</x:f>
      </x:c>
      <x:c r="N545" s="16" t="str">
        <x:f>IF(AND(AND(544&lt;='Control Room'!$B$3,'Control Room'!$D$3="Ready"),12&lt;='Control Room'!$B$2),ROUND(MAX(0,'Process'!BH545*'Control Room'!$H$15*INDEX('Control Room'!$B$19:$H$19,1,WEEKDAY($A545,2))*(1+'Control Room'!$D$9)^543*'Process'!BI545),2),"")</x:f>
      </x:c>
    </x:row>
    <x:row r="546" ht="21" customHeight="1">
      <x:c r="A546" s="15" t="str">
        <x:f>IF(AND(545&lt;='Control Room'!$B$3,'Control Room'!$D$3="Ready"),'Process'!A546,"")</x:f>
      </x:c>
      <x:c r="B546" s="16" t="str">
        <x:f>IF(A546="","",SUM(C546:N546))</x:f>
      </x:c>
      <x:c r="C546" s="16" t="str">
        <x:f>IF(AND(AND(545&lt;='Control Room'!$B$3,'Control Room'!$D$3="Ready"),1&lt;='Control Room'!$B$2),ROUND(MAX(0,'Process'!E546*'Control Room'!$H$4*INDEX('Control Room'!$B$19:$H$19,1,WEEKDAY($A546,2))*(1+'Control Room'!$D$9)^544*'Process'!F546),2),"")</x:f>
      </x:c>
      <x:c r="D546" s="16" t="str">
        <x:f>IF(AND(AND(545&lt;='Control Room'!$B$3,'Control Room'!$D$3="Ready"),2&lt;='Control Room'!$B$2),ROUND(MAX(0,'Process'!J546*'Control Room'!$H$5*INDEX('Control Room'!$B$19:$H$19,1,WEEKDAY($A546,2))*(1+'Control Room'!$D$9)^544*'Process'!K546),2),"")</x:f>
      </x:c>
      <x:c r="E546" s="16" t="str">
        <x:f>IF(AND(AND(545&lt;='Control Room'!$B$3,'Control Room'!$D$3="Ready"),3&lt;='Control Room'!$B$2),ROUND(MAX(0,'Process'!O546*'Control Room'!$H$6*INDEX('Control Room'!$B$19:$H$19,1,WEEKDAY($A546,2))*(1+'Control Room'!$D$9)^544*'Process'!P546),2),"")</x:f>
      </x:c>
      <x:c r="F546" s="16" t="str">
        <x:f>IF(AND(AND(545&lt;='Control Room'!$B$3,'Control Room'!$D$3="Ready"),4&lt;='Control Room'!$B$2),ROUND(MAX(0,'Process'!T546*'Control Room'!$H$7*INDEX('Control Room'!$B$19:$H$19,1,WEEKDAY($A546,2))*(1+'Control Room'!$D$9)^544*'Process'!U546),2),"")</x:f>
      </x:c>
      <x:c r="G546" s="16" t="str">
        <x:f>IF(AND(AND(545&lt;='Control Room'!$B$3,'Control Room'!$D$3="Ready"),5&lt;='Control Room'!$B$2),ROUND(MAX(0,'Process'!Y546*'Control Room'!$H$8*INDEX('Control Room'!$B$19:$H$19,1,WEEKDAY($A546,2))*(1+'Control Room'!$D$9)^544*'Process'!Z546),2),"")</x:f>
      </x:c>
      <x:c r="H546" s="16" t="str">
        <x:f>IF(AND(AND(545&lt;='Control Room'!$B$3,'Control Room'!$D$3="Ready"),6&lt;='Control Room'!$B$2),ROUND(MAX(0,'Process'!AD546*'Control Room'!$H$9*INDEX('Control Room'!$B$19:$H$19,1,WEEKDAY($A546,2))*(1+'Control Room'!$D$9)^544*'Process'!AE546),2),"")</x:f>
      </x:c>
      <x:c r="I546" s="16" t="str">
        <x:f>IF(AND(AND(545&lt;='Control Room'!$B$3,'Control Room'!$D$3="Ready"),7&lt;='Control Room'!$B$2),ROUND(MAX(0,'Process'!AI546*'Control Room'!$H$10*INDEX('Control Room'!$B$19:$H$19,1,WEEKDAY($A546,2))*(1+'Control Room'!$D$9)^544*'Process'!AJ546),2),"")</x:f>
      </x:c>
      <x:c r="J546" s="16" t="str">
        <x:f>IF(AND(AND(545&lt;='Control Room'!$B$3,'Control Room'!$D$3="Ready"),8&lt;='Control Room'!$B$2),ROUND(MAX(0,'Process'!AN546*'Control Room'!$H$11*INDEX('Control Room'!$B$19:$H$19,1,WEEKDAY($A546,2))*(1+'Control Room'!$D$9)^544*'Process'!AO546),2),"")</x:f>
      </x:c>
      <x:c r="K546" s="16" t="str">
        <x:f>IF(AND(AND(545&lt;='Control Room'!$B$3,'Control Room'!$D$3="Ready"),9&lt;='Control Room'!$B$2),ROUND(MAX(0,'Process'!AS546*'Control Room'!$H$12*INDEX('Control Room'!$B$19:$H$19,1,WEEKDAY($A546,2))*(1+'Control Room'!$D$9)^544*'Process'!AT546),2),"")</x:f>
      </x:c>
      <x:c r="L546" s="16" t="str">
        <x:f>IF(AND(AND(545&lt;='Control Room'!$B$3,'Control Room'!$D$3="Ready"),10&lt;='Control Room'!$B$2),ROUND(MAX(0,'Process'!AX546*'Control Room'!$H$13*INDEX('Control Room'!$B$19:$H$19,1,WEEKDAY($A546,2))*(1+'Control Room'!$D$9)^544*'Process'!AY546),2),"")</x:f>
      </x:c>
      <x:c r="M546" s="16" t="str">
        <x:f>IF(AND(AND(545&lt;='Control Room'!$B$3,'Control Room'!$D$3="Ready"),11&lt;='Control Room'!$B$2),ROUND(MAX(0,'Process'!BC546*'Control Room'!$H$14*INDEX('Control Room'!$B$19:$H$19,1,WEEKDAY($A546,2))*(1+'Control Room'!$D$9)^544*'Process'!BD546),2),"")</x:f>
      </x:c>
      <x:c r="N546" s="16" t="str">
        <x:f>IF(AND(AND(545&lt;='Control Room'!$B$3,'Control Room'!$D$3="Ready"),12&lt;='Control Room'!$B$2),ROUND(MAX(0,'Process'!BH546*'Control Room'!$H$15*INDEX('Control Room'!$B$19:$H$19,1,WEEKDAY($A546,2))*(1+'Control Room'!$D$9)^544*'Process'!BI546),2),"")</x:f>
      </x:c>
    </x:row>
    <x:row r="547" ht="21" customHeight="1">
      <x:c r="A547" s="15" t="str">
        <x:f>IF(AND(546&lt;='Control Room'!$B$3,'Control Room'!$D$3="Ready"),'Process'!A547,"")</x:f>
      </x:c>
      <x:c r="B547" s="16" t="str">
        <x:f>IF(A547="","",SUM(C547:N547))</x:f>
      </x:c>
      <x:c r="C547" s="16" t="str">
        <x:f>IF(AND(AND(546&lt;='Control Room'!$B$3,'Control Room'!$D$3="Ready"),1&lt;='Control Room'!$B$2),ROUND(MAX(0,'Process'!E547*'Control Room'!$H$4*INDEX('Control Room'!$B$19:$H$19,1,WEEKDAY($A547,2))*(1+'Control Room'!$D$9)^545*'Process'!F547),2),"")</x:f>
      </x:c>
      <x:c r="D547" s="16" t="str">
        <x:f>IF(AND(AND(546&lt;='Control Room'!$B$3,'Control Room'!$D$3="Ready"),2&lt;='Control Room'!$B$2),ROUND(MAX(0,'Process'!J547*'Control Room'!$H$5*INDEX('Control Room'!$B$19:$H$19,1,WEEKDAY($A547,2))*(1+'Control Room'!$D$9)^545*'Process'!K547),2),"")</x:f>
      </x:c>
      <x:c r="E547" s="16" t="str">
        <x:f>IF(AND(AND(546&lt;='Control Room'!$B$3,'Control Room'!$D$3="Ready"),3&lt;='Control Room'!$B$2),ROUND(MAX(0,'Process'!O547*'Control Room'!$H$6*INDEX('Control Room'!$B$19:$H$19,1,WEEKDAY($A547,2))*(1+'Control Room'!$D$9)^545*'Process'!P547),2),"")</x:f>
      </x:c>
      <x:c r="F547" s="16" t="str">
        <x:f>IF(AND(AND(546&lt;='Control Room'!$B$3,'Control Room'!$D$3="Ready"),4&lt;='Control Room'!$B$2),ROUND(MAX(0,'Process'!T547*'Control Room'!$H$7*INDEX('Control Room'!$B$19:$H$19,1,WEEKDAY($A547,2))*(1+'Control Room'!$D$9)^545*'Process'!U547),2),"")</x:f>
      </x:c>
      <x:c r="G547" s="16" t="str">
        <x:f>IF(AND(AND(546&lt;='Control Room'!$B$3,'Control Room'!$D$3="Ready"),5&lt;='Control Room'!$B$2),ROUND(MAX(0,'Process'!Y547*'Control Room'!$H$8*INDEX('Control Room'!$B$19:$H$19,1,WEEKDAY($A547,2))*(1+'Control Room'!$D$9)^545*'Process'!Z547),2),"")</x:f>
      </x:c>
      <x:c r="H547" s="16" t="str">
        <x:f>IF(AND(AND(546&lt;='Control Room'!$B$3,'Control Room'!$D$3="Ready"),6&lt;='Control Room'!$B$2),ROUND(MAX(0,'Process'!AD547*'Control Room'!$H$9*INDEX('Control Room'!$B$19:$H$19,1,WEEKDAY($A547,2))*(1+'Control Room'!$D$9)^545*'Process'!AE547),2),"")</x:f>
      </x:c>
      <x:c r="I547" s="16" t="str">
        <x:f>IF(AND(AND(546&lt;='Control Room'!$B$3,'Control Room'!$D$3="Ready"),7&lt;='Control Room'!$B$2),ROUND(MAX(0,'Process'!AI547*'Control Room'!$H$10*INDEX('Control Room'!$B$19:$H$19,1,WEEKDAY($A547,2))*(1+'Control Room'!$D$9)^545*'Process'!AJ547),2),"")</x:f>
      </x:c>
      <x:c r="J547" s="16" t="str">
        <x:f>IF(AND(AND(546&lt;='Control Room'!$B$3,'Control Room'!$D$3="Ready"),8&lt;='Control Room'!$B$2),ROUND(MAX(0,'Process'!AN547*'Control Room'!$H$11*INDEX('Control Room'!$B$19:$H$19,1,WEEKDAY($A547,2))*(1+'Control Room'!$D$9)^545*'Process'!AO547),2),"")</x:f>
      </x:c>
      <x:c r="K547" s="16" t="str">
        <x:f>IF(AND(AND(546&lt;='Control Room'!$B$3,'Control Room'!$D$3="Ready"),9&lt;='Control Room'!$B$2),ROUND(MAX(0,'Process'!AS547*'Control Room'!$H$12*INDEX('Control Room'!$B$19:$H$19,1,WEEKDAY($A547,2))*(1+'Control Room'!$D$9)^545*'Process'!AT547),2),"")</x:f>
      </x:c>
      <x:c r="L547" s="16" t="str">
        <x:f>IF(AND(AND(546&lt;='Control Room'!$B$3,'Control Room'!$D$3="Ready"),10&lt;='Control Room'!$B$2),ROUND(MAX(0,'Process'!AX547*'Control Room'!$H$13*INDEX('Control Room'!$B$19:$H$19,1,WEEKDAY($A547,2))*(1+'Control Room'!$D$9)^545*'Process'!AY547),2),"")</x:f>
      </x:c>
      <x:c r="M547" s="16" t="str">
        <x:f>IF(AND(AND(546&lt;='Control Room'!$B$3,'Control Room'!$D$3="Ready"),11&lt;='Control Room'!$B$2),ROUND(MAX(0,'Process'!BC547*'Control Room'!$H$14*INDEX('Control Room'!$B$19:$H$19,1,WEEKDAY($A547,2))*(1+'Control Room'!$D$9)^545*'Process'!BD547),2),"")</x:f>
      </x:c>
      <x:c r="N547" s="16" t="str">
        <x:f>IF(AND(AND(546&lt;='Control Room'!$B$3,'Control Room'!$D$3="Ready"),12&lt;='Control Room'!$B$2),ROUND(MAX(0,'Process'!BH547*'Control Room'!$H$15*INDEX('Control Room'!$B$19:$H$19,1,WEEKDAY($A547,2))*(1+'Control Room'!$D$9)^545*'Process'!BI547),2),"")</x:f>
      </x:c>
    </x:row>
    <x:row r="548" ht="21" customHeight="1">
      <x:c r="A548" s="15" t="str">
        <x:f>IF(AND(547&lt;='Control Room'!$B$3,'Control Room'!$D$3="Ready"),'Process'!A548,"")</x:f>
      </x:c>
      <x:c r="B548" s="16" t="str">
        <x:f>IF(A548="","",SUM(C548:N548))</x:f>
      </x:c>
      <x:c r="C548" s="16" t="str">
        <x:f>IF(AND(AND(547&lt;='Control Room'!$B$3,'Control Room'!$D$3="Ready"),1&lt;='Control Room'!$B$2),ROUND(MAX(0,'Process'!E548*'Control Room'!$H$4*INDEX('Control Room'!$B$19:$H$19,1,WEEKDAY($A548,2))*(1+'Control Room'!$D$9)^546*'Process'!F548),2),"")</x:f>
      </x:c>
      <x:c r="D548" s="16" t="str">
        <x:f>IF(AND(AND(547&lt;='Control Room'!$B$3,'Control Room'!$D$3="Ready"),2&lt;='Control Room'!$B$2),ROUND(MAX(0,'Process'!J548*'Control Room'!$H$5*INDEX('Control Room'!$B$19:$H$19,1,WEEKDAY($A548,2))*(1+'Control Room'!$D$9)^546*'Process'!K548),2),"")</x:f>
      </x:c>
      <x:c r="E548" s="16" t="str">
        <x:f>IF(AND(AND(547&lt;='Control Room'!$B$3,'Control Room'!$D$3="Ready"),3&lt;='Control Room'!$B$2),ROUND(MAX(0,'Process'!O548*'Control Room'!$H$6*INDEX('Control Room'!$B$19:$H$19,1,WEEKDAY($A548,2))*(1+'Control Room'!$D$9)^546*'Process'!P548),2),"")</x:f>
      </x:c>
      <x:c r="F548" s="16" t="str">
        <x:f>IF(AND(AND(547&lt;='Control Room'!$B$3,'Control Room'!$D$3="Ready"),4&lt;='Control Room'!$B$2),ROUND(MAX(0,'Process'!T548*'Control Room'!$H$7*INDEX('Control Room'!$B$19:$H$19,1,WEEKDAY($A548,2))*(1+'Control Room'!$D$9)^546*'Process'!U548),2),"")</x:f>
      </x:c>
      <x:c r="G548" s="16" t="str">
        <x:f>IF(AND(AND(547&lt;='Control Room'!$B$3,'Control Room'!$D$3="Ready"),5&lt;='Control Room'!$B$2),ROUND(MAX(0,'Process'!Y548*'Control Room'!$H$8*INDEX('Control Room'!$B$19:$H$19,1,WEEKDAY($A548,2))*(1+'Control Room'!$D$9)^546*'Process'!Z548),2),"")</x:f>
      </x:c>
      <x:c r="H548" s="16" t="str">
        <x:f>IF(AND(AND(547&lt;='Control Room'!$B$3,'Control Room'!$D$3="Ready"),6&lt;='Control Room'!$B$2),ROUND(MAX(0,'Process'!AD548*'Control Room'!$H$9*INDEX('Control Room'!$B$19:$H$19,1,WEEKDAY($A548,2))*(1+'Control Room'!$D$9)^546*'Process'!AE548),2),"")</x:f>
      </x:c>
      <x:c r="I548" s="16" t="str">
        <x:f>IF(AND(AND(547&lt;='Control Room'!$B$3,'Control Room'!$D$3="Ready"),7&lt;='Control Room'!$B$2),ROUND(MAX(0,'Process'!AI548*'Control Room'!$H$10*INDEX('Control Room'!$B$19:$H$19,1,WEEKDAY($A548,2))*(1+'Control Room'!$D$9)^546*'Process'!AJ548),2),"")</x:f>
      </x:c>
      <x:c r="J548" s="16" t="str">
        <x:f>IF(AND(AND(547&lt;='Control Room'!$B$3,'Control Room'!$D$3="Ready"),8&lt;='Control Room'!$B$2),ROUND(MAX(0,'Process'!AN548*'Control Room'!$H$11*INDEX('Control Room'!$B$19:$H$19,1,WEEKDAY($A548,2))*(1+'Control Room'!$D$9)^546*'Process'!AO548),2),"")</x:f>
      </x:c>
      <x:c r="K548" s="16" t="str">
        <x:f>IF(AND(AND(547&lt;='Control Room'!$B$3,'Control Room'!$D$3="Ready"),9&lt;='Control Room'!$B$2),ROUND(MAX(0,'Process'!AS548*'Control Room'!$H$12*INDEX('Control Room'!$B$19:$H$19,1,WEEKDAY($A548,2))*(1+'Control Room'!$D$9)^546*'Process'!AT548),2),"")</x:f>
      </x:c>
      <x:c r="L548" s="16" t="str">
        <x:f>IF(AND(AND(547&lt;='Control Room'!$B$3,'Control Room'!$D$3="Ready"),10&lt;='Control Room'!$B$2),ROUND(MAX(0,'Process'!AX548*'Control Room'!$H$13*INDEX('Control Room'!$B$19:$H$19,1,WEEKDAY($A548,2))*(1+'Control Room'!$D$9)^546*'Process'!AY548),2),"")</x:f>
      </x:c>
      <x:c r="M548" s="16" t="str">
        <x:f>IF(AND(AND(547&lt;='Control Room'!$B$3,'Control Room'!$D$3="Ready"),11&lt;='Control Room'!$B$2),ROUND(MAX(0,'Process'!BC548*'Control Room'!$H$14*INDEX('Control Room'!$B$19:$H$19,1,WEEKDAY($A548,2))*(1+'Control Room'!$D$9)^546*'Process'!BD548),2),"")</x:f>
      </x:c>
      <x:c r="N548" s="16" t="str">
        <x:f>IF(AND(AND(547&lt;='Control Room'!$B$3,'Control Room'!$D$3="Ready"),12&lt;='Control Room'!$B$2),ROUND(MAX(0,'Process'!BH548*'Control Room'!$H$15*INDEX('Control Room'!$B$19:$H$19,1,WEEKDAY($A548,2))*(1+'Control Room'!$D$9)^546*'Process'!BI548),2),"")</x:f>
      </x:c>
    </x:row>
    <x:row r="549" ht="21" customHeight="1">
      <x:c r="A549" s="15" t="str">
        <x:f>IF(AND(548&lt;='Control Room'!$B$3,'Control Room'!$D$3="Ready"),'Process'!A549,"")</x:f>
      </x:c>
      <x:c r="B549" s="16" t="str">
        <x:f>IF(A549="","",SUM(C549:N549))</x:f>
      </x:c>
      <x:c r="C549" s="16" t="str">
        <x:f>IF(AND(AND(548&lt;='Control Room'!$B$3,'Control Room'!$D$3="Ready"),1&lt;='Control Room'!$B$2),ROUND(MAX(0,'Process'!E549*'Control Room'!$H$4*INDEX('Control Room'!$B$19:$H$19,1,WEEKDAY($A549,2))*(1+'Control Room'!$D$9)^547*'Process'!F549),2),"")</x:f>
      </x:c>
      <x:c r="D549" s="16" t="str">
        <x:f>IF(AND(AND(548&lt;='Control Room'!$B$3,'Control Room'!$D$3="Ready"),2&lt;='Control Room'!$B$2),ROUND(MAX(0,'Process'!J549*'Control Room'!$H$5*INDEX('Control Room'!$B$19:$H$19,1,WEEKDAY($A549,2))*(1+'Control Room'!$D$9)^547*'Process'!K549),2),"")</x:f>
      </x:c>
      <x:c r="E549" s="16" t="str">
        <x:f>IF(AND(AND(548&lt;='Control Room'!$B$3,'Control Room'!$D$3="Ready"),3&lt;='Control Room'!$B$2),ROUND(MAX(0,'Process'!O549*'Control Room'!$H$6*INDEX('Control Room'!$B$19:$H$19,1,WEEKDAY($A549,2))*(1+'Control Room'!$D$9)^547*'Process'!P549),2),"")</x:f>
      </x:c>
      <x:c r="F549" s="16" t="str">
        <x:f>IF(AND(AND(548&lt;='Control Room'!$B$3,'Control Room'!$D$3="Ready"),4&lt;='Control Room'!$B$2),ROUND(MAX(0,'Process'!T549*'Control Room'!$H$7*INDEX('Control Room'!$B$19:$H$19,1,WEEKDAY($A549,2))*(1+'Control Room'!$D$9)^547*'Process'!U549),2),"")</x:f>
      </x:c>
      <x:c r="G549" s="16" t="str">
        <x:f>IF(AND(AND(548&lt;='Control Room'!$B$3,'Control Room'!$D$3="Ready"),5&lt;='Control Room'!$B$2),ROUND(MAX(0,'Process'!Y549*'Control Room'!$H$8*INDEX('Control Room'!$B$19:$H$19,1,WEEKDAY($A549,2))*(1+'Control Room'!$D$9)^547*'Process'!Z549),2),"")</x:f>
      </x:c>
      <x:c r="H549" s="16" t="str">
        <x:f>IF(AND(AND(548&lt;='Control Room'!$B$3,'Control Room'!$D$3="Ready"),6&lt;='Control Room'!$B$2),ROUND(MAX(0,'Process'!AD549*'Control Room'!$H$9*INDEX('Control Room'!$B$19:$H$19,1,WEEKDAY($A549,2))*(1+'Control Room'!$D$9)^547*'Process'!AE549),2),"")</x:f>
      </x:c>
      <x:c r="I549" s="16" t="str">
        <x:f>IF(AND(AND(548&lt;='Control Room'!$B$3,'Control Room'!$D$3="Ready"),7&lt;='Control Room'!$B$2),ROUND(MAX(0,'Process'!AI549*'Control Room'!$H$10*INDEX('Control Room'!$B$19:$H$19,1,WEEKDAY($A549,2))*(1+'Control Room'!$D$9)^547*'Process'!AJ549),2),"")</x:f>
      </x:c>
      <x:c r="J549" s="16" t="str">
        <x:f>IF(AND(AND(548&lt;='Control Room'!$B$3,'Control Room'!$D$3="Ready"),8&lt;='Control Room'!$B$2),ROUND(MAX(0,'Process'!AN549*'Control Room'!$H$11*INDEX('Control Room'!$B$19:$H$19,1,WEEKDAY($A549,2))*(1+'Control Room'!$D$9)^547*'Process'!AO549),2),"")</x:f>
      </x:c>
      <x:c r="K549" s="16" t="str">
        <x:f>IF(AND(AND(548&lt;='Control Room'!$B$3,'Control Room'!$D$3="Ready"),9&lt;='Control Room'!$B$2),ROUND(MAX(0,'Process'!AS549*'Control Room'!$H$12*INDEX('Control Room'!$B$19:$H$19,1,WEEKDAY($A549,2))*(1+'Control Room'!$D$9)^547*'Process'!AT549),2),"")</x:f>
      </x:c>
      <x:c r="L549" s="16" t="str">
        <x:f>IF(AND(AND(548&lt;='Control Room'!$B$3,'Control Room'!$D$3="Ready"),10&lt;='Control Room'!$B$2),ROUND(MAX(0,'Process'!AX549*'Control Room'!$H$13*INDEX('Control Room'!$B$19:$H$19,1,WEEKDAY($A549,2))*(1+'Control Room'!$D$9)^547*'Process'!AY549),2),"")</x:f>
      </x:c>
      <x:c r="M549" s="16" t="str">
        <x:f>IF(AND(AND(548&lt;='Control Room'!$B$3,'Control Room'!$D$3="Ready"),11&lt;='Control Room'!$B$2),ROUND(MAX(0,'Process'!BC549*'Control Room'!$H$14*INDEX('Control Room'!$B$19:$H$19,1,WEEKDAY($A549,2))*(1+'Control Room'!$D$9)^547*'Process'!BD549),2),"")</x:f>
      </x:c>
      <x:c r="N549" s="16" t="str">
        <x:f>IF(AND(AND(548&lt;='Control Room'!$B$3,'Control Room'!$D$3="Ready"),12&lt;='Control Room'!$B$2),ROUND(MAX(0,'Process'!BH549*'Control Room'!$H$15*INDEX('Control Room'!$B$19:$H$19,1,WEEKDAY($A549,2))*(1+'Control Room'!$D$9)^547*'Process'!BI549),2),"")</x:f>
      </x:c>
    </x:row>
    <x:row r="550" ht="21" customHeight="1">
      <x:c r="A550" s="15" t="str">
        <x:f>IF(AND(549&lt;='Control Room'!$B$3,'Control Room'!$D$3="Ready"),'Process'!A550,"")</x:f>
      </x:c>
      <x:c r="B550" s="16" t="str">
        <x:f>IF(A550="","",SUM(C550:N550))</x:f>
      </x:c>
      <x:c r="C550" s="16" t="str">
        <x:f>IF(AND(AND(549&lt;='Control Room'!$B$3,'Control Room'!$D$3="Ready"),1&lt;='Control Room'!$B$2),ROUND(MAX(0,'Process'!E550*'Control Room'!$H$4*INDEX('Control Room'!$B$19:$H$19,1,WEEKDAY($A550,2))*(1+'Control Room'!$D$9)^548*'Process'!F550),2),"")</x:f>
      </x:c>
      <x:c r="D550" s="16" t="str">
        <x:f>IF(AND(AND(549&lt;='Control Room'!$B$3,'Control Room'!$D$3="Ready"),2&lt;='Control Room'!$B$2),ROUND(MAX(0,'Process'!J550*'Control Room'!$H$5*INDEX('Control Room'!$B$19:$H$19,1,WEEKDAY($A550,2))*(1+'Control Room'!$D$9)^548*'Process'!K550),2),"")</x:f>
      </x:c>
      <x:c r="E550" s="16" t="str">
        <x:f>IF(AND(AND(549&lt;='Control Room'!$B$3,'Control Room'!$D$3="Ready"),3&lt;='Control Room'!$B$2),ROUND(MAX(0,'Process'!O550*'Control Room'!$H$6*INDEX('Control Room'!$B$19:$H$19,1,WEEKDAY($A550,2))*(1+'Control Room'!$D$9)^548*'Process'!P550),2),"")</x:f>
      </x:c>
      <x:c r="F550" s="16" t="str">
        <x:f>IF(AND(AND(549&lt;='Control Room'!$B$3,'Control Room'!$D$3="Ready"),4&lt;='Control Room'!$B$2),ROUND(MAX(0,'Process'!T550*'Control Room'!$H$7*INDEX('Control Room'!$B$19:$H$19,1,WEEKDAY($A550,2))*(1+'Control Room'!$D$9)^548*'Process'!U550),2),"")</x:f>
      </x:c>
      <x:c r="G550" s="16" t="str">
        <x:f>IF(AND(AND(549&lt;='Control Room'!$B$3,'Control Room'!$D$3="Ready"),5&lt;='Control Room'!$B$2),ROUND(MAX(0,'Process'!Y550*'Control Room'!$H$8*INDEX('Control Room'!$B$19:$H$19,1,WEEKDAY($A550,2))*(1+'Control Room'!$D$9)^548*'Process'!Z550),2),"")</x:f>
      </x:c>
      <x:c r="H550" s="16" t="str">
        <x:f>IF(AND(AND(549&lt;='Control Room'!$B$3,'Control Room'!$D$3="Ready"),6&lt;='Control Room'!$B$2),ROUND(MAX(0,'Process'!AD550*'Control Room'!$H$9*INDEX('Control Room'!$B$19:$H$19,1,WEEKDAY($A550,2))*(1+'Control Room'!$D$9)^548*'Process'!AE550),2),"")</x:f>
      </x:c>
      <x:c r="I550" s="16" t="str">
        <x:f>IF(AND(AND(549&lt;='Control Room'!$B$3,'Control Room'!$D$3="Ready"),7&lt;='Control Room'!$B$2),ROUND(MAX(0,'Process'!AI550*'Control Room'!$H$10*INDEX('Control Room'!$B$19:$H$19,1,WEEKDAY($A550,2))*(1+'Control Room'!$D$9)^548*'Process'!AJ550),2),"")</x:f>
      </x:c>
      <x:c r="J550" s="16" t="str">
        <x:f>IF(AND(AND(549&lt;='Control Room'!$B$3,'Control Room'!$D$3="Ready"),8&lt;='Control Room'!$B$2),ROUND(MAX(0,'Process'!AN550*'Control Room'!$H$11*INDEX('Control Room'!$B$19:$H$19,1,WEEKDAY($A550,2))*(1+'Control Room'!$D$9)^548*'Process'!AO550),2),"")</x:f>
      </x:c>
      <x:c r="K550" s="16" t="str">
        <x:f>IF(AND(AND(549&lt;='Control Room'!$B$3,'Control Room'!$D$3="Ready"),9&lt;='Control Room'!$B$2),ROUND(MAX(0,'Process'!AS550*'Control Room'!$H$12*INDEX('Control Room'!$B$19:$H$19,1,WEEKDAY($A550,2))*(1+'Control Room'!$D$9)^548*'Process'!AT550),2),"")</x:f>
      </x:c>
      <x:c r="L550" s="16" t="str">
        <x:f>IF(AND(AND(549&lt;='Control Room'!$B$3,'Control Room'!$D$3="Ready"),10&lt;='Control Room'!$B$2),ROUND(MAX(0,'Process'!AX550*'Control Room'!$H$13*INDEX('Control Room'!$B$19:$H$19,1,WEEKDAY($A550,2))*(1+'Control Room'!$D$9)^548*'Process'!AY550),2),"")</x:f>
      </x:c>
      <x:c r="M550" s="16" t="str">
        <x:f>IF(AND(AND(549&lt;='Control Room'!$B$3,'Control Room'!$D$3="Ready"),11&lt;='Control Room'!$B$2),ROUND(MAX(0,'Process'!BC550*'Control Room'!$H$14*INDEX('Control Room'!$B$19:$H$19,1,WEEKDAY($A550,2))*(1+'Control Room'!$D$9)^548*'Process'!BD550),2),"")</x:f>
      </x:c>
      <x:c r="N550" s="16" t="str">
        <x:f>IF(AND(AND(549&lt;='Control Room'!$B$3,'Control Room'!$D$3="Ready"),12&lt;='Control Room'!$B$2),ROUND(MAX(0,'Process'!BH550*'Control Room'!$H$15*INDEX('Control Room'!$B$19:$H$19,1,WEEKDAY($A550,2))*(1+'Control Room'!$D$9)^548*'Process'!BI550),2),"")</x:f>
      </x:c>
    </x:row>
    <x:row r="551" ht="21" customHeight="1">
      <x:c r="A551" s="15" t="str">
        <x:f>IF(AND(550&lt;='Control Room'!$B$3,'Control Room'!$D$3="Ready"),'Process'!A551,"")</x:f>
      </x:c>
      <x:c r="B551" s="16" t="str">
        <x:f>IF(A551="","",SUM(C551:N551))</x:f>
      </x:c>
      <x:c r="C551" s="16" t="str">
        <x:f>IF(AND(AND(550&lt;='Control Room'!$B$3,'Control Room'!$D$3="Ready"),1&lt;='Control Room'!$B$2),ROUND(MAX(0,'Process'!E551*'Control Room'!$H$4*INDEX('Control Room'!$B$19:$H$19,1,WEEKDAY($A551,2))*(1+'Control Room'!$D$9)^549*'Process'!F551),2),"")</x:f>
      </x:c>
      <x:c r="D551" s="16" t="str">
        <x:f>IF(AND(AND(550&lt;='Control Room'!$B$3,'Control Room'!$D$3="Ready"),2&lt;='Control Room'!$B$2),ROUND(MAX(0,'Process'!J551*'Control Room'!$H$5*INDEX('Control Room'!$B$19:$H$19,1,WEEKDAY($A551,2))*(1+'Control Room'!$D$9)^549*'Process'!K551),2),"")</x:f>
      </x:c>
      <x:c r="E551" s="16" t="str">
        <x:f>IF(AND(AND(550&lt;='Control Room'!$B$3,'Control Room'!$D$3="Ready"),3&lt;='Control Room'!$B$2),ROUND(MAX(0,'Process'!O551*'Control Room'!$H$6*INDEX('Control Room'!$B$19:$H$19,1,WEEKDAY($A551,2))*(1+'Control Room'!$D$9)^549*'Process'!P551),2),"")</x:f>
      </x:c>
      <x:c r="F551" s="16" t="str">
        <x:f>IF(AND(AND(550&lt;='Control Room'!$B$3,'Control Room'!$D$3="Ready"),4&lt;='Control Room'!$B$2),ROUND(MAX(0,'Process'!T551*'Control Room'!$H$7*INDEX('Control Room'!$B$19:$H$19,1,WEEKDAY($A551,2))*(1+'Control Room'!$D$9)^549*'Process'!U551),2),"")</x:f>
      </x:c>
      <x:c r="G551" s="16" t="str">
        <x:f>IF(AND(AND(550&lt;='Control Room'!$B$3,'Control Room'!$D$3="Ready"),5&lt;='Control Room'!$B$2),ROUND(MAX(0,'Process'!Y551*'Control Room'!$H$8*INDEX('Control Room'!$B$19:$H$19,1,WEEKDAY($A551,2))*(1+'Control Room'!$D$9)^549*'Process'!Z551),2),"")</x:f>
      </x:c>
      <x:c r="H551" s="16" t="str">
        <x:f>IF(AND(AND(550&lt;='Control Room'!$B$3,'Control Room'!$D$3="Ready"),6&lt;='Control Room'!$B$2),ROUND(MAX(0,'Process'!AD551*'Control Room'!$H$9*INDEX('Control Room'!$B$19:$H$19,1,WEEKDAY($A551,2))*(1+'Control Room'!$D$9)^549*'Process'!AE551),2),"")</x:f>
      </x:c>
      <x:c r="I551" s="16" t="str">
        <x:f>IF(AND(AND(550&lt;='Control Room'!$B$3,'Control Room'!$D$3="Ready"),7&lt;='Control Room'!$B$2),ROUND(MAX(0,'Process'!AI551*'Control Room'!$H$10*INDEX('Control Room'!$B$19:$H$19,1,WEEKDAY($A551,2))*(1+'Control Room'!$D$9)^549*'Process'!AJ551),2),"")</x:f>
      </x:c>
      <x:c r="J551" s="16" t="str">
        <x:f>IF(AND(AND(550&lt;='Control Room'!$B$3,'Control Room'!$D$3="Ready"),8&lt;='Control Room'!$B$2),ROUND(MAX(0,'Process'!AN551*'Control Room'!$H$11*INDEX('Control Room'!$B$19:$H$19,1,WEEKDAY($A551,2))*(1+'Control Room'!$D$9)^549*'Process'!AO551),2),"")</x:f>
      </x:c>
      <x:c r="K551" s="16" t="str">
        <x:f>IF(AND(AND(550&lt;='Control Room'!$B$3,'Control Room'!$D$3="Ready"),9&lt;='Control Room'!$B$2),ROUND(MAX(0,'Process'!AS551*'Control Room'!$H$12*INDEX('Control Room'!$B$19:$H$19,1,WEEKDAY($A551,2))*(1+'Control Room'!$D$9)^549*'Process'!AT551),2),"")</x:f>
      </x:c>
      <x:c r="L551" s="16" t="str">
        <x:f>IF(AND(AND(550&lt;='Control Room'!$B$3,'Control Room'!$D$3="Ready"),10&lt;='Control Room'!$B$2),ROUND(MAX(0,'Process'!AX551*'Control Room'!$H$13*INDEX('Control Room'!$B$19:$H$19,1,WEEKDAY($A551,2))*(1+'Control Room'!$D$9)^549*'Process'!AY551),2),"")</x:f>
      </x:c>
      <x:c r="M551" s="16" t="str">
        <x:f>IF(AND(AND(550&lt;='Control Room'!$B$3,'Control Room'!$D$3="Ready"),11&lt;='Control Room'!$B$2),ROUND(MAX(0,'Process'!BC551*'Control Room'!$H$14*INDEX('Control Room'!$B$19:$H$19,1,WEEKDAY($A551,2))*(1+'Control Room'!$D$9)^549*'Process'!BD551),2),"")</x:f>
      </x:c>
      <x:c r="N551" s="16" t="str">
        <x:f>IF(AND(AND(550&lt;='Control Room'!$B$3,'Control Room'!$D$3="Ready"),12&lt;='Control Room'!$B$2),ROUND(MAX(0,'Process'!BH551*'Control Room'!$H$15*INDEX('Control Room'!$B$19:$H$19,1,WEEKDAY($A551,2))*(1+'Control Room'!$D$9)^549*'Process'!BI551),2),"")</x:f>
      </x:c>
    </x:row>
    <x:row r="552" ht="21" customHeight="1">
      <x:c r="A552" s="15" t="str">
        <x:f>IF(AND(551&lt;='Control Room'!$B$3,'Control Room'!$D$3="Ready"),'Process'!A552,"")</x:f>
      </x:c>
      <x:c r="B552" s="16" t="str">
        <x:f>IF(A552="","",SUM(C552:N552))</x:f>
      </x:c>
      <x:c r="C552" s="16" t="str">
        <x:f>IF(AND(AND(551&lt;='Control Room'!$B$3,'Control Room'!$D$3="Ready"),1&lt;='Control Room'!$B$2),ROUND(MAX(0,'Process'!E552*'Control Room'!$H$4*INDEX('Control Room'!$B$19:$H$19,1,WEEKDAY($A552,2))*(1+'Control Room'!$D$9)^550*'Process'!F552),2),"")</x:f>
      </x:c>
      <x:c r="D552" s="16" t="str">
        <x:f>IF(AND(AND(551&lt;='Control Room'!$B$3,'Control Room'!$D$3="Ready"),2&lt;='Control Room'!$B$2),ROUND(MAX(0,'Process'!J552*'Control Room'!$H$5*INDEX('Control Room'!$B$19:$H$19,1,WEEKDAY($A552,2))*(1+'Control Room'!$D$9)^550*'Process'!K552),2),"")</x:f>
      </x:c>
      <x:c r="E552" s="16" t="str">
        <x:f>IF(AND(AND(551&lt;='Control Room'!$B$3,'Control Room'!$D$3="Ready"),3&lt;='Control Room'!$B$2),ROUND(MAX(0,'Process'!O552*'Control Room'!$H$6*INDEX('Control Room'!$B$19:$H$19,1,WEEKDAY($A552,2))*(1+'Control Room'!$D$9)^550*'Process'!P552),2),"")</x:f>
      </x:c>
      <x:c r="F552" s="16" t="str">
        <x:f>IF(AND(AND(551&lt;='Control Room'!$B$3,'Control Room'!$D$3="Ready"),4&lt;='Control Room'!$B$2),ROUND(MAX(0,'Process'!T552*'Control Room'!$H$7*INDEX('Control Room'!$B$19:$H$19,1,WEEKDAY($A552,2))*(1+'Control Room'!$D$9)^550*'Process'!U552),2),"")</x:f>
      </x:c>
      <x:c r="G552" s="16" t="str">
        <x:f>IF(AND(AND(551&lt;='Control Room'!$B$3,'Control Room'!$D$3="Ready"),5&lt;='Control Room'!$B$2),ROUND(MAX(0,'Process'!Y552*'Control Room'!$H$8*INDEX('Control Room'!$B$19:$H$19,1,WEEKDAY($A552,2))*(1+'Control Room'!$D$9)^550*'Process'!Z552),2),"")</x:f>
      </x:c>
      <x:c r="H552" s="16" t="str">
        <x:f>IF(AND(AND(551&lt;='Control Room'!$B$3,'Control Room'!$D$3="Ready"),6&lt;='Control Room'!$B$2),ROUND(MAX(0,'Process'!AD552*'Control Room'!$H$9*INDEX('Control Room'!$B$19:$H$19,1,WEEKDAY($A552,2))*(1+'Control Room'!$D$9)^550*'Process'!AE552),2),"")</x:f>
      </x:c>
      <x:c r="I552" s="16" t="str">
        <x:f>IF(AND(AND(551&lt;='Control Room'!$B$3,'Control Room'!$D$3="Ready"),7&lt;='Control Room'!$B$2),ROUND(MAX(0,'Process'!AI552*'Control Room'!$H$10*INDEX('Control Room'!$B$19:$H$19,1,WEEKDAY($A552,2))*(1+'Control Room'!$D$9)^550*'Process'!AJ552),2),"")</x:f>
      </x:c>
      <x:c r="J552" s="16" t="str">
        <x:f>IF(AND(AND(551&lt;='Control Room'!$B$3,'Control Room'!$D$3="Ready"),8&lt;='Control Room'!$B$2),ROUND(MAX(0,'Process'!AN552*'Control Room'!$H$11*INDEX('Control Room'!$B$19:$H$19,1,WEEKDAY($A552,2))*(1+'Control Room'!$D$9)^550*'Process'!AO552),2),"")</x:f>
      </x:c>
      <x:c r="K552" s="16" t="str">
        <x:f>IF(AND(AND(551&lt;='Control Room'!$B$3,'Control Room'!$D$3="Ready"),9&lt;='Control Room'!$B$2),ROUND(MAX(0,'Process'!AS552*'Control Room'!$H$12*INDEX('Control Room'!$B$19:$H$19,1,WEEKDAY($A552,2))*(1+'Control Room'!$D$9)^550*'Process'!AT552),2),"")</x:f>
      </x:c>
      <x:c r="L552" s="16" t="str">
        <x:f>IF(AND(AND(551&lt;='Control Room'!$B$3,'Control Room'!$D$3="Ready"),10&lt;='Control Room'!$B$2),ROUND(MAX(0,'Process'!AX552*'Control Room'!$H$13*INDEX('Control Room'!$B$19:$H$19,1,WEEKDAY($A552,2))*(1+'Control Room'!$D$9)^550*'Process'!AY552),2),"")</x:f>
      </x:c>
      <x:c r="M552" s="16" t="str">
        <x:f>IF(AND(AND(551&lt;='Control Room'!$B$3,'Control Room'!$D$3="Ready"),11&lt;='Control Room'!$B$2),ROUND(MAX(0,'Process'!BC552*'Control Room'!$H$14*INDEX('Control Room'!$B$19:$H$19,1,WEEKDAY($A552,2))*(1+'Control Room'!$D$9)^550*'Process'!BD552),2),"")</x:f>
      </x:c>
      <x:c r="N552" s="16" t="str">
        <x:f>IF(AND(AND(551&lt;='Control Room'!$B$3,'Control Room'!$D$3="Ready"),12&lt;='Control Room'!$B$2),ROUND(MAX(0,'Process'!BH552*'Control Room'!$H$15*INDEX('Control Room'!$B$19:$H$19,1,WEEKDAY($A552,2))*(1+'Control Room'!$D$9)^550*'Process'!BI552),2),"")</x:f>
      </x:c>
    </x:row>
    <x:row r="553" ht="21" customHeight="1">
      <x:c r="A553" s="15" t="str">
        <x:f>IF(AND(552&lt;='Control Room'!$B$3,'Control Room'!$D$3="Ready"),'Process'!A553,"")</x:f>
      </x:c>
      <x:c r="B553" s="16" t="str">
        <x:f>IF(A553="","",SUM(C553:N553))</x:f>
      </x:c>
      <x:c r="C553" s="16" t="str">
        <x:f>IF(AND(AND(552&lt;='Control Room'!$B$3,'Control Room'!$D$3="Ready"),1&lt;='Control Room'!$B$2),ROUND(MAX(0,'Process'!E553*'Control Room'!$H$4*INDEX('Control Room'!$B$19:$H$19,1,WEEKDAY($A553,2))*(1+'Control Room'!$D$9)^551*'Process'!F553),2),"")</x:f>
      </x:c>
      <x:c r="D553" s="16" t="str">
        <x:f>IF(AND(AND(552&lt;='Control Room'!$B$3,'Control Room'!$D$3="Ready"),2&lt;='Control Room'!$B$2),ROUND(MAX(0,'Process'!J553*'Control Room'!$H$5*INDEX('Control Room'!$B$19:$H$19,1,WEEKDAY($A553,2))*(1+'Control Room'!$D$9)^551*'Process'!K553),2),"")</x:f>
      </x:c>
      <x:c r="E553" s="16" t="str">
        <x:f>IF(AND(AND(552&lt;='Control Room'!$B$3,'Control Room'!$D$3="Ready"),3&lt;='Control Room'!$B$2),ROUND(MAX(0,'Process'!O553*'Control Room'!$H$6*INDEX('Control Room'!$B$19:$H$19,1,WEEKDAY($A553,2))*(1+'Control Room'!$D$9)^551*'Process'!P553),2),"")</x:f>
      </x:c>
      <x:c r="F553" s="16" t="str">
        <x:f>IF(AND(AND(552&lt;='Control Room'!$B$3,'Control Room'!$D$3="Ready"),4&lt;='Control Room'!$B$2),ROUND(MAX(0,'Process'!T553*'Control Room'!$H$7*INDEX('Control Room'!$B$19:$H$19,1,WEEKDAY($A553,2))*(1+'Control Room'!$D$9)^551*'Process'!U553),2),"")</x:f>
      </x:c>
      <x:c r="G553" s="16" t="str">
        <x:f>IF(AND(AND(552&lt;='Control Room'!$B$3,'Control Room'!$D$3="Ready"),5&lt;='Control Room'!$B$2),ROUND(MAX(0,'Process'!Y553*'Control Room'!$H$8*INDEX('Control Room'!$B$19:$H$19,1,WEEKDAY($A553,2))*(1+'Control Room'!$D$9)^551*'Process'!Z553),2),"")</x:f>
      </x:c>
      <x:c r="H553" s="16" t="str">
        <x:f>IF(AND(AND(552&lt;='Control Room'!$B$3,'Control Room'!$D$3="Ready"),6&lt;='Control Room'!$B$2),ROUND(MAX(0,'Process'!AD553*'Control Room'!$H$9*INDEX('Control Room'!$B$19:$H$19,1,WEEKDAY($A553,2))*(1+'Control Room'!$D$9)^551*'Process'!AE553),2),"")</x:f>
      </x:c>
      <x:c r="I553" s="16" t="str">
        <x:f>IF(AND(AND(552&lt;='Control Room'!$B$3,'Control Room'!$D$3="Ready"),7&lt;='Control Room'!$B$2),ROUND(MAX(0,'Process'!AI553*'Control Room'!$H$10*INDEX('Control Room'!$B$19:$H$19,1,WEEKDAY($A553,2))*(1+'Control Room'!$D$9)^551*'Process'!AJ553),2),"")</x:f>
      </x:c>
      <x:c r="J553" s="16" t="str">
        <x:f>IF(AND(AND(552&lt;='Control Room'!$B$3,'Control Room'!$D$3="Ready"),8&lt;='Control Room'!$B$2),ROUND(MAX(0,'Process'!AN553*'Control Room'!$H$11*INDEX('Control Room'!$B$19:$H$19,1,WEEKDAY($A553,2))*(1+'Control Room'!$D$9)^551*'Process'!AO553),2),"")</x:f>
      </x:c>
      <x:c r="K553" s="16" t="str">
        <x:f>IF(AND(AND(552&lt;='Control Room'!$B$3,'Control Room'!$D$3="Ready"),9&lt;='Control Room'!$B$2),ROUND(MAX(0,'Process'!AS553*'Control Room'!$H$12*INDEX('Control Room'!$B$19:$H$19,1,WEEKDAY($A553,2))*(1+'Control Room'!$D$9)^551*'Process'!AT553),2),"")</x:f>
      </x:c>
      <x:c r="L553" s="16" t="str">
        <x:f>IF(AND(AND(552&lt;='Control Room'!$B$3,'Control Room'!$D$3="Ready"),10&lt;='Control Room'!$B$2),ROUND(MAX(0,'Process'!AX553*'Control Room'!$H$13*INDEX('Control Room'!$B$19:$H$19,1,WEEKDAY($A553,2))*(1+'Control Room'!$D$9)^551*'Process'!AY553),2),"")</x:f>
      </x:c>
      <x:c r="M553" s="16" t="str">
        <x:f>IF(AND(AND(552&lt;='Control Room'!$B$3,'Control Room'!$D$3="Ready"),11&lt;='Control Room'!$B$2),ROUND(MAX(0,'Process'!BC553*'Control Room'!$H$14*INDEX('Control Room'!$B$19:$H$19,1,WEEKDAY($A553,2))*(1+'Control Room'!$D$9)^551*'Process'!BD553),2),"")</x:f>
      </x:c>
      <x:c r="N553" s="16" t="str">
        <x:f>IF(AND(AND(552&lt;='Control Room'!$B$3,'Control Room'!$D$3="Ready"),12&lt;='Control Room'!$B$2),ROUND(MAX(0,'Process'!BH553*'Control Room'!$H$15*INDEX('Control Room'!$B$19:$H$19,1,WEEKDAY($A553,2))*(1+'Control Room'!$D$9)^551*'Process'!BI553),2),"")</x:f>
      </x:c>
    </x:row>
    <x:row r="554" ht="21" customHeight="1">
      <x:c r="A554" s="15" t="str">
        <x:f>IF(AND(553&lt;='Control Room'!$B$3,'Control Room'!$D$3="Ready"),'Process'!A554,"")</x:f>
      </x:c>
      <x:c r="B554" s="16" t="str">
        <x:f>IF(A554="","",SUM(C554:N554))</x:f>
      </x:c>
      <x:c r="C554" s="16" t="str">
        <x:f>IF(AND(AND(553&lt;='Control Room'!$B$3,'Control Room'!$D$3="Ready"),1&lt;='Control Room'!$B$2),ROUND(MAX(0,'Process'!E554*'Control Room'!$H$4*INDEX('Control Room'!$B$19:$H$19,1,WEEKDAY($A554,2))*(1+'Control Room'!$D$9)^552*'Process'!F554),2),"")</x:f>
      </x:c>
      <x:c r="D554" s="16" t="str">
        <x:f>IF(AND(AND(553&lt;='Control Room'!$B$3,'Control Room'!$D$3="Ready"),2&lt;='Control Room'!$B$2),ROUND(MAX(0,'Process'!J554*'Control Room'!$H$5*INDEX('Control Room'!$B$19:$H$19,1,WEEKDAY($A554,2))*(1+'Control Room'!$D$9)^552*'Process'!K554),2),"")</x:f>
      </x:c>
      <x:c r="E554" s="16" t="str">
        <x:f>IF(AND(AND(553&lt;='Control Room'!$B$3,'Control Room'!$D$3="Ready"),3&lt;='Control Room'!$B$2),ROUND(MAX(0,'Process'!O554*'Control Room'!$H$6*INDEX('Control Room'!$B$19:$H$19,1,WEEKDAY($A554,2))*(1+'Control Room'!$D$9)^552*'Process'!P554),2),"")</x:f>
      </x:c>
      <x:c r="F554" s="16" t="str">
        <x:f>IF(AND(AND(553&lt;='Control Room'!$B$3,'Control Room'!$D$3="Ready"),4&lt;='Control Room'!$B$2),ROUND(MAX(0,'Process'!T554*'Control Room'!$H$7*INDEX('Control Room'!$B$19:$H$19,1,WEEKDAY($A554,2))*(1+'Control Room'!$D$9)^552*'Process'!U554),2),"")</x:f>
      </x:c>
      <x:c r="G554" s="16" t="str">
        <x:f>IF(AND(AND(553&lt;='Control Room'!$B$3,'Control Room'!$D$3="Ready"),5&lt;='Control Room'!$B$2),ROUND(MAX(0,'Process'!Y554*'Control Room'!$H$8*INDEX('Control Room'!$B$19:$H$19,1,WEEKDAY($A554,2))*(1+'Control Room'!$D$9)^552*'Process'!Z554),2),"")</x:f>
      </x:c>
      <x:c r="H554" s="16" t="str">
        <x:f>IF(AND(AND(553&lt;='Control Room'!$B$3,'Control Room'!$D$3="Ready"),6&lt;='Control Room'!$B$2),ROUND(MAX(0,'Process'!AD554*'Control Room'!$H$9*INDEX('Control Room'!$B$19:$H$19,1,WEEKDAY($A554,2))*(1+'Control Room'!$D$9)^552*'Process'!AE554),2),"")</x:f>
      </x:c>
      <x:c r="I554" s="16" t="str">
        <x:f>IF(AND(AND(553&lt;='Control Room'!$B$3,'Control Room'!$D$3="Ready"),7&lt;='Control Room'!$B$2),ROUND(MAX(0,'Process'!AI554*'Control Room'!$H$10*INDEX('Control Room'!$B$19:$H$19,1,WEEKDAY($A554,2))*(1+'Control Room'!$D$9)^552*'Process'!AJ554),2),"")</x:f>
      </x:c>
      <x:c r="J554" s="16" t="str">
        <x:f>IF(AND(AND(553&lt;='Control Room'!$B$3,'Control Room'!$D$3="Ready"),8&lt;='Control Room'!$B$2),ROUND(MAX(0,'Process'!AN554*'Control Room'!$H$11*INDEX('Control Room'!$B$19:$H$19,1,WEEKDAY($A554,2))*(1+'Control Room'!$D$9)^552*'Process'!AO554),2),"")</x:f>
      </x:c>
      <x:c r="K554" s="16" t="str">
        <x:f>IF(AND(AND(553&lt;='Control Room'!$B$3,'Control Room'!$D$3="Ready"),9&lt;='Control Room'!$B$2),ROUND(MAX(0,'Process'!AS554*'Control Room'!$H$12*INDEX('Control Room'!$B$19:$H$19,1,WEEKDAY($A554,2))*(1+'Control Room'!$D$9)^552*'Process'!AT554),2),"")</x:f>
      </x:c>
      <x:c r="L554" s="16" t="str">
        <x:f>IF(AND(AND(553&lt;='Control Room'!$B$3,'Control Room'!$D$3="Ready"),10&lt;='Control Room'!$B$2),ROUND(MAX(0,'Process'!AX554*'Control Room'!$H$13*INDEX('Control Room'!$B$19:$H$19,1,WEEKDAY($A554,2))*(1+'Control Room'!$D$9)^552*'Process'!AY554),2),"")</x:f>
      </x:c>
      <x:c r="M554" s="16" t="str">
        <x:f>IF(AND(AND(553&lt;='Control Room'!$B$3,'Control Room'!$D$3="Ready"),11&lt;='Control Room'!$B$2),ROUND(MAX(0,'Process'!BC554*'Control Room'!$H$14*INDEX('Control Room'!$B$19:$H$19,1,WEEKDAY($A554,2))*(1+'Control Room'!$D$9)^552*'Process'!BD554),2),"")</x:f>
      </x:c>
      <x:c r="N554" s="16" t="str">
        <x:f>IF(AND(AND(553&lt;='Control Room'!$B$3,'Control Room'!$D$3="Ready"),12&lt;='Control Room'!$B$2),ROUND(MAX(0,'Process'!BH554*'Control Room'!$H$15*INDEX('Control Room'!$B$19:$H$19,1,WEEKDAY($A554,2))*(1+'Control Room'!$D$9)^552*'Process'!BI554),2),"")</x:f>
      </x:c>
    </x:row>
    <x:row r="555" ht="21" customHeight="1">
      <x:c r="A555" s="15" t="str">
        <x:f>IF(AND(554&lt;='Control Room'!$B$3,'Control Room'!$D$3="Ready"),'Process'!A555,"")</x:f>
      </x:c>
      <x:c r="B555" s="16" t="str">
        <x:f>IF(A555="","",SUM(C555:N555))</x:f>
      </x:c>
      <x:c r="C555" s="16" t="str">
        <x:f>IF(AND(AND(554&lt;='Control Room'!$B$3,'Control Room'!$D$3="Ready"),1&lt;='Control Room'!$B$2),ROUND(MAX(0,'Process'!E555*'Control Room'!$H$4*INDEX('Control Room'!$B$19:$H$19,1,WEEKDAY($A555,2))*(1+'Control Room'!$D$9)^553*'Process'!F555),2),"")</x:f>
      </x:c>
      <x:c r="D555" s="16" t="str">
        <x:f>IF(AND(AND(554&lt;='Control Room'!$B$3,'Control Room'!$D$3="Ready"),2&lt;='Control Room'!$B$2),ROUND(MAX(0,'Process'!J555*'Control Room'!$H$5*INDEX('Control Room'!$B$19:$H$19,1,WEEKDAY($A555,2))*(1+'Control Room'!$D$9)^553*'Process'!K555),2),"")</x:f>
      </x:c>
      <x:c r="E555" s="16" t="str">
        <x:f>IF(AND(AND(554&lt;='Control Room'!$B$3,'Control Room'!$D$3="Ready"),3&lt;='Control Room'!$B$2),ROUND(MAX(0,'Process'!O555*'Control Room'!$H$6*INDEX('Control Room'!$B$19:$H$19,1,WEEKDAY($A555,2))*(1+'Control Room'!$D$9)^553*'Process'!P555),2),"")</x:f>
      </x:c>
      <x:c r="F555" s="16" t="str">
        <x:f>IF(AND(AND(554&lt;='Control Room'!$B$3,'Control Room'!$D$3="Ready"),4&lt;='Control Room'!$B$2),ROUND(MAX(0,'Process'!T555*'Control Room'!$H$7*INDEX('Control Room'!$B$19:$H$19,1,WEEKDAY($A555,2))*(1+'Control Room'!$D$9)^553*'Process'!U555),2),"")</x:f>
      </x:c>
      <x:c r="G555" s="16" t="str">
        <x:f>IF(AND(AND(554&lt;='Control Room'!$B$3,'Control Room'!$D$3="Ready"),5&lt;='Control Room'!$B$2),ROUND(MAX(0,'Process'!Y555*'Control Room'!$H$8*INDEX('Control Room'!$B$19:$H$19,1,WEEKDAY($A555,2))*(1+'Control Room'!$D$9)^553*'Process'!Z555),2),"")</x:f>
      </x:c>
      <x:c r="H555" s="16" t="str">
        <x:f>IF(AND(AND(554&lt;='Control Room'!$B$3,'Control Room'!$D$3="Ready"),6&lt;='Control Room'!$B$2),ROUND(MAX(0,'Process'!AD555*'Control Room'!$H$9*INDEX('Control Room'!$B$19:$H$19,1,WEEKDAY($A555,2))*(1+'Control Room'!$D$9)^553*'Process'!AE555),2),"")</x:f>
      </x:c>
      <x:c r="I555" s="16" t="str">
        <x:f>IF(AND(AND(554&lt;='Control Room'!$B$3,'Control Room'!$D$3="Ready"),7&lt;='Control Room'!$B$2),ROUND(MAX(0,'Process'!AI555*'Control Room'!$H$10*INDEX('Control Room'!$B$19:$H$19,1,WEEKDAY($A555,2))*(1+'Control Room'!$D$9)^553*'Process'!AJ555),2),"")</x:f>
      </x:c>
      <x:c r="J555" s="16" t="str">
        <x:f>IF(AND(AND(554&lt;='Control Room'!$B$3,'Control Room'!$D$3="Ready"),8&lt;='Control Room'!$B$2),ROUND(MAX(0,'Process'!AN555*'Control Room'!$H$11*INDEX('Control Room'!$B$19:$H$19,1,WEEKDAY($A555,2))*(1+'Control Room'!$D$9)^553*'Process'!AO555),2),"")</x:f>
      </x:c>
      <x:c r="K555" s="16" t="str">
        <x:f>IF(AND(AND(554&lt;='Control Room'!$B$3,'Control Room'!$D$3="Ready"),9&lt;='Control Room'!$B$2),ROUND(MAX(0,'Process'!AS555*'Control Room'!$H$12*INDEX('Control Room'!$B$19:$H$19,1,WEEKDAY($A555,2))*(1+'Control Room'!$D$9)^553*'Process'!AT555),2),"")</x:f>
      </x:c>
      <x:c r="L555" s="16" t="str">
        <x:f>IF(AND(AND(554&lt;='Control Room'!$B$3,'Control Room'!$D$3="Ready"),10&lt;='Control Room'!$B$2),ROUND(MAX(0,'Process'!AX555*'Control Room'!$H$13*INDEX('Control Room'!$B$19:$H$19,1,WEEKDAY($A555,2))*(1+'Control Room'!$D$9)^553*'Process'!AY555),2),"")</x:f>
      </x:c>
      <x:c r="M555" s="16" t="str">
        <x:f>IF(AND(AND(554&lt;='Control Room'!$B$3,'Control Room'!$D$3="Ready"),11&lt;='Control Room'!$B$2),ROUND(MAX(0,'Process'!BC555*'Control Room'!$H$14*INDEX('Control Room'!$B$19:$H$19,1,WEEKDAY($A555,2))*(1+'Control Room'!$D$9)^553*'Process'!BD555),2),"")</x:f>
      </x:c>
      <x:c r="N555" s="16" t="str">
        <x:f>IF(AND(AND(554&lt;='Control Room'!$B$3,'Control Room'!$D$3="Ready"),12&lt;='Control Room'!$B$2),ROUND(MAX(0,'Process'!BH555*'Control Room'!$H$15*INDEX('Control Room'!$B$19:$H$19,1,WEEKDAY($A555,2))*(1+'Control Room'!$D$9)^553*'Process'!BI555),2),"")</x:f>
      </x:c>
    </x:row>
    <x:row r="556" ht="21" customHeight="1">
      <x:c r="A556" s="15" t="str">
        <x:f>IF(AND(555&lt;='Control Room'!$B$3,'Control Room'!$D$3="Ready"),'Process'!A556,"")</x:f>
      </x:c>
      <x:c r="B556" s="16" t="str">
        <x:f>IF(A556="","",SUM(C556:N556))</x:f>
      </x:c>
      <x:c r="C556" s="16" t="str">
        <x:f>IF(AND(AND(555&lt;='Control Room'!$B$3,'Control Room'!$D$3="Ready"),1&lt;='Control Room'!$B$2),ROUND(MAX(0,'Process'!E556*'Control Room'!$H$4*INDEX('Control Room'!$B$19:$H$19,1,WEEKDAY($A556,2))*(1+'Control Room'!$D$9)^554*'Process'!F556),2),"")</x:f>
      </x:c>
      <x:c r="D556" s="16" t="str">
        <x:f>IF(AND(AND(555&lt;='Control Room'!$B$3,'Control Room'!$D$3="Ready"),2&lt;='Control Room'!$B$2),ROUND(MAX(0,'Process'!J556*'Control Room'!$H$5*INDEX('Control Room'!$B$19:$H$19,1,WEEKDAY($A556,2))*(1+'Control Room'!$D$9)^554*'Process'!K556),2),"")</x:f>
      </x:c>
      <x:c r="E556" s="16" t="str">
        <x:f>IF(AND(AND(555&lt;='Control Room'!$B$3,'Control Room'!$D$3="Ready"),3&lt;='Control Room'!$B$2),ROUND(MAX(0,'Process'!O556*'Control Room'!$H$6*INDEX('Control Room'!$B$19:$H$19,1,WEEKDAY($A556,2))*(1+'Control Room'!$D$9)^554*'Process'!P556),2),"")</x:f>
      </x:c>
      <x:c r="F556" s="16" t="str">
        <x:f>IF(AND(AND(555&lt;='Control Room'!$B$3,'Control Room'!$D$3="Ready"),4&lt;='Control Room'!$B$2),ROUND(MAX(0,'Process'!T556*'Control Room'!$H$7*INDEX('Control Room'!$B$19:$H$19,1,WEEKDAY($A556,2))*(1+'Control Room'!$D$9)^554*'Process'!U556),2),"")</x:f>
      </x:c>
      <x:c r="G556" s="16" t="str">
        <x:f>IF(AND(AND(555&lt;='Control Room'!$B$3,'Control Room'!$D$3="Ready"),5&lt;='Control Room'!$B$2),ROUND(MAX(0,'Process'!Y556*'Control Room'!$H$8*INDEX('Control Room'!$B$19:$H$19,1,WEEKDAY($A556,2))*(1+'Control Room'!$D$9)^554*'Process'!Z556),2),"")</x:f>
      </x:c>
      <x:c r="H556" s="16" t="str">
        <x:f>IF(AND(AND(555&lt;='Control Room'!$B$3,'Control Room'!$D$3="Ready"),6&lt;='Control Room'!$B$2),ROUND(MAX(0,'Process'!AD556*'Control Room'!$H$9*INDEX('Control Room'!$B$19:$H$19,1,WEEKDAY($A556,2))*(1+'Control Room'!$D$9)^554*'Process'!AE556),2),"")</x:f>
      </x:c>
      <x:c r="I556" s="16" t="str">
        <x:f>IF(AND(AND(555&lt;='Control Room'!$B$3,'Control Room'!$D$3="Ready"),7&lt;='Control Room'!$B$2),ROUND(MAX(0,'Process'!AI556*'Control Room'!$H$10*INDEX('Control Room'!$B$19:$H$19,1,WEEKDAY($A556,2))*(1+'Control Room'!$D$9)^554*'Process'!AJ556),2),"")</x:f>
      </x:c>
      <x:c r="J556" s="16" t="str">
        <x:f>IF(AND(AND(555&lt;='Control Room'!$B$3,'Control Room'!$D$3="Ready"),8&lt;='Control Room'!$B$2),ROUND(MAX(0,'Process'!AN556*'Control Room'!$H$11*INDEX('Control Room'!$B$19:$H$19,1,WEEKDAY($A556,2))*(1+'Control Room'!$D$9)^554*'Process'!AO556),2),"")</x:f>
      </x:c>
      <x:c r="K556" s="16" t="str">
        <x:f>IF(AND(AND(555&lt;='Control Room'!$B$3,'Control Room'!$D$3="Ready"),9&lt;='Control Room'!$B$2),ROUND(MAX(0,'Process'!AS556*'Control Room'!$H$12*INDEX('Control Room'!$B$19:$H$19,1,WEEKDAY($A556,2))*(1+'Control Room'!$D$9)^554*'Process'!AT556),2),"")</x:f>
      </x:c>
      <x:c r="L556" s="16" t="str">
        <x:f>IF(AND(AND(555&lt;='Control Room'!$B$3,'Control Room'!$D$3="Ready"),10&lt;='Control Room'!$B$2),ROUND(MAX(0,'Process'!AX556*'Control Room'!$H$13*INDEX('Control Room'!$B$19:$H$19,1,WEEKDAY($A556,2))*(1+'Control Room'!$D$9)^554*'Process'!AY556),2),"")</x:f>
      </x:c>
      <x:c r="M556" s="16" t="str">
        <x:f>IF(AND(AND(555&lt;='Control Room'!$B$3,'Control Room'!$D$3="Ready"),11&lt;='Control Room'!$B$2),ROUND(MAX(0,'Process'!BC556*'Control Room'!$H$14*INDEX('Control Room'!$B$19:$H$19,1,WEEKDAY($A556,2))*(1+'Control Room'!$D$9)^554*'Process'!BD556),2),"")</x:f>
      </x:c>
      <x:c r="N556" s="16" t="str">
        <x:f>IF(AND(AND(555&lt;='Control Room'!$B$3,'Control Room'!$D$3="Ready"),12&lt;='Control Room'!$B$2),ROUND(MAX(0,'Process'!BH556*'Control Room'!$H$15*INDEX('Control Room'!$B$19:$H$19,1,WEEKDAY($A556,2))*(1+'Control Room'!$D$9)^554*'Process'!BI556),2),"")</x:f>
      </x:c>
    </x:row>
    <x:row r="557" ht="21" customHeight="1">
      <x:c r="A557" s="15" t="str">
        <x:f>IF(AND(556&lt;='Control Room'!$B$3,'Control Room'!$D$3="Ready"),'Process'!A557,"")</x:f>
      </x:c>
      <x:c r="B557" s="16" t="str">
        <x:f>IF(A557="","",SUM(C557:N557))</x:f>
      </x:c>
      <x:c r="C557" s="16" t="str">
        <x:f>IF(AND(AND(556&lt;='Control Room'!$B$3,'Control Room'!$D$3="Ready"),1&lt;='Control Room'!$B$2),ROUND(MAX(0,'Process'!E557*'Control Room'!$H$4*INDEX('Control Room'!$B$19:$H$19,1,WEEKDAY($A557,2))*(1+'Control Room'!$D$9)^555*'Process'!F557),2),"")</x:f>
      </x:c>
      <x:c r="D557" s="16" t="str">
        <x:f>IF(AND(AND(556&lt;='Control Room'!$B$3,'Control Room'!$D$3="Ready"),2&lt;='Control Room'!$B$2),ROUND(MAX(0,'Process'!J557*'Control Room'!$H$5*INDEX('Control Room'!$B$19:$H$19,1,WEEKDAY($A557,2))*(1+'Control Room'!$D$9)^555*'Process'!K557),2),"")</x:f>
      </x:c>
      <x:c r="E557" s="16" t="str">
        <x:f>IF(AND(AND(556&lt;='Control Room'!$B$3,'Control Room'!$D$3="Ready"),3&lt;='Control Room'!$B$2),ROUND(MAX(0,'Process'!O557*'Control Room'!$H$6*INDEX('Control Room'!$B$19:$H$19,1,WEEKDAY($A557,2))*(1+'Control Room'!$D$9)^555*'Process'!P557),2),"")</x:f>
      </x:c>
      <x:c r="F557" s="16" t="str">
        <x:f>IF(AND(AND(556&lt;='Control Room'!$B$3,'Control Room'!$D$3="Ready"),4&lt;='Control Room'!$B$2),ROUND(MAX(0,'Process'!T557*'Control Room'!$H$7*INDEX('Control Room'!$B$19:$H$19,1,WEEKDAY($A557,2))*(1+'Control Room'!$D$9)^555*'Process'!U557),2),"")</x:f>
      </x:c>
      <x:c r="G557" s="16" t="str">
        <x:f>IF(AND(AND(556&lt;='Control Room'!$B$3,'Control Room'!$D$3="Ready"),5&lt;='Control Room'!$B$2),ROUND(MAX(0,'Process'!Y557*'Control Room'!$H$8*INDEX('Control Room'!$B$19:$H$19,1,WEEKDAY($A557,2))*(1+'Control Room'!$D$9)^555*'Process'!Z557),2),"")</x:f>
      </x:c>
      <x:c r="H557" s="16" t="str">
        <x:f>IF(AND(AND(556&lt;='Control Room'!$B$3,'Control Room'!$D$3="Ready"),6&lt;='Control Room'!$B$2),ROUND(MAX(0,'Process'!AD557*'Control Room'!$H$9*INDEX('Control Room'!$B$19:$H$19,1,WEEKDAY($A557,2))*(1+'Control Room'!$D$9)^555*'Process'!AE557),2),"")</x:f>
      </x:c>
      <x:c r="I557" s="16" t="str">
        <x:f>IF(AND(AND(556&lt;='Control Room'!$B$3,'Control Room'!$D$3="Ready"),7&lt;='Control Room'!$B$2),ROUND(MAX(0,'Process'!AI557*'Control Room'!$H$10*INDEX('Control Room'!$B$19:$H$19,1,WEEKDAY($A557,2))*(1+'Control Room'!$D$9)^555*'Process'!AJ557),2),"")</x:f>
      </x:c>
      <x:c r="J557" s="16" t="str">
        <x:f>IF(AND(AND(556&lt;='Control Room'!$B$3,'Control Room'!$D$3="Ready"),8&lt;='Control Room'!$B$2),ROUND(MAX(0,'Process'!AN557*'Control Room'!$H$11*INDEX('Control Room'!$B$19:$H$19,1,WEEKDAY($A557,2))*(1+'Control Room'!$D$9)^555*'Process'!AO557),2),"")</x:f>
      </x:c>
      <x:c r="K557" s="16" t="str">
        <x:f>IF(AND(AND(556&lt;='Control Room'!$B$3,'Control Room'!$D$3="Ready"),9&lt;='Control Room'!$B$2),ROUND(MAX(0,'Process'!AS557*'Control Room'!$H$12*INDEX('Control Room'!$B$19:$H$19,1,WEEKDAY($A557,2))*(1+'Control Room'!$D$9)^555*'Process'!AT557),2),"")</x:f>
      </x:c>
      <x:c r="L557" s="16" t="str">
        <x:f>IF(AND(AND(556&lt;='Control Room'!$B$3,'Control Room'!$D$3="Ready"),10&lt;='Control Room'!$B$2),ROUND(MAX(0,'Process'!AX557*'Control Room'!$H$13*INDEX('Control Room'!$B$19:$H$19,1,WEEKDAY($A557,2))*(1+'Control Room'!$D$9)^555*'Process'!AY557),2),"")</x:f>
      </x:c>
      <x:c r="M557" s="16" t="str">
        <x:f>IF(AND(AND(556&lt;='Control Room'!$B$3,'Control Room'!$D$3="Ready"),11&lt;='Control Room'!$B$2),ROUND(MAX(0,'Process'!BC557*'Control Room'!$H$14*INDEX('Control Room'!$B$19:$H$19,1,WEEKDAY($A557,2))*(1+'Control Room'!$D$9)^555*'Process'!BD557),2),"")</x:f>
      </x:c>
      <x:c r="N557" s="16" t="str">
        <x:f>IF(AND(AND(556&lt;='Control Room'!$B$3,'Control Room'!$D$3="Ready"),12&lt;='Control Room'!$B$2),ROUND(MAX(0,'Process'!BH557*'Control Room'!$H$15*INDEX('Control Room'!$B$19:$H$19,1,WEEKDAY($A557,2))*(1+'Control Room'!$D$9)^555*'Process'!BI557),2),"")</x:f>
      </x:c>
    </x:row>
    <x:row r="558" ht="21" customHeight="1">
      <x:c r="A558" s="15" t="str">
        <x:f>IF(AND(557&lt;='Control Room'!$B$3,'Control Room'!$D$3="Ready"),'Process'!A558,"")</x:f>
      </x:c>
      <x:c r="B558" s="16" t="str">
        <x:f>IF(A558="","",SUM(C558:N558))</x:f>
      </x:c>
      <x:c r="C558" s="16" t="str">
        <x:f>IF(AND(AND(557&lt;='Control Room'!$B$3,'Control Room'!$D$3="Ready"),1&lt;='Control Room'!$B$2),ROUND(MAX(0,'Process'!E558*'Control Room'!$H$4*INDEX('Control Room'!$B$19:$H$19,1,WEEKDAY($A558,2))*(1+'Control Room'!$D$9)^556*'Process'!F558),2),"")</x:f>
      </x:c>
      <x:c r="D558" s="16" t="str">
        <x:f>IF(AND(AND(557&lt;='Control Room'!$B$3,'Control Room'!$D$3="Ready"),2&lt;='Control Room'!$B$2),ROUND(MAX(0,'Process'!J558*'Control Room'!$H$5*INDEX('Control Room'!$B$19:$H$19,1,WEEKDAY($A558,2))*(1+'Control Room'!$D$9)^556*'Process'!K558),2),"")</x:f>
      </x:c>
      <x:c r="E558" s="16" t="str">
        <x:f>IF(AND(AND(557&lt;='Control Room'!$B$3,'Control Room'!$D$3="Ready"),3&lt;='Control Room'!$B$2),ROUND(MAX(0,'Process'!O558*'Control Room'!$H$6*INDEX('Control Room'!$B$19:$H$19,1,WEEKDAY($A558,2))*(1+'Control Room'!$D$9)^556*'Process'!P558),2),"")</x:f>
      </x:c>
      <x:c r="F558" s="16" t="str">
        <x:f>IF(AND(AND(557&lt;='Control Room'!$B$3,'Control Room'!$D$3="Ready"),4&lt;='Control Room'!$B$2),ROUND(MAX(0,'Process'!T558*'Control Room'!$H$7*INDEX('Control Room'!$B$19:$H$19,1,WEEKDAY($A558,2))*(1+'Control Room'!$D$9)^556*'Process'!U558),2),"")</x:f>
      </x:c>
      <x:c r="G558" s="16" t="str">
        <x:f>IF(AND(AND(557&lt;='Control Room'!$B$3,'Control Room'!$D$3="Ready"),5&lt;='Control Room'!$B$2),ROUND(MAX(0,'Process'!Y558*'Control Room'!$H$8*INDEX('Control Room'!$B$19:$H$19,1,WEEKDAY($A558,2))*(1+'Control Room'!$D$9)^556*'Process'!Z558),2),"")</x:f>
      </x:c>
      <x:c r="H558" s="16" t="str">
        <x:f>IF(AND(AND(557&lt;='Control Room'!$B$3,'Control Room'!$D$3="Ready"),6&lt;='Control Room'!$B$2),ROUND(MAX(0,'Process'!AD558*'Control Room'!$H$9*INDEX('Control Room'!$B$19:$H$19,1,WEEKDAY($A558,2))*(1+'Control Room'!$D$9)^556*'Process'!AE558),2),"")</x:f>
      </x:c>
      <x:c r="I558" s="16" t="str">
        <x:f>IF(AND(AND(557&lt;='Control Room'!$B$3,'Control Room'!$D$3="Ready"),7&lt;='Control Room'!$B$2),ROUND(MAX(0,'Process'!AI558*'Control Room'!$H$10*INDEX('Control Room'!$B$19:$H$19,1,WEEKDAY($A558,2))*(1+'Control Room'!$D$9)^556*'Process'!AJ558),2),"")</x:f>
      </x:c>
      <x:c r="J558" s="16" t="str">
        <x:f>IF(AND(AND(557&lt;='Control Room'!$B$3,'Control Room'!$D$3="Ready"),8&lt;='Control Room'!$B$2),ROUND(MAX(0,'Process'!AN558*'Control Room'!$H$11*INDEX('Control Room'!$B$19:$H$19,1,WEEKDAY($A558,2))*(1+'Control Room'!$D$9)^556*'Process'!AO558),2),"")</x:f>
      </x:c>
      <x:c r="K558" s="16" t="str">
        <x:f>IF(AND(AND(557&lt;='Control Room'!$B$3,'Control Room'!$D$3="Ready"),9&lt;='Control Room'!$B$2),ROUND(MAX(0,'Process'!AS558*'Control Room'!$H$12*INDEX('Control Room'!$B$19:$H$19,1,WEEKDAY($A558,2))*(1+'Control Room'!$D$9)^556*'Process'!AT558),2),"")</x:f>
      </x:c>
      <x:c r="L558" s="16" t="str">
        <x:f>IF(AND(AND(557&lt;='Control Room'!$B$3,'Control Room'!$D$3="Ready"),10&lt;='Control Room'!$B$2),ROUND(MAX(0,'Process'!AX558*'Control Room'!$H$13*INDEX('Control Room'!$B$19:$H$19,1,WEEKDAY($A558,2))*(1+'Control Room'!$D$9)^556*'Process'!AY558),2),"")</x:f>
      </x:c>
      <x:c r="M558" s="16" t="str">
        <x:f>IF(AND(AND(557&lt;='Control Room'!$B$3,'Control Room'!$D$3="Ready"),11&lt;='Control Room'!$B$2),ROUND(MAX(0,'Process'!BC558*'Control Room'!$H$14*INDEX('Control Room'!$B$19:$H$19,1,WEEKDAY($A558,2))*(1+'Control Room'!$D$9)^556*'Process'!BD558),2),"")</x:f>
      </x:c>
      <x:c r="N558" s="16" t="str">
        <x:f>IF(AND(AND(557&lt;='Control Room'!$B$3,'Control Room'!$D$3="Ready"),12&lt;='Control Room'!$B$2),ROUND(MAX(0,'Process'!BH558*'Control Room'!$H$15*INDEX('Control Room'!$B$19:$H$19,1,WEEKDAY($A558,2))*(1+'Control Room'!$D$9)^556*'Process'!BI558),2),"")</x:f>
      </x:c>
    </x:row>
    <x:row r="559" ht="21" customHeight="1">
      <x:c r="A559" s="15" t="str">
        <x:f>IF(AND(558&lt;='Control Room'!$B$3,'Control Room'!$D$3="Ready"),'Process'!A559,"")</x:f>
      </x:c>
      <x:c r="B559" s="16" t="str">
        <x:f>IF(A559="","",SUM(C559:N559))</x:f>
      </x:c>
      <x:c r="C559" s="16" t="str">
        <x:f>IF(AND(AND(558&lt;='Control Room'!$B$3,'Control Room'!$D$3="Ready"),1&lt;='Control Room'!$B$2),ROUND(MAX(0,'Process'!E559*'Control Room'!$H$4*INDEX('Control Room'!$B$19:$H$19,1,WEEKDAY($A559,2))*(1+'Control Room'!$D$9)^557*'Process'!F559),2),"")</x:f>
      </x:c>
      <x:c r="D559" s="16" t="str">
        <x:f>IF(AND(AND(558&lt;='Control Room'!$B$3,'Control Room'!$D$3="Ready"),2&lt;='Control Room'!$B$2),ROUND(MAX(0,'Process'!J559*'Control Room'!$H$5*INDEX('Control Room'!$B$19:$H$19,1,WEEKDAY($A559,2))*(1+'Control Room'!$D$9)^557*'Process'!K559),2),"")</x:f>
      </x:c>
      <x:c r="E559" s="16" t="str">
        <x:f>IF(AND(AND(558&lt;='Control Room'!$B$3,'Control Room'!$D$3="Ready"),3&lt;='Control Room'!$B$2),ROUND(MAX(0,'Process'!O559*'Control Room'!$H$6*INDEX('Control Room'!$B$19:$H$19,1,WEEKDAY($A559,2))*(1+'Control Room'!$D$9)^557*'Process'!P559),2),"")</x:f>
      </x:c>
      <x:c r="F559" s="16" t="str">
        <x:f>IF(AND(AND(558&lt;='Control Room'!$B$3,'Control Room'!$D$3="Ready"),4&lt;='Control Room'!$B$2),ROUND(MAX(0,'Process'!T559*'Control Room'!$H$7*INDEX('Control Room'!$B$19:$H$19,1,WEEKDAY($A559,2))*(1+'Control Room'!$D$9)^557*'Process'!U559),2),"")</x:f>
      </x:c>
      <x:c r="G559" s="16" t="str">
        <x:f>IF(AND(AND(558&lt;='Control Room'!$B$3,'Control Room'!$D$3="Ready"),5&lt;='Control Room'!$B$2),ROUND(MAX(0,'Process'!Y559*'Control Room'!$H$8*INDEX('Control Room'!$B$19:$H$19,1,WEEKDAY($A559,2))*(1+'Control Room'!$D$9)^557*'Process'!Z559),2),"")</x:f>
      </x:c>
      <x:c r="H559" s="16" t="str">
        <x:f>IF(AND(AND(558&lt;='Control Room'!$B$3,'Control Room'!$D$3="Ready"),6&lt;='Control Room'!$B$2),ROUND(MAX(0,'Process'!AD559*'Control Room'!$H$9*INDEX('Control Room'!$B$19:$H$19,1,WEEKDAY($A559,2))*(1+'Control Room'!$D$9)^557*'Process'!AE559),2),"")</x:f>
      </x:c>
      <x:c r="I559" s="16" t="str">
        <x:f>IF(AND(AND(558&lt;='Control Room'!$B$3,'Control Room'!$D$3="Ready"),7&lt;='Control Room'!$B$2),ROUND(MAX(0,'Process'!AI559*'Control Room'!$H$10*INDEX('Control Room'!$B$19:$H$19,1,WEEKDAY($A559,2))*(1+'Control Room'!$D$9)^557*'Process'!AJ559),2),"")</x:f>
      </x:c>
      <x:c r="J559" s="16" t="str">
        <x:f>IF(AND(AND(558&lt;='Control Room'!$B$3,'Control Room'!$D$3="Ready"),8&lt;='Control Room'!$B$2),ROUND(MAX(0,'Process'!AN559*'Control Room'!$H$11*INDEX('Control Room'!$B$19:$H$19,1,WEEKDAY($A559,2))*(1+'Control Room'!$D$9)^557*'Process'!AO559),2),"")</x:f>
      </x:c>
      <x:c r="K559" s="16" t="str">
        <x:f>IF(AND(AND(558&lt;='Control Room'!$B$3,'Control Room'!$D$3="Ready"),9&lt;='Control Room'!$B$2),ROUND(MAX(0,'Process'!AS559*'Control Room'!$H$12*INDEX('Control Room'!$B$19:$H$19,1,WEEKDAY($A559,2))*(1+'Control Room'!$D$9)^557*'Process'!AT559),2),"")</x:f>
      </x:c>
      <x:c r="L559" s="16" t="str">
        <x:f>IF(AND(AND(558&lt;='Control Room'!$B$3,'Control Room'!$D$3="Ready"),10&lt;='Control Room'!$B$2),ROUND(MAX(0,'Process'!AX559*'Control Room'!$H$13*INDEX('Control Room'!$B$19:$H$19,1,WEEKDAY($A559,2))*(1+'Control Room'!$D$9)^557*'Process'!AY559),2),"")</x:f>
      </x:c>
      <x:c r="M559" s="16" t="str">
        <x:f>IF(AND(AND(558&lt;='Control Room'!$B$3,'Control Room'!$D$3="Ready"),11&lt;='Control Room'!$B$2),ROUND(MAX(0,'Process'!BC559*'Control Room'!$H$14*INDEX('Control Room'!$B$19:$H$19,1,WEEKDAY($A559,2))*(1+'Control Room'!$D$9)^557*'Process'!BD559),2),"")</x:f>
      </x:c>
      <x:c r="N559" s="16" t="str">
        <x:f>IF(AND(AND(558&lt;='Control Room'!$B$3,'Control Room'!$D$3="Ready"),12&lt;='Control Room'!$B$2),ROUND(MAX(0,'Process'!BH559*'Control Room'!$H$15*INDEX('Control Room'!$B$19:$H$19,1,WEEKDAY($A559,2))*(1+'Control Room'!$D$9)^557*'Process'!BI559),2),"")</x:f>
      </x:c>
    </x:row>
    <x:row r="560" ht="21" customHeight="1">
      <x:c r="A560" s="15" t="str">
        <x:f>IF(AND(559&lt;='Control Room'!$B$3,'Control Room'!$D$3="Ready"),'Process'!A560,"")</x:f>
      </x:c>
      <x:c r="B560" s="16" t="str">
        <x:f>IF(A560="","",SUM(C560:N560))</x:f>
      </x:c>
      <x:c r="C560" s="16" t="str">
        <x:f>IF(AND(AND(559&lt;='Control Room'!$B$3,'Control Room'!$D$3="Ready"),1&lt;='Control Room'!$B$2),ROUND(MAX(0,'Process'!E560*'Control Room'!$H$4*INDEX('Control Room'!$B$19:$H$19,1,WEEKDAY($A560,2))*(1+'Control Room'!$D$9)^558*'Process'!F560),2),"")</x:f>
      </x:c>
      <x:c r="D560" s="16" t="str">
        <x:f>IF(AND(AND(559&lt;='Control Room'!$B$3,'Control Room'!$D$3="Ready"),2&lt;='Control Room'!$B$2),ROUND(MAX(0,'Process'!J560*'Control Room'!$H$5*INDEX('Control Room'!$B$19:$H$19,1,WEEKDAY($A560,2))*(1+'Control Room'!$D$9)^558*'Process'!K560),2),"")</x:f>
      </x:c>
      <x:c r="E560" s="16" t="str">
        <x:f>IF(AND(AND(559&lt;='Control Room'!$B$3,'Control Room'!$D$3="Ready"),3&lt;='Control Room'!$B$2),ROUND(MAX(0,'Process'!O560*'Control Room'!$H$6*INDEX('Control Room'!$B$19:$H$19,1,WEEKDAY($A560,2))*(1+'Control Room'!$D$9)^558*'Process'!P560),2),"")</x:f>
      </x:c>
      <x:c r="F560" s="16" t="str">
        <x:f>IF(AND(AND(559&lt;='Control Room'!$B$3,'Control Room'!$D$3="Ready"),4&lt;='Control Room'!$B$2),ROUND(MAX(0,'Process'!T560*'Control Room'!$H$7*INDEX('Control Room'!$B$19:$H$19,1,WEEKDAY($A560,2))*(1+'Control Room'!$D$9)^558*'Process'!U560),2),"")</x:f>
      </x:c>
      <x:c r="G560" s="16" t="str">
        <x:f>IF(AND(AND(559&lt;='Control Room'!$B$3,'Control Room'!$D$3="Ready"),5&lt;='Control Room'!$B$2),ROUND(MAX(0,'Process'!Y560*'Control Room'!$H$8*INDEX('Control Room'!$B$19:$H$19,1,WEEKDAY($A560,2))*(1+'Control Room'!$D$9)^558*'Process'!Z560),2),"")</x:f>
      </x:c>
      <x:c r="H560" s="16" t="str">
        <x:f>IF(AND(AND(559&lt;='Control Room'!$B$3,'Control Room'!$D$3="Ready"),6&lt;='Control Room'!$B$2),ROUND(MAX(0,'Process'!AD560*'Control Room'!$H$9*INDEX('Control Room'!$B$19:$H$19,1,WEEKDAY($A560,2))*(1+'Control Room'!$D$9)^558*'Process'!AE560),2),"")</x:f>
      </x:c>
      <x:c r="I560" s="16" t="str">
        <x:f>IF(AND(AND(559&lt;='Control Room'!$B$3,'Control Room'!$D$3="Ready"),7&lt;='Control Room'!$B$2),ROUND(MAX(0,'Process'!AI560*'Control Room'!$H$10*INDEX('Control Room'!$B$19:$H$19,1,WEEKDAY($A560,2))*(1+'Control Room'!$D$9)^558*'Process'!AJ560),2),"")</x:f>
      </x:c>
      <x:c r="J560" s="16" t="str">
        <x:f>IF(AND(AND(559&lt;='Control Room'!$B$3,'Control Room'!$D$3="Ready"),8&lt;='Control Room'!$B$2),ROUND(MAX(0,'Process'!AN560*'Control Room'!$H$11*INDEX('Control Room'!$B$19:$H$19,1,WEEKDAY($A560,2))*(1+'Control Room'!$D$9)^558*'Process'!AO560),2),"")</x:f>
      </x:c>
      <x:c r="K560" s="16" t="str">
        <x:f>IF(AND(AND(559&lt;='Control Room'!$B$3,'Control Room'!$D$3="Ready"),9&lt;='Control Room'!$B$2),ROUND(MAX(0,'Process'!AS560*'Control Room'!$H$12*INDEX('Control Room'!$B$19:$H$19,1,WEEKDAY($A560,2))*(1+'Control Room'!$D$9)^558*'Process'!AT560),2),"")</x:f>
      </x:c>
      <x:c r="L560" s="16" t="str">
        <x:f>IF(AND(AND(559&lt;='Control Room'!$B$3,'Control Room'!$D$3="Ready"),10&lt;='Control Room'!$B$2),ROUND(MAX(0,'Process'!AX560*'Control Room'!$H$13*INDEX('Control Room'!$B$19:$H$19,1,WEEKDAY($A560,2))*(1+'Control Room'!$D$9)^558*'Process'!AY560),2),"")</x:f>
      </x:c>
      <x:c r="M560" s="16" t="str">
        <x:f>IF(AND(AND(559&lt;='Control Room'!$B$3,'Control Room'!$D$3="Ready"),11&lt;='Control Room'!$B$2),ROUND(MAX(0,'Process'!BC560*'Control Room'!$H$14*INDEX('Control Room'!$B$19:$H$19,1,WEEKDAY($A560,2))*(1+'Control Room'!$D$9)^558*'Process'!BD560),2),"")</x:f>
      </x:c>
      <x:c r="N560" s="16" t="str">
        <x:f>IF(AND(AND(559&lt;='Control Room'!$B$3,'Control Room'!$D$3="Ready"),12&lt;='Control Room'!$B$2),ROUND(MAX(0,'Process'!BH560*'Control Room'!$H$15*INDEX('Control Room'!$B$19:$H$19,1,WEEKDAY($A560,2))*(1+'Control Room'!$D$9)^558*'Process'!BI560),2),"")</x:f>
      </x:c>
    </x:row>
    <x:row r="561" ht="21" customHeight="1">
      <x:c r="A561" s="15" t="str">
        <x:f>IF(AND(560&lt;='Control Room'!$B$3,'Control Room'!$D$3="Ready"),'Process'!A561,"")</x:f>
      </x:c>
      <x:c r="B561" s="16" t="str">
        <x:f>IF(A561="","",SUM(C561:N561))</x:f>
      </x:c>
      <x:c r="C561" s="16" t="str">
        <x:f>IF(AND(AND(560&lt;='Control Room'!$B$3,'Control Room'!$D$3="Ready"),1&lt;='Control Room'!$B$2),ROUND(MAX(0,'Process'!E561*'Control Room'!$H$4*INDEX('Control Room'!$B$19:$H$19,1,WEEKDAY($A561,2))*(1+'Control Room'!$D$9)^559*'Process'!F561),2),"")</x:f>
      </x:c>
      <x:c r="D561" s="16" t="str">
        <x:f>IF(AND(AND(560&lt;='Control Room'!$B$3,'Control Room'!$D$3="Ready"),2&lt;='Control Room'!$B$2),ROUND(MAX(0,'Process'!J561*'Control Room'!$H$5*INDEX('Control Room'!$B$19:$H$19,1,WEEKDAY($A561,2))*(1+'Control Room'!$D$9)^559*'Process'!K561),2),"")</x:f>
      </x:c>
      <x:c r="E561" s="16" t="str">
        <x:f>IF(AND(AND(560&lt;='Control Room'!$B$3,'Control Room'!$D$3="Ready"),3&lt;='Control Room'!$B$2),ROUND(MAX(0,'Process'!O561*'Control Room'!$H$6*INDEX('Control Room'!$B$19:$H$19,1,WEEKDAY($A561,2))*(1+'Control Room'!$D$9)^559*'Process'!P561),2),"")</x:f>
      </x:c>
      <x:c r="F561" s="16" t="str">
        <x:f>IF(AND(AND(560&lt;='Control Room'!$B$3,'Control Room'!$D$3="Ready"),4&lt;='Control Room'!$B$2),ROUND(MAX(0,'Process'!T561*'Control Room'!$H$7*INDEX('Control Room'!$B$19:$H$19,1,WEEKDAY($A561,2))*(1+'Control Room'!$D$9)^559*'Process'!U561),2),"")</x:f>
      </x:c>
      <x:c r="G561" s="16" t="str">
        <x:f>IF(AND(AND(560&lt;='Control Room'!$B$3,'Control Room'!$D$3="Ready"),5&lt;='Control Room'!$B$2),ROUND(MAX(0,'Process'!Y561*'Control Room'!$H$8*INDEX('Control Room'!$B$19:$H$19,1,WEEKDAY($A561,2))*(1+'Control Room'!$D$9)^559*'Process'!Z561),2),"")</x:f>
      </x:c>
      <x:c r="H561" s="16" t="str">
        <x:f>IF(AND(AND(560&lt;='Control Room'!$B$3,'Control Room'!$D$3="Ready"),6&lt;='Control Room'!$B$2),ROUND(MAX(0,'Process'!AD561*'Control Room'!$H$9*INDEX('Control Room'!$B$19:$H$19,1,WEEKDAY($A561,2))*(1+'Control Room'!$D$9)^559*'Process'!AE561),2),"")</x:f>
      </x:c>
      <x:c r="I561" s="16" t="str">
        <x:f>IF(AND(AND(560&lt;='Control Room'!$B$3,'Control Room'!$D$3="Ready"),7&lt;='Control Room'!$B$2),ROUND(MAX(0,'Process'!AI561*'Control Room'!$H$10*INDEX('Control Room'!$B$19:$H$19,1,WEEKDAY($A561,2))*(1+'Control Room'!$D$9)^559*'Process'!AJ561),2),"")</x:f>
      </x:c>
      <x:c r="J561" s="16" t="str">
        <x:f>IF(AND(AND(560&lt;='Control Room'!$B$3,'Control Room'!$D$3="Ready"),8&lt;='Control Room'!$B$2),ROUND(MAX(0,'Process'!AN561*'Control Room'!$H$11*INDEX('Control Room'!$B$19:$H$19,1,WEEKDAY($A561,2))*(1+'Control Room'!$D$9)^559*'Process'!AO561),2),"")</x:f>
      </x:c>
      <x:c r="K561" s="16" t="str">
        <x:f>IF(AND(AND(560&lt;='Control Room'!$B$3,'Control Room'!$D$3="Ready"),9&lt;='Control Room'!$B$2),ROUND(MAX(0,'Process'!AS561*'Control Room'!$H$12*INDEX('Control Room'!$B$19:$H$19,1,WEEKDAY($A561,2))*(1+'Control Room'!$D$9)^559*'Process'!AT561),2),"")</x:f>
      </x:c>
      <x:c r="L561" s="16" t="str">
        <x:f>IF(AND(AND(560&lt;='Control Room'!$B$3,'Control Room'!$D$3="Ready"),10&lt;='Control Room'!$B$2),ROUND(MAX(0,'Process'!AX561*'Control Room'!$H$13*INDEX('Control Room'!$B$19:$H$19,1,WEEKDAY($A561,2))*(1+'Control Room'!$D$9)^559*'Process'!AY561),2),"")</x:f>
      </x:c>
      <x:c r="M561" s="16" t="str">
        <x:f>IF(AND(AND(560&lt;='Control Room'!$B$3,'Control Room'!$D$3="Ready"),11&lt;='Control Room'!$B$2),ROUND(MAX(0,'Process'!BC561*'Control Room'!$H$14*INDEX('Control Room'!$B$19:$H$19,1,WEEKDAY($A561,2))*(1+'Control Room'!$D$9)^559*'Process'!BD561),2),"")</x:f>
      </x:c>
      <x:c r="N561" s="16" t="str">
        <x:f>IF(AND(AND(560&lt;='Control Room'!$B$3,'Control Room'!$D$3="Ready"),12&lt;='Control Room'!$B$2),ROUND(MAX(0,'Process'!BH561*'Control Room'!$H$15*INDEX('Control Room'!$B$19:$H$19,1,WEEKDAY($A561,2))*(1+'Control Room'!$D$9)^559*'Process'!BI561),2),"")</x:f>
      </x:c>
    </x:row>
    <x:row r="562" ht="21" customHeight="1">
      <x:c r="A562" s="15" t="str">
        <x:f>IF(AND(561&lt;='Control Room'!$B$3,'Control Room'!$D$3="Ready"),'Process'!A562,"")</x:f>
      </x:c>
      <x:c r="B562" s="16" t="str">
        <x:f>IF(A562="","",SUM(C562:N562))</x:f>
      </x:c>
      <x:c r="C562" s="16" t="str">
        <x:f>IF(AND(AND(561&lt;='Control Room'!$B$3,'Control Room'!$D$3="Ready"),1&lt;='Control Room'!$B$2),ROUND(MAX(0,'Process'!E562*'Control Room'!$H$4*INDEX('Control Room'!$B$19:$H$19,1,WEEKDAY($A562,2))*(1+'Control Room'!$D$9)^560*'Process'!F562),2),"")</x:f>
      </x:c>
      <x:c r="D562" s="16" t="str">
        <x:f>IF(AND(AND(561&lt;='Control Room'!$B$3,'Control Room'!$D$3="Ready"),2&lt;='Control Room'!$B$2),ROUND(MAX(0,'Process'!J562*'Control Room'!$H$5*INDEX('Control Room'!$B$19:$H$19,1,WEEKDAY($A562,2))*(1+'Control Room'!$D$9)^560*'Process'!K562),2),"")</x:f>
      </x:c>
      <x:c r="E562" s="16" t="str">
        <x:f>IF(AND(AND(561&lt;='Control Room'!$B$3,'Control Room'!$D$3="Ready"),3&lt;='Control Room'!$B$2),ROUND(MAX(0,'Process'!O562*'Control Room'!$H$6*INDEX('Control Room'!$B$19:$H$19,1,WEEKDAY($A562,2))*(1+'Control Room'!$D$9)^560*'Process'!P562),2),"")</x:f>
      </x:c>
      <x:c r="F562" s="16" t="str">
        <x:f>IF(AND(AND(561&lt;='Control Room'!$B$3,'Control Room'!$D$3="Ready"),4&lt;='Control Room'!$B$2),ROUND(MAX(0,'Process'!T562*'Control Room'!$H$7*INDEX('Control Room'!$B$19:$H$19,1,WEEKDAY($A562,2))*(1+'Control Room'!$D$9)^560*'Process'!U562),2),"")</x:f>
      </x:c>
      <x:c r="G562" s="16" t="str">
        <x:f>IF(AND(AND(561&lt;='Control Room'!$B$3,'Control Room'!$D$3="Ready"),5&lt;='Control Room'!$B$2),ROUND(MAX(0,'Process'!Y562*'Control Room'!$H$8*INDEX('Control Room'!$B$19:$H$19,1,WEEKDAY($A562,2))*(1+'Control Room'!$D$9)^560*'Process'!Z562),2),"")</x:f>
      </x:c>
      <x:c r="H562" s="16" t="str">
        <x:f>IF(AND(AND(561&lt;='Control Room'!$B$3,'Control Room'!$D$3="Ready"),6&lt;='Control Room'!$B$2),ROUND(MAX(0,'Process'!AD562*'Control Room'!$H$9*INDEX('Control Room'!$B$19:$H$19,1,WEEKDAY($A562,2))*(1+'Control Room'!$D$9)^560*'Process'!AE562),2),"")</x:f>
      </x:c>
      <x:c r="I562" s="16" t="str">
        <x:f>IF(AND(AND(561&lt;='Control Room'!$B$3,'Control Room'!$D$3="Ready"),7&lt;='Control Room'!$B$2),ROUND(MAX(0,'Process'!AI562*'Control Room'!$H$10*INDEX('Control Room'!$B$19:$H$19,1,WEEKDAY($A562,2))*(1+'Control Room'!$D$9)^560*'Process'!AJ562),2),"")</x:f>
      </x:c>
      <x:c r="J562" s="16" t="str">
        <x:f>IF(AND(AND(561&lt;='Control Room'!$B$3,'Control Room'!$D$3="Ready"),8&lt;='Control Room'!$B$2),ROUND(MAX(0,'Process'!AN562*'Control Room'!$H$11*INDEX('Control Room'!$B$19:$H$19,1,WEEKDAY($A562,2))*(1+'Control Room'!$D$9)^560*'Process'!AO562),2),"")</x:f>
      </x:c>
      <x:c r="K562" s="16" t="str">
        <x:f>IF(AND(AND(561&lt;='Control Room'!$B$3,'Control Room'!$D$3="Ready"),9&lt;='Control Room'!$B$2),ROUND(MAX(0,'Process'!AS562*'Control Room'!$H$12*INDEX('Control Room'!$B$19:$H$19,1,WEEKDAY($A562,2))*(1+'Control Room'!$D$9)^560*'Process'!AT562),2),"")</x:f>
      </x:c>
      <x:c r="L562" s="16" t="str">
        <x:f>IF(AND(AND(561&lt;='Control Room'!$B$3,'Control Room'!$D$3="Ready"),10&lt;='Control Room'!$B$2),ROUND(MAX(0,'Process'!AX562*'Control Room'!$H$13*INDEX('Control Room'!$B$19:$H$19,1,WEEKDAY($A562,2))*(1+'Control Room'!$D$9)^560*'Process'!AY562),2),"")</x:f>
      </x:c>
      <x:c r="M562" s="16" t="str">
        <x:f>IF(AND(AND(561&lt;='Control Room'!$B$3,'Control Room'!$D$3="Ready"),11&lt;='Control Room'!$B$2),ROUND(MAX(0,'Process'!BC562*'Control Room'!$H$14*INDEX('Control Room'!$B$19:$H$19,1,WEEKDAY($A562,2))*(1+'Control Room'!$D$9)^560*'Process'!BD562),2),"")</x:f>
      </x:c>
      <x:c r="N562" s="16" t="str">
        <x:f>IF(AND(AND(561&lt;='Control Room'!$B$3,'Control Room'!$D$3="Ready"),12&lt;='Control Room'!$B$2),ROUND(MAX(0,'Process'!BH562*'Control Room'!$H$15*INDEX('Control Room'!$B$19:$H$19,1,WEEKDAY($A562,2))*(1+'Control Room'!$D$9)^560*'Process'!BI562),2),"")</x:f>
      </x:c>
    </x:row>
    <x:row r="563" ht="21" customHeight="1">
      <x:c r="A563" s="15" t="str">
        <x:f>IF(AND(562&lt;='Control Room'!$B$3,'Control Room'!$D$3="Ready"),'Process'!A563,"")</x:f>
      </x:c>
      <x:c r="B563" s="16" t="str">
        <x:f>IF(A563="","",SUM(C563:N563))</x:f>
      </x:c>
      <x:c r="C563" s="16" t="str">
        <x:f>IF(AND(AND(562&lt;='Control Room'!$B$3,'Control Room'!$D$3="Ready"),1&lt;='Control Room'!$B$2),ROUND(MAX(0,'Process'!E563*'Control Room'!$H$4*INDEX('Control Room'!$B$19:$H$19,1,WEEKDAY($A563,2))*(1+'Control Room'!$D$9)^561*'Process'!F563),2),"")</x:f>
      </x:c>
      <x:c r="D563" s="16" t="str">
        <x:f>IF(AND(AND(562&lt;='Control Room'!$B$3,'Control Room'!$D$3="Ready"),2&lt;='Control Room'!$B$2),ROUND(MAX(0,'Process'!J563*'Control Room'!$H$5*INDEX('Control Room'!$B$19:$H$19,1,WEEKDAY($A563,2))*(1+'Control Room'!$D$9)^561*'Process'!K563),2),"")</x:f>
      </x:c>
      <x:c r="E563" s="16" t="str">
        <x:f>IF(AND(AND(562&lt;='Control Room'!$B$3,'Control Room'!$D$3="Ready"),3&lt;='Control Room'!$B$2),ROUND(MAX(0,'Process'!O563*'Control Room'!$H$6*INDEX('Control Room'!$B$19:$H$19,1,WEEKDAY($A563,2))*(1+'Control Room'!$D$9)^561*'Process'!P563),2),"")</x:f>
      </x:c>
      <x:c r="F563" s="16" t="str">
        <x:f>IF(AND(AND(562&lt;='Control Room'!$B$3,'Control Room'!$D$3="Ready"),4&lt;='Control Room'!$B$2),ROUND(MAX(0,'Process'!T563*'Control Room'!$H$7*INDEX('Control Room'!$B$19:$H$19,1,WEEKDAY($A563,2))*(1+'Control Room'!$D$9)^561*'Process'!U563),2),"")</x:f>
      </x:c>
      <x:c r="G563" s="16" t="str">
        <x:f>IF(AND(AND(562&lt;='Control Room'!$B$3,'Control Room'!$D$3="Ready"),5&lt;='Control Room'!$B$2),ROUND(MAX(0,'Process'!Y563*'Control Room'!$H$8*INDEX('Control Room'!$B$19:$H$19,1,WEEKDAY($A563,2))*(1+'Control Room'!$D$9)^561*'Process'!Z563),2),"")</x:f>
      </x:c>
      <x:c r="H563" s="16" t="str">
        <x:f>IF(AND(AND(562&lt;='Control Room'!$B$3,'Control Room'!$D$3="Ready"),6&lt;='Control Room'!$B$2),ROUND(MAX(0,'Process'!AD563*'Control Room'!$H$9*INDEX('Control Room'!$B$19:$H$19,1,WEEKDAY($A563,2))*(1+'Control Room'!$D$9)^561*'Process'!AE563),2),"")</x:f>
      </x:c>
      <x:c r="I563" s="16" t="str">
        <x:f>IF(AND(AND(562&lt;='Control Room'!$B$3,'Control Room'!$D$3="Ready"),7&lt;='Control Room'!$B$2),ROUND(MAX(0,'Process'!AI563*'Control Room'!$H$10*INDEX('Control Room'!$B$19:$H$19,1,WEEKDAY($A563,2))*(1+'Control Room'!$D$9)^561*'Process'!AJ563),2),"")</x:f>
      </x:c>
      <x:c r="J563" s="16" t="str">
        <x:f>IF(AND(AND(562&lt;='Control Room'!$B$3,'Control Room'!$D$3="Ready"),8&lt;='Control Room'!$B$2),ROUND(MAX(0,'Process'!AN563*'Control Room'!$H$11*INDEX('Control Room'!$B$19:$H$19,1,WEEKDAY($A563,2))*(1+'Control Room'!$D$9)^561*'Process'!AO563),2),"")</x:f>
      </x:c>
      <x:c r="K563" s="16" t="str">
        <x:f>IF(AND(AND(562&lt;='Control Room'!$B$3,'Control Room'!$D$3="Ready"),9&lt;='Control Room'!$B$2),ROUND(MAX(0,'Process'!AS563*'Control Room'!$H$12*INDEX('Control Room'!$B$19:$H$19,1,WEEKDAY($A563,2))*(1+'Control Room'!$D$9)^561*'Process'!AT563),2),"")</x:f>
      </x:c>
      <x:c r="L563" s="16" t="str">
        <x:f>IF(AND(AND(562&lt;='Control Room'!$B$3,'Control Room'!$D$3="Ready"),10&lt;='Control Room'!$B$2),ROUND(MAX(0,'Process'!AX563*'Control Room'!$H$13*INDEX('Control Room'!$B$19:$H$19,1,WEEKDAY($A563,2))*(1+'Control Room'!$D$9)^561*'Process'!AY563),2),"")</x:f>
      </x:c>
      <x:c r="M563" s="16" t="str">
        <x:f>IF(AND(AND(562&lt;='Control Room'!$B$3,'Control Room'!$D$3="Ready"),11&lt;='Control Room'!$B$2),ROUND(MAX(0,'Process'!BC563*'Control Room'!$H$14*INDEX('Control Room'!$B$19:$H$19,1,WEEKDAY($A563,2))*(1+'Control Room'!$D$9)^561*'Process'!BD563),2),"")</x:f>
      </x:c>
      <x:c r="N563" s="16" t="str">
        <x:f>IF(AND(AND(562&lt;='Control Room'!$B$3,'Control Room'!$D$3="Ready"),12&lt;='Control Room'!$B$2),ROUND(MAX(0,'Process'!BH563*'Control Room'!$H$15*INDEX('Control Room'!$B$19:$H$19,1,WEEKDAY($A563,2))*(1+'Control Room'!$D$9)^561*'Process'!BI563),2),"")</x:f>
      </x:c>
    </x:row>
    <x:row r="564" ht="21" customHeight="1">
      <x:c r="A564" s="15" t="str">
        <x:f>IF(AND(563&lt;='Control Room'!$B$3,'Control Room'!$D$3="Ready"),'Process'!A564,"")</x:f>
      </x:c>
      <x:c r="B564" s="16" t="str">
        <x:f>IF(A564="","",SUM(C564:N564))</x:f>
      </x:c>
      <x:c r="C564" s="16" t="str">
        <x:f>IF(AND(AND(563&lt;='Control Room'!$B$3,'Control Room'!$D$3="Ready"),1&lt;='Control Room'!$B$2),ROUND(MAX(0,'Process'!E564*'Control Room'!$H$4*INDEX('Control Room'!$B$19:$H$19,1,WEEKDAY($A564,2))*(1+'Control Room'!$D$9)^562*'Process'!F564),2),"")</x:f>
      </x:c>
      <x:c r="D564" s="16" t="str">
        <x:f>IF(AND(AND(563&lt;='Control Room'!$B$3,'Control Room'!$D$3="Ready"),2&lt;='Control Room'!$B$2),ROUND(MAX(0,'Process'!J564*'Control Room'!$H$5*INDEX('Control Room'!$B$19:$H$19,1,WEEKDAY($A564,2))*(1+'Control Room'!$D$9)^562*'Process'!K564),2),"")</x:f>
      </x:c>
      <x:c r="E564" s="16" t="str">
        <x:f>IF(AND(AND(563&lt;='Control Room'!$B$3,'Control Room'!$D$3="Ready"),3&lt;='Control Room'!$B$2),ROUND(MAX(0,'Process'!O564*'Control Room'!$H$6*INDEX('Control Room'!$B$19:$H$19,1,WEEKDAY($A564,2))*(1+'Control Room'!$D$9)^562*'Process'!P564),2),"")</x:f>
      </x:c>
      <x:c r="F564" s="16" t="str">
        <x:f>IF(AND(AND(563&lt;='Control Room'!$B$3,'Control Room'!$D$3="Ready"),4&lt;='Control Room'!$B$2),ROUND(MAX(0,'Process'!T564*'Control Room'!$H$7*INDEX('Control Room'!$B$19:$H$19,1,WEEKDAY($A564,2))*(1+'Control Room'!$D$9)^562*'Process'!U564),2),"")</x:f>
      </x:c>
      <x:c r="G564" s="16" t="str">
        <x:f>IF(AND(AND(563&lt;='Control Room'!$B$3,'Control Room'!$D$3="Ready"),5&lt;='Control Room'!$B$2),ROUND(MAX(0,'Process'!Y564*'Control Room'!$H$8*INDEX('Control Room'!$B$19:$H$19,1,WEEKDAY($A564,2))*(1+'Control Room'!$D$9)^562*'Process'!Z564),2),"")</x:f>
      </x:c>
      <x:c r="H564" s="16" t="str">
        <x:f>IF(AND(AND(563&lt;='Control Room'!$B$3,'Control Room'!$D$3="Ready"),6&lt;='Control Room'!$B$2),ROUND(MAX(0,'Process'!AD564*'Control Room'!$H$9*INDEX('Control Room'!$B$19:$H$19,1,WEEKDAY($A564,2))*(1+'Control Room'!$D$9)^562*'Process'!AE564),2),"")</x:f>
      </x:c>
      <x:c r="I564" s="16" t="str">
        <x:f>IF(AND(AND(563&lt;='Control Room'!$B$3,'Control Room'!$D$3="Ready"),7&lt;='Control Room'!$B$2),ROUND(MAX(0,'Process'!AI564*'Control Room'!$H$10*INDEX('Control Room'!$B$19:$H$19,1,WEEKDAY($A564,2))*(1+'Control Room'!$D$9)^562*'Process'!AJ564),2),"")</x:f>
      </x:c>
      <x:c r="J564" s="16" t="str">
        <x:f>IF(AND(AND(563&lt;='Control Room'!$B$3,'Control Room'!$D$3="Ready"),8&lt;='Control Room'!$B$2),ROUND(MAX(0,'Process'!AN564*'Control Room'!$H$11*INDEX('Control Room'!$B$19:$H$19,1,WEEKDAY($A564,2))*(1+'Control Room'!$D$9)^562*'Process'!AO564),2),"")</x:f>
      </x:c>
      <x:c r="K564" s="16" t="str">
        <x:f>IF(AND(AND(563&lt;='Control Room'!$B$3,'Control Room'!$D$3="Ready"),9&lt;='Control Room'!$B$2),ROUND(MAX(0,'Process'!AS564*'Control Room'!$H$12*INDEX('Control Room'!$B$19:$H$19,1,WEEKDAY($A564,2))*(1+'Control Room'!$D$9)^562*'Process'!AT564),2),"")</x:f>
      </x:c>
      <x:c r="L564" s="16" t="str">
        <x:f>IF(AND(AND(563&lt;='Control Room'!$B$3,'Control Room'!$D$3="Ready"),10&lt;='Control Room'!$B$2),ROUND(MAX(0,'Process'!AX564*'Control Room'!$H$13*INDEX('Control Room'!$B$19:$H$19,1,WEEKDAY($A564,2))*(1+'Control Room'!$D$9)^562*'Process'!AY564),2),"")</x:f>
      </x:c>
      <x:c r="M564" s="16" t="str">
        <x:f>IF(AND(AND(563&lt;='Control Room'!$B$3,'Control Room'!$D$3="Ready"),11&lt;='Control Room'!$B$2),ROUND(MAX(0,'Process'!BC564*'Control Room'!$H$14*INDEX('Control Room'!$B$19:$H$19,1,WEEKDAY($A564,2))*(1+'Control Room'!$D$9)^562*'Process'!BD564),2),"")</x:f>
      </x:c>
      <x:c r="N564" s="16" t="str">
        <x:f>IF(AND(AND(563&lt;='Control Room'!$B$3,'Control Room'!$D$3="Ready"),12&lt;='Control Room'!$B$2),ROUND(MAX(0,'Process'!BH564*'Control Room'!$H$15*INDEX('Control Room'!$B$19:$H$19,1,WEEKDAY($A564,2))*(1+'Control Room'!$D$9)^562*'Process'!BI564),2),"")</x:f>
      </x:c>
    </x:row>
    <x:row r="565" ht="21" customHeight="1">
      <x:c r="A565" s="15" t="str">
        <x:f>IF(AND(564&lt;='Control Room'!$B$3,'Control Room'!$D$3="Ready"),'Process'!A565,"")</x:f>
      </x:c>
      <x:c r="B565" s="16" t="str">
        <x:f>IF(A565="","",SUM(C565:N565))</x:f>
      </x:c>
      <x:c r="C565" s="16" t="str">
        <x:f>IF(AND(AND(564&lt;='Control Room'!$B$3,'Control Room'!$D$3="Ready"),1&lt;='Control Room'!$B$2),ROUND(MAX(0,'Process'!E565*'Control Room'!$H$4*INDEX('Control Room'!$B$19:$H$19,1,WEEKDAY($A565,2))*(1+'Control Room'!$D$9)^563*'Process'!F565),2),"")</x:f>
      </x:c>
      <x:c r="D565" s="16" t="str">
        <x:f>IF(AND(AND(564&lt;='Control Room'!$B$3,'Control Room'!$D$3="Ready"),2&lt;='Control Room'!$B$2),ROUND(MAX(0,'Process'!J565*'Control Room'!$H$5*INDEX('Control Room'!$B$19:$H$19,1,WEEKDAY($A565,2))*(1+'Control Room'!$D$9)^563*'Process'!K565),2),"")</x:f>
      </x:c>
      <x:c r="E565" s="16" t="str">
        <x:f>IF(AND(AND(564&lt;='Control Room'!$B$3,'Control Room'!$D$3="Ready"),3&lt;='Control Room'!$B$2),ROUND(MAX(0,'Process'!O565*'Control Room'!$H$6*INDEX('Control Room'!$B$19:$H$19,1,WEEKDAY($A565,2))*(1+'Control Room'!$D$9)^563*'Process'!P565),2),"")</x:f>
      </x:c>
      <x:c r="F565" s="16" t="str">
        <x:f>IF(AND(AND(564&lt;='Control Room'!$B$3,'Control Room'!$D$3="Ready"),4&lt;='Control Room'!$B$2),ROUND(MAX(0,'Process'!T565*'Control Room'!$H$7*INDEX('Control Room'!$B$19:$H$19,1,WEEKDAY($A565,2))*(1+'Control Room'!$D$9)^563*'Process'!U565),2),"")</x:f>
      </x:c>
      <x:c r="G565" s="16" t="str">
        <x:f>IF(AND(AND(564&lt;='Control Room'!$B$3,'Control Room'!$D$3="Ready"),5&lt;='Control Room'!$B$2),ROUND(MAX(0,'Process'!Y565*'Control Room'!$H$8*INDEX('Control Room'!$B$19:$H$19,1,WEEKDAY($A565,2))*(1+'Control Room'!$D$9)^563*'Process'!Z565),2),"")</x:f>
      </x:c>
      <x:c r="H565" s="16" t="str">
        <x:f>IF(AND(AND(564&lt;='Control Room'!$B$3,'Control Room'!$D$3="Ready"),6&lt;='Control Room'!$B$2),ROUND(MAX(0,'Process'!AD565*'Control Room'!$H$9*INDEX('Control Room'!$B$19:$H$19,1,WEEKDAY($A565,2))*(1+'Control Room'!$D$9)^563*'Process'!AE565),2),"")</x:f>
      </x:c>
      <x:c r="I565" s="16" t="str">
        <x:f>IF(AND(AND(564&lt;='Control Room'!$B$3,'Control Room'!$D$3="Ready"),7&lt;='Control Room'!$B$2),ROUND(MAX(0,'Process'!AI565*'Control Room'!$H$10*INDEX('Control Room'!$B$19:$H$19,1,WEEKDAY($A565,2))*(1+'Control Room'!$D$9)^563*'Process'!AJ565),2),"")</x:f>
      </x:c>
      <x:c r="J565" s="16" t="str">
        <x:f>IF(AND(AND(564&lt;='Control Room'!$B$3,'Control Room'!$D$3="Ready"),8&lt;='Control Room'!$B$2),ROUND(MAX(0,'Process'!AN565*'Control Room'!$H$11*INDEX('Control Room'!$B$19:$H$19,1,WEEKDAY($A565,2))*(1+'Control Room'!$D$9)^563*'Process'!AO565),2),"")</x:f>
      </x:c>
      <x:c r="K565" s="16" t="str">
        <x:f>IF(AND(AND(564&lt;='Control Room'!$B$3,'Control Room'!$D$3="Ready"),9&lt;='Control Room'!$B$2),ROUND(MAX(0,'Process'!AS565*'Control Room'!$H$12*INDEX('Control Room'!$B$19:$H$19,1,WEEKDAY($A565,2))*(1+'Control Room'!$D$9)^563*'Process'!AT565),2),"")</x:f>
      </x:c>
      <x:c r="L565" s="16" t="str">
        <x:f>IF(AND(AND(564&lt;='Control Room'!$B$3,'Control Room'!$D$3="Ready"),10&lt;='Control Room'!$B$2),ROUND(MAX(0,'Process'!AX565*'Control Room'!$H$13*INDEX('Control Room'!$B$19:$H$19,1,WEEKDAY($A565,2))*(1+'Control Room'!$D$9)^563*'Process'!AY565),2),"")</x:f>
      </x:c>
      <x:c r="M565" s="16" t="str">
        <x:f>IF(AND(AND(564&lt;='Control Room'!$B$3,'Control Room'!$D$3="Ready"),11&lt;='Control Room'!$B$2),ROUND(MAX(0,'Process'!BC565*'Control Room'!$H$14*INDEX('Control Room'!$B$19:$H$19,1,WEEKDAY($A565,2))*(1+'Control Room'!$D$9)^563*'Process'!BD565),2),"")</x:f>
      </x:c>
      <x:c r="N565" s="16" t="str">
        <x:f>IF(AND(AND(564&lt;='Control Room'!$B$3,'Control Room'!$D$3="Ready"),12&lt;='Control Room'!$B$2),ROUND(MAX(0,'Process'!BH565*'Control Room'!$H$15*INDEX('Control Room'!$B$19:$H$19,1,WEEKDAY($A565,2))*(1+'Control Room'!$D$9)^563*'Process'!BI565),2),"")</x:f>
      </x:c>
    </x:row>
    <x:row r="566" ht="21" customHeight="1">
      <x:c r="A566" s="15" t="str">
        <x:f>IF(AND(565&lt;='Control Room'!$B$3,'Control Room'!$D$3="Ready"),'Process'!A566,"")</x:f>
      </x:c>
      <x:c r="B566" s="16" t="str">
        <x:f>IF(A566="","",SUM(C566:N566))</x:f>
      </x:c>
      <x:c r="C566" s="16" t="str">
        <x:f>IF(AND(AND(565&lt;='Control Room'!$B$3,'Control Room'!$D$3="Ready"),1&lt;='Control Room'!$B$2),ROUND(MAX(0,'Process'!E566*'Control Room'!$H$4*INDEX('Control Room'!$B$19:$H$19,1,WEEKDAY($A566,2))*(1+'Control Room'!$D$9)^564*'Process'!F566),2),"")</x:f>
      </x:c>
      <x:c r="D566" s="16" t="str">
        <x:f>IF(AND(AND(565&lt;='Control Room'!$B$3,'Control Room'!$D$3="Ready"),2&lt;='Control Room'!$B$2),ROUND(MAX(0,'Process'!J566*'Control Room'!$H$5*INDEX('Control Room'!$B$19:$H$19,1,WEEKDAY($A566,2))*(1+'Control Room'!$D$9)^564*'Process'!K566),2),"")</x:f>
      </x:c>
      <x:c r="E566" s="16" t="str">
        <x:f>IF(AND(AND(565&lt;='Control Room'!$B$3,'Control Room'!$D$3="Ready"),3&lt;='Control Room'!$B$2),ROUND(MAX(0,'Process'!O566*'Control Room'!$H$6*INDEX('Control Room'!$B$19:$H$19,1,WEEKDAY($A566,2))*(1+'Control Room'!$D$9)^564*'Process'!P566),2),"")</x:f>
      </x:c>
      <x:c r="F566" s="16" t="str">
        <x:f>IF(AND(AND(565&lt;='Control Room'!$B$3,'Control Room'!$D$3="Ready"),4&lt;='Control Room'!$B$2),ROUND(MAX(0,'Process'!T566*'Control Room'!$H$7*INDEX('Control Room'!$B$19:$H$19,1,WEEKDAY($A566,2))*(1+'Control Room'!$D$9)^564*'Process'!U566),2),"")</x:f>
      </x:c>
      <x:c r="G566" s="16" t="str">
        <x:f>IF(AND(AND(565&lt;='Control Room'!$B$3,'Control Room'!$D$3="Ready"),5&lt;='Control Room'!$B$2),ROUND(MAX(0,'Process'!Y566*'Control Room'!$H$8*INDEX('Control Room'!$B$19:$H$19,1,WEEKDAY($A566,2))*(1+'Control Room'!$D$9)^564*'Process'!Z566),2),"")</x:f>
      </x:c>
      <x:c r="H566" s="16" t="str">
        <x:f>IF(AND(AND(565&lt;='Control Room'!$B$3,'Control Room'!$D$3="Ready"),6&lt;='Control Room'!$B$2),ROUND(MAX(0,'Process'!AD566*'Control Room'!$H$9*INDEX('Control Room'!$B$19:$H$19,1,WEEKDAY($A566,2))*(1+'Control Room'!$D$9)^564*'Process'!AE566),2),"")</x:f>
      </x:c>
      <x:c r="I566" s="16" t="str">
        <x:f>IF(AND(AND(565&lt;='Control Room'!$B$3,'Control Room'!$D$3="Ready"),7&lt;='Control Room'!$B$2),ROUND(MAX(0,'Process'!AI566*'Control Room'!$H$10*INDEX('Control Room'!$B$19:$H$19,1,WEEKDAY($A566,2))*(1+'Control Room'!$D$9)^564*'Process'!AJ566),2),"")</x:f>
      </x:c>
      <x:c r="J566" s="16" t="str">
        <x:f>IF(AND(AND(565&lt;='Control Room'!$B$3,'Control Room'!$D$3="Ready"),8&lt;='Control Room'!$B$2),ROUND(MAX(0,'Process'!AN566*'Control Room'!$H$11*INDEX('Control Room'!$B$19:$H$19,1,WEEKDAY($A566,2))*(1+'Control Room'!$D$9)^564*'Process'!AO566),2),"")</x:f>
      </x:c>
      <x:c r="K566" s="16" t="str">
        <x:f>IF(AND(AND(565&lt;='Control Room'!$B$3,'Control Room'!$D$3="Ready"),9&lt;='Control Room'!$B$2),ROUND(MAX(0,'Process'!AS566*'Control Room'!$H$12*INDEX('Control Room'!$B$19:$H$19,1,WEEKDAY($A566,2))*(1+'Control Room'!$D$9)^564*'Process'!AT566),2),"")</x:f>
      </x:c>
      <x:c r="L566" s="16" t="str">
        <x:f>IF(AND(AND(565&lt;='Control Room'!$B$3,'Control Room'!$D$3="Ready"),10&lt;='Control Room'!$B$2),ROUND(MAX(0,'Process'!AX566*'Control Room'!$H$13*INDEX('Control Room'!$B$19:$H$19,1,WEEKDAY($A566,2))*(1+'Control Room'!$D$9)^564*'Process'!AY566),2),"")</x:f>
      </x:c>
      <x:c r="M566" s="16" t="str">
        <x:f>IF(AND(AND(565&lt;='Control Room'!$B$3,'Control Room'!$D$3="Ready"),11&lt;='Control Room'!$B$2),ROUND(MAX(0,'Process'!BC566*'Control Room'!$H$14*INDEX('Control Room'!$B$19:$H$19,1,WEEKDAY($A566,2))*(1+'Control Room'!$D$9)^564*'Process'!BD566),2),"")</x:f>
      </x:c>
      <x:c r="N566" s="16" t="str">
        <x:f>IF(AND(AND(565&lt;='Control Room'!$B$3,'Control Room'!$D$3="Ready"),12&lt;='Control Room'!$B$2),ROUND(MAX(0,'Process'!BH566*'Control Room'!$H$15*INDEX('Control Room'!$B$19:$H$19,1,WEEKDAY($A566,2))*(1+'Control Room'!$D$9)^564*'Process'!BI566),2),"")</x:f>
      </x:c>
    </x:row>
    <x:row r="567" ht="21" customHeight="1">
      <x:c r="A567" s="15" t="str">
        <x:f>IF(AND(566&lt;='Control Room'!$B$3,'Control Room'!$D$3="Ready"),'Process'!A567,"")</x:f>
      </x:c>
      <x:c r="B567" s="16" t="str">
        <x:f>IF(A567="","",SUM(C567:N567))</x:f>
      </x:c>
      <x:c r="C567" s="16" t="str">
        <x:f>IF(AND(AND(566&lt;='Control Room'!$B$3,'Control Room'!$D$3="Ready"),1&lt;='Control Room'!$B$2),ROUND(MAX(0,'Process'!E567*'Control Room'!$H$4*INDEX('Control Room'!$B$19:$H$19,1,WEEKDAY($A567,2))*(1+'Control Room'!$D$9)^565*'Process'!F567),2),"")</x:f>
      </x:c>
      <x:c r="D567" s="16" t="str">
        <x:f>IF(AND(AND(566&lt;='Control Room'!$B$3,'Control Room'!$D$3="Ready"),2&lt;='Control Room'!$B$2),ROUND(MAX(0,'Process'!J567*'Control Room'!$H$5*INDEX('Control Room'!$B$19:$H$19,1,WEEKDAY($A567,2))*(1+'Control Room'!$D$9)^565*'Process'!K567),2),"")</x:f>
      </x:c>
      <x:c r="E567" s="16" t="str">
        <x:f>IF(AND(AND(566&lt;='Control Room'!$B$3,'Control Room'!$D$3="Ready"),3&lt;='Control Room'!$B$2),ROUND(MAX(0,'Process'!O567*'Control Room'!$H$6*INDEX('Control Room'!$B$19:$H$19,1,WEEKDAY($A567,2))*(1+'Control Room'!$D$9)^565*'Process'!P567),2),"")</x:f>
      </x:c>
      <x:c r="F567" s="16" t="str">
        <x:f>IF(AND(AND(566&lt;='Control Room'!$B$3,'Control Room'!$D$3="Ready"),4&lt;='Control Room'!$B$2),ROUND(MAX(0,'Process'!T567*'Control Room'!$H$7*INDEX('Control Room'!$B$19:$H$19,1,WEEKDAY($A567,2))*(1+'Control Room'!$D$9)^565*'Process'!U567),2),"")</x:f>
      </x:c>
      <x:c r="G567" s="16" t="str">
        <x:f>IF(AND(AND(566&lt;='Control Room'!$B$3,'Control Room'!$D$3="Ready"),5&lt;='Control Room'!$B$2),ROUND(MAX(0,'Process'!Y567*'Control Room'!$H$8*INDEX('Control Room'!$B$19:$H$19,1,WEEKDAY($A567,2))*(1+'Control Room'!$D$9)^565*'Process'!Z567),2),"")</x:f>
      </x:c>
      <x:c r="H567" s="16" t="str">
        <x:f>IF(AND(AND(566&lt;='Control Room'!$B$3,'Control Room'!$D$3="Ready"),6&lt;='Control Room'!$B$2),ROUND(MAX(0,'Process'!AD567*'Control Room'!$H$9*INDEX('Control Room'!$B$19:$H$19,1,WEEKDAY($A567,2))*(1+'Control Room'!$D$9)^565*'Process'!AE567),2),"")</x:f>
      </x:c>
      <x:c r="I567" s="16" t="str">
        <x:f>IF(AND(AND(566&lt;='Control Room'!$B$3,'Control Room'!$D$3="Ready"),7&lt;='Control Room'!$B$2),ROUND(MAX(0,'Process'!AI567*'Control Room'!$H$10*INDEX('Control Room'!$B$19:$H$19,1,WEEKDAY($A567,2))*(1+'Control Room'!$D$9)^565*'Process'!AJ567),2),"")</x:f>
      </x:c>
      <x:c r="J567" s="16" t="str">
        <x:f>IF(AND(AND(566&lt;='Control Room'!$B$3,'Control Room'!$D$3="Ready"),8&lt;='Control Room'!$B$2),ROUND(MAX(0,'Process'!AN567*'Control Room'!$H$11*INDEX('Control Room'!$B$19:$H$19,1,WEEKDAY($A567,2))*(1+'Control Room'!$D$9)^565*'Process'!AO567),2),"")</x:f>
      </x:c>
      <x:c r="K567" s="16" t="str">
        <x:f>IF(AND(AND(566&lt;='Control Room'!$B$3,'Control Room'!$D$3="Ready"),9&lt;='Control Room'!$B$2),ROUND(MAX(0,'Process'!AS567*'Control Room'!$H$12*INDEX('Control Room'!$B$19:$H$19,1,WEEKDAY($A567,2))*(1+'Control Room'!$D$9)^565*'Process'!AT567),2),"")</x:f>
      </x:c>
      <x:c r="L567" s="16" t="str">
        <x:f>IF(AND(AND(566&lt;='Control Room'!$B$3,'Control Room'!$D$3="Ready"),10&lt;='Control Room'!$B$2),ROUND(MAX(0,'Process'!AX567*'Control Room'!$H$13*INDEX('Control Room'!$B$19:$H$19,1,WEEKDAY($A567,2))*(1+'Control Room'!$D$9)^565*'Process'!AY567),2),"")</x:f>
      </x:c>
      <x:c r="M567" s="16" t="str">
        <x:f>IF(AND(AND(566&lt;='Control Room'!$B$3,'Control Room'!$D$3="Ready"),11&lt;='Control Room'!$B$2),ROUND(MAX(0,'Process'!BC567*'Control Room'!$H$14*INDEX('Control Room'!$B$19:$H$19,1,WEEKDAY($A567,2))*(1+'Control Room'!$D$9)^565*'Process'!BD567),2),"")</x:f>
      </x:c>
      <x:c r="N567" s="16" t="str">
        <x:f>IF(AND(AND(566&lt;='Control Room'!$B$3,'Control Room'!$D$3="Ready"),12&lt;='Control Room'!$B$2),ROUND(MAX(0,'Process'!BH567*'Control Room'!$H$15*INDEX('Control Room'!$B$19:$H$19,1,WEEKDAY($A567,2))*(1+'Control Room'!$D$9)^565*'Process'!BI567),2),"")</x:f>
      </x:c>
    </x:row>
    <x:row r="568" ht="21" customHeight="1">
      <x:c r="A568" s="15" t="str">
        <x:f>IF(AND(567&lt;='Control Room'!$B$3,'Control Room'!$D$3="Ready"),'Process'!A568,"")</x:f>
      </x:c>
      <x:c r="B568" s="16" t="str">
        <x:f>IF(A568="","",SUM(C568:N568))</x:f>
      </x:c>
      <x:c r="C568" s="16" t="str">
        <x:f>IF(AND(AND(567&lt;='Control Room'!$B$3,'Control Room'!$D$3="Ready"),1&lt;='Control Room'!$B$2),ROUND(MAX(0,'Process'!E568*'Control Room'!$H$4*INDEX('Control Room'!$B$19:$H$19,1,WEEKDAY($A568,2))*(1+'Control Room'!$D$9)^566*'Process'!F568),2),"")</x:f>
      </x:c>
      <x:c r="D568" s="16" t="str">
        <x:f>IF(AND(AND(567&lt;='Control Room'!$B$3,'Control Room'!$D$3="Ready"),2&lt;='Control Room'!$B$2),ROUND(MAX(0,'Process'!J568*'Control Room'!$H$5*INDEX('Control Room'!$B$19:$H$19,1,WEEKDAY($A568,2))*(1+'Control Room'!$D$9)^566*'Process'!K568),2),"")</x:f>
      </x:c>
      <x:c r="E568" s="16" t="str">
        <x:f>IF(AND(AND(567&lt;='Control Room'!$B$3,'Control Room'!$D$3="Ready"),3&lt;='Control Room'!$B$2),ROUND(MAX(0,'Process'!O568*'Control Room'!$H$6*INDEX('Control Room'!$B$19:$H$19,1,WEEKDAY($A568,2))*(1+'Control Room'!$D$9)^566*'Process'!P568),2),"")</x:f>
      </x:c>
      <x:c r="F568" s="16" t="str">
        <x:f>IF(AND(AND(567&lt;='Control Room'!$B$3,'Control Room'!$D$3="Ready"),4&lt;='Control Room'!$B$2),ROUND(MAX(0,'Process'!T568*'Control Room'!$H$7*INDEX('Control Room'!$B$19:$H$19,1,WEEKDAY($A568,2))*(1+'Control Room'!$D$9)^566*'Process'!U568),2),"")</x:f>
      </x:c>
      <x:c r="G568" s="16" t="str">
        <x:f>IF(AND(AND(567&lt;='Control Room'!$B$3,'Control Room'!$D$3="Ready"),5&lt;='Control Room'!$B$2),ROUND(MAX(0,'Process'!Y568*'Control Room'!$H$8*INDEX('Control Room'!$B$19:$H$19,1,WEEKDAY($A568,2))*(1+'Control Room'!$D$9)^566*'Process'!Z568),2),"")</x:f>
      </x:c>
      <x:c r="H568" s="16" t="str">
        <x:f>IF(AND(AND(567&lt;='Control Room'!$B$3,'Control Room'!$D$3="Ready"),6&lt;='Control Room'!$B$2),ROUND(MAX(0,'Process'!AD568*'Control Room'!$H$9*INDEX('Control Room'!$B$19:$H$19,1,WEEKDAY($A568,2))*(1+'Control Room'!$D$9)^566*'Process'!AE568),2),"")</x:f>
      </x:c>
      <x:c r="I568" s="16" t="str">
        <x:f>IF(AND(AND(567&lt;='Control Room'!$B$3,'Control Room'!$D$3="Ready"),7&lt;='Control Room'!$B$2),ROUND(MAX(0,'Process'!AI568*'Control Room'!$H$10*INDEX('Control Room'!$B$19:$H$19,1,WEEKDAY($A568,2))*(1+'Control Room'!$D$9)^566*'Process'!AJ568),2),"")</x:f>
      </x:c>
      <x:c r="J568" s="16" t="str">
        <x:f>IF(AND(AND(567&lt;='Control Room'!$B$3,'Control Room'!$D$3="Ready"),8&lt;='Control Room'!$B$2),ROUND(MAX(0,'Process'!AN568*'Control Room'!$H$11*INDEX('Control Room'!$B$19:$H$19,1,WEEKDAY($A568,2))*(1+'Control Room'!$D$9)^566*'Process'!AO568),2),"")</x:f>
      </x:c>
      <x:c r="K568" s="16" t="str">
        <x:f>IF(AND(AND(567&lt;='Control Room'!$B$3,'Control Room'!$D$3="Ready"),9&lt;='Control Room'!$B$2),ROUND(MAX(0,'Process'!AS568*'Control Room'!$H$12*INDEX('Control Room'!$B$19:$H$19,1,WEEKDAY($A568,2))*(1+'Control Room'!$D$9)^566*'Process'!AT568),2),"")</x:f>
      </x:c>
      <x:c r="L568" s="16" t="str">
        <x:f>IF(AND(AND(567&lt;='Control Room'!$B$3,'Control Room'!$D$3="Ready"),10&lt;='Control Room'!$B$2),ROUND(MAX(0,'Process'!AX568*'Control Room'!$H$13*INDEX('Control Room'!$B$19:$H$19,1,WEEKDAY($A568,2))*(1+'Control Room'!$D$9)^566*'Process'!AY568),2),"")</x:f>
      </x:c>
      <x:c r="M568" s="16" t="str">
        <x:f>IF(AND(AND(567&lt;='Control Room'!$B$3,'Control Room'!$D$3="Ready"),11&lt;='Control Room'!$B$2),ROUND(MAX(0,'Process'!BC568*'Control Room'!$H$14*INDEX('Control Room'!$B$19:$H$19,1,WEEKDAY($A568,2))*(1+'Control Room'!$D$9)^566*'Process'!BD568),2),"")</x:f>
      </x:c>
      <x:c r="N568" s="16" t="str">
        <x:f>IF(AND(AND(567&lt;='Control Room'!$B$3,'Control Room'!$D$3="Ready"),12&lt;='Control Room'!$B$2),ROUND(MAX(0,'Process'!BH568*'Control Room'!$H$15*INDEX('Control Room'!$B$19:$H$19,1,WEEKDAY($A568,2))*(1+'Control Room'!$D$9)^566*'Process'!BI568),2),"")</x:f>
      </x:c>
    </x:row>
    <x:row r="569" ht="21" customHeight="1">
      <x:c r="A569" s="15" t="str">
        <x:f>IF(AND(568&lt;='Control Room'!$B$3,'Control Room'!$D$3="Ready"),'Process'!A569,"")</x:f>
      </x:c>
      <x:c r="B569" s="16" t="str">
        <x:f>IF(A569="","",SUM(C569:N569))</x:f>
      </x:c>
      <x:c r="C569" s="16" t="str">
        <x:f>IF(AND(AND(568&lt;='Control Room'!$B$3,'Control Room'!$D$3="Ready"),1&lt;='Control Room'!$B$2),ROUND(MAX(0,'Process'!E569*'Control Room'!$H$4*INDEX('Control Room'!$B$19:$H$19,1,WEEKDAY($A569,2))*(1+'Control Room'!$D$9)^567*'Process'!F569),2),"")</x:f>
      </x:c>
      <x:c r="D569" s="16" t="str">
        <x:f>IF(AND(AND(568&lt;='Control Room'!$B$3,'Control Room'!$D$3="Ready"),2&lt;='Control Room'!$B$2),ROUND(MAX(0,'Process'!J569*'Control Room'!$H$5*INDEX('Control Room'!$B$19:$H$19,1,WEEKDAY($A569,2))*(1+'Control Room'!$D$9)^567*'Process'!K569),2),"")</x:f>
      </x:c>
      <x:c r="E569" s="16" t="str">
        <x:f>IF(AND(AND(568&lt;='Control Room'!$B$3,'Control Room'!$D$3="Ready"),3&lt;='Control Room'!$B$2),ROUND(MAX(0,'Process'!O569*'Control Room'!$H$6*INDEX('Control Room'!$B$19:$H$19,1,WEEKDAY($A569,2))*(1+'Control Room'!$D$9)^567*'Process'!P569),2),"")</x:f>
      </x:c>
      <x:c r="F569" s="16" t="str">
        <x:f>IF(AND(AND(568&lt;='Control Room'!$B$3,'Control Room'!$D$3="Ready"),4&lt;='Control Room'!$B$2),ROUND(MAX(0,'Process'!T569*'Control Room'!$H$7*INDEX('Control Room'!$B$19:$H$19,1,WEEKDAY($A569,2))*(1+'Control Room'!$D$9)^567*'Process'!U569),2),"")</x:f>
      </x:c>
      <x:c r="G569" s="16" t="str">
        <x:f>IF(AND(AND(568&lt;='Control Room'!$B$3,'Control Room'!$D$3="Ready"),5&lt;='Control Room'!$B$2),ROUND(MAX(0,'Process'!Y569*'Control Room'!$H$8*INDEX('Control Room'!$B$19:$H$19,1,WEEKDAY($A569,2))*(1+'Control Room'!$D$9)^567*'Process'!Z569),2),"")</x:f>
      </x:c>
      <x:c r="H569" s="16" t="str">
        <x:f>IF(AND(AND(568&lt;='Control Room'!$B$3,'Control Room'!$D$3="Ready"),6&lt;='Control Room'!$B$2),ROUND(MAX(0,'Process'!AD569*'Control Room'!$H$9*INDEX('Control Room'!$B$19:$H$19,1,WEEKDAY($A569,2))*(1+'Control Room'!$D$9)^567*'Process'!AE569),2),"")</x:f>
      </x:c>
      <x:c r="I569" s="16" t="str">
        <x:f>IF(AND(AND(568&lt;='Control Room'!$B$3,'Control Room'!$D$3="Ready"),7&lt;='Control Room'!$B$2),ROUND(MAX(0,'Process'!AI569*'Control Room'!$H$10*INDEX('Control Room'!$B$19:$H$19,1,WEEKDAY($A569,2))*(1+'Control Room'!$D$9)^567*'Process'!AJ569),2),"")</x:f>
      </x:c>
      <x:c r="J569" s="16" t="str">
        <x:f>IF(AND(AND(568&lt;='Control Room'!$B$3,'Control Room'!$D$3="Ready"),8&lt;='Control Room'!$B$2),ROUND(MAX(0,'Process'!AN569*'Control Room'!$H$11*INDEX('Control Room'!$B$19:$H$19,1,WEEKDAY($A569,2))*(1+'Control Room'!$D$9)^567*'Process'!AO569),2),"")</x:f>
      </x:c>
      <x:c r="K569" s="16" t="str">
        <x:f>IF(AND(AND(568&lt;='Control Room'!$B$3,'Control Room'!$D$3="Ready"),9&lt;='Control Room'!$B$2),ROUND(MAX(0,'Process'!AS569*'Control Room'!$H$12*INDEX('Control Room'!$B$19:$H$19,1,WEEKDAY($A569,2))*(1+'Control Room'!$D$9)^567*'Process'!AT569),2),"")</x:f>
      </x:c>
      <x:c r="L569" s="16" t="str">
        <x:f>IF(AND(AND(568&lt;='Control Room'!$B$3,'Control Room'!$D$3="Ready"),10&lt;='Control Room'!$B$2),ROUND(MAX(0,'Process'!AX569*'Control Room'!$H$13*INDEX('Control Room'!$B$19:$H$19,1,WEEKDAY($A569,2))*(1+'Control Room'!$D$9)^567*'Process'!AY569),2),"")</x:f>
      </x:c>
      <x:c r="M569" s="16" t="str">
        <x:f>IF(AND(AND(568&lt;='Control Room'!$B$3,'Control Room'!$D$3="Ready"),11&lt;='Control Room'!$B$2),ROUND(MAX(0,'Process'!BC569*'Control Room'!$H$14*INDEX('Control Room'!$B$19:$H$19,1,WEEKDAY($A569,2))*(1+'Control Room'!$D$9)^567*'Process'!BD569),2),"")</x:f>
      </x:c>
      <x:c r="N569" s="16" t="str">
        <x:f>IF(AND(AND(568&lt;='Control Room'!$B$3,'Control Room'!$D$3="Ready"),12&lt;='Control Room'!$B$2),ROUND(MAX(0,'Process'!BH569*'Control Room'!$H$15*INDEX('Control Room'!$B$19:$H$19,1,WEEKDAY($A569,2))*(1+'Control Room'!$D$9)^567*'Process'!BI569),2),"")</x:f>
      </x:c>
    </x:row>
    <x:row r="570" ht="21" customHeight="1">
      <x:c r="A570" s="15" t="str">
        <x:f>IF(AND(569&lt;='Control Room'!$B$3,'Control Room'!$D$3="Ready"),'Process'!A570,"")</x:f>
      </x:c>
      <x:c r="B570" s="16" t="str">
        <x:f>IF(A570="","",SUM(C570:N570))</x:f>
      </x:c>
      <x:c r="C570" s="16" t="str">
        <x:f>IF(AND(AND(569&lt;='Control Room'!$B$3,'Control Room'!$D$3="Ready"),1&lt;='Control Room'!$B$2),ROUND(MAX(0,'Process'!E570*'Control Room'!$H$4*INDEX('Control Room'!$B$19:$H$19,1,WEEKDAY($A570,2))*(1+'Control Room'!$D$9)^568*'Process'!F570),2),"")</x:f>
      </x:c>
      <x:c r="D570" s="16" t="str">
        <x:f>IF(AND(AND(569&lt;='Control Room'!$B$3,'Control Room'!$D$3="Ready"),2&lt;='Control Room'!$B$2),ROUND(MAX(0,'Process'!J570*'Control Room'!$H$5*INDEX('Control Room'!$B$19:$H$19,1,WEEKDAY($A570,2))*(1+'Control Room'!$D$9)^568*'Process'!K570),2),"")</x:f>
      </x:c>
      <x:c r="E570" s="16" t="str">
        <x:f>IF(AND(AND(569&lt;='Control Room'!$B$3,'Control Room'!$D$3="Ready"),3&lt;='Control Room'!$B$2),ROUND(MAX(0,'Process'!O570*'Control Room'!$H$6*INDEX('Control Room'!$B$19:$H$19,1,WEEKDAY($A570,2))*(1+'Control Room'!$D$9)^568*'Process'!P570),2),"")</x:f>
      </x:c>
      <x:c r="F570" s="16" t="str">
        <x:f>IF(AND(AND(569&lt;='Control Room'!$B$3,'Control Room'!$D$3="Ready"),4&lt;='Control Room'!$B$2),ROUND(MAX(0,'Process'!T570*'Control Room'!$H$7*INDEX('Control Room'!$B$19:$H$19,1,WEEKDAY($A570,2))*(1+'Control Room'!$D$9)^568*'Process'!U570),2),"")</x:f>
      </x:c>
      <x:c r="G570" s="16" t="str">
        <x:f>IF(AND(AND(569&lt;='Control Room'!$B$3,'Control Room'!$D$3="Ready"),5&lt;='Control Room'!$B$2),ROUND(MAX(0,'Process'!Y570*'Control Room'!$H$8*INDEX('Control Room'!$B$19:$H$19,1,WEEKDAY($A570,2))*(1+'Control Room'!$D$9)^568*'Process'!Z570),2),"")</x:f>
      </x:c>
      <x:c r="H570" s="16" t="str">
        <x:f>IF(AND(AND(569&lt;='Control Room'!$B$3,'Control Room'!$D$3="Ready"),6&lt;='Control Room'!$B$2),ROUND(MAX(0,'Process'!AD570*'Control Room'!$H$9*INDEX('Control Room'!$B$19:$H$19,1,WEEKDAY($A570,2))*(1+'Control Room'!$D$9)^568*'Process'!AE570),2),"")</x:f>
      </x:c>
      <x:c r="I570" s="16" t="str">
        <x:f>IF(AND(AND(569&lt;='Control Room'!$B$3,'Control Room'!$D$3="Ready"),7&lt;='Control Room'!$B$2),ROUND(MAX(0,'Process'!AI570*'Control Room'!$H$10*INDEX('Control Room'!$B$19:$H$19,1,WEEKDAY($A570,2))*(1+'Control Room'!$D$9)^568*'Process'!AJ570),2),"")</x:f>
      </x:c>
      <x:c r="J570" s="16" t="str">
        <x:f>IF(AND(AND(569&lt;='Control Room'!$B$3,'Control Room'!$D$3="Ready"),8&lt;='Control Room'!$B$2),ROUND(MAX(0,'Process'!AN570*'Control Room'!$H$11*INDEX('Control Room'!$B$19:$H$19,1,WEEKDAY($A570,2))*(1+'Control Room'!$D$9)^568*'Process'!AO570),2),"")</x:f>
      </x:c>
      <x:c r="K570" s="16" t="str">
        <x:f>IF(AND(AND(569&lt;='Control Room'!$B$3,'Control Room'!$D$3="Ready"),9&lt;='Control Room'!$B$2),ROUND(MAX(0,'Process'!AS570*'Control Room'!$H$12*INDEX('Control Room'!$B$19:$H$19,1,WEEKDAY($A570,2))*(1+'Control Room'!$D$9)^568*'Process'!AT570),2),"")</x:f>
      </x:c>
      <x:c r="L570" s="16" t="str">
        <x:f>IF(AND(AND(569&lt;='Control Room'!$B$3,'Control Room'!$D$3="Ready"),10&lt;='Control Room'!$B$2),ROUND(MAX(0,'Process'!AX570*'Control Room'!$H$13*INDEX('Control Room'!$B$19:$H$19,1,WEEKDAY($A570,2))*(1+'Control Room'!$D$9)^568*'Process'!AY570),2),"")</x:f>
      </x:c>
      <x:c r="M570" s="16" t="str">
        <x:f>IF(AND(AND(569&lt;='Control Room'!$B$3,'Control Room'!$D$3="Ready"),11&lt;='Control Room'!$B$2),ROUND(MAX(0,'Process'!BC570*'Control Room'!$H$14*INDEX('Control Room'!$B$19:$H$19,1,WEEKDAY($A570,2))*(1+'Control Room'!$D$9)^568*'Process'!BD570),2),"")</x:f>
      </x:c>
      <x:c r="N570" s="16" t="str">
        <x:f>IF(AND(AND(569&lt;='Control Room'!$B$3,'Control Room'!$D$3="Ready"),12&lt;='Control Room'!$B$2),ROUND(MAX(0,'Process'!BH570*'Control Room'!$H$15*INDEX('Control Room'!$B$19:$H$19,1,WEEKDAY($A570,2))*(1+'Control Room'!$D$9)^568*'Process'!BI570),2),"")</x:f>
      </x:c>
    </x:row>
    <x:row r="571" ht="21" customHeight="1">
      <x:c r="A571" s="15" t="str">
        <x:f>IF(AND(570&lt;='Control Room'!$B$3,'Control Room'!$D$3="Ready"),'Process'!A571,"")</x:f>
      </x:c>
      <x:c r="B571" s="16" t="str">
        <x:f>IF(A571="","",SUM(C571:N571))</x:f>
      </x:c>
      <x:c r="C571" s="16" t="str">
        <x:f>IF(AND(AND(570&lt;='Control Room'!$B$3,'Control Room'!$D$3="Ready"),1&lt;='Control Room'!$B$2),ROUND(MAX(0,'Process'!E571*'Control Room'!$H$4*INDEX('Control Room'!$B$19:$H$19,1,WEEKDAY($A571,2))*(1+'Control Room'!$D$9)^569*'Process'!F571),2),"")</x:f>
      </x:c>
      <x:c r="D571" s="16" t="str">
        <x:f>IF(AND(AND(570&lt;='Control Room'!$B$3,'Control Room'!$D$3="Ready"),2&lt;='Control Room'!$B$2),ROUND(MAX(0,'Process'!J571*'Control Room'!$H$5*INDEX('Control Room'!$B$19:$H$19,1,WEEKDAY($A571,2))*(1+'Control Room'!$D$9)^569*'Process'!K571),2),"")</x:f>
      </x:c>
      <x:c r="E571" s="16" t="str">
        <x:f>IF(AND(AND(570&lt;='Control Room'!$B$3,'Control Room'!$D$3="Ready"),3&lt;='Control Room'!$B$2),ROUND(MAX(0,'Process'!O571*'Control Room'!$H$6*INDEX('Control Room'!$B$19:$H$19,1,WEEKDAY($A571,2))*(1+'Control Room'!$D$9)^569*'Process'!P571),2),"")</x:f>
      </x:c>
      <x:c r="F571" s="16" t="str">
        <x:f>IF(AND(AND(570&lt;='Control Room'!$B$3,'Control Room'!$D$3="Ready"),4&lt;='Control Room'!$B$2),ROUND(MAX(0,'Process'!T571*'Control Room'!$H$7*INDEX('Control Room'!$B$19:$H$19,1,WEEKDAY($A571,2))*(1+'Control Room'!$D$9)^569*'Process'!U571),2),"")</x:f>
      </x:c>
      <x:c r="G571" s="16" t="str">
        <x:f>IF(AND(AND(570&lt;='Control Room'!$B$3,'Control Room'!$D$3="Ready"),5&lt;='Control Room'!$B$2),ROUND(MAX(0,'Process'!Y571*'Control Room'!$H$8*INDEX('Control Room'!$B$19:$H$19,1,WEEKDAY($A571,2))*(1+'Control Room'!$D$9)^569*'Process'!Z571),2),"")</x:f>
      </x:c>
      <x:c r="H571" s="16" t="str">
        <x:f>IF(AND(AND(570&lt;='Control Room'!$B$3,'Control Room'!$D$3="Ready"),6&lt;='Control Room'!$B$2),ROUND(MAX(0,'Process'!AD571*'Control Room'!$H$9*INDEX('Control Room'!$B$19:$H$19,1,WEEKDAY($A571,2))*(1+'Control Room'!$D$9)^569*'Process'!AE571),2),"")</x:f>
      </x:c>
      <x:c r="I571" s="16" t="str">
        <x:f>IF(AND(AND(570&lt;='Control Room'!$B$3,'Control Room'!$D$3="Ready"),7&lt;='Control Room'!$B$2),ROUND(MAX(0,'Process'!AI571*'Control Room'!$H$10*INDEX('Control Room'!$B$19:$H$19,1,WEEKDAY($A571,2))*(1+'Control Room'!$D$9)^569*'Process'!AJ571),2),"")</x:f>
      </x:c>
      <x:c r="J571" s="16" t="str">
        <x:f>IF(AND(AND(570&lt;='Control Room'!$B$3,'Control Room'!$D$3="Ready"),8&lt;='Control Room'!$B$2),ROUND(MAX(0,'Process'!AN571*'Control Room'!$H$11*INDEX('Control Room'!$B$19:$H$19,1,WEEKDAY($A571,2))*(1+'Control Room'!$D$9)^569*'Process'!AO571),2),"")</x:f>
      </x:c>
      <x:c r="K571" s="16" t="str">
        <x:f>IF(AND(AND(570&lt;='Control Room'!$B$3,'Control Room'!$D$3="Ready"),9&lt;='Control Room'!$B$2),ROUND(MAX(0,'Process'!AS571*'Control Room'!$H$12*INDEX('Control Room'!$B$19:$H$19,1,WEEKDAY($A571,2))*(1+'Control Room'!$D$9)^569*'Process'!AT571),2),"")</x:f>
      </x:c>
      <x:c r="L571" s="16" t="str">
        <x:f>IF(AND(AND(570&lt;='Control Room'!$B$3,'Control Room'!$D$3="Ready"),10&lt;='Control Room'!$B$2),ROUND(MAX(0,'Process'!AX571*'Control Room'!$H$13*INDEX('Control Room'!$B$19:$H$19,1,WEEKDAY($A571,2))*(1+'Control Room'!$D$9)^569*'Process'!AY571),2),"")</x:f>
      </x:c>
      <x:c r="M571" s="16" t="str">
        <x:f>IF(AND(AND(570&lt;='Control Room'!$B$3,'Control Room'!$D$3="Ready"),11&lt;='Control Room'!$B$2),ROUND(MAX(0,'Process'!BC571*'Control Room'!$H$14*INDEX('Control Room'!$B$19:$H$19,1,WEEKDAY($A571,2))*(1+'Control Room'!$D$9)^569*'Process'!BD571),2),"")</x:f>
      </x:c>
      <x:c r="N571" s="16" t="str">
        <x:f>IF(AND(AND(570&lt;='Control Room'!$B$3,'Control Room'!$D$3="Ready"),12&lt;='Control Room'!$B$2),ROUND(MAX(0,'Process'!BH571*'Control Room'!$H$15*INDEX('Control Room'!$B$19:$H$19,1,WEEKDAY($A571,2))*(1+'Control Room'!$D$9)^569*'Process'!BI571),2),"")</x:f>
      </x:c>
    </x:row>
    <x:row r="572" ht="21" customHeight="1">
      <x:c r="A572" s="15" t="str">
        <x:f>IF(AND(571&lt;='Control Room'!$B$3,'Control Room'!$D$3="Ready"),'Process'!A572,"")</x:f>
      </x:c>
      <x:c r="B572" s="16" t="str">
        <x:f>IF(A572="","",SUM(C572:N572))</x:f>
      </x:c>
      <x:c r="C572" s="16" t="str">
        <x:f>IF(AND(AND(571&lt;='Control Room'!$B$3,'Control Room'!$D$3="Ready"),1&lt;='Control Room'!$B$2),ROUND(MAX(0,'Process'!E572*'Control Room'!$H$4*INDEX('Control Room'!$B$19:$H$19,1,WEEKDAY($A572,2))*(1+'Control Room'!$D$9)^570*'Process'!F572),2),"")</x:f>
      </x:c>
      <x:c r="D572" s="16" t="str">
        <x:f>IF(AND(AND(571&lt;='Control Room'!$B$3,'Control Room'!$D$3="Ready"),2&lt;='Control Room'!$B$2),ROUND(MAX(0,'Process'!J572*'Control Room'!$H$5*INDEX('Control Room'!$B$19:$H$19,1,WEEKDAY($A572,2))*(1+'Control Room'!$D$9)^570*'Process'!K572),2),"")</x:f>
      </x:c>
      <x:c r="E572" s="16" t="str">
        <x:f>IF(AND(AND(571&lt;='Control Room'!$B$3,'Control Room'!$D$3="Ready"),3&lt;='Control Room'!$B$2),ROUND(MAX(0,'Process'!O572*'Control Room'!$H$6*INDEX('Control Room'!$B$19:$H$19,1,WEEKDAY($A572,2))*(1+'Control Room'!$D$9)^570*'Process'!P572),2),"")</x:f>
      </x:c>
      <x:c r="F572" s="16" t="str">
        <x:f>IF(AND(AND(571&lt;='Control Room'!$B$3,'Control Room'!$D$3="Ready"),4&lt;='Control Room'!$B$2),ROUND(MAX(0,'Process'!T572*'Control Room'!$H$7*INDEX('Control Room'!$B$19:$H$19,1,WEEKDAY($A572,2))*(1+'Control Room'!$D$9)^570*'Process'!U572),2),"")</x:f>
      </x:c>
      <x:c r="G572" s="16" t="str">
        <x:f>IF(AND(AND(571&lt;='Control Room'!$B$3,'Control Room'!$D$3="Ready"),5&lt;='Control Room'!$B$2),ROUND(MAX(0,'Process'!Y572*'Control Room'!$H$8*INDEX('Control Room'!$B$19:$H$19,1,WEEKDAY($A572,2))*(1+'Control Room'!$D$9)^570*'Process'!Z572),2),"")</x:f>
      </x:c>
      <x:c r="H572" s="16" t="str">
        <x:f>IF(AND(AND(571&lt;='Control Room'!$B$3,'Control Room'!$D$3="Ready"),6&lt;='Control Room'!$B$2),ROUND(MAX(0,'Process'!AD572*'Control Room'!$H$9*INDEX('Control Room'!$B$19:$H$19,1,WEEKDAY($A572,2))*(1+'Control Room'!$D$9)^570*'Process'!AE572),2),"")</x:f>
      </x:c>
      <x:c r="I572" s="16" t="str">
        <x:f>IF(AND(AND(571&lt;='Control Room'!$B$3,'Control Room'!$D$3="Ready"),7&lt;='Control Room'!$B$2),ROUND(MAX(0,'Process'!AI572*'Control Room'!$H$10*INDEX('Control Room'!$B$19:$H$19,1,WEEKDAY($A572,2))*(1+'Control Room'!$D$9)^570*'Process'!AJ572),2),"")</x:f>
      </x:c>
      <x:c r="J572" s="16" t="str">
        <x:f>IF(AND(AND(571&lt;='Control Room'!$B$3,'Control Room'!$D$3="Ready"),8&lt;='Control Room'!$B$2),ROUND(MAX(0,'Process'!AN572*'Control Room'!$H$11*INDEX('Control Room'!$B$19:$H$19,1,WEEKDAY($A572,2))*(1+'Control Room'!$D$9)^570*'Process'!AO572),2),"")</x:f>
      </x:c>
      <x:c r="K572" s="16" t="str">
        <x:f>IF(AND(AND(571&lt;='Control Room'!$B$3,'Control Room'!$D$3="Ready"),9&lt;='Control Room'!$B$2),ROUND(MAX(0,'Process'!AS572*'Control Room'!$H$12*INDEX('Control Room'!$B$19:$H$19,1,WEEKDAY($A572,2))*(1+'Control Room'!$D$9)^570*'Process'!AT572),2),"")</x:f>
      </x:c>
      <x:c r="L572" s="16" t="str">
        <x:f>IF(AND(AND(571&lt;='Control Room'!$B$3,'Control Room'!$D$3="Ready"),10&lt;='Control Room'!$B$2),ROUND(MAX(0,'Process'!AX572*'Control Room'!$H$13*INDEX('Control Room'!$B$19:$H$19,1,WEEKDAY($A572,2))*(1+'Control Room'!$D$9)^570*'Process'!AY572),2),"")</x:f>
      </x:c>
      <x:c r="M572" s="16" t="str">
        <x:f>IF(AND(AND(571&lt;='Control Room'!$B$3,'Control Room'!$D$3="Ready"),11&lt;='Control Room'!$B$2),ROUND(MAX(0,'Process'!BC572*'Control Room'!$H$14*INDEX('Control Room'!$B$19:$H$19,1,WEEKDAY($A572,2))*(1+'Control Room'!$D$9)^570*'Process'!BD572),2),"")</x:f>
      </x:c>
      <x:c r="N572" s="16" t="str">
        <x:f>IF(AND(AND(571&lt;='Control Room'!$B$3,'Control Room'!$D$3="Ready"),12&lt;='Control Room'!$B$2),ROUND(MAX(0,'Process'!BH572*'Control Room'!$H$15*INDEX('Control Room'!$B$19:$H$19,1,WEEKDAY($A572,2))*(1+'Control Room'!$D$9)^570*'Process'!BI572),2),"")</x:f>
      </x:c>
    </x:row>
    <x:row r="573" ht="21" customHeight="1">
      <x:c r="A573" s="15" t="str">
        <x:f>IF(AND(572&lt;='Control Room'!$B$3,'Control Room'!$D$3="Ready"),'Process'!A573,"")</x:f>
      </x:c>
      <x:c r="B573" s="16" t="str">
        <x:f>IF(A573="","",SUM(C573:N573))</x:f>
      </x:c>
      <x:c r="C573" s="16" t="str">
        <x:f>IF(AND(AND(572&lt;='Control Room'!$B$3,'Control Room'!$D$3="Ready"),1&lt;='Control Room'!$B$2),ROUND(MAX(0,'Process'!E573*'Control Room'!$H$4*INDEX('Control Room'!$B$19:$H$19,1,WEEKDAY($A573,2))*(1+'Control Room'!$D$9)^571*'Process'!F573),2),"")</x:f>
      </x:c>
      <x:c r="D573" s="16" t="str">
        <x:f>IF(AND(AND(572&lt;='Control Room'!$B$3,'Control Room'!$D$3="Ready"),2&lt;='Control Room'!$B$2),ROUND(MAX(0,'Process'!J573*'Control Room'!$H$5*INDEX('Control Room'!$B$19:$H$19,1,WEEKDAY($A573,2))*(1+'Control Room'!$D$9)^571*'Process'!K573),2),"")</x:f>
      </x:c>
      <x:c r="E573" s="16" t="str">
        <x:f>IF(AND(AND(572&lt;='Control Room'!$B$3,'Control Room'!$D$3="Ready"),3&lt;='Control Room'!$B$2),ROUND(MAX(0,'Process'!O573*'Control Room'!$H$6*INDEX('Control Room'!$B$19:$H$19,1,WEEKDAY($A573,2))*(1+'Control Room'!$D$9)^571*'Process'!P573),2),"")</x:f>
      </x:c>
      <x:c r="F573" s="16" t="str">
        <x:f>IF(AND(AND(572&lt;='Control Room'!$B$3,'Control Room'!$D$3="Ready"),4&lt;='Control Room'!$B$2),ROUND(MAX(0,'Process'!T573*'Control Room'!$H$7*INDEX('Control Room'!$B$19:$H$19,1,WEEKDAY($A573,2))*(1+'Control Room'!$D$9)^571*'Process'!U573),2),"")</x:f>
      </x:c>
      <x:c r="G573" s="16" t="str">
        <x:f>IF(AND(AND(572&lt;='Control Room'!$B$3,'Control Room'!$D$3="Ready"),5&lt;='Control Room'!$B$2),ROUND(MAX(0,'Process'!Y573*'Control Room'!$H$8*INDEX('Control Room'!$B$19:$H$19,1,WEEKDAY($A573,2))*(1+'Control Room'!$D$9)^571*'Process'!Z573),2),"")</x:f>
      </x:c>
      <x:c r="H573" s="16" t="str">
        <x:f>IF(AND(AND(572&lt;='Control Room'!$B$3,'Control Room'!$D$3="Ready"),6&lt;='Control Room'!$B$2),ROUND(MAX(0,'Process'!AD573*'Control Room'!$H$9*INDEX('Control Room'!$B$19:$H$19,1,WEEKDAY($A573,2))*(1+'Control Room'!$D$9)^571*'Process'!AE573),2),"")</x:f>
      </x:c>
      <x:c r="I573" s="16" t="str">
        <x:f>IF(AND(AND(572&lt;='Control Room'!$B$3,'Control Room'!$D$3="Ready"),7&lt;='Control Room'!$B$2),ROUND(MAX(0,'Process'!AI573*'Control Room'!$H$10*INDEX('Control Room'!$B$19:$H$19,1,WEEKDAY($A573,2))*(1+'Control Room'!$D$9)^571*'Process'!AJ573),2),"")</x:f>
      </x:c>
      <x:c r="J573" s="16" t="str">
        <x:f>IF(AND(AND(572&lt;='Control Room'!$B$3,'Control Room'!$D$3="Ready"),8&lt;='Control Room'!$B$2),ROUND(MAX(0,'Process'!AN573*'Control Room'!$H$11*INDEX('Control Room'!$B$19:$H$19,1,WEEKDAY($A573,2))*(1+'Control Room'!$D$9)^571*'Process'!AO573),2),"")</x:f>
      </x:c>
      <x:c r="K573" s="16" t="str">
        <x:f>IF(AND(AND(572&lt;='Control Room'!$B$3,'Control Room'!$D$3="Ready"),9&lt;='Control Room'!$B$2),ROUND(MAX(0,'Process'!AS573*'Control Room'!$H$12*INDEX('Control Room'!$B$19:$H$19,1,WEEKDAY($A573,2))*(1+'Control Room'!$D$9)^571*'Process'!AT573),2),"")</x:f>
      </x:c>
      <x:c r="L573" s="16" t="str">
        <x:f>IF(AND(AND(572&lt;='Control Room'!$B$3,'Control Room'!$D$3="Ready"),10&lt;='Control Room'!$B$2),ROUND(MAX(0,'Process'!AX573*'Control Room'!$H$13*INDEX('Control Room'!$B$19:$H$19,1,WEEKDAY($A573,2))*(1+'Control Room'!$D$9)^571*'Process'!AY573),2),"")</x:f>
      </x:c>
      <x:c r="M573" s="16" t="str">
        <x:f>IF(AND(AND(572&lt;='Control Room'!$B$3,'Control Room'!$D$3="Ready"),11&lt;='Control Room'!$B$2),ROUND(MAX(0,'Process'!BC573*'Control Room'!$H$14*INDEX('Control Room'!$B$19:$H$19,1,WEEKDAY($A573,2))*(1+'Control Room'!$D$9)^571*'Process'!BD573),2),"")</x:f>
      </x:c>
      <x:c r="N573" s="16" t="str">
        <x:f>IF(AND(AND(572&lt;='Control Room'!$B$3,'Control Room'!$D$3="Ready"),12&lt;='Control Room'!$B$2),ROUND(MAX(0,'Process'!BH573*'Control Room'!$H$15*INDEX('Control Room'!$B$19:$H$19,1,WEEKDAY($A573,2))*(1+'Control Room'!$D$9)^571*'Process'!BI573),2),"")</x:f>
      </x:c>
    </x:row>
    <x:row r="574" ht="21" customHeight="1">
      <x:c r="A574" s="15" t="str">
        <x:f>IF(AND(573&lt;='Control Room'!$B$3,'Control Room'!$D$3="Ready"),'Process'!A574,"")</x:f>
      </x:c>
      <x:c r="B574" s="16" t="str">
        <x:f>IF(A574="","",SUM(C574:N574))</x:f>
      </x:c>
      <x:c r="C574" s="16" t="str">
        <x:f>IF(AND(AND(573&lt;='Control Room'!$B$3,'Control Room'!$D$3="Ready"),1&lt;='Control Room'!$B$2),ROUND(MAX(0,'Process'!E574*'Control Room'!$H$4*INDEX('Control Room'!$B$19:$H$19,1,WEEKDAY($A574,2))*(1+'Control Room'!$D$9)^572*'Process'!F574),2),"")</x:f>
      </x:c>
      <x:c r="D574" s="16" t="str">
        <x:f>IF(AND(AND(573&lt;='Control Room'!$B$3,'Control Room'!$D$3="Ready"),2&lt;='Control Room'!$B$2),ROUND(MAX(0,'Process'!J574*'Control Room'!$H$5*INDEX('Control Room'!$B$19:$H$19,1,WEEKDAY($A574,2))*(1+'Control Room'!$D$9)^572*'Process'!K574),2),"")</x:f>
      </x:c>
      <x:c r="E574" s="16" t="str">
        <x:f>IF(AND(AND(573&lt;='Control Room'!$B$3,'Control Room'!$D$3="Ready"),3&lt;='Control Room'!$B$2),ROUND(MAX(0,'Process'!O574*'Control Room'!$H$6*INDEX('Control Room'!$B$19:$H$19,1,WEEKDAY($A574,2))*(1+'Control Room'!$D$9)^572*'Process'!P574),2),"")</x:f>
      </x:c>
      <x:c r="F574" s="16" t="str">
        <x:f>IF(AND(AND(573&lt;='Control Room'!$B$3,'Control Room'!$D$3="Ready"),4&lt;='Control Room'!$B$2),ROUND(MAX(0,'Process'!T574*'Control Room'!$H$7*INDEX('Control Room'!$B$19:$H$19,1,WEEKDAY($A574,2))*(1+'Control Room'!$D$9)^572*'Process'!U574),2),"")</x:f>
      </x:c>
      <x:c r="G574" s="16" t="str">
        <x:f>IF(AND(AND(573&lt;='Control Room'!$B$3,'Control Room'!$D$3="Ready"),5&lt;='Control Room'!$B$2),ROUND(MAX(0,'Process'!Y574*'Control Room'!$H$8*INDEX('Control Room'!$B$19:$H$19,1,WEEKDAY($A574,2))*(1+'Control Room'!$D$9)^572*'Process'!Z574),2),"")</x:f>
      </x:c>
      <x:c r="H574" s="16" t="str">
        <x:f>IF(AND(AND(573&lt;='Control Room'!$B$3,'Control Room'!$D$3="Ready"),6&lt;='Control Room'!$B$2),ROUND(MAX(0,'Process'!AD574*'Control Room'!$H$9*INDEX('Control Room'!$B$19:$H$19,1,WEEKDAY($A574,2))*(1+'Control Room'!$D$9)^572*'Process'!AE574),2),"")</x:f>
      </x:c>
      <x:c r="I574" s="16" t="str">
        <x:f>IF(AND(AND(573&lt;='Control Room'!$B$3,'Control Room'!$D$3="Ready"),7&lt;='Control Room'!$B$2),ROUND(MAX(0,'Process'!AI574*'Control Room'!$H$10*INDEX('Control Room'!$B$19:$H$19,1,WEEKDAY($A574,2))*(1+'Control Room'!$D$9)^572*'Process'!AJ574),2),"")</x:f>
      </x:c>
      <x:c r="J574" s="16" t="str">
        <x:f>IF(AND(AND(573&lt;='Control Room'!$B$3,'Control Room'!$D$3="Ready"),8&lt;='Control Room'!$B$2),ROUND(MAX(0,'Process'!AN574*'Control Room'!$H$11*INDEX('Control Room'!$B$19:$H$19,1,WEEKDAY($A574,2))*(1+'Control Room'!$D$9)^572*'Process'!AO574),2),"")</x:f>
      </x:c>
      <x:c r="K574" s="16" t="str">
        <x:f>IF(AND(AND(573&lt;='Control Room'!$B$3,'Control Room'!$D$3="Ready"),9&lt;='Control Room'!$B$2),ROUND(MAX(0,'Process'!AS574*'Control Room'!$H$12*INDEX('Control Room'!$B$19:$H$19,1,WEEKDAY($A574,2))*(1+'Control Room'!$D$9)^572*'Process'!AT574),2),"")</x:f>
      </x:c>
      <x:c r="L574" s="16" t="str">
        <x:f>IF(AND(AND(573&lt;='Control Room'!$B$3,'Control Room'!$D$3="Ready"),10&lt;='Control Room'!$B$2),ROUND(MAX(0,'Process'!AX574*'Control Room'!$H$13*INDEX('Control Room'!$B$19:$H$19,1,WEEKDAY($A574,2))*(1+'Control Room'!$D$9)^572*'Process'!AY574),2),"")</x:f>
      </x:c>
      <x:c r="M574" s="16" t="str">
        <x:f>IF(AND(AND(573&lt;='Control Room'!$B$3,'Control Room'!$D$3="Ready"),11&lt;='Control Room'!$B$2),ROUND(MAX(0,'Process'!BC574*'Control Room'!$H$14*INDEX('Control Room'!$B$19:$H$19,1,WEEKDAY($A574,2))*(1+'Control Room'!$D$9)^572*'Process'!BD574),2),"")</x:f>
      </x:c>
      <x:c r="N574" s="16" t="str">
        <x:f>IF(AND(AND(573&lt;='Control Room'!$B$3,'Control Room'!$D$3="Ready"),12&lt;='Control Room'!$B$2),ROUND(MAX(0,'Process'!BH574*'Control Room'!$H$15*INDEX('Control Room'!$B$19:$H$19,1,WEEKDAY($A574,2))*(1+'Control Room'!$D$9)^572*'Process'!BI574),2),"")</x:f>
      </x:c>
    </x:row>
    <x:row r="575" ht="21" customHeight="1">
      <x:c r="A575" s="15" t="str">
        <x:f>IF(AND(574&lt;='Control Room'!$B$3,'Control Room'!$D$3="Ready"),'Process'!A575,"")</x:f>
      </x:c>
      <x:c r="B575" s="16" t="str">
        <x:f>IF(A575="","",SUM(C575:N575))</x:f>
      </x:c>
      <x:c r="C575" s="16" t="str">
        <x:f>IF(AND(AND(574&lt;='Control Room'!$B$3,'Control Room'!$D$3="Ready"),1&lt;='Control Room'!$B$2),ROUND(MAX(0,'Process'!E575*'Control Room'!$H$4*INDEX('Control Room'!$B$19:$H$19,1,WEEKDAY($A575,2))*(1+'Control Room'!$D$9)^573*'Process'!F575),2),"")</x:f>
      </x:c>
      <x:c r="D575" s="16" t="str">
        <x:f>IF(AND(AND(574&lt;='Control Room'!$B$3,'Control Room'!$D$3="Ready"),2&lt;='Control Room'!$B$2),ROUND(MAX(0,'Process'!J575*'Control Room'!$H$5*INDEX('Control Room'!$B$19:$H$19,1,WEEKDAY($A575,2))*(1+'Control Room'!$D$9)^573*'Process'!K575),2),"")</x:f>
      </x:c>
      <x:c r="E575" s="16" t="str">
        <x:f>IF(AND(AND(574&lt;='Control Room'!$B$3,'Control Room'!$D$3="Ready"),3&lt;='Control Room'!$B$2),ROUND(MAX(0,'Process'!O575*'Control Room'!$H$6*INDEX('Control Room'!$B$19:$H$19,1,WEEKDAY($A575,2))*(1+'Control Room'!$D$9)^573*'Process'!P575),2),"")</x:f>
      </x:c>
      <x:c r="F575" s="16" t="str">
        <x:f>IF(AND(AND(574&lt;='Control Room'!$B$3,'Control Room'!$D$3="Ready"),4&lt;='Control Room'!$B$2),ROUND(MAX(0,'Process'!T575*'Control Room'!$H$7*INDEX('Control Room'!$B$19:$H$19,1,WEEKDAY($A575,2))*(1+'Control Room'!$D$9)^573*'Process'!U575),2),"")</x:f>
      </x:c>
      <x:c r="G575" s="16" t="str">
        <x:f>IF(AND(AND(574&lt;='Control Room'!$B$3,'Control Room'!$D$3="Ready"),5&lt;='Control Room'!$B$2),ROUND(MAX(0,'Process'!Y575*'Control Room'!$H$8*INDEX('Control Room'!$B$19:$H$19,1,WEEKDAY($A575,2))*(1+'Control Room'!$D$9)^573*'Process'!Z575),2),"")</x:f>
      </x:c>
      <x:c r="H575" s="16" t="str">
        <x:f>IF(AND(AND(574&lt;='Control Room'!$B$3,'Control Room'!$D$3="Ready"),6&lt;='Control Room'!$B$2),ROUND(MAX(0,'Process'!AD575*'Control Room'!$H$9*INDEX('Control Room'!$B$19:$H$19,1,WEEKDAY($A575,2))*(1+'Control Room'!$D$9)^573*'Process'!AE575),2),"")</x:f>
      </x:c>
      <x:c r="I575" s="16" t="str">
        <x:f>IF(AND(AND(574&lt;='Control Room'!$B$3,'Control Room'!$D$3="Ready"),7&lt;='Control Room'!$B$2),ROUND(MAX(0,'Process'!AI575*'Control Room'!$H$10*INDEX('Control Room'!$B$19:$H$19,1,WEEKDAY($A575,2))*(1+'Control Room'!$D$9)^573*'Process'!AJ575),2),"")</x:f>
      </x:c>
      <x:c r="J575" s="16" t="str">
        <x:f>IF(AND(AND(574&lt;='Control Room'!$B$3,'Control Room'!$D$3="Ready"),8&lt;='Control Room'!$B$2),ROUND(MAX(0,'Process'!AN575*'Control Room'!$H$11*INDEX('Control Room'!$B$19:$H$19,1,WEEKDAY($A575,2))*(1+'Control Room'!$D$9)^573*'Process'!AO575),2),"")</x:f>
      </x:c>
      <x:c r="K575" s="16" t="str">
        <x:f>IF(AND(AND(574&lt;='Control Room'!$B$3,'Control Room'!$D$3="Ready"),9&lt;='Control Room'!$B$2),ROUND(MAX(0,'Process'!AS575*'Control Room'!$H$12*INDEX('Control Room'!$B$19:$H$19,1,WEEKDAY($A575,2))*(1+'Control Room'!$D$9)^573*'Process'!AT575),2),"")</x:f>
      </x:c>
      <x:c r="L575" s="16" t="str">
        <x:f>IF(AND(AND(574&lt;='Control Room'!$B$3,'Control Room'!$D$3="Ready"),10&lt;='Control Room'!$B$2),ROUND(MAX(0,'Process'!AX575*'Control Room'!$H$13*INDEX('Control Room'!$B$19:$H$19,1,WEEKDAY($A575,2))*(1+'Control Room'!$D$9)^573*'Process'!AY575),2),"")</x:f>
      </x:c>
      <x:c r="M575" s="16" t="str">
        <x:f>IF(AND(AND(574&lt;='Control Room'!$B$3,'Control Room'!$D$3="Ready"),11&lt;='Control Room'!$B$2),ROUND(MAX(0,'Process'!BC575*'Control Room'!$H$14*INDEX('Control Room'!$B$19:$H$19,1,WEEKDAY($A575,2))*(1+'Control Room'!$D$9)^573*'Process'!BD575),2),"")</x:f>
      </x:c>
      <x:c r="N575" s="16" t="str">
        <x:f>IF(AND(AND(574&lt;='Control Room'!$B$3,'Control Room'!$D$3="Ready"),12&lt;='Control Room'!$B$2),ROUND(MAX(0,'Process'!BH575*'Control Room'!$H$15*INDEX('Control Room'!$B$19:$H$19,1,WEEKDAY($A575,2))*(1+'Control Room'!$D$9)^573*'Process'!BI575),2),"")</x:f>
      </x:c>
    </x:row>
    <x:row r="576" ht="21" customHeight="1">
      <x:c r="A576" s="15" t="str">
        <x:f>IF(AND(575&lt;='Control Room'!$B$3,'Control Room'!$D$3="Ready"),'Process'!A576,"")</x:f>
      </x:c>
      <x:c r="B576" s="16" t="str">
        <x:f>IF(A576="","",SUM(C576:N576))</x:f>
      </x:c>
      <x:c r="C576" s="16" t="str">
        <x:f>IF(AND(AND(575&lt;='Control Room'!$B$3,'Control Room'!$D$3="Ready"),1&lt;='Control Room'!$B$2),ROUND(MAX(0,'Process'!E576*'Control Room'!$H$4*INDEX('Control Room'!$B$19:$H$19,1,WEEKDAY($A576,2))*(1+'Control Room'!$D$9)^574*'Process'!F576),2),"")</x:f>
      </x:c>
      <x:c r="D576" s="16" t="str">
        <x:f>IF(AND(AND(575&lt;='Control Room'!$B$3,'Control Room'!$D$3="Ready"),2&lt;='Control Room'!$B$2),ROUND(MAX(0,'Process'!J576*'Control Room'!$H$5*INDEX('Control Room'!$B$19:$H$19,1,WEEKDAY($A576,2))*(1+'Control Room'!$D$9)^574*'Process'!K576),2),"")</x:f>
      </x:c>
      <x:c r="E576" s="16" t="str">
        <x:f>IF(AND(AND(575&lt;='Control Room'!$B$3,'Control Room'!$D$3="Ready"),3&lt;='Control Room'!$B$2),ROUND(MAX(0,'Process'!O576*'Control Room'!$H$6*INDEX('Control Room'!$B$19:$H$19,1,WEEKDAY($A576,2))*(1+'Control Room'!$D$9)^574*'Process'!P576),2),"")</x:f>
      </x:c>
      <x:c r="F576" s="16" t="str">
        <x:f>IF(AND(AND(575&lt;='Control Room'!$B$3,'Control Room'!$D$3="Ready"),4&lt;='Control Room'!$B$2),ROUND(MAX(0,'Process'!T576*'Control Room'!$H$7*INDEX('Control Room'!$B$19:$H$19,1,WEEKDAY($A576,2))*(1+'Control Room'!$D$9)^574*'Process'!U576),2),"")</x:f>
      </x:c>
      <x:c r="G576" s="16" t="str">
        <x:f>IF(AND(AND(575&lt;='Control Room'!$B$3,'Control Room'!$D$3="Ready"),5&lt;='Control Room'!$B$2),ROUND(MAX(0,'Process'!Y576*'Control Room'!$H$8*INDEX('Control Room'!$B$19:$H$19,1,WEEKDAY($A576,2))*(1+'Control Room'!$D$9)^574*'Process'!Z576),2),"")</x:f>
      </x:c>
      <x:c r="H576" s="16" t="str">
        <x:f>IF(AND(AND(575&lt;='Control Room'!$B$3,'Control Room'!$D$3="Ready"),6&lt;='Control Room'!$B$2),ROUND(MAX(0,'Process'!AD576*'Control Room'!$H$9*INDEX('Control Room'!$B$19:$H$19,1,WEEKDAY($A576,2))*(1+'Control Room'!$D$9)^574*'Process'!AE576),2),"")</x:f>
      </x:c>
      <x:c r="I576" s="16" t="str">
        <x:f>IF(AND(AND(575&lt;='Control Room'!$B$3,'Control Room'!$D$3="Ready"),7&lt;='Control Room'!$B$2),ROUND(MAX(0,'Process'!AI576*'Control Room'!$H$10*INDEX('Control Room'!$B$19:$H$19,1,WEEKDAY($A576,2))*(1+'Control Room'!$D$9)^574*'Process'!AJ576),2),"")</x:f>
      </x:c>
      <x:c r="J576" s="16" t="str">
        <x:f>IF(AND(AND(575&lt;='Control Room'!$B$3,'Control Room'!$D$3="Ready"),8&lt;='Control Room'!$B$2),ROUND(MAX(0,'Process'!AN576*'Control Room'!$H$11*INDEX('Control Room'!$B$19:$H$19,1,WEEKDAY($A576,2))*(1+'Control Room'!$D$9)^574*'Process'!AO576),2),"")</x:f>
      </x:c>
      <x:c r="K576" s="16" t="str">
        <x:f>IF(AND(AND(575&lt;='Control Room'!$B$3,'Control Room'!$D$3="Ready"),9&lt;='Control Room'!$B$2),ROUND(MAX(0,'Process'!AS576*'Control Room'!$H$12*INDEX('Control Room'!$B$19:$H$19,1,WEEKDAY($A576,2))*(1+'Control Room'!$D$9)^574*'Process'!AT576),2),"")</x:f>
      </x:c>
      <x:c r="L576" s="16" t="str">
        <x:f>IF(AND(AND(575&lt;='Control Room'!$B$3,'Control Room'!$D$3="Ready"),10&lt;='Control Room'!$B$2),ROUND(MAX(0,'Process'!AX576*'Control Room'!$H$13*INDEX('Control Room'!$B$19:$H$19,1,WEEKDAY($A576,2))*(1+'Control Room'!$D$9)^574*'Process'!AY576),2),"")</x:f>
      </x:c>
      <x:c r="M576" s="16" t="str">
        <x:f>IF(AND(AND(575&lt;='Control Room'!$B$3,'Control Room'!$D$3="Ready"),11&lt;='Control Room'!$B$2),ROUND(MAX(0,'Process'!BC576*'Control Room'!$H$14*INDEX('Control Room'!$B$19:$H$19,1,WEEKDAY($A576,2))*(1+'Control Room'!$D$9)^574*'Process'!BD576),2),"")</x:f>
      </x:c>
      <x:c r="N576" s="16" t="str">
        <x:f>IF(AND(AND(575&lt;='Control Room'!$B$3,'Control Room'!$D$3="Ready"),12&lt;='Control Room'!$B$2),ROUND(MAX(0,'Process'!BH576*'Control Room'!$H$15*INDEX('Control Room'!$B$19:$H$19,1,WEEKDAY($A576,2))*(1+'Control Room'!$D$9)^574*'Process'!BI576),2),"")</x:f>
      </x:c>
    </x:row>
    <x:row r="577" ht="21" customHeight="1">
      <x:c r="A577" s="15" t="str">
        <x:f>IF(AND(576&lt;='Control Room'!$B$3,'Control Room'!$D$3="Ready"),'Process'!A577,"")</x:f>
      </x:c>
      <x:c r="B577" s="16" t="str">
        <x:f>IF(A577="","",SUM(C577:N577))</x:f>
      </x:c>
      <x:c r="C577" s="16" t="str">
        <x:f>IF(AND(AND(576&lt;='Control Room'!$B$3,'Control Room'!$D$3="Ready"),1&lt;='Control Room'!$B$2),ROUND(MAX(0,'Process'!E577*'Control Room'!$H$4*INDEX('Control Room'!$B$19:$H$19,1,WEEKDAY($A577,2))*(1+'Control Room'!$D$9)^575*'Process'!F577),2),"")</x:f>
      </x:c>
      <x:c r="D577" s="16" t="str">
        <x:f>IF(AND(AND(576&lt;='Control Room'!$B$3,'Control Room'!$D$3="Ready"),2&lt;='Control Room'!$B$2),ROUND(MAX(0,'Process'!J577*'Control Room'!$H$5*INDEX('Control Room'!$B$19:$H$19,1,WEEKDAY($A577,2))*(1+'Control Room'!$D$9)^575*'Process'!K577),2),"")</x:f>
      </x:c>
      <x:c r="E577" s="16" t="str">
        <x:f>IF(AND(AND(576&lt;='Control Room'!$B$3,'Control Room'!$D$3="Ready"),3&lt;='Control Room'!$B$2),ROUND(MAX(0,'Process'!O577*'Control Room'!$H$6*INDEX('Control Room'!$B$19:$H$19,1,WEEKDAY($A577,2))*(1+'Control Room'!$D$9)^575*'Process'!P577),2),"")</x:f>
      </x:c>
      <x:c r="F577" s="16" t="str">
        <x:f>IF(AND(AND(576&lt;='Control Room'!$B$3,'Control Room'!$D$3="Ready"),4&lt;='Control Room'!$B$2),ROUND(MAX(0,'Process'!T577*'Control Room'!$H$7*INDEX('Control Room'!$B$19:$H$19,1,WEEKDAY($A577,2))*(1+'Control Room'!$D$9)^575*'Process'!U577),2),"")</x:f>
      </x:c>
      <x:c r="G577" s="16" t="str">
        <x:f>IF(AND(AND(576&lt;='Control Room'!$B$3,'Control Room'!$D$3="Ready"),5&lt;='Control Room'!$B$2),ROUND(MAX(0,'Process'!Y577*'Control Room'!$H$8*INDEX('Control Room'!$B$19:$H$19,1,WEEKDAY($A577,2))*(1+'Control Room'!$D$9)^575*'Process'!Z577),2),"")</x:f>
      </x:c>
      <x:c r="H577" s="16" t="str">
        <x:f>IF(AND(AND(576&lt;='Control Room'!$B$3,'Control Room'!$D$3="Ready"),6&lt;='Control Room'!$B$2),ROUND(MAX(0,'Process'!AD577*'Control Room'!$H$9*INDEX('Control Room'!$B$19:$H$19,1,WEEKDAY($A577,2))*(1+'Control Room'!$D$9)^575*'Process'!AE577),2),"")</x:f>
      </x:c>
      <x:c r="I577" s="16" t="str">
        <x:f>IF(AND(AND(576&lt;='Control Room'!$B$3,'Control Room'!$D$3="Ready"),7&lt;='Control Room'!$B$2),ROUND(MAX(0,'Process'!AI577*'Control Room'!$H$10*INDEX('Control Room'!$B$19:$H$19,1,WEEKDAY($A577,2))*(1+'Control Room'!$D$9)^575*'Process'!AJ577),2),"")</x:f>
      </x:c>
      <x:c r="J577" s="16" t="str">
        <x:f>IF(AND(AND(576&lt;='Control Room'!$B$3,'Control Room'!$D$3="Ready"),8&lt;='Control Room'!$B$2),ROUND(MAX(0,'Process'!AN577*'Control Room'!$H$11*INDEX('Control Room'!$B$19:$H$19,1,WEEKDAY($A577,2))*(1+'Control Room'!$D$9)^575*'Process'!AO577),2),"")</x:f>
      </x:c>
      <x:c r="K577" s="16" t="str">
        <x:f>IF(AND(AND(576&lt;='Control Room'!$B$3,'Control Room'!$D$3="Ready"),9&lt;='Control Room'!$B$2),ROUND(MAX(0,'Process'!AS577*'Control Room'!$H$12*INDEX('Control Room'!$B$19:$H$19,1,WEEKDAY($A577,2))*(1+'Control Room'!$D$9)^575*'Process'!AT577),2),"")</x:f>
      </x:c>
      <x:c r="L577" s="16" t="str">
        <x:f>IF(AND(AND(576&lt;='Control Room'!$B$3,'Control Room'!$D$3="Ready"),10&lt;='Control Room'!$B$2),ROUND(MAX(0,'Process'!AX577*'Control Room'!$H$13*INDEX('Control Room'!$B$19:$H$19,1,WEEKDAY($A577,2))*(1+'Control Room'!$D$9)^575*'Process'!AY577),2),"")</x:f>
      </x:c>
      <x:c r="M577" s="16" t="str">
        <x:f>IF(AND(AND(576&lt;='Control Room'!$B$3,'Control Room'!$D$3="Ready"),11&lt;='Control Room'!$B$2),ROUND(MAX(0,'Process'!BC577*'Control Room'!$H$14*INDEX('Control Room'!$B$19:$H$19,1,WEEKDAY($A577,2))*(1+'Control Room'!$D$9)^575*'Process'!BD577),2),"")</x:f>
      </x:c>
      <x:c r="N577" s="16" t="str">
        <x:f>IF(AND(AND(576&lt;='Control Room'!$B$3,'Control Room'!$D$3="Ready"),12&lt;='Control Room'!$B$2),ROUND(MAX(0,'Process'!BH577*'Control Room'!$H$15*INDEX('Control Room'!$B$19:$H$19,1,WEEKDAY($A577,2))*(1+'Control Room'!$D$9)^575*'Process'!BI577),2),"")</x:f>
      </x:c>
    </x:row>
    <x:row r="578" ht="21" customHeight="1">
      <x:c r="A578" s="15" t="str">
        <x:f>IF(AND(577&lt;='Control Room'!$B$3,'Control Room'!$D$3="Ready"),'Process'!A578,"")</x:f>
      </x:c>
      <x:c r="B578" s="16" t="str">
        <x:f>IF(A578="","",SUM(C578:N578))</x:f>
      </x:c>
      <x:c r="C578" s="16" t="str">
        <x:f>IF(AND(AND(577&lt;='Control Room'!$B$3,'Control Room'!$D$3="Ready"),1&lt;='Control Room'!$B$2),ROUND(MAX(0,'Process'!E578*'Control Room'!$H$4*INDEX('Control Room'!$B$19:$H$19,1,WEEKDAY($A578,2))*(1+'Control Room'!$D$9)^576*'Process'!F578),2),"")</x:f>
      </x:c>
      <x:c r="D578" s="16" t="str">
        <x:f>IF(AND(AND(577&lt;='Control Room'!$B$3,'Control Room'!$D$3="Ready"),2&lt;='Control Room'!$B$2),ROUND(MAX(0,'Process'!J578*'Control Room'!$H$5*INDEX('Control Room'!$B$19:$H$19,1,WEEKDAY($A578,2))*(1+'Control Room'!$D$9)^576*'Process'!K578),2),"")</x:f>
      </x:c>
      <x:c r="E578" s="16" t="str">
        <x:f>IF(AND(AND(577&lt;='Control Room'!$B$3,'Control Room'!$D$3="Ready"),3&lt;='Control Room'!$B$2),ROUND(MAX(0,'Process'!O578*'Control Room'!$H$6*INDEX('Control Room'!$B$19:$H$19,1,WEEKDAY($A578,2))*(1+'Control Room'!$D$9)^576*'Process'!P578),2),"")</x:f>
      </x:c>
      <x:c r="F578" s="16" t="str">
        <x:f>IF(AND(AND(577&lt;='Control Room'!$B$3,'Control Room'!$D$3="Ready"),4&lt;='Control Room'!$B$2),ROUND(MAX(0,'Process'!T578*'Control Room'!$H$7*INDEX('Control Room'!$B$19:$H$19,1,WEEKDAY($A578,2))*(1+'Control Room'!$D$9)^576*'Process'!U578),2),"")</x:f>
      </x:c>
      <x:c r="G578" s="16" t="str">
        <x:f>IF(AND(AND(577&lt;='Control Room'!$B$3,'Control Room'!$D$3="Ready"),5&lt;='Control Room'!$B$2),ROUND(MAX(0,'Process'!Y578*'Control Room'!$H$8*INDEX('Control Room'!$B$19:$H$19,1,WEEKDAY($A578,2))*(1+'Control Room'!$D$9)^576*'Process'!Z578),2),"")</x:f>
      </x:c>
      <x:c r="H578" s="16" t="str">
        <x:f>IF(AND(AND(577&lt;='Control Room'!$B$3,'Control Room'!$D$3="Ready"),6&lt;='Control Room'!$B$2),ROUND(MAX(0,'Process'!AD578*'Control Room'!$H$9*INDEX('Control Room'!$B$19:$H$19,1,WEEKDAY($A578,2))*(1+'Control Room'!$D$9)^576*'Process'!AE578),2),"")</x:f>
      </x:c>
      <x:c r="I578" s="16" t="str">
        <x:f>IF(AND(AND(577&lt;='Control Room'!$B$3,'Control Room'!$D$3="Ready"),7&lt;='Control Room'!$B$2),ROUND(MAX(0,'Process'!AI578*'Control Room'!$H$10*INDEX('Control Room'!$B$19:$H$19,1,WEEKDAY($A578,2))*(1+'Control Room'!$D$9)^576*'Process'!AJ578),2),"")</x:f>
      </x:c>
      <x:c r="J578" s="16" t="str">
        <x:f>IF(AND(AND(577&lt;='Control Room'!$B$3,'Control Room'!$D$3="Ready"),8&lt;='Control Room'!$B$2),ROUND(MAX(0,'Process'!AN578*'Control Room'!$H$11*INDEX('Control Room'!$B$19:$H$19,1,WEEKDAY($A578,2))*(1+'Control Room'!$D$9)^576*'Process'!AO578),2),"")</x:f>
      </x:c>
      <x:c r="K578" s="16" t="str">
        <x:f>IF(AND(AND(577&lt;='Control Room'!$B$3,'Control Room'!$D$3="Ready"),9&lt;='Control Room'!$B$2),ROUND(MAX(0,'Process'!AS578*'Control Room'!$H$12*INDEX('Control Room'!$B$19:$H$19,1,WEEKDAY($A578,2))*(1+'Control Room'!$D$9)^576*'Process'!AT578),2),"")</x:f>
      </x:c>
      <x:c r="L578" s="16" t="str">
        <x:f>IF(AND(AND(577&lt;='Control Room'!$B$3,'Control Room'!$D$3="Ready"),10&lt;='Control Room'!$B$2),ROUND(MAX(0,'Process'!AX578*'Control Room'!$H$13*INDEX('Control Room'!$B$19:$H$19,1,WEEKDAY($A578,2))*(1+'Control Room'!$D$9)^576*'Process'!AY578),2),"")</x:f>
      </x:c>
      <x:c r="M578" s="16" t="str">
        <x:f>IF(AND(AND(577&lt;='Control Room'!$B$3,'Control Room'!$D$3="Ready"),11&lt;='Control Room'!$B$2),ROUND(MAX(0,'Process'!BC578*'Control Room'!$H$14*INDEX('Control Room'!$B$19:$H$19,1,WEEKDAY($A578,2))*(1+'Control Room'!$D$9)^576*'Process'!BD578),2),"")</x:f>
      </x:c>
      <x:c r="N578" s="16" t="str">
        <x:f>IF(AND(AND(577&lt;='Control Room'!$B$3,'Control Room'!$D$3="Ready"),12&lt;='Control Room'!$B$2),ROUND(MAX(0,'Process'!BH578*'Control Room'!$H$15*INDEX('Control Room'!$B$19:$H$19,1,WEEKDAY($A578,2))*(1+'Control Room'!$D$9)^576*'Process'!BI578),2),"")</x:f>
      </x:c>
    </x:row>
    <x:row r="579" ht="21" customHeight="1">
      <x:c r="A579" s="15" t="str">
        <x:f>IF(AND(578&lt;='Control Room'!$B$3,'Control Room'!$D$3="Ready"),'Process'!A579,"")</x:f>
      </x:c>
      <x:c r="B579" s="16" t="str">
        <x:f>IF(A579="","",SUM(C579:N579))</x:f>
      </x:c>
      <x:c r="C579" s="16" t="str">
        <x:f>IF(AND(AND(578&lt;='Control Room'!$B$3,'Control Room'!$D$3="Ready"),1&lt;='Control Room'!$B$2),ROUND(MAX(0,'Process'!E579*'Control Room'!$H$4*INDEX('Control Room'!$B$19:$H$19,1,WEEKDAY($A579,2))*(1+'Control Room'!$D$9)^577*'Process'!F579),2),"")</x:f>
      </x:c>
      <x:c r="D579" s="16" t="str">
        <x:f>IF(AND(AND(578&lt;='Control Room'!$B$3,'Control Room'!$D$3="Ready"),2&lt;='Control Room'!$B$2),ROUND(MAX(0,'Process'!J579*'Control Room'!$H$5*INDEX('Control Room'!$B$19:$H$19,1,WEEKDAY($A579,2))*(1+'Control Room'!$D$9)^577*'Process'!K579),2),"")</x:f>
      </x:c>
      <x:c r="E579" s="16" t="str">
        <x:f>IF(AND(AND(578&lt;='Control Room'!$B$3,'Control Room'!$D$3="Ready"),3&lt;='Control Room'!$B$2),ROUND(MAX(0,'Process'!O579*'Control Room'!$H$6*INDEX('Control Room'!$B$19:$H$19,1,WEEKDAY($A579,2))*(1+'Control Room'!$D$9)^577*'Process'!P579),2),"")</x:f>
      </x:c>
      <x:c r="F579" s="16" t="str">
        <x:f>IF(AND(AND(578&lt;='Control Room'!$B$3,'Control Room'!$D$3="Ready"),4&lt;='Control Room'!$B$2),ROUND(MAX(0,'Process'!T579*'Control Room'!$H$7*INDEX('Control Room'!$B$19:$H$19,1,WEEKDAY($A579,2))*(1+'Control Room'!$D$9)^577*'Process'!U579),2),"")</x:f>
      </x:c>
      <x:c r="G579" s="16" t="str">
        <x:f>IF(AND(AND(578&lt;='Control Room'!$B$3,'Control Room'!$D$3="Ready"),5&lt;='Control Room'!$B$2),ROUND(MAX(0,'Process'!Y579*'Control Room'!$H$8*INDEX('Control Room'!$B$19:$H$19,1,WEEKDAY($A579,2))*(1+'Control Room'!$D$9)^577*'Process'!Z579),2),"")</x:f>
      </x:c>
      <x:c r="H579" s="16" t="str">
        <x:f>IF(AND(AND(578&lt;='Control Room'!$B$3,'Control Room'!$D$3="Ready"),6&lt;='Control Room'!$B$2),ROUND(MAX(0,'Process'!AD579*'Control Room'!$H$9*INDEX('Control Room'!$B$19:$H$19,1,WEEKDAY($A579,2))*(1+'Control Room'!$D$9)^577*'Process'!AE579),2),"")</x:f>
      </x:c>
      <x:c r="I579" s="16" t="str">
        <x:f>IF(AND(AND(578&lt;='Control Room'!$B$3,'Control Room'!$D$3="Ready"),7&lt;='Control Room'!$B$2),ROUND(MAX(0,'Process'!AI579*'Control Room'!$H$10*INDEX('Control Room'!$B$19:$H$19,1,WEEKDAY($A579,2))*(1+'Control Room'!$D$9)^577*'Process'!AJ579),2),"")</x:f>
      </x:c>
      <x:c r="J579" s="16" t="str">
        <x:f>IF(AND(AND(578&lt;='Control Room'!$B$3,'Control Room'!$D$3="Ready"),8&lt;='Control Room'!$B$2),ROUND(MAX(0,'Process'!AN579*'Control Room'!$H$11*INDEX('Control Room'!$B$19:$H$19,1,WEEKDAY($A579,2))*(1+'Control Room'!$D$9)^577*'Process'!AO579),2),"")</x:f>
      </x:c>
      <x:c r="K579" s="16" t="str">
        <x:f>IF(AND(AND(578&lt;='Control Room'!$B$3,'Control Room'!$D$3="Ready"),9&lt;='Control Room'!$B$2),ROUND(MAX(0,'Process'!AS579*'Control Room'!$H$12*INDEX('Control Room'!$B$19:$H$19,1,WEEKDAY($A579,2))*(1+'Control Room'!$D$9)^577*'Process'!AT579),2),"")</x:f>
      </x:c>
      <x:c r="L579" s="16" t="str">
        <x:f>IF(AND(AND(578&lt;='Control Room'!$B$3,'Control Room'!$D$3="Ready"),10&lt;='Control Room'!$B$2),ROUND(MAX(0,'Process'!AX579*'Control Room'!$H$13*INDEX('Control Room'!$B$19:$H$19,1,WEEKDAY($A579,2))*(1+'Control Room'!$D$9)^577*'Process'!AY579),2),"")</x:f>
      </x:c>
      <x:c r="M579" s="16" t="str">
        <x:f>IF(AND(AND(578&lt;='Control Room'!$B$3,'Control Room'!$D$3="Ready"),11&lt;='Control Room'!$B$2),ROUND(MAX(0,'Process'!BC579*'Control Room'!$H$14*INDEX('Control Room'!$B$19:$H$19,1,WEEKDAY($A579,2))*(1+'Control Room'!$D$9)^577*'Process'!BD579),2),"")</x:f>
      </x:c>
      <x:c r="N579" s="16" t="str">
        <x:f>IF(AND(AND(578&lt;='Control Room'!$B$3,'Control Room'!$D$3="Ready"),12&lt;='Control Room'!$B$2),ROUND(MAX(0,'Process'!BH579*'Control Room'!$H$15*INDEX('Control Room'!$B$19:$H$19,1,WEEKDAY($A579,2))*(1+'Control Room'!$D$9)^577*'Process'!BI579),2),"")</x:f>
      </x:c>
    </x:row>
    <x:row r="580" ht="21" customHeight="1">
      <x:c r="A580" s="15" t="str">
        <x:f>IF(AND(579&lt;='Control Room'!$B$3,'Control Room'!$D$3="Ready"),'Process'!A580,"")</x:f>
      </x:c>
      <x:c r="B580" s="16" t="str">
        <x:f>IF(A580="","",SUM(C580:N580))</x:f>
      </x:c>
      <x:c r="C580" s="16" t="str">
        <x:f>IF(AND(AND(579&lt;='Control Room'!$B$3,'Control Room'!$D$3="Ready"),1&lt;='Control Room'!$B$2),ROUND(MAX(0,'Process'!E580*'Control Room'!$H$4*INDEX('Control Room'!$B$19:$H$19,1,WEEKDAY($A580,2))*(1+'Control Room'!$D$9)^578*'Process'!F580),2),"")</x:f>
      </x:c>
      <x:c r="D580" s="16" t="str">
        <x:f>IF(AND(AND(579&lt;='Control Room'!$B$3,'Control Room'!$D$3="Ready"),2&lt;='Control Room'!$B$2),ROUND(MAX(0,'Process'!J580*'Control Room'!$H$5*INDEX('Control Room'!$B$19:$H$19,1,WEEKDAY($A580,2))*(1+'Control Room'!$D$9)^578*'Process'!K580),2),"")</x:f>
      </x:c>
      <x:c r="E580" s="16" t="str">
        <x:f>IF(AND(AND(579&lt;='Control Room'!$B$3,'Control Room'!$D$3="Ready"),3&lt;='Control Room'!$B$2),ROUND(MAX(0,'Process'!O580*'Control Room'!$H$6*INDEX('Control Room'!$B$19:$H$19,1,WEEKDAY($A580,2))*(1+'Control Room'!$D$9)^578*'Process'!P580),2),"")</x:f>
      </x:c>
      <x:c r="F580" s="16" t="str">
        <x:f>IF(AND(AND(579&lt;='Control Room'!$B$3,'Control Room'!$D$3="Ready"),4&lt;='Control Room'!$B$2),ROUND(MAX(0,'Process'!T580*'Control Room'!$H$7*INDEX('Control Room'!$B$19:$H$19,1,WEEKDAY($A580,2))*(1+'Control Room'!$D$9)^578*'Process'!U580),2),"")</x:f>
      </x:c>
      <x:c r="G580" s="16" t="str">
        <x:f>IF(AND(AND(579&lt;='Control Room'!$B$3,'Control Room'!$D$3="Ready"),5&lt;='Control Room'!$B$2),ROUND(MAX(0,'Process'!Y580*'Control Room'!$H$8*INDEX('Control Room'!$B$19:$H$19,1,WEEKDAY($A580,2))*(1+'Control Room'!$D$9)^578*'Process'!Z580),2),"")</x:f>
      </x:c>
      <x:c r="H580" s="16" t="str">
        <x:f>IF(AND(AND(579&lt;='Control Room'!$B$3,'Control Room'!$D$3="Ready"),6&lt;='Control Room'!$B$2),ROUND(MAX(0,'Process'!AD580*'Control Room'!$H$9*INDEX('Control Room'!$B$19:$H$19,1,WEEKDAY($A580,2))*(1+'Control Room'!$D$9)^578*'Process'!AE580),2),"")</x:f>
      </x:c>
      <x:c r="I580" s="16" t="str">
        <x:f>IF(AND(AND(579&lt;='Control Room'!$B$3,'Control Room'!$D$3="Ready"),7&lt;='Control Room'!$B$2),ROUND(MAX(0,'Process'!AI580*'Control Room'!$H$10*INDEX('Control Room'!$B$19:$H$19,1,WEEKDAY($A580,2))*(1+'Control Room'!$D$9)^578*'Process'!AJ580),2),"")</x:f>
      </x:c>
      <x:c r="J580" s="16" t="str">
        <x:f>IF(AND(AND(579&lt;='Control Room'!$B$3,'Control Room'!$D$3="Ready"),8&lt;='Control Room'!$B$2),ROUND(MAX(0,'Process'!AN580*'Control Room'!$H$11*INDEX('Control Room'!$B$19:$H$19,1,WEEKDAY($A580,2))*(1+'Control Room'!$D$9)^578*'Process'!AO580),2),"")</x:f>
      </x:c>
      <x:c r="K580" s="16" t="str">
        <x:f>IF(AND(AND(579&lt;='Control Room'!$B$3,'Control Room'!$D$3="Ready"),9&lt;='Control Room'!$B$2),ROUND(MAX(0,'Process'!AS580*'Control Room'!$H$12*INDEX('Control Room'!$B$19:$H$19,1,WEEKDAY($A580,2))*(1+'Control Room'!$D$9)^578*'Process'!AT580),2),"")</x:f>
      </x:c>
      <x:c r="L580" s="16" t="str">
        <x:f>IF(AND(AND(579&lt;='Control Room'!$B$3,'Control Room'!$D$3="Ready"),10&lt;='Control Room'!$B$2),ROUND(MAX(0,'Process'!AX580*'Control Room'!$H$13*INDEX('Control Room'!$B$19:$H$19,1,WEEKDAY($A580,2))*(1+'Control Room'!$D$9)^578*'Process'!AY580),2),"")</x:f>
      </x:c>
      <x:c r="M580" s="16" t="str">
        <x:f>IF(AND(AND(579&lt;='Control Room'!$B$3,'Control Room'!$D$3="Ready"),11&lt;='Control Room'!$B$2),ROUND(MAX(0,'Process'!BC580*'Control Room'!$H$14*INDEX('Control Room'!$B$19:$H$19,1,WEEKDAY($A580,2))*(1+'Control Room'!$D$9)^578*'Process'!BD580),2),"")</x:f>
      </x:c>
      <x:c r="N580" s="16" t="str">
        <x:f>IF(AND(AND(579&lt;='Control Room'!$B$3,'Control Room'!$D$3="Ready"),12&lt;='Control Room'!$B$2),ROUND(MAX(0,'Process'!BH580*'Control Room'!$H$15*INDEX('Control Room'!$B$19:$H$19,1,WEEKDAY($A580,2))*(1+'Control Room'!$D$9)^578*'Process'!BI580),2),"")</x:f>
      </x:c>
    </x:row>
    <x:row r="581" ht="21" customHeight="1">
      <x:c r="A581" s="15" t="str">
        <x:f>IF(AND(580&lt;='Control Room'!$B$3,'Control Room'!$D$3="Ready"),'Process'!A581,"")</x:f>
      </x:c>
      <x:c r="B581" s="16" t="str">
        <x:f>IF(A581="","",SUM(C581:N581))</x:f>
      </x:c>
      <x:c r="C581" s="16" t="str">
        <x:f>IF(AND(AND(580&lt;='Control Room'!$B$3,'Control Room'!$D$3="Ready"),1&lt;='Control Room'!$B$2),ROUND(MAX(0,'Process'!E581*'Control Room'!$H$4*INDEX('Control Room'!$B$19:$H$19,1,WEEKDAY($A581,2))*(1+'Control Room'!$D$9)^579*'Process'!F581),2),"")</x:f>
      </x:c>
      <x:c r="D581" s="16" t="str">
        <x:f>IF(AND(AND(580&lt;='Control Room'!$B$3,'Control Room'!$D$3="Ready"),2&lt;='Control Room'!$B$2),ROUND(MAX(0,'Process'!J581*'Control Room'!$H$5*INDEX('Control Room'!$B$19:$H$19,1,WEEKDAY($A581,2))*(1+'Control Room'!$D$9)^579*'Process'!K581),2),"")</x:f>
      </x:c>
      <x:c r="E581" s="16" t="str">
        <x:f>IF(AND(AND(580&lt;='Control Room'!$B$3,'Control Room'!$D$3="Ready"),3&lt;='Control Room'!$B$2),ROUND(MAX(0,'Process'!O581*'Control Room'!$H$6*INDEX('Control Room'!$B$19:$H$19,1,WEEKDAY($A581,2))*(1+'Control Room'!$D$9)^579*'Process'!P581),2),"")</x:f>
      </x:c>
      <x:c r="F581" s="16" t="str">
        <x:f>IF(AND(AND(580&lt;='Control Room'!$B$3,'Control Room'!$D$3="Ready"),4&lt;='Control Room'!$B$2),ROUND(MAX(0,'Process'!T581*'Control Room'!$H$7*INDEX('Control Room'!$B$19:$H$19,1,WEEKDAY($A581,2))*(1+'Control Room'!$D$9)^579*'Process'!U581),2),"")</x:f>
      </x:c>
      <x:c r="G581" s="16" t="str">
        <x:f>IF(AND(AND(580&lt;='Control Room'!$B$3,'Control Room'!$D$3="Ready"),5&lt;='Control Room'!$B$2),ROUND(MAX(0,'Process'!Y581*'Control Room'!$H$8*INDEX('Control Room'!$B$19:$H$19,1,WEEKDAY($A581,2))*(1+'Control Room'!$D$9)^579*'Process'!Z581),2),"")</x:f>
      </x:c>
      <x:c r="H581" s="16" t="str">
        <x:f>IF(AND(AND(580&lt;='Control Room'!$B$3,'Control Room'!$D$3="Ready"),6&lt;='Control Room'!$B$2),ROUND(MAX(0,'Process'!AD581*'Control Room'!$H$9*INDEX('Control Room'!$B$19:$H$19,1,WEEKDAY($A581,2))*(1+'Control Room'!$D$9)^579*'Process'!AE581),2),"")</x:f>
      </x:c>
      <x:c r="I581" s="16" t="str">
        <x:f>IF(AND(AND(580&lt;='Control Room'!$B$3,'Control Room'!$D$3="Ready"),7&lt;='Control Room'!$B$2),ROUND(MAX(0,'Process'!AI581*'Control Room'!$H$10*INDEX('Control Room'!$B$19:$H$19,1,WEEKDAY($A581,2))*(1+'Control Room'!$D$9)^579*'Process'!AJ581),2),"")</x:f>
      </x:c>
      <x:c r="J581" s="16" t="str">
        <x:f>IF(AND(AND(580&lt;='Control Room'!$B$3,'Control Room'!$D$3="Ready"),8&lt;='Control Room'!$B$2),ROUND(MAX(0,'Process'!AN581*'Control Room'!$H$11*INDEX('Control Room'!$B$19:$H$19,1,WEEKDAY($A581,2))*(1+'Control Room'!$D$9)^579*'Process'!AO581),2),"")</x:f>
      </x:c>
      <x:c r="K581" s="16" t="str">
        <x:f>IF(AND(AND(580&lt;='Control Room'!$B$3,'Control Room'!$D$3="Ready"),9&lt;='Control Room'!$B$2),ROUND(MAX(0,'Process'!AS581*'Control Room'!$H$12*INDEX('Control Room'!$B$19:$H$19,1,WEEKDAY($A581,2))*(1+'Control Room'!$D$9)^579*'Process'!AT581),2),"")</x:f>
      </x:c>
      <x:c r="L581" s="16" t="str">
        <x:f>IF(AND(AND(580&lt;='Control Room'!$B$3,'Control Room'!$D$3="Ready"),10&lt;='Control Room'!$B$2),ROUND(MAX(0,'Process'!AX581*'Control Room'!$H$13*INDEX('Control Room'!$B$19:$H$19,1,WEEKDAY($A581,2))*(1+'Control Room'!$D$9)^579*'Process'!AY581),2),"")</x:f>
      </x:c>
      <x:c r="M581" s="16" t="str">
        <x:f>IF(AND(AND(580&lt;='Control Room'!$B$3,'Control Room'!$D$3="Ready"),11&lt;='Control Room'!$B$2),ROUND(MAX(0,'Process'!BC581*'Control Room'!$H$14*INDEX('Control Room'!$B$19:$H$19,1,WEEKDAY($A581,2))*(1+'Control Room'!$D$9)^579*'Process'!BD581),2),"")</x:f>
      </x:c>
      <x:c r="N581" s="16" t="str">
        <x:f>IF(AND(AND(580&lt;='Control Room'!$B$3,'Control Room'!$D$3="Ready"),12&lt;='Control Room'!$B$2),ROUND(MAX(0,'Process'!BH581*'Control Room'!$H$15*INDEX('Control Room'!$B$19:$H$19,1,WEEKDAY($A581,2))*(1+'Control Room'!$D$9)^579*'Process'!BI581),2),"")</x:f>
      </x:c>
    </x:row>
    <x:row r="582" ht="21" customHeight="1">
      <x:c r="A582" s="15" t="str">
        <x:f>IF(AND(581&lt;='Control Room'!$B$3,'Control Room'!$D$3="Ready"),'Process'!A582,"")</x:f>
      </x:c>
      <x:c r="B582" s="16" t="str">
        <x:f>IF(A582="","",SUM(C582:N582))</x:f>
      </x:c>
      <x:c r="C582" s="16" t="str">
        <x:f>IF(AND(AND(581&lt;='Control Room'!$B$3,'Control Room'!$D$3="Ready"),1&lt;='Control Room'!$B$2),ROUND(MAX(0,'Process'!E582*'Control Room'!$H$4*INDEX('Control Room'!$B$19:$H$19,1,WEEKDAY($A582,2))*(1+'Control Room'!$D$9)^580*'Process'!F582),2),"")</x:f>
      </x:c>
      <x:c r="D582" s="16" t="str">
        <x:f>IF(AND(AND(581&lt;='Control Room'!$B$3,'Control Room'!$D$3="Ready"),2&lt;='Control Room'!$B$2),ROUND(MAX(0,'Process'!J582*'Control Room'!$H$5*INDEX('Control Room'!$B$19:$H$19,1,WEEKDAY($A582,2))*(1+'Control Room'!$D$9)^580*'Process'!K582),2),"")</x:f>
      </x:c>
      <x:c r="E582" s="16" t="str">
        <x:f>IF(AND(AND(581&lt;='Control Room'!$B$3,'Control Room'!$D$3="Ready"),3&lt;='Control Room'!$B$2),ROUND(MAX(0,'Process'!O582*'Control Room'!$H$6*INDEX('Control Room'!$B$19:$H$19,1,WEEKDAY($A582,2))*(1+'Control Room'!$D$9)^580*'Process'!P582),2),"")</x:f>
      </x:c>
      <x:c r="F582" s="16" t="str">
        <x:f>IF(AND(AND(581&lt;='Control Room'!$B$3,'Control Room'!$D$3="Ready"),4&lt;='Control Room'!$B$2),ROUND(MAX(0,'Process'!T582*'Control Room'!$H$7*INDEX('Control Room'!$B$19:$H$19,1,WEEKDAY($A582,2))*(1+'Control Room'!$D$9)^580*'Process'!U582),2),"")</x:f>
      </x:c>
      <x:c r="G582" s="16" t="str">
        <x:f>IF(AND(AND(581&lt;='Control Room'!$B$3,'Control Room'!$D$3="Ready"),5&lt;='Control Room'!$B$2),ROUND(MAX(0,'Process'!Y582*'Control Room'!$H$8*INDEX('Control Room'!$B$19:$H$19,1,WEEKDAY($A582,2))*(1+'Control Room'!$D$9)^580*'Process'!Z582),2),"")</x:f>
      </x:c>
      <x:c r="H582" s="16" t="str">
        <x:f>IF(AND(AND(581&lt;='Control Room'!$B$3,'Control Room'!$D$3="Ready"),6&lt;='Control Room'!$B$2),ROUND(MAX(0,'Process'!AD582*'Control Room'!$H$9*INDEX('Control Room'!$B$19:$H$19,1,WEEKDAY($A582,2))*(1+'Control Room'!$D$9)^580*'Process'!AE582),2),"")</x:f>
      </x:c>
      <x:c r="I582" s="16" t="str">
        <x:f>IF(AND(AND(581&lt;='Control Room'!$B$3,'Control Room'!$D$3="Ready"),7&lt;='Control Room'!$B$2),ROUND(MAX(0,'Process'!AI582*'Control Room'!$H$10*INDEX('Control Room'!$B$19:$H$19,1,WEEKDAY($A582,2))*(1+'Control Room'!$D$9)^580*'Process'!AJ582),2),"")</x:f>
      </x:c>
      <x:c r="J582" s="16" t="str">
        <x:f>IF(AND(AND(581&lt;='Control Room'!$B$3,'Control Room'!$D$3="Ready"),8&lt;='Control Room'!$B$2),ROUND(MAX(0,'Process'!AN582*'Control Room'!$H$11*INDEX('Control Room'!$B$19:$H$19,1,WEEKDAY($A582,2))*(1+'Control Room'!$D$9)^580*'Process'!AO582),2),"")</x:f>
      </x:c>
      <x:c r="K582" s="16" t="str">
        <x:f>IF(AND(AND(581&lt;='Control Room'!$B$3,'Control Room'!$D$3="Ready"),9&lt;='Control Room'!$B$2),ROUND(MAX(0,'Process'!AS582*'Control Room'!$H$12*INDEX('Control Room'!$B$19:$H$19,1,WEEKDAY($A582,2))*(1+'Control Room'!$D$9)^580*'Process'!AT582),2),"")</x:f>
      </x:c>
      <x:c r="L582" s="16" t="str">
        <x:f>IF(AND(AND(581&lt;='Control Room'!$B$3,'Control Room'!$D$3="Ready"),10&lt;='Control Room'!$B$2),ROUND(MAX(0,'Process'!AX582*'Control Room'!$H$13*INDEX('Control Room'!$B$19:$H$19,1,WEEKDAY($A582,2))*(1+'Control Room'!$D$9)^580*'Process'!AY582),2),"")</x:f>
      </x:c>
      <x:c r="M582" s="16" t="str">
        <x:f>IF(AND(AND(581&lt;='Control Room'!$B$3,'Control Room'!$D$3="Ready"),11&lt;='Control Room'!$B$2),ROUND(MAX(0,'Process'!BC582*'Control Room'!$H$14*INDEX('Control Room'!$B$19:$H$19,1,WEEKDAY($A582,2))*(1+'Control Room'!$D$9)^580*'Process'!BD582),2),"")</x:f>
      </x:c>
      <x:c r="N582" s="16" t="str">
        <x:f>IF(AND(AND(581&lt;='Control Room'!$B$3,'Control Room'!$D$3="Ready"),12&lt;='Control Room'!$B$2),ROUND(MAX(0,'Process'!BH582*'Control Room'!$H$15*INDEX('Control Room'!$B$19:$H$19,1,WEEKDAY($A582,2))*(1+'Control Room'!$D$9)^580*'Process'!BI582),2),"")</x:f>
      </x:c>
    </x:row>
    <x:row r="583" ht="21" customHeight="1">
      <x:c r="A583" s="15" t="str">
        <x:f>IF(AND(582&lt;='Control Room'!$B$3,'Control Room'!$D$3="Ready"),'Process'!A583,"")</x:f>
      </x:c>
      <x:c r="B583" s="16" t="str">
        <x:f>IF(A583="","",SUM(C583:N583))</x:f>
      </x:c>
      <x:c r="C583" s="16" t="str">
        <x:f>IF(AND(AND(582&lt;='Control Room'!$B$3,'Control Room'!$D$3="Ready"),1&lt;='Control Room'!$B$2),ROUND(MAX(0,'Process'!E583*'Control Room'!$H$4*INDEX('Control Room'!$B$19:$H$19,1,WEEKDAY($A583,2))*(1+'Control Room'!$D$9)^581*'Process'!F583),2),"")</x:f>
      </x:c>
      <x:c r="D583" s="16" t="str">
        <x:f>IF(AND(AND(582&lt;='Control Room'!$B$3,'Control Room'!$D$3="Ready"),2&lt;='Control Room'!$B$2),ROUND(MAX(0,'Process'!J583*'Control Room'!$H$5*INDEX('Control Room'!$B$19:$H$19,1,WEEKDAY($A583,2))*(1+'Control Room'!$D$9)^581*'Process'!K583),2),"")</x:f>
      </x:c>
      <x:c r="E583" s="16" t="str">
        <x:f>IF(AND(AND(582&lt;='Control Room'!$B$3,'Control Room'!$D$3="Ready"),3&lt;='Control Room'!$B$2),ROUND(MAX(0,'Process'!O583*'Control Room'!$H$6*INDEX('Control Room'!$B$19:$H$19,1,WEEKDAY($A583,2))*(1+'Control Room'!$D$9)^581*'Process'!P583),2),"")</x:f>
      </x:c>
      <x:c r="F583" s="16" t="str">
        <x:f>IF(AND(AND(582&lt;='Control Room'!$B$3,'Control Room'!$D$3="Ready"),4&lt;='Control Room'!$B$2),ROUND(MAX(0,'Process'!T583*'Control Room'!$H$7*INDEX('Control Room'!$B$19:$H$19,1,WEEKDAY($A583,2))*(1+'Control Room'!$D$9)^581*'Process'!U583),2),"")</x:f>
      </x:c>
      <x:c r="G583" s="16" t="str">
        <x:f>IF(AND(AND(582&lt;='Control Room'!$B$3,'Control Room'!$D$3="Ready"),5&lt;='Control Room'!$B$2),ROUND(MAX(0,'Process'!Y583*'Control Room'!$H$8*INDEX('Control Room'!$B$19:$H$19,1,WEEKDAY($A583,2))*(1+'Control Room'!$D$9)^581*'Process'!Z583),2),"")</x:f>
      </x:c>
      <x:c r="H583" s="16" t="str">
        <x:f>IF(AND(AND(582&lt;='Control Room'!$B$3,'Control Room'!$D$3="Ready"),6&lt;='Control Room'!$B$2),ROUND(MAX(0,'Process'!AD583*'Control Room'!$H$9*INDEX('Control Room'!$B$19:$H$19,1,WEEKDAY($A583,2))*(1+'Control Room'!$D$9)^581*'Process'!AE583),2),"")</x:f>
      </x:c>
      <x:c r="I583" s="16" t="str">
        <x:f>IF(AND(AND(582&lt;='Control Room'!$B$3,'Control Room'!$D$3="Ready"),7&lt;='Control Room'!$B$2),ROUND(MAX(0,'Process'!AI583*'Control Room'!$H$10*INDEX('Control Room'!$B$19:$H$19,1,WEEKDAY($A583,2))*(1+'Control Room'!$D$9)^581*'Process'!AJ583),2),"")</x:f>
      </x:c>
      <x:c r="J583" s="16" t="str">
        <x:f>IF(AND(AND(582&lt;='Control Room'!$B$3,'Control Room'!$D$3="Ready"),8&lt;='Control Room'!$B$2),ROUND(MAX(0,'Process'!AN583*'Control Room'!$H$11*INDEX('Control Room'!$B$19:$H$19,1,WEEKDAY($A583,2))*(1+'Control Room'!$D$9)^581*'Process'!AO583),2),"")</x:f>
      </x:c>
      <x:c r="K583" s="16" t="str">
        <x:f>IF(AND(AND(582&lt;='Control Room'!$B$3,'Control Room'!$D$3="Ready"),9&lt;='Control Room'!$B$2),ROUND(MAX(0,'Process'!AS583*'Control Room'!$H$12*INDEX('Control Room'!$B$19:$H$19,1,WEEKDAY($A583,2))*(1+'Control Room'!$D$9)^581*'Process'!AT583),2),"")</x:f>
      </x:c>
      <x:c r="L583" s="16" t="str">
        <x:f>IF(AND(AND(582&lt;='Control Room'!$B$3,'Control Room'!$D$3="Ready"),10&lt;='Control Room'!$B$2),ROUND(MAX(0,'Process'!AX583*'Control Room'!$H$13*INDEX('Control Room'!$B$19:$H$19,1,WEEKDAY($A583,2))*(1+'Control Room'!$D$9)^581*'Process'!AY583),2),"")</x:f>
      </x:c>
      <x:c r="M583" s="16" t="str">
        <x:f>IF(AND(AND(582&lt;='Control Room'!$B$3,'Control Room'!$D$3="Ready"),11&lt;='Control Room'!$B$2),ROUND(MAX(0,'Process'!BC583*'Control Room'!$H$14*INDEX('Control Room'!$B$19:$H$19,1,WEEKDAY($A583,2))*(1+'Control Room'!$D$9)^581*'Process'!BD583),2),"")</x:f>
      </x:c>
      <x:c r="N583" s="16" t="str">
        <x:f>IF(AND(AND(582&lt;='Control Room'!$B$3,'Control Room'!$D$3="Ready"),12&lt;='Control Room'!$B$2),ROUND(MAX(0,'Process'!BH583*'Control Room'!$H$15*INDEX('Control Room'!$B$19:$H$19,1,WEEKDAY($A583,2))*(1+'Control Room'!$D$9)^581*'Process'!BI583),2),"")</x:f>
      </x:c>
    </x:row>
    <x:row r="584" ht="21" customHeight="1">
      <x:c r="A584" s="15" t="str">
        <x:f>IF(AND(583&lt;='Control Room'!$B$3,'Control Room'!$D$3="Ready"),'Process'!A584,"")</x:f>
      </x:c>
      <x:c r="B584" s="16" t="str">
        <x:f>IF(A584="","",SUM(C584:N584))</x:f>
      </x:c>
      <x:c r="C584" s="16" t="str">
        <x:f>IF(AND(AND(583&lt;='Control Room'!$B$3,'Control Room'!$D$3="Ready"),1&lt;='Control Room'!$B$2),ROUND(MAX(0,'Process'!E584*'Control Room'!$H$4*INDEX('Control Room'!$B$19:$H$19,1,WEEKDAY($A584,2))*(1+'Control Room'!$D$9)^582*'Process'!F584),2),"")</x:f>
      </x:c>
      <x:c r="D584" s="16" t="str">
        <x:f>IF(AND(AND(583&lt;='Control Room'!$B$3,'Control Room'!$D$3="Ready"),2&lt;='Control Room'!$B$2),ROUND(MAX(0,'Process'!J584*'Control Room'!$H$5*INDEX('Control Room'!$B$19:$H$19,1,WEEKDAY($A584,2))*(1+'Control Room'!$D$9)^582*'Process'!K584),2),"")</x:f>
      </x:c>
      <x:c r="E584" s="16" t="str">
        <x:f>IF(AND(AND(583&lt;='Control Room'!$B$3,'Control Room'!$D$3="Ready"),3&lt;='Control Room'!$B$2),ROUND(MAX(0,'Process'!O584*'Control Room'!$H$6*INDEX('Control Room'!$B$19:$H$19,1,WEEKDAY($A584,2))*(1+'Control Room'!$D$9)^582*'Process'!P584),2),"")</x:f>
      </x:c>
      <x:c r="F584" s="16" t="str">
        <x:f>IF(AND(AND(583&lt;='Control Room'!$B$3,'Control Room'!$D$3="Ready"),4&lt;='Control Room'!$B$2),ROUND(MAX(0,'Process'!T584*'Control Room'!$H$7*INDEX('Control Room'!$B$19:$H$19,1,WEEKDAY($A584,2))*(1+'Control Room'!$D$9)^582*'Process'!U584),2),"")</x:f>
      </x:c>
      <x:c r="G584" s="16" t="str">
        <x:f>IF(AND(AND(583&lt;='Control Room'!$B$3,'Control Room'!$D$3="Ready"),5&lt;='Control Room'!$B$2),ROUND(MAX(0,'Process'!Y584*'Control Room'!$H$8*INDEX('Control Room'!$B$19:$H$19,1,WEEKDAY($A584,2))*(1+'Control Room'!$D$9)^582*'Process'!Z584),2),"")</x:f>
      </x:c>
      <x:c r="H584" s="16" t="str">
        <x:f>IF(AND(AND(583&lt;='Control Room'!$B$3,'Control Room'!$D$3="Ready"),6&lt;='Control Room'!$B$2),ROUND(MAX(0,'Process'!AD584*'Control Room'!$H$9*INDEX('Control Room'!$B$19:$H$19,1,WEEKDAY($A584,2))*(1+'Control Room'!$D$9)^582*'Process'!AE584),2),"")</x:f>
      </x:c>
      <x:c r="I584" s="16" t="str">
        <x:f>IF(AND(AND(583&lt;='Control Room'!$B$3,'Control Room'!$D$3="Ready"),7&lt;='Control Room'!$B$2),ROUND(MAX(0,'Process'!AI584*'Control Room'!$H$10*INDEX('Control Room'!$B$19:$H$19,1,WEEKDAY($A584,2))*(1+'Control Room'!$D$9)^582*'Process'!AJ584),2),"")</x:f>
      </x:c>
      <x:c r="J584" s="16" t="str">
        <x:f>IF(AND(AND(583&lt;='Control Room'!$B$3,'Control Room'!$D$3="Ready"),8&lt;='Control Room'!$B$2),ROUND(MAX(0,'Process'!AN584*'Control Room'!$H$11*INDEX('Control Room'!$B$19:$H$19,1,WEEKDAY($A584,2))*(1+'Control Room'!$D$9)^582*'Process'!AO584),2),"")</x:f>
      </x:c>
      <x:c r="K584" s="16" t="str">
        <x:f>IF(AND(AND(583&lt;='Control Room'!$B$3,'Control Room'!$D$3="Ready"),9&lt;='Control Room'!$B$2),ROUND(MAX(0,'Process'!AS584*'Control Room'!$H$12*INDEX('Control Room'!$B$19:$H$19,1,WEEKDAY($A584,2))*(1+'Control Room'!$D$9)^582*'Process'!AT584),2),"")</x:f>
      </x:c>
      <x:c r="L584" s="16" t="str">
        <x:f>IF(AND(AND(583&lt;='Control Room'!$B$3,'Control Room'!$D$3="Ready"),10&lt;='Control Room'!$B$2),ROUND(MAX(0,'Process'!AX584*'Control Room'!$H$13*INDEX('Control Room'!$B$19:$H$19,1,WEEKDAY($A584,2))*(1+'Control Room'!$D$9)^582*'Process'!AY584),2),"")</x:f>
      </x:c>
      <x:c r="M584" s="16" t="str">
        <x:f>IF(AND(AND(583&lt;='Control Room'!$B$3,'Control Room'!$D$3="Ready"),11&lt;='Control Room'!$B$2),ROUND(MAX(0,'Process'!BC584*'Control Room'!$H$14*INDEX('Control Room'!$B$19:$H$19,1,WEEKDAY($A584,2))*(1+'Control Room'!$D$9)^582*'Process'!BD584),2),"")</x:f>
      </x:c>
      <x:c r="N584" s="16" t="str">
        <x:f>IF(AND(AND(583&lt;='Control Room'!$B$3,'Control Room'!$D$3="Ready"),12&lt;='Control Room'!$B$2),ROUND(MAX(0,'Process'!BH584*'Control Room'!$H$15*INDEX('Control Room'!$B$19:$H$19,1,WEEKDAY($A584,2))*(1+'Control Room'!$D$9)^582*'Process'!BI584),2),"")</x:f>
      </x:c>
    </x:row>
    <x:row r="585" ht="21" customHeight="1">
      <x:c r="A585" s="15" t="str">
        <x:f>IF(AND(584&lt;='Control Room'!$B$3,'Control Room'!$D$3="Ready"),'Process'!A585,"")</x:f>
      </x:c>
      <x:c r="B585" s="16" t="str">
        <x:f>IF(A585="","",SUM(C585:N585))</x:f>
      </x:c>
      <x:c r="C585" s="16" t="str">
        <x:f>IF(AND(AND(584&lt;='Control Room'!$B$3,'Control Room'!$D$3="Ready"),1&lt;='Control Room'!$B$2),ROUND(MAX(0,'Process'!E585*'Control Room'!$H$4*INDEX('Control Room'!$B$19:$H$19,1,WEEKDAY($A585,2))*(1+'Control Room'!$D$9)^583*'Process'!F585),2),"")</x:f>
      </x:c>
      <x:c r="D585" s="16" t="str">
        <x:f>IF(AND(AND(584&lt;='Control Room'!$B$3,'Control Room'!$D$3="Ready"),2&lt;='Control Room'!$B$2),ROUND(MAX(0,'Process'!J585*'Control Room'!$H$5*INDEX('Control Room'!$B$19:$H$19,1,WEEKDAY($A585,2))*(1+'Control Room'!$D$9)^583*'Process'!K585),2),"")</x:f>
      </x:c>
      <x:c r="E585" s="16" t="str">
        <x:f>IF(AND(AND(584&lt;='Control Room'!$B$3,'Control Room'!$D$3="Ready"),3&lt;='Control Room'!$B$2),ROUND(MAX(0,'Process'!O585*'Control Room'!$H$6*INDEX('Control Room'!$B$19:$H$19,1,WEEKDAY($A585,2))*(1+'Control Room'!$D$9)^583*'Process'!P585),2),"")</x:f>
      </x:c>
      <x:c r="F585" s="16" t="str">
        <x:f>IF(AND(AND(584&lt;='Control Room'!$B$3,'Control Room'!$D$3="Ready"),4&lt;='Control Room'!$B$2),ROUND(MAX(0,'Process'!T585*'Control Room'!$H$7*INDEX('Control Room'!$B$19:$H$19,1,WEEKDAY($A585,2))*(1+'Control Room'!$D$9)^583*'Process'!U585),2),"")</x:f>
      </x:c>
      <x:c r="G585" s="16" t="str">
        <x:f>IF(AND(AND(584&lt;='Control Room'!$B$3,'Control Room'!$D$3="Ready"),5&lt;='Control Room'!$B$2),ROUND(MAX(0,'Process'!Y585*'Control Room'!$H$8*INDEX('Control Room'!$B$19:$H$19,1,WEEKDAY($A585,2))*(1+'Control Room'!$D$9)^583*'Process'!Z585),2),"")</x:f>
      </x:c>
      <x:c r="H585" s="16" t="str">
        <x:f>IF(AND(AND(584&lt;='Control Room'!$B$3,'Control Room'!$D$3="Ready"),6&lt;='Control Room'!$B$2),ROUND(MAX(0,'Process'!AD585*'Control Room'!$H$9*INDEX('Control Room'!$B$19:$H$19,1,WEEKDAY($A585,2))*(1+'Control Room'!$D$9)^583*'Process'!AE585),2),"")</x:f>
      </x:c>
      <x:c r="I585" s="16" t="str">
        <x:f>IF(AND(AND(584&lt;='Control Room'!$B$3,'Control Room'!$D$3="Ready"),7&lt;='Control Room'!$B$2),ROUND(MAX(0,'Process'!AI585*'Control Room'!$H$10*INDEX('Control Room'!$B$19:$H$19,1,WEEKDAY($A585,2))*(1+'Control Room'!$D$9)^583*'Process'!AJ585),2),"")</x:f>
      </x:c>
      <x:c r="J585" s="16" t="str">
        <x:f>IF(AND(AND(584&lt;='Control Room'!$B$3,'Control Room'!$D$3="Ready"),8&lt;='Control Room'!$B$2),ROUND(MAX(0,'Process'!AN585*'Control Room'!$H$11*INDEX('Control Room'!$B$19:$H$19,1,WEEKDAY($A585,2))*(1+'Control Room'!$D$9)^583*'Process'!AO585),2),"")</x:f>
      </x:c>
      <x:c r="K585" s="16" t="str">
        <x:f>IF(AND(AND(584&lt;='Control Room'!$B$3,'Control Room'!$D$3="Ready"),9&lt;='Control Room'!$B$2),ROUND(MAX(0,'Process'!AS585*'Control Room'!$H$12*INDEX('Control Room'!$B$19:$H$19,1,WEEKDAY($A585,2))*(1+'Control Room'!$D$9)^583*'Process'!AT585),2),"")</x:f>
      </x:c>
      <x:c r="L585" s="16" t="str">
        <x:f>IF(AND(AND(584&lt;='Control Room'!$B$3,'Control Room'!$D$3="Ready"),10&lt;='Control Room'!$B$2),ROUND(MAX(0,'Process'!AX585*'Control Room'!$H$13*INDEX('Control Room'!$B$19:$H$19,1,WEEKDAY($A585,2))*(1+'Control Room'!$D$9)^583*'Process'!AY585),2),"")</x:f>
      </x:c>
      <x:c r="M585" s="16" t="str">
        <x:f>IF(AND(AND(584&lt;='Control Room'!$B$3,'Control Room'!$D$3="Ready"),11&lt;='Control Room'!$B$2),ROUND(MAX(0,'Process'!BC585*'Control Room'!$H$14*INDEX('Control Room'!$B$19:$H$19,1,WEEKDAY($A585,2))*(1+'Control Room'!$D$9)^583*'Process'!BD585),2),"")</x:f>
      </x:c>
      <x:c r="N585" s="16" t="str">
        <x:f>IF(AND(AND(584&lt;='Control Room'!$B$3,'Control Room'!$D$3="Ready"),12&lt;='Control Room'!$B$2),ROUND(MAX(0,'Process'!BH585*'Control Room'!$H$15*INDEX('Control Room'!$B$19:$H$19,1,WEEKDAY($A585,2))*(1+'Control Room'!$D$9)^583*'Process'!BI585),2),"")</x:f>
      </x:c>
    </x:row>
    <x:row r="586" ht="21" customHeight="1">
      <x:c r="A586" s="15" t="str">
        <x:f>IF(AND(585&lt;='Control Room'!$B$3,'Control Room'!$D$3="Ready"),'Process'!A586,"")</x:f>
      </x:c>
      <x:c r="B586" s="16" t="str">
        <x:f>IF(A586="","",SUM(C586:N586))</x:f>
      </x:c>
      <x:c r="C586" s="16" t="str">
        <x:f>IF(AND(AND(585&lt;='Control Room'!$B$3,'Control Room'!$D$3="Ready"),1&lt;='Control Room'!$B$2),ROUND(MAX(0,'Process'!E586*'Control Room'!$H$4*INDEX('Control Room'!$B$19:$H$19,1,WEEKDAY($A586,2))*(1+'Control Room'!$D$9)^584*'Process'!F586),2),"")</x:f>
      </x:c>
      <x:c r="D586" s="16" t="str">
        <x:f>IF(AND(AND(585&lt;='Control Room'!$B$3,'Control Room'!$D$3="Ready"),2&lt;='Control Room'!$B$2),ROUND(MAX(0,'Process'!J586*'Control Room'!$H$5*INDEX('Control Room'!$B$19:$H$19,1,WEEKDAY($A586,2))*(1+'Control Room'!$D$9)^584*'Process'!K586),2),"")</x:f>
      </x:c>
      <x:c r="E586" s="16" t="str">
        <x:f>IF(AND(AND(585&lt;='Control Room'!$B$3,'Control Room'!$D$3="Ready"),3&lt;='Control Room'!$B$2),ROUND(MAX(0,'Process'!O586*'Control Room'!$H$6*INDEX('Control Room'!$B$19:$H$19,1,WEEKDAY($A586,2))*(1+'Control Room'!$D$9)^584*'Process'!P586),2),"")</x:f>
      </x:c>
      <x:c r="F586" s="16" t="str">
        <x:f>IF(AND(AND(585&lt;='Control Room'!$B$3,'Control Room'!$D$3="Ready"),4&lt;='Control Room'!$B$2),ROUND(MAX(0,'Process'!T586*'Control Room'!$H$7*INDEX('Control Room'!$B$19:$H$19,1,WEEKDAY($A586,2))*(1+'Control Room'!$D$9)^584*'Process'!U586),2),"")</x:f>
      </x:c>
      <x:c r="G586" s="16" t="str">
        <x:f>IF(AND(AND(585&lt;='Control Room'!$B$3,'Control Room'!$D$3="Ready"),5&lt;='Control Room'!$B$2),ROUND(MAX(0,'Process'!Y586*'Control Room'!$H$8*INDEX('Control Room'!$B$19:$H$19,1,WEEKDAY($A586,2))*(1+'Control Room'!$D$9)^584*'Process'!Z586),2),"")</x:f>
      </x:c>
      <x:c r="H586" s="16" t="str">
        <x:f>IF(AND(AND(585&lt;='Control Room'!$B$3,'Control Room'!$D$3="Ready"),6&lt;='Control Room'!$B$2),ROUND(MAX(0,'Process'!AD586*'Control Room'!$H$9*INDEX('Control Room'!$B$19:$H$19,1,WEEKDAY($A586,2))*(1+'Control Room'!$D$9)^584*'Process'!AE586),2),"")</x:f>
      </x:c>
      <x:c r="I586" s="16" t="str">
        <x:f>IF(AND(AND(585&lt;='Control Room'!$B$3,'Control Room'!$D$3="Ready"),7&lt;='Control Room'!$B$2),ROUND(MAX(0,'Process'!AI586*'Control Room'!$H$10*INDEX('Control Room'!$B$19:$H$19,1,WEEKDAY($A586,2))*(1+'Control Room'!$D$9)^584*'Process'!AJ586),2),"")</x:f>
      </x:c>
      <x:c r="J586" s="16" t="str">
        <x:f>IF(AND(AND(585&lt;='Control Room'!$B$3,'Control Room'!$D$3="Ready"),8&lt;='Control Room'!$B$2),ROUND(MAX(0,'Process'!AN586*'Control Room'!$H$11*INDEX('Control Room'!$B$19:$H$19,1,WEEKDAY($A586,2))*(1+'Control Room'!$D$9)^584*'Process'!AO586),2),"")</x:f>
      </x:c>
      <x:c r="K586" s="16" t="str">
        <x:f>IF(AND(AND(585&lt;='Control Room'!$B$3,'Control Room'!$D$3="Ready"),9&lt;='Control Room'!$B$2),ROUND(MAX(0,'Process'!AS586*'Control Room'!$H$12*INDEX('Control Room'!$B$19:$H$19,1,WEEKDAY($A586,2))*(1+'Control Room'!$D$9)^584*'Process'!AT586),2),"")</x:f>
      </x:c>
      <x:c r="L586" s="16" t="str">
        <x:f>IF(AND(AND(585&lt;='Control Room'!$B$3,'Control Room'!$D$3="Ready"),10&lt;='Control Room'!$B$2),ROUND(MAX(0,'Process'!AX586*'Control Room'!$H$13*INDEX('Control Room'!$B$19:$H$19,1,WEEKDAY($A586,2))*(1+'Control Room'!$D$9)^584*'Process'!AY586),2),"")</x:f>
      </x:c>
      <x:c r="M586" s="16" t="str">
        <x:f>IF(AND(AND(585&lt;='Control Room'!$B$3,'Control Room'!$D$3="Ready"),11&lt;='Control Room'!$B$2),ROUND(MAX(0,'Process'!BC586*'Control Room'!$H$14*INDEX('Control Room'!$B$19:$H$19,1,WEEKDAY($A586,2))*(1+'Control Room'!$D$9)^584*'Process'!BD586),2),"")</x:f>
      </x:c>
      <x:c r="N586" s="16" t="str">
        <x:f>IF(AND(AND(585&lt;='Control Room'!$B$3,'Control Room'!$D$3="Ready"),12&lt;='Control Room'!$B$2),ROUND(MAX(0,'Process'!BH586*'Control Room'!$H$15*INDEX('Control Room'!$B$19:$H$19,1,WEEKDAY($A586,2))*(1+'Control Room'!$D$9)^584*'Process'!BI586),2),"")</x:f>
      </x:c>
    </x:row>
    <x:row r="587" ht="21" customHeight="1">
      <x:c r="A587" s="15" t="str">
        <x:f>IF(AND(586&lt;='Control Room'!$B$3,'Control Room'!$D$3="Ready"),'Process'!A587,"")</x:f>
      </x:c>
      <x:c r="B587" s="16" t="str">
        <x:f>IF(A587="","",SUM(C587:N587))</x:f>
      </x:c>
      <x:c r="C587" s="16" t="str">
        <x:f>IF(AND(AND(586&lt;='Control Room'!$B$3,'Control Room'!$D$3="Ready"),1&lt;='Control Room'!$B$2),ROUND(MAX(0,'Process'!E587*'Control Room'!$H$4*INDEX('Control Room'!$B$19:$H$19,1,WEEKDAY($A587,2))*(1+'Control Room'!$D$9)^585*'Process'!F587),2),"")</x:f>
      </x:c>
      <x:c r="D587" s="16" t="str">
        <x:f>IF(AND(AND(586&lt;='Control Room'!$B$3,'Control Room'!$D$3="Ready"),2&lt;='Control Room'!$B$2),ROUND(MAX(0,'Process'!J587*'Control Room'!$H$5*INDEX('Control Room'!$B$19:$H$19,1,WEEKDAY($A587,2))*(1+'Control Room'!$D$9)^585*'Process'!K587),2),"")</x:f>
      </x:c>
      <x:c r="E587" s="16" t="str">
        <x:f>IF(AND(AND(586&lt;='Control Room'!$B$3,'Control Room'!$D$3="Ready"),3&lt;='Control Room'!$B$2),ROUND(MAX(0,'Process'!O587*'Control Room'!$H$6*INDEX('Control Room'!$B$19:$H$19,1,WEEKDAY($A587,2))*(1+'Control Room'!$D$9)^585*'Process'!P587),2),"")</x:f>
      </x:c>
      <x:c r="F587" s="16" t="str">
        <x:f>IF(AND(AND(586&lt;='Control Room'!$B$3,'Control Room'!$D$3="Ready"),4&lt;='Control Room'!$B$2),ROUND(MAX(0,'Process'!T587*'Control Room'!$H$7*INDEX('Control Room'!$B$19:$H$19,1,WEEKDAY($A587,2))*(1+'Control Room'!$D$9)^585*'Process'!U587),2),"")</x:f>
      </x:c>
      <x:c r="G587" s="16" t="str">
        <x:f>IF(AND(AND(586&lt;='Control Room'!$B$3,'Control Room'!$D$3="Ready"),5&lt;='Control Room'!$B$2),ROUND(MAX(0,'Process'!Y587*'Control Room'!$H$8*INDEX('Control Room'!$B$19:$H$19,1,WEEKDAY($A587,2))*(1+'Control Room'!$D$9)^585*'Process'!Z587),2),"")</x:f>
      </x:c>
      <x:c r="H587" s="16" t="str">
        <x:f>IF(AND(AND(586&lt;='Control Room'!$B$3,'Control Room'!$D$3="Ready"),6&lt;='Control Room'!$B$2),ROUND(MAX(0,'Process'!AD587*'Control Room'!$H$9*INDEX('Control Room'!$B$19:$H$19,1,WEEKDAY($A587,2))*(1+'Control Room'!$D$9)^585*'Process'!AE587),2),"")</x:f>
      </x:c>
      <x:c r="I587" s="16" t="str">
        <x:f>IF(AND(AND(586&lt;='Control Room'!$B$3,'Control Room'!$D$3="Ready"),7&lt;='Control Room'!$B$2),ROUND(MAX(0,'Process'!AI587*'Control Room'!$H$10*INDEX('Control Room'!$B$19:$H$19,1,WEEKDAY($A587,2))*(1+'Control Room'!$D$9)^585*'Process'!AJ587),2),"")</x:f>
      </x:c>
      <x:c r="J587" s="16" t="str">
        <x:f>IF(AND(AND(586&lt;='Control Room'!$B$3,'Control Room'!$D$3="Ready"),8&lt;='Control Room'!$B$2),ROUND(MAX(0,'Process'!AN587*'Control Room'!$H$11*INDEX('Control Room'!$B$19:$H$19,1,WEEKDAY($A587,2))*(1+'Control Room'!$D$9)^585*'Process'!AO587),2),"")</x:f>
      </x:c>
      <x:c r="K587" s="16" t="str">
        <x:f>IF(AND(AND(586&lt;='Control Room'!$B$3,'Control Room'!$D$3="Ready"),9&lt;='Control Room'!$B$2),ROUND(MAX(0,'Process'!AS587*'Control Room'!$H$12*INDEX('Control Room'!$B$19:$H$19,1,WEEKDAY($A587,2))*(1+'Control Room'!$D$9)^585*'Process'!AT587),2),"")</x:f>
      </x:c>
      <x:c r="L587" s="16" t="str">
        <x:f>IF(AND(AND(586&lt;='Control Room'!$B$3,'Control Room'!$D$3="Ready"),10&lt;='Control Room'!$B$2),ROUND(MAX(0,'Process'!AX587*'Control Room'!$H$13*INDEX('Control Room'!$B$19:$H$19,1,WEEKDAY($A587,2))*(1+'Control Room'!$D$9)^585*'Process'!AY587),2),"")</x:f>
      </x:c>
      <x:c r="M587" s="16" t="str">
        <x:f>IF(AND(AND(586&lt;='Control Room'!$B$3,'Control Room'!$D$3="Ready"),11&lt;='Control Room'!$B$2),ROUND(MAX(0,'Process'!BC587*'Control Room'!$H$14*INDEX('Control Room'!$B$19:$H$19,1,WEEKDAY($A587,2))*(1+'Control Room'!$D$9)^585*'Process'!BD587),2),"")</x:f>
      </x:c>
      <x:c r="N587" s="16" t="str">
        <x:f>IF(AND(AND(586&lt;='Control Room'!$B$3,'Control Room'!$D$3="Ready"),12&lt;='Control Room'!$B$2),ROUND(MAX(0,'Process'!BH587*'Control Room'!$H$15*INDEX('Control Room'!$B$19:$H$19,1,WEEKDAY($A587,2))*(1+'Control Room'!$D$9)^585*'Process'!BI587),2),"")</x:f>
      </x:c>
    </x:row>
    <x:row r="588" ht="21" customHeight="1">
      <x:c r="A588" s="15" t="str">
        <x:f>IF(AND(587&lt;='Control Room'!$B$3,'Control Room'!$D$3="Ready"),'Process'!A588,"")</x:f>
      </x:c>
      <x:c r="B588" s="16" t="str">
        <x:f>IF(A588="","",SUM(C588:N588))</x:f>
      </x:c>
      <x:c r="C588" s="16" t="str">
        <x:f>IF(AND(AND(587&lt;='Control Room'!$B$3,'Control Room'!$D$3="Ready"),1&lt;='Control Room'!$B$2),ROUND(MAX(0,'Process'!E588*'Control Room'!$H$4*INDEX('Control Room'!$B$19:$H$19,1,WEEKDAY($A588,2))*(1+'Control Room'!$D$9)^586*'Process'!F588),2),"")</x:f>
      </x:c>
      <x:c r="D588" s="16" t="str">
        <x:f>IF(AND(AND(587&lt;='Control Room'!$B$3,'Control Room'!$D$3="Ready"),2&lt;='Control Room'!$B$2),ROUND(MAX(0,'Process'!J588*'Control Room'!$H$5*INDEX('Control Room'!$B$19:$H$19,1,WEEKDAY($A588,2))*(1+'Control Room'!$D$9)^586*'Process'!K588),2),"")</x:f>
      </x:c>
      <x:c r="E588" s="16" t="str">
        <x:f>IF(AND(AND(587&lt;='Control Room'!$B$3,'Control Room'!$D$3="Ready"),3&lt;='Control Room'!$B$2),ROUND(MAX(0,'Process'!O588*'Control Room'!$H$6*INDEX('Control Room'!$B$19:$H$19,1,WEEKDAY($A588,2))*(1+'Control Room'!$D$9)^586*'Process'!P588),2),"")</x:f>
      </x:c>
      <x:c r="F588" s="16" t="str">
        <x:f>IF(AND(AND(587&lt;='Control Room'!$B$3,'Control Room'!$D$3="Ready"),4&lt;='Control Room'!$B$2),ROUND(MAX(0,'Process'!T588*'Control Room'!$H$7*INDEX('Control Room'!$B$19:$H$19,1,WEEKDAY($A588,2))*(1+'Control Room'!$D$9)^586*'Process'!U588),2),"")</x:f>
      </x:c>
      <x:c r="G588" s="16" t="str">
        <x:f>IF(AND(AND(587&lt;='Control Room'!$B$3,'Control Room'!$D$3="Ready"),5&lt;='Control Room'!$B$2),ROUND(MAX(0,'Process'!Y588*'Control Room'!$H$8*INDEX('Control Room'!$B$19:$H$19,1,WEEKDAY($A588,2))*(1+'Control Room'!$D$9)^586*'Process'!Z588),2),"")</x:f>
      </x:c>
      <x:c r="H588" s="16" t="str">
        <x:f>IF(AND(AND(587&lt;='Control Room'!$B$3,'Control Room'!$D$3="Ready"),6&lt;='Control Room'!$B$2),ROUND(MAX(0,'Process'!AD588*'Control Room'!$H$9*INDEX('Control Room'!$B$19:$H$19,1,WEEKDAY($A588,2))*(1+'Control Room'!$D$9)^586*'Process'!AE588),2),"")</x:f>
      </x:c>
      <x:c r="I588" s="16" t="str">
        <x:f>IF(AND(AND(587&lt;='Control Room'!$B$3,'Control Room'!$D$3="Ready"),7&lt;='Control Room'!$B$2),ROUND(MAX(0,'Process'!AI588*'Control Room'!$H$10*INDEX('Control Room'!$B$19:$H$19,1,WEEKDAY($A588,2))*(1+'Control Room'!$D$9)^586*'Process'!AJ588),2),"")</x:f>
      </x:c>
      <x:c r="J588" s="16" t="str">
        <x:f>IF(AND(AND(587&lt;='Control Room'!$B$3,'Control Room'!$D$3="Ready"),8&lt;='Control Room'!$B$2),ROUND(MAX(0,'Process'!AN588*'Control Room'!$H$11*INDEX('Control Room'!$B$19:$H$19,1,WEEKDAY($A588,2))*(1+'Control Room'!$D$9)^586*'Process'!AO588),2),"")</x:f>
      </x:c>
      <x:c r="K588" s="16" t="str">
        <x:f>IF(AND(AND(587&lt;='Control Room'!$B$3,'Control Room'!$D$3="Ready"),9&lt;='Control Room'!$B$2),ROUND(MAX(0,'Process'!AS588*'Control Room'!$H$12*INDEX('Control Room'!$B$19:$H$19,1,WEEKDAY($A588,2))*(1+'Control Room'!$D$9)^586*'Process'!AT588),2),"")</x:f>
      </x:c>
      <x:c r="L588" s="16" t="str">
        <x:f>IF(AND(AND(587&lt;='Control Room'!$B$3,'Control Room'!$D$3="Ready"),10&lt;='Control Room'!$B$2),ROUND(MAX(0,'Process'!AX588*'Control Room'!$H$13*INDEX('Control Room'!$B$19:$H$19,1,WEEKDAY($A588,2))*(1+'Control Room'!$D$9)^586*'Process'!AY588),2),"")</x:f>
      </x:c>
      <x:c r="M588" s="16" t="str">
        <x:f>IF(AND(AND(587&lt;='Control Room'!$B$3,'Control Room'!$D$3="Ready"),11&lt;='Control Room'!$B$2),ROUND(MAX(0,'Process'!BC588*'Control Room'!$H$14*INDEX('Control Room'!$B$19:$H$19,1,WEEKDAY($A588,2))*(1+'Control Room'!$D$9)^586*'Process'!BD588),2),"")</x:f>
      </x:c>
      <x:c r="N588" s="16" t="str">
        <x:f>IF(AND(AND(587&lt;='Control Room'!$B$3,'Control Room'!$D$3="Ready"),12&lt;='Control Room'!$B$2),ROUND(MAX(0,'Process'!BH588*'Control Room'!$H$15*INDEX('Control Room'!$B$19:$H$19,1,WEEKDAY($A588,2))*(1+'Control Room'!$D$9)^586*'Process'!BI588),2),"")</x:f>
      </x:c>
    </x:row>
    <x:row r="589" ht="21" customHeight="1">
      <x:c r="A589" s="15" t="str">
        <x:f>IF(AND(588&lt;='Control Room'!$B$3,'Control Room'!$D$3="Ready"),'Process'!A589,"")</x:f>
      </x:c>
      <x:c r="B589" s="16" t="str">
        <x:f>IF(A589="","",SUM(C589:N589))</x:f>
      </x:c>
      <x:c r="C589" s="16" t="str">
        <x:f>IF(AND(AND(588&lt;='Control Room'!$B$3,'Control Room'!$D$3="Ready"),1&lt;='Control Room'!$B$2),ROUND(MAX(0,'Process'!E589*'Control Room'!$H$4*INDEX('Control Room'!$B$19:$H$19,1,WEEKDAY($A589,2))*(1+'Control Room'!$D$9)^587*'Process'!F589),2),"")</x:f>
      </x:c>
      <x:c r="D589" s="16" t="str">
        <x:f>IF(AND(AND(588&lt;='Control Room'!$B$3,'Control Room'!$D$3="Ready"),2&lt;='Control Room'!$B$2),ROUND(MAX(0,'Process'!J589*'Control Room'!$H$5*INDEX('Control Room'!$B$19:$H$19,1,WEEKDAY($A589,2))*(1+'Control Room'!$D$9)^587*'Process'!K589),2),"")</x:f>
      </x:c>
      <x:c r="E589" s="16" t="str">
        <x:f>IF(AND(AND(588&lt;='Control Room'!$B$3,'Control Room'!$D$3="Ready"),3&lt;='Control Room'!$B$2),ROUND(MAX(0,'Process'!O589*'Control Room'!$H$6*INDEX('Control Room'!$B$19:$H$19,1,WEEKDAY($A589,2))*(1+'Control Room'!$D$9)^587*'Process'!P589),2),"")</x:f>
      </x:c>
      <x:c r="F589" s="16" t="str">
        <x:f>IF(AND(AND(588&lt;='Control Room'!$B$3,'Control Room'!$D$3="Ready"),4&lt;='Control Room'!$B$2),ROUND(MAX(0,'Process'!T589*'Control Room'!$H$7*INDEX('Control Room'!$B$19:$H$19,1,WEEKDAY($A589,2))*(1+'Control Room'!$D$9)^587*'Process'!U589),2),"")</x:f>
      </x:c>
      <x:c r="G589" s="16" t="str">
        <x:f>IF(AND(AND(588&lt;='Control Room'!$B$3,'Control Room'!$D$3="Ready"),5&lt;='Control Room'!$B$2),ROUND(MAX(0,'Process'!Y589*'Control Room'!$H$8*INDEX('Control Room'!$B$19:$H$19,1,WEEKDAY($A589,2))*(1+'Control Room'!$D$9)^587*'Process'!Z589),2),"")</x:f>
      </x:c>
      <x:c r="H589" s="16" t="str">
        <x:f>IF(AND(AND(588&lt;='Control Room'!$B$3,'Control Room'!$D$3="Ready"),6&lt;='Control Room'!$B$2),ROUND(MAX(0,'Process'!AD589*'Control Room'!$H$9*INDEX('Control Room'!$B$19:$H$19,1,WEEKDAY($A589,2))*(1+'Control Room'!$D$9)^587*'Process'!AE589),2),"")</x:f>
      </x:c>
      <x:c r="I589" s="16" t="str">
        <x:f>IF(AND(AND(588&lt;='Control Room'!$B$3,'Control Room'!$D$3="Ready"),7&lt;='Control Room'!$B$2),ROUND(MAX(0,'Process'!AI589*'Control Room'!$H$10*INDEX('Control Room'!$B$19:$H$19,1,WEEKDAY($A589,2))*(1+'Control Room'!$D$9)^587*'Process'!AJ589),2),"")</x:f>
      </x:c>
      <x:c r="J589" s="16" t="str">
        <x:f>IF(AND(AND(588&lt;='Control Room'!$B$3,'Control Room'!$D$3="Ready"),8&lt;='Control Room'!$B$2),ROUND(MAX(0,'Process'!AN589*'Control Room'!$H$11*INDEX('Control Room'!$B$19:$H$19,1,WEEKDAY($A589,2))*(1+'Control Room'!$D$9)^587*'Process'!AO589),2),"")</x:f>
      </x:c>
      <x:c r="K589" s="16" t="str">
        <x:f>IF(AND(AND(588&lt;='Control Room'!$B$3,'Control Room'!$D$3="Ready"),9&lt;='Control Room'!$B$2),ROUND(MAX(0,'Process'!AS589*'Control Room'!$H$12*INDEX('Control Room'!$B$19:$H$19,1,WEEKDAY($A589,2))*(1+'Control Room'!$D$9)^587*'Process'!AT589),2),"")</x:f>
      </x:c>
      <x:c r="L589" s="16" t="str">
        <x:f>IF(AND(AND(588&lt;='Control Room'!$B$3,'Control Room'!$D$3="Ready"),10&lt;='Control Room'!$B$2),ROUND(MAX(0,'Process'!AX589*'Control Room'!$H$13*INDEX('Control Room'!$B$19:$H$19,1,WEEKDAY($A589,2))*(1+'Control Room'!$D$9)^587*'Process'!AY589),2),"")</x:f>
      </x:c>
      <x:c r="M589" s="16" t="str">
        <x:f>IF(AND(AND(588&lt;='Control Room'!$B$3,'Control Room'!$D$3="Ready"),11&lt;='Control Room'!$B$2),ROUND(MAX(0,'Process'!BC589*'Control Room'!$H$14*INDEX('Control Room'!$B$19:$H$19,1,WEEKDAY($A589,2))*(1+'Control Room'!$D$9)^587*'Process'!BD589),2),"")</x:f>
      </x:c>
      <x:c r="N589" s="16" t="str">
        <x:f>IF(AND(AND(588&lt;='Control Room'!$B$3,'Control Room'!$D$3="Ready"),12&lt;='Control Room'!$B$2),ROUND(MAX(0,'Process'!BH589*'Control Room'!$H$15*INDEX('Control Room'!$B$19:$H$19,1,WEEKDAY($A589,2))*(1+'Control Room'!$D$9)^587*'Process'!BI589),2),"")</x:f>
      </x:c>
    </x:row>
    <x:row r="590" ht="21" customHeight="1">
      <x:c r="A590" s="15" t="str">
        <x:f>IF(AND(589&lt;='Control Room'!$B$3,'Control Room'!$D$3="Ready"),'Process'!A590,"")</x:f>
      </x:c>
      <x:c r="B590" s="16" t="str">
        <x:f>IF(A590="","",SUM(C590:N590))</x:f>
      </x:c>
      <x:c r="C590" s="16" t="str">
        <x:f>IF(AND(AND(589&lt;='Control Room'!$B$3,'Control Room'!$D$3="Ready"),1&lt;='Control Room'!$B$2),ROUND(MAX(0,'Process'!E590*'Control Room'!$H$4*INDEX('Control Room'!$B$19:$H$19,1,WEEKDAY($A590,2))*(1+'Control Room'!$D$9)^588*'Process'!F590),2),"")</x:f>
      </x:c>
      <x:c r="D590" s="16" t="str">
        <x:f>IF(AND(AND(589&lt;='Control Room'!$B$3,'Control Room'!$D$3="Ready"),2&lt;='Control Room'!$B$2),ROUND(MAX(0,'Process'!J590*'Control Room'!$H$5*INDEX('Control Room'!$B$19:$H$19,1,WEEKDAY($A590,2))*(1+'Control Room'!$D$9)^588*'Process'!K590),2),"")</x:f>
      </x:c>
      <x:c r="E590" s="16" t="str">
        <x:f>IF(AND(AND(589&lt;='Control Room'!$B$3,'Control Room'!$D$3="Ready"),3&lt;='Control Room'!$B$2),ROUND(MAX(0,'Process'!O590*'Control Room'!$H$6*INDEX('Control Room'!$B$19:$H$19,1,WEEKDAY($A590,2))*(1+'Control Room'!$D$9)^588*'Process'!P590),2),"")</x:f>
      </x:c>
      <x:c r="F590" s="16" t="str">
        <x:f>IF(AND(AND(589&lt;='Control Room'!$B$3,'Control Room'!$D$3="Ready"),4&lt;='Control Room'!$B$2),ROUND(MAX(0,'Process'!T590*'Control Room'!$H$7*INDEX('Control Room'!$B$19:$H$19,1,WEEKDAY($A590,2))*(1+'Control Room'!$D$9)^588*'Process'!U590),2),"")</x:f>
      </x:c>
      <x:c r="G590" s="16" t="str">
        <x:f>IF(AND(AND(589&lt;='Control Room'!$B$3,'Control Room'!$D$3="Ready"),5&lt;='Control Room'!$B$2),ROUND(MAX(0,'Process'!Y590*'Control Room'!$H$8*INDEX('Control Room'!$B$19:$H$19,1,WEEKDAY($A590,2))*(1+'Control Room'!$D$9)^588*'Process'!Z590),2),"")</x:f>
      </x:c>
      <x:c r="H590" s="16" t="str">
        <x:f>IF(AND(AND(589&lt;='Control Room'!$B$3,'Control Room'!$D$3="Ready"),6&lt;='Control Room'!$B$2),ROUND(MAX(0,'Process'!AD590*'Control Room'!$H$9*INDEX('Control Room'!$B$19:$H$19,1,WEEKDAY($A590,2))*(1+'Control Room'!$D$9)^588*'Process'!AE590),2),"")</x:f>
      </x:c>
      <x:c r="I590" s="16" t="str">
        <x:f>IF(AND(AND(589&lt;='Control Room'!$B$3,'Control Room'!$D$3="Ready"),7&lt;='Control Room'!$B$2),ROUND(MAX(0,'Process'!AI590*'Control Room'!$H$10*INDEX('Control Room'!$B$19:$H$19,1,WEEKDAY($A590,2))*(1+'Control Room'!$D$9)^588*'Process'!AJ590),2),"")</x:f>
      </x:c>
      <x:c r="J590" s="16" t="str">
        <x:f>IF(AND(AND(589&lt;='Control Room'!$B$3,'Control Room'!$D$3="Ready"),8&lt;='Control Room'!$B$2),ROUND(MAX(0,'Process'!AN590*'Control Room'!$H$11*INDEX('Control Room'!$B$19:$H$19,1,WEEKDAY($A590,2))*(1+'Control Room'!$D$9)^588*'Process'!AO590),2),"")</x:f>
      </x:c>
      <x:c r="K590" s="16" t="str">
        <x:f>IF(AND(AND(589&lt;='Control Room'!$B$3,'Control Room'!$D$3="Ready"),9&lt;='Control Room'!$B$2),ROUND(MAX(0,'Process'!AS590*'Control Room'!$H$12*INDEX('Control Room'!$B$19:$H$19,1,WEEKDAY($A590,2))*(1+'Control Room'!$D$9)^588*'Process'!AT590),2),"")</x:f>
      </x:c>
      <x:c r="L590" s="16" t="str">
        <x:f>IF(AND(AND(589&lt;='Control Room'!$B$3,'Control Room'!$D$3="Ready"),10&lt;='Control Room'!$B$2),ROUND(MAX(0,'Process'!AX590*'Control Room'!$H$13*INDEX('Control Room'!$B$19:$H$19,1,WEEKDAY($A590,2))*(1+'Control Room'!$D$9)^588*'Process'!AY590),2),"")</x:f>
      </x:c>
      <x:c r="M590" s="16" t="str">
        <x:f>IF(AND(AND(589&lt;='Control Room'!$B$3,'Control Room'!$D$3="Ready"),11&lt;='Control Room'!$B$2),ROUND(MAX(0,'Process'!BC590*'Control Room'!$H$14*INDEX('Control Room'!$B$19:$H$19,1,WEEKDAY($A590,2))*(1+'Control Room'!$D$9)^588*'Process'!BD590),2),"")</x:f>
      </x:c>
      <x:c r="N590" s="16" t="str">
        <x:f>IF(AND(AND(589&lt;='Control Room'!$B$3,'Control Room'!$D$3="Ready"),12&lt;='Control Room'!$B$2),ROUND(MAX(0,'Process'!BH590*'Control Room'!$H$15*INDEX('Control Room'!$B$19:$H$19,1,WEEKDAY($A590,2))*(1+'Control Room'!$D$9)^588*'Process'!BI590),2),"")</x:f>
      </x:c>
    </x:row>
    <x:row r="591" ht="21" customHeight="1">
      <x:c r="A591" s="15" t="str">
        <x:f>IF(AND(590&lt;='Control Room'!$B$3,'Control Room'!$D$3="Ready"),'Process'!A591,"")</x:f>
      </x:c>
      <x:c r="B591" s="16" t="str">
        <x:f>IF(A591="","",SUM(C591:N591))</x:f>
      </x:c>
      <x:c r="C591" s="16" t="str">
        <x:f>IF(AND(AND(590&lt;='Control Room'!$B$3,'Control Room'!$D$3="Ready"),1&lt;='Control Room'!$B$2),ROUND(MAX(0,'Process'!E591*'Control Room'!$H$4*INDEX('Control Room'!$B$19:$H$19,1,WEEKDAY($A591,2))*(1+'Control Room'!$D$9)^589*'Process'!F591),2),"")</x:f>
      </x:c>
      <x:c r="D591" s="16" t="str">
        <x:f>IF(AND(AND(590&lt;='Control Room'!$B$3,'Control Room'!$D$3="Ready"),2&lt;='Control Room'!$B$2),ROUND(MAX(0,'Process'!J591*'Control Room'!$H$5*INDEX('Control Room'!$B$19:$H$19,1,WEEKDAY($A591,2))*(1+'Control Room'!$D$9)^589*'Process'!K591),2),"")</x:f>
      </x:c>
      <x:c r="E591" s="16" t="str">
        <x:f>IF(AND(AND(590&lt;='Control Room'!$B$3,'Control Room'!$D$3="Ready"),3&lt;='Control Room'!$B$2),ROUND(MAX(0,'Process'!O591*'Control Room'!$H$6*INDEX('Control Room'!$B$19:$H$19,1,WEEKDAY($A591,2))*(1+'Control Room'!$D$9)^589*'Process'!P591),2),"")</x:f>
      </x:c>
      <x:c r="F591" s="16" t="str">
        <x:f>IF(AND(AND(590&lt;='Control Room'!$B$3,'Control Room'!$D$3="Ready"),4&lt;='Control Room'!$B$2),ROUND(MAX(0,'Process'!T591*'Control Room'!$H$7*INDEX('Control Room'!$B$19:$H$19,1,WEEKDAY($A591,2))*(1+'Control Room'!$D$9)^589*'Process'!U591),2),"")</x:f>
      </x:c>
      <x:c r="G591" s="16" t="str">
        <x:f>IF(AND(AND(590&lt;='Control Room'!$B$3,'Control Room'!$D$3="Ready"),5&lt;='Control Room'!$B$2),ROUND(MAX(0,'Process'!Y591*'Control Room'!$H$8*INDEX('Control Room'!$B$19:$H$19,1,WEEKDAY($A591,2))*(1+'Control Room'!$D$9)^589*'Process'!Z591),2),"")</x:f>
      </x:c>
      <x:c r="H591" s="16" t="str">
        <x:f>IF(AND(AND(590&lt;='Control Room'!$B$3,'Control Room'!$D$3="Ready"),6&lt;='Control Room'!$B$2),ROUND(MAX(0,'Process'!AD591*'Control Room'!$H$9*INDEX('Control Room'!$B$19:$H$19,1,WEEKDAY($A591,2))*(1+'Control Room'!$D$9)^589*'Process'!AE591),2),"")</x:f>
      </x:c>
      <x:c r="I591" s="16" t="str">
        <x:f>IF(AND(AND(590&lt;='Control Room'!$B$3,'Control Room'!$D$3="Ready"),7&lt;='Control Room'!$B$2),ROUND(MAX(0,'Process'!AI591*'Control Room'!$H$10*INDEX('Control Room'!$B$19:$H$19,1,WEEKDAY($A591,2))*(1+'Control Room'!$D$9)^589*'Process'!AJ591),2),"")</x:f>
      </x:c>
      <x:c r="J591" s="16" t="str">
        <x:f>IF(AND(AND(590&lt;='Control Room'!$B$3,'Control Room'!$D$3="Ready"),8&lt;='Control Room'!$B$2),ROUND(MAX(0,'Process'!AN591*'Control Room'!$H$11*INDEX('Control Room'!$B$19:$H$19,1,WEEKDAY($A591,2))*(1+'Control Room'!$D$9)^589*'Process'!AO591),2),"")</x:f>
      </x:c>
      <x:c r="K591" s="16" t="str">
        <x:f>IF(AND(AND(590&lt;='Control Room'!$B$3,'Control Room'!$D$3="Ready"),9&lt;='Control Room'!$B$2),ROUND(MAX(0,'Process'!AS591*'Control Room'!$H$12*INDEX('Control Room'!$B$19:$H$19,1,WEEKDAY($A591,2))*(1+'Control Room'!$D$9)^589*'Process'!AT591),2),"")</x:f>
      </x:c>
      <x:c r="L591" s="16" t="str">
        <x:f>IF(AND(AND(590&lt;='Control Room'!$B$3,'Control Room'!$D$3="Ready"),10&lt;='Control Room'!$B$2),ROUND(MAX(0,'Process'!AX591*'Control Room'!$H$13*INDEX('Control Room'!$B$19:$H$19,1,WEEKDAY($A591,2))*(1+'Control Room'!$D$9)^589*'Process'!AY591),2),"")</x:f>
      </x:c>
      <x:c r="M591" s="16" t="str">
        <x:f>IF(AND(AND(590&lt;='Control Room'!$B$3,'Control Room'!$D$3="Ready"),11&lt;='Control Room'!$B$2),ROUND(MAX(0,'Process'!BC591*'Control Room'!$H$14*INDEX('Control Room'!$B$19:$H$19,1,WEEKDAY($A591,2))*(1+'Control Room'!$D$9)^589*'Process'!BD591),2),"")</x:f>
      </x:c>
      <x:c r="N591" s="16" t="str">
        <x:f>IF(AND(AND(590&lt;='Control Room'!$B$3,'Control Room'!$D$3="Ready"),12&lt;='Control Room'!$B$2),ROUND(MAX(0,'Process'!BH591*'Control Room'!$H$15*INDEX('Control Room'!$B$19:$H$19,1,WEEKDAY($A591,2))*(1+'Control Room'!$D$9)^589*'Process'!BI591),2),"")</x:f>
      </x:c>
    </x:row>
    <x:row r="592" ht="21" customHeight="1">
      <x:c r="A592" s="15" t="str">
        <x:f>IF(AND(591&lt;='Control Room'!$B$3,'Control Room'!$D$3="Ready"),'Process'!A592,"")</x:f>
      </x:c>
      <x:c r="B592" s="16" t="str">
        <x:f>IF(A592="","",SUM(C592:N592))</x:f>
      </x:c>
      <x:c r="C592" s="16" t="str">
        <x:f>IF(AND(AND(591&lt;='Control Room'!$B$3,'Control Room'!$D$3="Ready"),1&lt;='Control Room'!$B$2),ROUND(MAX(0,'Process'!E592*'Control Room'!$H$4*INDEX('Control Room'!$B$19:$H$19,1,WEEKDAY($A592,2))*(1+'Control Room'!$D$9)^590*'Process'!F592),2),"")</x:f>
      </x:c>
      <x:c r="D592" s="16" t="str">
        <x:f>IF(AND(AND(591&lt;='Control Room'!$B$3,'Control Room'!$D$3="Ready"),2&lt;='Control Room'!$B$2),ROUND(MAX(0,'Process'!J592*'Control Room'!$H$5*INDEX('Control Room'!$B$19:$H$19,1,WEEKDAY($A592,2))*(1+'Control Room'!$D$9)^590*'Process'!K592),2),"")</x:f>
      </x:c>
      <x:c r="E592" s="16" t="str">
        <x:f>IF(AND(AND(591&lt;='Control Room'!$B$3,'Control Room'!$D$3="Ready"),3&lt;='Control Room'!$B$2),ROUND(MAX(0,'Process'!O592*'Control Room'!$H$6*INDEX('Control Room'!$B$19:$H$19,1,WEEKDAY($A592,2))*(1+'Control Room'!$D$9)^590*'Process'!P592),2),"")</x:f>
      </x:c>
      <x:c r="F592" s="16" t="str">
        <x:f>IF(AND(AND(591&lt;='Control Room'!$B$3,'Control Room'!$D$3="Ready"),4&lt;='Control Room'!$B$2),ROUND(MAX(0,'Process'!T592*'Control Room'!$H$7*INDEX('Control Room'!$B$19:$H$19,1,WEEKDAY($A592,2))*(1+'Control Room'!$D$9)^590*'Process'!U592),2),"")</x:f>
      </x:c>
      <x:c r="G592" s="16" t="str">
        <x:f>IF(AND(AND(591&lt;='Control Room'!$B$3,'Control Room'!$D$3="Ready"),5&lt;='Control Room'!$B$2),ROUND(MAX(0,'Process'!Y592*'Control Room'!$H$8*INDEX('Control Room'!$B$19:$H$19,1,WEEKDAY($A592,2))*(1+'Control Room'!$D$9)^590*'Process'!Z592),2),"")</x:f>
      </x:c>
      <x:c r="H592" s="16" t="str">
        <x:f>IF(AND(AND(591&lt;='Control Room'!$B$3,'Control Room'!$D$3="Ready"),6&lt;='Control Room'!$B$2),ROUND(MAX(0,'Process'!AD592*'Control Room'!$H$9*INDEX('Control Room'!$B$19:$H$19,1,WEEKDAY($A592,2))*(1+'Control Room'!$D$9)^590*'Process'!AE592),2),"")</x:f>
      </x:c>
      <x:c r="I592" s="16" t="str">
        <x:f>IF(AND(AND(591&lt;='Control Room'!$B$3,'Control Room'!$D$3="Ready"),7&lt;='Control Room'!$B$2),ROUND(MAX(0,'Process'!AI592*'Control Room'!$H$10*INDEX('Control Room'!$B$19:$H$19,1,WEEKDAY($A592,2))*(1+'Control Room'!$D$9)^590*'Process'!AJ592),2),"")</x:f>
      </x:c>
      <x:c r="J592" s="16" t="str">
        <x:f>IF(AND(AND(591&lt;='Control Room'!$B$3,'Control Room'!$D$3="Ready"),8&lt;='Control Room'!$B$2),ROUND(MAX(0,'Process'!AN592*'Control Room'!$H$11*INDEX('Control Room'!$B$19:$H$19,1,WEEKDAY($A592,2))*(1+'Control Room'!$D$9)^590*'Process'!AO592),2),"")</x:f>
      </x:c>
      <x:c r="K592" s="16" t="str">
        <x:f>IF(AND(AND(591&lt;='Control Room'!$B$3,'Control Room'!$D$3="Ready"),9&lt;='Control Room'!$B$2),ROUND(MAX(0,'Process'!AS592*'Control Room'!$H$12*INDEX('Control Room'!$B$19:$H$19,1,WEEKDAY($A592,2))*(1+'Control Room'!$D$9)^590*'Process'!AT592),2),"")</x:f>
      </x:c>
      <x:c r="L592" s="16" t="str">
        <x:f>IF(AND(AND(591&lt;='Control Room'!$B$3,'Control Room'!$D$3="Ready"),10&lt;='Control Room'!$B$2),ROUND(MAX(0,'Process'!AX592*'Control Room'!$H$13*INDEX('Control Room'!$B$19:$H$19,1,WEEKDAY($A592,2))*(1+'Control Room'!$D$9)^590*'Process'!AY592),2),"")</x:f>
      </x:c>
      <x:c r="M592" s="16" t="str">
        <x:f>IF(AND(AND(591&lt;='Control Room'!$B$3,'Control Room'!$D$3="Ready"),11&lt;='Control Room'!$B$2),ROUND(MAX(0,'Process'!BC592*'Control Room'!$H$14*INDEX('Control Room'!$B$19:$H$19,1,WEEKDAY($A592,2))*(1+'Control Room'!$D$9)^590*'Process'!BD592),2),"")</x:f>
      </x:c>
      <x:c r="N592" s="16" t="str">
        <x:f>IF(AND(AND(591&lt;='Control Room'!$B$3,'Control Room'!$D$3="Ready"),12&lt;='Control Room'!$B$2),ROUND(MAX(0,'Process'!BH592*'Control Room'!$H$15*INDEX('Control Room'!$B$19:$H$19,1,WEEKDAY($A592,2))*(1+'Control Room'!$D$9)^590*'Process'!BI592),2),"")</x:f>
      </x:c>
    </x:row>
    <x:row r="593" ht="21" customHeight="1">
      <x:c r="A593" s="15" t="str">
        <x:f>IF(AND(592&lt;='Control Room'!$B$3,'Control Room'!$D$3="Ready"),'Process'!A593,"")</x:f>
      </x:c>
      <x:c r="B593" s="16" t="str">
        <x:f>IF(A593="","",SUM(C593:N593))</x:f>
      </x:c>
      <x:c r="C593" s="16" t="str">
        <x:f>IF(AND(AND(592&lt;='Control Room'!$B$3,'Control Room'!$D$3="Ready"),1&lt;='Control Room'!$B$2),ROUND(MAX(0,'Process'!E593*'Control Room'!$H$4*INDEX('Control Room'!$B$19:$H$19,1,WEEKDAY($A593,2))*(1+'Control Room'!$D$9)^591*'Process'!F593),2),"")</x:f>
      </x:c>
      <x:c r="D593" s="16" t="str">
        <x:f>IF(AND(AND(592&lt;='Control Room'!$B$3,'Control Room'!$D$3="Ready"),2&lt;='Control Room'!$B$2),ROUND(MAX(0,'Process'!J593*'Control Room'!$H$5*INDEX('Control Room'!$B$19:$H$19,1,WEEKDAY($A593,2))*(1+'Control Room'!$D$9)^591*'Process'!K593),2),"")</x:f>
      </x:c>
      <x:c r="E593" s="16" t="str">
        <x:f>IF(AND(AND(592&lt;='Control Room'!$B$3,'Control Room'!$D$3="Ready"),3&lt;='Control Room'!$B$2),ROUND(MAX(0,'Process'!O593*'Control Room'!$H$6*INDEX('Control Room'!$B$19:$H$19,1,WEEKDAY($A593,2))*(1+'Control Room'!$D$9)^591*'Process'!P593),2),"")</x:f>
      </x:c>
      <x:c r="F593" s="16" t="str">
        <x:f>IF(AND(AND(592&lt;='Control Room'!$B$3,'Control Room'!$D$3="Ready"),4&lt;='Control Room'!$B$2),ROUND(MAX(0,'Process'!T593*'Control Room'!$H$7*INDEX('Control Room'!$B$19:$H$19,1,WEEKDAY($A593,2))*(1+'Control Room'!$D$9)^591*'Process'!U593),2),"")</x:f>
      </x:c>
      <x:c r="G593" s="16" t="str">
        <x:f>IF(AND(AND(592&lt;='Control Room'!$B$3,'Control Room'!$D$3="Ready"),5&lt;='Control Room'!$B$2),ROUND(MAX(0,'Process'!Y593*'Control Room'!$H$8*INDEX('Control Room'!$B$19:$H$19,1,WEEKDAY($A593,2))*(1+'Control Room'!$D$9)^591*'Process'!Z593),2),"")</x:f>
      </x:c>
      <x:c r="H593" s="16" t="str">
        <x:f>IF(AND(AND(592&lt;='Control Room'!$B$3,'Control Room'!$D$3="Ready"),6&lt;='Control Room'!$B$2),ROUND(MAX(0,'Process'!AD593*'Control Room'!$H$9*INDEX('Control Room'!$B$19:$H$19,1,WEEKDAY($A593,2))*(1+'Control Room'!$D$9)^591*'Process'!AE593),2),"")</x:f>
      </x:c>
      <x:c r="I593" s="16" t="str">
        <x:f>IF(AND(AND(592&lt;='Control Room'!$B$3,'Control Room'!$D$3="Ready"),7&lt;='Control Room'!$B$2),ROUND(MAX(0,'Process'!AI593*'Control Room'!$H$10*INDEX('Control Room'!$B$19:$H$19,1,WEEKDAY($A593,2))*(1+'Control Room'!$D$9)^591*'Process'!AJ593),2),"")</x:f>
      </x:c>
      <x:c r="J593" s="16" t="str">
        <x:f>IF(AND(AND(592&lt;='Control Room'!$B$3,'Control Room'!$D$3="Ready"),8&lt;='Control Room'!$B$2),ROUND(MAX(0,'Process'!AN593*'Control Room'!$H$11*INDEX('Control Room'!$B$19:$H$19,1,WEEKDAY($A593,2))*(1+'Control Room'!$D$9)^591*'Process'!AO593),2),"")</x:f>
      </x:c>
      <x:c r="K593" s="16" t="str">
        <x:f>IF(AND(AND(592&lt;='Control Room'!$B$3,'Control Room'!$D$3="Ready"),9&lt;='Control Room'!$B$2),ROUND(MAX(0,'Process'!AS593*'Control Room'!$H$12*INDEX('Control Room'!$B$19:$H$19,1,WEEKDAY($A593,2))*(1+'Control Room'!$D$9)^591*'Process'!AT593),2),"")</x:f>
      </x:c>
      <x:c r="L593" s="16" t="str">
        <x:f>IF(AND(AND(592&lt;='Control Room'!$B$3,'Control Room'!$D$3="Ready"),10&lt;='Control Room'!$B$2),ROUND(MAX(0,'Process'!AX593*'Control Room'!$H$13*INDEX('Control Room'!$B$19:$H$19,1,WEEKDAY($A593,2))*(1+'Control Room'!$D$9)^591*'Process'!AY593),2),"")</x:f>
      </x:c>
      <x:c r="M593" s="16" t="str">
        <x:f>IF(AND(AND(592&lt;='Control Room'!$B$3,'Control Room'!$D$3="Ready"),11&lt;='Control Room'!$B$2),ROUND(MAX(0,'Process'!BC593*'Control Room'!$H$14*INDEX('Control Room'!$B$19:$H$19,1,WEEKDAY($A593,2))*(1+'Control Room'!$D$9)^591*'Process'!BD593),2),"")</x:f>
      </x:c>
      <x:c r="N593" s="16" t="str">
        <x:f>IF(AND(AND(592&lt;='Control Room'!$B$3,'Control Room'!$D$3="Ready"),12&lt;='Control Room'!$B$2),ROUND(MAX(0,'Process'!BH593*'Control Room'!$H$15*INDEX('Control Room'!$B$19:$H$19,1,WEEKDAY($A593,2))*(1+'Control Room'!$D$9)^591*'Process'!BI593),2),"")</x:f>
      </x:c>
    </x:row>
    <x:row r="594" ht="21" customHeight="1">
      <x:c r="A594" s="15" t="str">
        <x:f>IF(AND(593&lt;='Control Room'!$B$3,'Control Room'!$D$3="Ready"),'Process'!A594,"")</x:f>
      </x:c>
      <x:c r="B594" s="16" t="str">
        <x:f>IF(A594="","",SUM(C594:N594))</x:f>
      </x:c>
      <x:c r="C594" s="16" t="str">
        <x:f>IF(AND(AND(593&lt;='Control Room'!$B$3,'Control Room'!$D$3="Ready"),1&lt;='Control Room'!$B$2),ROUND(MAX(0,'Process'!E594*'Control Room'!$H$4*INDEX('Control Room'!$B$19:$H$19,1,WEEKDAY($A594,2))*(1+'Control Room'!$D$9)^592*'Process'!F594),2),"")</x:f>
      </x:c>
      <x:c r="D594" s="16" t="str">
        <x:f>IF(AND(AND(593&lt;='Control Room'!$B$3,'Control Room'!$D$3="Ready"),2&lt;='Control Room'!$B$2),ROUND(MAX(0,'Process'!J594*'Control Room'!$H$5*INDEX('Control Room'!$B$19:$H$19,1,WEEKDAY($A594,2))*(1+'Control Room'!$D$9)^592*'Process'!K594),2),"")</x:f>
      </x:c>
      <x:c r="E594" s="16" t="str">
        <x:f>IF(AND(AND(593&lt;='Control Room'!$B$3,'Control Room'!$D$3="Ready"),3&lt;='Control Room'!$B$2),ROUND(MAX(0,'Process'!O594*'Control Room'!$H$6*INDEX('Control Room'!$B$19:$H$19,1,WEEKDAY($A594,2))*(1+'Control Room'!$D$9)^592*'Process'!P594),2),"")</x:f>
      </x:c>
      <x:c r="F594" s="16" t="str">
        <x:f>IF(AND(AND(593&lt;='Control Room'!$B$3,'Control Room'!$D$3="Ready"),4&lt;='Control Room'!$B$2),ROUND(MAX(0,'Process'!T594*'Control Room'!$H$7*INDEX('Control Room'!$B$19:$H$19,1,WEEKDAY($A594,2))*(1+'Control Room'!$D$9)^592*'Process'!U594),2),"")</x:f>
      </x:c>
      <x:c r="G594" s="16" t="str">
        <x:f>IF(AND(AND(593&lt;='Control Room'!$B$3,'Control Room'!$D$3="Ready"),5&lt;='Control Room'!$B$2),ROUND(MAX(0,'Process'!Y594*'Control Room'!$H$8*INDEX('Control Room'!$B$19:$H$19,1,WEEKDAY($A594,2))*(1+'Control Room'!$D$9)^592*'Process'!Z594),2),"")</x:f>
      </x:c>
      <x:c r="H594" s="16" t="str">
        <x:f>IF(AND(AND(593&lt;='Control Room'!$B$3,'Control Room'!$D$3="Ready"),6&lt;='Control Room'!$B$2),ROUND(MAX(0,'Process'!AD594*'Control Room'!$H$9*INDEX('Control Room'!$B$19:$H$19,1,WEEKDAY($A594,2))*(1+'Control Room'!$D$9)^592*'Process'!AE594),2),"")</x:f>
      </x:c>
      <x:c r="I594" s="16" t="str">
        <x:f>IF(AND(AND(593&lt;='Control Room'!$B$3,'Control Room'!$D$3="Ready"),7&lt;='Control Room'!$B$2),ROUND(MAX(0,'Process'!AI594*'Control Room'!$H$10*INDEX('Control Room'!$B$19:$H$19,1,WEEKDAY($A594,2))*(1+'Control Room'!$D$9)^592*'Process'!AJ594),2),"")</x:f>
      </x:c>
      <x:c r="J594" s="16" t="str">
        <x:f>IF(AND(AND(593&lt;='Control Room'!$B$3,'Control Room'!$D$3="Ready"),8&lt;='Control Room'!$B$2),ROUND(MAX(0,'Process'!AN594*'Control Room'!$H$11*INDEX('Control Room'!$B$19:$H$19,1,WEEKDAY($A594,2))*(1+'Control Room'!$D$9)^592*'Process'!AO594),2),"")</x:f>
      </x:c>
      <x:c r="K594" s="16" t="str">
        <x:f>IF(AND(AND(593&lt;='Control Room'!$B$3,'Control Room'!$D$3="Ready"),9&lt;='Control Room'!$B$2),ROUND(MAX(0,'Process'!AS594*'Control Room'!$H$12*INDEX('Control Room'!$B$19:$H$19,1,WEEKDAY($A594,2))*(1+'Control Room'!$D$9)^592*'Process'!AT594),2),"")</x:f>
      </x:c>
      <x:c r="L594" s="16" t="str">
        <x:f>IF(AND(AND(593&lt;='Control Room'!$B$3,'Control Room'!$D$3="Ready"),10&lt;='Control Room'!$B$2),ROUND(MAX(0,'Process'!AX594*'Control Room'!$H$13*INDEX('Control Room'!$B$19:$H$19,1,WEEKDAY($A594,2))*(1+'Control Room'!$D$9)^592*'Process'!AY594),2),"")</x:f>
      </x:c>
      <x:c r="M594" s="16" t="str">
        <x:f>IF(AND(AND(593&lt;='Control Room'!$B$3,'Control Room'!$D$3="Ready"),11&lt;='Control Room'!$B$2),ROUND(MAX(0,'Process'!BC594*'Control Room'!$H$14*INDEX('Control Room'!$B$19:$H$19,1,WEEKDAY($A594,2))*(1+'Control Room'!$D$9)^592*'Process'!BD594),2),"")</x:f>
      </x:c>
      <x:c r="N594" s="16" t="str">
        <x:f>IF(AND(AND(593&lt;='Control Room'!$B$3,'Control Room'!$D$3="Ready"),12&lt;='Control Room'!$B$2),ROUND(MAX(0,'Process'!BH594*'Control Room'!$H$15*INDEX('Control Room'!$B$19:$H$19,1,WEEKDAY($A594,2))*(1+'Control Room'!$D$9)^592*'Process'!BI594),2),"")</x:f>
      </x:c>
    </x:row>
    <x:row r="595" ht="21" customHeight="1">
      <x:c r="A595" s="15" t="str">
        <x:f>IF(AND(594&lt;='Control Room'!$B$3,'Control Room'!$D$3="Ready"),'Process'!A595,"")</x:f>
      </x:c>
      <x:c r="B595" s="16" t="str">
        <x:f>IF(A595="","",SUM(C595:N595))</x:f>
      </x:c>
      <x:c r="C595" s="16" t="str">
        <x:f>IF(AND(AND(594&lt;='Control Room'!$B$3,'Control Room'!$D$3="Ready"),1&lt;='Control Room'!$B$2),ROUND(MAX(0,'Process'!E595*'Control Room'!$H$4*INDEX('Control Room'!$B$19:$H$19,1,WEEKDAY($A595,2))*(1+'Control Room'!$D$9)^593*'Process'!F595),2),"")</x:f>
      </x:c>
      <x:c r="D595" s="16" t="str">
        <x:f>IF(AND(AND(594&lt;='Control Room'!$B$3,'Control Room'!$D$3="Ready"),2&lt;='Control Room'!$B$2),ROUND(MAX(0,'Process'!J595*'Control Room'!$H$5*INDEX('Control Room'!$B$19:$H$19,1,WEEKDAY($A595,2))*(1+'Control Room'!$D$9)^593*'Process'!K595),2),"")</x:f>
      </x:c>
      <x:c r="E595" s="16" t="str">
        <x:f>IF(AND(AND(594&lt;='Control Room'!$B$3,'Control Room'!$D$3="Ready"),3&lt;='Control Room'!$B$2),ROUND(MAX(0,'Process'!O595*'Control Room'!$H$6*INDEX('Control Room'!$B$19:$H$19,1,WEEKDAY($A595,2))*(1+'Control Room'!$D$9)^593*'Process'!P595),2),"")</x:f>
      </x:c>
      <x:c r="F595" s="16" t="str">
        <x:f>IF(AND(AND(594&lt;='Control Room'!$B$3,'Control Room'!$D$3="Ready"),4&lt;='Control Room'!$B$2),ROUND(MAX(0,'Process'!T595*'Control Room'!$H$7*INDEX('Control Room'!$B$19:$H$19,1,WEEKDAY($A595,2))*(1+'Control Room'!$D$9)^593*'Process'!U595),2),"")</x:f>
      </x:c>
      <x:c r="G595" s="16" t="str">
        <x:f>IF(AND(AND(594&lt;='Control Room'!$B$3,'Control Room'!$D$3="Ready"),5&lt;='Control Room'!$B$2),ROUND(MAX(0,'Process'!Y595*'Control Room'!$H$8*INDEX('Control Room'!$B$19:$H$19,1,WEEKDAY($A595,2))*(1+'Control Room'!$D$9)^593*'Process'!Z595),2),"")</x:f>
      </x:c>
      <x:c r="H595" s="16" t="str">
        <x:f>IF(AND(AND(594&lt;='Control Room'!$B$3,'Control Room'!$D$3="Ready"),6&lt;='Control Room'!$B$2),ROUND(MAX(0,'Process'!AD595*'Control Room'!$H$9*INDEX('Control Room'!$B$19:$H$19,1,WEEKDAY($A595,2))*(1+'Control Room'!$D$9)^593*'Process'!AE595),2),"")</x:f>
      </x:c>
      <x:c r="I595" s="16" t="str">
        <x:f>IF(AND(AND(594&lt;='Control Room'!$B$3,'Control Room'!$D$3="Ready"),7&lt;='Control Room'!$B$2),ROUND(MAX(0,'Process'!AI595*'Control Room'!$H$10*INDEX('Control Room'!$B$19:$H$19,1,WEEKDAY($A595,2))*(1+'Control Room'!$D$9)^593*'Process'!AJ595),2),"")</x:f>
      </x:c>
      <x:c r="J595" s="16" t="str">
        <x:f>IF(AND(AND(594&lt;='Control Room'!$B$3,'Control Room'!$D$3="Ready"),8&lt;='Control Room'!$B$2),ROUND(MAX(0,'Process'!AN595*'Control Room'!$H$11*INDEX('Control Room'!$B$19:$H$19,1,WEEKDAY($A595,2))*(1+'Control Room'!$D$9)^593*'Process'!AO595),2),"")</x:f>
      </x:c>
      <x:c r="K595" s="16" t="str">
        <x:f>IF(AND(AND(594&lt;='Control Room'!$B$3,'Control Room'!$D$3="Ready"),9&lt;='Control Room'!$B$2),ROUND(MAX(0,'Process'!AS595*'Control Room'!$H$12*INDEX('Control Room'!$B$19:$H$19,1,WEEKDAY($A595,2))*(1+'Control Room'!$D$9)^593*'Process'!AT595),2),"")</x:f>
      </x:c>
      <x:c r="L595" s="16" t="str">
        <x:f>IF(AND(AND(594&lt;='Control Room'!$B$3,'Control Room'!$D$3="Ready"),10&lt;='Control Room'!$B$2),ROUND(MAX(0,'Process'!AX595*'Control Room'!$H$13*INDEX('Control Room'!$B$19:$H$19,1,WEEKDAY($A595,2))*(1+'Control Room'!$D$9)^593*'Process'!AY595),2),"")</x:f>
      </x:c>
      <x:c r="M595" s="16" t="str">
        <x:f>IF(AND(AND(594&lt;='Control Room'!$B$3,'Control Room'!$D$3="Ready"),11&lt;='Control Room'!$B$2),ROUND(MAX(0,'Process'!BC595*'Control Room'!$H$14*INDEX('Control Room'!$B$19:$H$19,1,WEEKDAY($A595,2))*(1+'Control Room'!$D$9)^593*'Process'!BD595),2),"")</x:f>
      </x:c>
      <x:c r="N595" s="16" t="str">
        <x:f>IF(AND(AND(594&lt;='Control Room'!$B$3,'Control Room'!$D$3="Ready"),12&lt;='Control Room'!$B$2),ROUND(MAX(0,'Process'!BH595*'Control Room'!$H$15*INDEX('Control Room'!$B$19:$H$19,1,WEEKDAY($A595,2))*(1+'Control Room'!$D$9)^593*'Process'!BI595),2),"")</x:f>
      </x:c>
    </x:row>
    <x:row r="596" ht="21" customHeight="1">
      <x:c r="A596" s="15" t="str">
        <x:f>IF(AND(595&lt;='Control Room'!$B$3,'Control Room'!$D$3="Ready"),'Process'!A596,"")</x:f>
      </x:c>
      <x:c r="B596" s="16" t="str">
        <x:f>IF(A596="","",SUM(C596:N596))</x:f>
      </x:c>
      <x:c r="C596" s="16" t="str">
        <x:f>IF(AND(AND(595&lt;='Control Room'!$B$3,'Control Room'!$D$3="Ready"),1&lt;='Control Room'!$B$2),ROUND(MAX(0,'Process'!E596*'Control Room'!$H$4*INDEX('Control Room'!$B$19:$H$19,1,WEEKDAY($A596,2))*(1+'Control Room'!$D$9)^594*'Process'!F596),2),"")</x:f>
      </x:c>
      <x:c r="D596" s="16" t="str">
        <x:f>IF(AND(AND(595&lt;='Control Room'!$B$3,'Control Room'!$D$3="Ready"),2&lt;='Control Room'!$B$2),ROUND(MAX(0,'Process'!J596*'Control Room'!$H$5*INDEX('Control Room'!$B$19:$H$19,1,WEEKDAY($A596,2))*(1+'Control Room'!$D$9)^594*'Process'!K596),2),"")</x:f>
      </x:c>
      <x:c r="E596" s="16" t="str">
        <x:f>IF(AND(AND(595&lt;='Control Room'!$B$3,'Control Room'!$D$3="Ready"),3&lt;='Control Room'!$B$2),ROUND(MAX(0,'Process'!O596*'Control Room'!$H$6*INDEX('Control Room'!$B$19:$H$19,1,WEEKDAY($A596,2))*(1+'Control Room'!$D$9)^594*'Process'!P596),2),"")</x:f>
      </x:c>
      <x:c r="F596" s="16" t="str">
        <x:f>IF(AND(AND(595&lt;='Control Room'!$B$3,'Control Room'!$D$3="Ready"),4&lt;='Control Room'!$B$2),ROUND(MAX(0,'Process'!T596*'Control Room'!$H$7*INDEX('Control Room'!$B$19:$H$19,1,WEEKDAY($A596,2))*(1+'Control Room'!$D$9)^594*'Process'!U596),2),"")</x:f>
      </x:c>
      <x:c r="G596" s="16" t="str">
        <x:f>IF(AND(AND(595&lt;='Control Room'!$B$3,'Control Room'!$D$3="Ready"),5&lt;='Control Room'!$B$2),ROUND(MAX(0,'Process'!Y596*'Control Room'!$H$8*INDEX('Control Room'!$B$19:$H$19,1,WEEKDAY($A596,2))*(1+'Control Room'!$D$9)^594*'Process'!Z596),2),"")</x:f>
      </x:c>
      <x:c r="H596" s="16" t="str">
        <x:f>IF(AND(AND(595&lt;='Control Room'!$B$3,'Control Room'!$D$3="Ready"),6&lt;='Control Room'!$B$2),ROUND(MAX(0,'Process'!AD596*'Control Room'!$H$9*INDEX('Control Room'!$B$19:$H$19,1,WEEKDAY($A596,2))*(1+'Control Room'!$D$9)^594*'Process'!AE596),2),"")</x:f>
      </x:c>
      <x:c r="I596" s="16" t="str">
        <x:f>IF(AND(AND(595&lt;='Control Room'!$B$3,'Control Room'!$D$3="Ready"),7&lt;='Control Room'!$B$2),ROUND(MAX(0,'Process'!AI596*'Control Room'!$H$10*INDEX('Control Room'!$B$19:$H$19,1,WEEKDAY($A596,2))*(1+'Control Room'!$D$9)^594*'Process'!AJ596),2),"")</x:f>
      </x:c>
      <x:c r="J596" s="16" t="str">
        <x:f>IF(AND(AND(595&lt;='Control Room'!$B$3,'Control Room'!$D$3="Ready"),8&lt;='Control Room'!$B$2),ROUND(MAX(0,'Process'!AN596*'Control Room'!$H$11*INDEX('Control Room'!$B$19:$H$19,1,WEEKDAY($A596,2))*(1+'Control Room'!$D$9)^594*'Process'!AO596),2),"")</x:f>
      </x:c>
      <x:c r="K596" s="16" t="str">
        <x:f>IF(AND(AND(595&lt;='Control Room'!$B$3,'Control Room'!$D$3="Ready"),9&lt;='Control Room'!$B$2),ROUND(MAX(0,'Process'!AS596*'Control Room'!$H$12*INDEX('Control Room'!$B$19:$H$19,1,WEEKDAY($A596,2))*(1+'Control Room'!$D$9)^594*'Process'!AT596),2),"")</x:f>
      </x:c>
      <x:c r="L596" s="16" t="str">
        <x:f>IF(AND(AND(595&lt;='Control Room'!$B$3,'Control Room'!$D$3="Ready"),10&lt;='Control Room'!$B$2),ROUND(MAX(0,'Process'!AX596*'Control Room'!$H$13*INDEX('Control Room'!$B$19:$H$19,1,WEEKDAY($A596,2))*(1+'Control Room'!$D$9)^594*'Process'!AY596),2),"")</x:f>
      </x:c>
      <x:c r="M596" s="16" t="str">
        <x:f>IF(AND(AND(595&lt;='Control Room'!$B$3,'Control Room'!$D$3="Ready"),11&lt;='Control Room'!$B$2),ROUND(MAX(0,'Process'!BC596*'Control Room'!$H$14*INDEX('Control Room'!$B$19:$H$19,1,WEEKDAY($A596,2))*(1+'Control Room'!$D$9)^594*'Process'!BD596),2),"")</x:f>
      </x:c>
      <x:c r="N596" s="16" t="str">
        <x:f>IF(AND(AND(595&lt;='Control Room'!$B$3,'Control Room'!$D$3="Ready"),12&lt;='Control Room'!$B$2),ROUND(MAX(0,'Process'!BH596*'Control Room'!$H$15*INDEX('Control Room'!$B$19:$H$19,1,WEEKDAY($A596,2))*(1+'Control Room'!$D$9)^594*'Process'!BI596),2),"")</x:f>
      </x:c>
    </x:row>
    <x:row r="597" ht="21" customHeight="1">
      <x:c r="A597" s="15" t="str">
        <x:f>IF(AND(596&lt;='Control Room'!$B$3,'Control Room'!$D$3="Ready"),'Process'!A597,"")</x:f>
      </x:c>
      <x:c r="B597" s="16" t="str">
        <x:f>IF(A597="","",SUM(C597:N597))</x:f>
      </x:c>
      <x:c r="C597" s="16" t="str">
        <x:f>IF(AND(AND(596&lt;='Control Room'!$B$3,'Control Room'!$D$3="Ready"),1&lt;='Control Room'!$B$2),ROUND(MAX(0,'Process'!E597*'Control Room'!$H$4*INDEX('Control Room'!$B$19:$H$19,1,WEEKDAY($A597,2))*(1+'Control Room'!$D$9)^595*'Process'!F597),2),"")</x:f>
      </x:c>
      <x:c r="D597" s="16" t="str">
        <x:f>IF(AND(AND(596&lt;='Control Room'!$B$3,'Control Room'!$D$3="Ready"),2&lt;='Control Room'!$B$2),ROUND(MAX(0,'Process'!J597*'Control Room'!$H$5*INDEX('Control Room'!$B$19:$H$19,1,WEEKDAY($A597,2))*(1+'Control Room'!$D$9)^595*'Process'!K597),2),"")</x:f>
      </x:c>
      <x:c r="E597" s="16" t="str">
        <x:f>IF(AND(AND(596&lt;='Control Room'!$B$3,'Control Room'!$D$3="Ready"),3&lt;='Control Room'!$B$2),ROUND(MAX(0,'Process'!O597*'Control Room'!$H$6*INDEX('Control Room'!$B$19:$H$19,1,WEEKDAY($A597,2))*(1+'Control Room'!$D$9)^595*'Process'!P597),2),"")</x:f>
      </x:c>
      <x:c r="F597" s="16" t="str">
        <x:f>IF(AND(AND(596&lt;='Control Room'!$B$3,'Control Room'!$D$3="Ready"),4&lt;='Control Room'!$B$2),ROUND(MAX(0,'Process'!T597*'Control Room'!$H$7*INDEX('Control Room'!$B$19:$H$19,1,WEEKDAY($A597,2))*(1+'Control Room'!$D$9)^595*'Process'!U597),2),"")</x:f>
      </x:c>
      <x:c r="G597" s="16" t="str">
        <x:f>IF(AND(AND(596&lt;='Control Room'!$B$3,'Control Room'!$D$3="Ready"),5&lt;='Control Room'!$B$2),ROUND(MAX(0,'Process'!Y597*'Control Room'!$H$8*INDEX('Control Room'!$B$19:$H$19,1,WEEKDAY($A597,2))*(1+'Control Room'!$D$9)^595*'Process'!Z597),2),"")</x:f>
      </x:c>
      <x:c r="H597" s="16" t="str">
        <x:f>IF(AND(AND(596&lt;='Control Room'!$B$3,'Control Room'!$D$3="Ready"),6&lt;='Control Room'!$B$2),ROUND(MAX(0,'Process'!AD597*'Control Room'!$H$9*INDEX('Control Room'!$B$19:$H$19,1,WEEKDAY($A597,2))*(1+'Control Room'!$D$9)^595*'Process'!AE597),2),"")</x:f>
      </x:c>
      <x:c r="I597" s="16" t="str">
        <x:f>IF(AND(AND(596&lt;='Control Room'!$B$3,'Control Room'!$D$3="Ready"),7&lt;='Control Room'!$B$2),ROUND(MAX(0,'Process'!AI597*'Control Room'!$H$10*INDEX('Control Room'!$B$19:$H$19,1,WEEKDAY($A597,2))*(1+'Control Room'!$D$9)^595*'Process'!AJ597),2),"")</x:f>
      </x:c>
      <x:c r="J597" s="16" t="str">
        <x:f>IF(AND(AND(596&lt;='Control Room'!$B$3,'Control Room'!$D$3="Ready"),8&lt;='Control Room'!$B$2),ROUND(MAX(0,'Process'!AN597*'Control Room'!$H$11*INDEX('Control Room'!$B$19:$H$19,1,WEEKDAY($A597,2))*(1+'Control Room'!$D$9)^595*'Process'!AO597),2),"")</x:f>
      </x:c>
      <x:c r="K597" s="16" t="str">
        <x:f>IF(AND(AND(596&lt;='Control Room'!$B$3,'Control Room'!$D$3="Ready"),9&lt;='Control Room'!$B$2),ROUND(MAX(0,'Process'!AS597*'Control Room'!$H$12*INDEX('Control Room'!$B$19:$H$19,1,WEEKDAY($A597,2))*(1+'Control Room'!$D$9)^595*'Process'!AT597),2),"")</x:f>
      </x:c>
      <x:c r="L597" s="16" t="str">
        <x:f>IF(AND(AND(596&lt;='Control Room'!$B$3,'Control Room'!$D$3="Ready"),10&lt;='Control Room'!$B$2),ROUND(MAX(0,'Process'!AX597*'Control Room'!$H$13*INDEX('Control Room'!$B$19:$H$19,1,WEEKDAY($A597,2))*(1+'Control Room'!$D$9)^595*'Process'!AY597),2),"")</x:f>
      </x:c>
      <x:c r="M597" s="16" t="str">
        <x:f>IF(AND(AND(596&lt;='Control Room'!$B$3,'Control Room'!$D$3="Ready"),11&lt;='Control Room'!$B$2),ROUND(MAX(0,'Process'!BC597*'Control Room'!$H$14*INDEX('Control Room'!$B$19:$H$19,1,WEEKDAY($A597,2))*(1+'Control Room'!$D$9)^595*'Process'!BD597),2),"")</x:f>
      </x:c>
      <x:c r="N597" s="16" t="str">
        <x:f>IF(AND(AND(596&lt;='Control Room'!$B$3,'Control Room'!$D$3="Ready"),12&lt;='Control Room'!$B$2),ROUND(MAX(0,'Process'!BH597*'Control Room'!$H$15*INDEX('Control Room'!$B$19:$H$19,1,WEEKDAY($A597,2))*(1+'Control Room'!$D$9)^595*'Process'!BI597),2),"")</x:f>
      </x:c>
    </x:row>
    <x:row r="598" ht="21" customHeight="1">
      <x:c r="A598" s="15" t="str">
        <x:f>IF(AND(597&lt;='Control Room'!$B$3,'Control Room'!$D$3="Ready"),'Process'!A598,"")</x:f>
      </x:c>
      <x:c r="B598" s="16" t="str">
        <x:f>IF(A598="","",SUM(C598:N598))</x:f>
      </x:c>
      <x:c r="C598" s="16" t="str">
        <x:f>IF(AND(AND(597&lt;='Control Room'!$B$3,'Control Room'!$D$3="Ready"),1&lt;='Control Room'!$B$2),ROUND(MAX(0,'Process'!E598*'Control Room'!$H$4*INDEX('Control Room'!$B$19:$H$19,1,WEEKDAY($A598,2))*(1+'Control Room'!$D$9)^596*'Process'!F598),2),"")</x:f>
      </x:c>
      <x:c r="D598" s="16" t="str">
        <x:f>IF(AND(AND(597&lt;='Control Room'!$B$3,'Control Room'!$D$3="Ready"),2&lt;='Control Room'!$B$2),ROUND(MAX(0,'Process'!J598*'Control Room'!$H$5*INDEX('Control Room'!$B$19:$H$19,1,WEEKDAY($A598,2))*(1+'Control Room'!$D$9)^596*'Process'!K598),2),"")</x:f>
      </x:c>
      <x:c r="E598" s="16" t="str">
        <x:f>IF(AND(AND(597&lt;='Control Room'!$B$3,'Control Room'!$D$3="Ready"),3&lt;='Control Room'!$B$2),ROUND(MAX(0,'Process'!O598*'Control Room'!$H$6*INDEX('Control Room'!$B$19:$H$19,1,WEEKDAY($A598,2))*(1+'Control Room'!$D$9)^596*'Process'!P598),2),"")</x:f>
      </x:c>
      <x:c r="F598" s="16" t="str">
        <x:f>IF(AND(AND(597&lt;='Control Room'!$B$3,'Control Room'!$D$3="Ready"),4&lt;='Control Room'!$B$2),ROUND(MAX(0,'Process'!T598*'Control Room'!$H$7*INDEX('Control Room'!$B$19:$H$19,1,WEEKDAY($A598,2))*(1+'Control Room'!$D$9)^596*'Process'!U598),2),"")</x:f>
      </x:c>
      <x:c r="G598" s="16" t="str">
        <x:f>IF(AND(AND(597&lt;='Control Room'!$B$3,'Control Room'!$D$3="Ready"),5&lt;='Control Room'!$B$2),ROUND(MAX(0,'Process'!Y598*'Control Room'!$H$8*INDEX('Control Room'!$B$19:$H$19,1,WEEKDAY($A598,2))*(1+'Control Room'!$D$9)^596*'Process'!Z598),2),"")</x:f>
      </x:c>
      <x:c r="H598" s="16" t="str">
        <x:f>IF(AND(AND(597&lt;='Control Room'!$B$3,'Control Room'!$D$3="Ready"),6&lt;='Control Room'!$B$2),ROUND(MAX(0,'Process'!AD598*'Control Room'!$H$9*INDEX('Control Room'!$B$19:$H$19,1,WEEKDAY($A598,2))*(1+'Control Room'!$D$9)^596*'Process'!AE598),2),"")</x:f>
      </x:c>
      <x:c r="I598" s="16" t="str">
        <x:f>IF(AND(AND(597&lt;='Control Room'!$B$3,'Control Room'!$D$3="Ready"),7&lt;='Control Room'!$B$2),ROUND(MAX(0,'Process'!AI598*'Control Room'!$H$10*INDEX('Control Room'!$B$19:$H$19,1,WEEKDAY($A598,2))*(1+'Control Room'!$D$9)^596*'Process'!AJ598),2),"")</x:f>
      </x:c>
      <x:c r="J598" s="16" t="str">
        <x:f>IF(AND(AND(597&lt;='Control Room'!$B$3,'Control Room'!$D$3="Ready"),8&lt;='Control Room'!$B$2),ROUND(MAX(0,'Process'!AN598*'Control Room'!$H$11*INDEX('Control Room'!$B$19:$H$19,1,WEEKDAY($A598,2))*(1+'Control Room'!$D$9)^596*'Process'!AO598),2),"")</x:f>
      </x:c>
      <x:c r="K598" s="16" t="str">
        <x:f>IF(AND(AND(597&lt;='Control Room'!$B$3,'Control Room'!$D$3="Ready"),9&lt;='Control Room'!$B$2),ROUND(MAX(0,'Process'!AS598*'Control Room'!$H$12*INDEX('Control Room'!$B$19:$H$19,1,WEEKDAY($A598,2))*(1+'Control Room'!$D$9)^596*'Process'!AT598),2),"")</x:f>
      </x:c>
      <x:c r="L598" s="16" t="str">
        <x:f>IF(AND(AND(597&lt;='Control Room'!$B$3,'Control Room'!$D$3="Ready"),10&lt;='Control Room'!$B$2),ROUND(MAX(0,'Process'!AX598*'Control Room'!$H$13*INDEX('Control Room'!$B$19:$H$19,1,WEEKDAY($A598,2))*(1+'Control Room'!$D$9)^596*'Process'!AY598),2),"")</x:f>
      </x:c>
      <x:c r="M598" s="16" t="str">
        <x:f>IF(AND(AND(597&lt;='Control Room'!$B$3,'Control Room'!$D$3="Ready"),11&lt;='Control Room'!$B$2),ROUND(MAX(0,'Process'!BC598*'Control Room'!$H$14*INDEX('Control Room'!$B$19:$H$19,1,WEEKDAY($A598,2))*(1+'Control Room'!$D$9)^596*'Process'!BD598),2),"")</x:f>
      </x:c>
      <x:c r="N598" s="16" t="str">
        <x:f>IF(AND(AND(597&lt;='Control Room'!$B$3,'Control Room'!$D$3="Ready"),12&lt;='Control Room'!$B$2),ROUND(MAX(0,'Process'!BH598*'Control Room'!$H$15*INDEX('Control Room'!$B$19:$H$19,1,WEEKDAY($A598,2))*(1+'Control Room'!$D$9)^596*'Process'!BI598),2),"")</x:f>
      </x:c>
    </x:row>
    <x:row r="599" ht="21" customHeight="1">
      <x:c r="A599" s="15" t="str">
        <x:f>IF(AND(598&lt;='Control Room'!$B$3,'Control Room'!$D$3="Ready"),'Process'!A599,"")</x:f>
      </x:c>
      <x:c r="B599" s="16" t="str">
        <x:f>IF(A599="","",SUM(C599:N599))</x:f>
      </x:c>
      <x:c r="C599" s="16" t="str">
        <x:f>IF(AND(AND(598&lt;='Control Room'!$B$3,'Control Room'!$D$3="Ready"),1&lt;='Control Room'!$B$2),ROUND(MAX(0,'Process'!E599*'Control Room'!$H$4*INDEX('Control Room'!$B$19:$H$19,1,WEEKDAY($A599,2))*(1+'Control Room'!$D$9)^597*'Process'!F599),2),"")</x:f>
      </x:c>
      <x:c r="D599" s="16" t="str">
        <x:f>IF(AND(AND(598&lt;='Control Room'!$B$3,'Control Room'!$D$3="Ready"),2&lt;='Control Room'!$B$2),ROUND(MAX(0,'Process'!J599*'Control Room'!$H$5*INDEX('Control Room'!$B$19:$H$19,1,WEEKDAY($A599,2))*(1+'Control Room'!$D$9)^597*'Process'!K599),2),"")</x:f>
      </x:c>
      <x:c r="E599" s="16" t="str">
        <x:f>IF(AND(AND(598&lt;='Control Room'!$B$3,'Control Room'!$D$3="Ready"),3&lt;='Control Room'!$B$2),ROUND(MAX(0,'Process'!O599*'Control Room'!$H$6*INDEX('Control Room'!$B$19:$H$19,1,WEEKDAY($A599,2))*(1+'Control Room'!$D$9)^597*'Process'!P599),2),"")</x:f>
      </x:c>
      <x:c r="F599" s="16" t="str">
        <x:f>IF(AND(AND(598&lt;='Control Room'!$B$3,'Control Room'!$D$3="Ready"),4&lt;='Control Room'!$B$2),ROUND(MAX(0,'Process'!T599*'Control Room'!$H$7*INDEX('Control Room'!$B$19:$H$19,1,WEEKDAY($A599,2))*(1+'Control Room'!$D$9)^597*'Process'!U599),2),"")</x:f>
      </x:c>
      <x:c r="G599" s="16" t="str">
        <x:f>IF(AND(AND(598&lt;='Control Room'!$B$3,'Control Room'!$D$3="Ready"),5&lt;='Control Room'!$B$2),ROUND(MAX(0,'Process'!Y599*'Control Room'!$H$8*INDEX('Control Room'!$B$19:$H$19,1,WEEKDAY($A599,2))*(1+'Control Room'!$D$9)^597*'Process'!Z599),2),"")</x:f>
      </x:c>
      <x:c r="H599" s="16" t="str">
        <x:f>IF(AND(AND(598&lt;='Control Room'!$B$3,'Control Room'!$D$3="Ready"),6&lt;='Control Room'!$B$2),ROUND(MAX(0,'Process'!AD599*'Control Room'!$H$9*INDEX('Control Room'!$B$19:$H$19,1,WEEKDAY($A599,2))*(1+'Control Room'!$D$9)^597*'Process'!AE599),2),"")</x:f>
      </x:c>
      <x:c r="I599" s="16" t="str">
        <x:f>IF(AND(AND(598&lt;='Control Room'!$B$3,'Control Room'!$D$3="Ready"),7&lt;='Control Room'!$B$2),ROUND(MAX(0,'Process'!AI599*'Control Room'!$H$10*INDEX('Control Room'!$B$19:$H$19,1,WEEKDAY($A599,2))*(1+'Control Room'!$D$9)^597*'Process'!AJ599),2),"")</x:f>
      </x:c>
      <x:c r="J599" s="16" t="str">
        <x:f>IF(AND(AND(598&lt;='Control Room'!$B$3,'Control Room'!$D$3="Ready"),8&lt;='Control Room'!$B$2),ROUND(MAX(0,'Process'!AN599*'Control Room'!$H$11*INDEX('Control Room'!$B$19:$H$19,1,WEEKDAY($A599,2))*(1+'Control Room'!$D$9)^597*'Process'!AO599),2),"")</x:f>
      </x:c>
      <x:c r="K599" s="16" t="str">
        <x:f>IF(AND(AND(598&lt;='Control Room'!$B$3,'Control Room'!$D$3="Ready"),9&lt;='Control Room'!$B$2),ROUND(MAX(0,'Process'!AS599*'Control Room'!$H$12*INDEX('Control Room'!$B$19:$H$19,1,WEEKDAY($A599,2))*(1+'Control Room'!$D$9)^597*'Process'!AT599),2),"")</x:f>
      </x:c>
      <x:c r="L599" s="16" t="str">
        <x:f>IF(AND(AND(598&lt;='Control Room'!$B$3,'Control Room'!$D$3="Ready"),10&lt;='Control Room'!$B$2),ROUND(MAX(0,'Process'!AX599*'Control Room'!$H$13*INDEX('Control Room'!$B$19:$H$19,1,WEEKDAY($A599,2))*(1+'Control Room'!$D$9)^597*'Process'!AY599),2),"")</x:f>
      </x:c>
      <x:c r="M599" s="16" t="str">
        <x:f>IF(AND(AND(598&lt;='Control Room'!$B$3,'Control Room'!$D$3="Ready"),11&lt;='Control Room'!$B$2),ROUND(MAX(0,'Process'!BC599*'Control Room'!$H$14*INDEX('Control Room'!$B$19:$H$19,1,WEEKDAY($A599,2))*(1+'Control Room'!$D$9)^597*'Process'!BD599),2),"")</x:f>
      </x:c>
      <x:c r="N599" s="16" t="str">
        <x:f>IF(AND(AND(598&lt;='Control Room'!$B$3,'Control Room'!$D$3="Ready"),12&lt;='Control Room'!$B$2),ROUND(MAX(0,'Process'!BH599*'Control Room'!$H$15*INDEX('Control Room'!$B$19:$H$19,1,WEEKDAY($A599,2))*(1+'Control Room'!$D$9)^597*'Process'!BI599),2),"")</x:f>
      </x:c>
    </x:row>
    <x:row r="600" ht="21" customHeight="1">
      <x:c r="A600" s="15" t="str">
        <x:f>IF(AND(599&lt;='Control Room'!$B$3,'Control Room'!$D$3="Ready"),'Process'!A600,"")</x:f>
      </x:c>
      <x:c r="B600" s="16" t="str">
        <x:f>IF(A600="","",SUM(C600:N600))</x:f>
      </x:c>
      <x:c r="C600" s="16" t="str">
        <x:f>IF(AND(AND(599&lt;='Control Room'!$B$3,'Control Room'!$D$3="Ready"),1&lt;='Control Room'!$B$2),ROUND(MAX(0,'Process'!E600*'Control Room'!$H$4*INDEX('Control Room'!$B$19:$H$19,1,WEEKDAY($A600,2))*(1+'Control Room'!$D$9)^598*'Process'!F600),2),"")</x:f>
      </x:c>
      <x:c r="D600" s="16" t="str">
        <x:f>IF(AND(AND(599&lt;='Control Room'!$B$3,'Control Room'!$D$3="Ready"),2&lt;='Control Room'!$B$2),ROUND(MAX(0,'Process'!J600*'Control Room'!$H$5*INDEX('Control Room'!$B$19:$H$19,1,WEEKDAY($A600,2))*(1+'Control Room'!$D$9)^598*'Process'!K600),2),"")</x:f>
      </x:c>
      <x:c r="E600" s="16" t="str">
        <x:f>IF(AND(AND(599&lt;='Control Room'!$B$3,'Control Room'!$D$3="Ready"),3&lt;='Control Room'!$B$2),ROUND(MAX(0,'Process'!O600*'Control Room'!$H$6*INDEX('Control Room'!$B$19:$H$19,1,WEEKDAY($A600,2))*(1+'Control Room'!$D$9)^598*'Process'!P600),2),"")</x:f>
      </x:c>
      <x:c r="F600" s="16" t="str">
        <x:f>IF(AND(AND(599&lt;='Control Room'!$B$3,'Control Room'!$D$3="Ready"),4&lt;='Control Room'!$B$2),ROUND(MAX(0,'Process'!T600*'Control Room'!$H$7*INDEX('Control Room'!$B$19:$H$19,1,WEEKDAY($A600,2))*(1+'Control Room'!$D$9)^598*'Process'!U600),2),"")</x:f>
      </x:c>
      <x:c r="G600" s="16" t="str">
        <x:f>IF(AND(AND(599&lt;='Control Room'!$B$3,'Control Room'!$D$3="Ready"),5&lt;='Control Room'!$B$2),ROUND(MAX(0,'Process'!Y600*'Control Room'!$H$8*INDEX('Control Room'!$B$19:$H$19,1,WEEKDAY($A600,2))*(1+'Control Room'!$D$9)^598*'Process'!Z600),2),"")</x:f>
      </x:c>
      <x:c r="H600" s="16" t="str">
        <x:f>IF(AND(AND(599&lt;='Control Room'!$B$3,'Control Room'!$D$3="Ready"),6&lt;='Control Room'!$B$2),ROUND(MAX(0,'Process'!AD600*'Control Room'!$H$9*INDEX('Control Room'!$B$19:$H$19,1,WEEKDAY($A600,2))*(1+'Control Room'!$D$9)^598*'Process'!AE600),2),"")</x:f>
      </x:c>
      <x:c r="I600" s="16" t="str">
        <x:f>IF(AND(AND(599&lt;='Control Room'!$B$3,'Control Room'!$D$3="Ready"),7&lt;='Control Room'!$B$2),ROUND(MAX(0,'Process'!AI600*'Control Room'!$H$10*INDEX('Control Room'!$B$19:$H$19,1,WEEKDAY($A600,2))*(1+'Control Room'!$D$9)^598*'Process'!AJ600),2),"")</x:f>
      </x:c>
      <x:c r="J600" s="16" t="str">
        <x:f>IF(AND(AND(599&lt;='Control Room'!$B$3,'Control Room'!$D$3="Ready"),8&lt;='Control Room'!$B$2),ROUND(MAX(0,'Process'!AN600*'Control Room'!$H$11*INDEX('Control Room'!$B$19:$H$19,1,WEEKDAY($A600,2))*(1+'Control Room'!$D$9)^598*'Process'!AO600),2),"")</x:f>
      </x:c>
      <x:c r="K600" s="16" t="str">
        <x:f>IF(AND(AND(599&lt;='Control Room'!$B$3,'Control Room'!$D$3="Ready"),9&lt;='Control Room'!$B$2),ROUND(MAX(0,'Process'!AS600*'Control Room'!$H$12*INDEX('Control Room'!$B$19:$H$19,1,WEEKDAY($A600,2))*(1+'Control Room'!$D$9)^598*'Process'!AT600),2),"")</x:f>
      </x:c>
      <x:c r="L600" s="16" t="str">
        <x:f>IF(AND(AND(599&lt;='Control Room'!$B$3,'Control Room'!$D$3="Ready"),10&lt;='Control Room'!$B$2),ROUND(MAX(0,'Process'!AX600*'Control Room'!$H$13*INDEX('Control Room'!$B$19:$H$19,1,WEEKDAY($A600,2))*(1+'Control Room'!$D$9)^598*'Process'!AY600),2),"")</x:f>
      </x:c>
      <x:c r="M600" s="16" t="str">
        <x:f>IF(AND(AND(599&lt;='Control Room'!$B$3,'Control Room'!$D$3="Ready"),11&lt;='Control Room'!$B$2),ROUND(MAX(0,'Process'!BC600*'Control Room'!$H$14*INDEX('Control Room'!$B$19:$H$19,1,WEEKDAY($A600,2))*(1+'Control Room'!$D$9)^598*'Process'!BD600),2),"")</x:f>
      </x:c>
      <x:c r="N600" s="16" t="str">
        <x:f>IF(AND(AND(599&lt;='Control Room'!$B$3,'Control Room'!$D$3="Ready"),12&lt;='Control Room'!$B$2),ROUND(MAX(0,'Process'!BH600*'Control Room'!$H$15*INDEX('Control Room'!$B$19:$H$19,1,WEEKDAY($A600,2))*(1+'Control Room'!$D$9)^598*'Process'!BI600),2),"")</x:f>
      </x:c>
    </x:row>
    <x:row r="601" ht="21" customHeight="1">
      <x:c r="A601" s="15" t="str">
        <x:f>IF(AND(600&lt;='Control Room'!$B$3,'Control Room'!$D$3="Ready"),'Process'!A601,"")</x:f>
      </x:c>
      <x:c r="B601" s="16" t="str">
        <x:f>IF(A601="","",SUM(C601:N601))</x:f>
      </x:c>
      <x:c r="C601" s="16" t="str">
        <x:f>IF(AND(AND(600&lt;='Control Room'!$B$3,'Control Room'!$D$3="Ready"),1&lt;='Control Room'!$B$2),ROUND(MAX(0,'Process'!E601*'Control Room'!$H$4*INDEX('Control Room'!$B$19:$H$19,1,WEEKDAY($A601,2))*(1+'Control Room'!$D$9)^599*'Process'!F601),2),"")</x:f>
      </x:c>
      <x:c r="D601" s="16" t="str">
        <x:f>IF(AND(AND(600&lt;='Control Room'!$B$3,'Control Room'!$D$3="Ready"),2&lt;='Control Room'!$B$2),ROUND(MAX(0,'Process'!J601*'Control Room'!$H$5*INDEX('Control Room'!$B$19:$H$19,1,WEEKDAY($A601,2))*(1+'Control Room'!$D$9)^599*'Process'!K601),2),"")</x:f>
      </x:c>
      <x:c r="E601" s="16" t="str">
        <x:f>IF(AND(AND(600&lt;='Control Room'!$B$3,'Control Room'!$D$3="Ready"),3&lt;='Control Room'!$B$2),ROUND(MAX(0,'Process'!O601*'Control Room'!$H$6*INDEX('Control Room'!$B$19:$H$19,1,WEEKDAY($A601,2))*(1+'Control Room'!$D$9)^599*'Process'!P601),2),"")</x:f>
      </x:c>
      <x:c r="F601" s="16" t="str">
        <x:f>IF(AND(AND(600&lt;='Control Room'!$B$3,'Control Room'!$D$3="Ready"),4&lt;='Control Room'!$B$2),ROUND(MAX(0,'Process'!T601*'Control Room'!$H$7*INDEX('Control Room'!$B$19:$H$19,1,WEEKDAY($A601,2))*(1+'Control Room'!$D$9)^599*'Process'!U601),2),"")</x:f>
      </x:c>
      <x:c r="G601" s="16" t="str">
        <x:f>IF(AND(AND(600&lt;='Control Room'!$B$3,'Control Room'!$D$3="Ready"),5&lt;='Control Room'!$B$2),ROUND(MAX(0,'Process'!Y601*'Control Room'!$H$8*INDEX('Control Room'!$B$19:$H$19,1,WEEKDAY($A601,2))*(1+'Control Room'!$D$9)^599*'Process'!Z601),2),"")</x:f>
      </x:c>
      <x:c r="H601" s="16" t="str">
        <x:f>IF(AND(AND(600&lt;='Control Room'!$B$3,'Control Room'!$D$3="Ready"),6&lt;='Control Room'!$B$2),ROUND(MAX(0,'Process'!AD601*'Control Room'!$H$9*INDEX('Control Room'!$B$19:$H$19,1,WEEKDAY($A601,2))*(1+'Control Room'!$D$9)^599*'Process'!AE601),2),"")</x:f>
      </x:c>
      <x:c r="I601" s="16" t="str">
        <x:f>IF(AND(AND(600&lt;='Control Room'!$B$3,'Control Room'!$D$3="Ready"),7&lt;='Control Room'!$B$2),ROUND(MAX(0,'Process'!AI601*'Control Room'!$H$10*INDEX('Control Room'!$B$19:$H$19,1,WEEKDAY($A601,2))*(1+'Control Room'!$D$9)^599*'Process'!AJ601),2),"")</x:f>
      </x:c>
      <x:c r="J601" s="16" t="str">
        <x:f>IF(AND(AND(600&lt;='Control Room'!$B$3,'Control Room'!$D$3="Ready"),8&lt;='Control Room'!$B$2),ROUND(MAX(0,'Process'!AN601*'Control Room'!$H$11*INDEX('Control Room'!$B$19:$H$19,1,WEEKDAY($A601,2))*(1+'Control Room'!$D$9)^599*'Process'!AO601),2),"")</x:f>
      </x:c>
      <x:c r="K601" s="16" t="str">
        <x:f>IF(AND(AND(600&lt;='Control Room'!$B$3,'Control Room'!$D$3="Ready"),9&lt;='Control Room'!$B$2),ROUND(MAX(0,'Process'!AS601*'Control Room'!$H$12*INDEX('Control Room'!$B$19:$H$19,1,WEEKDAY($A601,2))*(1+'Control Room'!$D$9)^599*'Process'!AT601),2),"")</x:f>
      </x:c>
      <x:c r="L601" s="16" t="str">
        <x:f>IF(AND(AND(600&lt;='Control Room'!$B$3,'Control Room'!$D$3="Ready"),10&lt;='Control Room'!$B$2),ROUND(MAX(0,'Process'!AX601*'Control Room'!$H$13*INDEX('Control Room'!$B$19:$H$19,1,WEEKDAY($A601,2))*(1+'Control Room'!$D$9)^599*'Process'!AY601),2),"")</x:f>
      </x:c>
      <x:c r="M601" s="16" t="str">
        <x:f>IF(AND(AND(600&lt;='Control Room'!$B$3,'Control Room'!$D$3="Ready"),11&lt;='Control Room'!$B$2),ROUND(MAX(0,'Process'!BC601*'Control Room'!$H$14*INDEX('Control Room'!$B$19:$H$19,1,WEEKDAY($A601,2))*(1+'Control Room'!$D$9)^599*'Process'!BD601),2),"")</x:f>
      </x:c>
      <x:c r="N601" s="16" t="str">
        <x:f>IF(AND(AND(600&lt;='Control Room'!$B$3,'Control Room'!$D$3="Ready"),12&lt;='Control Room'!$B$2),ROUND(MAX(0,'Process'!BH601*'Control Room'!$H$15*INDEX('Control Room'!$B$19:$H$19,1,WEEKDAY($A601,2))*(1+'Control Room'!$D$9)^599*'Process'!BI601),2),"")</x:f>
      </x:c>
    </x:row>
    <x:row r="602" ht="21" customHeight="1">
      <x:c r="A602" s="15" t="str">
        <x:f>IF(AND(601&lt;='Control Room'!$B$3,'Control Room'!$D$3="Ready"),'Process'!A602,"")</x:f>
      </x:c>
      <x:c r="B602" s="16" t="str">
        <x:f>IF(A602="","",SUM(C602:N602))</x:f>
      </x:c>
      <x:c r="C602" s="16" t="str">
        <x:f>IF(AND(AND(601&lt;='Control Room'!$B$3,'Control Room'!$D$3="Ready"),1&lt;='Control Room'!$B$2),ROUND(MAX(0,'Process'!E602*'Control Room'!$H$4*INDEX('Control Room'!$B$19:$H$19,1,WEEKDAY($A602,2))*(1+'Control Room'!$D$9)^600*'Process'!F602),2),"")</x:f>
      </x:c>
      <x:c r="D602" s="16" t="str">
        <x:f>IF(AND(AND(601&lt;='Control Room'!$B$3,'Control Room'!$D$3="Ready"),2&lt;='Control Room'!$B$2),ROUND(MAX(0,'Process'!J602*'Control Room'!$H$5*INDEX('Control Room'!$B$19:$H$19,1,WEEKDAY($A602,2))*(1+'Control Room'!$D$9)^600*'Process'!K602),2),"")</x:f>
      </x:c>
      <x:c r="E602" s="16" t="str">
        <x:f>IF(AND(AND(601&lt;='Control Room'!$B$3,'Control Room'!$D$3="Ready"),3&lt;='Control Room'!$B$2),ROUND(MAX(0,'Process'!O602*'Control Room'!$H$6*INDEX('Control Room'!$B$19:$H$19,1,WEEKDAY($A602,2))*(1+'Control Room'!$D$9)^600*'Process'!P602),2),"")</x:f>
      </x:c>
      <x:c r="F602" s="16" t="str">
        <x:f>IF(AND(AND(601&lt;='Control Room'!$B$3,'Control Room'!$D$3="Ready"),4&lt;='Control Room'!$B$2),ROUND(MAX(0,'Process'!T602*'Control Room'!$H$7*INDEX('Control Room'!$B$19:$H$19,1,WEEKDAY($A602,2))*(1+'Control Room'!$D$9)^600*'Process'!U602),2),"")</x:f>
      </x:c>
      <x:c r="G602" s="16" t="str">
        <x:f>IF(AND(AND(601&lt;='Control Room'!$B$3,'Control Room'!$D$3="Ready"),5&lt;='Control Room'!$B$2),ROUND(MAX(0,'Process'!Y602*'Control Room'!$H$8*INDEX('Control Room'!$B$19:$H$19,1,WEEKDAY($A602,2))*(1+'Control Room'!$D$9)^600*'Process'!Z602),2),"")</x:f>
      </x:c>
      <x:c r="H602" s="16" t="str">
        <x:f>IF(AND(AND(601&lt;='Control Room'!$B$3,'Control Room'!$D$3="Ready"),6&lt;='Control Room'!$B$2),ROUND(MAX(0,'Process'!AD602*'Control Room'!$H$9*INDEX('Control Room'!$B$19:$H$19,1,WEEKDAY($A602,2))*(1+'Control Room'!$D$9)^600*'Process'!AE602),2),"")</x:f>
      </x:c>
      <x:c r="I602" s="16" t="str">
        <x:f>IF(AND(AND(601&lt;='Control Room'!$B$3,'Control Room'!$D$3="Ready"),7&lt;='Control Room'!$B$2),ROUND(MAX(0,'Process'!AI602*'Control Room'!$H$10*INDEX('Control Room'!$B$19:$H$19,1,WEEKDAY($A602,2))*(1+'Control Room'!$D$9)^600*'Process'!AJ602),2),"")</x:f>
      </x:c>
      <x:c r="J602" s="16" t="str">
        <x:f>IF(AND(AND(601&lt;='Control Room'!$B$3,'Control Room'!$D$3="Ready"),8&lt;='Control Room'!$B$2),ROUND(MAX(0,'Process'!AN602*'Control Room'!$H$11*INDEX('Control Room'!$B$19:$H$19,1,WEEKDAY($A602,2))*(1+'Control Room'!$D$9)^600*'Process'!AO602),2),"")</x:f>
      </x:c>
      <x:c r="K602" s="16" t="str">
        <x:f>IF(AND(AND(601&lt;='Control Room'!$B$3,'Control Room'!$D$3="Ready"),9&lt;='Control Room'!$B$2),ROUND(MAX(0,'Process'!AS602*'Control Room'!$H$12*INDEX('Control Room'!$B$19:$H$19,1,WEEKDAY($A602,2))*(1+'Control Room'!$D$9)^600*'Process'!AT602),2),"")</x:f>
      </x:c>
      <x:c r="L602" s="16" t="str">
        <x:f>IF(AND(AND(601&lt;='Control Room'!$B$3,'Control Room'!$D$3="Ready"),10&lt;='Control Room'!$B$2),ROUND(MAX(0,'Process'!AX602*'Control Room'!$H$13*INDEX('Control Room'!$B$19:$H$19,1,WEEKDAY($A602,2))*(1+'Control Room'!$D$9)^600*'Process'!AY602),2),"")</x:f>
      </x:c>
      <x:c r="M602" s="16" t="str">
        <x:f>IF(AND(AND(601&lt;='Control Room'!$B$3,'Control Room'!$D$3="Ready"),11&lt;='Control Room'!$B$2),ROUND(MAX(0,'Process'!BC602*'Control Room'!$H$14*INDEX('Control Room'!$B$19:$H$19,1,WEEKDAY($A602,2))*(1+'Control Room'!$D$9)^600*'Process'!BD602),2),"")</x:f>
      </x:c>
      <x:c r="N602" s="16" t="str">
        <x:f>IF(AND(AND(601&lt;='Control Room'!$B$3,'Control Room'!$D$3="Ready"),12&lt;='Control Room'!$B$2),ROUND(MAX(0,'Process'!BH602*'Control Room'!$H$15*INDEX('Control Room'!$B$19:$H$19,1,WEEKDAY($A602,2))*(1+'Control Room'!$D$9)^600*'Process'!BI602),2),"")</x:f>
      </x:c>
    </x:row>
    <x:row r="603" ht="21" customHeight="1">
      <x:c r="A603" s="15" t="str">
        <x:f>IF(AND(602&lt;='Control Room'!$B$3,'Control Room'!$D$3="Ready"),'Process'!A603,"")</x:f>
      </x:c>
      <x:c r="B603" s="16" t="str">
        <x:f>IF(A603="","",SUM(C603:N603))</x:f>
      </x:c>
      <x:c r="C603" s="16" t="str">
        <x:f>IF(AND(AND(602&lt;='Control Room'!$B$3,'Control Room'!$D$3="Ready"),1&lt;='Control Room'!$B$2),ROUND(MAX(0,'Process'!E603*'Control Room'!$H$4*INDEX('Control Room'!$B$19:$H$19,1,WEEKDAY($A603,2))*(1+'Control Room'!$D$9)^601*'Process'!F603),2),"")</x:f>
      </x:c>
      <x:c r="D603" s="16" t="str">
        <x:f>IF(AND(AND(602&lt;='Control Room'!$B$3,'Control Room'!$D$3="Ready"),2&lt;='Control Room'!$B$2),ROUND(MAX(0,'Process'!J603*'Control Room'!$H$5*INDEX('Control Room'!$B$19:$H$19,1,WEEKDAY($A603,2))*(1+'Control Room'!$D$9)^601*'Process'!K603),2),"")</x:f>
      </x:c>
      <x:c r="E603" s="16" t="str">
        <x:f>IF(AND(AND(602&lt;='Control Room'!$B$3,'Control Room'!$D$3="Ready"),3&lt;='Control Room'!$B$2),ROUND(MAX(0,'Process'!O603*'Control Room'!$H$6*INDEX('Control Room'!$B$19:$H$19,1,WEEKDAY($A603,2))*(1+'Control Room'!$D$9)^601*'Process'!P603),2),"")</x:f>
      </x:c>
      <x:c r="F603" s="16" t="str">
        <x:f>IF(AND(AND(602&lt;='Control Room'!$B$3,'Control Room'!$D$3="Ready"),4&lt;='Control Room'!$B$2),ROUND(MAX(0,'Process'!T603*'Control Room'!$H$7*INDEX('Control Room'!$B$19:$H$19,1,WEEKDAY($A603,2))*(1+'Control Room'!$D$9)^601*'Process'!U603),2),"")</x:f>
      </x:c>
      <x:c r="G603" s="16" t="str">
        <x:f>IF(AND(AND(602&lt;='Control Room'!$B$3,'Control Room'!$D$3="Ready"),5&lt;='Control Room'!$B$2),ROUND(MAX(0,'Process'!Y603*'Control Room'!$H$8*INDEX('Control Room'!$B$19:$H$19,1,WEEKDAY($A603,2))*(1+'Control Room'!$D$9)^601*'Process'!Z603),2),"")</x:f>
      </x:c>
      <x:c r="H603" s="16" t="str">
        <x:f>IF(AND(AND(602&lt;='Control Room'!$B$3,'Control Room'!$D$3="Ready"),6&lt;='Control Room'!$B$2),ROUND(MAX(0,'Process'!AD603*'Control Room'!$H$9*INDEX('Control Room'!$B$19:$H$19,1,WEEKDAY($A603,2))*(1+'Control Room'!$D$9)^601*'Process'!AE603),2),"")</x:f>
      </x:c>
      <x:c r="I603" s="16" t="str">
        <x:f>IF(AND(AND(602&lt;='Control Room'!$B$3,'Control Room'!$D$3="Ready"),7&lt;='Control Room'!$B$2),ROUND(MAX(0,'Process'!AI603*'Control Room'!$H$10*INDEX('Control Room'!$B$19:$H$19,1,WEEKDAY($A603,2))*(1+'Control Room'!$D$9)^601*'Process'!AJ603),2),"")</x:f>
      </x:c>
      <x:c r="J603" s="16" t="str">
        <x:f>IF(AND(AND(602&lt;='Control Room'!$B$3,'Control Room'!$D$3="Ready"),8&lt;='Control Room'!$B$2),ROUND(MAX(0,'Process'!AN603*'Control Room'!$H$11*INDEX('Control Room'!$B$19:$H$19,1,WEEKDAY($A603,2))*(1+'Control Room'!$D$9)^601*'Process'!AO603),2),"")</x:f>
      </x:c>
      <x:c r="K603" s="16" t="str">
        <x:f>IF(AND(AND(602&lt;='Control Room'!$B$3,'Control Room'!$D$3="Ready"),9&lt;='Control Room'!$B$2),ROUND(MAX(0,'Process'!AS603*'Control Room'!$H$12*INDEX('Control Room'!$B$19:$H$19,1,WEEKDAY($A603,2))*(1+'Control Room'!$D$9)^601*'Process'!AT603),2),"")</x:f>
      </x:c>
      <x:c r="L603" s="16" t="str">
        <x:f>IF(AND(AND(602&lt;='Control Room'!$B$3,'Control Room'!$D$3="Ready"),10&lt;='Control Room'!$B$2),ROUND(MAX(0,'Process'!AX603*'Control Room'!$H$13*INDEX('Control Room'!$B$19:$H$19,1,WEEKDAY($A603,2))*(1+'Control Room'!$D$9)^601*'Process'!AY603),2),"")</x:f>
      </x:c>
      <x:c r="M603" s="16" t="str">
        <x:f>IF(AND(AND(602&lt;='Control Room'!$B$3,'Control Room'!$D$3="Ready"),11&lt;='Control Room'!$B$2),ROUND(MAX(0,'Process'!BC603*'Control Room'!$H$14*INDEX('Control Room'!$B$19:$H$19,1,WEEKDAY($A603,2))*(1+'Control Room'!$D$9)^601*'Process'!BD603),2),"")</x:f>
      </x:c>
      <x:c r="N603" s="16" t="str">
        <x:f>IF(AND(AND(602&lt;='Control Room'!$B$3,'Control Room'!$D$3="Ready"),12&lt;='Control Room'!$B$2),ROUND(MAX(0,'Process'!BH603*'Control Room'!$H$15*INDEX('Control Room'!$B$19:$H$19,1,WEEKDAY($A603,2))*(1+'Control Room'!$D$9)^601*'Process'!BI603),2),"")</x:f>
      </x:c>
    </x:row>
    <x:row r="604" ht="21" customHeight="1">
      <x:c r="A604" s="15" t="str">
        <x:f>IF(AND(603&lt;='Control Room'!$B$3,'Control Room'!$D$3="Ready"),'Process'!A604,"")</x:f>
      </x:c>
      <x:c r="B604" s="16" t="str">
        <x:f>IF(A604="","",SUM(C604:N604))</x:f>
      </x:c>
      <x:c r="C604" s="16" t="str">
        <x:f>IF(AND(AND(603&lt;='Control Room'!$B$3,'Control Room'!$D$3="Ready"),1&lt;='Control Room'!$B$2),ROUND(MAX(0,'Process'!E604*'Control Room'!$H$4*INDEX('Control Room'!$B$19:$H$19,1,WEEKDAY($A604,2))*(1+'Control Room'!$D$9)^602*'Process'!F604),2),"")</x:f>
      </x:c>
      <x:c r="D604" s="16" t="str">
        <x:f>IF(AND(AND(603&lt;='Control Room'!$B$3,'Control Room'!$D$3="Ready"),2&lt;='Control Room'!$B$2),ROUND(MAX(0,'Process'!J604*'Control Room'!$H$5*INDEX('Control Room'!$B$19:$H$19,1,WEEKDAY($A604,2))*(1+'Control Room'!$D$9)^602*'Process'!K604),2),"")</x:f>
      </x:c>
      <x:c r="E604" s="16" t="str">
        <x:f>IF(AND(AND(603&lt;='Control Room'!$B$3,'Control Room'!$D$3="Ready"),3&lt;='Control Room'!$B$2),ROUND(MAX(0,'Process'!O604*'Control Room'!$H$6*INDEX('Control Room'!$B$19:$H$19,1,WEEKDAY($A604,2))*(1+'Control Room'!$D$9)^602*'Process'!P604),2),"")</x:f>
      </x:c>
      <x:c r="F604" s="16" t="str">
        <x:f>IF(AND(AND(603&lt;='Control Room'!$B$3,'Control Room'!$D$3="Ready"),4&lt;='Control Room'!$B$2),ROUND(MAX(0,'Process'!T604*'Control Room'!$H$7*INDEX('Control Room'!$B$19:$H$19,1,WEEKDAY($A604,2))*(1+'Control Room'!$D$9)^602*'Process'!U604),2),"")</x:f>
      </x:c>
      <x:c r="G604" s="16" t="str">
        <x:f>IF(AND(AND(603&lt;='Control Room'!$B$3,'Control Room'!$D$3="Ready"),5&lt;='Control Room'!$B$2),ROUND(MAX(0,'Process'!Y604*'Control Room'!$H$8*INDEX('Control Room'!$B$19:$H$19,1,WEEKDAY($A604,2))*(1+'Control Room'!$D$9)^602*'Process'!Z604),2),"")</x:f>
      </x:c>
      <x:c r="H604" s="16" t="str">
        <x:f>IF(AND(AND(603&lt;='Control Room'!$B$3,'Control Room'!$D$3="Ready"),6&lt;='Control Room'!$B$2),ROUND(MAX(0,'Process'!AD604*'Control Room'!$H$9*INDEX('Control Room'!$B$19:$H$19,1,WEEKDAY($A604,2))*(1+'Control Room'!$D$9)^602*'Process'!AE604),2),"")</x:f>
      </x:c>
      <x:c r="I604" s="16" t="str">
        <x:f>IF(AND(AND(603&lt;='Control Room'!$B$3,'Control Room'!$D$3="Ready"),7&lt;='Control Room'!$B$2),ROUND(MAX(0,'Process'!AI604*'Control Room'!$H$10*INDEX('Control Room'!$B$19:$H$19,1,WEEKDAY($A604,2))*(1+'Control Room'!$D$9)^602*'Process'!AJ604),2),"")</x:f>
      </x:c>
      <x:c r="J604" s="16" t="str">
        <x:f>IF(AND(AND(603&lt;='Control Room'!$B$3,'Control Room'!$D$3="Ready"),8&lt;='Control Room'!$B$2),ROUND(MAX(0,'Process'!AN604*'Control Room'!$H$11*INDEX('Control Room'!$B$19:$H$19,1,WEEKDAY($A604,2))*(1+'Control Room'!$D$9)^602*'Process'!AO604),2),"")</x:f>
      </x:c>
      <x:c r="K604" s="16" t="str">
        <x:f>IF(AND(AND(603&lt;='Control Room'!$B$3,'Control Room'!$D$3="Ready"),9&lt;='Control Room'!$B$2),ROUND(MAX(0,'Process'!AS604*'Control Room'!$H$12*INDEX('Control Room'!$B$19:$H$19,1,WEEKDAY($A604,2))*(1+'Control Room'!$D$9)^602*'Process'!AT604),2),"")</x:f>
      </x:c>
      <x:c r="L604" s="16" t="str">
        <x:f>IF(AND(AND(603&lt;='Control Room'!$B$3,'Control Room'!$D$3="Ready"),10&lt;='Control Room'!$B$2),ROUND(MAX(0,'Process'!AX604*'Control Room'!$H$13*INDEX('Control Room'!$B$19:$H$19,1,WEEKDAY($A604,2))*(1+'Control Room'!$D$9)^602*'Process'!AY604),2),"")</x:f>
      </x:c>
      <x:c r="M604" s="16" t="str">
        <x:f>IF(AND(AND(603&lt;='Control Room'!$B$3,'Control Room'!$D$3="Ready"),11&lt;='Control Room'!$B$2),ROUND(MAX(0,'Process'!BC604*'Control Room'!$H$14*INDEX('Control Room'!$B$19:$H$19,1,WEEKDAY($A604,2))*(1+'Control Room'!$D$9)^602*'Process'!BD604),2),"")</x:f>
      </x:c>
      <x:c r="N604" s="16" t="str">
        <x:f>IF(AND(AND(603&lt;='Control Room'!$B$3,'Control Room'!$D$3="Ready"),12&lt;='Control Room'!$B$2),ROUND(MAX(0,'Process'!BH604*'Control Room'!$H$15*INDEX('Control Room'!$B$19:$H$19,1,WEEKDAY($A604,2))*(1+'Control Room'!$D$9)^602*'Process'!BI604),2),"")</x:f>
      </x:c>
    </x:row>
    <x:row r="605" ht="21" customHeight="1">
      <x:c r="A605" s="15" t="str">
        <x:f>IF(AND(604&lt;='Control Room'!$B$3,'Control Room'!$D$3="Ready"),'Process'!A605,"")</x:f>
      </x:c>
      <x:c r="B605" s="16" t="str">
        <x:f>IF(A605="","",SUM(C605:N605))</x:f>
      </x:c>
      <x:c r="C605" s="16" t="str">
        <x:f>IF(AND(AND(604&lt;='Control Room'!$B$3,'Control Room'!$D$3="Ready"),1&lt;='Control Room'!$B$2),ROUND(MAX(0,'Process'!E605*'Control Room'!$H$4*INDEX('Control Room'!$B$19:$H$19,1,WEEKDAY($A605,2))*(1+'Control Room'!$D$9)^603*'Process'!F605),2),"")</x:f>
      </x:c>
      <x:c r="D605" s="16" t="str">
        <x:f>IF(AND(AND(604&lt;='Control Room'!$B$3,'Control Room'!$D$3="Ready"),2&lt;='Control Room'!$B$2),ROUND(MAX(0,'Process'!J605*'Control Room'!$H$5*INDEX('Control Room'!$B$19:$H$19,1,WEEKDAY($A605,2))*(1+'Control Room'!$D$9)^603*'Process'!K605),2),"")</x:f>
      </x:c>
      <x:c r="E605" s="16" t="str">
        <x:f>IF(AND(AND(604&lt;='Control Room'!$B$3,'Control Room'!$D$3="Ready"),3&lt;='Control Room'!$B$2),ROUND(MAX(0,'Process'!O605*'Control Room'!$H$6*INDEX('Control Room'!$B$19:$H$19,1,WEEKDAY($A605,2))*(1+'Control Room'!$D$9)^603*'Process'!P605),2),"")</x:f>
      </x:c>
      <x:c r="F605" s="16" t="str">
        <x:f>IF(AND(AND(604&lt;='Control Room'!$B$3,'Control Room'!$D$3="Ready"),4&lt;='Control Room'!$B$2),ROUND(MAX(0,'Process'!T605*'Control Room'!$H$7*INDEX('Control Room'!$B$19:$H$19,1,WEEKDAY($A605,2))*(1+'Control Room'!$D$9)^603*'Process'!U605),2),"")</x:f>
      </x:c>
      <x:c r="G605" s="16" t="str">
        <x:f>IF(AND(AND(604&lt;='Control Room'!$B$3,'Control Room'!$D$3="Ready"),5&lt;='Control Room'!$B$2),ROUND(MAX(0,'Process'!Y605*'Control Room'!$H$8*INDEX('Control Room'!$B$19:$H$19,1,WEEKDAY($A605,2))*(1+'Control Room'!$D$9)^603*'Process'!Z605),2),"")</x:f>
      </x:c>
      <x:c r="H605" s="16" t="str">
        <x:f>IF(AND(AND(604&lt;='Control Room'!$B$3,'Control Room'!$D$3="Ready"),6&lt;='Control Room'!$B$2),ROUND(MAX(0,'Process'!AD605*'Control Room'!$H$9*INDEX('Control Room'!$B$19:$H$19,1,WEEKDAY($A605,2))*(1+'Control Room'!$D$9)^603*'Process'!AE605),2),"")</x:f>
      </x:c>
      <x:c r="I605" s="16" t="str">
        <x:f>IF(AND(AND(604&lt;='Control Room'!$B$3,'Control Room'!$D$3="Ready"),7&lt;='Control Room'!$B$2),ROUND(MAX(0,'Process'!AI605*'Control Room'!$H$10*INDEX('Control Room'!$B$19:$H$19,1,WEEKDAY($A605,2))*(1+'Control Room'!$D$9)^603*'Process'!AJ605),2),"")</x:f>
      </x:c>
      <x:c r="J605" s="16" t="str">
        <x:f>IF(AND(AND(604&lt;='Control Room'!$B$3,'Control Room'!$D$3="Ready"),8&lt;='Control Room'!$B$2),ROUND(MAX(0,'Process'!AN605*'Control Room'!$H$11*INDEX('Control Room'!$B$19:$H$19,1,WEEKDAY($A605,2))*(1+'Control Room'!$D$9)^603*'Process'!AO605),2),"")</x:f>
      </x:c>
      <x:c r="K605" s="16" t="str">
        <x:f>IF(AND(AND(604&lt;='Control Room'!$B$3,'Control Room'!$D$3="Ready"),9&lt;='Control Room'!$B$2),ROUND(MAX(0,'Process'!AS605*'Control Room'!$H$12*INDEX('Control Room'!$B$19:$H$19,1,WEEKDAY($A605,2))*(1+'Control Room'!$D$9)^603*'Process'!AT605),2),"")</x:f>
      </x:c>
      <x:c r="L605" s="16" t="str">
        <x:f>IF(AND(AND(604&lt;='Control Room'!$B$3,'Control Room'!$D$3="Ready"),10&lt;='Control Room'!$B$2),ROUND(MAX(0,'Process'!AX605*'Control Room'!$H$13*INDEX('Control Room'!$B$19:$H$19,1,WEEKDAY($A605,2))*(1+'Control Room'!$D$9)^603*'Process'!AY605),2),"")</x:f>
      </x:c>
      <x:c r="M605" s="16" t="str">
        <x:f>IF(AND(AND(604&lt;='Control Room'!$B$3,'Control Room'!$D$3="Ready"),11&lt;='Control Room'!$B$2),ROUND(MAX(0,'Process'!BC605*'Control Room'!$H$14*INDEX('Control Room'!$B$19:$H$19,1,WEEKDAY($A605,2))*(1+'Control Room'!$D$9)^603*'Process'!BD605),2),"")</x:f>
      </x:c>
      <x:c r="N605" s="16" t="str">
        <x:f>IF(AND(AND(604&lt;='Control Room'!$B$3,'Control Room'!$D$3="Ready"),12&lt;='Control Room'!$B$2),ROUND(MAX(0,'Process'!BH605*'Control Room'!$H$15*INDEX('Control Room'!$B$19:$H$19,1,WEEKDAY($A605,2))*(1+'Control Room'!$D$9)^603*'Process'!BI605),2),"")</x:f>
      </x:c>
    </x:row>
    <x:row r="606" ht="21" customHeight="1">
      <x:c r="A606" s="15" t="str">
        <x:f>IF(AND(605&lt;='Control Room'!$B$3,'Control Room'!$D$3="Ready"),'Process'!A606,"")</x:f>
      </x:c>
      <x:c r="B606" s="16" t="str">
        <x:f>IF(A606="","",SUM(C606:N606))</x:f>
      </x:c>
      <x:c r="C606" s="16" t="str">
        <x:f>IF(AND(AND(605&lt;='Control Room'!$B$3,'Control Room'!$D$3="Ready"),1&lt;='Control Room'!$B$2),ROUND(MAX(0,'Process'!E606*'Control Room'!$H$4*INDEX('Control Room'!$B$19:$H$19,1,WEEKDAY($A606,2))*(1+'Control Room'!$D$9)^604*'Process'!F606),2),"")</x:f>
      </x:c>
      <x:c r="D606" s="16" t="str">
        <x:f>IF(AND(AND(605&lt;='Control Room'!$B$3,'Control Room'!$D$3="Ready"),2&lt;='Control Room'!$B$2),ROUND(MAX(0,'Process'!J606*'Control Room'!$H$5*INDEX('Control Room'!$B$19:$H$19,1,WEEKDAY($A606,2))*(1+'Control Room'!$D$9)^604*'Process'!K606),2),"")</x:f>
      </x:c>
      <x:c r="E606" s="16" t="str">
        <x:f>IF(AND(AND(605&lt;='Control Room'!$B$3,'Control Room'!$D$3="Ready"),3&lt;='Control Room'!$B$2),ROUND(MAX(0,'Process'!O606*'Control Room'!$H$6*INDEX('Control Room'!$B$19:$H$19,1,WEEKDAY($A606,2))*(1+'Control Room'!$D$9)^604*'Process'!P606),2),"")</x:f>
      </x:c>
      <x:c r="F606" s="16" t="str">
        <x:f>IF(AND(AND(605&lt;='Control Room'!$B$3,'Control Room'!$D$3="Ready"),4&lt;='Control Room'!$B$2),ROUND(MAX(0,'Process'!T606*'Control Room'!$H$7*INDEX('Control Room'!$B$19:$H$19,1,WEEKDAY($A606,2))*(1+'Control Room'!$D$9)^604*'Process'!U606),2),"")</x:f>
      </x:c>
      <x:c r="G606" s="16" t="str">
        <x:f>IF(AND(AND(605&lt;='Control Room'!$B$3,'Control Room'!$D$3="Ready"),5&lt;='Control Room'!$B$2),ROUND(MAX(0,'Process'!Y606*'Control Room'!$H$8*INDEX('Control Room'!$B$19:$H$19,1,WEEKDAY($A606,2))*(1+'Control Room'!$D$9)^604*'Process'!Z606),2),"")</x:f>
      </x:c>
      <x:c r="H606" s="16" t="str">
        <x:f>IF(AND(AND(605&lt;='Control Room'!$B$3,'Control Room'!$D$3="Ready"),6&lt;='Control Room'!$B$2),ROUND(MAX(0,'Process'!AD606*'Control Room'!$H$9*INDEX('Control Room'!$B$19:$H$19,1,WEEKDAY($A606,2))*(1+'Control Room'!$D$9)^604*'Process'!AE606),2),"")</x:f>
      </x:c>
      <x:c r="I606" s="16" t="str">
        <x:f>IF(AND(AND(605&lt;='Control Room'!$B$3,'Control Room'!$D$3="Ready"),7&lt;='Control Room'!$B$2),ROUND(MAX(0,'Process'!AI606*'Control Room'!$H$10*INDEX('Control Room'!$B$19:$H$19,1,WEEKDAY($A606,2))*(1+'Control Room'!$D$9)^604*'Process'!AJ606),2),"")</x:f>
      </x:c>
      <x:c r="J606" s="16" t="str">
        <x:f>IF(AND(AND(605&lt;='Control Room'!$B$3,'Control Room'!$D$3="Ready"),8&lt;='Control Room'!$B$2),ROUND(MAX(0,'Process'!AN606*'Control Room'!$H$11*INDEX('Control Room'!$B$19:$H$19,1,WEEKDAY($A606,2))*(1+'Control Room'!$D$9)^604*'Process'!AO606),2),"")</x:f>
      </x:c>
      <x:c r="K606" s="16" t="str">
        <x:f>IF(AND(AND(605&lt;='Control Room'!$B$3,'Control Room'!$D$3="Ready"),9&lt;='Control Room'!$B$2),ROUND(MAX(0,'Process'!AS606*'Control Room'!$H$12*INDEX('Control Room'!$B$19:$H$19,1,WEEKDAY($A606,2))*(1+'Control Room'!$D$9)^604*'Process'!AT606),2),"")</x:f>
      </x:c>
      <x:c r="L606" s="16" t="str">
        <x:f>IF(AND(AND(605&lt;='Control Room'!$B$3,'Control Room'!$D$3="Ready"),10&lt;='Control Room'!$B$2),ROUND(MAX(0,'Process'!AX606*'Control Room'!$H$13*INDEX('Control Room'!$B$19:$H$19,1,WEEKDAY($A606,2))*(1+'Control Room'!$D$9)^604*'Process'!AY606),2),"")</x:f>
      </x:c>
      <x:c r="M606" s="16" t="str">
        <x:f>IF(AND(AND(605&lt;='Control Room'!$B$3,'Control Room'!$D$3="Ready"),11&lt;='Control Room'!$B$2),ROUND(MAX(0,'Process'!BC606*'Control Room'!$H$14*INDEX('Control Room'!$B$19:$H$19,1,WEEKDAY($A606,2))*(1+'Control Room'!$D$9)^604*'Process'!BD606),2),"")</x:f>
      </x:c>
      <x:c r="N606" s="16" t="str">
        <x:f>IF(AND(AND(605&lt;='Control Room'!$B$3,'Control Room'!$D$3="Ready"),12&lt;='Control Room'!$B$2),ROUND(MAX(0,'Process'!BH606*'Control Room'!$H$15*INDEX('Control Room'!$B$19:$H$19,1,WEEKDAY($A606,2))*(1+'Control Room'!$D$9)^604*'Process'!BI606),2),"")</x:f>
      </x:c>
    </x:row>
    <x:row r="607" ht="21" customHeight="1">
      <x:c r="A607" s="15" t="str">
        <x:f>IF(AND(606&lt;='Control Room'!$B$3,'Control Room'!$D$3="Ready"),'Process'!A607,"")</x:f>
      </x:c>
      <x:c r="B607" s="16" t="str">
        <x:f>IF(A607="","",SUM(C607:N607))</x:f>
      </x:c>
      <x:c r="C607" s="16" t="str">
        <x:f>IF(AND(AND(606&lt;='Control Room'!$B$3,'Control Room'!$D$3="Ready"),1&lt;='Control Room'!$B$2),ROUND(MAX(0,'Process'!E607*'Control Room'!$H$4*INDEX('Control Room'!$B$19:$H$19,1,WEEKDAY($A607,2))*(1+'Control Room'!$D$9)^605*'Process'!F607),2),"")</x:f>
      </x:c>
      <x:c r="D607" s="16" t="str">
        <x:f>IF(AND(AND(606&lt;='Control Room'!$B$3,'Control Room'!$D$3="Ready"),2&lt;='Control Room'!$B$2),ROUND(MAX(0,'Process'!J607*'Control Room'!$H$5*INDEX('Control Room'!$B$19:$H$19,1,WEEKDAY($A607,2))*(1+'Control Room'!$D$9)^605*'Process'!K607),2),"")</x:f>
      </x:c>
      <x:c r="E607" s="16" t="str">
        <x:f>IF(AND(AND(606&lt;='Control Room'!$B$3,'Control Room'!$D$3="Ready"),3&lt;='Control Room'!$B$2),ROUND(MAX(0,'Process'!O607*'Control Room'!$H$6*INDEX('Control Room'!$B$19:$H$19,1,WEEKDAY($A607,2))*(1+'Control Room'!$D$9)^605*'Process'!P607),2),"")</x:f>
      </x:c>
      <x:c r="F607" s="16" t="str">
        <x:f>IF(AND(AND(606&lt;='Control Room'!$B$3,'Control Room'!$D$3="Ready"),4&lt;='Control Room'!$B$2),ROUND(MAX(0,'Process'!T607*'Control Room'!$H$7*INDEX('Control Room'!$B$19:$H$19,1,WEEKDAY($A607,2))*(1+'Control Room'!$D$9)^605*'Process'!U607),2),"")</x:f>
      </x:c>
      <x:c r="G607" s="16" t="str">
        <x:f>IF(AND(AND(606&lt;='Control Room'!$B$3,'Control Room'!$D$3="Ready"),5&lt;='Control Room'!$B$2),ROUND(MAX(0,'Process'!Y607*'Control Room'!$H$8*INDEX('Control Room'!$B$19:$H$19,1,WEEKDAY($A607,2))*(1+'Control Room'!$D$9)^605*'Process'!Z607),2),"")</x:f>
      </x:c>
      <x:c r="H607" s="16" t="str">
        <x:f>IF(AND(AND(606&lt;='Control Room'!$B$3,'Control Room'!$D$3="Ready"),6&lt;='Control Room'!$B$2),ROUND(MAX(0,'Process'!AD607*'Control Room'!$H$9*INDEX('Control Room'!$B$19:$H$19,1,WEEKDAY($A607,2))*(1+'Control Room'!$D$9)^605*'Process'!AE607),2),"")</x:f>
      </x:c>
      <x:c r="I607" s="16" t="str">
        <x:f>IF(AND(AND(606&lt;='Control Room'!$B$3,'Control Room'!$D$3="Ready"),7&lt;='Control Room'!$B$2),ROUND(MAX(0,'Process'!AI607*'Control Room'!$H$10*INDEX('Control Room'!$B$19:$H$19,1,WEEKDAY($A607,2))*(1+'Control Room'!$D$9)^605*'Process'!AJ607),2),"")</x:f>
      </x:c>
      <x:c r="J607" s="16" t="str">
        <x:f>IF(AND(AND(606&lt;='Control Room'!$B$3,'Control Room'!$D$3="Ready"),8&lt;='Control Room'!$B$2),ROUND(MAX(0,'Process'!AN607*'Control Room'!$H$11*INDEX('Control Room'!$B$19:$H$19,1,WEEKDAY($A607,2))*(1+'Control Room'!$D$9)^605*'Process'!AO607),2),"")</x:f>
      </x:c>
      <x:c r="K607" s="16" t="str">
        <x:f>IF(AND(AND(606&lt;='Control Room'!$B$3,'Control Room'!$D$3="Ready"),9&lt;='Control Room'!$B$2),ROUND(MAX(0,'Process'!AS607*'Control Room'!$H$12*INDEX('Control Room'!$B$19:$H$19,1,WEEKDAY($A607,2))*(1+'Control Room'!$D$9)^605*'Process'!AT607),2),"")</x:f>
      </x:c>
      <x:c r="L607" s="16" t="str">
        <x:f>IF(AND(AND(606&lt;='Control Room'!$B$3,'Control Room'!$D$3="Ready"),10&lt;='Control Room'!$B$2),ROUND(MAX(0,'Process'!AX607*'Control Room'!$H$13*INDEX('Control Room'!$B$19:$H$19,1,WEEKDAY($A607,2))*(1+'Control Room'!$D$9)^605*'Process'!AY607),2),"")</x:f>
      </x:c>
      <x:c r="M607" s="16" t="str">
        <x:f>IF(AND(AND(606&lt;='Control Room'!$B$3,'Control Room'!$D$3="Ready"),11&lt;='Control Room'!$B$2),ROUND(MAX(0,'Process'!BC607*'Control Room'!$H$14*INDEX('Control Room'!$B$19:$H$19,1,WEEKDAY($A607,2))*(1+'Control Room'!$D$9)^605*'Process'!BD607),2),"")</x:f>
      </x:c>
      <x:c r="N607" s="16" t="str">
        <x:f>IF(AND(AND(606&lt;='Control Room'!$B$3,'Control Room'!$D$3="Ready"),12&lt;='Control Room'!$B$2),ROUND(MAX(0,'Process'!BH607*'Control Room'!$H$15*INDEX('Control Room'!$B$19:$H$19,1,WEEKDAY($A607,2))*(1+'Control Room'!$D$9)^605*'Process'!BI607),2),"")</x:f>
      </x:c>
    </x:row>
    <x:row r="608" ht="21" customHeight="1">
      <x:c r="A608" s="15" t="str">
        <x:f>IF(AND(607&lt;='Control Room'!$B$3,'Control Room'!$D$3="Ready"),'Process'!A608,"")</x:f>
      </x:c>
      <x:c r="B608" s="16" t="str">
        <x:f>IF(A608="","",SUM(C608:N608))</x:f>
      </x:c>
      <x:c r="C608" s="16" t="str">
        <x:f>IF(AND(AND(607&lt;='Control Room'!$B$3,'Control Room'!$D$3="Ready"),1&lt;='Control Room'!$B$2),ROUND(MAX(0,'Process'!E608*'Control Room'!$H$4*INDEX('Control Room'!$B$19:$H$19,1,WEEKDAY($A608,2))*(1+'Control Room'!$D$9)^606*'Process'!F608),2),"")</x:f>
      </x:c>
      <x:c r="D608" s="16" t="str">
        <x:f>IF(AND(AND(607&lt;='Control Room'!$B$3,'Control Room'!$D$3="Ready"),2&lt;='Control Room'!$B$2),ROUND(MAX(0,'Process'!J608*'Control Room'!$H$5*INDEX('Control Room'!$B$19:$H$19,1,WEEKDAY($A608,2))*(1+'Control Room'!$D$9)^606*'Process'!K608),2),"")</x:f>
      </x:c>
      <x:c r="E608" s="16" t="str">
        <x:f>IF(AND(AND(607&lt;='Control Room'!$B$3,'Control Room'!$D$3="Ready"),3&lt;='Control Room'!$B$2),ROUND(MAX(0,'Process'!O608*'Control Room'!$H$6*INDEX('Control Room'!$B$19:$H$19,1,WEEKDAY($A608,2))*(1+'Control Room'!$D$9)^606*'Process'!P608),2),"")</x:f>
      </x:c>
      <x:c r="F608" s="16" t="str">
        <x:f>IF(AND(AND(607&lt;='Control Room'!$B$3,'Control Room'!$D$3="Ready"),4&lt;='Control Room'!$B$2),ROUND(MAX(0,'Process'!T608*'Control Room'!$H$7*INDEX('Control Room'!$B$19:$H$19,1,WEEKDAY($A608,2))*(1+'Control Room'!$D$9)^606*'Process'!U608),2),"")</x:f>
      </x:c>
      <x:c r="G608" s="16" t="str">
        <x:f>IF(AND(AND(607&lt;='Control Room'!$B$3,'Control Room'!$D$3="Ready"),5&lt;='Control Room'!$B$2),ROUND(MAX(0,'Process'!Y608*'Control Room'!$H$8*INDEX('Control Room'!$B$19:$H$19,1,WEEKDAY($A608,2))*(1+'Control Room'!$D$9)^606*'Process'!Z608),2),"")</x:f>
      </x:c>
      <x:c r="H608" s="16" t="str">
        <x:f>IF(AND(AND(607&lt;='Control Room'!$B$3,'Control Room'!$D$3="Ready"),6&lt;='Control Room'!$B$2),ROUND(MAX(0,'Process'!AD608*'Control Room'!$H$9*INDEX('Control Room'!$B$19:$H$19,1,WEEKDAY($A608,2))*(1+'Control Room'!$D$9)^606*'Process'!AE608),2),"")</x:f>
      </x:c>
      <x:c r="I608" s="16" t="str">
        <x:f>IF(AND(AND(607&lt;='Control Room'!$B$3,'Control Room'!$D$3="Ready"),7&lt;='Control Room'!$B$2),ROUND(MAX(0,'Process'!AI608*'Control Room'!$H$10*INDEX('Control Room'!$B$19:$H$19,1,WEEKDAY($A608,2))*(1+'Control Room'!$D$9)^606*'Process'!AJ608),2),"")</x:f>
      </x:c>
      <x:c r="J608" s="16" t="str">
        <x:f>IF(AND(AND(607&lt;='Control Room'!$B$3,'Control Room'!$D$3="Ready"),8&lt;='Control Room'!$B$2),ROUND(MAX(0,'Process'!AN608*'Control Room'!$H$11*INDEX('Control Room'!$B$19:$H$19,1,WEEKDAY($A608,2))*(1+'Control Room'!$D$9)^606*'Process'!AO608),2),"")</x:f>
      </x:c>
      <x:c r="K608" s="16" t="str">
        <x:f>IF(AND(AND(607&lt;='Control Room'!$B$3,'Control Room'!$D$3="Ready"),9&lt;='Control Room'!$B$2),ROUND(MAX(0,'Process'!AS608*'Control Room'!$H$12*INDEX('Control Room'!$B$19:$H$19,1,WEEKDAY($A608,2))*(1+'Control Room'!$D$9)^606*'Process'!AT608),2),"")</x:f>
      </x:c>
      <x:c r="L608" s="16" t="str">
        <x:f>IF(AND(AND(607&lt;='Control Room'!$B$3,'Control Room'!$D$3="Ready"),10&lt;='Control Room'!$B$2),ROUND(MAX(0,'Process'!AX608*'Control Room'!$H$13*INDEX('Control Room'!$B$19:$H$19,1,WEEKDAY($A608,2))*(1+'Control Room'!$D$9)^606*'Process'!AY608),2),"")</x:f>
      </x:c>
      <x:c r="M608" s="16" t="str">
        <x:f>IF(AND(AND(607&lt;='Control Room'!$B$3,'Control Room'!$D$3="Ready"),11&lt;='Control Room'!$B$2),ROUND(MAX(0,'Process'!BC608*'Control Room'!$H$14*INDEX('Control Room'!$B$19:$H$19,1,WEEKDAY($A608,2))*(1+'Control Room'!$D$9)^606*'Process'!BD608),2),"")</x:f>
      </x:c>
      <x:c r="N608" s="16" t="str">
        <x:f>IF(AND(AND(607&lt;='Control Room'!$B$3,'Control Room'!$D$3="Ready"),12&lt;='Control Room'!$B$2),ROUND(MAX(0,'Process'!BH608*'Control Room'!$H$15*INDEX('Control Room'!$B$19:$H$19,1,WEEKDAY($A608,2))*(1+'Control Room'!$D$9)^606*'Process'!BI608),2),"")</x:f>
      </x:c>
    </x:row>
    <x:row r="609" ht="21" customHeight="1">
      <x:c r="A609" s="15" t="str">
        <x:f>IF(AND(608&lt;='Control Room'!$B$3,'Control Room'!$D$3="Ready"),'Process'!A609,"")</x:f>
      </x:c>
      <x:c r="B609" s="16" t="str">
        <x:f>IF(A609="","",SUM(C609:N609))</x:f>
      </x:c>
      <x:c r="C609" s="16" t="str">
        <x:f>IF(AND(AND(608&lt;='Control Room'!$B$3,'Control Room'!$D$3="Ready"),1&lt;='Control Room'!$B$2),ROUND(MAX(0,'Process'!E609*'Control Room'!$H$4*INDEX('Control Room'!$B$19:$H$19,1,WEEKDAY($A609,2))*(1+'Control Room'!$D$9)^607*'Process'!F609),2),"")</x:f>
      </x:c>
      <x:c r="D609" s="16" t="str">
        <x:f>IF(AND(AND(608&lt;='Control Room'!$B$3,'Control Room'!$D$3="Ready"),2&lt;='Control Room'!$B$2),ROUND(MAX(0,'Process'!J609*'Control Room'!$H$5*INDEX('Control Room'!$B$19:$H$19,1,WEEKDAY($A609,2))*(1+'Control Room'!$D$9)^607*'Process'!K609),2),"")</x:f>
      </x:c>
      <x:c r="E609" s="16" t="str">
        <x:f>IF(AND(AND(608&lt;='Control Room'!$B$3,'Control Room'!$D$3="Ready"),3&lt;='Control Room'!$B$2),ROUND(MAX(0,'Process'!O609*'Control Room'!$H$6*INDEX('Control Room'!$B$19:$H$19,1,WEEKDAY($A609,2))*(1+'Control Room'!$D$9)^607*'Process'!P609),2),"")</x:f>
      </x:c>
      <x:c r="F609" s="16" t="str">
        <x:f>IF(AND(AND(608&lt;='Control Room'!$B$3,'Control Room'!$D$3="Ready"),4&lt;='Control Room'!$B$2),ROUND(MAX(0,'Process'!T609*'Control Room'!$H$7*INDEX('Control Room'!$B$19:$H$19,1,WEEKDAY($A609,2))*(1+'Control Room'!$D$9)^607*'Process'!U609),2),"")</x:f>
      </x:c>
      <x:c r="G609" s="16" t="str">
        <x:f>IF(AND(AND(608&lt;='Control Room'!$B$3,'Control Room'!$D$3="Ready"),5&lt;='Control Room'!$B$2),ROUND(MAX(0,'Process'!Y609*'Control Room'!$H$8*INDEX('Control Room'!$B$19:$H$19,1,WEEKDAY($A609,2))*(1+'Control Room'!$D$9)^607*'Process'!Z609),2),"")</x:f>
      </x:c>
      <x:c r="H609" s="16" t="str">
        <x:f>IF(AND(AND(608&lt;='Control Room'!$B$3,'Control Room'!$D$3="Ready"),6&lt;='Control Room'!$B$2),ROUND(MAX(0,'Process'!AD609*'Control Room'!$H$9*INDEX('Control Room'!$B$19:$H$19,1,WEEKDAY($A609,2))*(1+'Control Room'!$D$9)^607*'Process'!AE609),2),"")</x:f>
      </x:c>
      <x:c r="I609" s="16" t="str">
        <x:f>IF(AND(AND(608&lt;='Control Room'!$B$3,'Control Room'!$D$3="Ready"),7&lt;='Control Room'!$B$2),ROUND(MAX(0,'Process'!AI609*'Control Room'!$H$10*INDEX('Control Room'!$B$19:$H$19,1,WEEKDAY($A609,2))*(1+'Control Room'!$D$9)^607*'Process'!AJ609),2),"")</x:f>
      </x:c>
      <x:c r="J609" s="16" t="str">
        <x:f>IF(AND(AND(608&lt;='Control Room'!$B$3,'Control Room'!$D$3="Ready"),8&lt;='Control Room'!$B$2),ROUND(MAX(0,'Process'!AN609*'Control Room'!$H$11*INDEX('Control Room'!$B$19:$H$19,1,WEEKDAY($A609,2))*(1+'Control Room'!$D$9)^607*'Process'!AO609),2),"")</x:f>
      </x:c>
      <x:c r="K609" s="16" t="str">
        <x:f>IF(AND(AND(608&lt;='Control Room'!$B$3,'Control Room'!$D$3="Ready"),9&lt;='Control Room'!$B$2),ROUND(MAX(0,'Process'!AS609*'Control Room'!$H$12*INDEX('Control Room'!$B$19:$H$19,1,WEEKDAY($A609,2))*(1+'Control Room'!$D$9)^607*'Process'!AT609),2),"")</x:f>
      </x:c>
      <x:c r="L609" s="16" t="str">
        <x:f>IF(AND(AND(608&lt;='Control Room'!$B$3,'Control Room'!$D$3="Ready"),10&lt;='Control Room'!$B$2),ROUND(MAX(0,'Process'!AX609*'Control Room'!$H$13*INDEX('Control Room'!$B$19:$H$19,1,WEEKDAY($A609,2))*(1+'Control Room'!$D$9)^607*'Process'!AY609),2),"")</x:f>
      </x:c>
      <x:c r="M609" s="16" t="str">
        <x:f>IF(AND(AND(608&lt;='Control Room'!$B$3,'Control Room'!$D$3="Ready"),11&lt;='Control Room'!$B$2),ROUND(MAX(0,'Process'!BC609*'Control Room'!$H$14*INDEX('Control Room'!$B$19:$H$19,1,WEEKDAY($A609,2))*(1+'Control Room'!$D$9)^607*'Process'!BD609),2),"")</x:f>
      </x:c>
      <x:c r="N609" s="16" t="str">
        <x:f>IF(AND(AND(608&lt;='Control Room'!$B$3,'Control Room'!$D$3="Ready"),12&lt;='Control Room'!$B$2),ROUND(MAX(0,'Process'!BH609*'Control Room'!$H$15*INDEX('Control Room'!$B$19:$H$19,1,WEEKDAY($A609,2))*(1+'Control Room'!$D$9)^607*'Process'!BI609),2),"")</x:f>
      </x:c>
    </x:row>
    <x:row r="610" ht="21" customHeight="1">
      <x:c r="A610" s="15" t="str">
        <x:f>IF(AND(609&lt;='Control Room'!$B$3,'Control Room'!$D$3="Ready"),'Process'!A610,"")</x:f>
      </x:c>
      <x:c r="B610" s="16" t="str">
        <x:f>IF(A610="","",SUM(C610:N610))</x:f>
      </x:c>
      <x:c r="C610" s="16" t="str">
        <x:f>IF(AND(AND(609&lt;='Control Room'!$B$3,'Control Room'!$D$3="Ready"),1&lt;='Control Room'!$B$2),ROUND(MAX(0,'Process'!E610*'Control Room'!$H$4*INDEX('Control Room'!$B$19:$H$19,1,WEEKDAY($A610,2))*(1+'Control Room'!$D$9)^608*'Process'!F610),2),"")</x:f>
      </x:c>
      <x:c r="D610" s="16" t="str">
        <x:f>IF(AND(AND(609&lt;='Control Room'!$B$3,'Control Room'!$D$3="Ready"),2&lt;='Control Room'!$B$2),ROUND(MAX(0,'Process'!J610*'Control Room'!$H$5*INDEX('Control Room'!$B$19:$H$19,1,WEEKDAY($A610,2))*(1+'Control Room'!$D$9)^608*'Process'!K610),2),"")</x:f>
      </x:c>
      <x:c r="E610" s="16" t="str">
        <x:f>IF(AND(AND(609&lt;='Control Room'!$B$3,'Control Room'!$D$3="Ready"),3&lt;='Control Room'!$B$2),ROUND(MAX(0,'Process'!O610*'Control Room'!$H$6*INDEX('Control Room'!$B$19:$H$19,1,WEEKDAY($A610,2))*(1+'Control Room'!$D$9)^608*'Process'!P610),2),"")</x:f>
      </x:c>
      <x:c r="F610" s="16" t="str">
        <x:f>IF(AND(AND(609&lt;='Control Room'!$B$3,'Control Room'!$D$3="Ready"),4&lt;='Control Room'!$B$2),ROUND(MAX(0,'Process'!T610*'Control Room'!$H$7*INDEX('Control Room'!$B$19:$H$19,1,WEEKDAY($A610,2))*(1+'Control Room'!$D$9)^608*'Process'!U610),2),"")</x:f>
      </x:c>
      <x:c r="G610" s="16" t="str">
        <x:f>IF(AND(AND(609&lt;='Control Room'!$B$3,'Control Room'!$D$3="Ready"),5&lt;='Control Room'!$B$2),ROUND(MAX(0,'Process'!Y610*'Control Room'!$H$8*INDEX('Control Room'!$B$19:$H$19,1,WEEKDAY($A610,2))*(1+'Control Room'!$D$9)^608*'Process'!Z610),2),"")</x:f>
      </x:c>
      <x:c r="H610" s="16" t="str">
        <x:f>IF(AND(AND(609&lt;='Control Room'!$B$3,'Control Room'!$D$3="Ready"),6&lt;='Control Room'!$B$2),ROUND(MAX(0,'Process'!AD610*'Control Room'!$H$9*INDEX('Control Room'!$B$19:$H$19,1,WEEKDAY($A610,2))*(1+'Control Room'!$D$9)^608*'Process'!AE610),2),"")</x:f>
      </x:c>
      <x:c r="I610" s="16" t="str">
        <x:f>IF(AND(AND(609&lt;='Control Room'!$B$3,'Control Room'!$D$3="Ready"),7&lt;='Control Room'!$B$2),ROUND(MAX(0,'Process'!AI610*'Control Room'!$H$10*INDEX('Control Room'!$B$19:$H$19,1,WEEKDAY($A610,2))*(1+'Control Room'!$D$9)^608*'Process'!AJ610),2),"")</x:f>
      </x:c>
      <x:c r="J610" s="16" t="str">
        <x:f>IF(AND(AND(609&lt;='Control Room'!$B$3,'Control Room'!$D$3="Ready"),8&lt;='Control Room'!$B$2),ROUND(MAX(0,'Process'!AN610*'Control Room'!$H$11*INDEX('Control Room'!$B$19:$H$19,1,WEEKDAY($A610,2))*(1+'Control Room'!$D$9)^608*'Process'!AO610),2),"")</x:f>
      </x:c>
      <x:c r="K610" s="16" t="str">
        <x:f>IF(AND(AND(609&lt;='Control Room'!$B$3,'Control Room'!$D$3="Ready"),9&lt;='Control Room'!$B$2),ROUND(MAX(0,'Process'!AS610*'Control Room'!$H$12*INDEX('Control Room'!$B$19:$H$19,1,WEEKDAY($A610,2))*(1+'Control Room'!$D$9)^608*'Process'!AT610),2),"")</x:f>
      </x:c>
      <x:c r="L610" s="16" t="str">
        <x:f>IF(AND(AND(609&lt;='Control Room'!$B$3,'Control Room'!$D$3="Ready"),10&lt;='Control Room'!$B$2),ROUND(MAX(0,'Process'!AX610*'Control Room'!$H$13*INDEX('Control Room'!$B$19:$H$19,1,WEEKDAY($A610,2))*(1+'Control Room'!$D$9)^608*'Process'!AY610),2),"")</x:f>
      </x:c>
      <x:c r="M610" s="16" t="str">
        <x:f>IF(AND(AND(609&lt;='Control Room'!$B$3,'Control Room'!$D$3="Ready"),11&lt;='Control Room'!$B$2),ROUND(MAX(0,'Process'!BC610*'Control Room'!$H$14*INDEX('Control Room'!$B$19:$H$19,1,WEEKDAY($A610,2))*(1+'Control Room'!$D$9)^608*'Process'!BD610),2),"")</x:f>
      </x:c>
      <x:c r="N610" s="16" t="str">
        <x:f>IF(AND(AND(609&lt;='Control Room'!$B$3,'Control Room'!$D$3="Ready"),12&lt;='Control Room'!$B$2),ROUND(MAX(0,'Process'!BH610*'Control Room'!$H$15*INDEX('Control Room'!$B$19:$H$19,1,WEEKDAY($A610,2))*(1+'Control Room'!$D$9)^608*'Process'!BI610),2),"")</x:f>
      </x:c>
    </x:row>
    <x:row r="611" ht="21" customHeight="1">
      <x:c r="A611" s="15" t="str">
        <x:f>IF(AND(610&lt;='Control Room'!$B$3,'Control Room'!$D$3="Ready"),'Process'!A611,"")</x:f>
      </x:c>
      <x:c r="B611" s="16" t="str">
        <x:f>IF(A611="","",SUM(C611:N611))</x:f>
      </x:c>
      <x:c r="C611" s="16" t="str">
        <x:f>IF(AND(AND(610&lt;='Control Room'!$B$3,'Control Room'!$D$3="Ready"),1&lt;='Control Room'!$B$2),ROUND(MAX(0,'Process'!E611*'Control Room'!$H$4*INDEX('Control Room'!$B$19:$H$19,1,WEEKDAY($A611,2))*(1+'Control Room'!$D$9)^609*'Process'!F611),2),"")</x:f>
      </x:c>
      <x:c r="D611" s="16" t="str">
        <x:f>IF(AND(AND(610&lt;='Control Room'!$B$3,'Control Room'!$D$3="Ready"),2&lt;='Control Room'!$B$2),ROUND(MAX(0,'Process'!J611*'Control Room'!$H$5*INDEX('Control Room'!$B$19:$H$19,1,WEEKDAY($A611,2))*(1+'Control Room'!$D$9)^609*'Process'!K611),2),"")</x:f>
      </x:c>
      <x:c r="E611" s="16" t="str">
        <x:f>IF(AND(AND(610&lt;='Control Room'!$B$3,'Control Room'!$D$3="Ready"),3&lt;='Control Room'!$B$2),ROUND(MAX(0,'Process'!O611*'Control Room'!$H$6*INDEX('Control Room'!$B$19:$H$19,1,WEEKDAY($A611,2))*(1+'Control Room'!$D$9)^609*'Process'!P611),2),"")</x:f>
      </x:c>
      <x:c r="F611" s="16" t="str">
        <x:f>IF(AND(AND(610&lt;='Control Room'!$B$3,'Control Room'!$D$3="Ready"),4&lt;='Control Room'!$B$2),ROUND(MAX(0,'Process'!T611*'Control Room'!$H$7*INDEX('Control Room'!$B$19:$H$19,1,WEEKDAY($A611,2))*(1+'Control Room'!$D$9)^609*'Process'!U611),2),"")</x:f>
      </x:c>
      <x:c r="G611" s="16" t="str">
        <x:f>IF(AND(AND(610&lt;='Control Room'!$B$3,'Control Room'!$D$3="Ready"),5&lt;='Control Room'!$B$2),ROUND(MAX(0,'Process'!Y611*'Control Room'!$H$8*INDEX('Control Room'!$B$19:$H$19,1,WEEKDAY($A611,2))*(1+'Control Room'!$D$9)^609*'Process'!Z611),2),"")</x:f>
      </x:c>
      <x:c r="H611" s="16" t="str">
        <x:f>IF(AND(AND(610&lt;='Control Room'!$B$3,'Control Room'!$D$3="Ready"),6&lt;='Control Room'!$B$2),ROUND(MAX(0,'Process'!AD611*'Control Room'!$H$9*INDEX('Control Room'!$B$19:$H$19,1,WEEKDAY($A611,2))*(1+'Control Room'!$D$9)^609*'Process'!AE611),2),"")</x:f>
      </x:c>
      <x:c r="I611" s="16" t="str">
        <x:f>IF(AND(AND(610&lt;='Control Room'!$B$3,'Control Room'!$D$3="Ready"),7&lt;='Control Room'!$B$2),ROUND(MAX(0,'Process'!AI611*'Control Room'!$H$10*INDEX('Control Room'!$B$19:$H$19,1,WEEKDAY($A611,2))*(1+'Control Room'!$D$9)^609*'Process'!AJ611),2),"")</x:f>
      </x:c>
      <x:c r="J611" s="16" t="str">
        <x:f>IF(AND(AND(610&lt;='Control Room'!$B$3,'Control Room'!$D$3="Ready"),8&lt;='Control Room'!$B$2),ROUND(MAX(0,'Process'!AN611*'Control Room'!$H$11*INDEX('Control Room'!$B$19:$H$19,1,WEEKDAY($A611,2))*(1+'Control Room'!$D$9)^609*'Process'!AO611),2),"")</x:f>
      </x:c>
      <x:c r="K611" s="16" t="str">
        <x:f>IF(AND(AND(610&lt;='Control Room'!$B$3,'Control Room'!$D$3="Ready"),9&lt;='Control Room'!$B$2),ROUND(MAX(0,'Process'!AS611*'Control Room'!$H$12*INDEX('Control Room'!$B$19:$H$19,1,WEEKDAY($A611,2))*(1+'Control Room'!$D$9)^609*'Process'!AT611),2),"")</x:f>
      </x:c>
      <x:c r="L611" s="16" t="str">
        <x:f>IF(AND(AND(610&lt;='Control Room'!$B$3,'Control Room'!$D$3="Ready"),10&lt;='Control Room'!$B$2),ROUND(MAX(0,'Process'!AX611*'Control Room'!$H$13*INDEX('Control Room'!$B$19:$H$19,1,WEEKDAY($A611,2))*(1+'Control Room'!$D$9)^609*'Process'!AY611),2),"")</x:f>
      </x:c>
      <x:c r="M611" s="16" t="str">
        <x:f>IF(AND(AND(610&lt;='Control Room'!$B$3,'Control Room'!$D$3="Ready"),11&lt;='Control Room'!$B$2),ROUND(MAX(0,'Process'!BC611*'Control Room'!$H$14*INDEX('Control Room'!$B$19:$H$19,1,WEEKDAY($A611,2))*(1+'Control Room'!$D$9)^609*'Process'!BD611),2),"")</x:f>
      </x:c>
      <x:c r="N611" s="16" t="str">
        <x:f>IF(AND(AND(610&lt;='Control Room'!$B$3,'Control Room'!$D$3="Ready"),12&lt;='Control Room'!$B$2),ROUND(MAX(0,'Process'!BH611*'Control Room'!$H$15*INDEX('Control Room'!$B$19:$H$19,1,WEEKDAY($A611,2))*(1+'Control Room'!$D$9)^609*'Process'!BI611),2),"")</x:f>
      </x:c>
    </x:row>
    <x:row r="612" ht="21" customHeight="1">
      <x:c r="A612" s="15" t="str">
        <x:f>IF(AND(611&lt;='Control Room'!$B$3,'Control Room'!$D$3="Ready"),'Process'!A612,"")</x:f>
      </x:c>
      <x:c r="B612" s="16" t="str">
        <x:f>IF(A612="","",SUM(C612:N612))</x:f>
      </x:c>
      <x:c r="C612" s="16" t="str">
        <x:f>IF(AND(AND(611&lt;='Control Room'!$B$3,'Control Room'!$D$3="Ready"),1&lt;='Control Room'!$B$2),ROUND(MAX(0,'Process'!E612*'Control Room'!$H$4*INDEX('Control Room'!$B$19:$H$19,1,WEEKDAY($A612,2))*(1+'Control Room'!$D$9)^610*'Process'!F612),2),"")</x:f>
      </x:c>
      <x:c r="D612" s="16" t="str">
        <x:f>IF(AND(AND(611&lt;='Control Room'!$B$3,'Control Room'!$D$3="Ready"),2&lt;='Control Room'!$B$2),ROUND(MAX(0,'Process'!J612*'Control Room'!$H$5*INDEX('Control Room'!$B$19:$H$19,1,WEEKDAY($A612,2))*(1+'Control Room'!$D$9)^610*'Process'!K612),2),"")</x:f>
      </x:c>
      <x:c r="E612" s="16" t="str">
        <x:f>IF(AND(AND(611&lt;='Control Room'!$B$3,'Control Room'!$D$3="Ready"),3&lt;='Control Room'!$B$2),ROUND(MAX(0,'Process'!O612*'Control Room'!$H$6*INDEX('Control Room'!$B$19:$H$19,1,WEEKDAY($A612,2))*(1+'Control Room'!$D$9)^610*'Process'!P612),2),"")</x:f>
      </x:c>
      <x:c r="F612" s="16" t="str">
        <x:f>IF(AND(AND(611&lt;='Control Room'!$B$3,'Control Room'!$D$3="Ready"),4&lt;='Control Room'!$B$2),ROUND(MAX(0,'Process'!T612*'Control Room'!$H$7*INDEX('Control Room'!$B$19:$H$19,1,WEEKDAY($A612,2))*(1+'Control Room'!$D$9)^610*'Process'!U612),2),"")</x:f>
      </x:c>
      <x:c r="G612" s="16" t="str">
        <x:f>IF(AND(AND(611&lt;='Control Room'!$B$3,'Control Room'!$D$3="Ready"),5&lt;='Control Room'!$B$2),ROUND(MAX(0,'Process'!Y612*'Control Room'!$H$8*INDEX('Control Room'!$B$19:$H$19,1,WEEKDAY($A612,2))*(1+'Control Room'!$D$9)^610*'Process'!Z612),2),"")</x:f>
      </x:c>
      <x:c r="H612" s="16" t="str">
        <x:f>IF(AND(AND(611&lt;='Control Room'!$B$3,'Control Room'!$D$3="Ready"),6&lt;='Control Room'!$B$2),ROUND(MAX(0,'Process'!AD612*'Control Room'!$H$9*INDEX('Control Room'!$B$19:$H$19,1,WEEKDAY($A612,2))*(1+'Control Room'!$D$9)^610*'Process'!AE612),2),"")</x:f>
      </x:c>
      <x:c r="I612" s="16" t="str">
        <x:f>IF(AND(AND(611&lt;='Control Room'!$B$3,'Control Room'!$D$3="Ready"),7&lt;='Control Room'!$B$2),ROUND(MAX(0,'Process'!AI612*'Control Room'!$H$10*INDEX('Control Room'!$B$19:$H$19,1,WEEKDAY($A612,2))*(1+'Control Room'!$D$9)^610*'Process'!AJ612),2),"")</x:f>
      </x:c>
      <x:c r="J612" s="16" t="str">
        <x:f>IF(AND(AND(611&lt;='Control Room'!$B$3,'Control Room'!$D$3="Ready"),8&lt;='Control Room'!$B$2),ROUND(MAX(0,'Process'!AN612*'Control Room'!$H$11*INDEX('Control Room'!$B$19:$H$19,1,WEEKDAY($A612,2))*(1+'Control Room'!$D$9)^610*'Process'!AO612),2),"")</x:f>
      </x:c>
      <x:c r="K612" s="16" t="str">
        <x:f>IF(AND(AND(611&lt;='Control Room'!$B$3,'Control Room'!$D$3="Ready"),9&lt;='Control Room'!$B$2),ROUND(MAX(0,'Process'!AS612*'Control Room'!$H$12*INDEX('Control Room'!$B$19:$H$19,1,WEEKDAY($A612,2))*(1+'Control Room'!$D$9)^610*'Process'!AT612),2),"")</x:f>
      </x:c>
      <x:c r="L612" s="16" t="str">
        <x:f>IF(AND(AND(611&lt;='Control Room'!$B$3,'Control Room'!$D$3="Ready"),10&lt;='Control Room'!$B$2),ROUND(MAX(0,'Process'!AX612*'Control Room'!$H$13*INDEX('Control Room'!$B$19:$H$19,1,WEEKDAY($A612,2))*(1+'Control Room'!$D$9)^610*'Process'!AY612),2),"")</x:f>
      </x:c>
      <x:c r="M612" s="16" t="str">
        <x:f>IF(AND(AND(611&lt;='Control Room'!$B$3,'Control Room'!$D$3="Ready"),11&lt;='Control Room'!$B$2),ROUND(MAX(0,'Process'!BC612*'Control Room'!$H$14*INDEX('Control Room'!$B$19:$H$19,1,WEEKDAY($A612,2))*(1+'Control Room'!$D$9)^610*'Process'!BD612),2),"")</x:f>
      </x:c>
      <x:c r="N612" s="16" t="str">
        <x:f>IF(AND(AND(611&lt;='Control Room'!$B$3,'Control Room'!$D$3="Ready"),12&lt;='Control Room'!$B$2),ROUND(MAX(0,'Process'!BH612*'Control Room'!$H$15*INDEX('Control Room'!$B$19:$H$19,1,WEEKDAY($A612,2))*(1+'Control Room'!$D$9)^610*'Process'!BI612),2),"")</x:f>
      </x:c>
    </x:row>
    <x:row r="613" ht="21" customHeight="1">
      <x:c r="A613" s="15" t="str">
        <x:f>IF(AND(612&lt;='Control Room'!$B$3,'Control Room'!$D$3="Ready"),'Process'!A613,"")</x:f>
      </x:c>
      <x:c r="B613" s="16" t="str">
        <x:f>IF(A613="","",SUM(C613:N613))</x:f>
      </x:c>
      <x:c r="C613" s="16" t="str">
        <x:f>IF(AND(AND(612&lt;='Control Room'!$B$3,'Control Room'!$D$3="Ready"),1&lt;='Control Room'!$B$2),ROUND(MAX(0,'Process'!E613*'Control Room'!$H$4*INDEX('Control Room'!$B$19:$H$19,1,WEEKDAY($A613,2))*(1+'Control Room'!$D$9)^611*'Process'!F613),2),"")</x:f>
      </x:c>
      <x:c r="D613" s="16" t="str">
        <x:f>IF(AND(AND(612&lt;='Control Room'!$B$3,'Control Room'!$D$3="Ready"),2&lt;='Control Room'!$B$2),ROUND(MAX(0,'Process'!J613*'Control Room'!$H$5*INDEX('Control Room'!$B$19:$H$19,1,WEEKDAY($A613,2))*(1+'Control Room'!$D$9)^611*'Process'!K613),2),"")</x:f>
      </x:c>
      <x:c r="E613" s="16" t="str">
        <x:f>IF(AND(AND(612&lt;='Control Room'!$B$3,'Control Room'!$D$3="Ready"),3&lt;='Control Room'!$B$2),ROUND(MAX(0,'Process'!O613*'Control Room'!$H$6*INDEX('Control Room'!$B$19:$H$19,1,WEEKDAY($A613,2))*(1+'Control Room'!$D$9)^611*'Process'!P613),2),"")</x:f>
      </x:c>
      <x:c r="F613" s="16" t="str">
        <x:f>IF(AND(AND(612&lt;='Control Room'!$B$3,'Control Room'!$D$3="Ready"),4&lt;='Control Room'!$B$2),ROUND(MAX(0,'Process'!T613*'Control Room'!$H$7*INDEX('Control Room'!$B$19:$H$19,1,WEEKDAY($A613,2))*(1+'Control Room'!$D$9)^611*'Process'!U613),2),"")</x:f>
      </x:c>
      <x:c r="G613" s="16" t="str">
        <x:f>IF(AND(AND(612&lt;='Control Room'!$B$3,'Control Room'!$D$3="Ready"),5&lt;='Control Room'!$B$2),ROUND(MAX(0,'Process'!Y613*'Control Room'!$H$8*INDEX('Control Room'!$B$19:$H$19,1,WEEKDAY($A613,2))*(1+'Control Room'!$D$9)^611*'Process'!Z613),2),"")</x:f>
      </x:c>
      <x:c r="H613" s="16" t="str">
        <x:f>IF(AND(AND(612&lt;='Control Room'!$B$3,'Control Room'!$D$3="Ready"),6&lt;='Control Room'!$B$2),ROUND(MAX(0,'Process'!AD613*'Control Room'!$H$9*INDEX('Control Room'!$B$19:$H$19,1,WEEKDAY($A613,2))*(1+'Control Room'!$D$9)^611*'Process'!AE613),2),"")</x:f>
      </x:c>
      <x:c r="I613" s="16" t="str">
        <x:f>IF(AND(AND(612&lt;='Control Room'!$B$3,'Control Room'!$D$3="Ready"),7&lt;='Control Room'!$B$2),ROUND(MAX(0,'Process'!AI613*'Control Room'!$H$10*INDEX('Control Room'!$B$19:$H$19,1,WEEKDAY($A613,2))*(1+'Control Room'!$D$9)^611*'Process'!AJ613),2),"")</x:f>
      </x:c>
      <x:c r="J613" s="16" t="str">
        <x:f>IF(AND(AND(612&lt;='Control Room'!$B$3,'Control Room'!$D$3="Ready"),8&lt;='Control Room'!$B$2),ROUND(MAX(0,'Process'!AN613*'Control Room'!$H$11*INDEX('Control Room'!$B$19:$H$19,1,WEEKDAY($A613,2))*(1+'Control Room'!$D$9)^611*'Process'!AO613),2),"")</x:f>
      </x:c>
      <x:c r="K613" s="16" t="str">
        <x:f>IF(AND(AND(612&lt;='Control Room'!$B$3,'Control Room'!$D$3="Ready"),9&lt;='Control Room'!$B$2),ROUND(MAX(0,'Process'!AS613*'Control Room'!$H$12*INDEX('Control Room'!$B$19:$H$19,1,WEEKDAY($A613,2))*(1+'Control Room'!$D$9)^611*'Process'!AT613),2),"")</x:f>
      </x:c>
      <x:c r="L613" s="16" t="str">
        <x:f>IF(AND(AND(612&lt;='Control Room'!$B$3,'Control Room'!$D$3="Ready"),10&lt;='Control Room'!$B$2),ROUND(MAX(0,'Process'!AX613*'Control Room'!$H$13*INDEX('Control Room'!$B$19:$H$19,1,WEEKDAY($A613,2))*(1+'Control Room'!$D$9)^611*'Process'!AY613),2),"")</x:f>
      </x:c>
      <x:c r="M613" s="16" t="str">
        <x:f>IF(AND(AND(612&lt;='Control Room'!$B$3,'Control Room'!$D$3="Ready"),11&lt;='Control Room'!$B$2),ROUND(MAX(0,'Process'!BC613*'Control Room'!$H$14*INDEX('Control Room'!$B$19:$H$19,1,WEEKDAY($A613,2))*(1+'Control Room'!$D$9)^611*'Process'!BD613),2),"")</x:f>
      </x:c>
      <x:c r="N613" s="16" t="str">
        <x:f>IF(AND(AND(612&lt;='Control Room'!$B$3,'Control Room'!$D$3="Ready"),12&lt;='Control Room'!$B$2),ROUND(MAX(0,'Process'!BH613*'Control Room'!$H$15*INDEX('Control Room'!$B$19:$H$19,1,WEEKDAY($A613,2))*(1+'Control Room'!$D$9)^611*'Process'!BI613),2),"")</x:f>
      </x:c>
    </x:row>
    <x:row r="614" ht="21" customHeight="1">
      <x:c r="A614" s="15" t="str">
        <x:f>IF(AND(613&lt;='Control Room'!$B$3,'Control Room'!$D$3="Ready"),'Process'!A614,"")</x:f>
      </x:c>
      <x:c r="B614" s="16" t="str">
        <x:f>IF(A614="","",SUM(C614:N614))</x:f>
      </x:c>
      <x:c r="C614" s="16" t="str">
        <x:f>IF(AND(AND(613&lt;='Control Room'!$B$3,'Control Room'!$D$3="Ready"),1&lt;='Control Room'!$B$2),ROUND(MAX(0,'Process'!E614*'Control Room'!$H$4*INDEX('Control Room'!$B$19:$H$19,1,WEEKDAY($A614,2))*(1+'Control Room'!$D$9)^612*'Process'!F614),2),"")</x:f>
      </x:c>
      <x:c r="D614" s="16" t="str">
        <x:f>IF(AND(AND(613&lt;='Control Room'!$B$3,'Control Room'!$D$3="Ready"),2&lt;='Control Room'!$B$2),ROUND(MAX(0,'Process'!J614*'Control Room'!$H$5*INDEX('Control Room'!$B$19:$H$19,1,WEEKDAY($A614,2))*(1+'Control Room'!$D$9)^612*'Process'!K614),2),"")</x:f>
      </x:c>
      <x:c r="E614" s="16" t="str">
        <x:f>IF(AND(AND(613&lt;='Control Room'!$B$3,'Control Room'!$D$3="Ready"),3&lt;='Control Room'!$B$2),ROUND(MAX(0,'Process'!O614*'Control Room'!$H$6*INDEX('Control Room'!$B$19:$H$19,1,WEEKDAY($A614,2))*(1+'Control Room'!$D$9)^612*'Process'!P614),2),"")</x:f>
      </x:c>
      <x:c r="F614" s="16" t="str">
        <x:f>IF(AND(AND(613&lt;='Control Room'!$B$3,'Control Room'!$D$3="Ready"),4&lt;='Control Room'!$B$2),ROUND(MAX(0,'Process'!T614*'Control Room'!$H$7*INDEX('Control Room'!$B$19:$H$19,1,WEEKDAY($A614,2))*(1+'Control Room'!$D$9)^612*'Process'!U614),2),"")</x:f>
      </x:c>
      <x:c r="G614" s="16" t="str">
        <x:f>IF(AND(AND(613&lt;='Control Room'!$B$3,'Control Room'!$D$3="Ready"),5&lt;='Control Room'!$B$2),ROUND(MAX(0,'Process'!Y614*'Control Room'!$H$8*INDEX('Control Room'!$B$19:$H$19,1,WEEKDAY($A614,2))*(1+'Control Room'!$D$9)^612*'Process'!Z614),2),"")</x:f>
      </x:c>
      <x:c r="H614" s="16" t="str">
        <x:f>IF(AND(AND(613&lt;='Control Room'!$B$3,'Control Room'!$D$3="Ready"),6&lt;='Control Room'!$B$2),ROUND(MAX(0,'Process'!AD614*'Control Room'!$H$9*INDEX('Control Room'!$B$19:$H$19,1,WEEKDAY($A614,2))*(1+'Control Room'!$D$9)^612*'Process'!AE614),2),"")</x:f>
      </x:c>
      <x:c r="I614" s="16" t="str">
        <x:f>IF(AND(AND(613&lt;='Control Room'!$B$3,'Control Room'!$D$3="Ready"),7&lt;='Control Room'!$B$2),ROUND(MAX(0,'Process'!AI614*'Control Room'!$H$10*INDEX('Control Room'!$B$19:$H$19,1,WEEKDAY($A614,2))*(1+'Control Room'!$D$9)^612*'Process'!AJ614),2),"")</x:f>
      </x:c>
      <x:c r="J614" s="16" t="str">
        <x:f>IF(AND(AND(613&lt;='Control Room'!$B$3,'Control Room'!$D$3="Ready"),8&lt;='Control Room'!$B$2),ROUND(MAX(0,'Process'!AN614*'Control Room'!$H$11*INDEX('Control Room'!$B$19:$H$19,1,WEEKDAY($A614,2))*(1+'Control Room'!$D$9)^612*'Process'!AO614),2),"")</x:f>
      </x:c>
      <x:c r="K614" s="16" t="str">
        <x:f>IF(AND(AND(613&lt;='Control Room'!$B$3,'Control Room'!$D$3="Ready"),9&lt;='Control Room'!$B$2),ROUND(MAX(0,'Process'!AS614*'Control Room'!$H$12*INDEX('Control Room'!$B$19:$H$19,1,WEEKDAY($A614,2))*(1+'Control Room'!$D$9)^612*'Process'!AT614),2),"")</x:f>
      </x:c>
      <x:c r="L614" s="16" t="str">
        <x:f>IF(AND(AND(613&lt;='Control Room'!$B$3,'Control Room'!$D$3="Ready"),10&lt;='Control Room'!$B$2),ROUND(MAX(0,'Process'!AX614*'Control Room'!$H$13*INDEX('Control Room'!$B$19:$H$19,1,WEEKDAY($A614,2))*(1+'Control Room'!$D$9)^612*'Process'!AY614),2),"")</x:f>
      </x:c>
      <x:c r="M614" s="16" t="str">
        <x:f>IF(AND(AND(613&lt;='Control Room'!$B$3,'Control Room'!$D$3="Ready"),11&lt;='Control Room'!$B$2),ROUND(MAX(0,'Process'!BC614*'Control Room'!$H$14*INDEX('Control Room'!$B$19:$H$19,1,WEEKDAY($A614,2))*(1+'Control Room'!$D$9)^612*'Process'!BD614),2),"")</x:f>
      </x:c>
      <x:c r="N614" s="16" t="str">
        <x:f>IF(AND(AND(613&lt;='Control Room'!$B$3,'Control Room'!$D$3="Ready"),12&lt;='Control Room'!$B$2),ROUND(MAX(0,'Process'!BH614*'Control Room'!$H$15*INDEX('Control Room'!$B$19:$H$19,1,WEEKDAY($A614,2))*(1+'Control Room'!$D$9)^612*'Process'!BI614),2),"")</x:f>
      </x:c>
    </x:row>
    <x:row r="615" ht="21" customHeight="1">
      <x:c r="A615" s="15" t="str">
        <x:f>IF(AND(614&lt;='Control Room'!$B$3,'Control Room'!$D$3="Ready"),'Process'!A615,"")</x:f>
      </x:c>
      <x:c r="B615" s="16" t="str">
        <x:f>IF(A615="","",SUM(C615:N615))</x:f>
      </x:c>
      <x:c r="C615" s="16" t="str">
        <x:f>IF(AND(AND(614&lt;='Control Room'!$B$3,'Control Room'!$D$3="Ready"),1&lt;='Control Room'!$B$2),ROUND(MAX(0,'Process'!E615*'Control Room'!$H$4*INDEX('Control Room'!$B$19:$H$19,1,WEEKDAY($A615,2))*(1+'Control Room'!$D$9)^613*'Process'!F615),2),"")</x:f>
      </x:c>
      <x:c r="D615" s="16" t="str">
        <x:f>IF(AND(AND(614&lt;='Control Room'!$B$3,'Control Room'!$D$3="Ready"),2&lt;='Control Room'!$B$2),ROUND(MAX(0,'Process'!J615*'Control Room'!$H$5*INDEX('Control Room'!$B$19:$H$19,1,WEEKDAY($A615,2))*(1+'Control Room'!$D$9)^613*'Process'!K615),2),"")</x:f>
      </x:c>
      <x:c r="E615" s="16" t="str">
        <x:f>IF(AND(AND(614&lt;='Control Room'!$B$3,'Control Room'!$D$3="Ready"),3&lt;='Control Room'!$B$2),ROUND(MAX(0,'Process'!O615*'Control Room'!$H$6*INDEX('Control Room'!$B$19:$H$19,1,WEEKDAY($A615,2))*(1+'Control Room'!$D$9)^613*'Process'!P615),2),"")</x:f>
      </x:c>
      <x:c r="F615" s="16" t="str">
        <x:f>IF(AND(AND(614&lt;='Control Room'!$B$3,'Control Room'!$D$3="Ready"),4&lt;='Control Room'!$B$2),ROUND(MAX(0,'Process'!T615*'Control Room'!$H$7*INDEX('Control Room'!$B$19:$H$19,1,WEEKDAY($A615,2))*(1+'Control Room'!$D$9)^613*'Process'!U615),2),"")</x:f>
      </x:c>
      <x:c r="G615" s="16" t="str">
        <x:f>IF(AND(AND(614&lt;='Control Room'!$B$3,'Control Room'!$D$3="Ready"),5&lt;='Control Room'!$B$2),ROUND(MAX(0,'Process'!Y615*'Control Room'!$H$8*INDEX('Control Room'!$B$19:$H$19,1,WEEKDAY($A615,2))*(1+'Control Room'!$D$9)^613*'Process'!Z615),2),"")</x:f>
      </x:c>
      <x:c r="H615" s="16" t="str">
        <x:f>IF(AND(AND(614&lt;='Control Room'!$B$3,'Control Room'!$D$3="Ready"),6&lt;='Control Room'!$B$2),ROUND(MAX(0,'Process'!AD615*'Control Room'!$H$9*INDEX('Control Room'!$B$19:$H$19,1,WEEKDAY($A615,2))*(1+'Control Room'!$D$9)^613*'Process'!AE615),2),"")</x:f>
      </x:c>
      <x:c r="I615" s="16" t="str">
        <x:f>IF(AND(AND(614&lt;='Control Room'!$B$3,'Control Room'!$D$3="Ready"),7&lt;='Control Room'!$B$2),ROUND(MAX(0,'Process'!AI615*'Control Room'!$H$10*INDEX('Control Room'!$B$19:$H$19,1,WEEKDAY($A615,2))*(1+'Control Room'!$D$9)^613*'Process'!AJ615),2),"")</x:f>
      </x:c>
      <x:c r="J615" s="16" t="str">
        <x:f>IF(AND(AND(614&lt;='Control Room'!$B$3,'Control Room'!$D$3="Ready"),8&lt;='Control Room'!$B$2),ROUND(MAX(0,'Process'!AN615*'Control Room'!$H$11*INDEX('Control Room'!$B$19:$H$19,1,WEEKDAY($A615,2))*(1+'Control Room'!$D$9)^613*'Process'!AO615),2),"")</x:f>
      </x:c>
      <x:c r="K615" s="16" t="str">
        <x:f>IF(AND(AND(614&lt;='Control Room'!$B$3,'Control Room'!$D$3="Ready"),9&lt;='Control Room'!$B$2),ROUND(MAX(0,'Process'!AS615*'Control Room'!$H$12*INDEX('Control Room'!$B$19:$H$19,1,WEEKDAY($A615,2))*(1+'Control Room'!$D$9)^613*'Process'!AT615),2),"")</x:f>
      </x:c>
      <x:c r="L615" s="16" t="str">
        <x:f>IF(AND(AND(614&lt;='Control Room'!$B$3,'Control Room'!$D$3="Ready"),10&lt;='Control Room'!$B$2),ROUND(MAX(0,'Process'!AX615*'Control Room'!$H$13*INDEX('Control Room'!$B$19:$H$19,1,WEEKDAY($A615,2))*(1+'Control Room'!$D$9)^613*'Process'!AY615),2),"")</x:f>
      </x:c>
      <x:c r="M615" s="16" t="str">
        <x:f>IF(AND(AND(614&lt;='Control Room'!$B$3,'Control Room'!$D$3="Ready"),11&lt;='Control Room'!$B$2),ROUND(MAX(0,'Process'!BC615*'Control Room'!$H$14*INDEX('Control Room'!$B$19:$H$19,1,WEEKDAY($A615,2))*(1+'Control Room'!$D$9)^613*'Process'!BD615),2),"")</x:f>
      </x:c>
      <x:c r="N615" s="16" t="str">
        <x:f>IF(AND(AND(614&lt;='Control Room'!$B$3,'Control Room'!$D$3="Ready"),12&lt;='Control Room'!$B$2),ROUND(MAX(0,'Process'!BH615*'Control Room'!$H$15*INDEX('Control Room'!$B$19:$H$19,1,WEEKDAY($A615,2))*(1+'Control Room'!$D$9)^613*'Process'!BI615),2),"")</x:f>
      </x:c>
    </x:row>
    <x:row r="616" ht="21" customHeight="1">
      <x:c r="A616" s="15" t="str">
        <x:f>IF(AND(615&lt;='Control Room'!$B$3,'Control Room'!$D$3="Ready"),'Process'!A616,"")</x:f>
      </x:c>
      <x:c r="B616" s="16" t="str">
        <x:f>IF(A616="","",SUM(C616:N616))</x:f>
      </x:c>
      <x:c r="C616" s="16" t="str">
        <x:f>IF(AND(AND(615&lt;='Control Room'!$B$3,'Control Room'!$D$3="Ready"),1&lt;='Control Room'!$B$2),ROUND(MAX(0,'Process'!E616*'Control Room'!$H$4*INDEX('Control Room'!$B$19:$H$19,1,WEEKDAY($A616,2))*(1+'Control Room'!$D$9)^614*'Process'!F616),2),"")</x:f>
      </x:c>
      <x:c r="D616" s="16" t="str">
        <x:f>IF(AND(AND(615&lt;='Control Room'!$B$3,'Control Room'!$D$3="Ready"),2&lt;='Control Room'!$B$2),ROUND(MAX(0,'Process'!J616*'Control Room'!$H$5*INDEX('Control Room'!$B$19:$H$19,1,WEEKDAY($A616,2))*(1+'Control Room'!$D$9)^614*'Process'!K616),2),"")</x:f>
      </x:c>
      <x:c r="E616" s="16" t="str">
        <x:f>IF(AND(AND(615&lt;='Control Room'!$B$3,'Control Room'!$D$3="Ready"),3&lt;='Control Room'!$B$2),ROUND(MAX(0,'Process'!O616*'Control Room'!$H$6*INDEX('Control Room'!$B$19:$H$19,1,WEEKDAY($A616,2))*(1+'Control Room'!$D$9)^614*'Process'!P616),2),"")</x:f>
      </x:c>
      <x:c r="F616" s="16" t="str">
        <x:f>IF(AND(AND(615&lt;='Control Room'!$B$3,'Control Room'!$D$3="Ready"),4&lt;='Control Room'!$B$2),ROUND(MAX(0,'Process'!T616*'Control Room'!$H$7*INDEX('Control Room'!$B$19:$H$19,1,WEEKDAY($A616,2))*(1+'Control Room'!$D$9)^614*'Process'!U616),2),"")</x:f>
      </x:c>
      <x:c r="G616" s="16" t="str">
        <x:f>IF(AND(AND(615&lt;='Control Room'!$B$3,'Control Room'!$D$3="Ready"),5&lt;='Control Room'!$B$2),ROUND(MAX(0,'Process'!Y616*'Control Room'!$H$8*INDEX('Control Room'!$B$19:$H$19,1,WEEKDAY($A616,2))*(1+'Control Room'!$D$9)^614*'Process'!Z616),2),"")</x:f>
      </x:c>
      <x:c r="H616" s="16" t="str">
        <x:f>IF(AND(AND(615&lt;='Control Room'!$B$3,'Control Room'!$D$3="Ready"),6&lt;='Control Room'!$B$2),ROUND(MAX(0,'Process'!AD616*'Control Room'!$H$9*INDEX('Control Room'!$B$19:$H$19,1,WEEKDAY($A616,2))*(1+'Control Room'!$D$9)^614*'Process'!AE616),2),"")</x:f>
      </x:c>
      <x:c r="I616" s="16" t="str">
        <x:f>IF(AND(AND(615&lt;='Control Room'!$B$3,'Control Room'!$D$3="Ready"),7&lt;='Control Room'!$B$2),ROUND(MAX(0,'Process'!AI616*'Control Room'!$H$10*INDEX('Control Room'!$B$19:$H$19,1,WEEKDAY($A616,2))*(1+'Control Room'!$D$9)^614*'Process'!AJ616),2),"")</x:f>
      </x:c>
      <x:c r="J616" s="16" t="str">
        <x:f>IF(AND(AND(615&lt;='Control Room'!$B$3,'Control Room'!$D$3="Ready"),8&lt;='Control Room'!$B$2),ROUND(MAX(0,'Process'!AN616*'Control Room'!$H$11*INDEX('Control Room'!$B$19:$H$19,1,WEEKDAY($A616,2))*(1+'Control Room'!$D$9)^614*'Process'!AO616),2),"")</x:f>
      </x:c>
      <x:c r="K616" s="16" t="str">
        <x:f>IF(AND(AND(615&lt;='Control Room'!$B$3,'Control Room'!$D$3="Ready"),9&lt;='Control Room'!$B$2),ROUND(MAX(0,'Process'!AS616*'Control Room'!$H$12*INDEX('Control Room'!$B$19:$H$19,1,WEEKDAY($A616,2))*(1+'Control Room'!$D$9)^614*'Process'!AT616),2),"")</x:f>
      </x:c>
      <x:c r="L616" s="16" t="str">
        <x:f>IF(AND(AND(615&lt;='Control Room'!$B$3,'Control Room'!$D$3="Ready"),10&lt;='Control Room'!$B$2),ROUND(MAX(0,'Process'!AX616*'Control Room'!$H$13*INDEX('Control Room'!$B$19:$H$19,1,WEEKDAY($A616,2))*(1+'Control Room'!$D$9)^614*'Process'!AY616),2),"")</x:f>
      </x:c>
      <x:c r="M616" s="16" t="str">
        <x:f>IF(AND(AND(615&lt;='Control Room'!$B$3,'Control Room'!$D$3="Ready"),11&lt;='Control Room'!$B$2),ROUND(MAX(0,'Process'!BC616*'Control Room'!$H$14*INDEX('Control Room'!$B$19:$H$19,1,WEEKDAY($A616,2))*(1+'Control Room'!$D$9)^614*'Process'!BD616),2),"")</x:f>
      </x:c>
      <x:c r="N616" s="16" t="str">
        <x:f>IF(AND(AND(615&lt;='Control Room'!$B$3,'Control Room'!$D$3="Ready"),12&lt;='Control Room'!$B$2),ROUND(MAX(0,'Process'!BH616*'Control Room'!$H$15*INDEX('Control Room'!$B$19:$H$19,1,WEEKDAY($A616,2))*(1+'Control Room'!$D$9)^614*'Process'!BI616),2),"")</x:f>
      </x:c>
    </x:row>
    <x:row r="617" ht="21" customHeight="1">
      <x:c r="A617" s="15" t="str">
        <x:f>IF(AND(616&lt;='Control Room'!$B$3,'Control Room'!$D$3="Ready"),'Process'!A617,"")</x:f>
      </x:c>
      <x:c r="B617" s="16" t="str">
        <x:f>IF(A617="","",SUM(C617:N617))</x:f>
      </x:c>
      <x:c r="C617" s="16" t="str">
        <x:f>IF(AND(AND(616&lt;='Control Room'!$B$3,'Control Room'!$D$3="Ready"),1&lt;='Control Room'!$B$2),ROUND(MAX(0,'Process'!E617*'Control Room'!$H$4*INDEX('Control Room'!$B$19:$H$19,1,WEEKDAY($A617,2))*(1+'Control Room'!$D$9)^615*'Process'!F617),2),"")</x:f>
      </x:c>
      <x:c r="D617" s="16" t="str">
        <x:f>IF(AND(AND(616&lt;='Control Room'!$B$3,'Control Room'!$D$3="Ready"),2&lt;='Control Room'!$B$2),ROUND(MAX(0,'Process'!J617*'Control Room'!$H$5*INDEX('Control Room'!$B$19:$H$19,1,WEEKDAY($A617,2))*(1+'Control Room'!$D$9)^615*'Process'!K617),2),"")</x:f>
      </x:c>
      <x:c r="E617" s="16" t="str">
        <x:f>IF(AND(AND(616&lt;='Control Room'!$B$3,'Control Room'!$D$3="Ready"),3&lt;='Control Room'!$B$2),ROUND(MAX(0,'Process'!O617*'Control Room'!$H$6*INDEX('Control Room'!$B$19:$H$19,1,WEEKDAY($A617,2))*(1+'Control Room'!$D$9)^615*'Process'!P617),2),"")</x:f>
      </x:c>
      <x:c r="F617" s="16" t="str">
        <x:f>IF(AND(AND(616&lt;='Control Room'!$B$3,'Control Room'!$D$3="Ready"),4&lt;='Control Room'!$B$2),ROUND(MAX(0,'Process'!T617*'Control Room'!$H$7*INDEX('Control Room'!$B$19:$H$19,1,WEEKDAY($A617,2))*(1+'Control Room'!$D$9)^615*'Process'!U617),2),"")</x:f>
      </x:c>
      <x:c r="G617" s="16" t="str">
        <x:f>IF(AND(AND(616&lt;='Control Room'!$B$3,'Control Room'!$D$3="Ready"),5&lt;='Control Room'!$B$2),ROUND(MAX(0,'Process'!Y617*'Control Room'!$H$8*INDEX('Control Room'!$B$19:$H$19,1,WEEKDAY($A617,2))*(1+'Control Room'!$D$9)^615*'Process'!Z617),2),"")</x:f>
      </x:c>
      <x:c r="H617" s="16" t="str">
        <x:f>IF(AND(AND(616&lt;='Control Room'!$B$3,'Control Room'!$D$3="Ready"),6&lt;='Control Room'!$B$2),ROUND(MAX(0,'Process'!AD617*'Control Room'!$H$9*INDEX('Control Room'!$B$19:$H$19,1,WEEKDAY($A617,2))*(1+'Control Room'!$D$9)^615*'Process'!AE617),2),"")</x:f>
      </x:c>
      <x:c r="I617" s="16" t="str">
        <x:f>IF(AND(AND(616&lt;='Control Room'!$B$3,'Control Room'!$D$3="Ready"),7&lt;='Control Room'!$B$2),ROUND(MAX(0,'Process'!AI617*'Control Room'!$H$10*INDEX('Control Room'!$B$19:$H$19,1,WEEKDAY($A617,2))*(1+'Control Room'!$D$9)^615*'Process'!AJ617),2),"")</x:f>
      </x:c>
      <x:c r="J617" s="16" t="str">
        <x:f>IF(AND(AND(616&lt;='Control Room'!$B$3,'Control Room'!$D$3="Ready"),8&lt;='Control Room'!$B$2),ROUND(MAX(0,'Process'!AN617*'Control Room'!$H$11*INDEX('Control Room'!$B$19:$H$19,1,WEEKDAY($A617,2))*(1+'Control Room'!$D$9)^615*'Process'!AO617),2),"")</x:f>
      </x:c>
      <x:c r="K617" s="16" t="str">
        <x:f>IF(AND(AND(616&lt;='Control Room'!$B$3,'Control Room'!$D$3="Ready"),9&lt;='Control Room'!$B$2),ROUND(MAX(0,'Process'!AS617*'Control Room'!$H$12*INDEX('Control Room'!$B$19:$H$19,1,WEEKDAY($A617,2))*(1+'Control Room'!$D$9)^615*'Process'!AT617),2),"")</x:f>
      </x:c>
      <x:c r="L617" s="16" t="str">
        <x:f>IF(AND(AND(616&lt;='Control Room'!$B$3,'Control Room'!$D$3="Ready"),10&lt;='Control Room'!$B$2),ROUND(MAX(0,'Process'!AX617*'Control Room'!$H$13*INDEX('Control Room'!$B$19:$H$19,1,WEEKDAY($A617,2))*(1+'Control Room'!$D$9)^615*'Process'!AY617),2),"")</x:f>
      </x:c>
      <x:c r="M617" s="16" t="str">
        <x:f>IF(AND(AND(616&lt;='Control Room'!$B$3,'Control Room'!$D$3="Ready"),11&lt;='Control Room'!$B$2),ROUND(MAX(0,'Process'!BC617*'Control Room'!$H$14*INDEX('Control Room'!$B$19:$H$19,1,WEEKDAY($A617,2))*(1+'Control Room'!$D$9)^615*'Process'!BD617),2),"")</x:f>
      </x:c>
      <x:c r="N617" s="16" t="str">
        <x:f>IF(AND(AND(616&lt;='Control Room'!$B$3,'Control Room'!$D$3="Ready"),12&lt;='Control Room'!$B$2),ROUND(MAX(0,'Process'!BH617*'Control Room'!$H$15*INDEX('Control Room'!$B$19:$H$19,1,WEEKDAY($A617,2))*(1+'Control Room'!$D$9)^615*'Process'!BI617),2),"")</x:f>
      </x:c>
    </x:row>
    <x:row r="618" ht="21" customHeight="1">
      <x:c r="A618" s="15" t="str">
        <x:f>IF(AND(617&lt;='Control Room'!$B$3,'Control Room'!$D$3="Ready"),'Process'!A618,"")</x:f>
      </x:c>
      <x:c r="B618" s="16" t="str">
        <x:f>IF(A618="","",SUM(C618:N618))</x:f>
      </x:c>
      <x:c r="C618" s="16" t="str">
        <x:f>IF(AND(AND(617&lt;='Control Room'!$B$3,'Control Room'!$D$3="Ready"),1&lt;='Control Room'!$B$2),ROUND(MAX(0,'Process'!E618*'Control Room'!$H$4*INDEX('Control Room'!$B$19:$H$19,1,WEEKDAY($A618,2))*(1+'Control Room'!$D$9)^616*'Process'!F618),2),"")</x:f>
      </x:c>
      <x:c r="D618" s="16" t="str">
        <x:f>IF(AND(AND(617&lt;='Control Room'!$B$3,'Control Room'!$D$3="Ready"),2&lt;='Control Room'!$B$2),ROUND(MAX(0,'Process'!J618*'Control Room'!$H$5*INDEX('Control Room'!$B$19:$H$19,1,WEEKDAY($A618,2))*(1+'Control Room'!$D$9)^616*'Process'!K618),2),"")</x:f>
      </x:c>
      <x:c r="E618" s="16" t="str">
        <x:f>IF(AND(AND(617&lt;='Control Room'!$B$3,'Control Room'!$D$3="Ready"),3&lt;='Control Room'!$B$2),ROUND(MAX(0,'Process'!O618*'Control Room'!$H$6*INDEX('Control Room'!$B$19:$H$19,1,WEEKDAY($A618,2))*(1+'Control Room'!$D$9)^616*'Process'!P618),2),"")</x:f>
      </x:c>
      <x:c r="F618" s="16" t="str">
        <x:f>IF(AND(AND(617&lt;='Control Room'!$B$3,'Control Room'!$D$3="Ready"),4&lt;='Control Room'!$B$2),ROUND(MAX(0,'Process'!T618*'Control Room'!$H$7*INDEX('Control Room'!$B$19:$H$19,1,WEEKDAY($A618,2))*(1+'Control Room'!$D$9)^616*'Process'!U618),2),"")</x:f>
      </x:c>
      <x:c r="G618" s="16" t="str">
        <x:f>IF(AND(AND(617&lt;='Control Room'!$B$3,'Control Room'!$D$3="Ready"),5&lt;='Control Room'!$B$2),ROUND(MAX(0,'Process'!Y618*'Control Room'!$H$8*INDEX('Control Room'!$B$19:$H$19,1,WEEKDAY($A618,2))*(1+'Control Room'!$D$9)^616*'Process'!Z618),2),"")</x:f>
      </x:c>
      <x:c r="H618" s="16" t="str">
        <x:f>IF(AND(AND(617&lt;='Control Room'!$B$3,'Control Room'!$D$3="Ready"),6&lt;='Control Room'!$B$2),ROUND(MAX(0,'Process'!AD618*'Control Room'!$H$9*INDEX('Control Room'!$B$19:$H$19,1,WEEKDAY($A618,2))*(1+'Control Room'!$D$9)^616*'Process'!AE618),2),"")</x:f>
      </x:c>
      <x:c r="I618" s="16" t="str">
        <x:f>IF(AND(AND(617&lt;='Control Room'!$B$3,'Control Room'!$D$3="Ready"),7&lt;='Control Room'!$B$2),ROUND(MAX(0,'Process'!AI618*'Control Room'!$H$10*INDEX('Control Room'!$B$19:$H$19,1,WEEKDAY($A618,2))*(1+'Control Room'!$D$9)^616*'Process'!AJ618),2),"")</x:f>
      </x:c>
      <x:c r="J618" s="16" t="str">
        <x:f>IF(AND(AND(617&lt;='Control Room'!$B$3,'Control Room'!$D$3="Ready"),8&lt;='Control Room'!$B$2),ROUND(MAX(0,'Process'!AN618*'Control Room'!$H$11*INDEX('Control Room'!$B$19:$H$19,1,WEEKDAY($A618,2))*(1+'Control Room'!$D$9)^616*'Process'!AO618),2),"")</x:f>
      </x:c>
      <x:c r="K618" s="16" t="str">
        <x:f>IF(AND(AND(617&lt;='Control Room'!$B$3,'Control Room'!$D$3="Ready"),9&lt;='Control Room'!$B$2),ROUND(MAX(0,'Process'!AS618*'Control Room'!$H$12*INDEX('Control Room'!$B$19:$H$19,1,WEEKDAY($A618,2))*(1+'Control Room'!$D$9)^616*'Process'!AT618),2),"")</x:f>
      </x:c>
      <x:c r="L618" s="16" t="str">
        <x:f>IF(AND(AND(617&lt;='Control Room'!$B$3,'Control Room'!$D$3="Ready"),10&lt;='Control Room'!$B$2),ROUND(MAX(0,'Process'!AX618*'Control Room'!$H$13*INDEX('Control Room'!$B$19:$H$19,1,WEEKDAY($A618,2))*(1+'Control Room'!$D$9)^616*'Process'!AY618),2),"")</x:f>
      </x:c>
      <x:c r="M618" s="16" t="str">
        <x:f>IF(AND(AND(617&lt;='Control Room'!$B$3,'Control Room'!$D$3="Ready"),11&lt;='Control Room'!$B$2),ROUND(MAX(0,'Process'!BC618*'Control Room'!$H$14*INDEX('Control Room'!$B$19:$H$19,1,WEEKDAY($A618,2))*(1+'Control Room'!$D$9)^616*'Process'!BD618),2),"")</x:f>
      </x:c>
      <x:c r="N618" s="16" t="str">
        <x:f>IF(AND(AND(617&lt;='Control Room'!$B$3,'Control Room'!$D$3="Ready"),12&lt;='Control Room'!$B$2),ROUND(MAX(0,'Process'!BH618*'Control Room'!$H$15*INDEX('Control Room'!$B$19:$H$19,1,WEEKDAY($A618,2))*(1+'Control Room'!$D$9)^616*'Process'!BI618),2),"")</x:f>
      </x:c>
    </x:row>
    <x:row r="619" ht="21" customHeight="1">
      <x:c r="A619" s="15" t="str">
        <x:f>IF(AND(618&lt;='Control Room'!$B$3,'Control Room'!$D$3="Ready"),'Process'!A619,"")</x:f>
      </x:c>
      <x:c r="B619" s="16" t="str">
        <x:f>IF(A619="","",SUM(C619:N619))</x:f>
      </x:c>
      <x:c r="C619" s="16" t="str">
        <x:f>IF(AND(AND(618&lt;='Control Room'!$B$3,'Control Room'!$D$3="Ready"),1&lt;='Control Room'!$B$2),ROUND(MAX(0,'Process'!E619*'Control Room'!$H$4*INDEX('Control Room'!$B$19:$H$19,1,WEEKDAY($A619,2))*(1+'Control Room'!$D$9)^617*'Process'!F619),2),"")</x:f>
      </x:c>
      <x:c r="D619" s="16" t="str">
        <x:f>IF(AND(AND(618&lt;='Control Room'!$B$3,'Control Room'!$D$3="Ready"),2&lt;='Control Room'!$B$2),ROUND(MAX(0,'Process'!J619*'Control Room'!$H$5*INDEX('Control Room'!$B$19:$H$19,1,WEEKDAY($A619,2))*(1+'Control Room'!$D$9)^617*'Process'!K619),2),"")</x:f>
      </x:c>
      <x:c r="E619" s="16" t="str">
        <x:f>IF(AND(AND(618&lt;='Control Room'!$B$3,'Control Room'!$D$3="Ready"),3&lt;='Control Room'!$B$2),ROUND(MAX(0,'Process'!O619*'Control Room'!$H$6*INDEX('Control Room'!$B$19:$H$19,1,WEEKDAY($A619,2))*(1+'Control Room'!$D$9)^617*'Process'!P619),2),"")</x:f>
      </x:c>
      <x:c r="F619" s="16" t="str">
        <x:f>IF(AND(AND(618&lt;='Control Room'!$B$3,'Control Room'!$D$3="Ready"),4&lt;='Control Room'!$B$2),ROUND(MAX(0,'Process'!T619*'Control Room'!$H$7*INDEX('Control Room'!$B$19:$H$19,1,WEEKDAY($A619,2))*(1+'Control Room'!$D$9)^617*'Process'!U619),2),"")</x:f>
      </x:c>
      <x:c r="G619" s="16" t="str">
        <x:f>IF(AND(AND(618&lt;='Control Room'!$B$3,'Control Room'!$D$3="Ready"),5&lt;='Control Room'!$B$2),ROUND(MAX(0,'Process'!Y619*'Control Room'!$H$8*INDEX('Control Room'!$B$19:$H$19,1,WEEKDAY($A619,2))*(1+'Control Room'!$D$9)^617*'Process'!Z619),2),"")</x:f>
      </x:c>
      <x:c r="H619" s="16" t="str">
        <x:f>IF(AND(AND(618&lt;='Control Room'!$B$3,'Control Room'!$D$3="Ready"),6&lt;='Control Room'!$B$2),ROUND(MAX(0,'Process'!AD619*'Control Room'!$H$9*INDEX('Control Room'!$B$19:$H$19,1,WEEKDAY($A619,2))*(1+'Control Room'!$D$9)^617*'Process'!AE619),2),"")</x:f>
      </x:c>
      <x:c r="I619" s="16" t="str">
        <x:f>IF(AND(AND(618&lt;='Control Room'!$B$3,'Control Room'!$D$3="Ready"),7&lt;='Control Room'!$B$2),ROUND(MAX(0,'Process'!AI619*'Control Room'!$H$10*INDEX('Control Room'!$B$19:$H$19,1,WEEKDAY($A619,2))*(1+'Control Room'!$D$9)^617*'Process'!AJ619),2),"")</x:f>
      </x:c>
      <x:c r="J619" s="16" t="str">
        <x:f>IF(AND(AND(618&lt;='Control Room'!$B$3,'Control Room'!$D$3="Ready"),8&lt;='Control Room'!$B$2),ROUND(MAX(0,'Process'!AN619*'Control Room'!$H$11*INDEX('Control Room'!$B$19:$H$19,1,WEEKDAY($A619,2))*(1+'Control Room'!$D$9)^617*'Process'!AO619),2),"")</x:f>
      </x:c>
      <x:c r="K619" s="16" t="str">
        <x:f>IF(AND(AND(618&lt;='Control Room'!$B$3,'Control Room'!$D$3="Ready"),9&lt;='Control Room'!$B$2),ROUND(MAX(0,'Process'!AS619*'Control Room'!$H$12*INDEX('Control Room'!$B$19:$H$19,1,WEEKDAY($A619,2))*(1+'Control Room'!$D$9)^617*'Process'!AT619),2),"")</x:f>
      </x:c>
      <x:c r="L619" s="16" t="str">
        <x:f>IF(AND(AND(618&lt;='Control Room'!$B$3,'Control Room'!$D$3="Ready"),10&lt;='Control Room'!$B$2),ROUND(MAX(0,'Process'!AX619*'Control Room'!$H$13*INDEX('Control Room'!$B$19:$H$19,1,WEEKDAY($A619,2))*(1+'Control Room'!$D$9)^617*'Process'!AY619),2),"")</x:f>
      </x:c>
      <x:c r="M619" s="16" t="str">
        <x:f>IF(AND(AND(618&lt;='Control Room'!$B$3,'Control Room'!$D$3="Ready"),11&lt;='Control Room'!$B$2),ROUND(MAX(0,'Process'!BC619*'Control Room'!$H$14*INDEX('Control Room'!$B$19:$H$19,1,WEEKDAY($A619,2))*(1+'Control Room'!$D$9)^617*'Process'!BD619),2),"")</x:f>
      </x:c>
      <x:c r="N619" s="16" t="str">
        <x:f>IF(AND(AND(618&lt;='Control Room'!$B$3,'Control Room'!$D$3="Ready"),12&lt;='Control Room'!$B$2),ROUND(MAX(0,'Process'!BH619*'Control Room'!$H$15*INDEX('Control Room'!$B$19:$H$19,1,WEEKDAY($A619,2))*(1+'Control Room'!$D$9)^617*'Process'!BI619),2),"")</x:f>
      </x:c>
    </x:row>
    <x:row r="620" ht="21" customHeight="1">
      <x:c r="A620" s="15" t="str">
        <x:f>IF(AND(619&lt;='Control Room'!$B$3,'Control Room'!$D$3="Ready"),'Process'!A620,"")</x:f>
      </x:c>
      <x:c r="B620" s="16" t="str">
        <x:f>IF(A620="","",SUM(C620:N620))</x:f>
      </x:c>
      <x:c r="C620" s="16" t="str">
        <x:f>IF(AND(AND(619&lt;='Control Room'!$B$3,'Control Room'!$D$3="Ready"),1&lt;='Control Room'!$B$2),ROUND(MAX(0,'Process'!E620*'Control Room'!$H$4*INDEX('Control Room'!$B$19:$H$19,1,WEEKDAY($A620,2))*(1+'Control Room'!$D$9)^618*'Process'!F620),2),"")</x:f>
      </x:c>
      <x:c r="D620" s="16" t="str">
        <x:f>IF(AND(AND(619&lt;='Control Room'!$B$3,'Control Room'!$D$3="Ready"),2&lt;='Control Room'!$B$2),ROUND(MAX(0,'Process'!J620*'Control Room'!$H$5*INDEX('Control Room'!$B$19:$H$19,1,WEEKDAY($A620,2))*(1+'Control Room'!$D$9)^618*'Process'!K620),2),"")</x:f>
      </x:c>
      <x:c r="E620" s="16" t="str">
        <x:f>IF(AND(AND(619&lt;='Control Room'!$B$3,'Control Room'!$D$3="Ready"),3&lt;='Control Room'!$B$2),ROUND(MAX(0,'Process'!O620*'Control Room'!$H$6*INDEX('Control Room'!$B$19:$H$19,1,WEEKDAY($A620,2))*(1+'Control Room'!$D$9)^618*'Process'!P620),2),"")</x:f>
      </x:c>
      <x:c r="F620" s="16" t="str">
        <x:f>IF(AND(AND(619&lt;='Control Room'!$B$3,'Control Room'!$D$3="Ready"),4&lt;='Control Room'!$B$2),ROUND(MAX(0,'Process'!T620*'Control Room'!$H$7*INDEX('Control Room'!$B$19:$H$19,1,WEEKDAY($A620,2))*(1+'Control Room'!$D$9)^618*'Process'!U620),2),"")</x:f>
      </x:c>
      <x:c r="G620" s="16" t="str">
        <x:f>IF(AND(AND(619&lt;='Control Room'!$B$3,'Control Room'!$D$3="Ready"),5&lt;='Control Room'!$B$2),ROUND(MAX(0,'Process'!Y620*'Control Room'!$H$8*INDEX('Control Room'!$B$19:$H$19,1,WEEKDAY($A620,2))*(1+'Control Room'!$D$9)^618*'Process'!Z620),2),"")</x:f>
      </x:c>
      <x:c r="H620" s="16" t="str">
        <x:f>IF(AND(AND(619&lt;='Control Room'!$B$3,'Control Room'!$D$3="Ready"),6&lt;='Control Room'!$B$2),ROUND(MAX(0,'Process'!AD620*'Control Room'!$H$9*INDEX('Control Room'!$B$19:$H$19,1,WEEKDAY($A620,2))*(1+'Control Room'!$D$9)^618*'Process'!AE620),2),"")</x:f>
      </x:c>
      <x:c r="I620" s="16" t="str">
        <x:f>IF(AND(AND(619&lt;='Control Room'!$B$3,'Control Room'!$D$3="Ready"),7&lt;='Control Room'!$B$2),ROUND(MAX(0,'Process'!AI620*'Control Room'!$H$10*INDEX('Control Room'!$B$19:$H$19,1,WEEKDAY($A620,2))*(1+'Control Room'!$D$9)^618*'Process'!AJ620),2),"")</x:f>
      </x:c>
      <x:c r="J620" s="16" t="str">
        <x:f>IF(AND(AND(619&lt;='Control Room'!$B$3,'Control Room'!$D$3="Ready"),8&lt;='Control Room'!$B$2),ROUND(MAX(0,'Process'!AN620*'Control Room'!$H$11*INDEX('Control Room'!$B$19:$H$19,1,WEEKDAY($A620,2))*(1+'Control Room'!$D$9)^618*'Process'!AO620),2),"")</x:f>
      </x:c>
      <x:c r="K620" s="16" t="str">
        <x:f>IF(AND(AND(619&lt;='Control Room'!$B$3,'Control Room'!$D$3="Ready"),9&lt;='Control Room'!$B$2),ROUND(MAX(0,'Process'!AS620*'Control Room'!$H$12*INDEX('Control Room'!$B$19:$H$19,1,WEEKDAY($A620,2))*(1+'Control Room'!$D$9)^618*'Process'!AT620),2),"")</x:f>
      </x:c>
      <x:c r="L620" s="16" t="str">
        <x:f>IF(AND(AND(619&lt;='Control Room'!$B$3,'Control Room'!$D$3="Ready"),10&lt;='Control Room'!$B$2),ROUND(MAX(0,'Process'!AX620*'Control Room'!$H$13*INDEX('Control Room'!$B$19:$H$19,1,WEEKDAY($A620,2))*(1+'Control Room'!$D$9)^618*'Process'!AY620),2),"")</x:f>
      </x:c>
      <x:c r="M620" s="16" t="str">
        <x:f>IF(AND(AND(619&lt;='Control Room'!$B$3,'Control Room'!$D$3="Ready"),11&lt;='Control Room'!$B$2),ROUND(MAX(0,'Process'!BC620*'Control Room'!$H$14*INDEX('Control Room'!$B$19:$H$19,1,WEEKDAY($A620,2))*(1+'Control Room'!$D$9)^618*'Process'!BD620),2),"")</x:f>
      </x:c>
      <x:c r="N620" s="16" t="str">
        <x:f>IF(AND(AND(619&lt;='Control Room'!$B$3,'Control Room'!$D$3="Ready"),12&lt;='Control Room'!$B$2),ROUND(MAX(0,'Process'!BH620*'Control Room'!$H$15*INDEX('Control Room'!$B$19:$H$19,1,WEEKDAY($A620,2))*(1+'Control Room'!$D$9)^618*'Process'!BI620),2),"")</x:f>
      </x:c>
    </x:row>
    <x:row r="621" ht="21" customHeight="1">
      <x:c r="A621" s="15" t="str">
        <x:f>IF(AND(620&lt;='Control Room'!$B$3,'Control Room'!$D$3="Ready"),'Process'!A621,"")</x:f>
      </x:c>
      <x:c r="B621" s="16" t="str">
        <x:f>IF(A621="","",SUM(C621:N621))</x:f>
      </x:c>
      <x:c r="C621" s="16" t="str">
        <x:f>IF(AND(AND(620&lt;='Control Room'!$B$3,'Control Room'!$D$3="Ready"),1&lt;='Control Room'!$B$2),ROUND(MAX(0,'Process'!E621*'Control Room'!$H$4*INDEX('Control Room'!$B$19:$H$19,1,WEEKDAY($A621,2))*(1+'Control Room'!$D$9)^619*'Process'!F621),2),"")</x:f>
      </x:c>
      <x:c r="D621" s="16" t="str">
        <x:f>IF(AND(AND(620&lt;='Control Room'!$B$3,'Control Room'!$D$3="Ready"),2&lt;='Control Room'!$B$2),ROUND(MAX(0,'Process'!J621*'Control Room'!$H$5*INDEX('Control Room'!$B$19:$H$19,1,WEEKDAY($A621,2))*(1+'Control Room'!$D$9)^619*'Process'!K621),2),"")</x:f>
      </x:c>
      <x:c r="E621" s="16" t="str">
        <x:f>IF(AND(AND(620&lt;='Control Room'!$B$3,'Control Room'!$D$3="Ready"),3&lt;='Control Room'!$B$2),ROUND(MAX(0,'Process'!O621*'Control Room'!$H$6*INDEX('Control Room'!$B$19:$H$19,1,WEEKDAY($A621,2))*(1+'Control Room'!$D$9)^619*'Process'!P621),2),"")</x:f>
      </x:c>
      <x:c r="F621" s="16" t="str">
        <x:f>IF(AND(AND(620&lt;='Control Room'!$B$3,'Control Room'!$D$3="Ready"),4&lt;='Control Room'!$B$2),ROUND(MAX(0,'Process'!T621*'Control Room'!$H$7*INDEX('Control Room'!$B$19:$H$19,1,WEEKDAY($A621,2))*(1+'Control Room'!$D$9)^619*'Process'!U621),2),"")</x:f>
      </x:c>
      <x:c r="G621" s="16" t="str">
        <x:f>IF(AND(AND(620&lt;='Control Room'!$B$3,'Control Room'!$D$3="Ready"),5&lt;='Control Room'!$B$2),ROUND(MAX(0,'Process'!Y621*'Control Room'!$H$8*INDEX('Control Room'!$B$19:$H$19,1,WEEKDAY($A621,2))*(1+'Control Room'!$D$9)^619*'Process'!Z621),2),"")</x:f>
      </x:c>
      <x:c r="H621" s="16" t="str">
        <x:f>IF(AND(AND(620&lt;='Control Room'!$B$3,'Control Room'!$D$3="Ready"),6&lt;='Control Room'!$B$2),ROUND(MAX(0,'Process'!AD621*'Control Room'!$H$9*INDEX('Control Room'!$B$19:$H$19,1,WEEKDAY($A621,2))*(1+'Control Room'!$D$9)^619*'Process'!AE621),2),"")</x:f>
      </x:c>
      <x:c r="I621" s="16" t="str">
        <x:f>IF(AND(AND(620&lt;='Control Room'!$B$3,'Control Room'!$D$3="Ready"),7&lt;='Control Room'!$B$2),ROUND(MAX(0,'Process'!AI621*'Control Room'!$H$10*INDEX('Control Room'!$B$19:$H$19,1,WEEKDAY($A621,2))*(1+'Control Room'!$D$9)^619*'Process'!AJ621),2),"")</x:f>
      </x:c>
      <x:c r="J621" s="16" t="str">
        <x:f>IF(AND(AND(620&lt;='Control Room'!$B$3,'Control Room'!$D$3="Ready"),8&lt;='Control Room'!$B$2),ROUND(MAX(0,'Process'!AN621*'Control Room'!$H$11*INDEX('Control Room'!$B$19:$H$19,1,WEEKDAY($A621,2))*(1+'Control Room'!$D$9)^619*'Process'!AO621),2),"")</x:f>
      </x:c>
      <x:c r="K621" s="16" t="str">
        <x:f>IF(AND(AND(620&lt;='Control Room'!$B$3,'Control Room'!$D$3="Ready"),9&lt;='Control Room'!$B$2),ROUND(MAX(0,'Process'!AS621*'Control Room'!$H$12*INDEX('Control Room'!$B$19:$H$19,1,WEEKDAY($A621,2))*(1+'Control Room'!$D$9)^619*'Process'!AT621),2),"")</x:f>
      </x:c>
      <x:c r="L621" s="16" t="str">
        <x:f>IF(AND(AND(620&lt;='Control Room'!$B$3,'Control Room'!$D$3="Ready"),10&lt;='Control Room'!$B$2),ROUND(MAX(0,'Process'!AX621*'Control Room'!$H$13*INDEX('Control Room'!$B$19:$H$19,1,WEEKDAY($A621,2))*(1+'Control Room'!$D$9)^619*'Process'!AY621),2),"")</x:f>
      </x:c>
      <x:c r="M621" s="16" t="str">
        <x:f>IF(AND(AND(620&lt;='Control Room'!$B$3,'Control Room'!$D$3="Ready"),11&lt;='Control Room'!$B$2),ROUND(MAX(0,'Process'!BC621*'Control Room'!$H$14*INDEX('Control Room'!$B$19:$H$19,1,WEEKDAY($A621,2))*(1+'Control Room'!$D$9)^619*'Process'!BD621),2),"")</x:f>
      </x:c>
      <x:c r="N621" s="16" t="str">
        <x:f>IF(AND(AND(620&lt;='Control Room'!$B$3,'Control Room'!$D$3="Ready"),12&lt;='Control Room'!$B$2),ROUND(MAX(0,'Process'!BH621*'Control Room'!$H$15*INDEX('Control Room'!$B$19:$H$19,1,WEEKDAY($A621,2))*(1+'Control Room'!$D$9)^619*'Process'!BI621),2),"")</x:f>
      </x:c>
    </x:row>
    <x:row r="622" ht="21" customHeight="1">
      <x:c r="A622" s="15" t="str">
        <x:f>IF(AND(621&lt;='Control Room'!$B$3,'Control Room'!$D$3="Ready"),'Process'!A622,"")</x:f>
      </x:c>
      <x:c r="B622" s="16" t="str">
        <x:f>IF(A622="","",SUM(C622:N622))</x:f>
      </x:c>
      <x:c r="C622" s="16" t="str">
        <x:f>IF(AND(AND(621&lt;='Control Room'!$B$3,'Control Room'!$D$3="Ready"),1&lt;='Control Room'!$B$2),ROUND(MAX(0,'Process'!E622*'Control Room'!$H$4*INDEX('Control Room'!$B$19:$H$19,1,WEEKDAY($A622,2))*(1+'Control Room'!$D$9)^620*'Process'!F622),2),"")</x:f>
      </x:c>
      <x:c r="D622" s="16" t="str">
        <x:f>IF(AND(AND(621&lt;='Control Room'!$B$3,'Control Room'!$D$3="Ready"),2&lt;='Control Room'!$B$2),ROUND(MAX(0,'Process'!J622*'Control Room'!$H$5*INDEX('Control Room'!$B$19:$H$19,1,WEEKDAY($A622,2))*(1+'Control Room'!$D$9)^620*'Process'!K622),2),"")</x:f>
      </x:c>
      <x:c r="E622" s="16" t="str">
        <x:f>IF(AND(AND(621&lt;='Control Room'!$B$3,'Control Room'!$D$3="Ready"),3&lt;='Control Room'!$B$2),ROUND(MAX(0,'Process'!O622*'Control Room'!$H$6*INDEX('Control Room'!$B$19:$H$19,1,WEEKDAY($A622,2))*(1+'Control Room'!$D$9)^620*'Process'!P622),2),"")</x:f>
      </x:c>
      <x:c r="F622" s="16" t="str">
        <x:f>IF(AND(AND(621&lt;='Control Room'!$B$3,'Control Room'!$D$3="Ready"),4&lt;='Control Room'!$B$2),ROUND(MAX(0,'Process'!T622*'Control Room'!$H$7*INDEX('Control Room'!$B$19:$H$19,1,WEEKDAY($A622,2))*(1+'Control Room'!$D$9)^620*'Process'!U622),2),"")</x:f>
      </x:c>
      <x:c r="G622" s="16" t="str">
        <x:f>IF(AND(AND(621&lt;='Control Room'!$B$3,'Control Room'!$D$3="Ready"),5&lt;='Control Room'!$B$2),ROUND(MAX(0,'Process'!Y622*'Control Room'!$H$8*INDEX('Control Room'!$B$19:$H$19,1,WEEKDAY($A622,2))*(1+'Control Room'!$D$9)^620*'Process'!Z622),2),"")</x:f>
      </x:c>
      <x:c r="H622" s="16" t="str">
        <x:f>IF(AND(AND(621&lt;='Control Room'!$B$3,'Control Room'!$D$3="Ready"),6&lt;='Control Room'!$B$2),ROUND(MAX(0,'Process'!AD622*'Control Room'!$H$9*INDEX('Control Room'!$B$19:$H$19,1,WEEKDAY($A622,2))*(1+'Control Room'!$D$9)^620*'Process'!AE622),2),"")</x:f>
      </x:c>
      <x:c r="I622" s="16" t="str">
        <x:f>IF(AND(AND(621&lt;='Control Room'!$B$3,'Control Room'!$D$3="Ready"),7&lt;='Control Room'!$B$2),ROUND(MAX(0,'Process'!AI622*'Control Room'!$H$10*INDEX('Control Room'!$B$19:$H$19,1,WEEKDAY($A622,2))*(1+'Control Room'!$D$9)^620*'Process'!AJ622),2),"")</x:f>
      </x:c>
      <x:c r="J622" s="16" t="str">
        <x:f>IF(AND(AND(621&lt;='Control Room'!$B$3,'Control Room'!$D$3="Ready"),8&lt;='Control Room'!$B$2),ROUND(MAX(0,'Process'!AN622*'Control Room'!$H$11*INDEX('Control Room'!$B$19:$H$19,1,WEEKDAY($A622,2))*(1+'Control Room'!$D$9)^620*'Process'!AO622),2),"")</x:f>
      </x:c>
      <x:c r="K622" s="16" t="str">
        <x:f>IF(AND(AND(621&lt;='Control Room'!$B$3,'Control Room'!$D$3="Ready"),9&lt;='Control Room'!$B$2),ROUND(MAX(0,'Process'!AS622*'Control Room'!$H$12*INDEX('Control Room'!$B$19:$H$19,1,WEEKDAY($A622,2))*(1+'Control Room'!$D$9)^620*'Process'!AT622),2),"")</x:f>
      </x:c>
      <x:c r="L622" s="16" t="str">
        <x:f>IF(AND(AND(621&lt;='Control Room'!$B$3,'Control Room'!$D$3="Ready"),10&lt;='Control Room'!$B$2),ROUND(MAX(0,'Process'!AX622*'Control Room'!$H$13*INDEX('Control Room'!$B$19:$H$19,1,WEEKDAY($A622,2))*(1+'Control Room'!$D$9)^620*'Process'!AY622),2),"")</x:f>
      </x:c>
      <x:c r="M622" s="16" t="str">
        <x:f>IF(AND(AND(621&lt;='Control Room'!$B$3,'Control Room'!$D$3="Ready"),11&lt;='Control Room'!$B$2),ROUND(MAX(0,'Process'!BC622*'Control Room'!$H$14*INDEX('Control Room'!$B$19:$H$19,1,WEEKDAY($A622,2))*(1+'Control Room'!$D$9)^620*'Process'!BD622),2),"")</x:f>
      </x:c>
      <x:c r="N622" s="16" t="str">
        <x:f>IF(AND(AND(621&lt;='Control Room'!$B$3,'Control Room'!$D$3="Ready"),12&lt;='Control Room'!$B$2),ROUND(MAX(0,'Process'!BH622*'Control Room'!$H$15*INDEX('Control Room'!$B$19:$H$19,1,WEEKDAY($A622,2))*(1+'Control Room'!$D$9)^620*'Process'!BI622),2),"")</x:f>
      </x:c>
    </x:row>
    <x:row r="623" ht="21" customHeight="1">
      <x:c r="A623" s="15" t="str">
        <x:f>IF(AND(622&lt;='Control Room'!$B$3,'Control Room'!$D$3="Ready"),'Process'!A623,"")</x:f>
      </x:c>
      <x:c r="B623" s="16" t="str">
        <x:f>IF(A623="","",SUM(C623:N623))</x:f>
      </x:c>
      <x:c r="C623" s="16" t="str">
        <x:f>IF(AND(AND(622&lt;='Control Room'!$B$3,'Control Room'!$D$3="Ready"),1&lt;='Control Room'!$B$2),ROUND(MAX(0,'Process'!E623*'Control Room'!$H$4*INDEX('Control Room'!$B$19:$H$19,1,WEEKDAY($A623,2))*(1+'Control Room'!$D$9)^621*'Process'!F623),2),"")</x:f>
      </x:c>
      <x:c r="D623" s="16" t="str">
        <x:f>IF(AND(AND(622&lt;='Control Room'!$B$3,'Control Room'!$D$3="Ready"),2&lt;='Control Room'!$B$2),ROUND(MAX(0,'Process'!J623*'Control Room'!$H$5*INDEX('Control Room'!$B$19:$H$19,1,WEEKDAY($A623,2))*(1+'Control Room'!$D$9)^621*'Process'!K623),2),"")</x:f>
      </x:c>
      <x:c r="E623" s="16" t="str">
        <x:f>IF(AND(AND(622&lt;='Control Room'!$B$3,'Control Room'!$D$3="Ready"),3&lt;='Control Room'!$B$2),ROUND(MAX(0,'Process'!O623*'Control Room'!$H$6*INDEX('Control Room'!$B$19:$H$19,1,WEEKDAY($A623,2))*(1+'Control Room'!$D$9)^621*'Process'!P623),2),"")</x:f>
      </x:c>
      <x:c r="F623" s="16" t="str">
        <x:f>IF(AND(AND(622&lt;='Control Room'!$B$3,'Control Room'!$D$3="Ready"),4&lt;='Control Room'!$B$2),ROUND(MAX(0,'Process'!T623*'Control Room'!$H$7*INDEX('Control Room'!$B$19:$H$19,1,WEEKDAY($A623,2))*(1+'Control Room'!$D$9)^621*'Process'!U623),2),"")</x:f>
      </x:c>
      <x:c r="G623" s="16" t="str">
        <x:f>IF(AND(AND(622&lt;='Control Room'!$B$3,'Control Room'!$D$3="Ready"),5&lt;='Control Room'!$B$2),ROUND(MAX(0,'Process'!Y623*'Control Room'!$H$8*INDEX('Control Room'!$B$19:$H$19,1,WEEKDAY($A623,2))*(1+'Control Room'!$D$9)^621*'Process'!Z623),2),"")</x:f>
      </x:c>
      <x:c r="H623" s="16" t="str">
        <x:f>IF(AND(AND(622&lt;='Control Room'!$B$3,'Control Room'!$D$3="Ready"),6&lt;='Control Room'!$B$2),ROUND(MAX(0,'Process'!AD623*'Control Room'!$H$9*INDEX('Control Room'!$B$19:$H$19,1,WEEKDAY($A623,2))*(1+'Control Room'!$D$9)^621*'Process'!AE623),2),"")</x:f>
      </x:c>
      <x:c r="I623" s="16" t="str">
        <x:f>IF(AND(AND(622&lt;='Control Room'!$B$3,'Control Room'!$D$3="Ready"),7&lt;='Control Room'!$B$2),ROUND(MAX(0,'Process'!AI623*'Control Room'!$H$10*INDEX('Control Room'!$B$19:$H$19,1,WEEKDAY($A623,2))*(1+'Control Room'!$D$9)^621*'Process'!AJ623),2),"")</x:f>
      </x:c>
      <x:c r="J623" s="16" t="str">
        <x:f>IF(AND(AND(622&lt;='Control Room'!$B$3,'Control Room'!$D$3="Ready"),8&lt;='Control Room'!$B$2),ROUND(MAX(0,'Process'!AN623*'Control Room'!$H$11*INDEX('Control Room'!$B$19:$H$19,1,WEEKDAY($A623,2))*(1+'Control Room'!$D$9)^621*'Process'!AO623),2),"")</x:f>
      </x:c>
      <x:c r="K623" s="16" t="str">
        <x:f>IF(AND(AND(622&lt;='Control Room'!$B$3,'Control Room'!$D$3="Ready"),9&lt;='Control Room'!$B$2),ROUND(MAX(0,'Process'!AS623*'Control Room'!$H$12*INDEX('Control Room'!$B$19:$H$19,1,WEEKDAY($A623,2))*(1+'Control Room'!$D$9)^621*'Process'!AT623),2),"")</x:f>
      </x:c>
      <x:c r="L623" s="16" t="str">
        <x:f>IF(AND(AND(622&lt;='Control Room'!$B$3,'Control Room'!$D$3="Ready"),10&lt;='Control Room'!$B$2),ROUND(MAX(0,'Process'!AX623*'Control Room'!$H$13*INDEX('Control Room'!$B$19:$H$19,1,WEEKDAY($A623,2))*(1+'Control Room'!$D$9)^621*'Process'!AY623),2),"")</x:f>
      </x:c>
      <x:c r="M623" s="16" t="str">
        <x:f>IF(AND(AND(622&lt;='Control Room'!$B$3,'Control Room'!$D$3="Ready"),11&lt;='Control Room'!$B$2),ROUND(MAX(0,'Process'!BC623*'Control Room'!$H$14*INDEX('Control Room'!$B$19:$H$19,1,WEEKDAY($A623,2))*(1+'Control Room'!$D$9)^621*'Process'!BD623),2),"")</x:f>
      </x:c>
      <x:c r="N623" s="16" t="str">
        <x:f>IF(AND(AND(622&lt;='Control Room'!$B$3,'Control Room'!$D$3="Ready"),12&lt;='Control Room'!$B$2),ROUND(MAX(0,'Process'!BH623*'Control Room'!$H$15*INDEX('Control Room'!$B$19:$H$19,1,WEEKDAY($A623,2))*(1+'Control Room'!$D$9)^621*'Process'!BI623),2),"")</x:f>
      </x:c>
    </x:row>
    <x:row r="624" ht="21" customHeight="1">
      <x:c r="A624" s="15" t="str">
        <x:f>IF(AND(623&lt;='Control Room'!$B$3,'Control Room'!$D$3="Ready"),'Process'!A624,"")</x:f>
      </x:c>
      <x:c r="B624" s="16" t="str">
        <x:f>IF(A624="","",SUM(C624:N624))</x:f>
      </x:c>
      <x:c r="C624" s="16" t="str">
        <x:f>IF(AND(AND(623&lt;='Control Room'!$B$3,'Control Room'!$D$3="Ready"),1&lt;='Control Room'!$B$2),ROUND(MAX(0,'Process'!E624*'Control Room'!$H$4*INDEX('Control Room'!$B$19:$H$19,1,WEEKDAY($A624,2))*(1+'Control Room'!$D$9)^622*'Process'!F624),2),"")</x:f>
      </x:c>
      <x:c r="D624" s="16" t="str">
        <x:f>IF(AND(AND(623&lt;='Control Room'!$B$3,'Control Room'!$D$3="Ready"),2&lt;='Control Room'!$B$2),ROUND(MAX(0,'Process'!J624*'Control Room'!$H$5*INDEX('Control Room'!$B$19:$H$19,1,WEEKDAY($A624,2))*(1+'Control Room'!$D$9)^622*'Process'!K624),2),"")</x:f>
      </x:c>
      <x:c r="E624" s="16" t="str">
        <x:f>IF(AND(AND(623&lt;='Control Room'!$B$3,'Control Room'!$D$3="Ready"),3&lt;='Control Room'!$B$2),ROUND(MAX(0,'Process'!O624*'Control Room'!$H$6*INDEX('Control Room'!$B$19:$H$19,1,WEEKDAY($A624,2))*(1+'Control Room'!$D$9)^622*'Process'!P624),2),"")</x:f>
      </x:c>
      <x:c r="F624" s="16" t="str">
        <x:f>IF(AND(AND(623&lt;='Control Room'!$B$3,'Control Room'!$D$3="Ready"),4&lt;='Control Room'!$B$2),ROUND(MAX(0,'Process'!T624*'Control Room'!$H$7*INDEX('Control Room'!$B$19:$H$19,1,WEEKDAY($A624,2))*(1+'Control Room'!$D$9)^622*'Process'!U624),2),"")</x:f>
      </x:c>
      <x:c r="G624" s="16" t="str">
        <x:f>IF(AND(AND(623&lt;='Control Room'!$B$3,'Control Room'!$D$3="Ready"),5&lt;='Control Room'!$B$2),ROUND(MAX(0,'Process'!Y624*'Control Room'!$H$8*INDEX('Control Room'!$B$19:$H$19,1,WEEKDAY($A624,2))*(1+'Control Room'!$D$9)^622*'Process'!Z624),2),"")</x:f>
      </x:c>
      <x:c r="H624" s="16" t="str">
        <x:f>IF(AND(AND(623&lt;='Control Room'!$B$3,'Control Room'!$D$3="Ready"),6&lt;='Control Room'!$B$2),ROUND(MAX(0,'Process'!AD624*'Control Room'!$H$9*INDEX('Control Room'!$B$19:$H$19,1,WEEKDAY($A624,2))*(1+'Control Room'!$D$9)^622*'Process'!AE624),2),"")</x:f>
      </x:c>
      <x:c r="I624" s="16" t="str">
        <x:f>IF(AND(AND(623&lt;='Control Room'!$B$3,'Control Room'!$D$3="Ready"),7&lt;='Control Room'!$B$2),ROUND(MAX(0,'Process'!AI624*'Control Room'!$H$10*INDEX('Control Room'!$B$19:$H$19,1,WEEKDAY($A624,2))*(1+'Control Room'!$D$9)^622*'Process'!AJ624),2),"")</x:f>
      </x:c>
      <x:c r="J624" s="16" t="str">
        <x:f>IF(AND(AND(623&lt;='Control Room'!$B$3,'Control Room'!$D$3="Ready"),8&lt;='Control Room'!$B$2),ROUND(MAX(0,'Process'!AN624*'Control Room'!$H$11*INDEX('Control Room'!$B$19:$H$19,1,WEEKDAY($A624,2))*(1+'Control Room'!$D$9)^622*'Process'!AO624),2),"")</x:f>
      </x:c>
      <x:c r="K624" s="16" t="str">
        <x:f>IF(AND(AND(623&lt;='Control Room'!$B$3,'Control Room'!$D$3="Ready"),9&lt;='Control Room'!$B$2),ROUND(MAX(0,'Process'!AS624*'Control Room'!$H$12*INDEX('Control Room'!$B$19:$H$19,1,WEEKDAY($A624,2))*(1+'Control Room'!$D$9)^622*'Process'!AT624),2),"")</x:f>
      </x:c>
      <x:c r="L624" s="16" t="str">
        <x:f>IF(AND(AND(623&lt;='Control Room'!$B$3,'Control Room'!$D$3="Ready"),10&lt;='Control Room'!$B$2),ROUND(MAX(0,'Process'!AX624*'Control Room'!$H$13*INDEX('Control Room'!$B$19:$H$19,1,WEEKDAY($A624,2))*(1+'Control Room'!$D$9)^622*'Process'!AY624),2),"")</x:f>
      </x:c>
      <x:c r="M624" s="16" t="str">
        <x:f>IF(AND(AND(623&lt;='Control Room'!$B$3,'Control Room'!$D$3="Ready"),11&lt;='Control Room'!$B$2),ROUND(MAX(0,'Process'!BC624*'Control Room'!$H$14*INDEX('Control Room'!$B$19:$H$19,1,WEEKDAY($A624,2))*(1+'Control Room'!$D$9)^622*'Process'!BD624),2),"")</x:f>
      </x:c>
      <x:c r="N624" s="16" t="str">
        <x:f>IF(AND(AND(623&lt;='Control Room'!$B$3,'Control Room'!$D$3="Ready"),12&lt;='Control Room'!$B$2),ROUND(MAX(0,'Process'!BH624*'Control Room'!$H$15*INDEX('Control Room'!$B$19:$H$19,1,WEEKDAY($A624,2))*(1+'Control Room'!$D$9)^622*'Process'!BI624),2),"")</x:f>
      </x:c>
    </x:row>
    <x:row r="625" ht="21" customHeight="1">
      <x:c r="A625" s="15" t="str">
        <x:f>IF(AND(624&lt;='Control Room'!$B$3,'Control Room'!$D$3="Ready"),'Process'!A625,"")</x:f>
      </x:c>
      <x:c r="B625" s="16" t="str">
        <x:f>IF(A625="","",SUM(C625:N625))</x:f>
      </x:c>
      <x:c r="C625" s="16" t="str">
        <x:f>IF(AND(AND(624&lt;='Control Room'!$B$3,'Control Room'!$D$3="Ready"),1&lt;='Control Room'!$B$2),ROUND(MAX(0,'Process'!E625*'Control Room'!$H$4*INDEX('Control Room'!$B$19:$H$19,1,WEEKDAY($A625,2))*(1+'Control Room'!$D$9)^623*'Process'!F625),2),"")</x:f>
      </x:c>
      <x:c r="D625" s="16" t="str">
        <x:f>IF(AND(AND(624&lt;='Control Room'!$B$3,'Control Room'!$D$3="Ready"),2&lt;='Control Room'!$B$2),ROUND(MAX(0,'Process'!J625*'Control Room'!$H$5*INDEX('Control Room'!$B$19:$H$19,1,WEEKDAY($A625,2))*(1+'Control Room'!$D$9)^623*'Process'!K625),2),"")</x:f>
      </x:c>
      <x:c r="E625" s="16" t="str">
        <x:f>IF(AND(AND(624&lt;='Control Room'!$B$3,'Control Room'!$D$3="Ready"),3&lt;='Control Room'!$B$2),ROUND(MAX(0,'Process'!O625*'Control Room'!$H$6*INDEX('Control Room'!$B$19:$H$19,1,WEEKDAY($A625,2))*(1+'Control Room'!$D$9)^623*'Process'!P625),2),"")</x:f>
      </x:c>
      <x:c r="F625" s="16" t="str">
        <x:f>IF(AND(AND(624&lt;='Control Room'!$B$3,'Control Room'!$D$3="Ready"),4&lt;='Control Room'!$B$2),ROUND(MAX(0,'Process'!T625*'Control Room'!$H$7*INDEX('Control Room'!$B$19:$H$19,1,WEEKDAY($A625,2))*(1+'Control Room'!$D$9)^623*'Process'!U625),2),"")</x:f>
      </x:c>
      <x:c r="G625" s="16" t="str">
        <x:f>IF(AND(AND(624&lt;='Control Room'!$B$3,'Control Room'!$D$3="Ready"),5&lt;='Control Room'!$B$2),ROUND(MAX(0,'Process'!Y625*'Control Room'!$H$8*INDEX('Control Room'!$B$19:$H$19,1,WEEKDAY($A625,2))*(1+'Control Room'!$D$9)^623*'Process'!Z625),2),"")</x:f>
      </x:c>
      <x:c r="H625" s="16" t="str">
        <x:f>IF(AND(AND(624&lt;='Control Room'!$B$3,'Control Room'!$D$3="Ready"),6&lt;='Control Room'!$B$2),ROUND(MAX(0,'Process'!AD625*'Control Room'!$H$9*INDEX('Control Room'!$B$19:$H$19,1,WEEKDAY($A625,2))*(1+'Control Room'!$D$9)^623*'Process'!AE625),2),"")</x:f>
      </x:c>
      <x:c r="I625" s="16" t="str">
        <x:f>IF(AND(AND(624&lt;='Control Room'!$B$3,'Control Room'!$D$3="Ready"),7&lt;='Control Room'!$B$2),ROUND(MAX(0,'Process'!AI625*'Control Room'!$H$10*INDEX('Control Room'!$B$19:$H$19,1,WEEKDAY($A625,2))*(1+'Control Room'!$D$9)^623*'Process'!AJ625),2),"")</x:f>
      </x:c>
      <x:c r="J625" s="16" t="str">
        <x:f>IF(AND(AND(624&lt;='Control Room'!$B$3,'Control Room'!$D$3="Ready"),8&lt;='Control Room'!$B$2),ROUND(MAX(0,'Process'!AN625*'Control Room'!$H$11*INDEX('Control Room'!$B$19:$H$19,1,WEEKDAY($A625,2))*(1+'Control Room'!$D$9)^623*'Process'!AO625),2),"")</x:f>
      </x:c>
      <x:c r="K625" s="16" t="str">
        <x:f>IF(AND(AND(624&lt;='Control Room'!$B$3,'Control Room'!$D$3="Ready"),9&lt;='Control Room'!$B$2),ROUND(MAX(0,'Process'!AS625*'Control Room'!$H$12*INDEX('Control Room'!$B$19:$H$19,1,WEEKDAY($A625,2))*(1+'Control Room'!$D$9)^623*'Process'!AT625),2),"")</x:f>
      </x:c>
      <x:c r="L625" s="16" t="str">
        <x:f>IF(AND(AND(624&lt;='Control Room'!$B$3,'Control Room'!$D$3="Ready"),10&lt;='Control Room'!$B$2),ROUND(MAX(0,'Process'!AX625*'Control Room'!$H$13*INDEX('Control Room'!$B$19:$H$19,1,WEEKDAY($A625,2))*(1+'Control Room'!$D$9)^623*'Process'!AY625),2),"")</x:f>
      </x:c>
      <x:c r="M625" s="16" t="str">
        <x:f>IF(AND(AND(624&lt;='Control Room'!$B$3,'Control Room'!$D$3="Ready"),11&lt;='Control Room'!$B$2),ROUND(MAX(0,'Process'!BC625*'Control Room'!$H$14*INDEX('Control Room'!$B$19:$H$19,1,WEEKDAY($A625,2))*(1+'Control Room'!$D$9)^623*'Process'!BD625),2),"")</x:f>
      </x:c>
      <x:c r="N625" s="16" t="str">
        <x:f>IF(AND(AND(624&lt;='Control Room'!$B$3,'Control Room'!$D$3="Ready"),12&lt;='Control Room'!$B$2),ROUND(MAX(0,'Process'!BH625*'Control Room'!$H$15*INDEX('Control Room'!$B$19:$H$19,1,WEEKDAY($A625,2))*(1+'Control Room'!$D$9)^623*'Process'!BI625),2),"")</x:f>
      </x:c>
    </x:row>
    <x:row r="626" ht="21" customHeight="1">
      <x:c r="A626" s="15" t="str">
        <x:f>IF(AND(625&lt;='Control Room'!$B$3,'Control Room'!$D$3="Ready"),'Process'!A626,"")</x:f>
      </x:c>
      <x:c r="B626" s="16" t="str">
        <x:f>IF(A626="","",SUM(C626:N626))</x:f>
      </x:c>
      <x:c r="C626" s="16" t="str">
        <x:f>IF(AND(AND(625&lt;='Control Room'!$B$3,'Control Room'!$D$3="Ready"),1&lt;='Control Room'!$B$2),ROUND(MAX(0,'Process'!E626*'Control Room'!$H$4*INDEX('Control Room'!$B$19:$H$19,1,WEEKDAY($A626,2))*(1+'Control Room'!$D$9)^624*'Process'!F626),2),"")</x:f>
      </x:c>
      <x:c r="D626" s="16" t="str">
        <x:f>IF(AND(AND(625&lt;='Control Room'!$B$3,'Control Room'!$D$3="Ready"),2&lt;='Control Room'!$B$2),ROUND(MAX(0,'Process'!J626*'Control Room'!$H$5*INDEX('Control Room'!$B$19:$H$19,1,WEEKDAY($A626,2))*(1+'Control Room'!$D$9)^624*'Process'!K626),2),"")</x:f>
      </x:c>
      <x:c r="E626" s="16" t="str">
        <x:f>IF(AND(AND(625&lt;='Control Room'!$B$3,'Control Room'!$D$3="Ready"),3&lt;='Control Room'!$B$2),ROUND(MAX(0,'Process'!O626*'Control Room'!$H$6*INDEX('Control Room'!$B$19:$H$19,1,WEEKDAY($A626,2))*(1+'Control Room'!$D$9)^624*'Process'!P626),2),"")</x:f>
      </x:c>
      <x:c r="F626" s="16" t="str">
        <x:f>IF(AND(AND(625&lt;='Control Room'!$B$3,'Control Room'!$D$3="Ready"),4&lt;='Control Room'!$B$2),ROUND(MAX(0,'Process'!T626*'Control Room'!$H$7*INDEX('Control Room'!$B$19:$H$19,1,WEEKDAY($A626,2))*(1+'Control Room'!$D$9)^624*'Process'!U626),2),"")</x:f>
      </x:c>
      <x:c r="G626" s="16" t="str">
        <x:f>IF(AND(AND(625&lt;='Control Room'!$B$3,'Control Room'!$D$3="Ready"),5&lt;='Control Room'!$B$2),ROUND(MAX(0,'Process'!Y626*'Control Room'!$H$8*INDEX('Control Room'!$B$19:$H$19,1,WEEKDAY($A626,2))*(1+'Control Room'!$D$9)^624*'Process'!Z626),2),"")</x:f>
      </x:c>
      <x:c r="H626" s="16" t="str">
        <x:f>IF(AND(AND(625&lt;='Control Room'!$B$3,'Control Room'!$D$3="Ready"),6&lt;='Control Room'!$B$2),ROUND(MAX(0,'Process'!AD626*'Control Room'!$H$9*INDEX('Control Room'!$B$19:$H$19,1,WEEKDAY($A626,2))*(1+'Control Room'!$D$9)^624*'Process'!AE626),2),"")</x:f>
      </x:c>
      <x:c r="I626" s="16" t="str">
        <x:f>IF(AND(AND(625&lt;='Control Room'!$B$3,'Control Room'!$D$3="Ready"),7&lt;='Control Room'!$B$2),ROUND(MAX(0,'Process'!AI626*'Control Room'!$H$10*INDEX('Control Room'!$B$19:$H$19,1,WEEKDAY($A626,2))*(1+'Control Room'!$D$9)^624*'Process'!AJ626),2),"")</x:f>
      </x:c>
      <x:c r="J626" s="16" t="str">
        <x:f>IF(AND(AND(625&lt;='Control Room'!$B$3,'Control Room'!$D$3="Ready"),8&lt;='Control Room'!$B$2),ROUND(MAX(0,'Process'!AN626*'Control Room'!$H$11*INDEX('Control Room'!$B$19:$H$19,1,WEEKDAY($A626,2))*(1+'Control Room'!$D$9)^624*'Process'!AO626),2),"")</x:f>
      </x:c>
      <x:c r="K626" s="16" t="str">
        <x:f>IF(AND(AND(625&lt;='Control Room'!$B$3,'Control Room'!$D$3="Ready"),9&lt;='Control Room'!$B$2),ROUND(MAX(0,'Process'!AS626*'Control Room'!$H$12*INDEX('Control Room'!$B$19:$H$19,1,WEEKDAY($A626,2))*(1+'Control Room'!$D$9)^624*'Process'!AT626),2),"")</x:f>
      </x:c>
      <x:c r="L626" s="16" t="str">
        <x:f>IF(AND(AND(625&lt;='Control Room'!$B$3,'Control Room'!$D$3="Ready"),10&lt;='Control Room'!$B$2),ROUND(MAX(0,'Process'!AX626*'Control Room'!$H$13*INDEX('Control Room'!$B$19:$H$19,1,WEEKDAY($A626,2))*(1+'Control Room'!$D$9)^624*'Process'!AY626),2),"")</x:f>
      </x:c>
      <x:c r="M626" s="16" t="str">
        <x:f>IF(AND(AND(625&lt;='Control Room'!$B$3,'Control Room'!$D$3="Ready"),11&lt;='Control Room'!$B$2),ROUND(MAX(0,'Process'!BC626*'Control Room'!$H$14*INDEX('Control Room'!$B$19:$H$19,1,WEEKDAY($A626,2))*(1+'Control Room'!$D$9)^624*'Process'!BD626),2),"")</x:f>
      </x:c>
      <x:c r="N626" s="16" t="str">
        <x:f>IF(AND(AND(625&lt;='Control Room'!$B$3,'Control Room'!$D$3="Ready"),12&lt;='Control Room'!$B$2),ROUND(MAX(0,'Process'!BH626*'Control Room'!$H$15*INDEX('Control Room'!$B$19:$H$19,1,WEEKDAY($A626,2))*(1+'Control Room'!$D$9)^624*'Process'!BI626),2),"")</x:f>
      </x:c>
    </x:row>
    <x:row r="627" ht="21" customHeight="1">
      <x:c r="A627" s="15" t="str">
        <x:f>IF(AND(626&lt;='Control Room'!$B$3,'Control Room'!$D$3="Ready"),'Process'!A627,"")</x:f>
      </x:c>
      <x:c r="B627" s="16" t="str">
        <x:f>IF(A627="","",SUM(C627:N627))</x:f>
      </x:c>
      <x:c r="C627" s="16" t="str">
        <x:f>IF(AND(AND(626&lt;='Control Room'!$B$3,'Control Room'!$D$3="Ready"),1&lt;='Control Room'!$B$2),ROUND(MAX(0,'Process'!E627*'Control Room'!$H$4*INDEX('Control Room'!$B$19:$H$19,1,WEEKDAY($A627,2))*(1+'Control Room'!$D$9)^625*'Process'!F627),2),"")</x:f>
      </x:c>
      <x:c r="D627" s="16" t="str">
        <x:f>IF(AND(AND(626&lt;='Control Room'!$B$3,'Control Room'!$D$3="Ready"),2&lt;='Control Room'!$B$2),ROUND(MAX(0,'Process'!J627*'Control Room'!$H$5*INDEX('Control Room'!$B$19:$H$19,1,WEEKDAY($A627,2))*(1+'Control Room'!$D$9)^625*'Process'!K627),2),"")</x:f>
      </x:c>
      <x:c r="E627" s="16" t="str">
        <x:f>IF(AND(AND(626&lt;='Control Room'!$B$3,'Control Room'!$D$3="Ready"),3&lt;='Control Room'!$B$2),ROUND(MAX(0,'Process'!O627*'Control Room'!$H$6*INDEX('Control Room'!$B$19:$H$19,1,WEEKDAY($A627,2))*(1+'Control Room'!$D$9)^625*'Process'!P627),2),"")</x:f>
      </x:c>
      <x:c r="F627" s="16" t="str">
        <x:f>IF(AND(AND(626&lt;='Control Room'!$B$3,'Control Room'!$D$3="Ready"),4&lt;='Control Room'!$B$2),ROUND(MAX(0,'Process'!T627*'Control Room'!$H$7*INDEX('Control Room'!$B$19:$H$19,1,WEEKDAY($A627,2))*(1+'Control Room'!$D$9)^625*'Process'!U627),2),"")</x:f>
      </x:c>
      <x:c r="G627" s="16" t="str">
        <x:f>IF(AND(AND(626&lt;='Control Room'!$B$3,'Control Room'!$D$3="Ready"),5&lt;='Control Room'!$B$2),ROUND(MAX(0,'Process'!Y627*'Control Room'!$H$8*INDEX('Control Room'!$B$19:$H$19,1,WEEKDAY($A627,2))*(1+'Control Room'!$D$9)^625*'Process'!Z627),2),"")</x:f>
      </x:c>
      <x:c r="H627" s="16" t="str">
        <x:f>IF(AND(AND(626&lt;='Control Room'!$B$3,'Control Room'!$D$3="Ready"),6&lt;='Control Room'!$B$2),ROUND(MAX(0,'Process'!AD627*'Control Room'!$H$9*INDEX('Control Room'!$B$19:$H$19,1,WEEKDAY($A627,2))*(1+'Control Room'!$D$9)^625*'Process'!AE627),2),"")</x:f>
      </x:c>
      <x:c r="I627" s="16" t="str">
        <x:f>IF(AND(AND(626&lt;='Control Room'!$B$3,'Control Room'!$D$3="Ready"),7&lt;='Control Room'!$B$2),ROUND(MAX(0,'Process'!AI627*'Control Room'!$H$10*INDEX('Control Room'!$B$19:$H$19,1,WEEKDAY($A627,2))*(1+'Control Room'!$D$9)^625*'Process'!AJ627),2),"")</x:f>
      </x:c>
      <x:c r="J627" s="16" t="str">
        <x:f>IF(AND(AND(626&lt;='Control Room'!$B$3,'Control Room'!$D$3="Ready"),8&lt;='Control Room'!$B$2),ROUND(MAX(0,'Process'!AN627*'Control Room'!$H$11*INDEX('Control Room'!$B$19:$H$19,1,WEEKDAY($A627,2))*(1+'Control Room'!$D$9)^625*'Process'!AO627),2),"")</x:f>
      </x:c>
      <x:c r="K627" s="16" t="str">
        <x:f>IF(AND(AND(626&lt;='Control Room'!$B$3,'Control Room'!$D$3="Ready"),9&lt;='Control Room'!$B$2),ROUND(MAX(0,'Process'!AS627*'Control Room'!$H$12*INDEX('Control Room'!$B$19:$H$19,1,WEEKDAY($A627,2))*(1+'Control Room'!$D$9)^625*'Process'!AT627),2),"")</x:f>
      </x:c>
      <x:c r="L627" s="16" t="str">
        <x:f>IF(AND(AND(626&lt;='Control Room'!$B$3,'Control Room'!$D$3="Ready"),10&lt;='Control Room'!$B$2),ROUND(MAX(0,'Process'!AX627*'Control Room'!$H$13*INDEX('Control Room'!$B$19:$H$19,1,WEEKDAY($A627,2))*(1+'Control Room'!$D$9)^625*'Process'!AY627),2),"")</x:f>
      </x:c>
      <x:c r="M627" s="16" t="str">
        <x:f>IF(AND(AND(626&lt;='Control Room'!$B$3,'Control Room'!$D$3="Ready"),11&lt;='Control Room'!$B$2),ROUND(MAX(0,'Process'!BC627*'Control Room'!$H$14*INDEX('Control Room'!$B$19:$H$19,1,WEEKDAY($A627,2))*(1+'Control Room'!$D$9)^625*'Process'!BD627),2),"")</x:f>
      </x:c>
      <x:c r="N627" s="16" t="str">
        <x:f>IF(AND(AND(626&lt;='Control Room'!$B$3,'Control Room'!$D$3="Ready"),12&lt;='Control Room'!$B$2),ROUND(MAX(0,'Process'!BH627*'Control Room'!$H$15*INDEX('Control Room'!$B$19:$H$19,1,WEEKDAY($A627,2))*(1+'Control Room'!$D$9)^625*'Process'!BI627),2),"")</x:f>
      </x:c>
    </x:row>
    <x:row r="628" ht="21" customHeight="1">
      <x:c r="A628" s="15" t="str">
        <x:f>IF(AND(627&lt;='Control Room'!$B$3,'Control Room'!$D$3="Ready"),'Process'!A628,"")</x:f>
      </x:c>
      <x:c r="B628" s="16" t="str">
        <x:f>IF(A628="","",SUM(C628:N628))</x:f>
      </x:c>
      <x:c r="C628" s="16" t="str">
        <x:f>IF(AND(AND(627&lt;='Control Room'!$B$3,'Control Room'!$D$3="Ready"),1&lt;='Control Room'!$B$2),ROUND(MAX(0,'Process'!E628*'Control Room'!$H$4*INDEX('Control Room'!$B$19:$H$19,1,WEEKDAY($A628,2))*(1+'Control Room'!$D$9)^626*'Process'!F628),2),"")</x:f>
      </x:c>
      <x:c r="D628" s="16" t="str">
        <x:f>IF(AND(AND(627&lt;='Control Room'!$B$3,'Control Room'!$D$3="Ready"),2&lt;='Control Room'!$B$2),ROUND(MAX(0,'Process'!J628*'Control Room'!$H$5*INDEX('Control Room'!$B$19:$H$19,1,WEEKDAY($A628,2))*(1+'Control Room'!$D$9)^626*'Process'!K628),2),"")</x:f>
      </x:c>
      <x:c r="E628" s="16" t="str">
        <x:f>IF(AND(AND(627&lt;='Control Room'!$B$3,'Control Room'!$D$3="Ready"),3&lt;='Control Room'!$B$2),ROUND(MAX(0,'Process'!O628*'Control Room'!$H$6*INDEX('Control Room'!$B$19:$H$19,1,WEEKDAY($A628,2))*(1+'Control Room'!$D$9)^626*'Process'!P628),2),"")</x:f>
      </x:c>
      <x:c r="F628" s="16" t="str">
        <x:f>IF(AND(AND(627&lt;='Control Room'!$B$3,'Control Room'!$D$3="Ready"),4&lt;='Control Room'!$B$2),ROUND(MAX(0,'Process'!T628*'Control Room'!$H$7*INDEX('Control Room'!$B$19:$H$19,1,WEEKDAY($A628,2))*(1+'Control Room'!$D$9)^626*'Process'!U628),2),"")</x:f>
      </x:c>
      <x:c r="G628" s="16" t="str">
        <x:f>IF(AND(AND(627&lt;='Control Room'!$B$3,'Control Room'!$D$3="Ready"),5&lt;='Control Room'!$B$2),ROUND(MAX(0,'Process'!Y628*'Control Room'!$H$8*INDEX('Control Room'!$B$19:$H$19,1,WEEKDAY($A628,2))*(1+'Control Room'!$D$9)^626*'Process'!Z628),2),"")</x:f>
      </x:c>
      <x:c r="H628" s="16" t="str">
        <x:f>IF(AND(AND(627&lt;='Control Room'!$B$3,'Control Room'!$D$3="Ready"),6&lt;='Control Room'!$B$2),ROUND(MAX(0,'Process'!AD628*'Control Room'!$H$9*INDEX('Control Room'!$B$19:$H$19,1,WEEKDAY($A628,2))*(1+'Control Room'!$D$9)^626*'Process'!AE628),2),"")</x:f>
      </x:c>
      <x:c r="I628" s="16" t="str">
        <x:f>IF(AND(AND(627&lt;='Control Room'!$B$3,'Control Room'!$D$3="Ready"),7&lt;='Control Room'!$B$2),ROUND(MAX(0,'Process'!AI628*'Control Room'!$H$10*INDEX('Control Room'!$B$19:$H$19,1,WEEKDAY($A628,2))*(1+'Control Room'!$D$9)^626*'Process'!AJ628),2),"")</x:f>
      </x:c>
      <x:c r="J628" s="16" t="str">
        <x:f>IF(AND(AND(627&lt;='Control Room'!$B$3,'Control Room'!$D$3="Ready"),8&lt;='Control Room'!$B$2),ROUND(MAX(0,'Process'!AN628*'Control Room'!$H$11*INDEX('Control Room'!$B$19:$H$19,1,WEEKDAY($A628,2))*(1+'Control Room'!$D$9)^626*'Process'!AO628),2),"")</x:f>
      </x:c>
      <x:c r="K628" s="16" t="str">
        <x:f>IF(AND(AND(627&lt;='Control Room'!$B$3,'Control Room'!$D$3="Ready"),9&lt;='Control Room'!$B$2),ROUND(MAX(0,'Process'!AS628*'Control Room'!$H$12*INDEX('Control Room'!$B$19:$H$19,1,WEEKDAY($A628,2))*(1+'Control Room'!$D$9)^626*'Process'!AT628),2),"")</x:f>
      </x:c>
      <x:c r="L628" s="16" t="str">
        <x:f>IF(AND(AND(627&lt;='Control Room'!$B$3,'Control Room'!$D$3="Ready"),10&lt;='Control Room'!$B$2),ROUND(MAX(0,'Process'!AX628*'Control Room'!$H$13*INDEX('Control Room'!$B$19:$H$19,1,WEEKDAY($A628,2))*(1+'Control Room'!$D$9)^626*'Process'!AY628),2),"")</x:f>
      </x:c>
      <x:c r="M628" s="16" t="str">
        <x:f>IF(AND(AND(627&lt;='Control Room'!$B$3,'Control Room'!$D$3="Ready"),11&lt;='Control Room'!$B$2),ROUND(MAX(0,'Process'!BC628*'Control Room'!$H$14*INDEX('Control Room'!$B$19:$H$19,1,WEEKDAY($A628,2))*(1+'Control Room'!$D$9)^626*'Process'!BD628),2),"")</x:f>
      </x:c>
      <x:c r="N628" s="16" t="str">
        <x:f>IF(AND(AND(627&lt;='Control Room'!$B$3,'Control Room'!$D$3="Ready"),12&lt;='Control Room'!$B$2),ROUND(MAX(0,'Process'!BH628*'Control Room'!$H$15*INDEX('Control Room'!$B$19:$H$19,1,WEEKDAY($A628,2))*(1+'Control Room'!$D$9)^626*'Process'!BI628),2),"")</x:f>
      </x:c>
    </x:row>
    <x:row r="629" ht="21" customHeight="1">
      <x:c r="A629" s="15" t="str">
        <x:f>IF(AND(628&lt;='Control Room'!$B$3,'Control Room'!$D$3="Ready"),'Process'!A629,"")</x:f>
      </x:c>
      <x:c r="B629" s="16" t="str">
        <x:f>IF(A629="","",SUM(C629:N629))</x:f>
      </x:c>
      <x:c r="C629" s="16" t="str">
        <x:f>IF(AND(AND(628&lt;='Control Room'!$B$3,'Control Room'!$D$3="Ready"),1&lt;='Control Room'!$B$2),ROUND(MAX(0,'Process'!E629*'Control Room'!$H$4*INDEX('Control Room'!$B$19:$H$19,1,WEEKDAY($A629,2))*(1+'Control Room'!$D$9)^627*'Process'!F629),2),"")</x:f>
      </x:c>
      <x:c r="D629" s="16" t="str">
        <x:f>IF(AND(AND(628&lt;='Control Room'!$B$3,'Control Room'!$D$3="Ready"),2&lt;='Control Room'!$B$2),ROUND(MAX(0,'Process'!J629*'Control Room'!$H$5*INDEX('Control Room'!$B$19:$H$19,1,WEEKDAY($A629,2))*(1+'Control Room'!$D$9)^627*'Process'!K629),2),"")</x:f>
      </x:c>
      <x:c r="E629" s="16" t="str">
        <x:f>IF(AND(AND(628&lt;='Control Room'!$B$3,'Control Room'!$D$3="Ready"),3&lt;='Control Room'!$B$2),ROUND(MAX(0,'Process'!O629*'Control Room'!$H$6*INDEX('Control Room'!$B$19:$H$19,1,WEEKDAY($A629,2))*(1+'Control Room'!$D$9)^627*'Process'!P629),2),"")</x:f>
      </x:c>
      <x:c r="F629" s="16" t="str">
        <x:f>IF(AND(AND(628&lt;='Control Room'!$B$3,'Control Room'!$D$3="Ready"),4&lt;='Control Room'!$B$2),ROUND(MAX(0,'Process'!T629*'Control Room'!$H$7*INDEX('Control Room'!$B$19:$H$19,1,WEEKDAY($A629,2))*(1+'Control Room'!$D$9)^627*'Process'!U629),2),"")</x:f>
      </x:c>
      <x:c r="G629" s="16" t="str">
        <x:f>IF(AND(AND(628&lt;='Control Room'!$B$3,'Control Room'!$D$3="Ready"),5&lt;='Control Room'!$B$2),ROUND(MAX(0,'Process'!Y629*'Control Room'!$H$8*INDEX('Control Room'!$B$19:$H$19,1,WEEKDAY($A629,2))*(1+'Control Room'!$D$9)^627*'Process'!Z629),2),"")</x:f>
      </x:c>
      <x:c r="H629" s="16" t="str">
        <x:f>IF(AND(AND(628&lt;='Control Room'!$B$3,'Control Room'!$D$3="Ready"),6&lt;='Control Room'!$B$2),ROUND(MAX(0,'Process'!AD629*'Control Room'!$H$9*INDEX('Control Room'!$B$19:$H$19,1,WEEKDAY($A629,2))*(1+'Control Room'!$D$9)^627*'Process'!AE629),2),"")</x:f>
      </x:c>
      <x:c r="I629" s="16" t="str">
        <x:f>IF(AND(AND(628&lt;='Control Room'!$B$3,'Control Room'!$D$3="Ready"),7&lt;='Control Room'!$B$2),ROUND(MAX(0,'Process'!AI629*'Control Room'!$H$10*INDEX('Control Room'!$B$19:$H$19,1,WEEKDAY($A629,2))*(1+'Control Room'!$D$9)^627*'Process'!AJ629),2),"")</x:f>
      </x:c>
      <x:c r="J629" s="16" t="str">
        <x:f>IF(AND(AND(628&lt;='Control Room'!$B$3,'Control Room'!$D$3="Ready"),8&lt;='Control Room'!$B$2),ROUND(MAX(0,'Process'!AN629*'Control Room'!$H$11*INDEX('Control Room'!$B$19:$H$19,1,WEEKDAY($A629,2))*(1+'Control Room'!$D$9)^627*'Process'!AO629),2),"")</x:f>
      </x:c>
      <x:c r="K629" s="16" t="str">
        <x:f>IF(AND(AND(628&lt;='Control Room'!$B$3,'Control Room'!$D$3="Ready"),9&lt;='Control Room'!$B$2),ROUND(MAX(0,'Process'!AS629*'Control Room'!$H$12*INDEX('Control Room'!$B$19:$H$19,1,WEEKDAY($A629,2))*(1+'Control Room'!$D$9)^627*'Process'!AT629),2),"")</x:f>
      </x:c>
      <x:c r="L629" s="16" t="str">
        <x:f>IF(AND(AND(628&lt;='Control Room'!$B$3,'Control Room'!$D$3="Ready"),10&lt;='Control Room'!$B$2),ROUND(MAX(0,'Process'!AX629*'Control Room'!$H$13*INDEX('Control Room'!$B$19:$H$19,1,WEEKDAY($A629,2))*(1+'Control Room'!$D$9)^627*'Process'!AY629),2),"")</x:f>
      </x:c>
      <x:c r="M629" s="16" t="str">
        <x:f>IF(AND(AND(628&lt;='Control Room'!$B$3,'Control Room'!$D$3="Ready"),11&lt;='Control Room'!$B$2),ROUND(MAX(0,'Process'!BC629*'Control Room'!$H$14*INDEX('Control Room'!$B$19:$H$19,1,WEEKDAY($A629,2))*(1+'Control Room'!$D$9)^627*'Process'!BD629),2),"")</x:f>
      </x:c>
      <x:c r="N629" s="16" t="str">
        <x:f>IF(AND(AND(628&lt;='Control Room'!$B$3,'Control Room'!$D$3="Ready"),12&lt;='Control Room'!$B$2),ROUND(MAX(0,'Process'!BH629*'Control Room'!$H$15*INDEX('Control Room'!$B$19:$H$19,1,WEEKDAY($A629,2))*(1+'Control Room'!$D$9)^627*'Process'!BI629),2),"")</x:f>
      </x:c>
    </x:row>
    <x:row r="630" ht="21" customHeight="1">
      <x:c r="A630" s="15" t="str">
        <x:f>IF(AND(629&lt;='Control Room'!$B$3,'Control Room'!$D$3="Ready"),'Process'!A630,"")</x:f>
      </x:c>
      <x:c r="B630" s="16" t="str">
        <x:f>IF(A630="","",SUM(C630:N630))</x:f>
      </x:c>
      <x:c r="C630" s="16" t="str">
        <x:f>IF(AND(AND(629&lt;='Control Room'!$B$3,'Control Room'!$D$3="Ready"),1&lt;='Control Room'!$B$2),ROUND(MAX(0,'Process'!E630*'Control Room'!$H$4*INDEX('Control Room'!$B$19:$H$19,1,WEEKDAY($A630,2))*(1+'Control Room'!$D$9)^628*'Process'!F630),2),"")</x:f>
      </x:c>
      <x:c r="D630" s="16" t="str">
        <x:f>IF(AND(AND(629&lt;='Control Room'!$B$3,'Control Room'!$D$3="Ready"),2&lt;='Control Room'!$B$2),ROUND(MAX(0,'Process'!J630*'Control Room'!$H$5*INDEX('Control Room'!$B$19:$H$19,1,WEEKDAY($A630,2))*(1+'Control Room'!$D$9)^628*'Process'!K630),2),"")</x:f>
      </x:c>
      <x:c r="E630" s="16" t="str">
        <x:f>IF(AND(AND(629&lt;='Control Room'!$B$3,'Control Room'!$D$3="Ready"),3&lt;='Control Room'!$B$2),ROUND(MAX(0,'Process'!O630*'Control Room'!$H$6*INDEX('Control Room'!$B$19:$H$19,1,WEEKDAY($A630,2))*(1+'Control Room'!$D$9)^628*'Process'!P630),2),"")</x:f>
      </x:c>
      <x:c r="F630" s="16" t="str">
        <x:f>IF(AND(AND(629&lt;='Control Room'!$B$3,'Control Room'!$D$3="Ready"),4&lt;='Control Room'!$B$2),ROUND(MAX(0,'Process'!T630*'Control Room'!$H$7*INDEX('Control Room'!$B$19:$H$19,1,WEEKDAY($A630,2))*(1+'Control Room'!$D$9)^628*'Process'!U630),2),"")</x:f>
      </x:c>
      <x:c r="G630" s="16" t="str">
        <x:f>IF(AND(AND(629&lt;='Control Room'!$B$3,'Control Room'!$D$3="Ready"),5&lt;='Control Room'!$B$2),ROUND(MAX(0,'Process'!Y630*'Control Room'!$H$8*INDEX('Control Room'!$B$19:$H$19,1,WEEKDAY($A630,2))*(1+'Control Room'!$D$9)^628*'Process'!Z630),2),"")</x:f>
      </x:c>
      <x:c r="H630" s="16" t="str">
        <x:f>IF(AND(AND(629&lt;='Control Room'!$B$3,'Control Room'!$D$3="Ready"),6&lt;='Control Room'!$B$2),ROUND(MAX(0,'Process'!AD630*'Control Room'!$H$9*INDEX('Control Room'!$B$19:$H$19,1,WEEKDAY($A630,2))*(1+'Control Room'!$D$9)^628*'Process'!AE630),2),"")</x:f>
      </x:c>
      <x:c r="I630" s="16" t="str">
        <x:f>IF(AND(AND(629&lt;='Control Room'!$B$3,'Control Room'!$D$3="Ready"),7&lt;='Control Room'!$B$2),ROUND(MAX(0,'Process'!AI630*'Control Room'!$H$10*INDEX('Control Room'!$B$19:$H$19,1,WEEKDAY($A630,2))*(1+'Control Room'!$D$9)^628*'Process'!AJ630),2),"")</x:f>
      </x:c>
      <x:c r="J630" s="16" t="str">
        <x:f>IF(AND(AND(629&lt;='Control Room'!$B$3,'Control Room'!$D$3="Ready"),8&lt;='Control Room'!$B$2),ROUND(MAX(0,'Process'!AN630*'Control Room'!$H$11*INDEX('Control Room'!$B$19:$H$19,1,WEEKDAY($A630,2))*(1+'Control Room'!$D$9)^628*'Process'!AO630),2),"")</x:f>
      </x:c>
      <x:c r="K630" s="16" t="str">
        <x:f>IF(AND(AND(629&lt;='Control Room'!$B$3,'Control Room'!$D$3="Ready"),9&lt;='Control Room'!$B$2),ROUND(MAX(0,'Process'!AS630*'Control Room'!$H$12*INDEX('Control Room'!$B$19:$H$19,1,WEEKDAY($A630,2))*(1+'Control Room'!$D$9)^628*'Process'!AT630),2),"")</x:f>
      </x:c>
      <x:c r="L630" s="16" t="str">
        <x:f>IF(AND(AND(629&lt;='Control Room'!$B$3,'Control Room'!$D$3="Ready"),10&lt;='Control Room'!$B$2),ROUND(MAX(0,'Process'!AX630*'Control Room'!$H$13*INDEX('Control Room'!$B$19:$H$19,1,WEEKDAY($A630,2))*(1+'Control Room'!$D$9)^628*'Process'!AY630),2),"")</x:f>
      </x:c>
      <x:c r="M630" s="16" t="str">
        <x:f>IF(AND(AND(629&lt;='Control Room'!$B$3,'Control Room'!$D$3="Ready"),11&lt;='Control Room'!$B$2),ROUND(MAX(0,'Process'!BC630*'Control Room'!$H$14*INDEX('Control Room'!$B$19:$H$19,1,WEEKDAY($A630,2))*(1+'Control Room'!$D$9)^628*'Process'!BD630),2),"")</x:f>
      </x:c>
      <x:c r="N630" s="16" t="str">
        <x:f>IF(AND(AND(629&lt;='Control Room'!$B$3,'Control Room'!$D$3="Ready"),12&lt;='Control Room'!$B$2),ROUND(MAX(0,'Process'!BH630*'Control Room'!$H$15*INDEX('Control Room'!$B$19:$H$19,1,WEEKDAY($A630,2))*(1+'Control Room'!$D$9)^628*'Process'!BI630),2),"")</x:f>
      </x:c>
    </x:row>
    <x:row r="631" ht="21" customHeight="1">
      <x:c r="A631" s="15" t="str">
        <x:f>IF(AND(630&lt;='Control Room'!$B$3,'Control Room'!$D$3="Ready"),'Process'!A631,"")</x:f>
      </x:c>
      <x:c r="B631" s="16" t="str">
        <x:f>IF(A631="","",SUM(C631:N631))</x:f>
      </x:c>
      <x:c r="C631" s="16" t="str">
        <x:f>IF(AND(AND(630&lt;='Control Room'!$B$3,'Control Room'!$D$3="Ready"),1&lt;='Control Room'!$B$2),ROUND(MAX(0,'Process'!E631*'Control Room'!$H$4*INDEX('Control Room'!$B$19:$H$19,1,WEEKDAY($A631,2))*(1+'Control Room'!$D$9)^629*'Process'!F631),2),"")</x:f>
      </x:c>
      <x:c r="D631" s="16" t="str">
        <x:f>IF(AND(AND(630&lt;='Control Room'!$B$3,'Control Room'!$D$3="Ready"),2&lt;='Control Room'!$B$2),ROUND(MAX(0,'Process'!J631*'Control Room'!$H$5*INDEX('Control Room'!$B$19:$H$19,1,WEEKDAY($A631,2))*(1+'Control Room'!$D$9)^629*'Process'!K631),2),"")</x:f>
      </x:c>
      <x:c r="E631" s="16" t="str">
        <x:f>IF(AND(AND(630&lt;='Control Room'!$B$3,'Control Room'!$D$3="Ready"),3&lt;='Control Room'!$B$2),ROUND(MAX(0,'Process'!O631*'Control Room'!$H$6*INDEX('Control Room'!$B$19:$H$19,1,WEEKDAY($A631,2))*(1+'Control Room'!$D$9)^629*'Process'!P631),2),"")</x:f>
      </x:c>
      <x:c r="F631" s="16" t="str">
        <x:f>IF(AND(AND(630&lt;='Control Room'!$B$3,'Control Room'!$D$3="Ready"),4&lt;='Control Room'!$B$2),ROUND(MAX(0,'Process'!T631*'Control Room'!$H$7*INDEX('Control Room'!$B$19:$H$19,1,WEEKDAY($A631,2))*(1+'Control Room'!$D$9)^629*'Process'!U631),2),"")</x:f>
      </x:c>
      <x:c r="G631" s="16" t="str">
        <x:f>IF(AND(AND(630&lt;='Control Room'!$B$3,'Control Room'!$D$3="Ready"),5&lt;='Control Room'!$B$2),ROUND(MAX(0,'Process'!Y631*'Control Room'!$H$8*INDEX('Control Room'!$B$19:$H$19,1,WEEKDAY($A631,2))*(1+'Control Room'!$D$9)^629*'Process'!Z631),2),"")</x:f>
      </x:c>
      <x:c r="H631" s="16" t="str">
        <x:f>IF(AND(AND(630&lt;='Control Room'!$B$3,'Control Room'!$D$3="Ready"),6&lt;='Control Room'!$B$2),ROUND(MAX(0,'Process'!AD631*'Control Room'!$H$9*INDEX('Control Room'!$B$19:$H$19,1,WEEKDAY($A631,2))*(1+'Control Room'!$D$9)^629*'Process'!AE631),2),"")</x:f>
      </x:c>
      <x:c r="I631" s="16" t="str">
        <x:f>IF(AND(AND(630&lt;='Control Room'!$B$3,'Control Room'!$D$3="Ready"),7&lt;='Control Room'!$B$2),ROUND(MAX(0,'Process'!AI631*'Control Room'!$H$10*INDEX('Control Room'!$B$19:$H$19,1,WEEKDAY($A631,2))*(1+'Control Room'!$D$9)^629*'Process'!AJ631),2),"")</x:f>
      </x:c>
      <x:c r="J631" s="16" t="str">
        <x:f>IF(AND(AND(630&lt;='Control Room'!$B$3,'Control Room'!$D$3="Ready"),8&lt;='Control Room'!$B$2),ROUND(MAX(0,'Process'!AN631*'Control Room'!$H$11*INDEX('Control Room'!$B$19:$H$19,1,WEEKDAY($A631,2))*(1+'Control Room'!$D$9)^629*'Process'!AO631),2),"")</x:f>
      </x:c>
      <x:c r="K631" s="16" t="str">
        <x:f>IF(AND(AND(630&lt;='Control Room'!$B$3,'Control Room'!$D$3="Ready"),9&lt;='Control Room'!$B$2),ROUND(MAX(0,'Process'!AS631*'Control Room'!$H$12*INDEX('Control Room'!$B$19:$H$19,1,WEEKDAY($A631,2))*(1+'Control Room'!$D$9)^629*'Process'!AT631),2),"")</x:f>
      </x:c>
      <x:c r="L631" s="16" t="str">
        <x:f>IF(AND(AND(630&lt;='Control Room'!$B$3,'Control Room'!$D$3="Ready"),10&lt;='Control Room'!$B$2),ROUND(MAX(0,'Process'!AX631*'Control Room'!$H$13*INDEX('Control Room'!$B$19:$H$19,1,WEEKDAY($A631,2))*(1+'Control Room'!$D$9)^629*'Process'!AY631),2),"")</x:f>
      </x:c>
      <x:c r="M631" s="16" t="str">
        <x:f>IF(AND(AND(630&lt;='Control Room'!$B$3,'Control Room'!$D$3="Ready"),11&lt;='Control Room'!$B$2),ROUND(MAX(0,'Process'!BC631*'Control Room'!$H$14*INDEX('Control Room'!$B$19:$H$19,1,WEEKDAY($A631,2))*(1+'Control Room'!$D$9)^629*'Process'!BD631),2),"")</x:f>
      </x:c>
      <x:c r="N631" s="16" t="str">
        <x:f>IF(AND(AND(630&lt;='Control Room'!$B$3,'Control Room'!$D$3="Ready"),12&lt;='Control Room'!$B$2),ROUND(MAX(0,'Process'!BH631*'Control Room'!$H$15*INDEX('Control Room'!$B$19:$H$19,1,WEEKDAY($A631,2))*(1+'Control Room'!$D$9)^629*'Process'!BI631),2),"")</x:f>
      </x:c>
    </x:row>
    <x:row r="632" ht="21" customHeight="1">
      <x:c r="A632" s="15" t="str">
        <x:f>IF(AND(631&lt;='Control Room'!$B$3,'Control Room'!$D$3="Ready"),'Process'!A632,"")</x:f>
      </x:c>
      <x:c r="B632" s="16" t="str">
        <x:f>IF(A632="","",SUM(C632:N632))</x:f>
      </x:c>
      <x:c r="C632" s="16" t="str">
        <x:f>IF(AND(AND(631&lt;='Control Room'!$B$3,'Control Room'!$D$3="Ready"),1&lt;='Control Room'!$B$2),ROUND(MAX(0,'Process'!E632*'Control Room'!$H$4*INDEX('Control Room'!$B$19:$H$19,1,WEEKDAY($A632,2))*(1+'Control Room'!$D$9)^630*'Process'!F632),2),"")</x:f>
      </x:c>
      <x:c r="D632" s="16" t="str">
        <x:f>IF(AND(AND(631&lt;='Control Room'!$B$3,'Control Room'!$D$3="Ready"),2&lt;='Control Room'!$B$2),ROUND(MAX(0,'Process'!J632*'Control Room'!$H$5*INDEX('Control Room'!$B$19:$H$19,1,WEEKDAY($A632,2))*(1+'Control Room'!$D$9)^630*'Process'!K632),2),"")</x:f>
      </x:c>
      <x:c r="E632" s="16" t="str">
        <x:f>IF(AND(AND(631&lt;='Control Room'!$B$3,'Control Room'!$D$3="Ready"),3&lt;='Control Room'!$B$2),ROUND(MAX(0,'Process'!O632*'Control Room'!$H$6*INDEX('Control Room'!$B$19:$H$19,1,WEEKDAY($A632,2))*(1+'Control Room'!$D$9)^630*'Process'!P632),2),"")</x:f>
      </x:c>
      <x:c r="F632" s="16" t="str">
        <x:f>IF(AND(AND(631&lt;='Control Room'!$B$3,'Control Room'!$D$3="Ready"),4&lt;='Control Room'!$B$2),ROUND(MAX(0,'Process'!T632*'Control Room'!$H$7*INDEX('Control Room'!$B$19:$H$19,1,WEEKDAY($A632,2))*(1+'Control Room'!$D$9)^630*'Process'!U632),2),"")</x:f>
      </x:c>
      <x:c r="G632" s="16" t="str">
        <x:f>IF(AND(AND(631&lt;='Control Room'!$B$3,'Control Room'!$D$3="Ready"),5&lt;='Control Room'!$B$2),ROUND(MAX(0,'Process'!Y632*'Control Room'!$H$8*INDEX('Control Room'!$B$19:$H$19,1,WEEKDAY($A632,2))*(1+'Control Room'!$D$9)^630*'Process'!Z632),2),"")</x:f>
      </x:c>
      <x:c r="H632" s="16" t="str">
        <x:f>IF(AND(AND(631&lt;='Control Room'!$B$3,'Control Room'!$D$3="Ready"),6&lt;='Control Room'!$B$2),ROUND(MAX(0,'Process'!AD632*'Control Room'!$H$9*INDEX('Control Room'!$B$19:$H$19,1,WEEKDAY($A632,2))*(1+'Control Room'!$D$9)^630*'Process'!AE632),2),"")</x:f>
      </x:c>
      <x:c r="I632" s="16" t="str">
        <x:f>IF(AND(AND(631&lt;='Control Room'!$B$3,'Control Room'!$D$3="Ready"),7&lt;='Control Room'!$B$2),ROUND(MAX(0,'Process'!AI632*'Control Room'!$H$10*INDEX('Control Room'!$B$19:$H$19,1,WEEKDAY($A632,2))*(1+'Control Room'!$D$9)^630*'Process'!AJ632),2),"")</x:f>
      </x:c>
      <x:c r="J632" s="16" t="str">
        <x:f>IF(AND(AND(631&lt;='Control Room'!$B$3,'Control Room'!$D$3="Ready"),8&lt;='Control Room'!$B$2),ROUND(MAX(0,'Process'!AN632*'Control Room'!$H$11*INDEX('Control Room'!$B$19:$H$19,1,WEEKDAY($A632,2))*(1+'Control Room'!$D$9)^630*'Process'!AO632),2),"")</x:f>
      </x:c>
      <x:c r="K632" s="16" t="str">
        <x:f>IF(AND(AND(631&lt;='Control Room'!$B$3,'Control Room'!$D$3="Ready"),9&lt;='Control Room'!$B$2),ROUND(MAX(0,'Process'!AS632*'Control Room'!$H$12*INDEX('Control Room'!$B$19:$H$19,1,WEEKDAY($A632,2))*(1+'Control Room'!$D$9)^630*'Process'!AT632),2),"")</x:f>
      </x:c>
      <x:c r="L632" s="16" t="str">
        <x:f>IF(AND(AND(631&lt;='Control Room'!$B$3,'Control Room'!$D$3="Ready"),10&lt;='Control Room'!$B$2),ROUND(MAX(0,'Process'!AX632*'Control Room'!$H$13*INDEX('Control Room'!$B$19:$H$19,1,WEEKDAY($A632,2))*(1+'Control Room'!$D$9)^630*'Process'!AY632),2),"")</x:f>
      </x:c>
      <x:c r="M632" s="16" t="str">
        <x:f>IF(AND(AND(631&lt;='Control Room'!$B$3,'Control Room'!$D$3="Ready"),11&lt;='Control Room'!$B$2),ROUND(MAX(0,'Process'!BC632*'Control Room'!$H$14*INDEX('Control Room'!$B$19:$H$19,1,WEEKDAY($A632,2))*(1+'Control Room'!$D$9)^630*'Process'!BD632),2),"")</x:f>
      </x:c>
      <x:c r="N632" s="16" t="str">
        <x:f>IF(AND(AND(631&lt;='Control Room'!$B$3,'Control Room'!$D$3="Ready"),12&lt;='Control Room'!$B$2),ROUND(MAX(0,'Process'!BH632*'Control Room'!$H$15*INDEX('Control Room'!$B$19:$H$19,1,WEEKDAY($A632,2))*(1+'Control Room'!$D$9)^630*'Process'!BI632),2),"")</x:f>
      </x:c>
    </x:row>
    <x:row r="633" ht="21" customHeight="1">
      <x:c r="A633" s="15" t="str">
        <x:f>IF(AND(632&lt;='Control Room'!$B$3,'Control Room'!$D$3="Ready"),'Process'!A633,"")</x:f>
      </x:c>
      <x:c r="B633" s="16" t="str">
        <x:f>IF(A633="","",SUM(C633:N633))</x:f>
      </x:c>
      <x:c r="C633" s="16" t="str">
        <x:f>IF(AND(AND(632&lt;='Control Room'!$B$3,'Control Room'!$D$3="Ready"),1&lt;='Control Room'!$B$2),ROUND(MAX(0,'Process'!E633*'Control Room'!$H$4*INDEX('Control Room'!$B$19:$H$19,1,WEEKDAY($A633,2))*(1+'Control Room'!$D$9)^631*'Process'!F633),2),"")</x:f>
      </x:c>
      <x:c r="D633" s="16" t="str">
        <x:f>IF(AND(AND(632&lt;='Control Room'!$B$3,'Control Room'!$D$3="Ready"),2&lt;='Control Room'!$B$2),ROUND(MAX(0,'Process'!J633*'Control Room'!$H$5*INDEX('Control Room'!$B$19:$H$19,1,WEEKDAY($A633,2))*(1+'Control Room'!$D$9)^631*'Process'!K633),2),"")</x:f>
      </x:c>
      <x:c r="E633" s="16" t="str">
        <x:f>IF(AND(AND(632&lt;='Control Room'!$B$3,'Control Room'!$D$3="Ready"),3&lt;='Control Room'!$B$2),ROUND(MAX(0,'Process'!O633*'Control Room'!$H$6*INDEX('Control Room'!$B$19:$H$19,1,WEEKDAY($A633,2))*(1+'Control Room'!$D$9)^631*'Process'!P633),2),"")</x:f>
      </x:c>
      <x:c r="F633" s="16" t="str">
        <x:f>IF(AND(AND(632&lt;='Control Room'!$B$3,'Control Room'!$D$3="Ready"),4&lt;='Control Room'!$B$2),ROUND(MAX(0,'Process'!T633*'Control Room'!$H$7*INDEX('Control Room'!$B$19:$H$19,1,WEEKDAY($A633,2))*(1+'Control Room'!$D$9)^631*'Process'!U633),2),"")</x:f>
      </x:c>
      <x:c r="G633" s="16" t="str">
        <x:f>IF(AND(AND(632&lt;='Control Room'!$B$3,'Control Room'!$D$3="Ready"),5&lt;='Control Room'!$B$2),ROUND(MAX(0,'Process'!Y633*'Control Room'!$H$8*INDEX('Control Room'!$B$19:$H$19,1,WEEKDAY($A633,2))*(1+'Control Room'!$D$9)^631*'Process'!Z633),2),"")</x:f>
      </x:c>
      <x:c r="H633" s="16" t="str">
        <x:f>IF(AND(AND(632&lt;='Control Room'!$B$3,'Control Room'!$D$3="Ready"),6&lt;='Control Room'!$B$2),ROUND(MAX(0,'Process'!AD633*'Control Room'!$H$9*INDEX('Control Room'!$B$19:$H$19,1,WEEKDAY($A633,2))*(1+'Control Room'!$D$9)^631*'Process'!AE633),2),"")</x:f>
      </x:c>
      <x:c r="I633" s="16" t="str">
        <x:f>IF(AND(AND(632&lt;='Control Room'!$B$3,'Control Room'!$D$3="Ready"),7&lt;='Control Room'!$B$2),ROUND(MAX(0,'Process'!AI633*'Control Room'!$H$10*INDEX('Control Room'!$B$19:$H$19,1,WEEKDAY($A633,2))*(1+'Control Room'!$D$9)^631*'Process'!AJ633),2),"")</x:f>
      </x:c>
      <x:c r="J633" s="16" t="str">
        <x:f>IF(AND(AND(632&lt;='Control Room'!$B$3,'Control Room'!$D$3="Ready"),8&lt;='Control Room'!$B$2),ROUND(MAX(0,'Process'!AN633*'Control Room'!$H$11*INDEX('Control Room'!$B$19:$H$19,1,WEEKDAY($A633,2))*(1+'Control Room'!$D$9)^631*'Process'!AO633),2),"")</x:f>
      </x:c>
      <x:c r="K633" s="16" t="str">
        <x:f>IF(AND(AND(632&lt;='Control Room'!$B$3,'Control Room'!$D$3="Ready"),9&lt;='Control Room'!$B$2),ROUND(MAX(0,'Process'!AS633*'Control Room'!$H$12*INDEX('Control Room'!$B$19:$H$19,1,WEEKDAY($A633,2))*(1+'Control Room'!$D$9)^631*'Process'!AT633),2),"")</x:f>
      </x:c>
      <x:c r="L633" s="16" t="str">
        <x:f>IF(AND(AND(632&lt;='Control Room'!$B$3,'Control Room'!$D$3="Ready"),10&lt;='Control Room'!$B$2),ROUND(MAX(0,'Process'!AX633*'Control Room'!$H$13*INDEX('Control Room'!$B$19:$H$19,1,WEEKDAY($A633,2))*(1+'Control Room'!$D$9)^631*'Process'!AY633),2),"")</x:f>
      </x:c>
      <x:c r="M633" s="16" t="str">
        <x:f>IF(AND(AND(632&lt;='Control Room'!$B$3,'Control Room'!$D$3="Ready"),11&lt;='Control Room'!$B$2),ROUND(MAX(0,'Process'!BC633*'Control Room'!$H$14*INDEX('Control Room'!$B$19:$H$19,1,WEEKDAY($A633,2))*(1+'Control Room'!$D$9)^631*'Process'!BD633),2),"")</x:f>
      </x:c>
      <x:c r="N633" s="16" t="str">
        <x:f>IF(AND(AND(632&lt;='Control Room'!$B$3,'Control Room'!$D$3="Ready"),12&lt;='Control Room'!$B$2),ROUND(MAX(0,'Process'!BH633*'Control Room'!$H$15*INDEX('Control Room'!$B$19:$H$19,1,WEEKDAY($A633,2))*(1+'Control Room'!$D$9)^631*'Process'!BI633),2),"")</x:f>
      </x:c>
    </x:row>
    <x:row r="634" ht="21" customHeight="1">
      <x:c r="A634" s="15" t="str">
        <x:f>IF(AND(633&lt;='Control Room'!$B$3,'Control Room'!$D$3="Ready"),'Process'!A634,"")</x:f>
      </x:c>
      <x:c r="B634" s="16" t="str">
        <x:f>IF(A634="","",SUM(C634:N634))</x:f>
      </x:c>
      <x:c r="C634" s="16" t="str">
        <x:f>IF(AND(AND(633&lt;='Control Room'!$B$3,'Control Room'!$D$3="Ready"),1&lt;='Control Room'!$B$2),ROUND(MAX(0,'Process'!E634*'Control Room'!$H$4*INDEX('Control Room'!$B$19:$H$19,1,WEEKDAY($A634,2))*(1+'Control Room'!$D$9)^632*'Process'!F634),2),"")</x:f>
      </x:c>
      <x:c r="D634" s="16" t="str">
        <x:f>IF(AND(AND(633&lt;='Control Room'!$B$3,'Control Room'!$D$3="Ready"),2&lt;='Control Room'!$B$2),ROUND(MAX(0,'Process'!J634*'Control Room'!$H$5*INDEX('Control Room'!$B$19:$H$19,1,WEEKDAY($A634,2))*(1+'Control Room'!$D$9)^632*'Process'!K634),2),"")</x:f>
      </x:c>
      <x:c r="E634" s="16" t="str">
        <x:f>IF(AND(AND(633&lt;='Control Room'!$B$3,'Control Room'!$D$3="Ready"),3&lt;='Control Room'!$B$2),ROUND(MAX(0,'Process'!O634*'Control Room'!$H$6*INDEX('Control Room'!$B$19:$H$19,1,WEEKDAY($A634,2))*(1+'Control Room'!$D$9)^632*'Process'!P634),2),"")</x:f>
      </x:c>
      <x:c r="F634" s="16" t="str">
        <x:f>IF(AND(AND(633&lt;='Control Room'!$B$3,'Control Room'!$D$3="Ready"),4&lt;='Control Room'!$B$2),ROUND(MAX(0,'Process'!T634*'Control Room'!$H$7*INDEX('Control Room'!$B$19:$H$19,1,WEEKDAY($A634,2))*(1+'Control Room'!$D$9)^632*'Process'!U634),2),"")</x:f>
      </x:c>
      <x:c r="G634" s="16" t="str">
        <x:f>IF(AND(AND(633&lt;='Control Room'!$B$3,'Control Room'!$D$3="Ready"),5&lt;='Control Room'!$B$2),ROUND(MAX(0,'Process'!Y634*'Control Room'!$H$8*INDEX('Control Room'!$B$19:$H$19,1,WEEKDAY($A634,2))*(1+'Control Room'!$D$9)^632*'Process'!Z634),2),"")</x:f>
      </x:c>
      <x:c r="H634" s="16" t="str">
        <x:f>IF(AND(AND(633&lt;='Control Room'!$B$3,'Control Room'!$D$3="Ready"),6&lt;='Control Room'!$B$2),ROUND(MAX(0,'Process'!AD634*'Control Room'!$H$9*INDEX('Control Room'!$B$19:$H$19,1,WEEKDAY($A634,2))*(1+'Control Room'!$D$9)^632*'Process'!AE634),2),"")</x:f>
      </x:c>
      <x:c r="I634" s="16" t="str">
        <x:f>IF(AND(AND(633&lt;='Control Room'!$B$3,'Control Room'!$D$3="Ready"),7&lt;='Control Room'!$B$2),ROUND(MAX(0,'Process'!AI634*'Control Room'!$H$10*INDEX('Control Room'!$B$19:$H$19,1,WEEKDAY($A634,2))*(1+'Control Room'!$D$9)^632*'Process'!AJ634),2),"")</x:f>
      </x:c>
      <x:c r="J634" s="16" t="str">
        <x:f>IF(AND(AND(633&lt;='Control Room'!$B$3,'Control Room'!$D$3="Ready"),8&lt;='Control Room'!$B$2),ROUND(MAX(0,'Process'!AN634*'Control Room'!$H$11*INDEX('Control Room'!$B$19:$H$19,1,WEEKDAY($A634,2))*(1+'Control Room'!$D$9)^632*'Process'!AO634),2),"")</x:f>
      </x:c>
      <x:c r="K634" s="16" t="str">
        <x:f>IF(AND(AND(633&lt;='Control Room'!$B$3,'Control Room'!$D$3="Ready"),9&lt;='Control Room'!$B$2),ROUND(MAX(0,'Process'!AS634*'Control Room'!$H$12*INDEX('Control Room'!$B$19:$H$19,1,WEEKDAY($A634,2))*(1+'Control Room'!$D$9)^632*'Process'!AT634),2),"")</x:f>
      </x:c>
      <x:c r="L634" s="16" t="str">
        <x:f>IF(AND(AND(633&lt;='Control Room'!$B$3,'Control Room'!$D$3="Ready"),10&lt;='Control Room'!$B$2),ROUND(MAX(0,'Process'!AX634*'Control Room'!$H$13*INDEX('Control Room'!$B$19:$H$19,1,WEEKDAY($A634,2))*(1+'Control Room'!$D$9)^632*'Process'!AY634),2),"")</x:f>
      </x:c>
      <x:c r="M634" s="16" t="str">
        <x:f>IF(AND(AND(633&lt;='Control Room'!$B$3,'Control Room'!$D$3="Ready"),11&lt;='Control Room'!$B$2),ROUND(MAX(0,'Process'!BC634*'Control Room'!$H$14*INDEX('Control Room'!$B$19:$H$19,1,WEEKDAY($A634,2))*(1+'Control Room'!$D$9)^632*'Process'!BD634),2),"")</x:f>
      </x:c>
      <x:c r="N634" s="16" t="str">
        <x:f>IF(AND(AND(633&lt;='Control Room'!$B$3,'Control Room'!$D$3="Ready"),12&lt;='Control Room'!$B$2),ROUND(MAX(0,'Process'!BH634*'Control Room'!$H$15*INDEX('Control Room'!$B$19:$H$19,1,WEEKDAY($A634,2))*(1+'Control Room'!$D$9)^632*'Process'!BI634),2),"")</x:f>
      </x:c>
    </x:row>
    <x:row r="635" ht="21" customHeight="1">
      <x:c r="A635" s="15" t="str">
        <x:f>IF(AND(634&lt;='Control Room'!$B$3,'Control Room'!$D$3="Ready"),'Process'!A635,"")</x:f>
      </x:c>
      <x:c r="B635" s="16" t="str">
        <x:f>IF(A635="","",SUM(C635:N635))</x:f>
      </x:c>
      <x:c r="C635" s="16" t="str">
        <x:f>IF(AND(AND(634&lt;='Control Room'!$B$3,'Control Room'!$D$3="Ready"),1&lt;='Control Room'!$B$2),ROUND(MAX(0,'Process'!E635*'Control Room'!$H$4*INDEX('Control Room'!$B$19:$H$19,1,WEEKDAY($A635,2))*(1+'Control Room'!$D$9)^633*'Process'!F635),2),"")</x:f>
      </x:c>
      <x:c r="D635" s="16" t="str">
        <x:f>IF(AND(AND(634&lt;='Control Room'!$B$3,'Control Room'!$D$3="Ready"),2&lt;='Control Room'!$B$2),ROUND(MAX(0,'Process'!J635*'Control Room'!$H$5*INDEX('Control Room'!$B$19:$H$19,1,WEEKDAY($A635,2))*(1+'Control Room'!$D$9)^633*'Process'!K635),2),"")</x:f>
      </x:c>
      <x:c r="E635" s="16" t="str">
        <x:f>IF(AND(AND(634&lt;='Control Room'!$B$3,'Control Room'!$D$3="Ready"),3&lt;='Control Room'!$B$2),ROUND(MAX(0,'Process'!O635*'Control Room'!$H$6*INDEX('Control Room'!$B$19:$H$19,1,WEEKDAY($A635,2))*(1+'Control Room'!$D$9)^633*'Process'!P635),2),"")</x:f>
      </x:c>
      <x:c r="F635" s="16" t="str">
        <x:f>IF(AND(AND(634&lt;='Control Room'!$B$3,'Control Room'!$D$3="Ready"),4&lt;='Control Room'!$B$2),ROUND(MAX(0,'Process'!T635*'Control Room'!$H$7*INDEX('Control Room'!$B$19:$H$19,1,WEEKDAY($A635,2))*(1+'Control Room'!$D$9)^633*'Process'!U635),2),"")</x:f>
      </x:c>
      <x:c r="G635" s="16" t="str">
        <x:f>IF(AND(AND(634&lt;='Control Room'!$B$3,'Control Room'!$D$3="Ready"),5&lt;='Control Room'!$B$2),ROUND(MAX(0,'Process'!Y635*'Control Room'!$H$8*INDEX('Control Room'!$B$19:$H$19,1,WEEKDAY($A635,2))*(1+'Control Room'!$D$9)^633*'Process'!Z635),2),"")</x:f>
      </x:c>
      <x:c r="H635" s="16" t="str">
        <x:f>IF(AND(AND(634&lt;='Control Room'!$B$3,'Control Room'!$D$3="Ready"),6&lt;='Control Room'!$B$2),ROUND(MAX(0,'Process'!AD635*'Control Room'!$H$9*INDEX('Control Room'!$B$19:$H$19,1,WEEKDAY($A635,2))*(1+'Control Room'!$D$9)^633*'Process'!AE635),2),"")</x:f>
      </x:c>
      <x:c r="I635" s="16" t="str">
        <x:f>IF(AND(AND(634&lt;='Control Room'!$B$3,'Control Room'!$D$3="Ready"),7&lt;='Control Room'!$B$2),ROUND(MAX(0,'Process'!AI635*'Control Room'!$H$10*INDEX('Control Room'!$B$19:$H$19,1,WEEKDAY($A635,2))*(1+'Control Room'!$D$9)^633*'Process'!AJ635),2),"")</x:f>
      </x:c>
      <x:c r="J635" s="16" t="str">
        <x:f>IF(AND(AND(634&lt;='Control Room'!$B$3,'Control Room'!$D$3="Ready"),8&lt;='Control Room'!$B$2),ROUND(MAX(0,'Process'!AN635*'Control Room'!$H$11*INDEX('Control Room'!$B$19:$H$19,1,WEEKDAY($A635,2))*(1+'Control Room'!$D$9)^633*'Process'!AO635),2),"")</x:f>
      </x:c>
      <x:c r="K635" s="16" t="str">
        <x:f>IF(AND(AND(634&lt;='Control Room'!$B$3,'Control Room'!$D$3="Ready"),9&lt;='Control Room'!$B$2),ROUND(MAX(0,'Process'!AS635*'Control Room'!$H$12*INDEX('Control Room'!$B$19:$H$19,1,WEEKDAY($A635,2))*(1+'Control Room'!$D$9)^633*'Process'!AT635),2),"")</x:f>
      </x:c>
      <x:c r="L635" s="16" t="str">
        <x:f>IF(AND(AND(634&lt;='Control Room'!$B$3,'Control Room'!$D$3="Ready"),10&lt;='Control Room'!$B$2),ROUND(MAX(0,'Process'!AX635*'Control Room'!$H$13*INDEX('Control Room'!$B$19:$H$19,1,WEEKDAY($A635,2))*(1+'Control Room'!$D$9)^633*'Process'!AY635),2),"")</x:f>
      </x:c>
      <x:c r="M635" s="16" t="str">
        <x:f>IF(AND(AND(634&lt;='Control Room'!$B$3,'Control Room'!$D$3="Ready"),11&lt;='Control Room'!$B$2),ROUND(MAX(0,'Process'!BC635*'Control Room'!$H$14*INDEX('Control Room'!$B$19:$H$19,1,WEEKDAY($A635,2))*(1+'Control Room'!$D$9)^633*'Process'!BD635),2),"")</x:f>
      </x:c>
      <x:c r="N635" s="16" t="str">
        <x:f>IF(AND(AND(634&lt;='Control Room'!$B$3,'Control Room'!$D$3="Ready"),12&lt;='Control Room'!$B$2),ROUND(MAX(0,'Process'!BH635*'Control Room'!$H$15*INDEX('Control Room'!$B$19:$H$19,1,WEEKDAY($A635,2))*(1+'Control Room'!$D$9)^633*'Process'!BI635),2),"")</x:f>
      </x:c>
    </x:row>
    <x:row r="636" ht="21" customHeight="1">
      <x:c r="A636" s="15" t="str">
        <x:f>IF(AND(635&lt;='Control Room'!$B$3,'Control Room'!$D$3="Ready"),'Process'!A636,"")</x:f>
      </x:c>
      <x:c r="B636" s="16" t="str">
        <x:f>IF(A636="","",SUM(C636:N636))</x:f>
      </x:c>
      <x:c r="C636" s="16" t="str">
        <x:f>IF(AND(AND(635&lt;='Control Room'!$B$3,'Control Room'!$D$3="Ready"),1&lt;='Control Room'!$B$2),ROUND(MAX(0,'Process'!E636*'Control Room'!$H$4*INDEX('Control Room'!$B$19:$H$19,1,WEEKDAY($A636,2))*(1+'Control Room'!$D$9)^634*'Process'!F636),2),"")</x:f>
      </x:c>
      <x:c r="D636" s="16" t="str">
        <x:f>IF(AND(AND(635&lt;='Control Room'!$B$3,'Control Room'!$D$3="Ready"),2&lt;='Control Room'!$B$2),ROUND(MAX(0,'Process'!J636*'Control Room'!$H$5*INDEX('Control Room'!$B$19:$H$19,1,WEEKDAY($A636,2))*(1+'Control Room'!$D$9)^634*'Process'!K636),2),"")</x:f>
      </x:c>
      <x:c r="E636" s="16" t="str">
        <x:f>IF(AND(AND(635&lt;='Control Room'!$B$3,'Control Room'!$D$3="Ready"),3&lt;='Control Room'!$B$2),ROUND(MAX(0,'Process'!O636*'Control Room'!$H$6*INDEX('Control Room'!$B$19:$H$19,1,WEEKDAY($A636,2))*(1+'Control Room'!$D$9)^634*'Process'!P636),2),"")</x:f>
      </x:c>
      <x:c r="F636" s="16" t="str">
        <x:f>IF(AND(AND(635&lt;='Control Room'!$B$3,'Control Room'!$D$3="Ready"),4&lt;='Control Room'!$B$2),ROUND(MAX(0,'Process'!T636*'Control Room'!$H$7*INDEX('Control Room'!$B$19:$H$19,1,WEEKDAY($A636,2))*(1+'Control Room'!$D$9)^634*'Process'!U636),2),"")</x:f>
      </x:c>
      <x:c r="G636" s="16" t="str">
        <x:f>IF(AND(AND(635&lt;='Control Room'!$B$3,'Control Room'!$D$3="Ready"),5&lt;='Control Room'!$B$2),ROUND(MAX(0,'Process'!Y636*'Control Room'!$H$8*INDEX('Control Room'!$B$19:$H$19,1,WEEKDAY($A636,2))*(1+'Control Room'!$D$9)^634*'Process'!Z636),2),"")</x:f>
      </x:c>
      <x:c r="H636" s="16" t="str">
        <x:f>IF(AND(AND(635&lt;='Control Room'!$B$3,'Control Room'!$D$3="Ready"),6&lt;='Control Room'!$B$2),ROUND(MAX(0,'Process'!AD636*'Control Room'!$H$9*INDEX('Control Room'!$B$19:$H$19,1,WEEKDAY($A636,2))*(1+'Control Room'!$D$9)^634*'Process'!AE636),2),"")</x:f>
      </x:c>
      <x:c r="I636" s="16" t="str">
        <x:f>IF(AND(AND(635&lt;='Control Room'!$B$3,'Control Room'!$D$3="Ready"),7&lt;='Control Room'!$B$2),ROUND(MAX(0,'Process'!AI636*'Control Room'!$H$10*INDEX('Control Room'!$B$19:$H$19,1,WEEKDAY($A636,2))*(1+'Control Room'!$D$9)^634*'Process'!AJ636),2),"")</x:f>
      </x:c>
      <x:c r="J636" s="16" t="str">
        <x:f>IF(AND(AND(635&lt;='Control Room'!$B$3,'Control Room'!$D$3="Ready"),8&lt;='Control Room'!$B$2),ROUND(MAX(0,'Process'!AN636*'Control Room'!$H$11*INDEX('Control Room'!$B$19:$H$19,1,WEEKDAY($A636,2))*(1+'Control Room'!$D$9)^634*'Process'!AO636),2),"")</x:f>
      </x:c>
      <x:c r="K636" s="16" t="str">
        <x:f>IF(AND(AND(635&lt;='Control Room'!$B$3,'Control Room'!$D$3="Ready"),9&lt;='Control Room'!$B$2),ROUND(MAX(0,'Process'!AS636*'Control Room'!$H$12*INDEX('Control Room'!$B$19:$H$19,1,WEEKDAY($A636,2))*(1+'Control Room'!$D$9)^634*'Process'!AT636),2),"")</x:f>
      </x:c>
      <x:c r="L636" s="16" t="str">
        <x:f>IF(AND(AND(635&lt;='Control Room'!$B$3,'Control Room'!$D$3="Ready"),10&lt;='Control Room'!$B$2),ROUND(MAX(0,'Process'!AX636*'Control Room'!$H$13*INDEX('Control Room'!$B$19:$H$19,1,WEEKDAY($A636,2))*(1+'Control Room'!$D$9)^634*'Process'!AY636),2),"")</x:f>
      </x:c>
      <x:c r="M636" s="16" t="str">
        <x:f>IF(AND(AND(635&lt;='Control Room'!$B$3,'Control Room'!$D$3="Ready"),11&lt;='Control Room'!$B$2),ROUND(MAX(0,'Process'!BC636*'Control Room'!$H$14*INDEX('Control Room'!$B$19:$H$19,1,WEEKDAY($A636,2))*(1+'Control Room'!$D$9)^634*'Process'!BD636),2),"")</x:f>
      </x:c>
      <x:c r="N636" s="16" t="str">
        <x:f>IF(AND(AND(635&lt;='Control Room'!$B$3,'Control Room'!$D$3="Ready"),12&lt;='Control Room'!$B$2),ROUND(MAX(0,'Process'!BH636*'Control Room'!$H$15*INDEX('Control Room'!$B$19:$H$19,1,WEEKDAY($A636,2))*(1+'Control Room'!$D$9)^634*'Process'!BI636),2),"")</x:f>
      </x:c>
    </x:row>
    <x:row r="637" ht="21" customHeight="1">
      <x:c r="A637" s="15" t="str">
        <x:f>IF(AND(636&lt;='Control Room'!$B$3,'Control Room'!$D$3="Ready"),'Process'!A637,"")</x:f>
      </x:c>
      <x:c r="B637" s="16" t="str">
        <x:f>IF(A637="","",SUM(C637:N637))</x:f>
      </x:c>
      <x:c r="C637" s="16" t="str">
        <x:f>IF(AND(AND(636&lt;='Control Room'!$B$3,'Control Room'!$D$3="Ready"),1&lt;='Control Room'!$B$2),ROUND(MAX(0,'Process'!E637*'Control Room'!$H$4*INDEX('Control Room'!$B$19:$H$19,1,WEEKDAY($A637,2))*(1+'Control Room'!$D$9)^635*'Process'!F637),2),"")</x:f>
      </x:c>
      <x:c r="D637" s="16" t="str">
        <x:f>IF(AND(AND(636&lt;='Control Room'!$B$3,'Control Room'!$D$3="Ready"),2&lt;='Control Room'!$B$2),ROUND(MAX(0,'Process'!J637*'Control Room'!$H$5*INDEX('Control Room'!$B$19:$H$19,1,WEEKDAY($A637,2))*(1+'Control Room'!$D$9)^635*'Process'!K637),2),"")</x:f>
      </x:c>
      <x:c r="E637" s="16" t="str">
        <x:f>IF(AND(AND(636&lt;='Control Room'!$B$3,'Control Room'!$D$3="Ready"),3&lt;='Control Room'!$B$2),ROUND(MAX(0,'Process'!O637*'Control Room'!$H$6*INDEX('Control Room'!$B$19:$H$19,1,WEEKDAY($A637,2))*(1+'Control Room'!$D$9)^635*'Process'!P637),2),"")</x:f>
      </x:c>
      <x:c r="F637" s="16" t="str">
        <x:f>IF(AND(AND(636&lt;='Control Room'!$B$3,'Control Room'!$D$3="Ready"),4&lt;='Control Room'!$B$2),ROUND(MAX(0,'Process'!T637*'Control Room'!$H$7*INDEX('Control Room'!$B$19:$H$19,1,WEEKDAY($A637,2))*(1+'Control Room'!$D$9)^635*'Process'!U637),2),"")</x:f>
      </x:c>
      <x:c r="G637" s="16" t="str">
        <x:f>IF(AND(AND(636&lt;='Control Room'!$B$3,'Control Room'!$D$3="Ready"),5&lt;='Control Room'!$B$2),ROUND(MAX(0,'Process'!Y637*'Control Room'!$H$8*INDEX('Control Room'!$B$19:$H$19,1,WEEKDAY($A637,2))*(1+'Control Room'!$D$9)^635*'Process'!Z637),2),"")</x:f>
      </x:c>
      <x:c r="H637" s="16" t="str">
        <x:f>IF(AND(AND(636&lt;='Control Room'!$B$3,'Control Room'!$D$3="Ready"),6&lt;='Control Room'!$B$2),ROUND(MAX(0,'Process'!AD637*'Control Room'!$H$9*INDEX('Control Room'!$B$19:$H$19,1,WEEKDAY($A637,2))*(1+'Control Room'!$D$9)^635*'Process'!AE637),2),"")</x:f>
      </x:c>
      <x:c r="I637" s="16" t="str">
        <x:f>IF(AND(AND(636&lt;='Control Room'!$B$3,'Control Room'!$D$3="Ready"),7&lt;='Control Room'!$B$2),ROUND(MAX(0,'Process'!AI637*'Control Room'!$H$10*INDEX('Control Room'!$B$19:$H$19,1,WEEKDAY($A637,2))*(1+'Control Room'!$D$9)^635*'Process'!AJ637),2),"")</x:f>
      </x:c>
      <x:c r="J637" s="16" t="str">
        <x:f>IF(AND(AND(636&lt;='Control Room'!$B$3,'Control Room'!$D$3="Ready"),8&lt;='Control Room'!$B$2),ROUND(MAX(0,'Process'!AN637*'Control Room'!$H$11*INDEX('Control Room'!$B$19:$H$19,1,WEEKDAY($A637,2))*(1+'Control Room'!$D$9)^635*'Process'!AO637),2),"")</x:f>
      </x:c>
      <x:c r="K637" s="16" t="str">
        <x:f>IF(AND(AND(636&lt;='Control Room'!$B$3,'Control Room'!$D$3="Ready"),9&lt;='Control Room'!$B$2),ROUND(MAX(0,'Process'!AS637*'Control Room'!$H$12*INDEX('Control Room'!$B$19:$H$19,1,WEEKDAY($A637,2))*(1+'Control Room'!$D$9)^635*'Process'!AT637),2),"")</x:f>
      </x:c>
      <x:c r="L637" s="16" t="str">
        <x:f>IF(AND(AND(636&lt;='Control Room'!$B$3,'Control Room'!$D$3="Ready"),10&lt;='Control Room'!$B$2),ROUND(MAX(0,'Process'!AX637*'Control Room'!$H$13*INDEX('Control Room'!$B$19:$H$19,1,WEEKDAY($A637,2))*(1+'Control Room'!$D$9)^635*'Process'!AY637),2),"")</x:f>
      </x:c>
      <x:c r="M637" s="16" t="str">
        <x:f>IF(AND(AND(636&lt;='Control Room'!$B$3,'Control Room'!$D$3="Ready"),11&lt;='Control Room'!$B$2),ROUND(MAX(0,'Process'!BC637*'Control Room'!$H$14*INDEX('Control Room'!$B$19:$H$19,1,WEEKDAY($A637,2))*(1+'Control Room'!$D$9)^635*'Process'!BD637),2),"")</x:f>
      </x:c>
      <x:c r="N637" s="16" t="str">
        <x:f>IF(AND(AND(636&lt;='Control Room'!$B$3,'Control Room'!$D$3="Ready"),12&lt;='Control Room'!$B$2),ROUND(MAX(0,'Process'!BH637*'Control Room'!$H$15*INDEX('Control Room'!$B$19:$H$19,1,WEEKDAY($A637,2))*(1+'Control Room'!$D$9)^635*'Process'!BI637),2),"")</x:f>
      </x:c>
    </x:row>
    <x:row r="638" ht="21" customHeight="1">
      <x:c r="A638" s="15" t="str">
        <x:f>IF(AND(637&lt;='Control Room'!$B$3,'Control Room'!$D$3="Ready"),'Process'!A638,"")</x:f>
      </x:c>
      <x:c r="B638" s="16" t="str">
        <x:f>IF(A638="","",SUM(C638:N638))</x:f>
      </x:c>
      <x:c r="C638" s="16" t="str">
        <x:f>IF(AND(AND(637&lt;='Control Room'!$B$3,'Control Room'!$D$3="Ready"),1&lt;='Control Room'!$B$2),ROUND(MAX(0,'Process'!E638*'Control Room'!$H$4*INDEX('Control Room'!$B$19:$H$19,1,WEEKDAY($A638,2))*(1+'Control Room'!$D$9)^636*'Process'!F638),2),"")</x:f>
      </x:c>
      <x:c r="D638" s="16" t="str">
        <x:f>IF(AND(AND(637&lt;='Control Room'!$B$3,'Control Room'!$D$3="Ready"),2&lt;='Control Room'!$B$2),ROUND(MAX(0,'Process'!J638*'Control Room'!$H$5*INDEX('Control Room'!$B$19:$H$19,1,WEEKDAY($A638,2))*(1+'Control Room'!$D$9)^636*'Process'!K638),2),"")</x:f>
      </x:c>
      <x:c r="E638" s="16" t="str">
        <x:f>IF(AND(AND(637&lt;='Control Room'!$B$3,'Control Room'!$D$3="Ready"),3&lt;='Control Room'!$B$2),ROUND(MAX(0,'Process'!O638*'Control Room'!$H$6*INDEX('Control Room'!$B$19:$H$19,1,WEEKDAY($A638,2))*(1+'Control Room'!$D$9)^636*'Process'!P638),2),"")</x:f>
      </x:c>
      <x:c r="F638" s="16" t="str">
        <x:f>IF(AND(AND(637&lt;='Control Room'!$B$3,'Control Room'!$D$3="Ready"),4&lt;='Control Room'!$B$2),ROUND(MAX(0,'Process'!T638*'Control Room'!$H$7*INDEX('Control Room'!$B$19:$H$19,1,WEEKDAY($A638,2))*(1+'Control Room'!$D$9)^636*'Process'!U638),2),"")</x:f>
      </x:c>
      <x:c r="G638" s="16" t="str">
        <x:f>IF(AND(AND(637&lt;='Control Room'!$B$3,'Control Room'!$D$3="Ready"),5&lt;='Control Room'!$B$2),ROUND(MAX(0,'Process'!Y638*'Control Room'!$H$8*INDEX('Control Room'!$B$19:$H$19,1,WEEKDAY($A638,2))*(1+'Control Room'!$D$9)^636*'Process'!Z638),2),"")</x:f>
      </x:c>
      <x:c r="H638" s="16" t="str">
        <x:f>IF(AND(AND(637&lt;='Control Room'!$B$3,'Control Room'!$D$3="Ready"),6&lt;='Control Room'!$B$2),ROUND(MAX(0,'Process'!AD638*'Control Room'!$H$9*INDEX('Control Room'!$B$19:$H$19,1,WEEKDAY($A638,2))*(1+'Control Room'!$D$9)^636*'Process'!AE638),2),"")</x:f>
      </x:c>
      <x:c r="I638" s="16" t="str">
        <x:f>IF(AND(AND(637&lt;='Control Room'!$B$3,'Control Room'!$D$3="Ready"),7&lt;='Control Room'!$B$2),ROUND(MAX(0,'Process'!AI638*'Control Room'!$H$10*INDEX('Control Room'!$B$19:$H$19,1,WEEKDAY($A638,2))*(1+'Control Room'!$D$9)^636*'Process'!AJ638),2),"")</x:f>
      </x:c>
      <x:c r="J638" s="16" t="str">
        <x:f>IF(AND(AND(637&lt;='Control Room'!$B$3,'Control Room'!$D$3="Ready"),8&lt;='Control Room'!$B$2),ROUND(MAX(0,'Process'!AN638*'Control Room'!$H$11*INDEX('Control Room'!$B$19:$H$19,1,WEEKDAY($A638,2))*(1+'Control Room'!$D$9)^636*'Process'!AO638),2),"")</x:f>
      </x:c>
      <x:c r="K638" s="16" t="str">
        <x:f>IF(AND(AND(637&lt;='Control Room'!$B$3,'Control Room'!$D$3="Ready"),9&lt;='Control Room'!$B$2),ROUND(MAX(0,'Process'!AS638*'Control Room'!$H$12*INDEX('Control Room'!$B$19:$H$19,1,WEEKDAY($A638,2))*(1+'Control Room'!$D$9)^636*'Process'!AT638),2),"")</x:f>
      </x:c>
      <x:c r="L638" s="16" t="str">
        <x:f>IF(AND(AND(637&lt;='Control Room'!$B$3,'Control Room'!$D$3="Ready"),10&lt;='Control Room'!$B$2),ROUND(MAX(0,'Process'!AX638*'Control Room'!$H$13*INDEX('Control Room'!$B$19:$H$19,1,WEEKDAY($A638,2))*(1+'Control Room'!$D$9)^636*'Process'!AY638),2),"")</x:f>
      </x:c>
      <x:c r="M638" s="16" t="str">
        <x:f>IF(AND(AND(637&lt;='Control Room'!$B$3,'Control Room'!$D$3="Ready"),11&lt;='Control Room'!$B$2),ROUND(MAX(0,'Process'!BC638*'Control Room'!$H$14*INDEX('Control Room'!$B$19:$H$19,1,WEEKDAY($A638,2))*(1+'Control Room'!$D$9)^636*'Process'!BD638),2),"")</x:f>
      </x:c>
      <x:c r="N638" s="16" t="str">
        <x:f>IF(AND(AND(637&lt;='Control Room'!$B$3,'Control Room'!$D$3="Ready"),12&lt;='Control Room'!$B$2),ROUND(MAX(0,'Process'!BH638*'Control Room'!$H$15*INDEX('Control Room'!$B$19:$H$19,1,WEEKDAY($A638,2))*(1+'Control Room'!$D$9)^636*'Process'!BI638),2),"")</x:f>
      </x:c>
    </x:row>
    <x:row r="639" ht="21" customHeight="1">
      <x:c r="A639" s="15" t="str">
        <x:f>IF(AND(638&lt;='Control Room'!$B$3,'Control Room'!$D$3="Ready"),'Process'!A639,"")</x:f>
      </x:c>
      <x:c r="B639" s="16" t="str">
        <x:f>IF(A639="","",SUM(C639:N639))</x:f>
      </x:c>
      <x:c r="C639" s="16" t="str">
        <x:f>IF(AND(AND(638&lt;='Control Room'!$B$3,'Control Room'!$D$3="Ready"),1&lt;='Control Room'!$B$2),ROUND(MAX(0,'Process'!E639*'Control Room'!$H$4*INDEX('Control Room'!$B$19:$H$19,1,WEEKDAY($A639,2))*(1+'Control Room'!$D$9)^637*'Process'!F639),2),"")</x:f>
      </x:c>
      <x:c r="D639" s="16" t="str">
        <x:f>IF(AND(AND(638&lt;='Control Room'!$B$3,'Control Room'!$D$3="Ready"),2&lt;='Control Room'!$B$2),ROUND(MAX(0,'Process'!J639*'Control Room'!$H$5*INDEX('Control Room'!$B$19:$H$19,1,WEEKDAY($A639,2))*(1+'Control Room'!$D$9)^637*'Process'!K639),2),"")</x:f>
      </x:c>
      <x:c r="E639" s="16" t="str">
        <x:f>IF(AND(AND(638&lt;='Control Room'!$B$3,'Control Room'!$D$3="Ready"),3&lt;='Control Room'!$B$2),ROUND(MAX(0,'Process'!O639*'Control Room'!$H$6*INDEX('Control Room'!$B$19:$H$19,1,WEEKDAY($A639,2))*(1+'Control Room'!$D$9)^637*'Process'!P639),2),"")</x:f>
      </x:c>
      <x:c r="F639" s="16" t="str">
        <x:f>IF(AND(AND(638&lt;='Control Room'!$B$3,'Control Room'!$D$3="Ready"),4&lt;='Control Room'!$B$2),ROUND(MAX(0,'Process'!T639*'Control Room'!$H$7*INDEX('Control Room'!$B$19:$H$19,1,WEEKDAY($A639,2))*(1+'Control Room'!$D$9)^637*'Process'!U639),2),"")</x:f>
      </x:c>
      <x:c r="G639" s="16" t="str">
        <x:f>IF(AND(AND(638&lt;='Control Room'!$B$3,'Control Room'!$D$3="Ready"),5&lt;='Control Room'!$B$2),ROUND(MAX(0,'Process'!Y639*'Control Room'!$H$8*INDEX('Control Room'!$B$19:$H$19,1,WEEKDAY($A639,2))*(1+'Control Room'!$D$9)^637*'Process'!Z639),2),"")</x:f>
      </x:c>
      <x:c r="H639" s="16" t="str">
        <x:f>IF(AND(AND(638&lt;='Control Room'!$B$3,'Control Room'!$D$3="Ready"),6&lt;='Control Room'!$B$2),ROUND(MAX(0,'Process'!AD639*'Control Room'!$H$9*INDEX('Control Room'!$B$19:$H$19,1,WEEKDAY($A639,2))*(1+'Control Room'!$D$9)^637*'Process'!AE639),2),"")</x:f>
      </x:c>
      <x:c r="I639" s="16" t="str">
        <x:f>IF(AND(AND(638&lt;='Control Room'!$B$3,'Control Room'!$D$3="Ready"),7&lt;='Control Room'!$B$2),ROUND(MAX(0,'Process'!AI639*'Control Room'!$H$10*INDEX('Control Room'!$B$19:$H$19,1,WEEKDAY($A639,2))*(1+'Control Room'!$D$9)^637*'Process'!AJ639),2),"")</x:f>
      </x:c>
      <x:c r="J639" s="16" t="str">
        <x:f>IF(AND(AND(638&lt;='Control Room'!$B$3,'Control Room'!$D$3="Ready"),8&lt;='Control Room'!$B$2),ROUND(MAX(0,'Process'!AN639*'Control Room'!$H$11*INDEX('Control Room'!$B$19:$H$19,1,WEEKDAY($A639,2))*(1+'Control Room'!$D$9)^637*'Process'!AO639),2),"")</x:f>
      </x:c>
      <x:c r="K639" s="16" t="str">
        <x:f>IF(AND(AND(638&lt;='Control Room'!$B$3,'Control Room'!$D$3="Ready"),9&lt;='Control Room'!$B$2),ROUND(MAX(0,'Process'!AS639*'Control Room'!$H$12*INDEX('Control Room'!$B$19:$H$19,1,WEEKDAY($A639,2))*(1+'Control Room'!$D$9)^637*'Process'!AT639),2),"")</x:f>
      </x:c>
      <x:c r="L639" s="16" t="str">
        <x:f>IF(AND(AND(638&lt;='Control Room'!$B$3,'Control Room'!$D$3="Ready"),10&lt;='Control Room'!$B$2),ROUND(MAX(0,'Process'!AX639*'Control Room'!$H$13*INDEX('Control Room'!$B$19:$H$19,1,WEEKDAY($A639,2))*(1+'Control Room'!$D$9)^637*'Process'!AY639),2),"")</x:f>
      </x:c>
      <x:c r="M639" s="16" t="str">
        <x:f>IF(AND(AND(638&lt;='Control Room'!$B$3,'Control Room'!$D$3="Ready"),11&lt;='Control Room'!$B$2),ROUND(MAX(0,'Process'!BC639*'Control Room'!$H$14*INDEX('Control Room'!$B$19:$H$19,1,WEEKDAY($A639,2))*(1+'Control Room'!$D$9)^637*'Process'!BD639),2),"")</x:f>
      </x:c>
      <x:c r="N639" s="16" t="str">
        <x:f>IF(AND(AND(638&lt;='Control Room'!$B$3,'Control Room'!$D$3="Ready"),12&lt;='Control Room'!$B$2),ROUND(MAX(0,'Process'!BH639*'Control Room'!$H$15*INDEX('Control Room'!$B$19:$H$19,1,WEEKDAY($A639,2))*(1+'Control Room'!$D$9)^637*'Process'!BI639),2),"")</x:f>
      </x:c>
    </x:row>
    <x:row r="640" ht="21" customHeight="1">
      <x:c r="A640" s="15" t="str">
        <x:f>IF(AND(639&lt;='Control Room'!$B$3,'Control Room'!$D$3="Ready"),'Process'!A640,"")</x:f>
      </x:c>
      <x:c r="B640" s="16" t="str">
        <x:f>IF(A640="","",SUM(C640:N640))</x:f>
      </x:c>
      <x:c r="C640" s="16" t="str">
        <x:f>IF(AND(AND(639&lt;='Control Room'!$B$3,'Control Room'!$D$3="Ready"),1&lt;='Control Room'!$B$2),ROUND(MAX(0,'Process'!E640*'Control Room'!$H$4*INDEX('Control Room'!$B$19:$H$19,1,WEEKDAY($A640,2))*(1+'Control Room'!$D$9)^638*'Process'!F640),2),"")</x:f>
      </x:c>
      <x:c r="D640" s="16" t="str">
        <x:f>IF(AND(AND(639&lt;='Control Room'!$B$3,'Control Room'!$D$3="Ready"),2&lt;='Control Room'!$B$2),ROUND(MAX(0,'Process'!J640*'Control Room'!$H$5*INDEX('Control Room'!$B$19:$H$19,1,WEEKDAY($A640,2))*(1+'Control Room'!$D$9)^638*'Process'!K640),2),"")</x:f>
      </x:c>
      <x:c r="E640" s="16" t="str">
        <x:f>IF(AND(AND(639&lt;='Control Room'!$B$3,'Control Room'!$D$3="Ready"),3&lt;='Control Room'!$B$2),ROUND(MAX(0,'Process'!O640*'Control Room'!$H$6*INDEX('Control Room'!$B$19:$H$19,1,WEEKDAY($A640,2))*(1+'Control Room'!$D$9)^638*'Process'!P640),2),"")</x:f>
      </x:c>
      <x:c r="F640" s="16" t="str">
        <x:f>IF(AND(AND(639&lt;='Control Room'!$B$3,'Control Room'!$D$3="Ready"),4&lt;='Control Room'!$B$2),ROUND(MAX(0,'Process'!T640*'Control Room'!$H$7*INDEX('Control Room'!$B$19:$H$19,1,WEEKDAY($A640,2))*(1+'Control Room'!$D$9)^638*'Process'!U640),2),"")</x:f>
      </x:c>
      <x:c r="G640" s="16" t="str">
        <x:f>IF(AND(AND(639&lt;='Control Room'!$B$3,'Control Room'!$D$3="Ready"),5&lt;='Control Room'!$B$2),ROUND(MAX(0,'Process'!Y640*'Control Room'!$H$8*INDEX('Control Room'!$B$19:$H$19,1,WEEKDAY($A640,2))*(1+'Control Room'!$D$9)^638*'Process'!Z640),2),"")</x:f>
      </x:c>
      <x:c r="H640" s="16" t="str">
        <x:f>IF(AND(AND(639&lt;='Control Room'!$B$3,'Control Room'!$D$3="Ready"),6&lt;='Control Room'!$B$2),ROUND(MAX(0,'Process'!AD640*'Control Room'!$H$9*INDEX('Control Room'!$B$19:$H$19,1,WEEKDAY($A640,2))*(1+'Control Room'!$D$9)^638*'Process'!AE640),2),"")</x:f>
      </x:c>
      <x:c r="I640" s="16" t="str">
        <x:f>IF(AND(AND(639&lt;='Control Room'!$B$3,'Control Room'!$D$3="Ready"),7&lt;='Control Room'!$B$2),ROUND(MAX(0,'Process'!AI640*'Control Room'!$H$10*INDEX('Control Room'!$B$19:$H$19,1,WEEKDAY($A640,2))*(1+'Control Room'!$D$9)^638*'Process'!AJ640),2),"")</x:f>
      </x:c>
      <x:c r="J640" s="16" t="str">
        <x:f>IF(AND(AND(639&lt;='Control Room'!$B$3,'Control Room'!$D$3="Ready"),8&lt;='Control Room'!$B$2),ROUND(MAX(0,'Process'!AN640*'Control Room'!$H$11*INDEX('Control Room'!$B$19:$H$19,1,WEEKDAY($A640,2))*(1+'Control Room'!$D$9)^638*'Process'!AO640),2),"")</x:f>
      </x:c>
      <x:c r="K640" s="16" t="str">
        <x:f>IF(AND(AND(639&lt;='Control Room'!$B$3,'Control Room'!$D$3="Ready"),9&lt;='Control Room'!$B$2),ROUND(MAX(0,'Process'!AS640*'Control Room'!$H$12*INDEX('Control Room'!$B$19:$H$19,1,WEEKDAY($A640,2))*(1+'Control Room'!$D$9)^638*'Process'!AT640),2),"")</x:f>
      </x:c>
      <x:c r="L640" s="16" t="str">
        <x:f>IF(AND(AND(639&lt;='Control Room'!$B$3,'Control Room'!$D$3="Ready"),10&lt;='Control Room'!$B$2),ROUND(MAX(0,'Process'!AX640*'Control Room'!$H$13*INDEX('Control Room'!$B$19:$H$19,1,WEEKDAY($A640,2))*(1+'Control Room'!$D$9)^638*'Process'!AY640),2),"")</x:f>
      </x:c>
      <x:c r="M640" s="16" t="str">
        <x:f>IF(AND(AND(639&lt;='Control Room'!$B$3,'Control Room'!$D$3="Ready"),11&lt;='Control Room'!$B$2),ROUND(MAX(0,'Process'!BC640*'Control Room'!$H$14*INDEX('Control Room'!$B$19:$H$19,1,WEEKDAY($A640,2))*(1+'Control Room'!$D$9)^638*'Process'!BD640),2),"")</x:f>
      </x:c>
      <x:c r="N640" s="16" t="str">
        <x:f>IF(AND(AND(639&lt;='Control Room'!$B$3,'Control Room'!$D$3="Ready"),12&lt;='Control Room'!$B$2),ROUND(MAX(0,'Process'!BH640*'Control Room'!$H$15*INDEX('Control Room'!$B$19:$H$19,1,WEEKDAY($A640,2))*(1+'Control Room'!$D$9)^638*'Process'!BI640),2),"")</x:f>
      </x:c>
    </x:row>
    <x:row r="641" ht="21" customHeight="1">
      <x:c r="A641" s="15" t="str">
        <x:f>IF(AND(640&lt;='Control Room'!$B$3,'Control Room'!$D$3="Ready"),'Process'!A641,"")</x:f>
      </x:c>
      <x:c r="B641" s="16" t="str">
        <x:f>IF(A641="","",SUM(C641:N641))</x:f>
      </x:c>
      <x:c r="C641" s="16" t="str">
        <x:f>IF(AND(AND(640&lt;='Control Room'!$B$3,'Control Room'!$D$3="Ready"),1&lt;='Control Room'!$B$2),ROUND(MAX(0,'Process'!E641*'Control Room'!$H$4*INDEX('Control Room'!$B$19:$H$19,1,WEEKDAY($A641,2))*(1+'Control Room'!$D$9)^639*'Process'!F641),2),"")</x:f>
      </x:c>
      <x:c r="D641" s="16" t="str">
        <x:f>IF(AND(AND(640&lt;='Control Room'!$B$3,'Control Room'!$D$3="Ready"),2&lt;='Control Room'!$B$2),ROUND(MAX(0,'Process'!J641*'Control Room'!$H$5*INDEX('Control Room'!$B$19:$H$19,1,WEEKDAY($A641,2))*(1+'Control Room'!$D$9)^639*'Process'!K641),2),"")</x:f>
      </x:c>
      <x:c r="E641" s="16" t="str">
        <x:f>IF(AND(AND(640&lt;='Control Room'!$B$3,'Control Room'!$D$3="Ready"),3&lt;='Control Room'!$B$2),ROUND(MAX(0,'Process'!O641*'Control Room'!$H$6*INDEX('Control Room'!$B$19:$H$19,1,WEEKDAY($A641,2))*(1+'Control Room'!$D$9)^639*'Process'!P641),2),"")</x:f>
      </x:c>
      <x:c r="F641" s="16" t="str">
        <x:f>IF(AND(AND(640&lt;='Control Room'!$B$3,'Control Room'!$D$3="Ready"),4&lt;='Control Room'!$B$2),ROUND(MAX(0,'Process'!T641*'Control Room'!$H$7*INDEX('Control Room'!$B$19:$H$19,1,WEEKDAY($A641,2))*(1+'Control Room'!$D$9)^639*'Process'!U641),2),"")</x:f>
      </x:c>
      <x:c r="G641" s="16" t="str">
        <x:f>IF(AND(AND(640&lt;='Control Room'!$B$3,'Control Room'!$D$3="Ready"),5&lt;='Control Room'!$B$2),ROUND(MAX(0,'Process'!Y641*'Control Room'!$H$8*INDEX('Control Room'!$B$19:$H$19,1,WEEKDAY($A641,2))*(1+'Control Room'!$D$9)^639*'Process'!Z641),2),"")</x:f>
      </x:c>
      <x:c r="H641" s="16" t="str">
        <x:f>IF(AND(AND(640&lt;='Control Room'!$B$3,'Control Room'!$D$3="Ready"),6&lt;='Control Room'!$B$2),ROUND(MAX(0,'Process'!AD641*'Control Room'!$H$9*INDEX('Control Room'!$B$19:$H$19,1,WEEKDAY($A641,2))*(1+'Control Room'!$D$9)^639*'Process'!AE641),2),"")</x:f>
      </x:c>
      <x:c r="I641" s="16" t="str">
        <x:f>IF(AND(AND(640&lt;='Control Room'!$B$3,'Control Room'!$D$3="Ready"),7&lt;='Control Room'!$B$2),ROUND(MAX(0,'Process'!AI641*'Control Room'!$H$10*INDEX('Control Room'!$B$19:$H$19,1,WEEKDAY($A641,2))*(1+'Control Room'!$D$9)^639*'Process'!AJ641),2),"")</x:f>
      </x:c>
      <x:c r="J641" s="16" t="str">
        <x:f>IF(AND(AND(640&lt;='Control Room'!$B$3,'Control Room'!$D$3="Ready"),8&lt;='Control Room'!$B$2),ROUND(MAX(0,'Process'!AN641*'Control Room'!$H$11*INDEX('Control Room'!$B$19:$H$19,1,WEEKDAY($A641,2))*(1+'Control Room'!$D$9)^639*'Process'!AO641),2),"")</x:f>
      </x:c>
      <x:c r="K641" s="16" t="str">
        <x:f>IF(AND(AND(640&lt;='Control Room'!$B$3,'Control Room'!$D$3="Ready"),9&lt;='Control Room'!$B$2),ROUND(MAX(0,'Process'!AS641*'Control Room'!$H$12*INDEX('Control Room'!$B$19:$H$19,1,WEEKDAY($A641,2))*(1+'Control Room'!$D$9)^639*'Process'!AT641),2),"")</x:f>
      </x:c>
      <x:c r="L641" s="16" t="str">
        <x:f>IF(AND(AND(640&lt;='Control Room'!$B$3,'Control Room'!$D$3="Ready"),10&lt;='Control Room'!$B$2),ROUND(MAX(0,'Process'!AX641*'Control Room'!$H$13*INDEX('Control Room'!$B$19:$H$19,1,WEEKDAY($A641,2))*(1+'Control Room'!$D$9)^639*'Process'!AY641),2),"")</x:f>
      </x:c>
      <x:c r="M641" s="16" t="str">
        <x:f>IF(AND(AND(640&lt;='Control Room'!$B$3,'Control Room'!$D$3="Ready"),11&lt;='Control Room'!$B$2),ROUND(MAX(0,'Process'!BC641*'Control Room'!$H$14*INDEX('Control Room'!$B$19:$H$19,1,WEEKDAY($A641,2))*(1+'Control Room'!$D$9)^639*'Process'!BD641),2),"")</x:f>
      </x:c>
      <x:c r="N641" s="16" t="str">
        <x:f>IF(AND(AND(640&lt;='Control Room'!$B$3,'Control Room'!$D$3="Ready"),12&lt;='Control Room'!$B$2),ROUND(MAX(0,'Process'!BH641*'Control Room'!$H$15*INDEX('Control Room'!$B$19:$H$19,1,WEEKDAY($A641,2))*(1+'Control Room'!$D$9)^639*'Process'!BI641),2),"")</x:f>
      </x:c>
    </x:row>
    <x:row r="642" ht="21" customHeight="1">
      <x:c r="A642" s="15" t="str">
        <x:f>IF(AND(641&lt;='Control Room'!$B$3,'Control Room'!$D$3="Ready"),'Process'!A642,"")</x:f>
      </x:c>
      <x:c r="B642" s="16" t="str">
        <x:f>IF(A642="","",SUM(C642:N642))</x:f>
      </x:c>
      <x:c r="C642" s="16" t="str">
        <x:f>IF(AND(AND(641&lt;='Control Room'!$B$3,'Control Room'!$D$3="Ready"),1&lt;='Control Room'!$B$2),ROUND(MAX(0,'Process'!E642*'Control Room'!$H$4*INDEX('Control Room'!$B$19:$H$19,1,WEEKDAY($A642,2))*(1+'Control Room'!$D$9)^640*'Process'!F642),2),"")</x:f>
      </x:c>
      <x:c r="D642" s="16" t="str">
        <x:f>IF(AND(AND(641&lt;='Control Room'!$B$3,'Control Room'!$D$3="Ready"),2&lt;='Control Room'!$B$2),ROUND(MAX(0,'Process'!J642*'Control Room'!$H$5*INDEX('Control Room'!$B$19:$H$19,1,WEEKDAY($A642,2))*(1+'Control Room'!$D$9)^640*'Process'!K642),2),"")</x:f>
      </x:c>
      <x:c r="E642" s="16" t="str">
        <x:f>IF(AND(AND(641&lt;='Control Room'!$B$3,'Control Room'!$D$3="Ready"),3&lt;='Control Room'!$B$2),ROUND(MAX(0,'Process'!O642*'Control Room'!$H$6*INDEX('Control Room'!$B$19:$H$19,1,WEEKDAY($A642,2))*(1+'Control Room'!$D$9)^640*'Process'!P642),2),"")</x:f>
      </x:c>
      <x:c r="F642" s="16" t="str">
        <x:f>IF(AND(AND(641&lt;='Control Room'!$B$3,'Control Room'!$D$3="Ready"),4&lt;='Control Room'!$B$2),ROUND(MAX(0,'Process'!T642*'Control Room'!$H$7*INDEX('Control Room'!$B$19:$H$19,1,WEEKDAY($A642,2))*(1+'Control Room'!$D$9)^640*'Process'!U642),2),"")</x:f>
      </x:c>
      <x:c r="G642" s="16" t="str">
        <x:f>IF(AND(AND(641&lt;='Control Room'!$B$3,'Control Room'!$D$3="Ready"),5&lt;='Control Room'!$B$2),ROUND(MAX(0,'Process'!Y642*'Control Room'!$H$8*INDEX('Control Room'!$B$19:$H$19,1,WEEKDAY($A642,2))*(1+'Control Room'!$D$9)^640*'Process'!Z642),2),"")</x:f>
      </x:c>
      <x:c r="H642" s="16" t="str">
        <x:f>IF(AND(AND(641&lt;='Control Room'!$B$3,'Control Room'!$D$3="Ready"),6&lt;='Control Room'!$B$2),ROUND(MAX(0,'Process'!AD642*'Control Room'!$H$9*INDEX('Control Room'!$B$19:$H$19,1,WEEKDAY($A642,2))*(1+'Control Room'!$D$9)^640*'Process'!AE642),2),"")</x:f>
      </x:c>
      <x:c r="I642" s="16" t="str">
        <x:f>IF(AND(AND(641&lt;='Control Room'!$B$3,'Control Room'!$D$3="Ready"),7&lt;='Control Room'!$B$2),ROUND(MAX(0,'Process'!AI642*'Control Room'!$H$10*INDEX('Control Room'!$B$19:$H$19,1,WEEKDAY($A642,2))*(1+'Control Room'!$D$9)^640*'Process'!AJ642),2),"")</x:f>
      </x:c>
      <x:c r="J642" s="16" t="str">
        <x:f>IF(AND(AND(641&lt;='Control Room'!$B$3,'Control Room'!$D$3="Ready"),8&lt;='Control Room'!$B$2),ROUND(MAX(0,'Process'!AN642*'Control Room'!$H$11*INDEX('Control Room'!$B$19:$H$19,1,WEEKDAY($A642,2))*(1+'Control Room'!$D$9)^640*'Process'!AO642),2),"")</x:f>
      </x:c>
      <x:c r="K642" s="16" t="str">
        <x:f>IF(AND(AND(641&lt;='Control Room'!$B$3,'Control Room'!$D$3="Ready"),9&lt;='Control Room'!$B$2),ROUND(MAX(0,'Process'!AS642*'Control Room'!$H$12*INDEX('Control Room'!$B$19:$H$19,1,WEEKDAY($A642,2))*(1+'Control Room'!$D$9)^640*'Process'!AT642),2),"")</x:f>
      </x:c>
      <x:c r="L642" s="16" t="str">
        <x:f>IF(AND(AND(641&lt;='Control Room'!$B$3,'Control Room'!$D$3="Ready"),10&lt;='Control Room'!$B$2),ROUND(MAX(0,'Process'!AX642*'Control Room'!$H$13*INDEX('Control Room'!$B$19:$H$19,1,WEEKDAY($A642,2))*(1+'Control Room'!$D$9)^640*'Process'!AY642),2),"")</x:f>
      </x:c>
      <x:c r="M642" s="16" t="str">
        <x:f>IF(AND(AND(641&lt;='Control Room'!$B$3,'Control Room'!$D$3="Ready"),11&lt;='Control Room'!$B$2),ROUND(MAX(0,'Process'!BC642*'Control Room'!$H$14*INDEX('Control Room'!$B$19:$H$19,1,WEEKDAY($A642,2))*(1+'Control Room'!$D$9)^640*'Process'!BD642),2),"")</x:f>
      </x:c>
      <x:c r="N642" s="16" t="str">
        <x:f>IF(AND(AND(641&lt;='Control Room'!$B$3,'Control Room'!$D$3="Ready"),12&lt;='Control Room'!$B$2),ROUND(MAX(0,'Process'!BH642*'Control Room'!$H$15*INDEX('Control Room'!$B$19:$H$19,1,WEEKDAY($A642,2))*(1+'Control Room'!$D$9)^640*'Process'!BI642),2),"")</x:f>
      </x:c>
    </x:row>
    <x:row r="643" ht="21" customHeight="1">
      <x:c r="A643" s="15" t="str">
        <x:f>IF(AND(642&lt;='Control Room'!$B$3,'Control Room'!$D$3="Ready"),'Process'!A643,"")</x:f>
      </x:c>
      <x:c r="B643" s="16" t="str">
        <x:f>IF(A643="","",SUM(C643:N643))</x:f>
      </x:c>
      <x:c r="C643" s="16" t="str">
        <x:f>IF(AND(AND(642&lt;='Control Room'!$B$3,'Control Room'!$D$3="Ready"),1&lt;='Control Room'!$B$2),ROUND(MAX(0,'Process'!E643*'Control Room'!$H$4*INDEX('Control Room'!$B$19:$H$19,1,WEEKDAY($A643,2))*(1+'Control Room'!$D$9)^641*'Process'!F643),2),"")</x:f>
      </x:c>
      <x:c r="D643" s="16" t="str">
        <x:f>IF(AND(AND(642&lt;='Control Room'!$B$3,'Control Room'!$D$3="Ready"),2&lt;='Control Room'!$B$2),ROUND(MAX(0,'Process'!J643*'Control Room'!$H$5*INDEX('Control Room'!$B$19:$H$19,1,WEEKDAY($A643,2))*(1+'Control Room'!$D$9)^641*'Process'!K643),2),"")</x:f>
      </x:c>
      <x:c r="E643" s="16" t="str">
        <x:f>IF(AND(AND(642&lt;='Control Room'!$B$3,'Control Room'!$D$3="Ready"),3&lt;='Control Room'!$B$2),ROUND(MAX(0,'Process'!O643*'Control Room'!$H$6*INDEX('Control Room'!$B$19:$H$19,1,WEEKDAY($A643,2))*(1+'Control Room'!$D$9)^641*'Process'!P643),2),"")</x:f>
      </x:c>
      <x:c r="F643" s="16" t="str">
        <x:f>IF(AND(AND(642&lt;='Control Room'!$B$3,'Control Room'!$D$3="Ready"),4&lt;='Control Room'!$B$2),ROUND(MAX(0,'Process'!T643*'Control Room'!$H$7*INDEX('Control Room'!$B$19:$H$19,1,WEEKDAY($A643,2))*(1+'Control Room'!$D$9)^641*'Process'!U643),2),"")</x:f>
      </x:c>
      <x:c r="G643" s="16" t="str">
        <x:f>IF(AND(AND(642&lt;='Control Room'!$B$3,'Control Room'!$D$3="Ready"),5&lt;='Control Room'!$B$2),ROUND(MAX(0,'Process'!Y643*'Control Room'!$H$8*INDEX('Control Room'!$B$19:$H$19,1,WEEKDAY($A643,2))*(1+'Control Room'!$D$9)^641*'Process'!Z643),2),"")</x:f>
      </x:c>
      <x:c r="H643" s="16" t="str">
        <x:f>IF(AND(AND(642&lt;='Control Room'!$B$3,'Control Room'!$D$3="Ready"),6&lt;='Control Room'!$B$2),ROUND(MAX(0,'Process'!AD643*'Control Room'!$H$9*INDEX('Control Room'!$B$19:$H$19,1,WEEKDAY($A643,2))*(1+'Control Room'!$D$9)^641*'Process'!AE643),2),"")</x:f>
      </x:c>
      <x:c r="I643" s="16" t="str">
        <x:f>IF(AND(AND(642&lt;='Control Room'!$B$3,'Control Room'!$D$3="Ready"),7&lt;='Control Room'!$B$2),ROUND(MAX(0,'Process'!AI643*'Control Room'!$H$10*INDEX('Control Room'!$B$19:$H$19,1,WEEKDAY($A643,2))*(1+'Control Room'!$D$9)^641*'Process'!AJ643),2),"")</x:f>
      </x:c>
      <x:c r="J643" s="16" t="str">
        <x:f>IF(AND(AND(642&lt;='Control Room'!$B$3,'Control Room'!$D$3="Ready"),8&lt;='Control Room'!$B$2),ROUND(MAX(0,'Process'!AN643*'Control Room'!$H$11*INDEX('Control Room'!$B$19:$H$19,1,WEEKDAY($A643,2))*(1+'Control Room'!$D$9)^641*'Process'!AO643),2),"")</x:f>
      </x:c>
      <x:c r="K643" s="16" t="str">
        <x:f>IF(AND(AND(642&lt;='Control Room'!$B$3,'Control Room'!$D$3="Ready"),9&lt;='Control Room'!$B$2),ROUND(MAX(0,'Process'!AS643*'Control Room'!$H$12*INDEX('Control Room'!$B$19:$H$19,1,WEEKDAY($A643,2))*(1+'Control Room'!$D$9)^641*'Process'!AT643),2),"")</x:f>
      </x:c>
      <x:c r="L643" s="16" t="str">
        <x:f>IF(AND(AND(642&lt;='Control Room'!$B$3,'Control Room'!$D$3="Ready"),10&lt;='Control Room'!$B$2),ROUND(MAX(0,'Process'!AX643*'Control Room'!$H$13*INDEX('Control Room'!$B$19:$H$19,1,WEEKDAY($A643,2))*(1+'Control Room'!$D$9)^641*'Process'!AY643),2),"")</x:f>
      </x:c>
      <x:c r="M643" s="16" t="str">
        <x:f>IF(AND(AND(642&lt;='Control Room'!$B$3,'Control Room'!$D$3="Ready"),11&lt;='Control Room'!$B$2),ROUND(MAX(0,'Process'!BC643*'Control Room'!$H$14*INDEX('Control Room'!$B$19:$H$19,1,WEEKDAY($A643,2))*(1+'Control Room'!$D$9)^641*'Process'!BD643),2),"")</x:f>
      </x:c>
      <x:c r="N643" s="16" t="str">
        <x:f>IF(AND(AND(642&lt;='Control Room'!$B$3,'Control Room'!$D$3="Ready"),12&lt;='Control Room'!$B$2),ROUND(MAX(0,'Process'!BH643*'Control Room'!$H$15*INDEX('Control Room'!$B$19:$H$19,1,WEEKDAY($A643,2))*(1+'Control Room'!$D$9)^641*'Process'!BI643),2),"")</x:f>
      </x:c>
    </x:row>
    <x:row r="644" ht="21" customHeight="1">
      <x:c r="A644" s="15" t="str">
        <x:f>IF(AND(643&lt;='Control Room'!$B$3,'Control Room'!$D$3="Ready"),'Process'!A644,"")</x:f>
      </x:c>
      <x:c r="B644" s="16" t="str">
        <x:f>IF(A644="","",SUM(C644:N644))</x:f>
      </x:c>
      <x:c r="C644" s="16" t="str">
        <x:f>IF(AND(AND(643&lt;='Control Room'!$B$3,'Control Room'!$D$3="Ready"),1&lt;='Control Room'!$B$2),ROUND(MAX(0,'Process'!E644*'Control Room'!$H$4*INDEX('Control Room'!$B$19:$H$19,1,WEEKDAY($A644,2))*(1+'Control Room'!$D$9)^642*'Process'!F644),2),"")</x:f>
      </x:c>
      <x:c r="D644" s="16" t="str">
        <x:f>IF(AND(AND(643&lt;='Control Room'!$B$3,'Control Room'!$D$3="Ready"),2&lt;='Control Room'!$B$2),ROUND(MAX(0,'Process'!J644*'Control Room'!$H$5*INDEX('Control Room'!$B$19:$H$19,1,WEEKDAY($A644,2))*(1+'Control Room'!$D$9)^642*'Process'!K644),2),"")</x:f>
      </x:c>
      <x:c r="E644" s="16" t="str">
        <x:f>IF(AND(AND(643&lt;='Control Room'!$B$3,'Control Room'!$D$3="Ready"),3&lt;='Control Room'!$B$2),ROUND(MAX(0,'Process'!O644*'Control Room'!$H$6*INDEX('Control Room'!$B$19:$H$19,1,WEEKDAY($A644,2))*(1+'Control Room'!$D$9)^642*'Process'!P644),2),"")</x:f>
      </x:c>
      <x:c r="F644" s="16" t="str">
        <x:f>IF(AND(AND(643&lt;='Control Room'!$B$3,'Control Room'!$D$3="Ready"),4&lt;='Control Room'!$B$2),ROUND(MAX(0,'Process'!T644*'Control Room'!$H$7*INDEX('Control Room'!$B$19:$H$19,1,WEEKDAY($A644,2))*(1+'Control Room'!$D$9)^642*'Process'!U644),2),"")</x:f>
      </x:c>
      <x:c r="G644" s="16" t="str">
        <x:f>IF(AND(AND(643&lt;='Control Room'!$B$3,'Control Room'!$D$3="Ready"),5&lt;='Control Room'!$B$2),ROUND(MAX(0,'Process'!Y644*'Control Room'!$H$8*INDEX('Control Room'!$B$19:$H$19,1,WEEKDAY($A644,2))*(1+'Control Room'!$D$9)^642*'Process'!Z644),2),"")</x:f>
      </x:c>
      <x:c r="H644" s="16" t="str">
        <x:f>IF(AND(AND(643&lt;='Control Room'!$B$3,'Control Room'!$D$3="Ready"),6&lt;='Control Room'!$B$2),ROUND(MAX(0,'Process'!AD644*'Control Room'!$H$9*INDEX('Control Room'!$B$19:$H$19,1,WEEKDAY($A644,2))*(1+'Control Room'!$D$9)^642*'Process'!AE644),2),"")</x:f>
      </x:c>
      <x:c r="I644" s="16" t="str">
        <x:f>IF(AND(AND(643&lt;='Control Room'!$B$3,'Control Room'!$D$3="Ready"),7&lt;='Control Room'!$B$2),ROUND(MAX(0,'Process'!AI644*'Control Room'!$H$10*INDEX('Control Room'!$B$19:$H$19,1,WEEKDAY($A644,2))*(1+'Control Room'!$D$9)^642*'Process'!AJ644),2),"")</x:f>
      </x:c>
      <x:c r="J644" s="16" t="str">
        <x:f>IF(AND(AND(643&lt;='Control Room'!$B$3,'Control Room'!$D$3="Ready"),8&lt;='Control Room'!$B$2),ROUND(MAX(0,'Process'!AN644*'Control Room'!$H$11*INDEX('Control Room'!$B$19:$H$19,1,WEEKDAY($A644,2))*(1+'Control Room'!$D$9)^642*'Process'!AO644),2),"")</x:f>
      </x:c>
      <x:c r="K644" s="16" t="str">
        <x:f>IF(AND(AND(643&lt;='Control Room'!$B$3,'Control Room'!$D$3="Ready"),9&lt;='Control Room'!$B$2),ROUND(MAX(0,'Process'!AS644*'Control Room'!$H$12*INDEX('Control Room'!$B$19:$H$19,1,WEEKDAY($A644,2))*(1+'Control Room'!$D$9)^642*'Process'!AT644),2),"")</x:f>
      </x:c>
      <x:c r="L644" s="16" t="str">
        <x:f>IF(AND(AND(643&lt;='Control Room'!$B$3,'Control Room'!$D$3="Ready"),10&lt;='Control Room'!$B$2),ROUND(MAX(0,'Process'!AX644*'Control Room'!$H$13*INDEX('Control Room'!$B$19:$H$19,1,WEEKDAY($A644,2))*(1+'Control Room'!$D$9)^642*'Process'!AY644),2),"")</x:f>
      </x:c>
      <x:c r="M644" s="16" t="str">
        <x:f>IF(AND(AND(643&lt;='Control Room'!$B$3,'Control Room'!$D$3="Ready"),11&lt;='Control Room'!$B$2),ROUND(MAX(0,'Process'!BC644*'Control Room'!$H$14*INDEX('Control Room'!$B$19:$H$19,1,WEEKDAY($A644,2))*(1+'Control Room'!$D$9)^642*'Process'!BD644),2),"")</x:f>
      </x:c>
      <x:c r="N644" s="16" t="str">
        <x:f>IF(AND(AND(643&lt;='Control Room'!$B$3,'Control Room'!$D$3="Ready"),12&lt;='Control Room'!$B$2),ROUND(MAX(0,'Process'!BH644*'Control Room'!$H$15*INDEX('Control Room'!$B$19:$H$19,1,WEEKDAY($A644,2))*(1+'Control Room'!$D$9)^642*'Process'!BI644),2),"")</x:f>
      </x:c>
    </x:row>
    <x:row r="645" ht="21" customHeight="1">
      <x:c r="A645" s="15" t="str">
        <x:f>IF(AND(644&lt;='Control Room'!$B$3,'Control Room'!$D$3="Ready"),'Process'!A645,"")</x:f>
      </x:c>
      <x:c r="B645" s="16" t="str">
        <x:f>IF(A645="","",SUM(C645:N645))</x:f>
      </x:c>
      <x:c r="C645" s="16" t="str">
        <x:f>IF(AND(AND(644&lt;='Control Room'!$B$3,'Control Room'!$D$3="Ready"),1&lt;='Control Room'!$B$2),ROUND(MAX(0,'Process'!E645*'Control Room'!$H$4*INDEX('Control Room'!$B$19:$H$19,1,WEEKDAY($A645,2))*(1+'Control Room'!$D$9)^643*'Process'!F645),2),"")</x:f>
      </x:c>
      <x:c r="D645" s="16" t="str">
        <x:f>IF(AND(AND(644&lt;='Control Room'!$B$3,'Control Room'!$D$3="Ready"),2&lt;='Control Room'!$B$2),ROUND(MAX(0,'Process'!J645*'Control Room'!$H$5*INDEX('Control Room'!$B$19:$H$19,1,WEEKDAY($A645,2))*(1+'Control Room'!$D$9)^643*'Process'!K645),2),"")</x:f>
      </x:c>
      <x:c r="E645" s="16" t="str">
        <x:f>IF(AND(AND(644&lt;='Control Room'!$B$3,'Control Room'!$D$3="Ready"),3&lt;='Control Room'!$B$2),ROUND(MAX(0,'Process'!O645*'Control Room'!$H$6*INDEX('Control Room'!$B$19:$H$19,1,WEEKDAY($A645,2))*(1+'Control Room'!$D$9)^643*'Process'!P645),2),"")</x:f>
      </x:c>
      <x:c r="F645" s="16" t="str">
        <x:f>IF(AND(AND(644&lt;='Control Room'!$B$3,'Control Room'!$D$3="Ready"),4&lt;='Control Room'!$B$2),ROUND(MAX(0,'Process'!T645*'Control Room'!$H$7*INDEX('Control Room'!$B$19:$H$19,1,WEEKDAY($A645,2))*(1+'Control Room'!$D$9)^643*'Process'!U645),2),"")</x:f>
      </x:c>
      <x:c r="G645" s="16" t="str">
        <x:f>IF(AND(AND(644&lt;='Control Room'!$B$3,'Control Room'!$D$3="Ready"),5&lt;='Control Room'!$B$2),ROUND(MAX(0,'Process'!Y645*'Control Room'!$H$8*INDEX('Control Room'!$B$19:$H$19,1,WEEKDAY($A645,2))*(1+'Control Room'!$D$9)^643*'Process'!Z645),2),"")</x:f>
      </x:c>
      <x:c r="H645" s="16" t="str">
        <x:f>IF(AND(AND(644&lt;='Control Room'!$B$3,'Control Room'!$D$3="Ready"),6&lt;='Control Room'!$B$2),ROUND(MAX(0,'Process'!AD645*'Control Room'!$H$9*INDEX('Control Room'!$B$19:$H$19,1,WEEKDAY($A645,2))*(1+'Control Room'!$D$9)^643*'Process'!AE645),2),"")</x:f>
      </x:c>
      <x:c r="I645" s="16" t="str">
        <x:f>IF(AND(AND(644&lt;='Control Room'!$B$3,'Control Room'!$D$3="Ready"),7&lt;='Control Room'!$B$2),ROUND(MAX(0,'Process'!AI645*'Control Room'!$H$10*INDEX('Control Room'!$B$19:$H$19,1,WEEKDAY($A645,2))*(1+'Control Room'!$D$9)^643*'Process'!AJ645),2),"")</x:f>
      </x:c>
      <x:c r="J645" s="16" t="str">
        <x:f>IF(AND(AND(644&lt;='Control Room'!$B$3,'Control Room'!$D$3="Ready"),8&lt;='Control Room'!$B$2),ROUND(MAX(0,'Process'!AN645*'Control Room'!$H$11*INDEX('Control Room'!$B$19:$H$19,1,WEEKDAY($A645,2))*(1+'Control Room'!$D$9)^643*'Process'!AO645),2),"")</x:f>
      </x:c>
      <x:c r="K645" s="16" t="str">
        <x:f>IF(AND(AND(644&lt;='Control Room'!$B$3,'Control Room'!$D$3="Ready"),9&lt;='Control Room'!$B$2),ROUND(MAX(0,'Process'!AS645*'Control Room'!$H$12*INDEX('Control Room'!$B$19:$H$19,1,WEEKDAY($A645,2))*(1+'Control Room'!$D$9)^643*'Process'!AT645),2),"")</x:f>
      </x:c>
      <x:c r="L645" s="16" t="str">
        <x:f>IF(AND(AND(644&lt;='Control Room'!$B$3,'Control Room'!$D$3="Ready"),10&lt;='Control Room'!$B$2),ROUND(MAX(0,'Process'!AX645*'Control Room'!$H$13*INDEX('Control Room'!$B$19:$H$19,1,WEEKDAY($A645,2))*(1+'Control Room'!$D$9)^643*'Process'!AY645),2),"")</x:f>
      </x:c>
      <x:c r="M645" s="16" t="str">
        <x:f>IF(AND(AND(644&lt;='Control Room'!$B$3,'Control Room'!$D$3="Ready"),11&lt;='Control Room'!$B$2),ROUND(MAX(0,'Process'!BC645*'Control Room'!$H$14*INDEX('Control Room'!$B$19:$H$19,1,WEEKDAY($A645,2))*(1+'Control Room'!$D$9)^643*'Process'!BD645),2),"")</x:f>
      </x:c>
      <x:c r="N645" s="16" t="str">
        <x:f>IF(AND(AND(644&lt;='Control Room'!$B$3,'Control Room'!$D$3="Ready"),12&lt;='Control Room'!$B$2),ROUND(MAX(0,'Process'!BH645*'Control Room'!$H$15*INDEX('Control Room'!$B$19:$H$19,1,WEEKDAY($A645,2))*(1+'Control Room'!$D$9)^643*'Process'!BI645),2),"")</x:f>
      </x:c>
    </x:row>
    <x:row r="646" ht="21" customHeight="1">
      <x:c r="A646" s="15" t="str">
        <x:f>IF(AND(645&lt;='Control Room'!$B$3,'Control Room'!$D$3="Ready"),'Process'!A646,"")</x:f>
      </x:c>
      <x:c r="B646" s="16" t="str">
        <x:f>IF(A646="","",SUM(C646:N646))</x:f>
      </x:c>
      <x:c r="C646" s="16" t="str">
        <x:f>IF(AND(AND(645&lt;='Control Room'!$B$3,'Control Room'!$D$3="Ready"),1&lt;='Control Room'!$B$2),ROUND(MAX(0,'Process'!E646*'Control Room'!$H$4*INDEX('Control Room'!$B$19:$H$19,1,WEEKDAY($A646,2))*(1+'Control Room'!$D$9)^644*'Process'!F646),2),"")</x:f>
      </x:c>
      <x:c r="D646" s="16" t="str">
        <x:f>IF(AND(AND(645&lt;='Control Room'!$B$3,'Control Room'!$D$3="Ready"),2&lt;='Control Room'!$B$2),ROUND(MAX(0,'Process'!J646*'Control Room'!$H$5*INDEX('Control Room'!$B$19:$H$19,1,WEEKDAY($A646,2))*(1+'Control Room'!$D$9)^644*'Process'!K646),2),"")</x:f>
      </x:c>
      <x:c r="E646" s="16" t="str">
        <x:f>IF(AND(AND(645&lt;='Control Room'!$B$3,'Control Room'!$D$3="Ready"),3&lt;='Control Room'!$B$2),ROUND(MAX(0,'Process'!O646*'Control Room'!$H$6*INDEX('Control Room'!$B$19:$H$19,1,WEEKDAY($A646,2))*(1+'Control Room'!$D$9)^644*'Process'!P646),2),"")</x:f>
      </x:c>
      <x:c r="F646" s="16" t="str">
        <x:f>IF(AND(AND(645&lt;='Control Room'!$B$3,'Control Room'!$D$3="Ready"),4&lt;='Control Room'!$B$2),ROUND(MAX(0,'Process'!T646*'Control Room'!$H$7*INDEX('Control Room'!$B$19:$H$19,1,WEEKDAY($A646,2))*(1+'Control Room'!$D$9)^644*'Process'!U646),2),"")</x:f>
      </x:c>
      <x:c r="G646" s="16" t="str">
        <x:f>IF(AND(AND(645&lt;='Control Room'!$B$3,'Control Room'!$D$3="Ready"),5&lt;='Control Room'!$B$2),ROUND(MAX(0,'Process'!Y646*'Control Room'!$H$8*INDEX('Control Room'!$B$19:$H$19,1,WEEKDAY($A646,2))*(1+'Control Room'!$D$9)^644*'Process'!Z646),2),"")</x:f>
      </x:c>
      <x:c r="H646" s="16" t="str">
        <x:f>IF(AND(AND(645&lt;='Control Room'!$B$3,'Control Room'!$D$3="Ready"),6&lt;='Control Room'!$B$2),ROUND(MAX(0,'Process'!AD646*'Control Room'!$H$9*INDEX('Control Room'!$B$19:$H$19,1,WEEKDAY($A646,2))*(1+'Control Room'!$D$9)^644*'Process'!AE646),2),"")</x:f>
      </x:c>
      <x:c r="I646" s="16" t="str">
        <x:f>IF(AND(AND(645&lt;='Control Room'!$B$3,'Control Room'!$D$3="Ready"),7&lt;='Control Room'!$B$2),ROUND(MAX(0,'Process'!AI646*'Control Room'!$H$10*INDEX('Control Room'!$B$19:$H$19,1,WEEKDAY($A646,2))*(1+'Control Room'!$D$9)^644*'Process'!AJ646),2),"")</x:f>
      </x:c>
      <x:c r="J646" s="16" t="str">
        <x:f>IF(AND(AND(645&lt;='Control Room'!$B$3,'Control Room'!$D$3="Ready"),8&lt;='Control Room'!$B$2),ROUND(MAX(0,'Process'!AN646*'Control Room'!$H$11*INDEX('Control Room'!$B$19:$H$19,1,WEEKDAY($A646,2))*(1+'Control Room'!$D$9)^644*'Process'!AO646),2),"")</x:f>
      </x:c>
      <x:c r="K646" s="16" t="str">
        <x:f>IF(AND(AND(645&lt;='Control Room'!$B$3,'Control Room'!$D$3="Ready"),9&lt;='Control Room'!$B$2),ROUND(MAX(0,'Process'!AS646*'Control Room'!$H$12*INDEX('Control Room'!$B$19:$H$19,1,WEEKDAY($A646,2))*(1+'Control Room'!$D$9)^644*'Process'!AT646),2),"")</x:f>
      </x:c>
      <x:c r="L646" s="16" t="str">
        <x:f>IF(AND(AND(645&lt;='Control Room'!$B$3,'Control Room'!$D$3="Ready"),10&lt;='Control Room'!$B$2),ROUND(MAX(0,'Process'!AX646*'Control Room'!$H$13*INDEX('Control Room'!$B$19:$H$19,1,WEEKDAY($A646,2))*(1+'Control Room'!$D$9)^644*'Process'!AY646),2),"")</x:f>
      </x:c>
      <x:c r="M646" s="16" t="str">
        <x:f>IF(AND(AND(645&lt;='Control Room'!$B$3,'Control Room'!$D$3="Ready"),11&lt;='Control Room'!$B$2),ROUND(MAX(0,'Process'!BC646*'Control Room'!$H$14*INDEX('Control Room'!$B$19:$H$19,1,WEEKDAY($A646,2))*(1+'Control Room'!$D$9)^644*'Process'!BD646),2),"")</x:f>
      </x:c>
      <x:c r="N646" s="16" t="str">
        <x:f>IF(AND(AND(645&lt;='Control Room'!$B$3,'Control Room'!$D$3="Ready"),12&lt;='Control Room'!$B$2),ROUND(MAX(0,'Process'!BH646*'Control Room'!$H$15*INDEX('Control Room'!$B$19:$H$19,1,WEEKDAY($A646,2))*(1+'Control Room'!$D$9)^644*'Process'!BI646),2),"")</x:f>
      </x:c>
    </x:row>
    <x:row r="647" ht="21" customHeight="1">
      <x:c r="A647" s="15" t="str">
        <x:f>IF(AND(646&lt;='Control Room'!$B$3,'Control Room'!$D$3="Ready"),'Process'!A647,"")</x:f>
      </x:c>
      <x:c r="B647" s="16" t="str">
        <x:f>IF(A647="","",SUM(C647:N647))</x:f>
      </x:c>
      <x:c r="C647" s="16" t="str">
        <x:f>IF(AND(AND(646&lt;='Control Room'!$B$3,'Control Room'!$D$3="Ready"),1&lt;='Control Room'!$B$2),ROUND(MAX(0,'Process'!E647*'Control Room'!$H$4*INDEX('Control Room'!$B$19:$H$19,1,WEEKDAY($A647,2))*(1+'Control Room'!$D$9)^645*'Process'!F647),2),"")</x:f>
      </x:c>
      <x:c r="D647" s="16" t="str">
        <x:f>IF(AND(AND(646&lt;='Control Room'!$B$3,'Control Room'!$D$3="Ready"),2&lt;='Control Room'!$B$2),ROUND(MAX(0,'Process'!J647*'Control Room'!$H$5*INDEX('Control Room'!$B$19:$H$19,1,WEEKDAY($A647,2))*(1+'Control Room'!$D$9)^645*'Process'!K647),2),"")</x:f>
      </x:c>
      <x:c r="E647" s="16" t="str">
        <x:f>IF(AND(AND(646&lt;='Control Room'!$B$3,'Control Room'!$D$3="Ready"),3&lt;='Control Room'!$B$2),ROUND(MAX(0,'Process'!O647*'Control Room'!$H$6*INDEX('Control Room'!$B$19:$H$19,1,WEEKDAY($A647,2))*(1+'Control Room'!$D$9)^645*'Process'!P647),2),"")</x:f>
      </x:c>
      <x:c r="F647" s="16" t="str">
        <x:f>IF(AND(AND(646&lt;='Control Room'!$B$3,'Control Room'!$D$3="Ready"),4&lt;='Control Room'!$B$2),ROUND(MAX(0,'Process'!T647*'Control Room'!$H$7*INDEX('Control Room'!$B$19:$H$19,1,WEEKDAY($A647,2))*(1+'Control Room'!$D$9)^645*'Process'!U647),2),"")</x:f>
      </x:c>
      <x:c r="G647" s="16" t="str">
        <x:f>IF(AND(AND(646&lt;='Control Room'!$B$3,'Control Room'!$D$3="Ready"),5&lt;='Control Room'!$B$2),ROUND(MAX(0,'Process'!Y647*'Control Room'!$H$8*INDEX('Control Room'!$B$19:$H$19,1,WEEKDAY($A647,2))*(1+'Control Room'!$D$9)^645*'Process'!Z647),2),"")</x:f>
      </x:c>
      <x:c r="H647" s="16" t="str">
        <x:f>IF(AND(AND(646&lt;='Control Room'!$B$3,'Control Room'!$D$3="Ready"),6&lt;='Control Room'!$B$2),ROUND(MAX(0,'Process'!AD647*'Control Room'!$H$9*INDEX('Control Room'!$B$19:$H$19,1,WEEKDAY($A647,2))*(1+'Control Room'!$D$9)^645*'Process'!AE647),2),"")</x:f>
      </x:c>
      <x:c r="I647" s="16" t="str">
        <x:f>IF(AND(AND(646&lt;='Control Room'!$B$3,'Control Room'!$D$3="Ready"),7&lt;='Control Room'!$B$2),ROUND(MAX(0,'Process'!AI647*'Control Room'!$H$10*INDEX('Control Room'!$B$19:$H$19,1,WEEKDAY($A647,2))*(1+'Control Room'!$D$9)^645*'Process'!AJ647),2),"")</x:f>
      </x:c>
      <x:c r="J647" s="16" t="str">
        <x:f>IF(AND(AND(646&lt;='Control Room'!$B$3,'Control Room'!$D$3="Ready"),8&lt;='Control Room'!$B$2),ROUND(MAX(0,'Process'!AN647*'Control Room'!$H$11*INDEX('Control Room'!$B$19:$H$19,1,WEEKDAY($A647,2))*(1+'Control Room'!$D$9)^645*'Process'!AO647),2),"")</x:f>
      </x:c>
      <x:c r="K647" s="16" t="str">
        <x:f>IF(AND(AND(646&lt;='Control Room'!$B$3,'Control Room'!$D$3="Ready"),9&lt;='Control Room'!$B$2),ROUND(MAX(0,'Process'!AS647*'Control Room'!$H$12*INDEX('Control Room'!$B$19:$H$19,1,WEEKDAY($A647,2))*(1+'Control Room'!$D$9)^645*'Process'!AT647),2),"")</x:f>
      </x:c>
      <x:c r="L647" s="16" t="str">
        <x:f>IF(AND(AND(646&lt;='Control Room'!$B$3,'Control Room'!$D$3="Ready"),10&lt;='Control Room'!$B$2),ROUND(MAX(0,'Process'!AX647*'Control Room'!$H$13*INDEX('Control Room'!$B$19:$H$19,1,WEEKDAY($A647,2))*(1+'Control Room'!$D$9)^645*'Process'!AY647),2),"")</x:f>
      </x:c>
      <x:c r="M647" s="16" t="str">
        <x:f>IF(AND(AND(646&lt;='Control Room'!$B$3,'Control Room'!$D$3="Ready"),11&lt;='Control Room'!$B$2),ROUND(MAX(0,'Process'!BC647*'Control Room'!$H$14*INDEX('Control Room'!$B$19:$H$19,1,WEEKDAY($A647,2))*(1+'Control Room'!$D$9)^645*'Process'!BD647),2),"")</x:f>
      </x:c>
      <x:c r="N647" s="16" t="str">
        <x:f>IF(AND(AND(646&lt;='Control Room'!$B$3,'Control Room'!$D$3="Ready"),12&lt;='Control Room'!$B$2),ROUND(MAX(0,'Process'!BH647*'Control Room'!$H$15*INDEX('Control Room'!$B$19:$H$19,1,WEEKDAY($A647,2))*(1+'Control Room'!$D$9)^645*'Process'!BI647),2),"")</x:f>
      </x:c>
    </x:row>
    <x:row r="648" ht="21" customHeight="1">
      <x:c r="A648" s="15" t="str">
        <x:f>IF(AND(647&lt;='Control Room'!$B$3,'Control Room'!$D$3="Ready"),'Process'!A648,"")</x:f>
      </x:c>
      <x:c r="B648" s="16" t="str">
        <x:f>IF(A648="","",SUM(C648:N648))</x:f>
      </x:c>
      <x:c r="C648" s="16" t="str">
        <x:f>IF(AND(AND(647&lt;='Control Room'!$B$3,'Control Room'!$D$3="Ready"),1&lt;='Control Room'!$B$2),ROUND(MAX(0,'Process'!E648*'Control Room'!$H$4*INDEX('Control Room'!$B$19:$H$19,1,WEEKDAY($A648,2))*(1+'Control Room'!$D$9)^646*'Process'!F648),2),"")</x:f>
      </x:c>
      <x:c r="D648" s="16" t="str">
        <x:f>IF(AND(AND(647&lt;='Control Room'!$B$3,'Control Room'!$D$3="Ready"),2&lt;='Control Room'!$B$2),ROUND(MAX(0,'Process'!J648*'Control Room'!$H$5*INDEX('Control Room'!$B$19:$H$19,1,WEEKDAY($A648,2))*(1+'Control Room'!$D$9)^646*'Process'!K648),2),"")</x:f>
      </x:c>
      <x:c r="E648" s="16" t="str">
        <x:f>IF(AND(AND(647&lt;='Control Room'!$B$3,'Control Room'!$D$3="Ready"),3&lt;='Control Room'!$B$2),ROUND(MAX(0,'Process'!O648*'Control Room'!$H$6*INDEX('Control Room'!$B$19:$H$19,1,WEEKDAY($A648,2))*(1+'Control Room'!$D$9)^646*'Process'!P648),2),"")</x:f>
      </x:c>
      <x:c r="F648" s="16" t="str">
        <x:f>IF(AND(AND(647&lt;='Control Room'!$B$3,'Control Room'!$D$3="Ready"),4&lt;='Control Room'!$B$2),ROUND(MAX(0,'Process'!T648*'Control Room'!$H$7*INDEX('Control Room'!$B$19:$H$19,1,WEEKDAY($A648,2))*(1+'Control Room'!$D$9)^646*'Process'!U648),2),"")</x:f>
      </x:c>
      <x:c r="G648" s="16" t="str">
        <x:f>IF(AND(AND(647&lt;='Control Room'!$B$3,'Control Room'!$D$3="Ready"),5&lt;='Control Room'!$B$2),ROUND(MAX(0,'Process'!Y648*'Control Room'!$H$8*INDEX('Control Room'!$B$19:$H$19,1,WEEKDAY($A648,2))*(1+'Control Room'!$D$9)^646*'Process'!Z648),2),"")</x:f>
      </x:c>
      <x:c r="H648" s="16" t="str">
        <x:f>IF(AND(AND(647&lt;='Control Room'!$B$3,'Control Room'!$D$3="Ready"),6&lt;='Control Room'!$B$2),ROUND(MAX(0,'Process'!AD648*'Control Room'!$H$9*INDEX('Control Room'!$B$19:$H$19,1,WEEKDAY($A648,2))*(1+'Control Room'!$D$9)^646*'Process'!AE648),2),"")</x:f>
      </x:c>
      <x:c r="I648" s="16" t="str">
        <x:f>IF(AND(AND(647&lt;='Control Room'!$B$3,'Control Room'!$D$3="Ready"),7&lt;='Control Room'!$B$2),ROUND(MAX(0,'Process'!AI648*'Control Room'!$H$10*INDEX('Control Room'!$B$19:$H$19,1,WEEKDAY($A648,2))*(1+'Control Room'!$D$9)^646*'Process'!AJ648),2),"")</x:f>
      </x:c>
      <x:c r="J648" s="16" t="str">
        <x:f>IF(AND(AND(647&lt;='Control Room'!$B$3,'Control Room'!$D$3="Ready"),8&lt;='Control Room'!$B$2),ROUND(MAX(0,'Process'!AN648*'Control Room'!$H$11*INDEX('Control Room'!$B$19:$H$19,1,WEEKDAY($A648,2))*(1+'Control Room'!$D$9)^646*'Process'!AO648),2),"")</x:f>
      </x:c>
      <x:c r="K648" s="16" t="str">
        <x:f>IF(AND(AND(647&lt;='Control Room'!$B$3,'Control Room'!$D$3="Ready"),9&lt;='Control Room'!$B$2),ROUND(MAX(0,'Process'!AS648*'Control Room'!$H$12*INDEX('Control Room'!$B$19:$H$19,1,WEEKDAY($A648,2))*(1+'Control Room'!$D$9)^646*'Process'!AT648),2),"")</x:f>
      </x:c>
      <x:c r="L648" s="16" t="str">
        <x:f>IF(AND(AND(647&lt;='Control Room'!$B$3,'Control Room'!$D$3="Ready"),10&lt;='Control Room'!$B$2),ROUND(MAX(0,'Process'!AX648*'Control Room'!$H$13*INDEX('Control Room'!$B$19:$H$19,1,WEEKDAY($A648,2))*(1+'Control Room'!$D$9)^646*'Process'!AY648),2),"")</x:f>
      </x:c>
      <x:c r="M648" s="16" t="str">
        <x:f>IF(AND(AND(647&lt;='Control Room'!$B$3,'Control Room'!$D$3="Ready"),11&lt;='Control Room'!$B$2),ROUND(MAX(0,'Process'!BC648*'Control Room'!$H$14*INDEX('Control Room'!$B$19:$H$19,1,WEEKDAY($A648,2))*(1+'Control Room'!$D$9)^646*'Process'!BD648),2),"")</x:f>
      </x:c>
      <x:c r="N648" s="16" t="str">
        <x:f>IF(AND(AND(647&lt;='Control Room'!$B$3,'Control Room'!$D$3="Ready"),12&lt;='Control Room'!$B$2),ROUND(MAX(0,'Process'!BH648*'Control Room'!$H$15*INDEX('Control Room'!$B$19:$H$19,1,WEEKDAY($A648,2))*(1+'Control Room'!$D$9)^646*'Process'!BI648),2),"")</x:f>
      </x:c>
    </x:row>
    <x:row r="649" ht="21" customHeight="1">
      <x:c r="A649" s="15" t="str">
        <x:f>IF(AND(648&lt;='Control Room'!$B$3,'Control Room'!$D$3="Ready"),'Process'!A649,"")</x:f>
      </x:c>
      <x:c r="B649" s="16" t="str">
        <x:f>IF(A649="","",SUM(C649:N649))</x:f>
      </x:c>
      <x:c r="C649" s="16" t="str">
        <x:f>IF(AND(AND(648&lt;='Control Room'!$B$3,'Control Room'!$D$3="Ready"),1&lt;='Control Room'!$B$2),ROUND(MAX(0,'Process'!E649*'Control Room'!$H$4*INDEX('Control Room'!$B$19:$H$19,1,WEEKDAY($A649,2))*(1+'Control Room'!$D$9)^647*'Process'!F649),2),"")</x:f>
      </x:c>
      <x:c r="D649" s="16" t="str">
        <x:f>IF(AND(AND(648&lt;='Control Room'!$B$3,'Control Room'!$D$3="Ready"),2&lt;='Control Room'!$B$2),ROUND(MAX(0,'Process'!J649*'Control Room'!$H$5*INDEX('Control Room'!$B$19:$H$19,1,WEEKDAY($A649,2))*(1+'Control Room'!$D$9)^647*'Process'!K649),2),"")</x:f>
      </x:c>
      <x:c r="E649" s="16" t="str">
        <x:f>IF(AND(AND(648&lt;='Control Room'!$B$3,'Control Room'!$D$3="Ready"),3&lt;='Control Room'!$B$2),ROUND(MAX(0,'Process'!O649*'Control Room'!$H$6*INDEX('Control Room'!$B$19:$H$19,1,WEEKDAY($A649,2))*(1+'Control Room'!$D$9)^647*'Process'!P649),2),"")</x:f>
      </x:c>
      <x:c r="F649" s="16" t="str">
        <x:f>IF(AND(AND(648&lt;='Control Room'!$B$3,'Control Room'!$D$3="Ready"),4&lt;='Control Room'!$B$2),ROUND(MAX(0,'Process'!T649*'Control Room'!$H$7*INDEX('Control Room'!$B$19:$H$19,1,WEEKDAY($A649,2))*(1+'Control Room'!$D$9)^647*'Process'!U649),2),"")</x:f>
      </x:c>
      <x:c r="G649" s="16" t="str">
        <x:f>IF(AND(AND(648&lt;='Control Room'!$B$3,'Control Room'!$D$3="Ready"),5&lt;='Control Room'!$B$2),ROUND(MAX(0,'Process'!Y649*'Control Room'!$H$8*INDEX('Control Room'!$B$19:$H$19,1,WEEKDAY($A649,2))*(1+'Control Room'!$D$9)^647*'Process'!Z649),2),"")</x:f>
      </x:c>
      <x:c r="H649" s="16" t="str">
        <x:f>IF(AND(AND(648&lt;='Control Room'!$B$3,'Control Room'!$D$3="Ready"),6&lt;='Control Room'!$B$2),ROUND(MAX(0,'Process'!AD649*'Control Room'!$H$9*INDEX('Control Room'!$B$19:$H$19,1,WEEKDAY($A649,2))*(1+'Control Room'!$D$9)^647*'Process'!AE649),2),"")</x:f>
      </x:c>
      <x:c r="I649" s="16" t="str">
        <x:f>IF(AND(AND(648&lt;='Control Room'!$B$3,'Control Room'!$D$3="Ready"),7&lt;='Control Room'!$B$2),ROUND(MAX(0,'Process'!AI649*'Control Room'!$H$10*INDEX('Control Room'!$B$19:$H$19,1,WEEKDAY($A649,2))*(1+'Control Room'!$D$9)^647*'Process'!AJ649),2),"")</x:f>
      </x:c>
      <x:c r="J649" s="16" t="str">
        <x:f>IF(AND(AND(648&lt;='Control Room'!$B$3,'Control Room'!$D$3="Ready"),8&lt;='Control Room'!$B$2),ROUND(MAX(0,'Process'!AN649*'Control Room'!$H$11*INDEX('Control Room'!$B$19:$H$19,1,WEEKDAY($A649,2))*(1+'Control Room'!$D$9)^647*'Process'!AO649),2),"")</x:f>
      </x:c>
      <x:c r="K649" s="16" t="str">
        <x:f>IF(AND(AND(648&lt;='Control Room'!$B$3,'Control Room'!$D$3="Ready"),9&lt;='Control Room'!$B$2),ROUND(MAX(0,'Process'!AS649*'Control Room'!$H$12*INDEX('Control Room'!$B$19:$H$19,1,WEEKDAY($A649,2))*(1+'Control Room'!$D$9)^647*'Process'!AT649),2),"")</x:f>
      </x:c>
      <x:c r="L649" s="16" t="str">
        <x:f>IF(AND(AND(648&lt;='Control Room'!$B$3,'Control Room'!$D$3="Ready"),10&lt;='Control Room'!$B$2),ROUND(MAX(0,'Process'!AX649*'Control Room'!$H$13*INDEX('Control Room'!$B$19:$H$19,1,WEEKDAY($A649,2))*(1+'Control Room'!$D$9)^647*'Process'!AY649),2),"")</x:f>
      </x:c>
      <x:c r="M649" s="16" t="str">
        <x:f>IF(AND(AND(648&lt;='Control Room'!$B$3,'Control Room'!$D$3="Ready"),11&lt;='Control Room'!$B$2),ROUND(MAX(0,'Process'!BC649*'Control Room'!$H$14*INDEX('Control Room'!$B$19:$H$19,1,WEEKDAY($A649,2))*(1+'Control Room'!$D$9)^647*'Process'!BD649),2),"")</x:f>
      </x:c>
      <x:c r="N649" s="16" t="str">
        <x:f>IF(AND(AND(648&lt;='Control Room'!$B$3,'Control Room'!$D$3="Ready"),12&lt;='Control Room'!$B$2),ROUND(MAX(0,'Process'!BH649*'Control Room'!$H$15*INDEX('Control Room'!$B$19:$H$19,1,WEEKDAY($A649,2))*(1+'Control Room'!$D$9)^647*'Process'!BI649),2),"")</x:f>
      </x:c>
    </x:row>
    <x:row r="650" ht="21" customHeight="1">
      <x:c r="A650" s="15" t="str">
        <x:f>IF(AND(649&lt;='Control Room'!$B$3,'Control Room'!$D$3="Ready"),'Process'!A650,"")</x:f>
      </x:c>
      <x:c r="B650" s="16" t="str">
        <x:f>IF(A650="","",SUM(C650:N650))</x:f>
      </x:c>
      <x:c r="C650" s="16" t="str">
        <x:f>IF(AND(AND(649&lt;='Control Room'!$B$3,'Control Room'!$D$3="Ready"),1&lt;='Control Room'!$B$2),ROUND(MAX(0,'Process'!E650*'Control Room'!$H$4*INDEX('Control Room'!$B$19:$H$19,1,WEEKDAY($A650,2))*(1+'Control Room'!$D$9)^648*'Process'!F650),2),"")</x:f>
      </x:c>
      <x:c r="D650" s="16" t="str">
        <x:f>IF(AND(AND(649&lt;='Control Room'!$B$3,'Control Room'!$D$3="Ready"),2&lt;='Control Room'!$B$2),ROUND(MAX(0,'Process'!J650*'Control Room'!$H$5*INDEX('Control Room'!$B$19:$H$19,1,WEEKDAY($A650,2))*(1+'Control Room'!$D$9)^648*'Process'!K650),2),"")</x:f>
      </x:c>
      <x:c r="E650" s="16" t="str">
        <x:f>IF(AND(AND(649&lt;='Control Room'!$B$3,'Control Room'!$D$3="Ready"),3&lt;='Control Room'!$B$2),ROUND(MAX(0,'Process'!O650*'Control Room'!$H$6*INDEX('Control Room'!$B$19:$H$19,1,WEEKDAY($A650,2))*(1+'Control Room'!$D$9)^648*'Process'!P650),2),"")</x:f>
      </x:c>
      <x:c r="F650" s="16" t="str">
        <x:f>IF(AND(AND(649&lt;='Control Room'!$B$3,'Control Room'!$D$3="Ready"),4&lt;='Control Room'!$B$2),ROUND(MAX(0,'Process'!T650*'Control Room'!$H$7*INDEX('Control Room'!$B$19:$H$19,1,WEEKDAY($A650,2))*(1+'Control Room'!$D$9)^648*'Process'!U650),2),"")</x:f>
      </x:c>
      <x:c r="G650" s="16" t="str">
        <x:f>IF(AND(AND(649&lt;='Control Room'!$B$3,'Control Room'!$D$3="Ready"),5&lt;='Control Room'!$B$2),ROUND(MAX(0,'Process'!Y650*'Control Room'!$H$8*INDEX('Control Room'!$B$19:$H$19,1,WEEKDAY($A650,2))*(1+'Control Room'!$D$9)^648*'Process'!Z650),2),"")</x:f>
      </x:c>
      <x:c r="H650" s="16" t="str">
        <x:f>IF(AND(AND(649&lt;='Control Room'!$B$3,'Control Room'!$D$3="Ready"),6&lt;='Control Room'!$B$2),ROUND(MAX(0,'Process'!AD650*'Control Room'!$H$9*INDEX('Control Room'!$B$19:$H$19,1,WEEKDAY($A650,2))*(1+'Control Room'!$D$9)^648*'Process'!AE650),2),"")</x:f>
      </x:c>
      <x:c r="I650" s="16" t="str">
        <x:f>IF(AND(AND(649&lt;='Control Room'!$B$3,'Control Room'!$D$3="Ready"),7&lt;='Control Room'!$B$2),ROUND(MAX(0,'Process'!AI650*'Control Room'!$H$10*INDEX('Control Room'!$B$19:$H$19,1,WEEKDAY($A650,2))*(1+'Control Room'!$D$9)^648*'Process'!AJ650),2),"")</x:f>
      </x:c>
      <x:c r="J650" s="16" t="str">
        <x:f>IF(AND(AND(649&lt;='Control Room'!$B$3,'Control Room'!$D$3="Ready"),8&lt;='Control Room'!$B$2),ROUND(MAX(0,'Process'!AN650*'Control Room'!$H$11*INDEX('Control Room'!$B$19:$H$19,1,WEEKDAY($A650,2))*(1+'Control Room'!$D$9)^648*'Process'!AO650),2),"")</x:f>
      </x:c>
      <x:c r="K650" s="16" t="str">
        <x:f>IF(AND(AND(649&lt;='Control Room'!$B$3,'Control Room'!$D$3="Ready"),9&lt;='Control Room'!$B$2),ROUND(MAX(0,'Process'!AS650*'Control Room'!$H$12*INDEX('Control Room'!$B$19:$H$19,1,WEEKDAY($A650,2))*(1+'Control Room'!$D$9)^648*'Process'!AT650),2),"")</x:f>
      </x:c>
      <x:c r="L650" s="16" t="str">
        <x:f>IF(AND(AND(649&lt;='Control Room'!$B$3,'Control Room'!$D$3="Ready"),10&lt;='Control Room'!$B$2),ROUND(MAX(0,'Process'!AX650*'Control Room'!$H$13*INDEX('Control Room'!$B$19:$H$19,1,WEEKDAY($A650,2))*(1+'Control Room'!$D$9)^648*'Process'!AY650),2),"")</x:f>
      </x:c>
      <x:c r="M650" s="16" t="str">
        <x:f>IF(AND(AND(649&lt;='Control Room'!$B$3,'Control Room'!$D$3="Ready"),11&lt;='Control Room'!$B$2),ROUND(MAX(0,'Process'!BC650*'Control Room'!$H$14*INDEX('Control Room'!$B$19:$H$19,1,WEEKDAY($A650,2))*(1+'Control Room'!$D$9)^648*'Process'!BD650),2),"")</x:f>
      </x:c>
      <x:c r="N650" s="16" t="str">
        <x:f>IF(AND(AND(649&lt;='Control Room'!$B$3,'Control Room'!$D$3="Ready"),12&lt;='Control Room'!$B$2),ROUND(MAX(0,'Process'!BH650*'Control Room'!$H$15*INDEX('Control Room'!$B$19:$H$19,1,WEEKDAY($A650,2))*(1+'Control Room'!$D$9)^648*'Process'!BI650),2),"")</x:f>
      </x:c>
    </x:row>
    <x:row r="651" ht="21" customHeight="1">
      <x:c r="A651" s="15" t="str">
        <x:f>IF(AND(650&lt;='Control Room'!$B$3,'Control Room'!$D$3="Ready"),'Process'!A651,"")</x:f>
      </x:c>
      <x:c r="B651" s="16" t="str">
        <x:f>IF(A651="","",SUM(C651:N651))</x:f>
      </x:c>
      <x:c r="C651" s="16" t="str">
        <x:f>IF(AND(AND(650&lt;='Control Room'!$B$3,'Control Room'!$D$3="Ready"),1&lt;='Control Room'!$B$2),ROUND(MAX(0,'Process'!E651*'Control Room'!$H$4*INDEX('Control Room'!$B$19:$H$19,1,WEEKDAY($A651,2))*(1+'Control Room'!$D$9)^649*'Process'!F651),2),"")</x:f>
      </x:c>
      <x:c r="D651" s="16" t="str">
        <x:f>IF(AND(AND(650&lt;='Control Room'!$B$3,'Control Room'!$D$3="Ready"),2&lt;='Control Room'!$B$2),ROUND(MAX(0,'Process'!J651*'Control Room'!$H$5*INDEX('Control Room'!$B$19:$H$19,1,WEEKDAY($A651,2))*(1+'Control Room'!$D$9)^649*'Process'!K651),2),"")</x:f>
      </x:c>
      <x:c r="E651" s="16" t="str">
        <x:f>IF(AND(AND(650&lt;='Control Room'!$B$3,'Control Room'!$D$3="Ready"),3&lt;='Control Room'!$B$2),ROUND(MAX(0,'Process'!O651*'Control Room'!$H$6*INDEX('Control Room'!$B$19:$H$19,1,WEEKDAY($A651,2))*(1+'Control Room'!$D$9)^649*'Process'!P651),2),"")</x:f>
      </x:c>
      <x:c r="F651" s="16" t="str">
        <x:f>IF(AND(AND(650&lt;='Control Room'!$B$3,'Control Room'!$D$3="Ready"),4&lt;='Control Room'!$B$2),ROUND(MAX(0,'Process'!T651*'Control Room'!$H$7*INDEX('Control Room'!$B$19:$H$19,1,WEEKDAY($A651,2))*(1+'Control Room'!$D$9)^649*'Process'!U651),2),"")</x:f>
      </x:c>
      <x:c r="G651" s="16" t="str">
        <x:f>IF(AND(AND(650&lt;='Control Room'!$B$3,'Control Room'!$D$3="Ready"),5&lt;='Control Room'!$B$2),ROUND(MAX(0,'Process'!Y651*'Control Room'!$H$8*INDEX('Control Room'!$B$19:$H$19,1,WEEKDAY($A651,2))*(1+'Control Room'!$D$9)^649*'Process'!Z651),2),"")</x:f>
      </x:c>
      <x:c r="H651" s="16" t="str">
        <x:f>IF(AND(AND(650&lt;='Control Room'!$B$3,'Control Room'!$D$3="Ready"),6&lt;='Control Room'!$B$2),ROUND(MAX(0,'Process'!AD651*'Control Room'!$H$9*INDEX('Control Room'!$B$19:$H$19,1,WEEKDAY($A651,2))*(1+'Control Room'!$D$9)^649*'Process'!AE651),2),"")</x:f>
      </x:c>
      <x:c r="I651" s="16" t="str">
        <x:f>IF(AND(AND(650&lt;='Control Room'!$B$3,'Control Room'!$D$3="Ready"),7&lt;='Control Room'!$B$2),ROUND(MAX(0,'Process'!AI651*'Control Room'!$H$10*INDEX('Control Room'!$B$19:$H$19,1,WEEKDAY($A651,2))*(1+'Control Room'!$D$9)^649*'Process'!AJ651),2),"")</x:f>
      </x:c>
      <x:c r="J651" s="16" t="str">
        <x:f>IF(AND(AND(650&lt;='Control Room'!$B$3,'Control Room'!$D$3="Ready"),8&lt;='Control Room'!$B$2),ROUND(MAX(0,'Process'!AN651*'Control Room'!$H$11*INDEX('Control Room'!$B$19:$H$19,1,WEEKDAY($A651,2))*(1+'Control Room'!$D$9)^649*'Process'!AO651),2),"")</x:f>
      </x:c>
      <x:c r="K651" s="16" t="str">
        <x:f>IF(AND(AND(650&lt;='Control Room'!$B$3,'Control Room'!$D$3="Ready"),9&lt;='Control Room'!$B$2),ROUND(MAX(0,'Process'!AS651*'Control Room'!$H$12*INDEX('Control Room'!$B$19:$H$19,1,WEEKDAY($A651,2))*(1+'Control Room'!$D$9)^649*'Process'!AT651),2),"")</x:f>
      </x:c>
      <x:c r="L651" s="16" t="str">
        <x:f>IF(AND(AND(650&lt;='Control Room'!$B$3,'Control Room'!$D$3="Ready"),10&lt;='Control Room'!$B$2),ROUND(MAX(0,'Process'!AX651*'Control Room'!$H$13*INDEX('Control Room'!$B$19:$H$19,1,WEEKDAY($A651,2))*(1+'Control Room'!$D$9)^649*'Process'!AY651),2),"")</x:f>
      </x:c>
      <x:c r="M651" s="16" t="str">
        <x:f>IF(AND(AND(650&lt;='Control Room'!$B$3,'Control Room'!$D$3="Ready"),11&lt;='Control Room'!$B$2),ROUND(MAX(0,'Process'!BC651*'Control Room'!$H$14*INDEX('Control Room'!$B$19:$H$19,1,WEEKDAY($A651,2))*(1+'Control Room'!$D$9)^649*'Process'!BD651),2),"")</x:f>
      </x:c>
      <x:c r="N651" s="16" t="str">
        <x:f>IF(AND(AND(650&lt;='Control Room'!$B$3,'Control Room'!$D$3="Ready"),12&lt;='Control Room'!$B$2),ROUND(MAX(0,'Process'!BH651*'Control Room'!$H$15*INDEX('Control Room'!$B$19:$H$19,1,WEEKDAY($A651,2))*(1+'Control Room'!$D$9)^649*'Process'!BI651),2),"")</x:f>
      </x:c>
    </x:row>
    <x:row r="652" ht="21" customHeight="1">
      <x:c r="A652" s="15" t="str">
        <x:f>IF(AND(651&lt;='Control Room'!$B$3,'Control Room'!$D$3="Ready"),'Process'!A652,"")</x:f>
      </x:c>
      <x:c r="B652" s="16" t="str">
        <x:f>IF(A652="","",SUM(C652:N652))</x:f>
      </x:c>
      <x:c r="C652" s="16" t="str">
        <x:f>IF(AND(AND(651&lt;='Control Room'!$B$3,'Control Room'!$D$3="Ready"),1&lt;='Control Room'!$B$2),ROUND(MAX(0,'Process'!E652*'Control Room'!$H$4*INDEX('Control Room'!$B$19:$H$19,1,WEEKDAY($A652,2))*(1+'Control Room'!$D$9)^650*'Process'!F652),2),"")</x:f>
      </x:c>
      <x:c r="D652" s="16" t="str">
        <x:f>IF(AND(AND(651&lt;='Control Room'!$B$3,'Control Room'!$D$3="Ready"),2&lt;='Control Room'!$B$2),ROUND(MAX(0,'Process'!J652*'Control Room'!$H$5*INDEX('Control Room'!$B$19:$H$19,1,WEEKDAY($A652,2))*(1+'Control Room'!$D$9)^650*'Process'!K652),2),"")</x:f>
      </x:c>
      <x:c r="E652" s="16" t="str">
        <x:f>IF(AND(AND(651&lt;='Control Room'!$B$3,'Control Room'!$D$3="Ready"),3&lt;='Control Room'!$B$2),ROUND(MAX(0,'Process'!O652*'Control Room'!$H$6*INDEX('Control Room'!$B$19:$H$19,1,WEEKDAY($A652,2))*(1+'Control Room'!$D$9)^650*'Process'!P652),2),"")</x:f>
      </x:c>
      <x:c r="F652" s="16" t="str">
        <x:f>IF(AND(AND(651&lt;='Control Room'!$B$3,'Control Room'!$D$3="Ready"),4&lt;='Control Room'!$B$2),ROUND(MAX(0,'Process'!T652*'Control Room'!$H$7*INDEX('Control Room'!$B$19:$H$19,1,WEEKDAY($A652,2))*(1+'Control Room'!$D$9)^650*'Process'!U652),2),"")</x:f>
      </x:c>
      <x:c r="G652" s="16" t="str">
        <x:f>IF(AND(AND(651&lt;='Control Room'!$B$3,'Control Room'!$D$3="Ready"),5&lt;='Control Room'!$B$2),ROUND(MAX(0,'Process'!Y652*'Control Room'!$H$8*INDEX('Control Room'!$B$19:$H$19,1,WEEKDAY($A652,2))*(1+'Control Room'!$D$9)^650*'Process'!Z652),2),"")</x:f>
      </x:c>
      <x:c r="H652" s="16" t="str">
        <x:f>IF(AND(AND(651&lt;='Control Room'!$B$3,'Control Room'!$D$3="Ready"),6&lt;='Control Room'!$B$2),ROUND(MAX(0,'Process'!AD652*'Control Room'!$H$9*INDEX('Control Room'!$B$19:$H$19,1,WEEKDAY($A652,2))*(1+'Control Room'!$D$9)^650*'Process'!AE652),2),"")</x:f>
      </x:c>
      <x:c r="I652" s="16" t="str">
        <x:f>IF(AND(AND(651&lt;='Control Room'!$B$3,'Control Room'!$D$3="Ready"),7&lt;='Control Room'!$B$2),ROUND(MAX(0,'Process'!AI652*'Control Room'!$H$10*INDEX('Control Room'!$B$19:$H$19,1,WEEKDAY($A652,2))*(1+'Control Room'!$D$9)^650*'Process'!AJ652),2),"")</x:f>
      </x:c>
      <x:c r="J652" s="16" t="str">
        <x:f>IF(AND(AND(651&lt;='Control Room'!$B$3,'Control Room'!$D$3="Ready"),8&lt;='Control Room'!$B$2),ROUND(MAX(0,'Process'!AN652*'Control Room'!$H$11*INDEX('Control Room'!$B$19:$H$19,1,WEEKDAY($A652,2))*(1+'Control Room'!$D$9)^650*'Process'!AO652),2),"")</x:f>
      </x:c>
      <x:c r="K652" s="16" t="str">
        <x:f>IF(AND(AND(651&lt;='Control Room'!$B$3,'Control Room'!$D$3="Ready"),9&lt;='Control Room'!$B$2),ROUND(MAX(0,'Process'!AS652*'Control Room'!$H$12*INDEX('Control Room'!$B$19:$H$19,1,WEEKDAY($A652,2))*(1+'Control Room'!$D$9)^650*'Process'!AT652),2),"")</x:f>
      </x:c>
      <x:c r="L652" s="16" t="str">
        <x:f>IF(AND(AND(651&lt;='Control Room'!$B$3,'Control Room'!$D$3="Ready"),10&lt;='Control Room'!$B$2),ROUND(MAX(0,'Process'!AX652*'Control Room'!$H$13*INDEX('Control Room'!$B$19:$H$19,1,WEEKDAY($A652,2))*(1+'Control Room'!$D$9)^650*'Process'!AY652),2),"")</x:f>
      </x:c>
      <x:c r="M652" s="16" t="str">
        <x:f>IF(AND(AND(651&lt;='Control Room'!$B$3,'Control Room'!$D$3="Ready"),11&lt;='Control Room'!$B$2),ROUND(MAX(0,'Process'!BC652*'Control Room'!$H$14*INDEX('Control Room'!$B$19:$H$19,1,WEEKDAY($A652,2))*(1+'Control Room'!$D$9)^650*'Process'!BD652),2),"")</x:f>
      </x:c>
      <x:c r="N652" s="16" t="str">
        <x:f>IF(AND(AND(651&lt;='Control Room'!$B$3,'Control Room'!$D$3="Ready"),12&lt;='Control Room'!$B$2),ROUND(MAX(0,'Process'!BH652*'Control Room'!$H$15*INDEX('Control Room'!$B$19:$H$19,1,WEEKDAY($A652,2))*(1+'Control Room'!$D$9)^650*'Process'!BI652),2),"")</x:f>
      </x:c>
    </x:row>
    <x:row r="653" ht="21" customHeight="1">
      <x:c r="A653" s="15" t="str">
        <x:f>IF(AND(652&lt;='Control Room'!$B$3,'Control Room'!$D$3="Ready"),'Process'!A653,"")</x:f>
      </x:c>
      <x:c r="B653" s="16" t="str">
        <x:f>IF(A653="","",SUM(C653:N653))</x:f>
      </x:c>
      <x:c r="C653" s="16" t="str">
        <x:f>IF(AND(AND(652&lt;='Control Room'!$B$3,'Control Room'!$D$3="Ready"),1&lt;='Control Room'!$B$2),ROUND(MAX(0,'Process'!E653*'Control Room'!$H$4*INDEX('Control Room'!$B$19:$H$19,1,WEEKDAY($A653,2))*(1+'Control Room'!$D$9)^651*'Process'!F653),2),"")</x:f>
      </x:c>
      <x:c r="D653" s="16" t="str">
        <x:f>IF(AND(AND(652&lt;='Control Room'!$B$3,'Control Room'!$D$3="Ready"),2&lt;='Control Room'!$B$2),ROUND(MAX(0,'Process'!J653*'Control Room'!$H$5*INDEX('Control Room'!$B$19:$H$19,1,WEEKDAY($A653,2))*(1+'Control Room'!$D$9)^651*'Process'!K653),2),"")</x:f>
      </x:c>
      <x:c r="E653" s="16" t="str">
        <x:f>IF(AND(AND(652&lt;='Control Room'!$B$3,'Control Room'!$D$3="Ready"),3&lt;='Control Room'!$B$2),ROUND(MAX(0,'Process'!O653*'Control Room'!$H$6*INDEX('Control Room'!$B$19:$H$19,1,WEEKDAY($A653,2))*(1+'Control Room'!$D$9)^651*'Process'!P653),2),"")</x:f>
      </x:c>
      <x:c r="F653" s="16" t="str">
        <x:f>IF(AND(AND(652&lt;='Control Room'!$B$3,'Control Room'!$D$3="Ready"),4&lt;='Control Room'!$B$2),ROUND(MAX(0,'Process'!T653*'Control Room'!$H$7*INDEX('Control Room'!$B$19:$H$19,1,WEEKDAY($A653,2))*(1+'Control Room'!$D$9)^651*'Process'!U653),2),"")</x:f>
      </x:c>
      <x:c r="G653" s="16" t="str">
        <x:f>IF(AND(AND(652&lt;='Control Room'!$B$3,'Control Room'!$D$3="Ready"),5&lt;='Control Room'!$B$2),ROUND(MAX(0,'Process'!Y653*'Control Room'!$H$8*INDEX('Control Room'!$B$19:$H$19,1,WEEKDAY($A653,2))*(1+'Control Room'!$D$9)^651*'Process'!Z653),2),"")</x:f>
      </x:c>
      <x:c r="H653" s="16" t="str">
        <x:f>IF(AND(AND(652&lt;='Control Room'!$B$3,'Control Room'!$D$3="Ready"),6&lt;='Control Room'!$B$2),ROUND(MAX(0,'Process'!AD653*'Control Room'!$H$9*INDEX('Control Room'!$B$19:$H$19,1,WEEKDAY($A653,2))*(1+'Control Room'!$D$9)^651*'Process'!AE653),2),"")</x:f>
      </x:c>
      <x:c r="I653" s="16" t="str">
        <x:f>IF(AND(AND(652&lt;='Control Room'!$B$3,'Control Room'!$D$3="Ready"),7&lt;='Control Room'!$B$2),ROUND(MAX(0,'Process'!AI653*'Control Room'!$H$10*INDEX('Control Room'!$B$19:$H$19,1,WEEKDAY($A653,2))*(1+'Control Room'!$D$9)^651*'Process'!AJ653),2),"")</x:f>
      </x:c>
      <x:c r="J653" s="16" t="str">
        <x:f>IF(AND(AND(652&lt;='Control Room'!$B$3,'Control Room'!$D$3="Ready"),8&lt;='Control Room'!$B$2),ROUND(MAX(0,'Process'!AN653*'Control Room'!$H$11*INDEX('Control Room'!$B$19:$H$19,1,WEEKDAY($A653,2))*(1+'Control Room'!$D$9)^651*'Process'!AO653),2),"")</x:f>
      </x:c>
      <x:c r="K653" s="16" t="str">
        <x:f>IF(AND(AND(652&lt;='Control Room'!$B$3,'Control Room'!$D$3="Ready"),9&lt;='Control Room'!$B$2),ROUND(MAX(0,'Process'!AS653*'Control Room'!$H$12*INDEX('Control Room'!$B$19:$H$19,1,WEEKDAY($A653,2))*(1+'Control Room'!$D$9)^651*'Process'!AT653),2),"")</x:f>
      </x:c>
      <x:c r="L653" s="16" t="str">
        <x:f>IF(AND(AND(652&lt;='Control Room'!$B$3,'Control Room'!$D$3="Ready"),10&lt;='Control Room'!$B$2),ROUND(MAX(0,'Process'!AX653*'Control Room'!$H$13*INDEX('Control Room'!$B$19:$H$19,1,WEEKDAY($A653,2))*(1+'Control Room'!$D$9)^651*'Process'!AY653),2),"")</x:f>
      </x:c>
      <x:c r="M653" s="16" t="str">
        <x:f>IF(AND(AND(652&lt;='Control Room'!$B$3,'Control Room'!$D$3="Ready"),11&lt;='Control Room'!$B$2),ROUND(MAX(0,'Process'!BC653*'Control Room'!$H$14*INDEX('Control Room'!$B$19:$H$19,1,WEEKDAY($A653,2))*(1+'Control Room'!$D$9)^651*'Process'!BD653),2),"")</x:f>
      </x:c>
      <x:c r="N653" s="16" t="str">
        <x:f>IF(AND(AND(652&lt;='Control Room'!$B$3,'Control Room'!$D$3="Ready"),12&lt;='Control Room'!$B$2),ROUND(MAX(0,'Process'!BH653*'Control Room'!$H$15*INDEX('Control Room'!$B$19:$H$19,1,WEEKDAY($A653,2))*(1+'Control Room'!$D$9)^651*'Process'!BI653),2),"")</x:f>
      </x:c>
    </x:row>
    <x:row r="654" ht="21" customHeight="1">
      <x:c r="A654" s="15" t="str">
        <x:f>IF(AND(653&lt;='Control Room'!$B$3,'Control Room'!$D$3="Ready"),'Process'!A654,"")</x:f>
      </x:c>
      <x:c r="B654" s="16" t="str">
        <x:f>IF(A654="","",SUM(C654:N654))</x:f>
      </x:c>
      <x:c r="C654" s="16" t="str">
        <x:f>IF(AND(AND(653&lt;='Control Room'!$B$3,'Control Room'!$D$3="Ready"),1&lt;='Control Room'!$B$2),ROUND(MAX(0,'Process'!E654*'Control Room'!$H$4*INDEX('Control Room'!$B$19:$H$19,1,WEEKDAY($A654,2))*(1+'Control Room'!$D$9)^652*'Process'!F654),2),"")</x:f>
      </x:c>
      <x:c r="D654" s="16" t="str">
        <x:f>IF(AND(AND(653&lt;='Control Room'!$B$3,'Control Room'!$D$3="Ready"),2&lt;='Control Room'!$B$2),ROUND(MAX(0,'Process'!J654*'Control Room'!$H$5*INDEX('Control Room'!$B$19:$H$19,1,WEEKDAY($A654,2))*(1+'Control Room'!$D$9)^652*'Process'!K654),2),"")</x:f>
      </x:c>
      <x:c r="E654" s="16" t="str">
        <x:f>IF(AND(AND(653&lt;='Control Room'!$B$3,'Control Room'!$D$3="Ready"),3&lt;='Control Room'!$B$2),ROUND(MAX(0,'Process'!O654*'Control Room'!$H$6*INDEX('Control Room'!$B$19:$H$19,1,WEEKDAY($A654,2))*(1+'Control Room'!$D$9)^652*'Process'!P654),2),"")</x:f>
      </x:c>
      <x:c r="F654" s="16" t="str">
        <x:f>IF(AND(AND(653&lt;='Control Room'!$B$3,'Control Room'!$D$3="Ready"),4&lt;='Control Room'!$B$2),ROUND(MAX(0,'Process'!T654*'Control Room'!$H$7*INDEX('Control Room'!$B$19:$H$19,1,WEEKDAY($A654,2))*(1+'Control Room'!$D$9)^652*'Process'!U654),2),"")</x:f>
      </x:c>
      <x:c r="G654" s="16" t="str">
        <x:f>IF(AND(AND(653&lt;='Control Room'!$B$3,'Control Room'!$D$3="Ready"),5&lt;='Control Room'!$B$2),ROUND(MAX(0,'Process'!Y654*'Control Room'!$H$8*INDEX('Control Room'!$B$19:$H$19,1,WEEKDAY($A654,2))*(1+'Control Room'!$D$9)^652*'Process'!Z654),2),"")</x:f>
      </x:c>
      <x:c r="H654" s="16" t="str">
        <x:f>IF(AND(AND(653&lt;='Control Room'!$B$3,'Control Room'!$D$3="Ready"),6&lt;='Control Room'!$B$2),ROUND(MAX(0,'Process'!AD654*'Control Room'!$H$9*INDEX('Control Room'!$B$19:$H$19,1,WEEKDAY($A654,2))*(1+'Control Room'!$D$9)^652*'Process'!AE654),2),"")</x:f>
      </x:c>
      <x:c r="I654" s="16" t="str">
        <x:f>IF(AND(AND(653&lt;='Control Room'!$B$3,'Control Room'!$D$3="Ready"),7&lt;='Control Room'!$B$2),ROUND(MAX(0,'Process'!AI654*'Control Room'!$H$10*INDEX('Control Room'!$B$19:$H$19,1,WEEKDAY($A654,2))*(1+'Control Room'!$D$9)^652*'Process'!AJ654),2),"")</x:f>
      </x:c>
      <x:c r="J654" s="16" t="str">
        <x:f>IF(AND(AND(653&lt;='Control Room'!$B$3,'Control Room'!$D$3="Ready"),8&lt;='Control Room'!$B$2),ROUND(MAX(0,'Process'!AN654*'Control Room'!$H$11*INDEX('Control Room'!$B$19:$H$19,1,WEEKDAY($A654,2))*(1+'Control Room'!$D$9)^652*'Process'!AO654),2),"")</x:f>
      </x:c>
      <x:c r="K654" s="16" t="str">
        <x:f>IF(AND(AND(653&lt;='Control Room'!$B$3,'Control Room'!$D$3="Ready"),9&lt;='Control Room'!$B$2),ROUND(MAX(0,'Process'!AS654*'Control Room'!$H$12*INDEX('Control Room'!$B$19:$H$19,1,WEEKDAY($A654,2))*(1+'Control Room'!$D$9)^652*'Process'!AT654),2),"")</x:f>
      </x:c>
      <x:c r="L654" s="16" t="str">
        <x:f>IF(AND(AND(653&lt;='Control Room'!$B$3,'Control Room'!$D$3="Ready"),10&lt;='Control Room'!$B$2),ROUND(MAX(0,'Process'!AX654*'Control Room'!$H$13*INDEX('Control Room'!$B$19:$H$19,1,WEEKDAY($A654,2))*(1+'Control Room'!$D$9)^652*'Process'!AY654),2),"")</x:f>
      </x:c>
      <x:c r="M654" s="16" t="str">
        <x:f>IF(AND(AND(653&lt;='Control Room'!$B$3,'Control Room'!$D$3="Ready"),11&lt;='Control Room'!$B$2),ROUND(MAX(0,'Process'!BC654*'Control Room'!$H$14*INDEX('Control Room'!$B$19:$H$19,1,WEEKDAY($A654,2))*(1+'Control Room'!$D$9)^652*'Process'!BD654),2),"")</x:f>
      </x:c>
      <x:c r="N654" s="16" t="str">
        <x:f>IF(AND(AND(653&lt;='Control Room'!$B$3,'Control Room'!$D$3="Ready"),12&lt;='Control Room'!$B$2),ROUND(MAX(0,'Process'!BH654*'Control Room'!$H$15*INDEX('Control Room'!$B$19:$H$19,1,WEEKDAY($A654,2))*(1+'Control Room'!$D$9)^652*'Process'!BI654),2),"")</x:f>
      </x:c>
    </x:row>
    <x:row r="655" ht="21" customHeight="1">
      <x:c r="A655" s="15" t="str">
        <x:f>IF(AND(654&lt;='Control Room'!$B$3,'Control Room'!$D$3="Ready"),'Process'!A655,"")</x:f>
      </x:c>
      <x:c r="B655" s="16" t="str">
        <x:f>IF(A655="","",SUM(C655:N655))</x:f>
      </x:c>
      <x:c r="C655" s="16" t="str">
        <x:f>IF(AND(AND(654&lt;='Control Room'!$B$3,'Control Room'!$D$3="Ready"),1&lt;='Control Room'!$B$2),ROUND(MAX(0,'Process'!E655*'Control Room'!$H$4*INDEX('Control Room'!$B$19:$H$19,1,WEEKDAY($A655,2))*(1+'Control Room'!$D$9)^653*'Process'!F655),2),"")</x:f>
      </x:c>
      <x:c r="D655" s="16" t="str">
        <x:f>IF(AND(AND(654&lt;='Control Room'!$B$3,'Control Room'!$D$3="Ready"),2&lt;='Control Room'!$B$2),ROUND(MAX(0,'Process'!J655*'Control Room'!$H$5*INDEX('Control Room'!$B$19:$H$19,1,WEEKDAY($A655,2))*(1+'Control Room'!$D$9)^653*'Process'!K655),2),"")</x:f>
      </x:c>
      <x:c r="E655" s="16" t="str">
        <x:f>IF(AND(AND(654&lt;='Control Room'!$B$3,'Control Room'!$D$3="Ready"),3&lt;='Control Room'!$B$2),ROUND(MAX(0,'Process'!O655*'Control Room'!$H$6*INDEX('Control Room'!$B$19:$H$19,1,WEEKDAY($A655,2))*(1+'Control Room'!$D$9)^653*'Process'!P655),2),"")</x:f>
      </x:c>
      <x:c r="F655" s="16" t="str">
        <x:f>IF(AND(AND(654&lt;='Control Room'!$B$3,'Control Room'!$D$3="Ready"),4&lt;='Control Room'!$B$2),ROUND(MAX(0,'Process'!T655*'Control Room'!$H$7*INDEX('Control Room'!$B$19:$H$19,1,WEEKDAY($A655,2))*(1+'Control Room'!$D$9)^653*'Process'!U655),2),"")</x:f>
      </x:c>
      <x:c r="G655" s="16" t="str">
        <x:f>IF(AND(AND(654&lt;='Control Room'!$B$3,'Control Room'!$D$3="Ready"),5&lt;='Control Room'!$B$2),ROUND(MAX(0,'Process'!Y655*'Control Room'!$H$8*INDEX('Control Room'!$B$19:$H$19,1,WEEKDAY($A655,2))*(1+'Control Room'!$D$9)^653*'Process'!Z655),2),"")</x:f>
      </x:c>
      <x:c r="H655" s="16" t="str">
        <x:f>IF(AND(AND(654&lt;='Control Room'!$B$3,'Control Room'!$D$3="Ready"),6&lt;='Control Room'!$B$2),ROUND(MAX(0,'Process'!AD655*'Control Room'!$H$9*INDEX('Control Room'!$B$19:$H$19,1,WEEKDAY($A655,2))*(1+'Control Room'!$D$9)^653*'Process'!AE655),2),"")</x:f>
      </x:c>
      <x:c r="I655" s="16" t="str">
        <x:f>IF(AND(AND(654&lt;='Control Room'!$B$3,'Control Room'!$D$3="Ready"),7&lt;='Control Room'!$B$2),ROUND(MAX(0,'Process'!AI655*'Control Room'!$H$10*INDEX('Control Room'!$B$19:$H$19,1,WEEKDAY($A655,2))*(1+'Control Room'!$D$9)^653*'Process'!AJ655),2),"")</x:f>
      </x:c>
      <x:c r="J655" s="16" t="str">
        <x:f>IF(AND(AND(654&lt;='Control Room'!$B$3,'Control Room'!$D$3="Ready"),8&lt;='Control Room'!$B$2),ROUND(MAX(0,'Process'!AN655*'Control Room'!$H$11*INDEX('Control Room'!$B$19:$H$19,1,WEEKDAY($A655,2))*(1+'Control Room'!$D$9)^653*'Process'!AO655),2),"")</x:f>
      </x:c>
      <x:c r="K655" s="16" t="str">
        <x:f>IF(AND(AND(654&lt;='Control Room'!$B$3,'Control Room'!$D$3="Ready"),9&lt;='Control Room'!$B$2),ROUND(MAX(0,'Process'!AS655*'Control Room'!$H$12*INDEX('Control Room'!$B$19:$H$19,1,WEEKDAY($A655,2))*(1+'Control Room'!$D$9)^653*'Process'!AT655),2),"")</x:f>
      </x:c>
      <x:c r="L655" s="16" t="str">
        <x:f>IF(AND(AND(654&lt;='Control Room'!$B$3,'Control Room'!$D$3="Ready"),10&lt;='Control Room'!$B$2),ROUND(MAX(0,'Process'!AX655*'Control Room'!$H$13*INDEX('Control Room'!$B$19:$H$19,1,WEEKDAY($A655,2))*(1+'Control Room'!$D$9)^653*'Process'!AY655),2),"")</x:f>
      </x:c>
      <x:c r="M655" s="16" t="str">
        <x:f>IF(AND(AND(654&lt;='Control Room'!$B$3,'Control Room'!$D$3="Ready"),11&lt;='Control Room'!$B$2),ROUND(MAX(0,'Process'!BC655*'Control Room'!$H$14*INDEX('Control Room'!$B$19:$H$19,1,WEEKDAY($A655,2))*(1+'Control Room'!$D$9)^653*'Process'!BD655),2),"")</x:f>
      </x:c>
      <x:c r="N655" s="16" t="str">
        <x:f>IF(AND(AND(654&lt;='Control Room'!$B$3,'Control Room'!$D$3="Ready"),12&lt;='Control Room'!$B$2),ROUND(MAX(0,'Process'!BH655*'Control Room'!$H$15*INDEX('Control Room'!$B$19:$H$19,1,WEEKDAY($A655,2))*(1+'Control Room'!$D$9)^653*'Process'!BI655),2),"")</x:f>
      </x:c>
    </x:row>
    <x:row r="656" ht="21" customHeight="1">
      <x:c r="A656" s="15" t="str">
        <x:f>IF(AND(655&lt;='Control Room'!$B$3,'Control Room'!$D$3="Ready"),'Process'!A656,"")</x:f>
      </x:c>
      <x:c r="B656" s="16" t="str">
        <x:f>IF(A656="","",SUM(C656:N656))</x:f>
      </x:c>
      <x:c r="C656" s="16" t="str">
        <x:f>IF(AND(AND(655&lt;='Control Room'!$B$3,'Control Room'!$D$3="Ready"),1&lt;='Control Room'!$B$2),ROUND(MAX(0,'Process'!E656*'Control Room'!$H$4*INDEX('Control Room'!$B$19:$H$19,1,WEEKDAY($A656,2))*(1+'Control Room'!$D$9)^654*'Process'!F656),2),"")</x:f>
      </x:c>
      <x:c r="D656" s="16" t="str">
        <x:f>IF(AND(AND(655&lt;='Control Room'!$B$3,'Control Room'!$D$3="Ready"),2&lt;='Control Room'!$B$2),ROUND(MAX(0,'Process'!J656*'Control Room'!$H$5*INDEX('Control Room'!$B$19:$H$19,1,WEEKDAY($A656,2))*(1+'Control Room'!$D$9)^654*'Process'!K656),2),"")</x:f>
      </x:c>
      <x:c r="E656" s="16" t="str">
        <x:f>IF(AND(AND(655&lt;='Control Room'!$B$3,'Control Room'!$D$3="Ready"),3&lt;='Control Room'!$B$2),ROUND(MAX(0,'Process'!O656*'Control Room'!$H$6*INDEX('Control Room'!$B$19:$H$19,1,WEEKDAY($A656,2))*(1+'Control Room'!$D$9)^654*'Process'!P656),2),"")</x:f>
      </x:c>
      <x:c r="F656" s="16" t="str">
        <x:f>IF(AND(AND(655&lt;='Control Room'!$B$3,'Control Room'!$D$3="Ready"),4&lt;='Control Room'!$B$2),ROUND(MAX(0,'Process'!T656*'Control Room'!$H$7*INDEX('Control Room'!$B$19:$H$19,1,WEEKDAY($A656,2))*(1+'Control Room'!$D$9)^654*'Process'!U656),2),"")</x:f>
      </x:c>
      <x:c r="G656" s="16" t="str">
        <x:f>IF(AND(AND(655&lt;='Control Room'!$B$3,'Control Room'!$D$3="Ready"),5&lt;='Control Room'!$B$2),ROUND(MAX(0,'Process'!Y656*'Control Room'!$H$8*INDEX('Control Room'!$B$19:$H$19,1,WEEKDAY($A656,2))*(1+'Control Room'!$D$9)^654*'Process'!Z656),2),"")</x:f>
      </x:c>
      <x:c r="H656" s="16" t="str">
        <x:f>IF(AND(AND(655&lt;='Control Room'!$B$3,'Control Room'!$D$3="Ready"),6&lt;='Control Room'!$B$2),ROUND(MAX(0,'Process'!AD656*'Control Room'!$H$9*INDEX('Control Room'!$B$19:$H$19,1,WEEKDAY($A656,2))*(1+'Control Room'!$D$9)^654*'Process'!AE656),2),"")</x:f>
      </x:c>
      <x:c r="I656" s="16" t="str">
        <x:f>IF(AND(AND(655&lt;='Control Room'!$B$3,'Control Room'!$D$3="Ready"),7&lt;='Control Room'!$B$2),ROUND(MAX(0,'Process'!AI656*'Control Room'!$H$10*INDEX('Control Room'!$B$19:$H$19,1,WEEKDAY($A656,2))*(1+'Control Room'!$D$9)^654*'Process'!AJ656),2),"")</x:f>
      </x:c>
      <x:c r="J656" s="16" t="str">
        <x:f>IF(AND(AND(655&lt;='Control Room'!$B$3,'Control Room'!$D$3="Ready"),8&lt;='Control Room'!$B$2),ROUND(MAX(0,'Process'!AN656*'Control Room'!$H$11*INDEX('Control Room'!$B$19:$H$19,1,WEEKDAY($A656,2))*(1+'Control Room'!$D$9)^654*'Process'!AO656),2),"")</x:f>
      </x:c>
      <x:c r="K656" s="16" t="str">
        <x:f>IF(AND(AND(655&lt;='Control Room'!$B$3,'Control Room'!$D$3="Ready"),9&lt;='Control Room'!$B$2),ROUND(MAX(0,'Process'!AS656*'Control Room'!$H$12*INDEX('Control Room'!$B$19:$H$19,1,WEEKDAY($A656,2))*(1+'Control Room'!$D$9)^654*'Process'!AT656),2),"")</x:f>
      </x:c>
      <x:c r="L656" s="16" t="str">
        <x:f>IF(AND(AND(655&lt;='Control Room'!$B$3,'Control Room'!$D$3="Ready"),10&lt;='Control Room'!$B$2),ROUND(MAX(0,'Process'!AX656*'Control Room'!$H$13*INDEX('Control Room'!$B$19:$H$19,1,WEEKDAY($A656,2))*(1+'Control Room'!$D$9)^654*'Process'!AY656),2),"")</x:f>
      </x:c>
      <x:c r="M656" s="16" t="str">
        <x:f>IF(AND(AND(655&lt;='Control Room'!$B$3,'Control Room'!$D$3="Ready"),11&lt;='Control Room'!$B$2),ROUND(MAX(0,'Process'!BC656*'Control Room'!$H$14*INDEX('Control Room'!$B$19:$H$19,1,WEEKDAY($A656,2))*(1+'Control Room'!$D$9)^654*'Process'!BD656),2),"")</x:f>
      </x:c>
      <x:c r="N656" s="16" t="str">
        <x:f>IF(AND(AND(655&lt;='Control Room'!$B$3,'Control Room'!$D$3="Ready"),12&lt;='Control Room'!$B$2),ROUND(MAX(0,'Process'!BH656*'Control Room'!$H$15*INDEX('Control Room'!$B$19:$H$19,1,WEEKDAY($A656,2))*(1+'Control Room'!$D$9)^654*'Process'!BI656),2),"")</x:f>
      </x:c>
    </x:row>
    <x:row r="657" ht="21" customHeight="1">
      <x:c r="A657" s="15" t="str">
        <x:f>IF(AND(656&lt;='Control Room'!$B$3,'Control Room'!$D$3="Ready"),'Process'!A657,"")</x:f>
      </x:c>
      <x:c r="B657" s="16" t="str">
        <x:f>IF(A657="","",SUM(C657:N657))</x:f>
      </x:c>
      <x:c r="C657" s="16" t="str">
        <x:f>IF(AND(AND(656&lt;='Control Room'!$B$3,'Control Room'!$D$3="Ready"),1&lt;='Control Room'!$B$2),ROUND(MAX(0,'Process'!E657*'Control Room'!$H$4*INDEX('Control Room'!$B$19:$H$19,1,WEEKDAY($A657,2))*(1+'Control Room'!$D$9)^655*'Process'!F657),2),"")</x:f>
      </x:c>
      <x:c r="D657" s="16" t="str">
        <x:f>IF(AND(AND(656&lt;='Control Room'!$B$3,'Control Room'!$D$3="Ready"),2&lt;='Control Room'!$B$2),ROUND(MAX(0,'Process'!J657*'Control Room'!$H$5*INDEX('Control Room'!$B$19:$H$19,1,WEEKDAY($A657,2))*(1+'Control Room'!$D$9)^655*'Process'!K657),2),"")</x:f>
      </x:c>
      <x:c r="E657" s="16" t="str">
        <x:f>IF(AND(AND(656&lt;='Control Room'!$B$3,'Control Room'!$D$3="Ready"),3&lt;='Control Room'!$B$2),ROUND(MAX(0,'Process'!O657*'Control Room'!$H$6*INDEX('Control Room'!$B$19:$H$19,1,WEEKDAY($A657,2))*(1+'Control Room'!$D$9)^655*'Process'!P657),2),"")</x:f>
      </x:c>
      <x:c r="F657" s="16" t="str">
        <x:f>IF(AND(AND(656&lt;='Control Room'!$B$3,'Control Room'!$D$3="Ready"),4&lt;='Control Room'!$B$2),ROUND(MAX(0,'Process'!T657*'Control Room'!$H$7*INDEX('Control Room'!$B$19:$H$19,1,WEEKDAY($A657,2))*(1+'Control Room'!$D$9)^655*'Process'!U657),2),"")</x:f>
      </x:c>
      <x:c r="G657" s="16" t="str">
        <x:f>IF(AND(AND(656&lt;='Control Room'!$B$3,'Control Room'!$D$3="Ready"),5&lt;='Control Room'!$B$2),ROUND(MAX(0,'Process'!Y657*'Control Room'!$H$8*INDEX('Control Room'!$B$19:$H$19,1,WEEKDAY($A657,2))*(1+'Control Room'!$D$9)^655*'Process'!Z657),2),"")</x:f>
      </x:c>
      <x:c r="H657" s="16" t="str">
        <x:f>IF(AND(AND(656&lt;='Control Room'!$B$3,'Control Room'!$D$3="Ready"),6&lt;='Control Room'!$B$2),ROUND(MAX(0,'Process'!AD657*'Control Room'!$H$9*INDEX('Control Room'!$B$19:$H$19,1,WEEKDAY($A657,2))*(1+'Control Room'!$D$9)^655*'Process'!AE657),2),"")</x:f>
      </x:c>
      <x:c r="I657" s="16" t="str">
        <x:f>IF(AND(AND(656&lt;='Control Room'!$B$3,'Control Room'!$D$3="Ready"),7&lt;='Control Room'!$B$2),ROUND(MAX(0,'Process'!AI657*'Control Room'!$H$10*INDEX('Control Room'!$B$19:$H$19,1,WEEKDAY($A657,2))*(1+'Control Room'!$D$9)^655*'Process'!AJ657),2),"")</x:f>
      </x:c>
      <x:c r="J657" s="16" t="str">
        <x:f>IF(AND(AND(656&lt;='Control Room'!$B$3,'Control Room'!$D$3="Ready"),8&lt;='Control Room'!$B$2),ROUND(MAX(0,'Process'!AN657*'Control Room'!$H$11*INDEX('Control Room'!$B$19:$H$19,1,WEEKDAY($A657,2))*(1+'Control Room'!$D$9)^655*'Process'!AO657),2),"")</x:f>
      </x:c>
      <x:c r="K657" s="16" t="str">
        <x:f>IF(AND(AND(656&lt;='Control Room'!$B$3,'Control Room'!$D$3="Ready"),9&lt;='Control Room'!$B$2),ROUND(MAX(0,'Process'!AS657*'Control Room'!$H$12*INDEX('Control Room'!$B$19:$H$19,1,WEEKDAY($A657,2))*(1+'Control Room'!$D$9)^655*'Process'!AT657),2),"")</x:f>
      </x:c>
      <x:c r="L657" s="16" t="str">
        <x:f>IF(AND(AND(656&lt;='Control Room'!$B$3,'Control Room'!$D$3="Ready"),10&lt;='Control Room'!$B$2),ROUND(MAX(0,'Process'!AX657*'Control Room'!$H$13*INDEX('Control Room'!$B$19:$H$19,1,WEEKDAY($A657,2))*(1+'Control Room'!$D$9)^655*'Process'!AY657),2),"")</x:f>
      </x:c>
      <x:c r="M657" s="16" t="str">
        <x:f>IF(AND(AND(656&lt;='Control Room'!$B$3,'Control Room'!$D$3="Ready"),11&lt;='Control Room'!$B$2),ROUND(MAX(0,'Process'!BC657*'Control Room'!$H$14*INDEX('Control Room'!$B$19:$H$19,1,WEEKDAY($A657,2))*(1+'Control Room'!$D$9)^655*'Process'!BD657),2),"")</x:f>
      </x:c>
      <x:c r="N657" s="16" t="str">
        <x:f>IF(AND(AND(656&lt;='Control Room'!$B$3,'Control Room'!$D$3="Ready"),12&lt;='Control Room'!$B$2),ROUND(MAX(0,'Process'!BH657*'Control Room'!$H$15*INDEX('Control Room'!$B$19:$H$19,1,WEEKDAY($A657,2))*(1+'Control Room'!$D$9)^655*'Process'!BI657),2),"")</x:f>
      </x:c>
    </x:row>
    <x:row r="658" ht="21" customHeight="1">
      <x:c r="A658" s="15" t="str">
        <x:f>IF(AND(657&lt;='Control Room'!$B$3,'Control Room'!$D$3="Ready"),'Process'!A658,"")</x:f>
      </x:c>
      <x:c r="B658" s="16" t="str">
        <x:f>IF(A658="","",SUM(C658:N658))</x:f>
      </x:c>
      <x:c r="C658" s="16" t="str">
        <x:f>IF(AND(AND(657&lt;='Control Room'!$B$3,'Control Room'!$D$3="Ready"),1&lt;='Control Room'!$B$2),ROUND(MAX(0,'Process'!E658*'Control Room'!$H$4*INDEX('Control Room'!$B$19:$H$19,1,WEEKDAY($A658,2))*(1+'Control Room'!$D$9)^656*'Process'!F658),2),"")</x:f>
      </x:c>
      <x:c r="D658" s="16" t="str">
        <x:f>IF(AND(AND(657&lt;='Control Room'!$B$3,'Control Room'!$D$3="Ready"),2&lt;='Control Room'!$B$2),ROUND(MAX(0,'Process'!J658*'Control Room'!$H$5*INDEX('Control Room'!$B$19:$H$19,1,WEEKDAY($A658,2))*(1+'Control Room'!$D$9)^656*'Process'!K658),2),"")</x:f>
      </x:c>
      <x:c r="E658" s="16" t="str">
        <x:f>IF(AND(AND(657&lt;='Control Room'!$B$3,'Control Room'!$D$3="Ready"),3&lt;='Control Room'!$B$2),ROUND(MAX(0,'Process'!O658*'Control Room'!$H$6*INDEX('Control Room'!$B$19:$H$19,1,WEEKDAY($A658,2))*(1+'Control Room'!$D$9)^656*'Process'!P658),2),"")</x:f>
      </x:c>
      <x:c r="F658" s="16" t="str">
        <x:f>IF(AND(AND(657&lt;='Control Room'!$B$3,'Control Room'!$D$3="Ready"),4&lt;='Control Room'!$B$2),ROUND(MAX(0,'Process'!T658*'Control Room'!$H$7*INDEX('Control Room'!$B$19:$H$19,1,WEEKDAY($A658,2))*(1+'Control Room'!$D$9)^656*'Process'!U658),2),"")</x:f>
      </x:c>
      <x:c r="G658" s="16" t="str">
        <x:f>IF(AND(AND(657&lt;='Control Room'!$B$3,'Control Room'!$D$3="Ready"),5&lt;='Control Room'!$B$2),ROUND(MAX(0,'Process'!Y658*'Control Room'!$H$8*INDEX('Control Room'!$B$19:$H$19,1,WEEKDAY($A658,2))*(1+'Control Room'!$D$9)^656*'Process'!Z658),2),"")</x:f>
      </x:c>
      <x:c r="H658" s="16" t="str">
        <x:f>IF(AND(AND(657&lt;='Control Room'!$B$3,'Control Room'!$D$3="Ready"),6&lt;='Control Room'!$B$2),ROUND(MAX(0,'Process'!AD658*'Control Room'!$H$9*INDEX('Control Room'!$B$19:$H$19,1,WEEKDAY($A658,2))*(1+'Control Room'!$D$9)^656*'Process'!AE658),2),"")</x:f>
      </x:c>
      <x:c r="I658" s="16" t="str">
        <x:f>IF(AND(AND(657&lt;='Control Room'!$B$3,'Control Room'!$D$3="Ready"),7&lt;='Control Room'!$B$2),ROUND(MAX(0,'Process'!AI658*'Control Room'!$H$10*INDEX('Control Room'!$B$19:$H$19,1,WEEKDAY($A658,2))*(1+'Control Room'!$D$9)^656*'Process'!AJ658),2),"")</x:f>
      </x:c>
      <x:c r="J658" s="16" t="str">
        <x:f>IF(AND(AND(657&lt;='Control Room'!$B$3,'Control Room'!$D$3="Ready"),8&lt;='Control Room'!$B$2),ROUND(MAX(0,'Process'!AN658*'Control Room'!$H$11*INDEX('Control Room'!$B$19:$H$19,1,WEEKDAY($A658,2))*(1+'Control Room'!$D$9)^656*'Process'!AO658),2),"")</x:f>
      </x:c>
      <x:c r="K658" s="16" t="str">
        <x:f>IF(AND(AND(657&lt;='Control Room'!$B$3,'Control Room'!$D$3="Ready"),9&lt;='Control Room'!$B$2),ROUND(MAX(0,'Process'!AS658*'Control Room'!$H$12*INDEX('Control Room'!$B$19:$H$19,1,WEEKDAY($A658,2))*(1+'Control Room'!$D$9)^656*'Process'!AT658),2),"")</x:f>
      </x:c>
      <x:c r="L658" s="16" t="str">
        <x:f>IF(AND(AND(657&lt;='Control Room'!$B$3,'Control Room'!$D$3="Ready"),10&lt;='Control Room'!$B$2),ROUND(MAX(0,'Process'!AX658*'Control Room'!$H$13*INDEX('Control Room'!$B$19:$H$19,1,WEEKDAY($A658,2))*(1+'Control Room'!$D$9)^656*'Process'!AY658),2),"")</x:f>
      </x:c>
      <x:c r="M658" s="16" t="str">
        <x:f>IF(AND(AND(657&lt;='Control Room'!$B$3,'Control Room'!$D$3="Ready"),11&lt;='Control Room'!$B$2),ROUND(MAX(0,'Process'!BC658*'Control Room'!$H$14*INDEX('Control Room'!$B$19:$H$19,1,WEEKDAY($A658,2))*(1+'Control Room'!$D$9)^656*'Process'!BD658),2),"")</x:f>
      </x:c>
      <x:c r="N658" s="16" t="str">
        <x:f>IF(AND(AND(657&lt;='Control Room'!$B$3,'Control Room'!$D$3="Ready"),12&lt;='Control Room'!$B$2),ROUND(MAX(0,'Process'!BH658*'Control Room'!$H$15*INDEX('Control Room'!$B$19:$H$19,1,WEEKDAY($A658,2))*(1+'Control Room'!$D$9)^656*'Process'!BI658),2),"")</x:f>
      </x:c>
    </x:row>
    <x:row r="659" ht="21" customHeight="1">
      <x:c r="A659" s="15" t="str">
        <x:f>IF(AND(658&lt;='Control Room'!$B$3,'Control Room'!$D$3="Ready"),'Process'!A659,"")</x:f>
      </x:c>
      <x:c r="B659" s="16" t="str">
        <x:f>IF(A659="","",SUM(C659:N659))</x:f>
      </x:c>
      <x:c r="C659" s="16" t="str">
        <x:f>IF(AND(AND(658&lt;='Control Room'!$B$3,'Control Room'!$D$3="Ready"),1&lt;='Control Room'!$B$2),ROUND(MAX(0,'Process'!E659*'Control Room'!$H$4*INDEX('Control Room'!$B$19:$H$19,1,WEEKDAY($A659,2))*(1+'Control Room'!$D$9)^657*'Process'!F659),2),"")</x:f>
      </x:c>
      <x:c r="D659" s="16" t="str">
        <x:f>IF(AND(AND(658&lt;='Control Room'!$B$3,'Control Room'!$D$3="Ready"),2&lt;='Control Room'!$B$2),ROUND(MAX(0,'Process'!J659*'Control Room'!$H$5*INDEX('Control Room'!$B$19:$H$19,1,WEEKDAY($A659,2))*(1+'Control Room'!$D$9)^657*'Process'!K659),2),"")</x:f>
      </x:c>
      <x:c r="E659" s="16" t="str">
        <x:f>IF(AND(AND(658&lt;='Control Room'!$B$3,'Control Room'!$D$3="Ready"),3&lt;='Control Room'!$B$2),ROUND(MAX(0,'Process'!O659*'Control Room'!$H$6*INDEX('Control Room'!$B$19:$H$19,1,WEEKDAY($A659,2))*(1+'Control Room'!$D$9)^657*'Process'!P659),2),"")</x:f>
      </x:c>
      <x:c r="F659" s="16" t="str">
        <x:f>IF(AND(AND(658&lt;='Control Room'!$B$3,'Control Room'!$D$3="Ready"),4&lt;='Control Room'!$B$2),ROUND(MAX(0,'Process'!T659*'Control Room'!$H$7*INDEX('Control Room'!$B$19:$H$19,1,WEEKDAY($A659,2))*(1+'Control Room'!$D$9)^657*'Process'!U659),2),"")</x:f>
      </x:c>
      <x:c r="G659" s="16" t="str">
        <x:f>IF(AND(AND(658&lt;='Control Room'!$B$3,'Control Room'!$D$3="Ready"),5&lt;='Control Room'!$B$2),ROUND(MAX(0,'Process'!Y659*'Control Room'!$H$8*INDEX('Control Room'!$B$19:$H$19,1,WEEKDAY($A659,2))*(1+'Control Room'!$D$9)^657*'Process'!Z659),2),"")</x:f>
      </x:c>
      <x:c r="H659" s="16" t="str">
        <x:f>IF(AND(AND(658&lt;='Control Room'!$B$3,'Control Room'!$D$3="Ready"),6&lt;='Control Room'!$B$2),ROUND(MAX(0,'Process'!AD659*'Control Room'!$H$9*INDEX('Control Room'!$B$19:$H$19,1,WEEKDAY($A659,2))*(1+'Control Room'!$D$9)^657*'Process'!AE659),2),"")</x:f>
      </x:c>
      <x:c r="I659" s="16" t="str">
        <x:f>IF(AND(AND(658&lt;='Control Room'!$B$3,'Control Room'!$D$3="Ready"),7&lt;='Control Room'!$B$2),ROUND(MAX(0,'Process'!AI659*'Control Room'!$H$10*INDEX('Control Room'!$B$19:$H$19,1,WEEKDAY($A659,2))*(1+'Control Room'!$D$9)^657*'Process'!AJ659),2),"")</x:f>
      </x:c>
      <x:c r="J659" s="16" t="str">
        <x:f>IF(AND(AND(658&lt;='Control Room'!$B$3,'Control Room'!$D$3="Ready"),8&lt;='Control Room'!$B$2),ROUND(MAX(0,'Process'!AN659*'Control Room'!$H$11*INDEX('Control Room'!$B$19:$H$19,1,WEEKDAY($A659,2))*(1+'Control Room'!$D$9)^657*'Process'!AO659),2),"")</x:f>
      </x:c>
      <x:c r="K659" s="16" t="str">
        <x:f>IF(AND(AND(658&lt;='Control Room'!$B$3,'Control Room'!$D$3="Ready"),9&lt;='Control Room'!$B$2),ROUND(MAX(0,'Process'!AS659*'Control Room'!$H$12*INDEX('Control Room'!$B$19:$H$19,1,WEEKDAY($A659,2))*(1+'Control Room'!$D$9)^657*'Process'!AT659),2),"")</x:f>
      </x:c>
      <x:c r="L659" s="16" t="str">
        <x:f>IF(AND(AND(658&lt;='Control Room'!$B$3,'Control Room'!$D$3="Ready"),10&lt;='Control Room'!$B$2),ROUND(MAX(0,'Process'!AX659*'Control Room'!$H$13*INDEX('Control Room'!$B$19:$H$19,1,WEEKDAY($A659,2))*(1+'Control Room'!$D$9)^657*'Process'!AY659),2),"")</x:f>
      </x:c>
      <x:c r="M659" s="16" t="str">
        <x:f>IF(AND(AND(658&lt;='Control Room'!$B$3,'Control Room'!$D$3="Ready"),11&lt;='Control Room'!$B$2),ROUND(MAX(0,'Process'!BC659*'Control Room'!$H$14*INDEX('Control Room'!$B$19:$H$19,1,WEEKDAY($A659,2))*(1+'Control Room'!$D$9)^657*'Process'!BD659),2),"")</x:f>
      </x:c>
      <x:c r="N659" s="16" t="str">
        <x:f>IF(AND(AND(658&lt;='Control Room'!$B$3,'Control Room'!$D$3="Ready"),12&lt;='Control Room'!$B$2),ROUND(MAX(0,'Process'!BH659*'Control Room'!$H$15*INDEX('Control Room'!$B$19:$H$19,1,WEEKDAY($A659,2))*(1+'Control Room'!$D$9)^657*'Process'!BI659),2),"")</x:f>
      </x:c>
    </x:row>
    <x:row r="660" ht="21" customHeight="1">
      <x:c r="A660" s="15" t="str">
        <x:f>IF(AND(659&lt;='Control Room'!$B$3,'Control Room'!$D$3="Ready"),'Process'!A660,"")</x:f>
      </x:c>
      <x:c r="B660" s="16" t="str">
        <x:f>IF(A660="","",SUM(C660:N660))</x:f>
      </x:c>
      <x:c r="C660" s="16" t="str">
        <x:f>IF(AND(AND(659&lt;='Control Room'!$B$3,'Control Room'!$D$3="Ready"),1&lt;='Control Room'!$B$2),ROUND(MAX(0,'Process'!E660*'Control Room'!$H$4*INDEX('Control Room'!$B$19:$H$19,1,WEEKDAY($A660,2))*(1+'Control Room'!$D$9)^658*'Process'!F660),2),"")</x:f>
      </x:c>
      <x:c r="D660" s="16" t="str">
        <x:f>IF(AND(AND(659&lt;='Control Room'!$B$3,'Control Room'!$D$3="Ready"),2&lt;='Control Room'!$B$2),ROUND(MAX(0,'Process'!J660*'Control Room'!$H$5*INDEX('Control Room'!$B$19:$H$19,1,WEEKDAY($A660,2))*(1+'Control Room'!$D$9)^658*'Process'!K660),2),"")</x:f>
      </x:c>
      <x:c r="E660" s="16" t="str">
        <x:f>IF(AND(AND(659&lt;='Control Room'!$B$3,'Control Room'!$D$3="Ready"),3&lt;='Control Room'!$B$2),ROUND(MAX(0,'Process'!O660*'Control Room'!$H$6*INDEX('Control Room'!$B$19:$H$19,1,WEEKDAY($A660,2))*(1+'Control Room'!$D$9)^658*'Process'!P660),2),"")</x:f>
      </x:c>
      <x:c r="F660" s="16" t="str">
        <x:f>IF(AND(AND(659&lt;='Control Room'!$B$3,'Control Room'!$D$3="Ready"),4&lt;='Control Room'!$B$2),ROUND(MAX(0,'Process'!T660*'Control Room'!$H$7*INDEX('Control Room'!$B$19:$H$19,1,WEEKDAY($A660,2))*(1+'Control Room'!$D$9)^658*'Process'!U660),2),"")</x:f>
      </x:c>
      <x:c r="G660" s="16" t="str">
        <x:f>IF(AND(AND(659&lt;='Control Room'!$B$3,'Control Room'!$D$3="Ready"),5&lt;='Control Room'!$B$2),ROUND(MAX(0,'Process'!Y660*'Control Room'!$H$8*INDEX('Control Room'!$B$19:$H$19,1,WEEKDAY($A660,2))*(1+'Control Room'!$D$9)^658*'Process'!Z660),2),"")</x:f>
      </x:c>
      <x:c r="H660" s="16" t="str">
        <x:f>IF(AND(AND(659&lt;='Control Room'!$B$3,'Control Room'!$D$3="Ready"),6&lt;='Control Room'!$B$2),ROUND(MAX(0,'Process'!AD660*'Control Room'!$H$9*INDEX('Control Room'!$B$19:$H$19,1,WEEKDAY($A660,2))*(1+'Control Room'!$D$9)^658*'Process'!AE660),2),"")</x:f>
      </x:c>
      <x:c r="I660" s="16" t="str">
        <x:f>IF(AND(AND(659&lt;='Control Room'!$B$3,'Control Room'!$D$3="Ready"),7&lt;='Control Room'!$B$2),ROUND(MAX(0,'Process'!AI660*'Control Room'!$H$10*INDEX('Control Room'!$B$19:$H$19,1,WEEKDAY($A660,2))*(1+'Control Room'!$D$9)^658*'Process'!AJ660),2),"")</x:f>
      </x:c>
      <x:c r="J660" s="16" t="str">
        <x:f>IF(AND(AND(659&lt;='Control Room'!$B$3,'Control Room'!$D$3="Ready"),8&lt;='Control Room'!$B$2),ROUND(MAX(0,'Process'!AN660*'Control Room'!$H$11*INDEX('Control Room'!$B$19:$H$19,1,WEEKDAY($A660,2))*(1+'Control Room'!$D$9)^658*'Process'!AO660),2),"")</x:f>
      </x:c>
      <x:c r="K660" s="16" t="str">
        <x:f>IF(AND(AND(659&lt;='Control Room'!$B$3,'Control Room'!$D$3="Ready"),9&lt;='Control Room'!$B$2),ROUND(MAX(0,'Process'!AS660*'Control Room'!$H$12*INDEX('Control Room'!$B$19:$H$19,1,WEEKDAY($A660,2))*(1+'Control Room'!$D$9)^658*'Process'!AT660),2),"")</x:f>
      </x:c>
      <x:c r="L660" s="16" t="str">
        <x:f>IF(AND(AND(659&lt;='Control Room'!$B$3,'Control Room'!$D$3="Ready"),10&lt;='Control Room'!$B$2),ROUND(MAX(0,'Process'!AX660*'Control Room'!$H$13*INDEX('Control Room'!$B$19:$H$19,1,WEEKDAY($A660,2))*(1+'Control Room'!$D$9)^658*'Process'!AY660),2),"")</x:f>
      </x:c>
      <x:c r="M660" s="16" t="str">
        <x:f>IF(AND(AND(659&lt;='Control Room'!$B$3,'Control Room'!$D$3="Ready"),11&lt;='Control Room'!$B$2),ROUND(MAX(0,'Process'!BC660*'Control Room'!$H$14*INDEX('Control Room'!$B$19:$H$19,1,WEEKDAY($A660,2))*(1+'Control Room'!$D$9)^658*'Process'!BD660),2),"")</x:f>
      </x:c>
      <x:c r="N660" s="16" t="str">
        <x:f>IF(AND(AND(659&lt;='Control Room'!$B$3,'Control Room'!$D$3="Ready"),12&lt;='Control Room'!$B$2),ROUND(MAX(0,'Process'!BH660*'Control Room'!$H$15*INDEX('Control Room'!$B$19:$H$19,1,WEEKDAY($A660,2))*(1+'Control Room'!$D$9)^658*'Process'!BI660),2),"")</x:f>
      </x:c>
    </x:row>
    <x:row r="661" ht="21" customHeight="1">
      <x:c r="A661" s="15" t="str">
        <x:f>IF(AND(660&lt;='Control Room'!$B$3,'Control Room'!$D$3="Ready"),'Process'!A661,"")</x:f>
      </x:c>
      <x:c r="B661" s="16" t="str">
        <x:f>IF(A661="","",SUM(C661:N661))</x:f>
      </x:c>
      <x:c r="C661" s="16" t="str">
        <x:f>IF(AND(AND(660&lt;='Control Room'!$B$3,'Control Room'!$D$3="Ready"),1&lt;='Control Room'!$B$2),ROUND(MAX(0,'Process'!E661*'Control Room'!$H$4*INDEX('Control Room'!$B$19:$H$19,1,WEEKDAY($A661,2))*(1+'Control Room'!$D$9)^659*'Process'!F661),2),"")</x:f>
      </x:c>
      <x:c r="D661" s="16" t="str">
        <x:f>IF(AND(AND(660&lt;='Control Room'!$B$3,'Control Room'!$D$3="Ready"),2&lt;='Control Room'!$B$2),ROUND(MAX(0,'Process'!J661*'Control Room'!$H$5*INDEX('Control Room'!$B$19:$H$19,1,WEEKDAY($A661,2))*(1+'Control Room'!$D$9)^659*'Process'!K661),2),"")</x:f>
      </x:c>
      <x:c r="E661" s="16" t="str">
        <x:f>IF(AND(AND(660&lt;='Control Room'!$B$3,'Control Room'!$D$3="Ready"),3&lt;='Control Room'!$B$2),ROUND(MAX(0,'Process'!O661*'Control Room'!$H$6*INDEX('Control Room'!$B$19:$H$19,1,WEEKDAY($A661,2))*(1+'Control Room'!$D$9)^659*'Process'!P661),2),"")</x:f>
      </x:c>
      <x:c r="F661" s="16" t="str">
        <x:f>IF(AND(AND(660&lt;='Control Room'!$B$3,'Control Room'!$D$3="Ready"),4&lt;='Control Room'!$B$2),ROUND(MAX(0,'Process'!T661*'Control Room'!$H$7*INDEX('Control Room'!$B$19:$H$19,1,WEEKDAY($A661,2))*(1+'Control Room'!$D$9)^659*'Process'!U661),2),"")</x:f>
      </x:c>
      <x:c r="G661" s="16" t="str">
        <x:f>IF(AND(AND(660&lt;='Control Room'!$B$3,'Control Room'!$D$3="Ready"),5&lt;='Control Room'!$B$2),ROUND(MAX(0,'Process'!Y661*'Control Room'!$H$8*INDEX('Control Room'!$B$19:$H$19,1,WEEKDAY($A661,2))*(1+'Control Room'!$D$9)^659*'Process'!Z661),2),"")</x:f>
      </x:c>
      <x:c r="H661" s="16" t="str">
        <x:f>IF(AND(AND(660&lt;='Control Room'!$B$3,'Control Room'!$D$3="Ready"),6&lt;='Control Room'!$B$2),ROUND(MAX(0,'Process'!AD661*'Control Room'!$H$9*INDEX('Control Room'!$B$19:$H$19,1,WEEKDAY($A661,2))*(1+'Control Room'!$D$9)^659*'Process'!AE661),2),"")</x:f>
      </x:c>
      <x:c r="I661" s="16" t="str">
        <x:f>IF(AND(AND(660&lt;='Control Room'!$B$3,'Control Room'!$D$3="Ready"),7&lt;='Control Room'!$B$2),ROUND(MAX(0,'Process'!AI661*'Control Room'!$H$10*INDEX('Control Room'!$B$19:$H$19,1,WEEKDAY($A661,2))*(1+'Control Room'!$D$9)^659*'Process'!AJ661),2),"")</x:f>
      </x:c>
      <x:c r="J661" s="16" t="str">
        <x:f>IF(AND(AND(660&lt;='Control Room'!$B$3,'Control Room'!$D$3="Ready"),8&lt;='Control Room'!$B$2),ROUND(MAX(0,'Process'!AN661*'Control Room'!$H$11*INDEX('Control Room'!$B$19:$H$19,1,WEEKDAY($A661,2))*(1+'Control Room'!$D$9)^659*'Process'!AO661),2),"")</x:f>
      </x:c>
      <x:c r="K661" s="16" t="str">
        <x:f>IF(AND(AND(660&lt;='Control Room'!$B$3,'Control Room'!$D$3="Ready"),9&lt;='Control Room'!$B$2),ROUND(MAX(0,'Process'!AS661*'Control Room'!$H$12*INDEX('Control Room'!$B$19:$H$19,1,WEEKDAY($A661,2))*(1+'Control Room'!$D$9)^659*'Process'!AT661),2),"")</x:f>
      </x:c>
      <x:c r="L661" s="16" t="str">
        <x:f>IF(AND(AND(660&lt;='Control Room'!$B$3,'Control Room'!$D$3="Ready"),10&lt;='Control Room'!$B$2),ROUND(MAX(0,'Process'!AX661*'Control Room'!$H$13*INDEX('Control Room'!$B$19:$H$19,1,WEEKDAY($A661,2))*(1+'Control Room'!$D$9)^659*'Process'!AY661),2),"")</x:f>
      </x:c>
      <x:c r="M661" s="16" t="str">
        <x:f>IF(AND(AND(660&lt;='Control Room'!$B$3,'Control Room'!$D$3="Ready"),11&lt;='Control Room'!$B$2),ROUND(MAX(0,'Process'!BC661*'Control Room'!$H$14*INDEX('Control Room'!$B$19:$H$19,1,WEEKDAY($A661,2))*(1+'Control Room'!$D$9)^659*'Process'!BD661),2),"")</x:f>
      </x:c>
      <x:c r="N661" s="16" t="str">
        <x:f>IF(AND(AND(660&lt;='Control Room'!$B$3,'Control Room'!$D$3="Ready"),12&lt;='Control Room'!$B$2),ROUND(MAX(0,'Process'!BH661*'Control Room'!$H$15*INDEX('Control Room'!$B$19:$H$19,1,WEEKDAY($A661,2))*(1+'Control Room'!$D$9)^659*'Process'!BI661),2),"")</x:f>
      </x:c>
    </x:row>
    <x:row r="662" ht="21" customHeight="1">
      <x:c r="A662" s="15" t="str">
        <x:f>IF(AND(661&lt;='Control Room'!$B$3,'Control Room'!$D$3="Ready"),'Process'!A662,"")</x:f>
      </x:c>
      <x:c r="B662" s="16" t="str">
        <x:f>IF(A662="","",SUM(C662:N662))</x:f>
      </x:c>
      <x:c r="C662" s="16" t="str">
        <x:f>IF(AND(AND(661&lt;='Control Room'!$B$3,'Control Room'!$D$3="Ready"),1&lt;='Control Room'!$B$2),ROUND(MAX(0,'Process'!E662*'Control Room'!$H$4*INDEX('Control Room'!$B$19:$H$19,1,WEEKDAY($A662,2))*(1+'Control Room'!$D$9)^660*'Process'!F662),2),"")</x:f>
      </x:c>
      <x:c r="D662" s="16" t="str">
        <x:f>IF(AND(AND(661&lt;='Control Room'!$B$3,'Control Room'!$D$3="Ready"),2&lt;='Control Room'!$B$2),ROUND(MAX(0,'Process'!J662*'Control Room'!$H$5*INDEX('Control Room'!$B$19:$H$19,1,WEEKDAY($A662,2))*(1+'Control Room'!$D$9)^660*'Process'!K662),2),"")</x:f>
      </x:c>
      <x:c r="E662" s="16" t="str">
        <x:f>IF(AND(AND(661&lt;='Control Room'!$B$3,'Control Room'!$D$3="Ready"),3&lt;='Control Room'!$B$2),ROUND(MAX(0,'Process'!O662*'Control Room'!$H$6*INDEX('Control Room'!$B$19:$H$19,1,WEEKDAY($A662,2))*(1+'Control Room'!$D$9)^660*'Process'!P662),2),"")</x:f>
      </x:c>
      <x:c r="F662" s="16" t="str">
        <x:f>IF(AND(AND(661&lt;='Control Room'!$B$3,'Control Room'!$D$3="Ready"),4&lt;='Control Room'!$B$2),ROUND(MAX(0,'Process'!T662*'Control Room'!$H$7*INDEX('Control Room'!$B$19:$H$19,1,WEEKDAY($A662,2))*(1+'Control Room'!$D$9)^660*'Process'!U662),2),"")</x:f>
      </x:c>
      <x:c r="G662" s="16" t="str">
        <x:f>IF(AND(AND(661&lt;='Control Room'!$B$3,'Control Room'!$D$3="Ready"),5&lt;='Control Room'!$B$2),ROUND(MAX(0,'Process'!Y662*'Control Room'!$H$8*INDEX('Control Room'!$B$19:$H$19,1,WEEKDAY($A662,2))*(1+'Control Room'!$D$9)^660*'Process'!Z662),2),"")</x:f>
      </x:c>
      <x:c r="H662" s="16" t="str">
        <x:f>IF(AND(AND(661&lt;='Control Room'!$B$3,'Control Room'!$D$3="Ready"),6&lt;='Control Room'!$B$2),ROUND(MAX(0,'Process'!AD662*'Control Room'!$H$9*INDEX('Control Room'!$B$19:$H$19,1,WEEKDAY($A662,2))*(1+'Control Room'!$D$9)^660*'Process'!AE662),2),"")</x:f>
      </x:c>
      <x:c r="I662" s="16" t="str">
        <x:f>IF(AND(AND(661&lt;='Control Room'!$B$3,'Control Room'!$D$3="Ready"),7&lt;='Control Room'!$B$2),ROUND(MAX(0,'Process'!AI662*'Control Room'!$H$10*INDEX('Control Room'!$B$19:$H$19,1,WEEKDAY($A662,2))*(1+'Control Room'!$D$9)^660*'Process'!AJ662),2),"")</x:f>
      </x:c>
      <x:c r="J662" s="16" t="str">
        <x:f>IF(AND(AND(661&lt;='Control Room'!$B$3,'Control Room'!$D$3="Ready"),8&lt;='Control Room'!$B$2),ROUND(MAX(0,'Process'!AN662*'Control Room'!$H$11*INDEX('Control Room'!$B$19:$H$19,1,WEEKDAY($A662,2))*(1+'Control Room'!$D$9)^660*'Process'!AO662),2),"")</x:f>
      </x:c>
      <x:c r="K662" s="16" t="str">
        <x:f>IF(AND(AND(661&lt;='Control Room'!$B$3,'Control Room'!$D$3="Ready"),9&lt;='Control Room'!$B$2),ROUND(MAX(0,'Process'!AS662*'Control Room'!$H$12*INDEX('Control Room'!$B$19:$H$19,1,WEEKDAY($A662,2))*(1+'Control Room'!$D$9)^660*'Process'!AT662),2),"")</x:f>
      </x:c>
      <x:c r="L662" s="16" t="str">
        <x:f>IF(AND(AND(661&lt;='Control Room'!$B$3,'Control Room'!$D$3="Ready"),10&lt;='Control Room'!$B$2),ROUND(MAX(0,'Process'!AX662*'Control Room'!$H$13*INDEX('Control Room'!$B$19:$H$19,1,WEEKDAY($A662,2))*(1+'Control Room'!$D$9)^660*'Process'!AY662),2),"")</x:f>
      </x:c>
      <x:c r="M662" s="16" t="str">
        <x:f>IF(AND(AND(661&lt;='Control Room'!$B$3,'Control Room'!$D$3="Ready"),11&lt;='Control Room'!$B$2),ROUND(MAX(0,'Process'!BC662*'Control Room'!$H$14*INDEX('Control Room'!$B$19:$H$19,1,WEEKDAY($A662,2))*(1+'Control Room'!$D$9)^660*'Process'!BD662),2),"")</x:f>
      </x:c>
      <x:c r="N662" s="16" t="str">
        <x:f>IF(AND(AND(661&lt;='Control Room'!$B$3,'Control Room'!$D$3="Ready"),12&lt;='Control Room'!$B$2),ROUND(MAX(0,'Process'!BH662*'Control Room'!$H$15*INDEX('Control Room'!$B$19:$H$19,1,WEEKDAY($A662,2))*(1+'Control Room'!$D$9)^660*'Process'!BI662),2),"")</x:f>
      </x:c>
    </x:row>
    <x:row r="663" ht="21" customHeight="1">
      <x:c r="A663" s="15" t="str">
        <x:f>IF(AND(662&lt;='Control Room'!$B$3,'Control Room'!$D$3="Ready"),'Process'!A663,"")</x:f>
      </x:c>
      <x:c r="B663" s="16" t="str">
        <x:f>IF(A663="","",SUM(C663:N663))</x:f>
      </x:c>
      <x:c r="C663" s="16" t="str">
        <x:f>IF(AND(AND(662&lt;='Control Room'!$B$3,'Control Room'!$D$3="Ready"),1&lt;='Control Room'!$B$2),ROUND(MAX(0,'Process'!E663*'Control Room'!$H$4*INDEX('Control Room'!$B$19:$H$19,1,WEEKDAY($A663,2))*(1+'Control Room'!$D$9)^661*'Process'!F663),2),"")</x:f>
      </x:c>
      <x:c r="D663" s="16" t="str">
        <x:f>IF(AND(AND(662&lt;='Control Room'!$B$3,'Control Room'!$D$3="Ready"),2&lt;='Control Room'!$B$2),ROUND(MAX(0,'Process'!J663*'Control Room'!$H$5*INDEX('Control Room'!$B$19:$H$19,1,WEEKDAY($A663,2))*(1+'Control Room'!$D$9)^661*'Process'!K663),2),"")</x:f>
      </x:c>
      <x:c r="E663" s="16" t="str">
        <x:f>IF(AND(AND(662&lt;='Control Room'!$B$3,'Control Room'!$D$3="Ready"),3&lt;='Control Room'!$B$2),ROUND(MAX(0,'Process'!O663*'Control Room'!$H$6*INDEX('Control Room'!$B$19:$H$19,1,WEEKDAY($A663,2))*(1+'Control Room'!$D$9)^661*'Process'!P663),2),"")</x:f>
      </x:c>
      <x:c r="F663" s="16" t="str">
        <x:f>IF(AND(AND(662&lt;='Control Room'!$B$3,'Control Room'!$D$3="Ready"),4&lt;='Control Room'!$B$2),ROUND(MAX(0,'Process'!T663*'Control Room'!$H$7*INDEX('Control Room'!$B$19:$H$19,1,WEEKDAY($A663,2))*(1+'Control Room'!$D$9)^661*'Process'!U663),2),"")</x:f>
      </x:c>
      <x:c r="G663" s="16" t="str">
        <x:f>IF(AND(AND(662&lt;='Control Room'!$B$3,'Control Room'!$D$3="Ready"),5&lt;='Control Room'!$B$2),ROUND(MAX(0,'Process'!Y663*'Control Room'!$H$8*INDEX('Control Room'!$B$19:$H$19,1,WEEKDAY($A663,2))*(1+'Control Room'!$D$9)^661*'Process'!Z663),2),"")</x:f>
      </x:c>
      <x:c r="H663" s="16" t="str">
        <x:f>IF(AND(AND(662&lt;='Control Room'!$B$3,'Control Room'!$D$3="Ready"),6&lt;='Control Room'!$B$2),ROUND(MAX(0,'Process'!AD663*'Control Room'!$H$9*INDEX('Control Room'!$B$19:$H$19,1,WEEKDAY($A663,2))*(1+'Control Room'!$D$9)^661*'Process'!AE663),2),"")</x:f>
      </x:c>
      <x:c r="I663" s="16" t="str">
        <x:f>IF(AND(AND(662&lt;='Control Room'!$B$3,'Control Room'!$D$3="Ready"),7&lt;='Control Room'!$B$2),ROUND(MAX(0,'Process'!AI663*'Control Room'!$H$10*INDEX('Control Room'!$B$19:$H$19,1,WEEKDAY($A663,2))*(1+'Control Room'!$D$9)^661*'Process'!AJ663),2),"")</x:f>
      </x:c>
      <x:c r="J663" s="16" t="str">
        <x:f>IF(AND(AND(662&lt;='Control Room'!$B$3,'Control Room'!$D$3="Ready"),8&lt;='Control Room'!$B$2),ROUND(MAX(0,'Process'!AN663*'Control Room'!$H$11*INDEX('Control Room'!$B$19:$H$19,1,WEEKDAY($A663,2))*(1+'Control Room'!$D$9)^661*'Process'!AO663),2),"")</x:f>
      </x:c>
      <x:c r="K663" s="16" t="str">
        <x:f>IF(AND(AND(662&lt;='Control Room'!$B$3,'Control Room'!$D$3="Ready"),9&lt;='Control Room'!$B$2),ROUND(MAX(0,'Process'!AS663*'Control Room'!$H$12*INDEX('Control Room'!$B$19:$H$19,1,WEEKDAY($A663,2))*(1+'Control Room'!$D$9)^661*'Process'!AT663),2),"")</x:f>
      </x:c>
      <x:c r="L663" s="16" t="str">
        <x:f>IF(AND(AND(662&lt;='Control Room'!$B$3,'Control Room'!$D$3="Ready"),10&lt;='Control Room'!$B$2),ROUND(MAX(0,'Process'!AX663*'Control Room'!$H$13*INDEX('Control Room'!$B$19:$H$19,1,WEEKDAY($A663,2))*(1+'Control Room'!$D$9)^661*'Process'!AY663),2),"")</x:f>
      </x:c>
      <x:c r="M663" s="16" t="str">
        <x:f>IF(AND(AND(662&lt;='Control Room'!$B$3,'Control Room'!$D$3="Ready"),11&lt;='Control Room'!$B$2),ROUND(MAX(0,'Process'!BC663*'Control Room'!$H$14*INDEX('Control Room'!$B$19:$H$19,1,WEEKDAY($A663,2))*(1+'Control Room'!$D$9)^661*'Process'!BD663),2),"")</x:f>
      </x:c>
      <x:c r="N663" s="16" t="str">
        <x:f>IF(AND(AND(662&lt;='Control Room'!$B$3,'Control Room'!$D$3="Ready"),12&lt;='Control Room'!$B$2),ROUND(MAX(0,'Process'!BH663*'Control Room'!$H$15*INDEX('Control Room'!$B$19:$H$19,1,WEEKDAY($A663,2))*(1+'Control Room'!$D$9)^661*'Process'!BI663),2),"")</x:f>
      </x:c>
    </x:row>
    <x:row r="664" ht="21" customHeight="1">
      <x:c r="A664" s="15" t="str">
        <x:f>IF(AND(663&lt;='Control Room'!$B$3,'Control Room'!$D$3="Ready"),'Process'!A664,"")</x:f>
      </x:c>
      <x:c r="B664" s="16" t="str">
        <x:f>IF(A664="","",SUM(C664:N664))</x:f>
      </x:c>
      <x:c r="C664" s="16" t="str">
        <x:f>IF(AND(AND(663&lt;='Control Room'!$B$3,'Control Room'!$D$3="Ready"),1&lt;='Control Room'!$B$2),ROUND(MAX(0,'Process'!E664*'Control Room'!$H$4*INDEX('Control Room'!$B$19:$H$19,1,WEEKDAY($A664,2))*(1+'Control Room'!$D$9)^662*'Process'!F664),2),"")</x:f>
      </x:c>
      <x:c r="D664" s="16" t="str">
        <x:f>IF(AND(AND(663&lt;='Control Room'!$B$3,'Control Room'!$D$3="Ready"),2&lt;='Control Room'!$B$2),ROUND(MAX(0,'Process'!J664*'Control Room'!$H$5*INDEX('Control Room'!$B$19:$H$19,1,WEEKDAY($A664,2))*(1+'Control Room'!$D$9)^662*'Process'!K664),2),"")</x:f>
      </x:c>
      <x:c r="E664" s="16" t="str">
        <x:f>IF(AND(AND(663&lt;='Control Room'!$B$3,'Control Room'!$D$3="Ready"),3&lt;='Control Room'!$B$2),ROUND(MAX(0,'Process'!O664*'Control Room'!$H$6*INDEX('Control Room'!$B$19:$H$19,1,WEEKDAY($A664,2))*(1+'Control Room'!$D$9)^662*'Process'!P664),2),"")</x:f>
      </x:c>
      <x:c r="F664" s="16" t="str">
        <x:f>IF(AND(AND(663&lt;='Control Room'!$B$3,'Control Room'!$D$3="Ready"),4&lt;='Control Room'!$B$2),ROUND(MAX(0,'Process'!T664*'Control Room'!$H$7*INDEX('Control Room'!$B$19:$H$19,1,WEEKDAY($A664,2))*(1+'Control Room'!$D$9)^662*'Process'!U664),2),"")</x:f>
      </x:c>
      <x:c r="G664" s="16" t="str">
        <x:f>IF(AND(AND(663&lt;='Control Room'!$B$3,'Control Room'!$D$3="Ready"),5&lt;='Control Room'!$B$2),ROUND(MAX(0,'Process'!Y664*'Control Room'!$H$8*INDEX('Control Room'!$B$19:$H$19,1,WEEKDAY($A664,2))*(1+'Control Room'!$D$9)^662*'Process'!Z664),2),"")</x:f>
      </x:c>
      <x:c r="H664" s="16" t="str">
        <x:f>IF(AND(AND(663&lt;='Control Room'!$B$3,'Control Room'!$D$3="Ready"),6&lt;='Control Room'!$B$2),ROUND(MAX(0,'Process'!AD664*'Control Room'!$H$9*INDEX('Control Room'!$B$19:$H$19,1,WEEKDAY($A664,2))*(1+'Control Room'!$D$9)^662*'Process'!AE664),2),"")</x:f>
      </x:c>
      <x:c r="I664" s="16" t="str">
        <x:f>IF(AND(AND(663&lt;='Control Room'!$B$3,'Control Room'!$D$3="Ready"),7&lt;='Control Room'!$B$2),ROUND(MAX(0,'Process'!AI664*'Control Room'!$H$10*INDEX('Control Room'!$B$19:$H$19,1,WEEKDAY($A664,2))*(1+'Control Room'!$D$9)^662*'Process'!AJ664),2),"")</x:f>
      </x:c>
      <x:c r="J664" s="16" t="str">
        <x:f>IF(AND(AND(663&lt;='Control Room'!$B$3,'Control Room'!$D$3="Ready"),8&lt;='Control Room'!$B$2),ROUND(MAX(0,'Process'!AN664*'Control Room'!$H$11*INDEX('Control Room'!$B$19:$H$19,1,WEEKDAY($A664,2))*(1+'Control Room'!$D$9)^662*'Process'!AO664),2),"")</x:f>
      </x:c>
      <x:c r="K664" s="16" t="str">
        <x:f>IF(AND(AND(663&lt;='Control Room'!$B$3,'Control Room'!$D$3="Ready"),9&lt;='Control Room'!$B$2),ROUND(MAX(0,'Process'!AS664*'Control Room'!$H$12*INDEX('Control Room'!$B$19:$H$19,1,WEEKDAY($A664,2))*(1+'Control Room'!$D$9)^662*'Process'!AT664),2),"")</x:f>
      </x:c>
      <x:c r="L664" s="16" t="str">
        <x:f>IF(AND(AND(663&lt;='Control Room'!$B$3,'Control Room'!$D$3="Ready"),10&lt;='Control Room'!$B$2),ROUND(MAX(0,'Process'!AX664*'Control Room'!$H$13*INDEX('Control Room'!$B$19:$H$19,1,WEEKDAY($A664,2))*(1+'Control Room'!$D$9)^662*'Process'!AY664),2),"")</x:f>
      </x:c>
      <x:c r="M664" s="16" t="str">
        <x:f>IF(AND(AND(663&lt;='Control Room'!$B$3,'Control Room'!$D$3="Ready"),11&lt;='Control Room'!$B$2),ROUND(MAX(0,'Process'!BC664*'Control Room'!$H$14*INDEX('Control Room'!$B$19:$H$19,1,WEEKDAY($A664,2))*(1+'Control Room'!$D$9)^662*'Process'!BD664),2),"")</x:f>
      </x:c>
      <x:c r="N664" s="16" t="str">
        <x:f>IF(AND(AND(663&lt;='Control Room'!$B$3,'Control Room'!$D$3="Ready"),12&lt;='Control Room'!$B$2),ROUND(MAX(0,'Process'!BH664*'Control Room'!$H$15*INDEX('Control Room'!$B$19:$H$19,1,WEEKDAY($A664,2))*(1+'Control Room'!$D$9)^662*'Process'!BI664),2),"")</x:f>
      </x:c>
    </x:row>
    <x:row r="665" ht="21" customHeight="1">
      <x:c r="A665" s="15" t="str">
        <x:f>IF(AND(664&lt;='Control Room'!$B$3,'Control Room'!$D$3="Ready"),'Process'!A665,"")</x:f>
      </x:c>
      <x:c r="B665" s="16" t="str">
        <x:f>IF(A665="","",SUM(C665:N665))</x:f>
      </x:c>
      <x:c r="C665" s="16" t="str">
        <x:f>IF(AND(AND(664&lt;='Control Room'!$B$3,'Control Room'!$D$3="Ready"),1&lt;='Control Room'!$B$2),ROUND(MAX(0,'Process'!E665*'Control Room'!$H$4*INDEX('Control Room'!$B$19:$H$19,1,WEEKDAY($A665,2))*(1+'Control Room'!$D$9)^663*'Process'!F665),2),"")</x:f>
      </x:c>
      <x:c r="D665" s="16" t="str">
        <x:f>IF(AND(AND(664&lt;='Control Room'!$B$3,'Control Room'!$D$3="Ready"),2&lt;='Control Room'!$B$2),ROUND(MAX(0,'Process'!J665*'Control Room'!$H$5*INDEX('Control Room'!$B$19:$H$19,1,WEEKDAY($A665,2))*(1+'Control Room'!$D$9)^663*'Process'!K665),2),"")</x:f>
      </x:c>
      <x:c r="E665" s="16" t="str">
        <x:f>IF(AND(AND(664&lt;='Control Room'!$B$3,'Control Room'!$D$3="Ready"),3&lt;='Control Room'!$B$2),ROUND(MAX(0,'Process'!O665*'Control Room'!$H$6*INDEX('Control Room'!$B$19:$H$19,1,WEEKDAY($A665,2))*(1+'Control Room'!$D$9)^663*'Process'!P665),2),"")</x:f>
      </x:c>
      <x:c r="F665" s="16" t="str">
        <x:f>IF(AND(AND(664&lt;='Control Room'!$B$3,'Control Room'!$D$3="Ready"),4&lt;='Control Room'!$B$2),ROUND(MAX(0,'Process'!T665*'Control Room'!$H$7*INDEX('Control Room'!$B$19:$H$19,1,WEEKDAY($A665,2))*(1+'Control Room'!$D$9)^663*'Process'!U665),2),"")</x:f>
      </x:c>
      <x:c r="G665" s="16" t="str">
        <x:f>IF(AND(AND(664&lt;='Control Room'!$B$3,'Control Room'!$D$3="Ready"),5&lt;='Control Room'!$B$2),ROUND(MAX(0,'Process'!Y665*'Control Room'!$H$8*INDEX('Control Room'!$B$19:$H$19,1,WEEKDAY($A665,2))*(1+'Control Room'!$D$9)^663*'Process'!Z665),2),"")</x:f>
      </x:c>
      <x:c r="H665" s="16" t="str">
        <x:f>IF(AND(AND(664&lt;='Control Room'!$B$3,'Control Room'!$D$3="Ready"),6&lt;='Control Room'!$B$2),ROUND(MAX(0,'Process'!AD665*'Control Room'!$H$9*INDEX('Control Room'!$B$19:$H$19,1,WEEKDAY($A665,2))*(1+'Control Room'!$D$9)^663*'Process'!AE665),2),"")</x:f>
      </x:c>
      <x:c r="I665" s="16" t="str">
        <x:f>IF(AND(AND(664&lt;='Control Room'!$B$3,'Control Room'!$D$3="Ready"),7&lt;='Control Room'!$B$2),ROUND(MAX(0,'Process'!AI665*'Control Room'!$H$10*INDEX('Control Room'!$B$19:$H$19,1,WEEKDAY($A665,2))*(1+'Control Room'!$D$9)^663*'Process'!AJ665),2),"")</x:f>
      </x:c>
      <x:c r="J665" s="16" t="str">
        <x:f>IF(AND(AND(664&lt;='Control Room'!$B$3,'Control Room'!$D$3="Ready"),8&lt;='Control Room'!$B$2),ROUND(MAX(0,'Process'!AN665*'Control Room'!$H$11*INDEX('Control Room'!$B$19:$H$19,1,WEEKDAY($A665,2))*(1+'Control Room'!$D$9)^663*'Process'!AO665),2),"")</x:f>
      </x:c>
      <x:c r="K665" s="16" t="str">
        <x:f>IF(AND(AND(664&lt;='Control Room'!$B$3,'Control Room'!$D$3="Ready"),9&lt;='Control Room'!$B$2),ROUND(MAX(0,'Process'!AS665*'Control Room'!$H$12*INDEX('Control Room'!$B$19:$H$19,1,WEEKDAY($A665,2))*(1+'Control Room'!$D$9)^663*'Process'!AT665),2),"")</x:f>
      </x:c>
      <x:c r="L665" s="16" t="str">
        <x:f>IF(AND(AND(664&lt;='Control Room'!$B$3,'Control Room'!$D$3="Ready"),10&lt;='Control Room'!$B$2),ROUND(MAX(0,'Process'!AX665*'Control Room'!$H$13*INDEX('Control Room'!$B$19:$H$19,1,WEEKDAY($A665,2))*(1+'Control Room'!$D$9)^663*'Process'!AY665),2),"")</x:f>
      </x:c>
      <x:c r="M665" s="16" t="str">
        <x:f>IF(AND(AND(664&lt;='Control Room'!$B$3,'Control Room'!$D$3="Ready"),11&lt;='Control Room'!$B$2),ROUND(MAX(0,'Process'!BC665*'Control Room'!$H$14*INDEX('Control Room'!$B$19:$H$19,1,WEEKDAY($A665,2))*(1+'Control Room'!$D$9)^663*'Process'!BD665),2),"")</x:f>
      </x:c>
      <x:c r="N665" s="16" t="str">
        <x:f>IF(AND(AND(664&lt;='Control Room'!$B$3,'Control Room'!$D$3="Ready"),12&lt;='Control Room'!$B$2),ROUND(MAX(0,'Process'!BH665*'Control Room'!$H$15*INDEX('Control Room'!$B$19:$H$19,1,WEEKDAY($A665,2))*(1+'Control Room'!$D$9)^663*'Process'!BI665),2),"")</x:f>
      </x:c>
    </x:row>
    <x:row r="666" ht="21" customHeight="1">
      <x:c r="A666" s="15" t="str">
        <x:f>IF(AND(665&lt;='Control Room'!$B$3,'Control Room'!$D$3="Ready"),'Process'!A666,"")</x:f>
      </x:c>
      <x:c r="B666" s="16" t="str">
        <x:f>IF(A666="","",SUM(C666:N666))</x:f>
      </x:c>
      <x:c r="C666" s="16" t="str">
        <x:f>IF(AND(AND(665&lt;='Control Room'!$B$3,'Control Room'!$D$3="Ready"),1&lt;='Control Room'!$B$2),ROUND(MAX(0,'Process'!E666*'Control Room'!$H$4*INDEX('Control Room'!$B$19:$H$19,1,WEEKDAY($A666,2))*(1+'Control Room'!$D$9)^664*'Process'!F666),2),"")</x:f>
      </x:c>
      <x:c r="D666" s="16" t="str">
        <x:f>IF(AND(AND(665&lt;='Control Room'!$B$3,'Control Room'!$D$3="Ready"),2&lt;='Control Room'!$B$2),ROUND(MAX(0,'Process'!J666*'Control Room'!$H$5*INDEX('Control Room'!$B$19:$H$19,1,WEEKDAY($A666,2))*(1+'Control Room'!$D$9)^664*'Process'!K666),2),"")</x:f>
      </x:c>
      <x:c r="E666" s="16" t="str">
        <x:f>IF(AND(AND(665&lt;='Control Room'!$B$3,'Control Room'!$D$3="Ready"),3&lt;='Control Room'!$B$2),ROUND(MAX(0,'Process'!O666*'Control Room'!$H$6*INDEX('Control Room'!$B$19:$H$19,1,WEEKDAY($A666,2))*(1+'Control Room'!$D$9)^664*'Process'!P666),2),"")</x:f>
      </x:c>
      <x:c r="F666" s="16" t="str">
        <x:f>IF(AND(AND(665&lt;='Control Room'!$B$3,'Control Room'!$D$3="Ready"),4&lt;='Control Room'!$B$2),ROUND(MAX(0,'Process'!T666*'Control Room'!$H$7*INDEX('Control Room'!$B$19:$H$19,1,WEEKDAY($A666,2))*(1+'Control Room'!$D$9)^664*'Process'!U666),2),"")</x:f>
      </x:c>
      <x:c r="G666" s="16" t="str">
        <x:f>IF(AND(AND(665&lt;='Control Room'!$B$3,'Control Room'!$D$3="Ready"),5&lt;='Control Room'!$B$2),ROUND(MAX(0,'Process'!Y666*'Control Room'!$H$8*INDEX('Control Room'!$B$19:$H$19,1,WEEKDAY($A666,2))*(1+'Control Room'!$D$9)^664*'Process'!Z666),2),"")</x:f>
      </x:c>
      <x:c r="H666" s="16" t="str">
        <x:f>IF(AND(AND(665&lt;='Control Room'!$B$3,'Control Room'!$D$3="Ready"),6&lt;='Control Room'!$B$2),ROUND(MAX(0,'Process'!AD666*'Control Room'!$H$9*INDEX('Control Room'!$B$19:$H$19,1,WEEKDAY($A666,2))*(1+'Control Room'!$D$9)^664*'Process'!AE666),2),"")</x:f>
      </x:c>
      <x:c r="I666" s="16" t="str">
        <x:f>IF(AND(AND(665&lt;='Control Room'!$B$3,'Control Room'!$D$3="Ready"),7&lt;='Control Room'!$B$2),ROUND(MAX(0,'Process'!AI666*'Control Room'!$H$10*INDEX('Control Room'!$B$19:$H$19,1,WEEKDAY($A666,2))*(1+'Control Room'!$D$9)^664*'Process'!AJ666),2),"")</x:f>
      </x:c>
      <x:c r="J666" s="16" t="str">
        <x:f>IF(AND(AND(665&lt;='Control Room'!$B$3,'Control Room'!$D$3="Ready"),8&lt;='Control Room'!$B$2),ROUND(MAX(0,'Process'!AN666*'Control Room'!$H$11*INDEX('Control Room'!$B$19:$H$19,1,WEEKDAY($A666,2))*(1+'Control Room'!$D$9)^664*'Process'!AO666),2),"")</x:f>
      </x:c>
      <x:c r="K666" s="16" t="str">
        <x:f>IF(AND(AND(665&lt;='Control Room'!$B$3,'Control Room'!$D$3="Ready"),9&lt;='Control Room'!$B$2),ROUND(MAX(0,'Process'!AS666*'Control Room'!$H$12*INDEX('Control Room'!$B$19:$H$19,1,WEEKDAY($A666,2))*(1+'Control Room'!$D$9)^664*'Process'!AT666),2),"")</x:f>
      </x:c>
      <x:c r="L666" s="16" t="str">
        <x:f>IF(AND(AND(665&lt;='Control Room'!$B$3,'Control Room'!$D$3="Ready"),10&lt;='Control Room'!$B$2),ROUND(MAX(0,'Process'!AX666*'Control Room'!$H$13*INDEX('Control Room'!$B$19:$H$19,1,WEEKDAY($A666,2))*(1+'Control Room'!$D$9)^664*'Process'!AY666),2),"")</x:f>
      </x:c>
      <x:c r="M666" s="16" t="str">
        <x:f>IF(AND(AND(665&lt;='Control Room'!$B$3,'Control Room'!$D$3="Ready"),11&lt;='Control Room'!$B$2),ROUND(MAX(0,'Process'!BC666*'Control Room'!$H$14*INDEX('Control Room'!$B$19:$H$19,1,WEEKDAY($A666,2))*(1+'Control Room'!$D$9)^664*'Process'!BD666),2),"")</x:f>
      </x:c>
      <x:c r="N666" s="16" t="str">
        <x:f>IF(AND(AND(665&lt;='Control Room'!$B$3,'Control Room'!$D$3="Ready"),12&lt;='Control Room'!$B$2),ROUND(MAX(0,'Process'!BH666*'Control Room'!$H$15*INDEX('Control Room'!$B$19:$H$19,1,WEEKDAY($A666,2))*(1+'Control Room'!$D$9)^664*'Process'!BI666),2),"")</x:f>
      </x:c>
    </x:row>
    <x:row r="667" ht="21" customHeight="1">
      <x:c r="A667" s="15" t="str">
        <x:f>IF(AND(666&lt;='Control Room'!$B$3,'Control Room'!$D$3="Ready"),'Process'!A667,"")</x:f>
      </x:c>
      <x:c r="B667" s="16" t="str">
        <x:f>IF(A667="","",SUM(C667:N667))</x:f>
      </x:c>
      <x:c r="C667" s="16" t="str">
        <x:f>IF(AND(AND(666&lt;='Control Room'!$B$3,'Control Room'!$D$3="Ready"),1&lt;='Control Room'!$B$2),ROUND(MAX(0,'Process'!E667*'Control Room'!$H$4*INDEX('Control Room'!$B$19:$H$19,1,WEEKDAY($A667,2))*(1+'Control Room'!$D$9)^665*'Process'!F667),2),"")</x:f>
      </x:c>
      <x:c r="D667" s="16" t="str">
        <x:f>IF(AND(AND(666&lt;='Control Room'!$B$3,'Control Room'!$D$3="Ready"),2&lt;='Control Room'!$B$2),ROUND(MAX(0,'Process'!J667*'Control Room'!$H$5*INDEX('Control Room'!$B$19:$H$19,1,WEEKDAY($A667,2))*(1+'Control Room'!$D$9)^665*'Process'!K667),2),"")</x:f>
      </x:c>
      <x:c r="E667" s="16" t="str">
        <x:f>IF(AND(AND(666&lt;='Control Room'!$B$3,'Control Room'!$D$3="Ready"),3&lt;='Control Room'!$B$2),ROUND(MAX(0,'Process'!O667*'Control Room'!$H$6*INDEX('Control Room'!$B$19:$H$19,1,WEEKDAY($A667,2))*(1+'Control Room'!$D$9)^665*'Process'!P667),2),"")</x:f>
      </x:c>
      <x:c r="F667" s="16" t="str">
        <x:f>IF(AND(AND(666&lt;='Control Room'!$B$3,'Control Room'!$D$3="Ready"),4&lt;='Control Room'!$B$2),ROUND(MAX(0,'Process'!T667*'Control Room'!$H$7*INDEX('Control Room'!$B$19:$H$19,1,WEEKDAY($A667,2))*(1+'Control Room'!$D$9)^665*'Process'!U667),2),"")</x:f>
      </x:c>
      <x:c r="G667" s="16" t="str">
        <x:f>IF(AND(AND(666&lt;='Control Room'!$B$3,'Control Room'!$D$3="Ready"),5&lt;='Control Room'!$B$2),ROUND(MAX(0,'Process'!Y667*'Control Room'!$H$8*INDEX('Control Room'!$B$19:$H$19,1,WEEKDAY($A667,2))*(1+'Control Room'!$D$9)^665*'Process'!Z667),2),"")</x:f>
      </x:c>
      <x:c r="H667" s="16" t="str">
        <x:f>IF(AND(AND(666&lt;='Control Room'!$B$3,'Control Room'!$D$3="Ready"),6&lt;='Control Room'!$B$2),ROUND(MAX(0,'Process'!AD667*'Control Room'!$H$9*INDEX('Control Room'!$B$19:$H$19,1,WEEKDAY($A667,2))*(1+'Control Room'!$D$9)^665*'Process'!AE667),2),"")</x:f>
      </x:c>
      <x:c r="I667" s="16" t="str">
        <x:f>IF(AND(AND(666&lt;='Control Room'!$B$3,'Control Room'!$D$3="Ready"),7&lt;='Control Room'!$B$2),ROUND(MAX(0,'Process'!AI667*'Control Room'!$H$10*INDEX('Control Room'!$B$19:$H$19,1,WEEKDAY($A667,2))*(1+'Control Room'!$D$9)^665*'Process'!AJ667),2),"")</x:f>
      </x:c>
      <x:c r="J667" s="16" t="str">
        <x:f>IF(AND(AND(666&lt;='Control Room'!$B$3,'Control Room'!$D$3="Ready"),8&lt;='Control Room'!$B$2),ROUND(MAX(0,'Process'!AN667*'Control Room'!$H$11*INDEX('Control Room'!$B$19:$H$19,1,WEEKDAY($A667,2))*(1+'Control Room'!$D$9)^665*'Process'!AO667),2),"")</x:f>
      </x:c>
      <x:c r="K667" s="16" t="str">
        <x:f>IF(AND(AND(666&lt;='Control Room'!$B$3,'Control Room'!$D$3="Ready"),9&lt;='Control Room'!$B$2),ROUND(MAX(0,'Process'!AS667*'Control Room'!$H$12*INDEX('Control Room'!$B$19:$H$19,1,WEEKDAY($A667,2))*(1+'Control Room'!$D$9)^665*'Process'!AT667),2),"")</x:f>
      </x:c>
      <x:c r="L667" s="16" t="str">
        <x:f>IF(AND(AND(666&lt;='Control Room'!$B$3,'Control Room'!$D$3="Ready"),10&lt;='Control Room'!$B$2),ROUND(MAX(0,'Process'!AX667*'Control Room'!$H$13*INDEX('Control Room'!$B$19:$H$19,1,WEEKDAY($A667,2))*(1+'Control Room'!$D$9)^665*'Process'!AY667),2),"")</x:f>
      </x:c>
      <x:c r="M667" s="16" t="str">
        <x:f>IF(AND(AND(666&lt;='Control Room'!$B$3,'Control Room'!$D$3="Ready"),11&lt;='Control Room'!$B$2),ROUND(MAX(0,'Process'!BC667*'Control Room'!$H$14*INDEX('Control Room'!$B$19:$H$19,1,WEEKDAY($A667,2))*(1+'Control Room'!$D$9)^665*'Process'!BD667),2),"")</x:f>
      </x:c>
      <x:c r="N667" s="16" t="str">
        <x:f>IF(AND(AND(666&lt;='Control Room'!$B$3,'Control Room'!$D$3="Ready"),12&lt;='Control Room'!$B$2),ROUND(MAX(0,'Process'!BH667*'Control Room'!$H$15*INDEX('Control Room'!$B$19:$H$19,1,WEEKDAY($A667,2))*(1+'Control Room'!$D$9)^665*'Process'!BI667),2),"")</x:f>
      </x:c>
    </x:row>
    <x:row r="668" ht="21" customHeight="1">
      <x:c r="A668" s="15" t="str">
        <x:f>IF(AND(667&lt;='Control Room'!$B$3,'Control Room'!$D$3="Ready"),'Process'!A668,"")</x:f>
      </x:c>
      <x:c r="B668" s="16" t="str">
        <x:f>IF(A668="","",SUM(C668:N668))</x:f>
      </x:c>
      <x:c r="C668" s="16" t="str">
        <x:f>IF(AND(AND(667&lt;='Control Room'!$B$3,'Control Room'!$D$3="Ready"),1&lt;='Control Room'!$B$2),ROUND(MAX(0,'Process'!E668*'Control Room'!$H$4*INDEX('Control Room'!$B$19:$H$19,1,WEEKDAY($A668,2))*(1+'Control Room'!$D$9)^666*'Process'!F668),2),"")</x:f>
      </x:c>
      <x:c r="D668" s="16" t="str">
        <x:f>IF(AND(AND(667&lt;='Control Room'!$B$3,'Control Room'!$D$3="Ready"),2&lt;='Control Room'!$B$2),ROUND(MAX(0,'Process'!J668*'Control Room'!$H$5*INDEX('Control Room'!$B$19:$H$19,1,WEEKDAY($A668,2))*(1+'Control Room'!$D$9)^666*'Process'!K668),2),"")</x:f>
      </x:c>
      <x:c r="E668" s="16" t="str">
        <x:f>IF(AND(AND(667&lt;='Control Room'!$B$3,'Control Room'!$D$3="Ready"),3&lt;='Control Room'!$B$2),ROUND(MAX(0,'Process'!O668*'Control Room'!$H$6*INDEX('Control Room'!$B$19:$H$19,1,WEEKDAY($A668,2))*(1+'Control Room'!$D$9)^666*'Process'!P668),2),"")</x:f>
      </x:c>
      <x:c r="F668" s="16" t="str">
        <x:f>IF(AND(AND(667&lt;='Control Room'!$B$3,'Control Room'!$D$3="Ready"),4&lt;='Control Room'!$B$2),ROUND(MAX(0,'Process'!T668*'Control Room'!$H$7*INDEX('Control Room'!$B$19:$H$19,1,WEEKDAY($A668,2))*(1+'Control Room'!$D$9)^666*'Process'!U668),2),"")</x:f>
      </x:c>
      <x:c r="G668" s="16" t="str">
        <x:f>IF(AND(AND(667&lt;='Control Room'!$B$3,'Control Room'!$D$3="Ready"),5&lt;='Control Room'!$B$2),ROUND(MAX(0,'Process'!Y668*'Control Room'!$H$8*INDEX('Control Room'!$B$19:$H$19,1,WEEKDAY($A668,2))*(1+'Control Room'!$D$9)^666*'Process'!Z668),2),"")</x:f>
      </x:c>
      <x:c r="H668" s="16" t="str">
        <x:f>IF(AND(AND(667&lt;='Control Room'!$B$3,'Control Room'!$D$3="Ready"),6&lt;='Control Room'!$B$2),ROUND(MAX(0,'Process'!AD668*'Control Room'!$H$9*INDEX('Control Room'!$B$19:$H$19,1,WEEKDAY($A668,2))*(1+'Control Room'!$D$9)^666*'Process'!AE668),2),"")</x:f>
      </x:c>
      <x:c r="I668" s="16" t="str">
        <x:f>IF(AND(AND(667&lt;='Control Room'!$B$3,'Control Room'!$D$3="Ready"),7&lt;='Control Room'!$B$2),ROUND(MAX(0,'Process'!AI668*'Control Room'!$H$10*INDEX('Control Room'!$B$19:$H$19,1,WEEKDAY($A668,2))*(1+'Control Room'!$D$9)^666*'Process'!AJ668),2),"")</x:f>
      </x:c>
      <x:c r="J668" s="16" t="str">
        <x:f>IF(AND(AND(667&lt;='Control Room'!$B$3,'Control Room'!$D$3="Ready"),8&lt;='Control Room'!$B$2),ROUND(MAX(0,'Process'!AN668*'Control Room'!$H$11*INDEX('Control Room'!$B$19:$H$19,1,WEEKDAY($A668,2))*(1+'Control Room'!$D$9)^666*'Process'!AO668),2),"")</x:f>
      </x:c>
      <x:c r="K668" s="16" t="str">
        <x:f>IF(AND(AND(667&lt;='Control Room'!$B$3,'Control Room'!$D$3="Ready"),9&lt;='Control Room'!$B$2),ROUND(MAX(0,'Process'!AS668*'Control Room'!$H$12*INDEX('Control Room'!$B$19:$H$19,1,WEEKDAY($A668,2))*(1+'Control Room'!$D$9)^666*'Process'!AT668),2),"")</x:f>
      </x:c>
      <x:c r="L668" s="16" t="str">
        <x:f>IF(AND(AND(667&lt;='Control Room'!$B$3,'Control Room'!$D$3="Ready"),10&lt;='Control Room'!$B$2),ROUND(MAX(0,'Process'!AX668*'Control Room'!$H$13*INDEX('Control Room'!$B$19:$H$19,1,WEEKDAY($A668,2))*(1+'Control Room'!$D$9)^666*'Process'!AY668),2),"")</x:f>
      </x:c>
      <x:c r="M668" s="16" t="str">
        <x:f>IF(AND(AND(667&lt;='Control Room'!$B$3,'Control Room'!$D$3="Ready"),11&lt;='Control Room'!$B$2),ROUND(MAX(0,'Process'!BC668*'Control Room'!$H$14*INDEX('Control Room'!$B$19:$H$19,1,WEEKDAY($A668,2))*(1+'Control Room'!$D$9)^666*'Process'!BD668),2),"")</x:f>
      </x:c>
      <x:c r="N668" s="16" t="str">
        <x:f>IF(AND(AND(667&lt;='Control Room'!$B$3,'Control Room'!$D$3="Ready"),12&lt;='Control Room'!$B$2),ROUND(MAX(0,'Process'!BH668*'Control Room'!$H$15*INDEX('Control Room'!$B$19:$H$19,1,WEEKDAY($A668,2))*(1+'Control Room'!$D$9)^666*'Process'!BI668),2),"")</x:f>
      </x:c>
    </x:row>
    <x:row r="669" ht="21" customHeight="1">
      <x:c r="A669" s="15" t="str">
        <x:f>IF(AND(668&lt;='Control Room'!$B$3,'Control Room'!$D$3="Ready"),'Process'!A669,"")</x:f>
      </x:c>
      <x:c r="B669" s="16" t="str">
        <x:f>IF(A669="","",SUM(C669:N669))</x:f>
      </x:c>
      <x:c r="C669" s="16" t="str">
        <x:f>IF(AND(AND(668&lt;='Control Room'!$B$3,'Control Room'!$D$3="Ready"),1&lt;='Control Room'!$B$2),ROUND(MAX(0,'Process'!E669*'Control Room'!$H$4*INDEX('Control Room'!$B$19:$H$19,1,WEEKDAY($A669,2))*(1+'Control Room'!$D$9)^667*'Process'!F669),2),"")</x:f>
      </x:c>
      <x:c r="D669" s="16" t="str">
        <x:f>IF(AND(AND(668&lt;='Control Room'!$B$3,'Control Room'!$D$3="Ready"),2&lt;='Control Room'!$B$2),ROUND(MAX(0,'Process'!J669*'Control Room'!$H$5*INDEX('Control Room'!$B$19:$H$19,1,WEEKDAY($A669,2))*(1+'Control Room'!$D$9)^667*'Process'!K669),2),"")</x:f>
      </x:c>
      <x:c r="E669" s="16" t="str">
        <x:f>IF(AND(AND(668&lt;='Control Room'!$B$3,'Control Room'!$D$3="Ready"),3&lt;='Control Room'!$B$2),ROUND(MAX(0,'Process'!O669*'Control Room'!$H$6*INDEX('Control Room'!$B$19:$H$19,1,WEEKDAY($A669,2))*(1+'Control Room'!$D$9)^667*'Process'!P669),2),"")</x:f>
      </x:c>
      <x:c r="F669" s="16" t="str">
        <x:f>IF(AND(AND(668&lt;='Control Room'!$B$3,'Control Room'!$D$3="Ready"),4&lt;='Control Room'!$B$2),ROUND(MAX(0,'Process'!T669*'Control Room'!$H$7*INDEX('Control Room'!$B$19:$H$19,1,WEEKDAY($A669,2))*(1+'Control Room'!$D$9)^667*'Process'!U669),2),"")</x:f>
      </x:c>
      <x:c r="G669" s="16" t="str">
        <x:f>IF(AND(AND(668&lt;='Control Room'!$B$3,'Control Room'!$D$3="Ready"),5&lt;='Control Room'!$B$2),ROUND(MAX(0,'Process'!Y669*'Control Room'!$H$8*INDEX('Control Room'!$B$19:$H$19,1,WEEKDAY($A669,2))*(1+'Control Room'!$D$9)^667*'Process'!Z669),2),"")</x:f>
      </x:c>
      <x:c r="H669" s="16" t="str">
        <x:f>IF(AND(AND(668&lt;='Control Room'!$B$3,'Control Room'!$D$3="Ready"),6&lt;='Control Room'!$B$2),ROUND(MAX(0,'Process'!AD669*'Control Room'!$H$9*INDEX('Control Room'!$B$19:$H$19,1,WEEKDAY($A669,2))*(1+'Control Room'!$D$9)^667*'Process'!AE669),2),"")</x:f>
      </x:c>
      <x:c r="I669" s="16" t="str">
        <x:f>IF(AND(AND(668&lt;='Control Room'!$B$3,'Control Room'!$D$3="Ready"),7&lt;='Control Room'!$B$2),ROUND(MAX(0,'Process'!AI669*'Control Room'!$H$10*INDEX('Control Room'!$B$19:$H$19,1,WEEKDAY($A669,2))*(1+'Control Room'!$D$9)^667*'Process'!AJ669),2),"")</x:f>
      </x:c>
      <x:c r="J669" s="16" t="str">
        <x:f>IF(AND(AND(668&lt;='Control Room'!$B$3,'Control Room'!$D$3="Ready"),8&lt;='Control Room'!$B$2),ROUND(MAX(0,'Process'!AN669*'Control Room'!$H$11*INDEX('Control Room'!$B$19:$H$19,1,WEEKDAY($A669,2))*(1+'Control Room'!$D$9)^667*'Process'!AO669),2),"")</x:f>
      </x:c>
      <x:c r="K669" s="16" t="str">
        <x:f>IF(AND(AND(668&lt;='Control Room'!$B$3,'Control Room'!$D$3="Ready"),9&lt;='Control Room'!$B$2),ROUND(MAX(0,'Process'!AS669*'Control Room'!$H$12*INDEX('Control Room'!$B$19:$H$19,1,WEEKDAY($A669,2))*(1+'Control Room'!$D$9)^667*'Process'!AT669),2),"")</x:f>
      </x:c>
      <x:c r="L669" s="16" t="str">
        <x:f>IF(AND(AND(668&lt;='Control Room'!$B$3,'Control Room'!$D$3="Ready"),10&lt;='Control Room'!$B$2),ROUND(MAX(0,'Process'!AX669*'Control Room'!$H$13*INDEX('Control Room'!$B$19:$H$19,1,WEEKDAY($A669,2))*(1+'Control Room'!$D$9)^667*'Process'!AY669),2),"")</x:f>
      </x:c>
      <x:c r="M669" s="16" t="str">
        <x:f>IF(AND(AND(668&lt;='Control Room'!$B$3,'Control Room'!$D$3="Ready"),11&lt;='Control Room'!$B$2),ROUND(MAX(0,'Process'!BC669*'Control Room'!$H$14*INDEX('Control Room'!$B$19:$H$19,1,WEEKDAY($A669,2))*(1+'Control Room'!$D$9)^667*'Process'!BD669),2),"")</x:f>
      </x:c>
      <x:c r="N669" s="16" t="str">
        <x:f>IF(AND(AND(668&lt;='Control Room'!$B$3,'Control Room'!$D$3="Ready"),12&lt;='Control Room'!$B$2),ROUND(MAX(0,'Process'!BH669*'Control Room'!$H$15*INDEX('Control Room'!$B$19:$H$19,1,WEEKDAY($A669,2))*(1+'Control Room'!$D$9)^667*'Process'!BI669),2),"")</x:f>
      </x:c>
    </x:row>
    <x:row r="670" ht="21" customHeight="1">
      <x:c r="A670" s="15" t="str">
        <x:f>IF(AND(669&lt;='Control Room'!$B$3,'Control Room'!$D$3="Ready"),'Process'!A670,"")</x:f>
      </x:c>
      <x:c r="B670" s="16" t="str">
        <x:f>IF(A670="","",SUM(C670:N670))</x:f>
      </x:c>
      <x:c r="C670" s="16" t="str">
        <x:f>IF(AND(AND(669&lt;='Control Room'!$B$3,'Control Room'!$D$3="Ready"),1&lt;='Control Room'!$B$2),ROUND(MAX(0,'Process'!E670*'Control Room'!$H$4*INDEX('Control Room'!$B$19:$H$19,1,WEEKDAY($A670,2))*(1+'Control Room'!$D$9)^668*'Process'!F670),2),"")</x:f>
      </x:c>
      <x:c r="D670" s="16" t="str">
        <x:f>IF(AND(AND(669&lt;='Control Room'!$B$3,'Control Room'!$D$3="Ready"),2&lt;='Control Room'!$B$2),ROUND(MAX(0,'Process'!J670*'Control Room'!$H$5*INDEX('Control Room'!$B$19:$H$19,1,WEEKDAY($A670,2))*(1+'Control Room'!$D$9)^668*'Process'!K670),2),"")</x:f>
      </x:c>
      <x:c r="E670" s="16" t="str">
        <x:f>IF(AND(AND(669&lt;='Control Room'!$B$3,'Control Room'!$D$3="Ready"),3&lt;='Control Room'!$B$2),ROUND(MAX(0,'Process'!O670*'Control Room'!$H$6*INDEX('Control Room'!$B$19:$H$19,1,WEEKDAY($A670,2))*(1+'Control Room'!$D$9)^668*'Process'!P670),2),"")</x:f>
      </x:c>
      <x:c r="F670" s="16" t="str">
        <x:f>IF(AND(AND(669&lt;='Control Room'!$B$3,'Control Room'!$D$3="Ready"),4&lt;='Control Room'!$B$2),ROUND(MAX(0,'Process'!T670*'Control Room'!$H$7*INDEX('Control Room'!$B$19:$H$19,1,WEEKDAY($A670,2))*(1+'Control Room'!$D$9)^668*'Process'!U670),2),"")</x:f>
      </x:c>
      <x:c r="G670" s="16" t="str">
        <x:f>IF(AND(AND(669&lt;='Control Room'!$B$3,'Control Room'!$D$3="Ready"),5&lt;='Control Room'!$B$2),ROUND(MAX(0,'Process'!Y670*'Control Room'!$H$8*INDEX('Control Room'!$B$19:$H$19,1,WEEKDAY($A670,2))*(1+'Control Room'!$D$9)^668*'Process'!Z670),2),"")</x:f>
      </x:c>
      <x:c r="H670" s="16" t="str">
        <x:f>IF(AND(AND(669&lt;='Control Room'!$B$3,'Control Room'!$D$3="Ready"),6&lt;='Control Room'!$B$2),ROUND(MAX(0,'Process'!AD670*'Control Room'!$H$9*INDEX('Control Room'!$B$19:$H$19,1,WEEKDAY($A670,2))*(1+'Control Room'!$D$9)^668*'Process'!AE670),2),"")</x:f>
      </x:c>
      <x:c r="I670" s="16" t="str">
        <x:f>IF(AND(AND(669&lt;='Control Room'!$B$3,'Control Room'!$D$3="Ready"),7&lt;='Control Room'!$B$2),ROUND(MAX(0,'Process'!AI670*'Control Room'!$H$10*INDEX('Control Room'!$B$19:$H$19,1,WEEKDAY($A670,2))*(1+'Control Room'!$D$9)^668*'Process'!AJ670),2),"")</x:f>
      </x:c>
      <x:c r="J670" s="16" t="str">
        <x:f>IF(AND(AND(669&lt;='Control Room'!$B$3,'Control Room'!$D$3="Ready"),8&lt;='Control Room'!$B$2),ROUND(MAX(0,'Process'!AN670*'Control Room'!$H$11*INDEX('Control Room'!$B$19:$H$19,1,WEEKDAY($A670,2))*(1+'Control Room'!$D$9)^668*'Process'!AO670),2),"")</x:f>
      </x:c>
      <x:c r="K670" s="16" t="str">
        <x:f>IF(AND(AND(669&lt;='Control Room'!$B$3,'Control Room'!$D$3="Ready"),9&lt;='Control Room'!$B$2),ROUND(MAX(0,'Process'!AS670*'Control Room'!$H$12*INDEX('Control Room'!$B$19:$H$19,1,WEEKDAY($A670,2))*(1+'Control Room'!$D$9)^668*'Process'!AT670),2),"")</x:f>
      </x:c>
      <x:c r="L670" s="16" t="str">
        <x:f>IF(AND(AND(669&lt;='Control Room'!$B$3,'Control Room'!$D$3="Ready"),10&lt;='Control Room'!$B$2),ROUND(MAX(0,'Process'!AX670*'Control Room'!$H$13*INDEX('Control Room'!$B$19:$H$19,1,WEEKDAY($A670,2))*(1+'Control Room'!$D$9)^668*'Process'!AY670),2),"")</x:f>
      </x:c>
      <x:c r="M670" s="16" t="str">
        <x:f>IF(AND(AND(669&lt;='Control Room'!$B$3,'Control Room'!$D$3="Ready"),11&lt;='Control Room'!$B$2),ROUND(MAX(0,'Process'!BC670*'Control Room'!$H$14*INDEX('Control Room'!$B$19:$H$19,1,WEEKDAY($A670,2))*(1+'Control Room'!$D$9)^668*'Process'!BD670),2),"")</x:f>
      </x:c>
      <x:c r="N670" s="16" t="str">
        <x:f>IF(AND(AND(669&lt;='Control Room'!$B$3,'Control Room'!$D$3="Ready"),12&lt;='Control Room'!$B$2),ROUND(MAX(0,'Process'!BH670*'Control Room'!$H$15*INDEX('Control Room'!$B$19:$H$19,1,WEEKDAY($A670,2))*(1+'Control Room'!$D$9)^668*'Process'!BI670),2),"")</x:f>
      </x:c>
    </x:row>
    <x:row r="671" ht="21" customHeight="1">
      <x:c r="A671" s="15" t="str">
        <x:f>IF(AND(670&lt;='Control Room'!$B$3,'Control Room'!$D$3="Ready"),'Process'!A671,"")</x:f>
      </x:c>
      <x:c r="B671" s="16" t="str">
        <x:f>IF(A671="","",SUM(C671:N671))</x:f>
      </x:c>
      <x:c r="C671" s="16" t="str">
        <x:f>IF(AND(AND(670&lt;='Control Room'!$B$3,'Control Room'!$D$3="Ready"),1&lt;='Control Room'!$B$2),ROUND(MAX(0,'Process'!E671*'Control Room'!$H$4*INDEX('Control Room'!$B$19:$H$19,1,WEEKDAY($A671,2))*(1+'Control Room'!$D$9)^669*'Process'!F671),2),"")</x:f>
      </x:c>
      <x:c r="D671" s="16" t="str">
        <x:f>IF(AND(AND(670&lt;='Control Room'!$B$3,'Control Room'!$D$3="Ready"),2&lt;='Control Room'!$B$2),ROUND(MAX(0,'Process'!J671*'Control Room'!$H$5*INDEX('Control Room'!$B$19:$H$19,1,WEEKDAY($A671,2))*(1+'Control Room'!$D$9)^669*'Process'!K671),2),"")</x:f>
      </x:c>
      <x:c r="E671" s="16" t="str">
        <x:f>IF(AND(AND(670&lt;='Control Room'!$B$3,'Control Room'!$D$3="Ready"),3&lt;='Control Room'!$B$2),ROUND(MAX(0,'Process'!O671*'Control Room'!$H$6*INDEX('Control Room'!$B$19:$H$19,1,WEEKDAY($A671,2))*(1+'Control Room'!$D$9)^669*'Process'!P671),2),"")</x:f>
      </x:c>
      <x:c r="F671" s="16" t="str">
        <x:f>IF(AND(AND(670&lt;='Control Room'!$B$3,'Control Room'!$D$3="Ready"),4&lt;='Control Room'!$B$2),ROUND(MAX(0,'Process'!T671*'Control Room'!$H$7*INDEX('Control Room'!$B$19:$H$19,1,WEEKDAY($A671,2))*(1+'Control Room'!$D$9)^669*'Process'!U671),2),"")</x:f>
      </x:c>
      <x:c r="G671" s="16" t="str">
        <x:f>IF(AND(AND(670&lt;='Control Room'!$B$3,'Control Room'!$D$3="Ready"),5&lt;='Control Room'!$B$2),ROUND(MAX(0,'Process'!Y671*'Control Room'!$H$8*INDEX('Control Room'!$B$19:$H$19,1,WEEKDAY($A671,2))*(1+'Control Room'!$D$9)^669*'Process'!Z671),2),"")</x:f>
      </x:c>
      <x:c r="H671" s="16" t="str">
        <x:f>IF(AND(AND(670&lt;='Control Room'!$B$3,'Control Room'!$D$3="Ready"),6&lt;='Control Room'!$B$2),ROUND(MAX(0,'Process'!AD671*'Control Room'!$H$9*INDEX('Control Room'!$B$19:$H$19,1,WEEKDAY($A671,2))*(1+'Control Room'!$D$9)^669*'Process'!AE671),2),"")</x:f>
      </x:c>
      <x:c r="I671" s="16" t="str">
        <x:f>IF(AND(AND(670&lt;='Control Room'!$B$3,'Control Room'!$D$3="Ready"),7&lt;='Control Room'!$B$2),ROUND(MAX(0,'Process'!AI671*'Control Room'!$H$10*INDEX('Control Room'!$B$19:$H$19,1,WEEKDAY($A671,2))*(1+'Control Room'!$D$9)^669*'Process'!AJ671),2),"")</x:f>
      </x:c>
      <x:c r="J671" s="16" t="str">
        <x:f>IF(AND(AND(670&lt;='Control Room'!$B$3,'Control Room'!$D$3="Ready"),8&lt;='Control Room'!$B$2),ROUND(MAX(0,'Process'!AN671*'Control Room'!$H$11*INDEX('Control Room'!$B$19:$H$19,1,WEEKDAY($A671,2))*(1+'Control Room'!$D$9)^669*'Process'!AO671),2),"")</x:f>
      </x:c>
      <x:c r="K671" s="16" t="str">
        <x:f>IF(AND(AND(670&lt;='Control Room'!$B$3,'Control Room'!$D$3="Ready"),9&lt;='Control Room'!$B$2),ROUND(MAX(0,'Process'!AS671*'Control Room'!$H$12*INDEX('Control Room'!$B$19:$H$19,1,WEEKDAY($A671,2))*(1+'Control Room'!$D$9)^669*'Process'!AT671),2),"")</x:f>
      </x:c>
      <x:c r="L671" s="16" t="str">
        <x:f>IF(AND(AND(670&lt;='Control Room'!$B$3,'Control Room'!$D$3="Ready"),10&lt;='Control Room'!$B$2),ROUND(MAX(0,'Process'!AX671*'Control Room'!$H$13*INDEX('Control Room'!$B$19:$H$19,1,WEEKDAY($A671,2))*(1+'Control Room'!$D$9)^669*'Process'!AY671),2),"")</x:f>
      </x:c>
      <x:c r="M671" s="16" t="str">
        <x:f>IF(AND(AND(670&lt;='Control Room'!$B$3,'Control Room'!$D$3="Ready"),11&lt;='Control Room'!$B$2),ROUND(MAX(0,'Process'!BC671*'Control Room'!$H$14*INDEX('Control Room'!$B$19:$H$19,1,WEEKDAY($A671,2))*(1+'Control Room'!$D$9)^669*'Process'!BD671),2),"")</x:f>
      </x:c>
      <x:c r="N671" s="16" t="str">
        <x:f>IF(AND(AND(670&lt;='Control Room'!$B$3,'Control Room'!$D$3="Ready"),12&lt;='Control Room'!$B$2),ROUND(MAX(0,'Process'!BH671*'Control Room'!$H$15*INDEX('Control Room'!$B$19:$H$19,1,WEEKDAY($A671,2))*(1+'Control Room'!$D$9)^669*'Process'!BI671),2),"")</x:f>
      </x:c>
    </x:row>
    <x:row r="672" ht="21" customHeight="1">
      <x:c r="A672" s="15" t="str">
        <x:f>IF(AND(671&lt;='Control Room'!$B$3,'Control Room'!$D$3="Ready"),'Process'!A672,"")</x:f>
      </x:c>
      <x:c r="B672" s="16" t="str">
        <x:f>IF(A672="","",SUM(C672:N672))</x:f>
      </x:c>
      <x:c r="C672" s="16" t="str">
        <x:f>IF(AND(AND(671&lt;='Control Room'!$B$3,'Control Room'!$D$3="Ready"),1&lt;='Control Room'!$B$2),ROUND(MAX(0,'Process'!E672*'Control Room'!$H$4*INDEX('Control Room'!$B$19:$H$19,1,WEEKDAY($A672,2))*(1+'Control Room'!$D$9)^670*'Process'!F672),2),"")</x:f>
      </x:c>
      <x:c r="D672" s="16" t="str">
        <x:f>IF(AND(AND(671&lt;='Control Room'!$B$3,'Control Room'!$D$3="Ready"),2&lt;='Control Room'!$B$2),ROUND(MAX(0,'Process'!J672*'Control Room'!$H$5*INDEX('Control Room'!$B$19:$H$19,1,WEEKDAY($A672,2))*(1+'Control Room'!$D$9)^670*'Process'!K672),2),"")</x:f>
      </x:c>
      <x:c r="E672" s="16" t="str">
        <x:f>IF(AND(AND(671&lt;='Control Room'!$B$3,'Control Room'!$D$3="Ready"),3&lt;='Control Room'!$B$2),ROUND(MAX(0,'Process'!O672*'Control Room'!$H$6*INDEX('Control Room'!$B$19:$H$19,1,WEEKDAY($A672,2))*(1+'Control Room'!$D$9)^670*'Process'!P672),2),"")</x:f>
      </x:c>
      <x:c r="F672" s="16" t="str">
        <x:f>IF(AND(AND(671&lt;='Control Room'!$B$3,'Control Room'!$D$3="Ready"),4&lt;='Control Room'!$B$2),ROUND(MAX(0,'Process'!T672*'Control Room'!$H$7*INDEX('Control Room'!$B$19:$H$19,1,WEEKDAY($A672,2))*(1+'Control Room'!$D$9)^670*'Process'!U672),2),"")</x:f>
      </x:c>
      <x:c r="G672" s="16" t="str">
        <x:f>IF(AND(AND(671&lt;='Control Room'!$B$3,'Control Room'!$D$3="Ready"),5&lt;='Control Room'!$B$2),ROUND(MAX(0,'Process'!Y672*'Control Room'!$H$8*INDEX('Control Room'!$B$19:$H$19,1,WEEKDAY($A672,2))*(1+'Control Room'!$D$9)^670*'Process'!Z672),2),"")</x:f>
      </x:c>
      <x:c r="H672" s="16" t="str">
        <x:f>IF(AND(AND(671&lt;='Control Room'!$B$3,'Control Room'!$D$3="Ready"),6&lt;='Control Room'!$B$2),ROUND(MAX(0,'Process'!AD672*'Control Room'!$H$9*INDEX('Control Room'!$B$19:$H$19,1,WEEKDAY($A672,2))*(1+'Control Room'!$D$9)^670*'Process'!AE672),2),"")</x:f>
      </x:c>
      <x:c r="I672" s="16" t="str">
        <x:f>IF(AND(AND(671&lt;='Control Room'!$B$3,'Control Room'!$D$3="Ready"),7&lt;='Control Room'!$B$2),ROUND(MAX(0,'Process'!AI672*'Control Room'!$H$10*INDEX('Control Room'!$B$19:$H$19,1,WEEKDAY($A672,2))*(1+'Control Room'!$D$9)^670*'Process'!AJ672),2),"")</x:f>
      </x:c>
      <x:c r="J672" s="16" t="str">
        <x:f>IF(AND(AND(671&lt;='Control Room'!$B$3,'Control Room'!$D$3="Ready"),8&lt;='Control Room'!$B$2),ROUND(MAX(0,'Process'!AN672*'Control Room'!$H$11*INDEX('Control Room'!$B$19:$H$19,1,WEEKDAY($A672,2))*(1+'Control Room'!$D$9)^670*'Process'!AO672),2),"")</x:f>
      </x:c>
      <x:c r="K672" s="16" t="str">
        <x:f>IF(AND(AND(671&lt;='Control Room'!$B$3,'Control Room'!$D$3="Ready"),9&lt;='Control Room'!$B$2),ROUND(MAX(0,'Process'!AS672*'Control Room'!$H$12*INDEX('Control Room'!$B$19:$H$19,1,WEEKDAY($A672,2))*(1+'Control Room'!$D$9)^670*'Process'!AT672),2),"")</x:f>
      </x:c>
      <x:c r="L672" s="16" t="str">
        <x:f>IF(AND(AND(671&lt;='Control Room'!$B$3,'Control Room'!$D$3="Ready"),10&lt;='Control Room'!$B$2),ROUND(MAX(0,'Process'!AX672*'Control Room'!$H$13*INDEX('Control Room'!$B$19:$H$19,1,WEEKDAY($A672,2))*(1+'Control Room'!$D$9)^670*'Process'!AY672),2),"")</x:f>
      </x:c>
      <x:c r="M672" s="16" t="str">
        <x:f>IF(AND(AND(671&lt;='Control Room'!$B$3,'Control Room'!$D$3="Ready"),11&lt;='Control Room'!$B$2),ROUND(MAX(0,'Process'!BC672*'Control Room'!$H$14*INDEX('Control Room'!$B$19:$H$19,1,WEEKDAY($A672,2))*(1+'Control Room'!$D$9)^670*'Process'!BD672),2),"")</x:f>
      </x:c>
      <x:c r="N672" s="16" t="str">
        <x:f>IF(AND(AND(671&lt;='Control Room'!$B$3,'Control Room'!$D$3="Ready"),12&lt;='Control Room'!$B$2),ROUND(MAX(0,'Process'!BH672*'Control Room'!$H$15*INDEX('Control Room'!$B$19:$H$19,1,WEEKDAY($A672,2))*(1+'Control Room'!$D$9)^670*'Process'!BI672),2),"")</x:f>
      </x:c>
    </x:row>
    <x:row r="673" ht="21" customHeight="1">
      <x:c r="A673" s="15" t="str">
        <x:f>IF(AND(672&lt;='Control Room'!$B$3,'Control Room'!$D$3="Ready"),'Process'!A673,"")</x:f>
      </x:c>
      <x:c r="B673" s="16" t="str">
        <x:f>IF(A673="","",SUM(C673:N673))</x:f>
      </x:c>
      <x:c r="C673" s="16" t="str">
        <x:f>IF(AND(AND(672&lt;='Control Room'!$B$3,'Control Room'!$D$3="Ready"),1&lt;='Control Room'!$B$2),ROUND(MAX(0,'Process'!E673*'Control Room'!$H$4*INDEX('Control Room'!$B$19:$H$19,1,WEEKDAY($A673,2))*(1+'Control Room'!$D$9)^671*'Process'!F673),2),"")</x:f>
      </x:c>
      <x:c r="D673" s="16" t="str">
        <x:f>IF(AND(AND(672&lt;='Control Room'!$B$3,'Control Room'!$D$3="Ready"),2&lt;='Control Room'!$B$2),ROUND(MAX(0,'Process'!J673*'Control Room'!$H$5*INDEX('Control Room'!$B$19:$H$19,1,WEEKDAY($A673,2))*(1+'Control Room'!$D$9)^671*'Process'!K673),2),"")</x:f>
      </x:c>
      <x:c r="E673" s="16" t="str">
        <x:f>IF(AND(AND(672&lt;='Control Room'!$B$3,'Control Room'!$D$3="Ready"),3&lt;='Control Room'!$B$2),ROUND(MAX(0,'Process'!O673*'Control Room'!$H$6*INDEX('Control Room'!$B$19:$H$19,1,WEEKDAY($A673,2))*(1+'Control Room'!$D$9)^671*'Process'!P673),2),"")</x:f>
      </x:c>
      <x:c r="F673" s="16" t="str">
        <x:f>IF(AND(AND(672&lt;='Control Room'!$B$3,'Control Room'!$D$3="Ready"),4&lt;='Control Room'!$B$2),ROUND(MAX(0,'Process'!T673*'Control Room'!$H$7*INDEX('Control Room'!$B$19:$H$19,1,WEEKDAY($A673,2))*(1+'Control Room'!$D$9)^671*'Process'!U673),2),"")</x:f>
      </x:c>
      <x:c r="G673" s="16" t="str">
        <x:f>IF(AND(AND(672&lt;='Control Room'!$B$3,'Control Room'!$D$3="Ready"),5&lt;='Control Room'!$B$2),ROUND(MAX(0,'Process'!Y673*'Control Room'!$H$8*INDEX('Control Room'!$B$19:$H$19,1,WEEKDAY($A673,2))*(1+'Control Room'!$D$9)^671*'Process'!Z673),2),"")</x:f>
      </x:c>
      <x:c r="H673" s="16" t="str">
        <x:f>IF(AND(AND(672&lt;='Control Room'!$B$3,'Control Room'!$D$3="Ready"),6&lt;='Control Room'!$B$2),ROUND(MAX(0,'Process'!AD673*'Control Room'!$H$9*INDEX('Control Room'!$B$19:$H$19,1,WEEKDAY($A673,2))*(1+'Control Room'!$D$9)^671*'Process'!AE673),2),"")</x:f>
      </x:c>
      <x:c r="I673" s="16" t="str">
        <x:f>IF(AND(AND(672&lt;='Control Room'!$B$3,'Control Room'!$D$3="Ready"),7&lt;='Control Room'!$B$2),ROUND(MAX(0,'Process'!AI673*'Control Room'!$H$10*INDEX('Control Room'!$B$19:$H$19,1,WEEKDAY($A673,2))*(1+'Control Room'!$D$9)^671*'Process'!AJ673),2),"")</x:f>
      </x:c>
      <x:c r="J673" s="16" t="str">
        <x:f>IF(AND(AND(672&lt;='Control Room'!$B$3,'Control Room'!$D$3="Ready"),8&lt;='Control Room'!$B$2),ROUND(MAX(0,'Process'!AN673*'Control Room'!$H$11*INDEX('Control Room'!$B$19:$H$19,1,WEEKDAY($A673,2))*(1+'Control Room'!$D$9)^671*'Process'!AO673),2),"")</x:f>
      </x:c>
      <x:c r="K673" s="16" t="str">
        <x:f>IF(AND(AND(672&lt;='Control Room'!$B$3,'Control Room'!$D$3="Ready"),9&lt;='Control Room'!$B$2),ROUND(MAX(0,'Process'!AS673*'Control Room'!$H$12*INDEX('Control Room'!$B$19:$H$19,1,WEEKDAY($A673,2))*(1+'Control Room'!$D$9)^671*'Process'!AT673),2),"")</x:f>
      </x:c>
      <x:c r="L673" s="16" t="str">
        <x:f>IF(AND(AND(672&lt;='Control Room'!$B$3,'Control Room'!$D$3="Ready"),10&lt;='Control Room'!$B$2),ROUND(MAX(0,'Process'!AX673*'Control Room'!$H$13*INDEX('Control Room'!$B$19:$H$19,1,WEEKDAY($A673,2))*(1+'Control Room'!$D$9)^671*'Process'!AY673),2),"")</x:f>
      </x:c>
      <x:c r="M673" s="16" t="str">
        <x:f>IF(AND(AND(672&lt;='Control Room'!$B$3,'Control Room'!$D$3="Ready"),11&lt;='Control Room'!$B$2),ROUND(MAX(0,'Process'!BC673*'Control Room'!$H$14*INDEX('Control Room'!$B$19:$H$19,1,WEEKDAY($A673,2))*(1+'Control Room'!$D$9)^671*'Process'!BD673),2),"")</x:f>
      </x:c>
      <x:c r="N673" s="16" t="str">
        <x:f>IF(AND(AND(672&lt;='Control Room'!$B$3,'Control Room'!$D$3="Ready"),12&lt;='Control Room'!$B$2),ROUND(MAX(0,'Process'!BH673*'Control Room'!$H$15*INDEX('Control Room'!$B$19:$H$19,1,WEEKDAY($A673,2))*(1+'Control Room'!$D$9)^671*'Process'!BI673),2),"")</x:f>
      </x:c>
    </x:row>
    <x:row r="674" ht="21" customHeight="1">
      <x:c r="A674" s="15" t="str">
        <x:f>IF(AND(673&lt;='Control Room'!$B$3,'Control Room'!$D$3="Ready"),'Process'!A674,"")</x:f>
      </x:c>
      <x:c r="B674" s="16" t="str">
        <x:f>IF(A674="","",SUM(C674:N674))</x:f>
      </x:c>
      <x:c r="C674" s="16" t="str">
        <x:f>IF(AND(AND(673&lt;='Control Room'!$B$3,'Control Room'!$D$3="Ready"),1&lt;='Control Room'!$B$2),ROUND(MAX(0,'Process'!E674*'Control Room'!$H$4*INDEX('Control Room'!$B$19:$H$19,1,WEEKDAY($A674,2))*(1+'Control Room'!$D$9)^672*'Process'!F674),2),"")</x:f>
      </x:c>
      <x:c r="D674" s="16" t="str">
        <x:f>IF(AND(AND(673&lt;='Control Room'!$B$3,'Control Room'!$D$3="Ready"),2&lt;='Control Room'!$B$2),ROUND(MAX(0,'Process'!J674*'Control Room'!$H$5*INDEX('Control Room'!$B$19:$H$19,1,WEEKDAY($A674,2))*(1+'Control Room'!$D$9)^672*'Process'!K674),2),"")</x:f>
      </x:c>
      <x:c r="E674" s="16" t="str">
        <x:f>IF(AND(AND(673&lt;='Control Room'!$B$3,'Control Room'!$D$3="Ready"),3&lt;='Control Room'!$B$2),ROUND(MAX(0,'Process'!O674*'Control Room'!$H$6*INDEX('Control Room'!$B$19:$H$19,1,WEEKDAY($A674,2))*(1+'Control Room'!$D$9)^672*'Process'!P674),2),"")</x:f>
      </x:c>
      <x:c r="F674" s="16" t="str">
        <x:f>IF(AND(AND(673&lt;='Control Room'!$B$3,'Control Room'!$D$3="Ready"),4&lt;='Control Room'!$B$2),ROUND(MAX(0,'Process'!T674*'Control Room'!$H$7*INDEX('Control Room'!$B$19:$H$19,1,WEEKDAY($A674,2))*(1+'Control Room'!$D$9)^672*'Process'!U674),2),"")</x:f>
      </x:c>
      <x:c r="G674" s="16" t="str">
        <x:f>IF(AND(AND(673&lt;='Control Room'!$B$3,'Control Room'!$D$3="Ready"),5&lt;='Control Room'!$B$2),ROUND(MAX(0,'Process'!Y674*'Control Room'!$H$8*INDEX('Control Room'!$B$19:$H$19,1,WEEKDAY($A674,2))*(1+'Control Room'!$D$9)^672*'Process'!Z674),2),"")</x:f>
      </x:c>
      <x:c r="H674" s="16" t="str">
        <x:f>IF(AND(AND(673&lt;='Control Room'!$B$3,'Control Room'!$D$3="Ready"),6&lt;='Control Room'!$B$2),ROUND(MAX(0,'Process'!AD674*'Control Room'!$H$9*INDEX('Control Room'!$B$19:$H$19,1,WEEKDAY($A674,2))*(1+'Control Room'!$D$9)^672*'Process'!AE674),2),"")</x:f>
      </x:c>
      <x:c r="I674" s="16" t="str">
        <x:f>IF(AND(AND(673&lt;='Control Room'!$B$3,'Control Room'!$D$3="Ready"),7&lt;='Control Room'!$B$2),ROUND(MAX(0,'Process'!AI674*'Control Room'!$H$10*INDEX('Control Room'!$B$19:$H$19,1,WEEKDAY($A674,2))*(1+'Control Room'!$D$9)^672*'Process'!AJ674),2),"")</x:f>
      </x:c>
      <x:c r="J674" s="16" t="str">
        <x:f>IF(AND(AND(673&lt;='Control Room'!$B$3,'Control Room'!$D$3="Ready"),8&lt;='Control Room'!$B$2),ROUND(MAX(0,'Process'!AN674*'Control Room'!$H$11*INDEX('Control Room'!$B$19:$H$19,1,WEEKDAY($A674,2))*(1+'Control Room'!$D$9)^672*'Process'!AO674),2),"")</x:f>
      </x:c>
      <x:c r="K674" s="16" t="str">
        <x:f>IF(AND(AND(673&lt;='Control Room'!$B$3,'Control Room'!$D$3="Ready"),9&lt;='Control Room'!$B$2),ROUND(MAX(0,'Process'!AS674*'Control Room'!$H$12*INDEX('Control Room'!$B$19:$H$19,1,WEEKDAY($A674,2))*(1+'Control Room'!$D$9)^672*'Process'!AT674),2),"")</x:f>
      </x:c>
      <x:c r="L674" s="16" t="str">
        <x:f>IF(AND(AND(673&lt;='Control Room'!$B$3,'Control Room'!$D$3="Ready"),10&lt;='Control Room'!$B$2),ROUND(MAX(0,'Process'!AX674*'Control Room'!$H$13*INDEX('Control Room'!$B$19:$H$19,1,WEEKDAY($A674,2))*(1+'Control Room'!$D$9)^672*'Process'!AY674),2),"")</x:f>
      </x:c>
      <x:c r="M674" s="16" t="str">
        <x:f>IF(AND(AND(673&lt;='Control Room'!$B$3,'Control Room'!$D$3="Ready"),11&lt;='Control Room'!$B$2),ROUND(MAX(0,'Process'!BC674*'Control Room'!$H$14*INDEX('Control Room'!$B$19:$H$19,1,WEEKDAY($A674,2))*(1+'Control Room'!$D$9)^672*'Process'!BD674),2),"")</x:f>
      </x:c>
      <x:c r="N674" s="16" t="str">
        <x:f>IF(AND(AND(673&lt;='Control Room'!$B$3,'Control Room'!$D$3="Ready"),12&lt;='Control Room'!$B$2),ROUND(MAX(0,'Process'!BH674*'Control Room'!$H$15*INDEX('Control Room'!$B$19:$H$19,1,WEEKDAY($A674,2))*(1+'Control Room'!$D$9)^672*'Process'!BI674),2),"")</x:f>
      </x:c>
    </x:row>
    <x:row r="675" ht="21" customHeight="1">
      <x:c r="A675" s="15" t="str">
        <x:f>IF(AND(674&lt;='Control Room'!$B$3,'Control Room'!$D$3="Ready"),'Process'!A675,"")</x:f>
      </x:c>
      <x:c r="B675" s="16" t="str">
        <x:f>IF(A675="","",SUM(C675:N675))</x:f>
      </x:c>
      <x:c r="C675" s="16" t="str">
        <x:f>IF(AND(AND(674&lt;='Control Room'!$B$3,'Control Room'!$D$3="Ready"),1&lt;='Control Room'!$B$2),ROUND(MAX(0,'Process'!E675*'Control Room'!$H$4*INDEX('Control Room'!$B$19:$H$19,1,WEEKDAY($A675,2))*(1+'Control Room'!$D$9)^673*'Process'!F675),2),"")</x:f>
      </x:c>
      <x:c r="D675" s="16" t="str">
        <x:f>IF(AND(AND(674&lt;='Control Room'!$B$3,'Control Room'!$D$3="Ready"),2&lt;='Control Room'!$B$2),ROUND(MAX(0,'Process'!J675*'Control Room'!$H$5*INDEX('Control Room'!$B$19:$H$19,1,WEEKDAY($A675,2))*(1+'Control Room'!$D$9)^673*'Process'!K675),2),"")</x:f>
      </x:c>
      <x:c r="E675" s="16" t="str">
        <x:f>IF(AND(AND(674&lt;='Control Room'!$B$3,'Control Room'!$D$3="Ready"),3&lt;='Control Room'!$B$2),ROUND(MAX(0,'Process'!O675*'Control Room'!$H$6*INDEX('Control Room'!$B$19:$H$19,1,WEEKDAY($A675,2))*(1+'Control Room'!$D$9)^673*'Process'!P675),2),"")</x:f>
      </x:c>
      <x:c r="F675" s="16" t="str">
        <x:f>IF(AND(AND(674&lt;='Control Room'!$B$3,'Control Room'!$D$3="Ready"),4&lt;='Control Room'!$B$2),ROUND(MAX(0,'Process'!T675*'Control Room'!$H$7*INDEX('Control Room'!$B$19:$H$19,1,WEEKDAY($A675,2))*(1+'Control Room'!$D$9)^673*'Process'!U675),2),"")</x:f>
      </x:c>
      <x:c r="G675" s="16" t="str">
        <x:f>IF(AND(AND(674&lt;='Control Room'!$B$3,'Control Room'!$D$3="Ready"),5&lt;='Control Room'!$B$2),ROUND(MAX(0,'Process'!Y675*'Control Room'!$H$8*INDEX('Control Room'!$B$19:$H$19,1,WEEKDAY($A675,2))*(1+'Control Room'!$D$9)^673*'Process'!Z675),2),"")</x:f>
      </x:c>
      <x:c r="H675" s="16" t="str">
        <x:f>IF(AND(AND(674&lt;='Control Room'!$B$3,'Control Room'!$D$3="Ready"),6&lt;='Control Room'!$B$2),ROUND(MAX(0,'Process'!AD675*'Control Room'!$H$9*INDEX('Control Room'!$B$19:$H$19,1,WEEKDAY($A675,2))*(1+'Control Room'!$D$9)^673*'Process'!AE675),2),"")</x:f>
      </x:c>
      <x:c r="I675" s="16" t="str">
        <x:f>IF(AND(AND(674&lt;='Control Room'!$B$3,'Control Room'!$D$3="Ready"),7&lt;='Control Room'!$B$2),ROUND(MAX(0,'Process'!AI675*'Control Room'!$H$10*INDEX('Control Room'!$B$19:$H$19,1,WEEKDAY($A675,2))*(1+'Control Room'!$D$9)^673*'Process'!AJ675),2),"")</x:f>
      </x:c>
      <x:c r="J675" s="16" t="str">
        <x:f>IF(AND(AND(674&lt;='Control Room'!$B$3,'Control Room'!$D$3="Ready"),8&lt;='Control Room'!$B$2),ROUND(MAX(0,'Process'!AN675*'Control Room'!$H$11*INDEX('Control Room'!$B$19:$H$19,1,WEEKDAY($A675,2))*(1+'Control Room'!$D$9)^673*'Process'!AO675),2),"")</x:f>
      </x:c>
      <x:c r="K675" s="16" t="str">
        <x:f>IF(AND(AND(674&lt;='Control Room'!$B$3,'Control Room'!$D$3="Ready"),9&lt;='Control Room'!$B$2),ROUND(MAX(0,'Process'!AS675*'Control Room'!$H$12*INDEX('Control Room'!$B$19:$H$19,1,WEEKDAY($A675,2))*(1+'Control Room'!$D$9)^673*'Process'!AT675),2),"")</x:f>
      </x:c>
      <x:c r="L675" s="16" t="str">
        <x:f>IF(AND(AND(674&lt;='Control Room'!$B$3,'Control Room'!$D$3="Ready"),10&lt;='Control Room'!$B$2),ROUND(MAX(0,'Process'!AX675*'Control Room'!$H$13*INDEX('Control Room'!$B$19:$H$19,1,WEEKDAY($A675,2))*(1+'Control Room'!$D$9)^673*'Process'!AY675),2),"")</x:f>
      </x:c>
      <x:c r="M675" s="16" t="str">
        <x:f>IF(AND(AND(674&lt;='Control Room'!$B$3,'Control Room'!$D$3="Ready"),11&lt;='Control Room'!$B$2),ROUND(MAX(0,'Process'!BC675*'Control Room'!$H$14*INDEX('Control Room'!$B$19:$H$19,1,WEEKDAY($A675,2))*(1+'Control Room'!$D$9)^673*'Process'!BD675),2),"")</x:f>
      </x:c>
      <x:c r="N675" s="16" t="str">
        <x:f>IF(AND(AND(674&lt;='Control Room'!$B$3,'Control Room'!$D$3="Ready"),12&lt;='Control Room'!$B$2),ROUND(MAX(0,'Process'!BH675*'Control Room'!$H$15*INDEX('Control Room'!$B$19:$H$19,1,WEEKDAY($A675,2))*(1+'Control Room'!$D$9)^673*'Process'!BI675),2),"")</x:f>
      </x:c>
    </x:row>
    <x:row r="676" ht="21" customHeight="1">
      <x:c r="A676" s="15" t="str">
        <x:f>IF(AND(675&lt;='Control Room'!$B$3,'Control Room'!$D$3="Ready"),'Process'!A676,"")</x:f>
      </x:c>
      <x:c r="B676" s="16" t="str">
        <x:f>IF(A676="","",SUM(C676:N676))</x:f>
      </x:c>
      <x:c r="C676" s="16" t="str">
        <x:f>IF(AND(AND(675&lt;='Control Room'!$B$3,'Control Room'!$D$3="Ready"),1&lt;='Control Room'!$B$2),ROUND(MAX(0,'Process'!E676*'Control Room'!$H$4*INDEX('Control Room'!$B$19:$H$19,1,WEEKDAY($A676,2))*(1+'Control Room'!$D$9)^674*'Process'!F676),2),"")</x:f>
      </x:c>
      <x:c r="D676" s="16" t="str">
        <x:f>IF(AND(AND(675&lt;='Control Room'!$B$3,'Control Room'!$D$3="Ready"),2&lt;='Control Room'!$B$2),ROUND(MAX(0,'Process'!J676*'Control Room'!$H$5*INDEX('Control Room'!$B$19:$H$19,1,WEEKDAY($A676,2))*(1+'Control Room'!$D$9)^674*'Process'!K676),2),"")</x:f>
      </x:c>
      <x:c r="E676" s="16" t="str">
        <x:f>IF(AND(AND(675&lt;='Control Room'!$B$3,'Control Room'!$D$3="Ready"),3&lt;='Control Room'!$B$2),ROUND(MAX(0,'Process'!O676*'Control Room'!$H$6*INDEX('Control Room'!$B$19:$H$19,1,WEEKDAY($A676,2))*(1+'Control Room'!$D$9)^674*'Process'!P676),2),"")</x:f>
      </x:c>
      <x:c r="F676" s="16" t="str">
        <x:f>IF(AND(AND(675&lt;='Control Room'!$B$3,'Control Room'!$D$3="Ready"),4&lt;='Control Room'!$B$2),ROUND(MAX(0,'Process'!T676*'Control Room'!$H$7*INDEX('Control Room'!$B$19:$H$19,1,WEEKDAY($A676,2))*(1+'Control Room'!$D$9)^674*'Process'!U676),2),"")</x:f>
      </x:c>
      <x:c r="G676" s="16" t="str">
        <x:f>IF(AND(AND(675&lt;='Control Room'!$B$3,'Control Room'!$D$3="Ready"),5&lt;='Control Room'!$B$2),ROUND(MAX(0,'Process'!Y676*'Control Room'!$H$8*INDEX('Control Room'!$B$19:$H$19,1,WEEKDAY($A676,2))*(1+'Control Room'!$D$9)^674*'Process'!Z676),2),"")</x:f>
      </x:c>
      <x:c r="H676" s="16" t="str">
        <x:f>IF(AND(AND(675&lt;='Control Room'!$B$3,'Control Room'!$D$3="Ready"),6&lt;='Control Room'!$B$2),ROUND(MAX(0,'Process'!AD676*'Control Room'!$H$9*INDEX('Control Room'!$B$19:$H$19,1,WEEKDAY($A676,2))*(1+'Control Room'!$D$9)^674*'Process'!AE676),2),"")</x:f>
      </x:c>
      <x:c r="I676" s="16" t="str">
        <x:f>IF(AND(AND(675&lt;='Control Room'!$B$3,'Control Room'!$D$3="Ready"),7&lt;='Control Room'!$B$2),ROUND(MAX(0,'Process'!AI676*'Control Room'!$H$10*INDEX('Control Room'!$B$19:$H$19,1,WEEKDAY($A676,2))*(1+'Control Room'!$D$9)^674*'Process'!AJ676),2),"")</x:f>
      </x:c>
      <x:c r="J676" s="16" t="str">
        <x:f>IF(AND(AND(675&lt;='Control Room'!$B$3,'Control Room'!$D$3="Ready"),8&lt;='Control Room'!$B$2),ROUND(MAX(0,'Process'!AN676*'Control Room'!$H$11*INDEX('Control Room'!$B$19:$H$19,1,WEEKDAY($A676,2))*(1+'Control Room'!$D$9)^674*'Process'!AO676),2),"")</x:f>
      </x:c>
      <x:c r="K676" s="16" t="str">
        <x:f>IF(AND(AND(675&lt;='Control Room'!$B$3,'Control Room'!$D$3="Ready"),9&lt;='Control Room'!$B$2),ROUND(MAX(0,'Process'!AS676*'Control Room'!$H$12*INDEX('Control Room'!$B$19:$H$19,1,WEEKDAY($A676,2))*(1+'Control Room'!$D$9)^674*'Process'!AT676),2),"")</x:f>
      </x:c>
      <x:c r="L676" s="16" t="str">
        <x:f>IF(AND(AND(675&lt;='Control Room'!$B$3,'Control Room'!$D$3="Ready"),10&lt;='Control Room'!$B$2),ROUND(MAX(0,'Process'!AX676*'Control Room'!$H$13*INDEX('Control Room'!$B$19:$H$19,1,WEEKDAY($A676,2))*(1+'Control Room'!$D$9)^674*'Process'!AY676),2),"")</x:f>
      </x:c>
      <x:c r="M676" s="16" t="str">
        <x:f>IF(AND(AND(675&lt;='Control Room'!$B$3,'Control Room'!$D$3="Ready"),11&lt;='Control Room'!$B$2),ROUND(MAX(0,'Process'!BC676*'Control Room'!$H$14*INDEX('Control Room'!$B$19:$H$19,1,WEEKDAY($A676,2))*(1+'Control Room'!$D$9)^674*'Process'!BD676),2),"")</x:f>
      </x:c>
      <x:c r="N676" s="16" t="str">
        <x:f>IF(AND(AND(675&lt;='Control Room'!$B$3,'Control Room'!$D$3="Ready"),12&lt;='Control Room'!$B$2),ROUND(MAX(0,'Process'!BH676*'Control Room'!$H$15*INDEX('Control Room'!$B$19:$H$19,1,WEEKDAY($A676,2))*(1+'Control Room'!$D$9)^674*'Process'!BI676),2),"")</x:f>
      </x:c>
    </x:row>
    <x:row r="677" ht="21" customHeight="1">
      <x:c r="A677" s="15" t="str">
        <x:f>IF(AND(676&lt;='Control Room'!$B$3,'Control Room'!$D$3="Ready"),'Process'!A677,"")</x:f>
      </x:c>
      <x:c r="B677" s="16" t="str">
        <x:f>IF(A677="","",SUM(C677:N677))</x:f>
      </x:c>
      <x:c r="C677" s="16" t="str">
        <x:f>IF(AND(AND(676&lt;='Control Room'!$B$3,'Control Room'!$D$3="Ready"),1&lt;='Control Room'!$B$2),ROUND(MAX(0,'Process'!E677*'Control Room'!$H$4*INDEX('Control Room'!$B$19:$H$19,1,WEEKDAY($A677,2))*(1+'Control Room'!$D$9)^675*'Process'!F677),2),"")</x:f>
      </x:c>
      <x:c r="D677" s="16" t="str">
        <x:f>IF(AND(AND(676&lt;='Control Room'!$B$3,'Control Room'!$D$3="Ready"),2&lt;='Control Room'!$B$2),ROUND(MAX(0,'Process'!J677*'Control Room'!$H$5*INDEX('Control Room'!$B$19:$H$19,1,WEEKDAY($A677,2))*(1+'Control Room'!$D$9)^675*'Process'!K677),2),"")</x:f>
      </x:c>
      <x:c r="E677" s="16" t="str">
        <x:f>IF(AND(AND(676&lt;='Control Room'!$B$3,'Control Room'!$D$3="Ready"),3&lt;='Control Room'!$B$2),ROUND(MAX(0,'Process'!O677*'Control Room'!$H$6*INDEX('Control Room'!$B$19:$H$19,1,WEEKDAY($A677,2))*(1+'Control Room'!$D$9)^675*'Process'!P677),2),"")</x:f>
      </x:c>
      <x:c r="F677" s="16" t="str">
        <x:f>IF(AND(AND(676&lt;='Control Room'!$B$3,'Control Room'!$D$3="Ready"),4&lt;='Control Room'!$B$2),ROUND(MAX(0,'Process'!T677*'Control Room'!$H$7*INDEX('Control Room'!$B$19:$H$19,1,WEEKDAY($A677,2))*(1+'Control Room'!$D$9)^675*'Process'!U677),2),"")</x:f>
      </x:c>
      <x:c r="G677" s="16" t="str">
        <x:f>IF(AND(AND(676&lt;='Control Room'!$B$3,'Control Room'!$D$3="Ready"),5&lt;='Control Room'!$B$2),ROUND(MAX(0,'Process'!Y677*'Control Room'!$H$8*INDEX('Control Room'!$B$19:$H$19,1,WEEKDAY($A677,2))*(1+'Control Room'!$D$9)^675*'Process'!Z677),2),"")</x:f>
      </x:c>
      <x:c r="H677" s="16" t="str">
        <x:f>IF(AND(AND(676&lt;='Control Room'!$B$3,'Control Room'!$D$3="Ready"),6&lt;='Control Room'!$B$2),ROUND(MAX(0,'Process'!AD677*'Control Room'!$H$9*INDEX('Control Room'!$B$19:$H$19,1,WEEKDAY($A677,2))*(1+'Control Room'!$D$9)^675*'Process'!AE677),2),"")</x:f>
      </x:c>
      <x:c r="I677" s="16" t="str">
        <x:f>IF(AND(AND(676&lt;='Control Room'!$B$3,'Control Room'!$D$3="Ready"),7&lt;='Control Room'!$B$2),ROUND(MAX(0,'Process'!AI677*'Control Room'!$H$10*INDEX('Control Room'!$B$19:$H$19,1,WEEKDAY($A677,2))*(1+'Control Room'!$D$9)^675*'Process'!AJ677),2),"")</x:f>
      </x:c>
      <x:c r="J677" s="16" t="str">
        <x:f>IF(AND(AND(676&lt;='Control Room'!$B$3,'Control Room'!$D$3="Ready"),8&lt;='Control Room'!$B$2),ROUND(MAX(0,'Process'!AN677*'Control Room'!$H$11*INDEX('Control Room'!$B$19:$H$19,1,WEEKDAY($A677,2))*(1+'Control Room'!$D$9)^675*'Process'!AO677),2),"")</x:f>
      </x:c>
      <x:c r="K677" s="16" t="str">
        <x:f>IF(AND(AND(676&lt;='Control Room'!$B$3,'Control Room'!$D$3="Ready"),9&lt;='Control Room'!$B$2),ROUND(MAX(0,'Process'!AS677*'Control Room'!$H$12*INDEX('Control Room'!$B$19:$H$19,1,WEEKDAY($A677,2))*(1+'Control Room'!$D$9)^675*'Process'!AT677),2),"")</x:f>
      </x:c>
      <x:c r="L677" s="16" t="str">
        <x:f>IF(AND(AND(676&lt;='Control Room'!$B$3,'Control Room'!$D$3="Ready"),10&lt;='Control Room'!$B$2),ROUND(MAX(0,'Process'!AX677*'Control Room'!$H$13*INDEX('Control Room'!$B$19:$H$19,1,WEEKDAY($A677,2))*(1+'Control Room'!$D$9)^675*'Process'!AY677),2),"")</x:f>
      </x:c>
      <x:c r="M677" s="16" t="str">
        <x:f>IF(AND(AND(676&lt;='Control Room'!$B$3,'Control Room'!$D$3="Ready"),11&lt;='Control Room'!$B$2),ROUND(MAX(0,'Process'!BC677*'Control Room'!$H$14*INDEX('Control Room'!$B$19:$H$19,1,WEEKDAY($A677,2))*(1+'Control Room'!$D$9)^675*'Process'!BD677),2),"")</x:f>
      </x:c>
      <x:c r="N677" s="16" t="str">
        <x:f>IF(AND(AND(676&lt;='Control Room'!$B$3,'Control Room'!$D$3="Ready"),12&lt;='Control Room'!$B$2),ROUND(MAX(0,'Process'!BH677*'Control Room'!$H$15*INDEX('Control Room'!$B$19:$H$19,1,WEEKDAY($A677,2))*(1+'Control Room'!$D$9)^675*'Process'!BI677),2),"")</x:f>
      </x:c>
    </x:row>
    <x:row r="678" ht="21" customHeight="1">
      <x:c r="A678" s="15" t="str">
        <x:f>IF(AND(677&lt;='Control Room'!$B$3,'Control Room'!$D$3="Ready"),'Process'!A678,"")</x:f>
      </x:c>
      <x:c r="B678" s="16" t="str">
        <x:f>IF(A678="","",SUM(C678:N678))</x:f>
      </x:c>
      <x:c r="C678" s="16" t="str">
        <x:f>IF(AND(AND(677&lt;='Control Room'!$B$3,'Control Room'!$D$3="Ready"),1&lt;='Control Room'!$B$2),ROUND(MAX(0,'Process'!E678*'Control Room'!$H$4*INDEX('Control Room'!$B$19:$H$19,1,WEEKDAY($A678,2))*(1+'Control Room'!$D$9)^676*'Process'!F678),2),"")</x:f>
      </x:c>
      <x:c r="D678" s="16" t="str">
        <x:f>IF(AND(AND(677&lt;='Control Room'!$B$3,'Control Room'!$D$3="Ready"),2&lt;='Control Room'!$B$2),ROUND(MAX(0,'Process'!J678*'Control Room'!$H$5*INDEX('Control Room'!$B$19:$H$19,1,WEEKDAY($A678,2))*(1+'Control Room'!$D$9)^676*'Process'!K678),2),"")</x:f>
      </x:c>
      <x:c r="E678" s="16" t="str">
        <x:f>IF(AND(AND(677&lt;='Control Room'!$B$3,'Control Room'!$D$3="Ready"),3&lt;='Control Room'!$B$2),ROUND(MAX(0,'Process'!O678*'Control Room'!$H$6*INDEX('Control Room'!$B$19:$H$19,1,WEEKDAY($A678,2))*(1+'Control Room'!$D$9)^676*'Process'!P678),2),"")</x:f>
      </x:c>
      <x:c r="F678" s="16" t="str">
        <x:f>IF(AND(AND(677&lt;='Control Room'!$B$3,'Control Room'!$D$3="Ready"),4&lt;='Control Room'!$B$2),ROUND(MAX(0,'Process'!T678*'Control Room'!$H$7*INDEX('Control Room'!$B$19:$H$19,1,WEEKDAY($A678,2))*(1+'Control Room'!$D$9)^676*'Process'!U678),2),"")</x:f>
      </x:c>
      <x:c r="G678" s="16" t="str">
        <x:f>IF(AND(AND(677&lt;='Control Room'!$B$3,'Control Room'!$D$3="Ready"),5&lt;='Control Room'!$B$2),ROUND(MAX(0,'Process'!Y678*'Control Room'!$H$8*INDEX('Control Room'!$B$19:$H$19,1,WEEKDAY($A678,2))*(1+'Control Room'!$D$9)^676*'Process'!Z678),2),"")</x:f>
      </x:c>
      <x:c r="H678" s="16" t="str">
        <x:f>IF(AND(AND(677&lt;='Control Room'!$B$3,'Control Room'!$D$3="Ready"),6&lt;='Control Room'!$B$2),ROUND(MAX(0,'Process'!AD678*'Control Room'!$H$9*INDEX('Control Room'!$B$19:$H$19,1,WEEKDAY($A678,2))*(1+'Control Room'!$D$9)^676*'Process'!AE678),2),"")</x:f>
      </x:c>
      <x:c r="I678" s="16" t="str">
        <x:f>IF(AND(AND(677&lt;='Control Room'!$B$3,'Control Room'!$D$3="Ready"),7&lt;='Control Room'!$B$2),ROUND(MAX(0,'Process'!AI678*'Control Room'!$H$10*INDEX('Control Room'!$B$19:$H$19,1,WEEKDAY($A678,2))*(1+'Control Room'!$D$9)^676*'Process'!AJ678),2),"")</x:f>
      </x:c>
      <x:c r="J678" s="16" t="str">
        <x:f>IF(AND(AND(677&lt;='Control Room'!$B$3,'Control Room'!$D$3="Ready"),8&lt;='Control Room'!$B$2),ROUND(MAX(0,'Process'!AN678*'Control Room'!$H$11*INDEX('Control Room'!$B$19:$H$19,1,WEEKDAY($A678,2))*(1+'Control Room'!$D$9)^676*'Process'!AO678),2),"")</x:f>
      </x:c>
      <x:c r="K678" s="16" t="str">
        <x:f>IF(AND(AND(677&lt;='Control Room'!$B$3,'Control Room'!$D$3="Ready"),9&lt;='Control Room'!$B$2),ROUND(MAX(0,'Process'!AS678*'Control Room'!$H$12*INDEX('Control Room'!$B$19:$H$19,1,WEEKDAY($A678,2))*(1+'Control Room'!$D$9)^676*'Process'!AT678),2),"")</x:f>
      </x:c>
      <x:c r="L678" s="16" t="str">
        <x:f>IF(AND(AND(677&lt;='Control Room'!$B$3,'Control Room'!$D$3="Ready"),10&lt;='Control Room'!$B$2),ROUND(MAX(0,'Process'!AX678*'Control Room'!$H$13*INDEX('Control Room'!$B$19:$H$19,1,WEEKDAY($A678,2))*(1+'Control Room'!$D$9)^676*'Process'!AY678),2),"")</x:f>
      </x:c>
      <x:c r="M678" s="16" t="str">
        <x:f>IF(AND(AND(677&lt;='Control Room'!$B$3,'Control Room'!$D$3="Ready"),11&lt;='Control Room'!$B$2),ROUND(MAX(0,'Process'!BC678*'Control Room'!$H$14*INDEX('Control Room'!$B$19:$H$19,1,WEEKDAY($A678,2))*(1+'Control Room'!$D$9)^676*'Process'!BD678),2),"")</x:f>
      </x:c>
      <x:c r="N678" s="16" t="str">
        <x:f>IF(AND(AND(677&lt;='Control Room'!$B$3,'Control Room'!$D$3="Ready"),12&lt;='Control Room'!$B$2),ROUND(MAX(0,'Process'!BH678*'Control Room'!$H$15*INDEX('Control Room'!$B$19:$H$19,1,WEEKDAY($A678,2))*(1+'Control Room'!$D$9)^676*'Process'!BI678),2),"")</x:f>
      </x:c>
    </x:row>
    <x:row r="679" ht="21" customHeight="1">
      <x:c r="A679" s="15" t="str">
        <x:f>IF(AND(678&lt;='Control Room'!$B$3,'Control Room'!$D$3="Ready"),'Process'!A679,"")</x:f>
      </x:c>
      <x:c r="B679" s="16" t="str">
        <x:f>IF(A679="","",SUM(C679:N679))</x:f>
      </x:c>
      <x:c r="C679" s="16" t="str">
        <x:f>IF(AND(AND(678&lt;='Control Room'!$B$3,'Control Room'!$D$3="Ready"),1&lt;='Control Room'!$B$2),ROUND(MAX(0,'Process'!E679*'Control Room'!$H$4*INDEX('Control Room'!$B$19:$H$19,1,WEEKDAY($A679,2))*(1+'Control Room'!$D$9)^677*'Process'!F679),2),"")</x:f>
      </x:c>
      <x:c r="D679" s="16" t="str">
        <x:f>IF(AND(AND(678&lt;='Control Room'!$B$3,'Control Room'!$D$3="Ready"),2&lt;='Control Room'!$B$2),ROUND(MAX(0,'Process'!J679*'Control Room'!$H$5*INDEX('Control Room'!$B$19:$H$19,1,WEEKDAY($A679,2))*(1+'Control Room'!$D$9)^677*'Process'!K679),2),"")</x:f>
      </x:c>
      <x:c r="E679" s="16" t="str">
        <x:f>IF(AND(AND(678&lt;='Control Room'!$B$3,'Control Room'!$D$3="Ready"),3&lt;='Control Room'!$B$2),ROUND(MAX(0,'Process'!O679*'Control Room'!$H$6*INDEX('Control Room'!$B$19:$H$19,1,WEEKDAY($A679,2))*(1+'Control Room'!$D$9)^677*'Process'!P679),2),"")</x:f>
      </x:c>
      <x:c r="F679" s="16" t="str">
        <x:f>IF(AND(AND(678&lt;='Control Room'!$B$3,'Control Room'!$D$3="Ready"),4&lt;='Control Room'!$B$2),ROUND(MAX(0,'Process'!T679*'Control Room'!$H$7*INDEX('Control Room'!$B$19:$H$19,1,WEEKDAY($A679,2))*(1+'Control Room'!$D$9)^677*'Process'!U679),2),"")</x:f>
      </x:c>
      <x:c r="G679" s="16" t="str">
        <x:f>IF(AND(AND(678&lt;='Control Room'!$B$3,'Control Room'!$D$3="Ready"),5&lt;='Control Room'!$B$2),ROUND(MAX(0,'Process'!Y679*'Control Room'!$H$8*INDEX('Control Room'!$B$19:$H$19,1,WEEKDAY($A679,2))*(1+'Control Room'!$D$9)^677*'Process'!Z679),2),"")</x:f>
      </x:c>
      <x:c r="H679" s="16" t="str">
        <x:f>IF(AND(AND(678&lt;='Control Room'!$B$3,'Control Room'!$D$3="Ready"),6&lt;='Control Room'!$B$2),ROUND(MAX(0,'Process'!AD679*'Control Room'!$H$9*INDEX('Control Room'!$B$19:$H$19,1,WEEKDAY($A679,2))*(1+'Control Room'!$D$9)^677*'Process'!AE679),2),"")</x:f>
      </x:c>
      <x:c r="I679" s="16" t="str">
        <x:f>IF(AND(AND(678&lt;='Control Room'!$B$3,'Control Room'!$D$3="Ready"),7&lt;='Control Room'!$B$2),ROUND(MAX(0,'Process'!AI679*'Control Room'!$H$10*INDEX('Control Room'!$B$19:$H$19,1,WEEKDAY($A679,2))*(1+'Control Room'!$D$9)^677*'Process'!AJ679),2),"")</x:f>
      </x:c>
      <x:c r="J679" s="16" t="str">
        <x:f>IF(AND(AND(678&lt;='Control Room'!$B$3,'Control Room'!$D$3="Ready"),8&lt;='Control Room'!$B$2),ROUND(MAX(0,'Process'!AN679*'Control Room'!$H$11*INDEX('Control Room'!$B$19:$H$19,1,WEEKDAY($A679,2))*(1+'Control Room'!$D$9)^677*'Process'!AO679),2),"")</x:f>
      </x:c>
      <x:c r="K679" s="16" t="str">
        <x:f>IF(AND(AND(678&lt;='Control Room'!$B$3,'Control Room'!$D$3="Ready"),9&lt;='Control Room'!$B$2),ROUND(MAX(0,'Process'!AS679*'Control Room'!$H$12*INDEX('Control Room'!$B$19:$H$19,1,WEEKDAY($A679,2))*(1+'Control Room'!$D$9)^677*'Process'!AT679),2),"")</x:f>
      </x:c>
      <x:c r="L679" s="16" t="str">
        <x:f>IF(AND(AND(678&lt;='Control Room'!$B$3,'Control Room'!$D$3="Ready"),10&lt;='Control Room'!$B$2),ROUND(MAX(0,'Process'!AX679*'Control Room'!$H$13*INDEX('Control Room'!$B$19:$H$19,1,WEEKDAY($A679,2))*(1+'Control Room'!$D$9)^677*'Process'!AY679),2),"")</x:f>
      </x:c>
      <x:c r="M679" s="16" t="str">
        <x:f>IF(AND(AND(678&lt;='Control Room'!$B$3,'Control Room'!$D$3="Ready"),11&lt;='Control Room'!$B$2),ROUND(MAX(0,'Process'!BC679*'Control Room'!$H$14*INDEX('Control Room'!$B$19:$H$19,1,WEEKDAY($A679,2))*(1+'Control Room'!$D$9)^677*'Process'!BD679),2),"")</x:f>
      </x:c>
      <x:c r="N679" s="16" t="str">
        <x:f>IF(AND(AND(678&lt;='Control Room'!$B$3,'Control Room'!$D$3="Ready"),12&lt;='Control Room'!$B$2),ROUND(MAX(0,'Process'!BH679*'Control Room'!$H$15*INDEX('Control Room'!$B$19:$H$19,1,WEEKDAY($A679,2))*(1+'Control Room'!$D$9)^677*'Process'!BI679),2),"")</x:f>
      </x:c>
    </x:row>
    <x:row r="680" ht="21" customHeight="1">
      <x:c r="A680" s="15" t="str">
        <x:f>IF(AND(679&lt;='Control Room'!$B$3,'Control Room'!$D$3="Ready"),'Process'!A680,"")</x:f>
      </x:c>
      <x:c r="B680" s="16" t="str">
        <x:f>IF(A680="","",SUM(C680:N680))</x:f>
      </x:c>
      <x:c r="C680" s="16" t="str">
        <x:f>IF(AND(AND(679&lt;='Control Room'!$B$3,'Control Room'!$D$3="Ready"),1&lt;='Control Room'!$B$2),ROUND(MAX(0,'Process'!E680*'Control Room'!$H$4*INDEX('Control Room'!$B$19:$H$19,1,WEEKDAY($A680,2))*(1+'Control Room'!$D$9)^678*'Process'!F680),2),"")</x:f>
      </x:c>
      <x:c r="D680" s="16" t="str">
        <x:f>IF(AND(AND(679&lt;='Control Room'!$B$3,'Control Room'!$D$3="Ready"),2&lt;='Control Room'!$B$2),ROUND(MAX(0,'Process'!J680*'Control Room'!$H$5*INDEX('Control Room'!$B$19:$H$19,1,WEEKDAY($A680,2))*(1+'Control Room'!$D$9)^678*'Process'!K680),2),"")</x:f>
      </x:c>
      <x:c r="E680" s="16" t="str">
        <x:f>IF(AND(AND(679&lt;='Control Room'!$B$3,'Control Room'!$D$3="Ready"),3&lt;='Control Room'!$B$2),ROUND(MAX(0,'Process'!O680*'Control Room'!$H$6*INDEX('Control Room'!$B$19:$H$19,1,WEEKDAY($A680,2))*(1+'Control Room'!$D$9)^678*'Process'!P680),2),"")</x:f>
      </x:c>
      <x:c r="F680" s="16" t="str">
        <x:f>IF(AND(AND(679&lt;='Control Room'!$B$3,'Control Room'!$D$3="Ready"),4&lt;='Control Room'!$B$2),ROUND(MAX(0,'Process'!T680*'Control Room'!$H$7*INDEX('Control Room'!$B$19:$H$19,1,WEEKDAY($A680,2))*(1+'Control Room'!$D$9)^678*'Process'!U680),2),"")</x:f>
      </x:c>
      <x:c r="G680" s="16" t="str">
        <x:f>IF(AND(AND(679&lt;='Control Room'!$B$3,'Control Room'!$D$3="Ready"),5&lt;='Control Room'!$B$2),ROUND(MAX(0,'Process'!Y680*'Control Room'!$H$8*INDEX('Control Room'!$B$19:$H$19,1,WEEKDAY($A680,2))*(1+'Control Room'!$D$9)^678*'Process'!Z680),2),"")</x:f>
      </x:c>
      <x:c r="H680" s="16" t="str">
        <x:f>IF(AND(AND(679&lt;='Control Room'!$B$3,'Control Room'!$D$3="Ready"),6&lt;='Control Room'!$B$2),ROUND(MAX(0,'Process'!AD680*'Control Room'!$H$9*INDEX('Control Room'!$B$19:$H$19,1,WEEKDAY($A680,2))*(1+'Control Room'!$D$9)^678*'Process'!AE680),2),"")</x:f>
      </x:c>
      <x:c r="I680" s="16" t="str">
        <x:f>IF(AND(AND(679&lt;='Control Room'!$B$3,'Control Room'!$D$3="Ready"),7&lt;='Control Room'!$B$2),ROUND(MAX(0,'Process'!AI680*'Control Room'!$H$10*INDEX('Control Room'!$B$19:$H$19,1,WEEKDAY($A680,2))*(1+'Control Room'!$D$9)^678*'Process'!AJ680),2),"")</x:f>
      </x:c>
      <x:c r="J680" s="16" t="str">
        <x:f>IF(AND(AND(679&lt;='Control Room'!$B$3,'Control Room'!$D$3="Ready"),8&lt;='Control Room'!$B$2),ROUND(MAX(0,'Process'!AN680*'Control Room'!$H$11*INDEX('Control Room'!$B$19:$H$19,1,WEEKDAY($A680,2))*(1+'Control Room'!$D$9)^678*'Process'!AO680),2),"")</x:f>
      </x:c>
      <x:c r="K680" s="16" t="str">
        <x:f>IF(AND(AND(679&lt;='Control Room'!$B$3,'Control Room'!$D$3="Ready"),9&lt;='Control Room'!$B$2),ROUND(MAX(0,'Process'!AS680*'Control Room'!$H$12*INDEX('Control Room'!$B$19:$H$19,1,WEEKDAY($A680,2))*(1+'Control Room'!$D$9)^678*'Process'!AT680),2),"")</x:f>
      </x:c>
      <x:c r="L680" s="16" t="str">
        <x:f>IF(AND(AND(679&lt;='Control Room'!$B$3,'Control Room'!$D$3="Ready"),10&lt;='Control Room'!$B$2),ROUND(MAX(0,'Process'!AX680*'Control Room'!$H$13*INDEX('Control Room'!$B$19:$H$19,1,WEEKDAY($A680,2))*(1+'Control Room'!$D$9)^678*'Process'!AY680),2),"")</x:f>
      </x:c>
      <x:c r="M680" s="16" t="str">
        <x:f>IF(AND(AND(679&lt;='Control Room'!$B$3,'Control Room'!$D$3="Ready"),11&lt;='Control Room'!$B$2),ROUND(MAX(0,'Process'!BC680*'Control Room'!$H$14*INDEX('Control Room'!$B$19:$H$19,1,WEEKDAY($A680,2))*(1+'Control Room'!$D$9)^678*'Process'!BD680),2),"")</x:f>
      </x:c>
      <x:c r="N680" s="16" t="str">
        <x:f>IF(AND(AND(679&lt;='Control Room'!$B$3,'Control Room'!$D$3="Ready"),12&lt;='Control Room'!$B$2),ROUND(MAX(0,'Process'!BH680*'Control Room'!$H$15*INDEX('Control Room'!$B$19:$H$19,1,WEEKDAY($A680,2))*(1+'Control Room'!$D$9)^678*'Process'!BI680),2),"")</x:f>
      </x:c>
    </x:row>
    <x:row r="681" ht="21" customHeight="1">
      <x:c r="A681" s="15" t="str">
        <x:f>IF(AND(680&lt;='Control Room'!$B$3,'Control Room'!$D$3="Ready"),'Process'!A681,"")</x:f>
      </x:c>
      <x:c r="B681" s="16" t="str">
        <x:f>IF(A681="","",SUM(C681:N681))</x:f>
      </x:c>
      <x:c r="C681" s="16" t="str">
        <x:f>IF(AND(AND(680&lt;='Control Room'!$B$3,'Control Room'!$D$3="Ready"),1&lt;='Control Room'!$B$2),ROUND(MAX(0,'Process'!E681*'Control Room'!$H$4*INDEX('Control Room'!$B$19:$H$19,1,WEEKDAY($A681,2))*(1+'Control Room'!$D$9)^679*'Process'!F681),2),"")</x:f>
      </x:c>
      <x:c r="D681" s="16" t="str">
        <x:f>IF(AND(AND(680&lt;='Control Room'!$B$3,'Control Room'!$D$3="Ready"),2&lt;='Control Room'!$B$2),ROUND(MAX(0,'Process'!J681*'Control Room'!$H$5*INDEX('Control Room'!$B$19:$H$19,1,WEEKDAY($A681,2))*(1+'Control Room'!$D$9)^679*'Process'!K681),2),"")</x:f>
      </x:c>
      <x:c r="E681" s="16" t="str">
        <x:f>IF(AND(AND(680&lt;='Control Room'!$B$3,'Control Room'!$D$3="Ready"),3&lt;='Control Room'!$B$2),ROUND(MAX(0,'Process'!O681*'Control Room'!$H$6*INDEX('Control Room'!$B$19:$H$19,1,WEEKDAY($A681,2))*(1+'Control Room'!$D$9)^679*'Process'!P681),2),"")</x:f>
      </x:c>
      <x:c r="F681" s="16" t="str">
        <x:f>IF(AND(AND(680&lt;='Control Room'!$B$3,'Control Room'!$D$3="Ready"),4&lt;='Control Room'!$B$2),ROUND(MAX(0,'Process'!T681*'Control Room'!$H$7*INDEX('Control Room'!$B$19:$H$19,1,WEEKDAY($A681,2))*(1+'Control Room'!$D$9)^679*'Process'!U681),2),"")</x:f>
      </x:c>
      <x:c r="G681" s="16" t="str">
        <x:f>IF(AND(AND(680&lt;='Control Room'!$B$3,'Control Room'!$D$3="Ready"),5&lt;='Control Room'!$B$2),ROUND(MAX(0,'Process'!Y681*'Control Room'!$H$8*INDEX('Control Room'!$B$19:$H$19,1,WEEKDAY($A681,2))*(1+'Control Room'!$D$9)^679*'Process'!Z681),2),"")</x:f>
      </x:c>
      <x:c r="H681" s="16" t="str">
        <x:f>IF(AND(AND(680&lt;='Control Room'!$B$3,'Control Room'!$D$3="Ready"),6&lt;='Control Room'!$B$2),ROUND(MAX(0,'Process'!AD681*'Control Room'!$H$9*INDEX('Control Room'!$B$19:$H$19,1,WEEKDAY($A681,2))*(1+'Control Room'!$D$9)^679*'Process'!AE681),2),"")</x:f>
      </x:c>
      <x:c r="I681" s="16" t="str">
        <x:f>IF(AND(AND(680&lt;='Control Room'!$B$3,'Control Room'!$D$3="Ready"),7&lt;='Control Room'!$B$2),ROUND(MAX(0,'Process'!AI681*'Control Room'!$H$10*INDEX('Control Room'!$B$19:$H$19,1,WEEKDAY($A681,2))*(1+'Control Room'!$D$9)^679*'Process'!AJ681),2),"")</x:f>
      </x:c>
      <x:c r="J681" s="16" t="str">
        <x:f>IF(AND(AND(680&lt;='Control Room'!$B$3,'Control Room'!$D$3="Ready"),8&lt;='Control Room'!$B$2),ROUND(MAX(0,'Process'!AN681*'Control Room'!$H$11*INDEX('Control Room'!$B$19:$H$19,1,WEEKDAY($A681,2))*(1+'Control Room'!$D$9)^679*'Process'!AO681),2),"")</x:f>
      </x:c>
      <x:c r="K681" s="16" t="str">
        <x:f>IF(AND(AND(680&lt;='Control Room'!$B$3,'Control Room'!$D$3="Ready"),9&lt;='Control Room'!$B$2),ROUND(MAX(0,'Process'!AS681*'Control Room'!$H$12*INDEX('Control Room'!$B$19:$H$19,1,WEEKDAY($A681,2))*(1+'Control Room'!$D$9)^679*'Process'!AT681),2),"")</x:f>
      </x:c>
      <x:c r="L681" s="16" t="str">
        <x:f>IF(AND(AND(680&lt;='Control Room'!$B$3,'Control Room'!$D$3="Ready"),10&lt;='Control Room'!$B$2),ROUND(MAX(0,'Process'!AX681*'Control Room'!$H$13*INDEX('Control Room'!$B$19:$H$19,1,WEEKDAY($A681,2))*(1+'Control Room'!$D$9)^679*'Process'!AY681),2),"")</x:f>
      </x:c>
      <x:c r="M681" s="16" t="str">
        <x:f>IF(AND(AND(680&lt;='Control Room'!$B$3,'Control Room'!$D$3="Ready"),11&lt;='Control Room'!$B$2),ROUND(MAX(0,'Process'!BC681*'Control Room'!$H$14*INDEX('Control Room'!$B$19:$H$19,1,WEEKDAY($A681,2))*(1+'Control Room'!$D$9)^679*'Process'!BD681),2),"")</x:f>
      </x:c>
      <x:c r="N681" s="16" t="str">
        <x:f>IF(AND(AND(680&lt;='Control Room'!$B$3,'Control Room'!$D$3="Ready"),12&lt;='Control Room'!$B$2),ROUND(MAX(0,'Process'!BH681*'Control Room'!$H$15*INDEX('Control Room'!$B$19:$H$19,1,WEEKDAY($A681,2))*(1+'Control Room'!$D$9)^679*'Process'!BI681),2),"")</x:f>
      </x:c>
    </x:row>
    <x:row r="682" ht="21" customHeight="1">
      <x:c r="A682" s="15" t="str">
        <x:f>IF(AND(681&lt;='Control Room'!$B$3,'Control Room'!$D$3="Ready"),'Process'!A682,"")</x:f>
      </x:c>
      <x:c r="B682" s="16" t="str">
        <x:f>IF(A682="","",SUM(C682:N682))</x:f>
      </x:c>
      <x:c r="C682" s="16" t="str">
        <x:f>IF(AND(AND(681&lt;='Control Room'!$B$3,'Control Room'!$D$3="Ready"),1&lt;='Control Room'!$B$2),ROUND(MAX(0,'Process'!E682*'Control Room'!$H$4*INDEX('Control Room'!$B$19:$H$19,1,WEEKDAY($A682,2))*(1+'Control Room'!$D$9)^680*'Process'!F682),2),"")</x:f>
      </x:c>
      <x:c r="D682" s="16" t="str">
        <x:f>IF(AND(AND(681&lt;='Control Room'!$B$3,'Control Room'!$D$3="Ready"),2&lt;='Control Room'!$B$2),ROUND(MAX(0,'Process'!J682*'Control Room'!$H$5*INDEX('Control Room'!$B$19:$H$19,1,WEEKDAY($A682,2))*(1+'Control Room'!$D$9)^680*'Process'!K682),2),"")</x:f>
      </x:c>
      <x:c r="E682" s="16" t="str">
        <x:f>IF(AND(AND(681&lt;='Control Room'!$B$3,'Control Room'!$D$3="Ready"),3&lt;='Control Room'!$B$2),ROUND(MAX(0,'Process'!O682*'Control Room'!$H$6*INDEX('Control Room'!$B$19:$H$19,1,WEEKDAY($A682,2))*(1+'Control Room'!$D$9)^680*'Process'!P682),2),"")</x:f>
      </x:c>
      <x:c r="F682" s="16" t="str">
        <x:f>IF(AND(AND(681&lt;='Control Room'!$B$3,'Control Room'!$D$3="Ready"),4&lt;='Control Room'!$B$2),ROUND(MAX(0,'Process'!T682*'Control Room'!$H$7*INDEX('Control Room'!$B$19:$H$19,1,WEEKDAY($A682,2))*(1+'Control Room'!$D$9)^680*'Process'!U682),2),"")</x:f>
      </x:c>
      <x:c r="G682" s="16" t="str">
        <x:f>IF(AND(AND(681&lt;='Control Room'!$B$3,'Control Room'!$D$3="Ready"),5&lt;='Control Room'!$B$2),ROUND(MAX(0,'Process'!Y682*'Control Room'!$H$8*INDEX('Control Room'!$B$19:$H$19,1,WEEKDAY($A682,2))*(1+'Control Room'!$D$9)^680*'Process'!Z682),2),"")</x:f>
      </x:c>
      <x:c r="H682" s="16" t="str">
        <x:f>IF(AND(AND(681&lt;='Control Room'!$B$3,'Control Room'!$D$3="Ready"),6&lt;='Control Room'!$B$2),ROUND(MAX(0,'Process'!AD682*'Control Room'!$H$9*INDEX('Control Room'!$B$19:$H$19,1,WEEKDAY($A682,2))*(1+'Control Room'!$D$9)^680*'Process'!AE682),2),"")</x:f>
      </x:c>
      <x:c r="I682" s="16" t="str">
        <x:f>IF(AND(AND(681&lt;='Control Room'!$B$3,'Control Room'!$D$3="Ready"),7&lt;='Control Room'!$B$2),ROUND(MAX(0,'Process'!AI682*'Control Room'!$H$10*INDEX('Control Room'!$B$19:$H$19,1,WEEKDAY($A682,2))*(1+'Control Room'!$D$9)^680*'Process'!AJ682),2),"")</x:f>
      </x:c>
      <x:c r="J682" s="16" t="str">
        <x:f>IF(AND(AND(681&lt;='Control Room'!$B$3,'Control Room'!$D$3="Ready"),8&lt;='Control Room'!$B$2),ROUND(MAX(0,'Process'!AN682*'Control Room'!$H$11*INDEX('Control Room'!$B$19:$H$19,1,WEEKDAY($A682,2))*(1+'Control Room'!$D$9)^680*'Process'!AO682),2),"")</x:f>
      </x:c>
      <x:c r="K682" s="16" t="str">
        <x:f>IF(AND(AND(681&lt;='Control Room'!$B$3,'Control Room'!$D$3="Ready"),9&lt;='Control Room'!$B$2),ROUND(MAX(0,'Process'!AS682*'Control Room'!$H$12*INDEX('Control Room'!$B$19:$H$19,1,WEEKDAY($A682,2))*(1+'Control Room'!$D$9)^680*'Process'!AT682),2),"")</x:f>
      </x:c>
      <x:c r="L682" s="16" t="str">
        <x:f>IF(AND(AND(681&lt;='Control Room'!$B$3,'Control Room'!$D$3="Ready"),10&lt;='Control Room'!$B$2),ROUND(MAX(0,'Process'!AX682*'Control Room'!$H$13*INDEX('Control Room'!$B$19:$H$19,1,WEEKDAY($A682,2))*(1+'Control Room'!$D$9)^680*'Process'!AY682),2),"")</x:f>
      </x:c>
      <x:c r="M682" s="16" t="str">
        <x:f>IF(AND(AND(681&lt;='Control Room'!$B$3,'Control Room'!$D$3="Ready"),11&lt;='Control Room'!$B$2),ROUND(MAX(0,'Process'!BC682*'Control Room'!$H$14*INDEX('Control Room'!$B$19:$H$19,1,WEEKDAY($A682,2))*(1+'Control Room'!$D$9)^680*'Process'!BD682),2),"")</x:f>
      </x:c>
      <x:c r="N682" s="16" t="str">
        <x:f>IF(AND(AND(681&lt;='Control Room'!$B$3,'Control Room'!$D$3="Ready"),12&lt;='Control Room'!$B$2),ROUND(MAX(0,'Process'!BH682*'Control Room'!$H$15*INDEX('Control Room'!$B$19:$H$19,1,WEEKDAY($A682,2))*(1+'Control Room'!$D$9)^680*'Process'!BI682),2),"")</x:f>
      </x:c>
    </x:row>
    <x:row r="683" ht="21" customHeight="1">
      <x:c r="A683" s="15" t="str">
        <x:f>IF(AND(682&lt;='Control Room'!$B$3,'Control Room'!$D$3="Ready"),'Process'!A683,"")</x:f>
      </x:c>
      <x:c r="B683" s="16" t="str">
        <x:f>IF(A683="","",SUM(C683:N683))</x:f>
      </x:c>
      <x:c r="C683" s="16" t="str">
        <x:f>IF(AND(AND(682&lt;='Control Room'!$B$3,'Control Room'!$D$3="Ready"),1&lt;='Control Room'!$B$2),ROUND(MAX(0,'Process'!E683*'Control Room'!$H$4*INDEX('Control Room'!$B$19:$H$19,1,WEEKDAY($A683,2))*(1+'Control Room'!$D$9)^681*'Process'!F683),2),"")</x:f>
      </x:c>
      <x:c r="D683" s="16" t="str">
        <x:f>IF(AND(AND(682&lt;='Control Room'!$B$3,'Control Room'!$D$3="Ready"),2&lt;='Control Room'!$B$2),ROUND(MAX(0,'Process'!J683*'Control Room'!$H$5*INDEX('Control Room'!$B$19:$H$19,1,WEEKDAY($A683,2))*(1+'Control Room'!$D$9)^681*'Process'!K683),2),"")</x:f>
      </x:c>
      <x:c r="E683" s="16" t="str">
        <x:f>IF(AND(AND(682&lt;='Control Room'!$B$3,'Control Room'!$D$3="Ready"),3&lt;='Control Room'!$B$2),ROUND(MAX(0,'Process'!O683*'Control Room'!$H$6*INDEX('Control Room'!$B$19:$H$19,1,WEEKDAY($A683,2))*(1+'Control Room'!$D$9)^681*'Process'!P683),2),"")</x:f>
      </x:c>
      <x:c r="F683" s="16" t="str">
        <x:f>IF(AND(AND(682&lt;='Control Room'!$B$3,'Control Room'!$D$3="Ready"),4&lt;='Control Room'!$B$2),ROUND(MAX(0,'Process'!T683*'Control Room'!$H$7*INDEX('Control Room'!$B$19:$H$19,1,WEEKDAY($A683,2))*(1+'Control Room'!$D$9)^681*'Process'!U683),2),"")</x:f>
      </x:c>
      <x:c r="G683" s="16" t="str">
        <x:f>IF(AND(AND(682&lt;='Control Room'!$B$3,'Control Room'!$D$3="Ready"),5&lt;='Control Room'!$B$2),ROUND(MAX(0,'Process'!Y683*'Control Room'!$H$8*INDEX('Control Room'!$B$19:$H$19,1,WEEKDAY($A683,2))*(1+'Control Room'!$D$9)^681*'Process'!Z683),2),"")</x:f>
      </x:c>
      <x:c r="H683" s="16" t="str">
        <x:f>IF(AND(AND(682&lt;='Control Room'!$B$3,'Control Room'!$D$3="Ready"),6&lt;='Control Room'!$B$2),ROUND(MAX(0,'Process'!AD683*'Control Room'!$H$9*INDEX('Control Room'!$B$19:$H$19,1,WEEKDAY($A683,2))*(1+'Control Room'!$D$9)^681*'Process'!AE683),2),"")</x:f>
      </x:c>
      <x:c r="I683" s="16" t="str">
        <x:f>IF(AND(AND(682&lt;='Control Room'!$B$3,'Control Room'!$D$3="Ready"),7&lt;='Control Room'!$B$2),ROUND(MAX(0,'Process'!AI683*'Control Room'!$H$10*INDEX('Control Room'!$B$19:$H$19,1,WEEKDAY($A683,2))*(1+'Control Room'!$D$9)^681*'Process'!AJ683),2),"")</x:f>
      </x:c>
      <x:c r="J683" s="16" t="str">
        <x:f>IF(AND(AND(682&lt;='Control Room'!$B$3,'Control Room'!$D$3="Ready"),8&lt;='Control Room'!$B$2),ROUND(MAX(0,'Process'!AN683*'Control Room'!$H$11*INDEX('Control Room'!$B$19:$H$19,1,WEEKDAY($A683,2))*(1+'Control Room'!$D$9)^681*'Process'!AO683),2),"")</x:f>
      </x:c>
      <x:c r="K683" s="16" t="str">
        <x:f>IF(AND(AND(682&lt;='Control Room'!$B$3,'Control Room'!$D$3="Ready"),9&lt;='Control Room'!$B$2),ROUND(MAX(0,'Process'!AS683*'Control Room'!$H$12*INDEX('Control Room'!$B$19:$H$19,1,WEEKDAY($A683,2))*(1+'Control Room'!$D$9)^681*'Process'!AT683),2),"")</x:f>
      </x:c>
      <x:c r="L683" s="16" t="str">
        <x:f>IF(AND(AND(682&lt;='Control Room'!$B$3,'Control Room'!$D$3="Ready"),10&lt;='Control Room'!$B$2),ROUND(MAX(0,'Process'!AX683*'Control Room'!$H$13*INDEX('Control Room'!$B$19:$H$19,1,WEEKDAY($A683,2))*(1+'Control Room'!$D$9)^681*'Process'!AY683),2),"")</x:f>
      </x:c>
      <x:c r="M683" s="16" t="str">
        <x:f>IF(AND(AND(682&lt;='Control Room'!$B$3,'Control Room'!$D$3="Ready"),11&lt;='Control Room'!$B$2),ROUND(MAX(0,'Process'!BC683*'Control Room'!$H$14*INDEX('Control Room'!$B$19:$H$19,1,WEEKDAY($A683,2))*(1+'Control Room'!$D$9)^681*'Process'!BD683),2),"")</x:f>
      </x:c>
      <x:c r="N683" s="16" t="str">
        <x:f>IF(AND(AND(682&lt;='Control Room'!$B$3,'Control Room'!$D$3="Ready"),12&lt;='Control Room'!$B$2),ROUND(MAX(0,'Process'!BH683*'Control Room'!$H$15*INDEX('Control Room'!$B$19:$H$19,1,WEEKDAY($A683,2))*(1+'Control Room'!$D$9)^681*'Process'!BI683),2),"")</x:f>
      </x:c>
    </x:row>
    <x:row r="684" ht="21" customHeight="1">
      <x:c r="A684" s="15" t="str">
        <x:f>IF(AND(683&lt;='Control Room'!$B$3,'Control Room'!$D$3="Ready"),'Process'!A684,"")</x:f>
      </x:c>
      <x:c r="B684" s="16" t="str">
        <x:f>IF(A684="","",SUM(C684:N684))</x:f>
      </x:c>
      <x:c r="C684" s="16" t="str">
        <x:f>IF(AND(AND(683&lt;='Control Room'!$B$3,'Control Room'!$D$3="Ready"),1&lt;='Control Room'!$B$2),ROUND(MAX(0,'Process'!E684*'Control Room'!$H$4*INDEX('Control Room'!$B$19:$H$19,1,WEEKDAY($A684,2))*(1+'Control Room'!$D$9)^682*'Process'!F684),2),"")</x:f>
      </x:c>
      <x:c r="D684" s="16" t="str">
        <x:f>IF(AND(AND(683&lt;='Control Room'!$B$3,'Control Room'!$D$3="Ready"),2&lt;='Control Room'!$B$2),ROUND(MAX(0,'Process'!J684*'Control Room'!$H$5*INDEX('Control Room'!$B$19:$H$19,1,WEEKDAY($A684,2))*(1+'Control Room'!$D$9)^682*'Process'!K684),2),"")</x:f>
      </x:c>
      <x:c r="E684" s="16" t="str">
        <x:f>IF(AND(AND(683&lt;='Control Room'!$B$3,'Control Room'!$D$3="Ready"),3&lt;='Control Room'!$B$2),ROUND(MAX(0,'Process'!O684*'Control Room'!$H$6*INDEX('Control Room'!$B$19:$H$19,1,WEEKDAY($A684,2))*(1+'Control Room'!$D$9)^682*'Process'!P684),2),"")</x:f>
      </x:c>
      <x:c r="F684" s="16" t="str">
        <x:f>IF(AND(AND(683&lt;='Control Room'!$B$3,'Control Room'!$D$3="Ready"),4&lt;='Control Room'!$B$2),ROUND(MAX(0,'Process'!T684*'Control Room'!$H$7*INDEX('Control Room'!$B$19:$H$19,1,WEEKDAY($A684,2))*(1+'Control Room'!$D$9)^682*'Process'!U684),2),"")</x:f>
      </x:c>
      <x:c r="G684" s="16" t="str">
        <x:f>IF(AND(AND(683&lt;='Control Room'!$B$3,'Control Room'!$D$3="Ready"),5&lt;='Control Room'!$B$2),ROUND(MAX(0,'Process'!Y684*'Control Room'!$H$8*INDEX('Control Room'!$B$19:$H$19,1,WEEKDAY($A684,2))*(1+'Control Room'!$D$9)^682*'Process'!Z684),2),"")</x:f>
      </x:c>
      <x:c r="H684" s="16" t="str">
        <x:f>IF(AND(AND(683&lt;='Control Room'!$B$3,'Control Room'!$D$3="Ready"),6&lt;='Control Room'!$B$2),ROUND(MAX(0,'Process'!AD684*'Control Room'!$H$9*INDEX('Control Room'!$B$19:$H$19,1,WEEKDAY($A684,2))*(1+'Control Room'!$D$9)^682*'Process'!AE684),2),"")</x:f>
      </x:c>
      <x:c r="I684" s="16" t="str">
        <x:f>IF(AND(AND(683&lt;='Control Room'!$B$3,'Control Room'!$D$3="Ready"),7&lt;='Control Room'!$B$2),ROUND(MAX(0,'Process'!AI684*'Control Room'!$H$10*INDEX('Control Room'!$B$19:$H$19,1,WEEKDAY($A684,2))*(1+'Control Room'!$D$9)^682*'Process'!AJ684),2),"")</x:f>
      </x:c>
      <x:c r="J684" s="16" t="str">
        <x:f>IF(AND(AND(683&lt;='Control Room'!$B$3,'Control Room'!$D$3="Ready"),8&lt;='Control Room'!$B$2),ROUND(MAX(0,'Process'!AN684*'Control Room'!$H$11*INDEX('Control Room'!$B$19:$H$19,1,WEEKDAY($A684,2))*(1+'Control Room'!$D$9)^682*'Process'!AO684),2),"")</x:f>
      </x:c>
      <x:c r="K684" s="16" t="str">
        <x:f>IF(AND(AND(683&lt;='Control Room'!$B$3,'Control Room'!$D$3="Ready"),9&lt;='Control Room'!$B$2),ROUND(MAX(0,'Process'!AS684*'Control Room'!$H$12*INDEX('Control Room'!$B$19:$H$19,1,WEEKDAY($A684,2))*(1+'Control Room'!$D$9)^682*'Process'!AT684),2),"")</x:f>
      </x:c>
      <x:c r="L684" s="16" t="str">
        <x:f>IF(AND(AND(683&lt;='Control Room'!$B$3,'Control Room'!$D$3="Ready"),10&lt;='Control Room'!$B$2),ROUND(MAX(0,'Process'!AX684*'Control Room'!$H$13*INDEX('Control Room'!$B$19:$H$19,1,WEEKDAY($A684,2))*(1+'Control Room'!$D$9)^682*'Process'!AY684),2),"")</x:f>
      </x:c>
      <x:c r="M684" s="16" t="str">
        <x:f>IF(AND(AND(683&lt;='Control Room'!$B$3,'Control Room'!$D$3="Ready"),11&lt;='Control Room'!$B$2),ROUND(MAX(0,'Process'!BC684*'Control Room'!$H$14*INDEX('Control Room'!$B$19:$H$19,1,WEEKDAY($A684,2))*(1+'Control Room'!$D$9)^682*'Process'!BD684),2),"")</x:f>
      </x:c>
      <x:c r="N684" s="16" t="str">
        <x:f>IF(AND(AND(683&lt;='Control Room'!$B$3,'Control Room'!$D$3="Ready"),12&lt;='Control Room'!$B$2),ROUND(MAX(0,'Process'!BH684*'Control Room'!$H$15*INDEX('Control Room'!$B$19:$H$19,1,WEEKDAY($A684,2))*(1+'Control Room'!$D$9)^682*'Process'!BI684),2),"")</x:f>
      </x:c>
    </x:row>
    <x:row r="685" ht="21" customHeight="1">
      <x:c r="A685" s="15" t="str">
        <x:f>IF(AND(684&lt;='Control Room'!$B$3,'Control Room'!$D$3="Ready"),'Process'!A685,"")</x:f>
      </x:c>
      <x:c r="B685" s="16" t="str">
        <x:f>IF(A685="","",SUM(C685:N685))</x:f>
      </x:c>
      <x:c r="C685" s="16" t="str">
        <x:f>IF(AND(AND(684&lt;='Control Room'!$B$3,'Control Room'!$D$3="Ready"),1&lt;='Control Room'!$B$2),ROUND(MAX(0,'Process'!E685*'Control Room'!$H$4*INDEX('Control Room'!$B$19:$H$19,1,WEEKDAY($A685,2))*(1+'Control Room'!$D$9)^683*'Process'!F685),2),"")</x:f>
      </x:c>
      <x:c r="D685" s="16" t="str">
        <x:f>IF(AND(AND(684&lt;='Control Room'!$B$3,'Control Room'!$D$3="Ready"),2&lt;='Control Room'!$B$2),ROUND(MAX(0,'Process'!J685*'Control Room'!$H$5*INDEX('Control Room'!$B$19:$H$19,1,WEEKDAY($A685,2))*(1+'Control Room'!$D$9)^683*'Process'!K685),2),"")</x:f>
      </x:c>
      <x:c r="E685" s="16" t="str">
        <x:f>IF(AND(AND(684&lt;='Control Room'!$B$3,'Control Room'!$D$3="Ready"),3&lt;='Control Room'!$B$2),ROUND(MAX(0,'Process'!O685*'Control Room'!$H$6*INDEX('Control Room'!$B$19:$H$19,1,WEEKDAY($A685,2))*(1+'Control Room'!$D$9)^683*'Process'!P685),2),"")</x:f>
      </x:c>
      <x:c r="F685" s="16" t="str">
        <x:f>IF(AND(AND(684&lt;='Control Room'!$B$3,'Control Room'!$D$3="Ready"),4&lt;='Control Room'!$B$2),ROUND(MAX(0,'Process'!T685*'Control Room'!$H$7*INDEX('Control Room'!$B$19:$H$19,1,WEEKDAY($A685,2))*(1+'Control Room'!$D$9)^683*'Process'!U685),2),"")</x:f>
      </x:c>
      <x:c r="G685" s="16" t="str">
        <x:f>IF(AND(AND(684&lt;='Control Room'!$B$3,'Control Room'!$D$3="Ready"),5&lt;='Control Room'!$B$2),ROUND(MAX(0,'Process'!Y685*'Control Room'!$H$8*INDEX('Control Room'!$B$19:$H$19,1,WEEKDAY($A685,2))*(1+'Control Room'!$D$9)^683*'Process'!Z685),2),"")</x:f>
      </x:c>
      <x:c r="H685" s="16" t="str">
        <x:f>IF(AND(AND(684&lt;='Control Room'!$B$3,'Control Room'!$D$3="Ready"),6&lt;='Control Room'!$B$2),ROUND(MAX(0,'Process'!AD685*'Control Room'!$H$9*INDEX('Control Room'!$B$19:$H$19,1,WEEKDAY($A685,2))*(1+'Control Room'!$D$9)^683*'Process'!AE685),2),"")</x:f>
      </x:c>
      <x:c r="I685" s="16" t="str">
        <x:f>IF(AND(AND(684&lt;='Control Room'!$B$3,'Control Room'!$D$3="Ready"),7&lt;='Control Room'!$B$2),ROUND(MAX(0,'Process'!AI685*'Control Room'!$H$10*INDEX('Control Room'!$B$19:$H$19,1,WEEKDAY($A685,2))*(1+'Control Room'!$D$9)^683*'Process'!AJ685),2),"")</x:f>
      </x:c>
      <x:c r="J685" s="16" t="str">
        <x:f>IF(AND(AND(684&lt;='Control Room'!$B$3,'Control Room'!$D$3="Ready"),8&lt;='Control Room'!$B$2),ROUND(MAX(0,'Process'!AN685*'Control Room'!$H$11*INDEX('Control Room'!$B$19:$H$19,1,WEEKDAY($A685,2))*(1+'Control Room'!$D$9)^683*'Process'!AO685),2),"")</x:f>
      </x:c>
      <x:c r="K685" s="16" t="str">
        <x:f>IF(AND(AND(684&lt;='Control Room'!$B$3,'Control Room'!$D$3="Ready"),9&lt;='Control Room'!$B$2),ROUND(MAX(0,'Process'!AS685*'Control Room'!$H$12*INDEX('Control Room'!$B$19:$H$19,1,WEEKDAY($A685,2))*(1+'Control Room'!$D$9)^683*'Process'!AT685),2),"")</x:f>
      </x:c>
      <x:c r="L685" s="16" t="str">
        <x:f>IF(AND(AND(684&lt;='Control Room'!$B$3,'Control Room'!$D$3="Ready"),10&lt;='Control Room'!$B$2),ROUND(MAX(0,'Process'!AX685*'Control Room'!$H$13*INDEX('Control Room'!$B$19:$H$19,1,WEEKDAY($A685,2))*(1+'Control Room'!$D$9)^683*'Process'!AY685),2),"")</x:f>
      </x:c>
      <x:c r="M685" s="16" t="str">
        <x:f>IF(AND(AND(684&lt;='Control Room'!$B$3,'Control Room'!$D$3="Ready"),11&lt;='Control Room'!$B$2),ROUND(MAX(0,'Process'!BC685*'Control Room'!$H$14*INDEX('Control Room'!$B$19:$H$19,1,WEEKDAY($A685,2))*(1+'Control Room'!$D$9)^683*'Process'!BD685),2),"")</x:f>
      </x:c>
      <x:c r="N685" s="16" t="str">
        <x:f>IF(AND(AND(684&lt;='Control Room'!$B$3,'Control Room'!$D$3="Ready"),12&lt;='Control Room'!$B$2),ROUND(MAX(0,'Process'!BH685*'Control Room'!$H$15*INDEX('Control Room'!$B$19:$H$19,1,WEEKDAY($A685,2))*(1+'Control Room'!$D$9)^683*'Process'!BI685),2),"")</x:f>
      </x:c>
    </x:row>
    <x:row r="686" ht="21" customHeight="1">
      <x:c r="A686" s="15" t="str">
        <x:f>IF(AND(685&lt;='Control Room'!$B$3,'Control Room'!$D$3="Ready"),'Process'!A686,"")</x:f>
      </x:c>
      <x:c r="B686" s="16" t="str">
        <x:f>IF(A686="","",SUM(C686:N686))</x:f>
      </x:c>
      <x:c r="C686" s="16" t="str">
        <x:f>IF(AND(AND(685&lt;='Control Room'!$B$3,'Control Room'!$D$3="Ready"),1&lt;='Control Room'!$B$2),ROUND(MAX(0,'Process'!E686*'Control Room'!$H$4*INDEX('Control Room'!$B$19:$H$19,1,WEEKDAY($A686,2))*(1+'Control Room'!$D$9)^684*'Process'!F686),2),"")</x:f>
      </x:c>
      <x:c r="D686" s="16" t="str">
        <x:f>IF(AND(AND(685&lt;='Control Room'!$B$3,'Control Room'!$D$3="Ready"),2&lt;='Control Room'!$B$2),ROUND(MAX(0,'Process'!J686*'Control Room'!$H$5*INDEX('Control Room'!$B$19:$H$19,1,WEEKDAY($A686,2))*(1+'Control Room'!$D$9)^684*'Process'!K686),2),"")</x:f>
      </x:c>
      <x:c r="E686" s="16" t="str">
        <x:f>IF(AND(AND(685&lt;='Control Room'!$B$3,'Control Room'!$D$3="Ready"),3&lt;='Control Room'!$B$2),ROUND(MAX(0,'Process'!O686*'Control Room'!$H$6*INDEX('Control Room'!$B$19:$H$19,1,WEEKDAY($A686,2))*(1+'Control Room'!$D$9)^684*'Process'!P686),2),"")</x:f>
      </x:c>
      <x:c r="F686" s="16" t="str">
        <x:f>IF(AND(AND(685&lt;='Control Room'!$B$3,'Control Room'!$D$3="Ready"),4&lt;='Control Room'!$B$2),ROUND(MAX(0,'Process'!T686*'Control Room'!$H$7*INDEX('Control Room'!$B$19:$H$19,1,WEEKDAY($A686,2))*(1+'Control Room'!$D$9)^684*'Process'!U686),2),"")</x:f>
      </x:c>
      <x:c r="G686" s="16" t="str">
        <x:f>IF(AND(AND(685&lt;='Control Room'!$B$3,'Control Room'!$D$3="Ready"),5&lt;='Control Room'!$B$2),ROUND(MAX(0,'Process'!Y686*'Control Room'!$H$8*INDEX('Control Room'!$B$19:$H$19,1,WEEKDAY($A686,2))*(1+'Control Room'!$D$9)^684*'Process'!Z686),2),"")</x:f>
      </x:c>
      <x:c r="H686" s="16" t="str">
        <x:f>IF(AND(AND(685&lt;='Control Room'!$B$3,'Control Room'!$D$3="Ready"),6&lt;='Control Room'!$B$2),ROUND(MAX(0,'Process'!AD686*'Control Room'!$H$9*INDEX('Control Room'!$B$19:$H$19,1,WEEKDAY($A686,2))*(1+'Control Room'!$D$9)^684*'Process'!AE686),2),"")</x:f>
      </x:c>
      <x:c r="I686" s="16" t="str">
        <x:f>IF(AND(AND(685&lt;='Control Room'!$B$3,'Control Room'!$D$3="Ready"),7&lt;='Control Room'!$B$2),ROUND(MAX(0,'Process'!AI686*'Control Room'!$H$10*INDEX('Control Room'!$B$19:$H$19,1,WEEKDAY($A686,2))*(1+'Control Room'!$D$9)^684*'Process'!AJ686),2),"")</x:f>
      </x:c>
      <x:c r="J686" s="16" t="str">
        <x:f>IF(AND(AND(685&lt;='Control Room'!$B$3,'Control Room'!$D$3="Ready"),8&lt;='Control Room'!$B$2),ROUND(MAX(0,'Process'!AN686*'Control Room'!$H$11*INDEX('Control Room'!$B$19:$H$19,1,WEEKDAY($A686,2))*(1+'Control Room'!$D$9)^684*'Process'!AO686),2),"")</x:f>
      </x:c>
      <x:c r="K686" s="16" t="str">
        <x:f>IF(AND(AND(685&lt;='Control Room'!$B$3,'Control Room'!$D$3="Ready"),9&lt;='Control Room'!$B$2),ROUND(MAX(0,'Process'!AS686*'Control Room'!$H$12*INDEX('Control Room'!$B$19:$H$19,1,WEEKDAY($A686,2))*(1+'Control Room'!$D$9)^684*'Process'!AT686),2),"")</x:f>
      </x:c>
      <x:c r="L686" s="16" t="str">
        <x:f>IF(AND(AND(685&lt;='Control Room'!$B$3,'Control Room'!$D$3="Ready"),10&lt;='Control Room'!$B$2),ROUND(MAX(0,'Process'!AX686*'Control Room'!$H$13*INDEX('Control Room'!$B$19:$H$19,1,WEEKDAY($A686,2))*(1+'Control Room'!$D$9)^684*'Process'!AY686),2),"")</x:f>
      </x:c>
      <x:c r="M686" s="16" t="str">
        <x:f>IF(AND(AND(685&lt;='Control Room'!$B$3,'Control Room'!$D$3="Ready"),11&lt;='Control Room'!$B$2),ROUND(MAX(0,'Process'!BC686*'Control Room'!$H$14*INDEX('Control Room'!$B$19:$H$19,1,WEEKDAY($A686,2))*(1+'Control Room'!$D$9)^684*'Process'!BD686),2),"")</x:f>
      </x:c>
      <x:c r="N686" s="16" t="str">
        <x:f>IF(AND(AND(685&lt;='Control Room'!$B$3,'Control Room'!$D$3="Ready"),12&lt;='Control Room'!$B$2),ROUND(MAX(0,'Process'!BH686*'Control Room'!$H$15*INDEX('Control Room'!$B$19:$H$19,1,WEEKDAY($A686,2))*(1+'Control Room'!$D$9)^684*'Process'!BI686),2),"")</x:f>
      </x:c>
    </x:row>
    <x:row r="687" ht="21" customHeight="1">
      <x:c r="A687" s="15" t="str">
        <x:f>IF(AND(686&lt;='Control Room'!$B$3,'Control Room'!$D$3="Ready"),'Process'!A687,"")</x:f>
      </x:c>
      <x:c r="B687" s="16" t="str">
        <x:f>IF(A687="","",SUM(C687:N687))</x:f>
      </x:c>
      <x:c r="C687" s="16" t="str">
        <x:f>IF(AND(AND(686&lt;='Control Room'!$B$3,'Control Room'!$D$3="Ready"),1&lt;='Control Room'!$B$2),ROUND(MAX(0,'Process'!E687*'Control Room'!$H$4*INDEX('Control Room'!$B$19:$H$19,1,WEEKDAY($A687,2))*(1+'Control Room'!$D$9)^685*'Process'!F687),2),"")</x:f>
      </x:c>
      <x:c r="D687" s="16" t="str">
        <x:f>IF(AND(AND(686&lt;='Control Room'!$B$3,'Control Room'!$D$3="Ready"),2&lt;='Control Room'!$B$2),ROUND(MAX(0,'Process'!J687*'Control Room'!$H$5*INDEX('Control Room'!$B$19:$H$19,1,WEEKDAY($A687,2))*(1+'Control Room'!$D$9)^685*'Process'!K687),2),"")</x:f>
      </x:c>
      <x:c r="E687" s="16" t="str">
        <x:f>IF(AND(AND(686&lt;='Control Room'!$B$3,'Control Room'!$D$3="Ready"),3&lt;='Control Room'!$B$2),ROUND(MAX(0,'Process'!O687*'Control Room'!$H$6*INDEX('Control Room'!$B$19:$H$19,1,WEEKDAY($A687,2))*(1+'Control Room'!$D$9)^685*'Process'!P687),2),"")</x:f>
      </x:c>
      <x:c r="F687" s="16" t="str">
        <x:f>IF(AND(AND(686&lt;='Control Room'!$B$3,'Control Room'!$D$3="Ready"),4&lt;='Control Room'!$B$2),ROUND(MAX(0,'Process'!T687*'Control Room'!$H$7*INDEX('Control Room'!$B$19:$H$19,1,WEEKDAY($A687,2))*(1+'Control Room'!$D$9)^685*'Process'!U687),2),"")</x:f>
      </x:c>
      <x:c r="G687" s="16" t="str">
        <x:f>IF(AND(AND(686&lt;='Control Room'!$B$3,'Control Room'!$D$3="Ready"),5&lt;='Control Room'!$B$2),ROUND(MAX(0,'Process'!Y687*'Control Room'!$H$8*INDEX('Control Room'!$B$19:$H$19,1,WEEKDAY($A687,2))*(1+'Control Room'!$D$9)^685*'Process'!Z687),2),"")</x:f>
      </x:c>
      <x:c r="H687" s="16" t="str">
        <x:f>IF(AND(AND(686&lt;='Control Room'!$B$3,'Control Room'!$D$3="Ready"),6&lt;='Control Room'!$B$2),ROUND(MAX(0,'Process'!AD687*'Control Room'!$H$9*INDEX('Control Room'!$B$19:$H$19,1,WEEKDAY($A687,2))*(1+'Control Room'!$D$9)^685*'Process'!AE687),2),"")</x:f>
      </x:c>
      <x:c r="I687" s="16" t="str">
        <x:f>IF(AND(AND(686&lt;='Control Room'!$B$3,'Control Room'!$D$3="Ready"),7&lt;='Control Room'!$B$2),ROUND(MAX(0,'Process'!AI687*'Control Room'!$H$10*INDEX('Control Room'!$B$19:$H$19,1,WEEKDAY($A687,2))*(1+'Control Room'!$D$9)^685*'Process'!AJ687),2),"")</x:f>
      </x:c>
      <x:c r="J687" s="16" t="str">
        <x:f>IF(AND(AND(686&lt;='Control Room'!$B$3,'Control Room'!$D$3="Ready"),8&lt;='Control Room'!$B$2),ROUND(MAX(0,'Process'!AN687*'Control Room'!$H$11*INDEX('Control Room'!$B$19:$H$19,1,WEEKDAY($A687,2))*(1+'Control Room'!$D$9)^685*'Process'!AO687),2),"")</x:f>
      </x:c>
      <x:c r="K687" s="16" t="str">
        <x:f>IF(AND(AND(686&lt;='Control Room'!$B$3,'Control Room'!$D$3="Ready"),9&lt;='Control Room'!$B$2),ROUND(MAX(0,'Process'!AS687*'Control Room'!$H$12*INDEX('Control Room'!$B$19:$H$19,1,WEEKDAY($A687,2))*(1+'Control Room'!$D$9)^685*'Process'!AT687),2),"")</x:f>
      </x:c>
      <x:c r="L687" s="16" t="str">
        <x:f>IF(AND(AND(686&lt;='Control Room'!$B$3,'Control Room'!$D$3="Ready"),10&lt;='Control Room'!$B$2),ROUND(MAX(0,'Process'!AX687*'Control Room'!$H$13*INDEX('Control Room'!$B$19:$H$19,1,WEEKDAY($A687,2))*(1+'Control Room'!$D$9)^685*'Process'!AY687),2),"")</x:f>
      </x:c>
      <x:c r="M687" s="16" t="str">
        <x:f>IF(AND(AND(686&lt;='Control Room'!$B$3,'Control Room'!$D$3="Ready"),11&lt;='Control Room'!$B$2),ROUND(MAX(0,'Process'!BC687*'Control Room'!$H$14*INDEX('Control Room'!$B$19:$H$19,1,WEEKDAY($A687,2))*(1+'Control Room'!$D$9)^685*'Process'!BD687),2),"")</x:f>
      </x:c>
      <x:c r="N687" s="16" t="str">
        <x:f>IF(AND(AND(686&lt;='Control Room'!$B$3,'Control Room'!$D$3="Ready"),12&lt;='Control Room'!$B$2),ROUND(MAX(0,'Process'!BH687*'Control Room'!$H$15*INDEX('Control Room'!$B$19:$H$19,1,WEEKDAY($A687,2))*(1+'Control Room'!$D$9)^685*'Process'!BI687),2),"")</x:f>
      </x:c>
    </x:row>
    <x:row r="688" ht="21" customHeight="1">
      <x:c r="A688" s="15" t="str">
        <x:f>IF(AND(687&lt;='Control Room'!$B$3,'Control Room'!$D$3="Ready"),'Process'!A688,"")</x:f>
      </x:c>
      <x:c r="B688" s="16" t="str">
        <x:f>IF(A688="","",SUM(C688:N688))</x:f>
      </x:c>
      <x:c r="C688" s="16" t="str">
        <x:f>IF(AND(AND(687&lt;='Control Room'!$B$3,'Control Room'!$D$3="Ready"),1&lt;='Control Room'!$B$2),ROUND(MAX(0,'Process'!E688*'Control Room'!$H$4*INDEX('Control Room'!$B$19:$H$19,1,WEEKDAY($A688,2))*(1+'Control Room'!$D$9)^686*'Process'!F688),2),"")</x:f>
      </x:c>
      <x:c r="D688" s="16" t="str">
        <x:f>IF(AND(AND(687&lt;='Control Room'!$B$3,'Control Room'!$D$3="Ready"),2&lt;='Control Room'!$B$2),ROUND(MAX(0,'Process'!J688*'Control Room'!$H$5*INDEX('Control Room'!$B$19:$H$19,1,WEEKDAY($A688,2))*(1+'Control Room'!$D$9)^686*'Process'!K688),2),"")</x:f>
      </x:c>
      <x:c r="E688" s="16" t="str">
        <x:f>IF(AND(AND(687&lt;='Control Room'!$B$3,'Control Room'!$D$3="Ready"),3&lt;='Control Room'!$B$2),ROUND(MAX(0,'Process'!O688*'Control Room'!$H$6*INDEX('Control Room'!$B$19:$H$19,1,WEEKDAY($A688,2))*(1+'Control Room'!$D$9)^686*'Process'!P688),2),"")</x:f>
      </x:c>
      <x:c r="F688" s="16" t="str">
        <x:f>IF(AND(AND(687&lt;='Control Room'!$B$3,'Control Room'!$D$3="Ready"),4&lt;='Control Room'!$B$2),ROUND(MAX(0,'Process'!T688*'Control Room'!$H$7*INDEX('Control Room'!$B$19:$H$19,1,WEEKDAY($A688,2))*(1+'Control Room'!$D$9)^686*'Process'!U688),2),"")</x:f>
      </x:c>
      <x:c r="G688" s="16" t="str">
        <x:f>IF(AND(AND(687&lt;='Control Room'!$B$3,'Control Room'!$D$3="Ready"),5&lt;='Control Room'!$B$2),ROUND(MAX(0,'Process'!Y688*'Control Room'!$H$8*INDEX('Control Room'!$B$19:$H$19,1,WEEKDAY($A688,2))*(1+'Control Room'!$D$9)^686*'Process'!Z688),2),"")</x:f>
      </x:c>
      <x:c r="H688" s="16" t="str">
        <x:f>IF(AND(AND(687&lt;='Control Room'!$B$3,'Control Room'!$D$3="Ready"),6&lt;='Control Room'!$B$2),ROUND(MAX(0,'Process'!AD688*'Control Room'!$H$9*INDEX('Control Room'!$B$19:$H$19,1,WEEKDAY($A688,2))*(1+'Control Room'!$D$9)^686*'Process'!AE688),2),"")</x:f>
      </x:c>
      <x:c r="I688" s="16" t="str">
        <x:f>IF(AND(AND(687&lt;='Control Room'!$B$3,'Control Room'!$D$3="Ready"),7&lt;='Control Room'!$B$2),ROUND(MAX(0,'Process'!AI688*'Control Room'!$H$10*INDEX('Control Room'!$B$19:$H$19,1,WEEKDAY($A688,2))*(1+'Control Room'!$D$9)^686*'Process'!AJ688),2),"")</x:f>
      </x:c>
      <x:c r="J688" s="16" t="str">
        <x:f>IF(AND(AND(687&lt;='Control Room'!$B$3,'Control Room'!$D$3="Ready"),8&lt;='Control Room'!$B$2),ROUND(MAX(0,'Process'!AN688*'Control Room'!$H$11*INDEX('Control Room'!$B$19:$H$19,1,WEEKDAY($A688,2))*(1+'Control Room'!$D$9)^686*'Process'!AO688),2),"")</x:f>
      </x:c>
      <x:c r="K688" s="16" t="str">
        <x:f>IF(AND(AND(687&lt;='Control Room'!$B$3,'Control Room'!$D$3="Ready"),9&lt;='Control Room'!$B$2),ROUND(MAX(0,'Process'!AS688*'Control Room'!$H$12*INDEX('Control Room'!$B$19:$H$19,1,WEEKDAY($A688,2))*(1+'Control Room'!$D$9)^686*'Process'!AT688),2),"")</x:f>
      </x:c>
      <x:c r="L688" s="16" t="str">
        <x:f>IF(AND(AND(687&lt;='Control Room'!$B$3,'Control Room'!$D$3="Ready"),10&lt;='Control Room'!$B$2),ROUND(MAX(0,'Process'!AX688*'Control Room'!$H$13*INDEX('Control Room'!$B$19:$H$19,1,WEEKDAY($A688,2))*(1+'Control Room'!$D$9)^686*'Process'!AY688),2),"")</x:f>
      </x:c>
      <x:c r="M688" s="16" t="str">
        <x:f>IF(AND(AND(687&lt;='Control Room'!$B$3,'Control Room'!$D$3="Ready"),11&lt;='Control Room'!$B$2),ROUND(MAX(0,'Process'!BC688*'Control Room'!$H$14*INDEX('Control Room'!$B$19:$H$19,1,WEEKDAY($A688,2))*(1+'Control Room'!$D$9)^686*'Process'!BD688),2),"")</x:f>
      </x:c>
      <x:c r="N688" s="16" t="str">
        <x:f>IF(AND(AND(687&lt;='Control Room'!$B$3,'Control Room'!$D$3="Ready"),12&lt;='Control Room'!$B$2),ROUND(MAX(0,'Process'!BH688*'Control Room'!$H$15*INDEX('Control Room'!$B$19:$H$19,1,WEEKDAY($A688,2))*(1+'Control Room'!$D$9)^686*'Process'!BI688),2),"")</x:f>
      </x:c>
    </x:row>
    <x:row r="689" ht="21" customHeight="1">
      <x:c r="A689" s="15" t="str">
        <x:f>IF(AND(688&lt;='Control Room'!$B$3,'Control Room'!$D$3="Ready"),'Process'!A689,"")</x:f>
      </x:c>
      <x:c r="B689" s="16" t="str">
        <x:f>IF(A689="","",SUM(C689:N689))</x:f>
      </x:c>
      <x:c r="C689" s="16" t="str">
        <x:f>IF(AND(AND(688&lt;='Control Room'!$B$3,'Control Room'!$D$3="Ready"),1&lt;='Control Room'!$B$2),ROUND(MAX(0,'Process'!E689*'Control Room'!$H$4*INDEX('Control Room'!$B$19:$H$19,1,WEEKDAY($A689,2))*(1+'Control Room'!$D$9)^687*'Process'!F689),2),"")</x:f>
      </x:c>
      <x:c r="D689" s="16" t="str">
        <x:f>IF(AND(AND(688&lt;='Control Room'!$B$3,'Control Room'!$D$3="Ready"),2&lt;='Control Room'!$B$2),ROUND(MAX(0,'Process'!J689*'Control Room'!$H$5*INDEX('Control Room'!$B$19:$H$19,1,WEEKDAY($A689,2))*(1+'Control Room'!$D$9)^687*'Process'!K689),2),"")</x:f>
      </x:c>
      <x:c r="E689" s="16" t="str">
        <x:f>IF(AND(AND(688&lt;='Control Room'!$B$3,'Control Room'!$D$3="Ready"),3&lt;='Control Room'!$B$2),ROUND(MAX(0,'Process'!O689*'Control Room'!$H$6*INDEX('Control Room'!$B$19:$H$19,1,WEEKDAY($A689,2))*(1+'Control Room'!$D$9)^687*'Process'!P689),2),"")</x:f>
      </x:c>
      <x:c r="F689" s="16" t="str">
        <x:f>IF(AND(AND(688&lt;='Control Room'!$B$3,'Control Room'!$D$3="Ready"),4&lt;='Control Room'!$B$2),ROUND(MAX(0,'Process'!T689*'Control Room'!$H$7*INDEX('Control Room'!$B$19:$H$19,1,WEEKDAY($A689,2))*(1+'Control Room'!$D$9)^687*'Process'!U689),2),"")</x:f>
      </x:c>
      <x:c r="G689" s="16" t="str">
        <x:f>IF(AND(AND(688&lt;='Control Room'!$B$3,'Control Room'!$D$3="Ready"),5&lt;='Control Room'!$B$2),ROUND(MAX(0,'Process'!Y689*'Control Room'!$H$8*INDEX('Control Room'!$B$19:$H$19,1,WEEKDAY($A689,2))*(1+'Control Room'!$D$9)^687*'Process'!Z689),2),"")</x:f>
      </x:c>
      <x:c r="H689" s="16" t="str">
        <x:f>IF(AND(AND(688&lt;='Control Room'!$B$3,'Control Room'!$D$3="Ready"),6&lt;='Control Room'!$B$2),ROUND(MAX(0,'Process'!AD689*'Control Room'!$H$9*INDEX('Control Room'!$B$19:$H$19,1,WEEKDAY($A689,2))*(1+'Control Room'!$D$9)^687*'Process'!AE689),2),"")</x:f>
      </x:c>
      <x:c r="I689" s="16" t="str">
        <x:f>IF(AND(AND(688&lt;='Control Room'!$B$3,'Control Room'!$D$3="Ready"),7&lt;='Control Room'!$B$2),ROUND(MAX(0,'Process'!AI689*'Control Room'!$H$10*INDEX('Control Room'!$B$19:$H$19,1,WEEKDAY($A689,2))*(1+'Control Room'!$D$9)^687*'Process'!AJ689),2),"")</x:f>
      </x:c>
      <x:c r="J689" s="16" t="str">
        <x:f>IF(AND(AND(688&lt;='Control Room'!$B$3,'Control Room'!$D$3="Ready"),8&lt;='Control Room'!$B$2),ROUND(MAX(0,'Process'!AN689*'Control Room'!$H$11*INDEX('Control Room'!$B$19:$H$19,1,WEEKDAY($A689,2))*(1+'Control Room'!$D$9)^687*'Process'!AO689),2),"")</x:f>
      </x:c>
      <x:c r="K689" s="16" t="str">
        <x:f>IF(AND(AND(688&lt;='Control Room'!$B$3,'Control Room'!$D$3="Ready"),9&lt;='Control Room'!$B$2),ROUND(MAX(0,'Process'!AS689*'Control Room'!$H$12*INDEX('Control Room'!$B$19:$H$19,1,WEEKDAY($A689,2))*(1+'Control Room'!$D$9)^687*'Process'!AT689),2),"")</x:f>
      </x:c>
      <x:c r="L689" s="16" t="str">
        <x:f>IF(AND(AND(688&lt;='Control Room'!$B$3,'Control Room'!$D$3="Ready"),10&lt;='Control Room'!$B$2),ROUND(MAX(0,'Process'!AX689*'Control Room'!$H$13*INDEX('Control Room'!$B$19:$H$19,1,WEEKDAY($A689,2))*(1+'Control Room'!$D$9)^687*'Process'!AY689),2),"")</x:f>
      </x:c>
      <x:c r="M689" s="16" t="str">
        <x:f>IF(AND(AND(688&lt;='Control Room'!$B$3,'Control Room'!$D$3="Ready"),11&lt;='Control Room'!$B$2),ROUND(MAX(0,'Process'!BC689*'Control Room'!$H$14*INDEX('Control Room'!$B$19:$H$19,1,WEEKDAY($A689,2))*(1+'Control Room'!$D$9)^687*'Process'!BD689),2),"")</x:f>
      </x:c>
      <x:c r="N689" s="16" t="str">
        <x:f>IF(AND(AND(688&lt;='Control Room'!$B$3,'Control Room'!$D$3="Ready"),12&lt;='Control Room'!$B$2),ROUND(MAX(0,'Process'!BH689*'Control Room'!$H$15*INDEX('Control Room'!$B$19:$H$19,1,WEEKDAY($A689,2))*(1+'Control Room'!$D$9)^687*'Process'!BI689),2),"")</x:f>
      </x:c>
    </x:row>
    <x:row r="690" ht="21" customHeight="1">
      <x:c r="A690" s="15" t="str">
        <x:f>IF(AND(689&lt;='Control Room'!$B$3,'Control Room'!$D$3="Ready"),'Process'!A690,"")</x:f>
      </x:c>
      <x:c r="B690" s="16" t="str">
        <x:f>IF(A690="","",SUM(C690:N690))</x:f>
      </x:c>
      <x:c r="C690" s="16" t="str">
        <x:f>IF(AND(AND(689&lt;='Control Room'!$B$3,'Control Room'!$D$3="Ready"),1&lt;='Control Room'!$B$2),ROUND(MAX(0,'Process'!E690*'Control Room'!$H$4*INDEX('Control Room'!$B$19:$H$19,1,WEEKDAY($A690,2))*(1+'Control Room'!$D$9)^688*'Process'!F690),2),"")</x:f>
      </x:c>
      <x:c r="D690" s="16" t="str">
        <x:f>IF(AND(AND(689&lt;='Control Room'!$B$3,'Control Room'!$D$3="Ready"),2&lt;='Control Room'!$B$2),ROUND(MAX(0,'Process'!J690*'Control Room'!$H$5*INDEX('Control Room'!$B$19:$H$19,1,WEEKDAY($A690,2))*(1+'Control Room'!$D$9)^688*'Process'!K690),2),"")</x:f>
      </x:c>
      <x:c r="E690" s="16" t="str">
        <x:f>IF(AND(AND(689&lt;='Control Room'!$B$3,'Control Room'!$D$3="Ready"),3&lt;='Control Room'!$B$2),ROUND(MAX(0,'Process'!O690*'Control Room'!$H$6*INDEX('Control Room'!$B$19:$H$19,1,WEEKDAY($A690,2))*(1+'Control Room'!$D$9)^688*'Process'!P690),2),"")</x:f>
      </x:c>
      <x:c r="F690" s="16" t="str">
        <x:f>IF(AND(AND(689&lt;='Control Room'!$B$3,'Control Room'!$D$3="Ready"),4&lt;='Control Room'!$B$2),ROUND(MAX(0,'Process'!T690*'Control Room'!$H$7*INDEX('Control Room'!$B$19:$H$19,1,WEEKDAY($A690,2))*(1+'Control Room'!$D$9)^688*'Process'!U690),2),"")</x:f>
      </x:c>
      <x:c r="G690" s="16" t="str">
        <x:f>IF(AND(AND(689&lt;='Control Room'!$B$3,'Control Room'!$D$3="Ready"),5&lt;='Control Room'!$B$2),ROUND(MAX(0,'Process'!Y690*'Control Room'!$H$8*INDEX('Control Room'!$B$19:$H$19,1,WEEKDAY($A690,2))*(1+'Control Room'!$D$9)^688*'Process'!Z690),2),"")</x:f>
      </x:c>
      <x:c r="H690" s="16" t="str">
        <x:f>IF(AND(AND(689&lt;='Control Room'!$B$3,'Control Room'!$D$3="Ready"),6&lt;='Control Room'!$B$2),ROUND(MAX(0,'Process'!AD690*'Control Room'!$H$9*INDEX('Control Room'!$B$19:$H$19,1,WEEKDAY($A690,2))*(1+'Control Room'!$D$9)^688*'Process'!AE690),2),"")</x:f>
      </x:c>
      <x:c r="I690" s="16" t="str">
        <x:f>IF(AND(AND(689&lt;='Control Room'!$B$3,'Control Room'!$D$3="Ready"),7&lt;='Control Room'!$B$2),ROUND(MAX(0,'Process'!AI690*'Control Room'!$H$10*INDEX('Control Room'!$B$19:$H$19,1,WEEKDAY($A690,2))*(1+'Control Room'!$D$9)^688*'Process'!AJ690),2),"")</x:f>
      </x:c>
      <x:c r="J690" s="16" t="str">
        <x:f>IF(AND(AND(689&lt;='Control Room'!$B$3,'Control Room'!$D$3="Ready"),8&lt;='Control Room'!$B$2),ROUND(MAX(0,'Process'!AN690*'Control Room'!$H$11*INDEX('Control Room'!$B$19:$H$19,1,WEEKDAY($A690,2))*(1+'Control Room'!$D$9)^688*'Process'!AO690),2),"")</x:f>
      </x:c>
      <x:c r="K690" s="16" t="str">
        <x:f>IF(AND(AND(689&lt;='Control Room'!$B$3,'Control Room'!$D$3="Ready"),9&lt;='Control Room'!$B$2),ROUND(MAX(0,'Process'!AS690*'Control Room'!$H$12*INDEX('Control Room'!$B$19:$H$19,1,WEEKDAY($A690,2))*(1+'Control Room'!$D$9)^688*'Process'!AT690),2),"")</x:f>
      </x:c>
      <x:c r="L690" s="16" t="str">
        <x:f>IF(AND(AND(689&lt;='Control Room'!$B$3,'Control Room'!$D$3="Ready"),10&lt;='Control Room'!$B$2),ROUND(MAX(0,'Process'!AX690*'Control Room'!$H$13*INDEX('Control Room'!$B$19:$H$19,1,WEEKDAY($A690,2))*(1+'Control Room'!$D$9)^688*'Process'!AY690),2),"")</x:f>
      </x:c>
      <x:c r="M690" s="16" t="str">
        <x:f>IF(AND(AND(689&lt;='Control Room'!$B$3,'Control Room'!$D$3="Ready"),11&lt;='Control Room'!$B$2),ROUND(MAX(0,'Process'!BC690*'Control Room'!$H$14*INDEX('Control Room'!$B$19:$H$19,1,WEEKDAY($A690,2))*(1+'Control Room'!$D$9)^688*'Process'!BD690),2),"")</x:f>
      </x:c>
      <x:c r="N690" s="16" t="str">
        <x:f>IF(AND(AND(689&lt;='Control Room'!$B$3,'Control Room'!$D$3="Ready"),12&lt;='Control Room'!$B$2),ROUND(MAX(0,'Process'!BH690*'Control Room'!$H$15*INDEX('Control Room'!$B$19:$H$19,1,WEEKDAY($A690,2))*(1+'Control Room'!$D$9)^688*'Process'!BI690),2),"")</x:f>
      </x:c>
    </x:row>
    <x:row r="691" ht="21" customHeight="1">
      <x:c r="A691" s="15" t="str">
        <x:f>IF(AND(690&lt;='Control Room'!$B$3,'Control Room'!$D$3="Ready"),'Process'!A691,"")</x:f>
      </x:c>
      <x:c r="B691" s="16" t="str">
        <x:f>IF(A691="","",SUM(C691:N691))</x:f>
      </x:c>
      <x:c r="C691" s="16" t="str">
        <x:f>IF(AND(AND(690&lt;='Control Room'!$B$3,'Control Room'!$D$3="Ready"),1&lt;='Control Room'!$B$2),ROUND(MAX(0,'Process'!E691*'Control Room'!$H$4*INDEX('Control Room'!$B$19:$H$19,1,WEEKDAY($A691,2))*(1+'Control Room'!$D$9)^689*'Process'!F691),2),"")</x:f>
      </x:c>
      <x:c r="D691" s="16" t="str">
        <x:f>IF(AND(AND(690&lt;='Control Room'!$B$3,'Control Room'!$D$3="Ready"),2&lt;='Control Room'!$B$2),ROUND(MAX(0,'Process'!J691*'Control Room'!$H$5*INDEX('Control Room'!$B$19:$H$19,1,WEEKDAY($A691,2))*(1+'Control Room'!$D$9)^689*'Process'!K691),2),"")</x:f>
      </x:c>
      <x:c r="E691" s="16" t="str">
        <x:f>IF(AND(AND(690&lt;='Control Room'!$B$3,'Control Room'!$D$3="Ready"),3&lt;='Control Room'!$B$2),ROUND(MAX(0,'Process'!O691*'Control Room'!$H$6*INDEX('Control Room'!$B$19:$H$19,1,WEEKDAY($A691,2))*(1+'Control Room'!$D$9)^689*'Process'!P691),2),"")</x:f>
      </x:c>
      <x:c r="F691" s="16" t="str">
        <x:f>IF(AND(AND(690&lt;='Control Room'!$B$3,'Control Room'!$D$3="Ready"),4&lt;='Control Room'!$B$2),ROUND(MAX(0,'Process'!T691*'Control Room'!$H$7*INDEX('Control Room'!$B$19:$H$19,1,WEEKDAY($A691,2))*(1+'Control Room'!$D$9)^689*'Process'!U691),2),"")</x:f>
      </x:c>
      <x:c r="G691" s="16" t="str">
        <x:f>IF(AND(AND(690&lt;='Control Room'!$B$3,'Control Room'!$D$3="Ready"),5&lt;='Control Room'!$B$2),ROUND(MAX(0,'Process'!Y691*'Control Room'!$H$8*INDEX('Control Room'!$B$19:$H$19,1,WEEKDAY($A691,2))*(1+'Control Room'!$D$9)^689*'Process'!Z691),2),"")</x:f>
      </x:c>
      <x:c r="H691" s="16" t="str">
        <x:f>IF(AND(AND(690&lt;='Control Room'!$B$3,'Control Room'!$D$3="Ready"),6&lt;='Control Room'!$B$2),ROUND(MAX(0,'Process'!AD691*'Control Room'!$H$9*INDEX('Control Room'!$B$19:$H$19,1,WEEKDAY($A691,2))*(1+'Control Room'!$D$9)^689*'Process'!AE691),2),"")</x:f>
      </x:c>
      <x:c r="I691" s="16" t="str">
        <x:f>IF(AND(AND(690&lt;='Control Room'!$B$3,'Control Room'!$D$3="Ready"),7&lt;='Control Room'!$B$2),ROUND(MAX(0,'Process'!AI691*'Control Room'!$H$10*INDEX('Control Room'!$B$19:$H$19,1,WEEKDAY($A691,2))*(1+'Control Room'!$D$9)^689*'Process'!AJ691),2),"")</x:f>
      </x:c>
      <x:c r="J691" s="16" t="str">
        <x:f>IF(AND(AND(690&lt;='Control Room'!$B$3,'Control Room'!$D$3="Ready"),8&lt;='Control Room'!$B$2),ROUND(MAX(0,'Process'!AN691*'Control Room'!$H$11*INDEX('Control Room'!$B$19:$H$19,1,WEEKDAY($A691,2))*(1+'Control Room'!$D$9)^689*'Process'!AO691),2),"")</x:f>
      </x:c>
      <x:c r="K691" s="16" t="str">
        <x:f>IF(AND(AND(690&lt;='Control Room'!$B$3,'Control Room'!$D$3="Ready"),9&lt;='Control Room'!$B$2),ROUND(MAX(0,'Process'!AS691*'Control Room'!$H$12*INDEX('Control Room'!$B$19:$H$19,1,WEEKDAY($A691,2))*(1+'Control Room'!$D$9)^689*'Process'!AT691),2),"")</x:f>
      </x:c>
      <x:c r="L691" s="16" t="str">
        <x:f>IF(AND(AND(690&lt;='Control Room'!$B$3,'Control Room'!$D$3="Ready"),10&lt;='Control Room'!$B$2),ROUND(MAX(0,'Process'!AX691*'Control Room'!$H$13*INDEX('Control Room'!$B$19:$H$19,1,WEEKDAY($A691,2))*(1+'Control Room'!$D$9)^689*'Process'!AY691),2),"")</x:f>
      </x:c>
      <x:c r="M691" s="16" t="str">
        <x:f>IF(AND(AND(690&lt;='Control Room'!$B$3,'Control Room'!$D$3="Ready"),11&lt;='Control Room'!$B$2),ROUND(MAX(0,'Process'!BC691*'Control Room'!$H$14*INDEX('Control Room'!$B$19:$H$19,1,WEEKDAY($A691,2))*(1+'Control Room'!$D$9)^689*'Process'!BD691),2),"")</x:f>
      </x:c>
      <x:c r="N691" s="16" t="str">
        <x:f>IF(AND(AND(690&lt;='Control Room'!$B$3,'Control Room'!$D$3="Ready"),12&lt;='Control Room'!$B$2),ROUND(MAX(0,'Process'!BH691*'Control Room'!$H$15*INDEX('Control Room'!$B$19:$H$19,1,WEEKDAY($A691,2))*(1+'Control Room'!$D$9)^689*'Process'!BI691),2),"")</x:f>
      </x:c>
    </x:row>
    <x:row r="692" ht="21" customHeight="1">
      <x:c r="A692" s="15" t="str">
        <x:f>IF(AND(691&lt;='Control Room'!$B$3,'Control Room'!$D$3="Ready"),'Process'!A692,"")</x:f>
      </x:c>
      <x:c r="B692" s="16" t="str">
        <x:f>IF(A692="","",SUM(C692:N692))</x:f>
      </x:c>
      <x:c r="C692" s="16" t="str">
        <x:f>IF(AND(AND(691&lt;='Control Room'!$B$3,'Control Room'!$D$3="Ready"),1&lt;='Control Room'!$B$2),ROUND(MAX(0,'Process'!E692*'Control Room'!$H$4*INDEX('Control Room'!$B$19:$H$19,1,WEEKDAY($A692,2))*(1+'Control Room'!$D$9)^690*'Process'!F692),2),"")</x:f>
      </x:c>
      <x:c r="D692" s="16" t="str">
        <x:f>IF(AND(AND(691&lt;='Control Room'!$B$3,'Control Room'!$D$3="Ready"),2&lt;='Control Room'!$B$2),ROUND(MAX(0,'Process'!J692*'Control Room'!$H$5*INDEX('Control Room'!$B$19:$H$19,1,WEEKDAY($A692,2))*(1+'Control Room'!$D$9)^690*'Process'!K692),2),"")</x:f>
      </x:c>
      <x:c r="E692" s="16" t="str">
        <x:f>IF(AND(AND(691&lt;='Control Room'!$B$3,'Control Room'!$D$3="Ready"),3&lt;='Control Room'!$B$2),ROUND(MAX(0,'Process'!O692*'Control Room'!$H$6*INDEX('Control Room'!$B$19:$H$19,1,WEEKDAY($A692,2))*(1+'Control Room'!$D$9)^690*'Process'!P692),2),"")</x:f>
      </x:c>
      <x:c r="F692" s="16" t="str">
        <x:f>IF(AND(AND(691&lt;='Control Room'!$B$3,'Control Room'!$D$3="Ready"),4&lt;='Control Room'!$B$2),ROUND(MAX(0,'Process'!T692*'Control Room'!$H$7*INDEX('Control Room'!$B$19:$H$19,1,WEEKDAY($A692,2))*(1+'Control Room'!$D$9)^690*'Process'!U692),2),"")</x:f>
      </x:c>
      <x:c r="G692" s="16" t="str">
        <x:f>IF(AND(AND(691&lt;='Control Room'!$B$3,'Control Room'!$D$3="Ready"),5&lt;='Control Room'!$B$2),ROUND(MAX(0,'Process'!Y692*'Control Room'!$H$8*INDEX('Control Room'!$B$19:$H$19,1,WEEKDAY($A692,2))*(1+'Control Room'!$D$9)^690*'Process'!Z692),2),"")</x:f>
      </x:c>
      <x:c r="H692" s="16" t="str">
        <x:f>IF(AND(AND(691&lt;='Control Room'!$B$3,'Control Room'!$D$3="Ready"),6&lt;='Control Room'!$B$2),ROUND(MAX(0,'Process'!AD692*'Control Room'!$H$9*INDEX('Control Room'!$B$19:$H$19,1,WEEKDAY($A692,2))*(1+'Control Room'!$D$9)^690*'Process'!AE692),2),"")</x:f>
      </x:c>
      <x:c r="I692" s="16" t="str">
        <x:f>IF(AND(AND(691&lt;='Control Room'!$B$3,'Control Room'!$D$3="Ready"),7&lt;='Control Room'!$B$2),ROUND(MAX(0,'Process'!AI692*'Control Room'!$H$10*INDEX('Control Room'!$B$19:$H$19,1,WEEKDAY($A692,2))*(1+'Control Room'!$D$9)^690*'Process'!AJ692),2),"")</x:f>
      </x:c>
      <x:c r="J692" s="16" t="str">
        <x:f>IF(AND(AND(691&lt;='Control Room'!$B$3,'Control Room'!$D$3="Ready"),8&lt;='Control Room'!$B$2),ROUND(MAX(0,'Process'!AN692*'Control Room'!$H$11*INDEX('Control Room'!$B$19:$H$19,1,WEEKDAY($A692,2))*(1+'Control Room'!$D$9)^690*'Process'!AO692),2),"")</x:f>
      </x:c>
      <x:c r="K692" s="16" t="str">
        <x:f>IF(AND(AND(691&lt;='Control Room'!$B$3,'Control Room'!$D$3="Ready"),9&lt;='Control Room'!$B$2),ROUND(MAX(0,'Process'!AS692*'Control Room'!$H$12*INDEX('Control Room'!$B$19:$H$19,1,WEEKDAY($A692,2))*(1+'Control Room'!$D$9)^690*'Process'!AT692),2),"")</x:f>
      </x:c>
      <x:c r="L692" s="16" t="str">
        <x:f>IF(AND(AND(691&lt;='Control Room'!$B$3,'Control Room'!$D$3="Ready"),10&lt;='Control Room'!$B$2),ROUND(MAX(0,'Process'!AX692*'Control Room'!$H$13*INDEX('Control Room'!$B$19:$H$19,1,WEEKDAY($A692,2))*(1+'Control Room'!$D$9)^690*'Process'!AY692),2),"")</x:f>
      </x:c>
      <x:c r="M692" s="16" t="str">
        <x:f>IF(AND(AND(691&lt;='Control Room'!$B$3,'Control Room'!$D$3="Ready"),11&lt;='Control Room'!$B$2),ROUND(MAX(0,'Process'!BC692*'Control Room'!$H$14*INDEX('Control Room'!$B$19:$H$19,1,WEEKDAY($A692,2))*(1+'Control Room'!$D$9)^690*'Process'!BD692),2),"")</x:f>
      </x:c>
      <x:c r="N692" s="16" t="str">
        <x:f>IF(AND(AND(691&lt;='Control Room'!$B$3,'Control Room'!$D$3="Ready"),12&lt;='Control Room'!$B$2),ROUND(MAX(0,'Process'!BH692*'Control Room'!$H$15*INDEX('Control Room'!$B$19:$H$19,1,WEEKDAY($A692,2))*(1+'Control Room'!$D$9)^690*'Process'!BI692),2),"")</x:f>
      </x:c>
    </x:row>
    <x:row r="693" ht="21" customHeight="1">
      <x:c r="A693" s="15" t="str">
        <x:f>IF(AND(692&lt;='Control Room'!$B$3,'Control Room'!$D$3="Ready"),'Process'!A693,"")</x:f>
      </x:c>
      <x:c r="B693" s="16" t="str">
        <x:f>IF(A693="","",SUM(C693:N693))</x:f>
      </x:c>
      <x:c r="C693" s="16" t="str">
        <x:f>IF(AND(AND(692&lt;='Control Room'!$B$3,'Control Room'!$D$3="Ready"),1&lt;='Control Room'!$B$2),ROUND(MAX(0,'Process'!E693*'Control Room'!$H$4*INDEX('Control Room'!$B$19:$H$19,1,WEEKDAY($A693,2))*(1+'Control Room'!$D$9)^691*'Process'!F693),2),"")</x:f>
      </x:c>
      <x:c r="D693" s="16" t="str">
        <x:f>IF(AND(AND(692&lt;='Control Room'!$B$3,'Control Room'!$D$3="Ready"),2&lt;='Control Room'!$B$2),ROUND(MAX(0,'Process'!J693*'Control Room'!$H$5*INDEX('Control Room'!$B$19:$H$19,1,WEEKDAY($A693,2))*(1+'Control Room'!$D$9)^691*'Process'!K693),2),"")</x:f>
      </x:c>
      <x:c r="E693" s="16" t="str">
        <x:f>IF(AND(AND(692&lt;='Control Room'!$B$3,'Control Room'!$D$3="Ready"),3&lt;='Control Room'!$B$2),ROUND(MAX(0,'Process'!O693*'Control Room'!$H$6*INDEX('Control Room'!$B$19:$H$19,1,WEEKDAY($A693,2))*(1+'Control Room'!$D$9)^691*'Process'!P693),2),"")</x:f>
      </x:c>
      <x:c r="F693" s="16" t="str">
        <x:f>IF(AND(AND(692&lt;='Control Room'!$B$3,'Control Room'!$D$3="Ready"),4&lt;='Control Room'!$B$2),ROUND(MAX(0,'Process'!T693*'Control Room'!$H$7*INDEX('Control Room'!$B$19:$H$19,1,WEEKDAY($A693,2))*(1+'Control Room'!$D$9)^691*'Process'!U693),2),"")</x:f>
      </x:c>
      <x:c r="G693" s="16" t="str">
        <x:f>IF(AND(AND(692&lt;='Control Room'!$B$3,'Control Room'!$D$3="Ready"),5&lt;='Control Room'!$B$2),ROUND(MAX(0,'Process'!Y693*'Control Room'!$H$8*INDEX('Control Room'!$B$19:$H$19,1,WEEKDAY($A693,2))*(1+'Control Room'!$D$9)^691*'Process'!Z693),2),"")</x:f>
      </x:c>
      <x:c r="H693" s="16" t="str">
        <x:f>IF(AND(AND(692&lt;='Control Room'!$B$3,'Control Room'!$D$3="Ready"),6&lt;='Control Room'!$B$2),ROUND(MAX(0,'Process'!AD693*'Control Room'!$H$9*INDEX('Control Room'!$B$19:$H$19,1,WEEKDAY($A693,2))*(1+'Control Room'!$D$9)^691*'Process'!AE693),2),"")</x:f>
      </x:c>
      <x:c r="I693" s="16" t="str">
        <x:f>IF(AND(AND(692&lt;='Control Room'!$B$3,'Control Room'!$D$3="Ready"),7&lt;='Control Room'!$B$2),ROUND(MAX(0,'Process'!AI693*'Control Room'!$H$10*INDEX('Control Room'!$B$19:$H$19,1,WEEKDAY($A693,2))*(1+'Control Room'!$D$9)^691*'Process'!AJ693),2),"")</x:f>
      </x:c>
      <x:c r="J693" s="16" t="str">
        <x:f>IF(AND(AND(692&lt;='Control Room'!$B$3,'Control Room'!$D$3="Ready"),8&lt;='Control Room'!$B$2),ROUND(MAX(0,'Process'!AN693*'Control Room'!$H$11*INDEX('Control Room'!$B$19:$H$19,1,WEEKDAY($A693,2))*(1+'Control Room'!$D$9)^691*'Process'!AO693),2),"")</x:f>
      </x:c>
      <x:c r="K693" s="16" t="str">
        <x:f>IF(AND(AND(692&lt;='Control Room'!$B$3,'Control Room'!$D$3="Ready"),9&lt;='Control Room'!$B$2),ROUND(MAX(0,'Process'!AS693*'Control Room'!$H$12*INDEX('Control Room'!$B$19:$H$19,1,WEEKDAY($A693,2))*(1+'Control Room'!$D$9)^691*'Process'!AT693),2),"")</x:f>
      </x:c>
      <x:c r="L693" s="16" t="str">
        <x:f>IF(AND(AND(692&lt;='Control Room'!$B$3,'Control Room'!$D$3="Ready"),10&lt;='Control Room'!$B$2),ROUND(MAX(0,'Process'!AX693*'Control Room'!$H$13*INDEX('Control Room'!$B$19:$H$19,1,WEEKDAY($A693,2))*(1+'Control Room'!$D$9)^691*'Process'!AY693),2),"")</x:f>
      </x:c>
      <x:c r="M693" s="16" t="str">
        <x:f>IF(AND(AND(692&lt;='Control Room'!$B$3,'Control Room'!$D$3="Ready"),11&lt;='Control Room'!$B$2),ROUND(MAX(0,'Process'!BC693*'Control Room'!$H$14*INDEX('Control Room'!$B$19:$H$19,1,WEEKDAY($A693,2))*(1+'Control Room'!$D$9)^691*'Process'!BD693),2),"")</x:f>
      </x:c>
      <x:c r="N693" s="16" t="str">
        <x:f>IF(AND(AND(692&lt;='Control Room'!$B$3,'Control Room'!$D$3="Ready"),12&lt;='Control Room'!$B$2),ROUND(MAX(0,'Process'!BH693*'Control Room'!$H$15*INDEX('Control Room'!$B$19:$H$19,1,WEEKDAY($A693,2))*(1+'Control Room'!$D$9)^691*'Process'!BI693),2),"")</x:f>
      </x:c>
    </x:row>
    <x:row r="694" ht="21" customHeight="1">
      <x:c r="A694" s="15" t="str">
        <x:f>IF(AND(693&lt;='Control Room'!$B$3,'Control Room'!$D$3="Ready"),'Process'!A694,"")</x:f>
      </x:c>
      <x:c r="B694" s="16" t="str">
        <x:f>IF(A694="","",SUM(C694:N694))</x:f>
      </x:c>
      <x:c r="C694" s="16" t="str">
        <x:f>IF(AND(AND(693&lt;='Control Room'!$B$3,'Control Room'!$D$3="Ready"),1&lt;='Control Room'!$B$2),ROUND(MAX(0,'Process'!E694*'Control Room'!$H$4*INDEX('Control Room'!$B$19:$H$19,1,WEEKDAY($A694,2))*(1+'Control Room'!$D$9)^692*'Process'!F694),2),"")</x:f>
      </x:c>
      <x:c r="D694" s="16" t="str">
        <x:f>IF(AND(AND(693&lt;='Control Room'!$B$3,'Control Room'!$D$3="Ready"),2&lt;='Control Room'!$B$2),ROUND(MAX(0,'Process'!J694*'Control Room'!$H$5*INDEX('Control Room'!$B$19:$H$19,1,WEEKDAY($A694,2))*(1+'Control Room'!$D$9)^692*'Process'!K694),2),"")</x:f>
      </x:c>
      <x:c r="E694" s="16" t="str">
        <x:f>IF(AND(AND(693&lt;='Control Room'!$B$3,'Control Room'!$D$3="Ready"),3&lt;='Control Room'!$B$2),ROUND(MAX(0,'Process'!O694*'Control Room'!$H$6*INDEX('Control Room'!$B$19:$H$19,1,WEEKDAY($A694,2))*(1+'Control Room'!$D$9)^692*'Process'!P694),2),"")</x:f>
      </x:c>
      <x:c r="F694" s="16" t="str">
        <x:f>IF(AND(AND(693&lt;='Control Room'!$B$3,'Control Room'!$D$3="Ready"),4&lt;='Control Room'!$B$2),ROUND(MAX(0,'Process'!T694*'Control Room'!$H$7*INDEX('Control Room'!$B$19:$H$19,1,WEEKDAY($A694,2))*(1+'Control Room'!$D$9)^692*'Process'!U694),2),"")</x:f>
      </x:c>
      <x:c r="G694" s="16" t="str">
        <x:f>IF(AND(AND(693&lt;='Control Room'!$B$3,'Control Room'!$D$3="Ready"),5&lt;='Control Room'!$B$2),ROUND(MAX(0,'Process'!Y694*'Control Room'!$H$8*INDEX('Control Room'!$B$19:$H$19,1,WEEKDAY($A694,2))*(1+'Control Room'!$D$9)^692*'Process'!Z694),2),"")</x:f>
      </x:c>
      <x:c r="H694" s="16" t="str">
        <x:f>IF(AND(AND(693&lt;='Control Room'!$B$3,'Control Room'!$D$3="Ready"),6&lt;='Control Room'!$B$2),ROUND(MAX(0,'Process'!AD694*'Control Room'!$H$9*INDEX('Control Room'!$B$19:$H$19,1,WEEKDAY($A694,2))*(1+'Control Room'!$D$9)^692*'Process'!AE694),2),"")</x:f>
      </x:c>
      <x:c r="I694" s="16" t="str">
        <x:f>IF(AND(AND(693&lt;='Control Room'!$B$3,'Control Room'!$D$3="Ready"),7&lt;='Control Room'!$B$2),ROUND(MAX(0,'Process'!AI694*'Control Room'!$H$10*INDEX('Control Room'!$B$19:$H$19,1,WEEKDAY($A694,2))*(1+'Control Room'!$D$9)^692*'Process'!AJ694),2),"")</x:f>
      </x:c>
      <x:c r="J694" s="16" t="str">
        <x:f>IF(AND(AND(693&lt;='Control Room'!$B$3,'Control Room'!$D$3="Ready"),8&lt;='Control Room'!$B$2),ROUND(MAX(0,'Process'!AN694*'Control Room'!$H$11*INDEX('Control Room'!$B$19:$H$19,1,WEEKDAY($A694,2))*(1+'Control Room'!$D$9)^692*'Process'!AO694),2),"")</x:f>
      </x:c>
      <x:c r="K694" s="16" t="str">
        <x:f>IF(AND(AND(693&lt;='Control Room'!$B$3,'Control Room'!$D$3="Ready"),9&lt;='Control Room'!$B$2),ROUND(MAX(0,'Process'!AS694*'Control Room'!$H$12*INDEX('Control Room'!$B$19:$H$19,1,WEEKDAY($A694,2))*(1+'Control Room'!$D$9)^692*'Process'!AT694),2),"")</x:f>
      </x:c>
      <x:c r="L694" s="16" t="str">
        <x:f>IF(AND(AND(693&lt;='Control Room'!$B$3,'Control Room'!$D$3="Ready"),10&lt;='Control Room'!$B$2),ROUND(MAX(0,'Process'!AX694*'Control Room'!$H$13*INDEX('Control Room'!$B$19:$H$19,1,WEEKDAY($A694,2))*(1+'Control Room'!$D$9)^692*'Process'!AY694),2),"")</x:f>
      </x:c>
      <x:c r="M694" s="16" t="str">
        <x:f>IF(AND(AND(693&lt;='Control Room'!$B$3,'Control Room'!$D$3="Ready"),11&lt;='Control Room'!$B$2),ROUND(MAX(0,'Process'!BC694*'Control Room'!$H$14*INDEX('Control Room'!$B$19:$H$19,1,WEEKDAY($A694,2))*(1+'Control Room'!$D$9)^692*'Process'!BD694),2),"")</x:f>
      </x:c>
      <x:c r="N694" s="16" t="str">
        <x:f>IF(AND(AND(693&lt;='Control Room'!$B$3,'Control Room'!$D$3="Ready"),12&lt;='Control Room'!$B$2),ROUND(MAX(0,'Process'!BH694*'Control Room'!$H$15*INDEX('Control Room'!$B$19:$H$19,1,WEEKDAY($A694,2))*(1+'Control Room'!$D$9)^692*'Process'!BI694),2),"")</x:f>
      </x:c>
    </x:row>
    <x:row r="695" ht="21" customHeight="1">
      <x:c r="A695" s="15" t="str">
        <x:f>IF(AND(694&lt;='Control Room'!$B$3,'Control Room'!$D$3="Ready"),'Process'!A695,"")</x:f>
      </x:c>
      <x:c r="B695" s="16" t="str">
        <x:f>IF(A695="","",SUM(C695:N695))</x:f>
      </x:c>
      <x:c r="C695" s="16" t="str">
        <x:f>IF(AND(AND(694&lt;='Control Room'!$B$3,'Control Room'!$D$3="Ready"),1&lt;='Control Room'!$B$2),ROUND(MAX(0,'Process'!E695*'Control Room'!$H$4*INDEX('Control Room'!$B$19:$H$19,1,WEEKDAY($A695,2))*(1+'Control Room'!$D$9)^693*'Process'!F695),2),"")</x:f>
      </x:c>
      <x:c r="D695" s="16" t="str">
        <x:f>IF(AND(AND(694&lt;='Control Room'!$B$3,'Control Room'!$D$3="Ready"),2&lt;='Control Room'!$B$2),ROUND(MAX(0,'Process'!J695*'Control Room'!$H$5*INDEX('Control Room'!$B$19:$H$19,1,WEEKDAY($A695,2))*(1+'Control Room'!$D$9)^693*'Process'!K695),2),"")</x:f>
      </x:c>
      <x:c r="E695" s="16" t="str">
        <x:f>IF(AND(AND(694&lt;='Control Room'!$B$3,'Control Room'!$D$3="Ready"),3&lt;='Control Room'!$B$2),ROUND(MAX(0,'Process'!O695*'Control Room'!$H$6*INDEX('Control Room'!$B$19:$H$19,1,WEEKDAY($A695,2))*(1+'Control Room'!$D$9)^693*'Process'!P695),2),"")</x:f>
      </x:c>
      <x:c r="F695" s="16" t="str">
        <x:f>IF(AND(AND(694&lt;='Control Room'!$B$3,'Control Room'!$D$3="Ready"),4&lt;='Control Room'!$B$2),ROUND(MAX(0,'Process'!T695*'Control Room'!$H$7*INDEX('Control Room'!$B$19:$H$19,1,WEEKDAY($A695,2))*(1+'Control Room'!$D$9)^693*'Process'!U695),2),"")</x:f>
      </x:c>
      <x:c r="G695" s="16" t="str">
        <x:f>IF(AND(AND(694&lt;='Control Room'!$B$3,'Control Room'!$D$3="Ready"),5&lt;='Control Room'!$B$2),ROUND(MAX(0,'Process'!Y695*'Control Room'!$H$8*INDEX('Control Room'!$B$19:$H$19,1,WEEKDAY($A695,2))*(1+'Control Room'!$D$9)^693*'Process'!Z695),2),"")</x:f>
      </x:c>
      <x:c r="H695" s="16" t="str">
        <x:f>IF(AND(AND(694&lt;='Control Room'!$B$3,'Control Room'!$D$3="Ready"),6&lt;='Control Room'!$B$2),ROUND(MAX(0,'Process'!AD695*'Control Room'!$H$9*INDEX('Control Room'!$B$19:$H$19,1,WEEKDAY($A695,2))*(1+'Control Room'!$D$9)^693*'Process'!AE695),2),"")</x:f>
      </x:c>
      <x:c r="I695" s="16" t="str">
        <x:f>IF(AND(AND(694&lt;='Control Room'!$B$3,'Control Room'!$D$3="Ready"),7&lt;='Control Room'!$B$2),ROUND(MAX(0,'Process'!AI695*'Control Room'!$H$10*INDEX('Control Room'!$B$19:$H$19,1,WEEKDAY($A695,2))*(1+'Control Room'!$D$9)^693*'Process'!AJ695),2),"")</x:f>
      </x:c>
      <x:c r="J695" s="16" t="str">
        <x:f>IF(AND(AND(694&lt;='Control Room'!$B$3,'Control Room'!$D$3="Ready"),8&lt;='Control Room'!$B$2),ROUND(MAX(0,'Process'!AN695*'Control Room'!$H$11*INDEX('Control Room'!$B$19:$H$19,1,WEEKDAY($A695,2))*(1+'Control Room'!$D$9)^693*'Process'!AO695),2),"")</x:f>
      </x:c>
      <x:c r="K695" s="16" t="str">
        <x:f>IF(AND(AND(694&lt;='Control Room'!$B$3,'Control Room'!$D$3="Ready"),9&lt;='Control Room'!$B$2),ROUND(MAX(0,'Process'!AS695*'Control Room'!$H$12*INDEX('Control Room'!$B$19:$H$19,1,WEEKDAY($A695,2))*(1+'Control Room'!$D$9)^693*'Process'!AT695),2),"")</x:f>
      </x:c>
      <x:c r="L695" s="16" t="str">
        <x:f>IF(AND(AND(694&lt;='Control Room'!$B$3,'Control Room'!$D$3="Ready"),10&lt;='Control Room'!$B$2),ROUND(MAX(0,'Process'!AX695*'Control Room'!$H$13*INDEX('Control Room'!$B$19:$H$19,1,WEEKDAY($A695,2))*(1+'Control Room'!$D$9)^693*'Process'!AY695),2),"")</x:f>
      </x:c>
      <x:c r="M695" s="16" t="str">
        <x:f>IF(AND(AND(694&lt;='Control Room'!$B$3,'Control Room'!$D$3="Ready"),11&lt;='Control Room'!$B$2),ROUND(MAX(0,'Process'!BC695*'Control Room'!$H$14*INDEX('Control Room'!$B$19:$H$19,1,WEEKDAY($A695,2))*(1+'Control Room'!$D$9)^693*'Process'!BD695),2),"")</x:f>
      </x:c>
      <x:c r="N695" s="16" t="str">
        <x:f>IF(AND(AND(694&lt;='Control Room'!$B$3,'Control Room'!$D$3="Ready"),12&lt;='Control Room'!$B$2),ROUND(MAX(0,'Process'!BH695*'Control Room'!$H$15*INDEX('Control Room'!$B$19:$H$19,1,WEEKDAY($A695,2))*(1+'Control Room'!$D$9)^693*'Process'!BI695),2),"")</x:f>
      </x:c>
    </x:row>
    <x:row r="696" ht="21" customHeight="1">
      <x:c r="A696" s="15" t="str">
        <x:f>IF(AND(695&lt;='Control Room'!$B$3,'Control Room'!$D$3="Ready"),'Process'!A696,"")</x:f>
      </x:c>
      <x:c r="B696" s="16" t="str">
        <x:f>IF(A696="","",SUM(C696:N696))</x:f>
      </x:c>
      <x:c r="C696" s="16" t="str">
        <x:f>IF(AND(AND(695&lt;='Control Room'!$B$3,'Control Room'!$D$3="Ready"),1&lt;='Control Room'!$B$2),ROUND(MAX(0,'Process'!E696*'Control Room'!$H$4*INDEX('Control Room'!$B$19:$H$19,1,WEEKDAY($A696,2))*(1+'Control Room'!$D$9)^694*'Process'!F696),2),"")</x:f>
      </x:c>
      <x:c r="D696" s="16" t="str">
        <x:f>IF(AND(AND(695&lt;='Control Room'!$B$3,'Control Room'!$D$3="Ready"),2&lt;='Control Room'!$B$2),ROUND(MAX(0,'Process'!J696*'Control Room'!$H$5*INDEX('Control Room'!$B$19:$H$19,1,WEEKDAY($A696,2))*(1+'Control Room'!$D$9)^694*'Process'!K696),2),"")</x:f>
      </x:c>
      <x:c r="E696" s="16" t="str">
        <x:f>IF(AND(AND(695&lt;='Control Room'!$B$3,'Control Room'!$D$3="Ready"),3&lt;='Control Room'!$B$2),ROUND(MAX(0,'Process'!O696*'Control Room'!$H$6*INDEX('Control Room'!$B$19:$H$19,1,WEEKDAY($A696,2))*(1+'Control Room'!$D$9)^694*'Process'!P696),2),"")</x:f>
      </x:c>
      <x:c r="F696" s="16" t="str">
        <x:f>IF(AND(AND(695&lt;='Control Room'!$B$3,'Control Room'!$D$3="Ready"),4&lt;='Control Room'!$B$2),ROUND(MAX(0,'Process'!T696*'Control Room'!$H$7*INDEX('Control Room'!$B$19:$H$19,1,WEEKDAY($A696,2))*(1+'Control Room'!$D$9)^694*'Process'!U696),2),"")</x:f>
      </x:c>
      <x:c r="G696" s="16" t="str">
        <x:f>IF(AND(AND(695&lt;='Control Room'!$B$3,'Control Room'!$D$3="Ready"),5&lt;='Control Room'!$B$2),ROUND(MAX(0,'Process'!Y696*'Control Room'!$H$8*INDEX('Control Room'!$B$19:$H$19,1,WEEKDAY($A696,2))*(1+'Control Room'!$D$9)^694*'Process'!Z696),2),"")</x:f>
      </x:c>
      <x:c r="H696" s="16" t="str">
        <x:f>IF(AND(AND(695&lt;='Control Room'!$B$3,'Control Room'!$D$3="Ready"),6&lt;='Control Room'!$B$2),ROUND(MAX(0,'Process'!AD696*'Control Room'!$H$9*INDEX('Control Room'!$B$19:$H$19,1,WEEKDAY($A696,2))*(1+'Control Room'!$D$9)^694*'Process'!AE696),2),"")</x:f>
      </x:c>
      <x:c r="I696" s="16" t="str">
        <x:f>IF(AND(AND(695&lt;='Control Room'!$B$3,'Control Room'!$D$3="Ready"),7&lt;='Control Room'!$B$2),ROUND(MAX(0,'Process'!AI696*'Control Room'!$H$10*INDEX('Control Room'!$B$19:$H$19,1,WEEKDAY($A696,2))*(1+'Control Room'!$D$9)^694*'Process'!AJ696),2),"")</x:f>
      </x:c>
      <x:c r="J696" s="16" t="str">
        <x:f>IF(AND(AND(695&lt;='Control Room'!$B$3,'Control Room'!$D$3="Ready"),8&lt;='Control Room'!$B$2),ROUND(MAX(0,'Process'!AN696*'Control Room'!$H$11*INDEX('Control Room'!$B$19:$H$19,1,WEEKDAY($A696,2))*(1+'Control Room'!$D$9)^694*'Process'!AO696),2),"")</x:f>
      </x:c>
      <x:c r="K696" s="16" t="str">
        <x:f>IF(AND(AND(695&lt;='Control Room'!$B$3,'Control Room'!$D$3="Ready"),9&lt;='Control Room'!$B$2),ROUND(MAX(0,'Process'!AS696*'Control Room'!$H$12*INDEX('Control Room'!$B$19:$H$19,1,WEEKDAY($A696,2))*(1+'Control Room'!$D$9)^694*'Process'!AT696),2),"")</x:f>
      </x:c>
      <x:c r="L696" s="16" t="str">
        <x:f>IF(AND(AND(695&lt;='Control Room'!$B$3,'Control Room'!$D$3="Ready"),10&lt;='Control Room'!$B$2),ROUND(MAX(0,'Process'!AX696*'Control Room'!$H$13*INDEX('Control Room'!$B$19:$H$19,1,WEEKDAY($A696,2))*(1+'Control Room'!$D$9)^694*'Process'!AY696),2),"")</x:f>
      </x:c>
      <x:c r="M696" s="16" t="str">
        <x:f>IF(AND(AND(695&lt;='Control Room'!$B$3,'Control Room'!$D$3="Ready"),11&lt;='Control Room'!$B$2),ROUND(MAX(0,'Process'!BC696*'Control Room'!$H$14*INDEX('Control Room'!$B$19:$H$19,1,WEEKDAY($A696,2))*(1+'Control Room'!$D$9)^694*'Process'!BD696),2),"")</x:f>
      </x:c>
      <x:c r="N696" s="16" t="str">
        <x:f>IF(AND(AND(695&lt;='Control Room'!$B$3,'Control Room'!$D$3="Ready"),12&lt;='Control Room'!$B$2),ROUND(MAX(0,'Process'!BH696*'Control Room'!$H$15*INDEX('Control Room'!$B$19:$H$19,1,WEEKDAY($A696,2))*(1+'Control Room'!$D$9)^694*'Process'!BI696),2),"")</x:f>
      </x:c>
    </x:row>
    <x:row r="697" ht="21" customHeight="1">
      <x:c r="A697" s="15" t="str">
        <x:f>IF(AND(696&lt;='Control Room'!$B$3,'Control Room'!$D$3="Ready"),'Process'!A697,"")</x:f>
      </x:c>
      <x:c r="B697" s="16" t="str">
        <x:f>IF(A697="","",SUM(C697:N697))</x:f>
      </x:c>
      <x:c r="C697" s="16" t="str">
        <x:f>IF(AND(AND(696&lt;='Control Room'!$B$3,'Control Room'!$D$3="Ready"),1&lt;='Control Room'!$B$2),ROUND(MAX(0,'Process'!E697*'Control Room'!$H$4*INDEX('Control Room'!$B$19:$H$19,1,WEEKDAY($A697,2))*(1+'Control Room'!$D$9)^695*'Process'!F697),2),"")</x:f>
      </x:c>
      <x:c r="D697" s="16" t="str">
        <x:f>IF(AND(AND(696&lt;='Control Room'!$B$3,'Control Room'!$D$3="Ready"),2&lt;='Control Room'!$B$2),ROUND(MAX(0,'Process'!J697*'Control Room'!$H$5*INDEX('Control Room'!$B$19:$H$19,1,WEEKDAY($A697,2))*(1+'Control Room'!$D$9)^695*'Process'!K697),2),"")</x:f>
      </x:c>
      <x:c r="E697" s="16" t="str">
        <x:f>IF(AND(AND(696&lt;='Control Room'!$B$3,'Control Room'!$D$3="Ready"),3&lt;='Control Room'!$B$2),ROUND(MAX(0,'Process'!O697*'Control Room'!$H$6*INDEX('Control Room'!$B$19:$H$19,1,WEEKDAY($A697,2))*(1+'Control Room'!$D$9)^695*'Process'!P697),2),"")</x:f>
      </x:c>
      <x:c r="F697" s="16" t="str">
        <x:f>IF(AND(AND(696&lt;='Control Room'!$B$3,'Control Room'!$D$3="Ready"),4&lt;='Control Room'!$B$2),ROUND(MAX(0,'Process'!T697*'Control Room'!$H$7*INDEX('Control Room'!$B$19:$H$19,1,WEEKDAY($A697,2))*(1+'Control Room'!$D$9)^695*'Process'!U697),2),"")</x:f>
      </x:c>
      <x:c r="G697" s="16" t="str">
        <x:f>IF(AND(AND(696&lt;='Control Room'!$B$3,'Control Room'!$D$3="Ready"),5&lt;='Control Room'!$B$2),ROUND(MAX(0,'Process'!Y697*'Control Room'!$H$8*INDEX('Control Room'!$B$19:$H$19,1,WEEKDAY($A697,2))*(1+'Control Room'!$D$9)^695*'Process'!Z697),2),"")</x:f>
      </x:c>
      <x:c r="H697" s="16" t="str">
        <x:f>IF(AND(AND(696&lt;='Control Room'!$B$3,'Control Room'!$D$3="Ready"),6&lt;='Control Room'!$B$2),ROUND(MAX(0,'Process'!AD697*'Control Room'!$H$9*INDEX('Control Room'!$B$19:$H$19,1,WEEKDAY($A697,2))*(1+'Control Room'!$D$9)^695*'Process'!AE697),2),"")</x:f>
      </x:c>
      <x:c r="I697" s="16" t="str">
        <x:f>IF(AND(AND(696&lt;='Control Room'!$B$3,'Control Room'!$D$3="Ready"),7&lt;='Control Room'!$B$2),ROUND(MAX(0,'Process'!AI697*'Control Room'!$H$10*INDEX('Control Room'!$B$19:$H$19,1,WEEKDAY($A697,2))*(1+'Control Room'!$D$9)^695*'Process'!AJ697),2),"")</x:f>
      </x:c>
      <x:c r="J697" s="16" t="str">
        <x:f>IF(AND(AND(696&lt;='Control Room'!$B$3,'Control Room'!$D$3="Ready"),8&lt;='Control Room'!$B$2),ROUND(MAX(0,'Process'!AN697*'Control Room'!$H$11*INDEX('Control Room'!$B$19:$H$19,1,WEEKDAY($A697,2))*(1+'Control Room'!$D$9)^695*'Process'!AO697),2),"")</x:f>
      </x:c>
      <x:c r="K697" s="16" t="str">
        <x:f>IF(AND(AND(696&lt;='Control Room'!$B$3,'Control Room'!$D$3="Ready"),9&lt;='Control Room'!$B$2),ROUND(MAX(0,'Process'!AS697*'Control Room'!$H$12*INDEX('Control Room'!$B$19:$H$19,1,WEEKDAY($A697,2))*(1+'Control Room'!$D$9)^695*'Process'!AT697),2),"")</x:f>
      </x:c>
      <x:c r="L697" s="16" t="str">
        <x:f>IF(AND(AND(696&lt;='Control Room'!$B$3,'Control Room'!$D$3="Ready"),10&lt;='Control Room'!$B$2),ROUND(MAX(0,'Process'!AX697*'Control Room'!$H$13*INDEX('Control Room'!$B$19:$H$19,1,WEEKDAY($A697,2))*(1+'Control Room'!$D$9)^695*'Process'!AY697),2),"")</x:f>
      </x:c>
      <x:c r="M697" s="16" t="str">
        <x:f>IF(AND(AND(696&lt;='Control Room'!$B$3,'Control Room'!$D$3="Ready"),11&lt;='Control Room'!$B$2),ROUND(MAX(0,'Process'!BC697*'Control Room'!$H$14*INDEX('Control Room'!$B$19:$H$19,1,WEEKDAY($A697,2))*(1+'Control Room'!$D$9)^695*'Process'!BD697),2),"")</x:f>
      </x:c>
      <x:c r="N697" s="16" t="str">
        <x:f>IF(AND(AND(696&lt;='Control Room'!$B$3,'Control Room'!$D$3="Ready"),12&lt;='Control Room'!$B$2),ROUND(MAX(0,'Process'!BH697*'Control Room'!$H$15*INDEX('Control Room'!$B$19:$H$19,1,WEEKDAY($A697,2))*(1+'Control Room'!$D$9)^695*'Process'!BI697),2),"")</x:f>
      </x:c>
    </x:row>
    <x:row r="698" ht="21" customHeight="1">
      <x:c r="A698" s="15" t="str">
        <x:f>IF(AND(697&lt;='Control Room'!$B$3,'Control Room'!$D$3="Ready"),'Process'!A698,"")</x:f>
      </x:c>
      <x:c r="B698" s="16" t="str">
        <x:f>IF(A698="","",SUM(C698:N698))</x:f>
      </x:c>
      <x:c r="C698" s="16" t="str">
        <x:f>IF(AND(AND(697&lt;='Control Room'!$B$3,'Control Room'!$D$3="Ready"),1&lt;='Control Room'!$B$2),ROUND(MAX(0,'Process'!E698*'Control Room'!$H$4*INDEX('Control Room'!$B$19:$H$19,1,WEEKDAY($A698,2))*(1+'Control Room'!$D$9)^696*'Process'!F698),2),"")</x:f>
      </x:c>
      <x:c r="D698" s="16" t="str">
        <x:f>IF(AND(AND(697&lt;='Control Room'!$B$3,'Control Room'!$D$3="Ready"),2&lt;='Control Room'!$B$2),ROUND(MAX(0,'Process'!J698*'Control Room'!$H$5*INDEX('Control Room'!$B$19:$H$19,1,WEEKDAY($A698,2))*(1+'Control Room'!$D$9)^696*'Process'!K698),2),"")</x:f>
      </x:c>
      <x:c r="E698" s="16" t="str">
        <x:f>IF(AND(AND(697&lt;='Control Room'!$B$3,'Control Room'!$D$3="Ready"),3&lt;='Control Room'!$B$2),ROUND(MAX(0,'Process'!O698*'Control Room'!$H$6*INDEX('Control Room'!$B$19:$H$19,1,WEEKDAY($A698,2))*(1+'Control Room'!$D$9)^696*'Process'!P698),2),"")</x:f>
      </x:c>
      <x:c r="F698" s="16" t="str">
        <x:f>IF(AND(AND(697&lt;='Control Room'!$B$3,'Control Room'!$D$3="Ready"),4&lt;='Control Room'!$B$2),ROUND(MAX(0,'Process'!T698*'Control Room'!$H$7*INDEX('Control Room'!$B$19:$H$19,1,WEEKDAY($A698,2))*(1+'Control Room'!$D$9)^696*'Process'!U698),2),"")</x:f>
      </x:c>
      <x:c r="G698" s="16" t="str">
        <x:f>IF(AND(AND(697&lt;='Control Room'!$B$3,'Control Room'!$D$3="Ready"),5&lt;='Control Room'!$B$2),ROUND(MAX(0,'Process'!Y698*'Control Room'!$H$8*INDEX('Control Room'!$B$19:$H$19,1,WEEKDAY($A698,2))*(1+'Control Room'!$D$9)^696*'Process'!Z698),2),"")</x:f>
      </x:c>
      <x:c r="H698" s="16" t="str">
        <x:f>IF(AND(AND(697&lt;='Control Room'!$B$3,'Control Room'!$D$3="Ready"),6&lt;='Control Room'!$B$2),ROUND(MAX(0,'Process'!AD698*'Control Room'!$H$9*INDEX('Control Room'!$B$19:$H$19,1,WEEKDAY($A698,2))*(1+'Control Room'!$D$9)^696*'Process'!AE698),2),"")</x:f>
      </x:c>
      <x:c r="I698" s="16" t="str">
        <x:f>IF(AND(AND(697&lt;='Control Room'!$B$3,'Control Room'!$D$3="Ready"),7&lt;='Control Room'!$B$2),ROUND(MAX(0,'Process'!AI698*'Control Room'!$H$10*INDEX('Control Room'!$B$19:$H$19,1,WEEKDAY($A698,2))*(1+'Control Room'!$D$9)^696*'Process'!AJ698),2),"")</x:f>
      </x:c>
      <x:c r="J698" s="16" t="str">
        <x:f>IF(AND(AND(697&lt;='Control Room'!$B$3,'Control Room'!$D$3="Ready"),8&lt;='Control Room'!$B$2),ROUND(MAX(0,'Process'!AN698*'Control Room'!$H$11*INDEX('Control Room'!$B$19:$H$19,1,WEEKDAY($A698,2))*(1+'Control Room'!$D$9)^696*'Process'!AO698),2),"")</x:f>
      </x:c>
      <x:c r="K698" s="16" t="str">
        <x:f>IF(AND(AND(697&lt;='Control Room'!$B$3,'Control Room'!$D$3="Ready"),9&lt;='Control Room'!$B$2),ROUND(MAX(0,'Process'!AS698*'Control Room'!$H$12*INDEX('Control Room'!$B$19:$H$19,1,WEEKDAY($A698,2))*(1+'Control Room'!$D$9)^696*'Process'!AT698),2),"")</x:f>
      </x:c>
      <x:c r="L698" s="16" t="str">
        <x:f>IF(AND(AND(697&lt;='Control Room'!$B$3,'Control Room'!$D$3="Ready"),10&lt;='Control Room'!$B$2),ROUND(MAX(0,'Process'!AX698*'Control Room'!$H$13*INDEX('Control Room'!$B$19:$H$19,1,WEEKDAY($A698,2))*(1+'Control Room'!$D$9)^696*'Process'!AY698),2),"")</x:f>
      </x:c>
      <x:c r="M698" s="16" t="str">
        <x:f>IF(AND(AND(697&lt;='Control Room'!$B$3,'Control Room'!$D$3="Ready"),11&lt;='Control Room'!$B$2),ROUND(MAX(0,'Process'!BC698*'Control Room'!$H$14*INDEX('Control Room'!$B$19:$H$19,1,WEEKDAY($A698,2))*(1+'Control Room'!$D$9)^696*'Process'!BD698),2),"")</x:f>
      </x:c>
      <x:c r="N698" s="16" t="str">
        <x:f>IF(AND(AND(697&lt;='Control Room'!$B$3,'Control Room'!$D$3="Ready"),12&lt;='Control Room'!$B$2),ROUND(MAX(0,'Process'!BH698*'Control Room'!$H$15*INDEX('Control Room'!$B$19:$H$19,1,WEEKDAY($A698,2))*(1+'Control Room'!$D$9)^696*'Process'!BI698),2),"")</x:f>
      </x:c>
    </x:row>
    <x:row r="699" ht="21" customHeight="1">
      <x:c r="A699" s="15" t="str">
        <x:f>IF(AND(698&lt;='Control Room'!$B$3,'Control Room'!$D$3="Ready"),'Process'!A699,"")</x:f>
      </x:c>
      <x:c r="B699" s="16" t="str">
        <x:f>IF(A699="","",SUM(C699:N699))</x:f>
      </x:c>
      <x:c r="C699" s="16" t="str">
        <x:f>IF(AND(AND(698&lt;='Control Room'!$B$3,'Control Room'!$D$3="Ready"),1&lt;='Control Room'!$B$2),ROUND(MAX(0,'Process'!E699*'Control Room'!$H$4*INDEX('Control Room'!$B$19:$H$19,1,WEEKDAY($A699,2))*(1+'Control Room'!$D$9)^697*'Process'!F699),2),"")</x:f>
      </x:c>
      <x:c r="D699" s="16" t="str">
        <x:f>IF(AND(AND(698&lt;='Control Room'!$B$3,'Control Room'!$D$3="Ready"),2&lt;='Control Room'!$B$2),ROUND(MAX(0,'Process'!J699*'Control Room'!$H$5*INDEX('Control Room'!$B$19:$H$19,1,WEEKDAY($A699,2))*(1+'Control Room'!$D$9)^697*'Process'!K699),2),"")</x:f>
      </x:c>
      <x:c r="E699" s="16" t="str">
        <x:f>IF(AND(AND(698&lt;='Control Room'!$B$3,'Control Room'!$D$3="Ready"),3&lt;='Control Room'!$B$2),ROUND(MAX(0,'Process'!O699*'Control Room'!$H$6*INDEX('Control Room'!$B$19:$H$19,1,WEEKDAY($A699,2))*(1+'Control Room'!$D$9)^697*'Process'!P699),2),"")</x:f>
      </x:c>
      <x:c r="F699" s="16" t="str">
        <x:f>IF(AND(AND(698&lt;='Control Room'!$B$3,'Control Room'!$D$3="Ready"),4&lt;='Control Room'!$B$2),ROUND(MAX(0,'Process'!T699*'Control Room'!$H$7*INDEX('Control Room'!$B$19:$H$19,1,WEEKDAY($A699,2))*(1+'Control Room'!$D$9)^697*'Process'!U699),2),"")</x:f>
      </x:c>
      <x:c r="G699" s="16" t="str">
        <x:f>IF(AND(AND(698&lt;='Control Room'!$B$3,'Control Room'!$D$3="Ready"),5&lt;='Control Room'!$B$2),ROUND(MAX(0,'Process'!Y699*'Control Room'!$H$8*INDEX('Control Room'!$B$19:$H$19,1,WEEKDAY($A699,2))*(1+'Control Room'!$D$9)^697*'Process'!Z699),2),"")</x:f>
      </x:c>
      <x:c r="H699" s="16" t="str">
        <x:f>IF(AND(AND(698&lt;='Control Room'!$B$3,'Control Room'!$D$3="Ready"),6&lt;='Control Room'!$B$2),ROUND(MAX(0,'Process'!AD699*'Control Room'!$H$9*INDEX('Control Room'!$B$19:$H$19,1,WEEKDAY($A699,2))*(1+'Control Room'!$D$9)^697*'Process'!AE699),2),"")</x:f>
      </x:c>
      <x:c r="I699" s="16" t="str">
        <x:f>IF(AND(AND(698&lt;='Control Room'!$B$3,'Control Room'!$D$3="Ready"),7&lt;='Control Room'!$B$2),ROUND(MAX(0,'Process'!AI699*'Control Room'!$H$10*INDEX('Control Room'!$B$19:$H$19,1,WEEKDAY($A699,2))*(1+'Control Room'!$D$9)^697*'Process'!AJ699),2),"")</x:f>
      </x:c>
      <x:c r="J699" s="16" t="str">
        <x:f>IF(AND(AND(698&lt;='Control Room'!$B$3,'Control Room'!$D$3="Ready"),8&lt;='Control Room'!$B$2),ROUND(MAX(0,'Process'!AN699*'Control Room'!$H$11*INDEX('Control Room'!$B$19:$H$19,1,WEEKDAY($A699,2))*(1+'Control Room'!$D$9)^697*'Process'!AO699),2),"")</x:f>
      </x:c>
      <x:c r="K699" s="16" t="str">
        <x:f>IF(AND(AND(698&lt;='Control Room'!$B$3,'Control Room'!$D$3="Ready"),9&lt;='Control Room'!$B$2),ROUND(MAX(0,'Process'!AS699*'Control Room'!$H$12*INDEX('Control Room'!$B$19:$H$19,1,WEEKDAY($A699,2))*(1+'Control Room'!$D$9)^697*'Process'!AT699),2),"")</x:f>
      </x:c>
      <x:c r="L699" s="16" t="str">
        <x:f>IF(AND(AND(698&lt;='Control Room'!$B$3,'Control Room'!$D$3="Ready"),10&lt;='Control Room'!$B$2),ROUND(MAX(0,'Process'!AX699*'Control Room'!$H$13*INDEX('Control Room'!$B$19:$H$19,1,WEEKDAY($A699,2))*(1+'Control Room'!$D$9)^697*'Process'!AY699),2),"")</x:f>
      </x:c>
      <x:c r="M699" s="16" t="str">
        <x:f>IF(AND(AND(698&lt;='Control Room'!$B$3,'Control Room'!$D$3="Ready"),11&lt;='Control Room'!$B$2),ROUND(MAX(0,'Process'!BC699*'Control Room'!$H$14*INDEX('Control Room'!$B$19:$H$19,1,WEEKDAY($A699,2))*(1+'Control Room'!$D$9)^697*'Process'!BD699),2),"")</x:f>
      </x:c>
      <x:c r="N699" s="16" t="str">
        <x:f>IF(AND(AND(698&lt;='Control Room'!$B$3,'Control Room'!$D$3="Ready"),12&lt;='Control Room'!$B$2),ROUND(MAX(0,'Process'!BH699*'Control Room'!$H$15*INDEX('Control Room'!$B$19:$H$19,1,WEEKDAY($A699,2))*(1+'Control Room'!$D$9)^697*'Process'!BI699),2),"")</x:f>
      </x:c>
    </x:row>
    <x:row r="700" ht="21" customHeight="1">
      <x:c r="A700" s="15" t="str">
        <x:f>IF(AND(699&lt;='Control Room'!$B$3,'Control Room'!$D$3="Ready"),'Process'!A700,"")</x:f>
      </x:c>
      <x:c r="B700" s="16" t="str">
        <x:f>IF(A700="","",SUM(C700:N700))</x:f>
      </x:c>
      <x:c r="C700" s="16" t="str">
        <x:f>IF(AND(AND(699&lt;='Control Room'!$B$3,'Control Room'!$D$3="Ready"),1&lt;='Control Room'!$B$2),ROUND(MAX(0,'Process'!E700*'Control Room'!$H$4*INDEX('Control Room'!$B$19:$H$19,1,WEEKDAY($A700,2))*(1+'Control Room'!$D$9)^698*'Process'!F700),2),"")</x:f>
      </x:c>
      <x:c r="D700" s="16" t="str">
        <x:f>IF(AND(AND(699&lt;='Control Room'!$B$3,'Control Room'!$D$3="Ready"),2&lt;='Control Room'!$B$2),ROUND(MAX(0,'Process'!J700*'Control Room'!$H$5*INDEX('Control Room'!$B$19:$H$19,1,WEEKDAY($A700,2))*(1+'Control Room'!$D$9)^698*'Process'!K700),2),"")</x:f>
      </x:c>
      <x:c r="E700" s="16" t="str">
        <x:f>IF(AND(AND(699&lt;='Control Room'!$B$3,'Control Room'!$D$3="Ready"),3&lt;='Control Room'!$B$2),ROUND(MAX(0,'Process'!O700*'Control Room'!$H$6*INDEX('Control Room'!$B$19:$H$19,1,WEEKDAY($A700,2))*(1+'Control Room'!$D$9)^698*'Process'!P700),2),"")</x:f>
      </x:c>
      <x:c r="F700" s="16" t="str">
        <x:f>IF(AND(AND(699&lt;='Control Room'!$B$3,'Control Room'!$D$3="Ready"),4&lt;='Control Room'!$B$2),ROUND(MAX(0,'Process'!T700*'Control Room'!$H$7*INDEX('Control Room'!$B$19:$H$19,1,WEEKDAY($A700,2))*(1+'Control Room'!$D$9)^698*'Process'!U700),2),"")</x:f>
      </x:c>
      <x:c r="G700" s="16" t="str">
        <x:f>IF(AND(AND(699&lt;='Control Room'!$B$3,'Control Room'!$D$3="Ready"),5&lt;='Control Room'!$B$2),ROUND(MAX(0,'Process'!Y700*'Control Room'!$H$8*INDEX('Control Room'!$B$19:$H$19,1,WEEKDAY($A700,2))*(1+'Control Room'!$D$9)^698*'Process'!Z700),2),"")</x:f>
      </x:c>
      <x:c r="H700" s="16" t="str">
        <x:f>IF(AND(AND(699&lt;='Control Room'!$B$3,'Control Room'!$D$3="Ready"),6&lt;='Control Room'!$B$2),ROUND(MAX(0,'Process'!AD700*'Control Room'!$H$9*INDEX('Control Room'!$B$19:$H$19,1,WEEKDAY($A700,2))*(1+'Control Room'!$D$9)^698*'Process'!AE700),2),"")</x:f>
      </x:c>
      <x:c r="I700" s="16" t="str">
        <x:f>IF(AND(AND(699&lt;='Control Room'!$B$3,'Control Room'!$D$3="Ready"),7&lt;='Control Room'!$B$2),ROUND(MAX(0,'Process'!AI700*'Control Room'!$H$10*INDEX('Control Room'!$B$19:$H$19,1,WEEKDAY($A700,2))*(1+'Control Room'!$D$9)^698*'Process'!AJ700),2),"")</x:f>
      </x:c>
      <x:c r="J700" s="16" t="str">
        <x:f>IF(AND(AND(699&lt;='Control Room'!$B$3,'Control Room'!$D$3="Ready"),8&lt;='Control Room'!$B$2),ROUND(MAX(0,'Process'!AN700*'Control Room'!$H$11*INDEX('Control Room'!$B$19:$H$19,1,WEEKDAY($A700,2))*(1+'Control Room'!$D$9)^698*'Process'!AO700),2),"")</x:f>
      </x:c>
      <x:c r="K700" s="16" t="str">
        <x:f>IF(AND(AND(699&lt;='Control Room'!$B$3,'Control Room'!$D$3="Ready"),9&lt;='Control Room'!$B$2),ROUND(MAX(0,'Process'!AS700*'Control Room'!$H$12*INDEX('Control Room'!$B$19:$H$19,1,WEEKDAY($A700,2))*(1+'Control Room'!$D$9)^698*'Process'!AT700),2),"")</x:f>
      </x:c>
      <x:c r="L700" s="16" t="str">
        <x:f>IF(AND(AND(699&lt;='Control Room'!$B$3,'Control Room'!$D$3="Ready"),10&lt;='Control Room'!$B$2),ROUND(MAX(0,'Process'!AX700*'Control Room'!$H$13*INDEX('Control Room'!$B$19:$H$19,1,WEEKDAY($A700,2))*(1+'Control Room'!$D$9)^698*'Process'!AY700),2),"")</x:f>
      </x:c>
      <x:c r="M700" s="16" t="str">
        <x:f>IF(AND(AND(699&lt;='Control Room'!$B$3,'Control Room'!$D$3="Ready"),11&lt;='Control Room'!$B$2),ROUND(MAX(0,'Process'!BC700*'Control Room'!$H$14*INDEX('Control Room'!$B$19:$H$19,1,WEEKDAY($A700,2))*(1+'Control Room'!$D$9)^698*'Process'!BD700),2),"")</x:f>
      </x:c>
      <x:c r="N700" s="16" t="str">
        <x:f>IF(AND(AND(699&lt;='Control Room'!$B$3,'Control Room'!$D$3="Ready"),12&lt;='Control Room'!$B$2),ROUND(MAX(0,'Process'!BH700*'Control Room'!$H$15*INDEX('Control Room'!$B$19:$H$19,1,WEEKDAY($A700,2))*(1+'Control Room'!$D$9)^698*'Process'!BI700),2),"")</x:f>
      </x:c>
    </x:row>
    <x:row r="701" ht="21" customHeight="1">
      <x:c r="A701" s="15" t="str">
        <x:f>IF(AND(700&lt;='Control Room'!$B$3,'Control Room'!$D$3="Ready"),'Process'!A701,"")</x:f>
      </x:c>
      <x:c r="B701" s="16" t="str">
        <x:f>IF(A701="","",SUM(C701:N701))</x:f>
      </x:c>
      <x:c r="C701" s="16" t="str">
        <x:f>IF(AND(AND(700&lt;='Control Room'!$B$3,'Control Room'!$D$3="Ready"),1&lt;='Control Room'!$B$2),ROUND(MAX(0,'Process'!E701*'Control Room'!$H$4*INDEX('Control Room'!$B$19:$H$19,1,WEEKDAY($A701,2))*(1+'Control Room'!$D$9)^699*'Process'!F701),2),"")</x:f>
      </x:c>
      <x:c r="D701" s="16" t="str">
        <x:f>IF(AND(AND(700&lt;='Control Room'!$B$3,'Control Room'!$D$3="Ready"),2&lt;='Control Room'!$B$2),ROUND(MAX(0,'Process'!J701*'Control Room'!$H$5*INDEX('Control Room'!$B$19:$H$19,1,WEEKDAY($A701,2))*(1+'Control Room'!$D$9)^699*'Process'!K701),2),"")</x:f>
      </x:c>
      <x:c r="E701" s="16" t="str">
        <x:f>IF(AND(AND(700&lt;='Control Room'!$B$3,'Control Room'!$D$3="Ready"),3&lt;='Control Room'!$B$2),ROUND(MAX(0,'Process'!O701*'Control Room'!$H$6*INDEX('Control Room'!$B$19:$H$19,1,WEEKDAY($A701,2))*(1+'Control Room'!$D$9)^699*'Process'!P701),2),"")</x:f>
      </x:c>
      <x:c r="F701" s="16" t="str">
        <x:f>IF(AND(AND(700&lt;='Control Room'!$B$3,'Control Room'!$D$3="Ready"),4&lt;='Control Room'!$B$2),ROUND(MAX(0,'Process'!T701*'Control Room'!$H$7*INDEX('Control Room'!$B$19:$H$19,1,WEEKDAY($A701,2))*(1+'Control Room'!$D$9)^699*'Process'!U701),2),"")</x:f>
      </x:c>
      <x:c r="G701" s="16" t="str">
        <x:f>IF(AND(AND(700&lt;='Control Room'!$B$3,'Control Room'!$D$3="Ready"),5&lt;='Control Room'!$B$2),ROUND(MAX(0,'Process'!Y701*'Control Room'!$H$8*INDEX('Control Room'!$B$19:$H$19,1,WEEKDAY($A701,2))*(1+'Control Room'!$D$9)^699*'Process'!Z701),2),"")</x:f>
      </x:c>
      <x:c r="H701" s="16" t="str">
        <x:f>IF(AND(AND(700&lt;='Control Room'!$B$3,'Control Room'!$D$3="Ready"),6&lt;='Control Room'!$B$2),ROUND(MAX(0,'Process'!AD701*'Control Room'!$H$9*INDEX('Control Room'!$B$19:$H$19,1,WEEKDAY($A701,2))*(1+'Control Room'!$D$9)^699*'Process'!AE701),2),"")</x:f>
      </x:c>
      <x:c r="I701" s="16" t="str">
        <x:f>IF(AND(AND(700&lt;='Control Room'!$B$3,'Control Room'!$D$3="Ready"),7&lt;='Control Room'!$B$2),ROUND(MAX(0,'Process'!AI701*'Control Room'!$H$10*INDEX('Control Room'!$B$19:$H$19,1,WEEKDAY($A701,2))*(1+'Control Room'!$D$9)^699*'Process'!AJ701),2),"")</x:f>
      </x:c>
      <x:c r="J701" s="16" t="str">
        <x:f>IF(AND(AND(700&lt;='Control Room'!$B$3,'Control Room'!$D$3="Ready"),8&lt;='Control Room'!$B$2),ROUND(MAX(0,'Process'!AN701*'Control Room'!$H$11*INDEX('Control Room'!$B$19:$H$19,1,WEEKDAY($A701,2))*(1+'Control Room'!$D$9)^699*'Process'!AO701),2),"")</x:f>
      </x:c>
      <x:c r="K701" s="16" t="str">
        <x:f>IF(AND(AND(700&lt;='Control Room'!$B$3,'Control Room'!$D$3="Ready"),9&lt;='Control Room'!$B$2),ROUND(MAX(0,'Process'!AS701*'Control Room'!$H$12*INDEX('Control Room'!$B$19:$H$19,1,WEEKDAY($A701,2))*(1+'Control Room'!$D$9)^699*'Process'!AT701),2),"")</x:f>
      </x:c>
      <x:c r="L701" s="16" t="str">
        <x:f>IF(AND(AND(700&lt;='Control Room'!$B$3,'Control Room'!$D$3="Ready"),10&lt;='Control Room'!$B$2),ROUND(MAX(0,'Process'!AX701*'Control Room'!$H$13*INDEX('Control Room'!$B$19:$H$19,1,WEEKDAY($A701,2))*(1+'Control Room'!$D$9)^699*'Process'!AY701),2),"")</x:f>
      </x:c>
      <x:c r="M701" s="16" t="str">
        <x:f>IF(AND(AND(700&lt;='Control Room'!$B$3,'Control Room'!$D$3="Ready"),11&lt;='Control Room'!$B$2),ROUND(MAX(0,'Process'!BC701*'Control Room'!$H$14*INDEX('Control Room'!$B$19:$H$19,1,WEEKDAY($A701,2))*(1+'Control Room'!$D$9)^699*'Process'!BD701),2),"")</x:f>
      </x:c>
      <x:c r="N701" s="16" t="str">
        <x:f>IF(AND(AND(700&lt;='Control Room'!$B$3,'Control Room'!$D$3="Ready"),12&lt;='Control Room'!$B$2),ROUND(MAX(0,'Process'!BH701*'Control Room'!$H$15*INDEX('Control Room'!$B$19:$H$19,1,WEEKDAY($A701,2))*(1+'Control Room'!$D$9)^699*'Process'!BI701),2),"")</x:f>
      </x:c>
    </x:row>
    <x:row r="702" ht="21" customHeight="1">
      <x:c r="A702" s="15" t="str">
        <x:f>IF(AND(701&lt;='Control Room'!$B$3,'Control Room'!$D$3="Ready"),'Process'!A702,"")</x:f>
      </x:c>
      <x:c r="B702" s="16" t="str">
        <x:f>IF(A702="","",SUM(C702:N702))</x:f>
      </x:c>
      <x:c r="C702" s="16" t="str">
        <x:f>IF(AND(AND(701&lt;='Control Room'!$B$3,'Control Room'!$D$3="Ready"),1&lt;='Control Room'!$B$2),ROUND(MAX(0,'Process'!E702*'Control Room'!$H$4*INDEX('Control Room'!$B$19:$H$19,1,WEEKDAY($A702,2))*(1+'Control Room'!$D$9)^700*'Process'!F702),2),"")</x:f>
      </x:c>
      <x:c r="D702" s="16" t="str">
        <x:f>IF(AND(AND(701&lt;='Control Room'!$B$3,'Control Room'!$D$3="Ready"),2&lt;='Control Room'!$B$2),ROUND(MAX(0,'Process'!J702*'Control Room'!$H$5*INDEX('Control Room'!$B$19:$H$19,1,WEEKDAY($A702,2))*(1+'Control Room'!$D$9)^700*'Process'!K702),2),"")</x:f>
      </x:c>
      <x:c r="E702" s="16" t="str">
        <x:f>IF(AND(AND(701&lt;='Control Room'!$B$3,'Control Room'!$D$3="Ready"),3&lt;='Control Room'!$B$2),ROUND(MAX(0,'Process'!O702*'Control Room'!$H$6*INDEX('Control Room'!$B$19:$H$19,1,WEEKDAY($A702,2))*(1+'Control Room'!$D$9)^700*'Process'!P702),2),"")</x:f>
      </x:c>
      <x:c r="F702" s="16" t="str">
        <x:f>IF(AND(AND(701&lt;='Control Room'!$B$3,'Control Room'!$D$3="Ready"),4&lt;='Control Room'!$B$2),ROUND(MAX(0,'Process'!T702*'Control Room'!$H$7*INDEX('Control Room'!$B$19:$H$19,1,WEEKDAY($A702,2))*(1+'Control Room'!$D$9)^700*'Process'!U702),2),"")</x:f>
      </x:c>
      <x:c r="G702" s="16" t="str">
        <x:f>IF(AND(AND(701&lt;='Control Room'!$B$3,'Control Room'!$D$3="Ready"),5&lt;='Control Room'!$B$2),ROUND(MAX(0,'Process'!Y702*'Control Room'!$H$8*INDEX('Control Room'!$B$19:$H$19,1,WEEKDAY($A702,2))*(1+'Control Room'!$D$9)^700*'Process'!Z702),2),"")</x:f>
      </x:c>
      <x:c r="H702" s="16" t="str">
        <x:f>IF(AND(AND(701&lt;='Control Room'!$B$3,'Control Room'!$D$3="Ready"),6&lt;='Control Room'!$B$2),ROUND(MAX(0,'Process'!AD702*'Control Room'!$H$9*INDEX('Control Room'!$B$19:$H$19,1,WEEKDAY($A702,2))*(1+'Control Room'!$D$9)^700*'Process'!AE702),2),"")</x:f>
      </x:c>
      <x:c r="I702" s="16" t="str">
        <x:f>IF(AND(AND(701&lt;='Control Room'!$B$3,'Control Room'!$D$3="Ready"),7&lt;='Control Room'!$B$2),ROUND(MAX(0,'Process'!AI702*'Control Room'!$H$10*INDEX('Control Room'!$B$19:$H$19,1,WEEKDAY($A702,2))*(1+'Control Room'!$D$9)^700*'Process'!AJ702),2),"")</x:f>
      </x:c>
      <x:c r="J702" s="16" t="str">
        <x:f>IF(AND(AND(701&lt;='Control Room'!$B$3,'Control Room'!$D$3="Ready"),8&lt;='Control Room'!$B$2),ROUND(MAX(0,'Process'!AN702*'Control Room'!$H$11*INDEX('Control Room'!$B$19:$H$19,1,WEEKDAY($A702,2))*(1+'Control Room'!$D$9)^700*'Process'!AO702),2),"")</x:f>
      </x:c>
      <x:c r="K702" s="16" t="str">
        <x:f>IF(AND(AND(701&lt;='Control Room'!$B$3,'Control Room'!$D$3="Ready"),9&lt;='Control Room'!$B$2),ROUND(MAX(0,'Process'!AS702*'Control Room'!$H$12*INDEX('Control Room'!$B$19:$H$19,1,WEEKDAY($A702,2))*(1+'Control Room'!$D$9)^700*'Process'!AT702),2),"")</x:f>
      </x:c>
      <x:c r="L702" s="16" t="str">
        <x:f>IF(AND(AND(701&lt;='Control Room'!$B$3,'Control Room'!$D$3="Ready"),10&lt;='Control Room'!$B$2),ROUND(MAX(0,'Process'!AX702*'Control Room'!$H$13*INDEX('Control Room'!$B$19:$H$19,1,WEEKDAY($A702,2))*(1+'Control Room'!$D$9)^700*'Process'!AY702),2),"")</x:f>
      </x:c>
      <x:c r="M702" s="16" t="str">
        <x:f>IF(AND(AND(701&lt;='Control Room'!$B$3,'Control Room'!$D$3="Ready"),11&lt;='Control Room'!$B$2),ROUND(MAX(0,'Process'!BC702*'Control Room'!$H$14*INDEX('Control Room'!$B$19:$H$19,1,WEEKDAY($A702,2))*(1+'Control Room'!$D$9)^700*'Process'!BD702),2),"")</x:f>
      </x:c>
      <x:c r="N702" s="16" t="str">
        <x:f>IF(AND(AND(701&lt;='Control Room'!$B$3,'Control Room'!$D$3="Ready"),12&lt;='Control Room'!$B$2),ROUND(MAX(0,'Process'!BH702*'Control Room'!$H$15*INDEX('Control Room'!$B$19:$H$19,1,WEEKDAY($A702,2))*(1+'Control Room'!$D$9)^700*'Process'!BI702),2),"")</x:f>
      </x:c>
    </x:row>
    <x:row r="703" ht="21" customHeight="1">
      <x:c r="A703" s="15" t="str">
        <x:f>IF(AND(702&lt;='Control Room'!$B$3,'Control Room'!$D$3="Ready"),'Process'!A703,"")</x:f>
      </x:c>
      <x:c r="B703" s="16" t="str">
        <x:f>IF(A703="","",SUM(C703:N703))</x:f>
      </x:c>
      <x:c r="C703" s="16" t="str">
        <x:f>IF(AND(AND(702&lt;='Control Room'!$B$3,'Control Room'!$D$3="Ready"),1&lt;='Control Room'!$B$2),ROUND(MAX(0,'Process'!E703*'Control Room'!$H$4*INDEX('Control Room'!$B$19:$H$19,1,WEEKDAY($A703,2))*(1+'Control Room'!$D$9)^701*'Process'!F703),2),"")</x:f>
      </x:c>
      <x:c r="D703" s="16" t="str">
        <x:f>IF(AND(AND(702&lt;='Control Room'!$B$3,'Control Room'!$D$3="Ready"),2&lt;='Control Room'!$B$2),ROUND(MAX(0,'Process'!J703*'Control Room'!$H$5*INDEX('Control Room'!$B$19:$H$19,1,WEEKDAY($A703,2))*(1+'Control Room'!$D$9)^701*'Process'!K703),2),"")</x:f>
      </x:c>
      <x:c r="E703" s="16" t="str">
        <x:f>IF(AND(AND(702&lt;='Control Room'!$B$3,'Control Room'!$D$3="Ready"),3&lt;='Control Room'!$B$2),ROUND(MAX(0,'Process'!O703*'Control Room'!$H$6*INDEX('Control Room'!$B$19:$H$19,1,WEEKDAY($A703,2))*(1+'Control Room'!$D$9)^701*'Process'!P703),2),"")</x:f>
      </x:c>
      <x:c r="F703" s="16" t="str">
        <x:f>IF(AND(AND(702&lt;='Control Room'!$B$3,'Control Room'!$D$3="Ready"),4&lt;='Control Room'!$B$2),ROUND(MAX(0,'Process'!T703*'Control Room'!$H$7*INDEX('Control Room'!$B$19:$H$19,1,WEEKDAY($A703,2))*(1+'Control Room'!$D$9)^701*'Process'!U703),2),"")</x:f>
      </x:c>
      <x:c r="G703" s="16" t="str">
        <x:f>IF(AND(AND(702&lt;='Control Room'!$B$3,'Control Room'!$D$3="Ready"),5&lt;='Control Room'!$B$2),ROUND(MAX(0,'Process'!Y703*'Control Room'!$H$8*INDEX('Control Room'!$B$19:$H$19,1,WEEKDAY($A703,2))*(1+'Control Room'!$D$9)^701*'Process'!Z703),2),"")</x:f>
      </x:c>
      <x:c r="H703" s="16" t="str">
        <x:f>IF(AND(AND(702&lt;='Control Room'!$B$3,'Control Room'!$D$3="Ready"),6&lt;='Control Room'!$B$2),ROUND(MAX(0,'Process'!AD703*'Control Room'!$H$9*INDEX('Control Room'!$B$19:$H$19,1,WEEKDAY($A703,2))*(1+'Control Room'!$D$9)^701*'Process'!AE703),2),"")</x:f>
      </x:c>
      <x:c r="I703" s="16" t="str">
        <x:f>IF(AND(AND(702&lt;='Control Room'!$B$3,'Control Room'!$D$3="Ready"),7&lt;='Control Room'!$B$2),ROUND(MAX(0,'Process'!AI703*'Control Room'!$H$10*INDEX('Control Room'!$B$19:$H$19,1,WEEKDAY($A703,2))*(1+'Control Room'!$D$9)^701*'Process'!AJ703),2),"")</x:f>
      </x:c>
      <x:c r="J703" s="16" t="str">
        <x:f>IF(AND(AND(702&lt;='Control Room'!$B$3,'Control Room'!$D$3="Ready"),8&lt;='Control Room'!$B$2),ROUND(MAX(0,'Process'!AN703*'Control Room'!$H$11*INDEX('Control Room'!$B$19:$H$19,1,WEEKDAY($A703,2))*(1+'Control Room'!$D$9)^701*'Process'!AO703),2),"")</x:f>
      </x:c>
      <x:c r="K703" s="16" t="str">
        <x:f>IF(AND(AND(702&lt;='Control Room'!$B$3,'Control Room'!$D$3="Ready"),9&lt;='Control Room'!$B$2),ROUND(MAX(0,'Process'!AS703*'Control Room'!$H$12*INDEX('Control Room'!$B$19:$H$19,1,WEEKDAY($A703,2))*(1+'Control Room'!$D$9)^701*'Process'!AT703),2),"")</x:f>
      </x:c>
      <x:c r="L703" s="16" t="str">
        <x:f>IF(AND(AND(702&lt;='Control Room'!$B$3,'Control Room'!$D$3="Ready"),10&lt;='Control Room'!$B$2),ROUND(MAX(0,'Process'!AX703*'Control Room'!$H$13*INDEX('Control Room'!$B$19:$H$19,1,WEEKDAY($A703,2))*(1+'Control Room'!$D$9)^701*'Process'!AY703),2),"")</x:f>
      </x:c>
      <x:c r="M703" s="16" t="str">
        <x:f>IF(AND(AND(702&lt;='Control Room'!$B$3,'Control Room'!$D$3="Ready"),11&lt;='Control Room'!$B$2),ROUND(MAX(0,'Process'!BC703*'Control Room'!$H$14*INDEX('Control Room'!$B$19:$H$19,1,WEEKDAY($A703,2))*(1+'Control Room'!$D$9)^701*'Process'!BD703),2),"")</x:f>
      </x:c>
      <x:c r="N703" s="16" t="str">
        <x:f>IF(AND(AND(702&lt;='Control Room'!$B$3,'Control Room'!$D$3="Ready"),12&lt;='Control Room'!$B$2),ROUND(MAX(0,'Process'!BH703*'Control Room'!$H$15*INDEX('Control Room'!$B$19:$H$19,1,WEEKDAY($A703,2))*(1+'Control Room'!$D$9)^701*'Process'!BI703),2),"")</x:f>
      </x:c>
    </x:row>
    <x:row r="704" ht="21" customHeight="1">
      <x:c r="A704" s="15" t="str">
        <x:f>IF(AND(703&lt;='Control Room'!$B$3,'Control Room'!$D$3="Ready"),'Process'!A704,"")</x:f>
      </x:c>
      <x:c r="B704" s="16" t="str">
        <x:f>IF(A704="","",SUM(C704:N704))</x:f>
      </x:c>
      <x:c r="C704" s="16" t="str">
        <x:f>IF(AND(AND(703&lt;='Control Room'!$B$3,'Control Room'!$D$3="Ready"),1&lt;='Control Room'!$B$2),ROUND(MAX(0,'Process'!E704*'Control Room'!$H$4*INDEX('Control Room'!$B$19:$H$19,1,WEEKDAY($A704,2))*(1+'Control Room'!$D$9)^702*'Process'!F704),2),"")</x:f>
      </x:c>
      <x:c r="D704" s="16" t="str">
        <x:f>IF(AND(AND(703&lt;='Control Room'!$B$3,'Control Room'!$D$3="Ready"),2&lt;='Control Room'!$B$2),ROUND(MAX(0,'Process'!J704*'Control Room'!$H$5*INDEX('Control Room'!$B$19:$H$19,1,WEEKDAY($A704,2))*(1+'Control Room'!$D$9)^702*'Process'!K704),2),"")</x:f>
      </x:c>
      <x:c r="E704" s="16" t="str">
        <x:f>IF(AND(AND(703&lt;='Control Room'!$B$3,'Control Room'!$D$3="Ready"),3&lt;='Control Room'!$B$2),ROUND(MAX(0,'Process'!O704*'Control Room'!$H$6*INDEX('Control Room'!$B$19:$H$19,1,WEEKDAY($A704,2))*(1+'Control Room'!$D$9)^702*'Process'!P704),2),"")</x:f>
      </x:c>
      <x:c r="F704" s="16" t="str">
        <x:f>IF(AND(AND(703&lt;='Control Room'!$B$3,'Control Room'!$D$3="Ready"),4&lt;='Control Room'!$B$2),ROUND(MAX(0,'Process'!T704*'Control Room'!$H$7*INDEX('Control Room'!$B$19:$H$19,1,WEEKDAY($A704,2))*(1+'Control Room'!$D$9)^702*'Process'!U704),2),"")</x:f>
      </x:c>
      <x:c r="G704" s="16" t="str">
        <x:f>IF(AND(AND(703&lt;='Control Room'!$B$3,'Control Room'!$D$3="Ready"),5&lt;='Control Room'!$B$2),ROUND(MAX(0,'Process'!Y704*'Control Room'!$H$8*INDEX('Control Room'!$B$19:$H$19,1,WEEKDAY($A704,2))*(1+'Control Room'!$D$9)^702*'Process'!Z704),2),"")</x:f>
      </x:c>
      <x:c r="H704" s="16" t="str">
        <x:f>IF(AND(AND(703&lt;='Control Room'!$B$3,'Control Room'!$D$3="Ready"),6&lt;='Control Room'!$B$2),ROUND(MAX(0,'Process'!AD704*'Control Room'!$H$9*INDEX('Control Room'!$B$19:$H$19,1,WEEKDAY($A704,2))*(1+'Control Room'!$D$9)^702*'Process'!AE704),2),"")</x:f>
      </x:c>
      <x:c r="I704" s="16" t="str">
        <x:f>IF(AND(AND(703&lt;='Control Room'!$B$3,'Control Room'!$D$3="Ready"),7&lt;='Control Room'!$B$2),ROUND(MAX(0,'Process'!AI704*'Control Room'!$H$10*INDEX('Control Room'!$B$19:$H$19,1,WEEKDAY($A704,2))*(1+'Control Room'!$D$9)^702*'Process'!AJ704),2),"")</x:f>
      </x:c>
      <x:c r="J704" s="16" t="str">
        <x:f>IF(AND(AND(703&lt;='Control Room'!$B$3,'Control Room'!$D$3="Ready"),8&lt;='Control Room'!$B$2),ROUND(MAX(0,'Process'!AN704*'Control Room'!$H$11*INDEX('Control Room'!$B$19:$H$19,1,WEEKDAY($A704,2))*(1+'Control Room'!$D$9)^702*'Process'!AO704),2),"")</x:f>
      </x:c>
      <x:c r="K704" s="16" t="str">
        <x:f>IF(AND(AND(703&lt;='Control Room'!$B$3,'Control Room'!$D$3="Ready"),9&lt;='Control Room'!$B$2),ROUND(MAX(0,'Process'!AS704*'Control Room'!$H$12*INDEX('Control Room'!$B$19:$H$19,1,WEEKDAY($A704,2))*(1+'Control Room'!$D$9)^702*'Process'!AT704),2),"")</x:f>
      </x:c>
      <x:c r="L704" s="16" t="str">
        <x:f>IF(AND(AND(703&lt;='Control Room'!$B$3,'Control Room'!$D$3="Ready"),10&lt;='Control Room'!$B$2),ROUND(MAX(0,'Process'!AX704*'Control Room'!$H$13*INDEX('Control Room'!$B$19:$H$19,1,WEEKDAY($A704,2))*(1+'Control Room'!$D$9)^702*'Process'!AY704),2),"")</x:f>
      </x:c>
      <x:c r="M704" s="16" t="str">
        <x:f>IF(AND(AND(703&lt;='Control Room'!$B$3,'Control Room'!$D$3="Ready"),11&lt;='Control Room'!$B$2),ROUND(MAX(0,'Process'!BC704*'Control Room'!$H$14*INDEX('Control Room'!$B$19:$H$19,1,WEEKDAY($A704,2))*(1+'Control Room'!$D$9)^702*'Process'!BD704),2),"")</x:f>
      </x:c>
      <x:c r="N704" s="16" t="str">
        <x:f>IF(AND(AND(703&lt;='Control Room'!$B$3,'Control Room'!$D$3="Ready"),12&lt;='Control Room'!$B$2),ROUND(MAX(0,'Process'!BH704*'Control Room'!$H$15*INDEX('Control Room'!$B$19:$H$19,1,WEEKDAY($A704,2))*(1+'Control Room'!$D$9)^702*'Process'!BI704),2),"")</x:f>
      </x:c>
    </x:row>
    <x:row r="705" ht="21" customHeight="1">
      <x:c r="A705" s="15" t="str">
        <x:f>IF(AND(704&lt;='Control Room'!$B$3,'Control Room'!$D$3="Ready"),'Process'!A705,"")</x:f>
      </x:c>
      <x:c r="B705" s="16" t="str">
        <x:f>IF(A705="","",SUM(C705:N705))</x:f>
      </x:c>
      <x:c r="C705" s="16" t="str">
        <x:f>IF(AND(AND(704&lt;='Control Room'!$B$3,'Control Room'!$D$3="Ready"),1&lt;='Control Room'!$B$2),ROUND(MAX(0,'Process'!E705*'Control Room'!$H$4*INDEX('Control Room'!$B$19:$H$19,1,WEEKDAY($A705,2))*(1+'Control Room'!$D$9)^703*'Process'!F705),2),"")</x:f>
      </x:c>
      <x:c r="D705" s="16" t="str">
        <x:f>IF(AND(AND(704&lt;='Control Room'!$B$3,'Control Room'!$D$3="Ready"),2&lt;='Control Room'!$B$2),ROUND(MAX(0,'Process'!J705*'Control Room'!$H$5*INDEX('Control Room'!$B$19:$H$19,1,WEEKDAY($A705,2))*(1+'Control Room'!$D$9)^703*'Process'!K705),2),"")</x:f>
      </x:c>
      <x:c r="E705" s="16" t="str">
        <x:f>IF(AND(AND(704&lt;='Control Room'!$B$3,'Control Room'!$D$3="Ready"),3&lt;='Control Room'!$B$2),ROUND(MAX(0,'Process'!O705*'Control Room'!$H$6*INDEX('Control Room'!$B$19:$H$19,1,WEEKDAY($A705,2))*(1+'Control Room'!$D$9)^703*'Process'!P705),2),"")</x:f>
      </x:c>
      <x:c r="F705" s="16" t="str">
        <x:f>IF(AND(AND(704&lt;='Control Room'!$B$3,'Control Room'!$D$3="Ready"),4&lt;='Control Room'!$B$2),ROUND(MAX(0,'Process'!T705*'Control Room'!$H$7*INDEX('Control Room'!$B$19:$H$19,1,WEEKDAY($A705,2))*(1+'Control Room'!$D$9)^703*'Process'!U705),2),"")</x:f>
      </x:c>
      <x:c r="G705" s="16" t="str">
        <x:f>IF(AND(AND(704&lt;='Control Room'!$B$3,'Control Room'!$D$3="Ready"),5&lt;='Control Room'!$B$2),ROUND(MAX(0,'Process'!Y705*'Control Room'!$H$8*INDEX('Control Room'!$B$19:$H$19,1,WEEKDAY($A705,2))*(1+'Control Room'!$D$9)^703*'Process'!Z705),2),"")</x:f>
      </x:c>
      <x:c r="H705" s="16" t="str">
        <x:f>IF(AND(AND(704&lt;='Control Room'!$B$3,'Control Room'!$D$3="Ready"),6&lt;='Control Room'!$B$2),ROUND(MAX(0,'Process'!AD705*'Control Room'!$H$9*INDEX('Control Room'!$B$19:$H$19,1,WEEKDAY($A705,2))*(1+'Control Room'!$D$9)^703*'Process'!AE705),2),"")</x:f>
      </x:c>
      <x:c r="I705" s="16" t="str">
        <x:f>IF(AND(AND(704&lt;='Control Room'!$B$3,'Control Room'!$D$3="Ready"),7&lt;='Control Room'!$B$2),ROUND(MAX(0,'Process'!AI705*'Control Room'!$H$10*INDEX('Control Room'!$B$19:$H$19,1,WEEKDAY($A705,2))*(1+'Control Room'!$D$9)^703*'Process'!AJ705),2),"")</x:f>
      </x:c>
      <x:c r="J705" s="16" t="str">
        <x:f>IF(AND(AND(704&lt;='Control Room'!$B$3,'Control Room'!$D$3="Ready"),8&lt;='Control Room'!$B$2),ROUND(MAX(0,'Process'!AN705*'Control Room'!$H$11*INDEX('Control Room'!$B$19:$H$19,1,WEEKDAY($A705,2))*(1+'Control Room'!$D$9)^703*'Process'!AO705),2),"")</x:f>
      </x:c>
      <x:c r="K705" s="16" t="str">
        <x:f>IF(AND(AND(704&lt;='Control Room'!$B$3,'Control Room'!$D$3="Ready"),9&lt;='Control Room'!$B$2),ROUND(MAX(0,'Process'!AS705*'Control Room'!$H$12*INDEX('Control Room'!$B$19:$H$19,1,WEEKDAY($A705,2))*(1+'Control Room'!$D$9)^703*'Process'!AT705),2),"")</x:f>
      </x:c>
      <x:c r="L705" s="16" t="str">
        <x:f>IF(AND(AND(704&lt;='Control Room'!$B$3,'Control Room'!$D$3="Ready"),10&lt;='Control Room'!$B$2),ROUND(MAX(0,'Process'!AX705*'Control Room'!$H$13*INDEX('Control Room'!$B$19:$H$19,1,WEEKDAY($A705,2))*(1+'Control Room'!$D$9)^703*'Process'!AY705),2),"")</x:f>
      </x:c>
      <x:c r="M705" s="16" t="str">
        <x:f>IF(AND(AND(704&lt;='Control Room'!$B$3,'Control Room'!$D$3="Ready"),11&lt;='Control Room'!$B$2),ROUND(MAX(0,'Process'!BC705*'Control Room'!$H$14*INDEX('Control Room'!$B$19:$H$19,1,WEEKDAY($A705,2))*(1+'Control Room'!$D$9)^703*'Process'!BD705),2),"")</x:f>
      </x:c>
      <x:c r="N705" s="16" t="str">
        <x:f>IF(AND(AND(704&lt;='Control Room'!$B$3,'Control Room'!$D$3="Ready"),12&lt;='Control Room'!$B$2),ROUND(MAX(0,'Process'!BH705*'Control Room'!$H$15*INDEX('Control Room'!$B$19:$H$19,1,WEEKDAY($A705,2))*(1+'Control Room'!$D$9)^703*'Process'!BI705),2),"")</x:f>
      </x:c>
    </x:row>
    <x:row r="706" ht="21" customHeight="1">
      <x:c r="A706" s="15" t="str">
        <x:f>IF(AND(705&lt;='Control Room'!$B$3,'Control Room'!$D$3="Ready"),'Process'!A706,"")</x:f>
      </x:c>
      <x:c r="B706" s="16" t="str">
        <x:f>IF(A706="","",SUM(C706:N706))</x:f>
      </x:c>
      <x:c r="C706" s="16" t="str">
        <x:f>IF(AND(AND(705&lt;='Control Room'!$B$3,'Control Room'!$D$3="Ready"),1&lt;='Control Room'!$B$2),ROUND(MAX(0,'Process'!E706*'Control Room'!$H$4*INDEX('Control Room'!$B$19:$H$19,1,WEEKDAY($A706,2))*(1+'Control Room'!$D$9)^704*'Process'!F706),2),"")</x:f>
      </x:c>
      <x:c r="D706" s="16" t="str">
        <x:f>IF(AND(AND(705&lt;='Control Room'!$B$3,'Control Room'!$D$3="Ready"),2&lt;='Control Room'!$B$2),ROUND(MAX(0,'Process'!J706*'Control Room'!$H$5*INDEX('Control Room'!$B$19:$H$19,1,WEEKDAY($A706,2))*(1+'Control Room'!$D$9)^704*'Process'!K706),2),"")</x:f>
      </x:c>
      <x:c r="E706" s="16" t="str">
        <x:f>IF(AND(AND(705&lt;='Control Room'!$B$3,'Control Room'!$D$3="Ready"),3&lt;='Control Room'!$B$2),ROUND(MAX(0,'Process'!O706*'Control Room'!$H$6*INDEX('Control Room'!$B$19:$H$19,1,WEEKDAY($A706,2))*(1+'Control Room'!$D$9)^704*'Process'!P706),2),"")</x:f>
      </x:c>
      <x:c r="F706" s="16" t="str">
        <x:f>IF(AND(AND(705&lt;='Control Room'!$B$3,'Control Room'!$D$3="Ready"),4&lt;='Control Room'!$B$2),ROUND(MAX(0,'Process'!T706*'Control Room'!$H$7*INDEX('Control Room'!$B$19:$H$19,1,WEEKDAY($A706,2))*(1+'Control Room'!$D$9)^704*'Process'!U706),2),"")</x:f>
      </x:c>
      <x:c r="G706" s="16" t="str">
        <x:f>IF(AND(AND(705&lt;='Control Room'!$B$3,'Control Room'!$D$3="Ready"),5&lt;='Control Room'!$B$2),ROUND(MAX(0,'Process'!Y706*'Control Room'!$H$8*INDEX('Control Room'!$B$19:$H$19,1,WEEKDAY($A706,2))*(1+'Control Room'!$D$9)^704*'Process'!Z706),2),"")</x:f>
      </x:c>
      <x:c r="H706" s="16" t="str">
        <x:f>IF(AND(AND(705&lt;='Control Room'!$B$3,'Control Room'!$D$3="Ready"),6&lt;='Control Room'!$B$2),ROUND(MAX(0,'Process'!AD706*'Control Room'!$H$9*INDEX('Control Room'!$B$19:$H$19,1,WEEKDAY($A706,2))*(1+'Control Room'!$D$9)^704*'Process'!AE706),2),"")</x:f>
      </x:c>
      <x:c r="I706" s="16" t="str">
        <x:f>IF(AND(AND(705&lt;='Control Room'!$B$3,'Control Room'!$D$3="Ready"),7&lt;='Control Room'!$B$2),ROUND(MAX(0,'Process'!AI706*'Control Room'!$H$10*INDEX('Control Room'!$B$19:$H$19,1,WEEKDAY($A706,2))*(1+'Control Room'!$D$9)^704*'Process'!AJ706),2),"")</x:f>
      </x:c>
      <x:c r="J706" s="16" t="str">
        <x:f>IF(AND(AND(705&lt;='Control Room'!$B$3,'Control Room'!$D$3="Ready"),8&lt;='Control Room'!$B$2),ROUND(MAX(0,'Process'!AN706*'Control Room'!$H$11*INDEX('Control Room'!$B$19:$H$19,1,WEEKDAY($A706,2))*(1+'Control Room'!$D$9)^704*'Process'!AO706),2),"")</x:f>
      </x:c>
      <x:c r="K706" s="16" t="str">
        <x:f>IF(AND(AND(705&lt;='Control Room'!$B$3,'Control Room'!$D$3="Ready"),9&lt;='Control Room'!$B$2),ROUND(MAX(0,'Process'!AS706*'Control Room'!$H$12*INDEX('Control Room'!$B$19:$H$19,1,WEEKDAY($A706,2))*(1+'Control Room'!$D$9)^704*'Process'!AT706),2),"")</x:f>
      </x:c>
      <x:c r="L706" s="16" t="str">
        <x:f>IF(AND(AND(705&lt;='Control Room'!$B$3,'Control Room'!$D$3="Ready"),10&lt;='Control Room'!$B$2),ROUND(MAX(0,'Process'!AX706*'Control Room'!$H$13*INDEX('Control Room'!$B$19:$H$19,1,WEEKDAY($A706,2))*(1+'Control Room'!$D$9)^704*'Process'!AY706),2),"")</x:f>
      </x:c>
      <x:c r="M706" s="16" t="str">
        <x:f>IF(AND(AND(705&lt;='Control Room'!$B$3,'Control Room'!$D$3="Ready"),11&lt;='Control Room'!$B$2),ROUND(MAX(0,'Process'!BC706*'Control Room'!$H$14*INDEX('Control Room'!$B$19:$H$19,1,WEEKDAY($A706,2))*(1+'Control Room'!$D$9)^704*'Process'!BD706),2),"")</x:f>
      </x:c>
      <x:c r="N706" s="16" t="str">
        <x:f>IF(AND(AND(705&lt;='Control Room'!$B$3,'Control Room'!$D$3="Ready"),12&lt;='Control Room'!$B$2),ROUND(MAX(0,'Process'!BH706*'Control Room'!$H$15*INDEX('Control Room'!$B$19:$H$19,1,WEEKDAY($A706,2))*(1+'Control Room'!$D$9)^704*'Process'!BI706),2),"")</x:f>
      </x:c>
    </x:row>
    <x:row r="707" ht="21" customHeight="1">
      <x:c r="A707" s="15" t="str">
        <x:f>IF(AND(706&lt;='Control Room'!$B$3,'Control Room'!$D$3="Ready"),'Process'!A707,"")</x:f>
      </x:c>
      <x:c r="B707" s="16" t="str">
        <x:f>IF(A707="","",SUM(C707:N707))</x:f>
      </x:c>
      <x:c r="C707" s="16" t="str">
        <x:f>IF(AND(AND(706&lt;='Control Room'!$B$3,'Control Room'!$D$3="Ready"),1&lt;='Control Room'!$B$2),ROUND(MAX(0,'Process'!E707*'Control Room'!$H$4*INDEX('Control Room'!$B$19:$H$19,1,WEEKDAY($A707,2))*(1+'Control Room'!$D$9)^705*'Process'!F707),2),"")</x:f>
      </x:c>
      <x:c r="D707" s="16" t="str">
        <x:f>IF(AND(AND(706&lt;='Control Room'!$B$3,'Control Room'!$D$3="Ready"),2&lt;='Control Room'!$B$2),ROUND(MAX(0,'Process'!J707*'Control Room'!$H$5*INDEX('Control Room'!$B$19:$H$19,1,WEEKDAY($A707,2))*(1+'Control Room'!$D$9)^705*'Process'!K707),2),"")</x:f>
      </x:c>
      <x:c r="E707" s="16" t="str">
        <x:f>IF(AND(AND(706&lt;='Control Room'!$B$3,'Control Room'!$D$3="Ready"),3&lt;='Control Room'!$B$2),ROUND(MAX(0,'Process'!O707*'Control Room'!$H$6*INDEX('Control Room'!$B$19:$H$19,1,WEEKDAY($A707,2))*(1+'Control Room'!$D$9)^705*'Process'!P707),2),"")</x:f>
      </x:c>
      <x:c r="F707" s="16" t="str">
        <x:f>IF(AND(AND(706&lt;='Control Room'!$B$3,'Control Room'!$D$3="Ready"),4&lt;='Control Room'!$B$2),ROUND(MAX(0,'Process'!T707*'Control Room'!$H$7*INDEX('Control Room'!$B$19:$H$19,1,WEEKDAY($A707,2))*(1+'Control Room'!$D$9)^705*'Process'!U707),2),"")</x:f>
      </x:c>
      <x:c r="G707" s="16" t="str">
        <x:f>IF(AND(AND(706&lt;='Control Room'!$B$3,'Control Room'!$D$3="Ready"),5&lt;='Control Room'!$B$2),ROUND(MAX(0,'Process'!Y707*'Control Room'!$H$8*INDEX('Control Room'!$B$19:$H$19,1,WEEKDAY($A707,2))*(1+'Control Room'!$D$9)^705*'Process'!Z707),2),"")</x:f>
      </x:c>
      <x:c r="H707" s="16" t="str">
        <x:f>IF(AND(AND(706&lt;='Control Room'!$B$3,'Control Room'!$D$3="Ready"),6&lt;='Control Room'!$B$2),ROUND(MAX(0,'Process'!AD707*'Control Room'!$H$9*INDEX('Control Room'!$B$19:$H$19,1,WEEKDAY($A707,2))*(1+'Control Room'!$D$9)^705*'Process'!AE707),2),"")</x:f>
      </x:c>
      <x:c r="I707" s="16" t="str">
        <x:f>IF(AND(AND(706&lt;='Control Room'!$B$3,'Control Room'!$D$3="Ready"),7&lt;='Control Room'!$B$2),ROUND(MAX(0,'Process'!AI707*'Control Room'!$H$10*INDEX('Control Room'!$B$19:$H$19,1,WEEKDAY($A707,2))*(1+'Control Room'!$D$9)^705*'Process'!AJ707),2),"")</x:f>
      </x:c>
      <x:c r="J707" s="16" t="str">
        <x:f>IF(AND(AND(706&lt;='Control Room'!$B$3,'Control Room'!$D$3="Ready"),8&lt;='Control Room'!$B$2),ROUND(MAX(0,'Process'!AN707*'Control Room'!$H$11*INDEX('Control Room'!$B$19:$H$19,1,WEEKDAY($A707,2))*(1+'Control Room'!$D$9)^705*'Process'!AO707),2),"")</x:f>
      </x:c>
      <x:c r="K707" s="16" t="str">
        <x:f>IF(AND(AND(706&lt;='Control Room'!$B$3,'Control Room'!$D$3="Ready"),9&lt;='Control Room'!$B$2),ROUND(MAX(0,'Process'!AS707*'Control Room'!$H$12*INDEX('Control Room'!$B$19:$H$19,1,WEEKDAY($A707,2))*(1+'Control Room'!$D$9)^705*'Process'!AT707),2),"")</x:f>
      </x:c>
      <x:c r="L707" s="16" t="str">
        <x:f>IF(AND(AND(706&lt;='Control Room'!$B$3,'Control Room'!$D$3="Ready"),10&lt;='Control Room'!$B$2),ROUND(MAX(0,'Process'!AX707*'Control Room'!$H$13*INDEX('Control Room'!$B$19:$H$19,1,WEEKDAY($A707,2))*(1+'Control Room'!$D$9)^705*'Process'!AY707),2),"")</x:f>
      </x:c>
      <x:c r="M707" s="16" t="str">
        <x:f>IF(AND(AND(706&lt;='Control Room'!$B$3,'Control Room'!$D$3="Ready"),11&lt;='Control Room'!$B$2),ROUND(MAX(0,'Process'!BC707*'Control Room'!$H$14*INDEX('Control Room'!$B$19:$H$19,1,WEEKDAY($A707,2))*(1+'Control Room'!$D$9)^705*'Process'!BD707),2),"")</x:f>
      </x:c>
      <x:c r="N707" s="16" t="str">
        <x:f>IF(AND(AND(706&lt;='Control Room'!$B$3,'Control Room'!$D$3="Ready"),12&lt;='Control Room'!$B$2),ROUND(MAX(0,'Process'!BH707*'Control Room'!$H$15*INDEX('Control Room'!$B$19:$H$19,1,WEEKDAY($A707,2))*(1+'Control Room'!$D$9)^705*'Process'!BI707),2),"")</x:f>
      </x:c>
    </x:row>
    <x:row r="708" ht="21" customHeight="1">
      <x:c r="A708" s="15" t="str">
        <x:f>IF(AND(707&lt;='Control Room'!$B$3,'Control Room'!$D$3="Ready"),'Process'!A708,"")</x:f>
      </x:c>
      <x:c r="B708" s="16" t="str">
        <x:f>IF(A708="","",SUM(C708:N708))</x:f>
      </x:c>
      <x:c r="C708" s="16" t="str">
        <x:f>IF(AND(AND(707&lt;='Control Room'!$B$3,'Control Room'!$D$3="Ready"),1&lt;='Control Room'!$B$2),ROUND(MAX(0,'Process'!E708*'Control Room'!$H$4*INDEX('Control Room'!$B$19:$H$19,1,WEEKDAY($A708,2))*(1+'Control Room'!$D$9)^706*'Process'!F708),2),"")</x:f>
      </x:c>
      <x:c r="D708" s="16" t="str">
        <x:f>IF(AND(AND(707&lt;='Control Room'!$B$3,'Control Room'!$D$3="Ready"),2&lt;='Control Room'!$B$2),ROUND(MAX(0,'Process'!J708*'Control Room'!$H$5*INDEX('Control Room'!$B$19:$H$19,1,WEEKDAY($A708,2))*(1+'Control Room'!$D$9)^706*'Process'!K708),2),"")</x:f>
      </x:c>
      <x:c r="E708" s="16" t="str">
        <x:f>IF(AND(AND(707&lt;='Control Room'!$B$3,'Control Room'!$D$3="Ready"),3&lt;='Control Room'!$B$2),ROUND(MAX(0,'Process'!O708*'Control Room'!$H$6*INDEX('Control Room'!$B$19:$H$19,1,WEEKDAY($A708,2))*(1+'Control Room'!$D$9)^706*'Process'!P708),2),"")</x:f>
      </x:c>
      <x:c r="F708" s="16" t="str">
        <x:f>IF(AND(AND(707&lt;='Control Room'!$B$3,'Control Room'!$D$3="Ready"),4&lt;='Control Room'!$B$2),ROUND(MAX(0,'Process'!T708*'Control Room'!$H$7*INDEX('Control Room'!$B$19:$H$19,1,WEEKDAY($A708,2))*(1+'Control Room'!$D$9)^706*'Process'!U708),2),"")</x:f>
      </x:c>
      <x:c r="G708" s="16" t="str">
        <x:f>IF(AND(AND(707&lt;='Control Room'!$B$3,'Control Room'!$D$3="Ready"),5&lt;='Control Room'!$B$2),ROUND(MAX(0,'Process'!Y708*'Control Room'!$H$8*INDEX('Control Room'!$B$19:$H$19,1,WEEKDAY($A708,2))*(1+'Control Room'!$D$9)^706*'Process'!Z708),2),"")</x:f>
      </x:c>
      <x:c r="H708" s="16" t="str">
        <x:f>IF(AND(AND(707&lt;='Control Room'!$B$3,'Control Room'!$D$3="Ready"),6&lt;='Control Room'!$B$2),ROUND(MAX(0,'Process'!AD708*'Control Room'!$H$9*INDEX('Control Room'!$B$19:$H$19,1,WEEKDAY($A708,2))*(1+'Control Room'!$D$9)^706*'Process'!AE708),2),"")</x:f>
      </x:c>
      <x:c r="I708" s="16" t="str">
        <x:f>IF(AND(AND(707&lt;='Control Room'!$B$3,'Control Room'!$D$3="Ready"),7&lt;='Control Room'!$B$2),ROUND(MAX(0,'Process'!AI708*'Control Room'!$H$10*INDEX('Control Room'!$B$19:$H$19,1,WEEKDAY($A708,2))*(1+'Control Room'!$D$9)^706*'Process'!AJ708),2),"")</x:f>
      </x:c>
      <x:c r="J708" s="16" t="str">
        <x:f>IF(AND(AND(707&lt;='Control Room'!$B$3,'Control Room'!$D$3="Ready"),8&lt;='Control Room'!$B$2),ROUND(MAX(0,'Process'!AN708*'Control Room'!$H$11*INDEX('Control Room'!$B$19:$H$19,1,WEEKDAY($A708,2))*(1+'Control Room'!$D$9)^706*'Process'!AO708),2),"")</x:f>
      </x:c>
      <x:c r="K708" s="16" t="str">
        <x:f>IF(AND(AND(707&lt;='Control Room'!$B$3,'Control Room'!$D$3="Ready"),9&lt;='Control Room'!$B$2),ROUND(MAX(0,'Process'!AS708*'Control Room'!$H$12*INDEX('Control Room'!$B$19:$H$19,1,WEEKDAY($A708,2))*(1+'Control Room'!$D$9)^706*'Process'!AT708),2),"")</x:f>
      </x:c>
      <x:c r="L708" s="16" t="str">
        <x:f>IF(AND(AND(707&lt;='Control Room'!$B$3,'Control Room'!$D$3="Ready"),10&lt;='Control Room'!$B$2),ROUND(MAX(0,'Process'!AX708*'Control Room'!$H$13*INDEX('Control Room'!$B$19:$H$19,1,WEEKDAY($A708,2))*(1+'Control Room'!$D$9)^706*'Process'!AY708),2),"")</x:f>
      </x:c>
      <x:c r="M708" s="16" t="str">
        <x:f>IF(AND(AND(707&lt;='Control Room'!$B$3,'Control Room'!$D$3="Ready"),11&lt;='Control Room'!$B$2),ROUND(MAX(0,'Process'!BC708*'Control Room'!$H$14*INDEX('Control Room'!$B$19:$H$19,1,WEEKDAY($A708,2))*(1+'Control Room'!$D$9)^706*'Process'!BD708),2),"")</x:f>
      </x:c>
      <x:c r="N708" s="16" t="str">
        <x:f>IF(AND(AND(707&lt;='Control Room'!$B$3,'Control Room'!$D$3="Ready"),12&lt;='Control Room'!$B$2),ROUND(MAX(0,'Process'!BH708*'Control Room'!$H$15*INDEX('Control Room'!$B$19:$H$19,1,WEEKDAY($A708,2))*(1+'Control Room'!$D$9)^706*'Process'!BI708),2),"")</x:f>
      </x:c>
    </x:row>
    <x:row r="709" ht="21" customHeight="1">
      <x:c r="A709" s="15" t="str">
        <x:f>IF(AND(708&lt;='Control Room'!$B$3,'Control Room'!$D$3="Ready"),'Process'!A709,"")</x:f>
      </x:c>
      <x:c r="B709" s="16" t="str">
        <x:f>IF(A709="","",SUM(C709:N709))</x:f>
      </x:c>
      <x:c r="C709" s="16" t="str">
        <x:f>IF(AND(AND(708&lt;='Control Room'!$B$3,'Control Room'!$D$3="Ready"),1&lt;='Control Room'!$B$2),ROUND(MAX(0,'Process'!E709*'Control Room'!$H$4*INDEX('Control Room'!$B$19:$H$19,1,WEEKDAY($A709,2))*(1+'Control Room'!$D$9)^707*'Process'!F709),2),"")</x:f>
      </x:c>
      <x:c r="D709" s="16" t="str">
        <x:f>IF(AND(AND(708&lt;='Control Room'!$B$3,'Control Room'!$D$3="Ready"),2&lt;='Control Room'!$B$2),ROUND(MAX(0,'Process'!J709*'Control Room'!$H$5*INDEX('Control Room'!$B$19:$H$19,1,WEEKDAY($A709,2))*(1+'Control Room'!$D$9)^707*'Process'!K709),2),"")</x:f>
      </x:c>
      <x:c r="E709" s="16" t="str">
        <x:f>IF(AND(AND(708&lt;='Control Room'!$B$3,'Control Room'!$D$3="Ready"),3&lt;='Control Room'!$B$2),ROUND(MAX(0,'Process'!O709*'Control Room'!$H$6*INDEX('Control Room'!$B$19:$H$19,1,WEEKDAY($A709,2))*(1+'Control Room'!$D$9)^707*'Process'!P709),2),"")</x:f>
      </x:c>
      <x:c r="F709" s="16" t="str">
        <x:f>IF(AND(AND(708&lt;='Control Room'!$B$3,'Control Room'!$D$3="Ready"),4&lt;='Control Room'!$B$2),ROUND(MAX(0,'Process'!T709*'Control Room'!$H$7*INDEX('Control Room'!$B$19:$H$19,1,WEEKDAY($A709,2))*(1+'Control Room'!$D$9)^707*'Process'!U709),2),"")</x:f>
      </x:c>
      <x:c r="G709" s="16" t="str">
        <x:f>IF(AND(AND(708&lt;='Control Room'!$B$3,'Control Room'!$D$3="Ready"),5&lt;='Control Room'!$B$2),ROUND(MAX(0,'Process'!Y709*'Control Room'!$H$8*INDEX('Control Room'!$B$19:$H$19,1,WEEKDAY($A709,2))*(1+'Control Room'!$D$9)^707*'Process'!Z709),2),"")</x:f>
      </x:c>
      <x:c r="H709" s="16" t="str">
        <x:f>IF(AND(AND(708&lt;='Control Room'!$B$3,'Control Room'!$D$3="Ready"),6&lt;='Control Room'!$B$2),ROUND(MAX(0,'Process'!AD709*'Control Room'!$H$9*INDEX('Control Room'!$B$19:$H$19,1,WEEKDAY($A709,2))*(1+'Control Room'!$D$9)^707*'Process'!AE709),2),"")</x:f>
      </x:c>
      <x:c r="I709" s="16" t="str">
        <x:f>IF(AND(AND(708&lt;='Control Room'!$B$3,'Control Room'!$D$3="Ready"),7&lt;='Control Room'!$B$2),ROUND(MAX(0,'Process'!AI709*'Control Room'!$H$10*INDEX('Control Room'!$B$19:$H$19,1,WEEKDAY($A709,2))*(1+'Control Room'!$D$9)^707*'Process'!AJ709),2),"")</x:f>
      </x:c>
      <x:c r="J709" s="16" t="str">
        <x:f>IF(AND(AND(708&lt;='Control Room'!$B$3,'Control Room'!$D$3="Ready"),8&lt;='Control Room'!$B$2),ROUND(MAX(0,'Process'!AN709*'Control Room'!$H$11*INDEX('Control Room'!$B$19:$H$19,1,WEEKDAY($A709,2))*(1+'Control Room'!$D$9)^707*'Process'!AO709),2),"")</x:f>
      </x:c>
      <x:c r="K709" s="16" t="str">
        <x:f>IF(AND(AND(708&lt;='Control Room'!$B$3,'Control Room'!$D$3="Ready"),9&lt;='Control Room'!$B$2),ROUND(MAX(0,'Process'!AS709*'Control Room'!$H$12*INDEX('Control Room'!$B$19:$H$19,1,WEEKDAY($A709,2))*(1+'Control Room'!$D$9)^707*'Process'!AT709),2),"")</x:f>
      </x:c>
      <x:c r="L709" s="16" t="str">
        <x:f>IF(AND(AND(708&lt;='Control Room'!$B$3,'Control Room'!$D$3="Ready"),10&lt;='Control Room'!$B$2),ROUND(MAX(0,'Process'!AX709*'Control Room'!$H$13*INDEX('Control Room'!$B$19:$H$19,1,WEEKDAY($A709,2))*(1+'Control Room'!$D$9)^707*'Process'!AY709),2),"")</x:f>
      </x:c>
      <x:c r="M709" s="16" t="str">
        <x:f>IF(AND(AND(708&lt;='Control Room'!$B$3,'Control Room'!$D$3="Ready"),11&lt;='Control Room'!$B$2),ROUND(MAX(0,'Process'!BC709*'Control Room'!$H$14*INDEX('Control Room'!$B$19:$H$19,1,WEEKDAY($A709,2))*(1+'Control Room'!$D$9)^707*'Process'!BD709),2),"")</x:f>
      </x:c>
      <x:c r="N709" s="16" t="str">
        <x:f>IF(AND(AND(708&lt;='Control Room'!$B$3,'Control Room'!$D$3="Ready"),12&lt;='Control Room'!$B$2),ROUND(MAX(0,'Process'!BH709*'Control Room'!$H$15*INDEX('Control Room'!$B$19:$H$19,1,WEEKDAY($A709,2))*(1+'Control Room'!$D$9)^707*'Process'!BI709),2),"")</x:f>
      </x:c>
    </x:row>
    <x:row r="710" ht="21" customHeight="1">
      <x:c r="A710" s="15" t="str">
        <x:f>IF(AND(709&lt;='Control Room'!$B$3,'Control Room'!$D$3="Ready"),'Process'!A710,"")</x:f>
      </x:c>
      <x:c r="B710" s="16" t="str">
        <x:f>IF(A710="","",SUM(C710:N710))</x:f>
      </x:c>
      <x:c r="C710" s="16" t="str">
        <x:f>IF(AND(AND(709&lt;='Control Room'!$B$3,'Control Room'!$D$3="Ready"),1&lt;='Control Room'!$B$2),ROUND(MAX(0,'Process'!E710*'Control Room'!$H$4*INDEX('Control Room'!$B$19:$H$19,1,WEEKDAY($A710,2))*(1+'Control Room'!$D$9)^708*'Process'!F710),2),"")</x:f>
      </x:c>
      <x:c r="D710" s="16" t="str">
        <x:f>IF(AND(AND(709&lt;='Control Room'!$B$3,'Control Room'!$D$3="Ready"),2&lt;='Control Room'!$B$2),ROUND(MAX(0,'Process'!J710*'Control Room'!$H$5*INDEX('Control Room'!$B$19:$H$19,1,WEEKDAY($A710,2))*(1+'Control Room'!$D$9)^708*'Process'!K710),2),"")</x:f>
      </x:c>
      <x:c r="E710" s="16" t="str">
        <x:f>IF(AND(AND(709&lt;='Control Room'!$B$3,'Control Room'!$D$3="Ready"),3&lt;='Control Room'!$B$2),ROUND(MAX(0,'Process'!O710*'Control Room'!$H$6*INDEX('Control Room'!$B$19:$H$19,1,WEEKDAY($A710,2))*(1+'Control Room'!$D$9)^708*'Process'!P710),2),"")</x:f>
      </x:c>
      <x:c r="F710" s="16" t="str">
        <x:f>IF(AND(AND(709&lt;='Control Room'!$B$3,'Control Room'!$D$3="Ready"),4&lt;='Control Room'!$B$2),ROUND(MAX(0,'Process'!T710*'Control Room'!$H$7*INDEX('Control Room'!$B$19:$H$19,1,WEEKDAY($A710,2))*(1+'Control Room'!$D$9)^708*'Process'!U710),2),"")</x:f>
      </x:c>
      <x:c r="G710" s="16" t="str">
        <x:f>IF(AND(AND(709&lt;='Control Room'!$B$3,'Control Room'!$D$3="Ready"),5&lt;='Control Room'!$B$2),ROUND(MAX(0,'Process'!Y710*'Control Room'!$H$8*INDEX('Control Room'!$B$19:$H$19,1,WEEKDAY($A710,2))*(1+'Control Room'!$D$9)^708*'Process'!Z710),2),"")</x:f>
      </x:c>
      <x:c r="H710" s="16" t="str">
        <x:f>IF(AND(AND(709&lt;='Control Room'!$B$3,'Control Room'!$D$3="Ready"),6&lt;='Control Room'!$B$2),ROUND(MAX(0,'Process'!AD710*'Control Room'!$H$9*INDEX('Control Room'!$B$19:$H$19,1,WEEKDAY($A710,2))*(1+'Control Room'!$D$9)^708*'Process'!AE710),2),"")</x:f>
      </x:c>
      <x:c r="I710" s="16" t="str">
        <x:f>IF(AND(AND(709&lt;='Control Room'!$B$3,'Control Room'!$D$3="Ready"),7&lt;='Control Room'!$B$2),ROUND(MAX(0,'Process'!AI710*'Control Room'!$H$10*INDEX('Control Room'!$B$19:$H$19,1,WEEKDAY($A710,2))*(1+'Control Room'!$D$9)^708*'Process'!AJ710),2),"")</x:f>
      </x:c>
      <x:c r="J710" s="16" t="str">
        <x:f>IF(AND(AND(709&lt;='Control Room'!$B$3,'Control Room'!$D$3="Ready"),8&lt;='Control Room'!$B$2),ROUND(MAX(0,'Process'!AN710*'Control Room'!$H$11*INDEX('Control Room'!$B$19:$H$19,1,WEEKDAY($A710,2))*(1+'Control Room'!$D$9)^708*'Process'!AO710),2),"")</x:f>
      </x:c>
      <x:c r="K710" s="16" t="str">
        <x:f>IF(AND(AND(709&lt;='Control Room'!$B$3,'Control Room'!$D$3="Ready"),9&lt;='Control Room'!$B$2),ROUND(MAX(0,'Process'!AS710*'Control Room'!$H$12*INDEX('Control Room'!$B$19:$H$19,1,WEEKDAY($A710,2))*(1+'Control Room'!$D$9)^708*'Process'!AT710),2),"")</x:f>
      </x:c>
      <x:c r="L710" s="16" t="str">
        <x:f>IF(AND(AND(709&lt;='Control Room'!$B$3,'Control Room'!$D$3="Ready"),10&lt;='Control Room'!$B$2),ROUND(MAX(0,'Process'!AX710*'Control Room'!$H$13*INDEX('Control Room'!$B$19:$H$19,1,WEEKDAY($A710,2))*(1+'Control Room'!$D$9)^708*'Process'!AY710),2),"")</x:f>
      </x:c>
      <x:c r="M710" s="16" t="str">
        <x:f>IF(AND(AND(709&lt;='Control Room'!$B$3,'Control Room'!$D$3="Ready"),11&lt;='Control Room'!$B$2),ROUND(MAX(0,'Process'!BC710*'Control Room'!$H$14*INDEX('Control Room'!$B$19:$H$19,1,WEEKDAY($A710,2))*(1+'Control Room'!$D$9)^708*'Process'!BD710),2),"")</x:f>
      </x:c>
      <x:c r="N710" s="16" t="str">
        <x:f>IF(AND(AND(709&lt;='Control Room'!$B$3,'Control Room'!$D$3="Ready"),12&lt;='Control Room'!$B$2),ROUND(MAX(0,'Process'!BH710*'Control Room'!$H$15*INDEX('Control Room'!$B$19:$H$19,1,WEEKDAY($A710,2))*(1+'Control Room'!$D$9)^708*'Process'!BI710),2),"")</x:f>
      </x:c>
    </x:row>
    <x:row r="711" ht="21" customHeight="1">
      <x:c r="A711" s="15" t="str">
        <x:f>IF(AND(710&lt;='Control Room'!$B$3,'Control Room'!$D$3="Ready"),'Process'!A711,"")</x:f>
      </x:c>
      <x:c r="B711" s="16" t="str">
        <x:f>IF(A711="","",SUM(C711:N711))</x:f>
      </x:c>
      <x:c r="C711" s="16" t="str">
        <x:f>IF(AND(AND(710&lt;='Control Room'!$B$3,'Control Room'!$D$3="Ready"),1&lt;='Control Room'!$B$2),ROUND(MAX(0,'Process'!E711*'Control Room'!$H$4*INDEX('Control Room'!$B$19:$H$19,1,WEEKDAY($A711,2))*(1+'Control Room'!$D$9)^709*'Process'!F711),2),"")</x:f>
      </x:c>
      <x:c r="D711" s="16" t="str">
        <x:f>IF(AND(AND(710&lt;='Control Room'!$B$3,'Control Room'!$D$3="Ready"),2&lt;='Control Room'!$B$2),ROUND(MAX(0,'Process'!J711*'Control Room'!$H$5*INDEX('Control Room'!$B$19:$H$19,1,WEEKDAY($A711,2))*(1+'Control Room'!$D$9)^709*'Process'!K711),2),"")</x:f>
      </x:c>
      <x:c r="E711" s="16" t="str">
        <x:f>IF(AND(AND(710&lt;='Control Room'!$B$3,'Control Room'!$D$3="Ready"),3&lt;='Control Room'!$B$2),ROUND(MAX(0,'Process'!O711*'Control Room'!$H$6*INDEX('Control Room'!$B$19:$H$19,1,WEEKDAY($A711,2))*(1+'Control Room'!$D$9)^709*'Process'!P711),2),"")</x:f>
      </x:c>
      <x:c r="F711" s="16" t="str">
        <x:f>IF(AND(AND(710&lt;='Control Room'!$B$3,'Control Room'!$D$3="Ready"),4&lt;='Control Room'!$B$2),ROUND(MAX(0,'Process'!T711*'Control Room'!$H$7*INDEX('Control Room'!$B$19:$H$19,1,WEEKDAY($A711,2))*(1+'Control Room'!$D$9)^709*'Process'!U711),2),"")</x:f>
      </x:c>
      <x:c r="G711" s="16" t="str">
        <x:f>IF(AND(AND(710&lt;='Control Room'!$B$3,'Control Room'!$D$3="Ready"),5&lt;='Control Room'!$B$2),ROUND(MAX(0,'Process'!Y711*'Control Room'!$H$8*INDEX('Control Room'!$B$19:$H$19,1,WEEKDAY($A711,2))*(1+'Control Room'!$D$9)^709*'Process'!Z711),2),"")</x:f>
      </x:c>
      <x:c r="H711" s="16" t="str">
        <x:f>IF(AND(AND(710&lt;='Control Room'!$B$3,'Control Room'!$D$3="Ready"),6&lt;='Control Room'!$B$2),ROUND(MAX(0,'Process'!AD711*'Control Room'!$H$9*INDEX('Control Room'!$B$19:$H$19,1,WEEKDAY($A711,2))*(1+'Control Room'!$D$9)^709*'Process'!AE711),2),"")</x:f>
      </x:c>
      <x:c r="I711" s="16" t="str">
        <x:f>IF(AND(AND(710&lt;='Control Room'!$B$3,'Control Room'!$D$3="Ready"),7&lt;='Control Room'!$B$2),ROUND(MAX(0,'Process'!AI711*'Control Room'!$H$10*INDEX('Control Room'!$B$19:$H$19,1,WEEKDAY($A711,2))*(1+'Control Room'!$D$9)^709*'Process'!AJ711),2),"")</x:f>
      </x:c>
      <x:c r="J711" s="16" t="str">
        <x:f>IF(AND(AND(710&lt;='Control Room'!$B$3,'Control Room'!$D$3="Ready"),8&lt;='Control Room'!$B$2),ROUND(MAX(0,'Process'!AN711*'Control Room'!$H$11*INDEX('Control Room'!$B$19:$H$19,1,WEEKDAY($A711,2))*(1+'Control Room'!$D$9)^709*'Process'!AO711),2),"")</x:f>
      </x:c>
      <x:c r="K711" s="16" t="str">
        <x:f>IF(AND(AND(710&lt;='Control Room'!$B$3,'Control Room'!$D$3="Ready"),9&lt;='Control Room'!$B$2),ROUND(MAX(0,'Process'!AS711*'Control Room'!$H$12*INDEX('Control Room'!$B$19:$H$19,1,WEEKDAY($A711,2))*(1+'Control Room'!$D$9)^709*'Process'!AT711),2),"")</x:f>
      </x:c>
      <x:c r="L711" s="16" t="str">
        <x:f>IF(AND(AND(710&lt;='Control Room'!$B$3,'Control Room'!$D$3="Ready"),10&lt;='Control Room'!$B$2),ROUND(MAX(0,'Process'!AX711*'Control Room'!$H$13*INDEX('Control Room'!$B$19:$H$19,1,WEEKDAY($A711,2))*(1+'Control Room'!$D$9)^709*'Process'!AY711),2),"")</x:f>
      </x:c>
      <x:c r="M711" s="16" t="str">
        <x:f>IF(AND(AND(710&lt;='Control Room'!$B$3,'Control Room'!$D$3="Ready"),11&lt;='Control Room'!$B$2),ROUND(MAX(0,'Process'!BC711*'Control Room'!$H$14*INDEX('Control Room'!$B$19:$H$19,1,WEEKDAY($A711,2))*(1+'Control Room'!$D$9)^709*'Process'!BD711),2),"")</x:f>
      </x:c>
      <x:c r="N711" s="16" t="str">
        <x:f>IF(AND(AND(710&lt;='Control Room'!$B$3,'Control Room'!$D$3="Ready"),12&lt;='Control Room'!$B$2),ROUND(MAX(0,'Process'!BH711*'Control Room'!$H$15*INDEX('Control Room'!$B$19:$H$19,1,WEEKDAY($A711,2))*(1+'Control Room'!$D$9)^709*'Process'!BI711),2),"")</x:f>
      </x:c>
    </x:row>
    <x:row r="712" ht="21" customHeight="1">
      <x:c r="A712" s="15" t="str">
        <x:f>IF(AND(711&lt;='Control Room'!$B$3,'Control Room'!$D$3="Ready"),'Process'!A712,"")</x:f>
      </x:c>
      <x:c r="B712" s="16" t="str">
        <x:f>IF(A712="","",SUM(C712:N712))</x:f>
      </x:c>
      <x:c r="C712" s="16" t="str">
        <x:f>IF(AND(AND(711&lt;='Control Room'!$B$3,'Control Room'!$D$3="Ready"),1&lt;='Control Room'!$B$2),ROUND(MAX(0,'Process'!E712*'Control Room'!$H$4*INDEX('Control Room'!$B$19:$H$19,1,WEEKDAY($A712,2))*(1+'Control Room'!$D$9)^710*'Process'!F712),2),"")</x:f>
      </x:c>
      <x:c r="D712" s="16" t="str">
        <x:f>IF(AND(AND(711&lt;='Control Room'!$B$3,'Control Room'!$D$3="Ready"),2&lt;='Control Room'!$B$2),ROUND(MAX(0,'Process'!J712*'Control Room'!$H$5*INDEX('Control Room'!$B$19:$H$19,1,WEEKDAY($A712,2))*(1+'Control Room'!$D$9)^710*'Process'!K712),2),"")</x:f>
      </x:c>
      <x:c r="E712" s="16" t="str">
        <x:f>IF(AND(AND(711&lt;='Control Room'!$B$3,'Control Room'!$D$3="Ready"),3&lt;='Control Room'!$B$2),ROUND(MAX(0,'Process'!O712*'Control Room'!$H$6*INDEX('Control Room'!$B$19:$H$19,1,WEEKDAY($A712,2))*(1+'Control Room'!$D$9)^710*'Process'!P712),2),"")</x:f>
      </x:c>
      <x:c r="F712" s="16" t="str">
        <x:f>IF(AND(AND(711&lt;='Control Room'!$B$3,'Control Room'!$D$3="Ready"),4&lt;='Control Room'!$B$2),ROUND(MAX(0,'Process'!T712*'Control Room'!$H$7*INDEX('Control Room'!$B$19:$H$19,1,WEEKDAY($A712,2))*(1+'Control Room'!$D$9)^710*'Process'!U712),2),"")</x:f>
      </x:c>
      <x:c r="G712" s="16" t="str">
        <x:f>IF(AND(AND(711&lt;='Control Room'!$B$3,'Control Room'!$D$3="Ready"),5&lt;='Control Room'!$B$2),ROUND(MAX(0,'Process'!Y712*'Control Room'!$H$8*INDEX('Control Room'!$B$19:$H$19,1,WEEKDAY($A712,2))*(1+'Control Room'!$D$9)^710*'Process'!Z712),2),"")</x:f>
      </x:c>
      <x:c r="H712" s="16" t="str">
        <x:f>IF(AND(AND(711&lt;='Control Room'!$B$3,'Control Room'!$D$3="Ready"),6&lt;='Control Room'!$B$2),ROUND(MAX(0,'Process'!AD712*'Control Room'!$H$9*INDEX('Control Room'!$B$19:$H$19,1,WEEKDAY($A712,2))*(1+'Control Room'!$D$9)^710*'Process'!AE712),2),"")</x:f>
      </x:c>
      <x:c r="I712" s="16" t="str">
        <x:f>IF(AND(AND(711&lt;='Control Room'!$B$3,'Control Room'!$D$3="Ready"),7&lt;='Control Room'!$B$2),ROUND(MAX(0,'Process'!AI712*'Control Room'!$H$10*INDEX('Control Room'!$B$19:$H$19,1,WEEKDAY($A712,2))*(1+'Control Room'!$D$9)^710*'Process'!AJ712),2),"")</x:f>
      </x:c>
      <x:c r="J712" s="16" t="str">
        <x:f>IF(AND(AND(711&lt;='Control Room'!$B$3,'Control Room'!$D$3="Ready"),8&lt;='Control Room'!$B$2),ROUND(MAX(0,'Process'!AN712*'Control Room'!$H$11*INDEX('Control Room'!$B$19:$H$19,1,WEEKDAY($A712,2))*(1+'Control Room'!$D$9)^710*'Process'!AO712),2),"")</x:f>
      </x:c>
      <x:c r="K712" s="16" t="str">
        <x:f>IF(AND(AND(711&lt;='Control Room'!$B$3,'Control Room'!$D$3="Ready"),9&lt;='Control Room'!$B$2),ROUND(MAX(0,'Process'!AS712*'Control Room'!$H$12*INDEX('Control Room'!$B$19:$H$19,1,WEEKDAY($A712,2))*(1+'Control Room'!$D$9)^710*'Process'!AT712),2),"")</x:f>
      </x:c>
      <x:c r="L712" s="16" t="str">
        <x:f>IF(AND(AND(711&lt;='Control Room'!$B$3,'Control Room'!$D$3="Ready"),10&lt;='Control Room'!$B$2),ROUND(MAX(0,'Process'!AX712*'Control Room'!$H$13*INDEX('Control Room'!$B$19:$H$19,1,WEEKDAY($A712,2))*(1+'Control Room'!$D$9)^710*'Process'!AY712),2),"")</x:f>
      </x:c>
      <x:c r="M712" s="16" t="str">
        <x:f>IF(AND(AND(711&lt;='Control Room'!$B$3,'Control Room'!$D$3="Ready"),11&lt;='Control Room'!$B$2),ROUND(MAX(0,'Process'!BC712*'Control Room'!$H$14*INDEX('Control Room'!$B$19:$H$19,1,WEEKDAY($A712,2))*(1+'Control Room'!$D$9)^710*'Process'!BD712),2),"")</x:f>
      </x:c>
      <x:c r="N712" s="16" t="str">
        <x:f>IF(AND(AND(711&lt;='Control Room'!$B$3,'Control Room'!$D$3="Ready"),12&lt;='Control Room'!$B$2),ROUND(MAX(0,'Process'!BH712*'Control Room'!$H$15*INDEX('Control Room'!$B$19:$H$19,1,WEEKDAY($A712,2))*(1+'Control Room'!$D$9)^710*'Process'!BI712),2),"")</x:f>
      </x:c>
    </x:row>
    <x:row r="713" ht="21" customHeight="1">
      <x:c r="A713" s="15" t="str">
        <x:f>IF(AND(712&lt;='Control Room'!$B$3,'Control Room'!$D$3="Ready"),'Process'!A713,"")</x:f>
      </x:c>
      <x:c r="B713" s="16" t="str">
        <x:f>IF(A713="","",SUM(C713:N713))</x:f>
      </x:c>
      <x:c r="C713" s="16" t="str">
        <x:f>IF(AND(AND(712&lt;='Control Room'!$B$3,'Control Room'!$D$3="Ready"),1&lt;='Control Room'!$B$2),ROUND(MAX(0,'Process'!E713*'Control Room'!$H$4*INDEX('Control Room'!$B$19:$H$19,1,WEEKDAY($A713,2))*(1+'Control Room'!$D$9)^711*'Process'!F713),2),"")</x:f>
      </x:c>
      <x:c r="D713" s="16" t="str">
        <x:f>IF(AND(AND(712&lt;='Control Room'!$B$3,'Control Room'!$D$3="Ready"),2&lt;='Control Room'!$B$2),ROUND(MAX(0,'Process'!J713*'Control Room'!$H$5*INDEX('Control Room'!$B$19:$H$19,1,WEEKDAY($A713,2))*(1+'Control Room'!$D$9)^711*'Process'!K713),2),"")</x:f>
      </x:c>
      <x:c r="E713" s="16" t="str">
        <x:f>IF(AND(AND(712&lt;='Control Room'!$B$3,'Control Room'!$D$3="Ready"),3&lt;='Control Room'!$B$2),ROUND(MAX(0,'Process'!O713*'Control Room'!$H$6*INDEX('Control Room'!$B$19:$H$19,1,WEEKDAY($A713,2))*(1+'Control Room'!$D$9)^711*'Process'!P713),2),"")</x:f>
      </x:c>
      <x:c r="F713" s="16" t="str">
        <x:f>IF(AND(AND(712&lt;='Control Room'!$B$3,'Control Room'!$D$3="Ready"),4&lt;='Control Room'!$B$2),ROUND(MAX(0,'Process'!T713*'Control Room'!$H$7*INDEX('Control Room'!$B$19:$H$19,1,WEEKDAY($A713,2))*(1+'Control Room'!$D$9)^711*'Process'!U713),2),"")</x:f>
      </x:c>
      <x:c r="G713" s="16" t="str">
        <x:f>IF(AND(AND(712&lt;='Control Room'!$B$3,'Control Room'!$D$3="Ready"),5&lt;='Control Room'!$B$2),ROUND(MAX(0,'Process'!Y713*'Control Room'!$H$8*INDEX('Control Room'!$B$19:$H$19,1,WEEKDAY($A713,2))*(1+'Control Room'!$D$9)^711*'Process'!Z713),2),"")</x:f>
      </x:c>
      <x:c r="H713" s="16" t="str">
        <x:f>IF(AND(AND(712&lt;='Control Room'!$B$3,'Control Room'!$D$3="Ready"),6&lt;='Control Room'!$B$2),ROUND(MAX(0,'Process'!AD713*'Control Room'!$H$9*INDEX('Control Room'!$B$19:$H$19,1,WEEKDAY($A713,2))*(1+'Control Room'!$D$9)^711*'Process'!AE713),2),"")</x:f>
      </x:c>
      <x:c r="I713" s="16" t="str">
        <x:f>IF(AND(AND(712&lt;='Control Room'!$B$3,'Control Room'!$D$3="Ready"),7&lt;='Control Room'!$B$2),ROUND(MAX(0,'Process'!AI713*'Control Room'!$H$10*INDEX('Control Room'!$B$19:$H$19,1,WEEKDAY($A713,2))*(1+'Control Room'!$D$9)^711*'Process'!AJ713),2),"")</x:f>
      </x:c>
      <x:c r="J713" s="16" t="str">
        <x:f>IF(AND(AND(712&lt;='Control Room'!$B$3,'Control Room'!$D$3="Ready"),8&lt;='Control Room'!$B$2),ROUND(MAX(0,'Process'!AN713*'Control Room'!$H$11*INDEX('Control Room'!$B$19:$H$19,1,WEEKDAY($A713,2))*(1+'Control Room'!$D$9)^711*'Process'!AO713),2),"")</x:f>
      </x:c>
      <x:c r="K713" s="16" t="str">
        <x:f>IF(AND(AND(712&lt;='Control Room'!$B$3,'Control Room'!$D$3="Ready"),9&lt;='Control Room'!$B$2),ROUND(MAX(0,'Process'!AS713*'Control Room'!$H$12*INDEX('Control Room'!$B$19:$H$19,1,WEEKDAY($A713,2))*(1+'Control Room'!$D$9)^711*'Process'!AT713),2),"")</x:f>
      </x:c>
      <x:c r="L713" s="16" t="str">
        <x:f>IF(AND(AND(712&lt;='Control Room'!$B$3,'Control Room'!$D$3="Ready"),10&lt;='Control Room'!$B$2),ROUND(MAX(0,'Process'!AX713*'Control Room'!$H$13*INDEX('Control Room'!$B$19:$H$19,1,WEEKDAY($A713,2))*(1+'Control Room'!$D$9)^711*'Process'!AY713),2),"")</x:f>
      </x:c>
      <x:c r="M713" s="16" t="str">
        <x:f>IF(AND(AND(712&lt;='Control Room'!$B$3,'Control Room'!$D$3="Ready"),11&lt;='Control Room'!$B$2),ROUND(MAX(0,'Process'!BC713*'Control Room'!$H$14*INDEX('Control Room'!$B$19:$H$19,1,WEEKDAY($A713,2))*(1+'Control Room'!$D$9)^711*'Process'!BD713),2),"")</x:f>
      </x:c>
      <x:c r="N713" s="16" t="str">
        <x:f>IF(AND(AND(712&lt;='Control Room'!$B$3,'Control Room'!$D$3="Ready"),12&lt;='Control Room'!$B$2),ROUND(MAX(0,'Process'!BH713*'Control Room'!$H$15*INDEX('Control Room'!$B$19:$H$19,1,WEEKDAY($A713,2))*(1+'Control Room'!$D$9)^711*'Process'!BI713),2),"")</x:f>
      </x:c>
    </x:row>
    <x:row r="714" ht="21" customHeight="1">
      <x:c r="A714" s="15" t="str">
        <x:f>IF(AND(713&lt;='Control Room'!$B$3,'Control Room'!$D$3="Ready"),'Process'!A714,"")</x:f>
      </x:c>
      <x:c r="B714" s="16" t="str">
        <x:f>IF(A714="","",SUM(C714:N714))</x:f>
      </x:c>
      <x:c r="C714" s="16" t="str">
        <x:f>IF(AND(AND(713&lt;='Control Room'!$B$3,'Control Room'!$D$3="Ready"),1&lt;='Control Room'!$B$2),ROUND(MAX(0,'Process'!E714*'Control Room'!$H$4*INDEX('Control Room'!$B$19:$H$19,1,WEEKDAY($A714,2))*(1+'Control Room'!$D$9)^712*'Process'!F714),2),"")</x:f>
      </x:c>
      <x:c r="D714" s="16" t="str">
        <x:f>IF(AND(AND(713&lt;='Control Room'!$B$3,'Control Room'!$D$3="Ready"),2&lt;='Control Room'!$B$2),ROUND(MAX(0,'Process'!J714*'Control Room'!$H$5*INDEX('Control Room'!$B$19:$H$19,1,WEEKDAY($A714,2))*(1+'Control Room'!$D$9)^712*'Process'!K714),2),"")</x:f>
      </x:c>
      <x:c r="E714" s="16" t="str">
        <x:f>IF(AND(AND(713&lt;='Control Room'!$B$3,'Control Room'!$D$3="Ready"),3&lt;='Control Room'!$B$2),ROUND(MAX(0,'Process'!O714*'Control Room'!$H$6*INDEX('Control Room'!$B$19:$H$19,1,WEEKDAY($A714,2))*(1+'Control Room'!$D$9)^712*'Process'!P714),2),"")</x:f>
      </x:c>
      <x:c r="F714" s="16" t="str">
        <x:f>IF(AND(AND(713&lt;='Control Room'!$B$3,'Control Room'!$D$3="Ready"),4&lt;='Control Room'!$B$2),ROUND(MAX(0,'Process'!T714*'Control Room'!$H$7*INDEX('Control Room'!$B$19:$H$19,1,WEEKDAY($A714,2))*(1+'Control Room'!$D$9)^712*'Process'!U714),2),"")</x:f>
      </x:c>
      <x:c r="G714" s="16" t="str">
        <x:f>IF(AND(AND(713&lt;='Control Room'!$B$3,'Control Room'!$D$3="Ready"),5&lt;='Control Room'!$B$2),ROUND(MAX(0,'Process'!Y714*'Control Room'!$H$8*INDEX('Control Room'!$B$19:$H$19,1,WEEKDAY($A714,2))*(1+'Control Room'!$D$9)^712*'Process'!Z714),2),"")</x:f>
      </x:c>
      <x:c r="H714" s="16" t="str">
        <x:f>IF(AND(AND(713&lt;='Control Room'!$B$3,'Control Room'!$D$3="Ready"),6&lt;='Control Room'!$B$2),ROUND(MAX(0,'Process'!AD714*'Control Room'!$H$9*INDEX('Control Room'!$B$19:$H$19,1,WEEKDAY($A714,2))*(1+'Control Room'!$D$9)^712*'Process'!AE714),2),"")</x:f>
      </x:c>
      <x:c r="I714" s="16" t="str">
        <x:f>IF(AND(AND(713&lt;='Control Room'!$B$3,'Control Room'!$D$3="Ready"),7&lt;='Control Room'!$B$2),ROUND(MAX(0,'Process'!AI714*'Control Room'!$H$10*INDEX('Control Room'!$B$19:$H$19,1,WEEKDAY($A714,2))*(1+'Control Room'!$D$9)^712*'Process'!AJ714),2),"")</x:f>
      </x:c>
      <x:c r="J714" s="16" t="str">
        <x:f>IF(AND(AND(713&lt;='Control Room'!$B$3,'Control Room'!$D$3="Ready"),8&lt;='Control Room'!$B$2),ROUND(MAX(0,'Process'!AN714*'Control Room'!$H$11*INDEX('Control Room'!$B$19:$H$19,1,WEEKDAY($A714,2))*(1+'Control Room'!$D$9)^712*'Process'!AO714),2),"")</x:f>
      </x:c>
      <x:c r="K714" s="16" t="str">
        <x:f>IF(AND(AND(713&lt;='Control Room'!$B$3,'Control Room'!$D$3="Ready"),9&lt;='Control Room'!$B$2),ROUND(MAX(0,'Process'!AS714*'Control Room'!$H$12*INDEX('Control Room'!$B$19:$H$19,1,WEEKDAY($A714,2))*(1+'Control Room'!$D$9)^712*'Process'!AT714),2),"")</x:f>
      </x:c>
      <x:c r="L714" s="16" t="str">
        <x:f>IF(AND(AND(713&lt;='Control Room'!$B$3,'Control Room'!$D$3="Ready"),10&lt;='Control Room'!$B$2),ROUND(MAX(0,'Process'!AX714*'Control Room'!$H$13*INDEX('Control Room'!$B$19:$H$19,1,WEEKDAY($A714,2))*(1+'Control Room'!$D$9)^712*'Process'!AY714),2),"")</x:f>
      </x:c>
      <x:c r="M714" s="16" t="str">
        <x:f>IF(AND(AND(713&lt;='Control Room'!$B$3,'Control Room'!$D$3="Ready"),11&lt;='Control Room'!$B$2),ROUND(MAX(0,'Process'!BC714*'Control Room'!$H$14*INDEX('Control Room'!$B$19:$H$19,1,WEEKDAY($A714,2))*(1+'Control Room'!$D$9)^712*'Process'!BD714),2),"")</x:f>
      </x:c>
      <x:c r="N714" s="16" t="str">
        <x:f>IF(AND(AND(713&lt;='Control Room'!$B$3,'Control Room'!$D$3="Ready"),12&lt;='Control Room'!$B$2),ROUND(MAX(0,'Process'!BH714*'Control Room'!$H$15*INDEX('Control Room'!$B$19:$H$19,1,WEEKDAY($A714,2))*(1+'Control Room'!$D$9)^712*'Process'!BI714),2),"")</x:f>
      </x:c>
    </x:row>
    <x:row r="715" ht="21" customHeight="1">
      <x:c r="A715" s="15" t="str">
        <x:f>IF(AND(714&lt;='Control Room'!$B$3,'Control Room'!$D$3="Ready"),'Process'!A715,"")</x:f>
      </x:c>
      <x:c r="B715" s="16" t="str">
        <x:f>IF(A715="","",SUM(C715:N715))</x:f>
      </x:c>
      <x:c r="C715" s="16" t="str">
        <x:f>IF(AND(AND(714&lt;='Control Room'!$B$3,'Control Room'!$D$3="Ready"),1&lt;='Control Room'!$B$2),ROUND(MAX(0,'Process'!E715*'Control Room'!$H$4*INDEX('Control Room'!$B$19:$H$19,1,WEEKDAY($A715,2))*(1+'Control Room'!$D$9)^713*'Process'!F715),2),"")</x:f>
      </x:c>
      <x:c r="D715" s="16" t="str">
        <x:f>IF(AND(AND(714&lt;='Control Room'!$B$3,'Control Room'!$D$3="Ready"),2&lt;='Control Room'!$B$2),ROUND(MAX(0,'Process'!J715*'Control Room'!$H$5*INDEX('Control Room'!$B$19:$H$19,1,WEEKDAY($A715,2))*(1+'Control Room'!$D$9)^713*'Process'!K715),2),"")</x:f>
      </x:c>
      <x:c r="E715" s="16" t="str">
        <x:f>IF(AND(AND(714&lt;='Control Room'!$B$3,'Control Room'!$D$3="Ready"),3&lt;='Control Room'!$B$2),ROUND(MAX(0,'Process'!O715*'Control Room'!$H$6*INDEX('Control Room'!$B$19:$H$19,1,WEEKDAY($A715,2))*(1+'Control Room'!$D$9)^713*'Process'!P715),2),"")</x:f>
      </x:c>
      <x:c r="F715" s="16" t="str">
        <x:f>IF(AND(AND(714&lt;='Control Room'!$B$3,'Control Room'!$D$3="Ready"),4&lt;='Control Room'!$B$2),ROUND(MAX(0,'Process'!T715*'Control Room'!$H$7*INDEX('Control Room'!$B$19:$H$19,1,WEEKDAY($A715,2))*(1+'Control Room'!$D$9)^713*'Process'!U715),2),"")</x:f>
      </x:c>
      <x:c r="G715" s="16" t="str">
        <x:f>IF(AND(AND(714&lt;='Control Room'!$B$3,'Control Room'!$D$3="Ready"),5&lt;='Control Room'!$B$2),ROUND(MAX(0,'Process'!Y715*'Control Room'!$H$8*INDEX('Control Room'!$B$19:$H$19,1,WEEKDAY($A715,2))*(1+'Control Room'!$D$9)^713*'Process'!Z715),2),"")</x:f>
      </x:c>
      <x:c r="H715" s="16" t="str">
        <x:f>IF(AND(AND(714&lt;='Control Room'!$B$3,'Control Room'!$D$3="Ready"),6&lt;='Control Room'!$B$2),ROUND(MAX(0,'Process'!AD715*'Control Room'!$H$9*INDEX('Control Room'!$B$19:$H$19,1,WEEKDAY($A715,2))*(1+'Control Room'!$D$9)^713*'Process'!AE715),2),"")</x:f>
      </x:c>
      <x:c r="I715" s="16" t="str">
        <x:f>IF(AND(AND(714&lt;='Control Room'!$B$3,'Control Room'!$D$3="Ready"),7&lt;='Control Room'!$B$2),ROUND(MAX(0,'Process'!AI715*'Control Room'!$H$10*INDEX('Control Room'!$B$19:$H$19,1,WEEKDAY($A715,2))*(1+'Control Room'!$D$9)^713*'Process'!AJ715),2),"")</x:f>
      </x:c>
      <x:c r="J715" s="16" t="str">
        <x:f>IF(AND(AND(714&lt;='Control Room'!$B$3,'Control Room'!$D$3="Ready"),8&lt;='Control Room'!$B$2),ROUND(MAX(0,'Process'!AN715*'Control Room'!$H$11*INDEX('Control Room'!$B$19:$H$19,1,WEEKDAY($A715,2))*(1+'Control Room'!$D$9)^713*'Process'!AO715),2),"")</x:f>
      </x:c>
      <x:c r="K715" s="16" t="str">
        <x:f>IF(AND(AND(714&lt;='Control Room'!$B$3,'Control Room'!$D$3="Ready"),9&lt;='Control Room'!$B$2),ROUND(MAX(0,'Process'!AS715*'Control Room'!$H$12*INDEX('Control Room'!$B$19:$H$19,1,WEEKDAY($A715,2))*(1+'Control Room'!$D$9)^713*'Process'!AT715),2),"")</x:f>
      </x:c>
      <x:c r="L715" s="16" t="str">
        <x:f>IF(AND(AND(714&lt;='Control Room'!$B$3,'Control Room'!$D$3="Ready"),10&lt;='Control Room'!$B$2),ROUND(MAX(0,'Process'!AX715*'Control Room'!$H$13*INDEX('Control Room'!$B$19:$H$19,1,WEEKDAY($A715,2))*(1+'Control Room'!$D$9)^713*'Process'!AY715),2),"")</x:f>
      </x:c>
      <x:c r="M715" s="16" t="str">
        <x:f>IF(AND(AND(714&lt;='Control Room'!$B$3,'Control Room'!$D$3="Ready"),11&lt;='Control Room'!$B$2),ROUND(MAX(0,'Process'!BC715*'Control Room'!$H$14*INDEX('Control Room'!$B$19:$H$19,1,WEEKDAY($A715,2))*(1+'Control Room'!$D$9)^713*'Process'!BD715),2),"")</x:f>
      </x:c>
      <x:c r="N715" s="16" t="str">
        <x:f>IF(AND(AND(714&lt;='Control Room'!$B$3,'Control Room'!$D$3="Ready"),12&lt;='Control Room'!$B$2),ROUND(MAX(0,'Process'!BH715*'Control Room'!$H$15*INDEX('Control Room'!$B$19:$H$19,1,WEEKDAY($A715,2))*(1+'Control Room'!$D$9)^713*'Process'!BI715),2),"")</x:f>
      </x:c>
    </x:row>
    <x:row r="716" ht="21" customHeight="1">
      <x:c r="A716" s="15" t="str">
        <x:f>IF(AND(715&lt;='Control Room'!$B$3,'Control Room'!$D$3="Ready"),'Process'!A716,"")</x:f>
      </x:c>
      <x:c r="B716" s="16" t="str">
        <x:f>IF(A716="","",SUM(C716:N716))</x:f>
      </x:c>
      <x:c r="C716" s="16" t="str">
        <x:f>IF(AND(AND(715&lt;='Control Room'!$B$3,'Control Room'!$D$3="Ready"),1&lt;='Control Room'!$B$2),ROUND(MAX(0,'Process'!E716*'Control Room'!$H$4*INDEX('Control Room'!$B$19:$H$19,1,WEEKDAY($A716,2))*(1+'Control Room'!$D$9)^714*'Process'!F716),2),"")</x:f>
      </x:c>
      <x:c r="D716" s="16" t="str">
        <x:f>IF(AND(AND(715&lt;='Control Room'!$B$3,'Control Room'!$D$3="Ready"),2&lt;='Control Room'!$B$2),ROUND(MAX(0,'Process'!J716*'Control Room'!$H$5*INDEX('Control Room'!$B$19:$H$19,1,WEEKDAY($A716,2))*(1+'Control Room'!$D$9)^714*'Process'!K716),2),"")</x:f>
      </x:c>
      <x:c r="E716" s="16" t="str">
        <x:f>IF(AND(AND(715&lt;='Control Room'!$B$3,'Control Room'!$D$3="Ready"),3&lt;='Control Room'!$B$2),ROUND(MAX(0,'Process'!O716*'Control Room'!$H$6*INDEX('Control Room'!$B$19:$H$19,1,WEEKDAY($A716,2))*(1+'Control Room'!$D$9)^714*'Process'!P716),2),"")</x:f>
      </x:c>
      <x:c r="F716" s="16" t="str">
        <x:f>IF(AND(AND(715&lt;='Control Room'!$B$3,'Control Room'!$D$3="Ready"),4&lt;='Control Room'!$B$2),ROUND(MAX(0,'Process'!T716*'Control Room'!$H$7*INDEX('Control Room'!$B$19:$H$19,1,WEEKDAY($A716,2))*(1+'Control Room'!$D$9)^714*'Process'!U716),2),"")</x:f>
      </x:c>
      <x:c r="G716" s="16" t="str">
        <x:f>IF(AND(AND(715&lt;='Control Room'!$B$3,'Control Room'!$D$3="Ready"),5&lt;='Control Room'!$B$2),ROUND(MAX(0,'Process'!Y716*'Control Room'!$H$8*INDEX('Control Room'!$B$19:$H$19,1,WEEKDAY($A716,2))*(1+'Control Room'!$D$9)^714*'Process'!Z716),2),"")</x:f>
      </x:c>
      <x:c r="H716" s="16" t="str">
        <x:f>IF(AND(AND(715&lt;='Control Room'!$B$3,'Control Room'!$D$3="Ready"),6&lt;='Control Room'!$B$2),ROUND(MAX(0,'Process'!AD716*'Control Room'!$H$9*INDEX('Control Room'!$B$19:$H$19,1,WEEKDAY($A716,2))*(1+'Control Room'!$D$9)^714*'Process'!AE716),2),"")</x:f>
      </x:c>
      <x:c r="I716" s="16" t="str">
        <x:f>IF(AND(AND(715&lt;='Control Room'!$B$3,'Control Room'!$D$3="Ready"),7&lt;='Control Room'!$B$2),ROUND(MAX(0,'Process'!AI716*'Control Room'!$H$10*INDEX('Control Room'!$B$19:$H$19,1,WEEKDAY($A716,2))*(1+'Control Room'!$D$9)^714*'Process'!AJ716),2),"")</x:f>
      </x:c>
      <x:c r="J716" s="16" t="str">
        <x:f>IF(AND(AND(715&lt;='Control Room'!$B$3,'Control Room'!$D$3="Ready"),8&lt;='Control Room'!$B$2),ROUND(MAX(0,'Process'!AN716*'Control Room'!$H$11*INDEX('Control Room'!$B$19:$H$19,1,WEEKDAY($A716,2))*(1+'Control Room'!$D$9)^714*'Process'!AO716),2),"")</x:f>
      </x:c>
      <x:c r="K716" s="16" t="str">
        <x:f>IF(AND(AND(715&lt;='Control Room'!$B$3,'Control Room'!$D$3="Ready"),9&lt;='Control Room'!$B$2),ROUND(MAX(0,'Process'!AS716*'Control Room'!$H$12*INDEX('Control Room'!$B$19:$H$19,1,WEEKDAY($A716,2))*(1+'Control Room'!$D$9)^714*'Process'!AT716),2),"")</x:f>
      </x:c>
      <x:c r="L716" s="16" t="str">
        <x:f>IF(AND(AND(715&lt;='Control Room'!$B$3,'Control Room'!$D$3="Ready"),10&lt;='Control Room'!$B$2),ROUND(MAX(0,'Process'!AX716*'Control Room'!$H$13*INDEX('Control Room'!$B$19:$H$19,1,WEEKDAY($A716,2))*(1+'Control Room'!$D$9)^714*'Process'!AY716),2),"")</x:f>
      </x:c>
      <x:c r="M716" s="16" t="str">
        <x:f>IF(AND(AND(715&lt;='Control Room'!$B$3,'Control Room'!$D$3="Ready"),11&lt;='Control Room'!$B$2),ROUND(MAX(0,'Process'!BC716*'Control Room'!$H$14*INDEX('Control Room'!$B$19:$H$19,1,WEEKDAY($A716,2))*(1+'Control Room'!$D$9)^714*'Process'!BD716),2),"")</x:f>
      </x:c>
      <x:c r="N716" s="16" t="str">
        <x:f>IF(AND(AND(715&lt;='Control Room'!$B$3,'Control Room'!$D$3="Ready"),12&lt;='Control Room'!$B$2),ROUND(MAX(0,'Process'!BH716*'Control Room'!$H$15*INDEX('Control Room'!$B$19:$H$19,1,WEEKDAY($A716,2))*(1+'Control Room'!$D$9)^714*'Process'!BI716),2),"")</x:f>
      </x:c>
    </x:row>
    <x:row r="717" ht="21" customHeight="1">
      <x:c r="A717" s="15" t="str">
        <x:f>IF(AND(716&lt;='Control Room'!$B$3,'Control Room'!$D$3="Ready"),'Process'!A717,"")</x:f>
      </x:c>
      <x:c r="B717" s="16" t="str">
        <x:f>IF(A717="","",SUM(C717:N717))</x:f>
      </x:c>
      <x:c r="C717" s="16" t="str">
        <x:f>IF(AND(AND(716&lt;='Control Room'!$B$3,'Control Room'!$D$3="Ready"),1&lt;='Control Room'!$B$2),ROUND(MAX(0,'Process'!E717*'Control Room'!$H$4*INDEX('Control Room'!$B$19:$H$19,1,WEEKDAY($A717,2))*(1+'Control Room'!$D$9)^715*'Process'!F717),2),"")</x:f>
      </x:c>
      <x:c r="D717" s="16" t="str">
        <x:f>IF(AND(AND(716&lt;='Control Room'!$B$3,'Control Room'!$D$3="Ready"),2&lt;='Control Room'!$B$2),ROUND(MAX(0,'Process'!J717*'Control Room'!$H$5*INDEX('Control Room'!$B$19:$H$19,1,WEEKDAY($A717,2))*(1+'Control Room'!$D$9)^715*'Process'!K717),2),"")</x:f>
      </x:c>
      <x:c r="E717" s="16" t="str">
        <x:f>IF(AND(AND(716&lt;='Control Room'!$B$3,'Control Room'!$D$3="Ready"),3&lt;='Control Room'!$B$2),ROUND(MAX(0,'Process'!O717*'Control Room'!$H$6*INDEX('Control Room'!$B$19:$H$19,1,WEEKDAY($A717,2))*(1+'Control Room'!$D$9)^715*'Process'!P717),2),"")</x:f>
      </x:c>
      <x:c r="F717" s="16" t="str">
        <x:f>IF(AND(AND(716&lt;='Control Room'!$B$3,'Control Room'!$D$3="Ready"),4&lt;='Control Room'!$B$2),ROUND(MAX(0,'Process'!T717*'Control Room'!$H$7*INDEX('Control Room'!$B$19:$H$19,1,WEEKDAY($A717,2))*(1+'Control Room'!$D$9)^715*'Process'!U717),2),"")</x:f>
      </x:c>
      <x:c r="G717" s="16" t="str">
        <x:f>IF(AND(AND(716&lt;='Control Room'!$B$3,'Control Room'!$D$3="Ready"),5&lt;='Control Room'!$B$2),ROUND(MAX(0,'Process'!Y717*'Control Room'!$H$8*INDEX('Control Room'!$B$19:$H$19,1,WEEKDAY($A717,2))*(1+'Control Room'!$D$9)^715*'Process'!Z717),2),"")</x:f>
      </x:c>
      <x:c r="H717" s="16" t="str">
        <x:f>IF(AND(AND(716&lt;='Control Room'!$B$3,'Control Room'!$D$3="Ready"),6&lt;='Control Room'!$B$2),ROUND(MAX(0,'Process'!AD717*'Control Room'!$H$9*INDEX('Control Room'!$B$19:$H$19,1,WEEKDAY($A717,2))*(1+'Control Room'!$D$9)^715*'Process'!AE717),2),"")</x:f>
      </x:c>
      <x:c r="I717" s="16" t="str">
        <x:f>IF(AND(AND(716&lt;='Control Room'!$B$3,'Control Room'!$D$3="Ready"),7&lt;='Control Room'!$B$2),ROUND(MAX(0,'Process'!AI717*'Control Room'!$H$10*INDEX('Control Room'!$B$19:$H$19,1,WEEKDAY($A717,2))*(1+'Control Room'!$D$9)^715*'Process'!AJ717),2),"")</x:f>
      </x:c>
      <x:c r="J717" s="16" t="str">
        <x:f>IF(AND(AND(716&lt;='Control Room'!$B$3,'Control Room'!$D$3="Ready"),8&lt;='Control Room'!$B$2),ROUND(MAX(0,'Process'!AN717*'Control Room'!$H$11*INDEX('Control Room'!$B$19:$H$19,1,WEEKDAY($A717,2))*(1+'Control Room'!$D$9)^715*'Process'!AO717),2),"")</x:f>
      </x:c>
      <x:c r="K717" s="16" t="str">
        <x:f>IF(AND(AND(716&lt;='Control Room'!$B$3,'Control Room'!$D$3="Ready"),9&lt;='Control Room'!$B$2),ROUND(MAX(0,'Process'!AS717*'Control Room'!$H$12*INDEX('Control Room'!$B$19:$H$19,1,WEEKDAY($A717,2))*(1+'Control Room'!$D$9)^715*'Process'!AT717),2),"")</x:f>
      </x:c>
      <x:c r="L717" s="16" t="str">
        <x:f>IF(AND(AND(716&lt;='Control Room'!$B$3,'Control Room'!$D$3="Ready"),10&lt;='Control Room'!$B$2),ROUND(MAX(0,'Process'!AX717*'Control Room'!$H$13*INDEX('Control Room'!$B$19:$H$19,1,WEEKDAY($A717,2))*(1+'Control Room'!$D$9)^715*'Process'!AY717),2),"")</x:f>
      </x:c>
      <x:c r="M717" s="16" t="str">
        <x:f>IF(AND(AND(716&lt;='Control Room'!$B$3,'Control Room'!$D$3="Ready"),11&lt;='Control Room'!$B$2),ROUND(MAX(0,'Process'!BC717*'Control Room'!$H$14*INDEX('Control Room'!$B$19:$H$19,1,WEEKDAY($A717,2))*(1+'Control Room'!$D$9)^715*'Process'!BD717),2),"")</x:f>
      </x:c>
      <x:c r="N717" s="16" t="str">
        <x:f>IF(AND(AND(716&lt;='Control Room'!$B$3,'Control Room'!$D$3="Ready"),12&lt;='Control Room'!$B$2),ROUND(MAX(0,'Process'!BH717*'Control Room'!$H$15*INDEX('Control Room'!$B$19:$H$19,1,WEEKDAY($A717,2))*(1+'Control Room'!$D$9)^715*'Process'!BI717),2),"")</x:f>
      </x:c>
    </x:row>
    <x:row r="718" ht="21" customHeight="1">
      <x:c r="A718" s="15" t="str">
        <x:f>IF(AND(717&lt;='Control Room'!$B$3,'Control Room'!$D$3="Ready"),'Process'!A718,"")</x:f>
      </x:c>
      <x:c r="B718" s="16" t="str">
        <x:f>IF(A718="","",SUM(C718:N718))</x:f>
      </x:c>
      <x:c r="C718" s="16" t="str">
        <x:f>IF(AND(AND(717&lt;='Control Room'!$B$3,'Control Room'!$D$3="Ready"),1&lt;='Control Room'!$B$2),ROUND(MAX(0,'Process'!E718*'Control Room'!$H$4*INDEX('Control Room'!$B$19:$H$19,1,WEEKDAY($A718,2))*(1+'Control Room'!$D$9)^716*'Process'!F718),2),"")</x:f>
      </x:c>
      <x:c r="D718" s="16" t="str">
        <x:f>IF(AND(AND(717&lt;='Control Room'!$B$3,'Control Room'!$D$3="Ready"),2&lt;='Control Room'!$B$2),ROUND(MAX(0,'Process'!J718*'Control Room'!$H$5*INDEX('Control Room'!$B$19:$H$19,1,WEEKDAY($A718,2))*(1+'Control Room'!$D$9)^716*'Process'!K718),2),"")</x:f>
      </x:c>
      <x:c r="E718" s="16" t="str">
        <x:f>IF(AND(AND(717&lt;='Control Room'!$B$3,'Control Room'!$D$3="Ready"),3&lt;='Control Room'!$B$2),ROUND(MAX(0,'Process'!O718*'Control Room'!$H$6*INDEX('Control Room'!$B$19:$H$19,1,WEEKDAY($A718,2))*(1+'Control Room'!$D$9)^716*'Process'!P718),2),"")</x:f>
      </x:c>
      <x:c r="F718" s="16" t="str">
        <x:f>IF(AND(AND(717&lt;='Control Room'!$B$3,'Control Room'!$D$3="Ready"),4&lt;='Control Room'!$B$2),ROUND(MAX(0,'Process'!T718*'Control Room'!$H$7*INDEX('Control Room'!$B$19:$H$19,1,WEEKDAY($A718,2))*(1+'Control Room'!$D$9)^716*'Process'!U718),2),"")</x:f>
      </x:c>
      <x:c r="G718" s="16" t="str">
        <x:f>IF(AND(AND(717&lt;='Control Room'!$B$3,'Control Room'!$D$3="Ready"),5&lt;='Control Room'!$B$2),ROUND(MAX(0,'Process'!Y718*'Control Room'!$H$8*INDEX('Control Room'!$B$19:$H$19,1,WEEKDAY($A718,2))*(1+'Control Room'!$D$9)^716*'Process'!Z718),2),"")</x:f>
      </x:c>
      <x:c r="H718" s="16" t="str">
        <x:f>IF(AND(AND(717&lt;='Control Room'!$B$3,'Control Room'!$D$3="Ready"),6&lt;='Control Room'!$B$2),ROUND(MAX(0,'Process'!AD718*'Control Room'!$H$9*INDEX('Control Room'!$B$19:$H$19,1,WEEKDAY($A718,2))*(1+'Control Room'!$D$9)^716*'Process'!AE718),2),"")</x:f>
      </x:c>
      <x:c r="I718" s="16" t="str">
        <x:f>IF(AND(AND(717&lt;='Control Room'!$B$3,'Control Room'!$D$3="Ready"),7&lt;='Control Room'!$B$2),ROUND(MAX(0,'Process'!AI718*'Control Room'!$H$10*INDEX('Control Room'!$B$19:$H$19,1,WEEKDAY($A718,2))*(1+'Control Room'!$D$9)^716*'Process'!AJ718),2),"")</x:f>
      </x:c>
      <x:c r="J718" s="16" t="str">
        <x:f>IF(AND(AND(717&lt;='Control Room'!$B$3,'Control Room'!$D$3="Ready"),8&lt;='Control Room'!$B$2),ROUND(MAX(0,'Process'!AN718*'Control Room'!$H$11*INDEX('Control Room'!$B$19:$H$19,1,WEEKDAY($A718,2))*(1+'Control Room'!$D$9)^716*'Process'!AO718),2),"")</x:f>
      </x:c>
      <x:c r="K718" s="16" t="str">
        <x:f>IF(AND(AND(717&lt;='Control Room'!$B$3,'Control Room'!$D$3="Ready"),9&lt;='Control Room'!$B$2),ROUND(MAX(0,'Process'!AS718*'Control Room'!$H$12*INDEX('Control Room'!$B$19:$H$19,1,WEEKDAY($A718,2))*(1+'Control Room'!$D$9)^716*'Process'!AT718),2),"")</x:f>
      </x:c>
      <x:c r="L718" s="16" t="str">
        <x:f>IF(AND(AND(717&lt;='Control Room'!$B$3,'Control Room'!$D$3="Ready"),10&lt;='Control Room'!$B$2),ROUND(MAX(0,'Process'!AX718*'Control Room'!$H$13*INDEX('Control Room'!$B$19:$H$19,1,WEEKDAY($A718,2))*(1+'Control Room'!$D$9)^716*'Process'!AY718),2),"")</x:f>
      </x:c>
      <x:c r="M718" s="16" t="str">
        <x:f>IF(AND(AND(717&lt;='Control Room'!$B$3,'Control Room'!$D$3="Ready"),11&lt;='Control Room'!$B$2),ROUND(MAX(0,'Process'!BC718*'Control Room'!$H$14*INDEX('Control Room'!$B$19:$H$19,1,WEEKDAY($A718,2))*(1+'Control Room'!$D$9)^716*'Process'!BD718),2),"")</x:f>
      </x:c>
      <x:c r="N718" s="16" t="str">
        <x:f>IF(AND(AND(717&lt;='Control Room'!$B$3,'Control Room'!$D$3="Ready"),12&lt;='Control Room'!$B$2),ROUND(MAX(0,'Process'!BH718*'Control Room'!$H$15*INDEX('Control Room'!$B$19:$H$19,1,WEEKDAY($A718,2))*(1+'Control Room'!$D$9)^716*'Process'!BI718),2),"")</x:f>
      </x:c>
    </x:row>
    <x:row r="719" ht="21" customHeight="1">
      <x:c r="A719" s="15" t="str">
        <x:f>IF(AND(718&lt;='Control Room'!$B$3,'Control Room'!$D$3="Ready"),'Process'!A719,"")</x:f>
      </x:c>
      <x:c r="B719" s="16" t="str">
        <x:f>IF(A719="","",SUM(C719:N719))</x:f>
      </x:c>
      <x:c r="C719" s="16" t="str">
        <x:f>IF(AND(AND(718&lt;='Control Room'!$B$3,'Control Room'!$D$3="Ready"),1&lt;='Control Room'!$B$2),ROUND(MAX(0,'Process'!E719*'Control Room'!$H$4*INDEX('Control Room'!$B$19:$H$19,1,WEEKDAY($A719,2))*(1+'Control Room'!$D$9)^717*'Process'!F719),2),"")</x:f>
      </x:c>
      <x:c r="D719" s="16" t="str">
        <x:f>IF(AND(AND(718&lt;='Control Room'!$B$3,'Control Room'!$D$3="Ready"),2&lt;='Control Room'!$B$2),ROUND(MAX(0,'Process'!J719*'Control Room'!$H$5*INDEX('Control Room'!$B$19:$H$19,1,WEEKDAY($A719,2))*(1+'Control Room'!$D$9)^717*'Process'!K719),2),"")</x:f>
      </x:c>
      <x:c r="E719" s="16" t="str">
        <x:f>IF(AND(AND(718&lt;='Control Room'!$B$3,'Control Room'!$D$3="Ready"),3&lt;='Control Room'!$B$2),ROUND(MAX(0,'Process'!O719*'Control Room'!$H$6*INDEX('Control Room'!$B$19:$H$19,1,WEEKDAY($A719,2))*(1+'Control Room'!$D$9)^717*'Process'!P719),2),"")</x:f>
      </x:c>
      <x:c r="F719" s="16" t="str">
        <x:f>IF(AND(AND(718&lt;='Control Room'!$B$3,'Control Room'!$D$3="Ready"),4&lt;='Control Room'!$B$2),ROUND(MAX(0,'Process'!T719*'Control Room'!$H$7*INDEX('Control Room'!$B$19:$H$19,1,WEEKDAY($A719,2))*(1+'Control Room'!$D$9)^717*'Process'!U719),2),"")</x:f>
      </x:c>
      <x:c r="G719" s="16" t="str">
        <x:f>IF(AND(AND(718&lt;='Control Room'!$B$3,'Control Room'!$D$3="Ready"),5&lt;='Control Room'!$B$2),ROUND(MAX(0,'Process'!Y719*'Control Room'!$H$8*INDEX('Control Room'!$B$19:$H$19,1,WEEKDAY($A719,2))*(1+'Control Room'!$D$9)^717*'Process'!Z719),2),"")</x:f>
      </x:c>
      <x:c r="H719" s="16" t="str">
        <x:f>IF(AND(AND(718&lt;='Control Room'!$B$3,'Control Room'!$D$3="Ready"),6&lt;='Control Room'!$B$2),ROUND(MAX(0,'Process'!AD719*'Control Room'!$H$9*INDEX('Control Room'!$B$19:$H$19,1,WEEKDAY($A719,2))*(1+'Control Room'!$D$9)^717*'Process'!AE719),2),"")</x:f>
      </x:c>
      <x:c r="I719" s="16" t="str">
        <x:f>IF(AND(AND(718&lt;='Control Room'!$B$3,'Control Room'!$D$3="Ready"),7&lt;='Control Room'!$B$2),ROUND(MAX(0,'Process'!AI719*'Control Room'!$H$10*INDEX('Control Room'!$B$19:$H$19,1,WEEKDAY($A719,2))*(1+'Control Room'!$D$9)^717*'Process'!AJ719),2),"")</x:f>
      </x:c>
      <x:c r="J719" s="16" t="str">
        <x:f>IF(AND(AND(718&lt;='Control Room'!$B$3,'Control Room'!$D$3="Ready"),8&lt;='Control Room'!$B$2),ROUND(MAX(0,'Process'!AN719*'Control Room'!$H$11*INDEX('Control Room'!$B$19:$H$19,1,WEEKDAY($A719,2))*(1+'Control Room'!$D$9)^717*'Process'!AO719),2),"")</x:f>
      </x:c>
      <x:c r="K719" s="16" t="str">
        <x:f>IF(AND(AND(718&lt;='Control Room'!$B$3,'Control Room'!$D$3="Ready"),9&lt;='Control Room'!$B$2),ROUND(MAX(0,'Process'!AS719*'Control Room'!$H$12*INDEX('Control Room'!$B$19:$H$19,1,WEEKDAY($A719,2))*(1+'Control Room'!$D$9)^717*'Process'!AT719),2),"")</x:f>
      </x:c>
      <x:c r="L719" s="16" t="str">
        <x:f>IF(AND(AND(718&lt;='Control Room'!$B$3,'Control Room'!$D$3="Ready"),10&lt;='Control Room'!$B$2),ROUND(MAX(0,'Process'!AX719*'Control Room'!$H$13*INDEX('Control Room'!$B$19:$H$19,1,WEEKDAY($A719,2))*(1+'Control Room'!$D$9)^717*'Process'!AY719),2),"")</x:f>
      </x:c>
      <x:c r="M719" s="16" t="str">
        <x:f>IF(AND(AND(718&lt;='Control Room'!$B$3,'Control Room'!$D$3="Ready"),11&lt;='Control Room'!$B$2),ROUND(MAX(0,'Process'!BC719*'Control Room'!$H$14*INDEX('Control Room'!$B$19:$H$19,1,WEEKDAY($A719,2))*(1+'Control Room'!$D$9)^717*'Process'!BD719),2),"")</x:f>
      </x:c>
      <x:c r="N719" s="16" t="str">
        <x:f>IF(AND(AND(718&lt;='Control Room'!$B$3,'Control Room'!$D$3="Ready"),12&lt;='Control Room'!$B$2),ROUND(MAX(0,'Process'!BH719*'Control Room'!$H$15*INDEX('Control Room'!$B$19:$H$19,1,WEEKDAY($A719,2))*(1+'Control Room'!$D$9)^717*'Process'!BI719),2),"")</x:f>
      </x:c>
    </x:row>
    <x:row r="720" ht="21" customHeight="1">
      <x:c r="A720" s="15" t="str">
        <x:f>IF(AND(719&lt;='Control Room'!$B$3,'Control Room'!$D$3="Ready"),'Process'!A720,"")</x:f>
      </x:c>
      <x:c r="B720" s="16" t="str">
        <x:f>IF(A720="","",SUM(C720:N720))</x:f>
      </x:c>
      <x:c r="C720" s="16" t="str">
        <x:f>IF(AND(AND(719&lt;='Control Room'!$B$3,'Control Room'!$D$3="Ready"),1&lt;='Control Room'!$B$2),ROUND(MAX(0,'Process'!E720*'Control Room'!$H$4*INDEX('Control Room'!$B$19:$H$19,1,WEEKDAY($A720,2))*(1+'Control Room'!$D$9)^718*'Process'!F720),2),"")</x:f>
      </x:c>
      <x:c r="D720" s="16" t="str">
        <x:f>IF(AND(AND(719&lt;='Control Room'!$B$3,'Control Room'!$D$3="Ready"),2&lt;='Control Room'!$B$2),ROUND(MAX(0,'Process'!J720*'Control Room'!$H$5*INDEX('Control Room'!$B$19:$H$19,1,WEEKDAY($A720,2))*(1+'Control Room'!$D$9)^718*'Process'!K720),2),"")</x:f>
      </x:c>
      <x:c r="E720" s="16" t="str">
        <x:f>IF(AND(AND(719&lt;='Control Room'!$B$3,'Control Room'!$D$3="Ready"),3&lt;='Control Room'!$B$2),ROUND(MAX(0,'Process'!O720*'Control Room'!$H$6*INDEX('Control Room'!$B$19:$H$19,1,WEEKDAY($A720,2))*(1+'Control Room'!$D$9)^718*'Process'!P720),2),"")</x:f>
      </x:c>
      <x:c r="F720" s="16" t="str">
        <x:f>IF(AND(AND(719&lt;='Control Room'!$B$3,'Control Room'!$D$3="Ready"),4&lt;='Control Room'!$B$2),ROUND(MAX(0,'Process'!T720*'Control Room'!$H$7*INDEX('Control Room'!$B$19:$H$19,1,WEEKDAY($A720,2))*(1+'Control Room'!$D$9)^718*'Process'!U720),2),"")</x:f>
      </x:c>
      <x:c r="G720" s="16" t="str">
        <x:f>IF(AND(AND(719&lt;='Control Room'!$B$3,'Control Room'!$D$3="Ready"),5&lt;='Control Room'!$B$2),ROUND(MAX(0,'Process'!Y720*'Control Room'!$H$8*INDEX('Control Room'!$B$19:$H$19,1,WEEKDAY($A720,2))*(1+'Control Room'!$D$9)^718*'Process'!Z720),2),"")</x:f>
      </x:c>
      <x:c r="H720" s="16" t="str">
        <x:f>IF(AND(AND(719&lt;='Control Room'!$B$3,'Control Room'!$D$3="Ready"),6&lt;='Control Room'!$B$2),ROUND(MAX(0,'Process'!AD720*'Control Room'!$H$9*INDEX('Control Room'!$B$19:$H$19,1,WEEKDAY($A720,2))*(1+'Control Room'!$D$9)^718*'Process'!AE720),2),"")</x:f>
      </x:c>
      <x:c r="I720" s="16" t="str">
        <x:f>IF(AND(AND(719&lt;='Control Room'!$B$3,'Control Room'!$D$3="Ready"),7&lt;='Control Room'!$B$2),ROUND(MAX(0,'Process'!AI720*'Control Room'!$H$10*INDEX('Control Room'!$B$19:$H$19,1,WEEKDAY($A720,2))*(1+'Control Room'!$D$9)^718*'Process'!AJ720),2),"")</x:f>
      </x:c>
      <x:c r="J720" s="16" t="str">
        <x:f>IF(AND(AND(719&lt;='Control Room'!$B$3,'Control Room'!$D$3="Ready"),8&lt;='Control Room'!$B$2),ROUND(MAX(0,'Process'!AN720*'Control Room'!$H$11*INDEX('Control Room'!$B$19:$H$19,1,WEEKDAY($A720,2))*(1+'Control Room'!$D$9)^718*'Process'!AO720),2),"")</x:f>
      </x:c>
      <x:c r="K720" s="16" t="str">
        <x:f>IF(AND(AND(719&lt;='Control Room'!$B$3,'Control Room'!$D$3="Ready"),9&lt;='Control Room'!$B$2),ROUND(MAX(0,'Process'!AS720*'Control Room'!$H$12*INDEX('Control Room'!$B$19:$H$19,1,WEEKDAY($A720,2))*(1+'Control Room'!$D$9)^718*'Process'!AT720),2),"")</x:f>
      </x:c>
      <x:c r="L720" s="16" t="str">
        <x:f>IF(AND(AND(719&lt;='Control Room'!$B$3,'Control Room'!$D$3="Ready"),10&lt;='Control Room'!$B$2),ROUND(MAX(0,'Process'!AX720*'Control Room'!$H$13*INDEX('Control Room'!$B$19:$H$19,1,WEEKDAY($A720,2))*(1+'Control Room'!$D$9)^718*'Process'!AY720),2),"")</x:f>
      </x:c>
      <x:c r="M720" s="16" t="str">
        <x:f>IF(AND(AND(719&lt;='Control Room'!$B$3,'Control Room'!$D$3="Ready"),11&lt;='Control Room'!$B$2),ROUND(MAX(0,'Process'!BC720*'Control Room'!$H$14*INDEX('Control Room'!$B$19:$H$19,1,WEEKDAY($A720,2))*(1+'Control Room'!$D$9)^718*'Process'!BD720),2),"")</x:f>
      </x:c>
      <x:c r="N720" s="16" t="str">
        <x:f>IF(AND(AND(719&lt;='Control Room'!$B$3,'Control Room'!$D$3="Ready"),12&lt;='Control Room'!$B$2),ROUND(MAX(0,'Process'!BH720*'Control Room'!$H$15*INDEX('Control Room'!$B$19:$H$19,1,WEEKDAY($A720,2))*(1+'Control Room'!$D$9)^718*'Process'!BI720),2),"")</x:f>
      </x:c>
    </x:row>
    <x:row r="721" ht="21" customHeight="1">
      <x:c r="A721" s="15" t="str">
        <x:f>IF(AND(720&lt;='Control Room'!$B$3,'Control Room'!$D$3="Ready"),'Process'!A721,"")</x:f>
      </x:c>
      <x:c r="B721" s="16" t="str">
        <x:f>IF(A721="","",SUM(C721:N721))</x:f>
      </x:c>
      <x:c r="C721" s="16" t="str">
        <x:f>IF(AND(AND(720&lt;='Control Room'!$B$3,'Control Room'!$D$3="Ready"),1&lt;='Control Room'!$B$2),ROUND(MAX(0,'Process'!E721*'Control Room'!$H$4*INDEX('Control Room'!$B$19:$H$19,1,WEEKDAY($A721,2))*(1+'Control Room'!$D$9)^719*'Process'!F721),2),"")</x:f>
      </x:c>
      <x:c r="D721" s="16" t="str">
        <x:f>IF(AND(AND(720&lt;='Control Room'!$B$3,'Control Room'!$D$3="Ready"),2&lt;='Control Room'!$B$2),ROUND(MAX(0,'Process'!J721*'Control Room'!$H$5*INDEX('Control Room'!$B$19:$H$19,1,WEEKDAY($A721,2))*(1+'Control Room'!$D$9)^719*'Process'!K721),2),"")</x:f>
      </x:c>
      <x:c r="E721" s="16" t="str">
        <x:f>IF(AND(AND(720&lt;='Control Room'!$B$3,'Control Room'!$D$3="Ready"),3&lt;='Control Room'!$B$2),ROUND(MAX(0,'Process'!O721*'Control Room'!$H$6*INDEX('Control Room'!$B$19:$H$19,1,WEEKDAY($A721,2))*(1+'Control Room'!$D$9)^719*'Process'!P721),2),"")</x:f>
      </x:c>
      <x:c r="F721" s="16" t="str">
        <x:f>IF(AND(AND(720&lt;='Control Room'!$B$3,'Control Room'!$D$3="Ready"),4&lt;='Control Room'!$B$2),ROUND(MAX(0,'Process'!T721*'Control Room'!$H$7*INDEX('Control Room'!$B$19:$H$19,1,WEEKDAY($A721,2))*(1+'Control Room'!$D$9)^719*'Process'!U721),2),"")</x:f>
      </x:c>
      <x:c r="G721" s="16" t="str">
        <x:f>IF(AND(AND(720&lt;='Control Room'!$B$3,'Control Room'!$D$3="Ready"),5&lt;='Control Room'!$B$2),ROUND(MAX(0,'Process'!Y721*'Control Room'!$H$8*INDEX('Control Room'!$B$19:$H$19,1,WEEKDAY($A721,2))*(1+'Control Room'!$D$9)^719*'Process'!Z721),2),"")</x:f>
      </x:c>
      <x:c r="H721" s="16" t="str">
        <x:f>IF(AND(AND(720&lt;='Control Room'!$B$3,'Control Room'!$D$3="Ready"),6&lt;='Control Room'!$B$2),ROUND(MAX(0,'Process'!AD721*'Control Room'!$H$9*INDEX('Control Room'!$B$19:$H$19,1,WEEKDAY($A721,2))*(1+'Control Room'!$D$9)^719*'Process'!AE721),2),"")</x:f>
      </x:c>
      <x:c r="I721" s="16" t="str">
        <x:f>IF(AND(AND(720&lt;='Control Room'!$B$3,'Control Room'!$D$3="Ready"),7&lt;='Control Room'!$B$2),ROUND(MAX(0,'Process'!AI721*'Control Room'!$H$10*INDEX('Control Room'!$B$19:$H$19,1,WEEKDAY($A721,2))*(1+'Control Room'!$D$9)^719*'Process'!AJ721),2),"")</x:f>
      </x:c>
      <x:c r="J721" s="16" t="str">
        <x:f>IF(AND(AND(720&lt;='Control Room'!$B$3,'Control Room'!$D$3="Ready"),8&lt;='Control Room'!$B$2),ROUND(MAX(0,'Process'!AN721*'Control Room'!$H$11*INDEX('Control Room'!$B$19:$H$19,1,WEEKDAY($A721,2))*(1+'Control Room'!$D$9)^719*'Process'!AO721),2),"")</x:f>
      </x:c>
      <x:c r="K721" s="16" t="str">
        <x:f>IF(AND(AND(720&lt;='Control Room'!$B$3,'Control Room'!$D$3="Ready"),9&lt;='Control Room'!$B$2),ROUND(MAX(0,'Process'!AS721*'Control Room'!$H$12*INDEX('Control Room'!$B$19:$H$19,1,WEEKDAY($A721,2))*(1+'Control Room'!$D$9)^719*'Process'!AT721),2),"")</x:f>
      </x:c>
      <x:c r="L721" s="16" t="str">
        <x:f>IF(AND(AND(720&lt;='Control Room'!$B$3,'Control Room'!$D$3="Ready"),10&lt;='Control Room'!$B$2),ROUND(MAX(0,'Process'!AX721*'Control Room'!$H$13*INDEX('Control Room'!$B$19:$H$19,1,WEEKDAY($A721,2))*(1+'Control Room'!$D$9)^719*'Process'!AY721),2),"")</x:f>
      </x:c>
      <x:c r="M721" s="16" t="str">
        <x:f>IF(AND(AND(720&lt;='Control Room'!$B$3,'Control Room'!$D$3="Ready"),11&lt;='Control Room'!$B$2),ROUND(MAX(0,'Process'!BC721*'Control Room'!$H$14*INDEX('Control Room'!$B$19:$H$19,1,WEEKDAY($A721,2))*(1+'Control Room'!$D$9)^719*'Process'!BD721),2),"")</x:f>
      </x:c>
      <x:c r="N721" s="16" t="str">
        <x:f>IF(AND(AND(720&lt;='Control Room'!$B$3,'Control Room'!$D$3="Ready"),12&lt;='Control Room'!$B$2),ROUND(MAX(0,'Process'!BH721*'Control Room'!$H$15*INDEX('Control Room'!$B$19:$H$19,1,WEEKDAY($A721,2))*(1+'Control Room'!$D$9)^719*'Process'!BI721),2),"")</x:f>
      </x:c>
    </x:row>
    <x:row r="722" ht="21" customHeight="1">
      <x:c r="A722" s="15" t="str">
        <x:f>IF(AND(721&lt;='Control Room'!$B$3,'Control Room'!$D$3="Ready"),'Process'!A722,"")</x:f>
      </x:c>
      <x:c r="B722" s="16" t="str">
        <x:f>IF(A722="","",SUM(C722:N722))</x:f>
      </x:c>
      <x:c r="C722" s="16" t="str">
        <x:f>IF(AND(AND(721&lt;='Control Room'!$B$3,'Control Room'!$D$3="Ready"),1&lt;='Control Room'!$B$2),ROUND(MAX(0,'Process'!E722*'Control Room'!$H$4*INDEX('Control Room'!$B$19:$H$19,1,WEEKDAY($A722,2))*(1+'Control Room'!$D$9)^720*'Process'!F722),2),"")</x:f>
      </x:c>
      <x:c r="D722" s="16" t="str">
        <x:f>IF(AND(AND(721&lt;='Control Room'!$B$3,'Control Room'!$D$3="Ready"),2&lt;='Control Room'!$B$2),ROUND(MAX(0,'Process'!J722*'Control Room'!$H$5*INDEX('Control Room'!$B$19:$H$19,1,WEEKDAY($A722,2))*(1+'Control Room'!$D$9)^720*'Process'!K722),2),"")</x:f>
      </x:c>
      <x:c r="E722" s="16" t="str">
        <x:f>IF(AND(AND(721&lt;='Control Room'!$B$3,'Control Room'!$D$3="Ready"),3&lt;='Control Room'!$B$2),ROUND(MAX(0,'Process'!O722*'Control Room'!$H$6*INDEX('Control Room'!$B$19:$H$19,1,WEEKDAY($A722,2))*(1+'Control Room'!$D$9)^720*'Process'!P722),2),"")</x:f>
      </x:c>
      <x:c r="F722" s="16" t="str">
        <x:f>IF(AND(AND(721&lt;='Control Room'!$B$3,'Control Room'!$D$3="Ready"),4&lt;='Control Room'!$B$2),ROUND(MAX(0,'Process'!T722*'Control Room'!$H$7*INDEX('Control Room'!$B$19:$H$19,1,WEEKDAY($A722,2))*(1+'Control Room'!$D$9)^720*'Process'!U722),2),"")</x:f>
      </x:c>
      <x:c r="G722" s="16" t="str">
        <x:f>IF(AND(AND(721&lt;='Control Room'!$B$3,'Control Room'!$D$3="Ready"),5&lt;='Control Room'!$B$2),ROUND(MAX(0,'Process'!Y722*'Control Room'!$H$8*INDEX('Control Room'!$B$19:$H$19,1,WEEKDAY($A722,2))*(1+'Control Room'!$D$9)^720*'Process'!Z722),2),"")</x:f>
      </x:c>
      <x:c r="H722" s="16" t="str">
        <x:f>IF(AND(AND(721&lt;='Control Room'!$B$3,'Control Room'!$D$3="Ready"),6&lt;='Control Room'!$B$2),ROUND(MAX(0,'Process'!AD722*'Control Room'!$H$9*INDEX('Control Room'!$B$19:$H$19,1,WEEKDAY($A722,2))*(1+'Control Room'!$D$9)^720*'Process'!AE722),2),"")</x:f>
      </x:c>
      <x:c r="I722" s="16" t="str">
        <x:f>IF(AND(AND(721&lt;='Control Room'!$B$3,'Control Room'!$D$3="Ready"),7&lt;='Control Room'!$B$2),ROUND(MAX(0,'Process'!AI722*'Control Room'!$H$10*INDEX('Control Room'!$B$19:$H$19,1,WEEKDAY($A722,2))*(1+'Control Room'!$D$9)^720*'Process'!AJ722),2),"")</x:f>
      </x:c>
      <x:c r="J722" s="16" t="str">
        <x:f>IF(AND(AND(721&lt;='Control Room'!$B$3,'Control Room'!$D$3="Ready"),8&lt;='Control Room'!$B$2),ROUND(MAX(0,'Process'!AN722*'Control Room'!$H$11*INDEX('Control Room'!$B$19:$H$19,1,WEEKDAY($A722,2))*(1+'Control Room'!$D$9)^720*'Process'!AO722),2),"")</x:f>
      </x:c>
      <x:c r="K722" s="16" t="str">
        <x:f>IF(AND(AND(721&lt;='Control Room'!$B$3,'Control Room'!$D$3="Ready"),9&lt;='Control Room'!$B$2),ROUND(MAX(0,'Process'!AS722*'Control Room'!$H$12*INDEX('Control Room'!$B$19:$H$19,1,WEEKDAY($A722,2))*(1+'Control Room'!$D$9)^720*'Process'!AT722),2),"")</x:f>
      </x:c>
      <x:c r="L722" s="16" t="str">
        <x:f>IF(AND(AND(721&lt;='Control Room'!$B$3,'Control Room'!$D$3="Ready"),10&lt;='Control Room'!$B$2),ROUND(MAX(0,'Process'!AX722*'Control Room'!$H$13*INDEX('Control Room'!$B$19:$H$19,1,WEEKDAY($A722,2))*(1+'Control Room'!$D$9)^720*'Process'!AY722),2),"")</x:f>
      </x:c>
      <x:c r="M722" s="16" t="str">
        <x:f>IF(AND(AND(721&lt;='Control Room'!$B$3,'Control Room'!$D$3="Ready"),11&lt;='Control Room'!$B$2),ROUND(MAX(0,'Process'!BC722*'Control Room'!$H$14*INDEX('Control Room'!$B$19:$H$19,1,WEEKDAY($A722,2))*(1+'Control Room'!$D$9)^720*'Process'!BD722),2),"")</x:f>
      </x:c>
      <x:c r="N722" s="16" t="str">
        <x:f>IF(AND(AND(721&lt;='Control Room'!$B$3,'Control Room'!$D$3="Ready"),12&lt;='Control Room'!$B$2),ROUND(MAX(0,'Process'!BH722*'Control Room'!$H$15*INDEX('Control Room'!$B$19:$H$19,1,WEEKDAY($A722,2))*(1+'Control Room'!$D$9)^720*'Process'!BI722),2),"")</x:f>
      </x:c>
    </x:row>
    <x:row r="723" ht="21" customHeight="1">
      <x:c r="A723" s="15" t="str">
        <x:f>IF(AND(722&lt;='Control Room'!$B$3,'Control Room'!$D$3="Ready"),'Process'!A723,"")</x:f>
      </x:c>
      <x:c r="B723" s="16" t="str">
        <x:f>IF(A723="","",SUM(C723:N723))</x:f>
      </x:c>
      <x:c r="C723" s="16" t="str">
        <x:f>IF(AND(AND(722&lt;='Control Room'!$B$3,'Control Room'!$D$3="Ready"),1&lt;='Control Room'!$B$2),ROUND(MAX(0,'Process'!E723*'Control Room'!$H$4*INDEX('Control Room'!$B$19:$H$19,1,WEEKDAY($A723,2))*(1+'Control Room'!$D$9)^721*'Process'!F723),2),"")</x:f>
      </x:c>
      <x:c r="D723" s="16" t="str">
        <x:f>IF(AND(AND(722&lt;='Control Room'!$B$3,'Control Room'!$D$3="Ready"),2&lt;='Control Room'!$B$2),ROUND(MAX(0,'Process'!J723*'Control Room'!$H$5*INDEX('Control Room'!$B$19:$H$19,1,WEEKDAY($A723,2))*(1+'Control Room'!$D$9)^721*'Process'!K723),2),"")</x:f>
      </x:c>
      <x:c r="E723" s="16" t="str">
        <x:f>IF(AND(AND(722&lt;='Control Room'!$B$3,'Control Room'!$D$3="Ready"),3&lt;='Control Room'!$B$2),ROUND(MAX(0,'Process'!O723*'Control Room'!$H$6*INDEX('Control Room'!$B$19:$H$19,1,WEEKDAY($A723,2))*(1+'Control Room'!$D$9)^721*'Process'!P723),2),"")</x:f>
      </x:c>
      <x:c r="F723" s="16" t="str">
        <x:f>IF(AND(AND(722&lt;='Control Room'!$B$3,'Control Room'!$D$3="Ready"),4&lt;='Control Room'!$B$2),ROUND(MAX(0,'Process'!T723*'Control Room'!$H$7*INDEX('Control Room'!$B$19:$H$19,1,WEEKDAY($A723,2))*(1+'Control Room'!$D$9)^721*'Process'!U723),2),"")</x:f>
      </x:c>
      <x:c r="G723" s="16" t="str">
        <x:f>IF(AND(AND(722&lt;='Control Room'!$B$3,'Control Room'!$D$3="Ready"),5&lt;='Control Room'!$B$2),ROUND(MAX(0,'Process'!Y723*'Control Room'!$H$8*INDEX('Control Room'!$B$19:$H$19,1,WEEKDAY($A723,2))*(1+'Control Room'!$D$9)^721*'Process'!Z723),2),"")</x:f>
      </x:c>
      <x:c r="H723" s="16" t="str">
        <x:f>IF(AND(AND(722&lt;='Control Room'!$B$3,'Control Room'!$D$3="Ready"),6&lt;='Control Room'!$B$2),ROUND(MAX(0,'Process'!AD723*'Control Room'!$H$9*INDEX('Control Room'!$B$19:$H$19,1,WEEKDAY($A723,2))*(1+'Control Room'!$D$9)^721*'Process'!AE723),2),"")</x:f>
      </x:c>
      <x:c r="I723" s="16" t="str">
        <x:f>IF(AND(AND(722&lt;='Control Room'!$B$3,'Control Room'!$D$3="Ready"),7&lt;='Control Room'!$B$2),ROUND(MAX(0,'Process'!AI723*'Control Room'!$H$10*INDEX('Control Room'!$B$19:$H$19,1,WEEKDAY($A723,2))*(1+'Control Room'!$D$9)^721*'Process'!AJ723),2),"")</x:f>
      </x:c>
      <x:c r="J723" s="16" t="str">
        <x:f>IF(AND(AND(722&lt;='Control Room'!$B$3,'Control Room'!$D$3="Ready"),8&lt;='Control Room'!$B$2),ROUND(MAX(0,'Process'!AN723*'Control Room'!$H$11*INDEX('Control Room'!$B$19:$H$19,1,WEEKDAY($A723,2))*(1+'Control Room'!$D$9)^721*'Process'!AO723),2),"")</x:f>
      </x:c>
      <x:c r="K723" s="16" t="str">
        <x:f>IF(AND(AND(722&lt;='Control Room'!$B$3,'Control Room'!$D$3="Ready"),9&lt;='Control Room'!$B$2),ROUND(MAX(0,'Process'!AS723*'Control Room'!$H$12*INDEX('Control Room'!$B$19:$H$19,1,WEEKDAY($A723,2))*(1+'Control Room'!$D$9)^721*'Process'!AT723),2),"")</x:f>
      </x:c>
      <x:c r="L723" s="16" t="str">
        <x:f>IF(AND(AND(722&lt;='Control Room'!$B$3,'Control Room'!$D$3="Ready"),10&lt;='Control Room'!$B$2),ROUND(MAX(0,'Process'!AX723*'Control Room'!$H$13*INDEX('Control Room'!$B$19:$H$19,1,WEEKDAY($A723,2))*(1+'Control Room'!$D$9)^721*'Process'!AY723),2),"")</x:f>
      </x:c>
      <x:c r="M723" s="16" t="str">
        <x:f>IF(AND(AND(722&lt;='Control Room'!$B$3,'Control Room'!$D$3="Ready"),11&lt;='Control Room'!$B$2),ROUND(MAX(0,'Process'!BC723*'Control Room'!$H$14*INDEX('Control Room'!$B$19:$H$19,1,WEEKDAY($A723,2))*(1+'Control Room'!$D$9)^721*'Process'!BD723),2),"")</x:f>
      </x:c>
      <x:c r="N723" s="16" t="str">
        <x:f>IF(AND(AND(722&lt;='Control Room'!$B$3,'Control Room'!$D$3="Ready"),12&lt;='Control Room'!$B$2),ROUND(MAX(0,'Process'!BH723*'Control Room'!$H$15*INDEX('Control Room'!$B$19:$H$19,1,WEEKDAY($A723,2))*(1+'Control Room'!$D$9)^721*'Process'!BI723),2),"")</x:f>
      </x:c>
    </x:row>
    <x:row r="724" ht="21" customHeight="1">
      <x:c r="A724" s="15" t="str">
        <x:f>IF(AND(723&lt;='Control Room'!$B$3,'Control Room'!$D$3="Ready"),'Process'!A724,"")</x:f>
      </x:c>
      <x:c r="B724" s="16" t="str">
        <x:f>IF(A724="","",SUM(C724:N724))</x:f>
      </x:c>
      <x:c r="C724" s="16" t="str">
        <x:f>IF(AND(AND(723&lt;='Control Room'!$B$3,'Control Room'!$D$3="Ready"),1&lt;='Control Room'!$B$2),ROUND(MAX(0,'Process'!E724*'Control Room'!$H$4*INDEX('Control Room'!$B$19:$H$19,1,WEEKDAY($A724,2))*(1+'Control Room'!$D$9)^722*'Process'!F724),2),"")</x:f>
      </x:c>
      <x:c r="D724" s="16" t="str">
        <x:f>IF(AND(AND(723&lt;='Control Room'!$B$3,'Control Room'!$D$3="Ready"),2&lt;='Control Room'!$B$2),ROUND(MAX(0,'Process'!J724*'Control Room'!$H$5*INDEX('Control Room'!$B$19:$H$19,1,WEEKDAY($A724,2))*(1+'Control Room'!$D$9)^722*'Process'!K724),2),"")</x:f>
      </x:c>
      <x:c r="E724" s="16" t="str">
        <x:f>IF(AND(AND(723&lt;='Control Room'!$B$3,'Control Room'!$D$3="Ready"),3&lt;='Control Room'!$B$2),ROUND(MAX(0,'Process'!O724*'Control Room'!$H$6*INDEX('Control Room'!$B$19:$H$19,1,WEEKDAY($A724,2))*(1+'Control Room'!$D$9)^722*'Process'!P724),2),"")</x:f>
      </x:c>
      <x:c r="F724" s="16" t="str">
        <x:f>IF(AND(AND(723&lt;='Control Room'!$B$3,'Control Room'!$D$3="Ready"),4&lt;='Control Room'!$B$2),ROUND(MAX(0,'Process'!T724*'Control Room'!$H$7*INDEX('Control Room'!$B$19:$H$19,1,WEEKDAY($A724,2))*(1+'Control Room'!$D$9)^722*'Process'!U724),2),"")</x:f>
      </x:c>
      <x:c r="G724" s="16" t="str">
        <x:f>IF(AND(AND(723&lt;='Control Room'!$B$3,'Control Room'!$D$3="Ready"),5&lt;='Control Room'!$B$2),ROUND(MAX(0,'Process'!Y724*'Control Room'!$H$8*INDEX('Control Room'!$B$19:$H$19,1,WEEKDAY($A724,2))*(1+'Control Room'!$D$9)^722*'Process'!Z724),2),"")</x:f>
      </x:c>
      <x:c r="H724" s="16" t="str">
        <x:f>IF(AND(AND(723&lt;='Control Room'!$B$3,'Control Room'!$D$3="Ready"),6&lt;='Control Room'!$B$2),ROUND(MAX(0,'Process'!AD724*'Control Room'!$H$9*INDEX('Control Room'!$B$19:$H$19,1,WEEKDAY($A724,2))*(1+'Control Room'!$D$9)^722*'Process'!AE724),2),"")</x:f>
      </x:c>
      <x:c r="I724" s="16" t="str">
        <x:f>IF(AND(AND(723&lt;='Control Room'!$B$3,'Control Room'!$D$3="Ready"),7&lt;='Control Room'!$B$2),ROUND(MAX(0,'Process'!AI724*'Control Room'!$H$10*INDEX('Control Room'!$B$19:$H$19,1,WEEKDAY($A724,2))*(1+'Control Room'!$D$9)^722*'Process'!AJ724),2),"")</x:f>
      </x:c>
      <x:c r="J724" s="16" t="str">
        <x:f>IF(AND(AND(723&lt;='Control Room'!$B$3,'Control Room'!$D$3="Ready"),8&lt;='Control Room'!$B$2),ROUND(MAX(0,'Process'!AN724*'Control Room'!$H$11*INDEX('Control Room'!$B$19:$H$19,1,WEEKDAY($A724,2))*(1+'Control Room'!$D$9)^722*'Process'!AO724),2),"")</x:f>
      </x:c>
      <x:c r="K724" s="16" t="str">
        <x:f>IF(AND(AND(723&lt;='Control Room'!$B$3,'Control Room'!$D$3="Ready"),9&lt;='Control Room'!$B$2),ROUND(MAX(0,'Process'!AS724*'Control Room'!$H$12*INDEX('Control Room'!$B$19:$H$19,1,WEEKDAY($A724,2))*(1+'Control Room'!$D$9)^722*'Process'!AT724),2),"")</x:f>
      </x:c>
      <x:c r="L724" s="16" t="str">
        <x:f>IF(AND(AND(723&lt;='Control Room'!$B$3,'Control Room'!$D$3="Ready"),10&lt;='Control Room'!$B$2),ROUND(MAX(0,'Process'!AX724*'Control Room'!$H$13*INDEX('Control Room'!$B$19:$H$19,1,WEEKDAY($A724,2))*(1+'Control Room'!$D$9)^722*'Process'!AY724),2),"")</x:f>
      </x:c>
      <x:c r="M724" s="16" t="str">
        <x:f>IF(AND(AND(723&lt;='Control Room'!$B$3,'Control Room'!$D$3="Ready"),11&lt;='Control Room'!$B$2),ROUND(MAX(0,'Process'!BC724*'Control Room'!$H$14*INDEX('Control Room'!$B$19:$H$19,1,WEEKDAY($A724,2))*(1+'Control Room'!$D$9)^722*'Process'!BD724),2),"")</x:f>
      </x:c>
      <x:c r="N724" s="16" t="str">
        <x:f>IF(AND(AND(723&lt;='Control Room'!$B$3,'Control Room'!$D$3="Ready"),12&lt;='Control Room'!$B$2),ROUND(MAX(0,'Process'!BH724*'Control Room'!$H$15*INDEX('Control Room'!$B$19:$H$19,1,WEEKDAY($A724,2))*(1+'Control Room'!$D$9)^722*'Process'!BI724),2),"")</x:f>
      </x:c>
    </x:row>
    <x:row r="725" ht="21" customHeight="1">
      <x:c r="A725" s="15" t="str">
        <x:f>IF(AND(724&lt;='Control Room'!$B$3,'Control Room'!$D$3="Ready"),'Process'!A725,"")</x:f>
      </x:c>
      <x:c r="B725" s="16" t="str">
        <x:f>IF(A725="","",SUM(C725:N725))</x:f>
      </x:c>
      <x:c r="C725" s="16" t="str">
        <x:f>IF(AND(AND(724&lt;='Control Room'!$B$3,'Control Room'!$D$3="Ready"),1&lt;='Control Room'!$B$2),ROUND(MAX(0,'Process'!E725*'Control Room'!$H$4*INDEX('Control Room'!$B$19:$H$19,1,WEEKDAY($A725,2))*(1+'Control Room'!$D$9)^723*'Process'!F725),2),"")</x:f>
      </x:c>
      <x:c r="D725" s="16" t="str">
        <x:f>IF(AND(AND(724&lt;='Control Room'!$B$3,'Control Room'!$D$3="Ready"),2&lt;='Control Room'!$B$2),ROUND(MAX(0,'Process'!J725*'Control Room'!$H$5*INDEX('Control Room'!$B$19:$H$19,1,WEEKDAY($A725,2))*(1+'Control Room'!$D$9)^723*'Process'!K725),2),"")</x:f>
      </x:c>
      <x:c r="E725" s="16" t="str">
        <x:f>IF(AND(AND(724&lt;='Control Room'!$B$3,'Control Room'!$D$3="Ready"),3&lt;='Control Room'!$B$2),ROUND(MAX(0,'Process'!O725*'Control Room'!$H$6*INDEX('Control Room'!$B$19:$H$19,1,WEEKDAY($A725,2))*(1+'Control Room'!$D$9)^723*'Process'!P725),2),"")</x:f>
      </x:c>
      <x:c r="F725" s="16" t="str">
        <x:f>IF(AND(AND(724&lt;='Control Room'!$B$3,'Control Room'!$D$3="Ready"),4&lt;='Control Room'!$B$2),ROUND(MAX(0,'Process'!T725*'Control Room'!$H$7*INDEX('Control Room'!$B$19:$H$19,1,WEEKDAY($A725,2))*(1+'Control Room'!$D$9)^723*'Process'!U725),2),"")</x:f>
      </x:c>
      <x:c r="G725" s="16" t="str">
        <x:f>IF(AND(AND(724&lt;='Control Room'!$B$3,'Control Room'!$D$3="Ready"),5&lt;='Control Room'!$B$2),ROUND(MAX(0,'Process'!Y725*'Control Room'!$H$8*INDEX('Control Room'!$B$19:$H$19,1,WEEKDAY($A725,2))*(1+'Control Room'!$D$9)^723*'Process'!Z725),2),"")</x:f>
      </x:c>
      <x:c r="H725" s="16" t="str">
        <x:f>IF(AND(AND(724&lt;='Control Room'!$B$3,'Control Room'!$D$3="Ready"),6&lt;='Control Room'!$B$2),ROUND(MAX(0,'Process'!AD725*'Control Room'!$H$9*INDEX('Control Room'!$B$19:$H$19,1,WEEKDAY($A725,2))*(1+'Control Room'!$D$9)^723*'Process'!AE725),2),"")</x:f>
      </x:c>
      <x:c r="I725" s="16" t="str">
        <x:f>IF(AND(AND(724&lt;='Control Room'!$B$3,'Control Room'!$D$3="Ready"),7&lt;='Control Room'!$B$2),ROUND(MAX(0,'Process'!AI725*'Control Room'!$H$10*INDEX('Control Room'!$B$19:$H$19,1,WEEKDAY($A725,2))*(1+'Control Room'!$D$9)^723*'Process'!AJ725),2),"")</x:f>
      </x:c>
      <x:c r="J725" s="16" t="str">
        <x:f>IF(AND(AND(724&lt;='Control Room'!$B$3,'Control Room'!$D$3="Ready"),8&lt;='Control Room'!$B$2),ROUND(MAX(0,'Process'!AN725*'Control Room'!$H$11*INDEX('Control Room'!$B$19:$H$19,1,WEEKDAY($A725,2))*(1+'Control Room'!$D$9)^723*'Process'!AO725),2),"")</x:f>
      </x:c>
      <x:c r="K725" s="16" t="str">
        <x:f>IF(AND(AND(724&lt;='Control Room'!$B$3,'Control Room'!$D$3="Ready"),9&lt;='Control Room'!$B$2),ROUND(MAX(0,'Process'!AS725*'Control Room'!$H$12*INDEX('Control Room'!$B$19:$H$19,1,WEEKDAY($A725,2))*(1+'Control Room'!$D$9)^723*'Process'!AT725),2),"")</x:f>
      </x:c>
      <x:c r="L725" s="16" t="str">
        <x:f>IF(AND(AND(724&lt;='Control Room'!$B$3,'Control Room'!$D$3="Ready"),10&lt;='Control Room'!$B$2),ROUND(MAX(0,'Process'!AX725*'Control Room'!$H$13*INDEX('Control Room'!$B$19:$H$19,1,WEEKDAY($A725,2))*(1+'Control Room'!$D$9)^723*'Process'!AY725),2),"")</x:f>
      </x:c>
      <x:c r="M725" s="16" t="str">
        <x:f>IF(AND(AND(724&lt;='Control Room'!$B$3,'Control Room'!$D$3="Ready"),11&lt;='Control Room'!$B$2),ROUND(MAX(0,'Process'!BC725*'Control Room'!$H$14*INDEX('Control Room'!$B$19:$H$19,1,WEEKDAY($A725,2))*(1+'Control Room'!$D$9)^723*'Process'!BD725),2),"")</x:f>
      </x:c>
      <x:c r="N725" s="16" t="str">
        <x:f>IF(AND(AND(724&lt;='Control Room'!$B$3,'Control Room'!$D$3="Ready"),12&lt;='Control Room'!$B$2),ROUND(MAX(0,'Process'!BH725*'Control Room'!$H$15*INDEX('Control Room'!$B$19:$H$19,1,WEEKDAY($A725,2))*(1+'Control Room'!$D$9)^723*'Process'!BI725),2),"")</x:f>
      </x:c>
    </x:row>
    <x:row r="726" ht="21" customHeight="1">
      <x:c r="A726" s="15" t="str">
        <x:f>IF(AND(725&lt;='Control Room'!$B$3,'Control Room'!$D$3="Ready"),'Process'!A726,"")</x:f>
      </x:c>
      <x:c r="B726" s="16" t="str">
        <x:f>IF(A726="","",SUM(C726:N726))</x:f>
      </x:c>
      <x:c r="C726" s="16" t="str">
        <x:f>IF(AND(AND(725&lt;='Control Room'!$B$3,'Control Room'!$D$3="Ready"),1&lt;='Control Room'!$B$2),ROUND(MAX(0,'Process'!E726*'Control Room'!$H$4*INDEX('Control Room'!$B$19:$H$19,1,WEEKDAY($A726,2))*(1+'Control Room'!$D$9)^724*'Process'!F726),2),"")</x:f>
      </x:c>
      <x:c r="D726" s="16" t="str">
        <x:f>IF(AND(AND(725&lt;='Control Room'!$B$3,'Control Room'!$D$3="Ready"),2&lt;='Control Room'!$B$2),ROUND(MAX(0,'Process'!J726*'Control Room'!$H$5*INDEX('Control Room'!$B$19:$H$19,1,WEEKDAY($A726,2))*(1+'Control Room'!$D$9)^724*'Process'!K726),2),"")</x:f>
      </x:c>
      <x:c r="E726" s="16" t="str">
        <x:f>IF(AND(AND(725&lt;='Control Room'!$B$3,'Control Room'!$D$3="Ready"),3&lt;='Control Room'!$B$2),ROUND(MAX(0,'Process'!O726*'Control Room'!$H$6*INDEX('Control Room'!$B$19:$H$19,1,WEEKDAY($A726,2))*(1+'Control Room'!$D$9)^724*'Process'!P726),2),"")</x:f>
      </x:c>
      <x:c r="F726" s="16" t="str">
        <x:f>IF(AND(AND(725&lt;='Control Room'!$B$3,'Control Room'!$D$3="Ready"),4&lt;='Control Room'!$B$2),ROUND(MAX(0,'Process'!T726*'Control Room'!$H$7*INDEX('Control Room'!$B$19:$H$19,1,WEEKDAY($A726,2))*(1+'Control Room'!$D$9)^724*'Process'!U726),2),"")</x:f>
      </x:c>
      <x:c r="G726" s="16" t="str">
        <x:f>IF(AND(AND(725&lt;='Control Room'!$B$3,'Control Room'!$D$3="Ready"),5&lt;='Control Room'!$B$2),ROUND(MAX(0,'Process'!Y726*'Control Room'!$H$8*INDEX('Control Room'!$B$19:$H$19,1,WEEKDAY($A726,2))*(1+'Control Room'!$D$9)^724*'Process'!Z726),2),"")</x:f>
      </x:c>
      <x:c r="H726" s="16" t="str">
        <x:f>IF(AND(AND(725&lt;='Control Room'!$B$3,'Control Room'!$D$3="Ready"),6&lt;='Control Room'!$B$2),ROUND(MAX(0,'Process'!AD726*'Control Room'!$H$9*INDEX('Control Room'!$B$19:$H$19,1,WEEKDAY($A726,2))*(1+'Control Room'!$D$9)^724*'Process'!AE726),2),"")</x:f>
      </x:c>
      <x:c r="I726" s="16" t="str">
        <x:f>IF(AND(AND(725&lt;='Control Room'!$B$3,'Control Room'!$D$3="Ready"),7&lt;='Control Room'!$B$2),ROUND(MAX(0,'Process'!AI726*'Control Room'!$H$10*INDEX('Control Room'!$B$19:$H$19,1,WEEKDAY($A726,2))*(1+'Control Room'!$D$9)^724*'Process'!AJ726),2),"")</x:f>
      </x:c>
      <x:c r="J726" s="16" t="str">
        <x:f>IF(AND(AND(725&lt;='Control Room'!$B$3,'Control Room'!$D$3="Ready"),8&lt;='Control Room'!$B$2),ROUND(MAX(0,'Process'!AN726*'Control Room'!$H$11*INDEX('Control Room'!$B$19:$H$19,1,WEEKDAY($A726,2))*(1+'Control Room'!$D$9)^724*'Process'!AO726),2),"")</x:f>
      </x:c>
      <x:c r="K726" s="16" t="str">
        <x:f>IF(AND(AND(725&lt;='Control Room'!$B$3,'Control Room'!$D$3="Ready"),9&lt;='Control Room'!$B$2),ROUND(MAX(0,'Process'!AS726*'Control Room'!$H$12*INDEX('Control Room'!$B$19:$H$19,1,WEEKDAY($A726,2))*(1+'Control Room'!$D$9)^724*'Process'!AT726),2),"")</x:f>
      </x:c>
      <x:c r="L726" s="16" t="str">
        <x:f>IF(AND(AND(725&lt;='Control Room'!$B$3,'Control Room'!$D$3="Ready"),10&lt;='Control Room'!$B$2),ROUND(MAX(0,'Process'!AX726*'Control Room'!$H$13*INDEX('Control Room'!$B$19:$H$19,1,WEEKDAY($A726,2))*(1+'Control Room'!$D$9)^724*'Process'!AY726),2),"")</x:f>
      </x:c>
      <x:c r="M726" s="16" t="str">
        <x:f>IF(AND(AND(725&lt;='Control Room'!$B$3,'Control Room'!$D$3="Ready"),11&lt;='Control Room'!$B$2),ROUND(MAX(0,'Process'!BC726*'Control Room'!$H$14*INDEX('Control Room'!$B$19:$H$19,1,WEEKDAY($A726,2))*(1+'Control Room'!$D$9)^724*'Process'!BD726),2),"")</x:f>
      </x:c>
      <x:c r="N726" s="16" t="str">
        <x:f>IF(AND(AND(725&lt;='Control Room'!$B$3,'Control Room'!$D$3="Ready"),12&lt;='Control Room'!$B$2),ROUND(MAX(0,'Process'!BH726*'Control Room'!$H$15*INDEX('Control Room'!$B$19:$H$19,1,WEEKDAY($A726,2))*(1+'Control Room'!$D$9)^724*'Process'!BI726),2),"")</x:f>
      </x:c>
    </x:row>
    <x:row r="727" ht="21" customHeight="1">
      <x:c r="A727" s="15" t="str">
        <x:f>IF(AND(726&lt;='Control Room'!$B$3,'Control Room'!$D$3="Ready"),'Process'!A727,"")</x:f>
      </x:c>
      <x:c r="B727" s="16" t="str">
        <x:f>IF(A727="","",SUM(C727:N727))</x:f>
      </x:c>
      <x:c r="C727" s="16" t="str">
        <x:f>IF(AND(AND(726&lt;='Control Room'!$B$3,'Control Room'!$D$3="Ready"),1&lt;='Control Room'!$B$2),ROUND(MAX(0,'Process'!E727*'Control Room'!$H$4*INDEX('Control Room'!$B$19:$H$19,1,WEEKDAY($A727,2))*(1+'Control Room'!$D$9)^725*'Process'!F727),2),"")</x:f>
      </x:c>
      <x:c r="D727" s="16" t="str">
        <x:f>IF(AND(AND(726&lt;='Control Room'!$B$3,'Control Room'!$D$3="Ready"),2&lt;='Control Room'!$B$2),ROUND(MAX(0,'Process'!J727*'Control Room'!$H$5*INDEX('Control Room'!$B$19:$H$19,1,WEEKDAY($A727,2))*(1+'Control Room'!$D$9)^725*'Process'!K727),2),"")</x:f>
      </x:c>
      <x:c r="E727" s="16" t="str">
        <x:f>IF(AND(AND(726&lt;='Control Room'!$B$3,'Control Room'!$D$3="Ready"),3&lt;='Control Room'!$B$2),ROUND(MAX(0,'Process'!O727*'Control Room'!$H$6*INDEX('Control Room'!$B$19:$H$19,1,WEEKDAY($A727,2))*(1+'Control Room'!$D$9)^725*'Process'!P727),2),"")</x:f>
      </x:c>
      <x:c r="F727" s="16" t="str">
        <x:f>IF(AND(AND(726&lt;='Control Room'!$B$3,'Control Room'!$D$3="Ready"),4&lt;='Control Room'!$B$2),ROUND(MAX(0,'Process'!T727*'Control Room'!$H$7*INDEX('Control Room'!$B$19:$H$19,1,WEEKDAY($A727,2))*(1+'Control Room'!$D$9)^725*'Process'!U727),2),"")</x:f>
      </x:c>
      <x:c r="G727" s="16" t="str">
        <x:f>IF(AND(AND(726&lt;='Control Room'!$B$3,'Control Room'!$D$3="Ready"),5&lt;='Control Room'!$B$2),ROUND(MAX(0,'Process'!Y727*'Control Room'!$H$8*INDEX('Control Room'!$B$19:$H$19,1,WEEKDAY($A727,2))*(1+'Control Room'!$D$9)^725*'Process'!Z727),2),"")</x:f>
      </x:c>
      <x:c r="H727" s="16" t="str">
        <x:f>IF(AND(AND(726&lt;='Control Room'!$B$3,'Control Room'!$D$3="Ready"),6&lt;='Control Room'!$B$2),ROUND(MAX(0,'Process'!AD727*'Control Room'!$H$9*INDEX('Control Room'!$B$19:$H$19,1,WEEKDAY($A727,2))*(1+'Control Room'!$D$9)^725*'Process'!AE727),2),"")</x:f>
      </x:c>
      <x:c r="I727" s="16" t="str">
        <x:f>IF(AND(AND(726&lt;='Control Room'!$B$3,'Control Room'!$D$3="Ready"),7&lt;='Control Room'!$B$2),ROUND(MAX(0,'Process'!AI727*'Control Room'!$H$10*INDEX('Control Room'!$B$19:$H$19,1,WEEKDAY($A727,2))*(1+'Control Room'!$D$9)^725*'Process'!AJ727),2),"")</x:f>
      </x:c>
      <x:c r="J727" s="16" t="str">
        <x:f>IF(AND(AND(726&lt;='Control Room'!$B$3,'Control Room'!$D$3="Ready"),8&lt;='Control Room'!$B$2),ROUND(MAX(0,'Process'!AN727*'Control Room'!$H$11*INDEX('Control Room'!$B$19:$H$19,1,WEEKDAY($A727,2))*(1+'Control Room'!$D$9)^725*'Process'!AO727),2),"")</x:f>
      </x:c>
      <x:c r="K727" s="16" t="str">
        <x:f>IF(AND(AND(726&lt;='Control Room'!$B$3,'Control Room'!$D$3="Ready"),9&lt;='Control Room'!$B$2),ROUND(MAX(0,'Process'!AS727*'Control Room'!$H$12*INDEX('Control Room'!$B$19:$H$19,1,WEEKDAY($A727,2))*(1+'Control Room'!$D$9)^725*'Process'!AT727),2),"")</x:f>
      </x:c>
      <x:c r="L727" s="16" t="str">
        <x:f>IF(AND(AND(726&lt;='Control Room'!$B$3,'Control Room'!$D$3="Ready"),10&lt;='Control Room'!$B$2),ROUND(MAX(0,'Process'!AX727*'Control Room'!$H$13*INDEX('Control Room'!$B$19:$H$19,1,WEEKDAY($A727,2))*(1+'Control Room'!$D$9)^725*'Process'!AY727),2),"")</x:f>
      </x:c>
      <x:c r="M727" s="16" t="str">
        <x:f>IF(AND(AND(726&lt;='Control Room'!$B$3,'Control Room'!$D$3="Ready"),11&lt;='Control Room'!$B$2),ROUND(MAX(0,'Process'!BC727*'Control Room'!$H$14*INDEX('Control Room'!$B$19:$H$19,1,WEEKDAY($A727,2))*(1+'Control Room'!$D$9)^725*'Process'!BD727),2),"")</x:f>
      </x:c>
      <x:c r="N727" s="16" t="str">
        <x:f>IF(AND(AND(726&lt;='Control Room'!$B$3,'Control Room'!$D$3="Ready"),12&lt;='Control Room'!$B$2),ROUND(MAX(0,'Process'!BH727*'Control Room'!$H$15*INDEX('Control Room'!$B$19:$H$19,1,WEEKDAY($A727,2))*(1+'Control Room'!$D$9)^725*'Process'!BI727),2),"")</x:f>
      </x:c>
    </x:row>
    <x:row r="728" ht="21" customHeight="1">
      <x:c r="A728" s="15" t="str">
        <x:f>IF(AND(727&lt;='Control Room'!$B$3,'Control Room'!$D$3="Ready"),'Process'!A728,"")</x:f>
      </x:c>
      <x:c r="B728" s="16" t="str">
        <x:f>IF(A728="","",SUM(C728:N728))</x:f>
      </x:c>
      <x:c r="C728" s="16" t="str">
        <x:f>IF(AND(AND(727&lt;='Control Room'!$B$3,'Control Room'!$D$3="Ready"),1&lt;='Control Room'!$B$2),ROUND(MAX(0,'Process'!E728*'Control Room'!$H$4*INDEX('Control Room'!$B$19:$H$19,1,WEEKDAY($A728,2))*(1+'Control Room'!$D$9)^726*'Process'!F728),2),"")</x:f>
      </x:c>
      <x:c r="D728" s="16" t="str">
        <x:f>IF(AND(AND(727&lt;='Control Room'!$B$3,'Control Room'!$D$3="Ready"),2&lt;='Control Room'!$B$2),ROUND(MAX(0,'Process'!J728*'Control Room'!$H$5*INDEX('Control Room'!$B$19:$H$19,1,WEEKDAY($A728,2))*(1+'Control Room'!$D$9)^726*'Process'!K728),2),"")</x:f>
      </x:c>
      <x:c r="E728" s="16" t="str">
        <x:f>IF(AND(AND(727&lt;='Control Room'!$B$3,'Control Room'!$D$3="Ready"),3&lt;='Control Room'!$B$2),ROUND(MAX(0,'Process'!O728*'Control Room'!$H$6*INDEX('Control Room'!$B$19:$H$19,1,WEEKDAY($A728,2))*(1+'Control Room'!$D$9)^726*'Process'!P728),2),"")</x:f>
      </x:c>
      <x:c r="F728" s="16" t="str">
        <x:f>IF(AND(AND(727&lt;='Control Room'!$B$3,'Control Room'!$D$3="Ready"),4&lt;='Control Room'!$B$2),ROUND(MAX(0,'Process'!T728*'Control Room'!$H$7*INDEX('Control Room'!$B$19:$H$19,1,WEEKDAY($A728,2))*(1+'Control Room'!$D$9)^726*'Process'!U728),2),"")</x:f>
      </x:c>
      <x:c r="G728" s="16" t="str">
        <x:f>IF(AND(AND(727&lt;='Control Room'!$B$3,'Control Room'!$D$3="Ready"),5&lt;='Control Room'!$B$2),ROUND(MAX(0,'Process'!Y728*'Control Room'!$H$8*INDEX('Control Room'!$B$19:$H$19,1,WEEKDAY($A728,2))*(1+'Control Room'!$D$9)^726*'Process'!Z728),2),"")</x:f>
      </x:c>
      <x:c r="H728" s="16" t="str">
        <x:f>IF(AND(AND(727&lt;='Control Room'!$B$3,'Control Room'!$D$3="Ready"),6&lt;='Control Room'!$B$2),ROUND(MAX(0,'Process'!AD728*'Control Room'!$H$9*INDEX('Control Room'!$B$19:$H$19,1,WEEKDAY($A728,2))*(1+'Control Room'!$D$9)^726*'Process'!AE728),2),"")</x:f>
      </x:c>
      <x:c r="I728" s="16" t="str">
        <x:f>IF(AND(AND(727&lt;='Control Room'!$B$3,'Control Room'!$D$3="Ready"),7&lt;='Control Room'!$B$2),ROUND(MAX(0,'Process'!AI728*'Control Room'!$H$10*INDEX('Control Room'!$B$19:$H$19,1,WEEKDAY($A728,2))*(1+'Control Room'!$D$9)^726*'Process'!AJ728),2),"")</x:f>
      </x:c>
      <x:c r="J728" s="16" t="str">
        <x:f>IF(AND(AND(727&lt;='Control Room'!$B$3,'Control Room'!$D$3="Ready"),8&lt;='Control Room'!$B$2),ROUND(MAX(0,'Process'!AN728*'Control Room'!$H$11*INDEX('Control Room'!$B$19:$H$19,1,WEEKDAY($A728,2))*(1+'Control Room'!$D$9)^726*'Process'!AO728),2),"")</x:f>
      </x:c>
      <x:c r="K728" s="16" t="str">
        <x:f>IF(AND(AND(727&lt;='Control Room'!$B$3,'Control Room'!$D$3="Ready"),9&lt;='Control Room'!$B$2),ROUND(MAX(0,'Process'!AS728*'Control Room'!$H$12*INDEX('Control Room'!$B$19:$H$19,1,WEEKDAY($A728,2))*(1+'Control Room'!$D$9)^726*'Process'!AT728),2),"")</x:f>
      </x:c>
      <x:c r="L728" s="16" t="str">
        <x:f>IF(AND(AND(727&lt;='Control Room'!$B$3,'Control Room'!$D$3="Ready"),10&lt;='Control Room'!$B$2),ROUND(MAX(0,'Process'!AX728*'Control Room'!$H$13*INDEX('Control Room'!$B$19:$H$19,1,WEEKDAY($A728,2))*(1+'Control Room'!$D$9)^726*'Process'!AY728),2),"")</x:f>
      </x:c>
      <x:c r="M728" s="16" t="str">
        <x:f>IF(AND(AND(727&lt;='Control Room'!$B$3,'Control Room'!$D$3="Ready"),11&lt;='Control Room'!$B$2),ROUND(MAX(0,'Process'!BC728*'Control Room'!$H$14*INDEX('Control Room'!$B$19:$H$19,1,WEEKDAY($A728,2))*(1+'Control Room'!$D$9)^726*'Process'!BD728),2),"")</x:f>
      </x:c>
      <x:c r="N728" s="16" t="str">
        <x:f>IF(AND(AND(727&lt;='Control Room'!$B$3,'Control Room'!$D$3="Ready"),12&lt;='Control Room'!$B$2),ROUND(MAX(0,'Process'!BH728*'Control Room'!$H$15*INDEX('Control Room'!$B$19:$H$19,1,WEEKDAY($A728,2))*(1+'Control Room'!$D$9)^726*'Process'!BI728),2),"")</x:f>
      </x:c>
    </x:row>
    <x:row r="729" ht="21" customHeight="1">
      <x:c r="A729" s="15" t="str">
        <x:f>IF(AND(728&lt;='Control Room'!$B$3,'Control Room'!$D$3="Ready"),'Process'!A729,"")</x:f>
      </x:c>
      <x:c r="B729" s="16" t="str">
        <x:f>IF(A729="","",SUM(C729:N729))</x:f>
      </x:c>
      <x:c r="C729" s="16" t="str">
        <x:f>IF(AND(AND(728&lt;='Control Room'!$B$3,'Control Room'!$D$3="Ready"),1&lt;='Control Room'!$B$2),ROUND(MAX(0,'Process'!E729*'Control Room'!$H$4*INDEX('Control Room'!$B$19:$H$19,1,WEEKDAY($A729,2))*(1+'Control Room'!$D$9)^727*'Process'!F729),2),"")</x:f>
      </x:c>
      <x:c r="D729" s="16" t="str">
        <x:f>IF(AND(AND(728&lt;='Control Room'!$B$3,'Control Room'!$D$3="Ready"),2&lt;='Control Room'!$B$2),ROUND(MAX(0,'Process'!J729*'Control Room'!$H$5*INDEX('Control Room'!$B$19:$H$19,1,WEEKDAY($A729,2))*(1+'Control Room'!$D$9)^727*'Process'!K729),2),"")</x:f>
      </x:c>
      <x:c r="E729" s="16" t="str">
        <x:f>IF(AND(AND(728&lt;='Control Room'!$B$3,'Control Room'!$D$3="Ready"),3&lt;='Control Room'!$B$2),ROUND(MAX(0,'Process'!O729*'Control Room'!$H$6*INDEX('Control Room'!$B$19:$H$19,1,WEEKDAY($A729,2))*(1+'Control Room'!$D$9)^727*'Process'!P729),2),"")</x:f>
      </x:c>
      <x:c r="F729" s="16" t="str">
        <x:f>IF(AND(AND(728&lt;='Control Room'!$B$3,'Control Room'!$D$3="Ready"),4&lt;='Control Room'!$B$2),ROUND(MAX(0,'Process'!T729*'Control Room'!$H$7*INDEX('Control Room'!$B$19:$H$19,1,WEEKDAY($A729,2))*(1+'Control Room'!$D$9)^727*'Process'!U729),2),"")</x:f>
      </x:c>
      <x:c r="G729" s="16" t="str">
        <x:f>IF(AND(AND(728&lt;='Control Room'!$B$3,'Control Room'!$D$3="Ready"),5&lt;='Control Room'!$B$2),ROUND(MAX(0,'Process'!Y729*'Control Room'!$H$8*INDEX('Control Room'!$B$19:$H$19,1,WEEKDAY($A729,2))*(1+'Control Room'!$D$9)^727*'Process'!Z729),2),"")</x:f>
      </x:c>
      <x:c r="H729" s="16" t="str">
        <x:f>IF(AND(AND(728&lt;='Control Room'!$B$3,'Control Room'!$D$3="Ready"),6&lt;='Control Room'!$B$2),ROUND(MAX(0,'Process'!AD729*'Control Room'!$H$9*INDEX('Control Room'!$B$19:$H$19,1,WEEKDAY($A729,2))*(1+'Control Room'!$D$9)^727*'Process'!AE729),2),"")</x:f>
      </x:c>
      <x:c r="I729" s="16" t="str">
        <x:f>IF(AND(AND(728&lt;='Control Room'!$B$3,'Control Room'!$D$3="Ready"),7&lt;='Control Room'!$B$2),ROUND(MAX(0,'Process'!AI729*'Control Room'!$H$10*INDEX('Control Room'!$B$19:$H$19,1,WEEKDAY($A729,2))*(1+'Control Room'!$D$9)^727*'Process'!AJ729),2),"")</x:f>
      </x:c>
      <x:c r="J729" s="16" t="str">
        <x:f>IF(AND(AND(728&lt;='Control Room'!$B$3,'Control Room'!$D$3="Ready"),8&lt;='Control Room'!$B$2),ROUND(MAX(0,'Process'!AN729*'Control Room'!$H$11*INDEX('Control Room'!$B$19:$H$19,1,WEEKDAY($A729,2))*(1+'Control Room'!$D$9)^727*'Process'!AO729),2),"")</x:f>
      </x:c>
      <x:c r="K729" s="16" t="str">
        <x:f>IF(AND(AND(728&lt;='Control Room'!$B$3,'Control Room'!$D$3="Ready"),9&lt;='Control Room'!$B$2),ROUND(MAX(0,'Process'!AS729*'Control Room'!$H$12*INDEX('Control Room'!$B$19:$H$19,1,WEEKDAY($A729,2))*(1+'Control Room'!$D$9)^727*'Process'!AT729),2),"")</x:f>
      </x:c>
      <x:c r="L729" s="16" t="str">
        <x:f>IF(AND(AND(728&lt;='Control Room'!$B$3,'Control Room'!$D$3="Ready"),10&lt;='Control Room'!$B$2),ROUND(MAX(0,'Process'!AX729*'Control Room'!$H$13*INDEX('Control Room'!$B$19:$H$19,1,WEEKDAY($A729,2))*(1+'Control Room'!$D$9)^727*'Process'!AY729),2),"")</x:f>
      </x:c>
      <x:c r="M729" s="16" t="str">
        <x:f>IF(AND(AND(728&lt;='Control Room'!$B$3,'Control Room'!$D$3="Ready"),11&lt;='Control Room'!$B$2),ROUND(MAX(0,'Process'!BC729*'Control Room'!$H$14*INDEX('Control Room'!$B$19:$H$19,1,WEEKDAY($A729,2))*(1+'Control Room'!$D$9)^727*'Process'!BD729),2),"")</x:f>
      </x:c>
      <x:c r="N729" s="16" t="str">
        <x:f>IF(AND(AND(728&lt;='Control Room'!$B$3,'Control Room'!$D$3="Ready"),12&lt;='Control Room'!$B$2),ROUND(MAX(0,'Process'!BH729*'Control Room'!$H$15*INDEX('Control Room'!$B$19:$H$19,1,WEEKDAY($A729,2))*(1+'Control Room'!$D$9)^727*'Process'!BI729),2),"")</x:f>
      </x:c>
    </x:row>
    <x:row r="730" ht="21" customHeight="1">
      <x:c r="A730" s="15" t="str">
        <x:f>IF(AND(729&lt;='Control Room'!$B$3,'Control Room'!$D$3="Ready"),'Process'!A730,"")</x:f>
      </x:c>
      <x:c r="B730" s="16" t="str">
        <x:f>IF(A730="","",SUM(C730:N730))</x:f>
      </x:c>
      <x:c r="C730" s="16" t="str">
        <x:f>IF(AND(AND(729&lt;='Control Room'!$B$3,'Control Room'!$D$3="Ready"),1&lt;='Control Room'!$B$2),ROUND(MAX(0,'Process'!E730*'Control Room'!$H$4*INDEX('Control Room'!$B$19:$H$19,1,WEEKDAY($A730,2))*(1+'Control Room'!$D$9)^728*'Process'!F730),2),"")</x:f>
      </x:c>
      <x:c r="D730" s="16" t="str">
        <x:f>IF(AND(AND(729&lt;='Control Room'!$B$3,'Control Room'!$D$3="Ready"),2&lt;='Control Room'!$B$2),ROUND(MAX(0,'Process'!J730*'Control Room'!$H$5*INDEX('Control Room'!$B$19:$H$19,1,WEEKDAY($A730,2))*(1+'Control Room'!$D$9)^728*'Process'!K730),2),"")</x:f>
      </x:c>
      <x:c r="E730" s="16" t="str">
        <x:f>IF(AND(AND(729&lt;='Control Room'!$B$3,'Control Room'!$D$3="Ready"),3&lt;='Control Room'!$B$2),ROUND(MAX(0,'Process'!O730*'Control Room'!$H$6*INDEX('Control Room'!$B$19:$H$19,1,WEEKDAY($A730,2))*(1+'Control Room'!$D$9)^728*'Process'!P730),2),"")</x:f>
      </x:c>
      <x:c r="F730" s="16" t="str">
        <x:f>IF(AND(AND(729&lt;='Control Room'!$B$3,'Control Room'!$D$3="Ready"),4&lt;='Control Room'!$B$2),ROUND(MAX(0,'Process'!T730*'Control Room'!$H$7*INDEX('Control Room'!$B$19:$H$19,1,WEEKDAY($A730,2))*(1+'Control Room'!$D$9)^728*'Process'!U730),2),"")</x:f>
      </x:c>
      <x:c r="G730" s="16" t="str">
        <x:f>IF(AND(AND(729&lt;='Control Room'!$B$3,'Control Room'!$D$3="Ready"),5&lt;='Control Room'!$B$2),ROUND(MAX(0,'Process'!Y730*'Control Room'!$H$8*INDEX('Control Room'!$B$19:$H$19,1,WEEKDAY($A730,2))*(1+'Control Room'!$D$9)^728*'Process'!Z730),2),"")</x:f>
      </x:c>
      <x:c r="H730" s="16" t="str">
        <x:f>IF(AND(AND(729&lt;='Control Room'!$B$3,'Control Room'!$D$3="Ready"),6&lt;='Control Room'!$B$2),ROUND(MAX(0,'Process'!AD730*'Control Room'!$H$9*INDEX('Control Room'!$B$19:$H$19,1,WEEKDAY($A730,2))*(1+'Control Room'!$D$9)^728*'Process'!AE730),2),"")</x:f>
      </x:c>
      <x:c r="I730" s="16" t="str">
        <x:f>IF(AND(AND(729&lt;='Control Room'!$B$3,'Control Room'!$D$3="Ready"),7&lt;='Control Room'!$B$2),ROUND(MAX(0,'Process'!AI730*'Control Room'!$H$10*INDEX('Control Room'!$B$19:$H$19,1,WEEKDAY($A730,2))*(1+'Control Room'!$D$9)^728*'Process'!AJ730),2),"")</x:f>
      </x:c>
      <x:c r="J730" s="16" t="str">
        <x:f>IF(AND(AND(729&lt;='Control Room'!$B$3,'Control Room'!$D$3="Ready"),8&lt;='Control Room'!$B$2),ROUND(MAX(0,'Process'!AN730*'Control Room'!$H$11*INDEX('Control Room'!$B$19:$H$19,1,WEEKDAY($A730,2))*(1+'Control Room'!$D$9)^728*'Process'!AO730),2),"")</x:f>
      </x:c>
      <x:c r="K730" s="16" t="str">
        <x:f>IF(AND(AND(729&lt;='Control Room'!$B$3,'Control Room'!$D$3="Ready"),9&lt;='Control Room'!$B$2),ROUND(MAX(0,'Process'!AS730*'Control Room'!$H$12*INDEX('Control Room'!$B$19:$H$19,1,WEEKDAY($A730,2))*(1+'Control Room'!$D$9)^728*'Process'!AT730),2),"")</x:f>
      </x:c>
      <x:c r="L730" s="16" t="str">
        <x:f>IF(AND(AND(729&lt;='Control Room'!$B$3,'Control Room'!$D$3="Ready"),10&lt;='Control Room'!$B$2),ROUND(MAX(0,'Process'!AX730*'Control Room'!$H$13*INDEX('Control Room'!$B$19:$H$19,1,WEEKDAY($A730,2))*(1+'Control Room'!$D$9)^728*'Process'!AY730),2),"")</x:f>
      </x:c>
      <x:c r="M730" s="16" t="str">
        <x:f>IF(AND(AND(729&lt;='Control Room'!$B$3,'Control Room'!$D$3="Ready"),11&lt;='Control Room'!$B$2),ROUND(MAX(0,'Process'!BC730*'Control Room'!$H$14*INDEX('Control Room'!$B$19:$H$19,1,WEEKDAY($A730,2))*(1+'Control Room'!$D$9)^728*'Process'!BD730),2),"")</x:f>
      </x:c>
      <x:c r="N730" s="16" t="str">
        <x:f>IF(AND(AND(729&lt;='Control Room'!$B$3,'Control Room'!$D$3="Ready"),12&lt;='Control Room'!$B$2),ROUND(MAX(0,'Process'!BH730*'Control Room'!$H$15*INDEX('Control Room'!$B$19:$H$19,1,WEEKDAY($A730,2))*(1+'Control Room'!$D$9)^728*'Process'!BI730),2),"")</x:f>
      </x:c>
    </x:row>
    <x:row r="731" ht="21" customHeight="1">
      <x:c r="A731" s="15" t="str">
        <x:f>IF(AND(730&lt;='Control Room'!$B$3,'Control Room'!$D$3="Ready"),'Process'!A731,"")</x:f>
      </x:c>
      <x:c r="B731" s="16" t="str">
        <x:f>IF(A731="","",SUM(C731:N731))</x:f>
      </x:c>
      <x:c r="C731" s="16" t="str">
        <x:f>IF(AND(AND(730&lt;='Control Room'!$B$3,'Control Room'!$D$3="Ready"),1&lt;='Control Room'!$B$2),ROUND(MAX(0,'Process'!E731*'Control Room'!$H$4*INDEX('Control Room'!$B$19:$H$19,1,WEEKDAY($A731,2))*(1+'Control Room'!$D$9)^729*'Process'!F731),2),"")</x:f>
      </x:c>
      <x:c r="D731" s="16" t="str">
        <x:f>IF(AND(AND(730&lt;='Control Room'!$B$3,'Control Room'!$D$3="Ready"),2&lt;='Control Room'!$B$2),ROUND(MAX(0,'Process'!J731*'Control Room'!$H$5*INDEX('Control Room'!$B$19:$H$19,1,WEEKDAY($A731,2))*(1+'Control Room'!$D$9)^729*'Process'!K731),2),"")</x:f>
      </x:c>
      <x:c r="E731" s="16" t="str">
        <x:f>IF(AND(AND(730&lt;='Control Room'!$B$3,'Control Room'!$D$3="Ready"),3&lt;='Control Room'!$B$2),ROUND(MAX(0,'Process'!O731*'Control Room'!$H$6*INDEX('Control Room'!$B$19:$H$19,1,WEEKDAY($A731,2))*(1+'Control Room'!$D$9)^729*'Process'!P731),2),"")</x:f>
      </x:c>
      <x:c r="F731" s="16" t="str">
        <x:f>IF(AND(AND(730&lt;='Control Room'!$B$3,'Control Room'!$D$3="Ready"),4&lt;='Control Room'!$B$2),ROUND(MAX(0,'Process'!T731*'Control Room'!$H$7*INDEX('Control Room'!$B$19:$H$19,1,WEEKDAY($A731,2))*(1+'Control Room'!$D$9)^729*'Process'!U731),2),"")</x:f>
      </x:c>
      <x:c r="G731" s="16" t="str">
        <x:f>IF(AND(AND(730&lt;='Control Room'!$B$3,'Control Room'!$D$3="Ready"),5&lt;='Control Room'!$B$2),ROUND(MAX(0,'Process'!Y731*'Control Room'!$H$8*INDEX('Control Room'!$B$19:$H$19,1,WEEKDAY($A731,2))*(1+'Control Room'!$D$9)^729*'Process'!Z731),2),"")</x:f>
      </x:c>
      <x:c r="H731" s="16" t="str">
        <x:f>IF(AND(AND(730&lt;='Control Room'!$B$3,'Control Room'!$D$3="Ready"),6&lt;='Control Room'!$B$2),ROUND(MAX(0,'Process'!AD731*'Control Room'!$H$9*INDEX('Control Room'!$B$19:$H$19,1,WEEKDAY($A731,2))*(1+'Control Room'!$D$9)^729*'Process'!AE731),2),"")</x:f>
      </x:c>
      <x:c r="I731" s="16" t="str">
        <x:f>IF(AND(AND(730&lt;='Control Room'!$B$3,'Control Room'!$D$3="Ready"),7&lt;='Control Room'!$B$2),ROUND(MAX(0,'Process'!AI731*'Control Room'!$H$10*INDEX('Control Room'!$B$19:$H$19,1,WEEKDAY($A731,2))*(1+'Control Room'!$D$9)^729*'Process'!AJ731),2),"")</x:f>
      </x:c>
      <x:c r="J731" s="16" t="str">
        <x:f>IF(AND(AND(730&lt;='Control Room'!$B$3,'Control Room'!$D$3="Ready"),8&lt;='Control Room'!$B$2),ROUND(MAX(0,'Process'!AN731*'Control Room'!$H$11*INDEX('Control Room'!$B$19:$H$19,1,WEEKDAY($A731,2))*(1+'Control Room'!$D$9)^729*'Process'!AO731),2),"")</x:f>
      </x:c>
      <x:c r="K731" s="16" t="str">
        <x:f>IF(AND(AND(730&lt;='Control Room'!$B$3,'Control Room'!$D$3="Ready"),9&lt;='Control Room'!$B$2),ROUND(MAX(0,'Process'!AS731*'Control Room'!$H$12*INDEX('Control Room'!$B$19:$H$19,1,WEEKDAY($A731,2))*(1+'Control Room'!$D$9)^729*'Process'!AT731),2),"")</x:f>
      </x:c>
      <x:c r="L731" s="16" t="str">
        <x:f>IF(AND(AND(730&lt;='Control Room'!$B$3,'Control Room'!$D$3="Ready"),10&lt;='Control Room'!$B$2),ROUND(MAX(0,'Process'!AX731*'Control Room'!$H$13*INDEX('Control Room'!$B$19:$H$19,1,WEEKDAY($A731,2))*(1+'Control Room'!$D$9)^729*'Process'!AY731),2),"")</x:f>
      </x:c>
      <x:c r="M731" s="16" t="str">
        <x:f>IF(AND(AND(730&lt;='Control Room'!$B$3,'Control Room'!$D$3="Ready"),11&lt;='Control Room'!$B$2),ROUND(MAX(0,'Process'!BC731*'Control Room'!$H$14*INDEX('Control Room'!$B$19:$H$19,1,WEEKDAY($A731,2))*(1+'Control Room'!$D$9)^729*'Process'!BD731),2),"")</x:f>
      </x:c>
      <x:c r="N731" s="16" t="str">
        <x:f>IF(AND(AND(730&lt;='Control Room'!$B$3,'Control Room'!$D$3="Ready"),12&lt;='Control Room'!$B$2),ROUND(MAX(0,'Process'!BH731*'Control Room'!$H$15*INDEX('Control Room'!$B$19:$H$19,1,WEEKDAY($A731,2))*(1+'Control Room'!$D$9)^729*'Process'!BI731),2),"")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</x:cols>
  <x:sheetData>
    <x:row r="1" ht="21" customHeight="1">
      <x:c r="A1" s="4" t="str">
        <x:v>Date</x:v>
      </x:c>
      <x:c r="B1" s="4" t="str">
        <x:v>1: state A</x:v>
      </x:c>
      <x:c r="C1" s="4" t="str">
        <x:v>1: state B</x:v>
      </x:c>
      <x:c r="D1" s="4" t="str">
        <x:v>1: shock</x:v>
      </x:c>
      <x:c r="E1" s="4" t="str">
        <x:v>1: smooth</x:v>
      </x:c>
      <x:c r="F1" s="4" t="str">
        <x:v>1: events</x:v>
      </x:c>
      <x:c r="G1" s="4" t="str">
        <x:v>2: state A</x:v>
      </x:c>
      <x:c r="H1" s="4" t="str">
        <x:v>2: state B</x:v>
      </x:c>
      <x:c r="I1" s="4" t="str">
        <x:v>2: shock</x:v>
      </x:c>
      <x:c r="J1" s="4" t="str">
        <x:v>2: smooth</x:v>
      </x:c>
      <x:c r="K1" s="4" t="str">
        <x:v>2: events</x:v>
      </x:c>
      <x:c r="L1" s="4" t="str">
        <x:v>3: state A</x:v>
      </x:c>
      <x:c r="M1" s="4" t="str">
        <x:v>3: state B</x:v>
      </x:c>
      <x:c r="N1" s="4" t="str">
        <x:v>3: shock</x:v>
      </x:c>
      <x:c r="O1" s="4" t="str">
        <x:v>3: smooth</x:v>
      </x:c>
      <x:c r="P1" s="4" t="str">
        <x:v>3: events</x:v>
      </x:c>
      <x:c r="Q1" s="4" t="str">
        <x:v>4: state A</x:v>
      </x:c>
      <x:c r="R1" s="4" t="str">
        <x:v>4: state B</x:v>
      </x:c>
      <x:c r="S1" s="4" t="str">
        <x:v>4: shock</x:v>
      </x:c>
      <x:c r="T1" s="4" t="str">
        <x:v>4: smooth</x:v>
      </x:c>
      <x:c r="U1" s="4" t="str">
        <x:v>4: events</x:v>
      </x:c>
      <x:c r="V1" s="4" t="str">
        <x:v>5: state A</x:v>
      </x:c>
      <x:c r="W1" s="4" t="str">
        <x:v>5: state B</x:v>
      </x:c>
      <x:c r="X1" s="4" t="str">
        <x:v>5: shock</x:v>
      </x:c>
      <x:c r="Y1" s="4" t="str">
        <x:v>5: smooth</x:v>
      </x:c>
      <x:c r="Z1" s="4" t="str">
        <x:v>5: events</x:v>
      </x:c>
      <x:c r="AA1" s="4" t="str">
        <x:v>6: state A</x:v>
      </x:c>
      <x:c r="AB1" s="4" t="str">
        <x:v>6: state B</x:v>
      </x:c>
      <x:c r="AC1" s="4" t="str">
        <x:v>6: shock</x:v>
      </x:c>
      <x:c r="AD1" s="4" t="str">
        <x:v>6: smooth</x:v>
      </x:c>
      <x:c r="AE1" s="4" t="str">
        <x:v>6: events</x:v>
      </x:c>
      <x:c r="AF1" s="4" t="str">
        <x:v>7: state A</x:v>
      </x:c>
      <x:c r="AG1" s="4" t="str">
        <x:v>7: state B</x:v>
      </x:c>
      <x:c r="AH1" s="4" t="str">
        <x:v>7: shock</x:v>
      </x:c>
      <x:c r="AI1" s="4" t="str">
        <x:v>7: smooth</x:v>
      </x:c>
      <x:c r="AJ1" s="4" t="str">
        <x:v>7: events</x:v>
      </x:c>
      <x:c r="AK1" s="4" t="str">
        <x:v>8: state A</x:v>
      </x:c>
      <x:c r="AL1" s="4" t="str">
        <x:v>8: state B</x:v>
      </x:c>
      <x:c r="AM1" s="4" t="str">
        <x:v>8: shock</x:v>
      </x:c>
      <x:c r="AN1" s="4" t="str">
        <x:v>8: smooth</x:v>
      </x:c>
      <x:c r="AO1" s="4" t="str">
        <x:v>8: events</x:v>
      </x:c>
      <x:c r="AP1" s="4" t="str">
        <x:v>9: state A</x:v>
      </x:c>
      <x:c r="AQ1" s="4" t="str">
        <x:v>9: state B</x:v>
      </x:c>
      <x:c r="AR1" s="4" t="str">
        <x:v>9: shock</x:v>
      </x:c>
      <x:c r="AS1" s="4" t="str">
        <x:v>9: smooth</x:v>
      </x:c>
      <x:c r="AT1" s="4" t="str">
        <x:v>9: events</x:v>
      </x:c>
      <x:c r="AU1" s="4" t="str">
        <x:v>10: state A</x:v>
      </x:c>
      <x:c r="AV1" s="4" t="str">
        <x:v>10: state B</x:v>
      </x:c>
      <x:c r="AW1" s="4" t="str">
        <x:v>10: shock</x:v>
      </x:c>
      <x:c r="AX1" s="4" t="str">
        <x:v>10: smooth</x:v>
      </x:c>
      <x:c r="AY1" s="4" t="str">
        <x:v>10: events</x:v>
      </x:c>
      <x:c r="AZ1" s="4" t="str">
        <x:v>11: state A</x:v>
      </x:c>
      <x:c r="BA1" s="4" t="str">
        <x:v>11: state B</x:v>
      </x:c>
      <x:c r="BB1" s="4" t="str">
        <x:v>11: shock</x:v>
      </x:c>
      <x:c r="BC1" s="4" t="str">
        <x:v>11: smooth</x:v>
      </x:c>
      <x:c r="BD1" s="4" t="str">
        <x:v>11: events</x:v>
      </x:c>
      <x:c r="BE1" s="4" t="str">
        <x:v>12: state A</x:v>
      </x:c>
      <x:c r="BF1" s="4" t="str">
        <x:v>12: state B</x:v>
      </x:c>
      <x:c r="BG1" s="4" t="str">
        <x:v>12: shock</x:v>
      </x:c>
      <x:c r="BH1" s="4" t="str">
        <x:v>12: smooth</x:v>
      </x:c>
      <x:c r="BI1" s="4" t="str">
        <x:v>12: events</x:v>
      </x:c>
      <x:c r="BJ1" s="2" t="str">
        <x:v>Event</x:v>
      </x:c>
      <x:c r="BK1" s="2" t="str">
        <x:f>'Control Room'!G4</x:f>
        <x:v>LV-426</x:v>
      </x:c>
      <x:c r="BL1" s="2" t="str">
        <x:f>'Control Room'!G5</x:f>
        <x:v>Origae-6</x:v>
      </x:c>
      <x:c r="BM1" s="2" t="str">
        <x:f>'Control Room'!G6</x:f>
        <x:v>Fiorina 161</x:v>
      </x:c>
      <x:c r="BN1" s="2" t="str">
        <x:f>'Control Room'!G7</x:f>
        <x:v>Acheron Ridge</x:v>
      </x:c>
      <x:c r="BO1" s="2" t="str">
        <x:f>'Control Room'!G8</x:f>
        <x:v>Hadley North</x:v>
      </x:c>
      <x:c r="BP1" s="2" t="str">
        <x:f>'Control Room'!G9</x:f>
        <x:v>Thedus</x:v>
      </x:c>
      <x:c r="BQ1" s="2" t="str">
        <x:f>'Control Room'!G10</x:f>
        <x:v>Nostromo Basin</x:v>
      </x:c>
      <x:c r="BR1" s="2" t="str">
        <x:f>'Control Room'!G11</x:f>
        <x:v>Sevastopol</x:v>
      </x:c>
      <x:c r="BS1" s="2" t="str">
        <x:f>'Control Room'!G12</x:f>
        <x:v>Covenant Deep</x:v>
      </x:c>
      <x:c r="BT1" s="2" t="str">
        <x:f>'Control Room'!G13</x:f>
        <x:v>Calpamos</x:v>
      </x:c>
      <x:c r="BU1" s="2" t="str">
        <x:f>'Control Room'!G14</x:f>
        <x:v>Vega Outpost</x:v>
      </x:c>
      <x:c r="BV1" s="2" t="str">
        <x:f>'Control Room'!G15</x:f>
        <x:v>Sulaco</x:v>
      </x:c>
      <x:c r="BW1" s="2"/>
      <x:c r="BX1" s="2"/>
      <x:c r="BZ1" t="str">
        <x:v>Chart date</x:v>
      </x:c>
    </x:row>
    <x:row r="2" ht="21" customHeight="1">
      <x:c r="A2" s="15" t="n">
        <x:f>'Control Room'!$B$1+0</x:f>
        <x:v>72991</x:v>
      </x:c>
      <x:c r="B2" s="9" t="n">
        <x:f>MOD(MAX(1,MOD('Control Room'!$D$2+104729,2147483647))*16807,2147483647)</x:f>
        <x:v>1760886197</x:v>
      </x:c>
      <x:c r="C2" s="9" t="n">
        <x:f>MOD(B2*16807,2147483647)</x:f>
        <x:v>742173672</x:v>
      </x:c>
      <x:c r="D2" s="17" t="n">
        <x:f>IF('Control Room'!$B$5="Normal",'Control Room'!$B$7+'Control Room'!$D$7*SQRT(-2*LN(MAX(0.000000000001,B2/2147483647)))*COS(2*PI()*C2/2147483647),'Control Room'!$B$8+('Control Room'!$D$8-'Control Room'!$B$8)*B2/2147483647)</x:f>
        <x:v>967.9504663450048</x:v>
      </x:c>
      <x:c r="E2" s="17" t="n">
        <x:f>D2</x:f>
        <x:v>967.9504663450048</x:v>
      </x:c>
      <x:c r="F2" s="17" t="n">
        <x:f>IF(AND($A2&gt;='Control Room'!$A$13,$A2&lt;'Control Room'!$A$13+'Control Room'!$B$13,'Process'!BK2=1),1+('Control Room'!$C$13-1)*EXP(-0.5*(($A2-'Control Room'!$A$13-('Control Room'!$B$13-1)/2)/MAX(0.5,'Control Room'!$B$13/4))^2),1)*IF(AND($A2&gt;='Control Room'!$A$14,$A2&lt;'Control Room'!$A$14+'Control Room'!$B$14,'Process'!BK3=1),1+('Control Room'!$C$14-1)*EXP(-0.5*(($A2-'Control Room'!$A$14-('Control Room'!$B$14-1)/2)/MAX(0.5,'Control Room'!$B$14/4))^2),1)*IF(AND($A2&gt;='Control Room'!$A$15,$A2&lt;'Control Room'!$A$15+'Control Room'!$B$15,'Process'!BK4=1),1+('Control Room'!$C$15-1)*EXP(-0.5*(($A2-'Control Room'!$A$15-('Control Room'!$B$15-1)/2)/MAX(0.5,'Control Room'!$B$15/4))^2),1)*IF(AND($A2&gt;='Control Room'!$A$16,$A2&lt;'Control Room'!$A$16+'Control Room'!$B$16,'Process'!BK5=1),1+('Control Room'!$C$16-1)*EXP(-0.5*(($A2-'Control Room'!$A$16-('Control Room'!$B$16-1)/2)/MAX(0.5,'Control Room'!$B$16/4))^2),1)</x:f>
        <x:v>1</x:v>
      </x:c>
      <x:c r="G2" s="9" t="n">
        <x:f>MOD(MAX(1,MOD('Control Room'!$D$2+209458,2147483647))*16807,2147483647)</x:f>
        <x:v>1373582853</x:v>
      </x:c>
      <x:c r="H2" s="9" t="n">
        <x:f>MOD(G2*16807,2147483647)</x:f>
        <x:v>357805121</x:v>
      </x:c>
      <x:c r="I2" s="17" t="n">
        <x:f>IF('Control Room'!$B$5="Normal",'Control Room'!$B$7+'Control Room'!$D$7*SQRT(-2*LN(MAX(0.000000000001,G2/2147483647)))*COS(2*PI()*H2/2147483647),'Control Room'!$B$8+('Control Room'!$D$8-'Control Room'!$B$8)*G2/2147483647)</x:f>
        <x:v>1042.5656794269844</x:v>
      </x:c>
      <x:c r="J2" s="17" t="n">
        <x:f>I2</x:f>
        <x:v>1042.5656794269844</x:v>
      </x:c>
      <x:c r="K2" s="17" t="n">
        <x:f>IF(AND($A2&gt;='Control Room'!$A$13,$A2&lt;'Control Room'!$A$13+'Control Room'!$B$13,'Process'!BL2=1),1+('Control Room'!$C$13-1)*EXP(-0.5*(($A2-'Control Room'!$A$13-('Control Room'!$B$13-1)/2)/MAX(0.5,'Control Room'!$B$13/4))^2),1)*IF(AND($A2&gt;='Control Room'!$A$14,$A2&lt;'Control Room'!$A$14+'Control Room'!$B$14,'Process'!BL3=1),1+('Control Room'!$C$14-1)*EXP(-0.5*(($A2-'Control Room'!$A$14-('Control Room'!$B$14-1)/2)/MAX(0.5,'Control Room'!$B$14/4))^2),1)*IF(AND($A2&gt;='Control Room'!$A$15,$A2&lt;'Control Room'!$A$15+'Control Room'!$B$15,'Process'!BL4=1),1+('Control Room'!$C$15-1)*EXP(-0.5*(($A2-'Control Room'!$A$15-('Control Room'!$B$15-1)/2)/MAX(0.5,'Control Room'!$B$15/4))^2),1)*IF(AND($A2&gt;='Control Room'!$A$16,$A2&lt;'Control Room'!$A$16+'Control Room'!$B$16,'Process'!BL5=1),1+('Control Room'!$C$16-1)*EXP(-0.5*(($A2-'Control Room'!$A$16-('Control Room'!$B$16-1)/2)/MAX(0.5,'Control Room'!$B$16/4))^2),1)</x:f>
        <x:v>1</x:v>
      </x:c>
      <x:c r="L2" s="9" t="n">
        <x:f>MOD(MAX(1,MOD('Control Room'!$D$2+314187,2147483647))*16807,2147483647)</x:f>
        <x:v>986279509</x:v>
      </x:c>
      <x:c r="M2" s="9" t="n">
        <x:f>MOD(L2*16807,2147483647)</x:f>
        <x:v>2120920217</x:v>
      </x:c>
      <x:c r="N2" s="17" t="n">
        <x:f>IF('Control Room'!$B$5="Normal",'Control Room'!$B$7+'Control Room'!$D$7*SQRT(-2*LN(MAX(0.000000000001,L2/2147483647)))*COS(2*PI()*M2/2147483647),'Control Room'!$B$8+('Control Room'!$D$8-'Control Room'!$B$8)*L2/2147483647)</x:f>
        <x:v>1111.9349335926881</x:v>
      </x:c>
      <x:c r="O2" s="17" t="n">
        <x:f>N2</x:f>
        <x:v>1111.9349335926881</x:v>
      </x:c>
      <x:c r="P2" s="17" t="n">
        <x:f>IF(AND($A2&gt;='Control Room'!$A$13,$A2&lt;'Control Room'!$A$13+'Control Room'!$B$13,'Process'!BM2=1),1+('Control Room'!$C$13-1)*EXP(-0.5*(($A2-'Control Room'!$A$13-('Control Room'!$B$13-1)/2)/MAX(0.5,'Control Room'!$B$13/4))^2),1)*IF(AND($A2&gt;='Control Room'!$A$14,$A2&lt;'Control Room'!$A$14+'Control Room'!$B$14,'Process'!BM3=1),1+('Control Room'!$C$14-1)*EXP(-0.5*(($A2-'Control Room'!$A$14-('Control Room'!$B$14-1)/2)/MAX(0.5,'Control Room'!$B$14/4))^2),1)*IF(AND($A2&gt;='Control Room'!$A$15,$A2&lt;'Control Room'!$A$15+'Control Room'!$B$15,'Process'!BM4=1),1+('Control Room'!$C$15-1)*EXP(-0.5*(($A2-'Control Room'!$A$15-('Control Room'!$B$15-1)/2)/MAX(0.5,'Control Room'!$B$15/4))^2),1)*IF(AND($A2&gt;='Control Room'!$A$16,$A2&lt;'Control Room'!$A$16+'Control Room'!$B$16,'Process'!BM5=1),1+('Control Room'!$C$16-1)*EXP(-0.5*(($A2-'Control Room'!$A$16-('Control Room'!$B$16-1)/2)/MAX(0.5,'Control Room'!$B$16/4))^2),1)</x:f>
        <x:v>1</x:v>
      </x:c>
      <x:c r="Q2" s="9" t="n">
        <x:f>MOD(MAX(1,MOD('Control Room'!$D$2+418916,2147483647))*16807,2147483647)</x:f>
        <x:v>598976165</x:v>
      </x:c>
      <x:c r="R2" s="9" t="n">
        <x:f>MOD(Q2*16807,2147483647)</x:f>
        <x:v>1736551666</x:v>
      </x:c>
      <x:c r="S2" s="17" t="n">
        <x:f>IF('Control Room'!$B$5="Normal",'Control Room'!$B$7+'Control Room'!$D$7*SQRT(-2*LN(MAX(0.000000000001,Q2/2147483647)))*COS(2*PI()*R2/2147483647),'Control Room'!$B$8+('Control Room'!$D$8-'Control Room'!$B$8)*Q2/2147483647)</x:f>
        <x:v>1051.8037856748354</x:v>
      </x:c>
      <x:c r="T2" s="17" t="n">
        <x:f>S2</x:f>
        <x:v>1051.8037856748354</x:v>
      </x:c>
      <x:c r="U2" s="17" t="n">
        <x:f>IF(AND($A2&gt;='Control Room'!$A$13,$A2&lt;'Control Room'!$A$13+'Control Room'!$B$13,'Process'!BN2=1),1+('Control Room'!$C$13-1)*EXP(-0.5*(($A2-'Control Room'!$A$13-('Control Room'!$B$13-1)/2)/MAX(0.5,'Control Room'!$B$13/4))^2),1)*IF(AND($A2&gt;='Control Room'!$A$14,$A2&lt;'Control Room'!$A$14+'Control Room'!$B$14,'Process'!BN3=1),1+('Control Room'!$C$14-1)*EXP(-0.5*(($A2-'Control Room'!$A$14-('Control Room'!$B$14-1)/2)/MAX(0.5,'Control Room'!$B$14/4))^2),1)*IF(AND($A2&gt;='Control Room'!$A$15,$A2&lt;'Control Room'!$A$15+'Control Room'!$B$15,'Process'!BN4=1),1+('Control Room'!$C$15-1)*EXP(-0.5*(($A2-'Control Room'!$A$15-('Control Room'!$B$15-1)/2)/MAX(0.5,'Control Room'!$B$15/4))^2),1)*IF(AND($A2&gt;='Control Room'!$A$16,$A2&lt;'Control Room'!$A$16+'Control Room'!$B$16,'Process'!BN5=1),1+('Control Room'!$C$16-1)*EXP(-0.5*(($A2-'Control Room'!$A$16-('Control Room'!$B$16-1)/2)/MAX(0.5,'Control Room'!$B$16/4))^2),1)</x:f>
        <x:v>1</x:v>
      </x:c>
      <x:c r="V2" s="9" t="n">
        <x:f>MOD(MAX(1,MOD('Control Room'!$D$2+523645,2147483647))*16807,2147483647)</x:f>
        <x:v>211672821</x:v>
      </x:c>
      <x:c r="W2" s="9" t="n">
        <x:f>MOD(V2*16807,2147483647)</x:f>
        <x:v>1352183115</x:v>
      </x:c>
      <x:c r="X2" s="17" t="n">
        <x:f>IF('Control Room'!$B$5="Normal",'Control Room'!$B$7+'Control Room'!$D$7*SQRT(-2*LN(MAX(0.000000000001,V2/2147483647)))*COS(2*PI()*W2/2147483647),'Control Room'!$B$8+('Control Room'!$D$8-'Control Room'!$B$8)*V2/2147483647)</x:f>
        <x:v>867.073175193149</x:v>
      </x:c>
      <x:c r="Y2" s="17" t="n">
        <x:f>X2</x:f>
        <x:v>867.073175193149</x:v>
      </x:c>
      <x:c r="Z2" s="17" t="n">
        <x:f>IF(AND($A2&gt;='Control Room'!$A$13,$A2&lt;'Control Room'!$A$13+'Control Room'!$B$13,'Process'!BO2=1),1+('Control Room'!$C$13-1)*EXP(-0.5*(($A2-'Control Room'!$A$13-('Control Room'!$B$13-1)/2)/MAX(0.5,'Control Room'!$B$13/4))^2),1)*IF(AND($A2&gt;='Control Room'!$A$14,$A2&lt;'Control Room'!$A$14+'Control Room'!$B$14,'Process'!BO3=1),1+('Control Room'!$C$14-1)*EXP(-0.5*(($A2-'Control Room'!$A$14-('Control Room'!$B$14-1)/2)/MAX(0.5,'Control Room'!$B$14/4))^2),1)*IF(AND($A2&gt;='Control Room'!$A$15,$A2&lt;'Control Room'!$A$15+'Control Room'!$B$15,'Process'!BO4=1),1+('Control Room'!$C$15-1)*EXP(-0.5*(($A2-'Control Room'!$A$15-('Control Room'!$B$15-1)/2)/MAX(0.5,'Control Room'!$B$15/4))^2),1)*IF(AND($A2&gt;='Control Room'!$A$16,$A2&lt;'Control Room'!$A$16+'Control Room'!$B$16,'Process'!BO5=1),1+('Control Room'!$C$16-1)*EXP(-0.5*(($A2-'Control Room'!$A$16-('Control Room'!$B$16-1)/2)/MAX(0.5,'Control Room'!$B$16/4))^2),1)</x:f>
        <x:v>1</x:v>
      </x:c>
      <x:c r="AA2" s="9" t="n">
        <x:f>MOD(MAX(1,MOD('Control Room'!$D$2+628374,2147483647))*16807,2147483647)</x:f>
        <x:v>1971853124</x:v>
      </x:c>
      <x:c r="AB2" s="9" t="n">
        <x:f>MOD(AA2*16807,2147483647)</x:f>
        <x:v>967814564</x:v>
      </x:c>
      <x:c r="AC2" s="17" t="n">
        <x:f>IF('Control Room'!$B$5="Normal",'Control Room'!$B$7+'Control Room'!$D$7*SQRT(-2*LN(MAX(0.000000000001,AA2/2147483647)))*COS(2*PI()*AB2/2147483647),'Control Room'!$B$8+('Control Room'!$D$8-'Control Room'!$B$8)*AA2/2147483647)</x:f>
        <x:v>964.5929334544735</x:v>
      </x:c>
      <x:c r="AD2" s="17" t="n">
        <x:f>AC2</x:f>
        <x:v>964.5929334544735</x:v>
      </x:c>
      <x:c r="AE2" s="17" t="n">
        <x:f>IF(AND($A2&gt;='Control Room'!$A$13,$A2&lt;'Control Room'!$A$13+'Control Room'!$B$13,'Process'!BP2=1),1+('Control Room'!$C$13-1)*EXP(-0.5*(($A2-'Control Room'!$A$13-('Control Room'!$B$13-1)/2)/MAX(0.5,'Control Room'!$B$13/4))^2),1)*IF(AND($A2&gt;='Control Room'!$A$14,$A2&lt;'Control Room'!$A$14+'Control Room'!$B$14,'Process'!BP3=1),1+('Control Room'!$C$14-1)*EXP(-0.5*(($A2-'Control Room'!$A$14-('Control Room'!$B$14-1)/2)/MAX(0.5,'Control Room'!$B$14/4))^2),1)*IF(AND($A2&gt;='Control Room'!$A$15,$A2&lt;'Control Room'!$A$15+'Control Room'!$B$15,'Process'!BP4=1),1+('Control Room'!$C$15-1)*EXP(-0.5*(($A2-'Control Room'!$A$15-('Control Room'!$B$15-1)/2)/MAX(0.5,'Control Room'!$B$15/4))^2),1)*IF(AND($A2&gt;='Control Room'!$A$16,$A2&lt;'Control Room'!$A$16+'Control Room'!$B$16,'Process'!BP5=1),1+('Control Room'!$C$16-1)*EXP(-0.5*(($A2-'Control Room'!$A$16-('Control Room'!$B$16-1)/2)/MAX(0.5,'Control Room'!$B$16/4))^2),1)</x:f>
        <x:v>1</x:v>
      </x:c>
      <x:c r="AF2" s="9" t="n">
        <x:f>MOD(MAX(1,MOD('Control Room'!$D$2+733103,2147483647))*16807,2147483647)</x:f>
        <x:v>1584549780</x:v>
      </x:c>
      <x:c r="AG2" s="9" t="n">
        <x:f>MOD(AF2*16807,2147483647)</x:f>
        <x:v>583446013</x:v>
      </x:c>
      <x:c r="AH2" s="17" t="n">
        <x:f>IF('Control Room'!$B$5="Normal",'Control Room'!$B$7+'Control Room'!$D$7*SQRT(-2*LN(MAX(0.000000000001,AF2/2147483647)))*COS(2*PI()*AG2/2147483647),'Control Room'!$B$8+('Control Room'!$D$8-'Control Room'!$B$8)*AF2/2147483647)</x:f>
        <x:v>990.4665386961182</x:v>
      </x:c>
      <x:c r="AI2" s="17" t="n">
        <x:f>AH2</x:f>
        <x:v>990.4665386961182</x:v>
      </x:c>
      <x:c r="AJ2" s="17" t="n">
        <x:f>IF(AND($A2&gt;='Control Room'!$A$13,$A2&lt;'Control Room'!$A$13+'Control Room'!$B$13,'Process'!BQ2=1),1+('Control Room'!$C$13-1)*EXP(-0.5*(($A2-'Control Room'!$A$13-('Control Room'!$B$13-1)/2)/MAX(0.5,'Control Room'!$B$13/4))^2),1)*IF(AND($A2&gt;='Control Room'!$A$14,$A2&lt;'Control Room'!$A$14+'Control Room'!$B$14,'Process'!BQ3=1),1+('Control Room'!$C$14-1)*EXP(-0.5*(($A2-'Control Room'!$A$14-('Control Room'!$B$14-1)/2)/MAX(0.5,'Control Room'!$B$14/4))^2),1)*IF(AND($A2&gt;='Control Room'!$A$15,$A2&lt;'Control Room'!$A$15+'Control Room'!$B$15,'Process'!BQ4=1),1+('Control Room'!$C$15-1)*EXP(-0.5*(($A2-'Control Room'!$A$15-('Control Room'!$B$15-1)/2)/MAX(0.5,'Control Room'!$B$15/4))^2),1)*IF(AND($A2&gt;='Control Room'!$A$16,$A2&lt;'Control Room'!$A$16+'Control Room'!$B$16,'Process'!BQ5=1),1+('Control Room'!$C$16-1)*EXP(-0.5*(($A2-'Control Room'!$A$16-('Control Room'!$B$16-1)/2)/MAX(0.5,'Control Room'!$B$16/4))^2),1)</x:f>
        <x:v>1</x:v>
      </x:c>
      <x:c r="AK2" s="9" t="n">
        <x:f>MOD(MAX(1,MOD('Control Room'!$D$2+837832,2147483647))*16807,2147483647)</x:f>
        <x:v>1197246436</x:v>
      </x:c>
      <x:c r="AL2" s="9" t="n">
        <x:f>MOD(AK2*16807,2147483647)</x:f>
        <x:v>199077462</x:v>
      </x:c>
      <x:c r="AM2" s="17" t="n">
        <x:f>IF('Control Room'!$B$5="Normal",'Control Room'!$B$7+'Control Room'!$D$7*SQRT(-2*LN(MAX(0.000000000001,AK2/2147483647)))*COS(2*PI()*AL2/2147483647),'Control Room'!$B$8+('Control Room'!$D$8-'Control Room'!$B$8)*AK2/2147483647)</x:f>
        <x:v>1081.247056697891</x:v>
      </x:c>
      <x:c r="AN2" s="17" t="n">
        <x:f>AM2</x:f>
        <x:v>1081.247056697891</x:v>
      </x:c>
      <x:c r="AO2" s="17" t="n">
        <x:f>IF(AND($A2&gt;='Control Room'!$A$13,$A2&lt;'Control Room'!$A$13+'Control Room'!$B$13,'Process'!BR2=1),1+('Control Room'!$C$13-1)*EXP(-0.5*(($A2-'Control Room'!$A$13-('Control Room'!$B$13-1)/2)/MAX(0.5,'Control Room'!$B$13/4))^2),1)*IF(AND($A2&gt;='Control Room'!$A$14,$A2&lt;'Control Room'!$A$14+'Control Room'!$B$14,'Process'!BR3=1),1+('Control Room'!$C$14-1)*EXP(-0.5*(($A2-'Control Room'!$A$14-('Control Room'!$B$14-1)/2)/MAX(0.5,'Control Room'!$B$14/4))^2),1)*IF(AND($A2&gt;='Control Room'!$A$15,$A2&lt;'Control Room'!$A$15+'Control Room'!$B$15,'Process'!BR4=1),1+('Control Room'!$C$15-1)*EXP(-0.5*(($A2-'Control Room'!$A$15-('Control Room'!$B$15-1)/2)/MAX(0.5,'Control Room'!$B$15/4))^2),1)*IF(AND($A2&gt;='Control Room'!$A$16,$A2&lt;'Control Room'!$A$16+'Control Room'!$B$16,'Process'!BR5=1),1+('Control Room'!$C$16-1)*EXP(-0.5*(($A2-'Control Room'!$A$16-('Control Room'!$B$16-1)/2)/MAX(0.5,'Control Room'!$B$16/4))^2),1)</x:f>
        <x:v>1</x:v>
      </x:c>
      <x:c r="AP2" s="9" t="n">
        <x:f>MOD(MAX(1,MOD('Control Room'!$D$2+942561,2147483647))*16807,2147483647)</x:f>
        <x:v>809943092</x:v>
      </x:c>
      <x:c r="AQ2" s="9" t="n">
        <x:f>MOD(AP2*16807,2147483647)</x:f>
        <x:v>1962192558</x:v>
      </x:c>
      <x:c r="AR2" s="17" t="n">
        <x:f>IF('Control Room'!$B$5="Normal",'Control Room'!$B$7+'Control Room'!$D$7*SQRT(-2*LN(MAX(0.000000000001,AP2/2147483647)))*COS(2*PI()*AQ2/2147483647),'Control Room'!$B$8+('Control Room'!$D$8-'Control Room'!$B$8)*AP2/2147483647)</x:f>
        <x:v>1107.6621457675265</x:v>
      </x:c>
      <x:c r="AS2" s="17" t="n">
        <x:f>AR2</x:f>
        <x:v>1107.6621457675265</x:v>
      </x:c>
      <x:c r="AT2" s="17" t="n">
        <x:f>IF(AND($A2&gt;='Control Room'!$A$13,$A2&lt;'Control Room'!$A$13+'Control Room'!$B$13,'Process'!BS2=1),1+('Control Room'!$C$13-1)*EXP(-0.5*(($A2-'Control Room'!$A$13-('Control Room'!$B$13-1)/2)/MAX(0.5,'Control Room'!$B$13/4))^2),1)*IF(AND($A2&gt;='Control Room'!$A$14,$A2&lt;'Control Room'!$A$14+'Control Room'!$B$14,'Process'!BS3=1),1+('Control Room'!$C$14-1)*EXP(-0.5*(($A2-'Control Room'!$A$14-('Control Room'!$B$14-1)/2)/MAX(0.5,'Control Room'!$B$14/4))^2),1)*IF(AND($A2&gt;='Control Room'!$A$15,$A2&lt;'Control Room'!$A$15+'Control Room'!$B$15,'Process'!BS4=1),1+('Control Room'!$C$15-1)*EXP(-0.5*(($A2-'Control Room'!$A$15-('Control Room'!$B$15-1)/2)/MAX(0.5,'Control Room'!$B$15/4))^2),1)*IF(AND($A2&gt;='Control Room'!$A$16,$A2&lt;'Control Room'!$A$16+'Control Room'!$B$16,'Process'!BS5=1),1+('Control Room'!$C$16-1)*EXP(-0.5*(($A2-'Control Room'!$A$16-('Control Room'!$B$16-1)/2)/MAX(0.5,'Control Room'!$B$16/4))^2),1)</x:f>
        <x:v>1</x:v>
      </x:c>
      <x:c r="AU2" s="9" t="n">
        <x:f>MOD(MAX(1,MOD('Control Room'!$D$2+1047290,2147483647))*16807,2147483647)</x:f>
        <x:v>422639748</x:v>
      </x:c>
      <x:c r="AV2" s="9" t="n">
        <x:f>MOD(AU2*16807,2147483647)</x:f>
        <x:v>1577824007</x:v>
      </x:c>
      <x:c r="AW2" s="17" t="n">
        <x:f>IF('Control Room'!$B$5="Normal",'Control Room'!$B$7+'Control Room'!$D$7*SQRT(-2*LN(MAX(0.000000000001,AU2/2147483647)))*COS(2*PI()*AV2/2147483647),'Control Room'!$B$8+('Control Room'!$D$8-'Control Room'!$B$8)*AU2/2147483647)</x:f>
        <x:v>984.4559759878558</x:v>
      </x:c>
      <x:c r="AX2" s="17" t="n">
        <x:f>AW2</x:f>
        <x:v>984.4559759878558</x:v>
      </x:c>
      <x:c r="AY2" s="17" t="n">
        <x:f>IF(AND($A2&gt;='Control Room'!$A$13,$A2&lt;'Control Room'!$A$13+'Control Room'!$B$13,'Process'!BT2=1),1+('Control Room'!$C$13-1)*EXP(-0.5*(($A2-'Control Room'!$A$13-('Control Room'!$B$13-1)/2)/MAX(0.5,'Control Room'!$B$13/4))^2),1)*IF(AND($A2&gt;='Control Room'!$A$14,$A2&lt;'Control Room'!$A$14+'Control Room'!$B$14,'Process'!BT3=1),1+('Control Room'!$C$14-1)*EXP(-0.5*(($A2-'Control Room'!$A$14-('Control Room'!$B$14-1)/2)/MAX(0.5,'Control Room'!$B$14/4))^2),1)*IF(AND($A2&gt;='Control Room'!$A$15,$A2&lt;'Control Room'!$A$15+'Control Room'!$B$15,'Process'!BT4=1),1+('Control Room'!$C$15-1)*EXP(-0.5*(($A2-'Control Room'!$A$15-('Control Room'!$B$15-1)/2)/MAX(0.5,'Control Room'!$B$15/4))^2),1)*IF(AND($A2&gt;='Control Room'!$A$16,$A2&lt;'Control Room'!$A$16+'Control Room'!$B$16,'Process'!BT5=1),1+('Control Room'!$C$16-1)*EXP(-0.5*(($A2-'Control Room'!$A$16-('Control Room'!$B$16-1)/2)/MAX(0.5,'Control Room'!$B$16/4))^2),1)</x:f>
        <x:v>1</x:v>
      </x:c>
      <x:c r="AZ2" s="9" t="n">
        <x:f>MOD(MAX(1,MOD('Control Room'!$D$2+1152019,2147483647))*16807,2147483647)</x:f>
        <x:v>35336404</x:v>
      </x:c>
      <x:c r="BA2" s="9" t="n">
        <x:f>MOD(AZ2*16807,2147483647)</x:f>
        <x:v>1193455456</x:v>
      </x:c>
      <x:c r="BB2" s="17" t="n">
        <x:f>IF('Control Room'!$B$5="Normal",'Control Room'!$B$7+'Control Room'!$D$7*SQRT(-2*LN(MAX(0.000000000001,AZ2/2147483647)))*COS(2*PI()*BA2/2147483647),'Control Room'!$B$8+('Control Room'!$D$8-'Control Room'!$B$8)*AZ2/2147483647)</x:f>
        <x:v>757.7166968295203</x:v>
      </x:c>
      <x:c r="BC2" s="17" t="n">
        <x:f>BB2</x:f>
        <x:v>757.7166968295203</x:v>
      </x:c>
      <x:c r="BD2" s="17" t="n">
        <x:f>IF(AND($A2&gt;='Control Room'!$A$13,$A2&lt;'Control Room'!$A$13+'Control Room'!$B$13,'Process'!BU2=1),1+('Control Room'!$C$13-1)*EXP(-0.5*(($A2-'Control Room'!$A$13-('Control Room'!$B$13-1)/2)/MAX(0.5,'Control Room'!$B$13/4))^2),1)*IF(AND($A2&gt;='Control Room'!$A$14,$A2&lt;'Control Room'!$A$14+'Control Room'!$B$14,'Process'!BU3=1),1+('Control Room'!$C$14-1)*EXP(-0.5*(($A2-'Control Room'!$A$14-('Control Room'!$B$14-1)/2)/MAX(0.5,'Control Room'!$B$14/4))^2),1)*IF(AND($A2&gt;='Control Room'!$A$15,$A2&lt;'Control Room'!$A$15+'Control Room'!$B$15,'Process'!BU4=1),1+('Control Room'!$C$15-1)*EXP(-0.5*(($A2-'Control Room'!$A$15-('Control Room'!$B$15-1)/2)/MAX(0.5,'Control Room'!$B$15/4))^2),1)*IF(AND($A2&gt;='Control Room'!$A$16,$A2&lt;'Control Room'!$A$16+'Control Room'!$B$16,'Process'!BU5=1),1+('Control Room'!$C$16-1)*EXP(-0.5*(($A2-'Control Room'!$A$16-('Control Room'!$B$16-1)/2)/MAX(0.5,'Control Room'!$B$16/4))^2),1)</x:f>
        <x:v>1</x:v>
      </x:c>
      <x:c r="BE2" s="9" t="n">
        <x:f>MOD(MAX(1,MOD('Control Room'!$D$2+1256748,2147483647))*16807,2147483647)</x:f>
        <x:v>1795516707</x:v>
      </x:c>
      <x:c r="BF2" s="9" t="n">
        <x:f>MOD(BE2*16807,2147483647)</x:f>
        <x:v>809086905</x:v>
      </x:c>
      <x:c r="BG2" s="17" t="n">
        <x:f>IF('Control Room'!$B$5="Normal",'Control Room'!$B$7+'Control Room'!$D$7*SQRT(-2*LN(MAX(0.000000000001,BE2/2147483647)))*COS(2*PI()*BF2/2147483647),'Control Room'!$B$8+('Control Room'!$D$8-'Control Room'!$B$8)*BE2/2147483647)</x:f>
        <x:v>961.5031792925419</x:v>
      </x:c>
      <x:c r="BH2" s="17" t="n">
        <x:f>BG2</x:f>
        <x:v>961.5031792925419</x:v>
      </x:c>
      <x:c r="BI2" s="17" t="n">
        <x:f>IF(AND($A2&gt;='Control Room'!$A$13,$A2&lt;'Control Room'!$A$13+'Control Room'!$B$13,'Process'!BV2=1),1+('Control Room'!$C$13-1)*EXP(-0.5*(($A2-'Control Room'!$A$13-('Control Room'!$B$13-1)/2)/MAX(0.5,'Control Room'!$B$13/4))^2),1)*IF(AND($A2&gt;='Control Room'!$A$14,$A2&lt;'Control Room'!$A$14+'Control Room'!$B$14,'Process'!BV3=1),1+('Control Room'!$C$14-1)*EXP(-0.5*(($A2-'Control Room'!$A$14-('Control Room'!$B$14-1)/2)/MAX(0.5,'Control Room'!$B$14/4))^2),1)*IF(AND($A2&gt;='Control Room'!$A$15,$A2&lt;'Control Room'!$A$15+'Control Room'!$B$15,'Process'!BV4=1),1+('Control Room'!$C$15-1)*EXP(-0.5*(($A2-'Control Room'!$A$15-('Control Room'!$B$15-1)/2)/MAX(0.5,'Control Room'!$B$15/4))^2),1)*IF(AND($A2&gt;='Control Room'!$A$16,$A2&lt;'Control Room'!$A$16+'Control Room'!$B$16,'Process'!BV5=1),1+('Control Room'!$C$16-1)*EXP(-0.5*(($A2-'Control Room'!$A$16-('Control Room'!$B$16-1)/2)/MAX(0.5,'Control Room'!$B$16/4))^2),1)</x:f>
        <x:v>1</x:v>
      </x:c>
      <x:c r="BJ2" s="2" t="str">
        <x:v>Event 1</x:v>
      </x:c>
      <x:c r="BK2" s="2" t="n">
        <x:f>IF(MOD(('Control Room'!$D$2+104729+13007)*48271,2147483647)/2147483647&lt;'Control Room'!$D13,1,0)</x:f>
        <x:v>1</x:v>
      </x:c>
      <x:c r="BL2" s="2" t="n">
        <x:f>IF(MOD(('Control Room'!$D$2+104729+26014)*48271,2147483647)/2147483647&lt;'Control Room'!$D13,1,0)</x:f>
        <x:v>1</x:v>
      </x:c>
      <x:c r="BM2" s="2" t="n">
        <x:f>IF(MOD(('Control Room'!$D$2+104729+39021)*48271,2147483647)/2147483647&lt;'Control Room'!$D13,1,0)</x:f>
        <x:v>1</x:v>
      </x:c>
      <x:c r="BN2" s="2" t="n">
        <x:f>IF(MOD(('Control Room'!$D$2+104729+52028)*48271,2147483647)/2147483647&lt;'Control Room'!$D13,1,0)</x:f>
        <x:v>1</x:v>
      </x:c>
      <x:c r="BO2" s="2" t="n">
        <x:f>IF(MOD(('Control Room'!$D$2+104729+65035)*48271,2147483647)/2147483647&lt;'Control Room'!$D13,1,0)</x:f>
        <x:v>1</x:v>
      </x:c>
      <x:c r="BP2" s="2" t="n">
        <x:f>IF(MOD(('Control Room'!$D$2+104729+78042)*48271,2147483647)/2147483647&lt;'Control Room'!$D13,1,0)</x:f>
        <x:v>1</x:v>
      </x:c>
      <x:c r="BQ2" s="2" t="n">
        <x:f>IF(MOD(('Control Room'!$D$2+104729+91049)*48271,2147483647)/2147483647&lt;'Control Room'!$D13,1,0)</x:f>
        <x:v>1</x:v>
      </x:c>
      <x:c r="BR2" s="2" t="n">
        <x:f>IF(MOD(('Control Room'!$D$2+104729+104056)*48271,2147483647)/2147483647&lt;'Control Room'!$D13,1,0)</x:f>
        <x:v>1</x:v>
      </x:c>
      <x:c r="BS2" s="2" t="n">
        <x:f>IF(MOD(('Control Room'!$D$2+104729+117063)*48271,2147483647)/2147483647&lt;'Control Room'!$D13,1,0)</x:f>
        <x:v>1</x:v>
      </x:c>
      <x:c r="BT2" s="2" t="n">
        <x:f>IF(MOD(('Control Room'!$D$2+104729+130070)*48271,2147483647)/2147483647&lt;'Control Room'!$D13,1,0)</x:f>
        <x:v>1</x:v>
      </x:c>
      <x:c r="BU2" s="2" t="n">
        <x:f>IF(MOD(('Control Room'!$D$2+104729+143077)*48271,2147483647)/2147483647&lt;'Control Room'!$D13,1,0)</x:f>
        <x:v>1</x:v>
      </x:c>
      <x:c r="BV2" s="2" t="n">
        <x:f>IF(MOD(('Control Room'!$D$2+104729+156084)*48271,2147483647)/2147483647&lt;'Control Room'!$D13,1,0)</x:f>
        <x:v>1</x:v>
      </x:c>
      <x:c r="BW2" s="2"/>
      <x:c r="BX2" s="2"/>
      <x:c r="BZ2" t="str">
        <x:f>IF('Data'!A2="","",TEXT('Data'!A2,"mm-dd"))</x:f>
        <x:v>11-02</x:v>
      </x:c>
    </x:row>
    <x:row r="3" ht="21" customHeight="1">
      <x:c r="A3" s="15" t="n">
        <x:f>'Control Room'!$B$1+1</x:f>
        <x:v>72992</x:v>
      </x:c>
      <x:c r="B3" s="9" t="n">
        <x:f>MOD(C2*16807,2147483647)</x:f>
        <x:v>1127883528</x:v>
      </x:c>
      <x:c r="C3" s="9" t="n">
        <x:f>MOD(B3*16807,2147483647)</x:f>
        <x:v>500303027</x:v>
      </x:c>
      <x:c r="D3" s="17" t="n">
        <x:f>IF('Control Room'!$B$5="Normal",'Control Room'!$B$7+'Control Room'!$D$7*SQRT(-2*LN(MAX(0.000000000001,B3/2147483647)))*COS(2*PI()*C3/2147483647),'Control Room'!$B$8+('Control Room'!$D$8-'Control Room'!$B$8)*B3/2147483647)</x:f>
        <x:v>1010.9070130953166</x:v>
      </x:c>
      <x:c r="E3" s="17" t="n">
        <x:f>IF('Control Room'!$B$5="Normal",'Control Room'!$B$7,('Control Room'!$B$8+'Control Room'!$D$8)/2)+'Control Room'!$B$9*(E2-IF('Control Room'!$B$5="Normal",'Control Room'!$B$7,('Control Room'!$B$8+'Control Room'!$D$8)/2))+SQRT(1-'Control Room'!$B$9^2)*(D3-IF('Control Room'!$B$5="Normal",'Control Room'!$B$7,('Control Room'!$B$8+'Control Room'!$D$8)/2))</x:f>
        <x:v>981.8267491018444</x:v>
      </x:c>
      <x:c r="F3" s="17" t="n">
        <x:f>IF(AND($A3&gt;='Control Room'!$A$13,$A3&lt;'Control Room'!$A$13+'Control Room'!$B$13,'Process'!BK2=1),1+('Control Room'!$C$13-1)*EXP(-0.5*(($A3-'Control Room'!$A$13-('Control Room'!$B$13-1)/2)/MAX(0.5,'Control Room'!$B$13/4))^2),1)*IF(AND($A3&gt;='Control Room'!$A$14,$A3&lt;'Control Room'!$A$14+'Control Room'!$B$14,'Process'!BK3=1),1+('Control Room'!$C$14-1)*EXP(-0.5*(($A3-'Control Room'!$A$14-('Control Room'!$B$14-1)/2)/MAX(0.5,'Control Room'!$B$14/4))^2),1)*IF(AND($A3&gt;='Control Room'!$A$15,$A3&lt;'Control Room'!$A$15+'Control Room'!$B$15,'Process'!BK4=1),1+('Control Room'!$C$15-1)*EXP(-0.5*(($A3-'Control Room'!$A$15-('Control Room'!$B$15-1)/2)/MAX(0.5,'Control Room'!$B$15/4))^2),1)*IF(AND($A3&gt;='Control Room'!$A$16,$A3&lt;'Control Room'!$A$16+'Control Room'!$B$16,'Process'!BK5=1),1+('Control Room'!$C$16-1)*EXP(-0.5*(($A3-'Control Room'!$A$16-('Control Room'!$B$16-1)/2)/MAX(0.5,'Control Room'!$B$16/4))^2),1)</x:f>
        <x:v>1</x:v>
      </x:c>
      <x:c r="G3" s="9" t="n">
        <x:f>MOD(H2*16807,2147483647)</x:f>
        <x:v>676457047</x:v>
      </x:c>
      <x:c r="H3" s="9" t="n">
        <x:f>MOD(G3*16807,2147483647)</x:f>
        <x:v>435161711</x:v>
      </x:c>
      <x:c r="I3" s="17" t="n">
        <x:f>IF('Control Room'!$B$5="Normal",'Control Room'!$B$7+'Control Room'!$D$7*SQRT(-2*LN(MAX(0.000000000001,G3/2147483647)))*COS(2*PI()*H3/2147483647),'Control Room'!$B$8+('Control Room'!$D$8-'Control Room'!$B$8)*G3/2147483647)</x:f>
        <x:v>1040.1110656461499</x:v>
      </x:c>
      <x:c r="J3" s="17" t="n">
        <x:f>IF('Control Room'!$B$5="Normal",'Control Room'!$B$7,('Control Room'!$B$8+'Control Room'!$D$8)/2)+'Control Room'!$B$9*(J2-IF('Control Room'!$B$5="Normal",'Control Room'!$B$7,('Control Room'!$B$8+'Control Room'!$D$8)/2))+SQRT(1-'Control Room'!$B$9^2)*(I3-IF('Control Room'!$B$5="Normal",'Control Room'!$B$7,('Control Room'!$B$8+'Control Room'!$D$8)/2))</x:f>
        <x:v>1058.3019131145643</x:v>
      </x:c>
      <x:c r="K3" s="17" t="n">
        <x:f>IF(AND($A3&gt;='Control Room'!$A$13,$A3&lt;'Control Room'!$A$13+'Control Room'!$B$13,'Process'!BL2=1),1+('Control Room'!$C$13-1)*EXP(-0.5*(($A3-'Control Room'!$A$13-('Control Room'!$B$13-1)/2)/MAX(0.5,'Control Room'!$B$13/4))^2),1)*IF(AND($A3&gt;='Control Room'!$A$14,$A3&lt;'Control Room'!$A$14+'Control Room'!$B$14,'Process'!BL3=1),1+('Control Room'!$C$14-1)*EXP(-0.5*(($A3-'Control Room'!$A$14-('Control Room'!$B$14-1)/2)/MAX(0.5,'Control Room'!$B$14/4))^2),1)*IF(AND($A3&gt;='Control Room'!$A$15,$A3&lt;'Control Room'!$A$15+'Control Room'!$B$15,'Process'!BL4=1),1+('Control Room'!$C$15-1)*EXP(-0.5*(($A3-'Control Room'!$A$15-('Control Room'!$B$15-1)/2)/MAX(0.5,'Control Room'!$B$15/4))^2),1)*IF(AND($A3&gt;='Control Room'!$A$16,$A3&lt;'Control Room'!$A$16+'Control Room'!$B$16,'Process'!BL5=1),1+('Control Room'!$C$16-1)*EXP(-0.5*(($A3-'Control Room'!$A$16-('Control Room'!$B$16-1)/2)/MAX(0.5,'Control Room'!$B$16/4))^2),1)</x:f>
        <x:v>1</x:v>
      </x:c>
      <x:c r="L3" s="9" t="n">
        <x:f>MOD(M2*16807,2147483647)</x:f>
        <x:v>225030566</x:v>
      </x:c>
      <x:c r="M3" s="9" t="n">
        <x:f>MOD(L3*16807,2147483647)</x:f>
        <x:v>370020395</x:v>
      </x:c>
      <x:c r="N3" s="17" t="n">
        <x:f>IF('Control Room'!$B$5="Normal",'Control Room'!$B$7+'Control Room'!$D$7*SQRT(-2*LN(MAX(0.000000000001,L3/2147483647)))*COS(2*PI()*M3/2147483647),'Control Room'!$B$8+('Control Room'!$D$8-'Control Room'!$B$8)*L3/2147483647)</x:f>
        <x:v>1089.6598021919526</x:v>
      </x:c>
      <x:c r="O3" s="17" t="n">
        <x:f>IF('Control Room'!$B$5="Normal",'Control Room'!$B$7,('Control Room'!$B$8+'Control Room'!$D$8)/2)+'Control Room'!$B$9*(O2-IF('Control Room'!$B$5="Normal",'Control Room'!$B$7,('Control Room'!$B$8+'Control Room'!$D$8)/2))+SQRT(1-'Control Room'!$B$9^2)*(N3-IF('Control Room'!$B$5="Normal",'Control Room'!$B$7,('Control Room'!$B$8+'Control Room'!$D$8)/2))</x:f>
        <x:v>1143.4165156331348</x:v>
      </x:c>
      <x:c r="P3" s="17" t="n">
        <x:f>IF(AND($A3&gt;='Control Room'!$A$13,$A3&lt;'Control Room'!$A$13+'Control Room'!$B$13,'Process'!BM2=1),1+('Control Room'!$C$13-1)*EXP(-0.5*(($A3-'Control Room'!$A$13-('Control Room'!$B$13-1)/2)/MAX(0.5,'Control Room'!$B$13/4))^2),1)*IF(AND($A3&gt;='Control Room'!$A$14,$A3&lt;'Control Room'!$A$14+'Control Room'!$B$14,'Process'!BM3=1),1+('Control Room'!$C$14-1)*EXP(-0.5*(($A3-'Control Room'!$A$14-('Control Room'!$B$14-1)/2)/MAX(0.5,'Control Room'!$B$14/4))^2),1)*IF(AND($A3&gt;='Control Room'!$A$15,$A3&lt;'Control Room'!$A$15+'Control Room'!$B$15,'Process'!BM4=1),1+('Control Room'!$C$15-1)*EXP(-0.5*(($A3-'Control Room'!$A$15-('Control Room'!$B$15-1)/2)/MAX(0.5,'Control Room'!$B$15/4))^2),1)*IF(AND($A3&gt;='Control Room'!$A$16,$A3&lt;'Control Room'!$A$16+'Control Room'!$B$16,'Process'!BM5=1),1+('Control Room'!$C$16-1)*EXP(-0.5*(($A3-'Control Room'!$A$16-('Control Room'!$B$16-1)/2)/MAX(0.5,'Control Room'!$B$16/4))^2),1)</x:f>
        <x:v>1</x:v>
      </x:c>
      <x:c r="Q3" s="9" t="n">
        <x:f>MOD(R2*16807,2147483647)</x:f>
        <x:v>1921087732</x:v>
      </x:c>
      <x:c r="R3" s="9" t="n">
        <x:f>MOD(Q3*16807,2147483647)</x:f>
        <x:v>304879079</x:v>
      </x:c>
      <x:c r="S3" s="17" t="n">
        <x:f>IF('Control Room'!$B$5="Normal",'Control Room'!$B$7+'Control Room'!$D$7*SQRT(-2*LN(MAX(0.000000000001,Q3/2147483647)))*COS(2*PI()*R3/2147483647),'Control Room'!$B$8+('Control Room'!$D$8-'Control Room'!$B$8)*Q3/2147483647)</x:f>
        <x:v>1026.672063107874</x:v>
      </x:c>
      <x:c r="T3" s="17" t="n">
        <x:f>IF('Control Room'!$B$5="Normal",'Control Room'!$B$7,('Control Room'!$B$8+'Control Room'!$D$8)/2)+'Control Room'!$B$9*(T2-IF('Control Room'!$B$5="Normal",'Control Room'!$B$7,('Control Room'!$B$8+'Control Room'!$D$8)/2))+SQRT(1-'Control Room'!$B$9^2)*(S3-IF('Control Room'!$B$5="Normal",'Control Room'!$B$7,('Control Room'!$B$8+'Control Room'!$D$8)/2))</x:f>
        <x:v>1057.0977835123665</x:v>
      </x:c>
      <x:c r="U3" s="17" t="n">
        <x:f>IF(AND($A3&gt;='Control Room'!$A$13,$A3&lt;'Control Room'!$A$13+'Control Room'!$B$13,'Process'!BN2=1),1+('Control Room'!$C$13-1)*EXP(-0.5*(($A3-'Control Room'!$A$13-('Control Room'!$B$13-1)/2)/MAX(0.5,'Control Room'!$B$13/4))^2),1)*IF(AND($A3&gt;='Control Room'!$A$14,$A3&lt;'Control Room'!$A$14+'Control Room'!$B$14,'Process'!BN3=1),1+('Control Room'!$C$14-1)*EXP(-0.5*(($A3-'Control Room'!$A$14-('Control Room'!$B$14-1)/2)/MAX(0.5,'Control Room'!$B$14/4))^2),1)*IF(AND($A3&gt;='Control Room'!$A$15,$A3&lt;'Control Room'!$A$15+'Control Room'!$B$15,'Process'!BN4=1),1+('Control Room'!$C$15-1)*EXP(-0.5*(($A3-'Control Room'!$A$15-('Control Room'!$B$15-1)/2)/MAX(0.5,'Control Room'!$B$15/4))^2),1)*IF(AND($A3&gt;='Control Room'!$A$16,$A3&lt;'Control Room'!$A$16+'Control Room'!$B$16,'Process'!BN5=1),1+('Control Room'!$C$16-1)*EXP(-0.5*(($A3-'Control Room'!$A$16-('Control Room'!$B$16-1)/2)/MAX(0.5,'Control Room'!$B$16/4))^2),1)</x:f>
        <x:v>1</x:v>
      </x:c>
      <x:c r="V3" s="9" t="n">
        <x:f>MOD(W2*16807,2147483647)</x:f>
        <x:v>1469661251</x:v>
      </x:c>
      <x:c r="W3" s="9" t="n">
        <x:f>MOD(V3*16807,2147483647)</x:f>
        <x:v>239737763</x:v>
      </x:c>
      <x:c r="X3" s="17" t="n">
        <x:f>IF('Control Room'!$B$5="Normal",'Control Room'!$B$7+'Control Room'!$D$7*SQRT(-2*LN(MAX(0.000000000001,V3/2147483647)))*COS(2*PI()*W3/2147483647),'Control Room'!$B$8+('Control Room'!$D$8-'Control Room'!$B$8)*V3/2147483647)</x:f>
        <x:v>1059.8791349592195</x:v>
      </x:c>
      <x:c r="Y3" s="17" t="n">
        <x:f>IF('Control Room'!$B$5="Normal",'Control Room'!$B$7,('Control Room'!$B$8+'Control Room'!$D$8)/2)+'Control Room'!$B$9*(Y2-IF('Control Room'!$B$5="Normal",'Control Room'!$B$7,('Control Room'!$B$8+'Control Room'!$D$8)/2))+SQRT(1-'Control Room'!$B$9^2)*(X3-IF('Control Room'!$B$5="Normal",'Control Room'!$B$7,('Control Room'!$B$8+'Control Room'!$D$8)/2))</x:f>
        <x:v>933.7882126173796</x:v>
      </x:c>
      <x:c r="Z3" s="17" t="n">
        <x:f>IF(AND($A3&gt;='Control Room'!$A$13,$A3&lt;'Control Room'!$A$13+'Control Room'!$B$13,'Process'!BO2=1),1+('Control Room'!$C$13-1)*EXP(-0.5*(($A3-'Control Room'!$A$13-('Control Room'!$B$13-1)/2)/MAX(0.5,'Control Room'!$B$13/4))^2),1)*IF(AND($A3&gt;='Control Room'!$A$14,$A3&lt;'Control Room'!$A$14+'Control Room'!$B$14,'Process'!BO3=1),1+('Control Room'!$C$14-1)*EXP(-0.5*(($A3-'Control Room'!$A$14-('Control Room'!$B$14-1)/2)/MAX(0.5,'Control Room'!$B$14/4))^2),1)*IF(AND($A3&gt;='Control Room'!$A$15,$A3&lt;'Control Room'!$A$15+'Control Room'!$B$15,'Process'!BO4=1),1+('Control Room'!$C$15-1)*EXP(-0.5*(($A3-'Control Room'!$A$15-('Control Room'!$B$15-1)/2)/MAX(0.5,'Control Room'!$B$15/4))^2),1)*IF(AND($A3&gt;='Control Room'!$A$16,$A3&lt;'Control Room'!$A$16+'Control Room'!$B$16,'Process'!BO5=1),1+('Control Room'!$C$16-1)*EXP(-0.5*(($A3-'Control Room'!$A$16-('Control Room'!$B$16-1)/2)/MAX(0.5,'Control Room'!$B$16/4))^2),1)</x:f>
        <x:v>1</x:v>
      </x:c>
      <x:c r="AA3" s="9" t="n">
        <x:f>MOD(AB2*16807,2147483647)</x:f>
        <x:v>1018234770</x:v>
      </x:c>
      <x:c r="AB3" s="9" t="n">
        <x:f>MOD(AA3*16807,2147483647)</x:f>
        <x:v>174596447</x:v>
      </x:c>
      <x:c r="AC3" s="17" t="n">
        <x:f>IF('Control Room'!$B$5="Normal",'Control Room'!$B$7+'Control Room'!$D$7*SQRT(-2*LN(MAX(0.000000000001,AA3/2147483647)))*COS(2*PI()*AB3/2147483647),'Control Room'!$B$8+('Control Room'!$D$8-'Control Room'!$B$8)*AA3/2147483647)</x:f>
        <x:v>1095.9125610500378</x:v>
      </x:c>
      <x:c r="AD3" s="17" t="n">
        <x:f>IF('Control Room'!$B$5="Normal",'Control Room'!$B$7,('Control Room'!$B$8+'Control Room'!$D$8)/2)+'Control Room'!$B$9*(AD2-IF('Control Room'!$B$5="Normal",'Control Room'!$B$7,('Control Room'!$B$8+'Control Room'!$D$8)/2))+SQRT(1-'Control Room'!$B$9^2)*(AC3-IF('Control Room'!$B$5="Normal",'Control Room'!$B$7,('Control Room'!$B$8+'Control Room'!$D$8)/2))</x:f>
        <x:v>1032.4026039239893</x:v>
      </x:c>
      <x:c r="AE3" s="17" t="n">
        <x:f>IF(AND($A3&gt;='Control Room'!$A$13,$A3&lt;'Control Room'!$A$13+'Control Room'!$B$13,'Process'!BP2=1),1+('Control Room'!$C$13-1)*EXP(-0.5*(($A3-'Control Room'!$A$13-('Control Room'!$B$13-1)/2)/MAX(0.5,'Control Room'!$B$13/4))^2),1)*IF(AND($A3&gt;='Control Room'!$A$14,$A3&lt;'Control Room'!$A$14+'Control Room'!$B$14,'Process'!BP3=1),1+('Control Room'!$C$14-1)*EXP(-0.5*(($A3-'Control Room'!$A$14-('Control Room'!$B$14-1)/2)/MAX(0.5,'Control Room'!$B$14/4))^2),1)*IF(AND($A3&gt;='Control Room'!$A$15,$A3&lt;'Control Room'!$A$15+'Control Room'!$B$15,'Process'!BP4=1),1+('Control Room'!$C$15-1)*EXP(-0.5*(($A3-'Control Room'!$A$15-('Control Room'!$B$15-1)/2)/MAX(0.5,'Control Room'!$B$15/4))^2),1)*IF(AND($A3&gt;='Control Room'!$A$16,$A3&lt;'Control Room'!$A$16+'Control Room'!$B$16,'Process'!BP5=1),1+('Control Room'!$C$16-1)*EXP(-0.5*(($A3-'Control Room'!$A$16-('Control Room'!$B$16-1)/2)/MAX(0.5,'Control Room'!$B$16/4))^2),1)</x:f>
        <x:v>1</x:v>
      </x:c>
      <x:c r="AF3" s="9" t="n">
        <x:f>MOD(AG2*16807,2147483647)</x:f>
        <x:v>566808289</x:v>
      </x:c>
      <x:c r="AG3" s="9" t="n">
        <x:f>MOD(AF3*16807,2147483647)</x:f>
        <x:v>109455131</x:v>
      </x:c>
      <x:c r="AH3" s="17" t="n">
        <x:f>IF('Control Room'!$B$5="Normal",'Control Room'!$B$7+'Control Room'!$D$7*SQRT(-2*LN(MAX(0.000000000001,AF3/2147483647)))*COS(2*PI()*AG3/2147483647),'Control Room'!$B$8+('Control Room'!$D$8-'Control Room'!$B$8)*AF3/2147483647)</x:f>
        <x:v>1139.4289372357248</x:v>
      </x:c>
      <x:c r="AI3" s="17" t="n">
        <x:f>IF('Control Room'!$B$5="Normal",'Control Room'!$B$7,('Control Room'!$B$8+'Control Room'!$D$8)/2)+'Control Room'!$B$9*(AI2-IF('Control Room'!$B$5="Normal",'Control Room'!$B$7,('Control Room'!$B$8+'Control Room'!$D$8)/2))+SQRT(1-'Control Room'!$B$9^2)*(AH3-IF('Control Room'!$B$5="Normal",'Control Room'!$B$7,('Control Room'!$B$8+'Control Room'!$D$8)/2))</x:f>
        <x:v>1079.8156727480525</x:v>
      </x:c>
      <x:c r="AJ3" s="17" t="n">
        <x:f>IF(AND($A3&gt;='Control Room'!$A$13,$A3&lt;'Control Room'!$A$13+'Control Room'!$B$13,'Process'!BQ2=1),1+('Control Room'!$C$13-1)*EXP(-0.5*(($A3-'Control Room'!$A$13-('Control Room'!$B$13-1)/2)/MAX(0.5,'Control Room'!$B$13/4))^2),1)*IF(AND($A3&gt;='Control Room'!$A$14,$A3&lt;'Control Room'!$A$14+'Control Room'!$B$14,'Process'!BQ3=1),1+('Control Room'!$C$14-1)*EXP(-0.5*(($A3-'Control Room'!$A$14-('Control Room'!$B$14-1)/2)/MAX(0.5,'Control Room'!$B$14/4))^2),1)*IF(AND($A3&gt;='Control Room'!$A$15,$A3&lt;'Control Room'!$A$15+'Control Room'!$B$15,'Process'!BQ4=1),1+('Control Room'!$C$15-1)*EXP(-0.5*(($A3-'Control Room'!$A$15-('Control Room'!$B$15-1)/2)/MAX(0.5,'Control Room'!$B$15/4))^2),1)*IF(AND($A3&gt;='Control Room'!$A$16,$A3&lt;'Control Room'!$A$16+'Control Room'!$B$16,'Process'!BQ5=1),1+('Control Room'!$C$16-1)*EXP(-0.5*(($A3-'Control Room'!$A$16-('Control Room'!$B$16-1)/2)/MAX(0.5,'Control Room'!$B$16/4))^2),1)</x:f>
        <x:v>1</x:v>
      </x:c>
      <x:c r="AK3" s="9" t="n">
        <x:f>MOD(AL2*16807,2147483647)</x:f>
        <x:v>115381808</x:v>
      </x:c>
      <x:c r="AL3" s="9" t="n">
        <x:f>MOD(AK3*16807,2147483647)</x:f>
        <x:v>44313815</x:v>
      </x:c>
      <x:c r="AM3" s="17" t="n">
        <x:f>IF('Control Room'!$B$5="Normal",'Control Room'!$B$7+'Control Room'!$D$7*SQRT(-2*LN(MAX(0.000000000001,AK3/2147483647)))*COS(2*PI()*AL3/2147483647),'Control Room'!$B$8+('Control Room'!$D$8-'Control Room'!$B$8)*AK3/2147483647)</x:f>
        <x:v>1215.8097826914689</x:v>
      </x:c>
      <x:c r="AN3" s="17" t="n">
        <x:f>IF('Control Room'!$B$5="Normal",'Control Room'!$B$7,('Control Room'!$B$8+'Control Room'!$D$8)/2)+'Control Room'!$B$9*(AN2-IF('Control Room'!$B$5="Normal",'Control Room'!$B$7,('Control Room'!$B$8+'Control Room'!$D$8)/2))+SQRT(1-'Control Room'!$B$9^2)*(AM3-IF('Control Room'!$B$5="Normal",'Control Room'!$B$7,('Control Room'!$B$8+'Control Room'!$D$8)/2))</x:f>
        <x:v>1198.4220451289693</x:v>
      </x:c>
      <x:c r="AO3" s="17" t="n">
        <x:f>IF(AND($A3&gt;='Control Room'!$A$13,$A3&lt;'Control Room'!$A$13+'Control Room'!$B$13,'Process'!BR2=1),1+('Control Room'!$C$13-1)*EXP(-0.5*(($A3-'Control Room'!$A$13-('Control Room'!$B$13-1)/2)/MAX(0.5,'Control Room'!$B$13/4))^2),1)*IF(AND($A3&gt;='Control Room'!$A$14,$A3&lt;'Control Room'!$A$14+'Control Room'!$B$14,'Process'!BR3=1),1+('Control Room'!$C$14-1)*EXP(-0.5*(($A3-'Control Room'!$A$14-('Control Room'!$B$14-1)/2)/MAX(0.5,'Control Room'!$B$14/4))^2),1)*IF(AND($A3&gt;='Control Room'!$A$15,$A3&lt;'Control Room'!$A$15+'Control Room'!$B$15,'Process'!BR4=1),1+('Control Room'!$C$15-1)*EXP(-0.5*(($A3-'Control Room'!$A$15-('Control Room'!$B$15-1)/2)/MAX(0.5,'Control Room'!$B$15/4))^2),1)*IF(AND($A3&gt;='Control Room'!$A$16,$A3&lt;'Control Room'!$A$16+'Control Room'!$B$16,'Process'!BR5=1),1+('Control Room'!$C$16-1)*EXP(-0.5*(($A3-'Control Room'!$A$16-('Control Room'!$B$16-1)/2)/MAX(0.5,'Control Room'!$B$16/4))^2),1)</x:f>
        <x:v>1</x:v>
      </x:c>
      <x:c r="AP3" s="9" t="n">
        <x:f>MOD(AQ2*16807,2147483647)</x:f>
        <x:v>1811438974</x:v>
      </x:c>
      <x:c r="AQ3" s="9" t="n">
        <x:f>MOD(AP3*16807,2147483647)</x:f>
        <x:v>2126656146</x:v>
      </x:c>
      <x:c r="AR3" s="17" t="n">
        <x:f>IF('Control Room'!$B$5="Normal",'Control Room'!$B$7+'Control Room'!$D$7*SQRT(-2*LN(MAX(0.000000000001,AP3/2147483647)))*COS(2*PI()*AQ3/2147483647),'Control Room'!$B$8+('Control Room'!$D$8-'Control Room'!$B$8)*AP3/2147483647)</x:f>
        <x:v>1052.4081470742628</x:v>
      </x:c>
      <x:c r="AS3" s="17" t="n">
        <x:f>IF('Control Room'!$B$5="Normal",'Control Room'!$B$7,('Control Room'!$B$8+'Control Room'!$D$8)/2)+'Control Room'!$B$9*(AS2-IF('Control Room'!$B$5="Normal",'Control Room'!$B$7,('Control Room'!$B$8+'Control Room'!$D$8)/2))+SQRT(1-'Control Room'!$B$9^2)*(AR3-IF('Control Room'!$B$5="Normal",'Control Room'!$B$7,('Control Room'!$B$8+'Control Room'!$D$8)/2))</x:f>
        <x:v>1116.772418498494</x:v>
      </x:c>
      <x:c r="AT3" s="17" t="n">
        <x:f>IF(AND($A3&gt;='Control Room'!$A$13,$A3&lt;'Control Room'!$A$13+'Control Room'!$B$13,'Process'!BS2=1),1+('Control Room'!$C$13-1)*EXP(-0.5*(($A3-'Control Room'!$A$13-('Control Room'!$B$13-1)/2)/MAX(0.5,'Control Room'!$B$13/4))^2),1)*IF(AND($A3&gt;='Control Room'!$A$14,$A3&lt;'Control Room'!$A$14+'Control Room'!$B$14,'Process'!BS3=1),1+('Control Room'!$C$14-1)*EXP(-0.5*(($A3-'Control Room'!$A$14-('Control Room'!$B$14-1)/2)/MAX(0.5,'Control Room'!$B$14/4))^2),1)*IF(AND($A3&gt;='Control Room'!$A$15,$A3&lt;'Control Room'!$A$15+'Control Room'!$B$15,'Process'!BS4=1),1+('Control Room'!$C$15-1)*EXP(-0.5*(($A3-'Control Room'!$A$15-('Control Room'!$B$15-1)/2)/MAX(0.5,'Control Room'!$B$15/4))^2),1)*IF(AND($A3&gt;='Control Room'!$A$16,$A3&lt;'Control Room'!$A$16+'Control Room'!$B$16,'Process'!BS5=1),1+('Control Room'!$C$16-1)*EXP(-0.5*(($A3-'Control Room'!$A$16-('Control Room'!$B$16-1)/2)/MAX(0.5,'Control Room'!$B$16/4))^2),1)</x:f>
        <x:v>1</x:v>
      </x:c>
      <x:c r="AU3" s="9" t="n">
        <x:f>MOD(AV2*16807,2147483647)</x:f>
        <x:v>1360012493</x:v>
      </x:c>
      <x:c r="AV3" s="9" t="n">
        <x:f>MOD(AU3*16807,2147483647)</x:f>
        <x:v>2061514830</x:v>
      </x:c>
      <x:c r="AW3" s="17" t="n">
        <x:f>IF('Control Room'!$B$5="Normal",'Control Room'!$B$7+'Control Room'!$D$7*SQRT(-2*LN(MAX(0.000000000001,AU3/2147483647)))*COS(2*PI()*AV3/2147483647),'Control Room'!$B$8+('Control Room'!$D$8-'Control Room'!$B$8)*AU3/2147483647)</x:f>
        <x:v>1083.317486722961</x:v>
      </x:c>
      <x:c r="AX3" s="17" t="n">
        <x:f>IF('Control Room'!$B$5="Normal",'Control Room'!$B$7,('Control Room'!$B$8+'Control Room'!$D$8)/2)+'Control Room'!$B$9*(AX2-IF('Control Room'!$B$5="Normal",'Control Room'!$B$7,('Control Room'!$B$8+'Control Room'!$D$8)/2))+SQRT(1-'Control Room'!$B$9^2)*(AW3-IF('Control Room'!$B$5="Normal",'Control Room'!$B$7,('Control Room'!$B$8+'Control Room'!$D$8)/2))</x:f>
        <x:v>1040.0140376102654</x:v>
      </x:c>
      <x:c r="AY3" s="17" t="n">
        <x:f>IF(AND($A3&gt;='Control Room'!$A$13,$A3&lt;'Control Room'!$A$13+'Control Room'!$B$13,'Process'!BT2=1),1+('Control Room'!$C$13-1)*EXP(-0.5*(($A3-'Control Room'!$A$13-('Control Room'!$B$13-1)/2)/MAX(0.5,'Control Room'!$B$13/4))^2),1)*IF(AND($A3&gt;='Control Room'!$A$14,$A3&lt;'Control Room'!$A$14+'Control Room'!$B$14,'Process'!BT3=1),1+('Control Room'!$C$14-1)*EXP(-0.5*(($A3-'Control Room'!$A$14-('Control Room'!$B$14-1)/2)/MAX(0.5,'Control Room'!$B$14/4))^2),1)*IF(AND($A3&gt;='Control Room'!$A$15,$A3&lt;'Control Room'!$A$15+'Control Room'!$B$15,'Process'!BT4=1),1+('Control Room'!$C$15-1)*EXP(-0.5*(($A3-'Control Room'!$A$15-('Control Room'!$B$15-1)/2)/MAX(0.5,'Control Room'!$B$15/4))^2),1)*IF(AND($A3&gt;='Control Room'!$A$16,$A3&lt;'Control Room'!$A$16+'Control Room'!$B$16,'Process'!BT5=1),1+('Control Room'!$C$16-1)*EXP(-0.5*(($A3-'Control Room'!$A$16-('Control Room'!$B$16-1)/2)/MAX(0.5,'Control Room'!$B$16/4))^2),1)</x:f>
        <x:v>1</x:v>
      </x:c>
      <x:c r="AZ3" s="9" t="n">
        <x:f>MOD(BA2*16807,2147483647)</x:f>
        <x:v>908586012</x:v>
      </x:c>
      <x:c r="BA3" s="9" t="n">
        <x:f>MOD(AZ3*16807,2147483647)</x:f>
        <x:v>1996373514</x:v>
      </x:c>
      <x:c r="BB3" s="17" t="n">
        <x:f>IF('Control Room'!$B$5="Normal",'Control Room'!$B$7+'Control Room'!$D$7*SQRT(-2*LN(MAX(0.000000000001,AZ3/2147483647)))*COS(2*PI()*BA3/2147483647),'Control Room'!$B$8+('Control Room'!$D$8-'Control Room'!$B$8)*AZ3/2147483647)</x:f>
        <x:v>1106.6944390918982</x:v>
      </x:c>
      <x:c r="BC3" s="17" t="n">
        <x:f>IF('Control Room'!$B$5="Normal",'Control Room'!$B$7,('Control Room'!$B$8+'Control Room'!$D$8)/2)+'Control Room'!$B$9*(BC2-IF('Control Room'!$B$5="Normal",'Control Room'!$B$7,('Control Room'!$B$8+'Control Room'!$D$8)/2))+SQRT(1-'Control Room'!$B$9^2)*(BB3-IF('Control Room'!$B$5="Normal",'Control Room'!$B$7,('Control Room'!$B$8+'Control Room'!$D$8)/2))</x:f>
        <x:v>877.7862177563446</x:v>
      </x:c>
      <x:c r="BD3" s="17" t="n">
        <x:f>IF(AND($A3&gt;='Control Room'!$A$13,$A3&lt;'Control Room'!$A$13+'Control Room'!$B$13,'Process'!BU2=1),1+('Control Room'!$C$13-1)*EXP(-0.5*(($A3-'Control Room'!$A$13-('Control Room'!$B$13-1)/2)/MAX(0.5,'Control Room'!$B$13/4))^2),1)*IF(AND($A3&gt;='Control Room'!$A$14,$A3&lt;'Control Room'!$A$14+'Control Room'!$B$14,'Process'!BU3=1),1+('Control Room'!$C$14-1)*EXP(-0.5*(($A3-'Control Room'!$A$14-('Control Room'!$B$14-1)/2)/MAX(0.5,'Control Room'!$B$14/4))^2),1)*IF(AND($A3&gt;='Control Room'!$A$15,$A3&lt;'Control Room'!$A$15+'Control Room'!$B$15,'Process'!BU4=1),1+('Control Room'!$C$15-1)*EXP(-0.5*(($A3-'Control Room'!$A$15-('Control Room'!$B$15-1)/2)/MAX(0.5,'Control Room'!$B$15/4))^2),1)*IF(AND($A3&gt;='Control Room'!$A$16,$A3&lt;'Control Room'!$A$16+'Control Room'!$B$16,'Process'!BU5=1),1+('Control Room'!$C$16-1)*EXP(-0.5*(($A3-'Control Room'!$A$16-('Control Room'!$B$16-1)/2)/MAX(0.5,'Control Room'!$B$16/4))^2),1)</x:f>
        <x:v>1</x:v>
      </x:c>
      <x:c r="BE3" s="9" t="n">
        <x:f>MOD(BF2*16807,2147483647)</x:f>
        <x:v>457159531</x:v>
      </x:c>
      <x:c r="BF3" s="9" t="n">
        <x:f>MOD(BE3*16807,2147483647)</x:f>
        <x:v>1931232198</x:v>
      </x:c>
      <x:c r="BG3" s="17" t="n">
        <x:f>IF('Control Room'!$B$5="Normal",'Control Room'!$B$7+'Control Room'!$D$7*SQRT(-2*LN(MAX(0.000000000001,BE3/2147483647)))*COS(2*PI()*BF3/2147483647),'Control Room'!$B$8+('Control Room'!$D$8-'Control Room'!$B$8)*BE3/2147483647)</x:f>
        <x:v>1127.6641585660816</x:v>
      </x:c>
      <x:c r="BH3" s="17" t="n">
        <x:f>IF('Control Room'!$B$5="Normal",'Control Room'!$B$7,('Control Room'!$B$8+'Control Room'!$D$8)/2)+'Control Room'!$B$9*(BH2-IF('Control Room'!$B$5="Normal",'Control Room'!$B$7,('Control Room'!$B$8+'Control Room'!$D$8)/2))+SQRT(1-'Control Room'!$B$9^2)*(BG3-IF('Control Room'!$B$5="Normal",'Control Room'!$B$7,('Control Room'!$B$8+'Control Room'!$D$8)/2))</x:f>
        <x:v>1049.8620949363917</x:v>
      </x:c>
      <x:c r="BI3" s="17" t="n">
        <x:f>IF(AND($A3&gt;='Control Room'!$A$13,$A3&lt;'Control Room'!$A$13+'Control Room'!$B$13,'Process'!BV2=1),1+('Control Room'!$C$13-1)*EXP(-0.5*(($A3-'Control Room'!$A$13-('Control Room'!$B$13-1)/2)/MAX(0.5,'Control Room'!$B$13/4))^2),1)*IF(AND($A3&gt;='Control Room'!$A$14,$A3&lt;'Control Room'!$A$14+'Control Room'!$B$14,'Process'!BV3=1),1+('Control Room'!$C$14-1)*EXP(-0.5*(($A3-'Control Room'!$A$14-('Control Room'!$B$14-1)/2)/MAX(0.5,'Control Room'!$B$14/4))^2),1)*IF(AND($A3&gt;='Control Room'!$A$15,$A3&lt;'Control Room'!$A$15+'Control Room'!$B$15,'Process'!BV4=1),1+('Control Room'!$C$15-1)*EXP(-0.5*(($A3-'Control Room'!$A$15-('Control Room'!$B$15-1)/2)/MAX(0.5,'Control Room'!$B$15/4))^2),1)*IF(AND($A3&gt;='Control Room'!$A$16,$A3&lt;'Control Room'!$A$16+'Control Room'!$B$16,'Process'!BV5=1),1+('Control Room'!$C$16-1)*EXP(-0.5*(($A3-'Control Room'!$A$16-('Control Room'!$B$16-1)/2)/MAX(0.5,'Control Room'!$B$16/4))^2),1)</x:f>
        <x:v>1</x:v>
      </x:c>
      <x:c r="BJ3" s="2" t="str">
        <x:v>Event 2</x:v>
      </x:c>
      <x:c r="BK3" s="2" t="n">
        <x:f>IF(MOD(('Control Room'!$D$2+209458+13007)*48271,2147483647)/2147483647&lt;'Control Room'!$D14,1,0)</x:f>
        <x:v>1</x:v>
      </x:c>
      <x:c r="BL3" s="2" t="n">
        <x:f>IF(MOD(('Control Room'!$D$2+209458+26014)*48271,2147483647)/2147483647&lt;'Control Room'!$D14,1,0)</x:f>
        <x:v>1</x:v>
      </x:c>
      <x:c r="BM3" s="2" t="n">
        <x:f>IF(MOD(('Control Room'!$D$2+209458+39021)*48271,2147483647)/2147483647&lt;'Control Room'!$D14,1,0)</x:f>
        <x:v>1</x:v>
      </x:c>
      <x:c r="BN3" s="2" t="n">
        <x:f>IF(MOD(('Control Room'!$D$2+209458+52028)*48271,2147483647)/2147483647&lt;'Control Room'!$D14,1,0)</x:f>
        <x:v>0</x:v>
      </x:c>
      <x:c r="BO3" s="2" t="n">
        <x:f>IF(MOD(('Control Room'!$D$2+209458+65035)*48271,2147483647)/2147483647&lt;'Control Room'!$D14,1,0)</x:f>
        <x:v>1</x:v>
      </x:c>
      <x:c r="BP3" s="2" t="n">
        <x:f>IF(MOD(('Control Room'!$D$2+209458+78042)*48271,2147483647)/2147483647&lt;'Control Room'!$D14,1,0)</x:f>
        <x:v>1</x:v>
      </x:c>
      <x:c r="BQ3" s="2" t="n">
        <x:f>IF(MOD(('Control Room'!$D$2+209458+91049)*48271,2147483647)/2147483647&lt;'Control Room'!$D14,1,0)</x:f>
        <x:v>0</x:v>
      </x:c>
      <x:c r="BR3" s="2" t="n">
        <x:f>IF(MOD(('Control Room'!$D$2+209458+104056)*48271,2147483647)/2147483647&lt;'Control Room'!$D14,1,0)</x:f>
        <x:v>1</x:v>
      </x:c>
      <x:c r="BS3" s="2" t="n">
        <x:f>IF(MOD(('Control Room'!$D$2+209458+117063)*48271,2147483647)/2147483647&lt;'Control Room'!$D14,1,0)</x:f>
        <x:v>1</x:v>
      </x:c>
      <x:c r="BT3" s="2" t="n">
        <x:f>IF(MOD(('Control Room'!$D$2+209458+130070)*48271,2147483647)/2147483647&lt;'Control Room'!$D14,1,0)</x:f>
        <x:v>1</x:v>
      </x:c>
      <x:c r="BU3" s="2" t="n">
        <x:f>IF(MOD(('Control Room'!$D$2+209458+143077)*48271,2147483647)/2147483647&lt;'Control Room'!$D14,1,0)</x:f>
        <x:v>0</x:v>
      </x:c>
      <x:c r="BV3" s="2" t="n">
        <x:f>IF(MOD(('Control Room'!$D$2+209458+156084)*48271,2147483647)/2147483647&lt;'Control Room'!$D14,1,0)</x:f>
        <x:v>1</x:v>
      </x:c>
      <x:c r="BW3" s="2"/>
      <x:c r="BX3" s="2"/>
      <x:c r="BZ3" t="str">
        <x:f>IF('Data'!A3="","",TEXT('Data'!A3,"mm-dd"))</x:f>
        <x:v>11-03</x:v>
      </x:c>
    </x:row>
    <x:row r="4" ht="21" customHeight="1">
      <x:c r="A4" s="15" t="n">
        <x:f>'Control Room'!$B$1+2</x:f>
        <x:v>72993</x:v>
      </x:c>
      <x:c r="B4" s="9" t="n">
        <x:f>MOD(C3*16807,2147483647)</x:f>
        <x:v>1194496784</x:v>
      </x:c>
      <x:c r="C4" s="9" t="n">
        <x:f>MOD(B4*16807,2147483647)</x:f>
        <x:v>1230316532</x:v>
      </x:c>
      <x:c r="D4" s="17" t="n">
        <x:f>IF('Control Room'!$B$5="Normal",'Control Room'!$B$7+'Control Room'!$D$7*SQRT(-2*LN(MAX(0.000000000001,B4/2147483647)))*COS(2*PI()*C4/2147483647),'Control Room'!$B$8+('Control Room'!$D$8-'Control Room'!$B$8)*B4/2147483647)</x:f>
        <x:v>912.5707345501036</x:v>
      </x:c>
      <x:c r="E4" s="17" t="n">
        <x:f>IF('Control Room'!$B$5="Normal",'Control Room'!$B$7,('Control Room'!$B$8+'Control Room'!$D$8)/2)+'Control Room'!$B$9*(E3-IF('Control Room'!$B$5="Normal",'Control Room'!$B$7,('Control Room'!$B$8+'Control Room'!$D$8)/2))+SQRT(1-'Control Room'!$B$9^2)*(D4-IF('Control Room'!$B$5="Normal",'Control Room'!$B$7,('Control Room'!$B$8+'Control Room'!$D$8)/2))</x:f>
        <x:v>931.1134210667503</x:v>
      </x:c>
      <x:c r="F4" s="17" t="n">
        <x:f>IF(AND($A4&gt;='Control Room'!$A$13,$A4&lt;'Control Room'!$A$13+'Control Room'!$B$13,'Process'!BK2=1),1+('Control Room'!$C$13-1)*EXP(-0.5*(($A4-'Control Room'!$A$13-('Control Room'!$B$13-1)/2)/MAX(0.5,'Control Room'!$B$13/4))^2),1)*IF(AND($A4&gt;='Control Room'!$A$14,$A4&lt;'Control Room'!$A$14+'Control Room'!$B$14,'Process'!BK3=1),1+('Control Room'!$C$14-1)*EXP(-0.5*(($A4-'Control Room'!$A$14-('Control Room'!$B$14-1)/2)/MAX(0.5,'Control Room'!$B$14/4))^2),1)*IF(AND($A4&gt;='Control Room'!$A$15,$A4&lt;'Control Room'!$A$15+'Control Room'!$B$15,'Process'!BK4=1),1+('Control Room'!$C$15-1)*EXP(-0.5*(($A4-'Control Room'!$A$15-('Control Room'!$B$15-1)/2)/MAX(0.5,'Control Room'!$B$15/4))^2),1)*IF(AND($A4&gt;='Control Room'!$A$16,$A4&lt;'Control Room'!$A$16+'Control Room'!$B$16,'Process'!BK5=1),1+('Control Room'!$C$16-1)*EXP(-0.5*(($A4-'Control Room'!$A$16-('Control Room'!$B$16-1)/2)/MAX(0.5,'Control Room'!$B$16/4))^2),1)</x:f>
        <x:v>1</x:v>
      </x:c>
      <x:c r="G4" s="9" t="n">
        <x:f>MOD(H3*16807,2147483647)</x:f>
        <x:v>1581058742</x:v>
      </x:c>
      <x:c r="H4" s="9" t="n">
        <x:f>MOD(G4*16807,2147483647)</x:f>
        <x:v>2039112463</x:v>
      </x:c>
      <x:c r="I4" s="17" t="n">
        <x:f>IF('Control Room'!$B$5="Normal",'Control Room'!$B$7+'Control Room'!$D$7*SQRT(-2*LN(MAX(0.000000000001,G4/2147483647)))*COS(2*PI()*H4/2147483647),'Control Room'!$B$8+('Control Room'!$D$8-'Control Room'!$B$8)*G4/2147483647)</x:f>
        <x:v>1066.919733781231</x:v>
      </x:c>
      <x:c r="J4" s="17" t="n">
        <x:f>IF('Control Room'!$B$5="Normal",'Control Room'!$B$7,('Control Room'!$B$8+'Control Room'!$D$8)/2)+'Control Room'!$B$9*(J3-IF('Control Room'!$B$5="Normal",'Control Room'!$B$7,('Control Room'!$B$8+'Control Room'!$D$8)/2))+SQRT(1-'Control Room'!$B$9^2)*(I4-IF('Control Room'!$B$5="Normal",'Control Room'!$B$7,('Control Room'!$B$8+'Control Room'!$D$8)/2))</x:f>
        <x:v>1087.3524907043914</x:v>
      </x:c>
      <x:c r="K4" s="17" t="n">
        <x:f>IF(AND($A4&gt;='Control Room'!$A$13,$A4&lt;'Control Room'!$A$13+'Control Room'!$B$13,'Process'!BL2=1),1+('Control Room'!$C$13-1)*EXP(-0.5*(($A4-'Control Room'!$A$13-('Control Room'!$B$13-1)/2)/MAX(0.5,'Control Room'!$B$13/4))^2),1)*IF(AND($A4&gt;='Control Room'!$A$14,$A4&lt;'Control Room'!$A$14+'Control Room'!$B$14,'Process'!BL3=1),1+('Control Room'!$C$14-1)*EXP(-0.5*(($A4-'Control Room'!$A$14-('Control Room'!$B$14-1)/2)/MAX(0.5,'Control Room'!$B$14/4))^2),1)*IF(AND($A4&gt;='Control Room'!$A$15,$A4&lt;'Control Room'!$A$15+'Control Room'!$B$15,'Process'!BL4=1),1+('Control Room'!$C$15-1)*EXP(-0.5*(($A4-'Control Room'!$A$15-('Control Room'!$B$15-1)/2)/MAX(0.5,'Control Room'!$B$15/4))^2),1)*IF(AND($A4&gt;='Control Room'!$A$16,$A4&lt;'Control Room'!$A$16+'Control Room'!$B$16,'Process'!BL5=1),1+('Control Room'!$C$16-1)*EXP(-0.5*(($A4-'Control Room'!$A$16-('Control Room'!$B$16-1)/2)/MAX(0.5,'Control Room'!$B$16/4))^2),1)</x:f>
        <x:v>1</x:v>
      </x:c>
      <x:c r="L4" s="9" t="n">
        <x:f>MOD(M3*16807,2147483647)</x:f>
        <x:v>1967620700</x:v>
      </x:c>
      <x:c r="M4" s="9" t="n">
        <x:f>MOD(L4*16807,2147483647)</x:f>
        <x:v>700424747</x:v>
      </x:c>
      <x:c r="N4" s="17" t="n">
        <x:f>IF('Control Room'!$B$5="Normal",'Control Room'!$B$7+'Control Room'!$D$7*SQRT(-2*LN(MAX(0.000000000001,L4/2147483647)))*COS(2*PI()*M4/2147483647),'Control Room'!$B$8+('Control Room'!$D$8-'Control Room'!$B$8)*L4/2147483647)</x:f>
        <x:v>982.66600640228</x:v>
      </x:c>
      <x:c r="O4" s="17" t="n">
        <x:f>IF('Control Room'!$B$5="Normal",'Control Room'!$B$7,('Control Room'!$B$8+'Control Room'!$D$8)/2)+'Control Room'!$B$9*(O3-IF('Control Room'!$B$5="Normal",'Control Room'!$B$7,('Control Room'!$B$8+'Control Room'!$D$8)/2))+SQRT(1-'Control Room'!$B$9^2)*(N4-IF('Control Room'!$B$5="Normal",'Control Room'!$B$7,('Control Room'!$B$8+'Control Room'!$D$8)/2))</x:f>
        <x:v>1101.0176241065526</x:v>
      </x:c>
      <x:c r="P4" s="17" t="n">
        <x:f>IF(AND($A4&gt;='Control Room'!$A$13,$A4&lt;'Control Room'!$A$13+'Control Room'!$B$13,'Process'!BM2=1),1+('Control Room'!$C$13-1)*EXP(-0.5*(($A4-'Control Room'!$A$13-('Control Room'!$B$13-1)/2)/MAX(0.5,'Control Room'!$B$13/4))^2),1)*IF(AND($A4&gt;='Control Room'!$A$14,$A4&lt;'Control Room'!$A$14+'Control Room'!$B$14,'Process'!BM3=1),1+('Control Room'!$C$14-1)*EXP(-0.5*(($A4-'Control Room'!$A$14-('Control Room'!$B$14-1)/2)/MAX(0.5,'Control Room'!$B$14/4))^2),1)*IF(AND($A4&gt;='Control Room'!$A$15,$A4&lt;'Control Room'!$A$15+'Control Room'!$B$15,'Process'!BM4=1),1+('Control Room'!$C$15-1)*EXP(-0.5*(($A4-'Control Room'!$A$15-('Control Room'!$B$15-1)/2)/MAX(0.5,'Control Room'!$B$15/4))^2),1)*IF(AND($A4&gt;='Control Room'!$A$16,$A4&lt;'Control Room'!$A$16+'Control Room'!$B$16,'Process'!BM5=1),1+('Control Room'!$C$16-1)*EXP(-0.5*(($A4-'Control Room'!$A$16-('Control Room'!$B$16-1)/2)/MAX(0.5,'Control Room'!$B$16/4))^2),1)</x:f>
        <x:v>1</x:v>
      </x:c>
      <x:c r="Q4" s="9" t="n">
        <x:f>MOD(R3*16807,2147483647)</x:f>
        <x:v>206699011</x:v>
      </x:c>
      <x:c r="R4" s="9" t="n">
        <x:f>MOD(Q4*16807,2147483647)</x:f>
        <x:v>1509220678</x:v>
      </x:c>
      <x:c r="S4" s="17" t="n">
        <x:f>IF('Control Room'!$B$5="Normal",'Control Room'!$B$7+'Control Room'!$D$7*SQRT(-2*LN(MAX(0.000000000001,Q4/2147483647)))*COS(2*PI()*R4/2147483647),'Control Room'!$B$8+('Control Room'!$D$8-'Control Room'!$B$8)*Q4/2147483647)</x:f>
        <x:v>943.0749126239965</x:v>
      </x:c>
      <x:c r="T4" s="17" t="n">
        <x:f>IF('Control Room'!$B$5="Normal",'Control Room'!$B$7,('Control Room'!$B$8+'Control Room'!$D$8)/2)+'Control Room'!$B$9*(T3-IF('Control Room'!$B$5="Normal",'Control Room'!$B$7,('Control Room'!$B$8+'Control Room'!$D$8)/2))+SQRT(1-'Control Room'!$B$9^2)*(S4-IF('Control Room'!$B$5="Normal",'Control Room'!$B$7,('Control Room'!$B$8+'Control Room'!$D$8)/2))</x:f>
        <x:v>1008.9137176335449</x:v>
      </x:c>
      <x:c r="U4" s="17" t="n">
        <x:f>IF(AND($A4&gt;='Control Room'!$A$13,$A4&lt;'Control Room'!$A$13+'Control Room'!$B$13,'Process'!BN2=1),1+('Control Room'!$C$13-1)*EXP(-0.5*(($A4-'Control Room'!$A$13-('Control Room'!$B$13-1)/2)/MAX(0.5,'Control Room'!$B$13/4))^2),1)*IF(AND($A4&gt;='Control Room'!$A$14,$A4&lt;'Control Room'!$A$14+'Control Room'!$B$14,'Process'!BN3=1),1+('Control Room'!$C$14-1)*EXP(-0.5*(($A4-'Control Room'!$A$14-('Control Room'!$B$14-1)/2)/MAX(0.5,'Control Room'!$B$14/4))^2),1)*IF(AND($A4&gt;='Control Room'!$A$15,$A4&lt;'Control Room'!$A$15+'Control Room'!$B$15,'Process'!BN4=1),1+('Control Room'!$C$15-1)*EXP(-0.5*(($A4-'Control Room'!$A$15-('Control Room'!$B$15-1)/2)/MAX(0.5,'Control Room'!$B$15/4))^2),1)*IF(AND($A4&gt;='Control Room'!$A$16,$A4&lt;'Control Room'!$A$16+'Control Room'!$B$16,'Process'!BN5=1),1+('Control Room'!$C$16-1)*EXP(-0.5*(($A4-'Control Room'!$A$16-('Control Room'!$B$16-1)/2)/MAX(0.5,'Control Room'!$B$16/4))^2),1)</x:f>
        <x:v>1</x:v>
      </x:c>
      <x:c r="V4" s="9" t="n">
        <x:f>MOD(W3*16807,2147483647)</x:f>
        <x:v>593260969</x:v>
      </x:c>
      <x:c r="W4" s="9" t="n">
        <x:f>MOD(V4*16807,2147483647)</x:f>
        <x:v>170532962</x:v>
      </x:c>
      <x:c r="X4" s="17" t="n">
        <x:f>IF('Control Room'!$B$5="Normal",'Control Room'!$B$7+'Control Room'!$D$7*SQRT(-2*LN(MAX(0.000000000001,V4/2147483647)))*COS(2*PI()*W4/2147483647),'Control Room'!$B$8+('Control Room'!$D$8-'Control Room'!$B$8)*V4/2147483647)</x:f>
        <x:v>1126.760790720671</x:v>
      </x:c>
      <x:c r="Y4" s="17" t="n">
        <x:f>IF('Control Room'!$B$5="Normal",'Control Room'!$B$7,('Control Room'!$B$8+'Control Room'!$D$8)/2)+'Control Room'!$B$9*(Y3-IF('Control Room'!$B$5="Normal",'Control Room'!$B$7,('Control Room'!$B$8+'Control Room'!$D$8)/2))+SQRT(1-'Control Room'!$B$9^2)*(X4-IF('Control Room'!$B$5="Normal",'Control Room'!$B$7,('Control Room'!$B$8+'Control Room'!$D$8)/2))</x:f>
        <x:v>1027.6791118386034</x:v>
      </x:c>
      <x:c r="Z4" s="17" t="n">
        <x:f>IF(AND($A4&gt;='Control Room'!$A$13,$A4&lt;'Control Room'!$A$13+'Control Room'!$B$13,'Process'!BO2=1),1+('Control Room'!$C$13-1)*EXP(-0.5*(($A4-'Control Room'!$A$13-('Control Room'!$B$13-1)/2)/MAX(0.5,'Control Room'!$B$13/4))^2),1)*IF(AND($A4&gt;='Control Room'!$A$14,$A4&lt;'Control Room'!$A$14+'Control Room'!$B$14,'Process'!BO3=1),1+('Control Room'!$C$14-1)*EXP(-0.5*(($A4-'Control Room'!$A$14-('Control Room'!$B$14-1)/2)/MAX(0.5,'Control Room'!$B$14/4))^2),1)*IF(AND($A4&gt;='Control Room'!$A$15,$A4&lt;'Control Room'!$A$15+'Control Room'!$B$15,'Process'!BO4=1),1+('Control Room'!$C$15-1)*EXP(-0.5*(($A4-'Control Room'!$A$15-('Control Room'!$B$15-1)/2)/MAX(0.5,'Control Room'!$B$15/4))^2),1)*IF(AND($A4&gt;='Control Room'!$A$16,$A4&lt;'Control Room'!$A$16+'Control Room'!$B$16,'Process'!BO5=1),1+('Control Room'!$C$16-1)*EXP(-0.5*(($A4-'Control Room'!$A$16-('Control Room'!$B$16-1)/2)/MAX(0.5,'Control Room'!$B$16/4))^2),1)</x:f>
        <x:v>1</x:v>
      </x:c>
      <x:c r="AA4" s="9" t="n">
        <x:f>MOD(AB3*16807,2147483647)</x:f>
        <x:v>979822927</x:v>
      </x:c>
      <x:c r="AB4" s="9" t="n">
        <x:f>MOD(AA4*16807,2147483647)</x:f>
        <x:v>979328893</x:v>
      </x:c>
      <x:c r="AC4" s="17" t="n">
        <x:f>IF('Control Room'!$B$5="Normal",'Control Room'!$B$7+'Control Room'!$D$7*SQRT(-2*LN(MAX(0.000000000001,AA4/2147483647)))*COS(2*PI()*AB4/2147483647),'Control Room'!$B$8+('Control Room'!$D$8-'Control Room'!$B$8)*AA4/2147483647)</x:f>
        <x:v>891.5276811038169</x:v>
      </x:c>
      <x:c r="AD4" s="17" t="n">
        <x:f>IF('Control Room'!$B$5="Normal",'Control Room'!$B$7,('Control Room'!$B$8+'Control Room'!$D$8)/2)+'Control Room'!$B$9*(AD3-IF('Control Room'!$B$5="Normal",'Control Room'!$B$7,('Control Room'!$B$8+'Control Room'!$D$8)/2))+SQRT(1-'Control Room'!$B$9^2)*(AC4-IF('Control Room'!$B$5="Normal",'Control Room'!$B$7,('Control Room'!$B$8+'Control Room'!$D$8)/2))</x:f>
        <x:v>957.3942760717189</x:v>
      </x:c>
      <x:c r="AE4" s="17" t="n">
        <x:f>IF(AND($A4&gt;='Control Room'!$A$13,$A4&lt;'Control Room'!$A$13+'Control Room'!$B$13,'Process'!BP2=1),1+('Control Room'!$C$13-1)*EXP(-0.5*(($A4-'Control Room'!$A$13-('Control Room'!$B$13-1)/2)/MAX(0.5,'Control Room'!$B$13/4))^2),1)*IF(AND($A4&gt;='Control Room'!$A$14,$A4&lt;'Control Room'!$A$14+'Control Room'!$B$14,'Process'!BP3=1),1+('Control Room'!$C$14-1)*EXP(-0.5*(($A4-'Control Room'!$A$14-('Control Room'!$B$14-1)/2)/MAX(0.5,'Control Room'!$B$14/4))^2),1)*IF(AND($A4&gt;='Control Room'!$A$15,$A4&lt;'Control Room'!$A$15+'Control Room'!$B$15,'Process'!BP4=1),1+('Control Room'!$C$15-1)*EXP(-0.5*(($A4-'Control Room'!$A$15-('Control Room'!$B$15-1)/2)/MAX(0.5,'Control Room'!$B$15/4))^2),1)*IF(AND($A4&gt;='Control Room'!$A$16,$A4&lt;'Control Room'!$A$16+'Control Room'!$B$16,'Process'!BP5=1),1+('Control Room'!$C$16-1)*EXP(-0.5*(($A4-'Control Room'!$A$16-('Control Room'!$B$16-1)/2)/MAX(0.5,'Control Room'!$B$16/4))^2),1)</x:f>
        <x:v>1</x:v>
      </x:c>
      <x:c r="AF4" s="9" t="n">
        <x:f>MOD(AG3*16807,2147483647)</x:f>
        <x:v>1366384885</x:v>
      </x:c>
      <x:c r="AG4" s="9" t="n">
        <x:f>MOD(AF4*16807,2147483647)</x:f>
        <x:v>1788124824</x:v>
      </x:c>
      <x:c r="AH4" s="17" t="n">
        <x:f>IF('Control Room'!$B$5="Normal",'Control Room'!$B$7+'Control Room'!$D$7*SQRT(-2*LN(MAX(0.000000000001,AF4/2147483647)))*COS(2*PI()*AG4/2147483647),'Control Room'!$B$8+('Control Room'!$D$8-'Control Room'!$B$8)*AF4/2147483647)</x:f>
        <x:v>1042.477871452366</x:v>
      </x:c>
      <x:c r="AI4" s="17" t="n">
        <x:f>IF('Control Room'!$B$5="Normal",'Control Room'!$B$7,('Control Room'!$B$8+'Control Room'!$D$8)/2)+'Control Room'!$B$9*(AI3-IF('Control Room'!$B$5="Normal",'Control Room'!$B$7,('Control Room'!$B$8+'Control Room'!$D$8)/2))+SQRT(1-'Control Room'!$B$9^2)*(AH4-IF('Control Room'!$B$5="Normal",'Control Room'!$B$7,('Control Room'!$B$8+'Control Room'!$D$8)/2))</x:f>
        <x:v>1088.838006491875</x:v>
      </x:c>
      <x:c r="AJ4" s="17" t="n">
        <x:f>IF(AND($A4&gt;='Control Room'!$A$13,$A4&lt;'Control Room'!$A$13+'Control Room'!$B$13,'Process'!BQ2=1),1+('Control Room'!$C$13-1)*EXP(-0.5*(($A4-'Control Room'!$A$13-('Control Room'!$B$13-1)/2)/MAX(0.5,'Control Room'!$B$13/4))^2),1)*IF(AND($A4&gt;='Control Room'!$A$14,$A4&lt;'Control Room'!$A$14+'Control Room'!$B$14,'Process'!BQ3=1),1+('Control Room'!$C$14-1)*EXP(-0.5*(($A4-'Control Room'!$A$14-('Control Room'!$B$14-1)/2)/MAX(0.5,'Control Room'!$B$14/4))^2),1)*IF(AND($A4&gt;='Control Room'!$A$15,$A4&lt;'Control Room'!$A$15+'Control Room'!$B$15,'Process'!BQ4=1),1+('Control Room'!$C$15-1)*EXP(-0.5*(($A4-'Control Room'!$A$15-('Control Room'!$B$15-1)/2)/MAX(0.5,'Control Room'!$B$15/4))^2),1)*IF(AND($A4&gt;='Control Room'!$A$16,$A4&lt;'Control Room'!$A$16+'Control Room'!$B$16,'Process'!BQ5=1),1+('Control Room'!$C$16-1)*EXP(-0.5*(($A4-'Control Room'!$A$16-('Control Room'!$B$16-1)/2)/MAX(0.5,'Control Room'!$B$16/4))^2),1)</x:f>
        <x:v>1</x:v>
      </x:c>
      <x:c r="AK4" s="9" t="n">
        <x:f>MOD(AL3*16807,2147483647)</x:f>
        <x:v>1752946843</x:v>
      </x:c>
      <x:c r="AL4" s="9" t="n">
        <x:f>MOD(AK4*16807,2147483647)</x:f>
        <x:v>449437108</x:v>
      </x:c>
      <x:c r="AM4" s="17" t="n">
        <x:f>IF('Control Room'!$B$5="Normal",'Control Room'!$B$7+'Control Room'!$D$7*SQRT(-2*LN(MAX(0.000000000001,AK4/2147483647)))*COS(2*PI()*AL4/2147483647),'Control Room'!$B$8+('Control Room'!$D$8-'Control Room'!$B$8)*AK4/2147483647)</x:f>
        <x:v>1014.5106218198297</x:v>
      </x:c>
      <x:c r="AN4" s="17" t="n">
        <x:f>IF('Control Room'!$B$5="Normal",'Control Room'!$B$7,('Control Room'!$B$8+'Control Room'!$D$8)/2)+'Control Room'!$B$9*(AN3-IF('Control Room'!$B$5="Normal",'Control Room'!$B$7,('Control Room'!$B$8+'Control Room'!$D$8)/2))+SQRT(1-'Control Room'!$B$9^2)*(AM4-IF('Control Room'!$B$5="Normal",'Control Room'!$B$7,('Control Room'!$B$8+'Control Room'!$D$8)/2))</x:f>
        <x:v>1163.8496450691998</x:v>
      </x:c>
      <x:c r="AO4" s="17" t="n">
        <x:f>IF(AND($A4&gt;='Control Room'!$A$13,$A4&lt;'Control Room'!$A$13+'Control Room'!$B$13,'Process'!BR2=1),1+('Control Room'!$C$13-1)*EXP(-0.5*(($A4-'Control Room'!$A$13-('Control Room'!$B$13-1)/2)/MAX(0.5,'Control Room'!$B$13/4))^2),1)*IF(AND($A4&gt;='Control Room'!$A$14,$A4&lt;'Control Room'!$A$14+'Control Room'!$B$14,'Process'!BR3=1),1+('Control Room'!$C$14-1)*EXP(-0.5*(($A4-'Control Room'!$A$14-('Control Room'!$B$14-1)/2)/MAX(0.5,'Control Room'!$B$14/4))^2),1)*IF(AND($A4&gt;='Control Room'!$A$15,$A4&lt;'Control Room'!$A$15+'Control Room'!$B$15,'Process'!BR4=1),1+('Control Room'!$C$15-1)*EXP(-0.5*(($A4-'Control Room'!$A$15-('Control Room'!$B$15-1)/2)/MAX(0.5,'Control Room'!$B$15/4))^2),1)*IF(AND($A4&gt;='Control Room'!$A$16,$A4&lt;'Control Room'!$A$16+'Control Room'!$B$16,'Process'!BR5=1),1+('Control Room'!$C$16-1)*EXP(-0.5*(($A4-'Control Room'!$A$16-('Control Room'!$B$16-1)/2)/MAX(0.5,'Control Room'!$B$16/4))^2),1)</x:f>
        <x:v>1</x:v>
      </x:c>
      <x:c r="AP4" s="9" t="n">
        <x:f>MOD(AQ3*16807,2147483647)</x:f>
        <x:v>2139508801</x:v>
      </x:c>
      <x:c r="AQ4" s="9" t="n">
        <x:f>MOD(AP4*16807,2147483647)</x:f>
        <x:v>1258233039</x:v>
      </x:c>
      <x:c r="AR4" s="17" t="n">
        <x:f>IF('Control Room'!$B$5="Normal",'Control Room'!$B$7+'Control Room'!$D$7*SQRT(-2*LN(MAX(0.000000000001,AP4/2147483647)))*COS(2*PI()*AQ4/2147483647),'Control Room'!$B$8+('Control Room'!$D$8-'Control Room'!$B$8)*AP4/2147483647)</x:f>
        <x:v>993.3403449805702</x:v>
      </x:c>
      <x:c r="AS4" s="17" t="n">
        <x:f>IF('Control Room'!$B$5="Normal",'Control Room'!$B$7,('Control Room'!$B$8+'Control Room'!$D$8)/2)+'Control Room'!$B$9*(AS3-IF('Control Room'!$B$5="Normal",'Control Room'!$B$7,('Control Room'!$B$8+'Control Room'!$D$8)/2))+SQRT(1-'Control Room'!$B$9^2)*(AR4-IF('Control Room'!$B$5="Normal",'Control Room'!$B$7,('Control Room'!$B$8+'Control Room'!$D$8)/2))</x:f>
        <x:v>1086.915010748115</x:v>
      </x:c>
      <x:c r="AT4" s="17" t="n">
        <x:f>IF(AND($A4&gt;='Control Room'!$A$13,$A4&lt;'Control Room'!$A$13+'Control Room'!$B$13,'Process'!BS2=1),1+('Control Room'!$C$13-1)*EXP(-0.5*(($A4-'Control Room'!$A$13-('Control Room'!$B$13-1)/2)/MAX(0.5,'Control Room'!$B$13/4))^2),1)*IF(AND($A4&gt;='Control Room'!$A$14,$A4&lt;'Control Room'!$A$14+'Control Room'!$B$14,'Process'!BS3=1),1+('Control Room'!$C$14-1)*EXP(-0.5*(($A4-'Control Room'!$A$14-('Control Room'!$B$14-1)/2)/MAX(0.5,'Control Room'!$B$14/4))^2),1)*IF(AND($A4&gt;='Control Room'!$A$15,$A4&lt;'Control Room'!$A$15+'Control Room'!$B$15,'Process'!BS4=1),1+('Control Room'!$C$15-1)*EXP(-0.5*(($A4-'Control Room'!$A$15-('Control Room'!$B$15-1)/2)/MAX(0.5,'Control Room'!$B$15/4))^2),1)*IF(AND($A4&gt;='Control Room'!$A$16,$A4&lt;'Control Room'!$A$16+'Control Room'!$B$16,'Process'!BS5=1),1+('Control Room'!$C$16-1)*EXP(-0.5*(($A4-'Control Room'!$A$16-('Control Room'!$B$16-1)/2)/MAX(0.5,'Control Room'!$B$16/4))^2),1)</x:f>
        <x:v>1</x:v>
      </x:c>
      <x:c r="AU4" s="9" t="n">
        <x:f>MOD(AV3*16807,2147483647)</x:f>
        <x:v>378587112</x:v>
      </x:c>
      <x:c r="AV4" s="9" t="n">
        <x:f>MOD(AU4*16807,2147483647)</x:f>
        <x:v>2067028970</x:v>
      </x:c>
      <x:c r="AW4" s="17" t="n">
        <x:f>IF('Control Room'!$B$5="Normal",'Control Room'!$B$7+'Control Room'!$D$7*SQRT(-2*LN(MAX(0.000000000001,AU4/2147483647)))*COS(2*PI()*AV4/2147483647),'Control Room'!$B$8+('Control Room'!$D$8-'Control Room'!$B$8)*AU4/2147483647)</x:f>
        <x:v>1163.0563572504066</x:v>
      </x:c>
      <x:c r="AX4" s="17" t="n">
        <x:f>IF('Control Room'!$B$5="Normal",'Control Room'!$B$7,('Control Room'!$B$8+'Control Room'!$D$8)/2)+'Control Room'!$B$9*(AX3-IF('Control Room'!$B$5="Normal",'Control Room'!$B$7,('Control Room'!$B$8+'Control Room'!$D$8)/2))+SQRT(1-'Control Room'!$B$9^2)*(AW4-IF('Control Room'!$B$5="Normal",'Control Room'!$B$7,('Control Room'!$B$8+'Control Room'!$D$8)/2))</x:f>
        <x:v>1133.2482773122667</x:v>
      </x:c>
      <x:c r="AY4" s="17" t="n">
        <x:f>IF(AND($A4&gt;='Control Room'!$A$13,$A4&lt;'Control Room'!$A$13+'Control Room'!$B$13,'Process'!BT2=1),1+('Control Room'!$C$13-1)*EXP(-0.5*(($A4-'Control Room'!$A$13-('Control Room'!$B$13-1)/2)/MAX(0.5,'Control Room'!$B$13/4))^2),1)*IF(AND($A4&gt;='Control Room'!$A$14,$A4&lt;'Control Room'!$A$14+'Control Room'!$B$14,'Process'!BT3=1),1+('Control Room'!$C$14-1)*EXP(-0.5*(($A4-'Control Room'!$A$14-('Control Room'!$B$14-1)/2)/MAX(0.5,'Control Room'!$B$14/4))^2),1)*IF(AND($A4&gt;='Control Room'!$A$15,$A4&lt;'Control Room'!$A$15+'Control Room'!$B$15,'Process'!BT4=1),1+('Control Room'!$C$15-1)*EXP(-0.5*(($A4-'Control Room'!$A$15-('Control Room'!$B$15-1)/2)/MAX(0.5,'Control Room'!$B$15/4))^2),1)*IF(AND($A4&gt;='Control Room'!$A$16,$A4&lt;'Control Room'!$A$16+'Control Room'!$B$16,'Process'!BT5=1),1+('Control Room'!$C$16-1)*EXP(-0.5*(($A4-'Control Room'!$A$16-('Control Room'!$B$16-1)/2)/MAX(0.5,'Control Room'!$B$16/4))^2),1)</x:f>
        <x:v>1</x:v>
      </x:c>
      <x:c r="AZ4" s="9" t="n">
        <x:f>MOD(BA3*16807,2147483647)</x:f>
        <x:v>765149070</x:v>
      </x:c>
      <x:c r="BA4" s="9" t="n">
        <x:f>MOD(AZ4*16807,2147483647)</x:f>
        <x:v>728341254</x:v>
      </x:c>
      <x:c r="BB4" s="17" t="n">
        <x:f>IF('Control Room'!$B$5="Normal",'Control Room'!$B$7+'Control Room'!$D$7*SQRT(-2*LN(MAX(0.000000000001,AZ4/2147483647)))*COS(2*PI()*BA4/2147483647),'Control Room'!$B$8+('Control Room'!$D$8-'Control Room'!$B$8)*AZ4/2147483647)</x:f>
        <x:v>931.29533276742</x:v>
      </x:c>
      <x:c r="BC4" s="17" t="n">
        <x:f>IF('Control Room'!$B$5="Normal",'Control Room'!$B$7,('Control Room'!$B$8+'Control Room'!$D$8)/2)+'Control Room'!$B$9*(BC3-IF('Control Room'!$B$5="Normal",'Control Room'!$B$7,('Control Room'!$B$8+'Control Room'!$D$8)/2))+SQRT(1-'Control Room'!$B$9^2)*(BB4-IF('Control Room'!$B$5="Normal",'Control Room'!$B$7,('Control Room'!$B$8+'Control Room'!$D$8)/2))</x:f>
        <x:v>861.6792765874125</x:v>
      </x:c>
      <x:c r="BD4" s="17" t="n">
        <x:f>IF(AND($A4&gt;='Control Room'!$A$13,$A4&lt;'Control Room'!$A$13+'Control Room'!$B$13,'Process'!BU2=1),1+('Control Room'!$C$13-1)*EXP(-0.5*(($A4-'Control Room'!$A$13-('Control Room'!$B$13-1)/2)/MAX(0.5,'Control Room'!$B$13/4))^2),1)*IF(AND($A4&gt;='Control Room'!$A$14,$A4&lt;'Control Room'!$A$14+'Control Room'!$B$14,'Process'!BU3=1),1+('Control Room'!$C$14-1)*EXP(-0.5*(($A4-'Control Room'!$A$14-('Control Room'!$B$14-1)/2)/MAX(0.5,'Control Room'!$B$14/4))^2),1)*IF(AND($A4&gt;='Control Room'!$A$15,$A4&lt;'Control Room'!$A$15+'Control Room'!$B$15,'Process'!BU4=1),1+('Control Room'!$C$15-1)*EXP(-0.5*(($A4-'Control Room'!$A$15-('Control Room'!$B$15-1)/2)/MAX(0.5,'Control Room'!$B$15/4))^2),1)*IF(AND($A4&gt;='Control Room'!$A$16,$A4&lt;'Control Room'!$A$16+'Control Room'!$B$16,'Process'!BU5=1),1+('Control Room'!$C$16-1)*EXP(-0.5*(($A4-'Control Room'!$A$16-('Control Room'!$B$16-1)/2)/MAX(0.5,'Control Room'!$B$16/4))^2),1)</x:f>
        <x:v>1</x:v>
      </x:c>
      <x:c r="BE4" s="9" t="n">
        <x:f>MOD(BF3*16807,2147483647)</x:f>
        <x:v>1151711028</x:v>
      </x:c>
      <x:c r="BF4" s="9" t="n">
        <x:f>MOD(BE4*16807,2147483647)</x:f>
        <x:v>1537137185</x:v>
      </x:c>
      <x:c r="BG4" s="17" t="n">
        <x:f>IF('Control Room'!$B$5="Normal",'Control Room'!$B$7+'Control Room'!$D$7*SQRT(-2*LN(MAX(0.000000000001,BE4/2147483647)))*COS(2*PI()*BF4/2147483647),'Control Room'!$B$8+('Control Room'!$D$8-'Control Room'!$B$8)*BE4/2147483647)</x:f>
        <x:v>978.5680941330392</x:v>
      </x:c>
      <x:c r="BH4" s="17" t="n">
        <x:f>IF('Control Room'!$B$5="Normal",'Control Room'!$B$7,('Control Room'!$B$8+'Control Room'!$D$8)/2)+'Control Room'!$B$9*(BH3-IF('Control Room'!$B$5="Normal",'Control Room'!$B$7,('Control Room'!$B$8+'Control Room'!$D$8)/2))+SQRT(1-'Control Room'!$B$9^2)*(BG4-IF('Control Room'!$B$5="Normal",'Control Room'!$B$7,('Control Room'!$B$8+'Control Room'!$D$8)/2))</x:f>
        <x:v>1025.480786415298</x:v>
      </x:c>
      <x:c r="BI4" s="17" t="n">
        <x:f>IF(AND($A4&gt;='Control Room'!$A$13,$A4&lt;'Control Room'!$A$13+'Control Room'!$B$13,'Process'!BV2=1),1+('Control Room'!$C$13-1)*EXP(-0.5*(($A4-'Control Room'!$A$13-('Control Room'!$B$13-1)/2)/MAX(0.5,'Control Room'!$B$13/4))^2),1)*IF(AND($A4&gt;='Control Room'!$A$14,$A4&lt;'Control Room'!$A$14+'Control Room'!$B$14,'Process'!BV3=1),1+('Control Room'!$C$14-1)*EXP(-0.5*(($A4-'Control Room'!$A$14-('Control Room'!$B$14-1)/2)/MAX(0.5,'Control Room'!$B$14/4))^2),1)*IF(AND($A4&gt;='Control Room'!$A$15,$A4&lt;'Control Room'!$A$15+'Control Room'!$B$15,'Process'!BV4=1),1+('Control Room'!$C$15-1)*EXP(-0.5*(($A4-'Control Room'!$A$15-('Control Room'!$B$15-1)/2)/MAX(0.5,'Control Room'!$B$15/4))^2),1)*IF(AND($A4&gt;='Control Room'!$A$16,$A4&lt;'Control Room'!$A$16+'Control Room'!$B$16,'Process'!BV5=1),1+('Control Room'!$C$16-1)*EXP(-0.5*(($A4-'Control Room'!$A$16-('Control Room'!$B$16-1)/2)/MAX(0.5,'Control Room'!$B$16/4))^2),1)</x:f>
        <x:v>1</x:v>
      </x:c>
      <x:c r="BJ4" s="2" t="str">
        <x:v>Event 3</x:v>
      </x:c>
      <x:c r="BK4" s="2" t="n">
        <x:f>IF(MOD(('Control Room'!$D$2+314187+13007)*48271,2147483647)/2147483647&lt;'Control Room'!$D15,1,0)</x:f>
        <x:v>1</x:v>
      </x:c>
      <x:c r="BL4" s="2" t="n">
        <x:f>IF(MOD(('Control Room'!$D$2+314187+26014)*48271,2147483647)/2147483647&lt;'Control Room'!$D15,1,0)</x:f>
        <x:v>1</x:v>
      </x:c>
      <x:c r="BM4" s="2" t="n">
        <x:f>IF(MOD(('Control Room'!$D$2+314187+39021)*48271,2147483647)/2147483647&lt;'Control Room'!$D15,1,0)</x:f>
        <x:v>0</x:v>
      </x:c>
      <x:c r="BN4" s="2" t="n">
        <x:f>IF(MOD(('Control Room'!$D$2+314187+52028)*48271,2147483647)/2147483647&lt;'Control Room'!$D15,1,0)</x:f>
        <x:v>1</x:v>
      </x:c>
      <x:c r="BO4" s="2" t="n">
        <x:f>IF(MOD(('Control Room'!$D$2+314187+65035)*48271,2147483647)/2147483647&lt;'Control Room'!$D15,1,0)</x:f>
        <x:v>1</x:v>
      </x:c>
      <x:c r="BP4" s="2" t="n">
        <x:f>IF(MOD(('Control Room'!$D$2+314187+78042)*48271,2147483647)/2147483647&lt;'Control Room'!$D15,1,0)</x:f>
        <x:v>0</x:v>
      </x:c>
      <x:c r="BQ4" s="2" t="n">
        <x:f>IF(MOD(('Control Room'!$D$2+314187+91049)*48271,2147483647)/2147483647&lt;'Control Room'!$D15,1,0)</x:f>
        <x:v>1</x:v>
      </x:c>
      <x:c r="BR4" s="2" t="n">
        <x:f>IF(MOD(('Control Room'!$D$2+314187+104056)*48271,2147483647)/2147483647&lt;'Control Room'!$D15,1,0)</x:f>
        <x:v>1</x:v>
      </x:c>
      <x:c r="BS4" s="2" t="n">
        <x:f>IF(MOD(('Control Room'!$D$2+314187+117063)*48271,2147483647)/2147483647&lt;'Control Room'!$D15,1,0)</x:f>
        <x:v>1</x:v>
      </x:c>
      <x:c r="BT4" s="2" t="n">
        <x:f>IF(MOD(('Control Room'!$D$2+314187+130070)*48271,2147483647)/2147483647&lt;'Control Room'!$D15,1,0)</x:f>
        <x:v>0</x:v>
      </x:c>
      <x:c r="BU4" s="2" t="n">
        <x:f>IF(MOD(('Control Room'!$D$2+314187+143077)*48271,2147483647)/2147483647&lt;'Control Room'!$D15,1,0)</x:f>
        <x:v>1</x:v>
      </x:c>
      <x:c r="BV4" s="2" t="n">
        <x:f>IF(MOD(('Control Room'!$D$2+314187+156084)*48271,2147483647)/2147483647&lt;'Control Room'!$D15,1,0)</x:f>
        <x:v>1</x:v>
      </x:c>
      <x:c r="BW4" s="2"/>
      <x:c r="BX4" s="2"/>
      <x:c r="BZ4" t="str">
        <x:f>IF('Data'!A4="","",TEXT('Data'!A4,"mm-dd"))</x:f>
        <x:v>11-04</x:v>
      </x:c>
    </x:row>
    <x:row r="5" ht="21" customHeight="1">
      <x:c r="A5" s="15" t="n">
        <x:f>'Control Room'!$B$1+3</x:f>
        <x:v>72994</x:v>
      </x:c>
      <x:c r="B5" s="9" t="n">
        <x:f>MOD(C4*16807,2147483647)</x:f>
        <x:v>1957400008</x:v>
      </x:c>
      <x:c r="C5" s="9" t="n">
        <x:f>MOD(B5*16807,2147483647)</x:f>
        <x:v>719946063</x:v>
      </x:c>
      <x:c r="D5" s="17" t="n">
        <x:f>IF('Control Room'!$B$5="Normal",'Control Room'!$B$7+'Control Room'!$D$7*SQRT(-2*LN(MAX(0.000000000001,B5/2147483647)))*COS(2*PI()*C5/2147483647),'Control Room'!$B$8+('Control Room'!$D$8-'Control Room'!$B$8)*B5/2147483647)</x:f>
        <x:v>980.223063447305</x:v>
      </x:c>
      <x:c r="E5" s="17" t="n">
        <x:f>IF('Control Room'!$B$5="Normal",'Control Room'!$B$7,('Control Room'!$B$8+'Control Room'!$D$8)/2)+'Control Room'!$B$9*(E4-IF('Control Room'!$B$5="Normal",'Control Room'!$B$7,('Control Room'!$B$8+'Control Room'!$D$8)/2))+SQRT(1-'Control Room'!$B$9^2)*(D5-IF('Control Room'!$B$5="Normal",'Control Room'!$B$7,('Control Room'!$B$8+'Control Room'!$D$8)/2))</x:f>
        <x:v>933.892466689956</x:v>
      </x:c>
      <x:c r="F5" s="17" t="n">
        <x:f>IF(AND($A5&gt;='Control Room'!$A$13,$A5&lt;'Control Room'!$A$13+'Control Room'!$B$13,'Process'!BK2=1),1+('Control Room'!$C$13-1)*EXP(-0.5*(($A5-'Control Room'!$A$13-('Control Room'!$B$13-1)/2)/MAX(0.5,'Control Room'!$B$13/4))^2),1)*IF(AND($A5&gt;='Control Room'!$A$14,$A5&lt;'Control Room'!$A$14+'Control Room'!$B$14,'Process'!BK3=1),1+('Control Room'!$C$14-1)*EXP(-0.5*(($A5-'Control Room'!$A$14-('Control Room'!$B$14-1)/2)/MAX(0.5,'Control Room'!$B$14/4))^2),1)*IF(AND($A5&gt;='Control Room'!$A$15,$A5&lt;'Control Room'!$A$15+'Control Room'!$B$15,'Process'!BK4=1),1+('Control Room'!$C$15-1)*EXP(-0.5*(($A5-'Control Room'!$A$15-('Control Room'!$B$15-1)/2)/MAX(0.5,'Control Room'!$B$15/4))^2),1)*IF(AND($A5&gt;='Control Room'!$A$16,$A5&lt;'Control Room'!$A$16+'Control Room'!$B$16,'Process'!BK5=1),1+('Control Room'!$C$16-1)*EXP(-0.5*(($A5-'Control Room'!$A$16-('Control Room'!$B$16-1)/2)/MAX(0.5,'Control Room'!$B$16/4))^2),1)</x:f>
        <x:v>1</x:v>
      </x:c>
      <x:c r="G5" s="9" t="n">
        <x:f>MOD(H4*16807,2147483647)</x:f>
        <x:v>1819126815</x:v>
      </x:c>
      <x:c r="H5" s="9" t="n">
        <x:f>MOD(G5*16807,2147483647)</x:f>
        <x:v>339697366</x:v>
      </x:c>
      <x:c r="I5" s="17" t="n">
        <x:f>IF('Control Room'!$B$5="Normal",'Control Room'!$B$7+'Control Room'!$D$7*SQRT(-2*LN(MAX(0.000000000001,G5/2147483647)))*COS(2*PI()*H5/2147483647),'Control Room'!$B$8+('Control Room'!$D$8-'Control Room'!$B$8)*G5/2147483647)</x:f>
        <x:v>1028.2793363120643</x:v>
      </x:c>
      <x:c r="J5" s="17" t="n">
        <x:f>IF('Control Room'!$B$5="Normal",'Control Room'!$B$7,('Control Room'!$B$8+'Control Room'!$D$8)/2)+'Control Room'!$B$9*(J4-IF('Control Room'!$B$5="Normal",'Control Room'!$B$7,('Control Room'!$B$8+'Control Room'!$D$8)/2))+SQRT(1-'Control Room'!$B$9^2)*(I5-IF('Control Room'!$B$5="Normal",'Control Room'!$B$7,('Control Room'!$B$8+'Control Room'!$D$8)/2))</x:f>
        <x:v>1085.8315720798212</x:v>
      </x:c>
      <x:c r="K5" s="17" t="n">
        <x:f>IF(AND($A5&gt;='Control Room'!$A$13,$A5&lt;'Control Room'!$A$13+'Control Room'!$B$13,'Process'!BL2=1),1+('Control Room'!$C$13-1)*EXP(-0.5*(($A5-'Control Room'!$A$13-('Control Room'!$B$13-1)/2)/MAX(0.5,'Control Room'!$B$13/4))^2),1)*IF(AND($A5&gt;='Control Room'!$A$14,$A5&lt;'Control Room'!$A$14+'Control Room'!$B$14,'Process'!BL3=1),1+('Control Room'!$C$14-1)*EXP(-0.5*(($A5-'Control Room'!$A$14-('Control Room'!$B$14-1)/2)/MAX(0.5,'Control Room'!$B$14/4))^2),1)*IF(AND($A5&gt;='Control Room'!$A$15,$A5&lt;'Control Room'!$A$15+'Control Room'!$B$15,'Process'!BL4=1),1+('Control Room'!$C$15-1)*EXP(-0.5*(($A5-'Control Room'!$A$15-('Control Room'!$B$15-1)/2)/MAX(0.5,'Control Room'!$B$15/4))^2),1)*IF(AND($A5&gt;='Control Room'!$A$16,$A5&lt;'Control Room'!$A$16+'Control Room'!$B$16,'Process'!BL5=1),1+('Control Room'!$C$16-1)*EXP(-0.5*(($A5-'Control Room'!$A$16-('Control Room'!$B$16-1)/2)/MAX(0.5,'Control Room'!$B$16/4))^2),1)</x:f>
        <x:v>1</x:v>
      </x:c>
      <x:c r="L5" s="9" t="n">
        <x:f>MOD(M4*16807,2147483647)</x:f>
        <x:v>1680853622</x:v>
      </x:c>
      <x:c r="M5" s="9" t="n">
        <x:f>MOD(L5*16807,2147483647)</x:f>
        <x:v>2106932316</x:v>
      </x:c>
      <x:c r="N5" s="17" t="n">
        <x:f>IF('Control Room'!$B$5="Normal",'Control Room'!$B$7+'Control Room'!$D$7*SQRT(-2*LN(MAX(0.000000000001,L5/2147483647)))*COS(2*PI()*M5/2147483647),'Control Room'!$B$8+('Control Room'!$D$8-'Control Room'!$B$8)*L5/2147483647)</x:f>
        <x:v>1062.5564543366402</x:v>
      </x:c>
      <x:c r="O5" s="17" t="n">
        <x:f>IF('Control Room'!$B$5="Normal",'Control Room'!$B$7,('Control Room'!$B$8+'Control Room'!$D$8)/2)+'Control Room'!$B$9*(O4-IF('Control Room'!$B$5="Normal",'Control Room'!$B$7,('Control Room'!$B$8+'Control Room'!$D$8)/2))+SQRT(1-'Control Room'!$B$9^2)*(N5-IF('Control Room'!$B$5="Normal",'Control Room'!$B$7,('Control Room'!$B$8+'Control Room'!$D$8)/2))</x:f>
        <x:v>1117.9402943883554</x:v>
      </x:c>
      <x:c r="P5" s="17" t="n">
        <x:f>IF(AND($A5&gt;='Control Room'!$A$13,$A5&lt;'Control Room'!$A$13+'Control Room'!$B$13,'Process'!BM2=1),1+('Control Room'!$C$13-1)*EXP(-0.5*(($A5-'Control Room'!$A$13-('Control Room'!$B$13-1)/2)/MAX(0.5,'Control Room'!$B$13/4))^2),1)*IF(AND($A5&gt;='Control Room'!$A$14,$A5&lt;'Control Room'!$A$14+'Control Room'!$B$14,'Process'!BM3=1),1+('Control Room'!$C$14-1)*EXP(-0.5*(($A5-'Control Room'!$A$14-('Control Room'!$B$14-1)/2)/MAX(0.5,'Control Room'!$B$14/4))^2),1)*IF(AND($A5&gt;='Control Room'!$A$15,$A5&lt;'Control Room'!$A$15+'Control Room'!$B$15,'Process'!BM4=1),1+('Control Room'!$C$15-1)*EXP(-0.5*(($A5-'Control Room'!$A$15-('Control Room'!$B$15-1)/2)/MAX(0.5,'Control Room'!$B$15/4))^2),1)*IF(AND($A5&gt;='Control Room'!$A$16,$A5&lt;'Control Room'!$A$16+'Control Room'!$B$16,'Process'!BM5=1),1+('Control Room'!$C$16-1)*EXP(-0.5*(($A5-'Control Room'!$A$16-('Control Room'!$B$16-1)/2)/MAX(0.5,'Control Room'!$B$16/4))^2),1)</x:f>
        <x:v>1</x:v>
      </x:c>
      <x:c r="Q5" s="9" t="n">
        <x:f>MOD(R4*16807,2147483647)</x:f>
        <x:v>1542580429</x:v>
      </x:c>
      <x:c r="R5" s="9" t="n">
        <x:f>MOD(Q5*16807,2147483647)</x:f>
        <x:v>1726683619</x:v>
      </x:c>
      <x:c r="S5" s="17" t="n">
        <x:f>IF('Control Room'!$B$5="Normal",'Control Room'!$B$7+'Control Room'!$D$7*SQRT(-2*LN(MAX(0.000000000001,Q5/2147483647)))*COS(2*PI()*R5/2147483647),'Control Room'!$B$8+('Control Room'!$D$8-'Control Room'!$B$8)*Q5/2147483647)</x:f>
        <x:v>1024.3870700071932</x:v>
      </x:c>
      <x:c r="T5" s="17" t="n">
        <x:f>IF('Control Room'!$B$5="Normal",'Control Room'!$B$7,('Control Room'!$B$8+'Control Room'!$D$8)/2)+'Control Room'!$B$9*(T4-IF('Control Room'!$B$5="Normal",'Control Room'!$B$7,('Control Room'!$B$8+'Control Room'!$D$8)/2))+SQRT(1-'Control Room'!$B$9^2)*(S5-IF('Control Room'!$B$5="Normal",'Control Room'!$B$7,('Control Room'!$B$8+'Control Room'!$D$8)/2))</x:f>
        <x:v>1022.2136285683819</x:v>
      </x:c>
      <x:c r="U5" s="17" t="n">
        <x:f>IF(AND($A5&gt;='Control Room'!$A$13,$A5&lt;'Control Room'!$A$13+'Control Room'!$B$13,'Process'!BN2=1),1+('Control Room'!$C$13-1)*EXP(-0.5*(($A5-'Control Room'!$A$13-('Control Room'!$B$13-1)/2)/MAX(0.5,'Control Room'!$B$13/4))^2),1)*IF(AND($A5&gt;='Control Room'!$A$14,$A5&lt;'Control Room'!$A$14+'Control Room'!$B$14,'Process'!BN3=1),1+('Control Room'!$C$14-1)*EXP(-0.5*(($A5-'Control Room'!$A$14-('Control Room'!$B$14-1)/2)/MAX(0.5,'Control Room'!$B$14/4))^2),1)*IF(AND($A5&gt;='Control Room'!$A$15,$A5&lt;'Control Room'!$A$15+'Control Room'!$B$15,'Process'!BN4=1),1+('Control Room'!$C$15-1)*EXP(-0.5*(($A5-'Control Room'!$A$15-('Control Room'!$B$15-1)/2)/MAX(0.5,'Control Room'!$B$15/4))^2),1)*IF(AND($A5&gt;='Control Room'!$A$16,$A5&lt;'Control Room'!$A$16+'Control Room'!$B$16,'Process'!BN5=1),1+('Control Room'!$C$16-1)*EXP(-0.5*(($A5-'Control Room'!$A$16-('Control Room'!$B$16-1)/2)/MAX(0.5,'Control Room'!$B$16/4))^2),1)</x:f>
        <x:v>1</x:v>
      </x:c>
      <x:c r="V5" s="9" t="n">
        <x:f>MOD(W4*16807,2147483647)</x:f>
        <x:v>1404307236</x:v>
      </x:c>
      <x:c r="W5" s="9" t="n">
        <x:f>MOD(V5*16807,2147483647)</x:f>
        <x:v>1346434922</x:v>
      </x:c>
      <x:c r="X5" s="17" t="n">
        <x:f>IF('Control Room'!$B$5="Normal",'Control Room'!$B$7+'Control Room'!$D$7*SQRT(-2*LN(MAX(0.000000000001,V5/2147483647)))*COS(2*PI()*W5/2147483647),'Control Room'!$B$8+('Control Room'!$D$8-'Control Room'!$B$8)*V5/2147483647)</x:f>
        <x:v>942.0794711362587</x:v>
      </x:c>
      <x:c r="Y5" s="17" t="n">
        <x:f>IF('Control Room'!$B$5="Normal",'Control Room'!$B$7,('Control Room'!$B$8+'Control Room'!$D$8)/2)+'Control Room'!$B$9*(Y4-IF('Control Room'!$B$5="Normal",'Control Room'!$B$7,('Control Room'!$B$8+'Control Room'!$D$8)/2))+SQRT(1-'Control Room'!$B$9^2)*(X5-IF('Control Room'!$B$5="Normal",'Control Room'!$B$7,('Control Room'!$B$8+'Control Room'!$D$8)/2))</x:f>
        <x:v>985.3442268377107</x:v>
      </x:c>
      <x:c r="Z5" s="17" t="n">
        <x:f>IF(AND($A5&gt;='Control Room'!$A$13,$A5&lt;'Control Room'!$A$13+'Control Room'!$B$13,'Process'!BO2=1),1+('Control Room'!$C$13-1)*EXP(-0.5*(($A5-'Control Room'!$A$13-('Control Room'!$B$13-1)/2)/MAX(0.5,'Control Room'!$B$13/4))^2),1)*IF(AND($A5&gt;='Control Room'!$A$14,$A5&lt;'Control Room'!$A$14+'Control Room'!$B$14,'Process'!BO3=1),1+('Control Room'!$C$14-1)*EXP(-0.5*(($A5-'Control Room'!$A$14-('Control Room'!$B$14-1)/2)/MAX(0.5,'Control Room'!$B$14/4))^2),1)*IF(AND($A5&gt;='Control Room'!$A$15,$A5&lt;'Control Room'!$A$15+'Control Room'!$B$15,'Process'!BO4=1),1+('Control Room'!$C$15-1)*EXP(-0.5*(($A5-'Control Room'!$A$15-('Control Room'!$B$15-1)/2)/MAX(0.5,'Control Room'!$B$15/4))^2),1)*IF(AND($A5&gt;='Control Room'!$A$16,$A5&lt;'Control Room'!$A$16+'Control Room'!$B$16,'Process'!BO5=1),1+('Control Room'!$C$16-1)*EXP(-0.5*(($A5-'Control Room'!$A$16-('Control Room'!$B$16-1)/2)/MAX(0.5,'Control Room'!$B$16/4))^2),1)</x:f>
        <x:v>1</x:v>
      </x:c>
      <x:c r="AA5" s="9" t="n">
        <x:f>MOD(AB4*16807,2147483647)</x:f>
        <x:v>1266034043</x:v>
      </x:c>
      <x:c r="AB5" s="9" t="n">
        <x:f>MOD(AA5*16807,2147483647)</x:f>
        <x:v>966186225</x:v>
      </x:c>
      <x:c r="AC5" s="17" t="n">
        <x:f>IF('Control Room'!$B$5="Normal",'Control Room'!$B$7+'Control Room'!$D$7*SQRT(-2*LN(MAX(0.000000000001,AA5/2147483647)))*COS(2*PI()*AB5/2147483647),'Control Room'!$B$8+('Control Room'!$D$8-'Control Room'!$B$8)*AA5/2147483647)</x:f>
        <x:v>912.0221448233413</x:v>
      </x:c>
      <x:c r="AD5" s="17" t="n">
        <x:f>IF('Control Room'!$B$5="Normal",'Control Room'!$B$7,('Control Room'!$B$8+'Control Room'!$D$8)/2)+'Control Room'!$B$9*(AD4-IF('Control Room'!$B$5="Normal",'Control Room'!$B$7,('Control Room'!$B$8+'Control Room'!$D$8)/2))+SQRT(1-'Control Room'!$B$9^2)*(AC5-IF('Control Room'!$B$5="Normal",'Control Room'!$B$7,('Control Room'!$B$8+'Control Room'!$D$8)/2))</x:f>
        <x:v>911.712795890716</x:v>
      </x:c>
      <x:c r="AE5" s="17" t="n">
        <x:f>IF(AND($A5&gt;='Control Room'!$A$13,$A5&lt;'Control Room'!$A$13+'Control Room'!$B$13,'Process'!BP2=1),1+('Control Room'!$C$13-1)*EXP(-0.5*(($A5-'Control Room'!$A$13-('Control Room'!$B$13-1)/2)/MAX(0.5,'Control Room'!$B$13/4))^2),1)*IF(AND($A5&gt;='Control Room'!$A$14,$A5&lt;'Control Room'!$A$14+'Control Room'!$B$14,'Process'!BP3=1),1+('Control Room'!$C$14-1)*EXP(-0.5*(($A5-'Control Room'!$A$14-('Control Room'!$B$14-1)/2)/MAX(0.5,'Control Room'!$B$14/4))^2),1)*IF(AND($A5&gt;='Control Room'!$A$15,$A5&lt;'Control Room'!$A$15+'Control Room'!$B$15,'Process'!BP4=1),1+('Control Room'!$C$15-1)*EXP(-0.5*(($A5-'Control Room'!$A$15-('Control Room'!$B$15-1)/2)/MAX(0.5,'Control Room'!$B$15/4))^2),1)*IF(AND($A5&gt;='Control Room'!$A$16,$A5&lt;'Control Room'!$A$16+'Control Room'!$B$16,'Process'!BP5=1),1+('Control Room'!$C$16-1)*EXP(-0.5*(($A5-'Control Room'!$A$16-('Control Room'!$B$16-1)/2)/MAX(0.5,'Control Room'!$B$16/4))^2),1)</x:f>
        <x:v>1</x:v>
      </x:c>
      <x:c r="AF5" s="9" t="n">
        <x:f>MOD(AG4*16807,2147483647)</x:f>
        <x:v>1127760850</x:v>
      </x:c>
      <x:c r="AG5" s="9" t="n">
        <x:f>MOD(AF5*16807,2147483647)</x:f>
        <x:v>585937528</x:v>
      </x:c>
      <x:c r="AH5" s="17" t="n">
        <x:f>IF('Control Room'!$B$5="Normal",'Control Room'!$B$7+'Control Room'!$D$7*SQRT(-2*LN(MAX(0.000000000001,AF5/2147483647)))*COS(2*PI()*AG5/2147483647),'Control Room'!$B$8+('Control Room'!$D$8-'Control Room'!$B$8)*AF5/2147483647)</x:f>
        <x:v>985.3861425781486</x:v>
      </x:c>
      <x:c r="AI5" s="17" t="n">
        <x:f>IF('Control Room'!$B$5="Normal",'Control Room'!$B$7,('Control Room'!$B$8+'Control Room'!$D$8)/2)+'Control Room'!$B$9*(AI4-IF('Control Room'!$B$5="Normal",'Control Room'!$B$7,('Control Room'!$B$8+'Control Room'!$D$8)/2))+SQRT(1-'Control Room'!$B$9^2)*(AH5-IF('Control Room'!$B$5="Normal",'Control Room'!$B$7,('Control Room'!$B$8+'Control Room'!$D$8)/2))</x:f>
        <x:v>1060.1485924702101</x:v>
      </x:c>
      <x:c r="AJ5" s="17" t="n">
        <x:f>IF(AND($A5&gt;='Control Room'!$A$13,$A5&lt;'Control Room'!$A$13+'Control Room'!$B$13,'Process'!BQ2=1),1+('Control Room'!$C$13-1)*EXP(-0.5*(($A5-'Control Room'!$A$13-('Control Room'!$B$13-1)/2)/MAX(0.5,'Control Room'!$B$13/4))^2),1)*IF(AND($A5&gt;='Control Room'!$A$14,$A5&lt;'Control Room'!$A$14+'Control Room'!$B$14,'Process'!BQ3=1),1+('Control Room'!$C$14-1)*EXP(-0.5*(($A5-'Control Room'!$A$14-('Control Room'!$B$14-1)/2)/MAX(0.5,'Control Room'!$B$14/4))^2),1)*IF(AND($A5&gt;='Control Room'!$A$15,$A5&lt;'Control Room'!$A$15+'Control Room'!$B$15,'Process'!BQ4=1),1+('Control Room'!$C$15-1)*EXP(-0.5*(($A5-'Control Room'!$A$15-('Control Room'!$B$15-1)/2)/MAX(0.5,'Control Room'!$B$15/4))^2),1)*IF(AND($A5&gt;='Control Room'!$A$16,$A5&lt;'Control Room'!$A$16+'Control Room'!$B$16,'Process'!BQ5=1),1+('Control Room'!$C$16-1)*EXP(-0.5*(($A5-'Control Room'!$A$16-('Control Room'!$B$16-1)/2)/MAX(0.5,'Control Room'!$B$16/4))^2),1)</x:f>
        <x:v>1</x:v>
      </x:c>
      <x:c r="AK5" s="9" t="n">
        <x:f>MOD(AL4*16807,2147483647)</x:f>
        <x:v>989487657</x:v>
      </x:c>
      <x:c r="AL5" s="9" t="n">
        <x:f>MOD(AK5*16807,2147483647)</x:f>
        <x:v>205688831</x:v>
      </x:c>
      <x:c r="AM5" s="17" t="n">
        <x:f>IF('Control Room'!$B$5="Normal",'Control Room'!$B$7+'Control Room'!$D$7*SQRT(-2*LN(MAX(0.000000000001,AK5/2147483647)))*COS(2*PI()*AL5/2147483647),'Control Room'!$B$8+('Control Room'!$D$8-'Control Room'!$B$8)*AK5/2147483647)</x:f>
        <x:v>1092.3552686072824</x:v>
      </x:c>
      <x:c r="AN5" s="17" t="n">
        <x:f>IF('Control Room'!$B$5="Normal",'Control Room'!$B$7,('Control Room'!$B$8+'Control Room'!$D$8)/2)+'Control Room'!$B$9*(AN4-IF('Control Room'!$B$5="Normal",'Control Room'!$B$7,('Control Room'!$B$8+'Control Room'!$D$8)/2))+SQRT(1-'Control Room'!$B$9^2)*(AM5-IF('Control Room'!$B$5="Normal",'Control Room'!$B$7,('Control Room'!$B$8+'Control Room'!$D$8)/2))</x:f>
        <x:v>1185.5967582478963</x:v>
      </x:c>
      <x:c r="AO5" s="17" t="n">
        <x:f>IF(AND($A5&gt;='Control Room'!$A$13,$A5&lt;'Control Room'!$A$13+'Control Room'!$B$13,'Process'!BR2=1),1+('Control Room'!$C$13-1)*EXP(-0.5*(($A5-'Control Room'!$A$13-('Control Room'!$B$13-1)/2)/MAX(0.5,'Control Room'!$B$13/4))^2),1)*IF(AND($A5&gt;='Control Room'!$A$14,$A5&lt;'Control Room'!$A$14+'Control Room'!$B$14,'Process'!BR3=1),1+('Control Room'!$C$14-1)*EXP(-0.5*(($A5-'Control Room'!$A$14-('Control Room'!$B$14-1)/2)/MAX(0.5,'Control Room'!$B$14/4))^2),1)*IF(AND($A5&gt;='Control Room'!$A$15,$A5&lt;'Control Room'!$A$15+'Control Room'!$B$15,'Process'!BR4=1),1+('Control Room'!$C$15-1)*EXP(-0.5*(($A5-'Control Room'!$A$15-('Control Room'!$B$15-1)/2)/MAX(0.5,'Control Room'!$B$15/4))^2),1)*IF(AND($A5&gt;='Control Room'!$A$16,$A5&lt;'Control Room'!$A$16+'Control Room'!$B$16,'Process'!BR5=1),1+('Control Room'!$C$16-1)*EXP(-0.5*(($A5-'Control Room'!$A$16-('Control Room'!$B$16-1)/2)/MAX(0.5,'Control Room'!$B$16/4))^2),1)</x:f>
        <x:v>1</x:v>
      </x:c>
      <x:c r="AP5" s="9" t="n">
        <x:f>MOD(AQ4*16807,2147483647)</x:f>
        <x:v>851214464</x:v>
      </x:c>
      <x:c r="AQ5" s="9" t="n">
        <x:f>MOD(AP5*16807,2147483647)</x:f>
        <x:v>1972923781</x:v>
      </x:c>
      <x:c r="AR5" s="17" t="n">
        <x:f>IF('Control Room'!$B$5="Normal",'Control Room'!$B$7+'Control Room'!$D$7*SQRT(-2*LN(MAX(0.000000000001,AP5/2147483647)))*COS(2*PI()*AQ5/2147483647),'Control Room'!$B$8+('Control Room'!$D$8-'Control Room'!$B$8)*AP5/2147483647)</x:f>
        <x:v>1106.8140027211803</x:v>
      </x:c>
      <x:c r="AS5" s="17" t="n">
        <x:f>IF('Control Room'!$B$5="Normal",'Control Room'!$B$7,('Control Room'!$B$8+'Control Room'!$D$8)/2)+'Control Room'!$B$9*(AS4-IF('Control Room'!$B$5="Normal",'Control Room'!$B$7,('Control Room'!$B$8+'Control Room'!$D$8)/2))+SQRT(1-'Control Room'!$B$9^2)*(AR5-IF('Control Room'!$B$5="Normal",'Control Room'!$B$7,('Control Room'!$B$8+'Control Room'!$D$8)/2))</x:f>
        <x:v>1134.635723082659</x:v>
      </x:c>
      <x:c r="AT5" s="17" t="n">
        <x:f>IF(AND($A5&gt;='Control Room'!$A$13,$A5&lt;'Control Room'!$A$13+'Control Room'!$B$13,'Process'!BS2=1),1+('Control Room'!$C$13-1)*EXP(-0.5*(($A5-'Control Room'!$A$13-('Control Room'!$B$13-1)/2)/MAX(0.5,'Control Room'!$B$13/4))^2),1)*IF(AND($A5&gt;='Control Room'!$A$14,$A5&lt;'Control Room'!$A$14+'Control Room'!$B$14,'Process'!BS3=1),1+('Control Room'!$C$14-1)*EXP(-0.5*(($A5-'Control Room'!$A$14-('Control Room'!$B$14-1)/2)/MAX(0.5,'Control Room'!$B$14/4))^2),1)*IF(AND($A5&gt;='Control Room'!$A$15,$A5&lt;'Control Room'!$A$15+'Control Room'!$B$15,'Process'!BS4=1),1+('Control Room'!$C$15-1)*EXP(-0.5*(($A5-'Control Room'!$A$15-('Control Room'!$B$15-1)/2)/MAX(0.5,'Control Room'!$B$15/4))^2),1)*IF(AND($A5&gt;='Control Room'!$A$16,$A5&lt;'Control Room'!$A$16+'Control Room'!$B$16,'Process'!BS5=1),1+('Control Room'!$C$16-1)*EXP(-0.5*(($A5-'Control Room'!$A$16-('Control Room'!$B$16-1)/2)/MAX(0.5,'Control Room'!$B$16/4))^2),1)</x:f>
        <x:v>1</x:v>
      </x:c>
      <x:c r="AU5" s="9" t="n">
        <x:f>MOD(AV4*16807,2147483647)</x:f>
        <x:v>712941271</x:v>
      </x:c>
      <x:c r="AV5" s="9" t="n">
        <x:f>MOD(AU5*16807,2147483647)</x:f>
        <x:v>1592675084</x:v>
      </x:c>
      <x:c r="AW5" s="17" t="n">
        <x:f>IF('Control Room'!$B$5="Normal",'Control Room'!$B$7+'Control Room'!$D$7*SQRT(-2*LN(MAX(0.000000000001,AU5/2147483647)))*COS(2*PI()*AV5/2147483647),'Control Room'!$B$8+('Control Room'!$D$8-'Control Room'!$B$8)*AU5/2147483647)</x:f>
        <x:v>992.9887875696281</x:v>
      </x:c>
      <x:c r="AX5" s="17" t="n">
        <x:f>IF('Control Room'!$B$5="Normal",'Control Room'!$B$7,('Control Room'!$B$8+'Control Room'!$D$8)/2)+'Control Room'!$B$9*(AX4-IF('Control Room'!$B$5="Normal",'Control Room'!$B$7,('Control Room'!$B$8+'Control Room'!$D$8)/2))+SQRT(1-'Control Room'!$B$9^2)*(AW5-IF('Control Room'!$B$5="Normal",'Control Room'!$B$7,('Control Room'!$B$8+'Control Room'!$D$8)/2))</x:f>
        <x:v>1099.5461831971352</x:v>
      </x:c>
      <x:c r="AY5" s="17" t="n">
        <x:f>IF(AND($A5&gt;='Control Room'!$A$13,$A5&lt;'Control Room'!$A$13+'Control Room'!$B$13,'Process'!BT2=1),1+('Control Room'!$C$13-1)*EXP(-0.5*(($A5-'Control Room'!$A$13-('Control Room'!$B$13-1)/2)/MAX(0.5,'Control Room'!$B$13/4))^2),1)*IF(AND($A5&gt;='Control Room'!$A$14,$A5&lt;'Control Room'!$A$14+'Control Room'!$B$14,'Process'!BT3=1),1+('Control Room'!$C$14-1)*EXP(-0.5*(($A5-'Control Room'!$A$14-('Control Room'!$B$14-1)/2)/MAX(0.5,'Control Room'!$B$14/4))^2),1)*IF(AND($A5&gt;='Control Room'!$A$15,$A5&lt;'Control Room'!$A$15+'Control Room'!$B$15,'Process'!BT4=1),1+('Control Room'!$C$15-1)*EXP(-0.5*(($A5-'Control Room'!$A$15-('Control Room'!$B$15-1)/2)/MAX(0.5,'Control Room'!$B$15/4))^2),1)*IF(AND($A5&gt;='Control Room'!$A$16,$A5&lt;'Control Room'!$A$16+'Control Room'!$B$16,'Process'!BT5=1),1+('Control Room'!$C$16-1)*EXP(-0.5*(($A5-'Control Room'!$A$16-('Control Room'!$B$16-1)/2)/MAX(0.5,'Control Room'!$B$16/4))^2),1)</x:f>
        <x:v>1</x:v>
      </x:c>
      <x:c r="AZ5" s="9" t="n">
        <x:f>MOD(BA4*16807,2147483647)</x:f>
        <x:v>574668078</x:v>
      </x:c>
      <x:c r="BA5" s="9" t="n">
        <x:f>MOD(AZ5*16807,2147483647)</x:f>
        <x:v>1212426387</x:v>
      </x:c>
      <x:c r="BB5" s="17" t="n">
        <x:f>IF('Control Room'!$B$5="Normal",'Control Room'!$B$7+'Control Room'!$D$7*SQRT(-2*LN(MAX(0.000000000001,AZ5/2147483647)))*COS(2*PI()*BA5/2147483647),'Control Room'!$B$8+('Control Room'!$D$8-'Control Room'!$B$8)*AZ5/2147483647)</x:f>
        <x:v>865.7301046018167</x:v>
      </x:c>
      <x:c r="BC5" s="17" t="n">
        <x:f>IF('Control Room'!$B$5="Normal",'Control Room'!$B$7,('Control Room'!$B$8+'Control Room'!$D$8)/2)+'Control Room'!$B$9*(BC4-IF('Control Room'!$B$5="Normal",'Control Room'!$B$7,('Control Room'!$B$8+'Control Room'!$D$8)/2))+SQRT(1-'Control Room'!$B$9^2)*(BB5-IF('Control Room'!$B$5="Normal",'Control Room'!$B$7,('Control Room'!$B$8+'Control Room'!$D$8)/2))</x:f>
        <x:v>808.086485866318</x:v>
      </x:c>
      <x:c r="BD5" s="17" t="n">
        <x:f>IF(AND($A5&gt;='Control Room'!$A$13,$A5&lt;'Control Room'!$A$13+'Control Room'!$B$13,'Process'!BU2=1),1+('Control Room'!$C$13-1)*EXP(-0.5*(($A5-'Control Room'!$A$13-('Control Room'!$B$13-1)/2)/MAX(0.5,'Control Room'!$B$13/4))^2),1)*IF(AND($A5&gt;='Control Room'!$A$14,$A5&lt;'Control Room'!$A$14+'Control Room'!$B$14,'Process'!BU3=1),1+('Control Room'!$C$14-1)*EXP(-0.5*(($A5-'Control Room'!$A$14-('Control Room'!$B$14-1)/2)/MAX(0.5,'Control Room'!$B$14/4))^2),1)*IF(AND($A5&gt;='Control Room'!$A$15,$A5&lt;'Control Room'!$A$15+'Control Room'!$B$15,'Process'!BU4=1),1+('Control Room'!$C$15-1)*EXP(-0.5*(($A5-'Control Room'!$A$15-('Control Room'!$B$15-1)/2)/MAX(0.5,'Control Room'!$B$15/4))^2),1)*IF(AND($A5&gt;='Control Room'!$A$16,$A5&lt;'Control Room'!$A$16+'Control Room'!$B$16,'Process'!BU5=1),1+('Control Room'!$C$16-1)*EXP(-0.5*(($A5-'Control Room'!$A$16-('Control Room'!$B$16-1)/2)/MAX(0.5,'Control Room'!$B$16/4))^2),1)</x:f>
        <x:v>1</x:v>
      </x:c>
      <x:c r="BE5" s="9" t="n">
        <x:f>MOD(BF4*16807,2147483647)</x:f>
        <x:v>436394885</x:v>
      </x:c>
      <x:c r="BF5" s="9" t="n">
        <x:f>MOD(BE5*16807,2147483647)</x:f>
        <x:v>832177690</x:v>
      </x:c>
      <x:c r="BG5" s="17" t="n">
        <x:f>IF('Control Room'!$B$5="Normal",'Control Room'!$B$7+'Control Room'!$D$7*SQRT(-2*LN(MAX(0.000000000001,BE5/2147483647)))*COS(2*PI()*BF5/2147483647),'Control Room'!$B$8+('Control Room'!$D$8-'Control Room'!$B$8)*BE5/2147483647)</x:f>
        <x:v>877.8172732386234</x:v>
      </x:c>
      <x:c r="BH5" s="17" t="n">
        <x:f>IF('Control Room'!$B$5="Normal",'Control Room'!$B$7,('Control Room'!$B$8+'Control Room'!$D$8)/2)+'Control Room'!$B$9*(BH4-IF('Control Room'!$B$5="Normal",'Control Room'!$B$7,('Control Room'!$B$8+'Control Room'!$D$8)/2))+SQRT(1-'Control Room'!$B$9^2)*(BG5-IF('Control Room'!$B$5="Normal",'Control Room'!$B$7,('Control Room'!$B$8+'Control Room'!$D$8)/2))</x:f>
        <x:v>943.4155660458736</x:v>
      </x:c>
      <x:c r="BI5" s="17" t="n">
        <x:f>IF(AND($A5&gt;='Control Room'!$A$13,$A5&lt;'Control Room'!$A$13+'Control Room'!$B$13,'Process'!BV2=1),1+('Control Room'!$C$13-1)*EXP(-0.5*(($A5-'Control Room'!$A$13-('Control Room'!$B$13-1)/2)/MAX(0.5,'Control Room'!$B$13/4))^2),1)*IF(AND($A5&gt;='Control Room'!$A$14,$A5&lt;'Control Room'!$A$14+'Control Room'!$B$14,'Process'!BV3=1),1+('Control Room'!$C$14-1)*EXP(-0.5*(($A5-'Control Room'!$A$14-('Control Room'!$B$14-1)/2)/MAX(0.5,'Control Room'!$B$14/4))^2),1)*IF(AND($A5&gt;='Control Room'!$A$15,$A5&lt;'Control Room'!$A$15+'Control Room'!$B$15,'Process'!BV4=1),1+('Control Room'!$C$15-1)*EXP(-0.5*(($A5-'Control Room'!$A$15-('Control Room'!$B$15-1)/2)/MAX(0.5,'Control Room'!$B$15/4))^2),1)*IF(AND($A5&gt;='Control Room'!$A$16,$A5&lt;'Control Room'!$A$16+'Control Room'!$B$16,'Process'!BV5=1),1+('Control Room'!$C$16-1)*EXP(-0.5*(($A5-'Control Room'!$A$16-('Control Room'!$B$16-1)/2)/MAX(0.5,'Control Room'!$B$16/4))^2),1)</x:f>
        <x:v>1</x:v>
      </x:c>
      <x:c r="BJ5" s="2" t="str">
        <x:v>Event 4</x:v>
      </x:c>
      <x:c r="BK5" s="2" t="n">
        <x:f>IF(MOD(('Control Room'!$D$2+418916+13007)*48271,2147483647)/2147483647&lt;'Control Room'!$D16,1,0)</x:f>
        <x:v>1</x:v>
      </x:c>
      <x:c r="BL5" s="2" t="n">
        <x:f>IF(MOD(('Control Room'!$D$2+418916+26014)*48271,2147483647)/2147483647&lt;'Control Room'!$D16,1,0)</x:f>
        <x:v>1</x:v>
      </x:c>
      <x:c r="BM5" s="2" t="n">
        <x:f>IF(MOD(('Control Room'!$D$2+418916+39021)*48271,2147483647)/2147483647&lt;'Control Room'!$D16,1,0)</x:f>
        <x:v>1</x:v>
      </x:c>
      <x:c r="BN5" s="2" t="n">
        <x:f>IF(MOD(('Control Room'!$D$2+418916+52028)*48271,2147483647)/2147483647&lt;'Control Room'!$D16,1,0)</x:f>
        <x:v>1</x:v>
      </x:c>
      <x:c r="BO5" s="2" t="n">
        <x:f>IF(MOD(('Control Room'!$D$2+418916+65035)*48271,2147483647)/2147483647&lt;'Control Room'!$D16,1,0)</x:f>
        <x:v>1</x:v>
      </x:c>
      <x:c r="BP5" s="2" t="n">
        <x:f>IF(MOD(('Control Room'!$D$2+418916+78042)*48271,2147483647)/2147483647&lt;'Control Room'!$D16,1,0)</x:f>
        <x:v>1</x:v>
      </x:c>
      <x:c r="BQ5" s="2" t="n">
        <x:f>IF(MOD(('Control Room'!$D$2+418916+91049)*48271,2147483647)/2147483647&lt;'Control Room'!$D16,1,0)</x:f>
        <x:v>1</x:v>
      </x:c>
      <x:c r="BR5" s="2" t="n">
        <x:f>IF(MOD(('Control Room'!$D$2+418916+104056)*48271,2147483647)/2147483647&lt;'Control Room'!$D16,1,0)</x:f>
        <x:v>1</x:v>
      </x:c>
      <x:c r="BS5" s="2" t="n">
        <x:f>IF(MOD(('Control Room'!$D$2+418916+117063)*48271,2147483647)/2147483647&lt;'Control Room'!$D16,1,0)</x:f>
        <x:v>1</x:v>
      </x:c>
      <x:c r="BT5" s="2" t="n">
        <x:f>IF(MOD(('Control Room'!$D$2+418916+130070)*48271,2147483647)/2147483647&lt;'Control Room'!$D16,1,0)</x:f>
        <x:v>1</x:v>
      </x:c>
      <x:c r="BU5" s="2" t="n">
        <x:f>IF(MOD(('Control Room'!$D$2+418916+143077)*48271,2147483647)/2147483647&lt;'Control Room'!$D16,1,0)</x:f>
        <x:v>1</x:v>
      </x:c>
      <x:c r="BV5" s="2" t="n">
        <x:f>IF(MOD(('Control Room'!$D$2+418916+156084)*48271,2147483647)/2147483647&lt;'Control Room'!$D16,1,0)</x:f>
        <x:v>1</x:v>
      </x:c>
      <x:c r="BW5" s="2"/>
      <x:c r="BX5" s="2"/>
      <x:c r="BZ5" t="str">
        <x:f>IF('Data'!A5="","",TEXT('Data'!A5,"mm-dd"))</x:f>
        <x:v>11-05</x:v>
      </x:c>
    </x:row>
    <x:row r="6" ht="21" customHeight="1">
      <x:c r="A6" s="15" t="n">
        <x:f>'Control Room'!$B$1+4</x:f>
        <x:v>72995</x:v>
      </x:c>
      <x:c r="B6" s="9" t="n">
        <x:f>MOD(C5*16807,2147483647)</x:f>
        <x:v>1210613643</x:v>
      </x:c>
      <x:c r="C6" s="9" t="n">
        <x:f>MOD(B6*16807,2147483647)</x:f>
        <x:v>1523426223</x:v>
      </x:c>
      <x:c r="D6" s="17" t="n">
        <x:f>IF('Control Room'!$B$5="Normal",'Control Room'!$B$7+'Control Room'!$D$7*SQRT(-2*LN(MAX(0.000000000001,B6/2147483647)))*COS(2*PI()*C6/2147483647),'Control Room'!$B$8+('Control Room'!$D$8-'Control Room'!$B$8)*B6/2147483647)</x:f>
        <x:v>975.6847951875714</x:v>
      </x:c>
      <x:c r="E6" s="17" t="n">
        <x:f>IF('Control Room'!$B$5="Normal",'Control Room'!$B$7,('Control Room'!$B$8+'Control Room'!$D$8)/2)+'Control Room'!$B$9*(E5-IF('Control Room'!$B$5="Normal",'Control Room'!$B$7,('Control Room'!$B$8+'Control Room'!$D$8)/2))+SQRT(1-'Control Room'!$B$9^2)*(D6-IF('Control Room'!$B$5="Normal",'Control Room'!$B$7,('Control Room'!$B$8+'Control Room'!$D$8)/2))</x:f>
        <x:v>933.2201669705938</x:v>
      </x:c>
      <x:c r="F6" s="17" t="n">
        <x:f>IF(AND($A6&gt;='Control Room'!$A$13,$A6&lt;'Control Room'!$A$13+'Control Room'!$B$13,'Process'!BK2=1),1+('Control Room'!$C$13-1)*EXP(-0.5*(($A6-'Control Room'!$A$13-('Control Room'!$B$13-1)/2)/MAX(0.5,'Control Room'!$B$13/4))^2),1)*IF(AND($A6&gt;='Control Room'!$A$14,$A6&lt;'Control Room'!$A$14+'Control Room'!$B$14,'Process'!BK3=1),1+('Control Room'!$C$14-1)*EXP(-0.5*(($A6-'Control Room'!$A$14-('Control Room'!$B$14-1)/2)/MAX(0.5,'Control Room'!$B$14/4))^2),1)*IF(AND($A6&gt;='Control Room'!$A$15,$A6&lt;'Control Room'!$A$15+'Control Room'!$B$15,'Process'!BK4=1),1+('Control Room'!$C$15-1)*EXP(-0.5*(($A6-'Control Room'!$A$15-('Control Room'!$B$15-1)/2)/MAX(0.5,'Control Room'!$B$15/4))^2),1)*IF(AND($A6&gt;='Control Room'!$A$16,$A6&lt;'Control Room'!$A$16+'Control Room'!$B$16,'Process'!BK5=1),1+('Control Room'!$C$16-1)*EXP(-0.5*(($A6-'Control Room'!$A$16-('Control Room'!$B$16-1)/2)/MAX(0.5,'Control Room'!$B$16/4))^2),1)</x:f>
        <x:v>1</x:v>
      </x:c>
      <x:c r="G6" s="9" t="n">
        <x:f>MOD(H5*16807,2147483647)</x:f>
        <x:v>1282096636</x:v>
      </x:c>
      <x:c r="H6" s="9" t="n">
        <x:f>MOD(G6*16807,2147483647)</x:f>
        <x:v>347247254</x:v>
      </x:c>
      <x:c r="I6" s="17" t="n">
        <x:f>IF('Control Room'!$B$5="Normal",'Control Room'!$B$7+'Control Room'!$D$7*SQRT(-2*LN(MAX(0.000000000001,G6/2147483647)))*COS(2*PI()*H6/2147483647),'Control Room'!$B$8+('Control Room'!$D$8-'Control Room'!$B$8)*G6/2147483647)</x:f>
        <x:v>1048.1534472415642</x:v>
      </x:c>
      <x:c r="J6" s="17" t="n">
        <x:f>IF('Control Room'!$B$5="Normal",'Control Room'!$B$7,('Control Room'!$B$8+'Control Room'!$D$8)/2)+'Control Room'!$B$9*(J5-IF('Control Room'!$B$5="Normal",'Control Room'!$B$7,('Control Room'!$B$8+'Control Room'!$D$8)/2))+SQRT(1-'Control Room'!$B$9^2)*(I6-IF('Control Room'!$B$5="Normal",'Control Room'!$B$7,('Control Room'!$B$8+'Control Room'!$D$8)/2))</x:f>
        <x:v>1097.082067029045</x:v>
      </x:c>
      <x:c r="K6" s="17" t="n">
        <x:f>IF(AND($A6&gt;='Control Room'!$A$13,$A6&lt;'Control Room'!$A$13+'Control Room'!$B$13,'Process'!BL2=1),1+('Control Room'!$C$13-1)*EXP(-0.5*(($A6-'Control Room'!$A$13-('Control Room'!$B$13-1)/2)/MAX(0.5,'Control Room'!$B$13/4))^2),1)*IF(AND($A6&gt;='Control Room'!$A$14,$A6&lt;'Control Room'!$A$14+'Control Room'!$B$14,'Process'!BL3=1),1+('Control Room'!$C$14-1)*EXP(-0.5*(($A6-'Control Room'!$A$14-('Control Room'!$B$14-1)/2)/MAX(0.5,'Control Room'!$B$14/4))^2),1)*IF(AND($A6&gt;='Control Room'!$A$15,$A6&lt;'Control Room'!$A$15+'Control Room'!$B$15,'Process'!BL4=1),1+('Control Room'!$C$15-1)*EXP(-0.5*(($A6-'Control Room'!$A$15-('Control Room'!$B$15-1)/2)/MAX(0.5,'Control Room'!$B$15/4))^2),1)*IF(AND($A6&gt;='Control Room'!$A$16,$A6&lt;'Control Room'!$A$16+'Control Room'!$B$16,'Process'!BL5=1),1+('Control Room'!$C$16-1)*EXP(-0.5*(($A6-'Control Room'!$A$16-('Control Room'!$B$16-1)/2)/MAX(0.5,'Control Room'!$B$16/4))^2),1)</x:f>
        <x:v>1</x:v>
      </x:c>
      <x:c r="L6" s="9" t="n">
        <x:f>MOD(M5*16807,2147483647)</x:f>
        <x:v>1353579629</x:v>
      </x:c>
      <x:c r="M6" s="9" t="n">
        <x:f>MOD(L6*16807,2147483647)</x:f>
        <x:v>1318551932</x:v>
      </x:c>
      <x:c r="N6" s="17" t="n">
        <x:f>IF('Control Room'!$B$5="Normal",'Control Room'!$B$7+'Control Room'!$D$7*SQRT(-2*LN(MAX(0.000000000001,L6/2147483647)))*COS(2*PI()*M6/2147483647),'Control Room'!$B$8+('Control Room'!$D$8-'Control Room'!$B$8)*L6/2147483647)</x:f>
        <x:v>934.7795829789708</x:v>
      </x:c>
      <x:c r="O6" s="17" t="n">
        <x:f>IF('Control Room'!$B$5="Normal",'Control Room'!$B$7,('Control Room'!$B$8+'Control Room'!$D$8)/2)+'Control Room'!$B$9*(O5-IF('Control Room'!$B$5="Normal",'Control Room'!$B$7,('Control Room'!$B$8+'Control Room'!$D$8)/2))+SQRT(1-'Control Room'!$B$9^2)*(N6-IF('Control Room'!$B$5="Normal",'Control Room'!$B$7,('Control Room'!$B$8+'Control Room'!$D$8)/2))</x:f>
        <x:v>1051.179828764024</x:v>
      </x:c>
      <x:c r="P6" s="17" t="n">
        <x:f>IF(AND($A6&gt;='Control Room'!$A$13,$A6&lt;'Control Room'!$A$13+'Control Room'!$B$13,'Process'!BM2=1),1+('Control Room'!$C$13-1)*EXP(-0.5*(($A6-'Control Room'!$A$13-('Control Room'!$B$13-1)/2)/MAX(0.5,'Control Room'!$B$13/4))^2),1)*IF(AND($A6&gt;='Control Room'!$A$14,$A6&lt;'Control Room'!$A$14+'Control Room'!$B$14,'Process'!BM3=1),1+('Control Room'!$C$14-1)*EXP(-0.5*(($A6-'Control Room'!$A$14-('Control Room'!$B$14-1)/2)/MAX(0.5,'Control Room'!$B$14/4))^2),1)*IF(AND($A6&gt;='Control Room'!$A$15,$A6&lt;'Control Room'!$A$15+'Control Room'!$B$15,'Process'!BM4=1),1+('Control Room'!$C$15-1)*EXP(-0.5*(($A6-'Control Room'!$A$15-('Control Room'!$B$15-1)/2)/MAX(0.5,'Control Room'!$B$15/4))^2),1)*IF(AND($A6&gt;='Control Room'!$A$16,$A6&lt;'Control Room'!$A$16+'Control Room'!$B$16,'Process'!BM5=1),1+('Control Room'!$C$16-1)*EXP(-0.5*(($A6-'Control Room'!$A$16-('Control Room'!$B$16-1)/2)/MAX(0.5,'Control Room'!$B$16/4))^2),1)</x:f>
        <x:v>1</x:v>
      </x:c>
      <x:c r="Q6" s="9" t="n">
        <x:f>MOD(R5*16807,2147483647)</x:f>
        <x:v>1425062622</x:v>
      </x:c>
      <x:c r="R6" s="9" t="n">
        <x:f>MOD(Q6*16807,2147483647)</x:f>
        <x:v>142372963</x:v>
      </x:c>
      <x:c r="S6" s="17" t="n">
        <x:f>IF('Control Room'!$B$5="Normal",'Control Room'!$B$7+'Control Room'!$D$7*SQRT(-2*LN(MAX(0.000000000001,Q6/2147483647)))*COS(2*PI()*R6/2147483647),'Control Room'!$B$8+('Control Room'!$D$8-'Control Room'!$B$8)*Q6/2147483647)</x:f>
        <x:v>1074.536588276549</x:v>
      </x:c>
      <x:c r="T6" s="17" t="n">
        <x:f>IF('Control Room'!$B$5="Normal",'Control Room'!$B$7,('Control Room'!$B$8+'Control Room'!$D$8)/2)+'Control Room'!$B$9*(T5-IF('Control Room'!$B$5="Normal",'Control Room'!$B$7,('Control Room'!$B$8+'Control Room'!$D$8)/2))+SQRT(1-'Control Room'!$B$9^2)*(S6-IF('Control Room'!$B$5="Normal",'Control Room'!$B$7,('Control Room'!$B$8+'Control Room'!$D$8)/2))</x:f>
        <x:v>1063.9701002617935</x:v>
      </x:c>
      <x:c r="U6" s="17" t="n">
        <x:f>IF(AND($A6&gt;='Control Room'!$A$13,$A6&lt;'Control Room'!$A$13+'Control Room'!$B$13,'Process'!BN2=1),1+('Control Room'!$C$13-1)*EXP(-0.5*(($A6-'Control Room'!$A$13-('Control Room'!$B$13-1)/2)/MAX(0.5,'Control Room'!$B$13/4))^2),1)*IF(AND($A6&gt;='Control Room'!$A$14,$A6&lt;'Control Room'!$A$14+'Control Room'!$B$14,'Process'!BN3=1),1+('Control Room'!$C$14-1)*EXP(-0.5*(($A6-'Control Room'!$A$14-('Control Room'!$B$14-1)/2)/MAX(0.5,'Control Room'!$B$14/4))^2),1)*IF(AND($A6&gt;='Control Room'!$A$15,$A6&lt;'Control Room'!$A$15+'Control Room'!$B$15,'Process'!BN4=1),1+('Control Room'!$C$15-1)*EXP(-0.5*(($A6-'Control Room'!$A$15-('Control Room'!$B$15-1)/2)/MAX(0.5,'Control Room'!$B$15/4))^2),1)*IF(AND($A6&gt;='Control Room'!$A$16,$A6&lt;'Control Room'!$A$16+'Control Room'!$B$16,'Process'!BN5=1),1+('Control Room'!$C$16-1)*EXP(-0.5*(($A6-'Control Room'!$A$16-('Control Room'!$B$16-1)/2)/MAX(0.5,'Control Room'!$B$16/4))^2),1)</x:f>
        <x:v>1</x:v>
      </x:c>
      <x:c r="V6" s="9" t="n">
        <x:f>MOD(W5*16807,2147483647)</x:f>
        <x:v>1496545615</x:v>
      </x:c>
      <x:c r="W6" s="9" t="n">
        <x:f>MOD(V6*16807,2147483647)</x:f>
        <x:v>1113677641</x:v>
      </x:c>
      <x:c r="X6" s="17" t="n">
        <x:f>IF('Control Room'!$B$5="Normal",'Control Room'!$B$7+'Control Room'!$D$7*SQRT(-2*LN(MAX(0.000000000001,V6/2147483647)))*COS(2*PI()*W6/2147483647),'Control Room'!$B$8+('Control Room'!$D$8-'Control Room'!$B$8)*V6/2147483647)</x:f>
        <x:v>924.0334896037643</x:v>
      </x:c>
      <x:c r="Y6" s="17" t="n">
        <x:f>IF('Control Room'!$B$5="Normal",'Control Room'!$B$7,('Control Room'!$B$8+'Control Room'!$D$8)/2)+'Control Room'!$B$9*(Y5-IF('Control Room'!$B$5="Normal",'Control Room'!$B$7,('Control Room'!$B$8+'Control Room'!$D$8)/2))+SQRT(1-'Control Room'!$B$9^2)*(X6-IF('Control Room'!$B$5="Normal",'Control Room'!$B$7,('Control Room'!$B$8+'Control Room'!$D$8)/2))</x:f>
        <x:v>941.0302109860057</x:v>
      </x:c>
      <x:c r="Z6" s="17" t="n">
        <x:f>IF(AND($A6&gt;='Control Room'!$A$13,$A6&lt;'Control Room'!$A$13+'Control Room'!$B$13,'Process'!BO2=1),1+('Control Room'!$C$13-1)*EXP(-0.5*(($A6-'Control Room'!$A$13-('Control Room'!$B$13-1)/2)/MAX(0.5,'Control Room'!$B$13/4))^2),1)*IF(AND($A6&gt;='Control Room'!$A$14,$A6&lt;'Control Room'!$A$14+'Control Room'!$B$14,'Process'!BO3=1),1+('Control Room'!$C$14-1)*EXP(-0.5*(($A6-'Control Room'!$A$14-('Control Room'!$B$14-1)/2)/MAX(0.5,'Control Room'!$B$14/4))^2),1)*IF(AND($A6&gt;='Control Room'!$A$15,$A6&lt;'Control Room'!$A$15+'Control Room'!$B$15,'Process'!BO4=1),1+('Control Room'!$C$15-1)*EXP(-0.5*(($A6-'Control Room'!$A$15-('Control Room'!$B$15-1)/2)/MAX(0.5,'Control Room'!$B$15/4))^2),1)*IF(AND($A6&gt;='Control Room'!$A$16,$A6&lt;'Control Room'!$A$16+'Control Room'!$B$16,'Process'!BO5=1),1+('Control Room'!$C$16-1)*EXP(-0.5*(($A6-'Control Room'!$A$16-('Control Room'!$B$16-1)/2)/MAX(0.5,'Control Room'!$B$16/4))^2),1)</x:f>
        <x:v>1</x:v>
      </x:c>
      <x:c r="AA6" s="9" t="n">
        <x:f>MOD(AB5*16807,2147483647)</x:f>
        <x:v>1568028608</x:v>
      </x:c>
      <x:c r="AB6" s="9" t="n">
        <x:f>MOD(AA6*16807,2147483647)</x:f>
        <x:v>2084982319</x:v>
      </x:c>
      <x:c r="AC6" s="17" t="n">
        <x:f>IF('Control Room'!$B$5="Normal",'Control Room'!$B$7+'Control Room'!$D$7*SQRT(-2*LN(MAX(0.000000000001,AA6/2147483647)))*COS(2*PI()*AB6/2147483647),'Control Room'!$B$8+('Control Room'!$D$8-'Control Room'!$B$8)*AA6/2147483647)</x:f>
        <x:v>1070.1859068291947</x:v>
      </x:c>
      <x:c r="AD6" s="17" t="n">
        <x:f>IF('Control Room'!$B$5="Normal",'Control Room'!$B$7,('Control Room'!$B$8+'Control Room'!$D$8)/2)+'Control Room'!$B$9*(AD5-IF('Control Room'!$B$5="Normal",'Control Room'!$B$7,('Control Room'!$B$8+'Control Room'!$D$8)/2))+SQRT(1-'Control Room'!$B$9^2)*(AC6-IF('Control Room'!$B$5="Normal",'Control Room'!$B$7,('Control Room'!$B$8+'Control Room'!$D$8)/2))</x:f>
        <x:v>975.0568834520138</x:v>
      </x:c>
      <x:c r="AE6" s="17" t="n">
        <x:f>IF(AND($A6&gt;='Control Room'!$A$13,$A6&lt;'Control Room'!$A$13+'Control Room'!$B$13,'Process'!BP2=1),1+('Control Room'!$C$13-1)*EXP(-0.5*(($A6-'Control Room'!$A$13-('Control Room'!$B$13-1)/2)/MAX(0.5,'Control Room'!$B$13/4))^2),1)*IF(AND($A6&gt;='Control Room'!$A$14,$A6&lt;'Control Room'!$A$14+'Control Room'!$B$14,'Process'!BP3=1),1+('Control Room'!$C$14-1)*EXP(-0.5*(($A6-'Control Room'!$A$14-('Control Room'!$B$14-1)/2)/MAX(0.5,'Control Room'!$B$14/4))^2),1)*IF(AND($A6&gt;='Control Room'!$A$15,$A6&lt;'Control Room'!$A$15+'Control Room'!$B$15,'Process'!BP4=1),1+('Control Room'!$C$15-1)*EXP(-0.5*(($A6-'Control Room'!$A$15-('Control Room'!$B$15-1)/2)/MAX(0.5,'Control Room'!$B$15/4))^2),1)*IF(AND($A6&gt;='Control Room'!$A$16,$A6&lt;'Control Room'!$A$16+'Control Room'!$B$16,'Process'!BP5=1),1+('Control Room'!$C$16-1)*EXP(-0.5*(($A6-'Control Room'!$A$16-('Control Room'!$B$16-1)/2)/MAX(0.5,'Control Room'!$B$16/4))^2),1)</x:f>
        <x:v>1</x:v>
      </x:c>
      <x:c r="AF6" s="9" t="n">
        <x:f>MOD(AG5*16807,2147483647)</x:f>
        <x:v>1639511601</x:v>
      </x:c>
      <x:c r="AG6" s="9" t="n">
        <x:f>MOD(AF6*16807,2147483647)</x:f>
        <x:v>908803350</x:v>
      </x:c>
      <x:c r="AH6" s="17" t="n">
        <x:f>IF('Control Room'!$B$5="Normal",'Control Room'!$B$7+'Control Room'!$D$7*SQRT(-2*LN(MAX(0.000000000001,AF6/2147483647)))*COS(2*PI()*AG6/2147483647),'Control Room'!$B$8+('Control Room'!$D$8-'Control Room'!$B$8)*AF6/2147483647)</x:f>
        <x:v>941.4276126902027</x:v>
      </x:c>
      <x:c r="AI6" s="17" t="n">
        <x:f>IF('Control Room'!$B$5="Normal",'Control Room'!$B$7,('Control Room'!$B$8+'Control Room'!$D$8)/2)+'Control Room'!$B$9*(AI5-IF('Control Room'!$B$5="Normal",'Control Room'!$B$7,('Control Room'!$B$8+'Control Room'!$D$8)/2))+SQRT(1-'Control Room'!$B$9^2)*(AH6-IF('Control Room'!$B$5="Normal",'Control Room'!$B$7,('Control Room'!$B$8+'Control Room'!$D$8)/2))</x:f>
        <x:v>1010.2625020688683</x:v>
      </x:c>
      <x:c r="AJ6" s="17" t="n">
        <x:f>IF(AND($A6&gt;='Control Room'!$A$13,$A6&lt;'Control Room'!$A$13+'Control Room'!$B$13,'Process'!BQ2=1),1+('Control Room'!$C$13-1)*EXP(-0.5*(($A6-'Control Room'!$A$13-('Control Room'!$B$13-1)/2)/MAX(0.5,'Control Room'!$B$13/4))^2),1)*IF(AND($A6&gt;='Control Room'!$A$14,$A6&lt;'Control Room'!$A$14+'Control Room'!$B$14,'Process'!BQ3=1),1+('Control Room'!$C$14-1)*EXP(-0.5*(($A6-'Control Room'!$A$14-('Control Room'!$B$14-1)/2)/MAX(0.5,'Control Room'!$B$14/4))^2),1)*IF(AND($A6&gt;='Control Room'!$A$15,$A6&lt;'Control Room'!$A$15+'Control Room'!$B$15,'Process'!BQ4=1),1+('Control Room'!$C$15-1)*EXP(-0.5*(($A6-'Control Room'!$A$15-('Control Room'!$B$15-1)/2)/MAX(0.5,'Control Room'!$B$15/4))^2),1)*IF(AND($A6&gt;='Control Room'!$A$16,$A6&lt;'Control Room'!$A$16+'Control Room'!$B$16,'Process'!BQ5=1),1+('Control Room'!$C$16-1)*EXP(-0.5*(($A6-'Control Room'!$A$16-('Control Room'!$B$16-1)/2)/MAX(0.5,'Control Room'!$B$16/4))^2),1)</x:f>
        <x:v>1</x:v>
      </x:c>
      <x:c r="AK6" s="9" t="n">
        <x:f>MOD(AL5*16807,2147483647)</x:f>
        <x:v>1710994594</x:v>
      </x:c>
      <x:c r="AL6" s="9" t="n">
        <x:f>MOD(AK6*16807,2147483647)</x:f>
        <x:v>1880108028</x:v>
      </x:c>
      <x:c r="AM6" s="17" t="n">
        <x:f>IF('Control Room'!$B$5="Normal",'Control Room'!$B$7+'Control Room'!$D$7*SQRT(-2*LN(MAX(0.000000000001,AK6/2147483647)))*COS(2*PI()*AL6/2147483647),'Control Room'!$B$8+('Control Room'!$D$8-'Control Room'!$B$8)*AK6/2147483647)</x:f>
        <x:v>1043.0338465319492</x:v>
      </x:c>
      <x:c r="AN6" s="17" t="n">
        <x:f>IF('Control Room'!$B$5="Normal",'Control Room'!$B$7,('Control Room'!$B$8+'Control Room'!$D$8)/2)+'Control Room'!$B$9*(AN5-IF('Control Room'!$B$5="Normal",'Control Room'!$B$7,('Control Room'!$B$8+'Control Room'!$D$8)/2))+SQRT(1-'Control Room'!$B$9^2)*(AM6-IF('Control Room'!$B$5="Normal",'Control Room'!$B$7,('Control Room'!$B$8+'Control Room'!$D$8)/2))</x:f>
        <x:v>1171.6951709967877</x:v>
      </x:c>
      <x:c r="AO6" s="17" t="n">
        <x:f>IF(AND($A6&gt;='Control Room'!$A$13,$A6&lt;'Control Room'!$A$13+'Control Room'!$B$13,'Process'!BR2=1),1+('Control Room'!$C$13-1)*EXP(-0.5*(($A6-'Control Room'!$A$13-('Control Room'!$B$13-1)/2)/MAX(0.5,'Control Room'!$B$13/4))^2),1)*IF(AND($A6&gt;='Control Room'!$A$14,$A6&lt;'Control Room'!$A$14+'Control Room'!$B$14,'Process'!BR3=1),1+('Control Room'!$C$14-1)*EXP(-0.5*(($A6-'Control Room'!$A$14-('Control Room'!$B$14-1)/2)/MAX(0.5,'Control Room'!$B$14/4))^2),1)*IF(AND($A6&gt;='Control Room'!$A$15,$A6&lt;'Control Room'!$A$15+'Control Room'!$B$15,'Process'!BR4=1),1+('Control Room'!$C$15-1)*EXP(-0.5*(($A6-'Control Room'!$A$15-('Control Room'!$B$15-1)/2)/MAX(0.5,'Control Room'!$B$15/4))^2),1)*IF(AND($A6&gt;='Control Room'!$A$16,$A6&lt;'Control Room'!$A$16+'Control Room'!$B$16,'Process'!BR5=1),1+('Control Room'!$C$16-1)*EXP(-0.5*(($A6-'Control Room'!$A$16-('Control Room'!$B$16-1)/2)/MAX(0.5,'Control Room'!$B$16/4))^2),1)</x:f>
        <x:v>1</x:v>
      </x:c>
      <x:c r="AP6" s="9" t="n">
        <x:f>MOD(AQ5*16807,2147483647)</x:f>
        <x:v>1782477587</x:v>
      </x:c>
      <x:c r="AQ6" s="9" t="n">
        <x:f>MOD(AP6*16807,2147483647)</x:f>
        <x:v>703929059</x:v>
      </x:c>
      <x:c r="AR6" s="17" t="n">
        <x:f>IF('Control Room'!$B$5="Normal",'Control Room'!$B$7+'Control Room'!$D$7*SQRT(-2*LN(MAX(0.000000000001,AP6/2147483647)))*COS(2*PI()*AQ6/2147483647),'Control Room'!$B$8+('Control Room'!$D$8-'Control Room'!$B$8)*AP6/2147483647)</x:f>
        <x:v>974.2047319245938</x:v>
      </x:c>
      <x:c r="AS6" s="17" t="n">
        <x:f>IF('Control Room'!$B$5="Normal",'Control Room'!$B$7,('Control Room'!$B$8+'Control Room'!$D$8)/2)+'Control Room'!$B$9*(AS5-IF('Control Room'!$B$5="Normal",'Control Room'!$B$7,('Control Room'!$B$8+'Control Room'!$D$8)/2))+SQRT(1-'Control Room'!$B$9^2)*(AR6-IF('Control Room'!$B$5="Normal",'Control Room'!$B$7,('Control Room'!$B$8+'Control Room'!$D$8)/2))</x:f>
        <x:v>1088.8737136876748</x:v>
      </x:c>
      <x:c r="AT6" s="17" t="n">
        <x:f>IF(AND($A6&gt;='Control Room'!$A$13,$A6&lt;'Control Room'!$A$13+'Control Room'!$B$13,'Process'!BS2=1),1+('Control Room'!$C$13-1)*EXP(-0.5*(($A6-'Control Room'!$A$13-('Control Room'!$B$13-1)/2)/MAX(0.5,'Control Room'!$B$13/4))^2),1)*IF(AND($A6&gt;='Control Room'!$A$14,$A6&lt;'Control Room'!$A$14+'Control Room'!$B$14,'Process'!BS3=1),1+('Control Room'!$C$14-1)*EXP(-0.5*(($A6-'Control Room'!$A$14-('Control Room'!$B$14-1)/2)/MAX(0.5,'Control Room'!$B$14/4))^2),1)*IF(AND($A6&gt;='Control Room'!$A$15,$A6&lt;'Control Room'!$A$15+'Control Room'!$B$15,'Process'!BS4=1),1+('Control Room'!$C$15-1)*EXP(-0.5*(($A6-'Control Room'!$A$15-('Control Room'!$B$15-1)/2)/MAX(0.5,'Control Room'!$B$15/4))^2),1)*IF(AND($A6&gt;='Control Room'!$A$16,$A6&lt;'Control Room'!$A$16+'Control Room'!$B$16,'Process'!BS5=1),1+('Control Room'!$C$16-1)*EXP(-0.5*(($A6-'Control Room'!$A$16-('Control Room'!$B$16-1)/2)/MAX(0.5,'Control Room'!$B$16/4))^2),1)</x:f>
        <x:v>1</x:v>
      </x:c>
      <x:c r="AU6" s="9" t="n">
        <x:f>MOD(AV5*16807,2147483647)</x:f>
        <x:v>1853960580</x:v>
      </x:c>
      <x:c r="AV6" s="9" t="n">
        <x:f>MOD(AU6*16807,2147483647)</x:f>
        <x:v>1675233737</x:v>
      </x:c>
      <x:c r="AW6" s="17" t="n">
        <x:f>IF('Control Room'!$B$5="Normal",'Control Room'!$B$7+'Control Room'!$D$7*SQRT(-2*LN(MAX(0.000000000001,AU6/2147483647)))*COS(2*PI()*AV6/2147483647),'Control Room'!$B$8+('Control Room'!$D$8-'Control Room'!$B$8)*AU6/2147483647)</x:f>
        <x:v>1009.1708317940129</x:v>
      </x:c>
      <x:c r="AX6" s="17" t="n">
        <x:f>IF('Control Room'!$B$5="Normal",'Control Room'!$B$7,('Control Room'!$B$8+'Control Room'!$D$8)/2)+'Control Room'!$B$9*(AX5-IF('Control Room'!$B$5="Normal",'Control Room'!$B$7,('Control Room'!$B$8+'Control Room'!$D$8)/2))+SQRT(1-'Control Room'!$B$9^2)*(AW6-IF('Control Room'!$B$5="Normal",'Control Room'!$B$7,('Control Room'!$B$8+'Control Room'!$D$8)/2))</x:f>
        <x:v>1083.3849415557575</x:v>
      </x:c>
      <x:c r="AY6" s="17" t="n">
        <x:f>IF(AND($A6&gt;='Control Room'!$A$13,$A6&lt;'Control Room'!$A$13+'Control Room'!$B$13,'Process'!BT2=1),1+('Control Room'!$C$13-1)*EXP(-0.5*(($A6-'Control Room'!$A$13-('Control Room'!$B$13-1)/2)/MAX(0.5,'Control Room'!$B$13/4))^2),1)*IF(AND($A6&gt;='Control Room'!$A$14,$A6&lt;'Control Room'!$A$14+'Control Room'!$B$14,'Process'!BT3=1),1+('Control Room'!$C$14-1)*EXP(-0.5*(($A6-'Control Room'!$A$14-('Control Room'!$B$14-1)/2)/MAX(0.5,'Control Room'!$B$14/4))^2),1)*IF(AND($A6&gt;='Control Room'!$A$15,$A6&lt;'Control Room'!$A$15+'Control Room'!$B$15,'Process'!BT4=1),1+('Control Room'!$C$15-1)*EXP(-0.5*(($A6-'Control Room'!$A$15-('Control Room'!$B$15-1)/2)/MAX(0.5,'Control Room'!$B$15/4))^2),1)*IF(AND($A6&gt;='Control Room'!$A$16,$A6&lt;'Control Room'!$A$16+'Control Room'!$B$16,'Process'!BT5=1),1+('Control Room'!$C$16-1)*EXP(-0.5*(($A6-'Control Room'!$A$16-('Control Room'!$B$16-1)/2)/MAX(0.5,'Control Room'!$B$16/4))^2),1)</x:f>
        <x:v>1</x:v>
      </x:c>
      <x:c r="AZ6" s="9" t="n">
        <x:f>MOD(BA5*16807,2147483647)</x:f>
        <x:v>1925443573</x:v>
      </x:c>
      <x:c r="BA6" s="9" t="n">
        <x:f>MOD(AZ6*16807,2147483647)</x:f>
        <x:v>499054768</x:v>
      </x:c>
      <x:c r="BB6" s="17" t="n">
        <x:f>IF('Control Room'!$B$5="Normal",'Control Room'!$B$7+'Control Room'!$D$7*SQRT(-2*LN(MAX(0.000000000001,AZ6/2147483647)))*COS(2*PI()*BA6/2147483647),'Control Room'!$B$8+('Control Room'!$D$8-'Control Room'!$B$8)*AZ6/2147483647)</x:f>
        <x:v>1004.6429181957088</x:v>
      </x:c>
      <x:c r="BC6" s="17" t="n">
        <x:f>IF('Control Room'!$B$5="Normal",'Control Room'!$B$7,('Control Room'!$B$8+'Control Room'!$D$8)/2)+'Control Room'!$B$9*(BC5-IF('Control Room'!$B$5="Normal",'Control Room'!$B$7,('Control Room'!$B$8+'Control Room'!$D$8)/2))+SQRT(1-'Control Room'!$B$9^2)*(BB6-IF('Control Room'!$B$5="Normal",'Control Room'!$B$7,('Control Room'!$B$8+'Control Room'!$D$8)/2))</x:f>
        <x:v>853.2129020672534</x:v>
      </x:c>
      <x:c r="BD6" s="17" t="n">
        <x:f>IF(AND($A6&gt;='Control Room'!$A$13,$A6&lt;'Control Room'!$A$13+'Control Room'!$B$13,'Process'!BU2=1),1+('Control Room'!$C$13-1)*EXP(-0.5*(($A6-'Control Room'!$A$13-('Control Room'!$B$13-1)/2)/MAX(0.5,'Control Room'!$B$13/4))^2),1)*IF(AND($A6&gt;='Control Room'!$A$14,$A6&lt;'Control Room'!$A$14+'Control Room'!$B$14,'Process'!BU3=1),1+('Control Room'!$C$14-1)*EXP(-0.5*(($A6-'Control Room'!$A$14-('Control Room'!$B$14-1)/2)/MAX(0.5,'Control Room'!$B$14/4))^2),1)*IF(AND($A6&gt;='Control Room'!$A$15,$A6&lt;'Control Room'!$A$15+'Control Room'!$B$15,'Process'!BU4=1),1+('Control Room'!$C$15-1)*EXP(-0.5*(($A6-'Control Room'!$A$15-('Control Room'!$B$15-1)/2)/MAX(0.5,'Control Room'!$B$15/4))^2),1)*IF(AND($A6&gt;='Control Room'!$A$16,$A6&lt;'Control Room'!$A$16+'Control Room'!$B$16,'Process'!BU5=1),1+('Control Room'!$C$16-1)*EXP(-0.5*(($A6-'Control Room'!$A$16-('Control Room'!$B$16-1)/2)/MAX(0.5,'Control Room'!$B$16/4))^2),1)</x:f>
        <x:v>1</x:v>
      </x:c>
      <x:c r="BE6" s="9" t="n">
        <x:f>MOD(BF5*16807,2147483647)</x:f>
        <x:v>1996926566</x:v>
      </x:c>
      <x:c r="BF6" s="9" t="n">
        <x:f>MOD(BE6*16807,2147483647)</x:f>
        <x:v>1470359446</x:v>
      </x:c>
      <x:c r="BG6" s="17" t="n">
        <x:f>IF('Control Room'!$B$5="Normal",'Control Room'!$B$7+'Control Room'!$D$7*SQRT(-2*LN(MAX(0.000000000001,BE6/2147483647)))*COS(2*PI()*BF6/2147483647),'Control Room'!$B$8+('Control Room'!$D$8-'Control Room'!$B$8)*BE6/2147483647)</x:f>
        <x:v>986.3103464078348</x:v>
      </x:c>
      <x:c r="BH6" s="17" t="n">
        <x:f>IF('Control Room'!$B$5="Normal",'Control Room'!$B$7,('Control Room'!$B$8+'Control Room'!$D$8)/2)+'Control Room'!$B$9*(BH5-IF('Control Room'!$B$5="Normal",'Control Room'!$B$7,('Control Room'!$B$8+'Control Room'!$D$8)/2))+SQRT(1-'Control Room'!$B$9^2)*(BG6-IF('Control Room'!$B$5="Normal",'Control Room'!$B$7,('Control Room'!$B$8+'Control Room'!$D$8)/2))</x:f>
        <x:v>947.297436745602</x:v>
      </x:c>
      <x:c r="BI6" s="17" t="n">
        <x:f>IF(AND($A6&gt;='Control Room'!$A$13,$A6&lt;'Control Room'!$A$13+'Control Room'!$B$13,'Process'!BV2=1),1+('Control Room'!$C$13-1)*EXP(-0.5*(($A6-'Control Room'!$A$13-('Control Room'!$B$13-1)/2)/MAX(0.5,'Control Room'!$B$13/4))^2),1)*IF(AND($A6&gt;='Control Room'!$A$14,$A6&lt;'Control Room'!$A$14+'Control Room'!$B$14,'Process'!BV3=1),1+('Control Room'!$C$14-1)*EXP(-0.5*(($A6-'Control Room'!$A$14-('Control Room'!$B$14-1)/2)/MAX(0.5,'Control Room'!$B$14/4))^2),1)*IF(AND($A6&gt;='Control Room'!$A$15,$A6&lt;'Control Room'!$A$15+'Control Room'!$B$15,'Process'!BV4=1),1+('Control Room'!$C$15-1)*EXP(-0.5*(($A6-'Control Room'!$A$15-('Control Room'!$B$15-1)/2)/MAX(0.5,'Control Room'!$B$15/4))^2),1)*IF(AND($A6&gt;='Control Room'!$A$16,$A6&lt;'Control Room'!$A$16+'Control Room'!$B$16,'Process'!BV5=1),1+('Control Room'!$C$16-1)*EXP(-0.5*(($A6-'Control Room'!$A$16-('Control Room'!$B$16-1)/2)/MAX(0.5,'Control Room'!$B$16/4))^2),1)</x:f>
        <x:v>1</x:v>
      </x:c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Z6" t="str">
        <x:f>IF('Data'!A6="","",TEXT('Data'!A6,"mm-dd"))</x:f>
        <x:v>11-06</x:v>
      </x:c>
    </x:row>
    <x:row r="7" ht="21" customHeight="1">
      <x:c r="A7" s="15" t="n">
        <x:f>'Control Room'!$B$1+5</x:f>
        <x:v>72996</x:v>
      </x:c>
      <x:c r="B7" s="9" t="n">
        <x:f>MOD(C6*16807,2147483647)</x:f>
        <x:v>1924490427</x:v>
      </x:c>
      <x:c r="C7" s="9" t="n">
        <x:f>MOD(B7*16807,2147483647)</x:f>
        <x:v>1659399122</x:v>
      </x:c>
      <x:c r="D7" s="17" t="n">
        <x:f>IF('Control Room'!$B$5="Normal",'Control Room'!$B$7+'Control Room'!$D$7*SQRT(-2*LN(MAX(0.000000000001,B7/2147483647)))*COS(2*PI()*C7/2147483647),'Control Room'!$B$8+('Control Room'!$D$8-'Control Room'!$B$8)*B7/2147483647)</x:f>
        <x:v>1005.9952328024115</x:v>
      </x:c>
      <x:c r="E7" s="17" t="n">
        <x:f>IF('Control Room'!$B$5="Normal",'Control Room'!$B$7,('Control Room'!$B$8+'Control Room'!$D$8)/2)+'Control Room'!$B$9*(E6-IF('Control Room'!$B$5="Normal",'Control Room'!$B$7,('Control Room'!$B$8+'Control Room'!$D$8)/2))+SQRT(1-'Control Room'!$B$9^2)*(D7-IF('Control Room'!$B$5="Normal",'Control Room'!$B$7,('Control Room'!$B$8+'Control Room'!$D$8)/2))</x:f>
        <x:v>951.6634241057926</x:v>
      </x:c>
      <x:c r="F7" s="17" t="n">
        <x:f>IF(AND($A7&gt;='Control Room'!$A$13,$A7&lt;'Control Room'!$A$13+'Control Room'!$B$13,'Process'!BK2=1),1+('Control Room'!$C$13-1)*EXP(-0.5*(($A7-'Control Room'!$A$13-('Control Room'!$B$13-1)/2)/MAX(0.5,'Control Room'!$B$13/4))^2),1)*IF(AND($A7&gt;='Control Room'!$A$14,$A7&lt;'Control Room'!$A$14+'Control Room'!$B$14,'Process'!BK3=1),1+('Control Room'!$C$14-1)*EXP(-0.5*(($A7-'Control Room'!$A$14-('Control Room'!$B$14-1)/2)/MAX(0.5,'Control Room'!$B$14/4))^2),1)*IF(AND($A7&gt;='Control Room'!$A$15,$A7&lt;'Control Room'!$A$15+'Control Room'!$B$15,'Process'!BK4=1),1+('Control Room'!$C$15-1)*EXP(-0.5*(($A7-'Control Room'!$A$15-('Control Room'!$B$15-1)/2)/MAX(0.5,'Control Room'!$B$15/4))^2),1)*IF(AND($A7&gt;='Control Room'!$A$16,$A7&lt;'Control Room'!$A$16+'Control Room'!$B$16,'Process'!BK5=1),1+('Control Room'!$C$16-1)*EXP(-0.5*(($A7-'Control Room'!$A$16-('Control Room'!$B$16-1)/2)/MAX(0.5,'Control Room'!$B$16/4))^2),1)</x:f>
        <x:v>1</x:v>
      </x:c>
      <x:c r="G7" s="9" t="n">
        <x:f>MOD(H6*16807,2147483647)</x:f>
        <x:v>1471529079</x:v>
      </x:c>
      <x:c r="H7" s="9" t="n">
        <x:f>MOD(G7*16807,2147483647)</x:f>
        <x:v>1567551901</x:v>
      </x:c>
      <x:c r="I7" s="17" t="n">
        <x:f>IF('Control Room'!$B$5="Normal",'Control Room'!$B$7+'Control Room'!$D$7*SQRT(-2*LN(MAX(0.000000000001,G7/2147483647)))*COS(2*PI()*H7/2147483647),'Control Room'!$B$8+('Control Room'!$D$8-'Control Room'!$B$8)*G7/2147483647)</x:f>
        <x:v>990.167062910063</x:v>
      </x:c>
      <x:c r="J7" s="17" t="n">
        <x:f>IF('Control Room'!$B$5="Normal",'Control Room'!$B$7,('Control Room'!$B$8+'Control Room'!$D$8)/2)+'Control Room'!$B$9*(J6-IF('Control Room'!$B$5="Normal",'Control Room'!$B$7,('Control Room'!$B$8+'Control Room'!$D$8)/2))+SQRT(1-'Control Room'!$B$9^2)*(I7-IF('Control Room'!$B$5="Normal",'Control Room'!$B$7,('Control Room'!$B$8+'Control Room'!$D$8)/2))</x:f>
        <x:v>1069.570761690438</x:v>
      </x:c>
      <x:c r="K7" s="17" t="n">
        <x:f>IF(AND($A7&gt;='Control Room'!$A$13,$A7&lt;'Control Room'!$A$13+'Control Room'!$B$13,'Process'!BL2=1),1+('Control Room'!$C$13-1)*EXP(-0.5*(($A7-'Control Room'!$A$13-('Control Room'!$B$13-1)/2)/MAX(0.5,'Control Room'!$B$13/4))^2),1)*IF(AND($A7&gt;='Control Room'!$A$14,$A7&lt;'Control Room'!$A$14+'Control Room'!$B$14,'Process'!BL3=1),1+('Control Room'!$C$14-1)*EXP(-0.5*(($A7-'Control Room'!$A$14-('Control Room'!$B$14-1)/2)/MAX(0.5,'Control Room'!$B$14/4))^2),1)*IF(AND($A7&gt;='Control Room'!$A$15,$A7&lt;'Control Room'!$A$15+'Control Room'!$B$15,'Process'!BL4=1),1+('Control Room'!$C$15-1)*EXP(-0.5*(($A7-'Control Room'!$A$15-('Control Room'!$B$15-1)/2)/MAX(0.5,'Control Room'!$B$15/4))^2),1)*IF(AND($A7&gt;='Control Room'!$A$16,$A7&lt;'Control Room'!$A$16+'Control Room'!$B$16,'Process'!BL5=1),1+('Control Room'!$C$16-1)*EXP(-0.5*(($A7-'Control Room'!$A$16-('Control Room'!$B$16-1)/2)/MAX(0.5,'Control Room'!$B$16/4))^2),1)</x:f>
        <x:v>1</x:v>
      </x:c>
      <x:c r="L7" s="9" t="n">
        <x:f>MOD(M6*16807,2147483647)</x:f>
        <x:v>1018567731</x:v>
      </x:c>
      <x:c r="M7" s="9" t="n">
        <x:f>MOD(L7*16807,2147483647)</x:f>
        <x:v>1475704680</x:v>
      </x:c>
      <x:c r="N7" s="17" t="n">
        <x:f>IF('Control Room'!$B$5="Normal",'Control Room'!$B$7+'Control Room'!$D$7*SQRT(-2*LN(MAX(0.000000000001,L7/2147483647)))*COS(2*PI()*M7/2147483647),'Control Room'!$B$8+('Control Room'!$D$8-'Control Room'!$B$8)*L7/2147483647)</x:f>
        <x:v>957.728375061028</x:v>
      </x:c>
      <x:c r="O7" s="17" t="n">
        <x:f>IF('Control Room'!$B$5="Normal",'Control Room'!$B$7,('Control Room'!$B$8+'Control Room'!$D$8)/2)+'Control Room'!$B$9*(O6-IF('Control Room'!$B$5="Normal",'Control Room'!$B$7,('Control Room'!$B$8+'Control Room'!$D$8)/2))+SQRT(1-'Control Room'!$B$9^2)*(N7-IF('Control Room'!$B$5="Normal",'Control Room'!$B$7,('Control Room'!$B$8+'Control Room'!$D$8)/2))</x:f>
        <x:v>1013.4675495304372</x:v>
      </x:c>
      <x:c r="P7" s="17" t="n">
        <x:f>IF(AND($A7&gt;='Control Room'!$A$13,$A7&lt;'Control Room'!$A$13+'Control Room'!$B$13,'Process'!BM2=1),1+('Control Room'!$C$13-1)*EXP(-0.5*(($A7-'Control Room'!$A$13-('Control Room'!$B$13-1)/2)/MAX(0.5,'Control Room'!$B$13/4))^2),1)*IF(AND($A7&gt;='Control Room'!$A$14,$A7&lt;'Control Room'!$A$14+'Control Room'!$B$14,'Process'!BM3=1),1+('Control Room'!$C$14-1)*EXP(-0.5*(($A7-'Control Room'!$A$14-('Control Room'!$B$14-1)/2)/MAX(0.5,'Control Room'!$B$14/4))^2),1)*IF(AND($A7&gt;='Control Room'!$A$15,$A7&lt;'Control Room'!$A$15+'Control Room'!$B$15,'Process'!BM4=1),1+('Control Room'!$C$15-1)*EXP(-0.5*(($A7-'Control Room'!$A$15-('Control Room'!$B$15-1)/2)/MAX(0.5,'Control Room'!$B$15/4))^2),1)*IF(AND($A7&gt;='Control Room'!$A$16,$A7&lt;'Control Room'!$A$16+'Control Room'!$B$16,'Process'!BM5=1),1+('Control Room'!$C$16-1)*EXP(-0.5*(($A7-'Control Room'!$A$16-('Control Room'!$B$16-1)/2)/MAX(0.5,'Control Room'!$B$16/4))^2),1)</x:f>
        <x:v>1</x:v>
      </x:c>
      <x:c r="Q7" s="9" t="n">
        <x:f>MOD(R6*16807,2147483647)</x:f>
        <x:v>565606383</x:v>
      </x:c>
      <x:c r="R7" s="9" t="n">
        <x:f>MOD(Q7*16807,2147483647)</x:f>
        <x:v>1383857459</x:v>
      </x:c>
      <x:c r="S7" s="17" t="n">
        <x:f>IF('Control Room'!$B$5="Normal",'Control Room'!$B$7+'Control Room'!$D$7*SQRT(-2*LN(MAX(0.000000000001,Q7/2147483647)))*COS(2*PI()*R7/2147483647),'Control Room'!$B$8+('Control Room'!$D$8-'Control Room'!$B$8)*Q7/2147483647)</x:f>
        <x:v>909.4628723267475</x:v>
      </x:c>
      <x:c r="T7" s="17" t="n">
        <x:f>IF('Control Room'!$B$5="Normal",'Control Room'!$B$7,('Control Room'!$B$8+'Control Room'!$D$8)/2)+'Control Room'!$B$9*(T6-IF('Control Room'!$B$5="Normal",'Control Room'!$B$7,('Control Room'!$B$8+'Control Room'!$D$8)/2))+SQRT(1-'Control Room'!$B$9^2)*(S7-IF('Control Room'!$B$5="Normal",'Control Room'!$B$7,('Control Room'!$B$8+'Control Room'!$D$8)/2))</x:f>
        <x:v>993.2403984601527</x:v>
      </x:c>
      <x:c r="U7" s="17" t="n">
        <x:f>IF(AND($A7&gt;='Control Room'!$A$13,$A7&lt;'Control Room'!$A$13+'Control Room'!$B$13,'Process'!BN2=1),1+('Control Room'!$C$13-1)*EXP(-0.5*(($A7-'Control Room'!$A$13-('Control Room'!$B$13-1)/2)/MAX(0.5,'Control Room'!$B$13/4))^2),1)*IF(AND($A7&gt;='Control Room'!$A$14,$A7&lt;'Control Room'!$A$14+'Control Room'!$B$14,'Process'!BN3=1),1+('Control Room'!$C$14-1)*EXP(-0.5*(($A7-'Control Room'!$A$14-('Control Room'!$B$14-1)/2)/MAX(0.5,'Control Room'!$B$14/4))^2),1)*IF(AND($A7&gt;='Control Room'!$A$15,$A7&lt;'Control Room'!$A$15+'Control Room'!$B$15,'Process'!BN4=1),1+('Control Room'!$C$15-1)*EXP(-0.5*(($A7-'Control Room'!$A$15-('Control Room'!$B$15-1)/2)/MAX(0.5,'Control Room'!$B$15/4))^2),1)*IF(AND($A7&gt;='Control Room'!$A$16,$A7&lt;'Control Room'!$A$16+'Control Room'!$B$16,'Process'!BN5=1),1+('Control Room'!$C$16-1)*EXP(-0.5*(($A7-'Control Room'!$A$16-('Control Room'!$B$16-1)/2)/MAX(0.5,'Control Room'!$B$16/4))^2),1)</x:f>
        <x:v>1</x:v>
      </x:c>
      <x:c r="V7" s="9" t="n">
        <x:f>MOD(W6*16807,2147483647)</x:f>
        <x:v>112645035</x:v>
      </x:c>
      <x:c r="W7" s="9" t="n">
        <x:f>MOD(V7*16807,2147483647)</x:f>
        <x:v>1292010238</x:v>
      </x:c>
      <x:c r="X7" s="17" t="n">
        <x:f>IF('Control Room'!$B$5="Normal",'Control Room'!$B$7+'Control Room'!$D$7*SQRT(-2*LN(MAX(0.000000000001,V7/2147483647)))*COS(2*PI()*W7/2147483647),'Control Room'!$B$8+('Control Room'!$D$8-'Control Room'!$B$8)*V7/2147483647)</x:f>
        <x:v>824.5393016856677</x:v>
      </x:c>
      <x:c r="Y7" s="17" t="n">
        <x:f>IF('Control Room'!$B$5="Normal",'Control Room'!$B$7,('Control Room'!$B$8+'Control Room'!$D$8)/2)+'Control Room'!$B$9*(Y6-IF('Control Room'!$B$5="Normal",'Control Room'!$B$7,('Control Room'!$B$8+'Control Room'!$D$8)/2))+SQRT(1-'Control Room'!$B$9^2)*(X7-IF('Control Room'!$B$5="Normal",'Control Room'!$B$7,('Control Room'!$B$8+'Control Room'!$D$8)/2))</x:f>
        <x:v>844.2038540717592</x:v>
      </x:c>
      <x:c r="Z7" s="17" t="n">
        <x:f>IF(AND($A7&gt;='Control Room'!$A$13,$A7&lt;'Control Room'!$A$13+'Control Room'!$B$13,'Process'!BO2=1),1+('Control Room'!$C$13-1)*EXP(-0.5*(($A7-'Control Room'!$A$13-('Control Room'!$B$13-1)/2)/MAX(0.5,'Control Room'!$B$13/4))^2),1)*IF(AND($A7&gt;='Control Room'!$A$14,$A7&lt;'Control Room'!$A$14+'Control Room'!$B$14,'Process'!BO3=1),1+('Control Room'!$C$14-1)*EXP(-0.5*(($A7-'Control Room'!$A$14-('Control Room'!$B$14-1)/2)/MAX(0.5,'Control Room'!$B$14/4))^2),1)*IF(AND($A7&gt;='Control Room'!$A$15,$A7&lt;'Control Room'!$A$15+'Control Room'!$B$15,'Process'!BO4=1),1+('Control Room'!$C$15-1)*EXP(-0.5*(($A7-'Control Room'!$A$15-('Control Room'!$B$15-1)/2)/MAX(0.5,'Control Room'!$B$15/4))^2),1)*IF(AND($A7&gt;='Control Room'!$A$16,$A7&lt;'Control Room'!$A$16+'Control Room'!$B$16,'Process'!BO5=1),1+('Control Room'!$C$16-1)*EXP(-0.5*(($A7-'Control Room'!$A$16-('Control Room'!$B$16-1)/2)/MAX(0.5,'Control Room'!$B$16/4))^2),1)</x:f>
        <x:v>1</x:v>
      </x:c>
      <x:c r="AA7" s="9" t="n">
        <x:f>MOD(AB6*16807,2147483647)</x:f>
        <x:v>1807167334</x:v>
      </x:c>
      <x:c r="AB7" s="9" t="n">
        <x:f>MOD(AA7*16807,2147483647)</x:f>
        <x:v>1200163017</x:v>
      </x:c>
      <x:c r="AC7" s="17" t="n">
        <x:f>IF('Control Room'!$B$5="Normal",'Control Room'!$B$7+'Control Room'!$D$7*SQRT(-2*LN(MAX(0.000000000001,AA7/2147483647)))*COS(2*PI()*AB7/2147483647),'Control Room'!$B$8+('Control Room'!$D$8-'Control Room'!$B$8)*AA7/2147483647)</x:f>
        <x:v>950.7070404488363</x:v>
      </x:c>
      <x:c r="AD7" s="17" t="n">
        <x:f>IF('Control Room'!$B$5="Normal",'Control Room'!$B$7,('Control Room'!$B$8+'Control Room'!$D$8)/2)+'Control Room'!$B$9*(AD6-IF('Control Room'!$B$5="Normal",'Control Room'!$B$7,('Control Room'!$B$8+'Control Room'!$D$8)/2))+SQRT(1-'Control Room'!$B$9^2)*(AC7-IF('Control Room'!$B$5="Normal",'Control Room'!$B$7,('Control Room'!$B$8+'Control Room'!$D$8)/2))</x:f>
        <x:v>949.6978448266177</x:v>
      </x:c>
      <x:c r="AE7" s="17" t="n">
        <x:f>IF(AND($A7&gt;='Control Room'!$A$13,$A7&lt;'Control Room'!$A$13+'Control Room'!$B$13,'Process'!BP2=1),1+('Control Room'!$C$13-1)*EXP(-0.5*(($A7-'Control Room'!$A$13-('Control Room'!$B$13-1)/2)/MAX(0.5,'Control Room'!$B$13/4))^2),1)*IF(AND($A7&gt;='Control Room'!$A$14,$A7&lt;'Control Room'!$A$14+'Control Room'!$B$14,'Process'!BP3=1),1+('Control Room'!$C$14-1)*EXP(-0.5*(($A7-'Control Room'!$A$14-('Control Room'!$B$14-1)/2)/MAX(0.5,'Control Room'!$B$14/4))^2),1)*IF(AND($A7&gt;='Control Room'!$A$15,$A7&lt;'Control Room'!$A$15+'Control Room'!$B$15,'Process'!BP4=1),1+('Control Room'!$C$15-1)*EXP(-0.5*(($A7-'Control Room'!$A$15-('Control Room'!$B$15-1)/2)/MAX(0.5,'Control Room'!$B$15/4))^2),1)*IF(AND($A7&gt;='Control Room'!$A$16,$A7&lt;'Control Room'!$A$16+'Control Room'!$B$16,'Process'!BP5=1),1+('Control Room'!$C$16-1)*EXP(-0.5*(($A7-'Control Room'!$A$16-('Control Room'!$B$16-1)/2)/MAX(0.5,'Control Room'!$B$16/4))^2),1)</x:f>
        <x:v>1</x:v>
      </x:c>
      <x:c r="AF7" s="9" t="n">
        <x:f>MOD(AG6*16807,2147483647)</x:f>
        <x:v>1354205986</x:v>
      </x:c>
      <x:c r="AG7" s="9" t="n">
        <x:f>MOD(AF7*16807,2147483647)</x:f>
        <x:v>1108315796</x:v>
      </x:c>
      <x:c r="AH7" s="17" t="n">
        <x:f>IF('Control Room'!$B$5="Normal",'Control Room'!$B$7+'Control Room'!$D$7*SQRT(-2*LN(MAX(0.000000000001,AF7/2147483647)))*COS(2*PI()*AG7/2147483647),'Control Room'!$B$8+('Control Room'!$D$8-'Control Room'!$B$8)*AF7/2147483647)</x:f>
        <x:v>914.0154357878944</x:v>
      </x:c>
      <x:c r="AI7" s="17" t="n">
        <x:f>IF('Control Room'!$B$5="Normal",'Control Room'!$B$7,('Control Room'!$B$8+'Control Room'!$D$8)/2)+'Control Room'!$B$9*(AI6-IF('Control Room'!$B$5="Normal",'Control Room'!$B$7,('Control Room'!$B$8+'Control Room'!$D$8)/2))+SQRT(1-'Control Room'!$B$9^2)*(AH7-IF('Control Room'!$B$5="Normal",'Control Room'!$B$7,('Control Room'!$B$8+'Control Room'!$D$8)/2))</x:f>
        <x:v>954.197372819325</x:v>
      </x:c>
      <x:c r="AJ7" s="17" t="n">
        <x:f>IF(AND($A7&gt;='Control Room'!$A$13,$A7&lt;'Control Room'!$A$13+'Control Room'!$B$13,'Process'!BQ2=1),1+('Control Room'!$C$13-1)*EXP(-0.5*(($A7-'Control Room'!$A$13-('Control Room'!$B$13-1)/2)/MAX(0.5,'Control Room'!$B$13/4))^2),1)*IF(AND($A7&gt;='Control Room'!$A$14,$A7&lt;'Control Room'!$A$14+'Control Room'!$B$14,'Process'!BQ3=1),1+('Control Room'!$C$14-1)*EXP(-0.5*(($A7-'Control Room'!$A$14-('Control Room'!$B$14-1)/2)/MAX(0.5,'Control Room'!$B$14/4))^2),1)*IF(AND($A7&gt;='Control Room'!$A$15,$A7&lt;'Control Room'!$A$15+'Control Room'!$B$15,'Process'!BQ4=1),1+('Control Room'!$C$15-1)*EXP(-0.5*(($A7-'Control Room'!$A$15-('Control Room'!$B$15-1)/2)/MAX(0.5,'Control Room'!$B$15/4))^2),1)*IF(AND($A7&gt;='Control Room'!$A$16,$A7&lt;'Control Room'!$A$16+'Control Room'!$B$16,'Process'!BQ5=1),1+('Control Room'!$C$16-1)*EXP(-0.5*(($A7-'Control Room'!$A$16-('Control Room'!$B$16-1)/2)/MAX(0.5,'Control Room'!$B$16/4))^2),1)</x:f>
        <x:v>1</x:v>
      </x:c>
      <x:c r="AK7" s="9" t="n">
        <x:f>MOD(AL6*16807,2147483647)</x:f>
        <x:v>901244638</x:v>
      </x:c>
      <x:c r="AL7" s="9" t="n">
        <x:f>MOD(AK7*16807,2147483647)</x:f>
        <x:v>1016468575</x:v>
      </x:c>
      <x:c r="AM7" s="17" t="n">
        <x:f>IF('Control Room'!$B$5="Normal",'Control Room'!$B$7+'Control Room'!$D$7*SQRT(-2*LN(MAX(0.000000000001,AK7/2147483647)))*COS(2*PI()*AL7/2147483647),'Control Room'!$B$8+('Control Room'!$D$8-'Control Room'!$B$8)*AK7/2147483647)</x:f>
        <x:v>883.06086106304</x:v>
      </x:c>
      <x:c r="AN7" s="17" t="n">
        <x:f>IF('Control Room'!$B$5="Normal",'Control Room'!$B$7,('Control Room'!$B$8+'Control Room'!$D$8)/2)+'Control Room'!$B$9*(AN6-IF('Control Room'!$B$5="Normal",'Control Room'!$B$7,('Control Room'!$B$8+'Control Room'!$D$8)/2))+SQRT(1-'Control Room'!$B$9^2)*(AM7-IF('Control Room'!$B$5="Normal",'Control Room'!$B$7,('Control Room'!$B$8+'Control Room'!$D$8)/2))</x:f>
        <x:v>1060.74411585922</x:v>
      </x:c>
      <x:c r="AO7" s="17" t="n">
        <x:f>IF(AND($A7&gt;='Control Room'!$A$13,$A7&lt;'Control Room'!$A$13+'Control Room'!$B$13,'Process'!BR2=1),1+('Control Room'!$C$13-1)*EXP(-0.5*(($A7-'Control Room'!$A$13-('Control Room'!$B$13-1)/2)/MAX(0.5,'Control Room'!$B$13/4))^2),1)*IF(AND($A7&gt;='Control Room'!$A$14,$A7&lt;'Control Room'!$A$14+'Control Room'!$B$14,'Process'!BR3=1),1+('Control Room'!$C$14-1)*EXP(-0.5*(($A7-'Control Room'!$A$14-('Control Room'!$B$14-1)/2)/MAX(0.5,'Control Room'!$B$14/4))^2),1)*IF(AND($A7&gt;='Control Room'!$A$15,$A7&lt;'Control Room'!$A$15+'Control Room'!$B$15,'Process'!BR4=1),1+('Control Room'!$C$15-1)*EXP(-0.5*(($A7-'Control Room'!$A$15-('Control Room'!$B$15-1)/2)/MAX(0.5,'Control Room'!$B$15/4))^2),1)*IF(AND($A7&gt;='Control Room'!$A$16,$A7&lt;'Control Room'!$A$16+'Control Room'!$B$16,'Process'!BR5=1),1+('Control Room'!$C$16-1)*EXP(-0.5*(($A7-'Control Room'!$A$16-('Control Room'!$B$16-1)/2)/MAX(0.5,'Control Room'!$B$16/4))^2),1)</x:f>
        <x:v>1</x:v>
      </x:c>
      <x:c r="AP7" s="9" t="n">
        <x:f>MOD(AQ6*16807,2147483647)</x:f>
        <x:v>448283290</x:v>
      </x:c>
      <x:c r="AQ7" s="9" t="n">
        <x:f>MOD(AP7*16807,2147483647)</x:f>
        <x:v>924621354</x:v>
      </x:c>
      <x:c r="AR7" s="17" t="n">
        <x:f>IF('Control Room'!$B$5="Normal",'Control Room'!$B$7+'Control Room'!$D$7*SQRT(-2*LN(MAX(0.000000000001,AP7/2147483647)))*COS(2*PI()*AQ7/2147483647),'Control Room'!$B$8+('Control Room'!$D$8-'Control Room'!$B$8)*AP7/2147483647)</x:f>
        <x:v>855.614991882713</x:v>
      </x:c>
      <x:c r="AS7" s="17" t="n">
        <x:f>IF('Control Room'!$B$5="Normal",'Control Room'!$B$7,('Control Room'!$B$8+'Control Room'!$D$8)/2)+'Control Room'!$B$9*(AS6-IF('Control Room'!$B$5="Normal",'Control Room'!$B$7,('Control Room'!$B$8+'Control Room'!$D$8)/2))+SQRT(1-'Control Room'!$B$9^2)*(AR7-IF('Control Room'!$B$5="Normal",'Control Room'!$B$7,('Control Room'!$B$8+'Control Room'!$D$8)/2))</x:f>
        <x:v>978.9683164842548</x:v>
      </x:c>
      <x:c r="AT7" s="17" t="n">
        <x:f>IF(AND($A7&gt;='Control Room'!$A$13,$A7&lt;'Control Room'!$A$13+'Control Room'!$B$13,'Process'!BS2=1),1+('Control Room'!$C$13-1)*EXP(-0.5*(($A7-'Control Room'!$A$13-('Control Room'!$B$13-1)/2)/MAX(0.5,'Control Room'!$B$13/4))^2),1)*IF(AND($A7&gt;='Control Room'!$A$14,$A7&lt;'Control Room'!$A$14+'Control Room'!$B$14,'Process'!BS3=1),1+('Control Room'!$C$14-1)*EXP(-0.5*(($A7-'Control Room'!$A$14-('Control Room'!$B$14-1)/2)/MAX(0.5,'Control Room'!$B$14/4))^2),1)*IF(AND($A7&gt;='Control Room'!$A$15,$A7&lt;'Control Room'!$A$15+'Control Room'!$B$15,'Process'!BS4=1),1+('Control Room'!$C$15-1)*EXP(-0.5*(($A7-'Control Room'!$A$15-('Control Room'!$B$15-1)/2)/MAX(0.5,'Control Room'!$B$15/4))^2),1)*IF(AND($A7&gt;='Control Room'!$A$16,$A7&lt;'Control Room'!$A$16+'Control Room'!$B$16,'Process'!BS5=1),1+('Control Room'!$C$16-1)*EXP(-0.5*(($A7-'Control Room'!$A$16-('Control Room'!$B$16-1)/2)/MAX(0.5,'Control Room'!$B$16/4))^2),1)</x:f>
        <x:v>1</x:v>
      </x:c>
      <x:c r="AU7" s="9" t="n">
        <x:f>MOD(AV6*16807,2147483647)</x:f>
        <x:v>2142805589</x:v>
      </x:c>
      <x:c r="AV7" s="9" t="n">
        <x:f>MOD(AU7*16807,2147483647)</x:f>
        <x:v>832774133</x:v>
      </x:c>
      <x:c r="AW7" s="17" t="n">
        <x:f>IF('Control Room'!$B$5="Normal",'Control Room'!$B$7+'Control Room'!$D$7*SQRT(-2*LN(MAX(0.000000000001,AU7/2147483647)))*COS(2*PI()*AV7/2147483647),'Control Room'!$B$8+('Control Room'!$D$8-'Control Room'!$B$8)*AU7/2147483647)</x:f>
        <x:v>995.4732781438094</x:v>
      </x:c>
      <x:c r="AX7" s="17" t="n">
        <x:f>IF('Control Room'!$B$5="Normal",'Control Room'!$B$7,('Control Room'!$B$8+'Control Room'!$D$8)/2)+'Control Room'!$B$9*(AX6-IF('Control Room'!$B$5="Normal",'Control Room'!$B$7,('Control Room'!$B$8+'Control Room'!$D$8)/2))+SQRT(1-'Control Room'!$B$9^2)*(AW7-IF('Control Room'!$B$5="Normal",'Control Room'!$B$7,('Control Room'!$B$8+'Control Room'!$D$8)/2))</x:f>
        <x:v>1062.2075246108245</x:v>
      </x:c>
      <x:c r="AY7" s="17" t="n">
        <x:f>IF(AND($A7&gt;='Control Room'!$A$13,$A7&lt;'Control Room'!$A$13+'Control Room'!$B$13,'Process'!BT2=1),1+('Control Room'!$C$13-1)*EXP(-0.5*(($A7-'Control Room'!$A$13-('Control Room'!$B$13-1)/2)/MAX(0.5,'Control Room'!$B$13/4))^2),1)*IF(AND($A7&gt;='Control Room'!$A$14,$A7&lt;'Control Room'!$A$14+'Control Room'!$B$14,'Process'!BT3=1),1+('Control Room'!$C$14-1)*EXP(-0.5*(($A7-'Control Room'!$A$14-('Control Room'!$B$14-1)/2)/MAX(0.5,'Control Room'!$B$14/4))^2),1)*IF(AND($A7&gt;='Control Room'!$A$15,$A7&lt;'Control Room'!$A$15+'Control Room'!$B$15,'Process'!BT4=1),1+('Control Room'!$C$15-1)*EXP(-0.5*(($A7-'Control Room'!$A$15-('Control Room'!$B$15-1)/2)/MAX(0.5,'Control Room'!$B$15/4))^2),1)*IF(AND($A7&gt;='Control Room'!$A$16,$A7&lt;'Control Room'!$A$16+'Control Room'!$B$16,'Process'!BT5=1),1+('Control Room'!$C$16-1)*EXP(-0.5*(($A7-'Control Room'!$A$16-('Control Room'!$B$16-1)/2)/MAX(0.5,'Control Room'!$B$16/4))^2),1)</x:f>
        <x:v>1</x:v>
      </x:c>
      <x:c r="AZ7" s="9" t="n">
        <x:f>MOD(BA6*16807,2147483647)</x:f>
        <x:v>1689844241</x:v>
      </x:c>
      <x:c r="BA7" s="9" t="n">
        <x:f>MOD(AZ7*16807,2147483647)</x:f>
        <x:v>740926912</x:v>
      </x:c>
      <x:c r="BB7" s="17" t="n">
        <x:f>IF('Control Room'!$B$5="Normal",'Control Room'!$B$7+'Control Room'!$D$7*SQRT(-2*LN(MAX(0.000000000001,AZ7/2147483647)))*COS(2*PI()*BA7/2147483647),'Control Room'!$B$8+('Control Room'!$D$8-'Control Room'!$B$8)*AZ7/2147483647)</x:f>
        <x:v>964.9699613238747</x:v>
      </x:c>
      <x:c r="BC7" s="17" t="n">
        <x:f>IF('Control Room'!$B$5="Normal",'Control Room'!$B$7,('Control Room'!$B$8+'Control Room'!$D$8)/2)+'Control Room'!$B$9*(BC6-IF('Control Room'!$B$5="Normal",'Control Room'!$B$7,('Control Room'!$B$8+'Control Room'!$D$8)/2))+SQRT(1-'Control Room'!$B$9^2)*(BB7-IF('Control Room'!$B$5="Normal",'Control Room'!$B$7,('Control Room'!$B$8+'Control Room'!$D$8)/2))</x:f>
        <x:v>863.5849830382873</x:v>
      </x:c>
      <x:c r="BD7" s="17" t="n">
        <x:f>IF(AND($A7&gt;='Control Room'!$A$13,$A7&lt;'Control Room'!$A$13+'Control Room'!$B$13,'Process'!BU2=1),1+('Control Room'!$C$13-1)*EXP(-0.5*(($A7-'Control Room'!$A$13-('Control Room'!$B$13-1)/2)/MAX(0.5,'Control Room'!$B$13/4))^2),1)*IF(AND($A7&gt;='Control Room'!$A$14,$A7&lt;'Control Room'!$A$14+'Control Room'!$B$14,'Process'!BU3=1),1+('Control Room'!$C$14-1)*EXP(-0.5*(($A7-'Control Room'!$A$14-('Control Room'!$B$14-1)/2)/MAX(0.5,'Control Room'!$B$14/4))^2),1)*IF(AND($A7&gt;='Control Room'!$A$15,$A7&lt;'Control Room'!$A$15+'Control Room'!$B$15,'Process'!BU4=1),1+('Control Room'!$C$15-1)*EXP(-0.5*(($A7-'Control Room'!$A$15-('Control Room'!$B$15-1)/2)/MAX(0.5,'Control Room'!$B$15/4))^2),1)*IF(AND($A7&gt;='Control Room'!$A$16,$A7&lt;'Control Room'!$A$16+'Control Room'!$B$16,'Process'!BU5=1),1+('Control Room'!$C$16-1)*EXP(-0.5*(($A7-'Control Room'!$A$16-('Control Room'!$B$16-1)/2)/MAX(0.5,'Control Room'!$B$16/4))^2),1)</x:f>
        <x:v>1</x:v>
      </x:c>
      <x:c r="BE7" s="9" t="n">
        <x:f>MOD(BF6*16807,2147483647)</x:f>
        <x:v>1236882893</x:v>
      </x:c>
      <x:c r="BF7" s="9" t="n">
        <x:f>MOD(BE7*16807,2147483647)</x:f>
        <x:v>649079691</x:v>
      </x:c>
      <x:c r="BG7" s="17" t="n">
        <x:f>IF('Control Room'!$B$5="Normal",'Control Room'!$B$7+'Control Room'!$D$7*SQRT(-2*LN(MAX(0.000000000001,BE7/2147483647)))*COS(2*PI()*BF7/2147483647),'Control Room'!$B$8+('Control Room'!$D$8-'Control Room'!$B$8)*BE7/2147483647)</x:f>
        <x:v>969.5170577613809</x:v>
      </x:c>
      <x:c r="BH7" s="17" t="n">
        <x:f>IF('Control Room'!$B$5="Normal",'Control Room'!$B$7,('Control Room'!$B$8+'Control Room'!$D$8)/2)+'Control Room'!$B$9*(BH6-IF('Control Room'!$B$5="Normal",'Control Room'!$B$7,('Control Room'!$B$8+'Control Room'!$D$8)/2))+SQRT(1-'Control Room'!$B$9^2)*(BG7-IF('Control Room'!$B$5="Normal",'Control Room'!$B$7,('Control Room'!$B$8+'Control Room'!$D$8)/2))</x:f>
        <x:v>939.8163998856569</x:v>
      </x:c>
      <x:c r="BI7" s="17" t="n">
        <x:f>IF(AND($A7&gt;='Control Room'!$A$13,$A7&lt;'Control Room'!$A$13+'Control Room'!$B$13,'Process'!BV2=1),1+('Control Room'!$C$13-1)*EXP(-0.5*(($A7-'Control Room'!$A$13-('Control Room'!$B$13-1)/2)/MAX(0.5,'Control Room'!$B$13/4))^2),1)*IF(AND($A7&gt;='Control Room'!$A$14,$A7&lt;'Control Room'!$A$14+'Control Room'!$B$14,'Process'!BV3=1),1+('Control Room'!$C$14-1)*EXP(-0.5*(($A7-'Control Room'!$A$14-('Control Room'!$B$14-1)/2)/MAX(0.5,'Control Room'!$B$14/4))^2),1)*IF(AND($A7&gt;='Control Room'!$A$15,$A7&lt;'Control Room'!$A$15+'Control Room'!$B$15,'Process'!BV4=1),1+('Control Room'!$C$15-1)*EXP(-0.5*(($A7-'Control Room'!$A$15-('Control Room'!$B$15-1)/2)/MAX(0.5,'Control Room'!$B$15/4))^2),1)*IF(AND($A7&gt;='Control Room'!$A$16,$A7&lt;'Control Room'!$A$16+'Control Room'!$B$16,'Process'!BV5=1),1+('Control Room'!$C$16-1)*EXP(-0.5*(($A7-'Control Room'!$A$16-('Control Room'!$B$16-1)/2)/MAX(0.5,'Control Room'!$B$16/4))^2),1)</x:f>
        <x:v>1</x:v>
      </x:c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Z7" t="str">
        <x:f>IF('Data'!A7="","",TEXT('Data'!A7,"mm-dd"))</x:f>
        <x:v>11-07</x:v>
      </x:c>
    </x:row>
    <x:row r="8" ht="21" customHeight="1">
      <x:c r="A8" s="15" t="n">
        <x:f>'Control Room'!$B$1+6</x:f>
        <x:v>72997</x:v>
      </x:c>
      <x:c r="B8" s="9" t="n">
        <x:f>MOD(C7*16807,2147483647)</x:f>
        <x:v>150919865</x:v>
      </x:c>
      <x:c r="C8" s="9" t="n">
        <x:f>MOD(B8*16807,2147483647)</x:f>
        <x:v>331983948</x:v>
      </x:c>
      <x:c r="D8" s="17" t="n">
        <x:f>IF('Control Room'!$B$5="Normal",'Control Room'!$B$7+'Control Room'!$D$7*SQRT(-2*LN(MAX(0.000000000001,B8/2147483647)))*COS(2*PI()*C8/2147483647),'Control Room'!$B$8+('Control Room'!$D$8-'Control Room'!$B$8)*B8/2147483647)</x:f>
        <x:v>1117.0169346258729</x:v>
      </x:c>
      <x:c r="E8" s="17" t="n">
        <x:f>IF('Control Room'!$B$5="Normal",'Control Room'!$B$7,('Control Room'!$B$8+'Control Room'!$D$8)/2)+'Control Room'!$B$9*(E7-IF('Control Room'!$B$5="Normal",'Control Room'!$B$7,('Control Room'!$B$8+'Control Room'!$D$8)/2))+SQRT(1-'Control Room'!$B$9^2)*(D8-IF('Control Room'!$B$5="Normal",'Control Room'!$B$7,('Control Room'!$B$8+'Control Room'!$D$8)/2))</x:f>
        <x:v>1035.524271269183</x:v>
      </x:c>
      <x:c r="F8" s="17" t="n">
        <x:f>IF(AND($A8&gt;='Control Room'!$A$13,$A8&lt;'Control Room'!$A$13+'Control Room'!$B$13,'Process'!BK2=1),1+('Control Room'!$C$13-1)*EXP(-0.5*(($A8-'Control Room'!$A$13-('Control Room'!$B$13-1)/2)/MAX(0.5,'Control Room'!$B$13/4))^2),1)*IF(AND($A8&gt;='Control Room'!$A$14,$A8&lt;'Control Room'!$A$14+'Control Room'!$B$14,'Process'!BK3=1),1+('Control Room'!$C$14-1)*EXP(-0.5*(($A8-'Control Room'!$A$14-('Control Room'!$B$14-1)/2)/MAX(0.5,'Control Room'!$B$14/4))^2),1)*IF(AND($A8&gt;='Control Room'!$A$15,$A8&lt;'Control Room'!$A$15+'Control Room'!$B$15,'Process'!BK4=1),1+('Control Room'!$C$15-1)*EXP(-0.5*(($A8-'Control Room'!$A$15-('Control Room'!$B$15-1)/2)/MAX(0.5,'Control Room'!$B$15/4))^2),1)*IF(AND($A8&gt;='Control Room'!$A$16,$A8&lt;'Control Room'!$A$16+'Control Room'!$B$16,'Process'!BK5=1),1+('Control Room'!$C$16-1)*EXP(-0.5*(($A8-'Control Room'!$A$16-('Control Room'!$B$16-1)/2)/MAX(0.5,'Control Room'!$B$16/4))^2),1)</x:f>
        <x:v>1</x:v>
      </x:c>
      <x:c r="G8" s="9" t="n">
        <x:f>MOD(H7*16807,2147483647)</x:f>
        <x:v>515418711</x:v>
      </x:c>
      <x:c r="H8" s="9" t="n">
        <x:f>MOD(G8*16807,2147483647)</x:f>
        <x:v>1840727426</x:v>
      </x:c>
      <x:c r="I8" s="17" t="n">
        <x:f>IF('Control Room'!$B$5="Normal",'Control Room'!$B$7+'Control Room'!$D$7*SQRT(-2*LN(MAX(0.000000000001,G8/2147483647)))*COS(2*PI()*H8/2147483647),'Control Room'!$B$8+('Control Room'!$D$8-'Control Room'!$B$8)*G8/2147483647)</x:f>
        <x:v>1094.809779975317</x:v>
      </x:c>
      <x:c r="J8" s="17" t="n">
        <x:f>IF('Control Room'!$B$5="Normal",'Control Room'!$B$7,('Control Room'!$B$8+'Control Room'!$D$8)/2)+'Control Room'!$B$9*(J7-IF('Control Room'!$B$5="Normal",'Control Room'!$B$7,('Control Room'!$B$8+'Control Room'!$D$8)/2))+SQRT(1-'Control Room'!$B$9^2)*(I8-IF('Control Room'!$B$5="Normal",'Control Room'!$B$7,('Control Room'!$B$8+'Control Room'!$D$8)/2))</x:f>
        <x:v>1113.5952121431799</x:v>
      </x:c>
      <x:c r="K8" s="17" t="n">
        <x:f>IF(AND($A8&gt;='Control Room'!$A$13,$A8&lt;'Control Room'!$A$13+'Control Room'!$B$13,'Process'!BL2=1),1+('Control Room'!$C$13-1)*EXP(-0.5*(($A8-'Control Room'!$A$13-('Control Room'!$B$13-1)/2)/MAX(0.5,'Control Room'!$B$13/4))^2),1)*IF(AND($A8&gt;='Control Room'!$A$14,$A8&lt;'Control Room'!$A$14+'Control Room'!$B$14,'Process'!BL3=1),1+('Control Room'!$C$14-1)*EXP(-0.5*(($A8-'Control Room'!$A$14-('Control Room'!$B$14-1)/2)/MAX(0.5,'Control Room'!$B$14/4))^2),1)*IF(AND($A8&gt;='Control Room'!$A$15,$A8&lt;'Control Room'!$A$15+'Control Room'!$B$15,'Process'!BL4=1),1+('Control Room'!$C$15-1)*EXP(-0.5*(($A8-'Control Room'!$A$15-('Control Room'!$B$15-1)/2)/MAX(0.5,'Control Room'!$B$15/4))^2),1)*IF(AND($A8&gt;='Control Room'!$A$16,$A8&lt;'Control Room'!$A$16+'Control Room'!$B$16,'Process'!BL5=1),1+('Control Room'!$C$16-1)*EXP(-0.5*(($A8-'Control Room'!$A$16-('Control Room'!$B$16-1)/2)/MAX(0.5,'Control Room'!$B$16/4))^2),1)</x:f>
        <x:v>1</x:v>
      </x:c>
      <x:c r="L8" s="9" t="n">
        <x:f>MOD(M7*16807,2147483647)</x:f>
        <x:v>879917557</x:v>
      </x:c>
      <x:c r="M8" s="9" t="n">
        <x:f>MOD(L8*16807,2147483647)</x:f>
        <x:v>1201987257</x:v>
      </x:c>
      <x:c r="N8" s="17" t="n">
        <x:f>IF('Control Room'!$B$5="Normal",'Control Room'!$B$7+'Control Room'!$D$7*SQRT(-2*LN(MAX(0.000000000001,L8/2147483647)))*COS(2*PI()*M8/2147483647),'Control Room'!$B$8+('Control Room'!$D$8-'Control Room'!$B$8)*L8/2147483647)</x:f>
        <x:v>888.1397331379665</x:v>
      </x:c>
      <x:c r="O8" s="17" t="n">
        <x:f>IF('Control Room'!$B$5="Normal",'Control Room'!$B$7,('Control Room'!$B$8+'Control Room'!$D$8)/2)+'Control Room'!$B$9*(O7-IF('Control Room'!$B$5="Normal",'Control Room'!$B$7,('Control Room'!$B$8+'Control Room'!$D$8)/2))+SQRT(1-'Control Room'!$B$9^2)*(N8-IF('Control Room'!$B$5="Normal",'Control Room'!$B$7,('Control Room'!$B$8+'Control Room'!$D$8)/2))</x:f>
        <x:v>940.5048252136057</x:v>
      </x:c>
      <x:c r="P8" s="17" t="n">
        <x:f>IF(AND($A8&gt;='Control Room'!$A$13,$A8&lt;'Control Room'!$A$13+'Control Room'!$B$13,'Process'!BM2=1),1+('Control Room'!$C$13-1)*EXP(-0.5*(($A8-'Control Room'!$A$13-('Control Room'!$B$13-1)/2)/MAX(0.5,'Control Room'!$B$13/4))^2),1)*IF(AND($A8&gt;='Control Room'!$A$14,$A8&lt;'Control Room'!$A$14+'Control Room'!$B$14,'Process'!BM3=1),1+('Control Room'!$C$14-1)*EXP(-0.5*(($A8-'Control Room'!$A$14-('Control Room'!$B$14-1)/2)/MAX(0.5,'Control Room'!$B$14/4))^2),1)*IF(AND($A8&gt;='Control Room'!$A$15,$A8&lt;'Control Room'!$A$15+'Control Room'!$B$15,'Process'!BM4=1),1+('Control Room'!$C$15-1)*EXP(-0.5*(($A8-'Control Room'!$A$15-('Control Room'!$B$15-1)/2)/MAX(0.5,'Control Room'!$B$15/4))^2),1)*IF(AND($A8&gt;='Control Room'!$A$16,$A8&lt;'Control Room'!$A$16+'Control Room'!$B$16,'Process'!BM5=1),1+('Control Room'!$C$16-1)*EXP(-0.5*(($A8-'Control Room'!$A$16-('Control Room'!$B$16-1)/2)/MAX(0.5,'Control Room'!$B$16/4))^2),1)</x:f>
        <x:v>1</x:v>
      </x:c>
      <x:c r="Q8" s="9" t="n">
        <x:f>MOD(R7*16807,2147483647)</x:f>
        <x:v>1244416403</x:v>
      </x:c>
      <x:c r="R8" s="9" t="n">
        <x:f>MOD(Q8*16807,2147483647)</x:f>
        <x:v>563247088</x:v>
      </x:c>
      <x:c r="S8" s="17" t="n">
        <x:f>IF('Control Room'!$B$5="Normal",'Control Room'!$B$7+'Control Room'!$D$7*SQRT(-2*LN(MAX(0.000000000001,Q8/2147483647)))*COS(2*PI()*R8/2147483647),'Control Room'!$B$8+('Control Room'!$D$8-'Control Room'!$B$8)*Q8/2147483647)</x:f>
        <x:v>992.7516803207554</x:v>
      </x:c>
      <x:c r="T8" s="17" t="n">
        <x:f>IF('Control Room'!$B$5="Normal",'Control Room'!$B$7,('Control Room'!$B$8+'Control Room'!$D$8)/2)+'Control Room'!$B$9*(T7-IF('Control Room'!$B$5="Normal",'Control Room'!$B$7,('Control Room'!$B$8+'Control Room'!$D$8)/2))+SQRT(1-'Control Room'!$B$9^2)*(S8-IF('Control Room'!$B$5="Normal",'Control Room'!$B$7,('Control Room'!$B$8+'Control Room'!$D$8)/2))</x:f>
        <x:v>990.1916608335478</x:v>
      </x:c>
      <x:c r="U8" s="17" t="n">
        <x:f>IF(AND($A8&gt;='Control Room'!$A$13,$A8&lt;'Control Room'!$A$13+'Control Room'!$B$13,'Process'!BN2=1),1+('Control Room'!$C$13-1)*EXP(-0.5*(($A8-'Control Room'!$A$13-('Control Room'!$B$13-1)/2)/MAX(0.5,'Control Room'!$B$13/4))^2),1)*IF(AND($A8&gt;='Control Room'!$A$14,$A8&lt;'Control Room'!$A$14+'Control Room'!$B$14,'Process'!BN3=1),1+('Control Room'!$C$14-1)*EXP(-0.5*(($A8-'Control Room'!$A$14-('Control Room'!$B$14-1)/2)/MAX(0.5,'Control Room'!$B$14/4))^2),1)*IF(AND($A8&gt;='Control Room'!$A$15,$A8&lt;'Control Room'!$A$15+'Control Room'!$B$15,'Process'!BN4=1),1+('Control Room'!$C$15-1)*EXP(-0.5*(($A8-'Control Room'!$A$15-('Control Room'!$B$15-1)/2)/MAX(0.5,'Control Room'!$B$15/4))^2),1)*IF(AND($A8&gt;='Control Room'!$A$16,$A8&lt;'Control Room'!$A$16+'Control Room'!$B$16,'Process'!BN5=1),1+('Control Room'!$C$16-1)*EXP(-0.5*(($A8-'Control Room'!$A$16-('Control Room'!$B$16-1)/2)/MAX(0.5,'Control Room'!$B$16/4))^2),1)</x:f>
        <x:v>1</x:v>
      </x:c>
      <x:c r="V8" s="9" t="n">
        <x:f>MOD(W7*16807,2147483647)</x:f>
        <x:v>1608915249</x:v>
      </x:c>
      <x:c r="W8" s="9" t="n">
        <x:f>MOD(V8*16807,2147483647)</x:f>
        <x:v>2071990566</x:v>
      </x:c>
      <x:c r="X8" s="17" t="n">
        <x:f>IF('Control Room'!$B$5="Normal",'Control Room'!$B$7+'Control Room'!$D$7*SQRT(-2*LN(MAX(0.000000000001,V8/2147483647)))*COS(2*PI()*W8/2147483647),'Control Room'!$B$8+('Control Room'!$D$8-'Control Room'!$B$8)*V8/2147483647)</x:f>
        <x:v>1066.7308884512588</x:v>
      </x:c>
      <x:c r="Y8" s="17" t="n">
        <x:f>IF('Control Room'!$B$5="Normal",'Control Room'!$B$7,('Control Room'!$B$8+'Control Room'!$D$8)/2)+'Control Room'!$B$9*(Y7-IF('Control Room'!$B$5="Normal",'Control Room'!$B$7,('Control Room'!$B$8+'Control Room'!$D$8)/2))+SQRT(1-'Control Room'!$B$9^2)*(X8-IF('Control Room'!$B$5="Normal",'Control Room'!$B$7,('Control Room'!$B$8+'Control Room'!$D$8)/2))</x:f>
        <x:v>920.237829112214</x:v>
      </x:c>
      <x:c r="Z8" s="17" t="n">
        <x:f>IF(AND($A8&gt;='Control Room'!$A$13,$A8&lt;'Control Room'!$A$13+'Control Room'!$B$13,'Process'!BO2=1),1+('Control Room'!$C$13-1)*EXP(-0.5*(($A8-'Control Room'!$A$13-('Control Room'!$B$13-1)/2)/MAX(0.5,'Control Room'!$B$13/4))^2),1)*IF(AND($A8&gt;='Control Room'!$A$14,$A8&lt;'Control Room'!$A$14+'Control Room'!$B$14,'Process'!BO3=1),1+('Control Room'!$C$14-1)*EXP(-0.5*(($A8-'Control Room'!$A$14-('Control Room'!$B$14-1)/2)/MAX(0.5,'Control Room'!$B$14/4))^2),1)*IF(AND($A8&gt;='Control Room'!$A$15,$A8&lt;'Control Room'!$A$15+'Control Room'!$B$15,'Process'!BO4=1),1+('Control Room'!$C$15-1)*EXP(-0.5*(($A8-'Control Room'!$A$15-('Control Room'!$B$15-1)/2)/MAX(0.5,'Control Room'!$B$15/4))^2),1)*IF(AND($A8&gt;='Control Room'!$A$16,$A8&lt;'Control Room'!$A$16+'Control Room'!$B$16,'Process'!BO5=1),1+('Control Room'!$C$16-1)*EXP(-0.5*(($A8-'Control Room'!$A$16-('Control Room'!$B$16-1)/2)/MAX(0.5,'Control Room'!$B$16/4))^2),1)</x:f>
        <x:v>1</x:v>
      </x:c>
      <x:c r="AA8" s="9" t="n">
        <x:f>MOD(AB7*16807,2147483647)</x:f>
        <x:v>1973414095</x:v>
      </x:c>
      <x:c r="AB8" s="9" t="n">
        <x:f>MOD(AA8*16807,2147483647)</x:f>
        <x:v>1433250397</x:v>
      </x:c>
      <x:c r="AC8" s="17" t="n">
        <x:f>IF('Control Room'!$B$5="Normal",'Control Room'!$B$7+'Control Room'!$D$7*SQRT(-2*LN(MAX(0.000000000001,AA8/2147483647)))*COS(2*PI()*AB8/2147483647),'Control Room'!$B$8+('Control Room'!$D$8-'Control Room'!$B$8)*AA8/2147483647)</x:f>
        <x:v>981.6469328578135</x:v>
      </x:c>
      <x:c r="AD8" s="17" t="n">
        <x:f>IF('Control Room'!$B$5="Normal",'Control Room'!$B$7,('Control Room'!$B$8+'Control Room'!$D$8)/2)+'Control Room'!$B$9*(AD7-IF('Control Room'!$B$5="Normal",'Control Room'!$B$7,('Control Room'!$B$8+'Control Room'!$D$8)/2))+SQRT(1-'Control Room'!$B$9^2)*(AC8-IF('Control Room'!$B$5="Normal",'Control Room'!$B$7,('Control Room'!$B$8+'Control Room'!$D$8)/2))</x:f>
        <x:v>949.2793455301984</x:v>
      </x:c>
      <x:c r="AE8" s="17" t="n">
        <x:f>IF(AND($A8&gt;='Control Room'!$A$13,$A8&lt;'Control Room'!$A$13+'Control Room'!$B$13,'Process'!BP2=1),1+('Control Room'!$C$13-1)*EXP(-0.5*(($A8-'Control Room'!$A$13-('Control Room'!$B$13-1)/2)/MAX(0.5,'Control Room'!$B$13/4))^2),1)*IF(AND($A8&gt;='Control Room'!$A$14,$A8&lt;'Control Room'!$A$14+'Control Room'!$B$14,'Process'!BP3=1),1+('Control Room'!$C$14-1)*EXP(-0.5*(($A8-'Control Room'!$A$14-('Control Room'!$B$14-1)/2)/MAX(0.5,'Control Room'!$B$14/4))^2),1)*IF(AND($A8&gt;='Control Room'!$A$15,$A8&lt;'Control Room'!$A$15+'Control Room'!$B$15,'Process'!BP4=1),1+('Control Room'!$C$15-1)*EXP(-0.5*(($A8-'Control Room'!$A$15-('Control Room'!$B$15-1)/2)/MAX(0.5,'Control Room'!$B$15/4))^2),1)*IF(AND($A8&gt;='Control Room'!$A$16,$A8&lt;'Control Room'!$A$16+'Control Room'!$B$16,'Process'!BP5=1),1+('Control Room'!$C$16-1)*EXP(-0.5*(($A8-'Control Room'!$A$16-('Control Room'!$B$16-1)/2)/MAX(0.5,'Control Room'!$B$16/4))^2),1)</x:f>
        <x:v>1</x:v>
      </x:c>
      <x:c r="AF8" s="9" t="n">
        <x:f>MOD(AG7*16807,2147483647)</x:f>
        <x:v>190429294</x:v>
      </x:c>
      <x:c r="AG8" s="9" t="n">
        <x:f>MOD(AF8*16807,2147483647)</x:f>
        <x:v>794510228</x:v>
      </x:c>
      <x:c r="AH8" s="17" t="n">
        <x:f>IF('Control Room'!$B$5="Normal",'Control Room'!$B$7+'Control Room'!$D$7*SQRT(-2*LN(MAX(0.000000000001,AF8/2147483647)))*COS(2*PI()*AG8/2147483647),'Control Room'!$B$8+('Control Room'!$D$8-'Control Room'!$B$8)*AF8/2147483647)</x:f>
        <x:v>864.4069079429066</x:v>
      </x:c>
      <x:c r="AI8" s="17" t="n">
        <x:f>IF('Control Room'!$B$5="Normal",'Control Room'!$B$7,('Control Room'!$B$8+'Control Room'!$D$8)/2)+'Control Room'!$B$9*(AI7-IF('Control Room'!$B$5="Normal",'Control Room'!$B$7,('Control Room'!$B$8+'Control Room'!$D$8)/2))+SQRT(1-'Control Room'!$B$9^2)*(AH8-IF('Control Room'!$B$5="Normal",'Control Room'!$B$7,('Control Room'!$B$8+'Control Room'!$D$8)/2))</x:f>
        <x:v>879.4225715652208</x:v>
      </x:c>
      <x:c r="AJ8" s="17" t="n">
        <x:f>IF(AND($A8&gt;='Control Room'!$A$13,$A8&lt;'Control Room'!$A$13+'Control Room'!$B$13,'Process'!BQ2=1),1+('Control Room'!$C$13-1)*EXP(-0.5*(($A8-'Control Room'!$A$13-('Control Room'!$B$13-1)/2)/MAX(0.5,'Control Room'!$B$13/4))^2),1)*IF(AND($A8&gt;='Control Room'!$A$14,$A8&lt;'Control Room'!$A$14+'Control Room'!$B$14,'Process'!BQ3=1),1+('Control Room'!$C$14-1)*EXP(-0.5*(($A8-'Control Room'!$A$14-('Control Room'!$B$14-1)/2)/MAX(0.5,'Control Room'!$B$14/4))^2),1)*IF(AND($A8&gt;='Control Room'!$A$15,$A8&lt;'Control Room'!$A$15+'Control Room'!$B$15,'Process'!BQ4=1),1+('Control Room'!$C$15-1)*EXP(-0.5*(($A8-'Control Room'!$A$15-('Control Room'!$B$15-1)/2)/MAX(0.5,'Control Room'!$B$15/4))^2),1)*IF(AND($A8&gt;='Control Room'!$A$16,$A8&lt;'Control Room'!$A$16+'Control Room'!$B$16,'Process'!BQ5=1),1+('Control Room'!$C$16-1)*EXP(-0.5*(($A8-'Control Room'!$A$16-('Control Room'!$B$16-1)/2)/MAX(0.5,'Control Room'!$B$16/4))^2),1)</x:f>
        <x:v>1</x:v>
      </x:c>
      <x:c r="AK8" s="9" t="n">
        <x:f>MOD(AL7*16807,2147483647)</x:f>
        <x:v>554928140</x:v>
      </x:c>
      <x:c r="AL8" s="9" t="n">
        <x:f>MOD(AK8*16807,2147483647)</x:f>
        <x:v>155770059</x:v>
      </x:c>
      <x:c r="AM8" s="17" t="n">
        <x:f>IF('Control Room'!$B$5="Normal",'Control Room'!$B$7+'Control Room'!$D$7*SQRT(-2*LN(MAX(0.000000000001,AK8/2147483647)))*COS(2*PI()*AL8/2147483647),'Control Room'!$B$8+('Control Room'!$D$8-'Control Room'!$B$8)*AK8/2147483647)</x:f>
        <x:v>1132.9480808880753</x:v>
      </x:c>
      <x:c r="AN8" s="17" t="n">
        <x:f>IF('Control Room'!$B$5="Normal",'Control Room'!$B$7,('Control Room'!$B$8+'Control Room'!$D$8)/2)+'Control Room'!$B$9*(AN7-IF('Control Room'!$B$5="Normal",'Control Room'!$B$7,('Control Room'!$B$8+'Control Room'!$D$8)/2))+SQRT(1-'Control Room'!$B$9^2)*(AM8-IF('Control Room'!$B$5="Normal",'Control Room'!$B$7,('Control Room'!$B$8+'Control Room'!$D$8)/2))</x:f>
        <x:v>1130.576595800472</x:v>
      </x:c>
      <x:c r="AO8" s="17" t="n">
        <x:f>IF(AND($A8&gt;='Control Room'!$A$13,$A8&lt;'Control Room'!$A$13+'Control Room'!$B$13,'Process'!BR2=1),1+('Control Room'!$C$13-1)*EXP(-0.5*(($A8-'Control Room'!$A$13-('Control Room'!$B$13-1)/2)/MAX(0.5,'Control Room'!$B$13/4))^2),1)*IF(AND($A8&gt;='Control Room'!$A$14,$A8&lt;'Control Room'!$A$14+'Control Room'!$B$14,'Process'!BR3=1),1+('Control Room'!$C$14-1)*EXP(-0.5*(($A8-'Control Room'!$A$14-('Control Room'!$B$14-1)/2)/MAX(0.5,'Control Room'!$B$14/4))^2),1)*IF(AND($A8&gt;='Control Room'!$A$15,$A8&lt;'Control Room'!$A$15+'Control Room'!$B$15,'Process'!BR4=1),1+('Control Room'!$C$15-1)*EXP(-0.5*(($A8-'Control Room'!$A$15-('Control Room'!$B$15-1)/2)/MAX(0.5,'Control Room'!$B$15/4))^2),1)*IF(AND($A8&gt;='Control Room'!$A$16,$A8&lt;'Control Room'!$A$16+'Control Room'!$B$16,'Process'!BR5=1),1+('Control Room'!$C$16-1)*EXP(-0.5*(($A8-'Control Room'!$A$16-('Control Room'!$B$16-1)/2)/MAX(0.5,'Control Room'!$B$16/4))^2),1)</x:f>
        <x:v>1</x:v>
      </x:c>
      <x:c r="AP8" s="9" t="n">
        <x:f>MOD(AQ7*16807,2147483647)</x:f>
        <x:v>919426986</x:v>
      </x:c>
      <x:c r="AQ8" s="9" t="n">
        <x:f>MOD(AP8*16807,2147483647)</x:f>
        <x:v>1664513537</x:v>
      </x:c>
      <x:c r="AR8" s="17" t="n">
        <x:f>IF('Control Room'!$B$5="Normal",'Control Room'!$B$7+'Control Room'!$D$7*SQRT(-2*LN(MAX(0.000000000001,AP8/2147483647)))*COS(2*PI()*AQ8/2147483647),'Control Room'!$B$8+('Control Room'!$D$8-'Control Room'!$B$8)*AP8/2147483647)</x:f>
        <x:v>1018.4109467606303</x:v>
      </x:c>
      <x:c r="AS8" s="17" t="n">
        <x:f>IF('Control Room'!$B$5="Normal",'Control Room'!$B$7,('Control Room'!$B$8+'Control Room'!$D$8)/2)+'Control Room'!$B$9*(AS7-IF('Control Room'!$B$5="Normal",'Control Room'!$B$7,('Control Room'!$B$8+'Control Room'!$D$8)/2))+SQRT(1-'Control Room'!$B$9^2)*(AR8-IF('Control Room'!$B$5="Normal",'Control Room'!$B$7,('Control Room'!$B$8+'Control Room'!$D$8)/2))</x:f>
        <x:v>995.1164801717758</x:v>
      </x:c>
      <x:c r="AT8" s="17" t="n">
        <x:f>IF(AND($A8&gt;='Control Room'!$A$13,$A8&lt;'Control Room'!$A$13+'Control Room'!$B$13,'Process'!BS2=1),1+('Control Room'!$C$13-1)*EXP(-0.5*(($A8-'Control Room'!$A$13-('Control Room'!$B$13-1)/2)/MAX(0.5,'Control Room'!$B$13/4))^2),1)*IF(AND($A8&gt;='Control Room'!$A$14,$A8&lt;'Control Room'!$A$14+'Control Room'!$B$14,'Process'!BS3=1),1+('Control Room'!$C$14-1)*EXP(-0.5*(($A8-'Control Room'!$A$14-('Control Room'!$B$14-1)/2)/MAX(0.5,'Control Room'!$B$14/4))^2),1)*IF(AND($A8&gt;='Control Room'!$A$15,$A8&lt;'Control Room'!$A$15+'Control Room'!$B$15,'Process'!BS4=1),1+('Control Room'!$C$15-1)*EXP(-0.5*(($A8-'Control Room'!$A$15-('Control Room'!$B$15-1)/2)/MAX(0.5,'Control Room'!$B$15/4))^2),1)*IF(AND($A8&gt;='Control Room'!$A$16,$A8&lt;'Control Room'!$A$16+'Control Room'!$B$16,'Process'!BS5=1),1+('Control Room'!$C$16-1)*EXP(-0.5*(($A8-'Control Room'!$A$16-('Control Room'!$B$16-1)/2)/MAX(0.5,'Control Room'!$B$16/4))^2),1)</x:f>
        <x:v>1</x:v>
      </x:c>
      <x:c r="AU8" s="9" t="n">
        <x:f>MOD(AV7*16807,2147483647)</x:f>
        <x:v>1283925832</x:v>
      </x:c>
      <x:c r="AV8" s="9" t="n">
        <x:f>MOD(AU8*16807,2147483647)</x:f>
        <x:v>1025773368</x:v>
      </x:c>
      <x:c r="AW8" s="17" t="n">
        <x:f>IF('Control Room'!$B$5="Normal",'Control Room'!$B$7+'Control Room'!$D$7*SQRT(-2*LN(MAX(0.000000000001,AU8/2147483647)))*COS(2*PI()*AV8/2147483647),'Control Room'!$B$8+('Control Room'!$D$8-'Control Room'!$B$8)*AU8/2147483647)</x:f>
        <x:v>909.6130423166795</x:v>
      </x:c>
      <x:c r="AX8" s="17" t="n">
        <x:f>IF('Control Room'!$B$5="Normal",'Control Room'!$B$7,('Control Room'!$B$8+'Control Room'!$D$8)/2)+'Control Room'!$B$9*(AX7-IF('Control Room'!$B$5="Normal",'Control Room'!$B$7,('Control Room'!$B$8+'Control Room'!$D$8)/2))+SQRT(1-'Control Room'!$B$9^2)*(AW8-IF('Control Room'!$B$5="Normal",'Control Room'!$B$7,('Control Room'!$B$8+'Control Room'!$D$8)/2))</x:f>
        <x:v>991.9595627556969</x:v>
      </x:c>
      <x:c r="AY8" s="17" t="n">
        <x:f>IF(AND($A8&gt;='Control Room'!$A$13,$A8&lt;'Control Room'!$A$13+'Control Room'!$B$13,'Process'!BT2=1),1+('Control Room'!$C$13-1)*EXP(-0.5*(($A8-'Control Room'!$A$13-('Control Room'!$B$13-1)/2)/MAX(0.5,'Control Room'!$B$13/4))^2),1)*IF(AND($A8&gt;='Control Room'!$A$14,$A8&lt;'Control Room'!$A$14+'Control Room'!$B$14,'Process'!BT3=1),1+('Control Room'!$C$14-1)*EXP(-0.5*(($A8-'Control Room'!$A$14-('Control Room'!$B$14-1)/2)/MAX(0.5,'Control Room'!$B$14/4))^2),1)*IF(AND($A8&gt;='Control Room'!$A$15,$A8&lt;'Control Room'!$A$15+'Control Room'!$B$15,'Process'!BT4=1),1+('Control Room'!$C$15-1)*EXP(-0.5*(($A8-'Control Room'!$A$15-('Control Room'!$B$15-1)/2)/MAX(0.5,'Control Room'!$B$15/4))^2),1)*IF(AND($A8&gt;='Control Room'!$A$16,$A8&lt;'Control Room'!$A$16+'Control Room'!$B$16,'Process'!BT5=1),1+('Control Room'!$C$16-1)*EXP(-0.5*(($A8-'Control Room'!$A$16-('Control Room'!$B$16-1)/2)/MAX(0.5,'Control Room'!$B$16/4))^2),1)</x:f>
        <x:v>1</x:v>
      </x:c>
      <x:c r="AZ8" s="9" t="n">
        <x:f>MOD(BA7*16807,2147483647)</x:f>
        <x:v>1648424678</x:v>
      </x:c>
      <x:c r="BA8" s="9" t="n">
        <x:f>MOD(AZ8*16807,2147483647)</x:f>
        <x:v>387033199</x:v>
      </x:c>
      <x:c r="BB8" s="17" t="n">
        <x:f>IF('Control Room'!$B$5="Normal",'Control Room'!$B$7+'Control Room'!$D$7*SQRT(-2*LN(MAX(0.000000000001,AZ8/2147483647)))*COS(2*PI()*BA8/2147483647),'Control Room'!$B$8+('Control Room'!$D$8-'Control Room'!$B$8)*AZ8/2147483647)</x:f>
        <x:v>1027.7856497063883</x:v>
      </x:c>
      <x:c r="BC8" s="17" t="n">
        <x:f>IF('Control Room'!$B$5="Normal",'Control Room'!$B$7,('Control Room'!$B$8+'Control Room'!$D$8)/2)+'Control Room'!$B$9*(BC7-IF('Control Room'!$B$5="Normal",'Control Room'!$B$7,('Control Room'!$B$8+'Control Room'!$D$8)/2))+SQRT(1-'Control Room'!$B$9^2)*(BB8-IF('Control Room'!$B$5="Normal",'Control Room'!$B$7,('Control Room'!$B$8+'Control Room'!$D$8)/2))</x:f>
        <x:v>910.9839771361477</x:v>
      </x:c>
      <x:c r="BD8" s="17" t="n">
        <x:f>IF(AND($A8&gt;='Control Room'!$A$13,$A8&lt;'Control Room'!$A$13+'Control Room'!$B$13,'Process'!BU2=1),1+('Control Room'!$C$13-1)*EXP(-0.5*(($A8-'Control Room'!$A$13-('Control Room'!$B$13-1)/2)/MAX(0.5,'Control Room'!$B$13/4))^2),1)*IF(AND($A8&gt;='Control Room'!$A$14,$A8&lt;'Control Room'!$A$14+'Control Room'!$B$14,'Process'!BU3=1),1+('Control Room'!$C$14-1)*EXP(-0.5*(($A8-'Control Room'!$A$14-('Control Room'!$B$14-1)/2)/MAX(0.5,'Control Room'!$B$14/4))^2),1)*IF(AND($A8&gt;='Control Room'!$A$15,$A8&lt;'Control Room'!$A$15+'Control Room'!$B$15,'Process'!BU4=1),1+('Control Room'!$C$15-1)*EXP(-0.5*(($A8-'Control Room'!$A$15-('Control Room'!$B$15-1)/2)/MAX(0.5,'Control Room'!$B$15/4))^2),1)*IF(AND($A8&gt;='Control Room'!$A$16,$A8&lt;'Control Room'!$A$16+'Control Room'!$B$16,'Process'!BU5=1),1+('Control Room'!$C$16-1)*EXP(-0.5*(($A8-'Control Room'!$A$16-('Control Room'!$B$16-1)/2)/MAX(0.5,'Control Room'!$B$16/4))^2),1)</x:f>
        <x:v>1</x:v>
      </x:c>
      <x:c r="BE8" s="9" t="n">
        <x:f>MOD(BF7*16807,2147483647)</x:f>
        <x:v>2012923524</x:v>
      </x:c>
      <x:c r="BF8" s="9" t="n">
        <x:f>MOD(BE8*16807,2147483647)</x:f>
        <x:v>1895776677</x:v>
      </x:c>
      <x:c r="BG8" s="17" t="n">
        <x:f>IF('Control Room'!$B$5="Normal",'Control Room'!$B$7+'Control Room'!$D$7*SQRT(-2*LN(MAX(0.000000000001,BE8/2147483647)))*COS(2*PI()*BF8/2147483647),'Control Room'!$B$8+('Control Room'!$D$8-'Control Room'!$B$8)*BE8/2147483647)</x:f>
        <x:v>1023.9867803893794</x:v>
      </x:c>
      <x:c r="BH8" s="17" t="n">
        <x:f>IF('Control Room'!$B$5="Normal",'Control Room'!$B$7,('Control Room'!$B$8+'Control Room'!$D$8)/2)+'Control Room'!$B$9*(BH7-IF('Control Room'!$B$5="Normal",'Control Room'!$B$7,('Control Room'!$B$8+'Control Room'!$D$8)/2))+SQRT(1-'Control Room'!$B$9^2)*(BG8-IF('Control Room'!$B$5="Normal",'Control Room'!$B$7,('Control Room'!$B$8+'Control Room'!$D$8)/2))</x:f>
        <x:v>968.0672276825801</x:v>
      </x:c>
      <x:c r="BI8" s="17" t="n">
        <x:f>IF(AND($A8&gt;='Control Room'!$A$13,$A8&lt;'Control Room'!$A$13+'Control Room'!$B$13,'Process'!BV2=1),1+('Control Room'!$C$13-1)*EXP(-0.5*(($A8-'Control Room'!$A$13-('Control Room'!$B$13-1)/2)/MAX(0.5,'Control Room'!$B$13/4))^2),1)*IF(AND($A8&gt;='Control Room'!$A$14,$A8&lt;'Control Room'!$A$14+'Control Room'!$B$14,'Process'!BV3=1),1+('Control Room'!$C$14-1)*EXP(-0.5*(($A8-'Control Room'!$A$14-('Control Room'!$B$14-1)/2)/MAX(0.5,'Control Room'!$B$14/4))^2),1)*IF(AND($A8&gt;='Control Room'!$A$15,$A8&lt;'Control Room'!$A$15+'Control Room'!$B$15,'Process'!BV4=1),1+('Control Room'!$C$15-1)*EXP(-0.5*(($A8-'Control Room'!$A$15-('Control Room'!$B$15-1)/2)/MAX(0.5,'Control Room'!$B$15/4))^2),1)*IF(AND($A8&gt;='Control Room'!$A$16,$A8&lt;'Control Room'!$A$16+'Control Room'!$B$16,'Process'!BV5=1),1+('Control Room'!$C$16-1)*EXP(-0.5*(($A8-'Control Room'!$A$16-('Control Room'!$B$16-1)/2)/MAX(0.5,'Control Room'!$B$16/4))^2),1)</x:f>
        <x:v>1</x:v>
      </x:c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Z8" t="str">
        <x:f>IF('Data'!A8="","",TEXT('Data'!A8,"mm-dd"))</x:f>
        <x:v>11-08</x:v>
      </x:c>
    </x:row>
    <x:row r="9" ht="21" customHeight="1">
      <x:c r="A9" s="15" t="n">
        <x:f>'Control Room'!$B$1+7</x:f>
        <x:v>72998</x:v>
      </x:c>
      <x:c r="B9" s="9" t="n">
        <x:f>MOD(C8*16807,2147483647)</x:f>
        <x:v>491699130</x:v>
      </x:c>
      <x:c r="C9" s="9" t="n">
        <x:f>MOD(B9*16807,2147483647)</x:f>
        <x:v>470204254</x:v>
      </x:c>
      <x:c r="D9" s="17" t="n">
        <x:f>IF('Control Room'!$B$5="Normal",'Control Room'!$B$7+'Control Room'!$D$7*SQRT(-2*LN(MAX(0.000000000001,B9/2147483647)))*COS(2*PI()*C9/2147483647),'Control Room'!$B$8+('Control Room'!$D$8-'Control Room'!$B$8)*B9/2147483647)</x:f>
        <x:v>1029.9526172315432</x:v>
      </x:c>
      <x:c r="E9" s="17" t="n">
        <x:f>IF('Control Room'!$B$5="Normal",'Control Room'!$B$7,('Control Room'!$B$8+'Control Room'!$D$8)/2)+'Control Room'!$B$9*(E8-IF('Control Room'!$B$5="Normal",'Control Room'!$B$7,('Control Room'!$B$8+'Control Room'!$D$8)/2))+SQRT(1-'Control Room'!$B$9^2)*(D9-IF('Control Room'!$B$5="Normal",'Control Room'!$B$7,('Control Room'!$B$8+'Control Room'!$D$8)/2))</x:f>
        <x:v>1046.4526658407456</x:v>
      </x:c>
      <x:c r="F9" s="17" t="n">
        <x:f>IF(AND($A9&gt;='Control Room'!$A$13,$A9&lt;'Control Room'!$A$13+'Control Room'!$B$13,'Process'!BK2=1),1+('Control Room'!$C$13-1)*EXP(-0.5*(($A9-'Control Room'!$A$13-('Control Room'!$B$13-1)/2)/MAX(0.5,'Control Room'!$B$13/4))^2),1)*IF(AND($A9&gt;='Control Room'!$A$14,$A9&lt;'Control Room'!$A$14+'Control Room'!$B$14,'Process'!BK3=1),1+('Control Room'!$C$14-1)*EXP(-0.5*(($A9-'Control Room'!$A$14-('Control Room'!$B$14-1)/2)/MAX(0.5,'Control Room'!$B$14/4))^2),1)*IF(AND($A9&gt;='Control Room'!$A$15,$A9&lt;'Control Room'!$A$15+'Control Room'!$B$15,'Process'!BK4=1),1+('Control Room'!$C$15-1)*EXP(-0.5*(($A9-'Control Room'!$A$15-('Control Room'!$B$15-1)/2)/MAX(0.5,'Control Room'!$B$15/4))^2),1)*IF(AND($A9&gt;='Control Room'!$A$16,$A9&lt;'Control Room'!$A$16+'Control Room'!$B$16,'Process'!BK5=1),1+('Control Room'!$C$16-1)*EXP(-0.5*(($A9-'Control Room'!$A$16-('Control Room'!$B$16-1)/2)/MAX(0.5,'Control Room'!$B$16/4))^2),1)</x:f>
        <x:v>1</x:v>
      </x:c>
      <x:c r="G9" s="9" t="n">
        <x:f>MOD(H8*16807,2147483647)</x:f>
        <x:v>456430100</x:v>
      </x:c>
      <x:c r="H9" s="9" t="n">
        <x:f>MOD(G9*16807,2147483647)</x:f>
        <x:v>409103616</x:v>
      </x:c>
      <x:c r="I9" s="17" t="n">
        <x:f>IF('Control Room'!$B$5="Normal",'Control Room'!$B$7+'Control Room'!$D$7*SQRT(-2*LN(MAX(0.000000000001,G9/2147483647)))*COS(2*PI()*H9/2147483647),'Control Room'!$B$8+('Control Room'!$D$8-'Control Room'!$B$8)*G9/2147483647)</x:f>
        <x:v>1057.8410883347344</x:v>
      </x:c>
      <x:c r="J9" s="17" t="n">
        <x:f>IF('Control Room'!$B$5="Normal",'Control Room'!$B$7,('Control Room'!$B$8+'Control Room'!$D$8)/2)+'Control Room'!$B$9*(J8-IF('Control Room'!$B$5="Normal",'Control Room'!$B$7,('Control Room'!$B$8+'Control Room'!$D$8)/2))+SQRT(1-'Control Room'!$B$9^2)*(I9-IF('Control Room'!$B$5="Normal",'Control Room'!$B$7,('Control Room'!$B$8+'Control Room'!$D$8)/2))</x:f>
        <x:v>1124.8000336124553</x:v>
      </x:c>
      <x:c r="K9" s="17" t="n">
        <x:f>IF(AND($A9&gt;='Control Room'!$A$13,$A9&lt;'Control Room'!$A$13+'Control Room'!$B$13,'Process'!BL2=1),1+('Control Room'!$C$13-1)*EXP(-0.5*(($A9-'Control Room'!$A$13-('Control Room'!$B$13-1)/2)/MAX(0.5,'Control Room'!$B$13/4))^2),1)*IF(AND($A9&gt;='Control Room'!$A$14,$A9&lt;'Control Room'!$A$14+'Control Room'!$B$14,'Process'!BL3=1),1+('Control Room'!$C$14-1)*EXP(-0.5*(($A9-'Control Room'!$A$14-('Control Room'!$B$14-1)/2)/MAX(0.5,'Control Room'!$B$14/4))^2),1)*IF(AND($A9&gt;='Control Room'!$A$15,$A9&lt;'Control Room'!$A$15+'Control Room'!$B$15,'Process'!BL4=1),1+('Control Room'!$C$15-1)*EXP(-0.5*(($A9-'Control Room'!$A$15-('Control Room'!$B$15-1)/2)/MAX(0.5,'Control Room'!$B$15/4))^2),1)*IF(AND($A9&gt;='Control Room'!$A$16,$A9&lt;'Control Room'!$A$16+'Control Room'!$B$16,'Process'!BL5=1),1+('Control Room'!$C$16-1)*EXP(-0.5*(($A9-'Control Room'!$A$16-('Control Room'!$B$16-1)/2)/MAX(0.5,'Control Room'!$B$16/4))^2),1)</x:f>
        <x:v>1</x:v>
      </x:c>
      <x:c r="L9" s="9" t="n">
        <x:f>MOD(M8*16807,2147483647)</x:f>
        <x:v>421161070</x:v>
      </x:c>
      <x:c r="M9" s="9" t="n">
        <x:f>MOD(L9*16807,2147483647)</x:f>
        <x:v>348002978</x:v>
      </x:c>
      <x:c r="N9" s="17" t="n">
        <x:f>IF('Control Room'!$B$5="Normal",'Control Room'!$B$7+'Control Room'!$D$7*SQRT(-2*LN(MAX(0.000000000001,L9/2147483647)))*COS(2*PI()*M9/2147483647),'Control Room'!$B$8+('Control Room'!$D$8-'Control Room'!$B$8)*L9/2147483647)</x:f>
        <x:v>1085.2705008327819</x:v>
      </x:c>
      <x:c r="O9" s="17" t="n">
        <x:f>IF('Control Room'!$B$5="Normal",'Control Room'!$B$7,('Control Room'!$B$8+'Control Room'!$D$8)/2)+'Control Room'!$B$9*(O8-IF('Control Room'!$B$5="Normal",'Control Room'!$B$7,('Control Room'!$B$8+'Control Room'!$D$8)/2))+SQRT(1-'Control Room'!$B$9^2)*(N9-IF('Control Room'!$B$5="Normal",'Control Room'!$B$7,('Control Room'!$B$8+'Control Room'!$D$8)/2))</x:f>
        <x:v>1006.9542962266075</x:v>
      </x:c>
      <x:c r="P9" s="17" t="n">
        <x:f>IF(AND($A9&gt;='Control Room'!$A$13,$A9&lt;'Control Room'!$A$13+'Control Room'!$B$13,'Process'!BM2=1),1+('Control Room'!$C$13-1)*EXP(-0.5*(($A9-'Control Room'!$A$13-('Control Room'!$B$13-1)/2)/MAX(0.5,'Control Room'!$B$13/4))^2),1)*IF(AND($A9&gt;='Control Room'!$A$14,$A9&lt;'Control Room'!$A$14+'Control Room'!$B$14,'Process'!BM3=1),1+('Control Room'!$C$14-1)*EXP(-0.5*(($A9-'Control Room'!$A$14-('Control Room'!$B$14-1)/2)/MAX(0.5,'Control Room'!$B$14/4))^2),1)*IF(AND($A9&gt;='Control Room'!$A$15,$A9&lt;'Control Room'!$A$15+'Control Room'!$B$15,'Process'!BM4=1),1+('Control Room'!$C$15-1)*EXP(-0.5*(($A9-'Control Room'!$A$15-('Control Room'!$B$15-1)/2)/MAX(0.5,'Control Room'!$B$15/4))^2),1)*IF(AND($A9&gt;='Control Room'!$A$16,$A9&lt;'Control Room'!$A$16+'Control Room'!$B$16,'Process'!BM5=1),1+('Control Room'!$C$16-1)*EXP(-0.5*(($A9-'Control Room'!$A$16-('Control Room'!$B$16-1)/2)/MAX(0.5,'Control Room'!$B$16/4))^2),1)</x:f>
        <x:v>1</x:v>
      </x:c>
      <x:c r="Q9" s="9" t="n">
        <x:f>MOD(R8*16807,2147483647)</x:f>
        <x:v>385892040</x:v>
      </x:c>
      <x:c r="R9" s="9" t="n">
        <x:f>MOD(Q9*16807,2147483647)</x:f>
        <x:v>286902340</x:v>
      </x:c>
      <x:c r="S9" s="17" t="n">
        <x:f>IF('Control Room'!$B$5="Normal",'Control Room'!$B$7+'Control Room'!$D$7*SQRT(-2*LN(MAX(0.000000000001,Q9/2147483647)))*COS(2*PI()*R9/2147483647),'Control Room'!$B$8+('Control Room'!$D$8-'Control Room'!$B$8)*Q9/2147483647)</x:f>
        <x:v>1111.3735766413427</x:v>
      </x:c>
      <x:c r="T9" s="17" t="n">
        <x:f>IF('Control Room'!$B$5="Normal",'Control Room'!$B$7,('Control Room'!$B$8+'Control Room'!$D$8)/2)+'Control Room'!$B$9*(T8-IF('Control Room'!$B$5="Normal",'Control Room'!$B$7,('Control Room'!$B$8+'Control Room'!$D$8)/2))+SQRT(1-'Control Room'!$B$9^2)*(S9-IF('Control Room'!$B$5="Normal",'Control Room'!$B$7,('Control Room'!$B$8+'Control Room'!$D$8)/2))</x:f>
        <x:v>1062.0447981005855</x:v>
      </x:c>
      <x:c r="U9" s="17" t="n">
        <x:f>IF(AND($A9&gt;='Control Room'!$A$13,$A9&lt;'Control Room'!$A$13+'Control Room'!$B$13,'Process'!BN2=1),1+('Control Room'!$C$13-1)*EXP(-0.5*(($A9-'Control Room'!$A$13-('Control Room'!$B$13-1)/2)/MAX(0.5,'Control Room'!$B$13/4))^2),1)*IF(AND($A9&gt;='Control Room'!$A$14,$A9&lt;'Control Room'!$A$14+'Control Room'!$B$14,'Process'!BN3=1),1+('Control Room'!$C$14-1)*EXP(-0.5*(($A9-'Control Room'!$A$14-('Control Room'!$B$14-1)/2)/MAX(0.5,'Control Room'!$B$14/4))^2),1)*IF(AND($A9&gt;='Control Room'!$A$15,$A9&lt;'Control Room'!$A$15+'Control Room'!$B$15,'Process'!BN4=1),1+('Control Room'!$C$15-1)*EXP(-0.5*(($A9-'Control Room'!$A$15-('Control Room'!$B$15-1)/2)/MAX(0.5,'Control Room'!$B$15/4))^2),1)*IF(AND($A9&gt;='Control Room'!$A$16,$A9&lt;'Control Room'!$A$16+'Control Room'!$B$16,'Process'!BN5=1),1+('Control Room'!$C$16-1)*EXP(-0.5*(($A9-'Control Room'!$A$16-('Control Room'!$B$16-1)/2)/MAX(0.5,'Control Room'!$B$16/4))^2),1)</x:f>
        <x:v>1</x:v>
      </x:c>
      <x:c r="V9" s="9" t="n">
        <x:f>MOD(W8*16807,2147483647)</x:f>
        <x:v>350623010</x:v>
      </x:c>
      <x:c r="W9" s="9" t="n">
        <x:f>MOD(V9*16807,2147483647)</x:f>
        <x:v>225801702</x:v>
      </x:c>
      <x:c r="X9" s="17" t="n">
        <x:f>IF('Control Room'!$B$5="Normal",'Control Room'!$B$7+'Control Room'!$D$7*SQRT(-2*LN(MAX(0.000000000001,V9/2147483647)))*COS(2*PI()*W9/2147483647),'Control Room'!$B$8+('Control Room'!$D$8-'Control Room'!$B$8)*V9/2147483647)</x:f>
        <x:v>1135.293838492781</x:v>
      </x:c>
      <x:c r="Y9" s="17" t="n">
        <x:f>IF('Control Room'!$B$5="Normal",'Control Room'!$B$7,('Control Room'!$B$8+'Control Room'!$D$8)/2)+'Control Room'!$B$9*(Y8-IF('Control Room'!$B$5="Normal",'Control Room'!$B$7,('Control Room'!$B$8+'Control Room'!$D$8)/2))+SQRT(1-'Control Room'!$B$9^2)*(X9-IF('Control Room'!$B$5="Normal",'Control Room'!$B$7,('Control Room'!$B$8+'Control Room'!$D$8)/2))</x:f>
        <x:v>1022.4496191913755</x:v>
      </x:c>
      <x:c r="Z9" s="17" t="n">
        <x:f>IF(AND($A9&gt;='Control Room'!$A$13,$A9&lt;'Control Room'!$A$13+'Control Room'!$B$13,'Process'!BO2=1),1+('Control Room'!$C$13-1)*EXP(-0.5*(($A9-'Control Room'!$A$13-('Control Room'!$B$13-1)/2)/MAX(0.5,'Control Room'!$B$13/4))^2),1)*IF(AND($A9&gt;='Control Room'!$A$14,$A9&lt;'Control Room'!$A$14+'Control Room'!$B$14,'Process'!BO3=1),1+('Control Room'!$C$14-1)*EXP(-0.5*(($A9-'Control Room'!$A$14-('Control Room'!$B$14-1)/2)/MAX(0.5,'Control Room'!$B$14/4))^2),1)*IF(AND($A9&gt;='Control Room'!$A$15,$A9&lt;'Control Room'!$A$15+'Control Room'!$B$15,'Process'!BO4=1),1+('Control Room'!$C$15-1)*EXP(-0.5*(($A9-'Control Room'!$A$15-('Control Room'!$B$15-1)/2)/MAX(0.5,'Control Room'!$B$15/4))^2),1)*IF(AND($A9&gt;='Control Room'!$A$16,$A9&lt;'Control Room'!$A$16+'Control Room'!$B$16,'Process'!BO5=1),1+('Control Room'!$C$16-1)*EXP(-0.5*(($A9-'Control Room'!$A$16-('Control Room'!$B$16-1)/2)/MAX(0.5,'Control Room'!$B$16/4))^2),1)</x:f>
        <x:v>1</x:v>
      </x:c>
      <x:c r="AA9" s="9" t="n">
        <x:f>MOD(AB8*16807,2147483647)</x:f>
        <x:v>315353980</x:v>
      </x:c>
      <x:c r="AB9" s="9" t="n">
        <x:f>MOD(AA9*16807,2147483647)</x:f>
        <x:v>164701064</x:v>
      </x:c>
      <x:c r="AC9" s="17" t="n">
        <x:f>IF('Control Room'!$B$5="Normal",'Control Room'!$B$7+'Control Room'!$D$7*SQRT(-2*LN(MAX(0.000000000001,AA9/2147483647)))*COS(2*PI()*AB9/2147483647),'Control Room'!$B$8+('Control Room'!$D$8-'Control Room'!$B$8)*AA9/2147483647)</x:f>
        <x:v>1156.2123417587352</x:v>
      </x:c>
      <x:c r="AD9" s="17" t="n">
        <x:f>IF('Control Room'!$B$5="Normal",'Control Room'!$B$7,('Control Room'!$B$8+'Control Room'!$D$8)/2)+'Control Room'!$B$9*(AD8-IF('Control Room'!$B$5="Normal",'Control Room'!$B$7,('Control Room'!$B$8+'Control Room'!$D$8)/2))+SQRT(1-'Control Room'!$B$9^2)*(AC9-IF('Control Room'!$B$5="Normal",'Control Room'!$B$7,('Control Room'!$B$8+'Control Room'!$D$8)/2))</x:f>
        <x:v>1058.1923728024049</x:v>
      </x:c>
      <x:c r="AE9" s="17" t="n">
        <x:f>IF(AND($A9&gt;='Control Room'!$A$13,$A9&lt;'Control Room'!$A$13+'Control Room'!$B$13,'Process'!BP2=1),1+('Control Room'!$C$13-1)*EXP(-0.5*(($A9-'Control Room'!$A$13-('Control Room'!$B$13-1)/2)/MAX(0.5,'Control Room'!$B$13/4))^2),1)*IF(AND($A9&gt;='Control Room'!$A$14,$A9&lt;'Control Room'!$A$14+'Control Room'!$B$14,'Process'!BP3=1),1+('Control Room'!$C$14-1)*EXP(-0.5*(($A9-'Control Room'!$A$14-('Control Room'!$B$14-1)/2)/MAX(0.5,'Control Room'!$B$14/4))^2),1)*IF(AND($A9&gt;='Control Room'!$A$15,$A9&lt;'Control Room'!$A$15+'Control Room'!$B$15,'Process'!BP4=1),1+('Control Room'!$C$15-1)*EXP(-0.5*(($A9-'Control Room'!$A$15-('Control Room'!$B$15-1)/2)/MAX(0.5,'Control Room'!$B$15/4))^2),1)*IF(AND($A9&gt;='Control Room'!$A$16,$A9&lt;'Control Room'!$A$16+'Control Room'!$B$16,'Process'!BP5=1),1+('Control Room'!$C$16-1)*EXP(-0.5*(($A9-'Control Room'!$A$16-('Control Room'!$B$16-1)/2)/MAX(0.5,'Control Room'!$B$16/4))^2),1)</x:f>
        <x:v>1</x:v>
      </x:c>
      <x:c r="AF9" s="9" t="n">
        <x:f>MOD(AG8*16807,2147483647)</x:f>
        <x:v>280084950</x:v>
      </x:c>
      <x:c r="AG9" s="9" t="n">
        <x:f>MOD(AF9*16807,2147483647)</x:f>
        <x:v>103600426</x:v>
      </x:c>
      <x:c r="AH9" s="17" t="n">
        <x:f>IF('Control Room'!$B$5="Normal",'Control Room'!$B$7+'Control Room'!$D$7*SQRT(-2*LN(MAX(0.000000000001,AF9/2147483647)))*COS(2*PI()*AG9/2147483647),'Control Room'!$B$8+('Control Room'!$D$8-'Control Room'!$B$8)*AF9/2147483647)</x:f>
        <x:v>1173.373951512021</x:v>
      </x:c>
      <x:c r="AI9" s="17" t="n">
        <x:f>IF('Control Room'!$B$5="Normal",'Control Room'!$B$7,('Control Room'!$B$8+'Control Room'!$D$8)/2)+'Control Room'!$B$9*(AI8-IF('Control Room'!$B$5="Normal",'Control Room'!$B$7,('Control Room'!$B$8+'Control Room'!$D$8)/2))+SQRT(1-'Control Room'!$B$9^2)*(AH9-IF('Control Room'!$B$5="Normal",'Control Room'!$B$7,('Control Room'!$B$8+'Control Room'!$D$8)/2))</x:f>
        <x:v>1014.4434729186429</x:v>
      </x:c>
      <x:c r="AJ9" s="17" t="n">
        <x:f>IF(AND($A9&gt;='Control Room'!$A$13,$A9&lt;'Control Room'!$A$13+'Control Room'!$B$13,'Process'!BQ2=1),1+('Control Room'!$C$13-1)*EXP(-0.5*(($A9-'Control Room'!$A$13-('Control Room'!$B$13-1)/2)/MAX(0.5,'Control Room'!$B$13/4))^2),1)*IF(AND($A9&gt;='Control Room'!$A$14,$A9&lt;'Control Room'!$A$14+'Control Room'!$B$14,'Process'!BQ3=1),1+('Control Room'!$C$14-1)*EXP(-0.5*(($A9-'Control Room'!$A$14-('Control Room'!$B$14-1)/2)/MAX(0.5,'Control Room'!$B$14/4))^2),1)*IF(AND($A9&gt;='Control Room'!$A$15,$A9&lt;'Control Room'!$A$15+'Control Room'!$B$15,'Process'!BQ4=1),1+('Control Room'!$C$15-1)*EXP(-0.5*(($A9-'Control Room'!$A$15-('Control Room'!$B$15-1)/2)/MAX(0.5,'Control Room'!$B$15/4))^2),1)*IF(AND($A9&gt;='Control Room'!$A$16,$A9&lt;'Control Room'!$A$16+'Control Room'!$B$16,'Process'!BQ5=1),1+('Control Room'!$C$16-1)*EXP(-0.5*(($A9-'Control Room'!$A$16-('Control Room'!$B$16-1)/2)/MAX(0.5,'Control Room'!$B$16/4))^2),1)</x:f>
        <x:v>1</x:v>
      </x:c>
      <x:c r="AK9" s="9" t="n">
        <x:f>MOD(AL8*16807,2147483647)</x:f>
        <x:v>244815920</x:v>
      </x:c>
      <x:c r="AL9" s="9" t="n">
        <x:f>MOD(AK9*16807,2147483647)</x:f>
        <x:v>42499788</x:v>
      </x:c>
      <x:c r="AM9" s="17" t="n">
        <x:f>IF('Control Room'!$B$5="Normal",'Control Room'!$B$7+'Control Room'!$D$7*SQRT(-2*LN(MAX(0.000000000001,AK9/2147483647)))*COS(2*PI()*AL9/2147483647),'Control Room'!$B$8+('Control Room'!$D$8-'Control Room'!$B$8)*AK9/2147483647)</x:f>
        <x:v>1186.112562955689</x:v>
      </x:c>
      <x:c r="AN9" s="17" t="n">
        <x:f>IF('Control Room'!$B$5="Normal",'Control Room'!$B$7,('Control Room'!$B$8+'Control Room'!$D$8)/2)+'Control Room'!$B$9*(AN8-IF('Control Room'!$B$5="Normal",'Control Room'!$B$7,('Control Room'!$B$8+'Control Room'!$D$8)/2))+SQRT(1-'Control Room'!$B$9^2)*(AM9-IF('Control Room'!$B$5="Normal",'Control Room'!$B$7,('Control Room'!$B$8+'Control Room'!$D$8)/2))</x:f>
        <x:v>1218.3151738989461</x:v>
      </x:c>
      <x:c r="AO9" s="17" t="n">
        <x:f>IF(AND($A9&gt;='Control Room'!$A$13,$A9&lt;'Control Room'!$A$13+'Control Room'!$B$13,'Process'!BR2=1),1+('Control Room'!$C$13-1)*EXP(-0.5*(($A9-'Control Room'!$A$13-('Control Room'!$B$13-1)/2)/MAX(0.5,'Control Room'!$B$13/4))^2),1)*IF(AND($A9&gt;='Control Room'!$A$14,$A9&lt;'Control Room'!$A$14+'Control Room'!$B$14,'Process'!BR3=1),1+('Control Room'!$C$14-1)*EXP(-0.5*(($A9-'Control Room'!$A$14-('Control Room'!$B$14-1)/2)/MAX(0.5,'Control Room'!$B$14/4))^2),1)*IF(AND($A9&gt;='Control Room'!$A$15,$A9&lt;'Control Room'!$A$15+'Control Room'!$B$15,'Process'!BR4=1),1+('Control Room'!$C$15-1)*EXP(-0.5*(($A9-'Control Room'!$A$15-('Control Room'!$B$15-1)/2)/MAX(0.5,'Control Room'!$B$15/4))^2),1)*IF(AND($A9&gt;='Control Room'!$A$16,$A9&lt;'Control Room'!$A$16+'Control Room'!$B$16,'Process'!BR5=1),1+('Control Room'!$C$16-1)*EXP(-0.5*(($A9-'Control Room'!$A$16-('Control Room'!$B$16-1)/2)/MAX(0.5,'Control Room'!$B$16/4))^2),1)</x:f>
        <x:v>1</x:v>
      </x:c>
      <x:c r="AP9" s="9" t="n">
        <x:f>MOD(AQ8*16807,2147483647)</x:f>
        <x:v>209546890</x:v>
      </x:c>
      <x:c r="AQ9" s="9" t="n">
        <x:f>MOD(AP9*16807,2147483647)</x:f>
        <x:v>2128882797</x:v>
      </x:c>
      <x:c r="AR9" s="17" t="n">
        <x:f>IF('Control Room'!$B$5="Normal",'Control Room'!$B$7+'Control Room'!$D$7*SQRT(-2*LN(MAX(0.000000000001,AP9/2147483647)))*COS(2*PI()*AQ9/2147483647),'Control Room'!$B$8+('Control Room'!$D$8-'Control Room'!$B$8)*AP9/2147483647)</x:f>
        <x:v>1193.875071852355</x:v>
      </x:c>
      <x:c r="AS9" s="17" t="n">
        <x:f>IF('Control Room'!$B$5="Normal",'Control Room'!$B$7,('Control Room'!$B$8+'Control Room'!$D$8)/2)+'Control Room'!$B$9*(AS8-IF('Control Room'!$B$5="Normal",'Control Room'!$B$7,('Control Room'!$B$8+'Control Room'!$D$8)/2))+SQRT(1-'Control Room'!$B$9^2)*(AR9-IF('Control Room'!$B$5="Normal",'Control Room'!$B$7,('Control Room'!$B$8+'Control Room'!$D$8)/2))</x:f>
        <x:v>1117.5139027524583</x:v>
      </x:c>
      <x:c r="AT9" s="17" t="n">
        <x:f>IF(AND($A9&gt;='Control Room'!$A$13,$A9&lt;'Control Room'!$A$13+'Control Room'!$B$13,'Process'!BS2=1),1+('Control Room'!$C$13-1)*EXP(-0.5*(($A9-'Control Room'!$A$13-('Control Room'!$B$13-1)/2)/MAX(0.5,'Control Room'!$B$13/4))^2),1)*IF(AND($A9&gt;='Control Room'!$A$14,$A9&lt;'Control Room'!$A$14+'Control Room'!$B$14,'Process'!BS3=1),1+('Control Room'!$C$14-1)*EXP(-0.5*(($A9-'Control Room'!$A$14-('Control Room'!$B$14-1)/2)/MAX(0.5,'Control Room'!$B$14/4))^2),1)*IF(AND($A9&gt;='Control Room'!$A$15,$A9&lt;'Control Room'!$A$15+'Control Room'!$B$15,'Process'!BS4=1),1+('Control Room'!$C$15-1)*EXP(-0.5*(($A9-'Control Room'!$A$15-('Control Room'!$B$15-1)/2)/MAX(0.5,'Control Room'!$B$15/4))^2),1)*IF(AND($A9&gt;='Control Room'!$A$16,$A9&lt;'Control Room'!$A$16+'Control Room'!$B$16,'Process'!BS5=1),1+('Control Room'!$C$16-1)*EXP(-0.5*(($A9-'Control Room'!$A$16-('Control Room'!$B$16-1)/2)/MAX(0.5,'Control Room'!$B$16/4))^2),1)</x:f>
        <x:v>1</x:v>
      </x:c>
      <x:c r="AU9" s="9" t="n">
        <x:f>MOD(AV8*16807,2147483647)</x:f>
        <x:v>174277860</x:v>
      </x:c>
      <x:c r="AV9" s="9" t="n">
        <x:f>MOD(AU9*16807,2147483647)</x:f>
        <x:v>2067782159</x:v>
      </x:c>
      <x:c r="AW9" s="17" t="n">
        <x:f>IF('Control Room'!$B$5="Normal",'Control Room'!$B$7+'Control Room'!$D$7*SQRT(-2*LN(MAX(0.000000000001,AU9/2147483647)))*COS(2*PI()*AV9/2147483647),'Control Room'!$B$8+('Control Room'!$D$8-'Control Room'!$B$8)*AU9/2147483647)</x:f>
        <x:v>1196.2450247468378</x:v>
      </x:c>
      <x:c r="AX9" s="17" t="n">
        <x:f>IF('Control Room'!$B$5="Normal",'Control Room'!$B$7,('Control Room'!$B$8+'Control Room'!$D$8)/2)+'Control Room'!$B$9*(AX8-IF('Control Room'!$B$5="Normal",'Control Room'!$B$7,('Control Room'!$B$8+'Control Room'!$D$8)/2))+SQRT(1-'Control Room'!$B$9^2)*(AW9-IF('Control Room'!$B$5="Normal",'Control Room'!$B$7,('Control Room'!$B$8+'Control Room'!$D$8)/2))</x:f>
        <x:v>1116.53457513816</x:v>
      </x:c>
      <x:c r="AY9" s="17" t="n">
        <x:f>IF(AND($A9&gt;='Control Room'!$A$13,$A9&lt;'Control Room'!$A$13+'Control Room'!$B$13,'Process'!BT2=1),1+('Control Room'!$C$13-1)*EXP(-0.5*(($A9-'Control Room'!$A$13-('Control Room'!$B$13-1)/2)/MAX(0.5,'Control Room'!$B$13/4))^2),1)*IF(AND($A9&gt;='Control Room'!$A$14,$A9&lt;'Control Room'!$A$14+'Control Room'!$B$14,'Process'!BT3=1),1+('Control Room'!$C$14-1)*EXP(-0.5*(($A9-'Control Room'!$A$14-('Control Room'!$B$14-1)/2)/MAX(0.5,'Control Room'!$B$14/4))^2),1)*IF(AND($A9&gt;='Control Room'!$A$15,$A9&lt;'Control Room'!$A$15+'Control Room'!$B$15,'Process'!BT4=1),1+('Control Room'!$C$15-1)*EXP(-0.5*(($A9-'Control Room'!$A$15-('Control Room'!$B$15-1)/2)/MAX(0.5,'Control Room'!$B$15/4))^2),1)*IF(AND($A9&gt;='Control Room'!$A$16,$A9&lt;'Control Room'!$A$16+'Control Room'!$B$16,'Process'!BT5=1),1+('Control Room'!$C$16-1)*EXP(-0.5*(($A9-'Control Room'!$A$16-('Control Room'!$B$16-1)/2)/MAX(0.5,'Control Room'!$B$16/4))^2),1)</x:f>
        <x:v>1</x:v>
      </x:c>
      <x:c r="AZ9" s="9" t="n">
        <x:f>MOD(BA8*16807,2147483647)</x:f>
        <x:v>139008830</x:v>
      </x:c>
      <x:c r="BA9" s="9" t="n">
        <x:f>MOD(AZ9*16807,2147483647)</x:f>
        <x:v>2006681521</x:v>
      </x:c>
      <x:c r="BB9" s="17" t="n">
        <x:f>IF('Control Room'!$B$5="Normal",'Control Room'!$B$7+'Control Room'!$D$7*SQRT(-2*LN(MAX(0.000000000001,AZ9/2147483647)))*COS(2*PI()*BA9/2147483647),'Control Room'!$B$8+('Control Room'!$D$8-'Control Room'!$B$8)*AZ9/2147483647)</x:f>
        <x:v>1192.9703453805757</x:v>
      </x:c>
      <x:c r="BC9" s="17" t="n">
        <x:f>IF('Control Room'!$B$5="Normal",'Control Room'!$B$7,('Control Room'!$B$8+'Control Room'!$D$8)/2)+'Control Room'!$B$9*(BC8-IF('Control Room'!$B$5="Normal",'Control Room'!$B$7,('Control Room'!$B$8+'Control Room'!$D$8)/2))+SQRT(1-'Control Room'!$B$9^2)*(BB9-IF('Control Room'!$B$5="Normal",'Control Room'!$B$7,('Control Room'!$B$8+'Control Room'!$D$8)/2))</x:f>
        <x:v>1051.3243910929582</x:v>
      </x:c>
      <x:c r="BD9" s="17" t="n">
        <x:f>IF(AND($A9&gt;='Control Room'!$A$13,$A9&lt;'Control Room'!$A$13+'Control Room'!$B$13,'Process'!BU2=1),1+('Control Room'!$C$13-1)*EXP(-0.5*(($A9-'Control Room'!$A$13-('Control Room'!$B$13-1)/2)/MAX(0.5,'Control Room'!$B$13/4))^2),1)*IF(AND($A9&gt;='Control Room'!$A$14,$A9&lt;'Control Room'!$A$14+'Control Room'!$B$14,'Process'!BU3=1),1+('Control Room'!$C$14-1)*EXP(-0.5*(($A9-'Control Room'!$A$14-('Control Room'!$B$14-1)/2)/MAX(0.5,'Control Room'!$B$14/4))^2),1)*IF(AND($A9&gt;='Control Room'!$A$15,$A9&lt;'Control Room'!$A$15+'Control Room'!$B$15,'Process'!BU4=1),1+('Control Room'!$C$15-1)*EXP(-0.5*(($A9-'Control Room'!$A$15-('Control Room'!$B$15-1)/2)/MAX(0.5,'Control Room'!$B$15/4))^2),1)*IF(AND($A9&gt;='Control Room'!$A$16,$A9&lt;'Control Room'!$A$16+'Control Room'!$B$16,'Process'!BU5=1),1+('Control Room'!$C$16-1)*EXP(-0.5*(($A9-'Control Room'!$A$16-('Control Room'!$B$16-1)/2)/MAX(0.5,'Control Room'!$B$16/4))^2),1)</x:f>
        <x:v>1</x:v>
      </x:c>
      <x:c r="BE9" s="9" t="n">
        <x:f>MOD(BF8*16807,2147483647)</x:f>
        <x:v>103739800</x:v>
      </x:c>
      <x:c r="BF9" s="9" t="n">
        <x:f>MOD(BE9*16807,2147483647)</x:f>
        <x:v>1945580883</x:v>
      </x:c>
      <x:c r="BG9" s="17" t="n">
        <x:f>IF('Control Room'!$B$5="Normal",'Control Room'!$B$7+'Control Room'!$D$7*SQRT(-2*LN(MAX(0.000000000001,BE9/2147483647)))*COS(2*PI()*BF9/2147483647),'Control Room'!$B$8+('Control Room'!$D$8-'Control Room'!$B$8)*BE9/2147483647)</x:f>
        <x:v>1184.0123740946105</x:v>
      </x:c>
      <x:c r="BH9" s="17" t="n">
        <x:f>IF('Control Room'!$B$5="Normal",'Control Room'!$B$7,('Control Room'!$B$8+'Control Room'!$D$8)/2)+'Control Room'!$B$9*(BH8-IF('Control Room'!$B$5="Normal",'Control Room'!$B$7,('Control Room'!$B$8+'Control Room'!$D$8)/2))+SQRT(1-'Control Room'!$B$9^2)*(BG9-IF('Control Room'!$B$5="Normal",'Control Room'!$B$7,('Control Room'!$B$8+'Control Room'!$D$8)/2))</x:f>
        <x:v>1090.243611602435</x:v>
      </x:c>
      <x:c r="BI9" s="17" t="n">
        <x:f>IF(AND($A9&gt;='Control Room'!$A$13,$A9&lt;'Control Room'!$A$13+'Control Room'!$B$13,'Process'!BV2=1),1+('Control Room'!$C$13-1)*EXP(-0.5*(($A9-'Control Room'!$A$13-('Control Room'!$B$13-1)/2)/MAX(0.5,'Control Room'!$B$13/4))^2),1)*IF(AND($A9&gt;='Control Room'!$A$14,$A9&lt;'Control Room'!$A$14+'Control Room'!$B$14,'Process'!BV3=1),1+('Control Room'!$C$14-1)*EXP(-0.5*(($A9-'Control Room'!$A$14-('Control Room'!$B$14-1)/2)/MAX(0.5,'Control Room'!$B$14/4))^2),1)*IF(AND($A9&gt;='Control Room'!$A$15,$A9&lt;'Control Room'!$A$15+'Control Room'!$B$15,'Process'!BV4=1),1+('Control Room'!$C$15-1)*EXP(-0.5*(($A9-'Control Room'!$A$15-('Control Room'!$B$15-1)/2)/MAX(0.5,'Control Room'!$B$15/4))^2),1)*IF(AND($A9&gt;='Control Room'!$A$16,$A9&lt;'Control Room'!$A$16+'Control Room'!$B$16,'Process'!BV5=1),1+('Control Room'!$C$16-1)*EXP(-0.5*(($A9-'Control Room'!$A$16-('Control Room'!$B$16-1)/2)/MAX(0.5,'Control Room'!$B$16/4))^2),1)</x:f>
        <x:v>1</x:v>
      </x:c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 t="str">
        <x:v>Mine name status</x:v>
      </x:c>
      <x:c r="BZ9" t="str">
        <x:f>IF('Data'!A9="","",TEXT('Data'!A9,"mm-dd"))</x:f>
        <x:v>11-09</x:v>
      </x:c>
    </x:row>
    <x:row r="10" ht="21" customHeight="1">
      <x:c r="A10" s="15" t="n">
        <x:f>'Control Room'!$B$1+8</x:f>
        <x:v>72999</x:v>
      </x:c>
      <x:c r="B10" s="9" t="n">
        <x:f>MOD(C9*16807,2147483647)</x:f>
        <x:v>2130559665</x:v>
      </x:c>
      <x:c r="C10" s="9" t="n">
        <x:f>MOD(B10*16807,2147483647)</x:f>
        <x:v>1173959577</x:v>
      </x:c>
      <x:c r="D10" s="17" t="n">
        <x:f>IF('Control Room'!$B$5="Normal",'Control Room'!$B$7+'Control Room'!$D$7*SQRT(-2*LN(MAX(0.000000000001,B10/2147483647)))*COS(2*PI()*C10/2147483647),'Control Room'!$B$8+('Control Room'!$D$8-'Control Room'!$B$8)*B10/2147483647)</x:f>
        <x:v>989.1617660535255</x:v>
      </x:c>
      <x:c r="E10" s="17" t="n">
        <x:f>IF('Control Room'!$B$5="Normal",'Control Room'!$B$7,('Control Room'!$B$8+'Control Room'!$D$8)/2)+'Control Room'!$B$9*(E9-IF('Control Room'!$B$5="Normal",'Control Room'!$B$7,('Control Room'!$B$8+'Control Room'!$D$8)/2))+SQRT(1-'Control Room'!$B$9^2)*(D10-IF('Control Room'!$B$5="Normal",'Control Room'!$B$7,('Control Room'!$B$8+'Control Room'!$D$8)/2))</x:f>
        <x:v>1029.4507345853688</x:v>
      </x:c>
      <x:c r="F10" s="17" t="n">
        <x:f>IF(AND($A10&gt;='Control Room'!$A$13,$A10&lt;'Control Room'!$A$13+'Control Room'!$B$13,'Process'!BK2=1),1+('Control Room'!$C$13-1)*EXP(-0.5*(($A10-'Control Room'!$A$13-('Control Room'!$B$13-1)/2)/MAX(0.5,'Control Room'!$B$13/4))^2),1)*IF(AND($A10&gt;='Control Room'!$A$14,$A10&lt;'Control Room'!$A$14+'Control Room'!$B$14,'Process'!BK3=1),1+('Control Room'!$C$14-1)*EXP(-0.5*(($A10-'Control Room'!$A$14-('Control Room'!$B$14-1)/2)/MAX(0.5,'Control Room'!$B$14/4))^2),1)*IF(AND($A10&gt;='Control Room'!$A$15,$A10&lt;'Control Room'!$A$15+'Control Room'!$B$15,'Process'!BK4=1),1+('Control Room'!$C$15-1)*EXP(-0.5*(($A10-'Control Room'!$A$15-('Control Room'!$B$15-1)/2)/MAX(0.5,'Control Room'!$B$15/4))^2),1)*IF(AND($A10&gt;='Control Room'!$A$16,$A10&lt;'Control Room'!$A$16+'Control Room'!$B$16,'Process'!BK5=1),1+('Control Room'!$C$16-1)*EXP(-0.5*(($A10-'Control Room'!$A$16-('Control Room'!$B$16-1)/2)/MAX(0.5,'Control Room'!$B$16/4))^2),1)</x:f>
        <x:v>1</x:v>
      </x:c>
      <x:c r="G10" s="9" t="n">
        <x:f>MOD(H9*16807,2147483647)</x:f>
        <x:v>1709320065</x:v>
      </x:c>
      <x:c r="H10" s="9" t="n">
        <x:f>MOD(G10*16807,2147483647)</x:f>
        <x:v>1653586536</x:v>
      </x:c>
      <x:c r="I10" s="17" t="n">
        <x:f>IF('Control Room'!$B$5="Normal",'Control Room'!$B$7+'Control Room'!$D$7*SQRT(-2*LN(MAX(0.000000000001,G10/2147483647)))*COS(2*PI()*H10/2147483647),'Control Room'!$B$8+('Control Room'!$D$8-'Control Room'!$B$8)*G10/2147483647)</x:f>
        <x:v>1007.6247433377258</x:v>
      </x:c>
      <x:c r="J10" s="17" t="n">
        <x:f>IF('Control Room'!$B$5="Normal",'Control Room'!$B$7,('Control Room'!$B$8+'Control Room'!$D$8)/2)+'Control Room'!$B$9*(J9-IF('Control Room'!$B$5="Normal",'Control Room'!$B$7,('Control Room'!$B$8+'Control Room'!$D$8)/2))+SQRT(1-'Control Room'!$B$9^2)*(I10-IF('Control Room'!$B$5="Normal",'Control Room'!$B$7,('Control Room'!$B$8+'Control Room'!$D$8)/2))</x:f>
        <x:v>1102.1154343971064</x:v>
      </x:c>
      <x:c r="K10" s="17" t="n">
        <x:f>IF(AND($A10&gt;='Control Room'!$A$13,$A10&lt;'Control Room'!$A$13+'Control Room'!$B$13,'Process'!BL2=1),1+('Control Room'!$C$13-1)*EXP(-0.5*(($A10-'Control Room'!$A$13-('Control Room'!$B$13-1)/2)/MAX(0.5,'Control Room'!$B$13/4))^2),1)*IF(AND($A10&gt;='Control Room'!$A$14,$A10&lt;'Control Room'!$A$14+'Control Room'!$B$14,'Process'!BL3=1),1+('Control Room'!$C$14-1)*EXP(-0.5*(($A10-'Control Room'!$A$14-('Control Room'!$B$14-1)/2)/MAX(0.5,'Control Room'!$B$14/4))^2),1)*IF(AND($A10&gt;='Control Room'!$A$15,$A10&lt;'Control Room'!$A$15+'Control Room'!$B$15,'Process'!BL4=1),1+('Control Room'!$C$15-1)*EXP(-0.5*(($A10-'Control Room'!$A$15-('Control Room'!$B$15-1)/2)/MAX(0.5,'Control Room'!$B$15/4))^2),1)*IF(AND($A10&gt;='Control Room'!$A$16,$A10&lt;'Control Room'!$A$16+'Control Room'!$B$16,'Process'!BL5=1),1+('Control Room'!$C$16-1)*EXP(-0.5*(($A10-'Control Room'!$A$16-('Control Room'!$B$16-1)/2)/MAX(0.5,'Control Room'!$B$16/4))^2),1)</x:f>
        <x:v>1</x:v>
      </x:c>
      <x:c r="L10" s="9" t="n">
        <x:f>MOD(M9*16807,2147483647)</x:f>
        <x:v>1288080465</x:v>
      </x:c>
      <x:c r="M10" s="9" t="n">
        <x:f>MOD(L10*16807,2147483647)</x:f>
        <x:v>2133213495</x:v>
      </x:c>
      <x:c r="N10" s="17" t="n">
        <x:f>IF('Control Room'!$B$5="Normal",'Control Room'!$B$7+'Control Room'!$D$7*SQRT(-2*LN(MAX(0.000000000001,L10/2147483647)))*COS(2*PI()*M10/2147483647),'Control Room'!$B$8+('Control Room'!$D$8-'Control Room'!$B$8)*L10/2147483647)</x:f>
        <x:v>1090.9180991511935</x:v>
      </x:c>
      <x:c r="O10" s="17" t="n">
        <x:f>IF('Control Room'!$B$5="Normal",'Control Room'!$B$7,('Control Room'!$B$8+'Control Room'!$D$8)/2)+'Control Room'!$B$9*(O9-IF('Control Room'!$B$5="Normal",'Control Room'!$B$7,('Control Room'!$B$8+'Control Room'!$D$8)/2))+SQRT(1-'Control Room'!$B$9^2)*(N10-IF('Control Room'!$B$5="Normal",'Control Room'!$B$7,('Control Room'!$B$8+'Control Room'!$D$8)/2))</x:f>
        <x:v>1062.3190349470706</x:v>
      </x:c>
      <x:c r="P10" s="17" t="n">
        <x:f>IF(AND($A10&gt;='Control Room'!$A$13,$A10&lt;'Control Room'!$A$13+'Control Room'!$B$13,'Process'!BM2=1),1+('Control Room'!$C$13-1)*EXP(-0.5*(($A10-'Control Room'!$A$13-('Control Room'!$B$13-1)/2)/MAX(0.5,'Control Room'!$B$13/4))^2),1)*IF(AND($A10&gt;='Control Room'!$A$14,$A10&lt;'Control Room'!$A$14+'Control Room'!$B$14,'Process'!BM3=1),1+('Control Room'!$C$14-1)*EXP(-0.5*(($A10-'Control Room'!$A$14-('Control Room'!$B$14-1)/2)/MAX(0.5,'Control Room'!$B$14/4))^2),1)*IF(AND($A10&gt;='Control Room'!$A$15,$A10&lt;'Control Room'!$A$15+'Control Room'!$B$15,'Process'!BM4=1),1+('Control Room'!$C$15-1)*EXP(-0.5*(($A10-'Control Room'!$A$15-('Control Room'!$B$15-1)/2)/MAX(0.5,'Control Room'!$B$15/4))^2),1)*IF(AND($A10&gt;='Control Room'!$A$16,$A10&lt;'Control Room'!$A$16+'Control Room'!$B$16,'Process'!BM5=1),1+('Control Room'!$C$16-1)*EXP(-0.5*(($A10-'Control Room'!$A$16-('Control Room'!$B$16-1)/2)/MAX(0.5,'Control Room'!$B$16/4))^2),1)</x:f>
        <x:v>1</x:v>
      </x:c>
      <x:c r="Q10" s="9" t="n">
        <x:f>MOD(R9*16807,2147483647)</x:f>
        <x:v>866840865</x:v>
      </x:c>
      <x:c r="R10" s="9" t="n">
        <x:f>MOD(Q10*16807,2147483647)</x:f>
        <x:v>465356807</x:v>
      </x:c>
      <x:c r="S10" s="17" t="n">
        <x:f>IF('Control Room'!$B$5="Normal",'Control Room'!$B$7+'Control Room'!$D$7*SQRT(-2*LN(MAX(0.000000000001,Q10/2147483647)))*COS(2*PI()*R10/2147483647),'Control Room'!$B$8+('Control Room'!$D$8-'Control Room'!$B$8)*Q10/2147483647)</x:f>
        <x:v>1025.1811948819077</x:v>
      </x:c>
      <x:c r="T10" s="17" t="n">
        <x:f>IF('Control Room'!$B$5="Normal",'Control Room'!$B$7,('Control Room'!$B$8+'Control Room'!$D$8)/2)+'Control Room'!$B$9*(T9-IF('Control Room'!$B$5="Normal",'Control Room'!$B$7,('Control Room'!$B$8+'Control Room'!$D$8)/2))+SQRT(1-'Control Room'!$B$9^2)*(S10-IF('Control Room'!$B$5="Normal",'Control Room'!$B$7,('Control Room'!$B$8+'Control Room'!$D$8)/2))</x:f>
        <x:v>1064.1528184107376</x:v>
      </x:c>
      <x:c r="U10" s="17" t="n">
        <x:f>IF(AND($A10&gt;='Control Room'!$A$13,$A10&lt;'Control Room'!$A$13+'Control Room'!$B$13,'Process'!BN2=1),1+('Control Room'!$C$13-1)*EXP(-0.5*(($A10-'Control Room'!$A$13-('Control Room'!$B$13-1)/2)/MAX(0.5,'Control Room'!$B$13/4))^2),1)*IF(AND($A10&gt;='Control Room'!$A$14,$A10&lt;'Control Room'!$A$14+'Control Room'!$B$14,'Process'!BN3=1),1+('Control Room'!$C$14-1)*EXP(-0.5*(($A10-'Control Room'!$A$14-('Control Room'!$B$14-1)/2)/MAX(0.5,'Control Room'!$B$14/4))^2),1)*IF(AND($A10&gt;='Control Room'!$A$15,$A10&lt;'Control Room'!$A$15+'Control Room'!$B$15,'Process'!BN4=1),1+('Control Room'!$C$15-1)*EXP(-0.5*(($A10-'Control Room'!$A$15-('Control Room'!$B$15-1)/2)/MAX(0.5,'Control Room'!$B$15/4))^2),1)*IF(AND($A10&gt;='Control Room'!$A$16,$A10&lt;'Control Room'!$A$16+'Control Room'!$B$16,'Process'!BN5=1),1+('Control Room'!$C$16-1)*EXP(-0.5*(($A10-'Control Room'!$A$16-('Control Room'!$B$16-1)/2)/MAX(0.5,'Control Room'!$B$16/4))^2),1)</x:f>
        <x:v>1</x:v>
      </x:c>
      <x:c r="V10" s="9" t="n">
        <x:f>MOD(W9*16807,2147483647)</x:f>
        <x:v>445601265</x:v>
      </x:c>
      <x:c r="W10" s="9" t="n">
        <x:f>MOD(V10*16807,2147483647)</x:f>
        <x:v>944983766</x:v>
      </x:c>
      <x:c r="X10" s="17" t="n">
        <x:f>IF('Control Room'!$B$5="Normal",'Control Room'!$B$7+'Control Room'!$D$7*SQRT(-2*LN(MAX(0.000000000001,V10/2147483647)))*COS(2*PI()*W10/2147483647),'Control Room'!$B$8+('Control Room'!$D$8-'Control Room'!$B$8)*V10/2147483647)</x:f>
        <x:v>851.5792079664338</x:v>
      </x:c>
      <x:c r="Y10" s="17" t="n">
        <x:f>IF('Control Room'!$B$5="Normal",'Control Room'!$B$7,('Control Room'!$B$8+'Control Room'!$D$8)/2)+'Control Room'!$B$9*(Y9-IF('Control Room'!$B$5="Normal",'Control Room'!$B$7,('Control Room'!$B$8+'Control Room'!$D$8)/2))+SQRT(1-'Control Room'!$B$9^2)*(X10-IF('Control Room'!$B$5="Normal",'Control Room'!$B$7,('Control Room'!$B$8+'Control Room'!$D$8)/2))</x:f>
        <x:v>924.6320118798615</x:v>
      </x:c>
      <x:c r="Z10" s="17" t="n">
        <x:f>IF(AND($A10&gt;='Control Room'!$A$13,$A10&lt;'Control Room'!$A$13+'Control Room'!$B$13,'Process'!BO2=1),1+('Control Room'!$C$13-1)*EXP(-0.5*(($A10-'Control Room'!$A$13-('Control Room'!$B$13-1)/2)/MAX(0.5,'Control Room'!$B$13/4))^2),1)*IF(AND($A10&gt;='Control Room'!$A$14,$A10&lt;'Control Room'!$A$14+'Control Room'!$B$14,'Process'!BO3=1),1+('Control Room'!$C$14-1)*EXP(-0.5*(($A10-'Control Room'!$A$14-('Control Room'!$B$14-1)/2)/MAX(0.5,'Control Room'!$B$14/4))^2),1)*IF(AND($A10&gt;='Control Room'!$A$15,$A10&lt;'Control Room'!$A$15+'Control Room'!$B$15,'Process'!BO4=1),1+('Control Room'!$C$15-1)*EXP(-0.5*(($A10-'Control Room'!$A$15-('Control Room'!$B$15-1)/2)/MAX(0.5,'Control Room'!$B$15/4))^2),1)*IF(AND($A10&gt;='Control Room'!$A$16,$A10&lt;'Control Room'!$A$16+'Control Room'!$B$16,'Process'!BO5=1),1+('Control Room'!$C$16-1)*EXP(-0.5*(($A10-'Control Room'!$A$16-('Control Room'!$B$16-1)/2)/MAX(0.5,'Control Room'!$B$16/4))^2),1)</x:f>
        <x:v>1</x:v>
      </x:c>
      <x:c r="AA10" s="9" t="n">
        <x:f>MOD(AB9*16807,2147483647)</x:f>
        <x:v>24361665</x:v>
      </x:c>
      <x:c r="AB10" s="9" t="n">
        <x:f>MOD(AA10*16807,2147483647)</x:f>
        <x:v>1424610725</x:v>
      </x:c>
      <x:c r="AC10" s="17" t="n">
        <x:f>IF('Control Room'!$B$5="Normal",'Control Room'!$B$7+'Control Room'!$D$7*SQRT(-2*LN(MAX(0.000000000001,AA10/2147483647)))*COS(2*PI()*AB10/2147483647),'Control Room'!$B$8+('Control Room'!$D$8-'Control Room'!$B$8)*AA10/2147483647)</x:f>
        <x:v>860.5351504749517</x:v>
      </x:c>
      <x:c r="AD10" s="17" t="n">
        <x:f>IF('Control Room'!$B$5="Normal",'Control Room'!$B$7,('Control Room'!$B$8+'Control Room'!$D$8)/2)+'Control Room'!$B$9*(AD9-IF('Control Room'!$B$5="Normal",'Control Room'!$B$7,('Control Room'!$B$8+'Control Room'!$D$8)/2))+SQRT(1-'Control Room'!$B$9^2)*(AC10-IF('Control Room'!$B$5="Normal",'Control Room'!$B$7,('Control Room'!$B$8+'Control Room'!$D$8)/2))</x:f>
        <x:v>958.1158050458398</x:v>
      </x:c>
      <x:c r="AE10" s="17" t="n">
        <x:f>IF(AND($A10&gt;='Control Room'!$A$13,$A10&lt;'Control Room'!$A$13+'Control Room'!$B$13,'Process'!BP2=1),1+('Control Room'!$C$13-1)*EXP(-0.5*(($A10-'Control Room'!$A$13-('Control Room'!$B$13-1)/2)/MAX(0.5,'Control Room'!$B$13/4))^2),1)*IF(AND($A10&gt;='Control Room'!$A$14,$A10&lt;'Control Room'!$A$14+'Control Room'!$B$14,'Process'!BP3=1),1+('Control Room'!$C$14-1)*EXP(-0.5*(($A10-'Control Room'!$A$14-('Control Room'!$B$14-1)/2)/MAX(0.5,'Control Room'!$B$14/4))^2),1)*IF(AND($A10&gt;='Control Room'!$A$15,$A10&lt;'Control Room'!$A$15+'Control Room'!$B$15,'Process'!BP4=1),1+('Control Room'!$C$15-1)*EXP(-0.5*(($A10-'Control Room'!$A$15-('Control Room'!$B$15-1)/2)/MAX(0.5,'Control Room'!$B$15/4))^2),1)*IF(AND($A10&gt;='Control Room'!$A$16,$A10&lt;'Control Room'!$A$16+'Control Room'!$B$16,'Process'!BP5=1),1+('Control Room'!$C$16-1)*EXP(-0.5*(($A10-'Control Room'!$A$16-('Control Room'!$B$16-1)/2)/MAX(0.5,'Control Room'!$B$16/4))^2),1)</x:f>
        <x:v>1</x:v>
      </x:c>
      <x:c r="AF10" s="9" t="n">
        <x:f>MOD(AG9*16807,2147483647)</x:f>
        <x:v>1750605712</x:v>
      </x:c>
      <x:c r="AG10" s="9" t="n">
        <x:f>MOD(AF10*16807,2147483647)</x:f>
        <x:v>1904237684</x:v>
      </x:c>
      <x:c r="AH10" s="17" t="n">
        <x:f>IF('Control Room'!$B$5="Normal",'Control Room'!$B$7+'Control Room'!$D$7*SQRT(-2*LN(MAX(0.000000000001,AF10/2147483647)))*COS(2*PI()*AG10/2147483647),'Control Room'!$B$8+('Control Room'!$D$8-'Control Room'!$B$8)*AF10/2147483647)</x:f>
        <x:v>1043.568279907102</x:v>
      </x:c>
      <x:c r="AI10" s="17" t="n">
        <x:f>IF('Control Room'!$B$5="Normal",'Control Room'!$B$7,('Control Room'!$B$8+'Control Room'!$D$8)/2)+'Control Room'!$B$9*(AI9-IF('Control Room'!$B$5="Normal",'Control Room'!$B$7,('Control Room'!$B$8+'Control Room'!$D$8)/2))+SQRT(1-'Control Room'!$B$9^2)*(AH10-IF('Control Room'!$B$5="Normal",'Control Room'!$B$7,('Control Room'!$B$8+'Control Room'!$D$8)/2))</x:f>
        <x:v>1038.5300458976778</x:v>
      </x:c>
      <x:c r="AJ10" s="17" t="n">
        <x:f>IF(AND($A10&gt;='Control Room'!$A$13,$A10&lt;'Control Room'!$A$13+'Control Room'!$B$13,'Process'!BQ2=1),1+('Control Room'!$C$13-1)*EXP(-0.5*(($A10-'Control Room'!$A$13-('Control Room'!$B$13-1)/2)/MAX(0.5,'Control Room'!$B$13/4))^2),1)*IF(AND($A10&gt;='Control Room'!$A$14,$A10&lt;'Control Room'!$A$14+'Control Room'!$B$14,'Process'!BQ3=1),1+('Control Room'!$C$14-1)*EXP(-0.5*(($A10-'Control Room'!$A$14-('Control Room'!$B$14-1)/2)/MAX(0.5,'Control Room'!$B$14/4))^2),1)*IF(AND($A10&gt;='Control Room'!$A$15,$A10&lt;'Control Room'!$A$15+'Control Room'!$B$15,'Process'!BQ4=1),1+('Control Room'!$C$15-1)*EXP(-0.5*(($A10-'Control Room'!$A$15-('Control Room'!$B$15-1)/2)/MAX(0.5,'Control Room'!$B$15/4))^2),1)*IF(AND($A10&gt;='Control Room'!$A$16,$A10&lt;'Control Room'!$A$16+'Control Room'!$B$16,'Process'!BQ5=1),1+('Control Room'!$C$16-1)*EXP(-0.5*(($A10-'Control Room'!$A$16-('Control Room'!$B$16-1)/2)/MAX(0.5,'Control Room'!$B$16/4))^2),1)</x:f>
        <x:v>1</x:v>
      </x:c>
      <x:c r="AK10" s="9" t="n">
        <x:f>MOD(AL9*16807,2147483647)</x:f>
        <x:v>1329366112</x:v>
      </x:c>
      <x:c r="AL10" s="9" t="n">
        <x:f>MOD(AK10*16807,2147483647)</x:f>
        <x:v>236380996</x:v>
      </x:c>
      <x:c r="AM10" s="17" t="n">
        <x:f>IF('Control Room'!$B$5="Normal",'Control Room'!$B$7+'Control Room'!$D$7*SQRT(-2*LN(MAX(0.000000000001,AK10/2147483647)))*COS(2*PI()*AL10/2147483647),'Control Room'!$B$8+('Control Room'!$D$8-'Control Room'!$B$8)*AK10/2147483647)</x:f>
        <x:v>1067.8904642202526</x:v>
      </x:c>
      <x:c r="AN10" s="17" t="n">
        <x:f>IF('Control Room'!$B$5="Normal",'Control Room'!$B$7,('Control Room'!$B$8+'Control Room'!$D$8)/2)+'Control Room'!$B$9*(AN9-IF('Control Room'!$B$5="Normal",'Control Room'!$B$7,('Control Room'!$B$8+'Control Room'!$D$8)/2))+SQRT(1-'Control Room'!$B$9^2)*(AM10-IF('Control Room'!$B$5="Normal",'Control Room'!$B$7,('Control Room'!$B$8+'Control Room'!$D$8)/2))</x:f>
        <x:v>1212.770297338455</x:v>
      </x:c>
      <x:c r="AO10" s="17" t="n">
        <x:f>IF(AND($A10&gt;='Control Room'!$A$13,$A10&lt;'Control Room'!$A$13+'Control Room'!$B$13,'Process'!BR2=1),1+('Control Room'!$C$13-1)*EXP(-0.5*(($A10-'Control Room'!$A$13-('Control Room'!$B$13-1)/2)/MAX(0.5,'Control Room'!$B$13/4))^2),1)*IF(AND($A10&gt;='Control Room'!$A$14,$A10&lt;'Control Room'!$A$14+'Control Room'!$B$14,'Process'!BR3=1),1+('Control Room'!$C$14-1)*EXP(-0.5*(($A10-'Control Room'!$A$14-('Control Room'!$B$14-1)/2)/MAX(0.5,'Control Room'!$B$14/4))^2),1)*IF(AND($A10&gt;='Control Room'!$A$15,$A10&lt;'Control Room'!$A$15+'Control Room'!$B$15,'Process'!BR4=1),1+('Control Room'!$C$15-1)*EXP(-0.5*(($A10-'Control Room'!$A$15-('Control Room'!$B$15-1)/2)/MAX(0.5,'Control Room'!$B$15/4))^2),1)*IF(AND($A10&gt;='Control Room'!$A$16,$A10&lt;'Control Room'!$A$16+'Control Room'!$B$16,'Process'!BR5=1),1+('Control Room'!$C$16-1)*EXP(-0.5*(($A10-'Control Room'!$A$16-('Control Room'!$B$16-1)/2)/MAX(0.5,'Control Room'!$B$16/4))^2),1)</x:f>
        <x:v>1</x:v>
      </x:c>
      <x:c r="AP10" s="9" t="n">
        <x:f>MOD(AQ9*16807,2147483647)</x:f>
        <x:v>908126512</x:v>
      </x:c>
      <x:c r="AQ10" s="9" t="n">
        <x:f>MOD(AP10*16807,2147483647)</x:f>
        <x:v>716007955</x:v>
      </x:c>
      <x:c r="AR10" s="17" t="n">
        <x:f>IF('Control Room'!$B$5="Normal",'Control Room'!$B$7+'Control Room'!$D$7*SQRT(-2*LN(MAX(0.000000000001,AP10/2147483647)))*COS(2*PI()*AQ10/2147483647),'Control Room'!$B$8+('Control Room'!$D$8-'Control Room'!$B$8)*AP10/2147483647)</x:f>
        <x:v>940.9062566875361</x:v>
      </x:c>
      <x:c r="AS10" s="17" t="n">
        <x:f>IF('Control Room'!$B$5="Normal",'Control Room'!$B$7,('Control Room'!$B$8+'Control Room'!$D$8)/2)+'Control Room'!$B$9*(AS9-IF('Control Room'!$B$5="Normal",'Control Room'!$B$7,('Control Room'!$B$8+'Control Room'!$D$8)/2))+SQRT(1-'Control Room'!$B$9^2)*(AR10-IF('Control Room'!$B$5="Normal",'Control Room'!$B$7,('Control Room'!$B$8+'Control Room'!$D$8)/2))</x:f>
        <x:v>1054.6811901831113</x:v>
      </x:c>
      <x:c r="AT10" s="17" t="n">
        <x:f>IF(AND($A10&gt;='Control Room'!$A$13,$A10&lt;'Control Room'!$A$13+'Control Room'!$B$13,'Process'!BS2=1),1+('Control Room'!$C$13-1)*EXP(-0.5*(($A10-'Control Room'!$A$13-('Control Room'!$B$13-1)/2)/MAX(0.5,'Control Room'!$B$13/4))^2),1)*IF(AND($A10&gt;='Control Room'!$A$14,$A10&lt;'Control Room'!$A$14+'Control Room'!$B$14,'Process'!BS3=1),1+('Control Room'!$C$14-1)*EXP(-0.5*(($A10-'Control Room'!$A$14-('Control Room'!$B$14-1)/2)/MAX(0.5,'Control Room'!$B$14/4))^2),1)*IF(AND($A10&gt;='Control Room'!$A$15,$A10&lt;'Control Room'!$A$15+'Control Room'!$B$15,'Process'!BS4=1),1+('Control Room'!$C$15-1)*EXP(-0.5*(($A10-'Control Room'!$A$15-('Control Room'!$B$15-1)/2)/MAX(0.5,'Control Room'!$B$15/4))^2),1)*IF(AND($A10&gt;='Control Room'!$A$16,$A10&lt;'Control Room'!$A$16+'Control Room'!$B$16,'Process'!BS5=1),1+('Control Room'!$C$16-1)*EXP(-0.5*(($A10-'Control Room'!$A$16-('Control Room'!$B$16-1)/2)/MAX(0.5,'Control Room'!$B$16/4))^2),1)</x:f>
        <x:v>1</x:v>
      </x:c>
      <x:c r="AU10" s="9" t="n">
        <x:f>MOD(AV9*16807,2147483647)</x:f>
        <x:v>486886912</x:v>
      </x:c>
      <x:c r="AV10" s="9" t="n">
        <x:f>MOD(AU10*16807,2147483647)</x:f>
        <x:v>1195634914</x:v>
      </x:c>
      <x:c r="AW10" s="17" t="n">
        <x:f>IF('Control Room'!$B$5="Normal",'Control Room'!$B$7+'Control Room'!$D$7*SQRT(-2*LN(MAX(0.000000000001,AU10/2147483647)))*COS(2*PI()*AV10/2147483647),'Control Room'!$B$8+('Control Room'!$D$8-'Control Room'!$B$8)*AU10/2147483647)</x:f>
        <x:v>854.7045649647188</x:v>
      </x:c>
      <x:c r="AX10" s="17" t="n">
        <x:f>IF('Control Room'!$B$5="Normal",'Control Room'!$B$7,('Control Room'!$B$8+'Control Room'!$D$8)/2)+'Control Room'!$B$9*(AX9-IF('Control Room'!$B$5="Normal",'Control Room'!$B$7,('Control Room'!$B$8+'Control Room'!$D$8)/2))+SQRT(1-'Control Room'!$B$9^2)*(AW10-IF('Control Room'!$B$5="Normal",'Control Room'!$B$7,('Control Room'!$B$8+'Control Room'!$D$8)/2))</x:f>
        <x:v>999.9740619014618</x:v>
      </x:c>
      <x:c r="AY10" s="17" t="n">
        <x:f>IF(AND($A10&gt;='Control Room'!$A$13,$A10&lt;'Control Room'!$A$13+'Control Room'!$B$13,'Process'!BT2=1),1+('Control Room'!$C$13-1)*EXP(-0.5*(($A10-'Control Room'!$A$13-('Control Room'!$B$13-1)/2)/MAX(0.5,'Control Room'!$B$13/4))^2),1)*IF(AND($A10&gt;='Control Room'!$A$14,$A10&lt;'Control Room'!$A$14+'Control Room'!$B$14,'Process'!BT3=1),1+('Control Room'!$C$14-1)*EXP(-0.5*(($A10-'Control Room'!$A$14-('Control Room'!$B$14-1)/2)/MAX(0.5,'Control Room'!$B$14/4))^2),1)*IF(AND($A10&gt;='Control Room'!$A$15,$A10&lt;'Control Room'!$A$15+'Control Room'!$B$15,'Process'!BT4=1),1+('Control Room'!$C$15-1)*EXP(-0.5*(($A10-'Control Room'!$A$15-('Control Room'!$B$15-1)/2)/MAX(0.5,'Control Room'!$B$15/4))^2),1)*IF(AND($A10&gt;='Control Room'!$A$16,$A10&lt;'Control Room'!$A$16+'Control Room'!$B$16,'Process'!BT5=1),1+('Control Room'!$C$16-1)*EXP(-0.5*(($A10-'Control Room'!$A$16-('Control Room'!$B$16-1)/2)/MAX(0.5,'Control Room'!$B$16/4))^2),1)</x:f>
        <x:v>1</x:v>
      </x:c>
      <x:c r="AZ10" s="9" t="n">
        <x:f>MOD(BA9*16807,2147483647)</x:f>
        <x:v>65647312</x:v>
      </x:c>
      <x:c r="BA10" s="9" t="n">
        <x:f>MOD(AZ10*16807,2147483647)</x:f>
        <x:v>1675261873</x:v>
      </x:c>
      <x:c r="BB10" s="17" t="n">
        <x:f>IF('Control Room'!$B$5="Normal",'Control Room'!$B$7+'Control Room'!$D$7*SQRT(-2*LN(MAX(0.000000000001,AZ10/2147483647)))*COS(2*PI()*BA10/2147483647),'Control Room'!$B$8+('Control Room'!$D$8-'Control Room'!$B$8)*AZ10/2147483647)</x:f>
        <x:v>1044.6941215954837</x:v>
      </x:c>
      <x:c r="BC10" s="17" t="n">
        <x:f>IF('Control Room'!$B$5="Normal",'Control Room'!$B$7,('Control Room'!$B$8+'Control Room'!$D$8)/2)+'Control Room'!$B$9*(BC9-IF('Control Room'!$B$5="Normal",'Control Room'!$B$7,('Control Room'!$B$8+'Control Room'!$D$8)/2))+SQRT(1-'Control Room'!$B$9^2)*(BB10-IF('Control Room'!$B$5="Normal",'Control Room'!$B$7,('Control Room'!$B$8+'Control Room'!$D$8)/2))</x:f>
        <x:v>1068.0016907381123</x:v>
      </x:c>
      <x:c r="BD10" s="17" t="n">
        <x:f>IF(AND($A10&gt;='Control Room'!$A$13,$A10&lt;'Control Room'!$A$13+'Control Room'!$B$13,'Process'!BU2=1),1+('Control Room'!$C$13-1)*EXP(-0.5*(($A10-'Control Room'!$A$13-('Control Room'!$B$13-1)/2)/MAX(0.5,'Control Room'!$B$13/4))^2),1)*IF(AND($A10&gt;='Control Room'!$A$14,$A10&lt;'Control Room'!$A$14+'Control Room'!$B$14,'Process'!BU3=1),1+('Control Room'!$C$14-1)*EXP(-0.5*(($A10-'Control Room'!$A$14-('Control Room'!$B$14-1)/2)/MAX(0.5,'Control Room'!$B$14/4))^2),1)*IF(AND($A10&gt;='Control Room'!$A$15,$A10&lt;'Control Room'!$A$15+'Control Room'!$B$15,'Process'!BU4=1),1+('Control Room'!$C$15-1)*EXP(-0.5*(($A10-'Control Room'!$A$15-('Control Room'!$B$15-1)/2)/MAX(0.5,'Control Room'!$B$15/4))^2),1)*IF(AND($A10&gt;='Control Room'!$A$16,$A10&lt;'Control Room'!$A$16+'Control Room'!$B$16,'Process'!BU5=1),1+('Control Room'!$C$16-1)*EXP(-0.5*(($A10-'Control Room'!$A$16-('Control Room'!$B$16-1)/2)/MAX(0.5,'Control Room'!$B$16/4))^2),1)</x:f>
        <x:v>1</x:v>
      </x:c>
      <x:c r="BE10" s="9" t="n">
        <x:f>MOD(BF9*16807,2147483647)</x:f>
        <x:v>1791891359</x:v>
      </x:c>
      <x:c r="BF10" s="9" t="n">
        <x:f>MOD(BE10*16807,2147483647)</x:f>
        <x:v>7405185</x:v>
      </x:c>
      <x:c r="BG10" s="17" t="n">
        <x:f>IF('Control Room'!$B$5="Normal",'Control Room'!$B$7+'Control Room'!$D$7*SQRT(-2*LN(MAX(0.000000000001,BE10/2147483647)))*COS(2*PI()*BF10/2147483647),'Control Room'!$B$8+('Control Room'!$D$8-'Control Room'!$B$8)*BE10/2147483647)</x:f>
        <x:v>1054.1408324476974</x:v>
      </x:c>
      <x:c r="BH10" s="17" t="n">
        <x:f>IF('Control Room'!$B$5="Normal",'Control Room'!$B$7,('Control Room'!$B$8+'Control Room'!$D$8)/2)+'Control Room'!$B$9*(BH9-IF('Control Room'!$B$5="Normal",'Control Room'!$B$7,('Control Room'!$B$8+'Control Room'!$D$8)/2))+SQRT(1-'Control Room'!$B$9^2)*(BG10-IF('Control Room'!$B$5="Normal",'Control Room'!$B$7,('Control Room'!$B$8+'Control Room'!$D$8)/2))</x:f>
        <x:v>1104.2702408604289</x:v>
      </x:c>
      <x:c r="BI10" s="17" t="n">
        <x:f>IF(AND($A10&gt;='Control Room'!$A$13,$A10&lt;'Control Room'!$A$13+'Control Room'!$B$13,'Process'!BV2=1),1+('Control Room'!$C$13-1)*EXP(-0.5*(($A10-'Control Room'!$A$13-('Control Room'!$B$13-1)/2)/MAX(0.5,'Control Room'!$B$13/4))^2),1)*IF(AND($A10&gt;='Control Room'!$A$14,$A10&lt;'Control Room'!$A$14+'Control Room'!$B$14,'Process'!BV3=1),1+('Control Room'!$C$14-1)*EXP(-0.5*(($A10-'Control Room'!$A$14-('Control Room'!$B$14-1)/2)/MAX(0.5,'Control Room'!$B$14/4))^2),1)*IF(AND($A10&gt;='Control Room'!$A$15,$A10&lt;'Control Room'!$A$15+'Control Room'!$B$15,'Process'!BV4=1),1+('Control Room'!$C$15-1)*EXP(-0.5*(($A10-'Control Room'!$A$15-('Control Room'!$B$15-1)/2)/MAX(0.5,'Control Room'!$B$15/4))^2),1)*IF(AND($A10&gt;='Control Room'!$A$16,$A10&lt;'Control Room'!$A$16+'Control Room'!$B$16,'Process'!BV5=1),1+('Control Room'!$C$16-1)*EXP(-0.5*(($A10-'Control Room'!$A$16-('Control Room'!$B$16-1)/2)/MAX(0.5,'Control Room'!$B$16/4))^2),1)</x:f>
        <x:v>1</x:v>
      </x:c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 t="str">
        <x:f>IF('Control Room'!F4&gt;'Control Room'!$B$2,"Inactive",IF(OR(TRIM('Control Room'!G4)="",'Control Room'!G4&lt;&gt;TRIM('Control Room'!G4),LEN('Control Room'!G4)&gt;80,LOWER('Control Room'!G4)="total",COUNTIFS('Control Room'!$G$4:$G$15,'Control Room'!G4,'Control Room'!$F$4:$F$15,"&lt;="&amp;'Control Room'!$B$2)&gt;1),"Invalid name","Active"))</x:f>
        <x:v>Active</x:v>
      </x:c>
      <x:c r="BZ10" t="str">
        <x:f>IF('Data'!A10="","",TEXT('Data'!A10,"mm-dd"))</x:f>
        <x:v>11-10</x:v>
      </x:c>
    </x:row>
    <x:row r="11" ht="21" customHeight="1">
      <x:c r="A11" s="15" t="n">
        <x:f>'Control Room'!$B$1+9</x:f>
        <x:v>73000</x:v>
      </x:c>
      <x:c r="B11" s="9" t="n">
        <x:f>MOD(C10*16807,2147483647)</x:f>
        <x:v>1806345650</x:v>
      </x:c>
      <x:c r="C11" s="9" t="n">
        <x:f>MOD(B11*16807,2147483647)</x:f>
        <x:v>275021911</x:v>
      </x:c>
      <x:c r="D11" s="17" t="n">
        <x:f>IF('Control Room'!$B$5="Normal",'Control Room'!$B$7+'Control Room'!$D$7*SQRT(-2*LN(MAX(0.000000000001,B11/2147483647)))*COS(2*PI()*C11/2147483647),'Control Room'!$B$8+('Control Room'!$D$8-'Control Room'!$B$8)*B11/2147483647)</x:f>
        <x:v>1036.7046886484416</x:v>
      </x:c>
      <x:c r="E11" s="17" t="n">
        <x:f>IF('Control Room'!$B$5="Normal",'Control Room'!$B$7,('Control Room'!$B$8+'Control Room'!$D$8)/2)+'Control Room'!$B$9*(E10-IF('Control Room'!$B$5="Normal",'Control Room'!$B$7,('Control Room'!$B$8+'Control Room'!$D$8)/2))+SQRT(1-'Control Room'!$B$9^2)*(D11-IF('Control Room'!$B$5="Normal",'Control Room'!$B$7,('Control Room'!$B$8+'Control Room'!$D$8)/2))</x:f>
        <x:v>1045.940615196364</x:v>
      </x:c>
      <x:c r="F11" s="17" t="n">
        <x:f>IF(AND($A11&gt;='Control Room'!$A$13,$A11&lt;'Control Room'!$A$13+'Control Room'!$B$13,'Process'!BK2=1),1+('Control Room'!$C$13-1)*EXP(-0.5*(($A11-'Control Room'!$A$13-('Control Room'!$B$13-1)/2)/MAX(0.5,'Control Room'!$B$13/4))^2),1)*IF(AND($A11&gt;='Control Room'!$A$14,$A11&lt;'Control Room'!$A$14+'Control Room'!$B$14,'Process'!BK3=1),1+('Control Room'!$C$14-1)*EXP(-0.5*(($A11-'Control Room'!$A$14-('Control Room'!$B$14-1)/2)/MAX(0.5,'Control Room'!$B$14/4))^2),1)*IF(AND($A11&gt;='Control Room'!$A$15,$A11&lt;'Control Room'!$A$15+'Control Room'!$B$15,'Process'!BK4=1),1+('Control Room'!$C$15-1)*EXP(-0.5*(($A11-'Control Room'!$A$15-('Control Room'!$B$15-1)/2)/MAX(0.5,'Control Room'!$B$15/4))^2),1)*IF(AND($A11&gt;='Control Room'!$A$16,$A11&lt;'Control Room'!$A$16+'Control Room'!$B$16,'Process'!BK5=1),1+('Control Room'!$C$16-1)*EXP(-0.5*(($A11-'Control Room'!$A$16-('Control Room'!$B$16-1)/2)/MAX(0.5,'Control Room'!$B$16/4))^2),1)</x:f>
        <x:v>1</x:v>
      </x:c>
      <x:c r="G11" s="9" t="n">
        <x:f>MOD(H10*16807,2147483647)</x:f>
        <x:v>1243034725</x:v>
      </x:c>
      <x:c r="H11" s="9" t="n">
        <x:f>MOD(G11*16807,2147483647)</x:f>
        <x:v>963705059</x:v>
      </x:c>
      <x:c r="I11" s="17" t="n">
        <x:f>IF('Control Room'!$B$5="Normal",'Control Room'!$B$7+'Control Room'!$D$7*SQRT(-2*LN(MAX(0.000000000001,G11/2147483647)))*COS(2*PI()*H11/2147483647),'Control Room'!$B$8+('Control Room'!$D$8-'Control Room'!$B$8)*G11/2147483647)</x:f>
        <x:v>910.7227567206023</x:v>
      </x:c>
      <x:c r="J11" s="17" t="n">
        <x:f>IF('Control Room'!$B$5="Normal",'Control Room'!$B$7,('Control Room'!$B$8+'Control Room'!$D$8)/2)+'Control Room'!$B$9*(J10-IF('Control Room'!$B$5="Normal",'Control Room'!$B$7,('Control Room'!$B$8+'Control Room'!$D$8)/2))+SQRT(1-'Control Room'!$B$9^2)*(I11-IF('Control Room'!$B$5="Normal",'Control Room'!$B$7,('Control Room'!$B$8+'Control Room'!$D$8)/2))</x:f>
        <x:v>1023.7821689292364</x:v>
      </x:c>
      <x:c r="K11" s="17" t="n">
        <x:f>IF(AND($A11&gt;='Control Room'!$A$13,$A11&lt;'Control Room'!$A$13+'Control Room'!$B$13,'Process'!BL2=1),1+('Control Room'!$C$13-1)*EXP(-0.5*(($A11-'Control Room'!$A$13-('Control Room'!$B$13-1)/2)/MAX(0.5,'Control Room'!$B$13/4))^2),1)*IF(AND($A11&gt;='Control Room'!$A$14,$A11&lt;'Control Room'!$A$14+'Control Room'!$B$14,'Process'!BL3=1),1+('Control Room'!$C$14-1)*EXP(-0.5*(($A11-'Control Room'!$A$14-('Control Room'!$B$14-1)/2)/MAX(0.5,'Control Room'!$B$14/4))^2),1)*IF(AND($A11&gt;='Control Room'!$A$15,$A11&lt;'Control Room'!$A$15+'Control Room'!$B$15,'Process'!BL4=1),1+('Control Room'!$C$15-1)*EXP(-0.5*(($A11-'Control Room'!$A$15-('Control Room'!$B$15-1)/2)/MAX(0.5,'Control Room'!$B$15/4))^2),1)*IF(AND($A11&gt;='Control Room'!$A$16,$A11&lt;'Control Room'!$A$16+'Control Room'!$B$16,'Process'!BL5=1),1+('Control Room'!$C$16-1)*EXP(-0.5*(($A11-'Control Room'!$A$16-('Control Room'!$B$16-1)/2)/MAX(0.5,'Control Room'!$B$16/4))^2),1)</x:f>
        <x:v>1</x:v>
      </x:c>
      <x:c r="L11" s="9" t="n">
        <x:f>MOD(M10*16807,2147483647)</x:f>
        <x:v>679723800</x:v>
      </x:c>
      <x:c r="M11" s="9" t="n">
        <x:f>MOD(L11*16807,2147483647)</x:f>
        <x:v>1652388207</x:v>
      </x:c>
      <x:c r="N11" s="17" t="n">
        <x:f>IF('Control Room'!$B$5="Normal",'Control Room'!$B$7+'Control Room'!$D$7*SQRT(-2*LN(MAX(0.000000000001,L11/2147483647)))*COS(2*PI()*M11/2147483647),'Control Room'!$B$8+('Control Room'!$D$8-'Control Room'!$B$8)*L11/2147483647)</x:f>
        <x:v>1016.6442750750439</x:v>
      </x:c>
      <x:c r="O11" s="17" t="n">
        <x:f>IF('Control Room'!$B$5="Normal",'Control Room'!$B$7,('Control Room'!$B$8+'Control Room'!$D$8)/2)+'Control Room'!$B$9*(O10-IF('Control Room'!$B$5="Normal",'Control Room'!$B$7,('Control Room'!$B$8+'Control Room'!$D$8)/2))+SQRT(1-'Control Room'!$B$9^2)*(N11-IF('Control Room'!$B$5="Normal",'Control Room'!$B$7,('Control Room'!$B$8+'Control Room'!$D$8)/2))</x:f>
        <x:v>1059.0244936241688</x:v>
      </x:c>
      <x:c r="P11" s="17" t="n">
        <x:f>IF(AND($A11&gt;='Control Room'!$A$13,$A11&lt;'Control Room'!$A$13+'Control Room'!$B$13,'Process'!BM2=1),1+('Control Room'!$C$13-1)*EXP(-0.5*(($A11-'Control Room'!$A$13-('Control Room'!$B$13-1)/2)/MAX(0.5,'Control Room'!$B$13/4))^2),1)*IF(AND($A11&gt;='Control Room'!$A$14,$A11&lt;'Control Room'!$A$14+'Control Room'!$B$14,'Process'!BM3=1),1+('Control Room'!$C$14-1)*EXP(-0.5*(($A11-'Control Room'!$A$14-('Control Room'!$B$14-1)/2)/MAX(0.5,'Control Room'!$B$14/4))^2),1)*IF(AND($A11&gt;='Control Room'!$A$15,$A11&lt;'Control Room'!$A$15+'Control Room'!$B$15,'Process'!BM4=1),1+('Control Room'!$C$15-1)*EXP(-0.5*(($A11-'Control Room'!$A$15-('Control Room'!$B$15-1)/2)/MAX(0.5,'Control Room'!$B$15/4))^2),1)*IF(AND($A11&gt;='Control Room'!$A$16,$A11&lt;'Control Room'!$A$16+'Control Room'!$B$16,'Process'!BM5=1),1+('Control Room'!$C$16-1)*EXP(-0.5*(($A11-'Control Room'!$A$16-('Control Room'!$B$16-1)/2)/MAX(0.5,'Control Room'!$B$16/4))^2),1)</x:f>
        <x:v>1</x:v>
      </x:c>
      <x:c r="Q11" s="9" t="n">
        <x:f>MOD(R10*16807,2147483647)</x:f>
        <x:v>116412875</x:v>
      </x:c>
      <x:c r="R11" s="9" t="n">
        <x:f>MOD(Q11*16807,2147483647)</x:f>
        <x:v>193587708</x:v>
      </x:c>
      <x:c r="S11" s="17" t="n">
        <x:f>IF('Control Room'!$B$5="Normal",'Control Room'!$B$7+'Control Room'!$D$7*SQRT(-2*LN(MAX(0.000000000001,Q11/2147483647)))*COS(2*PI()*R11/2147483647),'Control Room'!$B$8+('Control Room'!$D$8-'Control Room'!$B$8)*Q11/2147483647)</x:f>
        <x:v>1183.3696869279447</x:v>
      </x:c>
      <x:c r="T11" s="17" t="n">
        <x:f>IF('Control Room'!$B$5="Normal",'Control Room'!$B$7,('Control Room'!$B$8+'Control Room'!$D$8)/2)+'Control Room'!$B$9*(T10-IF('Control Room'!$B$5="Normal",'Control Room'!$B$7,('Control Room'!$B$8+'Control Room'!$D$8)/2))+SQRT(1-'Control Room'!$B$9^2)*(S11-IF('Control Room'!$B$5="Normal",'Control Room'!$B$7,('Control Room'!$B$8+'Control Room'!$D$8)/2))</x:f>
        <x:v>1164.7881919076608</x:v>
      </x:c>
      <x:c r="U11" s="17" t="n">
        <x:f>IF(AND($A11&gt;='Control Room'!$A$13,$A11&lt;'Control Room'!$A$13+'Control Room'!$B$13,'Process'!BN2=1),1+('Control Room'!$C$13-1)*EXP(-0.5*(($A11-'Control Room'!$A$13-('Control Room'!$B$13-1)/2)/MAX(0.5,'Control Room'!$B$13/4))^2),1)*IF(AND($A11&gt;='Control Room'!$A$14,$A11&lt;'Control Room'!$A$14+'Control Room'!$B$14,'Process'!BN3=1),1+('Control Room'!$C$14-1)*EXP(-0.5*(($A11-'Control Room'!$A$14-('Control Room'!$B$14-1)/2)/MAX(0.5,'Control Room'!$B$14/4))^2),1)*IF(AND($A11&gt;='Control Room'!$A$15,$A11&lt;'Control Room'!$A$15+'Control Room'!$B$15,'Process'!BN4=1),1+('Control Room'!$C$15-1)*EXP(-0.5*(($A11-'Control Room'!$A$15-('Control Room'!$B$15-1)/2)/MAX(0.5,'Control Room'!$B$15/4))^2),1)*IF(AND($A11&gt;='Control Room'!$A$16,$A11&lt;'Control Room'!$A$16+'Control Room'!$B$16,'Process'!BN5=1),1+('Control Room'!$C$16-1)*EXP(-0.5*(($A11-'Control Room'!$A$16-('Control Room'!$B$16-1)/2)/MAX(0.5,'Control Room'!$B$16/4))^2),1)</x:f>
        <x:v>1</x:v>
      </x:c>
      <x:c r="V11" s="9" t="n">
        <x:f>MOD(W10*16807,2147483647)</x:f>
        <x:v>1700585597</x:v>
      </x:c>
      <x:c r="W11" s="9" t="n">
        <x:f>MOD(V11*16807,2147483647)</x:f>
        <x:v>882270856</x:v>
      </x:c>
      <x:c r="X11" s="17" t="n">
        <x:f>IF('Control Room'!$B$5="Normal",'Control Room'!$B$7+'Control Room'!$D$7*SQRT(-2*LN(MAX(0.000000000001,V11/2147483647)))*COS(2*PI()*W11/2147483647),'Control Room'!$B$8+('Control Room'!$D$8-'Control Room'!$B$8)*V11/2147483647)</x:f>
        <x:v>947.917289081498</x:v>
      </x:c>
      <x:c r="Y11" s="17" t="n">
        <x:f>IF('Control Room'!$B$5="Normal",'Control Room'!$B$7,('Control Room'!$B$8+'Control Room'!$D$8)/2)+'Control Room'!$B$9*(Y10-IF('Control Room'!$B$5="Normal",'Control Room'!$B$7,('Control Room'!$B$8+'Control Room'!$D$8)/2))+SQRT(1-'Control Room'!$B$9^2)*(X11-IF('Control Room'!$B$5="Normal",'Control Room'!$B$7,('Control Room'!$B$8+'Control Room'!$D$8)/2))</x:f>
        <x:v>908.6206757458216</x:v>
      </x:c>
      <x:c r="Z11" s="17" t="n">
        <x:f>IF(AND($A11&gt;='Control Room'!$A$13,$A11&lt;'Control Room'!$A$13+'Control Room'!$B$13,'Process'!BO2=1),1+('Control Room'!$C$13-1)*EXP(-0.5*(($A11-'Control Room'!$A$13-('Control Room'!$B$13-1)/2)/MAX(0.5,'Control Room'!$B$13/4))^2),1)*IF(AND($A11&gt;='Control Room'!$A$14,$A11&lt;'Control Room'!$A$14+'Control Room'!$B$14,'Process'!BO3=1),1+('Control Room'!$C$14-1)*EXP(-0.5*(($A11-'Control Room'!$A$14-('Control Room'!$B$14-1)/2)/MAX(0.5,'Control Room'!$B$14/4))^2),1)*IF(AND($A11&gt;='Control Room'!$A$15,$A11&lt;'Control Room'!$A$15+'Control Room'!$B$15,'Process'!BO4=1),1+('Control Room'!$C$15-1)*EXP(-0.5*(($A11-'Control Room'!$A$15-('Control Room'!$B$15-1)/2)/MAX(0.5,'Control Room'!$B$15/4))^2),1)*IF(AND($A11&gt;='Control Room'!$A$16,$A11&lt;'Control Room'!$A$16+'Control Room'!$B$16,'Process'!BO5=1),1+('Control Room'!$C$16-1)*EXP(-0.5*(($A11-'Control Room'!$A$16-('Control Room'!$B$16-1)/2)/MAX(0.5,'Control Room'!$B$16/4))^2),1)</x:f>
        <x:v>1</x:v>
      </x:c>
      <x:c r="AA11" s="9" t="n">
        <x:f>MOD(AB10*16807,2147483647)</x:f>
        <x:v>1137274672</x:v>
      </x:c>
      <x:c r="AB11" s="9" t="n">
        <x:f>MOD(AA11*16807,2147483647)</x:f>
        <x:v>1570954004</x:v>
      </x:c>
      <x:c r="AC11" s="17" t="n">
        <x:f>IF('Control Room'!$B$5="Normal",'Control Room'!$B$7+'Control Room'!$D$7*SQRT(-2*LN(MAX(0.000000000001,AA11/2147483647)))*COS(2*PI()*AB11/2147483647),'Control Room'!$B$8+('Control Room'!$D$8-'Control Room'!$B$8)*AA11/2147483647)</x:f>
        <x:v>988.2514451602434</x:v>
      </x:c>
      <x:c r="AD11" s="17" t="n">
        <x:f>IF('Control Room'!$B$5="Normal",'Control Room'!$B$7,('Control Room'!$B$8+'Control Room'!$D$8)/2)+'Control Room'!$B$9*(AD10-IF('Control Room'!$B$5="Normal",'Control Room'!$B$7,('Control Room'!$B$8+'Control Room'!$D$8)/2))+SQRT(1-'Control Room'!$B$9^2)*(AC11-IF('Control Room'!$B$5="Normal",'Control Room'!$B$7,('Control Room'!$B$8+'Control Room'!$D$8)/2))</x:f>
        <x:v>959.9783229992635</x:v>
      </x:c>
      <x:c r="AE11" s="17" t="n">
        <x:f>IF(AND($A11&gt;='Control Room'!$A$13,$A11&lt;'Control Room'!$A$13+'Control Room'!$B$13,'Process'!BP2=1),1+('Control Room'!$C$13-1)*EXP(-0.5*(($A11-'Control Room'!$A$13-('Control Room'!$B$13-1)/2)/MAX(0.5,'Control Room'!$B$13/4))^2),1)*IF(AND($A11&gt;='Control Room'!$A$14,$A11&lt;'Control Room'!$A$14+'Control Room'!$B$14,'Process'!BP3=1),1+('Control Room'!$C$14-1)*EXP(-0.5*(($A11-'Control Room'!$A$14-('Control Room'!$B$14-1)/2)/MAX(0.5,'Control Room'!$B$14/4))^2),1)*IF(AND($A11&gt;='Control Room'!$A$15,$A11&lt;'Control Room'!$A$15+'Control Room'!$B$15,'Process'!BP4=1),1+('Control Room'!$C$15-1)*EXP(-0.5*(($A11-'Control Room'!$A$15-('Control Room'!$B$15-1)/2)/MAX(0.5,'Control Room'!$B$15/4))^2),1)*IF(AND($A11&gt;='Control Room'!$A$16,$A11&lt;'Control Room'!$A$16+'Control Room'!$B$16,'Process'!BP5=1),1+('Control Room'!$C$16-1)*EXP(-0.5*(($A11-'Control Room'!$A$16-('Control Room'!$B$16-1)/2)/MAX(0.5,'Control Room'!$B$16/4))^2),1)</x:f>
        <x:v>1</x:v>
      </x:c>
      <x:c r="AF11" s="9" t="n">
        <x:f>MOD(AG10*16807,2147483647)</x:f>
        <x:v>573963747</x:v>
      </x:c>
      <x:c r="AG11" s="9" t="n">
        <x:f>MOD(AF11*16807,2147483647)</x:f>
        <x:v>112153505</x:v>
      </x:c>
      <x:c r="AH11" s="17" t="n">
        <x:f>IF('Control Room'!$B$5="Normal",'Control Room'!$B$7+'Control Room'!$D$7*SQRT(-2*LN(MAX(0.000000000001,AF11/2147483647)))*COS(2*PI()*AG11/2147483647),'Control Room'!$B$8+('Control Room'!$D$8-'Control Room'!$B$8)*AF11/2147483647)</x:f>
        <x:v>1138.4031200772047</x:v>
      </x:c>
      <x:c r="AI11" s="17" t="n">
        <x:f>IF('Control Room'!$B$5="Normal",'Control Room'!$B$7,('Control Room'!$B$8+'Control Room'!$D$8)/2)+'Control Room'!$B$9*(AI10-IF('Control Room'!$B$5="Normal",'Control Room'!$B$7,('Control Room'!$B$8+'Control Room'!$D$8)/2))+SQRT(1-'Control Room'!$B$9^2)*(AH11-IF('Control Room'!$B$5="Normal",'Control Room'!$B$7,('Control Room'!$B$8+'Control Room'!$D$8)/2))</x:f>
        <x:v>1116.663273002474</x:v>
      </x:c>
      <x:c r="AJ11" s="17" t="n">
        <x:f>IF(AND($A11&gt;='Control Room'!$A$13,$A11&lt;'Control Room'!$A$13+'Control Room'!$B$13,'Process'!BQ2=1),1+('Control Room'!$C$13-1)*EXP(-0.5*(($A11-'Control Room'!$A$13-('Control Room'!$B$13-1)/2)/MAX(0.5,'Control Room'!$B$13/4))^2),1)*IF(AND($A11&gt;='Control Room'!$A$14,$A11&lt;'Control Room'!$A$14+'Control Room'!$B$14,'Process'!BQ3=1),1+('Control Room'!$C$14-1)*EXP(-0.5*(($A11-'Control Room'!$A$14-('Control Room'!$B$14-1)/2)/MAX(0.5,'Control Room'!$B$14/4))^2),1)*IF(AND($A11&gt;='Control Room'!$A$15,$A11&lt;'Control Room'!$A$15+'Control Room'!$B$15,'Process'!BQ4=1),1+('Control Room'!$C$15-1)*EXP(-0.5*(($A11-'Control Room'!$A$15-('Control Room'!$B$15-1)/2)/MAX(0.5,'Control Room'!$B$15/4))^2),1)*IF(AND($A11&gt;='Control Room'!$A$16,$A11&lt;'Control Room'!$A$16+'Control Room'!$B$16,'Process'!BQ5=1),1+('Control Room'!$C$16-1)*EXP(-0.5*(($A11-'Control Room'!$A$16-('Control Room'!$B$16-1)/2)/MAX(0.5,'Control Room'!$B$16/4))^2),1)</x:f>
        <x:v>1</x:v>
      </x:c>
      <x:c r="AK11" s="9" t="n">
        <x:f>MOD(AL10*16807,2147483647)</x:f>
        <x:v>10652822</x:v>
      </x:c>
      <x:c r="AL11" s="9" t="n">
        <x:f>MOD(AK11*16807,2147483647)</x:f>
        <x:v>800836653</x:v>
      </x:c>
      <x:c r="AM11" s="17" t="n">
        <x:f>IF('Control Room'!$B$5="Normal",'Control Room'!$B$7+'Control Room'!$D$7*SQRT(-2*LN(MAX(0.000000000001,AK11/2147483647)))*COS(2*PI()*AL11/2147483647),'Control Room'!$B$8+('Control Room'!$D$8-'Control Room'!$B$8)*AK11/2147483647)</x:f>
        <x:v>795.4116279185578</x:v>
      </x:c>
      <x:c r="AN11" s="17" t="n">
        <x:f>IF('Control Room'!$B$5="Normal",'Control Room'!$B$7,('Control Room'!$B$8+'Control Room'!$D$8)/2)+'Control Room'!$B$9*(AN10-IF('Control Room'!$B$5="Normal",'Control Room'!$B$7,('Control Room'!$B$8+'Control Room'!$D$8)/2))+SQRT(1-'Control Room'!$B$9^2)*(AM11-IF('Control Room'!$B$5="Normal",'Control Room'!$B$7,('Control Room'!$B$8+'Control Room'!$D$8)/2))</x:f>
        <x:v>1037.9336198960436</x:v>
      </x:c>
      <x:c r="AO11" s="17" t="n">
        <x:f>IF(AND($A11&gt;='Control Room'!$A$13,$A11&lt;'Control Room'!$A$13+'Control Room'!$B$13,'Process'!BR2=1),1+('Control Room'!$C$13-1)*EXP(-0.5*(($A11-'Control Room'!$A$13-('Control Room'!$B$13-1)/2)/MAX(0.5,'Control Room'!$B$13/4))^2),1)*IF(AND($A11&gt;='Control Room'!$A$14,$A11&lt;'Control Room'!$A$14+'Control Room'!$B$14,'Process'!BR3=1),1+('Control Room'!$C$14-1)*EXP(-0.5*(($A11-'Control Room'!$A$14-('Control Room'!$B$14-1)/2)/MAX(0.5,'Control Room'!$B$14/4))^2),1)*IF(AND($A11&gt;='Control Room'!$A$15,$A11&lt;'Control Room'!$A$15+'Control Room'!$B$15,'Process'!BR4=1),1+('Control Room'!$C$15-1)*EXP(-0.5*(($A11-'Control Room'!$A$15-('Control Room'!$B$15-1)/2)/MAX(0.5,'Control Room'!$B$15/4))^2),1)*IF(AND($A11&gt;='Control Room'!$A$16,$A11&lt;'Control Room'!$A$16+'Control Room'!$B$16,'Process'!BR5=1),1+('Control Room'!$C$16-1)*EXP(-0.5*(($A11-'Control Room'!$A$16-('Control Room'!$B$16-1)/2)/MAX(0.5,'Control Room'!$B$16/4))^2),1)</x:f>
        <x:v>1</x:v>
      </x:c>
      <x:c r="AP11" s="9" t="n">
        <x:f>MOD(AQ10*16807,2147483647)</x:f>
        <x:v>1594825544</x:v>
      </x:c>
      <x:c r="AQ11" s="9" t="n">
        <x:f>MOD(AP11*16807,2147483647)</x:f>
        <x:v>1489519801</x:v>
      </x:c>
      <x:c r="AR11" s="17" t="n">
        <x:f>IF('Control Room'!$B$5="Normal",'Control Room'!$B$7+'Control Room'!$D$7*SQRT(-2*LN(MAX(0.000000000001,AP11/2147483647)))*COS(2*PI()*AQ11/2147483647),'Control Room'!$B$8+('Control Room'!$D$8-'Control Room'!$B$8)*AP11/2147483647)</x:f>
        <x:v>975.9137510950363</x:v>
      </x:c>
      <x:c r="AS11" s="17" t="n">
        <x:f>IF('Control Room'!$B$5="Normal",'Control Room'!$B$7,('Control Room'!$B$8+'Control Room'!$D$8)/2)+'Control Room'!$B$9*(AS10-IF('Control Room'!$B$5="Normal",'Control Room'!$B$7,('Control Room'!$B$8+'Control Room'!$D$8)/2))+SQRT(1-'Control Room'!$B$9^2)*(AR11-IF('Control Room'!$B$5="Normal",'Control Room'!$B$7,('Control Room'!$B$8+'Control Room'!$D$8)/2))</x:f>
        <x:v>1027.57864721173</x:v>
      </x:c>
      <x:c r="AT11" s="17" t="n">
        <x:f>IF(AND($A11&gt;='Control Room'!$A$13,$A11&lt;'Control Room'!$A$13+'Control Room'!$B$13,'Process'!BS2=1),1+('Control Room'!$C$13-1)*EXP(-0.5*(($A11-'Control Room'!$A$13-('Control Room'!$B$13-1)/2)/MAX(0.5,'Control Room'!$B$13/4))^2),1)*IF(AND($A11&gt;='Control Room'!$A$14,$A11&lt;'Control Room'!$A$14+'Control Room'!$B$14,'Process'!BS3=1),1+('Control Room'!$C$14-1)*EXP(-0.5*(($A11-'Control Room'!$A$14-('Control Room'!$B$14-1)/2)/MAX(0.5,'Control Room'!$B$14/4))^2),1)*IF(AND($A11&gt;='Control Room'!$A$15,$A11&lt;'Control Room'!$A$15+'Control Room'!$B$15,'Process'!BS4=1),1+('Control Room'!$C$15-1)*EXP(-0.5*(($A11-'Control Room'!$A$15-('Control Room'!$B$15-1)/2)/MAX(0.5,'Control Room'!$B$15/4))^2),1)*IF(AND($A11&gt;='Control Room'!$A$16,$A11&lt;'Control Room'!$A$16+'Control Room'!$B$16,'Process'!BS5=1),1+('Control Room'!$C$16-1)*EXP(-0.5*(($A11-'Control Room'!$A$16-('Control Room'!$B$16-1)/2)/MAX(0.5,'Control Room'!$B$16/4))^2),1)</x:f>
        <x:v>1</x:v>
      </x:c>
      <x:c r="AU11" s="9" t="n">
        <x:f>MOD(AV10*16807,2147483647)</x:f>
        <x:v>1031514619</x:v>
      </x:c>
      <x:c r="AV11" s="9" t="n">
        <x:f>MOD(AU11*16807,2147483647)</x:f>
        <x:v>30719302</x:v>
      </x:c>
      <x:c r="AW11" s="17" t="n">
        <x:f>IF('Control Room'!$B$5="Normal",'Control Room'!$B$7+'Control Room'!$D$7*SQRT(-2*LN(MAX(0.000000000001,AU11/2147483647)))*COS(2*PI()*AV11/2147483647),'Control Room'!$B$8+('Control Room'!$D$8-'Control Room'!$B$8)*AU11/2147483647)</x:f>
        <x:v>1108.5506612314541</x:v>
      </x:c>
      <x:c r="AX11" s="17" t="n">
        <x:f>IF('Control Room'!$B$5="Normal",'Control Room'!$B$7,('Control Room'!$B$8+'Control Room'!$D$8)/2)+'Control Room'!$B$9*(AX10-IF('Control Room'!$B$5="Normal",'Control Room'!$B$7,('Control Room'!$B$8+'Control Room'!$D$8)/2))+SQRT(1-'Control Room'!$B$9^2)*(AW11-IF('Control Room'!$B$5="Normal",'Control Room'!$B$7,('Control Room'!$B$8+'Control Room'!$D$8)/2))</x:f>
        <x:v>1067.9085483006156</x:v>
      </x:c>
      <x:c r="AY11" s="17" t="n">
        <x:f>IF(AND($A11&gt;='Control Room'!$A$13,$A11&lt;'Control Room'!$A$13+'Control Room'!$B$13,'Process'!BT2=1),1+('Control Room'!$C$13-1)*EXP(-0.5*(($A11-'Control Room'!$A$13-('Control Room'!$B$13-1)/2)/MAX(0.5,'Control Room'!$B$13/4))^2),1)*IF(AND($A11&gt;='Control Room'!$A$14,$A11&lt;'Control Room'!$A$14+'Control Room'!$B$14,'Process'!BT3=1),1+('Control Room'!$C$14-1)*EXP(-0.5*(($A11-'Control Room'!$A$14-('Control Room'!$B$14-1)/2)/MAX(0.5,'Control Room'!$B$14/4))^2),1)*IF(AND($A11&gt;='Control Room'!$A$15,$A11&lt;'Control Room'!$A$15+'Control Room'!$B$15,'Process'!BT4=1),1+('Control Room'!$C$15-1)*EXP(-0.5*(($A11-'Control Room'!$A$15-('Control Room'!$B$15-1)/2)/MAX(0.5,'Control Room'!$B$15/4))^2),1)*IF(AND($A11&gt;='Control Room'!$A$16,$A11&lt;'Control Room'!$A$16+'Control Room'!$B$16,'Process'!BT5=1),1+('Control Room'!$C$16-1)*EXP(-0.5*(($A11-'Control Room'!$A$16-('Control Room'!$B$16-1)/2)/MAX(0.5,'Control Room'!$B$16/4))^2),1)</x:f>
        <x:v>1</x:v>
      </x:c>
      <x:c r="AZ11" s="9" t="n">
        <x:f>MOD(BA10*16807,2147483647)</x:f>
        <x:v>468203694</x:v>
      </x:c>
      <x:c r="BA11" s="9" t="n">
        <x:f>MOD(AZ11*16807,2147483647)</x:f>
        <x:v>719402450</x:v>
      </x:c>
      <x:c r="BB11" s="17" t="n">
        <x:f>IF('Control Room'!$B$5="Normal",'Control Room'!$B$7+'Control Room'!$D$7*SQRT(-2*LN(MAX(0.000000000001,AZ11/2147483647)))*COS(2*PI()*BA11/2147483647),'Control Room'!$B$8+('Control Room'!$D$8-'Control Room'!$B$8)*AZ11/2147483647)</x:f>
        <x:v>920.0401557744128</x:v>
      </x:c>
      <x:c r="BC11" s="17" t="n">
        <x:f>IF('Control Room'!$B$5="Normal",'Control Room'!$B$7,('Control Room'!$B$8+'Control Room'!$D$8)/2)+'Control Room'!$B$9*(BC10-IF('Control Room'!$B$5="Normal",'Control Room'!$B$7,('Control Room'!$B$8+'Control Room'!$D$8)/2))+SQRT(1-'Control Room'!$B$9^2)*(BB11-IF('Control Room'!$B$5="Normal",'Control Room'!$B$7,('Control Room'!$B$8+'Control Room'!$D$8)/2))</x:f>
        <x:v>1003.0040863258009</x:v>
      </x:c>
      <x:c r="BD11" s="17" t="n">
        <x:f>IF(AND($A11&gt;='Control Room'!$A$13,$A11&lt;'Control Room'!$A$13+'Control Room'!$B$13,'Process'!BU2=1),1+('Control Room'!$C$13-1)*EXP(-0.5*(($A11-'Control Room'!$A$13-('Control Room'!$B$13-1)/2)/MAX(0.5,'Control Room'!$B$13/4))^2),1)*IF(AND($A11&gt;='Control Room'!$A$14,$A11&lt;'Control Room'!$A$14+'Control Room'!$B$14,'Process'!BU3=1),1+('Control Room'!$C$14-1)*EXP(-0.5*(($A11-'Control Room'!$A$14-('Control Room'!$B$14-1)/2)/MAX(0.5,'Control Room'!$B$14/4))^2),1)*IF(AND($A11&gt;='Control Room'!$A$15,$A11&lt;'Control Room'!$A$15+'Control Room'!$B$15,'Process'!BU4=1),1+('Control Room'!$C$15-1)*EXP(-0.5*(($A11-'Control Room'!$A$15-('Control Room'!$B$15-1)/2)/MAX(0.5,'Control Room'!$B$15/4))^2),1)*IF(AND($A11&gt;='Control Room'!$A$16,$A11&lt;'Control Room'!$A$16+'Control Room'!$B$16,'Process'!BU5=1),1+('Control Room'!$C$16-1)*EXP(-0.5*(($A11-'Control Room'!$A$16-('Control Room'!$B$16-1)/2)/MAX(0.5,'Control Room'!$B$16/4))^2),1)</x:f>
        <x:v>1</x:v>
      </x:c>
      <x:c r="BE11" s="9" t="n">
        <x:f>MOD(BF10*16807,2147483647)</x:f>
        <x:v>2052376416</x:v>
      </x:c>
      <x:c r="BF11" s="9" t="n">
        <x:f>MOD(BE11*16807,2147483647)</x:f>
        <x:v>1408085598</x:v>
      </x:c>
      <x:c r="BG11" s="17" t="n">
        <x:f>IF('Control Room'!$B$5="Normal",'Control Room'!$B$7+'Control Room'!$D$7*SQRT(-2*LN(MAX(0.000000000001,BE11/2147483647)))*COS(2*PI()*BF11/2147483647),'Control Room'!$B$8+('Control Room'!$D$8-'Control Room'!$B$8)*BE11/2147483647)</x:f>
        <x:v>984.8709246895169</x:v>
      </x:c>
      <x:c r="BH11" s="17" t="n">
        <x:f>IF('Control Room'!$B$5="Normal",'Control Room'!$B$7,('Control Room'!$B$8+'Control Room'!$D$8)/2)+'Control Room'!$B$9*(BH10-IF('Control Room'!$B$5="Normal",'Control Room'!$B$7,('Control Room'!$B$8+'Control Room'!$D$8)/2))+SQRT(1-'Control Room'!$B$9^2)*(BG11-IF('Control Room'!$B$5="Normal",'Control Room'!$B$7,('Control Room'!$B$8+'Control Room'!$D$8)/2))</x:f>
        <x:v>1071.8633224777884</x:v>
      </x:c>
      <x:c r="BI11" s="17" t="n">
        <x:f>IF(AND($A11&gt;='Control Room'!$A$13,$A11&lt;'Control Room'!$A$13+'Control Room'!$B$13,'Process'!BV2=1),1+('Control Room'!$C$13-1)*EXP(-0.5*(($A11-'Control Room'!$A$13-('Control Room'!$B$13-1)/2)/MAX(0.5,'Control Room'!$B$13/4))^2),1)*IF(AND($A11&gt;='Control Room'!$A$14,$A11&lt;'Control Room'!$A$14+'Control Room'!$B$14,'Process'!BV3=1),1+('Control Room'!$C$14-1)*EXP(-0.5*(($A11-'Control Room'!$A$14-('Control Room'!$B$14-1)/2)/MAX(0.5,'Control Room'!$B$14/4))^2),1)*IF(AND($A11&gt;='Control Room'!$A$15,$A11&lt;'Control Room'!$A$15+'Control Room'!$B$15,'Process'!BV4=1),1+('Control Room'!$C$15-1)*EXP(-0.5*(($A11-'Control Room'!$A$15-('Control Room'!$B$15-1)/2)/MAX(0.5,'Control Room'!$B$15/4))^2),1)*IF(AND($A11&gt;='Control Room'!$A$16,$A11&lt;'Control Room'!$A$16+'Control Room'!$B$16,'Process'!BV5=1),1+('Control Room'!$C$16-1)*EXP(-0.5*(($A11-'Control Room'!$A$16-('Control Room'!$B$16-1)/2)/MAX(0.5,'Control Room'!$B$16/4))^2),1)</x:f>
        <x:v>1</x:v>
      </x:c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 t="str">
        <x:f>IF('Control Room'!F5&gt;'Control Room'!$B$2,"Inactive",IF(OR(TRIM('Control Room'!G5)="",'Control Room'!G5&lt;&gt;TRIM('Control Room'!G5),LEN('Control Room'!G5)&gt;80,LOWER('Control Room'!G5)="total",COUNTIFS('Control Room'!$G$4:$G$15,'Control Room'!G5,'Control Room'!$F$4:$F$15,"&lt;="&amp;'Control Room'!$B$2)&gt;1),"Invalid name","Active"))</x:f>
        <x:v>Active</x:v>
      </x:c>
      <x:c r="BZ11" t="str">
        <x:f>IF('Data'!A11="","",TEXT('Data'!A11,"mm-dd"))</x:f>
        <x:v>11-11</x:v>
      </x:c>
    </x:row>
    <x:row r="12" ht="21" customHeight="1">
      <x:c r="A12" s="15" t="n">
        <x:f>'Control Room'!$B$1+10</x:f>
        <x:v>73001</x:v>
      </x:c>
      <x:c r="B12" s="9" t="n">
        <x:f>MOD(C11*16807,2147483647)</x:f>
        <x:v>908449833</x:v>
      </x:c>
      <x:c r="C12" s="9" t="n">
        <x:f>MOD(B12*16807,2147483647)</x:f>
        <x:v>1855096708</x:v>
      </x:c>
      <x:c r="D12" s="17" t="n">
        <x:f>IF('Control Room'!$B$5="Normal",'Control Room'!$B$7+'Control Room'!$D$7*SQRT(-2*LN(MAX(0.000000000001,B12/2147483647)))*COS(2*PI()*C12/2147483647),'Control Room'!$B$8+('Control Room'!$D$8-'Control Room'!$B$8)*B12/2147483647)</x:f>
        <x:v>1077.4276550641512</x:v>
      </x:c>
      <x:c r="E12" s="17" t="n">
        <x:f>IF('Control Room'!$B$5="Normal",'Control Room'!$B$7,('Control Room'!$B$8+'Control Room'!$D$8)/2)+'Control Room'!$B$9*(E11-IF('Control Room'!$B$5="Normal",'Control Room'!$B$7,('Control Room'!$B$8+'Control Room'!$D$8)/2))+SQRT(1-'Control Room'!$B$9^2)*(D12-IF('Control Room'!$B$5="Normal",'Control Room'!$B$7,('Control Room'!$B$8+'Control Room'!$D$8)/2))</x:f>
        <x:v>1084.2863202005785</x:v>
      </x:c>
      <x:c r="F12" s="17" t="n">
        <x:f>IF(AND($A12&gt;='Control Room'!$A$13,$A12&lt;'Control Room'!$A$13+'Control Room'!$B$13,'Process'!BK2=1),1+('Control Room'!$C$13-1)*EXP(-0.5*(($A12-'Control Room'!$A$13-('Control Room'!$B$13-1)/2)/MAX(0.5,'Control Room'!$B$13/4))^2),1)*IF(AND($A12&gt;='Control Room'!$A$14,$A12&lt;'Control Room'!$A$14+'Control Room'!$B$14,'Process'!BK3=1),1+('Control Room'!$C$14-1)*EXP(-0.5*(($A12-'Control Room'!$A$14-('Control Room'!$B$14-1)/2)/MAX(0.5,'Control Room'!$B$14/4))^2),1)*IF(AND($A12&gt;='Control Room'!$A$15,$A12&lt;'Control Room'!$A$15+'Control Room'!$B$15,'Process'!BK4=1),1+('Control Room'!$C$15-1)*EXP(-0.5*(($A12-'Control Room'!$A$15-('Control Room'!$B$15-1)/2)/MAX(0.5,'Control Room'!$B$15/4))^2),1)*IF(AND($A12&gt;='Control Room'!$A$16,$A12&lt;'Control Room'!$A$16+'Control Room'!$B$16,'Process'!BK5=1),1+('Control Room'!$C$16-1)*EXP(-0.5*(($A12-'Control Room'!$A$16-('Control Room'!$B$16-1)/2)/MAX(0.5,'Control Room'!$B$16/4))^2),1)</x:f>
        <x:v>1</x:v>
      </x:c>
      <x:c r="G12" s="9" t="n">
        <x:f>MOD(H11*16807,2147483647)</x:f>
        <x:v>669260939</x:v>
      </x:c>
      <x:c r="H12" s="9" t="n">
        <x:f>MOD(G12*16807,2147483647)</x:f>
        <x:v>1896742434</x:v>
      </x:c>
      <x:c r="I12" s="17" t="n">
        <x:f>IF('Control Room'!$B$5="Normal",'Control Room'!$B$7+'Control Room'!$D$7*SQRT(-2*LN(MAX(0.000000000001,G12/2147483647)))*COS(2*PI()*H12/2147483647),'Control Room'!$B$8+('Control Room'!$D$8-'Control Room'!$B$8)*G12/2147483647)</x:f>
        <x:v>1102.0767646919066</x:v>
      </x:c>
      <x:c r="J12" s="17" t="n">
        <x:f>IF('Control Room'!$B$5="Normal",'Control Room'!$B$7,('Control Room'!$B$8+'Control Room'!$D$8)/2)+'Control Room'!$B$9*(J11-IF('Control Room'!$B$5="Normal",'Control Room'!$B$7,('Control Room'!$B$8+'Control Room'!$D$8)/2))+SQRT(1-'Control Room'!$B$9^2)*(I12-IF('Control Room'!$B$5="Normal",'Control Room'!$B$7,('Control Room'!$B$8+'Control Room'!$D$8)/2))</x:f>
        <x:v>1082.4276399528103</x:v>
      </x:c>
      <x:c r="K12" s="17" t="n">
        <x:f>IF(AND($A12&gt;='Control Room'!$A$13,$A12&lt;'Control Room'!$A$13+'Control Room'!$B$13,'Process'!BL2=1),1+('Control Room'!$C$13-1)*EXP(-0.5*(($A12-'Control Room'!$A$13-('Control Room'!$B$13-1)/2)/MAX(0.5,'Control Room'!$B$13/4))^2),1)*IF(AND($A12&gt;='Control Room'!$A$14,$A12&lt;'Control Room'!$A$14+'Control Room'!$B$14,'Process'!BL3=1),1+('Control Room'!$C$14-1)*EXP(-0.5*(($A12-'Control Room'!$A$14-('Control Room'!$B$14-1)/2)/MAX(0.5,'Control Room'!$B$14/4))^2),1)*IF(AND($A12&gt;='Control Room'!$A$15,$A12&lt;'Control Room'!$A$15+'Control Room'!$B$15,'Process'!BL4=1),1+('Control Room'!$C$15-1)*EXP(-0.5*(($A12-'Control Room'!$A$15-('Control Room'!$B$15-1)/2)/MAX(0.5,'Control Room'!$B$15/4))^2),1)*IF(AND($A12&gt;='Control Room'!$A$16,$A12&lt;'Control Room'!$A$16+'Control Room'!$B$16,'Process'!BL5=1),1+('Control Room'!$C$16-1)*EXP(-0.5*(($A12-'Control Room'!$A$16-('Control Room'!$B$16-1)/2)/MAX(0.5,'Control Room'!$B$16/4))^2),1)</x:f>
        <x:v>1</x:v>
      </x:c>
      <x:c r="L12" s="9" t="n">
        <x:f>MOD(M11*16807,2147483647)</x:f>
        <x:v>430072045</x:v>
      </x:c>
      <x:c r="M12" s="9" t="n">
        <x:f>MOD(L12*16807,2147483647)</x:f>
        <x:v>1938388160</x:v>
      </x:c>
      <x:c r="N12" s="17" t="n">
        <x:f>IF('Control Room'!$B$5="Normal",'Control Room'!$B$7+'Control Room'!$D$7*SQRT(-2*LN(MAX(0.000000000001,L12/2147483647)))*COS(2*PI()*M12/2147483647),'Control Room'!$B$8+('Control Room'!$D$8-'Control Room'!$B$8)*L12/2147483647)</x:f>
        <x:v>1132.1296468722762</x:v>
      </x:c>
      <x:c r="O12" s="17" t="n">
        <x:f>IF('Control Room'!$B$5="Normal",'Control Room'!$B$7,('Control Room'!$B$8+'Control Room'!$D$8)/2)+'Control Room'!$B$9*(O11-IF('Control Room'!$B$5="Normal",'Control Room'!$B$7,('Control Room'!$B$8+'Control Room'!$D$8)/2))+SQRT(1-'Control Room'!$B$9^2)*(N12-IF('Control Room'!$B$5="Normal",'Control Room'!$B$7,('Control Room'!$B$8+'Control Room'!$D$8)/2))</x:f>
        <x:v>1128.723131216577</x:v>
      </x:c>
      <x:c r="P12" s="17" t="n">
        <x:f>IF(AND($A12&gt;='Control Room'!$A$13,$A12&lt;'Control Room'!$A$13+'Control Room'!$B$13,'Process'!BM2=1),1+('Control Room'!$C$13-1)*EXP(-0.5*(($A12-'Control Room'!$A$13-('Control Room'!$B$13-1)/2)/MAX(0.5,'Control Room'!$B$13/4))^2),1)*IF(AND($A12&gt;='Control Room'!$A$14,$A12&lt;'Control Room'!$A$14+'Control Room'!$B$14,'Process'!BM3=1),1+('Control Room'!$C$14-1)*EXP(-0.5*(($A12-'Control Room'!$A$14-('Control Room'!$B$14-1)/2)/MAX(0.5,'Control Room'!$B$14/4))^2),1)*IF(AND($A12&gt;='Control Room'!$A$15,$A12&lt;'Control Room'!$A$15+'Control Room'!$B$15,'Process'!BM4=1),1+('Control Room'!$C$15-1)*EXP(-0.5*(($A12-'Control Room'!$A$15-('Control Room'!$B$15-1)/2)/MAX(0.5,'Control Room'!$B$15/4))^2),1)*IF(AND($A12&gt;='Control Room'!$A$16,$A12&lt;'Control Room'!$A$16+'Control Room'!$B$16,'Process'!BM5=1),1+('Control Room'!$C$16-1)*EXP(-0.5*(($A12-'Control Room'!$A$16-('Control Room'!$B$16-1)/2)/MAX(0.5,'Control Room'!$B$16/4))^2),1)</x:f>
        <x:v>1</x:v>
      </x:c>
      <x:c r="Q12" s="9" t="n">
        <x:f>MOD(R11*16807,2147483647)</x:f>
        <x:v>190883151</x:v>
      </x:c>
      <x:c r="R12" s="9" t="n">
        <x:f>MOD(Q12*16807,2147483647)</x:f>
        <x:v>1980033886</x:v>
      </x:c>
      <x:c r="S12" s="17" t="n">
        <x:f>IF('Control Room'!$B$5="Normal",'Control Room'!$B$7+'Control Room'!$D$7*SQRT(-2*LN(MAX(0.000000000001,Q12/2147483647)))*COS(2*PI()*R12/2147483647),'Control Room'!$B$8+('Control Room'!$D$8-'Control Room'!$B$8)*Q12/2147483647)</x:f>
        <x:v>1174.7224735986204</x:v>
      </x:c>
      <x:c r="T12" s="17" t="n">
        <x:f>IF('Control Room'!$B$5="Normal",'Control Room'!$B$7,('Control Room'!$B$8+'Control Room'!$D$8)/2)+'Control Room'!$B$9*(T11-IF('Control Room'!$B$5="Normal",'Control Room'!$B$7,('Control Room'!$B$8+'Control Room'!$D$8)/2))+SQRT(1-'Control Room'!$B$9^2)*(S12-IF('Control Room'!$B$5="Normal",'Control Room'!$B$7,('Control Room'!$B$8+'Control Room'!$D$8)/2))</x:f>
        <x:v>1237.8725342815635</x:v>
      </x:c>
      <x:c r="U12" s="17" t="n">
        <x:f>IF(AND($A12&gt;='Control Room'!$A$13,$A12&lt;'Control Room'!$A$13+'Control Room'!$B$13,'Process'!BN2=1),1+('Control Room'!$C$13-1)*EXP(-0.5*(($A12-'Control Room'!$A$13-('Control Room'!$B$13-1)/2)/MAX(0.5,'Control Room'!$B$13/4))^2),1)*IF(AND($A12&gt;='Control Room'!$A$14,$A12&lt;'Control Room'!$A$14+'Control Room'!$B$14,'Process'!BN3=1),1+('Control Room'!$C$14-1)*EXP(-0.5*(($A12-'Control Room'!$A$14-('Control Room'!$B$14-1)/2)/MAX(0.5,'Control Room'!$B$14/4))^2),1)*IF(AND($A12&gt;='Control Room'!$A$15,$A12&lt;'Control Room'!$A$15+'Control Room'!$B$15,'Process'!BN4=1),1+('Control Room'!$C$15-1)*EXP(-0.5*(($A12-'Control Room'!$A$15-('Control Room'!$B$15-1)/2)/MAX(0.5,'Control Room'!$B$15/4))^2),1)*IF(AND($A12&gt;='Control Room'!$A$16,$A12&lt;'Control Room'!$A$16+'Control Room'!$B$16,'Process'!BN5=1),1+('Control Room'!$C$16-1)*EXP(-0.5*(($A12-'Control Room'!$A$16-('Control Room'!$B$16-1)/2)/MAX(0.5,'Control Room'!$B$16/4))^2),1)</x:f>
        <x:v>1</x:v>
      </x:c>
      <x:c r="V12" s="9" t="n">
        <x:f>MOD(W11*16807,2147483647)</x:f>
        <x:v>2099177904</x:v>
      </x:c>
      <x:c r="W12" s="9" t="n">
        <x:f>MOD(V12*16807,2147483647)</x:f>
        <x:v>2021679612</x:v>
      </x:c>
      <x:c r="X12" s="17" t="n">
        <x:f>IF('Control Room'!$B$5="Normal",'Control Room'!$B$7+'Control Room'!$D$7*SQRT(-2*LN(MAX(0.000000000001,V12/2147483647)))*COS(2*PI()*W12/2147483647),'Control Room'!$B$8+('Control Room'!$D$8-'Control Room'!$B$8)*V12/2147483647)</x:f>
        <x:v>1017.9121622818793</x:v>
      </x:c>
      <x:c r="Y12" s="17" t="n">
        <x:f>IF('Control Room'!$B$5="Normal",'Control Room'!$B$7,('Control Room'!$B$8+'Control Room'!$D$8)/2)+'Control Room'!$B$9*(Y11-IF('Control Room'!$B$5="Normal",'Control Room'!$B$7,('Control Room'!$B$8+'Control Room'!$D$8)/2))+SQRT(1-'Control Room'!$B$9^2)*(X12-IF('Control Room'!$B$5="Normal",'Control Room'!$B$7,('Control Room'!$B$8+'Control Room'!$D$8)/2))</x:f>
        <x:v>939.933191287151</x:v>
      </x:c>
      <x:c r="Z12" s="17" t="n">
        <x:f>IF(AND($A12&gt;='Control Room'!$A$13,$A12&lt;'Control Room'!$A$13+'Control Room'!$B$13,'Process'!BO2=1),1+('Control Room'!$C$13-1)*EXP(-0.5*(($A12-'Control Room'!$A$13-('Control Room'!$B$13-1)/2)/MAX(0.5,'Control Room'!$B$13/4))^2),1)*IF(AND($A12&gt;='Control Room'!$A$14,$A12&lt;'Control Room'!$A$14+'Control Room'!$B$14,'Process'!BO3=1),1+('Control Room'!$C$14-1)*EXP(-0.5*(($A12-'Control Room'!$A$14-('Control Room'!$B$14-1)/2)/MAX(0.5,'Control Room'!$B$14/4))^2),1)*IF(AND($A12&gt;='Control Room'!$A$15,$A12&lt;'Control Room'!$A$15+'Control Room'!$B$15,'Process'!BO4=1),1+('Control Room'!$C$15-1)*EXP(-0.5*(($A12-'Control Room'!$A$15-('Control Room'!$B$15-1)/2)/MAX(0.5,'Control Room'!$B$15/4))^2),1)*IF(AND($A12&gt;='Control Room'!$A$16,$A12&lt;'Control Room'!$A$16+'Control Room'!$B$16,'Process'!BO5=1),1+('Control Room'!$C$16-1)*EXP(-0.5*(($A12-'Control Room'!$A$16-('Control Room'!$B$16-1)/2)/MAX(0.5,'Control Room'!$B$16/4))^2),1)</x:f>
        <x:v>1</x:v>
      </x:c>
      <x:c r="AA12" s="9" t="n">
        <x:f>MOD(AB11*16807,2147483647)</x:f>
        <x:v>1859989010</x:v>
      </x:c>
      <x:c r="AB12" s="9" t="n">
        <x:f>MOD(AA12*16807,2147483647)</x:f>
        <x:v>2063325338</x:v>
      </x:c>
      <x:c r="AC12" s="17" t="n">
        <x:f>IF('Control Room'!$B$5="Normal",'Control Room'!$B$7+'Control Room'!$D$7*SQRT(-2*LN(MAX(0.000000000001,AA12/2147483647)))*COS(2*PI()*AB12/2147483647),'Control Room'!$B$8+('Control Room'!$D$8-'Control Room'!$B$8)*AA12/2147483647)</x:f>
        <x:v>1046.7976864663572</x:v>
      </x:c>
      <x:c r="AD12" s="17" t="n">
        <x:f>IF('Control Room'!$B$5="Normal",'Control Room'!$B$7,('Control Room'!$B$8+'Control Room'!$D$8)/2)+'Control Room'!$B$9*(AD11-IF('Control Room'!$B$5="Normal",'Control Room'!$B$7,('Control Room'!$B$8+'Control Room'!$D$8)/2))+SQRT(1-'Control Room'!$B$9^2)*(AC12-IF('Control Room'!$B$5="Normal",'Control Room'!$B$7,('Control Room'!$B$8+'Control Room'!$D$8)/2))</x:f>
        <x:v>998.0681254273544</x:v>
      </x:c>
      <x:c r="AE12" s="17" t="n">
        <x:f>IF(AND($A12&gt;='Control Room'!$A$13,$A12&lt;'Control Room'!$A$13+'Control Room'!$B$13,'Process'!BP2=1),1+('Control Room'!$C$13-1)*EXP(-0.5*(($A12-'Control Room'!$A$13-('Control Room'!$B$13-1)/2)/MAX(0.5,'Control Room'!$B$13/4))^2),1)*IF(AND($A12&gt;='Control Room'!$A$14,$A12&lt;'Control Room'!$A$14+'Control Room'!$B$14,'Process'!BP3=1),1+('Control Room'!$C$14-1)*EXP(-0.5*(($A12-'Control Room'!$A$14-('Control Room'!$B$14-1)/2)/MAX(0.5,'Control Room'!$B$14/4))^2),1)*IF(AND($A12&gt;='Control Room'!$A$15,$A12&lt;'Control Room'!$A$15+'Control Room'!$B$15,'Process'!BP4=1),1+('Control Room'!$C$15-1)*EXP(-0.5*(($A12-'Control Room'!$A$15-('Control Room'!$B$15-1)/2)/MAX(0.5,'Control Room'!$B$15/4))^2),1)*IF(AND($A12&gt;='Control Room'!$A$16,$A12&lt;'Control Room'!$A$16+'Control Room'!$B$16,'Process'!BP5=1),1+('Control Room'!$C$16-1)*EXP(-0.5*(($A12-'Control Room'!$A$16-('Control Room'!$B$16-1)/2)/MAX(0.5,'Control Room'!$B$16/4))^2),1)</x:f>
        <x:v>1</x:v>
      </x:c>
      <x:c r="AF12" s="9" t="n">
        <x:f>MOD(AG11*16807,2147483647)</x:f>
        <x:v>1620800116</x:v>
      </x:c>
      <x:c r="AG12" s="9" t="n">
        <x:f>MOD(AF12*16807,2147483647)</x:f>
        <x:v>2104971064</x:v>
      </x:c>
      <x:c r="AH12" s="17" t="n">
        <x:f>IF('Control Room'!$B$5="Normal",'Control Room'!$B$7+'Control Room'!$D$7*SQRT(-2*LN(MAX(0.000000000001,AF12/2147483647)))*COS(2*PI()*AG12/2147483647),'Control Room'!$B$8+('Control Room'!$D$8-'Control Room'!$B$8)*AF12/2147483647)</x:f>
        <x:v>1066.9936074403267</x:v>
      </x:c>
      <x:c r="AI12" s="17" t="n">
        <x:f>IF('Control Room'!$B$5="Normal",'Control Room'!$B$7,('Control Room'!$B$8+'Control Room'!$D$8)/2)+'Control Room'!$B$9*(AI11-IF('Control Room'!$B$5="Normal",'Control Room'!$B$7,('Control Room'!$B$8+'Control Room'!$D$8)/2))+SQRT(1-'Control Room'!$B$9^2)*(AH12-IF('Control Room'!$B$5="Normal",'Control Room'!$B$7,('Control Room'!$B$8+'Control Room'!$D$8)/2))</x:f>
        <x:v>1132.920580039439</x:v>
      </x:c>
      <x:c r="AJ12" s="17" t="n">
        <x:f>IF(AND($A12&gt;='Control Room'!$A$13,$A12&lt;'Control Room'!$A$13+'Control Room'!$B$13,'Process'!BQ2=1),1+('Control Room'!$C$13-1)*EXP(-0.5*(($A12-'Control Room'!$A$13-('Control Room'!$B$13-1)/2)/MAX(0.5,'Control Room'!$B$13/4))^2),1)*IF(AND($A12&gt;='Control Room'!$A$14,$A12&lt;'Control Room'!$A$14+'Control Room'!$B$14,'Process'!BQ3=1),1+('Control Room'!$C$14-1)*EXP(-0.5*(($A12-'Control Room'!$A$14-('Control Room'!$B$14-1)/2)/MAX(0.5,'Control Room'!$B$14/4))^2),1)*IF(AND($A12&gt;='Control Room'!$A$15,$A12&lt;'Control Room'!$A$15+'Control Room'!$B$15,'Process'!BQ4=1),1+('Control Room'!$C$15-1)*EXP(-0.5*(($A12-'Control Room'!$A$15-('Control Room'!$B$15-1)/2)/MAX(0.5,'Control Room'!$B$15/4))^2),1)*IF(AND($A12&gt;='Control Room'!$A$16,$A12&lt;'Control Room'!$A$16+'Control Room'!$B$16,'Process'!BQ5=1),1+('Control Room'!$C$16-1)*EXP(-0.5*(($A12-'Control Room'!$A$16-('Control Room'!$B$16-1)/2)/MAX(0.5,'Control Room'!$B$16/4))^2),1)</x:f>
        <x:v>1</x:v>
      </x:c>
      <x:c r="AK12" s="9" t="n">
        <x:f>MOD(AL11*16807,2147483647)</x:f>
        <x:v>1381611222</x:v>
      </x:c>
      <x:c r="AL12" s="9" t="n">
        <x:f>MOD(AK12*16807,2147483647)</x:f>
        <x:v>2146616790</x:v>
      </x:c>
      <x:c r="AM12" s="17" t="n">
        <x:f>IF('Control Room'!$B$5="Normal",'Control Room'!$B$7+'Control Room'!$D$7*SQRT(-2*LN(MAX(0.000000000001,AK12/2147483647)))*COS(2*PI()*AL12/2147483647),'Control Room'!$B$8+('Control Room'!$D$8-'Control Room'!$B$8)*AK12/2147483647)</x:f>
        <x:v>1084.52754315088</x:v>
      </x:c>
      <x:c r="AN12" s="17" t="n">
        <x:f>IF('Control Room'!$B$5="Normal",'Control Room'!$B$7,('Control Room'!$B$8+'Control Room'!$D$8)/2)+'Control Room'!$B$9*(AN11-IF('Control Room'!$B$5="Normal",'Control Room'!$B$7,('Control Room'!$B$8+'Control Room'!$D$8)/2))+SQRT(1-'Control Room'!$B$9^2)*(AM12-IF('Control Room'!$B$5="Normal",'Control Room'!$B$7,('Control Room'!$B$8+'Control Room'!$D$8)/2))</x:f>
        <x:v>1082.4838283818904</x:v>
      </x:c>
      <x:c r="AO12" s="17" t="n">
        <x:f>IF(AND($A12&gt;='Control Room'!$A$13,$A12&lt;'Control Room'!$A$13+'Control Room'!$B$13,'Process'!BR2=1),1+('Control Room'!$C$13-1)*EXP(-0.5*(($A12-'Control Room'!$A$13-('Control Room'!$B$13-1)/2)/MAX(0.5,'Control Room'!$B$13/4))^2),1)*IF(AND($A12&gt;='Control Room'!$A$14,$A12&lt;'Control Room'!$A$14+'Control Room'!$B$14,'Process'!BR3=1),1+('Control Room'!$C$14-1)*EXP(-0.5*(($A12-'Control Room'!$A$14-('Control Room'!$B$14-1)/2)/MAX(0.5,'Control Room'!$B$14/4))^2),1)*IF(AND($A12&gt;='Control Room'!$A$15,$A12&lt;'Control Room'!$A$15+'Control Room'!$B$15,'Process'!BR4=1),1+('Control Room'!$C$15-1)*EXP(-0.5*(($A12-'Control Room'!$A$15-('Control Room'!$B$15-1)/2)/MAX(0.5,'Control Room'!$B$15/4))^2),1)*IF(AND($A12&gt;='Control Room'!$A$16,$A12&lt;'Control Room'!$A$16+'Control Room'!$B$16,'Process'!BR5=1),1+('Control Room'!$C$16-1)*EXP(-0.5*(($A12-'Control Room'!$A$16-('Control Room'!$B$16-1)/2)/MAX(0.5,'Control Room'!$B$16/4))^2),1)</x:f>
        <x:v>1</x:v>
      </x:c>
      <x:c r="AP12" s="9" t="n">
        <x:f>MOD(AQ11*16807,2147483647)</x:f>
        <x:v>1142422328</x:v>
      </x:c>
      <x:c r="AQ12" s="9" t="n">
        <x:f>MOD(AP12*16807,2147483647)</x:f>
        <x:v>40778869</x:v>
      </x:c>
      <x:c r="AR12" s="17" t="n">
        <x:f>IF('Control Room'!$B$5="Normal",'Control Room'!$B$7+'Control Room'!$D$7*SQRT(-2*LN(MAX(0.000000000001,AP12/2147483647)))*COS(2*PI()*AQ12/2147483647),'Control Room'!$B$8+('Control Room'!$D$8-'Control Room'!$B$8)*AP12/2147483647)</x:f>
        <x:v>1100.3977190581036</x:v>
      </x:c>
      <x:c r="AS12" s="17" t="n">
        <x:f>IF('Control Room'!$B$5="Normal",'Control Room'!$B$7,('Control Room'!$B$8+'Control Room'!$D$8)/2)+'Control Room'!$B$9*(AS11-IF('Control Room'!$B$5="Normal",'Control Room'!$B$7,('Control Room'!$B$8+'Control Room'!$D$8)/2))+SQRT(1-'Control Room'!$B$9^2)*(AR12-IF('Control Room'!$B$5="Normal",'Control Room'!$B$7,('Control Room'!$B$8+'Control Room'!$D$8)/2))</x:f>
        <x:v>1084.3381806526409</x:v>
      </x:c>
      <x:c r="AT12" s="17" t="n">
        <x:f>IF(AND($A12&gt;='Control Room'!$A$13,$A12&lt;'Control Room'!$A$13+'Control Room'!$B$13,'Process'!BS2=1),1+('Control Room'!$C$13-1)*EXP(-0.5*(($A12-'Control Room'!$A$13-('Control Room'!$B$13-1)/2)/MAX(0.5,'Control Room'!$B$13/4))^2),1)*IF(AND($A12&gt;='Control Room'!$A$14,$A12&lt;'Control Room'!$A$14+'Control Room'!$B$14,'Process'!BS3=1),1+('Control Room'!$C$14-1)*EXP(-0.5*(($A12-'Control Room'!$A$14-('Control Room'!$B$14-1)/2)/MAX(0.5,'Control Room'!$B$14/4))^2),1)*IF(AND($A12&gt;='Control Room'!$A$15,$A12&lt;'Control Room'!$A$15+'Control Room'!$B$15,'Process'!BS4=1),1+('Control Room'!$C$15-1)*EXP(-0.5*(($A12-'Control Room'!$A$15-('Control Room'!$B$15-1)/2)/MAX(0.5,'Control Room'!$B$15/4))^2),1)*IF(AND($A12&gt;='Control Room'!$A$16,$A12&lt;'Control Room'!$A$16+'Control Room'!$B$16,'Process'!BS5=1),1+('Control Room'!$C$16-1)*EXP(-0.5*(($A12-'Control Room'!$A$16-('Control Room'!$B$16-1)/2)/MAX(0.5,'Control Room'!$B$16/4))^2),1)</x:f>
        <x:v>1</x:v>
      </x:c>
      <x:c r="AU12" s="9" t="n">
        <x:f>MOD(AV11*16807,2147483647)</x:f>
        <x:v>903233434</x:v>
      </x:c>
      <x:c r="AV12" s="9" t="n">
        <x:f>MOD(AU12*16807,2147483647)</x:f>
        <x:v>82424595</x:v>
      </x:c>
      <x:c r="AW12" s="17" t="n">
        <x:f>IF('Control Room'!$B$5="Normal",'Control Room'!$B$7+'Control Room'!$D$7*SQRT(-2*LN(MAX(0.000000000001,AU12/2147483647)))*COS(2*PI()*AV12/2147483647),'Control Room'!$B$8+('Control Room'!$D$8-'Control Room'!$B$8)*AU12/2147483647)</x:f>
        <x:v>1115.0220068113567</x:v>
      </x:c>
      <x:c r="AX12" s="17" t="n">
        <x:f>IF('Control Room'!$B$5="Normal",'Control Room'!$B$7,('Control Room'!$B$8+'Control Room'!$D$8)/2)+'Control Room'!$B$9*(AX11-IF('Control Room'!$B$5="Normal",'Control Room'!$B$7,('Control Room'!$B$8+'Control Room'!$D$8)/2))+SQRT(1-'Control Room'!$B$9^2)*(AW12-IF('Control Room'!$B$5="Normal",'Control Room'!$B$7,('Control Room'!$B$8+'Control Room'!$D$8)/2))</x:f>
        <x:v>1124.9470831831386</x:v>
      </x:c>
      <x:c r="AY12" s="17" t="n">
        <x:f>IF(AND($A12&gt;='Control Room'!$A$13,$A12&lt;'Control Room'!$A$13+'Control Room'!$B$13,'Process'!BT2=1),1+('Control Room'!$C$13-1)*EXP(-0.5*(($A12-'Control Room'!$A$13-('Control Room'!$B$13-1)/2)/MAX(0.5,'Control Room'!$B$13/4))^2),1)*IF(AND($A12&gt;='Control Room'!$A$14,$A12&lt;'Control Room'!$A$14+'Control Room'!$B$14,'Process'!BT3=1),1+('Control Room'!$C$14-1)*EXP(-0.5*(($A12-'Control Room'!$A$14-('Control Room'!$B$14-1)/2)/MAX(0.5,'Control Room'!$B$14/4))^2),1)*IF(AND($A12&gt;='Control Room'!$A$15,$A12&lt;'Control Room'!$A$15+'Control Room'!$B$15,'Process'!BT4=1),1+('Control Room'!$C$15-1)*EXP(-0.5*(($A12-'Control Room'!$A$15-('Control Room'!$B$15-1)/2)/MAX(0.5,'Control Room'!$B$15/4))^2),1)*IF(AND($A12&gt;='Control Room'!$A$16,$A12&lt;'Control Room'!$A$16+'Control Room'!$B$16,'Process'!BT5=1),1+('Control Room'!$C$16-1)*EXP(-0.5*(($A12-'Control Room'!$A$16-('Control Room'!$B$16-1)/2)/MAX(0.5,'Control Room'!$B$16/4))^2),1)</x:f>
        <x:v>1</x:v>
      </x:c>
      <x:c r="AZ12" s="9" t="n">
        <x:f>MOD(BA11*16807,2147483647)</x:f>
        <x:v>664044540</x:v>
      </x:c>
      <x:c r="BA12" s="9" t="n">
        <x:f>MOD(AZ12*16807,2147483647)</x:f>
        <x:v>124070321</x:v>
      </x:c>
      <x:c r="BB12" s="17" t="n">
        <x:f>IF('Control Room'!$B$5="Normal",'Control Room'!$B$7+'Control Room'!$D$7*SQRT(-2*LN(MAX(0.000000000001,AZ12/2147483647)))*COS(2*PI()*BA12/2147483647),'Control Room'!$B$8+('Control Room'!$D$8-'Control Room'!$B$8)*AZ12/2147483647)</x:f>
        <x:v>1128.9051758386317</x:v>
      </x:c>
      <x:c r="BC12" s="17" t="n">
        <x:f>IF('Control Room'!$B$5="Normal",'Control Room'!$B$7,('Control Room'!$B$8+'Control Room'!$D$8)/2)+'Control Room'!$B$9*(BC11-IF('Control Room'!$B$5="Normal",'Control Room'!$B$7,('Control Room'!$B$8+'Control Room'!$D$8)/2))+SQRT(1-'Control Room'!$B$9^2)*(BB12-IF('Control Room'!$B$5="Normal",'Control Room'!$B$7,('Control Room'!$B$8+'Control Room'!$D$8)/2))</x:f>
        <x:v>1083.0094056078751</x:v>
      </x:c>
      <x:c r="BD12" s="17" t="n">
        <x:f>IF(AND($A12&gt;='Control Room'!$A$13,$A12&lt;'Control Room'!$A$13+'Control Room'!$B$13,'Process'!BU2=1),1+('Control Room'!$C$13-1)*EXP(-0.5*(($A12-'Control Room'!$A$13-('Control Room'!$B$13-1)/2)/MAX(0.5,'Control Room'!$B$13/4))^2),1)*IF(AND($A12&gt;='Control Room'!$A$14,$A12&lt;'Control Room'!$A$14+'Control Room'!$B$14,'Process'!BU3=1),1+('Control Room'!$C$14-1)*EXP(-0.5*(($A12-'Control Room'!$A$14-('Control Room'!$B$14-1)/2)/MAX(0.5,'Control Room'!$B$14/4))^2),1)*IF(AND($A12&gt;='Control Room'!$A$15,$A12&lt;'Control Room'!$A$15+'Control Room'!$B$15,'Process'!BU4=1),1+('Control Room'!$C$15-1)*EXP(-0.5*(($A12-'Control Room'!$A$15-('Control Room'!$B$15-1)/2)/MAX(0.5,'Control Room'!$B$15/4))^2),1)*IF(AND($A12&gt;='Control Room'!$A$16,$A12&lt;'Control Room'!$A$16+'Control Room'!$B$16,'Process'!BU5=1),1+('Control Room'!$C$16-1)*EXP(-0.5*(($A12-'Control Room'!$A$16-('Control Room'!$B$16-1)/2)/MAX(0.5,'Control Room'!$B$16/4))^2),1)</x:f>
        <x:v>1</x:v>
      </x:c>
      <x:c r="BE12" s="9" t="n">
        <x:f>MOD(BF11*16807,2147483647)</x:f>
        <x:v>424855646</x:v>
      </x:c>
      <x:c r="BF12" s="9" t="n">
        <x:f>MOD(BE12*16807,2147483647)</x:f>
        <x:v>165716047</x:v>
      </x:c>
      <x:c r="BG12" s="17" t="n">
        <x:f>IF('Control Room'!$B$5="Normal",'Control Room'!$B$7+'Control Room'!$D$7*SQRT(-2*LN(MAX(0.000000000001,BE12/2147483647)))*COS(2*PI()*BF12/2147483647),'Control Room'!$B$8+('Control Room'!$D$8-'Control Room'!$B$8)*BE12/2147483647)</x:f>
        <x:v>1143.3414495805785</x:v>
      </x:c>
      <x:c r="BH12" s="17" t="n">
        <x:f>IF('Control Room'!$B$5="Normal",'Control Room'!$B$7,('Control Room'!$B$8+'Control Room'!$D$8)/2)+'Control Room'!$B$9*(BH11-IF('Control Room'!$B$5="Normal",'Control Room'!$B$7,('Control Room'!$B$8+'Control Room'!$D$8)/2))+SQRT(1-'Control Room'!$B$9^2)*(BG12-IF('Control Room'!$B$5="Normal",'Control Room'!$B$7,('Control Room'!$B$8+'Control Room'!$D$8)/2))</x:f>
        <x:v>1145.753534170993</x:v>
      </x:c>
      <x:c r="BI12" s="17" t="n">
        <x:f>IF(AND($A12&gt;='Control Room'!$A$13,$A12&lt;'Control Room'!$A$13+'Control Room'!$B$13,'Process'!BV2=1),1+('Control Room'!$C$13-1)*EXP(-0.5*(($A12-'Control Room'!$A$13-('Control Room'!$B$13-1)/2)/MAX(0.5,'Control Room'!$B$13/4))^2),1)*IF(AND($A12&gt;='Control Room'!$A$14,$A12&lt;'Control Room'!$A$14+'Control Room'!$B$14,'Process'!BV3=1),1+('Control Room'!$C$14-1)*EXP(-0.5*(($A12-'Control Room'!$A$14-('Control Room'!$B$14-1)/2)/MAX(0.5,'Control Room'!$B$14/4))^2),1)*IF(AND($A12&gt;='Control Room'!$A$15,$A12&lt;'Control Room'!$A$15+'Control Room'!$B$15,'Process'!BV4=1),1+('Control Room'!$C$15-1)*EXP(-0.5*(($A12-'Control Room'!$A$15-('Control Room'!$B$15-1)/2)/MAX(0.5,'Control Room'!$B$15/4))^2),1)*IF(AND($A12&gt;='Control Room'!$A$16,$A12&lt;'Control Room'!$A$16+'Control Room'!$B$16,'Process'!BV5=1),1+('Control Room'!$C$16-1)*EXP(-0.5*(($A12-'Control Room'!$A$16-('Control Room'!$B$16-1)/2)/MAX(0.5,'Control Room'!$B$16/4))^2),1)</x:f>
        <x:v>1</x:v>
      </x:c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 t="str">
        <x:f>IF('Control Room'!F6&gt;'Control Room'!$B$2,"Inactive",IF(OR(TRIM('Control Room'!G6)="",'Control Room'!G6&lt;&gt;TRIM('Control Room'!G6),LEN('Control Room'!G6)&gt;80,LOWER('Control Room'!G6)="total",COUNTIFS('Control Room'!$G$4:$G$15,'Control Room'!G6,'Control Room'!$F$4:$F$15,"&lt;="&amp;'Control Room'!$B$2)&gt;1),"Invalid name","Active"))</x:f>
        <x:v>Active</x:v>
      </x:c>
      <x:c r="BZ12" t="str">
        <x:f>IF('Data'!A12="","",TEXT('Data'!A12,"mm-dd"))</x:f>
        <x:v>11-12</x:v>
      </x:c>
    </x:row>
    <x:row r="13" ht="21" customHeight="1">
      <x:c r="A13" s="15" t="n">
        <x:f>'Control Room'!$B$1+11</x:f>
        <x:v>73002</x:v>
      </x:c>
      <x:c r="B13" s="9" t="n">
        <x:f>MOD(C12*16807,2147483647)</x:f>
        <x:v>1442784210</x:v>
      </x:c>
      <x:c r="C13" s="9" t="n">
        <x:f>MOD(B13*16807,2147483647)</x:f>
        <x:v>1636359193</x:v>
      </x:c>
      <x:c r="D13" s="17" t="n">
        <x:f>IF('Control Room'!$B$5="Normal",'Control Room'!$B$7+'Control Room'!$D$7*SQRT(-2*LN(MAX(0.000000000001,B13/2147483647)))*COS(2*PI()*C13/2147483647),'Control Room'!$B$8+('Control Room'!$D$8-'Control Room'!$B$8)*B13/2147483647)</x:f>
        <x:v>1006.040932788372</x:v>
      </x:c>
      <x:c r="E13" s="17" t="n">
        <x:f>IF('Control Room'!$B$5="Normal",'Control Room'!$B$7,('Control Room'!$B$8+'Control Room'!$D$8)/2)+'Control Room'!$B$9*(E12-IF('Control Room'!$B$5="Normal",'Control Room'!$B$7,('Control Room'!$B$8+'Control Room'!$D$8)/2))+SQRT(1-'Control Room'!$B$9^2)*(D13-IF('Control Room'!$B$5="Normal",'Control Room'!$B$7,('Control Room'!$B$8+'Control Room'!$D$8)/2))</x:f>
        <x:v>1069.5236217401796</x:v>
      </x:c>
      <x:c r="F13" s="17" t="n">
        <x:f>IF(AND($A13&gt;='Control Room'!$A$13,$A13&lt;'Control Room'!$A$13+'Control Room'!$B$13,'Process'!BK2=1),1+('Control Room'!$C$13-1)*EXP(-0.5*(($A13-'Control Room'!$A$13-('Control Room'!$B$13-1)/2)/MAX(0.5,'Control Room'!$B$13/4))^2),1)*IF(AND($A13&gt;='Control Room'!$A$14,$A13&lt;'Control Room'!$A$14+'Control Room'!$B$14,'Process'!BK3=1),1+('Control Room'!$C$14-1)*EXP(-0.5*(($A13-'Control Room'!$A$14-('Control Room'!$B$14-1)/2)/MAX(0.5,'Control Room'!$B$14/4))^2),1)*IF(AND($A13&gt;='Control Room'!$A$15,$A13&lt;'Control Room'!$A$15+'Control Room'!$B$15,'Process'!BK4=1),1+('Control Room'!$C$15-1)*EXP(-0.5*(($A13-'Control Room'!$A$15-('Control Room'!$B$15-1)/2)/MAX(0.5,'Control Room'!$B$15/4))^2),1)*IF(AND($A13&gt;='Control Room'!$A$16,$A13&lt;'Control Room'!$A$16+'Control Room'!$B$16,'Process'!BK5=1),1+('Control Room'!$C$16-1)*EXP(-0.5*(($A13-'Control Room'!$A$16-('Control Room'!$B$16-1)/2)/MAX(0.5,'Control Room'!$B$16/4))^2),1)</x:f>
        <x:v>1</x:v>
      </x:c>
      <x:c r="G13" s="9" t="n">
        <x:f>MOD(H12*16807,2147483647)</x:f>
        <x:v>1302832170</x:v>
      </x:c>
      <x:c r="H13" s="9" t="n">
        <x:f>MOD(G13*16807,2147483647)</x:f>
        <x:v>957016378</x:v>
      </x:c>
      <x:c r="I13" s="17" t="n">
        <x:f>IF('Control Room'!$B$5="Normal",'Control Room'!$B$7+'Control Room'!$D$7*SQRT(-2*LN(MAX(0.000000000001,G13/2147483647)))*COS(2*PI()*H13/2147483647),'Control Room'!$B$8+('Control Room'!$D$8-'Control Room'!$B$8)*G13/2147483647)</x:f>
        <x:v>915.21845606542</x:v>
      </x:c>
      <x:c r="J13" s="17" t="n">
        <x:f>IF('Control Room'!$B$5="Normal",'Control Room'!$B$7,('Control Room'!$B$8+'Control Room'!$D$8)/2)+'Control Room'!$B$9*(J12-IF('Control Room'!$B$5="Normal",'Control Room'!$B$7,('Control Room'!$B$8+'Control Room'!$D$8)/2))+SQRT(1-'Control Room'!$B$9^2)*(I13-IF('Control Room'!$B$5="Normal",'Control Room'!$B$7,('Control Room'!$B$8+'Control Room'!$D$8)/2))</x:f>
        <x:v>1011.2390058132652</x:v>
      </x:c>
      <x:c r="K13" s="17" t="n">
        <x:f>IF(AND($A13&gt;='Control Room'!$A$13,$A13&lt;'Control Room'!$A$13+'Control Room'!$B$13,'Process'!BL2=1),1+('Control Room'!$C$13-1)*EXP(-0.5*(($A13-'Control Room'!$A$13-('Control Room'!$B$13-1)/2)/MAX(0.5,'Control Room'!$B$13/4))^2),1)*IF(AND($A13&gt;='Control Room'!$A$14,$A13&lt;'Control Room'!$A$14+'Control Room'!$B$14,'Process'!BL3=1),1+('Control Room'!$C$14-1)*EXP(-0.5*(($A13-'Control Room'!$A$14-('Control Room'!$B$14-1)/2)/MAX(0.5,'Control Room'!$B$14/4))^2),1)*IF(AND($A13&gt;='Control Room'!$A$15,$A13&lt;'Control Room'!$A$15+'Control Room'!$B$15,'Process'!BL4=1),1+('Control Room'!$C$15-1)*EXP(-0.5*(($A13-'Control Room'!$A$15-('Control Room'!$B$15-1)/2)/MAX(0.5,'Control Room'!$B$15/4))^2),1)*IF(AND($A13&gt;='Control Room'!$A$16,$A13&lt;'Control Room'!$A$16+'Control Room'!$B$16,'Process'!BL5=1),1+('Control Room'!$C$16-1)*EXP(-0.5*(($A13-'Control Room'!$A$16-('Control Room'!$B$16-1)/2)/MAX(0.5,'Control Room'!$B$16/4))^2),1)</x:f>
        <x:v>1</x:v>
      </x:c>
      <x:c r="L13" s="9" t="n">
        <x:f>MOD(M12*16807,2147483647)</x:f>
        <x:v>1162880130</x:v>
      </x:c>
      <x:c r="M13" s="9" t="n">
        <x:f>MOD(L13*16807,2147483647)</x:f>
        <x:v>277673563</x:v>
      </x:c>
      <x:c r="N13" s="17" t="n">
        <x:f>IF('Control Room'!$B$5="Normal",'Control Room'!$B$7+'Control Room'!$D$7*SQRT(-2*LN(MAX(0.000000000001,L13/2147483647)))*COS(2*PI()*M13/2147483647),'Control Room'!$B$8+('Control Room'!$D$8-'Control Room'!$B$8)*L13/2147483647)</x:f>
        <x:v>1068.5569567098332</x:v>
      </x:c>
      <x:c r="O13" s="17" t="n">
        <x:f>IF('Control Room'!$B$5="Normal",'Control Room'!$B$7,('Control Room'!$B$8+'Control Room'!$D$8)/2)+'Control Room'!$B$9*(O12-IF('Control Room'!$B$5="Normal",'Control Room'!$B$7,('Control Room'!$B$8+'Control Room'!$D$8)/2))+SQRT(1-'Control Room'!$B$9^2)*(N13-IF('Control Room'!$B$5="Normal",'Control Room'!$B$7,('Control Room'!$B$8+'Control Room'!$D$8)/2))</x:f>
        <x:v>1143.3055813923459</x:v>
      </x:c>
      <x:c r="P13" s="17" t="n">
        <x:f>IF(AND($A13&gt;='Control Room'!$A$13,$A13&lt;'Control Room'!$A$13+'Control Room'!$B$13,'Process'!BM2=1),1+('Control Room'!$C$13-1)*EXP(-0.5*(($A13-'Control Room'!$A$13-('Control Room'!$B$13-1)/2)/MAX(0.5,'Control Room'!$B$13/4))^2),1)*IF(AND($A13&gt;='Control Room'!$A$14,$A13&lt;'Control Room'!$A$14+'Control Room'!$B$14,'Process'!BM3=1),1+('Control Room'!$C$14-1)*EXP(-0.5*(($A13-'Control Room'!$A$14-('Control Room'!$B$14-1)/2)/MAX(0.5,'Control Room'!$B$14/4))^2),1)*IF(AND($A13&gt;='Control Room'!$A$15,$A13&lt;'Control Room'!$A$15+'Control Room'!$B$15,'Process'!BM4=1),1+('Control Room'!$C$15-1)*EXP(-0.5*(($A13-'Control Room'!$A$15-('Control Room'!$B$15-1)/2)/MAX(0.5,'Control Room'!$B$15/4))^2),1)*IF(AND($A13&gt;='Control Room'!$A$16,$A13&lt;'Control Room'!$A$16+'Control Room'!$B$16,'Process'!BM5=1),1+('Control Room'!$C$16-1)*EXP(-0.5*(($A13-'Control Room'!$A$16-('Control Room'!$B$16-1)/2)/MAX(0.5,'Control Room'!$B$16/4))^2),1)</x:f>
        <x:v>1</x:v>
      </x:c>
      <x:c r="Q13" s="9" t="n">
        <x:f>MOD(R12*16807,2147483647)</x:f>
        <x:v>1022928090</x:v>
      </x:c>
      <x:c r="R13" s="9" t="n">
        <x:f>MOD(Q13*16807,2147483647)</x:f>
        <x:v>1745814395</x:v>
      </x:c>
      <x:c r="S13" s="17" t="n">
        <x:f>IF('Control Room'!$B$5="Normal",'Control Room'!$B$7+'Control Room'!$D$7*SQRT(-2*LN(MAX(0.000000000001,Q13/2147483647)))*COS(2*PI()*R13/2147483647),'Control Room'!$B$8+('Control Room'!$D$8-'Control Room'!$B$8)*Q13/2147483647)</x:f>
        <x:v>1042.2373104853764</x:v>
      </x:c>
      <x:c r="T13" s="17" t="n">
        <x:f>IF('Control Room'!$B$5="Normal",'Control Room'!$B$7,('Control Room'!$B$8+'Control Room'!$D$8)/2)+'Control Room'!$B$9*(T12-IF('Control Room'!$B$5="Normal",'Control Room'!$B$7,('Control Room'!$B$8+'Control Room'!$D$8)/2))+SQRT(1-'Control Room'!$B$9^2)*(S13-IF('Control Room'!$B$5="Normal",'Control Room'!$B$7,('Control Room'!$B$8+'Control Room'!$D$8)/2))</x:f>
        <x:v>1211.9718203630307</x:v>
      </x:c>
      <x:c r="U13" s="17" t="n">
        <x:f>IF(AND($A13&gt;='Control Room'!$A$13,$A13&lt;'Control Room'!$A$13+'Control Room'!$B$13,'Process'!BN2=1),1+('Control Room'!$C$13-1)*EXP(-0.5*(($A13-'Control Room'!$A$13-('Control Room'!$B$13-1)/2)/MAX(0.5,'Control Room'!$B$13/4))^2),1)*IF(AND($A13&gt;='Control Room'!$A$14,$A13&lt;'Control Room'!$A$14+'Control Room'!$B$14,'Process'!BN3=1),1+('Control Room'!$C$14-1)*EXP(-0.5*(($A13-'Control Room'!$A$14-('Control Room'!$B$14-1)/2)/MAX(0.5,'Control Room'!$B$14/4))^2),1)*IF(AND($A13&gt;='Control Room'!$A$15,$A13&lt;'Control Room'!$A$15+'Control Room'!$B$15,'Process'!BN4=1),1+('Control Room'!$C$15-1)*EXP(-0.5*(($A13-'Control Room'!$A$15-('Control Room'!$B$15-1)/2)/MAX(0.5,'Control Room'!$B$15/4))^2),1)*IF(AND($A13&gt;='Control Room'!$A$16,$A13&lt;'Control Room'!$A$16+'Control Room'!$B$16,'Process'!BN5=1),1+('Control Room'!$C$16-1)*EXP(-0.5*(($A13-'Control Room'!$A$16-('Control Room'!$B$16-1)/2)/MAX(0.5,'Control Room'!$B$16/4))^2),1)</x:f>
        <x:v>1</x:v>
      </x:c>
      <x:c r="V13" s="9" t="n">
        <x:f>MOD(W12*16807,2147483647)</x:f>
        <x:v>882976050</x:v>
      </x:c>
      <x:c r="W13" s="9" t="n">
        <x:f>MOD(V13*16807,2147483647)</x:f>
        <x:v>1066471580</x:v>
      </x:c>
      <x:c r="X13" s="17" t="n">
        <x:f>IF('Control Room'!$B$5="Normal",'Control Room'!$B$7+'Control Room'!$D$7*SQRT(-2*LN(MAX(0.000000000001,V13/2147483647)))*COS(2*PI()*W13/2147483647),'Control Room'!$B$8+('Control Room'!$D$8-'Control Room'!$B$8)*V13/2147483647)</x:f>
        <x:v>880.0362535255856</x:v>
      </x:c>
      <x:c r="Y13" s="17" t="n">
        <x:f>IF('Control Room'!$B$5="Normal",'Control Room'!$B$7,('Control Room'!$B$8+'Control Room'!$D$8)/2)+'Control Room'!$B$9*(Y12-IF('Control Room'!$B$5="Normal",'Control Room'!$B$7,('Control Room'!$B$8+'Control Room'!$D$8)/2))+SQRT(1-'Control Room'!$B$9^2)*(X13-IF('Control Room'!$B$5="Normal",'Control Room'!$B$7,('Control Room'!$B$8+'Control Room'!$D$8)/2))</x:f>
        <x:v>878.0770342512178</x:v>
      </x:c>
      <x:c r="Z13" s="17" t="n">
        <x:f>IF(AND($A13&gt;='Control Room'!$A$13,$A13&lt;'Control Room'!$A$13+'Control Room'!$B$13,'Process'!BO2=1),1+('Control Room'!$C$13-1)*EXP(-0.5*(($A13-'Control Room'!$A$13-('Control Room'!$B$13-1)/2)/MAX(0.5,'Control Room'!$B$13/4))^2),1)*IF(AND($A13&gt;='Control Room'!$A$14,$A13&lt;'Control Room'!$A$14+'Control Room'!$B$14,'Process'!BO3=1),1+('Control Room'!$C$14-1)*EXP(-0.5*(($A13-'Control Room'!$A$14-('Control Room'!$B$14-1)/2)/MAX(0.5,'Control Room'!$B$14/4))^2),1)*IF(AND($A13&gt;='Control Room'!$A$15,$A13&lt;'Control Room'!$A$15+'Control Room'!$B$15,'Process'!BO4=1),1+('Control Room'!$C$15-1)*EXP(-0.5*(($A13-'Control Room'!$A$15-('Control Room'!$B$15-1)/2)/MAX(0.5,'Control Room'!$B$15/4))^2),1)*IF(AND($A13&gt;='Control Room'!$A$16,$A13&lt;'Control Room'!$A$16+'Control Room'!$B$16,'Process'!BO5=1),1+('Control Room'!$C$16-1)*EXP(-0.5*(($A13-'Control Room'!$A$16-('Control Room'!$B$16-1)/2)/MAX(0.5,'Control Room'!$B$16/4))^2),1)</x:f>
        <x:v>1</x:v>
      </x:c>
      <x:c r="AA13" s="9" t="n">
        <x:f>MOD(AB12*16807,2147483647)</x:f>
        <x:v>743024010</x:v>
      </x:c>
      <x:c r="AB13" s="9" t="n">
        <x:f>MOD(AA13*16807,2147483647)</x:f>
        <x:v>387128765</x:v>
      </x:c>
      <x:c r="AC13" s="17" t="n">
        <x:f>IF('Control Room'!$B$5="Normal",'Control Room'!$B$7+'Control Room'!$D$7*SQRT(-2*LN(MAX(0.000000000001,AA13/2147483647)))*COS(2*PI()*AB13/2147483647),'Control Room'!$B$8+('Control Room'!$D$8-'Control Room'!$B$8)*AA13/2147483647)</x:f>
        <x:v>1055.6277752840697</x:v>
      </x:c>
      <x:c r="AD13" s="17" t="n">
        <x:f>IF('Control Room'!$B$5="Normal",'Control Room'!$B$7,('Control Room'!$B$8+'Control Room'!$D$8)/2)+'Control Room'!$B$9*(AD12-IF('Control Room'!$B$5="Normal",'Control Room'!$B$7,('Control Room'!$B$8+'Control Room'!$D$8)/2))+SQRT(1-'Control Room'!$B$9^2)*(AC13-IF('Control Room'!$B$5="Normal",'Control Room'!$B$7,('Control Room'!$B$8+'Control Room'!$D$8)/2))</x:f>
        <x:v>1033.303860009188</x:v>
      </x:c>
      <x:c r="AE13" s="17" t="n">
        <x:f>IF(AND($A13&gt;='Control Room'!$A$13,$A13&lt;'Control Room'!$A$13+'Control Room'!$B$13,'Process'!BP2=1),1+('Control Room'!$C$13-1)*EXP(-0.5*(($A13-'Control Room'!$A$13-('Control Room'!$B$13-1)/2)/MAX(0.5,'Control Room'!$B$13/4))^2),1)*IF(AND($A13&gt;='Control Room'!$A$14,$A13&lt;'Control Room'!$A$14+'Control Room'!$B$14,'Process'!BP3=1),1+('Control Room'!$C$14-1)*EXP(-0.5*(($A13-'Control Room'!$A$14-('Control Room'!$B$14-1)/2)/MAX(0.5,'Control Room'!$B$14/4))^2),1)*IF(AND($A13&gt;='Control Room'!$A$15,$A13&lt;'Control Room'!$A$15+'Control Room'!$B$15,'Process'!BP4=1),1+('Control Room'!$C$15-1)*EXP(-0.5*(($A13-'Control Room'!$A$15-('Control Room'!$B$15-1)/2)/MAX(0.5,'Control Room'!$B$15/4))^2),1)*IF(AND($A13&gt;='Control Room'!$A$16,$A13&lt;'Control Room'!$A$16+'Control Room'!$B$16,'Process'!BP5=1),1+('Control Room'!$C$16-1)*EXP(-0.5*(($A13-'Control Room'!$A$16-('Control Room'!$B$16-1)/2)/MAX(0.5,'Control Room'!$B$16/4))^2),1)</x:f>
        <x:v>1</x:v>
      </x:c>
      <x:c r="AF13" s="9" t="n">
        <x:f>MOD(AG12*16807,2147483647)</x:f>
        <x:v>603071970</x:v>
      </x:c>
      <x:c r="AG13" s="9" t="n">
        <x:f>MOD(AF13*16807,2147483647)</x:f>
        <x:v>1855269597</x:v>
      </x:c>
      <x:c r="AH13" s="17" t="n">
        <x:f>IF('Control Room'!$B$5="Normal",'Control Room'!$B$7+'Control Room'!$D$7*SQRT(-2*LN(MAX(0.000000000001,AF13/2147483647)))*COS(2*PI()*AG13/2147483647),'Control Room'!$B$8+('Control Room'!$D$8-'Control Room'!$B$8)*AF13/2147483647)</x:f>
        <x:v>1094.1293929613769</x:v>
      </x:c>
      <x:c r="AI13" s="17" t="n">
        <x:f>IF('Control Room'!$B$5="Normal",'Control Room'!$B$7,('Control Room'!$B$8+'Control Room'!$D$8)/2)+'Control Room'!$B$9*(AI12-IF('Control Room'!$B$5="Normal",'Control Room'!$B$7,('Control Room'!$B$8+'Control Room'!$D$8)/2))+SQRT(1-'Control Room'!$B$9^2)*(AH13-IF('Control Room'!$B$5="Normal",'Control Room'!$B$7,('Control Room'!$B$8+'Control Room'!$D$8)/2))</x:f>
        <x:v>1162.5822982005623</x:v>
      </x:c>
      <x:c r="AJ13" s="17" t="n">
        <x:f>IF(AND($A13&gt;='Control Room'!$A$13,$A13&lt;'Control Room'!$A$13+'Control Room'!$B$13,'Process'!BQ2=1),1+('Control Room'!$C$13-1)*EXP(-0.5*(($A13-'Control Room'!$A$13-('Control Room'!$B$13-1)/2)/MAX(0.5,'Control Room'!$B$13/4))^2),1)*IF(AND($A13&gt;='Control Room'!$A$14,$A13&lt;'Control Room'!$A$14+'Control Room'!$B$14,'Process'!BQ3=1),1+('Control Room'!$C$14-1)*EXP(-0.5*(($A13-'Control Room'!$A$14-('Control Room'!$B$14-1)/2)/MAX(0.5,'Control Room'!$B$14/4))^2),1)*IF(AND($A13&gt;='Control Room'!$A$15,$A13&lt;'Control Room'!$A$15+'Control Room'!$B$15,'Process'!BQ4=1),1+('Control Room'!$C$15-1)*EXP(-0.5*(($A13-'Control Room'!$A$15-('Control Room'!$B$15-1)/2)/MAX(0.5,'Control Room'!$B$15/4))^2),1)*IF(AND($A13&gt;='Control Room'!$A$16,$A13&lt;'Control Room'!$A$16+'Control Room'!$B$16,'Process'!BQ5=1),1+('Control Room'!$C$16-1)*EXP(-0.5*(($A13-'Control Room'!$A$16-('Control Room'!$B$16-1)/2)/MAX(0.5,'Control Room'!$B$16/4))^2),1)</x:f>
        <x:v>1</x:v>
      </x:c>
      <x:c r="AK13" s="9" t="n">
        <x:f>MOD(AL12*16807,2147483647)</x:f>
        <x:v>463119930</x:v>
      </x:c>
      <x:c r="AL13" s="9" t="n">
        <x:f>MOD(AK13*16807,2147483647)</x:f>
        <x:v>1175926782</x:v>
      </x:c>
      <x:c r="AM13" s="17" t="n">
        <x:f>IF('Control Room'!$B$5="Normal",'Control Room'!$B$7+'Control Room'!$D$7*SQRT(-2*LN(MAX(0.000000000001,AK13/2147483647)))*COS(2*PI()*AL13/2147483647),'Control Room'!$B$8+('Control Room'!$D$8-'Control Room'!$B$8)*AK13/2147483647)</x:f>
        <x:v>849.3486068295568</x:v>
      </x:c>
      <x:c r="AN13" s="17" t="n">
        <x:f>IF('Control Room'!$B$5="Normal",'Control Room'!$B$7,('Control Room'!$B$8+'Control Room'!$D$8)/2)+'Control Room'!$B$9*(AN12-IF('Control Room'!$B$5="Normal",'Control Room'!$B$7,('Control Room'!$B$8+'Control Room'!$D$8)/2))+SQRT(1-'Control Room'!$B$9^2)*(AM13-IF('Control Room'!$B$5="Normal",'Control Room'!$B$7,('Control Room'!$B$8+'Control Room'!$D$8)/2))</x:f>
        <x:v>970.0628305533536</x:v>
      </x:c>
      <x:c r="AO13" s="17" t="n">
        <x:f>IF(AND($A13&gt;='Control Room'!$A$13,$A13&lt;'Control Room'!$A$13+'Control Room'!$B$13,'Process'!BR2=1),1+('Control Room'!$C$13-1)*EXP(-0.5*(($A13-'Control Room'!$A$13-('Control Room'!$B$13-1)/2)/MAX(0.5,'Control Room'!$B$13/4))^2),1)*IF(AND($A13&gt;='Control Room'!$A$14,$A13&lt;'Control Room'!$A$14+'Control Room'!$B$14,'Process'!BR3=1),1+('Control Room'!$C$14-1)*EXP(-0.5*(($A13-'Control Room'!$A$14-('Control Room'!$B$14-1)/2)/MAX(0.5,'Control Room'!$B$14/4))^2),1)*IF(AND($A13&gt;='Control Room'!$A$15,$A13&lt;'Control Room'!$A$15+'Control Room'!$B$15,'Process'!BR4=1),1+('Control Room'!$C$15-1)*EXP(-0.5*(($A13-'Control Room'!$A$15-('Control Room'!$B$15-1)/2)/MAX(0.5,'Control Room'!$B$15/4))^2),1)*IF(AND($A13&gt;='Control Room'!$A$16,$A13&lt;'Control Room'!$A$16+'Control Room'!$B$16,'Process'!BR5=1),1+('Control Room'!$C$16-1)*EXP(-0.5*(($A13-'Control Room'!$A$16-('Control Room'!$B$16-1)/2)/MAX(0.5,'Control Room'!$B$16/4))^2),1)</x:f>
        <x:v>1</x:v>
      </x:c>
      <x:c r="AP13" s="9" t="n">
        <x:f>MOD(AQ12*16807,2147483647)</x:f>
        <x:v>323167890</x:v>
      </x:c>
      <x:c r="AQ13" s="9" t="n">
        <x:f>MOD(AP13*16807,2147483647)</x:f>
        <x:v>496583967</x:v>
      </x:c>
      <x:c r="AR13" s="17" t="n">
        <x:f>IF('Control Room'!$B$5="Normal",'Control Room'!$B$7+'Control Room'!$D$7*SQRT(-2*LN(MAX(0.000000000001,AP13/2147483647)))*COS(2*PI()*AQ13/2147483647),'Control Room'!$B$8+('Control Room'!$D$8-'Control Room'!$B$8)*AP13/2147483647)</x:f>
        <x:v>1020.5988003924501</x:v>
      </x:c>
      <x:c r="AS13" s="17" t="n">
        <x:f>IF('Control Room'!$B$5="Normal",'Control Room'!$B$7,('Control Room'!$B$8+'Control Room'!$D$8)/2)+'Control Room'!$B$9*(AS12-IF('Control Room'!$B$5="Normal",'Control Room'!$B$7,('Control Room'!$B$8+'Control Room'!$D$8)/2))+SQRT(1-'Control Room'!$B$9^2)*(AR13-IF('Control Room'!$B$5="Normal",'Control Room'!$B$7,('Control Room'!$B$8+'Control Room'!$D$8)/2))</x:f>
        <x:v>1078.674088205292</x:v>
      </x:c>
      <x:c r="AT13" s="17" t="n">
        <x:f>IF(AND($A13&gt;='Control Room'!$A$13,$A13&lt;'Control Room'!$A$13+'Control Room'!$B$13,'Process'!BS2=1),1+('Control Room'!$C$13-1)*EXP(-0.5*(($A13-'Control Room'!$A$13-('Control Room'!$B$13-1)/2)/MAX(0.5,'Control Room'!$B$13/4))^2),1)*IF(AND($A13&gt;='Control Room'!$A$14,$A13&lt;'Control Room'!$A$14+'Control Room'!$B$14,'Process'!BS3=1),1+('Control Room'!$C$14-1)*EXP(-0.5*(($A13-'Control Room'!$A$14-('Control Room'!$B$14-1)/2)/MAX(0.5,'Control Room'!$B$14/4))^2),1)*IF(AND($A13&gt;='Control Room'!$A$15,$A13&lt;'Control Room'!$A$15+'Control Room'!$B$15,'Process'!BS4=1),1+('Control Room'!$C$15-1)*EXP(-0.5*(($A13-'Control Room'!$A$15-('Control Room'!$B$15-1)/2)/MAX(0.5,'Control Room'!$B$15/4))^2),1)*IF(AND($A13&gt;='Control Room'!$A$16,$A13&lt;'Control Room'!$A$16+'Control Room'!$B$16,'Process'!BS5=1),1+('Control Room'!$C$16-1)*EXP(-0.5*(($A13-'Control Room'!$A$16-('Control Room'!$B$16-1)/2)/MAX(0.5,'Control Room'!$B$16/4))^2),1)</x:f>
        <x:v>1</x:v>
      </x:c>
      <x:c r="AU13" s="9" t="n">
        <x:f>MOD(AV12*16807,2147483647)</x:f>
        <x:v>183215850</x:v>
      </x:c>
      <x:c r="AV13" s="9" t="n">
        <x:f>MOD(AU13*16807,2147483647)</x:f>
        <x:v>1964724799</x:v>
      </x:c>
      <x:c r="AW13" s="17" t="n">
        <x:f>IF('Control Room'!$B$5="Normal",'Control Room'!$B$7+'Control Room'!$D$7*SQRT(-2*LN(MAX(0.000000000001,AU13/2147483647)))*COS(2*PI()*AV13/2147483647),'Control Room'!$B$8+('Control Room'!$D$8-'Control Room'!$B$8)*AU13/2147483647)</x:f>
        <x:v>1171.8117917829936</x:v>
      </x:c>
      <x:c r="AX13" s="17" t="n">
        <x:f>IF('Control Room'!$B$5="Normal",'Control Room'!$B$7,('Control Room'!$B$8+'Control Room'!$D$8)/2)+'Control Room'!$B$9*(AX12-IF('Control Room'!$B$5="Normal",'Control Room'!$B$7,('Control Room'!$B$8+'Control Room'!$D$8)/2))+SQRT(1-'Control Room'!$B$9^2)*(AW13-IF('Control Room'!$B$5="Normal",'Control Room'!$B$7,('Control Room'!$B$8+'Control Room'!$D$8)/2))</x:f>
        <x:v>1204.9750244247753</x:v>
      </x:c>
      <x:c r="AY13" s="17" t="n">
        <x:f>IF(AND($A13&gt;='Control Room'!$A$13,$A13&lt;'Control Room'!$A$13+'Control Room'!$B$13,'Process'!BT2=1),1+('Control Room'!$C$13-1)*EXP(-0.5*(($A13-'Control Room'!$A$13-('Control Room'!$B$13-1)/2)/MAX(0.5,'Control Room'!$B$13/4))^2),1)*IF(AND($A13&gt;='Control Room'!$A$14,$A13&lt;'Control Room'!$A$14+'Control Room'!$B$14,'Process'!BT3=1),1+('Control Room'!$C$14-1)*EXP(-0.5*(($A13-'Control Room'!$A$14-('Control Room'!$B$14-1)/2)/MAX(0.5,'Control Room'!$B$14/4))^2),1)*IF(AND($A13&gt;='Control Room'!$A$15,$A13&lt;'Control Room'!$A$15+'Control Room'!$B$15,'Process'!BT4=1),1+('Control Room'!$C$15-1)*EXP(-0.5*(($A13-'Control Room'!$A$15-('Control Room'!$B$15-1)/2)/MAX(0.5,'Control Room'!$B$15/4))^2),1)*IF(AND($A13&gt;='Control Room'!$A$16,$A13&lt;'Control Room'!$A$16+'Control Room'!$B$16,'Process'!BT5=1),1+('Control Room'!$C$16-1)*EXP(-0.5*(($A13-'Control Room'!$A$16-('Control Room'!$B$16-1)/2)/MAX(0.5,'Control Room'!$B$16/4))^2),1)</x:f>
        <x:v>1</x:v>
      </x:c>
      <x:c r="AZ13" s="9" t="n">
        <x:f>MOD(BA12*16807,2147483647)</x:f>
        <x:v>43263810</x:v>
      </x:c>
      <x:c r="BA13" s="9" t="n">
        <x:f>MOD(AZ13*16807,2147483647)</x:f>
        <x:v>1285381984</x:v>
      </x:c>
      <x:c r="BB13" s="17" t="n">
        <x:f>IF('Control Room'!$B$5="Normal",'Control Room'!$B$7+'Control Room'!$D$7*SQRT(-2*LN(MAX(0.000000000001,AZ13/2147483647)))*COS(2*PI()*BA13/2147483647),'Control Room'!$B$8+('Control Room'!$D$8-'Control Room'!$B$8)*AZ13/2147483647)</x:f>
        <x:v>795.1890661309475</x:v>
      </x:c>
      <x:c r="BC13" s="17" t="n">
        <x:f>IF('Control Room'!$B$5="Normal",'Control Room'!$B$7,('Control Room'!$B$8+'Control Room'!$D$8)/2)+'Control Room'!$B$9*(BC12-IF('Control Room'!$B$5="Normal",'Control Room'!$B$7,('Control Room'!$B$8+'Control Room'!$D$8)/2))+SQRT(1-'Control Room'!$B$9^2)*(BB13-IF('Control Room'!$B$5="Normal",'Control Room'!$B$7,('Control Room'!$B$8+'Control Room'!$D$8)/2))</x:f>
        <x:v>936.5808497389307</x:v>
      </x:c>
      <x:c r="BD13" s="17" t="n">
        <x:f>IF(AND($A13&gt;='Control Room'!$A$13,$A13&lt;'Control Room'!$A$13+'Control Room'!$B$13,'Process'!BU2=1),1+('Control Room'!$C$13-1)*EXP(-0.5*(($A13-'Control Room'!$A$13-('Control Room'!$B$13-1)/2)/MAX(0.5,'Control Room'!$B$13/4))^2),1)*IF(AND($A13&gt;='Control Room'!$A$14,$A13&lt;'Control Room'!$A$14+'Control Room'!$B$14,'Process'!BU3=1),1+('Control Room'!$C$14-1)*EXP(-0.5*(($A13-'Control Room'!$A$14-('Control Room'!$B$14-1)/2)/MAX(0.5,'Control Room'!$B$14/4))^2),1)*IF(AND($A13&gt;='Control Room'!$A$15,$A13&lt;'Control Room'!$A$15+'Control Room'!$B$15,'Process'!BU4=1),1+('Control Room'!$C$15-1)*EXP(-0.5*(($A13-'Control Room'!$A$15-('Control Room'!$B$15-1)/2)/MAX(0.5,'Control Room'!$B$15/4))^2),1)*IF(AND($A13&gt;='Control Room'!$A$16,$A13&lt;'Control Room'!$A$16+'Control Room'!$B$16,'Process'!BU5=1),1+('Control Room'!$C$16-1)*EXP(-0.5*(($A13-'Control Room'!$A$16-('Control Room'!$B$16-1)/2)/MAX(0.5,'Control Room'!$B$16/4))^2),1)</x:f>
        <x:v>1</x:v>
      </x:c>
      <x:c r="BE13" s="9" t="n">
        <x:f>MOD(BF12*16807,2147483647)</x:f>
        <x:v>2050795417</x:v>
      </x:c>
      <x:c r="BF13" s="9" t="n">
        <x:f>MOD(BE13*16807,2147483647)</x:f>
        <x:v>606039169</x:v>
      </x:c>
      <x:c r="BG13" s="17" t="n">
        <x:f>IF('Control Room'!$B$5="Normal",'Control Room'!$B$7+'Control Room'!$D$7*SQRT(-2*LN(MAX(0.000000000001,BE13/2147483647)))*COS(2*PI()*BF13/2147483647),'Control Room'!$B$8+('Control Room'!$D$8-'Control Room'!$B$8)*BE13/2147483647)</x:f>
        <x:v>994.5090135746879</x:v>
      </x:c>
      <x:c r="BH13" s="17" t="n">
        <x:f>IF('Control Room'!$B$5="Normal",'Control Room'!$B$7,('Control Room'!$B$8+'Control Room'!$D$8)/2)+'Control Room'!$B$9*(BH12-IF('Control Room'!$B$5="Normal",'Control Room'!$B$7,('Control Room'!$B$8+'Control Room'!$D$8)/2))+SQRT(1-'Control Room'!$B$9^2)*(BG13-IF('Control Room'!$B$5="Normal",'Control Room'!$B$7,('Control Room'!$B$8+'Control Room'!$D$8)/2))</x:f>
        <x:v>1110.2516098373853</x:v>
      </x:c>
      <x:c r="BI13" s="17" t="n">
        <x:f>IF(AND($A13&gt;='Control Room'!$A$13,$A13&lt;'Control Room'!$A$13+'Control Room'!$B$13,'Process'!BV2=1),1+('Control Room'!$C$13-1)*EXP(-0.5*(($A13-'Control Room'!$A$13-('Control Room'!$B$13-1)/2)/MAX(0.5,'Control Room'!$B$13/4))^2),1)*IF(AND($A13&gt;='Control Room'!$A$14,$A13&lt;'Control Room'!$A$14+'Control Room'!$B$14,'Process'!BV3=1),1+('Control Room'!$C$14-1)*EXP(-0.5*(($A13-'Control Room'!$A$14-('Control Room'!$B$14-1)/2)/MAX(0.5,'Control Room'!$B$14/4))^2),1)*IF(AND($A13&gt;='Control Room'!$A$15,$A13&lt;'Control Room'!$A$15+'Control Room'!$B$15,'Process'!BV4=1),1+('Control Room'!$C$15-1)*EXP(-0.5*(($A13-'Control Room'!$A$15-('Control Room'!$B$15-1)/2)/MAX(0.5,'Control Room'!$B$15/4))^2),1)*IF(AND($A13&gt;='Control Room'!$A$16,$A13&lt;'Control Room'!$A$16+'Control Room'!$B$16,'Process'!BV5=1),1+('Control Room'!$C$16-1)*EXP(-0.5*(($A13-'Control Room'!$A$16-('Control Room'!$B$16-1)/2)/MAX(0.5,'Control Room'!$B$16/4))^2),1)</x:f>
        <x:v>1</x:v>
      </x:c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 t="str">
        <x:f>IF('Control Room'!F7&gt;'Control Room'!$B$2,"Inactive",IF(OR(TRIM('Control Room'!G7)="",'Control Room'!G7&lt;&gt;TRIM('Control Room'!G7),LEN('Control Room'!G7)&gt;80,LOWER('Control Room'!G7)="total",COUNTIFS('Control Room'!$G$4:$G$15,'Control Room'!G7,'Control Room'!$F$4:$F$15,"&lt;="&amp;'Control Room'!$B$2)&gt;1),"Invalid name","Active"))</x:f>
        <x:v>Active</x:v>
      </x:c>
      <x:c r="BZ13" t="str">
        <x:f>IF('Data'!A13="","",TEXT('Data'!A13,"mm-dd"))</x:f>
        <x:v>11-13</x:v>
      </x:c>
    </x:row>
    <x:row r="14" ht="21" customHeight="1">
      <x:c r="A14" s="15" t="n">
        <x:f>'Control Room'!$B$1+12</x:f>
        <x:v>73003</x:v>
      </x:c>
      <x:c r="B14" s="9" t="n">
        <x:f>MOD(C13*16807,2147483647)</x:f>
        <x:v>1613373269</x:v>
      </x:c>
      <x:c r="C14" s="9" t="n">
        <x:f>MOD(B14*16807,2147483647)</x:f>
        <x:v>1836005061</x:v>
      </x:c>
      <x:c r="D14" s="17" t="n">
        <x:f>IF('Control Room'!$B$5="Normal",'Control Room'!$B$7+'Control Room'!$D$7*SQRT(-2*LN(MAX(0.000000000001,B14/2147483647)))*COS(2*PI()*C14/2147483647),'Control Room'!$B$8+('Control Room'!$D$8-'Control Room'!$B$8)*B14/2147483647)</x:f>
        <x:v>1041.7021937727163</x:v>
      </x:c>
      <x:c r="E14" s="17" t="n">
        <x:f>IF('Control Room'!$B$5="Normal",'Control Room'!$B$7,('Control Room'!$B$8+'Control Room'!$D$8)/2)+'Control Room'!$B$9*(E13-IF('Control Room'!$B$5="Normal",'Control Room'!$B$7,('Control Room'!$B$8+'Control Room'!$D$8)/2))+SQRT(1-'Control Room'!$B$9^2)*(D14-IF('Control Room'!$B$5="Normal",'Control Room'!$B$7,('Control Room'!$B$8+'Control Room'!$D$8)/2))</x:f>
        <x:v>1080.3248035044303</x:v>
      </x:c>
      <x:c r="F14" s="17" t="n">
        <x:f>IF(AND($A14&gt;='Control Room'!$A$13,$A14&lt;'Control Room'!$A$13+'Control Room'!$B$13,'Process'!BK2=1),1+('Control Room'!$C$13-1)*EXP(-0.5*(($A14-'Control Room'!$A$13-('Control Room'!$B$13-1)/2)/MAX(0.5,'Control Room'!$B$13/4))^2),1)*IF(AND($A14&gt;='Control Room'!$A$14,$A14&lt;'Control Room'!$A$14+'Control Room'!$B$14,'Process'!BK3=1),1+('Control Room'!$C$14-1)*EXP(-0.5*(($A14-'Control Room'!$A$14-('Control Room'!$B$14-1)/2)/MAX(0.5,'Control Room'!$B$14/4))^2),1)*IF(AND($A14&gt;='Control Room'!$A$15,$A14&lt;'Control Room'!$A$15+'Control Room'!$B$15,'Process'!BK4=1),1+('Control Room'!$C$15-1)*EXP(-0.5*(($A14-'Control Room'!$A$15-('Control Room'!$B$15-1)/2)/MAX(0.5,'Control Room'!$B$15/4))^2),1)*IF(AND($A14&gt;='Control Room'!$A$16,$A14&lt;'Control Room'!$A$16+'Control Room'!$B$16,'Process'!BK5=1),1+('Control Room'!$C$16-1)*EXP(-0.5*(($A14-'Control Room'!$A$16-('Control Room'!$B$16-1)/2)/MAX(0.5,'Control Room'!$B$16/4))^2),1)</x:f>
        <x:v>1</x:v>
      </x:c>
      <x:c r="G14" s="9" t="n">
        <x:f>MOD(H13*16807,2147483647)</x:f>
        <x:v>2069232663</x:v>
      </x:c>
      <x:c r="H14" s="9" t="n">
        <x:f>MOD(G14*16807,2147483647)</x:f>
        <x:v>1243187523</x:v>
      </x:c>
      <x:c r="I14" s="17" t="n">
        <x:f>IF('Control Room'!$B$5="Normal",'Control Room'!$B$7+'Control Room'!$D$7*SQRT(-2*LN(MAX(0.000000000001,G14/2147483647)))*COS(2*PI()*H14/2147483647),'Control Room'!$B$8+('Control Room'!$D$8-'Control Room'!$B$8)*G14/2147483647)</x:f>
        <x:v>978.4304241415905</x:v>
      </x:c>
      <x:c r="J14" s="17" t="n">
        <x:f>IF('Control Room'!$B$5="Normal",'Control Room'!$B$7,('Control Room'!$B$8+'Control Room'!$D$8)/2)+'Control Room'!$B$9*(J13-IF('Control Room'!$B$5="Normal",'Control Room'!$B$7,('Control Room'!$B$8+'Control Room'!$D$8)/2))+SQRT(1-'Control Room'!$B$9^2)*(I14-IF('Control Room'!$B$5="Normal",'Control Room'!$B$7,('Control Room'!$B$8+'Control Room'!$D$8)/2))</x:f>
        <x:v>995.2686258389338</x:v>
      </x:c>
      <x:c r="K14" s="17" t="n">
        <x:f>IF(AND($A14&gt;='Control Room'!$A$13,$A14&lt;'Control Room'!$A$13+'Control Room'!$B$13,'Process'!BL2=1),1+('Control Room'!$C$13-1)*EXP(-0.5*(($A14-'Control Room'!$A$13-('Control Room'!$B$13-1)/2)/MAX(0.5,'Control Room'!$B$13/4))^2),1)*IF(AND($A14&gt;='Control Room'!$A$14,$A14&lt;'Control Room'!$A$14+'Control Room'!$B$14,'Process'!BL3=1),1+('Control Room'!$C$14-1)*EXP(-0.5*(($A14-'Control Room'!$A$14-('Control Room'!$B$14-1)/2)/MAX(0.5,'Control Room'!$B$14/4))^2),1)*IF(AND($A14&gt;='Control Room'!$A$15,$A14&lt;'Control Room'!$A$15+'Control Room'!$B$15,'Process'!BL4=1),1+('Control Room'!$C$15-1)*EXP(-0.5*(($A14-'Control Room'!$A$15-('Control Room'!$B$15-1)/2)/MAX(0.5,'Control Room'!$B$15/4))^2),1)*IF(AND($A14&gt;='Control Room'!$A$16,$A14&lt;'Control Room'!$A$16+'Control Room'!$B$16,'Process'!BL5=1),1+('Control Room'!$C$16-1)*EXP(-0.5*(($A14-'Control Room'!$A$16-('Control Room'!$B$16-1)/2)/MAX(0.5,'Control Room'!$B$16/4))^2),1)</x:f>
        <x:v>1</x:v>
      </x:c>
      <x:c r="L14" s="9" t="n">
        <x:f>MOD(M13*16807,2147483647)</x:f>
        <x:v>377608410</x:v>
      </x:c>
      <x:c r="M14" s="9" t="n">
        <x:f>MOD(L14*16807,2147483647)</x:f>
        <x:v>650369985</x:v>
      </x:c>
      <x:c r="N14" s="17" t="n">
        <x:f>IF('Control Room'!$B$5="Normal",'Control Room'!$B$7+'Control Room'!$D$7*SQRT(-2*LN(MAX(0.000000000001,L14/2147483647)))*COS(2*PI()*M14/2147483647),'Control Room'!$B$8+('Control Room'!$D$8-'Control Room'!$B$8)*L14/2147483647)</x:f>
        <x:v>945.2937013434017</x:v>
      </x:c>
      <x:c r="O14" s="17" t="n">
        <x:f>IF('Control Room'!$B$5="Normal",'Control Room'!$B$7,('Control Room'!$B$8+'Control Room'!$D$8)/2)+'Control Room'!$B$9*(O13-IF('Control Room'!$B$5="Normal",'Control Room'!$B$7,('Control Room'!$B$8+'Control Room'!$D$8)/2))+SQRT(1-'Control Room'!$B$9^2)*(N14-IF('Control Room'!$B$5="Normal",'Control Room'!$B$7,('Control Room'!$B$8+'Control Room'!$D$8)/2))</x:f>
        <x:v>1077.544272506175</x:v>
      </x:c>
      <x:c r="P14" s="17" t="n">
        <x:f>IF(AND($A14&gt;='Control Room'!$A$13,$A14&lt;'Control Room'!$A$13+'Control Room'!$B$13,'Process'!BM2=1),1+('Control Room'!$C$13-1)*EXP(-0.5*(($A14-'Control Room'!$A$13-('Control Room'!$B$13-1)/2)/MAX(0.5,'Control Room'!$B$13/4))^2),1)*IF(AND($A14&gt;='Control Room'!$A$14,$A14&lt;'Control Room'!$A$14+'Control Room'!$B$14,'Process'!BM3=1),1+('Control Room'!$C$14-1)*EXP(-0.5*(($A14-'Control Room'!$A$14-('Control Room'!$B$14-1)/2)/MAX(0.5,'Control Room'!$B$14/4))^2),1)*IF(AND($A14&gt;='Control Room'!$A$15,$A14&lt;'Control Room'!$A$15+'Control Room'!$B$15,'Process'!BM4=1),1+('Control Room'!$C$15-1)*EXP(-0.5*(($A14-'Control Room'!$A$15-('Control Room'!$B$15-1)/2)/MAX(0.5,'Control Room'!$B$15/4))^2),1)*IF(AND($A14&gt;='Control Room'!$A$16,$A14&lt;'Control Room'!$A$16+'Control Room'!$B$16,'Process'!BM5=1),1+('Control Room'!$C$16-1)*EXP(-0.5*(($A14-'Control Room'!$A$16-('Control Room'!$B$16-1)/2)/MAX(0.5,'Control Room'!$B$16/4))^2),1)</x:f>
        <x:v>1</x:v>
      </x:c>
      <x:c r="Q14" s="9" t="n">
        <x:f>MOD(R13*16807,2147483647)</x:f>
        <x:v>833467804</x:v>
      </x:c>
      <x:c r="R14" s="9" t="n">
        <x:f>MOD(Q14*16807,2147483647)</x:f>
        <x:v>57552447</x:v>
      </x:c>
      <x:c r="S14" s="17" t="n">
        <x:f>IF('Control Room'!$B$5="Normal",'Control Room'!$B$7+'Control Room'!$D$7*SQRT(-2*LN(MAX(0.000000000001,Q14/2147483647)))*COS(2*PI()*R14/2147483647),'Control Room'!$B$8+('Control Room'!$D$8-'Control Room'!$B$8)*Q14/2147483647)</x:f>
        <x:v>1122.073512955727</x:v>
      </x:c>
      <x:c r="T14" s="17" t="n">
        <x:f>IF('Control Room'!$B$5="Normal",'Control Room'!$B$7,('Control Room'!$B$8+'Control Room'!$D$8)/2)+'Control Room'!$B$9*(T13-IF('Control Room'!$B$5="Normal",'Control Room'!$B$7,('Control Room'!$B$8+'Control Room'!$D$8)/2))+SQRT(1-'Control Room'!$B$9^2)*(S14-IF('Control Room'!$B$5="Normal",'Control Room'!$B$7,('Control Room'!$B$8+'Control Room'!$D$8)/2))</x:f>
        <x:v>1241.7291234790137</x:v>
      </x:c>
      <x:c r="U14" s="17" t="n">
        <x:f>IF(AND($A14&gt;='Control Room'!$A$13,$A14&lt;'Control Room'!$A$13+'Control Room'!$B$13,'Process'!BN2=1),1+('Control Room'!$C$13-1)*EXP(-0.5*(($A14-'Control Room'!$A$13-('Control Room'!$B$13-1)/2)/MAX(0.5,'Control Room'!$B$13/4))^2),1)*IF(AND($A14&gt;='Control Room'!$A$14,$A14&lt;'Control Room'!$A$14+'Control Room'!$B$14,'Process'!BN3=1),1+('Control Room'!$C$14-1)*EXP(-0.5*(($A14-'Control Room'!$A$14-('Control Room'!$B$14-1)/2)/MAX(0.5,'Control Room'!$B$14/4))^2),1)*IF(AND($A14&gt;='Control Room'!$A$15,$A14&lt;'Control Room'!$A$15+'Control Room'!$B$15,'Process'!BN4=1),1+('Control Room'!$C$15-1)*EXP(-0.5*(($A14-'Control Room'!$A$15-('Control Room'!$B$15-1)/2)/MAX(0.5,'Control Room'!$B$15/4))^2),1)*IF(AND($A14&gt;='Control Room'!$A$16,$A14&lt;'Control Room'!$A$16+'Control Room'!$B$16,'Process'!BN5=1),1+('Control Room'!$C$16-1)*EXP(-0.5*(($A14-'Control Room'!$A$16-('Control Room'!$B$16-1)/2)/MAX(0.5,'Control Room'!$B$16/4))^2),1)</x:f>
        <x:v>1</x:v>
      </x:c>
      <x:c r="V14" s="9" t="n">
        <x:f>MOD(W13*16807,2147483647)</x:f>
        <x:v>1289327198</x:v>
      </x:c>
      <x:c r="W14" s="9" t="n">
        <x:f>MOD(V14*16807,2147483647)</x:f>
        <x:v>1612218556</x:v>
      </x:c>
      <x:c r="X14" s="17" t="n">
        <x:f>IF('Control Room'!$B$5="Normal",'Control Room'!$B$7+'Control Room'!$D$7*SQRT(-2*LN(MAX(0.000000000001,V14/2147483647)))*COS(2*PI()*W14/2147483647),'Control Room'!$B$8+('Control Room'!$D$8-'Control Room'!$B$8)*V14/2147483647)</x:f>
        <x:v>1000.4271329624213</x:v>
      </x:c>
      <x:c r="Y14" s="17" t="n">
        <x:f>IF('Control Room'!$B$5="Normal",'Control Room'!$B$7,('Control Room'!$B$8+'Control Room'!$D$8)/2)+'Control Room'!$B$9*(Y13-IF('Control Room'!$B$5="Normal",'Control Room'!$B$7,('Control Room'!$B$8+'Control Room'!$D$8)/2))+SQRT(1-'Control Room'!$B$9^2)*(X14-IF('Control Room'!$B$5="Normal",'Control Room'!$B$7,('Control Room'!$B$8+'Control Room'!$D$8)/2))</x:f>
        <x:v>905.1673777735388</x:v>
      </x:c>
      <x:c r="Z14" s="17" t="n">
        <x:f>IF(AND($A14&gt;='Control Room'!$A$13,$A14&lt;'Control Room'!$A$13+'Control Room'!$B$13,'Process'!BO2=1),1+('Control Room'!$C$13-1)*EXP(-0.5*(($A14-'Control Room'!$A$13-('Control Room'!$B$13-1)/2)/MAX(0.5,'Control Room'!$B$13/4))^2),1)*IF(AND($A14&gt;='Control Room'!$A$14,$A14&lt;'Control Room'!$A$14+'Control Room'!$B$14,'Process'!BO3=1),1+('Control Room'!$C$14-1)*EXP(-0.5*(($A14-'Control Room'!$A$14-('Control Room'!$B$14-1)/2)/MAX(0.5,'Control Room'!$B$14/4))^2),1)*IF(AND($A14&gt;='Control Room'!$A$15,$A14&lt;'Control Room'!$A$15+'Control Room'!$B$15,'Process'!BO4=1),1+('Control Room'!$C$15-1)*EXP(-0.5*(($A14-'Control Room'!$A$15-('Control Room'!$B$15-1)/2)/MAX(0.5,'Control Room'!$B$15/4))^2),1)*IF(AND($A14&gt;='Control Room'!$A$16,$A14&lt;'Control Room'!$A$16+'Control Room'!$B$16,'Process'!BO5=1),1+('Control Room'!$C$16-1)*EXP(-0.5*(($A14-'Control Room'!$A$16-('Control Room'!$B$16-1)/2)/MAX(0.5,'Control Room'!$B$16/4))^2),1)</x:f>
        <x:v>1</x:v>
      </x:c>
      <x:c r="AA14" s="9" t="n">
        <x:f>MOD(AB13*16807,2147483647)</x:f>
        <x:v>1745186592</x:v>
      </x:c>
      <x:c r="AB14" s="9" t="n">
        <x:f>MOD(AA14*16807,2147483647)</x:f>
        <x:v>1019401018</x:v>
      </x:c>
      <x:c r="AC14" s="17" t="n">
        <x:f>IF('Control Room'!$B$5="Normal",'Control Room'!$B$7+'Control Room'!$D$7*SQRT(-2*LN(MAX(0.000000000001,AA14/2147483647)))*COS(2*PI()*AB14/2147483647),'Control Room'!$B$8+('Control Room'!$D$8-'Control Room'!$B$8)*AA14/2147483647)</x:f>
        <x:v>942.7617472561834</x:v>
      </x:c>
      <x:c r="AD14" s="17" t="n">
        <x:f>IF('Control Room'!$B$5="Normal",'Control Room'!$B$7,('Control Room'!$B$8+'Control Room'!$D$8)/2)+'Control Room'!$B$9*(AD13-IF('Control Room'!$B$5="Normal",'Control Room'!$B$7,('Control Room'!$B$8+'Control Room'!$D$8)/2))+SQRT(1-'Control Room'!$B$9^2)*(AC14-IF('Control Room'!$B$5="Normal",'Control Room'!$B$7,('Control Room'!$B$8+'Control Room'!$D$8)/2))</x:f>
        <x:v>990.1584848294295</x:v>
      </x:c>
      <x:c r="AE14" s="17" t="n">
        <x:f>IF(AND($A14&gt;='Control Room'!$A$13,$A14&lt;'Control Room'!$A$13+'Control Room'!$B$13,'Process'!BP2=1),1+('Control Room'!$C$13-1)*EXP(-0.5*(($A14-'Control Room'!$A$13-('Control Room'!$B$13-1)/2)/MAX(0.5,'Control Room'!$B$13/4))^2),1)*IF(AND($A14&gt;='Control Room'!$A$14,$A14&lt;'Control Room'!$A$14+'Control Room'!$B$14,'Process'!BP3=1),1+('Control Room'!$C$14-1)*EXP(-0.5*(($A14-'Control Room'!$A$14-('Control Room'!$B$14-1)/2)/MAX(0.5,'Control Room'!$B$14/4))^2),1)*IF(AND($A14&gt;='Control Room'!$A$15,$A14&lt;'Control Room'!$A$15+'Control Room'!$B$15,'Process'!BP4=1),1+('Control Room'!$C$15-1)*EXP(-0.5*(($A14-'Control Room'!$A$15-('Control Room'!$B$15-1)/2)/MAX(0.5,'Control Room'!$B$15/4))^2),1)*IF(AND($A14&gt;='Control Room'!$A$16,$A14&lt;'Control Room'!$A$16+'Control Room'!$B$16,'Process'!BP5=1),1+('Control Room'!$C$16-1)*EXP(-0.5*(($A14-'Control Room'!$A$16-('Control Room'!$B$16-1)/2)/MAX(0.5,'Control Room'!$B$16/4))^2),1)</x:f>
        <x:v>1</x:v>
      </x:c>
      <x:c r="AF14" s="9" t="n">
        <x:f>MOD(AG13*16807,2147483647)</x:f>
        <x:v>53562339</x:v>
      </x:c>
      <x:c r="AG14" s="9" t="n">
        <x:f>MOD(AF14*16807,2147483647)</x:f>
        <x:v>426583480</x:v>
      </x:c>
      <x:c r="AH14" s="17" t="n">
        <x:f>IF('Control Room'!$B$5="Normal",'Control Room'!$B$7+'Control Room'!$D$7*SQRT(-2*LN(MAX(0.000000000001,AF14/2147483647)))*COS(2*PI()*AG14/2147483647),'Control Room'!$B$8+('Control Room'!$D$8-'Control Room'!$B$8)*AF14/2147483647)</x:f>
        <x:v>1077.5451367084775</x:v>
      </x:c>
      <x:c r="AI14" s="17" t="n">
        <x:f>IF('Control Room'!$B$5="Normal",'Control Room'!$B$7,('Control Room'!$B$8+'Control Room'!$D$8)/2)+'Control Room'!$B$9*(AI13-IF('Control Room'!$B$5="Normal",'Control Room'!$B$7,('Control Room'!$B$8+'Control Room'!$D$8)/2))+SQRT(1-'Control Room'!$B$9^2)*(AH14-IF('Control Room'!$B$5="Normal",'Control Room'!$B$7,('Control Room'!$B$8+'Control Room'!$D$8)/2))</x:f>
        <x:v>1175.34035055013</x:v>
      </x:c>
      <x:c r="AJ14" s="17" t="n">
        <x:f>IF(AND($A14&gt;='Control Room'!$A$13,$A14&lt;'Control Room'!$A$13+'Control Room'!$B$13,'Process'!BQ2=1),1+('Control Room'!$C$13-1)*EXP(-0.5*(($A14-'Control Room'!$A$13-('Control Room'!$B$13-1)/2)/MAX(0.5,'Control Room'!$B$13/4))^2),1)*IF(AND($A14&gt;='Control Room'!$A$14,$A14&lt;'Control Room'!$A$14+'Control Room'!$B$14,'Process'!BQ3=1),1+('Control Room'!$C$14-1)*EXP(-0.5*(($A14-'Control Room'!$A$14-('Control Room'!$B$14-1)/2)/MAX(0.5,'Control Room'!$B$14/4))^2),1)*IF(AND($A14&gt;='Control Room'!$A$15,$A14&lt;'Control Room'!$A$15+'Control Room'!$B$15,'Process'!BQ4=1),1+('Control Room'!$C$15-1)*EXP(-0.5*(($A14-'Control Room'!$A$15-('Control Room'!$B$15-1)/2)/MAX(0.5,'Control Room'!$B$15/4))^2),1)*IF(AND($A14&gt;='Control Room'!$A$16,$A14&lt;'Control Room'!$A$16+'Control Room'!$B$16,'Process'!BQ5=1),1+('Control Room'!$C$16-1)*EXP(-0.5*(($A14-'Control Room'!$A$16-('Control Room'!$B$16-1)/2)/MAX(0.5,'Control Room'!$B$16/4))^2),1)</x:f>
        <x:v>1</x:v>
      </x:c>
      <x:c r="AK14" s="9" t="n">
        <x:f>MOD(AL13*16807,2147483647)</x:f>
        <x:v>509421733</x:v>
      </x:c>
      <x:c r="AL14" s="9" t="n">
        <x:f>MOD(AK14*16807,2147483647)</x:f>
        <x:v>1981249589</x:v>
      </x:c>
      <x:c r="AM14" s="17" t="n">
        <x:f>IF('Control Room'!$B$5="Normal",'Control Room'!$B$7+'Control Room'!$D$7*SQRT(-2*LN(MAX(0.000000000001,AK14/2147483647)))*COS(2*PI()*AL14/2147483647),'Control Room'!$B$8+('Control Room'!$D$8-'Control Room'!$B$8)*AK14/2147483647)</x:f>
        <x:v>1134.9655421367645</x:v>
      </x:c>
      <x:c r="AN14" s="17" t="n">
        <x:f>IF('Control Room'!$B$5="Normal",'Control Room'!$B$7,('Control Room'!$B$8+'Control Room'!$D$8)/2)+'Control Room'!$B$9*(AN13-IF('Control Room'!$B$5="Normal",'Control Room'!$B$7,('Control Room'!$B$8+'Control Room'!$D$8)/2))+SQRT(1-'Control Room'!$B$9^2)*(AM14-IF('Control Room'!$B$5="Normal",'Control Room'!$B$7,('Control Room'!$B$8+'Control Room'!$D$8)/2))</x:f>
        <x:v>1061.1076791813855</x:v>
      </x:c>
      <x:c r="AO14" s="17" t="n">
        <x:f>IF(AND($A14&gt;='Control Room'!$A$13,$A14&lt;'Control Room'!$A$13+'Control Room'!$B$13,'Process'!BR2=1),1+('Control Room'!$C$13-1)*EXP(-0.5*(($A14-'Control Room'!$A$13-('Control Room'!$B$13-1)/2)/MAX(0.5,'Control Room'!$B$13/4))^2),1)*IF(AND($A14&gt;='Control Room'!$A$14,$A14&lt;'Control Room'!$A$14+'Control Room'!$B$14,'Process'!BR3=1),1+('Control Room'!$C$14-1)*EXP(-0.5*(($A14-'Control Room'!$A$14-('Control Room'!$B$14-1)/2)/MAX(0.5,'Control Room'!$B$14/4))^2),1)*IF(AND($A14&gt;='Control Room'!$A$15,$A14&lt;'Control Room'!$A$15+'Control Room'!$B$15,'Process'!BR4=1),1+('Control Room'!$C$15-1)*EXP(-0.5*(($A14-'Control Room'!$A$15-('Control Room'!$B$15-1)/2)/MAX(0.5,'Control Room'!$B$15/4))^2),1)*IF(AND($A14&gt;='Control Room'!$A$16,$A14&lt;'Control Room'!$A$16+'Control Room'!$B$16,'Process'!BR5=1),1+('Control Room'!$C$16-1)*EXP(-0.5*(($A14-'Control Room'!$A$16-('Control Room'!$B$16-1)/2)/MAX(0.5,'Control Room'!$B$16/4))^2),1)</x:f>
        <x:v>1</x:v>
      </x:c>
      <x:c r="AP14" s="9" t="n">
        <x:f>MOD(AQ13*16807,2147483647)</x:f>
        <x:v>965281127</x:v>
      </x:c>
      <x:c r="AQ14" s="9" t="n">
        <x:f>MOD(AP14*16807,2147483647)</x:f>
        <x:v>1388432051</x:v>
      </x:c>
      <x:c r="AR14" s="17" t="n">
        <x:f>IF('Control Room'!$B$5="Normal",'Control Room'!$B$7+'Control Room'!$D$7*SQRT(-2*LN(MAX(0.000000000001,AP14/2147483647)))*COS(2*PI()*AQ14/2147483647),'Control Room'!$B$8+('Control Room'!$D$8-'Control Room'!$B$8)*AP14/2147483647)</x:f>
        <x:v>931.1143672200395</x:v>
      </x:c>
      <x:c r="AS14" s="17" t="n">
        <x:f>IF('Control Room'!$B$5="Normal",'Control Room'!$B$7,('Control Room'!$B$8+'Control Room'!$D$8)/2)+'Control Room'!$B$9*(AS13-IF('Control Room'!$B$5="Normal",'Control Room'!$B$7,('Control Room'!$B$8+'Control Room'!$D$8)/2))+SQRT(1-'Control Room'!$B$9^2)*(AR14-IF('Control Room'!$B$5="Normal",'Control Room'!$B$7,('Control Room'!$B$8+'Control Room'!$D$8)/2))</x:f>
        <x:v>1018.2585710053215</x:v>
      </x:c>
      <x:c r="AT14" s="17" t="n">
        <x:f>IF(AND($A14&gt;='Control Room'!$A$13,$A14&lt;'Control Room'!$A$13+'Control Room'!$B$13,'Process'!BS2=1),1+('Control Room'!$C$13-1)*EXP(-0.5*(($A14-'Control Room'!$A$13-('Control Room'!$B$13-1)/2)/MAX(0.5,'Control Room'!$B$13/4))^2),1)*IF(AND($A14&gt;='Control Room'!$A$14,$A14&lt;'Control Room'!$A$14+'Control Room'!$B$14,'Process'!BS3=1),1+('Control Room'!$C$14-1)*EXP(-0.5*(($A14-'Control Room'!$A$14-('Control Room'!$B$14-1)/2)/MAX(0.5,'Control Room'!$B$14/4))^2),1)*IF(AND($A14&gt;='Control Room'!$A$15,$A14&lt;'Control Room'!$A$15+'Control Room'!$B$15,'Process'!BS4=1),1+('Control Room'!$C$15-1)*EXP(-0.5*(($A14-'Control Room'!$A$15-('Control Room'!$B$15-1)/2)/MAX(0.5,'Control Room'!$B$15/4))^2),1)*IF(AND($A14&gt;='Control Room'!$A$16,$A14&lt;'Control Room'!$A$16+'Control Room'!$B$16,'Process'!BS5=1),1+('Control Room'!$C$16-1)*EXP(-0.5*(($A14-'Control Room'!$A$16-('Control Room'!$B$16-1)/2)/MAX(0.5,'Control Room'!$B$16/4))^2),1)</x:f>
        <x:v>1</x:v>
      </x:c>
      <x:c r="AU14" s="9" t="n">
        <x:f>MOD(AV13*16807,2147483647)</x:f>
        <x:v>1421140521</x:v>
      </x:c>
      <x:c r="AV14" s="9" t="n">
        <x:f>MOD(AU14*16807,2147483647)</x:f>
        <x:v>795614513</x:v>
      </x:c>
      <x:c r="AW14" s="17" t="n">
        <x:f>IF('Control Room'!$B$5="Normal",'Control Room'!$B$7+'Control Room'!$D$7*SQRT(-2*LN(MAX(0.000000000001,AU14/2147483647)))*COS(2*PI()*AV14/2147483647),'Control Room'!$B$8+('Control Room'!$D$8-'Control Room'!$B$8)*AU14/2147483647)</x:f>
        <x:v>943.8356646095248</x:v>
      </x:c>
      <x:c r="AX14" s="17" t="n">
        <x:f>IF('Control Room'!$B$5="Normal",'Control Room'!$B$7,('Control Room'!$B$8+'Control Room'!$D$8)/2)+'Control Room'!$B$9*(AX13-IF('Control Room'!$B$5="Normal",'Control Room'!$B$7,('Control Room'!$B$8+'Control Room'!$D$8)/2))+SQRT(1-'Control Room'!$B$9^2)*(AW14-IF('Control Room'!$B$5="Normal",'Control Room'!$B$7,('Control Room'!$B$8+'Control Room'!$D$8)/2))</x:f>
        <x:v>1124.7340285529158</x:v>
      </x:c>
      <x:c r="AY14" s="17" t="n">
        <x:f>IF(AND($A14&gt;='Control Room'!$A$13,$A14&lt;'Control Room'!$A$13+'Control Room'!$B$13,'Process'!BT2=1),1+('Control Room'!$C$13-1)*EXP(-0.5*(($A14-'Control Room'!$A$13-('Control Room'!$B$13-1)/2)/MAX(0.5,'Control Room'!$B$13/4))^2),1)*IF(AND($A14&gt;='Control Room'!$A$14,$A14&lt;'Control Room'!$A$14+'Control Room'!$B$14,'Process'!BT3=1),1+('Control Room'!$C$14-1)*EXP(-0.5*(($A14-'Control Room'!$A$14-('Control Room'!$B$14-1)/2)/MAX(0.5,'Control Room'!$B$14/4))^2),1)*IF(AND($A14&gt;='Control Room'!$A$15,$A14&lt;'Control Room'!$A$15+'Control Room'!$B$15,'Process'!BT4=1),1+('Control Room'!$C$15-1)*EXP(-0.5*(($A14-'Control Room'!$A$15-('Control Room'!$B$15-1)/2)/MAX(0.5,'Control Room'!$B$15/4))^2),1)*IF(AND($A14&gt;='Control Room'!$A$16,$A14&lt;'Control Room'!$A$16+'Control Room'!$B$16,'Process'!BT5=1),1+('Control Room'!$C$16-1)*EXP(-0.5*(($A14-'Control Room'!$A$16-('Control Room'!$B$16-1)/2)/MAX(0.5,'Control Room'!$B$16/4))^2),1)</x:f>
        <x:v>1</x:v>
      </x:c>
      <x:c r="AZ14" s="9" t="n">
        <x:f>MOD(BA13*16807,2147483647)</x:f>
        <x:v>1876999915</x:v>
      </x:c>
      <x:c r="BA14" s="9" t="n">
        <x:f>MOD(AZ14*16807,2147483647)</x:f>
        <x:v>202796975</x:v>
      </x:c>
      <x:c r="BB14" s="17" t="n">
        <x:f>IF('Control Room'!$B$5="Normal",'Control Room'!$B$7+'Control Room'!$D$7*SQRT(-2*LN(MAX(0.000000000001,AZ14/2147483647)))*COS(2*PI()*BA14/2147483647),'Control Room'!$B$8+('Control Room'!$D$8-'Control Room'!$B$8)*AZ14/2147483647)</x:f>
        <x:v>1038.7175394920525</x:v>
      </x:c>
      <x:c r="BC14" s="17" t="n">
        <x:f>IF('Control Room'!$B$5="Normal",'Control Room'!$B$7,('Control Room'!$B$8+'Control Room'!$D$8)/2)+'Control Room'!$B$9*(BC13-IF('Control Room'!$B$5="Normal",'Control Room'!$B$7,('Control Room'!$B$8+'Control Room'!$D$8)/2))+SQRT(1-'Control Room'!$B$9^2)*(BB14-IF('Control Room'!$B$5="Normal",'Control Room'!$B$7,('Control Room'!$B$8+'Control Room'!$D$8)/2))</x:f>
        <x:v>974.7617058385832</x:v>
      </x:c>
      <x:c r="BD14" s="17" t="n">
        <x:f>IF(AND($A14&gt;='Control Room'!$A$13,$A14&lt;'Control Room'!$A$13+'Control Room'!$B$13,'Process'!BU2=1),1+('Control Room'!$C$13-1)*EXP(-0.5*(($A14-'Control Room'!$A$13-('Control Room'!$B$13-1)/2)/MAX(0.5,'Control Room'!$B$13/4))^2),1)*IF(AND($A14&gt;='Control Room'!$A$14,$A14&lt;'Control Room'!$A$14+'Control Room'!$B$14,'Process'!BU3=1),1+('Control Room'!$C$14-1)*EXP(-0.5*(($A14-'Control Room'!$A$14-('Control Room'!$B$14-1)/2)/MAX(0.5,'Control Room'!$B$14/4))^2),1)*IF(AND($A14&gt;='Control Room'!$A$15,$A14&lt;'Control Room'!$A$15+'Control Room'!$B$15,'Process'!BU4=1),1+('Control Room'!$C$15-1)*EXP(-0.5*(($A14-'Control Room'!$A$15-('Control Room'!$B$15-1)/2)/MAX(0.5,'Control Room'!$B$15/4))^2),1)*IF(AND($A14&gt;='Control Room'!$A$16,$A14&lt;'Control Room'!$A$16+'Control Room'!$B$16,'Process'!BU5=1),1+('Control Room'!$C$16-1)*EXP(-0.5*(($A14-'Control Room'!$A$16-('Control Room'!$B$16-1)/2)/MAX(0.5,'Control Room'!$B$16/4))^2),1)</x:f>
        <x:v>1</x:v>
      </x:c>
      <x:c r="BE14" s="9" t="n">
        <x:f>MOD(BF13*16807,2147483647)</x:f>
        <x:v>185375662</x:v>
      </x:c>
      <x:c r="BF14" s="9" t="n">
        <x:f>MOD(BE14*16807,2147483647)</x:f>
        <x:v>1757463084</x:v>
      </x:c>
      <x:c r="BG14" s="17" t="n">
        <x:f>IF('Control Room'!$B$5="Normal",'Control Room'!$B$7+'Control Room'!$D$7*SQRT(-2*LN(MAX(0.000000000001,BE14/2147483647)))*COS(2*PI()*BF14/2147483647),'Control Room'!$B$8+('Control Room'!$D$8-'Control Room'!$B$8)*BE14/2147483647)</x:f>
        <x:v>1082.9832649326017</x:v>
      </x:c>
      <x:c r="BH14" s="17" t="n">
        <x:f>IF('Control Room'!$B$5="Normal",'Control Room'!$B$7,('Control Room'!$B$8+'Control Room'!$D$8)/2)+'Control Room'!$B$9*(BH13-IF('Control Room'!$B$5="Normal",'Control Room'!$B$7,('Control Room'!$B$8+'Control Room'!$D$8)/2))+SQRT(1-'Control Room'!$B$9^2)*(BG14-IF('Control Room'!$B$5="Normal",'Control Room'!$B$7,('Control Room'!$B$8+'Control Room'!$D$8)/2))</x:f>
        <x:v>1137.925482863397</x:v>
      </x:c>
      <x:c r="BI14" s="17" t="n">
        <x:f>IF(AND($A14&gt;='Control Room'!$A$13,$A14&lt;'Control Room'!$A$13+'Control Room'!$B$13,'Process'!BV2=1),1+('Control Room'!$C$13-1)*EXP(-0.5*(($A14-'Control Room'!$A$13-('Control Room'!$B$13-1)/2)/MAX(0.5,'Control Room'!$B$13/4))^2),1)*IF(AND($A14&gt;='Control Room'!$A$14,$A14&lt;'Control Room'!$A$14+'Control Room'!$B$14,'Process'!BV3=1),1+('Control Room'!$C$14-1)*EXP(-0.5*(($A14-'Control Room'!$A$14-('Control Room'!$B$14-1)/2)/MAX(0.5,'Control Room'!$B$14/4))^2),1)*IF(AND($A14&gt;='Control Room'!$A$15,$A14&lt;'Control Room'!$A$15+'Control Room'!$B$15,'Process'!BV4=1),1+('Control Room'!$C$15-1)*EXP(-0.5*(($A14-'Control Room'!$A$15-('Control Room'!$B$15-1)/2)/MAX(0.5,'Control Room'!$B$15/4))^2),1)*IF(AND($A14&gt;='Control Room'!$A$16,$A14&lt;'Control Room'!$A$16+'Control Room'!$B$16,'Process'!BV5=1),1+('Control Room'!$C$16-1)*EXP(-0.5*(($A14-'Control Room'!$A$16-('Control Room'!$B$16-1)/2)/MAX(0.5,'Control Room'!$B$16/4))^2),1)</x:f>
        <x:v>1</x:v>
      </x:c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 t="str">
        <x:f>IF('Control Room'!F8&gt;'Control Room'!$B$2,"Inactive",IF(OR(TRIM('Control Room'!G8)="",'Control Room'!G8&lt;&gt;TRIM('Control Room'!G8),LEN('Control Room'!G8)&gt;80,LOWER('Control Room'!G8)="total",COUNTIFS('Control Room'!$G$4:$G$15,'Control Room'!G8,'Control Room'!$F$4:$F$15,"&lt;="&amp;'Control Room'!$B$2)&gt;1),"Invalid name","Active"))</x:f>
        <x:v>Inactive</x:v>
      </x:c>
      <x:c r="BZ14" t="str">
        <x:f>IF('Data'!A14="","",TEXT('Data'!A14,"mm-dd"))</x:f>
        <x:v>11-14</x:v>
      </x:c>
    </x:row>
    <x:row r="15" ht="21" customHeight="1">
      <x:c r="A15" s="15" t="n">
        <x:f>'Control Room'!$B$1+13</x:f>
        <x:v>73004</x:v>
      </x:c>
      <x:c r="B15" s="9" t="n">
        <x:f>MOD(C14*16807,2147483647)</x:f>
        <x:v>544536484</x:v>
      </x:c>
      <x:c r="C15" s="9" t="n">
        <x:f>MOD(B15*16807,2147483647)</x:f>
        <x:v>1596866721</x:v>
      </x:c>
      <x:c r="D15" s="17" t="n">
        <x:f>IF('Control Room'!$B$5="Normal",'Control Room'!$B$7+'Control Room'!$D$7*SQRT(-2*LN(MAX(0.000000000001,B15/2147483647)))*COS(2*PI()*C15/2147483647),'Control Room'!$B$8+('Control Room'!$D$8-'Control Room'!$B$8)*B15/2147483647)</x:f>
        <x:v>994.0053642392454</x:v>
      </x:c>
      <x:c r="E15" s="17" t="n">
        <x:f>IF('Control Room'!$B$5="Normal",'Control Room'!$B$7,('Control Room'!$B$8+'Control Room'!$D$8)/2)+'Control Room'!$B$9*(E14-IF('Control Room'!$B$5="Normal",'Control Room'!$B$7,('Control Room'!$B$8+'Control Room'!$D$8)/2))+SQRT(1-'Control Room'!$B$9^2)*(D15-IF('Control Room'!$B$5="Normal",'Control Room'!$B$7,('Control Room'!$B$8+'Control Room'!$D$8)/2))</x:f>
        <x:v>1058.9020264811643</x:v>
      </x:c>
      <x:c r="F15" s="17" t="n">
        <x:f>IF(AND($A15&gt;='Control Room'!$A$13,$A15&lt;'Control Room'!$A$13+'Control Room'!$B$13,'Process'!BK2=1),1+('Control Room'!$C$13-1)*EXP(-0.5*(($A15-'Control Room'!$A$13-('Control Room'!$B$13-1)/2)/MAX(0.5,'Control Room'!$B$13/4))^2),1)*IF(AND($A15&gt;='Control Room'!$A$14,$A15&lt;'Control Room'!$A$14+'Control Room'!$B$14,'Process'!BK3=1),1+('Control Room'!$C$14-1)*EXP(-0.5*(($A15-'Control Room'!$A$14-('Control Room'!$B$14-1)/2)/MAX(0.5,'Control Room'!$B$14/4))^2),1)*IF(AND($A15&gt;='Control Room'!$A$15,$A15&lt;'Control Room'!$A$15+'Control Room'!$B$15,'Process'!BK4=1),1+('Control Room'!$C$15-1)*EXP(-0.5*(($A15-'Control Room'!$A$15-('Control Room'!$B$15-1)/2)/MAX(0.5,'Control Room'!$B$15/4))^2),1)*IF(AND($A15&gt;='Control Room'!$A$16,$A15&lt;'Control Room'!$A$16+'Control Room'!$B$16,'Process'!BK5=1),1+('Control Room'!$C$16-1)*EXP(-0.5*(($A15-'Control Room'!$A$16-('Control Room'!$B$16-1)/2)/MAX(0.5,'Control Room'!$B$16/4))^2),1)</x:f>
        <x:v>1</x:v>
      </x:c>
      <x:c r="G15" s="9" t="n">
        <x:f>MOD(H14*16807,2147483647)</x:f>
        <x:v>1384297398</x:v>
      </x:c>
      <x:c r="H15" s="9" t="n">
        <x:f>MOD(G15*16807,2147483647)</x:f>
        <x:v>48536588</x:v>
      </x:c>
      <x:c r="I15" s="17" t="n">
        <x:f>IF('Control Room'!$B$5="Normal",'Control Room'!$B$7+'Control Room'!$D$7*SQRT(-2*LN(MAX(0.000000000001,G15/2147483647)))*COS(2*PI()*H15/2147483647),'Control Room'!$B$8+('Control Room'!$D$8-'Control Room'!$B$8)*G15/2147483647)</x:f>
        <x:v>1083.4924579110964</x:v>
      </x:c>
      <x:c r="J15" s="17" t="n">
        <x:f>IF('Control Room'!$B$5="Normal",'Control Room'!$B$7,('Control Room'!$B$8+'Control Room'!$D$8)/2)+'Control Room'!$B$9*(J14-IF('Control Room'!$B$5="Normal",'Control Room'!$B$7,('Control Room'!$B$8+'Control Room'!$D$8)/2))+SQRT(1-'Control Room'!$B$9^2)*(I15-IF('Control Room'!$B$5="Normal",'Control Room'!$B$7,('Control Room'!$B$8+'Control Room'!$D$8)/2))</x:f>
        <x:v>1048.5573978791617</x:v>
      </x:c>
      <x:c r="K15" s="17" t="n">
        <x:f>IF(AND($A15&gt;='Control Room'!$A$13,$A15&lt;'Control Room'!$A$13+'Control Room'!$B$13,'Process'!BL2=1),1+('Control Room'!$C$13-1)*EXP(-0.5*(($A15-'Control Room'!$A$13-('Control Room'!$B$13-1)/2)/MAX(0.5,'Control Room'!$B$13/4))^2),1)*IF(AND($A15&gt;='Control Room'!$A$14,$A15&lt;'Control Room'!$A$14+'Control Room'!$B$14,'Process'!BL3=1),1+('Control Room'!$C$14-1)*EXP(-0.5*(($A15-'Control Room'!$A$14-('Control Room'!$B$14-1)/2)/MAX(0.5,'Control Room'!$B$14/4))^2),1)*IF(AND($A15&gt;='Control Room'!$A$15,$A15&lt;'Control Room'!$A$15+'Control Room'!$B$15,'Process'!BL4=1),1+('Control Room'!$C$15-1)*EXP(-0.5*(($A15-'Control Room'!$A$15-('Control Room'!$B$15-1)/2)/MAX(0.5,'Control Room'!$B$15/4))^2),1)*IF(AND($A15&gt;='Control Room'!$A$16,$A15&lt;'Control Room'!$A$16+'Control Room'!$B$16,'Process'!BL5=1),1+('Control Room'!$C$16-1)*EXP(-0.5*(($A15-'Control Room'!$A$16-('Control Room'!$B$16-1)/2)/MAX(0.5,'Control Room'!$B$16/4))^2),1)</x:f>
        <x:v>1</x:v>
      </x:c>
      <x:c r="L15" s="9" t="n">
        <x:f>MOD(M14*16807,2147483647)</x:f>
        <x:v>76574665</x:v>
      </x:c>
      <x:c r="M15" s="9" t="n">
        <x:f>MOD(L15*16807,2147483647)</x:f>
        <x:v>647690102</x:v>
      </x:c>
      <x:c r="N15" s="17" t="n">
        <x:f>IF('Control Room'!$B$5="Normal",'Control Room'!$B$7+'Control Room'!$D$7*SQRT(-2*LN(MAX(0.000000000001,L15/2147483647)))*COS(2*PI()*M15/2147483647),'Control Room'!$B$8+('Control Room'!$D$8-'Control Room'!$B$8)*L15/2147483647)</x:f>
        <x:v>925.9619691754507</x:v>
      </x:c>
      <x:c r="O15" s="17" t="n">
        <x:f>IF('Control Room'!$B$5="Normal",'Control Room'!$B$7,('Control Room'!$B$8+'Control Room'!$D$8)/2)+'Control Room'!$B$9*(O14-IF('Control Room'!$B$5="Normal",'Control Room'!$B$7,('Control Room'!$B$8+'Control Room'!$D$8)/2))+SQRT(1-'Control Room'!$B$9^2)*(N15-IF('Control Room'!$B$5="Normal",'Control Room'!$B$7,('Control Room'!$B$8+'Control Room'!$D$8)/2))</x:f>
        <x:v>1014.1530496163177</x:v>
      </x:c>
      <x:c r="P15" s="17" t="n">
        <x:f>IF(AND($A15&gt;='Control Room'!$A$13,$A15&lt;'Control Room'!$A$13+'Control Room'!$B$13,'Process'!BM2=1),1+('Control Room'!$C$13-1)*EXP(-0.5*(($A15-'Control Room'!$A$13-('Control Room'!$B$13-1)/2)/MAX(0.5,'Control Room'!$B$13/4))^2),1)*IF(AND($A15&gt;='Control Room'!$A$14,$A15&lt;'Control Room'!$A$14+'Control Room'!$B$14,'Process'!BM3=1),1+('Control Room'!$C$14-1)*EXP(-0.5*(($A15-'Control Room'!$A$14-('Control Room'!$B$14-1)/2)/MAX(0.5,'Control Room'!$B$14/4))^2),1)*IF(AND($A15&gt;='Control Room'!$A$15,$A15&lt;'Control Room'!$A$15+'Control Room'!$B$15,'Process'!BM4=1),1+('Control Room'!$C$15-1)*EXP(-0.5*(($A15-'Control Room'!$A$15-('Control Room'!$B$15-1)/2)/MAX(0.5,'Control Room'!$B$15/4))^2),1)*IF(AND($A15&gt;='Control Room'!$A$16,$A15&lt;'Control Room'!$A$16+'Control Room'!$B$16,'Process'!BM5=1),1+('Control Room'!$C$16-1)*EXP(-0.5*(($A15-'Control Room'!$A$16-('Control Room'!$B$16-1)/2)/MAX(0.5,'Control Room'!$B$16/4))^2),1)</x:f>
        <x:v>1</x:v>
      </x:c>
      <x:c r="Q15" s="9" t="n">
        <x:f>MOD(R14*16807,2147483647)</x:f>
        <x:v>916335579</x:v>
      </x:c>
      <x:c r="R15" s="9" t="n">
        <x:f>MOD(Q15*16807,2147483647)</x:f>
        <x:v>1246843616</x:v>
      </x:c>
      <x:c r="S15" s="17" t="n">
        <x:f>IF('Control Room'!$B$5="Normal",'Control Room'!$B$7+'Control Room'!$D$7*SQRT(-2*LN(MAX(0.000000000001,Q15/2147483647)))*COS(2*PI()*R15/2147483647),'Control Room'!$B$8+('Control Room'!$D$8-'Control Room'!$B$8)*Q15/2147483647)</x:f>
        <x:v>897.2847945485302</x:v>
      </x:c>
      <x:c r="T15" s="17" t="n">
        <x:f>IF('Control Room'!$B$5="Normal",'Control Room'!$B$7,('Control Room'!$B$8+'Control Room'!$D$8)/2)+'Control Room'!$B$9*(T14-IF('Control Room'!$B$5="Normal",'Control Room'!$B$7,('Control Room'!$B$8+'Control Room'!$D$8)/2))+SQRT(1-'Control Room'!$B$9^2)*(S15-IF('Control Room'!$B$5="Normal",'Control Room'!$B$7,('Control Room'!$B$8+'Control Room'!$D$8)/2))</x:f>
        <x:v>1124.2716449774598</x:v>
      </x:c>
      <x:c r="U15" s="17" t="n">
        <x:f>IF(AND($A15&gt;='Control Room'!$A$13,$A15&lt;'Control Room'!$A$13+'Control Room'!$B$13,'Process'!BN2=1),1+('Control Room'!$C$13-1)*EXP(-0.5*(($A15-'Control Room'!$A$13-('Control Room'!$B$13-1)/2)/MAX(0.5,'Control Room'!$B$13/4))^2),1)*IF(AND($A15&gt;='Control Room'!$A$14,$A15&lt;'Control Room'!$A$14+'Control Room'!$B$14,'Process'!BN3=1),1+('Control Room'!$C$14-1)*EXP(-0.5*(($A15-'Control Room'!$A$14-('Control Room'!$B$14-1)/2)/MAX(0.5,'Control Room'!$B$14/4))^2),1)*IF(AND($A15&gt;='Control Room'!$A$15,$A15&lt;'Control Room'!$A$15+'Control Room'!$B$15,'Process'!BN4=1),1+('Control Room'!$C$15-1)*EXP(-0.5*(($A15-'Control Room'!$A$15-('Control Room'!$B$15-1)/2)/MAX(0.5,'Control Room'!$B$15/4))^2),1)*IF(AND($A15&gt;='Control Room'!$A$16,$A15&lt;'Control Room'!$A$16+'Control Room'!$B$16,'Process'!BN5=1),1+('Control Room'!$C$16-1)*EXP(-0.5*(($A15-'Control Room'!$A$16-('Control Room'!$B$16-1)/2)/MAX(0.5,'Control Room'!$B$16/4))^2),1)</x:f>
        <x:v>1</x:v>
      </x:c>
      <x:c r="V15" s="9" t="n">
        <x:f>MOD(W14*16807,2147483647)</x:f>
        <x:v>1756096493</x:v>
      </x:c>
      <x:c r="W15" s="9" t="n">
        <x:f>MOD(V15*16807,2147483647)</x:f>
        <x:v>1845997130</x:v>
      </x:c>
      <x:c r="X15" s="17" t="n">
        <x:f>IF('Control Room'!$B$5="Normal",'Control Room'!$B$7+'Control Room'!$D$7*SQRT(-2*LN(MAX(0.000000000001,V15/2147483647)))*COS(2*PI()*W15/2147483647),'Control Room'!$B$8+('Control Room'!$D$8-'Control Room'!$B$8)*V15/2147483647)</x:f>
        <x:v>1036.2837245848834</x:v>
      </x:c>
      <x:c r="Y15" s="17" t="n">
        <x:f>IF('Control Room'!$B$5="Normal",'Control Room'!$B$7,('Control Room'!$B$8+'Control Room'!$D$8)/2)+'Control Room'!$B$9*(Y14-IF('Control Room'!$B$5="Normal",'Control Room'!$B$7,('Control Room'!$B$8+'Control Room'!$D$8)/2))+SQRT(1-'Control Room'!$B$9^2)*(X15-IF('Control Room'!$B$5="Normal",'Control Room'!$B$7,('Control Room'!$B$8+'Control Room'!$D$8)/2))</x:f>
        <x:v>948.7361661960796</x:v>
      </x:c>
      <x:c r="Z15" s="17" t="n">
        <x:f>IF(AND($A15&gt;='Control Room'!$A$13,$A15&lt;'Control Room'!$A$13+'Control Room'!$B$13,'Process'!BO2=1),1+('Control Room'!$C$13-1)*EXP(-0.5*(($A15-'Control Room'!$A$13-('Control Room'!$B$13-1)/2)/MAX(0.5,'Control Room'!$B$13/4))^2),1)*IF(AND($A15&gt;='Control Room'!$A$14,$A15&lt;'Control Room'!$A$14+'Control Room'!$B$14,'Process'!BO3=1),1+('Control Room'!$C$14-1)*EXP(-0.5*(($A15-'Control Room'!$A$14-('Control Room'!$B$14-1)/2)/MAX(0.5,'Control Room'!$B$14/4))^2),1)*IF(AND($A15&gt;='Control Room'!$A$15,$A15&lt;'Control Room'!$A$15+'Control Room'!$B$15,'Process'!BO4=1),1+('Control Room'!$C$15-1)*EXP(-0.5*(($A15-'Control Room'!$A$15-('Control Room'!$B$15-1)/2)/MAX(0.5,'Control Room'!$B$15/4))^2),1)*IF(AND($A15&gt;='Control Room'!$A$16,$A15&lt;'Control Room'!$A$16+'Control Room'!$B$16,'Process'!BO5=1),1+('Control Room'!$C$16-1)*EXP(-0.5*(($A15-'Control Room'!$A$16-('Control Room'!$B$16-1)/2)/MAX(0.5,'Control Room'!$B$16/4))^2),1)</x:f>
        <x:v>1</x:v>
      </x:c>
      <x:c r="AA15" s="9" t="n">
        <x:f>MOD(AB14*16807,2147483647)</x:f>
        <x:v>448373760</x:v>
      </x:c>
      <x:c r="AB15" s="9" t="n">
        <x:f>MOD(AA15*16807,2147483647)</x:f>
        <x:v>297666997</x:v>
      </x:c>
      <x:c r="AC15" s="17" t="n">
        <x:f>IF('Control Room'!$B$5="Normal",'Control Room'!$B$7+'Control Room'!$D$7*SQRT(-2*LN(MAX(0.000000000001,AA15/2147483647)))*COS(2*PI()*AB15/2147483647),'Control Room'!$B$8+('Control Room'!$D$8-'Control Room'!$B$8)*AA15/2147483647)</x:f>
        <x:v>1102.6073928057926</x:v>
      </x:c>
      <x:c r="AD15" s="17" t="n">
        <x:f>IF('Control Room'!$B$5="Normal",'Control Room'!$B$7,('Control Room'!$B$8+'Control Room'!$D$8)/2)+'Control Room'!$B$9*(AD14-IF('Control Room'!$B$5="Normal",'Control Room'!$B$7,('Control Room'!$B$8+'Control Room'!$D$8)/2))+SQRT(1-'Control Room'!$B$9^2)*(AC15-IF('Control Room'!$B$5="Normal",'Control Room'!$B$7,('Control Room'!$B$8+'Control Room'!$D$8)/2))</x:f>
        <x:v>1056.533222558123</x:v>
      </x:c>
      <x:c r="AE15" s="17" t="n">
        <x:f>IF(AND($A15&gt;='Control Room'!$A$13,$A15&lt;'Control Room'!$A$13+'Control Room'!$B$13,'Process'!BP2=1),1+('Control Room'!$C$13-1)*EXP(-0.5*(($A15-'Control Room'!$A$13-('Control Room'!$B$13-1)/2)/MAX(0.5,'Control Room'!$B$13/4))^2),1)*IF(AND($A15&gt;='Control Room'!$A$14,$A15&lt;'Control Room'!$A$14+'Control Room'!$B$14,'Process'!BP3=1),1+('Control Room'!$C$14-1)*EXP(-0.5*(($A15-'Control Room'!$A$14-('Control Room'!$B$14-1)/2)/MAX(0.5,'Control Room'!$B$14/4))^2),1)*IF(AND($A15&gt;='Control Room'!$A$15,$A15&lt;'Control Room'!$A$15+'Control Room'!$B$15,'Process'!BP4=1),1+('Control Room'!$C$15-1)*EXP(-0.5*(($A15-'Control Room'!$A$15-('Control Room'!$B$15-1)/2)/MAX(0.5,'Control Room'!$B$15/4))^2),1)*IF(AND($A15&gt;='Control Room'!$A$16,$A15&lt;'Control Room'!$A$16+'Control Room'!$B$16,'Process'!BP5=1),1+('Control Room'!$C$16-1)*EXP(-0.5*(($A15-'Control Room'!$A$16-('Control Room'!$B$16-1)/2)/MAX(0.5,'Control Room'!$B$16/4))^2),1)</x:f>
        <x:v>1</x:v>
      </x:c>
      <x:c r="AF15" s="9" t="n">
        <x:f>MOD(AG14*16807,2147483647)</x:f>
        <x:v>1288134674</x:v>
      </x:c>
      <x:c r="AG15" s="9" t="n">
        <x:f>MOD(AF15*16807,2147483647)</x:f>
        <x:v>896820511</x:v>
      </x:c>
      <x:c r="AH15" s="17" t="n">
        <x:f>IF('Control Room'!$B$5="Normal",'Control Room'!$B$7+'Control Room'!$D$7*SQRT(-2*LN(MAX(0.000000000001,AF15/2147483647)))*COS(2*PI()*AG15/2147483647),'Control Room'!$B$8+('Control Room'!$D$8-'Control Room'!$B$8)*AF15/2147483647)</x:f>
        <x:v>920.9276018797729</x:v>
      </x:c>
      <x:c r="AI15" s="17" t="n">
        <x:f>IF('Control Room'!$B$5="Normal",'Control Room'!$B$7,('Control Room'!$B$8+'Control Room'!$D$8)/2)+'Control Room'!$B$9*(AI14-IF('Control Room'!$B$5="Normal",'Control Room'!$B$7,('Control Room'!$B$8+'Control Room'!$D$8)/2))+SQRT(1-'Control Room'!$B$9^2)*(AH15-IF('Control Room'!$B$5="Normal",'Control Room'!$B$7,('Control Room'!$B$8+'Control Room'!$D$8)/2))</x:f>
        <x:v>1087.2835865715876</x:v>
      </x:c>
      <x:c r="AJ15" s="17" t="n">
        <x:f>IF(AND($A15&gt;='Control Room'!$A$13,$A15&lt;'Control Room'!$A$13+'Control Room'!$B$13,'Process'!BQ2=1),1+('Control Room'!$C$13-1)*EXP(-0.5*(($A15-'Control Room'!$A$13-('Control Room'!$B$13-1)/2)/MAX(0.5,'Control Room'!$B$13/4))^2),1)*IF(AND($A15&gt;='Control Room'!$A$14,$A15&lt;'Control Room'!$A$14+'Control Room'!$B$14,'Process'!BQ3=1),1+('Control Room'!$C$14-1)*EXP(-0.5*(($A15-'Control Room'!$A$14-('Control Room'!$B$14-1)/2)/MAX(0.5,'Control Room'!$B$14/4))^2),1)*IF(AND($A15&gt;='Control Room'!$A$15,$A15&lt;'Control Room'!$A$15+'Control Room'!$B$15,'Process'!BQ4=1),1+('Control Room'!$C$15-1)*EXP(-0.5*(($A15-'Control Room'!$A$15-('Control Room'!$B$15-1)/2)/MAX(0.5,'Control Room'!$B$15/4))^2),1)*IF(AND($A15&gt;='Control Room'!$A$16,$A15&lt;'Control Room'!$A$16+'Control Room'!$B$16,'Process'!BQ5=1),1+('Control Room'!$C$16-1)*EXP(-0.5*(($A15-'Control Room'!$A$16-('Control Room'!$B$16-1)/2)/MAX(0.5,'Control Room'!$B$16/4))^2),1)</x:f>
        <x:v>1</x:v>
      </x:c>
      <x:c r="AK15" s="9" t="n">
        <x:f>MOD(AL14*16807,2147483647)</x:f>
        <x:v>2127895588</x:v>
      </x:c>
      <x:c r="AL15" s="9" t="n">
        <x:f>MOD(AK15*16807,2147483647)</x:f>
        <x:v>1495974025</x:v>
      </x:c>
      <x:c r="AM15" s="17" t="n">
        <x:f>IF('Control Room'!$B$5="Normal",'Control Room'!$B$7+'Control Room'!$D$7*SQRT(-2*LN(MAX(0.000000000001,AK15/2147483647)))*COS(2*PI()*AL15/2147483647),'Control Room'!$B$8+('Control Room'!$D$8-'Control Room'!$B$8)*AK15/2147483647)</x:f>
        <x:v>995.9895811698846</x:v>
      </x:c>
      <x:c r="AN15" s="17" t="n">
        <x:f>IF('Control Room'!$B$5="Normal",'Control Room'!$B$7,('Control Room'!$B$8+'Control Room'!$D$8)/2)+'Control Room'!$B$9*(AN14-IF('Control Room'!$B$5="Normal",'Control Room'!$B$7,('Control Room'!$B$8+'Control Room'!$D$8)/2))+SQRT(1-'Control Room'!$B$9^2)*(AM15-IF('Control Room'!$B$5="Normal",'Control Room'!$B$7,('Control Room'!$B$8+'Control Room'!$D$8)/2))</x:f>
        <x:v>1045.15435181549</x:v>
      </x:c>
      <x:c r="AO15" s="17" t="n">
        <x:f>IF(AND($A15&gt;='Control Room'!$A$13,$A15&lt;'Control Room'!$A$13+'Control Room'!$B$13,'Process'!BR2=1),1+('Control Room'!$C$13-1)*EXP(-0.5*(($A15-'Control Room'!$A$13-('Control Room'!$B$13-1)/2)/MAX(0.5,'Control Room'!$B$13/4))^2),1)*IF(AND($A15&gt;='Control Room'!$A$14,$A15&lt;'Control Room'!$A$14+'Control Room'!$B$14,'Process'!BR3=1),1+('Control Room'!$C$14-1)*EXP(-0.5*(($A15-'Control Room'!$A$14-('Control Room'!$B$14-1)/2)/MAX(0.5,'Control Room'!$B$14/4))^2),1)*IF(AND($A15&gt;='Control Room'!$A$15,$A15&lt;'Control Room'!$A$15+'Control Room'!$B$15,'Process'!BR4=1),1+('Control Room'!$C$15-1)*EXP(-0.5*(($A15-'Control Room'!$A$15-('Control Room'!$B$15-1)/2)/MAX(0.5,'Control Room'!$B$15/4))^2),1)*IF(AND($A15&gt;='Control Room'!$A$16,$A15&lt;'Control Room'!$A$16+'Control Room'!$B$16,'Process'!BR5=1),1+('Control Room'!$C$16-1)*EXP(-0.5*(($A15-'Control Room'!$A$16-('Control Room'!$B$16-1)/2)/MAX(0.5,'Control Room'!$B$16/4))^2),1)</x:f>
        <x:v>1</x:v>
      </x:c>
      <x:c r="AP15" s="9" t="n">
        <x:f>MOD(AQ14*16807,2147483647)</x:f>
        <x:v>820172855</x:v>
      </x:c>
      <x:c r="AQ15" s="9" t="n">
        <x:f>MOD(AP15*16807,2147483647)</x:f>
        <x:v>2095127539</x:v>
      </x:c>
      <x:c r="AR15" s="17" t="n">
        <x:f>IF('Control Room'!$B$5="Normal",'Control Room'!$B$7+'Control Room'!$D$7*SQRT(-2*LN(MAX(0.000000000001,AP15/2147483647)))*COS(2*PI()*AQ15/2147483647),'Control Room'!$B$8+('Control Room'!$D$8-'Control Room'!$B$8)*AP15/2147483647)</x:f>
        <x:v>1123.4100777697647</x:v>
      </x:c>
      <x:c r="AS15" s="17" t="n">
        <x:f>IF('Control Room'!$B$5="Normal",'Control Room'!$B$7,('Control Room'!$B$8+'Control Room'!$D$8)/2)+'Control Room'!$B$9*(AS14-IF('Control Room'!$B$5="Normal",'Control Room'!$B$7,('Control Room'!$B$8+'Control Room'!$D$8)/2))+SQRT(1-'Control Room'!$B$9^2)*(AR15-IF('Control Room'!$B$5="Normal",'Control Room'!$B$7,('Control Room'!$B$8+'Control Room'!$D$8)/2))</x:f>
        <x:v>1091.4691838596068</x:v>
      </x:c>
      <x:c r="AT15" s="17" t="n">
        <x:f>IF(AND($A15&gt;='Control Room'!$A$13,$A15&lt;'Control Room'!$A$13+'Control Room'!$B$13,'Process'!BS2=1),1+('Control Room'!$C$13-1)*EXP(-0.5*(($A15-'Control Room'!$A$13-('Control Room'!$B$13-1)/2)/MAX(0.5,'Control Room'!$B$13/4))^2),1)*IF(AND($A15&gt;='Control Room'!$A$14,$A15&lt;'Control Room'!$A$14+'Control Room'!$B$14,'Process'!BS3=1),1+('Control Room'!$C$14-1)*EXP(-0.5*(($A15-'Control Room'!$A$14-('Control Room'!$B$14-1)/2)/MAX(0.5,'Control Room'!$B$14/4))^2),1)*IF(AND($A15&gt;='Control Room'!$A$15,$A15&lt;'Control Room'!$A$15+'Control Room'!$B$15,'Process'!BS4=1),1+('Control Room'!$C$15-1)*EXP(-0.5*(($A15-'Control Room'!$A$15-('Control Room'!$B$15-1)/2)/MAX(0.5,'Control Room'!$B$15/4))^2),1)*IF(AND($A15&gt;='Control Room'!$A$16,$A15&lt;'Control Room'!$A$16+'Control Room'!$B$16,'Process'!BS5=1),1+('Control Room'!$C$16-1)*EXP(-0.5*(($A15-'Control Room'!$A$16-('Control Room'!$B$16-1)/2)/MAX(0.5,'Control Room'!$B$16/4))^2),1)</x:f>
        <x:v>1</x:v>
      </x:c>
      <x:c r="AU15" s="9" t="n">
        <x:f>MOD(AV14*16807,2147483647)</x:f>
        <x:v>1659933769</x:v>
      </x:c>
      <x:c r="AV15" s="9" t="n">
        <x:f>MOD(AU15*16807,2147483647)</x:f>
        <x:v>546797406</x:v>
      </x:c>
      <x:c r="AW15" s="17" t="n">
        <x:f>IF('Control Room'!$B$5="Normal",'Control Room'!$B$7+'Control Room'!$D$7*SQRT(-2*LN(MAX(0.000000000001,AU15/2147483647)))*COS(2*PI()*AV15/2147483647),'Control Room'!$B$8+('Control Room'!$D$8-'Control Room'!$B$8)*AU15/2147483647)</x:f>
        <x:v>998.1243705865535</x:v>
      </x:c>
      <x:c r="AX15" s="17" t="n">
        <x:f>IF('Control Room'!$B$5="Normal",'Control Room'!$B$7,('Control Room'!$B$8+'Control Room'!$D$8)/2)+'Control Room'!$B$9*(AX14-IF('Control Room'!$B$5="Normal",'Control Room'!$B$7,('Control Room'!$B$8+'Control Room'!$D$8)/2))+SQRT(1-'Control Room'!$B$9^2)*(AW15-IF('Control Room'!$B$5="Normal",'Control Room'!$B$7,('Control Room'!$B$8+'Control Room'!$D$8)/2))</x:f>
        <x:v>1096.1188118086964</x:v>
      </x:c>
      <x:c r="AY15" s="17" t="n">
        <x:f>IF(AND($A15&gt;='Control Room'!$A$13,$A15&lt;'Control Room'!$A$13+'Control Room'!$B$13,'Process'!BT2=1),1+('Control Room'!$C$13-1)*EXP(-0.5*(($A15-'Control Room'!$A$13-('Control Room'!$B$13-1)/2)/MAX(0.5,'Control Room'!$B$13/4))^2),1)*IF(AND($A15&gt;='Control Room'!$A$14,$A15&lt;'Control Room'!$A$14+'Control Room'!$B$14,'Process'!BT3=1),1+('Control Room'!$C$14-1)*EXP(-0.5*(($A15-'Control Room'!$A$14-('Control Room'!$B$14-1)/2)/MAX(0.5,'Control Room'!$B$14/4))^2),1)*IF(AND($A15&gt;='Control Room'!$A$15,$A15&lt;'Control Room'!$A$15+'Control Room'!$B$15,'Process'!BT4=1),1+('Control Room'!$C$15-1)*EXP(-0.5*(($A15-'Control Room'!$A$15-('Control Room'!$B$15-1)/2)/MAX(0.5,'Control Room'!$B$15/4))^2),1)*IF(AND($A15&gt;='Control Room'!$A$16,$A15&lt;'Control Room'!$A$16+'Control Room'!$B$16,'Process'!BT5=1),1+('Control Room'!$C$16-1)*EXP(-0.5*(($A15-'Control Room'!$A$16-('Control Room'!$B$16-1)/2)/MAX(0.5,'Control Room'!$B$16/4))^2),1)</x:f>
        <x:v>1</x:v>
      </x:c>
      <x:c r="AZ15" s="9" t="n">
        <x:f>MOD(BA14*16807,2147483647)</x:f>
        <x:v>352211036</x:v>
      </x:c>
      <x:c r="BA15" s="9" t="n">
        <x:f>MOD(AZ15*16807,2147483647)</x:f>
        <x:v>1145950920</x:v>
      </x:c>
      <x:c r="BB15" s="17" t="n">
        <x:f>IF('Control Room'!$B$5="Normal",'Control Room'!$B$7+'Control Room'!$D$7*SQRT(-2*LN(MAX(0.000000000001,AZ15/2147483647)))*COS(2*PI()*BA15/2147483647),'Control Room'!$B$8+('Control Room'!$D$8-'Control Room'!$B$8)*AZ15/2147483647)</x:f>
        <x:v>832.6715632110775</x:v>
      </x:c>
      <x:c r="BC15" s="17" t="n">
        <x:f>IF('Control Room'!$B$5="Normal",'Control Room'!$B$7,('Control Room'!$B$8+'Control Room'!$D$8)/2)+'Control Room'!$B$9*(BC14-IF('Control Room'!$B$5="Normal",'Control Room'!$B$7,('Control Room'!$B$8+'Control Room'!$D$8)/2))+SQRT(1-'Control Room'!$B$9^2)*(BB15-IF('Control Room'!$B$5="Normal",'Control Room'!$B$7,('Control Room'!$B$8+'Control Room'!$D$8)/2))</x:f>
        <x:v>875.6034227209383</x:v>
      </x:c>
      <x:c r="BD15" s="17" t="n">
        <x:f>IF(AND($A15&gt;='Control Room'!$A$13,$A15&lt;'Control Room'!$A$13+'Control Room'!$B$13,'Process'!BU2=1),1+('Control Room'!$C$13-1)*EXP(-0.5*(($A15-'Control Room'!$A$13-('Control Room'!$B$13-1)/2)/MAX(0.5,'Control Room'!$B$13/4))^2),1)*IF(AND($A15&gt;='Control Room'!$A$14,$A15&lt;'Control Room'!$A$14+'Control Room'!$B$14,'Process'!BU3=1),1+('Control Room'!$C$14-1)*EXP(-0.5*(($A15-'Control Room'!$A$14-('Control Room'!$B$14-1)/2)/MAX(0.5,'Control Room'!$B$14/4))^2),1)*IF(AND($A15&gt;='Control Room'!$A$15,$A15&lt;'Control Room'!$A$15+'Control Room'!$B$15,'Process'!BU4=1),1+('Control Room'!$C$15-1)*EXP(-0.5*(($A15-'Control Room'!$A$15-('Control Room'!$B$15-1)/2)/MAX(0.5,'Control Room'!$B$15/4))^2),1)*IF(AND($A15&gt;='Control Room'!$A$16,$A15&lt;'Control Room'!$A$16+'Control Room'!$B$16,'Process'!BU5=1),1+('Control Room'!$C$16-1)*EXP(-0.5*(($A15-'Control Room'!$A$16-('Control Room'!$B$16-1)/2)/MAX(0.5,'Control Room'!$B$16/4))^2),1)</x:f>
        <x:v>1</x:v>
      </x:c>
      <x:c r="BE15" s="9" t="n">
        <x:f>MOD(BF14*16807,2147483647)</x:f>
        <x:v>1191971950</x:v>
      </x:c>
      <x:c r="BF15" s="9" t="n">
        <x:f>MOD(BE15*16807,2147483647)</x:f>
        <x:v>1745104434</x:v>
      </x:c>
      <x:c r="BG15" s="17" t="n">
        <x:f>IF('Control Room'!$B$5="Normal",'Control Room'!$B$7+'Control Room'!$D$7*SQRT(-2*LN(MAX(0.000000000001,BE15/2147483647)))*COS(2*PI()*BF15/2147483647),'Control Room'!$B$8+('Control Room'!$D$8-'Control Room'!$B$8)*BE15/2147483647)</x:f>
        <x:v>1037.4437347920718</x:v>
      </x:c>
      <x:c r="BH15" s="17" t="n">
        <x:f>IF('Control Room'!$B$5="Normal",'Control Room'!$B$7,('Control Room'!$B$8+'Control Room'!$D$8)/2)+'Control Room'!$B$9*(BH14-IF('Control Room'!$B$5="Normal",'Control Room'!$B$7,('Control Room'!$B$8+'Control Room'!$D$8)/2))+SQRT(1-'Control Room'!$B$9^2)*(BG15-IF('Control Room'!$B$5="Normal",'Control Room'!$B$7,('Control Room'!$B$8+'Control Room'!$D$8)/2))</x:f>
        <x:v>1131.0133987897266</x:v>
      </x:c>
      <x:c r="BI15" s="17" t="n">
        <x:f>IF(AND($A15&gt;='Control Room'!$A$13,$A15&lt;'Control Room'!$A$13+'Control Room'!$B$13,'Process'!BV2=1),1+('Control Room'!$C$13-1)*EXP(-0.5*(($A15-'Control Room'!$A$13-('Control Room'!$B$13-1)/2)/MAX(0.5,'Control Room'!$B$13/4))^2),1)*IF(AND($A15&gt;='Control Room'!$A$14,$A15&lt;'Control Room'!$A$14+'Control Room'!$B$14,'Process'!BV3=1),1+('Control Room'!$C$14-1)*EXP(-0.5*(($A15-'Control Room'!$A$14-('Control Room'!$B$14-1)/2)/MAX(0.5,'Control Room'!$B$14/4))^2),1)*IF(AND($A15&gt;='Control Room'!$A$15,$A15&lt;'Control Room'!$A$15+'Control Room'!$B$15,'Process'!BV4=1),1+('Control Room'!$C$15-1)*EXP(-0.5*(($A15-'Control Room'!$A$15-('Control Room'!$B$15-1)/2)/MAX(0.5,'Control Room'!$B$15/4))^2),1)*IF(AND($A15&gt;='Control Room'!$A$16,$A15&lt;'Control Room'!$A$16+'Control Room'!$B$16,'Process'!BV5=1),1+('Control Room'!$C$16-1)*EXP(-0.5*(($A15-'Control Room'!$A$16-('Control Room'!$B$16-1)/2)/MAX(0.5,'Control Room'!$B$16/4))^2),1)</x:f>
        <x:v>1</x:v>
      </x:c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 t="str">
        <x:f>IF('Control Room'!F9&gt;'Control Room'!$B$2,"Inactive",IF(OR(TRIM('Control Room'!G9)="",'Control Room'!G9&lt;&gt;TRIM('Control Room'!G9),LEN('Control Room'!G9)&gt;80,LOWER('Control Room'!G9)="total",COUNTIFS('Control Room'!$G$4:$G$15,'Control Room'!G9,'Control Room'!$F$4:$F$15,"&lt;="&amp;'Control Room'!$B$2)&gt;1),"Invalid name","Active"))</x:f>
        <x:v>Inactive</x:v>
      </x:c>
      <x:c r="BZ15" t="str">
        <x:f>IF('Data'!A15="","",TEXT('Data'!A15,"mm-dd"))</x:f>
        <x:v>11-15</x:v>
      </x:c>
    </x:row>
    <x:row r="16" ht="21" customHeight="1">
      <x:c r="A16" s="15" t="n">
        <x:f>'Control Room'!$B$1+14</x:f>
        <x:v>73005</x:v>
      </x:c>
      <x:c r="B16" s="9" t="n">
        <x:f>MOD(C15*16807,2147483647)</x:f>
        <x:v>1435843288</x:v>
      </x:c>
      <x:c r="C16" s="9" t="n">
        <x:f>MOD(B16*16807,2147483647)</x:f>
        <x:v>944400077</x:v>
      </x:c>
      <x:c r="D16" s="17" t="n">
        <x:f>IF('Control Room'!$B$5="Normal",'Control Room'!$B$7+'Control Room'!$D$7*SQRT(-2*LN(MAX(0.000000000001,B16/2147483647)))*COS(2*PI()*C16/2147483647),'Control Room'!$B$8+('Control Room'!$D$8-'Control Room'!$B$8)*B16/2147483647)</x:f>
        <x:v>924.9596997049678</x:v>
      </x:c>
      <x:c r="E16" s="17" t="n">
        <x:f>IF('Control Room'!$B$5="Normal",'Control Room'!$B$7,('Control Room'!$B$8+'Control Room'!$D$8)/2)+'Control Room'!$B$9*(E15-IF('Control Room'!$B$5="Normal",'Control Room'!$B$7,('Control Room'!$B$8+'Control Room'!$D$8)/2))+SQRT(1-'Control Room'!$B$9^2)*(D16-IF('Control Room'!$B$5="Normal",'Control Room'!$B$7,('Control Room'!$B$8+'Control Room'!$D$8)/2))</x:f>
        <x:v>998.9848980147873</x:v>
      </x:c>
      <x:c r="F16" s="17" t="n">
        <x:f>IF(AND($A16&gt;='Control Room'!$A$13,$A16&lt;'Control Room'!$A$13+'Control Room'!$B$13,'Process'!BK2=1),1+('Control Room'!$C$13-1)*EXP(-0.5*(($A16-'Control Room'!$A$13-('Control Room'!$B$13-1)/2)/MAX(0.5,'Control Room'!$B$13/4))^2),1)*IF(AND($A16&gt;='Control Room'!$A$14,$A16&lt;'Control Room'!$A$14+'Control Room'!$B$14,'Process'!BK3=1),1+('Control Room'!$C$14-1)*EXP(-0.5*(($A16-'Control Room'!$A$14-('Control Room'!$B$14-1)/2)/MAX(0.5,'Control Room'!$B$14/4))^2),1)*IF(AND($A16&gt;='Control Room'!$A$15,$A16&lt;'Control Room'!$A$15+'Control Room'!$B$15,'Process'!BK4=1),1+('Control Room'!$C$15-1)*EXP(-0.5*(($A16-'Control Room'!$A$15-('Control Room'!$B$15-1)/2)/MAX(0.5,'Control Room'!$B$15/4))^2),1)*IF(AND($A16&gt;='Control Room'!$A$16,$A16&lt;'Control Room'!$A$16+'Control Room'!$B$16,'Process'!BK5=1),1+('Control Room'!$C$16-1)*EXP(-0.5*(($A16-'Control Room'!$A$16-('Control Room'!$B$16-1)/2)/MAX(0.5,'Control Room'!$B$16/4))^2),1)</x:f>
        <x:v>1</x:v>
      </x:c>
      <x:c r="G16" s="9" t="n">
        <x:f>MOD(H15*16807,2147483647)</x:f>
        <x:v>1858132303</x:v>
      </x:c>
      <x:c r="H16" s="9" t="n">
        <x:f>MOD(G16*16807,2147483647)</x:f>
        <x:v>922421847</x:v>
      </x:c>
      <x:c r="I16" s="17" t="n">
        <x:f>IF('Control Room'!$B$5="Normal",'Control Room'!$B$7+'Control Room'!$D$7*SQRT(-2*LN(MAX(0.000000000001,G16/2147483647)))*COS(2*PI()*H16/2147483647),'Control Room'!$B$8+('Control Room'!$D$8-'Control Room'!$B$8)*G16/2147483647)</x:f>
        <x:v>956.2481052597138</x:v>
      </x:c>
      <x:c r="J16" s="17" t="n">
        <x:f>IF('Control Room'!$B$5="Normal",'Control Room'!$B$7,('Control Room'!$B$8+'Control Room'!$D$8)/2)+'Control Room'!$B$9*(J15-IF('Control Room'!$B$5="Normal",'Control Room'!$B$7,('Control Room'!$B$8+'Control Room'!$D$8)/2))+SQRT(1-'Control Room'!$B$9^2)*(I16-IF('Control Room'!$B$5="Normal",'Control Room'!$B$7,('Control Room'!$B$8+'Control Room'!$D$8)/2))</x:f>
        <x:v>1010.4957309235574</x:v>
      </x:c>
      <x:c r="K16" s="17" t="n">
        <x:f>IF(AND($A16&gt;='Control Room'!$A$13,$A16&lt;'Control Room'!$A$13+'Control Room'!$B$13,'Process'!BL2=1),1+('Control Room'!$C$13-1)*EXP(-0.5*(($A16-'Control Room'!$A$13-('Control Room'!$B$13-1)/2)/MAX(0.5,'Control Room'!$B$13/4))^2),1)*IF(AND($A16&gt;='Control Room'!$A$14,$A16&lt;'Control Room'!$A$14+'Control Room'!$B$14,'Process'!BL3=1),1+('Control Room'!$C$14-1)*EXP(-0.5*(($A16-'Control Room'!$A$14-('Control Room'!$B$14-1)/2)/MAX(0.5,'Control Room'!$B$14/4))^2),1)*IF(AND($A16&gt;='Control Room'!$A$15,$A16&lt;'Control Room'!$A$15+'Control Room'!$B$15,'Process'!BL4=1),1+('Control Room'!$C$15-1)*EXP(-0.5*(($A16-'Control Room'!$A$15-('Control Room'!$B$15-1)/2)/MAX(0.5,'Control Room'!$B$15/4))^2),1)*IF(AND($A16&gt;='Control Room'!$A$16,$A16&lt;'Control Room'!$A$16+'Control Room'!$B$16,'Process'!BL5=1),1+('Control Room'!$C$16-1)*EXP(-0.5*(($A16-'Control Room'!$A$16-('Control Room'!$B$16-1)/2)/MAX(0.5,'Control Room'!$B$16/4))^2),1)</x:f>
        <x:v>1</x:v>
      </x:c>
      <x:c r="L16" s="9" t="n">
        <x:f>MOD(M15*16807,2147483647)</x:f>
        <x:v>132937671</x:v>
      </x:c>
      <x:c r="M16" s="9" t="n">
        <x:f>MOD(L16*16807,2147483647)</x:f>
        <x:v>900443617</x:v>
      </x:c>
      <x:c r="N16" s="17" t="n">
        <x:f>IF('Control Room'!$B$5="Normal",'Control Room'!$B$7+'Control Room'!$D$7*SQRT(-2*LN(MAX(0.000000000001,L16/2147483647)))*COS(2*PI()*M16/2147483647),'Control Room'!$B$8+('Control Room'!$D$8-'Control Room'!$B$8)*L16/2147483647)</x:f>
        <x:v>814.4108259020708</x:v>
      </x:c>
      <x:c r="O16" s="17" t="n">
        <x:f>IF('Control Room'!$B$5="Normal",'Control Room'!$B$7,('Control Room'!$B$8+'Control Room'!$D$8)/2)+'Control Room'!$B$9*(O15-IF('Control Room'!$B$5="Normal",'Control Room'!$B$7,('Control Room'!$B$8+'Control Room'!$D$8)/2))+SQRT(1-'Control Room'!$B$9^2)*(N16-IF('Control Room'!$B$5="Normal",'Control Room'!$B$7,('Control Room'!$B$8+'Control Room'!$D$8)/2))</x:f>
        <x:v>894.9014755511323</x:v>
      </x:c>
      <x:c r="P16" s="17" t="n">
        <x:f>IF(AND($A16&gt;='Control Room'!$A$13,$A16&lt;'Control Room'!$A$13+'Control Room'!$B$13,'Process'!BM2=1),1+('Control Room'!$C$13-1)*EXP(-0.5*(($A16-'Control Room'!$A$13-('Control Room'!$B$13-1)/2)/MAX(0.5,'Control Room'!$B$13/4))^2),1)*IF(AND($A16&gt;='Control Room'!$A$14,$A16&lt;'Control Room'!$A$14+'Control Room'!$B$14,'Process'!BM3=1),1+('Control Room'!$C$14-1)*EXP(-0.5*(($A16-'Control Room'!$A$14-('Control Room'!$B$14-1)/2)/MAX(0.5,'Control Room'!$B$14/4))^2),1)*IF(AND($A16&gt;='Control Room'!$A$15,$A16&lt;'Control Room'!$A$15+'Control Room'!$B$15,'Process'!BM4=1),1+('Control Room'!$C$15-1)*EXP(-0.5*(($A16-'Control Room'!$A$15-('Control Room'!$B$15-1)/2)/MAX(0.5,'Control Room'!$B$15/4))^2),1)*IF(AND($A16&gt;='Control Room'!$A$16,$A16&lt;'Control Room'!$A$16+'Control Room'!$B$16,'Process'!BM5=1),1+('Control Room'!$C$16-1)*EXP(-0.5*(($A16-'Control Room'!$A$16-('Control Room'!$B$16-1)/2)/MAX(0.5,'Control Room'!$B$16/4))^2),1)</x:f>
        <x:v>1</x:v>
      </x:c>
      <x:c r="Q16" s="9" t="n">
        <x:f>MOD(R15*16807,2147483647)</x:f>
        <x:v>555226686</x:v>
      </x:c>
      <x:c r="R16" s="9" t="n">
        <x:f>MOD(Q16*16807,2147483647)</x:f>
        <x:v>878465387</x:v>
      </x:c>
      <x:c r="S16" s="17" t="n">
        <x:f>IF('Control Room'!$B$5="Normal",'Control Room'!$B$7+'Control Room'!$D$7*SQRT(-2*LN(MAX(0.000000000001,Q16/2147483647)))*COS(2*PI()*R16/2147483647),'Control Room'!$B$8+('Control Room'!$D$8-'Control Room'!$B$8)*Q16/2147483647)</x:f>
        <x:v>875.4797848745417</x:v>
      </x:c>
      <x:c r="T16" s="17" t="n">
        <x:f>IF('Control Room'!$B$5="Normal",'Control Room'!$B$7,('Control Room'!$B$8+'Control Room'!$D$8)/2)+'Control Room'!$B$9*(T15-IF('Control Room'!$B$5="Normal",'Control Room'!$B$7,('Control Room'!$B$8+'Control Room'!$D$8)/2))+SQRT(1-'Control Room'!$B$9^2)*(S16-IF('Control Room'!$B$5="Normal",'Control Room'!$B$7,('Control Room'!$B$8+'Control Room'!$D$8)/2))</x:f>
        <x:v>1019.0096833921693</x:v>
      </x:c>
      <x:c r="U16" s="17" t="n">
        <x:f>IF(AND($A16&gt;='Control Room'!$A$13,$A16&lt;'Control Room'!$A$13+'Control Room'!$B$13,'Process'!BN2=1),1+('Control Room'!$C$13-1)*EXP(-0.5*(($A16-'Control Room'!$A$13-('Control Room'!$B$13-1)/2)/MAX(0.5,'Control Room'!$B$13/4))^2),1)*IF(AND($A16&gt;='Control Room'!$A$14,$A16&lt;'Control Room'!$A$14+'Control Room'!$B$14,'Process'!BN3=1),1+('Control Room'!$C$14-1)*EXP(-0.5*(($A16-'Control Room'!$A$14-('Control Room'!$B$14-1)/2)/MAX(0.5,'Control Room'!$B$14/4))^2),1)*IF(AND($A16&gt;='Control Room'!$A$15,$A16&lt;'Control Room'!$A$15+'Control Room'!$B$15,'Process'!BN4=1),1+('Control Room'!$C$15-1)*EXP(-0.5*(($A16-'Control Room'!$A$15-('Control Room'!$B$15-1)/2)/MAX(0.5,'Control Room'!$B$15/4))^2),1)*IF(AND($A16&gt;='Control Room'!$A$16,$A16&lt;'Control Room'!$A$16+'Control Room'!$B$16,'Process'!BN5=1),1+('Control Room'!$C$16-1)*EXP(-0.5*(($A16-'Control Room'!$A$16-('Control Room'!$B$16-1)/2)/MAX(0.5,'Control Room'!$B$16/4))^2),1)</x:f>
        <x:v>1</x:v>
      </x:c>
      <x:c r="V16" s="9" t="n">
        <x:f>MOD(W15*16807,2147483647)</x:f>
        <x:v>977515701</x:v>
      </x:c>
      <x:c r="W16" s="9" t="n">
        <x:f>MOD(V16*16807,2147483647)</x:f>
        <x:v>856487157</x:v>
      </x:c>
      <x:c r="X16" s="17" t="n">
        <x:f>IF('Control Room'!$B$5="Normal",'Control Room'!$B$7+'Control Room'!$D$7*SQRT(-2*LN(MAX(0.000000000001,V16/2147483647)))*COS(2*PI()*W16/2147483647),'Control Room'!$B$8+('Control Room'!$D$8-'Control Room'!$B$8)*V16/2147483647)</x:f>
        <x:v>909.1382293078464</x:v>
      </x:c>
      <x:c r="Y16" s="17" t="n">
        <x:f>IF('Control Room'!$B$5="Normal",'Control Room'!$B$7,('Control Room'!$B$8+'Control Room'!$D$8)/2)+'Control Room'!$B$9*(Y15-IF('Control Room'!$B$5="Normal",'Control Room'!$B$7,('Control Room'!$B$8+'Control Room'!$D$8)/2))+SQRT(1-'Control Room'!$B$9^2)*(X16-IF('Control Room'!$B$5="Normal",'Control Room'!$B$7,('Control Room'!$B$8+'Control Room'!$D$8)/2))</x:f>
        <x:v>903.1547749383413</x:v>
      </x:c>
      <x:c r="Z16" s="17" t="n">
        <x:f>IF(AND($A16&gt;='Control Room'!$A$13,$A16&lt;'Control Room'!$A$13+'Control Room'!$B$13,'Process'!BO2=1),1+('Control Room'!$C$13-1)*EXP(-0.5*(($A16-'Control Room'!$A$13-('Control Room'!$B$13-1)/2)/MAX(0.5,'Control Room'!$B$13/4))^2),1)*IF(AND($A16&gt;='Control Room'!$A$14,$A16&lt;'Control Room'!$A$14+'Control Room'!$B$14,'Process'!BO3=1),1+('Control Room'!$C$14-1)*EXP(-0.5*(($A16-'Control Room'!$A$14-('Control Room'!$B$14-1)/2)/MAX(0.5,'Control Room'!$B$14/4))^2),1)*IF(AND($A16&gt;='Control Room'!$A$15,$A16&lt;'Control Room'!$A$15+'Control Room'!$B$15,'Process'!BO4=1),1+('Control Room'!$C$15-1)*EXP(-0.5*(($A16-'Control Room'!$A$15-('Control Room'!$B$15-1)/2)/MAX(0.5,'Control Room'!$B$15/4))^2),1)*IF(AND($A16&gt;='Control Room'!$A$16,$A16&lt;'Control Room'!$A$16+'Control Room'!$B$16,'Process'!BO5=1),1+('Control Room'!$C$16-1)*EXP(-0.5*(($A16-'Control Room'!$A$16-('Control Room'!$B$16-1)/2)/MAX(0.5,'Control Room'!$B$16/4))^2),1)</x:f>
        <x:v>1</x:v>
      </x:c>
      <x:c r="AA16" s="9" t="n">
        <x:f>MOD(AB15*16807,2147483647)</x:f>
        <x:v>1399804716</x:v>
      </x:c>
      <x:c r="AB16" s="9" t="n">
        <x:f>MOD(AA16*16807,2147483647)</x:f>
        <x:v>834508927</x:v>
      </x:c>
      <x:c r="AC16" s="17" t="n">
        <x:f>IF('Control Room'!$B$5="Normal",'Control Room'!$B$7+'Control Room'!$D$7*SQRT(-2*LN(MAX(0.000000000001,AA16/2147483647)))*COS(2*PI()*AB16/2147483647),'Control Room'!$B$8+('Control Room'!$D$8-'Control Room'!$B$8)*AA16/2147483647)</x:f>
        <x:v>936.3132668884132</x:v>
      </x:c>
      <x:c r="AD16" s="17" t="n">
        <x:f>IF('Control Room'!$B$5="Normal",'Control Room'!$B$7,('Control Room'!$B$8+'Control Room'!$D$8)/2)+'Control Room'!$B$9*(AD15-IF('Control Room'!$B$5="Normal",'Control Room'!$B$7,('Control Room'!$B$8+'Control Room'!$D$8)/2))+SQRT(1-'Control Room'!$B$9^2)*(AC16-IF('Control Room'!$B$5="Normal",'Control Room'!$B$7,('Control Room'!$B$8+'Control Room'!$D$8)/2))</x:f>
        <x:v>1004.2420607077491</x:v>
      </x:c>
      <x:c r="AE16" s="17" t="n">
        <x:f>IF(AND($A16&gt;='Control Room'!$A$13,$A16&lt;'Control Room'!$A$13+'Control Room'!$B$13,'Process'!BP2=1),1+('Control Room'!$C$13-1)*EXP(-0.5*(($A16-'Control Room'!$A$13-('Control Room'!$B$13-1)/2)/MAX(0.5,'Control Room'!$B$13/4))^2),1)*IF(AND($A16&gt;='Control Room'!$A$14,$A16&lt;'Control Room'!$A$14+'Control Room'!$B$14,'Process'!BP3=1),1+('Control Room'!$C$14-1)*EXP(-0.5*(($A16-'Control Room'!$A$14-('Control Room'!$B$14-1)/2)/MAX(0.5,'Control Room'!$B$14/4))^2),1)*IF(AND($A16&gt;='Control Room'!$A$15,$A16&lt;'Control Room'!$A$15+'Control Room'!$B$15,'Process'!BP4=1),1+('Control Room'!$C$15-1)*EXP(-0.5*(($A16-'Control Room'!$A$15-('Control Room'!$B$15-1)/2)/MAX(0.5,'Control Room'!$B$15/4))^2),1)*IF(AND($A16&gt;='Control Room'!$A$16,$A16&lt;'Control Room'!$A$16+'Control Room'!$B$16,'Process'!BP5=1),1+('Control Room'!$C$16-1)*EXP(-0.5*(($A16-'Control Room'!$A$16-('Control Room'!$B$16-1)/2)/MAX(0.5,'Control Room'!$B$16/4))^2),1)</x:f>
        <x:v>1</x:v>
      </x:c>
      <x:c r="AF16" s="9" t="n">
        <x:f>MOD(AG15*16807,2147483647)</x:f>
        <x:v>1822093731</x:v>
      </x:c>
      <x:c r="AG16" s="9" t="n">
        <x:f>MOD(AF16*16807,2147483647)</x:f>
        <x:v>812530697</x:v>
      </x:c>
      <x:c r="AH16" s="17" t="n">
        <x:f>IF('Control Room'!$B$5="Normal",'Control Room'!$B$7+'Control Room'!$D$7*SQRT(-2*LN(MAX(0.000000000001,AF16/2147483647)))*COS(2*PI()*AG16/2147483647),'Control Room'!$B$8+('Control Room'!$D$8-'Control Room'!$B$8)*AF16/2147483647)</x:f>
        <x:v>962.7553749551028</x:v>
      </x:c>
      <x:c r="AI16" s="17" t="n">
        <x:f>IF('Control Room'!$B$5="Normal",'Control Room'!$B$7,('Control Room'!$B$8+'Control Room'!$D$8)/2)+'Control Room'!$B$9*(AI15-IF('Control Room'!$B$5="Normal",'Control Room'!$B$7,('Control Room'!$B$8+'Control Room'!$D$8)/2))+SQRT(1-'Control Room'!$B$9^2)*(AH16-IF('Control Room'!$B$5="Normal",'Control Room'!$B$7,('Control Room'!$B$8+'Control Room'!$D$8)/2))</x:f>
        <x:v>1044.7742741703585</x:v>
      </x:c>
      <x:c r="AJ16" s="17" t="n">
        <x:f>IF(AND($A16&gt;='Control Room'!$A$13,$A16&lt;'Control Room'!$A$13+'Control Room'!$B$13,'Process'!BQ2=1),1+('Control Room'!$C$13-1)*EXP(-0.5*(($A16-'Control Room'!$A$13-('Control Room'!$B$13-1)/2)/MAX(0.5,'Control Room'!$B$13/4))^2),1)*IF(AND($A16&gt;='Control Room'!$A$14,$A16&lt;'Control Room'!$A$14+'Control Room'!$B$14,'Process'!BQ3=1),1+('Control Room'!$C$14-1)*EXP(-0.5*(($A16-'Control Room'!$A$14-('Control Room'!$B$14-1)/2)/MAX(0.5,'Control Room'!$B$14/4))^2),1)*IF(AND($A16&gt;='Control Room'!$A$15,$A16&lt;'Control Room'!$A$15+'Control Room'!$B$15,'Process'!BQ4=1),1+('Control Room'!$C$15-1)*EXP(-0.5*(($A16-'Control Room'!$A$15-('Control Room'!$B$15-1)/2)/MAX(0.5,'Control Room'!$B$15/4))^2),1)*IF(AND($A16&gt;='Control Room'!$A$16,$A16&lt;'Control Room'!$A$16+'Control Room'!$B$16,'Process'!BQ5=1),1+('Control Room'!$C$16-1)*EXP(-0.5*(($A16-'Control Room'!$A$16-('Control Room'!$B$16-1)/2)/MAX(0.5,'Control Room'!$B$16/4))^2),1)</x:f>
        <x:v>1</x:v>
      </x:c>
      <x:c r="AK16" s="9" t="n">
        <x:f>MOD(AL15*16807,2147483647)</x:f>
        <x:v>96899099</x:v>
      </x:c>
      <x:c r="AL16" s="9" t="n">
        <x:f>MOD(AK16*16807,2147483647)</x:f>
        <x:v>790552467</x:v>
      </x:c>
      <x:c r="AM16" s="17" t="n">
        <x:f>IF('Control Room'!$B$5="Normal",'Control Room'!$B$7+'Control Room'!$D$7*SQRT(-2*LN(MAX(0.000000000001,AK16/2147483647)))*COS(2*PI()*AL16/2147483647),'Control Room'!$B$8+('Control Room'!$D$8-'Control Room'!$B$8)*AK16/2147483647)</x:f>
        <x:v>848.5640616919533</x:v>
      </x:c>
      <x:c r="AN16" s="17" t="n">
        <x:f>IF('Control Room'!$B$5="Normal",'Control Room'!$B$7,('Control Room'!$B$8+'Control Room'!$D$8)/2)+'Control Room'!$B$9*(AN15-IF('Control Room'!$B$5="Normal",'Control Room'!$B$7,('Control Room'!$B$8+'Control Room'!$D$8)/2))+SQRT(1-'Control Room'!$B$9^2)*(AM16-IF('Control Room'!$B$5="Normal",'Control Room'!$B$7,('Control Room'!$B$8+'Control Room'!$D$8)/2))</x:f>
        <x:v>940.4548865567297</x:v>
      </x:c>
      <x:c r="AO16" s="17" t="n">
        <x:f>IF(AND($A16&gt;='Control Room'!$A$13,$A16&lt;'Control Room'!$A$13+'Control Room'!$B$13,'Process'!BR2=1),1+('Control Room'!$C$13-1)*EXP(-0.5*(($A16-'Control Room'!$A$13-('Control Room'!$B$13-1)/2)/MAX(0.5,'Control Room'!$B$13/4))^2),1)*IF(AND($A16&gt;='Control Room'!$A$14,$A16&lt;'Control Room'!$A$14+'Control Room'!$B$14,'Process'!BR3=1),1+('Control Room'!$C$14-1)*EXP(-0.5*(($A16-'Control Room'!$A$14-('Control Room'!$B$14-1)/2)/MAX(0.5,'Control Room'!$B$14/4))^2),1)*IF(AND($A16&gt;='Control Room'!$A$15,$A16&lt;'Control Room'!$A$15+'Control Room'!$B$15,'Process'!BR4=1),1+('Control Room'!$C$15-1)*EXP(-0.5*(($A16-'Control Room'!$A$15-('Control Room'!$B$15-1)/2)/MAX(0.5,'Control Room'!$B$15/4))^2),1)*IF(AND($A16&gt;='Control Room'!$A$16,$A16&lt;'Control Room'!$A$16+'Control Room'!$B$16,'Process'!BR5=1),1+('Control Room'!$C$16-1)*EXP(-0.5*(($A16-'Control Room'!$A$16-('Control Room'!$B$16-1)/2)/MAX(0.5,'Control Room'!$B$16/4))^2),1)</x:f>
        <x:v>1</x:v>
      </x:c>
      <x:c r="AP16" s="9" t="n">
        <x:f>MOD(AQ15*16807,2147483647)</x:f>
        <x:v>519188114</x:v>
      </x:c>
      <x:c r="AQ16" s="9" t="n">
        <x:f>MOD(AP16*16807,2147483647)</x:f>
        <x:v>768574237</x:v>
      </x:c>
      <x:c r="AR16" s="17" t="n">
        <x:f>IF('Control Room'!$B$5="Normal",'Control Room'!$B$7+'Control Room'!$D$7*SQRT(-2*LN(MAX(0.000000000001,AP16/2147483647)))*COS(2*PI()*AQ16/2147483647),'Control Room'!$B$8+('Control Room'!$D$8-'Control Room'!$B$8)*AP16/2147483647)</x:f>
        <x:v>904.8825063612674</x:v>
      </x:c>
      <x:c r="AS16" s="17" t="n">
        <x:f>IF('Control Room'!$B$5="Normal",'Control Room'!$B$7,('Control Room'!$B$8+'Control Room'!$D$8)/2)+'Control Room'!$B$9*(AS15-IF('Control Room'!$B$5="Normal",'Control Room'!$B$7,('Control Room'!$B$8+'Control Room'!$D$8)/2))+SQRT(1-'Control Room'!$B$9^2)*(AR16-IF('Control Room'!$B$5="Normal",'Control Room'!$B$7,('Control Room'!$B$8+'Control Room'!$D$8)/2))</x:f>
        <x:v>1011.8233844791469</x:v>
      </x:c>
      <x:c r="AT16" s="17" t="n">
        <x:f>IF(AND($A16&gt;='Control Room'!$A$13,$A16&lt;'Control Room'!$A$13+'Control Room'!$B$13,'Process'!BS2=1),1+('Control Room'!$C$13-1)*EXP(-0.5*(($A16-'Control Room'!$A$13-('Control Room'!$B$13-1)/2)/MAX(0.5,'Control Room'!$B$13/4))^2),1)*IF(AND($A16&gt;='Control Room'!$A$14,$A16&lt;'Control Room'!$A$14+'Control Room'!$B$14,'Process'!BS3=1),1+('Control Room'!$C$14-1)*EXP(-0.5*(($A16-'Control Room'!$A$14-('Control Room'!$B$14-1)/2)/MAX(0.5,'Control Room'!$B$14/4))^2),1)*IF(AND($A16&gt;='Control Room'!$A$15,$A16&lt;'Control Room'!$A$15+'Control Room'!$B$15,'Process'!BS4=1),1+('Control Room'!$C$15-1)*EXP(-0.5*(($A16-'Control Room'!$A$15-('Control Room'!$B$15-1)/2)/MAX(0.5,'Control Room'!$B$15/4))^2),1)*IF(AND($A16&gt;='Control Room'!$A$16,$A16&lt;'Control Room'!$A$16+'Control Room'!$B$16,'Process'!BS5=1),1+('Control Room'!$C$16-1)*EXP(-0.5*(($A16-'Control Room'!$A$16-('Control Room'!$B$16-1)/2)/MAX(0.5,'Control Room'!$B$16/4))^2),1)</x:f>
        <x:v>1</x:v>
      </x:c>
      <x:c r="AU16" s="9" t="n">
        <x:f>MOD(AV15*16807,2147483647)</x:f>
        <x:v>941477129</x:v>
      </x:c>
      <x:c r="AV16" s="9" t="n">
        <x:f>MOD(AU16*16807,2147483647)</x:f>
        <x:v>746596007</x:v>
      </x:c>
      <x:c r="AW16" s="17" t="n">
        <x:f>IF('Control Room'!$B$5="Normal",'Control Room'!$B$7+'Control Room'!$D$7*SQRT(-2*LN(MAX(0.000000000001,AU16/2147483647)))*COS(2*PI()*AV16/2147483647),'Control Room'!$B$8+('Control Room'!$D$8-'Control Room'!$B$8)*AU16/2147483647)</x:f>
        <x:v>933.4458124196377</x:v>
      </x:c>
      <x:c r="AX16" s="17" t="n">
        <x:f>IF('Control Room'!$B$5="Normal",'Control Room'!$B$7,('Control Room'!$B$8+'Control Room'!$D$8)/2)+'Control Room'!$B$9*(AX15-IF('Control Room'!$B$5="Normal",'Control Room'!$B$7,('Control Room'!$B$8+'Control Room'!$D$8)/2))+SQRT(1-'Control Room'!$B$9^2)*(AW16-IF('Control Room'!$B$5="Normal",'Control Room'!$B$7,('Control Room'!$B$8+'Control Room'!$D$8)/2))</x:f>
        <x:v>1033.3244260596343</x:v>
      </x:c>
      <x:c r="AY16" s="17" t="n">
        <x:f>IF(AND($A16&gt;='Control Room'!$A$13,$A16&lt;'Control Room'!$A$13+'Control Room'!$B$13,'Process'!BT2=1),1+('Control Room'!$C$13-1)*EXP(-0.5*(($A16-'Control Room'!$A$13-('Control Room'!$B$13-1)/2)/MAX(0.5,'Control Room'!$B$13/4))^2),1)*IF(AND($A16&gt;='Control Room'!$A$14,$A16&lt;'Control Room'!$A$14+'Control Room'!$B$14,'Process'!BT3=1),1+('Control Room'!$C$14-1)*EXP(-0.5*(($A16-'Control Room'!$A$14-('Control Room'!$B$14-1)/2)/MAX(0.5,'Control Room'!$B$14/4))^2),1)*IF(AND($A16&gt;='Control Room'!$A$15,$A16&lt;'Control Room'!$A$15+'Control Room'!$B$15,'Process'!BT4=1),1+('Control Room'!$C$15-1)*EXP(-0.5*(($A16-'Control Room'!$A$15-('Control Room'!$B$15-1)/2)/MAX(0.5,'Control Room'!$B$15/4))^2),1)*IF(AND($A16&gt;='Control Room'!$A$16,$A16&lt;'Control Room'!$A$16+'Control Room'!$B$16,'Process'!BT5=1),1+('Control Room'!$C$16-1)*EXP(-0.5*(($A16-'Control Room'!$A$16-('Control Room'!$B$16-1)/2)/MAX(0.5,'Control Room'!$B$16/4))^2),1)</x:f>
        <x:v>1</x:v>
      </x:c>
      <x:c r="AZ16" s="9" t="n">
        <x:f>MOD(BA15*16807,2147483647)</x:f>
        <x:v>1363766144</x:v>
      </x:c>
      <x:c r="BA16" s="9" t="n">
        <x:f>MOD(AZ16*16807,2147483647)</x:f>
        <x:v>724617777</x:v>
      </x:c>
      <x:c r="BB16" s="17" t="n">
        <x:f>IF('Control Room'!$B$5="Normal",'Control Room'!$B$7+'Control Room'!$D$7*SQRT(-2*LN(MAX(0.000000000001,AZ16/2147483647)))*COS(2*PI()*BA16/2147483647),'Control Room'!$B$8+('Control Room'!$D$8-'Control Room'!$B$8)*AZ16/2147483647)</x:f>
        <x:v>955.2219519504488</x:v>
      </x:c>
      <x:c r="BC16" s="17" t="n">
        <x:f>IF('Control Room'!$B$5="Normal",'Control Room'!$B$7,('Control Room'!$B$8+'Control Room'!$D$8)/2)+'Control Room'!$B$9*(BC15-IF('Control Room'!$B$5="Normal",'Control Room'!$B$7,('Control Room'!$B$8+'Control Room'!$D$8)/2))+SQRT(1-'Control Room'!$B$9^2)*(BB16-IF('Control Room'!$B$5="Normal",'Control Room'!$B$7,('Control Room'!$B$8+'Control Room'!$D$8)/2))</x:f>
        <x:v>874.9494845810982</x:v>
      </x:c>
      <x:c r="BD16" s="17" t="n">
        <x:f>IF(AND($A16&gt;='Control Room'!$A$13,$A16&lt;'Control Room'!$A$13+'Control Room'!$B$13,'Process'!BU2=1),1+('Control Room'!$C$13-1)*EXP(-0.5*(($A16-'Control Room'!$A$13-('Control Room'!$B$13-1)/2)/MAX(0.5,'Control Room'!$B$13/4))^2),1)*IF(AND($A16&gt;='Control Room'!$A$14,$A16&lt;'Control Room'!$A$14+'Control Room'!$B$14,'Process'!BU3=1),1+('Control Room'!$C$14-1)*EXP(-0.5*(($A16-'Control Room'!$A$14-('Control Room'!$B$14-1)/2)/MAX(0.5,'Control Room'!$B$14/4))^2),1)*IF(AND($A16&gt;='Control Room'!$A$15,$A16&lt;'Control Room'!$A$15+'Control Room'!$B$15,'Process'!BU4=1),1+('Control Room'!$C$15-1)*EXP(-0.5*(($A16-'Control Room'!$A$15-('Control Room'!$B$15-1)/2)/MAX(0.5,'Control Room'!$B$15/4))^2),1)*IF(AND($A16&gt;='Control Room'!$A$16,$A16&lt;'Control Room'!$A$16+'Control Room'!$B$16,'Process'!BU5=1),1+('Control Room'!$C$16-1)*EXP(-0.5*(($A16-'Control Room'!$A$16-('Control Room'!$B$16-1)/2)/MAX(0.5,'Control Room'!$B$16/4))^2),1)</x:f>
        <x:v>1</x:v>
      </x:c>
      <x:c r="BE16" s="9" t="n">
        <x:f>MOD(BF15*16807,2147483647)</x:f>
        <x:v>1786055159</x:v>
      </x:c>
      <x:c r="BF16" s="9" t="n">
        <x:f>MOD(BE16*16807,2147483647)</x:f>
        <x:v>702639547</x:v>
      </x:c>
      <x:c r="BG16" s="17" t="n">
        <x:f>IF('Control Room'!$B$5="Normal",'Control Room'!$B$7+'Control Room'!$D$7*SQRT(-2*LN(MAX(0.000000000001,BE16/2147483647)))*COS(2*PI()*BF16/2147483647),'Control Room'!$B$8+('Control Room'!$D$8-'Control Room'!$B$8)*BE16/2147483647)</x:f>
        <x:v>974.526116533252</x:v>
      </x:c>
      <x:c r="BH16" s="17" t="n">
        <x:f>IF('Control Room'!$B$5="Normal",'Control Room'!$B$7,('Control Room'!$B$8+'Control Room'!$D$8)/2)+'Control Room'!$B$9*(BH15-IF('Control Room'!$B$5="Normal",'Control Room'!$B$7,('Control Room'!$B$8+'Control Room'!$D$8)/2))+SQRT(1-'Control Room'!$B$9^2)*(BG16-IF('Control Room'!$B$5="Normal",'Control Room'!$B$7,('Control Room'!$B$8+'Control Room'!$D$8)/2))</x:f>
        <x:v>1086.2494166433644</x:v>
      </x:c>
      <x:c r="BI16" s="17" t="n">
        <x:f>IF(AND($A16&gt;='Control Room'!$A$13,$A16&lt;'Control Room'!$A$13+'Control Room'!$B$13,'Process'!BV2=1),1+('Control Room'!$C$13-1)*EXP(-0.5*(($A16-'Control Room'!$A$13-('Control Room'!$B$13-1)/2)/MAX(0.5,'Control Room'!$B$13/4))^2),1)*IF(AND($A16&gt;='Control Room'!$A$14,$A16&lt;'Control Room'!$A$14+'Control Room'!$B$14,'Process'!BV3=1),1+('Control Room'!$C$14-1)*EXP(-0.5*(($A16-'Control Room'!$A$14-('Control Room'!$B$14-1)/2)/MAX(0.5,'Control Room'!$B$14/4))^2),1)*IF(AND($A16&gt;='Control Room'!$A$15,$A16&lt;'Control Room'!$A$15+'Control Room'!$B$15,'Process'!BV4=1),1+('Control Room'!$C$15-1)*EXP(-0.5*(($A16-'Control Room'!$A$15-('Control Room'!$B$15-1)/2)/MAX(0.5,'Control Room'!$B$15/4))^2),1)*IF(AND($A16&gt;='Control Room'!$A$16,$A16&lt;'Control Room'!$A$16+'Control Room'!$B$16,'Process'!BV5=1),1+('Control Room'!$C$16-1)*EXP(-0.5*(($A16-'Control Room'!$A$16-('Control Room'!$B$16-1)/2)/MAX(0.5,'Control Room'!$B$16/4))^2),1)</x:f>
        <x:v>1</x:v>
      </x:c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 t="str">
        <x:f>IF('Control Room'!F10&gt;'Control Room'!$B$2,"Inactive",IF(OR(TRIM('Control Room'!G10)="",'Control Room'!G10&lt;&gt;TRIM('Control Room'!G10),LEN('Control Room'!G10)&gt;80,LOWER('Control Room'!G10)="total",COUNTIFS('Control Room'!$G$4:$G$15,'Control Room'!G10,'Control Room'!$F$4:$F$15,"&lt;="&amp;'Control Room'!$B$2)&gt;1),"Invalid name","Active"))</x:f>
        <x:v>Inactive</x:v>
      </x:c>
      <x:c r="BZ16" t="str">
        <x:f>IF('Data'!A16="","",TEXT('Data'!A16,"mm-dd"))</x:f>
        <x:v>11-16</x:v>
      </x:c>
    </x:row>
    <x:row r="17" ht="21" customHeight="1">
      <x:c r="A17" s="15" t="n">
        <x:f>'Control Room'!$B$1+15</x:f>
        <x:v>73006</x:v>
      </x:c>
      <x:c r="B17" s="9" t="n">
        <x:f>MOD(C16*16807,2147483647)</x:f>
        <x:v>480459162</x:v>
      </x:c>
      <x:c r="C17" s="9" t="n">
        <x:f>MOD(B17*16807,2147483647)</x:f>
        <x:v>538623014</x:v>
      </x:c>
      <x:c r="D17" s="17" t="n">
        <x:f>IF('Control Room'!$B$5="Normal",'Control Room'!$B$7+'Control Room'!$D$7*SQRT(-2*LN(MAX(0.000000000001,B17/2147483647)))*COS(2*PI()*C17/2147483647),'Control Room'!$B$8+('Control Room'!$D$8-'Control Room'!$B$8)*B17/2147483647)</x:f>
        <x:v>999.2015993356997</x:v>
      </x:c>
      <x:c r="E17" s="17" t="n">
        <x:f>IF('Control Room'!$B$5="Normal",'Control Room'!$B$7,('Control Room'!$B$8+'Control Room'!$D$8)/2)+'Control Room'!$B$9*(E16-IF('Control Room'!$B$5="Normal",'Control Room'!$B$7,('Control Room'!$B$8+'Control Room'!$D$8)/2))+SQRT(1-'Control Room'!$B$9^2)*(D17-IF('Control Room'!$B$5="Normal",'Control Room'!$B$7,('Control Room'!$B$8+'Control Room'!$D$8)/2))</x:f>
        <x:v>998.7085976719416</x:v>
      </x:c>
      <x:c r="F17" s="17" t="n">
        <x:f>IF(AND($A17&gt;='Control Room'!$A$13,$A17&lt;'Control Room'!$A$13+'Control Room'!$B$13,'Process'!BK2=1),1+('Control Room'!$C$13-1)*EXP(-0.5*(($A17-'Control Room'!$A$13-('Control Room'!$B$13-1)/2)/MAX(0.5,'Control Room'!$B$13/4))^2),1)*IF(AND($A17&gt;='Control Room'!$A$14,$A17&lt;'Control Room'!$A$14+'Control Room'!$B$14,'Process'!BK3=1),1+('Control Room'!$C$14-1)*EXP(-0.5*(($A17-'Control Room'!$A$14-('Control Room'!$B$14-1)/2)/MAX(0.5,'Control Room'!$B$14/4))^2),1)*IF(AND($A17&gt;='Control Room'!$A$15,$A17&lt;'Control Room'!$A$15+'Control Room'!$B$15,'Process'!BK4=1),1+('Control Room'!$C$15-1)*EXP(-0.5*(($A17-'Control Room'!$A$15-('Control Room'!$B$15-1)/2)/MAX(0.5,'Control Room'!$B$15/4))^2),1)*IF(AND($A17&gt;='Control Room'!$A$16,$A17&lt;'Control Room'!$A$16+'Control Room'!$B$16,'Process'!BK5=1),1+('Control Room'!$C$16-1)*EXP(-0.5*(($A17-'Control Room'!$A$16-('Control Room'!$B$16-1)/2)/MAX(0.5,'Control Room'!$B$16/4))^2),1)</x:f>
        <x:v>1</x:v>
      </x:c>
      <x:c r="G17" s="9" t="n">
        <x:f>MOD(H16*16807,2147483647)</x:f>
        <x:v>459534836</x:v>
      </x:c>
      <x:c r="H17" s="9" t="n">
        <x:f>MOD(G17*16807,2147483647)</x:f>
        <x:v>1050794040</x:v>
      </x:c>
      <x:c r="I17" s="17" t="n">
        <x:f>IF('Control Room'!$B$5="Normal",'Control Room'!$B$7+'Control Room'!$D$7*SQRT(-2*LN(MAX(0.000000000001,G17/2147483647)))*COS(2*PI()*H17/2147483647),'Control Room'!$B$8+('Control Room'!$D$8-'Control Room'!$B$8)*G17/2147483647)</x:f>
        <x:v>842.312543257596</x:v>
      </x:c>
      <x:c r="J17" s="17" t="n">
        <x:f>IF('Control Room'!$B$5="Normal",'Control Room'!$B$7,('Control Room'!$B$8+'Control Room'!$D$8)/2)+'Control Room'!$B$9*(J16-IF('Control Room'!$B$5="Normal",'Control Room'!$B$7,('Control Room'!$B$8+'Control Room'!$D$8)/2))+SQRT(1-'Control Room'!$B$9^2)*(I17-IF('Control Room'!$B$5="Normal",'Control Room'!$B$7,('Control Room'!$B$8+'Control Room'!$D$8)/2))</x:f>
        <x:v>909.5090900941177</x:v>
      </x:c>
      <x:c r="K17" s="17" t="n">
        <x:f>IF(AND($A17&gt;='Control Room'!$A$13,$A17&lt;'Control Room'!$A$13+'Control Room'!$B$13,'Process'!BL2=1),1+('Control Room'!$C$13-1)*EXP(-0.5*(($A17-'Control Room'!$A$13-('Control Room'!$B$13-1)/2)/MAX(0.5,'Control Room'!$B$13/4))^2),1)*IF(AND($A17&gt;='Control Room'!$A$14,$A17&lt;'Control Room'!$A$14+'Control Room'!$B$14,'Process'!BL3=1),1+('Control Room'!$C$14-1)*EXP(-0.5*(($A17-'Control Room'!$A$14-('Control Room'!$B$14-1)/2)/MAX(0.5,'Control Room'!$B$14/4))^2),1)*IF(AND($A17&gt;='Control Room'!$A$15,$A17&lt;'Control Room'!$A$15+'Control Room'!$B$15,'Process'!BL4=1),1+('Control Room'!$C$15-1)*EXP(-0.5*(($A17-'Control Room'!$A$15-('Control Room'!$B$15-1)/2)/MAX(0.5,'Control Room'!$B$15/4))^2),1)*IF(AND($A17&gt;='Control Room'!$A$16,$A17&lt;'Control Room'!$A$16+'Control Room'!$B$16,'Process'!BL5=1),1+('Control Room'!$C$16-1)*EXP(-0.5*(($A17-'Control Room'!$A$16-('Control Room'!$B$16-1)/2)/MAX(0.5,'Control Room'!$B$16/4))^2),1)</x:f>
        <x:v>1</x:v>
      </x:c>
      <x:c r="L17" s="9" t="n">
        <x:f>MOD(M16*16807,2147483647)</x:f>
        <x:v>438610510</x:v>
      </x:c>
      <x:c r="M17" s="9" t="n">
        <x:f>MOD(L17*16807,2147483647)</x:f>
        <x:v>1562965066</x:v>
      </x:c>
      <x:c r="N17" s="17" t="n">
        <x:f>IF('Control Room'!$B$5="Normal",'Control Room'!$B$7+'Control Room'!$D$7*SQRT(-2*LN(MAX(0.000000000001,L17/2147483647)))*COS(2*PI()*M17/2147483647),'Control Room'!$B$8+('Control Room'!$D$8-'Control Room'!$B$8)*L17/2147483647)</x:f>
        <x:v>977.7091334809811</x:v>
      </x:c>
      <x:c r="O17" s="17" t="n">
        <x:f>IF('Control Room'!$B$5="Normal",'Control Room'!$B$7,('Control Room'!$B$8+'Control Room'!$D$8)/2)+'Control Room'!$B$9*(O16-IF('Control Room'!$B$5="Normal",'Control Room'!$B$7,('Control Room'!$B$8+'Control Room'!$D$8)/2))+SQRT(1-'Control Room'!$B$9^2)*(N17-IF('Control Room'!$B$5="Normal",'Control Room'!$B$7,('Control Room'!$B$8+'Control Room'!$D$8)/2))</x:f>
        <x:v>904.0739833155031</x:v>
      </x:c>
      <x:c r="P17" s="17" t="n">
        <x:f>IF(AND($A17&gt;='Control Room'!$A$13,$A17&lt;'Control Room'!$A$13+'Control Room'!$B$13,'Process'!BM2=1),1+('Control Room'!$C$13-1)*EXP(-0.5*(($A17-'Control Room'!$A$13-('Control Room'!$B$13-1)/2)/MAX(0.5,'Control Room'!$B$13/4))^2),1)*IF(AND($A17&gt;='Control Room'!$A$14,$A17&lt;'Control Room'!$A$14+'Control Room'!$B$14,'Process'!BM3=1),1+('Control Room'!$C$14-1)*EXP(-0.5*(($A17-'Control Room'!$A$14-('Control Room'!$B$14-1)/2)/MAX(0.5,'Control Room'!$B$14/4))^2),1)*IF(AND($A17&gt;='Control Room'!$A$15,$A17&lt;'Control Room'!$A$15+'Control Room'!$B$15,'Process'!BM4=1),1+('Control Room'!$C$15-1)*EXP(-0.5*(($A17-'Control Room'!$A$15-('Control Room'!$B$15-1)/2)/MAX(0.5,'Control Room'!$B$15/4))^2),1)*IF(AND($A17&gt;='Control Room'!$A$16,$A17&lt;'Control Room'!$A$16+'Control Room'!$B$16,'Process'!BM5=1),1+('Control Room'!$C$16-1)*EXP(-0.5*(($A17-'Control Room'!$A$16-('Control Room'!$B$16-1)/2)/MAX(0.5,'Control Room'!$B$16/4))^2),1)</x:f>
        <x:v>1</x:v>
      </x:c>
      <x:c r="Q17" s="9" t="n">
        <x:f>MOD(R16*16807,2147483647)</x:f>
        <x:v>417686184</x:v>
      </x:c>
      <x:c r="R17" s="9" t="n">
        <x:f>MOD(Q17*16807,2147483647)</x:f>
        <x:v>2075136092</x:v>
      </x:c>
      <x:c r="S17" s="17" t="n">
        <x:f>IF('Control Room'!$B$5="Normal",'Control Room'!$B$7+'Control Room'!$D$7*SQRT(-2*LN(MAX(0.000000000001,Q17/2147483647)))*COS(2*PI()*R17/2147483647),'Control Room'!$B$8+('Control Room'!$D$8-'Control Room'!$B$8)*Q17/2147483647)</x:f>
        <x:v>1159.228648914205</x:v>
      </x:c>
      <x:c r="T17" s="17" t="n">
        <x:f>IF('Control Room'!$B$5="Normal",'Control Room'!$B$7,('Control Room'!$B$8+'Control Room'!$D$8)/2)+'Control Room'!$B$9*(T16-IF('Control Room'!$B$5="Normal",'Control Room'!$B$7,('Control Room'!$B$8+'Control Room'!$D$8)/2))+SQRT(1-'Control Room'!$B$9^2)*(S17-IF('Control Room'!$B$5="Normal",'Control Room'!$B$7,('Control Room'!$B$8+'Control Room'!$D$8)/2))</x:f>
        <x:v>1114.4695795602242</x:v>
      </x:c>
      <x:c r="U17" s="17" t="n">
        <x:f>IF(AND($A17&gt;='Control Room'!$A$13,$A17&lt;'Control Room'!$A$13+'Control Room'!$B$13,'Process'!BN2=1),1+('Control Room'!$C$13-1)*EXP(-0.5*(($A17-'Control Room'!$A$13-('Control Room'!$B$13-1)/2)/MAX(0.5,'Control Room'!$B$13/4))^2),1)*IF(AND($A17&gt;='Control Room'!$A$14,$A17&lt;'Control Room'!$A$14+'Control Room'!$B$14,'Process'!BN3=1),1+('Control Room'!$C$14-1)*EXP(-0.5*(($A17-'Control Room'!$A$14-('Control Room'!$B$14-1)/2)/MAX(0.5,'Control Room'!$B$14/4))^2),1)*IF(AND($A17&gt;='Control Room'!$A$15,$A17&lt;'Control Room'!$A$15+'Control Room'!$B$15,'Process'!BN4=1),1+('Control Room'!$C$15-1)*EXP(-0.5*(($A17-'Control Room'!$A$15-('Control Room'!$B$15-1)/2)/MAX(0.5,'Control Room'!$B$15/4))^2),1)*IF(AND($A17&gt;='Control Room'!$A$16,$A17&lt;'Control Room'!$A$16+'Control Room'!$B$16,'Process'!BN5=1),1+('Control Room'!$C$16-1)*EXP(-0.5*(($A17-'Control Room'!$A$16-('Control Room'!$B$16-1)/2)/MAX(0.5,'Control Room'!$B$16/4))^2),1)</x:f>
        <x:v>1</x:v>
      </x:c>
      <x:c r="V17" s="9" t="n">
        <x:f>MOD(W16*16807,2147483647)</x:f>
        <x:v>396761858</x:v>
      </x:c>
      <x:c r="W17" s="9" t="n">
        <x:f>MOD(V17*16807,2147483647)</x:f>
        <x:v>439823471</x:v>
      </x:c>
      <x:c r="X17" s="17" t="n">
        <x:f>IF('Control Room'!$B$5="Normal",'Control Room'!$B$7+'Control Room'!$D$7*SQRT(-2*LN(MAX(0.000000000001,V17/2147483647)))*COS(2*PI()*W17/2147483647),'Control Room'!$B$8+('Control Room'!$D$8-'Control Room'!$B$8)*V17/2147483647)</x:f>
        <x:v>1046.335974789515</x:v>
      </x:c>
      <x:c r="Y17" s="17" t="n">
        <x:f>IF('Control Room'!$B$5="Normal",'Control Room'!$B$7,('Control Room'!$B$8+'Control Room'!$D$8)/2)+'Control Room'!$B$9*(Y16-IF('Control Room'!$B$5="Normal",'Control Room'!$B$7,('Control Room'!$B$8+'Control Room'!$D$8)/2))+SQRT(1-'Control Room'!$B$9^2)*(X17-IF('Control Room'!$B$5="Normal",'Control Room'!$B$7,('Control Room'!$B$8+'Control Room'!$D$8)/2))</x:f>
        <x:v>953.4568282311451</x:v>
      </x:c>
      <x:c r="Z17" s="17" t="n">
        <x:f>IF(AND($A17&gt;='Control Room'!$A$13,$A17&lt;'Control Room'!$A$13+'Control Room'!$B$13,'Process'!BO2=1),1+('Control Room'!$C$13-1)*EXP(-0.5*(($A17-'Control Room'!$A$13-('Control Room'!$B$13-1)/2)/MAX(0.5,'Control Room'!$B$13/4))^2),1)*IF(AND($A17&gt;='Control Room'!$A$14,$A17&lt;'Control Room'!$A$14+'Control Room'!$B$14,'Process'!BO3=1),1+('Control Room'!$C$14-1)*EXP(-0.5*(($A17-'Control Room'!$A$14-('Control Room'!$B$14-1)/2)/MAX(0.5,'Control Room'!$B$14/4))^2),1)*IF(AND($A17&gt;='Control Room'!$A$15,$A17&lt;'Control Room'!$A$15+'Control Room'!$B$15,'Process'!BO4=1),1+('Control Room'!$C$15-1)*EXP(-0.5*(($A17-'Control Room'!$A$15-('Control Room'!$B$15-1)/2)/MAX(0.5,'Control Room'!$B$15/4))^2),1)*IF(AND($A17&gt;='Control Room'!$A$16,$A17&lt;'Control Room'!$A$16+'Control Room'!$B$16,'Process'!BO5=1),1+('Control Room'!$C$16-1)*EXP(-0.5*(($A17-'Control Room'!$A$16-('Control Room'!$B$16-1)/2)/MAX(0.5,'Control Room'!$B$16/4))^2),1)</x:f>
        <x:v>1</x:v>
      </x:c>
      <x:c r="AA17" s="9" t="n">
        <x:f>MOD(AB16*16807,2147483647)</x:f>
        <x:v>375837532</x:v>
      </x:c>
      <x:c r="AB17" s="9" t="n">
        <x:f>MOD(AA17*16807,2147483647)</x:f>
        <x:v>951994497</x:v>
      </x:c>
      <x:c r="AC17" s="17" t="n">
        <x:f>IF('Control Room'!$B$5="Normal",'Control Room'!$B$7+'Control Room'!$D$7*SQRT(-2*LN(MAX(0.000000000001,AA17/2147483647)))*COS(2*PI()*AB17/2147483647),'Control Room'!$B$8+('Control Room'!$D$8-'Control Room'!$B$8)*AA17/2147483647)</x:f>
        <x:v>842.5159211976604</x:v>
      </x:c>
      <x:c r="AD17" s="17" t="n">
        <x:f>IF('Control Room'!$B$5="Normal",'Control Room'!$B$7,('Control Room'!$B$8+'Control Room'!$D$8)/2)+'Control Room'!$B$9*(AD16-IF('Control Room'!$B$5="Normal",'Control Room'!$B$7,('Control Room'!$B$8+'Control Room'!$D$8)/2))+SQRT(1-'Control Room'!$B$9^2)*(AC17-IF('Control Room'!$B$5="Normal",'Control Room'!$B$7,('Control Room'!$B$8+'Control Room'!$D$8)/2))</x:f>
        <x:v>904.7584970742561</x:v>
      </x:c>
      <x:c r="AE17" s="17" t="n">
        <x:f>IF(AND($A17&gt;='Control Room'!$A$13,$A17&lt;'Control Room'!$A$13+'Control Room'!$B$13,'Process'!BP2=1),1+('Control Room'!$C$13-1)*EXP(-0.5*(($A17-'Control Room'!$A$13-('Control Room'!$B$13-1)/2)/MAX(0.5,'Control Room'!$B$13/4))^2),1)*IF(AND($A17&gt;='Control Room'!$A$14,$A17&lt;'Control Room'!$A$14+'Control Room'!$B$14,'Process'!BP3=1),1+('Control Room'!$C$14-1)*EXP(-0.5*(($A17-'Control Room'!$A$14-('Control Room'!$B$14-1)/2)/MAX(0.5,'Control Room'!$B$14/4))^2),1)*IF(AND($A17&gt;='Control Room'!$A$15,$A17&lt;'Control Room'!$A$15+'Control Room'!$B$15,'Process'!BP4=1),1+('Control Room'!$C$15-1)*EXP(-0.5*(($A17-'Control Room'!$A$15-('Control Room'!$B$15-1)/2)/MAX(0.5,'Control Room'!$B$15/4))^2),1)*IF(AND($A17&gt;='Control Room'!$A$16,$A17&lt;'Control Room'!$A$16+'Control Room'!$B$16,'Process'!BP5=1),1+('Control Room'!$C$16-1)*EXP(-0.5*(($A17-'Control Room'!$A$16-('Control Room'!$B$16-1)/2)/MAX(0.5,'Control Room'!$B$16/4))^2),1)</x:f>
        <x:v>1</x:v>
      </x:c>
      <x:c r="AF17" s="9" t="n">
        <x:f>MOD(AG16*16807,2147483647)</x:f>
        <x:v>354913206</x:v>
      </x:c>
      <x:c r="AG17" s="9" t="n">
        <x:f>MOD(AF17*16807,2147483647)</x:f>
        <x:v>1464165523</x:v>
      </x:c>
      <x:c r="AH17" s="17" t="n">
        <x:f>IF('Control Room'!$B$5="Normal",'Control Room'!$B$7+'Control Room'!$D$7*SQRT(-2*LN(MAX(0.000000000001,AF17/2147483647)))*COS(2*PI()*AG17/2147483647),'Control Room'!$B$8+('Control Room'!$D$8-'Control Room'!$B$8)*AF17/2147483647)</x:f>
        <x:v>929.0462984166493</x:v>
      </x:c>
      <x:c r="AI17" s="17" t="n">
        <x:f>IF('Control Room'!$B$5="Normal",'Control Room'!$B$7,('Control Room'!$B$8+'Control Room'!$D$8)/2)+'Control Room'!$B$9*(AI16-IF('Control Room'!$B$5="Normal",'Control Room'!$B$7,('Control Room'!$B$8+'Control Room'!$D$8)/2))+SQRT(1-'Control Room'!$B$9^2)*(AH17-IF('Control Room'!$B$5="Normal",'Control Room'!$B$7,('Control Room'!$B$8+'Control Room'!$D$8)/2))</x:f>
        <x:v>990.522560967604</x:v>
      </x:c>
      <x:c r="AJ17" s="17" t="n">
        <x:f>IF(AND($A17&gt;='Control Room'!$A$13,$A17&lt;'Control Room'!$A$13+'Control Room'!$B$13,'Process'!BQ2=1),1+('Control Room'!$C$13-1)*EXP(-0.5*(($A17-'Control Room'!$A$13-('Control Room'!$B$13-1)/2)/MAX(0.5,'Control Room'!$B$13/4))^2),1)*IF(AND($A17&gt;='Control Room'!$A$14,$A17&lt;'Control Room'!$A$14+'Control Room'!$B$14,'Process'!BQ3=1),1+('Control Room'!$C$14-1)*EXP(-0.5*(($A17-'Control Room'!$A$14-('Control Room'!$B$14-1)/2)/MAX(0.5,'Control Room'!$B$14/4))^2),1)*IF(AND($A17&gt;='Control Room'!$A$15,$A17&lt;'Control Room'!$A$15+'Control Room'!$B$15,'Process'!BQ4=1),1+('Control Room'!$C$15-1)*EXP(-0.5*(($A17-'Control Room'!$A$15-('Control Room'!$B$15-1)/2)/MAX(0.5,'Control Room'!$B$15/4))^2),1)*IF(AND($A17&gt;='Control Room'!$A$16,$A17&lt;'Control Room'!$A$16+'Control Room'!$B$16,'Process'!BQ5=1),1+('Control Room'!$C$16-1)*EXP(-0.5*(($A17-'Control Room'!$A$16-('Control Room'!$B$16-1)/2)/MAX(0.5,'Control Room'!$B$16/4))^2),1)</x:f>
        <x:v>1</x:v>
      </x:c>
      <x:c r="AK17" s="9" t="n">
        <x:f>MOD(AL16*16807,2147483647)</x:f>
        <x:v>333988880</x:v>
      </x:c>
      <x:c r="AL17" s="9" t="n">
        <x:f>MOD(AK17*16807,2147483647)</x:f>
        <x:v>1976336549</x:v>
      </x:c>
      <x:c r="AM17" s="17" t="n">
        <x:f>IF('Control Room'!$B$5="Normal",'Control Room'!$B$7+'Control Room'!$D$7*SQRT(-2*LN(MAX(0.000000000001,AK17/2147483647)))*COS(2*PI()*AL17/2147483647),'Control Room'!$B$8+('Control Room'!$D$8-'Control Room'!$B$8)*AK17/2147483647)</x:f>
        <x:v>1152.3121228814723</x:v>
      </x:c>
      <x:c r="AN17" s="17" t="n">
        <x:f>IF('Control Room'!$B$5="Normal",'Control Room'!$B$7,('Control Room'!$B$8+'Control Room'!$D$8)/2)+'Control Room'!$B$9*(AN16-IF('Control Room'!$B$5="Normal",'Control Room'!$B$7,('Control Room'!$B$8+'Control Room'!$D$8)/2))+SQRT(1-'Control Room'!$B$9^2)*(AM17-IF('Control Room'!$B$5="Normal",'Control Room'!$B$7,('Control Room'!$B$8+'Control Room'!$D$8)/2))</x:f>
        <x:v>1048.8686177300347</x:v>
      </x:c>
      <x:c r="AO17" s="17" t="n">
        <x:f>IF(AND($A17&gt;='Control Room'!$A$13,$A17&lt;'Control Room'!$A$13+'Control Room'!$B$13,'Process'!BR2=1),1+('Control Room'!$C$13-1)*EXP(-0.5*(($A17-'Control Room'!$A$13-('Control Room'!$B$13-1)/2)/MAX(0.5,'Control Room'!$B$13/4))^2),1)*IF(AND($A17&gt;='Control Room'!$A$14,$A17&lt;'Control Room'!$A$14+'Control Room'!$B$14,'Process'!BR3=1),1+('Control Room'!$C$14-1)*EXP(-0.5*(($A17-'Control Room'!$A$14-('Control Room'!$B$14-1)/2)/MAX(0.5,'Control Room'!$B$14/4))^2),1)*IF(AND($A17&gt;='Control Room'!$A$15,$A17&lt;'Control Room'!$A$15+'Control Room'!$B$15,'Process'!BR4=1),1+('Control Room'!$C$15-1)*EXP(-0.5*(($A17-'Control Room'!$A$15-('Control Room'!$B$15-1)/2)/MAX(0.5,'Control Room'!$B$15/4))^2),1)*IF(AND($A17&gt;='Control Room'!$A$16,$A17&lt;'Control Room'!$A$16+'Control Room'!$B$16,'Process'!BR5=1),1+('Control Room'!$C$16-1)*EXP(-0.5*(($A17-'Control Room'!$A$16-('Control Room'!$B$16-1)/2)/MAX(0.5,'Control Room'!$B$16/4))^2),1)</x:f>
        <x:v>1</x:v>
      </x:c>
      <x:c r="AP17" s="9" t="n">
        <x:f>MOD(AQ16*16807,2147483647)</x:f>
        <x:v>313064554</x:v>
      </x:c>
      <x:c r="AQ17" s="9" t="n">
        <x:f>MOD(AP17*16807,2147483647)</x:f>
        <x:v>341023928</x:v>
      </x:c>
      <x:c r="AR17" s="17" t="n">
        <x:f>IF('Control Room'!$B$5="Normal",'Control Room'!$B$7+'Control Room'!$D$7*SQRT(-2*LN(MAX(0.000000000001,AP17/2147483647)))*COS(2*PI()*AQ17/2147483647),'Control Room'!$B$8+('Control Room'!$D$8-'Control Room'!$B$8)*AP17/2147483647)</x:f>
        <x:v>1095.7590814328905</x:v>
      </x:c>
      <x:c r="AS17" s="17" t="n">
        <x:f>IF('Control Room'!$B$5="Normal",'Control Room'!$B$7,('Control Room'!$B$8+'Control Room'!$D$8)/2)+'Control Room'!$B$9*(AS16-IF('Control Room'!$B$5="Normal",'Control Room'!$B$7,('Control Room'!$B$8+'Control Room'!$D$8)/2))+SQRT(1-'Control Room'!$B$9^2)*(AR17-IF('Control Room'!$B$5="Normal",'Control Room'!$B$7,('Control Room'!$B$8+'Control Room'!$D$8)/2))</x:f>
        <x:v>1069.1463113230247</x:v>
      </x:c>
      <x:c r="AT17" s="17" t="n">
        <x:f>IF(AND($A17&gt;='Control Room'!$A$13,$A17&lt;'Control Room'!$A$13+'Control Room'!$B$13,'Process'!BS2=1),1+('Control Room'!$C$13-1)*EXP(-0.5*(($A17-'Control Room'!$A$13-('Control Room'!$B$13-1)/2)/MAX(0.5,'Control Room'!$B$13/4))^2),1)*IF(AND($A17&gt;='Control Room'!$A$14,$A17&lt;'Control Room'!$A$14+'Control Room'!$B$14,'Process'!BS3=1),1+('Control Room'!$C$14-1)*EXP(-0.5*(($A17-'Control Room'!$A$14-('Control Room'!$B$14-1)/2)/MAX(0.5,'Control Room'!$B$14/4))^2),1)*IF(AND($A17&gt;='Control Room'!$A$15,$A17&lt;'Control Room'!$A$15+'Control Room'!$B$15,'Process'!BS4=1),1+('Control Room'!$C$15-1)*EXP(-0.5*(($A17-'Control Room'!$A$15-('Control Room'!$B$15-1)/2)/MAX(0.5,'Control Room'!$B$15/4))^2),1)*IF(AND($A17&gt;='Control Room'!$A$16,$A17&lt;'Control Room'!$A$16+'Control Room'!$B$16,'Process'!BS5=1),1+('Control Room'!$C$16-1)*EXP(-0.5*(($A17-'Control Room'!$A$16-('Control Room'!$B$16-1)/2)/MAX(0.5,'Control Room'!$B$16/4))^2),1)</x:f>
        <x:v>1</x:v>
      </x:c>
      <x:c r="AU17" s="9" t="n">
        <x:f>MOD(AV16*16807,2147483647)</x:f>
        <x:v>292140228</x:v>
      </x:c>
      <x:c r="AV17" s="9" t="n">
        <x:f>MOD(AU17*16807,2147483647)</x:f>
        <x:v>853194954</x:v>
      </x:c>
      <x:c r="AW17" s="17" t="n">
        <x:f>IF('Control Room'!$B$5="Normal",'Control Room'!$B$7+'Control Room'!$D$7*SQRT(-2*LN(MAX(0.000000000001,AU17/2147483647)))*COS(2*PI()*AV17/2147483647),'Control Room'!$B$8+('Control Room'!$D$8-'Control Room'!$B$8)*AU17/2147483647)</x:f>
        <x:v>856.3792004349451</x:v>
      </x:c>
      <x:c r="AX17" s="17" t="n">
        <x:f>IF('Control Room'!$B$5="Normal",'Control Room'!$B$7,('Control Room'!$B$8+'Control Room'!$D$8)/2)+'Control Room'!$B$9*(AX16-IF('Control Room'!$B$5="Normal",'Control Room'!$B$7,('Control Room'!$B$8+'Control Room'!$D$8)/2))+SQRT(1-'Control Room'!$B$9^2)*(AW17-IF('Control Room'!$B$5="Normal",'Control Room'!$B$7,('Control Room'!$B$8+'Control Room'!$D$8)/2))</x:f>
        <x:v>936.1180981907071</x:v>
      </x:c>
      <x:c r="AY17" s="17" t="n">
        <x:f>IF(AND($A17&gt;='Control Room'!$A$13,$A17&lt;'Control Room'!$A$13+'Control Room'!$B$13,'Process'!BT2=1),1+('Control Room'!$C$13-1)*EXP(-0.5*(($A17-'Control Room'!$A$13-('Control Room'!$B$13-1)/2)/MAX(0.5,'Control Room'!$B$13/4))^2),1)*IF(AND($A17&gt;='Control Room'!$A$14,$A17&lt;'Control Room'!$A$14+'Control Room'!$B$14,'Process'!BT3=1),1+('Control Room'!$C$14-1)*EXP(-0.5*(($A17-'Control Room'!$A$14-('Control Room'!$B$14-1)/2)/MAX(0.5,'Control Room'!$B$14/4))^2),1)*IF(AND($A17&gt;='Control Room'!$A$15,$A17&lt;'Control Room'!$A$15+'Control Room'!$B$15,'Process'!BT4=1),1+('Control Room'!$C$15-1)*EXP(-0.5*(($A17-'Control Room'!$A$15-('Control Room'!$B$15-1)/2)/MAX(0.5,'Control Room'!$B$15/4))^2),1)*IF(AND($A17&gt;='Control Room'!$A$16,$A17&lt;'Control Room'!$A$16+'Control Room'!$B$16,'Process'!BT5=1),1+('Control Room'!$C$16-1)*EXP(-0.5*(($A17-'Control Room'!$A$16-('Control Room'!$B$16-1)/2)/MAX(0.5,'Control Room'!$B$16/4))^2),1)</x:f>
        <x:v>1</x:v>
      </x:c>
      <x:c r="AZ17" s="9" t="n">
        <x:f>MOD(BA16*16807,2147483647)</x:f>
        <x:v>271215902</x:v>
      </x:c>
      <x:c r="BA17" s="9" t="n">
        <x:f>MOD(AZ17*16807,2147483647)</x:f>
        <x:v>1365365980</x:v>
      </x:c>
      <x:c r="BB17" s="17" t="n">
        <x:f>IF('Control Room'!$B$5="Normal",'Control Room'!$B$7+'Control Room'!$D$7*SQRT(-2*LN(MAX(0.000000000001,AZ17/2147483647)))*COS(2*PI()*BA17/2147483647),'Control Room'!$B$8+('Control Room'!$D$8-'Control Room'!$B$8)*AZ17/2147483647)</x:f>
        <x:v>879.6140763556284</x:v>
      </x:c>
      <x:c r="BC17" s="17" t="n">
        <x:f>IF('Control Room'!$B$5="Normal",'Control Room'!$B$7,('Control Room'!$B$8+'Control Room'!$D$8)/2)+'Control Room'!$B$9*(BC16-IF('Control Room'!$B$5="Normal",'Control Room'!$B$7,('Control Room'!$B$8+'Control Room'!$D$8)/2))+SQRT(1-'Control Room'!$B$9^2)*(BB17-IF('Control Room'!$B$5="Normal",'Control Room'!$B$7,('Control Room'!$B$8+'Control Room'!$D$8)/2))</x:f>
        <x:v>827.1255531963068</x:v>
      </x:c>
      <x:c r="BD17" s="17" t="n">
        <x:f>IF(AND($A17&gt;='Control Room'!$A$13,$A17&lt;'Control Room'!$A$13+'Control Room'!$B$13,'Process'!BU2=1),1+('Control Room'!$C$13-1)*EXP(-0.5*(($A17-'Control Room'!$A$13-('Control Room'!$B$13-1)/2)/MAX(0.5,'Control Room'!$B$13/4))^2),1)*IF(AND($A17&gt;='Control Room'!$A$14,$A17&lt;'Control Room'!$A$14+'Control Room'!$B$14,'Process'!BU3=1),1+('Control Room'!$C$14-1)*EXP(-0.5*(($A17-'Control Room'!$A$14-('Control Room'!$B$14-1)/2)/MAX(0.5,'Control Room'!$B$14/4))^2),1)*IF(AND($A17&gt;='Control Room'!$A$15,$A17&lt;'Control Room'!$A$15+'Control Room'!$B$15,'Process'!BU4=1),1+('Control Room'!$C$15-1)*EXP(-0.5*(($A17-'Control Room'!$A$15-('Control Room'!$B$15-1)/2)/MAX(0.5,'Control Room'!$B$15/4))^2),1)*IF(AND($A17&gt;='Control Room'!$A$16,$A17&lt;'Control Room'!$A$16+'Control Room'!$B$16,'Process'!BU5=1),1+('Control Room'!$C$16-1)*EXP(-0.5*(($A17-'Control Room'!$A$16-('Control Room'!$B$16-1)/2)/MAX(0.5,'Control Room'!$B$16/4))^2),1)</x:f>
        <x:v>1</x:v>
      </x:c>
      <x:c r="BE17" s="9" t="n">
        <x:f>MOD(BF16*16807,2147483647)</x:f>
        <x:v>250291576</x:v>
      </x:c>
      <x:c r="BF17" s="9" t="n">
        <x:f>MOD(BE17*16807,2147483647)</x:f>
        <x:v>1877537006</x:v>
      </x:c>
      <x:c r="BG17" s="17" t="n">
        <x:f>IF('Control Room'!$B$5="Normal",'Control Room'!$B$7+'Control Room'!$D$7*SQRT(-2*LN(MAX(0.000000000001,BE17/2147483647)))*COS(2*PI()*BF17/2147483647),'Control Room'!$B$8+('Control Room'!$D$8-'Control Room'!$B$8)*BE17/2147483647)</x:f>
        <x:v>1131.3635776339368</x:v>
      </x:c>
      <x:c r="BH17" s="17" t="n">
        <x:f>IF('Control Room'!$B$5="Normal",'Control Room'!$B$7,('Control Room'!$B$8+'Control Room'!$D$8)/2)+'Control Room'!$B$9*(BH16-IF('Control Room'!$B$5="Normal",'Control Room'!$B$7,('Control Room'!$B$8+'Control Room'!$D$8)/2))+SQRT(1-'Control Room'!$B$9^2)*(BG17-IF('Control Room'!$B$5="Normal",'Control Room'!$B$7,('Control Room'!$B$8+'Control Room'!$D$8)/2))</x:f>
        <x:v>1149.4791807359782</x:v>
      </x:c>
      <x:c r="BI17" s="17" t="n">
        <x:f>IF(AND($A17&gt;='Control Room'!$A$13,$A17&lt;'Control Room'!$A$13+'Control Room'!$B$13,'Process'!BV2=1),1+('Control Room'!$C$13-1)*EXP(-0.5*(($A17-'Control Room'!$A$13-('Control Room'!$B$13-1)/2)/MAX(0.5,'Control Room'!$B$13/4))^2),1)*IF(AND($A17&gt;='Control Room'!$A$14,$A17&lt;'Control Room'!$A$14+'Control Room'!$B$14,'Process'!BV3=1),1+('Control Room'!$C$14-1)*EXP(-0.5*(($A17-'Control Room'!$A$14-('Control Room'!$B$14-1)/2)/MAX(0.5,'Control Room'!$B$14/4))^2),1)*IF(AND($A17&gt;='Control Room'!$A$15,$A17&lt;'Control Room'!$A$15+'Control Room'!$B$15,'Process'!BV4=1),1+('Control Room'!$C$15-1)*EXP(-0.5*(($A17-'Control Room'!$A$15-('Control Room'!$B$15-1)/2)/MAX(0.5,'Control Room'!$B$15/4))^2),1)*IF(AND($A17&gt;='Control Room'!$A$16,$A17&lt;'Control Room'!$A$16+'Control Room'!$B$16,'Process'!BV5=1),1+('Control Room'!$C$16-1)*EXP(-0.5*(($A17-'Control Room'!$A$16-('Control Room'!$B$16-1)/2)/MAX(0.5,'Control Room'!$B$16/4))^2),1)</x:f>
        <x:v>1</x:v>
      </x:c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 t="str">
        <x:f>IF('Control Room'!F11&gt;'Control Room'!$B$2,"Inactive",IF(OR(TRIM('Control Room'!G11)="",'Control Room'!G11&lt;&gt;TRIM('Control Room'!G11),LEN('Control Room'!G11)&gt;80,LOWER('Control Room'!G11)="total",COUNTIFS('Control Room'!$G$4:$G$15,'Control Room'!G11,'Control Room'!$F$4:$F$15,"&lt;="&amp;'Control Room'!$B$2)&gt;1),"Invalid name","Active"))</x:f>
        <x:v>Inactive</x:v>
      </x:c>
      <x:c r="BZ17" t="str">
        <x:f>IF('Data'!A17="","",TEXT('Data'!A17,"mm-dd"))</x:f>
        <x:v>11-17</x:v>
      </x:c>
    </x:row>
    <x:row r="18" ht="21" customHeight="1">
      <x:c r="A18" s="15" t="n">
        <x:f>'Control Room'!$B$1+16</x:f>
        <x:v>73007</x:v>
      </x:c>
      <x:c r="B18" s="9" t="n">
        <x:f>MOD(C17*16807,2147483647)</x:f>
        <x:v>993424193</x:v>
      </x:c>
      <x:c r="C18" s="9" t="n">
        <x:f>MOD(B18*16807,2147483647)</x:f>
        <x:v>1942539973</x:v>
      </x:c>
      <x:c r="D18" s="17" t="n">
        <x:f>IF('Control Room'!$B$5="Normal",'Control Room'!$B$7+'Control Room'!$D$7*SQRT(-2*LN(MAX(0.000000000001,B18/2147483647)))*COS(2*PI()*C18/2147483647),'Control Room'!$B$8+('Control Room'!$D$8-'Control Room'!$B$8)*B18/2147483647)</x:f>
        <x:v>1092.2560629134427</x:v>
      </x:c>
      <x:c r="E18" s="17" t="n">
        <x:f>IF('Control Room'!$B$5="Normal",'Control Room'!$B$7,('Control Room'!$B$8+'Control Room'!$D$8)/2)+'Control Room'!$B$9*(E17-IF('Control Room'!$B$5="Normal",'Control Room'!$B$7,('Control Room'!$B$8+'Control Room'!$D$8)/2))+SQRT(1-'Control Room'!$B$9^2)*(D18-IF('Control Room'!$B$5="Normal",'Control Room'!$B$7,('Control Room'!$B$8+'Control Room'!$D$8)/2))</x:f>
        <x:v>1056.7246603871693</x:v>
      </x:c>
      <x:c r="F18" s="17" t="n">
        <x:f>IF(AND($A18&gt;='Control Room'!$A$13,$A18&lt;'Control Room'!$A$13+'Control Room'!$B$13,'Process'!BK2=1),1+('Control Room'!$C$13-1)*EXP(-0.5*(($A18-'Control Room'!$A$13-('Control Room'!$B$13-1)/2)/MAX(0.5,'Control Room'!$B$13/4))^2),1)*IF(AND($A18&gt;='Control Room'!$A$14,$A18&lt;'Control Room'!$A$14+'Control Room'!$B$14,'Process'!BK3=1),1+('Control Room'!$C$14-1)*EXP(-0.5*(($A18-'Control Room'!$A$14-('Control Room'!$B$14-1)/2)/MAX(0.5,'Control Room'!$B$14/4))^2),1)*IF(AND($A18&gt;='Control Room'!$A$15,$A18&lt;'Control Room'!$A$15+'Control Room'!$B$15,'Process'!BK4=1),1+('Control Room'!$C$15-1)*EXP(-0.5*(($A18-'Control Room'!$A$15-('Control Room'!$B$15-1)/2)/MAX(0.5,'Control Room'!$B$15/4))^2),1)*IF(AND($A18&gt;='Control Room'!$A$16,$A18&lt;'Control Room'!$A$16+'Control Room'!$B$16,'Process'!BK5=1),1+('Control Room'!$C$16-1)*EXP(-0.5*(($A18-'Control Room'!$A$16-('Control Room'!$B$16-1)/2)/MAX(0.5,'Control Room'!$B$16/4))^2),1)</x:f>
        <x:v>1</x:v>
      </x:c>
      <x:c r="G18" s="9" t="n">
        <x:f>MOD(H17*16807,2147483647)</x:f>
        <x:v>1937400999</x:v>
      </x:c>
      <x:c r="H18" s="9" t="n">
        <x:f>MOD(G18*16807,2147483647)</x:f>
        <x:v>1751534379</x:v>
      </x:c>
      <x:c r="I18" s="17" t="n">
        <x:f>IF('Control Room'!$B$5="Normal",'Control Room'!$B$7+'Control Room'!$D$7*SQRT(-2*LN(MAX(0.000000000001,G18/2147483647)))*COS(2*PI()*H18/2147483647),'Control Room'!$B$8+('Control Room'!$D$8-'Control Room'!$B$8)*G18/2147483647)</x:f>
        <x:v>1016.3652024985554</x:v>
      </x:c>
      <x:c r="J18" s="17" t="n">
        <x:f>IF('Control Room'!$B$5="Normal",'Control Room'!$B$7,('Control Room'!$B$8+'Control Room'!$D$8)/2)+'Control Room'!$B$9*(J17-IF('Control Room'!$B$5="Normal",'Control Room'!$B$7,('Control Room'!$B$8+'Control Room'!$D$8)/2))+SQRT(1-'Control Room'!$B$9^2)*(I18-IF('Control Room'!$B$5="Normal",'Control Room'!$B$7,('Control Room'!$B$8+'Control Room'!$D$8)/2))</x:f>
        <x:v>939.6580987376116</x:v>
      </x:c>
      <x:c r="K18" s="17" t="n">
        <x:f>IF(AND($A18&gt;='Control Room'!$A$13,$A18&lt;'Control Room'!$A$13+'Control Room'!$B$13,'Process'!BL2=1),1+('Control Room'!$C$13-1)*EXP(-0.5*(($A18-'Control Room'!$A$13-('Control Room'!$B$13-1)/2)/MAX(0.5,'Control Room'!$B$13/4))^2),1)*IF(AND($A18&gt;='Control Room'!$A$14,$A18&lt;'Control Room'!$A$14+'Control Room'!$B$14,'Process'!BL3=1),1+('Control Room'!$C$14-1)*EXP(-0.5*(($A18-'Control Room'!$A$14-('Control Room'!$B$14-1)/2)/MAX(0.5,'Control Room'!$B$14/4))^2),1)*IF(AND($A18&gt;='Control Room'!$A$15,$A18&lt;'Control Room'!$A$15+'Control Room'!$B$15,'Process'!BL4=1),1+('Control Room'!$C$15-1)*EXP(-0.5*(($A18-'Control Room'!$A$15-('Control Room'!$B$15-1)/2)/MAX(0.5,'Control Room'!$B$15/4))^2),1)*IF(AND($A18&gt;='Control Room'!$A$16,$A18&lt;'Control Room'!$A$16+'Control Room'!$B$16,'Process'!BL5=1),1+('Control Room'!$C$16-1)*EXP(-0.5*(($A18-'Control Room'!$A$16-('Control Room'!$B$16-1)/2)/MAX(0.5,'Control Room'!$B$16/4))^2),1)</x:f>
        <x:v>1</x:v>
      </x:c>
      <x:c r="L18" s="9" t="n">
        <x:f>MOD(M17*16807,2147483647)</x:f>
        <x:v>733894158</x:v>
      </x:c>
      <x:c r="M18" s="9" t="n">
        <x:f>MOD(L18*16807,2147483647)</x:f>
        <x:v>1560528785</x:v>
      </x:c>
      <x:c r="N18" s="17" t="n">
        <x:f>IF('Control Room'!$B$5="Normal",'Control Room'!$B$7+'Control Room'!$D$7*SQRT(-2*LN(MAX(0.000000000001,L18/2147483647)))*COS(2*PI()*M18/2147483647),'Control Room'!$B$8+('Control Room'!$D$8-'Control Room'!$B$8)*L18/2147483647)</x:f>
        <x:v>980.7429578910505</x:v>
      </x:c>
      <x:c r="O18" s="17" t="n">
        <x:f>IF('Control Room'!$B$5="Normal",'Control Room'!$B$7,('Control Room'!$B$8+'Control Room'!$D$8)/2)+'Control Room'!$B$9*(O17-IF('Control Room'!$B$5="Normal",'Control Room'!$B$7,('Control Room'!$B$8+'Control Room'!$D$8)/2))+SQRT(1-'Control Room'!$B$9^2)*(N18-IF('Control Room'!$B$5="Normal",'Control Room'!$B$7,('Control Room'!$B$8+'Control Room'!$D$8)/2))</x:f>
        <x:v>913.1270445362625</x:v>
      </x:c>
      <x:c r="P18" s="17" t="n">
        <x:f>IF(AND($A18&gt;='Control Room'!$A$13,$A18&lt;'Control Room'!$A$13+'Control Room'!$B$13,'Process'!BM2=1),1+('Control Room'!$C$13-1)*EXP(-0.5*(($A18-'Control Room'!$A$13-('Control Room'!$B$13-1)/2)/MAX(0.5,'Control Room'!$B$13/4))^2),1)*IF(AND($A18&gt;='Control Room'!$A$14,$A18&lt;'Control Room'!$A$14+'Control Room'!$B$14,'Process'!BM3=1),1+('Control Room'!$C$14-1)*EXP(-0.5*(($A18-'Control Room'!$A$14-('Control Room'!$B$14-1)/2)/MAX(0.5,'Control Room'!$B$14/4))^2),1)*IF(AND($A18&gt;='Control Room'!$A$15,$A18&lt;'Control Room'!$A$15+'Control Room'!$B$15,'Process'!BM4=1),1+('Control Room'!$C$15-1)*EXP(-0.5*(($A18-'Control Room'!$A$15-('Control Room'!$B$15-1)/2)/MAX(0.5,'Control Room'!$B$15/4))^2),1)*IF(AND($A18&gt;='Control Room'!$A$16,$A18&lt;'Control Room'!$A$16+'Control Room'!$B$16,'Process'!BM5=1),1+('Control Room'!$C$16-1)*EXP(-0.5*(($A18-'Control Room'!$A$16-('Control Room'!$B$16-1)/2)/MAX(0.5,'Control Room'!$B$16/4))^2),1)</x:f>
        <x:v>1</x:v>
      </x:c>
      <x:c r="Q18" s="9" t="n">
        <x:f>MOD(R17*16807,2147483647)</x:f>
        <x:v>1677870964</x:v>
      </x:c>
      <x:c r="R18" s="9" t="n">
        <x:f>MOD(Q18*16807,2147483647)</x:f>
        <x:v>1369523191</x:v>
      </x:c>
      <x:c r="S18" s="17" t="n">
        <x:f>IF('Control Room'!$B$5="Normal",'Control Room'!$B$7+'Control Room'!$D$7*SQRT(-2*LN(MAX(0.000000000001,Q18/2147483647)))*COS(2*PI()*R18/2147483647),'Control Room'!$B$8+('Control Room'!$D$8-'Control Room'!$B$8)*Q18/2147483647)</x:f>
        <x:v>959.0078673984112</x:v>
      </x:c>
      <x:c r="T18" s="17" t="n">
        <x:f>IF('Control Room'!$B$5="Normal",'Control Room'!$B$7,('Control Room'!$B$8+'Control Room'!$D$8)/2)+'Control Room'!$B$9*(T17-IF('Control Room'!$B$5="Normal",'Control Room'!$B$7,('Control Room'!$B$8+'Control Room'!$D$8)/2))+SQRT(1-'Control Room'!$B$9^2)*(S18-IF('Control Room'!$B$5="Normal",'Control Room'!$B$7,('Control Room'!$B$8+'Control Room'!$D$8)/2))</x:f>
        <x:v>1063.6342352443826</x:v>
      </x:c>
      <x:c r="U18" s="17" t="n">
        <x:f>IF(AND($A18&gt;='Control Room'!$A$13,$A18&lt;'Control Room'!$A$13+'Control Room'!$B$13,'Process'!BN2=1),1+('Control Room'!$C$13-1)*EXP(-0.5*(($A18-'Control Room'!$A$13-('Control Room'!$B$13-1)/2)/MAX(0.5,'Control Room'!$B$13/4))^2),1)*IF(AND($A18&gt;='Control Room'!$A$14,$A18&lt;'Control Room'!$A$14+'Control Room'!$B$14,'Process'!BN3=1),1+('Control Room'!$C$14-1)*EXP(-0.5*(($A18-'Control Room'!$A$14-('Control Room'!$B$14-1)/2)/MAX(0.5,'Control Room'!$B$14/4))^2),1)*IF(AND($A18&gt;='Control Room'!$A$15,$A18&lt;'Control Room'!$A$15+'Control Room'!$B$15,'Process'!BN4=1),1+('Control Room'!$C$15-1)*EXP(-0.5*(($A18-'Control Room'!$A$15-('Control Room'!$B$15-1)/2)/MAX(0.5,'Control Room'!$B$15/4))^2),1)*IF(AND($A18&gt;='Control Room'!$A$16,$A18&lt;'Control Room'!$A$16+'Control Room'!$B$16,'Process'!BN5=1),1+('Control Room'!$C$16-1)*EXP(-0.5*(($A18-'Control Room'!$A$16-('Control Room'!$B$16-1)/2)/MAX(0.5,'Control Room'!$B$16/4))^2),1)</x:f>
        <x:v>1</x:v>
      </x:c>
      <x:c r="V18" s="9" t="n">
        <x:f>MOD(W17*16807,2147483647)</x:f>
        <x:v>474364123</x:v>
      </x:c>
      <x:c r="W18" s="9" t="n">
        <x:f>MOD(V18*16807,2147483647)</x:f>
        <x:v>1178517597</x:v>
      </x:c>
      <x:c r="X18" s="17" t="n">
        <x:f>IF('Control Room'!$B$5="Normal",'Control Room'!$B$7+'Control Room'!$D$7*SQRT(-2*LN(MAX(0.000000000001,V18/2147483647)))*COS(2*PI()*W18/2147483647),'Control Room'!$B$8+('Control Room'!$D$8-'Control Room'!$B$8)*V18/2147483647)</x:f>
        <x:v>850.8846686079671</x:v>
      </x:c>
      <x:c r="Y18" s="17" t="n">
        <x:f>IF('Control Room'!$B$5="Normal",'Control Room'!$B$7,('Control Room'!$B$8+'Control Room'!$D$8)/2)+'Control Room'!$B$9*(Y17-IF('Control Room'!$B$5="Normal",'Control Room'!$B$7,('Control Room'!$B$8+'Control Room'!$D$8)/2))+SQRT(1-'Control Room'!$B$9^2)*(X18-IF('Control Room'!$B$5="Normal",'Control Room'!$B$7,('Control Room'!$B$8+'Control Room'!$D$8)/2))</x:f>
        <x:v>870.3830064287654</x:v>
      </x:c>
      <x:c r="Z18" s="17" t="n">
        <x:f>IF(AND($A18&gt;='Control Room'!$A$13,$A18&lt;'Control Room'!$A$13+'Control Room'!$B$13,'Process'!BO2=1),1+('Control Room'!$C$13-1)*EXP(-0.5*(($A18-'Control Room'!$A$13-('Control Room'!$B$13-1)/2)/MAX(0.5,'Control Room'!$B$13/4))^2),1)*IF(AND($A18&gt;='Control Room'!$A$14,$A18&lt;'Control Room'!$A$14+'Control Room'!$B$14,'Process'!BO3=1),1+('Control Room'!$C$14-1)*EXP(-0.5*(($A18-'Control Room'!$A$14-('Control Room'!$B$14-1)/2)/MAX(0.5,'Control Room'!$B$14/4))^2),1)*IF(AND($A18&gt;='Control Room'!$A$15,$A18&lt;'Control Room'!$A$15+'Control Room'!$B$15,'Process'!BO4=1),1+('Control Room'!$C$15-1)*EXP(-0.5*(($A18-'Control Room'!$A$15-('Control Room'!$B$15-1)/2)/MAX(0.5,'Control Room'!$B$15/4))^2),1)*IF(AND($A18&gt;='Control Room'!$A$16,$A18&lt;'Control Room'!$A$16+'Control Room'!$B$16,'Process'!BO5=1),1+('Control Room'!$C$16-1)*EXP(-0.5*(($A18-'Control Room'!$A$16-('Control Room'!$B$16-1)/2)/MAX(0.5,'Control Room'!$B$16/4))^2),1)</x:f>
        <x:v>1</x:v>
      </x:c>
      <x:c r="AA18" s="9" t="n">
        <x:f>MOD(AB17*16807,2147483647)</x:f>
        <x:v>1418340929</x:v>
      </x:c>
      <x:c r="AB18" s="9" t="n">
        <x:f>MOD(AA18*16807,2147483647)</x:f>
        <x:v>987512003</x:v>
      </x:c>
      <x:c r="AC18" s="17" t="n">
        <x:f>IF('Control Room'!$B$5="Normal",'Control Room'!$B$7+'Control Room'!$D$7*SQRT(-2*LN(MAX(0.000000000001,AA18/2147483647)))*COS(2*PI()*AB18/2147483647),'Control Room'!$B$8+('Control Room'!$D$8-'Control Room'!$B$8)*AA18/2147483647)</x:f>
        <x:v>920.6201203546916</x:v>
      </x:c>
      <x:c r="AD18" s="17" t="n">
        <x:f>IF('Control Room'!$B$5="Normal",'Control Room'!$B$7,('Control Room'!$B$8+'Control Room'!$D$8)/2)+'Control Room'!$B$9*(AD17-IF('Control Room'!$B$5="Normal",'Control Room'!$B$7,('Control Room'!$B$8+'Control Room'!$D$8)/2))+SQRT(1-'Control Room'!$B$9^2)*(AC18-IF('Control Room'!$B$5="Normal",'Control Room'!$B$7,('Control Room'!$B$8+'Control Room'!$D$8)/2))</x:f>
        <x:v>876.0373252211114</x:v>
      </x:c>
      <x:c r="AE18" s="17" t="n">
        <x:f>IF(AND($A18&gt;='Control Room'!$A$13,$A18&lt;'Control Room'!$A$13+'Control Room'!$B$13,'Process'!BP2=1),1+('Control Room'!$C$13-1)*EXP(-0.5*(($A18-'Control Room'!$A$13-('Control Room'!$B$13-1)/2)/MAX(0.5,'Control Room'!$B$13/4))^2),1)*IF(AND($A18&gt;='Control Room'!$A$14,$A18&lt;'Control Room'!$A$14+'Control Room'!$B$14,'Process'!BP3=1),1+('Control Room'!$C$14-1)*EXP(-0.5*(($A18-'Control Room'!$A$14-('Control Room'!$B$14-1)/2)/MAX(0.5,'Control Room'!$B$14/4))^2),1)*IF(AND($A18&gt;='Control Room'!$A$15,$A18&lt;'Control Room'!$A$15+'Control Room'!$B$15,'Process'!BP4=1),1+('Control Room'!$C$15-1)*EXP(-0.5*(($A18-'Control Room'!$A$15-('Control Room'!$B$15-1)/2)/MAX(0.5,'Control Room'!$B$15/4))^2),1)*IF(AND($A18&gt;='Control Room'!$A$16,$A18&lt;'Control Room'!$A$16+'Control Room'!$B$16,'Process'!BP5=1),1+('Control Room'!$C$16-1)*EXP(-0.5*(($A18-'Control Room'!$A$16-('Control Room'!$B$16-1)/2)/MAX(0.5,'Control Room'!$B$16/4))^2),1)</x:f>
        <x:v>1</x:v>
      </x:c>
      <x:c r="AF18" s="9" t="n">
        <x:f>MOD(AG17*16807,2147483647)</x:f>
        <x:v>214834088</x:v>
      </x:c>
      <x:c r="AG18" s="9" t="n">
        <x:f>MOD(AF18*16807,2147483647)</x:f>
        <x:v>796506409</x:v>
      </x:c>
      <x:c r="AH18" s="17" t="n">
        <x:f>IF('Control Room'!$B$5="Normal",'Control Room'!$B$7+'Control Room'!$D$7*SQRT(-2*LN(MAX(0.000000000001,AF18/2147483647)))*COS(2*PI()*AG18/2147483647),'Control Room'!$B$8+('Control Room'!$D$8-'Control Room'!$B$8)*AF18/2147483647)</x:f>
        <x:v>867.0042218024983</x:v>
      </x:c>
      <x:c r="AI18" s="17" t="n">
        <x:f>IF('Control Room'!$B$5="Normal",'Control Room'!$B$7,('Control Room'!$B$8+'Control Room'!$D$8)/2)+'Control Room'!$B$9*(AI17-IF('Control Room'!$B$5="Normal",'Control Room'!$B$7,('Control Room'!$B$8+'Control Room'!$D$8)/2))+SQRT(1-'Control Room'!$B$9^2)*(AH18-IF('Control Room'!$B$5="Normal",'Control Room'!$B$7,('Control Room'!$B$8+'Control Room'!$D$8)/2))</x:f>
        <x:v>909.3815641253443</x:v>
      </x:c>
      <x:c r="AJ18" s="17" t="n">
        <x:f>IF(AND($A18&gt;='Control Room'!$A$13,$A18&lt;'Control Room'!$A$13+'Control Room'!$B$13,'Process'!BQ2=1),1+('Control Room'!$C$13-1)*EXP(-0.5*(($A18-'Control Room'!$A$13-('Control Room'!$B$13-1)/2)/MAX(0.5,'Control Room'!$B$13/4))^2),1)*IF(AND($A18&gt;='Control Room'!$A$14,$A18&lt;'Control Room'!$A$14+'Control Room'!$B$14,'Process'!BQ3=1),1+('Control Room'!$C$14-1)*EXP(-0.5*(($A18-'Control Room'!$A$14-('Control Room'!$B$14-1)/2)/MAX(0.5,'Control Room'!$B$14/4))^2),1)*IF(AND($A18&gt;='Control Room'!$A$15,$A18&lt;'Control Room'!$A$15+'Control Room'!$B$15,'Process'!BQ4=1),1+('Control Room'!$C$15-1)*EXP(-0.5*(($A18-'Control Room'!$A$15-('Control Room'!$B$15-1)/2)/MAX(0.5,'Control Room'!$B$15/4))^2),1)*IF(AND($A18&gt;='Control Room'!$A$16,$A18&lt;'Control Room'!$A$16+'Control Room'!$B$16,'Process'!BQ5=1),1+('Control Room'!$C$16-1)*EXP(-0.5*(($A18-'Control Room'!$A$16-('Control Room'!$B$16-1)/2)/MAX(0.5,'Control Room'!$B$16/4))^2),1)</x:f>
        <x:v>1</x:v>
      </x:c>
      <x:c r="AK18" s="9" t="n">
        <x:f>MOD(AL17*16807,2147483647)</x:f>
        <x:v>1158810894</x:v>
      </x:c>
      <x:c r="AL18" s="9" t="n">
        <x:f>MOD(AK18*16807,2147483647)</x:f>
        <x:v>605500815</x:v>
      </x:c>
      <x:c r="AM18" s="17" t="n">
        <x:f>IF('Control Room'!$B$5="Normal",'Control Room'!$B$7+'Control Room'!$D$7*SQRT(-2*LN(MAX(0.000000000001,AK18/2147483647)))*COS(2*PI()*AL18/2147483647),'Control Room'!$B$8+('Control Room'!$D$8-'Control Room'!$B$8)*AK18/2147483647)</x:f>
        <x:v>980.0608480317867</x:v>
      </x:c>
      <x:c r="AN18" s="17" t="n">
        <x:f>IF('Control Room'!$B$5="Normal",'Control Room'!$B$7,('Control Room'!$B$8+'Control Room'!$D$8)/2)+'Control Room'!$B$9*(AN17-IF('Control Room'!$B$5="Normal",'Control Room'!$B$7,('Control Room'!$B$8+'Control Room'!$D$8)/2))+SQRT(1-'Control Room'!$B$9^2)*(AM18-IF('Control Room'!$B$5="Normal",'Control Room'!$B$7,('Control Room'!$B$8+'Control Room'!$D$8)/2))</x:f>
        <x:v>1025.64000900345</x:v>
      </x:c>
      <x:c r="AO18" s="17" t="n">
        <x:f>IF(AND($A18&gt;='Control Room'!$A$13,$A18&lt;'Control Room'!$A$13+'Control Room'!$B$13,'Process'!BR2=1),1+('Control Room'!$C$13-1)*EXP(-0.5*(($A18-'Control Room'!$A$13-('Control Room'!$B$13-1)/2)/MAX(0.5,'Control Room'!$B$13/4))^2),1)*IF(AND($A18&gt;='Control Room'!$A$14,$A18&lt;'Control Room'!$A$14+'Control Room'!$B$14,'Process'!BR3=1),1+('Control Room'!$C$14-1)*EXP(-0.5*(($A18-'Control Room'!$A$14-('Control Room'!$B$14-1)/2)/MAX(0.5,'Control Room'!$B$14/4))^2),1)*IF(AND($A18&gt;='Control Room'!$A$15,$A18&lt;'Control Room'!$A$15+'Control Room'!$B$15,'Process'!BR4=1),1+('Control Room'!$C$15-1)*EXP(-0.5*(($A18-'Control Room'!$A$15-('Control Room'!$B$15-1)/2)/MAX(0.5,'Control Room'!$B$15/4))^2),1)*IF(AND($A18&gt;='Control Room'!$A$16,$A18&lt;'Control Room'!$A$16+'Control Room'!$B$16,'Process'!BR5=1),1+('Control Room'!$C$16-1)*EXP(-0.5*(($A18-'Control Room'!$A$16-('Control Room'!$B$16-1)/2)/MAX(0.5,'Control Room'!$B$16/4))^2),1)</x:f>
        <x:v>1</x:v>
      </x:c>
      <x:c r="AP18" s="9" t="n">
        <x:f>MOD(AQ17*16807,2147483647)</x:f>
        <x:v>2102787700</x:v>
      </x:c>
      <x:c r="AQ18" s="9" t="n">
        <x:f>MOD(AP18*16807,2147483647)</x:f>
        <x:v>414495221</x:v>
      </x:c>
      <x:c r="AR18" s="17" t="n">
        <x:f>IF('Control Room'!$B$5="Normal",'Control Room'!$B$7+'Control Room'!$D$7*SQRT(-2*LN(MAX(0.000000000001,AP18/2147483647)))*COS(2*PI()*AQ18/2147483647),'Control Room'!$B$8+('Control Room'!$D$8-'Control Room'!$B$8)*AP18/2147483647)</x:f>
        <x:v>1006.4689226374812</x:v>
      </x:c>
      <x:c r="AS18" s="17" t="n">
        <x:f>IF('Control Room'!$B$5="Normal",'Control Room'!$B$7,('Control Room'!$B$8+'Control Room'!$D$8)/2)+'Control Room'!$B$9*(AS17-IF('Control Room'!$B$5="Normal",'Control Room'!$B$7,('Control Room'!$B$8+'Control Room'!$D$8)/2))+SQRT(1-'Control Room'!$B$9^2)*(AR18-IF('Control Room'!$B$5="Normal",'Control Room'!$B$7,('Control Room'!$B$8+'Control Room'!$D$8)/2))</x:f>
        <x:v>1057.9822420954115</x:v>
      </x:c>
      <x:c r="AT18" s="17" t="n">
        <x:f>IF(AND($A18&gt;='Control Room'!$A$13,$A18&lt;'Control Room'!$A$13+'Control Room'!$B$13,'Process'!BS2=1),1+('Control Room'!$C$13-1)*EXP(-0.5*(($A18-'Control Room'!$A$13-('Control Room'!$B$13-1)/2)/MAX(0.5,'Control Room'!$B$13/4))^2),1)*IF(AND($A18&gt;='Control Room'!$A$14,$A18&lt;'Control Room'!$A$14+'Control Room'!$B$14,'Process'!BS3=1),1+('Control Room'!$C$14-1)*EXP(-0.5*(($A18-'Control Room'!$A$14-('Control Room'!$B$14-1)/2)/MAX(0.5,'Control Room'!$B$14/4))^2),1)*IF(AND($A18&gt;='Control Room'!$A$15,$A18&lt;'Control Room'!$A$15+'Control Room'!$B$15,'Process'!BS4=1),1+('Control Room'!$C$15-1)*EXP(-0.5*(($A18-'Control Room'!$A$15-('Control Room'!$B$15-1)/2)/MAX(0.5,'Control Room'!$B$15/4))^2),1)*IF(AND($A18&gt;='Control Room'!$A$16,$A18&lt;'Control Room'!$A$16+'Control Room'!$B$16,'Process'!BS5=1),1+('Control Room'!$C$16-1)*EXP(-0.5*(($A18-'Control Room'!$A$16-('Control Room'!$B$16-1)/2)/MAX(0.5,'Control Room'!$B$16/4))^2),1)</x:f>
        <x:v>1</x:v>
      </x:c>
      <x:c r="AU18" s="9" t="n">
        <x:f>MOD(AV17*16807,2147483647)</x:f>
        <x:v>899280859</x:v>
      </x:c>
      <x:c r="AV18" s="9" t="n">
        <x:f>MOD(AU18*16807,2147483647)</x:f>
        <x:v>223489627</x:v>
      </x:c>
      <x:c r="AW18" s="17" t="n">
        <x:f>IF('Control Room'!$B$5="Normal",'Control Room'!$B$7+'Control Room'!$D$7*SQRT(-2*LN(MAX(0.000000000001,AU18/2147483647)))*COS(2*PI()*AV18/2147483647),'Control Room'!$B$8+('Control Room'!$D$8-'Control Room'!$B$8)*AU18/2147483647)</x:f>
        <x:v>1094.2538358138522</x:v>
      </x:c>
      <x:c r="AX18" s="17" t="n">
        <x:f>IF('Control Room'!$B$5="Normal",'Control Room'!$B$7,('Control Room'!$B$8+'Control Room'!$D$8)/2)+'Control Room'!$B$9*(AX17-IF('Control Room'!$B$5="Normal",'Control Room'!$B$7,('Control Room'!$B$8+'Control Room'!$D$8)/2))+SQRT(1-'Control Room'!$B$9^2)*(AW18-IF('Control Room'!$B$5="Normal",'Control Room'!$B$7,('Control Room'!$B$8+'Control Room'!$D$8)/2))</x:f>
        <x:v>1009.1542361462801</x:v>
      </x:c>
      <x:c r="AY18" s="17" t="n">
        <x:f>IF(AND($A18&gt;='Control Room'!$A$13,$A18&lt;'Control Room'!$A$13+'Control Room'!$B$13,'Process'!BT2=1),1+('Control Room'!$C$13-1)*EXP(-0.5*(($A18-'Control Room'!$A$13-('Control Room'!$B$13-1)/2)/MAX(0.5,'Control Room'!$B$13/4))^2),1)*IF(AND($A18&gt;='Control Room'!$A$14,$A18&lt;'Control Room'!$A$14+'Control Room'!$B$14,'Process'!BT3=1),1+('Control Room'!$C$14-1)*EXP(-0.5*(($A18-'Control Room'!$A$14-('Control Room'!$B$14-1)/2)/MAX(0.5,'Control Room'!$B$14/4))^2),1)*IF(AND($A18&gt;='Control Room'!$A$15,$A18&lt;'Control Room'!$A$15+'Control Room'!$B$15,'Process'!BT4=1),1+('Control Room'!$C$15-1)*EXP(-0.5*(($A18-'Control Room'!$A$15-('Control Room'!$B$15-1)/2)/MAX(0.5,'Control Room'!$B$15/4))^2),1)*IF(AND($A18&gt;='Control Room'!$A$16,$A18&lt;'Control Room'!$A$16+'Control Room'!$B$16,'Process'!BT5=1),1+('Control Room'!$C$16-1)*EXP(-0.5*(($A18-'Control Room'!$A$16-('Control Room'!$B$16-1)/2)/MAX(0.5,'Control Room'!$B$16/4))^2),1)</x:f>
        <x:v>1</x:v>
      </x:c>
      <x:c r="AZ18" s="9" t="n">
        <x:f>MOD(BA17*16807,2147483647)</x:f>
        <x:v>1843257665</x:v>
      </x:c>
      <x:c r="BA18" s="9" t="n">
        <x:f>MOD(AZ18*16807,2147483647)</x:f>
        <x:v>32484033</x:v>
      </x:c>
      <x:c r="BB18" s="17" t="n">
        <x:f>IF('Control Room'!$B$5="Normal",'Control Room'!$B$7+'Control Room'!$D$7*SQRT(-2*LN(MAX(0.000000000001,AZ18/2147483647)))*COS(2*PI()*BA18/2147483647),'Control Room'!$B$8+('Control Room'!$D$8-'Control Room'!$B$8)*AZ18/2147483647)</x:f>
        <x:v>1049.522332460467</x:v>
      </x:c>
      <x:c r="BC18" s="17" t="n">
        <x:f>IF('Control Room'!$B$5="Normal",'Control Room'!$B$7,('Control Room'!$B$8+'Control Room'!$D$8)/2)+'Control Room'!$B$9*(BC17-IF('Control Room'!$B$5="Normal",'Control Room'!$B$7,('Control Room'!$B$8+'Control Room'!$D$8)/2))+SQRT(1-'Control Room'!$B$9^2)*(BB18-IF('Control Room'!$B$5="Normal",'Control Room'!$B$7,('Control Room'!$B$8+'Control Room'!$D$8)/2))</x:f>
        <x:v>896.147992626755</x:v>
      </x:c>
      <x:c r="BD18" s="17" t="n">
        <x:f>IF(AND($A18&gt;='Control Room'!$A$13,$A18&lt;'Control Room'!$A$13+'Control Room'!$B$13,'Process'!BU2=1),1+('Control Room'!$C$13-1)*EXP(-0.5*(($A18-'Control Room'!$A$13-('Control Room'!$B$13-1)/2)/MAX(0.5,'Control Room'!$B$13/4))^2),1)*IF(AND($A18&gt;='Control Room'!$A$14,$A18&lt;'Control Room'!$A$14+'Control Room'!$B$14,'Process'!BU3=1),1+('Control Room'!$C$14-1)*EXP(-0.5*(($A18-'Control Room'!$A$14-('Control Room'!$B$14-1)/2)/MAX(0.5,'Control Room'!$B$14/4))^2),1)*IF(AND($A18&gt;='Control Room'!$A$15,$A18&lt;'Control Room'!$A$15+'Control Room'!$B$15,'Process'!BU4=1),1+('Control Room'!$C$15-1)*EXP(-0.5*(($A18-'Control Room'!$A$15-('Control Room'!$B$15-1)/2)/MAX(0.5,'Control Room'!$B$15/4))^2),1)*IF(AND($A18&gt;='Control Room'!$A$16,$A18&lt;'Control Room'!$A$16+'Control Room'!$B$16,'Process'!BU5=1),1+('Control Room'!$C$16-1)*EXP(-0.5*(($A18-'Control Room'!$A$16-('Control Room'!$B$16-1)/2)/MAX(0.5,'Control Room'!$B$16/4))^2),1)</x:f>
        <x:v>1</x:v>
      </x:c>
      <x:c r="BE18" s="9" t="n">
        <x:f>MOD(BF17*16807,2147483647)</x:f>
        <x:v>639750824</x:v>
      </x:c>
      <x:c r="BF18" s="9" t="n">
        <x:f>MOD(BE18*16807,2147483647)</x:f>
        <x:v>1988962086</x:v>
      </x:c>
      <x:c r="BG18" s="17" t="n">
        <x:f>IF('Control Room'!$B$5="Normal",'Control Room'!$B$7+'Control Room'!$D$7*SQRT(-2*LN(MAX(0.000000000001,BE18/2147483647)))*COS(2*PI()*BF18/2147483647),'Control Room'!$B$8+('Control Room'!$D$8-'Control Room'!$B$8)*BE18/2147483647)</x:f>
        <x:v>1125.2664932541115</x:v>
      </x:c>
      <x:c r="BH18" s="17" t="n">
        <x:f>IF('Control Room'!$B$5="Normal",'Control Room'!$B$7,('Control Room'!$B$8+'Control Room'!$D$8)/2)+'Control Room'!$B$9*(BH17-IF('Control Room'!$B$5="Normal",'Control Room'!$B$7,('Control Room'!$B$8+'Control Room'!$D$8)/2))+SQRT(1-'Control Room'!$B$9^2)*(BG18-IF('Control Room'!$B$5="Normal",'Control Room'!$B$7,('Control Room'!$B$8+'Control Room'!$D$8)/2))</x:f>
        <x:v>1194.9829662288848</x:v>
      </x:c>
      <x:c r="BI18" s="17" t="n">
        <x:f>IF(AND($A18&gt;='Control Room'!$A$13,$A18&lt;'Control Room'!$A$13+'Control Room'!$B$13,'Process'!BV2=1),1+('Control Room'!$C$13-1)*EXP(-0.5*(($A18-'Control Room'!$A$13-('Control Room'!$B$13-1)/2)/MAX(0.5,'Control Room'!$B$13/4))^2),1)*IF(AND($A18&gt;='Control Room'!$A$14,$A18&lt;'Control Room'!$A$14+'Control Room'!$B$14,'Process'!BV3=1),1+('Control Room'!$C$14-1)*EXP(-0.5*(($A18-'Control Room'!$A$14-('Control Room'!$B$14-1)/2)/MAX(0.5,'Control Room'!$B$14/4))^2),1)*IF(AND($A18&gt;='Control Room'!$A$15,$A18&lt;'Control Room'!$A$15+'Control Room'!$B$15,'Process'!BV4=1),1+('Control Room'!$C$15-1)*EXP(-0.5*(($A18-'Control Room'!$A$15-('Control Room'!$B$15-1)/2)/MAX(0.5,'Control Room'!$B$15/4))^2),1)*IF(AND($A18&gt;='Control Room'!$A$16,$A18&lt;'Control Room'!$A$16+'Control Room'!$B$16,'Process'!BV5=1),1+('Control Room'!$C$16-1)*EXP(-0.5*(($A18-'Control Room'!$A$16-('Control Room'!$B$16-1)/2)/MAX(0.5,'Control Room'!$B$16/4))^2),1)</x:f>
        <x:v>1</x:v>
      </x:c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 t="str">
        <x:f>IF('Control Room'!F12&gt;'Control Room'!$B$2,"Inactive",IF(OR(TRIM('Control Room'!G12)="",'Control Room'!G12&lt;&gt;TRIM('Control Room'!G12),LEN('Control Room'!G12)&gt;80,LOWER('Control Room'!G12)="total",COUNTIFS('Control Room'!$G$4:$G$15,'Control Room'!G12,'Control Room'!$F$4:$F$15,"&lt;="&amp;'Control Room'!$B$2)&gt;1),"Invalid name","Active"))</x:f>
        <x:v>Inactive</x:v>
      </x:c>
      <x:c r="BZ18" t="str">
        <x:f>IF('Data'!A18="","",TEXT('Data'!A18,"mm-dd"))</x:f>
        <x:v>11-18</x:v>
      </x:c>
    </x:row>
    <x:row r="19" ht="21" customHeight="1">
      <x:c r="A19" s="15" t="n">
        <x:f>'Control Room'!$B$1+17</x:f>
        <x:v>73008</x:v>
      </x:c>
      <x:c r="B19" s="9" t="n">
        <x:f>MOD(C18*16807,2147483647)</x:f>
        <x:v>75440870</x:v>
      </x:c>
      <x:c r="C19" s="9" t="n">
        <x:f>MOD(B19*16807,2147483647)</x:f>
        <x:v>919350360</x:v>
      </x:c>
      <x:c r="D19" s="17" t="n">
        <x:f>IF('Control Room'!$B$5="Normal",'Control Room'!$B$7+'Control Room'!$D$7*SQRT(-2*LN(MAX(0.000000000001,B19/2147483647)))*COS(2*PI()*C19/2147483647),'Control Room'!$B$8+('Control Room'!$D$8-'Control Room'!$B$8)*B19/2147483647)</x:f>
        <x:v>790.4481393911208</x:v>
      </x:c>
      <x:c r="E19" s="17" t="n">
        <x:f>IF('Control Room'!$B$5="Normal",'Control Room'!$B$7,('Control Room'!$B$8+'Control Room'!$D$8)/2)+'Control Room'!$B$9*(E18-IF('Control Room'!$B$5="Normal",'Control Room'!$B$7,('Control Room'!$B$8+'Control Room'!$D$8)/2))+SQRT(1-'Control Room'!$B$9^2)*(D19-IF('Control Room'!$B$5="Normal",'Control Room'!$B$7,('Control Room'!$B$8+'Control Room'!$D$8)/2))</x:f>
        <x:v>913.11197363616</x:v>
      </x:c>
      <x:c r="F19" s="17" t="n">
        <x:f>IF(AND($A19&gt;='Control Room'!$A$13,$A19&lt;'Control Room'!$A$13+'Control Room'!$B$13,'Process'!BK2=1),1+('Control Room'!$C$13-1)*EXP(-0.5*(($A19-'Control Room'!$A$13-('Control Room'!$B$13-1)/2)/MAX(0.5,'Control Room'!$B$13/4))^2),1)*IF(AND($A19&gt;='Control Room'!$A$14,$A19&lt;'Control Room'!$A$14+'Control Room'!$B$14,'Process'!BK3=1),1+('Control Room'!$C$14-1)*EXP(-0.5*(($A19-'Control Room'!$A$14-('Control Room'!$B$14-1)/2)/MAX(0.5,'Control Room'!$B$14/4))^2),1)*IF(AND($A19&gt;='Control Room'!$A$15,$A19&lt;'Control Room'!$A$15+'Control Room'!$B$15,'Process'!BK4=1),1+('Control Room'!$C$15-1)*EXP(-0.5*(($A19-'Control Room'!$A$15-('Control Room'!$B$15-1)/2)/MAX(0.5,'Control Room'!$B$15/4))^2),1)*IF(AND($A19&gt;='Control Room'!$A$16,$A19&lt;'Control Room'!$A$16+'Control Room'!$B$16,'Process'!BK5=1),1+('Control Room'!$C$16-1)*EXP(-0.5*(($A19-'Control Room'!$A$16-('Control Room'!$B$16-1)/2)/MAX(0.5,'Control Room'!$B$16/4))^2),1)</x:f>
        <x:v>1</x:v>
      </x:c>
      <x:c r="G19" s="9" t="n">
        <x:f>MOD(H18*16807,2147483647)</x:f>
        <x:v>332474777</x:v>
      </x:c>
      <x:c r="H19" s="9" t="n">
        <x:f>MOD(G19*16807,2147483647)</x:f>
        <x:v>151127545</x:v>
      </x:c>
      <x:c r="I19" s="17" t="n">
        <x:f>IF('Control Room'!$B$5="Normal",'Control Room'!$B$7+'Control Room'!$D$7*SQRT(-2*LN(MAX(0.000000000001,G19/2147483647)))*COS(2*PI()*H19/2147483647),'Control Room'!$B$8+('Control Room'!$D$8-'Control Room'!$B$8)*G19/2147483647)</x:f>
        <x:v>1157.1221080968212</x:v>
      </x:c>
      <x:c r="J19" s="17" t="n">
        <x:f>IF('Control Room'!$B$5="Normal",'Control Room'!$B$7,('Control Room'!$B$8+'Control Room'!$D$8)/2)+'Control Room'!$B$9*(J18-IF('Control Room'!$B$5="Normal",'Control Room'!$B$7,('Control Room'!$B$8+'Control Room'!$D$8)/2))+SQRT(1-'Control Room'!$B$9^2)*(I19-IF('Control Room'!$B$5="Normal",'Control Room'!$B$7,('Control Room'!$B$8+'Control Room'!$D$8)/2))</x:f>
        <x:v>1051.2571134409848</x:v>
      </x:c>
      <x:c r="K19" s="17" t="n">
        <x:f>IF(AND($A19&gt;='Control Room'!$A$13,$A19&lt;'Control Room'!$A$13+'Control Room'!$B$13,'Process'!BL2=1),1+('Control Room'!$C$13-1)*EXP(-0.5*(($A19-'Control Room'!$A$13-('Control Room'!$B$13-1)/2)/MAX(0.5,'Control Room'!$B$13/4))^2),1)*IF(AND($A19&gt;='Control Room'!$A$14,$A19&lt;'Control Room'!$A$14+'Control Room'!$B$14,'Process'!BL3=1),1+('Control Room'!$C$14-1)*EXP(-0.5*(($A19-'Control Room'!$A$14-('Control Room'!$B$14-1)/2)/MAX(0.5,'Control Room'!$B$14/4))^2),1)*IF(AND($A19&gt;='Control Room'!$A$15,$A19&lt;'Control Room'!$A$15+'Control Room'!$B$15,'Process'!BL4=1),1+('Control Room'!$C$15-1)*EXP(-0.5*(($A19-'Control Room'!$A$15-('Control Room'!$B$15-1)/2)/MAX(0.5,'Control Room'!$B$15/4))^2),1)*IF(AND($A19&gt;='Control Room'!$A$16,$A19&lt;'Control Room'!$A$16+'Control Room'!$B$16,'Process'!BL5=1),1+('Control Room'!$C$16-1)*EXP(-0.5*(($A19-'Control Room'!$A$16-('Control Room'!$B$16-1)/2)/MAX(0.5,'Control Room'!$B$16/4))^2),1)</x:f>
        <x:v>1</x:v>
      </x:c>
      <x:c r="L19" s="9" t="n">
        <x:f>MOD(M18*16807,2147483647)</x:f>
        <x:v>589508684</x:v>
      </x:c>
      <x:c r="M19" s="9" t="n">
        <x:f>MOD(L19*16807,2147483647)</x:f>
        <x:v>1530388377</x:v>
      </x:c>
      <x:c r="N19" s="17" t="n">
        <x:f>IF('Control Room'!$B$5="Normal",'Control Room'!$B$7+'Control Room'!$D$7*SQRT(-2*LN(MAX(0.000000000001,L19/2147483647)))*COS(2*PI()*M19/2147483647),'Control Room'!$B$8+('Control Room'!$D$8-'Control Room'!$B$8)*L19/2147483647)</x:f>
        <x:v>966.3428073970214</x:v>
      </x:c>
      <x:c r="O19" s="17" t="n">
        <x:f>IF('Control Room'!$B$5="Normal",'Control Room'!$B$7,('Control Room'!$B$8+'Control Room'!$D$8)/2)+'Control Room'!$B$9*(O18-IF('Control Room'!$B$5="Normal",'Control Room'!$B$7,('Control Room'!$B$8+'Control Room'!$D$8)/2))+SQRT(1-'Control Room'!$B$9^2)*(N19-IF('Control Room'!$B$5="Normal",'Control Room'!$B$7,('Control Room'!$B$8+'Control Room'!$D$8)/2))</x:f>
        <x:v>911.1771131124091</x:v>
      </x:c>
      <x:c r="P19" s="17" t="n">
        <x:f>IF(AND($A19&gt;='Control Room'!$A$13,$A19&lt;'Control Room'!$A$13+'Control Room'!$B$13,'Process'!BM2=1),1+('Control Room'!$C$13-1)*EXP(-0.5*(($A19-'Control Room'!$A$13-('Control Room'!$B$13-1)/2)/MAX(0.5,'Control Room'!$B$13/4))^2),1)*IF(AND($A19&gt;='Control Room'!$A$14,$A19&lt;'Control Room'!$A$14+'Control Room'!$B$14,'Process'!BM3=1),1+('Control Room'!$C$14-1)*EXP(-0.5*(($A19-'Control Room'!$A$14-('Control Room'!$B$14-1)/2)/MAX(0.5,'Control Room'!$B$14/4))^2),1)*IF(AND($A19&gt;='Control Room'!$A$15,$A19&lt;'Control Room'!$A$15+'Control Room'!$B$15,'Process'!BM4=1),1+('Control Room'!$C$15-1)*EXP(-0.5*(($A19-'Control Room'!$A$15-('Control Room'!$B$15-1)/2)/MAX(0.5,'Control Room'!$B$15/4))^2),1)*IF(AND($A19&gt;='Control Room'!$A$16,$A19&lt;'Control Room'!$A$16+'Control Room'!$B$16,'Process'!BM5=1),1+('Control Room'!$C$16-1)*EXP(-0.5*(($A19-'Control Room'!$A$16-('Control Room'!$B$16-1)/2)/MAX(0.5,'Control Room'!$B$16/4))^2),1)</x:f>
        <x:v>1</x:v>
      </x:c>
      <x:c r="Q19" s="9" t="n">
        <x:f>MOD(R18*16807,2147483647)</x:f>
        <x:v>846542591</x:v>
      </x:c>
      <x:c r="R19" s="9" t="n">
        <x:f>MOD(Q19*16807,2147483647)</x:f>
        <x:v>762165562</x:v>
      </x:c>
      <x:c r="S19" s="17" t="n">
        <x:f>IF('Control Room'!$B$5="Normal",'Control Room'!$B$7+'Control Room'!$D$7*SQRT(-2*LN(MAX(0.000000000001,Q19/2147483647)))*COS(2*PI()*R19/2147483647),'Control Room'!$B$8+('Control Room'!$D$8-'Control Room'!$B$8)*Q19/2147483647)</x:f>
        <x:v>924.7877846005546</x:v>
      </x:c>
      <x:c r="T19" s="17" t="n">
        <x:f>IF('Control Room'!$B$5="Normal",'Control Room'!$B$7,('Control Room'!$B$8+'Control Room'!$D$8)/2)+'Control Room'!$B$9*(T18-IF('Control Room'!$B$5="Normal",'Control Room'!$B$7,('Control Room'!$B$8+'Control Room'!$D$8)/2))+SQRT(1-'Control Room'!$B$9^2)*(S19-IF('Control Room'!$B$5="Normal",'Control Room'!$B$7,('Control Room'!$B$8+'Control Room'!$D$8)/2))</x:f>
        <x:v>1002.5684398996282</x:v>
      </x:c>
      <x:c r="U19" s="17" t="n">
        <x:f>IF(AND($A19&gt;='Control Room'!$A$13,$A19&lt;'Control Room'!$A$13+'Control Room'!$B$13,'Process'!BN2=1),1+('Control Room'!$C$13-1)*EXP(-0.5*(($A19-'Control Room'!$A$13-('Control Room'!$B$13-1)/2)/MAX(0.5,'Control Room'!$B$13/4))^2),1)*IF(AND($A19&gt;='Control Room'!$A$14,$A19&lt;'Control Room'!$A$14+'Control Room'!$B$14,'Process'!BN3=1),1+('Control Room'!$C$14-1)*EXP(-0.5*(($A19-'Control Room'!$A$14-('Control Room'!$B$14-1)/2)/MAX(0.5,'Control Room'!$B$14/4))^2),1)*IF(AND($A19&gt;='Control Room'!$A$15,$A19&lt;'Control Room'!$A$15+'Control Room'!$B$15,'Process'!BN4=1),1+('Control Room'!$C$15-1)*EXP(-0.5*(($A19-'Control Room'!$A$15-('Control Room'!$B$15-1)/2)/MAX(0.5,'Control Room'!$B$15/4))^2),1)*IF(AND($A19&gt;='Control Room'!$A$16,$A19&lt;'Control Room'!$A$16+'Control Room'!$B$16,'Process'!BN5=1),1+('Control Room'!$C$16-1)*EXP(-0.5*(($A19-'Control Room'!$A$16-('Control Room'!$B$16-1)/2)/MAX(0.5,'Control Room'!$B$16/4))^2),1)</x:f>
        <x:v>1</x:v>
      </x:c>
      <x:c r="V19" s="9" t="n">
        <x:f>MOD(W18*16807,2147483647)</x:f>
        <x:v>1103576498</x:v>
      </x:c>
      <x:c r="W19" s="9" t="n">
        <x:f>MOD(V19*16807,2147483647)</x:f>
        <x:v>2141426394</x:v>
      </x:c>
      <x:c r="X19" s="17" t="n">
        <x:f>IF('Control Room'!$B$5="Normal",'Control Room'!$B$7+'Control Room'!$D$7*SQRT(-2*LN(MAX(0.000000000001,V19/2147483647)))*COS(2*PI()*W19/2147483647),'Control Room'!$B$8+('Control Room'!$D$8-'Control Room'!$B$8)*V19/2147483647)</x:f>
        <x:v>1103.8345265110731</x:v>
      </x:c>
      <x:c r="Y19" s="17" t="n">
        <x:f>IF('Control Room'!$B$5="Normal",'Control Room'!$B$7,('Control Room'!$B$8+'Control Room'!$D$8)/2)+'Control Room'!$B$9*(Y18-IF('Control Room'!$B$5="Normal",'Control Room'!$B$7,('Control Room'!$B$8+'Control Room'!$D$8)/2))+SQRT(1-'Control Room'!$B$9^2)*(X19-IF('Control Room'!$B$5="Normal",'Control Room'!$B$7,('Control Room'!$B$8+'Control Room'!$D$8)/2))</x:f>
        <x:v>963.8762645391693</x:v>
      </x:c>
      <x:c r="Z19" s="17" t="n">
        <x:f>IF(AND($A19&gt;='Control Room'!$A$13,$A19&lt;'Control Room'!$A$13+'Control Room'!$B$13,'Process'!BO2=1),1+('Control Room'!$C$13-1)*EXP(-0.5*(($A19-'Control Room'!$A$13-('Control Room'!$B$13-1)/2)/MAX(0.5,'Control Room'!$B$13/4))^2),1)*IF(AND($A19&gt;='Control Room'!$A$14,$A19&lt;'Control Room'!$A$14+'Control Room'!$B$14,'Process'!BO3=1),1+('Control Room'!$C$14-1)*EXP(-0.5*(($A19-'Control Room'!$A$14-('Control Room'!$B$14-1)/2)/MAX(0.5,'Control Room'!$B$14/4))^2),1)*IF(AND($A19&gt;='Control Room'!$A$15,$A19&lt;'Control Room'!$A$15+'Control Room'!$B$15,'Process'!BO4=1),1+('Control Room'!$C$15-1)*EXP(-0.5*(($A19-'Control Room'!$A$15-('Control Room'!$B$15-1)/2)/MAX(0.5,'Control Room'!$B$15/4))^2),1)*IF(AND($A19&gt;='Control Room'!$A$16,$A19&lt;'Control Room'!$A$16+'Control Room'!$B$16,'Process'!BO5=1),1+('Control Room'!$C$16-1)*EXP(-0.5*(($A19-'Control Room'!$A$16-('Control Room'!$B$16-1)/2)/MAX(0.5,'Control Room'!$B$16/4))^2),1)</x:f>
        <x:v>1</x:v>
      </x:c>
      <x:c r="AA19" s="9" t="n">
        <x:f>MOD(AB18*16807,2147483647)</x:f>
        <x:v>1360610405</x:v>
      </x:c>
      <x:c r="AB19" s="9" t="n">
        <x:f>MOD(AA19*16807,2147483647)</x:f>
        <x:v>1373203579</x:v>
      </x:c>
      <x:c r="AC19" s="17" t="n">
        <x:f>IF('Control Room'!$B$5="Normal",'Control Room'!$B$7+'Control Room'!$D$7*SQRT(-2*LN(MAX(0.000000000001,AA19/2147483647)))*COS(2*PI()*AB19/2147483647),'Control Room'!$B$8+('Control Room'!$D$8-'Control Room'!$B$8)*AA19/2147483647)</x:f>
        <x:v>944.9627821685624</x:v>
      </x:c>
      <x:c r="AD19" s="17" t="n">
        <x:f>IF('Control Room'!$B$5="Normal",'Control Room'!$B$7,('Control Room'!$B$8+'Control Room'!$D$8)/2)+'Control Room'!$B$9*(AD18-IF('Control Room'!$B$5="Normal",'Control Room'!$B$7,('Control Room'!$B$8+'Control Room'!$D$8)/2))+SQRT(1-'Control Room'!$B$9^2)*(AC19-IF('Control Room'!$B$5="Normal",'Control Room'!$B$7,('Control Room'!$B$8+'Control Room'!$D$8)/2))</x:f>
        <x:v>868.8679502522455</x:v>
      </x:c>
      <x:c r="AE19" s="17" t="n">
        <x:f>IF(AND($A19&gt;='Control Room'!$A$13,$A19&lt;'Control Room'!$A$13+'Control Room'!$B$13,'Process'!BP2=1),1+('Control Room'!$C$13-1)*EXP(-0.5*(($A19-'Control Room'!$A$13-('Control Room'!$B$13-1)/2)/MAX(0.5,'Control Room'!$B$13/4))^2),1)*IF(AND($A19&gt;='Control Room'!$A$14,$A19&lt;'Control Room'!$A$14+'Control Room'!$B$14,'Process'!BP3=1),1+('Control Room'!$C$14-1)*EXP(-0.5*(($A19-'Control Room'!$A$14-('Control Room'!$B$14-1)/2)/MAX(0.5,'Control Room'!$B$14/4))^2),1)*IF(AND($A19&gt;='Control Room'!$A$15,$A19&lt;'Control Room'!$A$15+'Control Room'!$B$15,'Process'!BP4=1),1+('Control Room'!$C$15-1)*EXP(-0.5*(($A19-'Control Room'!$A$15-('Control Room'!$B$15-1)/2)/MAX(0.5,'Control Room'!$B$15/4))^2),1)*IF(AND($A19&gt;='Control Room'!$A$16,$A19&lt;'Control Room'!$A$16+'Control Room'!$B$16,'Process'!BP5=1),1+('Control Room'!$C$16-1)*EXP(-0.5*(($A19-'Control Room'!$A$16-('Control Room'!$B$16-1)/2)/MAX(0.5,'Control Room'!$B$16/4))^2),1)</x:f>
        <x:v>1</x:v>
      </x:c>
      <x:c r="AF19" s="9" t="n">
        <x:f>MOD(AG18*16807,2147483647)</x:f>
        <x:v>1617644312</x:v>
      </x:c>
      <x:c r="AG19" s="9" t="n">
        <x:f>MOD(AF19*16807,2147483647)</x:f>
        <x:v>604980764</x:v>
      </x:c>
      <x:c r="AH19" s="17" t="n">
        <x:f>IF('Control Room'!$B$5="Normal",'Control Room'!$B$7+'Control Room'!$D$7*SQRT(-2*LN(MAX(0.000000000001,AF19/2147483647)))*COS(2*PI()*AG19/2147483647),'Control Room'!$B$8+('Control Room'!$D$8-'Control Room'!$B$8)*AF19/2147483647)</x:f>
        <x:v>986.5883486277113</x:v>
      </x:c>
      <x:c r="AI19" s="17" t="n">
        <x:f>IF('Control Room'!$B$5="Normal",'Control Room'!$B$7,('Control Room'!$B$8+'Control Room'!$D$8)/2)+'Control Room'!$B$9*(AI18-IF('Control Room'!$B$5="Normal",'Control Room'!$B$7,('Control Room'!$B$8+'Control Room'!$D$8)/2))+SQRT(1-'Control Room'!$B$9^2)*(AH19-IF('Control Room'!$B$5="Normal",'Control Room'!$B$7,('Control Room'!$B$8+'Control Room'!$D$8)/2))</x:f>
        <x:v>920.9248833416028</x:v>
      </x:c>
      <x:c r="AJ19" s="17" t="n">
        <x:f>IF(AND($A19&gt;='Control Room'!$A$13,$A19&lt;'Control Room'!$A$13+'Control Room'!$B$13,'Process'!BQ2=1),1+('Control Room'!$C$13-1)*EXP(-0.5*(($A19-'Control Room'!$A$13-('Control Room'!$B$13-1)/2)/MAX(0.5,'Control Room'!$B$13/4))^2),1)*IF(AND($A19&gt;='Control Room'!$A$14,$A19&lt;'Control Room'!$A$14+'Control Room'!$B$14,'Process'!BQ3=1),1+('Control Room'!$C$14-1)*EXP(-0.5*(($A19-'Control Room'!$A$14-('Control Room'!$B$14-1)/2)/MAX(0.5,'Control Room'!$B$14/4))^2),1)*IF(AND($A19&gt;='Control Room'!$A$15,$A19&lt;'Control Room'!$A$15+'Control Room'!$B$15,'Process'!BQ4=1),1+('Control Room'!$C$15-1)*EXP(-0.5*(($A19-'Control Room'!$A$15-('Control Room'!$B$15-1)/2)/MAX(0.5,'Control Room'!$B$15/4))^2),1)*IF(AND($A19&gt;='Control Room'!$A$16,$A19&lt;'Control Room'!$A$16+'Control Room'!$B$16,'Process'!BQ5=1),1+('Control Room'!$C$16-1)*EXP(-0.5*(($A19-'Control Room'!$A$16-('Control Room'!$B$16-1)/2)/MAX(0.5,'Control Room'!$B$16/4))^2),1)</x:f>
        <x:v>1</x:v>
      </x:c>
      <x:c r="AK19" s="9" t="n">
        <x:f>MOD(AL18*16807,2147483647)</x:f>
        <x:v>1874678219</x:v>
      </x:c>
      <x:c r="AL19" s="9" t="n">
        <x:f>MOD(AK19*16807,2147483647)</x:f>
        <x:v>1984241596</x:v>
      </x:c>
      <x:c r="AM19" s="17" t="n">
        <x:f>IF('Control Room'!$B$5="Normal",'Control Room'!$B$7+'Control Room'!$D$7*SQRT(-2*LN(MAX(0.000000000001,AK19/2147483647)))*COS(2*PI()*AL19/2147483647),'Control Room'!$B$8+('Control Room'!$D$8-'Control Room'!$B$8)*AK19/2147483647)</x:f>
        <x:v>1041.6639731930682</x:v>
      </x:c>
      <x:c r="AN19" s="17" t="n">
        <x:f>IF('Control Room'!$B$5="Normal",'Control Room'!$B$7,('Control Room'!$B$8+'Control Room'!$D$8)/2)+'Control Room'!$B$9*(AN18-IF('Control Room'!$B$5="Normal",'Control Room'!$B$7,('Control Room'!$B$8+'Control Room'!$D$8)/2))+SQRT(1-'Control Room'!$B$9^2)*(AM19-IF('Control Room'!$B$5="Normal",'Control Room'!$B$7,('Control Room'!$B$8+'Control Room'!$D$8)/2))</x:f>
        <x:v>1046.0716679140285</x:v>
      </x:c>
      <x:c r="AO19" s="17" t="n">
        <x:f>IF(AND($A19&gt;='Control Room'!$A$13,$A19&lt;'Control Room'!$A$13+'Control Room'!$B$13,'Process'!BR2=1),1+('Control Room'!$C$13-1)*EXP(-0.5*(($A19-'Control Room'!$A$13-('Control Room'!$B$13-1)/2)/MAX(0.5,'Control Room'!$B$13/4))^2),1)*IF(AND($A19&gt;='Control Room'!$A$14,$A19&lt;'Control Room'!$A$14+'Control Room'!$B$14,'Process'!BR3=1),1+('Control Room'!$C$14-1)*EXP(-0.5*(($A19-'Control Room'!$A$14-('Control Room'!$B$14-1)/2)/MAX(0.5,'Control Room'!$B$14/4))^2),1)*IF(AND($A19&gt;='Control Room'!$A$15,$A19&lt;'Control Room'!$A$15+'Control Room'!$B$15,'Process'!BR4=1),1+('Control Room'!$C$15-1)*EXP(-0.5*(($A19-'Control Room'!$A$15-('Control Room'!$B$15-1)/2)/MAX(0.5,'Control Room'!$B$15/4))^2),1)*IF(AND($A19&gt;='Control Room'!$A$16,$A19&lt;'Control Room'!$A$16+'Control Room'!$B$16,'Process'!BR5=1),1+('Control Room'!$C$16-1)*EXP(-0.5*(($A19-'Control Room'!$A$16-('Control Room'!$B$16-1)/2)/MAX(0.5,'Control Room'!$B$16/4))^2),1)</x:f>
        <x:v>1</x:v>
      </x:c>
      <x:c r="AP19" s="9" t="n">
        <x:f>MOD(AQ18*16807,2147483647)</x:f>
        <x:v>2131712126</x:v>
      </x:c>
      <x:c r="AQ19" s="9" t="n">
        <x:f>MOD(AP19*16807,2147483647)</x:f>
        <x:v>1216018781</x:v>
      </x:c>
      <x:c r="AR19" s="17" t="n">
        <x:f>IF('Control Room'!$B$5="Normal",'Control Room'!$B$7+'Control Room'!$D$7*SQRT(-2*LN(MAX(0.000000000001,AP19/2147483647)))*COS(2*PI()*AQ19/2147483647),'Control Room'!$B$8+('Control Room'!$D$8-'Control Room'!$B$8)*AP19/2147483647)</x:f>
        <x:v>990.0055170215078</x:v>
      </x:c>
      <x:c r="AS19" s="17" t="n">
        <x:f>IF('Control Room'!$B$5="Normal",'Control Room'!$B$7,('Control Room'!$B$8+'Control Room'!$D$8)/2)+'Control Room'!$B$9*(AS18-IF('Control Room'!$B$5="Normal",'Control Room'!$B$7,('Control Room'!$B$8+'Control Room'!$D$8)/2))+SQRT(1-'Control Room'!$B$9^2)*(AR19-IF('Control Room'!$B$5="Normal",'Control Room'!$B$7,('Control Room'!$B$8+'Control Room'!$D$8)/2))</x:f>
        <x:v>1038.9718061345934</x:v>
      </x:c>
      <x:c r="AT19" s="17" t="n">
        <x:f>IF(AND($A19&gt;='Control Room'!$A$13,$A19&lt;'Control Room'!$A$13+'Control Room'!$B$13,'Process'!BS2=1),1+('Control Room'!$C$13-1)*EXP(-0.5*(($A19-'Control Room'!$A$13-('Control Room'!$B$13-1)/2)/MAX(0.5,'Control Room'!$B$13/4))^2),1)*IF(AND($A19&gt;='Control Room'!$A$14,$A19&lt;'Control Room'!$A$14+'Control Room'!$B$14,'Process'!BS3=1),1+('Control Room'!$C$14-1)*EXP(-0.5*(($A19-'Control Room'!$A$14-('Control Room'!$B$14-1)/2)/MAX(0.5,'Control Room'!$B$14/4))^2),1)*IF(AND($A19&gt;='Control Room'!$A$15,$A19&lt;'Control Room'!$A$15+'Control Room'!$B$15,'Process'!BS4=1),1+('Control Room'!$C$15-1)*EXP(-0.5*(($A19-'Control Room'!$A$15-('Control Room'!$B$15-1)/2)/MAX(0.5,'Control Room'!$B$15/4))^2),1)*IF(AND($A19&gt;='Control Room'!$A$16,$A19&lt;'Control Room'!$A$16+'Control Room'!$B$16,'Process'!BS5=1),1+('Control Room'!$C$16-1)*EXP(-0.5*(($A19-'Control Room'!$A$16-('Control Room'!$B$16-1)/2)/MAX(0.5,'Control Room'!$B$16/4))^2),1)</x:f>
        <x:v>1</x:v>
      </x:c>
      <x:c r="AU19" s="9" t="n">
        <x:f>MOD(AV18*16807,2147483647)</x:f>
        <x:v>241262386</x:v>
      </x:c>
      <x:c r="AV19" s="9" t="n">
        <x:f>MOD(AU19*16807,2147483647)</x:f>
        <x:v>447795966</x:v>
      </x:c>
      <x:c r="AW19" s="17" t="n">
        <x:f>IF('Control Room'!$B$5="Normal",'Control Room'!$B$7+'Control Room'!$D$7*SQRT(-2*LN(MAX(0.000000000001,AU19/2147483647)))*COS(2*PI()*AV19/2147483647),'Control Room'!$B$8+('Control Room'!$D$8-'Control Room'!$B$8)*AU19/2147483647)</x:f>
        <x:v>1048.492792573803</x:v>
      </x:c>
      <x:c r="AX19" s="17" t="n">
        <x:f>IF('Control Room'!$B$5="Normal",'Control Room'!$B$7,('Control Room'!$B$8+'Control Room'!$D$8)/2)+'Control Room'!$B$9*(AX18-IF('Control Room'!$B$5="Normal",'Control Room'!$B$7,('Control Room'!$B$8+'Control Room'!$D$8)/2))+SQRT(1-'Control Room'!$B$9^2)*(AW19-IF('Control Room'!$B$5="Normal",'Control Room'!$B$7,('Control Room'!$B$8+'Control Room'!$D$8)/2))</x:f>
        <x:v>1037.4861003579308</x:v>
      </x:c>
      <x:c r="AY19" s="17" t="n">
        <x:f>IF(AND($A19&gt;='Control Room'!$A$13,$A19&lt;'Control Room'!$A$13+'Control Room'!$B$13,'Process'!BT2=1),1+('Control Room'!$C$13-1)*EXP(-0.5*(($A19-'Control Room'!$A$13-('Control Room'!$B$13-1)/2)/MAX(0.5,'Control Room'!$B$13/4))^2),1)*IF(AND($A19&gt;='Control Room'!$A$14,$A19&lt;'Control Room'!$A$14+'Control Room'!$B$14,'Process'!BT3=1),1+('Control Room'!$C$14-1)*EXP(-0.5*(($A19-'Control Room'!$A$14-('Control Room'!$B$14-1)/2)/MAX(0.5,'Control Room'!$B$14/4))^2),1)*IF(AND($A19&gt;='Control Room'!$A$15,$A19&lt;'Control Room'!$A$15+'Control Room'!$B$15,'Process'!BT4=1),1+('Control Room'!$C$15-1)*EXP(-0.5*(($A19-'Control Room'!$A$15-('Control Room'!$B$15-1)/2)/MAX(0.5,'Control Room'!$B$15/4))^2),1)*IF(AND($A19&gt;='Control Room'!$A$16,$A19&lt;'Control Room'!$A$16+'Control Room'!$B$16,'Process'!BT5=1),1+('Control Room'!$C$16-1)*EXP(-0.5*(($A19-'Control Room'!$A$16-('Control Room'!$B$16-1)/2)/MAX(0.5,'Control Room'!$B$16/4))^2),1)</x:f>
        <x:v>1</x:v>
      </x:c>
      <x:c r="AZ19" s="9" t="n">
        <x:f>MOD(BA18*16807,2147483647)</x:f>
        <x:v>498296293</x:v>
      </x:c>
      <x:c r="BA19" s="9" t="n">
        <x:f>MOD(AZ19*16807,2147483647)</x:f>
        <x:v>1827056798</x:v>
      </x:c>
      <x:c r="BB19" s="17" t="n">
        <x:f>IF('Control Room'!$B$5="Normal",'Control Room'!$B$7+'Control Room'!$D$7*SQRT(-2*LN(MAX(0.000000000001,AZ19/2147483647)))*COS(2*PI()*BA19/2147483647),'Control Room'!$B$8+('Control Room'!$D$8-'Control Room'!$B$8)*AZ19/2147483647)</x:f>
        <x:v>1091.0395984203954</x:v>
      </x:c>
      <x:c r="BC19" s="17" t="n">
        <x:f>IF('Control Room'!$B$5="Normal",'Control Room'!$B$7,('Control Room'!$B$8+'Control Room'!$D$8)/2)+'Control Room'!$B$9*(BC18-IF('Control Room'!$B$5="Normal",'Control Room'!$B$7,('Control Room'!$B$8+'Control Room'!$D$8)/2))+SQRT(1-'Control Room'!$B$9^2)*(BB19-IF('Control Room'!$B$5="Normal",'Control Room'!$B$7,('Control Room'!$B$8+'Control Room'!$D$8)/2))</x:f>
        <x:v>975.9661498928043</x:v>
      </x:c>
      <x:c r="BD19" s="17" t="n">
        <x:f>IF(AND($A19&gt;='Control Room'!$A$13,$A19&lt;'Control Room'!$A$13+'Control Room'!$B$13,'Process'!BU2=1),1+('Control Room'!$C$13-1)*EXP(-0.5*(($A19-'Control Room'!$A$13-('Control Room'!$B$13-1)/2)/MAX(0.5,'Control Room'!$B$13/4))^2),1)*IF(AND($A19&gt;='Control Room'!$A$14,$A19&lt;'Control Room'!$A$14+'Control Room'!$B$14,'Process'!BU3=1),1+('Control Room'!$C$14-1)*EXP(-0.5*(($A19-'Control Room'!$A$14-('Control Room'!$B$14-1)/2)/MAX(0.5,'Control Room'!$B$14/4))^2),1)*IF(AND($A19&gt;='Control Room'!$A$15,$A19&lt;'Control Room'!$A$15+'Control Room'!$B$15,'Process'!BU4=1),1+('Control Room'!$C$15-1)*EXP(-0.5*(($A19-'Control Room'!$A$15-('Control Room'!$B$15-1)/2)/MAX(0.5,'Control Room'!$B$15/4))^2),1)*IF(AND($A19&gt;='Control Room'!$A$16,$A19&lt;'Control Room'!$A$16+'Control Room'!$B$16,'Process'!BU5=1),1+('Control Room'!$C$16-1)*EXP(-0.5*(($A19-'Control Room'!$A$16-('Control Room'!$B$16-1)/2)/MAX(0.5,'Control Room'!$B$16/4))^2),1)</x:f>
        <x:v>1</x:v>
      </x:c>
      <x:c r="BE19" s="9" t="n">
        <x:f>MOD(BF18*16807,2147483647)</x:f>
        <x:v>755330200</x:v>
      </x:c>
      <x:c r="BF19" s="9" t="n">
        <x:f>MOD(BE19*16807,2147483647)</x:f>
        <x:v>1058833983</x:v>
      </x:c>
      <x:c r="BG19" s="17" t="n">
        <x:f>IF('Control Room'!$B$5="Normal",'Control Room'!$B$7+'Control Room'!$D$7*SQRT(-2*LN(MAX(0.000000000001,BE19/2147483647)))*COS(2*PI()*BF19/2147483647),'Control Room'!$B$8+('Control Room'!$D$8-'Control Room'!$B$8)*BE19/2147483647)</x:f>
        <x:v>870.0186637721064</x:v>
      </x:c>
      <x:c r="BH19" s="17" t="n">
        <x:f>IF('Control Room'!$B$5="Normal",'Control Room'!$B$7,('Control Room'!$B$8+'Control Room'!$D$8)/2)+'Control Room'!$B$9*(BH18-IF('Control Room'!$B$5="Normal",'Control Room'!$B$7,('Control Room'!$B$8+'Control Room'!$D$8)/2))+SQRT(1-'Control Room'!$B$9^2)*(BG19-IF('Control Room'!$B$5="Normal",'Control Room'!$B$7,('Control Room'!$B$8+'Control Room'!$D$8)/2))</x:f>
        <x:v>1070.7470562595238</x:v>
      </x:c>
      <x:c r="BI19" s="17" t="n">
        <x:f>IF(AND($A19&gt;='Control Room'!$A$13,$A19&lt;'Control Room'!$A$13+'Control Room'!$B$13,'Process'!BV2=1),1+('Control Room'!$C$13-1)*EXP(-0.5*(($A19-'Control Room'!$A$13-('Control Room'!$B$13-1)/2)/MAX(0.5,'Control Room'!$B$13/4))^2),1)*IF(AND($A19&gt;='Control Room'!$A$14,$A19&lt;'Control Room'!$A$14+'Control Room'!$B$14,'Process'!BV3=1),1+('Control Room'!$C$14-1)*EXP(-0.5*(($A19-'Control Room'!$A$14-('Control Room'!$B$14-1)/2)/MAX(0.5,'Control Room'!$B$14/4))^2),1)*IF(AND($A19&gt;='Control Room'!$A$15,$A19&lt;'Control Room'!$A$15+'Control Room'!$B$15,'Process'!BV4=1),1+('Control Room'!$C$15-1)*EXP(-0.5*(($A19-'Control Room'!$A$15-('Control Room'!$B$15-1)/2)/MAX(0.5,'Control Room'!$B$15/4))^2),1)*IF(AND($A19&gt;='Control Room'!$A$16,$A19&lt;'Control Room'!$A$16+'Control Room'!$B$16,'Process'!BV5=1),1+('Control Room'!$C$16-1)*EXP(-0.5*(($A19-'Control Room'!$A$16-('Control Room'!$B$16-1)/2)/MAX(0.5,'Control Room'!$B$16/4))^2),1)</x:f>
        <x:v>1</x:v>
      </x:c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 t="str">
        <x:f>IF('Control Room'!F13&gt;'Control Room'!$B$2,"Inactive",IF(OR(TRIM('Control Room'!G13)="",'Control Room'!G13&lt;&gt;TRIM('Control Room'!G13),LEN('Control Room'!G13)&gt;80,LOWER('Control Room'!G13)="total",COUNTIFS('Control Room'!$G$4:$G$15,'Control Room'!G13,'Control Room'!$F$4:$F$15,"&lt;="&amp;'Control Room'!$B$2)&gt;1),"Invalid name","Active"))</x:f>
        <x:v>Inactive</x:v>
      </x:c>
      <x:c r="BZ19" t="str">
        <x:f>IF('Data'!A19="","",TEXT('Data'!A19,"mm-dd"))</x:f>
        <x:v>11-19</x:v>
      </x:c>
    </x:row>
    <x:row r="20" ht="21" customHeight="1">
      <x:c r="A20" s="15" t="n">
        <x:f>'Control Room'!$B$1+18</x:f>
        <x:v>73009</x:v>
      </x:c>
      <x:c r="B20" s="9" t="n">
        <x:f>MOD(C19*16807,2147483647)</x:f>
        <x:v>376660355</x:v>
      </x:c>
      <x:c r="C20" s="9" t="n">
        <x:f>MOD(B20*16807,2147483647)</x:f>
        <x:v>1896278776</x:v>
      </x:c>
      <x:c r="D20" s="17" t="n">
        <x:f>IF('Control Room'!$B$5="Normal",'Control Room'!$B$7+'Control Room'!$D$7*SQRT(-2*LN(MAX(0.000000000001,B20/2147483647)))*COS(2*PI()*C20/2147483647),'Control Room'!$B$8+('Control Room'!$D$8-'Control Room'!$B$8)*B20/2147483647)</x:f>
        <x:v>1124.575170540135</x:v>
      </x:c>
      <x:c r="E20" s="17" t="n">
        <x:f>IF('Control Room'!$B$5="Normal",'Control Room'!$B$7,('Control Room'!$B$8+'Control Room'!$D$8)/2)+'Control Room'!$B$9*(E19-IF('Control Room'!$B$5="Normal",'Control Room'!$B$7,('Control Room'!$B$8+'Control Room'!$D$8)/2))+SQRT(1-'Control Room'!$B$9^2)*(D20-IF('Control Room'!$B$5="Normal",'Control Room'!$B$7,('Control Room'!$B$8+'Control Room'!$D$8)/2))</x:f>
        <x:v>1010.183929099136</x:v>
      </x:c>
      <x:c r="F20" s="17" t="n">
        <x:f>IF(AND($A20&gt;='Control Room'!$A$13,$A20&lt;'Control Room'!$A$13+'Control Room'!$B$13,'Process'!BK2=1),1+('Control Room'!$C$13-1)*EXP(-0.5*(($A20-'Control Room'!$A$13-('Control Room'!$B$13-1)/2)/MAX(0.5,'Control Room'!$B$13/4))^2),1)*IF(AND($A20&gt;='Control Room'!$A$14,$A20&lt;'Control Room'!$A$14+'Control Room'!$B$14,'Process'!BK3=1),1+('Control Room'!$C$14-1)*EXP(-0.5*(($A20-'Control Room'!$A$14-('Control Room'!$B$14-1)/2)/MAX(0.5,'Control Room'!$B$14/4))^2),1)*IF(AND($A20&gt;='Control Room'!$A$15,$A20&lt;'Control Room'!$A$15+'Control Room'!$B$15,'Process'!BK4=1),1+('Control Room'!$C$15-1)*EXP(-0.5*(($A20-'Control Room'!$A$15-('Control Room'!$B$15-1)/2)/MAX(0.5,'Control Room'!$B$15/4))^2),1)*IF(AND($A20&gt;='Control Room'!$A$16,$A20&lt;'Control Room'!$A$16+'Control Room'!$B$16,'Process'!BK5=1),1+('Control Room'!$C$16-1)*EXP(-0.5*(($A20-'Control Room'!$A$16-('Control Room'!$B$16-1)/2)/MAX(0.5,'Control Room'!$B$16/4))^2),1)</x:f>
        <x:v>0.7720094136283808</x:v>
      </x:c>
      <x:c r="G20" s="9" t="n">
        <x:f>MOD(H19*16807,2147483647)</x:f>
        <x:v>1674978061</x:v>
      </x:c>
      <x:c r="H20" s="9" t="n">
        <x:f>MOD(G20*16807,2147483647)</x:f>
        <x:v>2140626351</x:v>
      </x:c>
      <x:c r="I20" s="17" t="n">
        <x:f>IF('Control Room'!$B$5="Normal",'Control Room'!$B$7+'Control Room'!$D$7*SQRT(-2*LN(MAX(0.000000000001,G20/2147483647)))*COS(2*PI()*H20/2147483647),'Control Room'!$B$8+('Control Room'!$D$8-'Control Room'!$B$8)*G20/2147483647)</x:f>
        <x:v>1063.4352123586962</x:v>
      </x:c>
      <x:c r="J20" s="17" t="n">
        <x:f>IF('Control Room'!$B$5="Normal",'Control Room'!$B$7,('Control Room'!$B$8+'Control Room'!$D$8)/2)+'Control Room'!$B$9*(J19-IF('Control Room'!$B$5="Normal",'Control Room'!$B$7,('Control Room'!$B$8+'Control Room'!$D$8)/2))+SQRT(1-'Control Room'!$B$9^2)*(I20-IF('Control Room'!$B$5="Normal",'Control Room'!$B$7,('Control Room'!$B$8+'Control Room'!$D$8)/2))</x:f>
        <x:v>1079.6770048370786</x:v>
      </x:c>
      <x:c r="K20" s="17" t="n">
        <x:f>IF(AND($A20&gt;='Control Room'!$A$13,$A20&lt;'Control Room'!$A$13+'Control Room'!$B$13,'Process'!BL2=1),1+('Control Room'!$C$13-1)*EXP(-0.5*(($A20-'Control Room'!$A$13-('Control Room'!$B$13-1)/2)/MAX(0.5,'Control Room'!$B$13/4))^2),1)*IF(AND($A20&gt;='Control Room'!$A$14,$A20&lt;'Control Room'!$A$14+'Control Room'!$B$14,'Process'!BL3=1),1+('Control Room'!$C$14-1)*EXP(-0.5*(($A20-'Control Room'!$A$14-('Control Room'!$B$14-1)/2)/MAX(0.5,'Control Room'!$B$14/4))^2),1)*IF(AND($A20&gt;='Control Room'!$A$15,$A20&lt;'Control Room'!$A$15+'Control Room'!$B$15,'Process'!BL4=1),1+('Control Room'!$C$15-1)*EXP(-0.5*(($A20-'Control Room'!$A$15-('Control Room'!$B$15-1)/2)/MAX(0.5,'Control Room'!$B$15/4))^2),1)*IF(AND($A20&gt;='Control Room'!$A$16,$A20&lt;'Control Room'!$A$16+'Control Room'!$B$16,'Process'!BL5=1),1+('Control Room'!$C$16-1)*EXP(-0.5*(($A20-'Control Room'!$A$16-('Control Room'!$B$16-1)/2)/MAX(0.5,'Control Room'!$B$16/4))^2),1)</x:f>
        <x:v>0.7720094136283808</x:v>
      </x:c>
      <x:c r="L20" s="9" t="n">
        <x:f>MOD(M19*16807,2147483647)</x:f>
        <x:v>825812120</x:v>
      </x:c>
      <x:c r="M20" s="9" t="n">
        <x:f>MOD(L20*16807,2147483647)</x:f>
        <x:v>237490279</x:v>
      </x:c>
      <x:c r="N20" s="17" t="n">
        <x:f>IF('Control Room'!$B$5="Normal",'Control Room'!$B$7+'Control Room'!$D$7*SQRT(-2*LN(MAX(0.000000000001,L20/2147483647)))*COS(2*PI()*M20/2147483647),'Control Room'!$B$8+('Control Room'!$D$8-'Control Room'!$B$8)*L20/2147483647)</x:f>
        <x:v>1095.5780050102342</x:v>
      </x:c>
      <x:c r="O20" s="17" t="n">
        <x:f>IF('Control Room'!$B$5="Normal",'Control Room'!$B$7,('Control Room'!$B$8+'Control Room'!$D$8)/2)+'Control Room'!$B$9*(O19-IF('Control Room'!$B$5="Normal",'Control Room'!$B$7,('Control Room'!$B$8+'Control Room'!$D$8)/2))+SQRT(1-'Control Room'!$B$9^2)*(N20-IF('Control Room'!$B$5="Normal",'Control Room'!$B$7,('Control Room'!$B$8+'Control Room'!$D$8)/2))</x:f>
        <x:v>990.5289057412231</x:v>
      </x:c>
      <x:c r="P20" s="17" t="n">
        <x:f>IF(AND($A20&gt;='Control Room'!$A$13,$A20&lt;'Control Room'!$A$13+'Control Room'!$B$13,'Process'!BM2=1),1+('Control Room'!$C$13-1)*EXP(-0.5*(($A20-'Control Room'!$A$13-('Control Room'!$B$13-1)/2)/MAX(0.5,'Control Room'!$B$13/4))^2),1)*IF(AND($A20&gt;='Control Room'!$A$14,$A20&lt;'Control Room'!$A$14+'Control Room'!$B$14,'Process'!BM3=1),1+('Control Room'!$C$14-1)*EXP(-0.5*(($A20-'Control Room'!$A$14-('Control Room'!$B$14-1)/2)/MAX(0.5,'Control Room'!$B$14/4))^2),1)*IF(AND($A20&gt;='Control Room'!$A$15,$A20&lt;'Control Room'!$A$15+'Control Room'!$B$15,'Process'!BM4=1),1+('Control Room'!$C$15-1)*EXP(-0.5*(($A20-'Control Room'!$A$15-('Control Room'!$B$15-1)/2)/MAX(0.5,'Control Room'!$B$15/4))^2),1)*IF(AND($A20&gt;='Control Room'!$A$16,$A20&lt;'Control Room'!$A$16+'Control Room'!$B$16,'Process'!BM5=1),1+('Control Room'!$C$16-1)*EXP(-0.5*(($A20-'Control Room'!$A$16-('Control Room'!$B$16-1)/2)/MAX(0.5,'Control Room'!$B$16/4))^2),1)</x:f>
        <x:v>0.7720094136283808</x:v>
      </x:c>
      <x:c r="Q20" s="9" t="n">
        <x:f>MOD(R19*16807,2147483647)</x:f>
        <x:v>2124129826</x:v>
      </x:c>
      <x:c r="R20" s="9" t="n">
        <x:f>MOD(Q20*16807,2147483647)</x:f>
        <x:v>481837854</x:v>
      </x:c>
      <x:c r="S20" s="17" t="n">
        <x:f>IF('Control Room'!$B$5="Normal",'Control Room'!$B$7+'Control Room'!$D$7*SQRT(-2*LN(MAX(0.000000000001,Q20/2147483647)))*COS(2*PI()*R20/2147483647),'Control Room'!$B$8+('Control Room'!$D$8-'Control Room'!$B$8)*Q20/2147483647)</x:f>
        <x:v>1002.1337967697038</x:v>
      </x:c>
      <x:c r="T20" s="17" t="n">
        <x:f>IF('Control Room'!$B$5="Normal",'Control Room'!$B$7,('Control Room'!$B$8+'Control Room'!$D$8)/2)+'Control Room'!$B$9*(T19-IF('Control Room'!$B$5="Normal",'Control Room'!$B$7,('Control Room'!$B$8+'Control Room'!$D$8)/2))+SQRT(1-'Control Room'!$B$9^2)*(S20-IF('Control Room'!$B$5="Normal",'Control Room'!$B$7,('Control Room'!$B$8+'Control Room'!$D$8)/2))</x:f>
        <x:v>1003.3386694269877</x:v>
      </x:c>
      <x:c r="U20" s="17" t="n">
        <x:f>IF(AND($A20&gt;='Control Room'!$A$13,$A20&lt;'Control Room'!$A$13+'Control Room'!$B$13,'Process'!BN2=1),1+('Control Room'!$C$13-1)*EXP(-0.5*(($A20-'Control Room'!$A$13-('Control Room'!$B$13-1)/2)/MAX(0.5,'Control Room'!$B$13/4))^2),1)*IF(AND($A20&gt;='Control Room'!$A$14,$A20&lt;'Control Room'!$A$14+'Control Room'!$B$14,'Process'!BN3=1),1+('Control Room'!$C$14-1)*EXP(-0.5*(($A20-'Control Room'!$A$14-('Control Room'!$B$14-1)/2)/MAX(0.5,'Control Room'!$B$14/4))^2),1)*IF(AND($A20&gt;='Control Room'!$A$15,$A20&lt;'Control Room'!$A$15+'Control Room'!$B$15,'Process'!BN4=1),1+('Control Room'!$C$15-1)*EXP(-0.5*(($A20-'Control Room'!$A$15-('Control Room'!$B$15-1)/2)/MAX(0.5,'Control Room'!$B$15/4))^2),1)*IF(AND($A20&gt;='Control Room'!$A$16,$A20&lt;'Control Room'!$A$16+'Control Room'!$B$16,'Process'!BN5=1),1+('Control Room'!$C$16-1)*EXP(-0.5*(($A20-'Control Room'!$A$16-('Control Room'!$B$16-1)/2)/MAX(0.5,'Control Room'!$B$16/4))^2),1)</x:f>
        <x:v>0.7720094136283808</x:v>
      </x:c>
      <x:c r="V20" s="9" t="n">
        <x:f>MOD(W19*16807,2147483647)</x:f>
        <x:v>1274963885</x:v>
      </x:c>
      <x:c r="W20" s="9" t="n">
        <x:f>MOD(V20*16807,2147483647)</x:f>
        <x:v>726185429</x:v>
      </x:c>
      <x:c r="X20" s="17" t="n">
        <x:f>IF('Control Room'!$B$5="Normal",'Control Room'!$B$7+'Control Room'!$D$7*SQRT(-2*LN(MAX(0.000000000001,V20/2147483647)))*COS(2*PI()*W20/2147483647),'Control Room'!$B$8+('Control Room'!$D$8-'Control Room'!$B$8)*V20/2147483647)</x:f>
        <x:v>951.6575173728879</x:v>
      </x:c>
      <x:c r="Y20" s="17" t="n">
        <x:f>IF('Control Room'!$B$5="Normal",'Control Room'!$B$7,('Control Room'!$B$8+'Control Room'!$D$8)/2)+'Control Room'!$B$9*(Y19-IF('Control Room'!$B$5="Normal",'Control Room'!$B$7,('Control Room'!$B$8+'Control Room'!$D$8)/2))+SQRT(1-'Control Room'!$B$9^2)*(X20-IF('Control Room'!$B$5="Normal",'Control Room'!$B$7,('Control Room'!$B$8+'Control Room'!$D$8)/2))</x:f>
        <x:v>941.5717510620922</x:v>
      </x:c>
      <x:c r="Z20" s="17" t="n">
        <x:f>IF(AND($A20&gt;='Control Room'!$A$13,$A20&lt;'Control Room'!$A$13+'Control Room'!$B$13,'Process'!BO2=1),1+('Control Room'!$C$13-1)*EXP(-0.5*(($A20-'Control Room'!$A$13-('Control Room'!$B$13-1)/2)/MAX(0.5,'Control Room'!$B$13/4))^2),1)*IF(AND($A20&gt;='Control Room'!$A$14,$A20&lt;'Control Room'!$A$14+'Control Room'!$B$14,'Process'!BO3=1),1+('Control Room'!$C$14-1)*EXP(-0.5*(($A20-'Control Room'!$A$14-('Control Room'!$B$14-1)/2)/MAX(0.5,'Control Room'!$B$14/4))^2),1)*IF(AND($A20&gt;='Control Room'!$A$15,$A20&lt;'Control Room'!$A$15+'Control Room'!$B$15,'Process'!BO4=1),1+('Control Room'!$C$15-1)*EXP(-0.5*(($A20-'Control Room'!$A$15-('Control Room'!$B$15-1)/2)/MAX(0.5,'Control Room'!$B$15/4))^2),1)*IF(AND($A20&gt;='Control Room'!$A$16,$A20&lt;'Control Room'!$A$16+'Control Room'!$B$16,'Process'!BO5=1),1+('Control Room'!$C$16-1)*EXP(-0.5*(($A20-'Control Room'!$A$16-('Control Room'!$B$16-1)/2)/MAX(0.5,'Control Room'!$B$16/4))^2),1)</x:f>
        <x:v>0.7720094136283808</x:v>
      </x:c>
      <x:c r="AA20" s="9" t="n">
        <x:f>MOD(AB19*16807,2147483647)</x:f>
        <x:v>425797944</x:v>
      </x:c>
      <x:c r="AB20" s="9" t="n">
        <x:f>MOD(AA20*16807,2147483647)</x:f>
        <x:v>970533004</x:v>
      </x:c>
      <x:c r="AC20" s="17" t="n">
        <x:f>IF('Control Room'!$B$5="Normal",'Control Room'!$B$7+'Control Room'!$D$7*SQRT(-2*LN(MAX(0.000000000001,AA20/2147483647)))*COS(2*PI()*AB20/2147483647),'Control Room'!$B$8+('Control Room'!$D$8-'Control Room'!$B$8)*AA20/2147483647)</x:f>
        <x:v>845.4215458152254</x:v>
      </x:c>
      <x:c r="AD20" s="17" t="n">
        <x:f>IF('Control Room'!$B$5="Normal",'Control Room'!$B$7,('Control Room'!$B$8+'Control Room'!$D$8)/2)+'Control Room'!$B$9*(AD19-IF('Control Room'!$B$5="Normal",'Control Room'!$B$7,('Control Room'!$B$8+'Control Room'!$D$8)/2))+SQRT(1-'Control Room'!$B$9^2)*(AC20-IF('Control Room'!$B$5="Normal",'Control Room'!$B$7,('Control Room'!$B$8+'Control Room'!$D$8)/2))</x:f>
        <x:v>800.9849712796796</x:v>
      </x:c>
      <x:c r="AE20" s="17" t="n">
        <x:f>IF(AND($A20&gt;='Control Room'!$A$13,$A20&lt;'Control Room'!$A$13+'Control Room'!$B$13,'Process'!BP2=1),1+('Control Room'!$C$13-1)*EXP(-0.5*(($A20-'Control Room'!$A$13-('Control Room'!$B$13-1)/2)/MAX(0.5,'Control Room'!$B$13/4))^2),1)*IF(AND($A20&gt;='Control Room'!$A$14,$A20&lt;'Control Room'!$A$14+'Control Room'!$B$14,'Process'!BP3=1),1+('Control Room'!$C$14-1)*EXP(-0.5*(($A20-'Control Room'!$A$14-('Control Room'!$B$14-1)/2)/MAX(0.5,'Control Room'!$B$14/4))^2),1)*IF(AND($A20&gt;='Control Room'!$A$15,$A20&lt;'Control Room'!$A$15+'Control Room'!$B$15,'Process'!BP4=1),1+('Control Room'!$C$15-1)*EXP(-0.5*(($A20-'Control Room'!$A$15-('Control Room'!$B$15-1)/2)/MAX(0.5,'Control Room'!$B$15/4))^2),1)*IF(AND($A20&gt;='Control Room'!$A$16,$A20&lt;'Control Room'!$A$16+'Control Room'!$B$16,'Process'!BP5=1),1+('Control Room'!$C$16-1)*EXP(-0.5*(($A20-'Control Room'!$A$16-('Control Room'!$B$16-1)/2)/MAX(0.5,'Control Room'!$B$16/4))^2),1)</x:f>
        <x:v>0.7720094136283808</x:v>
      </x:c>
      <x:c r="AF20" s="9" t="n">
        <x:f>MOD(AG19*16807,2147483647)</x:f>
        <x:v>1724115650</x:v>
      </x:c>
      <x:c r="AG20" s="9" t="n">
        <x:f>MOD(AF20*16807,2147483647)</x:f>
        <x:v>1214880579</x:v>
      </x:c>
      <x:c r="AH20" s="17" t="n">
        <x:f>IF('Control Room'!$B$5="Normal",'Control Room'!$B$7+'Control Room'!$D$7*SQRT(-2*LN(MAX(0.000000000001,AF20/2147483647)))*COS(2*PI()*AG20/2147483647),'Control Room'!$B$8+('Control Room'!$D$8-'Control Room'!$B$8)*AF20/2147483647)</x:f>
        <x:v>945.3708980605226</x:v>
      </x:c>
      <x:c r="AI20" s="17" t="n">
        <x:f>IF('Control Room'!$B$5="Normal",'Control Room'!$B$7,('Control Room'!$B$8+'Control Room'!$D$8)/2)+'Control Room'!$B$9*(AI19-IF('Control Room'!$B$5="Normal",'Control Room'!$B$7,('Control Room'!$B$8+'Control Room'!$D$8)/2))+SQRT(1-'Control Room'!$B$9^2)*(AH20-IF('Control Room'!$B$5="Normal",'Control Room'!$B$7,('Control Room'!$B$8+'Control Room'!$D$8)/2))</x:f>
        <x:v>904.1356361507089</x:v>
      </x:c>
      <x:c r="AJ20" s="17" t="n">
        <x:f>IF(AND($A20&gt;='Control Room'!$A$13,$A20&lt;'Control Room'!$A$13+'Control Room'!$B$13,'Process'!BQ2=1),1+('Control Room'!$C$13-1)*EXP(-0.5*(($A20-'Control Room'!$A$13-('Control Room'!$B$13-1)/2)/MAX(0.5,'Control Room'!$B$13/4))^2),1)*IF(AND($A20&gt;='Control Room'!$A$14,$A20&lt;'Control Room'!$A$14+'Control Room'!$B$14,'Process'!BQ3=1),1+('Control Room'!$C$14-1)*EXP(-0.5*(($A20-'Control Room'!$A$14-('Control Room'!$B$14-1)/2)/MAX(0.5,'Control Room'!$B$14/4))^2),1)*IF(AND($A20&gt;='Control Room'!$A$15,$A20&lt;'Control Room'!$A$15+'Control Room'!$B$15,'Process'!BQ4=1),1+('Control Room'!$C$15-1)*EXP(-0.5*(($A20-'Control Room'!$A$15-('Control Room'!$B$15-1)/2)/MAX(0.5,'Control Room'!$B$15/4))^2),1)*IF(AND($A20&gt;='Control Room'!$A$16,$A20&lt;'Control Room'!$A$16+'Control Room'!$B$16,'Process'!BQ5=1),1+('Control Room'!$C$16-1)*EXP(-0.5*(($A20-'Control Room'!$A$16-('Control Room'!$B$16-1)/2)/MAX(0.5,'Control Room'!$B$16/4))^2),1)</x:f>
        <x:v>0.7720094136283808</x:v>
      </x:c>
      <x:c r="AK20" s="9" t="n">
        <x:f>MOD(AL19*16807,2147483647)</x:f>
        <x:v>874949709</x:v>
      </x:c>
      <x:c r="AL20" s="9" t="n">
        <x:f>MOD(AK20*16807,2147483647)</x:f>
        <x:v>1459228154</x:v>
      </x:c>
      <x:c r="AM20" s="17" t="n">
        <x:f>IF('Control Room'!$B$5="Normal",'Control Room'!$B$7+'Control Room'!$D$7*SQRT(-2*LN(MAX(0.000000000001,AK20/2147483647)))*COS(2*PI()*AL20/2147483647),'Control Room'!$B$8+('Control Room'!$D$8-'Control Room'!$B$8)*AK20/2147483647)</x:f>
        <x:v>948.3101387299641</x:v>
      </x:c>
      <x:c r="AN20" s="17" t="n">
        <x:f>IF('Control Room'!$B$5="Normal",'Control Room'!$B$7,('Control Room'!$B$8+'Control Room'!$D$8)/2)+'Control Room'!$B$9*(AN19-IF('Control Room'!$B$5="Normal",'Control Room'!$B$7,('Control Room'!$B$8+'Control Room'!$D$8)/2))+SQRT(1-'Control Room'!$B$9^2)*(AM20-IF('Control Room'!$B$5="Normal",'Control Room'!$B$7,('Control Room'!$B$8+'Control Room'!$D$8)/2))</x:f>
        <x:v>1003.5894447145195</x:v>
      </x:c>
      <x:c r="AO20" s="17" t="n">
        <x:f>IF(AND($A20&gt;='Control Room'!$A$13,$A20&lt;'Control Room'!$A$13+'Control Room'!$B$13,'Process'!BR2=1),1+('Control Room'!$C$13-1)*EXP(-0.5*(($A20-'Control Room'!$A$13-('Control Room'!$B$13-1)/2)/MAX(0.5,'Control Room'!$B$13/4))^2),1)*IF(AND($A20&gt;='Control Room'!$A$14,$A20&lt;'Control Room'!$A$14+'Control Room'!$B$14,'Process'!BR3=1),1+('Control Room'!$C$14-1)*EXP(-0.5*(($A20-'Control Room'!$A$14-('Control Room'!$B$14-1)/2)/MAX(0.5,'Control Room'!$B$14/4))^2),1)*IF(AND($A20&gt;='Control Room'!$A$15,$A20&lt;'Control Room'!$A$15+'Control Room'!$B$15,'Process'!BR4=1),1+('Control Room'!$C$15-1)*EXP(-0.5*(($A20-'Control Room'!$A$15-('Control Room'!$B$15-1)/2)/MAX(0.5,'Control Room'!$B$15/4))^2),1)*IF(AND($A20&gt;='Control Room'!$A$16,$A20&lt;'Control Room'!$A$16+'Control Room'!$B$16,'Process'!BR5=1),1+('Control Room'!$C$16-1)*EXP(-0.5*(($A20-'Control Room'!$A$16-('Control Room'!$B$16-1)/2)/MAX(0.5,'Control Room'!$B$16/4))^2),1)</x:f>
        <x:v>0.7720094136283808</x:v>
      </x:c>
      <x:c r="AP20" s="9" t="n">
        <x:f>MOD(AQ19*16807,2147483647)</x:f>
        <x:v>25783768</x:v>
      </x:c>
      <x:c r="AQ20" s="9" t="n">
        <x:f>MOD(AP20*16807,2147483647)</x:f>
        <x:v>1703575729</x:v>
      </x:c>
      <x:c r="AR20" s="17" t="n">
        <x:f>IF('Control Room'!$B$5="Normal",'Control Room'!$B$7+'Control Room'!$D$7*SQRT(-2*LN(MAX(0.000000000001,AP20/2147483647)))*COS(2*PI()*AQ20/2147483647),'Control Room'!$B$8+('Control Room'!$D$8-'Control Room'!$B$8)*AP20/2147483647)</x:f>
        <x:v>1071.907445205666</x:v>
      </x:c>
      <x:c r="AS20" s="17" t="n">
        <x:f>IF('Control Room'!$B$5="Normal",'Control Room'!$B$7,('Control Room'!$B$8+'Control Room'!$D$8)/2)+'Control Room'!$B$9*(AS19-IF('Control Room'!$B$5="Normal",'Control Room'!$B$7,('Control Room'!$B$8+'Control Room'!$D$8)/2))+SQRT(1-'Control Room'!$B$9^2)*(AR20-IF('Control Room'!$B$5="Normal",'Control Room'!$B$7,('Control Room'!$B$8+'Control Room'!$D$8)/2))</x:f>
        <x:v>1075.3962148906032</x:v>
      </x:c>
      <x:c r="AT20" s="17" t="n">
        <x:f>IF(AND($A20&gt;='Control Room'!$A$13,$A20&lt;'Control Room'!$A$13+'Control Room'!$B$13,'Process'!BS2=1),1+('Control Room'!$C$13-1)*EXP(-0.5*(($A20-'Control Room'!$A$13-('Control Room'!$B$13-1)/2)/MAX(0.5,'Control Room'!$B$13/4))^2),1)*IF(AND($A20&gt;='Control Room'!$A$14,$A20&lt;'Control Room'!$A$14+'Control Room'!$B$14,'Process'!BS3=1),1+('Control Room'!$C$14-1)*EXP(-0.5*(($A20-'Control Room'!$A$14-('Control Room'!$B$14-1)/2)/MAX(0.5,'Control Room'!$B$14/4))^2),1)*IF(AND($A20&gt;='Control Room'!$A$15,$A20&lt;'Control Room'!$A$15+'Control Room'!$B$15,'Process'!BS4=1),1+('Control Room'!$C$15-1)*EXP(-0.5*(($A20-'Control Room'!$A$15-('Control Room'!$B$15-1)/2)/MAX(0.5,'Control Room'!$B$15/4))^2),1)*IF(AND($A20&gt;='Control Room'!$A$16,$A20&lt;'Control Room'!$A$16+'Control Room'!$B$16,'Process'!BS5=1),1+('Control Room'!$C$16-1)*EXP(-0.5*(($A20-'Control Room'!$A$16-('Control Room'!$B$16-1)/2)/MAX(0.5,'Control Room'!$B$16/4))^2),1)</x:f>
        <x:v>0.7720094136283808</x:v>
      </x:c>
      <x:c r="AU20" s="9" t="n">
        <x:f>MOD(AV19*16807,2147483647)</x:f>
        <x:v>1324101474</x:v>
      </x:c>
      <x:c r="AV20" s="9" t="n">
        <x:f>MOD(AU20*16807,2147483647)</x:f>
        <x:v>1947923304</x:v>
      </x:c>
      <x:c r="AW20" s="17" t="n">
        <x:f>IF('Control Room'!$B$5="Normal",'Control Room'!$B$7+'Control Room'!$D$7*SQRT(-2*LN(MAX(0.000000000001,AU20/2147483647)))*COS(2*PI()*AV20/2147483647),'Control Room'!$B$8+('Control Room'!$D$8-'Control Room'!$B$8)*AU20/2147483647)</x:f>
        <x:v>1073.8450709635551</x:v>
      </x:c>
      <x:c r="AX20" s="17" t="n">
        <x:f>IF('Control Room'!$B$5="Normal",'Control Room'!$B$7,('Control Room'!$B$8+'Control Room'!$D$8)/2)+'Control Room'!$B$9*(AX19-IF('Control Room'!$B$5="Normal",'Control Room'!$B$7,('Control Room'!$B$8+'Control Room'!$D$8)/2))+SQRT(1-'Control Room'!$B$9^2)*(AW20-IF('Control Room'!$B$5="Normal",'Control Room'!$B$7,('Control Room'!$B$8+'Control Room'!$D$8)/2))</x:f>
        <x:v>1075.4498908896724</x:v>
      </x:c>
      <x:c r="AY20" s="17" t="n">
        <x:f>IF(AND($A20&gt;='Control Room'!$A$13,$A20&lt;'Control Room'!$A$13+'Control Room'!$B$13,'Process'!BT2=1),1+('Control Room'!$C$13-1)*EXP(-0.5*(($A20-'Control Room'!$A$13-('Control Room'!$B$13-1)/2)/MAX(0.5,'Control Room'!$B$13/4))^2),1)*IF(AND($A20&gt;='Control Room'!$A$14,$A20&lt;'Control Room'!$A$14+'Control Room'!$B$14,'Process'!BT3=1),1+('Control Room'!$C$14-1)*EXP(-0.5*(($A20-'Control Room'!$A$14-('Control Room'!$B$14-1)/2)/MAX(0.5,'Control Room'!$B$14/4))^2),1)*IF(AND($A20&gt;='Control Room'!$A$15,$A20&lt;'Control Room'!$A$15+'Control Room'!$B$15,'Process'!BT4=1),1+('Control Room'!$C$15-1)*EXP(-0.5*(($A20-'Control Room'!$A$15-('Control Room'!$B$15-1)/2)/MAX(0.5,'Control Room'!$B$15/4))^2),1)*IF(AND($A20&gt;='Control Room'!$A$16,$A20&lt;'Control Room'!$A$16+'Control Room'!$B$16,'Process'!BT5=1),1+('Control Room'!$C$16-1)*EXP(-0.5*(($A20-'Control Room'!$A$16-('Control Room'!$B$16-1)/2)/MAX(0.5,'Control Room'!$B$16/4))^2),1)</x:f>
        <x:v>0.7720094136283808</x:v>
      </x:c>
      <x:c r="AZ20" s="9" t="n">
        <x:f>MOD(BA19*16807,2147483647)</x:f>
        <x:v>474935533</x:v>
      </x:c>
      <x:c r="BA20" s="9" t="n">
        <x:f>MOD(AZ20*16807,2147483647)</x:f>
        <x:v>44787232</x:v>
      </x:c>
      <x:c r="BB20" s="17" t="n">
        <x:f>IF('Control Room'!$B$5="Normal",'Control Room'!$B$7+'Control Room'!$D$7*SQRT(-2*LN(MAX(0.000000000001,AZ20/2147483647)))*COS(2*PI()*BA20/2147483647),'Control Room'!$B$8+('Control Room'!$D$8-'Control Room'!$B$8)*AZ20/2147483647)</x:f>
        <x:v>1155.0045260593517</x:v>
      </x:c>
      <x:c r="BC20" s="17" t="n">
        <x:f>IF('Control Room'!$B$5="Normal",'Control Room'!$B$7,('Control Room'!$B$8+'Control Room'!$D$8)/2)+'Control Room'!$B$9*(BC19-IF('Control Room'!$B$5="Normal",'Control Room'!$B$7,('Control Room'!$B$8+'Control Room'!$D$8)/2))+SQRT(1-'Control Room'!$B$9^2)*(BB20-IF('Control Room'!$B$5="Normal",'Control Room'!$B$7,('Control Room'!$B$8+'Control Room'!$D$8)/2))</x:f>
        <x:v>1078.2522538840128</x:v>
      </x:c>
      <x:c r="BD20" s="17" t="n">
        <x:f>IF(AND($A20&gt;='Control Room'!$A$13,$A20&lt;'Control Room'!$A$13+'Control Room'!$B$13,'Process'!BU2=1),1+('Control Room'!$C$13-1)*EXP(-0.5*(($A20-'Control Room'!$A$13-('Control Room'!$B$13-1)/2)/MAX(0.5,'Control Room'!$B$13/4))^2),1)*IF(AND($A20&gt;='Control Room'!$A$14,$A20&lt;'Control Room'!$A$14+'Control Room'!$B$14,'Process'!BU3=1),1+('Control Room'!$C$14-1)*EXP(-0.5*(($A20-'Control Room'!$A$14-('Control Room'!$B$14-1)/2)/MAX(0.5,'Control Room'!$B$14/4))^2),1)*IF(AND($A20&gt;='Control Room'!$A$15,$A20&lt;'Control Room'!$A$15+'Control Room'!$B$15,'Process'!BU4=1),1+('Control Room'!$C$15-1)*EXP(-0.5*(($A20-'Control Room'!$A$15-('Control Room'!$B$15-1)/2)/MAX(0.5,'Control Room'!$B$15/4))^2),1)*IF(AND($A20&gt;='Control Room'!$A$16,$A20&lt;'Control Room'!$A$16+'Control Room'!$B$16,'Process'!BU5=1),1+('Control Room'!$C$16-1)*EXP(-0.5*(($A20-'Control Room'!$A$16-('Control Room'!$B$16-1)/2)/MAX(0.5,'Control Room'!$B$16/4))^2),1)</x:f>
        <x:v>0.7720094136283808</x:v>
      </x:c>
      <x:c r="BE20" s="9" t="n">
        <x:f>MOD(BF19*16807,2147483647)</x:f>
        <x:v>1773253239</x:v>
      </x:c>
      <x:c r="BF20" s="9" t="n">
        <x:f>MOD(BE20*16807,2147483647)</x:f>
        <x:v>289134807</x:v>
      </x:c>
      <x:c r="BG20" s="17" t="n">
        <x:f>IF('Control Room'!$B$5="Normal",'Control Room'!$B$7+'Control Room'!$D$7*SQRT(-2*LN(MAX(0.000000000001,BE20/2147483647)))*COS(2*PI()*BF20/2147483647),'Control Room'!$B$8+('Control Room'!$D$8-'Control Room'!$B$8)*BE20/2147483647)</x:f>
        <x:v>1036.926803832247</x:v>
      </x:c>
      <x:c r="BH20" s="17" t="n">
        <x:f>IF('Control Room'!$B$5="Normal",'Control Room'!$B$7,('Control Room'!$B$8+'Control Room'!$D$8)/2)+'Control Room'!$B$9*(BH19-IF('Control Room'!$B$5="Normal",'Control Room'!$B$7,('Control Room'!$B$8+'Control Room'!$D$8)/2))+SQRT(1-'Control Room'!$B$9^2)*(BG20-IF('Control Room'!$B$5="Normal",'Control Room'!$B$7,('Control Room'!$B$8+'Control Room'!$D$8)/2))</x:f>
        <x:v>1078.2907412339534</x:v>
      </x:c>
      <x:c r="BI20" s="17" t="n">
        <x:f>IF(AND($A20&gt;='Control Room'!$A$13,$A20&lt;'Control Room'!$A$13+'Control Room'!$B$13,'Process'!BV2=1),1+('Control Room'!$C$13-1)*EXP(-0.5*(($A20-'Control Room'!$A$13-('Control Room'!$B$13-1)/2)/MAX(0.5,'Control Room'!$B$13/4))^2),1)*IF(AND($A20&gt;='Control Room'!$A$14,$A20&lt;'Control Room'!$A$14+'Control Room'!$B$14,'Process'!BV3=1),1+('Control Room'!$C$14-1)*EXP(-0.5*(($A20-'Control Room'!$A$14-('Control Room'!$B$14-1)/2)/MAX(0.5,'Control Room'!$B$14/4))^2),1)*IF(AND($A20&gt;='Control Room'!$A$15,$A20&lt;'Control Room'!$A$15+'Control Room'!$B$15,'Process'!BV4=1),1+('Control Room'!$C$15-1)*EXP(-0.5*(($A20-'Control Room'!$A$15-('Control Room'!$B$15-1)/2)/MAX(0.5,'Control Room'!$B$15/4))^2),1)*IF(AND($A20&gt;='Control Room'!$A$16,$A20&lt;'Control Room'!$A$16+'Control Room'!$B$16,'Process'!BV5=1),1+('Control Room'!$C$16-1)*EXP(-0.5*(($A20-'Control Room'!$A$16-('Control Room'!$B$16-1)/2)/MAX(0.5,'Control Room'!$B$16/4))^2),1)</x:f>
        <x:v>0.7720094136283808</x:v>
      </x:c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 t="str">
        <x:f>IF('Control Room'!F14&gt;'Control Room'!$B$2,"Inactive",IF(OR(TRIM('Control Room'!G14)="",'Control Room'!G14&lt;&gt;TRIM('Control Room'!G14),LEN('Control Room'!G14)&gt;80,LOWER('Control Room'!G14)="total",COUNTIFS('Control Room'!$G$4:$G$15,'Control Room'!G14,'Control Room'!$F$4:$F$15,"&lt;="&amp;'Control Room'!$B$2)&gt;1),"Invalid name","Active"))</x:f>
        <x:v>Inactive</x:v>
      </x:c>
      <x:c r="BZ20" t="str">
        <x:f>IF('Data'!A20="","",TEXT('Data'!A20,"mm-dd"))</x:f>
        <x:v>11-20</x:v>
      </x:c>
    </x:row>
    <x:row r="21" ht="21" customHeight="1">
      <x:c r="A21" s="15" t="n">
        <x:f>'Control Room'!$B$1+19</x:f>
        <x:v>73010</x:v>
      </x:c>
      <x:c r="B21" s="9" t="n">
        <x:f>MOD(C20*16807,2147483647)</x:f>
        <x:v>2100066752</x:v>
      </x:c>
      <x:c r="C21" s="9" t="n">
        <x:f>MOD(B21*16807,2147483647)</x:f>
        <x:v>1928162419</x:v>
      </x:c>
      <x:c r="D21" s="17" t="n">
        <x:f>IF('Control Room'!$B$5="Normal",'Control Room'!$B$7+'Control Room'!$D$7*SQRT(-2*LN(MAX(0.000000000001,B21/2147483647)))*COS(2*PI()*C21/2147483647),'Control Room'!$B$8+('Control Room'!$D$8-'Control Room'!$B$8)*B21/2147483647)</x:f>
        <x:v>1015.2354404180271</x:v>
      </x:c>
      <x:c r="E21" s="17" t="n">
        <x:f>IF('Control Room'!$B$5="Normal",'Control Room'!$B$7,('Control Room'!$B$8+'Control Room'!$D$8)/2)+'Control Room'!$B$9*(E20-IF('Control Room'!$B$5="Normal",'Control Room'!$B$7,('Control Room'!$B$8+'Control Room'!$D$8)/2))+SQRT(1-'Control Room'!$B$9^2)*(D21-IF('Control Room'!$B$5="Normal",'Control Room'!$B$7,('Control Room'!$B$8+'Control Room'!$D$8)/2))</x:f>
        <x:v>1017.4774911959655</x:v>
      </x:c>
      <x:c r="F21" s="17" t="n">
        <x:f>IF(AND($A21&gt;='Control Room'!$A$13,$A21&lt;'Control Room'!$A$13+'Control Room'!$B$13,'Process'!BK2=1),1+('Control Room'!$C$13-1)*EXP(-0.5*(($A21-'Control Room'!$A$13-('Control Room'!$B$13-1)/2)/MAX(0.5,'Control Room'!$B$13/4))^2),1)*IF(AND($A21&gt;='Control Room'!$A$14,$A21&lt;'Control Room'!$A$14+'Control Room'!$B$14,'Process'!BK3=1),1+('Control Room'!$C$14-1)*EXP(-0.5*(($A21-'Control Room'!$A$14-('Control Room'!$B$14-1)/2)/MAX(0.5,'Control Room'!$B$14/4))^2),1)*IF(AND($A21&gt;='Control Room'!$A$15,$A21&lt;'Control Room'!$A$15+'Control Room'!$B$15,'Process'!BK4=1),1+('Control Room'!$C$15-1)*EXP(-0.5*(($A21-'Control Room'!$A$15-('Control Room'!$B$15-1)/2)/MAX(0.5,'Control Room'!$B$15/4))^2),1)*IF(AND($A21&gt;='Control Room'!$A$16,$A21&lt;'Control Room'!$A$16+'Control Room'!$B$16,'Process'!BK5=1),1+('Control Room'!$C$16-1)*EXP(-0.5*(($A21-'Control Room'!$A$16-('Control Room'!$B$16-1)/2)/MAX(0.5,'Control Room'!$B$16/4))^2),1)</x:f>
        <x:v>0.40455778959957334</x:v>
      </x:c>
      <x:c r="G21" s="9" t="n">
        <x:f>MOD(H20*16807,2147483647)</x:f>
        <x:v>713543066</x:v>
      </x:c>
      <x:c r="H21" s="9" t="n">
        <x:f>MOD(G21*16807,2147483647)</x:f>
        <x:v>969625414</x:v>
      </x:c>
      <x:c r="I21" s="17" t="n">
        <x:f>IF('Control Room'!$B$5="Normal",'Control Room'!$B$7+'Control Room'!$D$7*SQRT(-2*LN(MAX(0.000000000001,G21/2147483647)))*COS(2*PI()*H21/2147483647),'Control Room'!$B$8+('Control Room'!$D$8-'Control Room'!$B$8)*G21/2147483647)</x:f>
        <x:v>872.5498650793448</x:v>
      </x:c>
      <x:c r="J21" s="17" t="n">
        <x:f>IF('Control Room'!$B$5="Normal",'Control Room'!$B$7,('Control Room'!$B$8+'Control Room'!$D$8)/2)+'Control Room'!$B$9*(J20-IF('Control Room'!$B$5="Normal",'Control Room'!$B$7,('Control Room'!$B$8+'Control Room'!$D$8)/2))+SQRT(1-'Control Room'!$B$9^2)*(I21-IF('Control Room'!$B$5="Normal",'Control Room'!$B$7,('Control Room'!$B$8+'Control Room'!$D$8)/2))</x:f>
        <x:v>982.3923802975073</x:v>
      </x:c>
      <x:c r="K21" s="17" t="n">
        <x:f>IF(AND($A21&gt;='Control Room'!$A$13,$A21&lt;'Control Room'!$A$13+'Control Room'!$B$13,'Process'!BL2=1),1+('Control Room'!$C$13-1)*EXP(-0.5*(($A21-'Control Room'!$A$13-('Control Room'!$B$13-1)/2)/MAX(0.5,'Control Room'!$B$13/4))^2),1)*IF(AND($A21&gt;='Control Room'!$A$14,$A21&lt;'Control Room'!$A$14+'Control Room'!$B$14,'Process'!BL3=1),1+('Control Room'!$C$14-1)*EXP(-0.5*(($A21-'Control Room'!$A$14-('Control Room'!$B$14-1)/2)/MAX(0.5,'Control Room'!$B$14/4))^2),1)*IF(AND($A21&gt;='Control Room'!$A$15,$A21&lt;'Control Room'!$A$15+'Control Room'!$B$15,'Process'!BL4=1),1+('Control Room'!$C$15-1)*EXP(-0.5*(($A21-'Control Room'!$A$15-('Control Room'!$B$15-1)/2)/MAX(0.5,'Control Room'!$B$15/4))^2),1)*IF(AND($A21&gt;='Control Room'!$A$16,$A21&lt;'Control Room'!$A$16+'Control Room'!$B$16,'Process'!BL5=1),1+('Control Room'!$C$16-1)*EXP(-0.5*(($A21-'Control Room'!$A$16-('Control Room'!$B$16-1)/2)/MAX(0.5,'Control Room'!$B$16/4))^2),1)</x:f>
        <x:v>0.40455778959957334</x:v>
      </x:c>
      <x:c r="L21" s="9" t="n">
        <x:f>MOD(M20*16807,2147483647)</x:f>
        <x:v>1474503027</x:v>
      </x:c>
      <x:c r="M21" s="9" t="n">
        <x:f>MOD(L21*16807,2147483647)</x:f>
        <x:v>11088409</x:v>
      </x:c>
      <x:c r="N21" s="17" t="n">
        <x:f>IF('Control Room'!$B$5="Normal",'Control Room'!$B$7+'Control Room'!$D$7*SQRT(-2*LN(MAX(0.000000000001,L21/2147483647)))*COS(2*PI()*M21/2147483647),'Control Room'!$B$8+('Control Room'!$D$8-'Control Room'!$B$8)*L21/2147483647)</x:f>
        <x:v>1078.0025557818271</x:v>
      </x:c>
      <x:c r="O21" s="17" t="n">
        <x:f>IF('Control Room'!$B$5="Normal",'Control Room'!$B$7,('Control Room'!$B$8+'Control Room'!$D$8)/2)+'Control Room'!$B$9*(O20-IF('Control Room'!$B$5="Normal",'Control Room'!$B$7,('Control Room'!$B$8+'Control Room'!$D$8)/2))+SQRT(1-'Control Room'!$B$9^2)*(N21-IF('Control Room'!$B$5="Normal",'Control Room'!$B$7,('Control Room'!$B$8+'Control Room'!$D$8)/2))</x:f>
        <x:v>1041.4249479172088</x:v>
      </x:c>
      <x:c r="P21" s="17" t="n">
        <x:f>IF(AND($A21&gt;='Control Room'!$A$13,$A21&lt;'Control Room'!$A$13+'Control Room'!$B$13,'Process'!BM2=1),1+('Control Room'!$C$13-1)*EXP(-0.5*(($A21-'Control Room'!$A$13-('Control Room'!$B$13-1)/2)/MAX(0.5,'Control Room'!$B$13/4))^2),1)*IF(AND($A21&gt;='Control Room'!$A$14,$A21&lt;'Control Room'!$A$14+'Control Room'!$B$14,'Process'!BM3=1),1+('Control Room'!$C$14-1)*EXP(-0.5*(($A21-'Control Room'!$A$14-('Control Room'!$B$14-1)/2)/MAX(0.5,'Control Room'!$B$14/4))^2),1)*IF(AND($A21&gt;='Control Room'!$A$15,$A21&lt;'Control Room'!$A$15+'Control Room'!$B$15,'Process'!BM4=1),1+('Control Room'!$C$15-1)*EXP(-0.5*(($A21-'Control Room'!$A$15-('Control Room'!$B$15-1)/2)/MAX(0.5,'Control Room'!$B$15/4))^2),1)*IF(AND($A21&gt;='Control Room'!$A$16,$A21&lt;'Control Room'!$A$16+'Control Room'!$B$16,'Process'!BM5=1),1+('Control Room'!$C$16-1)*EXP(-0.5*(($A21-'Control Room'!$A$16-('Control Room'!$B$16-1)/2)/MAX(0.5,'Control Room'!$B$16/4))^2),1)</x:f>
        <x:v>0.40455778959957334</x:v>
      </x:c>
      <x:c r="Q21" s="9" t="n">
        <x:f>MOD(R20*16807,2147483647)</x:f>
        <x:v>87979341</x:v>
      </x:c>
      <x:c r="R21" s="9" t="n">
        <x:f>MOD(Q21*16807,2147483647)</x:f>
        <x:v>1200035051</x:v>
      </x:c>
      <x:c r="S21" s="17" t="n">
        <x:f>IF('Control Room'!$B$5="Normal",'Control Room'!$B$7+'Control Room'!$D$7*SQRT(-2*LN(MAX(0.000000000001,Q21/2147483647)))*COS(2*PI()*R21/2147483647),'Control Room'!$B$8+('Control Room'!$D$8-'Control Room'!$B$8)*Q21/2147483647)</x:f>
        <x:v>787.85153736914</x:v>
      </x:c>
      <x:c r="T21" s="17" t="n">
        <x:f>IF('Control Room'!$B$5="Normal",'Control Room'!$B$7,('Control Room'!$B$8+'Control Room'!$D$8)/2)+'Control Room'!$B$9*(T20-IF('Control Room'!$B$5="Normal",'Control Room'!$B$7,('Control Room'!$B$8+'Control Room'!$D$8)/2))+SQRT(1-'Control Room'!$B$9^2)*(S21-IF('Control Room'!$B$5="Normal",'Control Room'!$B$7,('Control Room'!$B$8+'Control Room'!$D$8)/2))</x:f>
        <x:v>869.8460003361467</x:v>
      </x:c>
      <x:c r="U21" s="17" t="n">
        <x:f>IF(AND($A21&gt;='Control Room'!$A$13,$A21&lt;'Control Room'!$A$13+'Control Room'!$B$13,'Process'!BN2=1),1+('Control Room'!$C$13-1)*EXP(-0.5*(($A21-'Control Room'!$A$13-('Control Room'!$B$13-1)/2)/MAX(0.5,'Control Room'!$B$13/4))^2),1)*IF(AND($A21&gt;='Control Room'!$A$14,$A21&lt;'Control Room'!$A$14+'Control Room'!$B$14,'Process'!BN3=1),1+('Control Room'!$C$14-1)*EXP(-0.5*(($A21-'Control Room'!$A$14-('Control Room'!$B$14-1)/2)/MAX(0.5,'Control Room'!$B$14/4))^2),1)*IF(AND($A21&gt;='Control Room'!$A$15,$A21&lt;'Control Room'!$A$15+'Control Room'!$B$15,'Process'!BN4=1),1+('Control Room'!$C$15-1)*EXP(-0.5*(($A21-'Control Room'!$A$15-('Control Room'!$B$15-1)/2)/MAX(0.5,'Control Room'!$B$15/4))^2),1)*IF(AND($A21&gt;='Control Room'!$A$16,$A21&lt;'Control Room'!$A$16+'Control Room'!$B$16,'Process'!BN5=1),1+('Control Room'!$C$16-1)*EXP(-0.5*(($A21-'Control Room'!$A$16-('Control Room'!$B$16-1)/2)/MAX(0.5,'Control Room'!$B$16/4))^2),1)</x:f>
        <x:v>0.40455778959957334</x:v>
      </x:c>
      <x:c r="V21" s="9" t="n">
        <x:f>MOD(W20*16807,2147483647)</x:f>
        <x:v>848939302</x:v>
      </x:c>
      <x:c r="W21" s="9" t="n">
        <x:f>MOD(V21*16807,2147483647)</x:f>
        <x:v>241498046</x:v>
      </x:c>
      <x:c r="X21" s="17" t="n">
        <x:f>IF('Control Room'!$B$5="Normal",'Control Room'!$B$7+'Control Room'!$D$7*SQRT(-2*LN(MAX(0.000000000001,V21/2147483647)))*COS(2*PI()*W21/2147483647),'Control Room'!$B$8+('Control Room'!$D$8-'Control Room'!$B$8)*V21/2147483647)</x:f>
        <x:v>1093.2596768342983</x:v>
      </x:c>
      <x:c r="Y21" s="17" t="n">
        <x:f>IF('Control Room'!$B$5="Normal",'Control Room'!$B$7,('Control Room'!$B$8+'Control Room'!$D$8)/2)+'Control Room'!$B$9*(Y20-IF('Control Room'!$B$5="Normal",'Control Room'!$B$7,('Control Room'!$B$8+'Control Room'!$D$8)/2))+SQRT(1-'Control Room'!$B$9^2)*(X21-IF('Control Room'!$B$5="Normal",'Control Room'!$B$7,('Control Room'!$B$8+'Control Room'!$D$8)/2))</x:f>
        <x:v>1012.7859610630094</x:v>
      </x:c>
      <x:c r="Z21" s="17" t="n">
        <x:f>IF(AND($A21&gt;='Control Room'!$A$13,$A21&lt;'Control Room'!$A$13+'Control Room'!$B$13,'Process'!BO2=1),1+('Control Room'!$C$13-1)*EXP(-0.5*(($A21-'Control Room'!$A$13-('Control Room'!$B$13-1)/2)/MAX(0.5,'Control Room'!$B$13/4))^2),1)*IF(AND($A21&gt;='Control Room'!$A$14,$A21&lt;'Control Room'!$A$14+'Control Room'!$B$14,'Process'!BO3=1),1+('Control Room'!$C$14-1)*EXP(-0.5*(($A21-'Control Room'!$A$14-('Control Room'!$B$14-1)/2)/MAX(0.5,'Control Room'!$B$14/4))^2),1)*IF(AND($A21&gt;='Control Room'!$A$15,$A21&lt;'Control Room'!$A$15+'Control Room'!$B$15,'Process'!BO4=1),1+('Control Room'!$C$15-1)*EXP(-0.5*(($A21-'Control Room'!$A$15-('Control Room'!$B$15-1)/2)/MAX(0.5,'Control Room'!$B$15/4))^2),1)*IF(AND($A21&gt;='Control Room'!$A$16,$A21&lt;'Control Room'!$A$16+'Control Room'!$B$16,'Process'!BO5=1),1+('Control Room'!$C$16-1)*EXP(-0.5*(($A21-'Control Room'!$A$16-('Control Room'!$B$16-1)/2)/MAX(0.5,'Control Room'!$B$16/4))^2),1)</x:f>
        <x:v>0.40455778959957334</x:v>
      </x:c>
      <x:c r="AA21" s="9" t="n">
        <x:f>MOD(AB20*16807,2147483647)</x:f>
        <x:v>1609899263</x:v>
      </x:c>
      <x:c r="AB21" s="9" t="n">
        <x:f>MOD(AA21*16807,2147483647)</x:f>
        <x:v>1430444688</x:v>
      </x:c>
      <x:c r="AC21" s="17" t="n">
        <x:f>IF('Control Room'!$B$5="Normal",'Control Room'!$B$7+'Control Room'!$D$7*SQRT(-2*LN(MAX(0.000000000001,AA21/2147483647)))*COS(2*PI()*AB21/2147483647),'Control Room'!$B$8+('Control Room'!$D$8-'Control Room'!$B$8)*AA21/2147483647)</x:f>
        <x:v>965.6305436842736</x:v>
      </x:c>
      <x:c r="AD21" s="17" t="n">
        <x:f>IF('Control Room'!$B$5="Normal",'Control Room'!$B$7,('Control Room'!$B$8+'Control Room'!$D$8)/2)+'Control Room'!$B$9*(AD20-IF('Control Room'!$B$5="Normal",'Control Room'!$B$7,('Control Room'!$B$8+'Control Room'!$D$8)/2))+SQRT(1-'Control Room'!$B$9^2)*(AC21-IF('Control Room'!$B$5="Normal",'Control Room'!$B$7,('Control Room'!$B$8+'Control Room'!$D$8)/2))</x:f>
        <x:v>823.2605759323523</x:v>
      </x:c>
      <x:c r="AE21" s="17" t="n">
        <x:f>IF(AND($A21&gt;='Control Room'!$A$13,$A21&lt;'Control Room'!$A$13+'Control Room'!$B$13,'Process'!BP2=1),1+('Control Room'!$C$13-1)*EXP(-0.5*(($A21-'Control Room'!$A$13-('Control Room'!$B$13-1)/2)/MAX(0.5,'Control Room'!$B$13/4))^2),1)*IF(AND($A21&gt;='Control Room'!$A$14,$A21&lt;'Control Room'!$A$14+'Control Room'!$B$14,'Process'!BP3=1),1+('Control Room'!$C$14-1)*EXP(-0.5*(($A21-'Control Room'!$A$14-('Control Room'!$B$14-1)/2)/MAX(0.5,'Control Room'!$B$14/4))^2),1)*IF(AND($A21&gt;='Control Room'!$A$15,$A21&lt;'Control Room'!$A$15+'Control Room'!$B$15,'Process'!BP4=1),1+('Control Room'!$C$15-1)*EXP(-0.5*(($A21-'Control Room'!$A$15-('Control Room'!$B$15-1)/2)/MAX(0.5,'Control Room'!$B$15/4))^2),1)*IF(AND($A21&gt;='Control Room'!$A$16,$A21&lt;'Control Room'!$A$16+'Control Room'!$B$16,'Process'!BP5=1),1+('Control Room'!$C$16-1)*EXP(-0.5*(($A21-'Control Room'!$A$16-('Control Room'!$B$16-1)/2)/MAX(0.5,'Control Room'!$B$16/4))^2),1)</x:f>
        <x:v>0.40455778959957334</x:v>
      </x:c>
      <x:c r="AF21" s="9" t="n">
        <x:f>MOD(AG20*16807,2147483647)</x:f>
        <x:v>223375577</x:v>
      </x:c>
      <x:c r="AG21" s="9" t="n">
        <x:f>MOD(AF21*16807,2147483647)</x:f>
        <x:v>471907683</x:v>
      </x:c>
      <x:c r="AH21" s="17" t="n">
        <x:f>IF('Control Room'!$B$5="Normal",'Control Room'!$B$7+'Control Room'!$D$7*SQRT(-2*LN(MAX(0.000000000001,AF21/2147483647)))*COS(2*PI()*AG21/2147483647),'Control Room'!$B$8+('Control Room'!$D$8-'Control Room'!$B$8)*AF21/2147483647)</x:f>
        <x:v>1036.1758048268882</x:v>
      </x:c>
      <x:c r="AI21" s="17" t="n">
        <x:f>IF('Control Room'!$B$5="Normal",'Control Room'!$B$7,('Control Room'!$B$8+'Control Room'!$D$8)/2)+'Control Room'!$B$9*(AI20-IF('Control Room'!$B$5="Normal",'Control Room'!$B$7,('Control Room'!$B$8+'Control Room'!$D$8)/2))+SQRT(1-'Control Room'!$B$9^2)*(AH21-IF('Control Room'!$B$5="Normal",'Control Room'!$B$7,('Control Room'!$B$8+'Control Room'!$D$8)/2))</x:f>
        <x:v>947.8638737565753</x:v>
      </x:c>
      <x:c r="AJ21" s="17" t="n">
        <x:f>IF(AND($A21&gt;='Control Room'!$A$13,$A21&lt;'Control Room'!$A$13+'Control Room'!$B$13,'Process'!BQ2=1),1+('Control Room'!$C$13-1)*EXP(-0.5*(($A21-'Control Room'!$A$13-('Control Room'!$B$13-1)/2)/MAX(0.5,'Control Room'!$B$13/4))^2),1)*IF(AND($A21&gt;='Control Room'!$A$14,$A21&lt;'Control Room'!$A$14+'Control Room'!$B$14,'Process'!BQ3=1),1+('Control Room'!$C$14-1)*EXP(-0.5*(($A21-'Control Room'!$A$14-('Control Room'!$B$14-1)/2)/MAX(0.5,'Control Room'!$B$14/4))^2),1)*IF(AND($A21&gt;='Control Room'!$A$15,$A21&lt;'Control Room'!$A$15+'Control Room'!$B$15,'Process'!BQ4=1),1+('Control Room'!$C$15-1)*EXP(-0.5*(($A21-'Control Room'!$A$15-('Control Room'!$B$15-1)/2)/MAX(0.5,'Control Room'!$B$15/4))^2),1)*IF(AND($A21&gt;='Control Room'!$A$16,$A21&lt;'Control Room'!$A$16+'Control Room'!$B$16,'Process'!BQ5=1),1+('Control Room'!$C$16-1)*EXP(-0.5*(($A21-'Control Room'!$A$16-('Control Room'!$B$16-1)/2)/MAX(0.5,'Control Room'!$B$16/4))^2),1)</x:f>
        <x:v>0.40455778959957334</x:v>
      </x:c>
      <x:c r="AK21" s="9" t="n">
        <x:f>MOD(AL20*16807,2147483647)</x:f>
        <x:v>984335538</x:v>
      </x:c>
      <x:c r="AL21" s="9" t="n">
        <x:f>MOD(AK21*16807,2147483647)</x:f>
        <x:v>1660854325</x:v>
      </x:c>
      <x:c r="AM21" s="17" t="n">
        <x:f>IF('Control Room'!$B$5="Normal",'Control Room'!$B$7+'Control Room'!$D$7*SQRT(-2*LN(MAX(0.000000000001,AK21/2147483647)))*COS(2*PI()*AL21/2147483647),'Control Room'!$B$8+('Control Room'!$D$8-'Control Room'!$B$8)*AK21/2147483647)</x:f>
        <x:v>1016.4655670927701</x:v>
      </x:c>
      <x:c r="AN21" s="17" t="n">
        <x:f>IF('Control Room'!$B$5="Normal",'Control Room'!$B$7,('Control Room'!$B$8+'Control Room'!$D$8)/2)+'Control Room'!$B$9*(AN20-IF('Control Room'!$B$5="Normal",'Control Room'!$B$7,('Control Room'!$B$8+'Control Room'!$D$8)/2))+SQRT(1-'Control Room'!$B$9^2)*(AM21-IF('Control Room'!$B$5="Normal",'Control Room'!$B$7,('Control Room'!$B$8+'Control Room'!$D$8)/2))</x:f>
        <x:v>1013.1035814485041</x:v>
      </x:c>
      <x:c r="AO21" s="17" t="n">
        <x:f>IF(AND($A21&gt;='Control Room'!$A$13,$A21&lt;'Control Room'!$A$13+'Control Room'!$B$13,'Process'!BR2=1),1+('Control Room'!$C$13-1)*EXP(-0.5*(($A21-'Control Room'!$A$13-('Control Room'!$B$13-1)/2)/MAX(0.5,'Control Room'!$B$13/4))^2),1)*IF(AND($A21&gt;='Control Room'!$A$14,$A21&lt;'Control Room'!$A$14+'Control Room'!$B$14,'Process'!BR3=1),1+('Control Room'!$C$14-1)*EXP(-0.5*(($A21-'Control Room'!$A$14-('Control Room'!$B$14-1)/2)/MAX(0.5,'Control Room'!$B$14/4))^2),1)*IF(AND($A21&gt;='Control Room'!$A$15,$A21&lt;'Control Room'!$A$15+'Control Room'!$B$15,'Process'!BR4=1),1+('Control Room'!$C$15-1)*EXP(-0.5*(($A21-'Control Room'!$A$15-('Control Room'!$B$15-1)/2)/MAX(0.5,'Control Room'!$B$15/4))^2),1)*IF(AND($A21&gt;='Control Room'!$A$16,$A21&lt;'Control Room'!$A$16+'Control Room'!$B$16,'Process'!BR5=1),1+('Control Room'!$C$16-1)*EXP(-0.5*(($A21-'Control Room'!$A$16-('Control Room'!$B$16-1)/2)/MAX(0.5,'Control Room'!$B$16/4))^2),1)</x:f>
        <x:v>0.40455778959957334</x:v>
      </x:c>
      <x:c r="AP21" s="9" t="n">
        <x:f>MOD(AQ20*16807,2147483647)</x:f>
        <x:v>1745295499</x:v>
      </x:c>
      <x:c r="AQ21" s="9" t="n">
        <x:f>MOD(AP21*16807,2147483647)</x:f>
        <x:v>702317320</x:v>
      </x:c>
      <x:c r="AR21" s="17" t="n">
        <x:f>IF('Control Room'!$B$5="Normal",'Control Room'!$B$7+'Control Room'!$D$7*SQRT(-2*LN(MAX(0.000000000001,AP21/2147483647)))*COS(2*PI()*AQ21/2147483647),'Control Room'!$B$8+('Control Room'!$D$8-'Control Room'!$B$8)*AP21/2147483647)</x:f>
        <x:v>973.0259913551437</x:v>
      </x:c>
      <x:c r="AS21" s="17" t="n">
        <x:f>IF('Control Room'!$B$5="Normal",'Control Room'!$B$7,('Control Room'!$B$8+'Control Room'!$D$8)/2)+'Control Room'!$B$9*(AS20-IF('Control Room'!$B$5="Normal",'Control Room'!$B$7,('Control Room'!$B$8+'Control Room'!$D$8)/2))+SQRT(1-'Control Room'!$B$9^2)*(AR21-IF('Control Room'!$B$5="Normal",'Control Room'!$B$7,('Control Room'!$B$8+'Control Room'!$D$8)/2))</x:f>
        <x:v>1041.9292655973227</x:v>
      </x:c>
      <x:c r="AT21" s="17" t="n">
        <x:f>IF(AND($A21&gt;='Control Room'!$A$13,$A21&lt;'Control Room'!$A$13+'Control Room'!$B$13,'Process'!BS2=1),1+('Control Room'!$C$13-1)*EXP(-0.5*(($A21-'Control Room'!$A$13-('Control Room'!$B$13-1)/2)/MAX(0.5,'Control Room'!$B$13/4))^2),1)*IF(AND($A21&gt;='Control Room'!$A$14,$A21&lt;'Control Room'!$A$14+'Control Room'!$B$14,'Process'!BS3=1),1+('Control Room'!$C$14-1)*EXP(-0.5*(($A21-'Control Room'!$A$14-('Control Room'!$B$14-1)/2)/MAX(0.5,'Control Room'!$B$14/4))^2),1)*IF(AND($A21&gt;='Control Room'!$A$15,$A21&lt;'Control Room'!$A$15+'Control Room'!$B$15,'Process'!BS4=1),1+('Control Room'!$C$15-1)*EXP(-0.5*(($A21-'Control Room'!$A$15-('Control Room'!$B$15-1)/2)/MAX(0.5,'Control Room'!$B$15/4))^2),1)*IF(AND($A21&gt;='Control Room'!$A$16,$A21&lt;'Control Room'!$A$16+'Control Room'!$B$16,'Process'!BS5=1),1+('Control Room'!$C$16-1)*EXP(-0.5*(($A21-'Control Room'!$A$16-('Control Room'!$B$16-1)/2)/MAX(0.5,'Control Room'!$B$16/4))^2),1)</x:f>
        <x:v>0.40455778959957334</x:v>
      </x:c>
      <x:c r="AU21" s="9" t="n">
        <x:f>MOD(AV20*16807,2147483647)</x:f>
        <x:v>358771813</x:v>
      </x:c>
      <x:c r="AV21" s="9" t="n">
        <x:f>MOD(AU21*16807,2147483647)</x:f>
        <x:v>1891263962</x:v>
      </x:c>
      <x:c r="AW21" s="17" t="n">
        <x:f>IF('Control Room'!$B$5="Normal",'Control Room'!$B$7+'Control Room'!$D$7*SQRT(-2*LN(MAX(0.000000000001,AU21/2147483647)))*COS(2*PI()*AV21/2147483647),'Control Room'!$B$8+('Control Room'!$D$8-'Control Room'!$B$8)*AU21/2147483647)</x:f>
        <x:v>1124.6155620293832</x:v>
      </x:c>
      <x:c r="AX21" s="17" t="n">
        <x:f>IF('Control Room'!$B$5="Normal",'Control Room'!$B$7,('Control Room'!$B$8+'Control Room'!$D$8)/2)+'Control Room'!$B$9*(AX20-IF('Control Room'!$B$5="Normal",'Control Room'!$B$7,('Control Room'!$B$8+'Control Room'!$D$8)/2))+SQRT(1-'Control Room'!$B$9^2)*(AW21-IF('Control Room'!$B$5="Normal",'Control Room'!$B$7,('Control Room'!$B$8+'Control Room'!$D$8)/2))</x:f>
        <x:v>1136.8327807233825</x:v>
      </x:c>
      <x:c r="AY21" s="17" t="n">
        <x:f>IF(AND($A21&gt;='Control Room'!$A$13,$A21&lt;'Control Room'!$A$13+'Control Room'!$B$13,'Process'!BT2=1),1+('Control Room'!$C$13-1)*EXP(-0.5*(($A21-'Control Room'!$A$13-('Control Room'!$B$13-1)/2)/MAX(0.5,'Control Room'!$B$13/4))^2),1)*IF(AND($A21&gt;='Control Room'!$A$14,$A21&lt;'Control Room'!$A$14+'Control Room'!$B$14,'Process'!BT3=1),1+('Control Room'!$C$14-1)*EXP(-0.5*(($A21-'Control Room'!$A$14-('Control Room'!$B$14-1)/2)/MAX(0.5,'Control Room'!$B$14/4))^2),1)*IF(AND($A21&gt;='Control Room'!$A$15,$A21&lt;'Control Room'!$A$15+'Control Room'!$B$15,'Process'!BT4=1),1+('Control Room'!$C$15-1)*EXP(-0.5*(($A21-'Control Room'!$A$15-('Control Room'!$B$15-1)/2)/MAX(0.5,'Control Room'!$B$15/4))^2),1)*IF(AND($A21&gt;='Control Room'!$A$16,$A21&lt;'Control Room'!$A$16+'Control Room'!$B$16,'Process'!BT5=1),1+('Control Room'!$C$16-1)*EXP(-0.5*(($A21-'Control Room'!$A$16-('Control Room'!$B$16-1)/2)/MAX(0.5,'Control Room'!$B$16/4))^2),1)</x:f>
        <x:v>0.40455778959957334</x:v>
      </x:c>
      <x:c r="AZ21" s="9" t="n">
        <x:f>MOD(BA20*16807,2147483647)</x:f>
        <x:v>1119731774</x:v>
      </x:c>
      <x:c r="BA21" s="9" t="n">
        <x:f>MOD(AZ21*16807,2147483647)</x:f>
        <x:v>932726957</x:v>
      </x:c>
      <x:c r="BB21" s="17" t="n">
        <x:f>IF('Control Room'!$B$5="Normal",'Control Room'!$B$7+'Control Room'!$D$7*SQRT(-2*LN(MAX(0.000000000001,AZ21/2147483647)))*COS(2*PI()*BA21/2147483647),'Control Room'!$B$8+('Control Room'!$D$8-'Control Room'!$B$8)*AZ21/2147483647)</x:f>
        <x:v>905.9077492077474</x:v>
      </x:c>
      <x:c r="BC21" s="17" t="n">
        <x:f>IF('Control Room'!$B$5="Normal",'Control Room'!$B$7,('Control Room'!$B$8+'Control Room'!$D$8)/2)+'Control Room'!$B$9*(BC20-IF('Control Room'!$B$5="Normal",'Control Room'!$B$7,('Control Room'!$B$8+'Control Room'!$D$8)/2))+SQRT(1-'Control Room'!$B$9^2)*(BB21-IF('Control Room'!$B$5="Normal",'Control Room'!$B$7,('Control Room'!$B$8+'Control Room'!$D$8)/2))</x:f>
        <x:v>1002.1557550682693</x:v>
      </x:c>
      <x:c r="BD21" s="17" t="n">
        <x:f>IF(AND($A21&gt;='Control Room'!$A$13,$A21&lt;'Control Room'!$A$13+'Control Room'!$B$13,'Process'!BU2=1),1+('Control Room'!$C$13-1)*EXP(-0.5*(($A21-'Control Room'!$A$13-('Control Room'!$B$13-1)/2)/MAX(0.5,'Control Room'!$B$13/4))^2),1)*IF(AND($A21&gt;='Control Room'!$A$14,$A21&lt;'Control Room'!$A$14+'Control Room'!$B$14,'Process'!BU3=1),1+('Control Room'!$C$14-1)*EXP(-0.5*(($A21-'Control Room'!$A$14-('Control Room'!$B$14-1)/2)/MAX(0.5,'Control Room'!$B$14/4))^2),1)*IF(AND($A21&gt;='Control Room'!$A$15,$A21&lt;'Control Room'!$A$15+'Control Room'!$B$15,'Process'!BU4=1),1+('Control Room'!$C$15-1)*EXP(-0.5*(($A21-'Control Room'!$A$15-('Control Room'!$B$15-1)/2)/MAX(0.5,'Control Room'!$B$15/4))^2),1)*IF(AND($A21&gt;='Control Room'!$A$16,$A21&lt;'Control Room'!$A$16+'Control Room'!$B$16,'Process'!BU5=1),1+('Control Room'!$C$16-1)*EXP(-0.5*(($A21-'Control Room'!$A$16-('Control Room'!$B$16-1)/2)/MAX(0.5,'Control Room'!$B$16/4))^2),1)</x:f>
        <x:v>0.40455778959957334</x:v>
      </x:c>
      <x:c r="BE21" s="9" t="n">
        <x:f>MOD(BF20*16807,2147483647)</x:f>
        <x:v>1880691735</x:v>
      </x:c>
      <x:c r="BF21" s="9" t="n">
        <x:f>MOD(BE21*16807,2147483647)</x:f>
        <x:v>2121673599</x:v>
      </x:c>
      <x:c r="BG21" s="17" t="n">
        <x:f>IF('Control Room'!$B$5="Normal",'Control Room'!$B$7+'Control Room'!$D$7*SQRT(-2*LN(MAX(0.000000000001,BE21/2147483647)))*COS(2*PI()*BF21/2147483647),'Control Room'!$B$8+('Control Room'!$D$8-'Control Room'!$B$8)*BE21/2147483647)</x:f>
        <x:v>1046.2256760648586</x:v>
      </x:c>
      <x:c r="BH21" s="17" t="n">
        <x:f>IF('Control Room'!$B$5="Normal",'Control Room'!$B$7,('Control Room'!$B$8+'Control Room'!$D$8)/2)+'Control Room'!$B$9*(BH20-IF('Control Room'!$B$5="Normal",'Control Room'!$B$7,('Control Room'!$B$8+'Control Room'!$D$8)/2))+SQRT(1-'Control Room'!$B$9^2)*(BG21-IF('Control Room'!$B$5="Normal",'Control Room'!$B$7,('Control Room'!$B$8+'Control Room'!$D$8)/2))</x:f>
        <x:v>1089.9938592594247</x:v>
      </x:c>
      <x:c r="BI21" s="17" t="n">
        <x:f>IF(AND($A21&gt;='Control Room'!$A$13,$A21&lt;'Control Room'!$A$13+'Control Room'!$B$13,'Process'!BV2=1),1+('Control Room'!$C$13-1)*EXP(-0.5*(($A21-'Control Room'!$A$13-('Control Room'!$B$13-1)/2)/MAX(0.5,'Control Room'!$B$13/4))^2),1)*IF(AND($A21&gt;='Control Room'!$A$14,$A21&lt;'Control Room'!$A$14+'Control Room'!$B$14,'Process'!BV3=1),1+('Control Room'!$C$14-1)*EXP(-0.5*(($A21-'Control Room'!$A$14-('Control Room'!$B$14-1)/2)/MAX(0.5,'Control Room'!$B$14/4))^2),1)*IF(AND($A21&gt;='Control Room'!$A$15,$A21&lt;'Control Room'!$A$15+'Control Room'!$B$15,'Process'!BV4=1),1+('Control Room'!$C$15-1)*EXP(-0.5*(($A21-'Control Room'!$A$15-('Control Room'!$B$15-1)/2)/MAX(0.5,'Control Room'!$B$15/4))^2),1)*IF(AND($A21&gt;='Control Room'!$A$16,$A21&lt;'Control Room'!$A$16+'Control Room'!$B$16,'Process'!BV5=1),1+('Control Room'!$C$16-1)*EXP(-0.5*(($A21-'Control Room'!$A$16-('Control Room'!$B$16-1)/2)/MAX(0.5,'Control Room'!$B$16/4))^2),1)</x:f>
        <x:v>0.40455778959957334</x:v>
      </x:c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 t="str">
        <x:f>IF('Control Room'!F15&gt;'Control Room'!$B$2,"Inactive",IF(OR(TRIM('Control Room'!G15)="",'Control Room'!G15&lt;&gt;TRIM('Control Room'!G15),LEN('Control Room'!G15)&gt;80,LOWER('Control Room'!G15)="total",COUNTIFS('Control Room'!$G$4:$G$15,'Control Room'!G15,'Control Room'!$F$4:$F$15,"&lt;="&amp;'Control Room'!$B$2)&gt;1),"Invalid name","Active"))</x:f>
        <x:v>Inactive</x:v>
      </x:c>
      <x:c r="BZ21" t="str">
        <x:f>IF('Data'!A21="","",TEXT('Data'!A21,"mm-dd"))</x:f>
        <x:v>11-21</x:v>
      </x:c>
    </x:row>
    <x:row r="22" ht="21" customHeight="1">
      <x:c r="A22" s="15" t="n">
        <x:f>'Control Room'!$B$1+20</x:f>
        <x:v>73011</x:v>
      </x:c>
      <x:c r="B22" s="9" t="n">
        <x:f>MOD(C21*16807,2147483647)</x:f>
        <x:v>1097542903</x:v>
      </x:c>
      <x:c r="C22" s="9" t="n">
        <x:f>MOD(B22*16807,2147483647)</x:f>
        <x:v>1666526638</x:v>
      </x:c>
      <x:c r="D22" s="17" t="n">
        <x:f>IF('Control Room'!$B$5="Normal",'Control Room'!$B$7+'Control Room'!$D$7*SQRT(-2*LN(MAX(0.000000000001,B22/2147483647)))*COS(2*PI()*C22/2147483647),'Control Room'!$B$8+('Control Room'!$D$8-'Control Room'!$B$8)*B22/2147483647)</x:f>
        <x:v>1016.983286847823</x:v>
      </x:c>
      <x:c r="E22" s="17" t="n">
        <x:f>IF('Control Room'!$B$5="Normal",'Control Room'!$B$7,('Control Room'!$B$8+'Control Room'!$D$8)/2)+'Control Room'!$B$9*(E21-IF('Control Room'!$B$5="Normal",'Control Room'!$B$7,('Control Room'!$B$8+'Control Room'!$D$8)/2))+SQRT(1-'Control Room'!$B$9^2)*(D22-IF('Control Room'!$B$5="Normal",'Control Room'!$B$7,('Control Room'!$B$8+'Control Room'!$D$8)/2))</x:f>
        <x:v>1024.2602361206784</x:v>
      </x:c>
      <x:c r="F22" s="17" t="n">
        <x:f>IF(AND($A22&gt;='Control Room'!$A$13,$A22&lt;'Control Room'!$A$13+'Control Room'!$B$13,'Process'!BK2=1),1+('Control Room'!$C$13-1)*EXP(-0.5*(($A22-'Control Room'!$A$13-('Control Room'!$B$13-1)/2)/MAX(0.5,'Control Room'!$B$13/4))^2),1)*IF(AND($A22&gt;='Control Room'!$A$14,$A22&lt;'Control Room'!$A$14+'Control Room'!$B$14,'Process'!BK3=1),1+('Control Room'!$C$14-1)*EXP(-0.5*(($A22-'Control Room'!$A$14-('Control Room'!$B$14-1)/2)/MAX(0.5,'Control Room'!$B$14/4))^2),1)*IF(AND($A22&gt;='Control Room'!$A$15,$A22&lt;'Control Room'!$A$15+'Control Room'!$B$15,'Process'!BK4=1),1+('Control Room'!$C$15-1)*EXP(-0.5*(($A22-'Control Room'!$A$15-('Control Room'!$B$15-1)/2)/MAX(0.5,'Control Room'!$B$15/4))^2),1)*IF(AND($A22&gt;='Control Room'!$A$16,$A22&lt;'Control Room'!$A$16+'Control Room'!$B$16,'Process'!BK5=1),1+('Control Room'!$C$16-1)*EXP(-0.5*(($A22-'Control Room'!$A$16-('Control Room'!$B$16-1)/2)/MAX(0.5,'Control Room'!$B$16/4))^2),1)</x:f>
        <x:v>0.17999999999999994</x:v>
      </x:c>
      <x:c r="G22" s="9" t="n">
        <x:f>MOD(H21*16807,2147483647)</x:f>
        <x:v>1388419662</x:v>
      </x:c>
      <x:c r="H22" s="9" t="n">
        <x:f>MOD(G22*16807,2147483647)</x:f>
        <x:v>611950932</x:v>
      </x:c>
      <x:c r="I22" s="17" t="n">
        <x:f>IF('Control Room'!$B$5="Normal",'Control Room'!$B$7+'Control Room'!$D$7*SQRT(-2*LN(MAX(0.000000000001,G22/2147483647)))*COS(2*PI()*H22/2147483647),'Control Room'!$B$8+('Control Room'!$D$8-'Control Room'!$B$8)*G22/2147483647)</x:f>
        <x:v>981.683534737642</x:v>
      </x:c>
      <x:c r="J22" s="17" t="n">
        <x:f>IF('Control Room'!$B$5="Normal",'Control Room'!$B$7,('Control Room'!$B$8+'Control Room'!$D$8)/2)+'Control Room'!$B$9*(J21-IF('Control Room'!$B$5="Normal",'Control Room'!$B$7,('Control Room'!$B$8+'Control Room'!$D$8)/2))+SQRT(1-'Control Room'!$B$9^2)*(I22-IF('Control Room'!$B$5="Normal",'Control Room'!$B$7,('Control Room'!$B$8+'Control Room'!$D$8)/2))</x:f>
        <x:v>974.8039879040587</x:v>
      </x:c>
      <x:c r="K22" s="17" t="n">
        <x:f>IF(AND($A22&gt;='Control Room'!$A$13,$A22&lt;'Control Room'!$A$13+'Control Room'!$B$13,'Process'!BL2=1),1+('Control Room'!$C$13-1)*EXP(-0.5*(($A22-'Control Room'!$A$13-('Control Room'!$B$13-1)/2)/MAX(0.5,'Control Room'!$B$13/4))^2),1)*IF(AND($A22&gt;='Control Room'!$A$14,$A22&lt;'Control Room'!$A$14+'Control Room'!$B$14,'Process'!BL3=1),1+('Control Room'!$C$14-1)*EXP(-0.5*(($A22-'Control Room'!$A$14-('Control Room'!$B$14-1)/2)/MAX(0.5,'Control Room'!$B$14/4))^2),1)*IF(AND($A22&gt;='Control Room'!$A$15,$A22&lt;'Control Room'!$A$15+'Control Room'!$B$15,'Process'!BL4=1),1+('Control Room'!$C$15-1)*EXP(-0.5*(($A22-'Control Room'!$A$15-('Control Room'!$B$15-1)/2)/MAX(0.5,'Control Room'!$B$15/4))^2),1)*IF(AND($A22&gt;='Control Room'!$A$16,$A22&lt;'Control Room'!$A$16+'Control Room'!$B$16,'Process'!BL5=1),1+('Control Room'!$C$16-1)*EXP(-0.5*(($A22-'Control Room'!$A$16-('Control Room'!$B$16-1)/2)/MAX(0.5,'Control Room'!$B$16/4))^2),1)</x:f>
        <x:v>0.17999999999999994</x:v>
      </x:c>
      <x:c r="L22" s="9" t="n">
        <x:f>MOD(M21*16807,2147483647)</x:f>
        <x:v>1679296421</x:v>
      </x:c>
      <x:c r="M22" s="9" t="n">
        <x:f>MOD(L22*16807,2147483647)</x:f>
        <x:v>1704858873</x:v>
      </x:c>
      <x:c r="N22" s="17" t="n">
        <x:f>IF('Control Room'!$B$5="Normal",'Control Room'!$B$7+'Control Room'!$D$7*SQRT(-2*LN(MAX(0.000000000001,L22/2147483647)))*COS(2*PI()*M22/2147483647),'Control Room'!$B$8+('Control Room'!$D$8-'Control Room'!$B$8)*L22/2147483647)</x:f>
        <x:v>1017.1850913593398</x:v>
      </x:c>
      <x:c r="O22" s="17" t="n">
        <x:f>IF('Control Room'!$B$5="Normal",'Control Room'!$B$7,('Control Room'!$B$8+'Control Room'!$D$8)/2)+'Control Room'!$B$9*(O21-IF('Control Room'!$B$5="Normal",'Control Room'!$B$7,('Control Room'!$B$8+'Control Room'!$D$8)/2))+SQRT(1-'Control Room'!$B$9^2)*(N22-IF('Control Room'!$B$5="Normal",'Control Room'!$B$7,('Control Room'!$B$8+'Control Room'!$D$8)/2))</x:f>
        <x:v>1043.0655374923654</x:v>
      </x:c>
      <x:c r="P22" s="17" t="n">
        <x:f>IF(AND($A22&gt;='Control Room'!$A$13,$A22&lt;'Control Room'!$A$13+'Control Room'!$B$13,'Process'!BM2=1),1+('Control Room'!$C$13-1)*EXP(-0.5*(($A22-'Control Room'!$A$13-('Control Room'!$B$13-1)/2)/MAX(0.5,'Control Room'!$B$13/4))^2),1)*IF(AND($A22&gt;='Control Room'!$A$14,$A22&lt;'Control Room'!$A$14+'Control Room'!$B$14,'Process'!BM3=1),1+('Control Room'!$C$14-1)*EXP(-0.5*(($A22-'Control Room'!$A$14-('Control Room'!$B$14-1)/2)/MAX(0.5,'Control Room'!$B$14/4))^2),1)*IF(AND($A22&gt;='Control Room'!$A$15,$A22&lt;'Control Room'!$A$15+'Control Room'!$B$15,'Process'!BM4=1),1+('Control Room'!$C$15-1)*EXP(-0.5*(($A22-'Control Room'!$A$15-('Control Room'!$B$15-1)/2)/MAX(0.5,'Control Room'!$B$15/4))^2),1)*IF(AND($A22&gt;='Control Room'!$A$16,$A22&lt;'Control Room'!$A$16+'Control Room'!$B$16,'Process'!BM5=1),1+('Control Room'!$C$16-1)*EXP(-0.5*(($A22-'Control Room'!$A$16-('Control Room'!$B$16-1)/2)/MAX(0.5,'Control Room'!$B$16/4))^2),1)</x:f>
        <x:v>0.17999999999999994</x:v>
      </x:c>
      <x:c r="Q22" s="9" t="n">
        <x:f>MOD(R21*16807,2147483647)</x:f>
        <x:v>1970173180</x:v>
      </x:c>
      <x:c r="R22" s="9" t="n">
        <x:f>MOD(Q22*16807,2147483647)</x:f>
        <x:v>650283167</x:v>
      </x:c>
      <x:c r="S22" s="17" t="n">
        <x:f>IF('Control Room'!$B$5="Normal",'Control Room'!$B$7+'Control Room'!$D$7*SQRT(-2*LN(MAX(0.000000000001,Q22/2147483647)))*COS(2*PI()*R22/2147483647),'Control Room'!$B$8+('Control Room'!$D$8-'Control Room'!$B$8)*Q22/2147483647)</x:f>
        <x:v>987.8280665500375</x:v>
      </x:c>
      <x:c r="T22" s="17" t="n">
        <x:f>IF('Control Room'!$B$5="Normal",'Control Room'!$B$7,('Control Room'!$B$8+'Control Room'!$D$8)/2)+'Control Room'!$B$9*(T21-IF('Control Room'!$B$5="Normal",'Control Room'!$B$7,('Control Room'!$B$8+'Control Room'!$D$8)/2))+SQRT(1-'Control Room'!$B$9^2)*(S22-IF('Control Room'!$B$5="Normal",'Control Room'!$B$7,('Control Room'!$B$8+'Control Room'!$D$8)/2))</x:f>
        <x:v>890.8629336648183</x:v>
      </x:c>
      <x:c r="U22" s="17" t="n">
        <x:f>IF(AND($A22&gt;='Control Room'!$A$13,$A22&lt;'Control Room'!$A$13+'Control Room'!$B$13,'Process'!BN2=1),1+('Control Room'!$C$13-1)*EXP(-0.5*(($A22-'Control Room'!$A$13-('Control Room'!$B$13-1)/2)/MAX(0.5,'Control Room'!$B$13/4))^2),1)*IF(AND($A22&gt;='Control Room'!$A$14,$A22&lt;'Control Room'!$A$14+'Control Room'!$B$14,'Process'!BN3=1),1+('Control Room'!$C$14-1)*EXP(-0.5*(($A22-'Control Room'!$A$14-('Control Room'!$B$14-1)/2)/MAX(0.5,'Control Room'!$B$14/4))^2),1)*IF(AND($A22&gt;='Control Room'!$A$15,$A22&lt;'Control Room'!$A$15+'Control Room'!$B$15,'Process'!BN4=1),1+('Control Room'!$C$15-1)*EXP(-0.5*(($A22-'Control Room'!$A$15-('Control Room'!$B$15-1)/2)/MAX(0.5,'Control Room'!$B$15/4))^2),1)*IF(AND($A22&gt;='Control Room'!$A$16,$A22&lt;'Control Room'!$A$16+'Control Room'!$B$16,'Process'!BN5=1),1+('Control Room'!$C$16-1)*EXP(-0.5*(($A22-'Control Room'!$A$16-('Control Room'!$B$16-1)/2)/MAX(0.5,'Control Room'!$B$16/4))^2),1)</x:f>
        <x:v>0.17999999999999994</x:v>
      </x:c>
      <x:c r="V22" s="9" t="n">
        <x:f>MOD(W21*16807,2147483647)</x:f>
        <x:v>113566292</x:v>
      </x:c>
      <x:c r="W22" s="9" t="n">
        <x:f>MOD(V22*16807,2147483647)</x:f>
        <x:v>1743191108</x:v>
      </x:c>
      <x:c r="X22" s="17" t="n">
        <x:f>IF('Control Room'!$B$5="Normal",'Control Room'!$B$7+'Control Room'!$D$7*SQRT(-2*LN(MAX(0.000000000001,V22/2147483647)))*COS(2*PI()*W22/2147483647),'Control Room'!$B$8+('Control Room'!$D$8-'Control Room'!$B$8)*V22/2147483647)</x:f>
        <x:v>1082.5434687899856</x:v>
      </x:c>
      <x:c r="Y22" s="17" t="n">
        <x:f>IF('Control Room'!$B$5="Normal",'Control Room'!$B$7,('Control Room'!$B$8+'Control Room'!$D$8)/2)+'Control Room'!$B$9*(Y21-IF('Control Room'!$B$5="Normal",'Control Room'!$B$7,('Control Room'!$B$8+'Control Room'!$D$8)/2))+SQRT(1-'Control Room'!$B$9^2)*(X22-IF('Control Room'!$B$5="Normal",'Control Room'!$B$7,('Control Room'!$B$8+'Control Room'!$D$8)/2))</x:f>
        <x:v>1061.6270614030484</x:v>
      </x:c>
      <x:c r="Z22" s="17" t="n">
        <x:f>IF(AND($A22&gt;='Control Room'!$A$13,$A22&lt;'Control Room'!$A$13+'Control Room'!$B$13,'Process'!BO2=1),1+('Control Room'!$C$13-1)*EXP(-0.5*(($A22-'Control Room'!$A$13-('Control Room'!$B$13-1)/2)/MAX(0.5,'Control Room'!$B$13/4))^2),1)*IF(AND($A22&gt;='Control Room'!$A$14,$A22&lt;'Control Room'!$A$14+'Control Room'!$B$14,'Process'!BO3=1),1+('Control Room'!$C$14-1)*EXP(-0.5*(($A22-'Control Room'!$A$14-('Control Room'!$B$14-1)/2)/MAX(0.5,'Control Room'!$B$14/4))^2),1)*IF(AND($A22&gt;='Control Room'!$A$15,$A22&lt;'Control Room'!$A$15+'Control Room'!$B$15,'Process'!BO4=1),1+('Control Room'!$C$15-1)*EXP(-0.5*(($A22-'Control Room'!$A$15-('Control Room'!$B$15-1)/2)/MAX(0.5,'Control Room'!$B$15/4))^2),1)*IF(AND($A22&gt;='Control Room'!$A$16,$A22&lt;'Control Room'!$A$16+'Control Room'!$B$16,'Process'!BO5=1),1+('Control Room'!$C$16-1)*EXP(-0.5*(($A22-'Control Room'!$A$16-('Control Room'!$B$16-1)/2)/MAX(0.5,'Control Room'!$B$16/4))^2),1)</x:f>
        <x:v>0.17999999999999994</x:v>
      </x:c>
      <x:c r="AA22" s="9" t="n">
        <x:f>MOD(AB21*16807,2147483647)</x:f>
        <x:v>404443051</x:v>
      </x:c>
      <x:c r="AB22" s="9" t="n">
        <x:f>MOD(AA22*16807,2147483647)</x:f>
        <x:v>688615402</x:v>
      </x:c>
      <x:c r="AC22" s="17" t="n">
        <x:f>IF('Control Room'!$B$5="Normal",'Control Room'!$B$7+'Control Room'!$D$7*SQRT(-2*LN(MAX(0.000000000001,AA22/2147483647)))*COS(2*PI()*AB22/2147483647),'Control Room'!$B$8+('Control Room'!$D$8-'Control Room'!$B$8)*AA22/2147483647)</x:f>
        <x:v>929.3591044085418</x:v>
      </x:c>
      <x:c r="AD22" s="17" t="n">
        <x:f>IF('Control Room'!$B$5="Normal",'Control Room'!$B$7,('Control Room'!$B$8+'Control Room'!$D$8)/2)+'Control Room'!$B$9*(AD21-IF('Control Room'!$B$5="Normal",'Control Room'!$B$7,('Control Room'!$B$8+'Control Room'!$D$8)/2))+SQRT(1-'Control Room'!$B$9^2)*(AC22-IF('Control Room'!$B$5="Normal",'Control Room'!$B$7,('Control Room'!$B$8+'Control Room'!$D$8)/2))</x:f>
        <x:v>817.9376239235064</x:v>
      </x:c>
      <x:c r="AE22" s="17" t="n">
        <x:f>IF(AND($A22&gt;='Control Room'!$A$13,$A22&lt;'Control Room'!$A$13+'Control Room'!$B$13,'Process'!BP2=1),1+('Control Room'!$C$13-1)*EXP(-0.5*(($A22-'Control Room'!$A$13-('Control Room'!$B$13-1)/2)/MAX(0.5,'Control Room'!$B$13/4))^2),1)*IF(AND($A22&gt;='Control Room'!$A$14,$A22&lt;'Control Room'!$A$14+'Control Room'!$B$14,'Process'!BP3=1),1+('Control Room'!$C$14-1)*EXP(-0.5*(($A22-'Control Room'!$A$14-('Control Room'!$B$14-1)/2)/MAX(0.5,'Control Room'!$B$14/4))^2),1)*IF(AND($A22&gt;='Control Room'!$A$15,$A22&lt;'Control Room'!$A$15+'Control Room'!$B$15,'Process'!BP4=1),1+('Control Room'!$C$15-1)*EXP(-0.5*(($A22-'Control Room'!$A$15-('Control Room'!$B$15-1)/2)/MAX(0.5,'Control Room'!$B$15/4))^2),1)*IF(AND($A22&gt;='Control Room'!$A$16,$A22&lt;'Control Room'!$A$16+'Control Room'!$B$16,'Process'!BP5=1),1+('Control Room'!$C$16-1)*EXP(-0.5*(($A22-'Control Room'!$A$16-('Control Room'!$B$16-1)/2)/MAX(0.5,'Control Room'!$B$16/4))^2),1)</x:f>
        <x:v>0.17999999999999994</x:v>
      </x:c>
      <x:c r="AF22" s="9" t="n">
        <x:f>MOD(AG21*16807,2147483647)</x:f>
        <x:v>695319810</x:v>
      </x:c>
      <x:c r="AG22" s="9" t="n">
        <x:f>MOD(AF22*16807,2147483647)</x:f>
        <x:v>1781523343</x:v>
      </x:c>
      <x:c r="AH22" s="17" t="n">
        <x:f>IF('Control Room'!$B$5="Normal",'Control Room'!$B$7+'Control Room'!$D$7*SQRT(-2*LN(MAX(0.000000000001,AF22/2147483647)))*COS(2*PI()*AG22/2147483647),'Control Room'!$B$8+('Control Room'!$D$8-'Control Room'!$B$8)*AF22/2147483647)</x:f>
        <x:v>1064.8061915961166</x:v>
      </x:c>
      <x:c r="AI22" s="17" t="n">
        <x:f>IF('Control Room'!$B$5="Normal",'Control Room'!$B$7,('Control Room'!$B$8+'Control Room'!$D$8)/2)+'Control Room'!$B$9*(AI21-IF('Control Room'!$B$5="Normal",'Control Room'!$B$7,('Control Room'!$B$8+'Control Room'!$D$8)/2))+SQRT(1-'Control Room'!$B$9^2)*(AH22-IF('Control Room'!$B$5="Normal",'Control Room'!$B$7,('Control Room'!$B$8+'Control Room'!$D$8)/2))</x:f>
        <x:v>999.8882086039807</x:v>
      </x:c>
      <x:c r="AJ22" s="17" t="n">
        <x:f>IF(AND($A22&gt;='Control Room'!$A$13,$A22&lt;'Control Room'!$A$13+'Control Room'!$B$13,'Process'!BQ2=1),1+('Control Room'!$C$13-1)*EXP(-0.5*(($A22-'Control Room'!$A$13-('Control Room'!$B$13-1)/2)/MAX(0.5,'Control Room'!$B$13/4))^2),1)*IF(AND($A22&gt;='Control Room'!$A$14,$A22&lt;'Control Room'!$A$14+'Control Room'!$B$14,'Process'!BQ3=1),1+('Control Room'!$C$14-1)*EXP(-0.5*(($A22-'Control Room'!$A$14-('Control Room'!$B$14-1)/2)/MAX(0.5,'Control Room'!$B$14/4))^2),1)*IF(AND($A22&gt;='Control Room'!$A$15,$A22&lt;'Control Room'!$A$15+'Control Room'!$B$15,'Process'!BQ4=1),1+('Control Room'!$C$15-1)*EXP(-0.5*(($A22-'Control Room'!$A$15-('Control Room'!$B$15-1)/2)/MAX(0.5,'Control Room'!$B$15/4))^2),1)*IF(AND($A22&gt;='Control Room'!$A$16,$A22&lt;'Control Room'!$A$16+'Control Room'!$B$16,'Process'!BQ5=1),1+('Control Room'!$C$16-1)*EXP(-0.5*(($A22-'Control Room'!$A$16-('Control Room'!$B$16-1)/2)/MAX(0.5,'Control Room'!$B$16/4))^2),1)</x:f>
        <x:v>0.17999999999999994</x:v>
      </x:c>
      <x:c r="AK22" s="9" t="n">
        <x:f>MOD(AL21*16807,2147483647)</x:f>
        <x:v>986196569</x:v>
      </x:c>
      <x:c r="AL22" s="9" t="n">
        <x:f>MOD(AK22*16807,2147483647)</x:f>
        <x:v>726947637</x:v>
      </x:c>
      <x:c r="AM22" s="17" t="n">
        <x:f>IF('Control Room'!$B$5="Normal",'Control Room'!$B$7+'Control Room'!$D$7*SQRT(-2*LN(MAX(0.000000000001,AK22/2147483647)))*COS(2*PI()*AL22/2147483647),'Control Room'!$B$8+('Control Room'!$D$8-'Control Room'!$B$8)*AK22/2147483647)</x:f>
        <x:v>940.726733157758</x:v>
      </x:c>
      <x:c r="AN22" s="17" t="n">
        <x:f>IF('Control Room'!$B$5="Normal",'Control Room'!$B$7,('Control Room'!$B$8+'Control Room'!$D$8)/2)+'Control Room'!$B$9*(AN21-IF('Control Room'!$B$5="Normal",'Control Room'!$B$7,('Control Room'!$B$8+'Control Room'!$D$8)/2))+SQRT(1-'Control Room'!$B$9^2)*(AM22-IF('Control Room'!$B$5="Normal",'Control Room'!$B$7,('Control Room'!$B$8+'Control Room'!$D$8)/2))</x:f>
        <x:v>973.1287974188313</x:v>
      </x:c>
      <x:c r="AO22" s="17" t="n">
        <x:f>IF(AND($A22&gt;='Control Room'!$A$13,$A22&lt;'Control Room'!$A$13+'Control Room'!$B$13,'Process'!BR2=1),1+('Control Room'!$C$13-1)*EXP(-0.5*(($A22-'Control Room'!$A$13-('Control Room'!$B$13-1)/2)/MAX(0.5,'Control Room'!$B$13/4))^2),1)*IF(AND($A22&gt;='Control Room'!$A$14,$A22&lt;'Control Room'!$A$14+'Control Room'!$B$14,'Process'!BR3=1),1+('Control Room'!$C$14-1)*EXP(-0.5*(($A22-'Control Room'!$A$14-('Control Room'!$B$14-1)/2)/MAX(0.5,'Control Room'!$B$14/4))^2),1)*IF(AND($A22&gt;='Control Room'!$A$15,$A22&lt;'Control Room'!$A$15+'Control Room'!$B$15,'Process'!BR4=1),1+('Control Room'!$C$15-1)*EXP(-0.5*(($A22-'Control Room'!$A$15-('Control Room'!$B$15-1)/2)/MAX(0.5,'Control Room'!$B$15/4))^2),1)*IF(AND($A22&gt;='Control Room'!$A$16,$A22&lt;'Control Room'!$A$16+'Control Room'!$B$16,'Process'!BR5=1),1+('Control Room'!$C$16-1)*EXP(-0.5*(($A22-'Control Room'!$A$16-('Control Room'!$B$16-1)/2)/MAX(0.5,'Control Room'!$B$16/4))^2),1)</x:f>
        <x:v>0.17999999999999994</x:v>
      </x:c>
      <x:c r="AP22" s="9" t="n">
        <x:f>MOD(AQ21*16807,2147483647)</x:f>
        <x:v>1277073328</x:v>
      </x:c>
      <x:c r="AQ22" s="9" t="n">
        <x:f>MOD(AP22*16807,2147483647)</x:f>
        <x:v>1819855578</x:v>
      </x:c>
      <x:c r="AR22" s="17" t="n">
        <x:f>IF('Control Room'!$B$5="Normal",'Control Room'!$B$7+'Control Room'!$D$7*SQRT(-2*LN(MAX(0.000000000001,AP22/2147483647)))*COS(2*PI()*AQ22/2147483647),'Control Room'!$B$8+('Control Room'!$D$8-'Control Room'!$B$8)*AP22/2147483647)</x:f>
        <x:v>1052.7313609478977</x:v>
      </x:c>
      <x:c r="AS22" s="17" t="n">
        <x:f>IF('Control Room'!$B$5="Normal",'Control Room'!$B$7,('Control Room'!$B$8+'Control Room'!$D$8)/2)+'Control Room'!$B$9*(AS21-IF('Control Room'!$B$5="Normal",'Control Room'!$B$7,('Control Room'!$B$8+'Control Room'!$D$8)/2))+SQRT(1-'Control Room'!$B$9^2)*(AR22-IF('Control Room'!$B$5="Normal",'Control Room'!$B$7,('Control Room'!$B$8+'Control Room'!$D$8)/2))</x:f>
        <x:v>1065.7030325864596</x:v>
      </x:c>
      <x:c r="AT22" s="17" t="n">
        <x:f>IF(AND($A22&gt;='Control Room'!$A$13,$A22&lt;'Control Room'!$A$13+'Control Room'!$B$13,'Process'!BS2=1),1+('Control Room'!$C$13-1)*EXP(-0.5*(($A22-'Control Room'!$A$13-('Control Room'!$B$13-1)/2)/MAX(0.5,'Control Room'!$B$13/4))^2),1)*IF(AND($A22&gt;='Control Room'!$A$14,$A22&lt;'Control Room'!$A$14+'Control Room'!$B$14,'Process'!BS3=1),1+('Control Room'!$C$14-1)*EXP(-0.5*(($A22-'Control Room'!$A$14-('Control Room'!$B$14-1)/2)/MAX(0.5,'Control Room'!$B$14/4))^2),1)*IF(AND($A22&gt;='Control Room'!$A$15,$A22&lt;'Control Room'!$A$15+'Control Room'!$B$15,'Process'!BS4=1),1+('Control Room'!$C$15-1)*EXP(-0.5*(($A22-'Control Room'!$A$15-('Control Room'!$B$15-1)/2)/MAX(0.5,'Control Room'!$B$15/4))^2),1)*IF(AND($A22&gt;='Control Room'!$A$16,$A22&lt;'Control Room'!$A$16+'Control Room'!$B$16,'Process'!BS5=1),1+('Control Room'!$C$16-1)*EXP(-0.5*(($A22-'Control Room'!$A$16-('Control Room'!$B$16-1)/2)/MAX(0.5,'Control Room'!$B$16/4))^2),1)</x:f>
        <x:v>0.17999999999999994</x:v>
      </x:c>
      <x:c r="AU22" s="9" t="n">
        <x:f>MOD(AV21*16807,2147483647)</x:f>
        <x:v>1567950087</x:v>
      </x:c>
      <x:c r="AV22" s="9" t="n">
        <x:f>MOD(AU22*16807,2147483647)</x:f>
        <x:v>765279872</x:v>
      </x:c>
      <x:c r="AW22" s="17" t="n">
        <x:f>IF('Control Room'!$B$5="Normal",'Control Room'!$B$7+'Control Room'!$D$7*SQRT(-2*LN(MAX(0.000000000001,AU22/2147483647)))*COS(2*PI()*AV22/2147483647),'Control Room'!$B$8+('Control Room'!$D$8-'Control Room'!$B$8)*AU22/2147483647)</x:f>
        <x:v>955.7688567840685</x:v>
      </x:c>
      <x:c r="AX22" s="17" t="n">
        <x:f>IF('Control Room'!$B$5="Normal",'Control Room'!$B$7,('Control Room'!$B$8+'Control Room'!$D$8)/2)+'Control Room'!$B$9*(AX21-IF('Control Room'!$B$5="Normal",'Control Room'!$B$7,('Control Room'!$B$8+'Control Room'!$D$8)/2))+SQRT(1-'Control Room'!$B$9^2)*(AW22-IF('Control Room'!$B$5="Normal",'Control Room'!$B$7,('Control Room'!$B$8+'Control Room'!$D$8)/2))</x:f>
        <x:v>1079.0506256639294</x:v>
      </x:c>
      <x:c r="AY22" s="17" t="n">
        <x:f>IF(AND($A22&gt;='Control Room'!$A$13,$A22&lt;'Control Room'!$A$13+'Control Room'!$B$13,'Process'!BT2=1),1+('Control Room'!$C$13-1)*EXP(-0.5*(($A22-'Control Room'!$A$13-('Control Room'!$B$13-1)/2)/MAX(0.5,'Control Room'!$B$13/4))^2),1)*IF(AND($A22&gt;='Control Room'!$A$14,$A22&lt;'Control Room'!$A$14+'Control Room'!$B$14,'Process'!BT3=1),1+('Control Room'!$C$14-1)*EXP(-0.5*(($A22-'Control Room'!$A$14-('Control Room'!$B$14-1)/2)/MAX(0.5,'Control Room'!$B$14/4))^2),1)*IF(AND($A22&gt;='Control Room'!$A$15,$A22&lt;'Control Room'!$A$15+'Control Room'!$B$15,'Process'!BT4=1),1+('Control Room'!$C$15-1)*EXP(-0.5*(($A22-'Control Room'!$A$15-('Control Room'!$B$15-1)/2)/MAX(0.5,'Control Room'!$B$15/4))^2),1)*IF(AND($A22&gt;='Control Room'!$A$16,$A22&lt;'Control Room'!$A$16+'Control Room'!$B$16,'Process'!BT5=1),1+('Control Room'!$C$16-1)*EXP(-0.5*(($A22-'Control Room'!$A$16-('Control Room'!$B$16-1)/2)/MAX(0.5,'Control Room'!$B$16/4))^2),1)</x:f>
        <x:v>0.17999999999999994</x:v>
      </x:c>
      <x:c r="AZ22" s="9" t="n">
        <x:f>MOD(BA21*16807,2147483647)</x:f>
        <x:v>1858826846</x:v>
      </x:c>
      <x:c r="BA22" s="9" t="n">
        <x:f>MOD(AZ22*16807,2147483647)</x:f>
        <x:v>1858187813</x:v>
      </x:c>
      <x:c r="BB22" s="17" t="n">
        <x:f>IF('Control Room'!$B$5="Normal",'Control Room'!$B$7+'Control Room'!$D$7*SQRT(-2*LN(MAX(0.000000000001,AZ22/2147483647)))*COS(2*PI()*BA22/2147483647),'Control Room'!$B$8+('Control Room'!$D$8-'Control Room'!$B$8)*AZ22/2147483647)</x:f>
        <x:v>1032.044834631817</x:v>
      </x:c>
      <x:c r="BC22" s="17" t="n">
        <x:f>IF('Control Room'!$B$5="Normal",'Control Room'!$B$7,('Control Room'!$B$8+'Control Room'!$D$8)/2)+'Control Room'!$B$9*(BC21-IF('Control Room'!$B$5="Normal",'Control Room'!$B$7,('Control Room'!$B$8+'Control Room'!$D$8)/2))+SQRT(1-'Control Room'!$B$9^2)*(BB22-IF('Control Room'!$B$5="Normal",'Control Room'!$B$7,('Control Room'!$B$8+'Control Room'!$D$8)/2))</x:f>
        <x:v>1021.7344899917211</x:v>
      </x:c>
      <x:c r="BD22" s="17" t="n">
        <x:f>IF(AND($A22&gt;='Control Room'!$A$13,$A22&lt;'Control Room'!$A$13+'Control Room'!$B$13,'Process'!BU2=1),1+('Control Room'!$C$13-1)*EXP(-0.5*(($A22-'Control Room'!$A$13-('Control Room'!$B$13-1)/2)/MAX(0.5,'Control Room'!$B$13/4))^2),1)*IF(AND($A22&gt;='Control Room'!$A$14,$A22&lt;'Control Room'!$A$14+'Control Room'!$B$14,'Process'!BU3=1),1+('Control Room'!$C$14-1)*EXP(-0.5*(($A22-'Control Room'!$A$14-('Control Room'!$B$14-1)/2)/MAX(0.5,'Control Room'!$B$14/4))^2),1)*IF(AND($A22&gt;='Control Room'!$A$15,$A22&lt;'Control Room'!$A$15+'Control Room'!$B$15,'Process'!BU4=1),1+('Control Room'!$C$15-1)*EXP(-0.5*(($A22-'Control Room'!$A$15-('Control Room'!$B$15-1)/2)/MAX(0.5,'Control Room'!$B$15/4))^2),1)*IF(AND($A22&gt;='Control Room'!$A$16,$A22&lt;'Control Room'!$A$16+'Control Room'!$B$16,'Process'!BU5=1),1+('Control Room'!$C$16-1)*EXP(-0.5*(($A22-'Control Room'!$A$16-('Control Room'!$B$16-1)/2)/MAX(0.5,'Control Room'!$B$16/4))^2),1)</x:f>
        <x:v>0.17999999999999994</x:v>
      </x:c>
      <x:c r="BE22" s="9" t="n">
        <x:f>MOD(BF21*16807,2147483647)</x:f>
        <x:v>2219958</x:v>
      </x:c>
      <x:c r="BF22" s="9" t="n">
        <x:f>MOD(BE22*16807,2147483647)</x:f>
        <x:v>803612107</x:v>
      </x:c>
      <x:c r="BG22" s="17" t="n">
        <x:f>IF('Control Room'!$B$5="Normal",'Control Room'!$B$7+'Control Room'!$D$7*SQRT(-2*LN(MAX(0.000000000001,BE22/2147483647)))*COS(2*PI()*BF22/2147483647),'Control Room'!$B$8+('Control Room'!$D$8-'Control Room'!$B$8)*BE22/2147483647)</x:f>
        <x:v>765.1981467128003</x:v>
      </x:c>
      <x:c r="BH22" s="17" t="n">
        <x:f>IF('Control Room'!$B$5="Normal",'Control Room'!$B$7,('Control Room'!$B$8+'Control Room'!$D$8)/2)+'Control Room'!$B$9*(BH21-IF('Control Room'!$B$5="Normal",'Control Room'!$B$7,('Control Room'!$B$8+'Control Room'!$D$8)/2))+SQRT(1-'Control Room'!$B$9^2)*(BG22-IF('Control Room'!$B$5="Normal",'Control Room'!$B$7,('Control Room'!$B$8+'Control Room'!$D$8)/2))</x:f>
        <x:v>923.2610206126427</x:v>
      </x:c>
      <x:c r="BI22" s="17" t="n">
        <x:f>IF(AND($A22&gt;='Control Room'!$A$13,$A22&lt;'Control Room'!$A$13+'Control Room'!$B$13,'Process'!BV2=1),1+('Control Room'!$C$13-1)*EXP(-0.5*(($A22-'Control Room'!$A$13-('Control Room'!$B$13-1)/2)/MAX(0.5,'Control Room'!$B$13/4))^2),1)*IF(AND($A22&gt;='Control Room'!$A$14,$A22&lt;'Control Room'!$A$14+'Control Room'!$B$14,'Process'!BV3=1),1+('Control Room'!$C$14-1)*EXP(-0.5*(($A22-'Control Room'!$A$14-('Control Room'!$B$14-1)/2)/MAX(0.5,'Control Room'!$B$14/4))^2),1)*IF(AND($A22&gt;='Control Room'!$A$15,$A22&lt;'Control Room'!$A$15+'Control Room'!$B$15,'Process'!BV4=1),1+('Control Room'!$C$15-1)*EXP(-0.5*(($A22-'Control Room'!$A$15-('Control Room'!$B$15-1)/2)/MAX(0.5,'Control Room'!$B$15/4))^2),1)*IF(AND($A22&gt;='Control Room'!$A$16,$A22&lt;'Control Room'!$A$16+'Control Room'!$B$16,'Process'!BV5=1),1+('Control Room'!$C$16-1)*EXP(-0.5*(($A22-'Control Room'!$A$16-('Control Room'!$B$16-1)/2)/MAX(0.5,'Control Room'!$B$16/4))^2),1)</x:f>
        <x:v>0.17999999999999994</x:v>
      </x:c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Z22" t="str">
        <x:f>IF('Data'!A22="","",TEXT('Data'!A22,"mm-dd"))</x:f>
        <x:v>11-22</x:v>
      </x:c>
    </x:row>
    <x:row r="23" ht="21" customHeight="1">
      <x:c r="A23" s="15" t="n">
        <x:f>'Control Room'!$B$1+21</x:f>
        <x:v>73012</x:v>
      </x:c>
      <x:c r="B23" s="9" t="n">
        <x:f>MOD(C22*16807,2147483647)</x:f>
        <x:v>1831480692</x:v>
      </x:c>
      <x:c r="C23" s="9" t="n">
        <x:f>MOD(B23*16807,2147483647)</x:f>
        <x:v>1812877993</x:v>
      </x:c>
      <x:c r="D23" s="17" t="n">
        <x:f>IF('Control Room'!$B$5="Normal",'Control Room'!$B$7+'Control Room'!$D$7*SQRT(-2*LN(MAX(0.000000000001,B23/2147483647)))*COS(2*PI()*C23/2147483647),'Control Room'!$B$8+('Control Room'!$D$8-'Control Room'!$B$8)*B23/2147483647)</x:f>
        <x:v>1028.3275867893983</x:v>
      </x:c>
      <x:c r="E23" s="17" t="n">
        <x:f>IF('Control Room'!$B$5="Normal",'Control Room'!$B$7,('Control Room'!$B$8+'Control Room'!$D$8)/2)+'Control Room'!$B$9*(E22-IF('Control Room'!$B$5="Normal",'Control Room'!$B$7,('Control Room'!$B$8+'Control Room'!$D$8)/2))+SQRT(1-'Control Room'!$B$9^2)*(D23-IF('Control Room'!$B$5="Normal",'Control Room'!$B$7,('Control Room'!$B$8+'Control Room'!$D$8)/2))</x:f>
        <x:v>1036.6498076647758</x:v>
      </x:c>
      <x:c r="F23" s="17" t="n">
        <x:f>IF(AND($A23&gt;='Control Room'!$A$13,$A23&lt;'Control Room'!$A$13+'Control Room'!$B$13,'Process'!BK2=1),1+('Control Room'!$C$13-1)*EXP(-0.5*(($A23-'Control Room'!$A$13-('Control Room'!$B$13-1)/2)/MAX(0.5,'Control Room'!$B$13/4))^2),1)*IF(AND($A23&gt;='Control Room'!$A$14,$A23&lt;'Control Room'!$A$14+'Control Room'!$B$14,'Process'!BK3=1),1+('Control Room'!$C$14-1)*EXP(-0.5*(($A23-'Control Room'!$A$14-('Control Room'!$B$14-1)/2)/MAX(0.5,'Control Room'!$B$14/4))^2),1)*IF(AND($A23&gt;='Control Room'!$A$15,$A23&lt;'Control Room'!$A$15+'Control Room'!$B$15,'Process'!BK4=1),1+('Control Room'!$C$15-1)*EXP(-0.5*(($A23-'Control Room'!$A$15-('Control Room'!$B$15-1)/2)/MAX(0.5,'Control Room'!$B$15/4))^2),1)*IF(AND($A23&gt;='Control Room'!$A$16,$A23&lt;'Control Room'!$A$16+'Control Room'!$B$16,'Process'!BK5=1),1+('Control Room'!$C$16-1)*EXP(-0.5*(($A23-'Control Room'!$A$16-('Control Room'!$B$16-1)/2)/MAX(0.5,'Control Room'!$B$16/4))^2),1)</x:f>
        <x:v>0.40455778959957334</x:v>
      </x:c>
      <x:c r="G23" s="9" t="n">
        <x:f>MOD(H22*16807,2147483647)</x:f>
        <x:v>760128641</x:v>
      </x:c>
      <x:c r="H23" s="9" t="n">
        <x:f>MOD(G23*16807,2147483647)</x:f>
        <x:v>101853284</x:v>
      </x:c>
      <x:c r="I23" s="17" t="n">
        <x:f>IF('Control Room'!$B$5="Normal",'Control Room'!$B$7+'Control Room'!$D$7*SQRT(-2*LN(MAX(0.000000000001,G23/2147483647)))*COS(2*PI()*H23/2147483647),'Control Room'!$B$8+('Control Room'!$D$8-'Control Room'!$B$8)*G23/2147483647)</x:f>
        <x:v>1123.9930980660624</x:v>
      </x:c>
      <x:c r="J23" s="17" t="n">
        <x:f>IF('Control Room'!$B$5="Normal",'Control Room'!$B$7,('Control Room'!$B$8+'Control Room'!$D$8)/2)+'Control Room'!$B$9*(J22-IF('Control Room'!$B$5="Normal",'Control Room'!$B$7,('Control Room'!$B$8+'Control Room'!$D$8)/2))+SQRT(1-'Control Room'!$B$9^2)*(I23-IF('Control Room'!$B$5="Normal",'Control Room'!$B$7,('Control Room'!$B$8+'Control Room'!$D$8)/2))</x:f>
        <x:v>1057.939451198225</x:v>
      </x:c>
      <x:c r="K23" s="17" t="n">
        <x:f>IF(AND($A23&gt;='Control Room'!$A$13,$A23&lt;'Control Room'!$A$13+'Control Room'!$B$13,'Process'!BL2=1),1+('Control Room'!$C$13-1)*EXP(-0.5*(($A23-'Control Room'!$A$13-('Control Room'!$B$13-1)/2)/MAX(0.5,'Control Room'!$B$13/4))^2),1)*IF(AND($A23&gt;='Control Room'!$A$14,$A23&lt;'Control Room'!$A$14+'Control Room'!$B$14,'Process'!BL3=1),1+('Control Room'!$C$14-1)*EXP(-0.5*(($A23-'Control Room'!$A$14-('Control Room'!$B$14-1)/2)/MAX(0.5,'Control Room'!$B$14/4))^2),1)*IF(AND($A23&gt;='Control Room'!$A$15,$A23&lt;'Control Room'!$A$15+'Control Room'!$B$15,'Process'!BL4=1),1+('Control Room'!$C$15-1)*EXP(-0.5*(($A23-'Control Room'!$A$15-('Control Room'!$B$15-1)/2)/MAX(0.5,'Control Room'!$B$15/4))^2),1)*IF(AND($A23&gt;='Control Room'!$A$16,$A23&lt;'Control Room'!$A$16+'Control Room'!$B$16,'Process'!BL5=1),1+('Control Room'!$C$16-1)*EXP(-0.5*(($A23-'Control Room'!$A$16-('Control Room'!$B$16-1)/2)/MAX(0.5,'Control Room'!$B$16/4))^2),1)</x:f>
        <x:v>0.40455778959957334</x:v>
      </x:c>
      <x:c r="L23" s="9" t="n">
        <x:f>MOD(M22*16807,2147483647)</x:f>
        <x:v>1836260237</x:v>
      </x:c>
      <x:c r="M23" s="9" t="n">
        <x:f>MOD(L23*16807,2147483647)</x:f>
        <x:v>538312222</x:v>
      </x:c>
      <x:c r="N23" s="17" t="n">
        <x:f>IF('Control Room'!$B$5="Normal",'Control Room'!$B$7+'Control Room'!$D$7*SQRT(-2*LN(MAX(0.000000000001,L23/2147483647)))*COS(2*PI()*M23/2147483647),'Control Room'!$B$8+('Control Room'!$D$8-'Control Room'!$B$8)*L23/2147483647)</x:f>
        <x:v>999.7876207607219</x:v>
      </x:c>
      <x:c r="O23" s="17" t="n">
        <x:f>IF('Control Room'!$B$5="Normal",'Control Room'!$B$7,('Control Room'!$B$8+'Control Room'!$D$8)/2)+'Control Room'!$B$9*(O22-IF('Control Room'!$B$5="Normal",'Control Room'!$B$7,('Control Room'!$B$8+'Control Room'!$D$8)/2))+SQRT(1-'Control Room'!$B$9^2)*(N23-IF('Control Room'!$B$5="Normal",'Control Room'!$B$7,('Control Room'!$B$8+'Control Room'!$D$8)/2))</x:f>
        <x:v>1033.4582166669297</x:v>
      </x:c>
      <x:c r="P23" s="17" t="n">
        <x:f>IF(AND($A23&gt;='Control Room'!$A$13,$A23&lt;'Control Room'!$A$13+'Control Room'!$B$13,'Process'!BM2=1),1+('Control Room'!$C$13-1)*EXP(-0.5*(($A23-'Control Room'!$A$13-('Control Room'!$B$13-1)/2)/MAX(0.5,'Control Room'!$B$13/4))^2),1)*IF(AND($A23&gt;='Control Room'!$A$14,$A23&lt;'Control Room'!$A$14+'Control Room'!$B$14,'Process'!BM3=1),1+('Control Room'!$C$14-1)*EXP(-0.5*(($A23-'Control Room'!$A$14-('Control Room'!$B$14-1)/2)/MAX(0.5,'Control Room'!$B$14/4))^2),1)*IF(AND($A23&gt;='Control Room'!$A$15,$A23&lt;'Control Room'!$A$15+'Control Room'!$B$15,'Process'!BM4=1),1+('Control Room'!$C$15-1)*EXP(-0.5*(($A23-'Control Room'!$A$15-('Control Room'!$B$15-1)/2)/MAX(0.5,'Control Room'!$B$15/4))^2),1)*IF(AND($A23&gt;='Control Room'!$A$16,$A23&lt;'Control Room'!$A$16+'Control Room'!$B$16,'Process'!BM5=1),1+('Control Room'!$C$16-1)*EXP(-0.5*(($A23-'Control Room'!$A$16-('Control Room'!$B$16-1)/2)/MAX(0.5,'Control Room'!$B$16/4))^2),1)</x:f>
        <x:v>0.40455778959957334</x:v>
      </x:c>
      <x:c r="Q23" s="9" t="n">
        <x:f>MOD(R22*16807,2147483647)</x:f>
        <x:v>764908186</x:v>
      </x:c>
      <x:c r="R23" s="9" t="n">
        <x:f>MOD(Q23*16807,2147483647)</x:f>
        <x:v>974771160</x:v>
      </x:c>
      <x:c r="S23" s="17" t="n">
        <x:f>IF('Control Room'!$B$5="Normal",'Control Room'!$B$7+'Control Room'!$D$7*SQRT(-2*LN(MAX(0.000000000001,Q23/2147483647)))*COS(2*PI()*R23/2147483647),'Control Room'!$B$8+('Control Room'!$D$8-'Control Room'!$B$8)*Q23/2147483647)</x:f>
        <x:v>876.0658015532335</x:v>
      </x:c>
      <x:c r="T23" s="17" t="n">
        <x:f>IF('Control Room'!$B$5="Normal",'Control Room'!$B$7,('Control Room'!$B$8+'Control Room'!$D$8)/2)+'Control Room'!$B$9*(T22-IF('Control Room'!$B$5="Normal",'Control Room'!$B$7,('Control Room'!$B$8+'Control Room'!$D$8)/2))+SQRT(1-'Control Room'!$B$9^2)*(S23-IF('Control Room'!$B$5="Normal",'Control Room'!$B$7,('Control Room'!$B$8+'Control Room'!$D$8)/2))</x:f>
        <x:v>837.3176058006301</x:v>
      </x:c>
      <x:c r="U23" s="17" t="n">
        <x:f>IF(AND($A23&gt;='Control Room'!$A$13,$A23&lt;'Control Room'!$A$13+'Control Room'!$B$13,'Process'!BN2=1),1+('Control Room'!$C$13-1)*EXP(-0.5*(($A23-'Control Room'!$A$13-('Control Room'!$B$13-1)/2)/MAX(0.5,'Control Room'!$B$13/4))^2),1)*IF(AND($A23&gt;='Control Room'!$A$14,$A23&lt;'Control Room'!$A$14+'Control Room'!$B$14,'Process'!BN3=1),1+('Control Room'!$C$14-1)*EXP(-0.5*(($A23-'Control Room'!$A$14-('Control Room'!$B$14-1)/2)/MAX(0.5,'Control Room'!$B$14/4))^2),1)*IF(AND($A23&gt;='Control Room'!$A$15,$A23&lt;'Control Room'!$A$15+'Control Room'!$B$15,'Process'!BN4=1),1+('Control Room'!$C$15-1)*EXP(-0.5*(($A23-'Control Room'!$A$15-('Control Room'!$B$15-1)/2)/MAX(0.5,'Control Room'!$B$15/4))^2),1)*IF(AND($A23&gt;='Control Room'!$A$16,$A23&lt;'Control Room'!$A$16+'Control Room'!$B$16,'Process'!BN5=1),1+('Control Room'!$C$16-1)*EXP(-0.5*(($A23-'Control Room'!$A$16-('Control Room'!$B$16-1)/2)/MAX(0.5,'Control Room'!$B$16/4))^2),1)</x:f>
        <x:v>0.40455778959957334</x:v>
      </x:c>
      <x:c r="V23" s="9" t="n">
        <x:f>MOD(W22*16807,2147483647)</x:f>
        <x:v>1841039782</x:v>
      </x:c>
      <x:c r="W23" s="9" t="n">
        <x:f>MOD(V23*16807,2147483647)</x:f>
        <x:v>1411230098</x:v>
      </x:c>
      <x:c r="X23" s="17" t="n">
        <x:f>IF('Control Room'!$B$5="Normal",'Control Room'!$B$7+'Control Room'!$D$7*SQRT(-2*LN(MAX(0.000000000001,V23/2147483647)))*COS(2*PI()*W23/2147483647),'Control Room'!$B$8+('Control Room'!$D$8-'Control Room'!$B$8)*V23/2147483647)</x:f>
        <x:v>972.4900668208106</x:v>
      </x:c>
      <x:c r="Y23" s="17" t="n">
        <x:f>IF('Control Room'!$B$5="Normal",'Control Room'!$B$7,('Control Room'!$B$8+'Control Room'!$D$8)/2)+'Control Room'!$B$9*(Y22-IF('Control Room'!$B$5="Normal",'Control Room'!$B$7,('Control Room'!$B$8+'Control Room'!$D$8)/2))+SQRT(1-'Control Room'!$B$9^2)*(X23-IF('Control Room'!$B$5="Normal",'Control Room'!$B$7,('Control Room'!$B$8+'Control Room'!$D$8)/2))</x:f>
        <x:v>1030.853955282455</x:v>
      </x:c>
      <x:c r="Z23" s="17" t="n">
        <x:f>IF(AND($A23&gt;='Control Room'!$A$13,$A23&lt;'Control Room'!$A$13+'Control Room'!$B$13,'Process'!BO2=1),1+('Control Room'!$C$13-1)*EXP(-0.5*(($A23-'Control Room'!$A$13-('Control Room'!$B$13-1)/2)/MAX(0.5,'Control Room'!$B$13/4))^2),1)*IF(AND($A23&gt;='Control Room'!$A$14,$A23&lt;'Control Room'!$A$14+'Control Room'!$B$14,'Process'!BO3=1),1+('Control Room'!$C$14-1)*EXP(-0.5*(($A23-'Control Room'!$A$14-('Control Room'!$B$14-1)/2)/MAX(0.5,'Control Room'!$B$14/4))^2),1)*IF(AND($A23&gt;='Control Room'!$A$15,$A23&lt;'Control Room'!$A$15+'Control Room'!$B$15,'Process'!BO4=1),1+('Control Room'!$C$15-1)*EXP(-0.5*(($A23-'Control Room'!$A$15-('Control Room'!$B$15-1)/2)/MAX(0.5,'Control Room'!$B$15/4))^2),1)*IF(AND($A23&gt;='Control Room'!$A$16,$A23&lt;'Control Room'!$A$16+'Control Room'!$B$16,'Process'!BO5=1),1+('Control Room'!$C$16-1)*EXP(-0.5*(($A23-'Control Room'!$A$16-('Control Room'!$B$16-1)/2)/MAX(0.5,'Control Room'!$B$16/4))^2),1)</x:f>
        <x:v>0.40455778959957334</x:v>
      </x:c>
      <x:c r="AA23" s="9" t="n">
        <x:f>MOD(AB22*16807,2147483647)</x:f>
        <x:v>769687731</x:v>
      </x:c>
      <x:c r="AB23" s="9" t="n">
        <x:f>MOD(AA23*16807,2147483647)</x:f>
        <x:v>1847689036</x:v>
      </x:c>
      <x:c r="AC23" s="17" t="n">
        <x:f>IF('Control Room'!$B$5="Normal",'Control Room'!$B$7+'Control Room'!$D$7*SQRT(-2*LN(MAX(0.000000000001,AA23/2147483647)))*COS(2*PI()*AB23/2147483647),'Control Room'!$B$8+('Control Room'!$D$8-'Control Room'!$B$8)*AA23/2147483647)</x:f>
        <x:v>1082.4291508323822</x:v>
      </x:c>
      <x:c r="AD23" s="17" t="n">
        <x:f>IF('Control Room'!$B$5="Normal",'Control Room'!$B$7,('Control Room'!$B$8+'Control Room'!$D$8)/2)+'Control Room'!$B$9*(AD22-IF('Control Room'!$B$5="Normal",'Control Room'!$B$7,('Control Room'!$B$8+'Control Room'!$D$8)/2))+SQRT(1-'Control Room'!$B$9^2)*(AC23-IF('Control Room'!$B$5="Normal",'Control Room'!$B$7,('Control Room'!$B$8+'Control Room'!$D$8)/2))</x:f>
        <x:v>909.5738205982985</x:v>
      </x:c>
      <x:c r="AE23" s="17" t="n">
        <x:f>IF(AND($A23&gt;='Control Room'!$A$13,$A23&lt;'Control Room'!$A$13+'Control Room'!$B$13,'Process'!BP2=1),1+('Control Room'!$C$13-1)*EXP(-0.5*(($A23-'Control Room'!$A$13-('Control Room'!$B$13-1)/2)/MAX(0.5,'Control Room'!$B$13/4))^2),1)*IF(AND($A23&gt;='Control Room'!$A$14,$A23&lt;'Control Room'!$A$14+'Control Room'!$B$14,'Process'!BP3=1),1+('Control Room'!$C$14-1)*EXP(-0.5*(($A23-'Control Room'!$A$14-('Control Room'!$B$14-1)/2)/MAX(0.5,'Control Room'!$B$14/4))^2),1)*IF(AND($A23&gt;='Control Room'!$A$15,$A23&lt;'Control Room'!$A$15+'Control Room'!$B$15,'Process'!BP4=1),1+('Control Room'!$C$15-1)*EXP(-0.5*(($A23-'Control Room'!$A$15-('Control Room'!$B$15-1)/2)/MAX(0.5,'Control Room'!$B$15/4))^2),1)*IF(AND($A23&gt;='Control Room'!$A$16,$A23&lt;'Control Room'!$A$16+'Control Room'!$B$16,'Process'!BP5=1),1+('Control Room'!$C$16-1)*EXP(-0.5*(($A23-'Control Room'!$A$16-('Control Room'!$B$16-1)/2)/MAX(0.5,'Control Room'!$B$16/4))^2),1)</x:f>
        <x:v>0.40455778959957334</x:v>
      </x:c>
      <x:c r="AF23" s="9" t="n">
        <x:f>MOD(AG22*16807,2147483647)</x:f>
        <x:v>1845819327</x:v>
      </x:c>
      <x:c r="AG23" s="9" t="n">
        <x:f>MOD(AF23*16807,2147483647)</x:f>
        <x:v>136664327</x:v>
      </x:c>
      <x:c r="AH23" s="17" t="n">
        <x:f>IF('Control Room'!$B$5="Normal",'Control Room'!$B$7+'Control Room'!$D$7*SQRT(-2*LN(MAX(0.000000000001,AF23/2147483647)))*COS(2*PI()*AG23/2147483647),'Control Room'!$B$8+('Control Room'!$D$8-'Control Room'!$B$8)*AF23/2147483647)</x:f>
        <x:v>1045.613878287119</x:v>
      </x:c>
      <x:c r="AI23" s="17" t="n">
        <x:f>IF('Control Room'!$B$5="Normal",'Control Room'!$B$7,('Control Room'!$B$8+'Control Room'!$D$8)/2)+'Control Room'!$B$9*(AI22-IF('Control Room'!$B$5="Normal",'Control Room'!$B$7,('Control Room'!$B$8+'Control Room'!$D$8)/2))+SQRT(1-'Control Room'!$B$9^2)*(AH23-IF('Control Room'!$B$5="Normal",'Control Room'!$B$7,('Control Room'!$B$8+'Control Room'!$D$8)/2))</x:f>
        <x:v>1028.4570332920953</x:v>
      </x:c>
      <x:c r="AJ23" s="17" t="n">
        <x:f>IF(AND($A23&gt;='Control Room'!$A$13,$A23&lt;'Control Room'!$A$13+'Control Room'!$B$13,'Process'!BQ2=1),1+('Control Room'!$C$13-1)*EXP(-0.5*(($A23-'Control Room'!$A$13-('Control Room'!$B$13-1)/2)/MAX(0.5,'Control Room'!$B$13/4))^2),1)*IF(AND($A23&gt;='Control Room'!$A$14,$A23&lt;'Control Room'!$A$14+'Control Room'!$B$14,'Process'!BQ3=1),1+('Control Room'!$C$14-1)*EXP(-0.5*(($A23-'Control Room'!$A$14-('Control Room'!$B$14-1)/2)/MAX(0.5,'Control Room'!$B$14/4))^2),1)*IF(AND($A23&gt;='Control Room'!$A$15,$A23&lt;'Control Room'!$A$15+'Control Room'!$B$15,'Process'!BQ4=1),1+('Control Room'!$C$15-1)*EXP(-0.5*(($A23-'Control Room'!$A$15-('Control Room'!$B$15-1)/2)/MAX(0.5,'Control Room'!$B$15/4))^2),1)*IF(AND($A23&gt;='Control Room'!$A$16,$A23&lt;'Control Room'!$A$16+'Control Room'!$B$16,'Process'!BQ5=1),1+('Control Room'!$C$16-1)*EXP(-0.5*(($A23-'Control Room'!$A$16-('Control Room'!$B$16-1)/2)/MAX(0.5,'Control Room'!$B$16/4))^2),1)</x:f>
        <x:v>0.40455778959957334</x:v>
      </x:c>
      <x:c r="AK23" s="9" t="n">
        <x:f>MOD(AL22*16807,2147483647)</x:f>
        <x:v>774467276</x:v>
      </x:c>
      <x:c r="AL23" s="9" t="n">
        <x:f>MOD(AK23*16807,2147483647)</x:f>
        <x:v>573123265</x:v>
      </x:c>
      <x:c r="AM23" s="17" t="n">
        <x:f>IF('Control Room'!$B$5="Normal",'Control Room'!$B$7+'Control Room'!$D$7*SQRT(-2*LN(MAX(0.000000000001,AK23/2147483647)))*COS(2*PI()*AL23/2147483647),'Control Room'!$B$8+('Control Room'!$D$8-'Control Room'!$B$8)*AK23/2147483647)</x:f>
        <x:v>986.391730896144</x:v>
      </x:c>
      <x:c r="AN23" s="17" t="n">
        <x:f>IF('Control Room'!$B$5="Normal",'Control Room'!$B$7,('Control Room'!$B$8+'Control Room'!$D$8)/2)+'Control Room'!$B$9*(AN22-IF('Control Room'!$B$5="Normal",'Control Room'!$B$7,('Control Room'!$B$8+'Control Room'!$D$8)/2))+SQRT(1-'Control Room'!$B$9^2)*(AM23-IF('Control Room'!$B$5="Normal",'Control Room'!$B$7,('Control Room'!$B$8+'Control Room'!$D$8)/2))</x:f>
        <x:v>970.524685962041</x:v>
      </x:c>
      <x:c r="AO23" s="17" t="n">
        <x:f>IF(AND($A23&gt;='Control Room'!$A$13,$A23&lt;'Control Room'!$A$13+'Control Room'!$B$13,'Process'!BR2=1),1+('Control Room'!$C$13-1)*EXP(-0.5*(($A23-'Control Room'!$A$13-('Control Room'!$B$13-1)/2)/MAX(0.5,'Control Room'!$B$13/4))^2),1)*IF(AND($A23&gt;='Control Room'!$A$14,$A23&lt;'Control Room'!$A$14+'Control Room'!$B$14,'Process'!BR3=1),1+('Control Room'!$C$14-1)*EXP(-0.5*(($A23-'Control Room'!$A$14-('Control Room'!$B$14-1)/2)/MAX(0.5,'Control Room'!$B$14/4))^2),1)*IF(AND($A23&gt;='Control Room'!$A$15,$A23&lt;'Control Room'!$A$15+'Control Room'!$B$15,'Process'!BR4=1),1+('Control Room'!$C$15-1)*EXP(-0.5*(($A23-'Control Room'!$A$15-('Control Room'!$B$15-1)/2)/MAX(0.5,'Control Room'!$B$15/4))^2),1)*IF(AND($A23&gt;='Control Room'!$A$16,$A23&lt;'Control Room'!$A$16+'Control Room'!$B$16,'Process'!BR5=1),1+('Control Room'!$C$16-1)*EXP(-0.5*(($A23-'Control Room'!$A$16-('Control Room'!$B$16-1)/2)/MAX(0.5,'Control Room'!$B$16/4))^2),1)</x:f>
        <x:v>0.40455778959957334</x:v>
      </x:c>
      <x:c r="AP23" s="9" t="n">
        <x:f>MOD(AQ22*16807,2147483647)</x:f>
        <x:v>1850598872</x:v>
      </x:c>
      <x:c r="AQ23" s="9" t="n">
        <x:f>MOD(AP23*16807,2147483647)</x:f>
        <x:v>1009582203</x:v>
      </x:c>
      <x:c r="AR23" s="17" t="n">
        <x:f>IF('Control Room'!$B$5="Normal",'Control Room'!$B$7+'Control Room'!$D$7*SQRT(-2*LN(MAX(0.000000000001,AP23/2147483647)))*COS(2*PI()*AQ23/2147483647),'Control Room'!$B$8+('Control Room'!$D$8-'Control Room'!$B$8)*AP23/2147483647)</x:f>
        <x:v>951.767113856036</x:v>
      </x:c>
      <x:c r="AS23" s="17" t="n">
        <x:f>IF('Control Room'!$B$5="Normal",'Control Room'!$B$7,('Control Room'!$B$8+'Control Room'!$D$8)/2)+'Control Room'!$B$9*(AS22-IF('Control Room'!$B$5="Normal",'Control Room'!$B$7,('Control Room'!$B$8+'Control Room'!$D$8)/2))+SQRT(1-'Control Room'!$B$9^2)*(AR23-IF('Control Room'!$B$5="Normal",'Control Room'!$B$7,('Control Room'!$B$8+'Control Room'!$D$8)/2))</x:f>
        <x:v>1021.0652133729267</x:v>
      </x:c>
      <x:c r="AT23" s="17" t="n">
        <x:f>IF(AND($A23&gt;='Control Room'!$A$13,$A23&lt;'Control Room'!$A$13+'Control Room'!$B$13,'Process'!BS2=1),1+('Control Room'!$C$13-1)*EXP(-0.5*(($A23-'Control Room'!$A$13-('Control Room'!$B$13-1)/2)/MAX(0.5,'Control Room'!$B$13/4))^2),1)*IF(AND($A23&gt;='Control Room'!$A$14,$A23&lt;'Control Room'!$A$14+'Control Room'!$B$14,'Process'!BS3=1),1+('Control Room'!$C$14-1)*EXP(-0.5*(($A23-'Control Room'!$A$14-('Control Room'!$B$14-1)/2)/MAX(0.5,'Control Room'!$B$14/4))^2),1)*IF(AND($A23&gt;='Control Room'!$A$15,$A23&lt;'Control Room'!$A$15+'Control Room'!$B$15,'Process'!BS4=1),1+('Control Room'!$C$15-1)*EXP(-0.5*(($A23-'Control Room'!$A$15-('Control Room'!$B$15-1)/2)/MAX(0.5,'Control Room'!$B$15/4))^2),1)*IF(AND($A23&gt;='Control Room'!$A$16,$A23&lt;'Control Room'!$A$16+'Control Room'!$B$16,'Process'!BS5=1),1+('Control Room'!$C$16-1)*EXP(-0.5*(($A23-'Control Room'!$A$16-('Control Room'!$B$16-1)/2)/MAX(0.5,'Control Room'!$B$16/4))^2),1)</x:f>
        <x:v>0.40455778959957334</x:v>
      </x:c>
      <x:c r="AU23" s="9" t="n">
        <x:f>MOD(AV22*16807,2147483647)</x:f>
        <x:v>779246821</x:v>
      </x:c>
      <x:c r="AV23" s="9" t="n">
        <x:f>MOD(AU23*16807,2147483647)</x:f>
        <x:v>1446041141</x:v>
      </x:c>
      <x:c r="AW23" s="17" t="n">
        <x:f>IF('Control Room'!$B$5="Normal",'Control Room'!$B$7+'Control Room'!$D$7*SQRT(-2*LN(MAX(0.000000000001,AU23/2147483647)))*COS(2*PI()*AV23/2147483647),'Control Room'!$B$8+('Control Room'!$D$8-'Control Room'!$B$8)*AU23/2147483647)</x:f>
        <x:v>940.6516447259321</x:v>
      </x:c>
      <x:c r="AX23" s="17" t="n">
        <x:f>IF('Control Room'!$B$5="Normal",'Control Room'!$B$7,('Control Room'!$B$8+'Control Room'!$D$8)/2)+'Control Room'!$B$9*(AX22-IF('Control Room'!$B$5="Normal",'Control Room'!$B$7,('Control Room'!$B$8+'Control Room'!$D$8)/2))+SQRT(1-'Control Room'!$B$9^2)*(AW23-IF('Control Room'!$B$5="Normal",'Control Room'!$B$7,('Control Room'!$B$8+'Control Room'!$D$8)/2))</x:f>
        <x:v>1024.5205031044966</x:v>
      </x:c>
      <x:c r="AY23" s="17" t="n">
        <x:f>IF(AND($A23&gt;='Control Room'!$A$13,$A23&lt;'Control Room'!$A$13+'Control Room'!$B$13,'Process'!BT2=1),1+('Control Room'!$C$13-1)*EXP(-0.5*(($A23-'Control Room'!$A$13-('Control Room'!$B$13-1)/2)/MAX(0.5,'Control Room'!$B$13/4))^2),1)*IF(AND($A23&gt;='Control Room'!$A$14,$A23&lt;'Control Room'!$A$14+'Control Room'!$B$14,'Process'!BT3=1),1+('Control Room'!$C$14-1)*EXP(-0.5*(($A23-'Control Room'!$A$14-('Control Room'!$B$14-1)/2)/MAX(0.5,'Control Room'!$B$14/4))^2),1)*IF(AND($A23&gt;='Control Room'!$A$15,$A23&lt;'Control Room'!$A$15+'Control Room'!$B$15,'Process'!BT4=1),1+('Control Room'!$C$15-1)*EXP(-0.5*(($A23-'Control Room'!$A$15-('Control Room'!$B$15-1)/2)/MAX(0.5,'Control Room'!$B$15/4))^2),1)*IF(AND($A23&gt;='Control Room'!$A$16,$A23&lt;'Control Room'!$A$16+'Control Room'!$B$16,'Process'!BT5=1),1+('Control Room'!$C$16-1)*EXP(-0.5*(($A23-'Control Room'!$A$16-('Control Room'!$B$16-1)/2)/MAX(0.5,'Control Room'!$B$16/4))^2),1)</x:f>
        <x:v>0.40455778959957334</x:v>
      </x:c>
      <x:c r="AZ23" s="9" t="n">
        <x:f>MOD(BA22*16807,2147483647)</x:f>
        <x:v>1855378417</x:v>
      </x:c>
      <x:c r="BA23" s="9" t="n">
        <x:f>MOD(AZ23*16807,2147483647)</x:f>
        <x:v>1882500079</x:v>
      </x:c>
      <x:c r="BB23" s="17" t="n">
        <x:f>IF('Control Room'!$B$5="Normal",'Control Room'!$B$7+'Control Room'!$D$7*SQRT(-2*LN(MAX(0.000000000001,AZ23/2147483647)))*COS(2*PI()*BA23/2147483647),'Control Room'!$B$8+('Control Room'!$D$8-'Control Room'!$B$8)*AZ23/2147483647)</x:f>
        <x:v>1034.7592524416254</x:v>
      </x:c>
      <x:c r="BC23" s="17" t="n">
        <x:f>IF('Control Room'!$B$5="Normal",'Control Room'!$B$7,('Control Room'!$B$8+'Control Room'!$D$8)/2)+'Control Room'!$B$9*(BC22-IF('Control Room'!$B$5="Normal",'Control Room'!$B$7,('Control Room'!$B$8+'Control Room'!$D$8)/2))+SQRT(1-'Control Room'!$B$9^2)*(BB23-IF('Control Room'!$B$5="Normal",'Control Room'!$B$7,('Control Room'!$B$8+'Control Room'!$D$8)/2))</x:f>
        <x:v>1038.7045302895203</x:v>
      </x:c>
      <x:c r="BD23" s="17" t="n">
        <x:f>IF(AND($A23&gt;='Control Room'!$A$13,$A23&lt;'Control Room'!$A$13+'Control Room'!$B$13,'Process'!BU2=1),1+('Control Room'!$C$13-1)*EXP(-0.5*(($A23-'Control Room'!$A$13-('Control Room'!$B$13-1)/2)/MAX(0.5,'Control Room'!$B$13/4))^2),1)*IF(AND($A23&gt;='Control Room'!$A$14,$A23&lt;'Control Room'!$A$14+'Control Room'!$B$14,'Process'!BU3=1),1+('Control Room'!$C$14-1)*EXP(-0.5*(($A23-'Control Room'!$A$14-('Control Room'!$B$14-1)/2)/MAX(0.5,'Control Room'!$B$14/4))^2),1)*IF(AND($A23&gt;='Control Room'!$A$15,$A23&lt;'Control Room'!$A$15+'Control Room'!$B$15,'Process'!BU4=1),1+('Control Room'!$C$15-1)*EXP(-0.5*(($A23-'Control Room'!$A$15-('Control Room'!$B$15-1)/2)/MAX(0.5,'Control Room'!$B$15/4))^2),1)*IF(AND($A23&gt;='Control Room'!$A$16,$A23&lt;'Control Room'!$A$16+'Control Room'!$B$16,'Process'!BU5=1),1+('Control Room'!$C$16-1)*EXP(-0.5*(($A23-'Control Room'!$A$16-('Control Room'!$B$16-1)/2)/MAX(0.5,'Control Room'!$B$16/4))^2),1)</x:f>
        <x:v>0.40455778959957334</x:v>
      </x:c>
      <x:c r="BE23" s="9" t="n">
        <x:f>MOD(BF22*16807,2147483647)</x:f>
        <x:v>784026366</x:v>
      </x:c>
      <x:c r="BF23" s="9" t="n">
        <x:f>MOD(BE23*16807,2147483647)</x:f>
        <x:v>171475370</x:v>
      </x:c>
      <x:c r="BG23" s="17" t="n">
        <x:f>IF('Control Room'!$B$5="Normal",'Control Room'!$B$7+'Control Room'!$D$7*SQRT(-2*LN(MAX(0.000000000001,BE23/2147483647)))*COS(2*PI()*BF23/2147483647),'Control Room'!$B$8+('Control Room'!$D$8-'Control Room'!$B$8)*BE23/2147483647)</x:f>
        <x:v>1112.0173614817422</x:v>
      </x:c>
      <x:c r="BH23" s="17" t="n">
        <x:f>IF('Control Room'!$B$5="Normal",'Control Room'!$B$7,('Control Room'!$B$8+'Control Room'!$D$8)/2)+'Control Room'!$B$9*(BH22-IF('Control Room'!$B$5="Normal",'Control Room'!$B$7,('Control Room'!$B$8+'Control Room'!$D$8)/2))+SQRT(1-'Control Room'!$B$9^2)*(BG23-IF('Control Room'!$B$5="Normal",'Control Room'!$B$7,('Control Room'!$B$8+'Control Room'!$D$8)/2))</x:f>
        <x:v>1010.2417660927521</x:v>
      </x:c>
      <x:c r="BI23" s="17" t="n">
        <x:f>IF(AND($A23&gt;='Control Room'!$A$13,$A23&lt;'Control Room'!$A$13+'Control Room'!$B$13,'Process'!BV2=1),1+('Control Room'!$C$13-1)*EXP(-0.5*(($A23-'Control Room'!$A$13-('Control Room'!$B$13-1)/2)/MAX(0.5,'Control Room'!$B$13/4))^2),1)*IF(AND($A23&gt;='Control Room'!$A$14,$A23&lt;'Control Room'!$A$14+'Control Room'!$B$14,'Process'!BV3=1),1+('Control Room'!$C$14-1)*EXP(-0.5*(($A23-'Control Room'!$A$14-('Control Room'!$B$14-1)/2)/MAX(0.5,'Control Room'!$B$14/4))^2),1)*IF(AND($A23&gt;='Control Room'!$A$15,$A23&lt;'Control Room'!$A$15+'Control Room'!$B$15,'Process'!BV4=1),1+('Control Room'!$C$15-1)*EXP(-0.5*(($A23-'Control Room'!$A$15-('Control Room'!$B$15-1)/2)/MAX(0.5,'Control Room'!$B$15/4))^2),1)*IF(AND($A23&gt;='Control Room'!$A$16,$A23&lt;'Control Room'!$A$16+'Control Room'!$B$16,'Process'!BV5=1),1+('Control Room'!$C$16-1)*EXP(-0.5*(($A23-'Control Room'!$A$16-('Control Room'!$B$16-1)/2)/MAX(0.5,'Control Room'!$B$16/4))^2),1)</x:f>
        <x:v>0.40455778959957334</x:v>
      </x:c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Z23" t="str">
        <x:f>IF('Data'!A23="","",TEXT('Data'!A23,"mm-dd"))</x:f>
        <x:v>11-23</x:v>
      </x:c>
    </x:row>
    <x:row r="24" ht="21" customHeight="1">
      <x:c r="A24" s="15" t="n">
        <x:f>'Control Room'!$B$1+22</x:f>
        <x:v>73013</x:v>
      </x:c>
      <x:c r="B24" s="9" t="n">
        <x:f>MOD(C23*16807,2147483647)</x:f>
        <x:v>542444715</x:v>
      </x:c>
      <x:c r="C24" s="9" t="n">
        <x:f>MOD(B24*16807,2147483647)</x:f>
        <x:v>800243490</x:v>
      </x:c>
      <x:c r="D24" s="17" t="n">
        <x:f>IF('Control Room'!$B$5="Normal",'Control Room'!$B$7+'Control Room'!$D$7*SQRT(-2*LN(MAX(0.000000000001,B24/2147483647)))*COS(2*PI()*C24/2147483647),'Control Room'!$B$8+('Control Room'!$D$8-'Control Room'!$B$8)*B24/2147483647)</x:f>
        <x:v>896.0039562670831</x:v>
      </x:c>
      <x:c r="E24" s="17" t="n">
        <x:f>IF('Control Room'!$B$5="Normal",'Control Room'!$B$7,('Control Room'!$B$8+'Control Room'!$D$8)/2)+'Control Room'!$B$9*(E23-IF('Control Room'!$B$5="Normal",'Control Room'!$B$7,('Control Room'!$B$8+'Control Room'!$D$8)/2))+SQRT(1-'Control Room'!$B$9^2)*(D24-IF('Control Room'!$B$5="Normal",'Control Room'!$B$7,('Control Room'!$B$8+'Control Room'!$D$8)/2))</x:f>
        <x:v>963.5082562852233</x:v>
      </x:c>
      <x:c r="F24" s="17" t="n">
        <x:f>IF(AND($A24&gt;='Control Room'!$A$13,$A24&lt;'Control Room'!$A$13+'Control Room'!$B$13,'Process'!BK2=1),1+('Control Room'!$C$13-1)*EXP(-0.5*(($A24-'Control Room'!$A$13-('Control Room'!$B$13-1)/2)/MAX(0.5,'Control Room'!$B$13/4))^2),1)*IF(AND($A24&gt;='Control Room'!$A$14,$A24&lt;'Control Room'!$A$14+'Control Room'!$B$14,'Process'!BK3=1),1+('Control Room'!$C$14-1)*EXP(-0.5*(($A24-'Control Room'!$A$14-('Control Room'!$B$14-1)/2)/MAX(0.5,'Control Room'!$B$14/4))^2),1)*IF(AND($A24&gt;='Control Room'!$A$15,$A24&lt;'Control Room'!$A$15+'Control Room'!$B$15,'Process'!BK4=1),1+('Control Room'!$C$15-1)*EXP(-0.5*(($A24-'Control Room'!$A$15-('Control Room'!$B$15-1)/2)/MAX(0.5,'Control Room'!$B$15/4))^2),1)*IF(AND($A24&gt;='Control Room'!$A$16,$A24&lt;'Control Room'!$A$16+'Control Room'!$B$16,'Process'!BK5=1),1+('Control Room'!$C$16-1)*EXP(-0.5*(($A24-'Control Room'!$A$16-('Control Room'!$B$16-1)/2)/MAX(0.5,'Control Room'!$B$16/4))^2),1)</x:f>
        <x:v>0.7720094136283808</x:v>
      </x:c>
      <x:c r="G24" s="9" t="n">
        <x:f>MOD(H23*16807,2147483647)</x:f>
        <x:v>303677529</x:v>
      </x:c>
      <x:c r="H24" s="9" t="n">
        <x:f>MOD(G24*16807,2147483647)</x:f>
        <x:v>1487084631</x:v>
      </x:c>
      <x:c r="I24" s="17" t="n">
        <x:f>IF('Control Room'!$B$5="Normal",'Control Room'!$B$7+'Control Room'!$D$7*SQRT(-2*LN(MAX(0.000000000001,G24/2147483647)))*COS(2*PI()*H24/2147483647),'Control Room'!$B$8+('Control Room'!$D$8-'Control Room'!$B$8)*G24/2147483647)</x:f>
        <x:v>937.0536372847266</x:v>
      </x:c>
      <x:c r="J24" s="17" t="n">
        <x:f>IF('Control Room'!$B$5="Normal",'Control Room'!$B$7,('Control Room'!$B$8+'Control Room'!$D$8)/2)+'Control Room'!$B$9*(J23-IF('Control Room'!$B$5="Normal",'Control Room'!$B$7,('Control Room'!$B$8+'Control Room'!$D$8)/2))+SQRT(1-'Control Room'!$B$9^2)*(I24-IF('Control Room'!$B$5="Normal",'Control Room'!$B$7,('Control Room'!$B$8+'Control Room'!$D$8)/2))</x:f>
        <x:v>1005.8022276737297</x:v>
      </x:c>
      <x:c r="K24" s="17" t="n">
        <x:f>IF(AND($A24&gt;='Control Room'!$A$13,$A24&lt;'Control Room'!$A$13+'Control Room'!$B$13,'Process'!BL2=1),1+('Control Room'!$C$13-1)*EXP(-0.5*(($A24-'Control Room'!$A$13-('Control Room'!$B$13-1)/2)/MAX(0.5,'Control Room'!$B$13/4))^2),1)*IF(AND($A24&gt;='Control Room'!$A$14,$A24&lt;'Control Room'!$A$14+'Control Room'!$B$14,'Process'!BL3=1),1+('Control Room'!$C$14-1)*EXP(-0.5*(($A24-'Control Room'!$A$14-('Control Room'!$B$14-1)/2)/MAX(0.5,'Control Room'!$B$14/4))^2),1)*IF(AND($A24&gt;='Control Room'!$A$15,$A24&lt;'Control Room'!$A$15+'Control Room'!$B$15,'Process'!BL4=1),1+('Control Room'!$C$15-1)*EXP(-0.5*(($A24-'Control Room'!$A$15-('Control Room'!$B$15-1)/2)/MAX(0.5,'Control Room'!$B$15/4))^2),1)*IF(AND($A24&gt;='Control Room'!$A$16,$A24&lt;'Control Room'!$A$16+'Control Room'!$B$16,'Process'!BL5=1),1+('Control Room'!$C$16-1)*EXP(-0.5*(($A24-'Control Room'!$A$16-('Control Room'!$B$16-1)/2)/MAX(0.5,'Control Room'!$B$16/4))^2),1)</x:f>
        <x:v>0.7720094136283808</x:v>
      </x:c>
      <x:c r="L24" s="9" t="n">
        <x:f>MOD(M23*16807,2147483647)</x:f>
        <x:v>64910343</x:v>
      </x:c>
      <x:c r="M24" s="9" t="n">
        <x:f>MOD(L24*16807,2147483647)</x:f>
        <x:v>26442125</x:v>
      </x:c>
      <x:c r="N24" s="17" t="n">
        <x:f>IF('Control Room'!$B$5="Normal",'Control Room'!$B$7+'Control Room'!$D$7*SQRT(-2*LN(MAX(0.000000000001,L24/2147483647)))*COS(2*PI()*M24/2147483647),'Control Room'!$B$8+('Control Room'!$D$8-'Control Room'!$B$8)*L24/2147483647)</x:f>
        <x:v>1237.3729704726316</x:v>
      </x:c>
      <x:c r="O24" s="17" t="n">
        <x:f>IF('Control Room'!$B$5="Normal",'Control Room'!$B$7,('Control Room'!$B$8+'Control Room'!$D$8)/2)+'Control Room'!$B$9*(O23-IF('Control Room'!$B$5="Normal",'Control Room'!$B$7,('Control Room'!$B$8+'Control Room'!$D$8)/2))+SQRT(1-'Control Room'!$B$9^2)*(N24-IF('Control Room'!$B$5="Normal",'Control Room'!$B$7,('Control Room'!$B$8+'Control Room'!$D$8)/2))</x:f>
        <x:v>1174.6405510723584</x:v>
      </x:c>
      <x:c r="P24" s="17" t="n">
        <x:f>IF(AND($A24&gt;='Control Room'!$A$13,$A24&lt;'Control Room'!$A$13+'Control Room'!$B$13,'Process'!BM2=1),1+('Control Room'!$C$13-1)*EXP(-0.5*(($A24-'Control Room'!$A$13-('Control Room'!$B$13-1)/2)/MAX(0.5,'Control Room'!$B$13/4))^2),1)*IF(AND($A24&gt;='Control Room'!$A$14,$A24&lt;'Control Room'!$A$14+'Control Room'!$B$14,'Process'!BM3=1),1+('Control Room'!$C$14-1)*EXP(-0.5*(($A24-'Control Room'!$A$14-('Control Room'!$B$14-1)/2)/MAX(0.5,'Control Room'!$B$14/4))^2),1)*IF(AND($A24&gt;='Control Room'!$A$15,$A24&lt;'Control Room'!$A$15+'Control Room'!$B$15,'Process'!BM4=1),1+('Control Room'!$C$15-1)*EXP(-0.5*(($A24-'Control Room'!$A$15-('Control Room'!$B$15-1)/2)/MAX(0.5,'Control Room'!$B$15/4))^2),1)*IF(AND($A24&gt;='Control Room'!$A$16,$A24&lt;'Control Room'!$A$16+'Control Room'!$B$16,'Process'!BM5=1),1+('Control Room'!$C$16-1)*EXP(-0.5*(($A24-'Control Room'!$A$16-('Control Room'!$B$16-1)/2)/MAX(0.5,'Control Room'!$B$16/4))^2),1)</x:f>
        <x:v>0.7720094136283808</x:v>
      </x:c>
      <x:c r="Q24" s="9" t="n">
        <x:f>MOD(R23*16807,2147483647)</x:f>
        <x:v>1973626804</x:v>
      </x:c>
      <x:c r="R24" s="9" t="n">
        <x:f>MOD(Q24*16807,2147483647)</x:f>
        <x:v>713283266</x:v>
      </x:c>
      <x:c r="S24" s="17" t="n">
        <x:f>IF('Control Room'!$B$5="Normal",'Control Room'!$B$7+'Control Room'!$D$7*SQRT(-2*LN(MAX(0.000000000001,Q24/2147483647)))*COS(2*PI()*R24/2147483647),'Control Room'!$B$8+('Control Room'!$D$8-'Control Room'!$B$8)*Q24/2147483647)</x:f>
        <x:v>981.7479665240588</x:v>
      </x:c>
      <x:c r="T24" s="17" t="n">
        <x:f>IF('Control Room'!$B$5="Normal",'Control Room'!$B$7,('Control Room'!$B$8+'Control Room'!$D$8)/2)+'Control Room'!$B$9*(T23-IF('Control Room'!$B$5="Normal",'Control Room'!$B$7,('Control Room'!$B$8+'Control Room'!$D$8)/2))+SQRT(1-'Control Room'!$B$9^2)*(S24-IF('Control Room'!$B$5="Normal",'Control Room'!$B$7,('Control Room'!$B$8+'Control Room'!$D$8)/2))</x:f>
        <x:v>861.6859838884772</x:v>
      </x:c>
      <x:c r="U24" s="17" t="n">
        <x:f>IF(AND($A24&gt;='Control Room'!$A$13,$A24&lt;'Control Room'!$A$13+'Control Room'!$B$13,'Process'!BN2=1),1+('Control Room'!$C$13-1)*EXP(-0.5*(($A24-'Control Room'!$A$13-('Control Room'!$B$13-1)/2)/MAX(0.5,'Control Room'!$B$13/4))^2),1)*IF(AND($A24&gt;='Control Room'!$A$14,$A24&lt;'Control Room'!$A$14+'Control Room'!$B$14,'Process'!BN3=1),1+('Control Room'!$C$14-1)*EXP(-0.5*(($A24-'Control Room'!$A$14-('Control Room'!$B$14-1)/2)/MAX(0.5,'Control Room'!$B$14/4))^2),1)*IF(AND($A24&gt;='Control Room'!$A$15,$A24&lt;'Control Room'!$A$15+'Control Room'!$B$15,'Process'!BN4=1),1+('Control Room'!$C$15-1)*EXP(-0.5*(($A24-'Control Room'!$A$15-('Control Room'!$B$15-1)/2)/MAX(0.5,'Control Room'!$B$15/4))^2),1)*IF(AND($A24&gt;='Control Room'!$A$16,$A24&lt;'Control Room'!$A$16+'Control Room'!$B$16,'Process'!BN5=1),1+('Control Room'!$C$16-1)*EXP(-0.5*(($A24-'Control Room'!$A$16-('Control Room'!$B$16-1)/2)/MAX(0.5,'Control Room'!$B$16/4))^2),1)</x:f>
        <x:v>0.7720094136283808</x:v>
      </x:c>
      <x:c r="V24" s="9" t="n">
        <x:f>MOD(W23*16807,2147483647)</x:f>
        <x:v>1734859618</x:v>
      </x:c>
      <x:c r="W24" s="9" t="n">
        <x:f>MOD(V24*16807,2147483647)</x:f>
        <x:v>1400124407</x:v>
      </x:c>
      <x:c r="X24" s="17" t="n">
        <x:f>IF('Control Room'!$B$5="Normal",'Control Room'!$B$7+'Control Room'!$D$7*SQRT(-2*LN(MAX(0.000000000001,V24/2147483647)))*COS(2*PI()*W24/2147483647),'Control Room'!$B$8+('Control Room'!$D$8-'Control Room'!$B$8)*V24/2147483647)</x:f>
        <x:v>966.0379544666646</x:v>
      </x:c>
      <x:c r="Y24" s="17" t="n">
        <x:f>IF('Control Room'!$B$5="Normal",'Control Room'!$B$7,('Control Room'!$B$8+'Control Room'!$D$8)/2)+'Control Room'!$B$9*(Y23-IF('Control Room'!$B$5="Normal",'Control Room'!$B$7,('Control Room'!$B$8+'Control Room'!$D$8)/2))+SQRT(1-'Control Room'!$B$9^2)*(X24-IF('Control Room'!$B$5="Normal",'Control Room'!$B$7,('Control Room'!$B$8+'Control Room'!$D$8)/2))</x:f>
        <x:v>1002.8133327758737</x:v>
      </x:c>
      <x:c r="Z24" s="17" t="n">
        <x:f>IF(AND($A24&gt;='Control Room'!$A$13,$A24&lt;'Control Room'!$A$13+'Control Room'!$B$13,'Process'!BO2=1),1+('Control Room'!$C$13-1)*EXP(-0.5*(($A24-'Control Room'!$A$13-('Control Room'!$B$13-1)/2)/MAX(0.5,'Control Room'!$B$13/4))^2),1)*IF(AND($A24&gt;='Control Room'!$A$14,$A24&lt;'Control Room'!$A$14+'Control Room'!$B$14,'Process'!BO3=1),1+('Control Room'!$C$14-1)*EXP(-0.5*(($A24-'Control Room'!$A$14-('Control Room'!$B$14-1)/2)/MAX(0.5,'Control Room'!$B$14/4))^2),1)*IF(AND($A24&gt;='Control Room'!$A$15,$A24&lt;'Control Room'!$A$15+'Control Room'!$B$15,'Process'!BO4=1),1+('Control Room'!$C$15-1)*EXP(-0.5*(($A24-'Control Room'!$A$15-('Control Room'!$B$15-1)/2)/MAX(0.5,'Control Room'!$B$15/4))^2),1)*IF(AND($A24&gt;='Control Room'!$A$16,$A24&lt;'Control Room'!$A$16+'Control Room'!$B$16,'Process'!BO5=1),1+('Control Room'!$C$16-1)*EXP(-0.5*(($A24-'Control Room'!$A$16-('Control Room'!$B$16-1)/2)/MAX(0.5,'Control Room'!$B$16/4))^2),1)</x:f>
        <x:v>0.7720094136283808</x:v>
      </x:c>
      <x:c r="AA24" s="9" t="n">
        <x:f>MOD(AB23*16807,2147483647)</x:f>
        <x:v>1496092432</x:v>
      </x:c>
      <x:c r="AB24" s="9" t="n">
        <x:f>MOD(AA24*16807,2147483647)</x:f>
        <x:v>2086965548</x:v>
      </x:c>
      <x:c r="AC24" s="17" t="n">
        <x:f>IF('Control Room'!$B$5="Normal",'Control Room'!$B$7+'Control Room'!$D$7*SQRT(-2*LN(MAX(0.000000000001,AA24/2147483647)))*COS(2*PI()*AB24/2147483647),'Control Room'!$B$8+('Control Room'!$D$8-'Control Room'!$B$8)*AA24/2147483647)</x:f>
        <x:v>1075.3237118102584</x:v>
      </x:c>
      <x:c r="AD24" s="17" t="n">
        <x:f>IF('Control Room'!$B$5="Normal",'Control Room'!$B$7,('Control Room'!$B$8+'Control Room'!$D$8)/2)+'Control Room'!$B$9*(AD23-IF('Control Room'!$B$5="Normal",'Control Room'!$B$7,('Control Room'!$B$8+'Control Room'!$D$8)/2))+SQRT(1-'Control Room'!$B$9^2)*(AC24-IF('Control Room'!$B$5="Normal",'Control Room'!$B$7,('Control Room'!$B$8+'Control Room'!$D$8)/2))</x:f>
        <x:v>976.6036158274218</x:v>
      </x:c>
      <x:c r="AE24" s="17" t="n">
        <x:f>IF(AND($A24&gt;='Control Room'!$A$13,$A24&lt;'Control Room'!$A$13+'Control Room'!$B$13,'Process'!BP2=1),1+('Control Room'!$C$13-1)*EXP(-0.5*(($A24-'Control Room'!$A$13-('Control Room'!$B$13-1)/2)/MAX(0.5,'Control Room'!$B$13/4))^2),1)*IF(AND($A24&gt;='Control Room'!$A$14,$A24&lt;'Control Room'!$A$14+'Control Room'!$B$14,'Process'!BP3=1),1+('Control Room'!$C$14-1)*EXP(-0.5*(($A24-'Control Room'!$A$14-('Control Room'!$B$14-1)/2)/MAX(0.5,'Control Room'!$B$14/4))^2),1)*IF(AND($A24&gt;='Control Room'!$A$15,$A24&lt;'Control Room'!$A$15+'Control Room'!$B$15,'Process'!BP4=1),1+('Control Room'!$C$15-1)*EXP(-0.5*(($A24-'Control Room'!$A$15-('Control Room'!$B$15-1)/2)/MAX(0.5,'Control Room'!$B$15/4))^2),1)*IF(AND($A24&gt;='Control Room'!$A$16,$A24&lt;'Control Room'!$A$16+'Control Room'!$B$16,'Process'!BP5=1),1+('Control Room'!$C$16-1)*EXP(-0.5*(($A24-'Control Room'!$A$16-('Control Room'!$B$16-1)/2)/MAX(0.5,'Control Room'!$B$16/4))^2),1)</x:f>
        <x:v>0.7720094136283808</x:v>
      </x:c>
      <x:c r="AF24" s="9" t="n">
        <x:f>MOD(AG23*16807,2147483647)</x:f>
        <x:v>1257325246</x:v>
      </x:c>
      <x:c r="AG24" s="9" t="n">
        <x:f>MOD(AF24*16807,2147483647)</x:f>
        <x:v>626323042</x:v>
      </x:c>
      <x:c r="AH24" s="17" t="n">
        <x:f>IF('Control Room'!$B$5="Normal",'Control Room'!$B$7+'Control Room'!$D$7*SQRT(-2*LN(MAX(0.000000000001,AF24/2147483647)))*COS(2*PI()*AG24/2147483647),'Control Room'!$B$8+('Control Room'!$D$8-'Control Room'!$B$8)*AF24/2147483647)</x:f>
        <x:v>975.9047485746632</x:v>
      </x:c>
      <x:c r="AI24" s="17" t="n">
        <x:f>IF('Control Room'!$B$5="Normal",'Control Room'!$B$7,('Control Room'!$B$8+'Control Room'!$D$8)/2)+'Control Room'!$B$9*(AI23-IF('Control Room'!$B$5="Normal",'Control Room'!$B$7,('Control Room'!$B$8+'Control Room'!$D$8)/2))+SQRT(1-'Control Room'!$B$9^2)*(AH24-IF('Control Room'!$B$5="Normal",'Control Room'!$B$7,('Control Room'!$B$8+'Control Room'!$D$8)/2))</x:f>
        <x:v>1007.1181712439145</x:v>
      </x:c>
      <x:c r="AJ24" s="17" t="n">
        <x:f>IF(AND($A24&gt;='Control Room'!$A$13,$A24&lt;'Control Room'!$A$13+'Control Room'!$B$13,'Process'!BQ2=1),1+('Control Room'!$C$13-1)*EXP(-0.5*(($A24-'Control Room'!$A$13-('Control Room'!$B$13-1)/2)/MAX(0.5,'Control Room'!$B$13/4))^2),1)*IF(AND($A24&gt;='Control Room'!$A$14,$A24&lt;'Control Room'!$A$14+'Control Room'!$B$14,'Process'!BQ3=1),1+('Control Room'!$C$14-1)*EXP(-0.5*(($A24-'Control Room'!$A$14-('Control Room'!$B$14-1)/2)/MAX(0.5,'Control Room'!$B$14/4))^2),1)*IF(AND($A24&gt;='Control Room'!$A$15,$A24&lt;'Control Room'!$A$15+'Control Room'!$B$15,'Process'!BQ4=1),1+('Control Room'!$C$15-1)*EXP(-0.5*(($A24-'Control Room'!$A$15-('Control Room'!$B$15-1)/2)/MAX(0.5,'Control Room'!$B$15/4))^2),1)*IF(AND($A24&gt;='Control Room'!$A$16,$A24&lt;'Control Room'!$A$16+'Control Room'!$B$16,'Process'!BQ5=1),1+('Control Room'!$C$16-1)*EXP(-0.5*(($A24-'Control Room'!$A$16-('Control Room'!$B$16-1)/2)/MAX(0.5,'Control Room'!$B$16/4))^2),1)</x:f>
        <x:v>0.7720094136283808</x:v>
      </x:c>
      <x:c r="AK24" s="9" t="n">
        <x:f>MOD(AL23*16807,2147483647)</x:f>
        <x:v>1018558060</x:v>
      </x:c>
      <x:c r="AL24" s="9" t="n">
        <x:f>MOD(AK24*16807,2147483647)</x:f>
        <x:v>1313164183</x:v>
      </x:c>
      <x:c r="AM24" s="17" t="n">
        <x:f>IF('Control Room'!$B$5="Normal",'Control Room'!$B$7+'Control Room'!$D$7*SQRT(-2*LN(MAX(0.000000000001,AK24/2147483647)))*COS(2*PI()*AL24/2147483647),'Control Room'!$B$8+('Control Room'!$D$8-'Control Room'!$B$8)*AK24/2147483647)</x:f>
        <x:v>915.9601374183623</x:v>
      </x:c>
      <x:c r="AN24" s="17" t="n">
        <x:f>IF('Control Room'!$B$5="Normal",'Control Room'!$B$7,('Control Room'!$B$8+'Control Room'!$D$8)/2)+'Control Room'!$B$9*(AN23-IF('Control Room'!$B$5="Normal",'Control Room'!$B$7,('Control Room'!$B$8+'Control Room'!$D$8)/2))+SQRT(1-'Control Room'!$B$9^2)*(AM24-IF('Control Room'!$B$5="Normal",'Control Room'!$B$7,('Control Room'!$B$8+'Control Room'!$D$8)/2))</x:f>
        <x:v>924.418830696968</x:v>
      </x:c>
      <x:c r="AO24" s="17" t="n">
        <x:f>IF(AND($A24&gt;='Control Room'!$A$13,$A24&lt;'Control Room'!$A$13+'Control Room'!$B$13,'Process'!BR2=1),1+('Control Room'!$C$13-1)*EXP(-0.5*(($A24-'Control Room'!$A$13-('Control Room'!$B$13-1)/2)/MAX(0.5,'Control Room'!$B$13/4))^2),1)*IF(AND($A24&gt;='Control Room'!$A$14,$A24&lt;'Control Room'!$A$14+'Control Room'!$B$14,'Process'!BR3=1),1+('Control Room'!$C$14-1)*EXP(-0.5*(($A24-'Control Room'!$A$14-('Control Room'!$B$14-1)/2)/MAX(0.5,'Control Room'!$B$14/4))^2),1)*IF(AND($A24&gt;='Control Room'!$A$15,$A24&lt;'Control Room'!$A$15+'Control Room'!$B$15,'Process'!BR4=1),1+('Control Room'!$C$15-1)*EXP(-0.5*(($A24-'Control Room'!$A$15-('Control Room'!$B$15-1)/2)/MAX(0.5,'Control Room'!$B$15/4))^2),1)*IF(AND($A24&gt;='Control Room'!$A$16,$A24&lt;'Control Room'!$A$16+'Control Room'!$B$16,'Process'!BR5=1),1+('Control Room'!$C$16-1)*EXP(-0.5*(($A24-'Control Room'!$A$16-('Control Room'!$B$16-1)/2)/MAX(0.5,'Control Room'!$B$16/4))^2),1)</x:f>
        <x:v>0.7720094136283808</x:v>
      </x:c>
      <x:c r="AP24" s="9" t="n">
        <x:f>MOD(AQ23*16807,2147483647)</x:f>
        <x:v>779790874</x:v>
      </x:c>
      <x:c r="AQ24" s="9" t="n">
        <x:f>MOD(AP24*16807,2147483647)</x:f>
        <x:v>2000005324</x:v>
      </x:c>
      <x:c r="AR24" s="17" t="n">
        <x:f>IF('Control Room'!$B$5="Normal",'Control Room'!$B$7+'Control Room'!$D$7*SQRT(-2*LN(MAX(0.000000000001,AP24/2147483647)))*COS(2*PI()*AQ24/2147483647),'Control Room'!$B$8+('Control Room'!$D$8-'Control Room'!$B$8)*AP24/2147483647)</x:f>
        <x:v>1116.3634370499583</x:v>
      </x:c>
      <x:c r="AS24" s="17" t="n">
        <x:f>IF('Control Room'!$B$5="Normal",'Control Room'!$B$7,('Control Room'!$B$8+'Control Room'!$D$8)/2)+'Control Room'!$B$9*(AS23-IF('Control Room'!$B$5="Normal",'Control Room'!$B$7,('Control Room'!$B$8+'Control Room'!$D$8)/2))+SQRT(1-'Control Room'!$B$9^2)*(AR24-IF('Control Room'!$B$5="Normal",'Control Room'!$B$7,('Control Room'!$B$8+'Control Room'!$D$8)/2))</x:f>
        <x:v>1089.2487215021658</x:v>
      </x:c>
      <x:c r="AT24" s="17" t="n">
        <x:f>IF(AND($A24&gt;='Control Room'!$A$13,$A24&lt;'Control Room'!$A$13+'Control Room'!$B$13,'Process'!BS2=1),1+('Control Room'!$C$13-1)*EXP(-0.5*(($A24-'Control Room'!$A$13-('Control Room'!$B$13-1)/2)/MAX(0.5,'Control Room'!$B$13/4))^2),1)*IF(AND($A24&gt;='Control Room'!$A$14,$A24&lt;'Control Room'!$A$14+'Control Room'!$B$14,'Process'!BS3=1),1+('Control Room'!$C$14-1)*EXP(-0.5*(($A24-'Control Room'!$A$14-('Control Room'!$B$14-1)/2)/MAX(0.5,'Control Room'!$B$14/4))^2),1)*IF(AND($A24&gt;='Control Room'!$A$15,$A24&lt;'Control Room'!$A$15+'Control Room'!$B$15,'Process'!BS4=1),1+('Control Room'!$C$15-1)*EXP(-0.5*(($A24-'Control Room'!$A$15-('Control Room'!$B$15-1)/2)/MAX(0.5,'Control Room'!$B$15/4))^2),1)*IF(AND($A24&gt;='Control Room'!$A$16,$A24&lt;'Control Room'!$A$16+'Control Room'!$B$16,'Process'!BS5=1),1+('Control Room'!$C$16-1)*EXP(-0.5*(($A24-'Control Room'!$A$16-('Control Room'!$B$16-1)/2)/MAX(0.5,'Control Room'!$B$16/4))^2),1)</x:f>
        <x:v>0.7720094136283808</x:v>
      </x:c>
      <x:c r="AU24" s="9" t="n">
        <x:f>MOD(AV23*16807,2147483647)</x:f>
        <x:v>541023688</x:v>
      </x:c>
      <x:c r="AV24" s="9" t="n">
        <x:f>MOD(AU24*16807,2147483647)</x:f>
        <x:v>539362818</x:v>
      </x:c>
      <x:c r="AW24" s="17" t="n">
        <x:f>IF('Control Room'!$B$5="Normal",'Control Room'!$B$7+'Control Room'!$D$7*SQRT(-2*LN(MAX(0.000000000001,AU24/2147483647)))*COS(2*PI()*AV24/2147483647),'Control Room'!$B$8+('Control Room'!$D$8-'Control Room'!$B$8)*AU24/2147483647)</x:f>
        <x:v>998.9104359570807</x:v>
      </x:c>
      <x:c r="AX24" s="17" t="n">
        <x:f>IF('Control Room'!$B$5="Normal",'Control Room'!$B$7,('Control Room'!$B$8+'Control Room'!$D$8)/2)+'Control Room'!$B$9*(AX23-IF('Control Room'!$B$5="Normal",'Control Room'!$B$7,('Control Room'!$B$8+'Control Room'!$D$8)/2))+SQRT(1-'Control Room'!$B$9^2)*(AW24-IF('Control Room'!$B$5="Normal",'Control Room'!$B$7,('Control Room'!$B$8+'Control Room'!$D$8)/2))</x:f>
        <x:v>1018.4441655643811</x:v>
      </x:c>
      <x:c r="AY24" s="17" t="n">
        <x:f>IF(AND($A24&gt;='Control Room'!$A$13,$A24&lt;'Control Room'!$A$13+'Control Room'!$B$13,'Process'!BT2=1),1+('Control Room'!$C$13-1)*EXP(-0.5*(($A24-'Control Room'!$A$13-('Control Room'!$B$13-1)/2)/MAX(0.5,'Control Room'!$B$13/4))^2),1)*IF(AND($A24&gt;='Control Room'!$A$14,$A24&lt;'Control Room'!$A$14+'Control Room'!$B$14,'Process'!BT3=1),1+('Control Room'!$C$14-1)*EXP(-0.5*(($A24-'Control Room'!$A$14-('Control Room'!$B$14-1)/2)/MAX(0.5,'Control Room'!$B$14/4))^2),1)*IF(AND($A24&gt;='Control Room'!$A$15,$A24&lt;'Control Room'!$A$15+'Control Room'!$B$15,'Process'!BT4=1),1+('Control Room'!$C$15-1)*EXP(-0.5*(($A24-'Control Room'!$A$15-('Control Room'!$B$15-1)/2)/MAX(0.5,'Control Room'!$B$15/4))^2),1)*IF(AND($A24&gt;='Control Room'!$A$16,$A24&lt;'Control Room'!$A$16+'Control Room'!$B$16,'Process'!BT5=1),1+('Control Room'!$C$16-1)*EXP(-0.5*(($A24-'Control Room'!$A$16-('Control Room'!$B$16-1)/2)/MAX(0.5,'Control Room'!$B$16/4))^2),1)</x:f>
        <x:v>0.7720094136283808</x:v>
      </x:c>
      <x:c r="AZ24" s="9" t="n">
        <x:f>MOD(BA23*16807,2147483647)</x:f>
        <x:v>302256502</x:v>
      </x:c>
      <x:c r="BA24" s="9" t="n">
        <x:f>MOD(AZ24*16807,2147483647)</x:f>
        <x:v>1226203959</x:v>
      </x:c>
      <x:c r="BB24" s="17" t="n">
        <x:f>IF('Control Room'!$B$5="Normal",'Control Room'!$B$7+'Control Room'!$D$7*SQRT(-2*LN(MAX(0.000000000001,AZ24/2147483647)))*COS(2*PI()*BA24/2147483647),'Control Room'!$B$8+('Control Room'!$D$8-'Control Room'!$B$8)*AZ24/2147483647)</x:f>
        <x:v>839.2140385251953</x:v>
      </x:c>
      <x:c r="BC24" s="17" t="n">
        <x:f>IF('Control Room'!$B$5="Normal",'Control Room'!$B$7,('Control Room'!$B$8+'Control Room'!$D$8)/2)+'Control Room'!$B$9*(BC23-IF('Control Room'!$B$5="Normal",'Control Room'!$B$7,('Control Room'!$B$8+'Control Room'!$D$8)/2))+SQRT(1-'Control Room'!$B$9^2)*(BB24-IF('Control Room'!$B$5="Normal",'Control Room'!$B$7,('Control Room'!$B$8+'Control Room'!$D$8)/2))</x:f>
        <x:v>929.5729728143522</x:v>
      </x:c>
      <x:c r="BD24" s="17" t="n">
        <x:f>IF(AND($A24&gt;='Control Room'!$A$13,$A24&lt;'Control Room'!$A$13+'Control Room'!$B$13,'Process'!BU2=1),1+('Control Room'!$C$13-1)*EXP(-0.5*(($A24-'Control Room'!$A$13-('Control Room'!$B$13-1)/2)/MAX(0.5,'Control Room'!$B$13/4))^2),1)*IF(AND($A24&gt;='Control Room'!$A$14,$A24&lt;'Control Room'!$A$14+'Control Room'!$B$14,'Process'!BU3=1),1+('Control Room'!$C$14-1)*EXP(-0.5*(($A24-'Control Room'!$A$14-('Control Room'!$B$14-1)/2)/MAX(0.5,'Control Room'!$B$14/4))^2),1)*IF(AND($A24&gt;='Control Room'!$A$15,$A24&lt;'Control Room'!$A$15+'Control Room'!$B$15,'Process'!BU4=1),1+('Control Room'!$C$15-1)*EXP(-0.5*(($A24-'Control Room'!$A$15-('Control Room'!$B$15-1)/2)/MAX(0.5,'Control Room'!$B$15/4))^2),1)*IF(AND($A24&gt;='Control Room'!$A$16,$A24&lt;'Control Room'!$A$16+'Control Room'!$B$16,'Process'!BU5=1),1+('Control Room'!$C$16-1)*EXP(-0.5*(($A24-'Control Room'!$A$16-('Control Room'!$B$16-1)/2)/MAX(0.5,'Control Room'!$B$16/4))^2),1)</x:f>
        <x:v>0.7720094136283808</x:v>
      </x:c>
      <x:c r="BE24" s="9" t="n">
        <x:f>MOD(BF23*16807,2147483647)</x:f>
        <x:v>63489316</x:v>
      </x:c>
      <x:c r="BF24" s="9" t="n">
        <x:f>MOD(BE24*16807,2147483647)</x:f>
        <x:v>1913045100</x:v>
      </x:c>
      <x:c r="BG24" s="17" t="n">
        <x:f>IF('Control Room'!$B$5="Normal",'Control Room'!$B$7+'Control Room'!$D$7*SQRT(-2*LN(MAX(0.000000000001,BE24/2147483647)))*COS(2*PI()*BF24/2147483647),'Control Room'!$B$8+('Control Room'!$D$8-'Control Room'!$B$8)*BE24/2147483647)</x:f>
        <x:v>1184.819514543007</x:v>
      </x:c>
      <x:c r="BH24" s="17" t="n">
        <x:f>IF('Control Room'!$B$5="Normal",'Control Room'!$B$7,('Control Room'!$B$8+'Control Room'!$D$8)/2)+'Control Room'!$B$9*(BH23-IF('Control Room'!$B$5="Normal",'Control Room'!$B$7,('Control Room'!$B$8+'Control Room'!$D$8)/2))+SQRT(1-'Control Room'!$B$9^2)*(BG24-IF('Control Room'!$B$5="Normal",'Control Room'!$B$7,('Control Room'!$B$8+'Control Room'!$D$8)/2))</x:f>
        <x:v>1123.644843519805</x:v>
      </x:c>
      <x:c r="BI24" s="17" t="n">
        <x:f>IF(AND($A24&gt;='Control Room'!$A$13,$A24&lt;'Control Room'!$A$13+'Control Room'!$B$13,'Process'!BV2=1),1+('Control Room'!$C$13-1)*EXP(-0.5*(($A24-'Control Room'!$A$13-('Control Room'!$B$13-1)/2)/MAX(0.5,'Control Room'!$B$13/4))^2),1)*IF(AND($A24&gt;='Control Room'!$A$14,$A24&lt;'Control Room'!$A$14+'Control Room'!$B$14,'Process'!BV3=1),1+('Control Room'!$C$14-1)*EXP(-0.5*(($A24-'Control Room'!$A$14-('Control Room'!$B$14-1)/2)/MAX(0.5,'Control Room'!$B$14/4))^2),1)*IF(AND($A24&gt;='Control Room'!$A$15,$A24&lt;'Control Room'!$A$15+'Control Room'!$B$15,'Process'!BV4=1),1+('Control Room'!$C$15-1)*EXP(-0.5*(($A24-'Control Room'!$A$15-('Control Room'!$B$15-1)/2)/MAX(0.5,'Control Room'!$B$15/4))^2),1)*IF(AND($A24&gt;='Control Room'!$A$16,$A24&lt;'Control Room'!$A$16+'Control Room'!$B$16,'Process'!BV5=1),1+('Control Room'!$C$16-1)*EXP(-0.5*(($A24-'Control Room'!$A$16-('Control Room'!$B$16-1)/2)/MAX(0.5,'Control Room'!$B$16/4))^2),1)</x:f>
        <x:v>0.7720094136283808</x:v>
      </x:c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Z24" t="str">
        <x:f>IF('Data'!A24="","",TEXT('Data'!A24,"mm-dd"))</x:f>
        <x:v>11-24</x:v>
      </x:c>
    </x:row>
    <x:row r="25" ht="21" customHeight="1">
      <x:c r="A25" s="15" t="n">
        <x:f>'Control Room'!$B$1+23</x:f>
        <x:v>73014</x:v>
      </x:c>
      <x:c r="B25" s="9" t="n">
        <x:f>MOD(C24*16807,2147483647)</x:f>
        <x:v>2255269</x:v>
      </x:c>
      <x:c r="C25" s="9" t="n">
        <x:f>MOD(B25*16807,2147483647)</x:f>
        <x:v>1397084084</x:v>
      </x:c>
      <x:c r="D25" s="17" t="n">
        <x:f>IF('Control Room'!$B$5="Normal",'Control Room'!$B$7+'Control Room'!$D$7*SQRT(-2*LN(MAX(0.000000000001,B25/2147483647)))*COS(2*PI()*C25/2147483647),'Control Room'!$B$8+('Control Room'!$D$8-'Control Room'!$B$8)*B25/2147483647)</x:f>
        <x:v>805.0341764077048</x:v>
      </x:c>
      <x:c r="E25" s="17" t="n">
        <x:f>IF('Control Room'!$B$5="Normal",'Control Room'!$B$7,('Control Room'!$B$8+'Control Room'!$D$8)/2)+'Control Room'!$B$9*(E24-IF('Control Room'!$B$5="Normal",'Control Room'!$B$7,('Control Room'!$B$8+'Control Room'!$D$8)/2))+SQRT(1-'Control Room'!$B$9^2)*(D25-IF('Control Room'!$B$5="Normal",'Control Room'!$B$7,('Control Room'!$B$8+'Control Room'!$D$8)/2))</x:f>
        <x:v>849.5308215904104</x:v>
      </x:c>
      <x:c r="F25" s="17" t="n">
        <x:f>IF(AND($A25&gt;='Control Room'!$A$13,$A25&lt;'Control Room'!$A$13+'Control Room'!$B$13,'Process'!BK2=1),1+('Control Room'!$C$13-1)*EXP(-0.5*(($A25-'Control Room'!$A$13-('Control Room'!$B$13-1)/2)/MAX(0.5,'Control Room'!$B$13/4))^2),1)*IF(AND($A25&gt;='Control Room'!$A$14,$A25&lt;'Control Room'!$A$14+'Control Room'!$B$14,'Process'!BK3=1),1+('Control Room'!$C$14-1)*EXP(-0.5*(($A25-'Control Room'!$A$14-('Control Room'!$B$14-1)/2)/MAX(0.5,'Control Room'!$B$14/4))^2),1)*IF(AND($A25&gt;='Control Room'!$A$15,$A25&lt;'Control Room'!$A$15+'Control Room'!$B$15,'Process'!BK4=1),1+('Control Room'!$C$15-1)*EXP(-0.5*(($A25-'Control Room'!$A$15-('Control Room'!$B$15-1)/2)/MAX(0.5,'Control Room'!$B$15/4))^2),1)*IF(AND($A25&gt;='Control Room'!$A$16,$A25&lt;'Control Room'!$A$16+'Control Room'!$B$16,'Process'!BK5=1),1+('Control Room'!$C$16-1)*EXP(-0.5*(($A25-'Control Room'!$A$16-('Control Room'!$B$16-1)/2)/MAX(0.5,'Control Room'!$B$16/4))^2),1)</x:f>
        <x:v>1</x:v>
      </x:c>
      <x:c r="G25" s="9" t="n">
        <x:f>MOD(H24*16807,2147483647)</x:f>
        <x:v>1016709431</x:v>
      </x:c>
      <x:c r="H25" s="9" t="n">
        <x:f>MOD(G25*16807,2147483647)</x:f>
        <x:v>308027638</x:v>
      </x:c>
      <x:c r="I25" s="17" t="n">
        <x:f>IF('Control Room'!$B$5="Normal",'Control Room'!$B$7+'Control Room'!$D$7*SQRT(-2*LN(MAX(0.000000000001,G25/2147483647)))*COS(2*PI()*H25/2147483647),'Control Room'!$B$8+('Control Room'!$D$8-'Control Room'!$B$8)*G25/2147483647)</x:f>
        <x:v>1068.3074272583763</x:v>
      </x:c>
      <x:c r="J25" s="17" t="n">
        <x:f>IF('Control Room'!$B$5="Normal",'Control Room'!$B$7,('Control Room'!$B$8+'Control Room'!$D$8)/2)+'Control Room'!$B$9*(J24-IF('Control Room'!$B$5="Normal",'Control Room'!$B$7,('Control Room'!$B$8+'Control Room'!$D$8)/2))+SQRT(1-'Control Room'!$B$9^2)*(I25-IF('Control Room'!$B$5="Normal",'Control Room'!$B$7,('Control Room'!$B$8+'Control Room'!$D$8)/2))</x:f>
        <x:v>1047.271126210092</x:v>
      </x:c>
      <x:c r="K25" s="17" t="n">
        <x:f>IF(AND($A25&gt;='Control Room'!$A$13,$A25&lt;'Control Room'!$A$13+'Control Room'!$B$13,'Process'!BL2=1),1+('Control Room'!$C$13-1)*EXP(-0.5*(($A25-'Control Room'!$A$13-('Control Room'!$B$13-1)/2)/MAX(0.5,'Control Room'!$B$13/4))^2),1)*IF(AND($A25&gt;='Control Room'!$A$14,$A25&lt;'Control Room'!$A$14+'Control Room'!$B$14,'Process'!BL3=1),1+('Control Room'!$C$14-1)*EXP(-0.5*(($A25-'Control Room'!$A$14-('Control Room'!$B$14-1)/2)/MAX(0.5,'Control Room'!$B$14/4))^2),1)*IF(AND($A25&gt;='Control Room'!$A$15,$A25&lt;'Control Room'!$A$15+'Control Room'!$B$15,'Process'!BL4=1),1+('Control Room'!$C$15-1)*EXP(-0.5*(($A25-'Control Room'!$A$15-('Control Room'!$B$15-1)/2)/MAX(0.5,'Control Room'!$B$15/4))^2),1)*IF(AND($A25&gt;='Control Room'!$A$16,$A25&lt;'Control Room'!$A$16+'Control Room'!$B$16,'Process'!BL5=1),1+('Control Room'!$C$16-1)*EXP(-0.5*(($A25-'Control Room'!$A$16-('Control Room'!$B$16-1)/2)/MAX(0.5,'Control Room'!$B$16/4))^2),1)</x:f>
        <x:v>1</x:v>
      </x:c>
      <x:c r="L25" s="9" t="n">
        <x:f>MOD(M24*16807,2147483647)</x:f>
        <x:v>2031163593</x:v>
      </x:c>
      <x:c r="M25" s="9" t="n">
        <x:f>MOD(L25*16807,2147483647)</x:f>
        <x:v>1366454839</x:v>
      </x:c>
      <x:c r="N25" s="17" t="n">
        <x:f>IF('Control Room'!$B$5="Normal",'Control Room'!$B$7+'Control Room'!$D$7*SQRT(-2*LN(MAX(0.000000000001,L25/2147483647)))*COS(2*PI()*M25/2147483647),'Control Room'!$B$8+('Control Room'!$D$8-'Control Room'!$B$8)*L25/2147483647)</x:f>
        <x:v>980.3224413909136</x:v>
      </x:c>
      <x:c r="O25" s="17" t="n">
        <x:f>IF('Control Room'!$B$5="Normal",'Control Room'!$B$7,('Control Room'!$B$8+'Control Room'!$D$8)/2)+'Control Room'!$B$9*(O24-IF('Control Room'!$B$5="Normal",'Control Room'!$B$7,('Control Room'!$B$8+'Control Room'!$D$8)/2))+SQRT(1-'Control Room'!$B$9^2)*(N25-IF('Control Room'!$B$5="Normal",'Control Room'!$B$7,('Control Room'!$B$8+'Control Room'!$D$8)/2))</x:f>
        <x:v>1123.905816775573</x:v>
      </x:c>
      <x:c r="P25" s="17" t="n">
        <x:f>IF(AND($A25&gt;='Control Room'!$A$13,$A25&lt;'Control Room'!$A$13+'Control Room'!$B$13,'Process'!BM2=1),1+('Control Room'!$C$13-1)*EXP(-0.5*(($A25-'Control Room'!$A$13-('Control Room'!$B$13-1)/2)/MAX(0.5,'Control Room'!$B$13/4))^2),1)*IF(AND($A25&gt;='Control Room'!$A$14,$A25&lt;'Control Room'!$A$14+'Control Room'!$B$14,'Process'!BM3=1),1+('Control Room'!$C$14-1)*EXP(-0.5*(($A25-'Control Room'!$A$14-('Control Room'!$B$14-1)/2)/MAX(0.5,'Control Room'!$B$14/4))^2),1)*IF(AND($A25&gt;='Control Room'!$A$15,$A25&lt;'Control Room'!$A$15+'Control Room'!$B$15,'Process'!BM4=1),1+('Control Room'!$C$15-1)*EXP(-0.5*(($A25-'Control Room'!$A$15-('Control Room'!$B$15-1)/2)/MAX(0.5,'Control Room'!$B$15/4))^2),1)*IF(AND($A25&gt;='Control Room'!$A$16,$A25&lt;'Control Room'!$A$16+'Control Room'!$B$16,'Process'!BM5=1),1+('Control Room'!$C$16-1)*EXP(-0.5*(($A25-'Control Room'!$A$16-('Control Room'!$B$16-1)/2)/MAX(0.5,'Control Room'!$B$16/4))^2),1)</x:f>
        <x:v>1</x:v>
      </x:c>
      <x:c r="Q25" s="9" t="n">
        <x:f>MOD(R24*16807,2147483647)</x:f>
        <x:v>898134108</x:v>
      </x:c>
      <x:c r="R25" s="9" t="n">
        <x:f>MOD(Q25*16807,2147483647)</x:f>
        <x:v>277398393</x:v>
      </x:c>
      <x:c r="S25" s="17" t="n">
        <x:f>IF('Control Room'!$B$5="Normal",'Control Room'!$B$7+'Control Room'!$D$7*SQRT(-2*LN(MAX(0.000000000001,Q25/2147483647)))*COS(2*PI()*R25/2147483647),'Control Room'!$B$8+('Control Room'!$D$8-'Control Room'!$B$8)*Q25/2147483647)</x:f>
        <x:v>1081.7977127892327</x:v>
      </x:c>
      <x:c r="T25" s="17" t="n">
        <x:f>IF('Control Room'!$B$5="Normal",'Control Room'!$B$7,('Control Room'!$B$8+'Control Room'!$D$8)/2)+'Control Room'!$B$9*(T24-IF('Control Room'!$B$5="Normal",'Control Room'!$B$7,('Control Room'!$B$8+'Control Room'!$D$8)/2))+SQRT(1-'Control Room'!$B$9^2)*(S25-IF('Control Room'!$B$5="Normal",'Control Room'!$B$7,('Control Room'!$B$8+'Control Room'!$D$8)/2))</x:f>
        <x:v>943.3024003792842</x:v>
      </x:c>
      <x:c r="U25" s="17" t="n">
        <x:f>IF(AND($A25&gt;='Control Room'!$A$13,$A25&lt;'Control Room'!$A$13+'Control Room'!$B$13,'Process'!BN2=1),1+('Control Room'!$C$13-1)*EXP(-0.5*(($A25-'Control Room'!$A$13-('Control Room'!$B$13-1)/2)/MAX(0.5,'Control Room'!$B$13/4))^2),1)*IF(AND($A25&gt;='Control Room'!$A$14,$A25&lt;'Control Room'!$A$14+'Control Room'!$B$14,'Process'!BN3=1),1+('Control Room'!$C$14-1)*EXP(-0.5*(($A25-'Control Room'!$A$14-('Control Room'!$B$14-1)/2)/MAX(0.5,'Control Room'!$B$14/4))^2),1)*IF(AND($A25&gt;='Control Room'!$A$15,$A25&lt;'Control Room'!$A$15+'Control Room'!$B$15,'Process'!BN4=1),1+('Control Room'!$C$15-1)*EXP(-0.5*(($A25-'Control Room'!$A$15-('Control Room'!$B$15-1)/2)/MAX(0.5,'Control Room'!$B$15/4))^2),1)*IF(AND($A25&gt;='Control Room'!$A$16,$A25&lt;'Control Room'!$A$16+'Control Room'!$B$16,'Process'!BN5=1),1+('Control Room'!$C$16-1)*EXP(-0.5*(($A25-'Control Room'!$A$16-('Control Room'!$B$16-1)/2)/MAX(0.5,'Control Room'!$B$16/4))^2),1)</x:f>
        <x:v>1</x:v>
      </x:c>
      <x:c r="V25" s="9" t="n">
        <x:f>MOD(W24*16807,2147483647)</x:f>
        <x:v>1912588270</x:v>
      </x:c>
      <x:c r="W25" s="9" t="n">
        <x:f>MOD(V25*16807,2147483647)</x:f>
        <x:v>1335825594</x:v>
      </x:c>
      <x:c r="X25" s="17" t="n">
        <x:f>IF('Control Room'!$B$5="Normal",'Control Room'!$B$7+'Control Room'!$D$7*SQRT(-2*LN(MAX(0.000000000001,V25/2147483647)))*COS(2*PI()*W25/2147483647),'Control Room'!$B$8+('Control Room'!$D$8-'Control Room'!$B$8)*V25/2147483647)</x:f>
        <x:v>968.8044053709261</x:v>
      </x:c>
      <x:c r="Y25" s="17" t="n">
        <x:f>IF('Control Room'!$B$5="Normal",'Control Room'!$B$7,('Control Room'!$B$8+'Control Room'!$D$8)/2)+'Control Room'!$B$9*(Y24-IF('Control Room'!$B$5="Normal",'Control Room'!$B$7,('Control Room'!$B$8+'Control Room'!$D$8)/2))+SQRT(1-'Control Room'!$B$9^2)*(X25-IF('Control Room'!$B$5="Normal",'Control Room'!$B$7,('Control Room'!$B$8+'Control Room'!$D$8)/2))</x:f>
        <x:v>982.6728355227999</x:v>
      </x:c>
      <x:c r="Z25" s="17" t="n">
        <x:f>IF(AND($A25&gt;='Control Room'!$A$13,$A25&lt;'Control Room'!$A$13+'Control Room'!$B$13,'Process'!BO2=1),1+('Control Room'!$C$13-1)*EXP(-0.5*(($A25-'Control Room'!$A$13-('Control Room'!$B$13-1)/2)/MAX(0.5,'Control Room'!$B$13/4))^2),1)*IF(AND($A25&gt;='Control Room'!$A$14,$A25&lt;'Control Room'!$A$14+'Control Room'!$B$14,'Process'!BO3=1),1+('Control Room'!$C$14-1)*EXP(-0.5*(($A25-'Control Room'!$A$14-('Control Room'!$B$14-1)/2)/MAX(0.5,'Control Room'!$B$14/4))^2),1)*IF(AND($A25&gt;='Control Room'!$A$15,$A25&lt;'Control Room'!$A$15+'Control Room'!$B$15,'Process'!BO4=1),1+('Control Room'!$C$15-1)*EXP(-0.5*(($A25-'Control Room'!$A$15-('Control Room'!$B$15-1)/2)/MAX(0.5,'Control Room'!$B$15/4))^2),1)*IF(AND($A25&gt;='Control Room'!$A$16,$A25&lt;'Control Room'!$A$16+'Control Room'!$B$16,'Process'!BO5=1),1+('Control Room'!$C$16-1)*EXP(-0.5*(($A25-'Control Room'!$A$16-('Control Room'!$B$16-1)/2)/MAX(0.5,'Control Room'!$B$16/4))^2),1)</x:f>
        <x:v>1</x:v>
      </x:c>
      <x:c r="AA25" s="9" t="n">
        <x:f>MOD(AB24*16807,2147483647)</x:f>
        <x:v>779558785</x:v>
      </x:c>
      <x:c r="AB25" s="9" t="n">
        <x:f>MOD(AA25*16807,2147483647)</x:f>
        <x:v>246769148</x:v>
      </x:c>
      <x:c r="AC25" s="17" t="n">
        <x:f>IF('Control Room'!$B$5="Normal",'Control Room'!$B$7+'Control Room'!$D$7*SQRT(-2*LN(MAX(0.000000000001,AA25/2147483647)))*COS(2*PI()*AB25/2147483647),'Control Room'!$B$8+('Control Room'!$D$8-'Control Room'!$B$8)*AA25/2147483647)</x:f>
        <x:v>1096.1549415168377</x:v>
      </x:c>
      <x:c r="AD25" s="17" t="n">
        <x:f>IF('Control Room'!$B$5="Normal",'Control Room'!$B$7,('Control Room'!$B$8+'Control Room'!$D$8)/2)+'Control Room'!$B$9*(AD24-IF('Control Room'!$B$5="Normal",'Control Room'!$B$7,('Control Room'!$B$8+'Control Room'!$D$8)/2))+SQRT(1-'Control Room'!$B$9^2)*(AC25-IF('Control Room'!$B$5="Normal",'Control Room'!$B$7,('Control Room'!$B$8+'Control Room'!$D$8)/2))</x:f>
        <x:v>1041.9226129055787</x:v>
      </x:c>
      <x:c r="AE25" s="17" t="n">
        <x:f>IF(AND($A25&gt;='Control Room'!$A$13,$A25&lt;'Control Room'!$A$13+'Control Room'!$B$13,'Process'!BP2=1),1+('Control Room'!$C$13-1)*EXP(-0.5*(($A25-'Control Room'!$A$13-('Control Room'!$B$13-1)/2)/MAX(0.5,'Control Room'!$B$13/4))^2),1)*IF(AND($A25&gt;='Control Room'!$A$14,$A25&lt;'Control Room'!$A$14+'Control Room'!$B$14,'Process'!BP3=1),1+('Control Room'!$C$14-1)*EXP(-0.5*(($A25-'Control Room'!$A$14-('Control Room'!$B$14-1)/2)/MAX(0.5,'Control Room'!$B$14/4))^2),1)*IF(AND($A25&gt;='Control Room'!$A$15,$A25&lt;'Control Room'!$A$15+'Control Room'!$B$15,'Process'!BP4=1),1+('Control Room'!$C$15-1)*EXP(-0.5*(($A25-'Control Room'!$A$15-('Control Room'!$B$15-1)/2)/MAX(0.5,'Control Room'!$B$15/4))^2),1)*IF(AND($A25&gt;='Control Room'!$A$16,$A25&lt;'Control Room'!$A$16+'Control Room'!$B$16,'Process'!BP5=1),1+('Control Room'!$C$16-1)*EXP(-0.5*(($A25-'Control Room'!$A$16-('Control Room'!$B$16-1)/2)/MAX(0.5,'Control Room'!$B$16/4))^2),1)</x:f>
        <x:v>1</x:v>
      </x:c>
      <x:c r="AF25" s="9" t="n">
        <x:f>MOD(AG24*16807,2147483647)</x:f>
        <x:v>1794012947</x:v>
      </x:c>
      <x:c r="AG25" s="9" t="n">
        <x:f>MOD(AF25*16807,2147483647)</x:f>
        <x:v>1305196349</x:v>
      </x:c>
      <x:c r="AH25" s="17" t="n">
        <x:f>IF('Control Room'!$B$5="Normal",'Control Room'!$B$7+'Control Room'!$D$7*SQRT(-2*LN(MAX(0.000000000001,AF25/2147483647)))*COS(2*PI()*AG25/2147483647),'Control Room'!$B$8+('Control Room'!$D$8-'Control Room'!$B$8)*AF25/2147483647)</x:f>
        <x:v>957.9345974079231</x:v>
      </x:c>
      <x:c r="AI25" s="17" t="n">
        <x:f>IF('Control Room'!$B$5="Normal",'Control Room'!$B$7,('Control Room'!$B$8+'Control Room'!$D$8)/2)+'Control Room'!$B$9*(AI24-IF('Control Room'!$B$5="Normal",'Control Room'!$B$7,('Control Room'!$B$8+'Control Room'!$D$8)/2))+SQRT(1-'Control Room'!$B$9^2)*(AH25-IF('Control Room'!$B$5="Normal",'Control Room'!$B$7,('Control Room'!$B$8+'Control Room'!$D$8)/2))</x:f>
        <x:v>979.2285063847444</x:v>
      </x:c>
      <x:c r="AJ25" s="17" t="n">
        <x:f>IF(AND($A25&gt;='Control Room'!$A$13,$A25&lt;'Control Room'!$A$13+'Control Room'!$B$13,'Process'!BQ2=1),1+('Control Room'!$C$13-1)*EXP(-0.5*(($A25-'Control Room'!$A$13-('Control Room'!$B$13-1)/2)/MAX(0.5,'Control Room'!$B$13/4))^2),1)*IF(AND($A25&gt;='Control Room'!$A$14,$A25&lt;'Control Room'!$A$14+'Control Room'!$B$14,'Process'!BQ3=1),1+('Control Room'!$C$14-1)*EXP(-0.5*(($A25-'Control Room'!$A$14-('Control Room'!$B$14-1)/2)/MAX(0.5,'Control Room'!$B$14/4))^2),1)*IF(AND($A25&gt;='Control Room'!$A$15,$A25&lt;'Control Room'!$A$15+'Control Room'!$B$15,'Process'!BQ4=1),1+('Control Room'!$C$15-1)*EXP(-0.5*(($A25-'Control Room'!$A$15-('Control Room'!$B$15-1)/2)/MAX(0.5,'Control Room'!$B$15/4))^2),1)*IF(AND($A25&gt;='Control Room'!$A$16,$A25&lt;'Control Room'!$A$16+'Control Room'!$B$16,'Process'!BQ5=1),1+('Control Room'!$C$16-1)*EXP(-0.5*(($A25-'Control Room'!$A$16-('Control Room'!$B$16-1)/2)/MAX(0.5,'Control Room'!$B$16/4))^2),1)</x:f>
        <x:v>1</x:v>
      </x:c>
      <x:c r="AK25" s="9" t="n">
        <x:f>MOD(AL24*16807,2147483647)</x:f>
        <x:v>660983462</x:v>
      </x:c>
      <x:c r="AL25" s="9" t="n">
        <x:f>MOD(AK25*16807,2147483647)</x:f>
        <x:v>216139903</x:v>
      </x:c>
      <x:c r="AM25" s="17" t="n">
        <x:f>IF('Control Room'!$B$5="Normal",'Control Room'!$B$7+'Control Room'!$D$7*SQRT(-2*LN(MAX(0.000000000001,AK25/2147483647)))*COS(2*PI()*AL25/2147483647),'Control Room'!$B$8+('Control Room'!$D$8-'Control Room'!$B$8)*AK25/2147483647)</x:f>
        <x:v>1111.4441284971879</x:v>
      </x:c>
      <x:c r="AN25" s="17" t="n">
        <x:f>IF('Control Room'!$B$5="Normal",'Control Room'!$B$7,('Control Room'!$B$8+'Control Room'!$D$8)/2)+'Control Room'!$B$9*(AN24-IF('Control Room'!$B$5="Normal",'Control Room'!$B$7,('Control Room'!$B$8+'Control Room'!$D$8)/2))+SQRT(1-'Control Room'!$B$9^2)*(AM25-IF('Control Room'!$B$5="Normal",'Control Room'!$B$7,('Control Room'!$B$8+'Control Room'!$D$8)/2))</x:f>
        <x:v>1010.7861405001078</x:v>
      </x:c>
      <x:c r="AO25" s="17" t="n">
        <x:f>IF(AND($A25&gt;='Control Room'!$A$13,$A25&lt;'Control Room'!$A$13+'Control Room'!$B$13,'Process'!BR2=1),1+('Control Room'!$C$13-1)*EXP(-0.5*(($A25-'Control Room'!$A$13-('Control Room'!$B$13-1)/2)/MAX(0.5,'Control Room'!$B$13/4))^2),1)*IF(AND($A25&gt;='Control Room'!$A$14,$A25&lt;'Control Room'!$A$14+'Control Room'!$B$14,'Process'!BR3=1),1+('Control Room'!$C$14-1)*EXP(-0.5*(($A25-'Control Room'!$A$14-('Control Room'!$B$14-1)/2)/MAX(0.5,'Control Room'!$B$14/4))^2),1)*IF(AND($A25&gt;='Control Room'!$A$15,$A25&lt;'Control Room'!$A$15+'Control Room'!$B$15,'Process'!BR4=1),1+('Control Room'!$C$15-1)*EXP(-0.5*(($A25-'Control Room'!$A$15-('Control Room'!$B$15-1)/2)/MAX(0.5,'Control Room'!$B$15/4))^2),1)*IF(AND($A25&gt;='Control Room'!$A$16,$A25&lt;'Control Room'!$A$16+'Control Room'!$B$16,'Process'!BR5=1),1+('Control Room'!$C$16-1)*EXP(-0.5*(($A25-'Control Room'!$A$16-('Control Room'!$B$16-1)/2)/MAX(0.5,'Control Room'!$B$16/4))^2),1)</x:f>
        <x:v>1</x:v>
      </x:c>
      <x:c r="AP25" s="9" t="n">
        <x:f>MOD(AQ24*16807,2147483647)</x:f>
        <x:v>1675437624</x:v>
      </x:c>
      <x:c r="AQ25" s="9" t="n">
        <x:f>MOD(AP25*16807,2147483647)</x:f>
        <x:v>1274567104</x:v>
      </x:c>
      <x:c r="AR25" s="17" t="n">
        <x:f>IF('Control Room'!$B$5="Normal",'Control Room'!$B$7+'Control Room'!$D$7*SQRT(-2*LN(MAX(0.000000000001,AP25/2147483647)))*COS(2*PI()*AQ25/2147483647),'Control Room'!$B$8+('Control Room'!$D$8-'Control Room'!$B$8)*AP25/2147483647)</x:f>
        <x:v>947.2224413877166</x:v>
      </x:c>
      <x:c r="AS25" s="17" t="n">
        <x:f>IF('Control Room'!$B$5="Normal",'Control Room'!$B$7,('Control Room'!$B$8+'Control Room'!$D$8)/2)+'Control Room'!$B$9*(AS24-IF('Control Room'!$B$5="Normal",'Control Room'!$B$7,('Control Room'!$B$8+'Control Room'!$D$8)/2))+SQRT(1-'Control Room'!$B$9^2)*(AR25-IF('Control Room'!$B$5="Normal",'Control Room'!$B$7,('Control Room'!$B$8+'Control Room'!$D$8)/2))</x:f>
        <x:v>1036.5868877991795</x:v>
      </x:c>
      <x:c r="AT25" s="17" t="n">
        <x:f>IF(AND($A25&gt;='Control Room'!$A$13,$A25&lt;'Control Room'!$A$13+'Control Room'!$B$13,'Process'!BS2=1),1+('Control Room'!$C$13-1)*EXP(-0.5*(($A25-'Control Room'!$A$13-('Control Room'!$B$13-1)/2)/MAX(0.5,'Control Room'!$B$13/4))^2),1)*IF(AND($A25&gt;='Control Room'!$A$14,$A25&lt;'Control Room'!$A$14+'Control Room'!$B$14,'Process'!BS3=1),1+('Control Room'!$C$14-1)*EXP(-0.5*(($A25-'Control Room'!$A$14-('Control Room'!$B$14-1)/2)/MAX(0.5,'Control Room'!$B$14/4))^2),1)*IF(AND($A25&gt;='Control Room'!$A$15,$A25&lt;'Control Room'!$A$15+'Control Room'!$B$15,'Process'!BS4=1),1+('Control Room'!$C$15-1)*EXP(-0.5*(($A25-'Control Room'!$A$15-('Control Room'!$B$15-1)/2)/MAX(0.5,'Control Room'!$B$15/4))^2),1)*IF(AND($A25&gt;='Control Room'!$A$16,$A25&lt;'Control Room'!$A$16+'Control Room'!$B$16,'Process'!BS5=1),1+('Control Room'!$C$16-1)*EXP(-0.5*(($A25-'Control Room'!$A$16-('Control Room'!$B$16-1)/2)/MAX(0.5,'Control Room'!$B$16/4))^2),1)</x:f>
        <x:v>1</x:v>
      </x:c>
      <x:c r="AU25" s="9" t="n">
        <x:f>MOD(AV24*16807,2147483647)</x:f>
        <x:v>542408139</x:v>
      </x:c>
      <x:c r="AV25" s="9" t="n">
        <x:f>MOD(AU25*16807,2147483647)</x:f>
        <x:v>185510658</x:v>
      </x:c>
      <x:c r="AW25" s="17" t="n">
        <x:f>IF('Control Room'!$B$5="Normal",'Control Room'!$B$7+'Control Room'!$D$7*SQRT(-2*LN(MAX(0.000000000001,AU25/2147483647)))*COS(2*PI()*AV25/2147483647),'Control Room'!$B$8+('Control Room'!$D$8-'Control Room'!$B$8)*AU25/2147483647)</x:f>
        <x:v>1127.846078978918</x:v>
      </x:c>
      <x:c r="AX25" s="17" t="n">
        <x:f>IF('Control Room'!$B$5="Normal",'Control Room'!$B$7,('Control Room'!$B$8+'Control Room'!$D$8)/2)+'Control Room'!$B$9*(AX24-IF('Control Room'!$B$5="Normal",'Control Room'!$B$7,('Control Room'!$B$8+'Control Room'!$D$8)/2))+SQRT(1-'Control Room'!$B$9^2)*(AW25-IF('Control Room'!$B$5="Normal",'Control Room'!$B$7,('Control Room'!$B$8+'Control Room'!$D$8)/2))</x:f>
        <x:v>1094.3899062959372</x:v>
      </x:c>
      <x:c r="AY25" s="17" t="n">
        <x:f>IF(AND($A25&gt;='Control Room'!$A$13,$A25&lt;'Control Room'!$A$13+'Control Room'!$B$13,'Process'!BT2=1),1+('Control Room'!$C$13-1)*EXP(-0.5*(($A25-'Control Room'!$A$13-('Control Room'!$B$13-1)/2)/MAX(0.5,'Control Room'!$B$13/4))^2),1)*IF(AND($A25&gt;='Control Room'!$A$14,$A25&lt;'Control Room'!$A$14+'Control Room'!$B$14,'Process'!BT3=1),1+('Control Room'!$C$14-1)*EXP(-0.5*(($A25-'Control Room'!$A$14-('Control Room'!$B$14-1)/2)/MAX(0.5,'Control Room'!$B$14/4))^2),1)*IF(AND($A25&gt;='Control Room'!$A$15,$A25&lt;'Control Room'!$A$15+'Control Room'!$B$15,'Process'!BT4=1),1+('Control Room'!$C$15-1)*EXP(-0.5*(($A25-'Control Room'!$A$15-('Control Room'!$B$15-1)/2)/MAX(0.5,'Control Room'!$B$15/4))^2),1)*IF(AND($A25&gt;='Control Room'!$A$16,$A25&lt;'Control Room'!$A$16+'Control Room'!$B$16,'Process'!BT5=1),1+('Control Room'!$C$16-1)*EXP(-0.5*(($A25-'Control Room'!$A$16-('Control Room'!$B$16-1)/2)/MAX(0.5,'Control Room'!$B$16/4))^2),1)</x:f>
        <x:v>1</x:v>
      </x:c>
      <x:c r="AZ25" s="9" t="n">
        <x:f>MOD(BA24*16807,2147483647)</x:f>
        <x:v>1556862301</x:v>
      </x:c>
      <x:c r="BA25" s="9" t="n">
        <x:f>MOD(AZ25*16807,2147483647)</x:f>
        <x:v>1243937859</x:v>
      </x:c>
      <x:c r="BB25" s="17" t="n">
        <x:f>IF('Control Room'!$B$5="Normal",'Control Room'!$B$7+'Control Room'!$D$7*SQRT(-2*LN(MAX(0.000000000001,AZ25/2147483647)))*COS(2*PI()*BA25/2147483647),'Control Room'!$B$8+('Control Room'!$D$8-'Control Room'!$B$8)*AZ25/2147483647)</x:f>
        <x:v>936.5836260004971</x:v>
      </x:c>
      <x:c r="BC25" s="17" t="n">
        <x:f>IF('Control Room'!$B$5="Normal",'Control Room'!$B$7,('Control Room'!$B$8+'Control Room'!$D$8)/2)+'Control Room'!$B$9*(BC24-IF('Control Room'!$B$5="Normal",'Control Room'!$B$7,('Control Room'!$B$8+'Control Room'!$D$8)/2))+SQRT(1-'Control Room'!$B$9^2)*(BB25-IF('Control Room'!$B$5="Normal",'Control Room'!$B$7,('Control Room'!$B$8+'Control Room'!$D$8)/2))</x:f>
        <x:v>905.3822511013426</x:v>
      </x:c>
      <x:c r="BD25" s="17" t="n">
        <x:f>IF(AND($A25&gt;='Control Room'!$A$13,$A25&lt;'Control Room'!$A$13+'Control Room'!$B$13,'Process'!BU2=1),1+('Control Room'!$C$13-1)*EXP(-0.5*(($A25-'Control Room'!$A$13-('Control Room'!$B$13-1)/2)/MAX(0.5,'Control Room'!$B$13/4))^2),1)*IF(AND($A25&gt;='Control Room'!$A$14,$A25&lt;'Control Room'!$A$14+'Control Room'!$B$14,'Process'!BU3=1),1+('Control Room'!$C$14-1)*EXP(-0.5*(($A25-'Control Room'!$A$14-('Control Room'!$B$14-1)/2)/MAX(0.5,'Control Room'!$B$14/4))^2),1)*IF(AND($A25&gt;='Control Room'!$A$15,$A25&lt;'Control Room'!$A$15+'Control Room'!$B$15,'Process'!BU4=1),1+('Control Room'!$C$15-1)*EXP(-0.5*(($A25-'Control Room'!$A$15-('Control Room'!$B$15-1)/2)/MAX(0.5,'Control Room'!$B$15/4))^2),1)*IF(AND($A25&gt;='Control Room'!$A$16,$A25&lt;'Control Room'!$A$16+'Control Room'!$B$16,'Process'!BU5=1),1+('Control Room'!$C$16-1)*EXP(-0.5*(($A25-'Control Room'!$A$16-('Control Room'!$B$16-1)/2)/MAX(0.5,'Control Room'!$B$16/4))^2),1)</x:f>
        <x:v>1</x:v>
      </x:c>
      <x:c r="BE25" s="9" t="n">
        <x:f>MOD(BF24*16807,2147483647)</x:f>
        <x:v>423832816</x:v>
      </x:c>
      <x:c r="BF25" s="9" t="n">
        <x:f>MOD(BE25*16807,2147483647)</x:f>
        <x:v>154881413</x:v>
      </x:c>
      <x:c r="BG25" s="17" t="n">
        <x:f>IF('Control Room'!$B$5="Normal",'Control Room'!$B$7+'Control Room'!$D$7*SQRT(-2*LN(MAX(0.000000000001,BE25/2147483647)))*COS(2*PI()*BF25/2147483647),'Control Room'!$B$8+('Control Room'!$D$8-'Control Room'!$B$8)*BE25/2147483647)</x:f>
        <x:v>1145.7711086282566</x:v>
      </x:c>
      <x:c r="BH25" s="17" t="n">
        <x:f>IF('Control Room'!$B$5="Normal",'Control Room'!$B$7,('Control Room'!$B$8+'Control Room'!$D$8)/2)+'Control Room'!$B$9*(BH24-IF('Control Room'!$B$5="Normal",'Control Room'!$B$7,('Control Room'!$B$8+'Control Room'!$D$8)/2))+SQRT(1-'Control Room'!$B$9^2)*(BG25-IF('Control Room'!$B$5="Normal",'Control Room'!$B$7,('Control Room'!$B$8+'Control Room'!$D$8)/2))</x:f>
        <x:v>1187.6635514415316</x:v>
      </x:c>
      <x:c r="BI25" s="17" t="n">
        <x:f>IF(AND($A25&gt;='Control Room'!$A$13,$A25&lt;'Control Room'!$A$13+'Control Room'!$B$13,'Process'!BV2=1),1+('Control Room'!$C$13-1)*EXP(-0.5*(($A25-'Control Room'!$A$13-('Control Room'!$B$13-1)/2)/MAX(0.5,'Control Room'!$B$13/4))^2),1)*IF(AND($A25&gt;='Control Room'!$A$14,$A25&lt;'Control Room'!$A$14+'Control Room'!$B$14,'Process'!BV3=1),1+('Control Room'!$C$14-1)*EXP(-0.5*(($A25-'Control Room'!$A$14-('Control Room'!$B$14-1)/2)/MAX(0.5,'Control Room'!$B$14/4))^2),1)*IF(AND($A25&gt;='Control Room'!$A$15,$A25&lt;'Control Room'!$A$15+'Control Room'!$B$15,'Process'!BV4=1),1+('Control Room'!$C$15-1)*EXP(-0.5*(($A25-'Control Room'!$A$15-('Control Room'!$B$15-1)/2)/MAX(0.5,'Control Room'!$B$15/4))^2),1)*IF(AND($A25&gt;='Control Room'!$A$16,$A25&lt;'Control Room'!$A$16+'Control Room'!$B$16,'Process'!BV5=1),1+('Control Room'!$C$16-1)*EXP(-0.5*(($A25-'Control Room'!$A$16-('Control Room'!$B$16-1)/2)/MAX(0.5,'Control Room'!$B$16/4))^2),1)</x:f>
        <x:v>1</x:v>
      </x:c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Z25" t="str">
        <x:f>IF('Data'!A25="","",TEXT('Data'!A25,"mm-dd"))</x:f>
        <x:v>11-25</x:v>
      </x:c>
    </x:row>
    <x:row r="26" ht="21" customHeight="1">
      <x:c r="A26" s="15" t="n">
        <x:f>'Control Room'!$B$1+24</x:f>
        <x:v>73015</x:v>
      </x:c>
      <x:c r="B26" s="9" t="n">
        <x:f>MOD(C25*16807,2147483647)</x:f>
        <x:v>206003490</x:v>
      </x:c>
      <x:c r="C26" s="9" t="n">
        <x:f>MOD(B26*16807,2147483647)</x:f>
        <x:v>557017466</x:v>
      </x:c>
      <x:c r="D26" s="17" t="n">
        <x:f>IF('Control Room'!$B$5="Normal",'Control Room'!$B$7+'Control Room'!$D$7*SQRT(-2*LN(MAX(0.000000000001,B26/2147483647)))*COS(2*PI()*C26/2147483647),'Control Room'!$B$8+('Control Room'!$D$8-'Control Room'!$B$8)*B26/2147483647)</x:f>
        <x:v>988.5197779849075</x:v>
      </x:c>
      <x:c r="E26" s="17" t="n">
        <x:f>IF('Control Room'!$B$5="Normal",'Control Room'!$B$7,('Control Room'!$B$8+'Control Room'!$D$8)/2)+'Control Room'!$B$9*(E25-IF('Control Room'!$B$5="Normal",'Control Room'!$B$7,('Control Room'!$B$8+'Control Room'!$D$8)/2))+SQRT(1-'Control Room'!$B$9^2)*(D26-IF('Control Room'!$B$5="Normal",'Control Room'!$B$7,('Control Room'!$B$8+'Control Room'!$D$8)/2))</x:f>
        <x:v>875.4499530886067</x:v>
      </x:c>
      <x:c r="F26" s="17" t="n">
        <x:f>IF(AND($A26&gt;='Control Room'!$A$13,$A26&lt;'Control Room'!$A$13+'Control Room'!$B$13,'Process'!BK2=1),1+('Control Room'!$C$13-1)*EXP(-0.5*(($A26-'Control Room'!$A$13-('Control Room'!$B$13-1)/2)/MAX(0.5,'Control Room'!$B$13/4))^2),1)*IF(AND($A26&gt;='Control Room'!$A$14,$A26&lt;'Control Room'!$A$14+'Control Room'!$B$14,'Process'!BK3=1),1+('Control Room'!$C$14-1)*EXP(-0.5*(($A26-'Control Room'!$A$14-('Control Room'!$B$14-1)/2)/MAX(0.5,'Control Room'!$B$14/4))^2),1)*IF(AND($A26&gt;='Control Room'!$A$15,$A26&lt;'Control Room'!$A$15+'Control Room'!$B$15,'Process'!BK4=1),1+('Control Room'!$C$15-1)*EXP(-0.5*(($A26-'Control Room'!$A$15-('Control Room'!$B$15-1)/2)/MAX(0.5,'Control Room'!$B$15/4))^2),1)*IF(AND($A26&gt;='Control Room'!$A$16,$A26&lt;'Control Room'!$A$16+'Control Room'!$B$16,'Process'!BK5=1),1+('Control Room'!$C$16-1)*EXP(-0.5*(($A26-'Control Room'!$A$16-('Control Room'!$B$16-1)/2)/MAX(0.5,'Control Room'!$B$16/4))^2),1)</x:f>
        <x:v>1</x:v>
      </x:c>
      <x:c r="G26" s="9" t="n">
        <x:f>MOD(H25*16807,2147483647)</x:f>
        <x:v>1584922596</x:v>
      </x:c>
      <x:c r="H26" s="9" t="n">
        <x:f>MOD(G26*16807,2147483647)</x:f>
        <x:v>406913584</x:v>
      </x:c>
      <x:c r="I26" s="17" t="n">
        <x:f>IF('Control Room'!$B$5="Normal",'Control Room'!$B$7+'Control Room'!$D$7*SQRT(-2*LN(MAX(0.000000000001,G26/2147483647)))*COS(2*PI()*H26/2147483647),'Control Room'!$B$8+('Control Room'!$D$8-'Control Room'!$B$8)*G26/2147483647)</x:f>
        <x:v>1026.035063140051</x:v>
      </x:c>
      <x:c r="J26" s="17" t="n">
        <x:f>IF('Control Room'!$B$5="Normal",'Control Room'!$B$7,('Control Room'!$B$8+'Control Room'!$D$8)/2)+'Control Room'!$B$9*(J25-IF('Control Room'!$B$5="Normal",'Control Room'!$B$7,('Control Room'!$B$8+'Control Room'!$D$8)/2))+SQRT(1-'Control Room'!$B$9^2)*(I26-IF('Control Room'!$B$5="Normal",'Control Room'!$B$7,('Control Room'!$B$8+'Control Room'!$D$8)/2))</x:f>
        <x:v>1053.163687599657</x:v>
      </x:c>
      <x:c r="K26" s="17" t="n">
        <x:f>IF(AND($A26&gt;='Control Room'!$A$13,$A26&lt;'Control Room'!$A$13+'Control Room'!$B$13,'Process'!BL2=1),1+('Control Room'!$C$13-1)*EXP(-0.5*(($A26-'Control Room'!$A$13-('Control Room'!$B$13-1)/2)/MAX(0.5,'Control Room'!$B$13/4))^2),1)*IF(AND($A26&gt;='Control Room'!$A$14,$A26&lt;'Control Room'!$A$14+'Control Room'!$B$14,'Process'!BL3=1),1+('Control Room'!$C$14-1)*EXP(-0.5*(($A26-'Control Room'!$A$14-('Control Room'!$B$14-1)/2)/MAX(0.5,'Control Room'!$B$14/4))^2),1)*IF(AND($A26&gt;='Control Room'!$A$15,$A26&lt;'Control Room'!$A$15+'Control Room'!$B$15,'Process'!BL4=1),1+('Control Room'!$C$15-1)*EXP(-0.5*(($A26-'Control Room'!$A$15-('Control Room'!$B$15-1)/2)/MAX(0.5,'Control Room'!$B$15/4))^2),1)*IF(AND($A26&gt;='Control Room'!$A$16,$A26&lt;'Control Room'!$A$16+'Control Room'!$B$16,'Process'!BL5=1),1+('Control Room'!$C$16-1)*EXP(-0.5*(($A26-'Control Room'!$A$16-('Control Room'!$B$16-1)/2)/MAX(0.5,'Control Room'!$B$16/4))^2),1)</x:f>
        <x:v>1</x:v>
      </x:c>
      <x:c r="L26" s="9" t="n">
        <x:f>MOD(M25*16807,2147483647)</x:f>
        <x:v>816358055</x:v>
      </x:c>
      <x:c r="M26" s="9" t="n">
        <x:f>MOD(L26*16807,2147483647)</x:f>
        <x:v>256809702</x:v>
      </x:c>
      <x:c r="N26" s="17" t="n">
        <x:f>IF('Control Room'!$B$5="Normal",'Control Room'!$B$7+'Control Room'!$D$7*SQRT(-2*LN(MAX(0.000000000001,L26/2147483647)))*COS(2*PI()*M26/2147483647),'Control Room'!$B$8+('Control Room'!$D$8-'Control Room'!$B$8)*L26/2147483647)</x:f>
        <x:v>1091.4705953789446</x:v>
      </x:c>
      <x:c r="O26" s="17" t="n">
        <x:f>IF('Control Room'!$B$5="Normal",'Control Room'!$B$7,('Control Room'!$B$8+'Control Room'!$D$8)/2)+'Control Room'!$B$9*(O25-IF('Control Room'!$B$5="Normal",'Control Room'!$B$7,('Control Room'!$B$8+'Control Room'!$D$8)/2))+SQRT(1-'Control Room'!$B$9^2)*(N26-IF('Control Room'!$B$5="Normal",'Control Room'!$B$7,('Control Room'!$B$8+'Control Room'!$D$8)/2))</x:f>
        <x:v>1153.8869617960897</x:v>
      </x:c>
      <x:c r="P26" s="17" t="n">
        <x:f>IF(AND($A26&gt;='Control Room'!$A$13,$A26&lt;'Control Room'!$A$13+'Control Room'!$B$13,'Process'!BM2=1),1+('Control Room'!$C$13-1)*EXP(-0.5*(($A26-'Control Room'!$A$13-('Control Room'!$B$13-1)/2)/MAX(0.5,'Control Room'!$B$13/4))^2),1)*IF(AND($A26&gt;='Control Room'!$A$14,$A26&lt;'Control Room'!$A$14+'Control Room'!$B$14,'Process'!BM3=1),1+('Control Room'!$C$14-1)*EXP(-0.5*(($A26-'Control Room'!$A$14-('Control Room'!$B$14-1)/2)/MAX(0.5,'Control Room'!$B$14/4))^2),1)*IF(AND($A26&gt;='Control Room'!$A$15,$A26&lt;'Control Room'!$A$15+'Control Room'!$B$15,'Process'!BM4=1),1+('Control Room'!$C$15-1)*EXP(-0.5*(($A26-'Control Room'!$A$15-('Control Room'!$B$15-1)/2)/MAX(0.5,'Control Room'!$B$15/4))^2),1)*IF(AND($A26&gt;='Control Room'!$A$16,$A26&lt;'Control Room'!$A$16+'Control Room'!$B$16,'Process'!BM5=1),1+('Control Room'!$C$16-1)*EXP(-0.5*(($A26-'Control Room'!$A$16-('Control Room'!$B$16-1)/2)/MAX(0.5,'Control Room'!$B$16/4))^2),1)</x:f>
        <x:v>1</x:v>
      </x:c>
      <x:c r="Q26" s="9" t="n">
        <x:f>MOD(R25*16807,2147483647)</x:f>
        <x:v>47793514</x:v>
      </x:c>
      <x:c r="R26" s="9" t="n">
        <x:f>MOD(Q26*16807,2147483647)</x:f>
        <x:v>106705820</x:v>
      </x:c>
      <x:c r="S26" s="17" t="n">
        <x:f>IF('Control Room'!$B$5="Normal",'Control Room'!$B$7+'Control Room'!$D$7*SQRT(-2*LN(MAX(0.000000000001,Q26/2147483647)))*COS(2*PI()*R26/2147483647),'Control Room'!$B$8+('Control Room'!$D$8-'Control Room'!$B$8)*Q26/2147483647)</x:f>
        <x:v>1236.279172502603</x:v>
      </x:c>
      <x:c r="T26" s="17" t="n">
        <x:f>IF('Control Room'!$B$5="Normal",'Control Room'!$B$7,('Control Room'!$B$8+'Control Room'!$D$8)/2)+'Control Room'!$B$9*(T25-IF('Control Room'!$B$5="Normal",'Control Room'!$B$7,('Control Room'!$B$8+'Control Room'!$D$8)/2))+SQRT(1-'Control Room'!$B$9^2)*(S26-IF('Control Room'!$B$5="Normal",'Control Room'!$B$7,('Control Room'!$B$8+'Control Room'!$D$8)/2))</x:f>
        <x:v>1103.6345380060204</x:v>
      </x:c>
      <x:c r="U26" s="17" t="n">
        <x:f>IF(AND($A26&gt;='Control Room'!$A$13,$A26&lt;'Control Room'!$A$13+'Control Room'!$B$13,'Process'!BN2=1),1+('Control Room'!$C$13-1)*EXP(-0.5*(($A26-'Control Room'!$A$13-('Control Room'!$B$13-1)/2)/MAX(0.5,'Control Room'!$B$13/4))^2),1)*IF(AND($A26&gt;='Control Room'!$A$14,$A26&lt;'Control Room'!$A$14+'Control Room'!$B$14,'Process'!BN3=1),1+('Control Room'!$C$14-1)*EXP(-0.5*(($A26-'Control Room'!$A$14-('Control Room'!$B$14-1)/2)/MAX(0.5,'Control Room'!$B$14/4))^2),1)*IF(AND($A26&gt;='Control Room'!$A$15,$A26&lt;'Control Room'!$A$15+'Control Room'!$B$15,'Process'!BN4=1),1+('Control Room'!$C$15-1)*EXP(-0.5*(($A26-'Control Room'!$A$15-('Control Room'!$B$15-1)/2)/MAX(0.5,'Control Room'!$B$15/4))^2),1)*IF(AND($A26&gt;='Control Room'!$A$16,$A26&lt;'Control Room'!$A$16+'Control Room'!$B$16,'Process'!BN5=1),1+('Control Room'!$C$16-1)*EXP(-0.5*(($A26-'Control Room'!$A$16-('Control Room'!$B$16-1)/2)/MAX(0.5,'Control Room'!$B$16/4))^2),1)</x:f>
        <x:v>1</x:v>
      </x:c>
      <x:c r="V26" s="9" t="n">
        <x:f>MOD(W25*16807,2147483647)</x:f>
        <x:v>1426712620</x:v>
      </x:c>
      <x:c r="W26" s="9" t="n">
        <x:f>MOD(V26*16807,2147483647)</x:f>
        <x:v>2104085585</x:v>
      </x:c>
      <x:c r="X26" s="17" t="n">
        <x:f>IF('Control Room'!$B$5="Normal",'Control Room'!$B$7+'Control Room'!$D$7*SQRT(-2*LN(MAX(0.000000000001,V26/2147483647)))*COS(2*PI()*W26/2147483647),'Control Room'!$B$8+('Control Room'!$D$8-'Control Room'!$B$8)*V26/2147483647)</x:f>
        <x:v>1080.7361889350036</x:v>
      </x:c>
      <x:c r="Y26" s="17" t="n">
        <x:f>IF('Control Room'!$B$5="Normal",'Control Room'!$B$7,('Control Room'!$B$8+'Control Room'!$D$8)/2)+'Control Room'!$B$9*(Y25-IF('Control Room'!$B$5="Normal",'Control Room'!$B$7,('Control Room'!$B$8+'Control Room'!$D$8)/2))+SQRT(1-'Control Room'!$B$9^2)*(X26-IF('Control Room'!$B$5="Normal",'Control Room'!$B$7,('Control Room'!$B$8+'Control Room'!$D$8)/2))</x:f>
        <x:v>1037.0078647725775</x:v>
      </x:c>
      <x:c r="Z26" s="17" t="n">
        <x:f>IF(AND($A26&gt;='Control Room'!$A$13,$A26&lt;'Control Room'!$A$13+'Control Room'!$B$13,'Process'!BO2=1),1+('Control Room'!$C$13-1)*EXP(-0.5*(($A26-'Control Room'!$A$13-('Control Room'!$B$13-1)/2)/MAX(0.5,'Control Room'!$B$13/4))^2),1)*IF(AND($A26&gt;='Control Room'!$A$14,$A26&lt;'Control Room'!$A$14+'Control Room'!$B$14,'Process'!BO3=1),1+('Control Room'!$C$14-1)*EXP(-0.5*(($A26-'Control Room'!$A$14-('Control Room'!$B$14-1)/2)/MAX(0.5,'Control Room'!$B$14/4))^2),1)*IF(AND($A26&gt;='Control Room'!$A$15,$A26&lt;'Control Room'!$A$15+'Control Room'!$B$15,'Process'!BO4=1),1+('Control Room'!$C$15-1)*EXP(-0.5*(($A26-'Control Room'!$A$15-('Control Room'!$B$15-1)/2)/MAX(0.5,'Control Room'!$B$15/4))^2),1)*IF(AND($A26&gt;='Control Room'!$A$16,$A26&lt;'Control Room'!$A$16+'Control Room'!$B$16,'Process'!BO5=1),1+('Control Room'!$C$16-1)*EXP(-0.5*(($A26-'Control Room'!$A$16-('Control Room'!$B$16-1)/2)/MAX(0.5,'Control Room'!$B$16/4))^2),1)</x:f>
        <x:v>1</x:v>
      </x:c>
      <x:c r="AA26" s="9" t="n">
        <x:f>MOD(AB25*16807,2147483647)</x:f>
        <x:v>658148079</x:v>
      </x:c>
      <x:c r="AB26" s="9" t="n">
        <x:f>MOD(AA26*16807,2147483647)</x:f>
        <x:v>1953981703</x:v>
      </x:c>
      <x:c r="AC26" s="17" t="n">
        <x:f>IF('Control Room'!$B$5="Normal",'Control Room'!$B$7+'Control Room'!$D$7*SQRT(-2*LN(MAX(0.000000000001,AA26/2147483647)))*COS(2*PI()*AB26/2147483647),'Control Room'!$B$8+('Control Room'!$D$8-'Control Room'!$B$8)*AA26/2147483647)</x:f>
        <x:v>1116.817343164324</x:v>
      </x:c>
      <x:c r="AD26" s="17" t="n">
        <x:f>IF('Control Room'!$B$5="Normal",'Control Room'!$B$7,('Control Room'!$B$8+'Control Room'!$D$8)/2)+'Control Room'!$B$9*(AD25-IF('Control Room'!$B$5="Normal",'Control Room'!$B$7,('Control Room'!$B$8+'Control Room'!$D$8)/2))+SQRT(1-'Control Room'!$B$9^2)*(AC26-IF('Control Room'!$B$5="Normal",'Control Room'!$B$7,('Control Room'!$B$8+'Control Room'!$D$8)/2))</x:f>
        <x:v>1105.8015382852323</x:v>
      </x:c>
      <x:c r="AE26" s="17" t="n">
        <x:f>IF(AND($A26&gt;='Control Room'!$A$13,$A26&lt;'Control Room'!$A$13+'Control Room'!$B$13,'Process'!BP2=1),1+('Control Room'!$C$13-1)*EXP(-0.5*(($A26-'Control Room'!$A$13-('Control Room'!$B$13-1)/2)/MAX(0.5,'Control Room'!$B$13/4))^2),1)*IF(AND($A26&gt;='Control Room'!$A$14,$A26&lt;'Control Room'!$A$14+'Control Room'!$B$14,'Process'!BP3=1),1+('Control Room'!$C$14-1)*EXP(-0.5*(($A26-'Control Room'!$A$14-('Control Room'!$B$14-1)/2)/MAX(0.5,'Control Room'!$B$14/4))^2),1)*IF(AND($A26&gt;='Control Room'!$A$15,$A26&lt;'Control Room'!$A$15+'Control Room'!$B$15,'Process'!BP4=1),1+('Control Room'!$C$15-1)*EXP(-0.5*(($A26-'Control Room'!$A$15-('Control Room'!$B$15-1)/2)/MAX(0.5,'Control Room'!$B$15/4))^2),1)*IF(AND($A26&gt;='Control Room'!$A$16,$A26&lt;'Control Room'!$A$16+'Control Room'!$B$16,'Process'!BP5=1),1+('Control Room'!$C$16-1)*EXP(-0.5*(($A26-'Control Room'!$A$16-('Control Room'!$B$16-1)/2)/MAX(0.5,'Control Room'!$B$16/4))^2),1)</x:f>
        <x:v>1</x:v>
      </x:c>
      <x:c r="AF26" s="9" t="n">
        <x:f>MOD(AG25*16807,2147483647)</x:f>
        <x:v>2037067185</x:v>
      </x:c>
      <x:c r="AG26" s="9" t="n">
        <x:f>MOD(AF26*16807,2147483647)</x:f>
        <x:v>1803877821</x:v>
      </x:c>
      <x:c r="AH26" s="17" t="n">
        <x:f>IF('Control Room'!$B$5="Normal",'Control Room'!$B$7+'Control Room'!$D$7*SQRT(-2*LN(MAX(0.000000000001,AF26/2147483647)))*COS(2*PI()*AG26/2147483647),'Control Room'!$B$8+('Control Room'!$D$8-'Control Room'!$B$8)*AF26/2147483647)</x:f>
        <x:v>1015.668337932555</x:v>
      </x:c>
      <x:c r="AI26" s="17" t="n">
        <x:f>IF('Control Room'!$B$5="Normal",'Control Room'!$B$7,('Control Room'!$B$8+'Control Room'!$D$8)/2)+'Control Room'!$B$9*(AI25-IF('Control Room'!$B$5="Normal",'Control Room'!$B$7,('Control Room'!$B$8+'Control Room'!$D$8)/2))+SQRT(1-'Control Room'!$B$9^2)*(AH26-IF('Control Room'!$B$5="Normal",'Control Room'!$B$7,('Control Room'!$B$8+'Control Room'!$D$8)/2))</x:f>
        <x:v>993.6031598749439</x:v>
      </x:c>
      <x:c r="AJ26" s="17" t="n">
        <x:f>IF(AND($A26&gt;='Control Room'!$A$13,$A26&lt;'Control Room'!$A$13+'Control Room'!$B$13,'Process'!BQ2=1),1+('Control Room'!$C$13-1)*EXP(-0.5*(($A26-'Control Room'!$A$13-('Control Room'!$B$13-1)/2)/MAX(0.5,'Control Room'!$B$13/4))^2),1)*IF(AND($A26&gt;='Control Room'!$A$14,$A26&lt;'Control Room'!$A$14+'Control Room'!$B$14,'Process'!BQ3=1),1+('Control Room'!$C$14-1)*EXP(-0.5*(($A26-'Control Room'!$A$14-('Control Room'!$B$14-1)/2)/MAX(0.5,'Control Room'!$B$14/4))^2),1)*IF(AND($A26&gt;='Control Room'!$A$15,$A26&lt;'Control Room'!$A$15+'Control Room'!$B$15,'Process'!BQ4=1),1+('Control Room'!$C$15-1)*EXP(-0.5*(($A26-'Control Room'!$A$15-('Control Room'!$B$15-1)/2)/MAX(0.5,'Control Room'!$B$15/4))^2),1)*IF(AND($A26&gt;='Control Room'!$A$16,$A26&lt;'Control Room'!$A$16+'Control Room'!$B$16,'Process'!BQ5=1),1+('Control Room'!$C$16-1)*EXP(-0.5*(($A26-'Control Room'!$A$16-('Control Room'!$B$16-1)/2)/MAX(0.5,'Control Room'!$B$16/4))^2),1)</x:f>
        <x:v>1</x:v>
      </x:c>
      <x:c r="AK26" s="9" t="n">
        <x:f>MOD(AL25*16807,2147483647)</x:f>
        <x:v>1268502644</x:v>
      </x:c>
      <x:c r="AL26" s="9" t="n">
        <x:f>MOD(AK26*16807,2147483647)</x:f>
        <x:v>1653773939</x:v>
      </x:c>
      <x:c r="AM26" s="17" t="n">
        <x:f>IF('Control Room'!$B$5="Normal",'Control Room'!$B$7+'Control Room'!$D$7*SQRT(-2*LN(MAX(0.000000000001,AK26/2147483647)))*COS(2*PI()*AL26/2147483647),'Control Room'!$B$8+('Control Room'!$D$8-'Control Room'!$B$8)*AK26/2147483647)</x:f>
        <x:v>1011.6313106554275</x:v>
      </x:c>
      <x:c r="AN26" s="17" t="n">
        <x:f>IF('Control Room'!$B$5="Normal",'Control Room'!$B$7,('Control Room'!$B$8+'Control Room'!$D$8)/2)+'Control Room'!$B$9*(AN25-IF('Control Room'!$B$5="Normal",'Control Room'!$B$7,('Control Room'!$B$8+'Control Room'!$D$8)/2))+SQRT(1-'Control Room'!$B$9^2)*(AM26-IF('Control Room'!$B$5="Normal",'Control Room'!$B$7,('Control Room'!$B$8+'Control Room'!$D$8)/2))</x:f>
        <x:v>1015.6918255179</x:v>
      </x:c>
      <x:c r="AO26" s="17" t="n">
        <x:f>IF(AND($A26&gt;='Control Room'!$A$13,$A26&lt;'Control Room'!$A$13+'Control Room'!$B$13,'Process'!BR2=1),1+('Control Room'!$C$13-1)*EXP(-0.5*(($A26-'Control Room'!$A$13-('Control Room'!$B$13-1)/2)/MAX(0.5,'Control Room'!$B$13/4))^2),1)*IF(AND($A26&gt;='Control Room'!$A$14,$A26&lt;'Control Room'!$A$14+'Control Room'!$B$14,'Process'!BR3=1),1+('Control Room'!$C$14-1)*EXP(-0.5*(($A26-'Control Room'!$A$14-('Control Room'!$B$14-1)/2)/MAX(0.5,'Control Room'!$B$14/4))^2),1)*IF(AND($A26&gt;='Control Room'!$A$15,$A26&lt;'Control Room'!$A$15+'Control Room'!$B$15,'Process'!BR4=1),1+('Control Room'!$C$15-1)*EXP(-0.5*(($A26-'Control Room'!$A$15-('Control Room'!$B$15-1)/2)/MAX(0.5,'Control Room'!$B$15/4))^2),1)*IF(AND($A26&gt;='Control Room'!$A$16,$A26&lt;'Control Room'!$A$16+'Control Room'!$B$16,'Process'!BR5=1),1+('Control Room'!$C$16-1)*EXP(-0.5*(($A26-'Control Room'!$A$16-('Control Room'!$B$16-1)/2)/MAX(0.5,'Control Room'!$B$16/4))^2),1)</x:f>
        <x:v>1</x:v>
      </x:c>
      <x:c r="AP26" s="9" t="n">
        <x:f>MOD(AQ25*16807,2147483647)</x:f>
        <x:v>499938103</x:v>
      </x:c>
      <x:c r="AQ26" s="9" t="n">
        <x:f>MOD(AP26*16807,2147483647)</x:f>
        <x:v>1503670057</x:v>
      </x:c>
      <x:c r="AR26" s="17" t="n">
        <x:f>IF('Control Room'!$B$5="Normal",'Control Room'!$B$7+'Control Room'!$D$7*SQRT(-2*LN(MAX(0.000000000001,AP26/2147483647)))*COS(2*PI()*AQ26/2147483647),'Control Room'!$B$8+('Control Room'!$D$8-'Control Room'!$B$8)*AP26/2147483647)</x:f>
        <x:v>952.6997851177302</x:v>
      </x:c>
      <x:c r="AS26" s="17" t="n">
        <x:f>IF('Control Room'!$B$5="Normal",'Control Room'!$B$7,('Control Room'!$B$8+'Control Room'!$D$8)/2)+'Control Room'!$B$9*(AS25-IF('Control Room'!$B$5="Normal",'Control Room'!$B$7,('Control Room'!$B$8+'Control Room'!$D$8)/2))+SQRT(1-'Control Room'!$B$9^2)*(AR26-IF('Control Room'!$B$5="Normal",'Control Room'!$B$7,('Control Room'!$B$8+'Control Room'!$D$8)/2))</x:f>
        <x:v>998.9382670076071</x:v>
      </x:c>
      <x:c r="AT26" s="17" t="n">
        <x:f>IF(AND($A26&gt;='Control Room'!$A$13,$A26&lt;'Control Room'!$A$13+'Control Room'!$B$13,'Process'!BS2=1),1+('Control Room'!$C$13-1)*EXP(-0.5*(($A26-'Control Room'!$A$13-('Control Room'!$B$13-1)/2)/MAX(0.5,'Control Room'!$B$13/4))^2),1)*IF(AND($A26&gt;='Control Room'!$A$14,$A26&lt;'Control Room'!$A$14+'Control Room'!$B$14,'Process'!BS3=1),1+('Control Room'!$C$14-1)*EXP(-0.5*(($A26-'Control Room'!$A$14-('Control Room'!$B$14-1)/2)/MAX(0.5,'Control Room'!$B$14/4))^2),1)*IF(AND($A26&gt;='Control Room'!$A$15,$A26&lt;'Control Room'!$A$15+'Control Room'!$B$15,'Process'!BS4=1),1+('Control Room'!$C$15-1)*EXP(-0.5*(($A26-'Control Room'!$A$15-('Control Room'!$B$15-1)/2)/MAX(0.5,'Control Room'!$B$15/4))^2),1)*IF(AND($A26&gt;='Control Room'!$A$16,$A26&lt;'Control Room'!$A$16+'Control Room'!$B$16,'Process'!BS5=1),1+('Control Room'!$C$16-1)*EXP(-0.5*(($A26-'Control Room'!$A$16-('Control Room'!$B$16-1)/2)/MAX(0.5,'Control Room'!$B$16/4))^2),1)</x:f>
        <x:v>1</x:v>
      </x:c>
      <x:c r="AU26" s="9" t="n">
        <x:f>MOD(AV25*16807,2147483647)</x:f>
        <x:v>1878857209</x:v>
      </x:c>
      <x:c r="AV26" s="9" t="n">
        <x:f>MOD(AU26*16807,2147483647)</x:f>
        <x:v>1353566175</x:v>
      </x:c>
      <x:c r="AW26" s="17" t="n">
        <x:f>IF('Control Room'!$B$5="Normal",'Control Room'!$B$7+'Control Room'!$D$7*SQRT(-2*LN(MAX(0.000000000001,AU26/2147483647)))*COS(2*PI()*AV26/2147483647),'Control Room'!$B$8+('Control Room'!$D$8-'Control Room'!$B$8)*AU26/2147483647)</x:f>
        <x:v>968.2140978100214</x:v>
      </x:c>
      <x:c r="AX26" s="17" t="n">
        <x:f>IF('Control Room'!$B$5="Normal",'Control Room'!$B$7,('Control Room'!$B$8+'Control Room'!$D$8)/2)+'Control Room'!$B$9*(AX25-IF('Control Room'!$B$5="Normal",'Control Room'!$B$7,('Control Room'!$B$8+'Control Room'!$D$8)/2))+SQRT(1-'Control Room'!$B$9^2)*(AW26-IF('Control Room'!$B$5="Normal",'Control Room'!$B$7,('Control Room'!$B$8+'Control Room'!$D$8)/2))</x:f>
        <x:v>1053.733160489943</x:v>
      </x:c>
      <x:c r="AY26" s="17" t="n">
        <x:f>IF(AND($A26&gt;='Control Room'!$A$13,$A26&lt;'Control Room'!$A$13+'Control Room'!$B$13,'Process'!BT2=1),1+('Control Room'!$C$13-1)*EXP(-0.5*(($A26-'Control Room'!$A$13-('Control Room'!$B$13-1)/2)/MAX(0.5,'Control Room'!$B$13/4))^2),1)*IF(AND($A26&gt;='Control Room'!$A$14,$A26&lt;'Control Room'!$A$14+'Control Room'!$B$14,'Process'!BT3=1),1+('Control Room'!$C$14-1)*EXP(-0.5*(($A26-'Control Room'!$A$14-('Control Room'!$B$14-1)/2)/MAX(0.5,'Control Room'!$B$14/4))^2),1)*IF(AND($A26&gt;='Control Room'!$A$15,$A26&lt;'Control Room'!$A$15+'Control Room'!$B$15,'Process'!BT4=1),1+('Control Room'!$C$15-1)*EXP(-0.5*(($A26-'Control Room'!$A$15-('Control Room'!$B$15-1)/2)/MAX(0.5,'Control Room'!$B$15/4))^2),1)*IF(AND($A26&gt;='Control Room'!$A$16,$A26&lt;'Control Room'!$A$16+'Control Room'!$B$16,'Process'!BT5=1),1+('Control Room'!$C$16-1)*EXP(-0.5*(($A26-'Control Room'!$A$16-('Control Room'!$B$16-1)/2)/MAX(0.5,'Control Room'!$B$16/4))^2),1)</x:f>
        <x:v>1</x:v>
      </x:c>
      <x:c r="AZ26" s="9" t="n">
        <x:f>MOD(BA25*16807,2147483647)</x:f>
        <x:v>1110292668</x:v>
      </x:c>
      <x:c r="BA26" s="9" t="n">
        <x:f>MOD(AZ26*16807,2147483647)</x:f>
        <x:v>1203462293</x:v>
      </x:c>
      <x:c r="BB26" s="17" t="n">
        <x:f>IF('Control Room'!$B$5="Normal",'Control Room'!$B$7+'Control Room'!$D$7*SQRT(-2*LN(MAX(0.000000000001,AZ26/2147483647)))*COS(2*PI()*BA26/2147483647),'Control Room'!$B$8+('Control Room'!$D$8-'Control Room'!$B$8)*AZ26/2147483647)</x:f>
        <x:v>903.9802875569169</x:v>
      </x:c>
      <x:c r="BC26" s="17" t="n">
        <x:f>IF('Control Room'!$B$5="Normal",'Control Room'!$B$7,('Control Room'!$B$8+'Control Room'!$D$8)/2)+'Control Room'!$B$9*(BC25-IF('Control Room'!$B$5="Normal",'Control Room'!$B$7,('Control Room'!$B$8+'Control Room'!$D$8)/2))+SQRT(1-'Control Room'!$B$9^2)*(BB26-IF('Control Room'!$B$5="Normal",'Control Room'!$B$7,('Control Room'!$B$8+'Control Room'!$D$8)/2))</x:f>
        <x:v>866.1109868828951</x:v>
      </x:c>
      <x:c r="BD26" s="17" t="n">
        <x:f>IF(AND($A26&gt;='Control Room'!$A$13,$A26&lt;'Control Room'!$A$13+'Control Room'!$B$13,'Process'!BU2=1),1+('Control Room'!$C$13-1)*EXP(-0.5*(($A26-'Control Room'!$A$13-('Control Room'!$B$13-1)/2)/MAX(0.5,'Control Room'!$B$13/4))^2),1)*IF(AND($A26&gt;='Control Room'!$A$14,$A26&lt;'Control Room'!$A$14+'Control Room'!$B$14,'Process'!BU3=1),1+('Control Room'!$C$14-1)*EXP(-0.5*(($A26-'Control Room'!$A$14-('Control Room'!$B$14-1)/2)/MAX(0.5,'Control Room'!$B$14/4))^2),1)*IF(AND($A26&gt;='Control Room'!$A$15,$A26&lt;'Control Room'!$A$15+'Control Room'!$B$15,'Process'!BU4=1),1+('Control Room'!$C$15-1)*EXP(-0.5*(($A26-'Control Room'!$A$15-('Control Room'!$B$15-1)/2)/MAX(0.5,'Control Room'!$B$15/4))^2),1)*IF(AND($A26&gt;='Control Room'!$A$16,$A26&lt;'Control Room'!$A$16+'Control Room'!$B$16,'Process'!BU5=1),1+('Control Room'!$C$16-1)*EXP(-0.5*(($A26-'Control Room'!$A$16-('Control Room'!$B$16-1)/2)/MAX(0.5,'Control Room'!$B$16/4))^2),1)</x:f>
        <x:v>1</x:v>
      </x:c>
      <x:c r="BE26" s="9" t="n">
        <x:f>MOD(BF25*16807,2147483647)</x:f>
        <x:v>341728127</x:v>
      </x:c>
      <x:c r="BF26" s="9" t="n">
        <x:f>MOD(BE26*16807,2147483647)</x:f>
        <x:v>1053358411</x:v>
      </x:c>
      <x:c r="BG26" s="17" t="n">
        <x:f>IF('Control Room'!$B$5="Normal",'Control Room'!$B$7+'Control Room'!$D$7*SQRT(-2*LN(MAX(0.000000000001,BE26/2147483647)))*COS(2*PI()*BF26/2147483647),'Control Room'!$B$8+('Control Room'!$D$8-'Control Room'!$B$8)*BE26/2147483647)</x:f>
        <x:v>827.7489874473513</x:v>
      </x:c>
      <x:c r="BH26" s="17" t="n">
        <x:f>IF('Control Room'!$B$5="Normal",'Control Room'!$B$7,('Control Room'!$B$8+'Control Room'!$D$8)/2)+'Control Room'!$B$9*(BH25-IF('Control Room'!$B$5="Normal",'Control Room'!$B$7,('Control Room'!$B$8+'Control Room'!$D$8)/2))+SQRT(1-'Control Room'!$B$9^2)*(BG26-IF('Control Room'!$B$5="Normal",'Control Room'!$B$7,('Control Room'!$B$8+'Control Room'!$D$8)/2))</x:f>
        <x:v>1038.586415222744</x:v>
      </x:c>
      <x:c r="BI26" s="17" t="n">
        <x:f>IF(AND($A26&gt;='Control Room'!$A$13,$A26&lt;'Control Room'!$A$13+'Control Room'!$B$13,'Process'!BV2=1),1+('Control Room'!$C$13-1)*EXP(-0.5*(($A26-'Control Room'!$A$13-('Control Room'!$B$13-1)/2)/MAX(0.5,'Control Room'!$B$13/4))^2),1)*IF(AND($A26&gt;='Control Room'!$A$14,$A26&lt;'Control Room'!$A$14+'Control Room'!$B$14,'Process'!BV3=1),1+('Control Room'!$C$14-1)*EXP(-0.5*(($A26-'Control Room'!$A$14-('Control Room'!$B$14-1)/2)/MAX(0.5,'Control Room'!$B$14/4))^2),1)*IF(AND($A26&gt;='Control Room'!$A$15,$A26&lt;'Control Room'!$A$15+'Control Room'!$B$15,'Process'!BV4=1),1+('Control Room'!$C$15-1)*EXP(-0.5*(($A26-'Control Room'!$A$15-('Control Room'!$B$15-1)/2)/MAX(0.5,'Control Room'!$B$15/4))^2),1)*IF(AND($A26&gt;='Control Room'!$A$16,$A26&lt;'Control Room'!$A$16+'Control Room'!$B$16,'Process'!BV5=1),1+('Control Room'!$C$16-1)*EXP(-0.5*(($A26-'Control Room'!$A$16-('Control Room'!$B$16-1)/2)/MAX(0.5,'Control Room'!$B$16/4))^2),1)</x:f>
        <x:v>1</x:v>
      </x:c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Z26" t="str">
        <x:f>IF('Data'!A26="","",TEXT('Data'!A26,"mm-dd"))</x:f>
        <x:v>11-26</x:v>
      </x:c>
    </x:row>
    <x:row r="27" ht="21" customHeight="1">
      <x:c r="A27" s="15" t="n">
        <x:f>'Control Room'!$B$1+25</x:f>
        <x:v>73016</x:v>
      </x:c>
      <x:c r="B27" s="9" t="n">
        <x:f>MOD(C26*16807,2147483647)</x:f>
        <x:v>911333789</x:v>
      </x:c>
      <x:c r="C27" s="9" t="n">
        <x:f>MOD(B27*16807,2147483647)</x:f>
        <x:v>933621319</x:v>
      </x:c>
      <x:c r="D27" s="17" t="n">
        <x:f>IF('Control Room'!$B$5="Normal",'Control Room'!$B$7+'Control Room'!$D$7*SQRT(-2*LN(MAX(0.000000000001,B27/2147483647)))*COS(2*PI()*C27/2147483647),'Control Room'!$B$8+('Control Room'!$D$8-'Control Room'!$B$8)*B27/2147483647)</x:f>
        <x:v>891.9272045356782</x:v>
      </x:c>
      <x:c r="E27" s="17" t="n">
        <x:f>IF('Control Room'!$B$5="Normal",'Control Room'!$B$7,('Control Room'!$B$8+'Control Room'!$D$8)/2)+'Control Room'!$B$9*(E26-IF('Control Room'!$B$5="Normal",'Control Room'!$B$7,('Control Room'!$B$8+'Control Room'!$D$8)/2))+SQRT(1-'Control Room'!$B$9^2)*(D27-IF('Control Room'!$B$5="Normal",'Control Room'!$B$7,('Control Room'!$B$8+'Control Room'!$D$8)/2))</x:f>
        <x:v>835.2212219990969</x:v>
      </x:c>
      <x:c r="F27" s="17" t="n">
        <x:f>IF(AND($A27&gt;='Control Room'!$A$13,$A27&lt;'Control Room'!$A$13+'Control Room'!$B$13,'Process'!BK2=1),1+('Control Room'!$C$13-1)*EXP(-0.5*(($A27-'Control Room'!$A$13-('Control Room'!$B$13-1)/2)/MAX(0.5,'Control Room'!$B$13/4))^2),1)*IF(AND($A27&gt;='Control Room'!$A$14,$A27&lt;'Control Room'!$A$14+'Control Room'!$B$14,'Process'!BK3=1),1+('Control Room'!$C$14-1)*EXP(-0.5*(($A27-'Control Room'!$A$14-('Control Room'!$B$14-1)/2)/MAX(0.5,'Control Room'!$B$14/4))^2),1)*IF(AND($A27&gt;='Control Room'!$A$15,$A27&lt;'Control Room'!$A$15+'Control Room'!$B$15,'Process'!BK4=1),1+('Control Room'!$C$15-1)*EXP(-0.5*(($A27-'Control Room'!$A$15-('Control Room'!$B$15-1)/2)/MAX(0.5,'Control Room'!$B$15/4))^2),1)*IF(AND($A27&gt;='Control Room'!$A$16,$A27&lt;'Control Room'!$A$16+'Control Room'!$B$16,'Process'!BK5=1),1+('Control Room'!$C$16-1)*EXP(-0.5*(($A27-'Control Room'!$A$16-('Control Room'!$B$16-1)/2)/MAX(0.5,'Control Room'!$B$16/4))^2),1)</x:f>
        <x:v>1</x:v>
      </x:c>
      <x:c r="G27" s="9" t="n">
        <x:f>MOD(H26*16807,2147483647)</x:f>
        <x:v>1408674240</x:v>
      </x:c>
      <x:c r="H27" s="9" t="n">
        <x:f>MOD(G27*16807,2147483647)</x:f>
        <x:v>1728227152</x:v>
      </x:c>
      <x:c r="I27" s="17" t="n">
        <x:f>IF('Control Room'!$B$5="Normal",'Control Room'!$B$7+'Control Room'!$D$7*SQRT(-2*LN(MAX(0.000000000001,G27/2147483647)))*COS(2*PI()*H27/2147483647),'Control Room'!$B$8+('Control Room'!$D$8-'Control Room'!$B$8)*G27/2147483647)</x:f>
        <x:v>1027.8828669367</x:v>
      </x:c>
      <x:c r="J27" s="17" t="n">
        <x:f>IF('Control Room'!$B$5="Normal",'Control Room'!$B$7,('Control Room'!$B$8+'Control Room'!$D$8)/2)+'Control Room'!$B$9*(J26-IF('Control Room'!$B$5="Normal",'Control Room'!$B$7,('Control Room'!$B$8+'Control Room'!$D$8)/2))+SQRT(1-'Control Room'!$B$9^2)*(I27-IF('Control Room'!$B$5="Normal",'Control Room'!$B$7,('Control Room'!$B$8+'Control Room'!$D$8)/2))</x:f>
        <x:v>1058.916203245142</x:v>
      </x:c>
      <x:c r="K27" s="17" t="n">
        <x:f>IF(AND($A27&gt;='Control Room'!$A$13,$A27&lt;'Control Room'!$A$13+'Control Room'!$B$13,'Process'!BL2=1),1+('Control Room'!$C$13-1)*EXP(-0.5*(($A27-'Control Room'!$A$13-('Control Room'!$B$13-1)/2)/MAX(0.5,'Control Room'!$B$13/4))^2),1)*IF(AND($A27&gt;='Control Room'!$A$14,$A27&lt;'Control Room'!$A$14+'Control Room'!$B$14,'Process'!BL3=1),1+('Control Room'!$C$14-1)*EXP(-0.5*(($A27-'Control Room'!$A$14-('Control Room'!$B$14-1)/2)/MAX(0.5,'Control Room'!$B$14/4))^2),1)*IF(AND($A27&gt;='Control Room'!$A$15,$A27&lt;'Control Room'!$A$15+'Control Room'!$B$15,'Process'!BL4=1),1+('Control Room'!$C$15-1)*EXP(-0.5*(($A27-'Control Room'!$A$15-('Control Room'!$B$15-1)/2)/MAX(0.5,'Control Room'!$B$15/4))^2),1)*IF(AND($A27&gt;='Control Room'!$A$16,$A27&lt;'Control Room'!$A$16+'Control Room'!$B$16,'Process'!BL5=1),1+('Control Room'!$C$16-1)*EXP(-0.5*(($A27-'Control Room'!$A$16-('Control Room'!$B$16-1)/2)/MAX(0.5,'Control Room'!$B$16/4))^2),1)</x:f>
        <x:v>1</x:v>
      </x:c>
      <x:c r="L27" s="9" t="n">
        <x:f>MOD(M26*16807,2147483647)</x:f>
        <x:v>1906014691</x:v>
      </x:c>
      <x:c r="M27" s="9" t="n">
        <x:f>MOD(L27*16807,2147483647)</x:f>
        <x:v>375349338</x:v>
      </x:c>
      <x:c r="N27" s="17" t="n">
        <x:f>IF('Control Room'!$B$5="Normal",'Control Room'!$B$7+'Control Room'!$D$7*SQRT(-2*LN(MAX(0.000000000001,L27/2147483647)))*COS(2*PI()*M27/2147483647),'Control Room'!$B$8+('Control Room'!$D$8-'Control Room'!$B$8)*L27/2147483647)</x:f>
        <x:v>1020.0095897735054</x:v>
      </x:c>
      <x:c r="O27" s="17" t="n">
        <x:f>IF('Control Room'!$B$5="Normal",'Control Room'!$B$7,('Control Room'!$B$8+'Control Room'!$D$8)/2)+'Control Room'!$B$9*(O26-IF('Control Room'!$B$5="Normal",'Control Room'!$B$7,('Control Room'!$B$8+'Control Room'!$D$8)/2))+SQRT(1-'Control Room'!$B$9^2)*(N27-IF('Control Room'!$B$5="Normal",'Control Room'!$B$7,('Control Room'!$B$8+'Control Room'!$D$8)/2))</x:f>
        <x:v>1132.553421562482</x:v>
      </x:c>
      <x:c r="P27" s="17" t="n">
        <x:f>IF(AND($A27&gt;='Control Room'!$A$13,$A27&lt;'Control Room'!$A$13+'Control Room'!$B$13,'Process'!BM2=1),1+('Control Room'!$C$13-1)*EXP(-0.5*(($A27-'Control Room'!$A$13-('Control Room'!$B$13-1)/2)/MAX(0.5,'Control Room'!$B$13/4))^2),1)*IF(AND($A27&gt;='Control Room'!$A$14,$A27&lt;'Control Room'!$A$14+'Control Room'!$B$14,'Process'!BM3=1),1+('Control Room'!$C$14-1)*EXP(-0.5*(($A27-'Control Room'!$A$14-('Control Room'!$B$14-1)/2)/MAX(0.5,'Control Room'!$B$14/4))^2),1)*IF(AND($A27&gt;='Control Room'!$A$15,$A27&lt;'Control Room'!$A$15+'Control Room'!$B$15,'Process'!BM4=1),1+('Control Room'!$C$15-1)*EXP(-0.5*(($A27-'Control Room'!$A$15-('Control Room'!$B$15-1)/2)/MAX(0.5,'Control Room'!$B$15/4))^2),1)*IF(AND($A27&gt;='Control Room'!$A$16,$A27&lt;'Control Room'!$A$16+'Control Room'!$B$16,'Process'!BM5=1),1+('Control Room'!$C$16-1)*EXP(-0.5*(($A27-'Control Room'!$A$16-('Control Room'!$B$16-1)/2)/MAX(0.5,'Control Room'!$B$16/4))^2),1)</x:f>
        <x:v>1</x:v>
      </x:c>
      <x:c r="Q27" s="9" t="n">
        <x:f>MOD(R26*16807,2147483647)</x:f>
        <x:v>255871495</x:v>
      </x:c>
      <x:c r="R27" s="9" t="n">
        <x:f>MOD(Q27*16807,2147483647)</x:f>
        <x:v>1169955171</x:v>
      </x:c>
      <x:c r="S27" s="17" t="n">
        <x:f>IF('Control Room'!$B$5="Normal",'Control Room'!$B$7+'Control Room'!$D$7*SQRT(-2*LN(MAX(0.000000000001,Q27/2147483647)))*COS(2*PI()*R27/2147483647),'Control Room'!$B$8+('Control Room'!$D$8-'Control Room'!$B$8)*Q27/2147483647)</x:f>
        <x:v>821.6637097270461</x:v>
      </x:c>
      <x:c r="T27" s="17" t="n">
        <x:f>IF('Control Room'!$B$5="Normal",'Control Room'!$B$7,('Control Room'!$B$8+'Control Room'!$D$8)/2)+'Control Room'!$B$9*(T26-IF('Control Room'!$B$5="Normal",'Control Room'!$B$7,('Control Room'!$B$8+'Control Room'!$D$8)/2))+SQRT(1-'Control Room'!$B$9^2)*(S27-IF('Control Room'!$B$5="Normal",'Control Room'!$B$7,('Control Room'!$B$8+'Control Room'!$D$8)/2))</x:f>
        <x:v>969.2357426093685</x:v>
      </x:c>
      <x:c r="U27" s="17" t="n">
        <x:f>IF(AND($A27&gt;='Control Room'!$A$13,$A27&lt;'Control Room'!$A$13+'Control Room'!$B$13,'Process'!BN2=1),1+('Control Room'!$C$13-1)*EXP(-0.5*(($A27-'Control Room'!$A$13-('Control Room'!$B$13-1)/2)/MAX(0.5,'Control Room'!$B$13/4))^2),1)*IF(AND($A27&gt;='Control Room'!$A$14,$A27&lt;'Control Room'!$A$14+'Control Room'!$B$14,'Process'!BN3=1),1+('Control Room'!$C$14-1)*EXP(-0.5*(($A27-'Control Room'!$A$14-('Control Room'!$B$14-1)/2)/MAX(0.5,'Control Room'!$B$14/4))^2),1)*IF(AND($A27&gt;='Control Room'!$A$15,$A27&lt;'Control Room'!$A$15+'Control Room'!$B$15,'Process'!BN4=1),1+('Control Room'!$C$15-1)*EXP(-0.5*(($A27-'Control Room'!$A$15-('Control Room'!$B$15-1)/2)/MAX(0.5,'Control Room'!$B$15/4))^2),1)*IF(AND($A27&gt;='Control Room'!$A$16,$A27&lt;'Control Room'!$A$16+'Control Room'!$B$16,'Process'!BN5=1),1+('Control Room'!$C$16-1)*EXP(-0.5*(($A27-'Control Room'!$A$16-('Control Room'!$B$16-1)/2)/MAX(0.5,'Control Room'!$B$16/4))^2),1)</x:f>
        <x:v>1</x:v>
      </x:c>
      <x:c r="V27" s="9" t="n">
        <x:f>MOD(W26*16807,2147483647)</x:f>
        <x:v>753211946</x:v>
      </x:c>
      <x:c r="W27" s="9" t="n">
        <x:f>MOD(V27*16807,2147483647)</x:f>
        <x:v>1964561004</x:v>
      </x:c>
      <x:c r="X27" s="17" t="n">
        <x:f>IF('Control Room'!$B$5="Normal",'Control Room'!$B$7+'Control Room'!$D$7*SQRT(-2*LN(MAX(0.000000000001,V27/2147483647)))*COS(2*PI()*W27/2147483647),'Control Room'!$B$8+('Control Room'!$D$8-'Control Room'!$B$8)*V27/2147483647)</x:f>
        <x:v>1112.0622294486561</x:v>
      </x:c>
      <x:c r="Y27" s="17" t="n">
        <x:f>IF('Control Room'!$B$5="Normal",'Control Room'!$B$7,('Control Room'!$B$8+'Control Room'!$D$8)/2)+'Control Room'!$B$9*(Y26-IF('Control Room'!$B$5="Normal",'Control Room'!$B$7,('Control Room'!$B$8+'Control Room'!$D$8)/2))+SQRT(1-'Control Room'!$B$9^2)*(X27-IF('Control Room'!$B$5="Normal",'Control Room'!$B$7,('Control Room'!$B$8+'Control Room'!$D$8)/2))</x:f>
        <x:v>1098.992381992026</x:v>
      </x:c>
      <x:c r="Z27" s="17" t="n">
        <x:f>IF(AND($A27&gt;='Control Room'!$A$13,$A27&lt;'Control Room'!$A$13+'Control Room'!$B$13,'Process'!BO2=1),1+('Control Room'!$C$13-1)*EXP(-0.5*(($A27-'Control Room'!$A$13-('Control Room'!$B$13-1)/2)/MAX(0.5,'Control Room'!$B$13/4))^2),1)*IF(AND($A27&gt;='Control Room'!$A$14,$A27&lt;'Control Room'!$A$14+'Control Room'!$B$14,'Process'!BO3=1),1+('Control Room'!$C$14-1)*EXP(-0.5*(($A27-'Control Room'!$A$14-('Control Room'!$B$14-1)/2)/MAX(0.5,'Control Room'!$B$14/4))^2),1)*IF(AND($A27&gt;='Control Room'!$A$15,$A27&lt;'Control Room'!$A$15+'Control Room'!$B$15,'Process'!BO4=1),1+('Control Room'!$C$15-1)*EXP(-0.5*(($A27-'Control Room'!$A$15-('Control Room'!$B$15-1)/2)/MAX(0.5,'Control Room'!$B$15/4))^2),1)*IF(AND($A27&gt;='Control Room'!$A$16,$A27&lt;'Control Room'!$A$16+'Control Room'!$B$16,'Process'!BO5=1),1+('Control Room'!$C$16-1)*EXP(-0.5*(($A27-'Control Room'!$A$16-('Control Room'!$B$16-1)/2)/MAX(0.5,'Control Room'!$B$16/4))^2),1)</x:f>
        <x:v>1</x:v>
      </x:c>
      <x:c r="AA27" s="9" t="n">
        <x:f>MOD(AB26*16807,2147483647)</x:f>
        <x:v>1250552397</x:v>
      </x:c>
      <x:c r="AB27" s="9" t="n">
        <x:f>MOD(AA27*16807,2147483647)</x:f>
        <x:v>611683190</x:v>
      </x:c>
      <x:c r="AC27" s="17" t="n">
        <x:f>IF('Control Room'!$B$5="Normal",'Control Room'!$B$7+'Control Room'!$D$7*SQRT(-2*LN(MAX(0.000000000001,AA27/2147483647)))*COS(2*PI()*AB27/2147483647),'Control Room'!$B$8+('Control Room'!$D$8-'Control Room'!$B$8)*AA27/2147483647)</x:f>
        <x:v>979.6769167716498</x:v>
      </x:c>
      <x:c r="AD27" s="17" t="n">
        <x:f>IF('Control Room'!$B$5="Normal",'Control Room'!$B$7,('Control Room'!$B$8+'Control Room'!$D$8)/2)+'Control Room'!$B$9*(AD26-IF('Control Room'!$B$5="Normal",'Control Room'!$B$7,('Control Room'!$B$8+'Control Room'!$D$8)/2))+SQRT(1-'Control Room'!$B$9^2)*(AC27-IF('Control Room'!$B$5="Normal",'Control Room'!$B$7,('Control Room'!$B$8+'Control Room'!$D$8)/2))</x:f>
        <x:v>1069.8074307191698</x:v>
      </x:c>
      <x:c r="AE27" s="17" t="n">
        <x:f>IF(AND($A27&gt;='Control Room'!$A$13,$A27&lt;'Control Room'!$A$13+'Control Room'!$B$13,'Process'!BP2=1),1+('Control Room'!$C$13-1)*EXP(-0.5*(($A27-'Control Room'!$A$13-('Control Room'!$B$13-1)/2)/MAX(0.5,'Control Room'!$B$13/4))^2),1)*IF(AND($A27&gt;='Control Room'!$A$14,$A27&lt;'Control Room'!$A$14+'Control Room'!$B$14,'Process'!BP3=1),1+('Control Room'!$C$14-1)*EXP(-0.5*(($A27-'Control Room'!$A$14-('Control Room'!$B$14-1)/2)/MAX(0.5,'Control Room'!$B$14/4))^2),1)*IF(AND($A27&gt;='Control Room'!$A$15,$A27&lt;'Control Room'!$A$15+'Control Room'!$B$15,'Process'!BP4=1),1+('Control Room'!$C$15-1)*EXP(-0.5*(($A27-'Control Room'!$A$15-('Control Room'!$B$15-1)/2)/MAX(0.5,'Control Room'!$B$15/4))^2),1)*IF(AND($A27&gt;='Control Room'!$A$16,$A27&lt;'Control Room'!$A$16+'Control Room'!$B$16,'Process'!BP5=1),1+('Control Room'!$C$16-1)*EXP(-0.5*(($A27-'Control Room'!$A$16-('Control Room'!$B$16-1)/2)/MAX(0.5,'Control Room'!$B$16/4))^2),1)</x:f>
        <x:v>1</x:v>
      </x:c>
      <x:c r="AF27" s="9" t="n">
        <x:f>MOD(AG26*16807,2147483647)</x:f>
        <x:v>1747892848</x:v>
      </x:c>
      <x:c r="AG27" s="9" t="n">
        <x:f>MOD(AF27*16807,2147483647)</x:f>
        <x:v>1406289023</x:v>
      </x:c>
      <x:c r="AH27" s="17" t="n">
        <x:f>IF('Control Room'!$B$5="Normal",'Control Room'!$B$7+'Control Room'!$D$7*SQRT(-2*LN(MAX(0.000000000001,AF27/2147483647)))*COS(2*PI()*AG27/2147483647),'Control Room'!$B$8+('Control Room'!$D$8-'Control Room'!$B$8)*AF27/2147483647)</x:f>
        <x:v>967.494590160551</x:v>
      </x:c>
      <x:c r="AI27" s="17" t="n">
        <x:f>IF('Control Room'!$B$5="Normal",'Control Room'!$B$7,('Control Room'!$B$8+'Control Room'!$D$8)/2)+'Control Room'!$B$9*(AI26-IF('Control Room'!$B$5="Normal",'Control Room'!$B$7,('Control Room'!$B$8+'Control Room'!$D$8)/2))+SQRT(1-'Control Room'!$B$9^2)*(AH27-IF('Control Room'!$B$5="Normal",'Control Room'!$B$7,('Control Room'!$B$8+'Control Room'!$D$8)/2))</x:f>
        <x:v>974.669245134445</x:v>
      </x:c>
      <x:c r="AJ27" s="17" t="n">
        <x:f>IF(AND($A27&gt;='Control Room'!$A$13,$A27&lt;'Control Room'!$A$13+'Control Room'!$B$13,'Process'!BQ2=1),1+('Control Room'!$C$13-1)*EXP(-0.5*(($A27-'Control Room'!$A$13-('Control Room'!$B$13-1)/2)/MAX(0.5,'Control Room'!$B$13/4))^2),1)*IF(AND($A27&gt;='Control Room'!$A$14,$A27&lt;'Control Room'!$A$14+'Control Room'!$B$14,'Process'!BQ3=1),1+('Control Room'!$C$14-1)*EXP(-0.5*(($A27-'Control Room'!$A$14-('Control Room'!$B$14-1)/2)/MAX(0.5,'Control Room'!$B$14/4))^2),1)*IF(AND($A27&gt;='Control Room'!$A$15,$A27&lt;'Control Room'!$A$15+'Control Room'!$B$15,'Process'!BQ4=1),1+('Control Room'!$C$15-1)*EXP(-0.5*(($A27-'Control Room'!$A$15-('Control Room'!$B$15-1)/2)/MAX(0.5,'Control Room'!$B$15/4))^2),1)*IF(AND($A27&gt;='Control Room'!$A$16,$A27&lt;'Control Room'!$A$16+'Control Room'!$B$16,'Process'!BQ5=1),1+('Control Room'!$C$16-1)*EXP(-0.5*(($A27-'Control Room'!$A$16-('Control Room'!$B$16-1)/2)/MAX(0.5,'Control Room'!$B$16/4))^2),1)</x:f>
        <x:v>1</x:v>
      </x:c>
      <x:c r="AK27" s="9" t="n">
        <x:f>MOD(AL26*16807,2147483647)</x:f>
        <x:v>97749652</x:v>
      </x:c>
      <x:c r="AL27" s="9" t="n">
        <x:f>MOD(AK27*16807,2147483647)</x:f>
        <x:v>53411209</x:v>
      </x:c>
      <x:c r="AM27" s="17" t="n">
        <x:f>IF('Control Room'!$B$5="Normal",'Control Room'!$B$7+'Control Room'!$D$7*SQRT(-2*LN(MAX(0.000000000001,AK27/2147483647)))*COS(2*PI()*AL27/2147483647),'Control Room'!$B$8+('Control Room'!$D$8-'Control Room'!$B$8)*AK27/2147483647)</x:f>
        <x:v>1220.9972757941987</x:v>
      </x:c>
      <x:c r="AN27" s="17" t="n">
        <x:f>IF('Control Room'!$B$5="Normal",'Control Room'!$B$7,('Control Room'!$B$8+'Control Room'!$D$8)/2)+'Control Room'!$B$9*(AN26-IF('Control Room'!$B$5="Normal",'Control Room'!$B$7,('Control Room'!$B$8+'Control Room'!$D$8)/2))+SQRT(1-'Control Room'!$B$9^2)*(AM27-IF('Control Room'!$B$5="Normal",'Control Room'!$B$7,('Control Room'!$B$8+'Control Room'!$D$8)/2))</x:f>
        <x:v>1150.5351917206922</x:v>
      </x:c>
      <x:c r="AO27" s="17" t="n">
        <x:f>IF(AND($A27&gt;='Control Room'!$A$13,$A27&lt;'Control Room'!$A$13+'Control Room'!$B$13,'Process'!BR2=1),1+('Control Room'!$C$13-1)*EXP(-0.5*(($A27-'Control Room'!$A$13-('Control Room'!$B$13-1)/2)/MAX(0.5,'Control Room'!$B$13/4))^2),1)*IF(AND($A27&gt;='Control Room'!$A$14,$A27&lt;'Control Room'!$A$14+'Control Room'!$B$14,'Process'!BR3=1),1+('Control Room'!$C$14-1)*EXP(-0.5*(($A27-'Control Room'!$A$14-('Control Room'!$B$14-1)/2)/MAX(0.5,'Control Room'!$B$14/4))^2),1)*IF(AND($A27&gt;='Control Room'!$A$15,$A27&lt;'Control Room'!$A$15+'Control Room'!$B$15,'Process'!BR4=1),1+('Control Room'!$C$15-1)*EXP(-0.5*(($A27-'Control Room'!$A$15-('Control Room'!$B$15-1)/2)/MAX(0.5,'Control Room'!$B$15/4))^2),1)*IF(AND($A27&gt;='Control Room'!$A$16,$A27&lt;'Control Room'!$A$16+'Control Room'!$B$16,'Process'!BR5=1),1+('Control Room'!$C$16-1)*EXP(-0.5*(($A27-'Control Room'!$A$16-('Control Room'!$B$16-1)/2)/MAX(0.5,'Control Room'!$B$16/4))^2),1)</x:f>
        <x:v>1</x:v>
      </x:c>
      <x:c r="AP27" s="9" t="n">
        <x:f>MOD(AQ26*16807,2147483647)</x:f>
        <x:v>595090103</x:v>
      </x:c>
      <x:c r="AQ27" s="9" t="n">
        <x:f>MOD(AP27*16807,2147483647)</x:f>
        <x:v>848017042</x:v>
      </x:c>
      <x:c r="AR27" s="17" t="n">
        <x:f>IF('Control Room'!$B$5="Normal",'Control Room'!$B$7+'Control Room'!$D$7*SQRT(-2*LN(MAX(0.000000000001,AP27/2147483647)))*COS(2*PI()*AQ27/2147483647),'Control Room'!$B$8+('Control Room'!$D$8-'Control Room'!$B$8)*AP27/2147483647)</x:f>
        <x:v>886.1311845298573</x:v>
      </x:c>
      <x:c r="AS27" s="17" t="n">
        <x:f>IF('Control Room'!$B$5="Normal",'Control Room'!$B$7,('Control Room'!$B$8+'Control Room'!$D$8)/2)+'Control Room'!$B$9*(AS26-IF('Control Room'!$B$5="Normal",'Control Room'!$B$7,('Control Room'!$B$8+'Control Room'!$D$8)/2))+SQRT(1-'Control Room'!$B$9^2)*(AR27-IF('Control Room'!$B$5="Normal",'Control Room'!$B$7,('Control Room'!$B$8+'Control Room'!$D$8)/2))</x:f>
        <x:v>927.9150762741983</x:v>
      </x:c>
      <x:c r="AT27" s="17" t="n">
        <x:f>IF(AND($A27&gt;='Control Room'!$A$13,$A27&lt;'Control Room'!$A$13+'Control Room'!$B$13,'Process'!BS2=1),1+('Control Room'!$C$13-1)*EXP(-0.5*(($A27-'Control Room'!$A$13-('Control Room'!$B$13-1)/2)/MAX(0.5,'Control Room'!$B$13/4))^2),1)*IF(AND($A27&gt;='Control Room'!$A$14,$A27&lt;'Control Room'!$A$14+'Control Room'!$B$14,'Process'!BS3=1),1+('Control Room'!$C$14-1)*EXP(-0.5*(($A27-'Control Room'!$A$14-('Control Room'!$B$14-1)/2)/MAX(0.5,'Control Room'!$B$14/4))^2),1)*IF(AND($A27&gt;='Control Room'!$A$15,$A27&lt;'Control Room'!$A$15+'Control Room'!$B$15,'Process'!BS4=1),1+('Control Room'!$C$15-1)*EXP(-0.5*(($A27-'Control Room'!$A$15-('Control Room'!$B$15-1)/2)/MAX(0.5,'Control Room'!$B$15/4))^2),1)*IF(AND($A27&gt;='Control Room'!$A$16,$A27&lt;'Control Room'!$A$16+'Control Room'!$B$16,'Process'!BS5=1),1+('Control Room'!$C$16-1)*EXP(-0.5*(($A27-'Control Room'!$A$16-('Control Room'!$B$16-1)/2)/MAX(0.5,'Control Room'!$B$16/4))^2),1)</x:f>
        <x:v>1</x:v>
      </x:c>
      <x:c r="AU27" s="9" t="n">
        <x:f>MOD(AV26*16807,2147483647)</x:f>
        <x:v>1092430554</x:v>
      </x:c>
      <x:c r="AV27" s="9" t="n">
        <x:f>MOD(AU27*16807,2147483647)</x:f>
        <x:v>1642622875</x:v>
      </x:c>
      <x:c r="AW27" s="17" t="n">
        <x:f>IF('Control Room'!$B$5="Normal",'Control Room'!$B$7+'Control Room'!$D$7*SQRT(-2*LN(MAX(0.000000000001,AU27/2147483647)))*COS(2*PI()*AV27/2147483647),'Control Room'!$B$8+('Control Room'!$D$8-'Control Room'!$B$8)*AU27/2147483647)</x:f>
        <x:v>1009.7858496903316</x:v>
      </x:c>
      <x:c r="AX27" s="17" t="n">
        <x:f>IF('Control Room'!$B$5="Normal",'Control Room'!$B$7,('Control Room'!$B$8+'Control Room'!$D$8)/2)+'Control Room'!$B$9*(AX26-IF('Control Room'!$B$5="Normal",'Control Room'!$B$7,('Control Room'!$B$8+'Control Room'!$D$8)/2))+SQRT(1-'Control Room'!$B$9^2)*(AW27-IF('Control Room'!$B$5="Normal",'Control Room'!$B$7,('Control Room'!$B$8+'Control Room'!$D$8)/2))</x:f>
        <x:v>1048.0356494443374</x:v>
      </x:c>
      <x:c r="AY27" s="17" t="n">
        <x:f>IF(AND($A27&gt;='Control Room'!$A$13,$A27&lt;'Control Room'!$A$13+'Control Room'!$B$13,'Process'!BT2=1),1+('Control Room'!$C$13-1)*EXP(-0.5*(($A27-'Control Room'!$A$13-('Control Room'!$B$13-1)/2)/MAX(0.5,'Control Room'!$B$13/4))^2),1)*IF(AND($A27&gt;='Control Room'!$A$14,$A27&lt;'Control Room'!$A$14+'Control Room'!$B$14,'Process'!BT3=1),1+('Control Room'!$C$14-1)*EXP(-0.5*(($A27-'Control Room'!$A$14-('Control Room'!$B$14-1)/2)/MAX(0.5,'Control Room'!$B$14/4))^2),1)*IF(AND($A27&gt;='Control Room'!$A$15,$A27&lt;'Control Room'!$A$15+'Control Room'!$B$15,'Process'!BT4=1),1+('Control Room'!$C$15-1)*EXP(-0.5*(($A27-'Control Room'!$A$15-('Control Room'!$B$15-1)/2)/MAX(0.5,'Control Room'!$B$15/4))^2),1)*IF(AND($A27&gt;='Control Room'!$A$16,$A27&lt;'Control Room'!$A$16+'Control Room'!$B$16,'Process'!BT5=1),1+('Control Room'!$C$16-1)*EXP(-0.5*(($A27-'Control Room'!$A$16-('Control Room'!$B$16-1)/2)/MAX(0.5,'Control Room'!$B$16/4))^2),1)</x:f>
        <x:v>1</x:v>
      </x:c>
      <x:c r="AZ27" s="9" t="n">
        <x:f>MOD(BA26*16807,2147483647)</x:f>
        <x:v>1589771005</x:v>
      </x:c>
      <x:c r="BA27" s="9" t="n">
        <x:f>MOD(AZ27*16807,2147483647)</x:f>
        <x:v>289745061</x:v>
      </x:c>
      <x:c r="BB27" s="17" t="n">
        <x:f>IF('Control Room'!$B$5="Normal",'Control Room'!$B$7+'Control Room'!$D$7*SQRT(-2*LN(MAX(0.000000000001,AZ27/2147483647)))*COS(2*PI()*BA27/2147483647),'Control Room'!$B$8+('Control Room'!$D$8-'Control Room'!$B$8)*AZ27/2147483647)</x:f>
        <x:v>1046.1820769917115</x:v>
      </x:c>
      <x:c r="BC27" s="17" t="n">
        <x:f>IF('Control Room'!$B$5="Normal",'Control Room'!$B$7,('Control Room'!$B$8+'Control Room'!$D$8)/2)+'Control Room'!$B$9*(BC26-IF('Control Room'!$B$5="Normal",'Control Room'!$B$7,('Control Room'!$B$8+'Control Room'!$D$8)/2))+SQRT(1-'Control Room'!$B$9^2)*(BB27-IF('Control Room'!$B$5="Normal",'Control Room'!$B$7,('Control Room'!$B$8+'Control Room'!$D$8)/2))</x:f>
        <x:v>924.4663674587994</x:v>
      </x:c>
      <x:c r="BD27" s="17" t="n">
        <x:f>IF(AND($A27&gt;='Control Room'!$A$13,$A27&lt;'Control Room'!$A$13+'Control Room'!$B$13,'Process'!BU2=1),1+('Control Room'!$C$13-1)*EXP(-0.5*(($A27-'Control Room'!$A$13-('Control Room'!$B$13-1)/2)/MAX(0.5,'Control Room'!$B$13/4))^2),1)*IF(AND($A27&gt;='Control Room'!$A$14,$A27&lt;'Control Room'!$A$14+'Control Room'!$B$14,'Process'!BU3=1),1+('Control Room'!$C$14-1)*EXP(-0.5*(($A27-'Control Room'!$A$14-('Control Room'!$B$14-1)/2)/MAX(0.5,'Control Room'!$B$14/4))^2),1)*IF(AND($A27&gt;='Control Room'!$A$15,$A27&lt;'Control Room'!$A$15+'Control Room'!$B$15,'Process'!BU4=1),1+('Control Room'!$C$15-1)*EXP(-0.5*(($A27-'Control Room'!$A$15-('Control Room'!$B$15-1)/2)/MAX(0.5,'Control Room'!$B$15/4))^2),1)*IF(AND($A27&gt;='Control Room'!$A$16,$A27&lt;'Control Room'!$A$16+'Control Room'!$B$16,'Process'!BU5=1),1+('Control Room'!$C$16-1)*EXP(-0.5*(($A27-'Control Room'!$A$16-('Control Room'!$B$16-1)/2)/MAX(0.5,'Control Room'!$B$16/4))^2),1)</x:f>
        <x:v>1</x:v>
      </x:c>
      <x:c r="BE27" s="9" t="n">
        <x:f>MOD(BF26*16807,2147483647)</x:f>
        <x:v>2087111456</x:v>
      </x:c>
      <x:c r="BF27" s="9" t="n">
        <x:f>MOD(BE27*16807,2147483647)</x:f>
        <x:v>1084350894</x:v>
      </x:c>
      <x:c r="BG27" s="17" t="n">
        <x:f>IF('Control Room'!$B$5="Normal",'Control Room'!$B$7+'Control Room'!$D$7*SQRT(-2*LN(MAX(0.000000000001,BE27/2147483647)))*COS(2*PI()*BF27/2147483647),'Control Room'!$B$8+('Control Room'!$D$8-'Control Room'!$B$8)*BE27/2147483647)</x:f>
        <x:v>978.5172197710397</x:v>
      </x:c>
      <x:c r="BH27" s="17" t="n">
        <x:f>IF('Control Room'!$B$5="Normal",'Control Room'!$B$7,('Control Room'!$B$8+'Control Room'!$D$8)/2)+'Control Room'!$B$9*(BH26-IF('Control Room'!$B$5="Normal",'Control Room'!$B$7,('Control Room'!$B$8+'Control Room'!$D$8)/2))+SQRT(1-'Control Room'!$B$9^2)*(BG27-IF('Control Room'!$B$5="Normal",'Control Room'!$B$7,('Control Room'!$B$8+'Control Room'!$D$8)/2))</x:f>
        <x:v>1016.6539201051315</x:v>
      </x:c>
      <x:c r="BI27" s="17" t="n">
        <x:f>IF(AND($A27&gt;='Control Room'!$A$13,$A27&lt;'Control Room'!$A$13+'Control Room'!$B$13,'Process'!BV2=1),1+('Control Room'!$C$13-1)*EXP(-0.5*(($A27-'Control Room'!$A$13-('Control Room'!$B$13-1)/2)/MAX(0.5,'Control Room'!$B$13/4))^2),1)*IF(AND($A27&gt;='Control Room'!$A$14,$A27&lt;'Control Room'!$A$14+'Control Room'!$B$14,'Process'!BV3=1),1+('Control Room'!$C$14-1)*EXP(-0.5*(($A27-'Control Room'!$A$14-('Control Room'!$B$14-1)/2)/MAX(0.5,'Control Room'!$B$14/4))^2),1)*IF(AND($A27&gt;='Control Room'!$A$15,$A27&lt;'Control Room'!$A$15+'Control Room'!$B$15,'Process'!BV4=1),1+('Control Room'!$C$15-1)*EXP(-0.5*(($A27-'Control Room'!$A$15-('Control Room'!$B$15-1)/2)/MAX(0.5,'Control Room'!$B$15/4))^2),1)*IF(AND($A27&gt;='Control Room'!$A$16,$A27&lt;'Control Room'!$A$16+'Control Room'!$B$16,'Process'!BV5=1),1+('Control Room'!$C$16-1)*EXP(-0.5*(($A27-'Control Room'!$A$16-('Control Room'!$B$16-1)/2)/MAX(0.5,'Control Room'!$B$16/4))^2),1)</x:f>
        <x:v>1</x:v>
      </x:c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Z27" t="str">
        <x:f>IF('Data'!A27="","",TEXT('Data'!A27,"mm-dd"))</x:f>
        <x:v>11-27</x:v>
      </x:c>
    </x:row>
    <x:row r="28" ht="21" customHeight="1">
      <x:c r="A28" s="15" t="n">
        <x:f>'Control Room'!$B$1+26</x:f>
        <x:v>73017</x:v>
      </x:c>
      <x:c r="B28" s="9" t="n">
        <x:f>MOD(C27*16807,2147483647)</x:f>
        <x:v>1857983451</x:v>
      </x:c>
      <x:c r="C28" s="9" t="n">
        <x:f>MOD(B28*16807,2147483647)</x:f>
        <x:v>568149930</x:v>
      </x:c>
      <x:c r="D28" s="17" t="n">
        <x:f>IF('Control Room'!$B$5="Normal",'Control Room'!$B$7+'Control Room'!$D$7*SQRT(-2*LN(MAX(0.000000000001,B28/2147483647)))*COS(2*PI()*C28/2147483647),'Control Room'!$B$8+('Control Room'!$D$8-'Control Room'!$B$8)*B28/2147483647)</x:f>
        <x:v>995.5736470544041</x:v>
      </x:c>
      <x:c r="E28" s="17" t="n">
        <x:f>IF('Control Room'!$B$5="Normal",'Control Room'!$B$7,('Control Room'!$B$8+'Control Room'!$D$8)/2)+'Control Room'!$B$9*(E27-IF('Control Room'!$B$5="Normal",'Control Room'!$B$7,('Control Room'!$B$8+'Control Room'!$D$8)/2))+SQRT(1-'Control Room'!$B$9^2)*(D28-IF('Control Room'!$B$5="Normal",'Control Room'!$B$7,('Control Room'!$B$8+'Control Room'!$D$8)/2))</x:f>
        <x:v>868.7026321647105</x:v>
      </x:c>
      <x:c r="F28" s="17" t="n">
        <x:f>IF(AND($A28&gt;='Control Room'!$A$13,$A28&lt;'Control Room'!$A$13+'Control Room'!$B$13,'Process'!BK2=1),1+('Control Room'!$C$13-1)*EXP(-0.5*(($A28-'Control Room'!$A$13-('Control Room'!$B$13-1)/2)/MAX(0.5,'Control Room'!$B$13/4))^2),1)*IF(AND($A28&gt;='Control Room'!$A$14,$A28&lt;'Control Room'!$A$14+'Control Room'!$B$14,'Process'!BK3=1),1+('Control Room'!$C$14-1)*EXP(-0.5*(($A28-'Control Room'!$A$14-('Control Room'!$B$14-1)/2)/MAX(0.5,'Control Room'!$B$14/4))^2),1)*IF(AND($A28&gt;='Control Room'!$A$15,$A28&lt;'Control Room'!$A$15+'Control Room'!$B$15,'Process'!BK4=1),1+('Control Room'!$C$15-1)*EXP(-0.5*(($A28-'Control Room'!$A$15-('Control Room'!$B$15-1)/2)/MAX(0.5,'Control Room'!$B$15/4))^2),1)*IF(AND($A28&gt;='Control Room'!$A$16,$A28&lt;'Control Room'!$A$16+'Control Room'!$B$16,'Process'!BK5=1),1+('Control Room'!$C$16-1)*EXP(-0.5*(($A28-'Control Room'!$A$16-('Control Room'!$B$16-1)/2)/MAX(0.5,'Control Room'!$B$16/4))^2),1)</x:f>
        <x:v>1</x:v>
      </x:c>
      <x:c r="G28" s="9" t="n">
        <x:f>MOD(H27*16807,2147483647)</x:f>
        <x:v>1597417989</x:v>
      </x:c>
      <x:c r="H28" s="9" t="n">
        <x:f>MOD(G28*16807,2147483647)</x:f>
        <x:v>2111069976</x:v>
      </x:c>
      <x:c r="I28" s="17" t="n">
        <x:f>IF('Control Room'!$B$5="Normal",'Control Room'!$B$7+'Control Room'!$D$7*SQRT(-2*LN(MAX(0.000000000001,G28/2147483647)))*COS(2*PI()*H28/2147483647),'Control Room'!$B$8+('Control Room'!$D$8-'Control Room'!$B$8)*G28/2147483647)</x:f>
        <x:v>1068.844066403786</x:v>
      </x:c>
      <x:c r="J28" s="17" t="n">
        <x:f>IF('Control Room'!$B$5="Normal",'Control Room'!$B$7,('Control Room'!$B$8+'Control Room'!$D$8)/2)+'Control Room'!$B$9*(J27-IF('Control Room'!$B$5="Normal",'Control Room'!$B$7,('Control Room'!$B$8+'Control Room'!$D$8)/2))+SQRT(1-'Control Room'!$B$9^2)*(I28-IF('Control Room'!$B$5="Normal",'Control Room'!$B$7,('Control Room'!$B$8+'Control Room'!$D$8)/2))</x:f>
        <x:v>1089.0358449393404</x:v>
      </x:c>
      <x:c r="K28" s="17" t="n">
        <x:f>IF(AND($A28&gt;='Control Room'!$A$13,$A28&lt;'Control Room'!$A$13+'Control Room'!$B$13,'Process'!BL2=1),1+('Control Room'!$C$13-1)*EXP(-0.5*(($A28-'Control Room'!$A$13-('Control Room'!$B$13-1)/2)/MAX(0.5,'Control Room'!$B$13/4))^2),1)*IF(AND($A28&gt;='Control Room'!$A$14,$A28&lt;'Control Room'!$A$14+'Control Room'!$B$14,'Process'!BL3=1),1+('Control Room'!$C$14-1)*EXP(-0.5*(($A28-'Control Room'!$A$14-('Control Room'!$B$14-1)/2)/MAX(0.5,'Control Room'!$B$14/4))^2),1)*IF(AND($A28&gt;='Control Room'!$A$15,$A28&lt;'Control Room'!$A$15+'Control Room'!$B$15,'Process'!BL4=1),1+('Control Room'!$C$15-1)*EXP(-0.5*(($A28-'Control Room'!$A$15-('Control Room'!$B$15-1)/2)/MAX(0.5,'Control Room'!$B$15/4))^2),1)*IF(AND($A28&gt;='Control Room'!$A$16,$A28&lt;'Control Room'!$A$16+'Control Room'!$B$16,'Process'!BL5=1),1+('Control Room'!$C$16-1)*EXP(-0.5*(($A28-'Control Room'!$A$16-('Control Room'!$B$16-1)/2)/MAX(0.5,'Control Room'!$B$16/4))^2),1)</x:f>
        <x:v>1</x:v>
      </x:c>
      <x:c r="L28" s="9" t="n">
        <x:f>MOD(M27*16807,2147483647)</x:f>
        <x:v>1336852527</x:v>
      </x:c>
      <x:c r="M28" s="9" t="n">
        <x:f>MOD(L28*16807,2147483647)</x:f>
        <x:v>1506506375</x:v>
      </x:c>
      <x:c r="N28" s="17" t="n">
        <x:f>IF('Control Room'!$B$5="Normal",'Control Room'!$B$7+'Control Room'!$D$7*SQRT(-2*LN(MAX(0.000000000001,L28/2147483647)))*COS(2*PI()*M28/2147483647),'Control Room'!$B$8+('Control Room'!$D$8-'Control Room'!$B$8)*L28/2147483647)</x:f>
        <x:v>973.7198595188553</x:v>
      </x:c>
      <x:c r="O28" s="17" t="n">
        <x:f>IF('Control Room'!$B$5="Normal",'Control Room'!$B$7,('Control Room'!$B$8+'Control Room'!$D$8)/2)+'Control Room'!$B$9*(O27-IF('Control Room'!$B$5="Normal",'Control Room'!$B$7,('Control Room'!$B$8+'Control Room'!$D$8)/2))+SQRT(1-'Control Room'!$B$9^2)*(N28-IF('Control Room'!$B$5="Normal",'Control Room'!$B$7,('Control Room'!$B$8+'Control Room'!$D$8)/2))</x:f>
        <x:v>1086.9460952835768</x:v>
      </x:c>
      <x:c r="P28" s="17" t="n">
        <x:f>IF(AND($A28&gt;='Control Room'!$A$13,$A28&lt;'Control Room'!$A$13+'Control Room'!$B$13,'Process'!BM2=1),1+('Control Room'!$C$13-1)*EXP(-0.5*(($A28-'Control Room'!$A$13-('Control Room'!$B$13-1)/2)/MAX(0.5,'Control Room'!$B$13/4))^2),1)*IF(AND($A28&gt;='Control Room'!$A$14,$A28&lt;'Control Room'!$A$14+'Control Room'!$B$14,'Process'!BM3=1),1+('Control Room'!$C$14-1)*EXP(-0.5*(($A28-'Control Room'!$A$14-('Control Room'!$B$14-1)/2)/MAX(0.5,'Control Room'!$B$14/4))^2),1)*IF(AND($A28&gt;='Control Room'!$A$15,$A28&lt;'Control Room'!$A$15+'Control Room'!$B$15,'Process'!BM4=1),1+('Control Room'!$C$15-1)*EXP(-0.5*(($A28-'Control Room'!$A$15-('Control Room'!$B$15-1)/2)/MAX(0.5,'Control Room'!$B$15/4))^2),1)*IF(AND($A28&gt;='Control Room'!$A$16,$A28&lt;'Control Room'!$A$16+'Control Room'!$B$16,'Process'!BM5=1),1+('Control Room'!$C$16-1)*EXP(-0.5*(($A28-'Control Room'!$A$16-('Control Room'!$B$16-1)/2)/MAX(0.5,'Control Room'!$B$16/4))^2),1)</x:f>
        <x:v>1</x:v>
      </x:c>
      <x:c r="Q28" s="9" t="n">
        <x:f>MOD(R27*16807,2147483647)</x:f>
        <x:v>1076287065</x:v>
      </x:c>
      <x:c r="R28" s="9" t="n">
        <x:f>MOD(Q28*16807,2147483647)</x:f>
        <x:v>901942774</x:v>
      </x:c>
      <x:c r="S28" s="17" t="n">
        <x:f>IF('Control Room'!$B$5="Normal",'Control Room'!$B$7+'Control Room'!$D$7*SQRT(-2*LN(MAX(0.000000000001,Q28/2147483647)))*COS(2*PI()*R28/2147483647),'Control Room'!$B$8+('Control Room'!$D$8-'Control Room'!$B$8)*Q28/2147483647)</x:f>
        <x:v>907.2992785476604</x:v>
      </x:c>
      <x:c r="T28" s="17" t="n">
        <x:f>IF('Control Room'!$B$5="Normal",'Control Room'!$B$7,('Control Room'!$B$8+'Control Room'!$D$8)/2)+'Control Room'!$B$9*(T27-IF('Control Room'!$B$5="Normal",'Control Room'!$B$7,('Control Room'!$B$8+'Control Room'!$D$8)/2))+SQRT(1-'Control Room'!$B$9^2)*(S28-IF('Control Room'!$B$5="Normal",'Control Room'!$B$7,('Control Room'!$B$8+'Control Room'!$D$8)/2))</x:f>
        <x:v>917.9936668279363</x:v>
      </x:c>
      <x:c r="U28" s="17" t="n">
        <x:f>IF(AND($A28&gt;='Control Room'!$A$13,$A28&lt;'Control Room'!$A$13+'Control Room'!$B$13,'Process'!BN2=1),1+('Control Room'!$C$13-1)*EXP(-0.5*(($A28-'Control Room'!$A$13-('Control Room'!$B$13-1)/2)/MAX(0.5,'Control Room'!$B$13/4))^2),1)*IF(AND($A28&gt;='Control Room'!$A$14,$A28&lt;'Control Room'!$A$14+'Control Room'!$B$14,'Process'!BN3=1),1+('Control Room'!$C$14-1)*EXP(-0.5*(($A28-'Control Room'!$A$14-('Control Room'!$B$14-1)/2)/MAX(0.5,'Control Room'!$B$14/4))^2),1)*IF(AND($A28&gt;='Control Room'!$A$15,$A28&lt;'Control Room'!$A$15+'Control Room'!$B$15,'Process'!BN4=1),1+('Control Room'!$C$15-1)*EXP(-0.5*(($A28-'Control Room'!$A$15-('Control Room'!$B$15-1)/2)/MAX(0.5,'Control Room'!$B$15/4))^2),1)*IF(AND($A28&gt;='Control Room'!$A$16,$A28&lt;'Control Room'!$A$16+'Control Room'!$B$16,'Process'!BN5=1),1+('Control Room'!$C$16-1)*EXP(-0.5*(($A28-'Control Room'!$A$16-('Control Room'!$B$16-1)/2)/MAX(0.5,'Control Room'!$B$16/4))^2),1)</x:f>
        <x:v>1</x:v>
      </x:c>
      <x:c r="V28" s="9" t="n">
        <x:f>MOD(W27*16807,2147483647)</x:f>
        <x:v>815721603</x:v>
      </x:c>
      <x:c r="W28" s="9" t="n">
        <x:f>MOD(V28*16807,2147483647)</x:f>
        <x:v>297379173</x:v>
      </x:c>
      <x:c r="X28" s="17" t="n">
        <x:f>IF('Control Room'!$B$5="Normal",'Control Room'!$B$7+'Control Room'!$D$7*SQRT(-2*LN(MAX(0.000000000001,V28/2147483647)))*COS(2*PI()*W28/2147483647),'Control Room'!$B$8+('Control Room'!$D$8-'Control Room'!$B$8)*V28/2147483647)</x:f>
        <x:v>1080.740376386869</x:v>
      </x:c>
      <x:c r="Y28" s="17" t="n">
        <x:f>IF('Control Room'!$B$5="Normal",'Control Room'!$B$7,('Control Room'!$B$8+'Control Room'!$D$8)/2)+'Control Room'!$B$9*(Y27-IF('Control Room'!$B$5="Normal",'Control Room'!$B$7,('Control Room'!$B$8+'Control Room'!$D$8)/2))+SQRT(1-'Control Room'!$B$9^2)*(X28-IF('Control Room'!$B$5="Normal",'Control Room'!$B$7,('Control Room'!$B$8+'Control Room'!$D$8)/2))</x:f>
        <x:v>1127.7397314401665</x:v>
      </x:c>
      <x:c r="Z28" s="17" t="n">
        <x:f>IF(AND($A28&gt;='Control Room'!$A$13,$A28&lt;'Control Room'!$A$13+'Control Room'!$B$13,'Process'!BO2=1),1+('Control Room'!$C$13-1)*EXP(-0.5*(($A28-'Control Room'!$A$13-('Control Room'!$B$13-1)/2)/MAX(0.5,'Control Room'!$B$13/4))^2),1)*IF(AND($A28&gt;='Control Room'!$A$14,$A28&lt;'Control Room'!$A$14+'Control Room'!$B$14,'Process'!BO3=1),1+('Control Room'!$C$14-1)*EXP(-0.5*(($A28-'Control Room'!$A$14-('Control Room'!$B$14-1)/2)/MAX(0.5,'Control Room'!$B$14/4))^2),1)*IF(AND($A28&gt;='Control Room'!$A$15,$A28&lt;'Control Room'!$A$15+'Control Room'!$B$15,'Process'!BO4=1),1+('Control Room'!$C$15-1)*EXP(-0.5*(($A28-'Control Room'!$A$15-('Control Room'!$B$15-1)/2)/MAX(0.5,'Control Room'!$B$15/4))^2),1)*IF(AND($A28&gt;='Control Room'!$A$16,$A28&lt;'Control Room'!$A$16+'Control Room'!$B$16,'Process'!BO5=1),1+('Control Room'!$C$16-1)*EXP(-0.5*(($A28-'Control Room'!$A$16-('Control Room'!$B$16-1)/2)/MAX(0.5,'Control Room'!$B$16/4))^2),1)</x:f>
        <x:v>1</x:v>
      </x:c>
      <x:c r="AA28" s="9" t="n">
        <x:f>MOD(AB27*16807,2147483647)</x:f>
        <x:v>555156141</x:v>
      </x:c>
      <x:c r="AB28" s="9" t="n">
        <x:f>MOD(AA28*16807,2147483647)</x:f>
        <x:v>1840299219</x:v>
      </x:c>
      <x:c r="AC28" s="17" t="n">
        <x:f>IF('Control Room'!$B$5="Normal",'Control Room'!$B$7+'Control Room'!$D$7*SQRT(-2*LN(MAX(0.000000000001,AA28/2147483647)))*COS(2*PI()*AB28/2147483647),'Control Room'!$B$8+('Control Room'!$D$8-'Control Room'!$B$8)*AA28/2147483647)</x:f>
        <x:v>1092.1646308893141</x:v>
      </x:c>
      <x:c r="AD28" s="17" t="n">
        <x:f>IF('Control Room'!$B$5="Normal",'Control Room'!$B$7,('Control Room'!$B$8+'Control Room'!$D$8)/2)+'Control Room'!$B$9*(AD27-IF('Control Room'!$B$5="Normal",'Control Room'!$B$7,('Control Room'!$B$8+'Control Room'!$D$8)/2))+SQRT(1-'Control Room'!$B$9^2)*(AC28-IF('Control Room'!$B$5="Normal",'Control Room'!$B$7,('Control Room'!$B$8+'Control Room'!$D$8)/2))</x:f>
        <x:v>1112.1245338763945</x:v>
      </x:c>
      <x:c r="AE28" s="17" t="n">
        <x:f>IF(AND($A28&gt;='Control Room'!$A$13,$A28&lt;'Control Room'!$A$13+'Control Room'!$B$13,'Process'!BP2=1),1+('Control Room'!$C$13-1)*EXP(-0.5*(($A28-'Control Room'!$A$13-('Control Room'!$B$13-1)/2)/MAX(0.5,'Control Room'!$B$13/4))^2),1)*IF(AND($A28&gt;='Control Room'!$A$14,$A28&lt;'Control Room'!$A$14+'Control Room'!$B$14,'Process'!BP3=1),1+('Control Room'!$C$14-1)*EXP(-0.5*(($A28-'Control Room'!$A$14-('Control Room'!$B$14-1)/2)/MAX(0.5,'Control Room'!$B$14/4))^2),1)*IF(AND($A28&gt;='Control Room'!$A$15,$A28&lt;'Control Room'!$A$15+'Control Room'!$B$15,'Process'!BP4=1),1+('Control Room'!$C$15-1)*EXP(-0.5*(($A28-'Control Room'!$A$15-('Control Room'!$B$15-1)/2)/MAX(0.5,'Control Room'!$B$15/4))^2),1)*IF(AND($A28&gt;='Control Room'!$A$16,$A28&lt;'Control Room'!$A$16+'Control Room'!$B$16,'Process'!BP5=1),1+('Control Room'!$C$16-1)*EXP(-0.5*(($A28-'Control Room'!$A$16-('Control Room'!$B$16-1)/2)/MAX(0.5,'Control Room'!$B$16/4))^2),1)</x:f>
        <x:v>1</x:v>
      </x:c>
      <x:c r="AF28" s="9" t="n">
        <x:f>MOD(AG27*16807,2147483647)</x:f>
        <x:v>294590679</x:v>
      </x:c>
      <x:c r="AG28" s="9" t="n">
        <x:f>MOD(AF28*16807,2147483647)</x:f>
        <x:v>1235735618</x:v>
      </x:c>
      <x:c r="AH28" s="17" t="n">
        <x:f>IF('Control Room'!$B$5="Normal",'Control Room'!$B$7+'Control Room'!$D$7*SQRT(-2*LN(MAX(0.000000000001,AF28/2147483647)))*COS(2*PI()*AG28/2147483647),'Control Room'!$B$8+('Control Room'!$D$8-'Control Room'!$B$8)*AF28/2147483647)</x:f>
        <x:v>840.385229107497</x:v>
      </x:c>
      <x:c r="AI28" s="17" t="n">
        <x:f>IF('Control Room'!$B$5="Normal",'Control Room'!$B$7,('Control Room'!$B$8+'Control Room'!$D$8)/2)+'Control Room'!$B$9*(AI27-IF('Control Room'!$B$5="Normal",'Control Room'!$B$7,('Control Room'!$B$8+'Control Room'!$D$8)/2))+SQRT(1-'Control Room'!$B$9^2)*(AH28-IF('Control Room'!$B$5="Normal",'Control Room'!$B$7,('Control Room'!$B$8+'Control Room'!$D$8)/2))</x:f>
        <x:v>880.3583574666545</x:v>
      </x:c>
      <x:c r="AJ28" s="17" t="n">
        <x:f>IF(AND($A28&gt;='Control Room'!$A$13,$A28&lt;'Control Room'!$A$13+'Control Room'!$B$13,'Process'!BQ2=1),1+('Control Room'!$C$13-1)*EXP(-0.5*(($A28-'Control Room'!$A$13-('Control Room'!$B$13-1)/2)/MAX(0.5,'Control Room'!$B$13/4))^2),1)*IF(AND($A28&gt;='Control Room'!$A$14,$A28&lt;'Control Room'!$A$14+'Control Room'!$B$14,'Process'!BQ3=1),1+('Control Room'!$C$14-1)*EXP(-0.5*(($A28-'Control Room'!$A$14-('Control Room'!$B$14-1)/2)/MAX(0.5,'Control Room'!$B$14/4))^2),1)*IF(AND($A28&gt;='Control Room'!$A$15,$A28&lt;'Control Room'!$A$15+'Control Room'!$B$15,'Process'!BQ4=1),1+('Control Room'!$C$15-1)*EXP(-0.5*(($A28-'Control Room'!$A$15-('Control Room'!$B$15-1)/2)/MAX(0.5,'Control Room'!$B$15/4))^2),1)*IF(AND($A28&gt;='Control Room'!$A$16,$A28&lt;'Control Room'!$A$16+'Control Room'!$B$16,'Process'!BQ5=1),1+('Control Room'!$C$16-1)*EXP(-0.5*(($A28-'Control Room'!$A$16-('Control Room'!$B$16-1)/2)/MAX(0.5,'Control Room'!$B$16/4))^2),1)</x:f>
        <x:v>1</x:v>
      </x:c>
      <x:c r="AK28" s="9" t="n">
        <x:f>MOD(AL27*16807,2147483647)</x:f>
        <x:v>34025217</x:v>
      </x:c>
      <x:c r="AL28" s="9" t="n">
        <x:f>MOD(AK28*16807,2147483647)</x:f>
        <x:v>631172017</x:v>
      </x:c>
      <x:c r="AM28" s="17" t="n">
        <x:f>IF('Control Room'!$B$5="Normal",'Control Room'!$B$7+'Control Room'!$D$7*SQRT(-2*LN(MAX(0.000000000001,AK28/2147483647)))*COS(2*PI()*AL28/2147483647),'Control Room'!$B$8+('Control Room'!$D$8-'Control Room'!$B$8)*AK28/2147483647)</x:f>
        <x:v>929.4073141197621</x:v>
      </x:c>
      <x:c r="AN28" s="17" t="n">
        <x:f>IF('Control Room'!$B$5="Normal",'Control Room'!$B$7,('Control Room'!$B$8+'Control Room'!$D$8)/2)+'Control Room'!$B$9*(AN27-IF('Control Room'!$B$5="Normal",'Control Room'!$B$7,('Control Room'!$B$8+'Control Room'!$D$8)/2))+SQRT(1-'Control Room'!$B$9^2)*(AM28-IF('Control Room'!$B$5="Normal",'Control Room'!$B$7,('Control Room'!$B$8+'Control Room'!$D$8)/2))</x:f>
        <x:v>1073.2419928880636</x:v>
      </x:c>
      <x:c r="AO28" s="17" t="n">
        <x:f>IF(AND($A28&gt;='Control Room'!$A$13,$A28&lt;'Control Room'!$A$13+'Control Room'!$B$13,'Process'!BR2=1),1+('Control Room'!$C$13-1)*EXP(-0.5*(($A28-'Control Room'!$A$13-('Control Room'!$B$13-1)/2)/MAX(0.5,'Control Room'!$B$13/4))^2),1)*IF(AND($A28&gt;='Control Room'!$A$14,$A28&lt;'Control Room'!$A$14+'Control Room'!$B$14,'Process'!BR3=1),1+('Control Room'!$C$14-1)*EXP(-0.5*(($A28-'Control Room'!$A$14-('Control Room'!$B$14-1)/2)/MAX(0.5,'Control Room'!$B$14/4))^2),1)*IF(AND($A28&gt;='Control Room'!$A$15,$A28&lt;'Control Room'!$A$15+'Control Room'!$B$15,'Process'!BR4=1),1+('Control Room'!$C$15-1)*EXP(-0.5*(($A28-'Control Room'!$A$15-('Control Room'!$B$15-1)/2)/MAX(0.5,'Control Room'!$B$15/4))^2),1)*IF(AND($A28&gt;='Control Room'!$A$16,$A28&lt;'Control Room'!$A$16+'Control Room'!$B$16,'Process'!BR5=1),1+('Control Room'!$C$16-1)*EXP(-0.5*(($A28-'Control Room'!$A$16-('Control Room'!$B$16-1)/2)/MAX(0.5,'Control Room'!$B$16/4))^2),1)</x:f>
        <x:v>1</x:v>
      </x:c>
      <x:c r="AP28" s="9" t="n">
        <x:f>MOD(AQ27*16807,2147483647)</x:f>
        <x:v>1920943402</x:v>
      </x:c>
      <x:c r="AQ28" s="9" t="n">
        <x:f>MOD(AP28*16807,2147483647)</x:f>
        <x:v>26608416</x:v>
      </x:c>
      <x:c r="AR28" s="17" t="n">
        <x:f>IF('Control Room'!$B$5="Normal",'Control Room'!$B$7+'Control Room'!$D$7*SQRT(-2*LN(MAX(0.000000000001,AP28/2147483647)))*COS(2*PI()*AQ28/2147483647),'Control Room'!$B$8+('Control Room'!$D$8-'Control Room'!$B$8)*AP28/2147483647)</x:f>
        <x:v>1042.36812123885</x:v>
      </x:c>
      <x:c r="AS28" s="17" t="n">
        <x:f>IF('Control Room'!$B$5="Normal",'Control Room'!$B$7,('Control Room'!$B$8+'Control Room'!$D$8)/2)+'Control Room'!$B$9*(AS27-IF('Control Room'!$B$5="Normal",'Control Room'!$B$7,('Control Room'!$B$8+'Control Room'!$D$8)/2))+SQRT(1-'Control Room'!$B$9^2)*(AR28-IF('Control Room'!$B$5="Normal",'Control Room'!$B$7,('Control Room'!$B$8+'Control Room'!$D$8)/2))</x:f>
        <x:v>970.2868618070057</x:v>
      </x:c>
      <x:c r="AT28" s="17" t="n">
        <x:f>IF(AND($A28&gt;='Control Room'!$A$13,$A28&lt;'Control Room'!$A$13+'Control Room'!$B$13,'Process'!BS2=1),1+('Control Room'!$C$13-1)*EXP(-0.5*(($A28-'Control Room'!$A$13-('Control Room'!$B$13-1)/2)/MAX(0.5,'Control Room'!$B$13/4))^2),1)*IF(AND($A28&gt;='Control Room'!$A$14,$A28&lt;'Control Room'!$A$14+'Control Room'!$B$14,'Process'!BS3=1),1+('Control Room'!$C$14-1)*EXP(-0.5*(($A28-'Control Room'!$A$14-('Control Room'!$B$14-1)/2)/MAX(0.5,'Control Room'!$B$14/4))^2),1)*IF(AND($A28&gt;='Control Room'!$A$15,$A28&lt;'Control Room'!$A$15+'Control Room'!$B$15,'Process'!BS4=1),1+('Control Room'!$C$15-1)*EXP(-0.5*(($A28-'Control Room'!$A$15-('Control Room'!$B$15-1)/2)/MAX(0.5,'Control Room'!$B$15/4))^2),1)*IF(AND($A28&gt;='Control Room'!$A$16,$A28&lt;'Control Room'!$A$16+'Control Room'!$B$16,'Process'!BS5=1),1+('Control Room'!$C$16-1)*EXP(-0.5*(($A28-'Control Room'!$A$16-('Control Room'!$B$16-1)/2)/MAX(0.5,'Control Room'!$B$16/4))^2),1)</x:f>
        <x:v>1</x:v>
      </x:c>
      <x:c r="AU28" s="9" t="n">
        <x:f>MOD(AV27*16807,2147483647)</x:f>
        <x:v>1660377940</x:v>
      </x:c>
      <x:c r="AV28" s="9" t="n">
        <x:f>MOD(AU28*16807,2147483647)</x:f>
        <x:v>1569528462</x:v>
      </x:c>
      <x:c r="AW28" s="17" t="n">
        <x:f>IF('Control Room'!$B$5="Normal",'Control Room'!$B$7+'Control Room'!$D$7*SQRT(-2*LN(MAX(0.000000000001,AU28/2147483647)))*COS(2*PI()*AV28/2147483647),'Control Room'!$B$8+('Control Room'!$D$8-'Control Room'!$B$8)*AU28/2147483647)</x:f>
        <x:v>992.2586679781905</x:v>
      </x:c>
      <x:c r="AX28" s="17" t="n">
        <x:f>IF('Control Room'!$B$5="Normal",'Control Room'!$B$7,('Control Room'!$B$8+'Control Room'!$D$8)/2)+'Control Room'!$B$9*(AX27-IF('Control Room'!$B$5="Normal",'Control Room'!$B$7,('Control Room'!$B$8+'Control Room'!$D$8)/2))+SQRT(1-'Control Room'!$B$9^2)*(AW28-IF('Control Room'!$B$5="Normal",'Control Room'!$B$7,('Control Room'!$B$8+'Control Room'!$D$8)/2))</x:f>
        <x:v>1032.6234395771414</x:v>
      </x:c>
      <x:c r="AY28" s="17" t="n">
        <x:f>IF(AND($A28&gt;='Control Room'!$A$13,$A28&lt;'Control Room'!$A$13+'Control Room'!$B$13,'Process'!BT2=1),1+('Control Room'!$C$13-1)*EXP(-0.5*(($A28-'Control Room'!$A$13-('Control Room'!$B$13-1)/2)/MAX(0.5,'Control Room'!$B$13/4))^2),1)*IF(AND($A28&gt;='Control Room'!$A$14,$A28&lt;'Control Room'!$A$14+'Control Room'!$B$14,'Process'!BT3=1),1+('Control Room'!$C$14-1)*EXP(-0.5*(($A28-'Control Room'!$A$14-('Control Room'!$B$14-1)/2)/MAX(0.5,'Control Room'!$B$14/4))^2),1)*IF(AND($A28&gt;='Control Room'!$A$15,$A28&lt;'Control Room'!$A$15+'Control Room'!$B$15,'Process'!BT4=1),1+('Control Room'!$C$15-1)*EXP(-0.5*(($A28-'Control Room'!$A$15-('Control Room'!$B$15-1)/2)/MAX(0.5,'Control Room'!$B$15/4))^2),1)*IF(AND($A28&gt;='Control Room'!$A$16,$A28&lt;'Control Room'!$A$16+'Control Room'!$B$16,'Process'!BT5=1),1+('Control Room'!$C$16-1)*EXP(-0.5*(($A28-'Control Room'!$A$16-('Control Room'!$B$16-1)/2)/MAX(0.5,'Control Room'!$B$16/4))^2),1)</x:f>
        <x:v>1</x:v>
      </x:c>
      <x:c r="AZ28" s="9" t="n">
        <x:f>MOD(BA27*16807,2147483647)</x:f>
        <x:v>1399812478</x:v>
      </x:c>
      <x:c r="BA28" s="9" t="n">
        <x:f>MOD(AZ28*16807,2147483647)</x:f>
        <x:v>964964861</x:v>
      </x:c>
      <x:c r="BB28" s="17" t="n">
        <x:f>IF('Control Room'!$B$5="Normal",'Control Room'!$B$7+'Control Room'!$D$7*SQRT(-2*LN(MAX(0.000000000001,AZ28/2147483647)))*COS(2*PI()*BA28/2147483647),'Control Room'!$B$8+('Control Room'!$D$8-'Control Room'!$B$8)*AZ28/2147483647)</x:f>
        <x:v>920.9173088623247</x:v>
      </x:c>
      <x:c r="BC28" s="17" t="n">
        <x:f>IF('Control Room'!$B$5="Normal",'Control Room'!$B$7,('Control Room'!$B$8+'Control Room'!$D$8)/2)+'Control Room'!$B$9*(BC27-IF('Control Room'!$B$5="Normal",'Control Room'!$B$7,('Control Room'!$B$8+'Control Room'!$D$8)/2))+SQRT(1-'Control Room'!$B$9^2)*(BB28-IF('Control Room'!$B$5="Normal",'Control Room'!$B$7,('Control Room'!$B$8+'Control Room'!$D$8)/2))</x:f>
        <x:v>891.5954386008943</x:v>
      </x:c>
      <x:c r="BD28" s="17" t="n">
        <x:f>IF(AND($A28&gt;='Control Room'!$A$13,$A28&lt;'Control Room'!$A$13+'Control Room'!$B$13,'Process'!BU2=1),1+('Control Room'!$C$13-1)*EXP(-0.5*(($A28-'Control Room'!$A$13-('Control Room'!$B$13-1)/2)/MAX(0.5,'Control Room'!$B$13/4))^2),1)*IF(AND($A28&gt;='Control Room'!$A$14,$A28&lt;'Control Room'!$A$14+'Control Room'!$B$14,'Process'!BU3=1),1+('Control Room'!$C$14-1)*EXP(-0.5*(($A28-'Control Room'!$A$14-('Control Room'!$B$14-1)/2)/MAX(0.5,'Control Room'!$B$14/4))^2),1)*IF(AND($A28&gt;='Control Room'!$A$15,$A28&lt;'Control Room'!$A$15+'Control Room'!$B$15,'Process'!BU4=1),1+('Control Room'!$C$15-1)*EXP(-0.5*(($A28-'Control Room'!$A$15-('Control Room'!$B$15-1)/2)/MAX(0.5,'Control Room'!$B$15/4))^2),1)*IF(AND($A28&gt;='Control Room'!$A$16,$A28&lt;'Control Room'!$A$16+'Control Room'!$B$16,'Process'!BU5=1),1+('Control Room'!$C$16-1)*EXP(-0.5*(($A28-'Control Room'!$A$16-('Control Room'!$B$16-1)/2)/MAX(0.5,'Control Room'!$B$16/4))^2),1)</x:f>
        <x:v>1</x:v>
      </x:c>
      <x:c r="BE28" s="9" t="n">
        <x:f>MOD(BF27*16807,2147483647)</x:f>
        <x:v>1139247016</x:v>
      </x:c>
      <x:c r="BF28" s="9" t="n">
        <x:f>MOD(BE28*16807,2147483647)</x:f>
        <x:v>360401260</x:v>
      </x:c>
      <x:c r="BG28" s="17" t="n">
        <x:f>IF('Control Room'!$B$5="Normal",'Control Room'!$B$7+'Control Room'!$D$7*SQRT(-2*LN(MAX(0.000000000001,BE28/2147483647)))*COS(2*PI()*BF28/2147483647),'Control Room'!$B$8+('Control Room'!$D$8-'Control Room'!$B$8)*BE28/2147483647)</x:f>
        <x:v>1050.0296234864024</x:v>
      </x:c>
      <x:c r="BH28" s="17" t="n">
        <x:f>IF('Control Room'!$B$5="Normal",'Control Room'!$B$7,('Control Room'!$B$8+'Control Room'!$D$8)/2)+'Control Room'!$B$9*(BH27-IF('Control Room'!$B$5="Normal",'Control Room'!$B$7,('Control Room'!$B$8+'Control Room'!$D$8)/2))+SQRT(1-'Control Room'!$B$9^2)*(BG28-IF('Control Room'!$B$5="Normal",'Control Room'!$B$7,('Control Room'!$B$8+'Control Room'!$D$8)/2))</x:f>
        <x:v>1044.297571147247</x:v>
      </x:c>
      <x:c r="BI28" s="17" t="n">
        <x:f>IF(AND($A28&gt;='Control Room'!$A$13,$A28&lt;'Control Room'!$A$13+'Control Room'!$B$13,'Process'!BV2=1),1+('Control Room'!$C$13-1)*EXP(-0.5*(($A28-'Control Room'!$A$13-('Control Room'!$B$13-1)/2)/MAX(0.5,'Control Room'!$B$13/4))^2),1)*IF(AND($A28&gt;='Control Room'!$A$14,$A28&lt;'Control Room'!$A$14+'Control Room'!$B$14,'Process'!BV3=1),1+('Control Room'!$C$14-1)*EXP(-0.5*(($A28-'Control Room'!$A$14-('Control Room'!$B$14-1)/2)/MAX(0.5,'Control Room'!$B$14/4))^2),1)*IF(AND($A28&gt;='Control Room'!$A$15,$A28&lt;'Control Room'!$A$15+'Control Room'!$B$15,'Process'!BV4=1),1+('Control Room'!$C$15-1)*EXP(-0.5*(($A28-'Control Room'!$A$15-('Control Room'!$B$15-1)/2)/MAX(0.5,'Control Room'!$B$15/4))^2),1)*IF(AND($A28&gt;='Control Room'!$A$16,$A28&lt;'Control Room'!$A$16+'Control Room'!$B$16,'Process'!BV5=1),1+('Control Room'!$C$16-1)*EXP(-0.5*(($A28-'Control Room'!$A$16-('Control Room'!$B$16-1)/2)/MAX(0.5,'Control Room'!$B$16/4))^2),1)</x:f>
        <x:v>1</x:v>
      </x:c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Z28" t="str">
        <x:f>IF('Data'!A28="","",TEXT('Data'!A28,"mm-dd"))</x:f>
        <x:v>11-28</x:v>
      </x:c>
    </x:row>
    <x:row r="29" ht="21" customHeight="1">
      <x:c r="A29" s="15" t="n">
        <x:f>'Control Room'!$B$1+27</x:f>
        <x:v>73018</x:v>
      </x:c>
      <x:c r="B29" s="9" t="n">
        <x:f>MOD(C28*16807,2147483647)</x:f>
        <x:v>1183578948</x:v>
      </x:c>
      <x:c r="C29" s="9" t="n">
        <x:f>MOD(B29*16807,2147483647)</x:f>
        <x:v>270356875</x:v>
      </x:c>
      <x:c r="D29" s="17" t="n">
        <x:f>IF('Control Room'!$B$5="Normal",'Control Room'!$B$7+'Control Room'!$D$7*SQRT(-2*LN(MAX(0.000000000001,B29/2147483647)))*COS(2*PI()*C29/2147483647),'Control Room'!$B$8+('Control Room'!$D$8-'Control Room'!$B$8)*B29/2147483647)</x:f>
        <x:v>1069.074966466828</x:v>
      </x:c>
      <x:c r="E29" s="17" t="n">
        <x:f>IF('Control Room'!$B$5="Normal",'Control Room'!$B$7,('Control Room'!$B$8+'Control Room'!$D$8)/2)+'Control Room'!$B$9*(E28-IF('Control Room'!$B$5="Normal",'Control Room'!$B$7,('Control Room'!$B$8+'Control Room'!$D$8)/2))+SQRT(1-'Control Room'!$B$9^2)*(D29-IF('Control Room'!$B$5="Normal",'Control Room'!$B$7,('Control Room'!$B$8+'Control Room'!$D$8)/2))</x:f>
        <x:v>940.8137520258108</x:v>
      </x:c>
      <x:c r="F29" s="17" t="n">
        <x:f>IF(AND($A29&gt;='Control Room'!$A$13,$A29&lt;'Control Room'!$A$13+'Control Room'!$B$13,'Process'!BK2=1),1+('Control Room'!$C$13-1)*EXP(-0.5*(($A29-'Control Room'!$A$13-('Control Room'!$B$13-1)/2)/MAX(0.5,'Control Room'!$B$13/4))^2),1)*IF(AND($A29&gt;='Control Room'!$A$14,$A29&lt;'Control Room'!$A$14+'Control Room'!$B$14,'Process'!BK3=1),1+('Control Room'!$C$14-1)*EXP(-0.5*(($A29-'Control Room'!$A$14-('Control Room'!$B$14-1)/2)/MAX(0.5,'Control Room'!$B$14/4))^2),1)*IF(AND($A29&gt;='Control Room'!$A$15,$A29&lt;'Control Room'!$A$15+'Control Room'!$B$15,'Process'!BK4=1),1+('Control Room'!$C$15-1)*EXP(-0.5*(($A29-'Control Room'!$A$15-('Control Room'!$B$15-1)/2)/MAX(0.5,'Control Room'!$B$15/4))^2),1)*IF(AND($A29&gt;='Control Room'!$A$16,$A29&lt;'Control Room'!$A$16+'Control Room'!$B$16,'Process'!BK5=1),1+('Control Room'!$C$16-1)*EXP(-0.5*(($A29-'Control Room'!$A$16-('Control Room'!$B$16-1)/2)/MAX(0.5,'Control Room'!$B$16/4))^2),1)</x:f>
        <x:v>1</x:v>
      </x:c>
      <x:c r="G29" s="9" t="n">
        <x:f>MOD(H28*16807,2147483647)</x:f>
        <x:v>28270898</x:v>
      </x:c>
      <x:c r="H29" s="9" t="n">
        <x:f>MOD(G29*16807,2147483647)</x:f>
        <x:v>555096699</x:v>
      </x:c>
      <x:c r="I29" s="17" t="n">
        <x:f>IF('Control Room'!$B$5="Normal",'Control Room'!$B$7+'Control Room'!$D$7*SQRT(-2*LN(MAX(0.000000000001,G29/2147483647)))*COS(2*PI()*H29/2147483647),'Control Room'!$B$8+('Control Room'!$D$8-'Control Room'!$B$8)*G29/2147483647)</x:f>
        <x:v>985.8829844080865</x:v>
      </x:c>
      <x:c r="J29" s="17" t="n">
        <x:f>IF('Control Room'!$B$5="Normal",'Control Room'!$B$7,('Control Room'!$B$8+'Control Room'!$D$8)/2)+'Control Room'!$B$9*(J28-IF('Control Room'!$B$5="Normal",'Control Room'!$B$7,('Control Room'!$B$8+'Control Room'!$D$8)/2))+SQRT(1-'Control Room'!$B$9^2)*(I29-IF('Control Room'!$B$5="Normal",'Control Room'!$B$7,('Control Room'!$B$8+'Control Room'!$D$8)/2))</x:f>
        <x:v>1060.61381989805</x:v>
      </x:c>
      <x:c r="K29" s="17" t="n">
        <x:f>IF(AND($A29&gt;='Control Room'!$A$13,$A29&lt;'Control Room'!$A$13+'Control Room'!$B$13,'Process'!BL2=1),1+('Control Room'!$C$13-1)*EXP(-0.5*(($A29-'Control Room'!$A$13-('Control Room'!$B$13-1)/2)/MAX(0.5,'Control Room'!$B$13/4))^2),1)*IF(AND($A29&gt;='Control Room'!$A$14,$A29&lt;'Control Room'!$A$14+'Control Room'!$B$14,'Process'!BL3=1),1+('Control Room'!$C$14-1)*EXP(-0.5*(($A29-'Control Room'!$A$14-('Control Room'!$B$14-1)/2)/MAX(0.5,'Control Room'!$B$14/4))^2),1)*IF(AND($A29&gt;='Control Room'!$A$15,$A29&lt;'Control Room'!$A$15+'Control Room'!$B$15,'Process'!BL4=1),1+('Control Room'!$C$15-1)*EXP(-0.5*(($A29-'Control Room'!$A$15-('Control Room'!$B$15-1)/2)/MAX(0.5,'Control Room'!$B$15/4))^2),1)*IF(AND($A29&gt;='Control Room'!$A$16,$A29&lt;'Control Room'!$A$16+'Control Room'!$B$16,'Process'!BL5=1),1+('Control Room'!$C$16-1)*EXP(-0.5*(($A29-'Control Room'!$A$16-('Control Room'!$B$16-1)/2)/MAX(0.5,'Control Room'!$B$16/4))^2),1)</x:f>
        <x:v>1</x:v>
      </x:c>
      <x:c r="L29" s="9" t="n">
        <x:f>MOD(M28*16807,2147483647)</x:f>
        <x:v>1020446495</x:v>
      </x:c>
      <x:c r="M29" s="9" t="n">
        <x:f>MOD(L29*16807,2147483647)</x:f>
        <x:v>839836523</x:v>
      </x:c>
      <x:c r="N29" s="17" t="n">
        <x:f>IF('Control Room'!$B$5="Normal",'Control Room'!$B$7+'Control Room'!$D$7*SQRT(-2*LN(MAX(0.000000000001,L29/2147483647)))*COS(2*PI()*M29/2147483647),'Control Room'!$B$8+('Control Room'!$D$8-'Control Room'!$B$8)*L29/2147483647)</x:f>
        <x:v>914.9331461921546</x:v>
      </x:c>
      <x:c r="O29" s="17" t="n">
        <x:f>IF('Control Room'!$B$5="Normal",'Control Room'!$B$7,('Control Room'!$B$8+'Control Room'!$D$8)/2)+'Control Room'!$B$9*(O28-IF('Control Room'!$B$5="Normal",'Control Room'!$B$7,('Control Room'!$B$8+'Control Room'!$D$8)/2))+SQRT(1-'Control Room'!$B$9^2)*(N29-IF('Control Room'!$B$5="Normal",'Control Room'!$B$7,('Control Room'!$B$8+'Control Room'!$D$8)/2))</x:f>
        <x:v>1014.5848598974642</x:v>
      </x:c>
      <x:c r="P29" s="17" t="n">
        <x:f>IF(AND($A29&gt;='Control Room'!$A$13,$A29&lt;'Control Room'!$A$13+'Control Room'!$B$13,'Process'!BM2=1),1+('Control Room'!$C$13-1)*EXP(-0.5*(($A29-'Control Room'!$A$13-('Control Room'!$B$13-1)/2)/MAX(0.5,'Control Room'!$B$13/4))^2),1)*IF(AND($A29&gt;='Control Room'!$A$14,$A29&lt;'Control Room'!$A$14+'Control Room'!$B$14,'Process'!BM3=1),1+('Control Room'!$C$14-1)*EXP(-0.5*(($A29-'Control Room'!$A$14-('Control Room'!$B$14-1)/2)/MAX(0.5,'Control Room'!$B$14/4))^2),1)*IF(AND($A29&gt;='Control Room'!$A$15,$A29&lt;'Control Room'!$A$15+'Control Room'!$B$15,'Process'!BM4=1),1+('Control Room'!$C$15-1)*EXP(-0.5*(($A29-'Control Room'!$A$15-('Control Room'!$B$15-1)/2)/MAX(0.5,'Control Room'!$B$15/4))^2),1)*IF(AND($A29&gt;='Control Room'!$A$16,$A29&lt;'Control Room'!$A$16+'Control Room'!$B$16,'Process'!BM5=1),1+('Control Room'!$C$16-1)*EXP(-0.5*(($A29-'Control Room'!$A$16-('Control Room'!$B$16-1)/2)/MAX(0.5,'Control Room'!$B$16/4))^2),1)</x:f>
        <x:v>1</x:v>
      </x:c>
      <x:c r="Q29" s="9" t="n">
        <x:f>MOD(R28*16807,2147483647)</x:f>
        <x:v>2012622092</x:v>
      </x:c>
      <x:c r="R29" s="9" t="n">
        <x:f>MOD(Q29*16807,2147483647)</x:f>
        <x:v>1124576347</x:v>
      </x:c>
      <x:c r="S29" s="17" t="n">
        <x:f>IF('Control Room'!$B$5="Normal",'Control Room'!$B$7+'Control Room'!$D$7*SQRT(-2*LN(MAX(0.000000000001,Q29/2147483647)))*COS(2*PI()*R29/2147483647),'Control Room'!$B$8+('Control Room'!$D$8-'Control Room'!$B$8)*Q29/2147483647)</x:f>
        <x:v>967.9432837534981</x:v>
      </x:c>
      <x:c r="T29" s="17" t="n">
        <x:f>IF('Control Room'!$B$5="Normal",'Control Room'!$B$7,('Control Room'!$B$8+'Control Room'!$D$8)/2)+'Control Room'!$B$9*(T28-IF('Control Room'!$B$5="Normal",'Control Room'!$B$7,('Control Room'!$B$8+'Control Room'!$D$8)/2))+SQRT(1-'Control Room'!$B$9^2)*(S29-IF('Control Room'!$B$5="Normal",'Control Room'!$B$7,('Control Room'!$B$8+'Control Room'!$D$8)/2))</x:f>
        <x:v>915.9746238162576</x:v>
      </x:c>
      <x:c r="U29" s="17" t="n">
        <x:f>IF(AND($A29&gt;='Control Room'!$A$13,$A29&lt;'Control Room'!$A$13+'Control Room'!$B$13,'Process'!BN2=1),1+('Control Room'!$C$13-1)*EXP(-0.5*(($A29-'Control Room'!$A$13-('Control Room'!$B$13-1)/2)/MAX(0.5,'Control Room'!$B$13/4))^2),1)*IF(AND($A29&gt;='Control Room'!$A$14,$A29&lt;'Control Room'!$A$14+'Control Room'!$B$14,'Process'!BN3=1),1+('Control Room'!$C$14-1)*EXP(-0.5*(($A29-'Control Room'!$A$14-('Control Room'!$B$14-1)/2)/MAX(0.5,'Control Room'!$B$14/4))^2),1)*IF(AND($A29&gt;='Control Room'!$A$15,$A29&lt;'Control Room'!$A$15+'Control Room'!$B$15,'Process'!BN4=1),1+('Control Room'!$C$15-1)*EXP(-0.5*(($A29-'Control Room'!$A$15-('Control Room'!$B$15-1)/2)/MAX(0.5,'Control Room'!$B$15/4))^2),1)*IF(AND($A29&gt;='Control Room'!$A$16,$A29&lt;'Control Room'!$A$16+'Control Room'!$B$16,'Process'!BN5=1),1+('Control Room'!$C$16-1)*EXP(-0.5*(($A29-'Control Room'!$A$16-('Control Room'!$B$16-1)/2)/MAX(0.5,'Control Room'!$B$16/4))^2),1)</x:f>
        <x:v>1</x:v>
      </x:c>
      <x:c r="V29" s="9" t="n">
        <x:f>MOD(W28*16807,2147483647)</x:f>
        <x:v>857314042</x:v>
      </x:c>
      <x:c r="W29" s="9" t="n">
        <x:f>MOD(V29*16807,2147483647)</x:f>
        <x:v>1409316171</x:v>
      </x:c>
      <x:c r="X29" s="17" t="n">
        <x:f>IF('Control Room'!$B$5="Normal",'Control Room'!$B$7+'Control Room'!$D$7*SQRT(-2*LN(MAX(0.000000000001,V29/2147483647)))*COS(2*PI()*W29/2147483647),'Control Room'!$B$8+('Control Room'!$D$8-'Control Room'!$B$8)*V29/2147483647)</x:f>
        <x:v>932.2484396189213</x:v>
      </x:c>
      <x:c r="Y29" s="17" t="n">
        <x:f>IF('Control Room'!$B$5="Normal",'Control Room'!$B$7,('Control Room'!$B$8+'Control Room'!$D$8)/2)+'Control Room'!$B$9*(Y28-IF('Control Room'!$B$5="Normal",'Control Room'!$B$7,('Control Room'!$B$8+'Control Room'!$D$8)/2))+SQRT(1-'Control Room'!$B$9^2)*(X29-IF('Control Room'!$B$5="Normal",'Control Room'!$B$7,('Control Room'!$B$8+'Control Room'!$D$8)/2))</x:f>
        <x:v>1057.239452003008</x:v>
      </x:c>
      <x:c r="Z29" s="17" t="n">
        <x:f>IF(AND($A29&gt;='Control Room'!$A$13,$A29&lt;'Control Room'!$A$13+'Control Room'!$B$13,'Process'!BO2=1),1+('Control Room'!$C$13-1)*EXP(-0.5*(($A29-'Control Room'!$A$13-('Control Room'!$B$13-1)/2)/MAX(0.5,'Control Room'!$B$13/4))^2),1)*IF(AND($A29&gt;='Control Room'!$A$14,$A29&lt;'Control Room'!$A$14+'Control Room'!$B$14,'Process'!BO3=1),1+('Control Room'!$C$14-1)*EXP(-0.5*(($A29-'Control Room'!$A$14-('Control Room'!$B$14-1)/2)/MAX(0.5,'Control Room'!$B$14/4))^2),1)*IF(AND($A29&gt;='Control Room'!$A$15,$A29&lt;'Control Room'!$A$15+'Control Room'!$B$15,'Process'!BO4=1),1+('Control Room'!$C$15-1)*EXP(-0.5*(($A29-'Control Room'!$A$15-('Control Room'!$B$15-1)/2)/MAX(0.5,'Control Room'!$B$15/4))^2),1)*IF(AND($A29&gt;='Control Room'!$A$16,$A29&lt;'Control Room'!$A$16+'Control Room'!$B$16,'Process'!BO5=1),1+('Control Room'!$C$16-1)*EXP(-0.5*(($A29-'Control Room'!$A$16-('Control Room'!$B$16-1)/2)/MAX(0.5,'Control Room'!$B$16/4))^2),1)</x:f>
        <x:v>1</x:v>
      </x:c>
      <x:c r="AA29" s="9" t="n">
        <x:f>MOD(AB28*16807,2147483647)</x:f>
        <x:v>1849489639</x:v>
      </x:c>
      <x:c r="AB29" s="9" t="n">
        <x:f>MOD(AA29*16807,2147483647)</x:f>
        <x:v>1694055995</x:v>
      </x:c>
      <x:c r="AC29" s="17" t="n">
        <x:f>IF('Control Room'!$B$5="Normal",'Control Room'!$B$7+'Control Room'!$D$7*SQRT(-2*LN(MAX(0.000000000001,AA29/2147483647)))*COS(2*PI()*AB29/2147483647),'Control Room'!$B$8+('Control Room'!$D$8-'Control Room'!$B$8)*AA29/2147483647)</x:f>
        <x:v>1011.891380103893</x:v>
      </x:c>
      <x:c r="AD29" s="17" t="n">
        <x:f>IF('Control Room'!$B$5="Normal",'Control Room'!$B$7,('Control Room'!$B$8+'Control Room'!$D$8)/2)+'Control Room'!$B$9*(AD28-IF('Control Room'!$B$5="Normal",'Control Room'!$B$7,('Control Room'!$B$8+'Control Room'!$D$8)/2))+SQRT(1-'Control Room'!$B$9^2)*(AC29-IF('Control Room'!$B$5="Normal",'Control Room'!$B$7,('Control Room'!$B$8+'Control Room'!$D$8)/2))</x:f>
        <x:v>1094.8985184844412</x:v>
      </x:c>
      <x:c r="AE29" s="17" t="n">
        <x:f>IF(AND($A29&gt;='Control Room'!$A$13,$A29&lt;'Control Room'!$A$13+'Control Room'!$B$13,'Process'!BP2=1),1+('Control Room'!$C$13-1)*EXP(-0.5*(($A29-'Control Room'!$A$13-('Control Room'!$B$13-1)/2)/MAX(0.5,'Control Room'!$B$13/4))^2),1)*IF(AND($A29&gt;='Control Room'!$A$14,$A29&lt;'Control Room'!$A$14+'Control Room'!$B$14,'Process'!BP3=1),1+('Control Room'!$C$14-1)*EXP(-0.5*(($A29-'Control Room'!$A$14-('Control Room'!$B$14-1)/2)/MAX(0.5,'Control Room'!$B$14/4))^2),1)*IF(AND($A29&gt;='Control Room'!$A$15,$A29&lt;'Control Room'!$A$15+'Control Room'!$B$15,'Process'!BP4=1),1+('Control Room'!$C$15-1)*EXP(-0.5*(($A29-'Control Room'!$A$15-('Control Room'!$B$15-1)/2)/MAX(0.5,'Control Room'!$B$15/4))^2),1)*IF(AND($A29&gt;='Control Room'!$A$16,$A29&lt;'Control Room'!$A$16+'Control Room'!$B$16,'Process'!BP5=1),1+('Control Room'!$C$16-1)*EXP(-0.5*(($A29-'Control Room'!$A$16-('Control Room'!$B$16-1)/2)/MAX(0.5,'Control Room'!$B$16/4))^2),1)</x:f>
        <x:v>1</x:v>
      </x:c>
      <x:c r="AF29" s="9" t="n">
        <x:f>MOD(AG28*16807,2147483647)</x:f>
        <x:v>694181589</x:v>
      </x:c>
      <x:c r="AG29" s="9" t="n">
        <x:f>MOD(AF29*16807,2147483647)</x:f>
        <x:v>1978795819</x:v>
      </x:c>
      <x:c r="AH29" s="17" t="n">
        <x:f>IF('Control Room'!$B$5="Normal",'Control Room'!$B$7+'Control Room'!$D$7*SQRT(-2*LN(MAX(0.000000000001,AF29/2147483647)))*COS(2*PI()*AG29/2147483647),'Control Room'!$B$8+('Control Room'!$D$8-'Control Room'!$B$8)*AF29/2147483647)</x:f>
        <x:v>1119.1164156167347</x:v>
      </x:c>
      <x:c r="AI29" s="17" t="n">
        <x:f>IF('Control Room'!$B$5="Normal",'Control Room'!$B$7,('Control Room'!$B$8+'Control Room'!$D$8)/2)+'Control Room'!$B$9*(AI28-IF('Control Room'!$B$5="Normal",'Control Room'!$B$7,('Control Room'!$B$8+'Control Room'!$D$8)/2))+SQRT(1-'Control Room'!$B$9^2)*(AH29-IF('Control Room'!$B$5="Normal",'Control Room'!$B$7,('Control Room'!$B$8+'Control Room'!$D$8)/2))</x:f>
        <x:v>981.2201314845307</x:v>
      </x:c>
      <x:c r="AJ29" s="17" t="n">
        <x:f>IF(AND($A29&gt;='Control Room'!$A$13,$A29&lt;'Control Room'!$A$13+'Control Room'!$B$13,'Process'!BQ2=1),1+('Control Room'!$C$13-1)*EXP(-0.5*(($A29-'Control Room'!$A$13-('Control Room'!$B$13-1)/2)/MAX(0.5,'Control Room'!$B$13/4))^2),1)*IF(AND($A29&gt;='Control Room'!$A$14,$A29&lt;'Control Room'!$A$14+'Control Room'!$B$14,'Process'!BQ3=1),1+('Control Room'!$C$14-1)*EXP(-0.5*(($A29-'Control Room'!$A$14-('Control Room'!$B$14-1)/2)/MAX(0.5,'Control Room'!$B$14/4))^2),1)*IF(AND($A29&gt;='Control Room'!$A$15,$A29&lt;'Control Room'!$A$15+'Control Room'!$B$15,'Process'!BQ4=1),1+('Control Room'!$C$15-1)*EXP(-0.5*(($A29-'Control Room'!$A$15-('Control Room'!$B$15-1)/2)/MAX(0.5,'Control Room'!$B$15/4))^2),1)*IF(AND($A29&gt;='Control Room'!$A$16,$A29&lt;'Control Room'!$A$16+'Control Room'!$B$16,'Process'!BQ5=1),1+('Control Room'!$C$16-1)*EXP(-0.5*(($A29-'Control Room'!$A$16-('Control Room'!$B$16-1)/2)/MAX(0.5,'Control Room'!$B$16/4))^2),1)</x:f>
        <x:v>1</x:v>
      </x:c>
      <x:c r="AK29" s="9" t="n">
        <x:f>MOD(AL28*16807,2147483647)</x:f>
        <x:v>1686357186</x:v>
      </x:c>
      <x:c r="AL29" s="9" t="n">
        <x:f>MOD(AK29*16807,2147483647)</x:f>
        <x:v>116051996</x:v>
      </x:c>
      <x:c r="AM29" s="17" t="n">
        <x:f>IF('Control Room'!$B$5="Normal",'Control Room'!$B$7+'Control Room'!$D$7*SQRT(-2*LN(MAX(0.000000000001,AK29/2147483647)))*COS(2*PI()*AL29/2147483647),'Control Room'!$B$8+('Control Room'!$D$8-'Control Room'!$B$8)*AK29/2147483647)</x:f>
        <x:v>1059.004774961627</x:v>
      </x:c>
      <x:c r="AN29" s="17" t="n">
        <x:f>IF('Control Room'!$B$5="Normal",'Control Room'!$B$7,('Control Room'!$B$8+'Control Room'!$D$8)/2)+'Control Room'!$B$9*(AN28-IF('Control Room'!$B$5="Normal",'Control Room'!$B$7,('Control Room'!$B$8+'Control Room'!$D$8)/2))+SQRT(1-'Control Room'!$B$9^2)*(AM29-IF('Control Room'!$B$5="Normal",'Control Room'!$B$7,('Control Room'!$B$8+'Control Room'!$D$8)/2))</x:f>
        <x:v>1094.0527338451577</x:v>
      </x:c>
      <x:c r="AO29" s="17" t="n">
        <x:f>IF(AND($A29&gt;='Control Room'!$A$13,$A29&lt;'Control Room'!$A$13+'Control Room'!$B$13,'Process'!BR2=1),1+('Control Room'!$C$13-1)*EXP(-0.5*(($A29-'Control Room'!$A$13-('Control Room'!$B$13-1)/2)/MAX(0.5,'Control Room'!$B$13/4))^2),1)*IF(AND($A29&gt;='Control Room'!$A$14,$A29&lt;'Control Room'!$A$14+'Control Room'!$B$14,'Process'!BR3=1),1+('Control Room'!$C$14-1)*EXP(-0.5*(($A29-'Control Room'!$A$14-('Control Room'!$B$14-1)/2)/MAX(0.5,'Control Room'!$B$14/4))^2),1)*IF(AND($A29&gt;='Control Room'!$A$15,$A29&lt;'Control Room'!$A$15+'Control Room'!$B$15,'Process'!BR4=1),1+('Control Room'!$C$15-1)*EXP(-0.5*(($A29-'Control Room'!$A$15-('Control Room'!$B$15-1)/2)/MAX(0.5,'Control Room'!$B$15/4))^2),1)*IF(AND($A29&gt;='Control Room'!$A$16,$A29&lt;'Control Room'!$A$16+'Control Room'!$B$16,'Process'!BR5=1),1+('Control Room'!$C$16-1)*EXP(-0.5*(($A29-'Control Room'!$A$16-('Control Room'!$B$16-1)/2)/MAX(0.5,'Control Room'!$B$16/4))^2),1)</x:f>
        <x:v>1</x:v>
      </x:c>
      <x:c r="AP29" s="9" t="n">
        <x:f>MOD(AQ28*16807,2147483647)</x:f>
        <x:v>531049136</x:v>
      </x:c>
      <x:c r="AQ29" s="9" t="n">
        <x:f>MOD(AP29*16807,2147483647)</x:f>
        <x:v>400791820</x:v>
      </x:c>
      <x:c r="AR29" s="17" t="n">
        <x:f>IF('Control Room'!$B$5="Normal",'Control Room'!$B$7+'Control Room'!$D$7*SQRT(-2*LN(MAX(0.000000000001,AP29/2147483647)))*COS(2*PI()*AQ29/2147483647),'Control Room'!$B$8+('Control Room'!$D$8-'Control Room'!$B$8)*AP29/2147483647)</x:f>
        <x:v>1058.3300752776802</x:v>
      </x:c>
      <x:c r="AS29" s="17" t="n">
        <x:f>IF('Control Room'!$B$5="Normal",'Control Room'!$B$7,('Control Room'!$B$8+'Control Room'!$D$8)/2)+'Control Room'!$B$9*(AS28-IF('Control Room'!$B$5="Normal",'Control Room'!$B$7,('Control Room'!$B$8+'Control Room'!$D$8)/2))+SQRT(1-'Control Room'!$B$9^2)*(AR29-IF('Control Room'!$B$5="Normal",'Control Room'!$B$7,('Control Room'!$B$8+'Control Room'!$D$8)/2))</x:f>
        <x:v>1013.325518361693</x:v>
      </x:c>
      <x:c r="AT29" s="17" t="n">
        <x:f>IF(AND($A29&gt;='Control Room'!$A$13,$A29&lt;'Control Room'!$A$13+'Control Room'!$B$13,'Process'!BS2=1),1+('Control Room'!$C$13-1)*EXP(-0.5*(($A29-'Control Room'!$A$13-('Control Room'!$B$13-1)/2)/MAX(0.5,'Control Room'!$B$13/4))^2),1)*IF(AND($A29&gt;='Control Room'!$A$14,$A29&lt;'Control Room'!$A$14+'Control Room'!$B$14,'Process'!BS3=1),1+('Control Room'!$C$14-1)*EXP(-0.5*(($A29-'Control Room'!$A$14-('Control Room'!$B$14-1)/2)/MAX(0.5,'Control Room'!$B$14/4))^2),1)*IF(AND($A29&gt;='Control Room'!$A$15,$A29&lt;'Control Room'!$A$15+'Control Room'!$B$15,'Process'!BS4=1),1+('Control Room'!$C$15-1)*EXP(-0.5*(($A29-'Control Room'!$A$15-('Control Room'!$B$15-1)/2)/MAX(0.5,'Control Room'!$B$15/4))^2),1)*IF(AND($A29&gt;='Control Room'!$A$16,$A29&lt;'Control Room'!$A$16+'Control Room'!$B$16,'Process'!BS5=1),1+('Control Room'!$C$16-1)*EXP(-0.5*(($A29-'Control Room'!$A$16-('Control Room'!$B$16-1)/2)/MAX(0.5,'Control Room'!$B$16/4))^2),1)</x:f>
        <x:v>1</x:v>
      </x:c>
      <x:c r="AU29" s="9" t="n">
        <x:f>MOD(AV28*16807,2147483647)</x:f>
        <x:v>1523224733</x:v>
      </x:c>
      <x:c r="AV29" s="9" t="n">
        <x:f>MOD(AU29*16807,2147483647)</x:f>
        <x:v>685531644</x:v>
      </x:c>
      <x:c r="AW29" s="17" t="n">
        <x:f>IF('Control Room'!$B$5="Normal",'Control Room'!$B$7+'Control Room'!$D$7*SQRT(-2*LN(MAX(0.000000000001,AU29/2147483647)))*COS(2*PI()*AV29/2147483647),'Control Room'!$B$8+('Control Room'!$D$8-'Control Room'!$B$8)*AU29/2147483647)</x:f>
        <x:v>968.568499588193</x:v>
      </x:c>
      <x:c r="AX29" s="17" t="n">
        <x:f>IF('Control Room'!$B$5="Normal",'Control Room'!$B$7,('Control Room'!$B$8+'Control Room'!$D$8)/2)+'Control Room'!$B$9*(AX28-IF('Control Room'!$B$5="Normal",'Control Room'!$B$7,('Control Room'!$B$8+'Control Room'!$D$8)/2))+SQRT(1-'Control Room'!$B$9^2)*(AW29-IF('Control Room'!$B$5="Normal",'Control Room'!$B$7,('Control Room'!$B$8+'Control Room'!$D$8)/2))</x:f>
        <x:v>1005.777093821747</x:v>
      </x:c>
      <x:c r="AY29" s="17" t="n">
        <x:f>IF(AND($A29&gt;='Control Room'!$A$13,$A29&lt;'Control Room'!$A$13+'Control Room'!$B$13,'Process'!BT2=1),1+('Control Room'!$C$13-1)*EXP(-0.5*(($A29-'Control Room'!$A$13-('Control Room'!$B$13-1)/2)/MAX(0.5,'Control Room'!$B$13/4))^2),1)*IF(AND($A29&gt;='Control Room'!$A$14,$A29&lt;'Control Room'!$A$14+'Control Room'!$B$14,'Process'!BT3=1),1+('Control Room'!$C$14-1)*EXP(-0.5*(($A29-'Control Room'!$A$14-('Control Room'!$B$14-1)/2)/MAX(0.5,'Control Room'!$B$14/4))^2),1)*IF(AND($A29&gt;='Control Room'!$A$15,$A29&lt;'Control Room'!$A$15+'Control Room'!$B$15,'Process'!BT4=1),1+('Control Room'!$C$15-1)*EXP(-0.5*(($A29-'Control Room'!$A$15-('Control Room'!$B$15-1)/2)/MAX(0.5,'Control Room'!$B$15/4))^2),1)*IF(AND($A29&gt;='Control Room'!$A$16,$A29&lt;'Control Room'!$A$16+'Control Room'!$B$16,'Process'!BT5=1),1+('Control Room'!$C$16-1)*EXP(-0.5*(($A29-'Control Room'!$A$16-('Control Room'!$B$16-1)/2)/MAX(0.5,'Control Room'!$B$16/4))^2),1)</x:f>
        <x:v>1</x:v>
      </x:c>
      <x:c r="AZ29" s="9" t="n">
        <x:f>MOD(BA28*16807,2147483647)</x:f>
        <x:v>367916683</x:v>
      </x:c>
      <x:c r="BA29" s="9" t="n">
        <x:f>MOD(AZ29*16807,2147483647)</x:f>
        <x:v>970271468</x:v>
      </x:c>
      <x:c r="BB29" s="17" t="n">
        <x:f>IF('Control Room'!$B$5="Normal",'Control Room'!$B$7+'Control Room'!$D$7*SQRT(-2*LN(MAX(0.000000000001,AZ29/2147483647)))*COS(2*PI()*BA29/2147483647),'Control Room'!$B$8+('Control Room'!$D$8-'Control Room'!$B$8)*AZ29/2147483647)</x:f>
        <x:v>838.6318908511226</x:v>
      </x:c>
      <x:c r="BC29" s="17" t="n">
        <x:f>IF('Control Room'!$B$5="Normal",'Control Room'!$B$7,('Control Room'!$B$8+'Control Room'!$D$8)/2)+'Control Room'!$B$9*(BC28-IF('Control Room'!$B$5="Normal",'Control Room'!$B$7,('Control Room'!$B$8+'Control Room'!$D$8)/2))+SQRT(1-'Control Room'!$B$9^2)*(BB29-IF('Control Room'!$B$5="Normal",'Control Room'!$B$7,('Control Room'!$B$8+'Control Room'!$D$8)/2))</x:f>
        <x:v>814.4635852087325</x:v>
      </x:c>
      <x:c r="BD29" s="17" t="n">
        <x:f>IF(AND($A29&gt;='Control Room'!$A$13,$A29&lt;'Control Room'!$A$13+'Control Room'!$B$13,'Process'!BU2=1),1+('Control Room'!$C$13-1)*EXP(-0.5*(($A29-'Control Room'!$A$13-('Control Room'!$B$13-1)/2)/MAX(0.5,'Control Room'!$B$13/4))^2),1)*IF(AND($A29&gt;='Control Room'!$A$14,$A29&lt;'Control Room'!$A$14+'Control Room'!$B$14,'Process'!BU3=1),1+('Control Room'!$C$14-1)*EXP(-0.5*(($A29-'Control Room'!$A$14-('Control Room'!$B$14-1)/2)/MAX(0.5,'Control Room'!$B$14/4))^2),1)*IF(AND($A29&gt;='Control Room'!$A$15,$A29&lt;'Control Room'!$A$15+'Control Room'!$B$15,'Process'!BU4=1),1+('Control Room'!$C$15-1)*EXP(-0.5*(($A29-'Control Room'!$A$15-('Control Room'!$B$15-1)/2)/MAX(0.5,'Control Room'!$B$15/4))^2),1)*IF(AND($A29&gt;='Control Room'!$A$16,$A29&lt;'Control Room'!$A$16+'Control Room'!$B$16,'Process'!BU5=1),1+('Control Room'!$C$16-1)*EXP(-0.5*(($A29-'Control Room'!$A$16-('Control Room'!$B$16-1)/2)/MAX(0.5,'Control Room'!$B$16/4))^2),1)</x:f>
        <x:v>1</x:v>
      </x:c>
      <x:c r="BE29" s="9" t="n">
        <x:f>MOD(BF28*16807,2147483647)</x:f>
        <x:v>1360092280</x:v>
      </x:c>
      <x:c r="BF29" s="9" t="n">
        <x:f>MOD(BE29*16807,2147483647)</x:f>
        <x:v>1255011292</x:v>
      </x:c>
      <x:c r="BG29" s="17" t="n">
        <x:f>IF('Control Room'!$B$5="Normal",'Control Room'!$B$7+'Control Room'!$D$7*SQRT(-2*LN(MAX(0.000000000001,BE29/2147483647)))*COS(2*PI()*BF29/2147483647),'Control Room'!$B$8+('Control Room'!$D$8-'Control Room'!$B$8)*BE29/2147483647)</x:f>
        <x:v>925.7981265467407</x:v>
      </x:c>
      <x:c r="BH29" s="17" t="n">
        <x:f>IF('Control Room'!$B$5="Normal",'Control Room'!$B$7,('Control Room'!$B$8+'Control Room'!$D$8)/2)+'Control Room'!$B$9*(BH28-IF('Control Room'!$B$5="Normal",'Control Room'!$B$7,('Control Room'!$B$8+'Control Room'!$D$8)/2))+SQRT(1-'Control Room'!$B$9^2)*(BG29-IF('Control Room'!$B$5="Normal",'Control Room'!$B$7,('Control Room'!$B$8+'Control Room'!$D$8)/2))</x:f>
        <x:v>988.1180931958058</x:v>
      </x:c>
      <x:c r="BI29" s="17" t="n">
        <x:f>IF(AND($A29&gt;='Control Room'!$A$13,$A29&lt;'Control Room'!$A$13+'Control Room'!$B$13,'Process'!BV2=1),1+('Control Room'!$C$13-1)*EXP(-0.5*(($A29-'Control Room'!$A$13-('Control Room'!$B$13-1)/2)/MAX(0.5,'Control Room'!$B$13/4))^2),1)*IF(AND($A29&gt;='Control Room'!$A$14,$A29&lt;'Control Room'!$A$14+'Control Room'!$B$14,'Process'!BV3=1),1+('Control Room'!$C$14-1)*EXP(-0.5*(($A29-'Control Room'!$A$14-('Control Room'!$B$14-1)/2)/MAX(0.5,'Control Room'!$B$14/4))^2),1)*IF(AND($A29&gt;='Control Room'!$A$15,$A29&lt;'Control Room'!$A$15+'Control Room'!$B$15,'Process'!BV4=1),1+('Control Room'!$C$15-1)*EXP(-0.5*(($A29-'Control Room'!$A$15-('Control Room'!$B$15-1)/2)/MAX(0.5,'Control Room'!$B$15/4))^2),1)*IF(AND($A29&gt;='Control Room'!$A$16,$A29&lt;'Control Room'!$A$16+'Control Room'!$B$16,'Process'!BV5=1),1+('Control Room'!$C$16-1)*EXP(-0.5*(($A29-'Control Room'!$A$16-('Control Room'!$B$16-1)/2)/MAX(0.5,'Control Room'!$B$16/4))^2),1)</x:f>
        <x:v>1</x:v>
      </x:c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Z29" t="str">
        <x:f>IF('Data'!A29="","",TEXT('Data'!A29,"mm-dd"))</x:f>
        <x:v>11-29</x:v>
      </x:c>
    </x:row>
    <x:row r="30" ht="21" customHeight="1">
      <x:c r="A30" s="15" t="n">
        <x:f>'Control Room'!$B$1+28</x:f>
        <x:v>73019</x:v>
      </x:c>
      <x:c r="B30" s="9" t="n">
        <x:f>MOD(C29*16807,2147483647)</x:f>
        <x:v>1960084720</x:v>
      </x:c>
      <x:c r="C30" s="9" t="n">
        <x:f>MOD(B30*16807,2147483647)</x:f>
        <x:v>744744060</x:v>
      </x:c>
      <x:c r="D30" s="17" t="n">
        <x:f>IF('Control Room'!$B$5="Normal",'Control Room'!$B$7+'Control Room'!$D$7*SQRT(-2*LN(MAX(0.000000000001,B30/2147483647)))*COS(2*PI()*C30/2147483647),'Control Room'!$B$8+('Control Room'!$D$8-'Control Room'!$B$8)*B30/2147483647)</x:f>
        <x:v>978.0239465392992</x:v>
      </x:c>
      <x:c r="E30" s="17" t="n">
        <x:f>IF('Control Room'!$B$5="Normal",'Control Room'!$B$7,('Control Room'!$B$8+'Control Room'!$D$8)/2)+'Control Room'!$B$9*(E29-IF('Control Room'!$B$5="Normal",'Control Room'!$B$7,('Control Room'!$B$8+'Control Room'!$D$8)/2))+SQRT(1-'Control Room'!$B$9^2)*(D30-IF('Control Room'!$B$5="Normal",'Control Room'!$B$7,('Control Room'!$B$8+'Control Room'!$D$8)/2))</x:f>
        <x:v>940.0825625283518</x:v>
      </x:c>
      <x:c r="F30" s="17" t="n">
        <x:f>IF(AND($A30&gt;='Control Room'!$A$13,$A30&lt;'Control Room'!$A$13+'Control Room'!$B$13,'Process'!BK2=1),1+('Control Room'!$C$13-1)*EXP(-0.5*(($A30-'Control Room'!$A$13-('Control Room'!$B$13-1)/2)/MAX(0.5,'Control Room'!$B$13/4))^2),1)*IF(AND($A30&gt;='Control Room'!$A$14,$A30&lt;'Control Room'!$A$14+'Control Room'!$B$14,'Process'!BK3=1),1+('Control Room'!$C$14-1)*EXP(-0.5*(($A30-'Control Room'!$A$14-('Control Room'!$B$14-1)/2)/MAX(0.5,'Control Room'!$B$14/4))^2),1)*IF(AND($A30&gt;='Control Room'!$A$15,$A30&lt;'Control Room'!$A$15+'Control Room'!$B$15,'Process'!BK4=1),1+('Control Room'!$C$15-1)*EXP(-0.5*(($A30-'Control Room'!$A$15-('Control Room'!$B$15-1)/2)/MAX(0.5,'Control Room'!$B$15/4))^2),1)*IF(AND($A30&gt;='Control Room'!$A$16,$A30&lt;'Control Room'!$A$16+'Control Room'!$B$16,'Process'!BK5=1),1+('Control Room'!$C$16-1)*EXP(-0.5*(($A30-'Control Room'!$A$16-('Control Room'!$B$16-1)/2)/MAX(0.5,'Control Room'!$B$16/4))^2),1)</x:f>
        <x:v>1</x:v>
      </x:c>
      <x:c r="G30" s="9" t="n">
        <x:f>MOD(H29*16807,2147483647)</x:f>
        <x:v>841257525</x:v>
      </x:c>
      <x:c r="H30" s="9" t="n">
        <x:f>MOD(G30*16807,2147483647)</x:f>
        <x:v>2130374474</x:v>
      </x:c>
      <x:c r="I30" s="17" t="n">
        <x:f>IF('Control Room'!$B$5="Normal",'Control Room'!$B$7+'Control Room'!$D$7*SQRT(-2*LN(MAX(0.000000000001,G30/2147483647)))*COS(2*PI()*H30/2147483647),'Control Room'!$B$8+('Control Room'!$D$8-'Control Room'!$B$8)*G30/2147483647)</x:f>
        <x:v>1123.0604981194017</x:v>
      </x:c>
      <x:c r="J30" s="17" t="n">
        <x:f>IF('Control Room'!$B$5="Normal",'Control Room'!$B$7,('Control Room'!$B$8+'Control Room'!$D$8)/2)+'Control Room'!$B$9*(J29-IF('Control Room'!$B$5="Normal",'Control Room'!$B$7,('Control Room'!$B$8+'Control Room'!$D$8)/2))+SQRT(1-'Control Room'!$B$9^2)*(I30-IF('Control Room'!$B$5="Normal",'Control Room'!$B$7,('Control Room'!$B$8+'Control Room'!$D$8)/2))</x:f>
        <x:v>1124.2875182122664</x:v>
      </x:c>
      <x:c r="K30" s="17" t="n">
        <x:f>IF(AND($A30&gt;='Control Room'!$A$13,$A30&lt;'Control Room'!$A$13+'Control Room'!$B$13,'Process'!BL2=1),1+('Control Room'!$C$13-1)*EXP(-0.5*(($A30-'Control Room'!$A$13-('Control Room'!$B$13-1)/2)/MAX(0.5,'Control Room'!$B$13/4))^2),1)*IF(AND($A30&gt;='Control Room'!$A$14,$A30&lt;'Control Room'!$A$14+'Control Room'!$B$14,'Process'!BL3=1),1+('Control Room'!$C$14-1)*EXP(-0.5*(($A30-'Control Room'!$A$14-('Control Room'!$B$14-1)/2)/MAX(0.5,'Control Room'!$B$14/4))^2),1)*IF(AND($A30&gt;='Control Room'!$A$15,$A30&lt;'Control Room'!$A$15+'Control Room'!$B$15,'Process'!BL4=1),1+('Control Room'!$C$15-1)*EXP(-0.5*(($A30-'Control Room'!$A$15-('Control Room'!$B$15-1)/2)/MAX(0.5,'Control Room'!$B$15/4))^2),1)*IF(AND($A30&gt;='Control Room'!$A$16,$A30&lt;'Control Room'!$A$16+'Control Room'!$B$16,'Process'!BL5=1),1+('Control Room'!$C$16-1)*EXP(-0.5*(($A30-'Control Room'!$A$16-('Control Room'!$B$16-1)/2)/MAX(0.5,'Control Room'!$B$16/4))^2),1)</x:f>
        <x:v>1</x:v>
      </x:c>
      <x:c r="L30" s="9" t="n">
        <x:f>MOD(M29*16807,2147483647)</x:f>
        <x:v>1869913977</x:v>
      </x:c>
      <x:c r="M30" s="9" t="n">
        <x:f>MOD(L30*16807,2147483647)</x:f>
        <x:v>1368521241</x:v>
      </x:c>
      <x:c r="N30" s="17" t="n">
        <x:f>IF('Control Room'!$B$5="Normal",'Control Room'!$B$7+'Control Room'!$D$7*SQRT(-2*LN(MAX(0.000000000001,L30/2147483647)))*COS(2*PI()*M30/2147483647),'Control Room'!$B$8+('Control Room'!$D$8-'Control Room'!$B$8)*L30/2147483647)</x:f>
        <x:v>969.1951618494556</x:v>
      </x:c>
      <x:c r="O30" s="17" t="n">
        <x:f>IF('Control Room'!$B$5="Normal",'Control Room'!$B$7,('Control Room'!$B$8+'Control Room'!$D$8)/2)+'Control Room'!$B$9*(O29-IF('Control Room'!$B$5="Normal",'Control Room'!$B$7,('Control Room'!$B$8+'Control Room'!$D$8)/2))+SQRT(1-'Control Room'!$B$9^2)*(N30-IF('Control Room'!$B$5="Normal",'Control Room'!$B$7,('Control Room'!$B$8+'Control Room'!$D$8)/2))</x:f>
        <x:v>992.0991540768226</x:v>
      </x:c>
      <x:c r="P30" s="17" t="n">
        <x:f>IF(AND($A30&gt;='Control Room'!$A$13,$A30&lt;'Control Room'!$A$13+'Control Room'!$B$13,'Process'!BM2=1),1+('Control Room'!$C$13-1)*EXP(-0.5*(($A30-'Control Room'!$A$13-('Control Room'!$B$13-1)/2)/MAX(0.5,'Control Room'!$B$13/4))^2),1)*IF(AND($A30&gt;='Control Room'!$A$14,$A30&lt;'Control Room'!$A$14+'Control Room'!$B$14,'Process'!BM3=1),1+('Control Room'!$C$14-1)*EXP(-0.5*(($A30-'Control Room'!$A$14-('Control Room'!$B$14-1)/2)/MAX(0.5,'Control Room'!$B$14/4))^2),1)*IF(AND($A30&gt;='Control Room'!$A$15,$A30&lt;'Control Room'!$A$15+'Control Room'!$B$15,'Process'!BM4=1),1+('Control Room'!$C$15-1)*EXP(-0.5*(($A30-'Control Room'!$A$15-('Control Room'!$B$15-1)/2)/MAX(0.5,'Control Room'!$B$15/4))^2),1)*IF(AND($A30&gt;='Control Room'!$A$16,$A30&lt;'Control Room'!$A$16+'Control Room'!$B$16,'Process'!BM5=1),1+('Control Room'!$C$16-1)*EXP(-0.5*(($A30-'Control Room'!$A$16-('Control Room'!$B$16-1)/2)/MAX(0.5,'Control Room'!$B$16/4))^2),1)</x:f>
        <x:v>1</x:v>
      </x:c>
      <x:c r="Q30" s="9" t="n">
        <x:f>MOD(R29*16807,2147483647)</x:f>
        <x:v>751086782</x:v>
      </x:c>
      <x:c r="R30" s="9" t="n">
        <x:f>MOD(Q30*16807,2147483647)</x:f>
        <x:v>606668008</x:v>
      </x:c>
      <x:c r="S30" s="17" t="n">
        <x:f>IF('Control Room'!$B$5="Normal",'Control Room'!$B$7+'Control Room'!$D$7*SQRT(-2*LN(MAX(0.000000000001,Q30/2147483647)))*COS(2*PI()*R30/2147483647),'Control Room'!$B$8+('Control Room'!$D$8-'Control Room'!$B$8)*Q30/2147483647)</x:f>
        <x:v>973.5438621059676</x:v>
      </x:c>
      <x:c r="T30" s="17" t="n">
        <x:f>IF('Control Room'!$B$5="Normal",'Control Room'!$B$7,('Control Room'!$B$8+'Control Room'!$D$8)/2)+'Control Room'!$B$9*(T29-IF('Control Room'!$B$5="Normal",'Control Room'!$B$7,('Control Room'!$B$8+'Control Room'!$D$8)/2))+SQRT(1-'Control Room'!$B$9^2)*(S30-IF('Control Room'!$B$5="Normal",'Control Room'!$B$7,('Control Room'!$B$8+'Control Room'!$D$8)/2))</x:f>
        <x:v>917.9044974660396</x:v>
      </x:c>
      <x:c r="U30" s="17" t="n">
        <x:f>IF(AND($A30&gt;='Control Room'!$A$13,$A30&lt;'Control Room'!$A$13+'Control Room'!$B$13,'Process'!BN2=1),1+('Control Room'!$C$13-1)*EXP(-0.5*(($A30-'Control Room'!$A$13-('Control Room'!$B$13-1)/2)/MAX(0.5,'Control Room'!$B$13/4))^2),1)*IF(AND($A30&gt;='Control Room'!$A$14,$A30&lt;'Control Room'!$A$14+'Control Room'!$B$14,'Process'!BN3=1),1+('Control Room'!$C$14-1)*EXP(-0.5*(($A30-'Control Room'!$A$14-('Control Room'!$B$14-1)/2)/MAX(0.5,'Control Room'!$B$14/4))^2),1)*IF(AND($A30&gt;='Control Room'!$A$15,$A30&lt;'Control Room'!$A$15+'Control Room'!$B$15,'Process'!BN4=1),1+('Control Room'!$C$15-1)*EXP(-0.5*(($A30-'Control Room'!$A$15-('Control Room'!$B$15-1)/2)/MAX(0.5,'Control Room'!$B$15/4))^2),1)*IF(AND($A30&gt;='Control Room'!$A$16,$A30&lt;'Control Room'!$A$16+'Control Room'!$B$16,'Process'!BN5=1),1+('Control Room'!$C$16-1)*EXP(-0.5*(($A30-'Control Room'!$A$16-('Control Room'!$B$16-1)/2)/MAX(0.5,'Control Room'!$B$16/4))^2),1)</x:f>
        <x:v>1</x:v>
      </x:c>
      <x:c r="V30" s="9" t="n">
        <x:f>MOD(W29*16807,2147483647)</x:f>
        <x:v>1779743234</x:v>
      </x:c>
      <x:c r="W30" s="9" t="n">
        <x:f>MOD(V30*16807,2147483647)</x:f>
        <x:v>1992298422</x:v>
      </x:c>
      <x:c r="X30" s="17" t="n">
        <x:f>IF('Control Room'!$B$5="Normal",'Control Room'!$B$7+'Control Room'!$D$7*SQRT(-2*LN(MAX(0.000000000001,V30/2147483647)))*COS(2*PI()*W30/2147483647),'Control Room'!$B$8+('Control Room'!$D$8-'Control Room'!$B$8)*V30/2147483647)</x:f>
        <x:v>1049.5726544302374</x:v>
      </x:c>
      <x:c r="Y30" s="17" t="n">
        <x:f>IF('Control Room'!$B$5="Normal",'Control Room'!$B$7,('Control Room'!$B$8+'Control Room'!$D$8)/2)+'Control Room'!$B$9*(Y29-IF('Control Room'!$B$5="Normal",'Control Room'!$B$7,('Control Room'!$B$8+'Control Room'!$D$8)/2))+SQRT(1-'Control Room'!$B$9^2)*(X30-IF('Control Room'!$B$5="Normal",'Control Room'!$B$7,('Control Room'!$B$8+'Control Room'!$D$8)/2))</x:f>
        <x:v>1075.6683241537628</x:v>
      </x:c>
      <x:c r="Z30" s="17" t="n">
        <x:f>IF(AND($A30&gt;='Control Room'!$A$13,$A30&lt;'Control Room'!$A$13+'Control Room'!$B$13,'Process'!BO2=1),1+('Control Room'!$C$13-1)*EXP(-0.5*(($A30-'Control Room'!$A$13-('Control Room'!$B$13-1)/2)/MAX(0.5,'Control Room'!$B$13/4))^2),1)*IF(AND($A30&gt;='Control Room'!$A$14,$A30&lt;'Control Room'!$A$14+'Control Room'!$B$14,'Process'!BO3=1),1+('Control Room'!$C$14-1)*EXP(-0.5*(($A30-'Control Room'!$A$14-('Control Room'!$B$14-1)/2)/MAX(0.5,'Control Room'!$B$14/4))^2),1)*IF(AND($A30&gt;='Control Room'!$A$15,$A30&lt;'Control Room'!$A$15+'Control Room'!$B$15,'Process'!BO4=1),1+('Control Room'!$C$15-1)*EXP(-0.5*(($A30-'Control Room'!$A$15-('Control Room'!$B$15-1)/2)/MAX(0.5,'Control Room'!$B$15/4))^2),1)*IF(AND($A30&gt;='Control Room'!$A$16,$A30&lt;'Control Room'!$A$16+'Control Room'!$B$16,'Process'!BO5=1),1+('Control Room'!$C$16-1)*EXP(-0.5*(($A30-'Control Room'!$A$16-('Control Room'!$B$16-1)/2)/MAX(0.5,'Control Room'!$B$16/4))^2),1)</x:f>
        <x:v>1</x:v>
      </x:c>
      <x:c r="AA30" s="9" t="n">
        <x:f>MOD(AB29*16807,2147483647)</x:f>
        <x:v>660916039</x:v>
      </x:c>
      <x:c r="AB30" s="9" t="n">
        <x:f>MOD(AA30*16807,2147483647)</x:f>
        <x:v>1230445189</x:v>
      </x:c>
      <x:c r="AC30" s="17" t="n">
        <x:f>IF('Control Room'!$B$5="Normal",'Control Room'!$B$7+'Control Room'!$D$7*SQRT(-2*LN(MAX(0.000000000001,AA30/2147483647)))*COS(2*PI()*AB30/2147483647),'Control Room'!$B$8+('Control Room'!$D$8-'Control Room'!$B$8)*AA30/2147483647)</x:f>
        <x:v>876.1013376047404</x:v>
      </x:c>
      <x:c r="AD30" s="17" t="n">
        <x:f>IF('Control Room'!$B$5="Normal",'Control Room'!$B$7,('Control Room'!$B$8+'Control Room'!$D$8)/2)+'Control Room'!$B$9*(AD29-IF('Control Room'!$B$5="Normal",'Control Room'!$B$7,('Control Room'!$B$8+'Control Room'!$D$8)/2))+SQRT(1-'Control Room'!$B$9^2)*(AC30-IF('Control Room'!$B$5="Normal",'Control Room'!$B$7,('Control Room'!$B$8+'Control Room'!$D$8)/2))</x:f>
        <x:v>996.4875996929733</x:v>
      </x:c>
      <x:c r="AE30" s="17" t="n">
        <x:f>IF(AND($A30&gt;='Control Room'!$A$13,$A30&lt;'Control Room'!$A$13+'Control Room'!$B$13,'Process'!BP2=1),1+('Control Room'!$C$13-1)*EXP(-0.5*(($A30-'Control Room'!$A$13-('Control Room'!$B$13-1)/2)/MAX(0.5,'Control Room'!$B$13/4))^2),1)*IF(AND($A30&gt;='Control Room'!$A$14,$A30&lt;'Control Room'!$A$14+'Control Room'!$B$14,'Process'!BP3=1),1+('Control Room'!$C$14-1)*EXP(-0.5*(($A30-'Control Room'!$A$14-('Control Room'!$B$14-1)/2)/MAX(0.5,'Control Room'!$B$14/4))^2),1)*IF(AND($A30&gt;='Control Room'!$A$15,$A30&lt;'Control Room'!$A$15+'Control Room'!$B$15,'Process'!BP4=1),1+('Control Room'!$C$15-1)*EXP(-0.5*(($A30-'Control Room'!$A$15-('Control Room'!$B$15-1)/2)/MAX(0.5,'Control Room'!$B$15/4))^2),1)*IF(AND($A30&gt;='Control Room'!$A$16,$A30&lt;'Control Room'!$A$16+'Control Room'!$B$16,'Process'!BP5=1),1+('Control Room'!$C$16-1)*EXP(-0.5*(($A30-'Control Room'!$A$16-('Control Room'!$B$16-1)/2)/MAX(0.5,'Control Room'!$B$16/4))^2),1)</x:f>
        <x:v>1</x:v>
      </x:c>
      <x:c r="AF30" s="9" t="n">
        <x:f>MOD(AG29*16807,2147483647)</x:f>
        <x:v>1689572491</x:v>
      </x:c>
      <x:c r="AG30" s="9" t="n">
        <x:f>MOD(AF30*16807,2147483647)</x:f>
        <x:v>468591956</x:v>
      </x:c>
      <x:c r="AH30" s="17" t="n">
        <x:f>IF('Control Room'!$B$5="Normal",'Control Room'!$B$7+'Control Room'!$D$7*SQRT(-2*LN(MAX(0.000000000001,AF30/2147483647)))*COS(2*PI()*AG30/2147483647),'Control Room'!$B$8+('Control Room'!$D$8-'Control Room'!$B$8)*AF30/2147483647)</x:f>
        <x:v>1012.3693138526244</x:v>
      </x:c>
      <x:c r="AI30" s="17" t="n">
        <x:f>IF('Control Room'!$B$5="Normal",'Control Room'!$B$7,('Control Room'!$B$8+'Control Room'!$D$8)/2)+'Control Room'!$B$9*(AI29-IF('Control Room'!$B$5="Normal",'Control Room'!$B$7,('Control Room'!$B$8+'Control Room'!$D$8)/2))+SQRT(1-'Control Room'!$B$9^2)*(AH30-IF('Control Room'!$B$5="Normal",'Control Room'!$B$7,('Control Room'!$B$8+'Control Room'!$D$8)/2))</x:f>
        <x:v>993.0921657677386</x:v>
      </x:c>
      <x:c r="AJ30" s="17" t="n">
        <x:f>IF(AND($A30&gt;='Control Room'!$A$13,$A30&lt;'Control Room'!$A$13+'Control Room'!$B$13,'Process'!BQ2=1),1+('Control Room'!$C$13-1)*EXP(-0.5*(($A30-'Control Room'!$A$13-('Control Room'!$B$13-1)/2)/MAX(0.5,'Control Room'!$B$13/4))^2),1)*IF(AND($A30&gt;='Control Room'!$A$14,$A30&lt;'Control Room'!$A$14+'Control Room'!$B$14,'Process'!BQ3=1),1+('Control Room'!$C$14-1)*EXP(-0.5*(($A30-'Control Room'!$A$14-('Control Room'!$B$14-1)/2)/MAX(0.5,'Control Room'!$B$14/4))^2),1)*IF(AND($A30&gt;='Control Room'!$A$15,$A30&lt;'Control Room'!$A$15+'Control Room'!$B$15,'Process'!BQ4=1),1+('Control Room'!$C$15-1)*EXP(-0.5*(($A30-'Control Room'!$A$15-('Control Room'!$B$15-1)/2)/MAX(0.5,'Control Room'!$B$15/4))^2),1)*IF(AND($A30&gt;='Control Room'!$A$16,$A30&lt;'Control Room'!$A$16+'Control Room'!$B$16,'Process'!BQ5=1),1+('Control Room'!$C$16-1)*EXP(-0.5*(($A30-'Control Room'!$A$16-('Control Room'!$B$16-1)/2)/MAX(0.5,'Control Room'!$B$16/4))^2),1)</x:f>
        <x:v>1</x:v>
      </x:c>
      <x:c r="AK30" s="9" t="n">
        <x:f>MOD(AL29*16807,2147483647)</x:f>
        <x:v>570745296</x:v>
      </x:c>
      <x:c r="AL30" s="9" t="n">
        <x:f>MOD(AK30*16807,2147483647)</x:f>
        <x:v>1854222370</x:v>
      </x:c>
      <x:c r="AM30" s="17" t="n">
        <x:f>IF('Control Room'!$B$5="Normal",'Control Room'!$B$7+'Control Room'!$D$7*SQRT(-2*LN(MAX(0.000000000001,AK30/2147483647)))*COS(2*PI()*AL30/2147483647),'Control Room'!$B$8+('Control Room'!$D$8-'Control Room'!$B$8)*AK30/2147483647)</x:f>
        <x:v>1095.8102053611115</x:v>
      </x:c>
      <x:c r="AN30" s="17" t="n">
        <x:f>IF('Control Room'!$B$5="Normal",'Control Room'!$B$7,('Control Room'!$B$8+'Control Room'!$D$8)/2)+'Control Room'!$B$9*(AN29-IF('Control Room'!$B$5="Normal",'Control Room'!$B$7,('Control Room'!$B$8+'Control Room'!$D$8)/2))+SQRT(1-'Control Room'!$B$9^2)*(AM30-IF('Control Room'!$B$5="Normal",'Control Room'!$B$7,('Control Room'!$B$8+'Control Room'!$D$8)/2))</x:f>
        <x:v>1133.317196135463</x:v>
      </x:c>
      <x:c r="AO30" s="17" t="n">
        <x:f>IF(AND($A30&gt;='Control Room'!$A$13,$A30&lt;'Control Room'!$A$13+'Control Room'!$B$13,'Process'!BR2=1),1+('Control Room'!$C$13-1)*EXP(-0.5*(($A30-'Control Room'!$A$13-('Control Room'!$B$13-1)/2)/MAX(0.5,'Control Room'!$B$13/4))^2),1)*IF(AND($A30&gt;='Control Room'!$A$14,$A30&lt;'Control Room'!$A$14+'Control Room'!$B$14,'Process'!BR3=1),1+('Control Room'!$C$14-1)*EXP(-0.5*(($A30-'Control Room'!$A$14-('Control Room'!$B$14-1)/2)/MAX(0.5,'Control Room'!$B$14/4))^2),1)*IF(AND($A30&gt;='Control Room'!$A$15,$A30&lt;'Control Room'!$A$15+'Control Room'!$B$15,'Process'!BR4=1),1+('Control Room'!$C$15-1)*EXP(-0.5*(($A30-'Control Room'!$A$15-('Control Room'!$B$15-1)/2)/MAX(0.5,'Control Room'!$B$15/4))^2),1)*IF(AND($A30&gt;='Control Room'!$A$16,$A30&lt;'Control Room'!$A$16+'Control Room'!$B$16,'Process'!BR5=1),1+('Control Room'!$C$16-1)*EXP(-0.5*(($A30-'Control Room'!$A$16-('Control Room'!$B$16-1)/2)/MAX(0.5,'Control Room'!$B$16/4))^2),1)</x:f>
        <x:v>1</x:v>
      </x:c>
      <x:c r="AP30" s="9" t="n">
        <x:f>MOD(AQ29*16807,2147483647)</x:f>
        <x:v>1599401748</x:v>
      </x:c>
      <x:c r="AQ30" s="9" t="n">
        <x:f>MOD(AP30*16807,2147483647)</x:f>
        <x:v>1092369137</x:v>
      </x:c>
      <x:c r="AR30" s="17" t="n">
        <x:f>IF('Control Room'!$B$5="Normal",'Control Room'!$B$7+'Control Room'!$D$7*SQRT(-2*LN(MAX(0.000000000001,AP30/2147483647)))*COS(2*PI()*AQ30/2147483647),'Control Room'!$B$8+('Control Room'!$D$8-'Control Room'!$B$8)*AP30/2147483647)</x:f>
        <x:v>931.0112898015435</x:v>
      </x:c>
      <x:c r="AS30" s="17" t="n">
        <x:f>IF('Control Room'!$B$5="Normal",'Control Room'!$B$7,('Control Room'!$B$8+'Control Room'!$D$8)/2)+'Control Room'!$B$9*(AS29-IF('Control Room'!$B$5="Normal",'Control Room'!$B$7,('Control Room'!$B$8+'Control Room'!$D$8)/2))+SQRT(1-'Control Room'!$B$9^2)*(AR30-IF('Control Room'!$B$5="Normal",'Control Room'!$B$7,('Control Room'!$B$8+'Control Room'!$D$8)/2))</x:f>
        <x:v>967.2221827904751</x:v>
      </x:c>
      <x:c r="AT30" s="17" t="n">
        <x:f>IF(AND($A30&gt;='Control Room'!$A$13,$A30&lt;'Control Room'!$A$13+'Control Room'!$B$13,'Process'!BS2=1),1+('Control Room'!$C$13-1)*EXP(-0.5*(($A30-'Control Room'!$A$13-('Control Room'!$B$13-1)/2)/MAX(0.5,'Control Room'!$B$13/4))^2),1)*IF(AND($A30&gt;='Control Room'!$A$14,$A30&lt;'Control Room'!$A$14+'Control Room'!$B$14,'Process'!BS3=1),1+('Control Room'!$C$14-1)*EXP(-0.5*(($A30-'Control Room'!$A$14-('Control Room'!$B$14-1)/2)/MAX(0.5,'Control Room'!$B$14/4))^2),1)*IF(AND($A30&gt;='Control Room'!$A$15,$A30&lt;'Control Room'!$A$15+'Control Room'!$B$15,'Process'!BS4=1),1+('Control Room'!$C$15-1)*EXP(-0.5*(($A30-'Control Room'!$A$15-('Control Room'!$B$15-1)/2)/MAX(0.5,'Control Room'!$B$15/4))^2),1)*IF(AND($A30&gt;='Control Room'!$A$16,$A30&lt;'Control Room'!$A$16+'Control Room'!$B$16,'Process'!BS5=1),1+('Control Room'!$C$16-1)*EXP(-0.5*(($A30-'Control Room'!$A$16-('Control Room'!$B$16-1)/2)/MAX(0.5,'Control Room'!$B$16/4))^2),1)</x:f>
        <x:v>1</x:v>
      </x:c>
      <x:c r="AU30" s="9" t="n">
        <x:f>MOD(AV29*16807,2147483647)</x:f>
        <x:v>480574553</x:v>
      </x:c>
      <x:c r="AV30" s="9" t="n">
        <x:f>MOD(AU30*16807,2147483647)</x:f>
        <x:v>330515904</x:v>
      </x:c>
      <x:c r="AW30" s="17" t="n">
        <x:f>IF('Control Room'!$B$5="Normal",'Control Room'!$B$7+'Control Room'!$D$7*SQRT(-2*LN(MAX(0.000000000001,AU30/2147483647)))*COS(2*PI()*AV30/2147483647),'Control Room'!$B$8+('Control Room'!$D$8-'Control Room'!$B$8)*AU30/2147483647)</x:f>
        <x:v>1088.415809703481</x:v>
      </x:c>
      <x:c r="AX30" s="17" t="n">
        <x:f>IF('Control Room'!$B$5="Normal",'Control Room'!$B$7,('Control Room'!$B$8+'Control Room'!$D$8)/2)+'Control Room'!$B$9*(AX29-IF('Control Room'!$B$5="Normal",'Control Room'!$B$7,('Control Room'!$B$8+'Control Room'!$D$8)/2))+SQRT(1-'Control Room'!$B$9^2)*(AW30-IF('Control Room'!$B$5="Normal",'Control Room'!$B$7,('Control Room'!$B$8+'Control Room'!$D$8)/2))</x:f>
        <x:v>1059.8349355970865</x:v>
      </x:c>
      <x:c r="AY30" s="17" t="n">
        <x:f>IF(AND($A30&gt;='Control Room'!$A$13,$A30&lt;'Control Room'!$A$13+'Control Room'!$B$13,'Process'!BT2=1),1+('Control Room'!$C$13-1)*EXP(-0.5*(($A30-'Control Room'!$A$13-('Control Room'!$B$13-1)/2)/MAX(0.5,'Control Room'!$B$13/4))^2),1)*IF(AND($A30&gt;='Control Room'!$A$14,$A30&lt;'Control Room'!$A$14+'Control Room'!$B$14,'Process'!BT3=1),1+('Control Room'!$C$14-1)*EXP(-0.5*(($A30-'Control Room'!$A$14-('Control Room'!$B$14-1)/2)/MAX(0.5,'Control Room'!$B$14/4))^2),1)*IF(AND($A30&gt;='Control Room'!$A$15,$A30&lt;'Control Room'!$A$15+'Control Room'!$B$15,'Process'!BT4=1),1+('Control Room'!$C$15-1)*EXP(-0.5*(($A30-'Control Room'!$A$15-('Control Room'!$B$15-1)/2)/MAX(0.5,'Control Room'!$B$15/4))^2),1)*IF(AND($A30&gt;='Control Room'!$A$16,$A30&lt;'Control Room'!$A$16+'Control Room'!$B$16,'Process'!BT5=1),1+('Control Room'!$C$16-1)*EXP(-0.5*(($A30-'Control Room'!$A$16-('Control Room'!$B$16-1)/2)/MAX(0.5,'Control Room'!$B$16/4))^2),1)</x:f>
        <x:v>1</x:v>
      </x:c>
      <x:c r="AZ30" s="9" t="n">
        <x:f>MOD(BA29*16807,2147483647)</x:f>
        <x:v>1509231005</x:v>
      </x:c>
      <x:c r="BA30" s="9" t="n">
        <x:f>MOD(AZ30*16807,2147483647)</x:f>
        <x:v>1716146318</x:v>
      </x:c>
      <x:c r="BB30" s="17" t="n">
        <x:f>IF('Control Room'!$B$5="Normal",'Control Room'!$B$7+'Control Room'!$D$7*SQRT(-2*LN(MAX(0.000000000001,AZ30/2147483647)))*COS(2*PI()*BA30/2147483647),'Control Room'!$B$8+('Control Room'!$D$8-'Control Room'!$B$8)*AZ30/2147483647)</x:f>
        <x:v>1022.9707760657994</x:v>
      </x:c>
      <x:c r="BC30" s="17" t="n">
        <x:f>IF('Control Room'!$B$5="Normal",'Control Room'!$B$7,('Control Room'!$B$8+'Control Room'!$D$8)/2)+'Control Room'!$B$9*(BC29-IF('Control Room'!$B$5="Normal",'Control Room'!$B$7,('Control Room'!$B$8+'Control Room'!$D$8)/2))+SQRT(1-'Control Room'!$B$9^2)*(BB30-IF('Control Room'!$B$5="Normal",'Control Room'!$B$7,('Control Room'!$B$8+'Control Room'!$D$8)/2))</x:f>
        <x:v>869.6562375428626</x:v>
      </x:c>
      <x:c r="BD30" s="17" t="n">
        <x:f>IF(AND($A30&gt;='Control Room'!$A$13,$A30&lt;'Control Room'!$A$13+'Control Room'!$B$13,'Process'!BU2=1),1+('Control Room'!$C$13-1)*EXP(-0.5*(($A30-'Control Room'!$A$13-('Control Room'!$B$13-1)/2)/MAX(0.5,'Control Room'!$B$13/4))^2),1)*IF(AND($A30&gt;='Control Room'!$A$14,$A30&lt;'Control Room'!$A$14+'Control Room'!$B$14,'Process'!BU3=1),1+('Control Room'!$C$14-1)*EXP(-0.5*(($A30-'Control Room'!$A$14-('Control Room'!$B$14-1)/2)/MAX(0.5,'Control Room'!$B$14/4))^2),1)*IF(AND($A30&gt;='Control Room'!$A$15,$A30&lt;'Control Room'!$A$15+'Control Room'!$B$15,'Process'!BU4=1),1+('Control Room'!$C$15-1)*EXP(-0.5*(($A30-'Control Room'!$A$15-('Control Room'!$B$15-1)/2)/MAX(0.5,'Control Room'!$B$15/4))^2),1)*IF(AND($A30&gt;='Control Room'!$A$16,$A30&lt;'Control Room'!$A$16+'Control Room'!$B$16,'Process'!BU5=1),1+('Control Room'!$C$16-1)*EXP(-0.5*(($A30-'Control Room'!$A$16-('Control Room'!$B$16-1)/2)/MAX(0.5,'Control Room'!$B$16/4))^2),1)</x:f>
        <x:v>1</x:v>
      </x:c>
      <x:c r="BE30" s="9" t="n">
        <x:f>MOD(BF29*16807,2147483647)</x:f>
        <x:v>390403810</x:v>
      </x:c>
      <x:c r="BF30" s="9" t="n">
        <x:f>MOD(BE30*16807,2147483647)</x:f>
        <x:v>954293085</x:v>
      </x:c>
      <x:c r="BG30" s="17" t="n">
        <x:f>IF('Control Room'!$B$5="Normal",'Control Room'!$B$7+'Control Room'!$D$7*SQRT(-2*LN(MAX(0.000000000001,BE30/2147483647)))*COS(2*PI()*BF30/2147483647),'Control Room'!$B$8+('Control Room'!$D$8-'Control Room'!$B$8)*BE30/2147483647)</x:f>
        <x:v>843.8570687727786</x:v>
      </x:c>
      <x:c r="BH30" s="17" t="n">
        <x:f>IF('Control Room'!$B$5="Normal",'Control Room'!$B$7,('Control Room'!$B$8+'Control Room'!$D$8)/2)+'Control Room'!$B$9*(BH29-IF('Control Room'!$B$5="Normal",'Control Room'!$B$7,('Control Room'!$B$8+'Control Room'!$D$8)/2))+SQRT(1-'Control Room'!$B$9^2)*(BG30-IF('Control Room'!$B$5="Normal",'Control Room'!$B$7,('Control Room'!$B$8+'Control Room'!$D$8)/2))</x:f>
        <x:v>893.0210650925478</x:v>
      </x:c>
      <x:c r="BI30" s="17" t="n">
        <x:f>IF(AND($A30&gt;='Control Room'!$A$13,$A30&lt;'Control Room'!$A$13+'Control Room'!$B$13,'Process'!BV2=1),1+('Control Room'!$C$13-1)*EXP(-0.5*(($A30-'Control Room'!$A$13-('Control Room'!$B$13-1)/2)/MAX(0.5,'Control Room'!$B$13/4))^2),1)*IF(AND($A30&gt;='Control Room'!$A$14,$A30&lt;'Control Room'!$A$14+'Control Room'!$B$14,'Process'!BV3=1),1+('Control Room'!$C$14-1)*EXP(-0.5*(($A30-'Control Room'!$A$14-('Control Room'!$B$14-1)/2)/MAX(0.5,'Control Room'!$B$14/4))^2),1)*IF(AND($A30&gt;='Control Room'!$A$15,$A30&lt;'Control Room'!$A$15+'Control Room'!$B$15,'Process'!BV4=1),1+('Control Room'!$C$15-1)*EXP(-0.5*(($A30-'Control Room'!$A$15-('Control Room'!$B$15-1)/2)/MAX(0.5,'Control Room'!$B$15/4))^2),1)*IF(AND($A30&gt;='Control Room'!$A$16,$A30&lt;'Control Room'!$A$16+'Control Room'!$B$16,'Process'!BV5=1),1+('Control Room'!$C$16-1)*EXP(-0.5*(($A30-'Control Room'!$A$16-('Control Room'!$B$16-1)/2)/MAX(0.5,'Control Room'!$B$16/4))^2),1)</x:f>
        <x:v>1</x:v>
      </x:c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Z30" t="str">
        <x:f>IF('Data'!A30="","",TEXT('Data'!A30,"mm-dd"))</x:f>
        <x:v>11-30</x:v>
      </x:c>
    </x:row>
    <x:row r="31" ht="21" customHeight="1">
      <x:c r="A31" s="15" t="n">
        <x:f>'Control Room'!$B$1+29</x:f>
        <x:v>73020</x:v>
      </x:c>
      <x:c r="B31" s="9" t="n">
        <x:f>MOD(C30*16807,2147483647)</x:f>
        <x:v>1378721704</x:v>
      </x:c>
      <x:c r="C31" s="9" t="n">
        <x:f>MOD(B31*16807,2147483647)</x:f>
        <x:v>827127998</x:v>
      </x:c>
      <x:c r="D31" s="17" t="n">
        <x:f>IF('Control Room'!$B$5="Normal",'Control Room'!$B$7+'Control Room'!$D$7*SQRT(-2*LN(MAX(0.000000000001,B31/2147483647)))*COS(2*PI()*C31/2147483647),'Control Room'!$B$8+('Control Room'!$D$8-'Control Room'!$B$8)*B31/2147483647)</x:f>
        <x:v>936.3876187431052</x:v>
      </x:c>
      <x:c r="E31" s="17" t="n">
        <x:f>IF('Control Room'!$B$5="Normal",'Control Room'!$B$7,('Control Room'!$B$8+'Control Room'!$D$8)/2)+'Control Room'!$B$9*(E30-IF('Control Room'!$B$5="Normal",'Control Room'!$B$7,('Control Room'!$B$8+'Control Room'!$D$8)/2))+SQRT(1-'Control Room'!$B$9^2)*(D31-IF('Control Room'!$B$5="Normal",'Control Room'!$B$7,('Control Room'!$B$8+'Control Room'!$D$8)/2))</x:f>
        <x:v>913.4570737520133</x:v>
      </x:c>
      <x:c r="F31" s="17" t="n">
        <x:f>IF(AND($A31&gt;='Control Room'!$A$13,$A31&lt;'Control Room'!$A$13+'Control Room'!$B$13,'Process'!BK2=1),1+('Control Room'!$C$13-1)*EXP(-0.5*(($A31-'Control Room'!$A$13-('Control Room'!$B$13-1)/2)/MAX(0.5,'Control Room'!$B$13/4))^2),1)*IF(AND($A31&gt;='Control Room'!$A$14,$A31&lt;'Control Room'!$A$14+'Control Room'!$B$14,'Process'!BK3=1),1+('Control Room'!$C$14-1)*EXP(-0.5*(($A31-'Control Room'!$A$14-('Control Room'!$B$14-1)/2)/MAX(0.5,'Control Room'!$B$14/4))^2),1)*IF(AND($A31&gt;='Control Room'!$A$15,$A31&lt;'Control Room'!$A$15+'Control Room'!$B$15,'Process'!BK4=1),1+('Control Room'!$C$15-1)*EXP(-0.5*(($A31-'Control Room'!$A$15-('Control Room'!$B$15-1)/2)/MAX(0.5,'Control Room'!$B$15/4))^2),1)*IF(AND($A31&gt;='Control Room'!$A$16,$A31&lt;'Control Room'!$A$16+'Control Room'!$B$16,'Process'!BK5=1),1+('Control Room'!$C$16-1)*EXP(-0.5*(($A31-'Control Room'!$A$16-('Control Room'!$B$16-1)/2)/MAX(0.5,'Control Room'!$B$16/4))^2),1)</x:f>
        <x:v>1</x:v>
      </x:c>
      <x:c r="G31" s="9" t="n">
        <x:f>MOD(H30*16807,2147483647)</x:f>
        <x:v>208938087</x:v>
      </x:c>
      <x:c r="H31" s="9" t="n">
        <x:f>MOD(G31*16807,2147483647)</x:f>
        <x:v>486665364</x:v>
      </x:c>
      <x:c r="I31" s="17" t="n">
        <x:f>IF('Control Room'!$B$5="Normal",'Control Room'!$B$7+'Control Room'!$D$7*SQRT(-2*LN(MAX(0.000000000001,G31/2147483647)))*COS(2*PI()*H31/2147483647),'Control Room'!$B$8+('Control Room'!$D$8-'Control Room'!$B$8)*G31/2147483647)</x:f>
        <x:v>1028.4364597121182</x:v>
      </x:c>
      <x:c r="J31" s="17" t="n">
        <x:f>IF('Control Room'!$B$5="Normal",'Control Room'!$B$7,('Control Room'!$B$8+'Control Room'!$D$8)/2)+'Control Room'!$B$9*(J30-IF('Control Room'!$B$5="Normal",'Control Room'!$B$7,('Control Room'!$B$8+'Control Room'!$D$8)/2))+SQRT(1-'Control Room'!$B$9^2)*(I31-IF('Control Room'!$B$5="Normal",'Control Room'!$B$7,('Control Room'!$B$8+'Control Room'!$D$8)/2))</x:f>
        <x:v>1114.7392181408698</x:v>
      </x:c>
      <x:c r="K31" s="17" t="n">
        <x:f>IF(AND($A31&gt;='Control Room'!$A$13,$A31&lt;'Control Room'!$A$13+'Control Room'!$B$13,'Process'!BL2=1),1+('Control Room'!$C$13-1)*EXP(-0.5*(($A31-'Control Room'!$A$13-('Control Room'!$B$13-1)/2)/MAX(0.5,'Control Room'!$B$13/4))^2),1)*IF(AND($A31&gt;='Control Room'!$A$14,$A31&lt;'Control Room'!$A$14+'Control Room'!$B$14,'Process'!BL3=1),1+('Control Room'!$C$14-1)*EXP(-0.5*(($A31-'Control Room'!$A$14-('Control Room'!$B$14-1)/2)/MAX(0.5,'Control Room'!$B$14/4))^2),1)*IF(AND($A31&gt;='Control Room'!$A$15,$A31&lt;'Control Room'!$A$15+'Control Room'!$B$15,'Process'!BL4=1),1+('Control Room'!$C$15-1)*EXP(-0.5*(($A31-'Control Room'!$A$15-('Control Room'!$B$15-1)/2)/MAX(0.5,'Control Room'!$B$15/4))^2),1)*IF(AND($A31&gt;='Control Room'!$A$16,$A31&lt;'Control Room'!$A$16+'Control Room'!$B$16,'Process'!BL5=1),1+('Control Room'!$C$16-1)*EXP(-0.5*(($A31-'Control Room'!$A$16-('Control Room'!$B$16-1)/2)/MAX(0.5,'Control Room'!$B$16/4))^2),1)</x:f>
        <x:v>1</x:v>
      </x:c>
      <x:c r="L31" s="9" t="n">
        <x:f>MOD(M30*16807,2147483647)</x:f>
        <x:v>1186638117</x:v>
      </x:c>
      <x:c r="M31" s="9" t="n">
        <x:f>MOD(L31*16807,2147483647)</x:f>
        <x:v>146202730</x:v>
      </x:c>
      <x:c r="N31" s="17" t="n">
        <x:f>IF('Control Room'!$B$5="Normal",'Control Room'!$B$7+'Control Room'!$D$7*SQRT(-2*LN(MAX(0.000000000001,L31/2147483647)))*COS(2*PI()*M31/2147483647),'Control Room'!$B$8+('Control Room'!$D$8-'Control Room'!$B$8)*L31/2147483647)</x:f>
        <x:v>1089.1947628099906</x:v>
      </x:c>
      <x:c r="O31" s="17" t="n">
        <x:f>IF('Control Room'!$B$5="Normal",'Control Room'!$B$7,('Control Room'!$B$8+'Control Room'!$D$8)/2)+'Control Room'!$B$9*(O30-IF('Control Room'!$B$5="Normal",'Control Room'!$B$7,('Control Room'!$B$8+'Control Room'!$D$8)/2))+SQRT(1-'Control Room'!$B$9^2)*(N31-IF('Control Room'!$B$5="Normal",'Control Room'!$B$7,('Control Room'!$B$8+'Control Room'!$D$8)/2))</x:f>
        <x:v>1049.6535954923775</x:v>
      </x:c>
      <x:c r="P31" s="17" t="n">
        <x:f>IF(AND($A31&gt;='Control Room'!$A$13,$A31&lt;'Control Room'!$A$13+'Control Room'!$B$13,'Process'!BM2=1),1+('Control Room'!$C$13-1)*EXP(-0.5*(($A31-'Control Room'!$A$13-('Control Room'!$B$13-1)/2)/MAX(0.5,'Control Room'!$B$13/4))^2),1)*IF(AND($A31&gt;='Control Room'!$A$14,$A31&lt;'Control Room'!$A$14+'Control Room'!$B$14,'Process'!BM3=1),1+('Control Room'!$C$14-1)*EXP(-0.5*(($A31-'Control Room'!$A$14-('Control Room'!$B$14-1)/2)/MAX(0.5,'Control Room'!$B$14/4))^2),1)*IF(AND($A31&gt;='Control Room'!$A$15,$A31&lt;'Control Room'!$A$15+'Control Room'!$B$15,'Process'!BM4=1),1+('Control Room'!$C$15-1)*EXP(-0.5*(($A31-'Control Room'!$A$15-('Control Room'!$B$15-1)/2)/MAX(0.5,'Control Room'!$B$15/4))^2),1)*IF(AND($A31&gt;='Control Room'!$A$16,$A31&lt;'Control Room'!$A$16+'Control Room'!$B$16,'Process'!BM5=1),1+('Control Room'!$C$16-1)*EXP(-0.5*(($A31-'Control Room'!$A$16-('Control Room'!$B$16-1)/2)/MAX(0.5,'Control Room'!$B$16/4))^2),1)</x:f>
        <x:v>1</x:v>
      </x:c>
      <x:c r="Q31" s="9" t="n">
        <x:f>MOD(R30*16807,2147483647)</x:f>
        <x:v>16854500</x:v>
      </x:c>
      <x:c r="R31" s="9" t="n">
        <x:f>MOD(Q31*16807,2147483647)</x:f>
        <x:v>1953223743</x:v>
      </x:c>
      <x:c r="S31" s="17" t="n">
        <x:f>IF('Control Room'!$B$5="Normal",'Control Room'!$B$7+'Control Room'!$D$7*SQRT(-2*LN(MAX(0.000000000001,Q31/2147483647)))*COS(2*PI()*R31/2147483647),'Control Room'!$B$8+('Control Room'!$D$8-'Control Room'!$B$8)*Q31/2147483647)</x:f>
        <x:v>1236.1710611063722</x:v>
      </x:c>
      <x:c r="T31" s="17" t="n">
        <x:f>IF('Control Room'!$B$5="Normal",'Control Room'!$B$7,('Control Room'!$B$8+'Control Room'!$D$8)/2)+'Control Room'!$B$9*(T30-IF('Control Room'!$B$5="Normal",'Control Room'!$B$7,('Control Room'!$B$8+'Control Room'!$D$8)/2))+SQRT(1-'Control Room'!$B$9^2)*(S31-IF('Control Room'!$B$5="Normal",'Control Room'!$B$7,('Control Room'!$B$8+'Control Room'!$D$8)/2))</x:f>
        <x:v>1083.7565198367108</x:v>
      </x:c>
      <x:c r="U31" s="17" t="n">
        <x:f>IF(AND($A31&gt;='Control Room'!$A$13,$A31&lt;'Control Room'!$A$13+'Control Room'!$B$13,'Process'!BN2=1),1+('Control Room'!$C$13-1)*EXP(-0.5*(($A31-'Control Room'!$A$13-('Control Room'!$B$13-1)/2)/MAX(0.5,'Control Room'!$B$13/4))^2),1)*IF(AND($A31&gt;='Control Room'!$A$14,$A31&lt;'Control Room'!$A$14+'Control Room'!$B$14,'Process'!BN3=1),1+('Control Room'!$C$14-1)*EXP(-0.5*(($A31-'Control Room'!$A$14-('Control Room'!$B$14-1)/2)/MAX(0.5,'Control Room'!$B$14/4))^2),1)*IF(AND($A31&gt;='Control Room'!$A$15,$A31&lt;'Control Room'!$A$15+'Control Room'!$B$15,'Process'!BN4=1),1+('Control Room'!$C$15-1)*EXP(-0.5*(($A31-'Control Room'!$A$15-('Control Room'!$B$15-1)/2)/MAX(0.5,'Control Room'!$B$15/4))^2),1)*IF(AND($A31&gt;='Control Room'!$A$16,$A31&lt;'Control Room'!$A$16+'Control Room'!$B$16,'Process'!BN5=1),1+('Control Room'!$C$16-1)*EXP(-0.5*(($A31-'Control Room'!$A$16-('Control Room'!$B$16-1)/2)/MAX(0.5,'Control Room'!$B$16/4))^2),1)</x:f>
        <x:v>1</x:v>
      </x:c>
      <x:c r="V31" s="9" t="n">
        <x:f>MOD(W30*16807,2147483647)</x:f>
        <x:v>994554530</x:v>
      </x:c>
      <x:c r="W31" s="9" t="n">
        <x:f>MOD(V31*16807,2147483647)</x:f>
        <x:v>1612761109</x:v>
      </x:c>
      <x:c r="X31" s="17" t="n">
        <x:f>IF('Control Room'!$B$5="Normal",'Control Room'!$B$7+'Control Room'!$D$7*SQRT(-2*LN(MAX(0.000000000001,V31/2147483647)))*COS(2*PI()*W31/2147483647),'Control Room'!$B$8+('Control Room'!$D$8-'Control Room'!$B$8)*V31/2147483647)</x:f>
        <x:v>1000.7019260208663</x:v>
      </x:c>
      <x:c r="Y31" s="17" t="n">
        <x:f>IF('Control Room'!$B$5="Normal",'Control Room'!$B$7,('Control Room'!$B$8+'Control Room'!$D$8)/2)+'Control Room'!$B$9*(Y30-IF('Control Room'!$B$5="Normal",'Control Room'!$B$7,('Control Room'!$B$8+'Control Room'!$D$8)/2))+SQRT(1-'Control Room'!$B$9^2)*(X31-IF('Control Room'!$B$5="Normal",'Control Room'!$B$7,('Control Room'!$B$8+'Control Room'!$D$8)/2))</x:f>
        <x:v>1059.460543764057</x:v>
      </x:c>
      <x:c r="Z31" s="17" t="n">
        <x:f>IF(AND($A31&gt;='Control Room'!$A$13,$A31&lt;'Control Room'!$A$13+'Control Room'!$B$13,'Process'!BO2=1),1+('Control Room'!$C$13-1)*EXP(-0.5*(($A31-'Control Room'!$A$13-('Control Room'!$B$13-1)/2)/MAX(0.5,'Control Room'!$B$13/4))^2),1)*IF(AND($A31&gt;='Control Room'!$A$14,$A31&lt;'Control Room'!$A$14+'Control Room'!$B$14,'Process'!BO3=1),1+('Control Room'!$C$14-1)*EXP(-0.5*(($A31-'Control Room'!$A$14-('Control Room'!$B$14-1)/2)/MAX(0.5,'Control Room'!$B$14/4))^2),1)*IF(AND($A31&gt;='Control Room'!$A$15,$A31&lt;'Control Room'!$A$15+'Control Room'!$B$15,'Process'!BO4=1),1+('Control Room'!$C$15-1)*EXP(-0.5*(($A31-'Control Room'!$A$15-('Control Room'!$B$15-1)/2)/MAX(0.5,'Control Room'!$B$15/4))^2),1)*IF(AND($A31&gt;='Control Room'!$A$16,$A31&lt;'Control Room'!$A$16+'Control Room'!$B$16,'Process'!BO5=1),1+('Control Room'!$C$16-1)*EXP(-0.5*(($A31-'Control Room'!$A$16-('Control Room'!$B$16-1)/2)/MAX(0.5,'Control Room'!$B$16/4))^2),1)</x:f>
        <x:v>1</x:v>
      </x:c>
      <x:c r="AA31" s="9" t="n">
        <x:f>MOD(AB30*16807,2147483647)</x:f>
        <x:v>1972254560</x:v>
      </x:c>
      <x:c r="AB31" s="9" t="n">
        <x:f>MOD(AA31*16807,2147483647)</x:f>
        <x:v>1272298475</x:v>
      </x:c>
      <x:c r="AC31" s="17" t="n">
        <x:f>IF('Control Room'!$B$5="Normal",'Control Room'!$B$7+'Control Room'!$D$7*SQRT(-2*LN(MAX(0.000000000001,AA31/2147483647)))*COS(2*PI()*AB31/2147483647),'Control Room'!$B$8+('Control Room'!$D$8-'Control Room'!$B$8)*AA31/2147483647)</x:f>
        <x:v>968.9580170177001</x:v>
      </x:c>
      <x:c r="AD31" s="17" t="n">
        <x:f>IF('Control Room'!$B$5="Normal",'Control Room'!$B$7,('Control Room'!$B$8+'Control Room'!$D$8)/2)+'Control Room'!$B$9*(AD30-IF('Control Room'!$B$5="Normal",'Control Room'!$B$7,('Control Room'!$B$8+'Control Room'!$D$8)/2))+SQRT(1-'Control Room'!$B$9^2)*(AC31-IF('Control Room'!$B$5="Normal",'Control Room'!$B$7,('Control Room'!$B$8+'Control Room'!$D$8)/2))</x:f>
        <x:v>977.8348907397832</x:v>
      </x:c>
      <x:c r="AE31" s="17" t="n">
        <x:f>IF(AND($A31&gt;='Control Room'!$A$13,$A31&lt;'Control Room'!$A$13+'Control Room'!$B$13,'Process'!BP2=1),1+('Control Room'!$C$13-1)*EXP(-0.5*(($A31-'Control Room'!$A$13-('Control Room'!$B$13-1)/2)/MAX(0.5,'Control Room'!$B$13/4))^2),1)*IF(AND($A31&gt;='Control Room'!$A$14,$A31&lt;'Control Room'!$A$14+'Control Room'!$B$14,'Process'!BP3=1),1+('Control Room'!$C$14-1)*EXP(-0.5*(($A31-'Control Room'!$A$14-('Control Room'!$B$14-1)/2)/MAX(0.5,'Control Room'!$B$14/4))^2),1)*IF(AND($A31&gt;='Control Room'!$A$15,$A31&lt;'Control Room'!$A$15+'Control Room'!$B$15,'Process'!BP4=1),1+('Control Room'!$C$15-1)*EXP(-0.5*(($A31-'Control Room'!$A$15-('Control Room'!$B$15-1)/2)/MAX(0.5,'Control Room'!$B$15/4))^2),1)*IF(AND($A31&gt;='Control Room'!$A$16,$A31&lt;'Control Room'!$A$16+'Control Room'!$B$16,'Process'!BP5=1),1+('Control Room'!$C$16-1)*EXP(-0.5*(($A31-'Control Room'!$A$16-('Control Room'!$B$16-1)/2)/MAX(0.5,'Control Room'!$B$16/4))^2),1)</x:f>
        <x:v>1</x:v>
      </x:c>
      <x:c r="AF31" s="9" t="n">
        <x:f>MOD(AG30*16807,2147483647)</x:f>
        <x:v>802470943</x:v>
      </x:c>
      <x:c r="AG31" s="9" t="n">
        <x:f>MOD(AF31*16807,2147483647)</x:f>
        <x:v>931835841</x:v>
      </x:c>
      <x:c r="AH31" s="17" t="n">
        <x:f>IF('Control Room'!$B$5="Normal",'Control Room'!$B$7+'Control Room'!$D$7*SQRT(-2*LN(MAX(0.000000000001,AF31/2147483647)))*COS(2*PI()*AG31/2147483647),'Control Room'!$B$8+('Control Room'!$D$8-'Control Room'!$B$8)*AF31/2147483647)</x:f>
        <x:v>884.4492080341021</x:v>
      </x:c>
      <x:c r="AI31" s="17" t="n">
        <x:f>IF('Control Room'!$B$5="Normal",'Control Room'!$B$7,('Control Room'!$B$8+'Control Room'!$D$8)/2)+'Control Room'!$B$9*(AI30-IF('Control Room'!$B$5="Normal",'Control Room'!$B$7,('Control Room'!$B$8+'Control Room'!$D$8)/2))+SQRT(1-'Control Room'!$B$9^2)*(AH31-IF('Control Room'!$B$5="Normal",'Control Room'!$B$7,('Control Room'!$B$8+'Control Room'!$D$8)/2))</x:f>
        <x:v>922.3025708732187</x:v>
      </x:c>
      <x:c r="AJ31" s="17" t="n">
        <x:f>IF(AND($A31&gt;='Control Room'!$A$13,$A31&lt;'Control Room'!$A$13+'Control Room'!$B$13,'Process'!BQ2=1),1+('Control Room'!$C$13-1)*EXP(-0.5*(($A31-'Control Room'!$A$13-('Control Room'!$B$13-1)/2)/MAX(0.5,'Control Room'!$B$13/4))^2),1)*IF(AND($A31&gt;='Control Room'!$A$14,$A31&lt;'Control Room'!$A$14+'Control Room'!$B$14,'Process'!BQ3=1),1+('Control Room'!$C$14-1)*EXP(-0.5*(($A31-'Control Room'!$A$14-('Control Room'!$B$14-1)/2)/MAX(0.5,'Control Room'!$B$14/4))^2),1)*IF(AND($A31&gt;='Control Room'!$A$15,$A31&lt;'Control Room'!$A$15+'Control Room'!$B$15,'Process'!BQ4=1),1+('Control Room'!$C$15-1)*EXP(-0.5*(($A31-'Control Room'!$A$15-('Control Room'!$B$15-1)/2)/MAX(0.5,'Control Room'!$B$15/4))^2),1)*IF(AND($A31&gt;='Control Room'!$A$16,$A31&lt;'Control Room'!$A$16+'Control Room'!$B$16,'Process'!BQ5=1),1+('Control Room'!$C$16-1)*EXP(-0.5*(($A31-'Control Room'!$A$16-('Control Room'!$B$16-1)/2)/MAX(0.5,'Control Room'!$B$16/4))^2),1)</x:f>
        <x:v>1</x:v>
      </x:c>
      <x:c r="AK31" s="9" t="n">
        <x:f>MOD(AL30*16807,2147483647)</x:f>
        <x:v>1780170973</x:v>
      </x:c>
      <x:c r="AL31" s="9" t="n">
        <x:f>MOD(AK31*16807,2147483647)</x:f>
        <x:v>591373207</x:v>
      </x:c>
      <x:c r="AM31" s="17" t="n">
        <x:f>IF('Control Room'!$B$5="Normal",'Control Room'!$B$7+'Control Room'!$D$7*SQRT(-2*LN(MAX(0.000000000001,AK31/2147483647)))*COS(2*PI()*AL31/2147483647),'Control Room'!$B$8+('Control Room'!$D$8-'Control Room'!$B$8)*AK31/2147483647)</x:f>
        <x:v>991.2464967414634</x:v>
      </x:c>
      <x:c r="AN31" s="17" t="n">
        <x:f>IF('Control Room'!$B$5="Normal",'Control Room'!$B$7,('Control Room'!$B$8+'Control Room'!$D$8)/2)+'Control Room'!$B$9*(AN30-IF('Control Room'!$B$5="Normal",'Control Room'!$B$7,('Control Room'!$B$8+'Control Room'!$D$8)/2))+SQRT(1-'Control Room'!$B$9^2)*(AM31-IF('Control Room'!$B$5="Normal",'Control Room'!$B$7,('Control Room'!$B$8+'Control Room'!$D$8)/2))</x:f>
        <x:v>1098.5096499717304</x:v>
      </x:c>
      <x:c r="AO31" s="17" t="n">
        <x:f>IF(AND($A31&gt;='Control Room'!$A$13,$A31&lt;'Control Room'!$A$13+'Control Room'!$B$13,'Process'!BR2=1),1+('Control Room'!$C$13-1)*EXP(-0.5*(($A31-'Control Room'!$A$13-('Control Room'!$B$13-1)/2)/MAX(0.5,'Control Room'!$B$13/4))^2),1)*IF(AND($A31&gt;='Control Room'!$A$14,$A31&lt;'Control Room'!$A$14+'Control Room'!$B$14,'Process'!BR3=1),1+('Control Room'!$C$14-1)*EXP(-0.5*(($A31-'Control Room'!$A$14-('Control Room'!$B$14-1)/2)/MAX(0.5,'Control Room'!$B$14/4))^2),1)*IF(AND($A31&gt;='Control Room'!$A$15,$A31&lt;'Control Room'!$A$15+'Control Room'!$B$15,'Process'!BR4=1),1+('Control Room'!$C$15-1)*EXP(-0.5*(($A31-'Control Room'!$A$15-('Control Room'!$B$15-1)/2)/MAX(0.5,'Control Room'!$B$15/4))^2),1)*IF(AND($A31&gt;='Control Room'!$A$16,$A31&lt;'Control Room'!$A$16+'Control Room'!$B$16,'Process'!BR5=1),1+('Control Room'!$C$16-1)*EXP(-0.5*(($A31-'Control Room'!$A$16-('Control Room'!$B$16-1)/2)/MAX(0.5,'Control Room'!$B$16/4))^2),1)</x:f>
        <x:v>1</x:v>
      </x:c>
      <x:c r="AP31" s="9" t="n">
        <x:f>MOD(AQ30*16807,2147483647)</x:f>
        <x:v>610387356</x:v>
      </x:c>
      <x:c r="AQ31" s="9" t="n">
        <x:f>MOD(AP31*16807,2147483647)</x:f>
        <x:v>250910573</x:v>
      </x:c>
      <x:c r="AR31" s="17" t="n">
        <x:f>IF('Control Room'!$B$5="Normal",'Control Room'!$B$7+'Control Room'!$D$7*SQRT(-2*LN(MAX(0.000000000001,AP31/2147483647)))*COS(2*PI()*AQ31/2147483647),'Control Room'!$B$8+('Control Room'!$D$8-'Control Room'!$B$8)*AP31/2147483647)</x:f>
        <x:v>1105.9837700311682</x:v>
      </x:c>
      <x:c r="AS31" s="17" t="n">
        <x:f>IF('Control Room'!$B$5="Normal",'Control Room'!$B$7,('Control Room'!$B$8+'Control Room'!$D$8)/2)+'Control Room'!$B$9*(AS30-IF('Control Room'!$B$5="Normal",'Control Room'!$B$7,('Control Room'!$B$8+'Control Room'!$D$8)/2))+SQRT(1-'Control Room'!$B$9^2)*(AR31-IF('Control Room'!$B$5="Normal",'Control Room'!$B$7,('Control Room'!$B$8+'Control Room'!$D$8)/2))</x:f>
        <x:v>1040.7557746665316</x:v>
      </x:c>
      <x:c r="AT31" s="17" t="n">
        <x:f>IF(AND($A31&gt;='Control Room'!$A$13,$A31&lt;'Control Room'!$A$13+'Control Room'!$B$13,'Process'!BS2=1),1+('Control Room'!$C$13-1)*EXP(-0.5*(($A31-'Control Room'!$A$13-('Control Room'!$B$13-1)/2)/MAX(0.5,'Control Room'!$B$13/4))^2),1)*IF(AND($A31&gt;='Control Room'!$A$14,$A31&lt;'Control Room'!$A$14+'Control Room'!$B$14,'Process'!BS3=1),1+('Control Room'!$C$14-1)*EXP(-0.5*(($A31-'Control Room'!$A$14-('Control Room'!$B$14-1)/2)/MAX(0.5,'Control Room'!$B$14/4))^2),1)*IF(AND($A31&gt;='Control Room'!$A$15,$A31&lt;'Control Room'!$A$15+'Control Room'!$B$15,'Process'!BS4=1),1+('Control Room'!$C$15-1)*EXP(-0.5*(($A31-'Control Room'!$A$15-('Control Room'!$B$15-1)/2)/MAX(0.5,'Control Room'!$B$15/4))^2),1)*IF(AND($A31&gt;='Control Room'!$A$16,$A31&lt;'Control Room'!$A$16+'Control Room'!$B$16,'Process'!BS5=1),1+('Control Room'!$C$16-1)*EXP(-0.5*(($A31-'Control Room'!$A$16-('Control Room'!$B$16-1)/2)/MAX(0.5,'Control Room'!$B$16/4))^2),1)</x:f>
        <x:v>1</x:v>
      </x:c>
      <x:c r="AU31" s="9" t="n">
        <x:f>MOD(AV30*16807,2147483647)</x:f>
        <x:v>1588087386</x:v>
      </x:c>
      <x:c r="AV31" s="9" t="n">
        <x:f>MOD(AU31*16807,2147483647)</x:f>
        <x:v>2057931586</x:v>
      </x:c>
      <x:c r="AW31" s="17" t="n">
        <x:f>IF('Control Room'!$B$5="Normal",'Control Room'!$B$7+'Control Room'!$D$7*SQRT(-2*LN(MAX(0.000000000001,AU31/2147483647)))*COS(2*PI()*AV31/2147483647),'Control Room'!$B$8+('Control Room'!$D$8-'Control Room'!$B$8)*AU31/2147483647)</x:f>
        <x:v>1067.532315836428</x:v>
      </x:c>
      <x:c r="AX31" s="17" t="n">
        <x:f>IF('Control Room'!$B$5="Normal",'Control Room'!$B$7,('Control Room'!$B$8+'Control Room'!$D$8)/2)+'Control Room'!$B$9*(AX30-IF('Control Room'!$B$5="Normal",'Control Room'!$B$7,('Control Room'!$B$8+'Control Room'!$D$8)/2))+SQRT(1-'Control Room'!$B$9^2)*(AW31-IF('Control Room'!$B$5="Normal",'Control Room'!$B$7,('Control Room'!$B$8+'Control Room'!$D$8)/2))</x:f>
        <x:v>1088.9315895414757</x:v>
      </x:c>
      <x:c r="AY31" s="17" t="n">
        <x:f>IF(AND($A31&gt;='Control Room'!$A$13,$A31&lt;'Control Room'!$A$13+'Control Room'!$B$13,'Process'!BT2=1),1+('Control Room'!$C$13-1)*EXP(-0.5*(($A31-'Control Room'!$A$13-('Control Room'!$B$13-1)/2)/MAX(0.5,'Control Room'!$B$13/4))^2),1)*IF(AND($A31&gt;='Control Room'!$A$14,$A31&lt;'Control Room'!$A$14+'Control Room'!$B$14,'Process'!BT3=1),1+('Control Room'!$C$14-1)*EXP(-0.5*(($A31-'Control Room'!$A$14-('Control Room'!$B$14-1)/2)/MAX(0.5,'Control Room'!$B$14/4))^2),1)*IF(AND($A31&gt;='Control Room'!$A$15,$A31&lt;'Control Room'!$A$15+'Control Room'!$B$15,'Process'!BT4=1),1+('Control Room'!$C$15-1)*EXP(-0.5*(($A31-'Control Room'!$A$15-('Control Room'!$B$15-1)/2)/MAX(0.5,'Control Room'!$B$15/4))^2),1)*IF(AND($A31&gt;='Control Room'!$A$16,$A31&lt;'Control Room'!$A$16+'Control Room'!$B$16,'Process'!BT5=1),1+('Control Room'!$C$16-1)*EXP(-0.5*(($A31-'Control Room'!$A$16-('Control Room'!$B$16-1)/2)/MAX(0.5,'Control Room'!$B$16/4))^2),1)</x:f>
        <x:v>1</x:v>
      </x:c>
      <x:c r="AZ31" s="9" t="n">
        <x:f>MOD(BA30*16807,2147483647)</x:f>
        <x:v>418303769</x:v>
      </x:c>
      <x:c r="BA31" s="9" t="n">
        <x:f>MOD(AZ31*16807,2147483647)</x:f>
        <x:v>1717468952</x:v>
      </x:c>
      <x:c r="BB31" s="17" t="n">
        <x:f>IF('Control Room'!$B$5="Normal",'Control Room'!$B$7+'Control Room'!$D$7*SQRT(-2*LN(MAX(0.000000000001,AZ31/2147483647)))*COS(2*PI()*BA31/2147483647),'Control Room'!$B$8+('Control Room'!$D$8-'Control Room'!$B$8)*AZ31/2147483647)</x:f>
        <x:v>1050.070274159079</x:v>
      </x:c>
      <x:c r="BC31" s="17" t="n">
        <x:f>IF('Control Room'!$B$5="Normal",'Control Room'!$B$7,('Control Room'!$B$8+'Control Room'!$D$8)/2)+'Control Room'!$B$9*(BC30-IF('Control Room'!$B$5="Normal",'Control Room'!$B$7,('Control Room'!$B$8+'Control Room'!$D$8)/2))+SQRT(1-'Control Room'!$B$9^2)*(BB31-IF('Control Room'!$B$5="Normal",'Control Room'!$B$7,('Control Room'!$B$8+'Control Room'!$D$8)/2))</x:f>
        <x:v>929.6648171068641</x:v>
      </x:c>
      <x:c r="BD31" s="17" t="n">
        <x:f>IF(AND($A31&gt;='Control Room'!$A$13,$A31&lt;'Control Room'!$A$13+'Control Room'!$B$13,'Process'!BU2=1),1+('Control Room'!$C$13-1)*EXP(-0.5*(($A31-'Control Room'!$A$13-('Control Room'!$B$13-1)/2)/MAX(0.5,'Control Room'!$B$13/4))^2),1)*IF(AND($A31&gt;='Control Room'!$A$14,$A31&lt;'Control Room'!$A$14+'Control Room'!$B$14,'Process'!BU3=1),1+('Control Room'!$C$14-1)*EXP(-0.5*(($A31-'Control Room'!$A$14-('Control Room'!$B$14-1)/2)/MAX(0.5,'Control Room'!$B$14/4))^2),1)*IF(AND($A31&gt;='Control Room'!$A$15,$A31&lt;'Control Room'!$A$15+'Control Room'!$B$15,'Process'!BU4=1),1+('Control Room'!$C$15-1)*EXP(-0.5*(($A31-'Control Room'!$A$15-('Control Room'!$B$15-1)/2)/MAX(0.5,'Control Room'!$B$15/4))^2),1)*IF(AND($A31&gt;='Control Room'!$A$16,$A31&lt;'Control Room'!$A$16+'Control Room'!$B$16,'Process'!BU5=1),1+('Control Room'!$C$16-1)*EXP(-0.5*(($A31-'Control Room'!$A$16-('Control Room'!$B$16-1)/2)/MAX(0.5,'Control Room'!$B$16/4))^2),1)</x:f>
        <x:v>1</x:v>
      </x:c>
      <x:c r="BE31" s="9" t="n">
        <x:f>MOD(BF30*16807,2147483647)</x:f>
        <x:v>1396003799</x:v>
      </x:c>
      <x:c r="BF31" s="9" t="n">
        <x:f>MOD(BE31*16807,2147483647)</x:f>
        <x:v>1377006318</x:v>
      </x:c>
      <x:c r="BG31" s="17" t="n">
        <x:f>IF('Control Room'!$B$5="Normal",'Control Room'!$B$7+'Control Room'!$D$7*SQRT(-2*LN(MAX(0.000000000001,BE31/2147483647)))*COS(2*PI()*BF31/2147483647),'Control Room'!$B$8+('Control Room'!$D$8-'Control Room'!$B$8)*BE31/2147483647)</x:f>
        <x:v>947.2510354860282</x:v>
      </x:c>
      <x:c r="BH31" s="17" t="n">
        <x:f>IF('Control Room'!$B$5="Normal",'Control Room'!$B$7,('Control Room'!$B$8+'Control Room'!$D$8)/2)+'Control Room'!$B$9*(BH30-IF('Control Room'!$B$5="Normal",'Control Room'!$B$7,('Control Room'!$B$8+'Control Room'!$D$8)/2))+SQRT(1-'Control Room'!$B$9^2)*(BG31-IF('Control Room'!$B$5="Normal",'Control Room'!$B$7,('Control Room'!$B$8+'Control Room'!$D$8)/2))</x:f>
        <x:v>883.5472094006187</x:v>
      </x:c>
      <x:c r="BI31" s="17" t="n">
        <x:f>IF(AND($A31&gt;='Control Room'!$A$13,$A31&lt;'Control Room'!$A$13+'Control Room'!$B$13,'Process'!BV2=1),1+('Control Room'!$C$13-1)*EXP(-0.5*(($A31-'Control Room'!$A$13-('Control Room'!$B$13-1)/2)/MAX(0.5,'Control Room'!$B$13/4))^2),1)*IF(AND($A31&gt;='Control Room'!$A$14,$A31&lt;'Control Room'!$A$14+'Control Room'!$B$14,'Process'!BV3=1),1+('Control Room'!$C$14-1)*EXP(-0.5*(($A31-'Control Room'!$A$14-('Control Room'!$B$14-1)/2)/MAX(0.5,'Control Room'!$B$14/4))^2),1)*IF(AND($A31&gt;='Control Room'!$A$15,$A31&lt;'Control Room'!$A$15+'Control Room'!$B$15,'Process'!BV4=1),1+('Control Room'!$C$15-1)*EXP(-0.5*(($A31-'Control Room'!$A$15-('Control Room'!$B$15-1)/2)/MAX(0.5,'Control Room'!$B$15/4))^2),1)*IF(AND($A31&gt;='Control Room'!$A$16,$A31&lt;'Control Room'!$A$16+'Control Room'!$B$16,'Process'!BV5=1),1+('Control Room'!$C$16-1)*EXP(-0.5*(($A31-'Control Room'!$A$16-('Control Room'!$B$16-1)/2)/MAX(0.5,'Control Room'!$B$16/4))^2),1)</x:f>
        <x:v>1</x:v>
      </x:c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Z31" t="str">
        <x:f>IF('Data'!A31="","",TEXT('Data'!A31,"mm-dd"))</x:f>
        <x:v>12-01</x:v>
      </x:c>
    </x:row>
    <x:row r="32" ht="21" customHeight="1">
      <x:c r="A32" s="15" t="n">
        <x:f>'Control Room'!$B$1+30</x:f>
        <x:v>73021</x:v>
      </x:c>
      <x:c r="B32" s="9" t="n">
        <x:f>MOD(C31*16807,2147483647)</x:f>
        <x:v>878615355</x:v>
      </x:c>
      <x:c r="C32" s="9" t="n">
        <x:f>MOD(B32*16807,2147483647)</x:f>
        <x:v>790714713</x:v>
      </x:c>
      <x:c r="D32" s="17" t="n">
        <x:f>IF('Control Room'!$B$5="Normal",'Control Room'!$B$7+'Control Room'!$D$7*SQRT(-2*LN(MAX(0.000000000001,B32/2147483647)))*COS(2*PI()*C32/2147483647),'Control Room'!$B$8+('Control Room'!$D$8-'Control Room'!$B$8)*B32/2147483647)</x:f>
        <x:v>918.6264605393433</x:v>
      </x:c>
      <x:c r="E32" s="17" t="n">
        <x:f>IF('Control Room'!$B$5="Normal",'Control Room'!$B$7,('Control Room'!$B$8+'Control Room'!$D$8)/2)+'Control Room'!$B$9*(E31-IF('Control Room'!$B$5="Normal",'Control Room'!$B$7,('Control Room'!$B$8+'Control Room'!$D$8)/2))+SQRT(1-'Control Room'!$B$9^2)*(D32-IF('Control Room'!$B$5="Normal",'Control Room'!$B$7,('Control Room'!$B$8+'Control Room'!$D$8)/2))</x:f>
        <x:v>881.5746235596583</x:v>
      </x:c>
      <x:c r="F32" s="17" t="n">
        <x:f>IF(AND($A32&gt;='Control Room'!$A$13,$A32&lt;'Control Room'!$A$13+'Control Room'!$B$13,'Process'!BK2=1),1+('Control Room'!$C$13-1)*EXP(-0.5*(($A32-'Control Room'!$A$13-('Control Room'!$B$13-1)/2)/MAX(0.5,'Control Room'!$B$13/4))^2),1)*IF(AND($A32&gt;='Control Room'!$A$14,$A32&lt;'Control Room'!$A$14+'Control Room'!$B$14,'Process'!BK3=1),1+('Control Room'!$C$14-1)*EXP(-0.5*(($A32-'Control Room'!$A$14-('Control Room'!$B$14-1)/2)/MAX(0.5,'Control Room'!$B$14/4))^2),1)*IF(AND($A32&gt;='Control Room'!$A$15,$A32&lt;'Control Room'!$A$15+'Control Room'!$B$15,'Process'!BK4=1),1+('Control Room'!$C$15-1)*EXP(-0.5*(($A32-'Control Room'!$A$15-('Control Room'!$B$15-1)/2)/MAX(0.5,'Control Room'!$B$15/4))^2),1)*IF(AND($A32&gt;='Control Room'!$A$16,$A32&lt;'Control Room'!$A$16+'Control Room'!$B$16,'Process'!BK5=1),1+('Control Room'!$C$16-1)*EXP(-0.5*(($A32-'Control Room'!$A$16-('Control Room'!$B$16-1)/2)/MAX(0.5,'Control Room'!$B$16/4))^2),1)</x:f>
        <x:v>1</x:v>
      </x:c>
      <x:c r="G32" s="9" t="n">
        <x:f>MOD(H31*16807,2147483647)</x:f>
        <x:v>1767044972</x:v>
      </x:c>
      <x:c r="H32" s="9" t="n">
        <x:f>MOD(G32*16807,2147483647)</x:f>
        <x:v>1173490041</x:v>
      </x:c>
      <x:c r="I32" s="17" t="n">
        <x:f>IF('Control Room'!$B$5="Normal",'Control Room'!$B$7+'Control Room'!$D$7*SQRT(-2*LN(MAX(0.000000000001,G32/2147483647)))*COS(2*PI()*H32/2147483647),'Control Room'!$B$8+('Control Room'!$D$8-'Control Room'!$B$8)*G32/2147483647)</x:f>
        <x:v>946.173336302799</x:v>
      </x:c>
      <x:c r="J32" s="17" t="n">
        <x:f>IF('Control Room'!$B$5="Normal",'Control Room'!$B$7,('Control Room'!$B$8+'Control Room'!$D$8)/2)+'Control Room'!$B$9*(J31-IF('Control Room'!$B$5="Normal",'Control Room'!$B$7,('Control Room'!$B$8+'Control Room'!$D$8)/2))+SQRT(1-'Control Room'!$B$9^2)*(I32-IF('Control Room'!$B$5="Normal",'Control Room'!$B$7,('Control Room'!$B$8+'Control Room'!$D$8)/2))</x:f>
        <x:v>1055.8129667073129</x:v>
      </x:c>
      <x:c r="K32" s="17" t="n">
        <x:f>IF(AND($A32&gt;='Control Room'!$A$13,$A32&lt;'Control Room'!$A$13+'Control Room'!$B$13,'Process'!BL2=1),1+('Control Room'!$C$13-1)*EXP(-0.5*(($A32-'Control Room'!$A$13-('Control Room'!$B$13-1)/2)/MAX(0.5,'Control Room'!$B$13/4))^2),1)*IF(AND($A32&gt;='Control Room'!$A$14,$A32&lt;'Control Room'!$A$14+'Control Room'!$B$14,'Process'!BL3=1),1+('Control Room'!$C$14-1)*EXP(-0.5*(($A32-'Control Room'!$A$14-('Control Room'!$B$14-1)/2)/MAX(0.5,'Control Room'!$B$14/4))^2),1)*IF(AND($A32&gt;='Control Room'!$A$15,$A32&lt;'Control Room'!$A$15+'Control Room'!$B$15,'Process'!BL4=1),1+('Control Room'!$C$15-1)*EXP(-0.5*(($A32-'Control Room'!$A$15-('Control Room'!$B$15-1)/2)/MAX(0.5,'Control Room'!$B$15/4))^2),1)*IF(AND($A32&gt;='Control Room'!$A$16,$A32&lt;'Control Room'!$A$16+'Control Room'!$B$16,'Process'!BL5=1),1+('Control Room'!$C$16-1)*EXP(-0.5*(($A32-'Control Room'!$A$16-('Control Room'!$B$16-1)/2)/MAX(0.5,'Control Room'!$B$16/4))^2),1)</x:f>
        <x:v>1</x:v>
      </x:c>
      <x:c r="L32" s="9" t="n">
        <x:f>MOD(M31*16807,2147483647)</x:f>
        <x:v>507990942</x:v>
      </x:c>
      <x:c r="M32" s="9" t="n">
        <x:f>MOD(L32*16807,2147483647)</x:f>
        <x:v>1556265369</x:v>
      </x:c>
      <x:c r="N32" s="17" t="n">
        <x:f>IF('Control Room'!$B$5="Normal",'Control Room'!$B$7+'Control Room'!$D$7*SQRT(-2*LN(MAX(0.000000000001,L32/2147483647)))*COS(2*PI()*M32/2147483647),'Control Room'!$B$8+('Control Room'!$D$8-'Control Room'!$B$8)*L32/2147483647)</x:f>
        <x:v>975.8022521852223</x:v>
      </x:c>
      <x:c r="O32" s="17" t="n">
        <x:f>IF('Control Room'!$B$5="Normal",'Control Room'!$B$7,('Control Room'!$B$8+'Control Room'!$D$8)/2)+'Control Room'!$B$9*(O31-IF('Control Room'!$B$5="Normal",'Control Room'!$B$7,('Control Room'!$B$8+'Control Room'!$D$8)/2))+SQRT(1-'Control Room'!$B$9^2)*(N32-IF('Control Room'!$B$5="Normal",'Control Room'!$B$7,('Control Room'!$B$8+'Control Room'!$D$8)/2))</x:f>
        <x:v>1023.5873496193752</x:v>
      </x:c>
      <x:c r="P32" s="17" t="n">
        <x:f>IF(AND($A32&gt;='Control Room'!$A$13,$A32&lt;'Control Room'!$A$13+'Control Room'!$B$13,'Process'!BM2=1),1+('Control Room'!$C$13-1)*EXP(-0.5*(($A32-'Control Room'!$A$13-('Control Room'!$B$13-1)/2)/MAX(0.5,'Control Room'!$B$13/4))^2),1)*IF(AND($A32&gt;='Control Room'!$A$14,$A32&lt;'Control Room'!$A$14+'Control Room'!$B$14,'Process'!BM3=1),1+('Control Room'!$C$14-1)*EXP(-0.5*(($A32-'Control Room'!$A$14-('Control Room'!$B$14-1)/2)/MAX(0.5,'Control Room'!$B$14/4))^2),1)*IF(AND($A32&gt;='Control Room'!$A$15,$A32&lt;'Control Room'!$A$15+'Control Room'!$B$15,'Process'!BM4=1),1+('Control Room'!$C$15-1)*EXP(-0.5*(($A32-'Control Room'!$A$15-('Control Room'!$B$15-1)/2)/MAX(0.5,'Control Room'!$B$15/4))^2),1)*IF(AND($A32&gt;='Control Room'!$A$16,$A32&lt;'Control Room'!$A$16+'Control Room'!$B$16,'Process'!BM5=1),1+('Control Room'!$C$16-1)*EXP(-0.5*(($A32-'Control Room'!$A$16-('Control Room'!$B$16-1)/2)/MAX(0.5,'Control Room'!$B$16/4))^2),1)</x:f>
        <x:v>1</x:v>
      </x:c>
      <x:c r="Q32" s="9" t="n">
        <x:f>MOD(R31*16807,2147483647)</x:f>
        <x:v>1396420559</x:v>
      </x:c>
      <x:c r="R32" s="9" t="n">
        <x:f>MOD(Q32*16807,2147483647)</x:f>
        <x:v>1939040697</x:v>
      </x:c>
      <x:c r="S32" s="17" t="n">
        <x:f>IF('Control Room'!$B$5="Normal",'Control Room'!$B$7+'Control Room'!$D$7*SQRT(-2*LN(MAX(0.000000000001,Q32/2147483647)))*COS(2*PI()*R32/2147483647),'Control Room'!$B$8+('Control Room'!$D$8-'Control Room'!$B$8)*Q32/2147483647)</x:f>
        <x:v>1068.4467308818637</x:v>
      </x:c>
      <x:c r="T32" s="17" t="n">
        <x:f>IF('Control Room'!$B$5="Normal",'Control Room'!$B$7,('Control Room'!$B$8+'Control Room'!$D$8)/2)+'Control Room'!$B$9*(T31-IF('Control Room'!$B$5="Normal",'Control Room'!$B$7,('Control Room'!$B$8+'Control Room'!$D$8)/2))+SQRT(1-'Control Room'!$B$9^2)*(S32-IF('Control Room'!$B$5="Normal",'Control Room'!$B$7,('Control Room'!$B$8+'Control Room'!$D$8)/2))</x:f>
        <x:v>1108.1626474510058</x:v>
      </x:c>
      <x:c r="U32" s="17" t="n">
        <x:f>IF(AND($A32&gt;='Control Room'!$A$13,$A32&lt;'Control Room'!$A$13+'Control Room'!$B$13,'Process'!BN2=1),1+('Control Room'!$C$13-1)*EXP(-0.5*(($A32-'Control Room'!$A$13-('Control Room'!$B$13-1)/2)/MAX(0.5,'Control Room'!$B$13/4))^2),1)*IF(AND($A32&gt;='Control Room'!$A$14,$A32&lt;'Control Room'!$A$14+'Control Room'!$B$14,'Process'!BN3=1),1+('Control Room'!$C$14-1)*EXP(-0.5*(($A32-'Control Room'!$A$14-('Control Room'!$B$14-1)/2)/MAX(0.5,'Control Room'!$B$14/4))^2),1)*IF(AND($A32&gt;='Control Room'!$A$15,$A32&lt;'Control Room'!$A$15+'Control Room'!$B$15,'Process'!BN4=1),1+('Control Room'!$C$15-1)*EXP(-0.5*(($A32-'Control Room'!$A$15-('Control Room'!$B$15-1)/2)/MAX(0.5,'Control Room'!$B$15/4))^2),1)*IF(AND($A32&gt;='Control Room'!$A$16,$A32&lt;'Control Room'!$A$16+'Control Room'!$B$16,'Process'!BN5=1),1+('Control Room'!$C$16-1)*EXP(-0.5*(($A32-'Control Room'!$A$16-('Control Room'!$B$16-1)/2)/MAX(0.5,'Control Room'!$B$16/4))^2),1)</x:f>
        <x:v>1</x:v>
      </x:c>
      <x:c r="V32" s="9" t="n">
        <x:f>MOD(W31*16807,2147483647)</x:f>
        <x:v>137366529</x:v>
      </x:c>
      <x:c r="W32" s="9" t="n">
        <x:f>MOD(V32*16807,2147483647)</x:f>
        <x:v>174332378</x:v>
      </x:c>
      <x:c r="X32" s="17" t="n">
        <x:f>IF('Control Room'!$B$5="Normal",'Control Room'!$B$7+'Control Room'!$D$7*SQRT(-2*LN(MAX(0.000000000001,V32/2147483647)))*COS(2*PI()*W32/2147483647),'Control Room'!$B$8+('Control Room'!$D$8-'Control Room'!$B$8)*V32/2147483647)</x:f>
        <x:v>1184.1819325462875</x:v>
      </x:c>
      <x:c r="Y32" s="17" t="n">
        <x:f>IF('Control Room'!$B$5="Normal",'Control Room'!$B$7,('Control Room'!$B$8+'Control Room'!$D$8)/2)+'Control Room'!$B$9*(Y31-IF('Control Room'!$B$5="Normal",'Control Room'!$B$7,('Control Room'!$B$8+'Control Room'!$D$8)/2))+SQRT(1-'Control Room'!$B$9^2)*(X32-IF('Control Room'!$B$5="Normal",'Control Room'!$B$7,('Control Room'!$B$8+'Control Room'!$D$8)/2))</x:f>
        <x:v>1161.636504351453</x:v>
      </x:c>
      <x:c r="Z32" s="17" t="n">
        <x:f>IF(AND($A32&gt;='Control Room'!$A$13,$A32&lt;'Control Room'!$A$13+'Control Room'!$B$13,'Process'!BO2=1),1+('Control Room'!$C$13-1)*EXP(-0.5*(($A32-'Control Room'!$A$13-('Control Room'!$B$13-1)/2)/MAX(0.5,'Control Room'!$B$13/4))^2),1)*IF(AND($A32&gt;='Control Room'!$A$14,$A32&lt;'Control Room'!$A$14+'Control Room'!$B$14,'Process'!BO3=1),1+('Control Room'!$C$14-1)*EXP(-0.5*(($A32-'Control Room'!$A$14-('Control Room'!$B$14-1)/2)/MAX(0.5,'Control Room'!$B$14/4))^2),1)*IF(AND($A32&gt;='Control Room'!$A$15,$A32&lt;'Control Room'!$A$15+'Control Room'!$B$15,'Process'!BO4=1),1+('Control Room'!$C$15-1)*EXP(-0.5*(($A32-'Control Room'!$A$15-('Control Room'!$B$15-1)/2)/MAX(0.5,'Control Room'!$B$15/4))^2),1)*IF(AND($A32&gt;='Control Room'!$A$16,$A32&lt;'Control Room'!$A$16+'Control Room'!$B$16,'Process'!BO5=1),1+('Control Room'!$C$16-1)*EXP(-0.5*(($A32-'Control Room'!$A$16-('Control Room'!$B$16-1)/2)/MAX(0.5,'Control Room'!$B$16/4))^2),1)</x:f>
        <x:v>1</x:v>
      </x:c>
      <x:c r="AA32" s="9" t="n">
        <x:f>MOD(AB31*16807,2147483647)</x:f>
        <x:v>1025796146</x:v>
      </x:c>
      <x:c r="AB32" s="9" t="n">
        <x:f>MOD(AA32*16807,2147483647)</x:f>
        <x:v>557107706</x:v>
      </x:c>
      <x:c r="AC32" s="17" t="n">
        <x:f>IF('Control Room'!$B$5="Normal",'Control Room'!$B$7+'Control Room'!$D$7*SQRT(-2*LN(MAX(0.000000000001,AA32/2147483647)))*COS(2*PI()*AB32/2147483647),'Control Room'!$B$8+('Control Room'!$D$8-'Control Room'!$B$8)*AA32/2147483647)</x:f>
        <x:v>993.5260844238735</x:v>
      </x:c>
      <x:c r="AD32" s="17" t="n">
        <x:f>IF('Control Room'!$B$5="Normal",'Control Room'!$B$7,('Control Room'!$B$8+'Control Room'!$D$8)/2)+'Control Room'!$B$9*(AD31-IF('Control Room'!$B$5="Normal",'Control Room'!$B$7,('Control Room'!$B$8+'Control Room'!$D$8)/2))+SQRT(1-'Control Room'!$B$9^2)*(AC32-IF('Control Room'!$B$5="Normal",'Control Room'!$B$7,('Control Room'!$B$8+'Control Room'!$D$8)/2))</x:f>
        <x:v>978.6599710348604</x:v>
      </x:c>
      <x:c r="AE32" s="17" t="n">
        <x:f>IF(AND($A32&gt;='Control Room'!$A$13,$A32&lt;'Control Room'!$A$13+'Control Room'!$B$13,'Process'!BP2=1),1+('Control Room'!$C$13-1)*EXP(-0.5*(($A32-'Control Room'!$A$13-('Control Room'!$B$13-1)/2)/MAX(0.5,'Control Room'!$B$13/4))^2),1)*IF(AND($A32&gt;='Control Room'!$A$14,$A32&lt;'Control Room'!$A$14+'Control Room'!$B$14,'Process'!BP3=1),1+('Control Room'!$C$14-1)*EXP(-0.5*(($A32-'Control Room'!$A$14-('Control Room'!$B$14-1)/2)/MAX(0.5,'Control Room'!$B$14/4))^2),1)*IF(AND($A32&gt;='Control Room'!$A$15,$A32&lt;'Control Room'!$A$15+'Control Room'!$B$15,'Process'!BP4=1),1+('Control Room'!$C$15-1)*EXP(-0.5*(($A32-'Control Room'!$A$15-('Control Room'!$B$15-1)/2)/MAX(0.5,'Control Room'!$B$15/4))^2),1)*IF(AND($A32&gt;='Control Room'!$A$16,$A32&lt;'Control Room'!$A$16+'Control Room'!$B$16,'Process'!BP5=1),1+('Control Room'!$C$16-1)*EXP(-0.5*(($A32-'Control Room'!$A$16-('Control Room'!$B$16-1)/2)/MAX(0.5,'Control Room'!$B$16/4))^2),1)</x:f>
        <x:v>1</x:v>
      </x:c>
      <x:c r="AF32" s="9" t="n">
        <x:f>MOD(AG31*16807,2147483647)</x:f>
        <x:v>1914225763</x:v>
      </x:c>
      <x:c r="AG32" s="9" t="n">
        <x:f>MOD(AF32*16807,2147483647)</x:f>
        <x:v>939883034</x:v>
      </x:c>
      <x:c r="AH32" s="17" t="n">
        <x:f>IF('Control Room'!$B$5="Normal",'Control Room'!$B$7+'Control Room'!$D$7*SQRT(-2*LN(MAX(0.000000000001,AF32/2147483647)))*COS(2*PI()*AG32/2147483647),'Control Room'!$B$8+('Control Room'!$D$8-'Control Room'!$B$8)*AF32/2147483647)</x:f>
        <x:v>960.1085986024966</x:v>
      </x:c>
      <x:c r="AI32" s="17" t="n">
        <x:f>IF('Control Room'!$B$5="Normal",'Control Room'!$B$7,('Control Room'!$B$8+'Control Room'!$D$8)/2)+'Control Room'!$B$9*(AI31-IF('Control Room'!$B$5="Normal",'Control Room'!$B$7,('Control Room'!$B$8+'Control Room'!$D$8)/2))+SQRT(1-'Control Room'!$B$9^2)*(AH32-IF('Control Room'!$B$5="Normal",'Control Room'!$B$7,('Control Room'!$B$8+'Control Room'!$D$8)/2))</x:f>
        <x:v>914.4327835063305</x:v>
      </x:c>
      <x:c r="AJ32" s="17" t="n">
        <x:f>IF(AND($A32&gt;='Control Room'!$A$13,$A32&lt;'Control Room'!$A$13+'Control Room'!$B$13,'Process'!BQ2=1),1+('Control Room'!$C$13-1)*EXP(-0.5*(($A32-'Control Room'!$A$13-('Control Room'!$B$13-1)/2)/MAX(0.5,'Control Room'!$B$13/4))^2),1)*IF(AND($A32&gt;='Control Room'!$A$14,$A32&lt;'Control Room'!$A$14+'Control Room'!$B$14,'Process'!BQ3=1),1+('Control Room'!$C$14-1)*EXP(-0.5*(($A32-'Control Room'!$A$14-('Control Room'!$B$14-1)/2)/MAX(0.5,'Control Room'!$B$14/4))^2),1)*IF(AND($A32&gt;='Control Room'!$A$15,$A32&lt;'Control Room'!$A$15+'Control Room'!$B$15,'Process'!BQ4=1),1+('Control Room'!$C$15-1)*EXP(-0.5*(($A32-'Control Room'!$A$15-('Control Room'!$B$15-1)/2)/MAX(0.5,'Control Room'!$B$15/4))^2),1)*IF(AND($A32&gt;='Control Room'!$A$16,$A32&lt;'Control Room'!$A$16+'Control Room'!$B$16,'Process'!BQ5=1),1+('Control Room'!$C$16-1)*EXP(-0.5*(($A32-'Control Room'!$A$16-('Control Room'!$B$16-1)/2)/MAX(0.5,'Control Room'!$B$16/4))^2),1)</x:f>
        <x:v>1</x:v>
      </x:c>
      <x:c r="AK32" s="9" t="n">
        <x:f>MOD(AL31*16807,2147483647)</x:f>
        <x:v>655171733</x:v>
      </x:c>
      <x:c r="AL32" s="9" t="n">
        <x:f>MOD(AK32*16807,2147483647)</x:f>
        <x:v>1322658362</x:v>
      </x:c>
      <x:c r="AM32" s="17" t="n">
        <x:f>IF('Control Room'!$B$5="Normal",'Control Room'!$B$7+'Control Room'!$D$7*SQRT(-2*LN(MAX(0.000000000001,AK32/2147483647)))*COS(2*PI()*AL32/2147483647),'Control Room'!$B$8+('Control Room'!$D$8-'Control Room'!$B$8)*AK32/2147483647)</x:f>
        <x:v>896.5017681662092</x:v>
      </x:c>
      <x:c r="AN32" s="17" t="n">
        <x:f>IF('Control Room'!$B$5="Normal",'Control Room'!$B$7,('Control Room'!$B$8+'Control Room'!$D$8)/2)+'Control Room'!$B$9*(AN31-IF('Control Room'!$B$5="Normal",'Control Room'!$B$7,('Control Room'!$B$8+'Control Room'!$D$8)/2))+SQRT(1-'Control Room'!$B$9^2)*(AM32-IF('Control Room'!$B$5="Normal",'Control Room'!$B$7,('Control Room'!$B$8+'Control Room'!$D$8)/2))</x:f>
        <x:v>1012.0704537728898</x:v>
      </x:c>
      <x:c r="AO32" s="17" t="n">
        <x:f>IF(AND($A32&gt;='Control Room'!$A$13,$A32&lt;'Control Room'!$A$13+'Control Room'!$B$13,'Process'!BR2=1),1+('Control Room'!$C$13-1)*EXP(-0.5*(($A32-'Control Room'!$A$13-('Control Room'!$B$13-1)/2)/MAX(0.5,'Control Room'!$B$13/4))^2),1)*IF(AND($A32&gt;='Control Room'!$A$14,$A32&lt;'Control Room'!$A$14+'Control Room'!$B$14,'Process'!BR3=1),1+('Control Room'!$C$14-1)*EXP(-0.5*(($A32-'Control Room'!$A$14-('Control Room'!$B$14-1)/2)/MAX(0.5,'Control Room'!$B$14/4))^2),1)*IF(AND($A32&gt;='Control Room'!$A$15,$A32&lt;'Control Room'!$A$15+'Control Room'!$B$15,'Process'!BR4=1),1+('Control Room'!$C$15-1)*EXP(-0.5*(($A32-'Control Room'!$A$15-('Control Room'!$B$15-1)/2)/MAX(0.5,'Control Room'!$B$15/4))^2),1)*IF(AND($A32&gt;='Control Room'!$A$16,$A32&lt;'Control Room'!$A$16+'Control Room'!$B$16,'Process'!BR5=1),1+('Control Room'!$C$16-1)*EXP(-0.5*(($A32-'Control Room'!$A$16-('Control Room'!$B$16-1)/2)/MAX(0.5,'Control Room'!$B$16/4))^2),1)</x:f>
        <x:v>1</x:v>
      </x:c>
      <x:c r="AP32" s="9" t="n">
        <x:f>MOD(AQ31*16807,2147483647)</x:f>
        <x:v>1543601350</x:v>
      </x:c>
      <x:c r="AQ32" s="9" t="n">
        <x:f>MOD(AP32*16807,2147483647)</x:f>
        <x:v>1705433690</x:v>
      </x:c>
      <x:c r="AR32" s="17" t="n">
        <x:f>IF('Control Room'!$B$5="Normal",'Control Room'!$B$7+'Control Room'!$D$7*SQRT(-2*LN(MAX(0.000000000001,AP32/2147483647)))*COS(2*PI()*AQ32/2147483647),'Control Room'!$B$8+('Control Room'!$D$8-'Control Room'!$B$8)*AP32/2147483647)</x:f>
        <x:v>1020.0309145762344</x:v>
      </x:c>
      <x:c r="AS32" s="17" t="n">
        <x:f>IF('Control Room'!$B$5="Normal",'Control Room'!$B$7,('Control Room'!$B$8+'Control Room'!$D$8)/2)+'Control Room'!$B$9*(AS31-IF('Control Room'!$B$5="Normal",'Control Room'!$B$7,('Control Room'!$B$8+'Control Room'!$D$8)/2))+SQRT(1-'Control Room'!$B$9^2)*(AR32-IF('Control Room'!$B$5="Normal",'Control Room'!$B$7,('Control Room'!$B$8+'Control Room'!$D$8)/2))</x:f>
        <x:v>1044.324440226112</x:v>
      </x:c>
      <x:c r="AT32" s="17" t="n">
        <x:f>IF(AND($A32&gt;='Control Room'!$A$13,$A32&lt;'Control Room'!$A$13+'Control Room'!$B$13,'Process'!BS2=1),1+('Control Room'!$C$13-1)*EXP(-0.5*(($A32-'Control Room'!$A$13-('Control Room'!$B$13-1)/2)/MAX(0.5,'Control Room'!$B$13/4))^2),1)*IF(AND($A32&gt;='Control Room'!$A$14,$A32&lt;'Control Room'!$A$14+'Control Room'!$B$14,'Process'!BS3=1),1+('Control Room'!$C$14-1)*EXP(-0.5*(($A32-'Control Room'!$A$14-('Control Room'!$B$14-1)/2)/MAX(0.5,'Control Room'!$B$14/4))^2),1)*IF(AND($A32&gt;='Control Room'!$A$15,$A32&lt;'Control Room'!$A$15+'Control Room'!$B$15,'Process'!BS4=1),1+('Control Room'!$C$15-1)*EXP(-0.5*(($A32-'Control Room'!$A$15-('Control Room'!$B$15-1)/2)/MAX(0.5,'Control Room'!$B$15/4))^2),1)*IF(AND($A32&gt;='Control Room'!$A$16,$A32&lt;'Control Room'!$A$16+'Control Room'!$B$16,'Process'!BS5=1),1+('Control Room'!$C$16-1)*EXP(-0.5*(($A32-'Control Room'!$A$16-('Control Room'!$B$16-1)/2)/MAX(0.5,'Control Room'!$B$16/4))^2),1)</x:f>
        <x:v>1</x:v>
      </x:c>
      <x:c r="AU32" s="9" t="n">
        <x:f>MOD(AV31*16807,2147483647)</x:f>
        <x:v>284547320</x:v>
      </x:c>
      <x:c r="AV32" s="9" t="n">
        <x:f>MOD(AU32*16807,2147483647)</x:f>
        <x:v>2088209018</x:v>
      </x:c>
      <x:c r="AW32" s="17" t="n">
        <x:f>IF('Control Room'!$B$5="Normal",'Control Room'!$B$7+'Control Room'!$D$7*SQRT(-2*LN(MAX(0.000000000001,AU32/2147483647)))*COS(2*PI()*AV32/2147483647),'Control Room'!$B$8+('Control Room'!$D$8-'Control Room'!$B$8)*AU32/2147483647)</x:f>
        <x:v>1178.2349446071955</x:v>
      </x:c>
      <x:c r="AX32" s="17" t="n">
        <x:f>IF('Control Room'!$B$5="Normal",'Control Room'!$B$7,('Control Room'!$B$8+'Control Room'!$D$8)/2)+'Control Room'!$B$9*(AX31-IF('Control Room'!$B$5="Normal",'Control Room'!$B$7,('Control Room'!$B$8+'Control Room'!$D$8)/2))+SQRT(1-'Control Room'!$B$9^2)*(AW32-IF('Control Room'!$B$5="Normal",'Control Room'!$B$7,('Control Room'!$B$8+'Control Room'!$D$8)/2))</x:f>
        <x:v>1180.9024168362257</x:v>
      </x:c>
      <x:c r="AY32" s="17" t="n">
        <x:f>IF(AND($A32&gt;='Control Room'!$A$13,$A32&lt;'Control Room'!$A$13+'Control Room'!$B$13,'Process'!BT2=1),1+('Control Room'!$C$13-1)*EXP(-0.5*(($A32-'Control Room'!$A$13-('Control Room'!$B$13-1)/2)/MAX(0.5,'Control Room'!$B$13/4))^2),1)*IF(AND($A32&gt;='Control Room'!$A$14,$A32&lt;'Control Room'!$A$14+'Control Room'!$B$14,'Process'!BT3=1),1+('Control Room'!$C$14-1)*EXP(-0.5*(($A32-'Control Room'!$A$14-('Control Room'!$B$14-1)/2)/MAX(0.5,'Control Room'!$B$14/4))^2),1)*IF(AND($A32&gt;='Control Room'!$A$15,$A32&lt;'Control Room'!$A$15+'Control Room'!$B$15,'Process'!BT4=1),1+('Control Room'!$C$15-1)*EXP(-0.5*(($A32-'Control Room'!$A$15-('Control Room'!$B$15-1)/2)/MAX(0.5,'Control Room'!$B$15/4))^2),1)*IF(AND($A32&gt;='Control Room'!$A$16,$A32&lt;'Control Room'!$A$16+'Control Room'!$B$16,'Process'!BT5=1),1+('Control Room'!$C$16-1)*EXP(-0.5*(($A32-'Control Room'!$A$16-('Control Room'!$B$16-1)/2)/MAX(0.5,'Control Room'!$B$16/4))^2),1)</x:f>
        <x:v>1</x:v>
      </x:c>
      <x:c r="AZ32" s="9" t="n">
        <x:f>MOD(BA31*16807,2147483647)</x:f>
        <x:v>1172976937</x:v>
      </x:c>
      <x:c r="BA32" s="9" t="n">
        <x:f>MOD(AZ32*16807,2147483647)</x:f>
        <x:v>323500699</x:v>
      </x:c>
      <x:c r="BB32" s="17" t="n">
        <x:f>IF('Control Room'!$B$5="Normal",'Control Room'!$B$7+'Control Room'!$D$7*SQRT(-2*LN(MAX(0.000000000001,AZ32/2147483647)))*COS(2*PI()*BA32/2147483647),'Control Room'!$B$8+('Control Room'!$D$8-'Control Room'!$B$8)*AZ32/2147483647)</x:f>
        <x:v>1057.855445625078</x:v>
      </x:c>
      <x:c r="BC32" s="17" t="n">
        <x:f>IF('Control Room'!$B$5="Normal",'Control Room'!$B$7,('Control Room'!$B$8+'Control Room'!$D$8)/2)+'Control Room'!$B$9*(BC31-IF('Control Room'!$B$5="Normal",'Control Room'!$B$7,('Control Room'!$B$8+'Control Room'!$D$8)/2))+SQRT(1-'Control Room'!$B$9^2)*(BB32-IF('Control Room'!$B$5="Normal",'Control Room'!$B$7,('Control Room'!$B$8+'Control Room'!$D$8)/2))</x:f>
        <x:v>981.343309982301</x:v>
      </x:c>
      <x:c r="BD32" s="17" t="n">
        <x:f>IF(AND($A32&gt;='Control Room'!$A$13,$A32&lt;'Control Room'!$A$13+'Control Room'!$B$13,'Process'!BU2=1),1+('Control Room'!$C$13-1)*EXP(-0.5*(($A32-'Control Room'!$A$13-('Control Room'!$B$13-1)/2)/MAX(0.5,'Control Room'!$B$13/4))^2),1)*IF(AND($A32&gt;='Control Room'!$A$14,$A32&lt;'Control Room'!$A$14+'Control Room'!$B$14,'Process'!BU3=1),1+('Control Room'!$C$14-1)*EXP(-0.5*(($A32-'Control Room'!$A$14-('Control Room'!$B$14-1)/2)/MAX(0.5,'Control Room'!$B$14/4))^2),1)*IF(AND($A32&gt;='Control Room'!$A$15,$A32&lt;'Control Room'!$A$15+'Control Room'!$B$15,'Process'!BU4=1),1+('Control Room'!$C$15-1)*EXP(-0.5*(($A32-'Control Room'!$A$15-('Control Room'!$B$15-1)/2)/MAX(0.5,'Control Room'!$B$15/4))^2),1)*IF(AND($A32&gt;='Control Room'!$A$16,$A32&lt;'Control Room'!$A$16+'Control Room'!$B$16,'Process'!BU5=1),1+('Control Room'!$C$16-1)*EXP(-0.5*(($A32-'Control Room'!$A$16-('Control Room'!$B$16-1)/2)/MAX(0.5,'Control Room'!$B$16/4))^2),1)</x:f>
        <x:v>1</x:v>
      </x:c>
      <x:c r="BE32" s="9" t="n">
        <x:f>MOD(BF31*16807,2147483647)</x:f>
        <x:v>2061406554</x:v>
      </x:c>
      <x:c r="BF32" s="9" t="n">
        <x:f>MOD(BE32*16807,2147483647)</x:f>
        <x:v>706276027</x:v>
      </x:c>
      <x:c r="BG32" s="17" t="n">
        <x:f>IF('Control Room'!$B$5="Normal",'Control Room'!$B$7+'Control Room'!$D$7*SQRT(-2*LN(MAX(0.000000000001,BE32/2147483647)))*COS(2*PI()*BF32/2147483647),'Control Room'!$B$8+('Control Room'!$D$8-'Control Room'!$B$8)*BE32/2147483647)</x:f>
        <x:v>987.7563995955297</x:v>
      </x:c>
      <x:c r="BH32" s="17" t="n">
        <x:f>IF('Control Room'!$B$5="Normal",'Control Room'!$B$7,('Control Room'!$B$8+'Control Room'!$D$8)/2)+'Control Room'!$B$9*(BH31-IF('Control Room'!$B$5="Normal",'Control Room'!$B$7,('Control Room'!$B$8+'Control Room'!$D$8)/2))+SQRT(1-'Control Room'!$B$9^2)*(BG32-IF('Control Room'!$B$5="Normal",'Control Room'!$B$7,('Control Room'!$B$8+'Control Room'!$D$8)/2))</x:f>
        <x:v>901.5050290231529</x:v>
      </x:c>
      <x:c r="BI32" s="17" t="n">
        <x:f>IF(AND($A32&gt;='Control Room'!$A$13,$A32&lt;'Control Room'!$A$13+'Control Room'!$B$13,'Process'!BV2=1),1+('Control Room'!$C$13-1)*EXP(-0.5*(($A32-'Control Room'!$A$13-('Control Room'!$B$13-1)/2)/MAX(0.5,'Control Room'!$B$13/4))^2),1)*IF(AND($A32&gt;='Control Room'!$A$14,$A32&lt;'Control Room'!$A$14+'Control Room'!$B$14,'Process'!BV3=1),1+('Control Room'!$C$14-1)*EXP(-0.5*(($A32-'Control Room'!$A$14-('Control Room'!$B$14-1)/2)/MAX(0.5,'Control Room'!$B$14/4))^2),1)*IF(AND($A32&gt;='Control Room'!$A$15,$A32&lt;'Control Room'!$A$15+'Control Room'!$B$15,'Process'!BV4=1),1+('Control Room'!$C$15-1)*EXP(-0.5*(($A32-'Control Room'!$A$15-('Control Room'!$B$15-1)/2)/MAX(0.5,'Control Room'!$B$15/4))^2),1)*IF(AND($A32&gt;='Control Room'!$A$16,$A32&lt;'Control Room'!$A$16+'Control Room'!$B$16,'Process'!BV5=1),1+('Control Room'!$C$16-1)*EXP(-0.5*(($A32-'Control Room'!$A$16-('Control Room'!$B$16-1)/2)/MAX(0.5,'Control Room'!$B$16/4))^2),1)</x:f>
        <x:v>1</x:v>
      </x:c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Z32" t="str">
        <x:f>IF('Data'!A32="","",TEXT('Data'!A32,"mm-dd"))</x:f>
        <x:v>12-02</x:v>
      </x:c>
    </x:row>
    <x:row r="33" ht="21" customHeight="1">
      <x:c r="A33" s="15" t="n">
        <x:f>'Control Room'!$B$1+31</x:f>
        <x:v>73022</x:v>
      </x:c>
      <x:c r="B33" s="9" t="n">
        <x:f>MOD(C32*16807,2147483647)</x:f>
        <x:v>913373755</x:v>
      </x:c>
      <x:c r="C33" s="9" t="n">
        <x:f>MOD(B33*16807,2147483647)</x:f>
        <x:v>859591529</x:v>
      </x:c>
      <x:c r="D33" s="17" t="n">
        <x:f>IF('Control Room'!$B$5="Normal",'Control Room'!$B$7+'Control Room'!$D$7*SQRT(-2*LN(MAX(0.000000000001,B33/2147483647)))*COS(2*PI()*C33/2147483647),'Control Room'!$B$8+('Control Room'!$D$8-'Control Room'!$B$8)*B33/2147483647)</x:f>
        <x:v>904.6708592113429</x:v>
      </x:c>
      <x:c r="E33" s="17" t="n">
        <x:f>IF('Control Room'!$B$5="Normal",'Control Room'!$B$7,('Control Room'!$B$8+'Control Room'!$D$8)/2)+'Control Room'!$B$9*(E32-IF('Control Room'!$B$5="Normal",'Control Room'!$B$7,('Control Room'!$B$8+'Control Room'!$D$8)/2))+SQRT(1-'Control Room'!$B$9^2)*(D33-IF('Control Room'!$B$5="Normal",'Control Room'!$B$7,('Control Room'!$B$8+'Control Room'!$D$8)/2))</x:f>
        <x:v>847.9731829945918</x:v>
      </x:c>
      <x:c r="F33" s="17" t="n">
        <x:f>IF(AND($A33&gt;='Control Room'!$A$13,$A33&lt;'Control Room'!$A$13+'Control Room'!$B$13,'Process'!BK2=1),1+('Control Room'!$C$13-1)*EXP(-0.5*(($A33-'Control Room'!$A$13-('Control Room'!$B$13-1)/2)/MAX(0.5,'Control Room'!$B$13/4))^2),1)*IF(AND($A33&gt;='Control Room'!$A$14,$A33&lt;'Control Room'!$A$14+'Control Room'!$B$14,'Process'!BK3=1),1+('Control Room'!$C$14-1)*EXP(-0.5*(($A33-'Control Room'!$A$14-('Control Room'!$B$14-1)/2)/MAX(0.5,'Control Room'!$B$14/4))^2),1)*IF(AND($A33&gt;='Control Room'!$A$15,$A33&lt;'Control Room'!$A$15+'Control Room'!$B$15,'Process'!BK4=1),1+('Control Room'!$C$15-1)*EXP(-0.5*(($A33-'Control Room'!$A$15-('Control Room'!$B$15-1)/2)/MAX(0.5,'Control Room'!$B$15/4))^2),1)*IF(AND($A33&gt;='Control Room'!$A$16,$A33&lt;'Control Room'!$A$16+'Control Room'!$B$16,'Process'!BK5=1),1+('Control Room'!$C$16-1)*EXP(-0.5*(($A33-'Control Room'!$A$16-('Control Room'!$B$16-1)/2)/MAX(0.5,'Control Room'!$B$16/4))^2),1)</x:f>
        <x:v>1</x:v>
      </x:c>
      <x:c r="G33" s="9" t="n">
        <x:f>MOD(H32*16807,2147483647)</x:f>
        <x:v>357305039</x:v>
      </x:c>
      <x:c r="H33" s="9" t="n">
        <x:f>MOD(G33*16807,2147483647)</x:f>
        <x:v>861513461</x:v>
      </x:c>
      <x:c r="I33" s="17" t="n">
        <x:f>IF('Control Room'!$B$5="Normal",'Control Room'!$B$7+'Control Room'!$D$7*SQRT(-2*LN(MAX(0.000000000001,G33/2147483647)))*COS(2*PI()*H33/2147483647),'Control Room'!$B$8+('Control Room'!$D$8-'Control Room'!$B$8)*G33/2147483647)</x:f>
        <x:v>861.3660000883156</x:v>
      </x:c>
      <x:c r="J33" s="17" t="n">
        <x:f>IF('Control Room'!$B$5="Normal",'Control Room'!$B$7,('Control Room'!$B$8+'Control Room'!$D$8)/2)+'Control Room'!$B$9*(J32-IF('Control Room'!$B$5="Normal",'Control Room'!$B$7,('Control Room'!$B$8+'Control Room'!$D$8)/2))+SQRT(1-'Control Room'!$B$9^2)*(I33-IF('Control Room'!$B$5="Normal",'Control Room'!$B$7,('Control Room'!$B$8+'Control Room'!$D$8)/2))</x:f>
        <x:v>956.7797969588319</x:v>
      </x:c>
      <x:c r="K33" s="17" t="n">
        <x:f>IF(AND($A33&gt;='Control Room'!$A$13,$A33&lt;'Control Room'!$A$13+'Control Room'!$B$13,'Process'!BL2=1),1+('Control Room'!$C$13-1)*EXP(-0.5*(($A33-'Control Room'!$A$13-('Control Room'!$B$13-1)/2)/MAX(0.5,'Control Room'!$B$13/4))^2),1)*IF(AND($A33&gt;='Control Room'!$A$14,$A33&lt;'Control Room'!$A$14+'Control Room'!$B$14,'Process'!BL3=1),1+('Control Room'!$C$14-1)*EXP(-0.5*(($A33-'Control Room'!$A$14-('Control Room'!$B$14-1)/2)/MAX(0.5,'Control Room'!$B$14/4))^2),1)*IF(AND($A33&gt;='Control Room'!$A$15,$A33&lt;'Control Room'!$A$15+'Control Room'!$B$15,'Process'!BL4=1),1+('Control Room'!$C$15-1)*EXP(-0.5*(($A33-'Control Room'!$A$15-('Control Room'!$B$15-1)/2)/MAX(0.5,'Control Room'!$B$15/4))^2),1)*IF(AND($A33&gt;='Control Room'!$A$16,$A33&lt;'Control Room'!$A$16+'Control Room'!$B$16,'Process'!BL5=1),1+('Control Room'!$C$16-1)*EXP(-0.5*(($A33-'Control Room'!$A$16-('Control Room'!$B$16-1)/2)/MAX(0.5,'Control Room'!$B$16/4))^2),1)</x:f>
        <x:v>1</x:v>
      </x:c>
      <x:c r="L33" s="9" t="n">
        <x:f>MOD(M32*16807,2147483647)</x:f>
        <x:v>1948719970</x:v>
      </x:c>
      <x:c r="M33" s="9" t="n">
        <x:f>MOD(L33*16807,2147483647)</x:f>
        <x:v>863435393</x:v>
      </x:c>
      <x:c r="N33" s="17" t="n">
        <x:f>IF('Control Room'!$B$5="Normal",'Control Room'!$B$7+'Control Room'!$D$7*SQRT(-2*LN(MAX(0.000000000001,L33/2147483647)))*COS(2*PI()*M33/2147483647),'Control Room'!$B$8+('Control Room'!$D$8-'Control Room'!$B$8)*L33/2147483647)</x:f>
        <x:v>967.6090566922295</x:v>
      </x:c>
      <x:c r="O33" s="17" t="n">
        <x:f>IF('Control Room'!$B$5="Normal",'Control Room'!$B$7,('Control Room'!$B$8+'Control Room'!$D$8)/2)+'Control Room'!$B$9*(O32-IF('Control Room'!$B$5="Normal",'Control Room'!$B$7,('Control Room'!$B$8+'Control Room'!$D$8)/2))+SQRT(1-'Control Room'!$B$9^2)*(N33-IF('Control Room'!$B$5="Normal",'Control Room'!$B$7,('Control Room'!$B$8+'Control Room'!$D$8)/2))</x:f>
        <x:v>998.1285439456515</x:v>
      </x:c>
      <x:c r="P33" s="17" t="n">
        <x:f>IF(AND($A33&gt;='Control Room'!$A$13,$A33&lt;'Control Room'!$A$13+'Control Room'!$B$13,'Process'!BM2=1),1+('Control Room'!$C$13-1)*EXP(-0.5*(($A33-'Control Room'!$A$13-('Control Room'!$B$13-1)/2)/MAX(0.5,'Control Room'!$B$13/4))^2),1)*IF(AND($A33&gt;='Control Room'!$A$14,$A33&lt;'Control Room'!$A$14+'Control Room'!$B$14,'Process'!BM3=1),1+('Control Room'!$C$14-1)*EXP(-0.5*(($A33-'Control Room'!$A$14-('Control Room'!$B$14-1)/2)/MAX(0.5,'Control Room'!$B$14/4))^2),1)*IF(AND($A33&gt;='Control Room'!$A$15,$A33&lt;'Control Room'!$A$15+'Control Room'!$B$15,'Process'!BM4=1),1+('Control Room'!$C$15-1)*EXP(-0.5*(($A33-'Control Room'!$A$15-('Control Room'!$B$15-1)/2)/MAX(0.5,'Control Room'!$B$15/4))^2),1)*IF(AND($A33&gt;='Control Room'!$A$16,$A33&lt;'Control Room'!$A$16+'Control Room'!$B$16,'Process'!BM5=1),1+('Control Room'!$C$16-1)*EXP(-0.5*(($A33-'Control Room'!$A$16-('Control Room'!$B$16-1)/2)/MAX(0.5,'Control Room'!$B$16/4))^2),1)</x:f>
        <x:v>1</x:v>
      </x:c>
      <x:c r="Q33" s="9" t="n">
        <x:f>MOD(R32*16807,2147483647)</x:f>
        <x:v>1392651254</x:v>
      </x:c>
      <x:c r="R33" s="9" t="n">
        <x:f>MOD(Q33*16807,2147483647)</x:f>
        <x:v>865357325</x:v>
      </x:c>
      <x:c r="S33" s="17" t="n">
        <x:f>IF('Control Room'!$B$5="Normal",'Control Room'!$B$7+'Control Room'!$D$7*SQRT(-2*LN(MAX(0.000000000001,Q33/2147483647)))*COS(2*PI()*R33/2147483647),'Control Room'!$B$8+('Control Room'!$D$8-'Control Room'!$B$8)*Q33/2147483647)</x:f>
        <x:v>931.3304713658141</x:v>
      </x:c>
      <x:c r="T33" s="17" t="n">
        <x:f>IF('Control Room'!$B$5="Normal",'Control Room'!$B$7,('Control Room'!$B$8+'Control Room'!$D$8)/2)+'Control Room'!$B$9*(T32-IF('Control Room'!$B$5="Normal",'Control Room'!$B$7,('Control Room'!$B$8+'Control Room'!$D$8)/2))+SQRT(1-'Control Room'!$B$9^2)*(S33-IF('Control Room'!$B$5="Normal",'Control Room'!$B$7,('Control Room'!$B$8+'Control Room'!$D$8)/2))</x:f>
        <x:v>1041.3948807642698</x:v>
      </x:c>
      <x:c r="U33" s="17" t="n">
        <x:f>IF(AND($A33&gt;='Control Room'!$A$13,$A33&lt;'Control Room'!$A$13+'Control Room'!$B$13,'Process'!BN2=1),1+('Control Room'!$C$13-1)*EXP(-0.5*(($A33-'Control Room'!$A$13-('Control Room'!$B$13-1)/2)/MAX(0.5,'Control Room'!$B$13/4))^2),1)*IF(AND($A33&gt;='Control Room'!$A$14,$A33&lt;'Control Room'!$A$14+'Control Room'!$B$14,'Process'!BN3=1),1+('Control Room'!$C$14-1)*EXP(-0.5*(($A33-'Control Room'!$A$14-('Control Room'!$B$14-1)/2)/MAX(0.5,'Control Room'!$B$14/4))^2),1)*IF(AND($A33&gt;='Control Room'!$A$15,$A33&lt;'Control Room'!$A$15+'Control Room'!$B$15,'Process'!BN4=1),1+('Control Room'!$C$15-1)*EXP(-0.5*(($A33-'Control Room'!$A$15-('Control Room'!$B$15-1)/2)/MAX(0.5,'Control Room'!$B$15/4))^2),1)*IF(AND($A33&gt;='Control Room'!$A$16,$A33&lt;'Control Room'!$A$16+'Control Room'!$B$16,'Process'!BN5=1),1+('Control Room'!$C$16-1)*EXP(-0.5*(($A33-'Control Room'!$A$16-('Control Room'!$B$16-1)/2)/MAX(0.5,'Control Room'!$B$16/4))^2),1)</x:f>
        <x:v>1</x:v>
      </x:c>
      <x:c r="V33" s="9" t="n">
        <x:f>MOD(W32*16807,2147483647)</x:f>
        <x:v>836582538</x:v>
      </x:c>
      <x:c r="W33" s="9" t="n">
        <x:f>MOD(V33*16807,2147483647)</x:f>
        <x:v>867279257</x:v>
      </x:c>
      <x:c r="X33" s="17" t="n">
        <x:f>IF('Control Room'!$B$5="Normal",'Control Room'!$B$7+'Control Room'!$D$7*SQRT(-2*LN(MAX(0.000000000001,V33/2147483647)))*COS(2*PI()*W33/2147483647),'Control Room'!$B$8+('Control Room'!$D$8-'Control Room'!$B$8)*V33/2147483647)</x:f>
        <x:v>898.2897351647819</x:v>
      </x:c>
      <x:c r="Y33" s="17" t="n">
        <x:f>IF('Control Room'!$B$5="Normal",'Control Room'!$B$7,('Control Room'!$B$8+'Control Room'!$D$8)/2)+'Control Room'!$B$9*(Y32-IF('Control Room'!$B$5="Normal",'Control Room'!$B$7,('Control Room'!$B$8+'Control Room'!$D$8)/2))+SQRT(1-'Control Room'!$B$9^2)*(X33-IF('Control Room'!$B$5="Normal",'Control Room'!$B$7,('Control Room'!$B$8+'Control Room'!$D$8)/2))</x:f>
        <x:v>1062.4282733082853</x:v>
      </x:c>
      <x:c r="Z33" s="17" t="n">
        <x:f>IF(AND($A33&gt;='Control Room'!$A$13,$A33&lt;'Control Room'!$A$13+'Control Room'!$B$13,'Process'!BO2=1),1+('Control Room'!$C$13-1)*EXP(-0.5*(($A33-'Control Room'!$A$13-('Control Room'!$B$13-1)/2)/MAX(0.5,'Control Room'!$B$13/4))^2),1)*IF(AND($A33&gt;='Control Room'!$A$14,$A33&lt;'Control Room'!$A$14+'Control Room'!$B$14,'Process'!BO3=1),1+('Control Room'!$C$14-1)*EXP(-0.5*(($A33-'Control Room'!$A$14-('Control Room'!$B$14-1)/2)/MAX(0.5,'Control Room'!$B$14/4))^2),1)*IF(AND($A33&gt;='Control Room'!$A$15,$A33&lt;'Control Room'!$A$15+'Control Room'!$B$15,'Process'!BO4=1),1+('Control Room'!$C$15-1)*EXP(-0.5*(($A33-'Control Room'!$A$15-('Control Room'!$B$15-1)/2)/MAX(0.5,'Control Room'!$B$15/4))^2),1)*IF(AND($A33&gt;='Control Room'!$A$16,$A33&lt;'Control Room'!$A$16+'Control Room'!$B$16,'Process'!BO5=1),1+('Control Room'!$C$16-1)*EXP(-0.5*(($A33-'Control Room'!$A$16-('Control Room'!$B$16-1)/2)/MAX(0.5,'Control Room'!$B$16/4))^2),1)</x:f>
        <x:v>1</x:v>
      </x:c>
      <x:c r="AA33" s="9" t="n">
        <x:f>MOD(AB32*16807,2147483647)</x:f>
        <x:v>280513822</x:v>
      </x:c>
      <x:c r="AB33" s="9" t="n">
        <x:f>MOD(AA33*16807,2147483647)</x:f>
        <x:v>869201189</x:v>
      </x:c>
      <x:c r="AC33" s="17" t="n">
        <x:f>IF('Control Room'!$B$5="Normal",'Control Room'!$B$7+'Control Room'!$D$7*SQRT(-2*LN(MAX(0.000000000001,AA33/2147483647)))*COS(2*PI()*AB33/2147483647),'Control Room'!$B$8+('Control Room'!$D$8-'Control Room'!$B$8)*AA33/2147483647)</x:f>
        <x:v>849.9710270672099</x:v>
      </x:c>
      <x:c r="AD33" s="17" t="n">
        <x:f>IF('Control Room'!$B$5="Normal",'Control Room'!$B$7,('Control Room'!$B$8+'Control Room'!$D$8)/2)+'Control Room'!$B$9*(AD32-IF('Control Room'!$B$5="Normal",'Control Room'!$B$7,('Control Room'!$B$8+'Control Room'!$D$8)/2))+SQRT(1-'Control Room'!$B$9^2)*(AC33-IF('Control Room'!$B$5="Normal",'Control Room'!$B$7,('Control Room'!$B$8+'Control Room'!$D$8)/2))</x:f>
        <x:v>889.4697196564218</x:v>
      </x:c>
      <x:c r="AE33" s="17" t="n">
        <x:f>IF(AND($A33&gt;='Control Room'!$A$13,$A33&lt;'Control Room'!$A$13+'Control Room'!$B$13,'Process'!BP2=1),1+('Control Room'!$C$13-1)*EXP(-0.5*(($A33-'Control Room'!$A$13-('Control Room'!$B$13-1)/2)/MAX(0.5,'Control Room'!$B$13/4))^2),1)*IF(AND($A33&gt;='Control Room'!$A$14,$A33&lt;'Control Room'!$A$14+'Control Room'!$B$14,'Process'!BP3=1),1+('Control Room'!$C$14-1)*EXP(-0.5*(($A33-'Control Room'!$A$14-('Control Room'!$B$14-1)/2)/MAX(0.5,'Control Room'!$B$14/4))^2),1)*IF(AND($A33&gt;='Control Room'!$A$15,$A33&lt;'Control Room'!$A$15+'Control Room'!$B$15,'Process'!BP4=1),1+('Control Room'!$C$15-1)*EXP(-0.5*(($A33-'Control Room'!$A$15-('Control Room'!$B$15-1)/2)/MAX(0.5,'Control Room'!$B$15/4))^2),1)*IF(AND($A33&gt;='Control Room'!$A$16,$A33&lt;'Control Room'!$A$16+'Control Room'!$B$16,'Process'!BP5=1),1+('Control Room'!$C$16-1)*EXP(-0.5*(($A33-'Control Room'!$A$16-('Control Room'!$B$16-1)/2)/MAX(0.5,'Control Room'!$B$16/4))^2),1)</x:f>
        <x:v>1</x:v>
      </x:c>
      <x:c r="AF33" s="9" t="n">
        <x:f>MOD(AG32*16807,2147483647)</x:f>
        <x:v>1871928753</x:v>
      </x:c>
      <x:c r="AG33" s="9" t="n">
        <x:f>MOD(AF33*16807,2147483647)</x:f>
        <x:v>871123121</x:v>
      </x:c>
      <x:c r="AH33" s="17" t="n">
        <x:f>IF('Control Room'!$B$5="Normal",'Control Room'!$B$7+'Control Room'!$D$7*SQRT(-2*LN(MAX(0.000000000001,AF33/2147483647)))*COS(2*PI()*AG33/2147483647),'Control Room'!$B$8+('Control Room'!$D$8-'Control Room'!$B$8)*AF33/2147483647)</x:f>
        <x:v>960.8816068664582</x:v>
      </x:c>
      <x:c r="AI33" s="17" t="n">
        <x:f>IF('Control Room'!$B$5="Normal",'Control Room'!$B$7,('Control Room'!$B$8+'Control Room'!$D$8)/2)+'Control Room'!$B$9*(AI32-IF('Control Room'!$B$5="Normal",'Control Room'!$B$7,('Control Room'!$B$8+'Control Room'!$D$8)/2))+SQRT(1-'Control Room'!$B$9^2)*(AH33-IF('Control Room'!$B$5="Normal",'Control Room'!$B$7,('Control Room'!$B$8+'Control Room'!$D$8)/2))</x:f>
        <x:v>908.7780820958097</x:v>
      </x:c>
      <x:c r="AJ33" s="17" t="n">
        <x:f>IF(AND($A33&gt;='Control Room'!$A$13,$A33&lt;'Control Room'!$A$13+'Control Room'!$B$13,'Process'!BQ2=1),1+('Control Room'!$C$13-1)*EXP(-0.5*(($A33-'Control Room'!$A$13-('Control Room'!$B$13-1)/2)/MAX(0.5,'Control Room'!$B$13/4))^2),1)*IF(AND($A33&gt;='Control Room'!$A$14,$A33&lt;'Control Room'!$A$14+'Control Room'!$B$14,'Process'!BQ3=1),1+('Control Room'!$C$14-1)*EXP(-0.5*(($A33-'Control Room'!$A$14-('Control Room'!$B$14-1)/2)/MAX(0.5,'Control Room'!$B$14/4))^2),1)*IF(AND($A33&gt;='Control Room'!$A$15,$A33&lt;'Control Room'!$A$15+'Control Room'!$B$15,'Process'!BQ4=1),1+('Control Room'!$C$15-1)*EXP(-0.5*(($A33-'Control Room'!$A$15-('Control Room'!$B$15-1)/2)/MAX(0.5,'Control Room'!$B$15/4))^2),1)*IF(AND($A33&gt;='Control Room'!$A$16,$A33&lt;'Control Room'!$A$16+'Control Room'!$B$16,'Process'!BQ5=1),1+('Control Room'!$C$16-1)*EXP(-0.5*(($A33-'Control Room'!$A$16-('Control Room'!$B$16-1)/2)/MAX(0.5,'Control Room'!$B$16/4))^2),1)</x:f>
        <x:v>1</x:v>
      </x:c>
      <x:c r="AK33" s="9" t="n">
        <x:f>MOD(AL32*16807,2147483647)</x:f>
        <x:v>1315860037</x:v>
      </x:c>
      <x:c r="AL33" s="9" t="n">
        <x:f>MOD(AK33*16807,2147483647)</x:f>
        <x:v>873045053</x:v>
      </x:c>
      <x:c r="AM33" s="17" t="n">
        <x:f>IF('Control Room'!$B$5="Normal",'Control Room'!$B$7+'Control Room'!$D$7*SQRT(-2*LN(MAX(0.000000000001,AK33/2147483647)))*COS(2*PI()*AL33/2147483647),'Control Room'!$B$8+('Control Room'!$D$8-'Control Room'!$B$8)*AK33/2147483647)</x:f>
        <x:v>925.8434113519212</x:v>
      </x:c>
      <x:c r="AN33" s="17" t="n">
        <x:f>IF('Control Room'!$B$5="Normal",'Control Room'!$B$7,('Control Room'!$B$8+'Control Room'!$D$8)/2)+'Control Room'!$B$9*(AN32-IF('Control Room'!$B$5="Normal",'Control Room'!$B$7,('Control Room'!$B$8+'Control Room'!$D$8)/2))+SQRT(1-'Control Room'!$B$9^2)*(AM33-IF('Control Room'!$B$5="Normal",'Control Room'!$B$7,('Control Room'!$B$8+'Control Room'!$D$8)/2))</x:f>
        <x:v>963.0092799471796</x:v>
      </x:c>
      <x:c r="AO33" s="17" t="n">
        <x:f>IF(AND($A33&gt;='Control Room'!$A$13,$A33&lt;'Control Room'!$A$13+'Control Room'!$B$13,'Process'!BR2=1),1+('Control Room'!$C$13-1)*EXP(-0.5*(($A33-'Control Room'!$A$13-('Control Room'!$B$13-1)/2)/MAX(0.5,'Control Room'!$B$13/4))^2),1)*IF(AND($A33&gt;='Control Room'!$A$14,$A33&lt;'Control Room'!$A$14+'Control Room'!$B$14,'Process'!BR3=1),1+('Control Room'!$C$14-1)*EXP(-0.5*(($A33-'Control Room'!$A$14-('Control Room'!$B$14-1)/2)/MAX(0.5,'Control Room'!$B$14/4))^2),1)*IF(AND($A33&gt;='Control Room'!$A$15,$A33&lt;'Control Room'!$A$15+'Control Room'!$B$15,'Process'!BR4=1),1+('Control Room'!$C$15-1)*EXP(-0.5*(($A33-'Control Room'!$A$15-('Control Room'!$B$15-1)/2)/MAX(0.5,'Control Room'!$B$15/4))^2),1)*IF(AND($A33&gt;='Control Room'!$A$16,$A33&lt;'Control Room'!$A$16+'Control Room'!$B$16,'Process'!BR5=1),1+('Control Room'!$C$16-1)*EXP(-0.5*(($A33-'Control Room'!$A$16-('Control Room'!$B$16-1)/2)/MAX(0.5,'Control Room'!$B$16/4))^2),1)</x:f>
        <x:v>1</x:v>
      </x:c>
      <x:c r="AP33" s="9" t="n">
        <x:f>MOD(AQ32*16807,2147483647)</x:f>
        <x:v>759791321</x:v>
      </x:c>
      <x:c r="AQ33" s="9" t="n">
        <x:f>MOD(AP33*16807,2147483647)</x:f>
        <x:v>874966985</x:v>
      </x:c>
      <x:c r="AR33" s="17" t="n">
        <x:f>IF('Control Room'!$B$5="Normal",'Control Room'!$B$7+'Control Room'!$D$7*SQRT(-2*LN(MAX(0.000000000001,AP33/2147483647)))*COS(2*PI()*AQ33/2147483647),'Control Room'!$B$8+('Control Room'!$D$8-'Control Room'!$B$8)*AP33/2147483647)</x:f>
        <x:v>891.5917172191643</x:v>
      </x:c>
      <x:c r="AS33" s="17" t="n">
        <x:f>IF('Control Room'!$B$5="Normal",'Control Room'!$B$7,('Control Room'!$B$8+'Control Room'!$D$8)/2)+'Control Room'!$B$9*(AS32-IF('Control Room'!$B$5="Normal",'Control Room'!$B$7,('Control Room'!$B$8+'Control Room'!$D$8)/2))+SQRT(1-'Control Room'!$B$9^2)*(AR33-IF('Control Room'!$B$5="Normal",'Control Room'!$B$7,('Control Room'!$B$8+'Control Room'!$D$8)/2))</x:f>
        <x:v>966.7333808765079</x:v>
      </x:c>
      <x:c r="AT33" s="17" t="n">
        <x:f>IF(AND($A33&gt;='Control Room'!$A$13,$A33&lt;'Control Room'!$A$13+'Control Room'!$B$13,'Process'!BS2=1),1+('Control Room'!$C$13-1)*EXP(-0.5*(($A33-'Control Room'!$A$13-('Control Room'!$B$13-1)/2)/MAX(0.5,'Control Room'!$B$13/4))^2),1)*IF(AND($A33&gt;='Control Room'!$A$14,$A33&lt;'Control Room'!$A$14+'Control Room'!$B$14,'Process'!BS3=1),1+('Control Room'!$C$14-1)*EXP(-0.5*(($A33-'Control Room'!$A$14-('Control Room'!$B$14-1)/2)/MAX(0.5,'Control Room'!$B$14/4))^2),1)*IF(AND($A33&gt;='Control Room'!$A$15,$A33&lt;'Control Room'!$A$15+'Control Room'!$B$15,'Process'!BS4=1),1+('Control Room'!$C$15-1)*EXP(-0.5*(($A33-'Control Room'!$A$15-('Control Room'!$B$15-1)/2)/MAX(0.5,'Control Room'!$B$15/4))^2),1)*IF(AND($A33&gt;='Control Room'!$A$16,$A33&lt;'Control Room'!$A$16+'Control Room'!$B$16,'Process'!BS5=1),1+('Control Room'!$C$16-1)*EXP(-0.5*(($A33-'Control Room'!$A$16-('Control Room'!$B$16-1)/2)/MAX(0.5,'Control Room'!$B$16/4))^2),1)</x:f>
        <x:v>1</x:v>
      </x:c>
      <x:c r="AU33" s="9" t="n">
        <x:f>MOD(AV32*16807,2147483647)</x:f>
        <x:v>203722605</x:v>
      </x:c>
      <x:c r="AV33" s="9" t="n">
        <x:f>MOD(AU33*16807,2147483647)</x:f>
        <x:v>876888917</x:v>
      </x:c>
      <x:c r="AW33" s="17" t="n">
        <x:f>IF('Control Room'!$B$5="Normal",'Control Room'!$B$7+'Control Room'!$D$7*SQRT(-2*LN(MAX(0.000000000001,AU33/2147483647)))*COS(2*PI()*AV33/2147483647),'Control Room'!$B$8+('Control Room'!$D$8-'Control Room'!$B$8)*AU33/2147483647)</x:f>
        <x:v>836.1784012031449</x:v>
      </x:c>
      <x:c r="AX33" s="17" t="n">
        <x:f>IF('Control Room'!$B$5="Normal",'Control Room'!$B$7,('Control Room'!$B$8+'Control Room'!$D$8)/2)+'Control Room'!$B$9*(AX32-IF('Control Room'!$B$5="Normal",'Control Room'!$B$7,('Control Room'!$B$8+'Control Room'!$D$8)/2))+SQRT(1-'Control Room'!$B$9^2)*(AW33-IF('Control Room'!$B$5="Normal",'Control Room'!$B$7,('Control Room'!$B$8+'Control Room'!$D$8)/2))</x:f>
        <x:v>1038.587684673054</x:v>
      </x:c>
      <x:c r="AY33" s="17" t="n">
        <x:f>IF(AND($A33&gt;='Control Room'!$A$13,$A33&lt;'Control Room'!$A$13+'Control Room'!$B$13,'Process'!BT2=1),1+('Control Room'!$C$13-1)*EXP(-0.5*(($A33-'Control Room'!$A$13-('Control Room'!$B$13-1)/2)/MAX(0.5,'Control Room'!$B$13/4))^2),1)*IF(AND($A33&gt;='Control Room'!$A$14,$A33&lt;'Control Room'!$A$14+'Control Room'!$B$14,'Process'!BT3=1),1+('Control Room'!$C$14-1)*EXP(-0.5*(($A33-'Control Room'!$A$14-('Control Room'!$B$14-1)/2)/MAX(0.5,'Control Room'!$B$14/4))^2),1)*IF(AND($A33&gt;='Control Room'!$A$15,$A33&lt;'Control Room'!$A$15+'Control Room'!$B$15,'Process'!BT4=1),1+('Control Room'!$C$15-1)*EXP(-0.5*(($A33-'Control Room'!$A$15-('Control Room'!$B$15-1)/2)/MAX(0.5,'Control Room'!$B$15/4))^2),1)*IF(AND($A33&gt;='Control Room'!$A$16,$A33&lt;'Control Room'!$A$16+'Control Room'!$B$16,'Process'!BT5=1),1+('Control Room'!$C$16-1)*EXP(-0.5*(($A33-'Control Room'!$A$16-('Control Room'!$B$16-1)/2)/MAX(0.5,'Control Room'!$B$16/4))^2),1)</x:f>
        <x:v>1</x:v>
      </x:c>
      <x:c r="AZ33" s="9" t="n">
        <x:f>MOD(BA32*16807,2147483647)</x:f>
        <x:v>1795137536</x:v>
      </x:c>
      <x:c r="BA33" s="9" t="n">
        <x:f>MOD(AZ33*16807,2147483647)</x:f>
        <x:v>878810849</x:v>
      </x:c>
      <x:c r="BB33" s="17" t="n">
        <x:f>IF('Control Room'!$B$5="Normal",'Control Room'!$B$7+'Control Room'!$D$7*SQRT(-2*LN(MAX(0.000000000001,AZ33/2147483647)))*COS(2*PI()*BA33/2147483647),'Control Room'!$B$8+('Control Room'!$D$8-'Control Room'!$B$8)*AZ33/2147483647)</x:f>
        <x:v>954.6463494182086</x:v>
      </x:c>
      <x:c r="BC33" s="17" t="n">
        <x:f>IF('Control Room'!$B$5="Normal",'Control Room'!$B$7,('Control Room'!$B$8+'Control Room'!$D$8)/2)+'Control Room'!$B$9*(BC32-IF('Control Room'!$B$5="Normal",'Control Room'!$B$7,('Control Room'!$B$8+'Control Room'!$D$8)/2))+SQRT(1-'Control Room'!$B$9^2)*(BB33-IF('Control Room'!$B$5="Normal",'Control Room'!$B$7,('Control Room'!$B$8+'Control Room'!$D$8)/2))</x:f>
        <x:v>957.0663963721441</x:v>
      </x:c>
      <x:c r="BD33" s="17" t="n">
        <x:f>IF(AND($A33&gt;='Control Room'!$A$13,$A33&lt;'Control Room'!$A$13+'Control Room'!$B$13,'Process'!BU2=1),1+('Control Room'!$C$13-1)*EXP(-0.5*(($A33-'Control Room'!$A$13-('Control Room'!$B$13-1)/2)/MAX(0.5,'Control Room'!$B$13/4))^2),1)*IF(AND($A33&gt;='Control Room'!$A$14,$A33&lt;'Control Room'!$A$14+'Control Room'!$B$14,'Process'!BU3=1),1+('Control Room'!$C$14-1)*EXP(-0.5*(($A33-'Control Room'!$A$14-('Control Room'!$B$14-1)/2)/MAX(0.5,'Control Room'!$B$14/4))^2),1)*IF(AND($A33&gt;='Control Room'!$A$15,$A33&lt;'Control Room'!$A$15+'Control Room'!$B$15,'Process'!BU4=1),1+('Control Room'!$C$15-1)*EXP(-0.5*(($A33-'Control Room'!$A$15-('Control Room'!$B$15-1)/2)/MAX(0.5,'Control Room'!$B$15/4))^2),1)*IF(AND($A33&gt;='Control Room'!$A$16,$A33&lt;'Control Room'!$A$16+'Control Room'!$B$16,'Process'!BU5=1),1+('Control Room'!$C$16-1)*EXP(-0.5*(($A33-'Control Room'!$A$16-('Control Room'!$B$16-1)/2)/MAX(0.5,'Control Room'!$B$16/4))^2),1)</x:f>
        <x:v>1</x:v>
      </x:c>
      <x:c r="BE33" s="9" t="n">
        <x:f>MOD(BF32*16807,2147483647)</x:f>
        <x:v>1239068820</x:v>
      </x:c>
      <x:c r="BF33" s="9" t="n">
        <x:f>MOD(BE33*16807,2147483647)</x:f>
        <x:v>880732781</x:v>
      </x:c>
      <x:c r="BG33" s="17" t="n">
        <x:f>IF('Control Room'!$B$5="Normal",'Control Room'!$B$7+'Control Room'!$D$7*SQRT(-2*LN(MAX(0.000000000001,BE33/2147483647)))*COS(2*PI()*BF33/2147483647),'Control Room'!$B$8+('Control Room'!$D$8-'Control Room'!$B$8)*BE33/2147483647)</x:f>
        <x:v>920.2670053306313</x:v>
      </x:c>
      <x:c r="BH33" s="17" t="n">
        <x:f>IF('Control Room'!$B$5="Normal",'Control Room'!$B$7,('Control Room'!$B$8+'Control Room'!$D$8)/2)+'Control Room'!$B$9*(BH32-IF('Control Room'!$B$5="Normal",'Control Room'!$B$7,('Control Room'!$B$8+'Control Room'!$D$8)/2))+SQRT(1-'Control Room'!$B$9^2)*(BG33-IF('Control Room'!$B$5="Normal",'Control Room'!$B$7,('Control Room'!$B$8+'Control Room'!$D$8)/2))</x:f>
        <x:v>873.2786479931483</x:v>
      </x:c>
      <x:c r="BI33" s="17" t="n">
        <x:f>IF(AND($A33&gt;='Control Room'!$A$13,$A33&lt;'Control Room'!$A$13+'Control Room'!$B$13,'Process'!BV2=1),1+('Control Room'!$C$13-1)*EXP(-0.5*(($A33-'Control Room'!$A$13-('Control Room'!$B$13-1)/2)/MAX(0.5,'Control Room'!$B$13/4))^2),1)*IF(AND($A33&gt;='Control Room'!$A$14,$A33&lt;'Control Room'!$A$14+'Control Room'!$B$14,'Process'!BV3=1),1+('Control Room'!$C$14-1)*EXP(-0.5*(($A33-'Control Room'!$A$14-('Control Room'!$B$14-1)/2)/MAX(0.5,'Control Room'!$B$14/4))^2),1)*IF(AND($A33&gt;='Control Room'!$A$15,$A33&lt;'Control Room'!$A$15+'Control Room'!$B$15,'Process'!BV4=1),1+('Control Room'!$C$15-1)*EXP(-0.5*(($A33-'Control Room'!$A$15-('Control Room'!$B$15-1)/2)/MAX(0.5,'Control Room'!$B$15/4))^2),1)*IF(AND($A33&gt;='Control Room'!$A$16,$A33&lt;'Control Room'!$A$16+'Control Room'!$B$16,'Process'!BV5=1),1+('Control Room'!$C$16-1)*EXP(-0.5*(($A33-'Control Room'!$A$16-('Control Room'!$B$16-1)/2)/MAX(0.5,'Control Room'!$B$16/4))^2),1)</x:f>
        <x:v>1</x:v>
      </x:c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Z33" t="str">
        <x:f>IF('Data'!A33="","",TEXT('Data'!A33,"mm-dd"))</x:f>
        <x:v>12-03</x:v>
      </x:c>
    </x:row>
    <x:row r="34" ht="21" customHeight="1">
      <x:c r="A34" s="15" t="n">
        <x:f>'Control Room'!$B$1+32</x:f>
        <x:v>73023</x:v>
      </x:c>
      <x:c r="B34" s="9" t="n">
        <x:f>MOD(C33*16807,2147483647)</x:f>
        <x:v>1032334534</x:v>
      </x:c>
      <x:c r="C34" s="9" t="n">
        <x:f>MOD(B34*16807,2147483647)</x:f>
        <x:v>926128825</x:v>
      </x:c>
      <x:c r="D34" s="17" t="n">
        <x:f>IF('Control Room'!$B$5="Normal",'Control Room'!$B$7+'Control Room'!$D$7*SQRT(-2*LN(MAX(0.000000000001,B34/2147483647)))*COS(2*PI()*C34/2147483647),'Control Room'!$B$8+('Control Room'!$D$8-'Control Room'!$B$8)*B34/2147483647)</x:f>
        <x:v>901.071037287362</x:v>
      </x:c>
      <x:c r="E34" s="17" t="n">
        <x:f>IF('Control Room'!$B$5="Normal",'Control Room'!$B$7,('Control Room'!$B$8+'Control Room'!$D$8)/2)+'Control Room'!$B$9*(E33-IF('Control Room'!$B$5="Normal",'Control Room'!$B$7,('Control Room'!$B$8+'Control Room'!$D$8)/2))+SQRT(1-'Control Room'!$B$9^2)*(D34-IF('Control Room'!$B$5="Normal",'Control Room'!$B$7,('Control Room'!$B$8+'Control Room'!$D$8)/2))</x:f>
        <x:v>819.5113645401732</x:v>
      </x:c>
      <x:c r="F34" s="17" t="n">
        <x:f>IF(AND($A34&gt;='Control Room'!$A$13,$A34&lt;'Control Room'!$A$13+'Control Room'!$B$13,'Process'!BK2=1),1+('Control Room'!$C$13-1)*EXP(-0.5*(($A34-'Control Room'!$A$13-('Control Room'!$B$13-1)/2)/MAX(0.5,'Control Room'!$B$13/4))^2),1)*IF(AND($A34&gt;='Control Room'!$A$14,$A34&lt;'Control Room'!$A$14+'Control Room'!$B$14,'Process'!BK3=1),1+('Control Room'!$C$14-1)*EXP(-0.5*(($A34-'Control Room'!$A$14-('Control Room'!$B$14-1)/2)/MAX(0.5,'Control Room'!$B$14/4))^2),1)*IF(AND($A34&gt;='Control Room'!$A$15,$A34&lt;'Control Room'!$A$15+'Control Room'!$B$15,'Process'!BK4=1),1+('Control Room'!$C$15-1)*EXP(-0.5*(($A34-'Control Room'!$A$15-('Control Room'!$B$15-1)/2)/MAX(0.5,'Control Room'!$B$15/4))^2),1)*IF(AND($A34&gt;='Control Room'!$A$16,$A34&lt;'Control Room'!$A$16+'Control Room'!$B$16,'Process'!BK5=1),1+('Control Room'!$C$16-1)*EXP(-0.5*(($A34-'Control Room'!$A$16-('Control Room'!$B$16-1)/2)/MAX(0.5,'Control Room'!$B$16/4))^2),1)</x:f>
        <x:v>1</x:v>
      </x:c>
      <x:c r="G34" s="9" t="n">
        <x:f>MOD(H33*16807,2147483647)</x:f>
        <x:v>1121990953</x:v>
      </x:c>
      <x:c r="H34" s="9" t="n">
        <x:f>MOD(G34*16807,2147483647)</x:f>
        <x:v>248042764</x:v>
      </x:c>
      <x:c r="I34" s="17" t="n">
        <x:f>IF('Control Room'!$B$5="Normal",'Control Room'!$B$7+'Control Room'!$D$7*SQRT(-2*LN(MAX(0.000000000001,G34/2147483647)))*COS(2*PI()*H34/2147483647),'Control Room'!$B$8+('Control Room'!$D$8-'Control Room'!$B$8)*G34/2147483647)</x:f>
        <x:v>1076.7102711971756</x:v>
      </x:c>
      <x:c r="J34" s="17" t="n">
        <x:f>IF('Control Room'!$B$5="Normal",'Control Room'!$B$7,('Control Room'!$B$8+'Control Room'!$D$8)/2)+'Control Room'!$B$9*(J33-IF('Control Room'!$B$5="Normal",'Control Room'!$B$7,('Control Room'!$B$8+'Control Room'!$D$8)/2))+SQRT(1-'Control Room'!$B$9^2)*(I34-IF('Control Room'!$B$5="Normal",'Control Room'!$B$7,('Control Room'!$B$8+'Control Room'!$D$8)/2))</x:f>
        <x:v>1014.2919578477575</x:v>
      </x:c>
      <x:c r="K34" s="17" t="n">
        <x:f>IF(AND($A34&gt;='Control Room'!$A$13,$A34&lt;'Control Room'!$A$13+'Control Room'!$B$13,'Process'!BL2=1),1+('Control Room'!$C$13-1)*EXP(-0.5*(($A34-'Control Room'!$A$13-('Control Room'!$B$13-1)/2)/MAX(0.5,'Control Room'!$B$13/4))^2),1)*IF(AND($A34&gt;='Control Room'!$A$14,$A34&lt;'Control Room'!$A$14+'Control Room'!$B$14,'Process'!BL3=1),1+('Control Room'!$C$14-1)*EXP(-0.5*(($A34-'Control Room'!$A$14-('Control Room'!$B$14-1)/2)/MAX(0.5,'Control Room'!$B$14/4))^2),1)*IF(AND($A34&gt;='Control Room'!$A$15,$A34&lt;'Control Room'!$A$15+'Control Room'!$B$15,'Process'!BL4=1),1+('Control Room'!$C$15-1)*EXP(-0.5*(($A34-'Control Room'!$A$15-('Control Room'!$B$15-1)/2)/MAX(0.5,'Control Room'!$B$15/4))^2),1)*IF(AND($A34&gt;='Control Room'!$A$16,$A34&lt;'Control Room'!$A$16+'Control Room'!$B$16,'Process'!BL5=1),1+('Control Room'!$C$16-1)*EXP(-0.5*(($A34-'Control Room'!$A$16-('Control Room'!$B$16-1)/2)/MAX(0.5,'Control Room'!$B$16/4))^2),1)</x:f>
        <x:v>1</x:v>
      </x:c>
      <x:c r="L34" s="9" t="n">
        <x:f>MOD(M33*16807,2147483647)</x:f>
        <x:v>1211647372</x:v>
      </x:c>
      <x:c r="M34" s="9" t="n">
        <x:f>MOD(L34*16807,2147483647)</x:f>
        <x:v>1717440350</x:v>
      </x:c>
      <x:c r="N34" s="17" t="n">
        <x:f>IF('Control Room'!$B$5="Normal",'Control Room'!$B$7+'Control Room'!$D$7*SQRT(-2*LN(MAX(0.000000000001,L34/2147483647)))*COS(2*PI()*M34/2147483647),'Control Room'!$B$8+('Control Room'!$D$8-'Control Room'!$B$8)*L34/2147483647)</x:f>
        <x:v>1029.6083664810774</x:v>
      </x:c>
      <x:c r="O34" s="17" t="n">
        <x:f>IF('Control Room'!$B$5="Normal",'Control Room'!$B$7,('Control Room'!$B$8+'Control Room'!$D$8)/2)+'Control Room'!$B$9*(O33-IF('Control Room'!$B$5="Normal",'Control Room'!$B$7,('Control Room'!$B$8+'Control Room'!$D$8)/2))+SQRT(1-'Control Room'!$B$9^2)*(N34-IF('Control Room'!$B$5="Normal",'Control Room'!$B$7,('Control Room'!$B$8+'Control Room'!$D$8)/2))</x:f>
        <x:v>1017.0685734611095</x:v>
      </x:c>
      <x:c r="P34" s="17" t="n">
        <x:f>IF(AND($A34&gt;='Control Room'!$A$13,$A34&lt;'Control Room'!$A$13+'Control Room'!$B$13,'Process'!BM2=1),1+('Control Room'!$C$13-1)*EXP(-0.5*(($A34-'Control Room'!$A$13-('Control Room'!$B$13-1)/2)/MAX(0.5,'Control Room'!$B$13/4))^2),1)*IF(AND($A34&gt;='Control Room'!$A$14,$A34&lt;'Control Room'!$A$14+'Control Room'!$B$14,'Process'!BM3=1),1+('Control Room'!$C$14-1)*EXP(-0.5*(($A34-'Control Room'!$A$14-('Control Room'!$B$14-1)/2)/MAX(0.5,'Control Room'!$B$14/4))^2),1)*IF(AND($A34&gt;='Control Room'!$A$15,$A34&lt;'Control Room'!$A$15+'Control Room'!$B$15,'Process'!BM4=1),1+('Control Room'!$C$15-1)*EXP(-0.5*(($A34-'Control Room'!$A$15-('Control Room'!$B$15-1)/2)/MAX(0.5,'Control Room'!$B$15/4))^2),1)*IF(AND($A34&gt;='Control Room'!$A$16,$A34&lt;'Control Room'!$A$16+'Control Room'!$B$16,'Process'!BM5=1),1+('Control Room'!$C$16-1)*EXP(-0.5*(($A34-'Control Room'!$A$16-('Control Room'!$B$16-1)/2)/MAX(0.5,'Control Room'!$B$16/4))^2),1)</x:f>
        <x:v>1</x:v>
      </x:c>
      <x:c r="Q34" s="9" t="n">
        <x:f>MOD(R33*16807,2147483647)</x:f>
        <x:v>1301303791</x:v>
      </x:c>
      <x:c r="R34" s="9" t="n">
        <x:f>MOD(Q34*16807,2147483647)</x:f>
        <x:v>1039354289</x:v>
      </x:c>
      <x:c r="S34" s="17" t="n">
        <x:f>IF('Control Room'!$B$5="Normal",'Control Room'!$B$7+'Control Room'!$D$7*SQRT(-2*LN(MAX(0.000000000001,Q34/2147483647)))*COS(2*PI()*R34/2147483647),'Control Room'!$B$8+('Control Room'!$D$8-'Control Room'!$B$8)*Q34/2147483647)</x:f>
        <x:v>910.3718980014139</x:v>
      </x:c>
      <x:c r="T34" s="17" t="n">
        <x:f>IF('Control Room'!$B$5="Normal",'Control Room'!$B$7,('Control Room'!$B$8+'Control Room'!$D$8)/2)+'Control Room'!$B$9*(T33-IF('Control Room'!$B$5="Normal",'Control Room'!$B$7,('Control Room'!$B$8+'Control Room'!$D$8)/2))+SQRT(1-'Control Room'!$B$9^2)*(S34-IF('Control Room'!$B$5="Normal",'Control Room'!$B$7,('Control Room'!$B$8+'Control Room'!$D$8)/2))</x:f>
        <x:v>976.2005768968874</x:v>
      </x:c>
      <x:c r="U34" s="17" t="n">
        <x:f>IF(AND($A34&gt;='Control Room'!$A$13,$A34&lt;'Control Room'!$A$13+'Control Room'!$B$13,'Process'!BN2=1),1+('Control Room'!$C$13-1)*EXP(-0.5*(($A34-'Control Room'!$A$13-('Control Room'!$B$13-1)/2)/MAX(0.5,'Control Room'!$B$13/4))^2),1)*IF(AND($A34&gt;='Control Room'!$A$14,$A34&lt;'Control Room'!$A$14+'Control Room'!$B$14,'Process'!BN3=1),1+('Control Room'!$C$14-1)*EXP(-0.5*(($A34-'Control Room'!$A$14-('Control Room'!$B$14-1)/2)/MAX(0.5,'Control Room'!$B$14/4))^2),1)*IF(AND($A34&gt;='Control Room'!$A$15,$A34&lt;'Control Room'!$A$15+'Control Room'!$B$15,'Process'!BN4=1),1+('Control Room'!$C$15-1)*EXP(-0.5*(($A34-'Control Room'!$A$15-('Control Room'!$B$15-1)/2)/MAX(0.5,'Control Room'!$B$15/4))^2),1)*IF(AND($A34&gt;='Control Room'!$A$16,$A34&lt;'Control Room'!$A$16+'Control Room'!$B$16,'Process'!BN5=1),1+('Control Room'!$C$16-1)*EXP(-0.5*(($A34-'Control Room'!$A$16-('Control Room'!$B$16-1)/2)/MAX(0.5,'Control Room'!$B$16/4))^2),1)</x:f>
        <x:v>1</x:v>
      </x:c>
      <x:c r="V34" s="9" t="n">
        <x:f>MOD(W33*16807,2147483647)</x:f>
        <x:v>1390960210</x:v>
      </x:c>
      <x:c r="W34" s="9" t="n">
        <x:f>MOD(V34*16807,2147483647)</x:f>
        <x:v>361268228</x:v>
      </x:c>
      <x:c r="X34" s="17" t="n">
        <x:f>IF('Control Room'!$B$5="Normal",'Control Room'!$B$7+'Control Room'!$D$7*SQRT(-2*LN(MAX(0.000000000001,V34/2147483647)))*COS(2*PI()*W34/2147483647),'Control Room'!$B$8+('Control Room'!$D$8-'Control Room'!$B$8)*V34/2147483647)</x:f>
        <x:v>1041.2246211224785</x:v>
      </x:c>
      <x:c r="Y34" s="17" t="n">
        <x:f>IF('Control Room'!$B$5="Normal",'Control Room'!$B$7,('Control Room'!$B$8+'Control Room'!$D$8)/2)+'Control Room'!$B$9*(Y33-IF('Control Room'!$B$5="Normal",'Control Room'!$B$7,('Control Room'!$B$8+'Control Room'!$D$8)/2))+SQRT(1-'Control Room'!$B$9^2)*(X34-IF('Control Room'!$B$5="Normal",'Control Room'!$B$7,('Control Room'!$B$8+'Control Room'!$D$8)/2))</x:f>
        <x:v>1074.4915765466415</x:v>
      </x:c>
      <x:c r="Z34" s="17" t="n">
        <x:f>IF(AND($A34&gt;='Control Room'!$A$13,$A34&lt;'Control Room'!$A$13+'Control Room'!$B$13,'Process'!BO2=1),1+('Control Room'!$C$13-1)*EXP(-0.5*(($A34-'Control Room'!$A$13-('Control Room'!$B$13-1)/2)/MAX(0.5,'Control Room'!$B$13/4))^2),1)*IF(AND($A34&gt;='Control Room'!$A$14,$A34&lt;'Control Room'!$A$14+'Control Room'!$B$14,'Process'!BO3=1),1+('Control Room'!$C$14-1)*EXP(-0.5*(($A34-'Control Room'!$A$14-('Control Room'!$B$14-1)/2)/MAX(0.5,'Control Room'!$B$14/4))^2),1)*IF(AND($A34&gt;='Control Room'!$A$15,$A34&lt;'Control Room'!$A$15+'Control Room'!$B$15,'Process'!BO4=1),1+('Control Room'!$C$15-1)*EXP(-0.5*(($A34-'Control Room'!$A$15-('Control Room'!$B$15-1)/2)/MAX(0.5,'Control Room'!$B$15/4))^2),1)*IF(AND($A34&gt;='Control Room'!$A$16,$A34&lt;'Control Room'!$A$16+'Control Room'!$B$16,'Process'!BO5=1),1+('Control Room'!$C$16-1)*EXP(-0.5*(($A34-'Control Room'!$A$16-('Control Room'!$B$16-1)/2)/MAX(0.5,'Control Room'!$B$16/4))^2),1)</x:f>
        <x:v>1</x:v>
      </x:c>
      <x:c r="AA34" s="9" t="n">
        <x:f>MOD(AB33*16807,2147483647)</x:f>
        <x:v>1480616629</x:v>
      </x:c>
      <x:c r="AB34" s="9" t="n">
        <x:f>MOD(AA34*16807,2147483647)</x:f>
        <x:v>1830665814</x:v>
      </x:c>
      <x:c r="AC34" s="17" t="n">
        <x:f>IF('Control Room'!$B$5="Normal",'Control Room'!$B$7+'Control Room'!$D$7*SQRT(-2*LN(MAX(0.000000000001,AA34/2147483647)))*COS(2*PI()*AB34/2147483647),'Control Room'!$B$8+('Control Room'!$D$8-'Control Room'!$B$8)*AA34/2147483647)</x:f>
        <x:v>1046.5887919518643</x:v>
      </x:c>
      <x:c r="AD34" s="17" t="n">
        <x:f>IF('Control Room'!$B$5="Normal",'Control Room'!$B$7,('Control Room'!$B$8+'Control Room'!$D$8)/2)+'Control Room'!$B$9*(AD33-IF('Control Room'!$B$5="Normal",'Control Room'!$B$7,('Control Room'!$B$8+'Control Room'!$D$8)/2))+SQRT(1-'Control Room'!$B$9^2)*(AC34-IF('Control Room'!$B$5="Normal",'Control Room'!$B$7,('Control Room'!$B$8+'Control Room'!$D$8)/2))</x:f>
        <x:v>942.940692912205</x:v>
      </x:c>
      <x:c r="AE34" s="17" t="n">
        <x:f>IF(AND($A34&gt;='Control Room'!$A$13,$A34&lt;'Control Room'!$A$13+'Control Room'!$B$13,'Process'!BP2=1),1+('Control Room'!$C$13-1)*EXP(-0.5*(($A34-'Control Room'!$A$13-('Control Room'!$B$13-1)/2)/MAX(0.5,'Control Room'!$B$13/4))^2),1)*IF(AND($A34&gt;='Control Room'!$A$14,$A34&lt;'Control Room'!$A$14+'Control Room'!$B$14,'Process'!BP3=1),1+('Control Room'!$C$14-1)*EXP(-0.5*(($A34-'Control Room'!$A$14-('Control Room'!$B$14-1)/2)/MAX(0.5,'Control Room'!$B$14/4))^2),1)*IF(AND($A34&gt;='Control Room'!$A$15,$A34&lt;'Control Room'!$A$15+'Control Room'!$B$15,'Process'!BP4=1),1+('Control Room'!$C$15-1)*EXP(-0.5*(($A34-'Control Room'!$A$15-('Control Room'!$B$15-1)/2)/MAX(0.5,'Control Room'!$B$15/4))^2),1)*IF(AND($A34&gt;='Control Room'!$A$16,$A34&lt;'Control Room'!$A$16+'Control Room'!$B$16,'Process'!BP5=1),1+('Control Room'!$C$16-1)*EXP(-0.5*(($A34-'Control Room'!$A$16-('Control Room'!$B$16-1)/2)/MAX(0.5,'Control Room'!$B$16/4))^2),1)</x:f>
        <x:v>1</x:v>
      </x:c>
      <x:c r="AF34" s="9" t="n">
        <x:f>MOD(AG33*16807,2147483647)</x:f>
        <x:v>1570273048</x:v>
      </x:c>
      <x:c r="AG34" s="9" t="n">
        <x:f>MOD(AF34*16807,2147483647)</x:f>
        <x:v>1152579753</x:v>
      </x:c>
      <x:c r="AH34" s="17" t="n">
        <x:f>IF('Control Room'!$B$5="Normal",'Control Room'!$B$7+'Control Room'!$D$7*SQRT(-2*LN(MAX(0.000000000001,AF34/2147483647)))*COS(2*PI()*AG34/2147483647),'Control Room'!$B$8+('Control Room'!$D$8-'Control Room'!$B$8)*AF34/2147483647)</x:f>
        <x:v>930.6726317290472</x:v>
      </x:c>
      <x:c r="AI34" s="17" t="n">
        <x:f>IF('Control Room'!$B$5="Normal",'Control Room'!$B$7,('Control Room'!$B$8+'Control Room'!$D$8)/2)+'Control Room'!$B$9*(AI33-IF('Control Room'!$B$5="Normal",'Control Room'!$B$7,('Control Room'!$B$8+'Control Room'!$D$8)/2))+SQRT(1-'Control Room'!$B$9^2)*(AH34-IF('Control Room'!$B$5="Normal",'Control Room'!$B$7,('Control Room'!$B$8+'Control Room'!$D$8)/2))</x:f>
        <x:v>885.4632572191057</x:v>
      </x:c>
      <x:c r="AJ34" s="17" t="n">
        <x:f>IF(AND($A34&gt;='Control Room'!$A$13,$A34&lt;'Control Room'!$A$13+'Control Room'!$B$13,'Process'!BQ2=1),1+('Control Room'!$C$13-1)*EXP(-0.5*(($A34-'Control Room'!$A$13-('Control Room'!$B$13-1)/2)/MAX(0.5,'Control Room'!$B$13/4))^2),1)*IF(AND($A34&gt;='Control Room'!$A$14,$A34&lt;'Control Room'!$A$14+'Control Room'!$B$14,'Process'!BQ3=1),1+('Control Room'!$C$14-1)*EXP(-0.5*(($A34-'Control Room'!$A$14-('Control Room'!$B$14-1)/2)/MAX(0.5,'Control Room'!$B$14/4))^2),1)*IF(AND($A34&gt;='Control Room'!$A$15,$A34&lt;'Control Room'!$A$15+'Control Room'!$B$15,'Process'!BQ4=1),1+('Control Room'!$C$15-1)*EXP(-0.5*(($A34-'Control Room'!$A$15-('Control Room'!$B$15-1)/2)/MAX(0.5,'Control Room'!$B$15/4))^2),1)*IF(AND($A34&gt;='Control Room'!$A$16,$A34&lt;'Control Room'!$A$16+'Control Room'!$B$16,'Process'!BQ5=1),1+('Control Room'!$C$16-1)*EXP(-0.5*(($A34-'Control Room'!$A$16-('Control Room'!$B$16-1)/2)/MAX(0.5,'Control Room'!$B$16/4))^2),1)</x:f>
        <x:v>1</x:v>
      </x:c>
      <x:c r="AK34" s="9" t="n">
        <x:f>MOD(AL33*16807,2147483647)</x:f>
        <x:v>1659929467</x:v>
      </x:c>
      <x:c r="AL34" s="9" t="n">
        <x:f>MOD(AK34*16807,2147483647)</x:f>
        <x:v>474493692</x:v>
      </x:c>
      <x:c r="AM34" s="17" t="n">
        <x:f>IF('Control Room'!$B$5="Normal",'Control Room'!$B$7+'Control Room'!$D$7*SQRT(-2*LN(MAX(0.000000000001,AK34/2147483647)))*COS(2*PI()*AL34/2147483647),'Control Room'!$B$8+('Control Room'!$D$8-'Control Room'!$B$8)*AK34/2147483647)</x:f>
        <x:v>1011.7226765014381</x:v>
      </x:c>
      <x:c r="AN34" s="17" t="n">
        <x:f>IF('Control Room'!$B$5="Normal",'Control Room'!$B$7,('Control Room'!$B$8+'Control Room'!$D$8)/2)+'Control Room'!$B$9*(AN33-IF('Control Room'!$B$5="Normal",'Control Room'!$B$7,('Control Room'!$B$8+'Control Room'!$D$8)/2))+SQRT(1-'Control Room'!$B$9^2)*(AM34-IF('Control Room'!$B$5="Normal",'Control Room'!$B$7,('Control Room'!$B$8+'Control Room'!$D$8)/2))</x:f>
        <x:v>978.4830491613185</x:v>
      </x:c>
      <x:c r="AO34" s="17" t="n">
        <x:f>IF(AND($A34&gt;='Control Room'!$A$13,$A34&lt;'Control Room'!$A$13+'Control Room'!$B$13,'Process'!BR2=1),1+('Control Room'!$C$13-1)*EXP(-0.5*(($A34-'Control Room'!$A$13-('Control Room'!$B$13-1)/2)/MAX(0.5,'Control Room'!$B$13/4))^2),1)*IF(AND($A34&gt;='Control Room'!$A$14,$A34&lt;'Control Room'!$A$14+'Control Room'!$B$14,'Process'!BR3=1),1+('Control Room'!$C$14-1)*EXP(-0.5*(($A34-'Control Room'!$A$14-('Control Room'!$B$14-1)/2)/MAX(0.5,'Control Room'!$B$14/4))^2),1)*IF(AND($A34&gt;='Control Room'!$A$15,$A34&lt;'Control Room'!$A$15+'Control Room'!$B$15,'Process'!BR4=1),1+('Control Room'!$C$15-1)*EXP(-0.5*(($A34-'Control Room'!$A$15-('Control Room'!$B$15-1)/2)/MAX(0.5,'Control Room'!$B$15/4))^2),1)*IF(AND($A34&gt;='Control Room'!$A$16,$A34&lt;'Control Room'!$A$16+'Control Room'!$B$16,'Process'!BR5=1),1+('Control Room'!$C$16-1)*EXP(-0.5*(($A34-'Control Room'!$A$16-('Control Room'!$B$16-1)/2)/MAX(0.5,'Control Room'!$B$16/4))^2),1)</x:f>
        <x:v>1</x:v>
      </x:c>
      <x:c r="AP34" s="9" t="n">
        <x:f>MOD(AQ33*16807,2147483647)</x:f>
        <x:v>1749585886</x:v>
      </x:c>
      <x:c r="AQ34" s="9" t="n">
        <x:f>MOD(AP34*16807,2147483647)</x:f>
        <x:v>1943891278</x:v>
      </x:c>
      <x:c r="AR34" s="17" t="n">
        <x:f>IF('Control Room'!$B$5="Normal",'Control Room'!$B$7+'Control Room'!$D$7*SQRT(-2*LN(MAX(0.000000000001,AP34/2147483647)))*COS(2*PI()*AQ34/2147483647),'Control Room'!$B$8+('Control Room'!$D$8-'Control Room'!$B$8)*AP34/2147483647)</x:f>
        <x:v>1047.6931473902196</x:v>
      </x:c>
      <x:c r="AS34" s="17" t="n">
        <x:f>IF('Control Room'!$B$5="Normal",'Control Room'!$B$7,('Control Room'!$B$8+'Control Room'!$D$8)/2)+'Control Room'!$B$9*(AS33-IF('Control Room'!$B$5="Normal",'Control Room'!$B$7,('Control Room'!$B$8+'Control Room'!$D$8)/2))+SQRT(1-'Control Room'!$B$9^2)*(AR34-IF('Control Room'!$B$5="Normal",'Control Room'!$B$7,('Control Room'!$B$8+'Control Room'!$D$8)/2))</x:f>
        <x:v>1003.897431673244</x:v>
      </x:c>
      <x:c r="AT34" s="17" t="n">
        <x:f>IF(AND($A34&gt;='Control Room'!$A$13,$A34&lt;'Control Room'!$A$13+'Control Room'!$B$13,'Process'!BS2=1),1+('Control Room'!$C$13-1)*EXP(-0.5*(($A34-'Control Room'!$A$13-('Control Room'!$B$13-1)/2)/MAX(0.5,'Control Room'!$B$13/4))^2),1)*IF(AND($A34&gt;='Control Room'!$A$14,$A34&lt;'Control Room'!$A$14+'Control Room'!$B$14,'Process'!BS3=1),1+('Control Room'!$C$14-1)*EXP(-0.5*(($A34-'Control Room'!$A$14-('Control Room'!$B$14-1)/2)/MAX(0.5,'Control Room'!$B$14/4))^2),1)*IF(AND($A34&gt;='Control Room'!$A$15,$A34&lt;'Control Room'!$A$15+'Control Room'!$B$15,'Process'!BS4=1),1+('Control Room'!$C$15-1)*EXP(-0.5*(($A34-'Control Room'!$A$15-('Control Room'!$B$15-1)/2)/MAX(0.5,'Control Room'!$B$15/4))^2),1)*IF(AND($A34&gt;='Control Room'!$A$16,$A34&lt;'Control Room'!$A$16+'Control Room'!$B$16,'Process'!BS5=1),1+('Control Room'!$C$16-1)*EXP(-0.5*(($A34-'Control Room'!$A$16-('Control Room'!$B$16-1)/2)/MAX(0.5,'Control Room'!$B$16/4))^2),1)</x:f>
        <x:v>1</x:v>
      </x:c>
      <x:c r="AU34" s="9" t="n">
        <x:f>MOD(AV33*16807,2147483647)</x:f>
        <x:v>1839242305</x:v>
      </x:c>
      <x:c r="AV34" s="9" t="n">
        <x:f>MOD(AU34*16807,2147483647)</x:f>
        <x:v>1265805217</x:v>
      </x:c>
      <x:c r="AW34" s="17" t="n">
        <x:f>IF('Control Room'!$B$5="Normal",'Control Room'!$B$7+'Control Room'!$D$7*SQRT(-2*LN(MAX(0.000000000001,AU34/2147483647)))*COS(2*PI()*AV34/2147483647),'Control Room'!$B$8+('Control Room'!$D$8-'Control Room'!$B$8)*AU34/2147483647)</x:f>
        <x:v>957.6038164476726</x:v>
      </x:c>
      <x:c r="AX34" s="17" t="n">
        <x:f>IF('Control Room'!$B$5="Normal",'Control Room'!$B$7,('Control Room'!$B$8+'Control Room'!$D$8)/2)+'Control Room'!$B$9*(AX33-IF('Control Room'!$B$5="Normal",'Control Room'!$B$7,('Control Room'!$B$8+'Control Room'!$D$8)/2))+SQRT(1-'Control Room'!$B$9^2)*(AW34-IF('Control Room'!$B$5="Normal",'Control Room'!$B$7,('Control Room'!$B$8+'Control Room'!$D$8)/2))</x:f>
        <x:v>1003.5677309109647</x:v>
      </x:c>
      <x:c r="AY34" s="17" t="n">
        <x:f>IF(AND($A34&gt;='Control Room'!$A$13,$A34&lt;'Control Room'!$A$13+'Control Room'!$B$13,'Process'!BT2=1),1+('Control Room'!$C$13-1)*EXP(-0.5*(($A34-'Control Room'!$A$13-('Control Room'!$B$13-1)/2)/MAX(0.5,'Control Room'!$B$13/4))^2),1)*IF(AND($A34&gt;='Control Room'!$A$14,$A34&lt;'Control Room'!$A$14+'Control Room'!$B$14,'Process'!BT3=1),1+('Control Room'!$C$14-1)*EXP(-0.5*(($A34-'Control Room'!$A$14-('Control Room'!$B$14-1)/2)/MAX(0.5,'Control Room'!$B$14/4))^2),1)*IF(AND($A34&gt;='Control Room'!$A$15,$A34&lt;'Control Room'!$A$15+'Control Room'!$B$15,'Process'!BT4=1),1+('Control Room'!$C$15-1)*EXP(-0.5*(($A34-'Control Room'!$A$15-('Control Room'!$B$15-1)/2)/MAX(0.5,'Control Room'!$B$15/4))^2),1)*IF(AND($A34&gt;='Control Room'!$A$16,$A34&lt;'Control Room'!$A$16+'Control Room'!$B$16,'Process'!BT5=1),1+('Control Room'!$C$16-1)*EXP(-0.5*(($A34-'Control Room'!$A$16-('Control Room'!$B$16-1)/2)/MAX(0.5,'Control Room'!$B$16/4))^2),1)</x:f>
        <x:v>1</x:v>
      </x:c>
      <x:c r="AZ34" s="9" t="n">
        <x:f>MOD(BA33*16807,2147483647)</x:f>
        <x:v>1928898724</x:v>
      </x:c>
      <x:c r="BA34" s="9" t="n">
        <x:f>MOD(AZ34*16807,2147483647)</x:f>
        <x:v>587719156</x:v>
      </x:c>
      <x:c r="BB34" s="17" t="n">
        <x:f>IF('Control Room'!$B$5="Normal",'Control Room'!$B$7+'Control Room'!$D$7*SQRT(-2*LN(MAX(0.000000000001,AZ34/2147483647)))*COS(2*PI()*BA34/2147483647),'Control Room'!$B$8+('Control Room'!$D$8-'Control Room'!$B$8)*AZ34/2147483647)</x:f>
        <x:v>993.8187510983258</x:v>
      </x:c>
      <x:c r="BC34" s="17" t="n">
        <x:f>IF('Control Room'!$B$5="Normal",'Control Room'!$B$7,('Control Room'!$B$8+'Control Room'!$D$8)/2)+'Control Room'!$B$9*(BC33-IF('Control Room'!$B$5="Normal",'Control Room'!$B$7,('Control Room'!$B$8+'Control Room'!$D$8)/2))+SQRT(1-'Control Room'!$B$9^2)*(BB34-IF('Control Room'!$B$5="Normal",'Control Room'!$B$7,('Control Room'!$B$8+'Control Room'!$D$8)/2))</x:f>
        <x:v>962.6436902373714</x:v>
      </x:c>
      <x:c r="BD34" s="17" t="n">
        <x:f>IF(AND($A34&gt;='Control Room'!$A$13,$A34&lt;'Control Room'!$A$13+'Control Room'!$B$13,'Process'!BU2=1),1+('Control Room'!$C$13-1)*EXP(-0.5*(($A34-'Control Room'!$A$13-('Control Room'!$B$13-1)/2)/MAX(0.5,'Control Room'!$B$13/4))^2),1)*IF(AND($A34&gt;='Control Room'!$A$14,$A34&lt;'Control Room'!$A$14+'Control Room'!$B$14,'Process'!BU3=1),1+('Control Room'!$C$14-1)*EXP(-0.5*(($A34-'Control Room'!$A$14-('Control Room'!$B$14-1)/2)/MAX(0.5,'Control Room'!$B$14/4))^2),1)*IF(AND($A34&gt;='Control Room'!$A$15,$A34&lt;'Control Room'!$A$15+'Control Room'!$B$15,'Process'!BU4=1),1+('Control Room'!$C$15-1)*EXP(-0.5*(($A34-'Control Room'!$A$15-('Control Room'!$B$15-1)/2)/MAX(0.5,'Control Room'!$B$15/4))^2),1)*IF(AND($A34&gt;='Control Room'!$A$16,$A34&lt;'Control Room'!$A$16+'Control Room'!$B$16,'Process'!BU5=1),1+('Control Room'!$C$16-1)*EXP(-0.5*(($A34-'Control Room'!$A$16-('Control Room'!$B$16-1)/2)/MAX(0.5,'Control Room'!$B$16/4))^2),1)</x:f>
        <x:v>1</x:v>
      </x:c>
      <x:c r="BE34" s="9" t="n">
        <x:f>MOD(BF33*16807,2147483647)</x:f>
        <x:v>2018555143</x:v>
      </x:c>
      <x:c r="BF34" s="9" t="n">
        <x:f>MOD(BE34*16807,2147483647)</x:f>
        <x:v>2057116742</x:v>
      </x:c>
      <x:c r="BG34" s="17" t="n">
        <x:f>IF('Control Room'!$B$5="Normal",'Control Room'!$B$7+'Control Room'!$D$7*SQRT(-2*LN(MAX(0.000000000001,BE34/2147483647)))*COS(2*PI()*BF34/2147483647),'Control Room'!$B$8+('Control Room'!$D$8-'Control Room'!$B$8)*BE34/2147483647)</x:f>
        <x:v>1030.5699264688876</x:v>
      </x:c>
      <x:c r="BH34" s="17" t="n">
        <x:f>IF('Control Room'!$B$5="Normal",'Control Room'!$B$7,('Control Room'!$B$8+'Control Room'!$D$8)/2)+'Control Room'!$B$9*(BH33-IF('Control Room'!$B$5="Normal",'Control Room'!$B$7,('Control Room'!$B$8+'Control Room'!$D$8)/2))+SQRT(1-'Control Room'!$B$9^2)*(BG34-IF('Control Room'!$B$5="Normal",'Control Room'!$B$7,('Control Room'!$B$8+'Control Room'!$D$8)/2))</x:f>
        <x:v>920.2873791599017</x:v>
      </x:c>
      <x:c r="BI34" s="17" t="n">
        <x:f>IF(AND($A34&gt;='Control Room'!$A$13,$A34&lt;'Control Room'!$A$13+'Control Room'!$B$13,'Process'!BV2=1),1+('Control Room'!$C$13-1)*EXP(-0.5*(($A34-'Control Room'!$A$13-('Control Room'!$B$13-1)/2)/MAX(0.5,'Control Room'!$B$13/4))^2),1)*IF(AND($A34&gt;='Control Room'!$A$14,$A34&lt;'Control Room'!$A$14+'Control Room'!$B$14,'Process'!BV3=1),1+('Control Room'!$C$14-1)*EXP(-0.5*(($A34-'Control Room'!$A$14-('Control Room'!$B$14-1)/2)/MAX(0.5,'Control Room'!$B$14/4))^2),1)*IF(AND($A34&gt;='Control Room'!$A$15,$A34&lt;'Control Room'!$A$15+'Control Room'!$B$15,'Process'!BV4=1),1+('Control Room'!$C$15-1)*EXP(-0.5*(($A34-'Control Room'!$A$15-('Control Room'!$B$15-1)/2)/MAX(0.5,'Control Room'!$B$15/4))^2),1)*IF(AND($A34&gt;='Control Room'!$A$16,$A34&lt;'Control Room'!$A$16+'Control Room'!$B$16,'Process'!BV5=1),1+('Control Room'!$C$16-1)*EXP(-0.5*(($A34-'Control Room'!$A$16-('Control Room'!$B$16-1)/2)/MAX(0.5,'Control Room'!$B$16/4))^2),1)</x:f>
        <x:v>1</x:v>
      </x:c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Z34" t="str">
        <x:f>IF('Data'!A34="","",TEXT('Data'!A34,"mm-dd"))</x:f>
        <x:v>12-04</x:v>
      </x:c>
    </x:row>
    <x:row r="35" ht="21" customHeight="1">
      <x:c r="A35" s="15" t="n">
        <x:f>'Control Room'!$B$1+33</x:f>
        <x:v>73024</x:v>
      </x:c>
      <x:c r="B35" s="9" t="n">
        <x:f>MOD(C34*16807,2147483647)</x:f>
        <x:v>485688319</x:v>
      </x:c>
      <x:c r="C35" s="9" t="n">
        <x:f>MOD(B35*16807,2147483647)</x:f>
        <x:v>378235186</x:v>
      </x:c>
      <x:c r="D35" s="17" t="n">
        <x:f>IF('Control Room'!$B$5="Normal",'Control Room'!$B$7+'Control Room'!$D$7*SQRT(-2*LN(MAX(0.000000000001,B35/2147483647)))*COS(2*PI()*C35/2147483647),'Control Room'!$B$8+('Control Room'!$D$8-'Control Room'!$B$8)*B35/2147483647)</x:f>
        <x:v>1069.4675597000396</x:v>
      </x:c>
      <x:c r="E35" s="17" t="n">
        <x:f>IF('Control Room'!$B$5="Normal",'Control Room'!$B$7,('Control Room'!$B$8+'Control Room'!$D$8)/2)+'Control Room'!$B$9*(E34-IF('Control Room'!$B$5="Normal",'Control Room'!$B$7,('Control Room'!$B$8+'Control Room'!$D$8)/2))+SQRT(1-'Control Room'!$B$9^2)*(D35-IF('Control Room'!$B$5="Normal",'Control Room'!$B$7,('Control Room'!$B$8+'Control Room'!$D$8)/2))</x:f>
        <x:v>902.690240081306</x:v>
      </x:c>
      <x:c r="F35" s="17" t="n">
        <x:f>IF(AND($A35&gt;='Control Room'!$A$13,$A35&lt;'Control Room'!$A$13+'Control Room'!$B$13,'Process'!BK2=1),1+('Control Room'!$C$13-1)*EXP(-0.5*(($A35-'Control Room'!$A$13-('Control Room'!$B$13-1)/2)/MAX(0.5,'Control Room'!$B$13/4))^2),1)*IF(AND($A35&gt;='Control Room'!$A$14,$A35&lt;'Control Room'!$A$14+'Control Room'!$B$14,'Process'!BK3=1),1+('Control Room'!$C$14-1)*EXP(-0.5*(($A35-'Control Room'!$A$14-('Control Room'!$B$14-1)/2)/MAX(0.5,'Control Room'!$B$14/4))^2),1)*IF(AND($A35&gt;='Control Room'!$A$15,$A35&lt;'Control Room'!$A$15+'Control Room'!$B$15,'Process'!BK4=1),1+('Control Room'!$C$15-1)*EXP(-0.5*(($A35-'Control Room'!$A$15-('Control Room'!$B$15-1)/2)/MAX(0.5,'Control Room'!$B$15/4))^2),1)*IF(AND($A35&gt;='Control Room'!$A$16,$A35&lt;'Control Room'!$A$16+'Control Room'!$B$16,'Process'!BK5=1),1+('Control Room'!$C$16-1)*EXP(-0.5*(($A35-'Control Room'!$A$16-('Control Room'!$B$16-1)/2)/MAX(0.5,'Control Room'!$B$16/4))^2),1)</x:f>
        <x:v>1</x:v>
      </x:c>
      <x:c r="G35" s="9" t="n">
        <x:f>MOD(H34*16807,2147483647)</x:f>
        <x:v>588975721</x:v>
      </x:c>
      <x:c r="H35" s="9" t="n">
        <x:f>MOD(G35*16807,2147483647)</x:f>
        <x:v>1162813824</x:v>
      </x:c>
      <x:c r="I35" s="17" t="n">
        <x:f>IF('Control Room'!$B$5="Normal",'Control Room'!$B$7+'Control Room'!$D$7*SQRT(-2*LN(MAX(0.000000000001,G35/2147483647)))*COS(2*PI()*H35/2147483647),'Control Room'!$B$8+('Control Room'!$D$8-'Control Room'!$B$8)*G35/2147483647)</x:f>
        <x:v>860.1216123934283</x:v>
      </x:c>
      <x:c r="J35" s="17" t="n">
        <x:f>IF('Control Room'!$B$5="Normal",'Control Room'!$B$7,('Control Room'!$B$8+'Control Room'!$D$8)/2)+'Control Room'!$B$9*(J34-IF('Control Room'!$B$5="Normal",'Control Room'!$B$7,('Control Room'!$B$8+'Control Room'!$D$8)/2))+SQRT(1-'Control Room'!$B$9^2)*(I35-IF('Control Room'!$B$5="Normal",'Control Room'!$B$7,('Control Room'!$B$8+'Control Room'!$D$8)/2))</x:f>
        <x:v>923.6146977215858</x:v>
      </x:c>
      <x:c r="K35" s="17" t="n">
        <x:f>IF(AND($A35&gt;='Control Room'!$A$13,$A35&lt;'Control Room'!$A$13+'Control Room'!$B$13,'Process'!BL2=1),1+('Control Room'!$C$13-1)*EXP(-0.5*(($A35-'Control Room'!$A$13-('Control Room'!$B$13-1)/2)/MAX(0.5,'Control Room'!$B$13/4))^2),1)*IF(AND($A35&gt;='Control Room'!$A$14,$A35&lt;'Control Room'!$A$14+'Control Room'!$B$14,'Process'!BL3=1),1+('Control Room'!$C$14-1)*EXP(-0.5*(($A35-'Control Room'!$A$14-('Control Room'!$B$14-1)/2)/MAX(0.5,'Control Room'!$B$14/4))^2),1)*IF(AND($A35&gt;='Control Room'!$A$15,$A35&lt;'Control Room'!$A$15+'Control Room'!$B$15,'Process'!BL4=1),1+('Control Room'!$C$15-1)*EXP(-0.5*(($A35-'Control Room'!$A$15-('Control Room'!$B$15-1)/2)/MAX(0.5,'Control Room'!$B$15/4))^2),1)*IF(AND($A35&gt;='Control Room'!$A$16,$A35&lt;'Control Room'!$A$16+'Control Room'!$B$16,'Process'!BL5=1),1+('Control Room'!$C$16-1)*EXP(-0.5*(($A35-'Control Room'!$A$16-('Control Room'!$B$16-1)/2)/MAX(0.5,'Control Room'!$B$16/4))^2),1)</x:f>
        <x:v>1</x:v>
      </x:c>
      <x:c r="L35" s="9" t="n">
        <x:f>MOD(M34*16807,2147483647)</x:f>
        <x:v>692263123</x:v>
      </x:c>
      <x:c r="M35" s="9" t="n">
        <x:f>MOD(L35*16807,2147483647)</x:f>
        <x:v>1947392462</x:v>
      </x:c>
      <x:c r="N35" s="17" t="n">
        <x:f>IF('Control Room'!$B$5="Normal",'Control Room'!$B$7+'Control Room'!$D$7*SQRT(-2*LN(MAX(0.000000000001,L35/2147483647)))*COS(2*PI()*M35/2147483647),'Control Room'!$B$8+('Control Room'!$D$8-'Control Room'!$B$8)*L35/2147483647)</x:f>
        <x:v>1112.8725646840307</x:v>
      </x:c>
      <x:c r="O35" s="17" t="n">
        <x:f>IF('Control Room'!$B$5="Normal",'Control Room'!$B$7,('Control Room'!$B$8+'Control Room'!$D$8)/2)+'Control Room'!$B$9*(O34-IF('Control Room'!$B$5="Normal",'Control Room'!$B$7,('Control Room'!$B$8+'Control Room'!$D$8)/2))+SQRT(1-'Control Room'!$B$9^2)*(N35-IF('Control Room'!$B$5="Normal",'Control Room'!$B$7,('Control Room'!$B$8+'Control Room'!$D$8)/2))</x:f>
        <x:v>1083.9468259587586</x:v>
      </x:c>
      <x:c r="P35" s="17" t="n">
        <x:f>IF(AND($A35&gt;='Control Room'!$A$13,$A35&lt;'Control Room'!$A$13+'Control Room'!$B$13,'Process'!BM2=1),1+('Control Room'!$C$13-1)*EXP(-0.5*(($A35-'Control Room'!$A$13-('Control Room'!$B$13-1)/2)/MAX(0.5,'Control Room'!$B$13/4))^2),1)*IF(AND($A35&gt;='Control Room'!$A$14,$A35&lt;'Control Room'!$A$14+'Control Room'!$B$14,'Process'!BM3=1),1+('Control Room'!$C$14-1)*EXP(-0.5*(($A35-'Control Room'!$A$14-('Control Room'!$B$14-1)/2)/MAX(0.5,'Control Room'!$B$14/4))^2),1)*IF(AND($A35&gt;='Control Room'!$A$15,$A35&lt;'Control Room'!$A$15+'Control Room'!$B$15,'Process'!BM4=1),1+('Control Room'!$C$15-1)*EXP(-0.5*(($A35-'Control Room'!$A$15-('Control Room'!$B$15-1)/2)/MAX(0.5,'Control Room'!$B$15/4))^2),1)*IF(AND($A35&gt;='Control Room'!$A$16,$A35&lt;'Control Room'!$A$16+'Control Room'!$B$16,'Process'!BM5=1),1+('Control Room'!$C$16-1)*EXP(-0.5*(($A35-'Control Room'!$A$16-('Control Room'!$B$16-1)/2)/MAX(0.5,'Control Room'!$B$16/4))^2),1)</x:f>
        <x:v>1</x:v>
      </x:c>
      <x:c r="Q35" s="9" t="n">
        <x:f>MOD(R34*16807,2147483647)</x:f>
        <x:v>795550525</x:v>
      </x:c>
      <x:c r="R35" s="9" t="n">
        <x:f>MOD(Q35*16807,2147483647)</x:f>
        <x:v>584487453</x:v>
      </x:c>
      <x:c r="S35" s="17" t="n">
        <x:f>IF('Control Room'!$B$5="Normal",'Control Room'!$B$7+'Control Room'!$D$7*SQRT(-2*LN(MAX(0.000000000001,Q35/2147483647)))*COS(2*PI()*R35/2147483647),'Control Room'!$B$8+('Control Room'!$D$8-'Control Room'!$B$8)*Q35/2147483647)</x:f>
        <x:v>982.3868097644697</x:v>
      </x:c>
      <x:c r="T35" s="17" t="n">
        <x:f>IF('Control Room'!$B$5="Normal",'Control Room'!$B$7,('Control Room'!$B$8+'Control Room'!$D$8)/2)+'Control Room'!$B$9*(T34-IF('Control Room'!$B$5="Normal",'Control Room'!$B$7,('Control Room'!$B$8+'Control Room'!$D$8)/2))+SQRT(1-'Control Room'!$B$9^2)*(S35-IF('Control Room'!$B$5="Normal",'Control Room'!$B$7,('Control Room'!$B$8+'Control Room'!$D$8)/2))</x:f>
        <x:v>970.4144763559918</x:v>
      </x:c>
      <x:c r="U35" s="17" t="n">
        <x:f>IF(AND($A35&gt;='Control Room'!$A$13,$A35&lt;'Control Room'!$A$13+'Control Room'!$B$13,'Process'!BN2=1),1+('Control Room'!$C$13-1)*EXP(-0.5*(($A35-'Control Room'!$A$13-('Control Room'!$B$13-1)/2)/MAX(0.5,'Control Room'!$B$13/4))^2),1)*IF(AND($A35&gt;='Control Room'!$A$14,$A35&lt;'Control Room'!$A$14+'Control Room'!$B$14,'Process'!BN3=1),1+('Control Room'!$C$14-1)*EXP(-0.5*(($A35-'Control Room'!$A$14-('Control Room'!$B$14-1)/2)/MAX(0.5,'Control Room'!$B$14/4))^2),1)*IF(AND($A35&gt;='Control Room'!$A$15,$A35&lt;'Control Room'!$A$15+'Control Room'!$B$15,'Process'!BN4=1),1+('Control Room'!$C$15-1)*EXP(-0.5*(($A35-'Control Room'!$A$15-('Control Room'!$B$15-1)/2)/MAX(0.5,'Control Room'!$B$15/4))^2),1)*IF(AND($A35&gt;='Control Room'!$A$16,$A35&lt;'Control Room'!$A$16+'Control Room'!$B$16,'Process'!BN5=1),1+('Control Room'!$C$16-1)*EXP(-0.5*(($A35-'Control Room'!$A$16-('Control Room'!$B$16-1)/2)/MAX(0.5,'Control Room'!$B$16/4))^2),1)</x:f>
        <x:v>1</x:v>
      </x:c>
      <x:c r="V35" s="9" t="n">
        <x:f>MOD(W34*16807,2147483647)</x:f>
        <x:v>898837927</x:v>
      </x:c>
      <x:c r="W35" s="9" t="n">
        <x:f>MOD(V35*16807,2147483647)</x:f>
        <x:v>1369066091</x:v>
      </x:c>
      <x:c r="X35" s="17" t="n">
        <x:f>IF('Control Room'!$B$5="Normal",'Control Room'!$B$7+'Control Room'!$D$7*SQRT(-2*LN(MAX(0.000000000001,V35/2147483647)))*COS(2*PI()*W35/2147483647),'Control Room'!$B$8+('Control Room'!$D$8-'Control Room'!$B$8)*V35/2147483647)</x:f>
        <x:v>922.868636872515</x:v>
      </x:c>
      <x:c r="Y35" s="17" t="n">
        <x:f>IF('Control Room'!$B$5="Normal",'Control Room'!$B$7,('Control Room'!$B$8+'Control Room'!$D$8)/2)+'Control Room'!$B$9*(Y34-IF('Control Room'!$B$5="Normal",'Control Room'!$B$7,('Control Room'!$B$8+'Control Room'!$D$8)/2))+SQRT(1-'Control Room'!$B$9^2)*(X35-IF('Control Room'!$B$5="Normal",'Control Room'!$B$7,('Control Room'!$B$8+'Control Room'!$D$8)/2))</x:f>
        <x:v>1009.8362027830613</x:v>
      </x:c>
      <x:c r="Z35" s="17" t="n">
        <x:f>IF(AND($A35&gt;='Control Room'!$A$13,$A35&lt;'Control Room'!$A$13+'Control Room'!$B$13,'Process'!BO2=1),1+('Control Room'!$C$13-1)*EXP(-0.5*(($A35-'Control Room'!$A$13-('Control Room'!$B$13-1)/2)/MAX(0.5,'Control Room'!$B$13/4))^2),1)*IF(AND($A35&gt;='Control Room'!$A$14,$A35&lt;'Control Room'!$A$14+'Control Room'!$B$14,'Process'!BO3=1),1+('Control Room'!$C$14-1)*EXP(-0.5*(($A35-'Control Room'!$A$14-('Control Room'!$B$14-1)/2)/MAX(0.5,'Control Room'!$B$14/4))^2),1)*IF(AND($A35&gt;='Control Room'!$A$15,$A35&lt;'Control Room'!$A$15+'Control Room'!$B$15,'Process'!BO4=1),1+('Control Room'!$C$15-1)*EXP(-0.5*(($A35-'Control Room'!$A$15-('Control Room'!$B$15-1)/2)/MAX(0.5,'Control Room'!$B$15/4))^2),1)*IF(AND($A35&gt;='Control Room'!$A$16,$A35&lt;'Control Room'!$A$16+'Control Room'!$B$16,'Process'!BO5=1),1+('Control Room'!$C$16-1)*EXP(-0.5*(($A35-'Control Room'!$A$16-('Control Room'!$B$16-1)/2)/MAX(0.5,'Control Room'!$B$16/4))^2),1)</x:f>
        <x:v>1</x:v>
      </x:c>
      <x:c r="AA35" s="9" t="n">
        <x:f>MOD(AB34*16807,2147483647)</x:f>
        <x:v>1002125329</x:v>
      </x:c>
      <x:c r="AB35" s="9" t="n">
        <x:f>MOD(AA35*16807,2147483647)</x:f>
        <x:v>6161082</x:v>
      </x:c>
      <x:c r="AC35" s="17" t="n">
        <x:f>IF('Control Room'!$B$5="Normal",'Control Room'!$B$7+'Control Room'!$D$7*SQRT(-2*LN(MAX(0.000000000001,AA35/2147483647)))*COS(2*PI()*AB35/2147483647),'Control Room'!$B$8+('Control Room'!$D$8-'Control Room'!$B$8)*AA35/2147483647)</x:f>
        <x:v>1111.099963764869</x:v>
      </x:c>
      <x:c r="AD35" s="17" t="n">
        <x:f>IF('Control Room'!$B$5="Normal",'Control Room'!$B$7,('Control Room'!$B$8+'Control Room'!$D$8)/2)+'Control Room'!$B$9*(AD34-IF('Control Room'!$B$5="Normal",'Control Room'!$B$7,('Control Room'!$B$8+'Control Room'!$D$8)/2))+SQRT(1-'Control Room'!$B$9^2)*(AC35-IF('Control Room'!$B$5="Normal",'Control Room'!$B$7,('Control Room'!$B$8+'Control Room'!$D$8)/2))</x:f>
        <x:v>1025.0178217891053</x:v>
      </x:c>
      <x:c r="AE35" s="17" t="n">
        <x:f>IF(AND($A35&gt;='Control Room'!$A$13,$A35&lt;'Control Room'!$A$13+'Control Room'!$B$13,'Process'!BP2=1),1+('Control Room'!$C$13-1)*EXP(-0.5*(($A35-'Control Room'!$A$13-('Control Room'!$B$13-1)/2)/MAX(0.5,'Control Room'!$B$13/4))^2),1)*IF(AND($A35&gt;='Control Room'!$A$14,$A35&lt;'Control Room'!$A$14+'Control Room'!$B$14,'Process'!BP3=1),1+('Control Room'!$C$14-1)*EXP(-0.5*(($A35-'Control Room'!$A$14-('Control Room'!$B$14-1)/2)/MAX(0.5,'Control Room'!$B$14/4))^2),1)*IF(AND($A35&gt;='Control Room'!$A$15,$A35&lt;'Control Room'!$A$15+'Control Room'!$B$15,'Process'!BP4=1),1+('Control Room'!$C$15-1)*EXP(-0.5*(($A35-'Control Room'!$A$15-('Control Room'!$B$15-1)/2)/MAX(0.5,'Control Room'!$B$15/4))^2),1)*IF(AND($A35&gt;='Control Room'!$A$16,$A35&lt;'Control Room'!$A$16+'Control Room'!$B$16,'Process'!BP5=1),1+('Control Room'!$C$16-1)*EXP(-0.5*(($A35-'Control Room'!$A$16-('Control Room'!$B$16-1)/2)/MAX(0.5,'Control Room'!$B$16/4))^2),1)</x:f>
        <x:v>1</x:v>
      </x:c>
      <x:c r="AF35" s="9" t="n">
        <x:f>MOD(AG34*16807,2147483647)</x:f>
        <x:v>1105412731</x:v>
      </x:c>
      <x:c r="AG35" s="9" t="n">
        <x:f>MOD(AF35*16807,2147483647)</x:f>
        <x:v>790739720</x:v>
      </x:c>
      <x:c r="AH35" s="17" t="n">
        <x:f>IF('Control Room'!$B$5="Normal",'Control Room'!$B$7+'Control Room'!$D$7*SQRT(-2*LN(MAX(0.000000000001,AF35/2147483647)))*COS(2*PI()*AG35/2147483647),'Control Room'!$B$8+('Control Room'!$D$8-'Control Room'!$B$8)*AF35/2147483647)</x:f>
        <x:v>929.8495754274929</x:v>
      </x:c>
      <x:c r="AI35" s="17" t="n">
        <x:f>IF('Control Room'!$B$5="Normal",'Control Room'!$B$7,('Control Room'!$B$8+'Control Room'!$D$8)/2)+'Control Room'!$B$9*(AI34-IF('Control Room'!$B$5="Normal",'Control Room'!$B$7,('Control Room'!$B$8+'Control Room'!$D$8)/2))+SQRT(1-'Control Room'!$B$9^2)*(AH35-IF('Control Room'!$B$5="Normal",'Control Room'!$B$7,('Control Room'!$B$8+'Control Room'!$D$8)/2))</x:f>
        <x:v>866.7626420429888</x:v>
      </x:c>
      <x:c r="AJ35" s="17" t="n">
        <x:f>IF(AND($A35&gt;='Control Room'!$A$13,$A35&lt;'Control Room'!$A$13+'Control Room'!$B$13,'Process'!BQ2=1),1+('Control Room'!$C$13-1)*EXP(-0.5*(($A35-'Control Room'!$A$13-('Control Room'!$B$13-1)/2)/MAX(0.5,'Control Room'!$B$13/4))^2),1)*IF(AND($A35&gt;='Control Room'!$A$14,$A35&lt;'Control Room'!$A$14+'Control Room'!$B$14,'Process'!BQ3=1),1+('Control Room'!$C$14-1)*EXP(-0.5*(($A35-'Control Room'!$A$14-('Control Room'!$B$14-1)/2)/MAX(0.5,'Control Room'!$B$14/4))^2),1)*IF(AND($A35&gt;='Control Room'!$A$15,$A35&lt;'Control Room'!$A$15+'Control Room'!$B$15,'Process'!BQ4=1),1+('Control Room'!$C$15-1)*EXP(-0.5*(($A35-'Control Room'!$A$15-('Control Room'!$B$15-1)/2)/MAX(0.5,'Control Room'!$B$15/4))^2),1)*IF(AND($A35&gt;='Control Room'!$A$16,$A35&lt;'Control Room'!$A$16+'Control Room'!$B$16,'Process'!BQ5=1),1+('Control Room'!$C$16-1)*EXP(-0.5*(($A35-'Control Room'!$A$16-('Control Room'!$B$16-1)/2)/MAX(0.5,'Control Room'!$B$16/4))^2),1)</x:f>
        <x:v>1</x:v>
      </x:c>
      <x:c r="AK35" s="9" t="n">
        <x:f>MOD(AL34*16807,2147483647)</x:f>
        <x:v>1208700133</x:v>
      </x:c>
      <x:c r="AL35" s="9" t="n">
        <x:f>MOD(AK35*16807,2147483647)</x:f>
        <x:v>1575318358</x:v>
      </x:c>
      <x:c r="AM35" s="17" t="n">
        <x:f>IF('Control Room'!$B$5="Normal",'Control Room'!$B$7+'Control Room'!$D$7*SQRT(-2*LN(MAX(0.000000000001,AK35/2147483647)))*COS(2*PI()*AL35/2147483647),'Control Room'!$B$8+('Control Room'!$D$8-'Control Room'!$B$8)*AK35/2147483647)</x:f>
        <x:v>990.0532580599353</x:v>
      </x:c>
      <x:c r="AN35" s="17" t="n">
        <x:f>IF('Control Room'!$B$5="Normal",'Control Room'!$B$7,('Control Room'!$B$8+'Control Room'!$D$8)/2)+'Control Room'!$B$9*(AN34-IF('Control Room'!$B$5="Normal",'Control Room'!$B$7,('Control Room'!$B$8+'Control Room'!$D$8)/2))+SQRT(1-'Control Room'!$B$9^2)*(AM35-IF('Control Room'!$B$5="Normal",'Control Room'!$B$7,('Control Room'!$B$8+'Control Room'!$D$8)/2))</x:f>
        <x:v>976.9923110098205</x:v>
      </x:c>
      <x:c r="AO35" s="17" t="n">
        <x:f>IF(AND($A35&gt;='Control Room'!$A$13,$A35&lt;'Control Room'!$A$13+'Control Room'!$B$13,'Process'!BR2=1),1+('Control Room'!$C$13-1)*EXP(-0.5*(($A35-'Control Room'!$A$13-('Control Room'!$B$13-1)/2)/MAX(0.5,'Control Room'!$B$13/4))^2),1)*IF(AND($A35&gt;='Control Room'!$A$14,$A35&lt;'Control Room'!$A$14+'Control Room'!$B$14,'Process'!BR3=1),1+('Control Room'!$C$14-1)*EXP(-0.5*(($A35-'Control Room'!$A$14-('Control Room'!$B$14-1)/2)/MAX(0.5,'Control Room'!$B$14/4))^2),1)*IF(AND($A35&gt;='Control Room'!$A$15,$A35&lt;'Control Room'!$A$15+'Control Room'!$B$15,'Process'!BR4=1),1+('Control Room'!$C$15-1)*EXP(-0.5*(($A35-'Control Room'!$A$15-('Control Room'!$B$15-1)/2)/MAX(0.5,'Control Room'!$B$15/4))^2),1)*IF(AND($A35&gt;='Control Room'!$A$16,$A35&lt;'Control Room'!$A$16+'Control Room'!$B$16,'Process'!BR5=1),1+('Control Room'!$C$16-1)*EXP(-0.5*(($A35-'Control Room'!$A$16-('Control Room'!$B$16-1)/2)/MAX(0.5,'Control Room'!$B$16/4))^2),1)</x:f>
        <x:v>1</x:v>
      </x:c>
      <x:c r="AP35" s="9" t="n">
        <x:f>MOD(AQ34*16807,2147483647)</x:f>
        <x:v>1311987535</x:v>
      </x:c>
      <x:c r="AQ35" s="9" t="n">
        <x:f>MOD(AP35*16807,2147483647)</x:f>
        <x:v>212413349</x:v>
      </x:c>
      <x:c r="AR35" s="17" t="n">
        <x:f>IF('Control Room'!$B$5="Normal",'Control Room'!$B$7+'Control Room'!$D$7*SQRT(-2*LN(MAX(0.000000000001,AP35/2147483647)))*COS(2*PI()*AQ35/2147483647),'Control Room'!$B$8+('Control Room'!$D$8-'Control Room'!$B$8)*AP35/2147483647)</x:f>
        <x:v>1072.6390727400374</x:v>
      </x:c>
      <x:c r="AS35" s="17" t="n">
        <x:f>IF('Control Room'!$B$5="Normal",'Control Room'!$B$7,('Control Room'!$B$8+'Control Room'!$D$8)/2)+'Control Room'!$B$9*(AS34-IF('Control Room'!$B$5="Normal",'Control Room'!$B$7,('Control Room'!$B$8+'Control Room'!$D$8)/2))+SQRT(1-'Control Room'!$B$9^2)*(AR35-IF('Control Room'!$B$5="Normal",'Control Room'!$B$7,('Control Room'!$B$8+'Control Room'!$D$8)/2))</x:f>
        <x:v>1048.4960403335556</x:v>
      </x:c>
      <x:c r="AT35" s="17" t="n">
        <x:f>IF(AND($A35&gt;='Control Room'!$A$13,$A35&lt;'Control Room'!$A$13+'Control Room'!$B$13,'Process'!BS2=1),1+('Control Room'!$C$13-1)*EXP(-0.5*(($A35-'Control Room'!$A$13-('Control Room'!$B$13-1)/2)/MAX(0.5,'Control Room'!$B$13/4))^2),1)*IF(AND($A35&gt;='Control Room'!$A$14,$A35&lt;'Control Room'!$A$14+'Control Room'!$B$14,'Process'!BS3=1),1+('Control Room'!$C$14-1)*EXP(-0.5*(($A35-'Control Room'!$A$14-('Control Room'!$B$14-1)/2)/MAX(0.5,'Control Room'!$B$14/4))^2),1)*IF(AND($A35&gt;='Control Room'!$A$15,$A35&lt;'Control Room'!$A$15+'Control Room'!$B$15,'Process'!BS4=1),1+('Control Room'!$C$15-1)*EXP(-0.5*(($A35-'Control Room'!$A$15-('Control Room'!$B$15-1)/2)/MAX(0.5,'Control Room'!$B$15/4))^2),1)*IF(AND($A35&gt;='Control Room'!$A$16,$A35&lt;'Control Room'!$A$16+'Control Room'!$B$16,'Process'!BS5=1),1+('Control Room'!$C$16-1)*EXP(-0.5*(($A35-'Control Room'!$A$16-('Control Room'!$B$16-1)/2)/MAX(0.5,'Control Room'!$B$16/4))^2),1)</x:f>
        <x:v>1</x:v>
      </x:c>
      <x:c r="AU35" s="9" t="n">
        <x:f>MOD(AV34*16807,2147483647)</x:f>
        <x:v>1415274937</x:v>
      </x:c>
      <x:c r="AV35" s="9" t="n">
        <x:f>MOD(AU35*16807,2147483647)</x:f>
        <x:v>996991987</x:v>
      </x:c>
      <x:c r="AW35" s="17" t="n">
        <x:f>IF('Control Room'!$B$5="Normal",'Control Room'!$B$7+'Control Room'!$D$7*SQRT(-2*LN(MAX(0.000000000001,AU35/2147483647)))*COS(2*PI()*AV35/2147483647),'Control Room'!$B$8+('Control Room'!$D$8-'Control Room'!$B$8)*AU35/2147483647)</x:f>
        <x:v>919.8749550690151</x:v>
      </x:c>
      <x:c r="AX35" s="17" t="n">
        <x:f>IF('Control Room'!$B$5="Normal",'Control Room'!$B$7,('Control Room'!$B$8+'Control Room'!$D$8)/2)+'Control Room'!$B$9*(AX34-IF('Control Room'!$B$5="Normal",'Control Room'!$B$7,('Control Room'!$B$8+'Control Room'!$D$8)/2))+SQRT(1-'Control Room'!$B$9^2)*(AW35-IF('Control Room'!$B$5="Normal",'Control Room'!$B$7,('Control Room'!$B$8+'Control Room'!$D$8)/2))</x:f>
        <x:v>952.6422184435083</x:v>
      </x:c>
      <x:c r="AY35" s="17" t="n">
        <x:f>IF(AND($A35&gt;='Control Room'!$A$13,$A35&lt;'Control Room'!$A$13+'Control Room'!$B$13,'Process'!BT2=1),1+('Control Room'!$C$13-1)*EXP(-0.5*(($A35-'Control Room'!$A$13-('Control Room'!$B$13-1)/2)/MAX(0.5,'Control Room'!$B$13/4))^2),1)*IF(AND($A35&gt;='Control Room'!$A$14,$A35&lt;'Control Room'!$A$14+'Control Room'!$B$14,'Process'!BT3=1),1+('Control Room'!$C$14-1)*EXP(-0.5*(($A35-'Control Room'!$A$14-('Control Room'!$B$14-1)/2)/MAX(0.5,'Control Room'!$B$14/4))^2),1)*IF(AND($A35&gt;='Control Room'!$A$15,$A35&lt;'Control Room'!$A$15+'Control Room'!$B$15,'Process'!BT4=1),1+('Control Room'!$C$15-1)*EXP(-0.5*(($A35-'Control Room'!$A$15-('Control Room'!$B$15-1)/2)/MAX(0.5,'Control Room'!$B$15/4))^2),1)*IF(AND($A35&gt;='Control Room'!$A$16,$A35&lt;'Control Room'!$A$16+'Control Room'!$B$16,'Process'!BT5=1),1+('Control Room'!$C$16-1)*EXP(-0.5*(($A35-'Control Room'!$A$16-('Control Room'!$B$16-1)/2)/MAX(0.5,'Control Room'!$B$16/4))^2),1)</x:f>
        <x:v>1</x:v>
      </x:c>
      <x:c r="AZ35" s="9" t="n">
        <x:f>MOD(BA34*16807,2147483647)</x:f>
        <x:v>1518562339</x:v>
      </x:c>
      <x:c r="BA35" s="9" t="n">
        <x:f>MOD(AZ35*16807,2147483647)</x:f>
        <x:v>1781570625</x:v>
      </x:c>
      <x:c r="BB35" s="17" t="n">
        <x:f>IF('Control Room'!$B$5="Normal",'Control Room'!$B$7+'Control Room'!$D$7*SQRT(-2*LN(MAX(0.000000000001,AZ35/2147483647)))*COS(2*PI()*BA35/2147483647),'Control Room'!$B$8+('Control Room'!$D$8-'Control Room'!$B$8)*AZ35/2147483647)</x:f>
        <x:v>1035.934002179993</x:v>
      </x:c>
      <x:c r="BC35" s="17" t="n">
        <x:f>IF('Control Room'!$B$5="Normal",'Control Room'!$B$7,('Control Room'!$B$8+'Control Room'!$D$8)/2)+'Control Room'!$B$9*(BC34-IF('Control Room'!$B$5="Normal",'Control Room'!$B$7,('Control Room'!$B$8+'Control Room'!$D$8)/2))+SQRT(1-'Control Room'!$B$9^2)*(BB35-IF('Control Room'!$B$5="Normal",'Control Room'!$B$7,('Control Room'!$B$8+'Control Room'!$D$8)/2))</x:f>
        <x:v>993.3488408013416</x:v>
      </x:c>
      <x:c r="BD35" s="17" t="n">
        <x:f>IF(AND($A35&gt;='Control Room'!$A$13,$A35&lt;'Control Room'!$A$13+'Control Room'!$B$13,'Process'!BU2=1),1+('Control Room'!$C$13-1)*EXP(-0.5*(($A35-'Control Room'!$A$13-('Control Room'!$B$13-1)/2)/MAX(0.5,'Control Room'!$B$13/4))^2),1)*IF(AND($A35&gt;='Control Room'!$A$14,$A35&lt;'Control Room'!$A$14+'Control Room'!$B$14,'Process'!BU3=1),1+('Control Room'!$C$14-1)*EXP(-0.5*(($A35-'Control Room'!$A$14-('Control Room'!$B$14-1)/2)/MAX(0.5,'Control Room'!$B$14/4))^2),1)*IF(AND($A35&gt;='Control Room'!$A$15,$A35&lt;'Control Room'!$A$15+'Control Room'!$B$15,'Process'!BU4=1),1+('Control Room'!$C$15-1)*EXP(-0.5*(($A35-'Control Room'!$A$15-('Control Room'!$B$15-1)/2)/MAX(0.5,'Control Room'!$B$15/4))^2),1)*IF(AND($A35&gt;='Control Room'!$A$16,$A35&lt;'Control Room'!$A$16+'Control Room'!$B$16,'Process'!BU5=1),1+('Control Room'!$C$16-1)*EXP(-0.5*(($A35-'Control Room'!$A$16-('Control Room'!$B$16-1)/2)/MAX(0.5,'Control Room'!$B$16/4))^2),1)</x:f>
        <x:v>1</x:v>
      </x:c>
      <x:c r="BE35" s="9" t="n">
        <x:f>MOD(BF34*16807,2147483647)</x:f>
        <x:v>1621849741</x:v>
      </x:c>
      <x:c r="BF35" s="9" t="n">
        <x:f>MOD(BE35*16807,2147483647)</x:f>
        <x:v>418665616</x:v>
      </x:c>
      <x:c r="BG35" s="17" t="n">
        <x:f>IF('Control Room'!$B$5="Normal",'Control Room'!$B$7+'Control Room'!$D$7*SQRT(-2*LN(MAX(0.000000000001,BE35/2147483647)))*COS(2*PI()*BF35/2147483647),'Control Room'!$B$8+('Control Room'!$D$8-'Control Room'!$B$8)*BE35/2147483647)</x:f>
        <x:v>1022.8610333709657</x:v>
      </x:c>
      <x:c r="BH35" s="17" t="n">
        <x:f>IF('Control Room'!$B$5="Normal",'Control Room'!$B$7,('Control Room'!$B$8+'Control Room'!$D$8)/2)+'Control Room'!$B$9*(BH34-IF('Control Room'!$B$5="Normal",'Control Room'!$B$7,('Control Room'!$B$8+'Control Room'!$D$8)/2))+SQRT(1-'Control Room'!$B$9^2)*(BG35-IF('Control Room'!$B$5="Normal",'Control Room'!$B$7,('Control Room'!$B$8+'Control Room'!$D$8)/2))</x:f>
        <x:v>952.1301220945488</x:v>
      </x:c>
      <x:c r="BI35" s="17" t="n">
        <x:f>IF(AND($A35&gt;='Control Room'!$A$13,$A35&lt;'Control Room'!$A$13+'Control Room'!$B$13,'Process'!BV2=1),1+('Control Room'!$C$13-1)*EXP(-0.5*(($A35-'Control Room'!$A$13-('Control Room'!$B$13-1)/2)/MAX(0.5,'Control Room'!$B$13/4))^2),1)*IF(AND($A35&gt;='Control Room'!$A$14,$A35&lt;'Control Room'!$A$14+'Control Room'!$B$14,'Process'!BV3=1),1+('Control Room'!$C$14-1)*EXP(-0.5*(($A35-'Control Room'!$A$14-('Control Room'!$B$14-1)/2)/MAX(0.5,'Control Room'!$B$14/4))^2),1)*IF(AND($A35&gt;='Control Room'!$A$15,$A35&lt;'Control Room'!$A$15+'Control Room'!$B$15,'Process'!BV4=1),1+('Control Room'!$C$15-1)*EXP(-0.5*(($A35-'Control Room'!$A$15-('Control Room'!$B$15-1)/2)/MAX(0.5,'Control Room'!$B$15/4))^2),1)*IF(AND($A35&gt;='Control Room'!$A$16,$A35&lt;'Control Room'!$A$16+'Control Room'!$B$16,'Process'!BV5=1),1+('Control Room'!$C$16-1)*EXP(-0.5*(($A35-'Control Room'!$A$16-('Control Room'!$B$16-1)/2)/MAX(0.5,'Control Room'!$B$16/4))^2),1)</x:f>
        <x:v>1</x:v>
      </x:c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Z35" t="str">
        <x:f>IF('Data'!A35="","",TEXT('Data'!A35,"mm-dd"))</x:f>
        <x:v>12-05</x:v>
      </x:c>
    </x:row>
    <x:row r="36" ht="21" customHeight="1">
      <x:c r="A36" s="15" t="n">
        <x:f>'Control Room'!$B$1+34</x:f>
        <x:v>73025</x:v>
      </x:c>
      <x:c r="B36" s="9" t="n">
        <x:f>MOD(C35*16807,2147483647)</x:f>
        <x:v>447175982</x:v>
      </x:c>
      <x:c r="C36" s="9" t="n">
        <x:f>MOD(B36*16807,2147483647)</x:f>
        <x:v>1641448621</x:v>
      </x:c>
      <x:c r="D36" s="17" t="n">
        <x:f>IF('Control Room'!$B$5="Normal",'Control Room'!$B$7+'Control Room'!$D$7*SQRT(-2*LN(MAX(0.000000000001,B36/2147483647)))*COS(2*PI()*C36/2147483647),'Control Room'!$B$8+('Control Room'!$D$8-'Control Room'!$B$8)*B36/2147483647)</x:f>
        <x:v>1014.3648100691888</x:v>
      </x:c>
      <x:c r="E36" s="17" t="n">
        <x:f>IF('Control Room'!$B$5="Normal",'Control Room'!$B$7,('Control Room'!$B$8+'Control Room'!$D$8)/2)+'Control Room'!$B$9*(E35-IF('Control Room'!$B$5="Normal",'Control Room'!$B$7,('Control Room'!$B$8+'Control Room'!$D$8)/2))+SQRT(1-'Control Room'!$B$9^2)*(D36-IF('Control Room'!$B$5="Normal",'Control Room'!$B$7,('Control Room'!$B$8+'Control Room'!$D$8)/2))</x:f>
        <x:v>933.0875911255872</x:v>
      </x:c>
      <x:c r="F36" s="17" t="n">
        <x:f>IF(AND($A36&gt;='Control Room'!$A$13,$A36&lt;'Control Room'!$A$13+'Control Room'!$B$13,'Process'!BK2=1),1+('Control Room'!$C$13-1)*EXP(-0.5*(($A36-'Control Room'!$A$13-('Control Room'!$B$13-1)/2)/MAX(0.5,'Control Room'!$B$13/4))^2),1)*IF(AND($A36&gt;='Control Room'!$A$14,$A36&lt;'Control Room'!$A$14+'Control Room'!$B$14,'Process'!BK3=1),1+('Control Room'!$C$14-1)*EXP(-0.5*(($A36-'Control Room'!$A$14-('Control Room'!$B$14-1)/2)/MAX(0.5,'Control Room'!$B$14/4))^2),1)*IF(AND($A36&gt;='Control Room'!$A$15,$A36&lt;'Control Room'!$A$15+'Control Room'!$B$15,'Process'!BK4=1),1+('Control Room'!$C$15-1)*EXP(-0.5*(($A36-'Control Room'!$A$15-('Control Room'!$B$15-1)/2)/MAX(0.5,'Control Room'!$B$15/4))^2),1)*IF(AND($A36&gt;='Control Room'!$A$16,$A36&lt;'Control Room'!$A$16+'Control Room'!$B$16,'Process'!BK5=1),1+('Control Room'!$C$16-1)*EXP(-0.5*(($A36-'Control Room'!$A$16-('Control Room'!$B$16-1)/2)/MAX(0.5,'Control Room'!$B$16/4))^2),1)</x:f>
        <x:v>1</x:v>
      </x:c>
      <x:c r="G36" s="9" t="n">
        <x:f>MOD(H35*16807,2147483647)</x:f>
        <x:v>1310752268</x:v>
      </x:c>
      <x:c r="H36" s="9" t="n">
        <x:f>MOD(G36*16807,2147483647)</x:f>
        <x:v>926117350</x:v>
      </x:c>
      <x:c r="I36" s="17" t="n">
        <x:f>IF('Control Room'!$B$5="Normal",'Control Room'!$B$7+'Control Room'!$D$7*SQRT(-2*LN(MAX(0.000000000001,G36/2147483647)))*COS(2*PI()*H36/2147483647),'Control Room'!$B$8+('Control Room'!$D$8-'Control Room'!$B$8)*G36/2147483647)</x:f>
        <x:v>918.7823848035273</x:v>
      </x:c>
      <x:c r="J36" s="17" t="n">
        <x:f>IF('Control Room'!$B$5="Normal",'Control Room'!$B$7,('Control Room'!$B$8+'Control Room'!$D$8)/2)+'Control Room'!$B$9*(J35-IF('Control Room'!$B$5="Normal",'Control Room'!$B$7,('Control Room'!$B$8+'Control Room'!$D$8)/2))+SQRT(1-'Control Room'!$B$9^2)*(I36-IF('Control Room'!$B$5="Normal",'Control Room'!$B$7,('Control Room'!$B$8+'Control Room'!$D$8)/2))</x:f>
        <x:v>889.595144466169</x:v>
      </x:c>
      <x:c r="K36" s="17" t="n">
        <x:f>IF(AND($A36&gt;='Control Room'!$A$13,$A36&lt;'Control Room'!$A$13+'Control Room'!$B$13,'Process'!BL2=1),1+('Control Room'!$C$13-1)*EXP(-0.5*(($A36-'Control Room'!$A$13-('Control Room'!$B$13-1)/2)/MAX(0.5,'Control Room'!$B$13/4))^2),1)*IF(AND($A36&gt;='Control Room'!$A$14,$A36&lt;'Control Room'!$A$14+'Control Room'!$B$14,'Process'!BL3=1),1+('Control Room'!$C$14-1)*EXP(-0.5*(($A36-'Control Room'!$A$14-('Control Room'!$B$14-1)/2)/MAX(0.5,'Control Room'!$B$14/4))^2),1)*IF(AND($A36&gt;='Control Room'!$A$15,$A36&lt;'Control Room'!$A$15+'Control Room'!$B$15,'Process'!BL4=1),1+('Control Room'!$C$15-1)*EXP(-0.5*(($A36-'Control Room'!$A$15-('Control Room'!$B$15-1)/2)/MAX(0.5,'Control Room'!$B$15/4))^2),1)*IF(AND($A36&gt;='Control Room'!$A$16,$A36&lt;'Control Room'!$A$16+'Control Room'!$B$16,'Process'!BL5=1),1+('Control Room'!$C$16-1)*EXP(-0.5*(($A36-'Control Room'!$A$16-('Control Room'!$B$16-1)/2)/MAX(0.5,'Control Room'!$B$16/4))^2),1)</x:f>
        <x:v>1</x:v>
      </x:c>
      <x:c r="L36" s="9" t="n">
        <x:f>MOD(M35*16807,2147483647)</x:f>
        <x:v>26844907</x:v>
      </x:c>
      <x:c r="M36" s="9" t="n">
        <x:f>MOD(L36*16807,2147483647)</x:f>
        <x:v>210786079</x:v>
      </x:c>
      <x:c r="N36" s="17" t="n">
        <x:f>IF('Control Room'!$B$5="Normal",'Control Room'!$B$7+'Control Room'!$D$7*SQRT(-2*LN(MAX(0.000000000001,L36/2147483647)))*COS(2*PI()*M36/2147483647),'Control Room'!$B$8+('Control Room'!$D$8-'Control Room'!$B$8)*L36/2147483647)</x:f>
        <x:v>1217.3520707474995</x:v>
      </x:c>
      <x:c r="O36" s="17" t="n">
        <x:f>IF('Control Room'!$B$5="Normal",'Control Room'!$B$7,('Control Room'!$B$8+'Control Room'!$D$8)/2)+'Control Room'!$B$9*(O35-IF('Control Room'!$B$5="Normal",'Control Room'!$B$7,('Control Room'!$B$8+'Control Room'!$D$8)/2))+SQRT(1-'Control Room'!$B$9^2)*(N36-IF('Control Room'!$B$5="Normal",'Control Room'!$B$7,('Control Room'!$B$8+'Control Room'!$D$8)/2))</x:f>
        <x:v>1201.492997422422</x:v>
      </x:c>
      <x:c r="P36" s="17" t="n">
        <x:f>IF(AND($A36&gt;='Control Room'!$A$13,$A36&lt;'Control Room'!$A$13+'Control Room'!$B$13,'Process'!BM2=1),1+('Control Room'!$C$13-1)*EXP(-0.5*(($A36-'Control Room'!$A$13-('Control Room'!$B$13-1)/2)/MAX(0.5,'Control Room'!$B$13/4))^2),1)*IF(AND($A36&gt;='Control Room'!$A$14,$A36&lt;'Control Room'!$A$14+'Control Room'!$B$14,'Process'!BM3=1),1+('Control Room'!$C$14-1)*EXP(-0.5*(($A36-'Control Room'!$A$14-('Control Room'!$B$14-1)/2)/MAX(0.5,'Control Room'!$B$14/4))^2),1)*IF(AND($A36&gt;='Control Room'!$A$15,$A36&lt;'Control Room'!$A$15+'Control Room'!$B$15,'Process'!BM4=1),1+('Control Room'!$C$15-1)*EXP(-0.5*(($A36-'Control Room'!$A$15-('Control Room'!$B$15-1)/2)/MAX(0.5,'Control Room'!$B$15/4))^2),1)*IF(AND($A36&gt;='Control Room'!$A$16,$A36&lt;'Control Room'!$A$16+'Control Room'!$B$16,'Process'!BM5=1),1+('Control Room'!$C$16-1)*EXP(-0.5*(($A36-'Control Room'!$A$16-('Control Room'!$B$16-1)/2)/MAX(0.5,'Control Room'!$B$16/4))^2),1)</x:f>
        <x:v>1</x:v>
      </x:c>
      <x:c r="Q36" s="9" t="n">
        <x:f>MOD(R35*16807,2147483647)</x:f>
        <x:v>890421193</x:v>
      </x:c>
      <x:c r="R36" s="9" t="n">
        <x:f>MOD(Q36*16807,2147483647)</x:f>
        <x:v>1642938455</x:v>
      </x:c>
      <x:c r="S36" s="17" t="n">
        <x:f>IF('Control Room'!$B$5="Normal",'Control Room'!$B$7+'Control Room'!$D$7*SQRT(-2*LN(MAX(0.000000000001,Q36/2147483647)))*COS(2*PI()*R36/2147483647),'Control Room'!$B$8+('Control Room'!$D$8-'Control Room'!$B$8)*Q36/2147483647)</x:f>
        <x:v>1011.2781419054184</x:v>
      </x:c>
      <x:c r="T36" s="17" t="n">
        <x:f>IF('Control Room'!$B$5="Normal",'Control Room'!$B$7,('Control Room'!$B$8+'Control Room'!$D$8)/2)+'Control Room'!$B$9*(T35-IF('Control Room'!$B$5="Normal",'Control Room'!$B$7,('Control Room'!$B$8+'Control Room'!$D$8)/2))+SQRT(1-'Control Room'!$B$9^2)*(S36-IF('Control Room'!$B$5="Normal",'Control Room'!$B$7,('Control Room'!$B$8+'Control Room'!$D$8)/2))</x:f>
        <x:v>983.9809217167891</x:v>
      </x:c>
      <x:c r="U36" s="17" t="n">
        <x:f>IF(AND($A36&gt;='Control Room'!$A$13,$A36&lt;'Control Room'!$A$13+'Control Room'!$B$13,'Process'!BN2=1),1+('Control Room'!$C$13-1)*EXP(-0.5*(($A36-'Control Room'!$A$13-('Control Room'!$B$13-1)/2)/MAX(0.5,'Control Room'!$B$13/4))^2),1)*IF(AND($A36&gt;='Control Room'!$A$14,$A36&lt;'Control Room'!$A$14+'Control Room'!$B$14,'Process'!BN3=1),1+('Control Room'!$C$14-1)*EXP(-0.5*(($A36-'Control Room'!$A$14-('Control Room'!$B$14-1)/2)/MAX(0.5,'Control Room'!$B$14/4))^2),1)*IF(AND($A36&gt;='Control Room'!$A$15,$A36&lt;'Control Room'!$A$15+'Control Room'!$B$15,'Process'!BN4=1),1+('Control Room'!$C$15-1)*EXP(-0.5*(($A36-'Control Room'!$A$15-('Control Room'!$B$15-1)/2)/MAX(0.5,'Control Room'!$B$15/4))^2),1)*IF(AND($A36&gt;='Control Room'!$A$16,$A36&lt;'Control Room'!$A$16+'Control Room'!$B$16,'Process'!BN5=1),1+('Control Room'!$C$16-1)*EXP(-0.5*(($A36-'Control Room'!$A$16-('Control Room'!$B$16-1)/2)/MAX(0.5,'Control Room'!$B$16/4))^2),1)</x:f>
        <x:v>1</x:v>
      </x:c>
      <x:c r="V36" s="9" t="n">
        <x:f>MOD(W35*16807,2147483647)</x:f>
        <x:v>1753997479</x:v>
      </x:c>
      <x:c r="W36" s="9" t="n">
        <x:f>MOD(V36*16807,2147483647)</x:f>
        <x:v>927607184</x:v>
      </x:c>
      <x:c r="X36" s="17" t="n">
        <x:f>IF('Control Room'!$B$5="Normal",'Control Room'!$B$7+'Control Room'!$D$7*SQRT(-2*LN(MAX(0.000000000001,V36/2147483647)))*COS(2*PI()*W36/2147483647),'Control Room'!$B$8+('Control Room'!$D$8-'Control Room'!$B$8)*V36/2147483647)</x:f>
        <x:v>947.8933958742798</x:v>
      </x:c>
      <x:c r="Y36" s="17" t="n">
        <x:f>IF('Control Room'!$B$5="Normal",'Control Room'!$B$7,('Control Room'!$B$8+'Control Room'!$D$8)/2)+'Control Room'!$B$9*(Y35-IF('Control Room'!$B$5="Normal",'Control Room'!$B$7,('Control Room'!$B$8+'Control Room'!$D$8)/2))+SQRT(1-'Control Room'!$B$9^2)*(X36-IF('Control Room'!$B$5="Normal",'Control Room'!$B$7,('Control Room'!$B$8+'Control Room'!$D$8)/2))</x:f>
        <x:v>975.0649927707193</x:v>
      </x:c>
      <x:c r="Z36" s="17" t="n">
        <x:f>IF(AND($A36&gt;='Control Room'!$A$13,$A36&lt;'Control Room'!$A$13+'Control Room'!$B$13,'Process'!BO2=1),1+('Control Room'!$C$13-1)*EXP(-0.5*(($A36-'Control Room'!$A$13-('Control Room'!$B$13-1)/2)/MAX(0.5,'Control Room'!$B$13/4))^2),1)*IF(AND($A36&gt;='Control Room'!$A$14,$A36&lt;'Control Room'!$A$14+'Control Room'!$B$14,'Process'!BO3=1),1+('Control Room'!$C$14-1)*EXP(-0.5*(($A36-'Control Room'!$A$14-('Control Room'!$B$14-1)/2)/MAX(0.5,'Control Room'!$B$14/4))^2),1)*IF(AND($A36&gt;='Control Room'!$A$15,$A36&lt;'Control Room'!$A$15+'Control Room'!$B$15,'Process'!BO4=1),1+('Control Room'!$C$15-1)*EXP(-0.5*(($A36-'Control Room'!$A$15-('Control Room'!$B$15-1)/2)/MAX(0.5,'Control Room'!$B$15/4))^2),1)*IF(AND($A36&gt;='Control Room'!$A$16,$A36&lt;'Control Room'!$A$16+'Control Room'!$B$16,'Process'!BO5=1),1+('Control Room'!$C$16-1)*EXP(-0.5*(($A36-'Control Room'!$A$16-('Control Room'!$B$16-1)/2)/MAX(0.5,'Control Room'!$B$16/4))^2),1)</x:f>
        <x:v>1</x:v>
      </x:c>
      <x:c r="AA36" s="9" t="n">
        <x:f>MOD(AB35*16807,2147483647)</x:f>
        <x:v>470090118</x:v>
      </x:c>
      <x:c r="AB36" s="9" t="n">
        <x:f>MOD(AA36*16807,2147483647)</x:f>
        <x:v>212275913</x:v>
      </x:c>
      <x:c r="AC36" s="17" t="n">
        <x:f>IF('Control Room'!$B$5="Normal",'Control Room'!$B$7+'Control Room'!$D$7*SQRT(-2*LN(MAX(0.000000000001,AA36/2147483647)))*COS(2*PI()*AB36/2147483647),'Control Room'!$B$8+('Control Room'!$D$8-'Control Room'!$B$8)*AA36/2147483647)</x:f>
        <x:v>1127.5785159311713</x:v>
      </x:c>
      <x:c r="AD36" s="17" t="n">
        <x:f>IF('Control Room'!$B$5="Normal",'Control Room'!$B$7,('Control Room'!$B$8+'Control Room'!$D$8)/2)+'Control Room'!$B$9*(AD35-IF('Control Room'!$B$5="Normal",'Control Room'!$B$7,('Control Room'!$B$8+'Control Room'!$D$8)/2))+SQRT(1-'Control Room'!$B$9^2)*(AC36-IF('Control Room'!$B$5="Normal",'Control Room'!$B$7,('Control Room'!$B$8+'Control Room'!$D$8)/2))</x:f>
        <x:v>1099.3499226772692</x:v>
      </x:c>
      <x:c r="AE36" s="17" t="n">
        <x:f>IF(AND($A36&gt;='Control Room'!$A$13,$A36&lt;'Control Room'!$A$13+'Control Room'!$B$13,'Process'!BP2=1),1+('Control Room'!$C$13-1)*EXP(-0.5*(($A36-'Control Room'!$A$13-('Control Room'!$B$13-1)/2)/MAX(0.5,'Control Room'!$B$13/4))^2),1)*IF(AND($A36&gt;='Control Room'!$A$14,$A36&lt;'Control Room'!$A$14+'Control Room'!$B$14,'Process'!BP3=1),1+('Control Room'!$C$14-1)*EXP(-0.5*(($A36-'Control Room'!$A$14-('Control Room'!$B$14-1)/2)/MAX(0.5,'Control Room'!$B$14/4))^2),1)*IF(AND($A36&gt;='Control Room'!$A$15,$A36&lt;'Control Room'!$A$15+'Control Room'!$B$15,'Process'!BP4=1),1+('Control Room'!$C$15-1)*EXP(-0.5*(($A36-'Control Room'!$A$15-('Control Room'!$B$15-1)/2)/MAX(0.5,'Control Room'!$B$15/4))^2),1)*IF(AND($A36&gt;='Control Room'!$A$16,$A36&lt;'Control Room'!$A$16+'Control Room'!$B$16,'Process'!BP5=1),1+('Control Room'!$C$16-1)*EXP(-0.5*(($A36-'Control Room'!$A$16-('Control Room'!$B$16-1)/2)/MAX(0.5,'Control Room'!$B$16/4))^2),1)</x:f>
        <x:v>1</x:v>
      </x:c>
      <x:c r="AF36" s="9" t="n">
        <x:f>MOD(AG35*16807,2147483647)</x:f>
        <x:v>1333666404</x:v>
      </x:c>
      <x:c r="AG36" s="9" t="n">
        <x:f>MOD(AF36*16807,2147483647)</x:f>
        <x:v>1644428289</x:v>
      </x:c>
      <x:c r="AH36" s="17" t="n">
        <x:f>IF('Control Room'!$B$5="Normal",'Control Room'!$B$7+'Control Room'!$D$7*SQRT(-2*LN(MAX(0.000000000001,AF36/2147483647)))*COS(2*PI()*AG36/2147483647),'Control Room'!$B$8+('Control Room'!$D$8-'Control Room'!$B$8)*AF36/2147483647)</x:f>
        <x:v>1008.677310216124</x:v>
      </x:c>
      <x:c r="AI36" s="17" t="n">
        <x:f>IF('Control Room'!$B$5="Normal",'Control Room'!$B$7,('Control Room'!$B$8+'Control Room'!$D$8)/2)+'Control Room'!$B$9*(AI35-IF('Control Room'!$B$5="Normal",'Control Room'!$B$7,('Control Room'!$B$8+'Control Room'!$D$8)/2))+SQRT(1-'Control Room'!$B$9^2)*(AH36-IF('Control Room'!$B$5="Normal",'Control Room'!$B$7,('Control Room'!$B$8+'Control Room'!$D$8)/2))</x:f>
        <x:v>901.5049437624195</x:v>
      </x:c>
      <x:c r="AJ36" s="17" t="n">
        <x:f>IF(AND($A36&gt;='Control Room'!$A$13,$A36&lt;'Control Room'!$A$13+'Control Room'!$B$13,'Process'!BQ2=1),1+('Control Room'!$C$13-1)*EXP(-0.5*(($A36-'Control Room'!$A$13-('Control Room'!$B$13-1)/2)/MAX(0.5,'Control Room'!$B$13/4))^2),1)*IF(AND($A36&gt;='Control Room'!$A$14,$A36&lt;'Control Room'!$A$14+'Control Room'!$B$14,'Process'!BQ3=1),1+('Control Room'!$C$14-1)*EXP(-0.5*(($A36-'Control Room'!$A$14-('Control Room'!$B$14-1)/2)/MAX(0.5,'Control Room'!$B$14/4))^2),1)*IF(AND($A36&gt;='Control Room'!$A$15,$A36&lt;'Control Room'!$A$15+'Control Room'!$B$15,'Process'!BQ4=1),1+('Control Room'!$C$15-1)*EXP(-0.5*(($A36-'Control Room'!$A$15-('Control Room'!$B$15-1)/2)/MAX(0.5,'Control Room'!$B$15/4))^2),1)*IF(AND($A36&gt;='Control Room'!$A$16,$A36&lt;'Control Room'!$A$16+'Control Room'!$B$16,'Process'!BQ5=1),1+('Control Room'!$C$16-1)*EXP(-0.5*(($A36-'Control Room'!$A$16-('Control Room'!$B$16-1)/2)/MAX(0.5,'Control Room'!$B$16/4))^2),1)</x:f>
        <x:v>1</x:v>
      </x:c>
      <x:c r="AK36" s="9" t="n">
        <x:f>MOD(AL35*16807,2147483647)</x:f>
        <x:v>49759043</x:v>
      </x:c>
      <x:c r="AL36" s="9" t="n">
        <x:f>MOD(AK36*16807,2147483647)</x:f>
        <x:v>929097018</x:v>
      </x:c>
      <x:c r="AM36" s="17" t="n">
        <x:f>IF('Control Room'!$B$5="Normal",'Control Room'!$B$7+'Control Room'!$D$7*SQRT(-2*LN(MAX(0.000000000001,AK36/2147483647)))*COS(2*PI()*AL36/2147483647),'Control Room'!$B$8+('Control Room'!$D$8-'Control Room'!$B$8)*AK36/2147483647)</x:f>
        <x:v>774.8249151782245</x:v>
      </x:c>
      <x:c r="AN36" s="17" t="n">
        <x:f>IF('Control Room'!$B$5="Normal",'Control Room'!$B$7,('Control Room'!$B$8+'Control Room'!$D$8)/2)+'Control Room'!$B$9*(AN35-IF('Control Room'!$B$5="Normal",'Control Room'!$B$7,('Control Room'!$B$8+'Control Room'!$D$8)/2))+SQRT(1-'Control Room'!$B$9^2)*(AM36-IF('Control Room'!$B$5="Normal",'Control Room'!$B$7,('Control Room'!$B$8+'Control Room'!$D$8)/2))</x:f>
        <x:v>841.1440474685422</x:v>
      </x:c>
      <x:c r="AO36" s="17" t="n">
        <x:f>IF(AND($A36&gt;='Control Room'!$A$13,$A36&lt;'Control Room'!$A$13+'Control Room'!$B$13,'Process'!BR2=1),1+('Control Room'!$C$13-1)*EXP(-0.5*(($A36-'Control Room'!$A$13-('Control Room'!$B$13-1)/2)/MAX(0.5,'Control Room'!$B$13/4))^2),1)*IF(AND($A36&gt;='Control Room'!$A$14,$A36&lt;'Control Room'!$A$14+'Control Room'!$B$14,'Process'!BR3=1),1+('Control Room'!$C$14-1)*EXP(-0.5*(($A36-'Control Room'!$A$14-('Control Room'!$B$14-1)/2)/MAX(0.5,'Control Room'!$B$14/4))^2),1)*IF(AND($A36&gt;='Control Room'!$A$15,$A36&lt;'Control Room'!$A$15+'Control Room'!$B$15,'Process'!BR4=1),1+('Control Room'!$C$15-1)*EXP(-0.5*(($A36-'Control Room'!$A$15-('Control Room'!$B$15-1)/2)/MAX(0.5,'Control Room'!$B$15/4))^2),1)*IF(AND($A36&gt;='Control Room'!$A$16,$A36&lt;'Control Room'!$A$16+'Control Room'!$B$16,'Process'!BR5=1),1+('Control Room'!$C$16-1)*EXP(-0.5*(($A36-'Control Room'!$A$16-('Control Room'!$B$16-1)/2)/MAX(0.5,'Control Room'!$B$16/4))^2),1)</x:f>
        <x:v>1</x:v>
      </x:c>
      <x:c r="AP36" s="9" t="n">
        <x:f>MOD(AQ35*16807,2147483647)</x:f>
        <x:v>913335329</x:v>
      </x:c>
      <x:c r="AQ36" s="9" t="n">
        <x:f>MOD(AP36*16807,2147483647)</x:f>
        <x:v>213765747</x:v>
      </x:c>
      <x:c r="AR36" s="17" t="n">
        <x:f>IF('Control Room'!$B$5="Normal",'Control Room'!$B$7+'Control Room'!$D$7*SQRT(-2*LN(MAX(0.000000000001,AP36/2147483647)))*COS(2*PI()*AQ36/2147483647),'Control Room'!$B$8+('Control Room'!$D$8-'Control Room'!$B$8)*AP36/2147483647)</x:f>
        <x:v>1095.4090683455079</x:v>
      </x:c>
      <x:c r="AS36" s="17" t="n">
        <x:f>IF('Control Room'!$B$5="Normal",'Control Room'!$B$7,('Control Room'!$B$8+'Control Room'!$D$8)/2)+'Control Room'!$B$9*(AS35-IF('Control Room'!$B$5="Normal",'Control Room'!$B$7,('Control Room'!$B$8+'Control Room'!$D$8)/2))+SQRT(1-'Control Room'!$B$9^2)*(AR36-IF('Control Room'!$B$5="Normal",'Control Room'!$B$7,('Control Room'!$B$8+'Control Room'!$D$8)/2))</x:f>
        <x:v>1097.5319518697872</x:v>
      </x:c>
      <x:c r="AT36" s="17" t="n">
        <x:f>IF(AND($A36&gt;='Control Room'!$A$13,$A36&lt;'Control Room'!$A$13+'Control Room'!$B$13,'Process'!BS2=1),1+('Control Room'!$C$13-1)*EXP(-0.5*(($A36-'Control Room'!$A$13-('Control Room'!$B$13-1)/2)/MAX(0.5,'Control Room'!$B$13/4))^2),1)*IF(AND($A36&gt;='Control Room'!$A$14,$A36&lt;'Control Room'!$A$14+'Control Room'!$B$14,'Process'!BS3=1),1+('Control Room'!$C$14-1)*EXP(-0.5*(($A36-'Control Room'!$A$14-('Control Room'!$B$14-1)/2)/MAX(0.5,'Control Room'!$B$14/4))^2),1)*IF(AND($A36&gt;='Control Room'!$A$15,$A36&lt;'Control Room'!$A$15+'Control Room'!$B$15,'Process'!BS4=1),1+('Control Room'!$C$15-1)*EXP(-0.5*(($A36-'Control Room'!$A$15-('Control Room'!$B$15-1)/2)/MAX(0.5,'Control Room'!$B$15/4))^2),1)*IF(AND($A36&gt;='Control Room'!$A$16,$A36&lt;'Control Room'!$A$16+'Control Room'!$B$16,'Process'!BS5=1),1+('Control Room'!$C$16-1)*EXP(-0.5*(($A36-'Control Room'!$A$16-('Control Room'!$B$16-1)/2)/MAX(0.5,'Control Room'!$B$16/4))^2),1)</x:f>
        <x:v>1</x:v>
      </x:c>
      <x:c r="AU36" s="9" t="n">
        <x:f>MOD(AV35*16807,2147483647)</x:f>
        <x:v>1776911615</x:v>
      </x:c>
      <x:c r="AV36" s="9" t="n">
        <x:f>MOD(AU36*16807,2147483647)</x:f>
        <x:v>1645918123</x:v>
      </x:c>
      <x:c r="AW36" s="17" t="n">
        <x:f>IF('Control Room'!$B$5="Normal",'Control Room'!$B$7+'Control Room'!$D$7*SQRT(-2*LN(MAX(0.000000000001,AU36/2147483647)))*COS(2*PI()*AV36/2147483647),'Control Room'!$B$8+('Control Room'!$D$8-'Control Room'!$B$8)*AU36/2147483647)</x:f>
        <x:v>1005.7120069682389</x:v>
      </x:c>
      <x:c r="AX36" s="17" t="n">
        <x:f>IF('Control Room'!$B$5="Normal",'Control Room'!$B$7,('Control Room'!$B$8+'Control Room'!$D$8)/2)+'Control Room'!$B$9*(AX35-IF('Control Room'!$B$5="Normal",'Control Room'!$B$7,('Control Room'!$B$8+'Control Room'!$D$8)/2))+SQRT(1-'Control Room'!$B$9^2)*(AW36-IF('Control Room'!$B$5="Normal",'Control Room'!$B$7,('Control Room'!$B$8+'Control Room'!$D$8)/2))</x:f>
        <x:v>966.6353873298372</x:v>
      </x:c>
      <x:c r="AY36" s="17" t="n">
        <x:f>IF(AND($A36&gt;='Control Room'!$A$13,$A36&lt;'Control Room'!$A$13+'Control Room'!$B$13,'Process'!BT2=1),1+('Control Room'!$C$13-1)*EXP(-0.5*(($A36-'Control Room'!$A$13-('Control Room'!$B$13-1)/2)/MAX(0.5,'Control Room'!$B$13/4))^2),1)*IF(AND($A36&gt;='Control Room'!$A$14,$A36&lt;'Control Room'!$A$14+'Control Room'!$B$14,'Process'!BT3=1),1+('Control Room'!$C$14-1)*EXP(-0.5*(($A36-'Control Room'!$A$14-('Control Room'!$B$14-1)/2)/MAX(0.5,'Control Room'!$B$14/4))^2),1)*IF(AND($A36&gt;='Control Room'!$A$15,$A36&lt;'Control Room'!$A$15+'Control Room'!$B$15,'Process'!BT4=1),1+('Control Room'!$C$15-1)*EXP(-0.5*(($A36-'Control Room'!$A$15-('Control Room'!$B$15-1)/2)/MAX(0.5,'Control Room'!$B$15/4))^2),1)*IF(AND($A36&gt;='Control Room'!$A$16,$A36&lt;'Control Room'!$A$16+'Control Room'!$B$16,'Process'!BT5=1),1+('Control Room'!$C$16-1)*EXP(-0.5*(($A36-'Control Room'!$A$16-('Control Room'!$B$16-1)/2)/MAX(0.5,'Control Room'!$B$16/4))^2),1)</x:f>
        <x:v>1</x:v>
      </x:c>
      <x:c r="AZ36" s="9" t="n">
        <x:f>MOD(BA35*16807,2147483647)</x:f>
        <x:v>493004254</x:v>
      </x:c>
      <x:c r="BA36" s="9" t="n">
        <x:f>MOD(AZ36*16807,2147483647)</x:f>
        <x:v>930586852</x:v>
      </x:c>
      <x:c r="BB36" s="17" t="n">
        <x:f>IF('Control Room'!$B$5="Normal",'Control Room'!$B$7+'Control Room'!$D$7*SQRT(-2*LN(MAX(0.000000000001,AZ36/2147483647)))*COS(2*PI()*BA36/2147483647),'Control Room'!$B$8+('Control Room'!$D$8-'Control Room'!$B$8)*AZ36/2147483647)</x:f>
        <x:v>858.9481279361254</x:v>
      </x:c>
      <x:c r="BC36" s="17" t="n">
        <x:f>IF('Control Room'!$B$5="Normal",'Control Room'!$B$7,('Control Room'!$B$8+'Control Room'!$D$8)/2)+'Control Room'!$B$9*(BC35-IF('Control Room'!$B$5="Normal",'Control Room'!$B$7,('Control Room'!$B$8+'Control Room'!$D$8)/2))+SQRT(1-'Control Room'!$B$9^2)*(BB36-IF('Control Room'!$B$5="Normal",'Control Room'!$B$7,('Control Room'!$B$8+'Control Room'!$D$8)/2))</x:f>
        <x:v>906.544723892137</x:v>
      </x:c>
      <x:c r="BD36" s="17" t="n">
        <x:f>IF(AND($A36&gt;='Control Room'!$A$13,$A36&lt;'Control Room'!$A$13+'Control Room'!$B$13,'Process'!BU2=1),1+('Control Room'!$C$13-1)*EXP(-0.5*(($A36-'Control Room'!$A$13-('Control Room'!$B$13-1)/2)/MAX(0.5,'Control Room'!$B$13/4))^2),1)*IF(AND($A36&gt;='Control Room'!$A$14,$A36&lt;'Control Room'!$A$14+'Control Room'!$B$14,'Process'!BU3=1),1+('Control Room'!$C$14-1)*EXP(-0.5*(($A36-'Control Room'!$A$14-('Control Room'!$B$14-1)/2)/MAX(0.5,'Control Room'!$B$14/4))^2),1)*IF(AND($A36&gt;='Control Room'!$A$15,$A36&lt;'Control Room'!$A$15+'Control Room'!$B$15,'Process'!BU4=1),1+('Control Room'!$C$15-1)*EXP(-0.5*(($A36-'Control Room'!$A$15-('Control Room'!$B$15-1)/2)/MAX(0.5,'Control Room'!$B$15/4))^2),1)*IF(AND($A36&gt;='Control Room'!$A$16,$A36&lt;'Control Room'!$A$16+'Control Room'!$B$16,'Process'!BU5=1),1+('Control Room'!$C$16-1)*EXP(-0.5*(($A36-'Control Room'!$A$16-('Control Room'!$B$16-1)/2)/MAX(0.5,'Control Room'!$B$16/4))^2),1)</x:f>
        <x:v>1</x:v>
      </x:c>
      <x:c r="BE36" s="9" t="n">
        <x:f>MOD(BF35*16807,2147483647)</x:f>
        <x:v>1356580540</x:v>
      </x:c>
      <x:c r="BF36" s="9" t="n">
        <x:f>MOD(BE36*16807,2147483647)</x:f>
        <x:v>215255581</x:v>
      </x:c>
      <x:c r="BG36" s="17" t="n">
        <x:f>IF('Control Room'!$B$5="Normal",'Control Room'!$B$7+'Control Room'!$D$7*SQRT(-2*LN(MAX(0.000000000001,BE36/2147483647)))*COS(2*PI()*BF36/2147483647),'Control Room'!$B$8+('Control Room'!$D$8-'Control Room'!$B$8)*BE36/2147483647)</x:f>
        <x:v>1069.7121287874852</x:v>
      </x:c>
      <x:c r="BH36" s="17" t="n">
        <x:f>IF('Control Room'!$B$5="Normal",'Control Room'!$B$7,('Control Room'!$B$8+'Control Room'!$D$8)/2)+'Control Room'!$B$9*(BH35-IF('Control Room'!$B$5="Normal",'Control Room'!$B$7,('Control Room'!$B$8+'Control Room'!$D$8)/2))+SQRT(1-'Control Room'!$B$9^2)*(BG36-IF('Control Room'!$B$5="Normal",'Control Room'!$B$7,('Control Room'!$B$8+'Control Room'!$D$8)/2))</x:f>
        <x:v>1006.2859172983723</x:v>
      </x:c>
      <x:c r="BI36" s="17" t="n">
        <x:f>IF(AND($A36&gt;='Control Room'!$A$13,$A36&lt;'Control Room'!$A$13+'Control Room'!$B$13,'Process'!BV2=1),1+('Control Room'!$C$13-1)*EXP(-0.5*(($A36-'Control Room'!$A$13-('Control Room'!$B$13-1)/2)/MAX(0.5,'Control Room'!$B$13/4))^2),1)*IF(AND($A36&gt;='Control Room'!$A$14,$A36&lt;'Control Room'!$A$14+'Control Room'!$B$14,'Process'!BV3=1),1+('Control Room'!$C$14-1)*EXP(-0.5*(($A36-'Control Room'!$A$14-('Control Room'!$B$14-1)/2)/MAX(0.5,'Control Room'!$B$14/4))^2),1)*IF(AND($A36&gt;='Control Room'!$A$15,$A36&lt;'Control Room'!$A$15+'Control Room'!$B$15,'Process'!BV4=1),1+('Control Room'!$C$15-1)*EXP(-0.5*(($A36-'Control Room'!$A$15-('Control Room'!$B$15-1)/2)/MAX(0.5,'Control Room'!$B$15/4))^2),1)*IF(AND($A36&gt;='Control Room'!$A$16,$A36&lt;'Control Room'!$A$16+'Control Room'!$B$16,'Process'!BV5=1),1+('Control Room'!$C$16-1)*EXP(-0.5*(($A36-'Control Room'!$A$16-('Control Room'!$B$16-1)/2)/MAX(0.5,'Control Room'!$B$16/4))^2),1)</x:f>
        <x:v>1</x:v>
      </x:c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Z36" t="str">
        <x:f>IF('Data'!A36="","",TEXT('Data'!A36,"mm-dd"))</x:f>
        <x:v>12-06</x:v>
      </x:c>
    </x:row>
    <x:row r="37" ht="21" customHeight="1">
      <x:c r="A37" s="15" t="n">
        <x:f>'Control Room'!$B$1+35</x:f>
        <x:v>73026</x:v>
      </x:c>
      <x:c r="B37" s="9" t="n">
        <x:f>MOD(C36*16807,2147483647)</x:f>
        <x:v>1252043785</x:v>
      </x:c>
      <x:c r="C37" s="9" t="n">
        <x:f>MOD(B37*16807,2147483647)</x:f>
        <x:v>2055121189</x:v>
      </x:c>
      <x:c r="D37" s="17" t="n">
        <x:f>IF('Control Room'!$B$5="Normal",'Control Room'!$B$7+'Control Room'!$D$7*SQRT(-2*LN(MAX(0.000000000001,B37/2147483647)))*COS(2*PI()*C37/2147483647),'Control Room'!$B$8+('Control Room'!$D$8-'Control Room'!$B$8)*B37/2147483647)</x:f>
        <x:v>1090.096173119751</x:v>
      </x:c>
      <x:c r="E37" s="17" t="n">
        <x:f>IF('Control Room'!$B$5="Normal",'Control Room'!$B$7,('Control Room'!$B$8+'Control Room'!$D$8)/2)+'Control Room'!$B$9*(E36-IF('Control Room'!$B$5="Normal",'Control Room'!$B$7,('Control Room'!$B$8+'Control Room'!$D$8)/2))+SQRT(1-'Control Room'!$B$9^2)*(D37-IF('Control Room'!$B$5="Normal",'Control Room'!$B$7,('Control Room'!$B$8+'Control Room'!$D$8)/2))</x:f>
        <x:v>1004.188660495868</x:v>
      </x:c>
      <x:c r="F37" s="17" t="n">
        <x:f>IF(AND($A37&gt;='Control Room'!$A$13,$A37&lt;'Control Room'!$A$13+'Control Room'!$B$13,'Process'!BK2=1),1+('Control Room'!$C$13-1)*EXP(-0.5*(($A37-'Control Room'!$A$13-('Control Room'!$B$13-1)/2)/MAX(0.5,'Control Room'!$B$13/4))^2),1)*IF(AND($A37&gt;='Control Room'!$A$14,$A37&lt;'Control Room'!$A$14+'Control Room'!$B$14,'Process'!BK3=1),1+('Control Room'!$C$14-1)*EXP(-0.5*(($A37-'Control Room'!$A$14-('Control Room'!$B$14-1)/2)/MAX(0.5,'Control Room'!$B$14/4))^2),1)*IF(AND($A37&gt;='Control Room'!$A$15,$A37&lt;'Control Room'!$A$15+'Control Room'!$B$15,'Process'!BK4=1),1+('Control Room'!$C$15-1)*EXP(-0.5*(($A37-'Control Room'!$A$15-('Control Room'!$B$15-1)/2)/MAX(0.5,'Control Room'!$B$15/4))^2),1)*IF(AND($A37&gt;='Control Room'!$A$16,$A37&lt;'Control Room'!$A$16+'Control Room'!$B$16,'Process'!BK5=1),1+('Control Room'!$C$16-1)*EXP(-0.5*(($A37-'Control Room'!$A$16-('Control Room'!$B$16-1)/2)/MAX(0.5,'Control Room'!$B$16/4))^2),1)</x:f>
        <x:v>1</x:v>
      </x:c>
      <x:c r="G37" s="9" t="n">
        <x:f>MOD(H36*16807,2147483647)</x:f>
        <x:v>292827994</x:v>
      </x:c>
      <x:c r="H37" s="9" t="n">
        <x:f>MOD(G37*16807,2147483647)</x:f>
        <x:v>1675059881</x:v>
      </x:c>
      <x:c r="I37" s="17" t="n">
        <x:f>IF('Control Room'!$B$5="Normal",'Control Room'!$B$7+'Control Room'!$D$7*SQRT(-2*LN(MAX(0.000000000001,G37/2147483647)))*COS(2*PI()*H37/2147483647),'Control Room'!$B$8+('Control Room'!$D$8-'Control Room'!$B$8)*G37/2147483647)</x:f>
        <x:v>1033.676742448183</x:v>
      </x:c>
      <x:c r="J37" s="17" t="n">
        <x:f>IF('Control Room'!$B$5="Normal",'Control Room'!$B$7,('Control Room'!$B$8+'Control Room'!$D$8)/2)+'Control Room'!$B$9*(J36-IF('Control Room'!$B$5="Normal",'Control Room'!$B$7,('Control Room'!$B$8+'Control Room'!$D$8)/2))+SQRT(1-'Control Room'!$B$9^2)*(I37-IF('Control Room'!$B$5="Normal",'Control Room'!$B$7,('Control Room'!$B$8+'Control Room'!$D$8)/2))</x:f>
        <x:v>934.958428202116</x:v>
      </x:c>
      <x:c r="K37" s="17" t="n">
        <x:f>IF(AND($A37&gt;='Control Room'!$A$13,$A37&lt;'Control Room'!$A$13+'Control Room'!$B$13,'Process'!BL2=1),1+('Control Room'!$C$13-1)*EXP(-0.5*(($A37-'Control Room'!$A$13-('Control Room'!$B$13-1)/2)/MAX(0.5,'Control Room'!$B$13/4))^2),1)*IF(AND($A37&gt;='Control Room'!$A$14,$A37&lt;'Control Room'!$A$14+'Control Room'!$B$14,'Process'!BL3=1),1+('Control Room'!$C$14-1)*EXP(-0.5*(($A37-'Control Room'!$A$14-('Control Room'!$B$14-1)/2)/MAX(0.5,'Control Room'!$B$14/4))^2),1)*IF(AND($A37&gt;='Control Room'!$A$15,$A37&lt;'Control Room'!$A$15+'Control Room'!$B$15,'Process'!BL4=1),1+('Control Room'!$C$15-1)*EXP(-0.5*(($A37-'Control Room'!$A$15-('Control Room'!$B$15-1)/2)/MAX(0.5,'Control Room'!$B$15/4))^2),1)*IF(AND($A37&gt;='Control Room'!$A$16,$A37&lt;'Control Room'!$A$16+'Control Room'!$B$16,'Process'!BL5=1),1+('Control Room'!$C$16-1)*EXP(-0.5*(($A37-'Control Room'!$A$16-('Control Room'!$B$16-1)/2)/MAX(0.5,'Control Room'!$B$16/4))^2),1)</x:f>
        <x:v>1</x:v>
      </x:c>
      <x:c r="L37" s="9" t="n">
        <x:f>MOD(M36*16807,2147483647)</x:f>
        <x:v>1481095850</x:v>
      </x:c>
      <x:c r="M37" s="9" t="n">
        <x:f>MOD(L37*16807,2147483647)</x:f>
        <x:v>1294998573</x:v>
      </x:c>
      <x:c r="N37" s="17" t="n">
        <x:f>IF('Control Room'!$B$5="Normal",'Control Room'!$B$7+'Control Room'!$D$7*SQRT(-2*LN(MAX(0.000000000001,L37/2147483647)))*COS(2*PI()*M37/2147483647),'Control Room'!$B$8+('Control Room'!$D$8-'Control Room'!$B$8)*L37/2147483647)</x:f>
        <x:v>938.116756082863</x:v>
      </x:c>
      <x:c r="O37" s="17" t="n">
        <x:f>IF('Control Room'!$B$5="Normal",'Control Room'!$B$7,('Control Room'!$B$8+'Control Room'!$D$8)/2)+'Control Room'!$B$9*(O36-IF('Control Room'!$B$5="Normal",'Control Room'!$B$7,('Control Room'!$B$8+'Control Room'!$D$8)/2))+SQRT(1-'Control Room'!$B$9^2)*(N37-IF('Control Room'!$B$5="Normal",'Control Room'!$B$7,('Control Room'!$B$8+'Control Room'!$D$8)/2))</x:f>
        <x:v>1118.4392716933048</x:v>
      </x:c>
      <x:c r="P37" s="17" t="n">
        <x:f>IF(AND($A37&gt;='Control Room'!$A$13,$A37&lt;'Control Room'!$A$13+'Control Room'!$B$13,'Process'!BM2=1),1+('Control Room'!$C$13-1)*EXP(-0.5*(($A37-'Control Room'!$A$13-('Control Room'!$B$13-1)/2)/MAX(0.5,'Control Room'!$B$13/4))^2),1)*IF(AND($A37&gt;='Control Room'!$A$14,$A37&lt;'Control Room'!$A$14+'Control Room'!$B$14,'Process'!BM3=1),1+('Control Room'!$C$14-1)*EXP(-0.5*(($A37-'Control Room'!$A$14-('Control Room'!$B$14-1)/2)/MAX(0.5,'Control Room'!$B$14/4))^2),1)*IF(AND($A37&gt;='Control Room'!$A$15,$A37&lt;'Control Room'!$A$15+'Control Room'!$B$15,'Process'!BM4=1),1+('Control Room'!$C$15-1)*EXP(-0.5*(($A37-'Control Room'!$A$15-('Control Room'!$B$15-1)/2)/MAX(0.5,'Control Room'!$B$15/4))^2),1)*IF(AND($A37&gt;='Control Room'!$A$16,$A37&lt;'Control Room'!$A$16+'Control Room'!$B$16,'Process'!BM5=1),1+('Control Room'!$C$16-1)*EXP(-0.5*(($A37-'Control Room'!$A$16-('Control Room'!$B$16-1)/2)/MAX(0.5,'Control Room'!$B$16/4))^2),1)</x:f>
        <x:v>1</x:v>
      </x:c>
      <x:c r="Q37" s="9" t="n">
        <x:f>MOD(R36*16807,2147483647)</x:f>
        <x:v>521880059</x:v>
      </x:c>
      <x:c r="R37" s="9" t="n">
        <x:f>MOD(Q37*16807,2147483647)</x:f>
        <x:v>914937265</x:v>
      </x:c>
      <x:c r="S37" s="17" t="n">
        <x:f>IF('Control Room'!$B$5="Normal",'Control Room'!$B$7+'Control Room'!$D$7*SQRT(-2*LN(MAX(0.000000000001,Q37/2147483647)))*COS(2*PI()*R37/2147483647),'Control Room'!$B$8+('Control Room'!$D$8-'Control Room'!$B$8)*Q37/2147483647)</x:f>
        <x:v>864.6661000045975</x:v>
      </x:c>
      <x:c r="T37" s="17" t="n">
        <x:f>IF('Control Room'!$B$5="Normal",'Control Room'!$B$7,('Control Room'!$B$8+'Control Room'!$D$8)/2)+'Control Room'!$B$9*(T36-IF('Control Room'!$B$5="Normal",'Control Room'!$B$7,('Control Room'!$B$8+'Control Room'!$D$8)/2))+SQRT(1-'Control Room'!$B$9^2)*(S37-IF('Control Room'!$B$5="Normal",'Control Room'!$B$7,('Control Room'!$B$8+'Control Room'!$D$8)/2))</x:f>
        <x:v>902.815936787611</x:v>
      </x:c>
      <x:c r="U37" s="17" t="n">
        <x:f>IF(AND($A37&gt;='Control Room'!$A$13,$A37&lt;'Control Room'!$A$13+'Control Room'!$B$13,'Process'!BN2=1),1+('Control Room'!$C$13-1)*EXP(-0.5*(($A37-'Control Room'!$A$13-('Control Room'!$B$13-1)/2)/MAX(0.5,'Control Room'!$B$13/4))^2),1)*IF(AND($A37&gt;='Control Room'!$A$14,$A37&lt;'Control Room'!$A$14+'Control Room'!$B$14,'Process'!BN3=1),1+('Control Room'!$C$14-1)*EXP(-0.5*(($A37-'Control Room'!$A$14-('Control Room'!$B$14-1)/2)/MAX(0.5,'Control Room'!$B$14/4))^2),1)*IF(AND($A37&gt;='Control Room'!$A$15,$A37&lt;'Control Room'!$A$15+'Control Room'!$B$15,'Process'!BN4=1),1+('Control Room'!$C$15-1)*EXP(-0.5*(($A37-'Control Room'!$A$15-('Control Room'!$B$15-1)/2)/MAX(0.5,'Control Room'!$B$15/4))^2),1)*IF(AND($A37&gt;='Control Room'!$A$16,$A37&lt;'Control Room'!$A$16+'Control Room'!$B$16,'Process'!BN5=1),1+('Control Room'!$C$16-1)*EXP(-0.5*(($A37-'Control Room'!$A$16-('Control Room'!$B$16-1)/2)/MAX(0.5,'Control Room'!$B$16/4))^2),1)</x:f>
        <x:v>1</x:v>
      </x:c>
      <x:c r="V37" s="9" t="n">
        <x:f>MOD(W36*16807,2147483647)</x:f>
        <x:v>1710147915</x:v>
      </x:c>
      <x:c r="W37" s="9" t="n">
        <x:f>MOD(V37*16807,2147483647)</x:f>
        <x:v>534875957</x:v>
      </x:c>
      <x:c r="X37" s="17" t="n">
        <x:f>IF('Control Room'!$B$5="Normal",'Control Room'!$B$7+'Control Room'!$D$7*SQRT(-2*LN(MAX(0.000000000001,V37/2147483647)))*COS(2*PI()*W37/2147483647),'Control Room'!$B$8+('Control Room'!$D$8-'Control Room'!$B$8)*V37/2147483647)</x:f>
        <x:v>1000.3545159004362</x:v>
      </x:c>
      <x:c r="Y37" s="17" t="n">
        <x:f>IF('Control Room'!$B$5="Normal",'Control Room'!$B$7,('Control Room'!$B$8+'Control Room'!$D$8)/2)+'Control Room'!$B$9*(Y36-IF('Control Room'!$B$5="Normal",'Control Room'!$B$7,('Control Room'!$B$8+'Control Room'!$D$8)/2))+SQRT(1-'Control Room'!$B$9^2)*(X37-IF('Control Room'!$B$5="Normal",'Control Room'!$B$7,('Control Room'!$B$8+'Control Room'!$D$8)/2))</x:f>
        <x:v>980.7725431490011</x:v>
      </x:c>
      <x:c r="Z37" s="17" t="n">
        <x:f>IF(AND($A37&gt;='Control Room'!$A$13,$A37&lt;'Control Room'!$A$13+'Control Room'!$B$13,'Process'!BO2=1),1+('Control Room'!$C$13-1)*EXP(-0.5*(($A37-'Control Room'!$A$13-('Control Room'!$B$13-1)/2)/MAX(0.5,'Control Room'!$B$13/4))^2),1)*IF(AND($A37&gt;='Control Room'!$A$14,$A37&lt;'Control Room'!$A$14+'Control Room'!$B$14,'Process'!BO3=1),1+('Control Room'!$C$14-1)*EXP(-0.5*(($A37-'Control Room'!$A$14-('Control Room'!$B$14-1)/2)/MAX(0.5,'Control Room'!$B$14/4))^2),1)*IF(AND($A37&gt;='Control Room'!$A$15,$A37&lt;'Control Room'!$A$15+'Control Room'!$B$15,'Process'!BO4=1),1+('Control Room'!$C$15-1)*EXP(-0.5*(($A37-'Control Room'!$A$15-('Control Room'!$B$15-1)/2)/MAX(0.5,'Control Room'!$B$15/4))^2),1)*IF(AND($A37&gt;='Control Room'!$A$16,$A37&lt;'Control Room'!$A$16+'Control Room'!$B$16,'Process'!BO5=1),1+('Control Room'!$C$16-1)*EXP(-0.5*(($A37-'Control Room'!$A$16-('Control Room'!$B$16-1)/2)/MAX(0.5,'Control Room'!$B$16/4))^2),1)</x:f>
        <x:v>1</x:v>
      </x:c>
      <x:c r="AA37" s="9" t="n">
        <x:f>MOD(AB36*16807,2147483647)</x:f>
        <x:v>750932124</x:v>
      </x:c>
      <x:c r="AB37" s="9" t="n">
        <x:f>MOD(AA37*16807,2147483647)</x:f>
        <x:v>154814649</x:v>
      </x:c>
      <x:c r="AC37" s="17" t="n">
        <x:f>IF('Control Room'!$B$5="Normal",'Control Room'!$B$7+'Control Room'!$D$7*SQRT(-2*LN(MAX(0.000000000001,AA37/2147483647)))*COS(2*PI()*AB37/2147483647),'Control Room'!$B$8+('Control Room'!$D$8-'Control Room'!$B$8)*AA37/2147483647)</x:f>
        <x:v>1117.3110360463784</x:v>
      </x:c>
      <x:c r="AD37" s="17" t="n">
        <x:f>IF('Control Room'!$B$5="Normal",'Control Room'!$B$7,('Control Room'!$B$8+'Control Room'!$D$8)/2)+'Control Room'!$B$9*(AD36-IF('Control Room'!$B$5="Normal",'Control Room'!$B$7,('Control Room'!$B$8+'Control Room'!$D$8)/2))+SQRT(1-'Control Room'!$B$9^2)*(AC37-IF('Control Room'!$B$5="Normal",'Control Room'!$B$7,('Control Room'!$B$8+'Control Room'!$D$8)/2))</x:f>
        <x:v>1150.9037827988918</x:v>
      </x:c>
      <x:c r="AE37" s="17" t="n">
        <x:f>IF(AND($A37&gt;='Control Room'!$A$13,$A37&lt;'Control Room'!$A$13+'Control Room'!$B$13,'Process'!BP2=1),1+('Control Room'!$C$13-1)*EXP(-0.5*(($A37-'Control Room'!$A$13-('Control Room'!$B$13-1)/2)/MAX(0.5,'Control Room'!$B$13/4))^2),1)*IF(AND($A37&gt;='Control Room'!$A$14,$A37&lt;'Control Room'!$A$14+'Control Room'!$B$14,'Process'!BP3=1),1+('Control Room'!$C$14-1)*EXP(-0.5*(($A37-'Control Room'!$A$14-('Control Room'!$B$14-1)/2)/MAX(0.5,'Control Room'!$B$14/4))^2),1)*IF(AND($A37&gt;='Control Room'!$A$15,$A37&lt;'Control Room'!$A$15+'Control Room'!$B$15,'Process'!BP4=1),1+('Control Room'!$C$15-1)*EXP(-0.5*(($A37-'Control Room'!$A$15-('Control Room'!$B$15-1)/2)/MAX(0.5,'Control Room'!$B$15/4))^2),1)*IF(AND($A37&gt;='Control Room'!$A$16,$A37&lt;'Control Room'!$A$16+'Control Room'!$B$16,'Process'!BP5=1),1+('Control Room'!$C$16-1)*EXP(-0.5*(($A37-'Control Room'!$A$16-('Control Room'!$B$16-1)/2)/MAX(0.5,'Control Room'!$B$16/4))^2),1)</x:f>
        <x:v>1</x:v>
      </x:c>
      <x:c r="AF37" s="9" t="n">
        <x:f>MOD(AG36*16807,2147483647)</x:f>
        <x:v>1939199980</x:v>
      </x:c>
      <x:c r="AG37" s="9" t="n">
        <x:f>MOD(AF37*16807,2147483647)</x:f>
        <x:v>1922236988</x:v>
      </x:c>
      <x:c r="AH37" s="17" t="n">
        <x:f>IF('Control Room'!$B$5="Normal",'Control Room'!$B$7+'Control Room'!$D$7*SQRT(-2*LN(MAX(0.000000000001,AF37/2147483647)))*COS(2*PI()*AG37/2147483647),'Control Room'!$B$8+('Control Room'!$D$8-'Control Room'!$B$8)*AF37/2147483647)</x:f>
        <x:v>1032.1403537918209</x:v>
      </x:c>
      <x:c r="AI37" s="17" t="n">
        <x:f>IF('Control Room'!$B$5="Normal",'Control Room'!$B$7,('Control Room'!$B$8+'Control Room'!$D$8)/2)+'Control Room'!$B$9*(AI36-IF('Control Room'!$B$5="Normal",'Control Room'!$B$7,('Control Room'!$B$8+'Control Room'!$D$8)/2))+SQRT(1-'Control Room'!$B$9^2)*(AH37-IF('Control Room'!$B$5="Normal",'Control Room'!$B$7,('Control Room'!$B$8+'Control Room'!$D$8)/2))</x:f>
        <x:v>943.2866311066723</x:v>
      </x:c>
      <x:c r="AJ37" s="17" t="n">
        <x:f>IF(AND($A37&gt;='Control Room'!$A$13,$A37&lt;'Control Room'!$A$13+'Control Room'!$B$13,'Process'!BQ2=1),1+('Control Room'!$C$13-1)*EXP(-0.5*(($A37-'Control Room'!$A$13-('Control Room'!$B$13-1)/2)/MAX(0.5,'Control Room'!$B$13/4))^2),1)*IF(AND($A37&gt;='Control Room'!$A$14,$A37&lt;'Control Room'!$A$14+'Control Room'!$B$14,'Process'!BQ3=1),1+('Control Room'!$C$14-1)*EXP(-0.5*(($A37-'Control Room'!$A$14-('Control Room'!$B$14-1)/2)/MAX(0.5,'Control Room'!$B$14/4))^2),1)*IF(AND($A37&gt;='Control Room'!$A$15,$A37&lt;'Control Room'!$A$15+'Control Room'!$B$15,'Process'!BQ4=1),1+('Control Room'!$C$15-1)*EXP(-0.5*(($A37-'Control Room'!$A$15-('Control Room'!$B$15-1)/2)/MAX(0.5,'Control Room'!$B$15/4))^2),1)*IF(AND($A37&gt;='Control Room'!$A$16,$A37&lt;'Control Room'!$A$16+'Control Room'!$B$16,'Process'!BQ5=1),1+('Control Room'!$C$16-1)*EXP(-0.5*(($A37-'Control Room'!$A$16-('Control Room'!$B$16-1)/2)/MAX(0.5,'Control Room'!$B$16/4))^2),1)</x:f>
        <x:v>1</x:v>
      </x:c>
      <x:c r="AK37" s="9" t="n">
        <x:f>MOD(AL36*16807,2147483647)</x:f>
        <x:v>979984189</x:v>
      </x:c>
      <x:c r="AL37" s="9" t="n">
        <x:f>MOD(AK37*16807,2147483647)</x:f>
        <x:v>1542175680</x:v>
      </x:c>
      <x:c r="AM37" s="17" t="n">
        <x:f>IF('Control Room'!$B$5="Normal",'Control Room'!$B$7+'Control Room'!$D$7*SQRT(-2*LN(MAX(0.000000000001,AK37/2147483647)))*COS(2*PI()*AL37/2147483647),'Control Room'!$B$8+('Control Room'!$D$8-'Control Room'!$B$8)*AK37/2147483647)</x:f>
        <x:v>977.5770057288948</x:v>
      </x:c>
      <x:c r="AN37" s="17" t="n">
        <x:f>IF('Control Room'!$B$5="Normal",'Control Room'!$B$7,('Control Room'!$B$8+'Control Room'!$D$8)/2)+'Control Room'!$B$9*(AN36-IF('Control Room'!$B$5="Normal",'Control Room'!$B$7,('Control Room'!$B$8+'Control Room'!$D$8)/2))+SQRT(1-'Control Room'!$B$9^2)*(AM37-IF('Control Room'!$B$5="Normal",'Control Room'!$B$7,('Control Room'!$B$8+'Control Room'!$D$8)/2))</x:f>
        <x:v>862.0605065706113</x:v>
      </x:c>
      <x:c r="AO37" s="17" t="n">
        <x:f>IF(AND($A37&gt;='Control Room'!$A$13,$A37&lt;'Control Room'!$A$13+'Control Room'!$B$13,'Process'!BR2=1),1+('Control Room'!$C$13-1)*EXP(-0.5*(($A37-'Control Room'!$A$13-('Control Room'!$B$13-1)/2)/MAX(0.5,'Control Room'!$B$13/4))^2),1)*IF(AND($A37&gt;='Control Room'!$A$14,$A37&lt;'Control Room'!$A$14+'Control Room'!$B$14,'Process'!BR3=1),1+('Control Room'!$C$14-1)*EXP(-0.5*(($A37-'Control Room'!$A$14-('Control Room'!$B$14-1)/2)/MAX(0.5,'Control Room'!$B$14/4))^2),1)*IF(AND($A37&gt;='Control Room'!$A$15,$A37&lt;'Control Room'!$A$15+'Control Room'!$B$15,'Process'!BR4=1),1+('Control Room'!$C$15-1)*EXP(-0.5*(($A37-'Control Room'!$A$15-('Control Room'!$B$15-1)/2)/MAX(0.5,'Control Room'!$B$15/4))^2),1)*IF(AND($A37&gt;='Control Room'!$A$16,$A37&lt;'Control Room'!$A$16+'Control Room'!$B$16,'Process'!BR5=1),1+('Control Room'!$C$16-1)*EXP(-0.5*(($A37-'Control Room'!$A$16-('Control Room'!$B$16-1)/2)/MAX(0.5,'Control Room'!$B$16/4))^2),1)</x:f>
        <x:v>1</x:v>
      </x:c>
      <x:c r="AP37" s="9" t="n">
        <x:f>MOD(AQ36*16807,2147483647)</x:f>
        <x:v>20768398</x:v>
      </x:c>
      <x:c r="AQ37" s="9" t="n">
        <x:f>MOD(AP37*16807,2147483647)</x:f>
        <x:v>1162114372</x:v>
      </x:c>
      <x:c r="AR37" s="17" t="n">
        <x:f>IF('Control Room'!$B$5="Normal",'Control Room'!$B$7+'Control Room'!$D$7*SQRT(-2*LN(MAX(0.000000000001,AP37/2147483647)))*COS(2*PI()*AQ37/2147483647),'Control Room'!$B$8+('Control Room'!$D$8-'Control Room'!$B$8)*AP37/2147483647)</x:f>
        <x:v>734.9854177280507</x:v>
      </x:c>
      <x:c r="AS37" s="17" t="n">
        <x:f>IF('Control Room'!$B$5="Normal",'Control Room'!$B$7,('Control Room'!$B$8+'Control Room'!$D$8)/2)+'Control Room'!$B$9*(AS36-IF('Control Room'!$B$5="Normal",'Control Room'!$B$7,('Control Room'!$B$8+'Control Room'!$D$8)/2))+SQRT(1-'Control Room'!$B$9^2)*(AR37-IF('Control Room'!$B$5="Normal",'Control Room'!$B$7,('Control Room'!$B$8+'Control Room'!$D$8)/2))</x:f>
        <x:v>910.2342259914649</x:v>
      </x:c>
      <x:c r="AT37" s="17" t="n">
        <x:f>IF(AND($A37&gt;='Control Room'!$A$13,$A37&lt;'Control Room'!$A$13+'Control Room'!$B$13,'Process'!BS2=1),1+('Control Room'!$C$13-1)*EXP(-0.5*(($A37-'Control Room'!$A$13-('Control Room'!$B$13-1)/2)/MAX(0.5,'Control Room'!$B$13/4))^2),1)*IF(AND($A37&gt;='Control Room'!$A$14,$A37&lt;'Control Room'!$A$14+'Control Room'!$B$14,'Process'!BS3=1),1+('Control Room'!$C$14-1)*EXP(-0.5*(($A37-'Control Room'!$A$14-('Control Room'!$B$14-1)/2)/MAX(0.5,'Control Room'!$B$14/4))^2),1)*IF(AND($A37&gt;='Control Room'!$A$15,$A37&lt;'Control Room'!$A$15+'Control Room'!$B$15,'Process'!BS4=1),1+('Control Room'!$C$15-1)*EXP(-0.5*(($A37-'Control Room'!$A$15-('Control Room'!$B$15-1)/2)/MAX(0.5,'Control Room'!$B$15/4))^2),1)*IF(AND($A37&gt;='Control Room'!$A$16,$A37&lt;'Control Room'!$A$16+'Control Room'!$B$16,'Process'!BS5=1),1+('Control Room'!$C$16-1)*EXP(-0.5*(($A37-'Control Room'!$A$16-('Control Room'!$B$16-1)/2)/MAX(0.5,'Control Room'!$B$16/4))^2),1)</x:f>
        <x:v>1</x:v>
      </x:c>
      <x:c r="AU37" s="9" t="n">
        <x:f>MOD(AV36*16807,2147483647)</x:f>
        <x:v>1209036254</x:v>
      </x:c>
      <x:c r="AV37" s="9" t="n">
        <x:f>MOD(AU37*16807,2147483647)</x:f>
        <x:v>782053064</x:v>
      </x:c>
      <x:c r="AW37" s="17" t="n">
        <x:f>IF('Control Room'!$B$5="Normal",'Control Room'!$B$7+'Control Room'!$D$7*SQRT(-2*LN(MAX(0.000000000001,AU37/2147483647)))*COS(2*PI()*AV37/2147483647),'Control Room'!$B$8+('Control Room'!$D$8-'Control Room'!$B$8)*AU37/2147483647)</x:f>
        <x:v>936.5806316464083</x:v>
      </x:c>
      <x:c r="AX37" s="17" t="n">
        <x:f>IF('Control Room'!$B$5="Normal",'Control Room'!$B$7,('Control Room'!$B$8+'Control Room'!$D$8)/2)+'Control Room'!$B$9*(AX36-IF('Control Room'!$B$5="Normal",'Control Room'!$B$7,('Control Room'!$B$8+'Control Room'!$D$8)/2))+SQRT(1-'Control Room'!$B$9^2)*(AW37-IF('Control Room'!$B$5="Normal",'Control Room'!$B$7,('Control Room'!$B$8+'Control Room'!$D$8)/2))</x:f>
        <x:v>934.2890606179747</x:v>
      </x:c>
      <x:c r="AY37" s="17" t="n">
        <x:f>IF(AND($A37&gt;='Control Room'!$A$13,$A37&lt;'Control Room'!$A$13+'Control Room'!$B$13,'Process'!BT2=1),1+('Control Room'!$C$13-1)*EXP(-0.5*(($A37-'Control Room'!$A$13-('Control Room'!$B$13-1)/2)/MAX(0.5,'Control Room'!$B$13/4))^2),1)*IF(AND($A37&gt;='Control Room'!$A$14,$A37&lt;'Control Room'!$A$14+'Control Room'!$B$14,'Process'!BT3=1),1+('Control Room'!$C$14-1)*EXP(-0.5*(($A37-'Control Room'!$A$14-('Control Room'!$B$14-1)/2)/MAX(0.5,'Control Room'!$B$14/4))^2),1)*IF(AND($A37&gt;='Control Room'!$A$15,$A37&lt;'Control Room'!$A$15+'Control Room'!$B$15,'Process'!BT4=1),1+('Control Room'!$C$15-1)*EXP(-0.5*(($A37-'Control Room'!$A$15-('Control Room'!$B$15-1)/2)/MAX(0.5,'Control Room'!$B$15/4))^2),1)*IF(AND($A37&gt;='Control Room'!$A$16,$A37&lt;'Control Room'!$A$16+'Control Room'!$B$16,'Process'!BT5=1),1+('Control Room'!$C$16-1)*EXP(-0.5*(($A37-'Control Room'!$A$16-('Control Room'!$B$16-1)/2)/MAX(0.5,'Control Room'!$B$16/4))^2),1)</x:f>
        <x:v>1</x:v>
      </x:c>
      <x:c r="AZ37" s="9" t="n">
        <x:f>MOD(BA36*16807,2147483647)</x:f>
        <x:v>249820463</x:v>
      </x:c>
      <x:c r="BA37" s="9" t="n">
        <x:f>MOD(AZ37*16807,2147483647)</x:f>
        <x:v>401991756</x:v>
      </x:c>
      <x:c r="BB37" s="17" t="n">
        <x:f>IF('Control Room'!$B$5="Normal",'Control Room'!$B$7+'Control Room'!$D$7*SQRT(-2*LN(MAX(0.000000000001,AZ37/2147483647)))*COS(2*PI()*BA37/2147483647),'Control Room'!$B$8+('Control Room'!$D$8-'Control Room'!$B$8)*AZ37/2147483647)</x:f>
        <x:v>1071.7748231011433</x:v>
      </x:c>
      <x:c r="BC37" s="17" t="n">
        <x:f>IF('Control Room'!$B$5="Normal",'Control Room'!$B$7,('Control Room'!$B$8+'Control Room'!$D$8)/2)+'Control Room'!$B$9*(BC36-IF('Control Room'!$B$5="Normal",'Control Room'!$B$7,('Control Room'!$B$8+'Control Room'!$D$8)/2))+SQRT(1-'Control Room'!$B$9^2)*(BB37-IF('Control Room'!$B$5="Normal",'Control Room'!$B$7,('Control Room'!$B$8+'Control Room'!$D$8)/2))</x:f>
        <x:v>972.0200985453885</x:v>
      </x:c>
      <x:c r="BD37" s="17" t="n">
        <x:f>IF(AND($A37&gt;='Control Room'!$A$13,$A37&lt;'Control Room'!$A$13+'Control Room'!$B$13,'Process'!BU2=1),1+('Control Room'!$C$13-1)*EXP(-0.5*(($A37-'Control Room'!$A$13-('Control Room'!$B$13-1)/2)/MAX(0.5,'Control Room'!$B$13/4))^2),1)*IF(AND($A37&gt;='Control Room'!$A$14,$A37&lt;'Control Room'!$A$14+'Control Room'!$B$14,'Process'!BU3=1),1+('Control Room'!$C$14-1)*EXP(-0.5*(($A37-'Control Room'!$A$14-('Control Room'!$B$14-1)/2)/MAX(0.5,'Control Room'!$B$14/4))^2),1)*IF(AND($A37&gt;='Control Room'!$A$15,$A37&lt;'Control Room'!$A$15+'Control Room'!$B$15,'Process'!BU4=1),1+('Control Room'!$C$15-1)*EXP(-0.5*(($A37-'Control Room'!$A$15-('Control Room'!$B$15-1)/2)/MAX(0.5,'Control Room'!$B$15/4))^2),1)*IF(AND($A37&gt;='Control Room'!$A$16,$A37&lt;'Control Room'!$A$16+'Control Room'!$B$16,'Process'!BU5=1),1+('Control Room'!$C$16-1)*EXP(-0.5*(($A37-'Control Room'!$A$16-('Control Room'!$B$16-1)/2)/MAX(0.5,'Control Room'!$B$16/4))^2),1)</x:f>
        <x:v>1</x:v>
      </x:c>
      <x:c r="BE37" s="9" t="n">
        <x:f>MOD(BF36*16807,2147483647)</x:f>
        <x:v>1438088319</x:v>
      </x:c>
      <x:c r="BF37" s="9" t="n">
        <x:f>MOD(BE37*16807,2147483647)</x:f>
        <x:v>21930448</x:v>
      </x:c>
      <x:c r="BG37" s="17" t="n">
        <x:f>IF('Control Room'!$B$5="Normal",'Control Room'!$B$7+'Control Room'!$D$7*SQRT(-2*LN(MAX(0.000000000001,BE37/2147483647)))*COS(2*PI()*BF37/2147483647),'Control Room'!$B$8+('Control Room'!$D$8-'Control Room'!$B$8)*BE37/2147483647)</x:f>
        <x:v>1080.4313491257958</x:v>
      </x:c>
      <x:c r="BH37" s="17" t="n">
        <x:f>IF('Control Room'!$B$5="Normal",'Control Room'!$B$7,('Control Room'!$B$8+'Control Room'!$D$8)/2)+'Control Room'!$B$9*(BH36-IF('Control Room'!$B$5="Normal",'Control Room'!$B$7,('Control Room'!$B$8+'Control Room'!$D$8)/2))+SQRT(1-'Control Room'!$B$9^2)*(BG37-IF('Control Room'!$B$5="Normal",'Control Room'!$B$7,('Control Room'!$B$8+'Control Room'!$D$8)/2))</x:f>
        <x:v>1055.2353060499047</x:v>
      </x:c>
      <x:c r="BI37" s="17" t="n">
        <x:f>IF(AND($A37&gt;='Control Room'!$A$13,$A37&lt;'Control Room'!$A$13+'Control Room'!$B$13,'Process'!BV2=1),1+('Control Room'!$C$13-1)*EXP(-0.5*(($A37-'Control Room'!$A$13-('Control Room'!$B$13-1)/2)/MAX(0.5,'Control Room'!$B$13/4))^2),1)*IF(AND($A37&gt;='Control Room'!$A$14,$A37&lt;'Control Room'!$A$14+'Control Room'!$B$14,'Process'!BV3=1),1+('Control Room'!$C$14-1)*EXP(-0.5*(($A37-'Control Room'!$A$14-('Control Room'!$B$14-1)/2)/MAX(0.5,'Control Room'!$B$14/4))^2),1)*IF(AND($A37&gt;='Control Room'!$A$15,$A37&lt;'Control Room'!$A$15+'Control Room'!$B$15,'Process'!BV4=1),1+('Control Room'!$C$15-1)*EXP(-0.5*(($A37-'Control Room'!$A$15-('Control Room'!$B$15-1)/2)/MAX(0.5,'Control Room'!$B$15/4))^2),1)*IF(AND($A37&gt;='Control Room'!$A$16,$A37&lt;'Control Room'!$A$16+'Control Room'!$B$16,'Process'!BV5=1),1+('Control Room'!$C$16-1)*EXP(-0.5*(($A37-'Control Room'!$A$16-('Control Room'!$B$16-1)/2)/MAX(0.5,'Control Room'!$B$16/4))^2),1)</x:f>
        <x:v>1</x:v>
      </x:c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Z37" t="str">
        <x:f>IF('Data'!A37="","",TEXT('Data'!A37,"mm-dd"))</x:f>
        <x:v>12-07</x:v>
      </x:c>
    </x:row>
    <x:row r="38" ht="21" customHeight="1">
      <x:c r="A38" s="15" t="n">
        <x:f>'Control Room'!$B$1+36</x:f>
        <x:v>73027</x:v>
      </x:c>
      <x:c r="B38" s="9" t="n">
        <x:f>MOD(C37*16807,2147483647)</x:f>
        <x:v>294845175</x:v>
      </x:c>
      <x:c r="C38" s="9" t="n">
        <x:f>MOD(B38*16807,2147483647)</x:f>
        <x:v>1218082596</x:v>
      </x:c>
      <x:c r="D38" s="17" t="n">
        <x:f>IF('Control Room'!$B$5="Normal",'Control Room'!$B$7+'Control Room'!$D$7*SQRT(-2*LN(MAX(0.000000000001,B38/2147483647)))*COS(2*PI()*C38/2147483647),'Control Room'!$B$8+('Control Room'!$D$8-'Control Room'!$B$8)*B38/2147483647)</x:f>
        <x:v>836.4065931198619</x:v>
      </x:c>
      <x:c r="E38" s="17" t="n">
        <x:f>IF('Control Room'!$B$5="Normal",'Control Room'!$B$7,('Control Room'!$B$8+'Control Room'!$D$8)/2)+'Control Room'!$B$9*(E37-IF('Control Room'!$B$5="Normal",'Control Room'!$B$7,('Control Room'!$B$8+'Control Room'!$D$8)/2))+SQRT(1-'Control Room'!$B$9^2)*(D38-IF('Control Room'!$B$5="Normal",'Control Room'!$B$7,('Control Room'!$B$8+'Control Room'!$D$8)/2))</x:f>
        <x:v>900.8937525542909</x:v>
      </x:c>
      <x:c r="F38" s="17" t="n">
        <x:f>IF(AND($A38&gt;='Control Room'!$A$13,$A38&lt;'Control Room'!$A$13+'Control Room'!$B$13,'Process'!BK2=1),1+('Control Room'!$C$13-1)*EXP(-0.5*(($A38-'Control Room'!$A$13-('Control Room'!$B$13-1)/2)/MAX(0.5,'Control Room'!$B$13/4))^2),1)*IF(AND($A38&gt;='Control Room'!$A$14,$A38&lt;'Control Room'!$A$14+'Control Room'!$B$14,'Process'!BK3=1),1+('Control Room'!$C$14-1)*EXP(-0.5*(($A38-'Control Room'!$A$14-('Control Room'!$B$14-1)/2)/MAX(0.5,'Control Room'!$B$14/4))^2),1)*IF(AND($A38&gt;='Control Room'!$A$15,$A38&lt;'Control Room'!$A$15+'Control Room'!$B$15,'Process'!BK4=1),1+('Control Room'!$C$15-1)*EXP(-0.5*(($A38-'Control Room'!$A$15-('Control Room'!$B$15-1)/2)/MAX(0.5,'Control Room'!$B$15/4))^2),1)*IF(AND($A38&gt;='Control Room'!$A$16,$A38&lt;'Control Room'!$A$16+'Control Room'!$B$16,'Process'!BK5=1),1+('Control Room'!$C$16-1)*EXP(-0.5*(($A38-'Control Room'!$A$16-('Control Room'!$B$16-1)/2)/MAX(0.5,'Control Room'!$B$16/4))^2),1)</x:f>
        <x:v>1</x:v>
      </x:c>
      <x:c r="G38" s="9" t="n">
        <x:f>MOD(H37*16807,2147483647)</x:f>
        <x:v>1368291444</x:v>
      </x:c>
      <x:c r="H38" s="9" t="n">
        <x:f>MOD(G38*16807,2147483647)</x:f>
        <x:v>1619407232</x:v>
      </x:c>
      <x:c r="I38" s="17" t="n">
        <x:f>IF('Control Room'!$B$5="Normal",'Control Room'!$B$7+'Control Room'!$D$7*SQRT(-2*LN(MAX(0.000000000001,G38/2147483647)))*COS(2*PI()*H38/2147483647),'Control Room'!$B$8+('Control Room'!$D$8-'Control Room'!$B$8)*G38/2147483647)</x:f>
        <x:v>1002.1985214064333</x:v>
      </x:c>
      <x:c r="J38" s="17" t="n">
        <x:f>IF('Control Room'!$B$5="Normal",'Control Room'!$B$7,('Control Room'!$B$8+'Control Room'!$D$8)/2)+'Control Room'!$B$9*(J37-IF('Control Room'!$B$5="Normal",'Control Room'!$B$7,('Control Room'!$B$8+'Control Room'!$D$8)/2))+SQRT(1-'Control Room'!$B$9^2)*(I38-IF('Control Room'!$B$5="Normal",'Control Room'!$B$7,('Control Room'!$B$8+'Control Room'!$D$8)/2))</x:f>
        <x:v>950.6433636546374</x:v>
      </x:c>
      <x:c r="K38" s="17" t="n">
        <x:f>IF(AND($A38&gt;='Control Room'!$A$13,$A38&lt;'Control Room'!$A$13+'Control Room'!$B$13,'Process'!BL2=1),1+('Control Room'!$C$13-1)*EXP(-0.5*(($A38-'Control Room'!$A$13-('Control Room'!$B$13-1)/2)/MAX(0.5,'Control Room'!$B$13/4))^2),1)*IF(AND($A38&gt;='Control Room'!$A$14,$A38&lt;'Control Room'!$A$14+'Control Room'!$B$14,'Process'!BL3=1),1+('Control Room'!$C$14-1)*EXP(-0.5*(($A38-'Control Room'!$A$14-('Control Room'!$B$14-1)/2)/MAX(0.5,'Control Room'!$B$14/4))^2),1)*IF(AND($A38&gt;='Control Room'!$A$15,$A38&lt;'Control Room'!$A$15+'Control Room'!$B$15,'Process'!BL4=1),1+('Control Room'!$C$15-1)*EXP(-0.5*(($A38-'Control Room'!$A$15-('Control Room'!$B$15-1)/2)/MAX(0.5,'Control Room'!$B$15/4))^2),1)*IF(AND($A38&gt;='Control Room'!$A$16,$A38&lt;'Control Room'!$A$16+'Control Room'!$B$16,'Process'!BL5=1),1+('Control Room'!$C$16-1)*EXP(-0.5*(($A38-'Control Room'!$A$16-('Control Room'!$B$16-1)/2)/MAX(0.5,'Control Room'!$B$16/4))^2),1)</x:f>
        <x:v>1</x:v>
      </x:c>
      <x:c r="L38" s="9" t="n">
        <x:f>MOD(M37*16807,2147483647)</x:f>
        <x:v>294254066</x:v>
      </x:c>
      <x:c r="M38" s="9" t="n">
        <x:f>MOD(L38*16807,2147483647)</x:f>
        <x:v>2020731868</x:v>
      </x:c>
      <x:c r="N38" s="17" t="n">
        <x:f>IF('Control Room'!$B$5="Normal",'Control Room'!$B$7+'Control Room'!$D$7*SQRT(-2*LN(MAX(0.000000000001,L38/2147483647)))*COS(2*PI()*M38/2147483647),'Control Room'!$B$8+('Control Room'!$D$8-'Control Room'!$B$8)*L38/2147483647)</x:f>
        <x:v>1167.2426942574643</x:v>
      </x:c>
      <x:c r="O38" s="17" t="n">
        <x:f>IF('Control Room'!$B$5="Normal",'Control Room'!$B$7,('Control Room'!$B$8+'Control Room'!$D$8)/2)+'Control Room'!$B$9*(O37-IF('Control Room'!$B$5="Normal",'Control Room'!$B$7,('Control Room'!$B$8+'Control Room'!$D$8)/2))+SQRT(1-'Control Room'!$B$9^2)*(N38-IF('Control Room'!$B$5="Normal",'Control Room'!$B$7,('Control Room'!$B$8+'Control Room'!$D$8)/2))</x:f>
        <x:v>1197.0396838342792</x:v>
      </x:c>
      <x:c r="P38" s="17" t="n">
        <x:f>IF(AND($A38&gt;='Control Room'!$A$13,$A38&lt;'Control Room'!$A$13+'Control Room'!$B$13,'Process'!BM2=1),1+('Control Room'!$C$13-1)*EXP(-0.5*(($A38-'Control Room'!$A$13-('Control Room'!$B$13-1)/2)/MAX(0.5,'Control Room'!$B$13/4))^2),1)*IF(AND($A38&gt;='Control Room'!$A$14,$A38&lt;'Control Room'!$A$14+'Control Room'!$B$14,'Process'!BM3=1),1+('Control Room'!$C$14-1)*EXP(-0.5*(($A38-'Control Room'!$A$14-('Control Room'!$B$14-1)/2)/MAX(0.5,'Control Room'!$B$14/4))^2),1)*IF(AND($A38&gt;='Control Room'!$A$15,$A38&lt;'Control Room'!$A$15+'Control Room'!$B$15,'Process'!BM4=1),1+('Control Room'!$C$15-1)*EXP(-0.5*(($A38-'Control Room'!$A$15-('Control Room'!$B$15-1)/2)/MAX(0.5,'Control Room'!$B$15/4))^2),1)*IF(AND($A38&gt;='Control Room'!$A$16,$A38&lt;'Control Room'!$A$16+'Control Room'!$B$16,'Process'!BM5=1),1+('Control Room'!$C$16-1)*EXP(-0.5*(($A38-'Control Room'!$A$16-('Control Room'!$B$16-1)/2)/MAX(0.5,'Control Room'!$B$16/4))^2),1)</x:f>
        <x:v>1</x:v>
      </x:c>
      <x:c r="Q38" s="9" t="n">
        <x:f>MOD(R37*16807,2147483647)</x:f>
        <x:v>1367700335</x:v>
      </x:c>
      <x:c r="R38" s="9" t="n">
        <x:f>MOD(Q38*16807,2147483647)</x:f>
        <x:v>274572857</x:v>
      </x:c>
      <x:c r="S38" s="17" t="n">
        <x:f>IF('Control Room'!$B$5="Normal",'Control Room'!$B$7+'Control Room'!$D$7*SQRT(-2*LN(MAX(0.000000000001,Q38/2147483647)))*COS(2*PI()*R38/2147483647),'Control Room'!$B$8+('Control Room'!$D$8-'Control Room'!$B$8)*Q38/2147483647)</x:f>
        <x:v>1059.356777286539</x:v>
      </x:c>
      <x:c r="T38" s="17" t="n">
        <x:f>IF('Control Room'!$B$5="Normal",'Control Room'!$B$7,('Control Room'!$B$8+'Control Room'!$D$8)/2)+'Control Room'!$B$9*(T37-IF('Control Room'!$B$5="Normal",'Control Room'!$B$7,('Control Room'!$B$8+'Control Room'!$D$8)/2))+SQRT(1-'Control Room'!$B$9^2)*(S38-IF('Control Room'!$B$5="Normal",'Control Room'!$B$7,('Control Room'!$B$8+'Control Room'!$D$8)/2))</x:f>
        <x:v>961.3406859305751</x:v>
      </x:c>
      <x:c r="U38" s="17" t="n">
        <x:f>IF(AND($A38&gt;='Control Room'!$A$13,$A38&lt;'Control Room'!$A$13+'Control Room'!$B$13,'Process'!BN2=1),1+('Control Room'!$C$13-1)*EXP(-0.5*(($A38-'Control Room'!$A$13-('Control Room'!$B$13-1)/2)/MAX(0.5,'Control Room'!$B$13/4))^2),1)*IF(AND($A38&gt;='Control Room'!$A$14,$A38&lt;'Control Room'!$A$14+'Control Room'!$B$14,'Process'!BN3=1),1+('Control Room'!$C$14-1)*EXP(-0.5*(($A38-'Control Room'!$A$14-('Control Room'!$B$14-1)/2)/MAX(0.5,'Control Room'!$B$14/4))^2),1)*IF(AND($A38&gt;='Control Room'!$A$15,$A38&lt;'Control Room'!$A$15+'Control Room'!$B$15,'Process'!BN4=1),1+('Control Room'!$C$15-1)*EXP(-0.5*(($A38-'Control Room'!$A$15-('Control Room'!$B$15-1)/2)/MAX(0.5,'Control Room'!$B$15/4))^2),1)*IF(AND($A38&gt;='Control Room'!$A$16,$A38&lt;'Control Room'!$A$16+'Control Room'!$B$16,'Process'!BN5=1),1+('Control Room'!$C$16-1)*EXP(-0.5*(($A38-'Control Room'!$A$16-('Control Room'!$B$16-1)/2)/MAX(0.5,'Control Room'!$B$16/4))^2),1)</x:f>
        <x:v>1</x:v>
      </x:c>
      <x:c r="V38" s="9" t="n">
        <x:f>MOD(W37*16807,2147483647)</x:f>
        <x:v>293662957</x:v>
      </x:c>
      <x:c r="W38" s="9" t="n">
        <x:f>MOD(V38*16807,2147483647)</x:f>
        <x:v>675897493</x:v>
      </x:c>
      <x:c r="X38" s="17" t="n">
        <x:f>IF('Control Room'!$B$5="Normal",'Control Room'!$B$7+'Control Room'!$D$7*SQRT(-2*LN(MAX(0.000000000001,V38/2147483647)))*COS(2*PI()*W38/2147483647),'Control Room'!$B$8+('Control Room'!$D$8-'Control Room'!$B$8)*V38/2147483647)</x:f>
        <x:v>928.9691315292633</x:v>
      </x:c>
      <x:c r="Y38" s="17" t="n">
        <x:f>IF('Control Room'!$B$5="Normal",'Control Room'!$B$7,('Control Room'!$B$8+'Control Room'!$D$8)/2)+'Control Room'!$B$9*(Y37-IF('Control Room'!$B$5="Normal",'Control Room'!$B$7,('Control Room'!$B$8+'Control Room'!$D$8)/2))+SQRT(1-'Control Room'!$B$9^2)*(X38-IF('Control Room'!$B$5="Normal",'Control Room'!$B$7,('Control Room'!$B$8+'Control Room'!$D$8)/2))</x:f>
        <x:v>940.5529213136688</x:v>
      </x:c>
      <x:c r="Z38" s="17" t="n">
        <x:f>IF(AND($A38&gt;='Control Room'!$A$13,$A38&lt;'Control Room'!$A$13+'Control Room'!$B$13,'Process'!BO2=1),1+('Control Room'!$C$13-1)*EXP(-0.5*(($A38-'Control Room'!$A$13-('Control Room'!$B$13-1)/2)/MAX(0.5,'Control Room'!$B$13/4))^2),1)*IF(AND($A38&gt;='Control Room'!$A$14,$A38&lt;'Control Room'!$A$14+'Control Room'!$B$14,'Process'!BO3=1),1+('Control Room'!$C$14-1)*EXP(-0.5*(($A38-'Control Room'!$A$14-('Control Room'!$B$14-1)/2)/MAX(0.5,'Control Room'!$B$14/4))^2),1)*IF(AND($A38&gt;='Control Room'!$A$15,$A38&lt;'Control Room'!$A$15+'Control Room'!$B$15,'Process'!BO4=1),1+('Control Room'!$C$15-1)*EXP(-0.5*(($A38-'Control Room'!$A$15-('Control Room'!$B$15-1)/2)/MAX(0.5,'Control Room'!$B$15/4))^2),1)*IF(AND($A38&gt;='Control Room'!$A$16,$A38&lt;'Control Room'!$A$16+'Control Room'!$B$16,'Process'!BO5=1),1+('Control Room'!$C$16-1)*EXP(-0.5*(($A38-'Control Room'!$A$16-('Control Room'!$B$16-1)/2)/MAX(0.5,'Control Room'!$B$16/4))^2),1)</x:f>
        <x:v>1</x:v>
      </x:c>
      <x:c r="AA38" s="9" t="n">
        <x:f>MOD(AB37*16807,2147483647)</x:f>
        <x:v>1367109226</x:v>
      </x:c>
      <x:c r="AB38" s="9" t="n">
        <x:f>MOD(AA38*16807,2147483647)</x:f>
        <x:v>1077222129</x:v>
      </x:c>
      <x:c r="AC38" s="17" t="n">
        <x:f>IF('Control Room'!$B$5="Normal",'Control Room'!$B$7+'Control Room'!$D$7*SQRT(-2*LN(MAX(0.000000000001,AA38/2147483647)))*COS(2*PI()*AB38/2147483647),'Control Room'!$B$8+('Control Room'!$D$8-'Control Room'!$B$8)*AA38/2147483647)</x:f>
        <x:v>914.4714435964576</x:v>
      </x:c>
      <x:c r="AD38" s="17" t="n">
        <x:f>IF('Control Room'!$B$5="Normal",'Control Room'!$B$7,('Control Room'!$B$8+'Control Room'!$D$8)/2)+'Control Room'!$B$9*(AD37-IF('Control Room'!$B$5="Normal",'Control Room'!$B$7,('Control Room'!$B$8+'Control Room'!$D$8)/2))+SQRT(1-'Control Room'!$B$9^2)*(AC38-IF('Control Room'!$B$5="Normal",'Control Room'!$B$7,('Control Room'!$B$8+'Control Room'!$D$8)/2))</x:f>
        <x:v>1064.1829321335142</x:v>
      </x:c>
      <x:c r="AE38" s="17" t="n">
        <x:f>IF(AND($A38&gt;='Control Room'!$A$13,$A38&lt;'Control Room'!$A$13+'Control Room'!$B$13,'Process'!BP2=1),1+('Control Room'!$C$13-1)*EXP(-0.5*(($A38-'Control Room'!$A$13-('Control Room'!$B$13-1)/2)/MAX(0.5,'Control Room'!$B$13/4))^2),1)*IF(AND($A38&gt;='Control Room'!$A$14,$A38&lt;'Control Room'!$A$14+'Control Room'!$B$14,'Process'!BP3=1),1+('Control Room'!$C$14-1)*EXP(-0.5*(($A38-'Control Room'!$A$14-('Control Room'!$B$14-1)/2)/MAX(0.5,'Control Room'!$B$14/4))^2),1)*IF(AND($A38&gt;='Control Room'!$A$15,$A38&lt;'Control Room'!$A$15+'Control Room'!$B$15,'Process'!BP4=1),1+('Control Room'!$C$15-1)*EXP(-0.5*(($A38-'Control Room'!$A$15-('Control Room'!$B$15-1)/2)/MAX(0.5,'Control Room'!$B$15/4))^2),1)*IF(AND($A38&gt;='Control Room'!$A$16,$A38&lt;'Control Room'!$A$16+'Control Room'!$B$16,'Process'!BP5=1),1+('Control Room'!$C$16-1)*EXP(-0.5*(($A38-'Control Room'!$A$16-('Control Room'!$B$16-1)/2)/MAX(0.5,'Control Room'!$B$16/4))^2),1)</x:f>
        <x:v>1</x:v>
      </x:c>
      <x:c r="AF38" s="9" t="n">
        <x:f>MOD(AG37*16807,2147483647)</x:f>
        <x:v>293071848</x:v>
      </x:c>
      <x:c r="AG38" s="9" t="n">
        <x:f>MOD(AF38*16807,2147483647)</x:f>
        <x:v>1478546765</x:v>
      </x:c>
      <x:c r="AH38" s="17" t="n">
        <x:f>IF('Control Room'!$B$5="Normal",'Control Room'!$B$7+'Control Room'!$D$7*SQRT(-2*LN(MAX(0.000000000001,AF38/2147483647)))*COS(2*PI()*AG38/2147483647),'Control Room'!$B$8+('Control Room'!$D$8-'Control Room'!$B$8)*AF38/2147483647)</x:f>
        <x:v>932.3073238704162</x:v>
      </x:c>
      <x:c r="AI38" s="17" t="n">
        <x:f>IF('Control Room'!$B$5="Normal",'Control Room'!$B$7,('Control Room'!$B$8+'Control Room'!$D$8)/2)+'Control Room'!$B$9*(AI37-IF('Control Room'!$B$5="Normal",'Control Room'!$B$7,('Control Room'!$B$8+'Control Room'!$D$8)/2))+SQRT(1-'Control Room'!$B$9^2)*(AH38-IF('Control Room'!$B$5="Normal",'Control Room'!$B$7,('Control Room'!$B$8+'Control Room'!$D$8)/2))</x:f>
        <x:v>913.4028823011586</x:v>
      </x:c>
      <x:c r="AJ38" s="17" t="n">
        <x:f>IF(AND($A38&gt;='Control Room'!$A$13,$A38&lt;'Control Room'!$A$13+'Control Room'!$B$13,'Process'!BQ2=1),1+('Control Room'!$C$13-1)*EXP(-0.5*(($A38-'Control Room'!$A$13-('Control Room'!$B$13-1)/2)/MAX(0.5,'Control Room'!$B$13/4))^2),1)*IF(AND($A38&gt;='Control Room'!$A$14,$A38&lt;'Control Room'!$A$14+'Control Room'!$B$14,'Process'!BQ3=1),1+('Control Room'!$C$14-1)*EXP(-0.5*(($A38-'Control Room'!$A$14-('Control Room'!$B$14-1)/2)/MAX(0.5,'Control Room'!$B$14/4))^2),1)*IF(AND($A38&gt;='Control Room'!$A$15,$A38&lt;'Control Room'!$A$15+'Control Room'!$B$15,'Process'!BQ4=1),1+('Control Room'!$C$15-1)*EXP(-0.5*(($A38-'Control Room'!$A$15-('Control Room'!$B$15-1)/2)/MAX(0.5,'Control Room'!$B$15/4))^2),1)*IF(AND($A38&gt;='Control Room'!$A$16,$A38&lt;'Control Room'!$A$16+'Control Room'!$B$16,'Process'!BQ5=1),1+('Control Room'!$C$16-1)*EXP(-0.5*(($A38-'Control Room'!$A$16-('Control Room'!$B$16-1)/2)/MAX(0.5,'Control Room'!$B$16/4))^2),1)</x:f>
        <x:v>1</x:v>
      </x:c>
      <x:c r="AK38" s="9" t="n">
        <x:f>MOD(AL37*16807,2147483647)</x:f>
        <x:v>1366518117</x:v>
      </x:c>
      <x:c r="AL38" s="9" t="n">
        <x:f>MOD(AK38*16807,2147483647)</x:f>
        <x:v>1879871401</x:v>
      </x:c>
      <x:c r="AM38" s="17" t="n">
        <x:f>IF('Control Room'!$B$5="Normal",'Control Room'!$B$7+'Control Room'!$D$7*SQRT(-2*LN(MAX(0.000000000001,AK38/2147483647)))*COS(2*PI()*AL38/2147483647),'Control Room'!$B$8+('Control Room'!$D$8-'Control Room'!$B$8)*AK38/2147483647)</x:f>
        <x:v>1060.6554777537917</x:v>
      </x:c>
      <x:c r="AN38" s="17" t="n">
        <x:f>IF('Control Room'!$B$5="Normal",'Control Room'!$B$7,('Control Room'!$B$8+'Control Room'!$D$8)/2)+'Control Room'!$B$9*(AN37-IF('Control Room'!$B$5="Normal",'Control Room'!$B$7,('Control Room'!$B$8+'Control Room'!$D$8)/2))+SQRT(1-'Control Room'!$B$9^2)*(AM38-IF('Control Room'!$B$5="Normal",'Control Room'!$B$7,('Control Room'!$B$8+'Control Room'!$D$8)/2))</x:f>
        <x:v>930.3641505083968</x:v>
      </x:c>
      <x:c r="AO38" s="17" t="n">
        <x:f>IF(AND($A38&gt;='Control Room'!$A$13,$A38&lt;'Control Room'!$A$13+'Control Room'!$B$13,'Process'!BR2=1),1+('Control Room'!$C$13-1)*EXP(-0.5*(($A38-'Control Room'!$A$13-('Control Room'!$B$13-1)/2)/MAX(0.5,'Control Room'!$B$13/4))^2),1)*IF(AND($A38&gt;='Control Room'!$A$14,$A38&lt;'Control Room'!$A$14+'Control Room'!$B$14,'Process'!BR3=1),1+('Control Room'!$C$14-1)*EXP(-0.5*(($A38-'Control Room'!$A$14-('Control Room'!$B$14-1)/2)/MAX(0.5,'Control Room'!$B$14/4))^2),1)*IF(AND($A38&gt;='Control Room'!$A$15,$A38&lt;'Control Room'!$A$15+'Control Room'!$B$15,'Process'!BR4=1),1+('Control Room'!$C$15-1)*EXP(-0.5*(($A38-'Control Room'!$A$15-('Control Room'!$B$15-1)/2)/MAX(0.5,'Control Room'!$B$15/4))^2),1)*IF(AND($A38&gt;='Control Room'!$A$16,$A38&lt;'Control Room'!$A$16+'Control Room'!$B$16,'Process'!BR5=1),1+('Control Room'!$C$16-1)*EXP(-0.5*(($A38-'Control Room'!$A$16-('Control Room'!$B$16-1)/2)/MAX(0.5,'Control Room'!$B$16/4))^2),1)</x:f>
        <x:v>1</x:v>
      </x:c>
      <x:c r="AP38" s="9" t="n">
        <x:f>MOD(AQ37*16807,2147483647)</x:f>
        <x:v>292480739</x:v>
      </x:c>
      <x:c r="AQ38" s="9" t="n">
        <x:f>MOD(AP38*16807,2147483647)</x:f>
        <x:v>133712390</x:v>
      </x:c>
      <x:c r="AR38" s="17" t="n">
        <x:f>IF('Control Room'!$B$5="Normal",'Control Room'!$B$7+'Control Room'!$D$7*SQRT(-2*LN(MAX(0.000000000001,AP38/2147483647)))*COS(2*PI()*AQ38/2147483647),'Control Room'!$B$8+('Control Room'!$D$8-'Control Room'!$B$8)*AP38/2147483647)</x:f>
        <x:v>1166.1357444203322</x:v>
      </x:c>
      <x:c r="AS38" s="17" t="n">
        <x:f>IF('Control Room'!$B$5="Normal",'Control Room'!$B$7,('Control Room'!$B$8+'Control Room'!$D$8)/2)+'Control Room'!$B$9*(AS37-IF('Control Room'!$B$5="Normal",'Control Room'!$B$7,('Control Room'!$B$8+'Control Room'!$D$8)/2))+SQRT(1-'Control Room'!$B$9^2)*(AR38-IF('Control Room'!$B$5="Normal",'Control Room'!$B$7,('Control Room'!$B$8+'Control Room'!$D$8)/2))</x:f>
        <x:v>1033.9470416558668</x:v>
      </x:c>
      <x:c r="AT38" s="17" t="n">
        <x:f>IF(AND($A38&gt;='Control Room'!$A$13,$A38&lt;'Control Room'!$A$13+'Control Room'!$B$13,'Process'!BS2=1),1+('Control Room'!$C$13-1)*EXP(-0.5*(($A38-'Control Room'!$A$13-('Control Room'!$B$13-1)/2)/MAX(0.5,'Control Room'!$B$13/4))^2),1)*IF(AND($A38&gt;='Control Room'!$A$14,$A38&lt;'Control Room'!$A$14+'Control Room'!$B$14,'Process'!BS3=1),1+('Control Room'!$C$14-1)*EXP(-0.5*(($A38-'Control Room'!$A$14-('Control Room'!$B$14-1)/2)/MAX(0.5,'Control Room'!$B$14/4))^2),1)*IF(AND($A38&gt;='Control Room'!$A$15,$A38&lt;'Control Room'!$A$15+'Control Room'!$B$15,'Process'!BS4=1),1+('Control Room'!$C$15-1)*EXP(-0.5*(($A38-'Control Room'!$A$15-('Control Room'!$B$15-1)/2)/MAX(0.5,'Control Room'!$B$15/4))^2),1)*IF(AND($A38&gt;='Control Room'!$A$16,$A38&lt;'Control Room'!$A$16+'Control Room'!$B$16,'Process'!BS5=1),1+('Control Room'!$C$16-1)*EXP(-0.5*(($A38-'Control Room'!$A$16-('Control Room'!$B$16-1)/2)/MAX(0.5,'Control Room'!$B$16/4))^2),1)</x:f>
        <x:v>1</x:v>
      </x:c>
      <x:c r="AU38" s="9" t="n">
        <x:f>MOD(AV37*16807,2147483647)</x:f>
        <x:v>1365927008</x:v>
      </x:c>
      <x:c r="AV38" s="9" t="n">
        <x:f>MOD(AU38*16807,2147483647)</x:f>
        <x:v>535037026</x:v>
      </x:c>
      <x:c r="AW38" s="17" t="n">
        <x:f>IF('Control Room'!$B$5="Normal",'Control Room'!$B$7+'Control Room'!$D$7*SQRT(-2*LN(MAX(0.000000000001,AU38/2147483647)))*COS(2*PI()*AV38/2147483647),'Control Room'!$B$8+('Control Room'!$D$8-'Control Room'!$B$8)*AU38/2147483647)</x:f>
        <x:v>1000.459377210661</x:v>
      </x:c>
      <x:c r="AX38" s="17" t="n">
        <x:f>IF('Control Room'!$B$5="Normal",'Control Room'!$B$7,('Control Room'!$B$8+'Control Room'!$D$8)/2)+'Control Room'!$B$9*(AX37-IF('Control Room'!$B$5="Normal",'Control Room'!$B$7,('Control Room'!$B$8+'Control Room'!$D$8)/2))+SQRT(1-'Control Room'!$B$9^2)*(AW38-IF('Control Room'!$B$5="Normal",'Control Room'!$B$7,('Control Room'!$B$8+'Control Room'!$D$8)/2))</x:f>
        <x:v>949.0329361295982</x:v>
      </x:c>
      <x:c r="AY38" s="17" t="n">
        <x:f>IF(AND($A38&gt;='Control Room'!$A$13,$A38&lt;'Control Room'!$A$13+'Control Room'!$B$13,'Process'!BT2=1),1+('Control Room'!$C$13-1)*EXP(-0.5*(($A38-'Control Room'!$A$13-('Control Room'!$B$13-1)/2)/MAX(0.5,'Control Room'!$B$13/4))^2),1)*IF(AND($A38&gt;='Control Room'!$A$14,$A38&lt;'Control Room'!$A$14+'Control Room'!$B$14,'Process'!BT3=1),1+('Control Room'!$C$14-1)*EXP(-0.5*(($A38-'Control Room'!$A$14-('Control Room'!$B$14-1)/2)/MAX(0.5,'Control Room'!$B$14/4))^2),1)*IF(AND($A38&gt;='Control Room'!$A$15,$A38&lt;'Control Room'!$A$15+'Control Room'!$B$15,'Process'!BT4=1),1+('Control Room'!$C$15-1)*EXP(-0.5*(($A38-'Control Room'!$A$15-('Control Room'!$B$15-1)/2)/MAX(0.5,'Control Room'!$B$15/4))^2),1)*IF(AND($A38&gt;='Control Room'!$A$16,$A38&lt;'Control Room'!$A$16+'Control Room'!$B$16,'Process'!BT5=1),1+('Control Room'!$C$16-1)*EXP(-0.5*(($A38-'Control Room'!$A$16-('Control Room'!$B$16-1)/2)/MAX(0.5,'Control Room'!$B$16/4))^2),1)</x:f>
        <x:v>1</x:v>
      </x:c>
      <x:c r="AZ38" s="9" t="n">
        <x:f>MOD(BA37*16807,2147483647)</x:f>
        <x:v>291889630</x:v>
      </x:c>
      <x:c r="BA38" s="9" t="n">
        <x:f>MOD(AZ38*16807,2147483647)</x:f>
        <x:v>936361662</x:v>
      </x:c>
      <x:c r="BB38" s="17" t="n">
        <x:f>IF('Control Room'!$B$5="Normal",'Control Room'!$B$7+'Control Room'!$D$7*SQRT(-2*LN(MAX(0.000000000001,AZ38/2147483647)))*COS(2*PI()*BA38/2147483647),'Control Room'!$B$8+('Control Room'!$D$8-'Control Room'!$B$8)*AZ38/2147483647)</x:f>
        <x:v>834.5253086857831</x:v>
      </x:c>
      <x:c r="BC38" s="17" t="n">
        <x:f>IF('Control Room'!$B$5="Normal",'Control Room'!$B$7,('Control Room'!$B$8+'Control Room'!$D$8)/2)+'Control Room'!$B$9*(BC37-IF('Control Room'!$B$5="Normal",'Control Room'!$B$7,('Control Room'!$B$8+'Control Room'!$D$8)/2))+SQRT(1-'Control Room'!$B$9^2)*(BB38-IF('Control Room'!$B$5="Normal",'Control Room'!$B$7,('Control Room'!$B$8+'Control Room'!$D$8)/2))</x:f>
        <x:v>874.625004974277</x:v>
      </x:c>
      <x:c r="BD38" s="17" t="n">
        <x:f>IF(AND($A38&gt;='Control Room'!$A$13,$A38&lt;'Control Room'!$A$13+'Control Room'!$B$13,'Process'!BU2=1),1+('Control Room'!$C$13-1)*EXP(-0.5*(($A38-'Control Room'!$A$13-('Control Room'!$B$13-1)/2)/MAX(0.5,'Control Room'!$B$13/4))^2),1)*IF(AND($A38&gt;='Control Room'!$A$14,$A38&lt;'Control Room'!$A$14+'Control Room'!$B$14,'Process'!BU3=1),1+('Control Room'!$C$14-1)*EXP(-0.5*(($A38-'Control Room'!$A$14-('Control Room'!$B$14-1)/2)/MAX(0.5,'Control Room'!$B$14/4))^2),1)*IF(AND($A38&gt;='Control Room'!$A$15,$A38&lt;'Control Room'!$A$15+'Control Room'!$B$15,'Process'!BU4=1),1+('Control Room'!$C$15-1)*EXP(-0.5*(($A38-'Control Room'!$A$15-('Control Room'!$B$15-1)/2)/MAX(0.5,'Control Room'!$B$15/4))^2),1)*IF(AND($A38&gt;='Control Room'!$A$16,$A38&lt;'Control Room'!$A$16+'Control Room'!$B$16,'Process'!BU5=1),1+('Control Room'!$C$16-1)*EXP(-0.5*(($A38-'Control Room'!$A$16-('Control Room'!$B$16-1)/2)/MAX(0.5,'Control Room'!$B$16/4))^2),1)</x:f>
        <x:v>1</x:v>
      </x:c>
      <x:c r="BE38" s="9" t="n">
        <x:f>MOD(BF37*16807,2147483647)</x:f>
        <x:v>1365335899</x:v>
      </x:c>
      <x:c r="BF38" s="9" t="n">
        <x:f>MOD(BE38*16807,2147483647)</x:f>
        <x:v>1337686298</x:v>
      </x:c>
      <x:c r="BG38" s="17" t="n">
        <x:f>IF('Control Room'!$B$5="Normal",'Control Room'!$B$7+'Control Room'!$D$7*SQRT(-2*LN(MAX(0.000000000001,BE38/2147483647)))*COS(2*PI()*BF38/2147483647),'Control Room'!$B$8+('Control Room'!$D$8-'Control Room'!$B$8)*BE38/2147483647)</x:f>
        <x:v>938.6415857494293</x:v>
      </x:c>
      <x:c r="BH38" s="17" t="n">
        <x:f>IF('Control Room'!$B$5="Normal",'Control Room'!$B$7,('Control Room'!$B$8+'Control Room'!$D$8)/2)+'Control Room'!$B$9*(BH37-IF('Control Room'!$B$5="Normal",'Control Room'!$B$7,('Control Room'!$B$8+'Control Room'!$D$8)/2))+SQRT(1-'Control Room'!$B$9^2)*(BG38-IF('Control Room'!$B$5="Normal",'Control Room'!$B$7,('Control Room'!$B$8+'Control Room'!$D$8)/2))</x:f>
        <x:v>1004.6867000763582</x:v>
      </x:c>
      <x:c r="BI38" s="17" t="n">
        <x:f>IF(AND($A38&gt;='Control Room'!$A$13,$A38&lt;'Control Room'!$A$13+'Control Room'!$B$13,'Process'!BV2=1),1+('Control Room'!$C$13-1)*EXP(-0.5*(($A38-'Control Room'!$A$13-('Control Room'!$B$13-1)/2)/MAX(0.5,'Control Room'!$B$13/4))^2),1)*IF(AND($A38&gt;='Control Room'!$A$14,$A38&lt;'Control Room'!$A$14+'Control Room'!$B$14,'Process'!BV3=1),1+('Control Room'!$C$14-1)*EXP(-0.5*(($A38-'Control Room'!$A$14-('Control Room'!$B$14-1)/2)/MAX(0.5,'Control Room'!$B$14/4))^2),1)*IF(AND($A38&gt;='Control Room'!$A$15,$A38&lt;'Control Room'!$A$15+'Control Room'!$B$15,'Process'!BV4=1),1+('Control Room'!$C$15-1)*EXP(-0.5*(($A38-'Control Room'!$A$15-('Control Room'!$B$15-1)/2)/MAX(0.5,'Control Room'!$B$15/4))^2),1)*IF(AND($A38&gt;='Control Room'!$A$16,$A38&lt;'Control Room'!$A$16+'Control Room'!$B$16,'Process'!BV5=1),1+('Control Room'!$C$16-1)*EXP(-0.5*(($A38-'Control Room'!$A$16-('Control Room'!$B$16-1)/2)/MAX(0.5,'Control Room'!$B$16/4))^2),1)</x:f>
        <x:v>1</x:v>
      </x:c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Z38" t="str">
        <x:f>IF('Data'!A38="","",TEXT('Data'!A38,"mm-dd"))</x:f>
        <x:v>12-08</x:v>
      </x:c>
    </x:row>
    <x:row r="39" ht="21" customHeight="1">
      <x:c r="A39" s="15" t="n">
        <x:f>'Control Room'!$B$1+37</x:f>
        <x:v>73028</x:v>
      </x:c>
      <x:c r="B39" s="9" t="n">
        <x:f>MOD(C38*16807,2147483647)</x:f>
        <x:v>352584121</x:v>
      </x:c>
      <x:c r="C39" s="9" t="n">
        <x:f>MOD(B39*16807,2147483647)</x:f>
        <x:v>973939574</x:v>
      </x:c>
      <x:c r="D39" s="17" t="n">
        <x:f>IF('Control Room'!$B$5="Normal",'Control Room'!$B$7+'Control Room'!$D$7*SQRT(-2*LN(MAX(0.000000000001,B39/2147483647)))*COS(2*PI()*C39/2147483647),'Control Room'!$B$8+('Control Room'!$D$8-'Control Room'!$B$8)*B39/2147483647)</x:f>
        <x:v>836.158721225516</x:v>
      </x:c>
      <x:c r="E39" s="17" t="n">
        <x:f>IF('Control Room'!$B$5="Normal",'Control Room'!$B$7,('Control Room'!$B$8+'Control Room'!$D$8)/2)+'Control Room'!$B$9*(E38-IF('Control Room'!$B$5="Normal",'Control Room'!$B$7,('Control Room'!$B$8+'Control Room'!$D$8)/2))+SQRT(1-'Control Room'!$B$9^2)*(D39-IF('Control Room'!$B$5="Normal",'Control Room'!$B$7,('Control Room'!$B$8+'Control Room'!$D$8)/2))</x:f>
        <x:v>820.1686112063111</x:v>
      </x:c>
      <x:c r="F39" s="17" t="n">
        <x:f>IF(AND($A39&gt;='Control Room'!$A$13,$A39&lt;'Control Room'!$A$13+'Control Room'!$B$13,'Process'!BK2=1),1+('Control Room'!$C$13-1)*EXP(-0.5*(($A39-'Control Room'!$A$13-('Control Room'!$B$13-1)/2)/MAX(0.5,'Control Room'!$B$13/4))^2),1)*IF(AND($A39&gt;='Control Room'!$A$14,$A39&lt;'Control Room'!$A$14+'Control Room'!$B$14,'Process'!BK3=1),1+('Control Room'!$C$14-1)*EXP(-0.5*(($A39-'Control Room'!$A$14-('Control Room'!$B$14-1)/2)/MAX(0.5,'Control Room'!$B$14/4))^2),1)*IF(AND($A39&gt;='Control Room'!$A$15,$A39&lt;'Control Room'!$A$15+'Control Room'!$B$15,'Process'!BK4=1),1+('Control Room'!$C$15-1)*EXP(-0.5*(($A39-'Control Room'!$A$15-('Control Room'!$B$15-1)/2)/MAX(0.5,'Control Room'!$B$15/4))^2),1)*IF(AND($A39&gt;='Control Room'!$A$16,$A39&lt;'Control Room'!$A$16+'Control Room'!$B$16,'Process'!BK5=1),1+('Control Room'!$C$16-1)*EXP(-0.5*(($A39-'Control Room'!$A$16-('Control Room'!$B$16-1)/2)/MAX(0.5,'Control Room'!$B$16/4))^2),1)</x:f>
        <x:v>1</x:v>
      </x:c>
      <x:c r="G39" s="9" t="n">
        <x:f>MOD(H38*16807,2147483647)</x:f>
        <x:v>169606146</x:v>
      </x:c>
      <x:c r="H39" s="9" t="n">
        <x:f>MOD(G39*16807,2147483647)</x:f>
        <x:v>859696253</x:v>
      </x:c>
      <x:c r="I39" s="17" t="n">
        <x:f>IF('Control Room'!$B$5="Normal",'Control Room'!$B$7+'Control Room'!$D$7*SQRT(-2*LN(MAX(0.000000000001,G39/2147483647)))*COS(2*PI()*H39/2147483647),'Control Room'!$B$8+('Control Room'!$D$8-'Control Room'!$B$8)*G39/2147483647)</x:f>
        <x:v>835.6924937038054</x:v>
      </x:c>
      <x:c r="J39" s="17" t="n">
        <x:f>IF('Control Room'!$B$5="Normal",'Control Room'!$B$7,('Control Room'!$B$8+'Control Room'!$D$8)/2)+'Control Room'!$B$9*(J38-IF('Control Room'!$B$5="Normal",'Control Room'!$B$7,('Control Room'!$B$8+'Control Room'!$D$8)/2))+SQRT(1-'Control Room'!$B$9^2)*(I39-IF('Control Room'!$B$5="Normal",'Control Room'!$B$7,('Control Room'!$B$8+'Control Room'!$D$8)/2))</x:f>
        <x:v>858.6815522326847</x:v>
      </x:c>
      <x:c r="K39" s="17" t="n">
        <x:f>IF(AND($A39&gt;='Control Room'!$A$13,$A39&lt;'Control Room'!$A$13+'Control Room'!$B$13,'Process'!BL2=1),1+('Control Room'!$C$13-1)*EXP(-0.5*(($A39-'Control Room'!$A$13-('Control Room'!$B$13-1)/2)/MAX(0.5,'Control Room'!$B$13/4))^2),1)*IF(AND($A39&gt;='Control Room'!$A$14,$A39&lt;'Control Room'!$A$14+'Control Room'!$B$14,'Process'!BL3=1),1+('Control Room'!$C$14-1)*EXP(-0.5*(($A39-'Control Room'!$A$14-('Control Room'!$B$14-1)/2)/MAX(0.5,'Control Room'!$B$14/4))^2),1)*IF(AND($A39&gt;='Control Room'!$A$15,$A39&lt;'Control Room'!$A$15+'Control Room'!$B$15,'Process'!BL4=1),1+('Control Room'!$C$15-1)*EXP(-0.5*(($A39-'Control Room'!$A$15-('Control Room'!$B$15-1)/2)/MAX(0.5,'Control Room'!$B$15/4))^2),1)*IF(AND($A39&gt;='Control Room'!$A$16,$A39&lt;'Control Room'!$A$16+'Control Room'!$B$16,'Process'!BL5=1),1+('Control Room'!$C$16-1)*EXP(-0.5*(($A39-'Control Room'!$A$16-('Control Room'!$B$16-1)/2)/MAX(0.5,'Control Room'!$B$16/4))^2),1)</x:f>
        <x:v>1</x:v>
      </x:c>
      <x:c r="L39" s="9" t="n">
        <x:f>MOD(M38*16807,2147483647)</x:f>
        <x:v>2134111818</x:v>
      </x:c>
      <x:c r="M39" s="9" t="n">
        <x:f>MOD(L39*16807,2147483647)</x:f>
        <x:v>745452932</x:v>
      </x:c>
      <x:c r="N39" s="17" t="n">
        <x:f>IF('Control Room'!$B$5="Normal",'Control Room'!$B$7+'Control Room'!$D$7*SQRT(-2*LN(MAX(0.000000000001,L39/2147483647)))*COS(2*PI()*M39/2147483647),'Control Room'!$B$8+('Control Room'!$D$8-'Control Room'!$B$8)*L39/2147483647)</x:f>
        <x:v>994.2350981901093</x:v>
      </x:c>
      <x:c r="O39" s="17" t="n">
        <x:f>IF('Control Room'!$B$5="Normal",'Control Room'!$B$7,('Control Room'!$B$8+'Control Room'!$D$8)/2)+'Control Room'!$B$9*(O38-IF('Control Room'!$B$5="Normal",'Control Room'!$B$7,('Control Room'!$B$8+'Control Room'!$D$8)/2))+SQRT(1-'Control Room'!$B$9^2)*(N39-IF('Control Room'!$B$5="Normal",'Control Room'!$B$7,('Control Room'!$B$8+'Control Room'!$D$8)/2))</x:f>
        <x:v>1150.0833959385411</x:v>
      </x:c>
      <x:c r="P39" s="17" t="n">
        <x:f>IF(AND($A39&gt;='Control Room'!$A$13,$A39&lt;'Control Room'!$A$13+'Control Room'!$B$13,'Process'!BM2=1),1+('Control Room'!$C$13-1)*EXP(-0.5*(($A39-'Control Room'!$A$13-('Control Room'!$B$13-1)/2)/MAX(0.5,'Control Room'!$B$13/4))^2),1)*IF(AND($A39&gt;='Control Room'!$A$14,$A39&lt;'Control Room'!$A$14+'Control Room'!$B$14,'Process'!BM3=1),1+('Control Room'!$C$14-1)*EXP(-0.5*(($A39-'Control Room'!$A$14-('Control Room'!$B$14-1)/2)/MAX(0.5,'Control Room'!$B$14/4))^2),1)*IF(AND($A39&gt;='Control Room'!$A$15,$A39&lt;'Control Room'!$A$15+'Control Room'!$B$15,'Process'!BM4=1),1+('Control Room'!$C$15-1)*EXP(-0.5*(($A39-'Control Room'!$A$15-('Control Room'!$B$15-1)/2)/MAX(0.5,'Control Room'!$B$15/4))^2),1)*IF(AND($A39&gt;='Control Room'!$A$16,$A39&lt;'Control Room'!$A$16+'Control Room'!$B$16,'Process'!BM5=1),1+('Control Room'!$C$16-1)*EXP(-0.5*(($A39-'Control Room'!$A$16-('Control Room'!$B$16-1)/2)/MAX(0.5,'Control Room'!$B$16/4))^2),1)</x:f>
        <x:v>1</x:v>
      </x:c>
      <x:c r="Q39" s="9" t="n">
        <x:f>MOD(R38*16807,2147483647)</x:f>
        <x:v>1951133843</x:v>
      </x:c>
      <x:c r="R39" s="9" t="n">
        <x:f>MOD(Q39*16807,2147483647)</x:f>
        <x:v>631209611</x:v>
      </x:c>
      <x:c r="S39" s="17" t="n">
        <x:f>IF('Control Room'!$B$5="Normal",'Control Room'!$B$7+'Control Room'!$D$7*SQRT(-2*LN(MAX(0.000000000001,Q39/2147483647)))*COS(2*PI()*R39/2147483647),'Control Room'!$B$8+('Control Room'!$D$8-'Control Room'!$B$8)*Q39/2147483647)</x:f>
        <x:v>989.2589544045853</x:v>
      </x:c>
      <x:c r="T39" s="17" t="n">
        <x:f>IF('Control Room'!$B$5="Normal",'Control Room'!$B$7,('Control Room'!$B$8+'Control Room'!$D$8)/2)+'Control Room'!$B$9*(T38-IF('Control Room'!$B$5="Normal",'Control Room'!$B$7,('Control Room'!$B$8+'Control Room'!$D$8)/2))+SQRT(1-'Control Room'!$B$9^2)*(S39-IF('Control Room'!$B$5="Normal",'Control Room'!$B$7,('Control Room'!$B$8+'Control Room'!$D$8)/2))</x:f>
        <x:v>963.1242087345175</x:v>
      </x:c>
      <x:c r="U39" s="17" t="n">
        <x:f>IF(AND($A39&gt;='Control Room'!$A$13,$A39&lt;'Control Room'!$A$13+'Control Room'!$B$13,'Process'!BN2=1),1+('Control Room'!$C$13-1)*EXP(-0.5*(($A39-'Control Room'!$A$13-('Control Room'!$B$13-1)/2)/MAX(0.5,'Control Room'!$B$13/4))^2),1)*IF(AND($A39&gt;='Control Room'!$A$14,$A39&lt;'Control Room'!$A$14+'Control Room'!$B$14,'Process'!BN3=1),1+('Control Room'!$C$14-1)*EXP(-0.5*(($A39-'Control Room'!$A$14-('Control Room'!$B$14-1)/2)/MAX(0.5,'Control Room'!$B$14/4))^2),1)*IF(AND($A39&gt;='Control Room'!$A$15,$A39&lt;'Control Room'!$A$15+'Control Room'!$B$15,'Process'!BN4=1),1+('Control Room'!$C$15-1)*EXP(-0.5*(($A39-'Control Room'!$A$15-('Control Room'!$B$15-1)/2)/MAX(0.5,'Control Room'!$B$15/4))^2),1)*IF(AND($A39&gt;='Control Room'!$A$16,$A39&lt;'Control Room'!$A$16+'Control Room'!$B$16,'Process'!BN5=1),1+('Control Room'!$C$16-1)*EXP(-0.5*(($A39-'Control Room'!$A$16-('Control Room'!$B$16-1)/2)/MAX(0.5,'Control Room'!$B$16/4))^2),1)</x:f>
        <x:v>1</x:v>
      </x:c>
      <x:c r="V39" s="9" t="n">
        <x:f>MOD(W38*16807,2147483647)</x:f>
        <x:v>1768155868</x:v>
      </x:c>
      <x:c r="W39" s="9" t="n">
        <x:f>MOD(V39*16807,2147483647)</x:f>
        <x:v>516966290</x:v>
      </x:c>
      <x:c r="X39" s="17" t="n">
        <x:f>IF('Control Room'!$B$5="Normal",'Control Room'!$B$7+'Control Room'!$D$7*SQRT(-2*LN(MAX(0.000000000001,V39/2147483647)))*COS(2*PI()*W39/2147483647),'Control Room'!$B$8+('Control Room'!$D$8-'Control Room'!$B$8)*V39/2147483647)</x:f>
        <x:v>1003.266020898534</x:v>
      </x:c>
      <x:c r="Y39" s="17" t="n">
        <x:f>IF('Control Room'!$B$5="Normal",'Control Room'!$B$7,('Control Room'!$B$8+'Control Room'!$D$8)/2)+'Control Room'!$B$9*(Y38-IF('Control Room'!$B$5="Normal",'Control Room'!$B$7,('Control Room'!$B$8+'Control Room'!$D$8)/2))+SQRT(1-'Control Room'!$B$9^2)*(X39-IF('Control Room'!$B$5="Normal",'Control Room'!$B$7,('Control Room'!$B$8+'Control Room'!$D$8)/2))</x:f>
        <x:v>955.6750875948893</x:v>
      </x:c>
      <x:c r="Z39" s="17" t="n">
        <x:f>IF(AND($A39&gt;='Control Room'!$A$13,$A39&lt;'Control Room'!$A$13+'Control Room'!$B$13,'Process'!BO2=1),1+('Control Room'!$C$13-1)*EXP(-0.5*(($A39-'Control Room'!$A$13-('Control Room'!$B$13-1)/2)/MAX(0.5,'Control Room'!$B$13/4))^2),1)*IF(AND($A39&gt;='Control Room'!$A$14,$A39&lt;'Control Room'!$A$14+'Control Room'!$B$14,'Process'!BO3=1),1+('Control Room'!$C$14-1)*EXP(-0.5*(($A39-'Control Room'!$A$14-('Control Room'!$B$14-1)/2)/MAX(0.5,'Control Room'!$B$14/4))^2),1)*IF(AND($A39&gt;='Control Room'!$A$15,$A39&lt;'Control Room'!$A$15+'Control Room'!$B$15,'Process'!BO4=1),1+('Control Room'!$C$15-1)*EXP(-0.5*(($A39-'Control Room'!$A$15-('Control Room'!$B$15-1)/2)/MAX(0.5,'Control Room'!$B$15/4))^2),1)*IF(AND($A39&gt;='Control Room'!$A$16,$A39&lt;'Control Room'!$A$16+'Control Room'!$B$16,'Process'!BO5=1),1+('Control Room'!$C$16-1)*EXP(-0.5*(($A39-'Control Room'!$A$16-('Control Room'!$B$16-1)/2)/MAX(0.5,'Control Room'!$B$16/4))^2),1)</x:f>
        <x:v>1</x:v>
      </x:c>
      <x:c r="AA39" s="9" t="n">
        <x:f>MOD(AB38*16807,2147483647)</x:f>
        <x:v>1585177893</x:v>
      </x:c>
      <x:c r="AB39" s="9" t="n">
        <x:f>MOD(AA39*16807,2147483647)</x:f>
        <x:v>402722969</x:v>
      </x:c>
      <x:c r="AC39" s="17" t="n">
        <x:f>IF('Control Room'!$B$5="Normal",'Control Room'!$B$7+'Control Room'!$D$7*SQRT(-2*LN(MAX(0.000000000001,AA39/2147483647)))*COS(2*PI()*AB39/2147483647),'Control Room'!$B$8+('Control Room'!$D$8-'Control Room'!$B$8)*AA39/2147483647)</x:f>
        <x:v>1026.8246460033972</x:v>
      </x:c>
      <x:c r="AD39" s="17" t="n">
        <x:f>IF('Control Room'!$B$5="Normal",'Control Room'!$B$7,('Control Room'!$B$8+'Control Room'!$D$8)/2)+'Control Room'!$B$9*(AD38-IF('Control Room'!$B$5="Normal",'Control Room'!$B$7,('Control Room'!$B$8+'Control Room'!$D$8)/2))+SQRT(1-'Control Room'!$B$9^2)*(AC39-IF('Control Room'!$B$5="Normal",'Control Room'!$B$7,('Control Room'!$B$8+'Control Room'!$D$8)/2))</x:f>
        <x:v>1066.8490010003238</x:v>
      </x:c>
      <x:c r="AE39" s="17" t="n">
        <x:f>IF(AND($A39&gt;='Control Room'!$A$13,$A39&lt;'Control Room'!$A$13+'Control Room'!$B$13,'Process'!BP2=1),1+('Control Room'!$C$13-1)*EXP(-0.5*(($A39-'Control Room'!$A$13-('Control Room'!$B$13-1)/2)/MAX(0.5,'Control Room'!$B$13/4))^2),1)*IF(AND($A39&gt;='Control Room'!$A$14,$A39&lt;'Control Room'!$A$14+'Control Room'!$B$14,'Process'!BP3=1),1+('Control Room'!$C$14-1)*EXP(-0.5*(($A39-'Control Room'!$A$14-('Control Room'!$B$14-1)/2)/MAX(0.5,'Control Room'!$B$14/4))^2),1)*IF(AND($A39&gt;='Control Room'!$A$15,$A39&lt;'Control Room'!$A$15+'Control Room'!$B$15,'Process'!BP4=1),1+('Control Room'!$C$15-1)*EXP(-0.5*(($A39-'Control Room'!$A$15-('Control Room'!$B$15-1)/2)/MAX(0.5,'Control Room'!$B$15/4))^2),1)*IF(AND($A39&gt;='Control Room'!$A$16,$A39&lt;'Control Room'!$A$16+'Control Room'!$B$16,'Process'!BP5=1),1+('Control Room'!$C$16-1)*EXP(-0.5*(($A39-'Control Room'!$A$16-('Control Room'!$B$16-1)/2)/MAX(0.5,'Control Room'!$B$16/4))^2),1)</x:f>
        <x:v>1</x:v>
      </x:c>
      <x:c r="AF39" s="9" t="n">
        <x:f>MOD(AG38*16807,2147483647)</x:f>
        <x:v>1402199918</x:v>
      </x:c>
      <x:c r="AG39" s="9" t="n">
        <x:f>MOD(AF39*16807,2147483647)</x:f>
        <x:v>288479648</x:v>
      </x:c>
      <x:c r="AH39" s="17" t="n">
        <x:f>IF('Control Room'!$B$5="Normal",'Control Room'!$B$7+'Control Room'!$D$7*SQRT(-2*LN(MAX(0.000000000001,AF39/2147483647)))*COS(2*PI()*AG39/2147483647),'Control Room'!$B$8+('Control Room'!$D$8-'Control Room'!$B$8)*AF39/2147483647)</x:f>
        <x:v>1055.214299215349</x:v>
      </x:c>
      <x:c r="AI39" s="17" t="n">
        <x:f>IF('Control Room'!$B$5="Normal",'Control Room'!$B$7,('Control Room'!$B$8+'Control Room'!$D$8)/2)+'Control Room'!$B$9*(AI38-IF('Control Room'!$B$5="Normal",'Control Room'!$B$7,('Control Room'!$B$8+'Control Room'!$D$8)/2))+SQRT(1-'Control Room'!$B$9^2)*(AH39-IF('Control Room'!$B$5="Normal",'Control Room'!$B$7,('Control Room'!$B$8+'Control Room'!$D$8)/2))</x:f>
        <x:v>967.0062255174674</x:v>
      </x:c>
      <x:c r="AJ39" s="17" t="n">
        <x:f>IF(AND($A39&gt;='Control Room'!$A$13,$A39&lt;'Control Room'!$A$13+'Control Room'!$B$13,'Process'!BQ2=1),1+('Control Room'!$C$13-1)*EXP(-0.5*(($A39-'Control Room'!$A$13-('Control Room'!$B$13-1)/2)/MAX(0.5,'Control Room'!$B$13/4))^2),1)*IF(AND($A39&gt;='Control Room'!$A$14,$A39&lt;'Control Room'!$A$14+'Control Room'!$B$14,'Process'!BQ3=1),1+('Control Room'!$C$14-1)*EXP(-0.5*(($A39-'Control Room'!$A$14-('Control Room'!$B$14-1)/2)/MAX(0.5,'Control Room'!$B$14/4))^2),1)*IF(AND($A39&gt;='Control Room'!$A$15,$A39&lt;'Control Room'!$A$15+'Control Room'!$B$15,'Process'!BQ4=1),1+('Control Room'!$C$15-1)*EXP(-0.5*(($A39-'Control Room'!$A$15-('Control Room'!$B$15-1)/2)/MAX(0.5,'Control Room'!$B$15/4))^2),1)*IF(AND($A39&gt;='Control Room'!$A$16,$A39&lt;'Control Room'!$A$16+'Control Room'!$B$16,'Process'!BQ5=1),1+('Control Room'!$C$16-1)*EXP(-0.5*(($A39-'Control Room'!$A$16-('Control Room'!$B$16-1)/2)/MAX(0.5,'Control Room'!$B$16/4))^2),1)</x:f>
        <x:v>1</x:v>
      </x:c>
      <x:c r="AK39" s="9" t="n">
        <x:f>MOD(AL38*16807,2147483647)</x:f>
        <x:v>1219221943</x:v>
      </x:c>
      <x:c r="AL39" s="9" t="n">
        <x:f>MOD(AK39*16807,2147483647)</x:f>
        <x:v>174236327</x:v>
      </x:c>
      <x:c r="AM39" s="17" t="n">
        <x:f>IF('Control Room'!$B$5="Normal",'Control Room'!$B$7+'Control Room'!$D$7*SQRT(-2*LN(MAX(0.000000000001,AK39/2147483647)))*COS(2*PI()*AL39/2147483647),'Control Room'!$B$8+('Control Room'!$D$8-'Control Room'!$B$8)*AK39/2147483647)</x:f>
        <x:v>1083.5866192468188</x:v>
      </x:c>
      <x:c r="AN39" s="17" t="n">
        <x:f>IF('Control Room'!$B$5="Normal",'Control Room'!$B$7,('Control Room'!$B$8+'Control Room'!$D$8)/2)+'Control Room'!$B$9*(AN38-IF('Control Room'!$B$5="Normal",'Control Room'!$B$7,('Control Room'!$B$8+'Control Room'!$D$8)/2))+SQRT(1-'Control Room'!$B$9^2)*(AM39-IF('Control Room'!$B$5="Normal",'Control Room'!$B$7,('Control Room'!$B$8+'Control Room'!$D$8)/2))</x:f>
        <x:v>997.9908313562382</x:v>
      </x:c>
      <x:c r="AO39" s="17" t="n">
        <x:f>IF(AND($A39&gt;='Control Room'!$A$13,$A39&lt;'Control Room'!$A$13+'Control Room'!$B$13,'Process'!BR2=1),1+('Control Room'!$C$13-1)*EXP(-0.5*(($A39-'Control Room'!$A$13-('Control Room'!$B$13-1)/2)/MAX(0.5,'Control Room'!$B$13/4))^2),1)*IF(AND($A39&gt;='Control Room'!$A$14,$A39&lt;'Control Room'!$A$14+'Control Room'!$B$14,'Process'!BR3=1),1+('Control Room'!$C$14-1)*EXP(-0.5*(($A39-'Control Room'!$A$14-('Control Room'!$B$14-1)/2)/MAX(0.5,'Control Room'!$B$14/4))^2),1)*IF(AND($A39&gt;='Control Room'!$A$15,$A39&lt;'Control Room'!$A$15+'Control Room'!$B$15,'Process'!BR4=1),1+('Control Room'!$C$15-1)*EXP(-0.5*(($A39-'Control Room'!$A$15-('Control Room'!$B$15-1)/2)/MAX(0.5,'Control Room'!$B$15/4))^2),1)*IF(AND($A39&gt;='Control Room'!$A$16,$A39&lt;'Control Room'!$A$16+'Control Room'!$B$16,'Process'!BR5=1),1+('Control Room'!$C$16-1)*EXP(-0.5*(($A39-'Control Room'!$A$16-('Control Room'!$B$16-1)/2)/MAX(0.5,'Control Room'!$B$16/4))^2),1)</x:f>
        <x:v>1</x:v>
      </x:c>
      <x:c r="AP39" s="9" t="n">
        <x:f>MOD(AQ38*16807,2147483647)</x:f>
        <x:v>1036243968</x:v>
      </x:c>
      <x:c r="AQ39" s="9" t="n">
        <x:f>MOD(AP39*16807,2147483647)</x:f>
        <x:v>59993006</x:v>
      </x:c>
      <x:c r="AR39" s="17" t="n">
        <x:f>IF('Control Room'!$B$5="Normal",'Control Room'!$B$7+'Control Room'!$D$7*SQRT(-2*LN(MAX(0.000000000001,AP39/2147483647)))*COS(2*PI()*AQ39/2147483647),'Control Room'!$B$8+('Control Room'!$D$8-'Control Room'!$B$8)*AP39/2147483647)</x:f>
        <x:v>1106.9806063186327</x:v>
      </x:c>
      <x:c r="AS39" s="17" t="n">
        <x:f>IF('Control Room'!$B$5="Normal",'Control Room'!$B$7,('Control Room'!$B$8+'Control Room'!$D$8)/2)+'Control Room'!$B$9*(AS38-IF('Control Room'!$B$5="Normal",'Control Room'!$B$7,('Control Room'!$B$8+'Control Room'!$D$8)/2))+SQRT(1-'Control Room'!$B$9^2)*(AR39-IF('Control Room'!$B$5="Normal",'Control Room'!$B$7,('Control Room'!$B$8+'Control Room'!$D$8)/2))</x:f>
        <x:v>1093.424964308931</x:v>
      </x:c>
      <x:c r="AT39" s="17" t="n">
        <x:f>IF(AND($A39&gt;='Control Room'!$A$13,$A39&lt;'Control Room'!$A$13+'Control Room'!$B$13,'Process'!BS2=1),1+('Control Room'!$C$13-1)*EXP(-0.5*(($A39-'Control Room'!$A$13-('Control Room'!$B$13-1)/2)/MAX(0.5,'Control Room'!$B$13/4))^2),1)*IF(AND($A39&gt;='Control Room'!$A$14,$A39&lt;'Control Room'!$A$14+'Control Room'!$B$14,'Process'!BS3=1),1+('Control Room'!$C$14-1)*EXP(-0.5*(($A39-'Control Room'!$A$14-('Control Room'!$B$14-1)/2)/MAX(0.5,'Control Room'!$B$14/4))^2),1)*IF(AND($A39&gt;='Control Room'!$A$15,$A39&lt;'Control Room'!$A$15+'Control Room'!$B$15,'Process'!BS4=1),1+('Control Room'!$C$15-1)*EXP(-0.5*(($A39-'Control Room'!$A$15-('Control Room'!$B$15-1)/2)/MAX(0.5,'Control Room'!$B$15/4))^2),1)*IF(AND($A39&gt;='Control Room'!$A$16,$A39&lt;'Control Room'!$A$16+'Control Room'!$B$16,'Process'!BS5=1),1+('Control Room'!$C$16-1)*EXP(-0.5*(($A39-'Control Room'!$A$16-('Control Room'!$B$16-1)/2)/MAX(0.5,'Control Room'!$B$16/4))^2),1)</x:f>
        <x:v>1</x:v>
      </x:c>
      <x:c r="AU39" s="9" t="n">
        <x:f>MOD(AV38*16807,2147483647)</x:f>
        <x:v>853265993</x:v>
      </x:c>
      <x:c r="AV39" s="9" t="n">
        <x:f>MOD(AU39*16807,2147483647)</x:f>
        <x:v>2093233332</x:v>
      </x:c>
      <x:c r="AW39" s="17" t="n">
        <x:f>IF('Control Room'!$B$5="Normal",'Control Room'!$B$7+'Control Room'!$D$7*SQRT(-2*LN(MAX(0.000000000001,AU39/2147483647)))*COS(2*PI()*AV39/2147483647),'Control Room'!$B$8+('Control Room'!$D$8-'Control Room'!$B$8)*AU39/2147483647)</x:f>
        <x:v>1120.742396033019</x:v>
      </x:c>
      <x:c r="AX39" s="17" t="n">
        <x:f>IF('Control Room'!$B$5="Normal",'Control Room'!$B$7,('Control Room'!$B$8+'Control Room'!$D$8)/2)+'Control Room'!$B$9*(AX38-IF('Control Room'!$B$5="Normal",'Control Room'!$B$7,('Control Room'!$B$8+'Control Room'!$D$8)/2))+SQRT(1-'Control Room'!$B$9^2)*(AW39-IF('Control Room'!$B$5="Normal",'Control Room'!$B$7,('Control Room'!$B$8+'Control Room'!$D$8)/2))</x:f>
        <x:v>1035.8038080761182</x:v>
      </x:c>
      <x:c r="AY39" s="17" t="n">
        <x:f>IF(AND($A39&gt;='Control Room'!$A$13,$A39&lt;'Control Room'!$A$13+'Control Room'!$B$13,'Process'!BT2=1),1+('Control Room'!$C$13-1)*EXP(-0.5*(($A39-'Control Room'!$A$13-('Control Room'!$B$13-1)/2)/MAX(0.5,'Control Room'!$B$13/4))^2),1)*IF(AND($A39&gt;='Control Room'!$A$14,$A39&lt;'Control Room'!$A$14+'Control Room'!$B$14,'Process'!BT3=1),1+('Control Room'!$C$14-1)*EXP(-0.5*(($A39-'Control Room'!$A$14-('Control Room'!$B$14-1)/2)/MAX(0.5,'Control Room'!$B$14/4))^2),1)*IF(AND($A39&gt;='Control Room'!$A$15,$A39&lt;'Control Room'!$A$15+'Control Room'!$B$15,'Process'!BT4=1),1+('Control Room'!$C$15-1)*EXP(-0.5*(($A39-'Control Room'!$A$15-('Control Room'!$B$15-1)/2)/MAX(0.5,'Control Room'!$B$15/4))^2),1)*IF(AND($A39&gt;='Control Room'!$A$16,$A39&lt;'Control Room'!$A$16+'Control Room'!$B$16,'Process'!BT5=1),1+('Control Room'!$C$16-1)*EXP(-0.5*(($A39-'Control Room'!$A$16-('Control Room'!$B$16-1)/2)/MAX(0.5,'Control Room'!$B$16/4))^2),1)</x:f>
        <x:v>1</x:v>
      </x:c>
      <x:c r="AZ39" s="9" t="n">
        <x:f>MOD(BA38*16807,2147483647)</x:f>
        <x:v>670288018</x:v>
      </x:c>
      <x:c r="BA39" s="9" t="n">
        <x:f>MOD(AZ39*16807,2147483647)</x:f>
        <x:v>1978990011</x:v>
      </x:c>
      <x:c r="BB39" s="17" t="n">
        <x:f>IF('Control Room'!$B$5="Normal",'Control Room'!$B$7+'Control Room'!$D$7*SQRT(-2*LN(MAX(0.000000000001,AZ39/2147483647)))*COS(2*PI()*BA39/2147483647),'Control Room'!$B$8+('Control Room'!$D$8-'Control Room'!$B$8)*AZ39/2147483647)</x:f>
        <x:v>1120.9864720893715</x:v>
      </x:c>
      <x:c r="BC39" s="17" t="n">
        <x:f>IF('Control Room'!$B$5="Normal",'Control Room'!$B$7,('Control Room'!$B$8+'Control Room'!$D$8)/2)+'Control Room'!$B$9*(BC38-IF('Control Room'!$B$5="Normal",'Control Room'!$B$7,('Control Room'!$B$8+'Control Room'!$D$8)/2))+SQRT(1-'Control Room'!$B$9^2)*(BB39-IF('Control Room'!$B$5="Normal",'Control Room'!$B$7,('Control Room'!$B$8+'Control Room'!$D$8)/2))</x:f>
        <x:v>977.9183595708631</x:v>
      </x:c>
      <x:c r="BD39" s="17" t="n">
        <x:f>IF(AND($A39&gt;='Control Room'!$A$13,$A39&lt;'Control Room'!$A$13+'Control Room'!$B$13,'Process'!BU2=1),1+('Control Room'!$C$13-1)*EXP(-0.5*(($A39-'Control Room'!$A$13-('Control Room'!$B$13-1)/2)/MAX(0.5,'Control Room'!$B$13/4))^2),1)*IF(AND($A39&gt;='Control Room'!$A$14,$A39&lt;'Control Room'!$A$14+'Control Room'!$B$14,'Process'!BU3=1),1+('Control Room'!$C$14-1)*EXP(-0.5*(($A39-'Control Room'!$A$14-('Control Room'!$B$14-1)/2)/MAX(0.5,'Control Room'!$B$14/4))^2),1)*IF(AND($A39&gt;='Control Room'!$A$15,$A39&lt;'Control Room'!$A$15+'Control Room'!$B$15,'Process'!BU4=1),1+('Control Room'!$C$15-1)*EXP(-0.5*(($A39-'Control Room'!$A$15-('Control Room'!$B$15-1)/2)/MAX(0.5,'Control Room'!$B$15/4))^2),1)*IF(AND($A39&gt;='Control Room'!$A$16,$A39&lt;'Control Room'!$A$16+'Control Room'!$B$16,'Process'!BU5=1),1+('Control Room'!$C$16-1)*EXP(-0.5*(($A39-'Control Room'!$A$16-('Control Room'!$B$16-1)/2)/MAX(0.5,'Control Room'!$B$16/4))^2),1)</x:f>
        <x:v>1</x:v>
      </x:c>
      <x:c r="BE39" s="9" t="n">
        <x:f>MOD(BF38*16807,2147483647)</x:f>
        <x:v>487310043</x:v>
      </x:c>
      <x:c r="BF39" s="9" t="n">
        <x:f>MOD(BE39*16807,2147483647)</x:f>
        <x:v>1864746690</x:v>
      </x:c>
      <x:c r="BG39" s="17" t="n">
        <x:f>IF('Control Room'!$B$5="Normal",'Control Room'!$B$7+'Control Room'!$D$7*SQRT(-2*LN(MAX(0.000000000001,BE39/2147483647)))*COS(2*PI()*BF39/2147483647),'Control Room'!$B$8+('Control Room'!$D$8-'Control Room'!$B$8)*BE39/2147483647)</x:f>
        <x:v>1104.925286327596</x:v>
      </x:c>
      <x:c r="BH39" s="17" t="n">
        <x:f>IF('Control Room'!$B$5="Normal",'Control Room'!$B$7,('Control Room'!$B$8+'Control Room'!$D$8)/2)+'Control Room'!$B$9*(BH38-IF('Control Room'!$B$5="Normal",'Control Room'!$B$7,('Control Room'!$B$8+'Control Room'!$D$8)/2))+SQRT(1-'Control Room'!$B$9^2)*(BG39-IF('Control Room'!$B$5="Normal",'Control Room'!$B$7,('Control Room'!$B$8+'Control Room'!$D$8)/2))</x:f>
        <x:v>1069.3157207320423</x:v>
      </x:c>
      <x:c r="BI39" s="17" t="n">
        <x:f>IF(AND($A39&gt;='Control Room'!$A$13,$A39&lt;'Control Room'!$A$13+'Control Room'!$B$13,'Process'!BV2=1),1+('Control Room'!$C$13-1)*EXP(-0.5*(($A39-'Control Room'!$A$13-('Control Room'!$B$13-1)/2)/MAX(0.5,'Control Room'!$B$13/4))^2),1)*IF(AND($A39&gt;='Control Room'!$A$14,$A39&lt;'Control Room'!$A$14+'Control Room'!$B$14,'Process'!BV3=1),1+('Control Room'!$C$14-1)*EXP(-0.5*(($A39-'Control Room'!$A$14-('Control Room'!$B$14-1)/2)/MAX(0.5,'Control Room'!$B$14/4))^2),1)*IF(AND($A39&gt;='Control Room'!$A$15,$A39&lt;'Control Room'!$A$15+'Control Room'!$B$15,'Process'!BV4=1),1+('Control Room'!$C$15-1)*EXP(-0.5*(($A39-'Control Room'!$A$15-('Control Room'!$B$15-1)/2)/MAX(0.5,'Control Room'!$B$15/4))^2),1)*IF(AND($A39&gt;='Control Room'!$A$16,$A39&lt;'Control Room'!$A$16+'Control Room'!$B$16,'Process'!BV5=1),1+('Control Room'!$C$16-1)*EXP(-0.5*(($A39-'Control Room'!$A$16-('Control Room'!$B$16-1)/2)/MAX(0.5,'Control Room'!$B$16/4))^2),1)</x:f>
        <x:v>1</x:v>
      </x:c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Z39" t="str">
        <x:f>IF('Data'!A39="","",TEXT('Data'!A39,"mm-dd"))</x:f>
        <x:v>12-09</x:v>
      </x:c>
    </x:row>
    <x:row r="40" ht="21" customHeight="1">
      <x:c r="A40" s="15" t="n">
        <x:f>'Control Room'!$B$1+38</x:f>
        <x:v>73029</x:v>
      </x:c>
      <x:c r="B40" s="9" t="n">
        <x:f>MOD(C39*16807,2147483647)</x:f>
        <x:v>882062784</x:v>
      </x:c>
      <x:c r="C40" s="9" t="n">
        <x:f>MOD(B40*16807,2147483647)</x:f>
        <x:v>749595447</x:v>
      </x:c>
      <x:c r="D40" s="17" t="n">
        <x:f>IF('Control Room'!$B$5="Normal",'Control Room'!$B$7+'Control Room'!$D$7*SQRT(-2*LN(MAX(0.000000000001,B40/2147483647)))*COS(2*PI()*C40/2147483647),'Control Room'!$B$8+('Control Room'!$D$8-'Control Room'!$B$8)*B40/2147483647)</x:f>
        <x:v>930.0064599546877</x:v>
      </x:c>
      <x:c r="E40" s="17" t="n">
        <x:f>IF('Control Room'!$B$5="Normal",'Control Room'!$B$7,('Control Room'!$B$8+'Control Room'!$D$8)/2)+'Control Room'!$B$9*(E39-IF('Control Room'!$B$5="Normal",'Control Room'!$B$7,('Control Room'!$B$8+'Control Room'!$D$8)/2))+SQRT(1-'Control Room'!$B$9^2)*(D40-IF('Control Room'!$B$5="Normal",'Control Room'!$B$7,('Control Room'!$B$8+'Control Room'!$D$8)/2))</x:f>
        <x:v>815.9309932761732</x:v>
      </x:c>
      <x:c r="F40" s="17" t="n">
        <x:f>IF(AND($A40&gt;='Control Room'!$A$13,$A40&lt;'Control Room'!$A$13+'Control Room'!$B$13,'Process'!BK2=1),1+('Control Room'!$C$13-1)*EXP(-0.5*(($A40-'Control Room'!$A$13-('Control Room'!$B$13-1)/2)/MAX(0.5,'Control Room'!$B$13/4))^2),1)*IF(AND($A40&gt;='Control Room'!$A$14,$A40&lt;'Control Room'!$A$14+'Control Room'!$B$14,'Process'!BK3=1),1+('Control Room'!$C$14-1)*EXP(-0.5*(($A40-'Control Room'!$A$14-('Control Room'!$B$14-1)/2)/MAX(0.5,'Control Room'!$B$14/4))^2),1)*IF(AND($A40&gt;='Control Room'!$A$15,$A40&lt;'Control Room'!$A$15+'Control Room'!$B$15,'Process'!BK4=1),1+('Control Room'!$C$15-1)*EXP(-0.5*(($A40-'Control Room'!$A$15-('Control Room'!$B$15-1)/2)/MAX(0.5,'Control Room'!$B$15/4))^2),1)*IF(AND($A40&gt;='Control Room'!$A$16,$A40&lt;'Control Room'!$A$16+'Control Room'!$B$16,'Process'!BK5=1),1+('Control Room'!$C$16-1)*EXP(-0.5*(($A40-'Control Room'!$A$16-('Control Room'!$B$16-1)/2)/MAX(0.5,'Control Room'!$B$16/4))^2),1)</x:f>
        <x:v>1</x:v>
      </x:c>
      <x:c r="G40" s="9" t="n">
        <x:f>MOD(H39*16807,2147483647)</x:f>
        <x:v>644947155</x:v>
      </x:c>
      <x:c r="H40" s="9" t="n">
        <x:f>MOD(G40*16807,2147483647)</x:f>
        <x:v>1276867676</x:v>
      </x:c>
      <x:c r="I40" s="17" t="n">
        <x:f>IF('Control Room'!$B$5="Normal",'Control Room'!$B$7+'Control Room'!$D$7*SQRT(-2*LN(MAX(0.000000000001,G40/2147483647)))*COS(2*PI()*H40/2147483647),'Control Room'!$B$8+('Control Room'!$D$8-'Control Room'!$B$8)*G40/2147483647)</x:f>
        <x:v>884.3410258443146</x:v>
      </x:c>
      <x:c r="J40" s="17" t="n">
        <x:f>IF('Control Room'!$B$5="Normal",'Control Room'!$B$7,('Control Room'!$B$8+'Control Room'!$D$8)/2)+'Control Room'!$B$9*(J39-IF('Control Room'!$B$5="Normal",'Control Room'!$B$7,('Control Room'!$B$8+'Control Room'!$D$8)/2))+SQRT(1-'Control Room'!$B$9^2)*(I40-IF('Control Room'!$B$5="Normal",'Control Room'!$B$7,('Control Room'!$B$8+'Control Room'!$D$8)/2))</x:f>
        <x:v>817.3945941177401</x:v>
      </x:c>
      <x:c r="K40" s="17" t="n">
        <x:f>IF(AND($A40&gt;='Control Room'!$A$13,$A40&lt;'Control Room'!$A$13+'Control Room'!$B$13,'Process'!BL2=1),1+('Control Room'!$C$13-1)*EXP(-0.5*(($A40-'Control Room'!$A$13-('Control Room'!$B$13-1)/2)/MAX(0.5,'Control Room'!$B$13/4))^2),1)*IF(AND($A40&gt;='Control Room'!$A$14,$A40&lt;'Control Room'!$A$14+'Control Room'!$B$14,'Process'!BL3=1),1+('Control Room'!$C$14-1)*EXP(-0.5*(($A40-'Control Room'!$A$14-('Control Room'!$B$14-1)/2)/MAX(0.5,'Control Room'!$B$14/4))^2),1)*IF(AND($A40&gt;='Control Room'!$A$15,$A40&lt;'Control Room'!$A$15+'Control Room'!$B$15,'Process'!BL4=1),1+('Control Room'!$C$15-1)*EXP(-0.5*(($A40-'Control Room'!$A$15-('Control Room'!$B$15-1)/2)/MAX(0.5,'Control Room'!$B$15/4))^2),1)*IF(AND($A40&gt;='Control Room'!$A$16,$A40&lt;'Control Room'!$A$16+'Control Room'!$B$16,'Process'!BL5=1),1+('Control Room'!$C$16-1)*EXP(-0.5*(($A40-'Control Room'!$A$16-('Control Room'!$B$16-1)/2)/MAX(0.5,'Control Room'!$B$16/4))^2),1)</x:f>
        <x:v>1</x:v>
      </x:c>
      <x:c r="L40" s="9" t="n">
        <x:f>MOD(M39*16807,2147483647)</x:f>
        <x:v>407831526</x:v>
      </x:c>
      <x:c r="M40" s="9" t="n">
        <x:f>MOD(L40*16807,2147483647)</x:f>
        <x:v>1804139905</x:v>
      </x:c>
      <x:c r="N40" s="17" t="n">
        <x:f>IF('Control Room'!$B$5="Normal",'Control Room'!$B$7+'Control Room'!$D$7*SQRT(-2*LN(MAX(0.000000000001,L40/2147483647)))*COS(2*PI()*M40/2147483647),'Control Room'!$B$8+('Control Room'!$D$8-'Control Room'!$B$8)*L40/2147483647)</x:f>
        <x:v>1088.0035231447268</x:v>
      </x:c>
      <x:c r="O40" s="17" t="n">
        <x:f>IF('Control Room'!$B$5="Normal",'Control Room'!$B$7,('Control Room'!$B$8+'Control Room'!$D$8)/2)+'Control Room'!$B$9*(O39-IF('Control Room'!$B$5="Normal",'Control Room'!$B$7,('Control Room'!$B$8+'Control Room'!$D$8)/2))+SQRT(1-'Control Room'!$B$9^2)*(N40-IF('Control Room'!$B$5="Normal",'Control Room'!$B$7,('Control Room'!$B$8+'Control Room'!$D$8)/2))</x:f>
        <x:v>1172.135850765867</x:v>
      </x:c>
      <x:c r="P40" s="17" t="n">
        <x:f>IF(AND($A40&gt;='Control Room'!$A$13,$A40&lt;'Control Room'!$A$13+'Control Room'!$B$13,'Process'!BM2=1),1+('Control Room'!$C$13-1)*EXP(-0.5*(($A40-'Control Room'!$A$13-('Control Room'!$B$13-1)/2)/MAX(0.5,'Control Room'!$B$13/4))^2),1)*IF(AND($A40&gt;='Control Room'!$A$14,$A40&lt;'Control Room'!$A$14+'Control Room'!$B$14,'Process'!BM3=1),1+('Control Room'!$C$14-1)*EXP(-0.5*(($A40-'Control Room'!$A$14-('Control Room'!$B$14-1)/2)/MAX(0.5,'Control Room'!$B$14/4))^2),1)*IF(AND($A40&gt;='Control Room'!$A$15,$A40&lt;'Control Room'!$A$15+'Control Room'!$B$15,'Process'!BM4=1),1+('Control Room'!$C$15-1)*EXP(-0.5*(($A40-'Control Room'!$A$15-('Control Room'!$B$15-1)/2)/MAX(0.5,'Control Room'!$B$15/4))^2),1)*IF(AND($A40&gt;='Control Room'!$A$16,$A40&lt;'Control Room'!$A$16+'Control Room'!$B$16,'Process'!BM5=1),1+('Control Room'!$C$16-1)*EXP(-0.5*(($A40-'Control Room'!$A$16-('Control Room'!$B$16-1)/2)/MAX(0.5,'Control Room'!$B$16/4))^2),1)</x:f>
        <x:v>1</x:v>
      </x:c>
      <x:c r="Q40" s="9" t="n">
        <x:f>MOD(R39*16807,2147483647)</x:f>
        <x:v>170715897</x:v>
      </x:c>
      <x:c r="R40" s="9" t="n">
        <x:f>MOD(Q40*16807,2147483647)</x:f>
        <x:v>183928487</x:v>
      </x:c>
      <x:c r="S40" s="17" t="n">
        <x:f>IF('Control Room'!$B$5="Normal",'Control Room'!$B$7+'Control Room'!$D$7*SQRT(-2*LN(MAX(0.000000000001,Q40/2147483647)))*COS(2*PI()*R40/2147483647),'Control Room'!$B$8+('Control Room'!$D$8-'Control Room'!$B$8)*Q40/2147483647)</x:f>
        <x:v>1173.906396551853</x:v>
      </x:c>
      <x:c r="T40" s="17" t="n">
        <x:f>IF('Control Room'!$B$5="Normal",'Control Room'!$B$7,('Control Room'!$B$8+'Control Room'!$D$8)/2)+'Control Room'!$B$9*(T39-IF('Control Room'!$B$5="Normal",'Control Room'!$B$7,('Control Room'!$B$8+'Control Room'!$D$8)/2))+SQRT(1-'Control Room'!$B$9^2)*(S40-IF('Control Room'!$B$5="Normal",'Control Room'!$B$7,('Control Room'!$B$8+'Control Room'!$D$8)/2))</x:f>
        <x:v>1080.0639431088919</x:v>
      </x:c>
      <x:c r="U40" s="17" t="n">
        <x:f>IF(AND($A40&gt;='Control Room'!$A$13,$A40&lt;'Control Room'!$A$13+'Control Room'!$B$13,'Process'!BN2=1),1+('Control Room'!$C$13-1)*EXP(-0.5*(($A40-'Control Room'!$A$13-('Control Room'!$B$13-1)/2)/MAX(0.5,'Control Room'!$B$13/4))^2),1)*IF(AND($A40&gt;='Control Room'!$A$14,$A40&lt;'Control Room'!$A$14+'Control Room'!$B$14,'Process'!BN3=1),1+('Control Room'!$C$14-1)*EXP(-0.5*(($A40-'Control Room'!$A$14-('Control Room'!$B$14-1)/2)/MAX(0.5,'Control Room'!$B$14/4))^2),1)*IF(AND($A40&gt;='Control Room'!$A$15,$A40&lt;'Control Room'!$A$15+'Control Room'!$B$15,'Process'!BN4=1),1+('Control Room'!$C$15-1)*EXP(-0.5*(($A40-'Control Room'!$A$15-('Control Room'!$B$15-1)/2)/MAX(0.5,'Control Room'!$B$15/4))^2),1)*IF(AND($A40&gt;='Control Room'!$A$16,$A40&lt;'Control Room'!$A$16+'Control Room'!$B$16,'Process'!BN5=1),1+('Control Room'!$C$16-1)*EXP(-0.5*(($A40-'Control Room'!$A$16-('Control Room'!$B$16-1)/2)/MAX(0.5,'Control Room'!$B$16/4))^2),1)</x:f>
        <x:v>1</x:v>
      </x:c>
      <x:c r="V40" s="9" t="n">
        <x:f>MOD(W39*16807,2147483647)</x:f>
        <x:v>2081083915</x:v>
      </x:c>
      <x:c r="W40" s="9" t="n">
        <x:f>MOD(V40*16807,2147483647)</x:f>
        <x:v>711200716</x:v>
      </x:c>
      <x:c r="X40" s="17" t="n">
        <x:f>IF('Control Room'!$B$5="Normal",'Control Room'!$B$7+'Control Room'!$D$7*SQRT(-2*LN(MAX(0.000000000001,V40/2147483647)))*COS(2*PI()*W40/2147483647),'Control Room'!$B$8+('Control Room'!$D$8-'Control Room'!$B$8)*V40/2147483647)</x:f>
        <x:v>988.9871089757371</x:v>
      </x:c>
      <x:c r="Y40" s="17" t="n">
        <x:f>IF('Control Room'!$B$5="Normal",'Control Room'!$B$7,('Control Room'!$B$8+'Control Room'!$D$8)/2)+'Control Room'!$B$9*(Y39-IF('Control Room'!$B$5="Normal",'Control Room'!$B$7,('Control Room'!$B$8+'Control Room'!$D$8)/2))+SQRT(1-'Control Room'!$B$9^2)*(X40-IF('Control Room'!$B$5="Normal",'Control Room'!$B$7,('Control Room'!$B$8+'Control Room'!$D$8)/2))</x:f>
        <x:v>958.5349267323656</x:v>
      </x:c>
      <x:c r="Z40" s="17" t="n">
        <x:f>IF(AND($A40&gt;='Control Room'!$A$13,$A40&lt;'Control Room'!$A$13+'Control Room'!$B$13,'Process'!BO2=1),1+('Control Room'!$C$13-1)*EXP(-0.5*(($A40-'Control Room'!$A$13-('Control Room'!$B$13-1)/2)/MAX(0.5,'Control Room'!$B$13/4))^2),1)*IF(AND($A40&gt;='Control Room'!$A$14,$A40&lt;'Control Room'!$A$14+'Control Room'!$B$14,'Process'!BO3=1),1+('Control Room'!$C$14-1)*EXP(-0.5*(($A40-'Control Room'!$A$14-('Control Room'!$B$14-1)/2)/MAX(0.5,'Control Room'!$B$14/4))^2),1)*IF(AND($A40&gt;='Control Room'!$A$15,$A40&lt;'Control Room'!$A$15+'Control Room'!$B$15,'Process'!BO4=1),1+('Control Room'!$C$15-1)*EXP(-0.5*(($A40-'Control Room'!$A$15-('Control Room'!$B$15-1)/2)/MAX(0.5,'Control Room'!$B$15/4))^2),1)*IF(AND($A40&gt;='Control Room'!$A$16,$A40&lt;'Control Room'!$A$16+'Control Room'!$B$16,'Process'!BO5=1),1+('Control Room'!$C$16-1)*EXP(-0.5*(($A40-'Control Room'!$A$16-('Control Room'!$B$16-1)/2)/MAX(0.5,'Control Room'!$B$16/4))^2),1)</x:f>
        <x:v>1</x:v>
      </x:c>
      <x:c r="AA40" s="9" t="n">
        <x:f>MOD(AB39*16807,2147483647)</x:f>
        <x:v>1843968286</x:v>
      </x:c>
      <x:c r="AB40" s="9" t="n">
        <x:f>MOD(AA40*16807,2147483647)</x:f>
        <x:v>1238472945</x:v>
      </x:c>
      <x:c r="AC40" s="17" t="n">
        <x:f>IF('Control Room'!$B$5="Normal",'Control Room'!$B$7+'Control Room'!$D$7*SQRT(-2*LN(MAX(0.000000000001,AA40/2147483647)))*COS(2*PI()*AB40/2147483647),'Control Room'!$B$8+('Control Room'!$D$8-'Control Room'!$B$8)*AA40/2147483647)</x:f>
        <x:v>955.9759287562187</x:v>
      </x:c>
      <x:c r="AD40" s="17" t="n">
        <x:f>IF('Control Room'!$B$5="Normal",'Control Room'!$B$7,('Control Room'!$B$8+'Control Room'!$D$8)/2)+'Control Room'!$B$9*(AD39-IF('Control Room'!$B$5="Normal",'Control Room'!$B$7,('Control Room'!$B$8+'Control Room'!$D$8)/2))+SQRT(1-'Control Room'!$B$9^2)*(AC40-IF('Control Room'!$B$5="Normal",'Control Room'!$B$7,('Control Room'!$B$8+'Control Room'!$D$8)/2))</x:f>
        <x:v>1024.5928588780152</x:v>
      </x:c>
      <x:c r="AE40" s="17" t="n">
        <x:f>IF(AND($A40&gt;='Control Room'!$A$13,$A40&lt;'Control Room'!$A$13+'Control Room'!$B$13,'Process'!BP2=1),1+('Control Room'!$C$13-1)*EXP(-0.5*(($A40-'Control Room'!$A$13-('Control Room'!$B$13-1)/2)/MAX(0.5,'Control Room'!$B$13/4))^2),1)*IF(AND($A40&gt;='Control Room'!$A$14,$A40&lt;'Control Room'!$A$14+'Control Room'!$B$14,'Process'!BP3=1),1+('Control Room'!$C$14-1)*EXP(-0.5*(($A40-'Control Room'!$A$14-('Control Room'!$B$14-1)/2)/MAX(0.5,'Control Room'!$B$14/4))^2),1)*IF(AND($A40&gt;='Control Room'!$A$15,$A40&lt;'Control Room'!$A$15+'Control Room'!$B$15,'Process'!BP4=1),1+('Control Room'!$C$15-1)*EXP(-0.5*(($A40-'Control Room'!$A$15-('Control Room'!$B$15-1)/2)/MAX(0.5,'Control Room'!$B$15/4))^2),1)*IF(AND($A40&gt;='Control Room'!$A$16,$A40&lt;'Control Room'!$A$16+'Control Room'!$B$16,'Process'!BP5=1),1+('Control Room'!$C$16-1)*EXP(-0.5*(($A40-'Control Room'!$A$16-('Control Room'!$B$16-1)/2)/MAX(0.5,'Control Room'!$B$16/4))^2),1)</x:f>
        <x:v>1</x:v>
      </x:c>
      <x:c r="AF40" s="9" t="n">
        <x:f>MOD(AG39*16807,2147483647)</x:f>
        <x:v>1606852657</x:v>
      </x:c>
      <x:c r="AG40" s="9" t="n">
        <x:f>MOD(AF40*16807,2147483647)</x:f>
        <x:v>1765745174</x:v>
      </x:c>
      <x:c r="AH40" s="17" t="n">
        <x:f>IF('Control Room'!$B$5="Normal",'Control Room'!$B$7+'Control Room'!$D$7*SQRT(-2*LN(MAX(0.000000000001,AF40/2147483647)))*COS(2*PI()*AG40/2147483647),'Control Room'!$B$8+('Control Room'!$D$8-'Control Room'!$B$8)*AF40/2147483647)</x:f>
        <x:v>1030.0543805105117</x:v>
      </x:c>
      <x:c r="AI40" s="17" t="n">
        <x:f>IF('Control Room'!$B$5="Normal",'Control Room'!$B$7,('Control Room'!$B$8+'Control Room'!$D$8)/2)+'Control Room'!$B$9*(AI39-IF('Control Room'!$B$5="Normal",'Control Room'!$B$7,('Control Room'!$B$8+'Control Room'!$D$8)/2))+SQRT(1-'Control Room'!$B$9^2)*(AH40-IF('Control Room'!$B$5="Normal",'Control Room'!$B$7,('Control Room'!$B$8+'Control Room'!$D$8)/2))</x:f>
        <x:v>993.072271529652</x:v>
      </x:c>
      <x:c r="AJ40" s="17" t="n">
        <x:f>IF(AND($A40&gt;='Control Room'!$A$13,$A40&lt;'Control Room'!$A$13+'Control Room'!$B$13,'Process'!BQ2=1),1+('Control Room'!$C$13-1)*EXP(-0.5*(($A40-'Control Room'!$A$13-('Control Room'!$B$13-1)/2)/MAX(0.5,'Control Room'!$B$13/4))^2),1)*IF(AND($A40&gt;='Control Room'!$A$14,$A40&lt;'Control Room'!$A$14+'Control Room'!$B$14,'Process'!BQ3=1),1+('Control Room'!$C$14-1)*EXP(-0.5*(($A40-'Control Room'!$A$14-('Control Room'!$B$14-1)/2)/MAX(0.5,'Control Room'!$B$14/4))^2),1)*IF(AND($A40&gt;='Control Room'!$A$15,$A40&lt;'Control Room'!$A$15+'Control Room'!$B$15,'Process'!BQ4=1),1+('Control Room'!$C$15-1)*EXP(-0.5*(($A40-'Control Room'!$A$15-('Control Room'!$B$15-1)/2)/MAX(0.5,'Control Room'!$B$15/4))^2),1)*IF(AND($A40&gt;='Control Room'!$A$16,$A40&lt;'Control Room'!$A$16+'Control Room'!$B$16,'Process'!BQ5=1),1+('Control Room'!$C$16-1)*EXP(-0.5*(($A40-'Control Room'!$A$16-('Control Room'!$B$16-1)/2)/MAX(0.5,'Control Room'!$B$16/4))^2),1)</x:f>
        <x:v>1</x:v>
      </x:c>
      <x:c r="AK40" s="9" t="n">
        <x:f>MOD(AL39*16807,2147483647)</x:f>
        <x:v>1369737028</x:v>
      </x:c>
      <x:c r="AL40" s="9" t="n">
        <x:f>MOD(AK40*16807,2147483647)</x:f>
        <x:v>145533756</x:v>
      </x:c>
      <x:c r="AM40" s="17" t="n">
        <x:f>IF('Control Room'!$B$5="Normal",'Control Room'!$B$7+'Control Room'!$D$7*SQRT(-2*LN(MAX(0.000000000001,AK40/2147483647)))*COS(2*PI()*AL40/2147483647),'Control Room'!$B$8+('Control Room'!$D$8-'Control Room'!$B$8)*AK40/2147483647)</x:f>
        <x:v>1077.729556822597</x:v>
      </x:c>
      <x:c r="AN40" s="17" t="n">
        <x:f>IF('Control Room'!$B$5="Normal",'Control Room'!$B$7,('Control Room'!$B$8+'Control Room'!$D$8)/2)+'Control Room'!$B$9*(AN39-IF('Control Room'!$B$5="Normal",'Control Room'!$B$7,('Control Room'!$B$8+'Control Room'!$D$8)/2))+SQRT(1-'Control Room'!$B$9^2)*(AM40-IF('Control Room'!$B$5="Normal",'Control Room'!$B$7,('Control Room'!$B$8+'Control Room'!$D$8)/2))</x:f>
        <x:v>1047.074412740922</x:v>
      </x:c>
      <x:c r="AO40" s="17" t="n">
        <x:f>IF(AND($A40&gt;='Control Room'!$A$13,$A40&lt;'Control Room'!$A$13+'Control Room'!$B$13,'Process'!BR2=1),1+('Control Room'!$C$13-1)*EXP(-0.5*(($A40-'Control Room'!$A$13-('Control Room'!$B$13-1)/2)/MAX(0.5,'Control Room'!$B$13/4))^2),1)*IF(AND($A40&gt;='Control Room'!$A$14,$A40&lt;'Control Room'!$A$14+'Control Room'!$B$14,'Process'!BR3=1),1+('Control Room'!$C$14-1)*EXP(-0.5*(($A40-'Control Room'!$A$14-('Control Room'!$B$14-1)/2)/MAX(0.5,'Control Room'!$B$14/4))^2),1)*IF(AND($A40&gt;='Control Room'!$A$15,$A40&lt;'Control Room'!$A$15+'Control Room'!$B$15,'Process'!BR4=1),1+('Control Room'!$C$15-1)*EXP(-0.5*(($A40-'Control Room'!$A$15-('Control Room'!$B$15-1)/2)/MAX(0.5,'Control Room'!$B$15/4))^2),1)*IF(AND($A40&gt;='Control Room'!$A$16,$A40&lt;'Control Room'!$A$16+'Control Room'!$B$16,'Process'!BR5=1),1+('Control Room'!$C$16-1)*EXP(-0.5*(($A40-'Control Room'!$A$16-('Control Room'!$B$16-1)/2)/MAX(0.5,'Control Room'!$B$16/4))^2),1)</x:f>
        <x:v>1</x:v>
      </x:c>
      <x:c r="AP40" s="9" t="n">
        <x:f>MOD(AQ39*16807,2147483647)</x:f>
        <x:v>1132621399</x:v>
      </x:c>
      <x:c r="AQ40" s="9" t="n">
        <x:f>MOD(AP40*16807,2147483647)</x:f>
        <x:v>672805985</x:v>
      </x:c>
      <x:c r="AR40" s="17" t="n">
        <x:f>IF('Control Room'!$B$5="Normal",'Control Room'!$B$7+'Control Room'!$D$7*SQRT(-2*LN(MAX(0.000000000001,AP40/2147483647)))*COS(2*PI()*AQ40/2147483647),'Control Room'!$B$8+('Control Room'!$D$8-'Control Room'!$B$8)*AP40/2147483647)</x:f>
        <x:v>960.5690251375181</x:v>
      </x:c>
      <x:c r="AS40" s="17" t="n">
        <x:f>IF('Control Room'!$B$5="Normal",'Control Room'!$B$7,('Control Room'!$B$8+'Control Room'!$D$8)/2)+'Control Room'!$B$9*(AS39-IF('Control Room'!$B$5="Normal",'Control Room'!$B$7,('Control Room'!$B$8+'Control Room'!$D$8)/2))+SQRT(1-'Control Room'!$B$9^2)*(AR40-IF('Control Room'!$B$5="Normal",'Control Room'!$B$7,('Control Room'!$B$8+'Control Room'!$D$8)/2))</x:f>
        <x:v>1048.1963758794523</x:v>
      </x:c>
      <x:c r="AT40" s="17" t="n">
        <x:f>IF(AND($A40&gt;='Control Room'!$A$13,$A40&lt;'Control Room'!$A$13+'Control Room'!$B$13,'Process'!BS2=1),1+('Control Room'!$C$13-1)*EXP(-0.5*(($A40-'Control Room'!$A$13-('Control Room'!$B$13-1)/2)/MAX(0.5,'Control Room'!$B$13/4))^2),1)*IF(AND($A40&gt;='Control Room'!$A$14,$A40&lt;'Control Room'!$A$14+'Control Room'!$B$14,'Process'!BS3=1),1+('Control Room'!$C$14-1)*EXP(-0.5*(($A40-'Control Room'!$A$14-('Control Room'!$B$14-1)/2)/MAX(0.5,'Control Room'!$B$14/4))^2),1)*IF(AND($A40&gt;='Control Room'!$A$15,$A40&lt;'Control Room'!$A$15+'Control Room'!$B$15,'Process'!BS4=1),1+('Control Room'!$C$15-1)*EXP(-0.5*(($A40-'Control Room'!$A$15-('Control Room'!$B$15-1)/2)/MAX(0.5,'Control Room'!$B$15/4))^2),1)*IF(AND($A40&gt;='Control Room'!$A$16,$A40&lt;'Control Room'!$A$16+'Control Room'!$B$16,'Process'!BS5=1),1+('Control Room'!$C$16-1)*EXP(-0.5*(($A40-'Control Room'!$A$16-('Control Room'!$B$16-1)/2)/MAX(0.5,'Control Room'!$B$16/4))^2),1)</x:f>
        <x:v>1</x:v>
      </x:c>
      <x:c r="AU40" s="9" t="n">
        <x:f>MOD(AV39*16807,2147483647)</x:f>
        <x:v>895505770</x:v>
      </x:c>
      <x:c r="AV40" s="9" t="n">
        <x:f>MOD(AU40*16807,2147483647)</x:f>
        <x:v>1200078214</x:v>
      </x:c>
      <x:c r="AW40" s="17" t="n">
        <x:f>IF('Control Room'!$B$5="Normal",'Control Room'!$B$7+'Control Room'!$D$7*SQRT(-2*LN(MAX(0.000000000001,AU40/2147483647)))*COS(2*PI()*AV40/2147483647),'Control Room'!$B$8+('Control Room'!$D$8-'Control Room'!$B$8)*AU40/2147483647)</x:f>
        <x:v>889.0040635663905</x:v>
      </x:c>
      <x:c r="AX40" s="17" t="n">
        <x:f>IF('Control Room'!$B$5="Normal",'Control Room'!$B$7,('Control Room'!$B$8+'Control Room'!$D$8)/2)+'Control Room'!$B$9*(AX39-IF('Control Room'!$B$5="Normal",'Control Room'!$B$7,('Control Room'!$B$8+'Control Room'!$D$8)/2))+SQRT(1-'Control Room'!$B$9^2)*(AW40-IF('Control Room'!$B$5="Normal",'Control Room'!$B$7,('Control Room'!$B$8+'Control Room'!$D$8)/2))</x:f>
        <x:v>958.4679871545734</x:v>
      </x:c>
      <x:c r="AY40" s="17" t="n">
        <x:f>IF(AND($A40&gt;='Control Room'!$A$13,$A40&lt;'Control Room'!$A$13+'Control Room'!$B$13,'Process'!BT2=1),1+('Control Room'!$C$13-1)*EXP(-0.5*(($A40-'Control Room'!$A$13-('Control Room'!$B$13-1)/2)/MAX(0.5,'Control Room'!$B$13/4))^2),1)*IF(AND($A40&gt;='Control Room'!$A$14,$A40&lt;'Control Room'!$A$14+'Control Room'!$B$14,'Process'!BT3=1),1+('Control Room'!$C$14-1)*EXP(-0.5*(($A40-'Control Room'!$A$14-('Control Room'!$B$14-1)/2)/MAX(0.5,'Control Room'!$B$14/4))^2),1)*IF(AND($A40&gt;='Control Room'!$A$15,$A40&lt;'Control Room'!$A$15+'Control Room'!$B$15,'Process'!BT4=1),1+('Control Room'!$C$15-1)*EXP(-0.5*(($A40-'Control Room'!$A$15-('Control Room'!$B$15-1)/2)/MAX(0.5,'Control Room'!$B$15/4))^2),1)*IF(AND($A40&gt;='Control Room'!$A$16,$A40&lt;'Control Room'!$A$16+'Control Room'!$B$16,'Process'!BT5=1),1+('Control Room'!$C$16-1)*EXP(-0.5*(($A40-'Control Room'!$A$16-('Control Room'!$B$16-1)/2)/MAX(0.5,'Control Room'!$B$16/4))^2),1)</x:f>
        <x:v>1</x:v>
      </x:c>
      <x:c r="AZ40" s="9" t="n">
        <x:f>MOD(BA39*16807,2147483647)</x:f>
        <x:v>658390141</x:v>
      </x:c>
      <x:c r="BA40" s="9" t="n">
        <x:f>MOD(AZ40*16807,2147483647)</x:f>
        <x:v>1727350443</x:v>
      </x:c>
      <x:c r="BB40" s="17" t="n">
        <x:f>IF('Control Room'!$B$5="Normal",'Control Room'!$B$7+'Control Room'!$D$7*SQRT(-2*LN(MAX(0.000000000001,AZ40/2147483647)))*COS(2*PI()*BA40/2147483647),'Control Room'!$B$8+('Control Room'!$D$8-'Control Room'!$B$8)*AZ40/2147483647)</x:f>
        <x:v>1046.3550349935385</x:v>
      </x:c>
      <x:c r="BC40" s="17" t="n">
        <x:f>IF('Control Room'!$B$5="Normal",'Control Room'!$B$7,('Control Room'!$B$8+'Control Room'!$D$8)/2)+'Control Room'!$B$9*(BC39-IF('Control Room'!$B$5="Normal",'Control Room'!$B$7,('Control Room'!$B$8+'Control Room'!$D$8)/2))+SQRT(1-'Control Room'!$B$9^2)*(BB40-IF('Control Room'!$B$5="Normal",'Control Room'!$B$7,('Control Room'!$B$8+'Control Room'!$D$8)/2))</x:f>
        <x:v>1011.7843517297206</x:v>
      </x:c>
      <x:c r="BD40" s="17" t="n">
        <x:f>IF(AND($A40&gt;='Control Room'!$A$13,$A40&lt;'Control Room'!$A$13+'Control Room'!$B$13,'Process'!BU2=1),1+('Control Room'!$C$13-1)*EXP(-0.5*(($A40-'Control Room'!$A$13-('Control Room'!$B$13-1)/2)/MAX(0.5,'Control Room'!$B$13/4))^2),1)*IF(AND($A40&gt;='Control Room'!$A$14,$A40&lt;'Control Room'!$A$14+'Control Room'!$B$14,'Process'!BU3=1),1+('Control Room'!$C$14-1)*EXP(-0.5*(($A40-'Control Room'!$A$14-('Control Room'!$B$14-1)/2)/MAX(0.5,'Control Room'!$B$14/4))^2),1)*IF(AND($A40&gt;='Control Room'!$A$15,$A40&lt;'Control Room'!$A$15+'Control Room'!$B$15,'Process'!BU4=1),1+('Control Room'!$C$15-1)*EXP(-0.5*(($A40-'Control Room'!$A$15-('Control Room'!$B$15-1)/2)/MAX(0.5,'Control Room'!$B$15/4))^2),1)*IF(AND($A40&gt;='Control Room'!$A$16,$A40&lt;'Control Room'!$A$16+'Control Room'!$B$16,'Process'!BU5=1),1+('Control Room'!$C$16-1)*EXP(-0.5*(($A40-'Control Room'!$A$16-('Control Room'!$B$16-1)/2)/MAX(0.5,'Control Room'!$B$16/4))^2),1)</x:f>
        <x:v>1</x:v>
      </x:c>
      <x:c r="BE40" s="9" t="n">
        <x:f>MOD(BF39*16807,2147483647)</x:f>
        <x:v>421274512</x:v>
      </x:c>
      <x:c r="BF40" s="9" t="n">
        <x:f>MOD(BE40*16807,2147483647)</x:f>
        <x:v>107139025</x:v>
      </x:c>
      <x:c r="BG40" s="17" t="n">
        <x:f>IF('Control Room'!$B$5="Normal",'Control Room'!$B$7+'Control Room'!$D$7*SQRT(-2*LN(MAX(0.000000000001,BE40/2147483647)))*COS(2*PI()*BF40/2147483647),'Control Room'!$B$8+('Control Room'!$D$8-'Control Room'!$B$8)*BE40/2147483647)</x:f>
        <x:v>1154.5220062136761</x:v>
      </x:c>
      <x:c r="BH40" s="17" t="n">
        <x:f>IF('Control Room'!$B$5="Normal",'Control Room'!$B$7,('Control Room'!$B$8+'Control Room'!$D$8)/2)+'Control Room'!$B$9*(BH39-IF('Control Room'!$B$5="Normal",'Control Room'!$B$7,('Control Room'!$B$8+'Control Room'!$D$8)/2))+SQRT(1-'Control Room'!$B$9^2)*(BG40-IF('Control Room'!$B$5="Normal",'Control Room'!$B$7,('Control Room'!$B$8+'Control Room'!$D$8)/2))</x:f>
        <x:v>1150.762968104151</x:v>
      </x:c>
      <x:c r="BI40" s="17" t="n">
        <x:f>IF(AND($A40&gt;='Control Room'!$A$13,$A40&lt;'Control Room'!$A$13+'Control Room'!$B$13,'Process'!BV2=1),1+('Control Room'!$C$13-1)*EXP(-0.5*(($A40-'Control Room'!$A$13-('Control Room'!$B$13-1)/2)/MAX(0.5,'Control Room'!$B$13/4))^2),1)*IF(AND($A40&gt;='Control Room'!$A$14,$A40&lt;'Control Room'!$A$14+'Control Room'!$B$14,'Process'!BV3=1),1+('Control Room'!$C$14-1)*EXP(-0.5*(($A40-'Control Room'!$A$14-('Control Room'!$B$14-1)/2)/MAX(0.5,'Control Room'!$B$14/4))^2),1)*IF(AND($A40&gt;='Control Room'!$A$15,$A40&lt;'Control Room'!$A$15+'Control Room'!$B$15,'Process'!BV4=1),1+('Control Room'!$C$15-1)*EXP(-0.5*(($A40-'Control Room'!$A$15-('Control Room'!$B$15-1)/2)/MAX(0.5,'Control Room'!$B$15/4))^2),1)*IF(AND($A40&gt;='Control Room'!$A$16,$A40&lt;'Control Room'!$A$16+'Control Room'!$B$16,'Process'!BV5=1),1+('Control Room'!$C$16-1)*EXP(-0.5*(($A40-'Control Room'!$A$16-('Control Room'!$B$16-1)/2)/MAX(0.5,'Control Room'!$B$16/4))^2),1)</x:f>
        <x:v>1</x:v>
      </x:c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Z40" t="str">
        <x:f>IF('Data'!A40="","",TEXT('Data'!A40,"mm-dd"))</x:f>
        <x:v>12-10</x:v>
      </x:c>
    </x:row>
    <x:row r="41" ht="21" customHeight="1">
      <x:c r="A41" s="15" t="n">
        <x:f>'Control Room'!$B$1+39</x:f>
        <x:v>73030</x:v>
      </x:c>
      <x:c r="B41" s="9" t="n">
        <x:f>MOD(C40*16807,2147483647)</x:f>
        <x:v>1311604427</x:v>
      </x:c>
      <x:c r="C41" s="9" t="n">
        <x:f>MOD(B41*16807,2147483647)</x:f>
        <x:v>215968134</x:v>
      </x:c>
      <x:c r="D41" s="17" t="n">
        <x:f>IF('Control Room'!$B$5="Normal",'Control Room'!$B$7+'Control Room'!$D$7*SQRT(-2*LN(MAX(0.000000000001,B41/2147483647)))*COS(2*PI()*C41/2147483647),'Control Room'!$B$8+('Control Room'!$D$8-'Control Room'!$B$8)*B41/2147483647)</x:f>
        <x:v>1072.1154604788355</x:v>
      </x:c>
      <x:c r="E41" s="17" t="n">
        <x:f>IF('Control Room'!$B$5="Normal",'Control Room'!$B$7,('Control Room'!$B$8+'Control Room'!$D$8)/2)+'Control Room'!$B$9*(E40-IF('Control Room'!$B$5="Normal",'Control Room'!$B$7,('Control Room'!$B$8+'Control Room'!$D$8)/2))+SQRT(1-'Control Room'!$B$9^2)*(D41-IF('Control Room'!$B$5="Normal",'Control Room'!$B$7,('Control Room'!$B$8+'Control Room'!$D$8)/2))</x:f>
        <x:v>901.5545525575606</x:v>
      </x:c>
      <x:c r="F41" s="17" t="n">
        <x:f>IF(AND($A41&gt;='Control Room'!$A$13,$A41&lt;'Control Room'!$A$13+'Control Room'!$B$13,'Process'!BK2=1),1+('Control Room'!$C$13-1)*EXP(-0.5*(($A41-'Control Room'!$A$13-('Control Room'!$B$13-1)/2)/MAX(0.5,'Control Room'!$B$13/4))^2),1)*IF(AND($A41&gt;='Control Room'!$A$14,$A41&lt;'Control Room'!$A$14+'Control Room'!$B$14,'Process'!BK3=1),1+('Control Room'!$C$14-1)*EXP(-0.5*(($A41-'Control Room'!$A$14-('Control Room'!$B$14-1)/2)/MAX(0.5,'Control Room'!$B$14/4))^2),1)*IF(AND($A41&gt;='Control Room'!$A$15,$A41&lt;'Control Room'!$A$15+'Control Room'!$B$15,'Process'!BK4=1),1+('Control Room'!$C$15-1)*EXP(-0.5*(($A41-'Control Room'!$A$15-('Control Room'!$B$15-1)/2)/MAX(0.5,'Control Room'!$B$15/4))^2),1)*IF(AND($A41&gt;='Control Room'!$A$16,$A41&lt;'Control Room'!$A$16+'Control Room'!$B$16,'Process'!BK5=1),1+('Control Room'!$C$16-1)*EXP(-0.5*(($A41-'Control Room'!$A$16-('Control Room'!$B$16-1)/2)/MAX(0.5,'Control Room'!$B$16/4))^2),1)</x:f>
        <x:v>1</x:v>
      </x:c>
      <x:c r="G41" s="9" t="n">
        <x:f>MOD(H40*16807,2147483647)</x:f>
        <x:v>510946061</x:v>
      </x:c>
      <x:c r="H41" s="9" t="n">
        <x:f>MOD(G41*16807,2147483647)</x:f>
        <x:v>1830826521</x:v>
      </x:c>
      <x:c r="I41" s="17" t="n">
        <x:f>IF('Control Room'!$B$5="Normal",'Control Room'!$B$7+'Control Room'!$D$7*SQRT(-2*LN(MAX(0.000000000001,G41/2147483647)))*COS(2*PI()*H41/2147483647),'Control Room'!$B$8+('Control Room'!$D$8-'Control Room'!$B$8)*G41/2147483647)</x:f>
        <x:v>1091.6055120530364</x:v>
      </x:c>
      <x:c r="J41" s="17" t="n">
        <x:f>IF('Control Room'!$B$5="Normal",'Control Room'!$B$7,('Control Room'!$B$8+'Control Room'!$D$8)/2)+'Control Room'!$B$9*(J40-IF('Control Room'!$B$5="Normal",'Control Room'!$B$7,('Control Room'!$B$8+'Control Room'!$D$8)/2))+SQRT(1-'Control Room'!$B$9^2)*(I41-IF('Control Room'!$B$5="Normal",'Control Room'!$B$7,('Control Room'!$B$8+'Control Room'!$D$8)/2))</x:f>
        <x:v>914.8926362137084</x:v>
      </x:c>
      <x:c r="K41" s="17" t="n">
        <x:f>IF(AND($A41&gt;='Control Room'!$A$13,$A41&lt;'Control Room'!$A$13+'Control Room'!$B$13,'Process'!BL2=1),1+('Control Room'!$C$13-1)*EXP(-0.5*(($A41-'Control Room'!$A$13-('Control Room'!$B$13-1)/2)/MAX(0.5,'Control Room'!$B$13/4))^2),1)*IF(AND($A41&gt;='Control Room'!$A$14,$A41&lt;'Control Room'!$A$14+'Control Room'!$B$14,'Process'!BL3=1),1+('Control Room'!$C$14-1)*EXP(-0.5*(($A41-'Control Room'!$A$14-('Control Room'!$B$14-1)/2)/MAX(0.5,'Control Room'!$B$14/4))^2),1)*IF(AND($A41&gt;='Control Room'!$A$15,$A41&lt;'Control Room'!$A$15+'Control Room'!$B$15,'Process'!BL4=1),1+('Control Room'!$C$15-1)*EXP(-0.5*(($A41-'Control Room'!$A$15-('Control Room'!$B$15-1)/2)/MAX(0.5,'Control Room'!$B$15/4))^2),1)*IF(AND($A41&gt;='Control Room'!$A$16,$A41&lt;'Control Room'!$A$16+'Control Room'!$B$16,'Process'!BL5=1),1+('Control Room'!$C$16-1)*EXP(-0.5*(($A41-'Control Room'!$A$16-('Control Room'!$B$16-1)/2)/MAX(0.5,'Control Room'!$B$16/4))^2),1)</x:f>
        <x:v>1</x:v>
      </x:c>
      <x:c r="L41" s="9" t="n">
        <x:f>MOD(M40*16807,2147483647)</x:f>
        <x:v>1857771342</x:v>
      </x:c>
      <x:c r="M41" s="9" t="n">
        <x:f>MOD(L41*16807,2147483647)</x:f>
        <x:v>1298201261</x:v>
      </x:c>
      <x:c r="N41" s="17" t="n">
        <x:f>IF('Control Room'!$B$5="Normal",'Control Room'!$B$7+'Control Room'!$D$7*SQRT(-2*LN(MAX(0.000000000001,L41/2147483647)))*COS(2*PI()*M41/2147483647),'Control Room'!$B$8+('Control Room'!$D$8-'Control Room'!$B$8)*L41/2147483647)</x:f>
        <x:v>961.62563224751</x:v>
      </x:c>
      <x:c r="O41" s="17" t="n">
        <x:f>IF('Control Room'!$B$5="Normal",'Control Room'!$B$7,('Control Room'!$B$8+'Control Room'!$D$8)/2)+'Control Room'!$B$9*(O40-IF('Control Room'!$B$5="Normal",'Control Room'!$B$7,('Control Room'!$B$8+'Control Room'!$D$8)/2))+SQRT(1-'Control Room'!$B$9^2)*(N41-IF('Control Room'!$B$5="Normal",'Control Room'!$B$7,('Control Room'!$B$8+'Control Room'!$D$8)/2))</x:f>
        <x:v>1110.252070399522</x:v>
      </x:c>
      <x:c r="P41" s="17" t="n">
        <x:f>IF(AND($A41&gt;='Control Room'!$A$13,$A41&lt;'Control Room'!$A$13+'Control Room'!$B$13,'Process'!BM2=1),1+('Control Room'!$C$13-1)*EXP(-0.5*(($A41-'Control Room'!$A$13-('Control Room'!$B$13-1)/2)/MAX(0.5,'Control Room'!$B$13/4))^2),1)*IF(AND($A41&gt;='Control Room'!$A$14,$A41&lt;'Control Room'!$A$14+'Control Room'!$B$14,'Process'!BM3=1),1+('Control Room'!$C$14-1)*EXP(-0.5*(($A41-'Control Room'!$A$14-('Control Room'!$B$14-1)/2)/MAX(0.5,'Control Room'!$B$14/4))^2),1)*IF(AND($A41&gt;='Control Room'!$A$15,$A41&lt;'Control Room'!$A$15+'Control Room'!$B$15,'Process'!BM4=1),1+('Control Room'!$C$15-1)*EXP(-0.5*(($A41-'Control Room'!$A$15-('Control Room'!$B$15-1)/2)/MAX(0.5,'Control Room'!$B$15/4))^2),1)*IF(AND($A41&gt;='Control Room'!$A$16,$A41&lt;'Control Room'!$A$16+'Control Room'!$B$16,'Process'!BM5=1),1+('Control Room'!$C$16-1)*EXP(-0.5*(($A41-'Control Room'!$A$16-('Control Room'!$B$16-1)/2)/MAX(0.5,'Control Room'!$B$16/4))^2),1)</x:f>
        <x:v>1</x:v>
      </x:c>
      <x:c r="Q41" s="9" t="n">
        <x:f>MOD(R40*16807,2147483647)</x:f>
        <x:v>1057112976</x:v>
      </x:c>
      <x:c r="R41" s="9" t="n">
        <x:f>MOD(Q41*16807,2147483647)</x:f>
        <x:v>765576001</x:v>
      </x:c>
      <x:c r="S41" s="17" t="n">
        <x:f>IF('Control Room'!$B$5="Normal",'Control Room'!$B$7+'Control Room'!$D$7*SQRT(-2*LN(MAX(0.000000000001,Q41/2147483647)))*COS(2*PI()*R41/2147483647),'Control Room'!$B$8+('Control Room'!$D$8-'Control Room'!$B$8)*Q41/2147483647)</x:f>
        <x:v>933.5304007566787</x:v>
      </x:c>
      <x:c r="T41" s="17" t="n">
        <x:f>IF('Control Room'!$B$5="Normal",'Control Room'!$B$7,('Control Room'!$B$8+'Control Room'!$D$8)/2)+'Control Room'!$B$9*(T40-IF('Control Room'!$B$5="Normal",'Control Room'!$B$7,('Control Room'!$B$8+'Control Room'!$D$8)/2))+SQRT(1-'Control Room'!$B$9^2)*(S41-IF('Control Room'!$B$5="Normal",'Control Room'!$B$7,('Control Room'!$B$8+'Control Room'!$D$8)/2))</x:f>
        <x:v>1020.8545621222208</x:v>
      </x:c>
      <x:c r="U41" s="17" t="n">
        <x:f>IF(AND($A41&gt;='Control Room'!$A$13,$A41&lt;'Control Room'!$A$13+'Control Room'!$B$13,'Process'!BN2=1),1+('Control Room'!$C$13-1)*EXP(-0.5*(($A41-'Control Room'!$A$13-('Control Room'!$B$13-1)/2)/MAX(0.5,'Control Room'!$B$13/4))^2),1)*IF(AND($A41&gt;='Control Room'!$A$14,$A41&lt;'Control Room'!$A$14+'Control Room'!$B$14,'Process'!BN3=1),1+('Control Room'!$C$14-1)*EXP(-0.5*(($A41-'Control Room'!$A$14-('Control Room'!$B$14-1)/2)/MAX(0.5,'Control Room'!$B$14/4))^2),1)*IF(AND($A41&gt;='Control Room'!$A$15,$A41&lt;'Control Room'!$A$15+'Control Room'!$B$15,'Process'!BN4=1),1+('Control Room'!$C$15-1)*EXP(-0.5*(($A41-'Control Room'!$A$15-('Control Room'!$B$15-1)/2)/MAX(0.5,'Control Room'!$B$15/4))^2),1)*IF(AND($A41&gt;='Control Room'!$A$16,$A41&lt;'Control Room'!$A$16+'Control Room'!$B$16,'Process'!BN5=1),1+('Control Room'!$C$16-1)*EXP(-0.5*(($A41-'Control Room'!$A$16-('Control Room'!$B$16-1)/2)/MAX(0.5,'Control Room'!$B$16/4))^2),1)</x:f>
        <x:v>1</x:v>
      </x:c>
      <x:c r="V41" s="9" t="n">
        <x:f>MOD(W40*16807,2147483647)</x:f>
        <x:v>256454610</x:v>
      </x:c>
      <x:c r="W41" s="9" t="n">
        <x:f>MOD(V41*16807,2147483647)</x:f>
        <x:v>232950741</x:v>
      </x:c>
      <x:c r="X41" s="17" t="n">
        <x:f>IF('Control Room'!$B$5="Normal",'Control Room'!$B$7+'Control Room'!$D$7*SQRT(-2*LN(MAX(0.000000000001,V41/2147483647)))*COS(2*PI()*W41/2147483647),'Control Room'!$B$8+('Control Room'!$D$8-'Control Room'!$B$8)*V41/2147483647)</x:f>
        <x:v>1144.0900423867727</x:v>
      </x:c>
      <x:c r="Y41" s="17" t="n">
        <x:f>IF('Control Room'!$B$5="Normal",'Control Room'!$B$7,('Control Room'!$B$8+'Control Room'!$D$8)/2)+'Control Room'!$B$9*(Y40-IF('Control Room'!$B$5="Normal",'Control Room'!$B$7,('Control Room'!$B$8+'Control Room'!$D$8)/2))+SQRT(1-'Control Room'!$B$9^2)*(X41-IF('Control Room'!$B$5="Normal",'Control Room'!$B$7,('Control Room'!$B$8+'Control Room'!$D$8)/2))</x:f>
        <x:v>1057.8258395319222</x:v>
      </x:c>
      <x:c r="Z41" s="17" t="n">
        <x:f>IF(AND($A41&gt;='Control Room'!$A$13,$A41&lt;'Control Room'!$A$13+'Control Room'!$B$13,'Process'!BO2=1),1+('Control Room'!$C$13-1)*EXP(-0.5*(($A41-'Control Room'!$A$13-('Control Room'!$B$13-1)/2)/MAX(0.5,'Control Room'!$B$13/4))^2),1)*IF(AND($A41&gt;='Control Room'!$A$14,$A41&lt;'Control Room'!$A$14+'Control Room'!$B$14,'Process'!BO3=1),1+('Control Room'!$C$14-1)*EXP(-0.5*(($A41-'Control Room'!$A$14-('Control Room'!$B$14-1)/2)/MAX(0.5,'Control Room'!$B$14/4))^2),1)*IF(AND($A41&gt;='Control Room'!$A$15,$A41&lt;'Control Room'!$A$15+'Control Room'!$B$15,'Process'!BO4=1),1+('Control Room'!$C$15-1)*EXP(-0.5*(($A41-'Control Room'!$A$15-('Control Room'!$B$15-1)/2)/MAX(0.5,'Control Room'!$B$15/4))^2),1)*IF(AND($A41&gt;='Control Room'!$A$16,$A41&lt;'Control Room'!$A$16+'Control Room'!$B$16,'Process'!BO5=1),1+('Control Room'!$C$16-1)*EXP(-0.5*(($A41-'Control Room'!$A$16-('Control Room'!$B$16-1)/2)/MAX(0.5,'Control Room'!$B$16/4))^2),1)</x:f>
        <x:v>1</x:v>
      </x:c>
      <x:c r="AA41" s="9" t="n">
        <x:f>MOD(AB40*16807,2147483647)</x:f>
        <x:v>1603279891</x:v>
      </x:c>
      <x:c r="AB41" s="9" t="n">
        <x:f>MOD(AA41*16807,2147483647)</x:f>
        <x:v>1847809128</x:v>
      </x:c>
      <x:c r="AC41" s="17" t="n">
        <x:f>IF('Control Room'!$B$5="Normal",'Control Room'!$B$7+'Control Room'!$D$7*SQRT(-2*LN(MAX(0.000000000001,AA41/2147483647)))*COS(2*PI()*AB41/2147483647),'Control Room'!$B$8+('Control Room'!$D$8-'Control Room'!$B$8)*AA41/2147483647)</x:f>
        <x:v>1044.0098773605748</x:v>
      </x:c>
      <x:c r="AD41" s="17" t="n">
        <x:f>IF('Control Room'!$B$5="Normal",'Control Room'!$B$7,('Control Room'!$B$8+'Control Room'!$D$8)/2)+'Control Room'!$B$9*(AD40-IF('Control Room'!$B$5="Normal",'Control Room'!$B$7,('Control Room'!$B$8+'Control Room'!$D$8)/2))+SQRT(1-'Control Room'!$B$9^2)*(AC41-IF('Control Room'!$B$5="Normal",'Control Room'!$B$7,('Control Room'!$B$8+'Control Room'!$D$8)/2))</x:f>
        <x:v>1046.722909585756</x:v>
      </x:c>
      <x:c r="AE41" s="17" t="n">
        <x:f>IF(AND($A41&gt;='Control Room'!$A$13,$A41&lt;'Control Room'!$A$13+'Control Room'!$B$13,'Process'!BP2=1),1+('Control Room'!$C$13-1)*EXP(-0.5*(($A41-'Control Room'!$A$13-('Control Room'!$B$13-1)/2)/MAX(0.5,'Control Room'!$B$13/4))^2),1)*IF(AND($A41&gt;='Control Room'!$A$14,$A41&lt;'Control Room'!$A$14+'Control Room'!$B$14,'Process'!BP3=1),1+('Control Room'!$C$14-1)*EXP(-0.5*(($A41-'Control Room'!$A$14-('Control Room'!$B$14-1)/2)/MAX(0.5,'Control Room'!$B$14/4))^2),1)*IF(AND($A41&gt;='Control Room'!$A$15,$A41&lt;'Control Room'!$A$15+'Control Room'!$B$15,'Process'!BP4=1),1+('Control Room'!$C$15-1)*EXP(-0.5*(($A41-'Control Room'!$A$15-('Control Room'!$B$15-1)/2)/MAX(0.5,'Control Room'!$B$15/4))^2),1)*IF(AND($A41&gt;='Control Room'!$A$16,$A41&lt;'Control Room'!$A$16+'Control Room'!$B$16,'Process'!BP5=1),1+('Control Room'!$C$16-1)*EXP(-0.5*(($A41-'Control Room'!$A$16-('Control Room'!$B$16-1)/2)/MAX(0.5,'Control Room'!$B$16/4))^2),1)</x:f>
        <x:v>1</x:v>
      </x:c>
      <x:c r="AF41" s="9" t="n">
        <x:f>MOD(AG40*16807,2147483647)</x:f>
        <x:v>802621525</x:v>
      </x:c>
      <x:c r="AG41" s="9" t="n">
        <x:f>MOD(AF41*16807,2147483647)</x:f>
        <x:v>1315183868</x:v>
      </x:c>
      <x:c r="AH41" s="17" t="n">
        <x:f>IF('Control Room'!$B$5="Normal",'Control Room'!$B$7+'Control Room'!$D$7*SQRT(-2*LN(MAX(0.000000000001,AF41/2147483647)))*COS(2*PI()*AG41/2147483647),'Control Room'!$B$8+('Control Room'!$D$8-'Control Room'!$B$8)*AF41/2147483647)</x:f>
        <x:v>903.9493337294268</x:v>
      </x:c>
      <x:c r="AI41" s="17" t="n">
        <x:f>IF('Control Room'!$B$5="Normal",'Control Room'!$B$7,('Control Room'!$B$8+'Control Room'!$D$8)/2)+'Control Room'!$B$9*(AI40-IF('Control Room'!$B$5="Normal",'Control Room'!$B$7,('Control Room'!$B$8+'Control Room'!$D$8)/2))+SQRT(1-'Control Room'!$B$9^2)*(AH41-IF('Control Room'!$B$5="Normal",'Control Room'!$B$7,('Control Room'!$B$8+'Control Room'!$D$8)/2))</x:f>
        <x:v>934.4898325458568</x:v>
      </x:c>
      <x:c r="AJ41" s="17" t="n">
        <x:f>IF(AND($A41&gt;='Control Room'!$A$13,$A41&lt;'Control Room'!$A$13+'Control Room'!$B$13,'Process'!BQ2=1),1+('Control Room'!$C$13-1)*EXP(-0.5*(($A41-'Control Room'!$A$13-('Control Room'!$B$13-1)/2)/MAX(0.5,'Control Room'!$B$13/4))^2),1)*IF(AND($A41&gt;='Control Room'!$A$14,$A41&lt;'Control Room'!$A$14+'Control Room'!$B$14,'Process'!BQ3=1),1+('Control Room'!$C$14-1)*EXP(-0.5*(($A41-'Control Room'!$A$14-('Control Room'!$B$14-1)/2)/MAX(0.5,'Control Room'!$B$14/4))^2),1)*IF(AND($A41&gt;='Control Room'!$A$15,$A41&lt;'Control Room'!$A$15+'Control Room'!$B$15,'Process'!BQ4=1),1+('Control Room'!$C$15-1)*EXP(-0.5*(($A41-'Control Room'!$A$15-('Control Room'!$B$15-1)/2)/MAX(0.5,'Control Room'!$B$15/4))^2),1)*IF(AND($A41&gt;='Control Room'!$A$16,$A41&lt;'Control Room'!$A$16+'Control Room'!$B$16,'Process'!BQ5=1),1+('Control Room'!$C$16-1)*EXP(-0.5*(($A41-'Control Room'!$A$16-('Control Room'!$B$16-1)/2)/MAX(0.5,'Control Room'!$B$16/4))^2),1)</x:f>
        <x:v>1</x:v>
      </x:c>
      <x:c r="AK41" s="9" t="n">
        <x:f>MOD(AL40*16807,2147483647)</x:f>
        <x:v>1963159</x:v>
      </x:c>
      <x:c r="AL41" s="9" t="n">
        <x:f>MOD(AK41*16807,2147483647)</x:f>
        <x:v>782558608</x:v>
      </x:c>
      <x:c r="AM41" s="17" t="n">
        <x:f>IF('Control Room'!$B$5="Normal",'Control Room'!$B$7+'Control Room'!$D$7*SQRT(-2*LN(MAX(0.000000000001,AK41/2147483647)))*COS(2*PI()*AL41/2147483647),'Control Room'!$B$8+('Control Room'!$D$8-'Control Room'!$B$8)*AK41/2147483647)</x:f>
        <x:v>778.2857437357081</x:v>
      </x:c>
      <x:c r="AN41" s="17" t="n">
        <x:f>IF('Control Room'!$B$5="Normal",'Control Room'!$B$7,('Control Room'!$B$8+'Control Room'!$D$8)/2)+'Control Room'!$B$9*(AN40-IF('Control Room'!$B$5="Normal",'Control Room'!$B$7,('Control Room'!$B$8+'Control Room'!$D$8)/2))+SQRT(1-'Control Room'!$B$9^2)*(AM41-IF('Control Room'!$B$5="Normal",'Control Room'!$B$7,('Control Room'!$B$8+'Control Room'!$D$8)/2))</x:f>
        <x:v>897.9738024311481</x:v>
      </x:c>
      <x:c r="AO41" s="17" t="n">
        <x:f>IF(AND($A41&gt;='Control Room'!$A$13,$A41&lt;'Control Room'!$A$13+'Control Room'!$B$13,'Process'!BR2=1),1+('Control Room'!$C$13-1)*EXP(-0.5*(($A41-'Control Room'!$A$13-('Control Room'!$B$13-1)/2)/MAX(0.5,'Control Room'!$B$13/4))^2),1)*IF(AND($A41&gt;='Control Room'!$A$14,$A41&lt;'Control Room'!$A$14+'Control Room'!$B$14,'Process'!BR3=1),1+('Control Room'!$C$14-1)*EXP(-0.5*(($A41-'Control Room'!$A$14-('Control Room'!$B$14-1)/2)/MAX(0.5,'Control Room'!$B$14/4))^2),1)*IF(AND($A41&gt;='Control Room'!$A$15,$A41&lt;'Control Room'!$A$15+'Control Room'!$B$15,'Process'!BR4=1),1+('Control Room'!$C$15-1)*EXP(-0.5*(($A41-'Control Room'!$A$15-('Control Room'!$B$15-1)/2)/MAX(0.5,'Control Room'!$B$15/4))^2),1)*IF(AND($A41&gt;='Control Room'!$A$16,$A41&lt;'Control Room'!$A$16+'Control Room'!$B$16,'Process'!BR5=1),1+('Control Room'!$C$16-1)*EXP(-0.5*(($A41-'Control Room'!$A$16-('Control Room'!$B$16-1)/2)/MAX(0.5,'Control Room'!$B$16/4))^2),1)</x:f>
        <x:v>1</x:v>
      </x:c>
      <x:c r="AP41" s="9" t="n">
        <x:f>MOD(AQ40*16807,2147483647)</x:f>
        <x:v>1348788440</x:v>
      </x:c>
      <x:c r="AQ41" s="9" t="n">
        <x:f>MOD(AP41*16807,2147483647)</x:f>
        <x:v>249933348</x:v>
      </x:c>
      <x:c r="AR41" s="17" t="n">
        <x:f>IF('Control Room'!$B$5="Normal",'Control Room'!$B$7+'Control Room'!$D$7*SQRT(-2*LN(MAX(0.000000000001,AP41/2147483647)))*COS(2*PI()*AQ41/2147483647),'Control Room'!$B$8+('Control Room'!$D$8-'Control Room'!$B$8)*AP41/2147483647)</x:f>
        <x:v>1064.608855407187</x:v>
      </x:c>
      <x:c r="AS41" s="17" t="n">
        <x:f>IF('Control Room'!$B$5="Normal",'Control Room'!$B$7,('Control Room'!$B$8+'Control Room'!$D$8)/2)+'Control Room'!$B$9*(AS40-IF('Control Room'!$B$5="Normal",'Control Room'!$B$7,('Control Room'!$B$8+'Control Room'!$D$8)/2))+SQRT(1-'Control Room'!$B$9^2)*(AR41-IF('Control Room'!$B$5="Normal",'Control Room'!$B$7,('Control Room'!$B$8+'Control Room'!$D$8)/2))</x:f>
        <x:v>1078.0240713154442</x:v>
      </x:c>
      <x:c r="AT41" s="17" t="n">
        <x:f>IF(AND($A41&gt;='Control Room'!$A$13,$A41&lt;'Control Room'!$A$13+'Control Room'!$B$13,'Process'!BS2=1),1+('Control Room'!$C$13-1)*EXP(-0.5*(($A41-'Control Room'!$A$13-('Control Room'!$B$13-1)/2)/MAX(0.5,'Control Room'!$B$13/4))^2),1)*IF(AND($A41&gt;='Control Room'!$A$14,$A41&lt;'Control Room'!$A$14+'Control Room'!$B$14,'Process'!BS3=1),1+('Control Room'!$C$14-1)*EXP(-0.5*(($A41-'Control Room'!$A$14-('Control Room'!$B$14-1)/2)/MAX(0.5,'Control Room'!$B$14/4))^2),1)*IF(AND($A41&gt;='Control Room'!$A$15,$A41&lt;'Control Room'!$A$15+'Control Room'!$B$15,'Process'!BS4=1),1+('Control Room'!$C$15-1)*EXP(-0.5*(($A41-'Control Room'!$A$15-('Control Room'!$B$15-1)/2)/MAX(0.5,'Control Room'!$B$15/4))^2),1)*IF(AND($A41&gt;='Control Room'!$A$16,$A41&lt;'Control Room'!$A$16+'Control Room'!$B$16,'Process'!BS5=1),1+('Control Room'!$C$16-1)*EXP(-0.5*(($A41-'Control Room'!$A$16-('Control Room'!$B$16-1)/2)/MAX(0.5,'Control Room'!$B$16/4))^2),1)</x:f>
        <x:v>1</x:v>
      </x:c>
      <x:c r="AU41" s="9" t="n">
        <x:f>MOD(AV40*16807,2147483647)</x:f>
        <x:v>548130074</x:v>
      </x:c>
      <x:c r="AV41" s="9" t="n">
        <x:f>MOD(AU41*16807,2147483647)</x:f>
        <x:v>1864791735</x:v>
      </x:c>
      <x:c r="AW41" s="17" t="n">
        <x:f>IF('Control Room'!$B$5="Normal",'Control Room'!$B$7+'Control Room'!$D$7*SQRT(-2*LN(MAX(0.000000000001,AU41/2147483647)))*COS(2*PI()*AV41/2147483647),'Control Room'!$B$8+('Control Room'!$D$8-'Control Room'!$B$8)*AU41/2147483647)</x:f>
        <x:v>1100.6935750924065</x:v>
      </x:c>
      <x:c r="AX41" s="17" t="n">
        <x:f>IF('Control Room'!$B$5="Normal",'Control Room'!$B$7,('Control Room'!$B$8+'Control Room'!$D$8)/2)+'Control Room'!$B$9*(AX40-IF('Control Room'!$B$5="Normal",'Control Room'!$B$7,('Control Room'!$B$8+'Control Room'!$D$8)/2))+SQRT(1-'Control Room'!$B$9^2)*(AW41-IF('Control Room'!$B$5="Normal",'Control Room'!$B$7,('Control Room'!$B$8+'Control Room'!$D$8)/2))</x:f>
        <x:v>1030.617006453385</x:v>
      </x:c>
      <x:c r="AY41" s="17" t="n">
        <x:f>IF(AND($A41&gt;='Control Room'!$A$13,$A41&lt;'Control Room'!$A$13+'Control Room'!$B$13,'Process'!BT2=1),1+('Control Room'!$C$13-1)*EXP(-0.5*(($A41-'Control Room'!$A$13-('Control Room'!$B$13-1)/2)/MAX(0.5,'Control Room'!$B$13/4))^2),1)*IF(AND($A41&gt;='Control Room'!$A$14,$A41&lt;'Control Room'!$A$14+'Control Room'!$B$14,'Process'!BT3=1),1+('Control Room'!$C$14-1)*EXP(-0.5*(($A41-'Control Room'!$A$14-('Control Room'!$B$14-1)/2)/MAX(0.5,'Control Room'!$B$14/4))^2),1)*IF(AND($A41&gt;='Control Room'!$A$15,$A41&lt;'Control Room'!$A$15+'Control Room'!$B$15,'Process'!BT4=1),1+('Control Room'!$C$15-1)*EXP(-0.5*(($A41-'Control Room'!$A$15-('Control Room'!$B$15-1)/2)/MAX(0.5,'Control Room'!$B$15/4))^2),1)*IF(AND($A41&gt;='Control Room'!$A$16,$A41&lt;'Control Room'!$A$16+'Control Room'!$B$16,'Process'!BT5=1),1+('Control Room'!$C$16-1)*EXP(-0.5*(($A41-'Control Room'!$A$16-('Control Room'!$B$16-1)/2)/MAX(0.5,'Control Room'!$B$16/4))^2),1)</x:f>
        <x:v>1</x:v>
      </x:c>
      <x:c r="AZ41" s="9" t="n">
        <x:f>MOD(BA40*16807,2147483647)</x:f>
        <x:v>1894955355</x:v>
      </x:c>
      <x:c r="BA41" s="9" t="n">
        <x:f>MOD(AZ41*16807,2147483647)</x:f>
        <x:v>1332166475</x:v>
      </x:c>
      <x:c r="BB41" s="17" t="n">
        <x:f>IF('Control Room'!$B$5="Normal",'Control Room'!$B$7+'Control Room'!$D$7*SQRT(-2*LN(MAX(0.000000000001,AZ41/2147483647)))*COS(2*PI()*BA41/2147483647),'Control Room'!$B$8+('Control Room'!$D$8-'Control Room'!$B$8)*AZ41/2147483647)</x:f>
        <x:v>967.248688563252</x:v>
      </x:c>
      <x:c r="BC41" s="17" t="n">
        <x:f>IF('Control Room'!$B$5="Normal",'Control Room'!$B$7,('Control Room'!$B$8+'Control Room'!$D$8)/2)+'Control Room'!$B$9*(BC40-IF('Control Room'!$B$5="Normal",'Control Room'!$B$7,('Control Room'!$B$8+'Control Room'!$D$8)/2))+SQRT(1-'Control Room'!$B$9^2)*(BB41-IF('Control Room'!$B$5="Normal",'Control Room'!$B$7,('Control Room'!$B$8+'Control Room'!$D$8)/2))</x:f>
        <x:v>988.6966945991492</x:v>
      </x:c>
      <x:c r="BD41" s="17" t="n">
        <x:f>IF(AND($A41&gt;='Control Room'!$A$13,$A41&lt;'Control Room'!$A$13+'Control Room'!$B$13,'Process'!BU2=1),1+('Control Room'!$C$13-1)*EXP(-0.5*(($A41-'Control Room'!$A$13-('Control Room'!$B$13-1)/2)/MAX(0.5,'Control Room'!$B$13/4))^2),1)*IF(AND($A41&gt;='Control Room'!$A$14,$A41&lt;'Control Room'!$A$14+'Control Room'!$B$14,'Process'!BU3=1),1+('Control Room'!$C$14-1)*EXP(-0.5*(($A41-'Control Room'!$A$14-('Control Room'!$B$14-1)/2)/MAX(0.5,'Control Room'!$B$14/4))^2),1)*IF(AND($A41&gt;='Control Room'!$A$15,$A41&lt;'Control Room'!$A$15+'Control Room'!$B$15,'Process'!BU4=1),1+('Control Room'!$C$15-1)*EXP(-0.5*(($A41-'Control Room'!$A$15-('Control Room'!$B$15-1)/2)/MAX(0.5,'Control Room'!$B$15/4))^2),1)*IF(AND($A41&gt;='Control Room'!$A$16,$A41&lt;'Control Room'!$A$16+'Control Room'!$B$16,'Process'!BU5=1),1+('Control Room'!$C$16-1)*EXP(-0.5*(($A41-'Control Room'!$A$16-('Control Room'!$B$16-1)/2)/MAX(0.5,'Control Room'!$B$16/4))^2),1)</x:f>
        <x:v>1</x:v>
      </x:c>
      <x:c r="BE41" s="9" t="n">
        <x:f>MOD(BF40*16807,2147483647)</x:f>
        <x:v>1094296989</x:v>
      </x:c>
      <x:c r="BF41" s="9" t="n">
        <x:f>MOD(BE41*16807,2147483647)</x:f>
        <x:v>799541215</x:v>
      </x:c>
      <x:c r="BG41" s="17" t="n">
        <x:f>IF('Control Room'!$B$5="Normal",'Control Room'!$B$7+'Control Room'!$D$7*SQRT(-2*LN(MAX(0.000000000001,BE41/2147483647)))*COS(2*PI()*BF41/2147483647),'Control Room'!$B$8+('Control Room'!$D$8-'Control Room'!$B$8)*BE41/2147483647)</x:f>
        <x:v>927.3590832080848</x:v>
      </x:c>
      <x:c r="BH41" s="17" t="n">
        <x:f>IF('Control Room'!$B$5="Normal",'Control Room'!$B$7,('Control Room'!$B$8+'Control Room'!$D$8)/2)+'Control Room'!$B$9*(BH40-IF('Control Room'!$B$5="Normal",'Control Room'!$B$7,('Control Room'!$B$8+'Control Room'!$D$8)/2))+SQRT(1-'Control Room'!$B$9^2)*(BG41-IF('Control Room'!$B$5="Normal",'Control Room'!$B$7,('Control Room'!$B$8+'Control Room'!$D$8)/2))</x:f>
        <x:v>1072.137917522925</x:v>
      </x:c>
      <x:c r="BI41" s="17" t="n">
        <x:f>IF(AND($A41&gt;='Control Room'!$A$13,$A41&lt;'Control Room'!$A$13+'Control Room'!$B$13,'Process'!BV2=1),1+('Control Room'!$C$13-1)*EXP(-0.5*(($A41-'Control Room'!$A$13-('Control Room'!$B$13-1)/2)/MAX(0.5,'Control Room'!$B$13/4))^2),1)*IF(AND($A41&gt;='Control Room'!$A$14,$A41&lt;'Control Room'!$A$14+'Control Room'!$B$14,'Process'!BV3=1),1+('Control Room'!$C$14-1)*EXP(-0.5*(($A41-'Control Room'!$A$14-('Control Room'!$B$14-1)/2)/MAX(0.5,'Control Room'!$B$14/4))^2),1)*IF(AND($A41&gt;='Control Room'!$A$15,$A41&lt;'Control Room'!$A$15+'Control Room'!$B$15,'Process'!BV4=1),1+('Control Room'!$C$15-1)*EXP(-0.5*(($A41-'Control Room'!$A$15-('Control Room'!$B$15-1)/2)/MAX(0.5,'Control Room'!$B$15/4))^2),1)*IF(AND($A41&gt;='Control Room'!$A$16,$A41&lt;'Control Room'!$A$16+'Control Room'!$B$16,'Process'!BV5=1),1+('Control Room'!$C$16-1)*EXP(-0.5*(($A41-'Control Room'!$A$16-('Control Room'!$B$16-1)/2)/MAX(0.5,'Control Room'!$B$16/4))^2),1)</x:f>
        <x:v>1</x:v>
      </x:c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Z41" t="str">
        <x:f>IF('Data'!A41="","",TEXT('Data'!A41,"mm-dd"))</x:f>
        <x:v>12-11</x:v>
      </x:c>
    </x:row>
    <x:row r="42" ht="21" customHeight="1">
      <x:c r="A42" s="15" t="n">
        <x:f>'Control Room'!$B$1+40</x:f>
        <x:v>73031</x:v>
      </x:c>
      <x:c r="B42" s="9" t="n">
        <x:f>MOD(C41*16807,2147483647)</x:f>
        <x:v>529064708</x:v>
      </x:c>
      <x:c r="C42" s="9" t="n">
        <x:f>MOD(B42*16807,2147483647)</x:f>
        <x:v>1408248776</x:v>
      </x:c>
      <x:c r="D42" s="17" t="n">
        <x:f>IF('Control Room'!$B$5="Normal",'Control Room'!$B$7+'Control Room'!$D$7*SQRT(-2*LN(MAX(0.000000000001,B42/2147483647)))*COS(2*PI()*C42/2147483647),'Control Room'!$B$8+('Control Room'!$D$8-'Control Room'!$B$8)*B42/2147483647)</x:f>
        <x:v>915.9238642329328</x:v>
      </x:c>
      <x:c r="E42" s="17" t="n">
        <x:f>IF('Control Room'!$B$5="Normal",'Control Room'!$B$7,('Control Room'!$B$8+'Control Room'!$D$8)/2)+'Control Room'!$B$9*(E41-IF('Control Room'!$B$5="Normal",'Control Room'!$B$7,('Control Room'!$B$8+'Control Room'!$D$8)/2))+SQRT(1-'Control Room'!$B$9^2)*(D42-IF('Control Room'!$B$5="Normal",'Control Room'!$B$7,('Control Room'!$B$8+'Control Room'!$D$8)/2))</x:f>
        <x:v>870.5994276251282</x:v>
      </x:c>
      <x:c r="F42" s="17" t="n">
        <x:f>IF(AND($A42&gt;='Control Room'!$A$13,$A42&lt;'Control Room'!$A$13+'Control Room'!$B$13,'Process'!BK2=1),1+('Control Room'!$C$13-1)*EXP(-0.5*(($A42-'Control Room'!$A$13-('Control Room'!$B$13-1)/2)/MAX(0.5,'Control Room'!$B$13/4))^2),1)*IF(AND($A42&gt;='Control Room'!$A$14,$A42&lt;'Control Room'!$A$14+'Control Room'!$B$14,'Process'!BK3=1),1+('Control Room'!$C$14-1)*EXP(-0.5*(($A42-'Control Room'!$A$14-('Control Room'!$B$14-1)/2)/MAX(0.5,'Control Room'!$B$14/4))^2),1)*IF(AND($A42&gt;='Control Room'!$A$15,$A42&lt;'Control Room'!$A$15+'Control Room'!$B$15,'Process'!BK4=1),1+('Control Room'!$C$15-1)*EXP(-0.5*(($A42-'Control Room'!$A$15-('Control Room'!$B$15-1)/2)/MAX(0.5,'Control Room'!$B$15/4))^2),1)*IF(AND($A42&gt;='Control Room'!$A$16,$A42&lt;'Control Room'!$A$16+'Control Room'!$B$16,'Process'!BK5=1),1+('Control Room'!$C$16-1)*EXP(-0.5*(($A42-'Control Room'!$A$16-('Control Room'!$B$16-1)/2)/MAX(0.5,'Control Room'!$B$16/4))^2),1)</x:f>
        <x:v>1</x:v>
      </x:c>
      <x:c r="G42" s="9" t="n">
        <x:f>MOD(H41*16807,2147483647)</x:f>
        <x:v>1555644231</x:v>
      </x:c>
      <x:c r="H42" s="9" t="n">
        <x:f>MOD(G42*16807,2147483647)</x:f>
        <x:v>99188192</x:v>
      </x:c>
      <x:c r="I42" s="17" t="n">
        <x:f>IF('Control Room'!$B$5="Normal",'Control Room'!$B$7+'Control Room'!$D$7*SQRT(-2*LN(MAX(0.000000000001,G42/2147483647)))*COS(2*PI()*H42/2147483647),'Control Room'!$B$8+('Control Room'!$D$8-'Control Room'!$B$8)*G42/2147483647)</x:f>
        <x:v>1069.2482455325303</x:v>
      </x:c>
      <x:c r="J42" s="17" t="n">
        <x:f>IF('Control Room'!$B$5="Normal",'Control Room'!$B$7,('Control Room'!$B$8+'Control Room'!$D$8)/2)+'Control Room'!$B$9*(J41-IF('Control Room'!$B$5="Normal",'Control Room'!$B$7,('Control Room'!$B$8+'Control Room'!$D$8)/2))+SQRT(1-'Control Room'!$B$9^2)*(I42-IF('Control Room'!$B$5="Normal",'Control Room'!$B$7,('Control Room'!$B$8+'Control Room'!$D$8)/2))</x:f>
        <x:v>976.950389673531</x:v>
      </x:c>
      <x:c r="K42" s="17" t="n">
        <x:f>IF(AND($A42&gt;='Control Room'!$A$13,$A42&lt;'Control Room'!$A$13+'Control Room'!$B$13,'Process'!BL2=1),1+('Control Room'!$C$13-1)*EXP(-0.5*(($A42-'Control Room'!$A$13-('Control Room'!$B$13-1)/2)/MAX(0.5,'Control Room'!$B$13/4))^2),1)*IF(AND($A42&gt;='Control Room'!$A$14,$A42&lt;'Control Room'!$A$14+'Control Room'!$B$14,'Process'!BL3=1),1+('Control Room'!$C$14-1)*EXP(-0.5*(($A42-'Control Room'!$A$14-('Control Room'!$B$14-1)/2)/MAX(0.5,'Control Room'!$B$14/4))^2),1)*IF(AND($A42&gt;='Control Room'!$A$15,$A42&lt;'Control Room'!$A$15+'Control Room'!$B$15,'Process'!BL4=1),1+('Control Room'!$C$15-1)*EXP(-0.5*(($A42-'Control Room'!$A$15-('Control Room'!$B$15-1)/2)/MAX(0.5,'Control Room'!$B$15/4))^2),1)*IF(AND($A42&gt;='Control Room'!$A$16,$A42&lt;'Control Room'!$A$16+'Control Room'!$B$16,'Process'!BL5=1),1+('Control Room'!$C$16-1)*EXP(-0.5*(($A42-'Control Room'!$A$16-('Control Room'!$B$16-1)/2)/MAX(0.5,'Control Room'!$B$16/4))^2),1)</x:f>
        <x:v>1</x:v>
      </x:c>
      <x:c r="L42" s="9" t="n">
        <x:f>MOD(M41*16807,2147483647)</x:f>
        <x:v>434740107</x:v>
      </x:c>
      <x:c r="M42" s="9" t="n">
        <x:f>MOD(L42*16807,2147483647)</x:f>
        <x:v>937611255</x:v>
      </x:c>
      <x:c r="N42" s="17" t="n">
        <x:f>IF('Control Room'!$B$5="Normal",'Control Room'!$B$7+'Control Room'!$D$7*SQRT(-2*LN(MAX(0.000000000001,L42/2147483647)))*COS(2*PI()*M42/2147483647),'Control Room'!$B$8+('Control Room'!$D$8-'Control Room'!$B$8)*L42/2147483647)</x:f>
        <x:v>851.7304987857387</x:v>
      </x:c>
      <x:c r="O42" s="17" t="n">
        <x:f>IF('Control Room'!$B$5="Normal",'Control Room'!$B$7,('Control Room'!$B$8+'Control Room'!$D$8)/2)+'Control Room'!$B$9*(O41-IF('Control Room'!$B$5="Normal",'Control Room'!$B$7,('Control Room'!$B$8+'Control Room'!$D$8)/2))+SQRT(1-'Control Room'!$B$9^2)*(N42-IF('Control Room'!$B$5="Normal",'Control Room'!$B$7,('Control Room'!$B$8+'Control Room'!$D$8)/2))</x:f>
        <x:v>993.2125985175758</x:v>
      </x:c>
      <x:c r="P42" s="17" t="n">
        <x:f>IF(AND($A42&gt;='Control Room'!$A$13,$A42&lt;'Control Room'!$A$13+'Control Room'!$B$13,'Process'!BM2=1),1+('Control Room'!$C$13-1)*EXP(-0.5*(($A42-'Control Room'!$A$13-('Control Room'!$B$13-1)/2)/MAX(0.5,'Control Room'!$B$13/4))^2),1)*IF(AND($A42&gt;='Control Room'!$A$14,$A42&lt;'Control Room'!$A$14+'Control Room'!$B$14,'Process'!BM3=1),1+('Control Room'!$C$14-1)*EXP(-0.5*(($A42-'Control Room'!$A$14-('Control Room'!$B$14-1)/2)/MAX(0.5,'Control Room'!$B$14/4))^2),1)*IF(AND($A42&gt;='Control Room'!$A$15,$A42&lt;'Control Room'!$A$15+'Control Room'!$B$15,'Process'!BM4=1),1+('Control Room'!$C$15-1)*EXP(-0.5*(($A42-'Control Room'!$A$15-('Control Room'!$B$15-1)/2)/MAX(0.5,'Control Room'!$B$15/4))^2),1)*IF(AND($A42&gt;='Control Room'!$A$16,$A42&lt;'Control Room'!$A$16+'Control Room'!$B$16,'Process'!BM5=1),1+('Control Room'!$C$16-1)*EXP(-0.5*(($A42-'Control Room'!$A$16-('Control Room'!$B$16-1)/2)/MAX(0.5,'Control Room'!$B$16/4))^2),1)</x:f>
        <x:v>1</x:v>
      </x:c>
      <x:c r="Q42" s="9" t="n">
        <x:f>MOD(R41*16807,2147483647)</x:f>
        <x:v>1461319630</x:v>
      </x:c>
      <x:c r="R42" s="9" t="n">
        <x:f>MOD(Q42*16807,2147483647)</x:f>
        <x:v>1776034318</x:v>
      </x:c>
      <x:c r="S42" s="17" t="n">
        <x:f>IF('Control Room'!$B$5="Normal",'Control Room'!$B$7+'Control Room'!$D$7*SQRT(-2*LN(MAX(0.000000000001,Q42/2147483647)))*COS(2*PI()*R42/2147483647),'Control Room'!$B$8+('Control Room'!$D$8-'Control Room'!$B$8)*Q42/2147483647)</x:f>
        <x:v>1036.746464023777</x:v>
      </x:c>
      <x:c r="T42" s="17" t="n">
        <x:f>IF('Control Room'!$B$5="Normal",'Control Room'!$B$7,('Control Room'!$B$8+'Control Room'!$D$8)/2)+'Control Room'!$B$9*(T41-IF('Control Room'!$B$5="Normal",'Control Room'!$B$7,('Control Room'!$B$8+'Control Room'!$D$8)/2))+SQRT(1-'Control Room'!$B$9^2)*(S42-IF('Control Room'!$B$5="Normal",'Control Room'!$B$7,('Control Room'!$B$8+'Control Room'!$D$8)/2))</x:f>
        <x:v>1039.2617428491785</x:v>
      </x:c>
      <x:c r="U42" s="17" t="n">
        <x:f>IF(AND($A42&gt;='Control Room'!$A$13,$A42&lt;'Control Room'!$A$13+'Control Room'!$B$13,'Process'!BN2=1),1+('Control Room'!$C$13-1)*EXP(-0.5*(($A42-'Control Room'!$A$13-('Control Room'!$B$13-1)/2)/MAX(0.5,'Control Room'!$B$13/4))^2),1)*IF(AND($A42&gt;='Control Room'!$A$14,$A42&lt;'Control Room'!$A$14+'Control Room'!$B$14,'Process'!BN3=1),1+('Control Room'!$C$14-1)*EXP(-0.5*(($A42-'Control Room'!$A$14-('Control Room'!$B$14-1)/2)/MAX(0.5,'Control Room'!$B$14/4))^2),1)*IF(AND($A42&gt;='Control Room'!$A$15,$A42&lt;'Control Room'!$A$15+'Control Room'!$B$15,'Process'!BN4=1),1+('Control Room'!$C$15-1)*EXP(-0.5*(($A42-'Control Room'!$A$15-('Control Room'!$B$15-1)/2)/MAX(0.5,'Control Room'!$B$15/4))^2),1)*IF(AND($A42&gt;='Control Room'!$A$16,$A42&lt;'Control Room'!$A$16+'Control Room'!$B$16,'Process'!BN5=1),1+('Control Room'!$C$16-1)*EXP(-0.5*(($A42-'Control Room'!$A$16-('Control Room'!$B$16-1)/2)/MAX(0.5,'Control Room'!$B$16/4))^2),1)</x:f>
        <x:v>1</x:v>
      </x:c>
      <x:c r="V42" s="9" t="n">
        <x:f>MOD(W41*16807,2147483647)</x:f>
        <x:v>340415506</x:v>
      </x:c>
      <x:c r="W42" s="9" t="n">
        <x:f>MOD(V42*16807,2147483647)</x:f>
        <x:v>466973734</x:v>
      </x:c>
      <x:c r="X42" s="17" t="n">
        <x:f>IF('Control Room'!$B$5="Normal",'Control Room'!$B$7+'Control Room'!$D$7*SQRT(-2*LN(MAX(0.000000000001,V42/2147483647)))*COS(2*PI()*W42/2147483647),'Control Room'!$B$8+('Control Room'!$D$8-'Control Room'!$B$8)*V42/2147483647)</x:f>
        <x:v>1035.080591471773</x:v>
      </x:c>
      <x:c r="Y42" s="17" t="n">
        <x:f>IF('Control Room'!$B$5="Normal",'Control Room'!$B$7,('Control Room'!$B$8+'Control Room'!$D$8)/2)+'Control Room'!$B$9*(Y41-IF('Control Room'!$B$5="Normal",'Control Room'!$B$7,('Control Room'!$B$8+'Control Room'!$D$8)/2))+SQRT(1-'Control Room'!$B$9^2)*(X42-IF('Control Room'!$B$5="Normal",'Control Room'!$B$7,('Control Room'!$B$8+'Control Room'!$D$8)/2))</x:f>
        <x:v>1067.0568703129554</x:v>
      </x:c>
      <x:c r="Z42" s="17" t="n">
        <x:f>IF(AND($A42&gt;='Control Room'!$A$13,$A42&lt;'Control Room'!$A$13+'Control Room'!$B$13,'Process'!BO2=1),1+('Control Room'!$C$13-1)*EXP(-0.5*(($A42-'Control Room'!$A$13-('Control Room'!$B$13-1)/2)/MAX(0.5,'Control Room'!$B$13/4))^2),1)*IF(AND($A42&gt;='Control Room'!$A$14,$A42&lt;'Control Room'!$A$14+'Control Room'!$B$14,'Process'!BO3=1),1+('Control Room'!$C$14-1)*EXP(-0.5*(($A42-'Control Room'!$A$14-('Control Room'!$B$14-1)/2)/MAX(0.5,'Control Room'!$B$14/4))^2),1)*IF(AND($A42&gt;='Control Room'!$A$15,$A42&lt;'Control Room'!$A$15+'Control Room'!$B$15,'Process'!BO4=1),1+('Control Room'!$C$15-1)*EXP(-0.5*(($A42-'Control Room'!$A$15-('Control Room'!$B$15-1)/2)/MAX(0.5,'Control Room'!$B$15/4))^2),1)*IF(AND($A42&gt;='Control Room'!$A$16,$A42&lt;'Control Room'!$A$16+'Control Room'!$B$16,'Process'!BO5=1),1+('Control Room'!$C$16-1)*EXP(-0.5*(($A42-'Control Room'!$A$16-('Control Room'!$B$16-1)/2)/MAX(0.5,'Control Room'!$B$16/4))^2),1)</x:f>
        <x:v>1</x:v>
      </x:c>
      <x:c r="AA42" s="9" t="n">
        <x:f>MOD(AB41*16807,2147483647)</x:f>
        <x:v>1366995029</x:v>
      </x:c>
      <x:c r="AB42" s="9" t="n">
        <x:f>MOD(AA42*16807,2147483647)</x:f>
        <x:v>1305396797</x:v>
      </x:c>
      <x:c r="AC42" s="17" t="n">
        <x:f>IF('Control Room'!$B$5="Normal",'Control Room'!$B$7+'Control Room'!$D$7*SQRT(-2*LN(MAX(0.000000000001,AA42/2147483647)))*COS(2*PI()*AB42/2147483647),'Control Room'!$B$8+('Control Room'!$D$8-'Control Room'!$B$8)*AA42/2147483647)</x:f>
        <x:v>933.3667258342016</x:v>
      </x:c>
      <x:c r="AD42" s="17" t="n">
        <x:f>IF('Control Room'!$B$5="Normal",'Control Room'!$B$7,('Control Room'!$B$8+'Control Room'!$D$8)/2)+'Control Room'!$B$9*(AD41-IF('Control Room'!$B$5="Normal",'Control Room'!$B$7,('Control Room'!$B$8+'Control Room'!$D$8)/2))+SQRT(1-'Control Room'!$B$9^2)*(AC42-IF('Control Room'!$B$5="Normal",'Control Room'!$B$7,('Control Room'!$B$8+'Control Room'!$D$8)/2))</x:f>
        <x:v>994.7461315607517</x:v>
      </x:c>
      <x:c r="AE42" s="17" t="n">
        <x:f>IF(AND($A42&gt;='Control Room'!$A$13,$A42&lt;'Control Room'!$A$13+'Control Room'!$B$13,'Process'!BP2=1),1+('Control Room'!$C$13-1)*EXP(-0.5*(($A42-'Control Room'!$A$13-('Control Room'!$B$13-1)/2)/MAX(0.5,'Control Room'!$B$13/4))^2),1)*IF(AND($A42&gt;='Control Room'!$A$14,$A42&lt;'Control Room'!$A$14+'Control Room'!$B$14,'Process'!BP3=1),1+('Control Room'!$C$14-1)*EXP(-0.5*(($A42-'Control Room'!$A$14-('Control Room'!$B$14-1)/2)/MAX(0.5,'Control Room'!$B$14/4))^2),1)*IF(AND($A42&gt;='Control Room'!$A$15,$A42&lt;'Control Room'!$A$15+'Control Room'!$B$15,'Process'!BP4=1),1+('Control Room'!$C$15-1)*EXP(-0.5*(($A42-'Control Room'!$A$15-('Control Room'!$B$15-1)/2)/MAX(0.5,'Control Room'!$B$15/4))^2),1)*IF(AND($A42&gt;='Control Room'!$A$16,$A42&lt;'Control Room'!$A$16+'Control Room'!$B$16,'Process'!BP5=1),1+('Control Room'!$C$16-1)*EXP(-0.5*(($A42-'Control Room'!$A$16-('Control Room'!$B$16-1)/2)/MAX(0.5,'Control Room'!$B$16/4))^2),1)</x:f>
        <x:v>1</x:v>
      </x:c>
      <x:c r="AF42" s="9" t="n">
        <x:f>MOD(AG41*16807,2147483647)</x:f>
        <x:v>246090905</x:v>
      </x:c>
      <x:c r="AG42" s="9" t="n">
        <x:f>MOD(AF42*16807,2147483647)</x:f>
        <x:v>2143819860</x:v>
      </x:c>
      <x:c r="AH42" s="17" t="n">
        <x:f>IF('Control Room'!$B$5="Normal",'Control Room'!$B$7+'Control Room'!$D$7*SQRT(-2*LN(MAX(0.000000000001,AF42/2147483647)))*COS(2*PI()*AG42/2147483647),'Control Room'!$B$8+('Control Room'!$D$8-'Control Room'!$B$8)*AF42/2147483647)</x:f>
        <x:v>1187.3255300386306</x:v>
      </x:c>
      <x:c r="AI42" s="17" t="n">
        <x:f>IF('Control Room'!$B$5="Normal",'Control Room'!$B$7,('Control Room'!$B$8+'Control Room'!$D$8)/2)+'Control Room'!$B$9*(AI41-IF('Control Room'!$B$5="Normal",'Control Room'!$B$7,('Control Room'!$B$8+'Control Room'!$D$8)/2))+SQRT(1-'Control Room'!$B$9^2)*(AH42-IF('Control Room'!$B$5="Normal",'Control Room'!$B$7,('Control Room'!$B$8+'Control Room'!$D$8)/2))</x:f>
        <x:v>1066.12654851187</x:v>
      </x:c>
      <x:c r="AJ42" s="17" t="n">
        <x:f>IF(AND($A42&gt;='Control Room'!$A$13,$A42&lt;'Control Room'!$A$13+'Control Room'!$B$13,'Process'!BQ2=1),1+('Control Room'!$C$13-1)*EXP(-0.5*(($A42-'Control Room'!$A$13-('Control Room'!$B$13-1)/2)/MAX(0.5,'Control Room'!$B$13/4))^2),1)*IF(AND($A42&gt;='Control Room'!$A$14,$A42&lt;'Control Room'!$A$14+'Control Room'!$B$14,'Process'!BQ3=1),1+('Control Room'!$C$14-1)*EXP(-0.5*(($A42-'Control Room'!$A$14-('Control Room'!$B$14-1)/2)/MAX(0.5,'Control Room'!$B$14/4))^2),1)*IF(AND($A42&gt;='Control Room'!$A$15,$A42&lt;'Control Room'!$A$15+'Control Room'!$B$15,'Process'!BQ4=1),1+('Control Room'!$C$15-1)*EXP(-0.5*(($A42-'Control Room'!$A$15-('Control Room'!$B$15-1)/2)/MAX(0.5,'Control Room'!$B$15/4))^2),1)*IF(AND($A42&gt;='Control Room'!$A$16,$A42&lt;'Control Room'!$A$16+'Control Room'!$B$16,'Process'!BQ5=1),1+('Control Room'!$C$16-1)*EXP(-0.5*(($A42-'Control Room'!$A$16-('Control Room'!$B$16-1)/2)/MAX(0.5,'Control Room'!$B$16/4))^2),1)</x:f>
        <x:v>1</x:v>
      </x:c>
      <x:c r="AK42" s="9" t="n">
        <x:f>MOD(AL41*16807,2147483647)</x:f>
        <x:v>1272670428</x:v>
      </x:c>
      <x:c r="AL42" s="9" t="n">
        <x:f>MOD(AK42*16807,2147483647)</x:f>
        <x:v>834759276</x:v>
      </x:c>
      <x:c r="AM42" s="17" t="n">
        <x:f>IF('Control Room'!$B$5="Normal",'Control Room'!$B$7+'Control Room'!$D$7*SQRT(-2*LN(MAX(0.000000000001,AK42/2147483647)))*COS(2*PI()*AL42/2147483647),'Control Room'!$B$8+('Control Room'!$D$8-'Control Room'!$B$8)*AK42/2147483647)</x:f>
        <x:v>929.5406933118114</x:v>
      </x:c>
      <x:c r="AN42" s="17" t="n">
        <x:f>IF('Control Room'!$B$5="Normal",'Control Room'!$B$7,('Control Room'!$B$8+'Control Room'!$D$8)/2)+'Control Room'!$B$9*(AN41-IF('Control Room'!$B$5="Normal",'Control Room'!$B$7,('Control Room'!$B$8+'Control Room'!$D$8)/2))+SQRT(1-'Control Room'!$B$9^2)*(AM42-IF('Control Room'!$B$5="Normal",'Control Room'!$B$7,('Control Room'!$B$8+'Control Room'!$D$8)/2))</x:f>
        <x:v>876.3275752081823</x:v>
      </x:c>
      <x:c r="AO42" s="17" t="n">
        <x:f>IF(AND($A42&gt;='Control Room'!$A$13,$A42&lt;'Control Room'!$A$13+'Control Room'!$B$13,'Process'!BR2=1),1+('Control Room'!$C$13-1)*EXP(-0.5*(($A42-'Control Room'!$A$13-('Control Room'!$B$13-1)/2)/MAX(0.5,'Control Room'!$B$13/4))^2),1)*IF(AND($A42&gt;='Control Room'!$A$14,$A42&lt;'Control Room'!$A$14+'Control Room'!$B$14,'Process'!BR3=1),1+('Control Room'!$C$14-1)*EXP(-0.5*(($A42-'Control Room'!$A$14-('Control Room'!$B$14-1)/2)/MAX(0.5,'Control Room'!$B$14/4))^2),1)*IF(AND($A42&gt;='Control Room'!$A$15,$A42&lt;'Control Room'!$A$15+'Control Room'!$B$15,'Process'!BR4=1),1+('Control Room'!$C$15-1)*EXP(-0.5*(($A42-'Control Room'!$A$15-('Control Room'!$B$15-1)/2)/MAX(0.5,'Control Room'!$B$15/4))^2),1)*IF(AND($A42&gt;='Control Room'!$A$16,$A42&lt;'Control Room'!$A$16+'Control Room'!$B$16,'Process'!BR5=1),1+('Control Room'!$C$16-1)*EXP(-0.5*(($A42-'Control Room'!$A$16-('Control Room'!$B$16-1)/2)/MAX(0.5,'Control Room'!$B$16/4))^2),1)</x:f>
        <x:v>1</x:v>
      </x:c>
      <x:c r="AP42" s="9" t="n">
        <x:f>MOD(AQ41*16807,2147483647)</x:f>
        <x:v>151766304</x:v>
      </x:c>
      <x:c r="AQ42" s="9" t="n">
        <x:f>MOD(AP42*16807,2147483647)</x:f>
        <x:v>1673182339</x:v>
      </x:c>
      <x:c r="AR42" s="17" t="n">
        <x:f>IF('Control Room'!$B$5="Normal",'Control Room'!$B$7+'Control Room'!$D$7*SQRT(-2*LN(MAX(0.000000000001,AP42/2147483647)))*COS(2*PI()*AQ42/2147483647),'Control Room'!$B$8+('Control Room'!$D$8-'Control Room'!$B$8)*AP42/2147483647)</x:f>
        <x:v>1037.7173835838953</x:v>
      </x:c>
      <x:c r="AS42" s="17" t="n">
        <x:f>IF('Control Room'!$B$5="Normal",'Control Room'!$B$7,('Control Room'!$B$8+'Control Room'!$D$8)/2)+'Control Room'!$B$9*(AS41-IF('Control Room'!$B$5="Normal",'Control Room'!$B$7,('Control Room'!$B$8+'Control Room'!$D$8)/2))+SQRT(1-'Control Room'!$B$9^2)*(AR42-IF('Control Room'!$B$5="Normal",'Control Room'!$B$7,('Control Room'!$B$8+'Control Room'!$D$8)/2))</x:f>
        <x:v>1084.4615415902465</x:v>
      </x:c>
      <x:c r="AT42" s="17" t="n">
        <x:f>IF(AND($A42&gt;='Control Room'!$A$13,$A42&lt;'Control Room'!$A$13+'Control Room'!$B$13,'Process'!BS2=1),1+('Control Room'!$C$13-1)*EXP(-0.5*(($A42-'Control Room'!$A$13-('Control Room'!$B$13-1)/2)/MAX(0.5,'Control Room'!$B$13/4))^2),1)*IF(AND($A42&gt;='Control Room'!$A$14,$A42&lt;'Control Room'!$A$14+'Control Room'!$B$14,'Process'!BS3=1),1+('Control Room'!$C$14-1)*EXP(-0.5*(($A42-'Control Room'!$A$14-('Control Room'!$B$14-1)/2)/MAX(0.5,'Control Room'!$B$14/4))^2),1)*IF(AND($A42&gt;='Control Room'!$A$15,$A42&lt;'Control Room'!$A$15+'Control Room'!$B$15,'Process'!BS4=1),1+('Control Room'!$C$15-1)*EXP(-0.5*(($A42-'Control Room'!$A$15-('Control Room'!$B$15-1)/2)/MAX(0.5,'Control Room'!$B$15/4))^2),1)*IF(AND($A42&gt;='Control Room'!$A$16,$A42&lt;'Control Room'!$A$16+'Control Room'!$B$16,'Process'!BS5=1),1+('Control Room'!$C$16-1)*EXP(-0.5*(($A42-'Control Room'!$A$16-('Control Room'!$B$16-1)/2)/MAX(0.5,'Control Room'!$B$16/4))^2),1)</x:f>
        <x:v>1</x:v>
      </x:c>
      <x:c r="AU42" s="9" t="n">
        <x:f>MOD(AV41*16807,2147483647)</x:f>
        <x:v>1178345827</x:v>
      </x:c>
      <x:c r="AV42" s="9" t="n">
        <x:f>MOD(AU42*16807,2147483647)</x:f>
        <x:v>364121755</x:v>
      </x:c>
      <x:c r="AW42" s="17" t="n">
        <x:f>IF('Control Room'!$B$5="Normal",'Control Room'!$B$7+'Control Room'!$D$7*SQRT(-2*LN(MAX(0.000000000001,AU42/2147483647)))*COS(2*PI()*AV42/2147483647),'Control Room'!$B$8+('Control Room'!$D$8-'Control Room'!$B$8)*AU42/2147483647)</x:f>
        <x:v>1047.743561060737</x:v>
      </x:c>
      <x:c r="AX42" s="17" t="n">
        <x:f>IF('Control Room'!$B$5="Normal",'Control Room'!$B$7,('Control Room'!$B$8+'Control Room'!$D$8)/2)+'Control Room'!$B$9*(AX41-IF('Control Room'!$B$5="Normal",'Control Room'!$B$7,('Control Room'!$B$8+'Control Room'!$D$8)/2))+SQRT(1-'Control Room'!$B$9^2)*(AW42-IF('Control Room'!$B$5="Normal",'Control Room'!$B$7,('Control Room'!$B$8+'Control Room'!$D$8)/2))</x:f>
        <x:v>1053.7582074654379</x:v>
      </x:c>
      <x:c r="AY42" s="17" t="n">
        <x:f>IF(AND($A42&gt;='Control Room'!$A$13,$A42&lt;'Control Room'!$A$13+'Control Room'!$B$13,'Process'!BT2=1),1+('Control Room'!$C$13-1)*EXP(-0.5*(($A42-'Control Room'!$A$13-('Control Room'!$B$13-1)/2)/MAX(0.5,'Control Room'!$B$13/4))^2),1)*IF(AND($A42&gt;='Control Room'!$A$14,$A42&lt;'Control Room'!$A$14+'Control Room'!$B$14,'Process'!BT3=1),1+('Control Room'!$C$14-1)*EXP(-0.5*(($A42-'Control Room'!$A$14-('Control Room'!$B$14-1)/2)/MAX(0.5,'Control Room'!$B$14/4))^2),1)*IF(AND($A42&gt;='Control Room'!$A$15,$A42&lt;'Control Room'!$A$15+'Control Room'!$B$15,'Process'!BT4=1),1+('Control Room'!$C$15-1)*EXP(-0.5*(($A42-'Control Room'!$A$15-('Control Room'!$B$15-1)/2)/MAX(0.5,'Control Room'!$B$15/4))^2),1)*IF(AND($A42&gt;='Control Room'!$A$16,$A42&lt;'Control Room'!$A$16+'Control Room'!$B$16,'Process'!BT5=1),1+('Control Room'!$C$16-1)*EXP(-0.5*(($A42-'Control Room'!$A$16-('Control Room'!$B$16-1)/2)/MAX(0.5,'Control Room'!$B$16/4))^2),1)</x:f>
        <x:v>1</x:v>
      </x:c>
      <x:c r="AZ42" s="9" t="n">
        <x:f>MOD(BA41*16807,2147483647)</x:f>
        <x:v>57441703</x:v>
      </x:c>
      <x:c r="BA42" s="9" t="n">
        <x:f>MOD(AZ42*16807,2147483647)</x:f>
        <x:v>1202544818</x:v>
      </x:c>
      <x:c r="BB42" s="17" t="n">
        <x:f>IF('Control Room'!$B$5="Normal",'Control Room'!$B$7+'Control Room'!$D$7*SQRT(-2*LN(MAX(0.000000000001,AZ42/2147483647)))*COS(2*PI()*BA42/2147483647),'Control Room'!$B$8+('Control Room'!$D$8-'Control Room'!$B$8)*AZ42/2147483647)</x:f>
        <x:v>774.7886069332974</x:v>
      </x:c>
      <x:c r="BC42" s="17" t="n">
        <x:f>IF('Control Room'!$B$5="Normal",'Control Room'!$B$7,('Control Room'!$B$8+'Control Room'!$D$8)/2)+'Control Room'!$B$9*(BC41-IF('Control Room'!$B$5="Normal",'Control Room'!$B$7,('Control Room'!$B$8+'Control Room'!$D$8)/2))+SQRT(1-'Control Room'!$B$9^2)*(BB42-IF('Control Room'!$B$5="Normal",'Control Room'!$B$7,('Control Room'!$B$8+'Control Room'!$D$8)/2))</x:f>
        <x:v>850.2507457123581</x:v>
      </x:c>
      <x:c r="BD42" s="17" t="n">
        <x:f>IF(AND($A42&gt;='Control Room'!$A$13,$A42&lt;'Control Room'!$A$13+'Control Room'!$B$13,'Process'!BU2=1),1+('Control Room'!$C$13-1)*EXP(-0.5*(($A42-'Control Room'!$A$13-('Control Room'!$B$13-1)/2)/MAX(0.5,'Control Room'!$B$13/4))^2),1)*IF(AND($A42&gt;='Control Room'!$A$14,$A42&lt;'Control Room'!$A$14+'Control Room'!$B$14,'Process'!BU3=1),1+('Control Room'!$C$14-1)*EXP(-0.5*(($A42-'Control Room'!$A$14-('Control Room'!$B$14-1)/2)/MAX(0.5,'Control Room'!$B$14/4))^2),1)*IF(AND($A42&gt;='Control Room'!$A$15,$A42&lt;'Control Room'!$A$15+'Control Room'!$B$15,'Process'!BU4=1),1+('Control Room'!$C$15-1)*EXP(-0.5*(($A42-'Control Room'!$A$15-('Control Room'!$B$15-1)/2)/MAX(0.5,'Control Room'!$B$15/4))^2),1)*IF(AND($A42&gt;='Control Room'!$A$16,$A42&lt;'Control Room'!$A$16+'Control Room'!$B$16,'Process'!BU5=1),1+('Control Room'!$C$16-1)*EXP(-0.5*(($A42-'Control Room'!$A$16-('Control Room'!$B$16-1)/2)/MAX(0.5,'Control Room'!$B$16/4))^2),1)</x:f>
        <x:v>1</x:v>
      </x:c>
      <x:c r="BE42" s="9" t="n">
        <x:f>MOD(BF41*16807,2147483647)</x:f>
        <x:v>1084021226</x:v>
      </x:c>
      <x:c r="BF42" s="9" t="n">
        <x:f>MOD(BE42*16807,2147483647)</x:f>
        <x:v>2040967881</x:v>
      </x:c>
      <x:c r="BG42" s="17" t="n">
        <x:f>IF('Control Room'!$B$5="Normal",'Control Room'!$B$7+'Control Room'!$D$7*SQRT(-2*LN(MAX(0.000000000001,BE42/2147483647)))*COS(2*PI()*BF42/2147483647),'Control Room'!$B$8+('Control Room'!$D$8-'Control Room'!$B$8)*BE42/2147483647)</x:f>
        <x:v>1100.1668187865887</x:v>
      </x:c>
      <x:c r="BH42" s="17" t="n">
        <x:f>IF('Control Room'!$B$5="Normal",'Control Room'!$B$7,('Control Room'!$B$8+'Control Room'!$D$8)/2)+'Control Room'!$B$9*(BH41-IF('Control Room'!$B$5="Normal",'Control Room'!$B$7,('Control Room'!$B$8+'Control Room'!$D$8)/2))+SQRT(1-'Control Room'!$B$9^2)*(BG42-IF('Control Room'!$B$5="Normal",'Control Room'!$B$7,('Control Room'!$B$8+'Control Room'!$D$8)/2))</x:f>
        <x:v>1118.949918835708</x:v>
      </x:c>
      <x:c r="BI42" s="17" t="n">
        <x:f>IF(AND($A42&gt;='Control Room'!$A$13,$A42&lt;'Control Room'!$A$13+'Control Room'!$B$13,'Process'!BV2=1),1+('Control Room'!$C$13-1)*EXP(-0.5*(($A42-'Control Room'!$A$13-('Control Room'!$B$13-1)/2)/MAX(0.5,'Control Room'!$B$13/4))^2),1)*IF(AND($A42&gt;='Control Room'!$A$14,$A42&lt;'Control Room'!$A$14+'Control Room'!$B$14,'Process'!BV3=1),1+('Control Room'!$C$14-1)*EXP(-0.5*(($A42-'Control Room'!$A$14-('Control Room'!$B$14-1)/2)/MAX(0.5,'Control Room'!$B$14/4))^2),1)*IF(AND($A42&gt;='Control Room'!$A$15,$A42&lt;'Control Room'!$A$15+'Control Room'!$B$15,'Process'!BV4=1),1+('Control Room'!$C$15-1)*EXP(-0.5*(($A42-'Control Room'!$A$15-('Control Room'!$B$15-1)/2)/MAX(0.5,'Control Room'!$B$15/4))^2),1)*IF(AND($A42&gt;='Control Room'!$A$16,$A42&lt;'Control Room'!$A$16+'Control Room'!$B$16,'Process'!BV5=1),1+('Control Room'!$C$16-1)*EXP(-0.5*(($A42-'Control Room'!$A$16-('Control Room'!$B$16-1)/2)/MAX(0.5,'Control Room'!$B$16/4))^2),1)</x:f>
        <x:v>1</x:v>
      </x:c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Z42" t="str">
        <x:f>IF('Data'!A42="","",TEXT('Data'!A42,"mm-dd"))</x:f>
        <x:v>12-12</x:v>
      </x:c>
    </x:row>
    <x:row r="43" ht="21" customHeight="1">
      <x:c r="A43" s="15" t="n">
        <x:f>'Control Room'!$B$1+41</x:f>
        <x:v>73032</x:v>
      </x:c>
      <x:c r="B43" s="9" t="n">
        <x:f>MOD(C42*16807,2147483647)</x:f>
        <x:v>1019904645</x:v>
      </x:c>
      <x:c r="C43" s="9" t="n">
        <x:f>MOD(B43*16807,2147483647)</x:f>
        <x:v>322898161</x:v>
      </x:c>
      <x:c r="D43" s="17" t="n">
        <x:f>IF('Control Room'!$B$5="Normal",'Control Room'!$B$7+'Control Room'!$D$7*SQRT(-2*LN(MAX(0.000000000001,B43/2147483647)))*COS(2*PI()*C43/2147483647),'Control Room'!$B$8+('Control Room'!$D$8-'Control Room'!$B$8)*B43/2147483647)</x:f>
        <x:v>1064.3538239554475</x:v>
      </x:c>
      <x:c r="E43" s="17" t="n">
        <x:f>IF('Control Room'!$B$5="Normal",'Control Room'!$B$7,('Control Room'!$B$8+'Control Room'!$D$8)/2)+'Control Room'!$B$9*(E42-IF('Control Room'!$B$5="Normal",'Control Room'!$B$7,('Control Room'!$B$8+'Control Room'!$D$8)/2))+SQRT(1-'Control Room'!$B$9^2)*(D43-IF('Control Room'!$B$5="Normal",'Control Room'!$B$7,('Control Room'!$B$8+'Control Room'!$D$8)/2))</x:f>
        <x:v>939.3388582191761</x:v>
      </x:c>
      <x:c r="F43" s="17" t="n">
        <x:f>IF(AND($A43&gt;='Control Room'!$A$13,$A43&lt;'Control Room'!$A$13+'Control Room'!$B$13,'Process'!BK2=1),1+('Control Room'!$C$13-1)*EXP(-0.5*(($A43-'Control Room'!$A$13-('Control Room'!$B$13-1)/2)/MAX(0.5,'Control Room'!$B$13/4))^2),1)*IF(AND($A43&gt;='Control Room'!$A$14,$A43&lt;'Control Room'!$A$14+'Control Room'!$B$14,'Process'!BK3=1),1+('Control Room'!$C$14-1)*EXP(-0.5*(($A43-'Control Room'!$A$14-('Control Room'!$B$14-1)/2)/MAX(0.5,'Control Room'!$B$14/4))^2),1)*IF(AND($A43&gt;='Control Room'!$A$15,$A43&lt;'Control Room'!$A$15+'Control Room'!$B$15,'Process'!BK4=1),1+('Control Room'!$C$15-1)*EXP(-0.5*(($A43-'Control Room'!$A$15-('Control Room'!$B$15-1)/2)/MAX(0.5,'Control Room'!$B$15/4))^2),1)*IF(AND($A43&gt;='Control Room'!$A$16,$A43&lt;'Control Room'!$A$16+'Control Room'!$B$16,'Process'!BK5=1),1+('Control Room'!$C$16-1)*EXP(-0.5*(($A43-'Control Room'!$A$16-('Control Room'!$B$16-1)/2)/MAX(0.5,'Control Room'!$B$16/4))^2),1)</x:f>
        <x:v>1.7791659216600393</x:v>
      </x:c>
      <x:c r="G43" s="9" t="n">
        <x:f>MOD(H42*16807,2147483647)</x:f>
        <x:v>608632872</x:v>
      </x:c>
      <x:c r="H43" s="9" t="n">
        <x:f>MOD(G43*16807,2147483647)</x:f>
        <x:v>828069043</x:v>
      </x:c>
      <x:c r="I43" s="17" t="n">
        <x:f>IF('Control Room'!$B$5="Normal",'Control Room'!$B$7+'Control Room'!$D$7*SQRT(-2*LN(MAX(0.000000000001,G43/2147483647)))*COS(2*PI()*H43/2147483647),'Control Room'!$B$8+('Control Room'!$D$8-'Control Room'!$B$8)*G43/2147483647)</x:f>
        <x:v>892.4402577482945</x:v>
      </x:c>
      <x:c r="J43" s="17" t="n">
        <x:f>IF('Control Room'!$B$5="Normal",'Control Room'!$B$7,('Control Room'!$B$8+'Control Room'!$D$8)/2)+'Control Room'!$B$9*(J42-IF('Control Room'!$B$5="Normal",'Control Room'!$B$7,('Control Room'!$B$8+'Control Room'!$D$8)/2))+SQRT(1-'Control Room'!$B$9^2)*(I43-IF('Control Room'!$B$5="Normal",'Control Room'!$B$7,('Control Room'!$B$8+'Control Room'!$D$8)/2))</x:f>
        <x:v>914.7126207253268</x:v>
      </x:c>
      <x:c r="K43" s="17" t="n">
        <x:f>IF(AND($A43&gt;='Control Room'!$A$13,$A43&lt;'Control Room'!$A$13+'Control Room'!$B$13,'Process'!BL2=1),1+('Control Room'!$C$13-1)*EXP(-0.5*(($A43-'Control Room'!$A$13-('Control Room'!$B$13-1)/2)/MAX(0.5,'Control Room'!$B$13/4))^2),1)*IF(AND($A43&gt;='Control Room'!$A$14,$A43&lt;'Control Room'!$A$14+'Control Room'!$B$14,'Process'!BL3=1),1+('Control Room'!$C$14-1)*EXP(-0.5*(($A43-'Control Room'!$A$14-('Control Room'!$B$14-1)/2)/MAX(0.5,'Control Room'!$B$14/4))^2),1)*IF(AND($A43&gt;='Control Room'!$A$15,$A43&lt;'Control Room'!$A$15+'Control Room'!$B$15,'Process'!BL4=1),1+('Control Room'!$C$15-1)*EXP(-0.5*(($A43-'Control Room'!$A$15-('Control Room'!$B$15-1)/2)/MAX(0.5,'Control Room'!$B$15/4))^2),1)*IF(AND($A43&gt;='Control Room'!$A$16,$A43&lt;'Control Room'!$A$16+'Control Room'!$B$16,'Process'!BL5=1),1+('Control Room'!$C$16-1)*EXP(-0.5*(($A43-'Control Room'!$A$16-('Control Room'!$B$16-1)/2)/MAX(0.5,'Control Room'!$B$16/4))^2),1)</x:f>
        <x:v>1.7791659216600393</x:v>
      </x:c>
      <x:c r="L43" s="9" t="n">
        <x:f>MOD(M42*16807,2147483647)</x:f>
        <x:v>197361099</x:v>
      </x:c>
      <x:c r="M43" s="9" t="n">
        <x:f>MOD(L43*16807,2147483647)</x:f>
        <x:v>1333239925</x:v>
      </x:c>
      <x:c r="N43" s="17" t="n">
        <x:f>IF('Control Room'!$B$5="Normal",'Control Room'!$B$7+'Control Room'!$D$7*SQRT(-2*LN(MAX(0.000000000001,L43/2147483647)))*COS(2*PI()*M43/2147483647),'Control Room'!$B$8+('Control Room'!$D$8-'Control Room'!$B$8)*L43/2147483647)</x:f>
        <x:v>857.3621396353243</x:v>
      </x:c>
      <x:c r="O43" s="17" t="n">
        <x:f>IF('Control Room'!$B$5="Normal",'Control Room'!$B$7,('Control Room'!$B$8+'Control Room'!$D$8)/2)+'Control Room'!$B$9*(O42-IF('Control Room'!$B$5="Normal",'Control Room'!$B$7,('Control Room'!$B$8+'Control Room'!$D$8)/2))+SQRT(1-'Control Room'!$B$9^2)*(N43-IF('Control Room'!$B$5="Normal",'Control Room'!$B$7,('Control Room'!$B$8+'Control Room'!$D$8)/2))</x:f>
        <x:v>905.4459759228947</x:v>
      </x:c>
      <x:c r="P43" s="17" t="n">
        <x:f>IF(AND($A43&gt;='Control Room'!$A$13,$A43&lt;'Control Room'!$A$13+'Control Room'!$B$13,'Process'!BM2=1),1+('Control Room'!$C$13-1)*EXP(-0.5*(($A43-'Control Room'!$A$13-('Control Room'!$B$13-1)/2)/MAX(0.5,'Control Room'!$B$13/4))^2),1)*IF(AND($A43&gt;='Control Room'!$A$14,$A43&lt;'Control Room'!$A$14+'Control Room'!$B$14,'Process'!BM3=1),1+('Control Room'!$C$14-1)*EXP(-0.5*(($A43-'Control Room'!$A$14-('Control Room'!$B$14-1)/2)/MAX(0.5,'Control Room'!$B$14/4))^2),1)*IF(AND($A43&gt;='Control Room'!$A$15,$A43&lt;'Control Room'!$A$15+'Control Room'!$B$15,'Process'!BM4=1),1+('Control Room'!$C$15-1)*EXP(-0.5*(($A43-'Control Room'!$A$15-('Control Room'!$B$15-1)/2)/MAX(0.5,'Control Room'!$B$15/4))^2),1)*IF(AND($A43&gt;='Control Room'!$A$16,$A43&lt;'Control Room'!$A$16+'Control Room'!$B$16,'Process'!BM5=1),1+('Control Room'!$C$16-1)*EXP(-0.5*(($A43-'Control Room'!$A$16-('Control Room'!$B$16-1)/2)/MAX(0.5,'Control Room'!$B$16/4))^2),1)</x:f>
        <x:v>1.7791659216600393</x:v>
      </x:c>
      <x:c r="Q43" s="9" t="n">
        <x:f>MOD(R42*16807,2147483647)</x:f>
        <x:v>1933572973</x:v>
      </x:c>
      <x:c r="R43" s="9" t="n">
        <x:f>MOD(Q43*16807,2147483647)</x:f>
        <x:v>1838410807</x:v>
      </x:c>
      <x:c r="S43" s="17" t="n">
        <x:f>IF('Control Room'!$B$5="Normal",'Control Room'!$B$7+'Control Room'!$D$7*SQRT(-2*LN(MAX(0.000000000001,Q43/2147483647)))*COS(2*PI()*R43/2147483647),'Control Room'!$B$8+('Control Room'!$D$8-'Control Room'!$B$8)*Q43/2147483647)</x:f>
        <x:v>1025.489287661039</x:v>
      </x:c>
      <x:c r="T43" s="17" t="n">
        <x:f>IF('Control Room'!$B$5="Normal",'Control Room'!$B$7,('Control Room'!$B$8+'Control Room'!$D$8)/2)+'Control Room'!$B$9*(T42-IF('Control Room'!$B$5="Normal",'Control Room'!$B$7,('Control Room'!$B$8+'Control Room'!$D$8)/2))+SQRT(1-'Control Room'!$B$9^2)*(S43-IF('Control Room'!$B$5="Normal",'Control Room'!$B$7,('Control Room'!$B$8+'Control Room'!$D$8)/2))</x:f>
        <x:v>1046.574833464197</x:v>
      </x:c>
      <x:c r="U43" s="17" t="n">
        <x:f>IF(AND($A43&gt;='Control Room'!$A$13,$A43&lt;'Control Room'!$A$13+'Control Room'!$B$13,'Process'!BN2=1),1+('Control Room'!$C$13-1)*EXP(-0.5*(($A43-'Control Room'!$A$13-('Control Room'!$B$13-1)/2)/MAX(0.5,'Control Room'!$B$13/4))^2),1)*IF(AND($A43&gt;='Control Room'!$A$14,$A43&lt;'Control Room'!$A$14+'Control Room'!$B$14,'Process'!BN3=1),1+('Control Room'!$C$14-1)*EXP(-0.5*(($A43-'Control Room'!$A$14-('Control Room'!$B$14-1)/2)/MAX(0.5,'Control Room'!$B$14/4))^2),1)*IF(AND($A43&gt;='Control Room'!$A$15,$A43&lt;'Control Room'!$A$15+'Control Room'!$B$15,'Process'!BN4=1),1+('Control Room'!$C$15-1)*EXP(-0.5*(($A43-'Control Room'!$A$15-('Control Room'!$B$15-1)/2)/MAX(0.5,'Control Room'!$B$15/4))^2),1)*IF(AND($A43&gt;='Control Room'!$A$16,$A43&lt;'Control Room'!$A$16+'Control Room'!$B$16,'Process'!BN5=1),1+('Control Room'!$C$16-1)*EXP(-0.5*(($A43-'Control Room'!$A$16-('Control Room'!$B$16-1)/2)/MAX(0.5,'Control Room'!$B$16/4))^2),1)</x:f>
        <x:v>1</x:v>
      </x:c>
      <x:c r="V43" s="9" t="n">
        <x:f>MOD(W42*16807,2147483647)</x:f>
        <x:v>1522301200</x:v>
      </x:c>
      <x:c r="W43" s="9" t="n">
        <x:f>MOD(V43*16807,2147483647)</x:f>
        <x:v>196098042</x:v>
      </x:c>
      <x:c r="X43" s="17" t="n">
        <x:f>IF('Control Room'!$B$5="Normal",'Control Room'!$B$7+'Control Room'!$D$7*SQRT(-2*LN(MAX(0.000000000001,V43/2147483647)))*COS(2*PI()*W43/2147483647),'Control Room'!$B$8+('Control Room'!$D$8-'Control Room'!$B$8)*V43/2147483647)</x:f>
        <x:v>1062.7040802913687</x:v>
      </x:c>
      <x:c r="Y43" s="17" t="n">
        <x:f>IF('Control Room'!$B$5="Normal",'Control Room'!$B$7,('Control Room'!$B$8+'Control Room'!$D$8)/2)+'Control Room'!$B$9*(Y42-IF('Control Room'!$B$5="Normal",'Control Room'!$B$7,('Control Room'!$B$8+'Control Room'!$D$8)/2))+SQRT(1-'Control Room'!$B$9^2)*(X43-IF('Control Room'!$B$5="Normal",'Control Room'!$B$7,('Control Room'!$B$8+'Control Room'!$D$8)/2))</x:f>
        <x:v>1091.5432877275368</x:v>
      </x:c>
      <x:c r="Z43" s="17" t="n">
        <x:f>IF(AND($A43&gt;='Control Room'!$A$13,$A43&lt;'Control Room'!$A$13+'Control Room'!$B$13,'Process'!BO2=1),1+('Control Room'!$C$13-1)*EXP(-0.5*(($A43-'Control Room'!$A$13-('Control Room'!$B$13-1)/2)/MAX(0.5,'Control Room'!$B$13/4))^2),1)*IF(AND($A43&gt;='Control Room'!$A$14,$A43&lt;'Control Room'!$A$14+'Control Room'!$B$14,'Process'!BO3=1),1+('Control Room'!$C$14-1)*EXP(-0.5*(($A43-'Control Room'!$A$14-('Control Room'!$B$14-1)/2)/MAX(0.5,'Control Room'!$B$14/4))^2),1)*IF(AND($A43&gt;='Control Room'!$A$15,$A43&lt;'Control Room'!$A$15+'Control Room'!$B$15,'Process'!BO4=1),1+('Control Room'!$C$15-1)*EXP(-0.5*(($A43-'Control Room'!$A$15-('Control Room'!$B$15-1)/2)/MAX(0.5,'Control Room'!$B$15/4))^2),1)*IF(AND($A43&gt;='Control Room'!$A$16,$A43&lt;'Control Room'!$A$16+'Control Room'!$B$16,'Process'!BO5=1),1+('Control Room'!$C$16-1)*EXP(-0.5*(($A43-'Control Room'!$A$16-('Control Room'!$B$16-1)/2)/MAX(0.5,'Control Room'!$B$16/4))^2),1)</x:f>
        <x:v>1.7791659216600393</x:v>
      </x:c>
      <x:c r="AA43" s="9" t="n">
        <x:f>MOD(AB42*16807,2147483647)</x:f>
        <x:v>1111029427</x:v>
      </x:c>
      <x:c r="AB43" s="9" t="n">
        <x:f>MOD(AA43*16807,2147483647)</x:f>
        <x:v>701268924</x:v>
      </x:c>
      <x:c r="AC43" s="17" t="n">
        <x:f>IF('Control Room'!$B$5="Normal",'Control Room'!$B$7+'Control Room'!$D$7*SQRT(-2*LN(MAX(0.000000000001,AA43/2147483647)))*COS(2*PI()*AB43/2147483647),'Control Room'!$B$8+('Control Room'!$D$8-'Control Room'!$B$8)*AA43/2147483647)</x:f>
        <x:v>952.1951089960739</x:v>
      </x:c>
      <x:c r="AD43" s="17" t="n">
        <x:f>IF('Control Room'!$B$5="Normal",'Control Room'!$B$7,('Control Room'!$B$8+'Control Room'!$D$8)/2)+'Control Room'!$B$9*(AD42-IF('Control Room'!$B$5="Normal",'Control Room'!$B$7,('Control Room'!$B$8+'Control Room'!$D$8)/2))+SQRT(1-'Control Room'!$B$9^2)*(AC43-IF('Control Room'!$B$5="Normal",'Control Room'!$B$7,('Control Room'!$B$8+'Control Room'!$D$8)/2))</x:f>
        <x:v>965.9866611635533</x:v>
      </x:c>
      <x:c r="AE43" s="17" t="n">
        <x:f>IF(AND($A43&gt;='Control Room'!$A$13,$A43&lt;'Control Room'!$A$13+'Control Room'!$B$13,'Process'!BP2=1),1+('Control Room'!$C$13-1)*EXP(-0.5*(($A43-'Control Room'!$A$13-('Control Room'!$B$13-1)/2)/MAX(0.5,'Control Room'!$B$13/4))^2),1)*IF(AND($A43&gt;='Control Room'!$A$14,$A43&lt;'Control Room'!$A$14+'Control Room'!$B$14,'Process'!BP3=1),1+('Control Room'!$C$14-1)*EXP(-0.5*(($A43-'Control Room'!$A$14-('Control Room'!$B$14-1)/2)/MAX(0.5,'Control Room'!$B$14/4))^2),1)*IF(AND($A43&gt;='Control Room'!$A$15,$A43&lt;'Control Room'!$A$15+'Control Room'!$B$15,'Process'!BP4=1),1+('Control Room'!$C$15-1)*EXP(-0.5*(($A43-'Control Room'!$A$15-('Control Room'!$B$15-1)/2)/MAX(0.5,'Control Room'!$B$15/4))^2),1)*IF(AND($A43&gt;='Control Room'!$A$16,$A43&lt;'Control Room'!$A$16+'Control Room'!$B$16,'Process'!BP5=1),1+('Control Room'!$C$16-1)*EXP(-0.5*(($A43-'Control Room'!$A$16-('Control Room'!$B$16-1)/2)/MAX(0.5,'Control Room'!$B$16/4))^2),1)</x:f>
        <x:v>1.7791659216600393</x:v>
      </x:c>
      <x:c r="AF43" s="9" t="n">
        <x:f>MOD(AG42*16807,2147483647)</x:f>
        <x:v>699757654</x:v>
      </x:c>
      <x:c r="AG43" s="9" t="n">
        <x:f>MOD(AF43*16807,2147483647)</x:f>
        <x:v>1206439806</x:v>
      </x:c>
      <x:c r="AH43" s="17" t="n">
        <x:f>IF('Control Room'!$B$5="Normal",'Control Room'!$B$7+'Control Room'!$D$7*SQRT(-2*LN(MAX(0.000000000001,AF43/2147483647)))*COS(2*PI()*AG43/2147483647),'Control Room'!$B$8+('Control Room'!$D$8-'Control Room'!$B$8)*AF43/2147483647)</x:f>
        <x:v>875.252425739206</x:v>
      </x:c>
      <x:c r="AI43" s="17" t="n">
        <x:f>IF('Control Room'!$B$5="Normal",'Control Room'!$B$7,('Control Room'!$B$8+'Control Room'!$D$8)/2)+'Control Room'!$B$9*(AI42-IF('Control Room'!$B$5="Normal",'Control Room'!$B$7,('Control Room'!$B$8+'Control Room'!$D$8)/2))+SQRT(1-'Control Room'!$B$9^2)*(AH43-IF('Control Room'!$B$5="Normal",'Control Room'!$B$7,('Control Room'!$B$8+'Control Room'!$D$8)/2))</x:f>
        <x:v>973.5142314598213</x:v>
      </x:c>
      <x:c r="AJ43" s="17" t="n">
        <x:f>IF(AND($A43&gt;='Control Room'!$A$13,$A43&lt;'Control Room'!$A$13+'Control Room'!$B$13,'Process'!BQ2=1),1+('Control Room'!$C$13-1)*EXP(-0.5*(($A43-'Control Room'!$A$13-('Control Room'!$B$13-1)/2)/MAX(0.5,'Control Room'!$B$13/4))^2),1)*IF(AND($A43&gt;='Control Room'!$A$14,$A43&lt;'Control Room'!$A$14+'Control Room'!$B$14,'Process'!BQ3=1),1+('Control Room'!$C$14-1)*EXP(-0.5*(($A43-'Control Room'!$A$14-('Control Room'!$B$14-1)/2)/MAX(0.5,'Control Room'!$B$14/4))^2),1)*IF(AND($A43&gt;='Control Room'!$A$15,$A43&lt;'Control Room'!$A$15+'Control Room'!$B$15,'Process'!BQ4=1),1+('Control Room'!$C$15-1)*EXP(-0.5*(($A43-'Control Room'!$A$15-('Control Room'!$B$15-1)/2)/MAX(0.5,'Control Room'!$B$15/4))^2),1)*IF(AND($A43&gt;='Control Room'!$A$16,$A43&lt;'Control Room'!$A$16+'Control Room'!$B$16,'Process'!BQ5=1),1+('Control Room'!$C$16-1)*EXP(-0.5*(($A43-'Control Room'!$A$16-('Control Room'!$B$16-1)/2)/MAX(0.5,'Control Room'!$B$16/4))^2),1)</x:f>
        <x:v>1</x:v>
      </x:c>
      <x:c r="AK43" s="9" t="n">
        <x:f>MOD(AL42*16807,2147483647)</x:f>
        <x:v>288485881</x:v>
      </x:c>
      <x:c r="AL43" s="9" t="n">
        <x:f>MOD(AK43*16807,2147483647)</x:f>
        <x:v>1711610688</x:v>
      </x:c>
      <x:c r="AM43" s="17" t="n">
        <x:f>IF('Control Room'!$B$5="Normal",'Control Room'!$B$7+'Control Room'!$D$7*SQRT(-2*LN(MAX(0.000000000001,AK43/2147483647)))*COS(2*PI()*AL43/2147483647),'Control Room'!$B$8+('Control Room'!$D$8-'Control Room'!$B$8)*AK43/2147483647)</x:f>
        <x:v>1052.5168391819266</x:v>
      </x:c>
      <x:c r="AN43" s="17" t="n">
        <x:f>IF('Control Room'!$B$5="Normal",'Control Room'!$B$7,('Control Room'!$B$8+'Control Room'!$D$8)/2)+'Control Room'!$B$9*(AN42-IF('Control Room'!$B$5="Normal",'Control Room'!$B$7,('Control Room'!$B$8+'Control Room'!$D$8)/2))+SQRT(1-'Control Room'!$B$9^2)*(AM43-IF('Control Room'!$B$5="Normal",'Control Room'!$B$7,('Control Room'!$B$8+'Control Room'!$D$8)/2))</x:f>
        <x:v>936.3994707565026</x:v>
      </x:c>
      <x:c r="AO43" s="17" t="n">
        <x:f>IF(AND($A43&gt;='Control Room'!$A$13,$A43&lt;'Control Room'!$A$13+'Control Room'!$B$13,'Process'!BR2=1),1+('Control Room'!$C$13-1)*EXP(-0.5*(($A43-'Control Room'!$A$13-('Control Room'!$B$13-1)/2)/MAX(0.5,'Control Room'!$B$13/4))^2),1)*IF(AND($A43&gt;='Control Room'!$A$14,$A43&lt;'Control Room'!$A$14+'Control Room'!$B$14,'Process'!BR3=1),1+('Control Room'!$C$14-1)*EXP(-0.5*(($A43-'Control Room'!$A$14-('Control Room'!$B$14-1)/2)/MAX(0.5,'Control Room'!$B$14/4))^2),1)*IF(AND($A43&gt;='Control Room'!$A$15,$A43&lt;'Control Room'!$A$15+'Control Room'!$B$15,'Process'!BR4=1),1+('Control Room'!$C$15-1)*EXP(-0.5*(($A43-'Control Room'!$A$15-('Control Room'!$B$15-1)/2)/MAX(0.5,'Control Room'!$B$15/4))^2),1)*IF(AND($A43&gt;='Control Room'!$A$16,$A43&lt;'Control Room'!$A$16+'Control Room'!$B$16,'Process'!BR5=1),1+('Control Room'!$C$16-1)*EXP(-0.5*(($A43-'Control Room'!$A$16-('Control Room'!$B$16-1)/2)/MAX(0.5,'Control Room'!$B$16/4))^2),1)</x:f>
        <x:v>1.7791659216600393</x:v>
      </x:c>
      <x:c r="AP43" s="9" t="n">
        <x:f>MOD(AQ42*16807,2147483647)</x:f>
        <x:v>2024697755</x:v>
      </x:c>
      <x:c r="AQ43" s="9" t="n">
        <x:f>MOD(AP43*16807,2147483647)</x:f>
        <x:v>69297923</x:v>
      </x:c>
      <x:c r="AR43" s="17" t="n">
        <x:f>IF('Control Room'!$B$5="Normal",'Control Room'!$B$7+'Control Room'!$D$7*SQRT(-2*LN(MAX(0.000000000001,AP43/2147483647)))*COS(2*PI()*AQ43/2147483647),'Control Room'!$B$8+('Control Room'!$D$8-'Control Room'!$B$8)*AP43/2147483647)</x:f>
        <x:v>1030.2509656900033</x:v>
      </x:c>
      <x:c r="AS43" s="17" t="n">
        <x:f>IF('Control Room'!$B$5="Normal",'Control Room'!$B$7,('Control Room'!$B$8+'Control Room'!$D$8)/2)+'Control Room'!$B$9*(AS42-IF('Control Room'!$B$5="Normal",'Control Room'!$B$7,('Control Room'!$B$8+'Control Room'!$D$8)/2))+SQRT(1-'Control Room'!$B$9^2)*(AR43-IF('Control Room'!$B$5="Normal",'Control Room'!$B$7,('Control Room'!$B$8+'Control Room'!$D$8)/2))</x:f>
        <x:v>1084.8104370444792</x:v>
      </x:c>
      <x:c r="AT43" s="17" t="n">
        <x:f>IF(AND($A43&gt;='Control Room'!$A$13,$A43&lt;'Control Room'!$A$13+'Control Room'!$B$13,'Process'!BS2=1),1+('Control Room'!$C$13-1)*EXP(-0.5*(($A43-'Control Room'!$A$13-('Control Room'!$B$13-1)/2)/MAX(0.5,'Control Room'!$B$13/4))^2),1)*IF(AND($A43&gt;='Control Room'!$A$14,$A43&lt;'Control Room'!$A$14+'Control Room'!$B$14,'Process'!BS3=1),1+('Control Room'!$C$14-1)*EXP(-0.5*(($A43-'Control Room'!$A$14-('Control Room'!$B$14-1)/2)/MAX(0.5,'Control Room'!$B$14/4))^2),1)*IF(AND($A43&gt;='Control Room'!$A$15,$A43&lt;'Control Room'!$A$15+'Control Room'!$B$15,'Process'!BS4=1),1+('Control Room'!$C$15-1)*EXP(-0.5*(($A43-'Control Room'!$A$15-('Control Room'!$B$15-1)/2)/MAX(0.5,'Control Room'!$B$15/4))^2),1)*IF(AND($A43&gt;='Control Room'!$A$16,$A43&lt;'Control Room'!$A$16+'Control Room'!$B$16,'Process'!BS5=1),1+('Control Room'!$C$16-1)*EXP(-0.5*(($A43-'Control Room'!$A$16-('Control Room'!$B$16-1)/2)/MAX(0.5,'Control Room'!$B$16/4))^2),1)</x:f>
        <x:v>1.7791659216600393</x:v>
      </x:c>
      <x:c r="AU43" s="9" t="n">
        <x:f>MOD(AV42*16807,2147483647)</x:f>
        <x:v>1613425982</x:v>
      </x:c>
      <x:c r="AV43" s="9" t="n">
        <x:f>MOD(AU43*16807,2147483647)</x:f>
        <x:v>574468805</x:v>
      </x:c>
      <x:c r="AW43" s="17" t="n">
        <x:f>IF('Control Room'!$B$5="Normal",'Control Room'!$B$7+'Control Room'!$D$7*SQRT(-2*LN(MAX(0.000000000001,AU43/2147483647)))*COS(2*PI()*AV43/2147483647),'Control Room'!$B$8+('Control Room'!$D$8-'Control Room'!$B$8)*AU43/2147483647)</x:f>
        <x:v>992.5281204860362</x:v>
      </x:c>
      <x:c r="AX43" s="17" t="n">
        <x:f>IF('Control Room'!$B$5="Normal",'Control Room'!$B$7,('Control Room'!$B$8+'Control Room'!$D$8)/2)+'Control Room'!$B$9*(AX42-IF('Control Room'!$B$5="Normal",'Control Room'!$B$7,('Control Room'!$B$8+'Control Room'!$D$8)/2))+SQRT(1-'Control Room'!$B$9^2)*(AW43-IF('Control Room'!$B$5="Normal",'Control Room'!$B$7,('Control Room'!$B$8+'Control Room'!$D$8)/2))</x:f>
        <x:v>1037.255652692975</x:v>
      </x:c>
      <x:c r="AY43" s="17" t="n">
        <x:f>IF(AND($A43&gt;='Control Room'!$A$13,$A43&lt;'Control Room'!$A$13+'Control Room'!$B$13,'Process'!BT2=1),1+('Control Room'!$C$13-1)*EXP(-0.5*(($A43-'Control Room'!$A$13-('Control Room'!$B$13-1)/2)/MAX(0.5,'Control Room'!$B$13/4))^2),1)*IF(AND($A43&gt;='Control Room'!$A$14,$A43&lt;'Control Room'!$A$14+'Control Room'!$B$14,'Process'!BT3=1),1+('Control Room'!$C$14-1)*EXP(-0.5*(($A43-'Control Room'!$A$14-('Control Room'!$B$14-1)/2)/MAX(0.5,'Control Room'!$B$14/4))^2),1)*IF(AND($A43&gt;='Control Room'!$A$15,$A43&lt;'Control Room'!$A$15+'Control Room'!$B$15,'Process'!BT4=1),1+('Control Room'!$C$15-1)*EXP(-0.5*(($A43-'Control Room'!$A$15-('Control Room'!$B$15-1)/2)/MAX(0.5,'Control Room'!$B$15/4))^2),1)*IF(AND($A43&gt;='Control Room'!$A$16,$A43&lt;'Control Room'!$A$16+'Control Room'!$B$16,'Process'!BT5=1),1+('Control Room'!$C$16-1)*EXP(-0.5*(($A43-'Control Room'!$A$16-('Control Room'!$B$16-1)/2)/MAX(0.5,'Control Room'!$B$16/4))^2),1)</x:f>
        <x:v>1.7791659216600393</x:v>
      </x:c>
      <x:c r="AZ43" s="9" t="n">
        <x:f>MOD(BA42*16807,2147483647)</x:f>
        <x:v>1202154209</x:v>
      </x:c>
      <x:c r="BA43" s="9" t="n">
        <x:f>MOD(AZ43*16807,2147483647)</x:f>
        <x:v>1079639687</x:v>
      </x:c>
      <x:c r="BB43" s="17" t="n">
        <x:f>IF('Control Room'!$B$5="Normal",'Control Room'!$B$7+'Control Room'!$D$7*SQRT(-2*LN(MAX(0.000000000001,AZ43/2147483647)))*COS(2*PI()*BA43/2147483647),'Control Room'!$B$8+('Control Room'!$D$8-'Control Room'!$B$8)*AZ43/2147483647)</x:f>
        <x:v>903.0662904777912</x:v>
      </x:c>
      <x:c r="BC43" s="17" t="n">
        <x:f>IF('Control Room'!$B$5="Normal",'Control Room'!$B$7,('Control Room'!$B$8+'Control Room'!$D$8)/2)+'Control Room'!$B$9*(BC42-IF('Control Room'!$B$5="Normal",'Control Room'!$B$7,('Control Room'!$B$8+'Control Room'!$D$8)/2))+SQRT(1-'Control Room'!$B$9^2)*(BB43-IF('Control Room'!$B$5="Normal",'Control Room'!$B$7,('Control Room'!$B$8+'Control Room'!$D$8)/2))</x:f>
        <x:v>822.5364520316182</x:v>
      </x:c>
      <x:c r="BD43" s="17" t="n">
        <x:f>IF(AND($A43&gt;='Control Room'!$A$13,$A43&lt;'Control Room'!$A$13+'Control Room'!$B$13,'Process'!BU2=1),1+('Control Room'!$C$13-1)*EXP(-0.5*(($A43-'Control Room'!$A$13-('Control Room'!$B$13-1)/2)/MAX(0.5,'Control Room'!$B$13/4))^2),1)*IF(AND($A43&gt;='Control Room'!$A$14,$A43&lt;'Control Room'!$A$14+'Control Room'!$B$14,'Process'!BU3=1),1+('Control Room'!$C$14-1)*EXP(-0.5*(($A43-'Control Room'!$A$14-('Control Room'!$B$14-1)/2)/MAX(0.5,'Control Room'!$B$14/4))^2),1)*IF(AND($A43&gt;='Control Room'!$A$15,$A43&lt;'Control Room'!$A$15+'Control Room'!$B$15,'Process'!BU4=1),1+('Control Room'!$C$15-1)*EXP(-0.5*(($A43-'Control Room'!$A$15-('Control Room'!$B$15-1)/2)/MAX(0.5,'Control Room'!$B$15/4))^2),1)*IF(AND($A43&gt;='Control Room'!$A$16,$A43&lt;'Control Room'!$A$16+'Control Room'!$B$16,'Process'!BU5=1),1+('Control Room'!$C$16-1)*EXP(-0.5*(($A43-'Control Room'!$A$16-('Control Room'!$B$16-1)/2)/MAX(0.5,'Control Room'!$B$16/4))^2),1)</x:f>
        <x:v>1</x:v>
      </x:c>
      <x:c r="BE43" s="9" t="n">
        <x:f>MOD(BF42*16807,2147483647)</x:f>
        <x:v>790882436</x:v>
      </x:c>
      <x:c r="BF43" s="9" t="n">
        <x:f>MOD(BE43*16807,2147483647)</x:f>
        <x:v>1584810569</x:v>
      </x:c>
      <x:c r="BG43" s="17" t="n">
        <x:f>IF('Control Room'!$B$5="Normal",'Control Room'!$B$7+'Control Room'!$D$7*SQRT(-2*LN(MAX(0.000000000001,BE43/2147483647)))*COS(2*PI()*BF43/2147483647),'Control Room'!$B$8+('Control Room'!$D$8-'Control Room'!$B$8)*BE43/2147483647)</x:f>
        <x:v>990.4057136512015</x:v>
      </x:c>
      <x:c r="BH43" s="17" t="n">
        <x:f>IF('Control Room'!$B$5="Normal",'Control Room'!$B$7,('Control Room'!$B$8+'Control Room'!$D$8)/2)+'Control Room'!$B$9*(BH42-IF('Control Room'!$B$5="Normal",'Control Room'!$B$7,('Control Room'!$B$8+'Control Room'!$D$8)/2))+SQRT(1-'Control Room'!$B$9^2)*(BG43-IF('Control Room'!$B$5="Normal",'Control Room'!$B$7,('Control Room'!$B$8+'Control Room'!$D$8)/2))</x:f>
        <x:v>1086.7770288444135</x:v>
      </x:c>
      <x:c r="BI43" s="17" t="n">
        <x:f>IF(AND($A43&gt;='Control Room'!$A$13,$A43&lt;'Control Room'!$A$13+'Control Room'!$B$13,'Process'!BV2=1),1+('Control Room'!$C$13-1)*EXP(-0.5*(($A43-'Control Room'!$A$13-('Control Room'!$B$13-1)/2)/MAX(0.5,'Control Room'!$B$13/4))^2),1)*IF(AND($A43&gt;='Control Room'!$A$14,$A43&lt;'Control Room'!$A$14+'Control Room'!$B$14,'Process'!BV3=1),1+('Control Room'!$C$14-1)*EXP(-0.5*(($A43-'Control Room'!$A$14-('Control Room'!$B$14-1)/2)/MAX(0.5,'Control Room'!$B$14/4))^2),1)*IF(AND($A43&gt;='Control Room'!$A$15,$A43&lt;'Control Room'!$A$15+'Control Room'!$B$15,'Process'!BV4=1),1+('Control Room'!$C$15-1)*EXP(-0.5*(($A43-'Control Room'!$A$15-('Control Room'!$B$15-1)/2)/MAX(0.5,'Control Room'!$B$15/4))^2),1)*IF(AND($A43&gt;='Control Room'!$A$16,$A43&lt;'Control Room'!$A$16+'Control Room'!$B$16,'Process'!BV5=1),1+('Control Room'!$C$16-1)*EXP(-0.5*(($A43-'Control Room'!$A$16-('Control Room'!$B$16-1)/2)/MAX(0.5,'Control Room'!$B$16/4))^2),1)</x:f>
        <x:v>1.7791659216600393</x:v>
      </x:c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Z43" t="str">
        <x:f>IF('Data'!A43="","",TEXT('Data'!A43,"mm-dd"))</x:f>
        <x:v>12-13</x:v>
      </x:c>
    </x:row>
    <x:row r="44" ht="21" customHeight="1">
      <x:c r="A44" s="15" t="n">
        <x:f>'Control Room'!$B$1+42</x:f>
        <x:v>73033</x:v>
      </x:c>
      <x:c r="B44" s="9" t="n">
        <x:f>MOD(C43*16807,2147483647)</x:f>
        <x:v>258215958</x:v>
      </x:c>
      <x:c r="C44" s="9" t="n">
        <x:f>MOD(B44*16807,2147483647)</x:f>
        <x:v>1918639166</x:v>
      </x:c>
      <x:c r="D44" s="17" t="n">
        <x:f>IF('Control Room'!$B$5="Normal",'Control Room'!$B$7+'Control Room'!$D$7*SQRT(-2*LN(MAX(0.000000000001,B44/2147483647)))*COS(2*PI()*C44/2147483647),'Control Room'!$B$8+('Control Room'!$D$8-'Control Room'!$B$8)*B44/2147483647)</x:f>
        <x:v>1145.249548436756</x:v>
      </x:c>
      <x:c r="E44" s="17" t="n">
        <x:f>IF('Control Room'!$B$5="Normal",'Control Room'!$B$7,('Control Room'!$B$8+'Control Room'!$D$8)/2)+'Control Room'!$B$9*(E43-IF('Control Room'!$B$5="Normal",'Control Room'!$B$7,('Control Room'!$B$8+'Control Room'!$D$8)/2))+SQRT(1-'Control Room'!$B$9^2)*(D44-IF('Control Room'!$B$5="Normal",'Control Room'!$B$7,('Control Room'!$B$8+'Control Room'!$D$8)/2))</x:f>
        <x:v>1043.5785012239414</x:v>
      </x:c>
      <x:c r="F44" s="17" t="n">
        <x:f>IF(AND($A44&gt;='Control Room'!$A$13,$A44&lt;'Control Room'!$A$13+'Control Room'!$B$13,'Process'!BK2=1),1+('Control Room'!$C$13-1)*EXP(-0.5*(($A44-'Control Room'!$A$13-('Control Room'!$B$13-1)/2)/MAX(0.5,'Control Room'!$B$13/4))^2),1)*IF(AND($A44&gt;='Control Room'!$A$14,$A44&lt;'Control Room'!$A$14+'Control Room'!$B$14,'Process'!BK3=1),1+('Control Room'!$C$14-1)*EXP(-0.5*(($A44-'Control Room'!$A$14-('Control Room'!$B$14-1)/2)/MAX(0.5,'Control Room'!$B$14/4))^2),1)*IF(AND($A44&gt;='Control Room'!$A$15,$A44&lt;'Control Room'!$A$15+'Control Room'!$B$15,'Process'!BK4=1),1+('Control Room'!$C$15-1)*EXP(-0.5*(($A44-'Control Room'!$A$15-('Control Room'!$B$15-1)/2)/MAX(0.5,'Control Room'!$B$15/4))^2),1)*IF(AND($A44&gt;='Control Room'!$A$16,$A44&lt;'Control Room'!$A$16+'Control Room'!$B$16,'Process'!BK5=1),1+('Control Room'!$C$16-1)*EXP(-0.5*(($A44-'Control Room'!$A$16-('Control Room'!$B$16-1)/2)/MAX(0.5,'Control Room'!$B$16/4))^2),1)</x:f>
        <x:v>3.117992566203029</x:v>
      </x:c>
      <x:c r="G44" s="9" t="n">
        <x:f>MOD(H43*16807,2147483647)</x:f>
        <x:v>1662373141</x:v>
      </x:c>
      <x:c r="H44" s="9" t="n">
        <x:f>MOD(G44*16807,2147483647)</x:f>
        <x:v>743133317</x:v>
      </x:c>
      <x:c r="I44" s="17" t="n">
        <x:f>IF('Control Room'!$B$5="Normal",'Control Room'!$B$7+'Control Room'!$D$7*SQRT(-2*LN(MAX(0.000000000001,G44/2147483647)))*COS(2*PI()*H44/2147483647),'Control Room'!$B$8+('Control Room'!$D$8-'Control Room'!$B$8)*G44/2147483647)</x:f>
        <x:v>963.4488422171762</x:v>
      </x:c>
      <x:c r="J44" s="17" t="n">
        <x:f>IF('Control Room'!$B$5="Normal",'Control Room'!$B$7,('Control Room'!$B$8+'Control Room'!$D$8)/2)+'Control Room'!$B$9*(J43-IF('Control Room'!$B$5="Normal",'Control Room'!$B$7,('Control Room'!$B$8+'Control Room'!$D$8)/2))+SQRT(1-'Control Room'!$B$9^2)*(I44-IF('Control Room'!$B$5="Normal",'Control Room'!$B$7,('Control Room'!$B$8+'Control Room'!$D$8)/2))</x:f>
        <x:v>910.6028784164314</x:v>
      </x:c>
      <x:c r="K44" s="17" t="n">
        <x:f>IF(AND($A44&gt;='Control Room'!$A$13,$A44&lt;'Control Room'!$A$13+'Control Room'!$B$13,'Process'!BL2=1),1+('Control Room'!$C$13-1)*EXP(-0.5*(($A44-'Control Room'!$A$13-('Control Room'!$B$13-1)/2)/MAX(0.5,'Control Room'!$B$13/4))^2),1)*IF(AND($A44&gt;='Control Room'!$A$14,$A44&lt;'Control Room'!$A$14+'Control Room'!$B$14,'Process'!BL3=1),1+('Control Room'!$C$14-1)*EXP(-0.5*(($A44-'Control Room'!$A$14-('Control Room'!$B$14-1)/2)/MAX(0.5,'Control Room'!$B$14/4))^2),1)*IF(AND($A44&gt;='Control Room'!$A$15,$A44&lt;'Control Room'!$A$15+'Control Room'!$B$15,'Process'!BL4=1),1+('Control Room'!$C$15-1)*EXP(-0.5*(($A44-'Control Room'!$A$15-('Control Room'!$B$15-1)/2)/MAX(0.5,'Control Room'!$B$15/4))^2),1)*IF(AND($A44&gt;='Control Room'!$A$16,$A44&lt;'Control Room'!$A$16+'Control Room'!$B$16,'Process'!BL5=1),1+('Control Room'!$C$16-1)*EXP(-0.5*(($A44-'Control Room'!$A$16-('Control Room'!$B$16-1)/2)/MAX(0.5,'Control Room'!$B$16/4))^2),1)</x:f>
        <x:v>3.117992566203029</x:v>
      </x:c>
      <x:c r="L44" s="9" t="n">
        <x:f>MOD(M43*16807,2147483647)</x:f>
        <x:v>919046677</x:v>
      </x:c>
      <x:c r="M44" s="9" t="n">
        <x:f>MOD(L44*16807,2147483647)</x:f>
        <x:v>1715111115</x:v>
      </x:c>
      <x:c r="N44" s="17" t="n">
        <x:f>IF('Control Room'!$B$5="Normal",'Control Room'!$B$7+'Control Room'!$D$7*SQRT(-2*LN(MAX(0.000000000001,L44/2147483647)))*COS(2*PI()*M44/2147483647),'Control Room'!$B$8+('Control Room'!$D$8-'Control Room'!$B$8)*L44/2147483647)</x:f>
        <x:v>1035.2947828282909</x:v>
      </x:c>
      <x:c r="O44" s="17" t="n">
        <x:f>IF('Control Room'!$B$5="Normal",'Control Room'!$B$7,('Control Room'!$B$8+'Control Room'!$D$8)/2)+'Control Room'!$B$9*(O43-IF('Control Room'!$B$5="Normal",'Control Room'!$B$7,('Control Room'!$B$8+'Control Room'!$D$8)/2))+SQRT(1-'Control Room'!$B$9^2)*(N44-IF('Control Room'!$B$5="Normal",'Control Room'!$B$7,('Control Room'!$B$8+'Control Room'!$D$8)/2))</x:f>
        <x:v>948.3346132608747</x:v>
      </x:c>
      <x:c r="P44" s="17" t="n">
        <x:f>IF(AND($A44&gt;='Control Room'!$A$13,$A44&lt;'Control Room'!$A$13+'Control Room'!$B$13,'Process'!BM2=1),1+('Control Room'!$C$13-1)*EXP(-0.5*(($A44-'Control Room'!$A$13-('Control Room'!$B$13-1)/2)/MAX(0.5,'Control Room'!$B$13/4))^2),1)*IF(AND($A44&gt;='Control Room'!$A$14,$A44&lt;'Control Room'!$A$14+'Control Room'!$B$14,'Process'!BM3=1),1+('Control Room'!$C$14-1)*EXP(-0.5*(($A44-'Control Room'!$A$14-('Control Room'!$B$14-1)/2)/MAX(0.5,'Control Room'!$B$14/4))^2),1)*IF(AND($A44&gt;='Control Room'!$A$15,$A44&lt;'Control Room'!$A$15+'Control Room'!$B$15,'Process'!BM4=1),1+('Control Room'!$C$15-1)*EXP(-0.5*(($A44-'Control Room'!$A$15-('Control Room'!$B$15-1)/2)/MAX(0.5,'Control Room'!$B$15/4))^2),1)*IF(AND($A44&gt;='Control Room'!$A$16,$A44&lt;'Control Room'!$A$16+'Control Room'!$B$16,'Process'!BM5=1),1+('Control Room'!$C$16-1)*EXP(-0.5*(($A44-'Control Room'!$A$16-('Control Room'!$B$16-1)/2)/MAX(0.5,'Control Room'!$B$16/4))^2),1)</x:f>
        <x:v>3.117992566203029</x:v>
      </x:c>
      <x:c r="Q44" s="9" t="n">
        <x:f>MOD(R43*16807,2147483647)</x:f>
        <x:v>175720213</x:v>
      </x:c>
      <x:c r="R44" s="9" t="n">
        <x:f>MOD(Q44*16807,2147483647)</x:f>
        <x:v>539605266</x:v>
      </x:c>
      <x:c r="S44" s="17" t="n">
        <x:f>IF('Control Room'!$B$5="Normal",'Control Room'!$B$7+'Control Room'!$D$7*SQRT(-2*LN(MAX(0.000000000001,Q44/2147483647)))*COS(2*PI()*R44/2147483647),'Control Room'!$B$8+('Control Room'!$D$8-'Control Room'!$B$8)*Q44/2147483647)</x:f>
        <x:v>998.3889765000479</x:v>
      </x:c>
      <x:c r="T44" s="17" t="n">
        <x:f>IF('Control Room'!$B$5="Normal",'Control Room'!$B$7,('Control Room'!$B$8+'Control Room'!$D$8)/2)+'Control Room'!$B$9*(T43-IF('Control Room'!$B$5="Normal",'Control Room'!$B$7,('Control Room'!$B$8+'Control Room'!$D$8)/2))+SQRT(1-'Control Room'!$B$9^2)*(S44-IF('Control Room'!$B$5="Normal",'Control Room'!$B$7,('Control Room'!$B$8+'Control Room'!$D$8)/2))</x:f>
        <x:v>1035.320224599414</x:v>
      </x:c>
      <x:c r="U44" s="17" t="n">
        <x:f>IF(AND($A44&gt;='Control Room'!$A$13,$A44&lt;'Control Room'!$A$13+'Control Room'!$B$13,'Process'!BN2=1),1+('Control Room'!$C$13-1)*EXP(-0.5*(($A44-'Control Room'!$A$13-('Control Room'!$B$13-1)/2)/MAX(0.5,'Control Room'!$B$13/4))^2),1)*IF(AND($A44&gt;='Control Room'!$A$14,$A44&lt;'Control Room'!$A$14+'Control Room'!$B$14,'Process'!BN3=1),1+('Control Room'!$C$14-1)*EXP(-0.5*(($A44-'Control Room'!$A$14-('Control Room'!$B$14-1)/2)/MAX(0.5,'Control Room'!$B$14/4))^2),1)*IF(AND($A44&gt;='Control Room'!$A$15,$A44&lt;'Control Room'!$A$15+'Control Room'!$B$15,'Process'!BN4=1),1+('Control Room'!$C$15-1)*EXP(-0.5*(($A44-'Control Room'!$A$15-('Control Room'!$B$15-1)/2)/MAX(0.5,'Control Room'!$B$15/4))^2),1)*IF(AND($A44&gt;='Control Room'!$A$16,$A44&lt;'Control Room'!$A$16+'Control Room'!$B$16,'Process'!BN5=1),1+('Control Room'!$C$16-1)*EXP(-0.5*(($A44-'Control Room'!$A$16-('Control Room'!$B$16-1)/2)/MAX(0.5,'Control Room'!$B$16/4))^2),1)</x:f>
        <x:v>1</x:v>
      </x:c>
      <x:c r="V44" s="9" t="n">
        <x:f>MOD(W43*16807,2147483647)</x:f>
        <x:v>1579877396</x:v>
      </x:c>
      <x:c r="W44" s="9" t="n">
        <x:f>MOD(V44*16807,2147483647)</x:f>
        <x:v>1511583064</x:v>
      </x:c>
      <x:c r="X44" s="17" t="n">
        <x:f>IF('Control Room'!$B$5="Normal",'Control Room'!$B$7+'Control Room'!$D$7*SQRT(-2*LN(MAX(0.000000000001,V44/2147483647)))*COS(2*PI()*W44/2147483647),'Control Room'!$B$8+('Control Room'!$D$8-'Control Room'!$B$8)*V44/2147483647)</x:f>
        <x:v>979.8528981084602</x:v>
      </x:c>
      <x:c r="Y44" s="17" t="n">
        <x:f>IF('Control Room'!$B$5="Normal",'Control Room'!$B$7,('Control Room'!$B$8+'Control Room'!$D$8)/2)+'Control Room'!$B$9*(Y43-IF('Control Room'!$B$5="Normal",'Control Room'!$B$7,('Control Room'!$B$8+'Control Room'!$D$8)/2))+SQRT(1-'Control Room'!$B$9^2)*(X44-IF('Control Room'!$B$5="Normal",'Control Room'!$B$7,('Control Room'!$B$8+'Control Room'!$D$8)/2))</x:f>
        <x:v>1058.7961207995695</x:v>
      </x:c>
      <x:c r="Z44" s="17" t="n">
        <x:f>IF(AND($A44&gt;='Control Room'!$A$13,$A44&lt;'Control Room'!$A$13+'Control Room'!$B$13,'Process'!BO2=1),1+('Control Room'!$C$13-1)*EXP(-0.5*(($A44-'Control Room'!$A$13-('Control Room'!$B$13-1)/2)/MAX(0.5,'Control Room'!$B$13/4))^2),1)*IF(AND($A44&gt;='Control Room'!$A$14,$A44&lt;'Control Room'!$A$14+'Control Room'!$B$14,'Process'!BO3=1),1+('Control Room'!$C$14-1)*EXP(-0.5*(($A44-'Control Room'!$A$14-('Control Room'!$B$14-1)/2)/MAX(0.5,'Control Room'!$B$14/4))^2),1)*IF(AND($A44&gt;='Control Room'!$A$15,$A44&lt;'Control Room'!$A$15+'Control Room'!$B$15,'Process'!BO4=1),1+('Control Room'!$C$15-1)*EXP(-0.5*(($A44-'Control Room'!$A$15-('Control Room'!$B$15-1)/2)/MAX(0.5,'Control Room'!$B$15/4))^2),1)*IF(AND($A44&gt;='Control Room'!$A$16,$A44&lt;'Control Room'!$A$16+'Control Room'!$B$16,'Process'!BO5=1),1+('Control Room'!$C$16-1)*EXP(-0.5*(($A44-'Control Room'!$A$16-('Control Room'!$B$16-1)/2)/MAX(0.5,'Control Room'!$B$16/4))^2),1)</x:f>
        <x:v>3.117992566203029</x:v>
      </x:c>
      <x:c r="AA44" s="9" t="n">
        <x:f>MOD(AB43*16807,2147483647)</x:f>
        <x:v>836550932</x:v>
      </x:c>
      <x:c r="AB44" s="9" t="n">
        <x:f>MOD(AA44*16807,2147483647)</x:f>
        <x:v>336077215</x:v>
      </x:c>
      <x:c r="AC44" s="17" t="n">
        <x:f>IF('Control Room'!$B$5="Normal",'Control Room'!$B$7+'Control Room'!$D$7*SQRT(-2*LN(MAX(0.000000000001,AA44/2147483647)))*COS(2*PI()*AB44/2147483647),'Control Room'!$B$8+('Control Room'!$D$8-'Control Room'!$B$8)*AA44/2147483647)</x:f>
        <x:v>1068.4988054513476</x:v>
      </x:c>
      <x:c r="AD44" s="17" t="n">
        <x:f>IF('Control Room'!$B$5="Normal",'Control Room'!$B$7,('Control Room'!$B$8+'Control Room'!$D$8)/2)+'Control Room'!$B$9*(AD43-IF('Control Room'!$B$5="Normal",'Control Room'!$B$7,('Control Room'!$B$8+'Control Room'!$D$8)/2))+SQRT(1-'Control Room'!$B$9^2)*(AC44-IF('Control Room'!$B$5="Normal",'Control Room'!$B$7,('Control Room'!$B$8+'Control Room'!$D$8)/2))</x:f>
        <x:v>1016.3347448847205</x:v>
      </x:c>
      <x:c r="AE44" s="17" t="n">
        <x:f>IF(AND($A44&gt;='Control Room'!$A$13,$A44&lt;'Control Room'!$A$13+'Control Room'!$B$13,'Process'!BP2=1),1+('Control Room'!$C$13-1)*EXP(-0.5*(($A44-'Control Room'!$A$13-('Control Room'!$B$13-1)/2)/MAX(0.5,'Control Room'!$B$13/4))^2),1)*IF(AND($A44&gt;='Control Room'!$A$14,$A44&lt;'Control Room'!$A$14+'Control Room'!$B$14,'Process'!BP3=1),1+('Control Room'!$C$14-1)*EXP(-0.5*(($A44-'Control Room'!$A$14-('Control Room'!$B$14-1)/2)/MAX(0.5,'Control Room'!$B$14/4))^2),1)*IF(AND($A44&gt;='Control Room'!$A$15,$A44&lt;'Control Room'!$A$15+'Control Room'!$B$15,'Process'!BP4=1),1+('Control Room'!$C$15-1)*EXP(-0.5*(($A44-'Control Room'!$A$15-('Control Room'!$B$15-1)/2)/MAX(0.5,'Control Room'!$B$15/4))^2),1)*IF(AND($A44&gt;='Control Room'!$A$16,$A44&lt;'Control Room'!$A$16+'Control Room'!$B$16,'Process'!BP5=1),1+('Control Room'!$C$16-1)*EXP(-0.5*(($A44-'Control Room'!$A$16-('Control Room'!$B$16-1)/2)/MAX(0.5,'Control Room'!$B$16/4))^2),1)</x:f>
        <x:v>3.117992566203029</x:v>
      </x:c>
      <x:c r="AF44" s="9" t="n">
        <x:f>MOD(AG43*16807,2147483647)</x:f>
        <x:v>93224468</x:v>
      </x:c>
      <x:c r="AG44" s="9" t="n">
        <x:f>MOD(AF44*16807,2147483647)</x:f>
        <x:v>1308055013</x:v>
      </x:c>
      <x:c r="AH44" s="17" t="n">
        <x:f>IF('Control Room'!$B$5="Normal",'Control Room'!$B$7+'Control Room'!$D$7*SQRT(-2*LN(MAX(0.000000000001,AF44/2147483647)))*COS(2*PI()*AG44/2147483647),'Control Room'!$B$8+('Control Room'!$D$8-'Control Room'!$B$8)*AF44/2147483647)</x:f>
        <x:v>825.5005057005532</x:v>
      </x:c>
      <x:c r="AI44" s="17" t="n">
        <x:f>IF('Control Room'!$B$5="Normal",'Control Room'!$B$7,('Control Room'!$B$8+'Control Room'!$D$8)/2)+'Control Room'!$B$9*(AI43-IF('Control Room'!$B$5="Normal",'Control Room'!$B$7,('Control Room'!$B$8+'Control Room'!$D$8)/2))+SQRT(1-'Control Room'!$B$9^2)*(AH44-IF('Control Room'!$B$5="Normal",'Control Room'!$B$7,('Control Room'!$B$8+'Control Room'!$D$8)/2))</x:f>
        <x:v>870.142891822516</x:v>
      </x:c>
      <x:c r="AJ44" s="17" t="n">
        <x:f>IF(AND($A44&gt;='Control Room'!$A$13,$A44&lt;'Control Room'!$A$13+'Control Room'!$B$13,'Process'!BQ2=1),1+('Control Room'!$C$13-1)*EXP(-0.5*(($A44-'Control Room'!$A$13-('Control Room'!$B$13-1)/2)/MAX(0.5,'Control Room'!$B$13/4))^2),1)*IF(AND($A44&gt;='Control Room'!$A$14,$A44&lt;'Control Room'!$A$14+'Control Room'!$B$14,'Process'!BQ3=1),1+('Control Room'!$C$14-1)*EXP(-0.5*(($A44-'Control Room'!$A$14-('Control Room'!$B$14-1)/2)/MAX(0.5,'Control Room'!$B$14/4))^2),1)*IF(AND($A44&gt;='Control Room'!$A$15,$A44&lt;'Control Room'!$A$15+'Control Room'!$B$15,'Process'!BQ4=1),1+('Control Room'!$C$15-1)*EXP(-0.5*(($A44-'Control Room'!$A$15-('Control Room'!$B$15-1)/2)/MAX(0.5,'Control Room'!$B$15/4))^2),1)*IF(AND($A44&gt;='Control Room'!$A$16,$A44&lt;'Control Room'!$A$16+'Control Room'!$B$16,'Process'!BQ5=1),1+('Control Room'!$C$16-1)*EXP(-0.5*(($A44-'Control Room'!$A$16-('Control Room'!$B$16-1)/2)/MAX(0.5,'Control Room'!$B$16/4))^2),1)</x:f>
        <x:v>1</x:v>
      </x:c>
      <x:c r="AK44" s="9" t="n">
        <x:f>MOD(AL43*16807,2147483647)</x:f>
        <x:v>1497381651</x:v>
      </x:c>
      <x:c r="AL44" s="9" t="n">
        <x:f>MOD(AK44*16807,2147483647)</x:f>
        <x:v>132549164</x:v>
      </x:c>
      <x:c r="AM44" s="17" t="n">
        <x:f>IF('Control Room'!$B$5="Normal",'Control Room'!$B$7+'Control Room'!$D$7*SQRT(-2*LN(MAX(0.000000000001,AK44/2147483647)))*COS(2*PI()*AL44/2147483647),'Control Room'!$B$8+('Control Room'!$D$8-'Control Room'!$B$8)*AK44/2147483647)</x:f>
        <x:v>1070.7530351016708</x:v>
      </x:c>
      <x:c r="AN44" s="17" t="n">
        <x:f>IF('Control Room'!$B$5="Normal",'Control Room'!$B$7,('Control Room'!$B$8+'Control Room'!$D$8)/2)+'Control Room'!$B$9*(AN43-IF('Control Room'!$B$5="Normal",'Control Room'!$B$7,('Control Room'!$B$8+'Control Room'!$D$8)/2))+SQRT(1-'Control Room'!$B$9^2)*(AM44-IF('Control Room'!$B$5="Normal",'Control Room'!$B$7,('Control Room'!$B$8+'Control Room'!$D$8)/2))</x:f>
        <x:v>994.6673871019887</x:v>
      </x:c>
      <x:c r="AO44" s="17" t="n">
        <x:f>IF(AND($A44&gt;='Control Room'!$A$13,$A44&lt;'Control Room'!$A$13+'Control Room'!$B$13,'Process'!BR2=1),1+('Control Room'!$C$13-1)*EXP(-0.5*(($A44-'Control Room'!$A$13-('Control Room'!$B$13-1)/2)/MAX(0.5,'Control Room'!$B$13/4))^2),1)*IF(AND($A44&gt;='Control Room'!$A$14,$A44&lt;'Control Room'!$A$14+'Control Room'!$B$14,'Process'!BR3=1),1+('Control Room'!$C$14-1)*EXP(-0.5*(($A44-'Control Room'!$A$14-('Control Room'!$B$14-1)/2)/MAX(0.5,'Control Room'!$B$14/4))^2),1)*IF(AND($A44&gt;='Control Room'!$A$15,$A44&lt;'Control Room'!$A$15+'Control Room'!$B$15,'Process'!BR4=1),1+('Control Room'!$C$15-1)*EXP(-0.5*(($A44-'Control Room'!$A$15-('Control Room'!$B$15-1)/2)/MAX(0.5,'Control Room'!$B$15/4))^2),1)*IF(AND($A44&gt;='Control Room'!$A$16,$A44&lt;'Control Room'!$A$16+'Control Room'!$B$16,'Process'!BR5=1),1+('Control Room'!$C$16-1)*EXP(-0.5*(($A44-'Control Room'!$A$16-('Control Room'!$B$16-1)/2)/MAX(0.5,'Control Room'!$B$16/4))^2),1)</x:f>
        <x:v>3.117992566203029</x:v>
      </x:c>
      <x:c r="AP44" s="9" t="n">
        <x:f>MOD(AQ43*16807,2147483647)</x:f>
        <x:v>754055187</x:v>
      </x:c>
      <x:c r="AQ44" s="9" t="n">
        <x:f>MOD(AP44*16807,2147483647)</x:f>
        <x:v>1104526962</x:v>
      </x:c>
      <x:c r="AR44" s="17" t="n">
        <x:f>IF('Control Room'!$B$5="Normal",'Control Room'!$B$7+'Control Room'!$D$7*SQRT(-2*LN(MAX(0.000000000001,AP44/2147483647)))*COS(2*PI()*AQ44/2147483647),'Control Room'!$B$8+('Control Room'!$D$8-'Control Room'!$B$8)*AP44/2147483647)</x:f>
        <x:v>870.3176231762037</x:v>
      </x:c>
      <x:c r="AS44" s="17" t="n">
        <x:f>IF('Control Room'!$B$5="Normal",'Control Room'!$B$7,('Control Room'!$B$8+'Control Room'!$D$8)/2)+'Control Room'!$B$9*(AS43-IF('Control Room'!$B$5="Normal",'Control Room'!$B$7,('Control Room'!$B$8+'Control Room'!$D$8)/2))+SQRT(1-'Control Room'!$B$9^2)*(AR44-IF('Control Room'!$B$5="Normal",'Control Room'!$B$7,('Control Room'!$B$8+'Control Room'!$D$8)/2))</x:f>
        <x:v>984.9995661662551</x:v>
      </x:c>
      <x:c r="AT44" s="17" t="n">
        <x:f>IF(AND($A44&gt;='Control Room'!$A$13,$A44&lt;'Control Room'!$A$13+'Control Room'!$B$13,'Process'!BS2=1),1+('Control Room'!$C$13-1)*EXP(-0.5*(($A44-'Control Room'!$A$13-('Control Room'!$B$13-1)/2)/MAX(0.5,'Control Room'!$B$13/4))^2),1)*IF(AND($A44&gt;='Control Room'!$A$14,$A44&lt;'Control Room'!$A$14+'Control Room'!$B$14,'Process'!BS3=1),1+('Control Room'!$C$14-1)*EXP(-0.5*(($A44-'Control Room'!$A$14-('Control Room'!$B$14-1)/2)/MAX(0.5,'Control Room'!$B$14/4))^2),1)*IF(AND($A44&gt;='Control Room'!$A$15,$A44&lt;'Control Room'!$A$15+'Control Room'!$B$15,'Process'!BS4=1),1+('Control Room'!$C$15-1)*EXP(-0.5*(($A44-'Control Room'!$A$15-('Control Room'!$B$15-1)/2)/MAX(0.5,'Control Room'!$B$15/4))^2),1)*IF(AND($A44&gt;='Control Room'!$A$16,$A44&lt;'Control Room'!$A$16+'Control Room'!$B$16,'Process'!BS5=1),1+('Control Room'!$C$16-1)*EXP(-0.5*(($A44-'Control Room'!$A$16-('Control Room'!$B$16-1)/2)/MAX(0.5,'Control Room'!$B$16/4))^2),1)</x:f>
        <x:v>3.117992566203029</x:v>
      </x:c>
      <x:c r="AU44" s="9" t="n">
        <x:f>MOD(AV43*16807,2147483647)</x:f>
        <x:v>10728723</x:v>
      </x:c>
      <x:c r="AV44" s="9" t="n">
        <x:f>MOD(AU44*16807,2147483647)</x:f>
        <x:v>2076504760</x:v>
      </x:c>
      <x:c r="AW44" s="17" t="n">
        <x:f>IF('Control Room'!$B$5="Normal",'Control Room'!$B$7+'Control Room'!$D$7*SQRT(-2*LN(MAX(0.000000000001,AU44/2147483647)))*COS(2*PI()*AV44/2147483647),'Control Room'!$B$8+('Control Room'!$D$8-'Control Room'!$B$8)*AU44/2147483647)</x:f>
        <x:v>1286.6992027437395</x:v>
      </x:c>
      <x:c r="AX44" s="17" t="n">
        <x:f>IF('Control Room'!$B$5="Normal",'Control Room'!$B$7,('Control Room'!$B$8+'Control Room'!$D$8)/2)+'Control Room'!$B$9*(AX43-IF('Control Room'!$B$5="Normal",'Control Room'!$B$7,('Control Room'!$B$8+'Control Room'!$D$8)/2))+SQRT(1-'Control Room'!$B$9^2)*(AW44-IF('Control Room'!$B$5="Normal",'Control Room'!$B$7,('Control Room'!$B$8+'Control Room'!$D$8)/2))</x:f>
        <x:v>1208.4698968251394</x:v>
      </x:c>
      <x:c r="AY44" s="17" t="n">
        <x:f>IF(AND($A44&gt;='Control Room'!$A$13,$A44&lt;'Control Room'!$A$13+'Control Room'!$B$13,'Process'!BT2=1),1+('Control Room'!$C$13-1)*EXP(-0.5*(($A44-'Control Room'!$A$13-('Control Room'!$B$13-1)/2)/MAX(0.5,'Control Room'!$B$13/4))^2),1)*IF(AND($A44&gt;='Control Room'!$A$14,$A44&lt;'Control Room'!$A$14+'Control Room'!$B$14,'Process'!BT3=1),1+('Control Room'!$C$14-1)*EXP(-0.5*(($A44-'Control Room'!$A$14-('Control Room'!$B$14-1)/2)/MAX(0.5,'Control Room'!$B$14/4))^2),1)*IF(AND($A44&gt;='Control Room'!$A$15,$A44&lt;'Control Room'!$A$15+'Control Room'!$B$15,'Process'!BT4=1),1+('Control Room'!$C$15-1)*EXP(-0.5*(($A44-'Control Room'!$A$15-('Control Room'!$B$15-1)/2)/MAX(0.5,'Control Room'!$B$15/4))^2),1)*IF(AND($A44&gt;='Control Room'!$A$16,$A44&lt;'Control Room'!$A$16+'Control Room'!$B$16,'Process'!BT5=1),1+('Control Room'!$C$16-1)*EXP(-0.5*(($A44-'Control Room'!$A$16-('Control Room'!$B$16-1)/2)/MAX(0.5,'Control Room'!$B$16/4))^2),1)</x:f>
        <x:v>3.117992566203029</x:v>
      </x:c>
      <x:c r="AZ44" s="9" t="n">
        <x:f>MOD(BA43*16807,2147483647)</x:f>
        <x:v>1414885906</x:v>
      </x:c>
      <x:c r="BA44" s="9" t="n">
        <x:f>MOD(AZ44*16807,2147483647)</x:f>
        <x:v>900998911</x:v>
      </x:c>
      <x:c r="BB44" s="17" t="n">
        <x:f>IF('Control Room'!$B$5="Normal",'Control Room'!$B$7+'Control Room'!$D$7*SQRT(-2*LN(MAX(0.000000000001,AZ44/2147483647)))*COS(2*PI()*BA44/2147483647),'Control Room'!$B$8+('Control Room'!$D$8-'Control Room'!$B$8)*AZ44/2147483647)</x:f>
        <x:v>928.0635609097118</x:v>
      </x:c>
      <x:c r="BC44" s="17" t="n">
        <x:f>IF('Control Room'!$B$5="Normal",'Control Room'!$B$7,('Control Room'!$B$8+'Control Room'!$D$8)/2)+'Control Room'!$B$9*(BC43-IF('Control Room'!$B$5="Normal",'Control Room'!$B$7,('Control Room'!$B$8+'Control Room'!$D$8)/2))+SQRT(1-'Control Room'!$B$9^2)*(BB44-IF('Control Room'!$B$5="Normal",'Control Room'!$B$7,('Control Room'!$B$8+'Control Room'!$D$8)/2))</x:f>
        <x:v>816.5620827000172</x:v>
      </x:c>
      <x:c r="BD44" s="17" t="n">
        <x:f>IF(AND($A44&gt;='Control Room'!$A$13,$A44&lt;'Control Room'!$A$13+'Control Room'!$B$13,'Process'!BU2=1),1+('Control Room'!$C$13-1)*EXP(-0.5*(($A44-'Control Room'!$A$13-('Control Room'!$B$13-1)/2)/MAX(0.5,'Control Room'!$B$13/4))^2),1)*IF(AND($A44&gt;='Control Room'!$A$14,$A44&lt;'Control Room'!$A$14+'Control Room'!$B$14,'Process'!BU3=1),1+('Control Room'!$C$14-1)*EXP(-0.5*(($A44-'Control Room'!$A$14-('Control Room'!$B$14-1)/2)/MAX(0.5,'Control Room'!$B$14/4))^2),1)*IF(AND($A44&gt;='Control Room'!$A$15,$A44&lt;'Control Room'!$A$15+'Control Room'!$B$15,'Process'!BU4=1),1+('Control Room'!$C$15-1)*EXP(-0.5*(($A44-'Control Room'!$A$15-('Control Room'!$B$15-1)/2)/MAX(0.5,'Control Room'!$B$15/4))^2),1)*IF(AND($A44&gt;='Control Room'!$A$16,$A44&lt;'Control Room'!$A$16+'Control Room'!$B$16,'Process'!BU5=1),1+('Control Room'!$C$16-1)*EXP(-0.5*(($A44-'Control Room'!$A$16-('Control Room'!$B$16-1)/2)/MAX(0.5,'Control Room'!$B$16/4))^2),1)</x:f>
        <x:v>1</x:v>
      </x:c>
      <x:c r="BE44" s="9" t="n">
        <x:f>MOD(BF43*16807,2147483647)</x:f>
        <x:v>671559442</x:v>
      </x:c>
      <x:c r="BF44" s="9" t="n">
        <x:f>MOD(BE44*16807,2147483647)</x:f>
        <x:v>1872976709</x:v>
      </x:c>
      <x:c r="BG44" s="17" t="n">
        <x:f>IF('Control Room'!$B$5="Normal",'Control Room'!$B$7+'Control Room'!$D$7*SQRT(-2*LN(MAX(0.000000000001,BE44/2147483647)))*COS(2*PI()*BF44/2147483647),'Control Room'!$B$8+('Control Room'!$D$8-'Control Room'!$B$8)*BE44/2147483647)</x:f>
        <x:v>1095.2962870211516</x:v>
      </x:c>
      <x:c r="BH44" s="17" t="n">
        <x:f>IF('Control Room'!$B$5="Normal",'Control Room'!$B$7,('Control Room'!$B$8+'Control Room'!$D$8)/2)+'Control Room'!$B$9*(BH43-IF('Control Room'!$B$5="Normal",'Control Room'!$B$7,('Control Room'!$B$8+'Control Room'!$D$8)/2))+SQRT(1-'Control Room'!$B$9^2)*(BG44-IF('Control Room'!$B$5="Normal",'Control Room'!$B$7,('Control Room'!$B$8+'Control Room'!$D$8)/2))</x:f>
        <x:v>1127.3205466659251</x:v>
      </x:c>
      <x:c r="BI44" s="17" t="n">
        <x:f>IF(AND($A44&gt;='Control Room'!$A$13,$A44&lt;'Control Room'!$A$13+'Control Room'!$B$13,'Process'!BV2=1),1+('Control Room'!$C$13-1)*EXP(-0.5*(($A44-'Control Room'!$A$13-('Control Room'!$B$13-1)/2)/MAX(0.5,'Control Room'!$B$13/4))^2),1)*IF(AND($A44&gt;='Control Room'!$A$14,$A44&lt;'Control Room'!$A$14+'Control Room'!$B$14,'Process'!BV3=1),1+('Control Room'!$C$14-1)*EXP(-0.5*(($A44-'Control Room'!$A$14-('Control Room'!$B$14-1)/2)/MAX(0.5,'Control Room'!$B$14/4))^2),1)*IF(AND($A44&gt;='Control Room'!$A$15,$A44&lt;'Control Room'!$A$15+'Control Room'!$B$15,'Process'!BV4=1),1+('Control Room'!$C$15-1)*EXP(-0.5*(($A44-'Control Room'!$A$15-('Control Room'!$B$15-1)/2)/MAX(0.5,'Control Room'!$B$15/4))^2),1)*IF(AND($A44&gt;='Control Room'!$A$16,$A44&lt;'Control Room'!$A$16+'Control Room'!$B$16,'Process'!BV5=1),1+('Control Room'!$C$16-1)*EXP(-0.5*(($A44-'Control Room'!$A$16-('Control Room'!$B$16-1)/2)/MAX(0.5,'Control Room'!$B$16/4))^2),1)</x:f>
        <x:v>3.117992566203029</x:v>
      </x:c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Z44" t="str">
        <x:f>IF('Data'!A44="","",TEXT('Data'!A44,"mm-dd"))</x:f>
        <x:v>12-14</x:v>
      </x:c>
    </x:row>
    <x:row r="45" ht="21" customHeight="1">
      <x:c r="A45" s="15" t="n">
        <x:f>'Control Room'!$B$1+43</x:f>
        <x:v>73034</x:v>
      </x:c>
      <x:c r="B45" s="9" t="n">
        <x:f>MOD(C44*16807,2147483647)</x:f>
        <x:v>2101503257</x:v>
      </x:c>
      <x:c r="C45" s="9" t="n">
        <x:f>MOD(B45*16807,2147483647)</x:f>
        <x:v>301698190</x:v>
      </x:c>
      <x:c r="D45" s="17" t="n">
        <x:f>IF('Control Room'!$B$5="Normal",'Control Room'!$B$7+'Control Room'!$D$7*SQRT(-2*LN(MAX(0.000000000001,B45/2147483647)))*COS(2*PI()*C45/2147483647),'Control Room'!$B$8+('Control Room'!$D$8-'Control Room'!$B$8)*B45/2147483647)</x:f>
        <x:v>1011.8914396726657</x:v>
      </x:c>
      <x:c r="E45" s="17" t="n">
        <x:f>IF('Control Room'!$B$5="Normal",'Control Room'!$B$7,('Control Room'!$B$8+'Control Room'!$D$8)/2)+'Control Room'!$B$9*(E44-IF('Control Room'!$B$5="Normal",'Control Room'!$B$7,('Control Room'!$B$8+'Control Room'!$D$8)/2))+SQRT(1-'Control Room'!$B$9^2)*(D45-IF('Control Room'!$B$5="Normal",'Control Room'!$B$7,('Control Room'!$B$8+'Control Room'!$D$8)/2))</x:f>
        <x:v>1041.4326502924455</x:v>
      </x:c>
      <x:c r="F45" s="17" t="n">
        <x:f>IF(AND($A45&gt;='Control Room'!$A$13,$A45&lt;'Control Room'!$A$13+'Control Room'!$B$13,'Process'!BK2=1),1+('Control Room'!$C$13-1)*EXP(-0.5*(($A45-'Control Room'!$A$13-('Control Room'!$B$13-1)/2)/MAX(0.5,'Control Room'!$B$13/4))^2),1)*IF(AND($A45&gt;='Control Room'!$A$14,$A45&lt;'Control Room'!$A$14+'Control Room'!$B$14,'Process'!BK3=1),1+('Control Room'!$C$14-1)*EXP(-0.5*(($A45-'Control Room'!$A$14-('Control Room'!$B$14-1)/2)/MAX(0.5,'Control Room'!$B$14/4))^2),1)*IF(AND($A45&gt;='Control Room'!$A$15,$A45&lt;'Control Room'!$A$15+'Control Room'!$B$15,'Process'!BK4=1),1+('Control Room'!$C$15-1)*EXP(-0.5*(($A45-'Control Room'!$A$15-('Control Room'!$B$15-1)/2)/MAX(0.5,'Control Room'!$B$15/4))^2),1)*IF(AND($A45&gt;='Control Room'!$A$16,$A45&lt;'Control Room'!$A$16+'Control Room'!$B$16,'Process'!BK5=1),1+('Control Room'!$C$16-1)*EXP(-0.5*(($A45-'Control Room'!$A$16-('Control Room'!$B$16-1)/2)/MAX(0.5,'Control Room'!$B$16/4))^2),1)</x:f>
        <x:v>3.117992566203029</x:v>
      </x:c>
      <x:c r="G45" s="9" t="n">
        <x:f>MOD(H44*16807,2147483647)</x:f>
        <x:v>76767867</x:v>
      </x:c>
      <x:c r="H45" s="9" t="n">
        <x:f>MOD(G45*16807,2147483647)</x:f>
        <x:v>1747352469</x:v>
      </x:c>
      <x:c r="I45" s="17" t="n">
        <x:f>IF('Control Room'!$B$5="Normal",'Control Room'!$B$7+'Control Room'!$D$7*SQRT(-2*LN(MAX(0.000000000001,G45/2147483647)))*COS(2*PI()*H45/2147483647),'Control Room'!$B$8+('Control Room'!$D$8-'Control Room'!$B$8)*G45/2147483647)</x:f>
        <x:v>1090.4812791796066</x:v>
      </x:c>
      <x:c r="J45" s="17" t="n">
        <x:f>IF('Control Room'!$B$5="Normal",'Control Room'!$B$7,('Control Room'!$B$8+'Control Room'!$D$8)/2)+'Control Room'!$B$9*(J44-IF('Control Room'!$B$5="Normal",'Control Room'!$B$7,('Control Room'!$B$8+'Control Room'!$D$8)/2))+SQRT(1-'Control Room'!$B$9^2)*(I45-IF('Control Room'!$B$5="Normal",'Control Room'!$B$7,('Control Room'!$B$8+'Control Room'!$D$8)/2))</x:f>
        <x:v>986.8915760656577</x:v>
      </x:c>
      <x:c r="K45" s="17" t="n">
        <x:f>IF(AND($A45&gt;='Control Room'!$A$13,$A45&lt;'Control Room'!$A$13+'Control Room'!$B$13,'Process'!BL2=1),1+('Control Room'!$C$13-1)*EXP(-0.5*(($A45-'Control Room'!$A$13-('Control Room'!$B$13-1)/2)/MAX(0.5,'Control Room'!$B$13/4))^2),1)*IF(AND($A45&gt;='Control Room'!$A$14,$A45&lt;'Control Room'!$A$14+'Control Room'!$B$14,'Process'!BL3=1),1+('Control Room'!$C$14-1)*EXP(-0.5*(($A45-'Control Room'!$A$14-('Control Room'!$B$14-1)/2)/MAX(0.5,'Control Room'!$B$14/4))^2),1)*IF(AND($A45&gt;='Control Room'!$A$15,$A45&lt;'Control Room'!$A$15+'Control Room'!$B$15,'Process'!BL4=1),1+('Control Room'!$C$15-1)*EXP(-0.5*(($A45-'Control Room'!$A$15-('Control Room'!$B$15-1)/2)/MAX(0.5,'Control Room'!$B$15/4))^2),1)*IF(AND($A45&gt;='Control Room'!$A$16,$A45&lt;'Control Room'!$A$16+'Control Room'!$B$16,'Process'!BL5=1),1+('Control Room'!$C$16-1)*EXP(-0.5*(($A45-'Control Room'!$A$16-('Control Room'!$B$16-1)/2)/MAX(0.5,'Control Room'!$B$16/4))^2),1)</x:f>
        <x:v>3.117992566203029</x:v>
      </x:c>
      <x:c r="L45" s="9" t="n">
        <x:f>MOD(M44*16807,2147483647)</x:f>
        <x:v>199516124</x:v>
      </x:c>
      <x:c r="M45" s="9" t="n">
        <x:f>MOD(L45*16807,2147483647)</x:f>
        <x:v>1045523101</x:v>
      </x:c>
      <x:c r="N45" s="17" t="n">
        <x:f>IF('Control Room'!$B$5="Normal",'Control Room'!$B$7+'Control Room'!$D$7*SQRT(-2*LN(MAX(0.000000000001,L45/2147483647)))*COS(2*PI()*M45/2147483647),'Control Room'!$B$8+('Control Room'!$D$8-'Control Room'!$B$8)*L45/2147483647)</x:f>
        <x:v>804.4701091447723</x:v>
      </x:c>
      <x:c r="O45" s="17" t="n">
        <x:f>IF('Control Room'!$B$5="Normal",'Control Room'!$B$7,('Control Room'!$B$8+'Control Room'!$D$8)/2)+'Control Room'!$B$9*(O44-IF('Control Room'!$B$5="Normal",'Control Room'!$B$7,('Control Room'!$B$8+'Control Room'!$D$8)/2))+SQRT(1-'Control Room'!$B$9^2)*(N45-IF('Control Room'!$B$5="Normal",'Control Room'!$B$7,('Control Room'!$B$8+'Control Room'!$D$8)/2))</x:f>
        <x:v>837.3423982938214</x:v>
      </x:c>
      <x:c r="P45" s="17" t="n">
        <x:f>IF(AND($A45&gt;='Control Room'!$A$13,$A45&lt;'Control Room'!$A$13+'Control Room'!$B$13,'Process'!BM2=1),1+('Control Room'!$C$13-1)*EXP(-0.5*(($A45-'Control Room'!$A$13-('Control Room'!$B$13-1)/2)/MAX(0.5,'Control Room'!$B$13/4))^2),1)*IF(AND($A45&gt;='Control Room'!$A$14,$A45&lt;'Control Room'!$A$14+'Control Room'!$B$14,'Process'!BM3=1),1+('Control Room'!$C$14-1)*EXP(-0.5*(($A45-'Control Room'!$A$14-('Control Room'!$B$14-1)/2)/MAX(0.5,'Control Room'!$B$14/4))^2),1)*IF(AND($A45&gt;='Control Room'!$A$15,$A45&lt;'Control Room'!$A$15+'Control Room'!$B$15,'Process'!BM4=1),1+('Control Room'!$C$15-1)*EXP(-0.5*(($A45-'Control Room'!$A$15-('Control Room'!$B$15-1)/2)/MAX(0.5,'Control Room'!$B$15/4))^2),1)*IF(AND($A45&gt;='Control Room'!$A$16,$A45&lt;'Control Room'!$A$16+'Control Room'!$B$16,'Process'!BM5=1),1+('Control Room'!$C$16-1)*EXP(-0.5*(($A45-'Control Room'!$A$16-('Control Room'!$B$16-1)/2)/MAX(0.5,'Control Room'!$B$16/4))^2),1)</x:f>
        <x:v>3.117992566203029</x:v>
      </x:c>
      <x:c r="Q45" s="9" t="n">
        <x:f>MOD(R44*16807,2147483647)</x:f>
        <x:v>322264381</x:v>
      </x:c>
      <x:c r="R45" s="9" t="n">
        <x:f>MOD(Q45*16807,2147483647)</x:f>
        <x:v>343693733</x:v>
      </x:c>
      <x:c r="S45" s="17" t="n">
        <x:f>IF('Control Room'!$B$5="Normal",'Control Room'!$B$7+'Control Room'!$D$7*SQRT(-2*LN(MAX(0.000000000001,Q45/2147483647)))*COS(2*PI()*R45/2147483647),'Control Room'!$B$8+('Control Room'!$D$8-'Control Room'!$B$8)*Q45/2147483647)</x:f>
        <x:v>1093.8827848977896</x:v>
      </x:c>
      <x:c r="T45" s="17" t="n">
        <x:f>IF('Control Room'!$B$5="Normal",'Control Room'!$B$7,('Control Room'!$B$8+'Control Room'!$D$8)/2)+'Control Room'!$B$9*(T44-IF('Control Room'!$B$5="Normal",'Control Room'!$B$7,('Control Room'!$B$8+'Control Room'!$D$8)/2))+SQRT(1-'Control Room'!$B$9^2)*(S45-IF('Control Room'!$B$5="Normal",'Control Room'!$B$7,('Control Room'!$B$8+'Control Room'!$D$8)/2))</x:f>
        <x:v>1086.2996986831906</x:v>
      </x:c>
      <x:c r="U45" s="17" t="n">
        <x:f>IF(AND($A45&gt;='Control Room'!$A$13,$A45&lt;'Control Room'!$A$13+'Control Room'!$B$13,'Process'!BN2=1),1+('Control Room'!$C$13-1)*EXP(-0.5*(($A45-'Control Room'!$A$13-('Control Room'!$B$13-1)/2)/MAX(0.5,'Control Room'!$B$13/4))^2),1)*IF(AND($A45&gt;='Control Room'!$A$14,$A45&lt;'Control Room'!$A$14+'Control Room'!$B$14,'Process'!BN3=1),1+('Control Room'!$C$14-1)*EXP(-0.5*(($A45-'Control Room'!$A$14-('Control Room'!$B$14-1)/2)/MAX(0.5,'Control Room'!$B$14/4))^2),1)*IF(AND($A45&gt;='Control Room'!$A$15,$A45&lt;'Control Room'!$A$15+'Control Room'!$B$15,'Process'!BN4=1),1+('Control Room'!$C$15-1)*EXP(-0.5*(($A45-'Control Room'!$A$15-('Control Room'!$B$15-1)/2)/MAX(0.5,'Control Room'!$B$15/4))^2),1)*IF(AND($A45&gt;='Control Room'!$A$16,$A45&lt;'Control Room'!$A$16+'Control Room'!$B$16,'Process'!BN5=1),1+('Control Room'!$C$16-1)*EXP(-0.5*(($A45-'Control Room'!$A$16-('Control Room'!$B$16-1)/2)/MAX(0.5,'Control Room'!$B$16/4))^2),1)</x:f>
        <x:v>1</x:v>
      </x:c>
      <x:c r="V45" s="9" t="n">
        <x:f>MOD(W44*16807,2147483647)</x:f>
        <x:v>445012638</x:v>
      </x:c>
      <x:c r="W45" s="9" t="n">
        <x:f>MOD(V45*16807,2147483647)</x:f>
        <x:v>1789348012</x:v>
      </x:c>
      <x:c r="X45" s="17" t="n">
        <x:f>IF('Control Room'!$B$5="Normal",'Control Room'!$B$7+'Control Room'!$D$7*SQRT(-2*LN(MAX(0.000000000001,V45/2147483647)))*COS(2*PI()*W45/2147483647),'Control Room'!$B$8+('Control Room'!$D$8-'Control Room'!$B$8)*V45/2147483647)</x:f>
        <x:v>1079.7507182774498</x:v>
      </x:c>
      <x:c r="Y45" s="17" t="n">
        <x:f>IF('Control Room'!$B$5="Normal",'Control Room'!$B$7,('Control Room'!$B$8+'Control Room'!$D$8)/2)+'Control Room'!$B$9*(Y44-IF('Control Room'!$B$5="Normal",'Control Room'!$B$7,('Control Room'!$B$8+'Control Room'!$D$8)/2))+SQRT(1-'Control Room'!$B$9^2)*(X45-IF('Control Room'!$B$5="Normal",'Control Room'!$B$7,('Control Room'!$B$8+'Control Room'!$D$8)/2))</x:f>
        <x:v>1095.7673399394243</x:v>
      </x:c>
      <x:c r="Z45" s="17" t="n">
        <x:f>IF(AND($A45&gt;='Control Room'!$A$13,$A45&lt;'Control Room'!$A$13+'Control Room'!$B$13,'Process'!BO2=1),1+('Control Room'!$C$13-1)*EXP(-0.5*(($A45-'Control Room'!$A$13-('Control Room'!$B$13-1)/2)/MAX(0.5,'Control Room'!$B$13/4))^2),1)*IF(AND($A45&gt;='Control Room'!$A$14,$A45&lt;'Control Room'!$A$14+'Control Room'!$B$14,'Process'!BO3=1),1+('Control Room'!$C$14-1)*EXP(-0.5*(($A45-'Control Room'!$A$14-('Control Room'!$B$14-1)/2)/MAX(0.5,'Control Room'!$B$14/4))^2),1)*IF(AND($A45&gt;='Control Room'!$A$15,$A45&lt;'Control Room'!$A$15+'Control Room'!$B$15,'Process'!BO4=1),1+('Control Room'!$C$15-1)*EXP(-0.5*(($A45-'Control Room'!$A$15-('Control Room'!$B$15-1)/2)/MAX(0.5,'Control Room'!$B$15/4))^2),1)*IF(AND($A45&gt;='Control Room'!$A$16,$A45&lt;'Control Room'!$A$16+'Control Room'!$B$16,'Process'!BO5=1),1+('Control Room'!$C$16-1)*EXP(-0.5*(($A45-'Control Room'!$A$16-('Control Room'!$B$16-1)/2)/MAX(0.5,'Control Room'!$B$16/4))^2),1)</x:f>
        <x:v>3.117992566203029</x:v>
      </x:c>
      <x:c r="AA45" s="9" t="n">
        <x:f>MOD(AB44*16807,2147483647)</x:f>
        <x:v>567760895</x:v>
      </x:c>
      <x:c r="AB45" s="9" t="n">
        <x:f>MOD(AA45*16807,2147483647)</x:f>
        <x:v>1087518644</x:v>
      </x:c>
      <x:c r="AC45" s="17" t="n">
        <x:f>IF('Control Room'!$B$5="Normal",'Control Room'!$B$7+'Control Room'!$D$7*SQRT(-2*LN(MAX(0.000000000001,AA45/2147483647)))*COS(2*PI()*AB45/2147483647),'Control Room'!$B$8+('Control Room'!$D$8-'Control Room'!$B$8)*AA45/2147483647)</x:f>
        <x:v>853.3142851385294</x:v>
      </x:c>
      <x:c r="AD45" s="17" t="n">
        <x:f>IF('Control Room'!$B$5="Normal",'Control Room'!$B$7,('Control Room'!$B$8+'Control Room'!$D$8)/2)+'Control Room'!$B$9*(AD44-IF('Control Room'!$B$5="Normal",'Control Room'!$B$7,('Control Room'!$B$8+'Control Room'!$D$8)/2))+SQRT(1-'Control Room'!$B$9^2)*(AC45-IF('Control Room'!$B$5="Normal",'Control Room'!$B$7,('Control Room'!$B$8+'Control Room'!$D$8)/2))</x:f>
        <x:v>920.94818566998</x:v>
      </x:c>
      <x:c r="AE45" s="17" t="n">
        <x:f>IF(AND($A45&gt;='Control Room'!$A$13,$A45&lt;'Control Room'!$A$13+'Control Room'!$B$13,'Process'!BP2=1),1+('Control Room'!$C$13-1)*EXP(-0.5*(($A45-'Control Room'!$A$13-('Control Room'!$B$13-1)/2)/MAX(0.5,'Control Room'!$B$13/4))^2),1)*IF(AND($A45&gt;='Control Room'!$A$14,$A45&lt;'Control Room'!$A$14+'Control Room'!$B$14,'Process'!BP3=1),1+('Control Room'!$C$14-1)*EXP(-0.5*(($A45-'Control Room'!$A$14-('Control Room'!$B$14-1)/2)/MAX(0.5,'Control Room'!$B$14/4))^2),1)*IF(AND($A45&gt;='Control Room'!$A$15,$A45&lt;'Control Room'!$A$15+'Control Room'!$B$15,'Process'!BP4=1),1+('Control Room'!$C$15-1)*EXP(-0.5*(($A45-'Control Room'!$A$15-('Control Room'!$B$15-1)/2)/MAX(0.5,'Control Room'!$B$15/4))^2),1)*IF(AND($A45&gt;='Control Room'!$A$16,$A45&lt;'Control Room'!$A$16+'Control Room'!$B$16,'Process'!BP5=1),1+('Control Room'!$C$16-1)*EXP(-0.5*(($A45-'Control Room'!$A$16-('Control Room'!$B$16-1)/2)/MAX(0.5,'Control Room'!$B$16/4))^2),1)</x:f>
        <x:v>3.117992566203029</x:v>
      </x:c>
      <x:c r="AF45" s="9" t="n">
        <x:f>MOD(AG44*16807,2147483647)</x:f>
        <x:v>690509152</x:v>
      </x:c>
      <x:c r="AG45" s="9" t="n">
        <x:f>MOD(AF45*16807,2147483647)</x:f>
        <x:v>385689276</x:v>
      </x:c>
      <x:c r="AH45" s="17" t="n">
        <x:f>IF('Control Room'!$B$5="Normal",'Control Room'!$B$7+'Control Room'!$D$7*SQRT(-2*LN(MAX(0.000000000001,AF45/2147483647)))*COS(2*PI()*AG45/2147483647),'Control Room'!$B$8+('Control Room'!$D$8-'Control Room'!$B$8)*AF45/2147483647)</x:f>
        <x:v>1058.0332058352164</x:v>
      </x:c>
      <x:c r="AI45" s="17" t="n">
        <x:f>IF('Control Room'!$B$5="Normal",'Control Room'!$B$7,('Control Room'!$B$8+'Control Room'!$D$8)/2)+'Control Room'!$B$9*(AI44-IF('Control Room'!$B$5="Normal",'Control Room'!$B$7,('Control Room'!$B$8+'Control Room'!$D$8)/2))+SQRT(1-'Control Room'!$B$9^2)*(AH45-IF('Control Room'!$B$5="Normal",'Control Room'!$B$7,('Control Room'!$B$8+'Control Room'!$D$8)/2))</x:f>
        <x:v>935.0274469583984</x:v>
      </x:c>
      <x:c r="AJ45" s="17" t="n">
        <x:f>IF(AND($A45&gt;='Control Room'!$A$13,$A45&lt;'Control Room'!$A$13+'Control Room'!$B$13,'Process'!BQ2=1),1+('Control Room'!$C$13-1)*EXP(-0.5*(($A45-'Control Room'!$A$13-('Control Room'!$B$13-1)/2)/MAX(0.5,'Control Room'!$B$13/4))^2),1)*IF(AND($A45&gt;='Control Room'!$A$14,$A45&lt;'Control Room'!$A$14+'Control Room'!$B$14,'Process'!BQ3=1),1+('Control Room'!$C$14-1)*EXP(-0.5*(($A45-'Control Room'!$A$14-('Control Room'!$B$14-1)/2)/MAX(0.5,'Control Room'!$B$14/4))^2),1)*IF(AND($A45&gt;='Control Room'!$A$15,$A45&lt;'Control Room'!$A$15+'Control Room'!$B$15,'Process'!BQ4=1),1+('Control Room'!$C$15-1)*EXP(-0.5*(($A45-'Control Room'!$A$15-('Control Room'!$B$15-1)/2)/MAX(0.5,'Control Room'!$B$15/4))^2),1)*IF(AND($A45&gt;='Control Room'!$A$16,$A45&lt;'Control Room'!$A$16+'Control Room'!$B$16,'Process'!BQ5=1),1+('Control Room'!$C$16-1)*EXP(-0.5*(($A45-'Control Room'!$A$16-('Control Room'!$B$16-1)/2)/MAX(0.5,'Control Room'!$B$16/4))^2),1)</x:f>
        <x:v>1</x:v>
      </x:c>
      <x:c r="AK45" s="9" t="n">
        <x:f>MOD(AL44*16807,2147483647)</x:f>
        <x:v>813257409</x:v>
      </x:c>
      <x:c r="AL45" s="9" t="n">
        <x:f>MOD(AK45*16807,2147483647)</x:f>
        <x:v>1831343555</x:v>
      </x:c>
      <x:c r="AM45" s="17" t="n">
        <x:f>IF('Control Room'!$B$5="Normal",'Control Room'!$B$7+'Control Room'!$D$7*SQRT(-2*LN(MAX(0.000000000001,AK45/2147483647)))*COS(2*PI()*AL45/2147483647),'Control Room'!$B$8+('Control Room'!$D$8-'Control Room'!$B$8)*AK45/2147483647)</x:f>
        <x:v>1075.4849137173064</x:v>
      </x:c>
      <x:c r="AN45" s="17" t="n">
        <x:f>IF('Control Room'!$B$5="Normal",'Control Room'!$B$7,('Control Room'!$B$8+'Control Room'!$D$8)/2)+'Control Room'!$B$9*(AN44-IF('Control Room'!$B$5="Normal",'Control Room'!$B$7,('Control Room'!$B$8+'Control Room'!$D$8)/2))+SQRT(1-'Control Room'!$B$9^2)*(AM45-IF('Control Room'!$B$5="Normal",'Control Room'!$B$7,('Control Room'!$B$8+'Control Room'!$D$8)/2))</x:f>
        <x:v>1043.07747455133</x:v>
      </x:c>
      <x:c r="AO45" s="17" t="n">
        <x:f>IF(AND($A45&gt;='Control Room'!$A$13,$A45&lt;'Control Room'!$A$13+'Control Room'!$B$13,'Process'!BR2=1),1+('Control Room'!$C$13-1)*EXP(-0.5*(($A45-'Control Room'!$A$13-('Control Room'!$B$13-1)/2)/MAX(0.5,'Control Room'!$B$13/4))^2),1)*IF(AND($A45&gt;='Control Room'!$A$14,$A45&lt;'Control Room'!$A$14+'Control Room'!$B$14,'Process'!BR3=1),1+('Control Room'!$C$14-1)*EXP(-0.5*(($A45-'Control Room'!$A$14-('Control Room'!$B$14-1)/2)/MAX(0.5,'Control Room'!$B$14/4))^2),1)*IF(AND($A45&gt;='Control Room'!$A$15,$A45&lt;'Control Room'!$A$15+'Control Room'!$B$15,'Process'!BR4=1),1+('Control Room'!$C$15-1)*EXP(-0.5*(($A45-'Control Room'!$A$15-('Control Room'!$B$15-1)/2)/MAX(0.5,'Control Room'!$B$15/4))^2),1)*IF(AND($A45&gt;='Control Room'!$A$16,$A45&lt;'Control Room'!$A$16+'Control Room'!$B$16,'Process'!BR5=1),1+('Control Room'!$C$16-1)*EXP(-0.5*(($A45-'Control Room'!$A$16-('Control Room'!$B$16-1)/2)/MAX(0.5,'Control Room'!$B$16/4))^2),1)</x:f>
        <x:v>3.117992566203029</x:v>
      </x:c>
      <x:c r="AP45" s="9" t="n">
        <x:f>MOD(AQ44*16807,2147483647)</x:f>
        <x:v>936005666</x:v>
      </x:c>
      <x:c r="AQ45" s="9" t="n">
        <x:f>MOD(AP45*16807,2147483647)</x:f>
        <x:v>1129514187</x:v>
      </x:c>
      <x:c r="AR45" s="17" t="n">
        <x:f>IF('Control Room'!$B$5="Normal",'Control Room'!$B$7+'Control Room'!$D$7*SQRT(-2*LN(MAX(0.000000000001,AP45/2147483647)))*COS(2*PI()*AQ45/2147483647),'Control Room'!$B$8+('Control Room'!$D$8-'Control Room'!$B$8)*AP45/2147483647)</x:f>
        <x:v>885.553867899615</x:v>
      </x:c>
      <x:c r="AS45" s="17" t="n">
        <x:f>IF('Control Room'!$B$5="Normal",'Control Room'!$B$7,('Control Room'!$B$8+'Control Room'!$D$8)/2)+'Control Room'!$B$9*(AS44-IF('Control Room'!$B$5="Normal",'Control Room'!$B$7,('Control Room'!$B$8+'Control Room'!$D$8)/2))+SQRT(1-'Control Room'!$B$9^2)*(AR45-IF('Control Room'!$B$5="Normal",'Control Room'!$B$7,('Control Room'!$B$8+'Control Room'!$D$8)/2))</x:f>
        <x:v>916.6816166977121</x:v>
      </x:c>
      <x:c r="AT45" s="17" t="n">
        <x:f>IF(AND($A45&gt;='Control Room'!$A$13,$A45&lt;'Control Room'!$A$13+'Control Room'!$B$13,'Process'!BS2=1),1+('Control Room'!$C$13-1)*EXP(-0.5*(($A45-'Control Room'!$A$13-('Control Room'!$B$13-1)/2)/MAX(0.5,'Control Room'!$B$13/4))^2),1)*IF(AND($A45&gt;='Control Room'!$A$14,$A45&lt;'Control Room'!$A$14+'Control Room'!$B$14,'Process'!BS3=1),1+('Control Room'!$C$14-1)*EXP(-0.5*(($A45-'Control Room'!$A$14-('Control Room'!$B$14-1)/2)/MAX(0.5,'Control Room'!$B$14/4))^2),1)*IF(AND($A45&gt;='Control Room'!$A$15,$A45&lt;'Control Room'!$A$15+'Control Room'!$B$15,'Process'!BS4=1),1+('Control Room'!$C$15-1)*EXP(-0.5*(($A45-'Control Room'!$A$15-('Control Room'!$B$15-1)/2)/MAX(0.5,'Control Room'!$B$15/4))^2),1)*IF(AND($A45&gt;='Control Room'!$A$16,$A45&lt;'Control Room'!$A$16+'Control Room'!$B$16,'Process'!BS5=1),1+('Control Room'!$C$16-1)*EXP(-0.5*(($A45-'Control Room'!$A$16-('Control Room'!$B$16-1)/2)/MAX(0.5,'Control Room'!$B$16/4))^2),1)</x:f>
        <x:v>3.117992566203029</x:v>
      </x:c>
      <x:c r="AU45" s="9" t="n">
        <x:f>MOD(AV44*16807,2147483647)</x:f>
        <x:v>1058753923</x:v>
      </x:c>
      <x:c r="AV45" s="9" t="n">
        <x:f>MOD(AU45*16807,2147483647)</x:f>
        <x:v>427684819</x:v>
      </x:c>
      <x:c r="AW45" s="17" t="n">
        <x:f>IF('Control Room'!$B$5="Normal",'Control Room'!$B$7+'Control Room'!$D$7*SQRT(-2*LN(MAX(0.000000000001,AU45/2147483647)))*COS(2*PI()*AV45/2147483647),'Control Room'!$B$8+('Control Room'!$D$8-'Control Room'!$B$8)*AU45/2147483647)</x:f>
        <x:v>1033.615140390287</x:v>
      </x:c>
      <x:c r="AX45" s="17" t="n">
        <x:f>IF('Control Room'!$B$5="Normal",'Control Room'!$B$7,('Control Room'!$B$8+'Control Room'!$D$8)/2)+'Control Room'!$B$9*(AX44-IF('Control Room'!$B$5="Normal",'Control Room'!$B$7,('Control Room'!$B$8+'Control Room'!$D$8)/2))+SQRT(1-'Control Room'!$B$9^2)*(AW45-IF('Control Room'!$B$5="Normal",'Control Room'!$B$7,('Control Room'!$B$8+'Control Room'!$D$8)/2))</x:f>
        <x:v>1183.6421857362684</x:v>
      </x:c>
      <x:c r="AY45" s="17" t="n">
        <x:f>IF(AND($A45&gt;='Control Room'!$A$13,$A45&lt;'Control Room'!$A$13+'Control Room'!$B$13,'Process'!BT2=1),1+('Control Room'!$C$13-1)*EXP(-0.5*(($A45-'Control Room'!$A$13-('Control Room'!$B$13-1)/2)/MAX(0.5,'Control Room'!$B$13/4))^2),1)*IF(AND($A45&gt;='Control Room'!$A$14,$A45&lt;'Control Room'!$A$14+'Control Room'!$B$14,'Process'!BT3=1),1+('Control Room'!$C$14-1)*EXP(-0.5*(($A45-'Control Room'!$A$14-('Control Room'!$B$14-1)/2)/MAX(0.5,'Control Room'!$B$14/4))^2),1)*IF(AND($A45&gt;='Control Room'!$A$15,$A45&lt;'Control Room'!$A$15+'Control Room'!$B$15,'Process'!BT4=1),1+('Control Room'!$C$15-1)*EXP(-0.5*(($A45-'Control Room'!$A$15-('Control Room'!$B$15-1)/2)/MAX(0.5,'Control Room'!$B$15/4))^2),1)*IF(AND($A45&gt;='Control Room'!$A$16,$A45&lt;'Control Room'!$A$16+'Control Room'!$B$16,'Process'!BT5=1),1+('Control Room'!$C$16-1)*EXP(-0.5*(($A45-'Control Room'!$A$16-('Control Room'!$B$16-1)/2)/MAX(0.5,'Control Room'!$B$16/4))^2),1)</x:f>
        <x:v>3.117992566203029</x:v>
      </x:c>
      <x:c r="AZ45" s="9" t="n">
        <x:f>MOD(BA44*16807,2147483647)</x:f>
        <x:v>1181502180</x:v>
      </x:c>
      <x:c r="BA45" s="9" t="n">
        <x:f>MOD(AZ45*16807,2147483647)</x:f>
        <x:v>1873339098</x:v>
      </x:c>
      <x:c r="BB45" s="17" t="n">
        <x:f>IF('Control Room'!$B$5="Normal",'Control Room'!$B$7+'Control Room'!$D$7*SQRT(-2*LN(MAX(0.000000000001,AZ45/2147483647)))*COS(2*PI()*BA45/2147483647),'Control Room'!$B$8+('Control Room'!$D$8-'Control Room'!$B$8)*AZ45/2147483647)</x:f>
        <x:v>1068.3971783694262</x:v>
      </x:c>
      <x:c r="BC45" s="17" t="n">
        <x:f>IF('Control Room'!$B$5="Normal",'Control Room'!$B$7,('Control Room'!$B$8+'Control Room'!$D$8)/2)+'Control Room'!$B$9*(BC44-IF('Control Room'!$B$5="Normal",'Control Room'!$B$7,('Control Room'!$B$8+'Control Room'!$D$8)/2))+SQRT(1-'Control Room'!$B$9^2)*(BB45-IF('Control Room'!$B$5="Normal",'Control Room'!$B$7,('Control Room'!$B$8+'Control Room'!$D$8)/2))</x:f>
        <x:v>899.7199775372399</x:v>
      </x:c>
      <x:c r="BD45" s="17" t="n">
        <x:f>IF(AND($A45&gt;='Control Room'!$A$13,$A45&lt;'Control Room'!$A$13+'Control Room'!$B$13,'Process'!BU2=1),1+('Control Room'!$C$13-1)*EXP(-0.5*(($A45-'Control Room'!$A$13-('Control Room'!$B$13-1)/2)/MAX(0.5,'Control Room'!$B$13/4))^2),1)*IF(AND($A45&gt;='Control Room'!$A$14,$A45&lt;'Control Room'!$A$14+'Control Room'!$B$14,'Process'!BU3=1),1+('Control Room'!$C$14-1)*EXP(-0.5*(($A45-'Control Room'!$A$14-('Control Room'!$B$14-1)/2)/MAX(0.5,'Control Room'!$B$14/4))^2),1)*IF(AND($A45&gt;='Control Room'!$A$15,$A45&lt;'Control Room'!$A$15+'Control Room'!$B$15,'Process'!BU4=1),1+('Control Room'!$C$15-1)*EXP(-0.5*(($A45-'Control Room'!$A$15-('Control Room'!$B$15-1)/2)/MAX(0.5,'Control Room'!$B$15/4))^2),1)*IF(AND($A45&gt;='Control Room'!$A$16,$A45&lt;'Control Room'!$A$16+'Control Room'!$B$16,'Process'!BU5=1),1+('Control Room'!$C$16-1)*EXP(-0.5*(($A45-'Control Room'!$A$16-('Control Room'!$B$16-1)/2)/MAX(0.5,'Control Room'!$B$16/4))^2),1)</x:f>
        <x:v>1</x:v>
      </x:c>
      <x:c r="BE45" s="9" t="n">
        <x:f>MOD(BF44*16807,2147483647)</x:f>
        <x:v>1304250437</x:v>
      </x:c>
      <x:c r="BF45" s="9" t="n">
        <x:f>MOD(BE45*16807,2147483647)</x:f>
        <x:v>1171509730</x:v>
      </x:c>
      <x:c r="BG45" s="17" t="n">
        <x:f>IF('Control Room'!$B$5="Normal",'Control Room'!$B$7+'Control Room'!$D$7*SQRT(-2*LN(MAX(0.000000000001,BE45/2147483647)))*COS(2*PI()*BF45/2147483647),'Control Room'!$B$8+('Control Room'!$D$8-'Control Room'!$B$8)*BE45/2147483647)</x:f>
        <x:v>913.7722040217468</x:v>
      </x:c>
      <x:c r="BH45" s="17" t="n">
        <x:f>IF('Control Room'!$B$5="Normal",'Control Room'!$B$7,('Control Room'!$B$8+'Control Room'!$D$8)/2)+'Control Room'!$B$9*(BH44-IF('Control Room'!$B$5="Normal",'Control Room'!$B$7,('Control Room'!$B$8+'Control Room'!$D$8)/2))+SQRT(1-'Control Room'!$B$9^2)*(BG45-IF('Control Room'!$B$5="Normal",'Control Room'!$B$7,('Control Room'!$B$8+'Control Room'!$D$8)/2))</x:f>
        <x:v>1045.3504381486475</x:v>
      </x:c>
      <x:c r="BI45" s="17" t="n">
        <x:f>IF(AND($A45&gt;='Control Room'!$A$13,$A45&lt;'Control Room'!$A$13+'Control Room'!$B$13,'Process'!BV2=1),1+('Control Room'!$C$13-1)*EXP(-0.5*(($A45-'Control Room'!$A$13-('Control Room'!$B$13-1)/2)/MAX(0.5,'Control Room'!$B$13/4))^2),1)*IF(AND($A45&gt;='Control Room'!$A$14,$A45&lt;'Control Room'!$A$14+'Control Room'!$B$14,'Process'!BV3=1),1+('Control Room'!$C$14-1)*EXP(-0.5*(($A45-'Control Room'!$A$14-('Control Room'!$B$14-1)/2)/MAX(0.5,'Control Room'!$B$14/4))^2),1)*IF(AND($A45&gt;='Control Room'!$A$15,$A45&lt;'Control Room'!$A$15+'Control Room'!$B$15,'Process'!BV4=1),1+('Control Room'!$C$15-1)*EXP(-0.5*(($A45-'Control Room'!$A$15-('Control Room'!$B$15-1)/2)/MAX(0.5,'Control Room'!$B$15/4))^2),1)*IF(AND($A45&gt;='Control Room'!$A$16,$A45&lt;'Control Room'!$A$16+'Control Room'!$B$16,'Process'!BV5=1),1+('Control Room'!$C$16-1)*EXP(-0.5*(($A45-'Control Room'!$A$16-('Control Room'!$B$16-1)/2)/MAX(0.5,'Control Room'!$B$16/4))^2),1)</x:f>
        <x:v>3.117992566203029</x:v>
      </x:c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Z45" t="str">
        <x:f>IF('Data'!A45="","",TEXT('Data'!A45,"mm-dd"))</x:f>
        <x:v>12-15</x:v>
      </x:c>
    </x:row>
    <x:row r="46" ht="21" customHeight="1">
      <x:c r="A46" s="15" t="n">
        <x:f>'Control Room'!$B$1+44</x:f>
        <x:v>73035</x:v>
      </x:c>
      <x:c r="B46" s="9" t="n">
        <x:f>MOD(C45*16807,2147483647)</x:f>
        <x:v>432588763</x:v>
      </x:c>
      <x:c r="C46" s="9" t="n">
        <x:f>MOD(B46*16807,2147483647)</x:f>
        <x:v>1287194646</x:v>
      </x:c>
      <x:c r="D46" s="17" t="n">
        <x:f>IF('Control Room'!$B$5="Normal",'Control Room'!$B$7+'Control Room'!$D$7*SQRT(-2*LN(MAX(0.000000000001,B46/2147483647)))*COS(2*PI()*C46/2147483647),'Control Room'!$B$8+('Control Room'!$D$8-'Control Room'!$B$8)*B46/2147483647)</x:f>
        <x:v>869.3006154976001</x:v>
      </x:c>
      <x:c r="E46" s="17" t="n">
        <x:f>IF('Control Room'!$B$5="Normal",'Control Room'!$B$7,('Control Room'!$B$8+'Control Room'!$D$8)/2)+'Control Room'!$B$9*(E45-IF('Control Room'!$B$5="Normal",'Control Room'!$B$7,('Control Room'!$B$8+'Control Room'!$D$8)/2))+SQRT(1-'Control Room'!$B$9^2)*(D46-IF('Control Room'!$B$5="Normal",'Control Room'!$B$7,('Control Room'!$B$8+'Control Room'!$D$8)/2))</x:f>
        <x:v>950.5284699289334</x:v>
      </x:c>
      <x:c r="F46" s="17" t="n">
        <x:f>IF(AND($A46&gt;='Control Room'!$A$13,$A46&lt;'Control Room'!$A$13+'Control Room'!$B$13,'Process'!BK2=1),1+('Control Room'!$C$13-1)*EXP(-0.5*(($A46-'Control Room'!$A$13-('Control Room'!$B$13-1)/2)/MAX(0.5,'Control Room'!$B$13/4))^2),1)*IF(AND($A46&gt;='Control Room'!$A$14,$A46&lt;'Control Room'!$A$14+'Control Room'!$B$14,'Process'!BK3=1),1+('Control Room'!$C$14-1)*EXP(-0.5*(($A46-'Control Room'!$A$14-('Control Room'!$B$14-1)/2)/MAX(0.5,'Control Room'!$B$14/4))^2),1)*IF(AND($A46&gt;='Control Room'!$A$15,$A46&lt;'Control Room'!$A$15+'Control Room'!$B$15,'Process'!BK4=1),1+('Control Room'!$C$15-1)*EXP(-0.5*(($A46-'Control Room'!$A$15-('Control Room'!$B$15-1)/2)/MAX(0.5,'Control Room'!$B$15/4))^2),1)*IF(AND($A46&gt;='Control Room'!$A$16,$A46&lt;'Control Room'!$A$16+'Control Room'!$B$16,'Process'!BK5=1),1+('Control Room'!$C$16-1)*EXP(-0.5*(($A46-'Control Room'!$A$16-('Control Room'!$B$16-1)/2)/MAX(0.5,'Control Room'!$B$16/4))^2),1)</x:f>
        <x:v>1.7791659216600393</x:v>
      </x:c>
      <x:c r="G46" s="9" t="n">
        <x:f>MOD(H45*16807,2147483647)</x:f>
        <x:v>914073758</x:v>
      </x:c>
      <x:c r="H46" s="9" t="n">
        <x:f>MOD(G46*16807,2147483647)</x:f>
        <x:v>1887123715</x:v>
      </x:c>
      <x:c r="I46" s="17" t="n">
        <x:f>IF('Control Room'!$B$5="Normal",'Control Room'!$B$7+'Control Room'!$D$7*SQRT(-2*LN(MAX(0.000000000001,G46/2147483647)))*COS(2*PI()*H46/2147483647),'Control Room'!$B$8+('Control Room'!$D$8-'Control Room'!$B$8)*G46/2147483647)</x:f>
        <x:v>1085.1196594455635</x:v>
      </x:c>
      <x:c r="J46" s="17" t="n">
        <x:f>IF('Control Room'!$B$5="Normal",'Control Room'!$B$7,('Control Room'!$B$8+'Control Room'!$D$8)/2)+'Control Room'!$B$9*(J45-IF('Control Room'!$B$5="Normal",'Control Room'!$B$7,('Control Room'!$B$8+'Control Room'!$D$8)/2))+SQRT(1-'Control Room'!$B$9^2)*(I46-IF('Control Room'!$B$5="Normal",'Control Room'!$B$7,('Control Room'!$B$8+'Control Room'!$D$8)/2))</x:f>
        <x:v>1043.0415684412405</x:v>
      </x:c>
      <x:c r="K46" s="17" t="n">
        <x:f>IF(AND($A46&gt;='Control Room'!$A$13,$A46&lt;'Control Room'!$A$13+'Control Room'!$B$13,'Process'!BL2=1),1+('Control Room'!$C$13-1)*EXP(-0.5*(($A46-'Control Room'!$A$13-('Control Room'!$B$13-1)/2)/MAX(0.5,'Control Room'!$B$13/4))^2),1)*IF(AND($A46&gt;='Control Room'!$A$14,$A46&lt;'Control Room'!$A$14+'Control Room'!$B$14,'Process'!BL3=1),1+('Control Room'!$C$14-1)*EXP(-0.5*(($A46-'Control Room'!$A$14-('Control Room'!$B$14-1)/2)/MAX(0.5,'Control Room'!$B$14/4))^2),1)*IF(AND($A46&gt;='Control Room'!$A$15,$A46&lt;'Control Room'!$A$15+'Control Room'!$B$15,'Process'!BL4=1),1+('Control Room'!$C$15-1)*EXP(-0.5*(($A46-'Control Room'!$A$15-('Control Room'!$B$15-1)/2)/MAX(0.5,'Control Room'!$B$15/4))^2),1)*IF(AND($A46&gt;='Control Room'!$A$16,$A46&lt;'Control Room'!$A$16+'Control Room'!$B$16,'Process'!BL5=1),1+('Control Room'!$C$16-1)*EXP(-0.5*(($A46-'Control Room'!$A$16-('Control Room'!$B$16-1)/2)/MAX(0.5,'Control Room'!$B$16/4))^2),1)</x:f>
        <x:v>1.7791659216600393</x:v>
      </x:c>
      <x:c r="L46" s="9" t="n">
        <x:f>MOD(M45*16807,2147483647)</x:f>
        <x:v>1395558753</x:v>
      </x:c>
      <x:c r="M46" s="9" t="n">
        <x:f>MOD(L46*16807,2147483647)</x:f>
        <x:v>339569137</x:v>
      </x:c>
      <x:c r="N46" s="17" t="n">
        <x:f>IF('Control Room'!$B$5="Normal",'Control Room'!$B$7+'Control Room'!$D$7*SQRT(-2*LN(MAX(0.000000000001,L46/2147483647)))*COS(2*PI()*M46/2147483647),'Control Room'!$B$8+('Control Room'!$D$8-'Control Room'!$B$8)*L46/2147483647)</x:f>
        <x:v>1045.6019430142355</x:v>
      </x:c>
      <x:c r="O46" s="17" t="n">
        <x:f>IF('Control Room'!$B$5="Normal",'Control Room'!$B$7,('Control Room'!$B$8+'Control Room'!$D$8)/2)+'Control Room'!$B$9*(O45-IF('Control Room'!$B$5="Normal",'Control Room'!$B$7,('Control Room'!$B$8+'Control Room'!$D$8)/2))+SQRT(1-'Control Room'!$B$9^2)*(N46-IF('Control Room'!$B$5="Normal",'Control Room'!$B$7,('Control Room'!$B$8+'Control Room'!$D$8)/2))</x:f>
        <x:v>901.663832400908</x:v>
      </x:c>
      <x:c r="P46" s="17" t="n">
        <x:f>IF(AND($A46&gt;='Control Room'!$A$13,$A46&lt;'Control Room'!$A$13+'Control Room'!$B$13,'Process'!BM2=1),1+('Control Room'!$C$13-1)*EXP(-0.5*(($A46-'Control Room'!$A$13-('Control Room'!$B$13-1)/2)/MAX(0.5,'Control Room'!$B$13/4))^2),1)*IF(AND($A46&gt;='Control Room'!$A$14,$A46&lt;'Control Room'!$A$14+'Control Room'!$B$14,'Process'!BM3=1),1+('Control Room'!$C$14-1)*EXP(-0.5*(($A46-'Control Room'!$A$14-('Control Room'!$B$14-1)/2)/MAX(0.5,'Control Room'!$B$14/4))^2),1)*IF(AND($A46&gt;='Control Room'!$A$15,$A46&lt;'Control Room'!$A$15+'Control Room'!$B$15,'Process'!BM4=1),1+('Control Room'!$C$15-1)*EXP(-0.5*(($A46-'Control Room'!$A$15-('Control Room'!$B$15-1)/2)/MAX(0.5,'Control Room'!$B$15/4))^2),1)*IF(AND($A46&gt;='Control Room'!$A$16,$A46&lt;'Control Room'!$A$16+'Control Room'!$B$16,'Process'!BM5=1),1+('Control Room'!$C$16-1)*EXP(-0.5*(($A46-'Control Room'!$A$16-('Control Room'!$B$16-1)/2)/MAX(0.5,'Control Room'!$B$16/4))^2),1)</x:f>
        <x:v>1.7791659216600393</x:v>
      </x:c>
      <x:c r="Q46" s="9" t="n">
        <x:f>MOD(R45*16807,2147483647)</x:f>
        <x:v>1877043748</x:v>
      </x:c>
      <x:c r="R46" s="9" t="n">
        <x:f>MOD(Q46*16807,2147483647)</x:f>
        <x:v>939498206</x:v>
      </x:c>
      <x:c r="S46" s="17" t="n">
        <x:f>IF('Control Room'!$B$5="Normal",'Control Room'!$B$7+'Control Room'!$D$7*SQRT(-2*LN(MAX(0.000000000001,Q46/2147483647)))*COS(2*PI()*R46/2147483647),'Control Room'!$B$8+('Control Room'!$D$8-'Control Room'!$B$8)*Q46/2147483647)</x:f>
        <x:v>956.860048729211</x:v>
      </x:c>
      <x:c r="T46" s="17" t="n">
        <x:f>IF('Control Room'!$B$5="Normal",'Control Room'!$B$7,('Control Room'!$B$8+'Control Room'!$D$8)/2)+'Control Room'!$B$9*(T45-IF('Control Room'!$B$5="Normal",'Control Room'!$B$7,('Control Room'!$B$8+'Control Room'!$D$8)/2))+SQRT(1-'Control Room'!$B$9^2)*(S46-IF('Control Room'!$B$5="Normal",'Control Room'!$B$7,('Control Room'!$B$8+'Control Room'!$D$8)/2))</x:f>
        <x:v>1040.317667237568</x:v>
      </x:c>
      <x:c r="U46" s="17" t="n">
        <x:f>IF(AND($A46&gt;='Control Room'!$A$13,$A46&lt;'Control Room'!$A$13+'Control Room'!$B$13,'Process'!BN2=1),1+('Control Room'!$C$13-1)*EXP(-0.5*(($A46-'Control Room'!$A$13-('Control Room'!$B$13-1)/2)/MAX(0.5,'Control Room'!$B$13/4))^2),1)*IF(AND($A46&gt;='Control Room'!$A$14,$A46&lt;'Control Room'!$A$14+'Control Room'!$B$14,'Process'!BN3=1),1+('Control Room'!$C$14-1)*EXP(-0.5*(($A46-'Control Room'!$A$14-('Control Room'!$B$14-1)/2)/MAX(0.5,'Control Room'!$B$14/4))^2),1)*IF(AND($A46&gt;='Control Room'!$A$15,$A46&lt;'Control Room'!$A$15+'Control Room'!$B$15,'Process'!BN4=1),1+('Control Room'!$C$15-1)*EXP(-0.5*(($A46-'Control Room'!$A$15-('Control Room'!$B$15-1)/2)/MAX(0.5,'Control Room'!$B$15/4))^2),1)*IF(AND($A46&gt;='Control Room'!$A$16,$A46&lt;'Control Room'!$A$16+'Control Room'!$B$16,'Process'!BN5=1),1+('Control Room'!$C$16-1)*EXP(-0.5*(($A46-'Control Room'!$A$16-('Control Room'!$B$16-1)/2)/MAX(0.5,'Control Room'!$B$16/4))^2),1)</x:f>
        <x:v>1</x:v>
      </x:c>
      <x:c r="V46" s="9" t="n">
        <x:f>MOD(W45*16807,2147483647)</x:f>
        <x:v>211045096</x:v>
      </x:c>
      <x:c r="W46" s="9" t="n">
        <x:f>MOD(V46*16807,2147483647)</x:f>
        <x:v>1539427275</x:v>
      </x:c>
      <x:c r="X46" s="17" t="n">
        <x:f>IF('Control Room'!$B$5="Normal",'Control Room'!$B$7+'Control Room'!$D$7*SQRT(-2*LN(MAX(0.000000000001,V46/2147483647)))*COS(2*PI()*W46/2147483647),'Control Room'!$B$8+('Control Room'!$D$8-'Control Room'!$B$8)*V46/2147483647)</x:f>
        <x:v>959.9136517195395</x:v>
      </x:c>
      <x:c r="Y46" s="17" t="n">
        <x:f>IF('Control Room'!$B$5="Normal",'Control Room'!$B$7,('Control Room'!$B$8+'Control Room'!$D$8)/2)+'Control Room'!$B$9*(Y45-IF('Control Room'!$B$5="Normal",'Control Room'!$B$7,('Control Room'!$B$8+'Control Room'!$D$8)/2))+SQRT(1-'Control Room'!$B$9^2)*(X46-IF('Control Room'!$B$5="Normal",'Control Room'!$B$7,('Control Room'!$B$8+'Control Room'!$D$8)/2))</x:f>
        <x:v>1049.6133096123203</x:v>
      </x:c>
      <x:c r="Z46" s="17" t="n">
        <x:f>IF(AND($A46&gt;='Control Room'!$A$13,$A46&lt;'Control Room'!$A$13+'Control Room'!$B$13,'Process'!BO2=1),1+('Control Room'!$C$13-1)*EXP(-0.5*(($A46-'Control Room'!$A$13-('Control Room'!$B$13-1)/2)/MAX(0.5,'Control Room'!$B$13/4))^2),1)*IF(AND($A46&gt;='Control Room'!$A$14,$A46&lt;'Control Room'!$A$14+'Control Room'!$B$14,'Process'!BO3=1),1+('Control Room'!$C$14-1)*EXP(-0.5*(($A46-'Control Room'!$A$14-('Control Room'!$B$14-1)/2)/MAX(0.5,'Control Room'!$B$14/4))^2),1)*IF(AND($A46&gt;='Control Room'!$A$15,$A46&lt;'Control Room'!$A$15+'Control Room'!$B$15,'Process'!BO4=1),1+('Control Room'!$C$15-1)*EXP(-0.5*(($A46-'Control Room'!$A$15-('Control Room'!$B$15-1)/2)/MAX(0.5,'Control Room'!$B$15/4))^2),1)*IF(AND($A46&gt;='Control Room'!$A$16,$A46&lt;'Control Room'!$A$16+'Control Room'!$B$16,'Process'!BO5=1),1+('Control Room'!$C$16-1)*EXP(-0.5*(($A46-'Control Room'!$A$16-('Control Room'!$B$16-1)/2)/MAX(0.5,'Control Room'!$B$16/4))^2),1)</x:f>
        <x:v>1.7791659216600393</x:v>
      </x:c>
      <x:c r="AA46" s="9" t="n">
        <x:f>MOD(AB45*16807,2147483647)</x:f>
        <x:v>692530091</x:v>
      </x:c>
      <x:c r="AB46" s="9" t="n">
        <x:f>MOD(AA46*16807,2147483647)</x:f>
        <x:v>2139356344</x:v>
      </x:c>
      <x:c r="AC46" s="17" t="n">
        <x:f>IF('Control Room'!$B$5="Normal",'Control Room'!$B$7+'Control Room'!$D$7*SQRT(-2*LN(MAX(0.000000000001,AA46/2147483647)))*COS(2*PI()*AB46/2147483647),'Control Room'!$B$8+('Control Room'!$D$8-'Control Room'!$B$8)*AA46/2147483647)</x:f>
        <x:v>1135.363144677206</x:v>
      </x:c>
      <x:c r="AD46" s="17" t="n">
        <x:f>IF('Control Room'!$B$5="Normal",'Control Room'!$B$7,('Control Room'!$B$8+'Control Room'!$D$8)/2)+'Control Room'!$B$9*(AD45-IF('Control Room'!$B$5="Normal",'Control Room'!$B$7,('Control Room'!$B$8+'Control Room'!$D$8)/2))+SQRT(1-'Control Room'!$B$9^2)*(AC46-IF('Control Room'!$B$5="Normal",'Control Room'!$B$7,('Control Room'!$B$8+'Control Room'!$D$8)/2))</x:f>
        <x:v>1023.0470676968318</x:v>
      </x:c>
      <x:c r="AE46" s="17" t="n">
        <x:f>IF(AND($A46&gt;='Control Room'!$A$13,$A46&lt;'Control Room'!$A$13+'Control Room'!$B$13,'Process'!BP2=1),1+('Control Room'!$C$13-1)*EXP(-0.5*(($A46-'Control Room'!$A$13-('Control Room'!$B$13-1)/2)/MAX(0.5,'Control Room'!$B$13/4))^2),1)*IF(AND($A46&gt;='Control Room'!$A$14,$A46&lt;'Control Room'!$A$14+'Control Room'!$B$14,'Process'!BP3=1),1+('Control Room'!$C$14-1)*EXP(-0.5*(($A46-'Control Room'!$A$14-('Control Room'!$B$14-1)/2)/MAX(0.5,'Control Room'!$B$14/4))^2),1)*IF(AND($A46&gt;='Control Room'!$A$15,$A46&lt;'Control Room'!$A$15+'Control Room'!$B$15,'Process'!BP4=1),1+('Control Room'!$C$15-1)*EXP(-0.5*(($A46-'Control Room'!$A$15-('Control Room'!$B$15-1)/2)/MAX(0.5,'Control Room'!$B$15/4))^2),1)*IF(AND($A46&gt;='Control Room'!$A$16,$A46&lt;'Control Room'!$A$16+'Control Room'!$B$16,'Process'!BP5=1),1+('Control Room'!$C$16-1)*EXP(-0.5*(($A46-'Control Room'!$A$16-('Control Room'!$B$16-1)/2)/MAX(0.5,'Control Room'!$B$16/4))^2),1)</x:f>
        <x:v>1.7791659216600393</x:v>
      </x:c>
      <x:c r="AF46" s="9" t="n">
        <x:f>MOD(AG45*16807,2147483647)</x:f>
        <x:v>1174015086</x:v>
      </x:c>
      <x:c r="AG46" s="9" t="n">
        <x:f>MOD(AF46*16807,2147483647)</x:f>
        <x:v>591801766</x:v>
      </x:c>
      <x:c r="AH46" s="17" t="n">
        <x:f>IF('Control Room'!$B$5="Normal",'Control Room'!$B$7+'Control Room'!$D$7*SQRT(-2*LN(MAX(0.000000000001,AF46/2147483647)))*COS(2*PI()*AG46/2147483647),'Control Room'!$B$8+('Control Room'!$D$8-'Control Room'!$B$8)*AF46/2147483647)</x:f>
        <x:v>984.1721001534628</x:v>
      </x:c>
      <x:c r="AI46" s="17" t="n">
        <x:f>IF('Control Room'!$B$5="Normal",'Control Room'!$B$7,('Control Room'!$B$8+'Control Room'!$D$8)/2)+'Control Room'!$B$9*(AI45-IF('Control Room'!$B$5="Normal",'Control Room'!$B$7,('Control Room'!$B$8+'Control Room'!$D$8)/2))+SQRT(1-'Control Room'!$B$9^2)*(AH46-IF('Control Room'!$B$5="Normal",'Control Room'!$B$7,('Control Room'!$B$8+'Control Room'!$D$8)/2))</x:f>
        <x:v>939.4166331557409</x:v>
      </x:c>
      <x:c r="AJ46" s="17" t="n">
        <x:f>IF(AND($A46&gt;='Control Room'!$A$13,$A46&lt;'Control Room'!$A$13+'Control Room'!$B$13,'Process'!BQ2=1),1+('Control Room'!$C$13-1)*EXP(-0.5*(($A46-'Control Room'!$A$13-('Control Room'!$B$13-1)/2)/MAX(0.5,'Control Room'!$B$13/4))^2),1)*IF(AND($A46&gt;='Control Room'!$A$14,$A46&lt;'Control Room'!$A$14+'Control Room'!$B$14,'Process'!BQ3=1),1+('Control Room'!$C$14-1)*EXP(-0.5*(($A46-'Control Room'!$A$14-('Control Room'!$B$14-1)/2)/MAX(0.5,'Control Room'!$B$14/4))^2),1)*IF(AND($A46&gt;='Control Room'!$A$15,$A46&lt;'Control Room'!$A$15+'Control Room'!$B$15,'Process'!BQ4=1),1+('Control Room'!$C$15-1)*EXP(-0.5*(($A46-'Control Room'!$A$15-('Control Room'!$B$15-1)/2)/MAX(0.5,'Control Room'!$B$15/4))^2),1)*IF(AND($A46&gt;='Control Room'!$A$16,$A46&lt;'Control Room'!$A$16+'Control Room'!$B$16,'Process'!BQ5=1),1+('Control Room'!$C$16-1)*EXP(-0.5*(($A46-'Control Room'!$A$16-('Control Room'!$B$16-1)/2)/MAX(0.5,'Control Room'!$B$16/4))^2),1)</x:f>
        <x:v>1</x:v>
      </x:c>
      <x:c r="AK46" s="9" t="n">
        <x:f>MOD(AL45*16807,2147483647)</x:f>
        <x:v>1655500081</x:v>
      </x:c>
      <x:c r="AL46" s="9" t="n">
        <x:f>MOD(AK46*16807,2147483647)</x:f>
        <x:v>1191730835</x:v>
      </x:c>
      <x:c r="AM46" s="17" t="n">
        <x:f>IF('Control Room'!$B$5="Normal",'Control Room'!$B$7+'Control Room'!$D$7*SQRT(-2*LN(MAX(0.000000000001,AK46/2147483647)))*COS(2*PI()*AL46/2147483647),'Control Room'!$B$8+('Control Room'!$D$8-'Control Room'!$B$8)*AK46/2147483647)</x:f>
        <x:v>938.9062925258087</x:v>
      </x:c>
      <x:c r="AN46" s="17" t="n">
        <x:f>IF('Control Room'!$B$5="Normal",'Control Room'!$B$7,('Control Room'!$B$8+'Control Room'!$D$8)/2)+'Control Room'!$B$9*(AN45-IF('Control Room'!$B$5="Normal",'Control Room'!$B$7,('Control Room'!$B$8+'Control Room'!$D$8)/2))+SQRT(1-'Control Room'!$B$9^2)*(AM46-IF('Control Room'!$B$5="Normal",'Control Room'!$B$7,('Control Room'!$B$8+'Control Room'!$D$8)/2))</x:f>
        <x:v>995.369239585315</x:v>
      </x:c>
      <x:c r="AO46" s="17" t="n">
        <x:f>IF(AND($A46&gt;='Control Room'!$A$13,$A46&lt;'Control Room'!$A$13+'Control Room'!$B$13,'Process'!BR2=1),1+('Control Room'!$C$13-1)*EXP(-0.5*(($A46-'Control Room'!$A$13-('Control Room'!$B$13-1)/2)/MAX(0.5,'Control Room'!$B$13/4))^2),1)*IF(AND($A46&gt;='Control Room'!$A$14,$A46&lt;'Control Room'!$A$14+'Control Room'!$B$14,'Process'!BR3=1),1+('Control Room'!$C$14-1)*EXP(-0.5*(($A46-'Control Room'!$A$14-('Control Room'!$B$14-1)/2)/MAX(0.5,'Control Room'!$B$14/4))^2),1)*IF(AND($A46&gt;='Control Room'!$A$15,$A46&lt;'Control Room'!$A$15+'Control Room'!$B$15,'Process'!BR4=1),1+('Control Room'!$C$15-1)*EXP(-0.5*(($A46-'Control Room'!$A$15-('Control Room'!$B$15-1)/2)/MAX(0.5,'Control Room'!$B$15/4))^2),1)*IF(AND($A46&gt;='Control Room'!$A$16,$A46&lt;'Control Room'!$A$16+'Control Room'!$B$16,'Process'!BR5=1),1+('Control Room'!$C$16-1)*EXP(-0.5*(($A46-'Control Room'!$A$16-('Control Room'!$B$16-1)/2)/MAX(0.5,'Control Room'!$B$16/4))^2),1)</x:f>
        <x:v>1.7791659216600393</x:v>
      </x:c>
      <x:c r="AP46" s="9" t="n">
        <x:f>MOD(AQ45*16807,2147483647)</x:f>
        <x:v>2136985076</x:v>
      </x:c>
      <x:c r="AQ46" s="9" t="n">
        <x:f>MOD(AP46*16807,2147483647)</x:f>
        <x:v>1791659904</x:v>
      </x:c>
      <x:c r="AR46" s="17" t="n">
        <x:f>IF('Control Room'!$B$5="Normal",'Control Room'!$B$7+'Control Room'!$D$7*SQRT(-2*LN(MAX(0.000000000001,AP46/2147483647)))*COS(2*PI()*AQ46/2147483647),'Control Room'!$B$8+('Control Room'!$D$8-'Control Room'!$B$8)*AP46/2147483647)</x:f>
        <x:v>1004.5022287057926</x:v>
      </x:c>
      <x:c r="AS46" s="17" t="n">
        <x:f>IF('Control Room'!$B$5="Normal",'Control Room'!$B$7,('Control Room'!$B$8+'Control Room'!$D$8)/2)+'Control Room'!$B$9*(AS45-IF('Control Room'!$B$5="Normal",'Control Room'!$B$7,('Control Room'!$B$8+'Control Room'!$D$8)/2))+SQRT(1-'Control Room'!$B$9^2)*(AR46-IF('Control Room'!$B$5="Normal",'Control Room'!$B$7,('Control Room'!$B$8+'Control Room'!$D$8)/2))</x:f>
        <x:v>937.829063515132</x:v>
      </x:c>
      <x:c r="AT46" s="17" t="n">
        <x:f>IF(AND($A46&gt;='Control Room'!$A$13,$A46&lt;'Control Room'!$A$13+'Control Room'!$B$13,'Process'!BS2=1),1+('Control Room'!$C$13-1)*EXP(-0.5*(($A46-'Control Room'!$A$13-('Control Room'!$B$13-1)/2)/MAX(0.5,'Control Room'!$B$13/4))^2),1)*IF(AND($A46&gt;='Control Room'!$A$14,$A46&lt;'Control Room'!$A$14+'Control Room'!$B$14,'Process'!BS3=1),1+('Control Room'!$C$14-1)*EXP(-0.5*(($A46-'Control Room'!$A$14-('Control Room'!$B$14-1)/2)/MAX(0.5,'Control Room'!$B$14/4))^2),1)*IF(AND($A46&gt;='Control Room'!$A$15,$A46&lt;'Control Room'!$A$15+'Control Room'!$B$15,'Process'!BS4=1),1+('Control Room'!$C$15-1)*EXP(-0.5*(($A46-'Control Room'!$A$15-('Control Room'!$B$15-1)/2)/MAX(0.5,'Control Room'!$B$15/4))^2),1)*IF(AND($A46&gt;='Control Room'!$A$16,$A46&lt;'Control Room'!$A$16+'Control Room'!$B$16,'Process'!BS5=1),1+('Control Room'!$C$16-1)*EXP(-0.5*(($A46-'Control Room'!$A$16-('Control Room'!$B$16-1)/2)/MAX(0.5,'Control Room'!$B$16/4))^2),1)</x:f>
        <x:v>1.7791659216600393</x:v>
      </x:c>
      <x:c r="AU46" s="9" t="n">
        <x:f>MOD(AV45*16807,2147483647)</x:f>
        <x:v>470986424</x:v>
      </x:c>
      <x:c r="AV46" s="9" t="n">
        <x:f>MOD(AU46*16807,2147483647)</x:f>
        <x:v>244105326</x:v>
      </x:c>
      <x:c r="AW46" s="17" t="n">
        <x:f>IF('Control Room'!$B$5="Normal",'Control Room'!$B$7+'Control Room'!$D$7*SQRT(-2*LN(MAX(0.000000000001,AU46/2147483647)))*COS(2*PI()*AV46/2147483647),'Control Room'!$B$8+('Control Room'!$D$8-'Control Room'!$B$8)*AU46/2147483647)</x:f>
        <x:v>1118.4621465255004</x:v>
      </x:c>
      <x:c r="AX46" s="17" t="n">
        <x:f>IF('Control Room'!$B$5="Normal",'Control Room'!$B$7,('Control Room'!$B$8+'Control Room'!$D$8)/2)+'Control Room'!$B$9*(AX45-IF('Control Room'!$B$5="Normal",'Control Room'!$B$7,('Control Room'!$B$8+'Control Room'!$D$8)/2))+SQRT(1-'Control Room'!$B$9^2)*(AW46-IF('Control Room'!$B$5="Normal",'Control Room'!$B$7,('Control Room'!$B$8+'Control Room'!$D$8)/2))</x:f>
        <x:v>1217.3720893409659</x:v>
      </x:c>
      <x:c r="AY46" s="17" t="n">
        <x:f>IF(AND($A46&gt;='Control Room'!$A$13,$A46&lt;'Control Room'!$A$13+'Control Room'!$B$13,'Process'!BT2=1),1+('Control Room'!$C$13-1)*EXP(-0.5*(($A46-'Control Room'!$A$13-('Control Room'!$B$13-1)/2)/MAX(0.5,'Control Room'!$B$13/4))^2),1)*IF(AND($A46&gt;='Control Room'!$A$14,$A46&lt;'Control Room'!$A$14+'Control Room'!$B$14,'Process'!BT3=1),1+('Control Room'!$C$14-1)*EXP(-0.5*(($A46-'Control Room'!$A$14-('Control Room'!$B$14-1)/2)/MAX(0.5,'Control Room'!$B$14/4))^2),1)*IF(AND($A46&gt;='Control Room'!$A$15,$A46&lt;'Control Room'!$A$15+'Control Room'!$B$15,'Process'!BT4=1),1+('Control Room'!$C$15-1)*EXP(-0.5*(($A46-'Control Room'!$A$15-('Control Room'!$B$15-1)/2)/MAX(0.5,'Control Room'!$B$15/4))^2),1)*IF(AND($A46&gt;='Control Room'!$A$16,$A46&lt;'Control Room'!$A$16+'Control Room'!$B$16,'Process'!BT5=1),1+('Control Room'!$C$16-1)*EXP(-0.5*(($A46-'Control Room'!$A$16-('Control Room'!$B$16-1)/2)/MAX(0.5,'Control Room'!$B$16/4))^2),1)</x:f>
        <x:v>1.7791659216600393</x:v>
      </x:c>
      <x:c r="AZ46" s="9" t="n">
        <x:f>MOD(BA45*16807,2147483647)</x:f>
        <x:v>952471419</x:v>
      </x:c>
      <x:c r="BA46" s="9" t="n">
        <x:f>MOD(AZ46*16807,2147483647)</x:f>
        <x:v>844034395</x:v>
      </x:c>
      <x:c r="BB46" s="17" t="n">
        <x:f>IF('Control Room'!$B$5="Normal",'Control Room'!$B$7+'Control Room'!$D$7*SQRT(-2*LN(MAX(0.000000000001,AZ46/2147483647)))*COS(2*PI()*BA46/2147483647),'Control Room'!$B$8+('Control Room'!$D$8-'Control Room'!$B$8)*AZ46/2147483647)</x:f>
        <x:v>910.1954142659248</x:v>
      </x:c>
      <x:c r="BC46" s="17" t="n">
        <x:f>IF('Control Room'!$B$5="Normal",'Control Room'!$B$7,('Control Room'!$B$8+'Control Room'!$D$8)/2)+'Control Room'!$B$9*(BC45-IF('Control Room'!$B$5="Normal",'Control Room'!$B$7,('Control Room'!$B$8+'Control Room'!$D$8)/2))+SQRT(1-'Control Room'!$B$9^2)*(BB46-IF('Control Room'!$B$5="Normal",'Control Room'!$B$7,('Control Room'!$B$8+'Control Room'!$D$8)/2))</x:f>
        <x:v>865.5837124736007</x:v>
      </x:c>
      <x:c r="BD46" s="17" t="n">
        <x:f>IF(AND($A46&gt;='Control Room'!$A$13,$A46&lt;'Control Room'!$A$13+'Control Room'!$B$13,'Process'!BU2=1),1+('Control Room'!$C$13-1)*EXP(-0.5*(($A46-'Control Room'!$A$13-('Control Room'!$B$13-1)/2)/MAX(0.5,'Control Room'!$B$13/4))^2),1)*IF(AND($A46&gt;='Control Room'!$A$14,$A46&lt;'Control Room'!$A$14+'Control Room'!$B$14,'Process'!BU3=1),1+('Control Room'!$C$14-1)*EXP(-0.5*(($A46-'Control Room'!$A$14-('Control Room'!$B$14-1)/2)/MAX(0.5,'Control Room'!$B$14/4))^2),1)*IF(AND($A46&gt;='Control Room'!$A$15,$A46&lt;'Control Room'!$A$15+'Control Room'!$B$15,'Process'!BU4=1),1+('Control Room'!$C$15-1)*EXP(-0.5*(($A46-'Control Room'!$A$15-('Control Room'!$B$15-1)/2)/MAX(0.5,'Control Room'!$B$15/4))^2),1)*IF(AND($A46&gt;='Control Room'!$A$16,$A46&lt;'Control Room'!$A$16+'Control Room'!$B$16,'Process'!BU5=1),1+('Control Room'!$C$16-1)*EXP(-0.5*(($A46-'Control Room'!$A$16-('Control Room'!$B$16-1)/2)/MAX(0.5,'Control Room'!$B$16/4))^2),1)</x:f>
        <x:v>1</x:v>
      </x:c>
      <x:c r="BE46" s="9" t="n">
        <x:f>MOD(BF45*16807,2147483647)</x:f>
        <x:v>1433956414</x:v>
      </x:c>
      <x:c r="BF46" s="9" t="n">
        <x:f>MOD(BE46*16807,2147483647)</x:f>
        <x:v>1443963464</x:v>
      </x:c>
      <x:c r="BG46" s="17" t="n">
        <x:f>IF('Control Room'!$B$5="Normal",'Control Room'!$B$7+'Control Room'!$D$7*SQRT(-2*LN(MAX(0.000000000001,BE46/2147483647)))*COS(2*PI()*BF46/2147483647),'Control Room'!$B$8+('Control Room'!$D$8-'Control Room'!$B$8)*BE46/2147483647)</x:f>
        <x:v>962.1052375299145</x:v>
      </x:c>
      <x:c r="BH46" s="17" t="n">
        <x:f>IF('Control Room'!$B$5="Normal",'Control Room'!$B$7,('Control Room'!$B$8+'Control Room'!$D$8)/2)+'Control Room'!$B$9*(BH45-IF('Control Room'!$B$5="Normal",'Control Room'!$B$7,('Control Room'!$B$8+'Control Room'!$D$8)/2))+SQRT(1-'Control Room'!$B$9^2)*(BG46-IF('Control Room'!$B$5="Normal",'Control Room'!$B$7,('Control Room'!$B$8+'Control Room'!$D$8)/2))</x:f>
        <x:v>1011.6595757185713</x:v>
      </x:c>
      <x:c r="BI46" s="17" t="n">
        <x:f>IF(AND($A46&gt;='Control Room'!$A$13,$A46&lt;'Control Room'!$A$13+'Control Room'!$B$13,'Process'!BV2=1),1+('Control Room'!$C$13-1)*EXP(-0.5*(($A46-'Control Room'!$A$13-('Control Room'!$B$13-1)/2)/MAX(0.5,'Control Room'!$B$13/4))^2),1)*IF(AND($A46&gt;='Control Room'!$A$14,$A46&lt;'Control Room'!$A$14+'Control Room'!$B$14,'Process'!BV3=1),1+('Control Room'!$C$14-1)*EXP(-0.5*(($A46-'Control Room'!$A$14-('Control Room'!$B$14-1)/2)/MAX(0.5,'Control Room'!$B$14/4))^2),1)*IF(AND($A46&gt;='Control Room'!$A$15,$A46&lt;'Control Room'!$A$15+'Control Room'!$B$15,'Process'!BV4=1),1+('Control Room'!$C$15-1)*EXP(-0.5*(($A46-'Control Room'!$A$15-('Control Room'!$B$15-1)/2)/MAX(0.5,'Control Room'!$B$15/4))^2),1)*IF(AND($A46&gt;='Control Room'!$A$16,$A46&lt;'Control Room'!$A$16+'Control Room'!$B$16,'Process'!BV5=1),1+('Control Room'!$C$16-1)*EXP(-0.5*(($A46-'Control Room'!$A$16-('Control Room'!$B$16-1)/2)/MAX(0.5,'Control Room'!$B$16/4))^2),1)</x:f>
        <x:v>1.7791659216600393</x:v>
      </x:c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Z46" t="str">
        <x:f>IF('Data'!A46="","",TEXT('Data'!A46,"mm-dd"))</x:f>
        <x:v>12-16</x:v>
      </x:c>
    </x:row>
    <x:row r="47" ht="21" customHeight="1">
      <x:c r="A47" s="15" t="n">
        <x:f>'Control Room'!$B$1+45</x:f>
        <x:v>73036</x:v>
      </x:c>
      <x:c r="B47" s="9" t="n">
        <x:f>MOD(C46*16807,2147483647)</x:f>
        <x:v>130155444</x:v>
      </x:c>
      <x:c r="C47" s="9" t="n">
        <x:f>MOD(B47*16807,2147483647)</x:f>
        <x:v>1384194662</x:v>
      </x:c>
      <x:c r="D47" s="17" t="n">
        <x:f>IF('Control Room'!$B$5="Normal",'Control Room'!$B$7+'Control Room'!$D$7*SQRT(-2*LN(MAX(0.000000000001,B47/2147483647)))*COS(2*PI()*C47/2147483647),'Control Room'!$B$8+('Control Room'!$D$8-'Control Room'!$B$8)*B47/2147483647)</x:f>
        <x:v>868.9274952070332</x:v>
      </x:c>
      <x:c r="E47" s="17" t="n">
        <x:f>IF('Control Room'!$B$5="Normal",'Control Room'!$B$7,('Control Room'!$B$8+'Control Room'!$D$8)/2)+'Control Room'!$B$9*(E46-IF('Control Room'!$B$5="Normal",'Control Room'!$B$7,('Control Room'!$B$8+'Control Room'!$D$8)/2))+SQRT(1-'Control Room'!$B$9^2)*(D47-IF('Control Room'!$B$5="Normal",'Control Room'!$B$7,('Control Room'!$B$8+'Control Room'!$D$8)/2))</x:f>
        <x:v>879.3897182113419</x:v>
      </x:c>
      <x:c r="F47" s="17" t="n">
        <x:f>IF(AND($A47&gt;='Control Room'!$A$13,$A47&lt;'Control Room'!$A$13+'Control Room'!$B$13,'Process'!BK2=1),1+('Control Room'!$C$13-1)*EXP(-0.5*(($A47-'Control Room'!$A$13-('Control Room'!$B$13-1)/2)/MAX(0.5,'Control Room'!$B$13/4))^2),1)*IF(AND($A47&gt;='Control Room'!$A$14,$A47&lt;'Control Room'!$A$14+'Control Room'!$B$14,'Process'!BK3=1),1+('Control Room'!$C$14-1)*EXP(-0.5*(($A47-'Control Room'!$A$14-('Control Room'!$B$14-1)/2)/MAX(0.5,'Control Room'!$B$14/4))^2),1)*IF(AND($A47&gt;='Control Room'!$A$15,$A47&lt;'Control Room'!$A$15+'Control Room'!$B$15,'Process'!BK4=1),1+('Control Room'!$C$15-1)*EXP(-0.5*(($A47-'Control Room'!$A$15-('Control Room'!$B$15-1)/2)/MAX(0.5,'Control Room'!$B$15/4))^2),1)*IF(AND($A47&gt;='Control Room'!$A$16,$A47&lt;'Control Room'!$A$16+'Control Room'!$B$16,'Process'!BK5=1),1+('Control Room'!$C$16-1)*EXP(-0.5*(($A47-'Control Room'!$A$16-('Control Room'!$B$16-1)/2)/MAX(0.5,'Control Room'!$B$16/4))^2),1)</x:f>
        <x:v>1</x:v>
      </x:c>
      <x:c r="G47" s="9" t="n">
        <x:f>MOD(H46*16807,2147483647)</x:f>
        <x:v>702295462</x:v>
      </x:c>
      <x:c r="H47" s="9" t="n">
        <x:f>MOD(G47*16807,2147483647)</x:f>
        <x:v>909705922</x:v>
      </x:c>
      <x:c r="I47" s="17" t="n">
        <x:f>IF('Control Room'!$B$5="Normal",'Control Room'!$B$7+'Control Room'!$D$7*SQRT(-2*LN(MAX(0.000000000001,G47/2147483647)))*COS(2*PI()*H47/2147483647),'Control Room'!$B$8+('Control Room'!$D$8-'Control Room'!$B$8)*G47/2147483647)</x:f>
        <x:v>880.641343879169</x:v>
      </x:c>
      <x:c r="J47" s="17" t="n">
        <x:f>IF('Control Room'!$B$5="Normal",'Control Room'!$B$7,('Control Room'!$B$8+'Control Room'!$D$8)/2)+'Control Room'!$B$9*(J46-IF('Control Room'!$B$5="Normal",'Control Room'!$B$7,('Control Room'!$B$8+'Control Room'!$D$8)/2))+SQRT(1-'Control Room'!$B$9^2)*(I47-IF('Control Room'!$B$5="Normal",'Control Room'!$B$7,('Control Room'!$B$8+'Control Room'!$D$8)/2))</x:f>
        <x:v>958.8802215787305</x:v>
      </x:c>
      <x:c r="K47" s="17" t="n">
        <x:f>IF(AND($A47&gt;='Control Room'!$A$13,$A47&lt;'Control Room'!$A$13+'Control Room'!$B$13,'Process'!BL2=1),1+('Control Room'!$C$13-1)*EXP(-0.5*(($A47-'Control Room'!$A$13-('Control Room'!$B$13-1)/2)/MAX(0.5,'Control Room'!$B$13/4))^2),1)*IF(AND($A47&gt;='Control Room'!$A$14,$A47&lt;'Control Room'!$A$14+'Control Room'!$B$14,'Process'!BL3=1),1+('Control Room'!$C$14-1)*EXP(-0.5*(($A47-'Control Room'!$A$14-('Control Room'!$B$14-1)/2)/MAX(0.5,'Control Room'!$B$14/4))^2),1)*IF(AND($A47&gt;='Control Room'!$A$15,$A47&lt;'Control Room'!$A$15+'Control Room'!$B$15,'Process'!BL4=1),1+('Control Room'!$C$15-1)*EXP(-0.5*(($A47-'Control Room'!$A$15-('Control Room'!$B$15-1)/2)/MAX(0.5,'Control Room'!$B$15/4))^2),1)*IF(AND($A47&gt;='Control Room'!$A$16,$A47&lt;'Control Room'!$A$16+'Control Room'!$B$16,'Process'!BL5=1),1+('Control Room'!$C$16-1)*EXP(-0.5*(($A47-'Control Room'!$A$16-('Control Room'!$B$16-1)/2)/MAX(0.5,'Control Room'!$B$16/4))^2),1)</x:f>
        <x:v>1</x:v>
      </x:c>
      <x:c r="L47" s="9" t="n">
        <x:f>MOD(M46*16807,2147483647)</x:f>
        <x:v>1274435480</x:v>
      </x:c>
      <x:c r="M47" s="9" t="n">
        <x:f>MOD(L47*16807,2147483647)</x:f>
        <x:v>435217182</x:v>
      </x:c>
      <x:c r="N47" s="17" t="n">
        <x:f>IF('Control Room'!$B$5="Normal",'Control Room'!$B$7+'Control Room'!$D$7*SQRT(-2*LN(MAX(0.000000000001,L47/2147483647)))*COS(2*PI()*M47/2147483647),'Control Room'!$B$8+('Control Room'!$D$8-'Control Room'!$B$8)*L47/2147483647)</x:f>
        <x:v>1026.9437602068003</x:v>
      </x:c>
      <x:c r="O47" s="17" t="n">
        <x:f>IF('Control Room'!$B$5="Normal",'Control Room'!$B$7,('Control Room'!$B$8+'Control Room'!$D$8)/2)+'Control Room'!$B$9*(O46-IF('Control Room'!$B$5="Normal",'Control Room'!$B$7,('Control Room'!$B$8+'Control Room'!$D$8)/2))+SQRT(1-'Control Room'!$B$9^2)*(N47-IF('Control Room'!$B$5="Normal",'Control Room'!$B$7,('Control Room'!$B$8+'Control Room'!$D$8)/2))</x:f>
        <x:v>940.1586424371936</x:v>
      </x:c>
      <x:c r="P47" s="17" t="n">
        <x:f>IF(AND($A47&gt;='Control Room'!$A$13,$A47&lt;'Control Room'!$A$13+'Control Room'!$B$13,'Process'!BM2=1),1+('Control Room'!$C$13-1)*EXP(-0.5*(($A47-'Control Room'!$A$13-('Control Room'!$B$13-1)/2)/MAX(0.5,'Control Room'!$B$13/4))^2),1)*IF(AND($A47&gt;='Control Room'!$A$14,$A47&lt;'Control Room'!$A$14+'Control Room'!$B$14,'Process'!BM3=1),1+('Control Room'!$C$14-1)*EXP(-0.5*(($A47-'Control Room'!$A$14-('Control Room'!$B$14-1)/2)/MAX(0.5,'Control Room'!$B$14/4))^2),1)*IF(AND($A47&gt;='Control Room'!$A$15,$A47&lt;'Control Room'!$A$15+'Control Room'!$B$15,'Process'!BM4=1),1+('Control Room'!$C$15-1)*EXP(-0.5*(($A47-'Control Room'!$A$15-('Control Room'!$B$15-1)/2)/MAX(0.5,'Control Room'!$B$15/4))^2),1)*IF(AND($A47&gt;='Control Room'!$A$16,$A47&lt;'Control Room'!$A$16+'Control Room'!$B$16,'Process'!BM5=1),1+('Control Room'!$C$16-1)*EXP(-0.5*(($A47-'Control Room'!$A$16-('Control Room'!$B$16-1)/2)/MAX(0.5,'Control Room'!$B$16/4))^2),1)</x:f>
        <x:v>1</x:v>
      </x:c>
      <x:c r="Q47" s="9" t="n">
        <x:f>MOD(R46*16807,2147483647)</x:f>
        <x:v>1846575498</x:v>
      </x:c>
      <x:c r="R47" s="9" t="n">
        <x:f>MOD(Q47*16807,2147483647)</x:f>
        <x:v>2108212089</x:v>
      </x:c>
      <x:c r="S47" s="17" t="n">
        <x:f>IF('Control Room'!$B$5="Normal",'Control Room'!$B$7+'Control Room'!$D$7*SQRT(-2*LN(MAX(0.000000000001,Q47/2147483647)))*COS(2*PI()*R47/2147483647),'Control Room'!$B$8+('Control Room'!$D$8-'Control Room'!$B$8)*Q47/2147483647)</x:f>
        <x:v>1049.1270707248816</x:v>
      </x:c>
      <x:c r="T47" s="17" t="n">
        <x:f>IF('Control Room'!$B$5="Normal",'Control Room'!$B$7,('Control Room'!$B$8+'Control Room'!$D$8)/2)+'Control Room'!$B$9*(T46-IF('Control Room'!$B$5="Normal",'Control Room'!$B$7,('Control Room'!$B$8+'Control Room'!$D$8)/2))+SQRT(1-'Control Room'!$B$9^2)*(S47-IF('Control Room'!$B$5="Normal",'Control Room'!$B$7,('Control Room'!$B$8+'Control Room'!$D$8)/2))</x:f>
        <x:v>1062.1904948821864</x:v>
      </x:c>
      <x:c r="U47" s="17" t="n">
        <x:f>IF(AND($A47&gt;='Control Room'!$A$13,$A47&lt;'Control Room'!$A$13+'Control Room'!$B$13,'Process'!BN2=1),1+('Control Room'!$C$13-1)*EXP(-0.5*(($A47-'Control Room'!$A$13-('Control Room'!$B$13-1)/2)/MAX(0.5,'Control Room'!$B$13/4))^2),1)*IF(AND($A47&gt;='Control Room'!$A$14,$A47&lt;'Control Room'!$A$14+'Control Room'!$B$14,'Process'!BN3=1),1+('Control Room'!$C$14-1)*EXP(-0.5*(($A47-'Control Room'!$A$14-('Control Room'!$B$14-1)/2)/MAX(0.5,'Control Room'!$B$14/4))^2),1)*IF(AND($A47&gt;='Control Room'!$A$15,$A47&lt;'Control Room'!$A$15+'Control Room'!$B$15,'Process'!BN4=1),1+('Control Room'!$C$15-1)*EXP(-0.5*(($A47-'Control Room'!$A$15-('Control Room'!$B$15-1)/2)/MAX(0.5,'Control Room'!$B$15/4))^2),1)*IF(AND($A47&gt;='Control Room'!$A$16,$A47&lt;'Control Room'!$A$16+'Control Room'!$B$16,'Process'!BN5=1),1+('Control Room'!$C$16-1)*EXP(-0.5*(($A47-'Control Room'!$A$16-('Control Room'!$B$16-1)/2)/MAX(0.5,'Control Room'!$B$16/4))^2),1)</x:f>
        <x:v>1</x:v>
      </x:c>
      <x:c r="V47" s="9" t="n">
        <x:f>MOD(W46*16807,2147483647)</x:f>
        <x:v>271231869</x:v>
      </x:c>
      <x:c r="W47" s="9" t="n">
        <x:f>MOD(V47*16807,2147483647)</x:f>
        <x:v>1633723349</x:v>
      </x:c>
      <x:c r="X47" s="17" t="n">
        <x:f>IF('Control Room'!$B$5="Normal",'Control Room'!$B$7+'Control Room'!$D$7*SQRT(-2*LN(MAX(0.000000000001,V47/2147483647)))*COS(2*PI()*W47/2147483647),'Control Room'!$B$8+('Control Room'!$D$8-'Control Room'!$B$8)*V47/2147483647)</x:f>
        <x:v>1012.3701915064676</x:v>
      </x:c>
      <x:c r="Y47" s="17" t="n">
        <x:f>IF('Control Room'!$B$5="Normal",'Control Room'!$B$7,('Control Room'!$B$8+'Control Room'!$D$8)/2)+'Control Room'!$B$9*(Y46-IF('Control Room'!$B$5="Normal",'Control Room'!$B$7,('Control Room'!$B$8+'Control Room'!$D$8)/2))+SQRT(1-'Control Room'!$B$9^2)*(X47-IF('Control Room'!$B$5="Normal",'Control Room'!$B$7,('Control Room'!$B$8+'Control Room'!$D$8)/2))</x:f>
        <x:v>1046.43939392521</x:v>
      </x:c>
      <x:c r="Z47" s="17" t="n">
        <x:f>IF(AND($A47&gt;='Control Room'!$A$13,$A47&lt;'Control Room'!$A$13+'Control Room'!$B$13,'Process'!BO2=1),1+('Control Room'!$C$13-1)*EXP(-0.5*(($A47-'Control Room'!$A$13-('Control Room'!$B$13-1)/2)/MAX(0.5,'Control Room'!$B$13/4))^2),1)*IF(AND($A47&gt;='Control Room'!$A$14,$A47&lt;'Control Room'!$A$14+'Control Room'!$B$14,'Process'!BO3=1),1+('Control Room'!$C$14-1)*EXP(-0.5*(($A47-'Control Room'!$A$14-('Control Room'!$B$14-1)/2)/MAX(0.5,'Control Room'!$B$14/4))^2),1)*IF(AND($A47&gt;='Control Room'!$A$15,$A47&lt;'Control Room'!$A$15+'Control Room'!$B$15,'Process'!BO4=1),1+('Control Room'!$C$15-1)*EXP(-0.5*(($A47-'Control Room'!$A$15-('Control Room'!$B$15-1)/2)/MAX(0.5,'Control Room'!$B$15/4))^2),1)*IF(AND($A47&gt;='Control Room'!$A$16,$A47&lt;'Control Room'!$A$16+'Control Room'!$B$16,'Process'!BO5=1),1+('Control Room'!$C$16-1)*EXP(-0.5*(($A47-'Control Room'!$A$16-('Control Room'!$B$16-1)/2)/MAX(0.5,'Control Room'!$B$16/4))^2),1)</x:f>
        <x:v>1</x:v>
      </x:c>
      <x:c r="AA47" s="9" t="n">
        <x:f>MOD(AB46*16807,2147483647)</x:f>
        <x:v>843371887</x:v>
      </x:c>
      <x:c r="AB47" s="9" t="n">
        <x:f>MOD(AA47*16807,2147483647)</x:f>
        <x:v>1159234609</x:v>
      </x:c>
      <x:c r="AC47" s="17" t="n">
        <x:f>IF('Control Room'!$B$5="Normal",'Control Room'!$B$7+'Control Room'!$D$7*SQRT(-2*LN(MAX(0.000000000001,AA47/2147483647)))*COS(2*PI()*AB47/2147483647),'Control Room'!$B$8+('Control Room'!$D$8-'Control Room'!$B$8)*AA47/2147483647)</x:f>
        <x:v>880.7797976489378</x:v>
      </x:c>
      <x:c r="AD47" s="17" t="n">
        <x:f>IF('Control Room'!$B$5="Normal",'Control Room'!$B$7,('Control Room'!$B$8+'Control Room'!$D$8)/2)+'Control Room'!$B$9*(AD46-IF('Control Room'!$B$5="Normal",'Control Room'!$B$7,('Control Room'!$B$8+'Control Room'!$D$8)/2))+SQRT(1-'Control Room'!$B$9^2)*(AC47-IF('Control Room'!$B$5="Normal",'Control Room'!$B$7,('Control Room'!$B$8+'Control Room'!$D$8)/2))</x:f>
        <x:v>943.3711525308332</x:v>
      </x:c>
      <x:c r="AE47" s="17" t="n">
        <x:f>IF(AND($A47&gt;='Control Room'!$A$13,$A47&lt;'Control Room'!$A$13+'Control Room'!$B$13,'Process'!BP2=1),1+('Control Room'!$C$13-1)*EXP(-0.5*(($A47-'Control Room'!$A$13-('Control Room'!$B$13-1)/2)/MAX(0.5,'Control Room'!$B$13/4))^2),1)*IF(AND($A47&gt;='Control Room'!$A$14,$A47&lt;'Control Room'!$A$14+'Control Room'!$B$14,'Process'!BP3=1),1+('Control Room'!$C$14-1)*EXP(-0.5*(($A47-'Control Room'!$A$14-('Control Room'!$B$14-1)/2)/MAX(0.5,'Control Room'!$B$14/4))^2),1)*IF(AND($A47&gt;='Control Room'!$A$15,$A47&lt;'Control Room'!$A$15+'Control Room'!$B$15,'Process'!BP4=1),1+('Control Room'!$C$15-1)*EXP(-0.5*(($A47-'Control Room'!$A$15-('Control Room'!$B$15-1)/2)/MAX(0.5,'Control Room'!$B$15/4))^2),1)*IF(AND($A47&gt;='Control Room'!$A$16,$A47&lt;'Control Room'!$A$16+'Control Room'!$B$16,'Process'!BP5=1),1+('Control Room'!$C$16-1)*EXP(-0.5*(($A47-'Control Room'!$A$16-('Control Room'!$B$16-1)/2)/MAX(0.5,'Control Room'!$B$16/4))^2),1)</x:f>
        <x:v>1</x:v>
      </x:c>
      <x:c r="AF47" s="9" t="n">
        <x:f>MOD(AG46*16807,2147483647)</x:f>
        <x:v>1415511905</x:v>
      </x:c>
      <x:c r="AG47" s="9" t="n">
        <x:f>MOD(AF47*16807,2147483647)</x:f>
        <x:v>684745869</x:v>
      </x:c>
      <x:c r="AH47" s="17" t="n">
        <x:f>IF('Control Room'!$B$5="Normal",'Control Room'!$B$7+'Control Room'!$D$7*SQRT(-2*LN(MAX(0.000000000001,AF47/2147483647)))*COS(2*PI()*AG47/2147483647),'Control Room'!$B$8+('Control Room'!$D$8-'Control Room'!$B$8)*AF47/2147483647)</x:f>
        <x:v>965.5464608742442</x:v>
      </x:c>
      <x:c r="AI47" s="17" t="n">
        <x:f>IF('Control Room'!$B$5="Normal",'Control Room'!$B$7,('Control Room'!$B$8+'Control Room'!$D$8)/2)+'Control Room'!$B$9*(AI46-IF('Control Room'!$B$5="Normal",'Control Room'!$B$7,('Control Room'!$B$8+'Control Room'!$D$8)/2))+SQRT(1-'Control Room'!$B$9^2)*(AH47-IF('Control Room'!$B$5="Normal",'Control Room'!$B$7,('Control Room'!$B$8+'Control Room'!$D$8)/2))</x:f>
        <x:v>931.1846548956936</x:v>
      </x:c>
      <x:c r="AJ47" s="17" t="n">
        <x:f>IF(AND($A47&gt;='Control Room'!$A$13,$A47&lt;'Control Room'!$A$13+'Control Room'!$B$13,'Process'!BQ2=1),1+('Control Room'!$C$13-1)*EXP(-0.5*(($A47-'Control Room'!$A$13-('Control Room'!$B$13-1)/2)/MAX(0.5,'Control Room'!$B$13/4))^2),1)*IF(AND($A47&gt;='Control Room'!$A$14,$A47&lt;'Control Room'!$A$14+'Control Room'!$B$14,'Process'!BQ3=1),1+('Control Room'!$C$14-1)*EXP(-0.5*(($A47-'Control Room'!$A$14-('Control Room'!$B$14-1)/2)/MAX(0.5,'Control Room'!$B$14/4))^2),1)*IF(AND($A47&gt;='Control Room'!$A$15,$A47&lt;'Control Room'!$A$15+'Control Room'!$B$15,'Process'!BQ4=1),1+('Control Room'!$C$15-1)*EXP(-0.5*(($A47-'Control Room'!$A$15-('Control Room'!$B$15-1)/2)/MAX(0.5,'Control Room'!$B$15/4))^2),1)*IF(AND($A47&gt;='Control Room'!$A$16,$A47&lt;'Control Room'!$A$16+'Control Room'!$B$16,'Process'!BQ5=1),1+('Control Room'!$C$16-1)*EXP(-0.5*(($A47-'Control Room'!$A$16-('Control Room'!$B$16-1)/2)/MAX(0.5,'Control Room'!$B$16/4))^2),1)</x:f>
        <x:v>1</x:v>
      </x:c>
      <x:c r="AK47" s="9" t="n">
        <x:f>MOD(AL46*16807,2147483647)</x:f>
        <x:v>1987651923</x:v>
      </x:c>
      <x:c r="AL47" s="9" t="n">
        <x:f>MOD(AK47*16807,2147483647)</x:f>
        <x:v>210257129</x:v>
      </x:c>
      <x:c r="AM47" s="17" t="n">
        <x:f>IF('Control Room'!$B$5="Normal",'Control Room'!$B$7+'Control Room'!$D$7*SQRT(-2*LN(MAX(0.000000000001,AK47/2147483647)))*COS(2*PI()*AL47/2147483647),'Control Room'!$B$8+('Control Room'!$D$8-'Control Room'!$B$8)*AK47/2147483647)</x:f>
        <x:v>1028.9077539732148</x:v>
      </x:c>
      <x:c r="AN47" s="17" t="n">
        <x:f>IF('Control Room'!$B$5="Normal",'Control Room'!$B$7,('Control Room'!$B$8+'Control Room'!$D$8)/2)+'Control Room'!$B$9*(AN46-IF('Control Room'!$B$5="Normal",'Control Room'!$B$7,('Control Room'!$B$8+'Control Room'!$D$8)/2))+SQRT(1-'Control Room'!$B$9^2)*(AM47-IF('Control Room'!$B$5="Normal",'Control Room'!$B$7,('Control Room'!$B$8+'Control Room'!$D$8)/2))</x:f>
        <x:v>1014.477887105454</x:v>
      </x:c>
      <x:c r="AO47" s="17" t="n">
        <x:f>IF(AND($A47&gt;='Control Room'!$A$13,$A47&lt;'Control Room'!$A$13+'Control Room'!$B$13,'Process'!BR2=1),1+('Control Room'!$C$13-1)*EXP(-0.5*(($A47-'Control Room'!$A$13-('Control Room'!$B$13-1)/2)/MAX(0.5,'Control Room'!$B$13/4))^2),1)*IF(AND($A47&gt;='Control Room'!$A$14,$A47&lt;'Control Room'!$A$14+'Control Room'!$B$14,'Process'!BR3=1),1+('Control Room'!$C$14-1)*EXP(-0.5*(($A47-'Control Room'!$A$14-('Control Room'!$B$14-1)/2)/MAX(0.5,'Control Room'!$B$14/4))^2),1)*IF(AND($A47&gt;='Control Room'!$A$15,$A47&lt;'Control Room'!$A$15+'Control Room'!$B$15,'Process'!BR4=1),1+('Control Room'!$C$15-1)*EXP(-0.5*(($A47-'Control Room'!$A$15-('Control Room'!$B$15-1)/2)/MAX(0.5,'Control Room'!$B$15/4))^2),1)*IF(AND($A47&gt;='Control Room'!$A$16,$A47&lt;'Control Room'!$A$16+'Control Room'!$B$16,'Process'!BR5=1),1+('Control Room'!$C$16-1)*EXP(-0.5*(($A47-'Control Room'!$A$16-('Control Room'!$B$16-1)/2)/MAX(0.5,'Control Room'!$B$16/4))^2),1)</x:f>
        <x:v>1</x:v>
      </x:c>
      <x:c r="AP47" s="9" t="n">
        <x:f>MOD(AQ46*16807,2147483647)</x:f>
        <x:v>412308294</x:v>
      </x:c>
      <x:c r="AQ47" s="9" t="n">
        <x:f>MOD(AP47*16807,2147483647)</x:f>
        <x:v>1883252036</x:v>
      </x:c>
      <x:c r="AR47" s="17" t="n">
        <x:f>IF('Control Room'!$B$5="Normal",'Control Room'!$B$7+'Control Room'!$D$7*SQRT(-2*LN(MAX(0.000000000001,AP47/2147483647)))*COS(2*PI()*AQ47/2147483647),'Control Room'!$B$8+('Control Room'!$D$8-'Control Room'!$B$8)*AP47/2147483647)</x:f>
        <x:v>1117.0302051502474</x:v>
      </x:c>
      <x:c r="AS47" s="17" t="n">
        <x:f>IF('Control Room'!$B$5="Normal",'Control Room'!$B$7,('Control Room'!$B$8+'Control Room'!$D$8)/2)+'Control Room'!$B$9*(AS46-IF('Control Room'!$B$5="Normal",'Control Room'!$B$7,('Control Room'!$B$8+'Control Room'!$D$8)/2))+SQRT(1-'Control Room'!$B$9^2)*(AR47-IF('Control Room'!$B$5="Normal",'Control Room'!$B$7,('Control Room'!$B$8+'Control Room'!$D$8)/2))</x:f>
        <x:v>1024.74177443076</x:v>
      </x:c>
      <x:c r="AT47" s="17" t="n">
        <x:f>IF(AND($A47&gt;='Control Room'!$A$13,$A47&lt;'Control Room'!$A$13+'Control Room'!$B$13,'Process'!BS2=1),1+('Control Room'!$C$13-1)*EXP(-0.5*(($A47-'Control Room'!$A$13-('Control Room'!$B$13-1)/2)/MAX(0.5,'Control Room'!$B$13/4))^2),1)*IF(AND($A47&gt;='Control Room'!$A$14,$A47&lt;'Control Room'!$A$14+'Control Room'!$B$14,'Process'!BS3=1),1+('Control Room'!$C$14-1)*EXP(-0.5*(($A47-'Control Room'!$A$14-('Control Room'!$B$14-1)/2)/MAX(0.5,'Control Room'!$B$14/4))^2),1)*IF(AND($A47&gt;='Control Room'!$A$15,$A47&lt;'Control Room'!$A$15+'Control Room'!$B$15,'Process'!BS4=1),1+('Control Room'!$C$15-1)*EXP(-0.5*(($A47-'Control Room'!$A$15-('Control Room'!$B$15-1)/2)/MAX(0.5,'Control Room'!$B$15/4))^2),1)*IF(AND($A47&gt;='Control Room'!$A$16,$A47&lt;'Control Room'!$A$16+'Control Room'!$B$16,'Process'!BS5=1),1+('Control Room'!$C$16-1)*EXP(-0.5*(($A47-'Control Room'!$A$16-('Control Room'!$B$16-1)/2)/MAX(0.5,'Control Room'!$B$16/4))^2),1)</x:f>
        <x:v>1</x:v>
      </x:c>
      <x:c r="AU47" s="9" t="n">
        <x:f>MOD(AV46*16807,2147483647)</x:f>
        <x:v>984448312</x:v>
      </x:c>
      <x:c r="AV47" s="9" t="n">
        <x:f>MOD(AU47*16807,2147483647)</x:f>
        <x:v>1408763296</x:v>
      </x:c>
      <x:c r="AW47" s="17" t="n">
        <x:f>IF('Control Room'!$B$5="Normal",'Control Room'!$B$7+'Control Room'!$D$7*SQRT(-2*LN(MAX(0.000000000001,AU47/2147483647)))*COS(2*PI()*AV47/2147483647),'Control Room'!$B$8+('Control Room'!$D$8-'Control Room'!$B$8)*AU47/2147483647)</x:f>
        <x:v>937.4066408988185</x:v>
      </x:c>
      <x:c r="AX47" s="17" t="n">
        <x:f>IF('Control Room'!$B$5="Normal",'Control Room'!$B$7,('Control Room'!$B$8+'Control Room'!$D$8)/2)+'Control Room'!$B$9*(AX46-IF('Control Room'!$B$5="Normal",'Control Room'!$B$7,('Control Room'!$B$8+'Control Room'!$D$8)/2))+SQRT(1-'Control Room'!$B$9^2)*(AW47-IF('Control Room'!$B$5="Normal",'Control Room'!$B$7,('Control Room'!$B$8+'Control Room'!$D$8)/2))</x:f>
        <x:v>1130.380587855094</x:v>
      </x:c>
      <x:c r="AY47" s="17" t="n">
        <x:f>IF(AND($A47&gt;='Control Room'!$A$13,$A47&lt;'Control Room'!$A$13+'Control Room'!$B$13,'Process'!BT2=1),1+('Control Room'!$C$13-1)*EXP(-0.5*(($A47-'Control Room'!$A$13-('Control Room'!$B$13-1)/2)/MAX(0.5,'Control Room'!$B$13/4))^2),1)*IF(AND($A47&gt;='Control Room'!$A$14,$A47&lt;'Control Room'!$A$14+'Control Room'!$B$14,'Process'!BT3=1),1+('Control Room'!$C$14-1)*EXP(-0.5*(($A47-'Control Room'!$A$14-('Control Room'!$B$14-1)/2)/MAX(0.5,'Control Room'!$B$14/4))^2),1)*IF(AND($A47&gt;='Control Room'!$A$15,$A47&lt;'Control Room'!$A$15+'Control Room'!$B$15,'Process'!BT4=1),1+('Control Room'!$C$15-1)*EXP(-0.5*(($A47-'Control Room'!$A$15-('Control Room'!$B$15-1)/2)/MAX(0.5,'Control Room'!$B$15/4))^2),1)*IF(AND($A47&gt;='Control Room'!$A$16,$A47&lt;'Control Room'!$A$16+'Control Room'!$B$16,'Process'!BT5=1),1+('Control Room'!$C$16-1)*EXP(-0.5*(($A47-'Control Room'!$A$16-('Control Room'!$B$16-1)/2)/MAX(0.5,'Control Room'!$B$16/4))^2),1)</x:f>
        <x:v>1</x:v>
      </x:c>
      <x:c r="AZ47" s="9" t="n">
        <x:f>MOD(BA46*16807,2147483647)</x:f>
        <x:v>1556588330</x:v>
      </x:c>
      <x:c r="BA47" s="9" t="n">
        <x:f>MOD(AZ47*16807,2147483647)</x:f>
        <x:v>934274556</x:v>
      </x:c>
      <x:c r="BB47" s="17" t="n">
        <x:f>IF('Control Room'!$B$5="Normal",'Control Room'!$B$7+'Control Room'!$D$7*SQRT(-2*LN(MAX(0.000000000001,AZ47/2147483647)))*COS(2*PI()*BA47/2147483647),'Control Room'!$B$8+('Control Room'!$D$8-'Control Room'!$B$8)*AZ47/2147483647)</x:f>
        <x:v>933.726057114385</x:v>
      </x:c>
      <x:c r="BC47" s="17" t="n">
        <x:f>IF('Control Room'!$B$5="Normal",'Control Room'!$B$7,('Control Room'!$B$8+'Control Room'!$D$8)/2)+'Control Room'!$B$9*(BC46-IF('Control Room'!$B$5="Normal",'Control Room'!$B$7,('Control Room'!$B$8+'Control Room'!$D$8)/2))+SQRT(1-'Control Room'!$B$9^2)*(BB47-IF('Control Room'!$B$5="Normal",'Control Room'!$B$7,('Control Room'!$B$8+'Control Room'!$D$8)/2))</x:f>
        <x:v>853.682419967108</x:v>
      </x:c>
      <x:c r="BD47" s="17" t="n">
        <x:f>IF(AND($A47&gt;='Control Room'!$A$13,$A47&lt;'Control Room'!$A$13+'Control Room'!$B$13,'Process'!BU2=1),1+('Control Room'!$C$13-1)*EXP(-0.5*(($A47-'Control Room'!$A$13-('Control Room'!$B$13-1)/2)/MAX(0.5,'Control Room'!$B$13/4))^2),1)*IF(AND($A47&gt;='Control Room'!$A$14,$A47&lt;'Control Room'!$A$14+'Control Room'!$B$14,'Process'!BU3=1),1+('Control Room'!$C$14-1)*EXP(-0.5*(($A47-'Control Room'!$A$14-('Control Room'!$B$14-1)/2)/MAX(0.5,'Control Room'!$B$14/4))^2),1)*IF(AND($A47&gt;='Control Room'!$A$15,$A47&lt;'Control Room'!$A$15+'Control Room'!$B$15,'Process'!BU4=1),1+('Control Room'!$C$15-1)*EXP(-0.5*(($A47-'Control Room'!$A$15-('Control Room'!$B$15-1)/2)/MAX(0.5,'Control Room'!$B$15/4))^2),1)*IF(AND($A47&gt;='Control Room'!$A$16,$A47&lt;'Control Room'!$A$16+'Control Room'!$B$16,'Process'!BU5=1),1+('Control Room'!$C$16-1)*EXP(-0.5*(($A47-'Control Room'!$A$16-('Control Room'!$B$16-1)/2)/MAX(0.5,'Control Room'!$B$16/4))^2),1)</x:f>
        <x:v>1</x:v>
      </x:c>
      <x:c r="BE47" s="9" t="n">
        <x:f>MOD(BF46*16807,2147483647)</x:f>
        <x:v>2128728348</x:v>
      </x:c>
      <x:c r="BF47" s="9" t="n">
        <x:f>MOD(BE47*16807,2147483647)</x:f>
        <x:v>459785816</x:v>
      </x:c>
      <x:c r="BG47" s="17" t="n">
        <x:f>IF('Control Room'!$B$5="Normal",'Control Room'!$B$7+'Control Room'!$D$7*SQRT(-2*LN(MAX(0.000000000001,BE47/2147483647)))*COS(2*PI()*BF47/2147483647),'Control Room'!$B$8+('Control Room'!$D$8-'Control Room'!$B$8)*BE47/2147483647)</x:f>
        <x:v>1002.6658672512167</x:v>
      </x:c>
      <x:c r="BH47" s="17" t="n">
        <x:f>IF('Control Room'!$B$5="Normal",'Control Room'!$B$7,('Control Room'!$B$8+'Control Room'!$D$8)/2)+'Control Room'!$B$9*(BH46-IF('Control Room'!$B$5="Normal",'Control Room'!$B$7,('Control Room'!$B$8+'Control Room'!$D$8)/2))+SQRT(1-'Control Room'!$B$9^2)*(BG47-IF('Control Room'!$B$5="Normal",'Control Room'!$B$7,('Control Room'!$B$8+'Control Room'!$D$8)/2))</x:f>
        <x:v>1010.7627141730379</x:v>
      </x:c>
      <x:c r="BI47" s="17" t="n">
        <x:f>IF(AND($A47&gt;='Control Room'!$A$13,$A47&lt;'Control Room'!$A$13+'Control Room'!$B$13,'Process'!BV2=1),1+('Control Room'!$C$13-1)*EXP(-0.5*(($A47-'Control Room'!$A$13-('Control Room'!$B$13-1)/2)/MAX(0.5,'Control Room'!$B$13/4))^2),1)*IF(AND($A47&gt;='Control Room'!$A$14,$A47&lt;'Control Room'!$A$14+'Control Room'!$B$14,'Process'!BV3=1),1+('Control Room'!$C$14-1)*EXP(-0.5*(($A47-'Control Room'!$A$14-('Control Room'!$B$14-1)/2)/MAX(0.5,'Control Room'!$B$14/4))^2),1)*IF(AND($A47&gt;='Control Room'!$A$15,$A47&lt;'Control Room'!$A$15+'Control Room'!$B$15,'Process'!BV4=1),1+('Control Room'!$C$15-1)*EXP(-0.5*(($A47-'Control Room'!$A$15-('Control Room'!$B$15-1)/2)/MAX(0.5,'Control Room'!$B$15/4))^2),1)*IF(AND($A47&gt;='Control Room'!$A$16,$A47&lt;'Control Room'!$A$16+'Control Room'!$B$16,'Process'!BV5=1),1+('Control Room'!$C$16-1)*EXP(-0.5*(($A47-'Control Room'!$A$16-('Control Room'!$B$16-1)/2)/MAX(0.5,'Control Room'!$B$16/4))^2),1)</x:f>
        <x:v>1</x:v>
      </x:c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Z47" t="str">
        <x:f>IF('Data'!A47="","",TEXT('Data'!A47,"mm-dd"))</x:f>
        <x:v>12-17</x:v>
      </x:c>
    </x:row>
    <x:row r="48" ht="21" customHeight="1">
      <x:c r="A48" s="15" t="n">
        <x:f>'Control Room'!$B$1+46</x:f>
        <x:v>73037</x:v>
      </x:c>
      <x:c r="B48" s="9" t="n">
        <x:f>MOD(C47*16807,2147483647)</x:f>
        <x:v>469336283</x:v>
      </x:c>
      <x:c r="C48" s="9" t="n">
        <x:f>MOD(B48*16807,2147483647)</x:f>
        <x:v>427472950</x:v>
      </x:c>
      <x:c r="D48" s="17" t="n">
        <x:f>IF('Control Room'!$B$5="Normal",'Control Room'!$B$7+'Control Room'!$D$7*SQRT(-2*LN(MAX(0.000000000001,B48/2147483647)))*COS(2*PI()*C48/2147483647),'Control Room'!$B$8+('Control Room'!$D$8-'Control Room'!$B$8)*B48/2147483647)</x:f>
        <x:v>1049.3857865543587</x:v>
      </x:c>
      <x:c r="E48" s="17" t="n">
        <x:f>IF('Control Room'!$B$5="Normal",'Control Room'!$B$7,('Control Room'!$B$8+'Control Room'!$D$8)/2)+'Control Room'!$B$9*(E47-IF('Control Room'!$B$5="Normal",'Control Room'!$B$7,('Control Room'!$B$8+'Control Room'!$D$8)/2))+SQRT(1-'Control Room'!$B$9^2)*(D48-IF('Control Room'!$B$5="Normal",'Control Room'!$B$7,('Control Room'!$B$8+'Control Room'!$D$8)/2))</x:f>
        <x:v>936.8285937077347</x:v>
      </x:c>
      <x:c r="F48" s="17" t="n">
        <x:f>IF(AND($A48&gt;='Control Room'!$A$13,$A48&lt;'Control Room'!$A$13+'Control Room'!$B$13,'Process'!BK2=1),1+('Control Room'!$C$13-1)*EXP(-0.5*(($A48-'Control Room'!$A$13-('Control Room'!$B$13-1)/2)/MAX(0.5,'Control Room'!$B$13/4))^2),1)*IF(AND($A48&gt;='Control Room'!$A$14,$A48&lt;'Control Room'!$A$14+'Control Room'!$B$14,'Process'!BK3=1),1+('Control Room'!$C$14-1)*EXP(-0.5*(($A48-'Control Room'!$A$14-('Control Room'!$B$14-1)/2)/MAX(0.5,'Control Room'!$B$14/4))^2),1)*IF(AND($A48&gt;='Control Room'!$A$15,$A48&lt;'Control Room'!$A$15+'Control Room'!$B$15,'Process'!BK4=1),1+('Control Room'!$C$15-1)*EXP(-0.5*(($A48-'Control Room'!$A$15-('Control Room'!$B$15-1)/2)/MAX(0.5,'Control Room'!$B$15/4))^2),1)*IF(AND($A48&gt;='Control Room'!$A$16,$A48&lt;'Control Room'!$A$16+'Control Room'!$B$16,'Process'!BK5=1),1+('Control Room'!$C$16-1)*EXP(-0.5*(($A48-'Control Room'!$A$16-('Control Room'!$B$16-1)/2)/MAX(0.5,'Control Room'!$B$16/4))^2),1)</x:f>
        <x:v>1</x:v>
      </x:c>
      <x:c r="G48" s="9" t="n">
        <x:f>MOD(H47*16807,2147483647)</x:f>
        <x:v>1491348061</x:v>
      </x:c>
      <x:c r="H48" s="9" t="n">
        <x:f>MOD(G48*16807,2147483647)</x:f>
        <x:v>1805217090</x:v>
      </x:c>
      <x:c r="I48" s="17" t="n">
        <x:f>IF('Control Room'!$B$5="Normal",'Control Room'!$B$7+'Control Room'!$D$7*SQRT(-2*LN(MAX(0.000000000001,G48/2147483647)))*COS(2*PI()*H48/2147483647),'Control Room'!$B$8+('Control Room'!$D$8-'Control Room'!$B$8)*G48/2147483647)</x:f>
        <x:v>1041.4336529933405</x:v>
      </x:c>
      <x:c r="J48" s="17" t="n">
        <x:f>IF('Control Room'!$B$5="Normal",'Control Room'!$B$7,('Control Room'!$B$8+'Control Room'!$D$8)/2)+'Control Room'!$B$9*(J47-IF('Control Room'!$B$5="Normal",'Control Room'!$B$7,('Control Room'!$B$8+'Control Room'!$D$8)/2))+SQRT(1-'Control Room'!$B$9^2)*(I48-IF('Control Room'!$B$5="Normal",'Control Room'!$B$7,('Control Room'!$B$8+'Control Room'!$D$8)/2))</x:f>
        <x:v>993.8549040601235</x:v>
      </x:c>
      <x:c r="K48" s="17" t="n">
        <x:f>IF(AND($A48&gt;='Control Room'!$A$13,$A48&lt;'Control Room'!$A$13+'Control Room'!$B$13,'Process'!BL2=1),1+('Control Room'!$C$13-1)*EXP(-0.5*(($A48-'Control Room'!$A$13-('Control Room'!$B$13-1)/2)/MAX(0.5,'Control Room'!$B$13/4))^2),1)*IF(AND($A48&gt;='Control Room'!$A$14,$A48&lt;'Control Room'!$A$14+'Control Room'!$B$14,'Process'!BL3=1),1+('Control Room'!$C$14-1)*EXP(-0.5*(($A48-'Control Room'!$A$14-('Control Room'!$B$14-1)/2)/MAX(0.5,'Control Room'!$B$14/4))^2),1)*IF(AND($A48&gt;='Control Room'!$A$15,$A48&lt;'Control Room'!$A$15+'Control Room'!$B$15,'Process'!BL4=1),1+('Control Room'!$C$15-1)*EXP(-0.5*(($A48-'Control Room'!$A$15-('Control Room'!$B$15-1)/2)/MAX(0.5,'Control Room'!$B$15/4))^2),1)*IF(AND($A48&gt;='Control Room'!$A$16,$A48&lt;'Control Room'!$A$16+'Control Room'!$B$16,'Process'!BL5=1),1+('Control Room'!$C$16-1)*EXP(-0.5*(($A48-'Control Room'!$A$16-('Control Room'!$B$16-1)/2)/MAX(0.5,'Control Room'!$B$16/4))^2),1)</x:f>
        <x:v>1</x:v>
      </x:c>
      <x:c r="L48" s="9" t="n">
        <x:f>MOD(M47*16807,2147483647)</x:f>
        <x:v>365876192</x:v>
      </x:c>
      <x:c r="M48" s="9" t="n">
        <x:f>MOD(L48*16807,2147483647)</x:f>
        <x:v>1035477583</x:v>
      </x:c>
      <x:c r="N48" s="17" t="n">
        <x:f>IF('Control Room'!$B$5="Normal",'Control Room'!$B$7+'Control Room'!$D$7*SQRT(-2*LN(MAX(0.000000000001,L48/2147483647)))*COS(2*PI()*M48/2147483647),'Control Room'!$B$8+('Control Room'!$D$8-'Control Room'!$B$8)*L48/2147483647)</x:f>
        <x:v>831.7376598167771</x:v>
      </x:c>
      <x:c r="O48" s="17" t="n">
        <x:f>IF('Control Room'!$B$5="Normal",'Control Room'!$B$7,('Control Room'!$B$8+'Control Room'!$D$8)/2)+'Control Room'!$B$9*(O47-IF('Control Room'!$B$5="Normal",'Control Room'!$B$7,('Control Room'!$B$8+'Control Room'!$D$8)/2))+SQRT(1-'Control Room'!$B$9^2)*(N48-IF('Control Room'!$B$5="Normal",'Control Room'!$B$7,('Control Room'!$B$8+'Control Room'!$D$8)/2))</x:f>
        <x:v>848.0286156557521</x:v>
      </x:c>
      <x:c r="P48" s="17" t="n">
        <x:f>IF(AND($A48&gt;='Control Room'!$A$13,$A48&lt;'Control Room'!$A$13+'Control Room'!$B$13,'Process'!BM2=1),1+('Control Room'!$C$13-1)*EXP(-0.5*(($A48-'Control Room'!$A$13-('Control Room'!$B$13-1)/2)/MAX(0.5,'Control Room'!$B$13/4))^2),1)*IF(AND($A48&gt;='Control Room'!$A$14,$A48&lt;'Control Room'!$A$14+'Control Room'!$B$14,'Process'!BM3=1),1+('Control Room'!$C$14-1)*EXP(-0.5*(($A48-'Control Room'!$A$14-('Control Room'!$B$14-1)/2)/MAX(0.5,'Control Room'!$B$14/4))^2),1)*IF(AND($A48&gt;='Control Room'!$A$15,$A48&lt;'Control Room'!$A$15+'Control Room'!$B$15,'Process'!BM4=1),1+('Control Room'!$C$15-1)*EXP(-0.5*(($A48-'Control Room'!$A$15-('Control Room'!$B$15-1)/2)/MAX(0.5,'Control Room'!$B$15/4))^2),1)*IF(AND($A48&gt;='Control Room'!$A$16,$A48&lt;'Control Room'!$A$16+'Control Room'!$B$16,'Process'!BM5=1),1+('Control Room'!$C$16-1)*EXP(-0.5*(($A48-'Control Room'!$A$16-('Control Room'!$B$16-1)/2)/MAX(0.5,'Control Room'!$B$16/4))^2),1)</x:f>
        <x:v>1</x:v>
      </x:c>
      <x:c r="Q48" s="9" t="n">
        <x:f>MOD(R47*16807,2147483647)</x:f>
        <x:v>1387887970</x:v>
      </x:c>
      <x:c r="R48" s="9" t="n">
        <x:f>MOD(Q48*16807,2147483647)</x:f>
        <x:v>265738076</x:v>
      </x:c>
      <x:c r="S48" s="17" t="n">
        <x:f>IF('Control Room'!$B$5="Normal",'Control Room'!$B$7+'Control Room'!$D$7*SQRT(-2*LN(MAX(0.000000000001,Q48/2147483647)))*COS(2*PI()*R48/2147483647),'Control Room'!$B$8+('Control Room'!$D$8-'Control Room'!$B$8)*Q48/2147483647)</x:f>
        <x:v>1059.9296841879498</x:v>
      </x:c>
      <x:c r="T48" s="17" t="n">
        <x:f>IF('Control Room'!$B$5="Normal",'Control Room'!$B$7,('Control Room'!$B$8+'Control Room'!$D$8)/2)+'Control Room'!$B$9*(T47-IF('Control Room'!$B$5="Normal",'Control Room'!$B$7,('Control Room'!$B$8+'Control Room'!$D$8)/2))+SQRT(1-'Control Room'!$B$9^2)*(S48-IF('Control Room'!$B$5="Normal",'Control Room'!$B$7,('Control Room'!$B$8+'Control Room'!$D$8)/2))</x:f>
        <x:v>1086.011354646611</x:v>
      </x:c>
      <x:c r="U48" s="17" t="n">
        <x:f>IF(AND($A48&gt;='Control Room'!$A$13,$A48&lt;'Control Room'!$A$13+'Control Room'!$B$13,'Process'!BN2=1),1+('Control Room'!$C$13-1)*EXP(-0.5*(($A48-'Control Room'!$A$13-('Control Room'!$B$13-1)/2)/MAX(0.5,'Control Room'!$B$13/4))^2),1)*IF(AND($A48&gt;='Control Room'!$A$14,$A48&lt;'Control Room'!$A$14+'Control Room'!$B$14,'Process'!BN3=1),1+('Control Room'!$C$14-1)*EXP(-0.5*(($A48-'Control Room'!$A$14-('Control Room'!$B$14-1)/2)/MAX(0.5,'Control Room'!$B$14/4))^2),1)*IF(AND($A48&gt;='Control Room'!$A$15,$A48&lt;'Control Room'!$A$15+'Control Room'!$B$15,'Process'!BN4=1),1+('Control Room'!$C$15-1)*EXP(-0.5*(($A48-'Control Room'!$A$15-('Control Room'!$B$15-1)/2)/MAX(0.5,'Control Room'!$B$15/4))^2),1)*IF(AND($A48&gt;='Control Room'!$A$16,$A48&lt;'Control Room'!$A$16+'Control Room'!$B$16,'Process'!BN5=1),1+('Control Room'!$C$16-1)*EXP(-0.5*(($A48-'Control Room'!$A$16-('Control Room'!$B$16-1)/2)/MAX(0.5,'Control Room'!$B$16/4))^2),1)</x:f>
        <x:v>1</x:v>
      </x:c>
      <x:c r="V48" s="9" t="n">
        <x:f>MOD(W47*16807,2147483647)</x:f>
        <x:v>262416101</x:v>
      </x:c>
      <x:c r="W48" s="9" t="n">
        <x:f>MOD(V48*16807,2147483647)</x:f>
        <x:v>1643482216</x:v>
      </x:c>
      <x:c r="X48" s="17" t="n">
        <x:f>IF('Control Room'!$B$5="Normal",'Control Room'!$B$7+'Control Room'!$D$7*SQRT(-2*LN(MAX(0.000000000001,V48/2147483647)))*COS(2*PI()*W48/2147483647),'Control Room'!$B$8+('Control Room'!$D$8-'Control Room'!$B$8)*V48/2147483647)</x:f>
        <x:v>1017.7198284362738</x:v>
      </x:c>
      <x:c r="Y48" s="17" t="n">
        <x:f>IF('Control Room'!$B$5="Normal",'Control Room'!$B$7,('Control Room'!$B$8+'Control Room'!$D$8)/2)+'Control Room'!$B$9*(Y47-IF('Control Room'!$B$5="Normal",'Control Room'!$B$7,('Control Room'!$B$8+'Control Room'!$D$8)/2))+SQRT(1-'Control Room'!$B$9^2)*(X48-IF('Control Room'!$B$5="Normal",'Control Room'!$B$7,('Control Room'!$B$8+'Control Room'!$D$8)/2))</x:f>
        <x:v>1047.311432886667</x:v>
      </x:c>
      <x:c r="Z48" s="17" t="n">
        <x:f>IF(AND($A48&gt;='Control Room'!$A$13,$A48&lt;'Control Room'!$A$13+'Control Room'!$B$13,'Process'!BO2=1),1+('Control Room'!$C$13-1)*EXP(-0.5*(($A48-'Control Room'!$A$13-('Control Room'!$B$13-1)/2)/MAX(0.5,'Control Room'!$B$13/4))^2),1)*IF(AND($A48&gt;='Control Room'!$A$14,$A48&lt;'Control Room'!$A$14+'Control Room'!$B$14,'Process'!BO3=1),1+('Control Room'!$C$14-1)*EXP(-0.5*(($A48-'Control Room'!$A$14-('Control Room'!$B$14-1)/2)/MAX(0.5,'Control Room'!$B$14/4))^2),1)*IF(AND($A48&gt;='Control Room'!$A$15,$A48&lt;'Control Room'!$A$15+'Control Room'!$B$15,'Process'!BO4=1),1+('Control Room'!$C$15-1)*EXP(-0.5*(($A48-'Control Room'!$A$15-('Control Room'!$B$15-1)/2)/MAX(0.5,'Control Room'!$B$15/4))^2),1)*IF(AND($A48&gt;='Control Room'!$A$16,$A48&lt;'Control Room'!$A$16+'Control Room'!$B$16,'Process'!BO5=1),1+('Control Room'!$C$16-1)*EXP(-0.5*(($A48-'Control Room'!$A$16-('Control Room'!$B$16-1)/2)/MAX(0.5,'Control Room'!$B$16/4))^2),1)</x:f>
        <x:v>1</x:v>
      </x:c>
      <x:c r="AA48" s="9" t="n">
        <x:f>MOD(AB47*16807,2147483647)</x:f>
        <x:v>1284427879</x:v>
      </x:c>
      <x:c r="AB48" s="9" t="n">
        <x:f>MOD(AA48*16807,2147483647)</x:f>
        <x:v>873742709</x:v>
      </x:c>
      <x:c r="AC48" s="17" t="n">
        <x:f>IF('Control Room'!$B$5="Normal",'Control Room'!$B$7+'Control Room'!$D$7*SQRT(-2*LN(MAX(0.000000000001,AA48/2147483647)))*COS(2*PI()*AB48/2147483647),'Control Room'!$B$8+('Control Room'!$D$8-'Control Room'!$B$8)*AA48/2147483647)</x:f>
        <x:v>923.9322148231025</x:v>
      </x:c>
      <x:c r="AD48" s="17" t="n">
        <x:f>IF('Control Room'!$B$5="Normal",'Control Room'!$B$7,('Control Room'!$B$8+'Control Room'!$D$8)/2)+'Control Room'!$B$9*(AD47-IF('Control Room'!$B$5="Normal",'Control Room'!$B$7,('Control Room'!$B$8+'Control Room'!$D$8)/2))+SQRT(1-'Control Room'!$B$9^2)*(AC48-IF('Control Room'!$B$5="Normal",'Control Room'!$B$7,('Control Room'!$B$8+'Control Room'!$D$8)/2))</x:f>
        <x:v>908.2278373436297</x:v>
      </x:c>
      <x:c r="AE48" s="17" t="n">
        <x:f>IF(AND($A48&gt;='Control Room'!$A$13,$A48&lt;'Control Room'!$A$13+'Control Room'!$B$13,'Process'!BP2=1),1+('Control Room'!$C$13-1)*EXP(-0.5*(($A48-'Control Room'!$A$13-('Control Room'!$B$13-1)/2)/MAX(0.5,'Control Room'!$B$13/4))^2),1)*IF(AND($A48&gt;='Control Room'!$A$14,$A48&lt;'Control Room'!$A$14+'Control Room'!$B$14,'Process'!BP3=1),1+('Control Room'!$C$14-1)*EXP(-0.5*(($A48-'Control Room'!$A$14-('Control Room'!$B$14-1)/2)/MAX(0.5,'Control Room'!$B$14/4))^2),1)*IF(AND($A48&gt;='Control Room'!$A$15,$A48&lt;'Control Room'!$A$15+'Control Room'!$B$15,'Process'!BP4=1),1+('Control Room'!$C$15-1)*EXP(-0.5*(($A48-'Control Room'!$A$15-('Control Room'!$B$15-1)/2)/MAX(0.5,'Control Room'!$B$15/4))^2),1)*IF(AND($A48&gt;='Control Room'!$A$16,$A48&lt;'Control Room'!$A$16+'Control Room'!$B$16,'Process'!BP5=1),1+('Control Room'!$C$16-1)*EXP(-0.5*(($A48-'Control Room'!$A$16-('Control Room'!$B$16-1)/2)/MAX(0.5,'Control Room'!$B$16/4))^2),1)</x:f>
        <x:v>1</x:v>
      </x:c>
      <x:c r="AF48" s="9" t="n">
        <x:f>MOD(AG47*16807,2147483647)</x:f>
        <x:v>158956010</x:v>
      </x:c>
      <x:c r="AG48" s="9" t="n">
        <x:f>MOD(AF48*16807,2147483647)</x:f>
        <x:v>104003202</x:v>
      </x:c>
      <x:c r="AH48" s="17" t="n">
        <x:f>IF('Control Room'!$B$5="Normal",'Control Room'!$B$7+'Control Room'!$D$7*SQRT(-2*LN(MAX(0.000000000001,AF48/2147483647)))*COS(2*PI()*AG48/2147483647),'Control Room'!$B$8+('Control Room'!$D$8-'Control Room'!$B$8)*AF48/2147483647)</x:f>
        <x:v>1195.9317389423268</x:v>
      </x:c>
      <x:c r="AI48" s="17" t="n">
        <x:f>IF('Control Room'!$B$5="Normal",'Control Room'!$B$7,('Control Room'!$B$8+'Control Room'!$D$8)/2)+'Control Room'!$B$9*(AI47-IF('Control Room'!$B$5="Normal",'Control Room'!$B$7,('Control Room'!$B$8+'Control Room'!$D$8)/2))+SQRT(1-'Control Room'!$B$9^2)*(AH48-IF('Control Room'!$B$5="Normal",'Control Room'!$B$7,('Control Room'!$B$8+'Control Room'!$D$8)/2))</x:f>
        <x:v>1068.934099168903</x:v>
      </x:c>
      <x:c r="AJ48" s="17" t="n">
        <x:f>IF(AND($A48&gt;='Control Room'!$A$13,$A48&lt;'Control Room'!$A$13+'Control Room'!$B$13,'Process'!BQ2=1),1+('Control Room'!$C$13-1)*EXP(-0.5*(($A48-'Control Room'!$A$13-('Control Room'!$B$13-1)/2)/MAX(0.5,'Control Room'!$B$13/4))^2),1)*IF(AND($A48&gt;='Control Room'!$A$14,$A48&lt;'Control Room'!$A$14+'Control Room'!$B$14,'Process'!BQ3=1),1+('Control Room'!$C$14-1)*EXP(-0.5*(($A48-'Control Room'!$A$14-('Control Room'!$B$14-1)/2)/MAX(0.5,'Control Room'!$B$14/4))^2),1)*IF(AND($A48&gt;='Control Room'!$A$15,$A48&lt;'Control Room'!$A$15+'Control Room'!$B$15,'Process'!BQ4=1),1+('Control Room'!$C$15-1)*EXP(-0.5*(($A48-'Control Room'!$A$15-('Control Room'!$B$15-1)/2)/MAX(0.5,'Control Room'!$B$15/4))^2),1)*IF(AND($A48&gt;='Control Room'!$A$16,$A48&lt;'Control Room'!$A$16+'Control Room'!$B$16,'Process'!BQ5=1),1+('Control Room'!$C$16-1)*EXP(-0.5*(($A48-'Control Room'!$A$16-('Control Room'!$B$16-1)/2)/MAX(0.5,'Control Room'!$B$16/4))^2),1)</x:f>
        <x:v>1</x:v>
      </x:c>
      <x:c r="AK48" s="9" t="n">
        <x:f>MOD(AL47*16807,2147483647)</x:f>
        <x:v>1180967788</x:v>
      </x:c>
      <x:c r="AL48" s="9" t="n">
        <x:f>MOD(AK48*16807,2147483647)</x:f>
        <x:v>1481747342</x:v>
      </x:c>
      <x:c r="AM48" s="17" t="n">
        <x:f>IF('Control Room'!$B$5="Normal",'Control Room'!$B$7+'Control Room'!$D$7*SQRT(-2*LN(MAX(0.000000000001,AK48/2147483647)))*COS(2*PI()*AL48/2147483647),'Control Room'!$B$8+('Control Room'!$D$8-'Control Room'!$B$8)*AK48/2147483647)</x:f>
        <x:v>963.7638696492148</x:v>
      </x:c>
      <x:c r="AN48" s="17" t="n">
        <x:f>IF('Control Room'!$B$5="Normal",'Control Room'!$B$7,('Control Room'!$B$8+'Control Room'!$D$8)/2)+'Control Room'!$B$9*(AN47-IF('Control Room'!$B$5="Normal",'Control Room'!$B$7,('Control Room'!$B$8+'Control Room'!$D$8)/2))+SQRT(1-'Control Room'!$B$9^2)*(AM48-IF('Control Room'!$B$5="Normal",'Control Room'!$B$7,('Control Room'!$B$8+'Control Room'!$D$8)/2))</x:f>
        <x:v>988.6169239062126</x:v>
      </x:c>
      <x:c r="AO48" s="17" t="n">
        <x:f>IF(AND($A48&gt;='Control Room'!$A$13,$A48&lt;'Control Room'!$A$13+'Control Room'!$B$13,'Process'!BR2=1),1+('Control Room'!$C$13-1)*EXP(-0.5*(($A48-'Control Room'!$A$13-('Control Room'!$B$13-1)/2)/MAX(0.5,'Control Room'!$B$13/4))^2),1)*IF(AND($A48&gt;='Control Room'!$A$14,$A48&lt;'Control Room'!$A$14+'Control Room'!$B$14,'Process'!BR3=1),1+('Control Room'!$C$14-1)*EXP(-0.5*(($A48-'Control Room'!$A$14-('Control Room'!$B$14-1)/2)/MAX(0.5,'Control Room'!$B$14/4))^2),1)*IF(AND($A48&gt;='Control Room'!$A$15,$A48&lt;'Control Room'!$A$15+'Control Room'!$B$15,'Process'!BR4=1),1+('Control Room'!$C$15-1)*EXP(-0.5*(($A48-'Control Room'!$A$15-('Control Room'!$B$15-1)/2)/MAX(0.5,'Control Room'!$B$15/4))^2),1)*IF(AND($A48&gt;='Control Room'!$A$16,$A48&lt;'Control Room'!$A$16+'Control Room'!$B$16,'Process'!BR5=1),1+('Control Room'!$C$16-1)*EXP(-0.5*(($A48-'Control Room'!$A$16-('Control Room'!$B$16-1)/2)/MAX(0.5,'Control Room'!$B$16/4))^2),1)</x:f>
        <x:v>1</x:v>
      </x:c>
      <x:c r="AP48" s="9" t="n">
        <x:f>MOD(AQ47*16807,2147483647)</x:f>
        <x:v>55495919</x:v>
      </x:c>
      <x:c r="AQ48" s="9" t="n">
        <x:f>MOD(AP48*16807,2147483647)</x:f>
        <x:v>712007835</x:v>
      </x:c>
      <x:c r="AR48" s="17" t="n">
        <x:f>IF('Control Room'!$B$5="Normal",'Control Room'!$B$7+'Control Room'!$D$7*SQRT(-2*LN(MAX(0.000000000001,AP48/2147483647)))*COS(2*PI()*AQ48/2147483647),'Control Room'!$B$8+('Control Room'!$D$8-'Control Room'!$B$8)*AP48/2147483647)</x:f>
        <x:v>880.6842030286165</x:v>
      </x:c>
      <x:c r="AS48" s="17" t="n">
        <x:f>IF('Control Room'!$B$5="Normal",'Control Room'!$B$7,('Control Room'!$B$8+'Control Room'!$D$8)/2)+'Control Room'!$B$9*(AS47-IF('Control Room'!$B$5="Normal",'Control Room'!$B$7,('Control Room'!$B$8+'Control Room'!$D$8)/2))+SQRT(1-'Control Room'!$B$9^2)*(AR48-IF('Control Room'!$B$5="Normal",'Control Room'!$B$7,('Control Room'!$B$8+'Control Room'!$D$8)/2))</x:f>
        <x:v>944.6332026282624</x:v>
      </x:c>
      <x:c r="AT48" s="17" t="n">
        <x:f>IF(AND($A48&gt;='Control Room'!$A$13,$A48&lt;'Control Room'!$A$13+'Control Room'!$B$13,'Process'!BS2=1),1+('Control Room'!$C$13-1)*EXP(-0.5*(($A48-'Control Room'!$A$13-('Control Room'!$B$13-1)/2)/MAX(0.5,'Control Room'!$B$13/4))^2),1)*IF(AND($A48&gt;='Control Room'!$A$14,$A48&lt;'Control Room'!$A$14+'Control Room'!$B$14,'Process'!BS3=1),1+('Control Room'!$C$14-1)*EXP(-0.5*(($A48-'Control Room'!$A$14-('Control Room'!$B$14-1)/2)/MAX(0.5,'Control Room'!$B$14/4))^2),1)*IF(AND($A48&gt;='Control Room'!$A$15,$A48&lt;'Control Room'!$A$15+'Control Room'!$B$15,'Process'!BS4=1),1+('Control Room'!$C$15-1)*EXP(-0.5*(($A48-'Control Room'!$A$15-('Control Room'!$B$15-1)/2)/MAX(0.5,'Control Room'!$B$15/4))^2),1)*IF(AND($A48&gt;='Control Room'!$A$16,$A48&lt;'Control Room'!$A$16+'Control Room'!$B$16,'Process'!BS5=1),1+('Control Room'!$C$16-1)*EXP(-0.5*(($A48-'Control Room'!$A$16-('Control Room'!$B$16-1)/2)/MAX(0.5,'Control Room'!$B$16/4))^2),1)</x:f>
        <x:v>1</x:v>
      </x:c>
      <x:c r="AU48" s="9" t="n">
        <x:f>MOD(AV47*16807,2147483647)</x:f>
        <x:v>1077507697</x:v>
      </x:c>
      <x:c r="AV48" s="9" t="n">
        <x:f>MOD(AU48*16807,2147483647)</x:f>
        <x:v>2089751975</x:v>
      </x:c>
      <x:c r="AW48" s="17" t="n">
        <x:f>IF('Control Room'!$B$5="Normal",'Control Room'!$B$7+'Control Room'!$D$7*SQRT(-2*LN(MAX(0.000000000001,AU48/2147483647)))*COS(2*PI()*AV48/2147483647),'Control Room'!$B$8+('Control Room'!$D$8-'Control Room'!$B$8)*AU48/2147483647)</x:f>
        <x:v>1104.1946366241668</x:v>
      </x:c>
      <x:c r="AX48" s="17" t="n">
        <x:f>IF('Control Room'!$B$5="Normal",'Control Room'!$B$7,('Control Room'!$B$8+'Control Room'!$D$8)/2)+'Control Room'!$B$9*(AX47-IF('Control Room'!$B$5="Normal",'Control Room'!$B$7,('Control Room'!$B$8+'Control Room'!$D$8)/2))+SQRT(1-'Control Room'!$B$9^2)*(AW48-IF('Control Room'!$B$5="Normal",'Control Room'!$B$7,('Control Room'!$B$8+'Control Room'!$D$8)/2))</x:f>
        <x:v>1166.899727583223</x:v>
      </x:c>
      <x:c r="AY48" s="17" t="n">
        <x:f>IF(AND($A48&gt;='Control Room'!$A$13,$A48&lt;'Control Room'!$A$13+'Control Room'!$B$13,'Process'!BT2=1),1+('Control Room'!$C$13-1)*EXP(-0.5*(($A48-'Control Room'!$A$13-('Control Room'!$B$13-1)/2)/MAX(0.5,'Control Room'!$B$13/4))^2),1)*IF(AND($A48&gt;='Control Room'!$A$14,$A48&lt;'Control Room'!$A$14+'Control Room'!$B$14,'Process'!BT3=1),1+('Control Room'!$C$14-1)*EXP(-0.5*(($A48-'Control Room'!$A$14-('Control Room'!$B$14-1)/2)/MAX(0.5,'Control Room'!$B$14/4))^2),1)*IF(AND($A48&gt;='Control Room'!$A$15,$A48&lt;'Control Room'!$A$15+'Control Room'!$B$15,'Process'!BT4=1),1+('Control Room'!$C$15-1)*EXP(-0.5*(($A48-'Control Room'!$A$15-('Control Room'!$B$15-1)/2)/MAX(0.5,'Control Room'!$B$15/4))^2),1)*IF(AND($A48&gt;='Control Room'!$A$16,$A48&lt;'Control Room'!$A$16+'Control Room'!$B$16,'Process'!BT5=1),1+('Control Room'!$C$16-1)*EXP(-0.5*(($A48-'Control Room'!$A$16-('Control Room'!$B$16-1)/2)/MAX(0.5,'Control Room'!$B$16/4))^2),1)</x:f>
        <x:v>1</x:v>
      </x:c>
      <x:c r="AZ48" s="9" t="n">
        <x:f>MOD(BA47*16807,2147483647)</x:f>
        <x:v>2099519475</x:v>
      </x:c>
      <x:c r="BA48" s="9" t="n">
        <x:f>MOD(AZ48*16807,2147483647)</x:f>
        <x:v>1320012468</x:v>
      </x:c>
      <x:c r="BB48" s="17" t="n">
        <x:f>IF('Control Room'!$B$5="Normal",'Control Room'!$B$7+'Control Room'!$D$7*SQRT(-2*LN(MAX(0.000000000001,AZ48/2147483647)))*COS(2*PI()*BA48/2147483647),'Control Room'!$B$8+('Control Room'!$D$8-'Control Room'!$B$8)*AZ48/2147483647)</x:f>
        <x:v>985.6253965852718</x:v>
      </x:c>
      <x:c r="BC48" s="17" t="n">
        <x:f>IF('Control Room'!$B$5="Normal",'Control Room'!$B$7,('Control Room'!$B$8+'Control Room'!$D$8)/2)+'Control Room'!$B$9*(BC47-IF('Control Room'!$B$5="Normal",'Control Room'!$B$7,('Control Room'!$B$8+'Control Room'!$D$8)/2))+SQRT(1-'Control Room'!$B$9^2)*(BB48-IF('Control Room'!$B$5="Normal",'Control Room'!$B$7,('Control Room'!$B$8+'Control Room'!$D$8)/2))</x:f>
        <x:v>876.8769552371647</x:v>
      </x:c>
      <x:c r="BD48" s="17" t="n">
        <x:f>IF(AND($A48&gt;='Control Room'!$A$13,$A48&lt;'Control Room'!$A$13+'Control Room'!$B$13,'Process'!BU2=1),1+('Control Room'!$C$13-1)*EXP(-0.5*(($A48-'Control Room'!$A$13-('Control Room'!$B$13-1)/2)/MAX(0.5,'Control Room'!$B$13/4))^2),1)*IF(AND($A48&gt;='Control Room'!$A$14,$A48&lt;'Control Room'!$A$14+'Control Room'!$B$14,'Process'!BU3=1),1+('Control Room'!$C$14-1)*EXP(-0.5*(($A48-'Control Room'!$A$14-('Control Room'!$B$14-1)/2)/MAX(0.5,'Control Room'!$B$14/4))^2),1)*IF(AND($A48&gt;='Control Room'!$A$15,$A48&lt;'Control Room'!$A$15+'Control Room'!$B$15,'Process'!BU4=1),1+('Control Room'!$C$15-1)*EXP(-0.5*(($A48-'Control Room'!$A$15-('Control Room'!$B$15-1)/2)/MAX(0.5,'Control Room'!$B$15/4))^2),1)*IF(AND($A48&gt;='Control Room'!$A$16,$A48&lt;'Control Room'!$A$16+'Control Room'!$B$16,'Process'!BU5=1),1+('Control Room'!$C$16-1)*EXP(-0.5*(($A48-'Control Room'!$A$16-('Control Room'!$B$16-1)/2)/MAX(0.5,'Control Room'!$B$16/4))^2),1)</x:f>
        <x:v>1</x:v>
      </x:c>
      <x:c r="BE48" s="9" t="n">
        <x:f>MOD(BF47*16807,2147483647)</x:f>
        <x:v>974047606</x:v>
      </x:c>
      <x:c r="BF48" s="9" t="n">
        <x:f>MOD(BE48*16807,2147483647)</x:f>
        <x:v>550272961</x:v>
      </x:c>
      <x:c r="BG48" s="17" t="n">
        <x:f>IF('Control Room'!$B$5="Normal",'Control Room'!$B$7+'Control Room'!$D$7*SQRT(-2*LN(MAX(0.000000000001,BE48/2147483647)))*COS(2*PI()*BF48/2147483647),'Control Room'!$B$8+('Control Room'!$D$8-'Control Room'!$B$8)*BE48/2147483647)</x:f>
        <x:v>995.5634683070972</x:v>
      </x:c>
      <x:c r="BH48" s="17" t="n">
        <x:f>IF('Control Room'!$B$5="Normal",'Control Room'!$B$7,('Control Room'!$B$8+'Control Room'!$D$8)/2)+'Control Room'!$B$9*(BH47-IF('Control Room'!$B$5="Normal",'Control Room'!$B$7,('Control Room'!$B$8+'Control Room'!$D$8)/2))+SQRT(1-'Control Room'!$B$9^2)*(BG48-IF('Control Room'!$B$5="Normal",'Control Room'!$B$7,('Control Room'!$B$8+'Control Room'!$D$8)/2))</x:f>
        <x:v>1005.6186264088429</x:v>
      </x:c>
      <x:c r="BI48" s="17" t="n">
        <x:f>IF(AND($A48&gt;='Control Room'!$A$13,$A48&lt;'Control Room'!$A$13+'Control Room'!$B$13,'Process'!BV2=1),1+('Control Room'!$C$13-1)*EXP(-0.5*(($A48-'Control Room'!$A$13-('Control Room'!$B$13-1)/2)/MAX(0.5,'Control Room'!$B$13/4))^2),1)*IF(AND($A48&gt;='Control Room'!$A$14,$A48&lt;'Control Room'!$A$14+'Control Room'!$B$14,'Process'!BV3=1),1+('Control Room'!$C$14-1)*EXP(-0.5*(($A48-'Control Room'!$A$14-('Control Room'!$B$14-1)/2)/MAX(0.5,'Control Room'!$B$14/4))^2),1)*IF(AND($A48&gt;='Control Room'!$A$15,$A48&lt;'Control Room'!$A$15+'Control Room'!$B$15,'Process'!BV4=1),1+('Control Room'!$C$15-1)*EXP(-0.5*(($A48-'Control Room'!$A$15-('Control Room'!$B$15-1)/2)/MAX(0.5,'Control Room'!$B$15/4))^2),1)*IF(AND($A48&gt;='Control Room'!$A$16,$A48&lt;'Control Room'!$A$16+'Control Room'!$B$16,'Process'!BV5=1),1+('Control Room'!$C$16-1)*EXP(-0.5*(($A48-'Control Room'!$A$16-('Control Room'!$B$16-1)/2)/MAX(0.5,'Control Room'!$B$16/4))^2),1)</x:f>
        <x:v>1</x:v>
      </x:c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Z48" t="str">
        <x:f>IF('Data'!A48="","",TEXT('Data'!A48,"mm-dd"))</x:f>
        <x:v>12-18</x:v>
      </x:c>
    </x:row>
    <x:row r="49" ht="21" customHeight="1">
      <x:c r="A49" s="15" t="n">
        <x:f>'Control Room'!$B$1+47</x:f>
        <x:v>73038</x:v>
      </x:c>
      <x:c r="B49" s="9" t="n">
        <x:f>MOD(C48*16807,2147483647)</x:f>
        <x:v>1205071435</x:v>
      </x:c>
      <x:c r="C49" s="9" t="n">
        <x:f>MOD(B49*16807,2147483647)</x:f>
        <x:v>717333188</x:v>
      </x:c>
      <x:c r="D49" s="17" t="n">
        <x:f>IF('Control Room'!$B$5="Normal",'Control Room'!$B$7+'Control Room'!$D$7*SQRT(-2*LN(MAX(0.000000000001,B49/2147483647)))*COS(2*PI()*C49/2147483647),'Control Room'!$B$8+('Control Room'!$D$8-'Control Room'!$B$8)*B49/2147483647)</x:f>
        <x:v>951.2587474521791</x:v>
      </x:c>
      <x:c r="E49" s="17" t="n">
        <x:f>IF('Control Room'!$B$5="Normal",'Control Room'!$B$7,('Control Room'!$B$8+'Control Room'!$D$8)/2)+'Control Room'!$B$9*(E48-IF('Control Room'!$B$5="Normal",'Control Room'!$B$7,('Control Room'!$B$8+'Control Room'!$D$8)/2))+SQRT(1-'Control Room'!$B$9^2)*(D49-IF('Control Room'!$B$5="Normal",'Control Room'!$B$7,('Control Room'!$B$8+'Control Room'!$D$8)/2))</x:f>
        <x:v>920.2250257664396</x:v>
      </x:c>
      <x:c r="F49" s="17" t="n">
        <x:f>IF(AND($A49&gt;='Control Room'!$A$13,$A49&lt;'Control Room'!$A$13+'Control Room'!$B$13,'Process'!BK2=1),1+('Control Room'!$C$13-1)*EXP(-0.5*(($A49-'Control Room'!$A$13-('Control Room'!$B$13-1)/2)/MAX(0.5,'Control Room'!$B$13/4))^2),1)*IF(AND($A49&gt;='Control Room'!$A$14,$A49&lt;'Control Room'!$A$14+'Control Room'!$B$14,'Process'!BK3=1),1+('Control Room'!$C$14-1)*EXP(-0.5*(($A49-'Control Room'!$A$14-('Control Room'!$B$14-1)/2)/MAX(0.5,'Control Room'!$B$14/4))^2),1)*IF(AND($A49&gt;='Control Room'!$A$15,$A49&lt;'Control Room'!$A$15+'Control Room'!$B$15,'Process'!BK4=1),1+('Control Room'!$C$15-1)*EXP(-0.5*(($A49-'Control Room'!$A$15-('Control Room'!$B$15-1)/2)/MAX(0.5,'Control Room'!$B$15/4))^2),1)*IF(AND($A49&gt;='Control Room'!$A$16,$A49&lt;'Control Room'!$A$16+'Control Room'!$B$16,'Process'!BK5=1),1+('Control Room'!$C$16-1)*EXP(-0.5*(($A49-'Control Room'!$A$16-('Control Room'!$B$16-1)/2)/MAX(0.5,'Control Room'!$B$16/4))^2),1)</x:f>
        <x:v>1</x:v>
      </x:c>
      <x:c r="G49" s="9" t="n">
        <x:f>MOD(H48*16807,2147483647)</x:f>
        <x:v>634666814</x:v>
      </x:c>
      <x:c r="H49" s="9" t="n">
        <x:f>MOD(G49*16807,2147483647)</x:f>
        <x:v>293868249</x:v>
      </x:c>
      <x:c r="I49" s="17" t="n">
        <x:f>IF('Control Room'!$B$5="Normal",'Control Room'!$B$7+'Control Room'!$D$7*SQRT(-2*LN(MAX(0.000000000001,G49/2147483647)))*COS(2*PI()*H49/2147483647),'Control Room'!$B$8+('Control Room'!$D$8-'Control Room'!$B$8)*G49/2147483647)</x:f>
        <x:v>1091.7033781015427</x:v>
      </x:c>
      <x:c r="J49" s="17" t="n">
        <x:f>IF('Control Room'!$B$5="Normal",'Control Room'!$B$7,('Control Room'!$B$8+'Control Room'!$D$8)/2)+'Control Room'!$B$9*(J48-IF('Control Room'!$B$5="Normal",'Control Room'!$B$7,('Control Room'!$B$8+'Control Room'!$D$8)/2))+SQRT(1-'Control Room'!$B$9^2)*(I49-IF('Control Room'!$B$5="Normal",'Control Room'!$B$7,('Control Room'!$B$8+'Control Room'!$D$8)/2))</x:f>
        <x:v>1052.5929205370278</x:v>
      </x:c>
      <x:c r="K49" s="17" t="n">
        <x:f>IF(AND($A49&gt;='Control Room'!$A$13,$A49&lt;'Control Room'!$A$13+'Control Room'!$B$13,'Process'!BL2=1),1+('Control Room'!$C$13-1)*EXP(-0.5*(($A49-'Control Room'!$A$13-('Control Room'!$B$13-1)/2)/MAX(0.5,'Control Room'!$B$13/4))^2),1)*IF(AND($A49&gt;='Control Room'!$A$14,$A49&lt;'Control Room'!$A$14+'Control Room'!$B$14,'Process'!BL3=1),1+('Control Room'!$C$14-1)*EXP(-0.5*(($A49-'Control Room'!$A$14-('Control Room'!$B$14-1)/2)/MAX(0.5,'Control Room'!$B$14/4))^2),1)*IF(AND($A49&gt;='Control Room'!$A$15,$A49&lt;'Control Room'!$A$15+'Control Room'!$B$15,'Process'!BL4=1),1+('Control Room'!$C$15-1)*EXP(-0.5*(($A49-'Control Room'!$A$15-('Control Room'!$B$15-1)/2)/MAX(0.5,'Control Room'!$B$15/4))^2),1)*IF(AND($A49&gt;='Control Room'!$A$16,$A49&lt;'Control Room'!$A$16+'Control Room'!$B$16,'Process'!BL5=1),1+('Control Room'!$C$16-1)*EXP(-0.5*(($A49-'Control Room'!$A$16-('Control Room'!$B$16-1)/2)/MAX(0.5,'Control Room'!$B$16/4))^2),1)</x:f>
        <x:v>1</x:v>
      </x:c>
      <x:c r="L49" s="9" t="n">
        <x:f>MOD(M48*16807,2147483647)</x:f>
        <x:v>64262193</x:v>
      </x:c>
      <x:c r="M49" s="9" t="n">
        <x:f>MOD(L49*16807,2147483647)</x:f>
        <x:v>2017886957</x:v>
      </x:c>
      <x:c r="N49" s="17" t="n">
        <x:f>IF('Control Room'!$B$5="Normal",'Control Room'!$B$7+'Control Room'!$D$7*SQRT(-2*LN(MAX(0.000000000001,L49/2147483647)))*COS(2*PI()*M49/2147483647),'Control Room'!$B$8+('Control Room'!$D$8-'Control Room'!$B$8)*L49/2147483647)</x:f>
        <x:v>1221.49064219883</x:v>
      </x:c>
      <x:c r="O49" s="17" t="n">
        <x:f>IF('Control Room'!$B$5="Normal",'Control Room'!$B$7,('Control Room'!$B$8+'Control Room'!$D$8)/2)+'Control Room'!$B$9*(O48-IF('Control Room'!$B$5="Normal",'Control Room'!$B$7,('Control Room'!$B$8+'Control Room'!$D$8)/2))+SQRT(1-'Control Room'!$B$9^2)*(N49-IF('Control Room'!$B$5="Normal",'Control Room'!$B$7,('Control Room'!$B$8+'Control Room'!$D$8)/2))</x:f>
        <x:v>1020.0666266170749</x:v>
      </x:c>
      <x:c r="P49" s="17" t="n">
        <x:f>IF(AND($A49&gt;='Control Room'!$A$13,$A49&lt;'Control Room'!$A$13+'Control Room'!$B$13,'Process'!BM2=1),1+('Control Room'!$C$13-1)*EXP(-0.5*(($A49-'Control Room'!$A$13-('Control Room'!$B$13-1)/2)/MAX(0.5,'Control Room'!$B$13/4))^2),1)*IF(AND($A49&gt;='Control Room'!$A$14,$A49&lt;'Control Room'!$A$14+'Control Room'!$B$14,'Process'!BM3=1),1+('Control Room'!$C$14-1)*EXP(-0.5*(($A49-'Control Room'!$A$14-('Control Room'!$B$14-1)/2)/MAX(0.5,'Control Room'!$B$14/4))^2),1)*IF(AND($A49&gt;='Control Room'!$A$15,$A49&lt;'Control Room'!$A$15+'Control Room'!$B$15,'Process'!BM4=1),1+('Control Room'!$C$15-1)*EXP(-0.5*(($A49-'Control Room'!$A$15-('Control Room'!$B$15-1)/2)/MAX(0.5,'Control Room'!$B$15/4))^2),1)*IF(AND($A49&gt;='Control Room'!$A$16,$A49&lt;'Control Room'!$A$16+'Control Room'!$B$16,'Process'!BM5=1),1+('Control Room'!$C$16-1)*EXP(-0.5*(($A49-'Control Room'!$A$16-('Control Room'!$B$16-1)/2)/MAX(0.5,'Control Room'!$B$16/4))^2),1)</x:f>
        <x:v>1</x:v>
      </x:c>
      <x:c r="Q49" s="9" t="n">
        <x:f>MOD(R48*16807,2147483647)</x:f>
        <x:v>1641341219</x:v>
      </x:c>
      <x:c r="R49" s="9" t="n">
        <x:f>MOD(Q49*16807,2147483647)</x:f>
        <x:v>1594422018</x:v>
      </x:c>
      <x:c r="S49" s="17" t="n">
        <x:f>IF('Control Room'!$B$5="Normal",'Control Room'!$B$7+'Control Room'!$D$7*SQRT(-2*LN(MAX(0.000000000001,Q49/2147483647)))*COS(2*PI()*R49/2147483647),'Control Room'!$B$8+('Control Room'!$D$8-'Control Room'!$B$8)*Q49/2147483647)</x:f>
        <x:v>996.8752729687582</x:v>
      </x:c>
      <x:c r="T49" s="17" t="n">
        <x:f>IF('Control Room'!$B$5="Normal",'Control Room'!$B$7,('Control Room'!$B$8+'Control Room'!$D$8)/2)+'Control Room'!$B$9*(T48-IF('Control Room'!$B$5="Normal",'Control Room'!$B$7,('Control Room'!$B$8+'Control Room'!$D$8)/2))+SQRT(1-'Control Room'!$B$9^2)*(S49-IF('Control Room'!$B$5="Normal",'Control Room'!$B$7,('Control Room'!$B$8+'Control Room'!$D$8)/2))</x:f>
        <x:v>1065.1334664617182</x:v>
      </x:c>
      <x:c r="U49" s="17" t="n">
        <x:f>IF(AND($A49&gt;='Control Room'!$A$13,$A49&lt;'Control Room'!$A$13+'Control Room'!$B$13,'Process'!BN2=1),1+('Control Room'!$C$13-1)*EXP(-0.5*(($A49-'Control Room'!$A$13-('Control Room'!$B$13-1)/2)/MAX(0.5,'Control Room'!$B$13/4))^2),1)*IF(AND($A49&gt;='Control Room'!$A$14,$A49&lt;'Control Room'!$A$14+'Control Room'!$B$14,'Process'!BN3=1),1+('Control Room'!$C$14-1)*EXP(-0.5*(($A49-'Control Room'!$A$14-('Control Room'!$B$14-1)/2)/MAX(0.5,'Control Room'!$B$14/4))^2),1)*IF(AND($A49&gt;='Control Room'!$A$15,$A49&lt;'Control Room'!$A$15+'Control Room'!$B$15,'Process'!BN4=1),1+('Control Room'!$C$15-1)*EXP(-0.5*(($A49-'Control Room'!$A$15-('Control Room'!$B$15-1)/2)/MAX(0.5,'Control Room'!$B$15/4))^2),1)*IF(AND($A49&gt;='Control Room'!$A$16,$A49&lt;'Control Room'!$A$16+'Control Room'!$B$16,'Process'!BN5=1),1+('Control Room'!$C$16-1)*EXP(-0.5*(($A49-'Control Room'!$A$16-('Control Room'!$B$16-1)/2)/MAX(0.5,'Control Room'!$B$16/4))^2),1)</x:f>
        <x:v>1</x:v>
      </x:c>
      <x:c r="V49" s="9" t="n">
        <x:f>MOD(W48*16807,2147483647)</x:f>
        <x:v>1070936598</x:v>
      </x:c>
      <x:c r="W49" s="9" t="n">
        <x:f>MOD(V49*16807,2147483647)</x:f>
        <x:v>1170957079</x:v>
      </x:c>
      <x:c r="X49" s="17" t="n">
        <x:f>IF('Control Room'!$B$5="Normal",'Control Room'!$B$7+'Control Room'!$D$7*SQRT(-2*LN(MAX(0.000000000001,V49/2147483647)))*COS(2*PI()*W49/2147483647),'Control Room'!$B$8+('Control Room'!$D$8-'Control Room'!$B$8)*V49/2147483647)</x:f>
        <x:v>898.0990895091927</x:v>
      </x:c>
      <x:c r="Y49" s="17" t="n">
        <x:f>IF('Control Room'!$B$5="Normal",'Control Room'!$B$7,('Control Room'!$B$8+'Control Room'!$D$8)/2)+'Control Room'!$B$9*(Y48-IF('Control Room'!$B$5="Normal",'Control Room'!$B$7,('Control Room'!$B$8+'Control Room'!$D$8)/2))+SQRT(1-'Control Room'!$B$9^2)*(X49-IF('Control Room'!$B$5="Normal",'Control Room'!$B$7,('Control Room'!$B$8+'Control Room'!$D$8)/2))</x:f>
        <x:v>973.1354154200732</x:v>
      </x:c>
      <x:c r="Z49" s="17" t="n">
        <x:f>IF(AND($A49&gt;='Control Room'!$A$13,$A49&lt;'Control Room'!$A$13+'Control Room'!$B$13,'Process'!BO2=1),1+('Control Room'!$C$13-1)*EXP(-0.5*(($A49-'Control Room'!$A$13-('Control Room'!$B$13-1)/2)/MAX(0.5,'Control Room'!$B$13/4))^2),1)*IF(AND($A49&gt;='Control Room'!$A$14,$A49&lt;'Control Room'!$A$14+'Control Room'!$B$14,'Process'!BO3=1),1+('Control Room'!$C$14-1)*EXP(-0.5*(($A49-'Control Room'!$A$14-('Control Room'!$B$14-1)/2)/MAX(0.5,'Control Room'!$B$14/4))^2),1)*IF(AND($A49&gt;='Control Room'!$A$15,$A49&lt;'Control Room'!$A$15+'Control Room'!$B$15,'Process'!BO4=1),1+('Control Room'!$C$15-1)*EXP(-0.5*(($A49-'Control Room'!$A$15-('Control Room'!$B$15-1)/2)/MAX(0.5,'Control Room'!$B$15/4))^2),1)*IF(AND($A49&gt;='Control Room'!$A$16,$A49&lt;'Control Room'!$A$16+'Control Room'!$B$16,'Process'!BO5=1),1+('Control Room'!$C$16-1)*EXP(-0.5*(($A49-'Control Room'!$A$16-('Control Room'!$B$16-1)/2)/MAX(0.5,'Control Room'!$B$16/4))^2),1)</x:f>
        <x:v>1</x:v>
      </x:c>
      <x:c r="AA49" s="9" t="n">
        <x:f>MOD(AB48*16807,2147483647)</x:f>
        <x:v>500531977</x:v>
      </x:c>
      <x:c r="AB49" s="9" t="n">
        <x:f>MOD(AA49*16807,2147483647)</x:f>
        <x:v>747492140</x:v>
      </x:c>
      <x:c r="AC49" s="17" t="n">
        <x:f>IF('Control Room'!$B$5="Normal",'Control Room'!$B$7+'Control Room'!$D$7*SQRT(-2*LN(MAX(0.000000000001,AA49/2147483647)))*COS(2*PI()*AB49/2147483647),'Control Room'!$B$8+('Control Room'!$D$8-'Control Room'!$B$8)*AA49/2147483647)</x:f>
        <x:v>911.2225095254196</x:v>
      </x:c>
      <x:c r="AD49" s="17" t="n">
        <x:f>IF('Control Room'!$B$5="Normal",'Control Room'!$B$7,('Control Room'!$B$8+'Control Room'!$D$8)/2)+'Control Room'!$B$9*(AD48-IF('Control Room'!$B$5="Normal",'Control Room'!$B$7,('Control Room'!$B$8+'Control Room'!$D$8)/2))+SQRT(1-'Control Room'!$B$9^2)*(AC49-IF('Control Room'!$B$5="Normal",'Control Room'!$B$7,('Control Room'!$B$8+'Control Room'!$D$8)/2))</x:f>
        <x:v>872.8625782947867</x:v>
      </x:c>
      <x:c r="AE49" s="17" t="n">
        <x:f>IF(AND($A49&gt;='Control Room'!$A$13,$A49&lt;'Control Room'!$A$13+'Control Room'!$B$13,'Process'!BP2=1),1+('Control Room'!$C$13-1)*EXP(-0.5*(($A49-'Control Room'!$A$13-('Control Room'!$B$13-1)/2)/MAX(0.5,'Control Room'!$B$13/4))^2),1)*IF(AND($A49&gt;='Control Room'!$A$14,$A49&lt;'Control Room'!$A$14+'Control Room'!$B$14,'Process'!BP3=1),1+('Control Room'!$C$14-1)*EXP(-0.5*(($A49-'Control Room'!$A$14-('Control Room'!$B$14-1)/2)/MAX(0.5,'Control Room'!$B$14/4))^2),1)*IF(AND($A49&gt;='Control Room'!$A$15,$A49&lt;'Control Room'!$A$15+'Control Room'!$B$15,'Process'!BP4=1),1+('Control Room'!$C$15-1)*EXP(-0.5*(($A49-'Control Room'!$A$15-('Control Room'!$B$15-1)/2)/MAX(0.5,'Control Room'!$B$15/4))^2),1)*IF(AND($A49&gt;='Control Room'!$A$16,$A49&lt;'Control Room'!$A$16+'Control Room'!$B$16,'Process'!BP5=1),1+('Control Room'!$C$16-1)*EXP(-0.5*(($A49-'Control Room'!$A$16-('Control Room'!$B$16-1)/2)/MAX(0.5,'Control Room'!$B$16/4))^2),1)</x:f>
        <x:v>1</x:v>
      </x:c>
      <x:c r="AF49" s="9" t="n">
        <x:f>MOD(AG48*16807,2147483647)</x:f>
        <x:v>2077611003</x:v>
      </x:c>
      <x:c r="AG49" s="9" t="n">
        <x:f>MOD(AF49*16807,2147483647)</x:f>
        <x:v>324027201</x:v>
      </x:c>
      <x:c r="AH49" s="17" t="n">
        <x:f>IF('Control Room'!$B$5="Normal",'Control Room'!$B$7+'Control Room'!$D$7*SQRT(-2*LN(MAX(0.000000000001,AF49/2147483647)))*COS(2*PI()*AG49/2147483647),'Control Room'!$B$8+('Control Room'!$D$8-'Control Room'!$B$8)*AF49/2147483647)</x:f>
        <x:v>1013.5019229113655</x:v>
      </x:c>
      <x:c r="AI49" s="17" t="n">
        <x:f>IF('Control Room'!$B$5="Normal",'Control Room'!$B$7,('Control Room'!$B$8+'Control Room'!$D$8)/2)+'Control Room'!$B$9*(AI48-IF('Control Room'!$B$5="Normal",'Control Room'!$B$7,('Control Room'!$B$8+'Control Room'!$D$8)/2))+SQRT(1-'Control Room'!$B$9^2)*(AH49-IF('Control Room'!$B$5="Normal",'Control Room'!$B$7,('Control Room'!$B$8+'Control Room'!$D$8)/2))</x:f>
        <x:v>1062.2178241077513</x:v>
      </x:c>
      <x:c r="AJ49" s="17" t="n">
        <x:f>IF(AND($A49&gt;='Control Room'!$A$13,$A49&lt;'Control Room'!$A$13+'Control Room'!$B$13,'Process'!BQ2=1),1+('Control Room'!$C$13-1)*EXP(-0.5*(($A49-'Control Room'!$A$13-('Control Room'!$B$13-1)/2)/MAX(0.5,'Control Room'!$B$13/4))^2),1)*IF(AND($A49&gt;='Control Room'!$A$14,$A49&lt;'Control Room'!$A$14+'Control Room'!$B$14,'Process'!BQ3=1),1+('Control Room'!$C$14-1)*EXP(-0.5*(($A49-'Control Room'!$A$14-('Control Room'!$B$14-1)/2)/MAX(0.5,'Control Room'!$B$14/4))^2),1)*IF(AND($A49&gt;='Control Room'!$A$15,$A49&lt;'Control Room'!$A$15+'Control Room'!$B$15,'Process'!BQ4=1),1+('Control Room'!$C$15-1)*EXP(-0.5*(($A49-'Control Room'!$A$15-('Control Room'!$B$15-1)/2)/MAX(0.5,'Control Room'!$B$15/4))^2),1)*IF(AND($A49&gt;='Control Room'!$A$16,$A49&lt;'Control Room'!$A$16+'Control Room'!$B$16,'Process'!BQ5=1),1+('Control Room'!$C$16-1)*EXP(-0.5*(($A49-'Control Room'!$A$16-('Control Room'!$B$16-1)/2)/MAX(0.5,'Control Room'!$B$16/4))^2),1)</x:f>
        <x:v>1</x:v>
      </x:c>
      <x:c r="AK49" s="9" t="n">
        <x:f>MOD(AL48*16807,2147483647)</x:f>
        <x:v>1507206382</x:v>
      </x:c>
      <x:c r="AL49" s="9" t="n">
        <x:f>MOD(AK49*16807,2147483647)</x:f>
        <x:v>2048045909</x:v>
      </x:c>
      <x:c r="AM49" s="17" t="n">
        <x:f>IF('Control Room'!$B$5="Normal",'Control Room'!$B$7+'Control Room'!$D$7*SQRT(-2*LN(MAX(0.000000000001,AK49/2147483647)))*COS(2*PI()*AL49/2147483647),'Control Room'!$B$8+('Control Room'!$D$8-'Control Room'!$B$8)*AK49/2147483647)</x:f>
        <x:v>1072.5499655340084</x:v>
      </x:c>
      <x:c r="AN49" s="17" t="n">
        <x:f>IF('Control Room'!$B$5="Normal",'Control Room'!$B$7,('Control Room'!$B$8+'Control Room'!$D$8)/2)+'Control Room'!$B$9*(AN48-IF('Control Room'!$B$5="Normal",'Control Room'!$B$7,('Control Room'!$B$8+'Control Room'!$D$8)/2))+SQRT(1-'Control Room'!$B$9^2)*(AM49-IF('Control Room'!$B$5="Normal",'Control Room'!$B$7,('Control Room'!$B$8+'Control Room'!$D$8)/2))</x:f>
        <x:v>1036.5214828111984</x:v>
      </x:c>
      <x:c r="AO49" s="17" t="n">
        <x:f>IF(AND($A49&gt;='Control Room'!$A$13,$A49&lt;'Control Room'!$A$13+'Control Room'!$B$13,'Process'!BR2=1),1+('Control Room'!$C$13-1)*EXP(-0.5*(($A49-'Control Room'!$A$13-('Control Room'!$B$13-1)/2)/MAX(0.5,'Control Room'!$B$13/4))^2),1)*IF(AND($A49&gt;='Control Room'!$A$14,$A49&lt;'Control Room'!$A$14+'Control Room'!$B$14,'Process'!BR3=1),1+('Control Room'!$C$14-1)*EXP(-0.5*(($A49-'Control Room'!$A$14-('Control Room'!$B$14-1)/2)/MAX(0.5,'Control Room'!$B$14/4))^2),1)*IF(AND($A49&gt;='Control Room'!$A$15,$A49&lt;'Control Room'!$A$15+'Control Room'!$B$15,'Process'!BR4=1),1+('Control Room'!$C$15-1)*EXP(-0.5*(($A49-'Control Room'!$A$15-('Control Room'!$B$15-1)/2)/MAX(0.5,'Control Room'!$B$15/4))^2),1)*IF(AND($A49&gt;='Control Room'!$A$16,$A49&lt;'Control Room'!$A$16+'Control Room'!$B$16,'Process'!BR5=1),1+('Control Room'!$C$16-1)*EXP(-0.5*(($A49-'Control Room'!$A$16-('Control Room'!$B$16-1)/2)/MAX(0.5,'Control Room'!$B$16/4))^2),1)</x:f>
        <x:v>1</x:v>
      </x:c>
      <x:c r="AP49" s="9" t="n">
        <x:f>MOD(AQ48*16807,2147483647)</x:f>
        <x:v>936801761</x:v>
      </x:c>
      <x:c r="AQ49" s="9" t="n">
        <x:f>MOD(AP49*16807,2147483647)</x:f>
        <x:v>1624580970</x:v>
      </x:c>
      <x:c r="AR49" s="17" t="n">
        <x:f>IF('Control Room'!$B$5="Normal",'Control Room'!$B$7+'Control Room'!$D$7*SQRT(-2*LN(MAX(0.000000000001,AP49/2147483647)))*COS(2*PI()*AQ49/2147483647),'Control Room'!$B$8+('Control Room'!$D$8-'Control Room'!$B$8)*AP49/2147483647)</x:f>
        <x:v>1004.7364980075516</x:v>
      </x:c>
      <x:c r="AS49" s="17" t="n">
        <x:f>IF('Control Room'!$B$5="Normal",'Control Room'!$B$7,('Control Room'!$B$8+'Control Room'!$D$8)/2)+'Control Room'!$B$9*(AS48-IF('Control Room'!$B$5="Normal",'Control Room'!$B$7,('Control Room'!$B$8+'Control Room'!$D$8)/2))+SQRT(1-'Control Room'!$B$9^2)*(AR49-IF('Control Room'!$B$5="Normal",'Control Room'!$B$7,('Control Room'!$B$8+'Control Room'!$D$8)/2))</x:f>
        <x:v>959.7779014707346</x:v>
      </x:c>
      <x:c r="AT49" s="17" t="n">
        <x:f>IF(AND($A49&gt;='Control Room'!$A$13,$A49&lt;'Control Room'!$A$13+'Control Room'!$B$13,'Process'!BS2=1),1+('Control Room'!$C$13-1)*EXP(-0.5*(($A49-'Control Room'!$A$13-('Control Room'!$B$13-1)/2)/MAX(0.5,'Control Room'!$B$13/4))^2),1)*IF(AND($A49&gt;='Control Room'!$A$14,$A49&lt;'Control Room'!$A$14+'Control Room'!$B$14,'Process'!BS3=1),1+('Control Room'!$C$14-1)*EXP(-0.5*(($A49-'Control Room'!$A$14-('Control Room'!$B$14-1)/2)/MAX(0.5,'Control Room'!$B$14/4))^2),1)*IF(AND($A49&gt;='Control Room'!$A$15,$A49&lt;'Control Room'!$A$15+'Control Room'!$B$15,'Process'!BS4=1),1+('Control Room'!$C$15-1)*EXP(-0.5*(($A49-'Control Room'!$A$15-('Control Room'!$B$15-1)/2)/MAX(0.5,'Control Room'!$B$15/4))^2),1)*IF(AND($A49&gt;='Control Room'!$A$16,$A49&lt;'Control Room'!$A$16+'Control Room'!$B$16,'Process'!BS5=1),1+('Control Room'!$C$16-1)*EXP(-0.5*(($A49-'Control Room'!$A$16-('Control Room'!$B$16-1)/2)/MAX(0.5,'Control Room'!$B$16/4))^2),1)</x:f>
        <x:v>1</x:v>
      </x:c>
      <x:c r="AU49" s="9" t="n">
        <x:f>MOD(AV48*16807,2147483647)</x:f>
        <x:v>366397140</x:v>
      </x:c>
      <x:c r="AV49" s="9" t="n">
        <x:f>MOD(AU49*16807,2147483647)</x:f>
        <x:v>1201116031</x:v>
      </x:c>
      <x:c r="AW49" s="17" t="n">
        <x:f>IF('Control Room'!$B$5="Normal",'Control Room'!$B$7+'Control Room'!$D$7*SQRT(-2*LN(MAX(0.000000000001,AU49/2147483647)))*COS(2*PI()*AV49/2147483647),'Control Room'!$B$8+('Control Room'!$D$8-'Control Room'!$B$8)*AU49/2147483647)</x:f>
        <x:v>842.3639514322975</x:v>
      </x:c>
      <x:c r="AX49" s="17" t="n">
        <x:f>IF('Control Room'!$B$5="Normal",'Control Room'!$B$7,('Control Room'!$B$8+'Control Room'!$D$8)/2)+'Control Room'!$B$9*(AX48-IF('Control Room'!$B$5="Normal",'Control Room'!$B$7,('Control Room'!$B$8+'Control Room'!$D$8)/2))+SQRT(1-'Control Room'!$B$9^2)*(AW49-IF('Control Room'!$B$5="Normal",'Control Room'!$B$7,('Control Room'!$B$8+'Control Room'!$D$8)/2))</x:f>
        <x:v>1031.5363776712315</x:v>
      </x:c>
      <x:c r="AY49" s="17" t="n">
        <x:f>IF(AND($A49&gt;='Control Room'!$A$13,$A49&lt;'Control Room'!$A$13+'Control Room'!$B$13,'Process'!BT2=1),1+('Control Room'!$C$13-1)*EXP(-0.5*(($A49-'Control Room'!$A$13-('Control Room'!$B$13-1)/2)/MAX(0.5,'Control Room'!$B$13/4))^2),1)*IF(AND($A49&gt;='Control Room'!$A$14,$A49&lt;'Control Room'!$A$14+'Control Room'!$B$14,'Process'!BT3=1),1+('Control Room'!$C$14-1)*EXP(-0.5*(($A49-'Control Room'!$A$14-('Control Room'!$B$14-1)/2)/MAX(0.5,'Control Room'!$B$14/4))^2),1)*IF(AND($A49&gt;='Control Room'!$A$15,$A49&lt;'Control Room'!$A$15+'Control Room'!$B$15,'Process'!BT4=1),1+('Control Room'!$C$15-1)*EXP(-0.5*(($A49-'Control Room'!$A$15-('Control Room'!$B$15-1)/2)/MAX(0.5,'Control Room'!$B$15/4))^2),1)*IF(AND($A49&gt;='Control Room'!$A$16,$A49&lt;'Control Room'!$A$16+'Control Room'!$B$16,'Process'!BT5=1),1+('Control Room'!$C$16-1)*EXP(-0.5*(($A49-'Control Room'!$A$16-('Control Room'!$B$16-1)/2)/MAX(0.5,'Control Room'!$B$16/4))^2),1)</x:f>
        <x:v>1</x:v>
      </x:c>
      <x:c r="AZ49" s="9" t="n">
        <x:f>MOD(BA48*16807,2147483647)</x:f>
        <x:v>1943476166</x:v>
      </x:c>
      <x:c r="BA49" s="9" t="n">
        <x:f>MOD(AZ49*16807,2147483647)</x:f>
        <x:v>777651092</x:v>
      </x:c>
      <x:c r="BB49" s="17" t="n">
        <x:f>IF('Control Room'!$B$5="Normal",'Control Room'!$B$7+'Control Room'!$D$7*SQRT(-2*LN(MAX(0.000000000001,AZ49/2147483647)))*COS(2*PI()*BA49/2147483647),'Control Room'!$B$8+('Control Room'!$D$8-'Control Room'!$B$8)*AZ49/2147483647)</x:f>
        <x:v>973.9566420231727</x:v>
      </x:c>
      <x:c r="BC49" s="17" t="n">
        <x:f>IF('Control Room'!$B$5="Normal",'Control Room'!$B$7,('Control Room'!$B$8+'Control Room'!$D$8)/2)+'Control Room'!$B$9*(BC48-IF('Control Room'!$B$5="Normal",'Control Room'!$B$7,('Control Room'!$B$8+'Control Room'!$D$8)/2))+SQRT(1-'Control Room'!$B$9^2)*(BB49-IF('Control Room'!$B$5="Normal",'Control Room'!$B$7,('Control Room'!$B$8+'Control Room'!$D$8)/2))</x:f>
        <x:v>887.6666251902778</x:v>
      </x:c>
      <x:c r="BD49" s="17" t="n">
        <x:f>IF(AND($A49&gt;='Control Room'!$A$13,$A49&lt;'Control Room'!$A$13+'Control Room'!$B$13,'Process'!BU2=1),1+('Control Room'!$C$13-1)*EXP(-0.5*(($A49-'Control Room'!$A$13-('Control Room'!$B$13-1)/2)/MAX(0.5,'Control Room'!$B$13/4))^2),1)*IF(AND($A49&gt;='Control Room'!$A$14,$A49&lt;'Control Room'!$A$14+'Control Room'!$B$14,'Process'!BU3=1),1+('Control Room'!$C$14-1)*EXP(-0.5*(($A49-'Control Room'!$A$14-('Control Room'!$B$14-1)/2)/MAX(0.5,'Control Room'!$B$14/4))^2),1)*IF(AND($A49&gt;='Control Room'!$A$15,$A49&lt;'Control Room'!$A$15+'Control Room'!$B$15,'Process'!BU4=1),1+('Control Room'!$C$15-1)*EXP(-0.5*(($A49-'Control Room'!$A$15-('Control Room'!$B$15-1)/2)/MAX(0.5,'Control Room'!$B$15/4))^2),1)*IF(AND($A49&gt;='Control Room'!$A$16,$A49&lt;'Control Room'!$A$16+'Control Room'!$B$16,'Process'!BU5=1),1+('Control Room'!$C$16-1)*EXP(-0.5*(($A49-'Control Room'!$A$16-('Control Room'!$B$16-1)/2)/MAX(0.5,'Control Room'!$B$16/4))^2),1)</x:f>
        <x:v>1</x:v>
      </x:c>
      <x:c r="BE49" s="9" t="n">
        <x:f>MOD(BF48*16807,2147483647)</x:f>
        <x:v>1373071545</x:v>
      </x:c>
      <x:c r="BF49" s="9" t="n">
        <x:f>MOD(BE49*16807,2147483647)</x:f>
        <x:v>354186153</x:v>
      </x:c>
      <x:c r="BG49" s="17" t="n">
        <x:f>IF('Control Room'!$B$5="Normal",'Control Room'!$B$7+'Control Room'!$D$7*SQRT(-2*LN(MAX(0.000000000001,BE49/2147483647)))*COS(2*PI()*BF49/2147483647),'Control Room'!$B$8+('Control Room'!$D$8-'Control Room'!$B$8)*BE49/2147483647)</x:f>
        <x:v>1043.361404476695</x:v>
      </x:c>
      <x:c r="BH49" s="17" t="n">
        <x:f>IF('Control Room'!$B$5="Normal",'Control Room'!$B$7,('Control Room'!$B$8+'Control Room'!$D$8)/2)+'Control Room'!$B$9*(BH48-IF('Control Room'!$B$5="Normal",'Control Room'!$B$7,('Control Room'!$B$8+'Control Room'!$D$8)/2))+SQRT(1-'Control Room'!$B$9^2)*(BG49-IF('Control Room'!$B$5="Normal",'Control Room'!$B$7,('Control Room'!$B$8+'Control Room'!$D$8)/2))</x:f>
        <x:v>1031.5172072137589</x:v>
      </x:c>
      <x:c r="BI49" s="17" t="n">
        <x:f>IF(AND($A49&gt;='Control Room'!$A$13,$A49&lt;'Control Room'!$A$13+'Control Room'!$B$13,'Process'!BV2=1),1+('Control Room'!$C$13-1)*EXP(-0.5*(($A49-'Control Room'!$A$13-('Control Room'!$B$13-1)/2)/MAX(0.5,'Control Room'!$B$13/4))^2),1)*IF(AND($A49&gt;='Control Room'!$A$14,$A49&lt;'Control Room'!$A$14+'Control Room'!$B$14,'Process'!BV3=1),1+('Control Room'!$C$14-1)*EXP(-0.5*(($A49-'Control Room'!$A$14-('Control Room'!$B$14-1)/2)/MAX(0.5,'Control Room'!$B$14/4))^2),1)*IF(AND($A49&gt;='Control Room'!$A$15,$A49&lt;'Control Room'!$A$15+'Control Room'!$B$15,'Process'!BV4=1),1+('Control Room'!$C$15-1)*EXP(-0.5*(($A49-'Control Room'!$A$15-('Control Room'!$B$15-1)/2)/MAX(0.5,'Control Room'!$B$15/4))^2),1)*IF(AND($A49&gt;='Control Room'!$A$16,$A49&lt;'Control Room'!$A$16+'Control Room'!$B$16,'Process'!BV5=1),1+('Control Room'!$C$16-1)*EXP(-0.5*(($A49-'Control Room'!$A$16-('Control Room'!$B$16-1)/2)/MAX(0.5,'Control Room'!$B$16/4))^2),1)</x:f>
        <x:v>1</x:v>
      </x:c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Z49" t="str">
        <x:f>IF('Data'!A49="","",TEXT('Data'!A49,"mm-dd"))</x:f>
        <x:v>12-19</x:v>
      </x:c>
    </x:row>
    <x:row r="50" ht="21" customHeight="1">
      <x:c r="A50" s="15" t="n">
        <x:f>'Control Room'!$B$1+48</x:f>
        <x:v>73039</x:v>
      </x:c>
      <x:c r="B50" s="9" t="n">
        <x:f>MOD(C49*16807,2147483647)</x:f>
        <x:v>245696458</x:v>
      </x:c>
      <x:c r="C50" s="9" t="n">
        <x:f>MOD(B50*16807,2147483647)</x:f>
        <x:v>1956800072</x:v>
      </x:c>
      <x:c r="D50" s="17" t="n">
        <x:f>IF('Control Room'!$B$5="Normal",'Control Room'!$B$7+'Control Room'!$D$7*SQRT(-2*LN(MAX(0.000000000001,B50/2147483647)))*COS(2*PI()*C50/2147483647),'Control Room'!$B$8+('Control Room'!$D$8-'Control Room'!$B$8)*B50/2147483647)</x:f>
        <x:v>1158.9882023353996</x:v>
      </x:c>
      <x:c r="E50" s="17" t="n">
        <x:f>IF('Control Room'!$B$5="Normal",'Control Room'!$B$7,('Control Room'!$B$8+'Control Room'!$D$8)/2)+'Control Room'!$B$9*(E49-IF('Control Room'!$B$5="Normal",'Control Room'!$B$7,('Control Room'!$B$8+'Control Room'!$D$8)/2))+SQRT(1-'Control Room'!$B$9^2)*(D50-IF('Control Room'!$B$5="Normal",'Control Room'!$B$7,('Control Room'!$B$8+'Control Room'!$D$8)/2))</x:f>
        <x:v>1037.2670800689546</x:v>
      </x:c>
      <x:c r="F50" s="17" t="n">
        <x:f>IF(AND($A50&gt;='Control Room'!$A$13,$A50&lt;'Control Room'!$A$13+'Control Room'!$B$13,'Process'!BK2=1),1+('Control Room'!$C$13-1)*EXP(-0.5*(($A50-'Control Room'!$A$13-('Control Room'!$B$13-1)/2)/MAX(0.5,'Control Room'!$B$13/4))^2),1)*IF(AND($A50&gt;='Control Room'!$A$14,$A50&lt;'Control Room'!$A$14+'Control Room'!$B$14,'Process'!BK3=1),1+('Control Room'!$C$14-1)*EXP(-0.5*(($A50-'Control Room'!$A$14-('Control Room'!$B$14-1)/2)/MAX(0.5,'Control Room'!$B$14/4))^2),1)*IF(AND($A50&gt;='Control Room'!$A$15,$A50&lt;'Control Room'!$A$15+'Control Room'!$B$15,'Process'!BK4=1),1+('Control Room'!$C$15-1)*EXP(-0.5*(($A50-'Control Room'!$A$15-('Control Room'!$B$15-1)/2)/MAX(0.5,'Control Room'!$B$15/4))^2),1)*IF(AND($A50&gt;='Control Room'!$A$16,$A50&lt;'Control Room'!$A$16+'Control Room'!$B$16,'Process'!BK5=1),1+('Control Room'!$C$16-1)*EXP(-0.5*(($A50-'Control Room'!$A$16-('Control Room'!$B$16-1)/2)/MAX(0.5,'Control Room'!$B$16/4))^2),1)</x:f>
        <x:v>1</x:v>
      </x:c>
      <x:c r="G50" s="9" t="n">
        <x:f>MOD(H49*16807,2147483647)</x:f>
        <x:v>1978756490</x:v>
      </x:c>
      <x:c r="H50" s="9" t="n">
        <x:f>MOD(G50*16807,2147483647)</x:f>
        <x:v>1028569988</x:v>
      </x:c>
      <x:c r="I50" s="17" t="n">
        <x:f>IF('Control Room'!$B$5="Normal",'Control Room'!$B$7+'Control Room'!$D$7*SQRT(-2*LN(MAX(0.000000000001,G50/2147483647)))*COS(2*PI()*H50/2147483647),'Control Room'!$B$8+('Control Room'!$D$8-'Control Room'!$B$8)*G50/2147483647)</x:f>
        <x:v>963.9085182253975</x:v>
      </x:c>
      <x:c r="J50" s="17" t="n">
        <x:f>IF('Control Room'!$B$5="Normal",'Control Room'!$B$7,('Control Room'!$B$8+'Control Room'!$D$8)/2)+'Control Room'!$B$9*(J49-IF('Control Room'!$B$5="Normal",'Control Room'!$B$7,('Control Room'!$B$8+'Control Room'!$D$8)/2))+SQRT(1-'Control Room'!$B$9^2)*(I50-IF('Control Room'!$B$5="Normal",'Control Room'!$B$7,('Control Room'!$B$8+'Control Room'!$D$8)/2))</x:f>
        <x:v>1018.4371680985281</x:v>
      </x:c>
      <x:c r="K50" s="17" t="n">
        <x:f>IF(AND($A50&gt;='Control Room'!$A$13,$A50&lt;'Control Room'!$A$13+'Control Room'!$B$13,'Process'!BL2=1),1+('Control Room'!$C$13-1)*EXP(-0.5*(($A50-'Control Room'!$A$13-('Control Room'!$B$13-1)/2)/MAX(0.5,'Control Room'!$B$13/4))^2),1)*IF(AND($A50&gt;='Control Room'!$A$14,$A50&lt;'Control Room'!$A$14+'Control Room'!$B$14,'Process'!BL3=1),1+('Control Room'!$C$14-1)*EXP(-0.5*(($A50-'Control Room'!$A$14-('Control Room'!$B$14-1)/2)/MAX(0.5,'Control Room'!$B$14/4))^2),1)*IF(AND($A50&gt;='Control Room'!$A$15,$A50&lt;'Control Room'!$A$15+'Control Room'!$B$15,'Process'!BL4=1),1+('Control Room'!$C$15-1)*EXP(-0.5*(($A50-'Control Room'!$A$15-('Control Room'!$B$15-1)/2)/MAX(0.5,'Control Room'!$B$15/4))^2),1)*IF(AND($A50&gt;='Control Room'!$A$16,$A50&lt;'Control Room'!$A$16+'Control Room'!$B$16,'Process'!BL5=1),1+('Control Room'!$C$16-1)*EXP(-0.5*(($A50-'Control Room'!$A$16-('Control Room'!$B$16-1)/2)/MAX(0.5,'Control Room'!$B$16/4))^2),1)</x:f>
        <x:v>1</x:v>
      </x:c>
      <x:c r="L50" s="9" t="n">
        <x:f>MOD(M49*16807,2147483647)</x:f>
        <x:v>1564332875</x:v>
      </x:c>
      <x:c r="M50" s="9" t="n">
        <x:f>MOD(L50*16807,2147483647)</x:f>
        <x:v>100339904</x:v>
      </x:c>
      <x:c r="N50" s="17" t="n">
        <x:f>IF('Control Room'!$B$5="Normal",'Control Room'!$B$7+'Control Room'!$D$7*SQRT(-2*LN(MAX(0.000000000001,L50/2147483647)))*COS(2*PI()*M50/2147483647),'Control Room'!$B$8+('Control Room'!$D$8-'Control Room'!$B$8)*L50/2147483647)</x:f>
        <x:v>1068.5780234807771</x:v>
      </x:c>
      <x:c r="O50" s="17" t="n">
        <x:f>IF('Control Room'!$B$5="Normal",'Control Room'!$B$7,('Control Room'!$B$8+'Control Room'!$D$8)/2)+'Control Room'!$B$9*(O49-IF('Control Room'!$B$5="Normal",'Control Room'!$B$7,('Control Room'!$B$8+'Control Room'!$D$8)/2))+SQRT(1-'Control Room'!$B$9^2)*(N50-IF('Control Room'!$B$5="Normal",'Control Room'!$B$7,('Control Room'!$B$8+'Control Room'!$D$8)/2))</x:f>
        <x:v>1058.5666909584147</x:v>
      </x:c>
      <x:c r="P50" s="17" t="n">
        <x:f>IF(AND($A50&gt;='Control Room'!$A$13,$A50&lt;'Control Room'!$A$13+'Control Room'!$B$13,'Process'!BM2=1),1+('Control Room'!$C$13-1)*EXP(-0.5*(($A50-'Control Room'!$A$13-('Control Room'!$B$13-1)/2)/MAX(0.5,'Control Room'!$B$13/4))^2),1)*IF(AND($A50&gt;='Control Room'!$A$14,$A50&lt;'Control Room'!$A$14+'Control Room'!$B$14,'Process'!BM3=1),1+('Control Room'!$C$14-1)*EXP(-0.5*(($A50-'Control Room'!$A$14-('Control Room'!$B$14-1)/2)/MAX(0.5,'Control Room'!$B$14/4))^2),1)*IF(AND($A50&gt;='Control Room'!$A$15,$A50&lt;'Control Room'!$A$15+'Control Room'!$B$15,'Process'!BM4=1),1+('Control Room'!$C$15-1)*EXP(-0.5*(($A50-'Control Room'!$A$15-('Control Room'!$B$15-1)/2)/MAX(0.5,'Control Room'!$B$15/4))^2),1)*IF(AND($A50&gt;='Control Room'!$A$16,$A50&lt;'Control Room'!$A$16+'Control Room'!$B$16,'Process'!BM5=1),1+('Control Room'!$C$16-1)*EXP(-0.5*(($A50-'Control Room'!$A$16-('Control Room'!$B$16-1)/2)/MAX(0.5,'Control Room'!$B$16/4))^2),1)</x:f>
        <x:v>1</x:v>
      </x:c>
      <x:c r="Q50" s="9" t="n">
        <x:f>MOD(R49*16807,2147483647)</x:f>
        <x:v>1149909260</x:v>
      </x:c>
      <x:c r="R50" s="9" t="n">
        <x:f>MOD(Q50*16807,2147483647)</x:f>
        <x:v>1319593467</x:v>
      </x:c>
      <x:c r="S50" s="17" t="n">
        <x:f>IF('Control Room'!$B$5="Normal",'Control Room'!$B$7+'Control Room'!$D$7*SQRT(-2*LN(MAX(0.000000000001,Q50/2147483647)))*COS(2*PI()*R50/2147483647),'Control Room'!$B$8+('Control Room'!$D$8-'Control Room'!$B$8)*Q50/2147483647)</x:f>
        <x:v>924.3294102731464</x:v>
      </x:c>
      <x:c r="T50" s="17" t="n">
        <x:f>IF('Control Room'!$B$5="Normal",'Control Room'!$B$7,('Control Room'!$B$8+'Control Room'!$D$8)/2)+'Control Room'!$B$9*(T49-IF('Control Room'!$B$5="Normal",'Control Room'!$B$7,('Control Room'!$B$8+'Control Room'!$D$8)/2))+SQRT(1-'Control Room'!$B$9^2)*(S50-IF('Control Room'!$B$5="Normal",'Control Room'!$B$7,('Control Room'!$B$8+'Control Room'!$D$8)/2))</x:f>
        <x:v>1003.4509989853665</x:v>
      </x:c>
      <x:c r="U50" s="17" t="n">
        <x:f>IF(AND($A50&gt;='Control Room'!$A$13,$A50&lt;'Control Room'!$A$13+'Control Room'!$B$13,'Process'!BN2=1),1+('Control Room'!$C$13-1)*EXP(-0.5*(($A50-'Control Room'!$A$13-('Control Room'!$B$13-1)/2)/MAX(0.5,'Control Room'!$B$13/4))^2),1)*IF(AND($A50&gt;='Control Room'!$A$14,$A50&lt;'Control Room'!$A$14+'Control Room'!$B$14,'Process'!BN3=1),1+('Control Room'!$C$14-1)*EXP(-0.5*(($A50-'Control Room'!$A$14-('Control Room'!$B$14-1)/2)/MAX(0.5,'Control Room'!$B$14/4))^2),1)*IF(AND($A50&gt;='Control Room'!$A$15,$A50&lt;'Control Room'!$A$15+'Control Room'!$B$15,'Process'!BN4=1),1+('Control Room'!$C$15-1)*EXP(-0.5*(($A50-'Control Room'!$A$15-('Control Room'!$B$15-1)/2)/MAX(0.5,'Control Room'!$B$15/4))^2),1)*IF(AND($A50&gt;='Control Room'!$A$16,$A50&lt;'Control Room'!$A$16+'Control Room'!$B$16,'Process'!BN5=1),1+('Control Room'!$C$16-1)*EXP(-0.5*(($A50-'Control Room'!$A$16-('Control Room'!$B$16-1)/2)/MAX(0.5,'Control Room'!$B$16/4))^2),1)</x:f>
        <x:v>1</x:v>
      </x:c>
      <x:c r="V50" s="9" t="n">
        <x:f>MOD(W49*16807,2147483647)</x:f>
        <x:v>735485645</x:v>
      </x:c>
      <x:c r="W50" s="9" t="n">
        <x:f>MOD(V50*16807,2147483647)</x:f>
        <x:v>391363383</x:v>
      </x:c>
      <x:c r="X50" s="17" t="n">
        <x:f>IF('Control Room'!$B$5="Normal",'Control Room'!$B$7+'Control Room'!$D$7*SQRT(-2*LN(MAX(0.000000000001,V50/2147483647)))*COS(2*PI()*W50/2147483647),'Control Room'!$B$8+('Control Room'!$D$8-'Control Room'!$B$8)*V50/2147483647)</x:f>
        <x:v>1054.4119184719123</x:v>
      </x:c>
      <x:c r="Y50" s="17" t="n">
        <x:f>IF('Control Room'!$B$5="Normal",'Control Room'!$B$7,('Control Room'!$B$8+'Control Room'!$D$8)/2)+'Control Room'!$B$9*(Y49-IF('Control Room'!$B$5="Normal",'Control Room'!$B$7,('Control Room'!$B$8+'Control Room'!$D$8)/2))+SQRT(1-'Control Room'!$B$9^2)*(X50-IF('Control Room'!$B$5="Normal",'Control Room'!$B$7,('Control Room'!$B$8+'Control Room'!$D$8)/2))</x:f>
        <x:v>1013.0954879186411</x:v>
      </x:c>
      <x:c r="Z50" s="17" t="n">
        <x:f>IF(AND($A50&gt;='Control Room'!$A$13,$A50&lt;'Control Room'!$A$13+'Control Room'!$B$13,'Process'!BO2=1),1+('Control Room'!$C$13-1)*EXP(-0.5*(($A50-'Control Room'!$A$13-('Control Room'!$B$13-1)/2)/MAX(0.5,'Control Room'!$B$13/4))^2),1)*IF(AND($A50&gt;='Control Room'!$A$14,$A50&lt;'Control Room'!$A$14+'Control Room'!$B$14,'Process'!BO3=1),1+('Control Room'!$C$14-1)*EXP(-0.5*(($A50-'Control Room'!$A$14-('Control Room'!$B$14-1)/2)/MAX(0.5,'Control Room'!$B$14/4))^2),1)*IF(AND($A50&gt;='Control Room'!$A$15,$A50&lt;'Control Room'!$A$15+'Control Room'!$B$15,'Process'!BO4=1),1+('Control Room'!$C$15-1)*EXP(-0.5*(($A50-'Control Room'!$A$15-('Control Room'!$B$15-1)/2)/MAX(0.5,'Control Room'!$B$15/4))^2),1)*IF(AND($A50&gt;='Control Room'!$A$16,$A50&lt;'Control Room'!$A$16+'Control Room'!$B$16,'Process'!BO5=1),1+('Control Room'!$C$16-1)*EXP(-0.5*(($A50-'Control Room'!$A$16-('Control Room'!$B$16-1)/2)/MAX(0.5,'Control Room'!$B$16/4))^2),1)</x:f>
        <x:v>1</x:v>
      </x:c>
      <x:c r="AA50" s="9" t="n">
        <x:f>MOD(AB49*16807,2147483647)</x:f>
        <x:v>321062030</x:v>
      </x:c>
      <x:c r="AB50" s="9" t="n">
        <x:f>MOD(AA50*16807,2147483647)</x:f>
        <x:v>1610616946</x:v>
      </x:c>
      <x:c r="AC50" s="17" t="n">
        <x:f>IF('Control Room'!$B$5="Normal",'Control Room'!$B$7+'Control Room'!$D$7*SQRT(-2*LN(MAX(0.000000000001,AA50/2147483647)))*COS(2*PI()*AB50/2147483647),'Control Room'!$B$8+('Control Room'!$D$8-'Control Room'!$B$8)*AA50/2147483647)</x:f>
        <x:v>1000.0021616804769</x:v>
      </x:c>
      <x:c r="AD50" s="17" t="n">
        <x:f>IF('Control Room'!$B$5="Normal",'Control Room'!$B$7,('Control Room'!$B$8+'Control Room'!$D$8)/2)+'Control Room'!$B$9*(AD49-IF('Control Room'!$B$5="Normal",'Control Room'!$B$7,('Control Room'!$B$8+'Control Room'!$D$8)/2))+SQRT(1-'Control Room'!$B$9^2)*(AC50-IF('Control Room'!$B$5="Normal",'Control Room'!$B$7,('Control Room'!$B$8+'Control Room'!$D$8)/2))</x:f>
        <x:v>900.8341638052915</x:v>
      </x:c>
      <x:c r="AE50" s="17" t="n">
        <x:f>IF(AND($A50&gt;='Control Room'!$A$13,$A50&lt;'Control Room'!$A$13+'Control Room'!$B$13,'Process'!BP2=1),1+('Control Room'!$C$13-1)*EXP(-0.5*(($A50-'Control Room'!$A$13-('Control Room'!$B$13-1)/2)/MAX(0.5,'Control Room'!$B$13/4))^2),1)*IF(AND($A50&gt;='Control Room'!$A$14,$A50&lt;'Control Room'!$A$14+'Control Room'!$B$14,'Process'!BP3=1),1+('Control Room'!$C$14-1)*EXP(-0.5*(($A50-'Control Room'!$A$14-('Control Room'!$B$14-1)/2)/MAX(0.5,'Control Room'!$B$14/4))^2),1)*IF(AND($A50&gt;='Control Room'!$A$15,$A50&lt;'Control Room'!$A$15+'Control Room'!$B$15,'Process'!BP4=1),1+('Control Room'!$C$15-1)*EXP(-0.5*(($A50-'Control Room'!$A$15-('Control Room'!$B$15-1)/2)/MAX(0.5,'Control Room'!$B$15/4))^2),1)*IF(AND($A50&gt;='Control Room'!$A$16,$A50&lt;'Control Room'!$A$16+'Control Room'!$B$16,'Process'!BP5=1),1+('Control Room'!$C$16-1)*EXP(-0.5*(($A50-'Control Room'!$A$16-('Control Room'!$B$16-1)/2)/MAX(0.5,'Control Room'!$B$16/4))^2),1)</x:f>
        <x:v>1</x:v>
      </x:c>
      <x:c r="AF50" s="9" t="n">
        <x:f>MOD(AG49*16807,2147483647)</x:f>
        <x:v>2054122062</x:v>
      </x:c>
      <x:c r="AG50" s="9" t="n">
        <x:f>MOD(AF50*16807,2147483647)</x:f>
        <x:v>682386862</x:v>
      </x:c>
      <x:c r="AH50" s="17" t="n">
        <x:f>IF('Control Room'!$B$5="Normal",'Control Room'!$B$7+'Control Room'!$D$7*SQRT(-2*LN(MAX(0.000000000001,AF50/2147483647)))*COS(2*PI()*AG50/2147483647),'Control Room'!$B$8+('Control Room'!$D$8-'Control Room'!$B$8)*AF50/2147483647)</x:f>
        <x:v>988.9173276364165</x:v>
      </x:c>
      <x:c r="AI50" s="17" t="n">
        <x:f>IF('Control Room'!$B$5="Normal",'Control Room'!$B$7,('Control Room'!$B$8+'Control Room'!$D$8)/2)+'Control Room'!$B$9*(AI49-IF('Control Room'!$B$5="Normal",'Control Room'!$B$7,('Control Room'!$B$8+'Control Room'!$D$8)/2))+SQRT(1-'Control Room'!$B$9^2)*(AH50-IF('Control Room'!$B$5="Normal",'Control Room'!$B$7,('Control Room'!$B$8+'Control Room'!$D$8)/2))</x:f>
        <x:v>1041.5945934797996</x:v>
      </x:c>
      <x:c r="AJ50" s="17" t="n">
        <x:f>IF(AND($A50&gt;='Control Room'!$A$13,$A50&lt;'Control Room'!$A$13+'Control Room'!$B$13,'Process'!BQ2=1),1+('Control Room'!$C$13-1)*EXP(-0.5*(($A50-'Control Room'!$A$13-('Control Room'!$B$13-1)/2)/MAX(0.5,'Control Room'!$B$13/4))^2),1)*IF(AND($A50&gt;='Control Room'!$A$14,$A50&lt;'Control Room'!$A$14+'Control Room'!$B$14,'Process'!BQ3=1),1+('Control Room'!$C$14-1)*EXP(-0.5*(($A50-'Control Room'!$A$14-('Control Room'!$B$14-1)/2)/MAX(0.5,'Control Room'!$B$14/4))^2),1)*IF(AND($A50&gt;='Control Room'!$A$15,$A50&lt;'Control Room'!$A$15+'Control Room'!$B$15,'Process'!BQ4=1),1+('Control Room'!$C$15-1)*EXP(-0.5*(($A50-'Control Room'!$A$15-('Control Room'!$B$15-1)/2)/MAX(0.5,'Control Room'!$B$15/4))^2),1)*IF(AND($A50&gt;='Control Room'!$A$16,$A50&lt;'Control Room'!$A$16+'Control Room'!$B$16,'Process'!BQ5=1),1+('Control Room'!$C$16-1)*EXP(-0.5*(($A50-'Control Room'!$A$16-('Control Room'!$B$16-1)/2)/MAX(0.5,'Control Room'!$B$16/4))^2),1)</x:f>
        <x:v>1</x:v>
      </x:c>
      <x:c r="AK50" s="9" t="n">
        <x:f>MOD(AL49*16807,2147483647)</x:f>
        <x:v>1639698447</x:v>
      </x:c>
      <x:c r="AL50" s="9" t="n">
        <x:f>MOD(AK50*16807,2147483647)</x:f>
        <x:v>1901640425</x:v>
      </x:c>
      <x:c r="AM50" s="17" t="n">
        <x:f>IF('Control Room'!$B$5="Normal",'Control Room'!$B$7+'Control Room'!$D$7*SQRT(-2*LN(MAX(0.000000000001,AK50/2147483647)))*COS(2*PI()*AL50/2147483647),'Control Room'!$B$8+('Control Room'!$D$8-'Control Room'!$B$8)*AK50/2147483647)</x:f>
        <x:v>1049.7323696831365</x:v>
      </x:c>
      <x:c r="AN50" s="17" t="n">
        <x:f>IF('Control Room'!$B$5="Normal",'Control Room'!$B$7,('Control Room'!$B$8+'Control Room'!$D$8)/2)+'Control Room'!$B$9*(AN49-IF('Control Room'!$B$5="Normal",'Control Room'!$B$7,('Control Room'!$B$8+'Control Room'!$D$8)/2))+SQRT(1-'Control Room'!$B$9^2)*(AM50-IF('Control Room'!$B$5="Normal",'Control Room'!$B$7,('Control Room'!$B$8+'Control Room'!$D$8)/2))</x:f>
        <x:v>1059.6082547174708</x:v>
      </x:c>
      <x:c r="AO50" s="17" t="n">
        <x:f>IF(AND($A50&gt;='Control Room'!$A$13,$A50&lt;'Control Room'!$A$13+'Control Room'!$B$13,'Process'!BR2=1),1+('Control Room'!$C$13-1)*EXP(-0.5*(($A50-'Control Room'!$A$13-('Control Room'!$B$13-1)/2)/MAX(0.5,'Control Room'!$B$13/4))^2),1)*IF(AND($A50&gt;='Control Room'!$A$14,$A50&lt;'Control Room'!$A$14+'Control Room'!$B$14,'Process'!BR3=1),1+('Control Room'!$C$14-1)*EXP(-0.5*(($A50-'Control Room'!$A$14-('Control Room'!$B$14-1)/2)/MAX(0.5,'Control Room'!$B$14/4))^2),1)*IF(AND($A50&gt;='Control Room'!$A$15,$A50&lt;'Control Room'!$A$15+'Control Room'!$B$15,'Process'!BR4=1),1+('Control Room'!$C$15-1)*EXP(-0.5*(($A50-'Control Room'!$A$15-('Control Room'!$B$15-1)/2)/MAX(0.5,'Control Room'!$B$15/4))^2),1)*IF(AND($A50&gt;='Control Room'!$A$16,$A50&lt;'Control Room'!$A$16+'Control Room'!$B$16,'Process'!BR5=1),1+('Control Room'!$C$16-1)*EXP(-0.5*(($A50-'Control Room'!$A$16-('Control Room'!$B$16-1)/2)/MAX(0.5,'Control Room'!$B$16/4))^2),1)</x:f>
        <x:v>1</x:v>
      </x:c>
      <x:c r="AP50" s="9" t="n">
        <x:f>MOD(AQ49*16807,2147483647)</x:f>
        <x:v>1225274832</x:v>
      </x:c>
      <x:c r="AQ50" s="9" t="n">
        <x:f>MOD(AP50*16807,2147483647)</x:f>
        <x:v>973410341</x:v>
      </x:c>
      <x:c r="AR50" s="17" t="n">
        <x:f>IF('Control Room'!$B$5="Normal",'Control Room'!$B$7+'Control Room'!$D$7*SQRT(-2*LN(MAX(0.000000000001,AP50/2147483647)))*COS(2*PI()*AQ50/2147483647),'Control Room'!$B$8+('Control Room'!$D$8-'Control Room'!$B$8)*AP50/2147483647)</x:f>
        <x:v>908.7353899392789</x:v>
      </x:c>
      <x:c r="AS50" s="17" t="n">
        <x:f>IF('Control Room'!$B$5="Normal",'Control Room'!$B$7,('Control Room'!$B$8+'Control Room'!$D$8)/2)+'Control Room'!$B$9*(AS49-IF('Control Room'!$B$5="Normal",'Control Room'!$B$7,('Control Room'!$B$8+'Control Room'!$D$8)/2))+SQRT(1-'Control Room'!$B$9^2)*(AR50-IF('Control Room'!$B$5="Normal",'Control Room'!$B$7,('Control Room'!$B$8+'Control Room'!$D$8)/2))</x:f>
        <x:v>911.5152398283357</x:v>
      </x:c>
      <x:c r="AT50" s="17" t="n">
        <x:f>IF(AND($A50&gt;='Control Room'!$A$13,$A50&lt;'Control Room'!$A$13+'Control Room'!$B$13,'Process'!BS2=1),1+('Control Room'!$C$13-1)*EXP(-0.5*(($A50-'Control Room'!$A$13-('Control Room'!$B$13-1)/2)/MAX(0.5,'Control Room'!$B$13/4))^2),1)*IF(AND($A50&gt;='Control Room'!$A$14,$A50&lt;'Control Room'!$A$14+'Control Room'!$B$14,'Process'!BS3=1),1+('Control Room'!$C$14-1)*EXP(-0.5*(($A50-'Control Room'!$A$14-('Control Room'!$B$14-1)/2)/MAX(0.5,'Control Room'!$B$14/4))^2),1)*IF(AND($A50&gt;='Control Room'!$A$15,$A50&lt;'Control Room'!$A$15+'Control Room'!$B$15,'Process'!BS4=1),1+('Control Room'!$C$15-1)*EXP(-0.5*(($A50-'Control Room'!$A$15-('Control Room'!$B$15-1)/2)/MAX(0.5,'Control Room'!$B$15/4))^2),1)*IF(AND($A50&gt;='Control Room'!$A$16,$A50&lt;'Control Room'!$A$16+'Control Room'!$B$16,'Process'!BS5=1),1+('Control Room'!$C$16-1)*EXP(-0.5*(($A50-'Control Room'!$A$16-('Control Room'!$B$16-1)/2)/MAX(0.5,'Control Room'!$B$16/4))^2),1)</x:f>
        <x:v>1</x:v>
      </x:c>
      <x:c r="AU50" s="9" t="n">
        <x:f>MOD(AV49*16807,2147483647)</x:f>
        <x:v>810851217</x:v>
      </x:c>
      <x:c r="AV50" s="9" t="n">
        <x:f>MOD(AU50*16807,2147483647)</x:f>
        <x:v>45180257</x:v>
      </x:c>
      <x:c r="AW50" s="17" t="n">
        <x:f>IF('Control Room'!$B$5="Normal",'Control Room'!$B$7+'Control Room'!$D$7*SQRT(-2*LN(MAX(0.000000000001,AU50/2147483647)))*COS(2*PI()*AV50/2147483647),'Control Room'!$B$8+('Control Room'!$D$8-'Control Room'!$B$8)*AU50/2147483647)</x:f>
        <x:v>1124.5157109649851</x:v>
      </x:c>
      <x:c r="AX50" s="17" t="n">
        <x:f>IF('Control Room'!$B$5="Normal",'Control Room'!$B$7,('Control Room'!$B$8+'Control Room'!$D$8)/2)+'Control Room'!$B$9*(AX49-IF('Control Room'!$B$5="Normal",'Control Room'!$B$7,('Control Room'!$B$8+'Control Room'!$D$8)/2))+SQRT(1-'Control Room'!$B$9^2)*(AW50-IF('Control Room'!$B$5="Normal",'Control Room'!$B$7,('Control Room'!$B$8+'Control Room'!$D$8)/2))</x:f>
        <x:v>1102.5177556624585</x:v>
      </x:c>
      <x:c r="AY50" s="17" t="n">
        <x:f>IF(AND($A50&gt;='Control Room'!$A$13,$A50&lt;'Control Room'!$A$13+'Control Room'!$B$13,'Process'!BT2=1),1+('Control Room'!$C$13-1)*EXP(-0.5*(($A50-'Control Room'!$A$13-('Control Room'!$B$13-1)/2)/MAX(0.5,'Control Room'!$B$13/4))^2),1)*IF(AND($A50&gt;='Control Room'!$A$14,$A50&lt;'Control Room'!$A$14+'Control Room'!$B$14,'Process'!BT3=1),1+('Control Room'!$C$14-1)*EXP(-0.5*(($A50-'Control Room'!$A$14-('Control Room'!$B$14-1)/2)/MAX(0.5,'Control Room'!$B$14/4))^2),1)*IF(AND($A50&gt;='Control Room'!$A$15,$A50&lt;'Control Room'!$A$15+'Control Room'!$B$15,'Process'!BT4=1),1+('Control Room'!$C$15-1)*EXP(-0.5*(($A50-'Control Room'!$A$15-('Control Room'!$B$15-1)/2)/MAX(0.5,'Control Room'!$B$15/4))^2),1)*IF(AND($A50&gt;='Control Room'!$A$16,$A50&lt;'Control Room'!$A$16+'Control Room'!$B$16,'Process'!BT5=1),1+('Control Room'!$C$16-1)*EXP(-0.5*(($A50-'Control Room'!$A$16-('Control Room'!$B$16-1)/2)/MAX(0.5,'Control Room'!$B$16/4))^2),1)</x:f>
        <x:v>1</x:v>
      </x:c>
      <x:c r="AZ50" s="9" t="n">
        <x:f>MOD(BA49*16807,2147483647)</x:f>
        <x:v>396427602</x:v>
      </x:c>
      <x:c r="BA50" s="9" t="n">
        <x:f>MOD(AZ50*16807,2147483647)</x:f>
        <x:v>1264433820</x:v>
      </x:c>
      <x:c r="BB50" s="17" t="n">
        <x:f>IF('Control Room'!$B$5="Normal",'Control Room'!$B$7+'Control Room'!$D$7*SQRT(-2*LN(MAX(0.000000000001,AZ50/2147483647)))*COS(2*PI()*BA50/2147483647),'Control Room'!$B$8+('Control Room'!$D$8-'Control Room'!$B$8)*AZ50/2147483647)</x:f>
        <x:v>859.6476456525104</x:v>
      </x:c>
      <x:c r="BC50" s="17" t="n">
        <x:f>IF('Control Room'!$B$5="Normal",'Control Room'!$B$7,('Control Room'!$B$8+'Control Room'!$D$8)/2)+'Control Room'!$B$9*(BC49-IF('Control Room'!$B$5="Normal",'Control Room'!$B$7,('Control Room'!$B$8+'Control Room'!$D$8)/2))+SQRT(1-'Control Room'!$B$9^2)*(BB50-IF('Control Room'!$B$5="Normal",'Control Room'!$B$7,('Control Room'!$B$8+'Control Room'!$D$8)/2))</x:f>
        <x:v>824.5503395720216</x:v>
      </x:c>
      <x:c r="BD50" s="17" t="n">
        <x:f>IF(AND($A50&gt;='Control Room'!$A$13,$A50&lt;'Control Room'!$A$13+'Control Room'!$B$13,'Process'!BU2=1),1+('Control Room'!$C$13-1)*EXP(-0.5*(($A50-'Control Room'!$A$13-('Control Room'!$B$13-1)/2)/MAX(0.5,'Control Room'!$B$13/4))^2),1)*IF(AND($A50&gt;='Control Room'!$A$14,$A50&lt;'Control Room'!$A$14+'Control Room'!$B$14,'Process'!BU3=1),1+('Control Room'!$C$14-1)*EXP(-0.5*(($A50-'Control Room'!$A$14-('Control Room'!$B$14-1)/2)/MAX(0.5,'Control Room'!$B$14/4))^2),1)*IF(AND($A50&gt;='Control Room'!$A$15,$A50&lt;'Control Room'!$A$15+'Control Room'!$B$15,'Process'!BU4=1),1+('Control Room'!$C$15-1)*EXP(-0.5*(($A50-'Control Room'!$A$15-('Control Room'!$B$15-1)/2)/MAX(0.5,'Control Room'!$B$15/4))^2),1)*IF(AND($A50&gt;='Control Room'!$A$16,$A50&lt;'Control Room'!$A$16+'Control Room'!$B$16,'Process'!BU5=1),1+('Control Room'!$C$16-1)*EXP(-0.5*(($A50-'Control Room'!$A$16-('Control Room'!$B$16-1)/2)/MAX(0.5,'Control Room'!$B$16/4))^2),1)</x:f>
        <x:v>1</x:v>
      </x:c>
      <x:c r="BE50" s="9" t="n">
        <x:f>MOD(BF49*16807,2147483647)</x:f>
        <x:v>2129487634</x:v>
      </x:c>
      <x:c r="BF50" s="9" t="n">
        <x:f>MOD(BE50*16807,2147483647)</x:f>
        <x:v>336203736</x:v>
      </x:c>
      <x:c r="BG50" s="17" t="n">
        <x:f>IF('Control Room'!$B$5="Normal",'Control Room'!$B$7+'Control Room'!$D$7*SQRT(-2*LN(MAX(0.000000000001,BE50/2147483647)))*COS(2*PI()*BF50/2147483647),'Control Room'!$B$8+('Control Room'!$D$8-'Control Room'!$B$8)*BE50/2147483647)</x:f>
        <x:v>1006.4680907189187</x:v>
      </x:c>
      <x:c r="BH50" s="17" t="n">
        <x:f>IF('Control Room'!$B$5="Normal",'Control Room'!$B$7,('Control Room'!$B$8+'Control Room'!$D$8)/2)+'Control Room'!$B$9*(BH49-IF('Control Room'!$B$5="Normal",'Control Room'!$B$7,('Control Room'!$B$8+'Control Room'!$D$8)/2))+SQRT(1-'Control Room'!$B$9^2)*(BG50-IF('Control Room'!$B$5="Normal",'Control Room'!$B$7,('Control Room'!$B$8+'Control Room'!$D$8)/2))</x:f>
        <x:v>1028.6310202925906</x:v>
      </x:c>
      <x:c r="BI50" s="17" t="n">
        <x:f>IF(AND($A50&gt;='Control Room'!$A$13,$A50&lt;'Control Room'!$A$13+'Control Room'!$B$13,'Process'!BV2=1),1+('Control Room'!$C$13-1)*EXP(-0.5*(($A50-'Control Room'!$A$13-('Control Room'!$B$13-1)/2)/MAX(0.5,'Control Room'!$B$13/4))^2),1)*IF(AND($A50&gt;='Control Room'!$A$14,$A50&lt;'Control Room'!$A$14+'Control Room'!$B$14,'Process'!BV3=1),1+('Control Room'!$C$14-1)*EXP(-0.5*(($A50-'Control Room'!$A$14-('Control Room'!$B$14-1)/2)/MAX(0.5,'Control Room'!$B$14/4))^2),1)*IF(AND($A50&gt;='Control Room'!$A$15,$A50&lt;'Control Room'!$A$15+'Control Room'!$B$15,'Process'!BV4=1),1+('Control Room'!$C$15-1)*EXP(-0.5*(($A50-'Control Room'!$A$15-('Control Room'!$B$15-1)/2)/MAX(0.5,'Control Room'!$B$15/4))^2),1)*IF(AND($A50&gt;='Control Room'!$A$16,$A50&lt;'Control Room'!$A$16+'Control Room'!$B$16,'Process'!BV5=1),1+('Control Room'!$C$16-1)*EXP(-0.5*(($A50-'Control Room'!$A$16-('Control Room'!$B$16-1)/2)/MAX(0.5,'Control Room'!$B$16/4))^2),1)</x:f>
        <x:v>1</x:v>
      </x:c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Z50" t="str">
        <x:f>IF('Data'!A50="","",TEXT('Data'!A50,"mm-dd"))</x:f>
        <x:v>12-20</x:v>
      </x:c>
    </x:row>
    <x:row r="51" ht="21" customHeight="1">
      <x:c r="A51" s="15" t="n">
        <x:f>'Control Room'!$B$1+49</x:f>
        <x:v>73040</x:v>
      </x:c>
      <x:c r="B51" s="9" t="n">
        <x:f>MOD(C50*16807,2147483647)</x:f>
        <x:v>1374239946</x:v>
      </x:c>
      <x:c r="C51" s="9" t="n">
        <x:f>MOD(B51*16807,2147483647)</x:f>
        <x:v>664148937</x:v>
      </x:c>
      <x:c r="D51" s="17" t="n">
        <x:f>IF('Control Room'!$B$5="Normal",'Control Room'!$B$7+'Control Room'!$D$7*SQRT(-2*LN(MAX(0.000000000001,B51/2147483647)))*COS(2*PI()*C51/2147483647),'Control Room'!$B$8+('Control Room'!$D$8-'Control Room'!$B$8)*B51/2147483647)</x:f>
        <x:v>969.0588525767358</x:v>
      </x:c>
      <x:c r="E51" s="17" t="n">
        <x:f>IF('Control Room'!$B$5="Normal",'Control Room'!$B$7,('Control Room'!$B$8+'Control Room'!$D$8)/2)+'Control Room'!$B$9*(E50-IF('Control Room'!$B$5="Normal",'Control Room'!$B$7,('Control Room'!$B$8+'Control Room'!$D$8)/2))+SQRT(1-'Control Room'!$B$9^2)*(D51-IF('Control Room'!$B$5="Normal",'Control Room'!$B$7,('Control Room'!$B$8+'Control Room'!$D$8)/2))</x:f>
        <x:v>1009.7059862601643</x:v>
      </x:c>
      <x:c r="F51" s="17" t="n">
        <x:f>IF(AND($A51&gt;='Control Room'!$A$13,$A51&lt;'Control Room'!$A$13+'Control Room'!$B$13,'Process'!BK2=1),1+('Control Room'!$C$13-1)*EXP(-0.5*(($A51-'Control Room'!$A$13-('Control Room'!$B$13-1)/2)/MAX(0.5,'Control Room'!$B$13/4))^2),1)*IF(AND($A51&gt;='Control Room'!$A$14,$A51&lt;'Control Room'!$A$14+'Control Room'!$B$14,'Process'!BK3=1),1+('Control Room'!$C$14-1)*EXP(-0.5*(($A51-'Control Room'!$A$14-('Control Room'!$B$14-1)/2)/MAX(0.5,'Control Room'!$B$14/4))^2),1)*IF(AND($A51&gt;='Control Room'!$A$15,$A51&lt;'Control Room'!$A$15+'Control Room'!$B$15,'Process'!BK4=1),1+('Control Room'!$C$15-1)*EXP(-0.5*(($A51-'Control Room'!$A$15-('Control Room'!$B$15-1)/2)/MAX(0.5,'Control Room'!$B$15/4))^2),1)*IF(AND($A51&gt;='Control Room'!$A$16,$A51&lt;'Control Room'!$A$16+'Control Room'!$B$16,'Process'!BK5=1),1+('Control Room'!$C$16-1)*EXP(-0.5*(($A51-'Control Room'!$A$16-('Control Room'!$B$16-1)/2)/MAX(0.5,'Control Room'!$B$16/4))^2),1)</x:f>
        <x:v>1</x:v>
      </x:c>
      <x:c r="G51" s="9" t="n">
        <x:f>MOD(H50*16807,2147483647)</x:f>
        <x:v>2079913613</x:v>
      </x:c>
      <x:c r="H51" s="9" t="n">
        <x:f>MOD(G51*16807,2147483647)</x:f>
        <x:v>369287825</x:v>
      </x:c>
      <x:c r="I51" s="17" t="n">
        <x:f>IF('Control Room'!$B$5="Normal",'Control Room'!$B$7+'Control Room'!$D$7*SQRT(-2*LN(MAX(0.000000000001,G51/2147483647)))*COS(2*PI()*H51/2147483647),'Control Room'!$B$8+('Control Room'!$D$8-'Control Room'!$B$8)*G51/2147483647)</x:f>
        <x:v>1010.7168791453092</x:v>
      </x:c>
      <x:c r="J51" s="17" t="n">
        <x:f>IF('Control Room'!$B$5="Normal",'Control Room'!$B$7,('Control Room'!$B$8+'Control Room'!$D$8)/2)+'Control Room'!$B$9*(J50-IF('Control Room'!$B$5="Normal",'Control Room'!$B$7,('Control Room'!$B$8+'Control Room'!$D$8)/2))+SQRT(1-'Control Room'!$B$9^2)*(I51-IF('Control Room'!$B$5="Normal",'Control Room'!$B$7,('Control Room'!$B$8+'Control Room'!$D$8)/2))</x:f>
        <x:v>1021.0873945387837</x:v>
      </x:c>
      <x:c r="K51" s="17" t="n">
        <x:f>IF(AND($A51&gt;='Control Room'!$A$13,$A51&lt;'Control Room'!$A$13+'Control Room'!$B$13,'Process'!BL2=1),1+('Control Room'!$C$13-1)*EXP(-0.5*(($A51-'Control Room'!$A$13-('Control Room'!$B$13-1)/2)/MAX(0.5,'Control Room'!$B$13/4))^2),1)*IF(AND($A51&gt;='Control Room'!$A$14,$A51&lt;'Control Room'!$A$14+'Control Room'!$B$14,'Process'!BL3=1),1+('Control Room'!$C$14-1)*EXP(-0.5*(($A51-'Control Room'!$A$14-('Control Room'!$B$14-1)/2)/MAX(0.5,'Control Room'!$B$14/4))^2),1)*IF(AND($A51&gt;='Control Room'!$A$15,$A51&lt;'Control Room'!$A$15+'Control Room'!$B$15,'Process'!BL4=1),1+('Control Room'!$C$15-1)*EXP(-0.5*(($A51-'Control Room'!$A$15-('Control Room'!$B$15-1)/2)/MAX(0.5,'Control Room'!$B$15/4))^2),1)*IF(AND($A51&gt;='Control Room'!$A$16,$A51&lt;'Control Room'!$A$16+'Control Room'!$B$16,'Process'!BL5=1),1+('Control Room'!$C$16-1)*EXP(-0.5*(($A51-'Control Room'!$A$16-('Control Room'!$B$16-1)/2)/MAX(0.5,'Control Room'!$B$16/4))^2),1)</x:f>
        <x:v>1</x:v>
      </x:c>
      <x:c r="L51" s="9" t="n">
        <x:f>MOD(M50*16807,2147483647)</x:f>
        <x:v>638103633</x:v>
      </x:c>
      <x:c r="M51" s="9" t="n">
        <x:f>MOD(L51*16807,2147483647)</x:f>
        <x:v>74426713</x:v>
      </x:c>
      <x:c r="N51" s="17" t="n">
        <x:f>IF('Control Room'!$B$5="Normal",'Control Room'!$B$7+'Control Room'!$D$7*SQRT(-2*LN(MAX(0.000000000001,L51/2147483647)))*COS(2*PI()*M51/2147483647),'Control Room'!$B$8+('Control Room'!$D$8-'Control Room'!$B$8)*L51/2147483647)</x:f>
        <x:v>1136.9011601768764</x:v>
      </x:c>
      <x:c r="O51" s="17" t="n">
        <x:f>IF('Control Room'!$B$5="Normal",'Control Room'!$B$7,('Control Room'!$B$8+'Control Room'!$D$8)/2)+'Control Room'!$B$9*(O50-IF('Control Room'!$B$5="Normal",'Control Room'!$B$7,('Control Room'!$B$8+'Control Room'!$D$8)/2))+SQRT(1-'Control Room'!$B$9^2)*(N51-IF('Control Room'!$B$5="Normal",'Control Room'!$B$7,('Control Room'!$B$8+'Control Room'!$D$8)/2))</x:f>
        <x:v>1131.3519604135442</x:v>
      </x:c>
      <x:c r="P51" s="17" t="n">
        <x:f>IF(AND($A51&gt;='Control Room'!$A$13,$A51&lt;'Control Room'!$A$13+'Control Room'!$B$13,'Process'!BM2=1),1+('Control Room'!$C$13-1)*EXP(-0.5*(($A51-'Control Room'!$A$13-('Control Room'!$B$13-1)/2)/MAX(0.5,'Control Room'!$B$13/4))^2),1)*IF(AND($A51&gt;='Control Room'!$A$14,$A51&lt;'Control Room'!$A$14+'Control Room'!$B$14,'Process'!BM3=1),1+('Control Room'!$C$14-1)*EXP(-0.5*(($A51-'Control Room'!$A$14-('Control Room'!$B$14-1)/2)/MAX(0.5,'Control Room'!$B$14/4))^2),1)*IF(AND($A51&gt;='Control Room'!$A$15,$A51&lt;'Control Room'!$A$15+'Control Room'!$B$15,'Process'!BM4=1),1+('Control Room'!$C$15-1)*EXP(-0.5*(($A51-'Control Room'!$A$15-('Control Room'!$B$15-1)/2)/MAX(0.5,'Control Room'!$B$15/4))^2),1)*IF(AND($A51&gt;='Control Room'!$A$16,$A51&lt;'Control Room'!$A$16+'Control Room'!$B$16,'Process'!BM5=1),1+('Control Room'!$C$16-1)*EXP(-0.5*(($A51-'Control Room'!$A$16-('Control Room'!$B$16-1)/2)/MAX(0.5,'Control Room'!$B$16/4))^2),1)</x:f>
        <x:v>1</x:v>
      </x:c>
      <x:c r="Q51" s="9" t="n">
        <x:f>MOD(R50*16807,2147483647)</x:f>
        <x:v>1343777300</x:v>
      </x:c>
      <x:c r="R51" s="9" t="n">
        <x:f>MOD(Q51*16807,2147483647)</x:f>
        <x:v>1927049248</x:v>
      </x:c>
      <x:c r="S51" s="17" t="n">
        <x:f>IF('Control Room'!$B$5="Normal",'Control Room'!$B$7+'Control Room'!$D$7*SQRT(-2*LN(MAX(0.000000000001,Q51/2147483647)))*COS(2*PI()*R51/2147483647),'Control Room'!$B$8+('Control Room'!$D$8-'Control Room'!$B$8)*Q51/2147483647)</x:f>
        <x:v>1069.6422352275847</x:v>
      </x:c>
      <x:c r="T51" s="17" t="n">
        <x:f>IF('Control Room'!$B$5="Normal",'Control Room'!$B$7,('Control Room'!$B$8+'Control Room'!$D$8)/2)+'Control Room'!$B$9*(T50-IF('Control Room'!$B$5="Normal",'Control Room'!$B$7,('Control Room'!$B$8+'Control Room'!$D$8)/2))+SQRT(1-'Control Room'!$B$9^2)*(S51-IF('Control Room'!$B$5="Normal",'Control Room'!$B$7,('Control Room'!$B$8+'Control Room'!$D$8)/2))</x:f>
        <x:v>1046.2724633152718</x:v>
      </x:c>
      <x:c r="U51" s="17" t="n">
        <x:f>IF(AND($A51&gt;='Control Room'!$A$13,$A51&lt;'Control Room'!$A$13+'Control Room'!$B$13,'Process'!BN2=1),1+('Control Room'!$C$13-1)*EXP(-0.5*(($A51-'Control Room'!$A$13-('Control Room'!$B$13-1)/2)/MAX(0.5,'Control Room'!$B$13/4))^2),1)*IF(AND($A51&gt;='Control Room'!$A$14,$A51&lt;'Control Room'!$A$14+'Control Room'!$B$14,'Process'!BN3=1),1+('Control Room'!$C$14-1)*EXP(-0.5*(($A51-'Control Room'!$A$14-('Control Room'!$B$14-1)/2)/MAX(0.5,'Control Room'!$B$14/4))^2),1)*IF(AND($A51&gt;='Control Room'!$A$15,$A51&lt;'Control Room'!$A$15+'Control Room'!$B$15,'Process'!BN4=1),1+('Control Room'!$C$15-1)*EXP(-0.5*(($A51-'Control Room'!$A$15-('Control Room'!$B$15-1)/2)/MAX(0.5,'Control Room'!$B$15/4))^2),1)*IF(AND($A51&gt;='Control Room'!$A$16,$A51&lt;'Control Room'!$A$16+'Control Room'!$B$16,'Process'!BN5=1),1+('Control Room'!$C$16-1)*EXP(-0.5*(($A51-'Control Room'!$A$16-('Control Room'!$B$16-1)/2)/MAX(0.5,'Control Room'!$B$16/4))^2),1)</x:f>
        <x:v>1</x:v>
      </x:c>
      <x:c r="V51" s="9" t="n">
        <x:f>MOD(W50*16807,2147483647)</x:f>
        <x:v>2049450967</x:v>
      </x:c>
      <x:c r="W51" s="9" t="n">
        <x:f>MOD(V51*16807,2147483647)</x:f>
        <x:v>1632188136</x:v>
      </x:c>
      <x:c r="X51" s="17" t="n">
        <x:f>IF('Control Room'!$B$5="Normal",'Control Room'!$B$7+'Control Room'!$D$7*SQRT(-2*LN(MAX(0.000000000001,V51/2147483647)))*COS(2*PI()*W51/2147483647),'Control Room'!$B$8+('Control Room'!$D$8-'Control Room'!$B$8)*V51/2147483647)</x:f>
        <x:v>1001.7356083932739</x:v>
      </x:c>
      <x:c r="Y51" s="17" t="n">
        <x:f>IF('Control Room'!$B$5="Normal",'Control Room'!$B$7,('Control Room'!$B$8+'Control Room'!$D$8)/2)+'Control Room'!$B$9*(Y50-IF('Control Room'!$B$5="Normal",'Control Room'!$B$7,('Control Room'!$B$8+'Control Room'!$D$8)/2))+SQRT(1-'Control Room'!$B$9^2)*(X51-IF('Control Room'!$B$5="Normal",'Control Room'!$B$7,('Control Room'!$B$8+'Control Room'!$D$8)/2))</x:f>
        <x:v>1011.3005887531803</x:v>
      </x:c>
      <x:c r="Z51" s="17" t="n">
        <x:f>IF(AND($A51&gt;='Control Room'!$A$13,$A51&lt;'Control Room'!$A$13+'Control Room'!$B$13,'Process'!BO2=1),1+('Control Room'!$C$13-1)*EXP(-0.5*(($A51-'Control Room'!$A$13-('Control Room'!$B$13-1)/2)/MAX(0.5,'Control Room'!$B$13/4))^2),1)*IF(AND($A51&gt;='Control Room'!$A$14,$A51&lt;'Control Room'!$A$14+'Control Room'!$B$14,'Process'!BO3=1),1+('Control Room'!$C$14-1)*EXP(-0.5*(($A51-'Control Room'!$A$14-('Control Room'!$B$14-1)/2)/MAX(0.5,'Control Room'!$B$14/4))^2),1)*IF(AND($A51&gt;='Control Room'!$A$15,$A51&lt;'Control Room'!$A$15+'Control Room'!$B$15,'Process'!BO4=1),1+('Control Room'!$C$15-1)*EXP(-0.5*(($A51-'Control Room'!$A$15-('Control Room'!$B$15-1)/2)/MAX(0.5,'Control Room'!$B$15/4))^2),1)*IF(AND($A51&gt;='Control Room'!$A$16,$A51&lt;'Control Room'!$A$16+'Control Room'!$B$16,'Process'!BO5=1),1+('Control Room'!$C$16-1)*EXP(-0.5*(($A51-'Control Room'!$A$16-('Control Room'!$B$16-1)/2)/MAX(0.5,'Control Room'!$B$16/4))^2),1)</x:f>
        <x:v>1</x:v>
      </x:c>
      <x:c r="AA51" s="9" t="n">
        <x:f>MOD(AB50*16807,2147483647)</x:f>
        <x:v>607640987</x:v>
      </x:c>
      <x:c r="AB51" s="9" t="n">
        <x:f>MOD(AA51*16807,2147483647)</x:f>
        <x:v>1337327024</x:v>
      </x:c>
      <x:c r="AC51" s="17" t="n">
        <x:f>IF('Control Room'!$B$5="Normal",'Control Room'!$B$7+'Control Room'!$D$7*SQRT(-2*LN(MAX(0.000000000001,AA51/2147483647)))*COS(2*PI()*AB51/2147483647),'Control Room'!$B$8+('Control Room'!$D$8-'Control Room'!$B$8)*AA51/2147483647)</x:f>
        <x:v>897.4515459608026</x:v>
      </x:c>
      <x:c r="AD51" s="17" t="n">
        <x:f>IF('Control Room'!$B$5="Normal",'Control Room'!$B$7,('Control Room'!$B$8+'Control Room'!$D$8)/2)+'Control Room'!$B$9*(AD50-IF('Control Room'!$B$5="Normal",'Control Room'!$B$7,('Control Room'!$B$8+'Control Room'!$D$8)/2))+SQRT(1-'Control Room'!$B$9^2)*(AC51-IF('Control Room'!$B$5="Normal",'Control Room'!$B$7,('Control Room'!$B$8+'Control Room'!$D$8)/2))</x:f>
        <x:v>858.4779260496683</x:v>
      </x:c>
      <x:c r="AE51" s="17" t="n">
        <x:f>IF(AND($A51&gt;='Control Room'!$A$13,$A51&lt;'Control Room'!$A$13+'Control Room'!$B$13,'Process'!BP2=1),1+('Control Room'!$C$13-1)*EXP(-0.5*(($A51-'Control Room'!$A$13-('Control Room'!$B$13-1)/2)/MAX(0.5,'Control Room'!$B$13/4))^2),1)*IF(AND($A51&gt;='Control Room'!$A$14,$A51&lt;'Control Room'!$A$14+'Control Room'!$B$14,'Process'!BP3=1),1+('Control Room'!$C$14-1)*EXP(-0.5*(($A51-'Control Room'!$A$14-('Control Room'!$B$14-1)/2)/MAX(0.5,'Control Room'!$B$14/4))^2),1)*IF(AND($A51&gt;='Control Room'!$A$15,$A51&lt;'Control Room'!$A$15+'Control Room'!$B$15,'Process'!BP4=1),1+('Control Room'!$C$15-1)*EXP(-0.5*(($A51-'Control Room'!$A$15-('Control Room'!$B$15-1)/2)/MAX(0.5,'Control Room'!$B$15/4))^2),1)*IF(AND($A51&gt;='Control Room'!$A$16,$A51&lt;'Control Room'!$A$16+'Control Room'!$B$16,'Process'!BP5=1),1+('Control Room'!$C$16-1)*EXP(-0.5*(($A51-'Control Room'!$A$16-('Control Room'!$B$16-1)/2)/MAX(0.5,'Control Room'!$B$16/4))^2),1)</x:f>
        <x:v>1</x:v>
      </x:c>
      <x:c r="AF51" s="9" t="n">
        <x:f>MOD(AG50*16807,2147483647)</x:f>
        <x:v>1313314654</x:v>
      </x:c>
      <x:c r="AG51" s="9" t="n">
        <x:f>MOD(AF51*16807,2147483647)</x:f>
        <x:v>1042465912</x:v>
      </x:c>
      <x:c r="AH51" s="17" t="n">
        <x:f>IF('Control Room'!$B$5="Normal",'Control Room'!$B$7+'Control Room'!$D$7*SQRT(-2*LN(MAX(0.000000000001,AF51/2147483647)))*COS(2*PI()*AG51/2147483647),'Control Room'!$B$8+('Control Room'!$D$8-'Control Room'!$B$8)*AF51/2147483647)</x:f>
        <x:v>911.1196981155542</x:v>
      </x:c>
      <x:c r="AI51" s="17" t="n">
        <x:f>IF('Control Room'!$B$5="Normal",'Control Room'!$B$7,('Control Room'!$B$8+'Control Room'!$D$8)/2)+'Control Room'!$B$9*(AI50-IF('Control Room'!$B$5="Normal",'Control Room'!$B$7,('Control Room'!$B$8+'Control Room'!$D$8)/2))+SQRT(1-'Control Room'!$B$9^2)*(AH51-IF('Control Room'!$B$5="Normal",'Control Room'!$B$7,('Control Room'!$B$8+'Control Room'!$D$8)/2))</x:f>
        <x:v>976.8243108069116</x:v>
      </x:c>
      <x:c r="AJ51" s="17" t="n">
        <x:f>IF(AND($A51&gt;='Control Room'!$A$13,$A51&lt;'Control Room'!$A$13+'Control Room'!$B$13,'Process'!BQ2=1),1+('Control Room'!$C$13-1)*EXP(-0.5*(($A51-'Control Room'!$A$13-('Control Room'!$B$13-1)/2)/MAX(0.5,'Control Room'!$B$13/4))^2),1)*IF(AND($A51&gt;='Control Room'!$A$14,$A51&lt;'Control Room'!$A$14+'Control Room'!$B$14,'Process'!BQ3=1),1+('Control Room'!$C$14-1)*EXP(-0.5*(($A51-'Control Room'!$A$14-('Control Room'!$B$14-1)/2)/MAX(0.5,'Control Room'!$B$14/4))^2),1)*IF(AND($A51&gt;='Control Room'!$A$15,$A51&lt;'Control Room'!$A$15+'Control Room'!$B$15,'Process'!BQ4=1),1+('Control Room'!$C$15-1)*EXP(-0.5*(($A51-'Control Room'!$A$15-('Control Room'!$B$15-1)/2)/MAX(0.5,'Control Room'!$B$15/4))^2),1)*IF(AND($A51&gt;='Control Room'!$A$16,$A51&lt;'Control Room'!$A$16+'Control Room'!$B$16,'Process'!BQ5=1),1+('Control Room'!$C$16-1)*EXP(-0.5*(($A51-'Control Room'!$A$16-('Control Room'!$B$16-1)/2)/MAX(0.5,'Control Room'!$B$16/4))^2),1)</x:f>
        <x:v>1</x:v>
      </x:c>
      <x:c r="AK51" s="9" t="n">
        <x:f>MOD(AL50*16807,2147483647)</x:f>
        <x:v>2018988321</x:v>
      </x:c>
      <x:c r="AL51" s="9" t="n">
        <x:f>MOD(AK51*16807,2147483647)</x:f>
        <x:v>747604800</x:v>
      </x:c>
      <x:c r="AM51" s="17" t="n">
        <x:f>IF('Control Room'!$B$5="Normal",'Control Room'!$B$7+'Control Room'!$D$7*SQRT(-2*LN(MAX(0.000000000001,AK51/2147483647)))*COS(2*PI()*AL51/2147483647),'Control Room'!$B$8+('Control Room'!$D$8-'Control Room'!$B$8)*AK51/2147483647)</x:f>
        <x:v>981.718543831883</x:v>
      </x:c>
      <x:c r="AN51" s="17" t="n">
        <x:f>IF('Control Room'!$B$5="Normal",'Control Room'!$B$7,('Control Room'!$B$8+'Control Room'!$D$8)/2)+'Control Room'!$B$9*(AN50-IF('Control Room'!$B$5="Normal",'Control Room'!$B$7,('Control Room'!$B$8+'Control Room'!$D$8)/2))+SQRT(1-'Control Room'!$B$9^2)*(AM51-IF('Control Room'!$B$5="Normal",'Control Room'!$B$7,('Control Room'!$B$8+'Control Room'!$D$8)/2))</x:f>
        <x:v>1035.054277925606</x:v>
      </x:c>
      <x:c r="AO51" s="17" t="n">
        <x:f>IF(AND($A51&gt;='Control Room'!$A$13,$A51&lt;'Control Room'!$A$13+'Control Room'!$B$13,'Process'!BR2=1),1+('Control Room'!$C$13-1)*EXP(-0.5*(($A51-'Control Room'!$A$13-('Control Room'!$B$13-1)/2)/MAX(0.5,'Control Room'!$B$13/4))^2),1)*IF(AND($A51&gt;='Control Room'!$A$14,$A51&lt;'Control Room'!$A$14+'Control Room'!$B$14,'Process'!BR3=1),1+('Control Room'!$C$14-1)*EXP(-0.5*(($A51-'Control Room'!$A$14-('Control Room'!$B$14-1)/2)/MAX(0.5,'Control Room'!$B$14/4))^2),1)*IF(AND($A51&gt;='Control Room'!$A$15,$A51&lt;'Control Room'!$A$15+'Control Room'!$B$15,'Process'!BR4=1),1+('Control Room'!$C$15-1)*EXP(-0.5*(($A51-'Control Room'!$A$15-('Control Room'!$B$15-1)/2)/MAX(0.5,'Control Room'!$B$15/4))^2),1)*IF(AND($A51&gt;='Control Room'!$A$16,$A51&lt;'Control Room'!$A$16+'Control Room'!$B$16,'Process'!BR5=1),1+('Control Room'!$C$16-1)*EXP(-0.5*(($A51-'Control Room'!$A$16-('Control Room'!$B$16-1)/2)/MAX(0.5,'Control Room'!$B$16/4))^2),1)</x:f>
        <x:v>1</x:v>
      </x:c>
      <x:c r="AP51" s="9" t="n">
        <x:f>MOD(AQ50*16807,2147483647)</x:f>
        <x:v>577178341</x:v>
      </x:c>
      <x:c r="AQ51" s="9" t="n">
        <x:f>MOD(AP51*16807,2147483647)</x:f>
        <x:v>452743688</x:v>
      </x:c>
      <x:c r="AR51" s="17" t="n">
        <x:f>IF('Control Room'!$B$5="Normal",'Control Room'!$B$7+'Control Room'!$D$7*SQRT(-2*LN(MAX(0.000000000001,AP51/2147483647)))*COS(2*PI()*AQ51/2147483647),'Control Room'!$B$8+('Control Room'!$D$8-'Control Room'!$B$8)*AP51/2147483647)</x:f>
        <x:v>1035.5493026216996</x:v>
      </x:c>
      <x:c r="AS51" s="17" t="n">
        <x:f>IF('Control Room'!$B$5="Normal",'Control Room'!$B$7,('Control Room'!$B$8+'Control Room'!$D$8)/2)+'Control Room'!$B$9*(AS50-IF('Control Room'!$B$5="Normal",'Control Room'!$B$7,('Control Room'!$B$8+'Control Room'!$D$8)/2))+SQRT(1-'Control Room'!$B$9^2)*(AR51-IF('Control Room'!$B$5="Normal",'Control Room'!$B$7,('Control Room'!$B$8+'Control Room'!$D$8)/2))</x:f>
        <x:v>953.2279123797123</x:v>
      </x:c>
      <x:c r="AT51" s="17" t="n">
        <x:f>IF(AND($A51&gt;='Control Room'!$A$13,$A51&lt;'Control Room'!$A$13+'Control Room'!$B$13,'Process'!BS2=1),1+('Control Room'!$C$13-1)*EXP(-0.5*(($A51-'Control Room'!$A$13-('Control Room'!$B$13-1)/2)/MAX(0.5,'Control Room'!$B$13/4))^2),1)*IF(AND($A51&gt;='Control Room'!$A$14,$A51&lt;'Control Room'!$A$14+'Control Room'!$B$14,'Process'!BS3=1),1+('Control Room'!$C$14-1)*EXP(-0.5*(($A51-'Control Room'!$A$14-('Control Room'!$B$14-1)/2)/MAX(0.5,'Control Room'!$B$14/4))^2),1)*IF(AND($A51&gt;='Control Room'!$A$15,$A51&lt;'Control Room'!$A$15+'Control Room'!$B$15,'Process'!BS4=1),1+('Control Room'!$C$15-1)*EXP(-0.5*(($A51-'Control Room'!$A$15-('Control Room'!$B$15-1)/2)/MAX(0.5,'Control Room'!$B$15/4))^2),1)*IF(AND($A51&gt;='Control Room'!$A$16,$A51&lt;'Control Room'!$A$16+'Control Room'!$B$16,'Process'!BS5=1),1+('Control Room'!$C$16-1)*EXP(-0.5*(($A51-'Control Room'!$A$16-('Control Room'!$B$16-1)/2)/MAX(0.5,'Control Room'!$B$16/4))^2),1)</x:f>
        <x:v>1</x:v>
      </x:c>
      <x:c r="AU51" s="9" t="n">
        <x:f>MOD(AV50*16807,2147483647)</x:f>
        <x:v>1282852008</x:v>
      </x:c>
      <x:c r="AV51" s="9" t="n">
        <x:f>MOD(AU51*16807,2147483647)</x:f>
        <x:v>157882576</x:v>
      </x:c>
      <x:c r="AW51" s="17" t="n">
        <x:f>IF('Control Room'!$B$5="Normal",'Control Room'!$B$7+'Control Room'!$D$7*SQRT(-2*LN(MAX(0.000000000001,AU51/2147483647)))*COS(2*PI()*AV51/2147483647),'Control Room'!$B$8+('Control Room'!$D$8-'Control Room'!$B$8)*AU51/2147483647)</x:f>
        <x:v>1081.783445204005</x:v>
      </x:c>
      <x:c r="AX51" s="17" t="n">
        <x:f>IF('Control Room'!$B$5="Normal",'Control Room'!$B$7,('Control Room'!$B$8+'Control Room'!$D$8)/2)+'Control Room'!$B$9*(AX50-IF('Control Room'!$B$5="Normal",'Control Room'!$B$7,('Control Room'!$B$8+'Control Room'!$D$8)/2))+SQRT(1-'Control Room'!$B$9^2)*(AW51-IF('Control Room'!$B$5="Normal",'Control Room'!$B$7,('Control Room'!$B$8+'Control Room'!$D$8)/2))</x:f>
        <x:v>1131.1422540004414</x:v>
      </x:c>
      <x:c r="AY51" s="17" t="n">
        <x:f>IF(AND($A51&gt;='Control Room'!$A$13,$A51&lt;'Control Room'!$A$13+'Control Room'!$B$13,'Process'!BT2=1),1+('Control Room'!$C$13-1)*EXP(-0.5*(($A51-'Control Room'!$A$13-('Control Room'!$B$13-1)/2)/MAX(0.5,'Control Room'!$B$13/4))^2),1)*IF(AND($A51&gt;='Control Room'!$A$14,$A51&lt;'Control Room'!$A$14+'Control Room'!$B$14,'Process'!BT3=1),1+('Control Room'!$C$14-1)*EXP(-0.5*(($A51-'Control Room'!$A$14-('Control Room'!$B$14-1)/2)/MAX(0.5,'Control Room'!$B$14/4))^2),1)*IF(AND($A51&gt;='Control Room'!$A$15,$A51&lt;'Control Room'!$A$15+'Control Room'!$B$15,'Process'!BT4=1),1+('Control Room'!$C$15-1)*EXP(-0.5*(($A51-'Control Room'!$A$15-('Control Room'!$B$15-1)/2)/MAX(0.5,'Control Room'!$B$15/4))^2),1)*IF(AND($A51&gt;='Control Room'!$A$16,$A51&lt;'Control Room'!$A$16+'Control Room'!$B$16,'Process'!BT5=1),1+('Control Room'!$C$16-1)*EXP(-0.5*(($A51-'Control Room'!$A$16-('Control Room'!$B$16-1)/2)/MAX(0.5,'Control Room'!$B$16/4))^2),1)</x:f>
        <x:v>1</x:v>
      </x:c>
      <x:c r="AZ51" s="9" t="n">
        <x:f>MOD(BA50*16807,2147483647)</x:f>
        <x:v>1988525675</x:v>
      </x:c>
      <x:c r="BA51" s="9" t="n">
        <x:f>MOD(AZ51*16807,2147483647)</x:f>
        <x:v>2010505111</x:v>
      </x:c>
      <x:c r="BB51" s="17" t="n">
        <x:f>IF('Control Room'!$B$5="Normal",'Control Room'!$B$7+'Control Room'!$D$7*SQRT(-2*LN(MAX(0.000000000001,AZ51/2147483647)))*COS(2*PI()*BA51/2147483647),'Control Room'!$B$8+('Control Room'!$D$8-'Control Room'!$B$8)*AZ51/2147483647)</x:f>
        <x:v>1032.4994118209586</x:v>
      </x:c>
      <x:c r="BC51" s="17" t="n">
        <x:f>IF('Control Room'!$B$5="Normal",'Control Room'!$B$7,('Control Room'!$B$8+'Control Room'!$D$8)/2)+'Control Room'!$B$9*(BC50-IF('Control Room'!$B$5="Normal",'Control Room'!$B$7,('Control Room'!$B$8+'Control Room'!$D$8)/2))+SQRT(1-'Control Room'!$B$9^2)*(BB51-IF('Control Room'!$B$5="Normal",'Control Room'!$B$7,('Control Room'!$B$8+'Control Room'!$D$8)/2))</x:f>
        <x:v>883.4867309970929</x:v>
      </x:c>
      <x:c r="BD51" s="17" t="n">
        <x:f>IF(AND($A51&gt;='Control Room'!$A$13,$A51&lt;'Control Room'!$A$13+'Control Room'!$B$13,'Process'!BU2=1),1+('Control Room'!$C$13-1)*EXP(-0.5*(($A51-'Control Room'!$A$13-('Control Room'!$B$13-1)/2)/MAX(0.5,'Control Room'!$B$13/4))^2),1)*IF(AND($A51&gt;='Control Room'!$A$14,$A51&lt;'Control Room'!$A$14+'Control Room'!$B$14,'Process'!BU3=1),1+('Control Room'!$C$14-1)*EXP(-0.5*(($A51-'Control Room'!$A$14-('Control Room'!$B$14-1)/2)/MAX(0.5,'Control Room'!$B$14/4))^2),1)*IF(AND($A51&gt;='Control Room'!$A$15,$A51&lt;'Control Room'!$A$15+'Control Room'!$B$15,'Process'!BU4=1),1+('Control Room'!$C$15-1)*EXP(-0.5*(($A51-'Control Room'!$A$15-('Control Room'!$B$15-1)/2)/MAX(0.5,'Control Room'!$B$15/4))^2),1)*IF(AND($A51&gt;='Control Room'!$A$16,$A51&lt;'Control Room'!$A$16+'Control Room'!$B$16,'Process'!BU5=1),1+('Control Room'!$C$16-1)*EXP(-0.5*(($A51-'Control Room'!$A$16-('Control Room'!$B$16-1)/2)/MAX(0.5,'Control Room'!$B$16/4))^2),1)</x:f>
        <x:v>1</x:v>
      </x:c>
      <x:c r="BE51" s="9" t="n">
        <x:f>MOD(BF50*16807,2147483647)</x:f>
        <x:v>546715695</x:v>
      </x:c>
      <x:c r="BF51" s="9" t="n">
        <x:f>MOD(BE51*16807,2147483647)</x:f>
        <x:v>1715643999</x:v>
      </x:c>
      <x:c r="BG51" s="17" t="n">
        <x:f>IF('Control Room'!$B$5="Normal",'Control Room'!$B$7+'Control Room'!$D$7*SQRT(-2*LN(MAX(0.000000000001,BE51/2147483647)))*COS(2*PI()*BF51/2147483647),'Control Room'!$B$8+('Control Room'!$D$8-'Control Room'!$B$8)*BE51/2147483647)</x:f>
        <x:v>1045.0330691482766</x:v>
      </x:c>
      <x:c r="BH51" s="17" t="n">
        <x:f>IF('Control Room'!$B$5="Normal",'Control Room'!$B$7,('Control Room'!$B$8+'Control Room'!$D$8)/2)+'Control Room'!$B$9*(BH50-IF('Control Room'!$B$5="Normal",'Control Room'!$B$7,('Control Room'!$B$8+'Control Room'!$D$8)/2))+SQRT(1-'Control Room'!$B$9^2)*(BG51-IF('Control Room'!$B$5="Normal",'Control Room'!$B$7,('Control Room'!$B$8+'Control Room'!$D$8)/2))</x:f>
        <x:v>1050.5129679486456</x:v>
      </x:c>
      <x:c r="BI51" s="17" t="n">
        <x:f>IF(AND($A51&gt;='Control Room'!$A$13,$A51&lt;'Control Room'!$A$13+'Control Room'!$B$13,'Process'!BV2=1),1+('Control Room'!$C$13-1)*EXP(-0.5*(($A51-'Control Room'!$A$13-('Control Room'!$B$13-1)/2)/MAX(0.5,'Control Room'!$B$13/4))^2),1)*IF(AND($A51&gt;='Control Room'!$A$14,$A51&lt;'Control Room'!$A$14+'Control Room'!$B$14,'Process'!BV3=1),1+('Control Room'!$C$14-1)*EXP(-0.5*(($A51-'Control Room'!$A$14-('Control Room'!$B$14-1)/2)/MAX(0.5,'Control Room'!$B$14/4))^2),1)*IF(AND($A51&gt;='Control Room'!$A$15,$A51&lt;'Control Room'!$A$15+'Control Room'!$B$15,'Process'!BV4=1),1+('Control Room'!$C$15-1)*EXP(-0.5*(($A51-'Control Room'!$A$15-('Control Room'!$B$15-1)/2)/MAX(0.5,'Control Room'!$B$15/4))^2),1)*IF(AND($A51&gt;='Control Room'!$A$16,$A51&lt;'Control Room'!$A$16+'Control Room'!$B$16,'Process'!BV5=1),1+('Control Room'!$C$16-1)*EXP(-0.5*(($A51-'Control Room'!$A$16-('Control Room'!$B$16-1)/2)/MAX(0.5,'Control Room'!$B$16/4))^2),1)</x:f>
        <x:v>1</x:v>
      </x:c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Z51" t="str">
        <x:f>IF('Data'!A51="","",TEXT('Data'!A51,"mm-dd"))</x:f>
        <x:v>12-21</x:v>
      </x:c>
    </x:row>
    <x:row r="52" ht="21" customHeight="1">
      <x:c r="A52" s="15" t="n">
        <x:f>'Control Room'!$B$1+50</x:f>
        <x:v>73041</x:v>
      </x:c>
      <x:c r="B52" s="9" t="n">
        <x:f>MOD(C51*16807,2147483647)</x:f>
        <x:v>1878670700</x:v>
      </x:c>
      <x:c r="C52" s="9" t="n">
        <x:f>MOD(B52*16807,2147483647)</x:f>
        <x:v>366393059</x:v>
      </x:c>
      <x:c r="D52" s="17" t="n">
        <x:f>IF('Control Room'!$B$5="Normal",'Control Room'!$B$7+'Control Room'!$D$7*SQRT(-2*LN(MAX(0.000000000001,B52/2147483647)))*COS(2*PI()*C52/2147483647),'Control Room'!$B$8+('Control Room'!$D$8-'Control Room'!$B$8)*B52/2147483647)</x:f>
        <x:v>1022.2655667298504</x:v>
      </x:c>
      <x:c r="E52" s="17" t="n">
        <x:f>IF('Control Room'!$B$5="Normal",'Control Room'!$B$7,('Control Room'!$B$8+'Control Room'!$D$8)/2)+'Control Room'!$B$9*(E51-IF('Control Room'!$B$5="Normal",'Control Room'!$B$7,('Control Room'!$B$8+'Control Room'!$D$8)/2))+SQRT(1-'Control Room'!$B$9^2)*(D52-IF('Control Room'!$B$5="Normal",'Control Room'!$B$7,('Control Room'!$B$8+'Control Room'!$D$8)/2))</x:f>
        <x:v>1021.5040048075409</x:v>
      </x:c>
      <x:c r="F52" s="17" t="n">
        <x:f>IF(AND($A52&gt;='Control Room'!$A$13,$A52&lt;'Control Room'!$A$13+'Control Room'!$B$13,'Process'!BK2=1),1+('Control Room'!$C$13-1)*EXP(-0.5*(($A52-'Control Room'!$A$13-('Control Room'!$B$13-1)/2)/MAX(0.5,'Control Room'!$B$13/4))^2),1)*IF(AND($A52&gt;='Control Room'!$A$14,$A52&lt;'Control Room'!$A$14+'Control Room'!$B$14,'Process'!BK3=1),1+('Control Room'!$C$14-1)*EXP(-0.5*(($A52-'Control Room'!$A$14-('Control Room'!$B$14-1)/2)/MAX(0.5,'Control Room'!$B$14/4))^2),1)*IF(AND($A52&gt;='Control Room'!$A$15,$A52&lt;'Control Room'!$A$15+'Control Room'!$B$15,'Process'!BK4=1),1+('Control Room'!$C$15-1)*EXP(-0.5*(($A52-'Control Room'!$A$15-('Control Room'!$B$15-1)/2)/MAX(0.5,'Control Room'!$B$15/4))^2),1)*IF(AND($A52&gt;='Control Room'!$A$16,$A52&lt;'Control Room'!$A$16+'Control Room'!$B$16,'Process'!BK5=1),1+('Control Room'!$C$16-1)*EXP(-0.5*(($A52-'Control Room'!$A$16-('Control Room'!$B$16-1)/2)/MAX(0.5,'Control Room'!$B$16/4))^2),1)</x:f>
        <x:v>1</x:v>
      </x:c>
      <x:c r="G52" s="9" t="n">
        <x:f>MOD(H51*16807,2147483647)</x:f>
        <x:v>392734945</x:v>
      </x:c>
      <x:c r="H52" s="9" t="n">
        <x:f>MOD(G52*16807,2147483647)</x:f>
        <x:v>1478973384</x:v>
      </x:c>
      <x:c r="I52" s="17" t="n">
        <x:f>IF('Control Room'!$B$5="Normal",'Control Room'!$B$7+'Control Room'!$D$7*SQRT(-2*LN(MAX(0.000000000001,G52/2147483647)))*COS(2*PI()*H52/2147483647),'Control Room'!$B$8+('Control Room'!$D$8-'Control Room'!$B$8)*G52/2147483647)</x:f>
        <x:v>937.6712808413837</x:v>
      </x:c>
      <x:c r="J52" s="17" t="n">
        <x:f>IF('Control Room'!$B$5="Normal",'Control Room'!$B$7,('Control Room'!$B$8+'Control Room'!$D$8)/2)+'Control Room'!$B$9*(J51-IF('Control Room'!$B$5="Normal",'Control Room'!$B$7,('Control Room'!$B$8+'Control Room'!$D$8)/2))+SQRT(1-'Control Room'!$B$9^2)*(I52-IF('Control Room'!$B$5="Normal",'Control Room'!$B$7,('Control Room'!$B$8+'Control Room'!$D$8)/2))</x:f>
        <x:v>977.4441321640054</x:v>
      </x:c>
      <x:c r="K52" s="17" t="n">
        <x:f>IF(AND($A52&gt;='Control Room'!$A$13,$A52&lt;'Control Room'!$A$13+'Control Room'!$B$13,'Process'!BL2=1),1+('Control Room'!$C$13-1)*EXP(-0.5*(($A52-'Control Room'!$A$13-('Control Room'!$B$13-1)/2)/MAX(0.5,'Control Room'!$B$13/4))^2),1)*IF(AND($A52&gt;='Control Room'!$A$14,$A52&lt;'Control Room'!$A$14+'Control Room'!$B$14,'Process'!BL3=1),1+('Control Room'!$C$14-1)*EXP(-0.5*(($A52-'Control Room'!$A$14-('Control Room'!$B$14-1)/2)/MAX(0.5,'Control Room'!$B$14/4))^2),1)*IF(AND($A52&gt;='Control Room'!$A$15,$A52&lt;'Control Room'!$A$15+'Control Room'!$B$15,'Process'!BL4=1),1+('Control Room'!$C$15-1)*EXP(-0.5*(($A52-'Control Room'!$A$15-('Control Room'!$B$15-1)/2)/MAX(0.5,'Control Room'!$B$15/4))^2),1)*IF(AND($A52&gt;='Control Room'!$A$16,$A52&lt;'Control Room'!$A$16+'Control Room'!$B$16,'Process'!BL5=1),1+('Control Room'!$C$16-1)*EXP(-0.5*(($A52-'Control Room'!$A$16-('Control Room'!$B$16-1)/2)/MAX(0.5,'Control Room'!$B$16/4))^2),1)</x:f>
        <x:v>1</x:v>
      </x:c>
      <x:c r="L52" s="9" t="n">
        <x:f>MOD(M51*16807,2147483647)</x:f>
        <x:v>1054282837</x:v>
      </x:c>
      <x:c r="M52" s="9" t="n">
        <x:f>MOD(L52*16807,2147483647)</x:f>
        <x:v>444070062</x:v>
      </x:c>
      <x:c r="N52" s="17" t="n">
        <x:f>IF('Control Room'!$B$5="Normal",'Control Room'!$B$7+'Control Room'!$D$7*SQRT(-2*LN(MAX(0.000000000001,L52/2147483647)))*COS(2*PI()*M52/2147483647),'Control Room'!$B$8+('Control Room'!$D$8-'Control Room'!$B$8)*L52/2147483647)</x:f>
        <x:v>1028.792405271758</x:v>
      </x:c>
      <x:c r="O52" s="17" t="n">
        <x:f>IF('Control Room'!$B$5="Normal",'Control Room'!$B$7,('Control Room'!$B$8+'Control Room'!$D$8)/2)+'Control Room'!$B$9*(O51-IF('Control Room'!$B$5="Normal",'Control Room'!$B$7,('Control Room'!$B$8+'Control Room'!$D$8)/2))+SQRT(1-'Control Room'!$B$9^2)*(N52-IF('Control Room'!$B$5="Normal",'Control Room'!$B$7,('Control Room'!$B$8+'Control Room'!$D$8)/2))</x:f>
        <x:v>1120.4722264971479</x:v>
      </x:c>
      <x:c r="P52" s="17" t="n">
        <x:f>IF(AND($A52&gt;='Control Room'!$A$13,$A52&lt;'Control Room'!$A$13+'Control Room'!$B$13,'Process'!BM2=1),1+('Control Room'!$C$13-1)*EXP(-0.5*(($A52-'Control Room'!$A$13-('Control Room'!$B$13-1)/2)/MAX(0.5,'Control Room'!$B$13/4))^2),1)*IF(AND($A52&gt;='Control Room'!$A$14,$A52&lt;'Control Room'!$A$14+'Control Room'!$B$14,'Process'!BM3=1),1+('Control Room'!$C$14-1)*EXP(-0.5*(($A52-'Control Room'!$A$14-('Control Room'!$B$14-1)/2)/MAX(0.5,'Control Room'!$B$14/4))^2),1)*IF(AND($A52&gt;='Control Room'!$A$15,$A52&lt;'Control Room'!$A$15+'Control Room'!$B$15,'Process'!BM4=1),1+('Control Room'!$C$15-1)*EXP(-0.5*(($A52-'Control Room'!$A$15-('Control Room'!$B$15-1)/2)/MAX(0.5,'Control Room'!$B$15/4))^2),1)*IF(AND($A52&gt;='Control Room'!$A$16,$A52&lt;'Control Room'!$A$16+'Control Room'!$B$16,'Process'!BM5=1),1+('Control Room'!$C$16-1)*EXP(-0.5*(($A52-'Control Room'!$A$16-('Control Room'!$B$16-1)/2)/MAX(0.5,'Control Room'!$B$16/4))^2),1)</x:f>
        <x:v>1</x:v>
      </x:c>
      <x:c r="Q52" s="9" t="n">
        <x:f>MOD(R51*16807,2147483647)</x:f>
        <x:v>1715830729</x:v>
      </x:c>
      <x:c r="R52" s="9" t="n">
        <x:f>MOD(Q52*16807,2147483647)</x:f>
        <x:v>1556650387</x:v>
      </x:c>
      <x:c r="S52" s="17" t="n">
        <x:f>IF('Control Room'!$B$5="Normal",'Control Room'!$B$7+'Control Room'!$D$7*SQRT(-2*LN(MAX(0.000000000001,Q52/2147483647)))*COS(2*PI()*R52/2147483647),'Control Room'!$B$8+('Control Room'!$D$8-'Control Room'!$B$8)*Q52/2147483647)</x:f>
        <x:v>990.520108296776</x:v>
      </x:c>
      <x:c r="T52" s="17" t="n">
        <x:f>IF('Control Room'!$B$5="Normal",'Control Room'!$B$7,('Control Room'!$B$8+'Control Room'!$D$8)/2)+'Control Room'!$B$9*(T51-IF('Control Room'!$B$5="Normal",'Control Room'!$B$7,('Control Room'!$B$8+'Control Room'!$D$8)/2))+SQRT(1-'Control Room'!$B$9^2)*(S52-IF('Control Room'!$B$5="Normal",'Control Room'!$B$7,('Control Room'!$B$8+'Control Room'!$D$8)/2))</x:f>
        <x:v>1030.160199364172</x:v>
      </x:c>
      <x:c r="U52" s="17" t="n">
        <x:f>IF(AND($A52&gt;='Control Room'!$A$13,$A52&lt;'Control Room'!$A$13+'Control Room'!$B$13,'Process'!BN2=1),1+('Control Room'!$C$13-1)*EXP(-0.5*(($A52-'Control Room'!$A$13-('Control Room'!$B$13-1)/2)/MAX(0.5,'Control Room'!$B$13/4))^2),1)*IF(AND($A52&gt;='Control Room'!$A$14,$A52&lt;'Control Room'!$A$14+'Control Room'!$B$14,'Process'!BN3=1),1+('Control Room'!$C$14-1)*EXP(-0.5*(($A52-'Control Room'!$A$14-('Control Room'!$B$14-1)/2)/MAX(0.5,'Control Room'!$B$14/4))^2),1)*IF(AND($A52&gt;='Control Room'!$A$15,$A52&lt;'Control Room'!$A$15+'Control Room'!$B$15,'Process'!BN4=1),1+('Control Room'!$C$15-1)*EXP(-0.5*(($A52-'Control Room'!$A$15-('Control Room'!$B$15-1)/2)/MAX(0.5,'Control Room'!$B$15/4))^2),1)*IF(AND($A52&gt;='Control Room'!$A$16,$A52&lt;'Control Room'!$A$16+'Control Room'!$B$16,'Process'!BN5=1),1+('Control Room'!$C$16-1)*EXP(-0.5*(($A52-'Control Room'!$A$16-('Control Room'!$B$16-1)/2)/MAX(0.5,'Control Room'!$B$16/4))^2),1)</x:f>
        <x:v>1</x:v>
      </x:c>
      <x:c r="V52" s="9" t="n">
        <x:f>MOD(W51*16807,2147483647)</x:f>
        <x:v>229894974</x:v>
      </x:c>
      <x:c r="W52" s="9" t="n">
        <x:f>MOD(V52*16807,2147483647)</x:f>
        <x:v>521747065</x:v>
      </x:c>
      <x:c r="X52" s="17" t="n">
        <x:f>IF('Control Room'!$B$5="Normal",'Control Room'!$B$7+'Control Room'!$D$7*SQRT(-2*LN(MAX(0.000000000001,V52/2147483647)))*COS(2*PI()*W52/2147483647),'Control Room'!$B$8+('Control Room'!$D$8-'Control Room'!$B$8)*V52/2147483647)</x:f>
        <x:v>1008.4161092724903</x:v>
      </x:c>
      <x:c r="Y52" s="17" t="n">
        <x:f>IF('Control Room'!$B$5="Normal",'Control Room'!$B$7,('Control Room'!$B$8+'Control Room'!$D$8)/2)+'Control Room'!$B$9*(Y51-IF('Control Room'!$B$5="Normal",'Control Room'!$B$7,('Control Room'!$B$8+'Control Room'!$D$8)/2))+SQRT(1-'Control Room'!$B$9^2)*(X52-IF('Control Room'!$B$5="Normal",'Control Room'!$B$7,('Control Room'!$B$8+'Control Room'!$D$8)/2))</x:f>
        <x:v>1014.0810879968351</x:v>
      </x:c>
      <x:c r="Z52" s="17" t="n">
        <x:f>IF(AND($A52&gt;='Control Room'!$A$13,$A52&lt;'Control Room'!$A$13+'Control Room'!$B$13,'Process'!BO2=1),1+('Control Room'!$C$13-1)*EXP(-0.5*(($A52-'Control Room'!$A$13-('Control Room'!$B$13-1)/2)/MAX(0.5,'Control Room'!$B$13/4))^2),1)*IF(AND($A52&gt;='Control Room'!$A$14,$A52&lt;'Control Room'!$A$14+'Control Room'!$B$14,'Process'!BO3=1),1+('Control Room'!$C$14-1)*EXP(-0.5*(($A52-'Control Room'!$A$14-('Control Room'!$B$14-1)/2)/MAX(0.5,'Control Room'!$B$14/4))^2),1)*IF(AND($A52&gt;='Control Room'!$A$15,$A52&lt;'Control Room'!$A$15+'Control Room'!$B$15,'Process'!BO4=1),1+('Control Room'!$C$15-1)*EXP(-0.5*(($A52-'Control Room'!$A$15-('Control Room'!$B$15-1)/2)/MAX(0.5,'Control Room'!$B$15/4))^2),1)*IF(AND($A52&gt;='Control Room'!$A$16,$A52&lt;'Control Room'!$A$16+'Control Room'!$B$16,'Process'!BO5=1),1+('Control Room'!$C$16-1)*EXP(-0.5*(($A52-'Control Room'!$A$16-('Control Room'!$B$16-1)/2)/MAX(0.5,'Control Room'!$B$16/4))^2),1)</x:f>
        <x:v>1</x:v>
      </x:c>
      <x:c r="AA52" s="9" t="n">
        <x:f>MOD(AB51*16807,2147483647)</x:f>
        <x:v>891442866</x:v>
      </x:c>
      <x:c r="AB52" s="9" t="n">
        <x:f>MOD(AA52*16807,2147483647)</x:f>
        <x:v>1634327390</x:v>
      </x:c>
      <x:c r="AC52" s="17" t="n">
        <x:f>IF('Control Room'!$B$5="Normal",'Control Room'!$B$7+'Control Room'!$D$7*SQRT(-2*LN(MAX(0.000000000001,AA52/2147483647)))*COS(2*PI()*AB52/2147483647),'Control Room'!$B$8+('Control Room'!$D$8-'Control Room'!$B$8)*AA52/2147483647)</x:f>
        <x:v>1008.2741286621067</x:v>
      </x:c>
      <x:c r="AD52" s="17" t="n">
        <x:f>IF('Control Room'!$B$5="Normal",'Control Room'!$B$7,('Control Room'!$B$8+'Control Room'!$D$8)/2)+'Control Room'!$B$9*(AD51-IF('Control Room'!$B$5="Normal",'Control Room'!$B$7,('Control Room'!$B$8+'Control Room'!$D$8)/2))+SQRT(1-'Control Room'!$B$9^2)*(AC52-IF('Control Room'!$B$5="Normal",'Control Room'!$B$7,('Control Room'!$B$8+'Control Room'!$D$8)/2))</x:f>
        <x:v>894.7905625307486</x:v>
      </x:c>
      <x:c r="AE52" s="17" t="n">
        <x:f>IF(AND($A52&gt;='Control Room'!$A$13,$A52&lt;'Control Room'!$A$13+'Control Room'!$B$13,'Process'!BP2=1),1+('Control Room'!$C$13-1)*EXP(-0.5*(($A52-'Control Room'!$A$13-('Control Room'!$B$13-1)/2)/MAX(0.5,'Control Room'!$B$13/4))^2),1)*IF(AND($A52&gt;='Control Room'!$A$14,$A52&lt;'Control Room'!$A$14+'Control Room'!$B$14,'Process'!BP3=1),1+('Control Room'!$C$14-1)*EXP(-0.5*(($A52-'Control Room'!$A$14-('Control Room'!$B$14-1)/2)/MAX(0.5,'Control Room'!$B$14/4))^2),1)*IF(AND($A52&gt;='Control Room'!$A$15,$A52&lt;'Control Room'!$A$15+'Control Room'!$B$15,'Process'!BP4=1),1+('Control Room'!$C$15-1)*EXP(-0.5*(($A52-'Control Room'!$A$15-('Control Room'!$B$15-1)/2)/MAX(0.5,'Control Room'!$B$15/4))^2),1)*IF(AND($A52&gt;='Control Room'!$A$16,$A52&lt;'Control Room'!$A$16+'Control Room'!$B$16,'Process'!BP5=1),1+('Control Room'!$C$16-1)*EXP(-0.5*(($A52-'Control Room'!$A$16-('Control Room'!$B$16-1)/2)/MAX(0.5,'Control Room'!$B$16/4))^2),1)</x:f>
        <x:v>1</x:v>
      </x:c>
      <x:c r="AF52" s="9" t="n">
        <x:f>MOD(AG51*16807,2147483647)</x:f>
        <x:v>1552990758</x:v>
      </x:c>
      <x:c r="AG52" s="9" t="n">
        <x:f>MOD(AF52*16807,2147483647)</x:f>
        <x:v>599424068</x:v>
      </x:c>
      <x:c r="AH52" s="17" t="n">
        <x:f>IF('Control Room'!$B$5="Normal",'Control Room'!$B$7+'Control Room'!$D$7*SQRT(-2*LN(MAX(0.000000000001,AF52/2147483647)))*COS(2*PI()*AG52/2147483647),'Control Room'!$B$8+('Control Room'!$D$8-'Control Room'!$B$8)*AF52/2147483647)</x:f>
        <x:v>986.8120139169462</x:v>
      </x:c>
      <x:c r="AI52" s="17" t="n">
        <x:f>IF('Control Room'!$B$5="Normal",'Control Room'!$B$7,('Control Room'!$B$8+'Control Room'!$D$8)/2)+'Control Room'!$B$9*(AI51-IF('Control Room'!$B$5="Normal",'Control Room'!$B$7,('Control Room'!$B$8+'Control Room'!$D$8)/2))+SQRT(1-'Control Room'!$B$9^2)*(AH52-IF('Control Room'!$B$5="Normal",'Control Room'!$B$7,('Control Room'!$B$8+'Control Room'!$D$8)/2))</x:f>
        <x:v>973.670190909196</x:v>
      </x:c>
      <x:c r="AJ52" s="17" t="n">
        <x:f>IF(AND($A52&gt;='Control Room'!$A$13,$A52&lt;'Control Room'!$A$13+'Control Room'!$B$13,'Process'!BQ2=1),1+('Control Room'!$C$13-1)*EXP(-0.5*(($A52-'Control Room'!$A$13-('Control Room'!$B$13-1)/2)/MAX(0.5,'Control Room'!$B$13/4))^2),1)*IF(AND($A52&gt;='Control Room'!$A$14,$A52&lt;'Control Room'!$A$14+'Control Room'!$B$14,'Process'!BQ3=1),1+('Control Room'!$C$14-1)*EXP(-0.5*(($A52-'Control Room'!$A$14-('Control Room'!$B$14-1)/2)/MAX(0.5,'Control Room'!$B$14/4))^2),1)*IF(AND($A52&gt;='Control Room'!$A$15,$A52&lt;'Control Room'!$A$15+'Control Room'!$B$15,'Process'!BQ4=1),1+('Control Room'!$C$15-1)*EXP(-0.5*(($A52-'Control Room'!$A$15-('Control Room'!$B$15-1)/2)/MAX(0.5,'Control Room'!$B$15/4))^2),1)*IF(AND($A52&gt;='Control Room'!$A$16,$A52&lt;'Control Room'!$A$16+'Control Room'!$B$16,'Process'!BQ5=1),1+('Control Room'!$C$16-1)*EXP(-0.5*(($A52-'Control Room'!$A$16-('Control Room'!$B$16-1)/2)/MAX(0.5,'Control Room'!$B$16/4))^2),1)</x:f>
        <x:v>1</x:v>
      </x:c>
      <x:c r="AK52" s="9" t="n">
        <x:f>MOD(AL51*16807,2147483647)</x:f>
        <x:v>67055003</x:v>
      </x:c>
      <x:c r="AL52" s="9" t="n">
        <x:f>MOD(AK52*16807,2147483647)</x:f>
        <x:v>1712004393</x:v>
      </x:c>
      <x:c r="AM52" s="17" t="n">
        <x:f>IF('Control Room'!$B$5="Normal",'Control Room'!$B$7+'Control Room'!$D$7*SQRT(-2*LN(MAX(0.000000000001,AK52/2147483647)))*COS(2*PI()*AL52/2147483647),'Control Room'!$B$8+('Control Room'!$D$8-'Control Room'!$B$8)*AK52/2147483647)</x:f>
        <x:v>1069.2737989195357</x:v>
      </x:c>
      <x:c r="AN52" s="17" t="n">
        <x:f>IF('Control Room'!$B$5="Normal",'Control Room'!$B$7,('Control Room'!$B$8+'Control Room'!$D$8)/2)+'Control Room'!$B$9*(AN51-IF('Control Room'!$B$5="Normal",'Control Room'!$B$7,('Control Room'!$B$8+'Control Room'!$D$8)/2))+SQRT(1-'Control Room'!$B$9^2)*(AM52-IF('Control Room'!$B$5="Normal",'Control Room'!$B$7,('Control Room'!$B$8+'Control Room'!$D$8)/2))</x:f>
        <x:v>1070.6924609949094</x:v>
      </x:c>
      <x:c r="AO52" s="17" t="n">
        <x:f>IF(AND($A52&gt;='Control Room'!$A$13,$A52&lt;'Control Room'!$A$13+'Control Room'!$B$13,'Process'!BR2=1),1+('Control Room'!$C$13-1)*EXP(-0.5*(($A52-'Control Room'!$A$13-('Control Room'!$B$13-1)/2)/MAX(0.5,'Control Room'!$B$13/4))^2),1)*IF(AND($A52&gt;='Control Room'!$A$14,$A52&lt;'Control Room'!$A$14+'Control Room'!$B$14,'Process'!BR3=1),1+('Control Room'!$C$14-1)*EXP(-0.5*(($A52-'Control Room'!$A$14-('Control Room'!$B$14-1)/2)/MAX(0.5,'Control Room'!$B$14/4))^2),1)*IF(AND($A52&gt;='Control Room'!$A$15,$A52&lt;'Control Room'!$A$15+'Control Room'!$B$15,'Process'!BR4=1),1+('Control Room'!$C$15-1)*EXP(-0.5*(($A52-'Control Room'!$A$15-('Control Room'!$B$15-1)/2)/MAX(0.5,'Control Room'!$B$15/4))^2),1)*IF(AND($A52&gt;='Control Room'!$A$16,$A52&lt;'Control Room'!$A$16+'Control Room'!$B$16,'Process'!BR5=1),1+('Control Room'!$C$16-1)*EXP(-0.5*(($A52-'Control Room'!$A$16-('Control Room'!$B$16-1)/2)/MAX(0.5,'Control Room'!$B$16/4))^2),1)</x:f>
        <x:v>1</x:v>
      </x:c>
      <x:c r="AP52" s="9" t="n">
        <x:f>MOD(AQ51*16807,2147483647)</x:f>
        <x:v>728602895</x:v>
      </x:c>
      <x:c r="AQ52" s="9" t="n">
        <x:f>MOD(AP52*16807,2147483647)</x:f>
        <x:v>677101071</x:v>
      </x:c>
      <x:c r="AR52" s="17" t="n">
        <x:f>IF('Control Room'!$B$5="Normal",'Control Room'!$B$7+'Control Room'!$D$7*SQRT(-2*LN(MAX(0.000000000001,AP52/2147483647)))*COS(2*PI()*AQ52/2147483647),'Control Room'!$B$8+('Control Room'!$D$8-'Control Room'!$B$8)*AP52/2147483647)</x:f>
        <x:v>947.2171895830577</x:v>
      </x:c>
      <x:c r="AS52" s="17" t="n">
        <x:f>IF('Control Room'!$B$5="Normal",'Control Room'!$B$7,('Control Room'!$B$8+'Control Room'!$D$8)/2)+'Control Room'!$B$9*(AS51-IF('Control Room'!$B$5="Normal",'Control Room'!$B$7,('Control Room'!$B$8+'Control Room'!$D$8)/2))+SQRT(1-'Control Room'!$B$9^2)*(AR52-IF('Control Room'!$B$5="Normal",'Control Room'!$B$7,('Control Room'!$B$8+'Control Room'!$D$8)/2))</x:f>
        <x:v>930.4873702118991</x:v>
      </x:c>
      <x:c r="AT52" s="17" t="n">
        <x:f>IF(AND($A52&gt;='Control Room'!$A$13,$A52&lt;'Control Room'!$A$13+'Control Room'!$B$13,'Process'!BS2=1),1+('Control Room'!$C$13-1)*EXP(-0.5*(($A52-'Control Room'!$A$13-('Control Room'!$B$13-1)/2)/MAX(0.5,'Control Room'!$B$13/4))^2),1)*IF(AND($A52&gt;='Control Room'!$A$14,$A52&lt;'Control Room'!$A$14+'Control Room'!$B$14,'Process'!BS3=1),1+('Control Room'!$C$14-1)*EXP(-0.5*(($A52-'Control Room'!$A$14-('Control Room'!$B$14-1)/2)/MAX(0.5,'Control Room'!$B$14/4))^2),1)*IF(AND($A52&gt;='Control Room'!$A$15,$A52&lt;'Control Room'!$A$15+'Control Room'!$B$15,'Process'!BS4=1),1+('Control Room'!$C$15-1)*EXP(-0.5*(($A52-'Control Room'!$A$15-('Control Room'!$B$15-1)/2)/MAX(0.5,'Control Room'!$B$15/4))^2),1)*IF(AND($A52&gt;='Control Room'!$A$16,$A52&lt;'Control Room'!$A$16+'Control Room'!$B$16,'Process'!BS5=1),1+('Control Room'!$C$16-1)*EXP(-0.5*(($A52-'Control Room'!$A$16-('Control Room'!$B$16-1)/2)/MAX(0.5,'Control Room'!$B$16/4))^2),1)</x:f>
        <x:v>1</x:v>
      </x:c>
      <x:c r="AU52" s="9" t="n">
        <x:f>MOD(AV51*16807,2147483647)</x:f>
        <x:v>1390150787</x:v>
      </x:c>
      <x:c r="AV52" s="9" t="n">
        <x:f>MOD(AU52*16807,2147483647)</x:f>
        <x:v>1789681396</x:v>
      </x:c>
      <x:c r="AW52" s="17" t="n">
        <x:f>IF('Control Room'!$B$5="Normal",'Control Room'!$B$7+'Control Room'!$D$7*SQRT(-2*LN(MAX(0.000000000001,AU52/2147483647)))*COS(2*PI()*AV52/2147483647),'Control Room'!$B$8+('Control Room'!$D$8-'Control Room'!$B$8)*AU52/2147483647)</x:f>
        <x:v>1041.9913868776282</x:v>
      </x:c>
      <x:c r="AX52" s="17" t="n">
        <x:f>IF('Control Room'!$B$5="Normal",'Control Room'!$B$7,('Control Room'!$B$8+'Control Room'!$D$8)/2)+'Control Room'!$B$9*(AX51-IF('Control Room'!$B$5="Normal",'Control Room'!$B$7,('Control Room'!$B$8+'Control Room'!$D$8)/2))+SQRT(1-'Control Room'!$B$9^2)*(AW52-IF('Control Room'!$B$5="Normal",'Control Room'!$B$7,('Control Room'!$B$8+'Control Room'!$D$8)/2))</x:f>
        <x:v>1128.5683077880458</x:v>
      </x:c>
      <x:c r="AY52" s="17" t="n">
        <x:f>IF(AND($A52&gt;='Control Room'!$A$13,$A52&lt;'Control Room'!$A$13+'Control Room'!$B$13,'Process'!BT2=1),1+('Control Room'!$C$13-1)*EXP(-0.5*(($A52-'Control Room'!$A$13-('Control Room'!$B$13-1)/2)/MAX(0.5,'Control Room'!$B$13/4))^2),1)*IF(AND($A52&gt;='Control Room'!$A$14,$A52&lt;'Control Room'!$A$14+'Control Room'!$B$14,'Process'!BT3=1),1+('Control Room'!$C$14-1)*EXP(-0.5*(($A52-'Control Room'!$A$14-('Control Room'!$B$14-1)/2)/MAX(0.5,'Control Room'!$B$14/4))^2),1)*IF(AND($A52&gt;='Control Room'!$A$15,$A52&lt;'Control Room'!$A$15+'Control Room'!$B$15,'Process'!BT4=1),1+('Control Room'!$C$15-1)*EXP(-0.5*(($A52-'Control Room'!$A$15-('Control Room'!$B$15-1)/2)/MAX(0.5,'Control Room'!$B$15/4))^2),1)*IF(AND($A52&gt;='Control Room'!$A$16,$A52&lt;'Control Room'!$A$16+'Control Room'!$B$16,'Process'!BT5=1),1+('Control Room'!$C$16-1)*EXP(-0.5*(($A52-'Control Room'!$A$16-('Control Room'!$B$16-1)/2)/MAX(0.5,'Control Room'!$B$16/4))^2),1)</x:f>
        <x:v>1</x:v>
      </x:c>
      <x:c r="AZ52" s="9" t="n">
        <x:f>MOD(BA51*16807,2147483647)</x:f>
        <x:v>2051698679</x:v>
      </x:c>
      <x:c r="BA52" s="9" t="n">
        <x:f>MOD(AZ52*16807,2147483647)</x:f>
        <x:v>754778074</x:v>
      </x:c>
      <x:c r="BB52" s="17" t="n">
        <x:f>IF('Control Room'!$B$5="Normal",'Control Room'!$B$7+'Control Room'!$D$7*SQRT(-2*LN(MAX(0.000000000001,AZ52/2147483647)))*COS(2*PI()*BA52/2147483647),'Control Room'!$B$8+('Control Room'!$D$8-'Control Room'!$B$8)*AZ52/2147483647)</x:f>
        <x:v>983.8167231169672</x:v>
      </x:c>
      <x:c r="BC52" s="17" t="n">
        <x:f>IF('Control Room'!$B$5="Normal",'Control Room'!$B$7,('Control Room'!$B$8+'Control Room'!$D$8)/2)+'Control Room'!$B$9*(BC51-IF('Control Room'!$B$5="Normal",'Control Room'!$B$7,('Control Room'!$B$8+'Control Room'!$D$8)/2))+SQRT(1-'Control Room'!$B$9^2)*(BB52-IF('Control Room'!$B$5="Normal",'Control Room'!$B$7,('Control Room'!$B$8+'Control Room'!$D$8)/2))</x:f>
        <x:v>898.9924870367778</x:v>
      </x:c>
      <x:c r="BD52" s="17" t="n">
        <x:f>IF(AND($A52&gt;='Control Room'!$A$13,$A52&lt;'Control Room'!$A$13+'Control Room'!$B$13,'Process'!BU2=1),1+('Control Room'!$C$13-1)*EXP(-0.5*(($A52-'Control Room'!$A$13-('Control Room'!$B$13-1)/2)/MAX(0.5,'Control Room'!$B$13/4))^2),1)*IF(AND($A52&gt;='Control Room'!$A$14,$A52&lt;'Control Room'!$A$14+'Control Room'!$B$14,'Process'!BU3=1),1+('Control Room'!$C$14-1)*EXP(-0.5*(($A52-'Control Room'!$A$14-('Control Room'!$B$14-1)/2)/MAX(0.5,'Control Room'!$B$14/4))^2),1)*IF(AND($A52&gt;='Control Room'!$A$15,$A52&lt;'Control Room'!$A$15+'Control Room'!$B$15,'Process'!BU4=1),1+('Control Room'!$C$15-1)*EXP(-0.5*(($A52-'Control Room'!$A$15-('Control Room'!$B$15-1)/2)/MAX(0.5,'Control Room'!$B$15/4))^2),1)*IF(AND($A52&gt;='Control Room'!$A$16,$A52&lt;'Control Room'!$A$16+'Control Room'!$B$16,'Process'!BU5=1),1+('Control Room'!$C$16-1)*EXP(-0.5*(($A52-'Control Room'!$A$16-('Control Room'!$B$16-1)/2)/MAX(0.5,'Control Room'!$B$16/4))^2),1)</x:f>
        <x:v>1</x:v>
      </x:c>
      <x:c r="BE52" s="9" t="n">
        <x:f>MOD(BF51*16807,2147483647)</x:f>
        <x:v>565762924</x:v>
      </x:c>
      <x:c r="BF52" s="9" t="n">
        <x:f>MOD(BE52*16807,2147483647)</x:f>
        <x:v>1867358399</x:v>
      </x:c>
      <x:c r="BG52" s="17" t="n">
        <x:f>IF('Control Room'!$B$5="Normal",'Control Room'!$B$7+'Control Room'!$D$7*SQRT(-2*LN(MAX(0.000000000001,BE52/2147483647)))*COS(2*PI()*BF52/2147483647),'Control Room'!$B$8+('Control Room'!$D$8-'Control Room'!$B$8)*BE52/2147483647)</x:f>
        <x:v>1100.3289880421137</x:v>
      </x:c>
      <x:c r="BH52" s="17" t="n">
        <x:f>IF('Control Room'!$B$5="Normal",'Control Room'!$B$7,('Control Room'!$B$8+'Control Room'!$D$8)/2)+'Control Room'!$B$9*(BH51-IF('Control Room'!$B$5="Normal",'Control Room'!$B$7,('Control Room'!$B$8+'Control Room'!$D$8)/2))+SQRT(1-'Control Room'!$B$9^2)*(BG52-IF('Control Room'!$B$5="Normal",'Control Room'!$B$7,('Control Room'!$B$8+'Control Room'!$D$8)/2))</x:f>
        <x:v>1102.18394036566</x:v>
      </x:c>
      <x:c r="BI52" s="17" t="n">
        <x:f>IF(AND($A52&gt;='Control Room'!$A$13,$A52&lt;'Control Room'!$A$13+'Control Room'!$B$13,'Process'!BV2=1),1+('Control Room'!$C$13-1)*EXP(-0.5*(($A52-'Control Room'!$A$13-('Control Room'!$B$13-1)/2)/MAX(0.5,'Control Room'!$B$13/4))^2),1)*IF(AND($A52&gt;='Control Room'!$A$14,$A52&lt;'Control Room'!$A$14+'Control Room'!$B$14,'Process'!BV3=1),1+('Control Room'!$C$14-1)*EXP(-0.5*(($A52-'Control Room'!$A$14-('Control Room'!$B$14-1)/2)/MAX(0.5,'Control Room'!$B$14/4))^2),1)*IF(AND($A52&gt;='Control Room'!$A$15,$A52&lt;'Control Room'!$A$15+'Control Room'!$B$15,'Process'!BV4=1),1+('Control Room'!$C$15-1)*EXP(-0.5*(($A52-'Control Room'!$A$15-('Control Room'!$B$15-1)/2)/MAX(0.5,'Control Room'!$B$15/4))^2),1)*IF(AND($A52&gt;='Control Room'!$A$16,$A52&lt;'Control Room'!$A$16+'Control Room'!$B$16,'Process'!BV5=1),1+('Control Room'!$C$16-1)*EXP(-0.5*(($A52-'Control Room'!$A$16-('Control Room'!$B$16-1)/2)/MAX(0.5,'Control Room'!$B$16/4))^2),1)</x:f>
        <x:v>1</x:v>
      </x:c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Z52" t="str">
        <x:f>IF('Data'!A52="","",TEXT('Data'!A52,"mm-dd"))</x:f>
        <x:v>12-22</x:v>
      </x:c>
    </x:row>
    <x:row r="53" ht="21" customHeight="1">
      <x:c r="A53" s="15" t="n">
        <x:f>'Control Room'!$B$1+51</x:f>
        <x:v>73042</x:v>
      </x:c>
      <x:c r="B53" s="9" t="n">
        <x:f>MOD(C52*16807,2147483647)</x:f>
        <x:v>1132526664</x:v>
      </x:c>
      <x:c r="C53" s="9" t="n">
        <x:f>MOD(B53*16807,2147483647)</x:f>
        <x:v>1228078487</x:v>
      </x:c>
      <x:c r="D53" s="17" t="n">
        <x:f>IF('Control Room'!$B$5="Normal",'Control Room'!$B$7+'Control Room'!$D$7*SQRT(-2*LN(MAX(0.000000000001,B53/2147483647)))*COS(2*PI()*C53/2147483647),'Control Room'!$B$8+('Control Room'!$D$8-'Control Room'!$B$8)*B53/2147483647)</x:f>
        <x:v>908.393856838253</x:v>
      </x:c>
      <x:c r="E53" s="17" t="n">
        <x:f>IF('Control Room'!$B$5="Normal",'Control Room'!$B$7,('Control Room'!$B$8+'Control Room'!$D$8)/2)+'Control Room'!$B$9*(E52-IF('Control Room'!$B$5="Normal",'Control Room'!$B$7,('Control Room'!$B$8+'Control Room'!$D$8)/2))+SQRT(1-'Control Room'!$B$9^2)*(D53-IF('Control Room'!$B$5="Normal",'Control Room'!$B$7,('Control Room'!$B$8+'Control Room'!$D$8)/2))</x:f>
        <x:v>959.4478760131086</x:v>
      </x:c>
      <x:c r="F53" s="17" t="n">
        <x:f>IF(AND($A53&gt;='Control Room'!$A$13,$A53&lt;'Control Room'!$A$13+'Control Room'!$B$13,'Process'!BK2=1),1+('Control Room'!$C$13-1)*EXP(-0.5*(($A53-'Control Room'!$A$13-('Control Room'!$B$13-1)/2)/MAX(0.5,'Control Room'!$B$13/4))^2),1)*IF(AND($A53&gt;='Control Room'!$A$14,$A53&lt;'Control Room'!$A$14+'Control Room'!$B$14,'Process'!BK3=1),1+('Control Room'!$C$14-1)*EXP(-0.5*(($A53-'Control Room'!$A$14-('Control Room'!$B$14-1)/2)/MAX(0.5,'Control Room'!$B$14/4))^2),1)*IF(AND($A53&gt;='Control Room'!$A$15,$A53&lt;'Control Room'!$A$15+'Control Room'!$B$15,'Process'!BK4=1),1+('Control Room'!$C$15-1)*EXP(-0.5*(($A53-'Control Room'!$A$15-('Control Room'!$B$15-1)/2)/MAX(0.5,'Control Room'!$B$15/4))^2),1)*IF(AND($A53&gt;='Control Room'!$A$16,$A53&lt;'Control Room'!$A$16+'Control Room'!$B$16,'Process'!BK5=1),1+('Control Room'!$C$16-1)*EXP(-0.5*(($A53-'Control Room'!$A$16-('Control Room'!$B$16-1)/2)/MAX(0.5,'Control Room'!$B$16/4))^2),1)</x:f>
        <x:v>1</x:v>
      </x:c>
      <x:c r="G53" s="9" t="n">
        <x:f>MOD(H52*16807,2147483647)</x:f>
        <x:v>2129934510</x:v>
      </x:c>
      <x:c r="H53" s="9" t="n">
        <x:f>MOD(G53*16807,2147483647)</x:f>
        <x:v>1404397727</x:v>
      </x:c>
      <x:c r="I53" s="17" t="n">
        <x:f>IF('Control Room'!$B$5="Normal",'Control Room'!$B$7+'Control Room'!$D$7*SQRT(-2*LN(MAX(0.000000000001,G53/2147483647)))*COS(2*PI()*H53/2147483647),'Control Room'!$B$8+('Control Room'!$D$8-'Control Room'!$B$8)*G53/2147483647)</x:f>
        <x:v>993.458096783966</x:v>
      </x:c>
      <x:c r="J53" s="17" t="n">
        <x:f>IF('Control Room'!$B$5="Normal",'Control Room'!$B$7,('Control Room'!$B$8+'Control Room'!$D$8)/2)+'Control Room'!$B$9*(J52-IF('Control Room'!$B$5="Normal",'Control Room'!$B$7,('Control Room'!$B$8+'Control Room'!$D$8)/2))+SQRT(1-'Control Room'!$B$9^2)*(I53-IF('Control Room'!$B$5="Normal",'Control Room'!$B$7,('Control Room'!$B$8+'Control Room'!$D$8)/2))</x:f>
        <x:v>978.312634073502</x:v>
      </x:c>
      <x:c r="K53" s="17" t="n">
        <x:f>IF(AND($A53&gt;='Control Room'!$A$13,$A53&lt;'Control Room'!$A$13+'Control Room'!$B$13,'Process'!BL2=1),1+('Control Room'!$C$13-1)*EXP(-0.5*(($A53-'Control Room'!$A$13-('Control Room'!$B$13-1)/2)/MAX(0.5,'Control Room'!$B$13/4))^2),1)*IF(AND($A53&gt;='Control Room'!$A$14,$A53&lt;'Control Room'!$A$14+'Control Room'!$B$14,'Process'!BL3=1),1+('Control Room'!$C$14-1)*EXP(-0.5*(($A53-'Control Room'!$A$14-('Control Room'!$B$14-1)/2)/MAX(0.5,'Control Room'!$B$14/4))^2),1)*IF(AND($A53&gt;='Control Room'!$A$15,$A53&lt;'Control Room'!$A$15+'Control Room'!$B$15,'Process'!BL4=1),1+('Control Room'!$C$15-1)*EXP(-0.5*(($A53-'Control Room'!$A$15-('Control Room'!$B$15-1)/2)/MAX(0.5,'Control Room'!$B$15/4))^2),1)*IF(AND($A53&gt;='Control Room'!$A$16,$A53&lt;'Control Room'!$A$16+'Control Room'!$B$16,'Process'!BL5=1),1+('Control Room'!$C$16-1)*EXP(-0.5*(($A53-'Control Room'!$A$16-('Control Room'!$B$16-1)/2)/MAX(0.5,'Control Room'!$B$16/4))^2),1)</x:f>
        <x:v>1</x:v>
      </x:c>
      <x:c r="L53" s="9" t="n">
        <x:f>MOD(M52*16807,2147483647)</x:f>
        <x:v>979858709</x:v>
      </x:c>
      <x:c r="M53" s="9" t="n">
        <x:f>MOD(L53*16807,2147483647)</x:f>
        <x:v>1580716967</x:v>
      </x:c>
      <x:c r="N53" s="17" t="n">
        <x:f>IF('Control Room'!$B$5="Normal",'Control Room'!$B$7+'Control Room'!$D$7*SQRT(-2*LN(MAX(0.000000000001,L53/2147483647)))*COS(2*PI()*M53/2147483647),'Control Room'!$B$8+('Control Room'!$D$8-'Control Room'!$B$8)*L53/2147483647)</x:f>
        <x:v>990.1508325634276</x:v>
      </x:c>
      <x:c r="O53" s="17" t="n">
        <x:f>IF('Control Room'!$B$5="Normal",'Control Room'!$B$7,('Control Room'!$B$8+'Control Room'!$D$8)/2)+'Control Room'!$B$9*(O52-IF('Control Room'!$B$5="Normal",'Control Room'!$B$7,('Control Room'!$B$8+'Control Room'!$D$8)/2))+SQRT(1-'Control Room'!$B$9^2)*(N53-IF('Control Room'!$B$5="Normal",'Control Room'!$B$7,('Control Room'!$B$8+'Control Room'!$D$8)/2))</x:f>
        <x:v>1087.8049294571304</x:v>
      </x:c>
      <x:c r="P53" s="17" t="n">
        <x:f>IF(AND($A53&gt;='Control Room'!$A$13,$A53&lt;'Control Room'!$A$13+'Control Room'!$B$13,'Process'!BM2=1),1+('Control Room'!$C$13-1)*EXP(-0.5*(($A53-'Control Room'!$A$13-('Control Room'!$B$13-1)/2)/MAX(0.5,'Control Room'!$B$13/4))^2),1)*IF(AND($A53&gt;='Control Room'!$A$14,$A53&lt;'Control Room'!$A$14+'Control Room'!$B$14,'Process'!BM3=1),1+('Control Room'!$C$14-1)*EXP(-0.5*(($A53-'Control Room'!$A$14-('Control Room'!$B$14-1)/2)/MAX(0.5,'Control Room'!$B$14/4))^2),1)*IF(AND($A53&gt;='Control Room'!$A$15,$A53&lt;'Control Room'!$A$15+'Control Room'!$B$15,'Process'!BM4=1),1+('Control Room'!$C$15-1)*EXP(-0.5*(($A53-'Control Room'!$A$15-('Control Room'!$B$15-1)/2)/MAX(0.5,'Control Room'!$B$15/4))^2),1)*IF(AND($A53&gt;='Control Room'!$A$16,$A53&lt;'Control Room'!$A$16+'Control Room'!$B$16,'Process'!BM5=1),1+('Control Room'!$C$16-1)*EXP(-0.5*(($A53-'Control Room'!$A$16-('Control Room'!$B$16-1)/2)/MAX(0.5,'Control Room'!$B$16/4))^2),1)</x:f>
        <x:v>1</x:v>
      </x:c>
      <x:c r="Q53" s="9" t="n">
        <x:f>MOD(R52*16807,2147483647)</x:f>
        <x:v>1977266555</x:v>
      </x:c>
      <x:c r="R53" s="9" t="n">
        <x:f>MOD(Q53*16807,2147483647)</x:f>
        <x:v>1757036207</x:v>
      </x:c>
      <x:c r="S53" s="17" t="n">
        <x:f>IF('Control Room'!$B$5="Normal",'Control Room'!$B$7+'Control Room'!$D$7*SQRT(-2*LN(MAX(0.000000000001,Q53/2147483647)))*COS(2*PI()*R53/2147483647),'Control Room'!$B$8+('Control Room'!$D$8-'Control Room'!$B$8)*Q53/2147483647)</x:f>
        <x:v>1015.194706106638</x:v>
      </x:c>
      <x:c r="T53" s="17" t="n">
        <x:f>IF('Control Room'!$B$5="Normal",'Control Room'!$B$7,('Control Room'!$B$8+'Control Room'!$D$8)/2)+'Control Room'!$B$9*(T52-IF('Control Room'!$B$5="Normal",'Control Room'!$B$7,('Control Room'!$B$8+'Control Room'!$D$8)/2))+SQRT(1-'Control Room'!$B$9^2)*(S53-IF('Control Room'!$B$5="Normal",'Control Room'!$B$7,('Control Room'!$B$8+'Control Room'!$D$8)/2))</x:f>
        <x:v>1033.033491305114</x:v>
      </x:c>
      <x:c r="U53" s="17" t="n">
        <x:f>IF(AND($A53&gt;='Control Room'!$A$13,$A53&lt;'Control Room'!$A$13+'Control Room'!$B$13,'Process'!BN2=1),1+('Control Room'!$C$13-1)*EXP(-0.5*(($A53-'Control Room'!$A$13-('Control Room'!$B$13-1)/2)/MAX(0.5,'Control Room'!$B$13/4))^2),1)*IF(AND($A53&gt;='Control Room'!$A$14,$A53&lt;'Control Room'!$A$14+'Control Room'!$B$14,'Process'!BN3=1),1+('Control Room'!$C$14-1)*EXP(-0.5*(($A53-'Control Room'!$A$14-('Control Room'!$B$14-1)/2)/MAX(0.5,'Control Room'!$B$14/4))^2),1)*IF(AND($A53&gt;='Control Room'!$A$15,$A53&lt;'Control Room'!$A$15+'Control Room'!$B$15,'Process'!BN4=1),1+('Control Room'!$C$15-1)*EXP(-0.5*(($A53-'Control Room'!$A$15-('Control Room'!$B$15-1)/2)/MAX(0.5,'Control Room'!$B$15/4))^2),1)*IF(AND($A53&gt;='Control Room'!$A$16,$A53&lt;'Control Room'!$A$16+'Control Room'!$B$16,'Process'!BN5=1),1+('Control Room'!$C$16-1)*EXP(-0.5*(($A53-'Control Room'!$A$16-('Control Room'!$B$16-1)/2)/MAX(0.5,'Control Room'!$B$16/4))^2),1)</x:f>
        <x:v>1</x:v>
      </x:c>
      <x:c r="V53" s="9" t="n">
        <x:f>MOD(W52*16807,2147483647)</x:f>
        <x:v>827190754</x:v>
      </x:c>
      <x:c r="W53" s="9" t="n">
        <x:f>MOD(V53*16807,2147483647)</x:f>
        <x:v>1933355447</x:v>
      </x:c>
      <x:c r="X53" s="17" t="n">
        <x:f>IF('Control Room'!$B$5="Normal",'Control Room'!$B$7+'Control Room'!$D$7*SQRT(-2*LN(MAX(0.000000000001,V53/2147483647)))*COS(2*PI()*W53/2147483647),'Control Room'!$B$8+('Control Room'!$D$8-'Control Room'!$B$8)*V53/2147483647)</x:f>
        <x:v>1100.7081428795136</x:v>
      </x:c>
      <x:c r="Y53" s="17" t="n">
        <x:f>IF('Control Room'!$B$5="Normal",'Control Room'!$B$7,('Control Room'!$B$8+'Control Room'!$D$8)/2)+'Control Room'!$B$9*(Y52-IF('Control Room'!$B$5="Normal",'Control Room'!$B$7,('Control Room'!$B$8+'Control Room'!$D$8)/2))+SQRT(1-'Control Room'!$B$9^2)*(X53-IF('Control Room'!$B$5="Normal",'Control Room'!$B$7,('Control Room'!$B$8+'Control Room'!$D$8)/2))</x:f>
        <x:v>1074.0043413330836</x:v>
      </x:c>
      <x:c r="Z53" s="17" t="n">
        <x:f>IF(AND($A53&gt;='Control Room'!$A$13,$A53&lt;'Control Room'!$A$13+'Control Room'!$B$13,'Process'!BO2=1),1+('Control Room'!$C$13-1)*EXP(-0.5*(($A53-'Control Room'!$A$13-('Control Room'!$B$13-1)/2)/MAX(0.5,'Control Room'!$B$13/4))^2),1)*IF(AND($A53&gt;='Control Room'!$A$14,$A53&lt;'Control Room'!$A$14+'Control Room'!$B$14,'Process'!BO3=1),1+('Control Room'!$C$14-1)*EXP(-0.5*(($A53-'Control Room'!$A$14-('Control Room'!$B$14-1)/2)/MAX(0.5,'Control Room'!$B$14/4))^2),1)*IF(AND($A53&gt;='Control Room'!$A$15,$A53&lt;'Control Room'!$A$15+'Control Room'!$B$15,'Process'!BO4=1),1+('Control Room'!$C$15-1)*EXP(-0.5*(($A53-'Control Room'!$A$15-('Control Room'!$B$15-1)/2)/MAX(0.5,'Control Room'!$B$15/4))^2),1)*IF(AND($A53&gt;='Control Room'!$A$16,$A53&lt;'Control Room'!$A$16+'Control Room'!$B$16,'Process'!BO5=1),1+('Control Room'!$C$16-1)*EXP(-0.5*(($A53-'Control Room'!$A$16-('Control Room'!$B$16-1)/2)/MAX(0.5,'Control Room'!$B$16/4))^2),1)</x:f>
        <x:v>1</x:v>
      </x:c>
      <x:c r="AA53" s="9" t="n">
        <x:f>MOD(AB52*16807,2147483647)</x:f>
        <x:v>1824598600</x:v>
      </x:c>
      <x:c r="AB53" s="9" t="n">
        <x:f>MOD(AA53*16807,2147483647)</x:f>
        <x:v>2109674687</x:v>
      </x:c>
      <x:c r="AC53" s="17" t="n">
        <x:f>IF('Control Room'!$B$5="Normal",'Control Room'!$B$7+'Control Room'!$D$7*SQRT(-2*LN(MAX(0.000000000001,AA53/2147483647)))*COS(2*PI()*AB53/2147483647),'Control Room'!$B$8+('Control Room'!$D$8-'Control Room'!$B$8)*AA53/2147483647)</x:f>
        <x:v>1051.0627575824096</x:v>
      </x:c>
      <x:c r="AD53" s="17" t="n">
        <x:f>IF('Control Room'!$B$5="Normal",'Control Room'!$B$7,('Control Room'!$B$8+'Control Room'!$D$8)/2)+'Control Room'!$B$9*(AD52-IF('Control Room'!$B$5="Normal",'Control Room'!$B$7,('Control Room'!$B$8+'Control Room'!$D$8)/2))+SQRT(1-'Control Room'!$B$9^2)*(AC53-IF('Control Room'!$B$5="Normal",'Control Room'!$B$7,('Control Room'!$B$8+'Control Room'!$D$8)/2))</x:f>
        <x:v>949.8906663916074</x:v>
      </x:c>
      <x:c r="AE53" s="17" t="n">
        <x:f>IF(AND($A53&gt;='Control Room'!$A$13,$A53&lt;'Control Room'!$A$13+'Control Room'!$B$13,'Process'!BP2=1),1+('Control Room'!$C$13-1)*EXP(-0.5*(($A53-'Control Room'!$A$13-('Control Room'!$B$13-1)/2)/MAX(0.5,'Control Room'!$B$13/4))^2),1)*IF(AND($A53&gt;='Control Room'!$A$14,$A53&lt;'Control Room'!$A$14+'Control Room'!$B$14,'Process'!BP3=1),1+('Control Room'!$C$14-1)*EXP(-0.5*(($A53-'Control Room'!$A$14-('Control Room'!$B$14-1)/2)/MAX(0.5,'Control Room'!$B$14/4))^2),1)*IF(AND($A53&gt;='Control Room'!$A$15,$A53&lt;'Control Room'!$A$15+'Control Room'!$B$15,'Process'!BP4=1),1+('Control Room'!$C$15-1)*EXP(-0.5*(($A53-'Control Room'!$A$15-('Control Room'!$B$15-1)/2)/MAX(0.5,'Control Room'!$B$15/4))^2),1)*IF(AND($A53&gt;='Control Room'!$A$16,$A53&lt;'Control Room'!$A$16+'Control Room'!$B$16,'Process'!BP5=1),1+('Control Room'!$C$16-1)*EXP(-0.5*(($A53-'Control Room'!$A$16-('Control Room'!$B$16-1)/2)/MAX(0.5,'Control Room'!$B$16/4))^2),1)</x:f>
        <x:v>1</x:v>
      </x:c>
      <x:c r="AF53" s="9" t="n">
        <x:f>MOD(AG52*16807,2147483647)</x:f>
        <x:v>674522799</x:v>
      </x:c>
      <x:c r="AG53" s="9" t="n">
        <x:f>MOD(AF53*16807,2147483647)</x:f>
        <x:v>138510280</x:v>
      </x:c>
      <x:c r="AH53" s="17" t="n">
        <x:f>IF('Control Room'!$B$5="Normal",'Control Room'!$B$7+'Control Room'!$D$7*SQRT(-2*LN(MAX(0.000000000001,AF53/2147483647)))*COS(2*PI()*AG53/2147483647),'Control Room'!$B$8+('Control Room'!$D$8-'Control Room'!$B$8)*AF53/2147483647)</x:f>
        <x:v>1125.8740752800452</x:v>
      </x:c>
      <x:c r="AI53" s="17" t="n">
        <x:f>IF('Control Room'!$B$5="Normal",'Control Room'!$B$7,('Control Room'!$B$8+'Control Room'!$D$8)/2)+'Control Room'!$B$9*(AI52-IF('Control Room'!$B$5="Normal",'Control Room'!$B$7,('Control Room'!$B$8+'Control Room'!$D$8)/2))+SQRT(1-'Control Room'!$B$9^2)*(AH53-IF('Control Room'!$B$5="Normal",'Control Room'!$B$7,('Control Room'!$B$8+'Control Room'!$D$8)/2))</x:f>
        <x:v>1058.2321665488298</x:v>
      </x:c>
      <x:c r="AJ53" s="17" t="n">
        <x:f>IF(AND($A53&gt;='Control Room'!$A$13,$A53&lt;'Control Room'!$A$13+'Control Room'!$B$13,'Process'!BQ2=1),1+('Control Room'!$C$13-1)*EXP(-0.5*(($A53-'Control Room'!$A$13-('Control Room'!$B$13-1)/2)/MAX(0.5,'Control Room'!$B$13/4))^2),1)*IF(AND($A53&gt;='Control Room'!$A$14,$A53&lt;'Control Room'!$A$14+'Control Room'!$B$14,'Process'!BQ3=1),1+('Control Room'!$C$14-1)*EXP(-0.5*(($A53-'Control Room'!$A$14-('Control Room'!$B$14-1)/2)/MAX(0.5,'Control Room'!$B$14/4))^2),1)*IF(AND($A53&gt;='Control Room'!$A$15,$A53&lt;'Control Room'!$A$15+'Control Room'!$B$15,'Process'!BQ4=1),1+('Control Room'!$C$15-1)*EXP(-0.5*(($A53-'Control Room'!$A$15-('Control Room'!$B$15-1)/2)/MAX(0.5,'Control Room'!$B$15/4))^2),1)*IF(AND($A53&gt;='Control Room'!$A$16,$A53&lt;'Control Room'!$A$16+'Control Room'!$B$16,'Process'!BQ5=1),1+('Control Room'!$C$16-1)*EXP(-0.5*(($A53-'Control Room'!$A$16-('Control Room'!$B$16-1)/2)/MAX(0.5,'Control Room'!$B$16/4))^2),1)</x:f>
        <x:v>1</x:v>
      </x:c>
      <x:c r="AK53" s="9" t="n">
        <x:f>MOD(AL52*16807,2147483647)</x:f>
        <x:v>1671930645</x:v>
      </x:c>
      <x:c r="AL53" s="9" t="n">
        <x:f>MOD(AK53*16807,2147483647)</x:f>
        <x:v>314829520</x:v>
      </x:c>
      <x:c r="AM53" s="17" t="n">
        <x:f>IF('Control Room'!$B$5="Normal",'Control Room'!$B$7+'Control Room'!$D$7*SQRT(-2*LN(MAX(0.000000000001,AK53/2147483647)))*COS(2*PI()*AL53/2147483647),'Control Room'!$B$8+('Control Room'!$D$8-'Control Room'!$B$8)*AK53/2147483647)</x:f>
        <x:v>1038.5208889022902</x:v>
      </x:c>
      <x:c r="AN53" s="17" t="n">
        <x:f>IF('Control Room'!$B$5="Normal",'Control Room'!$B$7,('Control Room'!$B$8+'Control Room'!$D$8)/2)+'Control Room'!$B$9*(AN52-IF('Control Room'!$B$5="Normal",'Control Room'!$B$7,('Control Room'!$B$8+'Control Room'!$D$8)/2))+SQRT(1-'Control Room'!$B$9^2)*(AM53-IF('Control Room'!$B$5="Normal",'Control Room'!$B$7,('Control Room'!$B$8+'Control Room'!$D$8)/2))</x:f>
        <x:v>1079.2457027077796</x:v>
      </x:c>
      <x:c r="AO53" s="17" t="n">
        <x:f>IF(AND($A53&gt;='Control Room'!$A$13,$A53&lt;'Control Room'!$A$13+'Control Room'!$B$13,'Process'!BR2=1),1+('Control Room'!$C$13-1)*EXP(-0.5*(($A53-'Control Room'!$A$13-('Control Room'!$B$13-1)/2)/MAX(0.5,'Control Room'!$B$13/4))^2),1)*IF(AND($A53&gt;='Control Room'!$A$14,$A53&lt;'Control Room'!$A$14+'Control Room'!$B$14,'Process'!BR3=1),1+('Control Room'!$C$14-1)*EXP(-0.5*(($A53-'Control Room'!$A$14-('Control Room'!$B$14-1)/2)/MAX(0.5,'Control Room'!$B$14/4))^2),1)*IF(AND($A53&gt;='Control Room'!$A$15,$A53&lt;'Control Room'!$A$15+'Control Room'!$B$15,'Process'!BR4=1),1+('Control Room'!$C$15-1)*EXP(-0.5*(($A53-'Control Room'!$A$15-('Control Room'!$B$15-1)/2)/MAX(0.5,'Control Room'!$B$15/4))^2),1)*IF(AND($A53&gt;='Control Room'!$A$16,$A53&lt;'Control Room'!$A$16+'Control Room'!$B$16,'Process'!BR5=1),1+('Control Room'!$C$16-1)*EXP(-0.5*(($A53-'Control Room'!$A$16-('Control Room'!$B$16-1)/2)/MAX(0.5,'Control Room'!$B$16/4))^2),1)</x:f>
        <x:v>1</x:v>
      </x:c>
      <x:c r="AP53" s="9" t="n">
        <x:f>MOD(AQ52*16807,2147483647)</x:f>
        <x:v>521854844</x:v>
      </x:c>
      <x:c r="AQ53" s="9" t="n">
        <x:f>MOD(AP53*16807,2147483647)</x:f>
        <x:v>491148760</x:v>
      </x:c>
      <x:c r="AR53" s="17" t="n">
        <x:f>IF('Control Room'!$B$5="Normal",'Control Room'!$B$7+'Control Room'!$D$7*SQRT(-2*LN(MAX(0.000000000001,AP53/2147483647)))*COS(2*PI()*AQ53/2147483647),'Control Room'!$B$8+('Control Room'!$D$8-'Control Room'!$B$8)*AP53/2147483647)</x:f>
        <x:v>1020.1913092485029</x:v>
      </x:c>
      <x:c r="AS53" s="17" t="n">
        <x:f>IF('Control Room'!$B$5="Normal",'Control Room'!$B$7,('Control Room'!$B$8+'Control Room'!$D$8)/2)+'Control Room'!$B$9*(AS52-IF('Control Room'!$B$5="Normal",'Control Room'!$B$7,('Control Room'!$B$8+'Control Room'!$D$8)/2))+SQRT(1-'Control Room'!$B$9^2)*(AR53-IF('Control Room'!$B$5="Normal",'Control Room'!$B$7,('Control Room'!$B$8+'Control Room'!$D$8)/2))</x:f>
        <x:v>958.415456451541</x:v>
      </x:c>
      <x:c r="AT53" s="17" t="n">
        <x:f>IF(AND($A53&gt;='Control Room'!$A$13,$A53&lt;'Control Room'!$A$13+'Control Room'!$B$13,'Process'!BS2=1),1+('Control Room'!$C$13-1)*EXP(-0.5*(($A53-'Control Room'!$A$13-('Control Room'!$B$13-1)/2)/MAX(0.5,'Control Room'!$B$13/4))^2),1)*IF(AND($A53&gt;='Control Room'!$A$14,$A53&lt;'Control Room'!$A$14+'Control Room'!$B$14,'Process'!BS3=1),1+('Control Room'!$C$14-1)*EXP(-0.5*(($A53-'Control Room'!$A$14-('Control Room'!$B$14-1)/2)/MAX(0.5,'Control Room'!$B$14/4))^2),1)*IF(AND($A53&gt;='Control Room'!$A$15,$A53&lt;'Control Room'!$A$15+'Control Room'!$B$15,'Process'!BS4=1),1+('Control Room'!$C$15-1)*EXP(-0.5*(($A53-'Control Room'!$A$15-('Control Room'!$B$15-1)/2)/MAX(0.5,'Control Room'!$B$15/4))^2),1)*IF(AND($A53&gt;='Control Room'!$A$16,$A53&lt;'Control Room'!$A$16+'Control Room'!$B$16,'Process'!BS5=1),1+('Control Room'!$C$16-1)*EXP(-0.5*(($A53-'Control Room'!$A$16-('Control Room'!$B$16-1)/2)/MAX(0.5,'Control Room'!$B$16/4))^2),1)</x:f>
        <x:v>1</x:v>
      </x:c>
      <x:c r="AU53" s="9" t="n">
        <x:f>MOD(AV52*16807,2147483647)</x:f>
        <x:v>1519262690</x:v>
      </x:c>
      <x:c r="AV53" s="9" t="n">
        <x:f>MOD(AU53*16807,2147483647)</x:f>
        <x:v>667468000</x:v>
      </x:c>
      <x:c r="AW53" s="17" t="n">
        <x:f>IF('Control Room'!$B$5="Normal",'Control Room'!$B$7+'Control Room'!$D$7*SQRT(-2*LN(MAX(0.000000000001,AU53/2147483647)))*COS(2*PI()*AV53/2147483647),'Control Room'!$B$8+('Control Room'!$D$8-'Control Room'!$B$8)*AU53/2147483647)</x:f>
        <x:v>972.0807400501928</x:v>
      </x:c>
      <x:c r="AX53" s="17" t="n">
        <x:f>IF('Control Room'!$B$5="Normal",'Control Room'!$B$7,('Control Room'!$B$8+'Control Room'!$D$8)/2)+'Control Room'!$B$9*(AX52-IF('Control Room'!$B$5="Normal",'Control Room'!$B$7,('Control Room'!$B$8+'Control Room'!$D$8)/2))+SQRT(1-'Control Room'!$B$9^2)*(AW53-IF('Control Room'!$B$5="Normal",'Control Room'!$B$7,('Control Room'!$B$8+'Control Room'!$D$8)/2))</x:f>
        <x:v>1082.811979155215</x:v>
      </x:c>
      <x:c r="AY53" s="17" t="n">
        <x:f>IF(AND($A53&gt;='Control Room'!$A$13,$A53&lt;'Control Room'!$A$13+'Control Room'!$B$13,'Process'!BT2=1),1+('Control Room'!$C$13-1)*EXP(-0.5*(($A53-'Control Room'!$A$13-('Control Room'!$B$13-1)/2)/MAX(0.5,'Control Room'!$B$13/4))^2),1)*IF(AND($A53&gt;='Control Room'!$A$14,$A53&lt;'Control Room'!$A$14+'Control Room'!$B$14,'Process'!BT3=1),1+('Control Room'!$C$14-1)*EXP(-0.5*(($A53-'Control Room'!$A$14-('Control Room'!$B$14-1)/2)/MAX(0.5,'Control Room'!$B$14/4))^2),1)*IF(AND($A53&gt;='Control Room'!$A$15,$A53&lt;'Control Room'!$A$15+'Control Room'!$B$15,'Process'!BT4=1),1+('Control Room'!$C$15-1)*EXP(-0.5*(($A53-'Control Room'!$A$15-('Control Room'!$B$15-1)/2)/MAX(0.5,'Control Room'!$B$15/4))^2),1)*IF(AND($A53&gt;='Control Room'!$A$16,$A53&lt;'Control Room'!$A$16+'Control Room'!$B$16,'Process'!BT5=1),1+('Control Room'!$C$16-1)*EXP(-0.5*(($A53-'Control Room'!$A$16-('Control Room'!$B$16-1)/2)/MAX(0.5,'Control Room'!$B$16/4))^2),1)</x:f>
        <x:v>1</x:v>
      </x:c>
      <x:c r="AZ53" s="9" t="n">
        <x:f>MOD(BA52*16807,2147483647)</x:f>
        <x:v>369186889</x:v>
      </x:c>
      <x:c r="BA53" s="9" t="n">
        <x:f>MOD(AZ53*16807,2147483647)</x:f>
        <x:v>843787240</x:v>
      </x:c>
      <x:c r="BB53" s="17" t="n">
        <x:f>IF('Control Room'!$B$5="Normal",'Control Room'!$B$7+'Control Room'!$D$7*SQRT(-2*LN(MAX(0.000000000001,AZ53/2147483647)))*COS(2*PI()*BA53/2147483647),'Control Room'!$B$8+('Control Room'!$D$8-'Control Room'!$B$8)*AZ53/2147483647)</x:f>
        <x:v>867.9148294147338</x:v>
      </x:c>
      <x:c r="BC53" s="17" t="n">
        <x:f>IF('Control Room'!$B$5="Normal",'Control Room'!$B$7,('Control Room'!$B$8+'Control Room'!$D$8)/2)+'Control Room'!$B$9*(BC52-IF('Control Room'!$B$5="Normal",'Control Room'!$B$7,('Control Room'!$B$8+'Control Room'!$D$8)/2))+SQRT(1-'Control Room'!$B$9^2)*(BB53-IF('Control Room'!$B$5="Normal",'Control Room'!$B$7,('Control Room'!$B$8+'Control Room'!$D$8)/2))</x:f>
        <x:v>838.557946048226</x:v>
      </x:c>
      <x:c r="BD53" s="17" t="n">
        <x:f>IF(AND($A53&gt;='Control Room'!$A$13,$A53&lt;'Control Room'!$A$13+'Control Room'!$B$13,'Process'!BU2=1),1+('Control Room'!$C$13-1)*EXP(-0.5*(($A53-'Control Room'!$A$13-('Control Room'!$B$13-1)/2)/MAX(0.5,'Control Room'!$B$13/4))^2),1)*IF(AND($A53&gt;='Control Room'!$A$14,$A53&lt;'Control Room'!$A$14+'Control Room'!$B$14,'Process'!BU3=1),1+('Control Room'!$C$14-1)*EXP(-0.5*(($A53-'Control Room'!$A$14-('Control Room'!$B$14-1)/2)/MAX(0.5,'Control Room'!$B$14/4))^2),1)*IF(AND($A53&gt;='Control Room'!$A$15,$A53&lt;'Control Room'!$A$15+'Control Room'!$B$15,'Process'!BU4=1),1+('Control Room'!$C$15-1)*EXP(-0.5*(($A53-'Control Room'!$A$15-('Control Room'!$B$15-1)/2)/MAX(0.5,'Control Room'!$B$15/4))^2),1)*IF(AND($A53&gt;='Control Room'!$A$16,$A53&lt;'Control Room'!$A$16+'Control Room'!$B$16,'Process'!BU5=1),1+('Control Room'!$C$16-1)*EXP(-0.5*(($A53-'Control Room'!$A$16-('Control Room'!$B$16-1)/2)/MAX(0.5,'Control Room'!$B$16/4))^2),1)</x:f>
        <x:v>1</x:v>
      </x:c>
      <x:c r="BE53" s="9" t="n">
        <x:f>MOD(BF52*16807,2147483647)</x:f>
        <x:v>1366594735</x:v>
      </x:c>
      <x:c r="BF53" s="9" t="n">
        <x:f>MOD(BE53*16807,2147483647)</x:f>
        <x:v>1020106480</x:v>
      </x:c>
      <x:c r="BG53" s="17" t="n">
        <x:f>IF('Control Room'!$B$5="Normal",'Control Room'!$B$7+'Control Room'!$D$7*SQRT(-2*LN(MAX(0.000000000001,BE53/2147483647)))*COS(2*PI()*BF53/2147483647),'Control Room'!$B$8+('Control Room'!$D$8-'Control Room'!$B$8)*BE53/2147483647)</x:f>
        <x:v>915.4828369746808</x:v>
      </x:c>
      <x:c r="BH53" s="17" t="n">
        <x:f>IF('Control Room'!$B$5="Normal",'Control Room'!$B$7,('Control Room'!$B$8+'Control Room'!$D$8)/2)+'Control Room'!$B$9*(BH52-IF('Control Room'!$B$5="Normal",'Control Room'!$B$7,('Control Room'!$B$8+'Control Room'!$D$8)/2))+SQRT(1-'Control Room'!$B$9^2)*(BG53-IF('Control Room'!$B$5="Normal",'Control Room'!$B$7,('Control Room'!$B$8+'Control Room'!$D$8)/2))</x:f>
        <x:v>1026.8143642921661</x:v>
      </x:c>
      <x:c r="BI53" s="17" t="n">
        <x:f>IF(AND($A53&gt;='Control Room'!$A$13,$A53&lt;'Control Room'!$A$13+'Control Room'!$B$13,'Process'!BV2=1),1+('Control Room'!$C$13-1)*EXP(-0.5*(($A53-'Control Room'!$A$13-('Control Room'!$B$13-1)/2)/MAX(0.5,'Control Room'!$B$13/4))^2),1)*IF(AND($A53&gt;='Control Room'!$A$14,$A53&lt;'Control Room'!$A$14+'Control Room'!$B$14,'Process'!BV3=1),1+('Control Room'!$C$14-1)*EXP(-0.5*(($A53-'Control Room'!$A$14-('Control Room'!$B$14-1)/2)/MAX(0.5,'Control Room'!$B$14/4))^2),1)*IF(AND($A53&gt;='Control Room'!$A$15,$A53&lt;'Control Room'!$A$15+'Control Room'!$B$15,'Process'!BV4=1),1+('Control Room'!$C$15-1)*EXP(-0.5*(($A53-'Control Room'!$A$15-('Control Room'!$B$15-1)/2)/MAX(0.5,'Control Room'!$B$15/4))^2),1)*IF(AND($A53&gt;='Control Room'!$A$16,$A53&lt;'Control Room'!$A$16+'Control Room'!$B$16,'Process'!BV5=1),1+('Control Room'!$C$16-1)*EXP(-0.5*(($A53-'Control Room'!$A$16-('Control Room'!$B$16-1)/2)/MAX(0.5,'Control Room'!$B$16/4))^2),1)</x:f>
        <x:v>1</x:v>
      </x:c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Z53" t="str">
        <x:f>IF('Data'!A53="","",TEXT('Data'!A53,"mm-dd"))</x:f>
        <x:v>12-23</x:v>
      </x:c>
    </x:row>
    <x:row r="54" ht="21" customHeight="1">
      <x:c r="A54" s="15" t="n">
        <x:f>'Control Room'!$B$1+52</x:f>
        <x:v>73043</x:v>
      </x:c>
      <x:c r="B54" s="9" t="n">
        <x:f>MOD(C53*16807,2147483647)</x:f>
        <x:v>849799692</x:v>
      </x:c>
      <x:c r="C54" s="9" t="n">
        <x:f>MOD(B54*16807,2147483647)</x:f>
        <x:v>1817170894</x:v>
      </x:c>
      <x:c r="D54" s="17" t="n">
        <x:f>IF('Control Room'!$B$5="Normal",'Control Room'!$B$7+'Control Room'!$D$7*SQRT(-2*LN(MAX(0.000000000001,B54/2147483647)))*COS(2*PI()*C54/2147483647),'Control Room'!$B$8+('Control Room'!$D$8-'Control Room'!$B$8)*B54/2147483647)</x:f>
        <x:v>1069.6361702229387</x:v>
      </x:c>
      <x:c r="E54" s="17" t="n">
        <x:f>IF('Control Room'!$B$5="Normal",'Control Room'!$B$7,('Control Room'!$B$8+'Control Room'!$D$8)/2)+'Control Room'!$B$9*(E53-IF('Control Room'!$B$5="Normal",'Control Room'!$B$7,('Control Room'!$B$8+'Control Room'!$D$8)/2))+SQRT(1-'Control Room'!$B$9^2)*(D54-IF('Control Room'!$B$5="Normal",'Control Room'!$B$7,('Control Room'!$B$8+'Control Room'!$D$8)/2))</x:f>
        <x:v>1011.9462320412515</x:v>
      </x:c>
      <x:c r="F54" s="17" t="n">
        <x:f>IF(AND($A54&gt;='Control Room'!$A$13,$A54&lt;'Control Room'!$A$13+'Control Room'!$B$13,'Process'!BK2=1),1+('Control Room'!$C$13-1)*EXP(-0.5*(($A54-'Control Room'!$A$13-('Control Room'!$B$13-1)/2)/MAX(0.5,'Control Room'!$B$13/4))^2),1)*IF(AND($A54&gt;='Control Room'!$A$14,$A54&lt;'Control Room'!$A$14+'Control Room'!$B$14,'Process'!BK3=1),1+('Control Room'!$C$14-1)*EXP(-0.5*(($A54-'Control Room'!$A$14-('Control Room'!$B$14-1)/2)/MAX(0.5,'Control Room'!$B$14/4))^2),1)*IF(AND($A54&gt;='Control Room'!$A$15,$A54&lt;'Control Room'!$A$15+'Control Room'!$B$15,'Process'!BK4=1),1+('Control Room'!$C$15-1)*EXP(-0.5*(($A54-'Control Room'!$A$15-('Control Room'!$B$15-1)/2)/MAX(0.5,'Control Room'!$B$15/4))^2),1)*IF(AND($A54&gt;='Control Room'!$A$16,$A54&lt;'Control Room'!$A$16+'Control Room'!$B$16,'Process'!BK5=1),1+('Control Room'!$C$16-1)*EXP(-0.5*(($A54-'Control Room'!$A$16-('Control Room'!$B$16-1)/2)/MAX(0.5,'Control Room'!$B$16/4))^2),1)</x:f>
        <x:v>1</x:v>
      </x:c>
      <x:c r="G54" s="9" t="n">
        <x:f>MOD(H53*16807,2147483647)</x:f>
        <x:v>719833512</x:v>
      </x:c>
      <x:c r="H54" s="9" t="n">
        <x:f>MOD(G54*16807,2147483647)</x:f>
        <x:v>1466452633</x:v>
      </x:c>
      <x:c r="I54" s="17" t="n">
        <x:f>IF('Control Room'!$B$5="Normal",'Control Room'!$B$7+'Control Room'!$D$7*SQRT(-2*LN(MAX(0.000000000001,G54/2147483647)))*COS(2*PI()*H54/2147483647),'Control Room'!$B$8+('Control Room'!$D$8-'Control Room'!$B$8)*G54/2147483647)</x:f>
        <x:v>945.5228278648253</x:v>
      </x:c>
      <x:c r="J54" s="17" t="n">
        <x:f>IF('Control Room'!$B$5="Normal",'Control Room'!$B$7,('Control Room'!$B$8+'Control Room'!$D$8)/2)+'Control Room'!$B$9*(J53-IF('Control Room'!$B$5="Normal",'Control Room'!$B$7,('Control Room'!$B$8+'Control Room'!$D$8)/2))+SQRT(1-'Control Room'!$B$9^2)*(I54-IF('Control Room'!$B$5="Normal",'Control Room'!$B$7,('Control Room'!$B$8+'Control Room'!$D$8)/2))</x:f>
        <x:v>948.9931562806718</x:v>
      </x:c>
      <x:c r="K54" s="17" t="n">
        <x:f>IF(AND($A54&gt;='Control Room'!$A$13,$A54&lt;'Control Room'!$A$13+'Control Room'!$B$13,'Process'!BL2=1),1+('Control Room'!$C$13-1)*EXP(-0.5*(($A54-'Control Room'!$A$13-('Control Room'!$B$13-1)/2)/MAX(0.5,'Control Room'!$B$13/4))^2),1)*IF(AND($A54&gt;='Control Room'!$A$14,$A54&lt;'Control Room'!$A$14+'Control Room'!$B$14,'Process'!BL3=1),1+('Control Room'!$C$14-1)*EXP(-0.5*(($A54-'Control Room'!$A$14-('Control Room'!$B$14-1)/2)/MAX(0.5,'Control Room'!$B$14/4))^2),1)*IF(AND($A54&gt;='Control Room'!$A$15,$A54&lt;'Control Room'!$A$15+'Control Room'!$B$15,'Process'!BL4=1),1+('Control Room'!$C$15-1)*EXP(-0.5*(($A54-'Control Room'!$A$15-('Control Room'!$B$15-1)/2)/MAX(0.5,'Control Room'!$B$15/4))^2),1)*IF(AND($A54&gt;='Control Room'!$A$16,$A54&lt;'Control Room'!$A$16+'Control Room'!$B$16,'Process'!BL5=1),1+('Control Room'!$C$16-1)*EXP(-0.5*(($A54-'Control Room'!$A$16-('Control Room'!$B$16-1)/2)/MAX(0.5,'Control Room'!$B$16/4))^2),1)</x:f>
        <x:v>1</x:v>
      </x:c>
      <x:c r="L54" s="9" t="n">
        <x:f>MOD(M53*16807,2147483647)</x:f>
        <x:v>589867332</x:v>
      </x:c>
      <x:c r="M54" s="9" t="n">
        <x:f>MOD(L54*16807,2147483647)</x:f>
        <x:v>1115734372</x:v>
      </x:c>
      <x:c r="N54" s="17" t="n">
        <x:f>IF('Control Room'!$B$5="Normal",'Control Room'!$B$7+'Control Room'!$D$7*SQRT(-2*LN(MAX(0.000000000001,L54/2147483647)))*COS(2*PI()*M54/2147483647),'Control Room'!$B$8+('Control Room'!$D$8-'Control Room'!$B$8)*L54/2147483647)</x:f>
        <x:v>856.4085744500352</x:v>
      </x:c>
      <x:c r="O54" s="17" t="n">
        <x:f>IF('Control Room'!$B$5="Normal",'Control Room'!$B$7,('Control Room'!$B$8+'Control Room'!$D$8)/2)+'Control Room'!$B$9*(O53-IF('Control Room'!$B$5="Normal",'Control Room'!$B$7,('Control Room'!$B$8+'Control Room'!$D$8)/2))+SQRT(1-'Control Room'!$B$9^2)*(N54-IF('Control Room'!$B$5="Normal",'Control Room'!$B$7,('Control Room'!$B$8+'Control Room'!$D$8)/2))</x:f>
        <x:v>978.6312724976381</x:v>
      </x:c>
      <x:c r="P54" s="17" t="n">
        <x:f>IF(AND($A54&gt;='Control Room'!$A$13,$A54&lt;'Control Room'!$A$13+'Control Room'!$B$13,'Process'!BM2=1),1+('Control Room'!$C$13-1)*EXP(-0.5*(($A54-'Control Room'!$A$13-('Control Room'!$B$13-1)/2)/MAX(0.5,'Control Room'!$B$13/4))^2),1)*IF(AND($A54&gt;='Control Room'!$A$14,$A54&lt;'Control Room'!$A$14+'Control Room'!$B$14,'Process'!BM3=1),1+('Control Room'!$C$14-1)*EXP(-0.5*(($A54-'Control Room'!$A$14-('Control Room'!$B$14-1)/2)/MAX(0.5,'Control Room'!$B$14/4))^2),1)*IF(AND($A54&gt;='Control Room'!$A$15,$A54&lt;'Control Room'!$A$15+'Control Room'!$B$15,'Process'!BM4=1),1+('Control Room'!$C$15-1)*EXP(-0.5*(($A54-'Control Room'!$A$15-('Control Room'!$B$15-1)/2)/MAX(0.5,'Control Room'!$B$15/4))^2),1)*IF(AND($A54&gt;='Control Room'!$A$16,$A54&lt;'Control Room'!$A$16+'Control Room'!$B$16,'Process'!BM5=1),1+('Control Room'!$C$16-1)*EXP(-0.5*(($A54-'Control Room'!$A$16-('Control Room'!$B$16-1)/2)/MAX(0.5,'Control Room'!$B$16/4))^2),1)</x:f>
        <x:v>1</x:v>
      </x:c>
      <x:c r="Q54" s="9" t="n">
        <x:f>MOD(R53*16807,2147483647)</x:f>
        <x:v>459901152</x:v>
      </x:c>
      <x:c r="R54" s="9" t="n">
        <x:f>MOD(Q54*16807,2147483647)</x:f>
        <x:v>765016111</x:v>
      </x:c>
      <x:c r="S54" s="17" t="n">
        <x:f>IF('Control Room'!$B$5="Normal",'Control Room'!$B$7+'Control Room'!$D$7*SQRT(-2*LN(MAX(0.000000000001,Q54/2147483647)))*COS(2*PI()*R54/2147483647),'Control Room'!$B$8+('Control Room'!$D$8-'Control Room'!$B$8)*Q54/2147483647)</x:f>
        <x:v>902.1905340186944</x:v>
      </x:c>
      <x:c r="T54" s="17" t="n">
        <x:f>IF('Control Room'!$B$5="Normal",'Control Room'!$B$7,('Control Room'!$B$8+'Control Room'!$D$8)/2)+'Control Room'!$B$9*(T53-IF('Control Room'!$B$5="Normal",'Control Room'!$B$7,('Control Room'!$B$8+'Control Room'!$D$8)/2))+SQRT(1-'Control Room'!$B$9^2)*(S54-IF('Control Room'!$B$5="Normal",'Control Room'!$B$7,('Control Room'!$B$8+'Control Room'!$D$8)/2))</x:f>
        <x:v>964.5589631427113</x:v>
      </x:c>
      <x:c r="U54" s="17" t="n">
        <x:f>IF(AND($A54&gt;='Control Room'!$A$13,$A54&lt;'Control Room'!$A$13+'Control Room'!$B$13,'Process'!BN2=1),1+('Control Room'!$C$13-1)*EXP(-0.5*(($A54-'Control Room'!$A$13-('Control Room'!$B$13-1)/2)/MAX(0.5,'Control Room'!$B$13/4))^2),1)*IF(AND($A54&gt;='Control Room'!$A$14,$A54&lt;'Control Room'!$A$14+'Control Room'!$B$14,'Process'!BN3=1),1+('Control Room'!$C$14-1)*EXP(-0.5*(($A54-'Control Room'!$A$14-('Control Room'!$B$14-1)/2)/MAX(0.5,'Control Room'!$B$14/4))^2),1)*IF(AND($A54&gt;='Control Room'!$A$15,$A54&lt;'Control Room'!$A$15+'Control Room'!$B$15,'Process'!BN4=1),1+('Control Room'!$C$15-1)*EXP(-0.5*(($A54-'Control Room'!$A$15-('Control Room'!$B$15-1)/2)/MAX(0.5,'Control Room'!$B$15/4))^2),1)*IF(AND($A54&gt;='Control Room'!$A$16,$A54&lt;'Control Room'!$A$16+'Control Room'!$B$16,'Process'!BN5=1),1+('Control Room'!$C$16-1)*EXP(-0.5*(($A54-'Control Room'!$A$16-('Control Room'!$B$16-1)/2)/MAX(0.5,'Control Room'!$B$16/4))^2),1)</x:f>
        <x:v>1</x:v>
      </x:c>
      <x:c r="V54" s="9" t="n">
        <x:f>MOD(W53*16807,2147483647)</x:f>
        <x:v>329934972</x:v>
      </x:c>
      <x:c r="W54" s="9" t="n">
        <x:f>MOD(V54*16807,2147483647)</x:f>
        <x:v>414297850</x:v>
      </x:c>
      <x:c r="X54" s="17" t="n">
        <x:f>IF('Control Room'!$B$5="Normal",'Control Room'!$B$7+'Control Room'!$D$7*SQRT(-2*LN(MAX(0.000000000001,V54/2147483647)))*COS(2*PI()*W54/2147483647),'Control Room'!$B$8+('Control Room'!$D$8-'Control Room'!$B$8)*V54/2147483647)</x:f>
        <x:v>1061.1420366072562</x:v>
      </x:c>
      <x:c r="Y54" s="17" t="n">
        <x:f>IF('Control Room'!$B$5="Normal",'Control Room'!$B$7,('Control Room'!$B$8+'Control Room'!$D$8)/2)+'Control Room'!$B$9*(Y53-IF('Control Room'!$B$5="Normal",'Control Room'!$B$7,('Control Room'!$B$8+'Control Room'!$D$8)/2))+SQRT(1-'Control Room'!$B$9^2)*(X54-IF('Control Room'!$B$5="Normal",'Control Room'!$B$7,('Control Room'!$B$8+'Control Room'!$D$8)/2))</x:f>
        <x:v>1095.9848201859234</x:v>
      </x:c>
      <x:c r="Z54" s="17" t="n">
        <x:f>IF(AND($A54&gt;='Control Room'!$A$13,$A54&lt;'Control Room'!$A$13+'Control Room'!$B$13,'Process'!BO2=1),1+('Control Room'!$C$13-1)*EXP(-0.5*(($A54-'Control Room'!$A$13-('Control Room'!$B$13-1)/2)/MAX(0.5,'Control Room'!$B$13/4))^2),1)*IF(AND($A54&gt;='Control Room'!$A$14,$A54&lt;'Control Room'!$A$14+'Control Room'!$B$14,'Process'!BO3=1),1+('Control Room'!$C$14-1)*EXP(-0.5*(($A54-'Control Room'!$A$14-('Control Room'!$B$14-1)/2)/MAX(0.5,'Control Room'!$B$14/4))^2),1)*IF(AND($A54&gt;='Control Room'!$A$15,$A54&lt;'Control Room'!$A$15+'Control Room'!$B$15,'Process'!BO4=1),1+('Control Room'!$C$15-1)*EXP(-0.5*(($A54-'Control Room'!$A$15-('Control Room'!$B$15-1)/2)/MAX(0.5,'Control Room'!$B$15/4))^2),1)*IF(AND($A54&gt;='Control Room'!$A$16,$A54&lt;'Control Room'!$A$16+'Control Room'!$B$16,'Process'!BO5=1),1+('Control Room'!$C$16-1)*EXP(-0.5*(($A54-'Control Room'!$A$16-('Control Room'!$B$16-1)/2)/MAX(0.5,'Control Room'!$B$16/4))^2),1)</x:f>
        <x:v>1</x:v>
      </x:c>
      <x:c r="AA54" s="9" t="n">
        <x:f>MOD(AB53*16807,2147483647)</x:f>
        <x:v>199968792</x:v>
      </x:c>
      <x:c r="AB54" s="9" t="n">
        <x:f>MOD(AA54*16807,2147483647)</x:f>
        <x:v>63579589</x:v>
      </x:c>
      <x:c r="AC54" s="17" t="n">
        <x:f>IF('Control Room'!$B$5="Normal",'Control Room'!$B$7+'Control Room'!$D$7*SQRT(-2*LN(MAX(0.000000000001,AA54/2147483647)))*COS(2*PI()*AB54/2147483647),'Control Room'!$B$8+('Control Room'!$D$8-'Control Room'!$B$8)*AA54/2147483647)</x:f>
        <x:v>1192.721339340051</x:v>
      </x:c>
      <x:c r="AD54" s="17" t="n">
        <x:f>IF('Control Room'!$B$5="Normal",'Control Room'!$B$7,('Control Room'!$B$8+'Control Room'!$D$8)/2)+'Control Room'!$B$9*(AD53-IF('Control Room'!$B$5="Normal",'Control Room'!$B$7,('Control Room'!$B$8+'Control Room'!$D$8)/2))+SQRT(1-'Control Room'!$B$9^2)*(AC54-IF('Control Room'!$B$5="Normal",'Control Room'!$B$7,('Control Room'!$B$8+'Control Room'!$D$8)/2))</x:f>
        <x:v>1081.5157858332223</x:v>
      </x:c>
      <x:c r="AE54" s="17" t="n">
        <x:f>IF(AND($A54&gt;='Control Room'!$A$13,$A54&lt;'Control Room'!$A$13+'Control Room'!$B$13,'Process'!BP2=1),1+('Control Room'!$C$13-1)*EXP(-0.5*(($A54-'Control Room'!$A$13-('Control Room'!$B$13-1)/2)/MAX(0.5,'Control Room'!$B$13/4))^2),1)*IF(AND($A54&gt;='Control Room'!$A$14,$A54&lt;'Control Room'!$A$14+'Control Room'!$B$14,'Process'!BP3=1),1+('Control Room'!$C$14-1)*EXP(-0.5*(($A54-'Control Room'!$A$14-('Control Room'!$B$14-1)/2)/MAX(0.5,'Control Room'!$B$14/4))^2),1)*IF(AND($A54&gt;='Control Room'!$A$15,$A54&lt;'Control Room'!$A$15+'Control Room'!$B$15,'Process'!BP4=1),1+('Control Room'!$C$15-1)*EXP(-0.5*(($A54-'Control Room'!$A$15-('Control Room'!$B$15-1)/2)/MAX(0.5,'Control Room'!$B$15/4))^2),1)*IF(AND($A54&gt;='Control Room'!$A$16,$A54&lt;'Control Room'!$A$16+'Control Room'!$B$16,'Process'!BP5=1),1+('Control Room'!$C$16-1)*EXP(-0.5*(($A54-'Control Room'!$A$16-('Control Room'!$B$16-1)/2)/MAX(0.5,'Control Room'!$B$16/4))^2),1)</x:f>
        <x:v>1</x:v>
      </x:c>
      <x:c r="AF54" s="9" t="n">
        <x:f>MOD(AG53*16807,2147483647)</x:f>
        <x:v>70002612</x:v>
      </x:c>
      <x:c r="AG54" s="9" t="n">
        <x:f>MOD(AF54*16807,2147483647)</x:f>
        <x:v>1860344975</x:v>
      </x:c>
      <x:c r="AH54" s="17" t="n">
        <x:f>IF('Control Room'!$B$5="Normal",'Control Room'!$B$7+'Control Room'!$D$7*SQRT(-2*LN(MAX(0.000000000001,AF54/2147483647)))*COS(2*PI()*AG54/2147483647),'Control Room'!$B$8+('Control Room'!$D$8-'Control Room'!$B$8)*AF54/2147483647)</x:f>
        <x:v>1157.1674111532639</x:v>
      </x:c>
      <x:c r="AI54" s="17" t="n">
        <x:f>IF('Control Room'!$B$5="Normal",'Control Room'!$B$7,('Control Room'!$B$8+'Control Room'!$D$8)/2)+'Control Room'!$B$9*(AI53-IF('Control Room'!$B$5="Normal",'Control Room'!$B$7,('Control Room'!$B$8+'Control Room'!$D$8)/2))+SQRT(1-'Control Room'!$B$9^2)*(AH54-IF('Control Room'!$B$5="Normal",'Control Room'!$B$7,('Control Room'!$B$8+'Control Room'!$D$8)/2))</x:f>
        <x:v>1143.7732360583732</x:v>
      </x:c>
      <x:c r="AJ54" s="17" t="n">
        <x:f>IF(AND($A54&gt;='Control Room'!$A$13,$A54&lt;'Control Room'!$A$13+'Control Room'!$B$13,'Process'!BQ2=1),1+('Control Room'!$C$13-1)*EXP(-0.5*(($A54-'Control Room'!$A$13-('Control Room'!$B$13-1)/2)/MAX(0.5,'Control Room'!$B$13/4))^2),1)*IF(AND($A54&gt;='Control Room'!$A$14,$A54&lt;'Control Room'!$A$14+'Control Room'!$B$14,'Process'!BQ3=1),1+('Control Room'!$C$14-1)*EXP(-0.5*(($A54-'Control Room'!$A$14-('Control Room'!$B$14-1)/2)/MAX(0.5,'Control Room'!$B$14/4))^2),1)*IF(AND($A54&gt;='Control Room'!$A$15,$A54&lt;'Control Room'!$A$15+'Control Room'!$B$15,'Process'!BQ4=1),1+('Control Room'!$C$15-1)*EXP(-0.5*(($A54-'Control Room'!$A$15-('Control Room'!$B$15-1)/2)/MAX(0.5,'Control Room'!$B$15/4))^2),1)*IF(AND($A54&gt;='Control Room'!$A$16,$A54&lt;'Control Room'!$A$16+'Control Room'!$B$16,'Process'!BQ5=1),1+('Control Room'!$C$16-1)*EXP(-0.5*(($A54-'Control Room'!$A$16-('Control Room'!$B$16-1)/2)/MAX(0.5,'Control Room'!$B$16/4))^2),1)</x:f>
        <x:v>1</x:v>
      </x:c>
      <x:c r="AK54" s="9" t="n">
        <x:f>MOD(AL53*16807,2147483647)</x:f>
        <x:v>2087520079</x:v>
      </x:c>
      <x:c r="AL54" s="9" t="n">
        <x:f>MOD(AK54*16807,2147483647)</x:f>
        <x:v>1509626714</x:v>
      </x:c>
      <x:c r="AM54" s="17" t="n">
        <x:f>IF('Control Room'!$B$5="Normal",'Control Room'!$B$7+'Control Room'!$D$7*SQRT(-2*LN(MAX(0.000000000001,AK54/2147483647)))*COS(2*PI()*AL54/2147483647),'Control Room'!$B$8+('Control Room'!$D$8-'Control Room'!$B$8)*AK54/2147483647)</x:f>
        <x:v>993.7629744902075</x:v>
      </x:c>
      <x:c r="AN54" s="17" t="n">
        <x:f>IF('Control Room'!$B$5="Normal",'Control Room'!$B$7,('Control Room'!$B$8+'Control Room'!$D$8)/2)+'Control Room'!$B$9*(AN53-IF('Control Room'!$B$5="Normal",'Control Room'!$B$7,('Control Room'!$B$8+'Control Room'!$D$8)/2))+SQRT(1-'Control Room'!$B$9^2)*(AM54-IF('Control Room'!$B$5="Normal",'Control Room'!$B$7,('Control Room'!$B$8+'Control Room'!$D$8)/2))</x:f>
        <x:v>1057.9086453204525</x:v>
      </x:c>
      <x:c r="AO54" s="17" t="n">
        <x:f>IF(AND($A54&gt;='Control Room'!$A$13,$A54&lt;'Control Room'!$A$13+'Control Room'!$B$13,'Process'!BR2=1),1+('Control Room'!$C$13-1)*EXP(-0.5*(($A54-'Control Room'!$A$13-('Control Room'!$B$13-1)/2)/MAX(0.5,'Control Room'!$B$13/4))^2),1)*IF(AND($A54&gt;='Control Room'!$A$14,$A54&lt;'Control Room'!$A$14+'Control Room'!$B$14,'Process'!BR3=1),1+('Control Room'!$C$14-1)*EXP(-0.5*(($A54-'Control Room'!$A$14-('Control Room'!$B$14-1)/2)/MAX(0.5,'Control Room'!$B$14/4))^2),1)*IF(AND($A54&gt;='Control Room'!$A$15,$A54&lt;'Control Room'!$A$15+'Control Room'!$B$15,'Process'!BR4=1),1+('Control Room'!$C$15-1)*EXP(-0.5*(($A54-'Control Room'!$A$15-('Control Room'!$B$15-1)/2)/MAX(0.5,'Control Room'!$B$15/4))^2),1)*IF(AND($A54&gt;='Control Room'!$A$16,$A54&lt;'Control Room'!$A$16+'Control Room'!$B$16,'Process'!BR5=1),1+('Control Room'!$C$16-1)*EXP(-0.5*(($A54-'Control Room'!$A$16-('Control Room'!$B$16-1)/2)/MAX(0.5,'Control Room'!$B$16/4))^2),1)</x:f>
        <x:v>1</x:v>
      </x:c>
      <x:c r="AP54" s="9" t="n">
        <x:f>MOD(AQ53*16807,2147483647)</x:f>
        <x:v>1957553899</x:v>
      </x:c>
      <x:c r="AQ54" s="9" t="n">
        <x:f>MOD(AP54*16807,2147483647)</x:f>
        <x:v>1158908453</x:v>
      </x:c>
      <x:c r="AR54" s="17" t="n">
        <x:f>IF('Control Room'!$B$5="Normal",'Control Room'!$B$7+'Control Room'!$D$7*SQRT(-2*LN(MAX(0.000000000001,AP54/2147483647)))*COS(2*PI()*AQ54/2147483647),'Control Room'!$B$8+('Control Room'!$D$8-'Control Room'!$B$8)*AP54/2147483647)</x:f>
        <x:v>962.4646535801081</x:v>
      </x:c>
      <x:c r="AS54" s="17" t="n">
        <x:f>IF('Control Room'!$B$5="Normal",'Control Room'!$B$7,('Control Room'!$B$8+'Control Room'!$D$8)/2)+'Control Room'!$B$9*(AS53-IF('Control Room'!$B$5="Normal",'Control Room'!$B$7,('Control Room'!$B$8+'Control Room'!$D$8)/2))+SQRT(1-'Control Room'!$B$9^2)*(AR54-IF('Control Room'!$B$5="Normal",'Control Room'!$B$7,('Control Room'!$B$8+'Control Room'!$D$8)/2))</x:f>
        <x:v>944.0752051960013</x:v>
      </x:c>
      <x:c r="AT54" s="17" t="n">
        <x:f>IF(AND($A54&gt;='Control Room'!$A$13,$A54&lt;'Control Room'!$A$13+'Control Room'!$B$13,'Process'!BS2=1),1+('Control Room'!$C$13-1)*EXP(-0.5*(($A54-'Control Room'!$A$13-('Control Room'!$B$13-1)/2)/MAX(0.5,'Control Room'!$B$13/4))^2),1)*IF(AND($A54&gt;='Control Room'!$A$14,$A54&lt;'Control Room'!$A$14+'Control Room'!$B$14,'Process'!BS3=1),1+('Control Room'!$C$14-1)*EXP(-0.5*(($A54-'Control Room'!$A$14-('Control Room'!$B$14-1)/2)/MAX(0.5,'Control Room'!$B$14/4))^2),1)*IF(AND($A54&gt;='Control Room'!$A$15,$A54&lt;'Control Room'!$A$15+'Control Room'!$B$15,'Process'!BS4=1),1+('Control Room'!$C$15-1)*EXP(-0.5*(($A54-'Control Room'!$A$15-('Control Room'!$B$15-1)/2)/MAX(0.5,'Control Room'!$B$15/4))^2),1)*IF(AND($A54&gt;='Control Room'!$A$16,$A54&lt;'Control Room'!$A$16+'Control Room'!$B$16,'Process'!BS5=1),1+('Control Room'!$C$16-1)*EXP(-0.5*(($A54-'Control Room'!$A$16-('Control Room'!$B$16-1)/2)/MAX(0.5,'Control Room'!$B$16/4))^2),1)</x:f>
        <x:v>1</x:v>
      </x:c>
      <x:c r="AU54" s="9" t="n">
        <x:f>MOD(AV53*16807,2147483647)</x:f>
        <x:v>1827587719</x:v>
      </x:c>
      <x:c r="AV54" s="9" t="n">
        <x:f>MOD(AU54*16807,2147483647)</x:f>
        <x:v>808190192</x:v>
      </x:c>
      <x:c r="AW54" s="17" t="n">
        <x:f>IF('Control Room'!$B$5="Normal",'Control Room'!$B$7+'Control Room'!$D$7*SQRT(-2*LN(MAX(0.000000000001,AU54/2147483647)))*COS(2*PI()*AV54/2147483647),'Control Room'!$B$8+('Control Room'!$D$8-'Control Room'!$B$8)*AU54/2147483647)</x:f>
        <x:v>963.5503681947098</x:v>
      </x:c>
      <x:c r="AX54" s="17" t="n">
        <x:f>IF('Control Room'!$B$5="Normal",'Control Room'!$B$7,('Control Room'!$B$8+'Control Room'!$D$8)/2)+'Control Room'!$B$9*(AX53-IF('Control Room'!$B$5="Normal",'Control Room'!$B$7,('Control Room'!$B$8+'Control Room'!$D$8)/2))+SQRT(1-'Control Room'!$B$9^2)*(AW54-IF('Control Room'!$B$5="Normal",'Control Room'!$B$7,('Control Room'!$B$8+'Control Room'!$D$8)/2))</x:f>
        <x:v>1041.783910868612</x:v>
      </x:c>
      <x:c r="AY54" s="17" t="n">
        <x:f>IF(AND($A54&gt;='Control Room'!$A$13,$A54&lt;'Control Room'!$A$13+'Control Room'!$B$13,'Process'!BT2=1),1+('Control Room'!$C$13-1)*EXP(-0.5*(($A54-'Control Room'!$A$13-('Control Room'!$B$13-1)/2)/MAX(0.5,'Control Room'!$B$13/4))^2),1)*IF(AND($A54&gt;='Control Room'!$A$14,$A54&lt;'Control Room'!$A$14+'Control Room'!$B$14,'Process'!BT3=1),1+('Control Room'!$C$14-1)*EXP(-0.5*(($A54-'Control Room'!$A$14-('Control Room'!$B$14-1)/2)/MAX(0.5,'Control Room'!$B$14/4))^2),1)*IF(AND($A54&gt;='Control Room'!$A$15,$A54&lt;'Control Room'!$A$15+'Control Room'!$B$15,'Process'!BT4=1),1+('Control Room'!$C$15-1)*EXP(-0.5*(($A54-'Control Room'!$A$15-('Control Room'!$B$15-1)/2)/MAX(0.5,'Control Room'!$B$15/4))^2),1)*IF(AND($A54&gt;='Control Room'!$A$16,$A54&lt;'Control Room'!$A$16+'Control Room'!$B$16,'Process'!BT5=1),1+('Control Room'!$C$16-1)*EXP(-0.5*(($A54-'Control Room'!$A$16-('Control Room'!$B$16-1)/2)/MAX(0.5,'Control Room'!$B$16/4))^2),1)</x:f>
        <x:v>1</x:v>
      </x:c>
      <x:c r="AZ54" s="9" t="n">
        <x:f>MOD(BA53*16807,2147483647)</x:f>
        <x:v>1697621539</x:v>
      </x:c>
      <x:c r="BA54" s="9" t="n">
        <x:f>MOD(AZ54*16807,2147483647)</x:f>
        <x:v>457471931</x:v>
      </x:c>
      <x:c r="BB54" s="17" t="n">
        <x:f>IF('Control Room'!$B$5="Normal",'Control Room'!$B$7+'Control Room'!$D$7*SQRT(-2*LN(MAX(0.000000000001,AZ54/2147483647)))*COS(2*PI()*BA54/2147483647),'Control Room'!$B$8+('Control Room'!$D$8-'Control Room'!$B$8)*AZ54/2147483647)</x:f>
        <x:v>1014.2071316674055</x:v>
      </x:c>
      <x:c r="BC54" s="17" t="n">
        <x:f>IF('Control Room'!$B$5="Normal",'Control Room'!$B$7,('Control Room'!$B$8+'Control Room'!$D$8)/2)+'Control Room'!$B$9*(BC53-IF('Control Room'!$B$5="Normal",'Control Room'!$B$7,('Control Room'!$B$8+'Control Room'!$D$8)/2))+SQRT(1-'Control Room'!$B$9^2)*(BB54-IF('Control Room'!$B$5="Normal",'Control Room'!$B$7,('Control Room'!$B$8+'Control Room'!$D$8)/2))</x:f>
        <x:v>882.9657298661665</x:v>
      </x:c>
      <x:c r="BD54" s="17" t="n">
        <x:f>IF(AND($A54&gt;='Control Room'!$A$13,$A54&lt;'Control Room'!$A$13+'Control Room'!$B$13,'Process'!BU2=1),1+('Control Room'!$C$13-1)*EXP(-0.5*(($A54-'Control Room'!$A$13-('Control Room'!$B$13-1)/2)/MAX(0.5,'Control Room'!$B$13/4))^2),1)*IF(AND($A54&gt;='Control Room'!$A$14,$A54&lt;'Control Room'!$A$14+'Control Room'!$B$14,'Process'!BU3=1),1+('Control Room'!$C$14-1)*EXP(-0.5*(($A54-'Control Room'!$A$14-('Control Room'!$B$14-1)/2)/MAX(0.5,'Control Room'!$B$14/4))^2),1)*IF(AND($A54&gt;='Control Room'!$A$15,$A54&lt;'Control Room'!$A$15+'Control Room'!$B$15,'Process'!BU4=1),1+('Control Room'!$C$15-1)*EXP(-0.5*(($A54-'Control Room'!$A$15-('Control Room'!$B$15-1)/2)/MAX(0.5,'Control Room'!$B$15/4))^2),1)*IF(AND($A54&gt;='Control Room'!$A$16,$A54&lt;'Control Room'!$A$16+'Control Room'!$B$16,'Process'!BU5=1),1+('Control Room'!$C$16-1)*EXP(-0.5*(($A54-'Control Room'!$A$16-('Control Room'!$B$16-1)/2)/MAX(0.5,'Control Room'!$B$16/4))^2),1)</x:f>
        <x:v>1</x:v>
      </x:c>
      <x:c r="BE54" s="9" t="n">
        <x:f>MOD(BF53*16807,2147483647)</x:f>
        <x:v>1567655359</x:v>
      </x:c>
      <x:c r="BF54" s="9" t="n">
        <x:f>MOD(BE54*16807,2147483647)</x:f>
        <x:v>106753670</x:v>
      </x:c>
      <x:c r="BG54" s="17" t="n">
        <x:f>IF('Control Room'!$B$5="Normal",'Control Room'!$B$7+'Control Room'!$D$7*SQRT(-2*LN(MAX(0.000000000001,BE54/2147483647)))*COS(2*PI()*BF54/2147483647),'Control Room'!$B$8+('Control Room'!$D$8-'Control Room'!$B$8)*BE54/2147483647)</x:f>
        <x:v>1067.9482704839756</x:v>
      </x:c>
      <x:c r="BH54" s="17" t="n">
        <x:f>IF('Control Room'!$B$5="Normal",'Control Room'!$B$7,('Control Room'!$B$8+'Control Room'!$D$8)/2)+'Control Room'!$B$9*(BH53-IF('Control Room'!$B$5="Normal",'Control Room'!$B$7,('Control Room'!$B$8+'Control Room'!$D$8)/2))+SQRT(1-'Control Room'!$B$9^2)*(BG54-IF('Control Room'!$B$5="Normal",'Control Room'!$B$7,('Control Room'!$B$8+'Control Room'!$D$8)/2))</x:f>
        <x:v>1063.435839820779</x:v>
      </x:c>
      <x:c r="BI54" s="17" t="n">
        <x:f>IF(AND($A54&gt;='Control Room'!$A$13,$A54&lt;'Control Room'!$A$13+'Control Room'!$B$13,'Process'!BV2=1),1+('Control Room'!$C$13-1)*EXP(-0.5*(($A54-'Control Room'!$A$13-('Control Room'!$B$13-1)/2)/MAX(0.5,'Control Room'!$B$13/4))^2),1)*IF(AND($A54&gt;='Control Room'!$A$14,$A54&lt;'Control Room'!$A$14+'Control Room'!$B$14,'Process'!BV3=1),1+('Control Room'!$C$14-1)*EXP(-0.5*(($A54-'Control Room'!$A$14-('Control Room'!$B$14-1)/2)/MAX(0.5,'Control Room'!$B$14/4))^2),1)*IF(AND($A54&gt;='Control Room'!$A$15,$A54&lt;'Control Room'!$A$15+'Control Room'!$B$15,'Process'!BV4=1),1+('Control Room'!$C$15-1)*EXP(-0.5*(($A54-'Control Room'!$A$15-('Control Room'!$B$15-1)/2)/MAX(0.5,'Control Room'!$B$15/4))^2),1)*IF(AND($A54&gt;='Control Room'!$A$16,$A54&lt;'Control Room'!$A$16+'Control Room'!$B$16,'Process'!BV5=1),1+('Control Room'!$C$16-1)*EXP(-0.5*(($A54-'Control Room'!$A$16-('Control Room'!$B$16-1)/2)/MAX(0.5,'Control Room'!$B$16/4))^2),1)</x:f>
        <x:v>1</x:v>
      </x:c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Z54" t="str">
        <x:f>IF('Data'!A54="","",TEXT('Data'!A54,"mm-dd"))</x:f>
        <x:v>12-24</x:v>
      </x:c>
    </x:row>
    <x:row r="55" ht="21" customHeight="1">
      <x:c r="A55" s="15" t="n">
        <x:f>'Control Room'!$B$1+53</x:f>
        <x:v>73044</x:v>
      </x:c>
      <x:c r="B55" s="9" t="n">
        <x:f>MOD(C54*16807,2147483647)</x:f>
        <x:v>1826271471</x:v>
      </x:c>
      <x:c r="C55" s="9" t="n">
        <x:f>MOD(B55*16807,2147483647)</x:f>
        <x:v>160846526</x:v>
      </x:c>
      <x:c r="D55" s="17" t="n">
        <x:f>IF('Control Room'!$B$5="Normal",'Control Room'!$B$7+'Control Room'!$D$7*SQRT(-2*LN(MAX(0.000000000001,B55/2147483647)))*COS(2*PI()*C55/2147483647),'Control Room'!$B$8+('Control Room'!$D$8-'Control Room'!$B$8)*B55/2147483647)</x:f>
        <x:v>1045.6627498220507</x:v>
      </x:c>
      <x:c r="E55" s="17" t="n">
        <x:f>IF('Control Room'!$B$5="Normal",'Control Room'!$B$7,('Control Room'!$B$8+'Control Room'!$D$8)/2)+'Control Room'!$B$9*(E54-IF('Control Room'!$B$5="Normal",'Control Room'!$B$7,('Control Room'!$B$8+'Control Room'!$D$8)/2))+SQRT(1-'Control Room'!$B$9^2)*(D55-IF('Control Room'!$B$5="Normal",'Control Room'!$B$7,('Control Room'!$B$8+'Control Room'!$D$8)/2))</x:f>
        <x:v>1037.892874378539</x:v>
      </x:c>
      <x:c r="F55" s="17" t="n">
        <x:f>IF(AND($A55&gt;='Control Room'!$A$13,$A55&lt;'Control Room'!$A$13+'Control Room'!$B$13,'Process'!BK2=1),1+('Control Room'!$C$13-1)*EXP(-0.5*(($A55-'Control Room'!$A$13-('Control Room'!$B$13-1)/2)/MAX(0.5,'Control Room'!$B$13/4))^2),1)*IF(AND($A55&gt;='Control Room'!$A$14,$A55&lt;'Control Room'!$A$14+'Control Room'!$B$14,'Process'!BK3=1),1+('Control Room'!$C$14-1)*EXP(-0.5*(($A55-'Control Room'!$A$14-('Control Room'!$B$14-1)/2)/MAX(0.5,'Control Room'!$B$14/4))^2),1)*IF(AND($A55&gt;='Control Room'!$A$15,$A55&lt;'Control Room'!$A$15+'Control Room'!$B$15,'Process'!BK4=1),1+('Control Room'!$C$15-1)*EXP(-0.5*(($A55-'Control Room'!$A$15-('Control Room'!$B$15-1)/2)/MAX(0.5,'Control Room'!$B$15/4))^2),1)*IF(AND($A55&gt;='Control Room'!$A$16,$A55&lt;'Control Room'!$A$16+'Control Room'!$B$16,'Process'!BK5=1),1+('Control Room'!$C$16-1)*EXP(-0.5*(($A55-'Control Room'!$A$16-('Control Room'!$B$16-1)/2)/MAX(0.5,'Control Room'!$B$16/4))^2),1)</x:f>
        <x:v>1</x:v>
      </x:c>
      <x:c r="G55" s="9" t="n">
        <x:f>MOD(H54*16807,2147483647)</x:f>
        <x:v>2147069859</x:v>
      </x:c>
      <x:c r="H55" s="9" t="n">
        <x:f>MOD(G55*16807,2147483647)</x:f>
        <x:v>1635399672</x:v>
      </x:c>
      <x:c r="I55" s="17" t="n">
        <x:f>IF('Control Room'!$B$5="Normal",'Control Room'!$B$7+'Control Room'!$D$7*SQRT(-2*LN(MAX(0.000000000001,G55/2147483647)))*COS(2*PI()*H55/2147483647),'Control Room'!$B$8+('Control Room'!$D$8-'Control Room'!$B$8)*G55/2147483647)</x:f>
        <x:v>1000.1280249282308</x:v>
      </x:c>
      <x:c r="J55" s="17" t="n">
        <x:f>IF('Control Room'!$B$5="Normal",'Control Room'!$B$7,('Control Room'!$B$8+'Control Room'!$D$8)/2)+'Control Room'!$B$9*(J54-IF('Control Room'!$B$5="Normal",'Control Room'!$B$7,('Control Room'!$B$8+'Control Room'!$D$8)/2))+SQRT(1-'Control Room'!$B$9^2)*(I55-IF('Control Room'!$B$5="Normal",'Control Room'!$B$7,('Control Room'!$B$8+'Control Room'!$D$8)/2))</x:f>
        <x:v>960.2947772762776</x:v>
      </x:c>
      <x:c r="K55" s="17" t="n">
        <x:f>IF(AND($A55&gt;='Control Room'!$A$13,$A55&lt;'Control Room'!$A$13+'Control Room'!$B$13,'Process'!BL2=1),1+('Control Room'!$C$13-1)*EXP(-0.5*(($A55-'Control Room'!$A$13-('Control Room'!$B$13-1)/2)/MAX(0.5,'Control Room'!$B$13/4))^2),1)*IF(AND($A55&gt;='Control Room'!$A$14,$A55&lt;'Control Room'!$A$14+'Control Room'!$B$14,'Process'!BL3=1),1+('Control Room'!$C$14-1)*EXP(-0.5*(($A55-'Control Room'!$A$14-('Control Room'!$B$14-1)/2)/MAX(0.5,'Control Room'!$B$14/4))^2),1)*IF(AND($A55&gt;='Control Room'!$A$15,$A55&lt;'Control Room'!$A$15+'Control Room'!$B$15,'Process'!BL4=1),1+('Control Room'!$C$15-1)*EXP(-0.5*(($A55-'Control Room'!$A$15-('Control Room'!$B$15-1)/2)/MAX(0.5,'Control Room'!$B$15/4))^2),1)*IF(AND($A55&gt;='Control Room'!$A$16,$A55&lt;'Control Room'!$A$16+'Control Room'!$B$16,'Process'!BL5=1),1+('Control Room'!$C$16-1)*EXP(-0.5*(($A55-'Control Room'!$A$16-('Control Room'!$B$16-1)/2)/MAX(0.5,'Control Room'!$B$16/4))^2),1)</x:f>
        <x:v>1</x:v>
      </x:c>
      <x:c r="L55" s="9" t="n">
        <x:f>MOD(M54*16807,2147483647)</x:f>
        <x:v>320384600</x:v>
      </x:c>
      <x:c r="M55" s="9" t="n">
        <x:f>MOD(L55*16807,2147483647)</x:f>
        <x:v>962469171</x:v>
      </x:c>
      <x:c r="N55" s="17" t="n">
        <x:f>IF('Control Room'!$B$5="Normal",'Control Room'!$B$7+'Control Room'!$D$7*SQRT(-2*LN(MAX(0.000000000001,L55/2147483647)))*COS(2*PI()*M55/2147483647),'Control Room'!$B$8+('Control Room'!$D$8-'Control Room'!$B$8)*L55/2147483647)</x:f>
        <x:v>833.6630574314822</x:v>
      </x:c>
      <x:c r="O55" s="17" t="n">
        <x:f>IF('Control Room'!$B$5="Normal",'Control Room'!$B$7,('Control Room'!$B$8+'Control Room'!$D$8)/2)+'Control Room'!$B$9*(O54-IF('Control Room'!$B$5="Normal",'Control Room'!$B$7,('Control Room'!$B$8+'Control Room'!$D$8)/2))+SQRT(1-'Control Room'!$B$9^2)*(N55-IF('Control Room'!$B$5="Normal",'Control Room'!$B$7,('Control Room'!$B$8+'Control Room'!$D$8)/2))</x:f>
        <x:v>879.2421414862672</x:v>
      </x:c>
      <x:c r="P55" s="17" t="n">
        <x:f>IF(AND($A55&gt;='Control Room'!$A$13,$A55&lt;'Control Room'!$A$13+'Control Room'!$B$13,'Process'!BM2=1),1+('Control Room'!$C$13-1)*EXP(-0.5*(($A55-'Control Room'!$A$13-('Control Room'!$B$13-1)/2)/MAX(0.5,'Control Room'!$B$13/4))^2),1)*IF(AND($A55&gt;='Control Room'!$A$14,$A55&lt;'Control Room'!$A$14+'Control Room'!$B$14,'Process'!BM3=1),1+('Control Room'!$C$14-1)*EXP(-0.5*(($A55-'Control Room'!$A$14-('Control Room'!$B$14-1)/2)/MAX(0.5,'Control Room'!$B$14/4))^2),1)*IF(AND($A55&gt;='Control Room'!$A$15,$A55&lt;'Control Room'!$A$15+'Control Room'!$B$15,'Process'!BM4=1),1+('Control Room'!$C$15-1)*EXP(-0.5*(($A55-'Control Room'!$A$15-('Control Room'!$B$15-1)/2)/MAX(0.5,'Control Room'!$B$15/4))^2),1)*IF(AND($A55&gt;='Control Room'!$A$16,$A55&lt;'Control Room'!$A$16+'Control Room'!$B$16,'Process'!BM5=1),1+('Control Room'!$C$16-1)*EXP(-0.5*(($A55-'Control Room'!$A$16-('Control Room'!$B$16-1)/2)/MAX(0.5,'Control Room'!$B$16/4))^2),1)</x:f>
        <x:v>1</x:v>
      </x:c>
      <x:c r="Q55" s="9" t="n">
        <x:f>MOD(R54*16807,2147483647)</x:f>
        <x:v>641182988</x:v>
      </x:c>
      <x:c r="R55" s="9" t="n">
        <x:f>MOD(Q55*16807,2147483647)</x:f>
        <x:v>289538670</x:v>
      </x:c>
      <x:c r="S55" s="17" t="n">
        <x:f>IF('Control Room'!$B$5="Normal",'Control Room'!$B$7+'Control Room'!$D$7*SQRT(-2*LN(MAX(0.000000000001,Q55/2147483647)))*COS(2*PI()*R55/2147483647),'Control Room'!$B$8+('Control Room'!$D$8-'Control Room'!$B$8)*Q55/2147483647)</x:f>
        <x:v>1092.6541313981797</x:v>
      </x:c>
      <x:c r="T55" s="17" t="n">
        <x:f>IF('Control Room'!$B$5="Normal",'Control Room'!$B$7,('Control Room'!$B$8+'Control Room'!$D$8)/2)+'Control Room'!$B$9*(T54-IF('Control Room'!$B$5="Normal",'Control Room'!$B$7,('Control Room'!$B$8+'Control Room'!$D$8)/2))+SQRT(1-'Control Room'!$B$9^2)*(S55-IF('Control Room'!$B$5="Normal",'Control Room'!$B$7,('Control Room'!$B$8+'Control Room'!$D$8)/2))</x:f>
        <x:v>1030.3370485572418</x:v>
      </x:c>
      <x:c r="U55" s="17" t="n">
        <x:f>IF(AND($A55&gt;='Control Room'!$A$13,$A55&lt;'Control Room'!$A$13+'Control Room'!$B$13,'Process'!BN2=1),1+('Control Room'!$C$13-1)*EXP(-0.5*(($A55-'Control Room'!$A$13-('Control Room'!$B$13-1)/2)/MAX(0.5,'Control Room'!$B$13/4))^2),1)*IF(AND($A55&gt;='Control Room'!$A$14,$A55&lt;'Control Room'!$A$14+'Control Room'!$B$14,'Process'!BN3=1),1+('Control Room'!$C$14-1)*EXP(-0.5*(($A55-'Control Room'!$A$14-('Control Room'!$B$14-1)/2)/MAX(0.5,'Control Room'!$B$14/4))^2),1)*IF(AND($A55&gt;='Control Room'!$A$15,$A55&lt;'Control Room'!$A$15+'Control Room'!$B$15,'Process'!BN4=1),1+('Control Room'!$C$15-1)*EXP(-0.5*(($A55-'Control Room'!$A$15-('Control Room'!$B$15-1)/2)/MAX(0.5,'Control Room'!$B$15/4))^2),1)*IF(AND($A55&gt;='Control Room'!$A$16,$A55&lt;'Control Room'!$A$16+'Control Room'!$B$16,'Process'!BN5=1),1+('Control Room'!$C$16-1)*EXP(-0.5*(($A55-'Control Room'!$A$16-('Control Room'!$B$16-1)/2)/MAX(0.5,'Control Room'!$B$16/4))^2),1)</x:f>
        <x:v>1</x:v>
      </x:c>
      <x:c r="V55" s="9" t="n">
        <x:f>MOD(W54*16807,2147483647)</x:f>
        <x:v>961981376</x:v>
      </x:c>
      <x:c r="W55" s="9" t="n">
        <x:f>MOD(V55*16807,2147483647)</x:f>
        <x:v>1764091816</x:v>
      </x:c>
      <x:c r="X55" s="17" t="n">
        <x:f>IF('Control Room'!$B$5="Normal",'Control Room'!$B$7+'Control Room'!$D$7*SQRT(-2*LN(MAX(0.000000000001,V55/2147483647)))*COS(2*PI()*W55/2147483647),'Control Room'!$B$8+('Control Room'!$D$8-'Control Room'!$B$8)*V55/2147483647)</x:f>
        <x:v>1049.5147474444193</x:v>
      </x:c>
      <x:c r="Y55" s="17" t="n">
        <x:f>IF('Control Room'!$B$5="Normal",'Control Room'!$B$7,('Control Room'!$B$8+'Control Room'!$D$8)/2)+'Control Room'!$B$9*(Y54-IF('Control Room'!$B$5="Normal",'Control Room'!$B$7,('Control Room'!$B$8+'Control Room'!$D$8)/2))+SQRT(1-'Control Room'!$B$9^2)*(X55-IF('Control Room'!$B$5="Normal",'Control Room'!$B$7,('Control Room'!$B$8+'Control Room'!$D$8)/2))</x:f>
        <x:v>1105.8534743310008</x:v>
      </x:c>
      <x:c r="Z55" s="17" t="n">
        <x:f>IF(AND($A55&gt;='Control Room'!$A$13,$A55&lt;'Control Room'!$A$13+'Control Room'!$B$13,'Process'!BO2=1),1+('Control Room'!$C$13-1)*EXP(-0.5*(($A55-'Control Room'!$A$13-('Control Room'!$B$13-1)/2)/MAX(0.5,'Control Room'!$B$13/4))^2),1)*IF(AND($A55&gt;='Control Room'!$A$14,$A55&lt;'Control Room'!$A$14+'Control Room'!$B$14,'Process'!BO3=1),1+('Control Room'!$C$14-1)*EXP(-0.5*(($A55-'Control Room'!$A$14-('Control Room'!$B$14-1)/2)/MAX(0.5,'Control Room'!$B$14/4))^2),1)*IF(AND($A55&gt;='Control Room'!$A$15,$A55&lt;'Control Room'!$A$15+'Control Room'!$B$15,'Process'!BO4=1),1+('Control Room'!$C$15-1)*EXP(-0.5*(($A55-'Control Room'!$A$15-('Control Room'!$B$15-1)/2)/MAX(0.5,'Control Room'!$B$15/4))^2),1)*IF(AND($A55&gt;='Control Room'!$A$16,$A55&lt;'Control Room'!$A$16+'Control Room'!$B$16,'Process'!BO5=1),1+('Control Room'!$C$16-1)*EXP(-0.5*(($A55-'Control Room'!$A$16-('Control Room'!$B$16-1)/2)/MAX(0.5,'Control Room'!$B$16/4))^2),1)</x:f>
        <x:v>1</x:v>
      </x:c>
      <x:c r="AA55" s="9" t="n">
        <x:f>MOD(AB54*16807,2147483647)</x:f>
        <x:v>1282779764</x:v>
      </x:c>
      <x:c r="AB55" s="9" t="n">
        <x:f>MOD(AA55*16807,2147483647)</x:f>
        <x:v>1091161315</x:v>
      </x:c>
      <x:c r="AC55" s="17" t="n">
        <x:f>IF('Control Room'!$B$5="Normal",'Control Room'!$B$7+'Control Room'!$D$7*SQRT(-2*LN(MAX(0.000000000001,AA55/2147483647)))*COS(2*PI()*AB55/2147483647),'Control Room'!$B$8+('Control Room'!$D$8-'Control Room'!$B$8)*AA55/2147483647)</x:f>
        <x:v>908.7549080011381</x:v>
      </x:c>
      <x:c r="AD55" s="17" t="n">
        <x:f>IF('Control Room'!$B$5="Normal",'Control Room'!$B$7,('Control Room'!$B$8+'Control Room'!$D$8)/2)+'Control Room'!$B$9*(AD54-IF('Control Room'!$B$5="Normal",'Control Room'!$B$7,('Control Room'!$B$8+'Control Room'!$D$8)/2))+SQRT(1-'Control Room'!$B$9^2)*(AC55-IF('Control Room'!$B$5="Normal",'Control Room'!$B$7,('Control Room'!$B$8+'Control Room'!$D$8)/2))</x:f>
        <x:v>1006.4830036343384</x:v>
      </x:c>
      <x:c r="AE55" s="17" t="n">
        <x:f>IF(AND($A55&gt;='Control Room'!$A$13,$A55&lt;'Control Room'!$A$13+'Control Room'!$B$13,'Process'!BP2=1),1+('Control Room'!$C$13-1)*EXP(-0.5*(($A55-'Control Room'!$A$13-('Control Room'!$B$13-1)/2)/MAX(0.5,'Control Room'!$B$13/4))^2),1)*IF(AND($A55&gt;='Control Room'!$A$14,$A55&lt;'Control Room'!$A$14+'Control Room'!$B$14,'Process'!BP3=1),1+('Control Room'!$C$14-1)*EXP(-0.5*(($A55-'Control Room'!$A$14-('Control Room'!$B$14-1)/2)/MAX(0.5,'Control Room'!$B$14/4))^2),1)*IF(AND($A55&gt;='Control Room'!$A$15,$A55&lt;'Control Room'!$A$15+'Control Room'!$B$15,'Process'!BP4=1),1+('Control Room'!$C$15-1)*EXP(-0.5*(($A55-'Control Room'!$A$15-('Control Room'!$B$15-1)/2)/MAX(0.5,'Control Room'!$B$15/4))^2),1)*IF(AND($A55&gt;='Control Room'!$A$16,$A55&lt;'Control Room'!$A$16+'Control Room'!$B$16,'Process'!BP5=1),1+('Control Room'!$C$16-1)*EXP(-0.5*(($A55-'Control Room'!$A$16-('Control Room'!$B$16-1)/2)/MAX(0.5,'Control Room'!$B$16/4))^2),1)</x:f>
        <x:v>1</x:v>
      </x:c>
      <x:c r="AF55" s="9" t="n">
        <x:f>MOD(AG54*16807,2147483647)</x:f>
        <x:v>1603578152</x:v>
      </x:c>
      <x:c r="AG55" s="9" t="n">
        <x:f>MOD(AF55*16807,2147483647)</x:f>
        <x:v>418230814</x:v>
      </x:c>
      <x:c r="AH55" s="17" t="n">
        <x:f>IF('Control Room'!$B$5="Normal",'Control Room'!$B$7+'Control Room'!$D$7*SQRT(-2*LN(MAX(0.000000000001,AF55/2147483647)))*COS(2*PI()*AG55/2147483647),'Control Room'!$B$8+('Control Room'!$D$8-'Control Room'!$B$8)*AF55/2147483647)</x:f>
        <x:v>1023.4000947011787</x:v>
      </x:c>
      <x:c r="AI55" s="17" t="n">
        <x:f>IF('Control Room'!$B$5="Normal",'Control Room'!$B$7,('Control Room'!$B$8+'Control Room'!$D$8)/2)+'Control Room'!$B$9*(AI54-IF('Control Room'!$B$5="Normal",'Control Room'!$B$7,('Control Room'!$B$8+'Control Room'!$D$8)/2))+SQRT(1-'Control Room'!$B$9^2)*(AH55-IF('Control Room'!$B$5="Normal",'Control Room'!$B$7,('Control Room'!$B$8+'Control Room'!$D$8)/2))</x:f>
        <x:v>1126.7864240125323</x:v>
      </x:c>
      <x:c r="AJ55" s="17" t="n">
        <x:f>IF(AND($A55&gt;='Control Room'!$A$13,$A55&lt;'Control Room'!$A$13+'Control Room'!$B$13,'Process'!BQ2=1),1+('Control Room'!$C$13-1)*EXP(-0.5*(($A55-'Control Room'!$A$13-('Control Room'!$B$13-1)/2)/MAX(0.5,'Control Room'!$B$13/4))^2),1)*IF(AND($A55&gt;='Control Room'!$A$14,$A55&lt;'Control Room'!$A$14+'Control Room'!$B$14,'Process'!BQ3=1),1+('Control Room'!$C$14-1)*EXP(-0.5*(($A55-'Control Room'!$A$14-('Control Room'!$B$14-1)/2)/MAX(0.5,'Control Room'!$B$14/4))^2),1)*IF(AND($A55&gt;='Control Room'!$A$15,$A55&lt;'Control Room'!$A$15+'Control Room'!$B$15,'Process'!BQ4=1),1+('Control Room'!$C$15-1)*EXP(-0.5*(($A55-'Control Room'!$A$15-('Control Room'!$B$15-1)/2)/MAX(0.5,'Control Room'!$B$15/4))^2),1)*IF(AND($A55&gt;='Control Room'!$A$16,$A55&lt;'Control Room'!$A$16+'Control Room'!$B$16,'Process'!BQ5=1),1+('Control Room'!$C$16-1)*EXP(-0.5*(($A55-'Control Room'!$A$16-('Control Room'!$B$16-1)/2)/MAX(0.5,'Control Room'!$B$16/4))^2),1)</x:f>
        <x:v>1</x:v>
      </x:c>
      <x:c r="AK55" s="9" t="n">
        <x:f>MOD(AL54*16807,2147483647)</x:f>
        <x:v>1924376540</x:v>
      </x:c>
      <x:c r="AL55" s="9" t="n">
        <x:f>MOD(AK55*16807,2147483647)</x:f>
        <x:v>1892783960</x:v>
      </x:c>
      <x:c r="AM55" s="17" t="n">
        <x:f>IF('Control Room'!$B$5="Normal",'Control Room'!$B$7+'Control Room'!$D$7*SQRT(-2*LN(MAX(0.000000000001,AK55/2147483647)))*COS(2*PI()*AL55/2147483647),'Control Room'!$B$8+('Control Room'!$D$8-'Control Room'!$B$8)*AK55/2147483647)</x:f>
        <x:v>1030.9817318050195</x:v>
      </x:c>
      <x:c r="AN55" s="17" t="n">
        <x:f>IF('Control Room'!$B$5="Normal",'Control Room'!$B$7,('Control Room'!$B$8+'Control Room'!$D$8)/2)+'Control Room'!$B$9*(AN54-IF('Control Room'!$B$5="Normal",'Control Room'!$B$7,('Control Room'!$B$8+'Control Room'!$D$8)/2))+SQRT(1-'Control Room'!$B$9^2)*(AM55-IF('Control Room'!$B$5="Normal",'Control Room'!$B$7,('Control Room'!$B$8+'Control Room'!$D$8)/2))</x:f>
        <x:v>1064.5564764182593</x:v>
      </x:c>
      <x:c r="AO55" s="17" t="n">
        <x:f>IF(AND($A55&gt;='Control Room'!$A$13,$A55&lt;'Control Room'!$A$13+'Control Room'!$B$13,'Process'!BR2=1),1+('Control Room'!$C$13-1)*EXP(-0.5*(($A55-'Control Room'!$A$13-('Control Room'!$B$13-1)/2)/MAX(0.5,'Control Room'!$B$13/4))^2),1)*IF(AND($A55&gt;='Control Room'!$A$14,$A55&lt;'Control Room'!$A$14+'Control Room'!$B$14,'Process'!BR3=1),1+('Control Room'!$C$14-1)*EXP(-0.5*(($A55-'Control Room'!$A$14-('Control Room'!$B$14-1)/2)/MAX(0.5,'Control Room'!$B$14/4))^2),1)*IF(AND($A55&gt;='Control Room'!$A$15,$A55&lt;'Control Room'!$A$15+'Control Room'!$B$15,'Process'!BR4=1),1+('Control Room'!$C$15-1)*EXP(-0.5*(($A55-'Control Room'!$A$15-('Control Room'!$B$15-1)/2)/MAX(0.5,'Control Room'!$B$15/4))^2),1)*IF(AND($A55&gt;='Control Room'!$A$16,$A55&lt;'Control Room'!$A$16+'Control Room'!$B$16,'Process'!BR5=1),1+('Control Room'!$C$16-1)*EXP(-0.5*(($A55-'Control Room'!$A$16-('Control Room'!$B$16-1)/2)/MAX(0.5,'Control Room'!$B$16/4))^2),1)</x:f>
        <x:v>1</x:v>
      </x:c>
      <x:c r="AP55" s="9" t="n">
        <x:f>MOD(AQ54*16807,2147483647)</x:f>
        <x:v>97691281</x:v>
      </x:c>
      <x:c r="AQ55" s="9" t="n">
        <x:f>MOD(AP55*16807,2147483647)</x:f>
        <x:v>1219853459</x:v>
      </x:c>
      <x:c r="AR55" s="17" t="n">
        <x:f>IF('Control Room'!$B$5="Normal",'Control Room'!$B$7+'Control Room'!$D$7*SQRT(-2*LN(MAX(0.000000000001,AP55/2147483647)))*COS(2*PI()*AQ55/2147483647),'Control Room'!$B$8+('Control Room'!$D$8-'Control Room'!$B$8)*AP55/2147483647)</x:f>
        <x:v>796.3906731990817</x:v>
      </x:c>
      <x:c r="AS55" s="17" t="n">
        <x:f>IF('Control Room'!$B$5="Normal",'Control Room'!$B$7,('Control Room'!$B$8+'Control Room'!$D$8)/2)+'Control Room'!$B$9*(AS54-IF('Control Room'!$B$5="Normal",'Control Room'!$B$7,('Control Room'!$B$8+'Control Room'!$D$8)/2))+SQRT(1-'Control Room'!$B$9^2)*(AR55-IF('Control Room'!$B$5="Normal",'Control Room'!$B$7,('Control Room'!$B$8+'Control Room'!$D$8)/2))</x:f>
        <x:v>828.9641145046488</x:v>
      </x:c>
      <x:c r="AT55" s="17" t="n">
        <x:f>IF(AND($A55&gt;='Control Room'!$A$13,$A55&lt;'Control Room'!$A$13+'Control Room'!$B$13,'Process'!BS2=1),1+('Control Room'!$C$13-1)*EXP(-0.5*(($A55-'Control Room'!$A$13-('Control Room'!$B$13-1)/2)/MAX(0.5,'Control Room'!$B$13/4))^2),1)*IF(AND($A55&gt;='Control Room'!$A$14,$A55&lt;'Control Room'!$A$14+'Control Room'!$B$14,'Process'!BS3=1),1+('Control Room'!$C$14-1)*EXP(-0.5*(($A55-'Control Room'!$A$14-('Control Room'!$B$14-1)/2)/MAX(0.5,'Control Room'!$B$14/4))^2),1)*IF(AND($A55&gt;='Control Room'!$A$15,$A55&lt;'Control Room'!$A$15+'Control Room'!$B$15,'Process'!BS4=1),1+('Control Room'!$C$15-1)*EXP(-0.5*(($A55-'Control Room'!$A$15-('Control Room'!$B$15-1)/2)/MAX(0.5,'Control Room'!$B$15/4))^2),1)*IF(AND($A55&gt;='Control Room'!$A$16,$A55&lt;'Control Room'!$A$16+'Control Room'!$B$16,'Process'!BS5=1),1+('Control Room'!$C$16-1)*EXP(-0.5*(($A55-'Control Room'!$A$16-('Control Room'!$B$16-1)/2)/MAX(0.5,'Control Room'!$B$16/4))^2),1)</x:f>
        <x:v>1</x:v>
      </x:c>
      <x:c r="AU55" s="9" t="n">
        <x:f>MOD(AV54*16807,2147483647)</x:f>
        <x:v>418489669</x:v>
      </x:c>
      <x:c r="AV55" s="9" t="n">
        <x:f>MOD(AU55*16807,2147483647)</x:f>
        <x:v>546922958</x:v>
      </x:c>
      <x:c r="AW55" s="17" t="n">
        <x:f>IF('Control Room'!$B$5="Normal",'Control Room'!$B$7+'Control Room'!$D$7*SQRT(-2*LN(MAX(0.000000000001,AU55/2147483647)))*COS(2*PI()*AV55/2147483647),'Control Room'!$B$8+('Control Room'!$D$8-'Control Room'!$B$8)*AU55/2147483647)</x:f>
        <x:v>995.2135739703189</x:v>
      </x:c>
      <x:c r="AX55" s="17" t="n">
        <x:f>IF('Control Room'!$B$5="Normal",'Control Room'!$B$7,('Control Room'!$B$8+'Control Room'!$D$8)/2)+'Control Room'!$B$9*(AX54-IF('Control Room'!$B$5="Normal",'Control Room'!$B$7,('Control Room'!$B$8+'Control Room'!$D$8)/2))+SQRT(1-'Control Room'!$B$9^2)*(AW55-IF('Control Room'!$B$5="Normal",'Control Room'!$B$7,('Control Room'!$B$8+'Control Room'!$D$8)/2))</x:f>
        <x:v>1029.5962031234099</x:v>
      </x:c>
      <x:c r="AY55" s="17" t="n">
        <x:f>IF(AND($A55&gt;='Control Room'!$A$13,$A55&lt;'Control Room'!$A$13+'Control Room'!$B$13,'Process'!BT2=1),1+('Control Room'!$C$13-1)*EXP(-0.5*(($A55-'Control Room'!$A$13-('Control Room'!$B$13-1)/2)/MAX(0.5,'Control Room'!$B$13/4))^2),1)*IF(AND($A55&gt;='Control Room'!$A$14,$A55&lt;'Control Room'!$A$14+'Control Room'!$B$14,'Process'!BT3=1),1+('Control Room'!$C$14-1)*EXP(-0.5*(($A55-'Control Room'!$A$14-('Control Room'!$B$14-1)/2)/MAX(0.5,'Control Room'!$B$14/4))^2),1)*IF(AND($A55&gt;='Control Room'!$A$15,$A55&lt;'Control Room'!$A$15+'Control Room'!$B$15,'Process'!BT4=1),1+('Control Room'!$C$15-1)*EXP(-0.5*(($A55-'Control Room'!$A$15-('Control Room'!$B$15-1)/2)/MAX(0.5,'Control Room'!$B$15/4))^2),1)*IF(AND($A55&gt;='Control Room'!$A$16,$A55&lt;'Control Room'!$A$16+'Control Room'!$B$16,'Process'!BT5=1),1+('Control Room'!$C$16-1)*EXP(-0.5*(($A55-'Control Room'!$A$16-('Control Room'!$B$16-1)/2)/MAX(0.5,'Control Room'!$B$16/4))^2),1)</x:f>
        <x:v>1</x:v>
      </x:c>
      <x:c r="AZ55" s="9" t="n">
        <x:f>MOD(BA54*16807,2147483647)</x:f>
        <x:v>739288057</x:v>
      </x:c>
      <x:c r="BA55" s="9" t="n">
        <x:f>MOD(AZ55*16807,2147483647)</x:f>
        <x:v>2021476104</x:v>
      </x:c>
      <x:c r="BB55" s="17" t="n">
        <x:f>IF('Control Room'!$B$5="Normal",'Control Room'!$B$7+'Control Room'!$D$7*SQRT(-2*LN(MAX(0.000000000001,AZ55/2147483647)))*COS(2*PI()*BA55/2147483647),'Control Room'!$B$8+('Control Room'!$D$8-'Control Room'!$B$8)*AZ55/2147483647)</x:f>
        <x:v>1122.6029995420784</x:v>
      </x:c>
      <x:c r="BC55" s="17" t="n">
        <x:f>IF('Control Room'!$B$5="Normal",'Control Room'!$B$7,('Control Room'!$B$8+'Control Room'!$D$8)/2)+'Control Room'!$B$9*(BC54-IF('Control Room'!$B$5="Normal",'Control Room'!$B$7,('Control Room'!$B$8+'Control Room'!$D$8)/2))+SQRT(1-'Control Room'!$B$9^2)*(BB55-IF('Control Room'!$B$5="Normal",'Control Room'!$B$7,('Control Room'!$B$8+'Control Room'!$D$8)/2))</x:f>
        <x:v>985.435714750076</x:v>
      </x:c>
      <x:c r="BD55" s="17" t="n">
        <x:f>IF(AND($A55&gt;='Control Room'!$A$13,$A55&lt;'Control Room'!$A$13+'Control Room'!$B$13,'Process'!BU2=1),1+('Control Room'!$C$13-1)*EXP(-0.5*(($A55-'Control Room'!$A$13-('Control Room'!$B$13-1)/2)/MAX(0.5,'Control Room'!$B$13/4))^2),1)*IF(AND($A55&gt;='Control Room'!$A$14,$A55&lt;'Control Room'!$A$14+'Control Room'!$B$14,'Process'!BU3=1),1+('Control Room'!$C$14-1)*EXP(-0.5*(($A55-'Control Room'!$A$14-('Control Room'!$B$14-1)/2)/MAX(0.5,'Control Room'!$B$14/4))^2),1)*IF(AND($A55&gt;='Control Room'!$A$15,$A55&lt;'Control Room'!$A$15+'Control Room'!$B$15,'Process'!BU4=1),1+('Control Room'!$C$15-1)*EXP(-0.5*(($A55-'Control Room'!$A$15-('Control Room'!$B$15-1)/2)/MAX(0.5,'Control Room'!$B$15/4))^2),1)*IF(AND($A55&gt;='Control Room'!$A$16,$A55&lt;'Control Room'!$A$16+'Control Room'!$B$16,'Process'!BU5=1),1+('Control Room'!$C$16-1)*EXP(-0.5*(($A55-'Control Room'!$A$16-('Control Room'!$B$16-1)/2)/MAX(0.5,'Control Room'!$B$16/4))^2),1)</x:f>
        <x:v>1</x:v>
      </x:c>
      <x:c r="BE55" s="9" t="n">
        <x:f>MOD(BF54*16807,2147483647)</x:f>
        <x:v>1060086445</x:v>
      </x:c>
      <x:c r="BF55" s="9" t="n">
        <x:f>MOD(BE55*16807,2147483647)</x:f>
        <x:v>1348545603</x:v>
      </x:c>
      <x:c r="BG55" s="17" t="n">
        <x:f>IF('Control Room'!$B$5="Normal",'Control Room'!$B$7+'Control Room'!$D$7*SQRT(-2*LN(MAX(0.000000000001,BE55/2147483647)))*COS(2*PI()*BF55/2147483647),'Control Room'!$B$8+('Control Room'!$D$8-'Control Room'!$B$8)*BE55/2147483647)</x:f>
        <x:v>925.8034704981728</x:v>
      </x:c>
      <x:c r="BH55" s="17" t="n">
        <x:f>IF('Control Room'!$B$5="Normal",'Control Room'!$B$7,('Control Room'!$B$8+'Control Room'!$D$8)/2)+'Control Room'!$B$9*(BH54-IF('Control Room'!$B$5="Normal",'Control Room'!$B$7,('Control Room'!$B$8+'Control Room'!$D$8)/2))+SQRT(1-'Control Room'!$B$9^2)*(BG55-IF('Control Room'!$B$5="Normal",'Control Room'!$B$7,('Control Room'!$B$8+'Control Room'!$D$8)/2))</x:f>
        <x:v>1003.0492868964903</x:v>
      </x:c>
      <x:c r="BI55" s="17" t="n">
        <x:f>IF(AND($A55&gt;='Control Room'!$A$13,$A55&lt;'Control Room'!$A$13+'Control Room'!$B$13,'Process'!BV2=1),1+('Control Room'!$C$13-1)*EXP(-0.5*(($A55-'Control Room'!$A$13-('Control Room'!$B$13-1)/2)/MAX(0.5,'Control Room'!$B$13/4))^2),1)*IF(AND($A55&gt;='Control Room'!$A$14,$A55&lt;'Control Room'!$A$14+'Control Room'!$B$14,'Process'!BV3=1),1+('Control Room'!$C$14-1)*EXP(-0.5*(($A55-'Control Room'!$A$14-('Control Room'!$B$14-1)/2)/MAX(0.5,'Control Room'!$B$14/4))^2),1)*IF(AND($A55&gt;='Control Room'!$A$15,$A55&lt;'Control Room'!$A$15+'Control Room'!$B$15,'Process'!BV4=1),1+('Control Room'!$C$15-1)*EXP(-0.5*(($A55-'Control Room'!$A$15-('Control Room'!$B$15-1)/2)/MAX(0.5,'Control Room'!$B$15/4))^2),1)*IF(AND($A55&gt;='Control Room'!$A$16,$A55&lt;'Control Room'!$A$16+'Control Room'!$B$16,'Process'!BV5=1),1+('Control Room'!$C$16-1)*EXP(-0.5*(($A55-'Control Room'!$A$16-('Control Room'!$B$16-1)/2)/MAX(0.5,'Control Room'!$B$16/4))^2),1)</x:f>
        <x:v>1</x:v>
      </x:c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Z55" t="str">
        <x:f>IF('Data'!A55="","",TEXT('Data'!A55,"mm-dd"))</x:f>
        <x:v>12-25</x:v>
      </x:c>
    </x:row>
    <x:row r="56" ht="21" customHeight="1">
      <x:c r="A56" s="15" t="n">
        <x:f>'Control Room'!$B$1+54</x:f>
        <x:v>73045</x:v>
      </x:c>
      <x:c r="B56" s="9" t="n">
        <x:f>MOD(C55*16807,2147483647)</x:f>
        <x:v>1813134556</x:v>
      </x:c>
      <x:c r="C56" s="9" t="n">
        <x:f>MOD(B56*16807,2147483647)</x:f>
        <x:v>559531762</x:v>
      </x:c>
      <x:c r="D56" s="17" t="n">
        <x:f>IF('Control Room'!$B$5="Normal",'Control Room'!$B$7+'Control Room'!$D$7*SQRT(-2*LN(MAX(0.000000000001,B56/2147483647)))*COS(2*PI()*C56/2147483647),'Control Room'!$B$8+('Control Room'!$D$8-'Control Room'!$B$8)*B56/2147483647)</x:f>
        <x:v>996.5309026453289</x:v>
      </x:c>
      <x:c r="E56" s="17" t="n">
        <x:f>IF('Control Room'!$B$5="Normal",'Control Room'!$B$7,('Control Room'!$B$8+'Control Room'!$D$8)/2)+'Control Room'!$B$9*(E55-IF('Control Room'!$B$5="Normal",'Control Room'!$B$7,('Control Room'!$B$8+'Control Room'!$D$8)/2))+SQRT(1-'Control Room'!$B$9^2)*(D56-IF('Control Room'!$B$5="Normal",'Control Room'!$B$7,('Control Room'!$B$8+'Control Room'!$D$8)/2))</x:f>
        <x:v>1027.3855519590295</x:v>
      </x:c>
      <x:c r="F56" s="17" t="n">
        <x:f>IF(AND($A56&gt;='Control Room'!$A$13,$A56&lt;'Control Room'!$A$13+'Control Room'!$B$13,'Process'!BK2=1),1+('Control Room'!$C$13-1)*EXP(-0.5*(($A56-'Control Room'!$A$13-('Control Room'!$B$13-1)/2)/MAX(0.5,'Control Room'!$B$13/4))^2),1)*IF(AND($A56&gt;='Control Room'!$A$14,$A56&lt;'Control Room'!$A$14+'Control Room'!$B$14,'Process'!BK3=1),1+('Control Room'!$C$14-1)*EXP(-0.5*(($A56-'Control Room'!$A$14-('Control Room'!$B$14-1)/2)/MAX(0.5,'Control Room'!$B$14/4))^2),1)*IF(AND($A56&gt;='Control Room'!$A$15,$A56&lt;'Control Room'!$A$15+'Control Room'!$B$15,'Process'!BK4=1),1+('Control Room'!$C$15-1)*EXP(-0.5*(($A56-'Control Room'!$A$15-('Control Room'!$B$15-1)/2)/MAX(0.5,'Control Room'!$B$15/4))^2),1)*IF(AND($A56&gt;='Control Room'!$A$16,$A56&lt;'Control Room'!$A$16+'Control Room'!$B$16,'Process'!BK5=1),1+('Control Room'!$C$16-1)*EXP(-0.5*(($A56-'Control Room'!$A$16-('Control Room'!$B$16-1)/2)/MAX(0.5,'Control Room'!$B$16/4))^2),1)</x:f>
        <x:v>1</x:v>
      </x:c>
      <x:c r="G56" s="9" t="n">
        <x:f>MOD(H55*16807,2147483647)</x:f>
        <x:v>519089351</x:v>
      </x:c>
      <x:c r="H56" s="9" t="n">
        <x:f>MOD(G56*16807,2147483647)</x:f>
        <x:v>1256148143</x:v>
      </x:c>
      <x:c r="I56" s="17" t="n">
        <x:f>IF('Control Room'!$B$5="Normal",'Control Room'!$B$7+'Control Room'!$D$7*SQRT(-2*LN(MAX(0.000000000001,G56/2147483647)))*COS(2*PI()*H56/2147483647),'Control Room'!$B$8+('Control Room'!$D$8-'Control Room'!$B$8)*G56/2147483647)</x:f>
        <x:v>869.4224512679697</x:v>
      </x:c>
      <x:c r="J56" s="17" t="n">
        <x:f>IF('Control Room'!$B$5="Normal",'Control Room'!$B$7,('Control Room'!$B$8+'Control Room'!$D$8)/2)+'Control Room'!$B$9*(J55-IF('Control Room'!$B$5="Normal",'Control Room'!$B$7,('Control Room'!$B$8+'Control Room'!$D$8)/2))+SQRT(1-'Control Room'!$B$9^2)*(I56-IF('Control Room'!$B$5="Normal",'Control Room'!$B$7,('Control Room'!$B$8+'Control Room'!$D$8)/2))</x:f>
        <x:v>887.3171713054784</x:v>
      </x:c>
      <x:c r="K56" s="17" t="n">
        <x:f>IF(AND($A56&gt;='Control Room'!$A$13,$A56&lt;'Control Room'!$A$13+'Control Room'!$B$13,'Process'!BL2=1),1+('Control Room'!$C$13-1)*EXP(-0.5*(($A56-'Control Room'!$A$13-('Control Room'!$B$13-1)/2)/MAX(0.5,'Control Room'!$B$13/4))^2),1)*IF(AND($A56&gt;='Control Room'!$A$14,$A56&lt;'Control Room'!$A$14+'Control Room'!$B$14,'Process'!BL3=1),1+('Control Room'!$C$14-1)*EXP(-0.5*(($A56-'Control Room'!$A$14-('Control Room'!$B$14-1)/2)/MAX(0.5,'Control Room'!$B$14/4))^2),1)*IF(AND($A56&gt;='Control Room'!$A$15,$A56&lt;'Control Room'!$A$15+'Control Room'!$B$15,'Process'!BL4=1),1+('Control Room'!$C$15-1)*EXP(-0.5*(($A56-'Control Room'!$A$15-('Control Room'!$B$15-1)/2)/MAX(0.5,'Control Room'!$B$15/4))^2),1)*IF(AND($A56&gt;='Control Room'!$A$16,$A56&lt;'Control Room'!$A$16+'Control Room'!$B$16,'Process'!BL5=1),1+('Control Room'!$C$16-1)*EXP(-0.5*(($A56-'Control Room'!$A$16-('Control Room'!$B$16-1)/2)/MAX(0.5,'Control Room'!$B$16/4))^2),1)</x:f>
        <x:v>1</x:v>
      </x:c>
      <x:c r="L56" s="9" t="n">
        <x:f>MOD(M55*16807,2147483647)</x:f>
        <x:v>1372527793</x:v>
      </x:c>
      <x:c r="M56" s="9" t="n">
        <x:f>MOD(L56*16807,2147483647)</x:f>
        <x:v>1952764524</x:v>
      </x:c>
      <x:c r="N56" s="17" t="n">
        <x:f>IF('Control Room'!$B$5="Normal",'Control Room'!$B$7+'Control Room'!$D$7*SQRT(-2*LN(MAX(0.000000000001,L56/2147483647)))*COS(2*PI()*M56/2147483647),'Control Room'!$B$8+('Control Room'!$D$8-'Control Room'!$B$8)*L56/2147483647)</x:f>
        <x:v>1071.707270983531</x:v>
      </x:c>
      <x:c r="O56" s="17" t="n">
        <x:f>IF('Control Room'!$B$5="Normal",'Control Room'!$B$7,('Control Room'!$B$8+'Control Room'!$D$8)/2)+'Control Room'!$B$9*(O55-IF('Control Room'!$B$5="Normal",'Control Room'!$B$7,('Control Room'!$B$8+'Control Room'!$D$8)/2))+SQRT(1-'Control Room'!$B$9^2)*(N56-IF('Control Room'!$B$5="Normal",'Control Room'!$B$7,('Control Room'!$B$8+'Control Room'!$D$8)/2))</x:f>
        <x:v>950.6818115374887</x:v>
      </x:c>
      <x:c r="P56" s="17" t="n">
        <x:f>IF(AND($A56&gt;='Control Room'!$A$13,$A56&lt;'Control Room'!$A$13+'Control Room'!$B$13,'Process'!BM2=1),1+('Control Room'!$C$13-1)*EXP(-0.5*(($A56-'Control Room'!$A$13-('Control Room'!$B$13-1)/2)/MAX(0.5,'Control Room'!$B$13/4))^2),1)*IF(AND($A56&gt;='Control Room'!$A$14,$A56&lt;'Control Room'!$A$14+'Control Room'!$B$14,'Process'!BM3=1),1+('Control Room'!$C$14-1)*EXP(-0.5*(($A56-'Control Room'!$A$14-('Control Room'!$B$14-1)/2)/MAX(0.5,'Control Room'!$B$14/4))^2),1)*IF(AND($A56&gt;='Control Room'!$A$15,$A56&lt;'Control Room'!$A$15+'Control Room'!$B$15,'Process'!BM4=1),1+('Control Room'!$C$15-1)*EXP(-0.5*(($A56-'Control Room'!$A$15-('Control Room'!$B$15-1)/2)/MAX(0.5,'Control Room'!$B$15/4))^2),1)*IF(AND($A56&gt;='Control Room'!$A$16,$A56&lt;'Control Room'!$A$16+'Control Room'!$B$16,'Process'!BM5=1),1+('Control Room'!$C$16-1)*EXP(-0.5*(($A56-'Control Room'!$A$16-('Control Room'!$B$16-1)/2)/MAX(0.5,'Control Room'!$B$16/4))^2),1)</x:f>
        <x:v>1</x:v>
      </x:c>
      <x:c r="Q56" s="9" t="n">
        <x:f>MOD(R55*16807,2147483647)</x:f>
        <x:v>78482588</x:v>
      </x:c>
      <x:c r="R56" s="9" t="n">
        <x:f>MOD(Q56*16807,2147483647)</x:f>
        <x:v>501897258</x:v>
      </x:c>
      <x:c r="S56" s="17" t="n">
        <x:f>IF('Control Room'!$B$5="Normal",'Control Room'!$B$7+'Control Room'!$D$7*SQRT(-2*LN(MAX(0.000000000001,Q56/2147483647)))*COS(2*PI()*R56/2147483647),'Control Room'!$B$8+('Control Room'!$D$8-'Control Room'!$B$8)*Q56/2147483647)</x:f>
        <x:v>1023.6510392963494</x:v>
      </x:c>
      <x:c r="T56" s="17" t="n">
        <x:f>IF('Control Room'!$B$5="Normal",'Control Room'!$B$7,('Control Room'!$B$8+'Control Room'!$D$8)/2)+'Control Room'!$B$9*(T55-IF('Control Room'!$B$5="Normal",'Control Room'!$B$7,('Control Room'!$B$8+'Control Room'!$D$8)/2))+SQRT(1-'Control Room'!$B$9^2)*(S56-IF('Control Room'!$B$5="Normal",'Control Room'!$B$7,('Control Room'!$B$8+'Control Room'!$D$8)/2))</x:f>
        <x:v>1038.4632337484281</x:v>
      </x:c>
      <x:c r="U56" s="17" t="n">
        <x:f>IF(AND($A56&gt;='Control Room'!$A$13,$A56&lt;'Control Room'!$A$13+'Control Room'!$B$13,'Process'!BN2=1),1+('Control Room'!$C$13-1)*EXP(-0.5*(($A56-'Control Room'!$A$13-('Control Room'!$B$13-1)/2)/MAX(0.5,'Control Room'!$B$13/4))^2),1)*IF(AND($A56&gt;='Control Room'!$A$14,$A56&lt;'Control Room'!$A$14+'Control Room'!$B$14,'Process'!BN3=1),1+('Control Room'!$C$14-1)*EXP(-0.5*(($A56-'Control Room'!$A$14-('Control Room'!$B$14-1)/2)/MAX(0.5,'Control Room'!$B$14/4))^2),1)*IF(AND($A56&gt;='Control Room'!$A$15,$A56&lt;'Control Room'!$A$15+'Control Room'!$B$15,'Process'!BN4=1),1+('Control Room'!$C$15-1)*EXP(-0.5*(($A56-'Control Room'!$A$15-('Control Room'!$B$15-1)/2)/MAX(0.5,'Control Room'!$B$15/4))^2),1)*IF(AND($A56&gt;='Control Room'!$A$16,$A56&lt;'Control Room'!$A$16+'Control Room'!$B$16,'Process'!BN5=1),1+('Control Room'!$C$16-1)*EXP(-0.5*(($A56-'Control Room'!$A$16-('Control Room'!$B$16-1)/2)/MAX(0.5,'Control Room'!$B$16/4))^2),1)</x:f>
        <x:v>1</x:v>
      </x:c>
      <x:c r="V56" s="9" t="n">
        <x:f>MOD(W55*16807,2147483647)</x:f>
        <x:v>931921030</x:v>
      </x:c>
      <x:c r="W56" s="9" t="n">
        <x:f>MOD(V56*16807,2147483647)</x:f>
        <x:v>1198513639</x:v>
      </x:c>
      <x:c r="X56" s="17" t="n">
        <x:f>IF('Control Room'!$B$5="Normal",'Control Room'!$B$7+'Control Room'!$D$7*SQRT(-2*LN(MAX(0.000000000001,V56/2147483647)))*COS(2*PI()*W56/2147483647),'Control Room'!$B$8+('Control Room'!$D$8-'Control Room'!$B$8)*V56/2147483647)</x:f>
        <x:v>891.3714693876874</x:v>
      </x:c>
      <x:c r="Y56" s="17" t="n">
        <x:f>IF('Control Room'!$B$5="Normal",'Control Room'!$B$7,('Control Room'!$B$8+'Control Room'!$D$8)/2)+'Control Room'!$B$9*(Y55-IF('Control Room'!$B$5="Normal",'Control Room'!$B$7,('Control Room'!$B$8+'Control Room'!$D$8)/2))+SQRT(1-'Control Room'!$B$9^2)*(X56-IF('Control Room'!$B$5="Normal",'Control Room'!$B$7,('Control Room'!$B$8+'Control Room'!$D$8)/2))</x:f>
        <x:v>1014.5882008974049</x:v>
      </x:c>
      <x:c r="Z56" s="17" t="n">
        <x:f>IF(AND($A56&gt;='Control Room'!$A$13,$A56&lt;'Control Room'!$A$13+'Control Room'!$B$13,'Process'!BO2=1),1+('Control Room'!$C$13-1)*EXP(-0.5*(($A56-'Control Room'!$A$13-('Control Room'!$B$13-1)/2)/MAX(0.5,'Control Room'!$B$13/4))^2),1)*IF(AND($A56&gt;='Control Room'!$A$14,$A56&lt;'Control Room'!$A$14+'Control Room'!$B$14,'Process'!BO3=1),1+('Control Room'!$C$14-1)*EXP(-0.5*(($A56-'Control Room'!$A$14-('Control Room'!$B$14-1)/2)/MAX(0.5,'Control Room'!$B$14/4))^2),1)*IF(AND($A56&gt;='Control Room'!$A$15,$A56&lt;'Control Room'!$A$15+'Control Room'!$B$15,'Process'!BO4=1),1+('Control Room'!$C$15-1)*EXP(-0.5*(($A56-'Control Room'!$A$15-('Control Room'!$B$15-1)/2)/MAX(0.5,'Control Room'!$B$15/4))^2),1)*IF(AND($A56&gt;='Control Room'!$A$16,$A56&lt;'Control Room'!$A$16+'Control Room'!$B$16,'Process'!BO5=1),1+('Control Room'!$C$16-1)*EXP(-0.5*(($A56-'Control Room'!$A$16-('Control Room'!$B$16-1)/2)/MAX(0.5,'Control Room'!$B$16/4))^2),1)</x:f>
        <x:v>1</x:v>
      </x:c>
      <x:c r="AA56" s="9" t="n">
        <x:f>MOD(AB55*16807,2147483647)</x:f>
        <x:v>1785359472</x:v>
      </x:c>
      <x:c r="AB56" s="9" t="n">
        <x:f>MOD(AA56*16807,2147483647)</x:f>
        <x:v>1895130020</x:v>
      </x:c>
      <x:c r="AC56" s="17" t="n">
        <x:f>IF('Control Room'!$B$5="Normal",'Control Room'!$B$7+'Control Room'!$D$7*SQRT(-2*LN(MAX(0.000000000001,AA56/2147483647)))*COS(2*PI()*AB56/2147483647),'Control Room'!$B$8+('Control Room'!$D$8-'Control Room'!$B$8)*AA56/2147483647)</x:f>
        <x:v>1040.4530204490059</x:v>
      </x:c>
      <x:c r="AD56" s="17" t="n">
        <x:f>IF('Control Room'!$B$5="Normal",'Control Room'!$B$7,('Control Room'!$B$8+'Control Room'!$D$8)/2)+'Control Room'!$B$9*(AD55-IF('Control Room'!$B$5="Normal",'Control Room'!$B$7,('Control Room'!$B$8+'Control Room'!$D$8)/2))+SQRT(1-'Control Room'!$B$9^2)*(AC56-IF('Control Room'!$B$5="Normal",'Control Room'!$B$7,('Control Room'!$B$8+'Control Room'!$D$8)/2))</x:f>
        <x:v>1030.3714143066027</x:v>
      </x:c>
      <x:c r="AE56" s="17" t="n">
        <x:f>IF(AND($A56&gt;='Control Room'!$A$13,$A56&lt;'Control Room'!$A$13+'Control Room'!$B$13,'Process'!BP2=1),1+('Control Room'!$C$13-1)*EXP(-0.5*(($A56-'Control Room'!$A$13-('Control Room'!$B$13-1)/2)/MAX(0.5,'Control Room'!$B$13/4))^2),1)*IF(AND($A56&gt;='Control Room'!$A$14,$A56&lt;'Control Room'!$A$14+'Control Room'!$B$14,'Process'!BP3=1),1+('Control Room'!$C$14-1)*EXP(-0.5*(($A56-'Control Room'!$A$14-('Control Room'!$B$14-1)/2)/MAX(0.5,'Control Room'!$B$14/4))^2),1)*IF(AND($A56&gt;='Control Room'!$A$15,$A56&lt;'Control Room'!$A$15+'Control Room'!$B$15,'Process'!BP4=1),1+('Control Room'!$C$15-1)*EXP(-0.5*(($A56-'Control Room'!$A$15-('Control Room'!$B$15-1)/2)/MAX(0.5,'Control Room'!$B$15/4))^2),1)*IF(AND($A56&gt;='Control Room'!$A$16,$A56&lt;'Control Room'!$A$16+'Control Room'!$B$16,'Process'!BP5=1),1+('Control Room'!$C$16-1)*EXP(-0.5*(($A56-'Control Room'!$A$16-('Control Room'!$B$16-1)/2)/MAX(0.5,'Control Room'!$B$16/4))^2),1)</x:f>
        <x:v>1</x:v>
      </x:c>
      <x:c r="AF56" s="9" t="n">
        <x:f>MOD(AG55*16807,2147483647)</x:f>
        <x:v>491314267</x:v>
      </x:c>
      <x:c r="AG56" s="9" t="n">
        <x:f>MOD(AF56*16807,2147483647)</x:f>
        <x:v>444262754</x:v>
      </x:c>
      <x:c r="AH56" s="17" t="n">
        <x:f>IF('Control Room'!$B$5="Normal",'Control Room'!$B$7+'Control Room'!$D$7*SQRT(-2*LN(MAX(0.000000000001,AF56/2147483647)))*COS(2*PI()*AG56/2147483647),'Control Room'!$B$8+('Control Room'!$D$8-'Control Room'!$B$8)*AF56/2147483647)</x:f>
        <x:v>1041.3733678833582</x:v>
      </x:c>
      <x:c r="AI56" s="17" t="n">
        <x:f>IF('Control Room'!$B$5="Normal",'Control Room'!$B$7,('Control Room'!$B$8+'Control Room'!$D$8)/2)+'Control Room'!$B$9*(AI55-IF('Control Room'!$B$5="Normal",'Control Room'!$B$7,('Control Room'!$B$8+'Control Room'!$D$8)/2))+SQRT(1-'Control Room'!$B$9^2)*(AH56-IF('Control Room'!$B$5="Normal",'Control Room'!$B$7,('Control Room'!$B$8+'Control Room'!$D$8)/2))</x:f>
        <x:v>1124.7840167716697</x:v>
      </x:c>
      <x:c r="AJ56" s="17" t="n">
        <x:f>IF(AND($A56&gt;='Control Room'!$A$13,$A56&lt;'Control Room'!$A$13+'Control Room'!$B$13,'Process'!BQ2=1),1+('Control Room'!$C$13-1)*EXP(-0.5*(($A56-'Control Room'!$A$13-('Control Room'!$B$13-1)/2)/MAX(0.5,'Control Room'!$B$13/4))^2),1)*IF(AND($A56&gt;='Control Room'!$A$14,$A56&lt;'Control Room'!$A$14+'Control Room'!$B$14,'Process'!BQ3=1),1+('Control Room'!$C$14-1)*EXP(-0.5*(($A56-'Control Room'!$A$14-('Control Room'!$B$14-1)/2)/MAX(0.5,'Control Room'!$B$14/4))^2),1)*IF(AND($A56&gt;='Control Room'!$A$15,$A56&lt;'Control Room'!$A$15+'Control Room'!$B$15,'Process'!BQ4=1),1+('Control Room'!$C$15-1)*EXP(-0.5*(($A56-'Control Room'!$A$15-('Control Room'!$B$15-1)/2)/MAX(0.5,'Control Room'!$B$15/4))^2),1)*IF(AND($A56&gt;='Control Room'!$A$16,$A56&lt;'Control Room'!$A$16+'Control Room'!$B$16,'Process'!BQ5=1),1+('Control Room'!$C$16-1)*EXP(-0.5*(($A56-'Control Room'!$A$16-('Control Room'!$B$16-1)/2)/MAX(0.5,'Control Room'!$B$16/4))^2),1)</x:f>
        <x:v>1</x:v>
      </x:c>
      <x:c r="AK56" s="9" t="n">
        <x:f>MOD(AL55*16807,2147483647)</x:f>
        <x:v>1344752709</x:v>
      </x:c>
      <x:c r="AL56" s="9" t="n">
        <x:f>MOD(AK56*16807,2147483647)</x:f>
        <x:v>1140879135</x:v>
      </x:c>
      <x:c r="AM56" s="17" t="n">
        <x:f>IF('Control Room'!$B$5="Normal",'Control Room'!$B$7+'Control Room'!$D$7*SQRT(-2*LN(MAX(0.000000000001,AK56/2147483647)))*COS(2*PI()*AL56/2147483647),'Control Room'!$B$8+('Control Room'!$D$8-'Control Room'!$B$8)*AK56/2147483647)</x:f>
        <x:v>914.5941990370786</x:v>
      </x:c>
      <x:c r="AN56" s="17" t="n">
        <x:f>IF('Control Room'!$B$5="Normal",'Control Room'!$B$7,('Control Room'!$B$8+'Control Room'!$D$8)/2)+'Control Room'!$B$9*(AN55-IF('Control Room'!$B$5="Normal",'Control Room'!$B$7,('Control Room'!$B$8+'Control Room'!$D$8)/2))+SQRT(1-'Control Room'!$B$9^2)*(AM56-IF('Control Room'!$B$5="Normal",'Control Room'!$B$7,('Control Room'!$B$8+'Control Room'!$D$8)/2))</x:f>
        <x:v>996.9088509965799</x:v>
      </x:c>
      <x:c r="AO56" s="17" t="n">
        <x:f>IF(AND($A56&gt;='Control Room'!$A$13,$A56&lt;'Control Room'!$A$13+'Control Room'!$B$13,'Process'!BR2=1),1+('Control Room'!$C$13-1)*EXP(-0.5*(($A56-'Control Room'!$A$13-('Control Room'!$B$13-1)/2)/MAX(0.5,'Control Room'!$B$13/4))^2),1)*IF(AND($A56&gt;='Control Room'!$A$14,$A56&lt;'Control Room'!$A$14+'Control Room'!$B$14,'Process'!BR3=1),1+('Control Room'!$C$14-1)*EXP(-0.5*(($A56-'Control Room'!$A$14-('Control Room'!$B$14-1)/2)/MAX(0.5,'Control Room'!$B$14/4))^2),1)*IF(AND($A56&gt;='Control Room'!$A$15,$A56&lt;'Control Room'!$A$15+'Control Room'!$B$15,'Process'!BR4=1),1+('Control Room'!$C$15-1)*EXP(-0.5*(($A56-'Control Room'!$A$15-('Control Room'!$B$15-1)/2)/MAX(0.5,'Control Room'!$B$15/4))^2),1)*IF(AND($A56&gt;='Control Room'!$A$16,$A56&lt;'Control Room'!$A$16+'Control Room'!$B$16,'Process'!BR5=1),1+('Control Room'!$C$16-1)*EXP(-0.5*(($A56-'Control Room'!$A$16-('Control Room'!$B$16-1)/2)/MAX(0.5,'Control Room'!$B$16/4))^2),1)</x:f>
        <x:v>1</x:v>
      </x:c>
      <x:c r="AP56" s="9" t="n">
        <x:f>MOD(AQ55*16807,2147483647)</x:f>
        <x:v>50707504</x:v>
      </x:c>
      <x:c r="AQ56" s="9" t="n">
        <x:f>MOD(AP56*16807,2147483647)</x:f>
        <x:v>1837495516</x:v>
      </x:c>
      <x:c r="AR56" s="17" t="n">
        <x:f>IF('Control Room'!$B$5="Normal",'Control Room'!$B$7+'Control Room'!$D$7*SQRT(-2*LN(MAX(0.000000000001,AP56/2147483647)))*COS(2*PI()*AQ56/2147483647),'Control Room'!$B$8+('Control Room'!$D$8-'Control Room'!$B$8)*AP56/2147483647)</x:f>
        <x:v>1151.7796703291808</x:v>
      </x:c>
      <x:c r="AS56" s="17" t="n">
        <x:f>IF('Control Room'!$B$5="Normal",'Control Room'!$B$7,('Control Room'!$B$8+'Control Room'!$D$8)/2)+'Control Room'!$B$9*(AS55-IF('Control Room'!$B$5="Normal",'Control Room'!$B$7,('Control Room'!$B$8+'Control Room'!$D$8)/2))+SQRT(1-'Control Room'!$B$9^2)*(AR56-IF('Control Room'!$B$5="Normal",'Control Room'!$B$7,('Control Room'!$B$8+'Control Room'!$D$8)/2))</x:f>
        <x:v>961.572617630071</x:v>
      </x:c>
      <x:c r="AT56" s="17" t="n">
        <x:f>IF(AND($A56&gt;='Control Room'!$A$13,$A56&lt;'Control Room'!$A$13+'Control Room'!$B$13,'Process'!BS2=1),1+('Control Room'!$C$13-1)*EXP(-0.5*(($A56-'Control Room'!$A$13-('Control Room'!$B$13-1)/2)/MAX(0.5,'Control Room'!$B$13/4))^2),1)*IF(AND($A56&gt;='Control Room'!$A$14,$A56&lt;'Control Room'!$A$14+'Control Room'!$B$14,'Process'!BS3=1),1+('Control Room'!$C$14-1)*EXP(-0.5*(($A56-'Control Room'!$A$14-('Control Room'!$B$14-1)/2)/MAX(0.5,'Control Room'!$B$14/4))^2),1)*IF(AND($A56&gt;='Control Room'!$A$15,$A56&lt;'Control Room'!$A$15+'Control Room'!$B$15,'Process'!BS4=1),1+('Control Room'!$C$15-1)*EXP(-0.5*(($A56-'Control Room'!$A$15-('Control Room'!$B$15-1)/2)/MAX(0.5,'Control Room'!$B$15/4))^2),1)*IF(AND($A56&gt;='Control Room'!$A$16,$A56&lt;'Control Room'!$A$16+'Control Room'!$B$16,'Process'!BS5=1),1+('Control Room'!$C$16-1)*EXP(-0.5*(($A56-'Control Room'!$A$16-('Control Room'!$B$16-1)/2)/MAX(0.5,'Control Room'!$B$16/4))^2),1)</x:f>
        <x:v>1</x:v>
      </x:c>
      <x:c r="AU56" s="9" t="n">
        <x:f>MOD(AV55*16807,2147483647)</x:f>
        <x:v>904145946</x:v>
      </x:c>
      <x:c r="AV56" s="9" t="n">
        <x:f>MOD(AU56*16807,2147483647)</x:f>
        <x:v>386628250</x:v>
      </x:c>
      <x:c r="AW56" s="17" t="n">
        <x:f>IF('Control Room'!$B$5="Normal",'Control Room'!$B$7+'Control Room'!$D$7*SQRT(-2*LN(MAX(0.000000000001,AU56/2147483647)))*COS(2*PI()*AV56/2147483647),'Control Room'!$B$8+('Control Room'!$D$8-'Control Room'!$B$8)*AU56/2147483647)</x:f>
        <x:v>1050.3786069656712</x:v>
      </x:c>
      <x:c r="AX56" s="17" t="n">
        <x:f>IF('Control Room'!$B$5="Normal",'Control Room'!$B$7,('Control Room'!$B$8+'Control Room'!$D$8)/2)+'Control Room'!$B$9*(AX55-IF('Control Room'!$B$5="Normal",'Control Room'!$B$7,('Control Room'!$B$8+'Control Room'!$D$8)/2))+SQRT(1-'Control Room'!$B$9^2)*(AW56-IF('Control Room'!$B$5="Normal",'Control Room'!$B$7,('Control Room'!$B$8+'Control Room'!$D$8)/2))</x:f>
        <x:v>1054.6109386135154</x:v>
      </x:c>
      <x:c r="AY56" s="17" t="n">
        <x:f>IF(AND($A56&gt;='Control Room'!$A$13,$A56&lt;'Control Room'!$A$13+'Control Room'!$B$13,'Process'!BT2=1),1+('Control Room'!$C$13-1)*EXP(-0.5*(($A56-'Control Room'!$A$13-('Control Room'!$B$13-1)/2)/MAX(0.5,'Control Room'!$B$13/4))^2),1)*IF(AND($A56&gt;='Control Room'!$A$14,$A56&lt;'Control Room'!$A$14+'Control Room'!$B$14,'Process'!BT3=1),1+('Control Room'!$C$14-1)*EXP(-0.5*(($A56-'Control Room'!$A$14-('Control Room'!$B$14-1)/2)/MAX(0.5,'Control Room'!$B$14/4))^2),1)*IF(AND($A56&gt;='Control Room'!$A$15,$A56&lt;'Control Room'!$A$15+'Control Room'!$B$15,'Process'!BT4=1),1+('Control Room'!$C$15-1)*EXP(-0.5*(($A56-'Control Room'!$A$15-('Control Room'!$B$15-1)/2)/MAX(0.5,'Control Room'!$B$15/4))^2),1)*IF(AND($A56&gt;='Control Room'!$A$16,$A56&lt;'Control Room'!$A$16+'Control Room'!$B$16,'Process'!BT5=1),1+('Control Room'!$C$16-1)*EXP(-0.5*(($A56-'Control Room'!$A$16-('Control Room'!$B$16-1)/2)/MAX(0.5,'Control Room'!$B$16/4))^2),1)</x:f>
        <x:v>1</x:v>
      </x:c>
      <x:c r="AZ56" s="9" t="n">
        <x:f>MOD(BA55*16807,2147483647)</x:f>
        <x:v>1757584388</x:v>
      </x:c>
      <x:c r="BA56" s="9" t="n">
        <x:f>MOD(AZ56*16807,2147483647)</x:f>
        <x:v>1083244631</x:v>
      </x:c>
      <x:c r="BB56" s="17" t="n">
        <x:f>IF('Control Room'!$B$5="Normal",'Control Room'!$B$7+'Control Room'!$D$7*SQRT(-2*LN(MAX(0.000000000001,AZ56/2147483647)))*COS(2*PI()*BA56/2147483647),'Control Room'!$B$8+('Control Room'!$D$8-'Control Room'!$B$8)*AZ56/2147483647)</x:f>
        <x:v>943.0503273922731</x:v>
      </x:c>
      <x:c r="BC56" s="17" t="n">
        <x:f>IF('Control Room'!$B$5="Normal",'Control Room'!$B$7,('Control Room'!$B$8+'Control Room'!$D$8)/2)+'Control Room'!$B$9*(BC55-IF('Control Room'!$B$5="Normal",'Control Room'!$B$7,('Control Room'!$B$8+'Control Room'!$D$8)/2))+SQRT(1-'Control Room'!$B$9^2)*(BB56-IF('Control Room'!$B$5="Normal",'Control Room'!$B$7,('Control Room'!$B$8+'Control Room'!$D$8)/2))</x:f>
        <x:v>953.0019190646018</x:v>
      </x:c>
      <x:c r="BD56" s="17" t="n">
        <x:f>IF(AND($A56&gt;='Control Room'!$A$13,$A56&lt;'Control Room'!$A$13+'Control Room'!$B$13,'Process'!BU2=1),1+('Control Room'!$C$13-1)*EXP(-0.5*(($A56-'Control Room'!$A$13-('Control Room'!$B$13-1)/2)/MAX(0.5,'Control Room'!$B$13/4))^2),1)*IF(AND($A56&gt;='Control Room'!$A$14,$A56&lt;'Control Room'!$A$14+'Control Room'!$B$14,'Process'!BU3=1),1+('Control Room'!$C$14-1)*EXP(-0.5*(($A56-'Control Room'!$A$14-('Control Room'!$B$14-1)/2)/MAX(0.5,'Control Room'!$B$14/4))^2),1)*IF(AND($A56&gt;='Control Room'!$A$15,$A56&lt;'Control Room'!$A$15+'Control Room'!$B$15,'Process'!BU4=1),1+('Control Room'!$C$15-1)*EXP(-0.5*(($A56-'Control Room'!$A$15-('Control Room'!$B$15-1)/2)/MAX(0.5,'Control Room'!$B$15/4))^2),1)*IF(AND($A56&gt;='Control Room'!$A$16,$A56&lt;'Control Room'!$A$16+'Control Room'!$B$16,'Process'!BU5=1),1+('Control Room'!$C$16-1)*EXP(-0.5*(($A56-'Control Room'!$A$16-('Control Room'!$B$16-1)/2)/MAX(0.5,'Control Room'!$B$16/4))^2),1)</x:f>
        <x:v>1</x:v>
      </x:c>
      <x:c r="BE56" s="9" t="n">
        <x:f>MOD(BF55*16807,2147483647)</x:f>
        <x:v>463539183</x:v>
      </x:c>
      <x:c r="BF56" s="9" t="n">
        <x:f>MOD(BE56*16807,2147483647)</x:f>
        <x:v>1779861012</x:v>
      </x:c>
      <x:c r="BG56" s="17" t="n">
        <x:f>IF('Control Room'!$B$5="Normal",'Control Room'!$B$7+'Control Room'!$D$7*SQRT(-2*LN(MAX(0.000000000001,BE56/2147483647)))*COS(2*PI()*BF56/2147483647),'Control Room'!$B$8+('Control Room'!$D$8-'Control Room'!$B$8)*BE56/2147483647)</x:f>
        <x:v>1074.890886005537</x:v>
      </x:c>
      <x:c r="BH56" s="17" t="n">
        <x:f>IF('Control Room'!$B$5="Normal",'Control Room'!$B$7,('Control Room'!$B$8+'Control Room'!$D$8)/2)+'Control Room'!$B$9*(BH55-IF('Control Room'!$B$5="Normal",'Control Room'!$B$7,('Control Room'!$B$8+'Control Room'!$D$8)/2))+SQRT(1-'Control Room'!$B$9^2)*(BG56-IF('Control Room'!$B$5="Normal",'Control Room'!$B$7,('Control Room'!$B$8+'Control Room'!$D$8)/2))</x:f>
        <x:v>1049.2436260183351</x:v>
      </x:c>
      <x:c r="BI56" s="17" t="n">
        <x:f>IF(AND($A56&gt;='Control Room'!$A$13,$A56&lt;'Control Room'!$A$13+'Control Room'!$B$13,'Process'!BV2=1),1+('Control Room'!$C$13-1)*EXP(-0.5*(($A56-'Control Room'!$A$13-('Control Room'!$B$13-1)/2)/MAX(0.5,'Control Room'!$B$13/4))^2),1)*IF(AND($A56&gt;='Control Room'!$A$14,$A56&lt;'Control Room'!$A$14+'Control Room'!$B$14,'Process'!BV3=1),1+('Control Room'!$C$14-1)*EXP(-0.5*(($A56-'Control Room'!$A$14-('Control Room'!$B$14-1)/2)/MAX(0.5,'Control Room'!$B$14/4))^2),1)*IF(AND($A56&gt;='Control Room'!$A$15,$A56&lt;'Control Room'!$A$15+'Control Room'!$B$15,'Process'!BV4=1),1+('Control Room'!$C$15-1)*EXP(-0.5*(($A56-'Control Room'!$A$15-('Control Room'!$B$15-1)/2)/MAX(0.5,'Control Room'!$B$15/4))^2),1)*IF(AND($A56&gt;='Control Room'!$A$16,$A56&lt;'Control Room'!$A$16+'Control Room'!$B$16,'Process'!BV5=1),1+('Control Room'!$C$16-1)*EXP(-0.5*(($A56-'Control Room'!$A$16-('Control Room'!$B$16-1)/2)/MAX(0.5,'Control Room'!$B$16/4))^2),1)</x:f>
        <x:v>1</x:v>
      </x:c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Z56" t="str">
        <x:f>IF('Data'!A56="","",TEXT('Data'!A56,"mm-dd"))</x:f>
        <x:v>12-26</x:v>
      </x:c>
    </x:row>
    <x:row r="57" ht="21" customHeight="1">
      <x:c r="A57" s="15" t="n">
        <x:f>'Control Room'!$B$1+55</x:f>
        <x:v>73046</x:v>
      </x:c>
      <x:c r="B57" s="9" t="n">
        <x:f>MOD(C56*16807,2147483647)</x:f>
        <x:v>219433721</x:v>
      </x:c>
      <x:c r="C57" s="9" t="n">
        <x:f>MOD(B57*16807,2147483647)</x:f>
        <x:v>793126948</x:v>
      </x:c>
      <x:c r="D57" s="17" t="n">
        <x:f>IF('Control Room'!$B$5="Normal",'Control Room'!$B$7+'Control Room'!$D$7*SQRT(-2*LN(MAX(0.000000000001,B57/2147483647)))*COS(2*PI()*C57/2147483647),'Control Room'!$B$8+('Control Room'!$D$8-'Control Room'!$B$8)*B57/2147483647)</x:f>
        <x:v>869.0021491845782</x:v>
      </x:c>
      <x:c r="E57" s="17" t="n">
        <x:f>IF('Control Room'!$B$5="Normal",'Control Room'!$B$7,('Control Room'!$B$8+'Control Room'!$D$8)/2)+'Control Room'!$B$9*(E56-IF('Control Room'!$B$5="Normal",'Control Room'!$B$7,('Control Room'!$B$8+'Control Room'!$D$8)/2))+SQRT(1-'Control Room'!$B$9^2)*(D57-IF('Control Room'!$B$5="Normal",'Control Room'!$B$7,('Control Room'!$B$8+'Control Room'!$D$8)/2))</x:f>
        <x:v>939.3849591245947</x:v>
      </x:c>
      <x:c r="F57" s="17" t="n">
        <x:f>IF(AND($A57&gt;='Control Room'!$A$13,$A57&lt;'Control Room'!$A$13+'Control Room'!$B$13,'Process'!BK2=1),1+('Control Room'!$C$13-1)*EXP(-0.5*(($A57-'Control Room'!$A$13-('Control Room'!$B$13-1)/2)/MAX(0.5,'Control Room'!$B$13/4))^2),1)*IF(AND($A57&gt;='Control Room'!$A$14,$A57&lt;'Control Room'!$A$14+'Control Room'!$B$14,'Process'!BK3=1),1+('Control Room'!$C$14-1)*EXP(-0.5*(($A57-'Control Room'!$A$14-('Control Room'!$B$14-1)/2)/MAX(0.5,'Control Room'!$B$14/4))^2),1)*IF(AND($A57&gt;='Control Room'!$A$15,$A57&lt;'Control Room'!$A$15+'Control Room'!$B$15,'Process'!BK4=1),1+('Control Room'!$C$15-1)*EXP(-0.5*(($A57-'Control Room'!$A$15-('Control Room'!$B$15-1)/2)/MAX(0.5,'Control Room'!$B$15/4))^2),1)*IF(AND($A57&gt;='Control Room'!$A$16,$A57&lt;'Control Room'!$A$16+'Control Room'!$B$16,'Process'!BK5=1),1+('Control Room'!$C$16-1)*EXP(-0.5*(($A57-'Control Room'!$A$16-('Control Room'!$B$16-1)/2)/MAX(0.5,'Control Room'!$B$16/4))^2),1)</x:f>
        <x:v>1</x:v>
      </x:c>
      <x:c r="G57" s="9" t="n">
        <x:f>MOD(H56*16807,2147483647)</x:f>
        <x:v>170105744</x:v>
      </x:c>
      <x:c r="H57" s="9" t="n">
        <x:f>MOD(G57*16807,2147483647)</x:f>
        <x:v>666505251</x:v>
      </x:c>
      <x:c r="I57" s="17" t="n">
        <x:f>IF('Control Room'!$B$5="Normal",'Control Room'!$B$7+'Control Room'!$D$7*SQRT(-2*LN(MAX(0.000000000001,G57/2147483647)))*COS(2*PI()*H57/2147483647),'Control Room'!$B$8+('Control Room'!$D$8-'Control Room'!$B$8)*G57/2147483647)</x:f>
        <x:v>924.9574936059901</x:v>
      </x:c>
      <x:c r="J57" s="17" t="n">
        <x:f>IF('Control Room'!$B$5="Normal",'Control Room'!$B$7,('Control Room'!$B$8+'Control Room'!$D$8)/2)+'Control Room'!$B$9*(J56-IF('Control Room'!$B$5="Normal",'Control Room'!$B$7,('Control Room'!$B$8+'Control Room'!$D$8)/2))+SQRT(1-'Control Room'!$B$9^2)*(I57-IF('Control Room'!$B$5="Normal",'Control Room'!$B$7,('Control Room'!$B$8+'Control Room'!$D$8)/2))</x:f>
        <x:v>865.1473304462065</x:v>
      </x:c>
      <x:c r="K57" s="17" t="n">
        <x:f>IF(AND($A57&gt;='Control Room'!$A$13,$A57&lt;'Control Room'!$A$13+'Control Room'!$B$13,'Process'!BL2=1),1+('Control Room'!$C$13-1)*EXP(-0.5*(($A57-'Control Room'!$A$13-('Control Room'!$B$13-1)/2)/MAX(0.5,'Control Room'!$B$13/4))^2),1)*IF(AND($A57&gt;='Control Room'!$A$14,$A57&lt;'Control Room'!$A$14+'Control Room'!$B$14,'Process'!BL3=1),1+('Control Room'!$C$14-1)*EXP(-0.5*(($A57-'Control Room'!$A$14-('Control Room'!$B$14-1)/2)/MAX(0.5,'Control Room'!$B$14/4))^2),1)*IF(AND($A57&gt;='Control Room'!$A$15,$A57&lt;'Control Room'!$A$15+'Control Room'!$B$15,'Process'!BL4=1),1+('Control Room'!$C$15-1)*EXP(-0.5*(($A57-'Control Room'!$A$15-('Control Room'!$B$15-1)/2)/MAX(0.5,'Control Room'!$B$15/4))^2),1)*IF(AND($A57&gt;='Control Room'!$A$16,$A57&lt;'Control Room'!$A$16+'Control Room'!$B$16,'Process'!BL5=1),1+('Control Room'!$C$16-1)*EXP(-0.5*(($A57-'Control Room'!$A$16-('Control Room'!$B$16-1)/2)/MAX(0.5,'Control Room'!$B$16/4))^2),1)</x:f>
        <x:v>1</x:v>
      </x:c>
      <x:c r="L57" s="9" t="n">
        <x:f>MOD(M56*16807,2147483647)</x:f>
        <x:v>120777767</x:v>
      </x:c>
      <x:c r="M57" s="9" t="n">
        <x:f>MOD(L57*16807,2147483647)</x:f>
        <x:v>539883554</x:v>
      </x:c>
      <x:c r="N57" s="17" t="n">
        <x:f>IF('Control Room'!$B$5="Normal",'Control Room'!$B$7+'Control Room'!$D$7*SQRT(-2*LN(MAX(0.000000000001,L57/2147483647)))*COS(2*PI()*M57/2147483647),'Control Room'!$B$8+('Control Room'!$D$8-'Control Room'!$B$8)*L57/2147483647)</x:f>
        <x:v>998.0967213543515</x:v>
      </x:c>
      <x:c r="O57" s="17" t="n">
        <x:f>IF('Control Room'!$B$5="Normal",'Control Room'!$B$7,('Control Room'!$B$8+'Control Room'!$D$8)/2)+'Control Room'!$B$9*(O56-IF('Control Room'!$B$5="Normal",'Control Room'!$B$7,('Control Room'!$B$8+'Control Room'!$D$8)/2))+SQRT(1-'Control Room'!$B$9^2)*(N57-IF('Control Room'!$B$5="Normal",'Control Room'!$B$7,('Control Room'!$B$8+'Control Room'!$D$8)/2))</x:f>
        <x:v>960.3407802135767</x:v>
      </x:c>
      <x:c r="P57" s="17" t="n">
        <x:f>IF(AND($A57&gt;='Control Room'!$A$13,$A57&lt;'Control Room'!$A$13+'Control Room'!$B$13,'Process'!BM2=1),1+('Control Room'!$C$13-1)*EXP(-0.5*(($A57-'Control Room'!$A$13-('Control Room'!$B$13-1)/2)/MAX(0.5,'Control Room'!$B$13/4))^2),1)*IF(AND($A57&gt;='Control Room'!$A$14,$A57&lt;'Control Room'!$A$14+'Control Room'!$B$14,'Process'!BM3=1),1+('Control Room'!$C$14-1)*EXP(-0.5*(($A57-'Control Room'!$A$14-('Control Room'!$B$14-1)/2)/MAX(0.5,'Control Room'!$B$14/4))^2),1)*IF(AND($A57&gt;='Control Room'!$A$15,$A57&lt;'Control Room'!$A$15+'Control Room'!$B$15,'Process'!BM4=1),1+('Control Room'!$C$15-1)*EXP(-0.5*(($A57-'Control Room'!$A$15-('Control Room'!$B$15-1)/2)/MAX(0.5,'Control Room'!$B$15/4))^2),1)*IF(AND($A57&gt;='Control Room'!$A$16,$A57&lt;'Control Room'!$A$16+'Control Room'!$B$16,'Process'!BM5=1),1+('Control Room'!$C$16-1)*EXP(-0.5*(($A57-'Control Room'!$A$16-('Control Room'!$B$16-1)/2)/MAX(0.5,'Control Room'!$B$16/4))^2),1)</x:f>
        <x:v>1</x:v>
      </x:c>
      <x:c r="Q57" s="9" t="n">
        <x:f>MOD(R56*16807,2147483647)</x:f>
        <x:v>71449790</x:v>
      </x:c>
      <x:c r="R57" s="9" t="n">
        <x:f>MOD(Q57*16807,2147483647)</x:f>
        <x:v>413261857</x:v>
      </x:c>
      <x:c r="S57" s="17" t="n">
        <x:f>IF('Control Room'!$B$5="Normal",'Control Room'!$B$7+'Control Room'!$D$7*SQRT(-2*LN(MAX(0.000000000001,Q57/2147483647)))*COS(2*PI()*R57/2147483647),'Control Room'!$B$8+('Control Room'!$D$8-'Control Room'!$B$8)*Q57/2147483647)</x:f>
        <x:v>1083.0774819803069</x:v>
      </x:c>
      <x:c r="T57" s="17" t="n">
        <x:f>IF('Control Room'!$B$5="Normal",'Control Room'!$B$7,('Control Room'!$B$8+'Control Room'!$D$8)/2)+'Control Room'!$B$9*(T56-IF('Control Room'!$B$5="Normal",'Control Room'!$B$7,('Control Room'!$B$8+'Control Room'!$D$8)/2))+SQRT(1-'Control Room'!$B$9^2)*(S57-IF('Control Room'!$B$5="Normal",'Control Room'!$B$7,('Control Room'!$B$8+'Control Room'!$D$8)/2))</x:f>
        <x:v>1081.9895086123233</x:v>
      </x:c>
      <x:c r="U57" s="17" t="n">
        <x:f>IF(AND($A57&gt;='Control Room'!$A$13,$A57&lt;'Control Room'!$A$13+'Control Room'!$B$13,'Process'!BN2=1),1+('Control Room'!$C$13-1)*EXP(-0.5*(($A57-'Control Room'!$A$13-('Control Room'!$B$13-1)/2)/MAX(0.5,'Control Room'!$B$13/4))^2),1)*IF(AND($A57&gt;='Control Room'!$A$14,$A57&lt;'Control Room'!$A$14+'Control Room'!$B$14,'Process'!BN3=1),1+('Control Room'!$C$14-1)*EXP(-0.5*(($A57-'Control Room'!$A$14-('Control Room'!$B$14-1)/2)/MAX(0.5,'Control Room'!$B$14/4))^2),1)*IF(AND($A57&gt;='Control Room'!$A$15,$A57&lt;'Control Room'!$A$15+'Control Room'!$B$15,'Process'!BN4=1),1+('Control Room'!$C$15-1)*EXP(-0.5*(($A57-'Control Room'!$A$15-('Control Room'!$B$15-1)/2)/MAX(0.5,'Control Room'!$B$15/4))^2),1)*IF(AND($A57&gt;='Control Room'!$A$16,$A57&lt;'Control Room'!$A$16+'Control Room'!$B$16,'Process'!BN5=1),1+('Control Room'!$C$16-1)*EXP(-0.5*(($A57-'Control Room'!$A$16-('Control Room'!$B$16-1)/2)/MAX(0.5,'Control Room'!$B$16/4))^2),1)</x:f>
        <x:v>1</x:v>
      </x:c>
      <x:c r="V57" s="9" t="n">
        <x:f>MOD(W56*16807,2147483647)</x:f>
        <x:v>22121813</x:v>
      </x:c>
      <x:c r="W57" s="9" t="n">
        <x:f>MOD(V57*16807,2147483647)</x:f>
        <x:v>286640160</x:v>
      </x:c>
      <x:c r="X57" s="17" t="n">
        <x:f>IF('Control Room'!$B$5="Normal",'Control Room'!$B$7+'Control Room'!$D$7*SQRT(-2*LN(MAX(0.000000000001,V57/2147483647)))*COS(2*PI()*W57/2147483647),'Control Room'!$B$8+('Control Room'!$D$8-'Control Room'!$B$8)*V57/2147483647)</x:f>
        <x:v>1181.9913021526181</x:v>
      </x:c>
      <x:c r="Y57" s="17" t="n">
        <x:f>IF('Control Room'!$B$5="Normal",'Control Room'!$B$7,('Control Room'!$B$8+'Control Room'!$D$8)/2)+'Control Room'!$B$9*(Y56-IF('Control Room'!$B$5="Normal",'Control Room'!$B$7,('Control Room'!$B$8+'Control Room'!$D$8)/2))+SQRT(1-'Control Room'!$B$9^2)*(X57-IF('Control Room'!$B$5="Normal",'Control Room'!$B$7,('Control Room'!$B$8+'Control Room'!$D$8)/2))</x:f>
        <x:v>1125.2652252926089</x:v>
      </x:c>
      <x:c r="Z57" s="17" t="n">
        <x:f>IF(AND($A57&gt;='Control Room'!$A$13,$A57&lt;'Control Room'!$A$13+'Control Room'!$B$13,'Process'!BO2=1),1+('Control Room'!$C$13-1)*EXP(-0.5*(($A57-'Control Room'!$A$13-('Control Room'!$B$13-1)/2)/MAX(0.5,'Control Room'!$B$13/4))^2),1)*IF(AND($A57&gt;='Control Room'!$A$14,$A57&lt;'Control Room'!$A$14+'Control Room'!$B$14,'Process'!BO3=1),1+('Control Room'!$C$14-1)*EXP(-0.5*(($A57-'Control Room'!$A$14-('Control Room'!$B$14-1)/2)/MAX(0.5,'Control Room'!$B$14/4))^2),1)*IF(AND($A57&gt;='Control Room'!$A$15,$A57&lt;'Control Room'!$A$15+'Control Room'!$B$15,'Process'!BO4=1),1+('Control Room'!$C$15-1)*EXP(-0.5*(($A57-'Control Room'!$A$15-('Control Room'!$B$15-1)/2)/MAX(0.5,'Control Room'!$B$15/4))^2),1)*IF(AND($A57&gt;='Control Room'!$A$16,$A57&lt;'Control Room'!$A$16+'Control Room'!$B$16,'Process'!BO5=1),1+('Control Room'!$C$16-1)*EXP(-0.5*(($A57-'Control Room'!$A$16-('Control Room'!$B$16-1)/2)/MAX(0.5,'Control Room'!$B$16/4))^2),1)</x:f>
        <x:v>1</x:v>
      </x:c>
      <x:c r="AA57" s="9" t="n">
        <x:f>MOD(AB56*16807,2147483647)</x:f>
        <x:v>2120277483</x:v>
      </x:c>
      <x:c r="AB57" s="9" t="n">
        <x:f>MOD(AA57*16807,2147483647)</x:f>
        <x:v>160018463</x:v>
      </x:c>
      <x:c r="AC57" s="17" t="n">
        <x:f>IF('Control Room'!$B$5="Normal",'Control Room'!$B$7+'Control Room'!$D$7*SQRT(-2*LN(MAX(0.000000000001,AA57/2147483647)))*COS(2*PI()*AB57/2147483647),'Control Room'!$B$8+('Control Room'!$D$8-'Control Room'!$B$8)*AA57/2147483647)</x:f>
        <x:v>1012.8251528400777</x:v>
      </x:c>
      <x:c r="AD57" s="17" t="n">
        <x:f>IF('Control Room'!$B$5="Normal",'Control Room'!$B$7,('Control Room'!$B$8+'Control Room'!$D$8)/2)+'Control Room'!$B$9*(AD56-IF('Control Room'!$B$5="Normal",'Control Room'!$B$7,('Control Room'!$B$8+'Control Room'!$D$8)/2))+SQRT(1-'Control Room'!$B$9^2)*(AC57-IF('Control Room'!$B$5="Normal",'Control Room'!$B$7,('Control Room'!$B$8+'Control Room'!$D$8)/2))</x:f>
        <x:v>1031.7154210689337</x:v>
      </x:c>
      <x:c r="AE57" s="17" t="n">
        <x:f>IF(AND($A57&gt;='Control Room'!$A$13,$A57&lt;'Control Room'!$A$13+'Control Room'!$B$13,'Process'!BP2=1),1+('Control Room'!$C$13-1)*EXP(-0.5*(($A57-'Control Room'!$A$13-('Control Room'!$B$13-1)/2)/MAX(0.5,'Control Room'!$B$13/4))^2),1)*IF(AND($A57&gt;='Control Room'!$A$14,$A57&lt;'Control Room'!$A$14+'Control Room'!$B$14,'Process'!BP3=1),1+('Control Room'!$C$14-1)*EXP(-0.5*(($A57-'Control Room'!$A$14-('Control Room'!$B$14-1)/2)/MAX(0.5,'Control Room'!$B$14/4))^2),1)*IF(AND($A57&gt;='Control Room'!$A$15,$A57&lt;'Control Room'!$A$15+'Control Room'!$B$15,'Process'!BP4=1),1+('Control Room'!$C$15-1)*EXP(-0.5*(($A57-'Control Room'!$A$15-('Control Room'!$B$15-1)/2)/MAX(0.5,'Control Room'!$B$15/4))^2),1)*IF(AND($A57&gt;='Control Room'!$A$16,$A57&lt;'Control Room'!$A$16+'Control Room'!$B$16,'Process'!BP5=1),1+('Control Room'!$C$16-1)*EXP(-0.5*(($A57-'Control Room'!$A$16-('Control Room'!$B$16-1)/2)/MAX(0.5,'Control Room'!$B$16/4))^2),1)</x:f>
        <x:v>1</x:v>
      </x:c>
      <x:c r="AF57" s="9" t="n">
        <x:f>MOD(AG56*16807,2147483647)</x:f>
        <x:v>2070949506</x:v>
      </x:c>
      <x:c r="AG57" s="9" t="n">
        <x:f>MOD(AF57*16807,2147483647)</x:f>
        <x:v>33396766</x:v>
      </x:c>
      <x:c r="AH57" s="17" t="n">
        <x:f>IF('Control Room'!$B$5="Normal",'Control Room'!$B$7+'Control Room'!$D$7*SQRT(-2*LN(MAX(0.000000000001,AF57/2147483647)))*COS(2*PI()*AG57/2147483647),'Control Room'!$B$8+('Control Room'!$D$8-'Control Room'!$B$8)*AF57/2147483647)</x:f>
        <x:v>1024.13080120164</x:v>
      </x:c>
      <x:c r="AI57" s="17" t="n">
        <x:f>IF('Control Room'!$B$5="Normal",'Control Room'!$B$7,('Control Room'!$B$8+'Control Room'!$D$8)/2)+'Control Room'!$B$9*(AI56-IF('Control Room'!$B$5="Normal",'Control Room'!$B$7,('Control Room'!$B$8+'Control Room'!$D$8)/2))+SQRT(1-'Control Room'!$B$9^2)*(AH57-IF('Control Room'!$B$5="Normal",'Control Room'!$B$7,('Control Room'!$B$8+'Control Room'!$D$8)/2))</x:f>
        <x:v>1112.432094127556</x:v>
      </x:c>
      <x:c r="AJ57" s="17" t="n">
        <x:f>IF(AND($A57&gt;='Control Room'!$A$13,$A57&lt;'Control Room'!$A$13+'Control Room'!$B$13,'Process'!BQ2=1),1+('Control Room'!$C$13-1)*EXP(-0.5*(($A57-'Control Room'!$A$13-('Control Room'!$B$13-1)/2)/MAX(0.5,'Control Room'!$B$13/4))^2),1)*IF(AND($A57&gt;='Control Room'!$A$14,$A57&lt;'Control Room'!$A$14+'Control Room'!$B$14,'Process'!BQ3=1),1+('Control Room'!$C$14-1)*EXP(-0.5*(($A57-'Control Room'!$A$14-('Control Room'!$B$14-1)/2)/MAX(0.5,'Control Room'!$B$14/4))^2),1)*IF(AND($A57&gt;='Control Room'!$A$15,$A57&lt;'Control Room'!$A$15+'Control Room'!$B$15,'Process'!BQ4=1),1+('Control Room'!$C$15-1)*EXP(-0.5*(($A57-'Control Room'!$A$15-('Control Room'!$B$15-1)/2)/MAX(0.5,'Control Room'!$B$15/4))^2),1)*IF(AND($A57&gt;='Control Room'!$A$16,$A57&lt;'Control Room'!$A$16+'Control Room'!$B$16,'Process'!BQ5=1),1+('Control Room'!$C$16-1)*EXP(-0.5*(($A57-'Control Room'!$A$16-('Control Room'!$B$16-1)/2)/MAX(0.5,'Control Room'!$B$16/4))^2),1)</x:f>
        <x:v>1</x:v>
      </x:c>
      <x:c r="AK57" s="9" t="n">
        <x:f>MOD(AL56*16807,2147483647)</x:f>
        <x:v>2021621529</x:v>
      </x:c>
      <x:c r="AL57" s="9" t="n">
        <x:f>MOD(AK57*16807,2147483647)</x:f>
        <x:v>2054258716</x:v>
      </x:c>
      <x:c r="AM57" s="17" t="n">
        <x:f>IF('Control Room'!$B$5="Normal",'Control Room'!$B$7+'Control Room'!$D$7*SQRT(-2*LN(MAX(0.000000000001,AK57/2147483647)))*COS(2*PI()*AL57/2147483647),'Control Room'!$B$8+('Control Room'!$D$8-'Control Room'!$B$8)*AK57/2147483647)</x:f>
        <x:v>1030.1234545106452</x:v>
      </x:c>
      <x:c r="AN57" s="17" t="n">
        <x:f>IF('Control Room'!$B$5="Normal",'Control Room'!$B$7,('Control Room'!$B$8+'Control Room'!$D$8)/2)+'Control Room'!$B$9*(AN56-IF('Control Room'!$B$5="Normal",'Control Room'!$B$7,('Control Room'!$B$8+'Control Room'!$D$8)/2))+SQRT(1-'Control Room'!$B$9^2)*(AM57-IF('Control Room'!$B$5="Normal",'Control Room'!$B$7,('Control Room'!$B$8+'Control Room'!$D$8)/2))</x:f>
        <x:v>1016.4395444975854</x:v>
      </x:c>
      <x:c r="AO57" s="17" t="n">
        <x:f>IF(AND($A57&gt;='Control Room'!$A$13,$A57&lt;'Control Room'!$A$13+'Control Room'!$B$13,'Process'!BR2=1),1+('Control Room'!$C$13-1)*EXP(-0.5*(($A57-'Control Room'!$A$13-('Control Room'!$B$13-1)/2)/MAX(0.5,'Control Room'!$B$13/4))^2),1)*IF(AND($A57&gt;='Control Room'!$A$14,$A57&lt;'Control Room'!$A$14+'Control Room'!$B$14,'Process'!BR3=1),1+('Control Room'!$C$14-1)*EXP(-0.5*(($A57-'Control Room'!$A$14-('Control Room'!$B$14-1)/2)/MAX(0.5,'Control Room'!$B$14/4))^2),1)*IF(AND($A57&gt;='Control Room'!$A$15,$A57&lt;'Control Room'!$A$15+'Control Room'!$B$15,'Process'!BR4=1),1+('Control Room'!$C$15-1)*EXP(-0.5*(($A57-'Control Room'!$A$15-('Control Room'!$B$15-1)/2)/MAX(0.5,'Control Room'!$B$15/4))^2),1)*IF(AND($A57&gt;='Control Room'!$A$16,$A57&lt;'Control Room'!$A$16+'Control Room'!$B$16,'Process'!BR5=1),1+('Control Room'!$C$16-1)*EXP(-0.5*(($A57-'Control Room'!$A$16-('Control Room'!$B$16-1)/2)/MAX(0.5,'Control Room'!$B$16/4))^2),1)</x:f>
        <x:v>1</x:v>
      </x:c>
      <x:c r="AP57" s="9" t="n">
        <x:f>MOD(AQ56*16807,2147483647)</x:f>
        <x:v>1972293552</x:v>
      </x:c>
      <x:c r="AQ57" s="9" t="n">
        <x:f>MOD(AP57*16807,2147483647)</x:f>
        <x:v>1927637019</x:v>
      </x:c>
      <x:c r="AR57" s="17" t="n">
        <x:f>IF('Control Room'!$B$5="Normal",'Control Room'!$B$7+'Control Room'!$D$7*SQRT(-2*LN(MAX(0.000000000001,AP57/2147483647)))*COS(2*PI()*AQ57/2147483647),'Control Room'!$B$8+('Control Room'!$D$8-'Control Room'!$B$8)*AP57/2147483647)</x:f>
        <x:v>1029.709680201159</x:v>
      </x:c>
      <x:c r="AS57" s="17" t="n">
        <x:f>IF('Control Room'!$B$5="Normal",'Control Room'!$B$7,('Control Room'!$B$8+'Control Room'!$D$8)/2)+'Control Room'!$B$9*(AS56-IF('Control Room'!$B$5="Normal",'Control Room'!$B$7,('Control Room'!$B$8+'Control Room'!$D$8)/2))+SQRT(1-'Control Room'!$B$9^2)*(AR57-IF('Control Room'!$B$5="Normal",'Control Room'!$B$7,('Control Room'!$B$8+'Control Room'!$D$8)/2))</x:f>
        <x:v>988.6183509854594</x:v>
      </x:c>
      <x:c r="AT57" s="17" t="n">
        <x:f>IF(AND($A57&gt;='Control Room'!$A$13,$A57&lt;'Control Room'!$A$13+'Control Room'!$B$13,'Process'!BS2=1),1+('Control Room'!$C$13-1)*EXP(-0.5*(($A57-'Control Room'!$A$13-('Control Room'!$B$13-1)/2)/MAX(0.5,'Control Room'!$B$13/4))^2),1)*IF(AND($A57&gt;='Control Room'!$A$14,$A57&lt;'Control Room'!$A$14+'Control Room'!$B$14,'Process'!BS3=1),1+('Control Room'!$C$14-1)*EXP(-0.5*(($A57-'Control Room'!$A$14-('Control Room'!$B$14-1)/2)/MAX(0.5,'Control Room'!$B$14/4))^2),1)*IF(AND($A57&gt;='Control Room'!$A$15,$A57&lt;'Control Room'!$A$15+'Control Room'!$B$15,'Process'!BS4=1),1+('Control Room'!$C$15-1)*EXP(-0.5*(($A57-'Control Room'!$A$15-('Control Room'!$B$15-1)/2)/MAX(0.5,'Control Room'!$B$15/4))^2),1)*IF(AND($A57&gt;='Control Room'!$A$16,$A57&lt;'Control Room'!$A$16+'Control Room'!$B$16,'Process'!BS5=1),1+('Control Room'!$C$16-1)*EXP(-0.5*(($A57-'Control Room'!$A$16-('Control Room'!$B$16-1)/2)/MAX(0.5,'Control Room'!$B$16/4))^2),1)</x:f>
        <x:v>1</x:v>
      </x:c>
      <x:c r="AU57" s="9" t="n">
        <x:f>MOD(AV56*16807,2147483647)</x:f>
        <x:v>1922965575</x:v>
      </x:c>
      <x:c r="AV57" s="9" t="n">
        <x:f>MOD(AU57*16807,2147483647)</x:f>
        <x:v>1801015322</x:v>
      </x:c>
      <x:c r="AW57" s="17" t="n">
        <x:f>IF('Control Room'!$B$5="Normal",'Control Room'!$B$7+'Control Room'!$D$7*SQRT(-2*LN(MAX(0.000000000001,AU57/2147483647)))*COS(2*PI()*AV57/2147483647),'Control Room'!$B$8+('Control Room'!$D$8-'Control Room'!$B$8)*AU57/2147483647)</x:f>
        <x:v>1022.3624664564582</x:v>
      </x:c>
      <x:c r="AX57" s="17" t="n">
        <x:f>IF('Control Room'!$B$5="Normal",'Control Room'!$B$7,('Control Room'!$B$8+'Control Room'!$D$8)/2)+'Control Room'!$B$9*(AX56-IF('Control Room'!$B$5="Normal",'Control Room'!$B$7,('Control Room'!$B$8+'Control Room'!$D$8)/2))+SQRT(1-'Control Room'!$B$9^2)*(AW57-IF('Control Room'!$B$5="Normal",'Control Room'!$B$7,('Control Room'!$B$8+'Control Room'!$D$8)/2))</x:f>
        <x:v>1056.590505506967</x:v>
      </x:c>
      <x:c r="AY57" s="17" t="n">
        <x:f>IF(AND($A57&gt;='Control Room'!$A$13,$A57&lt;'Control Room'!$A$13+'Control Room'!$B$13,'Process'!BT2=1),1+('Control Room'!$C$13-1)*EXP(-0.5*(($A57-'Control Room'!$A$13-('Control Room'!$B$13-1)/2)/MAX(0.5,'Control Room'!$B$13/4))^2),1)*IF(AND($A57&gt;='Control Room'!$A$14,$A57&lt;'Control Room'!$A$14+'Control Room'!$B$14,'Process'!BT3=1),1+('Control Room'!$C$14-1)*EXP(-0.5*(($A57-'Control Room'!$A$14-('Control Room'!$B$14-1)/2)/MAX(0.5,'Control Room'!$B$14/4))^2),1)*IF(AND($A57&gt;='Control Room'!$A$15,$A57&lt;'Control Room'!$A$15+'Control Room'!$B$15,'Process'!BT4=1),1+('Control Room'!$C$15-1)*EXP(-0.5*(($A57-'Control Room'!$A$15-('Control Room'!$B$15-1)/2)/MAX(0.5,'Control Room'!$B$15/4))^2),1)*IF(AND($A57&gt;='Control Room'!$A$16,$A57&lt;'Control Room'!$A$16+'Control Room'!$B$16,'Process'!BT5=1),1+('Control Room'!$C$16-1)*EXP(-0.5*(($A57-'Control Room'!$A$16-('Control Room'!$B$16-1)/2)/MAX(0.5,'Control Room'!$B$16/4))^2),1)</x:f>
        <x:v>1</x:v>
      </x:c>
      <x:c r="AZ57" s="9" t="n">
        <x:f>MOD(BA56*16807,2147483647)</x:f>
        <x:v>1873637598</x:v>
      </x:c>
      <x:c r="BA57" s="9" t="n">
        <x:f>MOD(AZ57*16807,2147483647)</x:f>
        <x:v>1674393625</x:v>
      </x:c>
      <x:c r="BB57" s="17" t="n">
        <x:f>IF('Control Room'!$B$5="Normal",'Control Room'!$B$7+'Control Room'!$D$7*SQRT(-2*LN(MAX(0.000000000001,AZ57/2147483647)))*COS(2*PI()*BA57/2147483647),'Control Room'!$B$8+('Control Room'!$D$8-'Control Room'!$B$8)*AZ57/2147483647)</x:f>
        <x:v>1008.7217879136599</x:v>
      </x:c>
      <x:c r="BC57" s="17" t="n">
        <x:f>IF('Control Room'!$B$5="Normal",'Control Room'!$B$7,('Control Room'!$B$8+'Control Room'!$D$8)/2)+'Control Room'!$B$9*(BC56-IF('Control Room'!$B$5="Normal",'Control Room'!$B$7,('Control Room'!$B$8+'Control Room'!$D$8)/2))+SQRT(1-'Control Room'!$B$9^2)*(BB57-IF('Control Room'!$B$5="Normal",'Control Room'!$B$7,('Control Room'!$B$8+'Control Room'!$D$8)/2))</x:f>
        <x:v>968.7994130712204</x:v>
      </x:c>
      <x:c r="BD57" s="17" t="n">
        <x:f>IF(AND($A57&gt;='Control Room'!$A$13,$A57&lt;'Control Room'!$A$13+'Control Room'!$B$13,'Process'!BU2=1),1+('Control Room'!$C$13-1)*EXP(-0.5*(($A57-'Control Room'!$A$13-('Control Room'!$B$13-1)/2)/MAX(0.5,'Control Room'!$B$13/4))^2),1)*IF(AND($A57&gt;='Control Room'!$A$14,$A57&lt;'Control Room'!$A$14+'Control Room'!$B$14,'Process'!BU3=1),1+('Control Room'!$C$14-1)*EXP(-0.5*(($A57-'Control Room'!$A$14-('Control Room'!$B$14-1)/2)/MAX(0.5,'Control Room'!$B$14/4))^2),1)*IF(AND($A57&gt;='Control Room'!$A$15,$A57&lt;'Control Room'!$A$15+'Control Room'!$B$15,'Process'!BU4=1),1+('Control Room'!$C$15-1)*EXP(-0.5*(($A57-'Control Room'!$A$15-('Control Room'!$B$15-1)/2)/MAX(0.5,'Control Room'!$B$15/4))^2),1)*IF(AND($A57&gt;='Control Room'!$A$16,$A57&lt;'Control Room'!$A$16+'Control Room'!$B$16,'Process'!BU5=1),1+('Control Room'!$C$16-1)*EXP(-0.5*(($A57-'Control Room'!$A$16-('Control Room'!$B$16-1)/2)/MAX(0.5,'Control Room'!$B$16/4))^2),1)</x:f>
        <x:v>1</x:v>
      </x:c>
      <x:c r="BE57" s="9" t="n">
        <x:f>MOD(BF56*16807,2147483647)</x:f>
        <x:v>1824309621</x:v>
      </x:c>
      <x:c r="BF57" s="9" t="n">
        <x:f>MOD(BE57*16807,2147483647)</x:f>
        <x:v>1547771928</x:v>
      </x:c>
      <x:c r="BG57" s="17" t="n">
        <x:f>IF('Control Room'!$B$5="Normal",'Control Room'!$B$7+'Control Room'!$D$7*SQRT(-2*LN(MAX(0.000000000001,BE57/2147483647)))*COS(2*PI()*BF57/2147483647),'Control Room'!$B$8+('Control Room'!$D$8-'Control Room'!$B$8)*BE57/2147483647)</x:f>
        <x:v>990.6023319017443</x:v>
      </x:c>
      <x:c r="BH57" s="17" t="n">
        <x:f>IF('Control Room'!$B$5="Normal",'Control Room'!$B$7,('Control Room'!$B$8+'Control Room'!$D$8)/2)+'Control Room'!$B$9*(BH56-IF('Control Room'!$B$5="Normal",'Control Room'!$B$7,('Control Room'!$B$8+'Control Room'!$D$8)/2))+SQRT(1-'Control Room'!$B$9^2)*(BG57-IF('Control Room'!$B$5="Normal",'Control Room'!$B$7,('Control Room'!$B$8+'Control Room'!$D$8)/2))</x:f>
        <x:v>1032.5291601201084</x:v>
      </x:c>
      <x:c r="BI57" s="17" t="n">
        <x:f>IF(AND($A57&gt;='Control Room'!$A$13,$A57&lt;'Control Room'!$A$13+'Control Room'!$B$13,'Process'!BV2=1),1+('Control Room'!$C$13-1)*EXP(-0.5*(($A57-'Control Room'!$A$13-('Control Room'!$B$13-1)/2)/MAX(0.5,'Control Room'!$B$13/4))^2),1)*IF(AND($A57&gt;='Control Room'!$A$14,$A57&lt;'Control Room'!$A$14+'Control Room'!$B$14,'Process'!BV3=1),1+('Control Room'!$C$14-1)*EXP(-0.5*(($A57-'Control Room'!$A$14-('Control Room'!$B$14-1)/2)/MAX(0.5,'Control Room'!$B$14/4))^2),1)*IF(AND($A57&gt;='Control Room'!$A$15,$A57&lt;'Control Room'!$A$15+'Control Room'!$B$15,'Process'!BV4=1),1+('Control Room'!$C$15-1)*EXP(-0.5*(($A57-'Control Room'!$A$15-('Control Room'!$B$15-1)/2)/MAX(0.5,'Control Room'!$B$15/4))^2),1)*IF(AND($A57&gt;='Control Room'!$A$16,$A57&lt;'Control Room'!$A$16+'Control Room'!$B$16,'Process'!BV5=1),1+('Control Room'!$C$16-1)*EXP(-0.5*(($A57-'Control Room'!$A$16-('Control Room'!$B$16-1)/2)/MAX(0.5,'Control Room'!$B$16/4))^2),1)</x:f>
        <x:v>1</x:v>
      </x:c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Z57" t="str">
        <x:f>IF('Data'!A57="","",TEXT('Data'!A57,"mm-dd"))</x:f>
        <x:v>12-27</x:v>
      </x:c>
    </x:row>
    <x:row r="58" ht="21" customHeight="1">
      <x:c r="A58" s="15" t="n">
        <x:f>'Control Room'!$B$1+56</x:f>
        <x:v>73047</x:v>
      </x:c>
      <x:c r="B58" s="9" t="n">
        <x:f>MOD(C57*16807,2147483647)</x:f>
        <x:v>653618107</x:v>
      </x:c>
      <x:c r="C58" s="9" t="n">
        <x:f>MOD(B58*16807,2147483647)</x:f>
        <x:v>980669944</x:v>
      </x:c>
      <x:c r="D58" s="17" t="n">
        <x:f>IF('Control Room'!$B$5="Normal",'Control Room'!$B$7+'Control Room'!$D$7*SQRT(-2*LN(MAX(0.000000000001,B58/2147483647)))*COS(2*PI()*C58/2147483647),'Control Room'!$B$8+('Control Room'!$D$8-'Control Room'!$B$8)*B58/2147483647)</x:f>
        <x:v>866.2975011152206</x:v>
      </x:c>
      <x:c r="E58" s="17" t="n">
        <x:f>IF('Control Room'!$B$5="Normal",'Control Room'!$B$7,('Control Room'!$B$8+'Control Room'!$D$8)/2)+'Control Room'!$B$9*(E57-IF('Control Room'!$B$5="Normal",'Control Room'!$B$7,('Control Room'!$B$8+'Control Room'!$D$8)/2))+SQRT(1-'Control Room'!$B$9^2)*(D58-IF('Control Room'!$B$5="Normal",'Control Room'!$B$7,('Control Room'!$B$8+'Control Room'!$D$8)/2))</x:f>
        <x:v>869.051983359659</x:v>
      </x:c>
      <x:c r="F58" s="17" t="n">
        <x:f>IF(AND($A58&gt;='Control Room'!$A$13,$A58&lt;'Control Room'!$A$13+'Control Room'!$B$13,'Process'!BK2=1),1+('Control Room'!$C$13-1)*EXP(-0.5*(($A58-'Control Room'!$A$13-('Control Room'!$B$13-1)/2)/MAX(0.5,'Control Room'!$B$13/4))^2),1)*IF(AND($A58&gt;='Control Room'!$A$14,$A58&lt;'Control Room'!$A$14+'Control Room'!$B$14,'Process'!BK3=1),1+('Control Room'!$C$14-1)*EXP(-0.5*(($A58-'Control Room'!$A$14-('Control Room'!$B$14-1)/2)/MAX(0.5,'Control Room'!$B$14/4))^2),1)*IF(AND($A58&gt;='Control Room'!$A$15,$A58&lt;'Control Room'!$A$15+'Control Room'!$B$15,'Process'!BK4=1),1+('Control Room'!$C$15-1)*EXP(-0.5*(($A58-'Control Room'!$A$15-('Control Room'!$B$15-1)/2)/MAX(0.5,'Control Room'!$B$15/4))^2),1)*IF(AND($A58&gt;='Control Room'!$A$16,$A58&lt;'Control Room'!$A$16+'Control Room'!$B$16,'Process'!BK5=1),1+('Control Room'!$C$16-1)*EXP(-0.5*(($A58-'Control Room'!$A$16-('Control Room'!$B$16-1)/2)/MAX(0.5,'Control Room'!$B$16/4))^2),1)</x:f>
        <x:v>1</x:v>
      </x:c>
      <x:c r="G58" s="9" t="n">
        <x:f>MOD(H57*16807,2147483647)</x:f>
        <x:v>679050805</x:v>
      </x:c>
      <x:c r="H58" s="9" t="n">
        <x:f>MOD(G58*16807,2147483647)</x:f>
        <x:v>1078779477</x:v>
      </x:c>
      <x:c r="I58" s="17" t="n">
        <x:f>IF('Control Room'!$B$5="Normal",'Control Room'!$B$7+'Control Room'!$D$7*SQRT(-2*LN(MAX(0.000000000001,G58/2147483647)))*COS(2*PI()*H58/2147483647),'Control Room'!$B$8+('Control Room'!$D$8-'Control Room'!$B$8)*G58/2147483647)</x:f>
        <x:v>863.4426243090255</x:v>
      </x:c>
      <x:c r="J58" s="17" t="n">
        <x:f>IF('Control Room'!$B$5="Normal",'Control Room'!$B$7,('Control Room'!$B$8+'Control Room'!$D$8)/2)+'Control Room'!$B$9*(J57-IF('Control Room'!$B$5="Normal",'Control Room'!$B$7,('Control Room'!$B$8+'Control Room'!$D$8)/2))+SQRT(1-'Control Room'!$B$9^2)*(I58-IF('Control Room'!$B$5="Normal",'Control Room'!$B$7,('Control Room'!$B$8+'Control Room'!$D$8)/2))</x:f>
        <x:v>809.3601095705296</x:v>
      </x:c>
      <x:c r="K58" s="17" t="n">
        <x:f>IF(AND($A58&gt;='Control Room'!$A$13,$A58&lt;'Control Room'!$A$13+'Control Room'!$B$13,'Process'!BL2=1),1+('Control Room'!$C$13-1)*EXP(-0.5*(($A58-'Control Room'!$A$13-('Control Room'!$B$13-1)/2)/MAX(0.5,'Control Room'!$B$13/4))^2),1)*IF(AND($A58&gt;='Control Room'!$A$14,$A58&lt;'Control Room'!$A$14+'Control Room'!$B$14,'Process'!BL3=1),1+('Control Room'!$C$14-1)*EXP(-0.5*(($A58-'Control Room'!$A$14-('Control Room'!$B$14-1)/2)/MAX(0.5,'Control Room'!$B$14/4))^2),1)*IF(AND($A58&gt;='Control Room'!$A$15,$A58&lt;'Control Room'!$A$15+'Control Room'!$B$15,'Process'!BL4=1),1+('Control Room'!$C$15-1)*EXP(-0.5*(($A58-'Control Room'!$A$15-('Control Room'!$B$15-1)/2)/MAX(0.5,'Control Room'!$B$15/4))^2),1)*IF(AND($A58&gt;='Control Room'!$A$16,$A58&lt;'Control Room'!$A$16+'Control Room'!$B$16,'Process'!BL5=1),1+('Control Room'!$C$16-1)*EXP(-0.5*(($A58-'Control Room'!$A$16-('Control Room'!$B$16-1)/2)/MAX(0.5,'Control Room'!$B$16/4))^2),1)</x:f>
        <x:v>1</x:v>
      </x:c>
      <x:c r="L58" s="9" t="n">
        <x:f>MOD(M57*16807,2147483647)</x:f>
        <x:v>704483503</x:v>
      </x:c>
      <x:c r="M58" s="9" t="n">
        <x:f>MOD(L58*16807,2147483647)</x:f>
        <x:v>1176889010</x:v>
      </x:c>
      <x:c r="N58" s="17" t="n">
        <x:f>IF('Control Room'!$B$5="Normal",'Control Room'!$B$7+'Control Room'!$D$7*SQRT(-2*LN(MAX(0.000000000001,L58/2147483647)))*COS(2*PI()*M58/2147483647),'Control Room'!$B$8+('Control Room'!$D$8-'Control Room'!$B$8)*L58/2147483647)</x:f>
        <x:v>871.6991869634712</x:v>
      </x:c>
      <x:c r="O58" s="17" t="n">
        <x:f>IF('Control Room'!$B$5="Normal",'Control Room'!$B$7,('Control Room'!$B$8+'Control Room'!$D$8)/2)+'Control Room'!$B$9*(O57-IF('Control Room'!$B$5="Normal",'Control Room'!$B$7,('Control Room'!$B$8+'Control Room'!$D$8)/2))+SQRT(1-'Control Room'!$B$9^2)*(N58-IF('Control Room'!$B$5="Normal",'Control Room'!$B$7,('Control Room'!$B$8+'Control Room'!$D$8)/2))</x:f>
        <x:v>888.7777881533507</x:v>
      </x:c>
      <x:c r="P58" s="17" t="n">
        <x:f>IF(AND($A58&gt;='Control Room'!$A$13,$A58&lt;'Control Room'!$A$13+'Control Room'!$B$13,'Process'!BM2=1),1+('Control Room'!$C$13-1)*EXP(-0.5*(($A58-'Control Room'!$A$13-('Control Room'!$B$13-1)/2)/MAX(0.5,'Control Room'!$B$13/4))^2),1)*IF(AND($A58&gt;='Control Room'!$A$14,$A58&lt;'Control Room'!$A$14+'Control Room'!$B$14,'Process'!BM3=1),1+('Control Room'!$C$14-1)*EXP(-0.5*(($A58-'Control Room'!$A$14-('Control Room'!$B$14-1)/2)/MAX(0.5,'Control Room'!$B$14/4))^2),1)*IF(AND($A58&gt;='Control Room'!$A$15,$A58&lt;'Control Room'!$A$15+'Control Room'!$B$15,'Process'!BM4=1),1+('Control Room'!$C$15-1)*EXP(-0.5*(($A58-'Control Room'!$A$15-('Control Room'!$B$15-1)/2)/MAX(0.5,'Control Room'!$B$15/4))^2),1)*IF(AND($A58&gt;='Control Room'!$A$16,$A58&lt;'Control Room'!$A$16+'Control Room'!$B$16,'Process'!BM5=1),1+('Control Room'!$C$16-1)*EXP(-0.5*(($A58-'Control Room'!$A$16-('Control Room'!$B$16-1)/2)/MAX(0.5,'Control Room'!$B$16/4))^2),1)</x:f>
        <x:v>1</x:v>
      </x:c>
      <x:c r="Q58" s="9" t="n">
        <x:f>MOD(R57*16807,2147483647)</x:f>
        <x:v>729916201</x:v>
      </x:c>
      <x:c r="R58" s="9" t="n">
        <x:f>MOD(Q58*16807,2147483647)</x:f>
        <x:v>1274998543</x:v>
      </x:c>
      <x:c r="S58" s="17" t="n">
        <x:f>IF('Control Room'!$B$5="Normal",'Control Room'!$B$7+'Control Room'!$D$7*SQRT(-2*LN(MAX(0.000000000001,Q58/2147483647)))*COS(2*PI()*R58/2147483647),'Control Room'!$B$8+('Control Room'!$D$8-'Control Room'!$B$8)*Q58/2147483647)</x:f>
        <x:v>890.0491642842416</x:v>
      </x:c>
      <x:c r="T58" s="17" t="n">
        <x:f>IF('Control Room'!$B$5="Normal",'Control Room'!$B$7,('Control Room'!$B$8+'Control Room'!$D$8)/2)+'Control Room'!$B$9*(T57-IF('Control Room'!$B$5="Normal",'Control Room'!$B$7,('Control Room'!$B$8+'Control Room'!$D$8)/2))+SQRT(1-'Control Room'!$B$9^2)*(S58-IF('Control Room'!$B$5="Normal",'Control Room'!$B$7,('Control Room'!$B$8+'Control Room'!$D$8)/2))</x:f>
        <x:v>995.1468361919926</x:v>
      </x:c>
      <x:c r="U58" s="17" t="n">
        <x:f>IF(AND($A58&gt;='Control Room'!$A$13,$A58&lt;'Control Room'!$A$13+'Control Room'!$B$13,'Process'!BN2=1),1+('Control Room'!$C$13-1)*EXP(-0.5*(($A58-'Control Room'!$A$13-('Control Room'!$B$13-1)/2)/MAX(0.5,'Control Room'!$B$13/4))^2),1)*IF(AND($A58&gt;='Control Room'!$A$14,$A58&lt;'Control Room'!$A$14+'Control Room'!$B$14,'Process'!BN3=1),1+('Control Room'!$C$14-1)*EXP(-0.5*(($A58-'Control Room'!$A$14-('Control Room'!$B$14-1)/2)/MAX(0.5,'Control Room'!$B$14/4))^2),1)*IF(AND($A58&gt;='Control Room'!$A$15,$A58&lt;'Control Room'!$A$15+'Control Room'!$B$15,'Process'!BN4=1),1+('Control Room'!$C$15-1)*EXP(-0.5*(($A58-'Control Room'!$A$15-('Control Room'!$B$15-1)/2)/MAX(0.5,'Control Room'!$B$15/4))^2),1)*IF(AND($A58&gt;='Control Room'!$A$16,$A58&lt;'Control Room'!$A$16+'Control Room'!$B$16,'Process'!BN5=1),1+('Control Room'!$C$16-1)*EXP(-0.5*(($A58-'Control Room'!$A$16-('Control Room'!$B$16-1)/2)/MAX(0.5,'Control Room'!$B$16/4))^2),1)</x:f>
        <x:v>1</x:v>
      </x:c>
      <x:c r="V58" s="9" t="n">
        <x:f>MOD(W57*16807,2147483647)</x:f>
        <x:v>755348899</x:v>
      </x:c>
      <x:c r="W58" s="9" t="n">
        <x:f>MOD(V58*16807,2147483647)</x:f>
        <x:v>1373108076</x:v>
      </x:c>
      <x:c r="X58" s="17" t="n">
        <x:f>IF('Control Room'!$B$5="Normal",'Control Room'!$B$7+'Control Room'!$D$7*SQRT(-2*LN(MAX(0.000000000001,V58/2147483647)))*COS(2*PI()*W58/2147483647),'Control Room'!$B$8+('Control Room'!$D$8-'Control Room'!$B$8)*V58/2147483647)</x:f>
        <x:v>916.6936088958724</x:v>
      </x:c>
      <x:c r="Y58" s="17" t="n">
        <x:f>IF('Control Room'!$B$5="Normal",'Control Room'!$B$7,('Control Room'!$B$8+'Control Room'!$D$8)/2)+'Control Room'!$B$9*(Y57-IF('Control Room'!$B$5="Normal",'Control Room'!$B$7,('Control Room'!$B$8+'Control Room'!$D$8)/2))+SQRT(1-'Control Room'!$B$9^2)*(X58-IF('Control Room'!$B$5="Normal",'Control Room'!$B$7,('Control Room'!$B$8+'Control Room'!$D$8)/2))</x:f>
        <x:v>1045.575442799457</x:v>
      </x:c>
      <x:c r="Z58" s="17" t="n">
        <x:f>IF(AND($A58&gt;='Control Room'!$A$13,$A58&lt;'Control Room'!$A$13+'Control Room'!$B$13,'Process'!BO2=1),1+('Control Room'!$C$13-1)*EXP(-0.5*(($A58-'Control Room'!$A$13-('Control Room'!$B$13-1)/2)/MAX(0.5,'Control Room'!$B$13/4))^2),1)*IF(AND($A58&gt;='Control Room'!$A$14,$A58&lt;'Control Room'!$A$14+'Control Room'!$B$14,'Process'!BO3=1),1+('Control Room'!$C$14-1)*EXP(-0.5*(($A58-'Control Room'!$A$14-('Control Room'!$B$14-1)/2)/MAX(0.5,'Control Room'!$B$14/4))^2),1)*IF(AND($A58&gt;='Control Room'!$A$15,$A58&lt;'Control Room'!$A$15+'Control Room'!$B$15,'Process'!BO4=1),1+('Control Room'!$C$15-1)*EXP(-0.5*(($A58-'Control Room'!$A$15-('Control Room'!$B$15-1)/2)/MAX(0.5,'Control Room'!$B$15/4))^2),1)*IF(AND($A58&gt;='Control Room'!$A$16,$A58&lt;'Control Room'!$A$16+'Control Room'!$B$16,'Process'!BO5=1),1+('Control Room'!$C$16-1)*EXP(-0.5*(($A58-'Control Room'!$A$16-('Control Room'!$B$16-1)/2)/MAX(0.5,'Control Room'!$B$16/4))^2),1)</x:f>
        <x:v>1</x:v>
      </x:c>
      <x:c r="AA58" s="9" t="n">
        <x:f>MOD(AB57*16807,2147483647)</x:f>
        <x:v>780781597</x:v>
      </x:c>
      <x:c r="AB58" s="9" t="n">
        <x:f>MOD(AA58*16807,2147483647)</x:f>
        <x:v>1471217609</x:v>
      </x:c>
      <x:c r="AC58" s="17" t="n">
        <x:f>IF('Control Room'!$B$5="Normal",'Control Room'!$B$7+'Control Room'!$D$7*SQRT(-2*LN(MAX(0.000000000001,AA58/2147483647)))*COS(2*PI()*AB58/2147483647),'Control Room'!$B$8+('Control Room'!$D$8-'Control Room'!$B$8)*AA58/2147483647)</x:f>
        <x:v>949.2208301536174</x:v>
      </x:c>
      <x:c r="AD58" s="17" t="n">
        <x:f>IF('Control Room'!$B$5="Normal",'Control Room'!$B$7,('Control Room'!$B$8+'Control Room'!$D$8)/2)+'Control Room'!$B$9*(AD57-IF('Control Room'!$B$5="Normal",'Control Room'!$B$7,('Control Room'!$B$8+'Control Room'!$D$8)/2))+SQRT(1-'Control Room'!$B$9^2)*(AC58-IF('Control Room'!$B$5="Normal",'Control Room'!$B$7,('Control Room'!$B$8+'Control Room'!$D$8)/2))</x:f>
        <x:v>992.9614642117399</x:v>
      </x:c>
      <x:c r="AE58" s="17" t="n">
        <x:f>IF(AND($A58&gt;='Control Room'!$A$13,$A58&lt;'Control Room'!$A$13+'Control Room'!$B$13,'Process'!BP2=1),1+('Control Room'!$C$13-1)*EXP(-0.5*(($A58-'Control Room'!$A$13-('Control Room'!$B$13-1)/2)/MAX(0.5,'Control Room'!$B$13/4))^2),1)*IF(AND($A58&gt;='Control Room'!$A$14,$A58&lt;'Control Room'!$A$14+'Control Room'!$B$14,'Process'!BP3=1),1+('Control Room'!$C$14-1)*EXP(-0.5*(($A58-'Control Room'!$A$14-('Control Room'!$B$14-1)/2)/MAX(0.5,'Control Room'!$B$14/4))^2),1)*IF(AND($A58&gt;='Control Room'!$A$15,$A58&lt;'Control Room'!$A$15+'Control Room'!$B$15,'Process'!BP4=1),1+('Control Room'!$C$15-1)*EXP(-0.5*(($A58-'Control Room'!$A$15-('Control Room'!$B$15-1)/2)/MAX(0.5,'Control Room'!$B$15/4))^2),1)*IF(AND($A58&gt;='Control Room'!$A$16,$A58&lt;'Control Room'!$A$16+'Control Room'!$B$16,'Process'!BP5=1),1+('Control Room'!$C$16-1)*EXP(-0.5*(($A58-'Control Room'!$A$16-('Control Room'!$B$16-1)/2)/MAX(0.5,'Control Room'!$B$16/4))^2),1)</x:f>
        <x:v>1</x:v>
      </x:c>
      <x:c r="AF58" s="9" t="n">
        <x:f>MOD(AG57*16807,2147483647)</x:f>
        <x:v>806214295</x:v>
      </x:c>
      <x:c r="AG58" s="9" t="n">
        <x:f>MOD(AF58*16807,2147483647)</x:f>
        <x:v>1569327142</x:v>
      </x:c>
      <x:c r="AH58" s="17" t="n">
        <x:f>IF('Control Room'!$B$5="Normal",'Control Room'!$B$7+'Control Room'!$D$7*SQRT(-2*LN(MAX(0.000000000001,AF58/2147483647)))*COS(2*PI()*AG58/2147483647),'Control Room'!$B$8+('Control Room'!$D$8-'Control Room'!$B$8)*AF58/2147483647)</x:f>
        <x:v>984.8191369212144</x:v>
      </x:c>
      <x:c r="AI58" s="17" t="n">
        <x:f>IF('Control Room'!$B$5="Normal",'Control Room'!$B$7,('Control Room'!$B$8+'Control Room'!$D$8)/2)+'Control Room'!$B$9*(AI57-IF('Control Room'!$B$5="Normal",'Control Room'!$B$7,('Control Room'!$B$8+'Control Room'!$D$8)/2))+SQRT(1-'Control Room'!$B$9^2)*(AH58-IF('Control Room'!$B$5="Normal",'Control Room'!$B$7,('Control Room'!$B$8+'Control Room'!$D$8)/2))</x:f>
        <x:v>1078.197160301674</x:v>
      </x:c>
      <x:c r="AJ58" s="17" t="n">
        <x:f>IF(AND($A58&gt;='Control Room'!$A$13,$A58&lt;'Control Room'!$A$13+'Control Room'!$B$13,'Process'!BQ2=1),1+('Control Room'!$C$13-1)*EXP(-0.5*(($A58-'Control Room'!$A$13-('Control Room'!$B$13-1)/2)/MAX(0.5,'Control Room'!$B$13/4))^2),1)*IF(AND($A58&gt;='Control Room'!$A$14,$A58&lt;'Control Room'!$A$14+'Control Room'!$B$14,'Process'!BQ3=1),1+('Control Room'!$C$14-1)*EXP(-0.5*(($A58-'Control Room'!$A$14-('Control Room'!$B$14-1)/2)/MAX(0.5,'Control Room'!$B$14/4))^2),1)*IF(AND($A58&gt;='Control Room'!$A$15,$A58&lt;'Control Room'!$A$15+'Control Room'!$B$15,'Process'!BQ4=1),1+('Control Room'!$C$15-1)*EXP(-0.5*(($A58-'Control Room'!$A$15-('Control Room'!$B$15-1)/2)/MAX(0.5,'Control Room'!$B$15/4))^2),1)*IF(AND($A58&gt;='Control Room'!$A$16,$A58&lt;'Control Room'!$A$16+'Control Room'!$B$16,'Process'!BQ5=1),1+('Control Room'!$C$16-1)*EXP(-0.5*(($A58-'Control Room'!$A$16-('Control Room'!$B$16-1)/2)/MAX(0.5,'Control Room'!$B$16/4))^2),1)</x:f>
        <x:v>1</x:v>
      </x:c>
      <x:c r="AK58" s="9" t="n">
        <x:f>MOD(AL57*16807,2147483647)</x:f>
        <x:v>831646993</x:v>
      </x:c>
      <x:c r="AL58" s="9" t="n">
        <x:f>MOD(AK58*16807,2147483647)</x:f>
        <x:v>1667436675</x:v>
      </x:c>
      <x:c r="AM58" s="17" t="n">
        <x:f>IF('Control Room'!$B$5="Normal",'Control Room'!$B$7+'Control Room'!$D$7*SQRT(-2*LN(MAX(0.000000000001,AK58/2147483647)))*COS(2*PI()*AL58/2147483647),'Control Room'!$B$8+('Control Room'!$D$8-'Control Room'!$B$8)*AK58/2147483647)</x:f>
        <x:v>1020.5157721794391</x:v>
      </x:c>
      <x:c r="AN58" s="17" t="n">
        <x:f>IF('Control Room'!$B$5="Normal",'Control Room'!$B$7,('Control Room'!$B$8+'Control Room'!$D$8)/2)+'Control Room'!$B$9*(AN57-IF('Control Room'!$B$5="Normal",'Control Room'!$B$7,('Control Room'!$B$8+'Control Room'!$D$8)/2))+SQRT(1-'Control Room'!$B$9^2)*(AM58-IF('Control Room'!$B$5="Normal",'Control Room'!$B$7,('Control Room'!$B$8+'Control Room'!$D$8)/2))</x:f>
        <x:v>1025.6611946495718</x:v>
      </x:c>
      <x:c r="AO58" s="17" t="n">
        <x:f>IF(AND($A58&gt;='Control Room'!$A$13,$A58&lt;'Control Room'!$A$13+'Control Room'!$B$13,'Process'!BR2=1),1+('Control Room'!$C$13-1)*EXP(-0.5*(($A58-'Control Room'!$A$13-('Control Room'!$B$13-1)/2)/MAX(0.5,'Control Room'!$B$13/4))^2),1)*IF(AND($A58&gt;='Control Room'!$A$14,$A58&lt;'Control Room'!$A$14+'Control Room'!$B$14,'Process'!BR3=1),1+('Control Room'!$C$14-1)*EXP(-0.5*(($A58-'Control Room'!$A$14-('Control Room'!$B$14-1)/2)/MAX(0.5,'Control Room'!$B$14/4))^2),1)*IF(AND($A58&gt;='Control Room'!$A$15,$A58&lt;'Control Room'!$A$15+'Control Room'!$B$15,'Process'!BR4=1),1+('Control Room'!$C$15-1)*EXP(-0.5*(($A58-'Control Room'!$A$15-('Control Room'!$B$15-1)/2)/MAX(0.5,'Control Room'!$B$15/4))^2),1)*IF(AND($A58&gt;='Control Room'!$A$16,$A58&lt;'Control Room'!$A$16+'Control Room'!$B$16,'Process'!BR5=1),1+('Control Room'!$C$16-1)*EXP(-0.5*(($A58-'Control Room'!$A$16-('Control Room'!$B$16-1)/2)/MAX(0.5,'Control Room'!$B$16/4))^2),1)</x:f>
        <x:v>1</x:v>
      </x:c>
      <x:c r="AP58" s="9" t="n">
        <x:f>MOD(AQ57*16807,2147483647)</x:f>
        <x:v>857079691</x:v>
      </x:c>
      <x:c r="AQ58" s="9" t="n">
        <x:f>MOD(AP58*16807,2147483647)</x:f>
        <x:v>1765546208</x:v>
      </x:c>
      <x:c r="AR58" s="17" t="n">
        <x:f>IF('Control Room'!$B$5="Normal",'Control Room'!$B$7+'Control Room'!$D$7*SQRT(-2*LN(MAX(0.000000000001,AP58/2147483647)))*COS(2*PI()*AQ58/2147483647),'Control Room'!$B$8+('Control Room'!$D$8-'Control Room'!$B$8)*AP58/2147483647)</x:f>
        <x:v>1053.422013869516</x:v>
      </x:c>
      <x:c r="AS58" s="17" t="n">
        <x:f>IF('Control Room'!$B$5="Normal",'Control Room'!$B$7,('Control Room'!$B$8+'Control Room'!$D$8)/2)+'Control Room'!$B$9*(AS57-IF('Control Room'!$B$5="Normal",'Control Room'!$B$7,('Control Room'!$B$8+'Control Room'!$D$8)/2))+SQRT(1-'Control Room'!$B$9^2)*(AR58-IF('Control Room'!$B$5="Normal",'Control Room'!$B$7,('Control Room'!$B$8+'Control Room'!$D$8)/2))</x:f>
        <x:v>1024.552715638761</x:v>
      </x:c>
      <x:c r="AT58" s="17" t="n">
        <x:f>IF(AND($A58&gt;='Control Room'!$A$13,$A58&lt;'Control Room'!$A$13+'Control Room'!$B$13,'Process'!BS2=1),1+('Control Room'!$C$13-1)*EXP(-0.5*(($A58-'Control Room'!$A$13-('Control Room'!$B$13-1)/2)/MAX(0.5,'Control Room'!$B$13/4))^2),1)*IF(AND($A58&gt;='Control Room'!$A$14,$A58&lt;'Control Room'!$A$14+'Control Room'!$B$14,'Process'!BS3=1),1+('Control Room'!$C$14-1)*EXP(-0.5*(($A58-'Control Room'!$A$14-('Control Room'!$B$14-1)/2)/MAX(0.5,'Control Room'!$B$14/4))^2),1)*IF(AND($A58&gt;='Control Room'!$A$15,$A58&lt;'Control Room'!$A$15+'Control Room'!$B$15,'Process'!BS4=1),1+('Control Room'!$C$15-1)*EXP(-0.5*(($A58-'Control Room'!$A$15-('Control Room'!$B$15-1)/2)/MAX(0.5,'Control Room'!$B$15/4))^2),1)*IF(AND($A58&gt;='Control Room'!$A$16,$A58&lt;'Control Room'!$A$16+'Control Room'!$B$16,'Process'!BS5=1),1+('Control Room'!$C$16-1)*EXP(-0.5*(($A58-'Control Room'!$A$16-('Control Room'!$B$16-1)/2)/MAX(0.5,'Control Room'!$B$16/4))^2),1)</x:f>
        <x:v>1</x:v>
      </x:c>
      <x:c r="AU58" s="9" t="n">
        <x:f>MOD(AV57*16807,2147483647)</x:f>
        <x:v>882512389</x:v>
      </x:c>
      <x:c r="AV58" s="9" t="n">
        <x:f>MOD(AU58*16807,2147483647)</x:f>
        <x:v>1863655741</x:v>
      </x:c>
      <x:c r="AW58" s="17" t="n">
        <x:f>IF('Control Room'!$B$5="Normal",'Control Room'!$B$7+'Control Room'!$D$7*SQRT(-2*LN(MAX(0.000000000001,AU58/2147483647)))*COS(2*PI()*AV58/2147483647),'Control Room'!$B$8+('Control Room'!$D$8-'Control Room'!$B$8)*AU58/2147483647)</x:f>
        <x:v>1080.9644269166774</x:v>
      </x:c>
      <x:c r="AX58" s="17" t="n">
        <x:f>IF('Control Room'!$B$5="Normal",'Control Room'!$B$7,('Control Room'!$B$8+'Control Room'!$D$8)/2)+'Control Room'!$B$9*(AX57-IF('Control Room'!$B$5="Normal",'Control Room'!$B$7,('Control Room'!$B$8+'Control Room'!$D$8)/2))+SQRT(1-'Control Room'!$B$9^2)*(AW58-IF('Control Room'!$B$5="Normal",'Control Room'!$B$7,('Control Room'!$B$8+'Control Room'!$D$8)/2))</x:f>
        <x:v>1094.8064740134503</x:v>
      </x:c>
      <x:c r="AY58" s="17" t="n">
        <x:f>IF(AND($A58&gt;='Control Room'!$A$13,$A58&lt;'Control Room'!$A$13+'Control Room'!$B$13,'Process'!BT2=1),1+('Control Room'!$C$13-1)*EXP(-0.5*(($A58-'Control Room'!$A$13-('Control Room'!$B$13-1)/2)/MAX(0.5,'Control Room'!$B$13/4))^2),1)*IF(AND($A58&gt;='Control Room'!$A$14,$A58&lt;'Control Room'!$A$14+'Control Room'!$B$14,'Process'!BT3=1),1+('Control Room'!$C$14-1)*EXP(-0.5*(($A58-'Control Room'!$A$14-('Control Room'!$B$14-1)/2)/MAX(0.5,'Control Room'!$B$14/4))^2),1)*IF(AND($A58&gt;='Control Room'!$A$15,$A58&lt;'Control Room'!$A$15+'Control Room'!$B$15,'Process'!BT4=1),1+('Control Room'!$C$15-1)*EXP(-0.5*(($A58-'Control Room'!$A$15-('Control Room'!$B$15-1)/2)/MAX(0.5,'Control Room'!$B$15/4))^2),1)*IF(AND($A58&gt;='Control Room'!$A$16,$A58&lt;'Control Room'!$A$16+'Control Room'!$B$16,'Process'!BT5=1),1+('Control Room'!$C$16-1)*EXP(-0.5*(($A58-'Control Room'!$A$16-('Control Room'!$B$16-1)/2)/MAX(0.5,'Control Room'!$B$16/4))^2),1)</x:f>
        <x:v>1</x:v>
      </x:c>
      <x:c r="AZ58" s="9" t="n">
        <x:f>MOD(BA57*16807,2147483647)</x:f>
        <x:v>907945087</x:v>
      </x:c>
      <x:c r="BA58" s="9" t="n">
        <x:f>MOD(AZ58*16807,2147483647)</x:f>
        <x:v>1961765274</x:v>
      </x:c>
      <x:c r="BB58" s="17" t="n">
        <x:f>IF('Control Room'!$B$5="Normal",'Control Room'!$B$7+'Control Room'!$D$7*SQRT(-2*LN(MAX(0.000000000001,AZ58/2147483647)))*COS(2*PI()*BA58/2147483647),'Control Room'!$B$8+('Control Room'!$D$8-'Control Room'!$B$8)*AZ58/2147483647)</x:f>
        <x:v>1101.083888521242</x:v>
      </x:c>
      <x:c r="BC58" s="17" t="n">
        <x:f>IF('Control Room'!$B$5="Normal",'Control Room'!$B$7,('Control Room'!$B$8+'Control Room'!$D$8)/2)+'Control Room'!$B$9*(BC57-IF('Control Room'!$B$5="Normal",'Control Room'!$B$7,('Control Room'!$B$8+'Control Room'!$D$8)/2))+SQRT(1-'Control Room'!$B$9^2)*(BB58-IF('Control Room'!$B$5="Normal",'Control Room'!$B$7,('Control Room'!$B$8+'Control Room'!$D$8)/2))</x:f>
        <x:v>1038.91976881613</x:v>
      </x:c>
      <x:c r="BD58" s="17" t="n">
        <x:f>IF(AND($A58&gt;='Control Room'!$A$13,$A58&lt;'Control Room'!$A$13+'Control Room'!$B$13,'Process'!BU2=1),1+('Control Room'!$C$13-1)*EXP(-0.5*(($A58-'Control Room'!$A$13-('Control Room'!$B$13-1)/2)/MAX(0.5,'Control Room'!$B$13/4))^2),1)*IF(AND($A58&gt;='Control Room'!$A$14,$A58&lt;'Control Room'!$A$14+'Control Room'!$B$14,'Process'!BU3=1),1+('Control Room'!$C$14-1)*EXP(-0.5*(($A58-'Control Room'!$A$14-('Control Room'!$B$14-1)/2)/MAX(0.5,'Control Room'!$B$14/4))^2),1)*IF(AND($A58&gt;='Control Room'!$A$15,$A58&lt;'Control Room'!$A$15+'Control Room'!$B$15,'Process'!BU4=1),1+('Control Room'!$C$15-1)*EXP(-0.5*(($A58-'Control Room'!$A$15-('Control Room'!$B$15-1)/2)/MAX(0.5,'Control Room'!$B$15/4))^2),1)*IF(AND($A58&gt;='Control Room'!$A$16,$A58&lt;'Control Room'!$A$16+'Control Room'!$B$16,'Process'!BU5=1),1+('Control Room'!$C$16-1)*EXP(-0.5*(($A58-'Control Room'!$A$16-('Control Room'!$B$16-1)/2)/MAX(0.5,'Control Room'!$B$16/4))^2),1)</x:f>
        <x:v>1</x:v>
      </x:c>
      <x:c r="BE58" s="9" t="n">
        <x:f>MOD(BF57*16807,2147483647)</x:f>
        <x:v>933377785</x:v>
      </x:c>
      <x:c r="BF58" s="9" t="n">
        <x:f>MOD(BE58*16807,2147483647)</x:f>
        <x:v>2059874807</x:v>
      </x:c>
      <x:c r="BG58" s="17" t="n">
        <x:f>IF('Control Room'!$B$5="Normal",'Control Room'!$B$7+'Control Room'!$D$7*SQRT(-2*LN(MAX(0.000000000001,BE58/2147483647)))*COS(2*PI()*BF58/2147483647),'Control Room'!$B$8+('Control Room'!$D$8-'Control Room'!$B$8)*BE58/2147483647)</x:f>
        <x:v>1112.3871026713468</x:v>
      </x:c>
      <x:c r="BH58" s="17" t="n">
        <x:f>IF('Control Room'!$B$5="Normal",'Control Room'!$B$7,('Control Room'!$B$8+'Control Room'!$D$8)/2)+'Control Room'!$B$9*(BH57-IF('Control Room'!$B$5="Normal",'Control Room'!$B$7,('Control Room'!$B$8+'Control Room'!$D$8)/2))+SQRT(1-'Control Room'!$B$9^2)*(BG58-IF('Control Room'!$B$5="Normal",'Control Room'!$B$7,('Control Room'!$B$8+'Control Room'!$D$8)/2))</x:f>
        <x:v>1095.70229137047</x:v>
      </x:c>
      <x:c r="BI58" s="17" t="n">
        <x:f>IF(AND($A58&gt;='Control Room'!$A$13,$A58&lt;'Control Room'!$A$13+'Control Room'!$B$13,'Process'!BV2=1),1+('Control Room'!$C$13-1)*EXP(-0.5*(($A58-'Control Room'!$A$13-('Control Room'!$B$13-1)/2)/MAX(0.5,'Control Room'!$B$13/4))^2),1)*IF(AND($A58&gt;='Control Room'!$A$14,$A58&lt;'Control Room'!$A$14+'Control Room'!$B$14,'Process'!BV3=1),1+('Control Room'!$C$14-1)*EXP(-0.5*(($A58-'Control Room'!$A$14-('Control Room'!$B$14-1)/2)/MAX(0.5,'Control Room'!$B$14/4))^2),1)*IF(AND($A58&gt;='Control Room'!$A$15,$A58&lt;'Control Room'!$A$15+'Control Room'!$B$15,'Process'!BV4=1),1+('Control Room'!$C$15-1)*EXP(-0.5*(($A58-'Control Room'!$A$15-('Control Room'!$B$15-1)/2)/MAX(0.5,'Control Room'!$B$15/4))^2),1)*IF(AND($A58&gt;='Control Room'!$A$16,$A58&lt;'Control Room'!$A$16+'Control Room'!$B$16,'Process'!BV5=1),1+('Control Room'!$C$16-1)*EXP(-0.5*(($A58-'Control Room'!$A$16-('Control Room'!$B$16-1)/2)/MAX(0.5,'Control Room'!$B$16/4))^2),1)</x:f>
        <x:v>1</x:v>
      </x:c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Z58" t="str">
        <x:f>IF('Data'!A58="","",TEXT('Data'!A58,"mm-dd"))</x:f>
        <x:v>12-28</x:v>
      </x:c>
    </x:row>
    <x:row r="59" ht="21" customHeight="1">
      <x:c r="A59" s="15" t="n">
        <x:f>'Control Room'!$B$1+57</x:f>
        <x:v>73048</x:v>
      </x:c>
      <x:c r="B59" s="9" t="n">
        <x:f>MOD(C58*16807,2147483647)</x:f>
        <x:v>182758083</x:v>
      </x:c>
      <x:c r="C59" s="9" t="n">
        <x:f>MOD(B59*16807,2147483647)</x:f>
        <x:v>713485771</x:v>
      </x:c>
      <x:c r="D59" s="17" t="n">
        <x:f>IF('Control Room'!$B$5="Normal",'Control Room'!$B$7+'Control Room'!$D$7*SQRT(-2*LN(MAX(0.000000000001,B59/2147483647)))*COS(2*PI()*C59/2147483647),'Control Room'!$B$8+('Control Room'!$D$8-'Control Room'!$B$8)*B59/2147483647)</x:f>
        <x:v>901.2942954714073</x:v>
      </x:c>
      <x:c r="E59" s="17" t="n">
        <x:f>IF('Control Room'!$B$5="Normal",'Control Room'!$B$7,('Control Room'!$B$8+'Control Room'!$D$8)/2)+'Control Room'!$B$9*(E58-IF('Control Room'!$B$5="Normal",'Control Room'!$B$7,('Control Room'!$B$8+'Control Room'!$D$8)/2))+SQRT(1-'Control Room'!$B$9^2)*(D59-IF('Control Room'!$B$5="Normal",'Control Room'!$B$7,('Control Room'!$B$8+'Control Room'!$D$8)/2))</x:f>
        <x:v>836.0925392228087</x:v>
      </x:c>
      <x:c r="F59" s="17" t="n">
        <x:f>IF(AND($A59&gt;='Control Room'!$A$13,$A59&lt;'Control Room'!$A$13+'Control Room'!$B$13,'Process'!BK2=1),1+('Control Room'!$C$13-1)*EXP(-0.5*(($A59-'Control Room'!$A$13-('Control Room'!$B$13-1)/2)/MAX(0.5,'Control Room'!$B$13/4))^2),1)*IF(AND($A59&gt;='Control Room'!$A$14,$A59&lt;'Control Room'!$A$14+'Control Room'!$B$14,'Process'!BK3=1),1+('Control Room'!$C$14-1)*EXP(-0.5*(($A59-'Control Room'!$A$14-('Control Room'!$B$14-1)/2)/MAX(0.5,'Control Room'!$B$14/4))^2),1)*IF(AND($A59&gt;='Control Room'!$A$15,$A59&lt;'Control Room'!$A$15+'Control Room'!$B$15,'Process'!BK4=1),1+('Control Room'!$C$15-1)*EXP(-0.5*(($A59-'Control Room'!$A$15-('Control Room'!$B$15-1)/2)/MAX(0.5,'Control Room'!$B$15/4))^2),1)*IF(AND($A59&gt;='Control Room'!$A$16,$A59&lt;'Control Room'!$A$16+'Control Room'!$B$16,'Process'!BK5=1),1+('Control Room'!$C$16-1)*EXP(-0.5*(($A59-'Control Room'!$A$16-('Control Room'!$B$16-1)/2)/MAX(0.5,'Control Room'!$B$16/4))^2),1)</x:f>
        <x:v>1</x:v>
      </x:c>
      <x:c r="G59" s="9" t="n">
        <x:f>MOD(H58*16807,2147483647)</x:f>
        <x:v>1989721965</x:v>
      </x:c>
      <x:c r="H59" s="9" t="n">
        <x:f>MOD(G59*16807,2147483647)</x:f>
        <x:v>641714671</x:v>
      </x:c>
      <x:c r="I59" s="17" t="n">
        <x:f>IF('Control Room'!$B$5="Normal",'Control Room'!$B$7+'Control Room'!$D$7*SQRT(-2*LN(MAX(0.000000000001,G59/2147483647)))*COS(2*PI()*H59/2147483647),'Control Room'!$B$8+('Control Room'!$D$8-'Control Room'!$B$8)*G59/2147483647)</x:f>
        <x:v>989.3834108146108</x:v>
      </x:c>
      <x:c r="J59" s="17" t="n">
        <x:f>IF('Control Room'!$B$5="Normal",'Control Room'!$B$7,('Control Room'!$B$8+'Control Room'!$D$8)/2)+'Control Room'!$B$9*(J58-IF('Control Room'!$B$5="Normal",'Control Room'!$B$7,('Control Room'!$B$8+'Control Room'!$D$8)/2))+SQRT(1-'Control Room'!$B$9^2)*(I59-IF('Control Room'!$B$5="Normal",'Control Room'!$B$7,('Control Room'!$B$8+'Control Room'!$D$8)/2))</x:f>
        <x:v>844.6572414454478</x:v>
      </x:c>
      <x:c r="K59" s="17" t="n">
        <x:f>IF(AND($A59&gt;='Control Room'!$A$13,$A59&lt;'Control Room'!$A$13+'Control Room'!$B$13,'Process'!BL2=1),1+('Control Room'!$C$13-1)*EXP(-0.5*(($A59-'Control Room'!$A$13-('Control Room'!$B$13-1)/2)/MAX(0.5,'Control Room'!$B$13/4))^2),1)*IF(AND($A59&gt;='Control Room'!$A$14,$A59&lt;'Control Room'!$A$14+'Control Room'!$B$14,'Process'!BL3=1),1+('Control Room'!$C$14-1)*EXP(-0.5*(($A59-'Control Room'!$A$14-('Control Room'!$B$14-1)/2)/MAX(0.5,'Control Room'!$B$14/4))^2),1)*IF(AND($A59&gt;='Control Room'!$A$15,$A59&lt;'Control Room'!$A$15+'Control Room'!$B$15,'Process'!BL4=1),1+('Control Room'!$C$15-1)*EXP(-0.5*(($A59-'Control Room'!$A$15-('Control Room'!$B$15-1)/2)/MAX(0.5,'Control Room'!$B$15/4))^2),1)*IF(AND($A59&gt;='Control Room'!$A$16,$A59&lt;'Control Room'!$A$16+'Control Room'!$B$16,'Process'!BL5=1),1+('Control Room'!$C$16-1)*EXP(-0.5*(($A59-'Control Room'!$A$16-('Control Room'!$B$16-1)/2)/MAX(0.5,'Control Room'!$B$16/4))^2),1)</x:f>
        <x:v>1</x:v>
      </x:c>
      <x:c r="L59" s="9" t="n">
        <x:f>MOD(M58*16807,2147483647)</x:f>
        <x:v>1649202200</x:v>
      </x:c>
      <x:c r="M59" s="9" t="n">
        <x:f>MOD(L59*16807,2147483647)</x:f>
        <x:v>569943571</x:v>
      </x:c>
      <x:c r="N59" s="17" t="n">
        <x:f>IF('Control Room'!$B$5="Normal",'Control Room'!$B$7+'Control Room'!$D$7*SQRT(-2*LN(MAX(0.000000000001,L59/2147483647)))*COS(2*PI()*M59/2147483647),'Control Room'!$B$8+('Control Room'!$D$8-'Control Room'!$B$8)*L59/2147483647)</x:f>
        <x:v>993.6816333538255</x:v>
      </x:c>
      <x:c r="O59" s="17" t="n">
        <x:f>IF('Control Room'!$B$5="Normal",'Control Room'!$B$7,('Control Room'!$B$8+'Control Room'!$D$8)/2)+'Control Room'!$B$9*(O58-IF('Control Room'!$B$5="Normal",'Control Room'!$B$7,('Control Room'!$B$8+'Control Room'!$D$8)/2))+SQRT(1-'Control Room'!$B$9^2)*(N59-IF('Control Room'!$B$5="Normal",'Control Room'!$B$7,('Control Room'!$B$8+'Control Room'!$D$8)/2))</x:f>
        <x:v>909.2927703512139</x:v>
      </x:c>
      <x:c r="P59" s="17" t="n">
        <x:f>IF(AND($A59&gt;='Control Room'!$A$13,$A59&lt;'Control Room'!$A$13+'Control Room'!$B$13,'Process'!BM2=1),1+('Control Room'!$C$13-1)*EXP(-0.5*(($A59-'Control Room'!$A$13-('Control Room'!$B$13-1)/2)/MAX(0.5,'Control Room'!$B$13/4))^2),1)*IF(AND($A59&gt;='Control Room'!$A$14,$A59&lt;'Control Room'!$A$14+'Control Room'!$B$14,'Process'!BM3=1),1+('Control Room'!$C$14-1)*EXP(-0.5*(($A59-'Control Room'!$A$14-('Control Room'!$B$14-1)/2)/MAX(0.5,'Control Room'!$B$14/4))^2),1)*IF(AND($A59&gt;='Control Room'!$A$15,$A59&lt;'Control Room'!$A$15+'Control Room'!$B$15,'Process'!BM4=1),1+('Control Room'!$C$15-1)*EXP(-0.5*(($A59-'Control Room'!$A$15-('Control Room'!$B$15-1)/2)/MAX(0.5,'Control Room'!$B$15/4))^2),1)*IF(AND($A59&gt;='Control Room'!$A$16,$A59&lt;'Control Room'!$A$16+'Control Room'!$B$16,'Process'!BM5=1),1+('Control Room'!$C$16-1)*EXP(-0.5*(($A59-'Control Room'!$A$16-('Control Room'!$B$16-1)/2)/MAX(0.5,'Control Room'!$B$16/4))^2),1)</x:f>
        <x:v>1</x:v>
      </x:c>
      <x:c r="Q59" s="9" t="n">
        <x:f>MOD(R58*16807,2147483647)</x:f>
        <x:v>1308682435</x:v>
      </x:c>
      <x:c r="R59" s="9" t="n">
        <x:f>MOD(Q59*16807,2147483647)</x:f>
        <x:v>498172471</x:v>
      </x:c>
      <x:c r="S59" s="17" t="n">
        <x:f>IF('Control Room'!$B$5="Normal",'Control Room'!$B$7+'Control Room'!$D$7*SQRT(-2*LN(MAX(0.000000000001,Q59/2147483647)))*COS(2*PI()*R59/2147483647),'Control Room'!$B$8+('Control Room'!$D$8-'Control Room'!$B$8)*Q59/2147483647)</x:f>
        <x:v>1010.1203664757062</x:v>
      </x:c>
      <x:c r="T59" s="17" t="n">
        <x:f>IF('Control Room'!$B$5="Normal",'Control Room'!$B$7,('Control Room'!$B$8+'Control Room'!$D$8)/2)+'Control Room'!$B$9*(T58-IF('Control Room'!$B$5="Normal",'Control Room'!$B$7,('Control Room'!$B$8+'Control Room'!$D$8)/2))+SQRT(1-'Control Room'!$B$9^2)*(S59-IF('Control Room'!$B$5="Normal",'Control Room'!$B$7,('Control Room'!$B$8+'Control Room'!$D$8)/2))</x:f>
        <x:v>1002.5476502432747</x:v>
      </x:c>
      <x:c r="U59" s="17" t="n">
        <x:f>IF(AND($A59&gt;='Control Room'!$A$13,$A59&lt;'Control Room'!$A$13+'Control Room'!$B$13,'Process'!BN2=1),1+('Control Room'!$C$13-1)*EXP(-0.5*(($A59-'Control Room'!$A$13-('Control Room'!$B$13-1)/2)/MAX(0.5,'Control Room'!$B$13/4))^2),1)*IF(AND($A59&gt;='Control Room'!$A$14,$A59&lt;'Control Room'!$A$14+'Control Room'!$B$14,'Process'!BN3=1),1+('Control Room'!$C$14-1)*EXP(-0.5*(($A59-'Control Room'!$A$14-('Control Room'!$B$14-1)/2)/MAX(0.5,'Control Room'!$B$14/4))^2),1)*IF(AND($A59&gt;='Control Room'!$A$15,$A59&lt;'Control Room'!$A$15+'Control Room'!$B$15,'Process'!BN4=1),1+('Control Room'!$C$15-1)*EXP(-0.5*(($A59-'Control Room'!$A$15-('Control Room'!$B$15-1)/2)/MAX(0.5,'Control Room'!$B$15/4))^2),1)*IF(AND($A59&gt;='Control Room'!$A$16,$A59&lt;'Control Room'!$A$16+'Control Room'!$B$16,'Process'!BN5=1),1+('Control Room'!$C$16-1)*EXP(-0.5*(($A59-'Control Room'!$A$16-('Control Room'!$B$16-1)/2)/MAX(0.5,'Control Room'!$B$16/4))^2),1)</x:f>
        <x:v>1</x:v>
      </x:c>
      <x:c r="V59" s="9" t="n">
        <x:f>MOD(W58*16807,2147483647)</x:f>
        <x:v>968162670</x:v>
      </x:c>
      <x:c r="W59" s="9" t="n">
        <x:f>MOD(V59*16807,2147483647)</x:f>
        <x:v>426401371</x:v>
      </x:c>
      <x:c r="X59" s="17" t="n">
        <x:f>IF('Control Room'!$B$5="Normal",'Control Room'!$B$7+'Control Room'!$D$7*SQRT(-2*LN(MAX(0.000000000001,V59/2147483647)))*COS(2*PI()*W59/2147483647),'Control Room'!$B$8+('Control Room'!$D$8-'Control Room'!$B$8)*V59/2147483647)</x:f>
        <x:v>1036.0824631068208</x:v>
      </x:c>
      <x:c r="Y59" s="17" t="n">
        <x:f>IF('Control Room'!$B$5="Normal",'Control Room'!$B$7,('Control Room'!$B$8+'Control Room'!$D$8)/2)+'Control Room'!$B$9*(Y58-IF('Control Room'!$B$5="Normal",'Control Room'!$B$7,('Control Room'!$B$8+'Control Room'!$D$8)/2))+SQRT(1-'Control Room'!$B$9^2)*(X59-IF('Control Room'!$B$5="Normal",'Control Room'!$B$7,('Control Room'!$B$8+'Control Room'!$D$8)/2))</x:f>
        <x:v>1058.1285116063896</x:v>
      </x:c>
      <x:c r="Z59" s="17" t="n">
        <x:f>IF(AND($A59&gt;='Control Room'!$A$13,$A59&lt;'Control Room'!$A$13+'Control Room'!$B$13,'Process'!BO2=1),1+('Control Room'!$C$13-1)*EXP(-0.5*(($A59-'Control Room'!$A$13-('Control Room'!$B$13-1)/2)/MAX(0.5,'Control Room'!$B$13/4))^2),1)*IF(AND($A59&gt;='Control Room'!$A$14,$A59&lt;'Control Room'!$A$14+'Control Room'!$B$14,'Process'!BO3=1),1+('Control Room'!$C$14-1)*EXP(-0.5*(($A59-'Control Room'!$A$14-('Control Room'!$B$14-1)/2)/MAX(0.5,'Control Room'!$B$14/4))^2),1)*IF(AND($A59&gt;='Control Room'!$A$15,$A59&lt;'Control Room'!$A$15+'Control Room'!$B$15,'Process'!BO4=1),1+('Control Room'!$C$15-1)*EXP(-0.5*(($A59-'Control Room'!$A$15-('Control Room'!$B$15-1)/2)/MAX(0.5,'Control Room'!$B$15/4))^2),1)*IF(AND($A59&gt;='Control Room'!$A$16,$A59&lt;'Control Room'!$A$16+'Control Room'!$B$16,'Process'!BO5=1),1+('Control Room'!$C$16-1)*EXP(-0.5*(($A59-'Control Room'!$A$16-('Control Room'!$B$16-1)/2)/MAX(0.5,'Control Room'!$B$16/4))^2),1)</x:f>
        <x:v>1</x:v>
      </x:c>
      <x:c r="AA59" s="9" t="n">
        <x:f>MOD(AB58*16807,2147483647)</x:f>
        <x:v>627642905</x:v>
      </x:c>
      <x:c r="AB59" s="9" t="n">
        <x:f>MOD(AA59*16807,2147483647)</x:f>
        <x:v>354630271</x:v>
      </x:c>
      <x:c r="AC59" s="17" t="n">
        <x:f>IF('Control Room'!$B$5="Normal",'Control Room'!$B$7+'Control Room'!$D$7*SQRT(-2*LN(MAX(0.000000000001,AA59/2147483647)))*COS(2*PI()*AB59/2147483647),'Control Room'!$B$8+('Control Room'!$D$8-'Control Room'!$B$8)*AA59/2147483647)</x:f>
        <x:v>1071.7533116285051</x:v>
      </x:c>
      <x:c r="AD59" s="17" t="n">
        <x:f>IF('Control Room'!$B$5="Normal",'Control Room'!$B$7,('Control Room'!$B$8+'Control Room'!$D$8)/2)+'Control Room'!$B$9*(AD58-IF('Control Room'!$B$5="Normal",'Control Room'!$B$7,('Control Room'!$B$8+'Control Room'!$D$8)/2))+SQRT(1-'Control Room'!$B$9^2)*(AC59-IF('Control Room'!$B$5="Normal",'Control Room'!$B$7,('Control Room'!$B$8+'Control Room'!$D$8)/2))</x:f>
        <x:v>1039.4116945557882</x:v>
      </x:c>
      <x:c r="AE59" s="17" t="n">
        <x:f>IF(AND($A59&gt;='Control Room'!$A$13,$A59&lt;'Control Room'!$A$13+'Control Room'!$B$13,'Process'!BP2=1),1+('Control Room'!$C$13-1)*EXP(-0.5*(($A59-'Control Room'!$A$13-('Control Room'!$B$13-1)/2)/MAX(0.5,'Control Room'!$B$13/4))^2),1)*IF(AND($A59&gt;='Control Room'!$A$14,$A59&lt;'Control Room'!$A$14+'Control Room'!$B$14,'Process'!BP3=1),1+('Control Room'!$C$14-1)*EXP(-0.5*(($A59-'Control Room'!$A$14-('Control Room'!$B$14-1)/2)/MAX(0.5,'Control Room'!$B$14/4))^2),1)*IF(AND($A59&gt;='Control Room'!$A$15,$A59&lt;'Control Room'!$A$15+'Control Room'!$B$15,'Process'!BP4=1),1+('Control Room'!$C$15-1)*EXP(-0.5*(($A59-'Control Room'!$A$15-('Control Room'!$B$15-1)/2)/MAX(0.5,'Control Room'!$B$15/4))^2),1)*IF(AND($A59&gt;='Control Room'!$A$16,$A59&lt;'Control Room'!$A$16+'Control Room'!$B$16,'Process'!BP5=1),1+('Control Room'!$C$16-1)*EXP(-0.5*(($A59-'Control Room'!$A$16-('Control Room'!$B$16-1)/2)/MAX(0.5,'Control Room'!$B$16/4))^2),1)</x:f>
        <x:v>1</x:v>
      </x:c>
      <x:c r="AF59" s="9" t="n">
        <x:f>MOD(AG58*16807,2147483647)</x:f>
        <x:v>287123140</x:v>
      </x:c>
      <x:c r="AG59" s="9" t="n">
        <x:f>MOD(AF59*16807,2147483647)</x:f>
        <x:v>282859171</x:v>
      </x:c>
      <x:c r="AH59" s="17" t="n">
        <x:f>IF('Control Room'!$B$5="Normal",'Control Room'!$B$7+'Control Room'!$D$7*SQRT(-2*LN(MAX(0.000000000001,AF59/2147483647)))*COS(2*PI()*AG59/2147483647),'Control Room'!$B$8+('Control Room'!$D$8-'Control Room'!$B$8)*AF59/2147483647)</x:f>
        <x:v>1122.1652452352346</x:v>
      </x:c>
      <x:c r="AI59" s="17" t="n">
        <x:f>IF('Control Room'!$B$5="Normal",'Control Room'!$B$7,('Control Room'!$B$8+'Control Room'!$D$8)/2)+'Control Room'!$B$9*(AI58-IF('Control Room'!$B$5="Normal",'Control Room'!$B$7,('Control Room'!$B$8+'Control Room'!$D$8)/2))+SQRT(1-'Control Room'!$B$9^2)*(AH59-IF('Control Room'!$B$5="Normal",'Control Room'!$B$7,('Control Room'!$B$8+'Control Room'!$D$8)/2))</x:f>
        <x:v>1137.4422928124336</x:v>
      </x:c>
      <x:c r="AJ59" s="17" t="n">
        <x:f>IF(AND($A59&gt;='Control Room'!$A$13,$A59&lt;'Control Room'!$A$13+'Control Room'!$B$13,'Process'!BQ2=1),1+('Control Room'!$C$13-1)*EXP(-0.5*(($A59-'Control Room'!$A$13-('Control Room'!$B$13-1)/2)/MAX(0.5,'Control Room'!$B$13/4))^2),1)*IF(AND($A59&gt;='Control Room'!$A$14,$A59&lt;'Control Room'!$A$14+'Control Room'!$B$14,'Process'!BQ3=1),1+('Control Room'!$C$14-1)*EXP(-0.5*(($A59-'Control Room'!$A$14-('Control Room'!$B$14-1)/2)/MAX(0.5,'Control Room'!$B$14/4))^2),1)*IF(AND($A59&gt;='Control Room'!$A$15,$A59&lt;'Control Room'!$A$15+'Control Room'!$B$15,'Process'!BQ4=1),1+('Control Room'!$C$15-1)*EXP(-0.5*(($A59-'Control Room'!$A$15-('Control Room'!$B$15-1)/2)/MAX(0.5,'Control Room'!$B$15/4))^2),1)*IF(AND($A59&gt;='Control Room'!$A$16,$A59&lt;'Control Room'!$A$16+'Control Room'!$B$16,'Process'!BQ5=1),1+('Control Room'!$C$16-1)*EXP(-0.5*(($A59-'Control Room'!$A$16-('Control Room'!$B$16-1)/2)/MAX(0.5,'Control Room'!$B$16/4))^2),1)</x:f>
        <x:v>1</x:v>
      </x:c>
      <x:c r="AK59" s="9" t="n">
        <x:f>MOD(AL58*16807,2147483647)</x:f>
        <x:v>2094087022</x:v>
      </x:c>
      <x:c r="AL59" s="9" t="n">
        <x:f>MOD(AK59*16807,2147483647)</x:f>
        <x:v>211088071</x:v>
      </x:c>
      <x:c r="AM59" s="17" t="n">
        <x:f>IF('Control Room'!$B$5="Normal",'Control Room'!$B$7+'Control Room'!$D$7*SQRT(-2*LN(MAX(0.000000000001,AK59/2147483647)))*COS(2*PI()*AL59/2147483647),'Control Room'!$B$8+('Control Room'!$D$8-'Control Room'!$B$8)*AK59/2147483647)</x:f>
        <x:v>1016.4655596175255</x:v>
      </x:c>
      <x:c r="AN59" s="17" t="n">
        <x:f>IF('Control Room'!$B$5="Normal",'Control Room'!$B$7,('Control Room'!$B$8+'Control Room'!$D$8)/2)+'Control Room'!$B$9*(AN58-IF('Control Room'!$B$5="Normal",'Control Room'!$B$7,('Control Room'!$B$8+'Control Room'!$D$8)/2))+SQRT(1-'Control Room'!$B$9^2)*(AM59-IF('Control Room'!$B$5="Normal",'Control Room'!$B$7,('Control Room'!$B$8+'Control Room'!$D$8)/2))</x:f>
        <x:v>1030.31954171999</x:v>
      </x:c>
      <x:c r="AO59" s="17" t="n">
        <x:f>IF(AND($A59&gt;='Control Room'!$A$13,$A59&lt;'Control Room'!$A$13+'Control Room'!$B$13,'Process'!BR2=1),1+('Control Room'!$C$13-1)*EXP(-0.5*(($A59-'Control Room'!$A$13-('Control Room'!$B$13-1)/2)/MAX(0.5,'Control Room'!$B$13/4))^2),1)*IF(AND($A59&gt;='Control Room'!$A$14,$A59&lt;'Control Room'!$A$14+'Control Room'!$B$14,'Process'!BR3=1),1+('Control Room'!$C$14-1)*EXP(-0.5*(($A59-'Control Room'!$A$14-('Control Room'!$B$14-1)/2)/MAX(0.5,'Control Room'!$B$14/4))^2),1)*IF(AND($A59&gt;='Control Room'!$A$15,$A59&lt;'Control Room'!$A$15+'Control Room'!$B$15,'Process'!BR4=1),1+('Control Room'!$C$15-1)*EXP(-0.5*(($A59-'Control Room'!$A$15-('Control Room'!$B$15-1)/2)/MAX(0.5,'Control Room'!$B$15/4))^2),1)*IF(AND($A59&gt;='Control Room'!$A$16,$A59&lt;'Control Room'!$A$16+'Control Room'!$B$16,'Process'!BR5=1),1+('Control Room'!$C$16-1)*EXP(-0.5*(($A59-'Control Room'!$A$16-('Control Room'!$B$16-1)/2)/MAX(0.5,'Control Room'!$B$16/4))^2),1)</x:f>
        <x:v>1</x:v>
      </x:c>
      <x:c r="AP59" s="9" t="n">
        <x:f>MOD(AQ58*16807,2147483647)</x:f>
        <x:v>1753567257</x:v>
      </x:c>
      <x:c r="AQ59" s="9" t="n">
        <x:f>MOD(AP59*16807,2147483647)</x:f>
        <x:v>139316971</x:v>
      </x:c>
      <x:c r="AR59" s="17" t="n">
        <x:f>IF('Control Room'!$B$5="Normal",'Control Room'!$B$7+'Control Room'!$D$7*SQRT(-2*LN(MAX(0.000000000001,AP59/2147483647)))*COS(2*PI()*AQ59/2147483647),'Control Room'!$B$8+('Control Room'!$D$8-'Control Room'!$B$8)*AP59/2147483647)</x:f>
        <x:v>1052.6016822315826</x:v>
      </x:c>
      <x:c r="AS59" s="17" t="n">
        <x:f>IF('Control Room'!$B$5="Normal",'Control Room'!$B$7,('Control Room'!$B$8+'Control Room'!$D$8)/2)+'Control Room'!$B$9*(AS58-IF('Control Room'!$B$5="Normal",'Control Room'!$B$7,('Control Room'!$B$8+'Control Room'!$D$8)/2))+SQRT(1-'Control Room'!$B$9^2)*(AR59-IF('Control Room'!$B$5="Normal",'Control Room'!$B$7,('Control Room'!$B$8+'Control Room'!$D$8)/2))</x:f>
        <x:v>1052.0681733347244</x:v>
      </x:c>
      <x:c r="AT59" s="17" t="n">
        <x:f>IF(AND($A59&gt;='Control Room'!$A$13,$A59&lt;'Control Room'!$A$13+'Control Room'!$B$13,'Process'!BS2=1),1+('Control Room'!$C$13-1)*EXP(-0.5*(($A59-'Control Room'!$A$13-('Control Room'!$B$13-1)/2)/MAX(0.5,'Control Room'!$B$13/4))^2),1)*IF(AND($A59&gt;='Control Room'!$A$14,$A59&lt;'Control Room'!$A$14+'Control Room'!$B$14,'Process'!BS3=1),1+('Control Room'!$C$14-1)*EXP(-0.5*(($A59-'Control Room'!$A$14-('Control Room'!$B$14-1)/2)/MAX(0.5,'Control Room'!$B$14/4))^2),1)*IF(AND($A59&gt;='Control Room'!$A$15,$A59&lt;'Control Room'!$A$15+'Control Room'!$B$15,'Process'!BS4=1),1+('Control Room'!$C$15-1)*EXP(-0.5*(($A59-'Control Room'!$A$15-('Control Room'!$B$15-1)/2)/MAX(0.5,'Control Room'!$B$15/4))^2),1)*IF(AND($A59&gt;='Control Room'!$A$16,$A59&lt;'Control Room'!$A$16+'Control Room'!$B$16,'Process'!BS5=1),1+('Control Room'!$C$16-1)*EXP(-0.5*(($A59-'Control Room'!$A$16-('Control Room'!$B$16-1)/2)/MAX(0.5,'Control Room'!$B$16/4))^2),1)</x:f>
        <x:v>1</x:v>
      </x:c>
      <x:c r="AU59" s="9" t="n">
        <x:f>MOD(AV58*16807,2147483647)</x:f>
        <x:v>1413047492</x:v>
      </x:c>
      <x:c r="AV59" s="9" t="n">
        <x:f>MOD(AU59*16807,2147483647)</x:f>
        <x:v>67545871</x:v>
      </x:c>
      <x:c r="AW59" s="17" t="n">
        <x:f>IF('Control Room'!$B$5="Normal",'Control Room'!$B$7+'Control Room'!$D$7*SQRT(-2*LN(MAX(0.000000000001,AU59/2147483647)))*COS(2*PI()*AV59/2147483647),'Control Room'!$B$8+('Control Room'!$D$8-'Control Room'!$B$8)*AU59/2147483647)</x:f>
        <x:v>1080.7408434911854</x:v>
      </x:c>
      <x:c r="AX59" s="17" t="n">
        <x:f>IF('Control Room'!$B$5="Normal",'Control Room'!$B$7,('Control Room'!$B$8+'Control Room'!$D$8)/2)+'Control Room'!$B$9*(AX58-IF('Control Room'!$B$5="Normal",'Control Room'!$B$7,('Control Room'!$B$8+'Control Room'!$D$8)/2))+SQRT(1-'Control Room'!$B$9^2)*(AW59-IF('Control Room'!$B$5="Normal",'Control Room'!$B$7,('Control Room'!$B$8+'Control Room'!$D$8)/2))</x:f>
        <x:v>1124.4750155211896</x:v>
      </x:c>
      <x:c r="AY59" s="17" t="n">
        <x:f>IF(AND($A59&gt;='Control Room'!$A$13,$A59&lt;'Control Room'!$A$13+'Control Room'!$B$13,'Process'!BT2=1),1+('Control Room'!$C$13-1)*EXP(-0.5*(($A59-'Control Room'!$A$13-('Control Room'!$B$13-1)/2)/MAX(0.5,'Control Room'!$B$13/4))^2),1)*IF(AND($A59&gt;='Control Room'!$A$14,$A59&lt;'Control Room'!$A$14+'Control Room'!$B$14,'Process'!BT3=1),1+('Control Room'!$C$14-1)*EXP(-0.5*(($A59-'Control Room'!$A$14-('Control Room'!$B$14-1)/2)/MAX(0.5,'Control Room'!$B$14/4))^2),1)*IF(AND($A59&gt;='Control Room'!$A$15,$A59&lt;'Control Room'!$A$15+'Control Room'!$B$15,'Process'!BT4=1),1+('Control Room'!$C$15-1)*EXP(-0.5*(($A59-'Control Room'!$A$15-('Control Room'!$B$15-1)/2)/MAX(0.5,'Control Room'!$B$15/4))^2),1)*IF(AND($A59&gt;='Control Room'!$A$16,$A59&lt;'Control Room'!$A$16+'Control Room'!$B$16,'Process'!BT5=1),1+('Control Room'!$C$16-1)*EXP(-0.5*(($A59-'Control Room'!$A$16-('Control Room'!$B$16-1)/2)/MAX(0.5,'Control Room'!$B$16/4))^2),1)</x:f>
        <x:v>1</x:v>
      </x:c>
      <x:c r="AZ59" s="9" t="n">
        <x:f>MOD(BA58*16807,2147483647)</x:f>
        <x:v>1072527727</x:v>
      </x:c>
      <x:c r="BA59" s="9" t="n">
        <x:f>MOD(AZ59*16807,2147483647)</x:f>
        <x:v>2143258418</x:v>
      </x:c>
      <x:c r="BB59" s="17" t="n">
        <x:f>IF('Control Room'!$B$5="Normal",'Control Room'!$B$7+'Control Room'!$D$7*SQRT(-2*LN(MAX(0.000000000001,AZ59/2147483647)))*COS(2*PI()*BA59/2147483647),'Control Room'!$B$8+('Control Room'!$D$8-'Control Room'!$B$8)*AZ59/2147483647)</x:f>
        <x:v>1106.0452425737758</x:v>
      </x:c>
      <x:c r="BC59" s="17" t="n">
        <x:f>IF('Control Room'!$B$5="Normal",'Control Room'!$B$7,('Control Room'!$B$8+'Control Room'!$D$8)/2)+'Control Room'!$B$9*(BC58-IF('Control Room'!$B$5="Normal",'Control Room'!$B$7,('Control Room'!$B$8+'Control Room'!$D$8)/2))+SQRT(1-'Control Room'!$B$9^2)*(BB59-IF('Control Room'!$B$5="Normal",'Control Room'!$B$7,('Control Room'!$B$8+'Control Room'!$D$8)/2))</x:f>
        <x:v>1096.7183600243727</x:v>
      </x:c>
      <x:c r="BD59" s="17" t="n">
        <x:f>IF(AND($A59&gt;='Control Room'!$A$13,$A59&lt;'Control Room'!$A$13+'Control Room'!$B$13,'Process'!BU2=1),1+('Control Room'!$C$13-1)*EXP(-0.5*(($A59-'Control Room'!$A$13-('Control Room'!$B$13-1)/2)/MAX(0.5,'Control Room'!$B$13/4))^2),1)*IF(AND($A59&gt;='Control Room'!$A$14,$A59&lt;'Control Room'!$A$14+'Control Room'!$B$14,'Process'!BU3=1),1+('Control Room'!$C$14-1)*EXP(-0.5*(($A59-'Control Room'!$A$14-('Control Room'!$B$14-1)/2)/MAX(0.5,'Control Room'!$B$14/4))^2),1)*IF(AND($A59&gt;='Control Room'!$A$15,$A59&lt;'Control Room'!$A$15+'Control Room'!$B$15,'Process'!BU4=1),1+('Control Room'!$C$15-1)*EXP(-0.5*(($A59-'Control Room'!$A$15-('Control Room'!$B$15-1)/2)/MAX(0.5,'Control Room'!$B$15/4))^2),1)*IF(AND($A59&gt;='Control Room'!$A$16,$A59&lt;'Control Room'!$A$16+'Control Room'!$B$16,'Process'!BU5=1),1+('Control Room'!$C$16-1)*EXP(-0.5*(($A59-'Control Room'!$A$16-('Control Room'!$B$16-1)/2)/MAX(0.5,'Control Room'!$B$16/4))^2),1)</x:f>
        <x:v>1</x:v>
      </x:c>
      <x:c r="BE59" s="9" t="n">
        <x:f>MOD(BF58*16807,2147483647)</x:f>
        <x:v>732007962</x:v>
      </x:c>
      <x:c r="BF59" s="9" t="n">
        <x:f>MOD(BE59*16807,2147483647)</x:f>
        <x:v>2071487318</x:v>
      </x:c>
      <x:c r="BG59" s="17" t="n">
        <x:f>IF('Control Room'!$B$5="Normal",'Control Room'!$B$7+'Control Room'!$D$7*SQRT(-2*LN(MAX(0.000000000001,BE59/2147483647)))*COS(2*PI()*BF59/2147483647),'Control Room'!$B$8+('Control Room'!$D$8-'Control Room'!$B$8)*BE59/2147483647)</x:f>
        <x:v>1128.7925260662803</x:v>
      </x:c>
      <x:c r="BH59" s="17" t="n">
        <x:f>IF('Control Room'!$B$5="Normal",'Control Room'!$B$7,('Control Room'!$B$8+'Control Room'!$D$8)/2)+'Control Room'!$B$9*(BH58-IF('Control Room'!$B$5="Normal",'Control Room'!$B$7,('Control Room'!$B$8+'Control Room'!$D$8)/2))+SQRT(1-'Control Room'!$B$9^2)*(BG59-IF('Control Room'!$B$5="Normal",'Control Room'!$B$7,('Control Room'!$B$8+'Control Room'!$D$8)/2))</x:f>
        <x:v>1155.2435116229353</x:v>
      </x:c>
      <x:c r="BI59" s="17" t="n">
        <x:f>IF(AND($A59&gt;='Control Room'!$A$13,$A59&lt;'Control Room'!$A$13+'Control Room'!$B$13,'Process'!BV2=1),1+('Control Room'!$C$13-1)*EXP(-0.5*(($A59-'Control Room'!$A$13-('Control Room'!$B$13-1)/2)/MAX(0.5,'Control Room'!$B$13/4))^2),1)*IF(AND($A59&gt;='Control Room'!$A$14,$A59&lt;'Control Room'!$A$14+'Control Room'!$B$14,'Process'!BV3=1),1+('Control Room'!$C$14-1)*EXP(-0.5*(($A59-'Control Room'!$A$14-('Control Room'!$B$14-1)/2)/MAX(0.5,'Control Room'!$B$14/4))^2),1)*IF(AND($A59&gt;='Control Room'!$A$15,$A59&lt;'Control Room'!$A$15+'Control Room'!$B$15,'Process'!BV4=1),1+('Control Room'!$C$15-1)*EXP(-0.5*(($A59-'Control Room'!$A$15-('Control Room'!$B$15-1)/2)/MAX(0.5,'Control Room'!$B$15/4))^2),1)*IF(AND($A59&gt;='Control Room'!$A$16,$A59&lt;'Control Room'!$A$16+'Control Room'!$B$16,'Process'!BV5=1),1+('Control Room'!$C$16-1)*EXP(-0.5*(($A59-'Control Room'!$A$16-('Control Room'!$B$16-1)/2)/MAX(0.5,'Control Room'!$B$16/4))^2),1)</x:f>
        <x:v>1</x:v>
      </x:c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Z59" t="str">
        <x:f>IF('Data'!A59="","",TEXT('Data'!A59,"mm-dd"))</x:f>
        <x:v>12-29</x:v>
      </x:c>
    </x:row>
    <x:row r="60" ht="21" customHeight="1">
      <x:c r="A60" s="15" t="n">
        <x:f>'Control Room'!$B$1+58</x:f>
        <x:v>73049</x:v>
      </x:c>
      <x:c r="B60" s="9" t="n">
        <x:f>MOD(C59*16807,2147483647)</x:f>
        <x:v>6668349</x:v>
      </x:c>
      <x:c r="C60" s="9" t="n">
        <x:f>MOD(B60*16807,2147483647)</x:f>
        <x:v>405791999</x:v>
      </x:c>
      <x:c r="D60" s="17" t="n">
        <x:f>IF('Control Room'!$B$5="Normal",'Control Room'!$B$7+'Control Room'!$D$7*SQRT(-2*LN(MAX(0.000000000001,B60/2147483647)))*COS(2*PI()*C60/2147483647),'Control Room'!$B$8+('Control Room'!$D$8-'Control Room'!$B$8)*B60/2147483647)</x:f>
        <x:v>1114.4472342737524</x:v>
      </x:c>
      <x:c r="E60" s="17" t="n">
        <x:f>IF('Control Room'!$B$5="Normal",'Control Room'!$B$7,('Control Room'!$B$8+'Control Room'!$D$8)/2)+'Control Room'!$B$9*(E59-IF('Control Room'!$B$5="Normal",'Control Room'!$B$7,('Control Room'!$B$8+'Control Room'!$D$8)/2))+SQRT(1-'Control Room'!$B$9^2)*(D60-IF('Control Room'!$B$5="Normal",'Control Room'!$B$7,('Control Room'!$B$8+'Control Room'!$D$8)/2))</x:f>
        <x:v>943.7709152232717</x:v>
      </x:c>
      <x:c r="F60" s="17" t="n">
        <x:f>IF(AND($A60&gt;='Control Room'!$A$13,$A60&lt;'Control Room'!$A$13+'Control Room'!$B$13,'Process'!BK2=1),1+('Control Room'!$C$13-1)*EXP(-0.5*(($A60-'Control Room'!$A$13-('Control Room'!$B$13-1)/2)/MAX(0.5,'Control Room'!$B$13/4))^2),1)*IF(AND($A60&gt;='Control Room'!$A$14,$A60&lt;'Control Room'!$A$14+'Control Room'!$B$14,'Process'!BK3=1),1+('Control Room'!$C$14-1)*EXP(-0.5*(($A60-'Control Room'!$A$14-('Control Room'!$B$14-1)/2)/MAX(0.5,'Control Room'!$B$14/4))^2),1)*IF(AND($A60&gt;='Control Room'!$A$15,$A60&lt;'Control Room'!$A$15+'Control Room'!$B$15,'Process'!BK4=1),1+('Control Room'!$C$15-1)*EXP(-0.5*(($A60-'Control Room'!$A$15-('Control Room'!$B$15-1)/2)/MAX(0.5,'Control Room'!$B$15/4))^2),1)*IF(AND($A60&gt;='Control Room'!$A$16,$A60&lt;'Control Room'!$A$16+'Control Room'!$B$16,'Process'!BK5=1),1+('Control Room'!$C$16-1)*EXP(-0.5*(($A60-'Control Room'!$A$16-('Control Room'!$B$16-1)/2)/MAX(0.5,'Control Room'!$B$16/4))^2),1)</x:f>
        <x:v>1</x:v>
      </x:c>
      <x:c r="G60" s="9" t="n">
        <x:f>MOD(H59*16807,2147483647)</x:f>
        <x:v>635600263</x:v>
      </x:c>
      <x:c r="H60" s="9" t="n">
        <x:f>MOD(G60*16807,2147483647)</x:f>
        <x:v>949960063</x:v>
      </x:c>
      <x:c r="I60" s="17" t="n">
        <x:f>IF('Control Room'!$B$5="Normal",'Control Room'!$B$7+'Control Room'!$D$7*SQRT(-2*LN(MAX(0.000000000001,G60/2147483647)))*COS(2*PI()*H60/2147483647),'Control Room'!$B$8+('Control Room'!$D$8-'Control Room'!$B$8)*G60/2147483647)</x:f>
        <x:v>868.6706817503135</x:v>
      </x:c>
      <x:c r="J60" s="17" t="n">
        <x:f>IF('Control Room'!$B$5="Normal",'Control Room'!$B$7,('Control Room'!$B$8+'Control Room'!$D$8)/2)+'Control Room'!$B$9*(J59-IF('Control Room'!$B$5="Normal",'Control Room'!$B$7,('Control Room'!$B$8+'Control Room'!$D$8)/2))+SQRT(1-'Control Room'!$B$9^2)*(I60-IF('Control Room'!$B$5="Normal",'Control Room'!$B$7,('Control Room'!$B$8+'Control Room'!$D$8)/2))</x:f>
        <x:v>796.6494513941176</x:v>
      </x:c>
      <x:c r="K60" s="17" t="n">
        <x:f>IF(AND($A60&gt;='Control Room'!$A$13,$A60&lt;'Control Room'!$A$13+'Control Room'!$B$13,'Process'!BL2=1),1+('Control Room'!$C$13-1)*EXP(-0.5*(($A60-'Control Room'!$A$13-('Control Room'!$B$13-1)/2)/MAX(0.5,'Control Room'!$B$13/4))^2),1)*IF(AND($A60&gt;='Control Room'!$A$14,$A60&lt;'Control Room'!$A$14+'Control Room'!$B$14,'Process'!BL3=1),1+('Control Room'!$C$14-1)*EXP(-0.5*(($A60-'Control Room'!$A$14-('Control Room'!$B$14-1)/2)/MAX(0.5,'Control Room'!$B$14/4))^2),1)*IF(AND($A60&gt;='Control Room'!$A$15,$A60&lt;'Control Room'!$A$15+'Control Room'!$B$15,'Process'!BL4=1),1+('Control Room'!$C$15-1)*EXP(-0.5*(($A60-'Control Room'!$A$15-('Control Room'!$B$15-1)/2)/MAX(0.5,'Control Room'!$B$15/4))^2),1)*IF(AND($A60&gt;='Control Room'!$A$16,$A60&lt;'Control Room'!$A$16+'Control Room'!$B$16,'Process'!BL5=1),1+('Control Room'!$C$16-1)*EXP(-0.5*(($A60-'Control Room'!$A$16-('Control Room'!$B$16-1)/2)/MAX(0.5,'Control Room'!$B$16/4))^2),1)</x:f>
        <x:v>1</x:v>
      </x:c>
      <x:c r="L60" s="9" t="n">
        <x:f>MOD(M59*16807,2147483647)</x:f>
        <x:v>1264532177</x:v>
      </x:c>
      <x:c r="M60" s="9" t="n">
        <x:f>MOD(L60*16807,2147483647)</x:f>
        <x:v>1494128127</x:v>
      </x:c>
      <x:c r="N60" s="17" t="n">
        <x:f>IF('Control Room'!$B$5="Normal",'Control Room'!$B$7+'Control Room'!$D$7*SQRT(-2*LN(MAX(0.000000000001,L60/2147483647)))*COS(2*PI()*M60/2147483647),'Control Room'!$B$8+('Control Room'!$D$8-'Control Room'!$B$8)*L60/2147483647)</x:f>
        <x:v>969.0395375181909</x:v>
      </x:c>
      <x:c r="O60" s="17" t="n">
        <x:f>IF('Control Room'!$B$5="Normal",'Control Room'!$B$7,('Control Room'!$B$8+'Control Room'!$D$8)/2)+'Control Room'!$B$9*(O59-IF('Control Room'!$B$5="Normal",'Control Room'!$B$7,('Control Room'!$B$8+'Control Room'!$D$8)/2))+SQRT(1-'Control Room'!$B$9^2)*(N60-IF('Control Room'!$B$5="Normal",'Control Room'!$B$7,('Control Room'!$B$8+'Control Room'!$D$8)/2))</x:f>
        <x:v>909.8739377123796</x:v>
      </x:c>
      <x:c r="P60" s="17" t="n">
        <x:f>IF(AND($A60&gt;='Control Room'!$A$13,$A60&lt;'Control Room'!$A$13+'Control Room'!$B$13,'Process'!BM2=1),1+('Control Room'!$C$13-1)*EXP(-0.5*(($A60-'Control Room'!$A$13-('Control Room'!$B$13-1)/2)/MAX(0.5,'Control Room'!$B$13/4))^2),1)*IF(AND($A60&gt;='Control Room'!$A$14,$A60&lt;'Control Room'!$A$14+'Control Room'!$B$14,'Process'!BM3=1),1+('Control Room'!$C$14-1)*EXP(-0.5*(($A60-'Control Room'!$A$14-('Control Room'!$B$14-1)/2)/MAX(0.5,'Control Room'!$B$14/4))^2),1)*IF(AND($A60&gt;='Control Room'!$A$15,$A60&lt;'Control Room'!$A$15+'Control Room'!$B$15,'Process'!BM4=1),1+('Control Room'!$C$15-1)*EXP(-0.5*(($A60-'Control Room'!$A$15-('Control Room'!$B$15-1)/2)/MAX(0.5,'Control Room'!$B$15/4))^2),1)*IF(AND($A60&gt;='Control Room'!$A$16,$A60&lt;'Control Room'!$A$16+'Control Room'!$B$16,'Process'!BM5=1),1+('Control Room'!$C$16-1)*EXP(-0.5*(($A60-'Control Room'!$A$16-('Control Room'!$B$16-1)/2)/MAX(0.5,'Control Room'!$B$16/4))^2),1)</x:f>
        <x:v>1</x:v>
      </x:c>
      <x:c r="Q60" s="9" t="n">
        <x:f>MOD(R59*16807,2147483647)</x:f>
        <x:v>1893464091</x:v>
      </x:c>
      <x:c r="R60" s="9" t="n">
        <x:f>MOD(Q60*16807,2147483647)</x:f>
        <x:v>2038296191</x:v>
      </x:c>
      <x:c r="S60" s="17" t="n">
        <x:f>IF('Control Room'!$B$5="Normal",'Control Room'!$B$7+'Control Room'!$D$7*SQRT(-2*LN(MAX(0.000000000001,Q60/2147483647)))*COS(2*PI()*R60/2147483647),'Control Room'!$B$8+('Control Room'!$D$8-'Control Room'!$B$8)*Q60/2147483647)</x:f>
        <x:v>1042.8747793304995</x:v>
      </x:c>
      <x:c r="T60" s="17" t="n">
        <x:f>IF('Control Room'!$B$5="Normal",'Control Room'!$B$7,('Control Room'!$B$8+'Control Room'!$D$8)/2)+'Control Room'!$B$9*(T59-IF('Control Room'!$B$5="Normal",'Control Room'!$B$7,('Control Room'!$B$8+'Control Room'!$D$8)/2))+SQRT(1-'Control Room'!$B$9^2)*(S60-IF('Control Room'!$B$5="Normal",'Control Room'!$B$7,('Control Room'!$B$8+'Control Room'!$D$8)/2))</x:f>
        <x:v>1028.8173257571843</x:v>
      </x:c>
      <x:c r="U60" s="17" t="n">
        <x:f>IF(AND($A60&gt;='Control Room'!$A$13,$A60&lt;'Control Room'!$A$13+'Control Room'!$B$13,'Process'!BN2=1),1+('Control Room'!$C$13-1)*EXP(-0.5*(($A60-'Control Room'!$A$13-('Control Room'!$B$13-1)/2)/MAX(0.5,'Control Room'!$B$13/4))^2),1)*IF(AND($A60&gt;='Control Room'!$A$14,$A60&lt;'Control Room'!$A$14+'Control Room'!$B$14,'Process'!BN3=1),1+('Control Room'!$C$14-1)*EXP(-0.5*(($A60-'Control Room'!$A$14-('Control Room'!$B$14-1)/2)/MAX(0.5,'Control Room'!$B$14/4))^2),1)*IF(AND($A60&gt;='Control Room'!$A$15,$A60&lt;'Control Room'!$A$15+'Control Room'!$B$15,'Process'!BN4=1),1+('Control Room'!$C$15-1)*EXP(-0.5*(($A60-'Control Room'!$A$15-('Control Room'!$B$15-1)/2)/MAX(0.5,'Control Room'!$B$15/4))^2),1)*IF(AND($A60&gt;='Control Room'!$A$16,$A60&lt;'Control Room'!$A$16+'Control Room'!$B$16,'Process'!BN5=1),1+('Control Room'!$C$16-1)*EXP(-0.5*(($A60-'Control Room'!$A$16-('Control Room'!$B$16-1)/2)/MAX(0.5,'Control Room'!$B$16/4))^2),1)</x:f>
        <x:v>1</x:v>
      </x:c>
      <x:c r="V60" s="9" t="n">
        <x:f>MOD(W59*16807,2147483647)</x:f>
        <x:v>374912358</x:v>
      </x:c>
      <x:c r="W60" s="9" t="n">
        <x:f>MOD(V60*16807,2147483647)</x:f>
        <x:v>434980608</x:v>
      </x:c>
      <x:c r="X60" s="17" t="n">
        <x:f>IF('Control Room'!$B$5="Normal",'Control Room'!$B$7+'Control Room'!$D$7*SQRT(-2*LN(MAX(0.000000000001,V60/2147483647)))*COS(2*PI()*W60/2147483647),'Control Room'!$B$8+('Control Room'!$D$8-'Control Room'!$B$8)*V60/2147483647)</x:f>
        <x:v>1049.3890758303944</x:v>
      </x:c>
      <x:c r="Y60" s="17" t="n">
        <x:f>IF('Control Room'!$B$5="Normal",'Control Room'!$B$7,('Control Room'!$B$8+'Control Room'!$D$8)/2)+'Control Room'!$B$9*(Y59-IF('Control Room'!$B$5="Normal",'Control Room'!$B$7,('Control Room'!$B$8+'Control Room'!$D$8)/2))+SQRT(1-'Control Room'!$B$9^2)*(X60-IF('Control Room'!$B$5="Normal",'Control Room'!$B$7,('Control Room'!$B$8+'Control Room'!$D$8)/2))</x:f>
        <x:v>1076.2469109174306</x:v>
      </x:c>
      <x:c r="Z60" s="17" t="n">
        <x:f>IF(AND($A60&gt;='Control Room'!$A$13,$A60&lt;'Control Room'!$A$13+'Control Room'!$B$13,'Process'!BO2=1),1+('Control Room'!$C$13-1)*EXP(-0.5*(($A60-'Control Room'!$A$13-('Control Room'!$B$13-1)/2)/MAX(0.5,'Control Room'!$B$13/4))^2),1)*IF(AND($A60&gt;='Control Room'!$A$14,$A60&lt;'Control Room'!$A$14+'Control Room'!$B$14,'Process'!BO3=1),1+('Control Room'!$C$14-1)*EXP(-0.5*(($A60-'Control Room'!$A$14-('Control Room'!$B$14-1)/2)/MAX(0.5,'Control Room'!$B$14/4))^2),1)*IF(AND($A60&gt;='Control Room'!$A$15,$A60&lt;'Control Room'!$A$15+'Control Room'!$B$15,'Process'!BO4=1),1+('Control Room'!$C$15-1)*EXP(-0.5*(($A60-'Control Room'!$A$15-('Control Room'!$B$15-1)/2)/MAX(0.5,'Control Room'!$B$15/4))^2),1)*IF(AND($A60&gt;='Control Room'!$A$16,$A60&lt;'Control Room'!$A$16+'Control Room'!$B$16,'Process'!BO5=1),1+('Control Room'!$C$16-1)*EXP(-0.5*(($A60-'Control Room'!$A$16-('Control Room'!$B$16-1)/2)/MAX(0.5,'Control Room'!$B$16/4))^2),1)</x:f>
        <x:v>1</x:v>
      </x:c>
      <x:c r="AA60" s="9" t="n">
        <x:f>MOD(AB59*16807,2147483647)</x:f>
        <x:v>1003844272</x:v>
      </x:c>
      <x:c r="AB60" s="9" t="n">
        <x:f>MOD(AA60*16807,2147483647)</x:f>
        <x:v>979148672</x:v>
      </x:c>
      <x:c r="AC60" s="17" t="n">
        <x:f>IF('Control Room'!$B$5="Normal",'Control Room'!$B$7+'Control Room'!$D$7*SQRT(-2*LN(MAX(0.000000000001,AA60/2147483647)))*COS(2*PI()*AB60/2147483647),'Control Room'!$B$8+('Control Room'!$D$8-'Control Room'!$B$8)*AA60/2147483647)</x:f>
        <x:v>893.2308589109787</x:v>
      </x:c>
      <x:c r="AD60" s="17" t="n">
        <x:f>IF('Control Room'!$B$5="Normal",'Control Room'!$B$7,('Control Room'!$B$8+'Control Room'!$D$8)/2)+'Control Room'!$B$9*(AD59-IF('Control Room'!$B$5="Normal",'Control Room'!$B$7,('Control Room'!$B$8+'Control Room'!$D$8)/2))+SQRT(1-'Control Room'!$B$9^2)*(AC60-IF('Control Room'!$B$5="Normal",'Control Room'!$B$7,('Control Room'!$B$8+'Control Room'!$D$8)/2))</x:f>
        <x:v>963.92718054475</x:v>
      </x:c>
      <x:c r="AE60" s="17" t="n">
        <x:f>IF(AND($A60&gt;='Control Room'!$A$13,$A60&lt;'Control Room'!$A$13+'Control Room'!$B$13,'Process'!BP2=1),1+('Control Room'!$C$13-1)*EXP(-0.5*(($A60-'Control Room'!$A$13-('Control Room'!$B$13-1)/2)/MAX(0.5,'Control Room'!$B$13/4))^2),1)*IF(AND($A60&gt;='Control Room'!$A$14,$A60&lt;'Control Room'!$A$14+'Control Room'!$B$14,'Process'!BP3=1),1+('Control Room'!$C$14-1)*EXP(-0.5*(($A60-'Control Room'!$A$14-('Control Room'!$B$14-1)/2)/MAX(0.5,'Control Room'!$B$14/4))^2),1)*IF(AND($A60&gt;='Control Room'!$A$15,$A60&lt;'Control Room'!$A$15+'Control Room'!$B$15,'Process'!BP4=1),1+('Control Room'!$C$15-1)*EXP(-0.5*(($A60-'Control Room'!$A$15-('Control Room'!$B$15-1)/2)/MAX(0.5,'Control Room'!$B$15/4))^2),1)*IF(AND($A60&gt;='Control Room'!$A$16,$A60&lt;'Control Room'!$A$16+'Control Room'!$B$16,'Process'!BP5=1),1+('Control Room'!$C$16-1)*EXP(-0.5*(($A60-'Control Room'!$A$16-('Control Room'!$B$16-1)/2)/MAX(0.5,'Control Room'!$B$16/4))^2),1)</x:f>
        <x:v>1</x:v>
      </x:c>
      <x:c r="AF60" s="9" t="n">
        <x:f>MOD(AG59*16807,2147483647)</x:f>
        <x:v>1632776186</x:v>
      </x:c>
      <x:c r="AG60" s="9" t="n">
        <x:f>MOD(AF60*16807,2147483647)</x:f>
        <x:v>1523316736</x:v>
      </x:c>
      <x:c r="AH60" s="17" t="n">
        <x:f>IF('Control Room'!$B$5="Normal",'Control Room'!$B$7+'Control Room'!$D$7*SQRT(-2*LN(MAX(0.000000000001,AF60/2147483647)))*COS(2*PI()*AG60/2147483647),'Control Room'!$B$8+('Control Room'!$D$8-'Control Room'!$B$8)*AF60/2147483647)</x:f>
        <x:v>983.1671844519645</x:v>
      </x:c>
      <x:c r="AI60" s="17" t="n">
        <x:f>IF('Control Room'!$B$5="Normal",'Control Room'!$B$7,('Control Room'!$B$8+'Control Room'!$D$8)/2)+'Control Room'!$B$9*(AI59-IF('Control Room'!$B$5="Normal",'Control Room'!$B$7,('Control Room'!$B$8+'Control Room'!$D$8)/2))+SQRT(1-'Control Room'!$B$9^2)*(AH60-IF('Control Room'!$B$5="Normal",'Control Room'!$B$7,('Control Room'!$B$8+'Control Room'!$D$8)/2))</x:f>
        <x:v>1096.6713572627077</x:v>
      </x:c>
      <x:c r="AJ60" s="17" t="n">
        <x:f>IF(AND($A60&gt;='Control Room'!$A$13,$A60&lt;'Control Room'!$A$13+'Control Room'!$B$13,'Process'!BQ2=1),1+('Control Room'!$C$13-1)*EXP(-0.5*(($A60-'Control Room'!$A$13-('Control Room'!$B$13-1)/2)/MAX(0.5,'Control Room'!$B$13/4))^2),1)*IF(AND($A60&gt;='Control Room'!$A$14,$A60&lt;'Control Room'!$A$14+'Control Room'!$B$14,'Process'!BQ3=1),1+('Control Room'!$C$14-1)*EXP(-0.5*(($A60-'Control Room'!$A$14-('Control Room'!$B$14-1)/2)/MAX(0.5,'Control Room'!$B$14/4))^2),1)*IF(AND($A60&gt;='Control Room'!$A$15,$A60&lt;'Control Room'!$A$15+'Control Room'!$B$15,'Process'!BQ4=1),1+('Control Room'!$C$15-1)*EXP(-0.5*(($A60-'Control Room'!$A$15-('Control Room'!$B$15-1)/2)/MAX(0.5,'Control Room'!$B$15/4))^2),1)*IF(AND($A60&gt;='Control Room'!$A$16,$A60&lt;'Control Room'!$A$16+'Control Room'!$B$16,'Process'!BQ5=1),1+('Control Room'!$C$16-1)*EXP(-0.5*(($A60-'Control Room'!$A$16-('Control Room'!$B$16-1)/2)/MAX(0.5,'Control Room'!$B$16/4))^2),1)</x:f>
        <x:v>1</x:v>
      </x:c>
      <x:c r="AK60" s="9" t="n">
        <x:f>MOD(AL59*16807,2147483647)</x:f>
        <x:v>114224453</x:v>
      </x:c>
      <x:c r="AL60" s="9" t="n">
        <x:f>MOD(AK60*16807,2147483647)</x:f>
        <x:v>2067484800</x:v>
      </x:c>
      <x:c r="AM60" s="17" t="n">
        <x:f>IF('Control Room'!$B$5="Normal",'Control Room'!$B$7+'Control Room'!$D$7*SQRT(-2*LN(MAX(0.000000000001,AK60/2147483647)))*COS(2*PI()*AL60/2147483647),'Control Room'!$B$8+('Control Room'!$D$8-'Control Room'!$B$8)*AK60/2147483647)</x:f>
        <x:v>1212.0666426071612</x:v>
      </x:c>
      <x:c r="AN60" s="17" t="n">
        <x:f>IF('Control Room'!$B$5="Normal",'Control Room'!$B$7,('Control Room'!$B$8+'Control Room'!$D$8)/2)+'Control Room'!$B$9*(AN59-IF('Control Room'!$B$5="Normal",'Control Room'!$B$7,('Control Room'!$B$8+'Control Room'!$D$8)/2))+SQRT(1-'Control Room'!$B$9^2)*(AM60-IF('Control Room'!$B$5="Normal",'Control Room'!$B$7,('Control Room'!$B$8+'Control Room'!$D$8)/2))</x:f>
        <x:v>1156.3562030638395</x:v>
      </x:c>
      <x:c r="AO60" s="17" t="n">
        <x:f>IF(AND($A60&gt;='Control Room'!$A$13,$A60&lt;'Control Room'!$A$13+'Control Room'!$B$13,'Process'!BR2=1),1+('Control Room'!$C$13-1)*EXP(-0.5*(($A60-'Control Room'!$A$13-('Control Room'!$B$13-1)/2)/MAX(0.5,'Control Room'!$B$13/4))^2),1)*IF(AND($A60&gt;='Control Room'!$A$14,$A60&lt;'Control Room'!$A$14+'Control Room'!$B$14,'Process'!BR3=1),1+('Control Room'!$C$14-1)*EXP(-0.5*(($A60-'Control Room'!$A$14-('Control Room'!$B$14-1)/2)/MAX(0.5,'Control Room'!$B$14/4))^2),1)*IF(AND($A60&gt;='Control Room'!$A$15,$A60&lt;'Control Room'!$A$15+'Control Room'!$B$15,'Process'!BR4=1),1+('Control Room'!$C$15-1)*EXP(-0.5*(($A60-'Control Room'!$A$15-('Control Room'!$B$15-1)/2)/MAX(0.5,'Control Room'!$B$15/4))^2),1)*IF(AND($A60&gt;='Control Room'!$A$16,$A60&lt;'Control Room'!$A$16+'Control Room'!$B$16,'Process'!BR5=1),1+('Control Room'!$C$16-1)*EXP(-0.5*(($A60-'Control Room'!$A$16-('Control Room'!$B$16-1)/2)/MAX(0.5,'Control Room'!$B$16/4))^2),1)</x:f>
        <x:v>1</x:v>
      </x:c>
      <x:c r="AP60" s="9" t="n">
        <x:f>MOD(AQ59*16807,2147483647)</x:f>
        <x:v>743156367</x:v>
      </x:c>
      <x:c r="AQ60" s="9" t="n">
        <x:f>MOD(AP60*16807,2147483647)</x:f>
        <x:v>464169217</x:v>
      </x:c>
      <x:c r="AR60" s="17" t="n">
        <x:f>IF('Control Room'!$B$5="Normal",'Control Room'!$B$7+'Control Room'!$D$7*SQRT(-2*LN(MAX(0.000000000001,AP60/2147483647)))*COS(2*PI()*AQ60/2147483647),'Control Room'!$B$8+('Control Room'!$D$8-'Control Room'!$B$8)*AP60/2147483647)</x:f>
        <x:v>1027.6795796656602</x:v>
      </x:c>
      <x:c r="AS60" s="17" t="n">
        <x:f>IF('Control Room'!$B$5="Normal",'Control Room'!$B$7,('Control Room'!$B$8+'Control Room'!$D$8)/2)+'Control Room'!$B$9*(AS59-IF('Control Room'!$B$5="Normal",'Control Room'!$B$7,('Control Room'!$B$8+'Control Room'!$D$8)/2))+SQRT(1-'Control Room'!$B$9^2)*(AR60-IF('Control Room'!$B$5="Normal",'Control Room'!$B$7,('Control Room'!$B$8+'Control Room'!$D$8)/2))</x:f>
        <x:v>1057.934489108844</x:v>
      </x:c>
      <x:c r="AT60" s="17" t="n">
        <x:f>IF(AND($A60&gt;='Control Room'!$A$13,$A60&lt;'Control Room'!$A$13+'Control Room'!$B$13,'Process'!BS2=1),1+('Control Room'!$C$13-1)*EXP(-0.5*(($A60-'Control Room'!$A$13-('Control Room'!$B$13-1)/2)/MAX(0.5,'Control Room'!$B$13/4))^2),1)*IF(AND($A60&gt;='Control Room'!$A$14,$A60&lt;'Control Room'!$A$14+'Control Room'!$B$14,'Process'!BS3=1),1+('Control Room'!$C$14-1)*EXP(-0.5*(($A60-'Control Room'!$A$14-('Control Room'!$B$14-1)/2)/MAX(0.5,'Control Room'!$B$14/4))^2),1)*IF(AND($A60&gt;='Control Room'!$A$15,$A60&lt;'Control Room'!$A$15+'Control Room'!$B$15,'Process'!BS4=1),1+('Control Room'!$C$15-1)*EXP(-0.5*(($A60-'Control Room'!$A$15-('Control Room'!$B$15-1)/2)/MAX(0.5,'Control Room'!$B$15/4))^2),1)*IF(AND($A60&gt;='Control Room'!$A$16,$A60&lt;'Control Room'!$A$16+'Control Room'!$B$16,'Process'!BS5=1),1+('Control Room'!$C$16-1)*EXP(-0.5*(($A60-'Control Room'!$A$16-('Control Room'!$B$16-1)/2)/MAX(0.5,'Control Room'!$B$16/4))^2),1)</x:f>
        <x:v>1</x:v>
      </x:c>
      <x:c r="AU60" s="9" t="n">
        <x:f>MOD(AV59*16807,2147483647)</x:f>
        <x:v>1372088281</x:v>
      </x:c>
      <x:c r="AV60" s="9" t="n">
        <x:f>MOD(AU60*16807,2147483647)</x:f>
        <x:v>1008337281</x:v>
      </x:c>
      <x:c r="AW60" s="17" t="n">
        <x:f>IF('Control Room'!$B$5="Normal",'Control Room'!$B$7+'Control Room'!$D$7*SQRT(-2*LN(MAX(0.000000000001,AU60/2147483647)))*COS(2*PI()*AV60/2147483647),'Control Room'!$B$8+('Control Room'!$D$8-'Control Room'!$B$8)*AU60/2147483647)</x:f>
        <x:v>916.3670093340007</x:v>
      </x:c>
      <x:c r="AX60" s="17" t="n">
        <x:f>IF('Control Room'!$B$5="Normal",'Control Room'!$B$7,('Control Room'!$B$8+'Control Room'!$D$8)/2)+'Control Room'!$B$9*(AX59-IF('Control Room'!$B$5="Normal",'Control Room'!$B$7,('Control Room'!$B$8+'Control Room'!$D$8)/2))+SQRT(1-'Control Room'!$B$9^2)*(AW60-IF('Control Room'!$B$5="Normal",'Control Room'!$B$7,('Control Room'!$B$8+'Control Room'!$D$8)/2))</x:f>
        <x:v>1044.7546998626863</x:v>
      </x:c>
      <x:c r="AY60" s="17" t="n">
        <x:f>IF(AND($A60&gt;='Control Room'!$A$13,$A60&lt;'Control Room'!$A$13+'Control Room'!$B$13,'Process'!BT2=1),1+('Control Room'!$C$13-1)*EXP(-0.5*(($A60-'Control Room'!$A$13-('Control Room'!$B$13-1)/2)/MAX(0.5,'Control Room'!$B$13/4))^2),1)*IF(AND($A60&gt;='Control Room'!$A$14,$A60&lt;'Control Room'!$A$14+'Control Room'!$B$14,'Process'!BT3=1),1+('Control Room'!$C$14-1)*EXP(-0.5*(($A60-'Control Room'!$A$14-('Control Room'!$B$14-1)/2)/MAX(0.5,'Control Room'!$B$14/4))^2),1)*IF(AND($A60&gt;='Control Room'!$A$15,$A60&lt;'Control Room'!$A$15+'Control Room'!$B$15,'Process'!BT4=1),1+('Control Room'!$C$15-1)*EXP(-0.5*(($A60-'Control Room'!$A$15-('Control Room'!$B$15-1)/2)/MAX(0.5,'Control Room'!$B$15/4))^2),1)*IF(AND($A60&gt;='Control Room'!$A$16,$A60&lt;'Control Room'!$A$16+'Control Room'!$B$16,'Process'!BT5=1),1+('Control Room'!$C$16-1)*EXP(-0.5*(($A60-'Control Room'!$A$16-('Control Room'!$B$16-1)/2)/MAX(0.5,'Control Room'!$B$16/4))^2),1)</x:f>
        <x:v>1</x:v>
      </x:c>
      <x:c r="AZ60" s="9" t="n">
        <x:f>MOD(BA59*16807,2147483647)</x:f>
        <x:v>2001020195</x:v>
      </x:c>
      <x:c r="BA60" s="9" t="n">
        <x:f>MOD(AZ60*16807,2147483647)</x:f>
        <x:v>1552505345</x:v>
      </x:c>
      <x:c r="BB60" s="17" t="n">
        <x:f>IF('Control Room'!$B$5="Normal",'Control Room'!$B$7+'Control Room'!$D$7*SQRT(-2*LN(MAX(0.000000000001,AZ60/2147483647)))*COS(2*PI()*BA60/2147483647),'Control Room'!$B$8+('Control Room'!$D$8-'Control Room'!$B$8)*AZ60/2147483647)</x:f>
        <x:v>994.2764056092279</x:v>
      </x:c>
      <x:c r="BC60" s="17" t="n">
        <x:f>IF('Control Room'!$B$5="Normal",'Control Room'!$B$7,('Control Room'!$B$8+'Control Room'!$D$8)/2)+'Control Room'!$B$9*(BC59-IF('Control Room'!$B$5="Normal",'Control Room'!$B$7,('Control Room'!$B$8+'Control Room'!$D$8)/2))+SQRT(1-'Control Room'!$B$9^2)*(BB60-IF('Control Room'!$B$5="Normal",'Control Room'!$B$7,('Control Room'!$B$8+'Control Room'!$D$8)/2))</x:f>
        <x:v>1071.85861270347</x:v>
      </x:c>
      <x:c r="BD60" s="17" t="n">
        <x:f>IF(AND($A60&gt;='Control Room'!$A$13,$A60&lt;'Control Room'!$A$13+'Control Room'!$B$13,'Process'!BU2=1),1+('Control Room'!$C$13-1)*EXP(-0.5*(($A60-'Control Room'!$A$13-('Control Room'!$B$13-1)/2)/MAX(0.5,'Control Room'!$B$13/4))^2),1)*IF(AND($A60&gt;='Control Room'!$A$14,$A60&lt;'Control Room'!$A$14+'Control Room'!$B$14,'Process'!BU3=1),1+('Control Room'!$C$14-1)*EXP(-0.5*(($A60-'Control Room'!$A$14-('Control Room'!$B$14-1)/2)/MAX(0.5,'Control Room'!$B$14/4))^2),1)*IF(AND($A60&gt;='Control Room'!$A$15,$A60&lt;'Control Room'!$A$15+'Control Room'!$B$15,'Process'!BU4=1),1+('Control Room'!$C$15-1)*EXP(-0.5*(($A60-'Control Room'!$A$15-('Control Room'!$B$15-1)/2)/MAX(0.5,'Control Room'!$B$15/4))^2),1)*IF(AND($A60&gt;='Control Room'!$A$16,$A60&lt;'Control Room'!$A$16+'Control Room'!$B$16,'Process'!BU5=1),1+('Control Room'!$C$16-1)*EXP(-0.5*(($A60-'Control Room'!$A$16-('Control Room'!$B$16-1)/2)/MAX(0.5,'Control Room'!$B$16/4))^2),1)</x:f>
        <x:v>1</x:v>
      </x:c>
      <x:c r="BE60" s="9" t="n">
        <x:f>MOD(BF59*16807,2147483647)</x:f>
        <x:v>482468462</x:v>
      </x:c>
      <x:c r="BF60" s="9" t="n">
        <x:f>MOD(BE60*16807,2147483647)</x:f>
        <x:v>2096673409</x:v>
      </x:c>
      <x:c r="BG60" s="17" t="n">
        <x:f>IF('Control Room'!$B$5="Normal",'Control Room'!$B$7+'Control Room'!$D$7*SQRT(-2*LN(MAX(0.000000000001,BE60/2147483647)))*COS(2*PI()*BF60/2147483647),'Control Room'!$B$8+('Control Room'!$D$8-'Control Room'!$B$8)*BE60/2147483647)</x:f>
        <x:v>1153.8120684165528</x:v>
      </x:c>
      <x:c r="BH60" s="17" t="n">
        <x:f>IF('Control Room'!$B$5="Normal",'Control Room'!$B$7,('Control Room'!$B$8+'Control Room'!$D$8)/2)+'Control Room'!$B$9*(BH59-IF('Control Room'!$B$5="Normal",'Control Room'!$B$7,('Control Room'!$B$8+'Control Room'!$D$8)/2))+SQRT(1-'Control Room'!$B$9^2)*(BG60-IF('Control Room'!$B$5="Normal",'Control Room'!$B$7,('Control Room'!$B$8+'Control Room'!$D$8)/2))</x:f>
        <x:v>1217.3423804694742</x:v>
      </x:c>
      <x:c r="BI60" s="17" t="n">
        <x:f>IF(AND($A60&gt;='Control Room'!$A$13,$A60&lt;'Control Room'!$A$13+'Control Room'!$B$13,'Process'!BV2=1),1+('Control Room'!$C$13-1)*EXP(-0.5*(($A60-'Control Room'!$A$13-('Control Room'!$B$13-1)/2)/MAX(0.5,'Control Room'!$B$13/4))^2),1)*IF(AND($A60&gt;='Control Room'!$A$14,$A60&lt;'Control Room'!$A$14+'Control Room'!$B$14,'Process'!BV3=1),1+('Control Room'!$C$14-1)*EXP(-0.5*(($A60-'Control Room'!$A$14-('Control Room'!$B$14-1)/2)/MAX(0.5,'Control Room'!$B$14/4))^2),1)*IF(AND($A60&gt;='Control Room'!$A$15,$A60&lt;'Control Room'!$A$15+'Control Room'!$B$15,'Process'!BV4=1),1+('Control Room'!$C$15-1)*EXP(-0.5*(($A60-'Control Room'!$A$15-('Control Room'!$B$15-1)/2)/MAX(0.5,'Control Room'!$B$15/4))^2),1)*IF(AND($A60&gt;='Control Room'!$A$16,$A60&lt;'Control Room'!$A$16+'Control Room'!$B$16,'Process'!BV5=1),1+('Control Room'!$C$16-1)*EXP(-0.5*(($A60-'Control Room'!$A$16-('Control Room'!$B$16-1)/2)/MAX(0.5,'Control Room'!$B$16/4))^2),1)</x:f>
        <x:v>1</x:v>
      </x:c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Z60" t="str">
        <x:f>IF('Data'!A60="","",TEXT('Data'!A60,"mm-dd"))</x:f>
        <x:v>12-30</x:v>
      </x:c>
    </x:row>
    <x:row r="61" ht="21" customHeight="1">
      <x:c r="A61" s="15" t="n">
        <x:f>'Control Room'!$B$1+59</x:f>
        <x:v>73050</x:v>
      </x:c>
      <x:c r="B61" s="9" t="n">
        <x:f>MOD(C60*16807,2147483647)</x:f>
        <x:v>1885547968</x:v>
      </x:c>
      <x:c r="C61" s="9" t="n">
        <x:f>MOD(B61*16807,2147483647)</x:f>
        <x:v>2136003044</x:v>
      </x:c>
      <x:c r="D61" s="17" t="n">
        <x:f>IF('Control Room'!$B$5="Normal",'Control Room'!$B$7+'Control Room'!$D$7*SQRT(-2*LN(MAX(0.000000000001,B61/2147483647)))*COS(2*PI()*C61/2147483647),'Control Room'!$B$8+('Control Room'!$D$8-'Control Room'!$B$8)*B61/2147483647)</x:f>
        <x:v>1045.8790955324405</x:v>
      </x:c>
      <x:c r="E61" s="17" t="n">
        <x:f>IF('Control Room'!$B$5="Normal",'Control Room'!$B$7,('Control Room'!$B$8+'Control Room'!$D$8)/2)+'Control Room'!$B$9*(E60-IF('Control Room'!$B$5="Normal",'Control Room'!$B$7,('Control Room'!$B$8+'Control Room'!$D$8)/2))+SQRT(1-'Control Room'!$B$9^2)*(D61-IF('Control Room'!$B$5="Normal",'Control Room'!$B$7,('Control Room'!$B$8+'Control Room'!$D$8)/2))</x:f>
        <x:v>984.851511973994</x:v>
      </x:c>
      <x:c r="F61" s="17" t="n">
        <x:f>IF(AND($A61&gt;='Control Room'!$A$13,$A61&lt;'Control Room'!$A$13+'Control Room'!$B$13,'Process'!BK2=1),1+('Control Room'!$C$13-1)*EXP(-0.5*(($A61-'Control Room'!$A$13-('Control Room'!$B$13-1)/2)/MAX(0.5,'Control Room'!$B$13/4))^2),1)*IF(AND($A61&gt;='Control Room'!$A$14,$A61&lt;'Control Room'!$A$14+'Control Room'!$B$14,'Process'!BK3=1),1+('Control Room'!$C$14-1)*EXP(-0.5*(($A61-'Control Room'!$A$14-('Control Room'!$B$14-1)/2)/MAX(0.5,'Control Room'!$B$14/4))^2),1)*IF(AND($A61&gt;='Control Room'!$A$15,$A61&lt;'Control Room'!$A$15+'Control Room'!$B$15,'Process'!BK4=1),1+('Control Room'!$C$15-1)*EXP(-0.5*(($A61-'Control Room'!$A$15-('Control Room'!$B$15-1)/2)/MAX(0.5,'Control Room'!$B$15/4))^2),1)*IF(AND($A61&gt;='Control Room'!$A$16,$A61&lt;'Control Room'!$A$16+'Control Room'!$B$16,'Process'!BK5=1),1+('Control Room'!$C$16-1)*EXP(-0.5*(($A61-'Control Room'!$A$16-('Control Room'!$B$16-1)/2)/MAX(0.5,'Control Room'!$B$16/4))^2),1)</x:f>
        <x:v>1</x:v>
      </x:c>
      <x:c r="G61" s="9" t="n">
        <x:f>MOD(H60*16807,2147483647)</x:f>
        <x:v>1585347043</x:v>
      </x:c>
      <x:c r="H61" s="9" t="n">
        <x:f>MOD(G61*16807,2147483647)</x:f>
        <x:v>1098143372</x:v>
      </x:c>
      <x:c r="I61" s="17" t="n">
        <x:f>IF('Control Room'!$B$5="Normal",'Control Room'!$B$7+'Control Room'!$D$7*SQRT(-2*LN(MAX(0.000000000001,G61/2147483647)))*COS(2*PI()*H61/2147483647),'Control Room'!$B$8+('Control Room'!$D$8-'Control Room'!$B$8)*G61/2147483647)</x:f>
        <x:v>930.0602048256683</x:v>
      </x:c>
      <x:c r="J61" s="17" t="n">
        <x:f>IF('Control Room'!$B$5="Normal",'Control Room'!$B$7,('Control Room'!$B$8+'Control Room'!$D$8)/2)+'Control Room'!$B$9*(J60-IF('Control Room'!$B$5="Normal",'Control Room'!$B$7,('Control Room'!$B$8+'Control Room'!$D$8)/2))+SQRT(1-'Control Room'!$B$9^2)*(I61-IF('Control Room'!$B$5="Normal",'Control Room'!$B$7,('Control Room'!$B$8+'Control Room'!$D$8)/2))</x:f>
        <x:v>797.6196810618983</x:v>
      </x:c>
      <x:c r="K61" s="17" t="n">
        <x:f>IF(AND($A61&gt;='Control Room'!$A$13,$A61&lt;'Control Room'!$A$13+'Control Room'!$B$13,'Process'!BL2=1),1+('Control Room'!$C$13-1)*EXP(-0.5*(($A61-'Control Room'!$A$13-('Control Room'!$B$13-1)/2)/MAX(0.5,'Control Room'!$B$13/4))^2),1)*IF(AND($A61&gt;='Control Room'!$A$14,$A61&lt;'Control Room'!$A$14+'Control Room'!$B$14,'Process'!BL3=1),1+('Control Room'!$C$14-1)*EXP(-0.5*(($A61-'Control Room'!$A$14-('Control Room'!$B$14-1)/2)/MAX(0.5,'Control Room'!$B$14/4))^2),1)*IF(AND($A61&gt;='Control Room'!$A$15,$A61&lt;'Control Room'!$A$15+'Control Room'!$B$15,'Process'!BL4=1),1+('Control Room'!$C$15-1)*EXP(-0.5*(($A61-'Control Room'!$A$15-('Control Room'!$B$15-1)/2)/MAX(0.5,'Control Room'!$B$15/4))^2),1)*IF(AND($A61&gt;='Control Room'!$A$16,$A61&lt;'Control Room'!$A$16+'Control Room'!$B$16,'Process'!BL5=1),1+('Control Room'!$C$16-1)*EXP(-0.5*(($A61-'Control Room'!$A$16-('Control Room'!$B$16-1)/2)/MAX(0.5,'Control Room'!$B$16/4))^2),1)</x:f>
        <x:v>1</x:v>
      </x:c>
      <x:c r="L61" s="9" t="n">
        <x:f>MOD(M60*16807,2147483647)</x:f>
        <x:v>1285146118</x:v>
      </x:c>
      <x:c r="M61" s="9" t="n">
        <x:f>MOD(L61*16807,2147483647)</x:f>
        <x:v>60283700</x:v>
      </x:c>
      <x:c r="N61" s="17" t="n">
        <x:f>IF('Control Room'!$B$5="Normal",'Control Room'!$B$7+'Control Room'!$D$7*SQRT(-2*LN(MAX(0.000000000001,L61/2147483647)))*COS(2*PI()*M61/2147483647),'Control Room'!$B$8+('Control Room'!$D$8-'Control Room'!$B$8)*L61/2147483647)</x:f>
        <x:v>1089.7852435776354</x:v>
      </x:c>
      <x:c r="O61" s="17" t="n">
        <x:f>IF('Control Room'!$B$5="Normal",'Control Room'!$B$7,('Control Room'!$B$8+'Control Room'!$D$8)/2)+'Control Room'!$B$9*(O60-IF('Control Room'!$B$5="Normal",'Control Room'!$B$7,('Control Room'!$B$8+'Control Room'!$D$8)/2))+SQRT(1-'Control Room'!$B$9^2)*(N61-IF('Control Room'!$B$5="Normal",'Control Room'!$B$7,('Control Room'!$B$8+'Control Room'!$D$8)/2))</x:f>
        <x:v>985.8874374958481</x:v>
      </x:c>
      <x:c r="P61" s="17" t="n">
        <x:f>IF(AND($A61&gt;='Control Room'!$A$13,$A61&lt;'Control Room'!$A$13+'Control Room'!$B$13,'Process'!BM2=1),1+('Control Room'!$C$13-1)*EXP(-0.5*(($A61-'Control Room'!$A$13-('Control Room'!$B$13-1)/2)/MAX(0.5,'Control Room'!$B$13/4))^2),1)*IF(AND($A61&gt;='Control Room'!$A$14,$A61&lt;'Control Room'!$A$14+'Control Room'!$B$14,'Process'!BM3=1),1+('Control Room'!$C$14-1)*EXP(-0.5*(($A61-'Control Room'!$A$14-('Control Room'!$B$14-1)/2)/MAX(0.5,'Control Room'!$B$14/4))^2),1)*IF(AND($A61&gt;='Control Room'!$A$15,$A61&lt;'Control Room'!$A$15+'Control Room'!$B$15,'Process'!BM4=1),1+('Control Room'!$C$15-1)*EXP(-0.5*(($A61-'Control Room'!$A$15-('Control Room'!$B$15-1)/2)/MAX(0.5,'Control Room'!$B$15/4))^2),1)*IF(AND($A61&gt;='Control Room'!$A$16,$A61&lt;'Control Room'!$A$16+'Control Room'!$B$16,'Process'!BM5=1),1+('Control Room'!$C$16-1)*EXP(-0.5*(($A61-'Control Room'!$A$16-('Control Room'!$B$16-1)/2)/MAX(0.5,'Control Room'!$B$16/4))^2),1)</x:f>
        <x:v>1</x:v>
      </x:c>
      <x:c r="Q61" s="9" t="n">
        <x:f>MOD(R60*16807,2147483647)</x:f>
        <x:v>984945193</x:v>
      </x:c>
      <x:c r="R61" s="9" t="n">
        <x:f>MOD(Q61*16807,2147483647)</x:f>
        <x:v>1169907675</x:v>
      </x:c>
      <x:c r="S61" s="17" t="n">
        <x:f>IF('Control Room'!$B$5="Normal",'Control Room'!$B$7+'Control Room'!$D$7*SQRT(-2*LN(MAX(0.000000000001,Q61/2147483647)))*COS(2*PI()*R61/2147483647),'Control Room'!$B$8+('Control Room'!$D$8-'Control Room'!$B$8)*Q61/2147483647)</x:f>
        <x:v>892.0472829390153</x:v>
      </x:c>
      <x:c r="T61" s="17" t="n">
        <x:f>IF('Control Room'!$B$5="Normal",'Control Room'!$B$7,('Control Room'!$B$8+'Control Room'!$D$8)/2)+'Control Room'!$B$9*(T60-IF('Control Room'!$B$5="Normal",'Control Room'!$B$7,('Control Room'!$B$8+'Control Room'!$D$8)/2))+SQRT(1-'Control Room'!$B$9^2)*(S61-IF('Control Room'!$B$5="Normal",'Control Room'!$B$7,('Control Room'!$B$8+'Control Room'!$D$8)/2))</x:f>
        <x:v>954.922915285456</x:v>
      </x:c>
      <x:c r="U61" s="17" t="n">
        <x:f>IF(AND($A61&gt;='Control Room'!$A$13,$A61&lt;'Control Room'!$A$13+'Control Room'!$B$13,'Process'!BN2=1),1+('Control Room'!$C$13-1)*EXP(-0.5*(($A61-'Control Room'!$A$13-('Control Room'!$B$13-1)/2)/MAX(0.5,'Control Room'!$B$13/4))^2),1)*IF(AND($A61&gt;='Control Room'!$A$14,$A61&lt;'Control Room'!$A$14+'Control Room'!$B$14,'Process'!BN3=1),1+('Control Room'!$C$14-1)*EXP(-0.5*(($A61-'Control Room'!$A$14-('Control Room'!$B$14-1)/2)/MAX(0.5,'Control Room'!$B$14/4))^2),1)*IF(AND($A61&gt;='Control Room'!$A$15,$A61&lt;'Control Room'!$A$15+'Control Room'!$B$15,'Process'!BN4=1),1+('Control Room'!$C$15-1)*EXP(-0.5*(($A61-'Control Room'!$A$15-('Control Room'!$B$15-1)/2)/MAX(0.5,'Control Room'!$B$15/4))^2),1)*IF(AND($A61&gt;='Control Room'!$A$16,$A61&lt;'Control Room'!$A$16+'Control Room'!$B$16,'Process'!BN5=1),1+('Control Room'!$C$16-1)*EXP(-0.5*(($A61-'Control Room'!$A$16-('Control Room'!$B$16-1)/2)/MAX(0.5,'Control Room'!$B$16/4))^2),1)</x:f>
        <x:v>1</x:v>
      </x:c>
      <x:c r="V61" s="9" t="n">
        <x:f>MOD(W60*16807,2147483647)</x:f>
        <x:v>684744268</x:v>
      </x:c>
      <x:c r="W61" s="9" t="n">
        <x:f>MOD(V61*16807,2147483647)</x:f>
        <x:v>132048003</x:v>
      </x:c>
      <x:c r="X61" s="17" t="n">
        <x:f>IF('Control Room'!$B$5="Normal",'Control Room'!$B$7+'Control Room'!$D$7*SQRT(-2*LN(MAX(0.000000000001,V61/2147483647)))*COS(2*PI()*W61/2147483647),'Control Room'!$B$8+('Control Room'!$D$8-'Control Room'!$B$8)*V61/2147483647)</x:f>
        <x:v>1126.045974575063</x:v>
      </x:c>
      <x:c r="Y61" s="17" t="n">
        <x:f>IF('Control Room'!$B$5="Normal",'Control Room'!$B$7,('Control Room'!$B$8+'Control Room'!$D$8)/2)+'Control Room'!$B$9*(Y60-IF('Control Room'!$B$5="Normal",'Control Room'!$B$7,('Control Room'!$B$8+'Control Room'!$D$8)/2))+SQRT(1-'Control Room'!$B$9^2)*(X61-IF('Control Room'!$B$5="Normal",'Control Room'!$B$7,('Control Room'!$B$8+'Control Room'!$D$8)/2))</x:f>
        <x:v>1138.3495792125264</x:v>
      </x:c>
      <x:c r="Z61" s="17" t="n">
        <x:f>IF(AND($A61&gt;='Control Room'!$A$13,$A61&lt;'Control Room'!$A$13+'Control Room'!$B$13,'Process'!BO2=1),1+('Control Room'!$C$13-1)*EXP(-0.5*(($A61-'Control Room'!$A$13-('Control Room'!$B$13-1)/2)/MAX(0.5,'Control Room'!$B$13/4))^2),1)*IF(AND($A61&gt;='Control Room'!$A$14,$A61&lt;'Control Room'!$A$14+'Control Room'!$B$14,'Process'!BO3=1),1+('Control Room'!$C$14-1)*EXP(-0.5*(($A61-'Control Room'!$A$14-('Control Room'!$B$14-1)/2)/MAX(0.5,'Control Room'!$B$14/4))^2),1)*IF(AND($A61&gt;='Control Room'!$A$15,$A61&lt;'Control Room'!$A$15+'Control Room'!$B$15,'Process'!BO4=1),1+('Control Room'!$C$15-1)*EXP(-0.5*(($A61-'Control Room'!$A$15-('Control Room'!$B$15-1)/2)/MAX(0.5,'Control Room'!$B$15/4))^2),1)*IF(AND($A61&gt;='Control Room'!$A$16,$A61&lt;'Control Room'!$A$16+'Control Room'!$B$16,'Process'!BO5=1),1+('Control Room'!$C$16-1)*EXP(-0.5*(($A61-'Control Room'!$A$16-('Control Room'!$B$16-1)/2)/MAX(0.5,'Control Room'!$B$16/4))^2),1)</x:f>
        <x:v>1</x:v>
      </x:c>
      <x:c r="AA61" s="9" t="n">
        <x:f>MOD(AB60*16807,2147483647)</x:f>
        <x:v>384543343</x:v>
      </x:c>
      <x:c r="AB61" s="9" t="n">
        <x:f>MOD(AA61*16807,2147483647)</x:f>
        <x:v>1241671978</x:v>
      </x:c>
      <x:c r="AC61" s="17" t="n">
        <x:f>IF('Control Room'!$B$5="Normal",'Control Room'!$B$7+'Control Room'!$D$7*SQRT(-2*LN(MAX(0.000000000001,AA61/2147483647)))*COS(2*PI()*AB61/2147483647),'Control Room'!$B$8+('Control Room'!$D$8-'Control Room'!$B$8)*AA61/2147483647)</x:f>
        <x:v>852.8217574578373</x:v>
      </x:c>
      <x:c r="AD61" s="17" t="n">
        <x:f>IF('Control Room'!$B$5="Normal",'Control Room'!$B$7,('Control Room'!$B$8+'Control Room'!$D$8)/2)+'Control Room'!$B$9*(AD60-IF('Control Room'!$B$5="Normal",'Control Room'!$B$7,('Control Room'!$B$8+'Control Room'!$D$8)/2))+SQRT(1-'Control Room'!$B$9^2)*(AC61-IF('Control Room'!$B$5="Normal",'Control Room'!$B$7,('Control Room'!$B$8+'Control Room'!$D$8)/2))</x:f>
        <x:v>879.7620717522038</x:v>
      </x:c>
      <x:c r="AE61" s="17" t="n">
        <x:f>IF(AND($A61&gt;='Control Room'!$A$13,$A61&lt;'Control Room'!$A$13+'Control Room'!$B$13,'Process'!BP2=1),1+('Control Room'!$C$13-1)*EXP(-0.5*(($A61-'Control Room'!$A$13-('Control Room'!$B$13-1)/2)/MAX(0.5,'Control Room'!$B$13/4))^2),1)*IF(AND($A61&gt;='Control Room'!$A$14,$A61&lt;'Control Room'!$A$14+'Control Room'!$B$14,'Process'!BP3=1),1+('Control Room'!$C$14-1)*EXP(-0.5*(($A61-'Control Room'!$A$14-('Control Room'!$B$14-1)/2)/MAX(0.5,'Control Room'!$B$14/4))^2),1)*IF(AND($A61&gt;='Control Room'!$A$15,$A61&lt;'Control Room'!$A$15+'Control Room'!$B$15,'Process'!BP4=1),1+('Control Room'!$C$15-1)*EXP(-0.5*(($A61-'Control Room'!$A$15-('Control Room'!$B$15-1)/2)/MAX(0.5,'Control Room'!$B$15/4))^2),1)*IF(AND($A61&gt;='Control Room'!$A$16,$A61&lt;'Control Room'!$A$16+'Control Room'!$B$16,'Process'!BP5=1),1+('Control Room'!$C$16-1)*EXP(-0.5*(($A61-'Control Room'!$A$16-('Control Room'!$B$16-1)/2)/MAX(0.5,'Control Room'!$B$16/4))^2),1)</x:f>
        <x:v>1</x:v>
      </x:c>
      <x:c r="AF61" s="9" t="n">
        <x:f>MOD(AG60*16807,2147483647)</x:f>
        <x:v>84342418</x:v>
      </x:c>
      <x:c r="AG61" s="9" t="n">
        <x:f>MOD(AF61*16807,2147483647)</x:f>
        <x:v>203812306</x:v>
      </x:c>
      <x:c r="AH61" s="17" t="n">
        <x:f>IF('Control Room'!$B$5="Normal",'Control Room'!$B$7+'Control Room'!$D$7*SQRT(-2*LN(MAX(0.000000000001,AF61/2147483647)))*COS(2*PI()*AG61/2147483647),'Control Room'!$B$8+('Control Room'!$D$8-'Control Room'!$B$8)*AF61/2147483647)</x:f>
        <x:v>1189.4782290527219</x:v>
      </x:c>
      <x:c r="AI61" s="17" t="n">
        <x:f>IF('Control Room'!$B$5="Normal",'Control Room'!$B$7,('Control Room'!$B$8+'Control Room'!$D$8)/2)+'Control Room'!$B$9*(AI60-IF('Control Room'!$B$5="Normal",'Control Room'!$B$7,('Control Room'!$B$8+'Control Room'!$D$8)/2))+SQRT(1-'Control Room'!$B$9^2)*(AH61-IF('Control Room'!$B$5="Normal",'Control Room'!$B$7,('Control Room'!$B$8+'Control Room'!$D$8)/2))</x:f>
        <x:v>1193.9752527335954</x:v>
      </x:c>
      <x:c r="AJ61" s="17" t="n">
        <x:f>IF(AND($A61&gt;='Control Room'!$A$13,$A61&lt;'Control Room'!$A$13+'Control Room'!$B$13,'Process'!BQ2=1),1+('Control Room'!$C$13-1)*EXP(-0.5*(($A61-'Control Room'!$A$13-('Control Room'!$B$13-1)/2)/MAX(0.5,'Control Room'!$B$13/4))^2),1)*IF(AND($A61&gt;='Control Room'!$A$14,$A61&lt;'Control Room'!$A$14+'Control Room'!$B$14,'Process'!BQ3=1),1+('Control Room'!$C$14-1)*EXP(-0.5*(($A61-'Control Room'!$A$14-('Control Room'!$B$14-1)/2)/MAX(0.5,'Control Room'!$B$14/4))^2),1)*IF(AND($A61&gt;='Control Room'!$A$15,$A61&lt;'Control Room'!$A$15+'Control Room'!$B$15,'Process'!BQ4=1),1+('Control Room'!$C$15-1)*EXP(-0.5*(($A61-'Control Room'!$A$15-('Control Room'!$B$15-1)/2)/MAX(0.5,'Control Room'!$B$15/4))^2),1)*IF(AND($A61&gt;='Control Room'!$A$16,$A61&lt;'Control Room'!$A$16+'Control Room'!$B$16,'Process'!BQ5=1),1+('Control Room'!$C$16-1)*EXP(-0.5*(($A61-'Control Room'!$A$16-('Control Room'!$B$16-1)/2)/MAX(0.5,'Control Room'!$B$16/4))^2),1)</x:f>
        <x:v>1</x:v>
      </x:c>
      <x:c r="AK61" s="9" t="n">
        <x:f>MOD(AL60*16807,2147483647)</x:f>
        <x:v>1931625140</x:v>
      </x:c>
      <x:c r="AL61" s="9" t="n">
        <x:f>MOD(AK61*16807,2147483647)</x:f>
        <x:v>1313436281</x:v>
      </x:c>
      <x:c r="AM61" s="17" t="n">
        <x:f>IF('Control Room'!$B$5="Normal",'Control Room'!$B$7+'Control Room'!$D$7*SQRT(-2*LN(MAX(0.000000000001,AK61/2147483647)))*COS(2*PI()*AL61/2147483647),'Control Room'!$B$8+('Control Room'!$D$8-'Control Room'!$B$8)*AK61/2147483647)</x:f>
        <x:v>968.3502276882213</x:v>
      </x:c>
      <x:c r="AN61" s="17" t="n">
        <x:f>IF('Control Room'!$B$5="Normal",'Control Room'!$B$7,('Control Room'!$B$8+'Control Room'!$D$8)/2)+'Control Room'!$B$9*(AN60-IF('Control Room'!$B$5="Normal",'Control Room'!$B$7,('Control Room'!$B$8+'Control Room'!$D$8)/2))+SQRT(1-'Control Room'!$B$9^2)*(AM61-IF('Control Room'!$B$5="Normal",'Control Room'!$B$7,('Control Room'!$B$8+'Control Room'!$D$8)/2))</x:f>
        <x:v>1102.1520592579122</x:v>
      </x:c>
      <x:c r="AO61" s="17" t="n">
        <x:f>IF(AND($A61&gt;='Control Room'!$A$13,$A61&lt;'Control Room'!$A$13+'Control Room'!$B$13,'Process'!BR2=1),1+('Control Room'!$C$13-1)*EXP(-0.5*(($A61-'Control Room'!$A$13-('Control Room'!$B$13-1)/2)/MAX(0.5,'Control Room'!$B$13/4))^2),1)*IF(AND($A61&gt;='Control Room'!$A$14,$A61&lt;'Control Room'!$A$14+'Control Room'!$B$14,'Process'!BR3=1),1+('Control Room'!$C$14-1)*EXP(-0.5*(($A61-'Control Room'!$A$14-('Control Room'!$B$14-1)/2)/MAX(0.5,'Control Room'!$B$14/4))^2),1)*IF(AND($A61&gt;='Control Room'!$A$15,$A61&lt;'Control Room'!$A$15+'Control Room'!$B$15,'Process'!BR4=1),1+('Control Room'!$C$15-1)*EXP(-0.5*(($A61-'Control Room'!$A$15-('Control Room'!$B$15-1)/2)/MAX(0.5,'Control Room'!$B$15/4))^2),1)*IF(AND($A61&gt;='Control Room'!$A$16,$A61&lt;'Control Room'!$A$16+'Control Room'!$B$16,'Process'!BR5=1),1+('Control Room'!$C$16-1)*EXP(-0.5*(($A61-'Control Room'!$A$16-('Control Room'!$B$16-1)/2)/MAX(0.5,'Control Room'!$B$16/4))^2),1)</x:f>
        <x:v>1</x:v>
      </x:c>
      <x:c r="AP61" s="9" t="n">
        <x:f>MOD(AQ60*16807,2147483647)</x:f>
        <x:v>1631424215</x:v>
      </x:c>
      <x:c r="AQ61" s="9" t="n">
        <x:f>MOD(AP61*16807,2147483647)</x:f>
        <x:v>275576609</x:v>
      </x:c>
      <x:c r="AR61" s="17" t="n">
        <x:f>IF('Control Room'!$B$5="Normal",'Control Room'!$B$7+'Control Room'!$D$7*SQRT(-2*LN(MAX(0.000000000001,AP61/2147483647)))*COS(2*PI()*AQ61/2147483647),'Control Room'!$B$8+('Control Room'!$D$8-'Control Room'!$B$8)*AP61/2147483647)</x:f>
        <x:v>1046.1868958674486</x:v>
      </x:c>
      <x:c r="AS61" s="17" t="n">
        <x:f>IF('Control Room'!$B$5="Normal",'Control Room'!$B$7,('Control Room'!$B$8+'Control Room'!$D$8)/2)+'Control Room'!$B$9*(AS60-IF('Control Room'!$B$5="Normal",'Control Room'!$B$7,('Control Room'!$B$8+'Control Room'!$D$8)/2))+SQRT(1-'Control Room'!$B$9^2)*(AR61-IF('Control Room'!$B$5="Normal",'Control Room'!$B$7,('Control Room'!$B$8+'Control Room'!$D$8)/2))</x:f>
        <x:v>1074.0917147487557</x:v>
      </x:c>
      <x:c r="AT61" s="17" t="n">
        <x:f>IF(AND($A61&gt;='Control Room'!$A$13,$A61&lt;'Control Room'!$A$13+'Control Room'!$B$13,'Process'!BS2=1),1+('Control Room'!$C$13-1)*EXP(-0.5*(($A61-'Control Room'!$A$13-('Control Room'!$B$13-1)/2)/MAX(0.5,'Control Room'!$B$13/4))^2),1)*IF(AND($A61&gt;='Control Room'!$A$14,$A61&lt;'Control Room'!$A$14+'Control Room'!$B$14,'Process'!BS3=1),1+('Control Room'!$C$14-1)*EXP(-0.5*(($A61-'Control Room'!$A$14-('Control Room'!$B$14-1)/2)/MAX(0.5,'Control Room'!$B$14/4))^2),1)*IF(AND($A61&gt;='Control Room'!$A$15,$A61&lt;'Control Room'!$A$15+'Control Room'!$B$15,'Process'!BS4=1),1+('Control Room'!$C$15-1)*EXP(-0.5*(($A61-'Control Room'!$A$15-('Control Room'!$B$15-1)/2)/MAX(0.5,'Control Room'!$B$15/4))^2),1)*IF(AND($A61&gt;='Control Room'!$A$16,$A61&lt;'Control Room'!$A$16+'Control Room'!$B$16,'Process'!BS5=1),1+('Control Room'!$C$16-1)*EXP(-0.5*(($A61-'Control Room'!$A$16-('Control Room'!$B$16-1)/2)/MAX(0.5,'Control Room'!$B$16/4))^2),1)</x:f>
        <x:v>1</x:v>
      </x:c>
      <x:c r="AU61" s="9" t="n">
        <x:f>MOD(AV60*16807,2147483647)</x:f>
        <x:v>1331223290</x:v>
      </x:c>
      <x:c r="AV61" s="9" t="n">
        <x:f>MOD(AU61*16807,2147483647)</x:f>
        <x:v>1385200584</x:v>
      </x:c>
      <x:c r="AW61" s="17" t="n">
        <x:f>IF('Control Room'!$B$5="Normal",'Control Room'!$B$7+'Control Room'!$D$7*SQRT(-2*LN(MAX(0.000000000001,AU61/2147483647)))*COS(2*PI()*AV61/2147483647),'Control Room'!$B$8+('Control Room'!$D$8-'Control Room'!$B$8)*AU61/2147483647)</x:f>
        <x:v>946.069360097056</x:v>
      </x:c>
      <x:c r="AX61" s="17" t="n">
        <x:f>IF('Control Room'!$B$5="Normal",'Control Room'!$B$7,('Control Room'!$B$8+'Control Room'!$D$8)/2)+'Control Room'!$B$9*(AX60-IF('Control Room'!$B$5="Normal",'Control Room'!$B$7,('Control Room'!$B$8+'Control Room'!$D$8)/2))+SQRT(1-'Control Room'!$B$9^2)*(AW61-IF('Control Room'!$B$5="Normal",'Control Room'!$B$7,('Control Room'!$B$8+'Control Room'!$D$8)/2))</x:f>
        <x:v>1001.1599762708441</x:v>
      </x:c>
      <x:c r="AY61" s="17" t="n">
        <x:f>IF(AND($A61&gt;='Control Room'!$A$13,$A61&lt;'Control Room'!$A$13+'Control Room'!$B$13,'Process'!BT2=1),1+('Control Room'!$C$13-1)*EXP(-0.5*(($A61-'Control Room'!$A$13-('Control Room'!$B$13-1)/2)/MAX(0.5,'Control Room'!$B$13/4))^2),1)*IF(AND($A61&gt;='Control Room'!$A$14,$A61&lt;'Control Room'!$A$14+'Control Room'!$B$14,'Process'!BT3=1),1+('Control Room'!$C$14-1)*EXP(-0.5*(($A61-'Control Room'!$A$14-('Control Room'!$B$14-1)/2)/MAX(0.5,'Control Room'!$B$14/4))^2),1)*IF(AND($A61&gt;='Control Room'!$A$15,$A61&lt;'Control Room'!$A$15+'Control Room'!$B$15,'Process'!BT4=1),1+('Control Room'!$C$15-1)*EXP(-0.5*(($A61-'Control Room'!$A$15-('Control Room'!$B$15-1)/2)/MAX(0.5,'Control Room'!$B$15/4))^2),1)*IF(AND($A61&gt;='Control Room'!$A$16,$A61&lt;'Control Room'!$A$16+'Control Room'!$B$16,'Process'!BT5=1),1+('Control Room'!$C$16-1)*EXP(-0.5*(($A61-'Control Room'!$A$16-('Control Room'!$B$16-1)/2)/MAX(0.5,'Control Room'!$B$16/4))^2),1)</x:f>
        <x:v>1</x:v>
      </x:c>
      <x:c r="AZ61" s="9" t="n">
        <x:f>MOD(BA60*16807,2147483647)</x:f>
        <x:v>1031022365</x:v>
      </x:c>
      <x:c r="BA61" s="9" t="n">
        <x:f>MOD(AZ61*16807,2147483647)</x:f>
        <x:v>347340912</x:v>
      </x:c>
      <x:c r="BB61" s="17" t="n">
        <x:f>IF('Control Room'!$B$5="Normal",'Control Room'!$B$7+'Control Room'!$D$7*SQRT(-2*LN(MAX(0.000000000001,AZ61/2147483647)))*COS(2*PI()*BA61/2147483647),'Control Room'!$B$8+('Control Room'!$D$8-'Control Room'!$B$8)*AZ61/2147483647)</x:f>
        <x:v>1057.407343062744</x:v>
      </x:c>
      <x:c r="BC61" s="17" t="n">
        <x:f>IF('Control Room'!$B$5="Normal",'Control Room'!$B$7,('Control Room'!$B$8+'Control Room'!$D$8)/2)+'Control Room'!$B$9*(BC60-IF('Control Room'!$B$5="Normal",'Control Room'!$B$7,('Control Room'!$B$8+'Control Room'!$D$8)/2))+SQRT(1-'Control Room'!$B$9^2)*(BB61-IF('Control Room'!$B$5="Normal",'Control Room'!$B$7,('Control Room'!$B$8+'Control Room'!$D$8)/2))</x:f>
        <x:v>1091.9740571440252</x:v>
      </x:c>
      <x:c r="BD61" s="17" t="n">
        <x:f>IF(AND($A61&gt;='Control Room'!$A$13,$A61&lt;'Control Room'!$A$13+'Control Room'!$B$13,'Process'!BU2=1),1+('Control Room'!$C$13-1)*EXP(-0.5*(($A61-'Control Room'!$A$13-('Control Room'!$B$13-1)/2)/MAX(0.5,'Control Room'!$B$13/4))^2),1)*IF(AND($A61&gt;='Control Room'!$A$14,$A61&lt;'Control Room'!$A$14+'Control Room'!$B$14,'Process'!BU3=1),1+('Control Room'!$C$14-1)*EXP(-0.5*(($A61-'Control Room'!$A$14-('Control Room'!$B$14-1)/2)/MAX(0.5,'Control Room'!$B$14/4))^2),1)*IF(AND($A61&gt;='Control Room'!$A$15,$A61&lt;'Control Room'!$A$15+'Control Room'!$B$15,'Process'!BU4=1),1+('Control Room'!$C$15-1)*EXP(-0.5*(($A61-'Control Room'!$A$15-('Control Room'!$B$15-1)/2)/MAX(0.5,'Control Room'!$B$15/4))^2),1)*IF(AND($A61&gt;='Control Room'!$A$16,$A61&lt;'Control Room'!$A$16+'Control Room'!$B$16,'Process'!BU5=1),1+('Control Room'!$C$16-1)*EXP(-0.5*(($A61-'Control Room'!$A$16-('Control Room'!$B$16-1)/2)/MAX(0.5,'Control Room'!$B$16/4))^2),1)</x:f>
        <x:v>1</x:v>
      </x:c>
      <x:c r="BE61" s="9" t="n">
        <x:f>MOD(BF60*16807,2147483647)</x:f>
        <x:v>730821440</x:v>
      </x:c>
      <x:c r="BF61" s="9" t="n">
        <x:f>MOD(BE61*16807,2147483647)</x:f>
        <x:v>1456964887</x:v>
      </x:c>
      <x:c r="BG61" s="17" t="n">
        <x:f>IF('Control Room'!$B$5="Normal",'Control Room'!$B$7+'Control Room'!$D$7*SQRT(-2*LN(MAX(0.000000000001,BE61/2147483647)))*COS(2*PI()*BF61/2147483647),'Control Room'!$B$8+('Control Room'!$D$8-'Control Room'!$B$8)*BE61/2147483647)</x:f>
        <x:v>942.5762013962585</x:v>
      </x:c>
      <x:c r="BH61" s="17" t="n">
        <x:f>IF('Control Room'!$B$5="Normal",'Control Room'!$B$7,('Control Room'!$B$8+'Control Room'!$D$8)/2)+'Control Room'!$B$9*(BH60-IF('Control Room'!$B$5="Normal",'Control Room'!$B$7,('Control Room'!$B$8+'Control Room'!$D$8)/2))+SQRT(1-'Control Room'!$B$9^2)*(BG61-IF('Control Room'!$B$5="Normal",'Control Room'!$B$7,('Control Room'!$B$8+'Control Room'!$D$8)/2))</x:f>
        <x:v>1133.5924199904252</x:v>
      </x:c>
      <x:c r="BI61" s="17" t="n">
        <x:f>IF(AND($A61&gt;='Control Room'!$A$13,$A61&lt;'Control Room'!$A$13+'Control Room'!$B$13,'Process'!BV2=1),1+('Control Room'!$C$13-1)*EXP(-0.5*(($A61-'Control Room'!$A$13-('Control Room'!$B$13-1)/2)/MAX(0.5,'Control Room'!$B$13/4))^2),1)*IF(AND($A61&gt;='Control Room'!$A$14,$A61&lt;'Control Room'!$A$14+'Control Room'!$B$14,'Process'!BV3=1),1+('Control Room'!$C$14-1)*EXP(-0.5*(($A61-'Control Room'!$A$14-('Control Room'!$B$14-1)/2)/MAX(0.5,'Control Room'!$B$14/4))^2),1)*IF(AND($A61&gt;='Control Room'!$A$15,$A61&lt;'Control Room'!$A$15+'Control Room'!$B$15,'Process'!BV4=1),1+('Control Room'!$C$15-1)*EXP(-0.5*(($A61-'Control Room'!$A$15-('Control Room'!$B$15-1)/2)/MAX(0.5,'Control Room'!$B$15/4))^2),1)*IF(AND($A61&gt;='Control Room'!$A$16,$A61&lt;'Control Room'!$A$16+'Control Room'!$B$16,'Process'!BV5=1),1+('Control Room'!$C$16-1)*EXP(-0.5*(($A61-'Control Room'!$A$16-('Control Room'!$B$16-1)/2)/MAX(0.5,'Control Room'!$B$16/4))^2),1)</x:f>
        <x:v>1</x:v>
      </x:c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Z61" t="str">
        <x:f>IF('Data'!A61="","",TEXT('Data'!A61,"mm-dd"))</x:f>
        <x:v>12-31</x:v>
      </x:c>
    </x:row>
    <x:row r="62" ht="21" customHeight="1">
      <x:c r="A62" s="15" t="n">
        <x:f>'Control Room'!$B$1+60</x:f>
        <x:v>73051</x:v>
      </x:c>
      <x:c r="B62" s="9" t="n">
        <x:f>MOD(C61*16807,2147483647)</x:f>
        <x:v>319033609</x:v>
      </x:c>
      <x:c r="C62" s="9" t="n">
        <x:f>MOD(B62*16807,2147483647)</x:f>
        <x:v>1878683551</x:v>
      </x:c>
      <x:c r="D62" s="17" t="n">
        <x:f>IF('Control Room'!$B$5="Normal",'Control Room'!$B$7+'Control Room'!$D$7*SQRT(-2*LN(MAX(0.000000000001,B62/2147483647)))*COS(2*PI()*C62/2147483647),'Control Room'!$B$8+('Control Room'!$D$8-'Control Room'!$B$8)*B62/2147483647)</x:f>
        <x:v>1124.1441300116478</x:v>
      </x:c>
      <x:c r="E62" s="17" t="n">
        <x:f>IF('Control Room'!$B$5="Normal",'Control Room'!$B$7,('Control Room'!$B$8+'Control Room'!$D$8)/2)+'Control Room'!$B$9*(E61-IF('Control Room'!$B$5="Normal",'Control Room'!$B$7,('Control Room'!$B$8+'Control Room'!$D$8)/2))+SQRT(1-'Control Room'!$B$9^2)*(D62-IF('Control Room'!$B$5="Normal",'Control Room'!$B$7,('Control Room'!$B$8+'Control Room'!$D$8)/2))</x:f>
        <x:v>1065.8710326702644</x:v>
      </x:c>
      <x:c r="F62" s="17" t="n">
        <x:f>IF(AND($A62&gt;='Control Room'!$A$13,$A62&lt;'Control Room'!$A$13+'Control Room'!$B$13,'Process'!BK2=1),1+('Control Room'!$C$13-1)*EXP(-0.5*(($A62-'Control Room'!$A$13-('Control Room'!$B$13-1)/2)/MAX(0.5,'Control Room'!$B$13/4))^2),1)*IF(AND($A62&gt;='Control Room'!$A$14,$A62&lt;'Control Room'!$A$14+'Control Room'!$B$14,'Process'!BK3=1),1+('Control Room'!$C$14-1)*EXP(-0.5*(($A62-'Control Room'!$A$14-('Control Room'!$B$14-1)/2)/MAX(0.5,'Control Room'!$B$14/4))^2),1)*IF(AND($A62&gt;='Control Room'!$A$15,$A62&lt;'Control Room'!$A$15+'Control Room'!$B$15,'Process'!BK4=1),1+('Control Room'!$C$15-1)*EXP(-0.5*(($A62-'Control Room'!$A$15-('Control Room'!$B$15-1)/2)/MAX(0.5,'Control Room'!$B$15/4))^2),1)*IF(AND($A62&gt;='Control Room'!$A$16,$A62&lt;'Control Room'!$A$16+'Control Room'!$B$16,'Process'!BK5=1),1+('Control Room'!$C$16-1)*EXP(-0.5*(($A62-'Control Room'!$A$16-('Control Room'!$B$16-1)/2)/MAX(0.5,'Control Room'!$B$16/4))^2),1)</x:f>
        <x:v>1</x:v>
      </x:c>
      <x:c r="G62" s="9" t="n">
        <x:f>MOD(H61*16807,2147483647)</x:f>
        <x:v>1021190886</x:v>
      </x:c>
      <x:c r="H62" s="9" t="n">
        <x:f>MOD(G62*16807,2147483647)</x:f>
        <x:v>465914178</x:v>
      </x:c>
      <x:c r="I62" s="17" t="n">
        <x:f>IF('Control Room'!$B$5="Normal",'Control Room'!$B$7+'Control Room'!$D$7*SQRT(-2*LN(MAX(0.000000000001,G62/2147483647)))*COS(2*PI()*H62/2147483647),'Control Room'!$B$8+('Control Room'!$D$8-'Control Room'!$B$8)*G62/2147483647)</x:f>
        <x:v>1022.6186621430096</x:v>
      </x:c>
      <x:c r="J62" s="17" t="n">
        <x:f>IF('Control Room'!$B$5="Normal",'Control Room'!$B$7,('Control Room'!$B$8+'Control Room'!$D$8)/2)+'Control Room'!$B$9*(J61-IF('Control Room'!$B$5="Normal",'Control Room'!$B$7,('Control Room'!$B$8+'Control Room'!$D$8)/2))+SQRT(1-'Control Room'!$B$9^2)*(I62-IF('Control Room'!$B$5="Normal",'Control Room'!$B$7,('Control Room'!$B$8+'Control Room'!$D$8)/2))</x:f>
        <x:v>856.2976466288957</x:v>
      </x:c>
      <x:c r="K62" s="17" t="n">
        <x:f>IF(AND($A62&gt;='Control Room'!$A$13,$A62&lt;'Control Room'!$A$13+'Control Room'!$B$13,'Process'!BL2=1),1+('Control Room'!$C$13-1)*EXP(-0.5*(($A62-'Control Room'!$A$13-('Control Room'!$B$13-1)/2)/MAX(0.5,'Control Room'!$B$13/4))^2),1)*IF(AND($A62&gt;='Control Room'!$A$14,$A62&lt;'Control Room'!$A$14+'Control Room'!$B$14,'Process'!BL3=1),1+('Control Room'!$C$14-1)*EXP(-0.5*(($A62-'Control Room'!$A$14-('Control Room'!$B$14-1)/2)/MAX(0.5,'Control Room'!$B$14/4))^2),1)*IF(AND($A62&gt;='Control Room'!$A$15,$A62&lt;'Control Room'!$A$15+'Control Room'!$B$15,'Process'!BL4=1),1+('Control Room'!$C$15-1)*EXP(-0.5*(($A62-'Control Room'!$A$15-('Control Room'!$B$15-1)/2)/MAX(0.5,'Control Room'!$B$15/4))^2),1)*IF(AND($A62&gt;='Control Room'!$A$16,$A62&lt;'Control Room'!$A$16+'Control Room'!$B$16,'Process'!BL5=1),1+('Control Room'!$C$16-1)*EXP(-0.5*(($A62-'Control Room'!$A$16-('Control Room'!$B$16-1)/2)/MAX(0.5,'Control Room'!$B$16/4))^2),1)</x:f>
        <x:v>1</x:v>
      </x:c>
      <x:c r="L62" s="9" t="n">
        <x:f>MOD(M61*16807,2147483647)</x:f>
        <x:v>1723348163</x:v>
      </x:c>
      <x:c r="M62" s="9" t="n">
        <x:f>MOD(L62*16807,2147483647)</x:f>
        <x:v>1200628452</x:v>
      </x:c>
      <x:c r="N62" s="17" t="n">
        <x:f>IF('Control Room'!$B$5="Normal",'Control Room'!$B$7+'Control Room'!$D$7*SQRT(-2*LN(MAX(0.000000000001,L62/2147483647)))*COS(2*PI()*M62/2147483647),'Control Room'!$B$8+('Control Room'!$D$8-'Control Room'!$B$8)*L62/2147483647)</x:f>
        <x:v>944.3642686508199</x:v>
      </x:c>
      <x:c r="O62" s="17" t="n">
        <x:f>IF('Control Room'!$B$5="Normal",'Control Room'!$B$7,('Control Room'!$B$8+'Control Room'!$D$8)/2)+'Control Room'!$B$9*(O61-IF('Control Room'!$B$5="Normal",'Control Room'!$B$7,('Control Room'!$B$8+'Control Room'!$D$8)/2))+SQRT(1-'Control Room'!$B$9^2)*(N62-IF('Control Room'!$B$5="Normal",'Control Room'!$B$7,('Control Room'!$B$8+'Control Room'!$D$8)/2))</x:f>
        <x:v>954.1765003283527</x:v>
      </x:c>
      <x:c r="P62" s="17" t="n">
        <x:f>IF(AND($A62&gt;='Control Room'!$A$13,$A62&lt;'Control Room'!$A$13+'Control Room'!$B$13,'Process'!BM2=1),1+('Control Room'!$C$13-1)*EXP(-0.5*(($A62-'Control Room'!$A$13-('Control Room'!$B$13-1)/2)/MAX(0.5,'Control Room'!$B$13/4))^2),1)*IF(AND($A62&gt;='Control Room'!$A$14,$A62&lt;'Control Room'!$A$14+'Control Room'!$B$14,'Process'!BM3=1),1+('Control Room'!$C$14-1)*EXP(-0.5*(($A62-'Control Room'!$A$14-('Control Room'!$B$14-1)/2)/MAX(0.5,'Control Room'!$B$14/4))^2),1)*IF(AND($A62&gt;='Control Room'!$A$15,$A62&lt;'Control Room'!$A$15+'Control Room'!$B$15,'Process'!BM4=1),1+('Control Room'!$C$15-1)*EXP(-0.5*(($A62-'Control Room'!$A$15-('Control Room'!$B$15-1)/2)/MAX(0.5,'Control Room'!$B$15/4))^2),1)*IF(AND($A62&gt;='Control Room'!$A$16,$A62&lt;'Control Room'!$A$16+'Control Room'!$B$16,'Process'!BM5=1),1+('Control Room'!$C$16-1)*EXP(-0.5*(($A62-'Control Room'!$A$16-('Control Room'!$B$16-1)/2)/MAX(0.5,'Control Room'!$B$16/4))^2),1)</x:f>
        <x:v>1</x:v>
      </x:c>
      <x:c r="Q62" s="9" t="n">
        <x:f>MOD(R61*16807,2147483647)</x:f>
        <x:v>278021793</x:v>
      </x:c>
      <x:c r="R62" s="9" t="n">
        <x:f>MOD(Q62*16807,2147483647)</x:f>
        <x:v>1935342726</x:v>
      </x:c>
      <x:c r="S62" s="17" t="n">
        <x:f>IF('Control Room'!$B$5="Normal",'Control Room'!$B$7+'Control Room'!$D$7*SQRT(-2*LN(MAX(0.000000000001,Q62/2147483647)))*COS(2*PI()*R62/2147483647),'Control Room'!$B$8+('Control Room'!$D$8-'Control Room'!$B$8)*Q62/2147483647)</x:f>
        <x:v>1148.040654878816</x:v>
      </x:c>
      <x:c r="T62" s="17" t="n">
        <x:f>IF('Control Room'!$B$5="Normal",'Control Room'!$B$7,('Control Room'!$B$8+'Control Room'!$D$8)/2)+'Control Room'!$B$9*(T61-IF('Control Room'!$B$5="Normal",'Control Room'!$B$7,('Control Room'!$B$8+'Control Room'!$D$8)/2))+SQRT(1-'Control Room'!$B$9^2)*(S62-IF('Control Room'!$B$5="Normal",'Control Room'!$B$7,('Control Room'!$B$8+'Control Room'!$D$8)/2))</x:f>
        <x:v>1057.4806829681575</x:v>
      </x:c>
      <x:c r="U62" s="17" t="n">
        <x:f>IF(AND($A62&gt;='Control Room'!$A$13,$A62&lt;'Control Room'!$A$13+'Control Room'!$B$13,'Process'!BN2=1),1+('Control Room'!$C$13-1)*EXP(-0.5*(($A62-'Control Room'!$A$13-('Control Room'!$B$13-1)/2)/MAX(0.5,'Control Room'!$B$13/4))^2),1)*IF(AND($A62&gt;='Control Room'!$A$14,$A62&lt;'Control Room'!$A$14+'Control Room'!$B$14,'Process'!BN3=1),1+('Control Room'!$C$14-1)*EXP(-0.5*(($A62-'Control Room'!$A$14-('Control Room'!$B$14-1)/2)/MAX(0.5,'Control Room'!$B$14/4))^2),1)*IF(AND($A62&gt;='Control Room'!$A$15,$A62&lt;'Control Room'!$A$15+'Control Room'!$B$15,'Process'!BN4=1),1+('Control Room'!$C$15-1)*EXP(-0.5*(($A62-'Control Room'!$A$15-('Control Room'!$B$15-1)/2)/MAX(0.5,'Control Room'!$B$15/4))^2),1)*IF(AND($A62&gt;='Control Room'!$A$16,$A62&lt;'Control Room'!$A$16+'Control Room'!$B$16,'Process'!BN5=1),1+('Control Room'!$C$16-1)*EXP(-0.5*(($A62-'Control Room'!$A$16-('Control Room'!$B$16-1)/2)/MAX(0.5,'Control Room'!$B$16/4))^2),1)</x:f>
        <x:v>1</x:v>
      </x:c>
      <x:c r="V62" s="9" t="n">
        <x:f>MOD(W61*16807,2147483647)</x:f>
        <x:v>980179070</x:v>
      </x:c>
      <x:c r="W62" s="9" t="n">
        <x:f>MOD(V62*16807,2147483647)</x:f>
        <x:v>522573353</x:v>
      </x:c>
      <x:c r="X62" s="17" t="n">
        <x:f>IF('Control Room'!$B$5="Normal",'Control Room'!$B$7+'Control Room'!$D$7*SQRT(-2*LN(MAX(0.000000000001,V62/2147483647)))*COS(2*PI()*W62/2147483647),'Control Room'!$B$8+('Control Room'!$D$8-'Control Room'!$B$8)*V62/2147483647)</x:f>
        <x:v>1004.7139880275597</x:v>
      </x:c>
      <x:c r="Y62" s="17" t="n">
        <x:f>IF('Control Room'!$B$5="Normal",'Control Room'!$B$7,('Control Room'!$B$8+'Control Room'!$D$8)/2)+'Control Room'!$B$9*(Y61-IF('Control Room'!$B$5="Normal",'Control Room'!$B$7,('Control Room'!$B$8+'Control Room'!$D$8)/2))+SQRT(1-'Control Room'!$B$9^2)*(X62-IF('Control Room'!$B$5="Normal",'Control Room'!$B$7,('Control Room'!$B$8+'Control Room'!$D$8)/2))</x:f>
        <x:v>1110.8625889221235</x:v>
      </x:c>
      <x:c r="Z62" s="17" t="n">
        <x:f>IF(AND($A62&gt;='Control Room'!$A$13,$A62&lt;'Control Room'!$A$13+'Control Room'!$B$13,'Process'!BO2=1),1+('Control Room'!$C$13-1)*EXP(-0.5*(($A62-'Control Room'!$A$13-('Control Room'!$B$13-1)/2)/MAX(0.5,'Control Room'!$B$13/4))^2),1)*IF(AND($A62&gt;='Control Room'!$A$14,$A62&lt;'Control Room'!$A$14+'Control Room'!$B$14,'Process'!BO3=1),1+('Control Room'!$C$14-1)*EXP(-0.5*(($A62-'Control Room'!$A$14-('Control Room'!$B$14-1)/2)/MAX(0.5,'Control Room'!$B$14/4))^2),1)*IF(AND($A62&gt;='Control Room'!$A$15,$A62&lt;'Control Room'!$A$15+'Control Room'!$B$15,'Process'!BO4=1),1+('Control Room'!$C$15-1)*EXP(-0.5*(($A62-'Control Room'!$A$15-('Control Room'!$B$15-1)/2)/MAX(0.5,'Control Room'!$B$15/4))^2),1)*IF(AND($A62&gt;='Control Room'!$A$16,$A62&lt;'Control Room'!$A$16+'Control Room'!$B$16,'Process'!BO5=1),1+('Control Room'!$C$16-1)*EXP(-0.5*(($A62-'Control Room'!$A$16-('Control Room'!$B$16-1)/2)/MAX(0.5,'Control Room'!$B$16/4))^2),1)</x:f>
        <x:v>1</x:v>
      </x:c>
      <x:c r="AA62" s="9" t="n">
        <x:f>MOD(AB61*16807,2147483647)</x:f>
        <x:v>1682336347</x:v>
      </x:c>
      <x:c r="AB62" s="9" t="n">
        <x:f>MOD(AA62*16807,2147483647)</x:f>
        <x:v>1257287627</x:v>
      </x:c>
      <x:c r="AC62" s="17" t="n">
        <x:f>IF('Control Room'!$B$5="Normal",'Control Room'!$B$7+'Control Room'!$D$7*SQRT(-2*LN(MAX(0.000000000001,AA62/2147483647)))*COS(2*PI()*AB62/2147483647),'Control Room'!$B$8+('Control Room'!$D$8-'Control Room'!$B$8)*AA62/2147483647)</x:f>
        <x:v>945.9662795025554</x:v>
      </x:c>
      <x:c r="AD62" s="17" t="n">
        <x:f>IF('Control Room'!$B$5="Normal",'Control Room'!$B$7,('Control Room'!$B$8+'Control Room'!$D$8)/2)+'Control Room'!$B$9*(AD61-IF('Control Room'!$B$5="Normal",'Control Room'!$B$7,('Control Room'!$B$8+'Control Room'!$D$8)/2))+SQRT(1-'Control Room'!$B$9^2)*(AC62-IF('Control Room'!$B$5="Normal",'Control Room'!$B$7,('Control Room'!$B$8+'Control Room'!$D$8)/2))</x:f>
        <x:v>872.4012206203502</x:v>
      </x:c>
      <x:c r="AE62" s="17" t="n">
        <x:f>IF(AND($A62&gt;='Control Room'!$A$13,$A62&lt;'Control Room'!$A$13+'Control Room'!$B$13,'Process'!BP2=1),1+('Control Room'!$C$13-1)*EXP(-0.5*(($A62-'Control Room'!$A$13-('Control Room'!$B$13-1)/2)/MAX(0.5,'Control Room'!$B$13/4))^2),1)*IF(AND($A62&gt;='Control Room'!$A$14,$A62&lt;'Control Room'!$A$14+'Control Room'!$B$14,'Process'!BP3=1),1+('Control Room'!$C$14-1)*EXP(-0.5*(($A62-'Control Room'!$A$14-('Control Room'!$B$14-1)/2)/MAX(0.5,'Control Room'!$B$14/4))^2),1)*IF(AND($A62&gt;='Control Room'!$A$15,$A62&lt;'Control Room'!$A$15+'Control Room'!$B$15,'Process'!BP4=1),1+('Control Room'!$C$15-1)*EXP(-0.5*(($A62-'Control Room'!$A$15-('Control Room'!$B$15-1)/2)/MAX(0.5,'Control Room'!$B$15/4))^2),1)*IF(AND($A62&gt;='Control Room'!$A$16,$A62&lt;'Control Room'!$A$16+'Control Room'!$B$16,'Process'!BP5=1),1+('Control Room'!$C$16-1)*EXP(-0.5*(($A62-'Control Room'!$A$16-('Control Room'!$B$16-1)/2)/MAX(0.5,'Control Room'!$B$16/4))^2),1)</x:f>
        <x:v>1</x:v>
      </x:c>
      <x:c r="AF62" s="9" t="n">
        <x:f>MOD(AG61*16807,2147483647)</x:f>
        <x:v>237009977</x:v>
      </x:c>
      <x:c r="AG62" s="9" t="n">
        <x:f>MOD(AF62*16807,2147483647)</x:f>
        <x:v>1992001901</x:v>
      </x:c>
      <x:c r="AH62" s="17" t="n">
        <x:f>IF('Control Room'!$B$5="Normal",'Control Room'!$B$7+'Control Room'!$D$7*SQRT(-2*LN(MAX(0.000000000001,AF62/2147483647)))*COS(2*PI()*AG62/2147483647),'Control Room'!$B$8+('Control Room'!$D$8-'Control Room'!$B$8)*AF62/2147483647)</x:f>
        <x:v>1169.7380313006554</x:v>
      </x:c>
      <x:c r="AI62" s="17" t="n">
        <x:f>IF('Control Room'!$B$5="Normal",'Control Room'!$B$7,('Control Room'!$B$8+'Control Room'!$D$8)/2)+'Control Room'!$B$9*(AI61-IF('Control Room'!$B$5="Normal",'Control Room'!$B$7,('Control Room'!$B$8+'Control Room'!$D$8)/2))+SQRT(1-'Control Room'!$B$9^2)*(AH62-IF('Control Room'!$B$5="Normal",'Control Room'!$B$7,('Control Room'!$B$8+'Control Room'!$D$8)/2))</x:f>
        <x:v>1257.5192798475769</x:v>
      </x:c>
      <x:c r="AJ62" s="17" t="n">
        <x:f>IF(AND($A62&gt;='Control Room'!$A$13,$A62&lt;'Control Room'!$A$13+'Control Room'!$B$13,'Process'!BQ2=1),1+('Control Room'!$C$13-1)*EXP(-0.5*(($A62-'Control Room'!$A$13-('Control Room'!$B$13-1)/2)/MAX(0.5,'Control Room'!$B$13/4))^2),1)*IF(AND($A62&gt;='Control Room'!$A$14,$A62&lt;'Control Room'!$A$14+'Control Room'!$B$14,'Process'!BQ3=1),1+('Control Room'!$C$14-1)*EXP(-0.5*(($A62-'Control Room'!$A$14-('Control Room'!$B$14-1)/2)/MAX(0.5,'Control Room'!$B$14/4))^2),1)*IF(AND($A62&gt;='Control Room'!$A$15,$A62&lt;'Control Room'!$A$15+'Control Room'!$B$15,'Process'!BQ4=1),1+('Control Room'!$C$15-1)*EXP(-0.5*(($A62-'Control Room'!$A$15-('Control Room'!$B$15-1)/2)/MAX(0.5,'Control Room'!$B$15/4))^2),1)*IF(AND($A62&gt;='Control Room'!$A$16,$A62&lt;'Control Room'!$A$16+'Control Room'!$B$16,'Process'!BQ5=1),1+('Control Room'!$C$16-1)*EXP(-0.5*(($A62-'Control Room'!$A$16-('Control Room'!$B$16-1)/2)/MAX(0.5,'Control Room'!$B$16/4))^2),1)</x:f>
        <x:v>1</x:v>
      </x:c>
      <x:c r="AK62" s="9" t="n">
        <x:f>MOD(AL61*16807,2147483647)</x:f>
        <x:v>939167254</x:v>
      </x:c>
      <x:c r="AL62" s="9" t="n">
        <x:f>MOD(AK62*16807,2147483647)</x:f>
        <x:v>579232528</x:v>
      </x:c>
      <x:c r="AM62" s="17" t="n">
        <x:f>IF('Control Room'!$B$5="Normal",'Control Room'!$B$7+'Control Room'!$D$7*SQRT(-2*LN(MAX(0.000000000001,AK62/2147483647)))*COS(2*PI()*AL62/2147483647),'Control Room'!$B$8+('Control Room'!$D$8-'Control Room'!$B$8)*AK62/2147483647)</x:f>
        <x:v>985.6901318072111</x:v>
      </x:c>
      <x:c r="AN62" s="17" t="n">
        <x:f>IF('Control Room'!$B$5="Normal",'Control Room'!$B$7,('Control Room'!$B$8+'Control Room'!$D$8)/2)+'Control Room'!$B$9*(AN61-IF('Control Room'!$B$5="Normal",'Control Room'!$B$7,('Control Room'!$B$8+'Control Room'!$D$8)/2))+SQRT(1-'Control Room'!$B$9^2)*(AM62-IF('Control Room'!$B$5="Normal",'Control Room'!$B$7,('Control Room'!$B$8+'Control Room'!$D$8)/2))</x:f>
        <x:v>1070.7237838597084</x:v>
      </x:c>
      <x:c r="AO62" s="17" t="n">
        <x:f>IF(AND($A62&gt;='Control Room'!$A$13,$A62&lt;'Control Room'!$A$13+'Control Room'!$B$13,'Process'!BR2=1),1+('Control Room'!$C$13-1)*EXP(-0.5*(($A62-'Control Room'!$A$13-('Control Room'!$B$13-1)/2)/MAX(0.5,'Control Room'!$B$13/4))^2),1)*IF(AND($A62&gt;='Control Room'!$A$14,$A62&lt;'Control Room'!$A$14+'Control Room'!$B$14,'Process'!BR3=1),1+('Control Room'!$C$14-1)*EXP(-0.5*(($A62-'Control Room'!$A$14-('Control Room'!$B$14-1)/2)/MAX(0.5,'Control Room'!$B$14/4))^2),1)*IF(AND($A62&gt;='Control Room'!$A$15,$A62&lt;'Control Room'!$A$15+'Control Room'!$B$15,'Process'!BR4=1),1+('Control Room'!$C$15-1)*EXP(-0.5*(($A62-'Control Room'!$A$15-('Control Room'!$B$15-1)/2)/MAX(0.5,'Control Room'!$B$15/4))^2),1)*IF(AND($A62&gt;='Control Room'!$A$16,$A62&lt;'Control Room'!$A$16+'Control Room'!$B$16,'Process'!BR5=1),1+('Control Room'!$C$16-1)*EXP(-0.5*(($A62-'Control Room'!$A$16-('Control Room'!$B$16-1)/2)/MAX(0.5,'Control Room'!$B$16/4))^2),1)</x:f>
        <x:v>1</x:v>
      </x:c>
      <x:c r="AP62" s="9" t="n">
        <x:f>MOD(AQ61*16807,2147483647)</x:f>
        <x:v>1641324531</x:v>
      </x:c>
      <x:c r="AQ62" s="9" t="n">
        <x:f>MOD(AP62*16807,2147483647)</x:f>
        <x:v>1313946802</x:v>
      </x:c>
      <x:c r="AR62" s="17" t="n">
        <x:f>IF('Control Room'!$B$5="Normal",'Control Room'!$B$7+'Control Room'!$D$7*SQRT(-2*LN(MAX(0.000000000001,AP62/2147483647)))*COS(2*PI()*AQ62/2147483647),'Control Room'!$B$8+('Control Room'!$D$8-'Control Room'!$B$8)*AP62/2147483647)</x:f>
        <x:v>949.6486436652625</x:v>
      </x:c>
      <x:c r="AS62" s="17" t="n">
        <x:f>IF('Control Room'!$B$5="Normal",'Control Room'!$B$7,('Control Room'!$B$8+'Control Room'!$D$8)/2)+'Control Room'!$B$9*(AS61-IF('Control Room'!$B$5="Normal",'Control Room'!$B$7,('Control Room'!$B$8+'Control Room'!$D$8)/2))+SQRT(1-'Control Room'!$B$9^2)*(AR62-IF('Control Room'!$B$5="Normal",'Control Room'!$B$7,('Control Room'!$B$8+'Control Room'!$D$8)/2))</x:f>
        <x:v>1026.2826902133525</x:v>
      </x:c>
      <x:c r="AT62" s="17" t="n">
        <x:f>IF(AND($A62&gt;='Control Room'!$A$13,$A62&lt;'Control Room'!$A$13+'Control Room'!$B$13,'Process'!BS2=1),1+('Control Room'!$C$13-1)*EXP(-0.5*(($A62-'Control Room'!$A$13-('Control Room'!$B$13-1)/2)/MAX(0.5,'Control Room'!$B$13/4))^2),1)*IF(AND($A62&gt;='Control Room'!$A$14,$A62&lt;'Control Room'!$A$14+'Control Room'!$B$14,'Process'!BS3=1),1+('Control Room'!$C$14-1)*EXP(-0.5*(($A62-'Control Room'!$A$14-('Control Room'!$B$14-1)/2)/MAX(0.5,'Control Room'!$B$14/4))^2),1)*IF(AND($A62&gt;='Control Room'!$A$15,$A62&lt;'Control Room'!$A$15+'Control Room'!$B$15,'Process'!BS4=1),1+('Control Room'!$C$15-1)*EXP(-0.5*(($A62-'Control Room'!$A$15-('Control Room'!$B$15-1)/2)/MAX(0.5,'Control Room'!$B$15/4))^2),1)*IF(AND($A62&gt;='Control Room'!$A$16,$A62&lt;'Control Room'!$A$16+'Control Room'!$B$16,'Process'!BS5=1),1+('Control Room'!$C$16-1)*EXP(-0.5*(($A62-'Control Room'!$A$16-('Control Room'!$B$16-1)/2)/MAX(0.5,'Control Room'!$B$16/4))^2),1)</x:f>
        <x:v>1</x:v>
      </x:c>
      <x:c r="AU62" s="9" t="n">
        <x:f>MOD(AV61*16807,2147483647)</x:f>
        <x:v>195998161</x:v>
      </x:c>
      <x:c r="AV62" s="9" t="n">
        <x:f>MOD(AU62*16807,2147483647)</x:f>
        <x:v>2048661076</x:v>
      </x:c>
      <x:c r="AW62" s="17" t="n">
        <x:f>IF('Control Room'!$B$5="Normal",'Control Room'!$B$7+'Control Room'!$D$7*SQRT(-2*LN(MAX(0.000000000001,AU62/2147483647)))*COS(2*PI()*AV62/2147483647),'Control Room'!$B$8+('Control Room'!$D$8-'Control Room'!$B$8)*AU62/2147483647)</x:f>
        <x:v>1188.7566487094537</x:v>
      </x:c>
      <x:c r="AX62" s="17" t="n">
        <x:f>IF('Control Room'!$B$5="Normal",'Control Room'!$B$7,('Control Room'!$B$8+'Control Room'!$D$8)/2)+'Control Room'!$B$9*(AX61-IF('Control Room'!$B$5="Normal",'Control Room'!$B$7,('Control Room'!$B$8+'Control Room'!$D$8)/2))+SQRT(1-'Control Room'!$B$9^2)*(AW62-IF('Control Room'!$B$5="Normal",'Control Room'!$B$7,('Control Room'!$B$8+'Control Room'!$D$8)/2))</x:f>
        <x:v>1119.0248253635016</x:v>
      </x:c>
      <x:c r="AY62" s="17" t="n">
        <x:f>IF(AND($A62&gt;='Control Room'!$A$13,$A62&lt;'Control Room'!$A$13+'Control Room'!$B$13,'Process'!BT2=1),1+('Control Room'!$C$13-1)*EXP(-0.5*(($A62-'Control Room'!$A$13-('Control Room'!$B$13-1)/2)/MAX(0.5,'Control Room'!$B$13/4))^2),1)*IF(AND($A62&gt;='Control Room'!$A$14,$A62&lt;'Control Room'!$A$14+'Control Room'!$B$14,'Process'!BT3=1),1+('Control Room'!$C$14-1)*EXP(-0.5*(($A62-'Control Room'!$A$14-('Control Room'!$B$14-1)/2)/MAX(0.5,'Control Room'!$B$14/4))^2),1)*IF(AND($A62&gt;='Control Room'!$A$15,$A62&lt;'Control Room'!$A$15+'Control Room'!$B$15,'Process'!BT4=1),1+('Control Room'!$C$15-1)*EXP(-0.5*(($A62-'Control Room'!$A$15-('Control Room'!$B$15-1)/2)/MAX(0.5,'Control Room'!$B$15/4))^2),1)*IF(AND($A62&gt;='Control Room'!$A$16,$A62&lt;'Control Room'!$A$16+'Control Room'!$B$16,'Process'!BT5=1),1+('Control Room'!$C$16-1)*EXP(-0.5*(($A62-'Control Room'!$A$16-('Control Room'!$B$16-1)/2)/MAX(0.5,'Control Room'!$B$16/4))^2),1)</x:f>
        <x:v>1</x:v>
      </x:c>
      <x:c r="AZ62" s="9" t="n">
        <x:f>MOD(BA61*16807,2147483647)</x:f>
        <x:v>898155438</x:v>
      </x:c>
      <x:c r="BA62" s="9" t="n">
        <x:f>MOD(AZ62*16807,2147483647)</x:f>
        <x:v>635891703</x:v>
      </x:c>
      <x:c r="BB62" s="17" t="n">
        <x:f>IF('Control Room'!$B$5="Normal",'Control Room'!$B$7+'Control Room'!$D$7*SQRT(-2*LN(MAX(0.000000000001,AZ62/2147483647)))*COS(2*PI()*BA62/2147483647),'Control Room'!$B$8+('Control Room'!$D$8-'Control Room'!$B$8)*AZ62/2147483647)</x:f>
        <x:v>966.0509991441231</x:v>
      </x:c>
      <x:c r="BC62" s="17" t="n">
        <x:f>IF('Control Room'!$B$5="Normal",'Control Room'!$B$7,('Control Room'!$B$8+'Control Room'!$D$8)/2)+'Control Room'!$B$9*(BC61-IF('Control Room'!$B$5="Normal",'Control Room'!$B$7,('Control Room'!$B$8+'Control Room'!$D$8)/2))+SQRT(1-'Control Room'!$B$9^2)*(BB62-IF('Control Room'!$B$5="Normal",'Control Room'!$B$7,('Control Room'!$B$8+'Control Room'!$D$8)/2))</x:f>
        <x:v>1050.4951753198175</x:v>
      </x:c>
      <x:c r="BD62" s="17" t="n">
        <x:f>IF(AND($A62&gt;='Control Room'!$A$13,$A62&lt;'Control Room'!$A$13+'Control Room'!$B$13,'Process'!BU2=1),1+('Control Room'!$C$13-1)*EXP(-0.5*(($A62-'Control Room'!$A$13-('Control Room'!$B$13-1)/2)/MAX(0.5,'Control Room'!$B$13/4))^2),1)*IF(AND($A62&gt;='Control Room'!$A$14,$A62&lt;'Control Room'!$A$14+'Control Room'!$B$14,'Process'!BU3=1),1+('Control Room'!$C$14-1)*EXP(-0.5*(($A62-'Control Room'!$A$14-('Control Room'!$B$14-1)/2)/MAX(0.5,'Control Room'!$B$14/4))^2),1)*IF(AND($A62&gt;='Control Room'!$A$15,$A62&lt;'Control Room'!$A$15+'Control Room'!$B$15,'Process'!BU4=1),1+('Control Room'!$C$15-1)*EXP(-0.5*(($A62-'Control Room'!$A$15-('Control Room'!$B$15-1)/2)/MAX(0.5,'Control Room'!$B$15/4))^2),1)*IF(AND($A62&gt;='Control Room'!$A$16,$A62&lt;'Control Room'!$A$16+'Control Room'!$B$16,'Process'!BU5=1),1+('Control Room'!$C$16-1)*EXP(-0.5*(($A62-'Control Room'!$A$16-('Control Room'!$B$16-1)/2)/MAX(0.5,'Control Room'!$B$16/4))^2),1)</x:f>
        <x:v>1</x:v>
      </x:c>
      <x:c r="BE62" s="9" t="n">
        <x:f>MOD(BF61*16807,2147483647)</x:f>
        <x:v>1600312715</x:v>
      </x:c>
      <x:c r="BF62" s="9" t="n">
        <x:f>MOD(BE62*16807,2147483647)</x:f>
        <x:v>1370605977</x:v>
      </x:c>
      <x:c r="BG62" s="17" t="n">
        <x:f>IF('Control Room'!$B$5="Normal",'Control Room'!$B$7+'Control Room'!$D$7*SQRT(-2*LN(MAX(0.000000000001,BE62/2147483647)))*COS(2*PI()*BF62/2147483647),'Control Room'!$B$8+('Control Room'!$D$8-'Control Room'!$B$8)*BE62/2147483647)</x:f>
        <x:v>955.4160764254714</x:v>
      </x:c>
      <x:c r="BH62" s="17" t="n">
        <x:f>IF('Control Room'!$B$5="Normal",'Control Room'!$B$7,('Control Room'!$B$8+'Control Room'!$D$8)/2)+'Control Room'!$B$9*(BH61-IF('Control Room'!$B$5="Normal",'Control Room'!$B$7,('Control Room'!$B$8+'Control Room'!$D$8)/2))+SQRT(1-'Control Room'!$B$9^2)*(BG62-IF('Control Room'!$B$5="Normal",'Control Room'!$B$7,('Control Room'!$B$8+'Control Room'!$D$8)/2))</x:f>
        <x:v>1076.3023815709112</x:v>
      </x:c>
      <x:c r="BI62" s="17" t="n">
        <x:f>IF(AND($A62&gt;='Control Room'!$A$13,$A62&lt;'Control Room'!$A$13+'Control Room'!$B$13,'Process'!BV2=1),1+('Control Room'!$C$13-1)*EXP(-0.5*(($A62-'Control Room'!$A$13-('Control Room'!$B$13-1)/2)/MAX(0.5,'Control Room'!$B$13/4))^2),1)*IF(AND($A62&gt;='Control Room'!$A$14,$A62&lt;'Control Room'!$A$14+'Control Room'!$B$14,'Process'!BV3=1),1+('Control Room'!$C$14-1)*EXP(-0.5*(($A62-'Control Room'!$A$14-('Control Room'!$B$14-1)/2)/MAX(0.5,'Control Room'!$B$14/4))^2),1)*IF(AND($A62&gt;='Control Room'!$A$15,$A62&lt;'Control Room'!$A$15+'Control Room'!$B$15,'Process'!BV4=1),1+('Control Room'!$C$15-1)*EXP(-0.5*(($A62-'Control Room'!$A$15-('Control Room'!$B$15-1)/2)/MAX(0.5,'Control Room'!$B$15/4))^2),1)*IF(AND($A62&gt;='Control Room'!$A$16,$A62&lt;'Control Room'!$A$16+'Control Room'!$B$16,'Process'!BV5=1),1+('Control Room'!$C$16-1)*EXP(-0.5*(($A62-'Control Room'!$A$16-('Control Room'!$B$16-1)/2)/MAX(0.5,'Control Room'!$B$16/4))^2),1)</x:f>
        <x:v>1</x:v>
      </x:c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Z62" t="str">
        <x:f>IF('Data'!A62="","",TEXT('Data'!A62,"mm-dd"))</x:f>
        <x:v>01-01</x:v>
      </x:c>
    </x:row>
    <x:row r="63" ht="21" customHeight="1">
      <x:c r="A63" s="15" t="n">
        <x:f>'Control Room'!$B$1+61</x:f>
        <x:v>73052</x:v>
      </x:c>
      <x:c r="B63" s="9" t="n">
        <x:f>MOD(C62*16807,2147483647)</x:f>
        <x:v>582379816</x:v>
      </x:c>
      <x:c r="C63" s="9" t="n">
        <x:f>MOD(B63*16807,2147483647)</x:f>
        <x:v>1974588133</x:v>
      </x:c>
      <x:c r="D63" s="17" t="n">
        <x:f>IF('Control Room'!$B$5="Normal",'Control Room'!$B$7+'Control Room'!$D$7*SQRT(-2*LN(MAX(0.000000000001,B63/2147483647)))*COS(2*PI()*C63/2147483647),'Control Room'!$B$8+('Control Room'!$D$8-'Control Room'!$B$8)*B63/2147483647)</x:f>
        <x:v>1127.185614678055</x:v>
      </x:c>
      <x:c r="E63" s="17" t="n">
        <x:f>IF('Control Room'!$B$5="Normal",'Control Room'!$B$7,('Control Room'!$B$8+'Control Room'!$D$8)/2)+'Control Room'!$B$9*(E62-IF('Control Room'!$B$5="Normal",'Control Room'!$B$7,('Control Room'!$B$8+'Control Room'!$D$8)/2))+SQRT(1-'Control Room'!$B$9^2)*(D63-IF('Control Room'!$B$5="Normal",'Control Room'!$B$7,('Control Room'!$B$8+'Control Room'!$D$8)/2))</x:f>
        <x:v>1130.9695576093927</x:v>
      </x:c>
      <x:c r="F63" s="17" t="n">
        <x:f>IF(AND($A63&gt;='Control Room'!$A$13,$A63&lt;'Control Room'!$A$13+'Control Room'!$B$13,'Process'!BK2=1),1+('Control Room'!$C$13-1)*EXP(-0.5*(($A63-'Control Room'!$A$13-('Control Room'!$B$13-1)/2)/MAX(0.5,'Control Room'!$B$13/4))^2),1)*IF(AND($A63&gt;='Control Room'!$A$14,$A63&lt;'Control Room'!$A$14+'Control Room'!$B$14,'Process'!BK3=1),1+('Control Room'!$C$14-1)*EXP(-0.5*(($A63-'Control Room'!$A$14-('Control Room'!$B$14-1)/2)/MAX(0.5,'Control Room'!$B$14/4))^2),1)*IF(AND($A63&gt;='Control Room'!$A$15,$A63&lt;'Control Room'!$A$15+'Control Room'!$B$15,'Process'!BK4=1),1+('Control Room'!$C$15-1)*EXP(-0.5*(($A63-'Control Room'!$A$15-('Control Room'!$B$15-1)/2)/MAX(0.5,'Control Room'!$B$15/4))^2),1)*IF(AND($A63&gt;='Control Room'!$A$16,$A63&lt;'Control Room'!$A$16+'Control Room'!$B$16,'Process'!BK5=1),1+('Control Room'!$C$16-1)*EXP(-0.5*(($A63-'Control Room'!$A$16-('Control Room'!$B$16-1)/2)/MAX(0.5,'Control Room'!$B$16/4))^2),1)</x:f>
        <x:v>1</x:v>
      </x:c>
      <x:c r="G63" s="9" t="n">
        <x:f>MOD(H62*16807,2147483647)</x:f>
        <x:v>894212684</x:v>
      </x:c>
      <x:c r="H63" s="9" t="n">
        <x:f>MOD(G63*16807,2147483647)</x:f>
        <x:v>942018282</x:v>
      </x:c>
      <x:c r="I63" s="17" t="n">
        <x:f>IF('Control Room'!$B$5="Normal",'Control Room'!$B$7+'Control Room'!$D$7*SQRT(-2*LN(MAX(0.000000000001,G63/2147483647)))*COS(2*PI()*H63/2147483647),'Control Room'!$B$8+('Control Room'!$D$8-'Control Room'!$B$8)*G63/2147483647)</x:f>
        <x:v>889.6045895347206</x:v>
      </x:c>
      <x:c r="J63" s="17" t="n">
        <x:f>IF('Control Room'!$B$5="Normal",'Control Room'!$B$7,('Control Room'!$B$8+'Control Room'!$D$8)/2)+'Control Room'!$B$9*(J62-IF('Control Room'!$B$5="Normal",'Control Room'!$B$7,('Control Room'!$B$8+'Control Room'!$D$8)/2))+SQRT(1-'Control Room'!$B$9^2)*(I63-IF('Control Room'!$B$5="Normal",'Control Room'!$B$7,('Control Room'!$B$8+'Control Room'!$D$8)/2))</x:f>
        <x:v>818.8289780742776</x:v>
      </x:c>
      <x:c r="K63" s="17" t="n">
        <x:f>IF(AND($A63&gt;='Control Room'!$A$13,$A63&lt;'Control Room'!$A$13+'Control Room'!$B$13,'Process'!BL2=1),1+('Control Room'!$C$13-1)*EXP(-0.5*(($A63-'Control Room'!$A$13-('Control Room'!$B$13-1)/2)/MAX(0.5,'Control Room'!$B$13/4))^2),1)*IF(AND($A63&gt;='Control Room'!$A$14,$A63&lt;'Control Room'!$A$14+'Control Room'!$B$14,'Process'!BL3=1),1+('Control Room'!$C$14-1)*EXP(-0.5*(($A63-'Control Room'!$A$14-('Control Room'!$B$14-1)/2)/MAX(0.5,'Control Room'!$B$14/4))^2),1)*IF(AND($A63&gt;='Control Room'!$A$15,$A63&lt;'Control Room'!$A$15+'Control Room'!$B$15,'Process'!BL4=1),1+('Control Room'!$C$15-1)*EXP(-0.5*(($A63-'Control Room'!$A$15-('Control Room'!$B$15-1)/2)/MAX(0.5,'Control Room'!$B$15/4))^2),1)*IF(AND($A63&gt;='Control Room'!$A$16,$A63&lt;'Control Room'!$A$16+'Control Room'!$B$16,'Process'!BL5=1),1+('Control Room'!$C$16-1)*EXP(-0.5*(($A63-'Control Room'!$A$16-('Control Room'!$B$16-1)/2)/MAX(0.5,'Control Room'!$B$16/4))^2),1)</x:f>
        <x:v>1</x:v>
      </x:c>
      <x:c r="L63" s="9" t="n">
        <x:f>MOD(M62*16807,2147483647)</x:f>
        <x:v>1206045552</x:v>
      </x:c>
      <x:c r="M63" s="9" t="n">
        <x:f>MOD(L63*16807,2147483647)</x:f>
        <x:v>2056932078</x:v>
      </x:c>
      <x:c r="N63" s="17" t="n">
        <x:f>IF('Control Room'!$B$5="Normal",'Control Room'!$B$7+'Control Room'!$D$7*SQRT(-2*LN(MAX(0.000000000001,L63/2147483647)))*COS(2*PI()*M63/2147483647),'Control Room'!$B$8+('Control Room'!$D$8-'Control Room'!$B$8)*L63/2147483647)</x:f>
        <x:v>1093.3045189870334</x:v>
      </x:c>
      <x:c r="O63" s="17" t="n">
        <x:f>IF('Control Room'!$B$5="Normal",'Control Room'!$B$7,('Control Room'!$B$8+'Control Room'!$D$8)/2)+'Control Room'!$B$9*(O62-IF('Control Room'!$B$5="Normal",'Control Room'!$B$7,('Control Room'!$B$8+'Control Room'!$D$8)/2))+SQRT(1-'Control Room'!$B$9^2)*(N63-IF('Control Room'!$B$5="Normal",'Control Room'!$B$7,('Control Room'!$B$8+'Control Room'!$D$8)/2))</x:f>
        <x:v>1022.6457267912327</x:v>
      </x:c>
      <x:c r="P63" s="17" t="n">
        <x:f>IF(AND($A63&gt;='Control Room'!$A$13,$A63&lt;'Control Room'!$A$13+'Control Room'!$B$13,'Process'!BM2=1),1+('Control Room'!$C$13-1)*EXP(-0.5*(($A63-'Control Room'!$A$13-('Control Room'!$B$13-1)/2)/MAX(0.5,'Control Room'!$B$13/4))^2),1)*IF(AND($A63&gt;='Control Room'!$A$14,$A63&lt;'Control Room'!$A$14+'Control Room'!$B$14,'Process'!BM3=1),1+('Control Room'!$C$14-1)*EXP(-0.5*(($A63-'Control Room'!$A$14-('Control Room'!$B$14-1)/2)/MAX(0.5,'Control Room'!$B$14/4))^2),1)*IF(AND($A63&gt;='Control Room'!$A$15,$A63&lt;'Control Room'!$A$15+'Control Room'!$B$15,'Process'!BM4=1),1+('Control Room'!$C$15-1)*EXP(-0.5*(($A63-'Control Room'!$A$15-('Control Room'!$B$15-1)/2)/MAX(0.5,'Control Room'!$B$15/4))^2),1)*IF(AND($A63&gt;='Control Room'!$A$16,$A63&lt;'Control Room'!$A$16+'Control Room'!$B$16,'Process'!BM5=1),1+('Control Room'!$C$16-1)*EXP(-0.5*(($A63-'Control Room'!$A$16-('Control Room'!$B$16-1)/2)/MAX(0.5,'Control Room'!$B$16/4))^2),1)</x:f>
        <x:v>1</x:v>
      </x:c>
      <x:c r="Q63" s="9" t="n">
        <x:f>MOD(R62*16807,2147483647)</x:f>
        <x:v>1517878420</x:v>
      </x:c>
      <x:c r="R63" s="9" t="n">
        <x:f>MOD(Q63*16807,2147483647)</x:f>
        <x:v>1024362227</x:v>
      </x:c>
      <x:c r="S63" s="17" t="n">
        <x:f>IF('Control Room'!$B$5="Normal",'Control Room'!$B$7+'Control Room'!$D$7*SQRT(-2*LN(MAX(0.000000000001,Q63/2147483647)))*COS(2*PI()*R63/2147483647),'Control Room'!$B$8+('Control Room'!$D$8-'Control Room'!$B$8)*Q63/2147483647)</x:f>
        <x:v>925.8069476420712</x:v>
      </x:c>
      <x:c r="T63" s="17" t="n">
        <x:f>IF('Control Room'!$B$5="Normal",'Control Room'!$B$7,('Control Room'!$B$8+'Control Room'!$D$8)/2)+'Control Room'!$B$9*(T62-IF('Control Room'!$B$5="Normal",'Control Room'!$B$7,('Control Room'!$B$8+'Control Room'!$D$8)/2))+SQRT(1-'Control Room'!$B$9^2)*(S63-IF('Control Room'!$B$5="Normal",'Control Room'!$B$7,('Control Room'!$B$8+'Control Room'!$D$8)/2))</x:f>
        <x:v>998.4064404768638</x:v>
      </x:c>
      <x:c r="U63" s="17" t="n">
        <x:f>IF(AND($A63&gt;='Control Room'!$A$13,$A63&lt;'Control Room'!$A$13+'Control Room'!$B$13,'Process'!BN2=1),1+('Control Room'!$C$13-1)*EXP(-0.5*(($A63-'Control Room'!$A$13-('Control Room'!$B$13-1)/2)/MAX(0.5,'Control Room'!$B$13/4))^2),1)*IF(AND($A63&gt;='Control Room'!$A$14,$A63&lt;'Control Room'!$A$14+'Control Room'!$B$14,'Process'!BN3=1),1+('Control Room'!$C$14-1)*EXP(-0.5*(($A63-'Control Room'!$A$14-('Control Room'!$B$14-1)/2)/MAX(0.5,'Control Room'!$B$14/4))^2),1)*IF(AND($A63&gt;='Control Room'!$A$15,$A63&lt;'Control Room'!$A$15+'Control Room'!$B$15,'Process'!BN4=1),1+('Control Room'!$C$15-1)*EXP(-0.5*(($A63-'Control Room'!$A$15-('Control Room'!$B$15-1)/2)/MAX(0.5,'Control Room'!$B$15/4))^2),1)*IF(AND($A63&gt;='Control Room'!$A$16,$A63&lt;'Control Room'!$A$16+'Control Room'!$B$16,'Process'!BN5=1),1+('Control Room'!$C$16-1)*EXP(-0.5*(($A63-'Control Room'!$A$16-('Control Room'!$B$16-1)/2)/MAX(0.5,'Control Room'!$B$16/4))^2),1)</x:f>
        <x:v>1</x:v>
      </x:c>
      <x:c r="V63" s="9" t="n">
        <x:f>MOD(W62*16807,2147483647)</x:f>
        <x:v>1829711288</x:v>
      </x:c>
      <x:c r="W63" s="9" t="n">
        <x:f>MOD(V63*16807,2147483647)</x:f>
        <x:v>2139276023</x:v>
      </x:c>
      <x:c r="X63" s="17" t="n">
        <x:f>IF('Control Room'!$B$5="Normal",'Control Room'!$B$7+'Control Room'!$D$7*SQRT(-2*LN(MAX(0.000000000001,V63/2147483647)))*COS(2*PI()*W63/2147483647),'Control Room'!$B$8+('Control Room'!$D$8-'Control Room'!$B$8)*V63/2147483647)</x:f>
        <x:v>1050.9190445633217</x:v>
      </x:c>
      <x:c r="Y63" s="17" t="n">
        <x:f>IF('Control Room'!$B$5="Normal",'Control Room'!$B$7,('Control Room'!$B$8+'Control Room'!$D$8)/2)+'Control Room'!$B$9*(Y62-IF('Control Room'!$B$5="Normal",'Control Room'!$B$7,('Control Room'!$B$8+'Control Room'!$D$8)/2))+SQRT(1-'Control Room'!$B$9^2)*(X63-IF('Control Room'!$B$5="Normal",'Control Room'!$B$7,('Control Room'!$B$8+'Control Room'!$D$8)/2))</x:f>
        <x:v>1118.3369143136558</x:v>
      </x:c>
      <x:c r="Z63" s="17" t="n">
        <x:f>IF(AND($A63&gt;='Control Room'!$A$13,$A63&lt;'Control Room'!$A$13+'Control Room'!$B$13,'Process'!BO2=1),1+('Control Room'!$C$13-1)*EXP(-0.5*(($A63-'Control Room'!$A$13-('Control Room'!$B$13-1)/2)/MAX(0.5,'Control Room'!$B$13/4))^2),1)*IF(AND($A63&gt;='Control Room'!$A$14,$A63&lt;'Control Room'!$A$14+'Control Room'!$B$14,'Process'!BO3=1),1+('Control Room'!$C$14-1)*EXP(-0.5*(($A63-'Control Room'!$A$14-('Control Room'!$B$14-1)/2)/MAX(0.5,'Control Room'!$B$14/4))^2),1)*IF(AND($A63&gt;='Control Room'!$A$15,$A63&lt;'Control Room'!$A$15+'Control Room'!$B$15,'Process'!BO4=1),1+('Control Room'!$C$15-1)*EXP(-0.5*(($A63-'Control Room'!$A$15-('Control Room'!$B$15-1)/2)/MAX(0.5,'Control Room'!$B$15/4))^2),1)*IF(AND($A63&gt;='Control Room'!$A$16,$A63&lt;'Control Room'!$A$16+'Control Room'!$B$16,'Process'!BO5=1),1+('Control Room'!$C$16-1)*EXP(-0.5*(($A63-'Control Room'!$A$16-('Control Room'!$B$16-1)/2)/MAX(0.5,'Control Room'!$B$16/4))^2),1)</x:f>
        <x:v>1</x:v>
      </x:c>
      <x:c r="AA63" s="9" t="n">
        <x:f>MOD(AB62*16807,2147483647)</x:f>
        <x:v>2141544156</x:v>
      </x:c>
      <x:c r="AB63" s="9" t="n">
        <x:f>MOD(AA63*16807,2147483647)</x:f>
        <x:v>1106706172</x:v>
      </x:c>
      <x:c r="AC63" s="17" t="n">
        <x:f>IF('Control Room'!$B$5="Normal",'Control Room'!$B$7+'Control Room'!$D$7*SQRT(-2*LN(MAX(0.000000000001,AA63/2147483647)))*COS(2*PI()*AB63/2147483647),'Control Room'!$B$8+('Control Room'!$D$8-'Control Room'!$B$8)*AA63/2147483647)</x:f>
        <x:v>993.3327809283213</x:v>
      </x:c>
      <x:c r="AD63" s="17" t="n">
        <x:f>IF('Control Room'!$B$5="Normal",'Control Room'!$B$7,('Control Room'!$B$8+'Control Room'!$D$8)/2)+'Control Room'!$B$9*(AD62-IF('Control Room'!$B$5="Normal",'Control Room'!$B$7,('Control Room'!$B$8+'Control Room'!$D$8)/2))+SQRT(1-'Control Room'!$B$9^2)*(AC63-IF('Control Room'!$B$5="Normal",'Control Room'!$B$7,('Control Room'!$B$8+'Control Room'!$D$8)/2))</x:f>
        <x:v>896.3007429742233</x:v>
      </x:c>
      <x:c r="AE63" s="17" t="n">
        <x:f>IF(AND($A63&gt;='Control Room'!$A$13,$A63&lt;'Control Room'!$A$13+'Control Room'!$B$13,'Process'!BP2=1),1+('Control Room'!$C$13-1)*EXP(-0.5*(($A63-'Control Room'!$A$13-('Control Room'!$B$13-1)/2)/MAX(0.5,'Control Room'!$B$13/4))^2),1)*IF(AND($A63&gt;='Control Room'!$A$14,$A63&lt;'Control Room'!$A$14+'Control Room'!$B$14,'Process'!BP3=1),1+('Control Room'!$C$14-1)*EXP(-0.5*(($A63-'Control Room'!$A$14-('Control Room'!$B$14-1)/2)/MAX(0.5,'Control Room'!$B$14/4))^2),1)*IF(AND($A63&gt;='Control Room'!$A$15,$A63&lt;'Control Room'!$A$15+'Control Room'!$B$15,'Process'!BP4=1),1+('Control Room'!$C$15-1)*EXP(-0.5*(($A63-'Control Room'!$A$15-('Control Room'!$B$15-1)/2)/MAX(0.5,'Control Room'!$B$15/4))^2),1)*IF(AND($A63&gt;='Control Room'!$A$16,$A63&lt;'Control Room'!$A$16+'Control Room'!$B$16,'Process'!BP5=1),1+('Control Room'!$C$16-1)*EXP(-0.5*(($A63-'Control Room'!$A$16-('Control Room'!$B$16-1)/2)/MAX(0.5,'Control Room'!$B$16/4))^2),1)</x:f>
        <x:v>1</x:v>
      </x:c>
      <x:c r="AF63" s="9" t="n">
        <x:f>MOD(AG62*16807,2147483647)</x:f>
        <x:v>305893377</x:v>
      </x:c>
      <x:c r="AG63" s="9" t="n">
        <x:f>MOD(AF63*16807,2147483647)</x:f>
        <x:v>74136321</x:v>
      </x:c>
      <x:c r="AH63" s="17" t="n">
        <x:f>IF('Control Room'!$B$5="Normal",'Control Room'!$B$7+'Control Room'!$D$7*SQRT(-2*LN(MAX(0.000000000001,AF63/2147483647)))*COS(2*PI()*AG63/2147483647),'Control Room'!$B$8+('Control Room'!$D$8-'Control Room'!$B$8)*AF63/2147483647)</x:f>
        <x:v>1173.5181428085637</x:v>
      </x:c>
      <x:c r="AI63" s="17" t="n">
        <x:f>IF('Control Room'!$B$5="Normal",'Control Room'!$B$7,('Control Room'!$B$8+'Control Room'!$D$8)/2)+'Control Room'!$B$9*(AI62-IF('Control Room'!$B$5="Normal",'Control Room'!$B$7,('Control Room'!$B$8+'Control Room'!$D$8)/2))+SQRT(1-'Control Room'!$B$9^2)*(AH63-IF('Control Room'!$B$5="Normal",'Control Room'!$B$7,('Control Room'!$B$8+'Control Room'!$D$8)/2))</x:f>
        <x:v>1309.4491373383378</x:v>
      </x:c>
      <x:c r="AJ63" s="17" t="n">
        <x:f>IF(AND($A63&gt;='Control Room'!$A$13,$A63&lt;'Control Room'!$A$13+'Control Room'!$B$13,'Process'!BQ2=1),1+('Control Room'!$C$13-1)*EXP(-0.5*(($A63-'Control Room'!$A$13-('Control Room'!$B$13-1)/2)/MAX(0.5,'Control Room'!$B$13/4))^2),1)*IF(AND($A63&gt;='Control Room'!$A$14,$A63&lt;'Control Room'!$A$14+'Control Room'!$B$14,'Process'!BQ3=1),1+('Control Room'!$C$14-1)*EXP(-0.5*(($A63-'Control Room'!$A$14-('Control Room'!$B$14-1)/2)/MAX(0.5,'Control Room'!$B$14/4))^2),1)*IF(AND($A63&gt;='Control Room'!$A$15,$A63&lt;'Control Room'!$A$15+'Control Room'!$B$15,'Process'!BQ4=1),1+('Control Room'!$C$15-1)*EXP(-0.5*(($A63-'Control Room'!$A$15-('Control Room'!$B$15-1)/2)/MAX(0.5,'Control Room'!$B$15/4))^2),1)*IF(AND($A63&gt;='Control Room'!$A$16,$A63&lt;'Control Room'!$A$16+'Control Room'!$B$16,'Process'!BQ5=1),1+('Control Room'!$C$16-1)*EXP(-0.5*(($A63-'Control Room'!$A$16-('Control Room'!$B$16-1)/2)/MAX(0.5,'Control Room'!$B$16/4))^2),1)</x:f>
        <x:v>1</x:v>
      </x:c>
      <x:c r="AK63" s="9" t="n">
        <x:f>MOD(AL62*16807,2147483647)</x:f>
        <x:v>617726245</x:v>
      </x:c>
      <x:c r="AL63" s="9" t="n">
        <x:f>MOD(AK63*16807,2147483647)</x:f>
        <x:v>1189050117</x:v>
      </x:c>
      <x:c r="AM63" s="17" t="n">
        <x:f>IF('Control Room'!$B$5="Normal",'Control Room'!$B$7+'Control Room'!$D$7*SQRT(-2*LN(MAX(0.000000000001,AK63/2147483647)))*COS(2*PI()*AL63/2147483647),'Control Room'!$B$8+('Control Room'!$D$8-'Control Room'!$B$8)*AK63/2147483647)</x:f>
        <x:v>865.9341267681972</x:v>
      </x:c>
      <x:c r="AN63" s="17" t="n">
        <x:f>IF('Control Room'!$B$5="Normal",'Control Room'!$B$7,('Control Room'!$B$8+'Control Room'!$D$8)/2)+'Control Room'!$B$9*(AN62-IF('Control Room'!$B$5="Normal",'Control Room'!$B$7,('Control Room'!$B$8+'Control Room'!$D$8)/2))+SQRT(1-'Control Room'!$B$9^2)*(AM63-IF('Control Room'!$B$5="Normal",'Control Room'!$B$7,('Control Room'!$B$8+'Control Room'!$D$8)/2))</x:f>
        <x:v>971.2688744308085</x:v>
      </x:c>
      <x:c r="AO63" s="17" t="n">
        <x:f>IF(AND($A63&gt;='Control Room'!$A$13,$A63&lt;'Control Room'!$A$13+'Control Room'!$B$13,'Process'!BR2=1),1+('Control Room'!$C$13-1)*EXP(-0.5*(($A63-'Control Room'!$A$13-('Control Room'!$B$13-1)/2)/MAX(0.5,'Control Room'!$B$13/4))^2),1)*IF(AND($A63&gt;='Control Room'!$A$14,$A63&lt;'Control Room'!$A$14+'Control Room'!$B$14,'Process'!BR3=1),1+('Control Room'!$C$14-1)*EXP(-0.5*(($A63-'Control Room'!$A$14-('Control Room'!$B$14-1)/2)/MAX(0.5,'Control Room'!$B$14/4))^2),1)*IF(AND($A63&gt;='Control Room'!$A$15,$A63&lt;'Control Room'!$A$15+'Control Room'!$B$15,'Process'!BR4=1),1+('Control Room'!$C$15-1)*EXP(-0.5*(($A63-'Control Room'!$A$15-('Control Room'!$B$15-1)/2)/MAX(0.5,'Control Room'!$B$15/4))^2),1)*IF(AND($A63&gt;='Control Room'!$A$16,$A63&lt;'Control Room'!$A$16+'Control Room'!$B$16,'Process'!BR5=1),1+('Control Room'!$C$16-1)*EXP(-0.5*(($A63-'Control Room'!$A$16-('Control Room'!$B$16-1)/2)/MAX(0.5,'Control Room'!$B$16/4))^2),1)</x:f>
        <x:v>1</x:v>
      </x:c>
      <x:c r="AP63" s="9" t="n">
        <x:f>MOD(AQ62*16807,2147483647)</x:f>
        <x:v>929559113</x:v>
      </x:c>
      <x:c r="AQ63" s="9" t="n">
        <x:f>MOD(AP63*16807,2147483647)</x:f>
        <x:v>156480266</x:v>
      </x:c>
      <x:c r="AR63" s="17" t="n">
        <x:f>IF('Control Room'!$B$5="Normal",'Control Room'!$B$7+'Control Room'!$D$7*SQRT(-2*LN(MAX(0.000000000001,AP63/2147483647)))*COS(2*PI()*AQ63/2147483647),'Control Room'!$B$8+('Control Room'!$D$8-'Control Room'!$B$8)*AP63/2147483647)</x:f>
        <x:v>1104.4736458041577</x:v>
      </x:c>
      <x:c r="AS63" s="17" t="n">
        <x:f>IF('Control Room'!$B$5="Normal",'Control Room'!$B$7,('Control Room'!$B$8+'Control Room'!$D$8)/2)+'Control Room'!$B$9*(AS62-IF('Control Room'!$B$5="Normal",'Control Room'!$B$7,('Control Room'!$B$8+'Control Room'!$D$8)/2))+SQRT(1-'Control Room'!$B$9^2)*(AR63-IF('Control Room'!$B$5="Normal",'Control Room'!$B$7,('Control Room'!$B$8+'Control Room'!$D$8)/2))</x:f>
        <x:v>1085.877965651689</x:v>
      </x:c>
      <x:c r="AT63" s="17" t="n">
        <x:f>IF(AND($A63&gt;='Control Room'!$A$13,$A63&lt;'Control Room'!$A$13+'Control Room'!$B$13,'Process'!BS2=1),1+('Control Room'!$C$13-1)*EXP(-0.5*(($A63-'Control Room'!$A$13-('Control Room'!$B$13-1)/2)/MAX(0.5,'Control Room'!$B$13/4))^2),1)*IF(AND($A63&gt;='Control Room'!$A$14,$A63&lt;'Control Room'!$A$14+'Control Room'!$B$14,'Process'!BS3=1),1+('Control Room'!$C$14-1)*EXP(-0.5*(($A63-'Control Room'!$A$14-('Control Room'!$B$14-1)/2)/MAX(0.5,'Control Room'!$B$14/4))^2),1)*IF(AND($A63&gt;='Control Room'!$A$15,$A63&lt;'Control Room'!$A$15+'Control Room'!$B$15,'Process'!BS4=1),1+('Control Room'!$C$15-1)*EXP(-0.5*(($A63-'Control Room'!$A$15-('Control Room'!$B$15-1)/2)/MAX(0.5,'Control Room'!$B$15/4))^2),1)*IF(AND($A63&gt;='Control Room'!$A$16,$A63&lt;'Control Room'!$A$16+'Control Room'!$B$16,'Process'!BS5=1),1+('Control Room'!$C$16-1)*EXP(-0.5*(($A63-'Control Room'!$A$16-('Control Room'!$B$16-1)/2)/MAX(0.5,'Control Room'!$B$16/4))^2),1)</x:f>
        <x:v>1</x:v>
      </x:c>
      <x:c r="AU63" s="9" t="n">
        <x:f>MOD(AV62*16807,2147483647)</x:f>
        <x:v>1241391981</x:v>
      </x:c>
      <x:c r="AV63" s="9" t="n">
        <x:f>MOD(AU63*16807,2147483647)</x:f>
        <x:v>1271394062</x:v>
      </x:c>
      <x:c r="AW63" s="17" t="n">
        <x:f>IF('Control Room'!$B$5="Normal",'Control Room'!$B$7+'Control Room'!$D$7*SQRT(-2*LN(MAX(0.000000000001,AU63/2147483647)))*COS(2*PI()*AV63/2147483647),'Control Room'!$B$8+('Control Room'!$D$8-'Control Room'!$B$8)*AU63/2147483647)</x:f>
        <x:v>921.0953056620089</x:v>
      </x:c>
      <x:c r="AX63" s="17" t="n">
        <x:f>IF('Control Room'!$B$5="Normal",'Control Room'!$B$7,('Control Room'!$B$8+'Control Room'!$D$8)/2)+'Control Room'!$B$9*(AX62-IF('Control Room'!$B$5="Normal",'Control Room'!$B$7,('Control Room'!$B$8+'Control Room'!$D$8)/2))+SQRT(1-'Control Room'!$B$9^2)*(AW63-IF('Control Room'!$B$5="Normal",'Control Room'!$B$7,('Control Room'!$B$8+'Control Room'!$D$8)/2))</x:f>
        <x:v>1043.4624225173418</x:v>
      </x:c>
      <x:c r="AY63" s="17" t="n">
        <x:f>IF(AND($A63&gt;='Control Room'!$A$13,$A63&lt;'Control Room'!$A$13+'Control Room'!$B$13,'Process'!BT2=1),1+('Control Room'!$C$13-1)*EXP(-0.5*(($A63-'Control Room'!$A$13-('Control Room'!$B$13-1)/2)/MAX(0.5,'Control Room'!$B$13/4))^2),1)*IF(AND($A63&gt;='Control Room'!$A$14,$A63&lt;'Control Room'!$A$14+'Control Room'!$B$14,'Process'!BT3=1),1+('Control Room'!$C$14-1)*EXP(-0.5*(($A63-'Control Room'!$A$14-('Control Room'!$B$14-1)/2)/MAX(0.5,'Control Room'!$B$14/4))^2),1)*IF(AND($A63&gt;='Control Room'!$A$15,$A63&lt;'Control Room'!$A$15+'Control Room'!$B$15,'Process'!BT4=1),1+('Control Room'!$C$15-1)*EXP(-0.5*(($A63-'Control Room'!$A$15-('Control Room'!$B$15-1)/2)/MAX(0.5,'Control Room'!$B$15/4))^2),1)*IF(AND($A63&gt;='Control Room'!$A$16,$A63&lt;'Control Room'!$A$16+'Control Room'!$B$16,'Process'!BT5=1),1+('Control Room'!$C$16-1)*EXP(-0.5*(($A63-'Control Room'!$A$16-('Control Room'!$B$16-1)/2)/MAX(0.5,'Control Room'!$B$16/4))^2),1)</x:f>
        <x:v>1</x:v>
      </x:c>
      <x:c r="AZ63" s="9" t="n">
        <x:f>MOD(BA62*16807,2147483647)</x:f>
        <x:v>1553224849</x:v>
      </x:c>
      <x:c r="BA63" s="9" t="n">
        <x:f>MOD(AZ63*16807,2147483647)</x:f>
        <x:v>238824211</x:v>
      </x:c>
      <x:c r="BB63" s="17" t="n">
        <x:f>IF('Control Room'!$B$5="Normal",'Control Room'!$B$7+'Control Room'!$D$7*SQRT(-2*LN(MAX(0.000000000001,AZ63/2147483647)))*COS(2*PI()*BA63/2147483647),'Control Room'!$B$8+('Control Room'!$D$8-'Control Room'!$B$8)*AZ63/2147483647)</x:f>
        <x:v>1055.4664257534437</x:v>
      </x:c>
      <x:c r="BC63" s="17" t="n">
        <x:f>IF('Control Room'!$B$5="Normal",'Control Room'!$B$7,('Control Room'!$B$8+'Control Room'!$D$8)/2)+'Control Room'!$B$9*(BC62-IF('Control Room'!$B$5="Normal",'Control Room'!$B$7,('Control Room'!$B$8+'Control Room'!$D$8)/2))+SQRT(1-'Control Room'!$B$9^2)*(BB63-IF('Control Room'!$B$5="Normal",'Control Room'!$B$7,('Control Room'!$B$8+'Control Room'!$D$8)/2))</x:f>
        <x:v>1074.095989694468</x:v>
      </x:c>
      <x:c r="BD63" s="17" t="n">
        <x:f>IF(AND($A63&gt;='Control Room'!$A$13,$A63&lt;'Control Room'!$A$13+'Control Room'!$B$13,'Process'!BU2=1),1+('Control Room'!$C$13-1)*EXP(-0.5*(($A63-'Control Room'!$A$13-('Control Room'!$B$13-1)/2)/MAX(0.5,'Control Room'!$B$13/4))^2),1)*IF(AND($A63&gt;='Control Room'!$A$14,$A63&lt;'Control Room'!$A$14+'Control Room'!$B$14,'Process'!BU3=1),1+('Control Room'!$C$14-1)*EXP(-0.5*(($A63-'Control Room'!$A$14-('Control Room'!$B$14-1)/2)/MAX(0.5,'Control Room'!$B$14/4))^2),1)*IF(AND($A63&gt;='Control Room'!$A$15,$A63&lt;'Control Room'!$A$15+'Control Room'!$B$15,'Process'!BU4=1),1+('Control Room'!$C$15-1)*EXP(-0.5*(($A63-'Control Room'!$A$15-('Control Room'!$B$15-1)/2)/MAX(0.5,'Control Room'!$B$15/4))^2),1)*IF(AND($A63&gt;='Control Room'!$A$16,$A63&lt;'Control Room'!$A$16+'Control Room'!$B$16,'Process'!BU5=1),1+('Control Room'!$C$16-1)*EXP(-0.5*(($A63-'Control Room'!$A$16-('Control Room'!$B$16-1)/2)/MAX(0.5,'Control Room'!$B$16/4))^2),1)</x:f>
        <x:v>1</x:v>
      </x:c>
      <x:c r="BE63" s="9" t="n">
        <x:f>MOD(BF62*16807,2147483647)</x:f>
        <x:v>1865057717</x:v>
      </x:c>
      <x:c r="BF63" s="9" t="n">
        <x:f>MOD(BE63*16807,2147483647)</x:f>
        <x:v>1353738007</x:v>
      </x:c>
      <x:c r="BG63" s="17" t="n">
        <x:f>IF('Control Room'!$B$5="Normal",'Control Room'!$B$7+'Control Room'!$D$7*SQRT(-2*LN(MAX(0.000000000001,BE63/2147483647)))*COS(2*PI()*BF63/2147483647),'Control Room'!$B$8+('Control Room'!$D$8-'Control Room'!$B$8)*BE63/2147483647)</x:f>
        <x:v>967.3666999778181</x:v>
      </x:c>
      <x:c r="BH63" s="17" t="n">
        <x:f>IF('Control Room'!$B$5="Normal",'Control Room'!$B$7,('Control Room'!$B$8+'Control Room'!$D$8)/2)+'Control Room'!$B$9*(BH62-IF('Control Room'!$B$5="Normal",'Control Room'!$B$7,('Control Room'!$B$8+'Control Room'!$D$8)/2))+SQRT(1-'Control Room'!$B$9^2)*(BG63-IF('Control Room'!$B$5="Normal",'Control Room'!$B$7,('Control Room'!$B$8+'Control Room'!$D$8)/2))</x:f>
        <x:v>1039.0946070009181</x:v>
      </x:c>
      <x:c r="BI63" s="17" t="n">
        <x:f>IF(AND($A63&gt;='Control Room'!$A$13,$A63&lt;'Control Room'!$A$13+'Control Room'!$B$13,'Process'!BV2=1),1+('Control Room'!$C$13-1)*EXP(-0.5*(($A63-'Control Room'!$A$13-('Control Room'!$B$13-1)/2)/MAX(0.5,'Control Room'!$B$13/4))^2),1)*IF(AND($A63&gt;='Control Room'!$A$14,$A63&lt;'Control Room'!$A$14+'Control Room'!$B$14,'Process'!BV3=1),1+('Control Room'!$C$14-1)*EXP(-0.5*(($A63-'Control Room'!$A$14-('Control Room'!$B$14-1)/2)/MAX(0.5,'Control Room'!$B$14/4))^2),1)*IF(AND($A63&gt;='Control Room'!$A$15,$A63&lt;'Control Room'!$A$15+'Control Room'!$B$15,'Process'!BV4=1),1+('Control Room'!$C$15-1)*EXP(-0.5*(($A63-'Control Room'!$A$15-('Control Room'!$B$15-1)/2)/MAX(0.5,'Control Room'!$B$15/4))^2),1)*IF(AND($A63&gt;='Control Room'!$A$16,$A63&lt;'Control Room'!$A$16+'Control Room'!$B$16,'Process'!BV5=1),1+('Control Room'!$C$16-1)*EXP(-0.5*(($A63-'Control Room'!$A$16-('Control Room'!$B$16-1)/2)/MAX(0.5,'Control Room'!$B$16/4))^2),1)</x:f>
        <x:v>1</x:v>
      </x:c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Z63" t="str">
        <x:f>IF('Data'!A63="","",TEXT('Data'!A63,"mm-dd"))</x:f>
        <x:v>01-02</x:v>
      </x:c>
    </x:row>
    <x:row r="64" ht="21" customHeight="1">
      <x:c r="A64" s="15" t="n">
        <x:f>'Control Room'!$B$1+62</x:f>
        <x:v>73053</x:v>
      </x:c>
      <x:c r="B64" s="9" t="n">
        <x:f>MOD(C63*16807,2147483647)</x:f>
        <x:v>1837954240</x:v>
      </x:c>
      <x:c r="C64" s="9" t="n">
        <x:f>MOD(B64*16807,2147483647)</x:f>
        <x:v>1092133232</x:v>
      </x:c>
      <x:c r="D64" s="17" t="n">
        <x:f>IF('Control Room'!$B$5="Normal",'Control Room'!$B$7+'Control Room'!$D$7*SQRT(-2*LN(MAX(0.000000000001,B64/2147483647)))*COS(2*PI()*C64/2147483647),'Control Room'!$B$8+('Control Room'!$D$8-'Control Room'!$B$8)*B64/2147483647)</x:f>
        <x:v>949.8588691950661</x:v>
      </x:c>
      <x:c r="E64" s="17" t="n">
        <x:f>IF('Control Room'!$B$5="Normal",'Control Room'!$B$7,('Control Room'!$B$8+'Control Room'!$D$8)/2)+'Control Room'!$B$9*(E63-IF('Control Room'!$B$5="Normal",'Control Room'!$B$7,('Control Room'!$B$8+'Control Room'!$D$8)/2))+SQRT(1-'Control Room'!$B$9^2)*(D64-IF('Control Room'!$B$5="Normal",'Control Room'!$B$7,('Control Room'!$B$8+'Control Room'!$D$8)/2))</x:f>
        <x:v>1070.7789624744964</x:v>
      </x:c>
      <x:c r="F64" s="17" t="n">
        <x:f>IF(AND($A64&gt;='Control Room'!$A$13,$A64&lt;'Control Room'!$A$13+'Control Room'!$B$13,'Process'!BK2=1),1+('Control Room'!$C$13-1)*EXP(-0.5*(($A64-'Control Room'!$A$13-('Control Room'!$B$13-1)/2)/MAX(0.5,'Control Room'!$B$13/4))^2),1)*IF(AND($A64&gt;='Control Room'!$A$14,$A64&lt;'Control Room'!$A$14+'Control Room'!$B$14,'Process'!BK3=1),1+('Control Room'!$C$14-1)*EXP(-0.5*(($A64-'Control Room'!$A$14-('Control Room'!$B$14-1)/2)/MAX(0.5,'Control Room'!$B$14/4))^2),1)*IF(AND($A64&gt;='Control Room'!$A$15,$A64&lt;'Control Room'!$A$15+'Control Room'!$B$15,'Process'!BK4=1),1+('Control Room'!$C$15-1)*EXP(-0.5*(($A64-'Control Room'!$A$15-('Control Room'!$B$15-1)/2)/MAX(0.5,'Control Room'!$B$15/4))^2),1)*IF(AND($A64&gt;='Control Room'!$A$16,$A64&lt;'Control Room'!$A$16+'Control Room'!$B$16,'Process'!BK5=1),1+('Control Room'!$C$16-1)*EXP(-0.5*(($A64-'Control Room'!$A$16-('Control Room'!$B$16-1)/2)/MAX(0.5,'Control Room'!$B$16/4))^2),1)</x:f>
        <x:v>1</x:v>
      </x:c>
      <x:c r="G64" s="9" t="n">
        <x:f>MOD(H63*16807,2147483647)</x:f>
        <x:v>1251819890</x:v>
      </x:c>
      <x:c r="H64" s="9" t="n">
        <x:f>MOD(G64*16807,2147483647)</x:f>
        <x:v>439601571</x:v>
      </x:c>
      <x:c r="I64" s="17" t="n">
        <x:f>IF('Control Room'!$B$5="Normal",'Control Room'!$B$7+'Control Room'!$D$7*SQRT(-2*LN(MAX(0.000000000001,G64/2147483647)))*COS(2*PI()*H64/2147483647),'Control Room'!$B$8+('Control Room'!$D$8-'Control Room'!$B$8)*G64/2147483647)</x:f>
        <x:v>1026.253099914011</x:v>
      </x:c>
      <x:c r="J64" s="17" t="n">
        <x:f>IF('Control Room'!$B$5="Normal",'Control Room'!$B$7,('Control Room'!$B$8+'Control Room'!$D$8)/2)+'Control Room'!$B$9*(J63-IF('Control Room'!$B$5="Normal",'Control Room'!$B$7,('Control Room'!$B$8+'Control Room'!$D$8)/2))+SQRT(1-'Control Room'!$B$9^2)*(I64-IF('Control Room'!$B$5="Normal",'Control Room'!$B$7,('Control Room'!$B$8+'Control Room'!$D$8)/2))</x:f>
        <x:v>875.1152550001397</x:v>
      </x:c>
      <x:c r="K64" s="17" t="n">
        <x:f>IF(AND($A64&gt;='Control Room'!$A$13,$A64&lt;'Control Room'!$A$13+'Control Room'!$B$13,'Process'!BL2=1),1+('Control Room'!$C$13-1)*EXP(-0.5*(($A64-'Control Room'!$A$13-('Control Room'!$B$13-1)/2)/MAX(0.5,'Control Room'!$B$13/4))^2),1)*IF(AND($A64&gt;='Control Room'!$A$14,$A64&lt;'Control Room'!$A$14+'Control Room'!$B$14,'Process'!BL3=1),1+('Control Room'!$C$14-1)*EXP(-0.5*(($A64-'Control Room'!$A$14-('Control Room'!$B$14-1)/2)/MAX(0.5,'Control Room'!$B$14/4))^2),1)*IF(AND($A64&gt;='Control Room'!$A$15,$A64&lt;'Control Room'!$A$15+'Control Room'!$B$15,'Process'!BL4=1),1+('Control Room'!$C$15-1)*EXP(-0.5*(($A64-'Control Room'!$A$15-('Control Room'!$B$15-1)/2)/MAX(0.5,'Control Room'!$B$15/4))^2),1)*IF(AND($A64&gt;='Control Room'!$A$16,$A64&lt;'Control Room'!$A$16+'Control Room'!$B$16,'Process'!BL5=1),1+('Control Room'!$C$16-1)*EXP(-0.5*(($A64-'Control Room'!$A$16-('Control Room'!$B$16-1)/2)/MAX(0.5,'Control Room'!$B$16/4))^2),1)</x:f>
        <x:v>1</x:v>
      </x:c>
      <x:c r="L64" s="9" t="n">
        <x:f>MOD(M63*16807,2147483647)</x:f>
        <x:v>665685540</x:v>
      </x:c>
      <x:c r="M64" s="9" t="n">
        <x:f>MOD(L64*16807,2147483647)</x:f>
        <x:v>1934553557</x:v>
      </x:c>
      <x:c r="N64" s="17" t="n">
        <x:f>IF('Control Room'!$B$5="Normal",'Control Room'!$B$7+'Control Room'!$D$7*SQRT(-2*LN(MAX(0.000000000001,L64/2147483647)))*COS(2*PI()*M64/2147483647),'Control Room'!$B$8+('Control Room'!$D$8-'Control Room'!$B$8)*L64/2147483647)</x:f>
        <x:v>1111.868127880984</x:v>
      </x:c>
      <x:c r="O64" s="17" t="n">
        <x:f>IF('Control Room'!$B$5="Normal",'Control Room'!$B$7,('Control Room'!$B$8+'Control Room'!$D$8)/2)+'Control Room'!$B$9*(O63-IF('Control Room'!$B$5="Normal",'Control Room'!$B$7,('Control Room'!$B$8+'Control Room'!$D$8)/2))+SQRT(1-'Control Room'!$B$9^2)*(N64-IF('Control Room'!$B$5="Normal",'Control Room'!$B$7,('Control Room'!$B$8+'Control Room'!$D$8)/2))</x:f>
        <x:v>1087.6684495819143</x:v>
      </x:c>
      <x:c r="P64" s="17" t="n">
        <x:f>IF(AND($A64&gt;='Control Room'!$A$13,$A64&lt;'Control Room'!$A$13+'Control Room'!$B$13,'Process'!BM2=1),1+('Control Room'!$C$13-1)*EXP(-0.5*(($A64-'Control Room'!$A$13-('Control Room'!$B$13-1)/2)/MAX(0.5,'Control Room'!$B$13/4))^2),1)*IF(AND($A64&gt;='Control Room'!$A$14,$A64&lt;'Control Room'!$A$14+'Control Room'!$B$14,'Process'!BM3=1),1+('Control Room'!$C$14-1)*EXP(-0.5*(($A64-'Control Room'!$A$14-('Control Room'!$B$14-1)/2)/MAX(0.5,'Control Room'!$B$14/4))^2),1)*IF(AND($A64&gt;='Control Room'!$A$15,$A64&lt;'Control Room'!$A$15+'Control Room'!$B$15,'Process'!BM4=1),1+('Control Room'!$C$15-1)*EXP(-0.5*(($A64-'Control Room'!$A$15-('Control Room'!$B$15-1)/2)/MAX(0.5,'Control Room'!$B$15/4))^2),1)*IF(AND($A64&gt;='Control Room'!$A$16,$A64&lt;'Control Room'!$A$16+'Control Room'!$B$16,'Process'!BM5=1),1+('Control Room'!$C$16-1)*EXP(-0.5*(($A64-'Control Room'!$A$16-('Control Room'!$B$16-1)/2)/MAX(0.5,'Control Room'!$B$16/4))^2),1)</x:f>
        <x:v>1</x:v>
      </x:c>
      <x:c r="Q64" s="9" t="n">
        <x:f>MOD(R63*16807,2147483647)</x:f>
        <x:v>79551190</x:v>
      </x:c>
      <x:c r="R64" s="9" t="n">
        <x:f>MOD(Q64*16807,2147483647)</x:f>
        <x:v>1282021896</x:v>
      </x:c>
      <x:c r="S64" s="17" t="n">
        <x:f>IF('Control Room'!$B$5="Normal",'Control Room'!$B$7+'Control Room'!$D$7*SQRT(-2*LN(MAX(0.000000000001,Q64/2147483647)))*COS(2*PI()*R64/2147483647),'Control Room'!$B$8+('Control Room'!$D$8-'Control Room'!$B$8)*Q64/2147483647)</x:f>
        <x:v>810.5303968958812</x:v>
      </x:c>
      <x:c r="T64" s="17" t="n">
        <x:f>IF('Control Room'!$B$5="Normal",'Control Room'!$B$7,('Control Room'!$B$8+'Control Room'!$D$8)/2)+'Control Room'!$B$9*(T63-IF('Control Room'!$B$5="Normal",'Control Room'!$B$7,('Control Room'!$B$8+'Control Room'!$D$8)/2))+SQRT(1-'Control Room'!$B$9^2)*(S64-IF('Control Room'!$B$5="Normal",'Control Room'!$B$7,('Control Room'!$B$8+'Control Room'!$D$8)/2))</x:f>
        <x:v>880.1908274451939</x:v>
      </x:c>
      <x:c r="U64" s="17" t="n">
        <x:f>IF(AND($A64&gt;='Control Room'!$A$13,$A64&lt;'Control Room'!$A$13+'Control Room'!$B$13,'Process'!BN2=1),1+('Control Room'!$C$13-1)*EXP(-0.5*(($A64-'Control Room'!$A$13-('Control Room'!$B$13-1)/2)/MAX(0.5,'Control Room'!$B$13/4))^2),1)*IF(AND($A64&gt;='Control Room'!$A$14,$A64&lt;'Control Room'!$A$14+'Control Room'!$B$14,'Process'!BN3=1),1+('Control Room'!$C$14-1)*EXP(-0.5*(($A64-'Control Room'!$A$14-('Control Room'!$B$14-1)/2)/MAX(0.5,'Control Room'!$B$14/4))^2),1)*IF(AND($A64&gt;='Control Room'!$A$15,$A64&lt;'Control Room'!$A$15+'Control Room'!$B$15,'Process'!BN4=1),1+('Control Room'!$C$15-1)*EXP(-0.5*(($A64-'Control Room'!$A$15-('Control Room'!$B$15-1)/2)/MAX(0.5,'Control Room'!$B$15/4))^2),1)*IF(AND($A64&gt;='Control Room'!$A$16,$A64&lt;'Control Room'!$A$16+'Control Room'!$B$16,'Process'!BN5=1),1+('Control Room'!$C$16-1)*EXP(-0.5*(($A64-'Control Room'!$A$16-('Control Room'!$B$16-1)/2)/MAX(0.5,'Control Room'!$B$16/4))^2),1)</x:f>
        <x:v>1</x:v>
      </x:c>
      <x:c r="V64" s="9" t="n">
        <x:f>MOD(W63*16807,2147483647)</x:f>
        <x:v>1640900487</x:v>
      </x:c>
      <x:c r="W64" s="9" t="n">
        <x:f>MOD(V64*16807,2147483647)</x:f>
        <x:v>629490235</x:v>
      </x:c>
      <x:c r="X64" s="17" t="n">
        <x:f>IF('Control Room'!$B$5="Normal",'Control Room'!$B$7+'Control Room'!$D$7*SQRT(-2*LN(MAX(0.000000000001,V64/2147483647)))*COS(2*PI()*W64/2147483647),'Control Room'!$B$8+('Control Room'!$D$8-'Control Room'!$B$8)*V64/2147483647)</x:f>
        <x:v>982.3274825153578</x:v>
      </x:c>
      <x:c r="Y64" s="17" t="n">
        <x:f>IF('Control Room'!$B$5="Normal",'Control Room'!$B$7,('Control Room'!$B$8+'Control Room'!$D$8)/2)+'Control Room'!$B$9*(Y63-IF('Control Room'!$B$5="Normal",'Control Room'!$B$7,('Control Room'!$B$8+'Control Room'!$D$8)/2))+SQRT(1-'Control Room'!$B$9^2)*(X64-IF('Control Room'!$B$5="Normal",'Control Room'!$B$7,('Control Room'!$B$8+'Control Room'!$D$8)/2))</x:f>
        <x:v>1081.2436937639618</x:v>
      </x:c>
      <x:c r="Z64" s="17" t="n">
        <x:f>IF(AND($A64&gt;='Control Room'!$A$13,$A64&lt;'Control Room'!$A$13+'Control Room'!$B$13,'Process'!BO2=1),1+('Control Room'!$C$13-1)*EXP(-0.5*(($A64-'Control Room'!$A$13-('Control Room'!$B$13-1)/2)/MAX(0.5,'Control Room'!$B$13/4))^2),1)*IF(AND($A64&gt;='Control Room'!$A$14,$A64&lt;'Control Room'!$A$14+'Control Room'!$B$14,'Process'!BO3=1),1+('Control Room'!$C$14-1)*EXP(-0.5*(($A64-'Control Room'!$A$14-('Control Room'!$B$14-1)/2)/MAX(0.5,'Control Room'!$B$14/4))^2),1)*IF(AND($A64&gt;='Control Room'!$A$15,$A64&lt;'Control Room'!$A$15+'Control Room'!$B$15,'Process'!BO4=1),1+('Control Room'!$C$15-1)*EXP(-0.5*(($A64-'Control Room'!$A$15-('Control Room'!$B$15-1)/2)/MAX(0.5,'Control Room'!$B$15/4))^2),1)*IF(AND($A64&gt;='Control Room'!$A$16,$A64&lt;'Control Room'!$A$16+'Control Room'!$B$16,'Process'!BO5=1),1+('Control Room'!$C$16-1)*EXP(-0.5*(($A64-'Control Room'!$A$16-('Control Room'!$B$16-1)/2)/MAX(0.5,'Control Room'!$B$16/4))^2),1)</x:f>
        <x:v>1</x:v>
      </x:c>
      <x:c r="AA64" s="9" t="n">
        <x:f>MOD(AB63*16807,2147483647)</x:f>
        <x:v>1054766137</x:v>
      </x:c>
      <x:c r="AB64" s="9" t="n">
        <x:f>MOD(AA64*16807,2147483647)</x:f>
        <x:v>2124442221</x:v>
      </x:c>
      <x:c r="AC64" s="17" t="n">
        <x:f>IF('Control Room'!$B$5="Normal",'Control Room'!$B$7+'Control Room'!$D$7*SQRT(-2*LN(MAX(0.000000000001,AA64/2147483647)))*COS(2*PI()*AB64/2147483647),'Control Room'!$B$8+('Control Room'!$D$8-'Control Room'!$B$8)*AA64/2147483647)</x:f>
        <x:v>1107.07740687927</x:v>
      </x:c>
      <x:c r="AD64" s="17" t="n">
        <x:f>IF('Control Room'!$B$5="Normal",'Control Room'!$B$7,('Control Room'!$B$8+'Control Room'!$D$8)/2)+'Control Room'!$B$9*(AD63-IF('Control Room'!$B$5="Normal",'Control Room'!$B$7,('Control Room'!$B$8+'Control Room'!$D$8)/2))+SQRT(1-'Control Room'!$B$9^2)*(AC64-IF('Control Room'!$B$5="Normal",'Control Room'!$B$7,('Control Room'!$B$8+'Control Room'!$D$8)/2))</x:f>
        <x:v>986.1214271450286</x:v>
      </x:c>
      <x:c r="AE64" s="17" t="n">
        <x:f>IF(AND($A64&gt;='Control Room'!$A$13,$A64&lt;'Control Room'!$A$13+'Control Room'!$B$13,'Process'!BP2=1),1+('Control Room'!$C$13-1)*EXP(-0.5*(($A64-'Control Room'!$A$13-('Control Room'!$B$13-1)/2)/MAX(0.5,'Control Room'!$B$13/4))^2),1)*IF(AND($A64&gt;='Control Room'!$A$14,$A64&lt;'Control Room'!$A$14+'Control Room'!$B$14,'Process'!BP3=1),1+('Control Room'!$C$14-1)*EXP(-0.5*(($A64-'Control Room'!$A$14-('Control Room'!$B$14-1)/2)/MAX(0.5,'Control Room'!$B$14/4))^2),1)*IF(AND($A64&gt;='Control Room'!$A$15,$A64&lt;'Control Room'!$A$15+'Control Room'!$B$15,'Process'!BP4=1),1+('Control Room'!$C$15-1)*EXP(-0.5*(($A64-'Control Room'!$A$15-('Control Room'!$B$15-1)/2)/MAX(0.5,'Control Room'!$B$15/4))^2),1)*IF(AND($A64&gt;='Control Room'!$A$16,$A64&lt;'Control Room'!$A$16+'Control Room'!$B$16,'Process'!BP5=1),1+('Control Room'!$C$16-1)*EXP(-0.5*(($A64-'Control Room'!$A$16-('Control Room'!$B$16-1)/2)/MAX(0.5,'Control Room'!$B$16/4))^2),1)</x:f>
        <x:v>1</x:v>
      </x:c>
      <x:c r="AF64" s="9" t="n">
        <x:f>MOD(AG63*16807,2147483647)</x:f>
        <x:v>468631787</x:v>
      </x:c>
      <x:c r="AG64" s="9" t="n">
        <x:f>MOD(AF64*16807,2147483647)</x:f>
        <x:v>1471910560</x:v>
      </x:c>
      <x:c r="AH64" s="17" t="n">
        <x:f>IF('Control Room'!$B$5="Normal",'Control Room'!$B$7+'Control Room'!$D$7*SQRT(-2*LN(MAX(0.000000000001,AF64/2147483647)))*COS(2*PI()*AG64/2147483647),'Control Room'!$B$8+('Control Room'!$D$8-'Control Room'!$B$8)*AF64/2147483647)</x:f>
        <x:v>938.0066915460991</x:v>
      </x:c>
      <x:c r="AI64" s="17" t="n">
        <x:f>IF('Control Room'!$B$5="Normal",'Control Room'!$B$7,('Control Room'!$B$8+'Control Room'!$D$8)/2)+'Control Room'!$B$9*(AI63-IF('Control Room'!$B$5="Normal",'Control Room'!$B$7,('Control Room'!$B$8+'Control Room'!$D$8)/2))+SQRT(1-'Control Room'!$B$9^2)*(AH64-IF('Control Room'!$B$5="Normal",'Control Room'!$B$7,('Control Room'!$B$8+'Control Room'!$D$8)/2))</x:f>
        <x:v>1202.5761846954067</x:v>
      </x:c>
      <x:c r="AJ64" s="17" t="n">
        <x:f>IF(AND($A64&gt;='Control Room'!$A$13,$A64&lt;'Control Room'!$A$13+'Control Room'!$B$13,'Process'!BQ2=1),1+('Control Room'!$C$13-1)*EXP(-0.5*(($A64-'Control Room'!$A$13-('Control Room'!$B$13-1)/2)/MAX(0.5,'Control Room'!$B$13/4))^2),1)*IF(AND($A64&gt;='Control Room'!$A$14,$A64&lt;'Control Room'!$A$14+'Control Room'!$B$14,'Process'!BQ3=1),1+('Control Room'!$C$14-1)*EXP(-0.5*(($A64-'Control Room'!$A$14-('Control Room'!$B$14-1)/2)/MAX(0.5,'Control Room'!$B$14/4))^2),1)*IF(AND($A64&gt;='Control Room'!$A$15,$A64&lt;'Control Room'!$A$15+'Control Room'!$B$15,'Process'!BQ4=1),1+('Control Room'!$C$15-1)*EXP(-0.5*(($A64-'Control Room'!$A$15-('Control Room'!$B$15-1)/2)/MAX(0.5,'Control Room'!$B$15/4))^2),1)*IF(AND($A64&gt;='Control Room'!$A$16,$A64&lt;'Control Room'!$A$16+'Control Room'!$B$16,'Process'!BQ5=1),1+('Control Room'!$C$16-1)*EXP(-0.5*(($A64-'Control Room'!$A$16-('Control Room'!$B$16-1)/2)/MAX(0.5,'Control Room'!$B$16/4))^2),1)</x:f>
        <x:v>1</x:v>
      </x:c>
      <x:c r="AK64" s="9" t="n">
        <x:f>MOD(AL63*16807,2147483647)</x:f>
        <x:v>2029981084</x:v>
      </x:c>
      <x:c r="AL64" s="9" t="n">
        <x:f>MOD(AK64*16807,2147483647)</x:f>
        <x:v>819378899</x:v>
      </x:c>
      <x:c r="AM64" s="17" t="n">
        <x:f>IF('Control Room'!$B$5="Normal",'Control Room'!$B$7+'Control Room'!$D$7*SQRT(-2*LN(MAX(0.000000000001,AK64/2147483647)))*COS(2*PI()*AL64/2147483647),'Control Room'!$B$8+('Control Room'!$D$8-'Control Room'!$B$8)*AK64/2147483647)</x:f>
        <x:v>977.7900884621388</x:v>
      </x:c>
      <x:c r="AN64" s="17" t="n">
        <x:f>IF('Control Room'!$B$5="Normal",'Control Room'!$B$7,('Control Room'!$B$8+'Control Room'!$D$8)/2)+'Control Room'!$B$9*(AN63-IF('Control Room'!$B$5="Normal",'Control Room'!$B$7,('Control Room'!$B$8+'Control Room'!$D$8)/2))+SQRT(1-'Control Room'!$B$9^2)*(AM64-IF('Control Room'!$B$5="Normal",'Control Room'!$B$7,('Control Room'!$B$8+'Control Room'!$D$8)/2))</x:f>
        <x:v>963.6912144104061</x:v>
      </x:c>
      <x:c r="AO64" s="17" t="n">
        <x:f>IF(AND($A64&gt;='Control Room'!$A$13,$A64&lt;'Control Room'!$A$13+'Control Room'!$B$13,'Process'!BR2=1),1+('Control Room'!$C$13-1)*EXP(-0.5*(($A64-'Control Room'!$A$13-('Control Room'!$B$13-1)/2)/MAX(0.5,'Control Room'!$B$13/4))^2),1)*IF(AND($A64&gt;='Control Room'!$A$14,$A64&lt;'Control Room'!$A$14+'Control Room'!$B$14,'Process'!BR3=1),1+('Control Room'!$C$14-1)*EXP(-0.5*(($A64-'Control Room'!$A$14-('Control Room'!$B$14-1)/2)/MAX(0.5,'Control Room'!$B$14/4))^2),1)*IF(AND($A64&gt;='Control Room'!$A$15,$A64&lt;'Control Room'!$A$15+'Control Room'!$B$15,'Process'!BR4=1),1+('Control Room'!$C$15-1)*EXP(-0.5*(($A64-'Control Room'!$A$15-('Control Room'!$B$15-1)/2)/MAX(0.5,'Control Room'!$B$15/4))^2),1)*IF(AND($A64&gt;='Control Room'!$A$16,$A64&lt;'Control Room'!$A$16+'Control Room'!$B$16,'Process'!BR5=1),1+('Control Room'!$C$16-1)*EXP(-0.5*(($A64-'Control Room'!$A$16-('Control Room'!$B$16-1)/2)/MAX(0.5,'Control Room'!$B$16/4))^2),1)</x:f>
        <x:v>1</x:v>
      </x:c>
      <x:c r="AP64" s="9" t="n">
        <x:f>MOD(AQ63*16807,2147483647)</x:f>
        <x:v>1443846734</x:v>
      </x:c>
      <x:c r="AQ64" s="9" t="n">
        <x:f>MOD(AP64*16807,2147483647)</x:f>
        <x:v>166847238</x:v>
      </x:c>
      <x:c r="AR64" s="17" t="n">
        <x:f>IF('Control Room'!$B$5="Normal",'Control Room'!$B$7+'Control Room'!$D$7*SQRT(-2*LN(MAX(0.000000000001,AP64/2147483647)))*COS(2*PI()*AQ64/2147483647),'Control Room'!$B$8+('Control Room'!$D$8-'Control Room'!$B$8)*AP64/2147483647)</x:f>
        <x:v>1070.8273508240386</x:v>
      </x:c>
      <x:c r="AS64" s="17" t="n">
        <x:f>IF('Control Room'!$B$5="Normal",'Control Room'!$B$7,('Control Room'!$B$8+'Control Room'!$D$8)/2)+'Control Room'!$B$9*(AS63-IF('Control Room'!$B$5="Normal",'Control Room'!$B$7,('Control Room'!$B$8+'Control Room'!$D$8)/2))+SQRT(1-'Control Room'!$B$9^2)*(AR64-IF('Control Room'!$B$5="Normal",'Control Room'!$B$7,('Control Room'!$B$8+'Control Room'!$D$8)/2))</x:f>
        <x:v>1111.3071183768516</x:v>
      </x:c>
      <x:c r="AT64" s="17" t="n">
        <x:f>IF(AND($A64&gt;='Control Room'!$A$13,$A64&lt;'Control Room'!$A$13+'Control Room'!$B$13,'Process'!BS2=1),1+('Control Room'!$C$13-1)*EXP(-0.5*(($A64-'Control Room'!$A$13-('Control Room'!$B$13-1)/2)/MAX(0.5,'Control Room'!$B$13/4))^2),1)*IF(AND($A64&gt;='Control Room'!$A$14,$A64&lt;'Control Room'!$A$14+'Control Room'!$B$14,'Process'!BS3=1),1+('Control Room'!$C$14-1)*EXP(-0.5*(($A64-'Control Room'!$A$14-('Control Room'!$B$14-1)/2)/MAX(0.5,'Control Room'!$B$14/4))^2),1)*IF(AND($A64&gt;='Control Room'!$A$15,$A64&lt;'Control Room'!$A$15+'Control Room'!$B$15,'Process'!BS4=1),1+('Control Room'!$C$15-1)*EXP(-0.5*(($A64-'Control Room'!$A$15-('Control Room'!$B$15-1)/2)/MAX(0.5,'Control Room'!$B$15/4))^2),1)*IF(AND($A64&gt;='Control Room'!$A$16,$A64&lt;'Control Room'!$A$16+'Control Room'!$B$16,'Process'!BS5=1),1+('Control Room'!$C$16-1)*EXP(-0.5*(($A64-'Control Room'!$A$16-('Control Room'!$B$16-1)/2)/MAX(0.5,'Control Room'!$B$16/4))^2),1)</x:f>
        <x:v>1</x:v>
      </x:c>
      <x:c r="AU64" s="9" t="n">
        <x:f>MOD(AV63*16807,2147483647)</x:f>
        <x:v>857712384</x:v>
      </x:c>
      <x:c r="AV64" s="9" t="n">
        <x:f>MOD(AU64*16807,2147483647)</x:f>
        <x:v>1661799224</x:v>
      </x:c>
      <x:c r="AW64" s="17" t="n">
        <x:f>IF('Control Room'!$B$5="Normal",'Control Room'!$B$7+'Control Room'!$D$7*SQRT(-2*LN(MAX(0.000000000001,AU64/2147483647)))*COS(2*PI()*AV64/2147483647),'Control Room'!$B$8+('Control Room'!$D$8-'Control Room'!$B$8)*AU64/2147483647)</x:f>
        <x:v>1018.193163423878</x:v>
      </x:c>
      <x:c r="AX64" s="17" t="n">
        <x:f>IF('Control Room'!$B$5="Normal",'Control Room'!$B$7,('Control Room'!$B$8+'Control Room'!$D$8)/2)+'Control Room'!$B$9*(AX63-IF('Control Room'!$B$5="Normal",'Control Room'!$B$7,('Control Room'!$B$8+'Control Room'!$D$8)/2))+SQRT(1-'Control Room'!$B$9^2)*(AW64-IF('Control Room'!$B$5="Normal",'Control Room'!$B$7,('Control Room'!$B$8+'Control Room'!$D$8)/2))</x:f>
        <x:v>1045.2855985269782</x:v>
      </x:c>
      <x:c r="AY64" s="17" t="n">
        <x:f>IF(AND($A64&gt;='Control Room'!$A$13,$A64&lt;'Control Room'!$A$13+'Control Room'!$B$13,'Process'!BT2=1),1+('Control Room'!$C$13-1)*EXP(-0.5*(($A64-'Control Room'!$A$13-('Control Room'!$B$13-1)/2)/MAX(0.5,'Control Room'!$B$13/4))^2),1)*IF(AND($A64&gt;='Control Room'!$A$14,$A64&lt;'Control Room'!$A$14+'Control Room'!$B$14,'Process'!BT3=1),1+('Control Room'!$C$14-1)*EXP(-0.5*(($A64-'Control Room'!$A$14-('Control Room'!$B$14-1)/2)/MAX(0.5,'Control Room'!$B$14/4))^2),1)*IF(AND($A64&gt;='Control Room'!$A$15,$A64&lt;'Control Room'!$A$15+'Control Room'!$B$15,'Process'!BT4=1),1+('Control Room'!$C$15-1)*EXP(-0.5*(($A64-'Control Room'!$A$15-('Control Room'!$B$15-1)/2)/MAX(0.5,'Control Room'!$B$15/4))^2),1)*IF(AND($A64&gt;='Control Room'!$A$16,$A64&lt;'Control Room'!$A$16+'Control Room'!$B$16,'Process'!BT5=1),1+('Control Room'!$C$16-1)*EXP(-0.5*(($A64-'Control Room'!$A$16-('Control Room'!$B$16-1)/2)/MAX(0.5,'Control Room'!$B$16/4))^2),1)</x:f>
        <x:v>1</x:v>
      </x:c>
      <x:c r="AZ64" s="9" t="n">
        <x:f>MOD(BA63*16807,2147483647)</x:f>
        <x:v>271578034</x:v>
      </x:c>
      <x:c r="BA64" s="9" t="n">
        <x:f>MOD(AZ64*16807,2147483647)</x:f>
        <x:v>1009267563</x:v>
      </x:c>
      <x:c r="BB64" s="17" t="n">
        <x:f>IF('Control Room'!$B$5="Normal",'Control Room'!$B$7+'Control Room'!$D$7*SQRT(-2*LN(MAX(0.000000000001,AZ64/2147483647)))*COS(2*PI()*BA64/2147483647),'Control Room'!$B$8+('Control Room'!$D$8-'Control Room'!$B$8)*AZ64/2147483647)</x:f>
        <x:v>820.2211985037432</x:v>
      </x:c>
      <x:c r="BC64" s="17" t="n">
        <x:f>IF('Control Room'!$B$5="Normal",'Control Room'!$B$7,('Control Room'!$B$8+'Control Room'!$D$8)/2)+'Control Room'!$B$9*(BC63-IF('Control Room'!$B$5="Normal",'Control Room'!$B$7,('Control Room'!$B$8+'Control Room'!$D$8)/2))+SQRT(1-'Control Room'!$B$9^2)*(BB64-IF('Control Room'!$B$5="Normal",'Control Room'!$B$7,('Control Room'!$B$8+'Control Room'!$D$8)/2))</x:f>
        <x:v>945.2929809542633</x:v>
      </x:c>
      <x:c r="BD64" s="17" t="n">
        <x:f>IF(AND($A64&gt;='Control Room'!$A$13,$A64&lt;'Control Room'!$A$13+'Control Room'!$B$13,'Process'!BU2=1),1+('Control Room'!$C$13-1)*EXP(-0.5*(($A64-'Control Room'!$A$13-('Control Room'!$B$13-1)/2)/MAX(0.5,'Control Room'!$B$13/4))^2),1)*IF(AND($A64&gt;='Control Room'!$A$14,$A64&lt;'Control Room'!$A$14+'Control Room'!$B$14,'Process'!BU3=1),1+('Control Room'!$C$14-1)*EXP(-0.5*(($A64-'Control Room'!$A$14-('Control Room'!$B$14-1)/2)/MAX(0.5,'Control Room'!$B$14/4))^2),1)*IF(AND($A64&gt;='Control Room'!$A$15,$A64&lt;'Control Room'!$A$15+'Control Room'!$B$15,'Process'!BU4=1),1+('Control Room'!$C$15-1)*EXP(-0.5*(($A64-'Control Room'!$A$15-('Control Room'!$B$15-1)/2)/MAX(0.5,'Control Room'!$B$15/4))^2),1)*IF(AND($A64&gt;='Control Room'!$A$16,$A64&lt;'Control Room'!$A$16+'Control Room'!$B$16,'Process'!BU5=1),1+('Control Room'!$C$16-1)*EXP(-0.5*(($A64-'Control Room'!$A$16-('Control Room'!$B$16-1)/2)/MAX(0.5,'Control Room'!$B$16/4))^2),1)</x:f>
        <x:v>1</x:v>
      </x:c>
      <x:c r="BE64" s="9" t="n">
        <x:f>MOD(BF63*16807,2147483647)</x:f>
        <x:v>1832927331</x:v>
      </x:c>
      <x:c r="BF64" s="9" t="n">
        <x:f>MOD(BE64*16807,2147483647)</x:f>
        <x:v>356735902</x:v>
      </x:c>
      <x:c r="BG64" s="17" t="n">
        <x:f>IF('Control Room'!$B$5="Normal",'Control Room'!$B$7+'Control Room'!$D$7*SQRT(-2*LN(MAX(0.000000000001,BE64/2147483647)))*COS(2*PI()*BF64/2147483647),'Control Room'!$B$8+('Control Room'!$D$8-'Control Room'!$B$8)*BE64/2147483647)</x:f>
        <x:v>1025.4778899909038</x:v>
      </x:c>
      <x:c r="BH64" s="17" t="n">
        <x:f>IF('Control Room'!$B$5="Normal",'Control Room'!$B$7,('Control Room'!$B$8+'Control Room'!$D$8)/2)+'Control Room'!$B$9*(BH63-IF('Control Room'!$B$5="Normal",'Control Room'!$B$7,('Control Room'!$B$8+'Control Room'!$D$8)/2))+SQRT(1-'Control Room'!$B$9^2)*(BG64-IF('Control Room'!$B$5="Normal",'Control Room'!$B$7,('Control Room'!$B$8+'Control Room'!$D$8)/2))</x:f>
        <x:v>1046.4373350740773</x:v>
      </x:c>
      <x:c r="BI64" s="17" t="n">
        <x:f>IF(AND($A64&gt;='Control Room'!$A$13,$A64&lt;'Control Room'!$A$13+'Control Room'!$B$13,'Process'!BV2=1),1+('Control Room'!$C$13-1)*EXP(-0.5*(($A64-'Control Room'!$A$13-('Control Room'!$B$13-1)/2)/MAX(0.5,'Control Room'!$B$13/4))^2),1)*IF(AND($A64&gt;='Control Room'!$A$14,$A64&lt;'Control Room'!$A$14+'Control Room'!$B$14,'Process'!BV3=1),1+('Control Room'!$C$14-1)*EXP(-0.5*(($A64-'Control Room'!$A$14-('Control Room'!$B$14-1)/2)/MAX(0.5,'Control Room'!$B$14/4))^2),1)*IF(AND($A64&gt;='Control Room'!$A$15,$A64&lt;'Control Room'!$A$15+'Control Room'!$B$15,'Process'!BV4=1),1+('Control Room'!$C$15-1)*EXP(-0.5*(($A64-'Control Room'!$A$15-('Control Room'!$B$15-1)/2)/MAX(0.5,'Control Room'!$B$15/4))^2),1)*IF(AND($A64&gt;='Control Room'!$A$16,$A64&lt;'Control Room'!$A$16+'Control Room'!$B$16,'Process'!BV5=1),1+('Control Room'!$C$16-1)*EXP(-0.5*(($A64-'Control Room'!$A$16-('Control Room'!$B$16-1)/2)/MAX(0.5,'Control Room'!$B$16/4))^2),1)</x:f>
        <x:v>1</x:v>
      </x:c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Z64" t="str">
        <x:f>IF('Data'!A64="","",TEXT('Data'!A64,"mm-dd"))</x:f>
        <x:v>01-03</x:v>
      </x:c>
    </x:row>
    <x:row r="65" ht="21" customHeight="1">
      <x:c r="A65" s="15" t="n">
        <x:f>'Control Room'!$B$1+63</x:f>
        <x:v>73054</x:v>
      </x:c>
      <x:c r="B65" s="9" t="n">
        <x:f>MOD(C64*16807,2147483647)</x:f>
        <x:v>940499315</x:v>
      </x:c>
      <x:c r="C65" s="9" t="n">
        <x:f>MOD(B65*16807,2147483647)</x:f>
        <x:v>1492345285</x:v>
      </x:c>
      <x:c r="D65" s="17" t="n">
        <x:f>IF('Control Room'!$B$5="Normal",'Control Room'!$B$7+'Control Room'!$D$7*SQRT(-2*LN(MAX(0.000000000001,B65/2147483647)))*COS(2*PI()*C65/2147483647),'Control Room'!$B$8+('Control Room'!$D$8-'Control Room'!$B$8)*B65/2147483647)</x:f>
        <x:v>960.7746661342419</x:v>
      </x:c>
      <x:c r="E65" s="17" t="n">
        <x:f>IF('Control Room'!$B$5="Normal",'Control Room'!$B$7,('Control Room'!$B$8+'Control Room'!$D$8)/2)+'Control Room'!$B$9*(E64-IF('Control Room'!$B$5="Normal",'Control Room'!$B$7,('Control Room'!$B$8+'Control Room'!$D$8)/2))+SQRT(1-'Control Room'!$B$9^2)*(D65-IF('Control Room'!$B$5="Normal",'Control Room'!$B$7,('Control Room'!$B$8+'Control Room'!$D$8)/2))</x:f>
        <x:v>1030.6611803715582</x:v>
      </x:c>
      <x:c r="F65" s="17" t="n">
        <x:f>IF(AND($A65&gt;='Control Room'!$A$13,$A65&lt;'Control Room'!$A$13+'Control Room'!$B$13,'Process'!BK2=1),1+('Control Room'!$C$13-1)*EXP(-0.5*(($A65-'Control Room'!$A$13-('Control Room'!$B$13-1)/2)/MAX(0.5,'Control Room'!$B$13/4))^2),1)*IF(AND($A65&gt;='Control Room'!$A$14,$A65&lt;'Control Room'!$A$14+'Control Room'!$B$14,'Process'!BK3=1),1+('Control Room'!$C$14-1)*EXP(-0.5*(($A65-'Control Room'!$A$14-('Control Room'!$B$14-1)/2)/MAX(0.5,'Control Room'!$B$14/4))^2),1)*IF(AND($A65&gt;='Control Room'!$A$15,$A65&lt;'Control Room'!$A$15+'Control Room'!$B$15,'Process'!BK4=1),1+('Control Room'!$C$15-1)*EXP(-0.5*(($A65-'Control Room'!$A$15-('Control Room'!$B$15-1)/2)/MAX(0.5,'Control Room'!$B$15/4))^2),1)*IF(AND($A65&gt;='Control Room'!$A$16,$A65&lt;'Control Room'!$A$16+'Control Room'!$B$16,'Process'!BK5=1),1+('Control Room'!$C$16-1)*EXP(-0.5*(($A65-'Control Room'!$A$16-('Control Room'!$B$16-1)/2)/MAX(0.5,'Control Room'!$B$16/4))^2),1)</x:f>
        <x:v>0.8504569056540241</x:v>
      </x:c>
      <x:c r="G65" s="9" t="n">
        <x:f>MOD(H64*16807,2147483647)</x:f>
        <x:v>1039858117</x:v>
      </x:c>
      <x:c r="H65" s="9" t="n">
        <x:f>MOD(G65*16807,2147483647)</x:f>
        <x:v>673453133</x:v>
      </x:c>
      <x:c r="I65" s="17" t="n">
        <x:f>IF('Control Room'!$B$5="Normal",'Control Room'!$B$7+'Control Room'!$D$7*SQRT(-2*LN(MAX(0.000000000001,G65/2147483647)))*COS(2*PI()*H65/2147483647),'Control Room'!$B$8+('Control Room'!$D$8-'Control Room'!$B$8)*G65/2147483647)</x:f>
        <x:v>957.8290752412115</x:v>
      </x:c>
      <x:c r="J65" s="17" t="n">
        <x:f>IF('Control Room'!$B$5="Normal",'Control Room'!$B$7,('Control Room'!$B$8+'Control Room'!$D$8)/2)+'Control Room'!$B$9*(J64-IF('Control Room'!$B$5="Normal",'Control Room'!$B$7,('Control Room'!$B$8+'Control Room'!$D$8)/2))+SQRT(1-'Control Room'!$B$9^2)*(I65-IF('Control Room'!$B$5="Normal",'Control Room'!$B$7,('Control Room'!$B$8+'Control Room'!$D$8)/2))</x:f>
        <x:v>876.2001981044109</x:v>
      </x:c>
      <x:c r="K65" s="17" t="n">
        <x:f>IF(AND($A65&gt;='Control Room'!$A$13,$A65&lt;'Control Room'!$A$13+'Control Room'!$B$13,'Process'!BL2=1),1+('Control Room'!$C$13-1)*EXP(-0.5*(($A65-'Control Room'!$A$13-('Control Room'!$B$13-1)/2)/MAX(0.5,'Control Room'!$B$13/4))^2),1)*IF(AND($A65&gt;='Control Room'!$A$14,$A65&lt;'Control Room'!$A$14+'Control Room'!$B$14,'Process'!BL3=1),1+('Control Room'!$C$14-1)*EXP(-0.5*(($A65-'Control Room'!$A$14-('Control Room'!$B$14-1)/2)/MAX(0.5,'Control Room'!$B$14/4))^2),1)*IF(AND($A65&gt;='Control Room'!$A$15,$A65&lt;'Control Room'!$A$15+'Control Room'!$B$15,'Process'!BL4=1),1+('Control Room'!$C$15-1)*EXP(-0.5*(($A65-'Control Room'!$A$15-('Control Room'!$B$15-1)/2)/MAX(0.5,'Control Room'!$B$15/4))^2),1)*IF(AND($A65&gt;='Control Room'!$A$16,$A65&lt;'Control Room'!$A$16+'Control Room'!$B$16,'Process'!BL5=1),1+('Control Room'!$C$16-1)*EXP(-0.5*(($A65-'Control Room'!$A$16-('Control Room'!$B$16-1)/2)/MAX(0.5,'Control Room'!$B$16/4))^2),1)</x:f>
        <x:v>0.8504569056540241</x:v>
      </x:c>
      <x:c r="L65" s="9" t="n">
        <x:f>MOD(M64*16807,2147483647)</x:f>
        <x:v>1139216919</x:v>
      </x:c>
      <x:c r="M65" s="9" t="n">
        <x:f>MOD(L65*16807,2147483647)</x:f>
        <x:v>2002044628</x:v>
      </x:c>
      <x:c r="N65" s="17" t="n">
        <x:f>IF('Control Room'!$B$5="Normal",'Control Room'!$B$7+'Control Room'!$D$7*SQRT(-2*LN(MAX(0.000000000001,L65/2147483647)))*COS(2*PI()*M65/2147483647),'Control Room'!$B$8+('Control Room'!$D$8-'Control Room'!$B$8)*L65/2147483647)</x:f>
        <x:v>1092.3037600959574</x:v>
      </x:c>
      <x:c r="O65" s="17" t="n">
        <x:f>IF('Control Room'!$B$5="Normal",'Control Room'!$B$7,('Control Room'!$B$8+'Control Room'!$D$8)/2)+'Control Room'!$B$9*(O64-IF('Control Room'!$B$5="Normal",'Control Room'!$B$7,('Control Room'!$B$8+'Control Room'!$D$8)/2))+SQRT(1-'Control Room'!$B$9^2)*(N65-IF('Control Room'!$B$5="Normal",'Control Room'!$B$7,('Control Room'!$B$8+'Control Room'!$D$8)/2))</x:f>
        <x:v>1126.1431927966355</x:v>
      </x:c>
      <x:c r="P65" s="17" t="n">
        <x:f>IF(AND($A65&gt;='Control Room'!$A$13,$A65&lt;'Control Room'!$A$13+'Control Room'!$B$13,'Process'!BM2=1),1+('Control Room'!$C$13-1)*EXP(-0.5*(($A65-'Control Room'!$A$13-('Control Room'!$B$13-1)/2)/MAX(0.5,'Control Room'!$B$13/4))^2),1)*IF(AND($A65&gt;='Control Room'!$A$14,$A65&lt;'Control Room'!$A$14+'Control Room'!$B$14,'Process'!BM3=1),1+('Control Room'!$C$14-1)*EXP(-0.5*(($A65-'Control Room'!$A$14-('Control Room'!$B$14-1)/2)/MAX(0.5,'Control Room'!$B$14/4))^2),1)*IF(AND($A65&gt;='Control Room'!$A$15,$A65&lt;'Control Room'!$A$15+'Control Room'!$B$15,'Process'!BM4=1),1+('Control Room'!$C$15-1)*EXP(-0.5*(($A65-'Control Room'!$A$15-('Control Room'!$B$15-1)/2)/MAX(0.5,'Control Room'!$B$15/4))^2),1)*IF(AND($A65&gt;='Control Room'!$A$16,$A65&lt;'Control Room'!$A$16+'Control Room'!$B$16,'Process'!BM5=1),1+('Control Room'!$C$16-1)*EXP(-0.5*(($A65-'Control Room'!$A$16-('Control Room'!$B$16-1)/2)/MAX(0.5,'Control Room'!$B$16/4))^2),1)</x:f>
        <x:v>1</x:v>
      </x:c>
      <x:c r="Q65" s="9" t="n">
        <x:f>MOD(R64*16807,2147483647)</x:f>
        <x:v>1238575721</x:v>
      </x:c>
      <x:c r="R65" s="9" t="n">
        <x:f>MOD(Q65*16807,2147483647)</x:f>
        <x:v>1183152476</x:v>
      </x:c>
      <x:c r="S65" s="17" t="n">
        <x:f>IF('Control Room'!$B$5="Normal",'Control Room'!$B$7+'Control Room'!$D$7*SQRT(-2*LN(MAX(0.000000000001,Q65/2147483647)))*COS(2*PI()*R65/2147483647),'Control Room'!$B$8+('Control Room'!$D$8-'Control Room'!$B$8)*Q65/2147483647)</x:f>
        <x:v>910.3752542234665</x:v>
      </x:c>
      <x:c r="T65" s="17" t="n">
        <x:f>IF('Control Room'!$B$5="Normal",'Control Room'!$B$7,('Control Room'!$B$8+'Control Room'!$D$8)/2)+'Control Room'!$B$9*(T64-IF('Control Room'!$B$5="Normal",'Control Room'!$B$7,('Control Room'!$B$8+'Control Room'!$D$8)/2))+SQRT(1-'Control Room'!$B$9^2)*(S65-IF('Control Room'!$B$5="Normal",'Control Room'!$B$7,('Control Room'!$B$8+'Control Room'!$D$8)/2))</x:f>
        <x:v>850.4635155630128</x:v>
      </x:c>
      <x:c r="U65" s="17" t="n">
        <x:f>IF(AND($A65&gt;='Control Room'!$A$13,$A65&lt;'Control Room'!$A$13+'Control Room'!$B$13,'Process'!BN2=1),1+('Control Room'!$C$13-1)*EXP(-0.5*(($A65-'Control Room'!$A$13-('Control Room'!$B$13-1)/2)/MAX(0.5,'Control Room'!$B$13/4))^2),1)*IF(AND($A65&gt;='Control Room'!$A$14,$A65&lt;'Control Room'!$A$14+'Control Room'!$B$14,'Process'!BN3=1),1+('Control Room'!$C$14-1)*EXP(-0.5*(($A65-'Control Room'!$A$14-('Control Room'!$B$14-1)/2)/MAX(0.5,'Control Room'!$B$14/4))^2),1)*IF(AND($A65&gt;='Control Room'!$A$15,$A65&lt;'Control Room'!$A$15+'Control Room'!$B$15,'Process'!BN4=1),1+('Control Room'!$C$15-1)*EXP(-0.5*(($A65-'Control Room'!$A$15-('Control Room'!$B$15-1)/2)/MAX(0.5,'Control Room'!$B$15/4))^2),1)*IF(AND($A65&gt;='Control Room'!$A$16,$A65&lt;'Control Room'!$A$16+'Control Room'!$B$16,'Process'!BN5=1),1+('Control Room'!$C$16-1)*EXP(-0.5*(($A65-'Control Room'!$A$16-('Control Room'!$B$16-1)/2)/MAX(0.5,'Control Room'!$B$16/4))^2),1)</x:f>
        <x:v>0.8504569056540241</x:v>
      </x:c>
      <x:c r="V65" s="9" t="n">
        <x:f>MOD(W64*16807,2147483647)</x:f>
        <x:v>1337934523</x:v>
      </x:c>
      <x:c r="W65" s="9" t="n">
        <x:f>MOD(V65*16807,2147483647)</x:f>
        <x:v>364260324</x:v>
      </x:c>
      <x:c r="X65" s="17" t="n">
        <x:f>IF('Control Room'!$B$5="Normal",'Control Room'!$B$7+'Control Room'!$D$7*SQRT(-2*LN(MAX(0.000000000001,V65/2147483647)))*COS(2*PI()*W65/2147483647),'Control Room'!$B$8+('Control Room'!$D$8-'Control Room'!$B$8)*V65/2147483647)</x:f>
        <x:v>1042.3606223809336</x:v>
      </x:c>
      <x:c r="Y65" s="17" t="n">
        <x:f>IF('Control Room'!$B$5="Normal",'Control Room'!$B$7,('Control Room'!$B$8+'Control Room'!$D$8)/2)+'Control Room'!$B$9*(Y64-IF('Control Room'!$B$5="Normal",'Control Room'!$B$7,('Control Room'!$B$8+'Control Room'!$D$8)/2))+SQRT(1-'Control Room'!$B$9^2)*(X65-IF('Control Room'!$B$5="Normal",'Control Room'!$B$7,('Control Room'!$B$8+'Control Room'!$D$8)/2))</x:f>
        <x:v>1089.8784908173595</x:v>
      </x:c>
      <x:c r="Z65" s="17" t="n">
        <x:f>IF(AND($A65&gt;='Control Room'!$A$13,$A65&lt;'Control Room'!$A$13+'Control Room'!$B$13,'Process'!BO2=1),1+('Control Room'!$C$13-1)*EXP(-0.5*(($A65-'Control Room'!$A$13-('Control Room'!$B$13-1)/2)/MAX(0.5,'Control Room'!$B$13/4))^2),1)*IF(AND($A65&gt;='Control Room'!$A$14,$A65&lt;'Control Room'!$A$14+'Control Room'!$B$14,'Process'!BO3=1),1+('Control Room'!$C$14-1)*EXP(-0.5*(($A65-'Control Room'!$A$14-('Control Room'!$B$14-1)/2)/MAX(0.5,'Control Room'!$B$14/4))^2),1)*IF(AND($A65&gt;='Control Room'!$A$15,$A65&lt;'Control Room'!$A$15+'Control Room'!$B$15,'Process'!BO4=1),1+('Control Room'!$C$15-1)*EXP(-0.5*(($A65-'Control Room'!$A$15-('Control Room'!$B$15-1)/2)/MAX(0.5,'Control Room'!$B$15/4))^2),1)*IF(AND($A65&gt;='Control Room'!$A$16,$A65&lt;'Control Room'!$A$16+'Control Room'!$B$16,'Process'!BO5=1),1+('Control Room'!$C$16-1)*EXP(-0.5*(($A65-'Control Room'!$A$16-('Control Room'!$B$16-1)/2)/MAX(0.5,'Control Room'!$B$16/4))^2),1)</x:f>
        <x:v>0.8504569056540241</x:v>
      </x:c>
      <x:c r="AA65" s="9" t="n">
        <x:f>MOD(AB64*16807,2147483647)</x:f>
        <x:v>1437293325</x:v>
      </x:c>
      <x:c r="AB65" s="9" t="n">
        <x:f>MOD(AA65*16807,2147483647)</x:f>
        <x:v>1692851819</x:v>
      </x:c>
      <x:c r="AC65" s="17" t="n">
        <x:f>IF('Control Room'!$B$5="Normal",'Control Room'!$B$7+'Control Room'!$D$7*SQRT(-2*LN(MAX(0.000000000001,AA65/2147483647)))*COS(2*PI()*AB65/2147483647),'Control Room'!$B$8+('Control Room'!$D$8-'Control Room'!$B$8)*AA65/2147483647)</x:f>
        <x:v>1019.2197908477441</x:v>
      </x:c>
      <x:c r="AD65" s="17" t="n">
        <x:f>IF('Control Room'!$B$5="Normal",'Control Room'!$B$7,('Control Room'!$B$8+'Control Room'!$D$8)/2)+'Control Room'!$B$9*(AD64-IF('Control Room'!$B$5="Normal",'Control Room'!$B$7,('Control Room'!$B$8+'Control Room'!$D$8)/2))+SQRT(1-'Control Room'!$B$9^2)*(AC65-IF('Control Room'!$B$5="Normal",'Control Room'!$B$7,('Control Room'!$B$8+'Control Room'!$D$8)/2))</x:f>
        <x:v>1001.2020645468234</x:v>
      </x:c>
      <x:c r="AE65" s="17" t="n">
        <x:f>IF(AND($A65&gt;='Control Room'!$A$13,$A65&lt;'Control Room'!$A$13+'Control Room'!$B$13,'Process'!BP2=1),1+('Control Room'!$C$13-1)*EXP(-0.5*(($A65-'Control Room'!$A$13-('Control Room'!$B$13-1)/2)/MAX(0.5,'Control Room'!$B$13/4))^2),1)*IF(AND($A65&gt;='Control Room'!$A$14,$A65&lt;'Control Room'!$A$14+'Control Room'!$B$14,'Process'!BP3=1),1+('Control Room'!$C$14-1)*EXP(-0.5*(($A65-'Control Room'!$A$14-('Control Room'!$B$14-1)/2)/MAX(0.5,'Control Room'!$B$14/4))^2),1)*IF(AND($A65&gt;='Control Room'!$A$15,$A65&lt;'Control Room'!$A$15+'Control Room'!$B$15,'Process'!BP4=1),1+('Control Room'!$C$15-1)*EXP(-0.5*(($A65-'Control Room'!$A$15-('Control Room'!$B$15-1)/2)/MAX(0.5,'Control Room'!$B$15/4))^2),1)*IF(AND($A65&gt;='Control Room'!$A$16,$A65&lt;'Control Room'!$A$16+'Control Room'!$B$16,'Process'!BP5=1),1+('Control Room'!$C$16-1)*EXP(-0.5*(($A65-'Control Room'!$A$16-('Control Room'!$B$16-1)/2)/MAX(0.5,'Control Room'!$B$16/4))^2),1)</x:f>
        <x:v>1</x:v>
      </x:c>
      <x:c r="AF65" s="9" t="n">
        <x:f>MOD(AG64*16807,2147483647)</x:f>
        <x:v>1536652127</x:v>
      </x:c>
      <x:c r="AG65" s="9" t="n">
        <x:f>MOD(AF65*16807,2147483647)</x:f>
        <x:v>873959667</x:v>
      </x:c>
      <x:c r="AH65" s="17" t="n">
        <x:f>IF('Control Room'!$B$5="Normal",'Control Room'!$B$7+'Control Room'!$D$7*SQRT(-2*LN(MAX(0.000000000001,AF65/2147483647)))*COS(2*PI()*AG65/2147483647),'Control Room'!$B$8+('Control Room'!$D$8-'Control Room'!$B$8)*AF65/2147483647)</x:f>
        <x:v>938.5912066034896</x:v>
      </x:c>
      <x:c r="AI65" s="17" t="n">
        <x:f>IF('Control Room'!$B$5="Normal",'Control Room'!$B$7,('Control Room'!$B$8+'Control Room'!$D$8)/2)+'Control Room'!$B$9*(AI64-IF('Control Room'!$B$5="Normal",'Control Room'!$B$7,('Control Room'!$B$8+'Control Room'!$D$8)/2))+SQRT(1-'Control Room'!$B$9^2)*(AH65-IF('Control Room'!$B$5="Normal",'Control Room'!$B$7,('Control Room'!$B$8+'Control Room'!$D$8)/2))</x:f>
        <x:v>1119.5810591823938</x:v>
      </x:c>
      <x:c r="AJ65" s="17" t="n">
        <x:f>IF(AND($A65&gt;='Control Room'!$A$13,$A65&lt;'Control Room'!$A$13+'Control Room'!$B$13,'Process'!BQ2=1),1+('Control Room'!$C$13-1)*EXP(-0.5*(($A65-'Control Room'!$A$13-('Control Room'!$B$13-1)/2)/MAX(0.5,'Control Room'!$B$13/4))^2),1)*IF(AND($A65&gt;='Control Room'!$A$14,$A65&lt;'Control Room'!$A$14+'Control Room'!$B$14,'Process'!BQ3=1),1+('Control Room'!$C$14-1)*EXP(-0.5*(($A65-'Control Room'!$A$14-('Control Room'!$B$14-1)/2)/MAX(0.5,'Control Room'!$B$14/4))^2),1)*IF(AND($A65&gt;='Control Room'!$A$15,$A65&lt;'Control Room'!$A$15+'Control Room'!$B$15,'Process'!BQ4=1),1+('Control Room'!$C$15-1)*EXP(-0.5*(($A65-'Control Room'!$A$15-('Control Room'!$B$15-1)/2)/MAX(0.5,'Control Room'!$B$15/4))^2),1)*IF(AND($A65&gt;='Control Room'!$A$16,$A65&lt;'Control Room'!$A$16+'Control Room'!$B$16,'Process'!BQ5=1),1+('Control Room'!$C$16-1)*EXP(-0.5*(($A65-'Control Room'!$A$16-('Control Room'!$B$16-1)/2)/MAX(0.5,'Control Room'!$B$16/4))^2),1)</x:f>
        <x:v>0.8504569056540241</x:v>
      </x:c>
      <x:c r="AK65" s="9" t="n">
        <x:f>MOD(AL64*16807,2147483647)</x:f>
        <x:v>1636010929</x:v>
      </x:c>
      <x:c r="AL65" s="9" t="n">
        <x:f>MOD(AK65*16807,2147483647)</x:f>
        <x:v>55067515</x:v>
      </x:c>
      <x:c r="AM65" s="17" t="n">
        <x:f>IF('Control Room'!$B$5="Normal",'Control Room'!$B$7+'Control Room'!$D$7*SQRT(-2*LN(MAX(0.000000000001,AK65/2147483647)))*COS(2*PI()*AL65/2147483647),'Control Room'!$B$8+('Control Room'!$D$8-'Control Room'!$B$8)*AK65/2147483647)</x:f>
        <x:v>1065.5253045312734</x:v>
      </x:c>
      <x:c r="AN65" s="17" t="n">
        <x:f>IF('Control Room'!$B$5="Normal",'Control Room'!$B$7,('Control Room'!$B$8+'Control Room'!$D$8)/2)+'Control Room'!$B$9*(AN64-IF('Control Room'!$B$5="Normal",'Control Room'!$B$7,('Control Room'!$B$8+'Control Room'!$D$8)/2))+SQRT(1-'Control Room'!$B$9^2)*(AM65-IF('Control Room'!$B$5="Normal",'Control Room'!$B$7,('Control Room'!$B$8+'Control Room'!$D$8)/2))</x:f>
        <x:v>1012.6835404569606</x:v>
      </x:c>
      <x:c r="AO65" s="17" t="n">
        <x:f>IF(AND($A65&gt;='Control Room'!$A$13,$A65&lt;'Control Room'!$A$13+'Control Room'!$B$13,'Process'!BR2=1),1+('Control Room'!$C$13-1)*EXP(-0.5*(($A65-'Control Room'!$A$13-('Control Room'!$B$13-1)/2)/MAX(0.5,'Control Room'!$B$13/4))^2),1)*IF(AND($A65&gt;='Control Room'!$A$14,$A65&lt;'Control Room'!$A$14+'Control Room'!$B$14,'Process'!BR3=1),1+('Control Room'!$C$14-1)*EXP(-0.5*(($A65-'Control Room'!$A$14-('Control Room'!$B$14-1)/2)/MAX(0.5,'Control Room'!$B$14/4))^2),1)*IF(AND($A65&gt;='Control Room'!$A$15,$A65&lt;'Control Room'!$A$15+'Control Room'!$B$15,'Process'!BR4=1),1+('Control Room'!$C$15-1)*EXP(-0.5*(($A65-'Control Room'!$A$15-('Control Room'!$B$15-1)/2)/MAX(0.5,'Control Room'!$B$15/4))^2),1)*IF(AND($A65&gt;='Control Room'!$A$16,$A65&lt;'Control Room'!$A$16+'Control Room'!$B$16,'Process'!BR5=1),1+('Control Room'!$C$16-1)*EXP(-0.5*(($A65-'Control Room'!$A$16-('Control Room'!$B$16-1)/2)/MAX(0.5,'Control Room'!$B$16/4))^2),1)</x:f>
        <x:v>0.8504569056540241</x:v>
      </x:c>
      <x:c r="AP65" s="9" t="n">
        <x:f>MOD(AQ64*16807,2147483647)</x:f>
        <x:v>1735369731</x:v>
      </x:c>
      <x:c r="AQ65" s="9" t="n">
        <x:f>MOD(AP65*16807,2147483647)</x:f>
        <x:v>1383659010</x:v>
      </x:c>
      <x:c r="AR65" s="17" t="n">
        <x:f>IF('Control Room'!$B$5="Normal",'Control Room'!$B$7+'Control Room'!$D$7*SQRT(-2*LN(MAX(0.000000000001,AP65/2147483647)))*COS(2*PI()*AQ65/2147483647),'Control Room'!$B$8+('Control Room'!$D$8-'Control Room'!$B$8)*AP65/2147483647)</x:f>
        <x:v>963.791232365578</x:v>
      </x:c>
      <x:c r="AS65" s="17" t="n">
        <x:f>IF('Control Room'!$B$5="Normal",'Control Room'!$B$7,('Control Room'!$B$8+'Control Room'!$D$8)/2)+'Control Room'!$B$9*(AS64-IF('Control Room'!$B$5="Normal",'Control Room'!$B$7,('Control Room'!$B$8+'Control Room'!$D$8)/2))+SQRT(1-'Control Room'!$B$9^2)*(AR65-IF('Control Room'!$B$5="Normal",'Control Room'!$B$7,('Control Room'!$B$8+'Control Room'!$D$8)/2))</x:f>
        <x:v>1064.1608473252472</x:v>
      </x:c>
      <x:c r="AT65" s="17" t="n">
        <x:f>IF(AND($A65&gt;='Control Room'!$A$13,$A65&lt;'Control Room'!$A$13+'Control Room'!$B$13,'Process'!BS2=1),1+('Control Room'!$C$13-1)*EXP(-0.5*(($A65-'Control Room'!$A$13-('Control Room'!$B$13-1)/2)/MAX(0.5,'Control Room'!$B$13/4))^2),1)*IF(AND($A65&gt;='Control Room'!$A$14,$A65&lt;'Control Room'!$A$14+'Control Room'!$B$14,'Process'!BS3=1),1+('Control Room'!$C$14-1)*EXP(-0.5*(($A65-'Control Room'!$A$14-('Control Room'!$B$14-1)/2)/MAX(0.5,'Control Room'!$B$14/4))^2),1)*IF(AND($A65&gt;='Control Room'!$A$15,$A65&lt;'Control Room'!$A$15+'Control Room'!$B$15,'Process'!BS4=1),1+('Control Room'!$C$15-1)*EXP(-0.5*(($A65-'Control Room'!$A$15-('Control Room'!$B$15-1)/2)/MAX(0.5,'Control Room'!$B$15/4))^2),1)*IF(AND($A65&gt;='Control Room'!$A$16,$A65&lt;'Control Room'!$A$16+'Control Room'!$B$16,'Process'!BS5=1),1+('Control Room'!$C$16-1)*EXP(-0.5*(($A65-'Control Room'!$A$16-('Control Room'!$B$16-1)/2)/MAX(0.5,'Control Room'!$B$16/4))^2),1)</x:f>
        <x:v>0.8504569056540241</x:v>
      </x:c>
      <x:c r="AU65" s="9" t="n">
        <x:f>MOD(AV64*16807,2147483647)</x:f>
        <x:v>1834728533</x:v>
      </x:c>
      <x:c r="AV65" s="9" t="n">
        <x:f>MOD(AU65*16807,2147483647)</x:f>
        <x:v>564766858</x:v>
      </x:c>
      <x:c r="AW65" s="17" t="n">
        <x:f>IF('Control Room'!$B$5="Normal",'Control Room'!$B$7+'Control Room'!$D$7*SQRT(-2*LN(MAX(0.000000000001,AU65/2147483647)))*COS(2*PI()*AV65/2147483647),'Control Room'!$B$8+('Control Room'!$D$8-'Control Room'!$B$8)*AU65/2147483647)</x:f>
        <x:v>995.8831125680415</x:v>
      </x:c>
      <x:c r="AX65" s="17" t="n">
        <x:f>IF('Control Room'!$B$5="Normal",'Control Room'!$B$7,('Control Room'!$B$8+'Control Room'!$D$8)/2)+'Control Room'!$B$9*(AX64-IF('Control Room'!$B$5="Normal",'Control Room'!$B$7,('Control Room'!$B$8+'Control Room'!$D$8)/2))+SQRT(1-'Control Room'!$B$9^2)*(AW65-IF('Control Room'!$B$5="Normal",'Control Room'!$B$7,('Control Room'!$B$8+'Control Room'!$D$8)/2))</x:f>
        <x:v>1032.7465030351468</x:v>
      </x:c>
      <x:c r="AY65" s="17" t="n">
        <x:f>IF(AND($A65&gt;='Control Room'!$A$13,$A65&lt;'Control Room'!$A$13+'Control Room'!$B$13,'Process'!BT2=1),1+('Control Room'!$C$13-1)*EXP(-0.5*(($A65-'Control Room'!$A$13-('Control Room'!$B$13-1)/2)/MAX(0.5,'Control Room'!$B$13/4))^2),1)*IF(AND($A65&gt;='Control Room'!$A$14,$A65&lt;'Control Room'!$A$14+'Control Room'!$B$14,'Process'!BT3=1),1+('Control Room'!$C$14-1)*EXP(-0.5*(($A65-'Control Room'!$A$14-('Control Room'!$B$14-1)/2)/MAX(0.5,'Control Room'!$B$14/4))^2),1)*IF(AND($A65&gt;='Control Room'!$A$15,$A65&lt;'Control Room'!$A$15+'Control Room'!$B$15,'Process'!BT4=1),1+('Control Room'!$C$15-1)*EXP(-0.5*(($A65-'Control Room'!$A$15-('Control Room'!$B$15-1)/2)/MAX(0.5,'Control Room'!$B$15/4))^2),1)*IF(AND($A65&gt;='Control Room'!$A$16,$A65&lt;'Control Room'!$A$16+'Control Room'!$B$16,'Process'!BT5=1),1+('Control Room'!$C$16-1)*EXP(-0.5*(($A65-'Control Room'!$A$16-('Control Room'!$B$16-1)/2)/MAX(0.5,'Control Room'!$B$16/4))^2),1)</x:f>
        <x:v>1</x:v>
      </x:c>
      <x:c r="AZ65" s="9" t="n">
        <x:f>MOD(BA64*16807,2147483647)</x:f>
        <x:v>1934087335</x:v>
      </x:c>
      <x:c r="BA65" s="9" t="n">
        <x:f>MOD(AZ65*16807,2147483647)</x:f>
        <x:v>1893358353</x:v>
      </x:c>
      <x:c r="BB65" s="17" t="n">
        <x:f>IF('Control Room'!$B$5="Normal",'Control Room'!$B$7+'Control Room'!$D$7*SQRT(-2*LN(MAX(0.000000000001,AZ65/2147483647)))*COS(2*PI()*BA65/2147483647),'Control Room'!$B$8+('Control Room'!$D$8-'Control Room'!$B$8)*AZ65/2147483647)</x:f>
        <x:v>1030.3094461870148</x:v>
      </x:c>
      <x:c r="BC65" s="17" t="n">
        <x:f>IF('Control Room'!$B$5="Normal",'Control Room'!$B$7,('Control Room'!$B$8+'Control Room'!$D$8)/2)+'Control Room'!$B$9*(BC64-IF('Control Room'!$B$5="Normal",'Control Room'!$B$7,('Control Room'!$B$8+'Control Room'!$D$8)/2))+SQRT(1-'Control Room'!$B$9^2)*(BB65-IF('Control Room'!$B$5="Normal",'Control Room'!$B$7,('Control Room'!$B$8+'Control Room'!$D$8)/2))</x:f>
        <x:v>976.295555645404</x:v>
      </x:c>
      <x:c r="BD65" s="17" t="n">
        <x:f>IF(AND($A65&gt;='Control Room'!$A$13,$A65&lt;'Control Room'!$A$13+'Control Room'!$B$13,'Process'!BU2=1),1+('Control Room'!$C$13-1)*EXP(-0.5*(($A65-'Control Room'!$A$13-('Control Room'!$B$13-1)/2)/MAX(0.5,'Control Room'!$B$13/4))^2),1)*IF(AND($A65&gt;='Control Room'!$A$14,$A65&lt;'Control Room'!$A$14+'Control Room'!$B$14,'Process'!BU3=1),1+('Control Room'!$C$14-1)*EXP(-0.5*(($A65-'Control Room'!$A$14-('Control Room'!$B$14-1)/2)/MAX(0.5,'Control Room'!$B$14/4))^2),1)*IF(AND($A65&gt;='Control Room'!$A$15,$A65&lt;'Control Room'!$A$15+'Control Room'!$B$15,'Process'!BU4=1),1+('Control Room'!$C$15-1)*EXP(-0.5*(($A65-'Control Room'!$A$15-('Control Room'!$B$15-1)/2)/MAX(0.5,'Control Room'!$B$15/4))^2),1)*IF(AND($A65&gt;='Control Room'!$A$16,$A65&lt;'Control Room'!$A$16+'Control Room'!$B$16,'Process'!BU5=1),1+('Control Room'!$C$16-1)*EXP(-0.5*(($A65-'Control Room'!$A$16-('Control Room'!$B$16-1)/2)/MAX(0.5,'Control Room'!$B$16/4))^2),1)</x:f>
        <x:v>0.8504569056540241</x:v>
      </x:c>
      <x:c r="BE65" s="9" t="n">
        <x:f>MOD(BF64*16807,2147483647)</x:f>
        <x:v>2033446137</x:v>
      </x:c>
      <x:c r="BF65" s="9" t="n">
        <x:f>MOD(BE65*16807,2147483647)</x:f>
        <x:v>1074466201</x:v>
      </x:c>
      <x:c r="BG65" s="17" t="n">
        <x:f>IF('Control Room'!$B$5="Normal",'Control Room'!$B$7+'Control Room'!$D$7*SQRT(-2*LN(MAX(0.000000000001,BE65/2147483647)))*COS(2*PI()*BF65/2147483647),'Control Room'!$B$8+('Control Room'!$D$8-'Control Room'!$B$8)*BE65/2147483647)</x:f>
        <x:v>970.2687736896402</x:v>
      </x:c>
      <x:c r="BH65" s="17" t="n">
        <x:f>IF('Control Room'!$B$5="Normal",'Control Room'!$B$7,('Control Room'!$B$8+'Control Room'!$D$8)/2)+'Control Room'!$B$9*(BH64-IF('Control Room'!$B$5="Normal",'Control Room'!$B$7,('Control Room'!$B$8+'Control Room'!$D$8)/2))+SQRT(1-'Control Room'!$B$9^2)*(BG65-IF('Control Room'!$B$5="Normal",'Control Room'!$B$7,('Control Room'!$B$8+'Control Room'!$D$8)/2))</x:f>
        <x:v>1017.6159290100343</x:v>
      </x:c>
      <x:c r="BI65" s="17" t="n">
        <x:f>IF(AND($A65&gt;='Control Room'!$A$13,$A65&lt;'Control Room'!$A$13+'Control Room'!$B$13,'Process'!BV2=1),1+('Control Room'!$C$13-1)*EXP(-0.5*(($A65-'Control Room'!$A$13-('Control Room'!$B$13-1)/2)/MAX(0.5,'Control Room'!$B$13/4))^2),1)*IF(AND($A65&gt;='Control Room'!$A$14,$A65&lt;'Control Room'!$A$14+'Control Room'!$B$14,'Process'!BV3=1),1+('Control Room'!$C$14-1)*EXP(-0.5*(($A65-'Control Room'!$A$14-('Control Room'!$B$14-1)/2)/MAX(0.5,'Control Room'!$B$14/4))^2),1)*IF(AND($A65&gt;='Control Room'!$A$15,$A65&lt;'Control Room'!$A$15+'Control Room'!$B$15,'Process'!BV4=1),1+('Control Room'!$C$15-1)*EXP(-0.5*(($A65-'Control Room'!$A$15-('Control Room'!$B$15-1)/2)/MAX(0.5,'Control Room'!$B$15/4))^2),1)*IF(AND($A65&gt;='Control Room'!$A$16,$A65&lt;'Control Room'!$A$16+'Control Room'!$B$16,'Process'!BV5=1),1+('Control Room'!$C$16-1)*EXP(-0.5*(($A65-'Control Room'!$A$16-('Control Room'!$B$16-1)/2)/MAX(0.5,'Control Room'!$B$16/4))^2),1)</x:f>
        <x:v>0.8504569056540241</x:v>
      </x:c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Z65" t="str">
        <x:f>IF('Data'!A65="","",TEXT('Data'!A65,"mm-dd"))</x:f>
        <x:v>01-04</x:v>
      </x:c>
    </x:row>
    <x:row r="66" ht="21" customHeight="1">
      <x:c r="A66" s="15" t="n">
        <x:f>'Control Room'!$B$1+64</x:f>
        <x:v>73055</x:v>
      </x:c>
      <x:c r="B66" s="9" t="n">
        <x:f>MOD(C65*16807,2147483647)</x:f>
        <x:v>1385691682</x:v>
      </x:c>
      <x:c r="C66" s="9" t="n">
        <x:f>MOD(B66*16807,2147483647)</x:f>
        <x:v>2007431306</x:v>
      </x:c>
      <x:c r="D66" s="17" t="n">
        <x:f>IF('Control Room'!$B$5="Normal",'Control Room'!$B$7+'Control Room'!$D$7*SQRT(-2*LN(MAX(0.000000000001,B66/2147483647)))*COS(2*PI()*C66/2147483647),'Control Room'!$B$8+('Control Room'!$D$8-'Control Room'!$B$8)*B66/2147483647)</x:f>
        <x:v>1077.2703233290547</x:v>
      </x:c>
      <x:c r="E66" s="17" t="n">
        <x:f>IF('Control Room'!$B$5="Normal",'Control Room'!$B$7,('Control Room'!$B$8+'Control Room'!$D$8)/2)+'Control Room'!$B$9*(E65-IF('Control Room'!$B$5="Normal",'Control Room'!$B$7,('Control Room'!$B$8+'Control Room'!$D$8)/2))+SQRT(1-'Control Room'!$B$9^2)*(D66-IF('Control Room'!$B$5="Normal",'Control Room'!$B$7,('Control Room'!$B$8+'Control Room'!$D$8)/2))</x:f>
        <x:v>1072.2699060605225</x:v>
      </x:c>
      <x:c r="F66" s="17" t="n">
        <x:f>IF(AND($A66&gt;='Control Room'!$A$13,$A66&lt;'Control Room'!$A$13+'Control Room'!$B$13,'Process'!BK2=1),1+('Control Room'!$C$13-1)*EXP(-0.5*(($A66-'Control Room'!$A$13-('Control Room'!$B$13-1)/2)/MAX(0.5,'Control Room'!$B$13/4))^2),1)*IF(AND($A66&gt;='Control Room'!$A$14,$A66&lt;'Control Room'!$A$14+'Control Room'!$B$14,'Process'!BK3=1),1+('Control Room'!$C$14-1)*EXP(-0.5*(($A66-'Control Room'!$A$14-('Control Room'!$B$14-1)/2)/MAX(0.5,'Control Room'!$B$14/4))^2),1)*IF(AND($A66&gt;='Control Room'!$A$15,$A66&lt;'Control Room'!$A$15+'Control Room'!$B$15,'Process'!BK4=1),1+('Control Room'!$C$15-1)*EXP(-0.5*(($A66-'Control Room'!$A$15-('Control Room'!$B$15-1)/2)/MAX(0.5,'Control Room'!$B$15/4))^2),1)*IF(AND($A66&gt;='Control Room'!$A$16,$A66&lt;'Control Room'!$A$16+'Control Room'!$B$16,'Process'!BK5=1),1+('Control Room'!$C$16-1)*EXP(-0.5*(($A66-'Control Room'!$A$16-('Control Room'!$B$16-1)/2)/MAX(0.5,'Control Room'!$B$16/4))^2),1)</x:f>
        <x:v>0.6617074213365437</x:v>
      </x:c>
      <x:c r="G66" s="9" t="n">
        <x:f>MOD(H65*16807,2147483647)</x:f>
        <x:v>1487986641</x:v>
      </x:c>
      <x:c r="H66" s="9" t="n">
        <x:f>MOD(G66*16807,2147483647)</x:f>
        <x:v>1144405972</x:v>
      </x:c>
      <x:c r="I66" s="17" t="n">
        <x:f>IF('Control Room'!$B$5="Normal",'Control Room'!$B$7+'Control Room'!$D$7*SQRT(-2*LN(MAX(0.000000000001,G66/2147483647)))*COS(2*PI()*H66/2147483647),'Control Room'!$B$8+('Control Room'!$D$8-'Control Room'!$B$8)*G66/2147483647)</x:f>
        <x:v>924.5488026856731</x:v>
      </x:c>
      <x:c r="J66" s="17" t="n">
        <x:f>IF('Control Room'!$B$5="Normal",'Control Room'!$B$7,('Control Room'!$B$8+'Control Room'!$D$8)/2)+'Control Room'!$B$9*(J65-IF('Control Room'!$B$5="Normal",'Control Room'!$B$7,('Control Room'!$B$8+'Control Room'!$D$8)/2))+SQRT(1-'Control Room'!$B$9^2)*(I66-IF('Control Room'!$B$5="Normal",'Control Room'!$B$7,('Control Room'!$B$8+'Control Room'!$D$8)/2))</x:f>
        <x:v>856.220340943928</x:v>
      </x:c>
      <x:c r="K66" s="17" t="n">
        <x:f>IF(AND($A66&gt;='Control Room'!$A$13,$A66&lt;'Control Room'!$A$13+'Control Room'!$B$13,'Process'!BL2=1),1+('Control Room'!$C$13-1)*EXP(-0.5*(($A66-'Control Room'!$A$13-('Control Room'!$B$13-1)/2)/MAX(0.5,'Control Room'!$B$13/4))^2),1)*IF(AND($A66&gt;='Control Room'!$A$14,$A66&lt;'Control Room'!$A$14+'Control Room'!$B$14,'Process'!BL3=1),1+('Control Room'!$C$14-1)*EXP(-0.5*(($A66-'Control Room'!$A$14-('Control Room'!$B$14-1)/2)/MAX(0.5,'Control Room'!$B$14/4))^2),1)*IF(AND($A66&gt;='Control Room'!$A$15,$A66&lt;'Control Room'!$A$15+'Control Room'!$B$15,'Process'!BL4=1),1+('Control Room'!$C$15-1)*EXP(-0.5*(($A66-'Control Room'!$A$15-('Control Room'!$B$15-1)/2)/MAX(0.5,'Control Room'!$B$15/4))^2),1)*IF(AND($A66&gt;='Control Room'!$A$16,$A66&lt;'Control Room'!$A$16+'Control Room'!$B$16,'Process'!BL5=1),1+('Control Room'!$C$16-1)*EXP(-0.5*(($A66-'Control Room'!$A$16-('Control Room'!$B$16-1)/2)/MAX(0.5,'Control Room'!$B$16/4))^2),1)</x:f>
        <x:v>0.6617074213365437</x:v>
      </x:c>
      <x:c r="L66" s="9" t="n">
        <x:f>MOD(M65*16807,2147483647)</x:f>
        <x:v>1590281600</x:v>
      </x:c>
      <x:c r="M66" s="9" t="n">
        <x:f>MOD(L66*16807,2147483647)</x:f>
        <x:v>281380638</x:v>
      </x:c>
      <x:c r="N66" s="17" t="n">
        <x:f>IF('Control Room'!$B$5="Normal",'Control Room'!$B$7+'Control Room'!$D$7*SQRT(-2*LN(MAX(0.000000000001,L66/2147483647)))*COS(2*PI()*M66/2147483647),'Control Room'!$B$8+('Control Room'!$D$8-'Control Room'!$B$8)*L66/2147483647)</x:f>
        <x:v>1047.4235018958548</x:v>
      </x:c>
      <x:c r="O66" s="17" t="n">
        <x:f>IF('Control Room'!$B$5="Normal",'Control Room'!$B$7,('Control Room'!$B$8+'Control Room'!$D$8)/2)+'Control Room'!$B$9*(O65-IF('Control Room'!$B$5="Normal",'Control Room'!$B$7,('Control Room'!$B$8+'Control Room'!$D$8)/2))+SQRT(1-'Control Room'!$B$9^2)*(N66-IF('Control Room'!$B$5="Normal",'Control Room'!$B$7,('Control Room'!$B$8+'Control Room'!$D$8)/2))</x:f>
        <x:v>1128.0683463445582</x:v>
      </x:c>
      <x:c r="P66" s="17" t="n">
        <x:f>IF(AND($A66&gt;='Control Room'!$A$13,$A66&lt;'Control Room'!$A$13+'Control Room'!$B$13,'Process'!BM2=1),1+('Control Room'!$C$13-1)*EXP(-0.5*(($A66-'Control Room'!$A$13-('Control Room'!$B$13-1)/2)/MAX(0.5,'Control Room'!$B$13/4))^2),1)*IF(AND($A66&gt;='Control Room'!$A$14,$A66&lt;'Control Room'!$A$14+'Control Room'!$B$14,'Process'!BM3=1),1+('Control Room'!$C$14-1)*EXP(-0.5*(($A66-'Control Room'!$A$14-('Control Room'!$B$14-1)/2)/MAX(0.5,'Control Room'!$B$14/4))^2),1)*IF(AND($A66&gt;='Control Room'!$A$15,$A66&lt;'Control Room'!$A$15+'Control Room'!$B$15,'Process'!BM4=1),1+('Control Room'!$C$15-1)*EXP(-0.5*(($A66-'Control Room'!$A$15-('Control Room'!$B$15-1)/2)/MAX(0.5,'Control Room'!$B$15/4))^2),1)*IF(AND($A66&gt;='Control Room'!$A$16,$A66&lt;'Control Room'!$A$16+'Control Room'!$B$16,'Process'!BM5=1),1+('Control Room'!$C$16-1)*EXP(-0.5*(($A66-'Control Room'!$A$16-('Control Room'!$B$16-1)/2)/MAX(0.5,'Control Room'!$B$16/4))^2),1)</x:f>
        <x:v>1</x:v>
      </x:c>
      <x:c r="Q66" s="9" t="n">
        <x:f>MOD(R65*16807,2147483647)</x:f>
        <x:v>1692576559</x:v>
      </x:c>
      <x:c r="R66" s="9" t="n">
        <x:f>MOD(Q66*16807,2147483647)</x:f>
        <x:v>1565838951</x:v>
      </x:c>
      <x:c r="S66" s="17" t="n">
        <x:f>IF('Control Room'!$B$5="Normal",'Control Room'!$B$7+'Control Room'!$D$7*SQRT(-2*LN(MAX(0.000000000001,Q66/2147483647)))*COS(2*PI()*R66/2147483647),'Control Room'!$B$8+('Control Room'!$D$8-'Control Room'!$B$8)*Q66/2147483647)</x:f>
        <x:v>991.8881897637928</x:v>
      </x:c>
      <x:c r="T66" s="17" t="n">
        <x:f>IF('Control Room'!$B$5="Normal",'Control Room'!$B$7,('Control Room'!$B$8+'Control Room'!$D$8)/2)+'Control Room'!$B$9*(T65-IF('Control Room'!$B$5="Normal",'Control Room'!$B$7,('Control Room'!$B$8+'Control Room'!$D$8)/2))+SQRT(1-'Control Room'!$B$9^2)*(S66-IF('Control Room'!$B$5="Normal",'Control Room'!$B$7,('Control Room'!$B$8+'Control Room'!$D$8)/2))</x:f>
        <x:v>878.2853374727969</x:v>
      </x:c>
      <x:c r="U66" s="17" t="n">
        <x:f>IF(AND($A66&gt;='Control Room'!$A$13,$A66&lt;'Control Room'!$A$13+'Control Room'!$B$13,'Process'!BN2=1),1+('Control Room'!$C$13-1)*EXP(-0.5*(($A66-'Control Room'!$A$13-('Control Room'!$B$13-1)/2)/MAX(0.5,'Control Room'!$B$13/4))^2),1)*IF(AND($A66&gt;='Control Room'!$A$14,$A66&lt;'Control Room'!$A$14+'Control Room'!$B$14,'Process'!BN3=1),1+('Control Room'!$C$14-1)*EXP(-0.5*(($A66-'Control Room'!$A$14-('Control Room'!$B$14-1)/2)/MAX(0.5,'Control Room'!$B$14/4))^2),1)*IF(AND($A66&gt;='Control Room'!$A$15,$A66&lt;'Control Room'!$A$15+'Control Room'!$B$15,'Process'!BN4=1),1+('Control Room'!$C$15-1)*EXP(-0.5*(($A66-'Control Room'!$A$15-('Control Room'!$B$15-1)/2)/MAX(0.5,'Control Room'!$B$15/4))^2),1)*IF(AND($A66&gt;='Control Room'!$A$16,$A66&lt;'Control Room'!$A$16+'Control Room'!$B$16,'Process'!BN5=1),1+('Control Room'!$C$16-1)*EXP(-0.5*(($A66-'Control Room'!$A$16-('Control Room'!$B$16-1)/2)/MAX(0.5,'Control Room'!$B$16/4))^2),1)</x:f>
        <x:v>0.6617074213365437</x:v>
      </x:c>
      <x:c r="V66" s="9" t="n">
        <x:f>MOD(W65*16807,2147483647)</x:f>
        <x:v>1794871518</x:v>
      </x:c>
      <x:c r="W66" s="9" t="n">
        <x:f>MOD(V66*16807,2147483647)</x:f>
        <x:v>702813617</x:v>
      </x:c>
      <x:c r="X66" s="17" t="n">
        <x:f>IF('Control Room'!$B$5="Normal",'Control Room'!$B$7+'Control Room'!$D$7*SQRT(-2*LN(MAX(0.000000000001,V66/2147483647)))*COS(2*PI()*W66/2147483647),'Control Room'!$B$8+('Control Room'!$D$8-'Control Room'!$B$8)*V66/2147483647)</x:f>
        <x:v>974.8444620211835</x:v>
      </x:c>
      <x:c r="Y66" s="17" t="n">
        <x:f>IF('Control Room'!$B$5="Normal",'Control Room'!$B$7,('Control Room'!$B$8+'Control Room'!$D$8)/2)+'Control Room'!$B$9*(Y65-IF('Control Room'!$B$5="Normal",'Control Room'!$B$7,('Control Room'!$B$8+'Control Room'!$D$8)/2))+SQRT(1-'Control Room'!$B$9^2)*(X66-IF('Control Room'!$B$5="Normal",'Control Room'!$B$7,('Control Room'!$B$8+'Control Room'!$D$8)/2))</x:f>
        <x:v>1054.3634025096037</x:v>
      </x:c>
      <x:c r="Z66" s="17" t="n">
        <x:f>IF(AND($A66&gt;='Control Room'!$A$13,$A66&lt;'Control Room'!$A$13+'Control Room'!$B$13,'Process'!BO2=1),1+('Control Room'!$C$13-1)*EXP(-0.5*(($A66-'Control Room'!$A$13-('Control Room'!$B$13-1)/2)/MAX(0.5,'Control Room'!$B$13/4))^2),1)*IF(AND($A66&gt;='Control Room'!$A$14,$A66&lt;'Control Room'!$A$14+'Control Room'!$B$14,'Process'!BO3=1),1+('Control Room'!$C$14-1)*EXP(-0.5*(($A66-'Control Room'!$A$14-('Control Room'!$B$14-1)/2)/MAX(0.5,'Control Room'!$B$14/4))^2),1)*IF(AND($A66&gt;='Control Room'!$A$15,$A66&lt;'Control Room'!$A$15+'Control Room'!$B$15,'Process'!BO4=1),1+('Control Room'!$C$15-1)*EXP(-0.5*(($A66-'Control Room'!$A$15-('Control Room'!$B$15-1)/2)/MAX(0.5,'Control Room'!$B$15/4))^2),1)*IF(AND($A66&gt;='Control Room'!$A$16,$A66&lt;'Control Room'!$A$16+'Control Room'!$B$16,'Process'!BO5=1),1+('Control Room'!$C$16-1)*EXP(-0.5*(($A66-'Control Room'!$A$16-('Control Room'!$B$16-1)/2)/MAX(0.5,'Control Room'!$B$16/4))^2),1)</x:f>
        <x:v>0.6617074213365437</x:v>
      </x:c>
      <x:c r="AA66" s="9" t="n">
        <x:f>MOD(AB65*16807,2147483647)</x:f>
        <x:v>1897166477</x:v>
      </x:c>
      <x:c r="AB66" s="9" t="n">
        <x:f>MOD(AA66*16807,2147483647)</x:f>
        <x:v>1987271930</x:v>
      </x:c>
      <x:c r="AC66" s="17" t="n">
        <x:f>IF('Control Room'!$B$5="Normal",'Control Room'!$B$7+'Control Room'!$D$7*SQRT(-2*LN(MAX(0.000000000001,AA66/2147483647)))*COS(2*PI()*AB66/2147483647),'Control Room'!$B$8+('Control Room'!$D$8-'Control Room'!$B$8)*AA66/2147483647)</x:f>
        <x:v>1039.9746138907665</x:v>
      </x:c>
      <x:c r="AD66" s="17" t="n">
        <x:f>IF('Control Room'!$B$5="Normal",'Control Room'!$B$7,('Control Room'!$B$8+'Control Room'!$D$8)/2)+'Control Room'!$B$9*(AD65-IF('Control Room'!$B$5="Normal",'Control Room'!$B$7,('Control Room'!$B$8+'Control Room'!$D$8)/2))+SQRT(1-'Control Room'!$B$9^2)*(AC66-IF('Control Room'!$B$5="Normal",'Control Room'!$B$7,('Control Room'!$B$8+'Control Room'!$D$8)/2))</x:f>
        <x:v>1025.9529047948859</x:v>
      </x:c>
      <x:c r="AE66" s="17" t="n">
        <x:f>IF(AND($A66&gt;='Control Room'!$A$13,$A66&lt;'Control Room'!$A$13+'Control Room'!$B$13,'Process'!BP2=1),1+('Control Room'!$C$13-1)*EXP(-0.5*(($A66-'Control Room'!$A$13-('Control Room'!$B$13-1)/2)/MAX(0.5,'Control Room'!$B$13/4))^2),1)*IF(AND($A66&gt;='Control Room'!$A$14,$A66&lt;'Control Room'!$A$14+'Control Room'!$B$14,'Process'!BP3=1),1+('Control Room'!$C$14-1)*EXP(-0.5*(($A66-'Control Room'!$A$14-('Control Room'!$B$14-1)/2)/MAX(0.5,'Control Room'!$B$14/4))^2),1)*IF(AND($A66&gt;='Control Room'!$A$15,$A66&lt;'Control Room'!$A$15+'Control Room'!$B$15,'Process'!BP4=1),1+('Control Room'!$C$15-1)*EXP(-0.5*(($A66-'Control Room'!$A$15-('Control Room'!$B$15-1)/2)/MAX(0.5,'Control Room'!$B$15/4))^2),1)*IF(AND($A66&gt;='Control Room'!$A$16,$A66&lt;'Control Room'!$A$16+'Control Room'!$B$16,'Process'!BP5=1),1+('Control Room'!$C$16-1)*EXP(-0.5*(($A66-'Control Room'!$A$16-('Control Room'!$B$16-1)/2)/MAX(0.5,'Control Room'!$B$16/4))^2),1)</x:f>
        <x:v>1</x:v>
      </x:c>
      <x:c r="AF66" s="9" t="n">
        <x:f>MOD(AG65*16807,2147483647)</x:f>
        <x:v>1999461436</x:v>
      </x:c>
      <x:c r="AG66" s="9" t="n">
        <x:f>MOD(AF66*16807,2147483647)</x:f>
        <x:v>1124246596</x:v>
      </x:c>
      <x:c r="AH66" s="17" t="n">
        <x:f>IF('Control Room'!$B$5="Normal",'Control Room'!$B$7+'Control Room'!$D$7*SQRT(-2*LN(MAX(0.000000000001,AF66/2147483647)))*COS(2*PI()*AG66/2147483647),'Control Room'!$B$8+('Control Room'!$D$8-'Control Room'!$B$8)*AF66/2147483647)</x:f>
        <x:v>966.3561890044241</x:v>
      </x:c>
      <x:c r="AI66" s="17" t="n">
        <x:f>IF('Control Room'!$B$5="Normal",'Control Room'!$B$7,('Control Room'!$B$8+'Control Room'!$D$8)/2)+'Control Room'!$B$9*(AI65-IF('Control Room'!$B$5="Normal",'Control Room'!$B$7,('Control Room'!$B$8+'Control Room'!$D$8)/2))+SQRT(1-'Control Room'!$B$9^2)*(AH66-IF('Control Room'!$B$5="Normal",'Control Room'!$B$7,('Control Room'!$B$8+'Control Room'!$D$8)/2))</x:f>
        <x:v>1072.219618472167</x:v>
      </x:c>
      <x:c r="AJ66" s="17" t="n">
        <x:f>IF(AND($A66&gt;='Control Room'!$A$13,$A66&lt;'Control Room'!$A$13+'Control Room'!$B$13,'Process'!BQ2=1),1+('Control Room'!$C$13-1)*EXP(-0.5*(($A66-'Control Room'!$A$13-('Control Room'!$B$13-1)/2)/MAX(0.5,'Control Room'!$B$13/4))^2),1)*IF(AND($A66&gt;='Control Room'!$A$14,$A66&lt;'Control Room'!$A$14+'Control Room'!$B$14,'Process'!BQ3=1),1+('Control Room'!$C$14-1)*EXP(-0.5*(($A66-'Control Room'!$A$14-('Control Room'!$B$14-1)/2)/MAX(0.5,'Control Room'!$B$14/4))^2),1)*IF(AND($A66&gt;='Control Room'!$A$15,$A66&lt;'Control Room'!$A$15+'Control Room'!$B$15,'Process'!BQ4=1),1+('Control Room'!$C$15-1)*EXP(-0.5*(($A66-'Control Room'!$A$15-('Control Room'!$B$15-1)/2)/MAX(0.5,'Control Room'!$B$15/4))^2),1)*IF(AND($A66&gt;='Control Room'!$A$16,$A66&lt;'Control Room'!$A$16+'Control Room'!$B$16,'Process'!BQ5=1),1+('Control Room'!$C$16-1)*EXP(-0.5*(($A66-'Control Room'!$A$16-('Control Room'!$B$16-1)/2)/MAX(0.5,'Control Room'!$B$16/4))^2),1)</x:f>
        <x:v>0.6617074213365437</x:v>
      </x:c>
      <x:c r="AK66" s="9" t="n">
        <x:f>MOD(AL65*16807,2147483647)</x:f>
        <x:v>2101756395</x:v>
      </x:c>
      <x:c r="AL66" s="9" t="n">
        <x:f>MOD(AK66*16807,2147483647)</x:f>
        <x:v>261221262</x:v>
      </x:c>
      <x:c r="AM66" s="17" t="n">
        <x:f>IF('Control Room'!$B$5="Normal",'Control Room'!$B$7+'Control Room'!$D$7*SQRT(-2*LN(MAX(0.000000000001,AK66/2147483647)))*COS(2*PI()*AL66/2147483647),'Control Room'!$B$8+('Control Room'!$D$8-'Control Room'!$B$8)*AK66/2147483647)</x:f>
        <x:v>1013.479502910255</x:v>
      </x:c>
      <x:c r="AN66" s="17" t="n">
        <x:f>IF('Control Room'!$B$5="Normal",'Control Room'!$B$7,('Control Room'!$B$8+'Control Room'!$D$8)/2)+'Control Room'!$B$9*(AN65-IF('Control Room'!$B$5="Normal",'Control Room'!$B$7,('Control Room'!$B$8+'Control Room'!$D$8)/2))+SQRT(1-'Control Room'!$B$9^2)*(AM66-IF('Control Room'!$B$5="Normal",'Control Room'!$B$7,('Control Room'!$B$8+'Control Room'!$D$8)/2))</x:f>
        <x:v>1018.32835833504</x:v>
      </x:c>
      <x:c r="AO66" s="17" t="n">
        <x:f>IF(AND($A66&gt;='Control Room'!$A$13,$A66&lt;'Control Room'!$A$13+'Control Room'!$B$13,'Process'!BR2=1),1+('Control Room'!$C$13-1)*EXP(-0.5*(($A66-'Control Room'!$A$13-('Control Room'!$B$13-1)/2)/MAX(0.5,'Control Room'!$B$13/4))^2),1)*IF(AND($A66&gt;='Control Room'!$A$14,$A66&lt;'Control Room'!$A$14+'Control Room'!$B$14,'Process'!BR3=1),1+('Control Room'!$C$14-1)*EXP(-0.5*(($A66-'Control Room'!$A$14-('Control Room'!$B$14-1)/2)/MAX(0.5,'Control Room'!$B$14/4))^2),1)*IF(AND($A66&gt;='Control Room'!$A$15,$A66&lt;'Control Room'!$A$15+'Control Room'!$B$15,'Process'!BR4=1),1+('Control Room'!$C$15-1)*EXP(-0.5*(($A66-'Control Room'!$A$15-('Control Room'!$B$15-1)/2)/MAX(0.5,'Control Room'!$B$15/4))^2),1)*IF(AND($A66&gt;='Control Room'!$A$16,$A66&lt;'Control Room'!$A$16+'Control Room'!$B$16,'Process'!BR5=1),1+('Control Room'!$C$16-1)*EXP(-0.5*(($A66-'Control Room'!$A$16-('Control Room'!$B$16-1)/2)/MAX(0.5,'Control Room'!$B$16/4))^2),1)</x:f>
        <x:v>0.6617074213365437</x:v>
      </x:c>
      <x:c r="AP66" s="9" t="n">
        <x:f>MOD(AQ65*16807,2147483647)</x:f>
        <x:v>56567707</x:v>
      </x:c>
      <x:c r="AQ66" s="9" t="n">
        <x:f>MOD(AP66*16807,2147483647)</x:f>
        <x:v>1545679575</x:v>
      </x:c>
      <x:c r="AR66" s="17" t="n">
        <x:f>IF('Control Room'!$B$5="Normal",'Control Room'!$B$7+'Control Room'!$D$7*SQRT(-2*LN(MAX(0.000000000001,AP66/2147483647)))*COS(2*PI()*AQ66/2147483647),'Control Room'!$B$8+('Control Room'!$D$8-'Control Room'!$B$8)*AP66/2147483647)</x:f>
        <x:v>954.1639768809194</x:v>
      </x:c>
      <x:c r="AS66" s="17" t="n">
        <x:f>IF('Control Room'!$B$5="Normal",'Control Room'!$B$7,('Control Room'!$B$8+'Control Room'!$D$8)/2)+'Control Room'!$B$9*(AS65-IF('Control Room'!$B$5="Normal",'Control Room'!$B$7,('Control Room'!$B$8+'Control Room'!$D$8)/2))+SQRT(1-'Control Room'!$B$9^2)*(AR66-IF('Control Room'!$B$5="Normal",'Control Room'!$B$7,('Control Room'!$B$8+'Control Room'!$D$8)/2))</x:f>
        <x:v>1021.3622166477451</x:v>
      </x:c>
      <x:c r="AT66" s="17" t="n">
        <x:f>IF(AND($A66&gt;='Control Room'!$A$13,$A66&lt;'Control Room'!$A$13+'Control Room'!$B$13,'Process'!BS2=1),1+('Control Room'!$C$13-1)*EXP(-0.5*(($A66-'Control Room'!$A$13-('Control Room'!$B$13-1)/2)/MAX(0.5,'Control Room'!$B$13/4))^2),1)*IF(AND($A66&gt;='Control Room'!$A$14,$A66&lt;'Control Room'!$A$14+'Control Room'!$B$14,'Process'!BS3=1),1+('Control Room'!$C$14-1)*EXP(-0.5*(($A66-'Control Room'!$A$14-('Control Room'!$B$14-1)/2)/MAX(0.5,'Control Room'!$B$14/4))^2),1)*IF(AND($A66&gt;='Control Room'!$A$15,$A66&lt;'Control Room'!$A$15+'Control Room'!$B$15,'Process'!BS4=1),1+('Control Room'!$C$15-1)*EXP(-0.5*(($A66-'Control Room'!$A$15-('Control Room'!$B$15-1)/2)/MAX(0.5,'Control Room'!$B$15/4))^2),1)*IF(AND($A66&gt;='Control Room'!$A$16,$A66&lt;'Control Room'!$A$16+'Control Room'!$B$16,'Process'!BS5=1),1+('Control Room'!$C$16-1)*EXP(-0.5*(($A66-'Control Room'!$A$16-('Control Room'!$B$16-1)/2)/MAX(0.5,'Control Room'!$B$16/4))^2),1)</x:f>
        <x:v>0.6617074213365437</x:v>
      </x:c>
      <x:c r="AU66" s="9" t="n">
        <x:f>MOD(AV65*16807,2147483647)</x:f>
        <x:v>158862666</x:v>
      </x:c>
      <x:c r="AV66" s="9" t="n">
        <x:f>MOD(AU66*16807,2147483647)</x:f>
        <x:v>682654241</x:v>
      </x:c>
      <x:c r="AW66" s="17" t="n">
        <x:f>IF('Control Room'!$B$5="Normal",'Control Room'!$B$7+'Control Room'!$D$7*SQRT(-2*LN(MAX(0.000000000001,AU66/2147483647)))*COS(2*PI()*AV66/2147483647),'Control Room'!$B$8+('Control Room'!$D$8-'Control Room'!$B$8)*AU66/2147483647)</x:f>
        <x:v>915.0257805748194</x:v>
      </x:c>
      <x:c r="AX66" s="17" t="n">
        <x:f>IF('Control Room'!$B$5="Normal",'Control Room'!$B$7,('Control Room'!$B$8+'Control Room'!$D$8)/2)+'Control Room'!$B$9*(AX65-IF('Control Room'!$B$5="Normal",'Control Room'!$B$7,('Control Room'!$B$8+'Control Room'!$D$8)/2))+SQRT(1-'Control Room'!$B$9^2)*(AW66-IF('Control Room'!$B$5="Normal",'Control Room'!$B$7,('Control Room'!$B$8+'Control Room'!$D$8)/2))</x:f>
        <x:v>972.367146642642</x:v>
      </x:c>
      <x:c r="AY66" s="17" t="n">
        <x:f>IF(AND($A66&gt;='Control Room'!$A$13,$A66&lt;'Control Room'!$A$13+'Control Room'!$B$13,'Process'!BT2=1),1+('Control Room'!$C$13-1)*EXP(-0.5*(($A66-'Control Room'!$A$13-('Control Room'!$B$13-1)/2)/MAX(0.5,'Control Room'!$B$13/4))^2),1)*IF(AND($A66&gt;='Control Room'!$A$14,$A66&lt;'Control Room'!$A$14+'Control Room'!$B$14,'Process'!BT3=1),1+('Control Room'!$C$14-1)*EXP(-0.5*(($A66-'Control Room'!$A$14-('Control Room'!$B$14-1)/2)/MAX(0.5,'Control Room'!$B$14/4))^2),1)*IF(AND($A66&gt;='Control Room'!$A$15,$A66&lt;'Control Room'!$A$15+'Control Room'!$B$15,'Process'!BT4=1),1+('Control Room'!$C$15-1)*EXP(-0.5*(($A66-'Control Room'!$A$15-('Control Room'!$B$15-1)/2)/MAX(0.5,'Control Room'!$B$15/4))^2),1)*IF(AND($A66&gt;='Control Room'!$A$16,$A66&lt;'Control Room'!$A$16+'Control Room'!$B$16,'Process'!BT5=1),1+('Control Room'!$C$16-1)*EXP(-0.5*(($A66-'Control Room'!$A$16-('Control Room'!$B$16-1)/2)/MAX(0.5,'Control Room'!$B$16/4))^2),1)</x:f>
        <x:v>1</x:v>
      </x:c>
      <x:c r="AZ66" s="9" t="n">
        <x:f>MOD(BA65*16807,2147483647)</x:f>
        <x:v>261157625</x:v>
      </x:c>
      <x:c r="BA66" s="9" t="n">
        <x:f>MOD(AZ66*16807,2147483647)</x:f>
        <x:v>1967112554</x:v>
      </x:c>
      <x:c r="BB66" s="17" t="n">
        <x:f>IF('Control Room'!$B$5="Normal",'Control Room'!$B$7+'Control Room'!$D$7*SQRT(-2*LN(MAX(0.000000000001,AZ66/2147483647)))*COS(2*PI()*BA66/2147483647),'Control Room'!$B$8+('Control Room'!$D$8-'Control Room'!$B$8)*AZ66/2147483647)</x:f>
        <x:v>1159.6138509520276</x:v>
      </x:c>
      <x:c r="BC66" s="17" t="n">
        <x:f>IF('Control Room'!$B$5="Normal",'Control Room'!$B$7,('Control Room'!$B$8+'Control Room'!$D$8)/2)+'Control Room'!$B$9*(BC65-IF('Control Room'!$B$5="Normal",'Control Room'!$B$7,('Control Room'!$B$8+'Control Room'!$D$8)/2))+SQRT(1-'Control Room'!$B$9^2)*(BB66-IF('Control Room'!$B$5="Normal",'Control Room'!$B$7,('Control Room'!$B$8+'Control Room'!$D$8)/2))</x:f>
        <x:v>1081.393611461724</x:v>
      </x:c>
      <x:c r="BD66" s="17" t="n">
        <x:f>IF(AND($A66&gt;='Control Room'!$A$13,$A66&lt;'Control Room'!$A$13+'Control Room'!$B$13,'Process'!BU2=1),1+('Control Room'!$C$13-1)*EXP(-0.5*(($A66-'Control Room'!$A$13-('Control Room'!$B$13-1)/2)/MAX(0.5,'Control Room'!$B$13/4))^2),1)*IF(AND($A66&gt;='Control Room'!$A$14,$A66&lt;'Control Room'!$A$14+'Control Room'!$B$14,'Process'!BU3=1),1+('Control Room'!$C$14-1)*EXP(-0.5*(($A66-'Control Room'!$A$14-('Control Room'!$B$14-1)/2)/MAX(0.5,'Control Room'!$B$14/4))^2),1)*IF(AND($A66&gt;='Control Room'!$A$15,$A66&lt;'Control Room'!$A$15+'Control Room'!$B$15,'Process'!BU4=1),1+('Control Room'!$C$15-1)*EXP(-0.5*(($A66-'Control Room'!$A$15-('Control Room'!$B$15-1)/2)/MAX(0.5,'Control Room'!$B$15/4))^2),1)*IF(AND($A66&gt;='Control Room'!$A$16,$A66&lt;'Control Room'!$A$16+'Control Room'!$B$16,'Process'!BU5=1),1+('Control Room'!$C$16-1)*EXP(-0.5*(($A66-'Control Room'!$A$16-('Control Room'!$B$16-1)/2)/MAX(0.5,'Control Room'!$B$16/4))^2),1)</x:f>
        <x:v>0.6617074213365437</x:v>
      </x:c>
      <x:c r="BE66" s="9" t="n">
        <x:f>MOD(BF65*16807,2147483647)</x:f>
        <x:v>363452584</x:v>
      </x:c>
      <x:c r="BF66" s="9" t="n">
        <x:f>MOD(BE66*16807,2147483647)</x:f>
        <x:v>1104087220</x:v>
      </x:c>
      <x:c r="BG66" s="17" t="n">
        <x:f>IF('Control Room'!$B$5="Normal",'Control Room'!$B$7+'Control Room'!$D$7*SQRT(-2*LN(MAX(0.000000000001,BE66/2147483647)))*COS(2*PI()*BF66/2147483647),'Control Room'!$B$8+('Control Room'!$D$8-'Control Room'!$B$8)*BE66/2147483647)</x:f>
        <x:v>831.0281816232175</x:v>
      </x:c>
      <x:c r="BH66" s="17" t="n">
        <x:f>IF('Control Room'!$B$5="Normal",'Control Room'!$B$7,('Control Room'!$B$8+'Control Room'!$D$8)/2)+'Control Room'!$B$9*(BH65-IF('Control Room'!$B$5="Normal",'Control Room'!$B$7,('Control Room'!$B$8+'Control Room'!$D$8)/2))+SQRT(1-'Control Room'!$B$9^2)*(BG66-IF('Control Room'!$B$5="Normal",'Control Room'!$B$7,('Control Room'!$B$8+'Control Room'!$D$8)/2))</x:f>
        <x:v>908.0013222634891</x:v>
      </x:c>
      <x:c r="BI66" s="17" t="n">
        <x:f>IF(AND($A66&gt;='Control Room'!$A$13,$A66&lt;'Control Room'!$A$13+'Control Room'!$B$13,'Process'!BV2=1),1+('Control Room'!$C$13-1)*EXP(-0.5*(($A66-'Control Room'!$A$13-('Control Room'!$B$13-1)/2)/MAX(0.5,'Control Room'!$B$13/4))^2),1)*IF(AND($A66&gt;='Control Room'!$A$14,$A66&lt;'Control Room'!$A$14+'Control Room'!$B$14,'Process'!BV3=1),1+('Control Room'!$C$14-1)*EXP(-0.5*(($A66-'Control Room'!$A$14-('Control Room'!$B$14-1)/2)/MAX(0.5,'Control Room'!$B$14/4))^2),1)*IF(AND($A66&gt;='Control Room'!$A$15,$A66&lt;'Control Room'!$A$15+'Control Room'!$B$15,'Process'!BV4=1),1+('Control Room'!$C$15-1)*EXP(-0.5*(($A66-'Control Room'!$A$15-('Control Room'!$B$15-1)/2)/MAX(0.5,'Control Room'!$B$15/4))^2),1)*IF(AND($A66&gt;='Control Room'!$A$16,$A66&lt;'Control Room'!$A$16+'Control Room'!$B$16,'Process'!BV5=1),1+('Control Room'!$C$16-1)*EXP(-0.5*(($A66-'Control Room'!$A$16-('Control Room'!$B$16-1)/2)/MAX(0.5,'Control Room'!$B$16/4))^2),1)</x:f>
        <x:v>0.6617074213365437</x:v>
      </x:c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Z66" t="str">
        <x:f>IF('Data'!A66="","",TEXT('Data'!A66,"mm-dd"))</x:f>
        <x:v>01-05</x:v>
      </x:c>
    </x:row>
    <x:row r="67" ht="21" customHeight="1">
      <x:c r="A67" s="15" t="n">
        <x:f>'Control Room'!$B$1+65</x:f>
        <x:v>73056</x:v>
      </x:c>
      <x:c r="B67" s="9" t="n">
        <x:f>MOD(C66*16807,2147483647)</x:f>
        <x:v>1929865572</x:v>
      </x:c>
      <x:c r="C67" s="9" t="n">
        <x:f>MOD(B67*16807,2147483647)</x:f>
        <x:v>1805147963</x:v>
      </x:c>
      <x:c r="D67" s="17" t="n">
        <x:f>IF('Control Room'!$B$5="Normal",'Control Room'!$B$7+'Control Room'!$D$7*SQRT(-2*LN(MAX(0.000000000001,B67/2147483647)))*COS(2*PI()*C67/2147483647),'Control Room'!$B$8+('Control Room'!$D$8-'Control Room'!$B$8)*B67/2147483647)</x:f>
        <x:v>1022.4221829376357</x:v>
      </x:c>
      <x:c r="E67" s="17" t="n">
        <x:f>IF('Control Room'!$B$5="Normal",'Control Room'!$B$7,('Control Room'!$B$8+'Control Room'!$D$8)/2)+'Control Room'!$B$9*(E66-IF('Control Room'!$B$5="Normal",'Control Room'!$B$7,('Control Room'!$B$8+'Control Room'!$D$8)/2))+SQRT(1-'Control Room'!$B$9^2)*(D67-IF('Control Room'!$B$5="Normal",'Control Room'!$B$7,('Control Room'!$B$8+'Control Room'!$D$8)/2))</x:f>
        <x:v>1070.401869466195</x:v>
      </x:c>
      <x:c r="F67" s="17" t="n">
        <x:f>IF(AND($A67&gt;='Control Room'!$A$13,$A67&lt;'Control Room'!$A$13+'Control Room'!$B$13,'Process'!BK2=1),1+('Control Room'!$C$13-1)*EXP(-0.5*(($A67-'Control Room'!$A$13-('Control Room'!$B$13-1)/2)/MAX(0.5,'Control Room'!$B$13/4))^2),1)*IF(AND($A67&gt;='Control Room'!$A$14,$A67&lt;'Control Room'!$A$14+'Control Room'!$B$14,'Process'!BK3=1),1+('Control Room'!$C$14-1)*EXP(-0.5*(($A67-'Control Room'!$A$14-('Control Room'!$B$14-1)/2)/MAX(0.5,'Control Room'!$B$14/4))^2),1)*IF(AND($A67&gt;='Control Room'!$A$15,$A67&lt;'Control Room'!$A$15+'Control Room'!$B$15,'Process'!BK4=1),1+('Control Room'!$C$15-1)*EXP(-0.5*(($A67-'Control Room'!$A$15-('Control Room'!$B$15-1)/2)/MAX(0.5,'Control Room'!$B$15/4))^2),1)*IF(AND($A67&gt;='Control Room'!$A$16,$A67&lt;'Control Room'!$A$16+'Control Room'!$B$16,'Process'!BK5=1),1+('Control Room'!$C$16-1)*EXP(-0.5*(($A67-'Control Room'!$A$16-('Control Room'!$B$16-1)/2)/MAX(0.5,'Control Room'!$B$16/4))^2),1)</x:f>
        <x:v>0.4479122192305969</x:v>
      </x:c>
      <x:c r="G67" s="9" t="n">
        <x:f>MOD(H66*16807,2147483647)</x:f>
        <x:v>1167628872</x:v>
      </x:c>
      <x:c r="H67" s="9" t="n">
        <x:f>MOD(G67*16807,2147483647)</x:f>
        <x:v>632885418</x:v>
      </x:c>
      <x:c r="I67" s="17" t="n">
        <x:f>IF('Control Room'!$B$5="Normal",'Control Room'!$B$7+'Control Room'!$D$7*SQRT(-2*LN(MAX(0.000000000001,G67/2147483647)))*COS(2*PI()*H67/2147483647),'Control Room'!$B$8+('Control Room'!$D$8-'Control Room'!$B$8)*G67/2147483647)</x:f>
        <x:v>972.4551552216979</x:v>
      </x:c>
      <x:c r="J67" s="17" t="n">
        <x:f>IF('Control Room'!$B$5="Normal",'Control Room'!$B$7,('Control Room'!$B$8+'Control Room'!$D$8)/2)+'Control Room'!$B$9*(J66-IF('Control Room'!$B$5="Normal",'Control Room'!$B$7,('Control Room'!$B$8+'Control Room'!$D$8)/2))+SQRT(1-'Control Room'!$B$9^2)*(I67-IF('Control Room'!$B$5="Normal",'Control Room'!$B$7,('Control Room'!$B$8+'Control Room'!$D$8)/2))</x:f>
        <x:v>870.6148663608194</x:v>
      </x:c>
      <x:c r="K67" s="17" t="n">
        <x:f>IF(AND($A67&gt;='Control Room'!$A$13,$A67&lt;'Control Room'!$A$13+'Control Room'!$B$13,'Process'!BL2=1),1+('Control Room'!$C$13-1)*EXP(-0.5*(($A67-'Control Room'!$A$13-('Control Room'!$B$13-1)/2)/MAX(0.5,'Control Room'!$B$13/4))^2),1)*IF(AND($A67&gt;='Control Room'!$A$14,$A67&lt;'Control Room'!$A$14+'Control Room'!$B$14,'Process'!BL3=1),1+('Control Room'!$C$14-1)*EXP(-0.5*(($A67-'Control Room'!$A$14-('Control Room'!$B$14-1)/2)/MAX(0.5,'Control Room'!$B$14/4))^2),1)*IF(AND($A67&gt;='Control Room'!$A$15,$A67&lt;'Control Room'!$A$15+'Control Room'!$B$15,'Process'!BL4=1),1+('Control Room'!$C$15-1)*EXP(-0.5*(($A67-'Control Room'!$A$15-('Control Room'!$B$15-1)/2)/MAX(0.5,'Control Room'!$B$15/4))^2),1)*IF(AND($A67&gt;='Control Room'!$A$16,$A67&lt;'Control Room'!$A$16+'Control Room'!$B$16,'Process'!BL5=1),1+('Control Room'!$C$16-1)*EXP(-0.5*(($A67-'Control Room'!$A$16-('Control Room'!$B$16-1)/2)/MAX(0.5,'Control Room'!$B$16/4))^2),1)</x:f>
        <x:v>0.4479122192305969</x:v>
      </x:c>
      <x:c r="L67" s="9" t="n">
        <x:f>MOD(M66*16807,2147483647)</x:f>
        <x:v>405392172</x:v>
      </x:c>
      <x:c r="M67" s="9" t="n">
        <x:f>MOD(L67*16807,2147483647)</x:f>
        <x:v>1608106520</x:v>
      </x:c>
      <x:c r="N67" s="17" t="n">
        <x:f>IF('Control Room'!$B$5="Normal",'Control Room'!$B$7+'Control Room'!$D$7*SQRT(-2*LN(MAX(0.000000000001,L67/2147483647)))*COS(2*PI()*M67/2147483647),'Control Room'!$B$8+('Control Room'!$D$8-'Control Room'!$B$8)*L67/2147483647)</x:f>
        <x:v>998.7949211578078</x:v>
      </x:c>
      <x:c r="O67" s="17" t="n">
        <x:f>IF('Control Room'!$B$5="Normal",'Control Room'!$B$7,('Control Room'!$B$8+'Control Room'!$D$8)/2)+'Control Room'!$B$9*(O66-IF('Control Room'!$B$5="Normal",'Control Room'!$B$7,('Control Room'!$B$8+'Control Room'!$D$8)/2))+SQRT(1-'Control Room'!$B$9^2)*(N67-IF('Control Room'!$B$5="Normal",'Control Room'!$B$7,('Control Room'!$B$8+'Control Room'!$D$8)/2))</x:f>
        <x:v>1099.1391964966936</x:v>
      </x:c>
      <x:c r="P67" s="17" t="n">
        <x:f>IF(AND($A67&gt;='Control Room'!$A$13,$A67&lt;'Control Room'!$A$13+'Control Room'!$B$13,'Process'!BM2=1),1+('Control Room'!$C$13-1)*EXP(-0.5*(($A67-'Control Room'!$A$13-('Control Room'!$B$13-1)/2)/MAX(0.5,'Control Room'!$B$13/4))^2),1)*IF(AND($A67&gt;='Control Room'!$A$14,$A67&lt;'Control Room'!$A$14+'Control Room'!$B$14,'Process'!BM3=1),1+('Control Room'!$C$14-1)*EXP(-0.5*(($A67-'Control Room'!$A$14-('Control Room'!$B$14-1)/2)/MAX(0.5,'Control Room'!$B$14/4))^2),1)*IF(AND($A67&gt;='Control Room'!$A$15,$A67&lt;'Control Room'!$A$15+'Control Room'!$B$15,'Process'!BM4=1),1+('Control Room'!$C$15-1)*EXP(-0.5*(($A67-'Control Room'!$A$15-('Control Room'!$B$15-1)/2)/MAX(0.5,'Control Room'!$B$15/4))^2),1)*IF(AND($A67&gt;='Control Room'!$A$16,$A67&lt;'Control Room'!$A$16+'Control Room'!$B$16,'Process'!BM5=1),1+('Control Room'!$C$16-1)*EXP(-0.5*(($A67-'Control Room'!$A$16-('Control Room'!$B$16-1)/2)/MAX(0.5,'Control Room'!$B$16/4))^2),1)</x:f>
        <x:v>1</x:v>
      </x:c>
      <x:c r="Q67" s="9" t="n">
        <x:f>MOD(R66*16807,2147483647)</x:f>
        <x:v>1790639119</x:v>
      </x:c>
      <x:c r="R67" s="9" t="n">
        <x:f>MOD(Q67*16807,2147483647)</x:f>
        <x:v>435843975</x:v>
      </x:c>
      <x:c r="S67" s="17" t="n">
        <x:f>IF('Control Room'!$B$5="Normal",'Control Room'!$B$7+'Control Room'!$D$7*SQRT(-2*LN(MAX(0.000000000001,Q67/2147483647)))*COS(2*PI()*R67/2147483647),'Control Room'!$B$8+('Control Room'!$D$8-'Control Room'!$B$8)*Q67/2147483647)</x:f>
        <x:v>1015.8055012951554</x:v>
      </x:c>
      <x:c r="T67" s="17" t="n">
        <x:f>IF('Control Room'!$B$5="Normal",'Control Room'!$B$7,('Control Room'!$B$8+'Control Room'!$D$8)/2)+'Control Room'!$B$9*(T66-IF('Control Room'!$B$5="Normal",'Control Room'!$B$7,('Control Room'!$B$8+'Control Room'!$D$8)/2))+SQRT(1-'Control Room'!$B$9^2)*(S67-IF('Control Room'!$B$5="Normal",'Control Room'!$B$7,('Control Room'!$B$8+'Control Room'!$D$8)/2))</x:f>
        <x:v>914.953322145996</x:v>
      </x:c>
      <x:c r="U67" s="17" t="n">
        <x:f>IF(AND($A67&gt;='Control Room'!$A$13,$A67&lt;'Control Room'!$A$13+'Control Room'!$B$13,'Process'!BN2=1),1+('Control Room'!$C$13-1)*EXP(-0.5*(($A67-'Control Room'!$A$13-('Control Room'!$B$13-1)/2)/MAX(0.5,'Control Room'!$B$13/4))^2),1)*IF(AND($A67&gt;='Control Room'!$A$14,$A67&lt;'Control Room'!$A$14+'Control Room'!$B$14,'Process'!BN3=1),1+('Control Room'!$C$14-1)*EXP(-0.5*(($A67-'Control Room'!$A$14-('Control Room'!$B$14-1)/2)/MAX(0.5,'Control Room'!$B$14/4))^2),1)*IF(AND($A67&gt;='Control Room'!$A$15,$A67&lt;'Control Room'!$A$15+'Control Room'!$B$15,'Process'!BN4=1),1+('Control Room'!$C$15-1)*EXP(-0.5*(($A67-'Control Room'!$A$15-('Control Room'!$B$15-1)/2)/MAX(0.5,'Control Room'!$B$15/4))^2),1)*IF(AND($A67&gt;='Control Room'!$A$16,$A67&lt;'Control Room'!$A$16+'Control Room'!$B$16,'Process'!BN5=1),1+('Control Room'!$C$16-1)*EXP(-0.5*(($A67-'Control Room'!$A$16-('Control Room'!$B$16-1)/2)/MAX(0.5,'Control Room'!$B$16/4))^2),1)</x:f>
        <x:v>0.4479122192305969</x:v>
      </x:c>
      <x:c r="V67" s="9" t="n">
        <x:f>MOD(W66*16807,2147483647)</x:f>
        <x:v>1028402419</x:v>
      </x:c>
      <x:c r="W67" s="9" t="n">
        <x:f>MOD(V67*16807,2147483647)</x:f>
        <x:v>1411065077</x:v>
      </x:c>
      <x:c r="X67" s="17" t="n">
        <x:f>IF('Control Room'!$B$5="Normal",'Control Room'!$B$7+'Control Room'!$D$7*SQRT(-2*LN(MAX(0.000000000001,V67/2147483647)))*COS(2*PI()*W67/2147483647),'Control Room'!$B$8+('Control Room'!$D$8-'Control Room'!$B$8)*V67/2147483647)</x:f>
        <x:v>939.796902757321</x:v>
      </x:c>
      <x:c r="Y67" s="17" t="n">
        <x:f>IF('Control Room'!$B$5="Normal",'Control Room'!$B$7,('Control Room'!$B$8+'Control Room'!$D$8)/2)+'Control Room'!$B$9*(Y66-IF('Control Room'!$B$5="Normal",'Control Room'!$B$7,('Control Room'!$B$8+'Control Room'!$D$8)/2))+SQRT(1-'Control Room'!$B$9^2)*(X67-IF('Control Room'!$B$5="Normal",'Control Room'!$B$7,('Control Room'!$B$8+'Control Room'!$D$8)/2))</x:f>
        <x:v>1004.7295890305068</x:v>
      </x:c>
      <x:c r="Z67" s="17" t="n">
        <x:f>IF(AND($A67&gt;='Control Room'!$A$13,$A67&lt;'Control Room'!$A$13+'Control Room'!$B$13,'Process'!BO2=1),1+('Control Room'!$C$13-1)*EXP(-0.5*(($A67-'Control Room'!$A$13-('Control Room'!$B$13-1)/2)/MAX(0.5,'Control Room'!$B$13/4))^2),1)*IF(AND($A67&gt;='Control Room'!$A$14,$A67&lt;'Control Room'!$A$14+'Control Room'!$B$14,'Process'!BO3=1),1+('Control Room'!$C$14-1)*EXP(-0.5*(($A67-'Control Room'!$A$14-('Control Room'!$B$14-1)/2)/MAX(0.5,'Control Room'!$B$14/4))^2),1)*IF(AND($A67&gt;='Control Room'!$A$15,$A67&lt;'Control Room'!$A$15+'Control Room'!$B$15,'Process'!BO4=1),1+('Control Room'!$C$15-1)*EXP(-0.5*(($A67-'Control Room'!$A$15-('Control Room'!$B$15-1)/2)/MAX(0.5,'Control Room'!$B$15/4))^2),1)*IF(AND($A67&gt;='Control Room'!$A$16,$A67&lt;'Control Room'!$A$16+'Control Room'!$B$16,'Process'!BO5=1),1+('Control Room'!$C$16-1)*EXP(-0.5*(($A67-'Control Room'!$A$16-('Control Room'!$B$16-1)/2)/MAX(0.5,'Control Room'!$B$16/4))^2),1)</x:f>
        <x:v>0.4479122192305969</x:v>
      </x:c>
      <x:c r="AA67" s="9" t="n">
        <x:f>MOD(AB66*16807,2147483647)</x:f>
        <x:v>266165719</x:v>
      </x:c>
      <x:c r="AB67" s="9" t="n">
        <x:f>MOD(AA67*16807,2147483647)</x:f>
        <x:v>238802532</x:v>
      </x:c>
      <x:c r="AC67" s="17" t="n">
        <x:f>IF('Control Room'!$B$5="Normal",'Control Room'!$B$7+'Control Room'!$D$7*SQRT(-2*LN(MAX(0.000000000001,AA67/2147483647)))*COS(2*PI()*AB67/2147483647),'Control Room'!$B$8+('Control Room'!$D$8-'Control Room'!$B$8)*AA67/2147483647)</x:f>
        <x:v>1140.8197574154406</x:v>
      </x:c>
      <x:c r="AD67" s="17" t="n">
        <x:f>IF('Control Room'!$B$5="Normal",'Control Room'!$B$7,('Control Room'!$B$8+'Control Room'!$D$8)/2)+'Control Room'!$B$9*(AD66-IF('Control Room'!$B$5="Normal",'Control Room'!$B$7,('Control Room'!$B$8+'Control Room'!$D$8)/2))+SQRT(1-'Control Room'!$B$9^2)*(AC67-IF('Control Room'!$B$5="Normal",'Control Room'!$B$7,('Control Room'!$B$8+'Control Room'!$D$8)/2))</x:f>
        <x:v>1108.3653850810574</x:v>
      </x:c>
      <x:c r="AE67" s="17" t="n">
        <x:f>IF(AND($A67&gt;='Control Room'!$A$13,$A67&lt;'Control Room'!$A$13+'Control Room'!$B$13,'Process'!BP2=1),1+('Control Room'!$C$13-1)*EXP(-0.5*(($A67-'Control Room'!$A$13-('Control Room'!$B$13-1)/2)/MAX(0.5,'Control Room'!$B$13/4))^2),1)*IF(AND($A67&gt;='Control Room'!$A$14,$A67&lt;'Control Room'!$A$14+'Control Room'!$B$14,'Process'!BP3=1),1+('Control Room'!$C$14-1)*EXP(-0.5*(($A67-'Control Room'!$A$14-('Control Room'!$B$14-1)/2)/MAX(0.5,'Control Room'!$B$14/4))^2),1)*IF(AND($A67&gt;='Control Room'!$A$15,$A67&lt;'Control Room'!$A$15+'Control Room'!$B$15,'Process'!BP4=1),1+('Control Room'!$C$15-1)*EXP(-0.5*(($A67-'Control Room'!$A$15-('Control Room'!$B$15-1)/2)/MAX(0.5,'Control Room'!$B$15/4))^2),1)*IF(AND($A67&gt;='Control Room'!$A$16,$A67&lt;'Control Room'!$A$16+'Control Room'!$B$16,'Process'!BP5=1),1+('Control Room'!$C$16-1)*EXP(-0.5*(($A67-'Control Room'!$A$16-('Control Room'!$B$16-1)/2)/MAX(0.5,'Control Room'!$B$16/4))^2),1)</x:f>
        <x:v>1</x:v>
      </x:c>
      <x:c r="AF67" s="9" t="n">
        <x:f>MOD(AG66*16807,2147483647)</x:f>
        <x:v>1651412666</x:v>
      </x:c>
      <x:c r="AG67" s="9" t="n">
        <x:f>MOD(AF67*16807,2147483647)</x:f>
        <x:v>1214023634</x:v>
      </x:c>
      <x:c r="AH67" s="17" t="n">
        <x:f>IF('Control Room'!$B$5="Normal",'Control Room'!$B$7+'Control Room'!$D$7*SQRT(-2*LN(MAX(0.000000000001,AF67/2147483647)))*COS(2*PI()*AG67/2147483647),'Control Room'!$B$8+('Control Room'!$D$8-'Control Room'!$B$8)*AF67/2147483647)</x:f>
        <x:v>940.186072505155</x:v>
      </x:c>
      <x:c r="AI67" s="17" t="n">
        <x:f>IF('Control Room'!$B$5="Normal",'Control Room'!$B$7,('Control Room'!$B$8+'Control Room'!$D$8)/2)+'Control Room'!$B$9*(AI66-IF('Control Room'!$B$5="Normal",'Control Room'!$B$7,('Control Room'!$B$8+'Control Room'!$D$8)/2))+SQRT(1-'Control Room'!$B$9^2)*(AH67-IF('Control Room'!$B$5="Normal",'Control Room'!$B$7,('Control Room'!$B$8+'Control Room'!$D$8)/2))</x:f>
        <x:v>1018.9009719369249</x:v>
      </x:c>
      <x:c r="AJ67" s="17" t="n">
        <x:f>IF(AND($A67&gt;='Control Room'!$A$13,$A67&lt;'Control Room'!$A$13+'Control Room'!$B$13,'Process'!BQ2=1),1+('Control Room'!$C$13-1)*EXP(-0.5*(($A67-'Control Room'!$A$13-('Control Room'!$B$13-1)/2)/MAX(0.5,'Control Room'!$B$13/4))^2),1)*IF(AND($A67&gt;='Control Room'!$A$14,$A67&lt;'Control Room'!$A$14+'Control Room'!$B$14,'Process'!BQ3=1),1+('Control Room'!$C$14-1)*EXP(-0.5*(($A67-'Control Room'!$A$14-('Control Room'!$B$14-1)/2)/MAX(0.5,'Control Room'!$B$14/4))^2),1)*IF(AND($A67&gt;='Control Room'!$A$15,$A67&lt;'Control Room'!$A$15+'Control Room'!$B$15,'Process'!BQ4=1),1+('Control Room'!$C$15-1)*EXP(-0.5*(($A67-'Control Room'!$A$15-('Control Room'!$B$15-1)/2)/MAX(0.5,'Control Room'!$B$15/4))^2),1)*IF(AND($A67&gt;='Control Room'!$A$16,$A67&lt;'Control Room'!$A$16+'Control Room'!$B$16,'Process'!BQ5=1),1+('Control Room'!$C$16-1)*EXP(-0.5*(($A67-'Control Room'!$A$16-('Control Room'!$B$16-1)/2)/MAX(0.5,'Control Room'!$B$16/4))^2),1)</x:f>
        <x:v>0.4479122192305969</x:v>
      </x:c>
      <x:c r="AK67" s="9" t="n">
        <x:f>MOD(AL66*16807,2147483647)</x:f>
        <x:v>889175966</x:v>
      </x:c>
      <x:c r="AL67" s="9" t="n">
        <x:f>MOD(AK67*16807,2147483647)</x:f>
        <x:v>41761089</x:v>
      </x:c>
      <x:c r="AM67" s="17" t="n">
        <x:f>IF('Control Room'!$B$5="Normal",'Control Room'!$B$7+'Control Room'!$D$7*SQRT(-2*LN(MAX(0.000000000001,AK67/2147483647)))*COS(2*PI()*AL67/2147483647),'Control Room'!$B$8+('Control Room'!$D$8-'Control Room'!$B$8)*AK67/2147483647)</x:f>
        <x:v>1118.6265638574462</x:v>
      </x:c>
      <x:c r="AN67" s="17" t="n">
        <x:f>IF('Control Room'!$B$5="Normal",'Control Room'!$B$7,('Control Room'!$B$8+'Control Room'!$D$8)/2)+'Control Room'!$B$9*(AN66-IF('Control Room'!$B$5="Normal",'Control Room'!$B$7,('Control Room'!$B$8+'Control Room'!$D$8)/2))+SQRT(1-'Control Room'!$B$9^2)*(AM67-IF('Control Room'!$B$5="Normal",'Control Room'!$B$7,('Control Room'!$B$8+'Control Room'!$D$8)/2))</x:f>
        <x:v>1088.5301929660675</x:v>
      </x:c>
      <x:c r="AO67" s="17" t="n">
        <x:f>IF(AND($A67&gt;='Control Room'!$A$13,$A67&lt;'Control Room'!$A$13+'Control Room'!$B$13,'Process'!BR2=1),1+('Control Room'!$C$13-1)*EXP(-0.5*(($A67-'Control Room'!$A$13-('Control Room'!$B$13-1)/2)/MAX(0.5,'Control Room'!$B$13/4))^2),1)*IF(AND($A67&gt;='Control Room'!$A$14,$A67&lt;'Control Room'!$A$14+'Control Room'!$B$14,'Process'!BR3=1),1+('Control Room'!$C$14-1)*EXP(-0.5*(($A67-'Control Room'!$A$14-('Control Room'!$B$14-1)/2)/MAX(0.5,'Control Room'!$B$14/4))^2),1)*IF(AND($A67&gt;='Control Room'!$A$15,$A67&lt;'Control Room'!$A$15+'Control Room'!$B$15,'Process'!BR4=1),1+('Control Room'!$C$15-1)*EXP(-0.5*(($A67-'Control Room'!$A$15-('Control Room'!$B$15-1)/2)/MAX(0.5,'Control Room'!$B$15/4))^2),1)*IF(AND($A67&gt;='Control Room'!$A$16,$A67&lt;'Control Room'!$A$16+'Control Room'!$B$16,'Process'!BR5=1),1+('Control Room'!$C$16-1)*EXP(-0.5*(($A67-'Control Room'!$A$16-('Control Room'!$B$16-1)/2)/MAX(0.5,'Control Room'!$B$16/4))^2),1)</x:f>
        <x:v>0.4479122192305969</x:v>
      </x:c>
      <x:c r="AP67" s="9" t="n">
        <x:f>MOD(AQ66*16807,2147483647)</x:f>
        <x:v>126939266</x:v>
      </x:c>
      <x:c r="AQ67" s="9" t="n">
        <x:f>MOD(AP67*16807,2147483647)</x:f>
        <x:v>1016982191</x:v>
      </x:c>
      <x:c r="AR67" s="17" t="n">
        <x:f>IF('Control Room'!$B$5="Normal",'Control Room'!$B$7+'Control Room'!$D$7*SQRT(-2*LN(MAX(0.000000000001,AP67/2147483647)))*COS(2*PI()*AQ67/2147483647),'Control Room'!$B$8+('Control Room'!$D$8-'Control Room'!$B$8)*AP67/2147483647)</x:f>
        <x:v>788.890817711444</x:v>
      </x:c>
      <x:c r="AS67" s="17" t="n">
        <x:f>IF('Control Room'!$B$5="Normal",'Control Room'!$B$7,('Control Room'!$B$8+'Control Room'!$D$8)/2)+'Control Room'!$B$9*(AS66-IF('Control Room'!$B$5="Normal",'Control Room'!$B$7,('Control Room'!$B$8+'Control Room'!$D$8)/2))+SQRT(1-'Control Room'!$B$9^2)*(AR67-IF('Control Room'!$B$5="Normal",'Control Room'!$B$7,('Control Room'!$B$8+'Control Room'!$D$8)/2))</x:f>
        <x:v>884.5547275157362</x:v>
      </x:c>
      <x:c r="AT67" s="17" t="n">
        <x:f>IF(AND($A67&gt;='Control Room'!$A$13,$A67&lt;'Control Room'!$A$13+'Control Room'!$B$13,'Process'!BS2=1),1+('Control Room'!$C$13-1)*EXP(-0.5*(($A67-'Control Room'!$A$13-('Control Room'!$B$13-1)/2)/MAX(0.5,'Control Room'!$B$13/4))^2),1)*IF(AND($A67&gt;='Control Room'!$A$14,$A67&lt;'Control Room'!$A$14+'Control Room'!$B$14,'Process'!BS3=1),1+('Control Room'!$C$14-1)*EXP(-0.5*(($A67-'Control Room'!$A$14-('Control Room'!$B$14-1)/2)/MAX(0.5,'Control Room'!$B$14/4))^2),1)*IF(AND($A67&gt;='Control Room'!$A$15,$A67&lt;'Control Room'!$A$15+'Control Room'!$B$15,'Process'!BS4=1),1+('Control Room'!$C$15-1)*EXP(-0.5*(($A67-'Control Room'!$A$15-('Control Room'!$B$15-1)/2)/MAX(0.5,'Control Room'!$B$15/4))^2),1)*IF(AND($A67&gt;='Control Room'!$A$16,$A67&lt;'Control Room'!$A$16+'Control Room'!$B$16,'Process'!BS5=1),1+('Control Room'!$C$16-1)*EXP(-0.5*(($A67-'Control Room'!$A$16-('Control Room'!$B$16-1)/2)/MAX(0.5,'Control Room'!$B$16/4))^2),1)</x:f>
        <x:v>0.4479122192305969</x:v>
      </x:c>
      <x:c r="AU67" s="9" t="n">
        <x:f>MOD(AV66*16807,2147483647)</x:f>
        <x:v>1512186213</x:v>
      </x:c>
      <x:c r="AV67" s="9" t="n">
        <x:f>MOD(AU67*16807,2147483647)</x:f>
        <x:v>1992203293</x:v>
      </x:c>
      <x:c r="AW67" s="17" t="n">
        <x:f>IF('Control Room'!$B$5="Normal",'Control Room'!$B$7+'Control Room'!$D$7*SQRT(-2*LN(MAX(0.000000000001,AU67/2147483647)))*COS(2*PI()*AV67/2147483647),'Control Room'!$B$8+('Control Room'!$D$8-'Control Room'!$B$8)*AU67/2147483647)</x:f>
        <x:v>1067.7323655016573</x:v>
      </x:c>
      <x:c r="AX67" s="17" t="n">
        <x:f>IF('Control Room'!$B$5="Normal",'Control Room'!$B$7,('Control Room'!$B$8+'Control Room'!$D$8)/2)+'Control Room'!$B$9*(AX66-IF('Control Room'!$B$5="Normal",'Control Room'!$B$7,('Control Room'!$B$8+'Control Room'!$D$8)/2))+SQRT(1-'Control Room'!$B$9^2)*(AW67-IF('Control Room'!$B$5="Normal",'Control Room'!$B$7,('Control Room'!$B$8+'Control Room'!$D$8)/2))</x:f>
        <x:v>1020.8319011392693</x:v>
      </x:c>
      <x:c r="AY67" s="17" t="n">
        <x:f>IF(AND($A67&gt;='Control Room'!$A$13,$A67&lt;'Control Room'!$A$13+'Control Room'!$B$13,'Process'!BT2=1),1+('Control Room'!$C$13-1)*EXP(-0.5*(($A67-'Control Room'!$A$13-('Control Room'!$B$13-1)/2)/MAX(0.5,'Control Room'!$B$13/4))^2),1)*IF(AND($A67&gt;='Control Room'!$A$14,$A67&lt;'Control Room'!$A$14+'Control Room'!$B$14,'Process'!BT3=1),1+('Control Room'!$C$14-1)*EXP(-0.5*(($A67-'Control Room'!$A$14-('Control Room'!$B$14-1)/2)/MAX(0.5,'Control Room'!$B$14/4))^2),1)*IF(AND($A67&gt;='Control Room'!$A$15,$A67&lt;'Control Room'!$A$15+'Control Room'!$B$15,'Process'!BT4=1),1+('Control Room'!$C$15-1)*EXP(-0.5*(($A67-'Control Room'!$A$15-('Control Room'!$B$15-1)/2)/MAX(0.5,'Control Room'!$B$15/4))^2),1)*IF(AND($A67&gt;='Control Room'!$A$16,$A67&lt;'Control Room'!$A$16+'Control Room'!$B$16,'Process'!BT5=1),1+('Control Room'!$C$16-1)*EXP(-0.5*(($A67-'Control Room'!$A$16-('Control Room'!$B$16-1)/2)/MAX(0.5,'Control Room'!$B$16/4))^2),1)</x:f>
        <x:v>1</x:v>
      </x:c>
      <x:c r="AZ67" s="9" t="n">
        <x:f>MOD(BA66*16807,2147483647)</x:f>
        <x:v>749949513</x:v>
      </x:c>
      <x:c r="BA67" s="9" t="n">
        <x:f>MOD(AZ67*16807,2147483647)</x:f>
        <x:v>819940748</x:v>
      </x:c>
      <x:c r="BB67" s="17" t="n">
        <x:f>IF('Control Room'!$B$5="Normal",'Control Room'!$B$7+'Control Room'!$D$7*SQRT(-2*LN(MAX(0.000000000001,AZ67/2147483647)))*COS(2*PI()*BA67/2147483647),'Control Room'!$B$8+('Control Room'!$D$8-'Control Room'!$B$8)*AZ67/2147483647)</x:f>
        <x:v>903.8208323466927</x:v>
      </x:c>
      <x:c r="BC67" s="17" t="n">
        <x:f>IF('Control Room'!$B$5="Normal",'Control Room'!$B$7,('Control Room'!$B$8+'Control Room'!$D$8)/2)+'Control Room'!$B$9*(BC66-IF('Control Room'!$B$5="Normal",'Control Room'!$B$7,('Control Room'!$B$8+'Control Room'!$D$8)/2))+SQRT(1-'Control Room'!$B$9^2)*(BB67-IF('Control Room'!$B$5="Normal",'Control Room'!$B$7,('Control Room'!$B$8+'Control Room'!$D$8)/2))</x:f>
        <x:v>1003.3000641600518</x:v>
      </x:c>
      <x:c r="BD67" s="17" t="n">
        <x:f>IF(AND($A67&gt;='Control Room'!$A$13,$A67&lt;'Control Room'!$A$13+'Control Room'!$B$13,'Process'!BU2=1),1+('Control Room'!$C$13-1)*EXP(-0.5*(($A67-'Control Room'!$A$13-('Control Room'!$B$13-1)/2)/MAX(0.5,'Control Room'!$B$13/4))^2),1)*IF(AND($A67&gt;='Control Room'!$A$14,$A67&lt;'Control Room'!$A$14+'Control Room'!$B$14,'Process'!BU3=1),1+('Control Room'!$C$14-1)*EXP(-0.5*(($A67-'Control Room'!$A$14-('Control Room'!$B$14-1)/2)/MAX(0.5,'Control Room'!$B$14/4))^2),1)*IF(AND($A67&gt;='Control Room'!$A$15,$A67&lt;'Control Room'!$A$15+'Control Room'!$B$15,'Process'!BU4=1),1+('Control Room'!$C$15-1)*EXP(-0.5*(($A67-'Control Room'!$A$15-('Control Room'!$B$15-1)/2)/MAX(0.5,'Control Room'!$B$15/4))^2),1)*IF(AND($A67&gt;='Control Room'!$A$16,$A67&lt;'Control Room'!$A$16+'Control Room'!$B$16,'Process'!BU5=1),1+('Control Room'!$C$16-1)*EXP(-0.5*(($A67-'Control Room'!$A$16-('Control Room'!$B$16-1)/2)/MAX(0.5,'Control Room'!$B$16/4))^2),1)</x:f>
        <x:v>0.4479122192305969</x:v>
      </x:c>
      <x:c r="BE67" s="9" t="n">
        <x:f>MOD(BF66*16807,2147483647)</x:f>
        <x:v>2135196460</x:v>
      </x:c>
      <x:c r="BF67" s="9" t="n">
        <x:f>MOD(BE67*16807,2147483647)</x:f>
        <x:v>1795161850</x:v>
      </x:c>
      <x:c r="BG67" s="17" t="n">
        <x:f>IF('Control Room'!$B$5="Normal",'Control Room'!$B$7+'Control Room'!$D$7*SQRT(-2*LN(MAX(0.000000000001,BE67/2147483647)))*COS(2*PI()*BF67/2147483647),'Control Room'!$B$8+('Control Room'!$D$8-'Control Room'!$B$8)*BE67/2147483647)</x:f>
        <x:v>1004.9566800357726</x:v>
      </x:c>
      <x:c r="BH67" s="17" t="n">
        <x:f>IF('Control Room'!$B$5="Normal",'Control Room'!$B$7,('Control Room'!$B$8+'Control Room'!$D$8)/2)+'Control Room'!$B$9*(BH66-IF('Control Room'!$B$5="Normal",'Control Room'!$B$7,('Control Room'!$B$8+'Control Room'!$D$8)/2))+SQRT(1-'Control Room'!$B$9^2)*(BG67-IF('Control Room'!$B$5="Normal",'Control Room'!$B$7,('Control Room'!$B$8+'Control Room'!$D$8)/2))</x:f>
        <x:v>931.3428201887981</x:v>
      </x:c>
      <x:c r="BI67" s="17" t="n">
        <x:f>IF(AND($A67&gt;='Control Room'!$A$13,$A67&lt;'Control Room'!$A$13+'Control Room'!$B$13,'Process'!BV2=1),1+('Control Room'!$C$13-1)*EXP(-0.5*(($A67-'Control Room'!$A$13-('Control Room'!$B$13-1)/2)/MAX(0.5,'Control Room'!$B$13/4))^2),1)*IF(AND($A67&gt;='Control Room'!$A$14,$A67&lt;'Control Room'!$A$14+'Control Room'!$B$14,'Process'!BV3=1),1+('Control Room'!$C$14-1)*EXP(-0.5*(($A67-'Control Room'!$A$14-('Control Room'!$B$14-1)/2)/MAX(0.5,'Control Room'!$B$14/4))^2),1)*IF(AND($A67&gt;='Control Room'!$A$15,$A67&lt;'Control Room'!$A$15+'Control Room'!$B$15,'Process'!BV4=1),1+('Control Room'!$C$15-1)*EXP(-0.5*(($A67-'Control Room'!$A$15-('Control Room'!$B$15-1)/2)/MAX(0.5,'Control Room'!$B$15/4))^2),1)*IF(AND($A67&gt;='Control Room'!$A$16,$A67&lt;'Control Room'!$A$16+'Control Room'!$B$16,'Process'!BV5=1),1+('Control Room'!$C$16-1)*EXP(-0.5*(($A67-'Control Room'!$A$16-('Control Room'!$B$16-1)/2)/MAX(0.5,'Control Room'!$B$16/4))^2),1)</x:f>
        <x:v>0.4479122192305969</x:v>
      </x:c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Z67" t="str">
        <x:f>IF('Data'!A67="","",TEXT('Data'!A67,"mm-dd"))</x:f>
        <x:v>01-06</x:v>
      </x:c>
    </x:row>
    <x:row r="68" ht="21" customHeight="1">
      <x:c r="A68" s="15" t="n">
        <x:f>'Control Room'!$B$1+66</x:f>
        <x:v>73057</x:v>
      </x:c>
      <x:c r="B68" s="9" t="n">
        <x:f>MOD(C67*16807,2147483647)</x:f>
        <x:v>1620332972</x:v>
      </x:c>
      <x:c r="C68" s="9" t="n">
        <x:f>MOD(B68*16807,2147483647)</x:f>
        <x:v>696132797</x:v>
      </x:c>
      <x:c r="D68" s="17" t="n">
        <x:f>IF('Control Room'!$B$5="Normal",'Control Room'!$B$7+'Control Room'!$D$7*SQRT(-2*LN(MAX(0.000000000001,B68/2147483647)))*COS(2*PI()*C68/2147483647),'Control Room'!$B$8+('Control Room'!$D$8-'Control Room'!$B$8)*B68/2147483647)</x:f>
        <x:v>969.6503283490983</x:v>
      </x:c>
      <x:c r="E68" s="17" t="n">
        <x:f>IF('Control Room'!$B$5="Normal",'Control Room'!$B$7,('Control Room'!$B$8+'Control Room'!$D$8)/2)+'Control Room'!$B$9*(E67-IF('Control Room'!$B$5="Normal",'Control Room'!$B$7,('Control Room'!$B$8+'Control Room'!$D$8)/2))+SQRT(1-'Control Room'!$B$9^2)*(D68-IF('Control Room'!$B$5="Normal",'Control Room'!$B$7,('Control Room'!$B$8+'Control Room'!$D$8)/2))</x:f>
        <x:v>1035.9212554113165</x:v>
      </x:c>
      <x:c r="F68" s="17" t="n">
        <x:f>IF(AND($A68&gt;='Control Room'!$A$13,$A68&lt;'Control Room'!$A$13+'Control Room'!$B$13,'Process'!BK2=1),1+('Control Room'!$C$13-1)*EXP(-0.5*(($A68-'Control Room'!$A$13-('Control Room'!$B$13-1)/2)/MAX(0.5,'Control Room'!$B$13/4))^2),1)*IF(AND($A68&gt;='Control Room'!$A$14,$A68&lt;'Control Room'!$A$14+'Control Room'!$B$14,'Process'!BK3=1),1+('Control Room'!$C$14-1)*EXP(-0.5*(($A68-'Control Room'!$A$14-('Control Room'!$B$14-1)/2)/MAX(0.5,'Control Room'!$B$14/4))^2),1)*IF(AND($A68&gt;='Control Room'!$A$15,$A68&lt;'Control Room'!$A$15+'Control Room'!$B$15,'Process'!BK4=1),1+('Control Room'!$C$15-1)*EXP(-0.5*(($A68-'Control Room'!$A$15-('Control Room'!$B$15-1)/2)/MAX(0.5,'Control Room'!$B$15/4))^2),1)*IF(AND($A68&gt;='Control Room'!$A$16,$A68&lt;'Control Room'!$A$16+'Control Room'!$B$16,'Process'!BK5=1),1+('Control Room'!$C$16-1)*EXP(-0.5*(($A68-'Control Room'!$A$16-('Control Room'!$B$16-1)/2)/MAX(0.5,'Control Room'!$B$16/4))^2),1)</x:f>
        <x:v>0.35</x:v>
      </x:c>
      <x:c r="G68" s="9" t="n">
        <x:f>MOD(H67*16807,2147483647)</x:f>
        <x:v>418716735</x:v>
      </x:c>
      <x:c r="H68" s="9" t="n">
        <x:f>MOD(G68*16807,2147483647)</x:f>
        <x:v>68253926</x:v>
      </x:c>
      <x:c r="I68" s="17" t="n">
        <x:f>IF('Control Room'!$B$5="Normal",'Control Room'!$B$7+'Control Room'!$D$7*SQRT(-2*LN(MAX(0.000000000001,G68/2147483647)))*COS(2*PI()*H68/2147483647),'Control Room'!$B$8+('Control Room'!$D$8-'Control Room'!$B$8)*G68/2147483647)</x:f>
        <x:v>1159.5068844935531</x:v>
      </x:c>
      <x:c r="J68" s="17" t="n">
        <x:f>IF('Control Room'!$B$5="Normal",'Control Room'!$B$7,('Control Room'!$B$8+'Control Room'!$D$8)/2)+'Control Room'!$B$9*(J67-IF('Control Room'!$B$5="Normal",'Control Room'!$B$7,('Control Room'!$B$8+'Control Room'!$D$8)/2))+SQRT(1-'Control Room'!$B$9^2)*(I68-IF('Control Room'!$B$5="Normal",'Control Room'!$B$7,('Control Room'!$B$8+'Control Room'!$D$8)/2))</x:f>
        <x:v>998.8957364013618</x:v>
      </x:c>
      <x:c r="K68" s="17" t="n">
        <x:f>IF(AND($A68&gt;='Control Room'!$A$13,$A68&lt;'Control Room'!$A$13+'Control Room'!$B$13,'Process'!BL2=1),1+('Control Room'!$C$13-1)*EXP(-0.5*(($A68-'Control Room'!$A$13-('Control Room'!$B$13-1)/2)/MAX(0.5,'Control Room'!$B$13/4))^2),1)*IF(AND($A68&gt;='Control Room'!$A$14,$A68&lt;'Control Room'!$A$14+'Control Room'!$B$14,'Process'!BL3=1),1+('Control Room'!$C$14-1)*EXP(-0.5*(($A68-'Control Room'!$A$14-('Control Room'!$B$14-1)/2)/MAX(0.5,'Control Room'!$B$14/4))^2),1)*IF(AND($A68&gt;='Control Room'!$A$15,$A68&lt;'Control Room'!$A$15+'Control Room'!$B$15,'Process'!BL4=1),1+('Control Room'!$C$15-1)*EXP(-0.5*(($A68-'Control Room'!$A$15-('Control Room'!$B$15-1)/2)/MAX(0.5,'Control Room'!$B$15/4))^2),1)*IF(AND($A68&gt;='Control Room'!$A$16,$A68&lt;'Control Room'!$A$16+'Control Room'!$B$16,'Process'!BL5=1),1+('Control Room'!$C$16-1)*EXP(-0.5*(($A68-'Control Room'!$A$16-('Control Room'!$B$16-1)/2)/MAX(0.5,'Control Room'!$B$16/4))^2),1)</x:f>
        <x:v>0.35</x:v>
      </x:c>
      <x:c r="L68" s="9" t="n">
        <x:f>MOD(M67*16807,2147483647)</x:f>
        <x:v>1364584145</x:v>
      </x:c>
      <x:c r="M68" s="9" t="n">
        <x:f>MOD(L68*16807,2147483647)</x:f>
        <x:v>1587858702</x:v>
      </x:c>
      <x:c r="N68" s="17" t="n">
        <x:f>IF('Control Room'!$B$5="Normal",'Control Room'!$B$7+'Control Room'!$D$7*SQRT(-2*LN(MAX(0.000000000001,L68/2147483647)))*COS(2*PI()*M68/2147483647),'Control Room'!$B$8+('Control Room'!$D$8-'Control Room'!$B$8)*L68/2147483647)</x:f>
        <x:v>994.2982480173201</x:v>
      </x:c>
      <x:c r="O68" s="17" t="n">
        <x:f>IF('Control Room'!$B$5="Normal",'Control Room'!$B$7,('Control Room'!$B$8+'Control Room'!$D$8)/2)+'Control Room'!$B$9*(O67-IF('Control Room'!$B$5="Normal",'Control Room'!$B$7,('Control Room'!$B$8+'Control Room'!$D$8)/2))+SQRT(1-'Control Room'!$B$9^2)*(N68-IF('Control Room'!$B$5="Normal",'Control Room'!$B$7,('Control Room'!$B$8+'Control Room'!$D$8)/2))</x:f>
        <x:v>1073.7605336833983</x:v>
      </x:c>
      <x:c r="P68" s="17" t="n">
        <x:f>IF(AND($A68&gt;='Control Room'!$A$13,$A68&lt;'Control Room'!$A$13+'Control Room'!$B$13,'Process'!BM2=1),1+('Control Room'!$C$13-1)*EXP(-0.5*(($A68-'Control Room'!$A$13-('Control Room'!$B$13-1)/2)/MAX(0.5,'Control Room'!$B$13/4))^2),1)*IF(AND($A68&gt;='Control Room'!$A$14,$A68&lt;'Control Room'!$A$14+'Control Room'!$B$14,'Process'!BM3=1),1+('Control Room'!$C$14-1)*EXP(-0.5*(($A68-'Control Room'!$A$14-('Control Room'!$B$14-1)/2)/MAX(0.5,'Control Room'!$B$14/4))^2),1)*IF(AND($A68&gt;='Control Room'!$A$15,$A68&lt;'Control Room'!$A$15+'Control Room'!$B$15,'Process'!BM4=1),1+('Control Room'!$C$15-1)*EXP(-0.5*(($A68-'Control Room'!$A$15-('Control Room'!$B$15-1)/2)/MAX(0.5,'Control Room'!$B$15/4))^2),1)*IF(AND($A68&gt;='Control Room'!$A$16,$A68&lt;'Control Room'!$A$16+'Control Room'!$B$16,'Process'!BM5=1),1+('Control Room'!$C$16-1)*EXP(-0.5*(($A68-'Control Room'!$A$16-('Control Room'!$B$16-1)/2)/MAX(0.5,'Control Room'!$B$16/4))^2),1)</x:f>
        <x:v>1</x:v>
      </x:c>
      <x:c r="Q68" s="9" t="n">
        <x:f>MOD(R67*16807,2147483647)</x:f>
        <x:v>162967908</x:v>
      </x:c>
      <x:c r="R68" s="9" t="n">
        <x:f>MOD(Q68*16807,2147483647)</x:f>
        <x:v>959979831</x:v>
      </x:c>
      <x:c r="S68" s="17" t="n">
        <x:f>IF('Control Room'!$B$5="Normal",'Control Room'!$B$7+'Control Room'!$D$7*SQRT(-2*LN(MAX(0.000000000001,Q68/2147483647)))*COS(2*PI()*R68/2147483647),'Control Room'!$B$8+('Control Room'!$D$8-'Control Room'!$B$8)*Q68/2147483647)</x:f>
        <x:v>806.8361853662495</x:v>
      </x:c>
      <x:c r="T68" s="17" t="n">
        <x:f>IF('Control Room'!$B$5="Normal",'Control Room'!$B$7,('Control Room'!$B$8+'Control Room'!$D$8)/2)+'Control Room'!$B$9*(T67-IF('Control Room'!$B$5="Normal",'Control Room'!$B$7,('Control Room'!$B$8+'Control Room'!$D$8)/2))+SQRT(1-'Control Room'!$B$9^2)*(S68-IF('Control Room'!$B$5="Normal",'Control Room'!$B$7,('Control Room'!$B$8+'Control Room'!$D$8)/2))</x:f>
        <x:v>812.7856332519103</x:v>
      </x:c>
      <x:c r="U68" s="17" t="n">
        <x:f>IF(AND($A68&gt;='Control Room'!$A$13,$A68&lt;'Control Room'!$A$13+'Control Room'!$B$13,'Process'!BN2=1),1+('Control Room'!$C$13-1)*EXP(-0.5*(($A68-'Control Room'!$A$13-('Control Room'!$B$13-1)/2)/MAX(0.5,'Control Room'!$B$13/4))^2),1)*IF(AND($A68&gt;='Control Room'!$A$14,$A68&lt;'Control Room'!$A$14+'Control Room'!$B$14,'Process'!BN3=1),1+('Control Room'!$C$14-1)*EXP(-0.5*(($A68-'Control Room'!$A$14-('Control Room'!$B$14-1)/2)/MAX(0.5,'Control Room'!$B$14/4))^2),1)*IF(AND($A68&gt;='Control Room'!$A$15,$A68&lt;'Control Room'!$A$15+'Control Room'!$B$15,'Process'!BN4=1),1+('Control Room'!$C$15-1)*EXP(-0.5*(($A68-'Control Room'!$A$15-('Control Room'!$B$15-1)/2)/MAX(0.5,'Control Room'!$B$15/4))^2),1)*IF(AND($A68&gt;='Control Room'!$A$16,$A68&lt;'Control Room'!$A$16+'Control Room'!$B$16,'Process'!BN5=1),1+('Control Room'!$C$16-1)*EXP(-0.5*(($A68-'Control Room'!$A$16-('Control Room'!$B$16-1)/2)/MAX(0.5,'Control Room'!$B$16/4))^2),1)</x:f>
        <x:v>0.35</x:v>
      </x:c>
      <x:c r="V68" s="9" t="n">
        <x:f>MOD(W67*16807,2147483647)</x:f>
        <x:v>1108835318</x:v>
      </x:c>
      <x:c r="W68" s="9" t="n">
        <x:f>MOD(V68*16807,2147483647)</x:f>
        <x:v>332100960</x:v>
      </x:c>
      <x:c r="X68" s="17" t="n">
        <x:f>IF('Control Room'!$B$5="Normal",'Control Room'!$B$7+'Control Room'!$D$7*SQRT(-2*LN(MAX(0.000000000001,V68/2147483647)))*COS(2*PI()*W68/2147483647),'Control Room'!$B$8+('Control Room'!$D$8-'Control Room'!$B$8)*V68/2147483647)</x:f>
        <x:v>1058.3539588174567</x:v>
      </x:c>
      <x:c r="Y68" s="17" t="n">
        <x:f>IF('Control Room'!$B$5="Normal",'Control Room'!$B$7,('Control Room'!$B$8+'Control Room'!$D$8)/2)+'Control Room'!$B$9*(Y67-IF('Control Room'!$B$5="Normal",'Control Room'!$B$7,('Control Room'!$B$8+'Control Room'!$D$8)/2))+SQRT(1-'Control Room'!$B$9^2)*(X68-IF('Control Room'!$B$5="Normal",'Control Room'!$B$7,('Control Room'!$B$8+'Control Room'!$D$8)/2))</x:f>
        <x:v>1040.205791425935</x:v>
      </x:c>
      <x:c r="Z68" s="17" t="n">
        <x:f>IF(AND($A68&gt;='Control Room'!$A$13,$A68&lt;'Control Room'!$A$13+'Control Room'!$B$13,'Process'!BO2=1),1+('Control Room'!$C$13-1)*EXP(-0.5*(($A68-'Control Room'!$A$13-('Control Room'!$B$13-1)/2)/MAX(0.5,'Control Room'!$B$13/4))^2),1)*IF(AND($A68&gt;='Control Room'!$A$14,$A68&lt;'Control Room'!$A$14+'Control Room'!$B$14,'Process'!BO3=1),1+('Control Room'!$C$14-1)*EXP(-0.5*(($A68-'Control Room'!$A$14-('Control Room'!$B$14-1)/2)/MAX(0.5,'Control Room'!$B$14/4))^2),1)*IF(AND($A68&gt;='Control Room'!$A$15,$A68&lt;'Control Room'!$A$15+'Control Room'!$B$15,'Process'!BO4=1),1+('Control Room'!$C$15-1)*EXP(-0.5*(($A68-'Control Room'!$A$15-('Control Room'!$B$15-1)/2)/MAX(0.5,'Control Room'!$B$15/4))^2),1)*IF(AND($A68&gt;='Control Room'!$A$16,$A68&lt;'Control Room'!$A$16+'Control Room'!$B$16,'Process'!BO5=1),1+('Control Room'!$C$16-1)*EXP(-0.5*(($A68-'Control Room'!$A$16-('Control Room'!$B$16-1)/2)/MAX(0.5,'Control Room'!$B$16/4))^2),1)</x:f>
        <x:v>0.35</x:v>
      </x:c>
      <x:c r="AA68" s="9" t="n">
        <x:f>MOD(AB67*16807,2147483647)</x:f>
        <x:v>2054702728</x:v>
      </x:c>
      <x:c r="AB68" s="9" t="n">
        <x:f>MOD(AA68*16807,2147483647)</x:f>
        <x:v>1851705736</x:v>
      </x:c>
      <x:c r="AC68" s="17" t="n">
        <x:f>IF('Control Room'!$B$5="Normal",'Control Room'!$B$7+'Control Room'!$D$7*SQRT(-2*LN(MAX(0.000000000001,AA68/2147483647)))*COS(2*PI()*AB68/2147483647),'Control Room'!$B$8+('Control Room'!$D$8-'Control Room'!$B$8)*AA68/2147483647)</x:f>
        <x:v>1017.342053989618</x:v>
      </x:c>
      <x:c r="AD68" s="17" t="n">
        <x:f>IF('Control Room'!$B$5="Normal",'Control Room'!$B$7,('Control Room'!$B$8+'Control Room'!$D$8)/2)+'Control Room'!$B$9*(AD67-IF('Control Room'!$B$5="Normal",'Control Room'!$B$7,('Control Room'!$B$8+'Control Room'!$D$8)/2))+SQRT(1-'Control Room'!$B$9^2)*(AC68-IF('Control Room'!$B$5="Normal",'Control Room'!$B$7,('Control Room'!$B$8+'Control Room'!$D$8)/2))</x:f>
        <x:v>1095.377302478641</x:v>
      </x:c>
      <x:c r="AE68" s="17" t="n">
        <x:f>IF(AND($A68&gt;='Control Room'!$A$13,$A68&lt;'Control Room'!$A$13+'Control Room'!$B$13,'Process'!BP2=1),1+('Control Room'!$C$13-1)*EXP(-0.5*(($A68-'Control Room'!$A$13-('Control Room'!$B$13-1)/2)/MAX(0.5,'Control Room'!$B$13/4))^2),1)*IF(AND($A68&gt;='Control Room'!$A$14,$A68&lt;'Control Room'!$A$14+'Control Room'!$B$14,'Process'!BP3=1),1+('Control Room'!$C$14-1)*EXP(-0.5*(($A68-'Control Room'!$A$14-('Control Room'!$B$14-1)/2)/MAX(0.5,'Control Room'!$B$14/4))^2),1)*IF(AND($A68&gt;='Control Room'!$A$15,$A68&lt;'Control Room'!$A$15+'Control Room'!$B$15,'Process'!BP4=1),1+('Control Room'!$C$15-1)*EXP(-0.5*(($A68-'Control Room'!$A$15-('Control Room'!$B$15-1)/2)/MAX(0.5,'Control Room'!$B$15/4))^2),1)*IF(AND($A68&gt;='Control Room'!$A$16,$A68&lt;'Control Room'!$A$16+'Control Room'!$B$16,'Process'!BP5=1),1+('Control Room'!$C$16-1)*EXP(-0.5*(($A68-'Control Room'!$A$16-('Control Room'!$B$16-1)/2)/MAX(0.5,'Control Room'!$B$16/4))^2),1)</x:f>
        <x:v>1</x:v>
      </x:c>
      <x:c r="AF68" s="9" t="n">
        <x:f>MOD(AG67*16807,2147483647)</x:f>
        <x:v>853086491</x:v>
      </x:c>
      <x:c r="AG68" s="9" t="n">
        <x:f>MOD(AF68*16807,2147483647)</x:f>
        <x:v>1223826865</x:v>
      </x:c>
      <x:c r="AH68" s="17" t="n">
        <x:f>IF('Control Room'!$B$5="Normal",'Control Room'!$B$7+'Control Room'!$D$7*SQRT(-2*LN(MAX(0.000000000001,AF68/2147483647)))*COS(2*PI()*AG68/2147483647),'Control Room'!$B$8+('Control Room'!$D$8-'Control Room'!$B$8)*AF68/2147483647)</x:f>
        <x:v>889.3091929495379</x:v>
      </x:c>
      <x:c r="AI68" s="17" t="n">
        <x:f>IF('Control Room'!$B$5="Normal",'Control Room'!$B$7,('Control Room'!$B$8+'Control Room'!$D$8)/2)+'Control Room'!$B$9*(AI67-IF('Control Room'!$B$5="Normal",'Control Room'!$B$7,('Control Room'!$B$8+'Control Room'!$D$8)/2))+SQRT(1-'Control Room'!$B$9^2)*(AH68-IF('Control Room'!$B$5="Normal",'Control Room'!$B$7,('Control Room'!$B$8+'Control Room'!$D$8)/2))</x:f>
        <x:v>945.474718683061</x:v>
      </x:c>
      <x:c r="AJ68" s="17" t="n">
        <x:f>IF(AND($A68&gt;='Control Room'!$A$13,$A68&lt;'Control Room'!$A$13+'Control Room'!$B$13,'Process'!BQ2=1),1+('Control Room'!$C$13-1)*EXP(-0.5*(($A68-'Control Room'!$A$13-('Control Room'!$B$13-1)/2)/MAX(0.5,'Control Room'!$B$13/4))^2),1)*IF(AND($A68&gt;='Control Room'!$A$14,$A68&lt;'Control Room'!$A$14+'Control Room'!$B$14,'Process'!BQ3=1),1+('Control Room'!$C$14-1)*EXP(-0.5*(($A68-'Control Room'!$A$14-('Control Room'!$B$14-1)/2)/MAX(0.5,'Control Room'!$B$14/4))^2),1)*IF(AND($A68&gt;='Control Room'!$A$15,$A68&lt;'Control Room'!$A$15+'Control Room'!$B$15,'Process'!BQ4=1),1+('Control Room'!$C$15-1)*EXP(-0.5*(($A68-'Control Room'!$A$15-('Control Room'!$B$15-1)/2)/MAX(0.5,'Control Room'!$B$15/4))^2),1)*IF(AND($A68&gt;='Control Room'!$A$16,$A68&lt;'Control Room'!$A$16+'Control Room'!$B$16,'Process'!BQ5=1),1+('Control Room'!$C$16-1)*EXP(-0.5*(($A68-'Control Room'!$A$16-('Control Room'!$B$16-1)/2)/MAX(0.5,'Control Room'!$B$16/4))^2),1)</x:f>
        <x:v>0.35</x:v>
      </x:c>
      <x:c r="AK68" s="9" t="n">
        <x:f>MOD(AL67*16807,2147483647)</x:f>
        <x:v>1798953901</x:v>
      </x:c>
      <x:c r="AL68" s="9" t="n">
        <x:f>MOD(AK68*16807,2147483647)</x:f>
        <x:v>595947994</x:v>
      </x:c>
      <x:c r="AM68" s="17" t="n">
        <x:f>IF('Control Room'!$B$5="Normal",'Control Room'!$B$7+'Control Room'!$D$7*SQRT(-2*LN(MAX(0.000000000001,AK68/2147483647)))*COS(2*PI()*AL68/2147483647),'Control Room'!$B$8+('Control Room'!$D$8-'Control Room'!$B$8)*AK68/2147483647)</x:f>
        <x:v>990.7878587578841</x:v>
      </x:c>
      <x:c r="AN68" s="17" t="n">
        <x:f>IF('Control Room'!$B$5="Normal",'Control Room'!$B$7,('Control Room'!$B$8+'Control Room'!$D$8)/2)+'Control Room'!$B$9*(AN67-IF('Control Room'!$B$5="Normal",'Control Room'!$B$7,('Control Room'!$B$8+'Control Room'!$D$8)/2))+SQRT(1-'Control Room'!$B$9^2)*(AM68-IF('Control Room'!$B$5="Normal",'Control Room'!$B$7,('Control Room'!$B$8+'Control Room'!$D$8)/2))</x:f>
        <x:v>1063.2887812451877</x:v>
      </x:c>
      <x:c r="AO68" s="17" t="n">
        <x:f>IF(AND($A68&gt;='Control Room'!$A$13,$A68&lt;'Control Room'!$A$13+'Control Room'!$B$13,'Process'!BR2=1),1+('Control Room'!$C$13-1)*EXP(-0.5*(($A68-'Control Room'!$A$13-('Control Room'!$B$13-1)/2)/MAX(0.5,'Control Room'!$B$13/4))^2),1)*IF(AND($A68&gt;='Control Room'!$A$14,$A68&lt;'Control Room'!$A$14+'Control Room'!$B$14,'Process'!BR3=1),1+('Control Room'!$C$14-1)*EXP(-0.5*(($A68-'Control Room'!$A$14-('Control Room'!$B$14-1)/2)/MAX(0.5,'Control Room'!$B$14/4))^2),1)*IF(AND($A68&gt;='Control Room'!$A$15,$A68&lt;'Control Room'!$A$15+'Control Room'!$B$15,'Process'!BR4=1),1+('Control Room'!$C$15-1)*EXP(-0.5*(($A68-'Control Room'!$A$15-('Control Room'!$B$15-1)/2)/MAX(0.5,'Control Room'!$B$15/4))^2),1)*IF(AND($A68&gt;='Control Room'!$A$16,$A68&lt;'Control Room'!$A$16+'Control Room'!$B$16,'Process'!BR5=1),1+('Control Room'!$C$16-1)*EXP(-0.5*(($A68-'Control Room'!$A$16-('Control Room'!$B$16-1)/2)/MAX(0.5,'Control Room'!$B$16/4))^2),1)</x:f>
        <x:v>0.35</x:v>
      </x:c>
      <x:c r="AP68" s="9" t="n">
        <x:f>MOD(AQ67*16807,2147483647)</x:f>
        <x:v>597337664</x:v>
      </x:c>
      <x:c r="AQ68" s="9" t="n">
        <x:f>MOD(AP68*16807,2147483647)</x:f>
        <x:v>2115552770</x:v>
      </x:c>
      <x:c r="AR68" s="17" t="n">
        <x:f>IF('Control Room'!$B$5="Normal",'Control Room'!$B$7+'Control Room'!$D$7*SQRT(-2*LN(MAX(0.000000000001,AP68/2147483647)))*COS(2*PI()*AQ68/2147483647),'Control Room'!$B$8+('Control Room'!$D$8-'Control Room'!$B$8)*AP68/2147483647)</x:f>
        <x:v>1143.347917933494</x:v>
      </x:c>
      <x:c r="AS68" s="17" t="n">
        <x:f>IF('Control Room'!$B$5="Normal",'Control Room'!$B$7,('Control Room'!$B$8+'Control Room'!$D$8)/2)+'Control Room'!$B$9*(AS67-IF('Control Room'!$B$5="Normal",'Control Room'!$B$7,('Control Room'!$B$8+'Control Room'!$D$8)/2))+SQRT(1-'Control Room'!$B$9^2)*(AR68-IF('Control Room'!$B$5="Normal",'Control Room'!$B$7,('Control Room'!$B$8+'Control Room'!$D$8)/2))</x:f>
        <x:v>999.6568778633354</x:v>
      </x:c>
      <x:c r="AT68" s="17" t="n">
        <x:f>IF(AND($A68&gt;='Control Room'!$A$13,$A68&lt;'Control Room'!$A$13+'Control Room'!$B$13,'Process'!BS2=1),1+('Control Room'!$C$13-1)*EXP(-0.5*(($A68-'Control Room'!$A$13-('Control Room'!$B$13-1)/2)/MAX(0.5,'Control Room'!$B$13/4))^2),1)*IF(AND($A68&gt;='Control Room'!$A$14,$A68&lt;'Control Room'!$A$14+'Control Room'!$B$14,'Process'!BS3=1),1+('Control Room'!$C$14-1)*EXP(-0.5*(($A68-'Control Room'!$A$14-('Control Room'!$B$14-1)/2)/MAX(0.5,'Control Room'!$B$14/4))^2),1)*IF(AND($A68&gt;='Control Room'!$A$15,$A68&lt;'Control Room'!$A$15+'Control Room'!$B$15,'Process'!BS4=1),1+('Control Room'!$C$15-1)*EXP(-0.5*(($A68-'Control Room'!$A$15-('Control Room'!$B$15-1)/2)/MAX(0.5,'Control Room'!$B$15/4))^2),1)*IF(AND($A68&gt;='Control Room'!$A$16,$A68&lt;'Control Room'!$A$16+'Control Room'!$B$16,'Process'!BS5=1),1+('Control Room'!$C$16-1)*EXP(-0.5*(($A68-'Control Room'!$A$16-('Control Room'!$B$16-1)/2)/MAX(0.5,'Control Room'!$B$16/4))^2),1)</x:f>
        <x:v>0.35</x:v>
      </x:c>
      <x:c r="AU68" s="9" t="n">
        <x:f>MOD(AV67*16807,2147483647)</x:f>
        <x:v>1543205074</x:v>
      </x:c>
      <x:c r="AV68" s="9" t="n">
        <x:f>MOD(AU68*16807,2147483647)</x:f>
        <x:v>1487673899</x:v>
      </x:c>
      <x:c r="AW68" s="17" t="n">
        <x:f>IF('Control Room'!$B$5="Normal",'Control Room'!$B$7+'Control Room'!$D$7*SQRT(-2*LN(MAX(0.000000000001,AU68/2147483647)))*COS(2*PI()*AV68/2147483647),'Control Room'!$B$8+('Control Room'!$D$8-'Control Room'!$B$8)*AU68/2147483647)</x:f>
        <x:v>974.246632838269</x:v>
      </x:c>
      <x:c r="AX68" s="17" t="n">
        <x:f>IF('Control Room'!$B$5="Normal",'Control Room'!$B$7,('Control Room'!$B$8+'Control Room'!$D$8)/2)+'Control Room'!$B$9*(AX67-IF('Control Room'!$B$5="Normal",'Control Room'!$B$7,('Control Room'!$B$8+'Control Room'!$D$8)/2))+SQRT(1-'Control Room'!$B$9^2)*(AW68-IF('Control Room'!$B$5="Normal",'Control Room'!$B$7,('Control Room'!$B$8+'Control Room'!$D$8)/2))</x:f>
        <x:v>1000.132953305222</x:v>
      </x:c>
      <x:c r="AY68" s="17" t="n">
        <x:f>IF(AND($A68&gt;='Control Room'!$A$13,$A68&lt;'Control Room'!$A$13+'Control Room'!$B$13,'Process'!BT2=1),1+('Control Room'!$C$13-1)*EXP(-0.5*(($A68-'Control Room'!$A$13-('Control Room'!$B$13-1)/2)/MAX(0.5,'Control Room'!$B$13/4))^2),1)*IF(AND($A68&gt;='Control Room'!$A$14,$A68&lt;'Control Room'!$A$14+'Control Room'!$B$14,'Process'!BT3=1),1+('Control Room'!$C$14-1)*EXP(-0.5*(($A68-'Control Room'!$A$14-('Control Room'!$B$14-1)/2)/MAX(0.5,'Control Room'!$B$14/4))^2),1)*IF(AND($A68&gt;='Control Room'!$A$15,$A68&lt;'Control Room'!$A$15+'Control Room'!$B$15,'Process'!BT4=1),1+('Control Room'!$C$15-1)*EXP(-0.5*(($A68-'Control Room'!$A$15-('Control Room'!$B$15-1)/2)/MAX(0.5,'Control Room'!$B$15/4))^2),1)*IF(AND($A68&gt;='Control Room'!$A$16,$A68&lt;'Control Room'!$A$16+'Control Room'!$B$16,'Process'!BT5=1),1+('Control Room'!$C$16-1)*EXP(-0.5*(($A68-'Control Room'!$A$16-('Control Room'!$B$16-1)/2)/MAX(0.5,'Control Room'!$B$16/4))^2),1)</x:f>
        <x:v>1</x:v>
      </x:c>
      <x:c r="AZ68" s="9" t="n">
        <x:f>MOD(BA67*16807,2147483647)</x:f>
        <x:v>341588837</x:v>
      </x:c>
      <x:c r="BA68" s="9" t="n">
        <x:f>MOD(AZ68*16807,2147483647)</x:f>
        <x:v>859795028</x:v>
      </x:c>
      <x:c r="BB68" s="17" t="n">
        <x:f>IF('Control Room'!$B$5="Normal",'Control Room'!$B$7+'Control Room'!$D$7*SQRT(-2*LN(MAX(0.000000000001,AZ68/2147483647)))*COS(2*PI()*BA68/2147483647),'Control Room'!$B$8+('Control Room'!$D$8-'Control Room'!$B$8)*AZ68/2147483647)</x:f>
        <x:v>860.144815643829</x:v>
      </x:c>
      <x:c r="BC68" s="17" t="n">
        <x:f>IF('Control Room'!$B$5="Normal",'Control Room'!$B$7,('Control Room'!$B$8+'Control Room'!$D$8)/2)+'Control Room'!$B$9*(BC67-IF('Control Room'!$B$5="Normal",'Control Room'!$B$7,('Control Room'!$B$8+'Control Room'!$D$8)/2))+SQRT(1-'Control Room'!$B$9^2)*(BB68-IF('Control Room'!$B$5="Normal",'Control Room'!$B$7,('Control Room'!$B$8+'Control Room'!$D$8)/2))</x:f>
        <x:v>915.0555407639316</x:v>
      </x:c>
      <x:c r="BD68" s="17" t="n">
        <x:f>IF(AND($A68&gt;='Control Room'!$A$13,$A68&lt;'Control Room'!$A$13+'Control Room'!$B$13,'Process'!BU2=1),1+('Control Room'!$C$13-1)*EXP(-0.5*(($A68-'Control Room'!$A$13-('Control Room'!$B$13-1)/2)/MAX(0.5,'Control Room'!$B$13/4))^2),1)*IF(AND($A68&gt;='Control Room'!$A$14,$A68&lt;'Control Room'!$A$14+'Control Room'!$B$14,'Process'!BU3=1),1+('Control Room'!$C$14-1)*EXP(-0.5*(($A68-'Control Room'!$A$14-('Control Room'!$B$14-1)/2)/MAX(0.5,'Control Room'!$B$14/4))^2),1)*IF(AND($A68&gt;='Control Room'!$A$15,$A68&lt;'Control Room'!$A$15+'Control Room'!$B$15,'Process'!BU4=1),1+('Control Room'!$C$15-1)*EXP(-0.5*(($A68-'Control Room'!$A$15-('Control Room'!$B$15-1)/2)/MAX(0.5,'Control Room'!$B$15/4))^2),1)*IF(AND($A68&gt;='Control Room'!$A$16,$A68&lt;'Control Room'!$A$16+'Control Room'!$B$16,'Process'!BU5=1),1+('Control Room'!$C$16-1)*EXP(-0.5*(($A68-'Control Room'!$A$16-('Control Room'!$B$16-1)/2)/MAX(0.5,'Control Room'!$B$16/4))^2),1)</x:f>
        <x:v>0.35</x:v>
      </x:c>
      <x:c r="BE68" s="9" t="n">
        <x:f>MOD(BF67*16807,2147483647)</x:f>
        <x:v>1287456247</x:v>
      </x:c>
      <x:c r="BF68" s="9" t="n">
        <x:f>MOD(BE68*16807,2147483647)</x:f>
        <x:v>231916157</x:v>
      </x:c>
      <x:c r="BG68" s="17" t="n">
        <x:f>IF('Control Room'!$B$5="Normal",'Control Room'!$B$7+'Control Room'!$D$7*SQRT(-2*LN(MAX(0.000000000001,BE68/2147483647)))*COS(2*PI()*BF68/2147483647),'Control Room'!$B$8+('Control Room'!$D$8-'Control Room'!$B$8)*BE68/2147483647)</x:f>
        <x:v>1070.873647457362</x:v>
      </x:c>
      <x:c r="BH68" s="17" t="n">
        <x:f>IF('Control Room'!$B$5="Normal",'Control Room'!$B$7,('Control Room'!$B$8+'Control Room'!$D$8)/2)+'Control Room'!$B$9*(BH67-IF('Control Room'!$B$5="Normal",'Control Room'!$B$7,('Control Room'!$B$8+'Control Room'!$D$8)/2))+SQRT(1-'Control Room'!$B$9^2)*(BG68-IF('Control Room'!$B$5="Normal",'Control Room'!$B$7,('Control Room'!$B$8+'Control Room'!$D$8)/2))</x:f>
        <x:v>990.7986764004922</x:v>
      </x:c>
      <x:c r="BI68" s="17" t="n">
        <x:f>IF(AND($A68&gt;='Control Room'!$A$13,$A68&lt;'Control Room'!$A$13+'Control Room'!$B$13,'Process'!BV2=1),1+('Control Room'!$C$13-1)*EXP(-0.5*(($A68-'Control Room'!$A$13-('Control Room'!$B$13-1)/2)/MAX(0.5,'Control Room'!$B$13/4))^2),1)*IF(AND($A68&gt;='Control Room'!$A$14,$A68&lt;'Control Room'!$A$14+'Control Room'!$B$14,'Process'!BV3=1),1+('Control Room'!$C$14-1)*EXP(-0.5*(($A68-'Control Room'!$A$14-('Control Room'!$B$14-1)/2)/MAX(0.5,'Control Room'!$B$14/4))^2),1)*IF(AND($A68&gt;='Control Room'!$A$15,$A68&lt;'Control Room'!$A$15+'Control Room'!$B$15,'Process'!BV4=1),1+('Control Room'!$C$15-1)*EXP(-0.5*(($A68-'Control Room'!$A$15-('Control Room'!$B$15-1)/2)/MAX(0.5,'Control Room'!$B$15/4))^2),1)*IF(AND($A68&gt;='Control Room'!$A$16,$A68&lt;'Control Room'!$A$16+'Control Room'!$B$16,'Process'!BV5=1),1+('Control Room'!$C$16-1)*EXP(-0.5*(($A68-'Control Room'!$A$16-('Control Room'!$B$16-1)/2)/MAX(0.5,'Control Room'!$B$16/4))^2),1)</x:f>
        <x:v>0.35</x:v>
      </x:c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Z68" t="str">
        <x:f>IF('Data'!A68="","",TEXT('Data'!A68,"mm-dd"))</x:f>
        <x:v>01-07</x:v>
      </x:c>
    </x:row>
    <x:row r="69" ht="21" customHeight="1">
      <x:c r="A69" s="15" t="n">
        <x:f>'Control Room'!$B$1+67</x:f>
        <x:v>73058</x:v>
      </x:c>
      <x:c r="B69" s="9" t="n">
        <x:f>MOD(C68*16807,2147483647)</x:f>
        <x:v>413010323</x:v>
      </x:c>
      <x:c r="C69" s="9" t="n">
        <x:f>MOD(B69*16807,2147483647)</x:f>
        <x:v>797351557</x:v>
      </x:c>
      <x:c r="D69" s="17" t="n">
        <x:f>IF('Control Room'!$B$5="Normal",'Control Room'!$B$7+'Control Room'!$D$7*SQRT(-2*LN(MAX(0.000000000001,B69/2147483647)))*COS(2*PI()*C69/2147483647),'Control Room'!$B$8+('Control Room'!$D$8-'Control Room'!$B$8)*B69/2147483647)</x:f>
        <x:v>887.1632729624914</x:v>
      </x:c>
      <x:c r="E69" s="17" t="n">
        <x:f>IF('Control Room'!$B$5="Normal",'Control Room'!$B$7,('Control Room'!$B$8+'Control Room'!$D$8)/2)+'Control Room'!$B$9*(E68-IF('Control Room'!$B$5="Normal",'Control Room'!$B$7,('Control Room'!$B$8+'Control Room'!$D$8)/2))+SQRT(1-'Control Room'!$B$9^2)*(D69-IF('Control Room'!$B$5="Normal",'Control Room'!$B$7,('Control Room'!$B$8+'Control Room'!$D$8)/2))</x:f>
        <x:v>957.4076670267531</x:v>
      </x:c>
      <x:c r="F69" s="17" t="n">
        <x:f>IF(AND($A69&gt;='Control Room'!$A$13,$A69&lt;'Control Room'!$A$13+'Control Room'!$B$13,'Process'!BK2=1),1+('Control Room'!$C$13-1)*EXP(-0.5*(($A69-'Control Room'!$A$13-('Control Room'!$B$13-1)/2)/MAX(0.5,'Control Room'!$B$13/4))^2),1)*IF(AND($A69&gt;='Control Room'!$A$14,$A69&lt;'Control Room'!$A$14+'Control Room'!$B$14,'Process'!BK3=1),1+('Control Room'!$C$14-1)*EXP(-0.5*(($A69-'Control Room'!$A$14-('Control Room'!$B$14-1)/2)/MAX(0.5,'Control Room'!$B$14/4))^2),1)*IF(AND($A69&gt;='Control Room'!$A$15,$A69&lt;'Control Room'!$A$15+'Control Room'!$B$15,'Process'!BK4=1),1+('Control Room'!$C$15-1)*EXP(-0.5*(($A69-'Control Room'!$A$15-('Control Room'!$B$15-1)/2)/MAX(0.5,'Control Room'!$B$15/4))^2),1)*IF(AND($A69&gt;='Control Room'!$A$16,$A69&lt;'Control Room'!$A$16+'Control Room'!$B$16,'Process'!BK5=1),1+('Control Room'!$C$16-1)*EXP(-0.5*(($A69-'Control Room'!$A$16-('Control Room'!$B$16-1)/2)/MAX(0.5,'Control Room'!$B$16/4))^2),1)</x:f>
        <x:v>0.4479122192305969</x:v>
      </x:c>
      <x:c r="G69" s="9" t="n">
        <x:f>MOD(H68*16807,2147483647)</x:f>
        <x:v>387466784</x:v>
      </x:c>
      <x:c r="H69" s="9" t="n">
        <x:f>MOD(G69*16807,2147483647)</x:f>
        <x:v>983820984</x:v>
      </x:c>
      <x:c r="I69" s="17" t="n">
        <x:f>IF('Control Room'!$B$5="Normal",'Control Room'!$B$7+'Control Room'!$D$7*SQRT(-2*LN(MAX(0.000000000001,G69/2147483647)))*COS(2*PI()*H69/2147483647),'Control Room'!$B$8+('Control Room'!$D$8-'Control Room'!$B$8)*G69/2147483647)</x:f>
        <x:v>839.1742176995448</x:v>
      </x:c>
      <x:c r="J69" s="17" t="n">
        <x:f>IF('Control Room'!$B$5="Normal",'Control Room'!$B$7,('Control Room'!$B$8+'Control Room'!$D$8)/2)+'Control Room'!$B$9*(J68-IF('Control Room'!$B$5="Normal",'Control Room'!$B$7,('Control Room'!$B$8+'Control Room'!$D$8)/2))+SQRT(1-'Control Room'!$B$9^2)*(I69-IF('Control Room'!$B$5="Normal",'Control Room'!$B$7,('Control Room'!$B$8+'Control Room'!$D$8)/2))</x:f>
        <x:v>898.4971945246704</x:v>
      </x:c>
      <x:c r="K69" s="17" t="n">
        <x:f>IF(AND($A69&gt;='Control Room'!$A$13,$A69&lt;'Control Room'!$A$13+'Control Room'!$B$13,'Process'!BL2=1),1+('Control Room'!$C$13-1)*EXP(-0.5*(($A69-'Control Room'!$A$13-('Control Room'!$B$13-1)/2)/MAX(0.5,'Control Room'!$B$13/4))^2),1)*IF(AND($A69&gt;='Control Room'!$A$14,$A69&lt;'Control Room'!$A$14+'Control Room'!$B$14,'Process'!BL3=1),1+('Control Room'!$C$14-1)*EXP(-0.5*(($A69-'Control Room'!$A$14-('Control Room'!$B$14-1)/2)/MAX(0.5,'Control Room'!$B$14/4))^2),1)*IF(AND($A69&gt;='Control Room'!$A$15,$A69&lt;'Control Room'!$A$15+'Control Room'!$B$15,'Process'!BL4=1),1+('Control Room'!$C$15-1)*EXP(-0.5*(($A69-'Control Room'!$A$15-('Control Room'!$B$15-1)/2)/MAX(0.5,'Control Room'!$B$15/4))^2),1)*IF(AND($A69&gt;='Control Room'!$A$16,$A69&lt;'Control Room'!$A$16+'Control Room'!$B$16,'Process'!BL5=1),1+('Control Room'!$C$16-1)*EXP(-0.5*(($A69-'Control Room'!$A$16-('Control Room'!$B$16-1)/2)/MAX(0.5,'Control Room'!$B$16/4))^2),1)</x:f>
        <x:v>0.4479122192305969</x:v>
      </x:c>
      <x:c r="L69" s="9" t="n">
        <x:f>MOD(M68*16807,2147483647)</x:f>
        <x:v>361923245</x:v>
      </x:c>
      <x:c r="M69" s="9" t="n">
        <x:f>MOD(L69*16807,2147483647)</x:f>
        <x:v>1170290411</x:v>
      </x:c>
      <x:c r="N69" s="17" t="n">
        <x:f>IF('Control Room'!$B$5="Normal",'Control Room'!$B$7+'Control Room'!$D$7*SQRT(-2*LN(MAX(0.000000000001,L69/2147483647)))*COS(2*PI()*M69/2147483647),'Control Room'!$B$8+('Control Room'!$D$8-'Control Room'!$B$8)*L69/2147483647)</x:f>
        <x:v>836.8903238514297</x:v>
      </x:c>
      <x:c r="O69" s="17" t="n">
        <x:f>IF('Control Room'!$B$5="Normal",'Control Room'!$B$7,('Control Room'!$B$8+'Control Room'!$D$8)/2)+'Control Room'!$B$9*(O68-IF('Control Room'!$B$5="Normal",'Control Room'!$B$7,('Control Room'!$B$8+'Control Room'!$D$8)/2))+SQRT(1-'Control Room'!$B$9^2)*(N69-IF('Control Room'!$B$5="Normal",'Control Room'!$B$7,('Control Room'!$B$8+'Control Room'!$D$8)/2))</x:f>
        <x:v>955.462522422617</x:v>
      </x:c>
      <x:c r="P69" s="17" t="n">
        <x:f>IF(AND($A69&gt;='Control Room'!$A$13,$A69&lt;'Control Room'!$A$13+'Control Room'!$B$13,'Process'!BM2=1),1+('Control Room'!$C$13-1)*EXP(-0.5*(($A69-'Control Room'!$A$13-('Control Room'!$B$13-1)/2)/MAX(0.5,'Control Room'!$B$13/4))^2),1)*IF(AND($A69&gt;='Control Room'!$A$14,$A69&lt;'Control Room'!$A$14+'Control Room'!$B$14,'Process'!BM3=1),1+('Control Room'!$C$14-1)*EXP(-0.5*(($A69-'Control Room'!$A$14-('Control Room'!$B$14-1)/2)/MAX(0.5,'Control Room'!$B$14/4))^2),1)*IF(AND($A69&gt;='Control Room'!$A$15,$A69&lt;'Control Room'!$A$15+'Control Room'!$B$15,'Process'!BM4=1),1+('Control Room'!$C$15-1)*EXP(-0.5*(($A69-'Control Room'!$A$15-('Control Room'!$B$15-1)/2)/MAX(0.5,'Control Room'!$B$15/4))^2),1)*IF(AND($A69&gt;='Control Room'!$A$16,$A69&lt;'Control Room'!$A$16+'Control Room'!$B$16,'Process'!BM5=1),1+('Control Room'!$C$16-1)*EXP(-0.5*(($A69-'Control Room'!$A$16-('Control Room'!$B$16-1)/2)/MAX(0.5,'Control Room'!$B$16/4))^2),1)</x:f>
        <x:v>1</x:v>
      </x:c>
      <x:c r="Q69" s="9" t="n">
        <x:f>MOD(R68*16807,2147483647)</x:f>
        <x:v>336379706</x:v>
      </x:c>
      <x:c r="R69" s="9" t="n">
        <x:f>MOD(Q69*16807,2147483647)</x:f>
        <x:v>1356759838</x:v>
      </x:c>
      <x:c r="S69" s="17" t="n">
        <x:f>IF('Control Room'!$B$5="Normal",'Control Room'!$B$7+'Control Room'!$D$7*SQRT(-2*LN(MAX(0.000000000001,Q69/2147483647)))*COS(2*PI()*R69/2147483647),'Control Room'!$B$8+('Control Room'!$D$8-'Control Room'!$B$8)*Q69/2147483647)</x:f>
        <x:v>882.7989447152305</x:v>
      </x:c>
      <x:c r="T69" s="17" t="n">
        <x:f>IF('Control Room'!$B$5="Normal",'Control Room'!$B$7,('Control Room'!$B$8+'Control Room'!$D$8)/2)+'Control Room'!$B$9*(T68-IF('Control Room'!$B$5="Normal",'Control Room'!$B$7,('Control Room'!$B$8+'Control Room'!$D$8)/2))+SQRT(1-'Control Room'!$B$9^2)*(S69-IF('Control Room'!$B$5="Normal",'Control Room'!$B$7,('Control Room'!$B$8+'Control Room'!$D$8)/2))</x:f>
        <x:v>780.6307745334044</x:v>
      </x:c>
      <x:c r="U69" s="17" t="n">
        <x:f>IF(AND($A69&gt;='Control Room'!$A$13,$A69&lt;'Control Room'!$A$13+'Control Room'!$B$13,'Process'!BN2=1),1+('Control Room'!$C$13-1)*EXP(-0.5*(($A69-'Control Room'!$A$13-('Control Room'!$B$13-1)/2)/MAX(0.5,'Control Room'!$B$13/4))^2),1)*IF(AND($A69&gt;='Control Room'!$A$14,$A69&lt;'Control Room'!$A$14+'Control Room'!$B$14,'Process'!BN3=1),1+('Control Room'!$C$14-1)*EXP(-0.5*(($A69-'Control Room'!$A$14-('Control Room'!$B$14-1)/2)/MAX(0.5,'Control Room'!$B$14/4))^2),1)*IF(AND($A69&gt;='Control Room'!$A$15,$A69&lt;'Control Room'!$A$15+'Control Room'!$B$15,'Process'!BN4=1),1+('Control Room'!$C$15-1)*EXP(-0.5*(($A69-'Control Room'!$A$15-('Control Room'!$B$15-1)/2)/MAX(0.5,'Control Room'!$B$15/4))^2),1)*IF(AND($A69&gt;='Control Room'!$A$16,$A69&lt;'Control Room'!$A$16+'Control Room'!$B$16,'Process'!BN5=1),1+('Control Room'!$C$16-1)*EXP(-0.5*(($A69-'Control Room'!$A$16-('Control Room'!$B$16-1)/2)/MAX(0.5,'Control Room'!$B$16/4))^2),1)</x:f>
        <x:v>0.4479122192305969</x:v>
      </x:c>
      <x:c r="V69" s="9" t="n">
        <x:f>MOD(W68*16807,2147483647)</x:f>
        <x:v>310836167</x:v>
      </x:c>
      <x:c r="W69" s="9" t="n">
        <x:f>MOD(V69*16807,2147483647)</x:f>
        <x:v>1543229265</x:v>
      </x:c>
      <x:c r="X69" s="17" t="n">
        <x:f>IF('Control Room'!$B$5="Normal",'Control Room'!$B$7+'Control Room'!$D$7*SQRT(-2*LN(MAX(0.000000000001,V69/2147483647)))*COS(2*PI()*W69/2147483647),'Control Room'!$B$8+('Control Room'!$D$8-'Control Room'!$B$8)*V69/2147483647)</x:f>
        <x:v>965.3394326157159</x:v>
      </x:c>
      <x:c r="Y69" s="17" t="n">
        <x:f>IF('Control Room'!$B$5="Normal",'Control Room'!$B$7,('Control Room'!$B$8+'Control Room'!$D$8)/2)+'Control Room'!$B$9*(Y68-IF('Control Room'!$B$5="Normal",'Control Room'!$B$7,('Control Room'!$B$8+'Control Room'!$D$8)/2))+SQRT(1-'Control Room'!$B$9^2)*(X69-IF('Control Room'!$B$5="Normal",'Control Room'!$B$7,('Control Room'!$B$8+'Control Room'!$D$8)/2))</x:f>
        <x:v>1009.6706443034625</x:v>
      </x:c>
      <x:c r="Z69" s="17" t="n">
        <x:f>IF(AND($A69&gt;='Control Room'!$A$13,$A69&lt;'Control Room'!$A$13+'Control Room'!$B$13,'Process'!BO2=1),1+('Control Room'!$C$13-1)*EXP(-0.5*(($A69-'Control Room'!$A$13-('Control Room'!$B$13-1)/2)/MAX(0.5,'Control Room'!$B$13/4))^2),1)*IF(AND($A69&gt;='Control Room'!$A$14,$A69&lt;'Control Room'!$A$14+'Control Room'!$B$14,'Process'!BO3=1),1+('Control Room'!$C$14-1)*EXP(-0.5*(($A69-'Control Room'!$A$14-('Control Room'!$B$14-1)/2)/MAX(0.5,'Control Room'!$B$14/4))^2),1)*IF(AND($A69&gt;='Control Room'!$A$15,$A69&lt;'Control Room'!$A$15+'Control Room'!$B$15,'Process'!BO4=1),1+('Control Room'!$C$15-1)*EXP(-0.5*(($A69-'Control Room'!$A$15-('Control Room'!$B$15-1)/2)/MAX(0.5,'Control Room'!$B$15/4))^2),1)*IF(AND($A69&gt;='Control Room'!$A$16,$A69&lt;'Control Room'!$A$16+'Control Room'!$B$16,'Process'!BO5=1),1+('Control Room'!$C$16-1)*EXP(-0.5*(($A69-'Control Room'!$A$16-('Control Room'!$B$16-1)/2)/MAX(0.5,'Control Room'!$B$16/4))^2),1)</x:f>
        <x:v>0.4479122192305969</x:v>
      </x:c>
      <x:c r="AA69" s="9" t="n">
        <x:f>MOD(AB68*16807,2147483647)</x:f>
        <x:v>285292628</x:v>
      </x:c>
      <x:c r="AB69" s="9" t="n">
        <x:f>MOD(AA69*16807,2147483647)</x:f>
        <x:v>1729698692</x:v>
      </x:c>
      <x:c r="AC69" s="17" t="n">
        <x:f>IF('Control Room'!$B$5="Normal",'Control Room'!$B$7+'Control Room'!$D$7*SQRT(-2*LN(MAX(0.000000000001,AA69/2147483647)))*COS(2*PI()*AB69/2147483647),'Control Room'!$B$8+('Control Room'!$D$8-'Control Room'!$B$8)*AA69/2147483647)</x:f>
        <x:v>1061.7395225880903</x:v>
      </x:c>
      <x:c r="AD69" s="17" t="n">
        <x:f>IF('Control Room'!$B$5="Normal",'Control Room'!$B$7,('Control Room'!$B$8+'Control Room'!$D$8)/2)+'Control Room'!$B$9*(AD68-IF('Control Room'!$B$5="Normal",'Control Room'!$B$7,('Control Room'!$B$8+'Control Room'!$D$8)/2))+SQRT(1-'Control Room'!$B$9^2)*(AC69-IF('Control Room'!$B$5="Normal",'Control Room'!$B$7,('Control Room'!$B$8+'Control Room'!$D$8)/2))</x:f>
        <x:v>1113.0296243660985</x:v>
      </x:c>
      <x:c r="AE69" s="17" t="n">
        <x:f>IF(AND($A69&gt;='Control Room'!$A$13,$A69&lt;'Control Room'!$A$13+'Control Room'!$B$13,'Process'!BP2=1),1+('Control Room'!$C$13-1)*EXP(-0.5*(($A69-'Control Room'!$A$13-('Control Room'!$B$13-1)/2)/MAX(0.5,'Control Room'!$B$13/4))^2),1)*IF(AND($A69&gt;='Control Room'!$A$14,$A69&lt;'Control Room'!$A$14+'Control Room'!$B$14,'Process'!BP3=1),1+('Control Room'!$C$14-1)*EXP(-0.5*(($A69-'Control Room'!$A$14-('Control Room'!$B$14-1)/2)/MAX(0.5,'Control Room'!$B$14/4))^2),1)*IF(AND($A69&gt;='Control Room'!$A$15,$A69&lt;'Control Room'!$A$15+'Control Room'!$B$15,'Process'!BP4=1),1+('Control Room'!$C$15-1)*EXP(-0.5*(($A69-'Control Room'!$A$15-('Control Room'!$B$15-1)/2)/MAX(0.5,'Control Room'!$B$15/4))^2),1)*IF(AND($A69&gt;='Control Room'!$A$16,$A69&lt;'Control Room'!$A$16+'Control Room'!$B$16,'Process'!BP5=1),1+('Control Room'!$C$16-1)*EXP(-0.5*(($A69-'Control Room'!$A$16-('Control Room'!$B$16-1)/2)/MAX(0.5,'Control Room'!$B$16/4))^2),1)</x:f>
        <x:v>1</x:v>
      </x:c>
      <x:c r="AF69" s="9" t="n">
        <x:f>MOD(AG68*16807,2147483647)</x:f>
        <x:v>259749089</x:v>
      </x:c>
      <x:c r="AG69" s="9" t="n">
        <x:f>MOD(AF69*16807,2147483647)</x:f>
        <x:v>1916168119</x:v>
      </x:c>
      <x:c r="AH69" s="17" t="n">
        <x:f>IF('Control Room'!$B$5="Normal",'Control Room'!$B$7+'Control Room'!$D$7*SQRT(-2*LN(MAX(0.000000000001,AF69/2147483647)))*COS(2*PI()*AG69/2147483647),'Control Room'!$B$8+('Control Room'!$D$8-'Control Room'!$B$8)*AF69/2147483647)</x:f>
        <x:v>1144.2125965271362</x:v>
      </x:c>
      <x:c r="AI69" s="17" t="n">
        <x:f>IF('Control Room'!$B$5="Normal",'Control Room'!$B$7,('Control Room'!$B$8+'Control Room'!$D$8)/2)+'Control Room'!$B$9*(AI68-IF('Control Room'!$B$5="Normal",'Control Room'!$B$7,('Control Room'!$B$8+'Control Room'!$D$8)/2))+SQRT(1-'Control Room'!$B$9^2)*(AH69-IF('Control Room'!$B$5="Normal",'Control Room'!$B$7,('Control Room'!$B$8+'Control Room'!$D$8)/2))</x:f>
        <x:v>1047.715569123846</x:v>
      </x:c>
      <x:c r="AJ69" s="17" t="n">
        <x:f>IF(AND($A69&gt;='Control Room'!$A$13,$A69&lt;'Control Room'!$A$13+'Control Room'!$B$13,'Process'!BQ2=1),1+('Control Room'!$C$13-1)*EXP(-0.5*(($A69-'Control Room'!$A$13-('Control Room'!$B$13-1)/2)/MAX(0.5,'Control Room'!$B$13/4))^2),1)*IF(AND($A69&gt;='Control Room'!$A$14,$A69&lt;'Control Room'!$A$14+'Control Room'!$B$14,'Process'!BQ3=1),1+('Control Room'!$C$14-1)*EXP(-0.5*(($A69-'Control Room'!$A$14-('Control Room'!$B$14-1)/2)/MAX(0.5,'Control Room'!$B$14/4))^2),1)*IF(AND($A69&gt;='Control Room'!$A$15,$A69&lt;'Control Room'!$A$15+'Control Room'!$B$15,'Process'!BQ4=1),1+('Control Room'!$C$15-1)*EXP(-0.5*(($A69-'Control Room'!$A$15-('Control Room'!$B$15-1)/2)/MAX(0.5,'Control Room'!$B$15/4))^2),1)*IF(AND($A69&gt;='Control Room'!$A$16,$A69&lt;'Control Room'!$A$16+'Control Room'!$B$16,'Process'!BQ5=1),1+('Control Room'!$C$16-1)*EXP(-0.5*(($A69-'Control Room'!$A$16-('Control Room'!$B$16-1)/2)/MAX(0.5,'Control Room'!$B$16/4))^2),1)</x:f>
        <x:v>0.4479122192305969</x:v>
      </x:c>
      <x:c r="AK69" s="9" t="n">
        <x:f>MOD(AL68*16807,2147483647)</x:f>
        <x:v>234205550</x:v>
      </x:c>
      <x:c r="AL69" s="9" t="n">
        <x:f>MOD(AK69*16807,2147483647)</x:f>
        <x:v>2102637546</x:v>
      </x:c>
      <x:c r="AM69" s="17" t="n">
        <x:f>IF('Control Room'!$B$5="Normal",'Control Room'!$B$7+'Control Room'!$D$7*SQRT(-2*LN(MAX(0.000000000001,AK69/2147483647)))*COS(2*PI()*AL69/2147483647),'Control Room'!$B$8+('Control Room'!$D$8-'Control Room'!$B$8)*AK69/2147483647)</x:f>
        <x:v>1187.8359163892965</x:v>
      </x:c>
      <x:c r="AN69" s="17" t="n">
        <x:f>IF('Control Room'!$B$5="Normal",'Control Room'!$B$7,('Control Room'!$B$8+'Control Room'!$D$8)/2)+'Control Room'!$B$9*(AN68-IF('Control Room'!$B$5="Normal",'Control Room'!$B$7,('Control Room'!$B$8+'Control Room'!$D$8)/2))+SQRT(1-'Control Room'!$B$9^2)*(AM69-IF('Control Room'!$B$5="Normal",'Control Room'!$B$7,('Control Room'!$B$8+'Control Room'!$D$8)/2))</x:f>
        <x:v>1166.9091178197618</x:v>
      </x:c>
      <x:c r="AO69" s="17" t="n">
        <x:f>IF(AND($A69&gt;='Control Room'!$A$13,$A69&lt;'Control Room'!$A$13+'Control Room'!$B$13,'Process'!BR2=1),1+('Control Room'!$C$13-1)*EXP(-0.5*(($A69-'Control Room'!$A$13-('Control Room'!$B$13-1)/2)/MAX(0.5,'Control Room'!$B$13/4))^2),1)*IF(AND($A69&gt;='Control Room'!$A$14,$A69&lt;'Control Room'!$A$14+'Control Room'!$B$14,'Process'!BR3=1),1+('Control Room'!$C$14-1)*EXP(-0.5*(($A69-'Control Room'!$A$14-('Control Room'!$B$14-1)/2)/MAX(0.5,'Control Room'!$B$14/4))^2),1)*IF(AND($A69&gt;='Control Room'!$A$15,$A69&lt;'Control Room'!$A$15+'Control Room'!$B$15,'Process'!BR4=1),1+('Control Room'!$C$15-1)*EXP(-0.5*(($A69-'Control Room'!$A$15-('Control Room'!$B$15-1)/2)/MAX(0.5,'Control Room'!$B$15/4))^2),1)*IF(AND($A69&gt;='Control Room'!$A$16,$A69&lt;'Control Room'!$A$16+'Control Room'!$B$16,'Process'!BR5=1),1+('Control Room'!$C$16-1)*EXP(-0.5*(($A69-'Control Room'!$A$16-('Control Room'!$B$16-1)/2)/MAX(0.5,'Control Room'!$B$16/4))^2),1)</x:f>
        <x:v>0.4479122192305969</x:v>
      </x:c>
      <x:c r="AP69" s="9" t="n">
        <x:f>MOD(AQ68*16807,2147483647)</x:f>
        <x:v>208662011</x:v>
      </x:c>
      <x:c r="AQ69" s="9" t="n">
        <x:f>MOD(AP69*16807,2147483647)</x:f>
        <x:v>141623326</x:v>
      </x:c>
      <x:c r="AR69" s="17" t="n">
        <x:f>IF('Control Room'!$B$5="Normal",'Control Room'!$B$7+'Control Room'!$D$7*SQRT(-2*LN(MAX(0.000000000001,AP69/2147483647)))*COS(2*PI()*AQ69/2147483647),'Control Room'!$B$8+('Control Room'!$D$8-'Control Room'!$B$8)*AP69/2147483647)</x:f>
        <x:v>1177.8923830139775</x:v>
      </x:c>
      <x:c r="AS69" s="17" t="n">
        <x:f>IF('Control Room'!$B$5="Normal",'Control Room'!$B$7,('Control Room'!$B$8+'Control Room'!$D$8)/2)+'Control Room'!$B$9*(AS68-IF('Control Room'!$B$5="Normal",'Control Room'!$B$7,('Control Room'!$B$8+'Control Room'!$D$8)/2))+SQRT(1-'Control Room'!$B$9^2)*(AR69-IF('Control Room'!$B$5="Normal",'Control Room'!$B$7,('Control Room'!$B$8+'Control Room'!$D$8)/2))</x:f>
        <x:v>1111.053773699996</x:v>
      </x:c>
      <x:c r="AT69" s="17" t="n">
        <x:f>IF(AND($A69&gt;='Control Room'!$A$13,$A69&lt;'Control Room'!$A$13+'Control Room'!$B$13,'Process'!BS2=1),1+('Control Room'!$C$13-1)*EXP(-0.5*(($A69-'Control Room'!$A$13-('Control Room'!$B$13-1)/2)/MAX(0.5,'Control Room'!$B$13/4))^2),1)*IF(AND($A69&gt;='Control Room'!$A$14,$A69&lt;'Control Room'!$A$14+'Control Room'!$B$14,'Process'!BS3=1),1+('Control Room'!$C$14-1)*EXP(-0.5*(($A69-'Control Room'!$A$14-('Control Room'!$B$14-1)/2)/MAX(0.5,'Control Room'!$B$14/4))^2),1)*IF(AND($A69&gt;='Control Room'!$A$15,$A69&lt;'Control Room'!$A$15+'Control Room'!$B$15,'Process'!BS4=1),1+('Control Room'!$C$15-1)*EXP(-0.5*(($A69-'Control Room'!$A$15-('Control Room'!$B$15-1)/2)/MAX(0.5,'Control Room'!$B$15/4))^2),1)*IF(AND($A69&gt;='Control Room'!$A$16,$A69&lt;'Control Room'!$A$16+'Control Room'!$B$16,'Process'!BS5=1),1+('Control Room'!$C$16-1)*EXP(-0.5*(($A69-'Control Room'!$A$16-('Control Room'!$B$16-1)/2)/MAX(0.5,'Control Room'!$B$16/4))^2),1)</x:f>
        <x:v>0.4479122192305969</x:v>
      </x:c>
      <x:c r="AU69" s="9" t="n">
        <x:f>MOD(AV68*16807,2147483647)</x:f>
        <x:v>183118472</x:v>
      </x:c>
      <x:c r="AV69" s="9" t="n">
        <x:f>MOD(AU69*16807,2147483647)</x:f>
        <x:v>328092753</x:v>
      </x:c>
      <x:c r="AW69" s="17" t="n">
        <x:f>IF('Control Room'!$B$5="Normal",'Control Room'!$B$7+'Control Room'!$D$7*SQRT(-2*LN(MAX(0.000000000001,AU69/2147483647)))*COS(2*PI()*AV69/2147483647),'Control Room'!$B$8+('Control Room'!$D$8-'Control Room'!$B$8)*AU69/2147483647)</x:f>
        <x:v>1114.5451320076122</x:v>
      </x:c>
      <x:c r="AX69" s="17" t="n">
        <x:f>IF('Control Room'!$B$5="Normal",'Control Room'!$B$7,('Control Room'!$B$8+'Control Room'!$D$8)/2)+'Control Room'!$B$9*(AX68-IF('Control Room'!$B$5="Normal",'Control Room'!$B$7,('Control Room'!$B$8+'Control Room'!$D$8)/2))+SQRT(1-'Control Room'!$B$9^2)*(AW69-IF('Control Room'!$B$5="Normal",'Control Room'!$B$7,('Control Room'!$B$8+'Control Room'!$D$8)/2))</x:f>
        <x:v>1071.7837006038596</x:v>
      </x:c>
      <x:c r="AY69" s="17" t="n">
        <x:f>IF(AND($A69&gt;='Control Room'!$A$13,$A69&lt;'Control Room'!$A$13+'Control Room'!$B$13,'Process'!BT2=1),1+('Control Room'!$C$13-1)*EXP(-0.5*(($A69-'Control Room'!$A$13-('Control Room'!$B$13-1)/2)/MAX(0.5,'Control Room'!$B$13/4))^2),1)*IF(AND($A69&gt;='Control Room'!$A$14,$A69&lt;'Control Room'!$A$14+'Control Room'!$B$14,'Process'!BT3=1),1+('Control Room'!$C$14-1)*EXP(-0.5*(($A69-'Control Room'!$A$14-('Control Room'!$B$14-1)/2)/MAX(0.5,'Control Room'!$B$14/4))^2),1)*IF(AND($A69&gt;='Control Room'!$A$15,$A69&lt;'Control Room'!$A$15+'Control Room'!$B$15,'Process'!BT4=1),1+('Control Room'!$C$15-1)*EXP(-0.5*(($A69-'Control Room'!$A$15-('Control Room'!$B$15-1)/2)/MAX(0.5,'Control Room'!$B$15/4))^2),1)*IF(AND($A69&gt;='Control Room'!$A$16,$A69&lt;'Control Room'!$A$16+'Control Room'!$B$16,'Process'!BT5=1),1+('Control Room'!$C$16-1)*EXP(-0.5*(($A69-'Control Room'!$A$16-('Control Room'!$B$16-1)/2)/MAX(0.5,'Control Room'!$B$16/4))^2),1)</x:f>
        <x:v>1</x:v>
      </x:c>
      <x:c r="AZ69" s="9" t="n">
        <x:f>MOD(BA68*16807,2147483647)</x:f>
        <x:v>157574933</x:v>
      </x:c>
      <x:c r="BA69" s="9" t="n">
        <x:f>MOD(AZ69*16807,2147483647)</x:f>
        <x:v>514562180</x:v>
      </x:c>
      <x:c r="BB69" s="17" t="n">
        <x:f>IF('Control Room'!$B$5="Normal",'Control Room'!$B$7+'Control Room'!$D$7*SQRT(-2*LN(MAX(0.000000000001,AZ69/2147483647)))*COS(2*PI()*BA69/2147483647),'Control Room'!$B$8+('Control Room'!$D$8-'Control Room'!$B$8)*AZ69/2147483647)</x:f>
        <x:v>1013.4175463292021</x:v>
      </x:c>
      <x:c r="BC69" s="17" t="n">
        <x:f>IF('Control Room'!$B$5="Normal",'Control Room'!$B$7,('Control Room'!$B$8+'Control Room'!$D$8)/2)+'Control Room'!$B$9*(BC68-IF('Control Room'!$B$5="Normal",'Control Room'!$B$7,('Control Room'!$B$8+'Control Room'!$D$8)/2))+SQRT(1-'Control Room'!$B$9^2)*(BB69-IF('Control Room'!$B$5="Normal",'Control Room'!$B$7,('Control Room'!$B$8+'Control Room'!$D$8)/2))</x:f>
        <x:v>942.1397474153041</x:v>
      </x:c>
      <x:c r="BD69" s="17" t="n">
        <x:f>IF(AND($A69&gt;='Control Room'!$A$13,$A69&lt;'Control Room'!$A$13+'Control Room'!$B$13,'Process'!BU2=1),1+('Control Room'!$C$13-1)*EXP(-0.5*(($A69-'Control Room'!$A$13-('Control Room'!$B$13-1)/2)/MAX(0.5,'Control Room'!$B$13/4))^2),1)*IF(AND($A69&gt;='Control Room'!$A$14,$A69&lt;'Control Room'!$A$14+'Control Room'!$B$14,'Process'!BU3=1),1+('Control Room'!$C$14-1)*EXP(-0.5*(($A69-'Control Room'!$A$14-('Control Room'!$B$14-1)/2)/MAX(0.5,'Control Room'!$B$14/4))^2),1)*IF(AND($A69&gt;='Control Room'!$A$15,$A69&lt;'Control Room'!$A$15+'Control Room'!$B$15,'Process'!BU4=1),1+('Control Room'!$C$15-1)*EXP(-0.5*(($A69-'Control Room'!$A$15-('Control Room'!$B$15-1)/2)/MAX(0.5,'Control Room'!$B$15/4))^2),1)*IF(AND($A69&gt;='Control Room'!$A$16,$A69&lt;'Control Room'!$A$16+'Control Room'!$B$16,'Process'!BU5=1),1+('Control Room'!$C$16-1)*EXP(-0.5*(($A69-'Control Room'!$A$16-('Control Room'!$B$16-1)/2)/MAX(0.5,'Control Room'!$B$16/4))^2),1)</x:f>
        <x:v>0.4479122192305969</x:v>
      </x:c>
      <x:c r="BE69" s="9" t="n">
        <x:f>MOD(BF68*16807,2147483647)</x:f>
        <x:v>132031394</x:v>
      </x:c>
      <x:c r="BF69" s="9" t="n">
        <x:f>MOD(BE69*16807,2147483647)</x:f>
        <x:v>701031607</x:v>
      </x:c>
      <x:c r="BG69" s="17" t="n">
        <x:f>IF('Control Room'!$B$5="Normal",'Control Room'!$B$7+'Control Room'!$D$7*SQRT(-2*LN(MAX(0.000000000001,BE69/2147483647)))*COS(2*PI()*BF69/2147483647),'Control Room'!$B$8+('Control Room'!$D$8-'Control Room'!$B$8)*BE69/2147483647)</x:f>
        <x:v>901.7860179910696</x:v>
      </x:c>
      <x:c r="BH69" s="17" t="n">
        <x:f>IF('Control Room'!$B$5="Normal",'Control Room'!$B$7,('Control Room'!$B$8+'Control Room'!$D$8)/2)+'Control Room'!$B$9*(BH68-IF('Control Room'!$B$5="Normal",'Control Room'!$B$7,('Control Room'!$B$8+'Control Room'!$D$8)/2))+SQRT(1-'Control Room'!$B$9^2)*(BG69-IF('Control Room'!$B$5="Normal",'Control Room'!$B$7,('Control Room'!$B$8+'Control Room'!$D$8)/2))</x:f>
        <x:v>931.3626696739799</x:v>
      </x:c>
      <x:c r="BI69" s="17" t="n">
        <x:f>IF(AND($A69&gt;='Control Room'!$A$13,$A69&lt;'Control Room'!$A$13+'Control Room'!$B$13,'Process'!BV2=1),1+('Control Room'!$C$13-1)*EXP(-0.5*(($A69-'Control Room'!$A$13-('Control Room'!$B$13-1)/2)/MAX(0.5,'Control Room'!$B$13/4))^2),1)*IF(AND($A69&gt;='Control Room'!$A$14,$A69&lt;'Control Room'!$A$14+'Control Room'!$B$14,'Process'!BV3=1),1+('Control Room'!$C$14-1)*EXP(-0.5*(($A69-'Control Room'!$A$14-('Control Room'!$B$14-1)/2)/MAX(0.5,'Control Room'!$B$14/4))^2),1)*IF(AND($A69&gt;='Control Room'!$A$15,$A69&lt;'Control Room'!$A$15+'Control Room'!$B$15,'Process'!BV4=1),1+('Control Room'!$C$15-1)*EXP(-0.5*(($A69-'Control Room'!$A$15-('Control Room'!$B$15-1)/2)/MAX(0.5,'Control Room'!$B$15/4))^2),1)*IF(AND($A69&gt;='Control Room'!$A$16,$A69&lt;'Control Room'!$A$16+'Control Room'!$B$16,'Process'!BV5=1),1+('Control Room'!$C$16-1)*EXP(-0.5*(($A69-'Control Room'!$A$16-('Control Room'!$B$16-1)/2)/MAX(0.5,'Control Room'!$B$16/4))^2),1)</x:f>
        <x:v>0.4479122192305969</x:v>
      </x:c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Z69" t="str">
        <x:f>IF('Data'!A69="","",TEXT('Data'!A69,"mm-dd"))</x:f>
        <x:v>01-08</x:v>
      </x:c>
    </x:row>
    <x:row r="70" ht="21" customHeight="1">
      <x:c r="A70" s="15" t="n">
        <x:f>'Control Room'!$B$1+68</x:f>
        <x:v>73059</x:v>
      </x:c>
      <x:c r="B70" s="9" t="n">
        <x:f>MOD(C69*16807,2147483647)</x:f>
        <x:v>789661219</x:v>
      </x:c>
      <x:c r="C70" s="9" t="n">
        <x:f>MOD(B70*16807,2147483647)</x:f>
        <x:v>387169273</x:v>
      </x:c>
      <x:c r="D70" s="17" t="n">
        <x:f>IF('Control Room'!$B$5="Normal",'Control Room'!$B$7+'Control Room'!$D$7*SQRT(-2*LN(MAX(0.000000000001,B70/2147483647)))*COS(2*PI()*C70/2147483647),'Control Room'!$B$8+('Control Room'!$D$8-'Control Room'!$B$8)*B70/2147483647)</x:f>
        <x:v>1053.9951986108133</x:v>
      </x:c>
      <x:c r="E70" s="17" t="n">
        <x:f>IF('Control Room'!$B$5="Normal",'Control Room'!$B$7,('Control Room'!$B$8+'Control Room'!$D$8)/2)+'Control Room'!$B$9*(E69-IF('Control Room'!$B$5="Normal",'Control Room'!$B$7,('Control Room'!$B$8+'Control Room'!$D$8)/2))+SQRT(1-'Control Room'!$B$9^2)*(D70-IF('Control Room'!$B$5="Normal",'Control Room'!$B$7,('Control Room'!$B$8+'Control Room'!$D$8)/2))</x:f>
        <x:v>1000.5670694197461</x:v>
      </x:c>
      <x:c r="F70" s="17" t="n">
        <x:f>IF(AND($A70&gt;='Control Room'!$A$13,$A70&lt;'Control Room'!$A$13+'Control Room'!$B$13,'Process'!BK2=1),1+('Control Room'!$C$13-1)*EXP(-0.5*(($A70-'Control Room'!$A$13-('Control Room'!$B$13-1)/2)/MAX(0.5,'Control Room'!$B$13/4))^2),1)*IF(AND($A70&gt;='Control Room'!$A$14,$A70&lt;'Control Room'!$A$14+'Control Room'!$B$14,'Process'!BK3=1),1+('Control Room'!$C$14-1)*EXP(-0.5*(($A70-'Control Room'!$A$14-('Control Room'!$B$14-1)/2)/MAX(0.5,'Control Room'!$B$14/4))^2),1)*IF(AND($A70&gt;='Control Room'!$A$15,$A70&lt;'Control Room'!$A$15+'Control Room'!$B$15,'Process'!BK4=1),1+('Control Room'!$C$15-1)*EXP(-0.5*(($A70-'Control Room'!$A$15-('Control Room'!$B$15-1)/2)/MAX(0.5,'Control Room'!$B$15/4))^2),1)*IF(AND($A70&gt;='Control Room'!$A$16,$A70&lt;'Control Room'!$A$16+'Control Room'!$B$16,'Process'!BK5=1),1+('Control Room'!$C$16-1)*EXP(-0.5*(($A70-'Control Room'!$A$16-('Control Room'!$B$16-1)/2)/MAX(0.5,'Control Room'!$B$16/4))^2),1)</x:f>
        <x:v>0.6617074213365437</x:v>
      </x:c>
      <x:c r="G70" s="9" t="n">
        <x:f>MOD(H69*16807,2147483647)</x:f>
        <x:v>1602679835</x:v>
      </x:c>
      <x:c r="H70" s="9" t="n">
        <x:f>MOD(G70*16807,2147483647)</x:f>
        <x:v>352602524</x:v>
      </x:c>
      <x:c r="I70" s="17" t="n">
        <x:f>IF('Control Room'!$B$5="Normal",'Control Room'!$B$7+'Control Room'!$D$7*SQRT(-2*LN(MAX(0.000000000001,G70/2147483647)))*COS(2*PI()*H70/2147483647),'Control Room'!$B$8+('Control Room'!$D$8-'Control Room'!$B$8)*G70/2147483647)</x:f>
        <x:v>1035.3478426297686</x:v>
      </x:c>
      <x:c r="J70" s="17" t="n">
        <x:f>IF('Control Room'!$B$5="Normal",'Control Room'!$B$7,('Control Room'!$B$8+'Control Room'!$D$8)/2)+'Control Room'!$B$9*(J69-IF('Control Room'!$B$5="Normal",'Control Room'!$B$7,('Control Room'!$B$8+'Control Room'!$D$8)/2))+SQRT(1-'Control Room'!$B$9^2)*(I70-IF('Control Room'!$B$5="Normal",'Control Room'!$B$7,('Control Room'!$B$8+'Control Room'!$D$8)/2))</x:f>
        <x:v>942.9477675070352</x:v>
      </x:c>
      <x:c r="K70" s="17" t="n">
        <x:f>IF(AND($A70&gt;='Control Room'!$A$13,$A70&lt;'Control Room'!$A$13+'Control Room'!$B$13,'Process'!BL2=1),1+('Control Room'!$C$13-1)*EXP(-0.5*(($A70-'Control Room'!$A$13-('Control Room'!$B$13-1)/2)/MAX(0.5,'Control Room'!$B$13/4))^2),1)*IF(AND($A70&gt;='Control Room'!$A$14,$A70&lt;'Control Room'!$A$14+'Control Room'!$B$14,'Process'!BL3=1),1+('Control Room'!$C$14-1)*EXP(-0.5*(($A70-'Control Room'!$A$14-('Control Room'!$B$14-1)/2)/MAX(0.5,'Control Room'!$B$14/4))^2),1)*IF(AND($A70&gt;='Control Room'!$A$15,$A70&lt;'Control Room'!$A$15+'Control Room'!$B$15,'Process'!BL4=1),1+('Control Room'!$C$15-1)*EXP(-0.5*(($A70-'Control Room'!$A$15-('Control Room'!$B$15-1)/2)/MAX(0.5,'Control Room'!$B$15/4))^2),1)*IF(AND($A70&gt;='Control Room'!$A$16,$A70&lt;'Control Room'!$A$16+'Control Room'!$B$16,'Process'!BL5=1),1+('Control Room'!$C$16-1)*EXP(-0.5*(($A70-'Control Room'!$A$16-('Control Room'!$B$16-1)/2)/MAX(0.5,'Control Room'!$B$16/4))^2),1)</x:f>
        <x:v>0.6617074213365437</x:v>
      </x:c>
      <x:c r="L70" s="9" t="n">
        <x:f>MOD(M69*16807,2147483647)</x:f>
        <x:v>268214804</x:v>
      </x:c>
      <x:c r="M70" s="9" t="n">
        <x:f>MOD(L70*16807,2147483647)</x:f>
        <x:v>318035775</x:v>
      </x:c>
      <x:c r="N70" s="17" t="n">
        <x:f>IF('Control Room'!$B$5="Normal",'Control Room'!$B$7+'Control Room'!$D$7*SQRT(-2*LN(MAX(0.000000000001,L70/2147483647)))*COS(2*PI()*M70/2147483647),'Control Room'!$B$8+('Control Room'!$D$8-'Control Room'!$B$8)*L70/2147483647)</x:f>
        <x:v>1109.6715566055213</x:v>
      </x:c>
      <x:c r="O70" s="17" t="n">
        <x:f>IF('Control Room'!$B$5="Normal",'Control Room'!$B$7,('Control Room'!$B$8+'Control Room'!$D$8)/2)+'Control Room'!$B$9*(O69-IF('Control Room'!$B$5="Normal",'Control Room'!$B$7,('Control Room'!$B$8+'Control Room'!$D$8)/2))+SQRT(1-'Control Room'!$B$9^2)*(N70-IF('Control Room'!$B$5="Normal",'Control Room'!$B$7,('Control Room'!$B$8+'Control Room'!$D$8)/2))</x:f>
        <x:v>1033.890980869418</x:v>
      </x:c>
      <x:c r="P70" s="17" t="n">
        <x:f>IF(AND($A70&gt;='Control Room'!$A$13,$A70&lt;'Control Room'!$A$13+'Control Room'!$B$13,'Process'!BM2=1),1+('Control Room'!$C$13-1)*EXP(-0.5*(($A70-'Control Room'!$A$13-('Control Room'!$B$13-1)/2)/MAX(0.5,'Control Room'!$B$13/4))^2),1)*IF(AND($A70&gt;='Control Room'!$A$14,$A70&lt;'Control Room'!$A$14+'Control Room'!$B$14,'Process'!BM3=1),1+('Control Room'!$C$14-1)*EXP(-0.5*(($A70-'Control Room'!$A$14-('Control Room'!$B$14-1)/2)/MAX(0.5,'Control Room'!$B$14/4))^2),1)*IF(AND($A70&gt;='Control Room'!$A$15,$A70&lt;'Control Room'!$A$15+'Control Room'!$B$15,'Process'!BM4=1),1+('Control Room'!$C$15-1)*EXP(-0.5*(($A70-'Control Room'!$A$15-('Control Room'!$B$15-1)/2)/MAX(0.5,'Control Room'!$B$15/4))^2),1)*IF(AND($A70&gt;='Control Room'!$A$16,$A70&lt;'Control Room'!$A$16+'Control Room'!$B$16,'Process'!BM5=1),1+('Control Room'!$C$16-1)*EXP(-0.5*(($A70-'Control Room'!$A$16-('Control Room'!$B$16-1)/2)/MAX(0.5,'Control Room'!$B$16/4))^2),1)</x:f>
        <x:v>1</x:v>
      </x:c>
      <x:c r="Q70" s="9" t="n">
        <x:f>MOD(R69*16807,2147483647)</x:f>
        <x:v>1081233420</x:v>
      </x:c>
      <x:c r="R70" s="9" t="n">
        <x:f>MOD(Q70*16807,2147483647)</x:f>
        <x:v>283469026</x:v>
      </x:c>
      <x:c r="S70" s="17" t="n">
        <x:f>IF('Control Room'!$B$5="Normal",'Control Room'!$B$7+'Control Room'!$D$7*SQRT(-2*LN(MAX(0.000000000001,Q70/2147483647)))*COS(2*PI()*R70/2147483647),'Control Room'!$B$8+('Control Room'!$D$8-'Control Room'!$B$8)*Q70/2147483647)</x:f>
        <x:v>1071.2028323802185</x:v>
      </x:c>
      <x:c r="T70" s="17" t="n">
        <x:f>IF('Control Room'!$B$5="Normal",'Control Room'!$B$7,('Control Room'!$B$8+'Control Room'!$D$8)/2)+'Control Room'!$B$9*(T69-IF('Control Room'!$B$5="Normal",'Control Room'!$B$7,('Control Room'!$B$8+'Control Room'!$D$8)/2))+SQRT(1-'Control Room'!$B$9^2)*(S70-IF('Control Room'!$B$5="Normal",'Control Room'!$B$7,('Control Room'!$B$8+'Control Room'!$D$8)/2))</x:f>
        <x:v>873.4492779702891</x:v>
      </x:c>
      <x:c r="U70" s="17" t="n">
        <x:f>IF(AND($A70&gt;='Control Room'!$A$13,$A70&lt;'Control Room'!$A$13+'Control Room'!$B$13,'Process'!BN2=1),1+('Control Room'!$C$13-1)*EXP(-0.5*(($A70-'Control Room'!$A$13-('Control Room'!$B$13-1)/2)/MAX(0.5,'Control Room'!$B$13/4))^2),1)*IF(AND($A70&gt;='Control Room'!$A$14,$A70&lt;'Control Room'!$A$14+'Control Room'!$B$14,'Process'!BN3=1),1+('Control Room'!$C$14-1)*EXP(-0.5*(($A70-'Control Room'!$A$14-('Control Room'!$B$14-1)/2)/MAX(0.5,'Control Room'!$B$14/4))^2),1)*IF(AND($A70&gt;='Control Room'!$A$15,$A70&lt;'Control Room'!$A$15+'Control Room'!$B$15,'Process'!BN4=1),1+('Control Room'!$C$15-1)*EXP(-0.5*(($A70-'Control Room'!$A$15-('Control Room'!$B$15-1)/2)/MAX(0.5,'Control Room'!$B$15/4))^2),1)*IF(AND($A70&gt;='Control Room'!$A$16,$A70&lt;'Control Room'!$A$16+'Control Room'!$B$16,'Process'!BN5=1),1+('Control Room'!$C$16-1)*EXP(-0.5*(($A70-'Control Room'!$A$16-('Control Room'!$B$16-1)/2)/MAX(0.5,'Control Room'!$B$16/4))^2),1)</x:f>
        <x:v>0.6617074213365437</x:v>
      </x:c>
      <x:c r="V70" s="9" t="n">
        <x:f>MOD(W69*16807,2147483647)</x:f>
        <x:v>1894252036</x:v>
      </x:c>
      <x:c r="W70" s="9" t="n">
        <x:f>MOD(V70*16807,2147483647)</x:f>
        <x:v>248902277</x:v>
      </x:c>
      <x:c r="X70" s="17" t="n">
        <x:f>IF('Control Room'!$B$5="Normal",'Control Room'!$B$7+'Control Room'!$D$7*SQRT(-2*LN(MAX(0.000000000001,V70/2147483647)))*COS(2*PI()*W70/2147483647),'Control Room'!$B$8+('Control Room'!$D$8-'Control Room'!$B$8)*V70/2147483647)</x:f>
        <x:v>1033.6488378916129</x:v>
      </x:c>
      <x:c r="Y70" s="17" t="n">
        <x:f>IF('Control Room'!$B$5="Normal",'Control Room'!$B$7,('Control Room'!$B$8+'Control Room'!$D$8)/2)+'Control Room'!$B$9*(Y69-IF('Control Room'!$B$5="Normal",'Control Room'!$B$7,('Control Room'!$B$8+'Control Room'!$D$8)/2))+SQRT(1-'Control Room'!$B$9^2)*(X70-IF('Control Room'!$B$5="Normal",'Control Room'!$B$7,('Control Room'!$B$8+'Control Room'!$D$8)/2))</x:f>
        <x:v>1028.5998559753593</x:v>
      </x:c>
      <x:c r="Z70" s="17" t="n">
        <x:f>IF(AND($A70&gt;='Control Room'!$A$13,$A70&lt;'Control Room'!$A$13+'Control Room'!$B$13,'Process'!BO2=1),1+('Control Room'!$C$13-1)*EXP(-0.5*(($A70-'Control Room'!$A$13-('Control Room'!$B$13-1)/2)/MAX(0.5,'Control Room'!$B$13/4))^2),1)*IF(AND($A70&gt;='Control Room'!$A$14,$A70&lt;'Control Room'!$A$14+'Control Room'!$B$14,'Process'!BO3=1),1+('Control Room'!$C$14-1)*EXP(-0.5*(($A70-'Control Room'!$A$14-('Control Room'!$B$14-1)/2)/MAX(0.5,'Control Room'!$B$14/4))^2),1)*IF(AND($A70&gt;='Control Room'!$A$15,$A70&lt;'Control Room'!$A$15+'Control Room'!$B$15,'Process'!BO4=1),1+('Control Room'!$C$15-1)*EXP(-0.5*(($A70-'Control Room'!$A$15-('Control Room'!$B$15-1)/2)/MAX(0.5,'Control Room'!$B$15/4))^2),1)*IF(AND($A70&gt;='Control Room'!$A$16,$A70&lt;'Control Room'!$A$16+'Control Room'!$B$16,'Process'!BO5=1),1+('Control Room'!$C$16-1)*EXP(-0.5*(($A70-'Control Room'!$A$16-('Control Room'!$B$16-1)/2)/MAX(0.5,'Control Room'!$B$16/4))^2),1)</x:f>
        <x:v>0.6617074213365437</x:v>
      </x:c>
      <x:c r="AA70" s="9" t="n">
        <x:f>MOD(AB69*16807,2147483647)</x:f>
        <x:v>559787005</x:v>
      </x:c>
      <x:c r="AB70" s="9" t="n">
        <x:f>MOD(AA70*16807,2147483647)</x:f>
        <x:v>214335528</x:v>
      </x:c>
      <x:c r="AC70" s="17" t="n">
        <x:f>IF('Control Room'!$B$5="Normal",'Control Room'!$B$7+'Control Room'!$D$7*SQRT(-2*LN(MAX(0.000000000001,AA70/2147483647)))*COS(2*PI()*AB70/2147483647),'Control Room'!$B$8+('Control Room'!$D$8-'Control Room'!$B$8)*AA70/2147483647)</x:f>
        <x:v>1119.5020907129872</x:v>
      </x:c>
      <x:c r="AD70" s="17" t="n">
        <x:f>IF('Control Room'!$B$5="Normal",'Control Room'!$B$7,('Control Room'!$B$8+'Control Room'!$D$8)/2)+'Control Room'!$B$9*(AD69-IF('Control Room'!$B$5="Normal",'Control Room'!$B$7,('Control Room'!$B$8+'Control Room'!$D$8)/2))+SQRT(1-'Control Room'!$B$9^2)*(AC70-IF('Control Room'!$B$5="Normal",'Control Room'!$B$7,('Control Room'!$B$8+'Control Room'!$D$8)/2))</x:f>
        <x:v>1162.9450672403482</x:v>
      </x:c>
      <x:c r="AE70" s="17" t="n">
        <x:f>IF(AND($A70&gt;='Control Room'!$A$13,$A70&lt;'Control Room'!$A$13+'Control Room'!$B$13,'Process'!BP2=1),1+('Control Room'!$C$13-1)*EXP(-0.5*(($A70-'Control Room'!$A$13-('Control Room'!$B$13-1)/2)/MAX(0.5,'Control Room'!$B$13/4))^2),1)*IF(AND($A70&gt;='Control Room'!$A$14,$A70&lt;'Control Room'!$A$14+'Control Room'!$B$14,'Process'!BP3=1),1+('Control Room'!$C$14-1)*EXP(-0.5*(($A70-'Control Room'!$A$14-('Control Room'!$B$14-1)/2)/MAX(0.5,'Control Room'!$B$14/4))^2),1)*IF(AND($A70&gt;='Control Room'!$A$15,$A70&lt;'Control Room'!$A$15+'Control Room'!$B$15,'Process'!BP4=1),1+('Control Room'!$C$15-1)*EXP(-0.5*(($A70-'Control Room'!$A$15-('Control Room'!$B$15-1)/2)/MAX(0.5,'Control Room'!$B$15/4))^2),1)*IF(AND($A70&gt;='Control Room'!$A$16,$A70&lt;'Control Room'!$A$16+'Control Room'!$B$16,'Process'!BP5=1),1+('Control Room'!$C$16-1)*EXP(-0.5*(($A70-'Control Room'!$A$16-('Control Room'!$B$16-1)/2)/MAX(0.5,'Control Room'!$B$16/4))^2),1)</x:f>
        <x:v>1</x:v>
      </x:c>
      <x:c r="AF70" s="9" t="n">
        <x:f>MOD(AG69*16807,2147483647)</x:f>
        <x:v>1372805621</x:v>
      </x:c>
      <x:c r="AG70" s="9" t="n">
        <x:f>MOD(AF70*16807,2147483647)</x:f>
        <x:v>179768779</x:v>
      </x:c>
      <x:c r="AH70" s="17" t="n">
        <x:f>IF('Control Room'!$B$5="Normal",'Control Room'!$B$7+'Control Room'!$D$7*SQRT(-2*LN(MAX(0.000000000001,AF70/2147483647)))*COS(2*PI()*AG70/2147483647),'Control Room'!$B$8+('Control Room'!$D$8-'Control Room'!$B$8)*AF70/2147483647)</x:f>
        <x:v>1073.6306186569486</x:v>
      </x:c>
      <x:c r="AI70" s="17" t="n">
        <x:f>IF('Control Room'!$B$5="Normal",'Control Room'!$B$7,('Control Room'!$B$8+'Control Room'!$D$8)/2)+'Control Room'!$B$9*(AI69-IF('Control Room'!$B$5="Normal",'Control Room'!$B$7,('Control Room'!$B$8+'Control Room'!$D$8)/2))+SQRT(1-'Control Room'!$B$9^2)*(AH70-IF('Control Room'!$B$5="Normal",'Control Room'!$B$7,('Control Room'!$B$8+'Control Room'!$D$8)/2))</x:f>
        <x:v>1083.294676666906</x:v>
      </x:c>
      <x:c r="AJ70" s="17" t="n">
        <x:f>IF(AND($A70&gt;='Control Room'!$A$13,$A70&lt;'Control Room'!$A$13+'Control Room'!$B$13,'Process'!BQ2=1),1+('Control Room'!$C$13-1)*EXP(-0.5*(($A70-'Control Room'!$A$13-('Control Room'!$B$13-1)/2)/MAX(0.5,'Control Room'!$B$13/4))^2),1)*IF(AND($A70&gt;='Control Room'!$A$14,$A70&lt;'Control Room'!$A$14+'Control Room'!$B$14,'Process'!BQ3=1),1+('Control Room'!$C$14-1)*EXP(-0.5*(($A70-'Control Room'!$A$14-('Control Room'!$B$14-1)/2)/MAX(0.5,'Control Room'!$B$14/4))^2),1)*IF(AND($A70&gt;='Control Room'!$A$15,$A70&lt;'Control Room'!$A$15+'Control Room'!$B$15,'Process'!BQ4=1),1+('Control Room'!$C$15-1)*EXP(-0.5*(($A70-'Control Room'!$A$15-('Control Room'!$B$15-1)/2)/MAX(0.5,'Control Room'!$B$15/4))^2),1)*IF(AND($A70&gt;='Control Room'!$A$16,$A70&lt;'Control Room'!$A$16+'Control Room'!$B$16,'Process'!BQ5=1),1+('Control Room'!$C$16-1)*EXP(-0.5*(($A70-'Control Room'!$A$16-('Control Room'!$B$16-1)/2)/MAX(0.5,'Control Room'!$B$16/4))^2),1)</x:f>
        <x:v>0.6617074213365437</x:v>
      </x:c>
      <x:c r="AK70" s="9" t="n">
        <x:f>MOD(AL69*16807,2147483647)</x:f>
        <x:v>38340590</x:v>
      </x:c>
      <x:c r="AL70" s="9" t="n">
        <x:f>MOD(AK70*16807,2147483647)</x:f>
        <x:v>145202030</x:v>
      </x:c>
      <x:c r="AM70" s="17" t="n">
        <x:f>IF('Control Room'!$B$5="Normal",'Control Room'!$B$7+'Control Room'!$D$7*SQRT(-2*LN(MAX(0.000000000001,AK70/2147483647)))*COS(2*PI()*AL70/2147483647),'Control Room'!$B$8+('Control Room'!$D$8-'Control Room'!$B$8)*AK70/2147483647)</x:f>
        <x:v>1232.669009887709</x:v>
      </x:c>
      <x:c r="AN70" s="17" t="n">
        <x:f>IF('Control Room'!$B$5="Normal",'Control Room'!$B$7,('Control Room'!$B$8+'Control Room'!$D$8)/2)+'Control Room'!$B$9*(AN69-IF('Control Room'!$B$5="Normal",'Control Room'!$B$7,('Control Room'!$B$8+'Control Room'!$D$8)/2))+SQRT(1-'Control Room'!$B$9^2)*(AM70-IF('Control Room'!$B$5="Normal",'Control Room'!$B$7,('Control Room'!$B$8+'Control Room'!$D$8)/2))</x:f>
        <x:v>1275.7886118033935</x:v>
      </x:c>
      <x:c r="AO70" s="17" t="n">
        <x:f>IF(AND($A70&gt;='Control Room'!$A$13,$A70&lt;'Control Room'!$A$13+'Control Room'!$B$13,'Process'!BR2=1),1+('Control Room'!$C$13-1)*EXP(-0.5*(($A70-'Control Room'!$A$13-('Control Room'!$B$13-1)/2)/MAX(0.5,'Control Room'!$B$13/4))^2),1)*IF(AND($A70&gt;='Control Room'!$A$14,$A70&lt;'Control Room'!$A$14+'Control Room'!$B$14,'Process'!BR3=1),1+('Control Room'!$C$14-1)*EXP(-0.5*(($A70-'Control Room'!$A$14-('Control Room'!$B$14-1)/2)/MAX(0.5,'Control Room'!$B$14/4))^2),1)*IF(AND($A70&gt;='Control Room'!$A$15,$A70&lt;'Control Room'!$A$15+'Control Room'!$B$15,'Process'!BR4=1),1+('Control Room'!$C$15-1)*EXP(-0.5*(($A70-'Control Room'!$A$15-('Control Room'!$B$15-1)/2)/MAX(0.5,'Control Room'!$B$15/4))^2),1)*IF(AND($A70&gt;='Control Room'!$A$16,$A70&lt;'Control Room'!$A$16+'Control Room'!$B$16,'Process'!BR5=1),1+('Control Room'!$C$16-1)*EXP(-0.5*(($A70-'Control Room'!$A$16-('Control Room'!$B$16-1)/2)/MAX(0.5,'Control Room'!$B$16/4))^2),1)</x:f>
        <x:v>0.6617074213365437</x:v>
      </x:c>
      <x:c r="AP70" s="9" t="n">
        <x:f>MOD(AQ69*16807,2147483647)</x:f>
        <x:v>851359206</x:v>
      </x:c>
      <x:c r="AQ70" s="9" t="n">
        <x:f>MOD(AP70*16807,2147483647)</x:f>
        <x:v>110635281</x:v>
      </x:c>
      <x:c r="AR70" s="17" t="n">
        <x:f>IF('Control Room'!$B$5="Normal",'Control Room'!$B$7+'Control Room'!$D$7*SQRT(-2*LN(MAX(0.000000000001,AP70/2147483647)))*COS(2*PI()*AQ70/2147483647),'Control Room'!$B$8+('Control Room'!$D$8-'Control Room'!$B$8)*AP70/2147483647)</x:f>
        <x:v>1116.069347778666</x:v>
      </x:c>
      <x:c r="AS70" s="17" t="n">
        <x:f>IF('Control Room'!$B$5="Normal",'Control Room'!$B$7,('Control Room'!$B$8+'Control Room'!$D$8)/2)+'Control Room'!$B$9*(AS69-IF('Control Room'!$B$5="Normal",'Control Room'!$B$7,('Control Room'!$B$8+'Control Room'!$D$8)/2))+SQRT(1-'Control Room'!$B$9^2)*(AR70-IF('Control Room'!$B$5="Normal",'Control Room'!$B$7,('Control Room'!$B$8+'Control Room'!$D$8)/2))</x:f>
        <x:v>1159.2557635160515</x:v>
      </x:c>
      <x:c r="AT70" s="17" t="n">
        <x:f>IF(AND($A70&gt;='Control Room'!$A$13,$A70&lt;'Control Room'!$A$13+'Control Room'!$B$13,'Process'!BS2=1),1+('Control Room'!$C$13-1)*EXP(-0.5*(($A70-'Control Room'!$A$13-('Control Room'!$B$13-1)/2)/MAX(0.5,'Control Room'!$B$13/4))^2),1)*IF(AND($A70&gt;='Control Room'!$A$14,$A70&lt;'Control Room'!$A$14+'Control Room'!$B$14,'Process'!BS3=1),1+('Control Room'!$C$14-1)*EXP(-0.5*(($A70-'Control Room'!$A$14-('Control Room'!$B$14-1)/2)/MAX(0.5,'Control Room'!$B$14/4))^2),1)*IF(AND($A70&gt;='Control Room'!$A$15,$A70&lt;'Control Room'!$A$15+'Control Room'!$B$15,'Process'!BS4=1),1+('Control Room'!$C$15-1)*EXP(-0.5*(($A70-'Control Room'!$A$15-('Control Room'!$B$15-1)/2)/MAX(0.5,'Control Room'!$B$15/4))^2),1)*IF(AND($A70&gt;='Control Room'!$A$16,$A70&lt;'Control Room'!$A$16+'Control Room'!$B$16,'Process'!BS5=1),1+('Control Room'!$C$16-1)*EXP(-0.5*(($A70-'Control Room'!$A$16-('Control Room'!$B$16-1)/2)/MAX(0.5,'Control Room'!$B$16/4))^2),1)</x:f>
        <x:v>0.6617074213365437</x:v>
      </x:c>
      <x:c r="AU70" s="9" t="n">
        <x:f>MOD(AV69*16807,2147483647)</x:f>
        <x:v>1664377822</x:v>
      </x:c>
      <x:c r="AV70" s="9" t="n">
        <x:f>MOD(AU70*16807,2147483647)</x:f>
        <x:v>76068532</x:v>
      </x:c>
      <x:c r="AW70" s="17" t="n">
        <x:f>IF('Control Room'!$B$5="Normal",'Control Room'!$B$7+'Control Room'!$D$7*SQRT(-2*LN(MAX(0.000000000001,AU70/2147483647)))*COS(2*PI()*AV70/2147483647),'Control Room'!$B$8+('Control Room'!$D$8-'Control Room'!$B$8)*AU70/2147483647)</x:f>
        <x:v>1062.6685383691397</x:v>
      </x:c>
      <x:c r="AX70" s="17" t="n">
        <x:f>IF('Control Room'!$B$5="Normal",'Control Room'!$B$7,('Control Room'!$B$8+'Control Room'!$D$8)/2)+'Control Room'!$B$9*(AX69-IF('Control Room'!$B$5="Normal",'Control Room'!$B$7,('Control Room'!$B$8+'Control Room'!$D$8)/2))+SQRT(1-'Control Room'!$B$9^2)*(AW70-IF('Control Room'!$B$5="Normal",'Control Room'!$B$7,('Control Room'!$B$8+'Control Room'!$D$8)/2))</x:f>
        <x:v>1095.207973947627</x:v>
      </x:c>
      <x:c r="AY70" s="17" t="n">
        <x:f>IF(AND($A70&gt;='Control Room'!$A$13,$A70&lt;'Control Room'!$A$13+'Control Room'!$B$13,'Process'!BT2=1),1+('Control Room'!$C$13-1)*EXP(-0.5*(($A70-'Control Room'!$A$13-('Control Room'!$B$13-1)/2)/MAX(0.5,'Control Room'!$B$13/4))^2),1)*IF(AND($A70&gt;='Control Room'!$A$14,$A70&lt;'Control Room'!$A$14+'Control Room'!$B$14,'Process'!BT3=1),1+('Control Room'!$C$14-1)*EXP(-0.5*(($A70-'Control Room'!$A$14-('Control Room'!$B$14-1)/2)/MAX(0.5,'Control Room'!$B$14/4))^2),1)*IF(AND($A70&gt;='Control Room'!$A$15,$A70&lt;'Control Room'!$A$15+'Control Room'!$B$15,'Process'!BT4=1),1+('Control Room'!$C$15-1)*EXP(-0.5*(($A70-'Control Room'!$A$15-('Control Room'!$B$15-1)/2)/MAX(0.5,'Control Room'!$B$15/4))^2),1)*IF(AND($A70&gt;='Control Room'!$A$16,$A70&lt;'Control Room'!$A$16+'Control Room'!$B$16,'Process'!BT5=1),1+('Control Room'!$C$16-1)*EXP(-0.5*(($A70-'Control Room'!$A$16-('Control Room'!$B$16-1)/2)/MAX(0.5,'Control Room'!$B$16/4))^2),1)</x:f>
        <x:v>1</x:v>
      </x:c>
      <x:c r="AZ70" s="9" t="n">
        <x:f>MOD(BA69*16807,2147483647)</x:f>
        <x:v>329912791</x:v>
      </x:c>
      <x:c r="BA70" s="9" t="n">
        <x:f>MOD(AZ70*16807,2147483647)</x:f>
        <x:v>41501783</x:v>
      </x:c>
      <x:c r="BB70" s="17" t="n">
        <x:f>IF('Control Room'!$B$5="Normal",'Control Room'!$B$7+'Control Room'!$D$7*SQRT(-2*LN(MAX(0.000000000001,AZ70/2147483647)))*COS(2*PI()*BA70/2147483647),'Control Room'!$B$8+('Control Room'!$D$8-'Control Room'!$B$8)*AZ70/2147483647)</x:f>
        <x:v>1172.9189842213184</x:v>
      </x:c>
      <x:c r="BC70" s="17" t="n">
        <x:f>IF('Control Room'!$B$5="Normal",'Control Room'!$B$7,('Control Room'!$B$8+'Control Room'!$D$8)/2)+'Control Room'!$B$9*(BC69-IF('Control Room'!$B$5="Normal",'Control Room'!$B$7,('Control Room'!$B$8+'Control Room'!$D$8)/2))+SQRT(1-'Control Room'!$B$9^2)*(BB70-IF('Control Room'!$B$5="Normal",'Control Room'!$B$7,('Control Room'!$B$8+'Control Room'!$D$8)/2))</x:f>
        <x:v>1063.078160871698</x:v>
      </x:c>
      <x:c r="BD70" s="17" t="n">
        <x:f>IF(AND($A70&gt;='Control Room'!$A$13,$A70&lt;'Control Room'!$A$13+'Control Room'!$B$13,'Process'!BU2=1),1+('Control Room'!$C$13-1)*EXP(-0.5*(($A70-'Control Room'!$A$13-('Control Room'!$B$13-1)/2)/MAX(0.5,'Control Room'!$B$13/4))^2),1)*IF(AND($A70&gt;='Control Room'!$A$14,$A70&lt;'Control Room'!$A$14+'Control Room'!$B$14,'Process'!BU3=1),1+('Control Room'!$C$14-1)*EXP(-0.5*(($A70-'Control Room'!$A$14-('Control Room'!$B$14-1)/2)/MAX(0.5,'Control Room'!$B$14/4))^2),1)*IF(AND($A70&gt;='Control Room'!$A$15,$A70&lt;'Control Room'!$A$15+'Control Room'!$B$15,'Process'!BU4=1),1+('Control Room'!$C$15-1)*EXP(-0.5*(($A70-'Control Room'!$A$15-('Control Room'!$B$15-1)/2)/MAX(0.5,'Control Room'!$B$15/4))^2),1)*IF(AND($A70&gt;='Control Room'!$A$16,$A70&lt;'Control Room'!$A$16+'Control Room'!$B$16,'Process'!BU5=1),1+('Control Room'!$C$16-1)*EXP(-0.5*(($A70-'Control Room'!$A$16-('Control Room'!$B$16-1)/2)/MAX(0.5,'Control Room'!$B$16/4))^2),1)</x:f>
        <x:v>0.6617074213365437</x:v>
      </x:c>
      <x:c r="BE70" s="9" t="n">
        <x:f>MOD(BF69*16807,2147483647)</x:f>
        <x:v>1142931407</x:v>
      </x:c>
      <x:c r="BF70" s="9" t="n">
        <x:f>MOD(BE70*16807,2147483647)</x:f>
        <x:v>6935034</x:v>
      </x:c>
      <x:c r="BG70" s="17" t="n">
        <x:f>IF('Control Room'!$B$5="Normal",'Control Room'!$B$7+'Control Room'!$D$7*SQRT(-2*LN(MAX(0.000000000001,BE70/2147483647)))*COS(2*PI()*BF70/2147483647),'Control Room'!$B$8+('Control Room'!$D$8-'Control Room'!$B$8)*BE70/2147483647)</x:f>
        <x:v>1101.060082269149</x:v>
      </x:c>
      <x:c r="BH70" s="17" t="n">
        <x:f>IF('Control Room'!$B$5="Normal",'Control Room'!$B$7,('Control Room'!$B$8+'Control Room'!$D$8)/2)+'Control Room'!$B$9*(BH69-IF('Control Room'!$B$5="Normal",'Control Room'!$B$7,('Control Room'!$B$8+'Control Room'!$D$8)/2))+SQRT(1-'Control Room'!$B$9^2)*(BG70-IF('Control Room'!$B$5="Normal",'Control Room'!$B$7,('Control Room'!$B$8+'Control Room'!$D$8)/2))</x:f>
        <x:v>1009.7042115014201</x:v>
      </x:c>
      <x:c r="BI70" s="17" t="n">
        <x:f>IF(AND($A70&gt;='Control Room'!$A$13,$A70&lt;'Control Room'!$A$13+'Control Room'!$B$13,'Process'!BV2=1),1+('Control Room'!$C$13-1)*EXP(-0.5*(($A70-'Control Room'!$A$13-('Control Room'!$B$13-1)/2)/MAX(0.5,'Control Room'!$B$13/4))^2),1)*IF(AND($A70&gt;='Control Room'!$A$14,$A70&lt;'Control Room'!$A$14+'Control Room'!$B$14,'Process'!BV3=1),1+('Control Room'!$C$14-1)*EXP(-0.5*(($A70-'Control Room'!$A$14-('Control Room'!$B$14-1)/2)/MAX(0.5,'Control Room'!$B$14/4))^2),1)*IF(AND($A70&gt;='Control Room'!$A$15,$A70&lt;'Control Room'!$A$15+'Control Room'!$B$15,'Process'!BV4=1),1+('Control Room'!$C$15-1)*EXP(-0.5*(($A70-'Control Room'!$A$15-('Control Room'!$B$15-1)/2)/MAX(0.5,'Control Room'!$B$15/4))^2),1)*IF(AND($A70&gt;='Control Room'!$A$16,$A70&lt;'Control Room'!$A$16+'Control Room'!$B$16,'Process'!BV5=1),1+('Control Room'!$C$16-1)*EXP(-0.5*(($A70-'Control Room'!$A$16-('Control Room'!$B$16-1)/2)/MAX(0.5,'Control Room'!$B$16/4))^2),1)</x:f>
        <x:v>0.6617074213365437</x:v>
      </x:c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Z70" t="str">
        <x:f>IF('Data'!A70="","",TEXT('Data'!A70,"mm-dd"))</x:f>
        <x:v>01-09</x:v>
      </x:c>
    </x:row>
    <x:row r="71" ht="21" customHeight="1">
      <x:c r="A71" s="15" t="n">
        <x:f>'Control Room'!$B$1+69</x:f>
        <x:v>73060</x:v>
      </x:c>
      <x:c r="B71" s="9" t="n">
        <x:f>MOD(C70*16807,2147483647)</x:f>
        <x:v>278520901</x:v>
      </x:c>
      <x:c r="C71" s="9" t="n">
        <x:f>MOD(B71*16807,2147483647)</x:f>
        <x:v>1733916294</x:v>
      </x:c>
      <x:c r="D71" s="17" t="n">
        <x:f>IF('Control Room'!$B$5="Normal",'Control Room'!$B$7+'Control Room'!$D$7*SQRT(-2*LN(MAX(0.000000000001,B71/2147483647)))*COS(2*PI()*C71/2147483647),'Control Room'!$B$8+('Control Room'!$D$8-'Control Room'!$B$8)*B71/2147483647)</x:f>
        <x:v>1064.2108595179795</x:v>
      </x:c>
      <x:c r="E71" s="17" t="n">
        <x:f>IF('Control Room'!$B$5="Normal",'Control Room'!$B$7,('Control Room'!$B$8+'Control Room'!$D$8)/2)+'Control Room'!$B$9*(E70-IF('Control Room'!$B$5="Normal",'Control Room'!$B$7,('Control Room'!$B$8+'Control Room'!$D$8)/2))+SQRT(1-'Control Room'!$B$9^2)*(D71-IF('Control Room'!$B$5="Normal",'Control Room'!$B$7,('Control Room'!$B$8+'Control Room'!$D$8)/2))</x:f>
        <x:v>1040.6241546027964</x:v>
      </x:c>
      <x:c r="F71" s="17" t="n">
        <x:f>IF(AND($A71&gt;='Control Room'!$A$13,$A71&lt;'Control Room'!$A$13+'Control Room'!$B$13,'Process'!BK2=1),1+('Control Room'!$C$13-1)*EXP(-0.5*(($A71-'Control Room'!$A$13-('Control Room'!$B$13-1)/2)/MAX(0.5,'Control Room'!$B$13/4))^2),1)*IF(AND($A71&gt;='Control Room'!$A$14,$A71&lt;'Control Room'!$A$14+'Control Room'!$B$14,'Process'!BK3=1),1+('Control Room'!$C$14-1)*EXP(-0.5*(($A71-'Control Room'!$A$14-('Control Room'!$B$14-1)/2)/MAX(0.5,'Control Room'!$B$14/4))^2),1)*IF(AND($A71&gt;='Control Room'!$A$15,$A71&lt;'Control Room'!$A$15+'Control Room'!$B$15,'Process'!BK4=1),1+('Control Room'!$C$15-1)*EXP(-0.5*(($A71-'Control Room'!$A$15-('Control Room'!$B$15-1)/2)/MAX(0.5,'Control Room'!$B$15/4))^2),1)*IF(AND($A71&gt;='Control Room'!$A$16,$A71&lt;'Control Room'!$A$16+'Control Room'!$B$16,'Process'!BK5=1),1+('Control Room'!$C$16-1)*EXP(-0.5*(($A71-'Control Room'!$A$16-('Control Room'!$B$16-1)/2)/MAX(0.5,'Control Room'!$B$16/4))^2),1)</x:f>
        <x:v>0.8504569056540241</x:v>
      </x:c>
      <x:c r="G71" s="9" t="n">
        <x:f>MOD(H70*16807,2147483647)</x:f>
        <x:v>1283238795</x:v>
      </x:c>
      <x:c r="H71" s="9" t="n">
        <x:f>MOD(G71*16807,2147483647)</x:f>
        <x:v>216160744</x:v>
      </x:c>
      <x:c r="I71" s="17" t="n">
        <x:f>IF('Control Room'!$B$5="Normal",'Control Room'!$B$7+'Control Room'!$D$7*SQRT(-2*LN(MAX(0.000000000001,G71/2147483647)))*COS(2*PI()*H71/2147483647),'Control Room'!$B$8+('Control Room'!$D$8-'Control Room'!$B$8)*G71/2147483647)</x:f>
        <x:v>1073.6666717911487</x:v>
      </x:c>
      <x:c r="J71" s="17" t="n">
        <x:f>IF('Control Room'!$B$5="Normal",'Control Room'!$B$7,('Control Room'!$B$8+'Control Room'!$D$8)/2)+'Control Room'!$B$9*(J70-IF('Control Room'!$B$5="Normal",'Control Room'!$B$7,('Control Room'!$B$8+'Control Room'!$D$8)/2))+SQRT(1-'Control Room'!$B$9^2)*(I71-IF('Control Room'!$B$5="Normal",'Control Room'!$B$7,('Control Room'!$B$8+'Control Room'!$D$8)/2))</x:f>
        <x:v>1001.5983527185874</x:v>
      </x:c>
      <x:c r="K71" s="17" t="n">
        <x:f>IF(AND($A71&gt;='Control Room'!$A$13,$A71&lt;'Control Room'!$A$13+'Control Room'!$B$13,'Process'!BL2=1),1+('Control Room'!$C$13-1)*EXP(-0.5*(($A71-'Control Room'!$A$13-('Control Room'!$B$13-1)/2)/MAX(0.5,'Control Room'!$B$13/4))^2),1)*IF(AND($A71&gt;='Control Room'!$A$14,$A71&lt;'Control Room'!$A$14+'Control Room'!$B$14,'Process'!BL3=1),1+('Control Room'!$C$14-1)*EXP(-0.5*(($A71-'Control Room'!$A$14-('Control Room'!$B$14-1)/2)/MAX(0.5,'Control Room'!$B$14/4))^2),1)*IF(AND($A71&gt;='Control Room'!$A$15,$A71&lt;'Control Room'!$A$15+'Control Room'!$B$15,'Process'!BL4=1),1+('Control Room'!$C$15-1)*EXP(-0.5*(($A71-'Control Room'!$A$15-('Control Room'!$B$15-1)/2)/MAX(0.5,'Control Room'!$B$15/4))^2),1)*IF(AND($A71&gt;='Control Room'!$A$16,$A71&lt;'Control Room'!$A$16+'Control Room'!$B$16,'Process'!BL5=1),1+('Control Room'!$C$16-1)*EXP(-0.5*(($A71-'Control Room'!$A$16-('Control Room'!$B$16-1)/2)/MAX(0.5,'Control Room'!$B$16/4))^2),1)</x:f>
        <x:v>0.8504569056540241</x:v>
      </x:c>
      <x:c r="L71" s="9" t="n">
        <x:f>MOD(M70*16807,2147483647)</x:f>
        <x:v>140473042</x:v>
      </x:c>
      <x:c r="M71" s="9" t="n">
        <x:f>MOD(L71*16807,2147483647)</x:f>
        <x:v>845888841</x:v>
      </x:c>
      <x:c r="N71" s="17" t="n">
        <x:f>IF('Control Room'!$B$5="Normal",'Control Room'!$B$7+'Control Room'!$D$7*SQRT(-2*LN(MAX(0.000000000001,L71/2147483647)))*COS(2*PI()*M71/2147483647),'Control Room'!$B$8+('Control Room'!$D$8-'Control Room'!$B$8)*L71/2147483647)</x:f>
        <x:v>834.8170051933577</x:v>
      </x:c>
      <x:c r="O71" s="17" t="n">
        <x:f>IF('Control Room'!$B$5="Normal",'Control Room'!$B$7,('Control Room'!$B$8+'Control Room'!$D$8)/2)+'Control Room'!$B$9*(O70-IF('Control Room'!$B$5="Normal",'Control Room'!$B$7,('Control Room'!$B$8+'Control Room'!$D$8)/2))+SQRT(1-'Control Room'!$B$9^2)*(N71-IF('Control Room'!$B$5="Normal",'Control Room'!$B$7,('Control Room'!$B$8+'Control Room'!$D$8)/2))</x:f>
        <x:v>923.0668308857323</x:v>
      </x:c>
      <x:c r="P71" s="17" t="n">
        <x:f>IF(AND($A71&gt;='Control Room'!$A$13,$A71&lt;'Control Room'!$A$13+'Control Room'!$B$13,'Process'!BM2=1),1+('Control Room'!$C$13-1)*EXP(-0.5*(($A71-'Control Room'!$A$13-('Control Room'!$B$13-1)/2)/MAX(0.5,'Control Room'!$B$13/4))^2),1)*IF(AND($A71&gt;='Control Room'!$A$14,$A71&lt;'Control Room'!$A$14+'Control Room'!$B$14,'Process'!BM3=1),1+('Control Room'!$C$14-1)*EXP(-0.5*(($A71-'Control Room'!$A$14-('Control Room'!$B$14-1)/2)/MAX(0.5,'Control Room'!$B$14/4))^2),1)*IF(AND($A71&gt;='Control Room'!$A$15,$A71&lt;'Control Room'!$A$15+'Control Room'!$B$15,'Process'!BM4=1),1+('Control Room'!$C$15-1)*EXP(-0.5*(($A71-'Control Room'!$A$15-('Control Room'!$B$15-1)/2)/MAX(0.5,'Control Room'!$B$15/4))^2),1)*IF(AND($A71&gt;='Control Room'!$A$16,$A71&lt;'Control Room'!$A$16+'Control Room'!$B$16,'Process'!BM5=1),1+('Control Room'!$C$16-1)*EXP(-0.5*(($A71-'Control Room'!$A$16-('Control Room'!$B$16-1)/2)/MAX(0.5,'Control Room'!$B$16/4))^2),1)</x:f>
        <x:v>1</x:v>
      </x:c>
      <x:c r="Q71" s="9" t="n">
        <x:f>MOD(R70*16807,2147483647)</x:f>
        <x:v>1145190936</x:v>
      </x:c>
      <x:c r="R71" s="9" t="n">
        <x:f>MOD(Q71*16807,2147483647)</x:f>
        <x:v>1475616938</x:v>
      </x:c>
      <x:c r="S71" s="17" t="n">
        <x:f>IF('Control Room'!$B$5="Normal",'Control Room'!$B$7+'Control Room'!$D$7*SQRT(-2*LN(MAX(0.000000000001,Q71/2147483647)))*COS(2*PI()*R71/2147483647),'Control Room'!$B$8+('Control Room'!$D$8-'Control Room'!$B$8)*Q71/2147483647)</x:f>
        <x:v>961.1664695573278</x:v>
      </x:c>
      <x:c r="T71" s="17" t="n">
        <x:f>IF('Control Room'!$B$5="Normal",'Control Room'!$B$7,('Control Room'!$B$8+'Control Room'!$D$8)/2)+'Control Room'!$B$9*(T70-IF('Control Room'!$B$5="Normal",'Control Room'!$B$7,('Control Room'!$B$8+'Control Room'!$D$8)/2))+SQRT(1-'Control Room'!$B$9^2)*(S71-IF('Control Room'!$B$5="Normal",'Control Room'!$B$7,('Control Room'!$B$8+'Control Room'!$D$8)/2))</x:f>
        <x:v>876.9892090139142</x:v>
      </x:c>
      <x:c r="U71" s="17" t="n">
        <x:f>IF(AND($A71&gt;='Control Room'!$A$13,$A71&lt;'Control Room'!$A$13+'Control Room'!$B$13,'Process'!BN2=1),1+('Control Room'!$C$13-1)*EXP(-0.5*(($A71-'Control Room'!$A$13-('Control Room'!$B$13-1)/2)/MAX(0.5,'Control Room'!$B$13/4))^2),1)*IF(AND($A71&gt;='Control Room'!$A$14,$A71&lt;'Control Room'!$A$14+'Control Room'!$B$14,'Process'!BN3=1),1+('Control Room'!$C$14-1)*EXP(-0.5*(($A71-'Control Room'!$A$14-('Control Room'!$B$14-1)/2)/MAX(0.5,'Control Room'!$B$14/4))^2),1)*IF(AND($A71&gt;='Control Room'!$A$15,$A71&lt;'Control Room'!$A$15+'Control Room'!$B$15,'Process'!BN4=1),1+('Control Room'!$C$15-1)*EXP(-0.5*(($A71-'Control Room'!$A$15-('Control Room'!$B$15-1)/2)/MAX(0.5,'Control Room'!$B$15/4))^2),1)*IF(AND($A71&gt;='Control Room'!$A$16,$A71&lt;'Control Room'!$A$16+'Control Room'!$B$16,'Process'!BN5=1),1+('Control Room'!$C$16-1)*EXP(-0.5*(($A71-'Control Room'!$A$16-('Control Room'!$B$16-1)/2)/MAX(0.5,'Control Room'!$B$16/4))^2),1)</x:f>
        <x:v>0.8504569056540241</x:v>
      </x:c>
      <x:c r="V71" s="9" t="n">
        <x:f>MOD(W70*16807,2147483647)</x:f>
        <x:v>2425183</x:v>
      </x:c>
      <x:c r="W71" s="9" t="n">
        <x:f>MOD(V71*16807,2147483647)</x:f>
        <x:v>2105345035</x:v>
      </x:c>
      <x:c r="X71" s="17" t="n">
        <x:f>IF('Control Room'!$B$5="Normal",'Control Room'!$B$7+'Control Room'!$D$7*SQRT(-2*LN(MAX(0.000000000001,V71/2147483647)))*COS(2*PI()*W71/2147483647),'Control Room'!$B$8+('Control Room'!$D$8-'Control Room'!$B$8)*V71/2147483647)</x:f>
        <x:v>1329.048498876875</x:v>
      </x:c>
      <x:c r="Y71" s="17" t="n">
        <x:f>IF('Control Room'!$B$5="Normal",'Control Room'!$B$7,('Control Room'!$B$8+'Control Room'!$D$8)/2)+'Control Room'!$B$9*(Y70-IF('Control Room'!$B$5="Normal",'Control Room'!$B$7,('Control Room'!$B$8+'Control Room'!$D$8)/2))+SQRT(1-'Control Room'!$B$9^2)*(X71-IF('Control Room'!$B$5="Normal",'Control Room'!$B$7,('Control Room'!$B$8+'Control Room'!$D$8)/2))</x:f>
        <x:v>1228.2196973330274</x:v>
      </x:c>
      <x:c r="Z71" s="17" t="n">
        <x:f>IF(AND($A71&gt;='Control Room'!$A$13,$A71&lt;'Control Room'!$A$13+'Control Room'!$B$13,'Process'!BO2=1),1+('Control Room'!$C$13-1)*EXP(-0.5*(($A71-'Control Room'!$A$13-('Control Room'!$B$13-1)/2)/MAX(0.5,'Control Room'!$B$13/4))^2),1)*IF(AND($A71&gt;='Control Room'!$A$14,$A71&lt;'Control Room'!$A$14+'Control Room'!$B$14,'Process'!BO3=1),1+('Control Room'!$C$14-1)*EXP(-0.5*(($A71-'Control Room'!$A$14-('Control Room'!$B$14-1)/2)/MAX(0.5,'Control Room'!$B$14/4))^2),1)*IF(AND($A71&gt;='Control Room'!$A$15,$A71&lt;'Control Room'!$A$15+'Control Room'!$B$15,'Process'!BO4=1),1+('Control Room'!$C$15-1)*EXP(-0.5*(($A71-'Control Room'!$A$15-('Control Room'!$B$15-1)/2)/MAX(0.5,'Control Room'!$B$15/4))^2),1)*IF(AND($A71&gt;='Control Room'!$A$16,$A71&lt;'Control Room'!$A$16+'Control Room'!$B$16,'Process'!BO5=1),1+('Control Room'!$C$16-1)*EXP(-0.5*(($A71-'Control Room'!$A$16-('Control Room'!$B$16-1)/2)/MAX(0.5,'Control Room'!$B$16/4))^2),1)</x:f>
        <x:v>0.8504569056540241</x:v>
      </x:c>
      <x:c r="AA71" s="9" t="n">
        <x:f>MOD(AB70*16807,2147483647)</x:f>
        <x:v>1007143077</x:v>
      </x:c>
      <x:c r="AB71" s="9" t="n">
        <x:f>MOD(AA71*16807,2147483647)</x:f>
        <x:v>587589485</x:v>
      </x:c>
      <x:c r="AC71" s="17" t="n">
        <x:f>IF('Control Room'!$B$5="Normal",'Control Room'!$B$7+'Control Room'!$D$7*SQRT(-2*LN(MAX(0.000000000001,AA71/2147483647)))*COS(2*PI()*AB71/2147483647),'Control Room'!$B$8+('Control Room'!$D$8-'Control Room'!$B$8)*AA71/2147483647)</x:f>
        <x:v>983.625096628923</x:v>
      </x:c>
      <x:c r="AD71" s="17" t="n">
        <x:f>IF('Control Room'!$B$5="Normal",'Control Room'!$B$7,('Control Room'!$B$8+'Control Room'!$D$8)/2)+'Control Room'!$B$9*(AD70-IF('Control Room'!$B$5="Normal",'Control Room'!$B$7,('Control Room'!$B$8+'Control Room'!$D$8)/2))+SQRT(1-'Control Room'!$B$9^2)*(AC71-IF('Control Room'!$B$5="Normal",'Control Room'!$B$7,('Control Room'!$B$8+'Control Room'!$D$8)/2))</x:f>
        <x:v>1116.850073375981</x:v>
      </x:c>
      <x:c r="AE71" s="17" t="n">
        <x:f>IF(AND($A71&gt;='Control Room'!$A$13,$A71&lt;'Control Room'!$A$13+'Control Room'!$B$13,'Process'!BP2=1),1+('Control Room'!$C$13-1)*EXP(-0.5*(($A71-'Control Room'!$A$13-('Control Room'!$B$13-1)/2)/MAX(0.5,'Control Room'!$B$13/4))^2),1)*IF(AND($A71&gt;='Control Room'!$A$14,$A71&lt;'Control Room'!$A$14+'Control Room'!$B$14,'Process'!BP3=1),1+('Control Room'!$C$14-1)*EXP(-0.5*(($A71-'Control Room'!$A$14-('Control Room'!$B$14-1)/2)/MAX(0.5,'Control Room'!$B$14/4))^2),1)*IF(AND($A71&gt;='Control Room'!$A$15,$A71&lt;'Control Room'!$A$15+'Control Room'!$B$15,'Process'!BP4=1),1+('Control Room'!$C$15-1)*EXP(-0.5*(($A71-'Control Room'!$A$15-('Control Room'!$B$15-1)/2)/MAX(0.5,'Control Room'!$B$15/4))^2),1)*IF(AND($A71&gt;='Control Room'!$A$16,$A71&lt;'Control Room'!$A$16+'Control Room'!$B$16,'Process'!BP5=1),1+('Control Room'!$C$16-1)*EXP(-0.5*(($A71-'Control Room'!$A$16-('Control Room'!$B$16-1)/2)/MAX(0.5,'Control Room'!$B$16/4))^2),1)</x:f>
        <x:v>1</x:v>
      </x:c>
      <x:c r="AF71" s="9" t="n">
        <x:f>MOD(AG70*16807,2147483647)</x:f>
        <x:v>2011860971</x:v>
      </x:c>
      <x:c r="AG71" s="9" t="n">
        <x:f>MOD(AF71*16807,2147483647)</x:f>
        <x:v>1217317582</x:v>
      </x:c>
      <x:c r="AH71" s="17" t="n">
        <x:f>IF('Control Room'!$B$5="Normal",'Control Room'!$B$7+'Control Room'!$D$7*SQRT(-2*LN(MAX(0.000000000001,AF71/2147483647)))*COS(2*PI()*AG71/2147483647),'Control Room'!$B$8+('Control Room'!$D$8-'Control Room'!$B$8)*AF71/2147483647)</x:f>
        <x:v>970.3174689542841</x:v>
      </x:c>
      <x:c r="AI71" s="17" t="n">
        <x:f>IF('Control Room'!$B$5="Normal",'Control Room'!$B$7,('Control Room'!$B$8+'Control Room'!$D$8)/2)+'Control Room'!$B$9*(AI70-IF('Control Room'!$B$5="Normal",'Control Room'!$B$7,('Control Room'!$B$8+'Control Room'!$D$8)/2))+SQRT(1-'Control Room'!$B$9^2)*(AH71-IF('Control Room'!$B$5="Normal",'Control Room'!$B$7,('Control Room'!$B$8+'Control Room'!$D$8)/2))</x:f>
        <x:v>1046.3951279514783</x:v>
      </x:c>
      <x:c r="AJ71" s="17" t="n">
        <x:f>IF(AND($A71&gt;='Control Room'!$A$13,$A71&lt;'Control Room'!$A$13+'Control Room'!$B$13,'Process'!BQ2=1),1+('Control Room'!$C$13-1)*EXP(-0.5*(($A71-'Control Room'!$A$13-('Control Room'!$B$13-1)/2)/MAX(0.5,'Control Room'!$B$13/4))^2),1)*IF(AND($A71&gt;='Control Room'!$A$14,$A71&lt;'Control Room'!$A$14+'Control Room'!$B$14,'Process'!BQ3=1),1+('Control Room'!$C$14-1)*EXP(-0.5*(($A71-'Control Room'!$A$14-('Control Room'!$B$14-1)/2)/MAX(0.5,'Control Room'!$B$14/4))^2),1)*IF(AND($A71&gt;='Control Room'!$A$15,$A71&lt;'Control Room'!$A$15+'Control Room'!$B$15,'Process'!BQ4=1),1+('Control Room'!$C$15-1)*EXP(-0.5*(($A71-'Control Room'!$A$15-('Control Room'!$B$15-1)/2)/MAX(0.5,'Control Room'!$B$15/4))^2),1)*IF(AND($A71&gt;='Control Room'!$A$16,$A71&lt;'Control Room'!$A$16+'Control Room'!$B$16,'Process'!BQ5=1),1+('Control Room'!$C$16-1)*EXP(-0.5*(($A71-'Control Room'!$A$16-('Control Room'!$B$16-1)/2)/MAX(0.5,'Control Room'!$B$16/4))^2),1)</x:f>
        <x:v>0.8504569056540241</x:v>
      </x:c>
      <x:c r="AK71" s="9" t="n">
        <x:f>MOD(AL70*16807,2147483647)</x:f>
        <x:v>869095218</x:v>
      </x:c>
      <x:c r="AL71" s="9" t="n">
        <x:f>MOD(AK71*16807,2147483647)</x:f>
        <x:v>1847045679</x:v>
      </x:c>
      <x:c r="AM71" s="17" t="n">
        <x:f>IF('Control Room'!$B$5="Normal",'Control Room'!$B$7+'Control Room'!$D$7*SQRT(-2*LN(MAX(0.000000000001,AK71/2147483647)))*COS(2*PI()*AL71/2147483647),'Control Room'!$B$8+('Control Room'!$D$8-'Control Room'!$B$8)*AK71/2147483647)</x:f>
        <x:v>1077.2211040058103</x:v>
      </x:c>
      <x:c r="AN71" s="17" t="n">
        <x:f>IF('Control Room'!$B$5="Normal",'Control Room'!$B$7,('Control Room'!$B$8+'Control Room'!$D$8)/2)+'Control Room'!$B$9*(AN70-IF('Control Room'!$B$5="Normal",'Control Room'!$B$7,('Control Room'!$B$8+'Control Room'!$D$8)/2))+SQRT(1-'Control Room'!$B$9^2)*(AM71-IF('Control Room'!$B$5="Normal",'Control Room'!$B$7,('Control Room'!$B$8+'Control Room'!$D$8)/2))</x:f>
        <x:v>1263.43850213318</x:v>
      </x:c>
      <x:c r="AO71" s="17" t="n">
        <x:f>IF(AND($A71&gt;='Control Room'!$A$13,$A71&lt;'Control Room'!$A$13+'Control Room'!$B$13,'Process'!BR2=1),1+('Control Room'!$C$13-1)*EXP(-0.5*(($A71-'Control Room'!$A$13-('Control Room'!$B$13-1)/2)/MAX(0.5,'Control Room'!$B$13/4))^2),1)*IF(AND($A71&gt;='Control Room'!$A$14,$A71&lt;'Control Room'!$A$14+'Control Room'!$B$14,'Process'!BR3=1),1+('Control Room'!$C$14-1)*EXP(-0.5*(($A71-'Control Room'!$A$14-('Control Room'!$B$14-1)/2)/MAX(0.5,'Control Room'!$B$14/4))^2),1)*IF(AND($A71&gt;='Control Room'!$A$15,$A71&lt;'Control Room'!$A$15+'Control Room'!$B$15,'Process'!BR4=1),1+('Control Room'!$C$15-1)*EXP(-0.5*(($A71-'Control Room'!$A$15-('Control Room'!$B$15-1)/2)/MAX(0.5,'Control Room'!$B$15/4))^2),1)*IF(AND($A71&gt;='Control Room'!$A$16,$A71&lt;'Control Room'!$A$16+'Control Room'!$B$16,'Process'!BR5=1),1+('Control Room'!$C$16-1)*EXP(-0.5*(($A71-'Control Room'!$A$16-('Control Room'!$B$16-1)/2)/MAX(0.5,'Control Room'!$B$16/4))^2),1)</x:f>
        <x:v>0.8504569056540241</x:v>
      </x:c>
      <x:c r="AP71" s="9" t="n">
        <x:f>MOD(AQ70*16807,2147483647)</x:f>
        <x:v>1873813112</x:v>
      </x:c>
      <x:c r="AQ71" s="9" t="n">
        <x:f>MOD(AP71*16807,2147483647)</x:f>
        <x:v>329290129</x:v>
      </x:c>
      <x:c r="AR71" s="17" t="n">
        <x:f>IF('Control Room'!$B$5="Normal",'Control Room'!$B$7+'Control Room'!$D$7*SQRT(-2*LN(MAX(0.000000000001,AP71/2147483647)))*COS(2*PI()*AQ71/2147483647),'Control Room'!$B$8+('Control Room'!$D$8-'Control Room'!$B$8)*AP71/2147483647)</x:f>
        <x:v>1026.8188757076566</x:v>
      </x:c>
      <x:c r="AS71" s="17" t="n">
        <x:f>IF('Control Room'!$B$5="Normal",'Control Room'!$B$7,('Control Room'!$B$8+'Control Room'!$D$8)/2)+'Control Room'!$B$9*(AS70-IF('Control Room'!$B$5="Normal",'Control Room'!$B$7,('Control Room'!$B$8+'Control Room'!$D$8)/2))+SQRT(1-'Control Room'!$B$9^2)*(AR71-IF('Control Room'!$B$5="Normal",'Control Room'!$B$7,('Control Room'!$B$8+'Control Room'!$D$8)/2))</x:f>
        <x:v>1141.0021985458395</x:v>
      </x:c>
      <x:c r="AT71" s="17" t="n">
        <x:f>IF(AND($A71&gt;='Control Room'!$A$13,$A71&lt;'Control Room'!$A$13+'Control Room'!$B$13,'Process'!BS2=1),1+('Control Room'!$C$13-1)*EXP(-0.5*(($A71-'Control Room'!$A$13-('Control Room'!$B$13-1)/2)/MAX(0.5,'Control Room'!$B$13/4))^2),1)*IF(AND($A71&gt;='Control Room'!$A$14,$A71&lt;'Control Room'!$A$14+'Control Room'!$B$14,'Process'!BS3=1),1+('Control Room'!$C$14-1)*EXP(-0.5*(($A71-'Control Room'!$A$14-('Control Room'!$B$14-1)/2)/MAX(0.5,'Control Room'!$B$14/4))^2),1)*IF(AND($A71&gt;='Control Room'!$A$15,$A71&lt;'Control Room'!$A$15+'Control Room'!$B$15,'Process'!BS4=1),1+('Control Room'!$C$15-1)*EXP(-0.5*(($A71-'Control Room'!$A$15-('Control Room'!$B$15-1)/2)/MAX(0.5,'Control Room'!$B$15/4))^2),1)*IF(AND($A71&gt;='Control Room'!$A$16,$A71&lt;'Control Room'!$A$16+'Control Room'!$B$16,'Process'!BS5=1),1+('Control Room'!$C$16-1)*EXP(-0.5*(($A71-'Control Room'!$A$16-('Control Room'!$B$16-1)/2)/MAX(0.5,'Control Room'!$B$16/4))^2),1)</x:f>
        <x:v>0.8504569056540241</x:v>
      </x:c>
      <x:c r="AU71" s="9" t="n">
        <x:f>MOD(AV70*16807,2147483647)</x:f>
        <x:v>731047359</x:v>
      </x:c>
      <x:c r="AV71" s="9" t="n">
        <x:f>MOD(AU71*16807,2147483647)</x:f>
        <x:v>959018226</x:v>
      </x:c>
      <x:c r="AW71" s="17" t="n">
        <x:f>IF('Control Room'!$B$5="Normal",'Control Room'!$B$7+'Control Room'!$D$7*SQRT(-2*LN(MAX(0.000000000001,AU71/2147483647)))*COS(2*PI()*AV71/2147483647),'Control Room'!$B$8+('Control Room'!$D$8-'Control Room'!$B$8)*AU71/2147483647)</x:f>
        <x:v>875.2497350713493</x:v>
      </x:c>
      <x:c r="AX71" s="17" t="n">
        <x:f>IF('Control Room'!$B$5="Normal",'Control Room'!$B$7,('Control Room'!$B$8+'Control Room'!$D$8)/2)+'Control Room'!$B$9*(AX70-IF('Control Room'!$B$5="Normal",'Control Room'!$B$7,('Control Room'!$B$8+'Control Room'!$D$8)/2))+SQRT(1-'Control Room'!$B$9^2)*(AW71-IF('Control Room'!$B$5="Normal",'Control Room'!$B$7,('Control Room'!$B$8+'Control Room'!$D$8)/2))</x:f>
        <x:v>996.1960595348883</x:v>
      </x:c>
      <x:c r="AY71" s="17" t="n">
        <x:f>IF(AND($A71&gt;='Control Room'!$A$13,$A71&lt;'Control Room'!$A$13+'Control Room'!$B$13,'Process'!BT2=1),1+('Control Room'!$C$13-1)*EXP(-0.5*(($A71-'Control Room'!$A$13-('Control Room'!$B$13-1)/2)/MAX(0.5,'Control Room'!$B$13/4))^2),1)*IF(AND($A71&gt;='Control Room'!$A$14,$A71&lt;'Control Room'!$A$14+'Control Room'!$B$14,'Process'!BT3=1),1+('Control Room'!$C$14-1)*EXP(-0.5*(($A71-'Control Room'!$A$14-('Control Room'!$B$14-1)/2)/MAX(0.5,'Control Room'!$B$14/4))^2),1)*IF(AND($A71&gt;='Control Room'!$A$15,$A71&lt;'Control Room'!$A$15+'Control Room'!$B$15,'Process'!BT4=1),1+('Control Room'!$C$15-1)*EXP(-0.5*(($A71-'Control Room'!$A$15-('Control Room'!$B$15-1)/2)/MAX(0.5,'Control Room'!$B$15/4))^2),1)*IF(AND($A71&gt;='Control Room'!$A$16,$A71&lt;'Control Room'!$A$16+'Control Room'!$B$16,'Process'!BT5=1),1+('Control Room'!$C$16-1)*EXP(-0.5*(($A71-'Control Room'!$A$16-('Control Room'!$B$16-1)/2)/MAX(0.5,'Control Room'!$B$16/4))^2),1)</x:f>
        <x:v>1</x:v>
      </x:c>
      <x:c r="AZ71" s="9" t="n">
        <x:f>MOD(BA70*16807,2147483647)</x:f>
        <x:v>1735765253</x:v>
      </x:c>
      <x:c r="BA71" s="9" t="n">
        <x:f>MOD(AZ71*16807,2147483647)</x:f>
        <x:v>1588746323</x:v>
      </x:c>
      <x:c r="BB71" s="17" t="n">
        <x:f>IF('Control Room'!$B$5="Normal",'Control Room'!$B$7+'Control Room'!$D$7*SQRT(-2*LN(MAX(0.000000000001,AZ71/2147483647)))*COS(2*PI()*BA71/2147483647),'Control Room'!$B$8+('Control Room'!$D$8-'Control Room'!$B$8)*AZ71/2147483647)</x:f>
        <x:v>996.2457438455093</x:v>
      </x:c>
      <x:c r="BC71" s="17" t="n">
        <x:f>IF('Control Room'!$B$5="Normal",'Control Room'!$B$7,('Control Room'!$B$8+'Control Room'!$D$8)/2)+'Control Room'!$B$9*(BC70-IF('Control Room'!$B$5="Normal",'Control Room'!$B$7,('Control Room'!$B$8+'Control Room'!$D$8)/2))+SQRT(1-'Control Room'!$B$9^2)*(BB71-IF('Control Room'!$B$5="Normal",'Control Room'!$B$7,('Control Room'!$B$8+'Control Room'!$D$8)/2))</x:f>
        <x:v>1046.851628888562</x:v>
      </x:c>
      <x:c r="BD71" s="17" t="n">
        <x:f>IF(AND($A71&gt;='Control Room'!$A$13,$A71&lt;'Control Room'!$A$13+'Control Room'!$B$13,'Process'!BU2=1),1+('Control Room'!$C$13-1)*EXP(-0.5*(($A71-'Control Room'!$A$13-('Control Room'!$B$13-1)/2)/MAX(0.5,'Control Room'!$B$13/4))^2),1)*IF(AND($A71&gt;='Control Room'!$A$14,$A71&lt;'Control Room'!$A$14+'Control Room'!$B$14,'Process'!BU3=1),1+('Control Room'!$C$14-1)*EXP(-0.5*(($A71-'Control Room'!$A$14-('Control Room'!$B$14-1)/2)/MAX(0.5,'Control Room'!$B$14/4))^2),1)*IF(AND($A71&gt;='Control Room'!$A$15,$A71&lt;'Control Room'!$A$15+'Control Room'!$B$15,'Process'!BU4=1),1+('Control Room'!$C$15-1)*EXP(-0.5*(($A71-'Control Room'!$A$15-('Control Room'!$B$15-1)/2)/MAX(0.5,'Control Room'!$B$15/4))^2),1)*IF(AND($A71&gt;='Control Room'!$A$16,$A71&lt;'Control Room'!$A$16+'Control Room'!$B$16,'Process'!BU5=1),1+('Control Room'!$C$16-1)*EXP(-0.5*(($A71-'Control Room'!$A$16-('Control Room'!$B$16-1)/2)/MAX(0.5,'Control Room'!$B$16/4))^2),1)</x:f>
        <x:v>0.8504569056540241</x:v>
      </x:c>
      <x:c r="BE71" s="9" t="n">
        <x:f>MOD(BF70*16807,2147483647)</x:f>
        <x:v>592999500</x:v>
      </x:c>
      <x:c r="BF71" s="9" t="n">
        <x:f>MOD(BE71*16807,2147483647)</x:f>
        <x:v>70990773</x:v>
      </x:c>
      <x:c r="BG71" s="17" t="n">
        <x:f>IF('Control Room'!$B$5="Normal",'Control Room'!$B$7+'Control Room'!$D$7*SQRT(-2*LN(MAX(0.000000000001,BE71/2147483647)))*COS(2*PI()*BF71/2147483647),'Control Room'!$B$8+('Control Room'!$D$8-'Control Room'!$B$8)*BE71/2147483647)</x:f>
        <x:v>1141.28189548384</x:v>
      </x:c>
      <x:c r="BH71" s="17" t="n">
        <x:f>IF('Control Room'!$B$5="Normal",'Control Room'!$B$7,('Control Room'!$B$8+'Control Room'!$D$8)/2)+'Control Room'!$B$9*(BH70-IF('Control Room'!$B$5="Normal",'Control Room'!$B$7,('Control Room'!$B$8+'Control Room'!$D$8)/2))+SQRT(1-'Control Room'!$B$9^2)*(BG71-IF('Control Room'!$B$5="Normal",'Control Room'!$B$7,('Control Room'!$B$8+'Control Room'!$D$8)/2))</x:f>
        <x:v>1095.9806008479454</x:v>
      </x:c>
      <x:c r="BI71" s="17" t="n">
        <x:f>IF(AND($A71&gt;='Control Room'!$A$13,$A71&lt;'Control Room'!$A$13+'Control Room'!$B$13,'Process'!BV2=1),1+('Control Room'!$C$13-1)*EXP(-0.5*(($A71-'Control Room'!$A$13-('Control Room'!$B$13-1)/2)/MAX(0.5,'Control Room'!$B$13/4))^2),1)*IF(AND($A71&gt;='Control Room'!$A$14,$A71&lt;'Control Room'!$A$14+'Control Room'!$B$14,'Process'!BV3=1),1+('Control Room'!$C$14-1)*EXP(-0.5*(($A71-'Control Room'!$A$14-('Control Room'!$B$14-1)/2)/MAX(0.5,'Control Room'!$B$14/4))^2),1)*IF(AND($A71&gt;='Control Room'!$A$15,$A71&lt;'Control Room'!$A$15+'Control Room'!$B$15,'Process'!BV4=1),1+('Control Room'!$C$15-1)*EXP(-0.5*(($A71-'Control Room'!$A$15-('Control Room'!$B$15-1)/2)/MAX(0.5,'Control Room'!$B$15/4))^2),1)*IF(AND($A71&gt;='Control Room'!$A$16,$A71&lt;'Control Room'!$A$16+'Control Room'!$B$16,'Process'!BV5=1),1+('Control Room'!$C$16-1)*EXP(-0.5*(($A71-'Control Room'!$A$16-('Control Room'!$B$16-1)/2)/MAX(0.5,'Control Room'!$B$16/4))^2),1)</x:f>
        <x:v>0.8504569056540241</x:v>
      </x:c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Z71" t="str">
        <x:f>IF('Data'!A71="","",TEXT('Data'!A71,"mm-dd"))</x:f>
        <x:v>01-10</x:v>
      </x:c>
    </x:row>
    <x:row r="72" ht="21" customHeight="1">
      <x:c r="A72" s="15" t="n">
        <x:f>'Control Room'!$B$1+70</x:f>
        <x:v>73061</x:v>
      </x:c>
      <x:c r="B72" s="9" t="n">
        <x:f>MOD(C71*16807,2147483647)</x:f>
        <x:v>578063468</x:v>
      </x:c>
      <x:c r="C72" s="9" t="n">
        <x:f>MOD(B72*16807,2147483647)</x:f>
        <x:v>296687648</x:v>
      </x:c>
      <x:c r="D72" s="17" t="n">
        <x:f>IF('Control Room'!$B$5="Normal",'Control Room'!$B$7+'Control Room'!$D$7*SQRT(-2*LN(MAX(0.000000000001,B72/2147483647)))*COS(2*PI()*C72/2147483647),'Control Room'!$B$8+('Control Room'!$D$8-'Control Room'!$B$8)*B72/2147483647)</x:f>
        <x:v>1094.2378321425083</x:v>
      </x:c>
      <x:c r="E72" s="17" t="n">
        <x:f>IF('Control Room'!$B$5="Normal",'Control Room'!$B$7,('Control Room'!$B$8+'Control Room'!$D$8)/2)+'Control Room'!$B$9*(E71-IF('Control Room'!$B$5="Normal",'Control Room'!$B$7,('Control Room'!$B$8+'Control Room'!$D$8)/2))+SQRT(1-'Control Room'!$B$9^2)*(D72-IF('Control Room'!$B$5="Normal",'Control Room'!$B$7,('Control Room'!$B$8+'Control Room'!$D$8)/2))</x:f>
        <x:v>1090.6589453780357</x:v>
      </x:c>
      <x:c r="F72" s="17" t="n">
        <x:f>IF(AND($A72&gt;='Control Room'!$A$13,$A72&lt;'Control Room'!$A$13+'Control Room'!$B$13,'Process'!BK2=1),1+('Control Room'!$C$13-1)*EXP(-0.5*(($A72-'Control Room'!$A$13-('Control Room'!$B$13-1)/2)/MAX(0.5,'Control Room'!$B$13/4))^2),1)*IF(AND($A72&gt;='Control Room'!$A$14,$A72&lt;'Control Room'!$A$14+'Control Room'!$B$14,'Process'!BK3=1),1+('Control Room'!$C$14-1)*EXP(-0.5*(($A72-'Control Room'!$A$14-('Control Room'!$B$14-1)/2)/MAX(0.5,'Control Room'!$B$14/4))^2),1)*IF(AND($A72&gt;='Control Room'!$A$15,$A72&lt;'Control Room'!$A$15+'Control Room'!$B$15,'Process'!BK4=1),1+('Control Room'!$C$15-1)*EXP(-0.5*(($A72-'Control Room'!$A$15-('Control Room'!$B$15-1)/2)/MAX(0.5,'Control Room'!$B$15/4))^2),1)*IF(AND($A72&gt;='Control Room'!$A$16,$A72&lt;'Control Room'!$A$16+'Control Room'!$B$16,'Process'!BK5=1),1+('Control Room'!$C$16-1)*EXP(-0.5*(($A72-'Control Room'!$A$16-('Control Room'!$B$16-1)/2)/MAX(0.5,'Control Room'!$B$16/4))^2),1)</x:f>
        <x:v>1</x:v>
      </x:c>
      <x:c r="G72" s="9" t="n">
        <x:f>MOD(H71*16807,2147483647)</x:f>
        <x:v>1618777331</x:v>
      </x:c>
      <x:c r="H72" s="9" t="n">
        <x:f>MOD(G72*16807,2147483647)</x:f>
        <x:v>320278274</x:v>
      </x:c>
      <x:c r="I72" s="17" t="n">
        <x:f>IF('Control Room'!$B$5="Normal",'Control Room'!$B$7+'Control Room'!$D$7*SQRT(-2*LN(MAX(0.000000000001,G72/2147483647)))*COS(2*PI()*H72/2147483647),'Control Room'!$B$8+('Control Room'!$D$8-'Control Room'!$B$8)*G72/2147483647)</x:f>
        <x:v>1040.0672249285162</x:v>
      </x:c>
      <x:c r="J72" s="17" t="n">
        <x:f>IF('Control Room'!$B$5="Normal",'Control Room'!$B$7,('Control Room'!$B$8+'Control Room'!$D$8)/2)+'Control Room'!$B$9*(J71-IF('Control Room'!$B$5="Normal",'Control Room'!$B$7,('Control Room'!$B$8+'Control Room'!$D$8)/2))+SQRT(1-'Control Room'!$B$9^2)*(I72-IF('Control Room'!$B$5="Normal",'Control Room'!$B$7,('Control Room'!$B$8+'Control Room'!$D$8)/2))</x:f>
        <x:v>1026.3199636590452</x:v>
      </x:c>
      <x:c r="K72" s="17" t="n">
        <x:f>IF(AND($A72&gt;='Control Room'!$A$13,$A72&lt;'Control Room'!$A$13+'Control Room'!$B$13,'Process'!BL2=1),1+('Control Room'!$C$13-1)*EXP(-0.5*(($A72-'Control Room'!$A$13-('Control Room'!$B$13-1)/2)/MAX(0.5,'Control Room'!$B$13/4))^2),1)*IF(AND($A72&gt;='Control Room'!$A$14,$A72&lt;'Control Room'!$A$14+'Control Room'!$B$14,'Process'!BL3=1),1+('Control Room'!$C$14-1)*EXP(-0.5*(($A72-'Control Room'!$A$14-('Control Room'!$B$14-1)/2)/MAX(0.5,'Control Room'!$B$14/4))^2),1)*IF(AND($A72&gt;='Control Room'!$A$15,$A72&lt;'Control Room'!$A$15+'Control Room'!$B$15,'Process'!BL4=1),1+('Control Room'!$C$15-1)*EXP(-0.5*(($A72-'Control Room'!$A$15-('Control Room'!$B$15-1)/2)/MAX(0.5,'Control Room'!$B$15/4))^2),1)*IF(AND($A72&gt;='Control Room'!$A$16,$A72&lt;'Control Room'!$A$16+'Control Room'!$B$16,'Process'!BL5=1),1+('Control Room'!$C$16-1)*EXP(-0.5*(($A72-'Control Room'!$A$16-('Control Room'!$B$16-1)/2)/MAX(0.5,'Control Room'!$B$16/4))^2),1)</x:f>
        <x:v>1</x:v>
      </x:c>
      <x:c r="L72" s="9" t="n">
        <x:f>MOD(M71*16807,2147483647)</x:f>
        <x:v>512007547</x:v>
      </x:c>
      <x:c r="M72" s="9" t="n">
        <x:f>MOD(L72*16807,2147483647)</x:f>
        <x:v>343868900</x:v>
      </x:c>
      <x:c r="N72" s="17" t="n">
        <x:f>IF('Control Room'!$B$5="Normal",'Control Room'!$B$7+'Control Room'!$D$7*SQRT(-2*LN(MAX(0.000000000001,L72/2147483647)))*COS(2*PI()*M72/2147483647),'Control Room'!$B$8+('Control Room'!$D$8-'Control Room'!$B$8)*L72/2147483647)</x:f>
        <x:v>1081.5584328000084</x:v>
      </x:c>
      <x:c r="O72" s="17" t="n">
        <x:f>IF('Control Room'!$B$5="Normal",'Control Room'!$B$7,('Control Room'!$B$8+'Control Room'!$D$8)/2)+'Control Room'!$B$9*(O71-IF('Control Room'!$B$5="Normal",'Control Room'!$B$7,('Control Room'!$B$8+'Control Room'!$D$8)/2))+SQRT(1-'Control Room'!$B$9^2)*(N72-IF('Control Room'!$B$5="Normal",'Control Room'!$B$7,('Control Room'!$B$8+'Control Room'!$D$8)/2))</x:f>
        <x:v>991.0297245218037</x:v>
      </x:c>
      <x:c r="P72" s="17" t="n">
        <x:f>IF(AND($A72&gt;='Control Room'!$A$13,$A72&lt;'Control Room'!$A$13+'Control Room'!$B$13,'Process'!BM2=1),1+('Control Room'!$C$13-1)*EXP(-0.5*(($A72-'Control Room'!$A$13-('Control Room'!$B$13-1)/2)/MAX(0.5,'Control Room'!$B$13/4))^2),1)*IF(AND($A72&gt;='Control Room'!$A$14,$A72&lt;'Control Room'!$A$14+'Control Room'!$B$14,'Process'!BM3=1),1+('Control Room'!$C$14-1)*EXP(-0.5*(($A72-'Control Room'!$A$14-('Control Room'!$B$14-1)/2)/MAX(0.5,'Control Room'!$B$14/4))^2),1)*IF(AND($A72&gt;='Control Room'!$A$15,$A72&lt;'Control Room'!$A$15+'Control Room'!$B$15,'Process'!BM4=1),1+('Control Room'!$C$15-1)*EXP(-0.5*(($A72-'Control Room'!$A$15-('Control Room'!$B$15-1)/2)/MAX(0.5,'Control Room'!$B$15/4))^2),1)*IF(AND($A72&gt;='Control Room'!$A$16,$A72&lt;'Control Room'!$A$16+'Control Room'!$B$16,'Process'!BM5=1),1+('Control Room'!$C$16-1)*EXP(-0.5*(($A72-'Control Room'!$A$16-('Control Room'!$B$16-1)/2)/MAX(0.5,'Control Room'!$B$16/4))^2),1)</x:f>
        <x:v>1</x:v>
      </x:c>
      <x:c r="Q72" s="9" t="n">
        <x:f>MOD(R71*16807,2147483647)</x:f>
        <x:v>1552721410</x:v>
      </x:c>
      <x:c r="R72" s="9" t="n">
        <x:f>MOD(Q72*16807,2147483647)</x:f>
        <x:v>367459526</x:v>
      </x:c>
      <x:c r="S72" s="17" t="n">
        <x:f>IF('Control Room'!$B$5="Normal",'Control Room'!$B$7+'Control Room'!$D$7*SQRT(-2*LN(MAX(0.000000000001,Q72/2147483647)))*COS(2*PI()*R72/2147483647),'Control Room'!$B$8+('Control Room'!$D$8-'Control Room'!$B$8)*Q72/2147483647)</x:f>
        <x:v>1034.473374169624</x:v>
      </x:c>
      <x:c r="T72" s="17" t="n">
        <x:f>IF('Control Room'!$B$5="Normal",'Control Room'!$B$7,('Control Room'!$B$8+'Control Room'!$D$8)/2)+'Control Room'!$B$9*(T71-IF('Control Room'!$B$5="Normal",'Control Room'!$B$7,('Control Room'!$B$8+'Control Room'!$D$8)/2))+SQRT(1-'Control Room'!$B$9^2)*(S72-IF('Control Room'!$B$5="Normal",'Control Room'!$B$7,('Control Room'!$B$8+'Control Room'!$D$8)/2))</x:f>
        <x:v>925.6243143607472</x:v>
      </x:c>
      <x:c r="U72" s="17" t="n">
        <x:f>IF(AND($A72&gt;='Control Room'!$A$13,$A72&lt;'Control Room'!$A$13+'Control Room'!$B$13,'Process'!BN2=1),1+('Control Room'!$C$13-1)*EXP(-0.5*(($A72-'Control Room'!$A$13-('Control Room'!$B$13-1)/2)/MAX(0.5,'Control Room'!$B$13/4))^2),1)*IF(AND($A72&gt;='Control Room'!$A$14,$A72&lt;'Control Room'!$A$14+'Control Room'!$B$14,'Process'!BN3=1),1+('Control Room'!$C$14-1)*EXP(-0.5*(($A72-'Control Room'!$A$14-('Control Room'!$B$14-1)/2)/MAX(0.5,'Control Room'!$B$14/4))^2),1)*IF(AND($A72&gt;='Control Room'!$A$15,$A72&lt;'Control Room'!$A$15+'Control Room'!$B$15,'Process'!BN4=1),1+('Control Room'!$C$15-1)*EXP(-0.5*(($A72-'Control Room'!$A$15-('Control Room'!$B$15-1)/2)/MAX(0.5,'Control Room'!$B$15/4))^2),1)*IF(AND($A72&gt;='Control Room'!$A$16,$A72&lt;'Control Room'!$A$16+'Control Room'!$B$16,'Process'!BN5=1),1+('Control Room'!$C$16-1)*EXP(-0.5*(($A72-'Control Room'!$A$16-('Control Room'!$B$16-1)/2)/MAX(0.5,'Control Room'!$B$16/4))^2),1)</x:f>
        <x:v>1</x:v>
      </x:c>
      <x:c r="V72" s="9" t="n">
        <x:f>MOD(W71*16807,2147483647)</x:f>
        <x:v>445951626</x:v>
      </x:c>
      <x:c r="W72" s="9" t="n">
        <x:f>MOD(V72*16807,2147483647)</x:f>
        <x:v>391050152</x:v>
      </x:c>
      <x:c r="X72" s="17" t="n">
        <x:f>IF('Control Room'!$B$5="Normal",'Control Room'!$B$7+'Control Room'!$D$7*SQRT(-2*LN(MAX(0.000000000001,V72/2147483647)))*COS(2*PI()*W72/2147483647),'Control Room'!$B$8+('Control Room'!$D$8-'Control Room'!$B$8)*V72/2147483647)</x:f>
        <x:v>1066.0350827963618</x:v>
      </x:c>
      <x:c r="Y72" s="17" t="n">
        <x:f>IF('Control Room'!$B$5="Normal",'Control Room'!$B$7,('Control Room'!$B$8+'Control Room'!$D$8)/2)+'Control Room'!$B$9*(Y71-IF('Control Room'!$B$5="Normal",'Control Room'!$B$7,('Control Room'!$B$8+'Control Room'!$D$8)/2))+SQRT(1-'Control Room'!$B$9^2)*(X72-IF('Control Room'!$B$5="Normal",'Control Room'!$B$7,('Control Room'!$B$8+'Control Room'!$D$8)/2))</x:f>
        <x:v>1219.3347659315223</x:v>
      </x:c>
      <x:c r="Z72" s="17" t="n">
        <x:f>IF(AND($A72&gt;='Control Room'!$A$13,$A72&lt;'Control Room'!$A$13+'Control Room'!$B$13,'Process'!BO2=1),1+('Control Room'!$C$13-1)*EXP(-0.5*(($A72-'Control Room'!$A$13-('Control Room'!$B$13-1)/2)/MAX(0.5,'Control Room'!$B$13/4))^2),1)*IF(AND($A72&gt;='Control Room'!$A$14,$A72&lt;'Control Room'!$A$14+'Control Room'!$B$14,'Process'!BO3=1),1+('Control Room'!$C$14-1)*EXP(-0.5*(($A72-'Control Room'!$A$14-('Control Room'!$B$14-1)/2)/MAX(0.5,'Control Room'!$B$14/4))^2),1)*IF(AND($A72&gt;='Control Room'!$A$15,$A72&lt;'Control Room'!$A$15+'Control Room'!$B$15,'Process'!BO4=1),1+('Control Room'!$C$15-1)*EXP(-0.5*(($A72-'Control Room'!$A$15-('Control Room'!$B$15-1)/2)/MAX(0.5,'Control Room'!$B$15/4))^2),1)*IF(AND($A72&gt;='Control Room'!$A$16,$A72&lt;'Control Room'!$A$16+'Control Room'!$B$16,'Process'!BO5=1),1+('Control Room'!$C$16-1)*EXP(-0.5*(($A72-'Control Room'!$A$16-('Control Room'!$B$16-1)/2)/MAX(0.5,'Control Room'!$B$16/4))^2),1)</x:f>
        <x:v>1</x:v>
      </x:c>
      <x:c r="AA72" s="9" t="n">
        <x:f>MOD(AB71*16807,2147483647)</x:f>
        <x:v>1486665489</x:v>
      </x:c>
      <x:c r="AB72" s="9" t="n">
        <x:f>MOD(AA72*16807,2147483647)</x:f>
        <x:v>414640778</x:v>
      </x:c>
      <x:c r="AC72" s="17" t="n">
        <x:f>IF('Control Room'!$B$5="Normal",'Control Room'!$B$7+'Control Room'!$D$7*SQRT(-2*LN(MAX(0.000000000001,AA72/2147483647)))*COS(2*PI()*AB72/2147483647),'Control Room'!$B$8+('Control Room'!$D$8-'Control Room'!$B$8)*AA72/2147483647)</x:f>
        <x:v>1027.0191370624557</x:v>
      </x:c>
      <x:c r="AD72" s="17" t="n">
        <x:f>IF('Control Room'!$B$5="Normal",'Control Room'!$B$7,('Control Room'!$B$8+'Control Room'!$D$8)/2)+'Control Room'!$B$9*(AD71-IF('Control Room'!$B$5="Normal",'Control Room'!$B$7,('Control Room'!$B$8+'Control Room'!$D$8)/2))+SQRT(1-'Control Room'!$B$9^2)*(AC72-IF('Control Room'!$B$5="Normal",'Control Room'!$B$7,('Control Room'!$B$8+'Control Room'!$D$8)/2))</x:f>
        <x:v>1108.051079689841</x:v>
      </x:c>
      <x:c r="AE72" s="17" t="n">
        <x:f>IF(AND($A72&gt;='Control Room'!$A$13,$A72&lt;'Control Room'!$A$13+'Control Room'!$B$13,'Process'!BP2=1),1+('Control Room'!$C$13-1)*EXP(-0.5*(($A72-'Control Room'!$A$13-('Control Room'!$B$13-1)/2)/MAX(0.5,'Control Room'!$B$13/4))^2),1)*IF(AND($A72&gt;='Control Room'!$A$14,$A72&lt;'Control Room'!$A$14+'Control Room'!$B$14,'Process'!BP3=1),1+('Control Room'!$C$14-1)*EXP(-0.5*(($A72-'Control Room'!$A$14-('Control Room'!$B$14-1)/2)/MAX(0.5,'Control Room'!$B$14/4))^2),1)*IF(AND($A72&gt;='Control Room'!$A$15,$A72&lt;'Control Room'!$A$15+'Control Room'!$B$15,'Process'!BP4=1),1+('Control Room'!$C$15-1)*EXP(-0.5*(($A72-'Control Room'!$A$15-('Control Room'!$B$15-1)/2)/MAX(0.5,'Control Room'!$B$15/4))^2),1)*IF(AND($A72&gt;='Control Room'!$A$16,$A72&lt;'Control Room'!$A$16+'Control Room'!$B$16,'Process'!BP5=1),1+('Control Room'!$C$16-1)*EXP(-0.5*(($A72-'Control Room'!$A$16-('Control Room'!$B$16-1)/2)/MAX(0.5,'Control Room'!$B$16/4))^2),1)</x:f>
        <x:v>1</x:v>
      </x:c>
      <x:c r="AF72" s="9" t="n">
        <x:f>MOD(AG71*16807,2147483647)</x:f>
        <x:v>379895705</x:v>
      </x:c>
      <x:c r="AG72" s="9" t="n">
        <x:f>MOD(AF72*16807,2147483647)</x:f>
        <x:v>438231404</x:v>
      </x:c>
      <x:c r="AH72" s="17" t="n">
        <x:f>IF('Control Room'!$B$5="Normal",'Control Room'!$B$7+'Control Room'!$D$7*SQRT(-2*LN(MAX(0.000000000001,AF72/2147483647)))*COS(2*PI()*AG72/2147483647),'Control Room'!$B$8+('Control Room'!$D$8-'Control Room'!$B$8)*AF72/2147483647)</x:f>
        <x:v>1047.6766942596905</x:v>
      </x:c>
      <x:c r="AI72" s="17" t="n">
        <x:f>IF('Control Room'!$B$5="Normal",'Control Room'!$B$7,('Control Room'!$B$8+'Control Room'!$D$8)/2)+'Control Room'!$B$9*(AI71-IF('Control Room'!$B$5="Normal",'Control Room'!$B$7,('Control Room'!$B$8+'Control Room'!$D$8)/2))+SQRT(1-'Control Room'!$B$9^2)*(AH72-IF('Control Room'!$B$5="Normal",'Control Room'!$B$7,('Control Room'!$B$8+'Control Room'!$D$8)/2))</x:f>
        <x:v>1066.0232983596966</x:v>
      </x:c>
      <x:c r="AJ72" s="17" t="n">
        <x:f>IF(AND($A72&gt;='Control Room'!$A$13,$A72&lt;'Control Room'!$A$13+'Control Room'!$B$13,'Process'!BQ2=1),1+('Control Room'!$C$13-1)*EXP(-0.5*(($A72-'Control Room'!$A$13-('Control Room'!$B$13-1)/2)/MAX(0.5,'Control Room'!$B$13/4))^2),1)*IF(AND($A72&gt;='Control Room'!$A$14,$A72&lt;'Control Room'!$A$14+'Control Room'!$B$14,'Process'!BQ3=1),1+('Control Room'!$C$14-1)*EXP(-0.5*(($A72-'Control Room'!$A$14-('Control Room'!$B$14-1)/2)/MAX(0.5,'Control Room'!$B$14/4))^2),1)*IF(AND($A72&gt;='Control Room'!$A$15,$A72&lt;'Control Room'!$A$15+'Control Room'!$B$15,'Process'!BQ4=1),1+('Control Room'!$C$15-1)*EXP(-0.5*(($A72-'Control Room'!$A$15-('Control Room'!$B$15-1)/2)/MAX(0.5,'Control Room'!$B$15/4))^2),1)*IF(AND($A72&gt;='Control Room'!$A$16,$A72&lt;'Control Room'!$A$16+'Control Room'!$B$16,'Process'!BQ5=1),1+('Control Room'!$C$16-1)*EXP(-0.5*(($A72-'Control Room'!$A$16-('Control Room'!$B$16-1)/2)/MAX(0.5,'Control Room'!$B$16/4))^2),1)</x:f>
        <x:v>1</x:v>
      </x:c>
      <x:c r="AK72" s="9" t="n">
        <x:f>MOD(AL71*16807,2147483647)</x:f>
        <x:v>1420609568</x:v>
      </x:c>
      <x:c r="AL72" s="9" t="n">
        <x:f>MOD(AK72*16807,2147483647)</x:f>
        <x:v>461822030</x:v>
      </x:c>
      <x:c r="AM72" s="17" t="n">
        <x:f>IF('Control Room'!$B$5="Normal",'Control Room'!$B$7+'Control Room'!$D$7*SQRT(-2*LN(MAX(0.000000000001,AK72/2147483647)))*COS(2*PI()*AL72/2147483647),'Control Room'!$B$8+('Control Room'!$D$8-'Control Room'!$B$8)*AK72/2147483647)</x:f>
        <x:v>1017.8214043557313</x:v>
      </x:c>
      <x:c r="AN72" s="17" t="n">
        <x:f>IF('Control Room'!$B$5="Normal",'Control Room'!$B$7,('Control Room'!$B$8+'Control Room'!$D$8)/2)+'Control Room'!$B$9*(AN71-IF('Control Room'!$B$5="Normal",'Control Room'!$B$7,('Control Room'!$B$8+'Control Room'!$D$8)/2))+SQRT(1-'Control Room'!$B$9^2)*(AM72-IF('Control Room'!$B$5="Normal",'Control Room'!$B$7,('Control Room'!$B$8+'Control Room'!$D$8)/2))</x:f>
        <x:v>1216.6343014183844</x:v>
      </x:c>
      <x:c r="AO72" s="17" t="n">
        <x:f>IF(AND($A72&gt;='Control Room'!$A$13,$A72&lt;'Control Room'!$A$13+'Control Room'!$B$13,'Process'!BR2=1),1+('Control Room'!$C$13-1)*EXP(-0.5*(($A72-'Control Room'!$A$13-('Control Room'!$B$13-1)/2)/MAX(0.5,'Control Room'!$B$13/4))^2),1)*IF(AND($A72&gt;='Control Room'!$A$14,$A72&lt;'Control Room'!$A$14+'Control Room'!$B$14,'Process'!BR3=1),1+('Control Room'!$C$14-1)*EXP(-0.5*(($A72-'Control Room'!$A$14-('Control Room'!$B$14-1)/2)/MAX(0.5,'Control Room'!$B$14/4))^2),1)*IF(AND($A72&gt;='Control Room'!$A$15,$A72&lt;'Control Room'!$A$15+'Control Room'!$B$15,'Process'!BR4=1),1+('Control Room'!$C$15-1)*EXP(-0.5*(($A72-'Control Room'!$A$15-('Control Room'!$B$15-1)/2)/MAX(0.5,'Control Room'!$B$15/4))^2),1)*IF(AND($A72&gt;='Control Room'!$A$16,$A72&lt;'Control Room'!$A$16+'Control Room'!$B$16,'Process'!BR5=1),1+('Control Room'!$C$16-1)*EXP(-0.5*(($A72-'Control Room'!$A$16-('Control Room'!$B$16-1)/2)/MAX(0.5,'Control Room'!$B$16/4))^2),1)</x:f>
        <x:v>1</x:v>
      </x:c>
      <x:c r="AP72" s="9" t="n">
        <x:f>MOD(AQ71*16807,2147483647)</x:f>
        <x:v>313839784</x:v>
      </x:c>
      <x:c r="AQ72" s="9" t="n">
        <x:f>MOD(AP72*16807,2147483647)</x:f>
        <x:v>485412656</x:v>
      </x:c>
      <x:c r="AR72" s="17" t="n">
        <x:f>IF('Control Room'!$B$5="Normal",'Control Room'!$B$7+'Control Room'!$D$7*SQRT(-2*LN(MAX(0.000000000001,AP72/2147483647)))*COS(2*PI()*AQ72/2147483647),'Control Room'!$B$8+('Control Room'!$D$8-'Control Room'!$B$8)*AP72/2147483647)</x:f>
        <x:v>1026.4745965067666</x:v>
      </x:c>
      <x:c r="AS72" s="17" t="n">
        <x:f>IF('Control Room'!$B$5="Normal",'Control Room'!$B$7,('Control Room'!$B$8+'Control Room'!$D$8)/2)+'Control Room'!$B$9*(AS71-IF('Control Room'!$B$5="Normal",'Control Room'!$B$7,('Control Room'!$B$8+'Control Room'!$D$8)/2))+SQRT(1-'Control Room'!$B$9^2)*(AR72-IF('Control Room'!$B$5="Normal",'Control Room'!$B$7,('Control Room'!$B$8+'Control Room'!$D$8)/2))</x:f>
        <x:v>1126.5489749981</x:v>
      </x:c>
      <x:c r="AT72" s="17" t="n">
        <x:f>IF(AND($A72&gt;='Control Room'!$A$13,$A72&lt;'Control Room'!$A$13+'Control Room'!$B$13,'Process'!BS2=1),1+('Control Room'!$C$13-1)*EXP(-0.5*(($A72-'Control Room'!$A$13-('Control Room'!$B$13-1)/2)/MAX(0.5,'Control Room'!$B$13/4))^2),1)*IF(AND($A72&gt;='Control Room'!$A$14,$A72&lt;'Control Room'!$A$14+'Control Room'!$B$14,'Process'!BS3=1),1+('Control Room'!$C$14-1)*EXP(-0.5*(($A72-'Control Room'!$A$14-('Control Room'!$B$14-1)/2)/MAX(0.5,'Control Room'!$B$14/4))^2),1)*IF(AND($A72&gt;='Control Room'!$A$15,$A72&lt;'Control Room'!$A$15+'Control Room'!$B$15,'Process'!BS4=1),1+('Control Room'!$C$15-1)*EXP(-0.5*(($A72-'Control Room'!$A$15-('Control Room'!$B$15-1)/2)/MAX(0.5,'Control Room'!$B$15/4))^2),1)*IF(AND($A72&gt;='Control Room'!$A$16,$A72&lt;'Control Room'!$A$16+'Control Room'!$B$16,'Process'!BS5=1),1+('Control Room'!$C$16-1)*EXP(-0.5*(($A72-'Control Room'!$A$16-('Control Room'!$B$16-1)/2)/MAX(0.5,'Control Room'!$B$16/4))^2),1)</x:f>
        <x:v>1</x:v>
      </x:c>
      <x:c r="AU72" s="9" t="n">
        <x:f>MOD(AV71*16807,2147483647)</x:f>
        <x:v>1354553647</x:v>
      </x:c>
      <x:c r="AV72" s="9" t="n">
        <x:f>MOD(AU72*16807,2147483647)</x:f>
        <x:v>509003282</x:v>
      </x:c>
      <x:c r="AW72" s="17" t="n">
        <x:f>IF('Control Room'!$B$5="Normal",'Control Room'!$B$7+'Control Room'!$D$7*SQRT(-2*LN(MAX(0.000000000001,AU72/2147483647)))*COS(2*PI()*AV72/2147483647),'Control Room'!$B$8+('Control Room'!$D$8-'Control Room'!$B$8)*AU72/2147483647)</x:f>
        <x:v>1007.0371066892036</x:v>
      </x:c>
      <x:c r="AX72" s="17" t="n">
        <x:f>IF('Control Room'!$B$5="Normal",'Control Room'!$B$7,('Control Room'!$B$8+'Control Room'!$D$8)/2)+'Control Room'!$B$9*(AX71-IF('Control Room'!$B$5="Normal",'Control Room'!$B$7,('Control Room'!$B$8+'Control Room'!$D$8)/2))+SQRT(1-'Control Room'!$B$9^2)*(AW72-IF('Control Room'!$B$5="Normal",'Control Room'!$B$7,('Control Room'!$B$8+'Control Room'!$D$8)/2))</x:f>
        <x:v>1001.43660364035</x:v>
      </x:c>
      <x:c r="AY72" s="17" t="n">
        <x:f>IF(AND($A72&gt;='Control Room'!$A$13,$A72&lt;'Control Room'!$A$13+'Control Room'!$B$13,'Process'!BT2=1),1+('Control Room'!$C$13-1)*EXP(-0.5*(($A72-'Control Room'!$A$13-('Control Room'!$B$13-1)/2)/MAX(0.5,'Control Room'!$B$13/4))^2),1)*IF(AND($A72&gt;='Control Room'!$A$14,$A72&lt;'Control Room'!$A$14+'Control Room'!$B$14,'Process'!BT3=1),1+('Control Room'!$C$14-1)*EXP(-0.5*(($A72-'Control Room'!$A$14-('Control Room'!$B$14-1)/2)/MAX(0.5,'Control Room'!$B$14/4))^2),1)*IF(AND($A72&gt;='Control Room'!$A$15,$A72&lt;'Control Room'!$A$15+'Control Room'!$B$15,'Process'!BT4=1),1+('Control Room'!$C$15-1)*EXP(-0.5*(($A72-'Control Room'!$A$15-('Control Room'!$B$15-1)/2)/MAX(0.5,'Control Room'!$B$15/4))^2),1)*IF(AND($A72&gt;='Control Room'!$A$16,$A72&lt;'Control Room'!$A$16+'Control Room'!$B$16,'Process'!BT5=1),1+('Control Room'!$C$16-1)*EXP(-0.5*(($A72-'Control Room'!$A$16-('Control Room'!$B$16-1)/2)/MAX(0.5,'Control Room'!$B$16/4))^2),1)</x:f>
        <x:v>1</x:v>
      </x:c>
      <x:c r="AZ72" s="9" t="n">
        <x:f>MOD(BA71*16807,2147483647)</x:f>
        <x:v>247783863</x:v>
      </x:c>
      <x:c r="BA72" s="9" t="n">
        <x:f>MOD(AZ72*16807,2147483647)</x:f>
        <x:v>532593908</x:v>
      </x:c>
      <x:c r="BB72" s="17" t="n">
        <x:f>IF('Control Room'!$B$5="Normal",'Control Room'!$B$7+'Control Room'!$D$7*SQRT(-2*LN(MAX(0.000000000001,AZ72/2147483647)))*COS(2*PI()*BA72/2147483647),'Control Room'!$B$8+('Control Room'!$D$8-'Control Room'!$B$8)*AZ72/2147483647)</x:f>
        <x:v>1002.3405176864646</x:v>
      </x:c>
      <x:c r="BC72" s="17" t="n">
        <x:f>IF('Control Room'!$B$5="Normal",'Control Room'!$B$7,('Control Room'!$B$8+'Control Room'!$D$8)/2)+'Control Room'!$B$9*(BC71-IF('Control Room'!$B$5="Normal",'Control Room'!$B$7,('Control Room'!$B$8+'Control Room'!$D$8)/2))+SQRT(1-'Control Room'!$B$9^2)*(BB72-IF('Control Room'!$B$5="Normal",'Control Room'!$B$7,('Control Room'!$B$8+'Control Room'!$D$8)/2))</x:f>
        <x:v>1038.008918553157</x:v>
      </x:c>
      <x:c r="BD72" s="17" t="n">
        <x:f>IF(AND($A72&gt;='Control Room'!$A$13,$A72&lt;'Control Room'!$A$13+'Control Room'!$B$13,'Process'!BU2=1),1+('Control Room'!$C$13-1)*EXP(-0.5*(($A72-'Control Room'!$A$13-('Control Room'!$B$13-1)/2)/MAX(0.5,'Control Room'!$B$13/4))^2),1)*IF(AND($A72&gt;='Control Room'!$A$14,$A72&lt;'Control Room'!$A$14+'Control Room'!$B$14,'Process'!BU3=1),1+('Control Room'!$C$14-1)*EXP(-0.5*(($A72-'Control Room'!$A$14-('Control Room'!$B$14-1)/2)/MAX(0.5,'Control Room'!$B$14/4))^2),1)*IF(AND($A72&gt;='Control Room'!$A$15,$A72&lt;'Control Room'!$A$15+'Control Room'!$B$15,'Process'!BU4=1),1+('Control Room'!$C$15-1)*EXP(-0.5*(($A72-'Control Room'!$A$15-('Control Room'!$B$15-1)/2)/MAX(0.5,'Control Room'!$B$15/4))^2),1)*IF(AND($A72&gt;='Control Room'!$A$16,$A72&lt;'Control Room'!$A$16+'Control Room'!$B$16,'Process'!BU5=1),1+('Control Room'!$C$16-1)*EXP(-0.5*(($A72-'Control Room'!$A$16-('Control Room'!$B$16-1)/2)/MAX(0.5,'Control Room'!$B$16/4))^2),1)</x:f>
        <x:v>1</x:v>
      </x:c>
      <x:c r="BE72" s="9" t="n">
        <x:f>MOD(BF71*16807,2147483647)</x:f>
        <x:v>1288497726</x:v>
      </x:c>
      <x:c r="BF72" s="9" t="n">
        <x:f>MOD(BE72*16807,2147483647)</x:f>
        <x:v>556184534</x:v>
      </x:c>
      <x:c r="BG72" s="17" t="n">
        <x:f>IF('Control Room'!$B$5="Normal",'Control Room'!$B$7+'Control Room'!$D$7*SQRT(-2*LN(MAX(0.000000000001,BE72/2147483647)))*COS(2*PI()*BF72/2147483647),'Control Room'!$B$8+('Control Room'!$D$8-'Control Room'!$B$8)*BE72/2147483647)</x:f>
        <x:v>994.8622385420225</x:v>
      </x:c>
      <x:c r="BH72" s="17" t="n">
        <x:f>IF('Control Room'!$B$5="Normal",'Control Room'!$B$7,('Control Room'!$B$8+'Control Room'!$D$8)/2)+'Control Room'!$B$9*(BH71-IF('Control Room'!$B$5="Normal",'Control Room'!$B$7,('Control Room'!$B$8+'Control Room'!$D$8)/2))+SQRT(1-'Control Room'!$B$9^2)*(BG72-IF('Control Room'!$B$5="Normal",'Control Room'!$B$7,('Control Room'!$B$8+'Control Room'!$D$8)/2))</x:f>
        <x:v>1071.6497627937595</x:v>
      </x:c>
      <x:c r="BI72" s="17" t="n">
        <x:f>IF(AND($A72&gt;='Control Room'!$A$13,$A72&lt;'Control Room'!$A$13+'Control Room'!$B$13,'Process'!BV2=1),1+('Control Room'!$C$13-1)*EXP(-0.5*(($A72-'Control Room'!$A$13-('Control Room'!$B$13-1)/2)/MAX(0.5,'Control Room'!$B$13/4))^2),1)*IF(AND($A72&gt;='Control Room'!$A$14,$A72&lt;'Control Room'!$A$14+'Control Room'!$B$14,'Process'!BV3=1),1+('Control Room'!$C$14-1)*EXP(-0.5*(($A72-'Control Room'!$A$14-('Control Room'!$B$14-1)/2)/MAX(0.5,'Control Room'!$B$14/4))^2),1)*IF(AND($A72&gt;='Control Room'!$A$15,$A72&lt;'Control Room'!$A$15+'Control Room'!$B$15,'Process'!BV4=1),1+('Control Room'!$C$15-1)*EXP(-0.5*(($A72-'Control Room'!$A$15-('Control Room'!$B$15-1)/2)/MAX(0.5,'Control Room'!$B$15/4))^2),1)*IF(AND($A72&gt;='Control Room'!$A$16,$A72&lt;'Control Room'!$A$16+'Control Room'!$B$16,'Process'!BV5=1),1+('Control Room'!$C$16-1)*EXP(-0.5*(($A72-'Control Room'!$A$16-('Control Room'!$B$16-1)/2)/MAX(0.5,'Control Room'!$B$16/4))^2),1)</x:f>
        <x:v>1</x:v>
      </x:c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Z72" t="str">
        <x:f>IF('Data'!A72="","",TEXT('Data'!A72,"mm-dd"))</x:f>
        <x:v>01-11</x:v>
      </x:c>
    </x:row>
    <x:row r="73" ht="21" customHeight="1">
      <x:c r="A73" s="15" t="n">
        <x:f>'Control Room'!$B$1+71</x:f>
        <x:v>73062</x:v>
      </x:c>
      <x:c r="B73" s="9" t="n">
        <x:f>MOD(C72*16807,2147483647)</x:f>
        <x:v>2119755249</x:v>
      </x:c>
      <x:c r="C73" s="9" t="n">
        <x:f>MOD(B73*16807,2147483647)</x:f>
        <x:v>2120249860</x:v>
      </x:c>
      <x:c r="D73" s="17" t="n">
        <x:f>IF('Control Room'!$B$5="Normal",'Control Room'!$B$7+'Control Room'!$D$7*SQRT(-2*LN(MAX(0.000000000001,B73/2147483647)))*COS(2*PI()*C73/2147483647),'Control Room'!$B$8+('Control Room'!$D$8-'Control Room'!$B$8)*B73/2147483647)</x:f>
        <x:v>1014.4638633170451</x:v>
      </x:c>
      <x:c r="E73" s="17" t="n">
        <x:f>IF('Control Room'!$B$5="Normal",'Control Room'!$B$7,('Control Room'!$B$8+'Control Room'!$D$8)/2)+'Control Room'!$B$9*(E72-IF('Control Room'!$B$5="Normal",'Control Room'!$B$7,('Control Room'!$B$8+'Control Room'!$D$8)/2))+SQRT(1-'Control Room'!$B$9^2)*(D73-IF('Control Room'!$B$5="Normal",'Control Room'!$B$7,('Control Room'!$B$8+'Control Room'!$D$8)/2))</x:f>
        <x:v>1079.765166750329</x:v>
      </x:c>
      <x:c r="F73" s="17" t="n">
        <x:f>IF(AND($A73&gt;='Control Room'!$A$13,$A73&lt;'Control Room'!$A$13+'Control Room'!$B$13,'Process'!BK2=1),1+('Control Room'!$C$13-1)*EXP(-0.5*(($A73-'Control Room'!$A$13-('Control Room'!$B$13-1)/2)/MAX(0.5,'Control Room'!$B$13/4))^2),1)*IF(AND($A73&gt;='Control Room'!$A$14,$A73&lt;'Control Room'!$A$14+'Control Room'!$B$14,'Process'!BK3=1),1+('Control Room'!$C$14-1)*EXP(-0.5*(($A73-'Control Room'!$A$14-('Control Room'!$B$14-1)/2)/MAX(0.5,'Control Room'!$B$14/4))^2),1)*IF(AND($A73&gt;='Control Room'!$A$15,$A73&lt;'Control Room'!$A$15+'Control Room'!$B$15,'Process'!BK4=1),1+('Control Room'!$C$15-1)*EXP(-0.5*(($A73-'Control Room'!$A$15-('Control Room'!$B$15-1)/2)/MAX(0.5,'Control Room'!$B$15/4))^2),1)*IF(AND($A73&gt;='Control Room'!$A$16,$A73&lt;'Control Room'!$A$16+'Control Room'!$B$16,'Process'!BK5=1),1+('Control Room'!$C$16-1)*EXP(-0.5*(($A73-'Control Room'!$A$16-('Control Room'!$B$16-1)/2)/MAX(0.5,'Control Room'!$B$16/4))^2),1)</x:f>
        <x:v>1</x:v>
      </x:c>
      <x:c r="G73" s="9" t="n">
        <x:f>MOD(H72*16807,2147483647)</x:f>
        <x:v>1322931736</x:v>
      </x:c>
      <x:c r="H73" s="9" t="n">
        <x:f>MOD(G73*16807,2147483647)</x:f>
        <x:v>1615489561</x:v>
      </x:c>
      <x:c r="I73" s="17" t="n">
        <x:f>IF('Control Room'!$B$5="Normal",'Control Room'!$B$7+'Control Room'!$D$7*SQRT(-2*LN(MAX(0.000000000001,G73/2147483647)))*COS(2*PI()*H73/2147483647),'Control Room'!$B$8+('Control Room'!$D$8-'Control Room'!$B$8)*G73/2147483647)</x:f>
        <x:v>1001.2640169895127</x:v>
      </x:c>
      <x:c r="J73" s="17" t="n">
        <x:f>IF('Control Room'!$B$5="Normal",'Control Room'!$B$7,('Control Room'!$B$8+'Control Room'!$D$8)/2)+'Control Room'!$B$9*(J72-IF('Control Room'!$B$5="Normal",'Control Room'!$B$7,('Control Room'!$B$8+'Control Room'!$D$8)/2))+SQRT(1-'Control Room'!$B$9^2)*(I73-IF('Control Room'!$B$5="Normal",'Control Room'!$B$7,('Control Room'!$B$8+'Control Room'!$D$8)/2))</x:f>
        <x:v>1021.3205675912968</x:v>
      </x:c>
      <x:c r="K73" s="17" t="n">
        <x:f>IF(AND($A73&gt;='Control Room'!$A$13,$A73&lt;'Control Room'!$A$13+'Control Room'!$B$13,'Process'!BL2=1),1+('Control Room'!$C$13-1)*EXP(-0.5*(($A73-'Control Room'!$A$13-('Control Room'!$B$13-1)/2)/MAX(0.5,'Control Room'!$B$13/4))^2),1)*IF(AND($A73&gt;='Control Room'!$A$14,$A73&lt;'Control Room'!$A$14+'Control Room'!$B$14,'Process'!BL3=1),1+('Control Room'!$C$14-1)*EXP(-0.5*(($A73-'Control Room'!$A$14-('Control Room'!$B$14-1)/2)/MAX(0.5,'Control Room'!$B$14/4))^2),1)*IF(AND($A73&gt;='Control Room'!$A$15,$A73&lt;'Control Room'!$A$15+'Control Room'!$B$15,'Process'!BL4=1),1+('Control Room'!$C$15-1)*EXP(-0.5*(($A73-'Control Room'!$A$15-('Control Room'!$B$15-1)/2)/MAX(0.5,'Control Room'!$B$15/4))^2),1)*IF(AND($A73&gt;='Control Room'!$A$16,$A73&lt;'Control Room'!$A$16+'Control Room'!$B$16,'Process'!BL5=1),1+('Control Room'!$C$16-1)*EXP(-0.5*(($A73-'Control Room'!$A$16-('Control Room'!$B$16-1)/2)/MAX(0.5,'Control Room'!$B$16/4))^2),1)</x:f>
        <x:v>1</x:v>
      </x:c>
      <x:c r="L73" s="9" t="n">
        <x:f>MOD(M72*16807,2147483647)</x:f>
        <x:v>526108223</x:v>
      </x:c>
      <x:c r="M73" s="9" t="n">
        <x:f>MOD(L73*16807,2147483647)</x:f>
        <x:v>1110729262</x:v>
      </x:c>
      <x:c r="N73" s="17" t="n">
        <x:f>IF('Control Room'!$B$5="Normal",'Control Room'!$B$7+'Control Room'!$D$7*SQRT(-2*LN(MAX(0.000000000001,L73/2147483647)))*COS(2*PI()*M73/2147483647),'Control Room'!$B$8+('Control Room'!$D$8-'Control Room'!$B$8)*L73/2147483647)</x:f>
        <x:v>849.9326330832621</x:v>
      </x:c>
      <x:c r="O73" s="17" t="n">
        <x:f>IF('Control Room'!$B$5="Normal",'Control Room'!$B$7,('Control Room'!$B$8+'Control Room'!$D$8)/2)+'Control Room'!$B$9*(O72-IF('Control Room'!$B$5="Normal",'Control Room'!$B$7,('Control Room'!$B$8+'Control Room'!$D$8)/2))+SQRT(1-'Control Room'!$B$9^2)*(N73-IF('Control Room'!$B$5="Normal",'Control Room'!$B$7,('Control Room'!$B$8+'Control Room'!$D$8)/2))</x:f>
        <x:v>899.0941012076265</x:v>
      </x:c>
      <x:c r="P73" s="17" t="n">
        <x:f>IF(AND($A73&gt;='Control Room'!$A$13,$A73&lt;'Control Room'!$A$13+'Control Room'!$B$13,'Process'!BM2=1),1+('Control Room'!$C$13-1)*EXP(-0.5*(($A73-'Control Room'!$A$13-('Control Room'!$B$13-1)/2)/MAX(0.5,'Control Room'!$B$13/4))^2),1)*IF(AND($A73&gt;='Control Room'!$A$14,$A73&lt;'Control Room'!$A$14+'Control Room'!$B$14,'Process'!BM3=1),1+('Control Room'!$C$14-1)*EXP(-0.5*(($A73-'Control Room'!$A$14-('Control Room'!$B$14-1)/2)/MAX(0.5,'Control Room'!$B$14/4))^2),1)*IF(AND($A73&gt;='Control Room'!$A$15,$A73&lt;'Control Room'!$A$15+'Control Room'!$B$15,'Process'!BM4=1),1+('Control Room'!$C$15-1)*EXP(-0.5*(($A73-'Control Room'!$A$15-('Control Room'!$B$15-1)/2)/MAX(0.5,'Control Room'!$B$15/4))^2),1)*IF(AND($A73&gt;='Control Room'!$A$16,$A73&lt;'Control Room'!$A$16+'Control Room'!$B$16,'Process'!BM5=1),1+('Control Room'!$C$16-1)*EXP(-0.5*(($A73-'Control Room'!$A$16-('Control Room'!$B$16-1)/2)/MAX(0.5,'Control Room'!$B$16/4))^2),1)</x:f>
        <x:v>1</x:v>
      </x:c>
      <x:c r="Q73" s="9" t="n">
        <x:f>MOD(R72*16807,2147483647)</x:f>
        <x:v>1876768357</x:v>
      </x:c>
      <x:c r="R73" s="9" t="n">
        <x:f>MOD(Q73*16807,2147483647)</x:f>
        <x:v>605968963</x:v>
      </x:c>
      <x:c r="S73" s="17" t="n">
        <x:f>IF('Control Room'!$B$5="Normal",'Control Room'!$B$7+'Control Room'!$D$7*SQRT(-2*LN(MAX(0.000000000001,Q73/2147483647)))*COS(2*PI()*R73/2147483647),'Control Room'!$B$8+('Control Room'!$D$8-'Control Room'!$B$8)*Q73/2147483647)</x:f>
        <x:v>990.6185963263365</x:v>
      </x:c>
      <x:c r="T73" s="17" t="n">
        <x:f>IF('Control Room'!$B$5="Normal",'Control Room'!$B$7,('Control Room'!$B$8+'Control Room'!$D$8)/2)+'Control Room'!$B$9*(T72-IF('Control Room'!$B$5="Normal",'Control Room'!$B$7,('Control Room'!$B$8+'Control Room'!$D$8)/2))+SQRT(1-'Control Room'!$B$9^2)*(S73-IF('Control Room'!$B$5="Normal",'Control Room'!$B$7,('Control Room'!$B$8+'Control Room'!$D$8)/2))</x:f>
        <x:v>936.1162749709049</x:v>
      </x:c>
      <x:c r="U73" s="17" t="n">
        <x:f>IF(AND($A73&gt;='Control Room'!$A$13,$A73&lt;'Control Room'!$A$13+'Control Room'!$B$13,'Process'!BN2=1),1+('Control Room'!$C$13-1)*EXP(-0.5*(($A73-'Control Room'!$A$13-('Control Room'!$B$13-1)/2)/MAX(0.5,'Control Room'!$B$13/4))^2),1)*IF(AND($A73&gt;='Control Room'!$A$14,$A73&lt;'Control Room'!$A$14+'Control Room'!$B$14,'Process'!BN3=1),1+('Control Room'!$C$14-1)*EXP(-0.5*(($A73-'Control Room'!$A$14-('Control Room'!$B$14-1)/2)/MAX(0.5,'Control Room'!$B$14/4))^2),1)*IF(AND($A73&gt;='Control Room'!$A$15,$A73&lt;'Control Room'!$A$15+'Control Room'!$B$15,'Process'!BN4=1),1+('Control Room'!$C$15-1)*EXP(-0.5*(($A73-'Control Room'!$A$15-('Control Room'!$B$15-1)/2)/MAX(0.5,'Control Room'!$B$15/4))^2),1)*IF(AND($A73&gt;='Control Room'!$A$16,$A73&lt;'Control Room'!$A$16+'Control Room'!$B$16,'Process'!BN5=1),1+('Control Room'!$C$16-1)*EXP(-0.5*(($A73-'Control Room'!$A$16-('Control Room'!$B$16-1)/2)/MAX(0.5,'Control Room'!$B$16/4))^2),1)</x:f>
        <x:v>1</x:v>
      </x:c>
      <x:c r="V73" s="9" t="n">
        <x:f>MOD(W72*16807,2147483647)</x:f>
        <x:v>1079944844</x:v>
      </x:c>
      <x:c r="W73" s="9" t="n">
        <x:f>MOD(V73*16807,2147483647)</x:f>
        <x:v>101208664</x:v>
      </x:c>
      <x:c r="X73" s="17" t="n">
        <x:f>IF('Control Room'!$B$5="Normal",'Control Room'!$B$7+'Control Room'!$D$7*SQRT(-2*LN(MAX(0.000000000001,V73/2147483647)))*COS(2*PI()*W73/2147483647),'Control Room'!$B$8+('Control Room'!$D$8-'Control Room'!$B$8)*V73/2147483647)</x:f>
        <x:v>1100.9327579501726</x:v>
      </x:c>
      <x:c r="Y73" s="17" t="n">
        <x:f>IF('Control Room'!$B$5="Normal",'Control Room'!$B$7,('Control Room'!$B$8+'Control Room'!$D$8)/2)+'Control Room'!$B$9*(Y72-IF('Control Room'!$B$5="Normal",'Control Room'!$B$7,('Control Room'!$B$8+'Control Room'!$D$8)/2))+SQRT(1-'Control Room'!$B$9^2)*(X73-IF('Control Room'!$B$5="Normal",'Control Room'!$B$7,('Control Room'!$B$8+'Control Room'!$D$8)/2))</x:f>
        <x:v>1234.2427696318682</x:v>
      </x:c>
      <x:c r="Z73" s="17" t="n">
        <x:f>IF(AND($A73&gt;='Control Room'!$A$13,$A73&lt;'Control Room'!$A$13+'Control Room'!$B$13,'Process'!BO2=1),1+('Control Room'!$C$13-1)*EXP(-0.5*(($A73-'Control Room'!$A$13-('Control Room'!$B$13-1)/2)/MAX(0.5,'Control Room'!$B$13/4))^2),1)*IF(AND($A73&gt;='Control Room'!$A$14,$A73&lt;'Control Room'!$A$14+'Control Room'!$B$14,'Process'!BO3=1),1+('Control Room'!$C$14-1)*EXP(-0.5*(($A73-'Control Room'!$A$14-('Control Room'!$B$14-1)/2)/MAX(0.5,'Control Room'!$B$14/4))^2),1)*IF(AND($A73&gt;='Control Room'!$A$15,$A73&lt;'Control Room'!$A$15+'Control Room'!$B$15,'Process'!BO4=1),1+('Control Room'!$C$15-1)*EXP(-0.5*(($A73-'Control Room'!$A$15-('Control Room'!$B$15-1)/2)/MAX(0.5,'Control Room'!$B$15/4))^2),1)*IF(AND($A73&gt;='Control Room'!$A$16,$A73&lt;'Control Room'!$A$16+'Control Room'!$B$16,'Process'!BO5=1),1+('Control Room'!$C$16-1)*EXP(-0.5*(($A73-'Control Room'!$A$16-('Control Room'!$B$16-1)/2)/MAX(0.5,'Control Room'!$B$16/4))^2),1)</x:f>
        <x:v>1</x:v>
      </x:c>
      <x:c r="AA73" s="9" t="n">
        <x:f>MOD(AB72*16807,2147483647)</x:f>
        <x:v>283121331</x:v>
      </x:c>
      <x:c r="AB73" s="9" t="n">
        <x:f>MOD(AA73*16807,2147483647)</x:f>
        <x:v>1743932012</x:v>
      </x:c>
      <x:c r="AC73" s="17" t="n">
        <x:f>IF('Control Room'!$B$5="Normal",'Control Room'!$B$7+'Control Room'!$D$7*SQRT(-2*LN(MAX(0.000000000001,AA73/2147483647)))*COS(2*PI()*AB73/2147483647),'Control Room'!$B$8+('Control Room'!$D$8-'Control Room'!$B$8)*AA73/2147483647)</x:f>
        <x:v>1068.8920891412913</x:v>
      </x:c>
      <x:c r="AD73" s="17" t="n">
        <x:f>IF('Control Room'!$B$5="Normal",'Control Room'!$B$7,('Control Room'!$B$8+'Control Room'!$D$8)/2)+'Control Room'!$B$9*(AD72-IF('Control Room'!$B$5="Normal",'Control Room'!$B$7,('Control Room'!$B$8+'Control Room'!$D$8)/2))+SQRT(1-'Control Room'!$B$9^2)*(AC73-IF('Control Room'!$B$5="Normal",'Control Room'!$B$7,('Control Room'!$B$8+'Control Room'!$D$8)/2))</x:f>
        <x:v>1127.3911002115374</x:v>
      </x:c>
      <x:c r="AE73" s="17" t="n">
        <x:f>IF(AND($A73&gt;='Control Room'!$A$13,$A73&lt;'Control Room'!$A$13+'Control Room'!$B$13,'Process'!BP2=1),1+('Control Room'!$C$13-1)*EXP(-0.5*(($A73-'Control Room'!$A$13-('Control Room'!$B$13-1)/2)/MAX(0.5,'Control Room'!$B$13/4))^2),1)*IF(AND($A73&gt;='Control Room'!$A$14,$A73&lt;'Control Room'!$A$14+'Control Room'!$B$14,'Process'!BP3=1),1+('Control Room'!$C$14-1)*EXP(-0.5*(($A73-'Control Room'!$A$14-('Control Room'!$B$14-1)/2)/MAX(0.5,'Control Room'!$B$14/4))^2),1)*IF(AND($A73&gt;='Control Room'!$A$15,$A73&lt;'Control Room'!$A$15+'Control Room'!$B$15,'Process'!BP4=1),1+('Control Room'!$C$15-1)*EXP(-0.5*(($A73-'Control Room'!$A$15-('Control Room'!$B$15-1)/2)/MAX(0.5,'Control Room'!$B$15/4))^2),1)*IF(AND($A73&gt;='Control Room'!$A$16,$A73&lt;'Control Room'!$A$16+'Control Room'!$B$16,'Process'!BP5=1),1+('Control Room'!$C$16-1)*EXP(-0.5*(($A73-'Control Room'!$A$16-('Control Room'!$B$16-1)/2)/MAX(0.5,'Control Room'!$B$16/4))^2),1)</x:f>
        <x:v>1</x:v>
      </x:c>
      <x:c r="AF73" s="9" t="n">
        <x:f>MOD(AG72*16807,2147483647)</x:f>
        <x:v>1633781465</x:v>
      </x:c>
      <x:c r="AG73" s="9" t="n">
        <x:f>MOD(AF73*16807,2147483647)</x:f>
        <x:v>1239171713</x:v>
      </x:c>
      <x:c r="AH73" s="17" t="n">
        <x:f>IF('Control Room'!$B$5="Normal",'Control Room'!$B$7+'Control Room'!$D$7*SQRT(-2*LN(MAX(0.000000000001,AF73/2147483647)))*COS(2*PI()*AG73/2147483647),'Control Room'!$B$8+('Control Room'!$D$8-'Control Room'!$B$8)*AF73/2147483647)</x:f>
        <x:v>941.0933999638661</x:v>
      </x:c>
      <x:c r="AI73" s="17" t="n">
        <x:f>IF('Control Room'!$B$5="Normal",'Control Room'!$B$7,('Control Room'!$B$8+'Control Room'!$D$8)/2)+'Control Room'!$B$9*(AI72-IF('Control Room'!$B$5="Normal",'Control Room'!$B$7,('Control Room'!$B$8+'Control Room'!$D$8)/2))+SQRT(1-'Control Room'!$B$9^2)*(AH73-IF('Control Room'!$B$5="Normal",'Control Room'!$B$7,('Control Room'!$B$8+'Control Room'!$D$8)/2))</x:f>
        <x:v>1014.6356291852462</x:v>
      </x:c>
      <x:c r="AJ73" s="17" t="n">
        <x:f>IF(AND($A73&gt;='Control Room'!$A$13,$A73&lt;'Control Room'!$A$13+'Control Room'!$B$13,'Process'!BQ2=1),1+('Control Room'!$C$13-1)*EXP(-0.5*(($A73-'Control Room'!$A$13-('Control Room'!$B$13-1)/2)/MAX(0.5,'Control Room'!$B$13/4))^2),1)*IF(AND($A73&gt;='Control Room'!$A$14,$A73&lt;'Control Room'!$A$14+'Control Room'!$B$14,'Process'!BQ3=1),1+('Control Room'!$C$14-1)*EXP(-0.5*(($A73-'Control Room'!$A$14-('Control Room'!$B$14-1)/2)/MAX(0.5,'Control Room'!$B$14/4))^2),1)*IF(AND($A73&gt;='Control Room'!$A$15,$A73&lt;'Control Room'!$A$15+'Control Room'!$B$15,'Process'!BQ4=1),1+('Control Room'!$C$15-1)*EXP(-0.5*(($A73-'Control Room'!$A$15-('Control Room'!$B$15-1)/2)/MAX(0.5,'Control Room'!$B$15/4))^2),1)*IF(AND($A73&gt;='Control Room'!$A$16,$A73&lt;'Control Room'!$A$16+'Control Room'!$B$16,'Process'!BQ5=1),1+('Control Room'!$C$16-1)*EXP(-0.5*(($A73-'Control Room'!$A$16-('Control Room'!$B$16-1)/2)/MAX(0.5,'Control Room'!$B$16/4))^2),1)</x:f>
        <x:v>1</x:v>
      </x:c>
      <x:c r="AK73" s="9" t="n">
        <x:f>MOD(AL72*16807,2147483647)</x:f>
        <x:v>836957952</x:v>
      </x:c>
      <x:c r="AL73" s="9" t="n">
        <x:f>MOD(AK73*16807,2147483647)</x:f>
        <x:v>734411414</x:v>
      </x:c>
      <x:c r="AM73" s="17" t="n">
        <x:f>IF('Control Room'!$B$5="Normal",'Control Room'!$B$7+'Control Room'!$D$7*SQRT(-2*LN(MAX(0.000000000001,AK73/2147483647)))*COS(2*PI()*AL73/2147483647),'Control Room'!$B$8+('Control Room'!$D$8-'Control Room'!$B$8)*AK73/2147483647)</x:f>
        <x:v>932.5007807049893</x:v>
      </x:c>
      <x:c r="AN73" s="17" t="n">
        <x:f>IF('Control Room'!$B$5="Normal",'Control Room'!$B$7,('Control Room'!$B$8+'Control Room'!$D$8)/2)+'Control Room'!$B$9*(AN72-IF('Control Room'!$B$5="Normal",'Control Room'!$B$7,('Control Room'!$B$8+'Control Room'!$D$8)/2))+SQRT(1-'Control Room'!$B$9^2)*(AM73-IF('Control Room'!$B$5="Normal",'Control Room'!$B$7,('Control Room'!$B$8+'Control Room'!$D$8)/2))</x:f>
        <x:v>1126.735126468191</x:v>
      </x:c>
      <x:c r="AO73" s="17" t="n">
        <x:f>IF(AND($A73&gt;='Control Room'!$A$13,$A73&lt;'Control Room'!$A$13+'Control Room'!$B$13,'Process'!BR2=1),1+('Control Room'!$C$13-1)*EXP(-0.5*(($A73-'Control Room'!$A$13-('Control Room'!$B$13-1)/2)/MAX(0.5,'Control Room'!$B$13/4))^2),1)*IF(AND($A73&gt;='Control Room'!$A$14,$A73&lt;'Control Room'!$A$14+'Control Room'!$B$14,'Process'!BR3=1),1+('Control Room'!$C$14-1)*EXP(-0.5*(($A73-'Control Room'!$A$14-('Control Room'!$B$14-1)/2)/MAX(0.5,'Control Room'!$B$14/4))^2),1)*IF(AND($A73&gt;='Control Room'!$A$15,$A73&lt;'Control Room'!$A$15+'Control Room'!$B$15,'Process'!BR4=1),1+('Control Room'!$C$15-1)*EXP(-0.5*(($A73-'Control Room'!$A$15-('Control Room'!$B$15-1)/2)/MAX(0.5,'Control Room'!$B$15/4))^2),1)*IF(AND($A73&gt;='Control Room'!$A$16,$A73&lt;'Control Room'!$A$16+'Control Room'!$B$16,'Process'!BR5=1),1+('Control Room'!$C$16-1)*EXP(-0.5*(($A73-'Control Room'!$A$16-('Control Room'!$B$16-1)/2)/MAX(0.5,'Control Room'!$B$16/4))^2),1)</x:f>
        <x:v>1</x:v>
      </x:c>
      <x:c r="AP73" s="9" t="n">
        <x:f>MOD(AQ72*16807,2147483647)</x:f>
        <x:v>40134439</x:v>
      </x:c>
      <x:c r="AQ73" s="9" t="n">
        <x:f>MOD(AP73*16807,2147483647)</x:f>
        <x:v>229651115</x:v>
      </x:c>
      <x:c r="AR73" s="17" t="n">
        <x:f>IF('Control Room'!$B$5="Normal",'Control Room'!$B$7+'Control Room'!$D$7*SQRT(-2*LN(MAX(0.000000000001,AP73/2147483647)))*COS(2*PI()*AQ73/2147483647),'Control Room'!$B$8+('Control Room'!$D$8-'Control Room'!$B$8)*AP73/2147483647)</x:f>
        <x:v>1198.7210546343924</x:v>
      </x:c>
      <x:c r="AS73" s="17" t="n">
        <x:f>IF('Control Room'!$B$5="Normal",'Control Room'!$B$7,('Control Room'!$B$8+'Control Room'!$D$8)/2)+'Control Room'!$B$9*(AS72-IF('Control Room'!$B$5="Normal",'Control Room'!$B$7,('Control Room'!$B$8+'Control Room'!$D$8)/2))+SQRT(1-'Control Room'!$B$9^2)*(AR73-IF('Control Room'!$B$5="Normal",'Control Room'!$B$7,('Control Room'!$B$8+'Control Room'!$D$8)/2))</x:f>
        <x:v>1223.0637654666368</x:v>
      </x:c>
      <x:c r="AT73" s="17" t="n">
        <x:f>IF(AND($A73&gt;='Control Room'!$A$13,$A73&lt;'Control Room'!$A$13+'Control Room'!$B$13,'Process'!BS2=1),1+('Control Room'!$C$13-1)*EXP(-0.5*(($A73-'Control Room'!$A$13-('Control Room'!$B$13-1)/2)/MAX(0.5,'Control Room'!$B$13/4))^2),1)*IF(AND($A73&gt;='Control Room'!$A$14,$A73&lt;'Control Room'!$A$14+'Control Room'!$B$14,'Process'!BS3=1),1+('Control Room'!$C$14-1)*EXP(-0.5*(($A73-'Control Room'!$A$14-('Control Room'!$B$14-1)/2)/MAX(0.5,'Control Room'!$B$14/4))^2),1)*IF(AND($A73&gt;='Control Room'!$A$15,$A73&lt;'Control Room'!$A$15+'Control Room'!$B$15,'Process'!BS4=1),1+('Control Room'!$C$15-1)*EXP(-0.5*(($A73-'Control Room'!$A$15-('Control Room'!$B$15-1)/2)/MAX(0.5,'Control Room'!$B$15/4))^2),1)*IF(AND($A73&gt;='Control Room'!$A$16,$A73&lt;'Control Room'!$A$16+'Control Room'!$B$16,'Process'!BS5=1),1+('Control Room'!$C$16-1)*EXP(-0.5*(($A73-'Control Room'!$A$16-('Control Room'!$B$16-1)/2)/MAX(0.5,'Control Room'!$B$16/4))^2),1)</x:f>
        <x:v>1</x:v>
      </x:c>
      <x:c r="AU73" s="9" t="n">
        <x:f>MOD(AV72*16807,2147483647)</x:f>
        <x:v>1390794573</x:v>
      </x:c>
      <x:c r="AV73" s="9" t="n">
        <x:f>MOD(AU73*16807,2147483647)</x:f>
        <x:v>1872374463</x:v>
      </x:c>
      <x:c r="AW73" s="17" t="n">
        <x:f>IF('Control Room'!$B$5="Normal",'Control Room'!$B$7+'Control Room'!$D$7*SQRT(-2*LN(MAX(0.000000000001,AU73/2147483647)))*COS(2*PI()*AV73/2147483647),'Control Room'!$B$8+('Control Room'!$D$8-'Control Room'!$B$8)*AU73/2147483647)</x:f>
        <x:v>1058.1500731755623</x:v>
      </x:c>
      <x:c r="AX73" s="17" t="n">
        <x:f>IF('Control Room'!$B$5="Normal",'Control Room'!$B$7,('Control Room'!$B$8+'Control Room'!$D$8)/2)+'Control Room'!$B$9*(AX72-IF('Control Room'!$B$5="Normal",'Control Room'!$B$7,('Control Room'!$B$8+'Control Room'!$D$8)/2))+SQRT(1-'Control Room'!$B$9^2)*(AW73-IF('Control Room'!$B$5="Normal",'Control Room'!$B$7,('Control Room'!$B$8+'Control Room'!$D$8)/2))</x:f>
        <x:v>1037.5096753637397</x:v>
      </x:c>
      <x:c r="AY73" s="17" t="n">
        <x:f>IF(AND($A73&gt;='Control Room'!$A$13,$A73&lt;'Control Room'!$A$13+'Control Room'!$B$13,'Process'!BT2=1),1+('Control Room'!$C$13-1)*EXP(-0.5*(($A73-'Control Room'!$A$13-('Control Room'!$B$13-1)/2)/MAX(0.5,'Control Room'!$B$13/4))^2),1)*IF(AND($A73&gt;='Control Room'!$A$14,$A73&lt;'Control Room'!$A$14+'Control Room'!$B$14,'Process'!BT3=1),1+('Control Room'!$C$14-1)*EXP(-0.5*(($A73-'Control Room'!$A$14-('Control Room'!$B$14-1)/2)/MAX(0.5,'Control Room'!$B$14/4))^2),1)*IF(AND($A73&gt;='Control Room'!$A$15,$A73&lt;'Control Room'!$A$15+'Control Room'!$B$15,'Process'!BT4=1),1+('Control Room'!$C$15-1)*EXP(-0.5*(($A73-'Control Room'!$A$15-('Control Room'!$B$15-1)/2)/MAX(0.5,'Control Room'!$B$15/4))^2),1)*IF(AND($A73&gt;='Control Room'!$A$16,$A73&lt;'Control Room'!$A$16+'Control Room'!$B$16,'Process'!BT5=1),1+('Control Room'!$C$16-1)*EXP(-0.5*(($A73-'Control Room'!$A$16-('Control Room'!$B$16-1)/2)/MAX(0.5,'Control Room'!$B$16/4))^2),1)</x:f>
        <x:v>1</x:v>
      </x:c>
      <x:c r="AZ73" s="9" t="n">
        <x:f>MOD(BA72*16807,2147483647)</x:f>
        <x:v>593971060</x:v>
      </x:c>
      <x:c r="BA73" s="9" t="n">
        <x:f>MOD(AZ73*16807,2147483647)</x:f>
        <x:v>1367614164</x:v>
      </x:c>
      <x:c r="BB73" s="17" t="n">
        <x:f>IF('Control Room'!$B$5="Normal",'Control Room'!$B$7+'Control Room'!$D$7*SQRT(-2*LN(MAX(0.000000000001,AZ73/2147483647)))*COS(2*PI()*BA73/2147483647),'Control Room'!$B$8+('Control Room'!$D$8-'Control Room'!$B$8)*AZ73/2147483647)</x:f>
        <x:v>905.8381466654923</x:v>
      </x:c>
      <x:c r="BC73" s="17" t="n">
        <x:f>IF('Control Room'!$B$5="Normal",'Control Room'!$B$7,('Control Room'!$B$8+'Control Room'!$D$8)/2)+'Control Room'!$B$9*(BC72-IF('Control Room'!$B$5="Normal",'Control Room'!$B$7,('Control Room'!$B$8+'Control Room'!$D$8)/2))+SQRT(1-'Control Room'!$B$9^2)*(BB73-IF('Control Room'!$B$5="Normal",'Control Room'!$B$7,('Control Room'!$B$8+'Control Room'!$D$8)/2))</x:f>
        <x:v>970.7223976651441</x:v>
      </x:c>
      <x:c r="BD73" s="17" t="n">
        <x:f>IF(AND($A73&gt;='Control Room'!$A$13,$A73&lt;'Control Room'!$A$13+'Control Room'!$B$13,'Process'!BU2=1),1+('Control Room'!$C$13-1)*EXP(-0.5*(($A73-'Control Room'!$A$13-('Control Room'!$B$13-1)/2)/MAX(0.5,'Control Room'!$B$13/4))^2),1)*IF(AND($A73&gt;='Control Room'!$A$14,$A73&lt;'Control Room'!$A$14+'Control Room'!$B$14,'Process'!BU3=1),1+('Control Room'!$C$14-1)*EXP(-0.5*(($A73-'Control Room'!$A$14-('Control Room'!$B$14-1)/2)/MAX(0.5,'Control Room'!$B$14/4))^2),1)*IF(AND($A73&gt;='Control Room'!$A$15,$A73&lt;'Control Room'!$A$15+'Control Room'!$B$15,'Process'!BU4=1),1+('Control Room'!$C$15-1)*EXP(-0.5*(($A73-'Control Room'!$A$15-('Control Room'!$B$15-1)/2)/MAX(0.5,'Control Room'!$B$15/4))^2),1)*IF(AND($A73&gt;='Control Room'!$A$16,$A73&lt;'Control Room'!$A$16+'Control Room'!$B$16,'Process'!BU5=1),1+('Control Room'!$C$16-1)*EXP(-0.5*(($A73-'Control Room'!$A$16-('Control Room'!$B$16-1)/2)/MAX(0.5,'Control Room'!$B$16/4))^2),1)</x:f>
        <x:v>1</x:v>
      </x:c>
      <x:c r="BE73" s="9" t="n">
        <x:f>MOD(BF72*16807,2147483647)</x:f>
        <x:v>1944631194</x:v>
      </x:c>
      <x:c r="BF73" s="9" t="n">
        <x:f>MOD(BE73*16807,2147483647)</x:f>
        <x:v>862853865</x:v>
      </x:c>
      <x:c r="BG73" s="17" t="n">
        <x:f>IF('Control Room'!$B$5="Normal",'Control Room'!$B$7+'Control Room'!$D$7*SQRT(-2*LN(MAX(0.000000000001,BE73/2147483647)))*COS(2*PI()*BF73/2147483647),'Control Room'!$B$8+('Control Room'!$D$8-'Control Room'!$B$8)*BE73/2147483647)</x:f>
        <x:v>967.3001124218474</x:v>
      </x:c>
      <x:c r="BH73" s="17" t="n">
        <x:f>IF('Control Room'!$B$5="Normal",'Control Room'!$B$7,('Control Room'!$B$8+'Control Room'!$D$8)/2)+'Control Room'!$B$9*(BH72-IF('Control Room'!$B$5="Normal",'Control Room'!$B$7,('Control Room'!$B$8+'Control Room'!$D$8)/2))+SQRT(1-'Control Room'!$B$9^2)*(BG73-IF('Control Room'!$B$5="Normal",'Control Room'!$B$7,('Control Room'!$B$8+'Control Room'!$D$8)/2))</x:f>
        <x:v>1035.4238952263336</x:v>
      </x:c>
      <x:c r="BI73" s="17" t="n">
        <x:f>IF(AND($A73&gt;='Control Room'!$A$13,$A73&lt;'Control Room'!$A$13+'Control Room'!$B$13,'Process'!BV2=1),1+('Control Room'!$C$13-1)*EXP(-0.5*(($A73-'Control Room'!$A$13-('Control Room'!$B$13-1)/2)/MAX(0.5,'Control Room'!$B$13/4))^2),1)*IF(AND($A73&gt;='Control Room'!$A$14,$A73&lt;'Control Room'!$A$14+'Control Room'!$B$14,'Process'!BV3=1),1+('Control Room'!$C$14-1)*EXP(-0.5*(($A73-'Control Room'!$A$14-('Control Room'!$B$14-1)/2)/MAX(0.5,'Control Room'!$B$14/4))^2),1)*IF(AND($A73&gt;='Control Room'!$A$15,$A73&lt;'Control Room'!$A$15+'Control Room'!$B$15,'Process'!BV4=1),1+('Control Room'!$C$15-1)*EXP(-0.5*(($A73-'Control Room'!$A$15-('Control Room'!$B$15-1)/2)/MAX(0.5,'Control Room'!$B$15/4))^2),1)*IF(AND($A73&gt;='Control Room'!$A$16,$A73&lt;'Control Room'!$A$16+'Control Room'!$B$16,'Process'!BV5=1),1+('Control Room'!$C$16-1)*EXP(-0.5*(($A73-'Control Room'!$A$16-('Control Room'!$B$16-1)/2)/MAX(0.5,'Control Room'!$B$16/4))^2),1)</x:f>
        <x:v>1</x:v>
      </x:c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Z73" t="str">
        <x:f>IF('Data'!A73="","",TEXT('Data'!A73,"mm-dd"))</x:f>
        <x:v>01-12</x:v>
      </x:c>
    </x:row>
    <x:row r="74" ht="21" customHeight="1">
      <x:c r="A74" s="15" t="n">
        <x:f>'Control Room'!$B$1+72</x:f>
        <x:v>73063</x:v>
      </x:c>
      <x:c r="B74" s="9" t="n">
        <x:f>MOD(C73*16807,2147483647)</x:f>
        <x:v>1843242349</x:v>
      </x:c>
      <x:c r="C74" s="9" t="n">
        <x:f>MOD(B74*16807,2147483647)</x:f>
        <x:v>1922551668</x:v>
      </x:c>
      <x:c r="D74" s="17" t="n">
        <x:f>IF('Control Room'!$B$5="Normal",'Control Room'!$B$7+'Control Room'!$D$7*SQRT(-2*LN(MAX(0.000000000001,B74/2147483647)))*COS(2*PI()*C74/2147483647),'Control Room'!$B$8+('Control Room'!$D$8-'Control Room'!$B$8)*B74/2147483647)</x:f>
        <x:v>1039.3581453758536</x:v>
      </x:c>
      <x:c r="E74" s="17" t="n">
        <x:f>IF('Control Room'!$B$5="Normal",'Control Room'!$B$7,('Control Room'!$B$8+'Control Room'!$D$8)/2)+'Control Room'!$B$9*(E73-IF('Control Room'!$B$5="Normal",'Control Room'!$B$7,('Control Room'!$B$8+'Control Room'!$D$8)/2))+SQRT(1-'Control Room'!$B$9^2)*(D74-IF('Control Room'!$B$5="Normal",'Control Room'!$B$7,('Control Room'!$B$8+'Control Room'!$D$8)/2))</x:f>
        <x:v>1086.8463511460316</x:v>
      </x:c>
      <x:c r="F74" s="17" t="n">
        <x:f>IF(AND($A74&gt;='Control Room'!$A$13,$A74&lt;'Control Room'!$A$13+'Control Room'!$B$13,'Process'!BK2=1),1+('Control Room'!$C$13-1)*EXP(-0.5*(($A74-'Control Room'!$A$13-('Control Room'!$B$13-1)/2)/MAX(0.5,'Control Room'!$B$13/4))^2),1)*IF(AND($A74&gt;='Control Room'!$A$14,$A74&lt;'Control Room'!$A$14+'Control Room'!$B$14,'Process'!BK3=1),1+('Control Room'!$C$14-1)*EXP(-0.5*(($A74-'Control Room'!$A$14-('Control Room'!$B$14-1)/2)/MAX(0.5,'Control Room'!$B$14/4))^2),1)*IF(AND($A74&gt;='Control Room'!$A$15,$A74&lt;'Control Room'!$A$15+'Control Room'!$B$15,'Process'!BK4=1),1+('Control Room'!$C$15-1)*EXP(-0.5*(($A74-'Control Room'!$A$15-('Control Room'!$B$15-1)/2)/MAX(0.5,'Control Room'!$B$15/4))^2),1)*IF(AND($A74&gt;='Control Room'!$A$16,$A74&lt;'Control Room'!$A$16+'Control Room'!$B$16,'Process'!BK5=1),1+('Control Room'!$C$16-1)*EXP(-0.5*(($A74-'Control Room'!$A$16-('Control Room'!$B$16-1)/2)/MAX(0.5,'Control Room'!$B$16/4))^2),1)</x:f>
        <x:v>1</x:v>
      </x:c>
      <x:c r="G74" s="9" t="n">
        <x:f>MOD(H73*16807,2147483647)</x:f>
        <x:v>897302706</x:v>
      </x:c>
      <x:c r="H74" s="9" t="n">
        <x:f>MOD(G74*16807,2147483647)</x:f>
        <x:v>1336410508</x:v>
      </x:c>
      <x:c r="I74" s="17" t="n">
        <x:f>IF('Control Room'!$B$5="Normal",'Control Room'!$B$7+'Control Room'!$D$7*SQRT(-2*LN(MAX(0.000000000001,G74/2147483647)))*COS(2*PI()*H74/2147483647),'Control Room'!$B$8+('Control Room'!$D$8-'Control Room'!$B$8)*G74/2147483647)</x:f>
        <x:v>914.5188890980814</x:v>
      </x:c>
      <x:c r="J74" s="17" t="n">
        <x:f>IF('Control Room'!$B$5="Normal",'Control Room'!$B$7,('Control Room'!$B$8+'Control Room'!$D$8)/2)+'Control Room'!$B$9*(J73-IF('Control Room'!$B$5="Normal",'Control Room'!$B$7,('Control Room'!$B$8+'Control Room'!$D$8)/2))+SQRT(1-'Control Room'!$B$9^2)*(I74-IF('Control Room'!$B$5="Normal",'Control Room'!$B$7,('Control Room'!$B$8+'Control Room'!$D$8)/2))</x:f>
        <x:v>963.1377146945326</x:v>
      </x:c>
      <x:c r="K74" s="17" t="n">
        <x:f>IF(AND($A74&gt;='Control Room'!$A$13,$A74&lt;'Control Room'!$A$13+'Control Room'!$B$13,'Process'!BL2=1),1+('Control Room'!$C$13-1)*EXP(-0.5*(($A74-'Control Room'!$A$13-('Control Room'!$B$13-1)/2)/MAX(0.5,'Control Room'!$B$13/4))^2),1)*IF(AND($A74&gt;='Control Room'!$A$14,$A74&lt;'Control Room'!$A$14+'Control Room'!$B$14,'Process'!BL3=1),1+('Control Room'!$C$14-1)*EXP(-0.5*(($A74-'Control Room'!$A$14-('Control Room'!$B$14-1)/2)/MAX(0.5,'Control Room'!$B$14/4))^2),1)*IF(AND($A74&gt;='Control Room'!$A$15,$A74&lt;'Control Room'!$A$15+'Control Room'!$B$15,'Process'!BL4=1),1+('Control Room'!$C$15-1)*EXP(-0.5*(($A74-'Control Room'!$A$15-('Control Room'!$B$15-1)/2)/MAX(0.5,'Control Room'!$B$15/4))^2),1)*IF(AND($A74&gt;='Control Room'!$A$16,$A74&lt;'Control Room'!$A$16+'Control Room'!$B$16,'Process'!BL5=1),1+('Control Room'!$C$16-1)*EXP(-0.5*(($A74-'Control Room'!$A$16-('Control Room'!$B$16-1)/2)/MAX(0.5,'Control Room'!$B$16/4))^2),1)</x:f>
        <x:v>1</x:v>
      </x:c>
      <x:c r="L74" s="9" t="n">
        <x:f>MOD(M73*16807,2147483647)</x:f>
        <x:v>2098846710</x:v>
      </x:c>
      <x:c r="M74" s="9" t="n">
        <x:f>MOD(L74*16807,2147483647)</x:f>
        <x:v>750269348</x:v>
      </x:c>
      <x:c r="N74" s="17" t="n">
        <x:f>IF('Control Room'!$B$5="Normal",'Control Room'!$B$7+'Control Room'!$D$7*SQRT(-2*LN(MAX(0.000000000001,L74/2147483647)))*COS(2*PI()*M74/2147483647),'Control Room'!$B$8+('Control Room'!$D$8-'Control Room'!$B$8)*L74/2147483647)</x:f>
        <x:v>988.7382435613865</x:v>
      </x:c>
      <x:c r="O74" s="17" t="n">
        <x:f>IF('Control Room'!$B$5="Normal",'Control Room'!$B$7,('Control Room'!$B$8+'Control Room'!$D$8)/2)+'Control Room'!$B$9*(O73-IF('Control Room'!$B$5="Normal",'Control Room'!$B$7,('Control Room'!$B$8+'Control Room'!$D$8)/2))+SQRT(1-'Control Room'!$B$9^2)*(N74-IF('Control Room'!$B$5="Normal",'Control Room'!$B$7,('Control Room'!$B$8+'Control Room'!$D$8)/2))</x:f>
        <x:v>914.2460224722852</x:v>
      </x:c>
      <x:c r="P74" s="17" t="n">
        <x:f>IF(AND($A74&gt;='Control Room'!$A$13,$A74&lt;'Control Room'!$A$13+'Control Room'!$B$13,'Process'!BM2=1),1+('Control Room'!$C$13-1)*EXP(-0.5*(($A74-'Control Room'!$A$13-('Control Room'!$B$13-1)/2)/MAX(0.5,'Control Room'!$B$13/4))^2),1)*IF(AND($A74&gt;='Control Room'!$A$14,$A74&lt;'Control Room'!$A$14+'Control Room'!$B$14,'Process'!BM3=1),1+('Control Room'!$C$14-1)*EXP(-0.5*(($A74-'Control Room'!$A$14-('Control Room'!$B$14-1)/2)/MAX(0.5,'Control Room'!$B$14/4))^2),1)*IF(AND($A74&gt;='Control Room'!$A$15,$A74&lt;'Control Room'!$A$15+'Control Room'!$B$15,'Process'!BM4=1),1+('Control Room'!$C$15-1)*EXP(-0.5*(($A74-'Control Room'!$A$15-('Control Room'!$B$15-1)/2)/MAX(0.5,'Control Room'!$B$15/4))^2),1)*IF(AND($A74&gt;='Control Room'!$A$16,$A74&lt;'Control Room'!$A$16+'Control Room'!$B$16,'Process'!BM5=1),1+('Control Room'!$C$16-1)*EXP(-0.5*(($A74-'Control Room'!$A$16-('Control Room'!$B$16-1)/2)/MAX(0.5,'Control Room'!$B$16/4))^2),1)</x:f>
        <x:v>1</x:v>
      </x:c>
      <x:c r="Q74" s="9" t="n">
        <x:f>MOD(R73*16807,2147483647)</x:f>
        <x:v>1152907067</x:v>
      </x:c>
      <x:c r="R74" s="9" t="n">
        <x:f>MOD(Q74*16807,2147483647)</x:f>
        <x:v>164128188</x:v>
      </x:c>
      <x:c r="S74" s="17" t="n">
        <x:f>IF('Control Room'!$B$5="Normal",'Control Room'!$B$7+'Control Room'!$D$7*SQRT(-2*LN(MAX(0.000000000001,Q74/2147483647)))*COS(2*PI()*R74/2147483647),'Control Room'!$B$8+('Control Room'!$D$8-'Control Room'!$B$8)*Q74/2147483647)</x:f>
        <x:v>1089.028566352578</x:v>
      </x:c>
      <x:c r="T74" s="17" t="n">
        <x:f>IF('Control Room'!$B$5="Normal",'Control Room'!$B$7,('Control Room'!$B$8+'Control Room'!$D$8)/2)+'Control Room'!$B$9*(T73-IF('Control Room'!$B$5="Normal",'Control Room'!$B$7,('Control Room'!$B$8+'Control Room'!$D$8)/2))+SQRT(1-'Control Room'!$B$9^2)*(S74-IF('Control Room'!$B$5="Normal",'Control Room'!$B$7,('Control Room'!$B$8+'Control Room'!$D$8)/2))</x:f>
        <x:v>1005.8829474514324</x:v>
      </x:c>
      <x:c r="U74" s="17" t="n">
        <x:f>IF(AND($A74&gt;='Control Room'!$A$13,$A74&lt;'Control Room'!$A$13+'Control Room'!$B$13,'Process'!BN2=1),1+('Control Room'!$C$13-1)*EXP(-0.5*(($A74-'Control Room'!$A$13-('Control Room'!$B$13-1)/2)/MAX(0.5,'Control Room'!$B$13/4))^2),1)*IF(AND($A74&gt;='Control Room'!$A$14,$A74&lt;'Control Room'!$A$14+'Control Room'!$B$14,'Process'!BN3=1),1+('Control Room'!$C$14-1)*EXP(-0.5*(($A74-'Control Room'!$A$14-('Control Room'!$B$14-1)/2)/MAX(0.5,'Control Room'!$B$14/4))^2),1)*IF(AND($A74&gt;='Control Room'!$A$15,$A74&lt;'Control Room'!$A$15+'Control Room'!$B$15,'Process'!BN4=1),1+('Control Room'!$C$15-1)*EXP(-0.5*(($A74-'Control Room'!$A$15-('Control Room'!$B$15-1)/2)/MAX(0.5,'Control Room'!$B$15/4))^2),1)*IF(AND($A74&gt;='Control Room'!$A$16,$A74&lt;'Control Room'!$A$16+'Control Room'!$B$16,'Process'!BN5=1),1+('Control Room'!$C$16-1)*EXP(-0.5*(($A74-'Control Room'!$A$16-('Control Room'!$B$16-1)/2)/MAX(0.5,'Control Room'!$B$16/4))^2),1)</x:f>
        <x:v>1</x:v>
      </x:c>
      <x:c r="V74" s="9" t="n">
        <x:f>MOD(W73*16807,2147483647)</x:f>
        <x:v>206967424</x:v>
      </x:c>
      <x:c r="W74" s="9" t="n">
        <x:f>MOD(V74*16807,2147483647)</x:f>
        <x:v>1725470675</x:v>
      </x:c>
      <x:c r="X74" s="17" t="n">
        <x:f>IF('Control Room'!$B$5="Normal",'Control Room'!$B$7+'Control Room'!$D$7*SQRT(-2*LN(MAX(0.000000000001,V74/2147483647)))*COS(2*PI()*W74/2147483647),'Control Room'!$B$8+('Control Room'!$D$8-'Control Room'!$B$8)*V74/2147483647)</x:f>
        <x:v>1064.1983412941213</x:v>
      </x:c>
      <x:c r="Y74" s="17" t="n">
        <x:f>IF('Control Room'!$B$5="Normal",'Control Room'!$B$7,('Control Room'!$B$8+'Control Room'!$D$8)/2)+'Control Room'!$B$9*(Y73-IF('Control Room'!$B$5="Normal",'Control Room'!$B$7,('Control Room'!$B$8+'Control Room'!$D$8)/2))+SQRT(1-'Control Room'!$B$9^2)*(X74-IF('Control Room'!$B$5="Normal",'Control Room'!$B$7,('Control Room'!$B$8+'Control Room'!$D$8)/2))</x:f>
        <x:v>1222.8833671202108</x:v>
      </x:c>
      <x:c r="Z74" s="17" t="n">
        <x:f>IF(AND($A74&gt;='Control Room'!$A$13,$A74&lt;'Control Room'!$A$13+'Control Room'!$B$13,'Process'!BO2=1),1+('Control Room'!$C$13-1)*EXP(-0.5*(($A74-'Control Room'!$A$13-('Control Room'!$B$13-1)/2)/MAX(0.5,'Control Room'!$B$13/4))^2),1)*IF(AND($A74&gt;='Control Room'!$A$14,$A74&lt;'Control Room'!$A$14+'Control Room'!$B$14,'Process'!BO3=1),1+('Control Room'!$C$14-1)*EXP(-0.5*(($A74-'Control Room'!$A$14-('Control Room'!$B$14-1)/2)/MAX(0.5,'Control Room'!$B$14/4))^2),1)*IF(AND($A74&gt;='Control Room'!$A$15,$A74&lt;'Control Room'!$A$15+'Control Room'!$B$15,'Process'!BO4=1),1+('Control Room'!$C$15-1)*EXP(-0.5*(($A74-'Control Room'!$A$15-('Control Room'!$B$15-1)/2)/MAX(0.5,'Control Room'!$B$15/4))^2),1)*IF(AND($A74&gt;='Control Room'!$A$16,$A74&lt;'Control Room'!$A$16+'Control Room'!$B$16,'Process'!BO5=1),1+('Control Room'!$C$16-1)*EXP(-0.5*(($A74-'Control Room'!$A$16-('Control Room'!$B$16-1)/2)/MAX(0.5,'Control Room'!$B$16/4))^2),1)</x:f>
        <x:v>1</x:v>
      </x:c>
      <x:c r="AA74" s="9" t="n">
        <x:f>MOD(AB73*16807,2147483647)</x:f>
        <x:v>1408511428</x:v>
      </x:c>
      <x:c r="AB74" s="9" t="n">
        <x:f>MOD(AA74*16807,2147483647)</x:f>
        <x:v>1139329515</x:v>
      </x:c>
      <x:c r="AC74" s="17" t="n">
        <x:f>IF('Control Room'!$B$5="Normal",'Control Room'!$B$7+'Control Room'!$D$7*SQRT(-2*LN(MAX(0.000000000001,AA74/2147483647)))*COS(2*PI()*AB74/2147483647),'Control Room'!$B$8+('Control Room'!$D$8-'Control Room'!$B$8)*AA74/2147483647)</x:f>
        <x:v>918.8579695083087</x:v>
      </x:c>
      <x:c r="AD74" s="17" t="n">
        <x:f>IF('Control Room'!$B$5="Normal",'Control Room'!$B$7,('Control Room'!$B$8+'Control Room'!$D$8)/2)+'Control Room'!$B$9*(AD73-IF('Control Room'!$B$5="Normal",'Control Room'!$B$7,('Control Room'!$B$8+'Control Room'!$D$8)/2))+SQRT(1-'Control Room'!$B$9^2)*(AC74-IF('Control Room'!$B$5="Normal",'Control Room'!$B$7,('Control Room'!$B$8+'Control Room'!$D$8)/2))</x:f>
        <x:v>1048.5880377681467</x:v>
      </x:c>
      <x:c r="AE74" s="17" t="n">
        <x:f>IF(AND($A74&gt;='Control Room'!$A$13,$A74&lt;'Control Room'!$A$13+'Control Room'!$B$13,'Process'!BP2=1),1+('Control Room'!$C$13-1)*EXP(-0.5*(($A74-'Control Room'!$A$13-('Control Room'!$B$13-1)/2)/MAX(0.5,'Control Room'!$B$13/4))^2),1)*IF(AND($A74&gt;='Control Room'!$A$14,$A74&lt;'Control Room'!$A$14+'Control Room'!$B$14,'Process'!BP3=1),1+('Control Room'!$C$14-1)*EXP(-0.5*(($A74-'Control Room'!$A$14-('Control Room'!$B$14-1)/2)/MAX(0.5,'Control Room'!$B$14/4))^2),1)*IF(AND($A74&gt;='Control Room'!$A$15,$A74&lt;'Control Room'!$A$15+'Control Room'!$B$15,'Process'!BP4=1),1+('Control Room'!$C$15-1)*EXP(-0.5*(($A74-'Control Room'!$A$15-('Control Room'!$B$15-1)/2)/MAX(0.5,'Control Room'!$B$15/4))^2),1)*IF(AND($A74&gt;='Control Room'!$A$16,$A74&lt;'Control Room'!$A$16+'Control Room'!$B$16,'Process'!BP5=1),1+('Control Room'!$C$16-1)*EXP(-0.5*(($A74-'Control Room'!$A$16-('Control Room'!$B$16-1)/2)/MAX(0.5,'Control Room'!$B$16/4))^2),1)</x:f>
        <x:v>1</x:v>
      </x:c>
      <x:c r="AF74" s="9" t="n">
        <x:f>MOD(AG73*16807,2147483647)</x:f>
        <x:v>462571785</x:v>
      </x:c>
      <x:c r="AG74" s="9" t="n">
        <x:f>MOD(AF74*16807,2147483647)</x:f>
        <x:v>553188355</x:v>
      </x:c>
      <x:c r="AH74" s="17" t="n">
        <x:f>IF('Control Room'!$B$5="Normal",'Control Room'!$B$7+'Control Room'!$D$7*SQRT(-2*LN(MAX(0.000000000001,AF74/2147483647)))*COS(2*PI()*AG74/2147483647),'Control Room'!$B$8+('Control Room'!$D$8-'Control Room'!$B$8)*AF74/2147483647)</x:f>
        <x:v>992.4736533118331</x:v>
      </x:c>
      <x:c r="AI74" s="17" t="n">
        <x:f>IF('Control Room'!$B$5="Normal",'Control Room'!$B$7,('Control Room'!$B$8+'Control Room'!$D$8)/2)+'Control Room'!$B$9*(AI73-IF('Control Room'!$B$5="Normal",'Control Room'!$B$7,('Control Room'!$B$8+'Control Room'!$D$8)/2))+SQRT(1-'Control Room'!$B$9^2)*(AH74-IF('Control Room'!$B$5="Normal",'Control Room'!$B$7,('Control Room'!$B$8+'Control Room'!$D$8)/2))</x:f>
        <x:v>1006.7059571926299</x:v>
      </x:c>
      <x:c r="AJ74" s="17" t="n">
        <x:f>IF(AND($A74&gt;='Control Room'!$A$13,$A74&lt;'Control Room'!$A$13+'Control Room'!$B$13,'Process'!BQ2=1),1+('Control Room'!$C$13-1)*EXP(-0.5*(($A74-'Control Room'!$A$13-('Control Room'!$B$13-1)/2)/MAX(0.5,'Control Room'!$B$13/4))^2),1)*IF(AND($A74&gt;='Control Room'!$A$14,$A74&lt;'Control Room'!$A$14+'Control Room'!$B$14,'Process'!BQ3=1),1+('Control Room'!$C$14-1)*EXP(-0.5*(($A74-'Control Room'!$A$14-('Control Room'!$B$14-1)/2)/MAX(0.5,'Control Room'!$B$14/4))^2),1)*IF(AND($A74&gt;='Control Room'!$A$15,$A74&lt;'Control Room'!$A$15+'Control Room'!$B$15,'Process'!BQ4=1),1+('Control Room'!$C$15-1)*EXP(-0.5*(($A74-'Control Room'!$A$15-('Control Room'!$B$15-1)/2)/MAX(0.5,'Control Room'!$B$15/4))^2),1)*IF(AND($A74&gt;='Control Room'!$A$16,$A74&lt;'Control Room'!$A$16+'Control Room'!$B$16,'Process'!BQ5=1),1+('Control Room'!$C$16-1)*EXP(-0.5*(($A74-'Control Room'!$A$16-('Control Room'!$B$16-1)/2)/MAX(0.5,'Control Room'!$B$16/4))^2),1)</x:f>
        <x:v>1</x:v>
      </x:c>
      <x:c r="AK74" s="9" t="n">
        <x:f>MOD(AL73*16807,2147483647)</x:f>
        <x:v>1664115789</x:v>
      </x:c>
      <x:c r="AL74" s="9" t="n">
        <x:f>MOD(AK74*16807,2147483647)</x:f>
        <x:v>2114530842</x:v>
      </x:c>
      <x:c r="AM74" s="17" t="n">
        <x:f>IF('Control Room'!$B$5="Normal",'Control Room'!$B$7+'Control Room'!$D$7*SQRT(-2*LN(MAX(0.000000000001,AK74/2147483647)))*COS(2*PI()*AL74/2147483647),'Control Room'!$B$8+('Control Room'!$D$8-'Control Room'!$B$8)*AK74/2147483647)</x:f>
        <x:v>1063.9747104086152</x:v>
      </x:c>
      <x:c r="AN74" s="17" t="n">
        <x:f>IF('Control Room'!$B$5="Normal",'Control Room'!$B$7,('Control Room'!$B$8+'Control Room'!$D$8)/2)+'Control Room'!$B$9*(AN73-IF('Control Room'!$B$5="Normal",'Control Room'!$B$7,('Control Room'!$B$8+'Control Room'!$D$8)/2))+SQRT(1-'Control Room'!$B$9^2)*(AM74-IF('Control Room'!$B$5="Normal",'Control Room'!$B$7,('Control Room'!$B$8+'Control Room'!$D$8)/2))</x:f>
        <x:v>1138.8874618257207</x:v>
      </x:c>
      <x:c r="AO74" s="17" t="n">
        <x:f>IF(AND($A74&gt;='Control Room'!$A$13,$A74&lt;'Control Room'!$A$13+'Control Room'!$B$13,'Process'!BR2=1),1+('Control Room'!$C$13-1)*EXP(-0.5*(($A74-'Control Room'!$A$13-('Control Room'!$B$13-1)/2)/MAX(0.5,'Control Room'!$B$13/4))^2),1)*IF(AND($A74&gt;='Control Room'!$A$14,$A74&lt;'Control Room'!$A$14+'Control Room'!$B$14,'Process'!BR3=1),1+('Control Room'!$C$14-1)*EXP(-0.5*(($A74-'Control Room'!$A$14-('Control Room'!$B$14-1)/2)/MAX(0.5,'Control Room'!$B$14/4))^2),1)*IF(AND($A74&gt;='Control Room'!$A$15,$A74&lt;'Control Room'!$A$15+'Control Room'!$B$15,'Process'!BR4=1),1+('Control Room'!$C$15-1)*EXP(-0.5*(($A74-'Control Room'!$A$15-('Control Room'!$B$15-1)/2)/MAX(0.5,'Control Room'!$B$15/4))^2),1)*IF(AND($A74&gt;='Control Room'!$A$16,$A74&lt;'Control Room'!$A$16+'Control Room'!$B$16,'Process'!BR5=1),1+('Control Room'!$C$16-1)*EXP(-0.5*(($A74-'Control Room'!$A$16-('Control Room'!$B$16-1)/2)/MAX(0.5,'Control Room'!$B$16/4))^2),1)</x:f>
        <x:v>1</x:v>
      </x:c>
      <x:c r="AP74" s="9" t="n">
        <x:f>MOD(AQ73*16807,2147483647)</x:f>
        <x:v>718176146</x:v>
      </x:c>
      <x:c r="AQ74" s="9" t="n">
        <x:f>MOD(AP74*16807,2147483647)</x:f>
        <x:v>1528389682</x:v>
      </x:c>
      <x:c r="AR74" s="17" t="n">
        <x:f>IF('Control Room'!$B$5="Normal",'Control Room'!$B$7+'Control Room'!$D$7*SQRT(-2*LN(MAX(0.000000000001,AP74/2147483647)))*COS(2*PI()*AQ74/2147483647),'Control Room'!$B$8+('Control Room'!$D$8-'Control Room'!$B$8)*AP74/2147483647)</x:f>
        <x:v>968.2621271248902</x:v>
      </x:c>
      <x:c r="AS74" s="17" t="n">
        <x:f>IF('Control Room'!$B$5="Normal",'Control Room'!$B$7,('Control Room'!$B$8+'Control Room'!$D$8)/2)+'Control Room'!$B$9*(AS73-IF('Control Room'!$B$5="Normal",'Control Room'!$B$7,('Control Room'!$B$8+'Control Room'!$D$8)/2))+SQRT(1-'Control Room'!$B$9^2)*(AR74-IF('Control Room'!$B$5="Normal",'Control Room'!$B$7,('Control Room'!$B$8+'Control Room'!$D$8)/2))</x:f>
        <x:v>1154.1288264043997</x:v>
      </x:c>
      <x:c r="AT74" s="17" t="n">
        <x:f>IF(AND($A74&gt;='Control Room'!$A$13,$A74&lt;'Control Room'!$A$13+'Control Room'!$B$13,'Process'!BS2=1),1+('Control Room'!$C$13-1)*EXP(-0.5*(($A74-'Control Room'!$A$13-('Control Room'!$B$13-1)/2)/MAX(0.5,'Control Room'!$B$13/4))^2),1)*IF(AND($A74&gt;='Control Room'!$A$14,$A74&lt;'Control Room'!$A$14+'Control Room'!$B$14,'Process'!BS3=1),1+('Control Room'!$C$14-1)*EXP(-0.5*(($A74-'Control Room'!$A$14-('Control Room'!$B$14-1)/2)/MAX(0.5,'Control Room'!$B$14/4))^2),1)*IF(AND($A74&gt;='Control Room'!$A$15,$A74&lt;'Control Room'!$A$15+'Control Room'!$B$15,'Process'!BS4=1),1+('Control Room'!$C$15-1)*EXP(-0.5*(($A74-'Control Room'!$A$15-('Control Room'!$B$15-1)/2)/MAX(0.5,'Control Room'!$B$15/4))^2),1)*IF(AND($A74&gt;='Control Room'!$A$16,$A74&lt;'Control Room'!$A$16+'Control Room'!$B$16,'Process'!BS5=1),1+('Control Room'!$C$16-1)*EXP(-0.5*(($A74-'Control Room'!$A$16-('Control Room'!$B$16-1)/2)/MAX(0.5,'Control Room'!$B$16/4))^2),1)</x:f>
        <x:v>1</x:v>
      </x:c>
      <x:c r="AU74" s="9" t="n">
        <x:f>MOD(AV73*16807,2147483647)</x:f>
        <x:v>1919720150</x:v>
      </x:c>
      <x:c r="AV74" s="9" t="n">
        <x:f>MOD(AU74*16807,2147483647)</x:f>
        <x:v>942248522</x:v>
      </x:c>
      <x:c r="AW74" s="17" t="n">
        <x:f>IF('Control Room'!$B$5="Normal",'Control Room'!$B$7+'Control Room'!$D$7*SQRT(-2*LN(MAX(0.000000000001,AU74/2147483647)))*COS(2*PI()*AV74/2147483647),'Control Room'!$B$8+('Control Room'!$D$8-'Control Room'!$B$8)*AU74/2147483647)</x:f>
        <x:v>960.4972741402357</x:v>
      </x:c>
      <x:c r="AX74" s="17" t="n">
        <x:f>IF('Control Room'!$B$5="Normal",'Control Room'!$B$7,('Control Room'!$B$8+'Control Room'!$D$8)/2)+'Control Room'!$B$9*(AX73-IF('Control Room'!$B$5="Normal",'Control Room'!$B$7,('Control Room'!$B$8+'Control Room'!$D$8)/2))+SQRT(1-'Control Room'!$B$9^2)*(AW74-IF('Control Room'!$B$5="Normal",'Control Room'!$B$7,('Control Room'!$B$8+'Control Room'!$D$8)/2))</x:f>
        <x:v>1004.5375501980027</x:v>
      </x:c>
      <x:c r="AY74" s="17" t="n">
        <x:f>IF(AND($A74&gt;='Control Room'!$A$13,$A74&lt;'Control Room'!$A$13+'Control Room'!$B$13,'Process'!BT2=1),1+('Control Room'!$C$13-1)*EXP(-0.5*(($A74-'Control Room'!$A$13-('Control Room'!$B$13-1)/2)/MAX(0.5,'Control Room'!$B$13/4))^2),1)*IF(AND($A74&gt;='Control Room'!$A$14,$A74&lt;'Control Room'!$A$14+'Control Room'!$B$14,'Process'!BT3=1),1+('Control Room'!$C$14-1)*EXP(-0.5*(($A74-'Control Room'!$A$14-('Control Room'!$B$14-1)/2)/MAX(0.5,'Control Room'!$B$14/4))^2),1)*IF(AND($A74&gt;='Control Room'!$A$15,$A74&lt;'Control Room'!$A$15+'Control Room'!$B$15,'Process'!BT4=1),1+('Control Room'!$C$15-1)*EXP(-0.5*(($A74-'Control Room'!$A$15-('Control Room'!$B$15-1)/2)/MAX(0.5,'Control Room'!$B$15/4))^2),1)*IF(AND($A74&gt;='Control Room'!$A$16,$A74&lt;'Control Room'!$A$16+'Control Room'!$B$16,'Process'!BT5=1),1+('Control Room'!$C$16-1)*EXP(-0.5*(($A74-'Control Room'!$A$16-('Control Room'!$B$16-1)/2)/MAX(0.5,'Control Room'!$B$16/4))^2),1)</x:f>
        <x:v>1</x:v>
      </x:c>
      <x:c r="AZ74" s="9" t="n">
        <x:f>MOD(BA73*16807,2147483647)</x:f>
        <x:v>973780507</x:v>
      </x:c>
      <x:c r="BA74" s="9" t="n">
        <x:f>MOD(AZ74*16807,2147483647)</x:f>
        <x:v>356107362</x:v>
      </x:c>
      <x:c r="BB74" s="17" t="n">
        <x:f>IF('Control Room'!$B$5="Normal",'Control Room'!$B$7+'Control Room'!$D$7*SQRT(-2*LN(MAX(0.000000000001,AZ74/2147483647)))*COS(2*PI()*BA74/2147483647),'Control Room'!$B$8+('Control Room'!$D$8-'Control Room'!$B$8)*AZ74/2147483647)</x:f>
        <x:v>1057.112467702174</x:v>
      </x:c>
      <x:c r="BC74" s="17" t="n">
        <x:f>IF('Control Room'!$B$5="Normal",'Control Room'!$B$7,('Control Room'!$B$8+'Control Room'!$D$8)/2)+'Control Room'!$B$9*(BC73-IF('Control Room'!$B$5="Normal",'Control Room'!$B$7,('Control Room'!$B$8+'Control Room'!$D$8)/2))+SQRT(1-'Control Room'!$B$9^2)*(BB74-IF('Control Room'!$B$5="Normal",'Control Room'!$B$7,('Control Room'!$B$8+'Control Room'!$D$8)/2))</x:f>
        <x:v>1012.9032824543361</x:v>
      </x:c>
      <x:c r="BD74" s="17" t="n">
        <x:f>IF(AND($A74&gt;='Control Room'!$A$13,$A74&lt;'Control Room'!$A$13+'Control Room'!$B$13,'Process'!BU2=1),1+('Control Room'!$C$13-1)*EXP(-0.5*(($A74-'Control Room'!$A$13-('Control Room'!$B$13-1)/2)/MAX(0.5,'Control Room'!$B$13/4))^2),1)*IF(AND($A74&gt;='Control Room'!$A$14,$A74&lt;'Control Room'!$A$14+'Control Room'!$B$14,'Process'!BU3=1),1+('Control Room'!$C$14-1)*EXP(-0.5*(($A74-'Control Room'!$A$14-('Control Room'!$B$14-1)/2)/MAX(0.5,'Control Room'!$B$14/4))^2),1)*IF(AND($A74&gt;='Control Room'!$A$15,$A74&lt;'Control Room'!$A$15+'Control Room'!$B$15,'Process'!BU4=1),1+('Control Room'!$C$15-1)*EXP(-0.5*(($A74-'Control Room'!$A$15-('Control Room'!$B$15-1)/2)/MAX(0.5,'Control Room'!$B$15/4))^2),1)*IF(AND($A74&gt;='Control Room'!$A$16,$A74&lt;'Control Room'!$A$16+'Control Room'!$B$16,'Process'!BU5=1),1+('Control Room'!$C$16-1)*EXP(-0.5*(($A74-'Control Room'!$A$16-('Control Room'!$B$16-1)/2)/MAX(0.5,'Control Room'!$B$16/4))^2),1)</x:f>
        <x:v>1</x:v>
      </x:c>
      <x:c r="BE74" s="9" t="n">
        <x:f>MOD(BF73*16807,2147483647)</x:f>
        <x:v>27840864</x:v>
      </x:c>
      <x:c r="BF74" s="9" t="n">
        <x:f>MOD(BE74*16807,2147483647)</x:f>
        <x:v>1917449849</x:v>
      </x:c>
      <x:c r="BG74" s="17" t="n">
        <x:f>IF('Control Room'!$B$5="Normal",'Control Room'!$B$7+'Control Room'!$D$7*SQRT(-2*LN(MAX(0.000000000001,BE74/2147483647)))*COS(2*PI()*BF74/2147483647),'Control Room'!$B$8+('Control Room'!$D$8-'Control Room'!$B$8)*BE74/2147483647)</x:f>
        <x:v>1207.4661936037905</x:v>
      </x:c>
      <x:c r="BH74" s="17" t="n">
        <x:f>IF('Control Room'!$B$5="Normal",'Control Room'!$B$7,('Control Room'!$B$8+'Control Room'!$D$8)/2)+'Control Room'!$B$9*(BH73-IF('Control Room'!$B$5="Normal",'Control Room'!$B$7,('Control Room'!$B$8+'Control Room'!$D$8)/2))+SQRT(1-'Control Room'!$B$9^2)*(BG74-IF('Control Room'!$B$5="Normal",'Control Room'!$B$7,('Control Room'!$B$8+'Control Room'!$D$8)/2))</x:f>
        <x:v>1157.4587320577987</x:v>
      </x:c>
      <x:c r="BI74" s="17" t="n">
        <x:f>IF(AND($A74&gt;='Control Room'!$A$13,$A74&lt;'Control Room'!$A$13+'Control Room'!$B$13,'Process'!BV2=1),1+('Control Room'!$C$13-1)*EXP(-0.5*(($A74-'Control Room'!$A$13-('Control Room'!$B$13-1)/2)/MAX(0.5,'Control Room'!$B$13/4))^2),1)*IF(AND($A74&gt;='Control Room'!$A$14,$A74&lt;'Control Room'!$A$14+'Control Room'!$B$14,'Process'!BV3=1),1+('Control Room'!$C$14-1)*EXP(-0.5*(($A74-'Control Room'!$A$14-('Control Room'!$B$14-1)/2)/MAX(0.5,'Control Room'!$B$14/4))^2),1)*IF(AND($A74&gt;='Control Room'!$A$15,$A74&lt;'Control Room'!$A$15+'Control Room'!$B$15,'Process'!BV4=1),1+('Control Room'!$C$15-1)*EXP(-0.5*(($A74-'Control Room'!$A$15-('Control Room'!$B$15-1)/2)/MAX(0.5,'Control Room'!$B$15/4))^2),1)*IF(AND($A74&gt;='Control Room'!$A$16,$A74&lt;'Control Room'!$A$16+'Control Room'!$B$16,'Process'!BV5=1),1+('Control Room'!$C$16-1)*EXP(-0.5*(($A74-'Control Room'!$A$16-('Control Room'!$B$16-1)/2)/MAX(0.5,'Control Room'!$B$16/4))^2),1)</x:f>
        <x:v>1</x:v>
      </x:c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Z74" t="str">
        <x:f>IF('Data'!A74="","",TEXT('Data'!A74,"mm-dd"))</x:f>
        <x:v>01-13</x:v>
      </x:c>
    </x:row>
    <x:row r="75" ht="21" customHeight="1">
      <x:c r="A75" s="15" t="n">
        <x:f>'Control Room'!$B$1+73</x:f>
        <x:v>73064</x:v>
      </x:c>
      <x:c r="B75" s="9" t="n">
        <x:f>MOD(C74*16807,2147483647)</x:f>
        <x:v>1286931314</x:v>
      </x:c>
      <x:c r="C75" s="9" t="n">
        <x:f>MOD(B75*16807,2147483647)</x:f>
        <x:v>2146785461</x:v>
      </x:c>
      <x:c r="D75" s="17" t="n">
        <x:f>IF('Control Room'!$B$5="Normal",'Control Room'!$B$7+'Control Room'!$D$7*SQRT(-2*LN(MAX(0.000000000001,B75/2147483647)))*COS(2*PI()*C75/2147483647),'Control Room'!$B$8+('Control Room'!$D$8-'Control Room'!$B$8)*B75/2147483647)</x:f>
        <x:v>1091.076626283758</x:v>
      </x:c>
      <x:c r="E75" s="17" t="n">
        <x:f>IF('Control Room'!$B$5="Normal",'Control Room'!$B$7,('Control Room'!$B$8+'Control Room'!$D$8)/2)+'Control Room'!$B$9*(E74-IF('Control Room'!$B$5="Normal",'Control Room'!$B$7,('Control Room'!$B$8+'Control Room'!$D$8)/2))+SQRT(1-'Control Room'!$B$9^2)*(D75-IF('Control Room'!$B$5="Normal",'Control Room'!$B$7,('Control Room'!$B$8+'Control Room'!$D$8)/2))</x:f>
        <x:v>1124.7340408161754</x:v>
      </x:c>
      <x:c r="F75" s="17" t="n">
        <x:f>IF(AND($A75&gt;='Control Room'!$A$13,$A75&lt;'Control Room'!$A$13+'Control Room'!$B$13,'Process'!BK2=1),1+('Control Room'!$C$13-1)*EXP(-0.5*(($A75-'Control Room'!$A$13-('Control Room'!$B$13-1)/2)/MAX(0.5,'Control Room'!$B$13/4))^2),1)*IF(AND($A75&gt;='Control Room'!$A$14,$A75&lt;'Control Room'!$A$14+'Control Room'!$B$14,'Process'!BK3=1),1+('Control Room'!$C$14-1)*EXP(-0.5*(($A75-'Control Room'!$A$14-('Control Room'!$B$14-1)/2)/MAX(0.5,'Control Room'!$B$14/4))^2),1)*IF(AND($A75&gt;='Control Room'!$A$15,$A75&lt;'Control Room'!$A$15+'Control Room'!$B$15,'Process'!BK4=1),1+('Control Room'!$C$15-1)*EXP(-0.5*(($A75-'Control Room'!$A$15-('Control Room'!$B$15-1)/2)/MAX(0.5,'Control Room'!$B$15/4))^2),1)*IF(AND($A75&gt;='Control Room'!$A$16,$A75&lt;'Control Room'!$A$16+'Control Room'!$B$16,'Process'!BK5=1),1+('Control Room'!$C$16-1)*EXP(-0.5*(($A75-'Control Room'!$A$16-('Control Room'!$B$16-1)/2)/MAX(0.5,'Control Room'!$B$16/4))^2),1)</x:f>
        <x:v>1</x:v>
      </x:c>
      <x:c r="G75" s="9" t="n">
        <x:f>MOD(H74*16807,2147483647)</x:f>
        <x:v>519943983</x:v>
      </x:c>
      <x:c r="H75" s="9" t="n">
        <x:f>MOD(G75*16807,2147483647)</x:f>
        <x:v>587562638</x:v>
      </x:c>
      <x:c r="I75" s="17" t="n">
        <x:f>IF('Control Room'!$B$5="Normal",'Control Room'!$B$7+'Control Room'!$D$7*SQRT(-2*LN(MAX(0.000000000001,G75/2147483647)))*COS(2*PI()*H75/2147483647),'Control Room'!$B$8+('Control Room'!$D$8-'Control Room'!$B$8)*G75/2147483647)</x:f>
        <x:v>977.6004147010624</x:v>
      </x:c>
      <x:c r="J75" s="17" t="n">
        <x:f>IF('Control Room'!$B$5="Normal",'Control Room'!$B$7,('Control Room'!$B$8+'Control Room'!$D$8)/2)+'Control Room'!$B$9*(J74-IF('Control Room'!$B$5="Normal",'Control Room'!$B$7,('Control Room'!$B$8+'Control Room'!$D$8)/2))+SQRT(1-'Control Room'!$B$9^2)*(I75-IF('Control Room'!$B$5="Normal",'Control Room'!$B$7,('Control Room'!$B$8+'Control Room'!$D$8)/2))</x:f>
        <x:v>957.2302158621076</x:v>
      </x:c>
      <x:c r="K75" s="17" t="n">
        <x:f>IF(AND($A75&gt;='Control Room'!$A$13,$A75&lt;'Control Room'!$A$13+'Control Room'!$B$13,'Process'!BL2=1),1+('Control Room'!$C$13-1)*EXP(-0.5*(($A75-'Control Room'!$A$13-('Control Room'!$B$13-1)/2)/MAX(0.5,'Control Room'!$B$13/4))^2),1)*IF(AND($A75&gt;='Control Room'!$A$14,$A75&lt;'Control Room'!$A$14+'Control Room'!$B$14,'Process'!BL3=1),1+('Control Room'!$C$14-1)*EXP(-0.5*(($A75-'Control Room'!$A$14-('Control Room'!$B$14-1)/2)/MAX(0.5,'Control Room'!$B$14/4))^2),1)*IF(AND($A75&gt;='Control Room'!$A$15,$A75&lt;'Control Room'!$A$15+'Control Room'!$B$15,'Process'!BL4=1),1+('Control Room'!$C$15-1)*EXP(-0.5*(($A75-'Control Room'!$A$15-('Control Room'!$B$15-1)/2)/MAX(0.5,'Control Room'!$B$15/4))^2),1)*IF(AND($A75&gt;='Control Room'!$A$16,$A75&lt;'Control Room'!$A$16+'Control Room'!$B$16,'Process'!BL5=1),1+('Control Room'!$C$16-1)*EXP(-0.5*(($A75-'Control Room'!$A$16-('Control Room'!$B$16-1)/2)/MAX(0.5,'Control Room'!$B$16/4))^2),1)</x:f>
        <x:v>1</x:v>
      </x:c>
      <x:c r="L75" s="9" t="n">
        <x:f>MOD(M74*16807,2147483647)</x:f>
        <x:v>1900440299</x:v>
      </x:c>
      <x:c r="M75" s="9" t="n">
        <x:f>MOD(L75*16807,2147483647)</x:f>
        <x:v>1175823462</x:v>
      </x:c>
      <x:c r="N75" s="17" t="n">
        <x:f>IF('Control Room'!$B$5="Normal",'Control Room'!$B$7+'Control Room'!$D$7*SQRT(-2*LN(MAX(0.000000000001,L75/2147483647)))*COS(2*PI()*M75/2147483647),'Control Room'!$B$8+('Control Room'!$D$8-'Control Room'!$B$8)*L75/2147483647)</x:f>
        <x:v>957.4747363615595</x:v>
      </x:c>
      <x:c r="O75" s="17" t="n">
        <x:f>IF('Control Room'!$B$5="Normal",'Control Room'!$B$7,('Control Room'!$B$8+'Control Room'!$D$8)/2)+'Control Room'!$B$9*(O74-IF('Control Room'!$B$5="Normal",'Control Room'!$B$7,('Control Room'!$B$8+'Control Room'!$D$8)/2))+SQRT(1-'Control Room'!$B$9^2)*(N75-IF('Control Room'!$B$5="Normal",'Control Room'!$B$7,('Control Room'!$B$8+'Control Room'!$D$8)/2))</x:f>
        <x:v>906.5004587208247</x:v>
      </x:c>
      <x:c r="P75" s="17" t="n">
        <x:f>IF(AND($A75&gt;='Control Room'!$A$13,$A75&lt;'Control Room'!$A$13+'Control Room'!$B$13,'Process'!BM2=1),1+('Control Room'!$C$13-1)*EXP(-0.5*(($A75-'Control Room'!$A$13-('Control Room'!$B$13-1)/2)/MAX(0.5,'Control Room'!$B$13/4))^2),1)*IF(AND($A75&gt;='Control Room'!$A$14,$A75&lt;'Control Room'!$A$14+'Control Room'!$B$14,'Process'!BM3=1),1+('Control Room'!$C$14-1)*EXP(-0.5*(($A75-'Control Room'!$A$14-('Control Room'!$B$14-1)/2)/MAX(0.5,'Control Room'!$B$14/4))^2),1)*IF(AND($A75&gt;='Control Room'!$A$15,$A75&lt;'Control Room'!$A$15+'Control Room'!$B$15,'Process'!BM4=1),1+('Control Room'!$C$15-1)*EXP(-0.5*(($A75-'Control Room'!$A$15-('Control Room'!$B$15-1)/2)/MAX(0.5,'Control Room'!$B$15/4))^2),1)*IF(AND($A75&gt;='Control Room'!$A$16,$A75&lt;'Control Room'!$A$16+'Control Room'!$B$16,'Process'!BM5=1),1+('Control Room'!$C$16-1)*EXP(-0.5*(($A75-'Control Room'!$A$16-('Control Room'!$B$16-1)/2)/MAX(0.5,'Control Room'!$B$16/4))^2),1)</x:f>
        <x:v>1</x:v>
      </x:c>
      <x:c r="Q75" s="9" t="n">
        <x:f>MOD(R74*16807,2147483647)</x:f>
        <x:v>1133452968</x:v>
      </x:c>
      <x:c r="R75" s="9" t="n">
        <x:f>MOD(Q75*16807,2147483647)</x:f>
        <x:v>1764084286</x:v>
      </x:c>
      <x:c r="S75" s="17" t="n">
        <x:f>IF('Control Room'!$B$5="Normal",'Control Room'!$B$7+'Control Room'!$D$7*SQRT(-2*LN(MAX(0.000000000001,Q75/2147483647)))*COS(2*PI()*R75/2147483647),'Control Room'!$B$8+('Control Room'!$D$8-'Control Room'!$B$8)*Q75/2147483647)</x:f>
        <x:v>1044.167366529951</x:v>
      </x:c>
      <x:c r="T75" s="17" t="n">
        <x:f>IF('Control Room'!$B$5="Normal",'Control Room'!$B$7,('Control Room'!$B$8+'Control Room'!$D$8)/2)+'Control Room'!$B$9*(T74-IF('Control Room'!$B$5="Normal",'Control Room'!$B$7,('Control Room'!$B$8+'Control Room'!$D$8)/2))+SQRT(1-'Control Room'!$B$9^2)*(S75-IF('Control Room'!$B$5="Normal",'Control Room'!$B$7,('Control Room'!$B$8+'Control Room'!$D$8)/2))</x:f>
        <x:v>1032.2277321688762</x:v>
      </x:c>
      <x:c r="U75" s="17" t="n">
        <x:f>IF(AND($A75&gt;='Control Room'!$A$13,$A75&lt;'Control Room'!$A$13+'Control Room'!$B$13,'Process'!BN2=1),1+('Control Room'!$C$13-1)*EXP(-0.5*(($A75-'Control Room'!$A$13-('Control Room'!$B$13-1)/2)/MAX(0.5,'Control Room'!$B$13/4))^2),1)*IF(AND($A75&gt;='Control Room'!$A$14,$A75&lt;'Control Room'!$A$14+'Control Room'!$B$14,'Process'!BN3=1),1+('Control Room'!$C$14-1)*EXP(-0.5*(($A75-'Control Room'!$A$14-('Control Room'!$B$14-1)/2)/MAX(0.5,'Control Room'!$B$14/4))^2),1)*IF(AND($A75&gt;='Control Room'!$A$15,$A75&lt;'Control Room'!$A$15+'Control Room'!$B$15,'Process'!BN4=1),1+('Control Room'!$C$15-1)*EXP(-0.5*(($A75-'Control Room'!$A$15-('Control Room'!$B$15-1)/2)/MAX(0.5,'Control Room'!$B$15/4))^2),1)*IF(AND($A75&gt;='Control Room'!$A$16,$A75&lt;'Control Room'!$A$16+'Control Room'!$B$16,'Process'!BN5=1),1+('Control Room'!$C$16-1)*EXP(-0.5*(($A75-'Control Room'!$A$16-('Control Room'!$B$16-1)/2)/MAX(0.5,'Control Room'!$B$16/4))^2),1)</x:f>
        <x:v>1</x:v>
      </x:c>
      <x:c r="V75" s="9" t="n">
        <x:f>MOD(W74*16807,2147483647)</x:f>
        <x:v>366465637</x:v>
      </x:c>
      <x:c r="W75" s="9" t="n">
        <x:f>MOD(V75*16807,2147483647)</x:f>
        <x:v>204861463</x:v>
      </x:c>
      <x:c r="X75" s="17" t="n">
        <x:f>IF('Control Room'!$B$5="Normal",'Control Room'!$B$7+'Control Room'!$D$7*SQRT(-2*LN(MAX(0.000000000001,V75/2147483647)))*COS(2*PI()*W75/2147483647),'Control Room'!$B$8+('Control Room'!$D$8-'Control Room'!$B$8)*V75/2147483647)</x:f>
        <x:v>1139.7423735936488</x:v>
      </x:c>
      <x:c r="Y75" s="17" t="n">
        <x:f>IF('Control Room'!$B$5="Normal",'Control Room'!$B$7,('Control Room'!$B$8+'Control Room'!$D$8)/2)+'Control Room'!$B$9*(Y74-IF('Control Room'!$B$5="Normal",'Control Room'!$B$7,('Control Room'!$B$8+'Control Room'!$D$8)/2))+SQRT(1-'Control Room'!$B$9^2)*(X75-IF('Control Room'!$B$5="Normal",'Control Room'!$B$7,('Control Room'!$B$8+'Control Room'!$D$8)/2))</x:f>
        <x:v>1261.296940970541</x:v>
      </x:c>
      <x:c r="Z75" s="17" t="n">
        <x:f>IF(AND($A75&gt;='Control Room'!$A$13,$A75&lt;'Control Room'!$A$13+'Control Room'!$B$13,'Process'!BO2=1),1+('Control Room'!$C$13-1)*EXP(-0.5*(($A75-'Control Room'!$A$13-('Control Room'!$B$13-1)/2)/MAX(0.5,'Control Room'!$B$13/4))^2),1)*IF(AND($A75&gt;='Control Room'!$A$14,$A75&lt;'Control Room'!$A$14+'Control Room'!$B$14,'Process'!BO3=1),1+('Control Room'!$C$14-1)*EXP(-0.5*(($A75-'Control Room'!$A$14-('Control Room'!$B$14-1)/2)/MAX(0.5,'Control Room'!$B$14/4))^2),1)*IF(AND($A75&gt;='Control Room'!$A$15,$A75&lt;'Control Room'!$A$15+'Control Room'!$B$15,'Process'!BO4=1),1+('Control Room'!$C$15-1)*EXP(-0.5*(($A75-'Control Room'!$A$15-('Control Room'!$B$15-1)/2)/MAX(0.5,'Control Room'!$B$15/4))^2),1)*IF(AND($A75&gt;='Control Room'!$A$16,$A75&lt;'Control Room'!$A$16+'Control Room'!$B$16,'Process'!BO5=1),1+('Control Room'!$C$16-1)*EXP(-0.5*(($A75-'Control Room'!$A$16-('Control Room'!$B$16-1)/2)/MAX(0.5,'Control Room'!$B$16/4))^2),1)</x:f>
        <x:v>1</x:v>
      </x:c>
      <x:c r="AA75" s="9" t="n">
        <x:f>MOD(AB74*16807,2147483647)</x:f>
        <x:v>1746961953</x:v>
      </x:c>
      <x:c r="AB75" s="9" t="n">
        <x:f>MOD(AA75*16807,2147483647)</x:f>
        <x:v>793122287</x:v>
      </x:c>
      <x:c r="AC75" s="17" t="n">
        <x:f>IF('Control Room'!$B$5="Normal",'Control Room'!$B$7+'Control Room'!$D$7*SQRT(-2*LN(MAX(0.000000000001,AA75/2147483647)))*COS(2*PI()*AB75/2147483647),'Control Room'!$B$8+('Control Room'!$D$8-'Control Room'!$B$8)*AA75/2147483647)</x:f>
        <x:v>960.5933685513315</x:v>
      </x:c>
      <x:c r="AD75" s="17" t="n">
        <x:f>IF('Control Room'!$B$5="Normal",'Control Room'!$B$7,('Control Room'!$B$8+'Control Room'!$D$8)/2)+'Control Room'!$B$9*(AD74-IF('Control Room'!$B$5="Normal",'Control Room'!$B$7,('Control Room'!$B$8+'Control Room'!$D$8)/2))+SQRT(1-'Control Room'!$B$9^2)*(AC75-IF('Control Room'!$B$5="Normal",'Control Room'!$B$7,('Control Room'!$B$8+'Control Room'!$D$8)/2))</x:f>
        <x:v>1013.238806787303</x:v>
      </x:c>
      <x:c r="AE75" s="17" t="n">
        <x:f>IF(AND($A75&gt;='Control Room'!$A$13,$A75&lt;'Control Room'!$A$13+'Control Room'!$B$13,'Process'!BP2=1),1+('Control Room'!$C$13-1)*EXP(-0.5*(($A75-'Control Room'!$A$13-('Control Room'!$B$13-1)/2)/MAX(0.5,'Control Room'!$B$13/4))^2),1)*IF(AND($A75&gt;='Control Room'!$A$14,$A75&lt;'Control Room'!$A$14+'Control Room'!$B$14,'Process'!BP3=1),1+('Control Room'!$C$14-1)*EXP(-0.5*(($A75-'Control Room'!$A$14-('Control Room'!$B$14-1)/2)/MAX(0.5,'Control Room'!$B$14/4))^2),1)*IF(AND($A75&gt;='Control Room'!$A$15,$A75&lt;'Control Room'!$A$15+'Control Room'!$B$15,'Process'!BP4=1),1+('Control Room'!$C$15-1)*EXP(-0.5*(($A75-'Control Room'!$A$15-('Control Room'!$B$15-1)/2)/MAX(0.5,'Control Room'!$B$15/4))^2),1)*IF(AND($A75&gt;='Control Room'!$A$16,$A75&lt;'Control Room'!$A$16+'Control Room'!$B$16,'Process'!BP5=1),1+('Control Room'!$C$16-1)*EXP(-0.5*(($A75-'Control Room'!$A$16-('Control Room'!$B$16-1)/2)/MAX(0.5,'Control Room'!$B$16/4))^2),1)</x:f>
        <x:v>1</x:v>
      </x:c>
      <x:c r="AF75" s="9" t="n">
        <x:f>MOD(AG74*16807,2147483647)</x:f>
        <x:v>979974622</x:v>
      </x:c>
      <x:c r="AG75" s="9" t="n">
        <x:f>MOD(AF75*16807,2147483647)</x:f>
        <x:v>1381383111</x:v>
      </x:c>
      <x:c r="AH75" s="17" t="n">
        <x:f>IF('Control Room'!$B$5="Normal",'Control Room'!$B$7+'Control Room'!$D$7*SQRT(-2*LN(MAX(0.000000000001,AF75/2147483647)))*COS(2*PI()*AG75/2147483647),'Control Room'!$B$8+('Control Room'!$D$8-'Control Room'!$B$8)*AF75/2147483647)</x:f>
        <x:v>929.9319780406541</x:v>
      </x:c>
      <x:c r="AI75" s="17" t="n">
        <x:f>IF('Control Room'!$B$5="Normal",'Control Room'!$B$7,('Control Room'!$B$8+'Control Room'!$D$8)/2)+'Control Room'!$B$9*(AI74-IF('Control Room'!$B$5="Normal",'Control Room'!$B$7,('Control Room'!$B$8+'Control Room'!$D$8)/2))+SQRT(1-'Control Room'!$B$9^2)*(AH75-IF('Control Room'!$B$5="Normal",'Control Room'!$B$7,('Control Room'!$B$8+'Control Room'!$D$8)/2))</x:f>
        <x:v>961.3835138895446</x:v>
      </x:c>
      <x:c r="AJ75" s="17" t="n">
        <x:f>IF(AND($A75&gt;='Control Room'!$A$13,$A75&lt;'Control Room'!$A$13+'Control Room'!$B$13,'Process'!BQ2=1),1+('Control Room'!$C$13-1)*EXP(-0.5*(($A75-'Control Room'!$A$13-('Control Room'!$B$13-1)/2)/MAX(0.5,'Control Room'!$B$13/4))^2),1)*IF(AND($A75&gt;='Control Room'!$A$14,$A75&lt;'Control Room'!$A$14+'Control Room'!$B$14,'Process'!BQ3=1),1+('Control Room'!$C$14-1)*EXP(-0.5*(($A75-'Control Room'!$A$14-('Control Room'!$B$14-1)/2)/MAX(0.5,'Control Room'!$B$14/4))^2),1)*IF(AND($A75&gt;='Control Room'!$A$15,$A75&lt;'Control Room'!$A$15+'Control Room'!$B$15,'Process'!BQ4=1),1+('Control Room'!$C$15-1)*EXP(-0.5*(($A75-'Control Room'!$A$15-('Control Room'!$B$15-1)/2)/MAX(0.5,'Control Room'!$B$15/4))^2),1)*IF(AND($A75&gt;='Control Room'!$A$16,$A75&lt;'Control Room'!$A$16+'Control Room'!$B$16,'Process'!BQ5=1),1+('Control Room'!$C$16-1)*EXP(-0.5*(($A75-'Control Room'!$A$16-('Control Room'!$B$16-1)/2)/MAX(0.5,'Control Room'!$B$16/4))^2),1)</x:f>
        <x:v>1</x:v>
      </x:c>
      <x:c r="AK75" s="9" t="n">
        <x:f>MOD(AL74*16807,2147483647)</x:f>
        <x:v>212987291</x:v>
      </x:c>
      <x:c r="AL75" s="9" t="n">
        <x:f>MOD(AK75*16807,2147483647)</x:f>
        <x:v>1969643935</x:v>
      </x:c>
      <x:c r="AM75" s="17" t="n">
        <x:f>IF('Control Room'!$B$5="Normal",'Control Room'!$B$7+'Control Room'!$D$7*SQRT(-2*LN(MAX(0.000000000001,AK75/2147483647)))*COS(2*PI()*AL75/2147483647),'Control Room'!$B$8+('Control Room'!$D$8-'Control Room'!$B$8)*AK75/2147483647)</x:f>
        <x:v>1167.875652139339</x:v>
      </x:c>
      <x:c r="AN75" s="17" t="n">
        <x:f>IF('Control Room'!$B$5="Normal",'Control Room'!$B$7,('Control Room'!$B$8+'Control Room'!$D$8)/2)+'Control Room'!$B$9*(AN74-IF('Control Room'!$B$5="Normal",'Control Room'!$B$7,('Control Room'!$B$8+'Control Room'!$D$8)/2))+SQRT(1-'Control Room'!$B$9^2)*(AM75-IF('Control Room'!$B$5="Normal",'Control Room'!$B$7,('Control Room'!$B$8+'Control Room'!$D$8)/2))</x:f>
        <x:v>1213.3853642131937</x:v>
      </x:c>
      <x:c r="AO75" s="17" t="n">
        <x:f>IF(AND($A75&gt;='Control Room'!$A$13,$A75&lt;'Control Room'!$A$13+'Control Room'!$B$13,'Process'!BR2=1),1+('Control Room'!$C$13-1)*EXP(-0.5*(($A75-'Control Room'!$A$13-('Control Room'!$B$13-1)/2)/MAX(0.5,'Control Room'!$B$13/4))^2),1)*IF(AND($A75&gt;='Control Room'!$A$14,$A75&lt;'Control Room'!$A$14+'Control Room'!$B$14,'Process'!BR3=1),1+('Control Room'!$C$14-1)*EXP(-0.5*(($A75-'Control Room'!$A$14-('Control Room'!$B$14-1)/2)/MAX(0.5,'Control Room'!$B$14/4))^2),1)*IF(AND($A75&gt;='Control Room'!$A$15,$A75&lt;'Control Room'!$A$15+'Control Room'!$B$15,'Process'!BR4=1),1+('Control Room'!$C$15-1)*EXP(-0.5*(($A75-'Control Room'!$A$15-('Control Room'!$B$15-1)/2)/MAX(0.5,'Control Room'!$B$15/4))^2),1)*IF(AND($A75&gt;='Control Room'!$A$16,$A75&lt;'Control Room'!$A$16+'Control Room'!$B$16,'Process'!BR5=1),1+('Control Room'!$C$16-1)*EXP(-0.5*(($A75-'Control Room'!$A$16-('Control Room'!$B$16-1)/2)/MAX(0.5,'Control Room'!$B$16/4))^2),1)</x:f>
        <x:v>1</x:v>
      </x:c>
      <x:c r="AP75" s="9" t="n">
        <x:f>MOD(AQ74*16807,2147483647)</x:f>
        <x:v>1593483607</x:v>
      </x:c>
      <x:c r="AQ75" s="9" t="n">
        <x:f>MOD(AP75*16807,2147483647)</x:f>
        <x:v>410421112</x:v>
      </x:c>
      <x:c r="AR75" s="17" t="n">
        <x:f>IF('Control Room'!$B$5="Normal",'Control Room'!$B$7+'Control Room'!$D$7*SQRT(-2*LN(MAX(0.000000000001,AP75/2147483647)))*COS(2*PI()*AQ75/2147483647),'Control Room'!$B$8+('Control Room'!$D$8-'Control Room'!$B$8)*AP75/2147483647)</x:f>
        <x:v>1025.1392931552239</x:v>
      </x:c>
      <x:c r="AS75" s="17" t="n">
        <x:f>IF('Control Room'!$B$5="Normal",'Control Room'!$B$7,('Control Room'!$B$8+'Control Room'!$D$8)/2)+'Control Room'!$B$9*(AS74-IF('Control Room'!$B$5="Normal",'Control Room'!$B$7,('Control Room'!$B$8+'Control Room'!$D$8)/2))+SQRT(1-'Control Room'!$B$9^2)*(AR75-IF('Control Room'!$B$5="Normal",'Control Room'!$B$7,('Control Room'!$B$8+'Control Room'!$D$8)/2))</x:f>
        <x:v>1135.9521392455574</x:v>
      </x:c>
      <x:c r="AT75" s="17" t="n">
        <x:f>IF(AND($A75&gt;='Control Room'!$A$13,$A75&lt;'Control Room'!$A$13+'Control Room'!$B$13,'Process'!BS2=1),1+('Control Room'!$C$13-1)*EXP(-0.5*(($A75-'Control Room'!$A$13-('Control Room'!$B$13-1)/2)/MAX(0.5,'Control Room'!$B$13/4))^2),1)*IF(AND($A75&gt;='Control Room'!$A$14,$A75&lt;'Control Room'!$A$14+'Control Room'!$B$14,'Process'!BS3=1),1+('Control Room'!$C$14-1)*EXP(-0.5*(($A75-'Control Room'!$A$14-('Control Room'!$B$14-1)/2)/MAX(0.5,'Control Room'!$B$14/4))^2),1)*IF(AND($A75&gt;='Control Room'!$A$15,$A75&lt;'Control Room'!$A$15+'Control Room'!$B$15,'Process'!BS4=1),1+('Control Room'!$C$15-1)*EXP(-0.5*(($A75-'Control Room'!$A$15-('Control Room'!$B$15-1)/2)/MAX(0.5,'Control Room'!$B$15/4))^2),1)*IF(AND($A75&gt;='Control Room'!$A$16,$A75&lt;'Control Room'!$A$16+'Control Room'!$B$16,'Process'!BS5=1),1+('Control Room'!$C$16-1)*EXP(-0.5*(($A75-'Control Room'!$A$16-('Control Room'!$B$16-1)/2)/MAX(0.5,'Control Room'!$B$16/4))^2),1)</x:f>
        <x:v>1</x:v>
      </x:c>
      <x:c r="AU75" s="9" t="n">
        <x:f>MOD(AV74*16807,2147483647)</x:f>
        <x:v>826496276</x:v>
      </x:c>
      <x:c r="AV75" s="9" t="n">
        <x:f>MOD(AU75*16807,2147483647)</x:f>
        <x:v>998681936</x:v>
      </x:c>
      <x:c r="AW75" s="17" t="n">
        <x:f>IF('Control Room'!$B$5="Normal",'Control Room'!$B$7+'Control Room'!$D$7*SQRT(-2*LN(MAX(0.000000000001,AU75/2147483647)))*COS(2*PI()*AV75/2147483647),'Control Room'!$B$8+('Control Room'!$D$8-'Control Room'!$B$8)*AU75/2147483647)</x:f>
        <x:v>878.6140755780201</x:v>
      </x:c>
      <x:c r="AX75" s="17" t="n">
        <x:f>IF('Control Room'!$B$5="Normal",'Control Room'!$B$7,('Control Room'!$B$8+'Control Room'!$D$8)/2)+'Control Room'!$B$9*(AX74-IF('Control Room'!$B$5="Normal",'Control Room'!$B$7,('Control Room'!$B$8+'Control Room'!$D$8)/2))+SQRT(1-'Control Room'!$B$9^2)*(AW75-IF('Control Room'!$B$5="Normal",'Control Room'!$B$7,('Control Room'!$B$8+'Control Room'!$D$8)/2))</x:f>
        <x:v>927.5784643769945</x:v>
      </x:c>
      <x:c r="AY75" s="17" t="n">
        <x:f>IF(AND($A75&gt;='Control Room'!$A$13,$A75&lt;'Control Room'!$A$13+'Control Room'!$B$13,'Process'!BT2=1),1+('Control Room'!$C$13-1)*EXP(-0.5*(($A75-'Control Room'!$A$13-('Control Room'!$B$13-1)/2)/MAX(0.5,'Control Room'!$B$13/4))^2),1)*IF(AND($A75&gt;='Control Room'!$A$14,$A75&lt;'Control Room'!$A$14+'Control Room'!$B$14,'Process'!BT3=1),1+('Control Room'!$C$14-1)*EXP(-0.5*(($A75-'Control Room'!$A$14-('Control Room'!$B$14-1)/2)/MAX(0.5,'Control Room'!$B$14/4))^2),1)*IF(AND($A75&gt;='Control Room'!$A$15,$A75&lt;'Control Room'!$A$15+'Control Room'!$B$15,'Process'!BT4=1),1+('Control Room'!$C$15-1)*EXP(-0.5*(($A75-'Control Room'!$A$15-('Control Room'!$B$15-1)/2)/MAX(0.5,'Control Room'!$B$15/4))^2),1)*IF(AND($A75&gt;='Control Room'!$A$16,$A75&lt;'Control Room'!$A$16+'Control Room'!$B$16,'Process'!BT5=1),1+('Control Room'!$C$16-1)*EXP(-0.5*(($A75-'Control Room'!$A$16-('Control Room'!$B$16-1)/2)/MAX(0.5,'Control Room'!$B$16/4))^2),1)</x:f>
        <x:v>1</x:v>
      </x:c>
      <x:c r="AZ75" s="9" t="n">
        <x:f>MOD(BA74*16807,2147483647)</x:f>
        <x:v>59508945</x:v>
      </x:c>
      <x:c r="BA75" s="9" t="n">
        <x:f>MOD(AZ75*16807,2147483647)</x:f>
        <x:v>1586942760</x:v>
      </x:c>
      <x:c r="BB75" s="17" t="n">
        <x:f>IF('Control Room'!$B$5="Normal",'Control Room'!$B$7+'Control Room'!$D$7*SQRT(-2*LN(MAX(0.000000000001,AZ75/2147483647)))*COS(2*PI()*BA75/2147483647),'Control Room'!$B$8+('Control Room'!$D$8-'Control Room'!$B$8)*AZ75/2147483647)</x:f>
        <x:v>983.3214333547419</x:v>
      </x:c>
      <x:c r="BC75" s="17" t="n">
        <x:f>IF('Control Room'!$B$5="Normal",'Control Room'!$B$7,('Control Room'!$B$8+'Control Room'!$D$8)/2)+'Control Room'!$B$9*(BC74-IF('Control Room'!$B$5="Normal",'Control Room'!$B$7,('Control Room'!$B$8+'Control Room'!$D$8)/2))+SQRT(1-'Control Room'!$B$9^2)*(BB75-IF('Control Room'!$B$5="Normal",'Control Room'!$B$7,('Control Room'!$B$8+'Control Room'!$D$8)/2))</x:f>
        <x:v>999.6274549867893</x:v>
      </x:c>
      <x:c r="BD75" s="17" t="n">
        <x:f>IF(AND($A75&gt;='Control Room'!$A$13,$A75&lt;'Control Room'!$A$13+'Control Room'!$B$13,'Process'!BU2=1),1+('Control Room'!$C$13-1)*EXP(-0.5*(($A75-'Control Room'!$A$13-('Control Room'!$B$13-1)/2)/MAX(0.5,'Control Room'!$B$13/4))^2),1)*IF(AND($A75&gt;='Control Room'!$A$14,$A75&lt;'Control Room'!$A$14+'Control Room'!$B$14,'Process'!BU3=1),1+('Control Room'!$C$14-1)*EXP(-0.5*(($A75-'Control Room'!$A$14-('Control Room'!$B$14-1)/2)/MAX(0.5,'Control Room'!$B$14/4))^2),1)*IF(AND($A75&gt;='Control Room'!$A$15,$A75&lt;'Control Room'!$A$15+'Control Room'!$B$15,'Process'!BU4=1),1+('Control Room'!$C$15-1)*EXP(-0.5*(($A75-'Control Room'!$A$15-('Control Room'!$B$15-1)/2)/MAX(0.5,'Control Room'!$B$15/4))^2),1)*IF(AND($A75&gt;='Control Room'!$A$16,$A75&lt;'Control Room'!$A$16+'Control Room'!$B$16,'Process'!BU5=1),1+('Control Room'!$C$16-1)*EXP(-0.5*(($A75-'Control Room'!$A$16-('Control Room'!$B$16-1)/2)/MAX(0.5,'Control Room'!$B$16/4))^2),1)</x:f>
        <x:v>1</x:v>
      </x:c>
      <x:c r="BE75" s="9" t="n">
        <x:f>MOD(BF74*16807,2147483647)</x:f>
        <x:v>1440005261</x:v>
      </x:c>
      <x:c r="BF75" s="9" t="n">
        <x:f>MOD(BE75*16807,2147483647)</x:f>
        <x:v>27719937</x:v>
      </x:c>
      <x:c r="BG75" s="17" t="n">
        <x:f>IF('Control Room'!$B$5="Normal",'Control Room'!$B$7+'Control Room'!$D$7*SQRT(-2*LN(MAX(0.000000000001,BE75/2147483647)))*COS(2*PI()*BF75/2147483647),'Control Room'!$B$8+('Control Room'!$D$8-'Control Room'!$B$8)*BE75/2147483647)</x:f>
        <x:v>1080.1987279134312</x:v>
      </x:c>
      <x:c r="BH75" s="17" t="n">
        <x:f>IF('Control Room'!$B$5="Normal",'Control Room'!$B$7,('Control Room'!$B$8+'Control Room'!$D$8)/2)+'Control Room'!$B$9*(BH74-IF('Control Room'!$B$5="Normal",'Control Room'!$B$7,('Control Room'!$B$8+'Control Room'!$D$8)/2))+SQRT(1-'Control Room'!$B$9^2)*(BG75-IF('Control Room'!$B$5="Normal",'Control Room'!$B$7,('Control Room'!$B$8+'Control Room'!$D$8)/2))</x:f>
        <x:v>1173.004531973064</x:v>
      </x:c>
      <x:c r="BI75" s="17" t="n">
        <x:f>IF(AND($A75&gt;='Control Room'!$A$13,$A75&lt;'Control Room'!$A$13+'Control Room'!$B$13,'Process'!BV2=1),1+('Control Room'!$C$13-1)*EXP(-0.5*(($A75-'Control Room'!$A$13-('Control Room'!$B$13-1)/2)/MAX(0.5,'Control Room'!$B$13/4))^2),1)*IF(AND($A75&gt;='Control Room'!$A$14,$A75&lt;'Control Room'!$A$14+'Control Room'!$B$14,'Process'!BV3=1),1+('Control Room'!$C$14-1)*EXP(-0.5*(($A75-'Control Room'!$A$14-('Control Room'!$B$14-1)/2)/MAX(0.5,'Control Room'!$B$14/4))^2),1)*IF(AND($A75&gt;='Control Room'!$A$15,$A75&lt;'Control Room'!$A$15+'Control Room'!$B$15,'Process'!BV4=1),1+('Control Room'!$C$15-1)*EXP(-0.5*(($A75-'Control Room'!$A$15-('Control Room'!$B$15-1)/2)/MAX(0.5,'Control Room'!$B$15/4))^2),1)*IF(AND($A75&gt;='Control Room'!$A$16,$A75&lt;'Control Room'!$A$16+'Control Room'!$B$16,'Process'!BV5=1),1+('Control Room'!$C$16-1)*EXP(-0.5*(($A75-'Control Room'!$A$16-('Control Room'!$B$16-1)/2)/MAX(0.5,'Control Room'!$B$16/4))^2),1)</x:f>
        <x:v>1</x:v>
      </x:c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Z75" t="str">
        <x:f>IF('Data'!A75="","",TEXT('Data'!A75,"mm-dd"))</x:f>
        <x:v>01-14</x:v>
      </x:c>
    </x:row>
    <x:row r="76" ht="21" customHeight="1">
      <x:c r="A76" s="15" t="n">
        <x:f>'Control Room'!$B$1+74</x:f>
        <x:v>73065</x:v>
      </x:c>
      <x:c r="B76" s="9" t="n">
        <x:f>MOD(C75*16807,2147483647)</x:f>
        <x:v>1150489780</x:v>
      </x:c>
      <x:c r="C76" s="9" t="n">
        <x:f>MOD(B76*16807,2147483647)</x:f>
        <x:v>338974872</x:v>
      </x:c>
      <x:c r="D76" s="17" t="n">
        <x:f>IF('Control Room'!$B$5="Normal",'Control Room'!$B$7+'Control Room'!$D$7*SQRT(-2*LN(MAX(0.000000000001,B76/2147483647)))*COS(2*PI()*C76/2147483647),'Control Room'!$B$8+('Control Room'!$D$8-'Control Room'!$B$8)*B76/2147483647)</x:f>
        <x:v>1055.021348491783</x:v>
      </x:c>
      <x:c r="E76" s="17" t="n">
        <x:f>IF('Control Room'!$B$5="Normal",'Control Room'!$B$7,('Control Room'!$B$8+'Control Room'!$D$8)/2)+'Control Room'!$B$9*(E75-IF('Control Room'!$B$5="Normal",'Control Room'!$B$7,('Control Room'!$B$8+'Control Room'!$D$8)/2))+SQRT(1-'Control Room'!$B$9^2)*(D76-IF('Control Room'!$B$5="Normal",'Control Room'!$B$7,('Control Room'!$B$8+'Control Room'!$D$8)/2))</x:f>
        <x:v>1131.7237845491836</x:v>
      </x:c>
      <x:c r="F76" s="17" t="n">
        <x:f>IF(AND($A76&gt;='Control Room'!$A$13,$A76&lt;'Control Room'!$A$13+'Control Room'!$B$13,'Process'!BK2=1),1+('Control Room'!$C$13-1)*EXP(-0.5*(($A76-'Control Room'!$A$13-('Control Room'!$B$13-1)/2)/MAX(0.5,'Control Room'!$B$13/4))^2),1)*IF(AND($A76&gt;='Control Room'!$A$14,$A76&lt;'Control Room'!$A$14+'Control Room'!$B$14,'Process'!BK3=1),1+('Control Room'!$C$14-1)*EXP(-0.5*(($A76-'Control Room'!$A$14-('Control Room'!$B$14-1)/2)/MAX(0.5,'Control Room'!$B$14/4))^2),1)*IF(AND($A76&gt;='Control Room'!$A$15,$A76&lt;'Control Room'!$A$15+'Control Room'!$B$15,'Process'!BK4=1),1+('Control Room'!$C$15-1)*EXP(-0.5*(($A76-'Control Room'!$A$15-('Control Room'!$B$15-1)/2)/MAX(0.5,'Control Room'!$B$15/4))^2),1)*IF(AND($A76&gt;='Control Room'!$A$16,$A76&lt;'Control Room'!$A$16+'Control Room'!$B$16,'Process'!BK5=1),1+('Control Room'!$C$16-1)*EXP(-0.5*(($A76-'Control Room'!$A$16-('Control Room'!$B$16-1)/2)/MAX(0.5,'Control Room'!$B$16/4))^2),1)</x:f>
        <x:v>1</x:v>
      </x:c>
      <x:c r="G76" s="9" t="n">
        <x:f>MOD(H75*16807,2147483647)</x:f>
        <x:v>1035447960</x:v>
      </x:c>
      <x:c r="H76" s="9" t="n">
        <x:f>MOD(G76*16807,2147483647)</x:f>
        <x:v>1713872079</x:v>
      </x:c>
      <x:c r="I76" s="17" t="n">
        <x:f>IF('Control Room'!$B$5="Normal",'Control Room'!$B$7+'Control Room'!$D$7*SQRT(-2*LN(MAX(0.000000000001,G76/2147483647)))*COS(2*PI()*H76/2147483647),'Control Room'!$B$8+('Control Room'!$D$8-'Control Room'!$B$8)*G76/2147483647)</x:f>
        <x:v>1032.3453133027942</x:v>
      </x:c>
      <x:c r="J76" s="17" t="n">
        <x:f>IF('Control Room'!$B$5="Normal",'Control Room'!$B$7,('Control Room'!$B$8+'Control Room'!$D$8)/2)+'Control Room'!$B$9*(J75-IF('Control Room'!$B$5="Normal",'Control Room'!$B$7,('Control Room'!$B$8+'Control Room'!$D$8)/2))+SQRT(1-'Control Room'!$B$9^2)*(I76-IF('Control Room'!$B$5="Normal",'Control Room'!$B$7,('Control Room'!$B$8+'Control Room'!$D$8)/2))</x:f>
        <x:v>986.8806028075725</x:v>
      </x:c>
      <x:c r="K76" s="17" t="n">
        <x:f>IF(AND($A76&gt;='Control Room'!$A$13,$A76&lt;'Control Room'!$A$13+'Control Room'!$B$13,'Process'!BL2=1),1+('Control Room'!$C$13-1)*EXP(-0.5*(($A76-'Control Room'!$A$13-('Control Room'!$B$13-1)/2)/MAX(0.5,'Control Room'!$B$13/4))^2),1)*IF(AND($A76&gt;='Control Room'!$A$14,$A76&lt;'Control Room'!$A$14+'Control Room'!$B$14,'Process'!BL3=1),1+('Control Room'!$C$14-1)*EXP(-0.5*(($A76-'Control Room'!$A$14-('Control Room'!$B$14-1)/2)/MAX(0.5,'Control Room'!$B$14/4))^2),1)*IF(AND($A76&gt;='Control Room'!$A$15,$A76&lt;'Control Room'!$A$15+'Control Room'!$B$15,'Process'!BL4=1),1+('Control Room'!$C$15-1)*EXP(-0.5*(($A76-'Control Room'!$A$15-('Control Room'!$B$15-1)/2)/MAX(0.5,'Control Room'!$B$15/4))^2),1)*IF(AND($A76&gt;='Control Room'!$A$16,$A76&lt;'Control Room'!$A$16+'Control Room'!$B$16,'Process'!BL5=1),1+('Control Room'!$C$16-1)*EXP(-0.5*(($A76-'Control Room'!$A$16-('Control Room'!$B$16-1)/2)/MAX(0.5,'Control Room'!$B$16/4))^2),1)</x:f>
        <x:v>1</x:v>
      </x:c>
      <x:c r="L76" s="9" t="n">
        <x:f>MOD(M75*16807,2147483647)</x:f>
        <x:v>920406140</x:v>
      </x:c>
      <x:c r="M76" s="9" t="n">
        <x:f>MOD(L76*16807,2147483647)</x:f>
        <x:v>941285639</x:v>
      </x:c>
      <x:c r="N76" s="17" t="n">
        <x:f>IF('Control Room'!$B$5="Normal",'Control Room'!$B$7+'Control Room'!$D$7*SQRT(-2*LN(MAX(0.000000000001,L76/2147483647)))*COS(2*PI()*M76/2147483647),'Control Room'!$B$8+('Control Room'!$D$8-'Control Room'!$B$8)*L76/2147483647)</x:f>
        <x:v>891.5334770366395</x:v>
      </x:c>
      <x:c r="O76" s="17" t="n">
        <x:f>IF('Control Room'!$B$5="Normal",'Control Room'!$B$7,('Control Room'!$B$8+'Control Room'!$D$8)/2)+'Control Room'!$B$9*(O75-IF('Control Room'!$B$5="Normal",'Control Room'!$B$7,('Control Room'!$B$8+'Control Room'!$D$8)/2))+SQRT(1-'Control Room'!$B$9^2)*(N76-IF('Control Room'!$B$5="Normal",'Control Room'!$B$7,('Control Room'!$B$8+'Control Room'!$D$8)/2))</x:f>
        <x:v>859.1942297892748</x:v>
      </x:c>
      <x:c r="P76" s="17" t="n">
        <x:f>IF(AND($A76&gt;='Control Room'!$A$13,$A76&lt;'Control Room'!$A$13+'Control Room'!$B$13,'Process'!BM2=1),1+('Control Room'!$C$13-1)*EXP(-0.5*(($A76-'Control Room'!$A$13-('Control Room'!$B$13-1)/2)/MAX(0.5,'Control Room'!$B$13/4))^2),1)*IF(AND($A76&gt;='Control Room'!$A$14,$A76&lt;'Control Room'!$A$14+'Control Room'!$B$14,'Process'!BM3=1),1+('Control Room'!$C$14-1)*EXP(-0.5*(($A76-'Control Room'!$A$14-('Control Room'!$B$14-1)/2)/MAX(0.5,'Control Room'!$B$14/4))^2),1)*IF(AND($A76&gt;='Control Room'!$A$15,$A76&lt;'Control Room'!$A$15+'Control Room'!$B$15,'Process'!BM4=1),1+('Control Room'!$C$15-1)*EXP(-0.5*(($A76-'Control Room'!$A$15-('Control Room'!$B$15-1)/2)/MAX(0.5,'Control Room'!$B$15/4))^2),1)*IF(AND($A76&gt;='Control Room'!$A$16,$A76&lt;'Control Room'!$A$16+'Control Room'!$B$16,'Process'!BM5=1),1+('Control Room'!$C$16-1)*EXP(-0.5*(($A76-'Control Room'!$A$16-('Control Room'!$B$16-1)/2)/MAX(0.5,'Control Room'!$B$16/4))^2),1)</x:f>
        <x:v>1</x:v>
      </x:c>
      <x:c r="Q76" s="9" t="n">
        <x:f>MOD(R75*16807,2147483647)</x:f>
        <x:v>805364320</x:v>
      </x:c>
      <x:c r="R76" s="9" t="n">
        <x:f>MOD(Q76*16807,2147483647)</x:f>
        <x:v>168699199</x:v>
      </x:c>
      <x:c r="S76" s="17" t="n">
        <x:f>IF('Control Room'!$B$5="Normal",'Control Room'!$B$7+'Control Room'!$D$7*SQRT(-2*LN(MAX(0.000000000001,Q76/2147483647)))*COS(2*PI()*R76/2147483647),'Control Room'!$B$8+('Control Room'!$D$8-'Control Room'!$B$8)*Q76/2147483647)</x:f>
        <x:v>1111.0034311447585</x:v>
      </x:c>
      <x:c r="T76" s="17" t="n">
        <x:f>IF('Control Room'!$B$5="Normal",'Control Room'!$B$7,('Control Room'!$B$8+'Control Room'!$D$8)/2)+'Control Room'!$B$9*(T75-IF('Control Room'!$B$5="Normal",'Control Room'!$B$7,('Control Room'!$B$8+'Control Room'!$D$8)/2))+SQRT(1-'Control Room'!$B$9^2)*(S76-IF('Control Room'!$B$5="Normal",'Control Room'!$B$7,('Control Room'!$B$8+'Control Room'!$D$8)/2))</x:f>
        <x:v>1094.6013042732218</x:v>
      </x:c>
      <x:c r="U76" s="17" t="n">
        <x:f>IF(AND($A76&gt;='Control Room'!$A$13,$A76&lt;'Control Room'!$A$13+'Control Room'!$B$13,'Process'!BN2=1),1+('Control Room'!$C$13-1)*EXP(-0.5*(($A76-'Control Room'!$A$13-('Control Room'!$B$13-1)/2)/MAX(0.5,'Control Room'!$B$13/4))^2),1)*IF(AND($A76&gt;='Control Room'!$A$14,$A76&lt;'Control Room'!$A$14+'Control Room'!$B$14,'Process'!BN3=1),1+('Control Room'!$C$14-1)*EXP(-0.5*(($A76-'Control Room'!$A$14-('Control Room'!$B$14-1)/2)/MAX(0.5,'Control Room'!$B$14/4))^2),1)*IF(AND($A76&gt;='Control Room'!$A$15,$A76&lt;'Control Room'!$A$15+'Control Room'!$B$15,'Process'!BN4=1),1+('Control Room'!$C$15-1)*EXP(-0.5*(($A76-'Control Room'!$A$15-('Control Room'!$B$15-1)/2)/MAX(0.5,'Control Room'!$B$15/4))^2),1)*IF(AND($A76&gt;='Control Room'!$A$16,$A76&lt;'Control Room'!$A$16+'Control Room'!$B$16,'Process'!BN5=1),1+('Control Room'!$C$16-1)*EXP(-0.5*(($A76-'Control Room'!$A$16-('Control Room'!$B$16-1)/2)/MAX(0.5,'Control Room'!$B$16/4))^2),1)</x:f>
        <x:v>1</x:v>
      </x:c>
      <x:c r="V76" s="9" t="n">
        <x:f>MOD(W75*16807,2147483647)</x:f>
        <x:v>690322500</x:v>
      </x:c>
      <x:c r="W76" s="9" t="n">
        <x:f>MOD(V76*16807,2147483647)</x:f>
        <x:v>1543596406</x:v>
      </x:c>
      <x:c r="X76" s="17" t="n">
        <x:f>IF('Control Room'!$B$5="Normal",'Control Room'!$B$7+'Control Room'!$D$7*SQRT(-2*LN(MAX(0.000000000001,V76/2147483647)))*COS(2*PI()*W76/2147483647),'Control Room'!$B$8+('Control Room'!$D$8-'Control Room'!$B$8)*V76/2147483647)</x:f>
        <x:v>973.5832624672913</x:v>
      </x:c>
      <x:c r="Y76" s="17" t="n">
        <x:f>IF('Control Room'!$B$5="Normal",'Control Room'!$B$7,('Control Room'!$B$8+'Control Room'!$D$8)/2)+'Control Room'!$B$9*(Y75-IF('Control Room'!$B$5="Normal",'Control Room'!$B$7,('Control Room'!$B$8+'Control Room'!$D$8)/2))+SQRT(1-'Control Room'!$B$9^2)*(X76-IF('Control Room'!$B$5="Normal",'Control Room'!$B$7,('Control Room'!$B$8+'Control Room'!$D$8)/2))</x:f>
        <x:v>1187.2805607853368</x:v>
      </x:c>
      <x:c r="Z76" s="17" t="n">
        <x:f>IF(AND($A76&gt;='Control Room'!$A$13,$A76&lt;'Control Room'!$A$13+'Control Room'!$B$13,'Process'!BO2=1),1+('Control Room'!$C$13-1)*EXP(-0.5*(($A76-'Control Room'!$A$13-('Control Room'!$B$13-1)/2)/MAX(0.5,'Control Room'!$B$13/4))^2),1)*IF(AND($A76&gt;='Control Room'!$A$14,$A76&lt;'Control Room'!$A$14+'Control Room'!$B$14,'Process'!BO3=1),1+('Control Room'!$C$14-1)*EXP(-0.5*(($A76-'Control Room'!$A$14-('Control Room'!$B$14-1)/2)/MAX(0.5,'Control Room'!$B$14/4))^2),1)*IF(AND($A76&gt;='Control Room'!$A$15,$A76&lt;'Control Room'!$A$15+'Control Room'!$B$15,'Process'!BO4=1),1+('Control Room'!$C$15-1)*EXP(-0.5*(($A76-'Control Room'!$A$15-('Control Room'!$B$15-1)/2)/MAX(0.5,'Control Room'!$B$15/4))^2),1)*IF(AND($A76&gt;='Control Room'!$A$16,$A76&lt;'Control Room'!$A$16+'Control Room'!$B$16,'Process'!BO5=1),1+('Control Room'!$C$16-1)*EXP(-0.5*(($A76-'Control Room'!$A$16-('Control Room'!$B$16-1)/2)/MAX(0.5,'Control Room'!$B$16/4))^2),1)</x:f>
        <x:v>1</x:v>
      </x:c>
      <x:c r="AA76" s="9" t="n">
        <x:f>MOD(AB75*16807,2147483647)</x:f>
        <x:v>575280680</x:v>
      </x:c>
      <x:c r="AB76" s="9" t="n">
        <x:f>MOD(AA76*16807,2147483647)</x:f>
        <x:v>771009966</x:v>
      </x:c>
      <x:c r="AC76" s="17" t="n">
        <x:f>IF('Control Room'!$B$5="Normal",'Control Room'!$B$7+'Control Room'!$D$7*SQRT(-2*LN(MAX(0.000000000001,AA76/2147483647)))*COS(2*PI()*AB76/2147483647),'Control Room'!$B$8+('Control Room'!$D$8-'Control Room'!$B$8)*AA76/2147483647)</x:f>
        <x:v>907.5749705518728</x:v>
      </x:c>
      <x:c r="AD76" s="17" t="n">
        <x:f>IF('Control Room'!$B$5="Normal",'Control Room'!$B$7,('Control Room'!$B$8+'Control Room'!$D$8)/2)+'Control Room'!$B$9*(AD75-IF('Control Room'!$B$5="Normal",'Control Room'!$B$7,('Control Room'!$B$8+'Control Room'!$D$8)/2))+SQRT(1-'Control Room'!$B$9^2)*(AC76-IF('Control Room'!$B$5="Normal",'Control Room'!$B$7,('Control Room'!$B$8+'Control Room'!$D$8)/2))</x:f>
        <x:v>952.4885792951037</x:v>
      </x:c>
      <x:c r="AE76" s="17" t="n">
        <x:f>IF(AND($A76&gt;='Control Room'!$A$13,$A76&lt;'Control Room'!$A$13+'Control Room'!$B$13,'Process'!BP2=1),1+('Control Room'!$C$13-1)*EXP(-0.5*(($A76-'Control Room'!$A$13-('Control Room'!$B$13-1)/2)/MAX(0.5,'Control Room'!$B$13/4))^2),1)*IF(AND($A76&gt;='Control Room'!$A$14,$A76&lt;'Control Room'!$A$14+'Control Room'!$B$14,'Process'!BP3=1),1+('Control Room'!$C$14-1)*EXP(-0.5*(($A76-'Control Room'!$A$14-('Control Room'!$B$14-1)/2)/MAX(0.5,'Control Room'!$B$14/4))^2),1)*IF(AND($A76&gt;='Control Room'!$A$15,$A76&lt;'Control Room'!$A$15+'Control Room'!$B$15,'Process'!BP4=1),1+('Control Room'!$C$15-1)*EXP(-0.5*(($A76-'Control Room'!$A$15-('Control Room'!$B$15-1)/2)/MAX(0.5,'Control Room'!$B$15/4))^2),1)*IF(AND($A76&gt;='Control Room'!$A$16,$A76&lt;'Control Room'!$A$16+'Control Room'!$B$16,'Process'!BP5=1),1+('Control Room'!$C$16-1)*EXP(-0.5*(($A76-'Control Room'!$A$16-('Control Room'!$B$16-1)/2)/MAX(0.5,'Control Room'!$B$16/4))^2),1)</x:f>
        <x:v>1</x:v>
      </x:c>
      <x:c r="AF76" s="9" t="n">
        <x:f>MOD(AG75*16807,2147483647)</x:f>
        <x:v>460238860</x:v>
      </x:c>
      <x:c r="AG76" s="9" t="n">
        <x:f>MOD(AF76*16807,2147483647)</x:f>
        <x:v>2145907173</x:v>
      </x:c>
      <x:c r="AH76" s="17" t="n">
        <x:f>IF('Control Room'!$B$5="Normal",'Control Room'!$B$7+'Control Room'!$D$7*SQRT(-2*LN(MAX(0.000000000001,AF76/2147483647)))*COS(2*PI()*AG76/2147483647),'Control Room'!$B$8+('Control Room'!$D$8-'Control Room'!$B$8)*AF76/2147483647)</x:f>
        <x:v>1157.9633919067226</x:v>
      </x:c>
      <x:c r="AI76" s="17" t="n">
        <x:f>IF('Control Room'!$B$5="Normal",'Control Room'!$B$7,('Control Room'!$B$8+'Control Room'!$D$8)/2)+'Control Room'!$B$9*(AI75-IF('Control Room'!$B$5="Normal",'Control Room'!$B$7,('Control Room'!$B$8+'Control Room'!$D$8)/2))+SQRT(1-'Control Room'!$B$9^2)*(AH76-IF('Control Room'!$B$5="Normal",'Control Room'!$B$7,('Control Room'!$B$8+'Control Room'!$D$8)/2))</x:f>
        <x:v>1068.7293954330933</x:v>
      </x:c>
      <x:c r="AJ76" s="17" t="n">
        <x:f>IF(AND($A76&gt;='Control Room'!$A$13,$A76&lt;'Control Room'!$A$13+'Control Room'!$B$13,'Process'!BQ2=1),1+('Control Room'!$C$13-1)*EXP(-0.5*(($A76-'Control Room'!$A$13-('Control Room'!$B$13-1)/2)/MAX(0.5,'Control Room'!$B$13/4))^2),1)*IF(AND($A76&gt;='Control Room'!$A$14,$A76&lt;'Control Room'!$A$14+'Control Room'!$B$14,'Process'!BQ3=1),1+('Control Room'!$C$14-1)*EXP(-0.5*(($A76-'Control Room'!$A$14-('Control Room'!$B$14-1)/2)/MAX(0.5,'Control Room'!$B$14/4))^2),1)*IF(AND($A76&gt;='Control Room'!$A$15,$A76&lt;'Control Room'!$A$15+'Control Room'!$B$15,'Process'!BQ4=1),1+('Control Room'!$C$15-1)*EXP(-0.5*(($A76-'Control Room'!$A$15-('Control Room'!$B$15-1)/2)/MAX(0.5,'Control Room'!$B$15/4))^2),1)*IF(AND($A76&gt;='Control Room'!$A$16,$A76&lt;'Control Room'!$A$16+'Control Room'!$B$16,'Process'!BQ5=1),1+('Control Room'!$C$16-1)*EXP(-0.5*(($A76-'Control Room'!$A$16-('Control Room'!$B$16-1)/2)/MAX(0.5,'Control Room'!$B$16/4))^2),1)</x:f>
        <x:v>1</x:v>
      </x:c>
      <x:c r="AK76" s="9" t="n">
        <x:f>MOD(AL75*16807,2147483647)</x:f>
        <x:v>345197040</x:v>
      </x:c>
      <x:c r="AL76" s="9" t="n">
        <x:f>MOD(AK76*16807,2147483647)</x:f>
        <x:v>1373320733</x:v>
      </x:c>
      <x:c r="AM76" s="17" t="n">
        <x:f>IF('Control Room'!$B$5="Normal",'Control Room'!$B$7+'Control Room'!$D$7*SQRT(-2*LN(MAX(0.000000000001,AK76/2147483647)))*COS(2*PI()*AL76/2147483647),'Control Room'!$B$8+('Control Room'!$D$8-'Control Room'!$B$8)*AK76/2147483647)</x:f>
        <x:v>889.8960427998668</x:v>
      </x:c>
      <x:c r="AN76" s="17" t="n">
        <x:f>IF('Control Room'!$B$5="Normal",'Control Room'!$B$7,('Control Room'!$B$8+'Control Room'!$D$8)/2)+'Control Room'!$B$9*(AN75-IF('Control Room'!$B$5="Normal",'Control Room'!$B$7,('Control Room'!$B$8+'Control Room'!$D$8)/2))+SQRT(1-'Control Room'!$B$9^2)*(AM76-IF('Control Room'!$B$5="Normal",'Control Room'!$B$7,('Control Room'!$B$8+'Control Room'!$D$8)/2))</x:f>
        <x:v>1097.539783272614</x:v>
      </x:c>
      <x:c r="AO76" s="17" t="n">
        <x:f>IF(AND($A76&gt;='Control Room'!$A$13,$A76&lt;'Control Room'!$A$13+'Control Room'!$B$13,'Process'!BR2=1),1+('Control Room'!$C$13-1)*EXP(-0.5*(($A76-'Control Room'!$A$13-('Control Room'!$B$13-1)/2)/MAX(0.5,'Control Room'!$B$13/4))^2),1)*IF(AND($A76&gt;='Control Room'!$A$14,$A76&lt;'Control Room'!$A$14+'Control Room'!$B$14,'Process'!BR3=1),1+('Control Room'!$C$14-1)*EXP(-0.5*(($A76-'Control Room'!$A$14-('Control Room'!$B$14-1)/2)/MAX(0.5,'Control Room'!$B$14/4))^2),1)*IF(AND($A76&gt;='Control Room'!$A$15,$A76&lt;'Control Room'!$A$15+'Control Room'!$B$15,'Process'!BR4=1),1+('Control Room'!$C$15-1)*EXP(-0.5*(($A76-'Control Room'!$A$15-('Control Room'!$B$15-1)/2)/MAX(0.5,'Control Room'!$B$15/4))^2),1)*IF(AND($A76&gt;='Control Room'!$A$16,$A76&lt;'Control Room'!$A$16+'Control Room'!$B$16,'Process'!BR5=1),1+('Control Room'!$C$16-1)*EXP(-0.5*(($A76-'Control Room'!$A$16-('Control Room'!$B$16-1)/2)/MAX(0.5,'Control Room'!$B$16/4))^2),1)</x:f>
        <x:v>1</x:v>
      </x:c>
      <x:c r="AP76" s="9" t="n">
        <x:f>MOD(AQ75*16807,2147483647)</x:f>
        <x:v>230155220</x:v>
      </x:c>
      <x:c r="AQ76" s="9" t="n">
        <x:f>MOD(AP76*16807,2147483647)</x:f>
        <x:v>600734293</x:v>
      </x:c>
      <x:c r="AR76" s="17" t="n">
        <x:f>IF('Control Room'!$B$5="Normal",'Control Room'!$B$7+'Control Room'!$D$7*SQRT(-2*LN(MAX(0.000000000001,AP76/2147483647)))*COS(2*PI()*AQ76/2147483647),'Control Room'!$B$8+('Control Room'!$D$8-'Control Room'!$B$8)*AP76/2147483647)</x:f>
        <x:v>964.6652002803507</x:v>
      </x:c>
      <x:c r="AS76" s="17" t="n">
        <x:f>IF('Control Room'!$B$5="Normal",'Control Room'!$B$7,('Control Room'!$B$8+'Control Room'!$D$8)/2)+'Control Room'!$B$9*(AS75-IF('Control Room'!$B$5="Normal",'Control Room'!$B$7,('Control Room'!$B$8+'Control Room'!$D$8)/2))+SQRT(1-'Control Room'!$B$9^2)*(AR76-IF('Control Room'!$B$5="Normal",'Control Room'!$B$7,('Control Room'!$B$8+'Control Room'!$D$8)/2))</x:f>
        <x:v>1083.9308748196966</x:v>
      </x:c>
      <x:c r="AT76" s="17" t="n">
        <x:f>IF(AND($A76&gt;='Control Room'!$A$13,$A76&lt;'Control Room'!$A$13+'Control Room'!$B$13,'Process'!BS2=1),1+('Control Room'!$C$13-1)*EXP(-0.5*(($A76-'Control Room'!$A$13-('Control Room'!$B$13-1)/2)/MAX(0.5,'Control Room'!$B$13/4))^2),1)*IF(AND($A76&gt;='Control Room'!$A$14,$A76&lt;'Control Room'!$A$14+'Control Room'!$B$14,'Process'!BS3=1),1+('Control Room'!$C$14-1)*EXP(-0.5*(($A76-'Control Room'!$A$14-('Control Room'!$B$14-1)/2)/MAX(0.5,'Control Room'!$B$14/4))^2),1)*IF(AND($A76&gt;='Control Room'!$A$15,$A76&lt;'Control Room'!$A$15+'Control Room'!$B$15,'Process'!BS4=1),1+('Control Room'!$C$15-1)*EXP(-0.5*(($A76-'Control Room'!$A$15-('Control Room'!$B$15-1)/2)/MAX(0.5,'Control Room'!$B$15/4))^2),1)*IF(AND($A76&gt;='Control Room'!$A$16,$A76&lt;'Control Room'!$A$16+'Control Room'!$B$16,'Process'!BS5=1),1+('Control Room'!$C$16-1)*EXP(-0.5*(($A76-'Control Room'!$A$16-('Control Room'!$B$16-1)/2)/MAX(0.5,'Control Room'!$B$16/4))^2),1)</x:f>
        <x:v>1</x:v>
      </x:c>
      <x:c r="AU76" s="9" t="n">
        <x:f>MOD(AV75*16807,2147483647)</x:f>
        <x:v>115113400</x:v>
      </x:c>
      <x:c r="AV76" s="9" t="n">
        <x:f>MOD(AU76*16807,2147483647)</x:f>
        <x:v>1975631500</x:v>
      </x:c>
      <x:c r="AW76" s="17" t="n">
        <x:f>IF('Control Room'!$B$5="Normal",'Control Room'!$B$7+'Control Room'!$D$7*SQRT(-2*LN(MAX(0.000000000001,AU76/2147483647)))*COS(2*PI()*AV76/2147483647),'Control Room'!$B$8+('Control Room'!$D$8-'Control Room'!$B$8)*AU76/2147483647)</x:f>
        <x:v>1190.7758552556359</x:v>
      </x:c>
      <x:c r="AX76" s="17" t="n">
        <x:f>IF('Control Room'!$B$5="Normal",'Control Room'!$B$7,('Control Room'!$B$8+'Control Room'!$D$8)/2)+'Control Room'!$B$9*(AX75-IF('Control Room'!$B$5="Normal",'Control Room'!$B$7,('Control Room'!$B$8+'Control Room'!$D$8)/2))+SQRT(1-'Control Room'!$B$9^2)*(AW76-IF('Control Room'!$B$5="Normal",'Control Room'!$B$7,('Control Room'!$B$8+'Control Room'!$D$8)/2))</x:f>
        <x:v>1062.894824177205</x:v>
      </x:c>
      <x:c r="AY76" s="17" t="n">
        <x:f>IF(AND($A76&gt;='Control Room'!$A$13,$A76&lt;'Control Room'!$A$13+'Control Room'!$B$13,'Process'!BT2=1),1+('Control Room'!$C$13-1)*EXP(-0.5*(($A76-'Control Room'!$A$13-('Control Room'!$B$13-1)/2)/MAX(0.5,'Control Room'!$B$13/4))^2),1)*IF(AND($A76&gt;='Control Room'!$A$14,$A76&lt;'Control Room'!$A$14+'Control Room'!$B$14,'Process'!BT3=1),1+('Control Room'!$C$14-1)*EXP(-0.5*(($A76-'Control Room'!$A$14-('Control Room'!$B$14-1)/2)/MAX(0.5,'Control Room'!$B$14/4))^2),1)*IF(AND($A76&gt;='Control Room'!$A$15,$A76&lt;'Control Room'!$A$15+'Control Room'!$B$15,'Process'!BT4=1),1+('Control Room'!$C$15-1)*EXP(-0.5*(($A76-'Control Room'!$A$15-('Control Room'!$B$15-1)/2)/MAX(0.5,'Control Room'!$B$15/4))^2),1)*IF(AND($A76&gt;='Control Room'!$A$16,$A76&lt;'Control Room'!$A$16+'Control Room'!$B$16,'Process'!BT5=1),1+('Control Room'!$C$16-1)*EXP(-0.5*(($A76-'Control Room'!$A$16-('Control Room'!$B$16-1)/2)/MAX(0.5,'Control Room'!$B$16/4))^2),1)</x:f>
        <x:v>1</x:v>
      </x:c>
      <x:c r="AZ76" s="9" t="n">
        <x:f>MOD(BA75*16807,2147483647)</x:f>
        <x:v>71580</x:v>
      </x:c>
      <x:c r="BA76" s="9" t="n">
        <x:f>MOD(AZ76*16807,2147483647)</x:f>
        <x:v>1203045060</x:v>
      </x:c>
      <x:c r="BB76" s="17" t="n">
        <x:f>IF('Control Room'!$B$5="Normal",'Control Room'!$B$7+'Control Room'!$D$7*SQRT(-2*LN(MAX(0.000000000001,AZ76/2147483647)))*COS(2*PI()*BA76/2147483647),'Control Room'!$B$8+('Control Room'!$D$8-'Control Room'!$B$8)*AZ76/2147483647)</x:f>
        <x:v>620.2347694467834</x:v>
      </x:c>
      <x:c r="BC76" s="17" t="n">
        <x:f>IF('Control Room'!$B$5="Normal",'Control Room'!$B$7,('Control Room'!$B$8+'Control Room'!$D$8)/2)+'Control Room'!$B$9*(BC75-IF('Control Room'!$B$5="Normal",'Control Room'!$B$7,('Control Room'!$B$8+'Control Room'!$D$8)/2))+SQRT(1-'Control Room'!$B$9^2)*(BB76-IF('Control Room'!$B$5="Normal",'Control Room'!$B$7,('Control Room'!$B$8+'Control Room'!$D$8)/2))</x:f>
        <x:v>762.0601135231166</x:v>
      </x:c>
      <x:c r="BD76" s="17" t="n">
        <x:f>IF(AND($A76&gt;='Control Room'!$A$13,$A76&lt;'Control Room'!$A$13+'Control Room'!$B$13,'Process'!BU2=1),1+('Control Room'!$C$13-1)*EXP(-0.5*(($A76-'Control Room'!$A$13-('Control Room'!$B$13-1)/2)/MAX(0.5,'Control Room'!$B$13/4))^2),1)*IF(AND($A76&gt;='Control Room'!$A$14,$A76&lt;'Control Room'!$A$14+'Control Room'!$B$14,'Process'!BU3=1),1+('Control Room'!$C$14-1)*EXP(-0.5*(($A76-'Control Room'!$A$14-('Control Room'!$B$14-1)/2)/MAX(0.5,'Control Room'!$B$14/4))^2),1)*IF(AND($A76&gt;='Control Room'!$A$15,$A76&lt;'Control Room'!$A$15+'Control Room'!$B$15,'Process'!BU4=1),1+('Control Room'!$C$15-1)*EXP(-0.5*(($A76-'Control Room'!$A$15-('Control Room'!$B$15-1)/2)/MAX(0.5,'Control Room'!$B$15/4))^2),1)*IF(AND($A76&gt;='Control Room'!$A$16,$A76&lt;'Control Room'!$A$16+'Control Room'!$B$16,'Process'!BU5=1),1+('Control Room'!$C$16-1)*EXP(-0.5*(($A76-'Control Room'!$A$16-('Control Room'!$B$16-1)/2)/MAX(0.5,'Control Room'!$B$16/4))^2),1)</x:f>
        <x:v>1</x:v>
      </x:c>
      <x:c r="BE76" s="9" t="n">
        <x:f>MOD(BF75*16807,2147483647)</x:f>
        <x:v>2032513407</x:v>
      </x:c>
      <x:c r="BF76" s="9" t="n">
        <x:f>MOD(BE76*16807,2147483647)</x:f>
        <x:v>430458620</x:v>
      </x:c>
      <x:c r="BG76" s="17" t="n">
        <x:f>IF('Control Room'!$B$5="Normal",'Control Room'!$B$7+'Control Room'!$D$7*SQRT(-2*LN(MAX(0.000000000001,BE76/2147483647)))*COS(2*PI()*BF76/2147483647),'Control Room'!$B$8+('Control Room'!$D$8-'Control Room'!$B$8)*BE76/2147483647)</x:f>
        <x:v>1009.1460708798348</x:v>
      </x:c>
      <x:c r="BH76" s="17" t="n">
        <x:f>IF('Control Room'!$B$5="Normal",'Control Room'!$B$7,('Control Room'!$B$8+'Control Room'!$D$8)/2)+'Control Room'!$B$9*(BH75-IF('Control Room'!$B$5="Normal",'Control Room'!$B$7,('Control Room'!$B$8+'Control Room'!$D$8)/2))+SQRT(1-'Control Room'!$B$9^2)*(BG76-IF('Control Room'!$B$5="Normal",'Control Room'!$B$7,('Control Room'!$B$8+'Control Room'!$D$8)/2))</x:f>
        <x:v>1140.6669587281444</x:v>
      </x:c>
      <x:c r="BI76" s="17" t="n">
        <x:f>IF(AND($A76&gt;='Control Room'!$A$13,$A76&lt;'Control Room'!$A$13+'Control Room'!$B$13,'Process'!BV2=1),1+('Control Room'!$C$13-1)*EXP(-0.5*(($A76-'Control Room'!$A$13-('Control Room'!$B$13-1)/2)/MAX(0.5,'Control Room'!$B$13/4))^2),1)*IF(AND($A76&gt;='Control Room'!$A$14,$A76&lt;'Control Room'!$A$14+'Control Room'!$B$14,'Process'!BV3=1),1+('Control Room'!$C$14-1)*EXP(-0.5*(($A76-'Control Room'!$A$14-('Control Room'!$B$14-1)/2)/MAX(0.5,'Control Room'!$B$14/4))^2),1)*IF(AND($A76&gt;='Control Room'!$A$15,$A76&lt;'Control Room'!$A$15+'Control Room'!$B$15,'Process'!BV4=1),1+('Control Room'!$C$15-1)*EXP(-0.5*(($A76-'Control Room'!$A$15-('Control Room'!$B$15-1)/2)/MAX(0.5,'Control Room'!$B$15/4))^2),1)*IF(AND($A76&gt;='Control Room'!$A$16,$A76&lt;'Control Room'!$A$16+'Control Room'!$B$16,'Process'!BV5=1),1+('Control Room'!$C$16-1)*EXP(-0.5*(($A76-'Control Room'!$A$16-('Control Room'!$B$16-1)/2)/MAX(0.5,'Control Room'!$B$16/4))^2),1)</x:f>
        <x:v>1</x:v>
      </x:c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Z76" t="str">
        <x:f>IF('Data'!A76="","",TEXT('Data'!A76,"mm-dd"))</x:f>
        <x:v>01-15</x:v>
      </x:c>
    </x:row>
    <x:row r="77" ht="21" customHeight="1">
      <x:c r="A77" s="15" t="n">
        <x:f>'Control Room'!$B$1+75</x:f>
        <x:v>73066</x:v>
      </x:c>
      <x:c r="B77" s="9" t="n">
        <x:f>MOD(C76*16807,2147483647)</x:f>
        <x:v>2024041860</x:v>
      </x:c>
      <x:c r="C77" s="9" t="n">
        <x:f>MOD(B77*16807,2147483647)</x:f>
        <x:v>1930572540</x:v>
      </x:c>
      <x:c r="D77" s="17" t="n">
        <x:f>IF('Control Room'!$B$5="Normal",'Control Room'!$B$7+'Control Room'!$D$7*SQRT(-2*LN(MAX(0.000000000001,B77/2147483647)))*COS(2*PI()*C77/2147483647),'Control Room'!$B$8+('Control Room'!$D$8-'Control Room'!$B$8)*B77/2147483647)</x:f>
        <x:v>1024.938322514181</x:v>
      </x:c>
      <x:c r="E77" s="17" t="n">
        <x:f>IF('Control Room'!$B$5="Normal",'Control Room'!$B$7,('Control Room'!$B$8+'Control Room'!$D$8)/2)+'Control Room'!$B$9*(E76-IF('Control Room'!$B$5="Normal",'Control Room'!$B$7,('Control Room'!$B$8+'Control Room'!$D$8)/2))+SQRT(1-'Control Room'!$B$9^2)*(D77-IF('Control Room'!$B$5="Normal",'Control Room'!$B$7,('Control Room'!$B$8+'Control Room'!$D$8)/2))</x:f>
        <x:v>1118.3504432884317</x:v>
      </x:c>
      <x:c r="F77" s="17" t="n">
        <x:f>IF(AND($A77&gt;='Control Room'!$A$13,$A77&lt;'Control Room'!$A$13+'Control Room'!$B$13,'Process'!BK2=1),1+('Control Room'!$C$13-1)*EXP(-0.5*(($A77-'Control Room'!$A$13-('Control Room'!$B$13-1)/2)/MAX(0.5,'Control Room'!$B$13/4))^2),1)*IF(AND($A77&gt;='Control Room'!$A$14,$A77&lt;'Control Room'!$A$14+'Control Room'!$B$14,'Process'!BK3=1),1+('Control Room'!$C$14-1)*EXP(-0.5*(($A77-'Control Room'!$A$14-('Control Room'!$B$14-1)/2)/MAX(0.5,'Control Room'!$B$14/4))^2),1)*IF(AND($A77&gt;='Control Room'!$A$15,$A77&lt;'Control Room'!$A$15+'Control Room'!$B$15,'Process'!BK4=1),1+('Control Room'!$C$15-1)*EXP(-0.5*(($A77-'Control Room'!$A$15-('Control Room'!$B$15-1)/2)/MAX(0.5,'Control Room'!$B$15/4))^2),1)*IF(AND($A77&gt;='Control Room'!$A$16,$A77&lt;'Control Room'!$A$16+'Control Room'!$B$16,'Process'!BK5=1),1+('Control Room'!$C$16-1)*EXP(-0.5*(($A77-'Control Room'!$A$16-('Control Room'!$B$16-1)/2)/MAX(0.5,'Control Room'!$B$16/4))^2),1)</x:f>
        <x:v>1</x:v>
      </x:c>
      <x:c r="G77" s="9" t="n">
        <x:f>MOD(H76*16807,2147483647)</x:f>
        <x:v>849874542</x:v>
      </x:c>
      <x:c r="H77" s="9" t="n">
        <x:f>MOD(G77*16807,2147483647)</x:f>
        <x:v>927691197</x:v>
      </x:c>
      <x:c r="I77" s="17" t="n">
        <x:f>IF('Control Room'!$B$5="Normal",'Control Room'!$B$7+'Control Room'!$D$7*SQRT(-2*LN(MAX(0.000000000001,G77/2147483647)))*COS(2*PI()*H77/2147483647),'Control Room'!$B$8+('Control Room'!$D$8-'Control Room'!$B$8)*G77/2147483647)</x:f>
        <x:v>888.4760449738352</x:v>
      </x:c>
      <x:c r="J77" s="17" t="n">
        <x:f>IF('Control Room'!$B$5="Normal",'Control Room'!$B$7,('Control Room'!$B$8+'Control Room'!$D$8)/2)+'Control Room'!$B$9*(J76-IF('Control Room'!$B$5="Normal",'Control Room'!$B$7,('Control Room'!$B$8+'Control Room'!$D$8)/2))+SQRT(1-'Control Room'!$B$9^2)*(I77-IF('Control Room'!$B$5="Normal",'Control Room'!$B$7,('Control Room'!$B$8+'Control Room'!$D$8)/2))</x:f>
        <x:v>919.9774638269354</x:v>
      </x:c>
      <x:c r="K77" s="17" t="n">
        <x:f>IF(AND($A77&gt;='Control Room'!$A$13,$A77&lt;'Control Room'!$A$13+'Control Room'!$B$13,'Process'!BL2=1),1+('Control Room'!$C$13-1)*EXP(-0.5*(($A77-'Control Room'!$A$13-('Control Room'!$B$13-1)/2)/MAX(0.5,'Control Room'!$B$13/4))^2),1)*IF(AND($A77&gt;='Control Room'!$A$14,$A77&lt;'Control Room'!$A$14+'Control Room'!$B$14,'Process'!BL3=1),1+('Control Room'!$C$14-1)*EXP(-0.5*(($A77-'Control Room'!$A$14-('Control Room'!$B$14-1)/2)/MAX(0.5,'Control Room'!$B$14/4))^2),1)*IF(AND($A77&gt;='Control Room'!$A$15,$A77&lt;'Control Room'!$A$15+'Control Room'!$B$15,'Process'!BL4=1),1+('Control Room'!$C$15-1)*EXP(-0.5*(($A77-'Control Room'!$A$15-('Control Room'!$B$15-1)/2)/MAX(0.5,'Control Room'!$B$15/4))^2),1)*IF(AND($A77&gt;='Control Room'!$A$16,$A77&lt;'Control Room'!$A$16+'Control Room'!$B$16,'Process'!BL5=1),1+('Control Room'!$C$16-1)*EXP(-0.5*(($A77-'Control Room'!$A$16-('Control Room'!$B$16-1)/2)/MAX(0.5,'Control Room'!$B$16/4))^2),1)</x:f>
        <x:v>1</x:v>
      </x:c>
      <x:c r="L77" s="9" t="n">
        <x:f>MOD(M76*16807,2147483647)</x:f>
        <x:v>1823190871</x:v>
      </x:c>
      <x:c r="M77" s="9" t="n">
        <x:f>MOD(L77*16807,2147483647)</x:f>
        <x:v>2072293501</x:v>
      </x:c>
      <x:c r="N77" s="17" t="n">
        <x:f>IF('Control Room'!$B$5="Normal",'Control Room'!$B$7+'Control Room'!$D$7*SQRT(-2*LN(MAX(0.000000000001,L77/2147483647)))*COS(2*PI()*M77/2147483647),'Control Room'!$B$8+('Control Room'!$D$8-'Control Room'!$B$8)*L77/2147483647)</x:f>
        <x:v>1050.2571634668043</x:v>
      </x:c>
      <x:c r="O77" s="17" t="n">
        <x:f>IF('Control Room'!$B$5="Normal",'Control Room'!$B$7,('Control Room'!$B$8+'Control Room'!$D$8)/2)+'Control Room'!$B$9*(O76-IF('Control Room'!$B$5="Normal",'Control Room'!$B$7,('Control Room'!$B$8+'Control Room'!$D$8)/2))+SQRT(1-'Control Room'!$B$9^2)*(N77-IF('Control Room'!$B$5="Normal",'Control Room'!$B$7,('Control Room'!$B$8+'Control Room'!$D$8)/2))</x:f>
        <x:v>921.6214025592045</x:v>
      </x:c>
      <x:c r="P77" s="17" t="n">
        <x:f>IF(AND($A77&gt;='Control Room'!$A$13,$A77&lt;'Control Room'!$A$13+'Control Room'!$B$13,'Process'!BM2=1),1+('Control Room'!$C$13-1)*EXP(-0.5*(($A77-'Control Room'!$A$13-('Control Room'!$B$13-1)/2)/MAX(0.5,'Control Room'!$B$13/4))^2),1)*IF(AND($A77&gt;='Control Room'!$A$14,$A77&lt;'Control Room'!$A$14+'Control Room'!$B$14,'Process'!BM3=1),1+('Control Room'!$C$14-1)*EXP(-0.5*(($A77-'Control Room'!$A$14-('Control Room'!$B$14-1)/2)/MAX(0.5,'Control Room'!$B$14/4))^2),1)*IF(AND($A77&gt;='Control Room'!$A$15,$A77&lt;'Control Room'!$A$15+'Control Room'!$B$15,'Process'!BM4=1),1+('Control Room'!$C$15-1)*EXP(-0.5*(($A77-'Control Room'!$A$15-('Control Room'!$B$15-1)/2)/MAX(0.5,'Control Room'!$B$15/4))^2),1)*IF(AND($A77&gt;='Control Room'!$A$16,$A77&lt;'Control Room'!$A$16+'Control Room'!$B$16,'Process'!BM5=1),1+('Control Room'!$C$16-1)*EXP(-0.5*(($A77-'Control Room'!$A$16-('Control Room'!$B$16-1)/2)/MAX(0.5,'Control Room'!$B$16/4))^2),1)</x:f>
        <x:v>1</x:v>
      </x:c>
      <x:c r="Q77" s="9" t="n">
        <x:f>MOD(R76*16807,2147483647)</x:f>
        <x:v>649023553</x:v>
      </x:c>
      <x:c r="R77" s="9" t="n">
        <x:f>MOD(Q77*16807,2147483647)</x:f>
        <x:v>1069412158</x:v>
      </x:c>
      <x:c r="S77" s="17" t="n">
        <x:f>IF('Control Room'!$B$5="Normal",'Control Room'!$B$7+'Control Room'!$D$7*SQRT(-2*LN(MAX(0.000000000001,Q77/2147483647)))*COS(2*PI()*R77/2147483647),'Control Room'!$B$8+('Control Room'!$D$8-'Control Room'!$B$8)*Q77/2147483647)</x:f>
        <x:v>860.7824202226661</x:v>
      </x:c>
      <x:c r="T77" s="17" t="n">
        <x:f>IF('Control Room'!$B$5="Normal",'Control Room'!$B$7,('Control Room'!$B$8+'Control Room'!$D$8)/2)+'Control Room'!$B$9*(T76-IF('Control Room'!$B$5="Normal",'Control Room'!$B$7,('Control Room'!$B$8+'Control Room'!$D$8)/2))+SQRT(1-'Control Room'!$B$9^2)*(S77-IF('Control Room'!$B$5="Normal",'Control Room'!$B$7,('Control Room'!$B$8+'Control Room'!$D$8)/2))</x:f>
        <x:v>986.6695079356007</x:v>
      </x:c>
      <x:c r="U77" s="17" t="n">
        <x:f>IF(AND($A77&gt;='Control Room'!$A$13,$A77&lt;'Control Room'!$A$13+'Control Room'!$B$13,'Process'!BN2=1),1+('Control Room'!$C$13-1)*EXP(-0.5*(($A77-'Control Room'!$A$13-('Control Room'!$B$13-1)/2)/MAX(0.5,'Control Room'!$B$13/4))^2),1)*IF(AND($A77&gt;='Control Room'!$A$14,$A77&lt;'Control Room'!$A$14+'Control Room'!$B$14,'Process'!BN3=1),1+('Control Room'!$C$14-1)*EXP(-0.5*(($A77-'Control Room'!$A$14-('Control Room'!$B$14-1)/2)/MAX(0.5,'Control Room'!$B$14/4))^2),1)*IF(AND($A77&gt;='Control Room'!$A$15,$A77&lt;'Control Room'!$A$15+'Control Room'!$B$15,'Process'!BN4=1),1+('Control Room'!$C$15-1)*EXP(-0.5*(($A77-'Control Room'!$A$15-('Control Room'!$B$15-1)/2)/MAX(0.5,'Control Room'!$B$15/4))^2),1)*IF(AND($A77&gt;='Control Room'!$A$16,$A77&lt;'Control Room'!$A$16+'Control Room'!$B$16,'Process'!BN5=1),1+('Control Room'!$C$16-1)*EXP(-0.5*(($A77-'Control Room'!$A$16-('Control Room'!$B$16-1)/2)/MAX(0.5,'Control Room'!$B$16/4))^2),1)</x:f>
        <x:v>1</x:v>
      </x:c>
      <x:c r="V77" s="9" t="n">
        <x:f>MOD(W76*16807,2147483647)</x:f>
        <x:v>1622339882</x:v>
      </x:c>
      <x:c r="W77" s="9" t="n">
        <x:f>MOD(V77*16807,2147483647)</x:f>
        <x:v>66530815</x:v>
      </x:c>
      <x:c r="X77" s="17" t="n">
        <x:f>IF('Control Room'!$B$5="Normal",'Control Room'!$B$7+'Control Room'!$D$7*SQRT(-2*LN(MAX(0.000000000001,V77/2147483647)))*COS(2*PI()*W77/2147483647),'Control Room'!$B$8+('Control Room'!$D$8-'Control Room'!$B$8)*V77/2147483647)</x:f>
        <x:v>1066.1282508371644</x:v>
      </x:c>
      <x:c r="Y77" s="17" t="n">
        <x:f>IF('Control Room'!$B$5="Normal",'Control Room'!$B$7,('Control Room'!$B$8+'Control Room'!$D$8)/2)+'Control Room'!$B$9*(Y76-IF('Control Room'!$B$5="Normal",'Control Room'!$B$7,('Control Room'!$B$8+'Control Room'!$D$8)/2))+SQRT(1-'Control Room'!$B$9^2)*(X77-IF('Control Room'!$B$5="Normal",'Control Room'!$B$7,('Control Room'!$B$8+'Control Room'!$D$8)/2))</x:f>
        <x:v>1187.4605420756068</x:v>
      </x:c>
      <x:c r="Z77" s="17" t="n">
        <x:f>IF(AND($A77&gt;='Control Room'!$A$13,$A77&lt;'Control Room'!$A$13+'Control Room'!$B$13,'Process'!BO2=1),1+('Control Room'!$C$13-1)*EXP(-0.5*(($A77-'Control Room'!$A$13-('Control Room'!$B$13-1)/2)/MAX(0.5,'Control Room'!$B$13/4))^2),1)*IF(AND($A77&gt;='Control Room'!$A$14,$A77&lt;'Control Room'!$A$14+'Control Room'!$B$14,'Process'!BO3=1),1+('Control Room'!$C$14-1)*EXP(-0.5*(($A77-'Control Room'!$A$14-('Control Room'!$B$14-1)/2)/MAX(0.5,'Control Room'!$B$14/4))^2),1)*IF(AND($A77&gt;='Control Room'!$A$15,$A77&lt;'Control Room'!$A$15+'Control Room'!$B$15,'Process'!BO4=1),1+('Control Room'!$C$15-1)*EXP(-0.5*(($A77-'Control Room'!$A$15-('Control Room'!$B$15-1)/2)/MAX(0.5,'Control Room'!$B$15/4))^2),1)*IF(AND($A77&gt;='Control Room'!$A$16,$A77&lt;'Control Room'!$A$16+'Control Room'!$B$16,'Process'!BO5=1),1+('Control Room'!$C$16-1)*EXP(-0.5*(($A77-'Control Room'!$A$16-('Control Room'!$B$16-1)/2)/MAX(0.5,'Control Room'!$B$16/4))^2),1)</x:f>
        <x:v>1</x:v>
      </x:c>
      <x:c r="AA77" s="9" t="n">
        <x:f>MOD(AB76*16807,2147483647)</x:f>
        <x:v>448172564</x:v>
      </x:c>
      <x:c r="AB77" s="9" t="n">
        <x:f>MOD(AA77*16807,2147483647)</x:f>
        <x:v>1211133119</x:v>
      </x:c>
      <x:c r="AC77" s="17" t="n">
        <x:f>IF('Control Room'!$B$5="Normal",'Control Room'!$B$7+'Control Room'!$D$7*SQRT(-2*LN(MAX(0.000000000001,AA77/2147483647)))*COS(2*PI()*AB77/2147483647),'Control Room'!$B$8+('Control Room'!$D$8-'Control Room'!$B$8)*AA77/2147483647)</x:f>
        <x:v>853.3785496327112</x:v>
      </x:c>
      <x:c r="AD77" s="17" t="n">
        <x:f>IF('Control Room'!$B$5="Normal",'Control Room'!$B$7,('Control Room'!$B$8+'Control Room'!$D$8)/2)+'Control Room'!$B$9*(AD76-IF('Control Room'!$B$5="Normal",'Control Room'!$B$7,('Control Room'!$B$8+'Control Room'!$D$8)/2))+SQRT(1-'Control Room'!$B$9^2)*(AC77-IF('Control Room'!$B$5="Normal",'Control Room'!$B$7,('Control Room'!$B$8+'Control Room'!$D$8)/2))</x:f>
        <x:v>871.1883919140082</x:v>
      </x:c>
      <x:c r="AE77" s="17" t="n">
        <x:f>IF(AND($A77&gt;='Control Room'!$A$13,$A77&lt;'Control Room'!$A$13+'Control Room'!$B$13,'Process'!BP2=1),1+('Control Room'!$C$13-1)*EXP(-0.5*(($A77-'Control Room'!$A$13-('Control Room'!$B$13-1)/2)/MAX(0.5,'Control Room'!$B$13/4))^2),1)*IF(AND($A77&gt;='Control Room'!$A$14,$A77&lt;'Control Room'!$A$14+'Control Room'!$B$14,'Process'!BP3=1),1+('Control Room'!$C$14-1)*EXP(-0.5*(($A77-'Control Room'!$A$14-('Control Room'!$B$14-1)/2)/MAX(0.5,'Control Room'!$B$14/4))^2),1)*IF(AND($A77&gt;='Control Room'!$A$15,$A77&lt;'Control Room'!$A$15+'Control Room'!$B$15,'Process'!BP4=1),1+('Control Room'!$C$15-1)*EXP(-0.5*(($A77-'Control Room'!$A$15-('Control Room'!$B$15-1)/2)/MAX(0.5,'Control Room'!$B$15/4))^2),1)*IF(AND($A77&gt;='Control Room'!$A$16,$A77&lt;'Control Room'!$A$16+'Control Room'!$B$16,'Process'!BP5=1),1+('Control Room'!$C$16-1)*EXP(-0.5*(($A77-'Control Room'!$A$16-('Control Room'!$B$16-1)/2)/MAX(0.5,'Control Room'!$B$16/4))^2),1)</x:f>
        <x:v>1</x:v>
      </x:c>
      <x:c r="AF77" s="9" t="n">
        <x:f>MOD(AG76*16807,2147483647)</x:f>
        <x:v>1421488893</x:v>
      </x:c>
      <x:c r="AG77" s="9" t="n">
        <x:f>MOD(AF77*16807,2147483647)</x:f>
        <x:v>208251776</x:v>
      </x:c>
      <x:c r="AH77" s="17" t="n">
        <x:f>IF('Control Room'!$B$5="Normal",'Control Room'!$B$7+'Control Room'!$D$7*SQRT(-2*LN(MAX(0.000000000001,AF77/2147483647)))*COS(2*PI()*AG77/2147483647),'Control Room'!$B$8+('Control Room'!$D$8-'Control Room'!$B$8)*AF77/2147483647)</x:f>
        <x:v>1067.0431439378503</x:v>
      </x:c>
      <x:c r="AI77" s="17" t="n">
        <x:f>IF('Control Room'!$B$5="Normal",'Control Room'!$B$7,('Control Room'!$B$8+'Control Room'!$D$8)/2)+'Control Room'!$B$9*(AI76-IF('Control Room'!$B$5="Normal",'Control Room'!$B$7,('Control Room'!$B$8+'Control Room'!$D$8)/2))+SQRT(1-'Control Room'!$B$9^2)*(AH77-IF('Control Room'!$B$5="Normal",'Control Room'!$B$7,('Control Room'!$B$8+'Control Room'!$D$8)/2))</x:f>
        <x:v>1095.563154460662</x:v>
      </x:c>
      <x:c r="AJ77" s="17" t="n">
        <x:f>IF(AND($A77&gt;='Control Room'!$A$13,$A77&lt;'Control Room'!$A$13+'Control Room'!$B$13,'Process'!BQ2=1),1+('Control Room'!$C$13-1)*EXP(-0.5*(($A77-'Control Room'!$A$13-('Control Room'!$B$13-1)/2)/MAX(0.5,'Control Room'!$B$13/4))^2),1)*IF(AND($A77&gt;='Control Room'!$A$14,$A77&lt;'Control Room'!$A$14+'Control Room'!$B$14,'Process'!BQ3=1),1+('Control Room'!$C$14-1)*EXP(-0.5*(($A77-'Control Room'!$A$14-('Control Room'!$B$14-1)/2)/MAX(0.5,'Control Room'!$B$14/4))^2),1)*IF(AND($A77&gt;='Control Room'!$A$15,$A77&lt;'Control Room'!$A$15+'Control Room'!$B$15,'Process'!BQ4=1),1+('Control Room'!$C$15-1)*EXP(-0.5*(($A77-'Control Room'!$A$15-('Control Room'!$B$15-1)/2)/MAX(0.5,'Control Room'!$B$15/4))^2),1)*IF(AND($A77&gt;='Control Room'!$A$16,$A77&lt;'Control Room'!$A$16+'Control Room'!$B$16,'Process'!BQ5=1),1+('Control Room'!$C$16-1)*EXP(-0.5*(($A77-'Control Room'!$A$16-('Control Room'!$B$16-1)/2)/MAX(0.5,'Control Room'!$B$16/4))^2),1)</x:f>
        <x:v>1</x:v>
      </x:c>
      <x:c r="AK77" s="9" t="n">
        <x:f>MOD(AL76*16807,2147483647)</x:f>
        <x:v>247321575</x:v>
      </x:c>
      <x:c r="AL77" s="9" t="n">
        <x:f>MOD(AK77*16807,2147483647)</x:f>
        <x:v>1352854080</x:v>
      </x:c>
      <x:c r="AM77" s="17" t="n">
        <x:f>IF('Control Room'!$B$5="Normal",'Control Room'!$B$7+'Control Room'!$D$7*SQRT(-2*LN(MAX(0.000000000001,AK77/2147483647)))*COS(2*PI()*AL77/2147483647),'Control Room'!$B$8+('Control Room'!$D$8-'Control Room'!$B$8)*AK77/2147483647)</x:f>
        <x:v>871.8830256446986</x:v>
      </x:c>
      <x:c r="AN77" s="17" t="n">
        <x:f>IF('Control Room'!$B$5="Normal",'Control Room'!$B$7,('Control Room'!$B$8+'Control Room'!$D$8)/2)+'Control Room'!$B$9*(AN76-IF('Control Room'!$B$5="Normal",'Control Room'!$B$7,('Control Room'!$B$8+'Control Room'!$D$8)/2))+SQRT(1-'Control Room'!$B$9^2)*(AM77-IF('Control Room'!$B$5="Normal",'Control Room'!$B$7,('Control Room'!$B$8+'Control Room'!$D$8)/2))</x:f>
        <x:v>995.9080530199717</x:v>
      </x:c>
      <x:c r="AO77" s="17" t="n">
        <x:f>IF(AND($A77&gt;='Control Room'!$A$13,$A77&lt;'Control Room'!$A$13+'Control Room'!$B$13,'Process'!BR2=1),1+('Control Room'!$C$13-1)*EXP(-0.5*(($A77-'Control Room'!$A$13-('Control Room'!$B$13-1)/2)/MAX(0.5,'Control Room'!$B$13/4))^2),1)*IF(AND($A77&gt;='Control Room'!$A$14,$A77&lt;'Control Room'!$A$14+'Control Room'!$B$14,'Process'!BR3=1),1+('Control Room'!$C$14-1)*EXP(-0.5*(($A77-'Control Room'!$A$14-('Control Room'!$B$14-1)/2)/MAX(0.5,'Control Room'!$B$14/4))^2),1)*IF(AND($A77&gt;='Control Room'!$A$15,$A77&lt;'Control Room'!$A$15+'Control Room'!$B$15,'Process'!BR4=1),1+('Control Room'!$C$15-1)*EXP(-0.5*(($A77-'Control Room'!$A$15-('Control Room'!$B$15-1)/2)/MAX(0.5,'Control Room'!$B$15/4))^2),1)*IF(AND($A77&gt;='Control Room'!$A$16,$A77&lt;'Control Room'!$A$16+'Control Room'!$B$16,'Process'!BR5=1),1+('Control Room'!$C$16-1)*EXP(-0.5*(($A77-'Control Room'!$A$16-('Control Room'!$B$16-1)/2)/MAX(0.5,'Control Room'!$B$16/4))^2),1)</x:f>
        <x:v>1</x:v>
      </x:c>
      <x:c r="AP77" s="9" t="n">
        <x:f>MOD(AQ76*16807,2147483647)</x:f>
        <x:v>1220637904</x:v>
      </x:c>
      <x:c r="AQ77" s="9" t="n">
        <x:f>MOD(AP77*16807,2147483647)</x:f>
        <x:v>349972737</x:v>
      </x:c>
      <x:c r="AR77" s="17" t="n">
        <x:f>IF('Control Room'!$B$5="Normal",'Control Room'!$B$7+'Control Room'!$D$7*SQRT(-2*LN(MAX(0.000000000001,AP77/2147483647)))*COS(2*PI()*AQ77/2147483647),'Control Room'!$B$8+('Control Room'!$D$8-'Control Room'!$B$8)*AP77/2147483647)</x:f>
        <x:v>1049.7442685608792</x:v>
      </x:c>
      <x:c r="AS77" s="17" t="n">
        <x:f>IF('Control Room'!$B$5="Normal",'Control Room'!$B$7,('Control Room'!$B$8+'Control Room'!$D$8)/2)+'Control Room'!$B$9*(AS76-IF('Control Room'!$B$5="Normal",'Control Room'!$B$7,('Control Room'!$B$8+'Control Room'!$D$8)/2))+SQRT(1-'Control Room'!$B$9^2)*(AR77-IF('Control Room'!$B$5="Normal",'Control Room'!$B$7,('Control Room'!$B$8+'Control Room'!$D$8)/2))</x:f>
        <x:v>1096.5950265580288</x:v>
      </x:c>
      <x:c r="AT77" s="17" t="n">
        <x:f>IF(AND($A77&gt;='Control Room'!$A$13,$A77&lt;'Control Room'!$A$13+'Control Room'!$B$13,'Process'!BS2=1),1+('Control Room'!$C$13-1)*EXP(-0.5*(($A77-'Control Room'!$A$13-('Control Room'!$B$13-1)/2)/MAX(0.5,'Control Room'!$B$13/4))^2),1)*IF(AND($A77&gt;='Control Room'!$A$14,$A77&lt;'Control Room'!$A$14+'Control Room'!$B$14,'Process'!BS3=1),1+('Control Room'!$C$14-1)*EXP(-0.5*(($A77-'Control Room'!$A$14-('Control Room'!$B$14-1)/2)/MAX(0.5,'Control Room'!$B$14/4))^2),1)*IF(AND($A77&gt;='Control Room'!$A$15,$A77&lt;'Control Room'!$A$15+'Control Room'!$B$15,'Process'!BS4=1),1+('Control Room'!$C$15-1)*EXP(-0.5*(($A77-'Control Room'!$A$15-('Control Room'!$B$15-1)/2)/MAX(0.5,'Control Room'!$B$15/4))^2),1)*IF(AND($A77&gt;='Control Room'!$A$16,$A77&lt;'Control Room'!$A$16+'Control Room'!$B$16,'Process'!BS5=1),1+('Control Room'!$C$16-1)*EXP(-0.5*(($A77-'Control Room'!$A$16-('Control Room'!$B$16-1)/2)/MAX(0.5,'Control Room'!$B$16/4))^2),1)</x:f>
        <x:v>1</x:v>
      </x:c>
      <x:c r="AU77" s="9" t="n">
        <x:f>MOD(AV76*16807,2147483647)</x:f>
        <x:v>46470586</x:v>
      </x:c>
      <x:c r="AV77" s="9" t="n">
        <x:f>MOD(AU77*16807,2147483647)</x:f>
        <x:v>1494575041</x:v>
      </x:c>
      <x:c r="AW77" s="17" t="n">
        <x:f>IF('Control Room'!$B$5="Normal",'Control Room'!$B$7+'Control Room'!$D$7*SQRT(-2*LN(MAX(0.000000000001,AU77/2147483647)))*COS(2*PI()*AV77/2147483647),'Control Room'!$B$8+('Control Room'!$D$8-'Control Room'!$B$8)*AU77/2147483647)</x:f>
        <x:v>917.0123025035845</x:v>
      </x:c>
      <x:c r="AX77" s="17" t="n">
        <x:f>IF('Control Room'!$B$5="Normal",'Control Room'!$B$7,('Control Room'!$B$8+'Control Room'!$D$8)/2)+'Control Room'!$B$9*(AX76-IF('Control Room'!$B$5="Normal",'Control Room'!$B$7,('Control Room'!$B$8+'Control Room'!$D$8)/2))+SQRT(1-'Control Room'!$B$9^2)*(AW77-IF('Control Room'!$B$5="Normal",'Control Room'!$B$7,('Control Room'!$B$8+'Control Room'!$D$8)/2))</x:f>
        <x:v>997.1259618603548</x:v>
      </x:c>
      <x:c r="AY77" s="17" t="n">
        <x:f>IF(AND($A77&gt;='Control Room'!$A$13,$A77&lt;'Control Room'!$A$13+'Control Room'!$B$13,'Process'!BT2=1),1+('Control Room'!$C$13-1)*EXP(-0.5*(($A77-'Control Room'!$A$13-('Control Room'!$B$13-1)/2)/MAX(0.5,'Control Room'!$B$13/4))^2),1)*IF(AND($A77&gt;='Control Room'!$A$14,$A77&lt;'Control Room'!$A$14+'Control Room'!$B$14,'Process'!BT3=1),1+('Control Room'!$C$14-1)*EXP(-0.5*(($A77-'Control Room'!$A$14-('Control Room'!$B$14-1)/2)/MAX(0.5,'Control Room'!$B$14/4))^2),1)*IF(AND($A77&gt;='Control Room'!$A$15,$A77&lt;'Control Room'!$A$15+'Control Room'!$B$15,'Process'!BT4=1),1+('Control Room'!$C$15-1)*EXP(-0.5*(($A77-'Control Room'!$A$15-('Control Room'!$B$15-1)/2)/MAX(0.5,'Control Room'!$B$15/4))^2),1)*IF(AND($A77&gt;='Control Room'!$A$16,$A77&lt;'Control Room'!$A$16+'Control Room'!$B$16,'Process'!BT5=1),1+('Control Room'!$C$16-1)*EXP(-0.5*(($A77-'Control Room'!$A$16-('Control Room'!$B$16-1)/2)/MAX(0.5,'Control Room'!$B$16/4))^2),1)</x:f>
        <x:v>1</x:v>
      </x:c>
      <x:c r="AZ77" s="9" t="n">
        <x:f>MOD(BA76*16807,2147483647)</x:f>
        <x:v>1019786915</x:v>
      </x:c>
      <x:c r="BA77" s="9" t="n">
        <x:f>MOD(AZ77*16807,2147483647)</x:f>
        <x:v>491693698</x:v>
      </x:c>
      <x:c r="BB77" s="17" t="n">
        <x:f>IF('Control Room'!$B$5="Normal",'Control Room'!$B$7+'Control Room'!$D$7*SQRT(-2*LN(MAX(0.000000000001,AZ77/2147483647)))*COS(2*PI()*BA77/2147483647),'Control Room'!$B$8+('Control Room'!$D$8-'Control Room'!$B$8)*AZ77/2147483647)</x:f>
        <x:v>1014.4761518688466</x:v>
      </x:c>
      <x:c r="BC77" s="17" t="n">
        <x:f>IF('Control Room'!$B$5="Normal",'Control Room'!$B$7,('Control Room'!$B$8+'Control Room'!$D$8)/2)+'Control Room'!$B$9*(BC76-IF('Control Room'!$B$5="Normal",'Control Room'!$B$7,('Control Room'!$B$8+'Control Room'!$D$8)/2))+SQRT(1-'Control Room'!$B$9^2)*(BB77-IF('Control Room'!$B$5="Normal",'Control Room'!$B$7,('Control Room'!$B$8+'Control Room'!$D$8)/2))</x:f>
        <x:v>823.4657678274646</x:v>
      </x:c>
      <x:c r="BD77" s="17" t="n">
        <x:f>IF(AND($A77&gt;='Control Room'!$A$13,$A77&lt;'Control Room'!$A$13+'Control Room'!$B$13,'Process'!BU2=1),1+('Control Room'!$C$13-1)*EXP(-0.5*(($A77-'Control Room'!$A$13-('Control Room'!$B$13-1)/2)/MAX(0.5,'Control Room'!$B$13/4))^2),1)*IF(AND($A77&gt;='Control Room'!$A$14,$A77&lt;'Control Room'!$A$14+'Control Room'!$B$14,'Process'!BU3=1),1+('Control Room'!$C$14-1)*EXP(-0.5*(($A77-'Control Room'!$A$14-('Control Room'!$B$14-1)/2)/MAX(0.5,'Control Room'!$B$14/4))^2),1)*IF(AND($A77&gt;='Control Room'!$A$15,$A77&lt;'Control Room'!$A$15+'Control Room'!$B$15,'Process'!BU4=1),1+('Control Room'!$C$15-1)*EXP(-0.5*(($A77-'Control Room'!$A$15-('Control Room'!$B$15-1)/2)/MAX(0.5,'Control Room'!$B$15/4))^2),1)*IF(AND($A77&gt;='Control Room'!$A$16,$A77&lt;'Control Room'!$A$16+'Control Room'!$B$16,'Process'!BU5=1),1+('Control Room'!$C$16-1)*EXP(-0.5*(($A77-'Control Room'!$A$16-('Control Room'!$B$16-1)/2)/MAX(0.5,'Control Room'!$B$16/4))^2),1)</x:f>
        <x:v>1</x:v>
      </x:c>
      <x:c r="BE77" s="9" t="n">
        <x:f>MOD(BF76*16807,2147483647)</x:f>
        <x:v>1993103244</x:v>
      </x:c>
      <x:c r="BF77" s="9" t="n">
        <x:f>MOD(BE77*16807,2147483647)</x:f>
        <x:v>1636296002</x:v>
      </x:c>
      <x:c r="BG77" s="17" t="n">
        <x:f>IF('Control Room'!$B$5="Normal",'Control Room'!$B$7+'Control Room'!$D$7*SQRT(-2*LN(MAX(0.000000000001,BE77/2147483647)))*COS(2*PI()*BF77/2147483647),'Control Room'!$B$8+('Control Room'!$D$8-'Control Room'!$B$8)*BE77/2147483647)</x:f>
        <x:v>1002.6099355493837</x:v>
      </x:c>
      <x:c r="BH77" s="17" t="n">
        <x:f>IF('Control Room'!$B$5="Normal",'Control Room'!$B$7,('Control Room'!$B$8+'Control Room'!$D$8)/2)+'Control Room'!$B$9*(BH76-IF('Control Room'!$B$5="Normal",'Control Room'!$B$7,('Control Room'!$B$8+'Control Room'!$D$8)/2))+SQRT(1-'Control Room'!$B$9^2)*(BG77-IF('Control Room'!$B$5="Normal",'Control Room'!$B$7,('Control Room'!$B$8+'Control Room'!$D$8)/2))</x:f>
        <x:v>1111.353472007321</x:v>
      </x:c>
      <x:c r="BI77" s="17" t="n">
        <x:f>IF(AND($A77&gt;='Control Room'!$A$13,$A77&lt;'Control Room'!$A$13+'Control Room'!$B$13,'Process'!BV2=1),1+('Control Room'!$C$13-1)*EXP(-0.5*(($A77-'Control Room'!$A$13-('Control Room'!$B$13-1)/2)/MAX(0.5,'Control Room'!$B$13/4))^2),1)*IF(AND($A77&gt;='Control Room'!$A$14,$A77&lt;'Control Room'!$A$14+'Control Room'!$B$14,'Process'!BV3=1),1+('Control Room'!$C$14-1)*EXP(-0.5*(($A77-'Control Room'!$A$14-('Control Room'!$B$14-1)/2)/MAX(0.5,'Control Room'!$B$14/4))^2),1)*IF(AND($A77&gt;='Control Room'!$A$15,$A77&lt;'Control Room'!$A$15+'Control Room'!$B$15,'Process'!BV4=1),1+('Control Room'!$C$15-1)*EXP(-0.5*(($A77-'Control Room'!$A$15-('Control Room'!$B$15-1)/2)/MAX(0.5,'Control Room'!$B$15/4))^2),1)*IF(AND($A77&gt;='Control Room'!$A$16,$A77&lt;'Control Room'!$A$16+'Control Room'!$B$16,'Process'!BV5=1),1+('Control Room'!$C$16-1)*EXP(-0.5*(($A77-'Control Room'!$A$16-('Control Room'!$B$16-1)/2)/MAX(0.5,'Control Room'!$B$16/4))^2),1)</x:f>
        <x:v>1</x:v>
      </x:c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Z77" t="str">
        <x:f>IF('Data'!A77="","",TEXT('Data'!A77,"mm-dd"))</x:f>
        <x:v>01-16</x:v>
      </x:c>
    </x:row>
    <x:row r="78" ht="21" customHeight="1">
      <x:c r="A78" s="15" t="n">
        <x:f>'Control Room'!$B$1+76</x:f>
        <x:v>73067</x:v>
      </x:c>
      <x:c r="B78" s="9" t="n">
        <x:f>MOD(C77*16807,2147483647)</x:f>
        <x:v>802257257</x:v>
      </x:c>
      <x:c r="C78" s="9" t="n">
        <x:f>MOD(B78*16807,2147483647)</x:f>
        <x:v>1635382533</x:v>
      </x:c>
      <x:c r="D78" s="17" t="n">
        <x:f>IF('Control Room'!$B$5="Normal",'Control Room'!$B$7+'Control Room'!$D$7*SQRT(-2*LN(MAX(0.000000000001,B78/2147483647)))*COS(2*PI()*C78/2147483647),'Control Room'!$B$8+('Control Room'!$D$8-'Control Room'!$B$8)*B78/2147483647)</x:f>
        <x:v>1009.145019986173</x:v>
      </x:c>
      <x:c r="E78" s="17" t="n">
        <x:f>IF('Control Room'!$B$5="Normal",'Control Room'!$B$7,('Control Room'!$B$8+'Control Room'!$D$8)/2)+'Control Room'!$B$9*(E77-IF('Control Room'!$B$5="Normal",'Control Room'!$B$7,('Control Room'!$B$8+'Control Room'!$D$8)/2))+SQRT(1-'Control Room'!$B$9^2)*(D78-IF('Control Room'!$B$5="Normal",'Control Room'!$B$7,('Control Room'!$B$8+'Control Room'!$D$8)/2))</x:f>
        <x:v>1098.0361119264062</x:v>
      </x:c>
      <x:c r="F78" s="17" t="n">
        <x:f>IF(AND($A78&gt;='Control Room'!$A$13,$A78&lt;'Control Room'!$A$13+'Control Room'!$B$13,'Process'!BK2=1),1+('Control Room'!$C$13-1)*EXP(-0.5*(($A78-'Control Room'!$A$13-('Control Room'!$B$13-1)/2)/MAX(0.5,'Control Room'!$B$13/4))^2),1)*IF(AND($A78&gt;='Control Room'!$A$14,$A78&lt;'Control Room'!$A$14+'Control Room'!$B$14,'Process'!BK3=1),1+('Control Room'!$C$14-1)*EXP(-0.5*(($A78-'Control Room'!$A$14-('Control Room'!$B$14-1)/2)/MAX(0.5,'Control Room'!$B$14/4))^2),1)*IF(AND($A78&gt;='Control Room'!$A$15,$A78&lt;'Control Room'!$A$15+'Control Room'!$B$15,'Process'!BK4=1),1+('Control Room'!$C$15-1)*EXP(-0.5*(($A78-'Control Room'!$A$15-('Control Room'!$B$15-1)/2)/MAX(0.5,'Control Room'!$B$15/4))^2),1)*IF(AND($A78&gt;='Control Room'!$A$16,$A78&lt;'Control Room'!$A$16+'Control Room'!$B$16,'Process'!BK5=1),1+('Control Room'!$C$16-1)*EXP(-0.5*(($A78-'Control Room'!$A$16-('Control Room'!$B$16-1)/2)/MAX(0.5,'Control Room'!$B$16/4))^2),1)</x:f>
        <x:v>1</x:v>
      </x:c>
      <x:c r="G78" s="9" t="n">
        <x:f>MOD(H77*16807,2147483647)</x:f>
        <x:v>974670759</x:v>
      </x:c>
      <x:c r="H78" s="9" t="n">
        <x:f>MOD(G78*16807,2147483647)</x:f>
        <x:v>286187197</x:v>
      </x:c>
      <x:c r="I78" s="17" t="n">
        <x:f>IF('Control Room'!$B$5="Normal",'Control Room'!$B$7+'Control Room'!$D$7*SQRT(-2*LN(MAX(0.000000000001,G78/2147483647)))*COS(2*PI()*H78/2147483647),'Control Room'!$B$8+('Control Room'!$D$8-'Control Room'!$B$8)*G78/2147483647)</x:f>
        <x:v>1075.730688830953</x:v>
      </x:c>
      <x:c r="J78" s="17" t="n">
        <x:f>IF('Control Room'!$B$5="Normal",'Control Room'!$B$7,('Control Room'!$B$8+'Control Room'!$D$8)/2)+'Control Room'!$B$9*(J77-IF('Control Room'!$B$5="Normal",'Control Room'!$B$7,('Control Room'!$B$8+'Control Room'!$D$8)/2))+SQRT(1-'Control Room'!$B$9^2)*(I78-IF('Control Room'!$B$5="Normal",'Control Room'!$B$7,('Control Room'!$B$8+'Control Room'!$D$8)/2))</x:f>
        <x:v>984.9731354279318</x:v>
      </x:c>
      <x:c r="K78" s="17" t="n">
        <x:f>IF(AND($A78&gt;='Control Room'!$A$13,$A78&lt;'Control Room'!$A$13+'Control Room'!$B$13,'Process'!BL2=1),1+('Control Room'!$C$13-1)*EXP(-0.5*(($A78-'Control Room'!$A$13-('Control Room'!$B$13-1)/2)/MAX(0.5,'Control Room'!$B$13/4))^2),1)*IF(AND($A78&gt;='Control Room'!$A$14,$A78&lt;'Control Room'!$A$14+'Control Room'!$B$14,'Process'!BL3=1),1+('Control Room'!$C$14-1)*EXP(-0.5*(($A78-'Control Room'!$A$14-('Control Room'!$B$14-1)/2)/MAX(0.5,'Control Room'!$B$14/4))^2),1)*IF(AND($A78&gt;='Control Room'!$A$15,$A78&lt;'Control Room'!$A$15+'Control Room'!$B$15,'Process'!BL4=1),1+('Control Room'!$C$15-1)*EXP(-0.5*(($A78-'Control Room'!$A$15-('Control Room'!$B$15-1)/2)/MAX(0.5,'Control Room'!$B$15/4))^2),1)*IF(AND($A78&gt;='Control Room'!$A$16,$A78&lt;'Control Room'!$A$16+'Control Room'!$B$16,'Process'!BL5=1),1+('Control Room'!$C$16-1)*EXP(-0.5*(($A78-'Control Room'!$A$16-('Control Room'!$B$16-1)/2)/MAX(0.5,'Control Room'!$B$16/4))^2),1)</x:f>
        <x:v>1</x:v>
      </x:c>
      <x:c r="L78" s="9" t="n">
        <x:f>MOD(M77*16807,2147483647)</x:f>
        <x:v>1147084261</x:v>
      </x:c>
      <x:c r="M78" s="9" t="n">
        <x:f>MOD(L78*16807,2147483647)</x:f>
        <x:v>1084475508</x:v>
      </x:c>
      <x:c r="N78" s="17" t="n">
        <x:f>IF('Control Room'!$B$5="Normal",'Control Room'!$B$7+'Control Room'!$D$7*SQRT(-2*LN(MAX(0.000000000001,L78/2147483647)))*COS(2*PI()*M78/2147483647),'Control Room'!$B$8+('Control Room'!$D$8-'Control Room'!$B$8)*L78/2147483647)</x:f>
        <x:v>899.2598678295557</x:v>
      </x:c>
      <x:c r="O78" s="17" t="n">
        <x:f>IF('Control Room'!$B$5="Normal",'Control Room'!$B$7,('Control Room'!$B$8+'Control Room'!$D$8)/2)+'Control Room'!$B$9*(O77-IF('Control Room'!$B$5="Normal",'Control Room'!$B$7,('Control Room'!$B$8+'Control Room'!$D$8)/2))+SQRT(1-'Control Room'!$B$9^2)*(N78-IF('Control Room'!$B$5="Normal",'Control Room'!$B$7,('Control Room'!$B$8+'Control Room'!$D$8)/2))</x:f>
        <x:v>875.8235830576991</x:v>
      </x:c>
      <x:c r="P78" s="17" t="n">
        <x:f>IF(AND($A78&gt;='Control Room'!$A$13,$A78&lt;'Control Room'!$A$13+'Control Room'!$B$13,'Process'!BM2=1),1+('Control Room'!$C$13-1)*EXP(-0.5*(($A78-'Control Room'!$A$13-('Control Room'!$B$13-1)/2)/MAX(0.5,'Control Room'!$B$13/4))^2),1)*IF(AND($A78&gt;='Control Room'!$A$14,$A78&lt;'Control Room'!$A$14+'Control Room'!$B$14,'Process'!BM3=1),1+('Control Room'!$C$14-1)*EXP(-0.5*(($A78-'Control Room'!$A$14-('Control Room'!$B$14-1)/2)/MAX(0.5,'Control Room'!$B$14/4))^2),1)*IF(AND($A78&gt;='Control Room'!$A$15,$A78&lt;'Control Room'!$A$15+'Control Room'!$B$15,'Process'!BM4=1),1+('Control Room'!$C$15-1)*EXP(-0.5*(($A78-'Control Room'!$A$15-('Control Room'!$B$15-1)/2)/MAX(0.5,'Control Room'!$B$15/4))^2),1)*IF(AND($A78&gt;='Control Room'!$A$16,$A78&lt;'Control Room'!$A$16+'Control Room'!$B$16,'Process'!BM5=1),1+('Control Room'!$C$16-1)*EXP(-0.5*(($A78-'Control Room'!$A$16-('Control Room'!$B$16-1)/2)/MAX(0.5,'Control Room'!$B$16/4))^2),1)</x:f>
        <x:v>1</x:v>
      </x:c>
      <x:c r="Q78" s="9" t="n">
        <x:f>MOD(R77*16807,2147483647)</x:f>
        <x:v>1319497763</x:v>
      </x:c>
      <x:c r="R78" s="9" t="n">
        <x:f>MOD(Q78*16807,2147483647)</x:f>
        <x:v>1882763819</x:v>
      </x:c>
      <x:c r="S78" s="17" t="n">
        <x:f>IF('Control Room'!$B$5="Normal",'Control Room'!$B$7+'Control Room'!$D$7*SQRT(-2*LN(MAX(0.000000000001,Q78/2147483647)))*COS(2*PI()*R78/2147483647),'Control Room'!$B$8+('Control Room'!$D$8-'Control Room'!$B$8)*Q78/2147483647)</x:f>
        <x:v>1063.4888858985046</x:v>
      </x:c>
      <x:c r="T78" s="17" t="n">
        <x:f>IF('Control Room'!$B$5="Normal",'Control Room'!$B$7,('Control Room'!$B$8+'Control Room'!$D$8)/2)+'Control Room'!$B$9*(T77-IF('Control Room'!$B$5="Normal",'Control Room'!$B$7,('Control Room'!$B$8+'Control Room'!$D$8)/2))+SQRT(1-'Control Room'!$B$9^2)*(S78-IF('Control Room'!$B$5="Normal",'Control Room'!$B$7,('Control Room'!$B$8+'Control Room'!$D$8)/2))</x:f>
        <x:v>1029.332260344529</x:v>
      </x:c>
      <x:c r="U78" s="17" t="n">
        <x:f>IF(AND($A78&gt;='Control Room'!$A$13,$A78&lt;'Control Room'!$A$13+'Control Room'!$B$13,'Process'!BN2=1),1+('Control Room'!$C$13-1)*EXP(-0.5*(($A78-'Control Room'!$A$13-('Control Room'!$B$13-1)/2)/MAX(0.5,'Control Room'!$B$13/4))^2),1)*IF(AND($A78&gt;='Control Room'!$A$14,$A78&lt;'Control Room'!$A$14+'Control Room'!$B$14,'Process'!BN3=1),1+('Control Room'!$C$14-1)*EXP(-0.5*(($A78-'Control Room'!$A$14-('Control Room'!$B$14-1)/2)/MAX(0.5,'Control Room'!$B$14/4))^2),1)*IF(AND($A78&gt;='Control Room'!$A$15,$A78&lt;'Control Room'!$A$15+'Control Room'!$B$15,'Process'!BN4=1),1+('Control Room'!$C$15-1)*EXP(-0.5*(($A78-'Control Room'!$A$15-('Control Room'!$B$15-1)/2)/MAX(0.5,'Control Room'!$B$15/4))^2),1)*IF(AND($A78&gt;='Control Room'!$A$16,$A78&lt;'Control Room'!$A$16+'Control Room'!$B$16,'Process'!BN5=1),1+('Control Room'!$C$16-1)*EXP(-0.5*(($A78-'Control Room'!$A$16-('Control Room'!$B$16-1)/2)/MAX(0.5,'Control Room'!$B$16/4))^2),1)</x:f>
        <x:v>1</x:v>
      </x:c>
      <x:c r="V78" s="9" t="n">
        <x:f>MOD(W77*16807,2147483647)</x:f>
        <x:v>1491911265</x:v>
      </x:c>
      <x:c r="W78" s="9" t="n">
        <x:f>MOD(V78*16807,2147483647)</x:f>
        <x:v>533568483</x:v>
      </x:c>
      <x:c r="X78" s="17" t="n">
        <x:f>IF('Control Room'!$B$5="Normal",'Control Room'!$B$7+'Control Room'!$D$7*SQRT(-2*LN(MAX(0.000000000001,V78/2147483647)))*COS(2*PI()*W78/2147483647),'Control Room'!$B$8+('Control Room'!$D$8-'Control Room'!$B$8)*V78/2147483647)</x:f>
        <x:v>1000.7422108055226</x:v>
      </x:c>
      <x:c r="Y78" s="17" t="n">
        <x:f>IF('Control Room'!$B$5="Normal",'Control Room'!$B$7,('Control Room'!$B$8+'Control Room'!$D$8)/2)+'Control Room'!$B$9*(Y77-IF('Control Room'!$B$5="Normal",'Control Room'!$B$7,('Control Room'!$B$8+'Control Room'!$D$8)/2))+SQRT(1-'Control Room'!$B$9^2)*(X78-IF('Control Room'!$B$5="Normal",'Control Room'!$B$7,('Control Room'!$B$8+'Control Room'!$D$8)/2))</x:f>
        <x:v>1146.6836831360545</x:v>
      </x:c>
      <x:c r="Z78" s="17" t="n">
        <x:f>IF(AND($A78&gt;='Control Room'!$A$13,$A78&lt;'Control Room'!$A$13+'Control Room'!$B$13,'Process'!BO2=1),1+('Control Room'!$C$13-1)*EXP(-0.5*(($A78-'Control Room'!$A$13-('Control Room'!$B$13-1)/2)/MAX(0.5,'Control Room'!$B$13/4))^2),1)*IF(AND($A78&gt;='Control Room'!$A$14,$A78&lt;'Control Room'!$A$14+'Control Room'!$B$14,'Process'!BO3=1),1+('Control Room'!$C$14-1)*EXP(-0.5*(($A78-'Control Room'!$A$14-('Control Room'!$B$14-1)/2)/MAX(0.5,'Control Room'!$B$14/4))^2),1)*IF(AND($A78&gt;='Control Room'!$A$15,$A78&lt;'Control Room'!$A$15+'Control Room'!$B$15,'Process'!BO4=1),1+('Control Room'!$C$15-1)*EXP(-0.5*(($A78-'Control Room'!$A$15-('Control Room'!$B$15-1)/2)/MAX(0.5,'Control Room'!$B$15/4))^2),1)*IF(AND($A78&gt;='Control Room'!$A$16,$A78&lt;'Control Room'!$A$16+'Control Room'!$B$16,'Process'!BO5=1),1+('Control Room'!$C$16-1)*EXP(-0.5*(($A78-'Control Room'!$A$16-('Control Room'!$B$16-1)/2)/MAX(0.5,'Control Room'!$B$16/4))^2),1)</x:f>
        <x:v>1</x:v>
      </x:c>
      <x:c r="AA78" s="9" t="n">
        <x:f>MOD(AB77*16807,2147483647)</x:f>
        <x:v>1664324767</x:v>
      </x:c>
      <x:c r="AB78" s="9" t="n">
        <x:f>MOD(AA78*16807,2147483647)</x:f>
        <x:v>1331856794</x:v>
      </x:c>
      <x:c r="AC78" s="17" t="n">
        <x:f>IF('Control Room'!$B$5="Normal",'Control Room'!$B$7+'Control Room'!$D$7*SQRT(-2*LN(MAX(0.000000000001,AA78/2147483647)))*COS(2*PI()*AB78/2147483647),'Control Room'!$B$8+('Control Room'!$D$8-'Control Room'!$B$8)*AA78/2147483647)</x:f>
        <x:v>953.2120752275098</x:v>
      </x:c>
      <x:c r="AD78" s="17" t="n">
        <x:f>IF('Control Room'!$B$5="Normal",'Control Room'!$B$7,('Control Room'!$B$8+'Control Room'!$D$8)/2)+'Control Room'!$B$9*(AD77-IF('Control Room'!$B$5="Normal",'Control Room'!$B$7,('Control Room'!$B$8+'Control Room'!$D$8)/2))+SQRT(1-'Control Room'!$B$9^2)*(AC78-IF('Control Room'!$B$5="Normal",'Control Room'!$B$7,('Control Room'!$B$8+'Control Room'!$D$8)/2))</x:f>
        <x:v>870.2480208730402</x:v>
      </x:c>
      <x:c r="AE78" s="17" t="n">
        <x:f>IF(AND($A78&gt;='Control Room'!$A$13,$A78&lt;'Control Room'!$A$13+'Control Room'!$B$13,'Process'!BP2=1),1+('Control Room'!$C$13-1)*EXP(-0.5*(($A78-'Control Room'!$A$13-('Control Room'!$B$13-1)/2)/MAX(0.5,'Control Room'!$B$13/4))^2),1)*IF(AND($A78&gt;='Control Room'!$A$14,$A78&lt;'Control Room'!$A$14+'Control Room'!$B$14,'Process'!BP3=1),1+('Control Room'!$C$14-1)*EXP(-0.5*(($A78-'Control Room'!$A$14-('Control Room'!$B$14-1)/2)/MAX(0.5,'Control Room'!$B$14/4))^2),1)*IF(AND($A78&gt;='Control Room'!$A$15,$A78&lt;'Control Room'!$A$15+'Control Room'!$B$15,'Process'!BP4=1),1+('Control Room'!$C$15-1)*EXP(-0.5*(($A78-'Control Room'!$A$15-('Control Room'!$B$15-1)/2)/MAX(0.5,'Control Room'!$B$15/4))^2),1)*IF(AND($A78&gt;='Control Room'!$A$16,$A78&lt;'Control Room'!$A$16+'Control Room'!$B$16,'Process'!BP5=1),1+('Control Room'!$C$16-1)*EXP(-0.5*(($A78-'Control Room'!$A$16-('Control Room'!$B$16-1)/2)/MAX(0.5,'Control Room'!$B$16/4))^2),1)</x:f>
        <x:v>1</x:v>
      </x:c>
      <x:c r="AF78" s="9" t="n">
        <x:f>MOD(AG77*16807,2147483647)</x:f>
        <x:v>1836738269</x:v>
      </x:c>
      <x:c r="AG78" s="9" t="n">
        <x:f>MOD(AF78*16807,2147483647)</x:f>
        <x:v>2130145105</x:v>
      </x:c>
      <x:c r="AH78" s="17" t="n">
        <x:f>IF('Control Room'!$B$5="Normal",'Control Room'!$B$7+'Control Room'!$D$7*SQRT(-2*LN(MAX(0.000000000001,AF78/2147483647)))*COS(2*PI()*AG78/2147483647),'Control Room'!$B$8+('Control Room'!$D$8-'Control Room'!$B$8)*AF78/2147483647)</x:f>
        <x:v>1050.2557184684074</x:v>
      </x:c>
      <x:c r="AI78" s="17" t="n">
        <x:f>IF('Control Room'!$B$5="Normal",'Control Room'!$B$7,('Control Room'!$B$8+'Control Room'!$D$8)/2)+'Control Room'!$B$9*(AI77-IF('Control Room'!$B$5="Normal",'Control Room'!$B$7,('Control Room'!$B$8+'Control Room'!$D$8)/2))+SQRT(1-'Control Room'!$B$9^2)*(AH78-IF('Control Room'!$B$5="Normal",'Control Room'!$B$7,('Control Room'!$B$8+'Control Room'!$D$8)/2))</x:f>
        <x:v>1105.9882595524923</x:v>
      </x:c>
      <x:c r="AJ78" s="17" t="n">
        <x:f>IF(AND($A78&gt;='Control Room'!$A$13,$A78&lt;'Control Room'!$A$13+'Control Room'!$B$13,'Process'!BQ2=1),1+('Control Room'!$C$13-1)*EXP(-0.5*(($A78-'Control Room'!$A$13-('Control Room'!$B$13-1)/2)/MAX(0.5,'Control Room'!$B$13/4))^2),1)*IF(AND($A78&gt;='Control Room'!$A$14,$A78&lt;'Control Room'!$A$14+'Control Room'!$B$14,'Process'!BQ3=1),1+('Control Room'!$C$14-1)*EXP(-0.5*(($A78-'Control Room'!$A$14-('Control Room'!$B$14-1)/2)/MAX(0.5,'Control Room'!$B$14/4))^2),1)*IF(AND($A78&gt;='Control Room'!$A$15,$A78&lt;'Control Room'!$A$15+'Control Room'!$B$15,'Process'!BQ4=1),1+('Control Room'!$C$15-1)*EXP(-0.5*(($A78-'Control Room'!$A$15-('Control Room'!$B$15-1)/2)/MAX(0.5,'Control Room'!$B$15/4))^2),1)*IF(AND($A78&gt;='Control Room'!$A$16,$A78&lt;'Control Room'!$A$16+'Control Room'!$B$16,'Process'!BQ5=1),1+('Control Room'!$C$16-1)*EXP(-0.5*(($A78-'Control Room'!$A$16-('Control Room'!$B$16-1)/2)/MAX(0.5,'Control Room'!$B$16/4))^2),1)</x:f>
        <x:v>1</x:v>
      </x:c>
      <x:c r="AK78" s="9" t="n">
        <x:f>MOD(AL77*16807,2147483647)</x:f>
        <x:v>2009151771</x:v>
      </x:c>
      <x:c r="AL78" s="9" t="n">
        <x:f>MOD(AK78*16807,2147483647)</x:f>
        <x:v>780949769</x:v>
      </x:c>
      <x:c r="AM78" s="17" t="n">
        <x:f>IF('Control Room'!$B$5="Normal",'Control Room'!$B$7+'Control Room'!$D$7*SQRT(-2*LN(MAX(0.000000000001,AK78/2147483647)))*COS(2*PI()*AL78/2147483647),'Control Room'!$B$8+('Control Room'!$D$8-'Control Room'!$B$8)*AK78/2147483647)</x:f>
        <x:v>978.4890203288552</x:v>
      </x:c>
      <x:c r="AN78" s="17" t="n">
        <x:f>IF('Control Room'!$B$5="Normal",'Control Room'!$B$7,('Control Room'!$B$8+'Control Room'!$D$8)/2)+'Control Room'!$B$9*(AN77-IF('Control Room'!$B$5="Normal",'Control Room'!$B$7,('Control Room'!$B$8+'Control Room'!$D$8)/2))+SQRT(1-'Control Room'!$B$9^2)*(AM78-IF('Control Room'!$B$5="Normal",'Control Room'!$B$7,('Control Room'!$B$8+'Control Room'!$D$8)/2))</x:f>
        <x:v>983.347150953747</x:v>
      </x:c>
      <x:c r="AO78" s="17" t="n">
        <x:f>IF(AND($A78&gt;='Control Room'!$A$13,$A78&lt;'Control Room'!$A$13+'Control Room'!$B$13,'Process'!BR2=1),1+('Control Room'!$C$13-1)*EXP(-0.5*(($A78-'Control Room'!$A$13-('Control Room'!$B$13-1)/2)/MAX(0.5,'Control Room'!$B$13/4))^2),1)*IF(AND($A78&gt;='Control Room'!$A$14,$A78&lt;'Control Room'!$A$14+'Control Room'!$B$14,'Process'!BR3=1),1+('Control Room'!$C$14-1)*EXP(-0.5*(($A78-'Control Room'!$A$14-('Control Room'!$B$14-1)/2)/MAX(0.5,'Control Room'!$B$14/4))^2),1)*IF(AND($A78&gt;='Control Room'!$A$15,$A78&lt;'Control Room'!$A$15+'Control Room'!$B$15,'Process'!BR4=1),1+('Control Room'!$C$15-1)*EXP(-0.5*(($A78-'Control Room'!$A$15-('Control Room'!$B$15-1)/2)/MAX(0.5,'Control Room'!$B$15/4))^2),1)*IF(AND($A78&gt;='Control Room'!$A$16,$A78&lt;'Control Room'!$A$16+'Control Room'!$B$16,'Process'!BR5=1),1+('Control Room'!$C$16-1)*EXP(-0.5*(($A78-'Control Room'!$A$16-('Control Room'!$B$16-1)/2)/MAX(0.5,'Control Room'!$B$16/4))^2),1)</x:f>
        <x:v>1</x:v>
      </x:c>
      <x:c r="AP78" s="9" t="n">
        <x:f>MOD(AQ77*16807,2147483647)</x:f>
        <x:v>34081626</x:v>
      </x:c>
      <x:c r="AQ78" s="9" t="n">
        <x:f>MOD(AP78*16807,2147483647)</x:f>
        <x:v>1579238080</x:v>
      </x:c>
      <x:c r="AR78" s="17" t="n">
        <x:f>IF('Control Room'!$B$5="Normal",'Control Room'!$B$7+'Control Room'!$D$7*SQRT(-2*LN(MAX(0.000000000001,AP78/2147483647)))*COS(2*PI()*AQ78/2147483647),'Control Room'!$B$8+('Control Room'!$D$8-'Control Room'!$B$8)*AP78/2147483647)</x:f>
        <x:v>976.2507875903473</x:v>
      </x:c>
      <x:c r="AS78" s="17" t="n">
        <x:f>IF('Control Room'!$B$5="Normal",'Control Room'!$B$7,('Control Room'!$B$8+'Control Room'!$D$8)/2)+'Control Room'!$B$9*(AS77-IF('Control Room'!$B$5="Normal",'Control Room'!$B$7,('Control Room'!$B$8+'Control Room'!$D$8)/2))+SQRT(1-'Control Room'!$B$9^2)*(AR78-IF('Control Room'!$B$5="Normal",'Control Room'!$B$7,('Control Room'!$B$8+'Control Room'!$D$8)/2))</x:f>
        <x:v>1060.4823501183632</x:v>
      </x:c>
      <x:c r="AT78" s="17" t="n">
        <x:f>IF(AND($A78&gt;='Control Room'!$A$13,$A78&lt;'Control Room'!$A$13+'Control Room'!$B$13,'Process'!BS2=1),1+('Control Room'!$C$13-1)*EXP(-0.5*(($A78-'Control Room'!$A$13-('Control Room'!$B$13-1)/2)/MAX(0.5,'Control Room'!$B$13/4))^2),1)*IF(AND($A78&gt;='Control Room'!$A$14,$A78&lt;'Control Room'!$A$14+'Control Room'!$B$14,'Process'!BS3=1),1+('Control Room'!$C$14-1)*EXP(-0.5*(($A78-'Control Room'!$A$14-('Control Room'!$B$14-1)/2)/MAX(0.5,'Control Room'!$B$14/4))^2),1)*IF(AND($A78&gt;='Control Room'!$A$15,$A78&lt;'Control Room'!$A$15+'Control Room'!$B$15,'Process'!BS4=1),1+('Control Room'!$C$15-1)*EXP(-0.5*(($A78-'Control Room'!$A$15-('Control Room'!$B$15-1)/2)/MAX(0.5,'Control Room'!$B$15/4))^2),1)*IF(AND($A78&gt;='Control Room'!$A$16,$A78&lt;'Control Room'!$A$16+'Control Room'!$B$16,'Process'!BS5=1),1+('Control Room'!$C$16-1)*EXP(-0.5*(($A78-'Control Room'!$A$16-('Control Room'!$B$16-1)/2)/MAX(0.5,'Control Room'!$B$16/4))^2),1)</x:f>
        <x:v>1</x:v>
      </x:c>
      <x:c r="AU78" s="9" t="n">
        <x:f>MOD(AV77*16807,2147483647)</x:f>
        <x:v>206495128</x:v>
      </x:c>
      <x:c r="AV78" s="9" t="n">
        <x:f>MOD(AU78*16807,2147483647)</x:f>
        <x:v>230042744</x:v>
      </x:c>
      <x:c r="AW78" s="17" t="n">
        <x:f>IF('Control Room'!$B$5="Normal",'Control Room'!$B$7+'Control Room'!$D$7*SQRT(-2*LN(MAX(0.000000000001,AU78/2147483647)))*COS(2*PI()*AV78/2147483647),'Control Room'!$B$8+('Control Room'!$D$8-'Control Room'!$B$8)*AU78/2147483647)</x:f>
        <x:v>1152.2960520341276</x:v>
      </x:c>
      <x:c r="AX78" s="17" t="n">
        <x:f>IF('Control Room'!$B$5="Normal",'Control Room'!$B$7,('Control Room'!$B$8+'Control Room'!$D$8)/2)+'Control Room'!$B$9*(AX77-IF('Control Room'!$B$5="Normal",'Control Room'!$B$7,('Control Room'!$B$8+'Control Room'!$D$8)/2))+SQRT(1-'Control Room'!$B$9^2)*(AW78-IF('Control Room'!$B$5="Normal",'Control Room'!$B$7,('Control Room'!$B$8+'Control Room'!$D$8)/2))</x:f>
        <x:v>1093.0619996598232</x:v>
      </x:c>
      <x:c r="AY78" s="17" t="n">
        <x:f>IF(AND($A78&gt;='Control Room'!$A$13,$A78&lt;'Control Room'!$A$13+'Control Room'!$B$13,'Process'!BT2=1),1+('Control Room'!$C$13-1)*EXP(-0.5*(($A78-'Control Room'!$A$13-('Control Room'!$B$13-1)/2)/MAX(0.5,'Control Room'!$B$13/4))^2),1)*IF(AND($A78&gt;='Control Room'!$A$14,$A78&lt;'Control Room'!$A$14+'Control Room'!$B$14,'Process'!BT3=1),1+('Control Room'!$C$14-1)*EXP(-0.5*(($A78-'Control Room'!$A$14-('Control Room'!$B$14-1)/2)/MAX(0.5,'Control Room'!$B$14/4))^2),1)*IF(AND($A78&gt;='Control Room'!$A$15,$A78&lt;'Control Room'!$A$15+'Control Room'!$B$15,'Process'!BT4=1),1+('Control Room'!$C$15-1)*EXP(-0.5*(($A78-'Control Room'!$A$15-('Control Room'!$B$15-1)/2)/MAX(0.5,'Control Room'!$B$15/4))^2),1)*IF(AND($A78&gt;='Control Room'!$A$16,$A78&lt;'Control Room'!$A$16+'Control Room'!$B$16,'Process'!BT5=1),1+('Control Room'!$C$16-1)*EXP(-0.5*(($A78-'Control Room'!$A$16-('Control Room'!$B$16-1)/2)/MAX(0.5,'Control Room'!$B$16/4))^2),1)</x:f>
        <x:v>1</x:v>
      </x:c>
      <x:c r="AZ78" s="9" t="n">
        <x:f>MOD(BA77*16807,2147483647)</x:f>
        <x:v>378908630</x:v>
      </x:c>
      <x:c r="BA78" s="9" t="n">
        <x:f>MOD(AZ78*16807,2147483647)</x:f>
        <x:v>1028331055</x:v>
      </x:c>
      <x:c r="BB78" s="17" t="n">
        <x:f>IF('Control Room'!$B$5="Normal",'Control Room'!$B$7+'Control Room'!$D$7*SQRT(-2*LN(MAX(0.000000000001,AZ78/2147483647)))*COS(2*PI()*BA78/2147483647),'Control Room'!$B$8+('Control Room'!$D$8-'Control Room'!$B$8)*AZ78/2147483647)</x:f>
        <x:v>833.8378128647979</x:v>
      </x:c>
      <x:c r="BC78" s="17" t="n">
        <x:f>IF('Control Room'!$B$5="Normal",'Control Room'!$B$7,('Control Room'!$B$8+'Control Room'!$D$8)/2)+'Control Room'!$B$9*(BC77-IF('Control Room'!$B$5="Normal",'Control Room'!$B$7,('Control Room'!$B$8+'Control Room'!$D$8)/2))+SQRT(1-'Control Room'!$B$9^2)*(BB78-IF('Control Room'!$B$5="Normal",'Control Room'!$B$7,('Control Room'!$B$8+'Control Room'!$D$8)/2))</x:f>
        <x:v>758.3224062136412</x:v>
      </x:c>
      <x:c r="BD78" s="17" t="n">
        <x:f>IF(AND($A78&gt;='Control Room'!$A$13,$A78&lt;'Control Room'!$A$13+'Control Room'!$B$13,'Process'!BU2=1),1+('Control Room'!$C$13-1)*EXP(-0.5*(($A78-'Control Room'!$A$13-('Control Room'!$B$13-1)/2)/MAX(0.5,'Control Room'!$B$13/4))^2),1)*IF(AND($A78&gt;='Control Room'!$A$14,$A78&lt;'Control Room'!$A$14+'Control Room'!$B$14,'Process'!BU3=1),1+('Control Room'!$C$14-1)*EXP(-0.5*(($A78-'Control Room'!$A$14-('Control Room'!$B$14-1)/2)/MAX(0.5,'Control Room'!$B$14/4))^2),1)*IF(AND($A78&gt;='Control Room'!$A$15,$A78&lt;'Control Room'!$A$15+'Control Room'!$B$15,'Process'!BU4=1),1+('Control Room'!$C$15-1)*EXP(-0.5*(($A78-'Control Room'!$A$15-('Control Room'!$B$15-1)/2)/MAX(0.5,'Control Room'!$B$15/4))^2),1)*IF(AND($A78&gt;='Control Room'!$A$16,$A78&lt;'Control Room'!$A$16+'Control Room'!$B$16,'Process'!BU5=1),1+('Control Room'!$C$16-1)*EXP(-0.5*(($A78-'Control Room'!$A$16-('Control Room'!$B$16-1)/2)/MAX(0.5,'Control Room'!$B$16/4))^2),1)</x:f>
        <x:v>1</x:v>
      </x:c>
      <x:c r="BE78" s="9" t="n">
        <x:f>MOD(BF77*16807,2147483647)</x:f>
        <x:v>551322132</x:v>
      </x:c>
      <x:c r="BF78" s="9" t="n">
        <x:f>MOD(BE78*16807,2147483647)</x:f>
        <x:v>1826619366</x:v>
      </x:c>
      <x:c r="BG78" s="17" t="n">
        <x:f>IF('Control Room'!$B$5="Normal",'Control Room'!$B$7+'Control Room'!$D$7*SQRT(-2*LN(MAX(0.000000000001,BE78/2147483647)))*COS(2*PI()*BF78/2147483647),'Control Room'!$B$8+('Control Room'!$D$8-'Control Room'!$B$8)*BE78/2147483647)</x:f>
        <x:v>1087.6789031610388</x:v>
      </x:c>
      <x:c r="BH78" s="17" t="n">
        <x:f>IF('Control Room'!$B$5="Normal",'Control Room'!$B$7,('Control Room'!$B$8+'Control Room'!$D$8)/2)+'Control Room'!$B$9*(BH77-IF('Control Room'!$B$5="Normal",'Control Room'!$B$7,('Control Room'!$B$8+'Control Room'!$D$8)/2))+SQRT(1-'Control Room'!$B$9^2)*(BG78-IF('Control Room'!$B$5="Normal",'Control Room'!$B$7,('Control Room'!$B$8+'Control Room'!$D$8)/2))</x:f>
        <x:v>1141.7233695639252</x:v>
      </x:c>
      <x:c r="BI78" s="17" t="n">
        <x:f>IF(AND($A78&gt;='Control Room'!$A$13,$A78&lt;'Control Room'!$A$13+'Control Room'!$B$13,'Process'!BV2=1),1+('Control Room'!$C$13-1)*EXP(-0.5*(($A78-'Control Room'!$A$13-('Control Room'!$B$13-1)/2)/MAX(0.5,'Control Room'!$B$13/4))^2),1)*IF(AND($A78&gt;='Control Room'!$A$14,$A78&lt;'Control Room'!$A$14+'Control Room'!$B$14,'Process'!BV3=1),1+('Control Room'!$C$14-1)*EXP(-0.5*(($A78-'Control Room'!$A$14-('Control Room'!$B$14-1)/2)/MAX(0.5,'Control Room'!$B$14/4))^2),1)*IF(AND($A78&gt;='Control Room'!$A$15,$A78&lt;'Control Room'!$A$15+'Control Room'!$B$15,'Process'!BV4=1),1+('Control Room'!$C$15-1)*EXP(-0.5*(($A78-'Control Room'!$A$15-('Control Room'!$B$15-1)/2)/MAX(0.5,'Control Room'!$B$15/4))^2),1)*IF(AND($A78&gt;='Control Room'!$A$16,$A78&lt;'Control Room'!$A$16+'Control Room'!$B$16,'Process'!BV5=1),1+('Control Room'!$C$16-1)*EXP(-0.5*(($A78-'Control Room'!$A$16-('Control Room'!$B$16-1)/2)/MAX(0.5,'Control Room'!$B$16/4))^2),1)</x:f>
        <x:v>1</x:v>
      </x:c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Z78" t="str">
        <x:f>IF('Data'!A78="","",TEXT('Data'!A78,"mm-dd"))</x:f>
        <x:v>01-17</x:v>
      </x:c>
    </x:row>
    <x:row r="79" ht="21" customHeight="1">
      <x:c r="A79" s="15" t="n">
        <x:f>'Control Room'!$B$1+77</x:f>
        <x:v>73068</x:v>
      </x:c>
      <x:c r="B79" s="9" t="n">
        <x:f>MOD(C78*16807,2147483647)</x:f>
        <x:v>231034178</x:v>
      </x:c>
      <x:c r="C79" s="9" t="n">
        <x:f>MOD(B79*16807,2147483647)</x:f>
        <x:v>340995870</x:v>
      </x:c>
      <x:c r="D79" s="17" t="n">
        <x:f>IF('Control Room'!$B$5="Normal",'Control Room'!$B$7+'Control Room'!$D$7*SQRT(-2*LN(MAX(0.000000000001,B79/2147483647)))*COS(2*PI()*C79/2147483647),'Control Room'!$B$8+('Control Room'!$D$8-'Control Room'!$B$8)*B79/2147483647)</x:f>
        <x:v>1103.0504252792005</x:v>
      </x:c>
      <x:c r="E79" s="17" t="n">
        <x:f>IF('Control Room'!$B$5="Normal",'Control Room'!$B$7,('Control Room'!$B$8+'Control Room'!$D$8)/2)+'Control Room'!$B$9*(E78-IF('Control Room'!$B$5="Normal",'Control Room'!$B$7,('Control Room'!$B$8+'Control Room'!$D$8)/2))+SQRT(1-'Control Room'!$B$9^2)*(D79-IF('Control Room'!$B$5="Normal",'Control Room'!$B$7,('Control Room'!$B$8+'Control Room'!$D$8)/2))</x:f>
        <x:v>1140.95501233961</x:v>
      </x:c>
      <x:c r="F79" s="17" t="n">
        <x:f>IF(AND($A79&gt;='Control Room'!$A$13,$A79&lt;'Control Room'!$A$13+'Control Room'!$B$13,'Process'!BK2=1),1+('Control Room'!$C$13-1)*EXP(-0.5*(($A79-'Control Room'!$A$13-('Control Room'!$B$13-1)/2)/MAX(0.5,'Control Room'!$B$13/4))^2),1)*IF(AND($A79&gt;='Control Room'!$A$14,$A79&lt;'Control Room'!$A$14+'Control Room'!$B$14,'Process'!BK3=1),1+('Control Room'!$C$14-1)*EXP(-0.5*(($A79-'Control Room'!$A$14-('Control Room'!$B$14-1)/2)/MAX(0.5,'Control Room'!$B$14/4))^2),1)*IF(AND($A79&gt;='Control Room'!$A$15,$A79&lt;'Control Room'!$A$15+'Control Room'!$B$15,'Process'!BK4=1),1+('Control Room'!$C$15-1)*EXP(-0.5*(($A79-'Control Room'!$A$15-('Control Room'!$B$15-1)/2)/MAX(0.5,'Control Room'!$B$15/4))^2),1)*IF(AND($A79&gt;='Control Room'!$A$16,$A79&lt;'Control Room'!$A$16+'Control Room'!$B$16,'Process'!BK5=1),1+('Control Room'!$C$16-1)*EXP(-0.5*(($A79-'Control Room'!$A$16-('Control Room'!$B$16-1)/2)/MAX(0.5,'Control Room'!$B$16/4))^2),1)</x:f>
        <x:v>1</x:v>
      </x:c>
      <x:c r="G79" s="9" t="n">
        <x:f>MOD(H78*16807,2147483647)</x:f>
        <x:v>1732334346</x:v>
      </x:c>
      <x:c r="H79" s="9" t="n">
        <x:f>MOD(G79*16807,2147483647)</x:f>
        <x:v>1907550843</x:v>
      </x:c>
      <x:c r="I79" s="17" t="n">
        <x:f>IF('Control Room'!$B$5="Normal",'Control Room'!$B$7+'Control Room'!$D$7*SQRT(-2*LN(MAX(0.000000000001,G79/2147483647)))*COS(2*PI()*H79/2147483647),'Control Room'!$B$8+('Control Room'!$D$8-'Control Room'!$B$8)*G79/2147483647)</x:f>
        <x:v>1045.0442246734683</x:v>
      </x:c>
      <x:c r="J79" s="17" t="n">
        <x:f>IF('Control Room'!$B$5="Normal",'Control Room'!$B$7,('Control Room'!$B$8+'Control Room'!$D$8)/2)+'Control Room'!$B$9*(J78-IF('Control Room'!$B$5="Normal",'Control Room'!$B$7,('Control Room'!$B$8+'Control Room'!$D$8)/2))+SQRT(1-'Control Room'!$B$9^2)*(I79-IF('Control Room'!$B$5="Normal",'Control Room'!$B$7,('Control Room'!$B$8+'Control Room'!$D$8)/2))</x:f>
        <x:v>1016.4667986533432</x:v>
      </x:c>
      <x:c r="K79" s="17" t="n">
        <x:f>IF(AND($A79&gt;='Control Room'!$A$13,$A79&lt;'Control Room'!$A$13+'Control Room'!$B$13,'Process'!BL2=1),1+('Control Room'!$C$13-1)*EXP(-0.5*(($A79-'Control Room'!$A$13-('Control Room'!$B$13-1)/2)/MAX(0.5,'Control Room'!$B$13/4))^2),1)*IF(AND($A79&gt;='Control Room'!$A$14,$A79&lt;'Control Room'!$A$14+'Control Room'!$B$14,'Process'!BL3=1),1+('Control Room'!$C$14-1)*EXP(-0.5*(($A79-'Control Room'!$A$14-('Control Room'!$B$14-1)/2)/MAX(0.5,'Control Room'!$B$14/4))^2),1)*IF(AND($A79&gt;='Control Room'!$A$15,$A79&lt;'Control Room'!$A$15+'Control Room'!$B$15,'Process'!BL4=1),1+('Control Room'!$C$15-1)*EXP(-0.5*(($A79-'Control Room'!$A$15-('Control Room'!$B$15-1)/2)/MAX(0.5,'Control Room'!$B$15/4))^2),1)*IF(AND($A79&gt;='Control Room'!$A$16,$A79&lt;'Control Room'!$A$16+'Control Room'!$B$16,'Process'!BL5=1),1+('Control Room'!$C$16-1)*EXP(-0.5*(($A79-'Control Room'!$A$16-('Control Room'!$B$16-1)/2)/MAX(0.5,'Control Room'!$B$16/4))^2),1)</x:f>
        <x:v>1</x:v>
      </x:c>
      <x:c r="L79" s="9" t="n">
        <x:f>MOD(M78*16807,2147483647)</x:f>
        <x:v>1086150867</x:v>
      </x:c>
      <x:c r="M79" s="9" t="n">
        <x:f>MOD(L79*16807,2147483647)</x:f>
        <x:v>1326622169</x:v>
      </x:c>
      <x:c r="N79" s="17" t="n">
        <x:f>IF('Control Room'!$B$5="Normal",'Control Room'!$B$7+'Control Room'!$D$7*SQRT(-2*LN(MAX(0.000000000001,L79/2147483647)))*COS(2*PI()*M79/2147483647),'Control Room'!$B$8+('Control Room'!$D$8-'Control Room'!$B$8)*L79/2147483647)</x:f>
        <x:v>922.3900565165217</x:v>
      </x:c>
      <x:c r="O79" s="17" t="n">
        <x:f>IF('Control Room'!$B$5="Normal",'Control Room'!$B$7,('Control Room'!$B$8+'Control Room'!$D$8)/2)+'Control Room'!$B$9*(O78-IF('Control Room'!$B$5="Normal",'Control Room'!$B$7,('Control Room'!$B$8+'Control Room'!$D$8)/2))+SQRT(1-'Control Room'!$B$9^2)*(N79-IF('Control Room'!$B$5="Normal",'Control Room'!$B$7,('Control Room'!$B$8+'Control Room'!$D$8)/2))</x:f>
        <x:v>854.575682079157</x:v>
      </x:c>
      <x:c r="P79" s="17" t="n">
        <x:f>IF(AND($A79&gt;='Control Room'!$A$13,$A79&lt;'Control Room'!$A$13+'Control Room'!$B$13,'Process'!BM2=1),1+('Control Room'!$C$13-1)*EXP(-0.5*(($A79-'Control Room'!$A$13-('Control Room'!$B$13-1)/2)/MAX(0.5,'Control Room'!$B$13/4))^2),1)*IF(AND($A79&gt;='Control Room'!$A$14,$A79&lt;'Control Room'!$A$14+'Control Room'!$B$14,'Process'!BM3=1),1+('Control Room'!$C$14-1)*EXP(-0.5*(($A79-'Control Room'!$A$14-('Control Room'!$B$14-1)/2)/MAX(0.5,'Control Room'!$B$14/4))^2),1)*IF(AND($A79&gt;='Control Room'!$A$15,$A79&lt;'Control Room'!$A$15+'Control Room'!$B$15,'Process'!BM4=1),1+('Control Room'!$C$15-1)*EXP(-0.5*(($A79-'Control Room'!$A$15-('Control Room'!$B$15-1)/2)/MAX(0.5,'Control Room'!$B$15/4))^2),1)*IF(AND($A79&gt;='Control Room'!$A$16,$A79&lt;'Control Room'!$A$16+'Control Room'!$B$16,'Process'!BM5=1),1+('Control Room'!$C$16-1)*EXP(-0.5*(($A79-'Control Room'!$A$16-('Control Room'!$B$16-1)/2)/MAX(0.5,'Control Room'!$B$16/4))^2),1)</x:f>
        <x:v>1</x:v>
      </x:c>
      <x:c r="Q79" s="9" t="n">
        <x:f>MOD(R78*16807,2147483647)</x:f>
        <x:v>439967388</x:v>
      </x:c>
      <x:c r="R79" s="9" t="n">
        <x:f>MOD(Q79*16807,2147483647)</x:f>
        <x:v>745693495</x:v>
      </x:c>
      <x:c r="S79" s="17" t="n">
        <x:f>IF('Control Room'!$B$5="Normal",'Control Room'!$B$7+'Control Room'!$D$7*SQRT(-2*LN(MAX(0.000000000001,Q79/2147483647)))*COS(2*PI()*R79/2147483647),'Control Room'!$B$8+('Control Room'!$D$8-'Control Room'!$B$8)*Q79/2147483647)</x:f>
        <x:v>908.0645160431493</x:v>
      </x:c>
      <x:c r="T79" s="17" t="n">
        <x:f>IF('Control Room'!$B$5="Normal",'Control Room'!$B$7,('Control Room'!$B$8+'Control Room'!$D$8)/2)+'Control Room'!$B$9*(T78-IF('Control Room'!$B$5="Normal",'Control Room'!$B$7,('Control Room'!$B$8+'Control Room'!$D$8)/2))+SQRT(1-'Control Room'!$B$9^2)*(S79-IF('Control Room'!$B$5="Normal",'Control Room'!$B$7,('Control Room'!$B$8+'Control Room'!$D$8)/2))</x:f>
        <x:v>965.3478206092963</x:v>
      </x:c>
      <x:c r="U79" s="17" t="n">
        <x:f>IF(AND($A79&gt;='Control Room'!$A$13,$A79&lt;'Control Room'!$A$13+'Control Room'!$B$13,'Process'!BN2=1),1+('Control Room'!$C$13-1)*EXP(-0.5*(($A79-'Control Room'!$A$13-('Control Room'!$B$13-1)/2)/MAX(0.5,'Control Room'!$B$13/4))^2),1)*IF(AND($A79&gt;='Control Room'!$A$14,$A79&lt;'Control Room'!$A$14+'Control Room'!$B$14,'Process'!BN3=1),1+('Control Room'!$C$14-1)*EXP(-0.5*(($A79-'Control Room'!$A$14-('Control Room'!$B$14-1)/2)/MAX(0.5,'Control Room'!$B$14/4))^2),1)*IF(AND($A79&gt;='Control Room'!$A$15,$A79&lt;'Control Room'!$A$15+'Control Room'!$B$15,'Process'!BN4=1),1+('Control Room'!$C$15-1)*EXP(-0.5*(($A79-'Control Room'!$A$15-('Control Room'!$B$15-1)/2)/MAX(0.5,'Control Room'!$B$15/4))^2),1)*IF(AND($A79&gt;='Control Room'!$A$16,$A79&lt;'Control Room'!$A$16+'Control Room'!$B$16,'Process'!BN5=1),1+('Control Room'!$C$16-1)*EXP(-0.5*(($A79-'Control Room'!$A$16-('Control Room'!$B$16-1)/2)/MAX(0.5,'Control Room'!$B$16/4))^2),1)</x:f>
        <x:v>1</x:v>
      </x:c>
      <x:c r="V79" s="9" t="n">
        <x:f>MOD(W78*16807,2147483647)</x:f>
        <x:v>1941267556</x:v>
      </x:c>
      <x:c r="W79" s="9" t="n">
        <x:f>MOD(V79*16807,2147483647)</x:f>
        <x:v>164764821</x:v>
      </x:c>
      <x:c r="X79" s="17" t="n">
        <x:f>IF('Control Room'!$B$5="Normal",'Control Room'!$B$7+'Control Room'!$D$7*SQRT(-2*LN(MAX(0.000000000001,V79/2147483647)))*COS(2*PI()*W79/2147483647),'Control Room'!$B$8+('Control Room'!$D$8-'Control Room'!$B$8)*V79/2147483647)</x:f>
        <x:v>1035.8322087040046</x:v>
      </x:c>
      <x:c r="Y79" s="17" t="n">
        <x:f>IF('Control Room'!$B$5="Normal",'Control Room'!$B$7,('Control Room'!$B$8+'Control Room'!$D$8)/2)+'Control Room'!$B$9*(Y78-IF('Control Room'!$B$5="Normal",'Control Room'!$B$7,('Control Room'!$B$8+'Control Room'!$D$8)/2))+SQRT(1-'Control Room'!$B$9^2)*(X79-IF('Control Room'!$B$5="Normal",'Control Room'!$B$7,('Control Room'!$B$8+'Control Room'!$D$8)/2))</x:f>
        <x:v>1136.8363349903934</x:v>
      </x:c>
      <x:c r="Z79" s="17" t="n">
        <x:f>IF(AND($A79&gt;='Control Room'!$A$13,$A79&lt;'Control Room'!$A$13+'Control Room'!$B$13,'Process'!BO2=1),1+('Control Room'!$C$13-1)*EXP(-0.5*(($A79-'Control Room'!$A$13-('Control Room'!$B$13-1)/2)/MAX(0.5,'Control Room'!$B$13/4))^2),1)*IF(AND($A79&gt;='Control Room'!$A$14,$A79&lt;'Control Room'!$A$14+'Control Room'!$B$14,'Process'!BO3=1),1+('Control Room'!$C$14-1)*EXP(-0.5*(($A79-'Control Room'!$A$14-('Control Room'!$B$14-1)/2)/MAX(0.5,'Control Room'!$B$14/4))^2),1)*IF(AND($A79&gt;='Control Room'!$A$15,$A79&lt;'Control Room'!$A$15+'Control Room'!$B$15,'Process'!BO4=1),1+('Control Room'!$C$15-1)*EXP(-0.5*(($A79-'Control Room'!$A$15-('Control Room'!$B$15-1)/2)/MAX(0.5,'Control Room'!$B$15/4))^2),1)*IF(AND($A79&gt;='Control Room'!$A$16,$A79&lt;'Control Room'!$A$16+'Control Room'!$B$16,'Process'!BO5=1),1+('Control Room'!$C$16-1)*EXP(-0.5*(($A79-'Control Room'!$A$16-('Control Room'!$B$16-1)/2)/MAX(0.5,'Control Room'!$B$16/4))^2),1)</x:f>
        <x:v>1</x:v>
      </x:c>
      <x:c r="AA79" s="9" t="n">
        <x:f>MOD(AB78*16807,2147483647)</x:f>
        <x:v>1295084077</x:v>
      </x:c>
      <x:c r="AB79" s="9" t="n">
        <x:f>MOD(AA79*16807,2147483647)</x:f>
        <x:v>1731319794</x:v>
      </x:c>
      <x:c r="AC79" s="17" t="n">
        <x:f>IF('Control Room'!$B$5="Normal",'Control Room'!$B$7+'Control Room'!$D$7*SQRT(-2*LN(MAX(0.000000000001,AA79/2147483647)))*COS(2*PI()*AB79/2147483647),'Control Room'!$B$8+('Control Room'!$D$8-'Control Room'!$B$8)*AA79/2147483647)</x:f>
        <x:v>1031.3061567285476</x:v>
      </x:c>
      <x:c r="AD79" s="17" t="n">
        <x:f>IF('Control Room'!$B$5="Normal",'Control Room'!$B$7,('Control Room'!$B$8+'Control Room'!$D$8)/2)+'Control Room'!$B$9*(AD78-IF('Control Room'!$B$5="Normal",'Control Room'!$B$7,('Control Room'!$B$8+'Control Room'!$D$8)/2))+SQRT(1-'Control Room'!$B$9^2)*(AC79-IF('Control Room'!$B$5="Normal",'Control Room'!$B$7,('Control Room'!$B$8+'Control Room'!$D$8)/2))</x:f>
        <x:v>918.3842078202158</x:v>
      </x:c>
      <x:c r="AE79" s="17" t="n">
        <x:f>IF(AND($A79&gt;='Control Room'!$A$13,$A79&lt;'Control Room'!$A$13+'Control Room'!$B$13,'Process'!BP2=1),1+('Control Room'!$C$13-1)*EXP(-0.5*(($A79-'Control Room'!$A$13-('Control Room'!$B$13-1)/2)/MAX(0.5,'Control Room'!$B$13/4))^2),1)*IF(AND($A79&gt;='Control Room'!$A$14,$A79&lt;'Control Room'!$A$14+'Control Room'!$B$14,'Process'!BP3=1),1+('Control Room'!$C$14-1)*EXP(-0.5*(($A79-'Control Room'!$A$14-('Control Room'!$B$14-1)/2)/MAX(0.5,'Control Room'!$B$14/4))^2),1)*IF(AND($A79&gt;='Control Room'!$A$15,$A79&lt;'Control Room'!$A$15+'Control Room'!$B$15,'Process'!BP4=1),1+('Control Room'!$C$15-1)*EXP(-0.5*(($A79-'Control Room'!$A$15-('Control Room'!$B$15-1)/2)/MAX(0.5,'Control Room'!$B$15/4))^2),1)*IF(AND($A79&gt;='Control Room'!$A$16,$A79&lt;'Control Room'!$A$16+'Control Room'!$B$16,'Process'!BP5=1),1+('Control Room'!$C$16-1)*EXP(-0.5*(($A79-'Control Room'!$A$16-('Control Room'!$B$16-1)/2)/MAX(0.5,'Control Room'!$B$16/4))^2),1)</x:f>
        <x:v>1</x:v>
      </x:c>
      <x:c r="AF79" s="9" t="n">
        <x:f>MOD(AG78*16807,2147483647)</x:f>
        <x:v>648900598</x:v>
      </x:c>
      <x:c r="AG79" s="9" t="n">
        <x:f>MOD(AF79*16807,2147483647)</x:f>
        <x:v>1150391120</x:v>
      </x:c>
      <x:c r="AH79" s="17" t="n">
        <x:f>IF('Control Room'!$B$5="Normal",'Control Room'!$B$7+'Control Room'!$D$7*SQRT(-2*LN(MAX(0.000000000001,AF79/2147483647)))*COS(2*PI()*AG79/2147483647),'Control Room'!$B$8+('Control Room'!$D$8-'Control Room'!$B$8)*AF79/2147483647)</x:f>
        <x:v>864.2470401760577</x:v>
      </x:c>
      <x:c r="AI79" s="17" t="n">
        <x:f>IF('Control Room'!$B$5="Normal",'Control Room'!$B$7,('Control Room'!$B$8+'Control Room'!$D$8)/2)+'Control Room'!$B$9*(AI78-IF('Control Room'!$B$5="Normal",'Control Room'!$B$7,('Control Room'!$B$8+'Control Room'!$D$8)/2))+SQRT(1-'Control Room'!$B$9^2)*(AH79-IF('Control Room'!$B$5="Normal",'Control Room'!$B$7,('Control Room'!$B$8+'Control Room'!$D$8)/2))</x:f>
        <x:v>997.7194212436665</x:v>
      </x:c>
      <x:c r="AJ79" s="17" t="n">
        <x:f>IF(AND($A79&gt;='Control Room'!$A$13,$A79&lt;'Control Room'!$A$13+'Control Room'!$B$13,'Process'!BQ2=1),1+('Control Room'!$C$13-1)*EXP(-0.5*(($A79-'Control Room'!$A$13-('Control Room'!$B$13-1)/2)/MAX(0.5,'Control Room'!$B$13/4))^2),1)*IF(AND($A79&gt;='Control Room'!$A$14,$A79&lt;'Control Room'!$A$14+'Control Room'!$B$14,'Process'!BQ3=1),1+('Control Room'!$C$14-1)*EXP(-0.5*(($A79-'Control Room'!$A$14-('Control Room'!$B$14-1)/2)/MAX(0.5,'Control Room'!$B$14/4))^2),1)*IF(AND($A79&gt;='Control Room'!$A$15,$A79&lt;'Control Room'!$A$15+'Control Room'!$B$15,'Process'!BQ4=1),1+('Control Room'!$C$15-1)*EXP(-0.5*(($A79-'Control Room'!$A$15-('Control Room'!$B$15-1)/2)/MAX(0.5,'Control Room'!$B$15/4))^2),1)*IF(AND($A79&gt;='Control Room'!$A$16,$A79&lt;'Control Room'!$A$16+'Control Room'!$B$16,'Process'!BQ5=1),1+('Control Room'!$C$16-1)*EXP(-0.5*(($A79-'Control Room'!$A$16-('Control Room'!$B$16-1)/2)/MAX(0.5,'Control Room'!$B$16/4))^2),1)</x:f>
        <x:v>1</x:v>
      </x:c>
      <x:c r="AK79" s="9" t="n">
        <x:f>MOD(AL78*16807,2147483647)</x:f>
        <x:v>2717119</x:v>
      </x:c>
      <x:c r="AL79" s="9" t="n">
        <x:f>MOD(AK79*16807,2147483647)</x:f>
        <x:v>569462446</x:v>
      </x:c>
      <x:c r="AM79" s="17" t="n">
        <x:f>IF('Control Room'!$B$5="Normal",'Control Room'!$B$7+'Control Room'!$D$7*SQRT(-2*LN(MAX(0.000000000001,AK79/2147483647)))*COS(2*PI()*AL79/2147483647),'Control Room'!$B$8+('Control Room'!$D$8-'Control Room'!$B$8)*AK79/2147483647)</x:f>
        <x:v>968.696162781502</x:v>
      </x:c>
      <x:c r="AN79" s="17" t="n">
        <x:f>IF('Control Room'!$B$5="Normal",'Control Room'!$B$7,('Control Room'!$B$8+'Control Room'!$D$8)/2)+'Control Room'!$B$9*(AN78-IF('Control Room'!$B$5="Normal",'Control Room'!$B$7,('Control Room'!$B$8+'Control Room'!$D$8)/2))+SQRT(1-'Control Room'!$B$9^2)*(AM79-IF('Control Room'!$B$5="Normal",'Control Room'!$B$7,('Control Room'!$B$8+'Control Room'!$D$8)/2))</x:f>
        <x:v>967.4214777065495</x:v>
      </x:c>
      <x:c r="AO79" s="17" t="n">
        <x:f>IF(AND($A79&gt;='Control Room'!$A$13,$A79&lt;'Control Room'!$A$13+'Control Room'!$B$13,'Process'!BR2=1),1+('Control Room'!$C$13-1)*EXP(-0.5*(($A79-'Control Room'!$A$13-('Control Room'!$B$13-1)/2)/MAX(0.5,'Control Room'!$B$13/4))^2),1)*IF(AND($A79&gt;='Control Room'!$A$14,$A79&lt;'Control Room'!$A$14+'Control Room'!$B$14,'Process'!BR3=1),1+('Control Room'!$C$14-1)*EXP(-0.5*(($A79-'Control Room'!$A$14-('Control Room'!$B$14-1)/2)/MAX(0.5,'Control Room'!$B$14/4))^2),1)*IF(AND($A79&gt;='Control Room'!$A$15,$A79&lt;'Control Room'!$A$15+'Control Room'!$B$15,'Process'!BR4=1),1+('Control Room'!$C$15-1)*EXP(-0.5*(($A79-'Control Room'!$A$15-('Control Room'!$B$15-1)/2)/MAX(0.5,'Control Room'!$B$15/4))^2),1)*IF(AND($A79&gt;='Control Room'!$A$16,$A79&lt;'Control Room'!$A$16+'Control Room'!$B$16,'Process'!BR5=1),1+('Control Room'!$C$16-1)*EXP(-0.5*(($A79-'Control Room'!$A$16-('Control Room'!$B$16-1)/2)/MAX(0.5,'Control Room'!$B$16/4))^2),1)</x:f>
        <x:v>1</x:v>
      </x:c>
      <x:c r="AP79" s="9" t="n">
        <x:f>MOD(AQ78*16807,2147483647)</x:f>
        <x:v>1504017287</x:v>
      </x:c>
      <x:c r="AQ79" s="9" t="n">
        <x:f>MOD(AP79*16807,2147483647)</x:f>
        <x:v>2136017419</x:v>
      </x:c>
      <x:c r="AR79" s="17" t="n">
        <x:f>IF('Control Room'!$B$5="Normal",'Control Room'!$B$7+'Control Room'!$D$7*SQRT(-2*LN(MAX(0.000000000001,AP79/2147483647)))*COS(2*PI()*AQ79/2147483647),'Control Room'!$B$8+('Control Room'!$D$8-'Control Room'!$B$8)*AP79/2147483647)</x:f>
        <x:v>1075.9160899250996</x:v>
      </x:c>
      <x:c r="AS79" s="17" t="n">
        <x:f>IF('Control Room'!$B$5="Normal",'Control Room'!$B$7,('Control Room'!$B$8+'Control Room'!$D$8)/2)+'Control Room'!$B$9*(AS78-IF('Control Room'!$B$5="Normal",'Control Room'!$B$7,('Control Room'!$B$8+'Control Room'!$D$8)/2))+SQRT(1-'Control Room'!$B$9^2)*(AR79-IF('Control Room'!$B$5="Normal",'Control Room'!$B$7,('Control Room'!$B$8+'Control Room'!$D$8)/2))</x:f>
        <x:v>1094.6829669418146</x:v>
      </x:c>
      <x:c r="AT79" s="17" t="n">
        <x:f>IF(AND($A79&gt;='Control Room'!$A$13,$A79&lt;'Control Room'!$A$13+'Control Room'!$B$13,'Process'!BS2=1),1+('Control Room'!$C$13-1)*EXP(-0.5*(($A79-'Control Room'!$A$13-('Control Room'!$B$13-1)/2)/MAX(0.5,'Control Room'!$B$13/4))^2),1)*IF(AND($A79&gt;='Control Room'!$A$14,$A79&lt;'Control Room'!$A$14+'Control Room'!$B$14,'Process'!BS3=1),1+('Control Room'!$C$14-1)*EXP(-0.5*(($A79-'Control Room'!$A$14-('Control Room'!$B$14-1)/2)/MAX(0.5,'Control Room'!$B$14/4))^2),1)*IF(AND($A79&gt;='Control Room'!$A$15,$A79&lt;'Control Room'!$A$15+'Control Room'!$B$15,'Process'!BS4=1),1+('Control Room'!$C$15-1)*EXP(-0.5*(($A79-'Control Room'!$A$15-('Control Room'!$B$15-1)/2)/MAX(0.5,'Control Room'!$B$15/4))^2),1)*IF(AND($A79&gt;='Control Room'!$A$16,$A79&lt;'Control Room'!$A$16+'Control Room'!$B$16,'Process'!BS5=1),1+('Control Room'!$C$16-1)*EXP(-0.5*(($A79-'Control Room'!$A$16-('Control Room'!$B$16-1)/2)/MAX(0.5,'Control Room'!$B$16/4))^2),1)</x:f>
        <x:v>1</x:v>
      </x:c>
      <x:c r="AU79" s="9" t="n">
        <x:f>MOD(AV78*16807,2147483647)</x:f>
        <x:v>857833808</x:v>
      </x:c>
      <x:c r="AV79" s="9" t="n">
        <x:f>MOD(AU79*16807,2147483647)</x:f>
        <x:v>1555088745</x:v>
      </x:c>
      <x:c r="AW79" s="17" t="n">
        <x:f>IF('Control Room'!$B$5="Normal",'Control Room'!$B$7+'Control Room'!$D$7*SQRT(-2*LN(MAX(0.000000000001,AU79/2147483647)))*COS(2*PI()*AV79/2147483647),'Control Room'!$B$8+('Control Room'!$D$8-'Control Room'!$B$8)*AU79/2147483647)</x:f>
        <x:v>980.2797331434806</x:v>
      </x:c>
      <x:c r="AX79" s="17" t="n">
        <x:f>IF('Control Room'!$B$5="Normal",'Control Room'!$B$7,('Control Room'!$B$8+'Control Room'!$D$8)/2)+'Control Room'!$B$9*(AX78-IF('Control Room'!$B$5="Normal",'Control Room'!$B$7,('Control Room'!$B$8+'Control Room'!$D$8)/2))+SQRT(1-'Control Room'!$B$9^2)*(AW79-IF('Control Room'!$B$5="Normal",'Control Room'!$B$7,('Control Room'!$B$8+'Control Room'!$D$8)/2))</x:f>
        <x:v>1060.2478207274778</x:v>
      </x:c>
      <x:c r="AY79" s="17" t="n">
        <x:f>IF(AND($A79&gt;='Control Room'!$A$13,$A79&lt;'Control Room'!$A$13+'Control Room'!$B$13,'Process'!BT2=1),1+('Control Room'!$C$13-1)*EXP(-0.5*(($A79-'Control Room'!$A$13-('Control Room'!$B$13-1)/2)/MAX(0.5,'Control Room'!$B$13/4))^2),1)*IF(AND($A79&gt;='Control Room'!$A$14,$A79&lt;'Control Room'!$A$14+'Control Room'!$B$14,'Process'!BT3=1),1+('Control Room'!$C$14-1)*EXP(-0.5*(($A79-'Control Room'!$A$14-('Control Room'!$B$14-1)/2)/MAX(0.5,'Control Room'!$B$14/4))^2),1)*IF(AND($A79&gt;='Control Room'!$A$15,$A79&lt;'Control Room'!$A$15+'Control Room'!$B$15,'Process'!BT4=1),1+('Control Room'!$C$15-1)*EXP(-0.5*(($A79-'Control Room'!$A$15-('Control Room'!$B$15-1)/2)/MAX(0.5,'Control Room'!$B$15/4))^2),1)*IF(AND($A79&gt;='Control Room'!$A$16,$A79&lt;'Control Room'!$A$16+'Control Room'!$B$16,'Process'!BT5=1),1+('Control Room'!$C$16-1)*EXP(-0.5*(($A79-'Control Room'!$A$16-('Control Room'!$B$16-1)/2)/MAX(0.5,'Control Room'!$B$16/4))^2),1)</x:f>
        <x:v>1</x:v>
      </x:c>
      <x:c r="AZ79" s="9" t="n">
        <x:f>MOD(BA78*16807,2147483647)</x:f>
        <x:v>211650329</x:v>
      </x:c>
      <x:c r="BA79" s="9" t="n">
        <x:f>MOD(AZ79*16807,2147483647)</x:f>
        <x:v>974160071</x:v>
      </x:c>
      <x:c r="BB79" s="17" t="n">
        <x:f>IF('Control Room'!$B$5="Normal",'Control Room'!$B$7+'Control Room'!$D$7*SQRT(-2*LN(MAX(0.000000000001,AZ79/2147483647)))*COS(2*PI()*BA79/2147483647),'Control Room'!$B$8+('Control Room'!$D$8-'Control Room'!$B$8)*AZ79/2147483647)</x:f>
        <x:v>814.4201506481311</x:v>
      </x:c>
      <x:c r="BC79" s="17" t="n">
        <x:f>IF('Control Room'!$B$5="Normal",'Control Room'!$B$7,('Control Room'!$B$8+'Control Room'!$D$8)/2)+'Control Room'!$B$9*(BC78-IF('Control Room'!$B$5="Normal",'Control Room'!$B$7,('Control Room'!$B$8+'Control Room'!$D$8)/2))+SQRT(1-'Control Room'!$B$9^2)*(BB79-IF('Control Room'!$B$5="Normal",'Control Room'!$B$7,('Control Room'!$B$8+'Control Room'!$D$8)/2))</x:f>
        <x:v>695.3594089321014</x:v>
      </x:c>
      <x:c r="BD79" s="17" t="n">
        <x:f>IF(AND($A79&gt;='Control Room'!$A$13,$A79&lt;'Control Room'!$A$13+'Control Room'!$B$13,'Process'!BU2=1),1+('Control Room'!$C$13-1)*EXP(-0.5*(($A79-'Control Room'!$A$13-('Control Room'!$B$13-1)/2)/MAX(0.5,'Control Room'!$B$13/4))^2),1)*IF(AND($A79&gt;='Control Room'!$A$14,$A79&lt;'Control Room'!$A$14+'Control Room'!$B$14,'Process'!BU3=1),1+('Control Room'!$C$14-1)*EXP(-0.5*(($A79-'Control Room'!$A$14-('Control Room'!$B$14-1)/2)/MAX(0.5,'Control Room'!$B$14/4))^2),1)*IF(AND($A79&gt;='Control Room'!$A$15,$A79&lt;'Control Room'!$A$15+'Control Room'!$B$15,'Process'!BU4=1),1+('Control Room'!$C$15-1)*EXP(-0.5*(($A79-'Control Room'!$A$15-('Control Room'!$B$15-1)/2)/MAX(0.5,'Control Room'!$B$15/4))^2),1)*IF(AND($A79&gt;='Control Room'!$A$16,$A79&lt;'Control Room'!$A$16+'Control Room'!$B$16,'Process'!BU5=1),1+('Control Room'!$C$16-1)*EXP(-0.5*(($A79-'Control Room'!$A$16-('Control Room'!$B$16-1)/2)/MAX(0.5,'Control Room'!$B$16/4))^2),1)</x:f>
        <x:v>1</x:v>
      </x:c>
      <x:c r="BE79" s="9" t="n">
        <x:f>MOD(BF78*16807,2147483647)</x:f>
        <x:v>1712950497</x:v>
      </x:c>
      <x:c r="BF79" s="9" t="n">
        <x:f>MOD(BE79*16807,2147483647)</x:f>
        <x:v>393231397</x:v>
      </x:c>
      <x:c r="BG79" s="17" t="n">
        <x:f>IF('Control Room'!$B$5="Normal",'Control Room'!$B$7+'Control Room'!$D$7*SQRT(-2*LN(MAX(0.000000000001,BE79/2147483647)))*COS(2*PI()*BF79/2147483647),'Control Room'!$B$8+('Control Room'!$D$8-'Control Room'!$B$8)*BE79/2147483647)</x:f>
        <x:v>1024.6917251202792</x:v>
      </x:c>
      <x:c r="BH79" s="17" t="n">
        <x:f>IF('Control Room'!$B$5="Normal",'Control Room'!$B$7,('Control Room'!$B$8+'Control Room'!$D$8)/2)+'Control Room'!$B$9*(BH78-IF('Control Room'!$B$5="Normal",'Control Room'!$B$7,('Control Room'!$B$8+'Control Room'!$D$8)/2))+SQRT(1-'Control Room'!$B$9^2)*(BG79-IF('Control Room'!$B$5="Normal",'Control Room'!$B$7,('Control Room'!$B$8+'Control Room'!$D$8)/2))</x:f>
        <x:v>1125.9958040026486</x:v>
      </x:c>
      <x:c r="BI79" s="17" t="n">
        <x:f>IF(AND($A79&gt;='Control Room'!$A$13,$A79&lt;'Control Room'!$A$13+'Control Room'!$B$13,'Process'!BV2=1),1+('Control Room'!$C$13-1)*EXP(-0.5*(($A79-'Control Room'!$A$13-('Control Room'!$B$13-1)/2)/MAX(0.5,'Control Room'!$B$13/4))^2),1)*IF(AND($A79&gt;='Control Room'!$A$14,$A79&lt;'Control Room'!$A$14+'Control Room'!$B$14,'Process'!BV3=1),1+('Control Room'!$C$14-1)*EXP(-0.5*(($A79-'Control Room'!$A$14-('Control Room'!$B$14-1)/2)/MAX(0.5,'Control Room'!$B$14/4))^2),1)*IF(AND($A79&gt;='Control Room'!$A$15,$A79&lt;'Control Room'!$A$15+'Control Room'!$B$15,'Process'!BV4=1),1+('Control Room'!$C$15-1)*EXP(-0.5*(($A79-'Control Room'!$A$15-('Control Room'!$B$15-1)/2)/MAX(0.5,'Control Room'!$B$15/4))^2),1)*IF(AND($A79&gt;='Control Room'!$A$16,$A79&lt;'Control Room'!$A$16+'Control Room'!$B$16,'Process'!BV5=1),1+('Control Room'!$C$16-1)*EXP(-0.5*(($A79-'Control Room'!$A$16-('Control Room'!$B$16-1)/2)/MAX(0.5,'Control Room'!$B$16/4))^2),1)</x:f>
        <x:v>1</x:v>
      </x:c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Z79" t="str">
        <x:f>IF('Data'!A79="","",TEXT('Data'!A79,"mm-dd"))</x:f>
        <x:v>01-18</x:v>
      </x:c>
    </x:row>
    <x:row r="80" ht="21" customHeight="1">
      <x:c r="A80" s="15" t="n">
        <x:f>'Control Room'!$B$1+78</x:f>
        <x:v>73069</x:v>
      </x:c>
      <x:c r="B80" s="9" t="n">
        <x:f>MOD(C79*16807,2147483647)</x:f>
        <x:v>1631216894</x:v>
      </x:c>
      <x:c r="C80" s="9" t="n">
        <x:f>MOD(B80*16807,2147483647)</x:f>
        <x:v>1086099856</x:v>
      </x:c>
      <x:c r="D80" s="17" t="n">
        <x:f>IF('Control Room'!$B$5="Normal",'Control Room'!$B$7+'Control Room'!$D$7*SQRT(-2*LN(MAX(0.000000000001,B80/2147483647)))*COS(2*PI()*C80/2147483647),'Control Room'!$B$8+('Control Room'!$D$8-'Control Room'!$B$8)*B80/2147483647)</x:f>
        <x:v>933.3014218513676</x:v>
      </x:c>
      <x:c r="E80" s="17" t="n">
        <x:f>IF('Control Room'!$B$5="Normal",'Control Room'!$B$7,('Control Room'!$B$8+'Control Room'!$D$8)/2)+'Control Room'!$B$9*(E79-IF('Control Room'!$B$5="Normal",'Control Room'!$B$7,('Control Room'!$B$8+'Control Room'!$D$8)/2))+SQRT(1-'Control Room'!$B$9^2)*(D80-IF('Control Room'!$B$5="Normal",'Control Room'!$B$7,('Control Room'!$B$8+'Control Room'!$D$8)/2))</x:f>
        <x:v>1068.2063058141252</x:v>
      </x:c>
      <x:c r="F80" s="17" t="n">
        <x:f>IF(AND($A80&gt;='Control Room'!$A$13,$A80&lt;'Control Room'!$A$13+'Control Room'!$B$13,'Process'!BK2=1),1+('Control Room'!$C$13-1)*EXP(-0.5*(($A80-'Control Room'!$A$13-('Control Room'!$B$13-1)/2)/MAX(0.5,'Control Room'!$B$13/4))^2),1)*IF(AND($A80&gt;='Control Room'!$A$14,$A80&lt;'Control Room'!$A$14+'Control Room'!$B$14,'Process'!BK3=1),1+('Control Room'!$C$14-1)*EXP(-0.5*(($A80-'Control Room'!$A$14-('Control Room'!$B$14-1)/2)/MAX(0.5,'Control Room'!$B$14/4))^2),1)*IF(AND($A80&gt;='Control Room'!$A$15,$A80&lt;'Control Room'!$A$15+'Control Room'!$B$15,'Process'!BK4=1),1+('Control Room'!$C$15-1)*EXP(-0.5*(($A80-'Control Room'!$A$15-('Control Room'!$B$15-1)/2)/MAX(0.5,'Control Room'!$B$15/4))^2),1)*IF(AND($A80&gt;='Control Room'!$A$16,$A80&lt;'Control Room'!$A$16+'Control Room'!$B$16,'Process'!BK5=1),1+('Control Room'!$C$16-1)*EXP(-0.5*(($A80-'Control Room'!$A$16-('Control Room'!$B$16-1)/2)/MAX(0.5,'Control Room'!$B$16/4))^2),1)</x:f>
        <x:v>1</x:v>
      </x:c>
      <x:c r="G80" s="9" t="n">
        <x:f>MOD(H79*16807,2147483647)</x:f>
        <x:v>423652238</x:v>
      </x:c>
      <x:c r="H80" s="9" t="n">
        <x:f>MOD(G80*16807,2147483647)</x:f>
        <x:v>1414874261</x:v>
      </x:c>
      <x:c r="I80" s="17" t="n">
        <x:f>IF('Control Room'!$B$5="Normal",'Control Room'!$B$7+'Control Room'!$D$7*SQRT(-2*LN(MAX(0.000000000001,G80/2147483647)))*COS(2*PI()*H80/2147483647),'Control Room'!$B$8+('Control Room'!$D$8-'Control Room'!$B$8)*G80/2147483647)</x:f>
        <x:v>912.1268424603315</x:v>
      </x:c>
      <x:c r="J80" s="17" t="n">
        <x:f>IF('Control Room'!$B$5="Normal",'Control Room'!$B$7,('Control Room'!$B$8+'Control Room'!$D$8)/2)+'Control Room'!$B$9*(J79-IF('Control Room'!$B$5="Normal",'Control Room'!$B$7,('Control Room'!$B$8+'Control Room'!$D$8)/2))+SQRT(1-'Control Room'!$B$9^2)*(I80-IF('Control Room'!$B$5="Normal",'Control Room'!$B$7,('Control Room'!$B$8+'Control Room'!$D$8)/2))</x:f>
        <x:v>957.8548811407638</x:v>
      </x:c>
      <x:c r="K80" s="17" t="n">
        <x:f>IF(AND($A80&gt;='Control Room'!$A$13,$A80&lt;'Control Room'!$A$13+'Control Room'!$B$13,'Process'!BL2=1),1+('Control Room'!$C$13-1)*EXP(-0.5*(($A80-'Control Room'!$A$13-('Control Room'!$B$13-1)/2)/MAX(0.5,'Control Room'!$B$13/4))^2),1)*IF(AND($A80&gt;='Control Room'!$A$14,$A80&lt;'Control Room'!$A$14+'Control Room'!$B$14,'Process'!BL3=1),1+('Control Room'!$C$14-1)*EXP(-0.5*(($A80-'Control Room'!$A$14-('Control Room'!$B$14-1)/2)/MAX(0.5,'Control Room'!$B$14/4))^2),1)*IF(AND($A80&gt;='Control Room'!$A$15,$A80&lt;'Control Room'!$A$15+'Control Room'!$B$15,'Process'!BL4=1),1+('Control Room'!$C$15-1)*EXP(-0.5*(($A80-'Control Room'!$A$15-('Control Room'!$B$15-1)/2)/MAX(0.5,'Control Room'!$B$15/4))^2),1)*IF(AND($A80&gt;='Control Room'!$A$16,$A80&lt;'Control Room'!$A$16+'Control Room'!$B$16,'Process'!BL5=1),1+('Control Room'!$C$16-1)*EXP(-0.5*(($A80-'Control Room'!$A$16-('Control Room'!$B$16-1)/2)/MAX(0.5,'Control Room'!$B$16/4))^2),1)</x:f>
        <x:v>1</x:v>
      </x:c>
      <x:c r="L80" s="9" t="n">
        <x:f>MOD(M79*16807,2147483647)</x:f>
        <x:v>1363571229</x:v>
      </x:c>
      <x:c r="M80" s="9" t="n">
        <x:f>MOD(L80*16807,2147483647)</x:f>
        <x:v>1743648666</x:v>
      </x:c>
      <x:c r="N80" s="17" t="n">
        <x:f>IF('Control Room'!$B$5="Normal",'Control Room'!$B$7+'Control Room'!$D$7*SQRT(-2*LN(MAX(0.000000000001,L80/2147483647)))*COS(2*PI()*M80/2147483647),'Control Room'!$B$8+('Control Room'!$D$8-'Control Room'!$B$8)*L80/2147483647)</x:f>
        <x:v>1032.5516162704641</x:v>
      </x:c>
      <x:c r="O80" s="17" t="n">
        <x:f>IF('Control Room'!$B$5="Normal",'Control Room'!$B$7,('Control Room'!$B$8+'Control Room'!$D$8)/2)+'Control Room'!$B$9*(O79-IF('Control Room'!$B$5="Normal",'Control Room'!$B$7,('Control Room'!$B$8+'Control Room'!$D$8)/2))+SQRT(1-'Control Room'!$B$9^2)*(N80-IF('Control Room'!$B$5="Normal",'Control Room'!$B$7,('Control Room'!$B$8+'Control Room'!$D$8)/2))</x:f>
        <x:v>906.9391666276928</x:v>
      </x:c>
      <x:c r="P80" s="17" t="n">
        <x:f>IF(AND($A80&gt;='Control Room'!$A$13,$A80&lt;'Control Room'!$A$13+'Control Room'!$B$13,'Process'!BM2=1),1+('Control Room'!$C$13-1)*EXP(-0.5*(($A80-'Control Room'!$A$13-('Control Room'!$B$13-1)/2)/MAX(0.5,'Control Room'!$B$13/4))^2),1)*IF(AND($A80&gt;='Control Room'!$A$14,$A80&lt;'Control Room'!$A$14+'Control Room'!$B$14,'Process'!BM3=1),1+('Control Room'!$C$14-1)*EXP(-0.5*(($A80-'Control Room'!$A$14-('Control Room'!$B$14-1)/2)/MAX(0.5,'Control Room'!$B$14/4))^2),1)*IF(AND($A80&gt;='Control Room'!$A$15,$A80&lt;'Control Room'!$A$15+'Control Room'!$B$15,'Process'!BM4=1),1+('Control Room'!$C$15-1)*EXP(-0.5*(($A80-'Control Room'!$A$15-('Control Room'!$B$15-1)/2)/MAX(0.5,'Control Room'!$B$15/4))^2),1)*IF(AND($A80&gt;='Control Room'!$A$16,$A80&lt;'Control Room'!$A$16+'Control Room'!$B$16,'Process'!BM5=1),1+('Control Room'!$C$16-1)*EXP(-0.5*(($A80-'Control Room'!$A$16-('Control Room'!$B$16-1)/2)/MAX(0.5,'Control Room'!$B$16/4))^2),1)</x:f>
        <x:v>1</x:v>
      </x:c>
      <x:c r="Q80" s="9" t="n">
        <x:f>MOD(R79*16807,2147483647)</x:f>
        <x:v>156006573</x:v>
      </x:c>
      <x:c r="R80" s="9" t="n">
        <x:f>MOD(Q80*16807,2147483647)</x:f>
        <x:v>2072423071</x:v>
      </x:c>
      <x:c r="S80" s="17" t="n">
        <x:f>IF('Control Room'!$B$5="Normal",'Control Room'!$B$7+'Control Room'!$D$7*SQRT(-2*LN(MAX(0.000000000001,Q80/2147483647)))*COS(2*PI()*R80/2147483647),'Control Room'!$B$8+('Control Room'!$D$8-'Control Room'!$B$8)*Q80/2147483647)</x:f>
        <x:v>1201.1537531635731</x:v>
      </x:c>
      <x:c r="T80" s="17" t="n">
        <x:f>IF('Control Room'!$B$5="Normal",'Control Room'!$B$7,('Control Room'!$B$8+'Control Room'!$D$8)/2)+'Control Room'!$B$9*(T79-IF('Control Room'!$B$5="Normal",'Control Room'!$B$7,('Control Room'!$B$8+'Control Room'!$D$8)/2))+SQRT(1-'Control Room'!$B$9^2)*(S80-IF('Control Room'!$B$5="Normal",'Control Room'!$B$7,('Control Room'!$B$8+'Control Room'!$D$8)/2))</x:f>
        <x:v>1098.849197946393</x:v>
      </x:c>
      <x:c r="U80" s="17" t="n">
        <x:f>IF(AND($A80&gt;='Control Room'!$A$13,$A80&lt;'Control Room'!$A$13+'Control Room'!$B$13,'Process'!BN2=1),1+('Control Room'!$C$13-1)*EXP(-0.5*(($A80-'Control Room'!$A$13-('Control Room'!$B$13-1)/2)/MAX(0.5,'Control Room'!$B$13/4))^2),1)*IF(AND($A80&gt;='Control Room'!$A$14,$A80&lt;'Control Room'!$A$14+'Control Room'!$B$14,'Process'!BN3=1),1+('Control Room'!$C$14-1)*EXP(-0.5*(($A80-'Control Room'!$A$14-('Control Room'!$B$14-1)/2)/MAX(0.5,'Control Room'!$B$14/4))^2),1)*IF(AND($A80&gt;='Control Room'!$A$15,$A80&lt;'Control Room'!$A$15+'Control Room'!$B$15,'Process'!BN4=1),1+('Control Room'!$C$15-1)*EXP(-0.5*(($A80-'Control Room'!$A$15-('Control Room'!$B$15-1)/2)/MAX(0.5,'Control Room'!$B$15/4))^2),1)*IF(AND($A80&gt;='Control Room'!$A$16,$A80&lt;'Control Room'!$A$16+'Control Room'!$B$16,'Process'!BN5=1),1+('Control Room'!$C$16-1)*EXP(-0.5*(($A80-'Control Room'!$A$16-('Control Room'!$B$16-1)/2)/MAX(0.5,'Control Room'!$B$16/4))^2),1)</x:f>
        <x:v>1</x:v>
      </x:c>
      <x:c r="V80" s="9" t="n">
        <x:f>MOD(W79*16807,2147483647)</x:f>
        <x:v>1095925564</x:v>
      </x:c>
      <x:c r="W80" s="9" t="n">
        <x:f>MOD(V80*16807,2147483647)</x:f>
        <x:v>253713829</x:v>
      </x:c>
      <x:c r="X80" s="17" t="n">
        <x:f>IF('Control Room'!$B$5="Normal",'Control Room'!$B$7+'Control Room'!$D$7*SQRT(-2*LN(MAX(0.000000000001,V80/2147483647)))*COS(2*PI()*W80/2147483647),'Control Room'!$B$8+('Control Room'!$D$8-'Control Room'!$B$8)*V80/2147483647)</x:f>
        <x:v>1076.9263716239566</x:v>
      </x:c>
      <x:c r="Y80" s="17" t="n">
        <x:f>IF('Control Room'!$B$5="Normal",'Control Room'!$B$7,('Control Room'!$B$8+'Control Room'!$D$8)/2)+'Control Room'!$B$9*(Y79-IF('Control Room'!$B$5="Normal",'Control Room'!$B$7,('Control Room'!$B$8+'Control Room'!$D$8)/2))+SQRT(1-'Control Room'!$B$9^2)*(X80-IF('Control Room'!$B$5="Normal",'Control Room'!$B$7,('Control Room'!$B$8+'Control Room'!$D$8)/2))</x:f>
        <x:v>1154.871288732397</x:v>
      </x:c>
      <x:c r="Z80" s="17" t="n">
        <x:f>IF(AND($A80&gt;='Control Room'!$A$13,$A80&lt;'Control Room'!$A$13+'Control Room'!$B$13,'Process'!BO2=1),1+('Control Room'!$C$13-1)*EXP(-0.5*(($A80-'Control Room'!$A$13-('Control Room'!$B$13-1)/2)/MAX(0.5,'Control Room'!$B$13/4))^2),1)*IF(AND($A80&gt;='Control Room'!$A$14,$A80&lt;'Control Room'!$A$14+'Control Room'!$B$14,'Process'!BO3=1),1+('Control Room'!$C$14-1)*EXP(-0.5*(($A80-'Control Room'!$A$14-('Control Room'!$B$14-1)/2)/MAX(0.5,'Control Room'!$B$14/4))^2),1)*IF(AND($A80&gt;='Control Room'!$A$15,$A80&lt;'Control Room'!$A$15+'Control Room'!$B$15,'Process'!BO4=1),1+('Control Room'!$C$15-1)*EXP(-0.5*(($A80-'Control Room'!$A$15-('Control Room'!$B$15-1)/2)/MAX(0.5,'Control Room'!$B$15/4))^2),1)*IF(AND($A80&gt;='Control Room'!$A$16,$A80&lt;'Control Room'!$A$16+'Control Room'!$B$16,'Process'!BO5=1),1+('Control Room'!$C$16-1)*EXP(-0.5*(($A80-'Control Room'!$A$16-('Control Room'!$B$16-1)/2)/MAX(0.5,'Control Room'!$B$16/4))^2),1)</x:f>
        <x:v>1</x:v>
      </x:c>
      <x:c r="AA80" s="9" t="n">
        <x:f>MOD(AB79*16807,2147483647)</x:f>
        <x:v>2035844555</x:v>
      </x:c>
      <x:c r="AB80" s="9" t="n">
        <x:f>MOD(AA80*16807,2147483647)</x:f>
        <x:v>582488234</x:v>
      </x:c>
      <x:c r="AC80" s="17" t="n">
        <x:f>IF('Control Room'!$B$5="Normal",'Control Room'!$B$7+'Control Room'!$D$7*SQRT(-2*LN(MAX(0.000000000001,AA80/2147483647)))*COS(2*PI()*AB80/2147483647),'Control Room'!$B$8+('Control Room'!$D$8-'Control Room'!$B$8)*AA80/2147483647)</x:f>
        <x:v>996.0865403627104</x:v>
      </x:c>
      <x:c r="AD80" s="17" t="n">
        <x:f>IF('Control Room'!$B$5="Normal",'Control Room'!$B$7,('Control Room'!$B$8+'Control Room'!$D$8)/2)+'Control Room'!$B$9*(AD79-IF('Control Room'!$B$5="Normal",'Control Room'!$B$7,('Control Room'!$B$8+'Control Room'!$D$8)/2))+SQRT(1-'Control Room'!$B$9^2)*(AC80-IF('Control Room'!$B$5="Normal",'Control Room'!$B$7,('Control Room'!$B$8+'Control Room'!$D$8)/2))</x:f>
        <x:v>933.8907192303309</x:v>
      </x:c>
      <x:c r="AE80" s="17" t="n">
        <x:f>IF(AND($A80&gt;='Control Room'!$A$13,$A80&lt;'Control Room'!$A$13+'Control Room'!$B$13,'Process'!BP2=1),1+('Control Room'!$C$13-1)*EXP(-0.5*(($A80-'Control Room'!$A$13-('Control Room'!$B$13-1)/2)/MAX(0.5,'Control Room'!$B$13/4))^2),1)*IF(AND($A80&gt;='Control Room'!$A$14,$A80&lt;'Control Room'!$A$14+'Control Room'!$B$14,'Process'!BP3=1),1+('Control Room'!$C$14-1)*EXP(-0.5*(($A80-'Control Room'!$A$14-('Control Room'!$B$14-1)/2)/MAX(0.5,'Control Room'!$B$14/4))^2),1)*IF(AND($A80&gt;='Control Room'!$A$15,$A80&lt;'Control Room'!$A$15+'Control Room'!$B$15,'Process'!BP4=1),1+('Control Room'!$C$15-1)*EXP(-0.5*(($A80-'Control Room'!$A$15-('Control Room'!$B$15-1)/2)/MAX(0.5,'Control Room'!$B$15/4))^2),1)*IF(AND($A80&gt;='Control Room'!$A$16,$A80&lt;'Control Room'!$A$16+'Control Room'!$B$16,'Process'!BP5=1),1+('Control Room'!$C$16-1)*EXP(-0.5*(($A80-'Control Room'!$A$16-('Control Room'!$B$16-1)/2)/MAX(0.5,'Control Room'!$B$16/4))^2),1)</x:f>
        <x:v>1</x:v>
      </x:c>
      <x:c r="AF80" s="9" t="n">
        <x:f>MOD(AG79*16807,2147483647)</x:f>
        <x:v>828279899</x:v>
      </x:c>
      <x:c r="AG80" s="9" t="n">
        <x:f>MOD(AF80*16807,2147483647)</x:f>
        <x:v>911262639</x:v>
      </x:c>
      <x:c r="AH80" s="17" t="n">
        <x:f>IF('Control Room'!$B$5="Normal",'Control Room'!$B$7+'Control Room'!$D$7*SQRT(-2*LN(MAX(0.000000000001,AF80/2147483647)))*COS(2*PI()*AG80/2147483647),'Control Room'!$B$8+('Control Room'!$D$8-'Control Room'!$B$8)*AF80/2147483647)</x:f>
        <x:v>889.5428200727389</x:v>
      </x:c>
      <x:c r="AI80" s="17" t="n">
        <x:f>IF('Control Room'!$B$5="Normal",'Control Room'!$B$7,('Control Room'!$B$8+'Control Room'!$D$8)/2)+'Control Room'!$B$9*(AI79-IF('Control Room'!$B$5="Normal",'Control Room'!$B$7,('Control Room'!$B$8+'Control Room'!$D$8)/2))+SQRT(1-'Control Room'!$B$9^2)*(AH80-IF('Control Room'!$B$5="Normal",'Control Room'!$B$7,('Control Room'!$B$8+'Control Room'!$D$8)/2))</x:f>
        <x:v>929.0993082099069</x:v>
      </x:c>
      <x:c r="AJ80" s="17" t="n">
        <x:f>IF(AND($A80&gt;='Control Room'!$A$13,$A80&lt;'Control Room'!$A$13+'Control Room'!$B$13,'Process'!BQ2=1),1+('Control Room'!$C$13-1)*EXP(-0.5*(($A80-'Control Room'!$A$13-('Control Room'!$B$13-1)/2)/MAX(0.5,'Control Room'!$B$13/4))^2),1)*IF(AND($A80&gt;='Control Room'!$A$14,$A80&lt;'Control Room'!$A$14+'Control Room'!$B$14,'Process'!BQ3=1),1+('Control Room'!$C$14-1)*EXP(-0.5*(($A80-'Control Room'!$A$14-('Control Room'!$B$14-1)/2)/MAX(0.5,'Control Room'!$B$14/4))^2),1)*IF(AND($A80&gt;='Control Room'!$A$15,$A80&lt;'Control Room'!$A$15+'Control Room'!$B$15,'Process'!BQ4=1),1+('Control Room'!$C$15-1)*EXP(-0.5*(($A80-'Control Room'!$A$15-('Control Room'!$B$15-1)/2)/MAX(0.5,'Control Room'!$B$15/4))^2),1)*IF(AND($A80&gt;='Control Room'!$A$16,$A80&lt;'Control Room'!$A$16+'Control Room'!$B$16,'Process'!BQ5=1),1+('Control Room'!$C$16-1)*EXP(-0.5*(($A80-'Control Room'!$A$16-('Control Room'!$B$16-1)/2)/MAX(0.5,'Control Room'!$B$16/4))^2),1)</x:f>
        <x:v>1</x:v>
      </x:c>
      <x:c r="AK80" s="9" t="n">
        <x:f>MOD(AL79*16807,2147483647)</x:f>
        <x:v>1768198890</x:v>
      </x:c>
      <x:c r="AL80" s="9" t="n">
        <x:f>MOD(AK80*16807,2147483647)</x:f>
        <x:v>1240037044</x:v>
      </x:c>
      <x:c r="AM80" s="17" t="n">
        <x:f>IF('Control Room'!$B$5="Normal",'Control Room'!$B$7+'Control Room'!$D$7*SQRT(-2*LN(MAX(0.000000000001,AK80/2147483647)))*COS(2*PI()*AL80/2147483647),'Control Room'!$B$8+('Control Room'!$D$8-'Control Room'!$B$8)*AK80/2147483647)</x:f>
        <x:v>950.4023506080958</x:v>
      </x:c>
      <x:c r="AN80" s="17" t="n">
        <x:f>IF('Control Room'!$B$5="Normal",'Control Room'!$B$7,('Control Room'!$B$8+'Control Room'!$D$8)/2)+'Control Room'!$B$9*(AN79-IF('Control Room'!$B$5="Normal",'Control Room'!$B$7,('Control Room'!$B$8+'Control Room'!$D$8)/2))+SQRT(1-'Control Room'!$B$9^2)*(AM80-IF('Control Room'!$B$5="Normal",'Control Room'!$B$7,('Control Room'!$B$8+'Control Room'!$D$8)/2))</x:f>
        <x:v>943.5515596847307</x:v>
      </x:c>
      <x:c r="AO80" s="17" t="n">
        <x:f>IF(AND($A80&gt;='Control Room'!$A$13,$A80&lt;'Control Room'!$A$13+'Control Room'!$B$13,'Process'!BR2=1),1+('Control Room'!$C$13-1)*EXP(-0.5*(($A80-'Control Room'!$A$13-('Control Room'!$B$13-1)/2)/MAX(0.5,'Control Room'!$B$13/4))^2),1)*IF(AND($A80&gt;='Control Room'!$A$14,$A80&lt;'Control Room'!$A$14+'Control Room'!$B$14,'Process'!BR3=1),1+('Control Room'!$C$14-1)*EXP(-0.5*(($A80-'Control Room'!$A$14-('Control Room'!$B$14-1)/2)/MAX(0.5,'Control Room'!$B$14/4))^2),1)*IF(AND($A80&gt;='Control Room'!$A$15,$A80&lt;'Control Room'!$A$15+'Control Room'!$B$15,'Process'!BR4=1),1+('Control Room'!$C$15-1)*EXP(-0.5*(($A80-'Control Room'!$A$15-('Control Room'!$B$15-1)/2)/MAX(0.5,'Control Room'!$B$15/4))^2),1)*IF(AND($A80&gt;='Control Room'!$A$16,$A80&lt;'Control Room'!$A$16+'Control Room'!$B$16,'Process'!BR5=1),1+('Control Room'!$C$16-1)*EXP(-0.5*(($A80-'Control Room'!$A$16-('Control Room'!$B$16-1)/2)/MAX(0.5,'Control Room'!$B$16/4))^2),1)</x:f>
        <x:v>1</x:v>
      </x:c>
      <x:c r="AP80" s="9" t="n">
        <x:f>MOD(AQ79*16807,2147483647)</x:f>
        <x:v>560634234</x:v>
      </x:c>
      <x:c r="AQ80" s="9" t="n">
        <x:f>MOD(AP80*16807,2147483647)</x:f>
        <x:v>1568811449</x:v>
      </x:c>
      <x:c r="AR80" s="17" t="n">
        <x:f>IF('Control Room'!$B$5="Normal",'Control Room'!$B$7+'Control Room'!$D$7*SQRT(-2*LN(MAX(0.000000000001,AP80/2147483647)))*COS(2*PI()*AQ80/2147483647),'Control Room'!$B$8+('Control Room'!$D$8-'Control Room'!$B$8)*AP80/2147483647)</x:f>
        <x:v>982.0051091522695</x:v>
      </x:c>
      <x:c r="AS80" s="17" t="n">
        <x:f>IF('Control Room'!$B$5="Normal",'Control Room'!$B$7,('Control Room'!$B$8+'Control Room'!$D$8)/2)+'Control Room'!$B$9*(AS79-IF('Control Room'!$B$5="Normal",'Control Room'!$B$7,('Control Room'!$B$8+'Control Room'!$D$8)/2))+SQRT(1-'Control Room'!$B$9^2)*(AR80-IF('Control Room'!$B$5="Normal",'Control Room'!$B$7,('Control Room'!$B$8+'Control Room'!$D$8)/2))</x:f>
        <x:v>1062.5918801674823</x:v>
      </x:c>
      <x:c r="AT80" s="17" t="n">
        <x:f>IF(AND($A80&gt;='Control Room'!$A$13,$A80&lt;'Control Room'!$A$13+'Control Room'!$B$13,'Process'!BS2=1),1+('Control Room'!$C$13-1)*EXP(-0.5*(($A80-'Control Room'!$A$13-('Control Room'!$B$13-1)/2)/MAX(0.5,'Control Room'!$B$13/4))^2),1)*IF(AND($A80&gt;='Control Room'!$A$14,$A80&lt;'Control Room'!$A$14+'Control Room'!$B$14,'Process'!BS3=1),1+('Control Room'!$C$14-1)*EXP(-0.5*(($A80-'Control Room'!$A$14-('Control Room'!$B$14-1)/2)/MAX(0.5,'Control Room'!$B$14/4))^2),1)*IF(AND($A80&gt;='Control Room'!$A$15,$A80&lt;'Control Room'!$A$15+'Control Room'!$B$15,'Process'!BS4=1),1+('Control Room'!$C$15-1)*EXP(-0.5*(($A80-'Control Room'!$A$15-('Control Room'!$B$15-1)/2)/MAX(0.5,'Control Room'!$B$15/4))^2),1)*IF(AND($A80&gt;='Control Room'!$A$16,$A80&lt;'Control Room'!$A$16+'Control Room'!$B$16,'Process'!BS5=1),1+('Control Room'!$C$16-1)*EXP(-0.5*(($A80-'Control Room'!$A$16-('Control Room'!$B$16-1)/2)/MAX(0.5,'Control Room'!$B$16/4))^2),1)</x:f>
        <x:v>1</x:v>
      </x:c>
      <x:c r="AU80" s="9" t="n">
        <x:f>MOD(AV79*16807,2147483647)</x:f>
        <x:v>1500553225</x:v>
      </x:c>
      <x:c r="AV80" s="9" t="n">
        <x:f>MOD(AU80*16807,2147483647)</x:f>
        <x:v>1897585854</x:v>
      </x:c>
      <x:c r="AW80" s="17" t="n">
        <x:f>IF('Control Room'!$B$5="Normal",'Control Room'!$B$7+'Control Room'!$D$7*SQRT(-2*LN(MAX(0.000000000001,AU80/2147483647)))*COS(2*PI()*AV80/2147483647),'Control Room'!$B$8+('Control Room'!$D$8-'Control Room'!$B$8)*AU80/2147483647)</x:f>
        <x:v>1056.7265243350325</x:v>
      </x:c>
      <x:c r="AX80" s="17" t="n">
        <x:f>IF('Control Room'!$B$5="Normal",'Control Room'!$B$7,('Control Room'!$B$8+'Control Room'!$D$8)/2)+'Control Room'!$B$9*(AX79-IF('Control Room'!$B$5="Normal",'Control Room'!$B$7,('Control Room'!$B$8+'Control Room'!$D$8)/2))+SQRT(1-'Control Room'!$B$9^2)*(AW80-IF('Control Room'!$B$5="Normal",'Control Room'!$B$7,('Control Room'!$B$8+'Control Room'!$D$8)/2))</x:f>
        <x:v>1082.4915969902788</x:v>
      </x:c>
      <x:c r="AY80" s="17" t="n">
        <x:f>IF(AND($A80&gt;='Control Room'!$A$13,$A80&lt;'Control Room'!$A$13+'Control Room'!$B$13,'Process'!BT2=1),1+('Control Room'!$C$13-1)*EXP(-0.5*(($A80-'Control Room'!$A$13-('Control Room'!$B$13-1)/2)/MAX(0.5,'Control Room'!$B$13/4))^2),1)*IF(AND($A80&gt;='Control Room'!$A$14,$A80&lt;'Control Room'!$A$14+'Control Room'!$B$14,'Process'!BT3=1),1+('Control Room'!$C$14-1)*EXP(-0.5*(($A80-'Control Room'!$A$14-('Control Room'!$B$14-1)/2)/MAX(0.5,'Control Room'!$B$14/4))^2),1)*IF(AND($A80&gt;='Control Room'!$A$15,$A80&lt;'Control Room'!$A$15+'Control Room'!$B$15,'Process'!BT4=1),1+('Control Room'!$C$15-1)*EXP(-0.5*(($A80-'Control Room'!$A$15-('Control Room'!$B$15-1)/2)/MAX(0.5,'Control Room'!$B$15/4))^2),1)*IF(AND($A80&gt;='Control Room'!$A$16,$A80&lt;'Control Room'!$A$16+'Control Room'!$B$16,'Process'!BT5=1),1+('Control Room'!$C$16-1)*EXP(-0.5*(($A80-'Control Room'!$A$16-('Control Room'!$B$16-1)/2)/MAX(0.5,'Control Room'!$B$16/4))^2),1)</x:f>
        <x:v>1</x:v>
      </x:c>
      <x:c r="AZ80" s="9" t="n">
        <x:f>MOD(BA79*16807,2147483647)</x:f>
        <x:v>292988569</x:v>
      </x:c>
      <x:c r="BA80" s="9" t="n">
        <x:f>MOD(AZ80*16807,2147483647)</x:f>
        <x:v>78876612</x:v>
      </x:c>
      <x:c r="BB80" s="17" t="n">
        <x:f>IF('Control Room'!$B$5="Normal",'Control Room'!$B$7+'Control Room'!$D$7*SQRT(-2*LN(MAX(0.000000000001,AZ80/2147483647)))*COS(2*PI()*BA80/2147483647),'Control Room'!$B$8+('Control Room'!$D$8-'Control Room'!$B$8)*AZ80/2147483647)</x:f>
        <x:v>1174.8735011072463</x:v>
      </x:c>
      <x:c r="BC80" s="17" t="n">
        <x:f>IF('Control Room'!$B$5="Normal",'Control Room'!$B$7,('Control Room'!$B$8+'Control Room'!$D$8)/2)+'Control Room'!$B$9*(BC79-IF('Control Room'!$B$5="Normal",'Control Room'!$B$7,('Control Room'!$B$8+'Control Room'!$D$8)/2))+SQRT(1-'Control Room'!$B$9^2)*(BB80-IF('Control Room'!$B$5="Normal",'Control Room'!$B$7,('Control Room'!$B$8+'Control Room'!$D$8)/2))</x:f>
        <x:v>871.8125934815586</x:v>
      </x:c>
      <x:c r="BD80" s="17" t="n">
        <x:f>IF(AND($A80&gt;='Control Room'!$A$13,$A80&lt;'Control Room'!$A$13+'Control Room'!$B$13,'Process'!BU2=1),1+('Control Room'!$C$13-1)*EXP(-0.5*(($A80-'Control Room'!$A$13-('Control Room'!$B$13-1)/2)/MAX(0.5,'Control Room'!$B$13/4))^2),1)*IF(AND($A80&gt;='Control Room'!$A$14,$A80&lt;'Control Room'!$A$14+'Control Room'!$B$14,'Process'!BU3=1),1+('Control Room'!$C$14-1)*EXP(-0.5*(($A80-'Control Room'!$A$14-('Control Room'!$B$14-1)/2)/MAX(0.5,'Control Room'!$B$14/4))^2),1)*IF(AND($A80&gt;='Control Room'!$A$15,$A80&lt;'Control Room'!$A$15+'Control Room'!$B$15,'Process'!BU4=1),1+('Control Room'!$C$15-1)*EXP(-0.5*(($A80-'Control Room'!$A$15-('Control Room'!$B$15-1)/2)/MAX(0.5,'Control Room'!$B$15/4))^2),1)*IF(AND($A80&gt;='Control Room'!$A$16,$A80&lt;'Control Room'!$A$16+'Control Room'!$B$16,'Process'!BU5=1),1+('Control Room'!$C$16-1)*EXP(-0.5*(($A80-'Control Room'!$A$16-('Control Room'!$B$16-1)/2)/MAX(0.5,'Control Room'!$B$16/4))^2),1)</x:f>
        <x:v>1</x:v>
      </x:c>
      <x:c r="BE80" s="9" t="n">
        <x:f>MOD(BF79*16807,2147483647)</x:f>
        <x:v>1232907560</x:v>
      </x:c>
      <x:c r="BF80" s="9" t="n">
        <x:f>MOD(BE80*16807,2147483647)</x:f>
        <x:v>407651017</x:v>
      </x:c>
      <x:c r="BG80" s="17" t="n">
        <x:f>IF('Control Room'!$B$5="Normal",'Control Room'!$B$7+'Control Room'!$D$7*SQRT(-2*LN(MAX(0.000000000001,BE80/2147483647)))*COS(2*PI()*BF80/2147483647),'Control Room'!$B$8+('Control Room'!$D$8-'Control Room'!$B$8)*BE80/2147483647)</x:f>
        <x:v>1034.9990665466687</x:v>
      </x:c>
      <x:c r="BH80" s="17" t="n">
        <x:f>IF('Control Room'!$B$5="Normal",'Control Room'!$B$7,('Control Room'!$B$8+'Control Room'!$D$8)/2)+'Control Room'!$B$9*(BH79-IF('Control Room'!$B$5="Normal",'Control Room'!$B$7,('Control Room'!$B$8+'Control Room'!$D$8)/2))+SQRT(1-'Control Room'!$B$9^2)*(BG80-IF('Control Room'!$B$5="Normal",'Control Room'!$B$7,('Control Room'!$B$8+'Control Room'!$D$8)/2))</x:f>
        <x:v>1120.178425972121</x:v>
      </x:c>
      <x:c r="BI80" s="17" t="n">
        <x:f>IF(AND($A80&gt;='Control Room'!$A$13,$A80&lt;'Control Room'!$A$13+'Control Room'!$B$13,'Process'!BV2=1),1+('Control Room'!$C$13-1)*EXP(-0.5*(($A80-'Control Room'!$A$13-('Control Room'!$B$13-1)/2)/MAX(0.5,'Control Room'!$B$13/4))^2),1)*IF(AND($A80&gt;='Control Room'!$A$14,$A80&lt;'Control Room'!$A$14+'Control Room'!$B$14,'Process'!BV3=1),1+('Control Room'!$C$14-1)*EXP(-0.5*(($A80-'Control Room'!$A$14-('Control Room'!$B$14-1)/2)/MAX(0.5,'Control Room'!$B$14/4))^2),1)*IF(AND($A80&gt;='Control Room'!$A$15,$A80&lt;'Control Room'!$A$15+'Control Room'!$B$15,'Process'!BV4=1),1+('Control Room'!$C$15-1)*EXP(-0.5*(($A80-'Control Room'!$A$15-('Control Room'!$B$15-1)/2)/MAX(0.5,'Control Room'!$B$15/4))^2),1)*IF(AND($A80&gt;='Control Room'!$A$16,$A80&lt;'Control Room'!$A$16+'Control Room'!$B$16,'Process'!BV5=1),1+('Control Room'!$C$16-1)*EXP(-0.5*(($A80-'Control Room'!$A$16-('Control Room'!$B$16-1)/2)/MAX(0.5,'Control Room'!$B$16/4))^2),1)</x:f>
        <x:v>1</x:v>
      </x:c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Z80" t="str">
        <x:f>IF('Data'!A80="","",TEXT('Data'!A80,"mm-dd"))</x:f>
        <x:v>01-19</x:v>
      </x:c>
    </x:row>
    <x:row r="81" ht="21" customHeight="1">
      <x:c r="A81" s="15" t="n">
        <x:f>'Control Room'!$B$1+79</x:f>
        <x:v>73070</x:v>
      </x:c>
      <x:c r="B81" s="9" t="n">
        <x:f>MOD(C80*16807,2147483647)</x:f>
        <x:v>469280292</x:v>
      </x:c>
      <x:c r="C81" s="9" t="n">
        <x:f>MOD(B81*16807,2147483647)</x:f>
        <x:v>1633915860</x:v>
      </x:c>
      <x:c r="D81" s="17" t="n">
        <x:f>IF('Control Room'!$B$5="Normal",'Control Room'!$B$7+'Control Room'!$D$7*SQRT(-2*LN(MAX(0.000000000001,B81/2147483647)))*COS(2*PI()*C81/2147483647),'Control Room'!$B$8+('Control Room'!$D$8-'Control Room'!$B$8)*B81/2147483647)</x:f>
        <x:v>1010.693714526913</x:v>
      </x:c>
      <x:c r="E81" s="17" t="n">
        <x:f>IF('Control Room'!$B$5="Normal",'Control Room'!$B$7,('Control Room'!$B$8+'Control Room'!$D$8)/2)+'Control Room'!$B$9*(E80-IF('Control Room'!$B$5="Normal",'Control Room'!$B$7,('Control Room'!$B$8+'Control Room'!$D$8)/2))+SQRT(1-'Control Room'!$B$9^2)*(D81-IF('Control Room'!$B$5="Normal",'Control Room'!$B$7,('Control Room'!$B$8+'Control Room'!$D$8)/2))</x:f>
        <x:v>1059.8928260133102</x:v>
      </x:c>
      <x:c r="F81" s="17" t="n">
        <x:f>IF(AND($A81&gt;='Control Room'!$A$13,$A81&lt;'Control Room'!$A$13+'Control Room'!$B$13,'Process'!BK2=1),1+('Control Room'!$C$13-1)*EXP(-0.5*(($A81-'Control Room'!$A$13-('Control Room'!$B$13-1)/2)/MAX(0.5,'Control Room'!$B$13/4))^2),1)*IF(AND($A81&gt;='Control Room'!$A$14,$A81&lt;'Control Room'!$A$14+'Control Room'!$B$14,'Process'!BK3=1),1+('Control Room'!$C$14-1)*EXP(-0.5*(($A81-'Control Room'!$A$14-('Control Room'!$B$14-1)/2)/MAX(0.5,'Control Room'!$B$14/4))^2),1)*IF(AND($A81&gt;='Control Room'!$A$15,$A81&lt;'Control Room'!$A$15+'Control Room'!$B$15,'Process'!BK4=1),1+('Control Room'!$C$15-1)*EXP(-0.5*(($A81-'Control Room'!$A$15-('Control Room'!$B$15-1)/2)/MAX(0.5,'Control Room'!$B$15/4))^2),1)*IF(AND($A81&gt;='Control Room'!$A$16,$A81&lt;'Control Room'!$A$16+'Control Room'!$B$16,'Process'!BK5=1),1+('Control Room'!$C$16-1)*EXP(-0.5*(($A81-'Control Room'!$A$16-('Control Room'!$B$16-1)/2)/MAX(0.5,'Control Room'!$B$16/4))^2),1)</x:f>
        <x:v>1</x:v>
      </x:c>
      <x:c r="G81" s="9" t="n">
        <x:f>MOD(H80*16807,2147483647)</x:f>
        <x:v>705281396</x:v>
      </x:c>
      <x:c r="H81" s="9" t="n">
        <x:f>MOD(G81*16807,2147483647)</x:f>
        <x:v>1702174779</x:v>
      </x:c>
      <x:c r="I81" s="17" t="n">
        <x:f>IF('Control Room'!$B$5="Normal",'Control Room'!$B$7+'Control Room'!$D$7*SQRT(-2*LN(MAX(0.000000000001,G81/2147483647)))*COS(2*PI()*H81/2147483647),'Control Room'!$B$8+('Control Room'!$D$8-'Control Room'!$B$8)*G81/2147483647)</x:f>
        <x:v>1035.5510252788395</x:v>
      </x:c>
      <x:c r="J81" s="17" t="n">
        <x:f>IF('Control Room'!$B$5="Normal",'Control Room'!$B$7,('Control Room'!$B$8+'Control Room'!$D$8)/2)+'Control Room'!$B$9*(J80-IF('Control Room'!$B$5="Normal",'Control Room'!$B$7,('Control Room'!$B$8+'Control Room'!$D$8)/2))+SQRT(1-'Control Room'!$B$9^2)*(I81-IF('Control Room'!$B$5="Normal",'Control Room'!$B$7,('Control Room'!$B$8+'Control Room'!$D$8)/2))</x:f>
        <x:v>989.3739106069539</x:v>
      </x:c>
      <x:c r="K81" s="17" t="n">
        <x:f>IF(AND($A81&gt;='Control Room'!$A$13,$A81&lt;'Control Room'!$A$13+'Control Room'!$B$13,'Process'!BL2=1),1+('Control Room'!$C$13-1)*EXP(-0.5*(($A81-'Control Room'!$A$13-('Control Room'!$B$13-1)/2)/MAX(0.5,'Control Room'!$B$13/4))^2),1)*IF(AND($A81&gt;='Control Room'!$A$14,$A81&lt;'Control Room'!$A$14+'Control Room'!$B$14,'Process'!BL3=1),1+('Control Room'!$C$14-1)*EXP(-0.5*(($A81-'Control Room'!$A$14-('Control Room'!$B$14-1)/2)/MAX(0.5,'Control Room'!$B$14/4))^2),1)*IF(AND($A81&gt;='Control Room'!$A$15,$A81&lt;'Control Room'!$A$15+'Control Room'!$B$15,'Process'!BL4=1),1+('Control Room'!$C$15-1)*EXP(-0.5*(($A81-'Control Room'!$A$15-('Control Room'!$B$15-1)/2)/MAX(0.5,'Control Room'!$B$15/4))^2),1)*IF(AND($A81&gt;='Control Room'!$A$16,$A81&lt;'Control Room'!$A$16+'Control Room'!$B$16,'Process'!BL5=1),1+('Control Room'!$C$16-1)*EXP(-0.5*(($A81-'Control Room'!$A$16-('Control Room'!$B$16-1)/2)/MAX(0.5,'Control Room'!$B$16/4))^2),1)</x:f>
        <x:v>1</x:v>
      </x:c>
      <x:c r="L81" s="9" t="n">
        <x:f>MOD(M80*16807,2147483647)</x:f>
        <x:v>941282500</x:v>
      </x:c>
      <x:c r="M81" s="9" t="n">
        <x:f>MOD(L81*16807,2147483647)</x:f>
        <x:v>1770433698</x:v>
      </x:c>
      <x:c r="N81" s="17" t="n">
        <x:f>IF('Control Room'!$B$5="Normal",'Control Room'!$B$7+'Control Room'!$D$7*SQRT(-2*LN(MAX(0.000000000001,L81/2147483647)))*COS(2*PI()*M81/2147483647),'Control Room'!$B$8+('Control Room'!$D$8-'Control Room'!$B$8)*L81/2147483647)</x:f>
        <x:v>1052.1043305894677</x:v>
      </x:c>
      <x:c r="O81" s="17" t="n">
        <x:f>IF('Control Room'!$B$5="Normal",'Control Room'!$B$7,('Control Room'!$B$8+'Control Room'!$D$8)/2)+'Control Room'!$B$9*(O80-IF('Control Room'!$B$5="Normal",'Control Room'!$B$7,('Control Room'!$B$8+'Control Room'!$D$8)/2))+SQRT(1-'Control Room'!$B$9^2)*(N81-IF('Control Room'!$B$5="Normal",'Control Room'!$B$7,('Control Room'!$B$8+'Control Room'!$D$8)/2))</x:f>
        <x:v>960.0183726372579</x:v>
      </x:c>
      <x:c r="P81" s="17" t="n">
        <x:f>IF(AND($A81&gt;='Control Room'!$A$13,$A81&lt;'Control Room'!$A$13+'Control Room'!$B$13,'Process'!BM2=1),1+('Control Room'!$C$13-1)*EXP(-0.5*(($A81-'Control Room'!$A$13-('Control Room'!$B$13-1)/2)/MAX(0.5,'Control Room'!$B$13/4))^2),1)*IF(AND($A81&gt;='Control Room'!$A$14,$A81&lt;'Control Room'!$A$14+'Control Room'!$B$14,'Process'!BM3=1),1+('Control Room'!$C$14-1)*EXP(-0.5*(($A81-'Control Room'!$A$14-('Control Room'!$B$14-1)/2)/MAX(0.5,'Control Room'!$B$14/4))^2),1)*IF(AND($A81&gt;='Control Room'!$A$15,$A81&lt;'Control Room'!$A$15+'Control Room'!$B$15,'Process'!BM4=1),1+('Control Room'!$C$15-1)*EXP(-0.5*(($A81-'Control Room'!$A$15-('Control Room'!$B$15-1)/2)/MAX(0.5,'Control Room'!$B$15/4))^2),1)*IF(AND($A81&gt;='Control Room'!$A$16,$A81&lt;'Control Room'!$A$16+'Control Room'!$B$16,'Process'!BM5=1),1+('Control Room'!$C$16-1)*EXP(-0.5*(($A81-'Control Room'!$A$16-('Control Room'!$B$16-1)/2)/MAX(0.5,'Control Room'!$B$16/4))^2),1)</x:f>
        <x:v>1</x:v>
      </x:c>
      <x:c r="Q81" s="9" t="n">
        <x:f>MOD(R80*16807,2147483647)</x:f>
        <x:v>1177283604</x:v>
      </x:c>
      <x:c r="R81" s="9" t="n">
        <x:f>MOD(Q81*16807,2147483647)</x:f>
        <x:v>1838692617</x:v>
      </x:c>
      <x:c r="S81" s="17" t="n">
        <x:f>IF('Control Room'!$B$5="Normal",'Control Room'!$B$7+'Control Room'!$D$7*SQRT(-2*LN(MAX(0.000000000001,Q81/2147483647)))*COS(2*PI()*R81/2147483647),'Control Room'!$B$8+('Control Room'!$D$8-'Control Room'!$B$8)*Q81/2147483647)</x:f>
        <x:v>1061.0713076154275</x:v>
      </x:c>
      <x:c r="T81" s="17" t="n">
        <x:f>IF('Control Room'!$B$5="Normal",'Control Room'!$B$7,('Control Room'!$B$8+'Control Room'!$D$8)/2)+'Control Room'!$B$9*(T80-IF('Control Room'!$B$5="Normal",'Control Room'!$B$7,('Control Room'!$B$8+'Control Room'!$D$8)/2))+SQRT(1-'Control Room'!$B$9^2)*(S81-IF('Control Room'!$B$5="Normal",'Control Room'!$B$7,('Control Room'!$B$8+'Control Room'!$D$8)/2))</x:f>
        <x:v>1115.3195475901803</x:v>
      </x:c>
      <x:c r="U81" s="17" t="n">
        <x:f>IF(AND($A81&gt;='Control Room'!$A$13,$A81&lt;'Control Room'!$A$13+'Control Room'!$B$13,'Process'!BN2=1),1+('Control Room'!$C$13-1)*EXP(-0.5*(($A81-'Control Room'!$A$13-('Control Room'!$B$13-1)/2)/MAX(0.5,'Control Room'!$B$13/4))^2),1)*IF(AND($A81&gt;='Control Room'!$A$14,$A81&lt;'Control Room'!$A$14+'Control Room'!$B$14,'Process'!BN3=1),1+('Control Room'!$C$14-1)*EXP(-0.5*(($A81-'Control Room'!$A$14-('Control Room'!$B$14-1)/2)/MAX(0.5,'Control Room'!$B$14/4))^2),1)*IF(AND($A81&gt;='Control Room'!$A$15,$A81&lt;'Control Room'!$A$15+'Control Room'!$B$15,'Process'!BN4=1),1+('Control Room'!$C$15-1)*EXP(-0.5*(($A81-'Control Room'!$A$15-('Control Room'!$B$15-1)/2)/MAX(0.5,'Control Room'!$B$15/4))^2),1)*IF(AND($A81&gt;='Control Room'!$A$16,$A81&lt;'Control Room'!$A$16+'Control Room'!$B$16,'Process'!BN5=1),1+('Control Room'!$C$16-1)*EXP(-0.5*(($A81-'Control Room'!$A$16-('Control Room'!$B$16-1)/2)/MAX(0.5,'Control Room'!$B$16/4))^2),1)</x:f>
        <x:v>1</x:v>
      </x:c>
      <x:c r="V81" s="9" t="n">
        <x:f>MOD(W80*16807,2147483647)</x:f>
        <x:v>1413284708</x:v>
      </x:c>
      <x:c r="W81" s="9" t="n">
        <x:f>MOD(V81*16807,2147483647)</x:f>
        <x:v>1906951536</x:v>
      </x:c>
      <x:c r="X81" s="17" t="n">
        <x:f>IF('Control Room'!$B$5="Normal",'Control Room'!$B$7+'Control Room'!$D$7*SQRT(-2*LN(MAX(0.000000000001,V81/2147483647)))*COS(2*PI()*W81/2147483647),'Control Room'!$B$8+('Control Room'!$D$8-'Control Room'!$B$8)*V81/2147483647)</x:f>
        <x:v>1062.7675428914724</x:v>
      </x:c>
      <x:c r="Y81" s="17" t="n">
        <x:f>IF('Control Room'!$B$5="Normal",'Control Room'!$B$7,('Control Room'!$B$8+'Control Room'!$D$8)/2)+'Control Room'!$B$9*(Y80-IF('Control Room'!$B$5="Normal",'Control Room'!$B$7,('Control Room'!$B$8+'Control Room'!$D$8)/2))+SQRT(1-'Control Room'!$B$9^2)*(X81-IF('Control Room'!$B$5="Normal",'Control Room'!$B$7,('Control Room'!$B$8+'Control Room'!$D$8)/2))</x:f>
        <x:v>1160.078247689744</x:v>
      </x:c>
      <x:c r="Z81" s="17" t="n">
        <x:f>IF(AND($A81&gt;='Control Room'!$A$13,$A81&lt;'Control Room'!$A$13+'Control Room'!$B$13,'Process'!BO2=1),1+('Control Room'!$C$13-1)*EXP(-0.5*(($A81-'Control Room'!$A$13-('Control Room'!$B$13-1)/2)/MAX(0.5,'Control Room'!$B$13/4))^2),1)*IF(AND($A81&gt;='Control Room'!$A$14,$A81&lt;'Control Room'!$A$14+'Control Room'!$B$14,'Process'!BO3=1),1+('Control Room'!$C$14-1)*EXP(-0.5*(($A81-'Control Room'!$A$14-('Control Room'!$B$14-1)/2)/MAX(0.5,'Control Room'!$B$14/4))^2),1)*IF(AND($A81&gt;='Control Room'!$A$15,$A81&lt;'Control Room'!$A$15+'Control Room'!$B$15,'Process'!BO4=1),1+('Control Room'!$C$15-1)*EXP(-0.5*(($A81-'Control Room'!$A$15-('Control Room'!$B$15-1)/2)/MAX(0.5,'Control Room'!$B$15/4))^2),1)*IF(AND($A81&gt;='Control Room'!$A$16,$A81&lt;'Control Room'!$A$16+'Control Room'!$B$16,'Process'!BO5=1),1+('Control Room'!$C$16-1)*EXP(-0.5*(($A81-'Control Room'!$A$16-('Control Room'!$B$16-1)/2)/MAX(0.5,'Control Room'!$B$16/4))^2),1)</x:f>
        <x:v>1</x:v>
      </x:c>
      <x:c r="AA81" s="9" t="n">
        <x:f>MOD(AB80*16807,2147483647)</x:f>
        <x:v>1649285812</x:v>
      </x:c>
      <x:c r="AB81" s="9" t="n">
        <x:f>MOD(AA81*16807,2147483647)</x:f>
        <x:v>1975210455</x:v>
      </x:c>
      <x:c r="AC81" s="17" t="n">
        <x:f>IF('Control Room'!$B$5="Normal",'Control Room'!$B$7+'Control Room'!$D$7*SQRT(-2*LN(MAX(0.000000000001,AA81/2147483647)))*COS(2*PI()*AB81/2147483647),'Control Room'!$B$8+('Control Room'!$D$8-'Control Room'!$B$8)*AA81/2147483647)</x:f>
        <x:v>1057.259305537134</x:v>
      </x:c>
      <x:c r="AD81" s="17" t="n">
        <x:f>IF('Control Room'!$B$5="Normal",'Control Room'!$B$7,('Control Room'!$B$8+'Control Room'!$D$8)/2)+'Control Room'!$B$9*(AD80-IF('Control Room'!$B$5="Normal",'Control Room'!$B$7,('Control Room'!$B$8+'Control Room'!$D$8)/2))+SQRT(1-'Control Room'!$B$9^2)*(AC81-IF('Control Room'!$B$5="Normal",'Control Room'!$B$7,('Control Room'!$B$8+'Control Room'!$D$8)/2))</x:f>
        <x:v>984.2664613841633</x:v>
      </x:c>
      <x:c r="AE81" s="17" t="n">
        <x:f>IF(AND($A81&gt;='Control Room'!$A$13,$A81&lt;'Control Room'!$A$13+'Control Room'!$B$13,'Process'!BP2=1),1+('Control Room'!$C$13-1)*EXP(-0.5*(($A81-'Control Room'!$A$13-('Control Room'!$B$13-1)/2)/MAX(0.5,'Control Room'!$B$13/4))^2),1)*IF(AND($A81&gt;='Control Room'!$A$14,$A81&lt;'Control Room'!$A$14+'Control Room'!$B$14,'Process'!BP3=1),1+('Control Room'!$C$14-1)*EXP(-0.5*(($A81-'Control Room'!$A$14-('Control Room'!$B$14-1)/2)/MAX(0.5,'Control Room'!$B$14/4))^2),1)*IF(AND($A81&gt;='Control Room'!$A$15,$A81&lt;'Control Room'!$A$15+'Control Room'!$B$15,'Process'!BP4=1),1+('Control Room'!$C$15-1)*EXP(-0.5*(($A81-'Control Room'!$A$15-('Control Room'!$B$15-1)/2)/MAX(0.5,'Control Room'!$B$15/4))^2),1)*IF(AND($A81&gt;='Control Room'!$A$16,$A81&lt;'Control Room'!$A$16+'Control Room'!$B$16,'Process'!BP5=1),1+('Control Room'!$C$16-1)*EXP(-0.5*(($A81-'Control Room'!$A$16-('Control Room'!$B$16-1)/2)/MAX(0.5,'Control Room'!$B$16/4))^2),1)</x:f>
        <x:v>1</x:v>
      </x:c>
      <x:c r="AF81" s="9" t="n">
        <x:f>MOD(AG80*16807,2147483647)</x:f>
        <x:v>1885286916</x:v>
      </x:c>
      <x:c r="AG81" s="9" t="n">
        <x:f>MOD(AF81*16807,2147483647)</x:f>
        <x:v>2043469374</x:v>
      </x:c>
      <x:c r="AH81" s="17" t="n">
        <x:f>IF('Control Room'!$B$5="Normal",'Control Room'!$B$7+'Control Room'!$D$7*SQRT(-2*LN(MAX(0.000000000001,AF81/2147483647)))*COS(2*PI()*AG81/2147483647),'Control Room'!$B$8+('Control Room'!$D$8-'Control Room'!$B$8)*AF81/2147483647)</x:f>
        <x:v>1043.8188814929208</x:v>
      </x:c>
      <x:c r="AI81" s="17" t="n">
        <x:f>IF('Control Room'!$B$5="Normal",'Control Room'!$B$7,('Control Room'!$B$8+'Control Room'!$D$8)/2)+'Control Room'!$B$9*(AI80-IF('Control Room'!$B$5="Normal",'Control Room'!$B$7,('Control Room'!$B$8+'Control Room'!$D$8)/2))+SQRT(1-'Control Room'!$B$9^2)*(AH81-IF('Control Room'!$B$5="Normal",'Control Room'!$B$7,('Control Room'!$B$8+'Control Room'!$D$8)/2))</x:f>
        <x:v>972.1184187634167</x:v>
      </x:c>
      <x:c r="AJ81" s="17" t="n">
        <x:f>IF(AND($A81&gt;='Control Room'!$A$13,$A81&lt;'Control Room'!$A$13+'Control Room'!$B$13,'Process'!BQ2=1),1+('Control Room'!$C$13-1)*EXP(-0.5*(($A81-'Control Room'!$A$13-('Control Room'!$B$13-1)/2)/MAX(0.5,'Control Room'!$B$13/4))^2),1)*IF(AND($A81&gt;='Control Room'!$A$14,$A81&lt;'Control Room'!$A$14+'Control Room'!$B$14,'Process'!BQ3=1),1+('Control Room'!$C$14-1)*EXP(-0.5*(($A81-'Control Room'!$A$14-('Control Room'!$B$14-1)/2)/MAX(0.5,'Control Room'!$B$14/4))^2),1)*IF(AND($A81&gt;='Control Room'!$A$15,$A81&lt;'Control Room'!$A$15+'Control Room'!$B$15,'Process'!BQ4=1),1+('Control Room'!$C$15-1)*EXP(-0.5*(($A81-'Control Room'!$A$15-('Control Room'!$B$15-1)/2)/MAX(0.5,'Control Room'!$B$15/4))^2),1)*IF(AND($A81&gt;='Control Room'!$A$16,$A81&lt;'Control Room'!$A$16+'Control Room'!$B$16,'Process'!BQ5=1),1+('Control Room'!$C$16-1)*EXP(-0.5*(($A81-'Control Room'!$A$16-('Control Room'!$B$16-1)/2)/MAX(0.5,'Control Room'!$B$16/4))^2),1)</x:f>
        <x:v>1</x:v>
      </x:c>
      <x:c r="AK81" s="9" t="n">
        <x:f>MOD(AL80*16807,2147483647)</x:f>
        <x:v>2121288020</x:v>
      </x:c>
      <x:c r="AL81" s="9" t="n">
        <x:f>MOD(AK81*16807,2147483647)</x:f>
        <x:v>2111728293</x:v>
      </x:c>
      <x:c r="AM81" s="17" t="n">
        <x:f>IF('Control Room'!$B$5="Normal",'Control Room'!$B$7+'Control Room'!$D$7*SQRT(-2*LN(MAX(0.000000000001,AK81/2147483647)))*COS(2*PI()*AL81/2147483647),'Control Room'!$B$8+('Control Room'!$D$8-'Control Room'!$B$8)*AK81/2147483647)</x:f>
        <x:v>1014.0235293234074</x:v>
      </x:c>
      <x:c r="AN81" s="17" t="n">
        <x:f>IF('Control Room'!$B$5="Normal",'Control Room'!$B$7,('Control Room'!$B$8+'Control Room'!$D$8)/2)+'Control Room'!$B$9*(AN80-IF('Control Room'!$B$5="Normal",'Control Room'!$B$7,('Control Room'!$B$8+'Control Room'!$D$8)/2))+SQRT(1-'Control Room'!$B$9^2)*(AM81-IF('Control Room'!$B$5="Normal",'Control Room'!$B$7,('Control Room'!$B$8+'Control Room'!$D$8)/2))</x:f>
        <x:v>964.7458539170646</x:v>
      </x:c>
      <x:c r="AO81" s="17" t="n">
        <x:f>IF(AND($A81&gt;='Control Room'!$A$13,$A81&lt;'Control Room'!$A$13+'Control Room'!$B$13,'Process'!BR2=1),1+('Control Room'!$C$13-1)*EXP(-0.5*(($A81-'Control Room'!$A$13-('Control Room'!$B$13-1)/2)/MAX(0.5,'Control Room'!$B$13/4))^2),1)*IF(AND($A81&gt;='Control Room'!$A$14,$A81&lt;'Control Room'!$A$14+'Control Room'!$B$14,'Process'!BR3=1),1+('Control Room'!$C$14-1)*EXP(-0.5*(($A81-'Control Room'!$A$14-('Control Room'!$B$14-1)/2)/MAX(0.5,'Control Room'!$B$14/4))^2),1)*IF(AND($A81&gt;='Control Room'!$A$15,$A81&lt;'Control Room'!$A$15+'Control Room'!$B$15,'Process'!BR4=1),1+('Control Room'!$C$15-1)*EXP(-0.5*(($A81-'Control Room'!$A$15-('Control Room'!$B$15-1)/2)/MAX(0.5,'Control Room'!$B$15/4))^2),1)*IF(AND($A81&gt;='Control Room'!$A$16,$A81&lt;'Control Room'!$A$16+'Control Room'!$B$16,'Process'!BR5=1),1+('Control Room'!$C$16-1)*EXP(-0.5*(($A81-'Control Room'!$A$16-('Control Room'!$B$16-1)/2)/MAX(0.5,'Control Room'!$B$16/4))^2),1)</x:f>
        <x:v>1</x:v>
      </x:c>
      <x:c r="AP81" s="9" t="n">
        <x:f>MOD(AQ80*16807,2147483647)</x:f>
        <x:v>209805477</x:v>
      </x:c>
      <x:c r="AQ81" s="9" t="n">
        <x:f>MOD(AP81*16807,2147483647)</x:f>
        <x:v>32503565</x:v>
      </x:c>
      <x:c r="AR81" s="17" t="n">
        <x:f>IF('Control Room'!$B$5="Normal",'Control Room'!$B$7+'Control Room'!$D$7*SQRT(-2*LN(MAX(0.000000000001,AP81/2147483647)))*COS(2*PI()*AQ81/2147483647),'Control Room'!$B$8+('Control Room'!$D$8-'Control Room'!$B$8)*AP81/2147483647)</x:f>
        <x:v>1193.2339749666373</x:v>
      </x:c>
      <x:c r="AS81" s="17" t="n">
        <x:f>IF('Control Room'!$B$5="Normal",'Control Room'!$B$7,('Control Room'!$B$8+'Control Room'!$D$8)/2)+'Control Room'!$B$9*(AS80-IF('Control Room'!$B$5="Normal",'Control Room'!$B$7,('Control Room'!$B$8+'Control Room'!$D$8)/2))+SQRT(1-'Control Room'!$B$9^2)*(AR81-IF('Control Room'!$B$5="Normal",'Control Room'!$B$7,('Control Room'!$B$8+'Control Room'!$D$8)/2))</x:f>
        <x:v>1169.7435294516108</x:v>
      </x:c>
      <x:c r="AT81" s="17" t="n">
        <x:f>IF(AND($A81&gt;='Control Room'!$A$13,$A81&lt;'Control Room'!$A$13+'Control Room'!$B$13,'Process'!BS2=1),1+('Control Room'!$C$13-1)*EXP(-0.5*(($A81-'Control Room'!$A$13-('Control Room'!$B$13-1)/2)/MAX(0.5,'Control Room'!$B$13/4))^2),1)*IF(AND($A81&gt;='Control Room'!$A$14,$A81&lt;'Control Room'!$A$14+'Control Room'!$B$14,'Process'!BS3=1),1+('Control Room'!$C$14-1)*EXP(-0.5*(($A81-'Control Room'!$A$14-('Control Room'!$B$14-1)/2)/MAX(0.5,'Control Room'!$B$14/4))^2),1)*IF(AND($A81&gt;='Control Room'!$A$15,$A81&lt;'Control Room'!$A$15+'Control Room'!$B$15,'Process'!BS4=1),1+('Control Room'!$C$15-1)*EXP(-0.5*(($A81-'Control Room'!$A$15-('Control Room'!$B$15-1)/2)/MAX(0.5,'Control Room'!$B$15/4))^2),1)*IF(AND($A81&gt;='Control Room'!$A$16,$A81&lt;'Control Room'!$A$16+'Control Room'!$B$16,'Process'!BS5=1),1+('Control Room'!$C$16-1)*EXP(-0.5*(($A81-'Control Room'!$A$16-('Control Room'!$B$16-1)/2)/MAX(0.5,'Control Room'!$B$16/4))^2),1)</x:f>
        <x:v>1</x:v>
      </x:c>
      <x:c r="AU81" s="9" t="n">
        <x:f>MOD(AV80*16807,2147483647)</x:f>
        <x:v>445806581</x:v>
      </x:c>
      <x:c r="AV81" s="9" t="n">
        <x:f>MOD(AU81*16807,2147483647)</x:f>
        <x:v>100762484</x:v>
      </x:c>
      <x:c r="AW81" s="17" t="n">
        <x:f>IF('Control Room'!$B$5="Normal",'Control Room'!$B$7+'Control Room'!$D$7*SQRT(-2*LN(MAX(0.000000000001,AU81/2147483647)))*COS(2*PI()*AV81/2147483647),'Control Room'!$B$8+('Control Room'!$D$8-'Control Room'!$B$8)*AU81/2147483647)</x:f>
        <x:v>1152.705062024853</x:v>
      </x:c>
      <x:c r="AX81" s="17" t="n">
        <x:f>IF('Control Room'!$B$5="Normal",'Control Room'!$B$7,('Control Room'!$B$8+'Control Room'!$D$8)/2)+'Control Room'!$B$9*(AX80-IF('Control Room'!$B$5="Normal",'Control Room'!$B$7,('Control Room'!$B$8+'Control Room'!$D$8)/2))+SQRT(1-'Control Room'!$B$9^2)*(AW81-IF('Control Room'!$B$5="Normal",'Control Room'!$B$7,('Control Room'!$B$8+'Control Room'!$D$8)/2))</x:f>
        <x:v>1159.903145134335</x:v>
      </x:c>
      <x:c r="AY81" s="17" t="n">
        <x:f>IF(AND($A81&gt;='Control Room'!$A$13,$A81&lt;'Control Room'!$A$13+'Control Room'!$B$13,'Process'!BT2=1),1+('Control Room'!$C$13-1)*EXP(-0.5*(($A81-'Control Room'!$A$13-('Control Room'!$B$13-1)/2)/MAX(0.5,'Control Room'!$B$13/4))^2),1)*IF(AND($A81&gt;='Control Room'!$A$14,$A81&lt;'Control Room'!$A$14+'Control Room'!$B$14,'Process'!BT3=1),1+('Control Room'!$C$14-1)*EXP(-0.5*(($A81-'Control Room'!$A$14-('Control Room'!$B$14-1)/2)/MAX(0.5,'Control Room'!$B$14/4))^2),1)*IF(AND($A81&gt;='Control Room'!$A$15,$A81&lt;'Control Room'!$A$15+'Control Room'!$B$15,'Process'!BT4=1),1+('Control Room'!$C$15-1)*EXP(-0.5*(($A81-'Control Room'!$A$15-('Control Room'!$B$15-1)/2)/MAX(0.5,'Control Room'!$B$15/4))^2),1)*IF(AND($A81&gt;='Control Room'!$A$16,$A81&lt;'Control Room'!$A$16+'Control Room'!$B$16,'Process'!BT5=1),1+('Control Room'!$C$16-1)*EXP(-0.5*(($A81-'Control Room'!$A$16-('Control Room'!$B$16-1)/2)/MAX(0.5,'Control Room'!$B$16/4))^2),1)</x:f>
        <x:v>1</x:v>
      </x:c>
      <x:c r="AZ81" s="9" t="n">
        <x:f>MOD(BA80*16807,2147483647)</x:f>
        <x:v>681807685</x:v>
      </x:c>
      <x:c r="BA81" s="9" t="n">
        <x:f>MOD(AZ81*16807,2147483647)</x:f>
        <x:v>169021403</x:v>
      </x:c>
      <x:c r="BB81" s="17" t="n">
        <x:f>IF('Control Room'!$B$5="Normal",'Control Room'!$B$7+'Control Room'!$D$7*SQRT(-2*LN(MAX(0.000000000001,AZ81/2147483647)))*COS(2*PI()*BA81/2147483647),'Control Room'!$B$8+('Control Room'!$D$8-'Control Room'!$B$8)*AZ81/2147483647)</x:f>
        <x:v>1119.9981207522558</x:v>
      </x:c>
      <x:c r="BC81" s="17" t="n">
        <x:f>IF('Control Room'!$B$5="Normal",'Control Room'!$B$7,('Control Room'!$B$8+'Control Room'!$D$8)/2)+'Control Room'!$B$9*(BC80-IF('Control Room'!$B$5="Normal",'Control Room'!$B$7,('Control Room'!$B$8+'Control Room'!$D$8)/2))+SQRT(1-'Control Room'!$B$9^2)*(BB81-IF('Control Room'!$B$5="Normal",'Control Room'!$B$7,('Control Room'!$B$8+'Control Room'!$D$8)/2))</x:f>
        <x:v>975.1061885872535</x:v>
      </x:c>
      <x:c r="BD81" s="17" t="n">
        <x:f>IF(AND($A81&gt;='Control Room'!$A$13,$A81&lt;'Control Room'!$A$13+'Control Room'!$B$13,'Process'!BU2=1),1+('Control Room'!$C$13-1)*EXP(-0.5*(($A81-'Control Room'!$A$13-('Control Room'!$B$13-1)/2)/MAX(0.5,'Control Room'!$B$13/4))^2),1)*IF(AND($A81&gt;='Control Room'!$A$14,$A81&lt;'Control Room'!$A$14+'Control Room'!$B$14,'Process'!BU3=1),1+('Control Room'!$C$14-1)*EXP(-0.5*(($A81-'Control Room'!$A$14-('Control Room'!$B$14-1)/2)/MAX(0.5,'Control Room'!$B$14/4))^2),1)*IF(AND($A81&gt;='Control Room'!$A$15,$A81&lt;'Control Room'!$A$15+'Control Room'!$B$15,'Process'!BU4=1),1+('Control Room'!$C$15-1)*EXP(-0.5*(($A81-'Control Room'!$A$15-('Control Room'!$B$15-1)/2)/MAX(0.5,'Control Room'!$B$15/4))^2),1)*IF(AND($A81&gt;='Control Room'!$A$16,$A81&lt;'Control Room'!$A$16+'Control Room'!$B$16,'Process'!BU5=1),1+('Control Room'!$C$16-1)*EXP(-0.5*(($A81-'Control Room'!$A$16-('Control Room'!$B$16-1)/2)/MAX(0.5,'Control Room'!$B$16/4))^2),1)</x:f>
        <x:v>1</x:v>
      </x:c>
      <x:c r="BE81" s="9" t="n">
        <x:f>MOD(BF80*16807,2147483647)</x:f>
        <x:v>917808789</x:v>
      </x:c>
      <x:c r="BF81" s="9" t="n">
        <x:f>MOD(BE81*16807,2147483647)</x:f>
        <x:v>237280322</x:v>
      </x:c>
      <x:c r="BG81" s="17" t="n">
        <x:f>IF('Control Room'!$B$5="Normal",'Control Room'!$B$7+'Control Room'!$D$7*SQRT(-2*LN(MAX(0.000000000001,BE81/2147483647)))*COS(2*PI()*BF81/2147483647),'Control Room'!$B$8+('Control Room'!$D$8-'Control Room'!$B$8)*BE81/2147483647)</x:f>
        <x:v>1090.1879297564012</x:v>
      </x:c>
      <x:c r="BH81" s="17" t="n">
        <x:f>IF('Control Room'!$B$5="Normal",'Control Room'!$B$7,('Control Room'!$B$8+'Control Room'!$D$8)/2)+'Control Room'!$B$9*(BH80-IF('Control Room'!$B$5="Normal",'Control Room'!$B$7,('Control Room'!$B$8+'Control Room'!$D$8)/2))+SQRT(1-'Control Room'!$B$9^2)*(BG81-IF('Control Room'!$B$5="Normal",'Control Room'!$B$7,('Control Room'!$B$8+'Control Room'!$D$8)/2))</x:f>
        <x:v>1150.176931099643</x:v>
      </x:c>
      <x:c r="BI81" s="17" t="n">
        <x:f>IF(AND($A81&gt;='Control Room'!$A$13,$A81&lt;'Control Room'!$A$13+'Control Room'!$B$13,'Process'!BV2=1),1+('Control Room'!$C$13-1)*EXP(-0.5*(($A81-'Control Room'!$A$13-('Control Room'!$B$13-1)/2)/MAX(0.5,'Control Room'!$B$13/4))^2),1)*IF(AND($A81&gt;='Control Room'!$A$14,$A81&lt;'Control Room'!$A$14+'Control Room'!$B$14,'Process'!BV3=1),1+('Control Room'!$C$14-1)*EXP(-0.5*(($A81-'Control Room'!$A$14-('Control Room'!$B$14-1)/2)/MAX(0.5,'Control Room'!$B$14/4))^2),1)*IF(AND($A81&gt;='Control Room'!$A$15,$A81&lt;'Control Room'!$A$15+'Control Room'!$B$15,'Process'!BV4=1),1+('Control Room'!$C$15-1)*EXP(-0.5*(($A81-'Control Room'!$A$15-('Control Room'!$B$15-1)/2)/MAX(0.5,'Control Room'!$B$15/4))^2),1)*IF(AND($A81&gt;='Control Room'!$A$16,$A81&lt;'Control Room'!$A$16+'Control Room'!$B$16,'Process'!BV5=1),1+('Control Room'!$C$16-1)*EXP(-0.5*(($A81-'Control Room'!$A$16-('Control Room'!$B$16-1)/2)/MAX(0.5,'Control Room'!$B$16/4))^2),1)</x:f>
        <x:v>1</x:v>
      </x:c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Z81" t="str">
        <x:f>IF('Data'!A81="","",TEXT('Data'!A81,"mm-dd"))</x:f>
        <x:v>01-20</x:v>
      </x:c>
    </x:row>
    <x:row r="82" ht="21" customHeight="1">
      <x:c r="A82" s="15" t="n">
        <x:f>'Control Room'!$B$1+80</x:f>
        <x:v>73071</x:v>
      </x:c>
      <x:c r="B82" s="9" t="n">
        <x:f>MOD(C81*16807,2147483647)</x:f>
        <x:v>1350464831</x:v>
      </x:c>
      <x:c r="C82" s="9" t="n">
        <x:f>MOD(B82*16807,2147483647)</x:f>
        <x:v>507749474</x:v>
      </x:c>
      <x:c r="D82" s="17" t="n">
        <x:f>IF('Control Room'!$B$5="Normal",'Control Room'!$B$7+'Control Room'!$D$7*SQRT(-2*LN(MAX(0.000000000001,B82/2147483647)))*COS(2*PI()*C82/2147483647),'Control Room'!$B$8+('Control Room'!$D$8-'Control Room'!$B$8)*B82/2147483647)</x:f>
        <x:v>1007.3770463737028</x:v>
      </x:c>
      <x:c r="E82" s="17" t="n">
        <x:f>IF('Control Room'!$B$5="Normal",'Control Room'!$B$7,('Control Room'!$B$8+'Control Room'!$D$8)/2)+'Control Room'!$B$9*(E81-IF('Control Room'!$B$5="Normal",'Control Room'!$B$7,('Control Room'!$B$8+'Control Room'!$D$8)/2))+SQRT(1-'Control Room'!$B$9^2)*(D82-IF('Control Room'!$B$5="Normal",'Control Room'!$B$7,('Control Room'!$B$8+'Control Room'!$D$8)/2))</x:f>
        <x:v>1051.3328087840357</x:v>
      </x:c>
      <x:c r="F82" s="17" t="n">
        <x:f>IF(AND($A82&gt;='Control Room'!$A$13,$A82&lt;'Control Room'!$A$13+'Control Room'!$B$13,'Process'!BK2=1),1+('Control Room'!$C$13-1)*EXP(-0.5*(($A82-'Control Room'!$A$13-('Control Room'!$B$13-1)/2)/MAX(0.5,'Control Room'!$B$13/4))^2),1)*IF(AND($A82&gt;='Control Room'!$A$14,$A82&lt;'Control Room'!$A$14+'Control Room'!$B$14,'Process'!BK3=1),1+('Control Room'!$C$14-1)*EXP(-0.5*(($A82-'Control Room'!$A$14-('Control Room'!$B$14-1)/2)/MAX(0.5,'Control Room'!$B$14/4))^2),1)*IF(AND($A82&gt;='Control Room'!$A$15,$A82&lt;'Control Room'!$A$15+'Control Room'!$B$15,'Process'!BK4=1),1+('Control Room'!$C$15-1)*EXP(-0.5*(($A82-'Control Room'!$A$15-('Control Room'!$B$15-1)/2)/MAX(0.5,'Control Room'!$B$15/4))^2),1)*IF(AND($A82&gt;='Control Room'!$A$16,$A82&lt;'Control Room'!$A$16+'Control Room'!$B$16,'Process'!BK5=1),1+('Control Room'!$C$16-1)*EXP(-0.5*(($A82-'Control Room'!$A$16-('Control Room'!$B$16-1)/2)/MAX(0.5,'Control Room'!$B$16/4))^2),1)</x:f>
        <x:v>1</x:v>
      </x:c>
      <x:c r="G82" s="9" t="n">
        <x:f>MOD(H81*16807,2147483647)</x:f>
        <x:v>1821848966</x:v>
      </x:c>
      <x:c r="H82" s="9" t="n">
        <x:f>MOD(G82*16807,2147483647)</x:f>
        <x:v>993732636</x:v>
      </x:c>
      <x:c r="I82" s="17" t="n">
        <x:f>IF('Control Room'!$B$5="Normal",'Control Room'!$B$7+'Control Room'!$D$7*SQRT(-2*LN(MAX(0.000000000001,G82/2147483647)))*COS(2*PI()*H82/2147483647),'Control Room'!$B$8+('Control Room'!$D$8-'Control Room'!$B$8)*G82/2147483647)</x:f>
        <x:v>949.7937581812741</x:v>
      </x:c>
      <x:c r="J82" s="17" t="n">
        <x:f>IF('Control Room'!$B$5="Normal",'Control Room'!$B$7,('Control Room'!$B$8+'Control Room'!$D$8)/2)+'Control Room'!$B$9*(J81-IF('Control Room'!$B$5="Normal",'Control Room'!$B$7,('Control Room'!$B$8+'Control Room'!$D$8)/2))+SQRT(1-'Control Room'!$B$9^2)*(I82-IF('Control Room'!$B$5="Normal",'Control Room'!$B$7,('Control Room'!$B$8+'Control Room'!$D$8)/2))</x:f>
        <x:v>960.2936126740348</x:v>
      </x:c>
      <x:c r="K82" s="17" t="n">
        <x:f>IF(AND($A82&gt;='Control Room'!$A$13,$A82&lt;'Control Room'!$A$13+'Control Room'!$B$13,'Process'!BL2=1),1+('Control Room'!$C$13-1)*EXP(-0.5*(($A82-'Control Room'!$A$13-('Control Room'!$B$13-1)/2)/MAX(0.5,'Control Room'!$B$13/4))^2),1)*IF(AND($A82&gt;='Control Room'!$A$14,$A82&lt;'Control Room'!$A$14+'Control Room'!$B$14,'Process'!BL3=1),1+('Control Room'!$C$14-1)*EXP(-0.5*(($A82-'Control Room'!$A$14-('Control Room'!$B$14-1)/2)/MAX(0.5,'Control Room'!$B$14/4))^2),1)*IF(AND($A82&gt;='Control Room'!$A$15,$A82&lt;'Control Room'!$A$15+'Control Room'!$B$15,'Process'!BL4=1),1+('Control Room'!$C$15-1)*EXP(-0.5*(($A82-'Control Room'!$A$15-('Control Room'!$B$15-1)/2)/MAX(0.5,'Control Room'!$B$15/4))^2),1)*IF(AND($A82&gt;='Control Room'!$A$16,$A82&lt;'Control Room'!$A$16+'Control Room'!$B$16,'Process'!BL5=1),1+('Control Room'!$C$16-1)*EXP(-0.5*(($A82-'Control Room'!$A$16-('Control Room'!$B$16-1)/2)/MAX(0.5,'Control Room'!$B$16/4))^2),1)</x:f>
        <x:v>1</x:v>
      </x:c>
      <x:c r="L82" s="9" t="n">
        <x:f>MOD(M81*16807,2147483647)</x:f>
        <x:v>145749454</x:v>
      </x:c>
      <x:c r="M82" s="9" t="n">
        <x:f>MOD(L82*16807,2147483647)</x:f>
        <x:v>1479715798</x:v>
      </x:c>
      <x:c r="N82" s="17" t="n">
        <x:f>IF('Control Room'!$B$5="Normal",'Control Room'!$B$7+'Control Room'!$D$7*SQRT(-2*LN(MAX(0.000000000001,L82/2147483647)))*COS(2*PI()*M82/2147483647),'Control Room'!$B$8+('Control Room'!$D$8-'Control Room'!$B$8)*L82/2147483647)</x:f>
        <x:v>921.9887687481074</x:v>
      </x:c>
      <x:c r="O82" s="17" t="n">
        <x:f>IF('Control Room'!$B$5="Normal",'Control Room'!$B$7,('Control Room'!$B$8+'Control Room'!$D$8)/2)+'Control Room'!$B$9*(O81-IF('Control Room'!$B$5="Normal",'Control Room'!$B$7,('Control Room'!$B$8+'Control Room'!$D$8)/2))+SQRT(1-'Control Room'!$B$9^2)*(N82-IF('Control Room'!$B$5="Normal",'Control Room'!$B$7,('Control Room'!$B$8+'Control Room'!$D$8)/2))</x:f>
        <x:v>919.9965002865661</x:v>
      </x:c>
      <x:c r="P82" s="17" t="n">
        <x:f>IF(AND($A82&gt;='Control Room'!$A$13,$A82&lt;'Control Room'!$A$13+'Control Room'!$B$13,'Process'!BM2=1),1+('Control Room'!$C$13-1)*EXP(-0.5*(($A82-'Control Room'!$A$13-('Control Room'!$B$13-1)/2)/MAX(0.5,'Control Room'!$B$13/4))^2),1)*IF(AND($A82&gt;='Control Room'!$A$14,$A82&lt;'Control Room'!$A$14+'Control Room'!$B$14,'Process'!BM3=1),1+('Control Room'!$C$14-1)*EXP(-0.5*(($A82-'Control Room'!$A$14-('Control Room'!$B$14-1)/2)/MAX(0.5,'Control Room'!$B$14/4))^2),1)*IF(AND($A82&gt;='Control Room'!$A$15,$A82&lt;'Control Room'!$A$15+'Control Room'!$B$15,'Process'!BM4=1),1+('Control Room'!$C$15-1)*EXP(-0.5*(($A82-'Control Room'!$A$15-('Control Room'!$B$15-1)/2)/MAX(0.5,'Control Room'!$B$15/4))^2),1)*IF(AND($A82&gt;='Control Room'!$A$16,$A82&lt;'Control Room'!$A$16+'Control Room'!$B$16,'Process'!BM5=1),1+('Control Room'!$C$16-1)*EXP(-0.5*(($A82-'Control Room'!$A$16-('Control Room'!$B$16-1)/2)/MAX(0.5,'Control Room'!$B$16/4))^2),1)</x:f>
        <x:v>1</x:v>
      </x:c>
      <x:c r="Q82" s="9" t="n">
        <x:f>MOD(R81*16807,2147483647)</x:f>
        <x:v>617133589</x:v>
      </x:c>
      <x:c r="R82" s="9" t="n">
        <x:f>MOD(Q82*16807,2147483647)</x:f>
        <x:v>1965698960</x:v>
      </x:c>
      <x:c r="S82" s="17" t="n">
        <x:f>IF('Control Room'!$B$5="Normal",'Control Room'!$B$7+'Control Room'!$D$7*SQRT(-2*LN(MAX(0.000000000001,Q82/2147483647)))*COS(2*PI()*R82/2147483647),'Control Room'!$B$8+('Control Room'!$D$8-'Control Room'!$B$8)*Q82/2147483647)</x:f>
        <x:v>1122.4957929105476</x:v>
      </x:c>
      <x:c r="T82" s="17" t="n">
        <x:f>IF('Control Room'!$B$5="Normal",'Control Room'!$B$7,('Control Room'!$B$8+'Control Room'!$D$8)/2)+'Control Room'!$B$9*(T81-IF('Control Room'!$B$5="Normal",'Control Room'!$B$7,('Control Room'!$B$8+'Control Room'!$D$8)/2))+SQRT(1-'Control Room'!$B$9^2)*(S82-IF('Control Room'!$B$5="Normal",'Control Room'!$B$7,('Control Room'!$B$8+'Control Room'!$D$8)/2))</x:f>
        <x:v>1166.6046048610422</x:v>
      </x:c>
      <x:c r="U82" s="17" t="n">
        <x:f>IF(AND($A82&gt;='Control Room'!$A$13,$A82&lt;'Control Room'!$A$13+'Control Room'!$B$13,'Process'!BN2=1),1+('Control Room'!$C$13-1)*EXP(-0.5*(($A82-'Control Room'!$A$13-('Control Room'!$B$13-1)/2)/MAX(0.5,'Control Room'!$B$13/4))^2),1)*IF(AND($A82&gt;='Control Room'!$A$14,$A82&lt;'Control Room'!$A$14+'Control Room'!$B$14,'Process'!BN3=1),1+('Control Room'!$C$14-1)*EXP(-0.5*(($A82-'Control Room'!$A$14-('Control Room'!$B$14-1)/2)/MAX(0.5,'Control Room'!$B$14/4))^2),1)*IF(AND($A82&gt;='Control Room'!$A$15,$A82&lt;'Control Room'!$A$15+'Control Room'!$B$15,'Process'!BN4=1),1+('Control Room'!$C$15-1)*EXP(-0.5*(($A82-'Control Room'!$A$15-('Control Room'!$B$15-1)/2)/MAX(0.5,'Control Room'!$B$15/4))^2),1)*IF(AND($A82&gt;='Control Room'!$A$16,$A82&lt;'Control Room'!$A$16+'Control Room'!$B$16,'Process'!BN5=1),1+('Control Room'!$C$16-1)*EXP(-0.5*(($A82-'Control Room'!$A$16-('Control Room'!$B$16-1)/2)/MAX(0.5,'Control Room'!$B$16/4))^2),1)</x:f>
        <x:v>1</x:v>
      </x:c>
      <x:c r="V82" s="9" t="n">
        <x:f>MOD(W81*16807,2147483647)</x:f>
        <x:v>1088517724</x:v>
      </x:c>
      <x:c r="W82" s="9" t="n">
        <x:f>MOD(V82*16807,2147483647)</x:f>
        <x:v>304198475</x:v>
      </x:c>
      <x:c r="X82" s="17" t="n">
        <x:f>IF('Control Room'!$B$5="Normal",'Control Room'!$B$7+'Control Room'!$D$7*SQRT(-2*LN(MAX(0.000000000001,V82/2147483647)))*COS(2*PI()*W82/2147483647),'Control Room'!$B$8+('Control Room'!$D$8-'Control Room'!$B$8)*V82/2147483647)</x:f>
        <x:v>1066.0331676716862</x:v>
      </x:c>
      <x:c r="Y82" s="17" t="n">
        <x:f>IF('Control Room'!$B$5="Normal",'Control Room'!$B$7,('Control Room'!$B$8+'Control Room'!$D$8)/2)+'Control Room'!$B$9*(Y81-IF('Control Room'!$B$5="Normal",'Control Room'!$B$7,('Control Room'!$B$8+'Control Room'!$D$8)/2))+SQRT(1-'Control Room'!$B$9^2)*(X82-IF('Control Room'!$B$5="Normal",'Control Room'!$B$7,('Control Room'!$B$8+'Control Room'!$D$8)/2))</x:f>
        <x:v>1166.1832367639727</x:v>
      </x:c>
      <x:c r="Z82" s="17" t="n">
        <x:f>IF(AND($A82&gt;='Control Room'!$A$13,$A82&lt;'Control Room'!$A$13+'Control Room'!$B$13,'Process'!BO2=1),1+('Control Room'!$C$13-1)*EXP(-0.5*(($A82-'Control Room'!$A$13-('Control Room'!$B$13-1)/2)/MAX(0.5,'Control Room'!$B$13/4))^2),1)*IF(AND($A82&gt;='Control Room'!$A$14,$A82&lt;'Control Room'!$A$14+'Control Room'!$B$14,'Process'!BO3=1),1+('Control Room'!$C$14-1)*EXP(-0.5*(($A82-'Control Room'!$A$14-('Control Room'!$B$14-1)/2)/MAX(0.5,'Control Room'!$B$14/4))^2),1)*IF(AND($A82&gt;='Control Room'!$A$15,$A82&lt;'Control Room'!$A$15+'Control Room'!$B$15,'Process'!BO4=1),1+('Control Room'!$C$15-1)*EXP(-0.5*(($A82-'Control Room'!$A$15-('Control Room'!$B$15-1)/2)/MAX(0.5,'Control Room'!$B$15/4))^2),1)*IF(AND($A82&gt;='Control Room'!$A$16,$A82&lt;'Control Room'!$A$16+'Control Room'!$B$16,'Process'!BO5=1),1+('Control Room'!$C$16-1)*EXP(-0.5*(($A82-'Control Room'!$A$16-('Control Room'!$B$16-1)/2)/MAX(0.5,'Control Room'!$B$16/4))^2),1)</x:f>
        <x:v>1</x:v>
      </x:c>
      <x:c r="AA82" s="9" t="n">
        <x:f>MOD(AB81*16807,2147483647)</x:f>
        <x:v>1559901859</x:v>
      </x:c>
      <x:c r="AB82" s="9" t="n">
        <x:f>MOD(AA82*16807,2147483647)</x:f>
        <x:v>790181637</x:v>
      </x:c>
      <x:c r="AC82" s="17" t="n">
        <x:f>IF('Control Room'!$B$5="Normal",'Control Room'!$B$7+'Control Room'!$D$7*SQRT(-2*LN(MAX(0.000000000001,AA82/2147483647)))*COS(2*PI()*AB82/2147483647),'Control Room'!$B$8+('Control Room'!$D$8-'Control Room'!$B$8)*AA82/2147483647)</x:f>
        <x:v>951.4151648658686</x:v>
      </x:c>
      <x:c r="AD82" s="17" t="n">
        <x:f>IF('Control Room'!$B$5="Normal",'Control Room'!$B$7,('Control Room'!$B$8+'Control Room'!$D$8)/2)+'Control Room'!$B$9*(AD81-IF('Control Room'!$B$5="Normal",'Control Room'!$B$7,('Control Room'!$B$8+'Control Room'!$D$8)/2))+SQRT(1-'Control Room'!$B$9^2)*(AC82-IF('Control Room'!$B$5="Normal",'Control Room'!$B$7,('Control Room'!$B$8+'Control Room'!$D$8)/2))</x:f>
        <x:v>957.3244453671558</x:v>
      </x:c>
      <x:c r="AE82" s="17" t="n">
        <x:f>IF(AND($A82&gt;='Control Room'!$A$13,$A82&lt;'Control Room'!$A$13+'Control Room'!$B$13,'Process'!BP2=1),1+('Control Room'!$C$13-1)*EXP(-0.5*(($A82-'Control Room'!$A$13-('Control Room'!$B$13-1)/2)/MAX(0.5,'Control Room'!$B$13/4))^2),1)*IF(AND($A82&gt;='Control Room'!$A$14,$A82&lt;'Control Room'!$A$14+'Control Room'!$B$14,'Process'!BP3=1),1+('Control Room'!$C$14-1)*EXP(-0.5*(($A82-'Control Room'!$A$14-('Control Room'!$B$14-1)/2)/MAX(0.5,'Control Room'!$B$14/4))^2),1)*IF(AND($A82&gt;='Control Room'!$A$15,$A82&lt;'Control Room'!$A$15+'Control Room'!$B$15,'Process'!BP4=1),1+('Control Room'!$C$15-1)*EXP(-0.5*(($A82-'Control Room'!$A$15-('Control Room'!$B$15-1)/2)/MAX(0.5,'Control Room'!$B$15/4))^2),1)*IF(AND($A82&gt;='Control Room'!$A$16,$A82&lt;'Control Room'!$A$16+'Control Room'!$B$16,'Process'!BP5=1),1+('Control Room'!$C$16-1)*EXP(-0.5*(($A82-'Control Room'!$A$16-('Control Room'!$B$16-1)/2)/MAX(0.5,'Control Room'!$B$16/4))^2),1)</x:f>
        <x:v>1</x:v>
      </x:c>
      <x:c r="AF82" s="9" t="n">
        <x:f>MOD(AG81*16807,2147483647)</x:f>
        <x:v>2031285994</x:v>
      </x:c>
      <x:c r="AG82" s="9" t="n">
        <x:f>MOD(AF82*16807,2147483647)</x:f>
        <x:v>1276164799</x:v>
      </x:c>
      <x:c r="AH82" s="17" t="n">
        <x:f>IF('Control Room'!$B$5="Normal",'Control Room'!$B$7+'Control Room'!$D$7*SQRT(-2*LN(MAX(0.000000000001,AF82/2147483647)))*COS(2*PI()*AG82/2147483647),'Control Room'!$B$8+('Control Room'!$D$8-'Control Room'!$B$8)*AF82/2147483647)</x:f>
        <x:v>975.0933551867474</x:v>
      </x:c>
      <x:c r="AI82" s="17" t="n">
        <x:f>IF('Control Room'!$B$5="Normal",'Control Room'!$B$7,('Control Room'!$B$8+'Control Room'!$D$8)/2)+'Control Room'!$B$9*(AI81-IF('Control Room'!$B$5="Normal",'Control Room'!$B$7,('Control Room'!$B$8+'Control Room'!$D$8)/2))+SQRT(1-'Control Room'!$B$9^2)*(AH82-IF('Control Room'!$B$5="Normal",'Control Room'!$B$7,('Control Room'!$B$8+'Control Room'!$D$8)/2))</x:f>
        <x:v>962.6662985516846</x:v>
      </x:c>
      <x:c r="AJ82" s="17" t="n">
        <x:f>IF(AND($A82&gt;='Control Room'!$A$13,$A82&lt;'Control Room'!$A$13+'Control Room'!$B$13,'Process'!BQ2=1),1+('Control Room'!$C$13-1)*EXP(-0.5*(($A82-'Control Room'!$A$13-('Control Room'!$B$13-1)/2)/MAX(0.5,'Control Room'!$B$13/4))^2),1)*IF(AND($A82&gt;='Control Room'!$A$14,$A82&lt;'Control Room'!$A$14+'Control Room'!$B$14,'Process'!BQ3=1),1+('Control Room'!$C$14-1)*EXP(-0.5*(($A82-'Control Room'!$A$14-('Control Room'!$B$14-1)/2)/MAX(0.5,'Control Room'!$B$14/4))^2),1)*IF(AND($A82&gt;='Control Room'!$A$15,$A82&lt;'Control Room'!$A$15+'Control Room'!$B$15,'Process'!BQ4=1),1+('Control Room'!$C$15-1)*EXP(-0.5*(($A82-'Control Room'!$A$15-('Control Room'!$B$15-1)/2)/MAX(0.5,'Control Room'!$B$15/4))^2),1)*IF(AND($A82&gt;='Control Room'!$A$16,$A82&lt;'Control Room'!$A$16+'Control Room'!$B$16,'Process'!BQ5=1),1+('Control Room'!$C$16-1)*EXP(-0.5*(($A82-'Control Room'!$A$16-('Control Room'!$B$16-1)/2)/MAX(0.5,'Control Room'!$B$16/4))^2),1)</x:f>
        <x:v>1</x:v>
      </x:c>
      <x:c r="AK82" s="9" t="n">
        <x:f>MOD(AL81*16807,2147483647)</x:f>
        <x:v>355186482</x:v>
      </x:c>
      <x:c r="AL82" s="9" t="n">
        <x:f>MOD(AK82*16807,2147483647)</x:f>
        <x:v>1762147961</x:v>
      </x:c>
      <x:c r="AM82" s="17" t="n">
        <x:f>IF('Control Room'!$B$5="Normal",'Control Room'!$B$7+'Control Room'!$D$7*SQRT(-2*LN(MAX(0.000000000001,AK82/2147483647)))*COS(2*PI()*AL82/2147483647),'Control Room'!$B$8+('Control Room'!$D$8-'Control Room'!$B$8)*AK82/2147483647)</x:f>
        <x:v>1073.242492306592</x:v>
      </x:c>
      <x:c r="AN82" s="17" t="n">
        <x:f>IF('Control Room'!$B$5="Normal",'Control Room'!$B$7,('Control Room'!$B$8+'Control Room'!$D$8)/2)+'Control Room'!$B$9*(AN81-IF('Control Room'!$B$5="Normal",'Control Room'!$B$7,('Control Room'!$B$8+'Control Room'!$D$8)/2))+SQRT(1-'Control Room'!$B$9^2)*(AM82-IF('Control Room'!$B$5="Normal",'Control Room'!$B$7,('Control Room'!$B$8+'Control Room'!$D$8)/2))</x:f>
        <x:v>1018.3354172867638</x:v>
      </x:c>
      <x:c r="AO82" s="17" t="n">
        <x:f>IF(AND($A82&gt;='Control Room'!$A$13,$A82&lt;'Control Room'!$A$13+'Control Room'!$B$13,'Process'!BR2=1),1+('Control Room'!$C$13-1)*EXP(-0.5*(($A82-'Control Room'!$A$13-('Control Room'!$B$13-1)/2)/MAX(0.5,'Control Room'!$B$13/4))^2),1)*IF(AND($A82&gt;='Control Room'!$A$14,$A82&lt;'Control Room'!$A$14+'Control Room'!$B$14,'Process'!BR3=1),1+('Control Room'!$C$14-1)*EXP(-0.5*(($A82-'Control Room'!$A$14-('Control Room'!$B$14-1)/2)/MAX(0.5,'Control Room'!$B$14/4))^2),1)*IF(AND($A82&gt;='Control Room'!$A$15,$A82&lt;'Control Room'!$A$15+'Control Room'!$B$15,'Process'!BR4=1),1+('Control Room'!$C$15-1)*EXP(-0.5*(($A82-'Control Room'!$A$15-('Control Room'!$B$15-1)/2)/MAX(0.5,'Control Room'!$B$15/4))^2),1)*IF(AND($A82&gt;='Control Room'!$A$16,$A82&lt;'Control Room'!$A$16+'Control Room'!$B$16,'Process'!BR5=1),1+('Control Room'!$C$16-1)*EXP(-0.5*(($A82-'Control Room'!$A$16-('Control Room'!$B$16-1)/2)/MAX(0.5,'Control Room'!$B$16/4))^2),1)</x:f>
        <x:v>1</x:v>
      </x:c>
      <x:c r="AP82" s="9" t="n">
        <x:f>MOD(AQ81*16807,2147483647)</x:f>
        <x:v>826570617</x:v>
      </x:c>
      <x:c r="AQ82" s="9" t="n">
        <x:f>MOD(AP82*16807,2147483647)</x:f>
        <x:v>100647476</x:v>
      </x:c>
      <x:c r="AR82" s="17" t="n">
        <x:f>IF('Control Room'!$B$5="Normal",'Control Room'!$B$7+'Control Room'!$D$7*SQRT(-2*LN(MAX(0.000000000001,AP82/2147483647)))*COS(2*PI()*AQ82/2147483647),'Control Room'!$B$8+('Control Room'!$D$8-'Control Room'!$B$8)*AP82/2147483647)</x:f>
        <x:v>1119.0137373961886</x:v>
      </x:c>
      <x:c r="AS82" s="17" t="n">
        <x:f>IF('Control Room'!$B$5="Normal",'Control Room'!$B$7,('Control Room'!$B$8+'Control Room'!$D$8)/2)+'Control Room'!$B$9*(AS81-IF('Control Room'!$B$5="Normal",'Control Room'!$B$7,('Control Room'!$B$8+'Control Room'!$D$8)/2))+SQRT(1-'Control Room'!$B$9^2)*(AR82-IF('Control Room'!$B$5="Normal",'Control Room'!$B$7,('Control Room'!$B$8+'Control Room'!$D$8)/2))</x:f>
        <x:v>1206.8763117058566</x:v>
      </x:c>
      <x:c r="AT82" s="17" t="n">
        <x:f>IF(AND($A82&gt;='Control Room'!$A$13,$A82&lt;'Control Room'!$A$13+'Control Room'!$B$13,'Process'!BS2=1),1+('Control Room'!$C$13-1)*EXP(-0.5*(($A82-'Control Room'!$A$13-('Control Room'!$B$13-1)/2)/MAX(0.5,'Control Room'!$B$13/4))^2),1)*IF(AND($A82&gt;='Control Room'!$A$14,$A82&lt;'Control Room'!$A$14+'Control Room'!$B$14,'Process'!BS3=1),1+('Control Room'!$C$14-1)*EXP(-0.5*(($A82-'Control Room'!$A$14-('Control Room'!$B$14-1)/2)/MAX(0.5,'Control Room'!$B$14/4))^2),1)*IF(AND($A82&gt;='Control Room'!$A$15,$A82&lt;'Control Room'!$A$15+'Control Room'!$B$15,'Process'!BS4=1),1+('Control Room'!$C$15-1)*EXP(-0.5*(($A82-'Control Room'!$A$15-('Control Room'!$B$15-1)/2)/MAX(0.5,'Control Room'!$B$15/4))^2),1)*IF(AND($A82&gt;='Control Room'!$A$16,$A82&lt;'Control Room'!$A$16+'Control Room'!$B$16,'Process'!BS5=1),1+('Control Room'!$C$16-1)*EXP(-0.5*(($A82-'Control Room'!$A$16-('Control Room'!$B$16-1)/2)/MAX(0.5,'Control Room'!$B$16/4))^2),1)</x:f>
        <x:v>1</x:v>
      </x:c>
      <x:c r="AU82" s="9" t="n">
        <x:f>MOD(AV81*16807,2147483647)</x:f>
        <x:v>1297954752</x:v>
      </x:c>
      <x:c r="AV82" s="9" t="n">
        <x:f>MOD(AU82*16807,2147483647)</x:f>
        <x:v>586630638</x:v>
      </x:c>
      <x:c r="AW82" s="17" t="n">
        <x:f>IF('Control Room'!$B$5="Normal",'Control Room'!$B$7+'Control Room'!$D$7*SQRT(-2*LN(MAX(0.000000000001,AU82/2147483647)))*COS(2*PI()*AV82/2147483647),'Control Room'!$B$8+('Control Room'!$D$8-'Control Room'!$B$8)*AU82/2147483647)</x:f>
        <x:v>986.8975370725492</x:v>
      </x:c>
      <x:c r="AX82" s="17" t="n">
        <x:f>IF('Control Room'!$B$5="Normal",'Control Room'!$B$7,('Control Room'!$B$8+'Control Room'!$D$8)/2)+'Control Room'!$B$9*(AX81-IF('Control Room'!$B$5="Normal",'Control Room'!$B$7,('Control Room'!$B$8+'Control Room'!$D$8)/2))+SQRT(1-'Control Room'!$B$9^2)*(AW82-IF('Control Room'!$B$5="Normal",'Control Room'!$B$7,('Control Room'!$B$8+'Control Room'!$D$8)/2))</x:f>
        <x:v>1116.5252003233256</x:v>
      </x:c>
      <x:c r="AY82" s="17" t="n">
        <x:f>IF(AND($A82&gt;='Control Room'!$A$13,$A82&lt;'Control Room'!$A$13+'Control Room'!$B$13,'Process'!BT2=1),1+('Control Room'!$C$13-1)*EXP(-0.5*(($A82-'Control Room'!$A$13-('Control Room'!$B$13-1)/2)/MAX(0.5,'Control Room'!$B$13/4))^2),1)*IF(AND($A82&gt;='Control Room'!$A$14,$A82&lt;'Control Room'!$A$14+'Control Room'!$B$14,'Process'!BT3=1),1+('Control Room'!$C$14-1)*EXP(-0.5*(($A82-'Control Room'!$A$14-('Control Room'!$B$14-1)/2)/MAX(0.5,'Control Room'!$B$14/4))^2),1)*IF(AND($A82&gt;='Control Room'!$A$15,$A82&lt;'Control Room'!$A$15+'Control Room'!$B$15,'Process'!BT4=1),1+('Control Room'!$C$15-1)*EXP(-0.5*(($A82-'Control Room'!$A$15-('Control Room'!$B$15-1)/2)/MAX(0.5,'Control Room'!$B$15/4))^2),1)*IF(AND($A82&gt;='Control Room'!$A$16,$A82&lt;'Control Room'!$A$16+'Control Room'!$B$16,'Process'!BT5=1),1+('Control Room'!$C$16-1)*EXP(-0.5*(($A82-'Control Room'!$A$16-('Control Room'!$B$16-1)/2)/MAX(0.5,'Control Room'!$B$16/4))^2),1)</x:f>
        <x:v>1</x:v>
      </x:c>
      <x:c r="AZ82" s="9" t="n">
        <x:f>MOD(BA81*16807,2147483647)</x:f>
        <x:v>1769338887</x:v>
      </x:c>
      <x:c r="BA82" s="9" t="n">
        <x:f>MOD(AZ82*16807,2147483647)</x:f>
        <x:v>1072613800</x:v>
      </x:c>
      <x:c r="BB82" s="17" t="n">
        <x:f>IF('Control Room'!$B$5="Normal",'Control Room'!$B$7+'Control Room'!$D$7*SQRT(-2*LN(MAX(0.000000000001,AZ82/2147483647)))*COS(2*PI()*BA82/2147483647),'Control Room'!$B$8+('Control Room'!$D$8-'Control Room'!$B$8)*AZ82/2147483647)</x:f>
        <x:v>943.9843176195537</x:v>
      </x:c>
      <x:c r="BC82" s="17" t="n">
        <x:f>IF('Control Room'!$B$5="Normal",'Control Room'!$B$7,('Control Room'!$B$8+'Control Room'!$D$8)/2)+'Control Room'!$B$9*(BC81-IF('Control Room'!$B$5="Normal",'Control Room'!$B$7,('Control Room'!$B$8+'Control Room'!$D$8)/2))+SQRT(1-'Control Room'!$B$9^2)*(BB82-IF('Control Room'!$B$5="Normal",'Control Room'!$B$7,('Control Room'!$B$8+'Control Room'!$D$8)/2))</x:f>
        <x:v>945.5293606080027</x:v>
      </x:c>
      <x:c r="BD82" s="17" t="n">
        <x:f>IF(AND($A82&gt;='Control Room'!$A$13,$A82&lt;'Control Room'!$A$13+'Control Room'!$B$13,'Process'!BU2=1),1+('Control Room'!$C$13-1)*EXP(-0.5*(($A82-'Control Room'!$A$13-('Control Room'!$B$13-1)/2)/MAX(0.5,'Control Room'!$B$13/4))^2),1)*IF(AND($A82&gt;='Control Room'!$A$14,$A82&lt;'Control Room'!$A$14+'Control Room'!$B$14,'Process'!BU3=1),1+('Control Room'!$C$14-1)*EXP(-0.5*(($A82-'Control Room'!$A$14-('Control Room'!$B$14-1)/2)/MAX(0.5,'Control Room'!$B$14/4))^2),1)*IF(AND($A82&gt;='Control Room'!$A$15,$A82&lt;'Control Room'!$A$15+'Control Room'!$B$15,'Process'!BU4=1),1+('Control Room'!$C$15-1)*EXP(-0.5*(($A82-'Control Room'!$A$15-('Control Room'!$B$15-1)/2)/MAX(0.5,'Control Room'!$B$15/4))^2),1)*IF(AND($A82&gt;='Control Room'!$A$16,$A82&lt;'Control Room'!$A$16+'Control Room'!$B$16,'Process'!BU5=1),1+('Control Room'!$C$16-1)*EXP(-0.5*(($A82-'Control Room'!$A$16-('Control Room'!$B$16-1)/2)/MAX(0.5,'Control Room'!$B$16/4))^2),1)</x:f>
        <x:v>1</x:v>
      </x:c>
      <x:c r="BE82" s="9" t="n">
        <x:f>MOD(BF81*16807,2147483647)</x:f>
        <x:v>93239375</x:v>
      </x:c>
      <x:c r="BF82" s="9" t="n">
        <x:f>MOD(BE82*16807,2147483647)</x:f>
        <x:v>1558596962</x:v>
      </x:c>
      <x:c r="BG82" s="17" t="n">
        <x:f>IF('Control Room'!$B$5="Normal",'Control Room'!$B$7+'Control Room'!$D$7*SQRT(-2*LN(MAX(0.000000000001,BE82/2147483647)))*COS(2*PI()*BF82/2147483647),'Control Room'!$B$8+('Control Room'!$D$8-'Control Room'!$B$8)*BE82/2147483647)</x:f>
        <x:v>965.8245800056956</x:v>
      </x:c>
      <x:c r="BH82" s="17" t="n">
        <x:f>IF('Control Room'!$B$5="Normal",'Control Room'!$B$7,('Control Room'!$B$8+'Control Room'!$D$8)/2)+'Control Room'!$B$9*(BH81-IF('Control Room'!$B$5="Normal",'Control Room'!$B$7,('Control Room'!$B$8+'Control Room'!$D$8)/2))+SQRT(1-'Control Room'!$B$9^2)*(BG82-IF('Control Room'!$B$5="Normal",'Control Room'!$B$7,('Control Room'!$B$8+'Control Room'!$D$8)/2))</x:f>
        <x:v>1095.7517285468195</x:v>
      </x:c>
      <x:c r="BI82" s="17" t="n">
        <x:f>IF(AND($A82&gt;='Control Room'!$A$13,$A82&lt;'Control Room'!$A$13+'Control Room'!$B$13,'Process'!BV2=1),1+('Control Room'!$C$13-1)*EXP(-0.5*(($A82-'Control Room'!$A$13-('Control Room'!$B$13-1)/2)/MAX(0.5,'Control Room'!$B$13/4))^2),1)*IF(AND($A82&gt;='Control Room'!$A$14,$A82&lt;'Control Room'!$A$14+'Control Room'!$B$14,'Process'!BV3=1),1+('Control Room'!$C$14-1)*EXP(-0.5*(($A82-'Control Room'!$A$14-('Control Room'!$B$14-1)/2)/MAX(0.5,'Control Room'!$B$14/4))^2),1)*IF(AND($A82&gt;='Control Room'!$A$15,$A82&lt;'Control Room'!$A$15+'Control Room'!$B$15,'Process'!BV4=1),1+('Control Room'!$C$15-1)*EXP(-0.5*(($A82-'Control Room'!$A$15-('Control Room'!$B$15-1)/2)/MAX(0.5,'Control Room'!$B$15/4))^2),1)*IF(AND($A82&gt;='Control Room'!$A$16,$A82&lt;'Control Room'!$A$16+'Control Room'!$B$16,'Process'!BV5=1),1+('Control Room'!$C$16-1)*EXP(-0.5*(($A82-'Control Room'!$A$16-('Control Room'!$B$16-1)/2)/MAX(0.5,'Control Room'!$B$16/4))^2),1)</x:f>
        <x:v>1</x:v>
      </x:c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Z82" t="str">
        <x:f>IF('Data'!A82="","",TEXT('Data'!A82,"mm-dd"))</x:f>
        <x:v>01-21</x:v>
      </x:c>
    </x:row>
    <x:row r="83" ht="21" customHeight="1">
      <x:c r="A83" s="15" t="n">
        <x:f>'Control Room'!$B$1+81</x:f>
        <x:v>73072</x:v>
      </x:c>
      <x:c r="B83" s="9" t="n">
        <x:f>MOD(C82*16807,2147483647)</x:f>
        <x:v>1792879987</x:v>
      </x:c>
      <x:c r="C83" s="9" t="n">
        <x:f>MOD(B83*16807,2147483647)</x:f>
        <x:v>1590890452</x:v>
      </x:c>
      <x:c r="D83" s="17" t="n">
        <x:f>IF('Control Room'!$B$5="Normal",'Control Room'!$B$7+'Control Room'!$D$7*SQRT(-2*LN(MAX(0.000000000001,B83/2147483647)))*COS(2*PI()*C83/2147483647),'Control Room'!$B$8+('Control Room'!$D$8-'Control Room'!$B$8)*B83/2147483647)</x:f>
        <x:v>996.8816103454426</x:v>
      </x:c>
      <x:c r="E83" s="17" t="n">
        <x:f>IF('Control Room'!$B$5="Normal",'Control Room'!$B$7,('Control Room'!$B$8+'Control Room'!$D$8)/2)+'Control Room'!$B$9*(E82-IF('Control Room'!$B$5="Normal",'Control Room'!$B$7,('Control Room'!$B$8+'Control Room'!$D$8)/2))+SQRT(1-'Control Room'!$B$9^2)*(D83-IF('Control Room'!$B$5="Normal",'Control Room'!$B$7,('Control Room'!$B$8+'Control Room'!$D$8)/2))</x:f>
        <x:v>1038.0881664894105</x:v>
      </x:c>
      <x:c r="F83" s="17" t="n">
        <x:f>IF(AND($A83&gt;='Control Room'!$A$13,$A83&lt;'Control Room'!$A$13+'Control Room'!$B$13,'Process'!BK2=1),1+('Control Room'!$C$13-1)*EXP(-0.5*(($A83-'Control Room'!$A$13-('Control Room'!$B$13-1)/2)/MAX(0.5,'Control Room'!$B$13/4))^2),1)*IF(AND($A83&gt;='Control Room'!$A$14,$A83&lt;'Control Room'!$A$14+'Control Room'!$B$14,'Process'!BK3=1),1+('Control Room'!$C$14-1)*EXP(-0.5*(($A83-'Control Room'!$A$14-('Control Room'!$B$14-1)/2)/MAX(0.5,'Control Room'!$B$14/4))^2),1)*IF(AND($A83&gt;='Control Room'!$A$15,$A83&lt;'Control Room'!$A$15+'Control Room'!$B$15,'Process'!BK4=1),1+('Control Room'!$C$15-1)*EXP(-0.5*(($A83-'Control Room'!$A$15-('Control Room'!$B$15-1)/2)/MAX(0.5,'Control Room'!$B$15/4))^2),1)*IF(AND($A83&gt;='Control Room'!$A$16,$A83&lt;'Control Room'!$A$16+'Control Room'!$B$16,'Process'!BK5=1),1+('Control Room'!$C$16-1)*EXP(-0.5*(($A83-'Control Room'!$A$16-('Control Room'!$B$16-1)/2)/MAX(0.5,'Control Room'!$B$16/4))^2),1)</x:f>
        <x:v>1</x:v>
      </x:c>
      <x:c r="G83" s="9" t="n">
        <x:f>MOD(H82*16807,2147483647)</x:f>
        <x:v>684090533</x:v>
      </x:c>
      <x:c r="H83" s="9" t="n">
        <x:f>MOD(G83*16807,2147483647)</x:f>
        <x:v>2029625740</x:v>
      </x:c>
      <x:c r="I83" s="17" t="n">
        <x:f>IF('Control Room'!$B$5="Normal",'Control Room'!$B$7+'Control Room'!$D$7*SQRT(-2*LN(MAX(0.000000000001,G83/2147483647)))*COS(2*PI()*H83/2147483647),'Control Room'!$B$8+('Control Room'!$D$8-'Control Room'!$B$8)*G83/2147483647)</x:f>
        <x:v>1128.1190699584158</x:v>
      </x:c>
      <x:c r="J83" s="17" t="n">
        <x:f>IF('Control Room'!$B$5="Normal",'Control Room'!$B$7,('Control Room'!$B$8+'Control Room'!$D$8)/2)+'Control Room'!$B$9*(J82-IF('Control Room'!$B$5="Normal",'Control Room'!$B$7,('Control Room'!$B$8+'Control Room'!$D$8)/2))+SQRT(1-'Control Room'!$B$9^2)*(I83-IF('Control Room'!$B$5="Normal",'Control Room'!$B$7,('Control Room'!$B$8+'Control Room'!$D$8)/2))</x:f>
        <x:v>1049.2033072039126</x:v>
      </x:c>
      <x:c r="K83" s="17" t="n">
        <x:f>IF(AND($A83&gt;='Control Room'!$A$13,$A83&lt;'Control Room'!$A$13+'Control Room'!$B$13,'Process'!BL2=1),1+('Control Room'!$C$13-1)*EXP(-0.5*(($A83-'Control Room'!$A$13-('Control Room'!$B$13-1)/2)/MAX(0.5,'Control Room'!$B$13/4))^2),1)*IF(AND($A83&gt;='Control Room'!$A$14,$A83&lt;'Control Room'!$A$14+'Control Room'!$B$14,'Process'!BL3=1),1+('Control Room'!$C$14-1)*EXP(-0.5*(($A83-'Control Room'!$A$14-('Control Room'!$B$14-1)/2)/MAX(0.5,'Control Room'!$B$14/4))^2),1)*IF(AND($A83&gt;='Control Room'!$A$15,$A83&lt;'Control Room'!$A$15+'Control Room'!$B$15,'Process'!BL4=1),1+('Control Room'!$C$15-1)*EXP(-0.5*(($A83-'Control Room'!$A$15-('Control Room'!$B$15-1)/2)/MAX(0.5,'Control Room'!$B$15/4))^2),1)*IF(AND($A83&gt;='Control Room'!$A$16,$A83&lt;'Control Room'!$A$16+'Control Room'!$B$16,'Process'!BL5=1),1+('Control Room'!$C$16-1)*EXP(-0.5*(($A83-'Control Room'!$A$16-('Control Room'!$B$16-1)/2)/MAX(0.5,'Control Room'!$B$16/4))^2),1)</x:f>
        <x:v>1</x:v>
      </x:c>
      <x:c r="L83" s="9" t="n">
        <x:f>MOD(M82*16807,2147483647)</x:f>
        <x:v>1722784726</x:v>
      </x:c>
      <x:c r="M83" s="9" t="n">
        <x:f>MOD(L83*16807,2147483647)</x:f>
        <x:v>320877381</x:v>
      </x:c>
      <x:c r="N83" s="17" t="n">
        <x:f>IF('Control Room'!$B$5="Normal",'Control Room'!$B$7+'Control Room'!$D$7*SQRT(-2*LN(MAX(0.000000000001,L83/2147483647)))*COS(2*PI()*M83/2147483647),'Control Room'!$B$8+('Control Room'!$D$8-'Control Room'!$B$8)*L83/2147483647)</x:f>
        <x:v>1035.2944810536499</x:v>
      </x:c>
      <x:c r="O83" s="17" t="n">
        <x:f>IF('Control Room'!$B$5="Normal",'Control Room'!$B$7,('Control Room'!$B$8+'Control Room'!$D$8)/2)+'Control Room'!$B$9*(O82-IF('Control Room'!$B$5="Normal",'Control Room'!$B$7,('Control Room'!$B$8+'Control Room'!$D$8)/2))+SQRT(1-'Control Room'!$B$9^2)*(N83-IF('Control Room'!$B$5="Normal",'Control Room'!$B$7,('Control Room'!$B$8+'Control Room'!$D$8)/2))</x:f>
        <x:v>959.6838334201501</x:v>
      </x:c>
      <x:c r="P83" s="17" t="n">
        <x:f>IF(AND($A83&gt;='Control Room'!$A$13,$A83&lt;'Control Room'!$A$13+'Control Room'!$B$13,'Process'!BM2=1),1+('Control Room'!$C$13-1)*EXP(-0.5*(($A83-'Control Room'!$A$13-('Control Room'!$B$13-1)/2)/MAX(0.5,'Control Room'!$B$13/4))^2),1)*IF(AND($A83&gt;='Control Room'!$A$14,$A83&lt;'Control Room'!$A$14+'Control Room'!$B$14,'Process'!BM3=1),1+('Control Room'!$C$14-1)*EXP(-0.5*(($A83-'Control Room'!$A$14-('Control Room'!$B$14-1)/2)/MAX(0.5,'Control Room'!$B$14/4))^2),1)*IF(AND($A83&gt;='Control Room'!$A$15,$A83&lt;'Control Room'!$A$15+'Control Room'!$B$15,'Process'!BM4=1),1+('Control Room'!$C$15-1)*EXP(-0.5*(($A83-'Control Room'!$A$15-('Control Room'!$B$15-1)/2)/MAX(0.5,'Control Room'!$B$15/4))^2),1)*IF(AND($A83&gt;='Control Room'!$A$16,$A83&lt;'Control Room'!$A$16+'Control Room'!$B$16,'Process'!BM5=1),1+('Control Room'!$C$16-1)*EXP(-0.5*(($A83-'Control Room'!$A$16-('Control Room'!$B$16-1)/2)/MAX(0.5,'Control Room'!$B$16/4))^2),1)</x:f>
        <x:v>1</x:v>
      </x:c>
      <x:c r="Q83" s="9" t="n">
        <x:f>MOD(R82*16807,2147483647)</x:f>
        <x:v>613995272</x:v>
      </x:c>
      <x:c r="R83" s="9" t="n">
        <x:f>MOD(Q83*16807,2147483647)</x:f>
        <x:v>759612669</x:v>
      </x:c>
      <x:c r="S83" s="17" t="n">
        <x:f>IF('Control Room'!$B$5="Normal",'Control Room'!$B$7+'Control Room'!$D$7*SQRT(-2*LN(MAX(0.000000000001,Q83/2147483647)))*COS(2*PI()*R83/2147483647),'Control Room'!$B$8+('Control Room'!$D$8-'Control Room'!$B$8)*Q83/2147483647)</x:f>
        <x:v>913.6160807858837</x:v>
      </x:c>
      <x:c r="T83" s="17" t="n">
        <x:f>IF('Control Room'!$B$5="Normal",'Control Room'!$B$7,('Control Room'!$B$8+'Control Room'!$D$8)/2)+'Control Room'!$B$9*(T82-IF('Control Room'!$B$5="Normal",'Control Room'!$B$7,('Control Room'!$B$8+'Control Room'!$D$8)/2))+SQRT(1-'Control Room'!$B$9^2)*(S83-IF('Control Room'!$B$5="Normal",'Control Room'!$B$7,('Control Room'!$B$8+'Control Room'!$D$8)/2))</x:f>
        <x:v>1075.894304818194</x:v>
      </x:c>
      <x:c r="U83" s="17" t="n">
        <x:f>IF(AND($A83&gt;='Control Room'!$A$13,$A83&lt;'Control Room'!$A$13+'Control Room'!$B$13,'Process'!BN2=1),1+('Control Room'!$C$13-1)*EXP(-0.5*(($A83-'Control Room'!$A$13-('Control Room'!$B$13-1)/2)/MAX(0.5,'Control Room'!$B$13/4))^2),1)*IF(AND($A83&gt;='Control Room'!$A$14,$A83&lt;'Control Room'!$A$14+'Control Room'!$B$14,'Process'!BN3=1),1+('Control Room'!$C$14-1)*EXP(-0.5*(($A83-'Control Room'!$A$14-('Control Room'!$B$14-1)/2)/MAX(0.5,'Control Room'!$B$14/4))^2),1)*IF(AND($A83&gt;='Control Room'!$A$15,$A83&lt;'Control Room'!$A$15+'Control Room'!$B$15,'Process'!BN4=1),1+('Control Room'!$C$15-1)*EXP(-0.5*(($A83-'Control Room'!$A$15-('Control Room'!$B$15-1)/2)/MAX(0.5,'Control Room'!$B$15/4))^2),1)*IF(AND($A83&gt;='Control Room'!$A$16,$A83&lt;'Control Room'!$A$16+'Control Room'!$B$16,'Process'!BN5=1),1+('Control Room'!$C$16-1)*EXP(-0.5*(($A83-'Control Room'!$A$16-('Control Room'!$B$16-1)/2)/MAX(0.5,'Control Room'!$B$16/4))^2),1)</x:f>
        <x:v>1</x:v>
      </x:c>
      <x:c r="V83" s="9" t="n">
        <x:f>MOD(W82*16807,2147483647)</x:f>
        <x:v>1652689465</x:v>
      </x:c>
      <x:c r="W83" s="9" t="n">
        <x:f>MOD(V83*16807,2147483647)</x:f>
        <x:v>1198347957</x:v>
      </x:c>
      <x:c r="X83" s="17" t="n">
        <x:f>IF('Control Room'!$B$5="Normal",'Control Room'!$B$7+'Control Room'!$D$7*SQRT(-2*LN(MAX(0.000000000001,V83/2147483647)))*COS(2*PI()*W83/2147483647),'Control Room'!$B$8+('Control Room'!$D$8-'Control Room'!$B$8)*V83/2147483647)</x:f>
        <x:v>939.1453379637676</x:v>
      </x:c>
      <x:c r="Y83" s="17" t="n">
        <x:f>IF('Control Room'!$B$5="Normal",'Control Room'!$B$7,('Control Room'!$B$8+'Control Room'!$D$8)/2)+'Control Room'!$B$9*(Y82-IF('Control Room'!$B$5="Normal",'Control Room'!$B$7,('Control Room'!$B$8+'Control Room'!$D$8)/2))+SQRT(1-'Control Room'!$B$9^2)*(X83-IF('Control Room'!$B$5="Normal",'Control Room'!$B$7,('Control Room'!$B$8+'Control Room'!$D$8)/2))</x:f>
        <x:v>1091.5413238491392</x:v>
      </x:c>
      <x:c r="Z83" s="17" t="n">
        <x:f>IF(AND($A83&gt;='Control Room'!$A$13,$A83&lt;'Control Room'!$A$13+'Control Room'!$B$13,'Process'!BO2=1),1+('Control Room'!$C$13-1)*EXP(-0.5*(($A83-'Control Room'!$A$13-('Control Room'!$B$13-1)/2)/MAX(0.5,'Control Room'!$B$13/4))^2),1)*IF(AND($A83&gt;='Control Room'!$A$14,$A83&lt;'Control Room'!$A$14+'Control Room'!$B$14,'Process'!BO3=1),1+('Control Room'!$C$14-1)*EXP(-0.5*(($A83-'Control Room'!$A$14-('Control Room'!$B$14-1)/2)/MAX(0.5,'Control Room'!$B$14/4))^2),1)*IF(AND($A83&gt;='Control Room'!$A$15,$A83&lt;'Control Room'!$A$15+'Control Room'!$B$15,'Process'!BO4=1),1+('Control Room'!$C$15-1)*EXP(-0.5*(($A83-'Control Room'!$A$15-('Control Room'!$B$15-1)/2)/MAX(0.5,'Control Room'!$B$15/4))^2),1)*IF(AND($A83&gt;='Control Room'!$A$16,$A83&lt;'Control Room'!$A$16+'Control Room'!$B$16,'Process'!BO5=1),1+('Control Room'!$C$16-1)*EXP(-0.5*(($A83-'Control Room'!$A$16-('Control Room'!$B$16-1)/2)/MAX(0.5,'Control Room'!$B$16/4))^2),1)</x:f>
        <x:v>1</x:v>
      </x:c>
      <x:c r="AA83" s="9" t="n">
        <x:f>MOD(AB82*16807,2147483647)</x:f>
        <x:v>543900011</x:v>
      </x:c>
      <x:c r="AB83" s="9" t="n">
        <x:f>MOD(AA83*16807,2147483647)</x:f>
        <x:v>1637083245</x:v>
      </x:c>
      <x:c r="AC83" s="17" t="n">
        <x:f>IF('Control Room'!$B$5="Normal",'Control Room'!$B$7+'Control Room'!$D$7*SQRT(-2*LN(MAX(0.000000000001,AA83/2147483647)))*COS(2*PI()*AB83/2147483647),'Control Room'!$B$8+('Control Room'!$D$8-'Control Room'!$B$8)*AA83/2147483647)</x:f>
        <x:v>1011.5402748775817</x:v>
      </x:c>
      <x:c r="AD83" s="17" t="n">
        <x:f>IF('Control Room'!$B$5="Normal",'Control Room'!$B$7,('Control Room'!$B$8+'Control Room'!$D$8)/2)+'Control Room'!$B$9*(AD82-IF('Control Room'!$B$5="Normal",'Control Room'!$B$7,('Control Room'!$B$8+'Control Room'!$D$8)/2))+SQRT(1-'Control Room'!$B$9^2)*(AC83-IF('Control Room'!$B$5="Normal",'Control Room'!$B$7,('Control Room'!$B$8+'Control Room'!$D$8)/2))</x:f>
        <x:v>973.934734989391</x:v>
      </x:c>
      <x:c r="AE83" s="17" t="n">
        <x:f>IF(AND($A83&gt;='Control Room'!$A$13,$A83&lt;'Control Room'!$A$13+'Control Room'!$B$13,'Process'!BP2=1),1+('Control Room'!$C$13-1)*EXP(-0.5*(($A83-'Control Room'!$A$13-('Control Room'!$B$13-1)/2)/MAX(0.5,'Control Room'!$B$13/4))^2),1)*IF(AND($A83&gt;='Control Room'!$A$14,$A83&lt;'Control Room'!$A$14+'Control Room'!$B$14,'Process'!BP3=1),1+('Control Room'!$C$14-1)*EXP(-0.5*(($A83-'Control Room'!$A$14-('Control Room'!$B$14-1)/2)/MAX(0.5,'Control Room'!$B$14/4))^2),1)*IF(AND($A83&gt;='Control Room'!$A$15,$A83&lt;'Control Room'!$A$15+'Control Room'!$B$15,'Process'!BP4=1),1+('Control Room'!$C$15-1)*EXP(-0.5*(($A83-'Control Room'!$A$15-('Control Room'!$B$15-1)/2)/MAX(0.5,'Control Room'!$B$15/4))^2),1)*IF(AND($A83&gt;='Control Room'!$A$16,$A83&lt;'Control Room'!$A$16+'Control Room'!$B$16,'Process'!BP5=1),1+('Control Room'!$C$16-1)*EXP(-0.5*(($A83-'Control Room'!$A$16-('Control Room'!$B$16-1)/2)/MAX(0.5,'Control Room'!$B$16/4))^2),1)</x:f>
        <x:v>1</x:v>
      </x:c>
      <x:c r="AF83" s="9" t="n">
        <x:f>MOD(AG82*16807,2147483647)</x:f>
        <x:v>1582594204</x:v>
      </x:c>
      <x:c r="AG83" s="9" t="n">
        <x:f>MOD(AF83*16807,2147483647)</x:f>
        <x:v>2075818533</x:v>
      </x:c>
      <x:c r="AH83" s="17" t="n">
        <x:f>IF('Control Room'!$B$5="Normal",'Control Room'!$B$7+'Control Room'!$D$7*SQRT(-2*LN(MAX(0.000000000001,AF83/2147483647)))*COS(2*PI()*AG83/2147483647),'Control Room'!$B$8+('Control Room'!$D$8-'Control Room'!$B$8)*AF83/2147483647)</x:f>
        <x:v>1068.7787418652931</x:v>
      </x:c>
      <x:c r="AI83" s="17" t="n">
        <x:f>IF('Control Room'!$B$5="Normal",'Control Room'!$B$7,('Control Room'!$B$8+'Control Room'!$D$8)/2)+'Control Room'!$B$9*(AI82-IF('Control Room'!$B$5="Normal",'Control Room'!$B$7,('Control Room'!$B$8+'Control Room'!$D$8)/2))+SQRT(1-'Control Room'!$B$9^2)*(AH83-IF('Control Room'!$B$5="Normal",'Control Room'!$B$7,('Control Room'!$B$8+'Control Room'!$D$8)/2))</x:f>
        <x:v>1013.9200405205008</x:v>
      </x:c>
      <x:c r="AJ83" s="17" t="n">
        <x:f>IF(AND($A83&gt;='Control Room'!$A$13,$A83&lt;'Control Room'!$A$13+'Control Room'!$B$13,'Process'!BQ2=1),1+('Control Room'!$C$13-1)*EXP(-0.5*(($A83-'Control Room'!$A$13-('Control Room'!$B$13-1)/2)/MAX(0.5,'Control Room'!$B$13/4))^2),1)*IF(AND($A83&gt;='Control Room'!$A$14,$A83&lt;'Control Room'!$A$14+'Control Room'!$B$14,'Process'!BQ3=1),1+('Control Room'!$C$14-1)*EXP(-0.5*(($A83-'Control Room'!$A$14-('Control Room'!$B$14-1)/2)/MAX(0.5,'Control Room'!$B$14/4))^2),1)*IF(AND($A83&gt;='Control Room'!$A$15,$A83&lt;'Control Room'!$A$15+'Control Room'!$B$15,'Process'!BQ4=1),1+('Control Room'!$C$15-1)*EXP(-0.5*(($A83-'Control Room'!$A$15-('Control Room'!$B$15-1)/2)/MAX(0.5,'Control Room'!$B$15/4))^2),1)*IF(AND($A83&gt;='Control Room'!$A$16,$A83&lt;'Control Room'!$A$16+'Control Room'!$B$16,'Process'!BQ5=1),1+('Control Room'!$C$16-1)*EXP(-0.5*(($A83-'Control Room'!$A$16-('Control Room'!$B$16-1)/2)/MAX(0.5,'Control Room'!$B$16/4))^2),1)</x:f>
        <x:v>1</x:v>
      </x:c>
      <x:c r="AK83" s="9" t="n">
        <x:f>MOD(AL82*16807,2147483647)</x:f>
        <x:v>473804750</x:v>
      </x:c>
      <x:c r="AL83" s="9" t="n">
        <x:f>MOD(AK83*16807,2147483647)</x:f>
        <x:v>367070174</x:v>
      </x:c>
      <x:c r="AM83" s="17" t="n">
        <x:f>IF('Control Room'!$B$5="Normal",'Control Room'!$B$7+'Control Room'!$D$7*SQRT(-2*LN(MAX(0.000000000001,AK83/2147483647)))*COS(2*PI()*AL83/2147483647),'Control Room'!$B$8+('Control Room'!$D$8-'Control Room'!$B$8)*AK83/2147483647)</x:f>
        <x:v>1074.5764140529852</x:v>
      </x:c>
      <x:c r="AN83" s="17" t="n">
        <x:f>IF('Control Room'!$B$5="Normal",'Control Room'!$B$7,('Control Room'!$B$8+'Control Room'!$D$8)/2)+'Control Room'!$B$9*(AN82-IF('Control Room'!$B$5="Normal",'Control Room'!$B$7,('Control Room'!$B$8+'Control Room'!$D$8)/2))+SQRT(1-'Control Room'!$B$9^2)*(AM83-IF('Control Room'!$B$5="Normal",'Control Room'!$B$7,('Control Room'!$B$8+'Control Room'!$D$8)/2))</x:f>
        <x:v>1060.9700176171498</x:v>
      </x:c>
      <x:c r="AO83" s="17" t="n">
        <x:f>IF(AND($A83&gt;='Control Room'!$A$13,$A83&lt;'Control Room'!$A$13+'Control Room'!$B$13,'Process'!BR2=1),1+('Control Room'!$C$13-1)*EXP(-0.5*(($A83-'Control Room'!$A$13-('Control Room'!$B$13-1)/2)/MAX(0.5,'Control Room'!$B$13/4))^2),1)*IF(AND($A83&gt;='Control Room'!$A$14,$A83&lt;'Control Room'!$A$14+'Control Room'!$B$14,'Process'!BR3=1),1+('Control Room'!$C$14-1)*EXP(-0.5*(($A83-'Control Room'!$A$14-('Control Room'!$B$14-1)/2)/MAX(0.5,'Control Room'!$B$14/4))^2),1)*IF(AND($A83&gt;='Control Room'!$A$15,$A83&lt;'Control Room'!$A$15+'Control Room'!$B$15,'Process'!BR4=1),1+('Control Room'!$C$15-1)*EXP(-0.5*(($A83-'Control Room'!$A$15-('Control Room'!$B$15-1)/2)/MAX(0.5,'Control Room'!$B$15/4))^2),1)*IF(AND($A83&gt;='Control Room'!$A$16,$A83&lt;'Control Room'!$A$16+'Control Room'!$B$16,'Process'!BR5=1),1+('Control Room'!$C$16-1)*EXP(-0.5*(($A83-'Control Room'!$A$16-('Control Room'!$B$16-1)/2)/MAX(0.5,'Control Room'!$B$16/4))^2),1)</x:f>
        <x:v>1</x:v>
      </x:c>
      <x:c r="AP83" s="9" t="n">
        <x:f>MOD(AQ82*16807,2147483647)</x:f>
        <x:v>1512498943</x:v>
      </x:c>
      <x:c r="AQ83" s="9" t="n">
        <x:f>MOD(AP83*16807,2147483647)</x:f>
        <x:v>805805462</x:v>
      </x:c>
      <x:c r="AR83" s="17" t="n">
        <x:f>IF('Control Room'!$B$5="Normal",'Control Room'!$B$7+'Control Room'!$D$7*SQRT(-2*LN(MAX(0.000000000001,AP83/2147483647)))*COS(2*PI()*AQ83/2147483647),'Control Room'!$B$8+('Control Room'!$D$8-'Control Room'!$B$8)*AP83/2147483647)</x:f>
        <x:v>946.6369597063625</x:v>
      </x:c>
      <x:c r="AS83" s="17" t="n">
        <x:f>IF('Control Room'!$B$5="Normal",'Control Room'!$B$7,('Control Room'!$B$8+'Control Room'!$D$8)/2)+'Control Room'!$B$9*(AS82-IF('Control Room'!$B$5="Normal",'Control Room'!$B$7,('Control Room'!$B$8+'Control Room'!$D$8)/2))+SQRT(1-'Control Room'!$B$9^2)*(AR83-IF('Control Room'!$B$5="Normal",'Control Room'!$B$7,('Control Room'!$B$8+'Control Room'!$D$8)/2))</x:f>
        <x:v>1127.970025716111</x:v>
      </x:c>
      <x:c r="AT83" s="17" t="n">
        <x:f>IF(AND($A83&gt;='Control Room'!$A$13,$A83&lt;'Control Room'!$A$13+'Control Room'!$B$13,'Process'!BS2=1),1+('Control Room'!$C$13-1)*EXP(-0.5*(($A83-'Control Room'!$A$13-('Control Room'!$B$13-1)/2)/MAX(0.5,'Control Room'!$B$13/4))^2),1)*IF(AND($A83&gt;='Control Room'!$A$14,$A83&lt;'Control Room'!$A$14+'Control Room'!$B$14,'Process'!BS3=1),1+('Control Room'!$C$14-1)*EXP(-0.5*(($A83-'Control Room'!$A$14-('Control Room'!$B$14-1)/2)/MAX(0.5,'Control Room'!$B$14/4))^2),1)*IF(AND($A83&gt;='Control Room'!$A$15,$A83&lt;'Control Room'!$A$15+'Control Room'!$B$15,'Process'!BS4=1),1+('Control Room'!$C$15-1)*EXP(-0.5*(($A83-'Control Room'!$A$15-('Control Room'!$B$15-1)/2)/MAX(0.5,'Control Room'!$B$15/4))^2),1)*IF(AND($A83&gt;='Control Room'!$A$16,$A83&lt;'Control Room'!$A$16+'Control Room'!$B$16,'Process'!BS5=1),1+('Control Room'!$C$16-1)*EXP(-0.5*(($A83-'Control Room'!$A$16-('Control Room'!$B$16-1)/2)/MAX(0.5,'Control Room'!$B$16/4))^2),1)</x:f>
        <x:v>1</x:v>
      </x:c>
      <x:c r="AU83" s="9" t="n">
        <x:f>MOD(AV82*16807,2147483647)</x:f>
        <x:v>403709489</x:v>
      </x:c>
      <x:c r="AV83" s="9" t="n">
        <x:f>MOD(AU83*16807,2147483647)</x:f>
        <x:v>1244540750</x:v>
      </x:c>
      <x:c r="AW83" s="17" t="n">
        <x:f>IF('Control Room'!$B$5="Normal",'Control Room'!$B$7+'Control Room'!$D$7*SQRT(-2*LN(MAX(0.000000000001,AU83/2147483647)))*COS(2*PI()*AV83/2147483647),'Control Room'!$B$8+('Control Room'!$D$8-'Control Room'!$B$8)*AU83/2147483647)</x:f>
        <x:v>855.5744081286155</x:v>
      </x:c>
      <x:c r="AX83" s="17" t="n">
        <x:f>IF('Control Room'!$B$5="Normal",'Control Room'!$B$7,('Control Room'!$B$8+'Control Room'!$D$8)/2)+'Control Room'!$B$9*(AX82-IF('Control Room'!$B$5="Normal",'Control Room'!$B$7,('Control Room'!$B$8+'Control Room'!$D$8)/2))+SQRT(1-'Control Room'!$B$9^2)*(AW83-IF('Control Room'!$B$5="Normal",'Control Room'!$B$7,('Control Room'!$B$8+'Control Room'!$D$8)/2))</x:f>
        <x:v>1000.5110795781518</x:v>
      </x:c>
      <x:c r="AY83" s="17" t="n">
        <x:f>IF(AND($A83&gt;='Control Room'!$A$13,$A83&lt;'Control Room'!$A$13+'Control Room'!$B$13,'Process'!BT2=1),1+('Control Room'!$C$13-1)*EXP(-0.5*(($A83-'Control Room'!$A$13-('Control Room'!$B$13-1)/2)/MAX(0.5,'Control Room'!$B$13/4))^2),1)*IF(AND($A83&gt;='Control Room'!$A$14,$A83&lt;'Control Room'!$A$14+'Control Room'!$B$14,'Process'!BT3=1),1+('Control Room'!$C$14-1)*EXP(-0.5*(($A83-'Control Room'!$A$14-('Control Room'!$B$14-1)/2)/MAX(0.5,'Control Room'!$B$14/4))^2),1)*IF(AND($A83&gt;='Control Room'!$A$15,$A83&lt;'Control Room'!$A$15+'Control Room'!$B$15,'Process'!BT4=1),1+('Control Room'!$C$15-1)*EXP(-0.5*(($A83-'Control Room'!$A$15-('Control Room'!$B$15-1)/2)/MAX(0.5,'Control Room'!$B$15/4))^2),1)*IF(AND($A83&gt;='Control Room'!$A$16,$A83&lt;'Control Room'!$A$16+'Control Room'!$B$16,'Process'!BT5=1),1+('Control Room'!$C$16-1)*EXP(-0.5*(($A83-'Control Room'!$A$16-('Control Room'!$B$16-1)/2)/MAX(0.5,'Control Room'!$B$16/4))^2),1)</x:f>
        <x:v>1</x:v>
      </x:c>
      <x:c r="AZ83" s="9" t="n">
        <x:f>MOD(BA82*16807,2147483647)</x:f>
        <x:v>1442403682</x:v>
      </x:c>
      <x:c r="BA83" s="9" t="n">
        <x:f>MOD(AZ83*16807,2147483647)</x:f>
        <x:v>1683276038</x:v>
      </x:c>
      <x:c r="BB83" s="17" t="n">
        <x:f>IF('Control Room'!$B$5="Normal",'Control Room'!$B$7+'Control Room'!$D$7*SQRT(-2*LN(MAX(0.000000000001,AZ83/2147483647)))*COS(2*PI()*BA83/2147483647),'Control Room'!$B$8+('Control Room'!$D$8-'Control Room'!$B$8)*AZ83/2147483647)</x:f>
        <x:v>1016.9425928129796</x:v>
      </x:c>
      <x:c r="BC83" s="17" t="n">
        <x:f>IF('Control Room'!$B$5="Normal",'Control Room'!$B$7,('Control Room'!$B$8+'Control Room'!$D$8)/2)+'Control Room'!$B$9*(BC82-IF('Control Room'!$B$5="Normal",'Control Room'!$B$7,('Control Room'!$B$8+'Control Room'!$D$8)/2))+SQRT(1-'Control Room'!$B$9^2)*(BB83-IF('Control Room'!$B$5="Normal",'Control Room'!$B$7,('Control Room'!$B$8+'Control Room'!$D$8)/2))</x:f>
        <x:v>968.1152287687249</x:v>
      </x:c>
      <x:c r="BD83" s="17" t="n">
        <x:f>IF(AND($A83&gt;='Control Room'!$A$13,$A83&lt;'Control Room'!$A$13+'Control Room'!$B$13,'Process'!BU2=1),1+('Control Room'!$C$13-1)*EXP(-0.5*(($A83-'Control Room'!$A$13-('Control Room'!$B$13-1)/2)/MAX(0.5,'Control Room'!$B$13/4))^2),1)*IF(AND($A83&gt;='Control Room'!$A$14,$A83&lt;'Control Room'!$A$14+'Control Room'!$B$14,'Process'!BU3=1),1+('Control Room'!$C$14-1)*EXP(-0.5*(($A83-'Control Room'!$A$14-('Control Room'!$B$14-1)/2)/MAX(0.5,'Control Room'!$B$14/4))^2),1)*IF(AND($A83&gt;='Control Room'!$A$15,$A83&lt;'Control Room'!$A$15+'Control Room'!$B$15,'Process'!BU4=1),1+('Control Room'!$C$15-1)*EXP(-0.5*(($A83-'Control Room'!$A$15-('Control Room'!$B$15-1)/2)/MAX(0.5,'Control Room'!$B$15/4))^2),1)*IF(AND($A83&gt;='Control Room'!$A$16,$A83&lt;'Control Room'!$A$16+'Control Room'!$B$16,'Process'!BU5=1),1+('Control Room'!$C$16-1)*EXP(-0.5*(($A83-'Control Room'!$A$16-('Control Room'!$B$16-1)/2)/MAX(0.5,'Control Room'!$B$16/4))^2),1)</x:f>
        <x:v>1</x:v>
      </x:c>
      <x:c r="BE83" s="9" t="n">
        <x:f>MOD(BF82*16807,2147483647)</x:f>
        <x:v>333614228</x:v>
      </x:c>
      <x:c r="BF83" s="9" t="n">
        <x:f>MOD(BE83*16807,2147483647)</x:f>
        <x:v>2122011326</x:v>
      </x:c>
      <x:c r="BG83" s="17" t="n">
        <x:f>IF('Control Room'!$B$5="Normal",'Control Room'!$B$7+'Control Room'!$D$7*SQRT(-2*LN(MAX(0.000000000001,BE83/2147483647)))*COS(2*PI()*BF83/2147483647),'Control Room'!$B$8+('Control Room'!$D$8-'Control Room'!$B$8)*BE83/2147483647)</x:f>
        <x:v>1173.1999992376282</x:v>
      </x:c>
      <x:c r="BH83" s="17" t="n">
        <x:f>IF('Control Room'!$B$5="Normal",'Control Room'!$B$7,('Control Room'!$B$8+'Control Room'!$D$8)/2)+'Control Room'!$B$9*(BH82-IF('Control Room'!$B$5="Normal",'Control Room'!$B$7,('Control Room'!$B$8+'Control Room'!$D$8)/2))+SQRT(1-'Control Room'!$B$9^2)*(BG83-IF('Control Room'!$B$5="Normal",'Control Room'!$B$7,('Control Room'!$B$8+'Control Room'!$D$8)/2))</x:f>
        <x:v>1183.0713595945808</x:v>
      </x:c>
      <x:c r="BI83" s="17" t="n">
        <x:f>IF(AND($A83&gt;='Control Room'!$A$13,$A83&lt;'Control Room'!$A$13+'Control Room'!$B$13,'Process'!BV2=1),1+('Control Room'!$C$13-1)*EXP(-0.5*(($A83-'Control Room'!$A$13-('Control Room'!$B$13-1)/2)/MAX(0.5,'Control Room'!$B$13/4))^2),1)*IF(AND($A83&gt;='Control Room'!$A$14,$A83&lt;'Control Room'!$A$14+'Control Room'!$B$14,'Process'!BV3=1),1+('Control Room'!$C$14-1)*EXP(-0.5*(($A83-'Control Room'!$A$14-('Control Room'!$B$14-1)/2)/MAX(0.5,'Control Room'!$B$14/4))^2),1)*IF(AND($A83&gt;='Control Room'!$A$15,$A83&lt;'Control Room'!$A$15+'Control Room'!$B$15,'Process'!BV4=1),1+('Control Room'!$C$15-1)*EXP(-0.5*(($A83-'Control Room'!$A$15-('Control Room'!$B$15-1)/2)/MAX(0.5,'Control Room'!$B$15/4))^2),1)*IF(AND($A83&gt;='Control Room'!$A$16,$A83&lt;'Control Room'!$A$16+'Control Room'!$B$16,'Process'!BV5=1),1+('Control Room'!$C$16-1)*EXP(-0.5*(($A83-'Control Room'!$A$16-('Control Room'!$B$16-1)/2)/MAX(0.5,'Control Room'!$B$16/4))^2),1)</x:f>
        <x:v>1</x:v>
      </x:c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Z83" t="str">
        <x:f>IF('Data'!A83="","",TEXT('Data'!A83,"mm-dd"))</x:f>
        <x:v>01-22</x:v>
      </x:c>
    </x:row>
    <x:row r="84" ht="21" customHeight="1">
      <x:c r="A84" s="15" t="n">
        <x:f>'Control Room'!$B$1+82</x:f>
        <x:v>73073</x:v>
      </x:c>
      <x:c r="B84" s="9" t="n">
        <x:f>MOD(C83*16807,2147483647)</x:f>
        <x:v>1924421614</x:v>
      </x:c>
      <x:c r="C84" s="9" t="n">
        <x:f>MOD(B84*16807,2147483647)</x:f>
        <x:v>502859031</x:v>
      </x:c>
      <x:c r="D84" s="17" t="n">
        <x:f>IF('Control Room'!$B$5="Normal",'Control Room'!$B$7+'Control Room'!$D$7*SQRT(-2*LN(MAX(0.000000000001,B84/2147483647)))*COS(2*PI()*C84/2147483647),'Control Room'!$B$8+('Control Room'!$D$8-'Control Room'!$B$8)*B84/2147483647)</x:f>
        <x:v>1004.187623402632</x:v>
      </x:c>
      <x:c r="E84" s="17" t="n">
        <x:f>IF('Control Room'!$B$5="Normal",'Control Room'!$B$7,('Control Room'!$B$8+'Control Room'!$D$8)/2)+'Control Room'!$B$9*(E83-IF('Control Room'!$B$5="Normal",'Control Room'!$B$7,('Control Room'!$B$8+'Control Room'!$D$8)/2))+SQRT(1-'Control Room'!$B$9^2)*(D84-IF('Control Room'!$B$5="Normal",'Control Room'!$B$7,('Control Room'!$B$8+'Control Room'!$D$8)/2))</x:f>
        <x:v>1032.329298798979</x:v>
      </x:c>
      <x:c r="F84" s="17" t="n">
        <x:f>IF(AND($A84&gt;='Control Room'!$A$13,$A84&lt;'Control Room'!$A$13+'Control Room'!$B$13,'Process'!BK2=1),1+('Control Room'!$C$13-1)*EXP(-0.5*(($A84-'Control Room'!$A$13-('Control Room'!$B$13-1)/2)/MAX(0.5,'Control Room'!$B$13/4))^2),1)*IF(AND($A84&gt;='Control Room'!$A$14,$A84&lt;'Control Room'!$A$14+'Control Room'!$B$14,'Process'!BK3=1),1+('Control Room'!$C$14-1)*EXP(-0.5*(($A84-'Control Room'!$A$14-('Control Room'!$B$14-1)/2)/MAX(0.5,'Control Room'!$B$14/4))^2),1)*IF(AND($A84&gt;='Control Room'!$A$15,$A84&lt;'Control Room'!$A$15+'Control Room'!$B$15,'Process'!BK4=1),1+('Control Room'!$C$15-1)*EXP(-0.5*(($A84-'Control Room'!$A$15-('Control Room'!$B$15-1)/2)/MAX(0.5,'Control Room'!$B$15/4))^2),1)*IF(AND($A84&gt;='Control Room'!$A$16,$A84&lt;'Control Room'!$A$16+'Control Room'!$B$16,'Process'!BK5=1),1+('Control Room'!$C$16-1)*EXP(-0.5*(($A84-'Control Room'!$A$16-('Control Room'!$B$16-1)/2)/MAX(0.5,'Control Room'!$B$16/4))^2),1)</x:f>
        <x:v>1</x:v>
      </x:c>
      <x:c r="G84" s="9" t="n">
        <x:f>MOD(H83*16807,2147483647)</x:f>
        <x:v>1289563232</x:v>
      </x:c>
      <x:c r="H84" s="9" t="n">
        <x:f>MOD(G84*16807,2147483647)</x:f>
        <x:v>1284274700</x:v>
      </x:c>
      <x:c r="I84" s="17" t="n">
        <x:f>IF('Control Room'!$B$5="Normal",'Control Room'!$B$7+'Control Room'!$D$7*SQRT(-2*LN(MAX(0.000000000001,G84/2147483647)))*COS(2*PI()*H84/2147483647),'Control Room'!$B$8+('Control Room'!$D$8-'Control Room'!$B$8)*G84/2147483647)</x:f>
        <x:v>925.8111057184022</x:v>
      </x:c>
      <x:c r="J84" s="17" t="n">
        <x:f>IF('Control Room'!$B$5="Normal",'Control Room'!$B$7,('Control Room'!$B$8+'Control Room'!$D$8)/2)+'Control Room'!$B$9*(J83-IF('Control Room'!$B$5="Normal",'Control Room'!$B$7,('Control Room'!$B$8+'Control Room'!$D$8)/2))+SQRT(1-'Control Room'!$B$9^2)*(I84-IF('Control Room'!$B$5="Normal",'Control Room'!$B$7,('Control Room'!$B$8+'Control Room'!$D$8)/2))</x:f>
        <x:v>991.9526894197381</x:v>
      </x:c>
      <x:c r="K84" s="17" t="n">
        <x:f>IF(AND($A84&gt;='Control Room'!$A$13,$A84&lt;'Control Room'!$A$13+'Control Room'!$B$13,'Process'!BL2=1),1+('Control Room'!$C$13-1)*EXP(-0.5*(($A84-'Control Room'!$A$13-('Control Room'!$B$13-1)/2)/MAX(0.5,'Control Room'!$B$13/4))^2),1)*IF(AND($A84&gt;='Control Room'!$A$14,$A84&lt;'Control Room'!$A$14+'Control Room'!$B$14,'Process'!BL3=1),1+('Control Room'!$C$14-1)*EXP(-0.5*(($A84-'Control Room'!$A$14-('Control Room'!$B$14-1)/2)/MAX(0.5,'Control Room'!$B$14/4))^2),1)*IF(AND($A84&gt;='Control Room'!$A$15,$A84&lt;'Control Room'!$A$15+'Control Room'!$B$15,'Process'!BL4=1),1+('Control Room'!$C$15-1)*EXP(-0.5*(($A84-'Control Room'!$A$15-('Control Room'!$B$15-1)/2)/MAX(0.5,'Control Room'!$B$15/4))^2),1)*IF(AND($A84&gt;='Control Room'!$A$16,$A84&lt;'Control Room'!$A$16+'Control Room'!$B$16,'Process'!BL5=1),1+('Control Room'!$C$16-1)*EXP(-0.5*(($A84-'Control Room'!$A$16-('Control Room'!$B$16-1)/2)/MAX(0.5,'Control Room'!$B$16/4))^2),1)</x:f>
        <x:v>1</x:v>
      </x:c>
      <x:c r="L84" s="9" t="n">
        <x:f>MOD(M83*16807,2147483647)</x:f>
        <x:v>654704850</x:v>
      </x:c>
      <x:c r="M84" s="9" t="n">
        <x:f>MOD(L84*16807,2147483647)</x:f>
        <x:v>2065690369</x:v>
      </x:c>
      <x:c r="N84" s="17" t="n">
        <x:f>IF('Control Room'!$B$5="Normal",'Control Room'!$B$7+'Control Room'!$D$7*SQRT(-2*LN(MAX(0.000000000001,L84/2147483647)))*COS(2*PI()*M84/2147483647),'Control Room'!$B$8+('Control Room'!$D$8-'Control Room'!$B$8)*L84/2147483647)</x:f>
        <x:v>1134.7673553541222</x:v>
      </x:c>
      <x:c r="O84" s="17" t="n">
        <x:f>IF('Control Room'!$B$5="Normal",'Control Room'!$B$7,('Control Room'!$B$8+'Control Room'!$D$8)/2)+'Control Room'!$B$9*(O83-IF('Control Room'!$B$5="Normal",'Control Room'!$B$7,('Control Room'!$B$8+'Control Room'!$D$8)/2))+SQRT(1-'Control Room'!$B$9^2)*(N84-IF('Control Room'!$B$5="Normal",'Control Room'!$B$7,('Control Room'!$B$8+'Control Room'!$D$8)/2))</x:f>
        <x:v>1052.8880401889862</x:v>
      </x:c>
      <x:c r="P84" s="17" t="n">
        <x:f>IF(AND($A84&gt;='Control Room'!$A$13,$A84&lt;'Control Room'!$A$13+'Control Room'!$B$13,'Process'!BM2=1),1+('Control Room'!$C$13-1)*EXP(-0.5*(($A84-'Control Room'!$A$13-('Control Room'!$B$13-1)/2)/MAX(0.5,'Control Room'!$B$13/4))^2),1)*IF(AND($A84&gt;='Control Room'!$A$14,$A84&lt;'Control Room'!$A$14+'Control Room'!$B$14,'Process'!BM3=1),1+('Control Room'!$C$14-1)*EXP(-0.5*(($A84-'Control Room'!$A$14-('Control Room'!$B$14-1)/2)/MAX(0.5,'Control Room'!$B$14/4))^2),1)*IF(AND($A84&gt;='Control Room'!$A$15,$A84&lt;'Control Room'!$A$15+'Control Room'!$B$15,'Process'!BM4=1),1+('Control Room'!$C$15-1)*EXP(-0.5*(($A84-'Control Room'!$A$15-('Control Room'!$B$15-1)/2)/MAX(0.5,'Control Room'!$B$15/4))^2),1)*IF(AND($A84&gt;='Control Room'!$A$16,$A84&lt;'Control Room'!$A$16+'Control Room'!$B$16,'Process'!BM5=1),1+('Control Room'!$C$16-1)*EXP(-0.5*(($A84-'Control Room'!$A$16-('Control Room'!$B$16-1)/2)/MAX(0.5,'Control Room'!$B$16/4))^2),1)</x:f>
        <x:v>1</x:v>
      </x:c>
      <x:c r="Q84" s="9" t="n">
        <x:f>MOD(R83*16807,2147483647)</x:f>
        <x:v>19846468</x:v>
      </x:c>
      <x:c r="R84" s="9" t="n">
        <x:f>MOD(Q84*16807,2147483647)</x:f>
        <x:v>699622391</x:v>
      </x:c>
      <x:c r="S84" s="17" t="n">
        <x:f>IF('Control Room'!$B$5="Normal",'Control Room'!$B$7+'Control Room'!$D$7*SQRT(-2*LN(MAX(0.000000000001,Q84/2147483647)))*COS(2*PI()*R84/2147483647),'Control Room'!$B$8+('Control Room'!$D$8-'Control Room'!$B$8)*Q84/2147483647)</x:f>
        <x:v>873.7290578717143</x:v>
      </x:c>
      <x:c r="T84" s="17" t="n">
        <x:f>IF('Control Room'!$B$5="Normal",'Control Room'!$B$7,('Control Room'!$B$8+'Control Room'!$D$8)/2)+'Control Room'!$B$9*(T83-IF('Control Room'!$B$5="Normal",'Control Room'!$B$7,('Control Room'!$B$8+'Control Room'!$D$8)/2))+SQRT(1-'Control Room'!$B$9^2)*(S84-IF('Control Room'!$B$5="Normal",'Control Room'!$B$7,('Control Room'!$B$8+'Control Room'!$D$8)/2))</x:f>
        <x:v>980.1797889751648</x:v>
      </x:c>
      <x:c r="U84" s="17" t="n">
        <x:f>IF(AND($A84&gt;='Control Room'!$A$13,$A84&lt;'Control Room'!$A$13+'Control Room'!$B$13,'Process'!BN2=1),1+('Control Room'!$C$13-1)*EXP(-0.5*(($A84-'Control Room'!$A$13-('Control Room'!$B$13-1)/2)/MAX(0.5,'Control Room'!$B$13/4))^2),1)*IF(AND($A84&gt;='Control Room'!$A$14,$A84&lt;'Control Room'!$A$14+'Control Room'!$B$14,'Process'!BN3=1),1+('Control Room'!$C$14-1)*EXP(-0.5*(($A84-'Control Room'!$A$14-('Control Room'!$B$14-1)/2)/MAX(0.5,'Control Room'!$B$14/4))^2),1)*IF(AND($A84&gt;='Control Room'!$A$15,$A84&lt;'Control Room'!$A$15+'Control Room'!$B$15,'Process'!BN4=1),1+('Control Room'!$C$15-1)*EXP(-0.5*(($A84-'Control Room'!$A$15-('Control Room'!$B$15-1)/2)/MAX(0.5,'Control Room'!$B$15/4))^2),1)*IF(AND($A84&gt;='Control Room'!$A$16,$A84&lt;'Control Room'!$A$16+'Control Room'!$B$16,'Process'!BN5=1),1+('Control Room'!$C$16-1)*EXP(-0.5*(($A84-'Control Room'!$A$16-('Control Room'!$B$16-1)/2)/MAX(0.5,'Control Room'!$B$16/4))^2),1)</x:f>
        <x:v>1</x:v>
      </x:c>
      <x:c r="V84" s="9" t="n">
        <x:f>MOD(W83*16807,2147483647)</x:f>
        <x:v>1532471733</x:v>
      </x:c>
      <x:c r="W84" s="9" t="n">
        <x:f>MOD(V84*16807,2147483647)</x:f>
        <x:v>1481038060</x:v>
      </x:c>
      <x:c r="X84" s="17" t="n">
        <x:f>IF('Control Room'!$B$5="Normal",'Control Room'!$B$7+'Control Room'!$D$7*SQRT(-2*LN(MAX(0.000000000001,V84/2147483647)))*COS(2*PI()*W84/2147483647),'Control Room'!$B$8+('Control Room'!$D$8-'Control Room'!$B$8)*V84/2147483647)</x:f>
        <x:v>972.6374820390678</x:v>
      </x:c>
      <x:c r="Y84" s="17" t="n">
        <x:f>IF('Control Room'!$B$5="Normal",'Control Room'!$B$7,('Control Room'!$B$8+'Control Room'!$D$8)/2)+'Control Room'!$B$9*(Y83-IF('Control Room'!$B$5="Normal",'Control Room'!$B$7,('Control Room'!$B$8+'Control Room'!$D$8)/2))+SQRT(1-'Control Room'!$B$9^2)*(X84-IF('Control Room'!$B$5="Normal",'Control Room'!$B$7,('Control Room'!$B$8+'Control Room'!$D$8)/2))</x:f>
        <x:v>1054.2793294140263</x:v>
      </x:c>
      <x:c r="Z84" s="17" t="n">
        <x:f>IF(AND($A84&gt;='Control Room'!$A$13,$A84&lt;'Control Room'!$A$13+'Control Room'!$B$13,'Process'!BO2=1),1+('Control Room'!$C$13-1)*EXP(-0.5*(($A84-'Control Room'!$A$13-('Control Room'!$B$13-1)/2)/MAX(0.5,'Control Room'!$B$13/4))^2),1)*IF(AND($A84&gt;='Control Room'!$A$14,$A84&lt;'Control Room'!$A$14+'Control Room'!$B$14,'Process'!BO3=1),1+('Control Room'!$C$14-1)*EXP(-0.5*(($A84-'Control Room'!$A$14-('Control Room'!$B$14-1)/2)/MAX(0.5,'Control Room'!$B$14/4))^2),1)*IF(AND($A84&gt;='Control Room'!$A$15,$A84&lt;'Control Room'!$A$15+'Control Room'!$B$15,'Process'!BO4=1),1+('Control Room'!$C$15-1)*EXP(-0.5*(($A84-'Control Room'!$A$15-('Control Room'!$B$15-1)/2)/MAX(0.5,'Control Room'!$B$15/4))^2),1)*IF(AND($A84&gt;='Control Room'!$A$16,$A84&lt;'Control Room'!$A$16+'Control Room'!$B$16,'Process'!BO5=1),1+('Control Room'!$C$16-1)*EXP(-0.5*(($A84-'Control Room'!$A$16-('Control Room'!$B$16-1)/2)/MAX(0.5,'Control Room'!$B$16/4))^2),1)</x:f>
        <x:v>1</x:v>
      </x:c>
      <x:c r="AA84" s="9" t="n">
        <x:f>MOD(AB83*16807,2147483647)</x:f>
        <x:v>897613351</x:v>
      </x:c>
      <x:c r="AB84" s="9" t="n">
        <x:f>MOD(AA84*16807,2147483647)</x:f>
        <x:v>114970082</x:v>
      </x:c>
      <x:c r="AC84" s="17" t="n">
        <x:f>IF('Control Room'!$B$5="Normal",'Control Room'!$B$7+'Control Room'!$D$7*SQRT(-2*LN(MAX(0.000000000001,AA84/2147483647)))*COS(2*PI()*AB84/2147483647),'Control Room'!$B$8+('Control Room'!$D$8-'Control Room'!$B$8)*AA84/2147483647)</x:f>
        <x:v>1112.2133827826437</x:v>
      </x:c>
      <x:c r="AD84" s="17" t="n">
        <x:f>IF('Control Room'!$B$5="Normal",'Control Room'!$B$7,('Control Room'!$B$8+'Control Room'!$D$8)/2)+'Control Room'!$B$9*(AD83-IF('Control Room'!$B$5="Normal",'Control Room'!$B$7,('Control Room'!$B$8+'Control Room'!$D$8)/2))+SQRT(1-'Control Room'!$B$9^2)*(AC84-IF('Control Room'!$B$5="Normal",'Control Room'!$B$7,('Control Room'!$B$8+'Control Room'!$D$8)/2))</x:f>
        <x:v>1049.8899294210053</x:v>
      </x:c>
      <x:c r="AE84" s="17" t="n">
        <x:f>IF(AND($A84&gt;='Control Room'!$A$13,$A84&lt;'Control Room'!$A$13+'Control Room'!$B$13,'Process'!BP2=1),1+('Control Room'!$C$13-1)*EXP(-0.5*(($A84-'Control Room'!$A$13-('Control Room'!$B$13-1)/2)/MAX(0.5,'Control Room'!$B$13/4))^2),1)*IF(AND($A84&gt;='Control Room'!$A$14,$A84&lt;'Control Room'!$A$14+'Control Room'!$B$14,'Process'!BP3=1),1+('Control Room'!$C$14-1)*EXP(-0.5*(($A84-'Control Room'!$A$14-('Control Room'!$B$14-1)/2)/MAX(0.5,'Control Room'!$B$14/4))^2),1)*IF(AND($A84&gt;='Control Room'!$A$15,$A84&lt;'Control Room'!$A$15+'Control Room'!$B$15,'Process'!BP4=1),1+('Control Room'!$C$15-1)*EXP(-0.5*(($A84-'Control Room'!$A$15-('Control Room'!$B$15-1)/2)/MAX(0.5,'Control Room'!$B$15/4))^2),1)*IF(AND($A84&gt;='Control Room'!$A$16,$A84&lt;'Control Room'!$A$16+'Control Room'!$B$16,'Process'!BP5=1),1+('Control Room'!$C$16-1)*EXP(-0.5*(($A84-'Control Room'!$A$16-('Control Room'!$B$16-1)/2)/MAX(0.5,'Control Room'!$B$16/4))^2),1)</x:f>
        <x:v>1</x:v>
      </x:c>
      <x:c r="AF84" s="9" t="n">
        <x:f>MOD(AG83*16807,2147483647)</x:f>
        <x:v>262754969</x:v>
      </x:c>
      <x:c r="AG84" s="9" t="n">
        <x:f>MOD(AF84*16807,2147483647)</x:f>
        <x:v>896385751</x:v>
      </x:c>
      <x:c r="AH84" s="17" t="n">
        <x:f>IF('Control Room'!$B$5="Normal",'Control Room'!$B$7+'Control Room'!$D$7*SQRT(-2*LN(MAX(0.000000000001,AF84/2147483647)))*COS(2*PI()*AG84/2147483647),'Control Room'!$B$8+('Control Room'!$D$8-'Control Room'!$B$8)*AF84/2147483647)</x:f>
        <x:v>839.8039795084342</x:v>
      </x:c>
      <x:c r="AI84" s="17" t="n">
        <x:f>IF('Control Room'!$B$5="Normal",'Control Room'!$B$7,('Control Room'!$B$8+'Control Room'!$D$8)/2)+'Control Room'!$B$9*(AI83-IF('Control Room'!$B$5="Normal",'Control Room'!$B$7,('Control Room'!$B$8+'Control Room'!$D$8)/2))+SQRT(1-'Control Room'!$B$9^2)*(AH84-IF('Control Room'!$B$5="Normal",'Control Room'!$B$7,('Control Room'!$B$8+'Control Room'!$D$8)/2))</x:f>
        <x:v>910.6102437762298</x:v>
      </x:c>
      <x:c r="AJ84" s="17" t="n">
        <x:f>IF(AND($A84&gt;='Control Room'!$A$13,$A84&lt;'Control Room'!$A$13+'Control Room'!$B$13,'Process'!BQ2=1),1+('Control Room'!$C$13-1)*EXP(-0.5*(($A84-'Control Room'!$A$13-('Control Room'!$B$13-1)/2)/MAX(0.5,'Control Room'!$B$13/4))^2),1)*IF(AND($A84&gt;='Control Room'!$A$14,$A84&lt;'Control Room'!$A$14+'Control Room'!$B$14,'Process'!BQ3=1),1+('Control Room'!$C$14-1)*EXP(-0.5*(($A84-'Control Room'!$A$14-('Control Room'!$B$14-1)/2)/MAX(0.5,'Control Room'!$B$14/4))^2),1)*IF(AND($A84&gt;='Control Room'!$A$15,$A84&lt;'Control Room'!$A$15+'Control Room'!$B$15,'Process'!BQ4=1),1+('Control Room'!$C$15-1)*EXP(-0.5*(($A84-'Control Room'!$A$15-('Control Room'!$B$15-1)/2)/MAX(0.5,'Control Room'!$B$15/4))^2),1)*IF(AND($A84&gt;='Control Room'!$A$16,$A84&lt;'Control Room'!$A$16+'Control Room'!$B$16,'Process'!BQ5=1),1+('Control Room'!$C$16-1)*EXP(-0.5*(($A84-'Control Room'!$A$16-('Control Room'!$B$16-1)/2)/MAX(0.5,'Control Room'!$B$16/4))^2),1)</x:f>
        <x:v>1</x:v>
      </x:c>
      <x:c r="AK84" s="9" t="n">
        <x:f>MOD(AL83*16807,2147483647)</x:f>
        <x:v>1775380234</x:v>
      </x:c>
      <x:c r="AL84" s="9" t="n">
        <x:f>MOD(AK84*16807,2147483647)</x:f>
        <x:v>1677801420</x:v>
      </x:c>
      <x:c r="AM84" s="17" t="n">
        <x:f>IF('Control Room'!$B$5="Normal",'Control Room'!$B$7+'Control Room'!$D$7*SQRT(-2*LN(MAX(0.000000000001,AK84/2147483647)))*COS(2*PI()*AL84/2147483647),'Control Room'!$B$8+('Control Room'!$D$8-'Control Room'!$B$8)*AK84/2147483647)</x:f>
        <x:v>1010.8443079937334</x:v>
      </x:c>
      <x:c r="AN84" s="17" t="n">
        <x:f>IF('Control Room'!$B$5="Normal",'Control Room'!$B$7,('Control Room'!$B$8+'Control Room'!$D$8)/2)+'Control Room'!$B$9*(AN83-IF('Control Room'!$B$5="Normal",'Control Room'!$B$7,('Control Room'!$B$8+'Control Room'!$D$8)/2))+SQRT(1-'Control Room'!$B$9^2)*(AM84-IF('Control Room'!$B$5="Normal",'Control Room'!$B$7,('Control Room'!$B$8+'Control Room'!$D$8)/2))</x:f>
        <x:v>1054.3427595261305</x:v>
      </x:c>
      <x:c r="AO84" s="17" t="n">
        <x:f>IF(AND($A84&gt;='Control Room'!$A$13,$A84&lt;'Control Room'!$A$13+'Control Room'!$B$13,'Process'!BR2=1),1+('Control Room'!$C$13-1)*EXP(-0.5*(($A84-'Control Room'!$A$13-('Control Room'!$B$13-1)/2)/MAX(0.5,'Control Room'!$B$13/4))^2),1)*IF(AND($A84&gt;='Control Room'!$A$14,$A84&lt;'Control Room'!$A$14+'Control Room'!$B$14,'Process'!BR3=1),1+('Control Room'!$C$14-1)*EXP(-0.5*(($A84-'Control Room'!$A$14-('Control Room'!$B$14-1)/2)/MAX(0.5,'Control Room'!$B$14/4))^2),1)*IF(AND($A84&gt;='Control Room'!$A$15,$A84&lt;'Control Room'!$A$15+'Control Room'!$B$15,'Process'!BR4=1),1+('Control Room'!$C$15-1)*EXP(-0.5*(($A84-'Control Room'!$A$15-('Control Room'!$B$15-1)/2)/MAX(0.5,'Control Room'!$B$15/4))^2),1)*IF(AND($A84&gt;='Control Room'!$A$16,$A84&lt;'Control Room'!$A$16+'Control Room'!$B$16,'Process'!BR5=1),1+('Control Room'!$C$16-1)*EXP(-0.5*(($A84-'Control Room'!$A$16-('Control Room'!$B$16-1)/2)/MAX(0.5,'Control Room'!$B$16/4))^2),1)</x:f>
        <x:v>1</x:v>
      </x:c>
      <x:c r="AP84" s="9" t="n">
        <x:f>MOD(AQ83*16807,2147483647)</x:f>
        <x:v>1140521852</x:v>
      </x:c>
      <x:c r="AQ84" s="9" t="n">
        <x:f>MOD(AP84*16807,2147483647)</x:f>
        <x:v>311733442</x:v>
      </x:c>
      <x:c r="AR84" s="17" t="n">
        <x:f>IF('Control Room'!$B$5="Normal",'Control Room'!$B$7+'Control Room'!$D$7*SQRT(-2*LN(MAX(0.000000000001,AP84/2147483647)))*COS(2*PI()*AQ84/2147483647),'Control Room'!$B$8+('Control Room'!$D$8-'Control Room'!$B$8)*AP84/2147483647)</x:f>
        <x:v>1061.9751937140907</x:v>
      </x:c>
      <x:c r="AS84" s="17" t="n">
        <x:f>IF('Control Room'!$B$5="Normal",'Control Room'!$B$7,('Control Room'!$B$8+'Control Room'!$D$8)/2)+'Control Room'!$B$9*(AS83-IF('Control Room'!$B$5="Normal",'Control Room'!$B$7,('Control Room'!$B$8+'Control Room'!$D$8)/2))+SQRT(1-'Control Room'!$B$9^2)*(AR84-IF('Control Room'!$B$5="Normal",'Control Room'!$B$7,('Control Room'!$B$8+'Control Room'!$D$8)/2))</x:f>
        <x:v>1138.5994266539906</x:v>
      </x:c>
      <x:c r="AT84" s="17" t="n">
        <x:f>IF(AND($A84&gt;='Control Room'!$A$13,$A84&lt;'Control Room'!$A$13+'Control Room'!$B$13,'Process'!BS2=1),1+('Control Room'!$C$13-1)*EXP(-0.5*(($A84-'Control Room'!$A$13-('Control Room'!$B$13-1)/2)/MAX(0.5,'Control Room'!$B$13/4))^2),1)*IF(AND($A84&gt;='Control Room'!$A$14,$A84&lt;'Control Room'!$A$14+'Control Room'!$B$14,'Process'!BS3=1),1+('Control Room'!$C$14-1)*EXP(-0.5*(($A84-'Control Room'!$A$14-('Control Room'!$B$14-1)/2)/MAX(0.5,'Control Room'!$B$14/4))^2),1)*IF(AND($A84&gt;='Control Room'!$A$15,$A84&lt;'Control Room'!$A$15+'Control Room'!$B$15,'Process'!BS4=1),1+('Control Room'!$C$15-1)*EXP(-0.5*(($A84-'Control Room'!$A$15-('Control Room'!$B$15-1)/2)/MAX(0.5,'Control Room'!$B$15/4))^2),1)*IF(AND($A84&gt;='Control Room'!$A$16,$A84&lt;'Control Room'!$A$16+'Control Room'!$B$16,'Process'!BS5=1),1+('Control Room'!$C$16-1)*EXP(-0.5*(($A84-'Control Room'!$A$16-('Control Room'!$B$16-1)/2)/MAX(0.5,'Control Room'!$B$16/4))^2),1)</x:f>
        <x:v>1</x:v>
      </x:c>
      <x:c r="AU84" s="9" t="n">
        <x:f>MOD(AV83*16807,2147483647)</x:f>
        <x:v>505663470</x:v>
      </x:c>
      <x:c r="AV84" s="9" t="n">
        <x:f>MOD(AU84*16807,2147483647)</x:f>
        <x:v>1093149111</x:v>
      </x:c>
      <x:c r="AW84" s="17" t="n">
        <x:f>IF('Control Room'!$B$5="Normal",'Control Room'!$B$7+'Control Room'!$D$7*SQRT(-2*LN(MAX(0.000000000001,AU84/2147483647)))*COS(2*PI()*AV84/2147483647),'Control Room'!$B$8+('Control Room'!$D$8-'Control Room'!$B$8)*AU84/2147483647)</x:f>
        <x:v>847.1841968397848</x:v>
      </x:c>
      <x:c r="AX84" s="17" t="n">
        <x:f>IF('Control Room'!$B$5="Normal",'Control Room'!$B$7,('Control Room'!$B$8+'Control Room'!$D$8)/2)+'Control Room'!$B$9*(AX83-IF('Control Room'!$B$5="Normal",'Control Room'!$B$7,('Control Room'!$B$8+'Control Room'!$D$8)/2))+SQRT(1-'Control Room'!$B$9^2)*(AW84-IF('Control Room'!$B$5="Normal",'Control Room'!$B$7,('Control Room'!$B$8+'Control Room'!$D$8)/2))</x:f>
        <x:v>904.7696430551869</x:v>
      </x:c>
      <x:c r="AY84" s="17" t="n">
        <x:f>IF(AND($A84&gt;='Control Room'!$A$13,$A84&lt;'Control Room'!$A$13+'Control Room'!$B$13,'Process'!BT2=1),1+('Control Room'!$C$13-1)*EXP(-0.5*(($A84-'Control Room'!$A$13-('Control Room'!$B$13-1)/2)/MAX(0.5,'Control Room'!$B$13/4))^2),1)*IF(AND($A84&gt;='Control Room'!$A$14,$A84&lt;'Control Room'!$A$14+'Control Room'!$B$14,'Process'!BT3=1),1+('Control Room'!$C$14-1)*EXP(-0.5*(($A84-'Control Room'!$A$14-('Control Room'!$B$14-1)/2)/MAX(0.5,'Control Room'!$B$14/4))^2),1)*IF(AND($A84&gt;='Control Room'!$A$15,$A84&lt;'Control Room'!$A$15+'Control Room'!$B$15,'Process'!BT4=1),1+('Control Room'!$C$15-1)*EXP(-0.5*(($A84-'Control Room'!$A$15-('Control Room'!$B$15-1)/2)/MAX(0.5,'Control Room'!$B$15/4))^2),1)*IF(AND($A84&gt;='Control Room'!$A$16,$A84&lt;'Control Room'!$A$16+'Control Room'!$B$16,'Process'!BT5=1),1+('Control Room'!$C$16-1)*EXP(-0.5*(($A84-'Control Room'!$A$16-('Control Room'!$B$16-1)/2)/MAX(0.5,'Control Room'!$B$16/4))^2),1)</x:f>
        <x:v>1</x:v>
      </x:c>
      <x:c r="AZ84" s="9" t="n">
        <x:f>MOD(BA83*16807,2147483647)</x:f>
        <x:v>2018288735</x:v>
      </x:c>
      <x:c r="BA84" s="9" t="n">
        <x:f>MOD(AZ84*16807,2147483647)</x:f>
        <x:v>1874564780</x:v>
      </x:c>
      <x:c r="BB84" s="17" t="n">
        <x:f>IF('Control Room'!$B$5="Normal",'Control Room'!$B$7+'Control Room'!$D$7*SQRT(-2*LN(MAX(0.000000000001,AZ84/2147483647)))*COS(2*PI()*BA84/2147483647),'Control Room'!$B$8+('Control Room'!$D$8-'Control Room'!$B$8)*AZ84/2147483647)</x:f>
        <x:v>1022.122272805886</x:v>
      </x:c>
      <x:c r="BC84" s="17" t="n">
        <x:f>IF('Control Room'!$B$5="Normal",'Control Room'!$B$7,('Control Room'!$B$8+'Control Room'!$D$8)/2)+'Control Room'!$B$9*(BC83-IF('Control Room'!$B$5="Normal",'Control Room'!$B$7,('Control Room'!$B$8+'Control Room'!$D$8)/2))+SQRT(1-'Control Room'!$B$9^2)*(BB84-IF('Control Room'!$B$5="Normal",'Control Room'!$B$7,('Control Room'!$B$8+'Control Room'!$D$8)/2))</x:f>
        <x:v>988.9735435621369</x:v>
      </x:c>
      <x:c r="BD84" s="17" t="n">
        <x:f>IF(AND($A84&gt;='Control Room'!$A$13,$A84&lt;'Control Room'!$A$13+'Control Room'!$B$13,'Process'!BU2=1),1+('Control Room'!$C$13-1)*EXP(-0.5*(($A84-'Control Room'!$A$13-('Control Room'!$B$13-1)/2)/MAX(0.5,'Control Room'!$B$13/4))^2),1)*IF(AND($A84&gt;='Control Room'!$A$14,$A84&lt;'Control Room'!$A$14+'Control Room'!$B$14,'Process'!BU3=1),1+('Control Room'!$C$14-1)*EXP(-0.5*(($A84-'Control Room'!$A$14-('Control Room'!$B$14-1)/2)/MAX(0.5,'Control Room'!$B$14/4))^2),1)*IF(AND($A84&gt;='Control Room'!$A$15,$A84&lt;'Control Room'!$A$15+'Control Room'!$B$15,'Process'!BU4=1),1+('Control Room'!$C$15-1)*EXP(-0.5*(($A84-'Control Room'!$A$15-('Control Room'!$B$15-1)/2)/MAX(0.5,'Control Room'!$B$15/4))^2),1)*IF(AND($A84&gt;='Control Room'!$A$16,$A84&lt;'Control Room'!$A$16+'Control Room'!$B$16,'Process'!BU5=1),1+('Control Room'!$C$16-1)*EXP(-0.5*(($A84-'Control Room'!$A$16-('Control Room'!$B$16-1)/2)/MAX(0.5,'Control Room'!$B$16/4))^2),1)</x:f>
        <x:v>1</x:v>
      </x:c>
      <x:c r="BE84" s="9" t="n">
        <x:f>MOD(BF83*16807,2147483647)</x:f>
        <x:v>1383430353</x:v>
      </x:c>
      <x:c r="BF84" s="9" t="n">
        <x:f>MOD(BE84*16807,2147483647)</x:f>
        <x:v>508496802</x:v>
      </x:c>
      <x:c r="BG84" s="17" t="n">
        <x:f>IF('Control Room'!$B$5="Normal",'Control Room'!$B$7+'Control Room'!$D$7*SQRT(-2*LN(MAX(0.000000000001,BE84/2147483647)))*COS(2*PI()*BF84/2147483647),'Control Room'!$B$8+('Control Room'!$D$8-'Control Room'!$B$8)*BE84/2147483647)</x:f>
        <x:v>1006.9988085950198</x:v>
      </x:c>
      <x:c r="BH84" s="17" t="n">
        <x:f>IF('Control Room'!$B$5="Normal",'Control Room'!$B$7,('Control Room'!$B$8+'Control Room'!$D$8)/2)+'Control Room'!$B$9*(BH83-IF('Control Room'!$B$5="Normal",'Control Room'!$B$7,('Control Room'!$B$8+'Control Room'!$D$8)/2))+SQRT(1-'Control Room'!$B$9^2)*(BG84-IF('Control Room'!$B$5="Normal",'Control Room'!$B$7,('Control Room'!$B$8+'Control Room'!$D$8)/2))</x:f>
        <x:v>1147.1753715241489</x:v>
      </x:c>
      <x:c r="BI84" s="17" t="n">
        <x:f>IF(AND($A84&gt;='Control Room'!$A$13,$A84&lt;'Control Room'!$A$13+'Control Room'!$B$13,'Process'!BV2=1),1+('Control Room'!$C$13-1)*EXP(-0.5*(($A84-'Control Room'!$A$13-('Control Room'!$B$13-1)/2)/MAX(0.5,'Control Room'!$B$13/4))^2),1)*IF(AND($A84&gt;='Control Room'!$A$14,$A84&lt;'Control Room'!$A$14+'Control Room'!$B$14,'Process'!BV3=1),1+('Control Room'!$C$14-1)*EXP(-0.5*(($A84-'Control Room'!$A$14-('Control Room'!$B$14-1)/2)/MAX(0.5,'Control Room'!$B$14/4))^2),1)*IF(AND($A84&gt;='Control Room'!$A$15,$A84&lt;'Control Room'!$A$15+'Control Room'!$B$15,'Process'!BV4=1),1+('Control Room'!$C$15-1)*EXP(-0.5*(($A84-'Control Room'!$A$15-('Control Room'!$B$15-1)/2)/MAX(0.5,'Control Room'!$B$15/4))^2),1)*IF(AND($A84&gt;='Control Room'!$A$16,$A84&lt;'Control Room'!$A$16+'Control Room'!$B$16,'Process'!BV5=1),1+('Control Room'!$C$16-1)*EXP(-0.5*(($A84-'Control Room'!$A$16-('Control Room'!$B$16-1)/2)/MAX(0.5,'Control Room'!$B$16/4))^2),1)</x:f>
        <x:v>1</x:v>
      </x:c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Z84" t="str">
        <x:f>IF('Data'!A84="","",TEXT('Data'!A84,"mm-dd"))</x:f>
        <x:v>01-23</x:v>
      </x:c>
    </x:row>
    <x:row r="85" ht="21" customHeight="1">
      <x:c r="A85" s="15" t="n">
        <x:f>'Control Room'!$B$1+83</x:f>
        <x:v>73074</x:v>
      </x:c>
      <x:c r="B85" s="9" t="n">
        <x:f>MOD(C84*16807,2147483647)</x:f>
        <x:v>1203583072</x:v>
      </x:c>
      <x:c r="C85" s="9" t="n">
        <x:f>MOD(B85*16807,2147483647)</x:f>
        <x:v>1472220011</x:v>
      </x:c>
      <x:c r="D85" s="17" t="n">
        <x:f>IF('Control Room'!$B$5="Normal",'Control Room'!$B$7+'Control Room'!$D$7*SQRT(-2*LN(MAX(0.000000000001,B85/2147483647)))*COS(2*PI()*C85/2147483647),'Control Room'!$B$8+('Control Room'!$D$8-'Control Room'!$B$8)*B85/2147483647)</x:f>
        <x:v>961.847354374217</x:v>
      </x:c>
      <x:c r="E85" s="17" t="n">
        <x:f>IF('Control Room'!$B$5="Normal",'Control Room'!$B$7,('Control Room'!$B$8+'Control Room'!$D$8)/2)+'Control Room'!$B$9*(E84-IF('Control Room'!$B$5="Normal",'Control Room'!$B$7,('Control Room'!$B$8+'Control Room'!$D$8)/2))+SQRT(1-'Control Room'!$B$9^2)*(D85-IF('Control Room'!$B$5="Normal",'Control Room'!$B$7,('Control Room'!$B$8+'Control Room'!$D$8)/2))</x:f>
        <x:v>1001.341709030018</x:v>
      </x:c>
      <x:c r="F85" s="17" t="n">
        <x:f>IF(AND($A85&gt;='Control Room'!$A$13,$A85&lt;'Control Room'!$A$13+'Control Room'!$B$13,'Process'!BK2=1),1+('Control Room'!$C$13-1)*EXP(-0.5*(($A85-'Control Room'!$A$13-('Control Room'!$B$13-1)/2)/MAX(0.5,'Control Room'!$B$13/4))^2),1)*IF(AND($A85&gt;='Control Room'!$A$14,$A85&lt;'Control Room'!$A$14+'Control Room'!$B$14,'Process'!BK3=1),1+('Control Room'!$C$14-1)*EXP(-0.5*(($A85-'Control Room'!$A$14-('Control Room'!$B$14-1)/2)/MAX(0.5,'Control Room'!$B$14/4))^2),1)*IF(AND($A85&gt;='Control Room'!$A$15,$A85&lt;'Control Room'!$A$15+'Control Room'!$B$15,'Process'!BK4=1),1+('Control Room'!$C$15-1)*EXP(-0.5*(($A85-'Control Room'!$A$15-('Control Room'!$B$15-1)/2)/MAX(0.5,'Control Room'!$B$15/4))^2),1)*IF(AND($A85&gt;='Control Room'!$A$16,$A85&lt;'Control Room'!$A$16+'Control Room'!$B$16,'Process'!BK5=1),1+('Control Room'!$C$16-1)*EXP(-0.5*(($A85-'Control Room'!$A$16-('Control Room'!$B$16-1)/2)/MAX(0.5,'Control Room'!$B$16/4))^2),1)</x:f>
        <x:v>1</x:v>
      </x:c>
      <x:c r="G85" s="9" t="n">
        <x:f>MOD(H84*16807,2147483647)</x:f>
        <x:v>446746903</x:v>
      </x:c>
      <x:c r="H85" s="9" t="n">
        <x:f>MOD(G85*16807,2147483647)</x:f>
        <x:v>872368809</x:v>
      </x:c>
      <x:c r="I85" s="17" t="n">
        <x:f>IF('Control Room'!$B$5="Normal",'Control Room'!$B$7+'Control Room'!$D$7*SQRT(-2*LN(MAX(0.000000000001,G85/2147483647)))*COS(2*PI()*H85/2147483647),'Control Room'!$B$8+('Control Room'!$D$8-'Control Room'!$B$8)*G85/2147483647)</x:f>
        <x:v>867.406398200945</x:v>
      </x:c>
      <x:c r="J85" s="17" t="n">
        <x:f>IF('Control Room'!$B$5="Normal",'Control Room'!$B$7,('Control Room'!$B$8+'Control Room'!$D$8)/2)+'Control Room'!$B$9*(J84-IF('Control Room'!$B$5="Normal",'Control Room'!$B$7,('Control Room'!$B$8+'Control Room'!$D$8)/2))+SQRT(1-'Control Room'!$B$9^2)*(I85-IF('Control Room'!$B$5="Normal",'Control Room'!$B$7,('Control Room'!$B$8+'Control Room'!$D$8)/2))</x:f>
        <x:v>910.7487380691255</x:v>
      </x:c>
      <x:c r="K85" s="17" t="n">
        <x:f>IF(AND($A85&gt;='Control Room'!$A$13,$A85&lt;'Control Room'!$A$13+'Control Room'!$B$13,'Process'!BL2=1),1+('Control Room'!$C$13-1)*EXP(-0.5*(($A85-'Control Room'!$A$13-('Control Room'!$B$13-1)/2)/MAX(0.5,'Control Room'!$B$13/4))^2),1)*IF(AND($A85&gt;='Control Room'!$A$14,$A85&lt;'Control Room'!$A$14+'Control Room'!$B$14,'Process'!BL3=1),1+('Control Room'!$C$14-1)*EXP(-0.5*(($A85-'Control Room'!$A$14-('Control Room'!$B$14-1)/2)/MAX(0.5,'Control Room'!$B$14/4))^2),1)*IF(AND($A85&gt;='Control Room'!$A$15,$A85&lt;'Control Room'!$A$15+'Control Room'!$B$15,'Process'!BL4=1),1+('Control Room'!$C$15-1)*EXP(-0.5*(($A85-'Control Room'!$A$15-('Control Room'!$B$15-1)/2)/MAX(0.5,'Control Room'!$B$15/4))^2),1)*IF(AND($A85&gt;='Control Room'!$A$16,$A85&lt;'Control Room'!$A$16+'Control Room'!$B$16,'Process'!BL5=1),1+('Control Room'!$C$16-1)*EXP(-0.5*(($A85-'Control Room'!$A$16-('Control Room'!$B$16-1)/2)/MAX(0.5,'Control Room'!$B$16/4))^2),1)</x:f>
        <x:v>1</x:v>
      </x:c>
      <x:c r="L85" s="9" t="n">
        <x:f>MOD(M84*16807,2147483647)</x:f>
        <x:v>1837394381</x:v>
      </x:c>
      <x:c r="M85" s="9" t="n">
        <x:f>MOD(L85*16807,2147483647)</x:f>
        <x:v>272517607</x:v>
      </x:c>
      <x:c r="N85" s="17" t="n">
        <x:f>IF('Control Room'!$B$5="Normal",'Control Room'!$B$7+'Control Room'!$D$7*SQRT(-2*LN(MAX(0.000000000001,L85/2147483647)))*COS(2*PI()*M85/2147483647),'Control Room'!$B$8+('Control Room'!$D$8-'Control Room'!$B$8)*L85/2147483647)</x:f>
        <x:v>1035.1142404931884</x:v>
      </x:c>
      <x:c r="O85" s="17" t="n">
        <x:f>IF('Control Room'!$B$5="Normal",'Control Room'!$B$7,('Control Room'!$B$8+'Control Room'!$D$8)/2)+'Control Room'!$B$9*(O84-IF('Control Room'!$B$5="Normal",'Control Room'!$B$7,('Control Room'!$B$8+'Control Room'!$D$8)/2))+SQRT(1-'Control Room'!$B$9^2)*(N85-IF('Control Room'!$B$5="Normal",'Control Room'!$B$7,('Control Room'!$B$8+'Control Room'!$D$8)/2))</x:f>
        <x:v>1063.2264436937296</x:v>
      </x:c>
      <x:c r="P85" s="17" t="n">
        <x:f>IF(AND($A85&gt;='Control Room'!$A$13,$A85&lt;'Control Room'!$A$13+'Control Room'!$B$13,'Process'!BM2=1),1+('Control Room'!$C$13-1)*EXP(-0.5*(($A85-'Control Room'!$A$13-('Control Room'!$B$13-1)/2)/MAX(0.5,'Control Room'!$B$13/4))^2),1)*IF(AND($A85&gt;='Control Room'!$A$14,$A85&lt;'Control Room'!$A$14+'Control Room'!$B$14,'Process'!BM3=1),1+('Control Room'!$C$14-1)*EXP(-0.5*(($A85-'Control Room'!$A$14-('Control Room'!$B$14-1)/2)/MAX(0.5,'Control Room'!$B$14/4))^2),1)*IF(AND($A85&gt;='Control Room'!$A$15,$A85&lt;'Control Room'!$A$15+'Control Room'!$B$15,'Process'!BM4=1),1+('Control Room'!$C$15-1)*EXP(-0.5*(($A85-'Control Room'!$A$15-('Control Room'!$B$15-1)/2)/MAX(0.5,'Control Room'!$B$15/4))^2),1)*IF(AND($A85&gt;='Control Room'!$A$16,$A85&lt;'Control Room'!$A$16+'Control Room'!$B$16,'Process'!BM5=1),1+('Control Room'!$C$16-1)*EXP(-0.5*(($A85-'Control Room'!$A$16-('Control Room'!$B$16-1)/2)/MAX(0.5,'Control Room'!$B$16/4))^2),1)</x:f>
        <x:v>1</x:v>
      </x:c>
      <x:c r="Q85" s="9" t="n">
        <x:f>MOD(R84*16807,2147483647)</x:f>
        <x:v>1080558212</x:v>
      </x:c>
      <x:c r="R85" s="9" t="n">
        <x:f>MOD(Q85*16807,2147483647)</x:f>
        <x:v>1820150052</x:v>
      </x:c>
      <x:c r="S85" s="17" t="n">
        <x:f>IF('Control Room'!$B$5="Normal",'Control Room'!$B$7+'Control Room'!$D$7*SQRT(-2*LN(MAX(0.000000000001,Q85/2147483647)))*COS(2*PI()*R85/2147483647),'Control Room'!$B$8+('Control Room'!$D$8-'Control Room'!$B$8)*Q85/2147483647)</x:f>
        <x:v>1060.6925487040978</x:v>
      </x:c>
      <x:c r="T85" s="17" t="n">
        <x:f>IF('Control Room'!$B$5="Normal",'Control Room'!$B$7,('Control Room'!$B$8+'Control Room'!$D$8)/2)+'Control Room'!$B$9*(T84-IF('Control Room'!$B$5="Normal",'Control Room'!$B$7,('Control Room'!$B$8+'Control Room'!$D$8)/2))+SQRT(1-'Control Room'!$B$9^2)*(S85-IF('Control Room'!$B$5="Normal",'Control Room'!$B$7,('Control Room'!$B$8+'Control Room'!$D$8)/2))</x:f>
        <x:v>1022.5203890252104</x:v>
      </x:c>
      <x:c r="U85" s="17" t="n">
        <x:f>IF(AND($A85&gt;='Control Room'!$A$13,$A85&lt;'Control Room'!$A$13+'Control Room'!$B$13,'Process'!BN2=1),1+('Control Room'!$C$13-1)*EXP(-0.5*(($A85-'Control Room'!$A$13-('Control Room'!$B$13-1)/2)/MAX(0.5,'Control Room'!$B$13/4))^2),1)*IF(AND($A85&gt;='Control Room'!$A$14,$A85&lt;'Control Room'!$A$14+'Control Room'!$B$14,'Process'!BN3=1),1+('Control Room'!$C$14-1)*EXP(-0.5*(($A85-'Control Room'!$A$14-('Control Room'!$B$14-1)/2)/MAX(0.5,'Control Room'!$B$14/4))^2),1)*IF(AND($A85&gt;='Control Room'!$A$15,$A85&lt;'Control Room'!$A$15+'Control Room'!$B$15,'Process'!BN4=1),1+('Control Room'!$C$15-1)*EXP(-0.5*(($A85-'Control Room'!$A$15-('Control Room'!$B$15-1)/2)/MAX(0.5,'Control Room'!$B$15/4))^2),1)*IF(AND($A85&gt;='Control Room'!$A$16,$A85&lt;'Control Room'!$A$16+'Control Room'!$B$16,'Process'!BN5=1),1+('Control Room'!$C$16-1)*EXP(-0.5*(($A85-'Control Room'!$A$16-('Control Room'!$B$16-1)/2)/MAX(0.5,'Control Room'!$B$16/4))^2),1)</x:f>
        <x:v>1</x:v>
      </x:c>
      <x:c r="V85" s="9" t="n">
        <x:f>MOD(W84*16807,2147483647)</x:f>
        <x:v>323722043</x:v>
      </x:c>
      <x:c r="W85" s="9" t="n">
        <x:f>MOD(V85*16807,2147483647)</x:f>
        <x:v>1220298850</x:v>
      </x:c>
      <x:c r="X85" s="17" t="n">
        <x:f>IF('Control Room'!$B$5="Normal",'Control Room'!$B$7+'Control Room'!$D$7*SQRT(-2*LN(MAX(0.000000000001,V85/2147483647)))*COS(2*PI()*W85/2147483647),'Control Room'!$B$8+('Control Room'!$D$8-'Control Room'!$B$8)*V85/2147483647)</x:f>
        <x:v>840.7706947457357</x:v>
      </x:c>
      <x:c r="Y85" s="17" t="n">
        <x:f>IF('Control Room'!$B$5="Normal",'Control Room'!$B$7,('Control Room'!$B$8+'Control Room'!$D$8)/2)+'Control Room'!$B$9*(Y84-IF('Control Room'!$B$5="Normal",'Control Room'!$B$7,('Control Room'!$B$8+'Control Room'!$D$8)/2))+SQRT(1-'Control Room'!$B$9^2)*(X85-IF('Control Room'!$B$5="Normal",'Control Room'!$B$7,('Control Room'!$B$8+'Control Room'!$D$8)/2))</x:f>
        <x:v>942.695439704445</x:v>
      </x:c>
      <x:c r="Z85" s="17" t="n">
        <x:f>IF(AND($A85&gt;='Control Room'!$A$13,$A85&lt;'Control Room'!$A$13+'Control Room'!$B$13,'Process'!BO2=1),1+('Control Room'!$C$13-1)*EXP(-0.5*(($A85-'Control Room'!$A$13-('Control Room'!$B$13-1)/2)/MAX(0.5,'Control Room'!$B$13/4))^2),1)*IF(AND($A85&gt;='Control Room'!$A$14,$A85&lt;'Control Room'!$A$14+'Control Room'!$B$14,'Process'!BO3=1),1+('Control Room'!$C$14-1)*EXP(-0.5*(($A85-'Control Room'!$A$14-('Control Room'!$B$14-1)/2)/MAX(0.5,'Control Room'!$B$14/4))^2),1)*IF(AND($A85&gt;='Control Room'!$A$15,$A85&lt;'Control Room'!$A$15+'Control Room'!$B$15,'Process'!BO4=1),1+('Control Room'!$C$15-1)*EXP(-0.5*(($A85-'Control Room'!$A$15-('Control Room'!$B$15-1)/2)/MAX(0.5,'Control Room'!$B$15/4))^2),1)*IF(AND($A85&gt;='Control Room'!$A$16,$A85&lt;'Control Room'!$A$16+'Control Room'!$B$16,'Process'!BO5=1),1+('Control Room'!$C$16-1)*EXP(-0.5*(($A85-'Control Room'!$A$16-('Control Room'!$B$16-1)/2)/MAX(0.5,'Control Room'!$B$16/4))^2),1)</x:f>
        <x:v>1</x:v>
      </x:c>
      <x:c r="AA85" s="9" t="n">
        <x:f>MOD(AB84*16807,2147483647)</x:f>
        <x:v>1714369521</x:v>
      </x:c>
      <x:c r="AB85" s="9" t="n">
        <x:f>MOD(AA85*16807,2147483647)</x:f>
        <x:v>620447648</x:v>
      </x:c>
      <x:c r="AC85" s="17" t="n">
        <x:f>IF('Control Room'!$B$5="Normal",'Control Room'!$B$7+'Control Room'!$D$7*SQRT(-2*LN(MAX(0.000000000001,AA85/2147483647)))*COS(2*PI()*AB85/2147483647),'Control Room'!$B$8+('Control Room'!$D$8-'Control Room'!$B$8)*AA85/2147483647)</x:f>
        <x:v>985.3752040336661</x:v>
      </x:c>
      <x:c r="AD85" s="17" t="n">
        <x:f>IF('Control Room'!$B$5="Normal",'Control Room'!$B$7,('Control Room'!$B$8+'Control Room'!$D$8)/2)+'Control Room'!$B$9*(AD84-IF('Control Room'!$B$5="Normal",'Control Room'!$B$7,('Control Room'!$B$8+'Control Room'!$D$8)/2))+SQRT(1-'Control Room'!$B$9^2)*(AC85-IF('Control Room'!$B$5="Normal",'Control Room'!$B$7,('Control Room'!$B$8+'Control Room'!$D$8)/2))</x:f>
        <x:v>1029.7622472378828</x:v>
      </x:c>
      <x:c r="AE85" s="17" t="n">
        <x:f>IF(AND($A85&gt;='Control Room'!$A$13,$A85&lt;'Control Room'!$A$13+'Control Room'!$B$13,'Process'!BP2=1),1+('Control Room'!$C$13-1)*EXP(-0.5*(($A85-'Control Room'!$A$13-('Control Room'!$B$13-1)/2)/MAX(0.5,'Control Room'!$B$13/4))^2),1)*IF(AND($A85&gt;='Control Room'!$A$14,$A85&lt;'Control Room'!$A$14+'Control Room'!$B$14,'Process'!BP3=1),1+('Control Room'!$C$14-1)*EXP(-0.5*(($A85-'Control Room'!$A$14-('Control Room'!$B$14-1)/2)/MAX(0.5,'Control Room'!$B$14/4))^2),1)*IF(AND($A85&gt;='Control Room'!$A$15,$A85&lt;'Control Room'!$A$15+'Control Room'!$B$15,'Process'!BP4=1),1+('Control Room'!$C$15-1)*EXP(-0.5*(($A85-'Control Room'!$A$15-('Control Room'!$B$15-1)/2)/MAX(0.5,'Control Room'!$B$15/4))^2),1)*IF(AND($A85&gt;='Control Room'!$A$16,$A85&lt;'Control Room'!$A$16+'Control Room'!$B$16,'Process'!BP5=1),1+('Control Room'!$C$16-1)*EXP(-0.5*(($A85-'Control Room'!$A$16-('Control Room'!$B$16-1)/2)/MAX(0.5,'Control Room'!$B$16/4))^2),1)</x:f>
        <x:v>1</x:v>
      </x:c>
      <x:c r="AF85" s="9" t="n">
        <x:f>MOD(AG84*16807,2147483647)</x:f>
        <x:v>957533352</x:v>
      </x:c>
      <x:c r="AG85" s="9" t="n">
        <x:f>MOD(AF85*16807,2147483647)</x:f>
        <x:v>20596446</x:v>
      </x:c>
      <x:c r="AH85" s="17" t="n">
        <x:f>IF('Control Room'!$B$5="Normal",'Control Room'!$B$7+'Control Room'!$D$7*SQRT(-2*LN(MAX(0.000000000001,AF85/2147483647)))*COS(2*PI()*AG85/2147483647),'Control Room'!$B$8+('Control Room'!$D$8-'Control Room'!$B$8)*AF85/2147483647)</x:f>
        <x:v>1114.180309133306</x:v>
      </x:c>
      <x:c r="AI85" s="17" t="n">
        <x:f>IF('Control Room'!$B$5="Normal",'Control Room'!$B$7,('Control Room'!$B$8+'Control Room'!$D$8)/2)+'Control Room'!$B$9*(AI84-IF('Control Room'!$B$5="Normal",'Control Room'!$B$7,('Control Room'!$B$8+'Control Room'!$D$8)/2))+SQRT(1-'Control Room'!$B$9^2)*(AH85-IF('Control Room'!$B$5="Normal",'Control Room'!$B$7,('Control Room'!$B$8+'Control Room'!$D$8)/2))</x:f>
        <x:v>1001.7276884903076</x:v>
      </x:c>
      <x:c r="AJ85" s="17" t="n">
        <x:f>IF(AND($A85&gt;='Control Room'!$A$13,$A85&lt;'Control Room'!$A$13+'Control Room'!$B$13,'Process'!BQ2=1),1+('Control Room'!$C$13-1)*EXP(-0.5*(($A85-'Control Room'!$A$13-('Control Room'!$B$13-1)/2)/MAX(0.5,'Control Room'!$B$13/4))^2),1)*IF(AND($A85&gt;='Control Room'!$A$14,$A85&lt;'Control Room'!$A$14+'Control Room'!$B$14,'Process'!BQ3=1),1+('Control Room'!$C$14-1)*EXP(-0.5*(($A85-'Control Room'!$A$14-('Control Room'!$B$14-1)/2)/MAX(0.5,'Control Room'!$B$14/4))^2),1)*IF(AND($A85&gt;='Control Room'!$A$15,$A85&lt;'Control Room'!$A$15+'Control Room'!$B$15,'Process'!BQ4=1),1+('Control Room'!$C$15-1)*EXP(-0.5*(($A85-'Control Room'!$A$15-('Control Room'!$B$15-1)/2)/MAX(0.5,'Control Room'!$B$15/4))^2),1)*IF(AND($A85&gt;='Control Room'!$A$16,$A85&lt;'Control Room'!$A$16+'Control Room'!$B$16,'Process'!BQ5=1),1+('Control Room'!$C$16-1)*EXP(-0.5*(($A85-'Control Room'!$A$16-('Control Room'!$B$16-1)/2)/MAX(0.5,'Control Room'!$B$16/4))^2),1)</x:f>
        <x:v>1</x:v>
      </x:c>
      <x:c r="AK85" s="9" t="n">
        <x:f>MOD(AL84*16807,2147483647)</x:f>
        <x:v>200697183</x:v>
      </x:c>
      <x:c r="AL85" s="9" t="n">
        <x:f>MOD(AK85*16807,2147483647)</x:f>
        <x:v>1568228891</x:v>
      </x:c>
      <x:c r="AM85" s="17" t="n">
        <x:f>IF('Control Room'!$B$5="Normal",'Control Room'!$B$7+'Control Room'!$D$7*SQRT(-2*LN(MAX(0.000000000001,AK85/2147483647)))*COS(2*PI()*AL85/2147483647),'Control Room'!$B$8+('Control Room'!$D$8-'Control Room'!$B$8)*AK85/2147483647)</x:f>
        <x:v>975.7622833337238</x:v>
      </x:c>
      <x:c r="AN85" s="17" t="n">
        <x:f>IF('Control Room'!$B$5="Normal",'Control Room'!$B$7,('Control Room'!$B$8+'Control Room'!$D$8)/2)+'Control Room'!$B$9*(AN84-IF('Control Room'!$B$5="Normal",'Control Room'!$B$7,('Control Room'!$B$8+'Control Room'!$D$8)/2))+SQRT(1-'Control Room'!$B$9^2)*(AM85-IF('Control Room'!$B$5="Normal",'Control Room'!$B$7,('Control Room'!$B$8+'Control Room'!$D$8)/2))</x:f>
        <x:v>1027.219885877241</x:v>
      </x:c>
      <x:c r="AO85" s="17" t="n">
        <x:f>IF(AND($A85&gt;='Control Room'!$A$13,$A85&lt;'Control Room'!$A$13+'Control Room'!$B$13,'Process'!BR2=1),1+('Control Room'!$C$13-1)*EXP(-0.5*(($A85-'Control Room'!$A$13-('Control Room'!$B$13-1)/2)/MAX(0.5,'Control Room'!$B$13/4))^2),1)*IF(AND($A85&gt;='Control Room'!$A$14,$A85&lt;'Control Room'!$A$14+'Control Room'!$B$14,'Process'!BR3=1),1+('Control Room'!$C$14-1)*EXP(-0.5*(($A85-'Control Room'!$A$14-('Control Room'!$B$14-1)/2)/MAX(0.5,'Control Room'!$B$14/4))^2),1)*IF(AND($A85&gt;='Control Room'!$A$15,$A85&lt;'Control Room'!$A$15+'Control Room'!$B$15,'Process'!BR4=1),1+('Control Room'!$C$15-1)*EXP(-0.5*(($A85-'Control Room'!$A$15-('Control Room'!$B$15-1)/2)/MAX(0.5,'Control Room'!$B$15/4))^2),1)*IF(AND($A85&gt;='Control Room'!$A$16,$A85&lt;'Control Room'!$A$16+'Control Room'!$B$16,'Process'!BR5=1),1+('Control Room'!$C$16-1)*EXP(-0.5*(($A85-'Control Room'!$A$16-('Control Room'!$B$16-1)/2)/MAX(0.5,'Control Room'!$B$16/4))^2),1)</x:f>
        <x:v>1</x:v>
      </x:c>
      <x:c r="AP85" s="9" t="n">
        <x:f>MOD(AQ84*16807,2147483647)</x:f>
        <x:v>1591344661</x:v>
      </x:c>
      <x:c r="AQ85" s="9" t="n">
        <x:f>MOD(AP85*16807,2147483647)</x:f>
        <x:v>968377689</x:v>
      </x:c>
      <x:c r="AR85" s="17" t="n">
        <x:f>IF('Control Room'!$B$5="Normal",'Control Room'!$B$7+'Control Room'!$D$7*SQRT(-2*LN(MAX(0.000000000001,AP85/2147483647)))*COS(2*PI()*AQ85/2147483647),'Control Room'!$B$8+('Control Room'!$D$8-'Control Room'!$B$8)*AP85/2147483647)</x:f>
        <x:v>933.604078513674</x:v>
      </x:c>
      <x:c r="AS85" s="17" t="n">
        <x:f>IF('Control Room'!$B$5="Normal",'Control Room'!$B$7,('Control Room'!$B$8+'Control Room'!$D$8)/2)+'Control Room'!$B$9*(AS84-IF('Control Room'!$B$5="Normal",'Control Room'!$B$7,('Control Room'!$B$8+'Control Room'!$D$8)/2))+SQRT(1-'Control Room'!$B$9^2)*(AR85-IF('Control Room'!$B$5="Normal",'Control Room'!$B$7,('Control Room'!$B$8+'Control Room'!$D$8)/2))</x:f>
        <x:v>1066.5583453183547</x:v>
      </x:c>
      <x:c r="AT85" s="17" t="n">
        <x:f>IF(AND($A85&gt;='Control Room'!$A$13,$A85&lt;'Control Room'!$A$13+'Control Room'!$B$13,'Process'!BS2=1),1+('Control Room'!$C$13-1)*EXP(-0.5*(($A85-'Control Room'!$A$13-('Control Room'!$B$13-1)/2)/MAX(0.5,'Control Room'!$B$13/4))^2),1)*IF(AND($A85&gt;='Control Room'!$A$14,$A85&lt;'Control Room'!$A$14+'Control Room'!$B$14,'Process'!BS3=1),1+('Control Room'!$C$14-1)*EXP(-0.5*(($A85-'Control Room'!$A$14-('Control Room'!$B$14-1)/2)/MAX(0.5,'Control Room'!$B$14/4))^2),1)*IF(AND($A85&gt;='Control Room'!$A$15,$A85&lt;'Control Room'!$A$15+'Control Room'!$B$15,'Process'!BS4=1),1+('Control Room'!$C$15-1)*EXP(-0.5*(($A85-'Control Room'!$A$15-('Control Room'!$B$15-1)/2)/MAX(0.5,'Control Room'!$B$15/4))^2),1)*IF(AND($A85&gt;='Control Room'!$A$16,$A85&lt;'Control Room'!$A$16+'Control Room'!$B$16,'Process'!BS5=1),1+('Control Room'!$C$16-1)*EXP(-0.5*(($A85-'Control Room'!$A$16-('Control Room'!$B$16-1)/2)/MAX(0.5,'Control Room'!$B$16/4))^2),1)</x:f>
        <x:v>1</x:v>
      </x:c>
      <x:c r="AU85" s="9" t="n">
        <x:f>MOD(AV84*16807,2147483647)</x:f>
        <x:v>834508492</x:v>
      </x:c>
      <x:c r="AV85" s="9" t="n">
        <x:f>MOD(AU85*16807,2147483647)</x:f>
        <x:v>368526487</x:v>
      </x:c>
      <x:c r="AW85" s="17" t="n">
        <x:f>IF('Control Room'!$B$5="Normal",'Control Room'!$B$7+'Control Room'!$D$7*SQRT(-2*LN(MAX(0.000000000001,AU85/2147483647)))*COS(2*PI()*AV85/2147483647),'Control Room'!$B$8+('Control Room'!$D$8-'Control Room'!$B$8)*AU85/2147483647)</x:f>
        <x:v>1058.514799590763</x:v>
      </x:c>
      <x:c r="AX85" s="17" t="n">
        <x:f>IF('Control Room'!$B$5="Normal",'Control Room'!$B$7,('Control Room'!$B$8+'Control Room'!$D$8)/2)+'Control Room'!$B$9*(AX84-IF('Control Room'!$B$5="Normal",'Control Room'!$B$7,('Control Room'!$B$8+'Control Room'!$D$8)/2))+SQRT(1-'Control Room'!$B$9^2)*(AW85-IF('Control Room'!$B$5="Normal",'Control Room'!$B$7,('Control Room'!$B$8+'Control Room'!$D$8)/2))</x:f>
        <x:v>962.3376844261182</x:v>
      </x:c>
      <x:c r="AY85" s="17" t="n">
        <x:f>IF(AND($A85&gt;='Control Room'!$A$13,$A85&lt;'Control Room'!$A$13+'Control Room'!$B$13,'Process'!BT2=1),1+('Control Room'!$C$13-1)*EXP(-0.5*(($A85-'Control Room'!$A$13-('Control Room'!$B$13-1)/2)/MAX(0.5,'Control Room'!$B$13/4))^2),1)*IF(AND($A85&gt;='Control Room'!$A$14,$A85&lt;'Control Room'!$A$14+'Control Room'!$B$14,'Process'!BT3=1),1+('Control Room'!$C$14-1)*EXP(-0.5*(($A85-'Control Room'!$A$14-('Control Room'!$B$14-1)/2)/MAX(0.5,'Control Room'!$B$14/4))^2),1)*IF(AND($A85&gt;='Control Room'!$A$15,$A85&lt;'Control Room'!$A$15+'Control Room'!$B$15,'Process'!BT4=1),1+('Control Room'!$C$15-1)*EXP(-0.5*(($A85-'Control Room'!$A$15-('Control Room'!$B$15-1)/2)/MAX(0.5,'Control Room'!$B$15/4))^2),1)*IF(AND($A85&gt;='Control Room'!$A$16,$A85&lt;'Control Room'!$A$16+'Control Room'!$B$16,'Process'!BT5=1),1+('Control Room'!$C$16-1)*EXP(-0.5*(($A85-'Control Room'!$A$16-('Control Room'!$B$16-1)/2)/MAX(0.5,'Control Room'!$B$16/4))^2),1)</x:f>
        <x:v>1</x:v>
      </x:c>
      <x:c r="AZ85" s="9" t="n">
        <x:f>MOD(BA84*16807,2147483647)</x:f>
        <x:v>77672323</x:v>
      </x:c>
      <x:c r="BA85" s="9" t="n">
        <x:f>MOD(AZ85*16807,2147483647)</x:f>
        <x:v>1916158932</x:v>
      </x:c>
      <x:c r="BB85" s="17" t="n">
        <x:f>IF('Control Room'!$B$5="Normal",'Control Room'!$B$7+'Control Room'!$D$7*SQRT(-2*LN(MAX(0.000000000001,AZ85/2147483647)))*COS(2*PI()*BA85/2147483647),'Control Room'!$B$8+('Control Room'!$D$8-'Control Room'!$B$8)*AZ85/2147483647)</x:f>
        <x:v>1180.78072874336</x:v>
      </x:c>
      <x:c r="BC85" s="17" t="n">
        <x:f>IF('Control Room'!$B$5="Normal",'Control Room'!$B$7,('Control Room'!$B$8+'Control Room'!$D$8)/2)+'Control Room'!$B$9*(BC84-IF('Control Room'!$B$5="Normal",'Control Room'!$B$7,('Control Room'!$B$8+'Control Room'!$D$8)/2))+SQRT(1-'Control Room'!$B$9^2)*(BB85-IF('Control Room'!$B$5="Normal",'Control Room'!$B$7,('Control Room'!$B$8+'Control Room'!$D$8)/2))</x:f>
        <x:v>1104.5282405315304</x:v>
      </x:c>
      <x:c r="BD85" s="17" t="n">
        <x:f>IF(AND($A85&gt;='Control Room'!$A$13,$A85&lt;'Control Room'!$A$13+'Control Room'!$B$13,'Process'!BU2=1),1+('Control Room'!$C$13-1)*EXP(-0.5*(($A85-'Control Room'!$A$13-('Control Room'!$B$13-1)/2)/MAX(0.5,'Control Room'!$B$13/4))^2),1)*IF(AND($A85&gt;='Control Room'!$A$14,$A85&lt;'Control Room'!$A$14+'Control Room'!$B$14,'Process'!BU3=1),1+('Control Room'!$C$14-1)*EXP(-0.5*(($A85-'Control Room'!$A$14-('Control Room'!$B$14-1)/2)/MAX(0.5,'Control Room'!$B$14/4))^2),1)*IF(AND($A85&gt;='Control Room'!$A$15,$A85&lt;'Control Room'!$A$15+'Control Room'!$B$15,'Process'!BU4=1),1+('Control Room'!$C$15-1)*EXP(-0.5*(($A85-'Control Room'!$A$15-('Control Room'!$B$15-1)/2)/MAX(0.5,'Control Room'!$B$15/4))^2),1)*IF(AND($A85&gt;='Control Room'!$A$16,$A85&lt;'Control Room'!$A$16+'Control Room'!$B$16,'Process'!BU5=1),1+('Control Room'!$C$16-1)*EXP(-0.5*(($A85-'Control Room'!$A$16-('Control Room'!$B$16-1)/2)/MAX(0.5,'Control Room'!$B$16/4))^2),1)</x:f>
        <x:v>1</x:v>
      </x:c>
      <x:c r="BE85" s="9" t="n">
        <x:f>MOD(BF84*16807,2147483647)</x:f>
        <x:v>1468319801</x:v>
      </x:c>
      <x:c r="BF85" s="9" t="n">
        <x:f>MOD(BE85*16807,2147483647)</x:f>
        <x:v>1316307730</x:v>
      </x:c>
      <x:c r="BG85" s="17" t="n">
        <x:f>IF('Control Room'!$B$5="Normal",'Control Room'!$B$7+'Control Room'!$D$7*SQRT(-2*LN(MAX(0.000000000001,BE85/2147483647)))*COS(2*PI()*BF85/2147483647),'Control Room'!$B$8+('Control Room'!$D$8-'Control Room'!$B$8)*BE85/2147483647)</x:f>
        <x:v>940.4699257782397</x:v>
      </x:c>
      <x:c r="BH85" s="17" t="n">
        <x:f>IF('Control Room'!$B$5="Normal",'Control Room'!$B$7,('Control Room'!$B$8+'Control Room'!$D$8)/2)+'Control Room'!$B$9*(BH84-IF('Control Room'!$B$5="Normal",'Control Room'!$B$7,('Control Room'!$B$8+'Control Room'!$D$8)/2))+SQRT(1-'Control Room'!$B$9^2)*(BG85-IF('Control Room'!$B$5="Normal",'Control Room'!$B$7,('Control Room'!$B$8+'Control Room'!$D$8)/2))</x:f>
        <x:v>1077.5440888807168</x:v>
      </x:c>
      <x:c r="BI85" s="17" t="n">
        <x:f>IF(AND($A85&gt;='Control Room'!$A$13,$A85&lt;'Control Room'!$A$13+'Control Room'!$B$13,'Process'!BV2=1),1+('Control Room'!$C$13-1)*EXP(-0.5*(($A85-'Control Room'!$A$13-('Control Room'!$B$13-1)/2)/MAX(0.5,'Control Room'!$B$13/4))^2),1)*IF(AND($A85&gt;='Control Room'!$A$14,$A85&lt;'Control Room'!$A$14+'Control Room'!$B$14,'Process'!BV3=1),1+('Control Room'!$C$14-1)*EXP(-0.5*(($A85-'Control Room'!$A$14-('Control Room'!$B$14-1)/2)/MAX(0.5,'Control Room'!$B$14/4))^2),1)*IF(AND($A85&gt;='Control Room'!$A$15,$A85&lt;'Control Room'!$A$15+'Control Room'!$B$15,'Process'!BV4=1),1+('Control Room'!$C$15-1)*EXP(-0.5*(($A85-'Control Room'!$A$15-('Control Room'!$B$15-1)/2)/MAX(0.5,'Control Room'!$B$15/4))^2),1)*IF(AND($A85&gt;='Control Room'!$A$16,$A85&lt;'Control Room'!$A$16+'Control Room'!$B$16,'Process'!BV5=1),1+('Control Room'!$C$16-1)*EXP(-0.5*(($A85-'Control Room'!$A$16-('Control Room'!$B$16-1)/2)/MAX(0.5,'Control Room'!$B$16/4))^2),1)</x:f>
        <x:v>1</x:v>
      </x:c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Z85" t="str">
        <x:f>IF('Data'!A85="","",TEXT('Data'!A85,"mm-dd"))</x:f>
        <x:v>01-24</x:v>
      </x:c>
    </x:row>
    <x:row r="86" ht="21" customHeight="1">
      <x:c r="A86" s="15" t="n">
        <x:f>'Control Room'!$B$1+84</x:f>
        <x:v>73075</x:v>
      </x:c>
      <x:c r="B86" s="9" t="n">
        <x:f>MOD(C85*16807,2147483647)</x:f>
        <x:v>295144143</x:v>
      </x:c>
      <x:c r="C86" s="9" t="n">
        <x:f>MOD(B86*16807,2147483647)</x:f>
        <x:v>1947870478</x:v>
      </x:c>
      <x:c r="D86" s="17" t="n">
        <x:f>IF('Control Room'!$B$5="Normal",'Control Room'!$B$7+'Control Room'!$D$7*SQRT(-2*LN(MAX(0.000000000001,B86/2147483647)))*COS(2*PI()*C86/2147483647),'Control Room'!$B$8+('Control Room'!$D$8-'Control Room'!$B$8)*B86/2147483647)</x:f>
        <x:v>1149.584286213618</x:v>
      </x:c>
      <x:c r="E86" s="17" t="n">
        <x:f>IF('Control Room'!$B$5="Normal",'Control Room'!$B$7,('Control Room'!$B$8+'Control Room'!$D$8)/2)+'Control Room'!$B$9*(E85-IF('Control Room'!$B$5="Normal",'Control Room'!$B$7,('Control Room'!$B$8+'Control Room'!$D$8)/2))+SQRT(1-'Control Room'!$B$9^2)*(D86-IF('Control Room'!$B$5="Normal",'Control Room'!$B$7,('Control Room'!$B$8+'Control Room'!$D$8)/2))</x:f>
        <x:v>1094.653314955228</x:v>
      </x:c>
      <x:c r="F86" s="17" t="n">
        <x:f>IF(AND($A86&gt;='Control Room'!$A$13,$A86&lt;'Control Room'!$A$13+'Control Room'!$B$13,'Process'!BK2=1),1+('Control Room'!$C$13-1)*EXP(-0.5*(($A86-'Control Room'!$A$13-('Control Room'!$B$13-1)/2)/MAX(0.5,'Control Room'!$B$13/4))^2),1)*IF(AND($A86&gt;='Control Room'!$A$14,$A86&lt;'Control Room'!$A$14+'Control Room'!$B$14,'Process'!BK3=1),1+('Control Room'!$C$14-1)*EXP(-0.5*(($A86-'Control Room'!$A$14-('Control Room'!$B$14-1)/2)/MAX(0.5,'Control Room'!$B$14/4))^2),1)*IF(AND($A86&gt;='Control Room'!$A$15,$A86&lt;'Control Room'!$A$15+'Control Room'!$B$15,'Process'!BK4=1),1+('Control Room'!$C$15-1)*EXP(-0.5*(($A86-'Control Room'!$A$15-('Control Room'!$B$15-1)/2)/MAX(0.5,'Control Room'!$B$15/4))^2),1)*IF(AND($A86&gt;='Control Room'!$A$16,$A86&lt;'Control Room'!$A$16+'Control Room'!$B$16,'Process'!BK5=1),1+('Control Room'!$C$16-1)*EXP(-0.5*(($A86-'Control Room'!$A$16-('Control Room'!$B$16-1)/2)/MAX(0.5,'Control Room'!$B$16/4))^2),1)</x:f>
        <x:v>1</x:v>
      </x:c>
      <x:c r="G86" s="9" t="n">
        <x:f>MOD(H85*16807,2147483647)</x:f>
        <x:v>1031714794</x:v>
      </x:c>
      <x:c r="H86" s="9" t="n">
        <x:f>MOD(G86*16807,2147483647)</x:f>
        <x:v>1247576880</x:v>
      </x:c>
      <x:c r="I86" s="17" t="n">
        <x:f>IF('Control Room'!$B$5="Normal",'Control Room'!$B$7+'Control Room'!$D$7*SQRT(-2*LN(MAX(0.000000000001,G86/2147483647)))*COS(2*PI()*H86/2147483647),'Control Room'!$B$8+('Control Room'!$D$8-'Control Room'!$B$8)*G86/2147483647)</x:f>
        <x:v>904.817939418363</x:v>
      </x:c>
      <x:c r="J86" s="17" t="n">
        <x:f>IF('Control Room'!$B$5="Normal",'Control Room'!$B$7,('Control Room'!$B$8+'Control Room'!$D$8)/2)+'Control Room'!$B$9*(J85-IF('Control Room'!$B$5="Normal",'Control Room'!$B$7,('Control Room'!$B$8+'Control Room'!$D$8)/2))+SQRT(1-'Control Room'!$B$9^2)*(I86-IF('Control Room'!$B$5="Normal",'Control Room'!$B$7,('Control Room'!$B$8+'Control Room'!$D$8)/2))</x:f>
        <x:v>870.8210320924275</x:v>
      </x:c>
      <x:c r="K86" s="17" t="n">
        <x:f>IF(AND($A86&gt;='Control Room'!$A$13,$A86&lt;'Control Room'!$A$13+'Control Room'!$B$13,'Process'!BL2=1),1+('Control Room'!$C$13-1)*EXP(-0.5*(($A86-'Control Room'!$A$13-('Control Room'!$B$13-1)/2)/MAX(0.5,'Control Room'!$B$13/4))^2),1)*IF(AND($A86&gt;='Control Room'!$A$14,$A86&lt;'Control Room'!$A$14+'Control Room'!$B$14,'Process'!BL3=1),1+('Control Room'!$C$14-1)*EXP(-0.5*(($A86-'Control Room'!$A$14-('Control Room'!$B$14-1)/2)/MAX(0.5,'Control Room'!$B$14/4))^2),1)*IF(AND($A86&gt;='Control Room'!$A$15,$A86&lt;'Control Room'!$A$15+'Control Room'!$B$15,'Process'!BL4=1),1+('Control Room'!$C$15-1)*EXP(-0.5*(($A86-'Control Room'!$A$15-('Control Room'!$B$15-1)/2)/MAX(0.5,'Control Room'!$B$15/4))^2),1)*IF(AND($A86&gt;='Control Room'!$A$16,$A86&lt;'Control Room'!$A$16+'Control Room'!$B$16,'Process'!BL5=1),1+('Control Room'!$C$16-1)*EXP(-0.5*(($A86-'Control Room'!$A$16-('Control Room'!$B$16-1)/2)/MAX(0.5,'Control Room'!$B$16/4))^2),1)</x:f>
        <x:v>1</x:v>
      </x:c>
      <x:c r="L86" s="9" t="n">
        <x:f>MOD(M85*16807,2147483647)</x:f>
        <x:v>1768285445</x:v>
      </x:c>
      <x:c r="M86" s="9" t="n">
        <x:f>MOD(L86*16807,2147483647)</x:f>
        <x:v>547283282</x:v>
      </x:c>
      <x:c r="N86" s="17" t="n">
        <x:f>IF('Control Room'!$B$5="Normal",'Control Room'!$B$7+'Control Room'!$D$7*SQRT(-2*LN(MAX(0.000000000001,L86/2147483647)))*COS(2*PI()*M86/2147483647),'Control Room'!$B$8+('Control Room'!$D$8-'Control Room'!$B$8)*L86/2147483647)</x:f>
        <x:v>998.2911218942229</x:v>
      </x:c>
      <x:c r="O86" s="17" t="n">
        <x:f>IF('Control Room'!$B$5="Normal",'Control Room'!$B$7,('Control Room'!$B$8+'Control Room'!$D$8)/2)+'Control Room'!$B$9*(O85-IF('Control Room'!$B$5="Normal",'Control Room'!$B$7,('Control Room'!$B$8+'Control Room'!$D$8)/2))+SQRT(1-'Control Room'!$B$9^2)*(N86-IF('Control Room'!$B$5="Normal",'Control Room'!$B$7,('Control Room'!$B$8+'Control Room'!$D$8)/2))</x:f>
        <x:v>1048.2472451707845</x:v>
      </x:c>
      <x:c r="P86" s="17" t="n">
        <x:f>IF(AND($A86&gt;='Control Room'!$A$13,$A86&lt;'Control Room'!$A$13+'Control Room'!$B$13,'Process'!BM2=1),1+('Control Room'!$C$13-1)*EXP(-0.5*(($A86-'Control Room'!$A$13-('Control Room'!$B$13-1)/2)/MAX(0.5,'Control Room'!$B$13/4))^2),1)*IF(AND($A86&gt;='Control Room'!$A$14,$A86&lt;'Control Room'!$A$14+'Control Room'!$B$14,'Process'!BM3=1),1+('Control Room'!$C$14-1)*EXP(-0.5*(($A86-'Control Room'!$A$14-('Control Room'!$B$14-1)/2)/MAX(0.5,'Control Room'!$B$14/4))^2),1)*IF(AND($A86&gt;='Control Room'!$A$15,$A86&lt;'Control Room'!$A$15+'Control Room'!$B$15,'Process'!BM4=1),1+('Control Room'!$C$15-1)*EXP(-0.5*(($A86-'Control Room'!$A$15-('Control Room'!$B$15-1)/2)/MAX(0.5,'Control Room'!$B$15/4))^2),1)*IF(AND($A86&gt;='Control Room'!$A$16,$A86&lt;'Control Room'!$A$16+'Control Room'!$B$16,'Process'!BM5=1),1+('Control Room'!$C$16-1)*EXP(-0.5*(($A86-'Control Room'!$A$16-('Control Room'!$B$16-1)/2)/MAX(0.5,'Control Room'!$B$16/4))^2),1)</x:f>
        <x:v>1</x:v>
      </x:c>
      <x:c r="Q86" s="9" t="n">
        <x:f>MOD(R85*16807,2147483647)</x:f>
        <x:v>357372449</x:v>
      </x:c>
      <x:c r="R86" s="9" t="n">
        <x:f>MOD(Q86*16807,2147483647)</x:f>
        <x:v>1994473331</x:v>
      </x:c>
      <x:c r="S86" s="17" t="n">
        <x:f>IF('Control Room'!$B$5="Normal",'Control Room'!$B$7+'Control Room'!$D$7*SQRT(-2*LN(MAX(0.000000000001,Q86/2147483647)))*COS(2*PI()*R86/2147483647),'Control Room'!$B$8+('Control Room'!$D$8-'Control Room'!$B$8)*Q86/2147483647)</x:f>
        <x:v>1153.6468281070715</x:v>
      </x:c>
      <x:c r="T86" s="17" t="n">
        <x:f>IF('Control Room'!$B$5="Normal",'Control Room'!$B$7,('Control Room'!$B$8+'Control Room'!$D$8)/2)+'Control Room'!$B$9*(T85-IF('Control Room'!$B$5="Normal",'Control Room'!$B$7,('Control Room'!$B$8+'Control Room'!$D$8)/2))+SQRT(1-'Control Room'!$B$9^2)*(S86-IF('Control Room'!$B$5="Normal",'Control Room'!$B$7,('Control Room'!$B$8+'Control Room'!$D$8)/2))</x:f>
        <x:v>1113.714940842707</x:v>
      </x:c>
      <x:c r="U86" s="17" t="n">
        <x:f>IF(AND($A86&gt;='Control Room'!$A$13,$A86&lt;'Control Room'!$A$13+'Control Room'!$B$13,'Process'!BN2=1),1+('Control Room'!$C$13-1)*EXP(-0.5*(($A86-'Control Room'!$A$13-('Control Room'!$B$13-1)/2)/MAX(0.5,'Control Room'!$B$13/4))^2),1)*IF(AND($A86&gt;='Control Room'!$A$14,$A86&lt;'Control Room'!$A$14+'Control Room'!$B$14,'Process'!BN3=1),1+('Control Room'!$C$14-1)*EXP(-0.5*(($A86-'Control Room'!$A$14-('Control Room'!$B$14-1)/2)/MAX(0.5,'Control Room'!$B$14/4))^2),1)*IF(AND($A86&gt;='Control Room'!$A$15,$A86&lt;'Control Room'!$A$15+'Control Room'!$B$15,'Process'!BN4=1),1+('Control Room'!$C$15-1)*EXP(-0.5*(($A86-'Control Room'!$A$15-('Control Room'!$B$15-1)/2)/MAX(0.5,'Control Room'!$B$15/4))^2),1)*IF(AND($A86&gt;='Control Room'!$A$16,$A86&lt;'Control Room'!$A$16+'Control Room'!$B$16,'Process'!BN5=1),1+('Control Room'!$C$16-1)*EXP(-0.5*(($A86-'Control Room'!$A$16-('Control Room'!$B$16-1)/2)/MAX(0.5,'Control Room'!$B$16/4))^2),1)</x:f>
        <x:v>1</x:v>
      </x:c>
      <x:c r="V86" s="9" t="n">
        <x:f>MOD(W85*16807,2147483647)</x:f>
        <x:v>1093943100</x:v>
      </x:c>
      <x:c r="W86" s="9" t="n">
        <x:f>MOD(V86*16807,2147483647)</x:f>
        <x:v>1294179733</x:v>
      </x:c>
      <x:c r="X86" s="17" t="n">
        <x:f>IF('Control Room'!$B$5="Normal",'Control Room'!$B$7+'Control Room'!$D$7*SQRT(-2*LN(MAX(0.000000000001,V86/2147483647)))*COS(2*PI()*W86/2147483647),'Control Room'!$B$8+('Control Room'!$D$8-'Control Room'!$B$8)*V86/2147483647)</x:f>
        <x:v>916.4659661993406</x:v>
      </x:c>
      <x:c r="Y86" s="17" t="n">
        <x:f>IF('Control Room'!$B$5="Normal",'Control Room'!$B$7,('Control Room'!$B$8+'Control Room'!$D$8)/2)+'Control Room'!$B$9*(Y85-IF('Control Room'!$B$5="Normal",'Control Room'!$B$7,('Control Room'!$B$8+'Control Room'!$D$8)/2))+SQRT(1-'Control Room'!$B$9^2)*(X86-IF('Control Room'!$B$5="Normal",'Control Room'!$B$7,('Control Room'!$B$8+'Control Room'!$D$8)/2))</x:f>
        <x:v>903.0285559047136</x:v>
      </x:c>
      <x:c r="Z86" s="17" t="n">
        <x:f>IF(AND($A86&gt;='Control Room'!$A$13,$A86&lt;'Control Room'!$A$13+'Control Room'!$B$13,'Process'!BO2=1),1+('Control Room'!$C$13-1)*EXP(-0.5*(($A86-'Control Room'!$A$13-('Control Room'!$B$13-1)/2)/MAX(0.5,'Control Room'!$B$13/4))^2),1)*IF(AND($A86&gt;='Control Room'!$A$14,$A86&lt;'Control Room'!$A$14+'Control Room'!$B$14,'Process'!BO3=1),1+('Control Room'!$C$14-1)*EXP(-0.5*(($A86-'Control Room'!$A$14-('Control Room'!$B$14-1)/2)/MAX(0.5,'Control Room'!$B$14/4))^2),1)*IF(AND($A86&gt;='Control Room'!$A$15,$A86&lt;'Control Room'!$A$15+'Control Room'!$B$15,'Process'!BO4=1),1+('Control Room'!$C$15-1)*EXP(-0.5*(($A86-'Control Room'!$A$15-('Control Room'!$B$15-1)/2)/MAX(0.5,'Control Room'!$B$15/4))^2),1)*IF(AND($A86&gt;='Control Room'!$A$16,$A86&lt;'Control Room'!$A$16+'Control Room'!$B$16,'Process'!BO5=1),1+('Control Room'!$C$16-1)*EXP(-0.5*(($A86-'Control Room'!$A$16-('Control Room'!$B$16-1)/2)/MAX(0.5,'Control Room'!$B$16/4))^2),1)</x:f>
        <x:v>1</x:v>
      </x:c>
      <x:c r="AA86" s="9" t="n">
        <x:f>MOD(AB85*16807,2147483647)</x:f>
        <x:v>1830513751</x:v>
      </x:c>
      <x:c r="AB86" s="9" t="n">
        <x:f>MOD(AA86*16807,2147483647)</x:f>
        <x:v>593886135</x:v>
      </x:c>
      <x:c r="AC86" s="17" t="n">
        <x:f>IF('Control Room'!$B$5="Normal",'Control Room'!$B$7+'Control Room'!$D$7*SQRT(-2*LN(MAX(0.000000000001,AA86/2147483647)))*COS(2*PI()*AB86/2147483647),'Control Room'!$B$8+('Control Room'!$D$8-'Control Room'!$B$8)*AA86/2147483647)</x:f>
        <x:v>991.5543165906718</x:v>
      </x:c>
      <x:c r="AD86" s="17" t="n">
        <x:f>IF('Control Room'!$B$5="Normal",'Control Room'!$B$7,('Control Room'!$B$8+'Control Room'!$D$8)/2)+'Control Room'!$B$9*(AD85-IF('Control Room'!$B$5="Normal",'Control Room'!$B$7,('Control Room'!$B$8+'Control Room'!$D$8)/2))+SQRT(1-'Control Room'!$B$9^2)*(AC86-IF('Control Room'!$B$5="Normal",'Control Room'!$B$7,('Control Room'!$B$8+'Control Room'!$D$8)/2))</x:f>
        <x:v>1017.9294171872201</x:v>
      </x:c>
      <x:c r="AE86" s="17" t="n">
        <x:f>IF(AND($A86&gt;='Control Room'!$A$13,$A86&lt;'Control Room'!$A$13+'Control Room'!$B$13,'Process'!BP2=1),1+('Control Room'!$C$13-1)*EXP(-0.5*(($A86-'Control Room'!$A$13-('Control Room'!$B$13-1)/2)/MAX(0.5,'Control Room'!$B$13/4))^2),1)*IF(AND($A86&gt;='Control Room'!$A$14,$A86&lt;'Control Room'!$A$14+'Control Room'!$B$14,'Process'!BP3=1),1+('Control Room'!$C$14-1)*EXP(-0.5*(($A86-'Control Room'!$A$14-('Control Room'!$B$14-1)/2)/MAX(0.5,'Control Room'!$B$14/4))^2),1)*IF(AND($A86&gt;='Control Room'!$A$15,$A86&lt;'Control Room'!$A$15+'Control Room'!$B$15,'Process'!BP4=1),1+('Control Room'!$C$15-1)*EXP(-0.5*(($A86-'Control Room'!$A$15-('Control Room'!$B$15-1)/2)/MAX(0.5,'Control Room'!$B$15/4))^2),1)*IF(AND($A86&gt;='Control Room'!$A$16,$A86&lt;'Control Room'!$A$16+'Control Room'!$B$16,'Process'!BP5=1),1+('Control Room'!$C$16-1)*EXP(-0.5*(($A86-'Control Room'!$A$16-('Control Room'!$B$16-1)/2)/MAX(0.5,'Control Room'!$B$16/4))^2),1)</x:f>
        <x:v>1</x:v>
      </x:c>
      <x:c r="AF86" s="9" t="n">
        <x:f>MOD(AG85*16807,2147483647)</x:f>
        <x:v>419600755</x:v>
      </x:c>
      <x:c r="AG86" s="9" t="n">
        <x:f>MOD(AF86*16807,2147483647)</x:f>
        <x:v>2041076184</x:v>
      </x:c>
      <x:c r="AH86" s="17" t="n">
        <x:f>IF('Control Room'!$B$5="Normal",'Control Room'!$B$7+'Control Room'!$D$7*SQRT(-2*LN(MAX(0.000000000001,AF86/2147483647)))*COS(2*PI()*AG86/2147483647),'Control Room'!$B$8+('Control Room'!$D$8-'Control Room'!$B$8)*AF86/2147483647)</x:f>
        <x:v>1154.817720445177</x:v>
      </x:c>
      <x:c r="AI86" s="17" t="n">
        <x:f>IF('Control Room'!$B$5="Normal",'Control Room'!$B$7,('Control Room'!$B$8+'Control Room'!$D$8)/2)+'Control Room'!$B$9*(AI85-IF('Control Room'!$B$5="Normal",'Control Room'!$B$7,('Control Room'!$B$8+'Control Room'!$D$8)/2))+SQRT(1-'Control Room'!$B$9^2)*(AH86-IF('Control Room'!$B$5="Normal",'Control Room'!$B$7,('Control Room'!$B$8+'Control Room'!$D$8)/2))</x:f>
        <x:v>1098.2293548636358</x:v>
      </x:c>
      <x:c r="AJ86" s="17" t="n">
        <x:f>IF(AND($A86&gt;='Control Room'!$A$13,$A86&lt;'Control Room'!$A$13+'Control Room'!$B$13,'Process'!BQ2=1),1+('Control Room'!$C$13-1)*EXP(-0.5*(($A86-'Control Room'!$A$13-('Control Room'!$B$13-1)/2)/MAX(0.5,'Control Room'!$B$13/4))^2),1)*IF(AND($A86&gt;='Control Room'!$A$14,$A86&lt;'Control Room'!$A$14+'Control Room'!$B$14,'Process'!BQ3=1),1+('Control Room'!$C$14-1)*EXP(-0.5*(($A86-'Control Room'!$A$14-('Control Room'!$B$14-1)/2)/MAX(0.5,'Control Room'!$B$14/4))^2),1)*IF(AND($A86&gt;='Control Room'!$A$15,$A86&lt;'Control Room'!$A$15+'Control Room'!$B$15,'Process'!BQ4=1),1+('Control Room'!$C$15-1)*EXP(-0.5*(($A86-'Control Room'!$A$15-('Control Room'!$B$15-1)/2)/MAX(0.5,'Control Room'!$B$15/4))^2),1)*IF(AND($A86&gt;='Control Room'!$A$16,$A86&lt;'Control Room'!$A$16+'Control Room'!$B$16,'Process'!BQ5=1),1+('Control Room'!$C$16-1)*EXP(-0.5*(($A86-'Control Room'!$A$16-('Control Room'!$B$16-1)/2)/MAX(0.5,'Control Room'!$B$16/4))^2),1)</x:f>
        <x:v>1</x:v>
      </x:c>
      <x:c r="AK86" s="9" t="n">
        <x:f>MOD(AL85*16807,2147483647)</x:f>
        <x:v>1156171406</x:v>
      </x:c>
      <x:c r="AL86" s="9" t="n">
        <x:f>MOD(AK86*16807,2147483647)</x:f>
        <x:v>1340782586</x:v>
      </x:c>
      <x:c r="AM86" s="17" t="n">
        <x:f>IF('Control Room'!$B$5="Normal",'Control Room'!$B$7+'Control Room'!$D$7*SQRT(-2*LN(MAX(0.000000000001,AK86/2147483647)))*COS(2*PI()*AL86/2147483647),'Control Room'!$B$8+('Control Room'!$D$8-'Control Room'!$B$8)*AK86/2147483647)</x:f>
        <x:v>928.8922536757278</x:v>
      </x:c>
      <x:c r="AN86" s="17" t="n">
        <x:f>IF('Control Room'!$B$5="Normal",'Control Room'!$B$7,('Control Room'!$B$8+'Control Room'!$D$8)/2)+'Control Room'!$B$9*(AN85-IF('Control Room'!$B$5="Normal",'Control Room'!$B$7,('Control Room'!$B$8+'Control Room'!$D$8)/2))+SQRT(1-'Control Room'!$B$9^2)*(AM86-IF('Control Room'!$B$5="Normal",'Control Room'!$B$7,('Control Room'!$B$8+'Control Room'!$D$8)/2))</x:f>
        <x:v>976.7337400558818</x:v>
      </x:c>
      <x:c r="AO86" s="17" t="n">
        <x:f>IF(AND($A86&gt;='Control Room'!$A$13,$A86&lt;'Control Room'!$A$13+'Control Room'!$B$13,'Process'!BR2=1),1+('Control Room'!$C$13-1)*EXP(-0.5*(($A86-'Control Room'!$A$13-('Control Room'!$B$13-1)/2)/MAX(0.5,'Control Room'!$B$13/4))^2),1)*IF(AND($A86&gt;='Control Room'!$A$14,$A86&lt;'Control Room'!$A$14+'Control Room'!$B$14,'Process'!BR3=1),1+('Control Room'!$C$14-1)*EXP(-0.5*(($A86-'Control Room'!$A$14-('Control Room'!$B$14-1)/2)/MAX(0.5,'Control Room'!$B$14/4))^2),1)*IF(AND($A86&gt;='Control Room'!$A$15,$A86&lt;'Control Room'!$A$15+'Control Room'!$B$15,'Process'!BR4=1),1+('Control Room'!$C$15-1)*EXP(-0.5*(($A86-'Control Room'!$A$15-('Control Room'!$B$15-1)/2)/MAX(0.5,'Control Room'!$B$15/4))^2),1)*IF(AND($A86&gt;='Control Room'!$A$16,$A86&lt;'Control Room'!$A$16+'Control Room'!$B$16,'Process'!BR5=1),1+('Control Room'!$C$16-1)*EXP(-0.5*(($A86-'Control Room'!$A$16-('Control Room'!$B$16-1)/2)/MAX(0.5,'Control Room'!$B$16/4))^2),1)</x:f>
        <x:v>1</x:v>
      </x:c>
      <x:c r="AP86" s="9" t="n">
        <x:f>MOD(AQ85*16807,2147483647)</x:f>
        <x:v>1892742057</x:v>
      </x:c>
      <x:c r="AQ86" s="9" t="n">
        <x:f>MOD(AP86*16807,2147483647)</x:f>
        <x:v>640488988</x:v>
      </x:c>
      <x:c r="AR86" s="17" t="n">
        <x:f>IF('Control Room'!$B$5="Normal",'Control Room'!$B$7+'Control Room'!$D$7*SQRT(-2*LN(MAX(0.000000000001,AP86/2147483647)))*COS(2*PI()*AQ86/2147483647),'Control Room'!$B$8+('Control Room'!$D$8-'Control Room'!$B$8)*AP86/2147483647)</x:f>
        <x:v>986.4973160860022</x:v>
      </x:c>
      <x:c r="AS86" s="17" t="n">
        <x:f>IF('Control Room'!$B$5="Normal",'Control Room'!$B$7,('Control Room'!$B$8+'Control Room'!$D$8)/2)+'Control Room'!$B$9*(AS85-IF('Control Room'!$B$5="Normal",'Control Room'!$B$7,('Control Room'!$B$8+'Control Room'!$D$8)/2))+SQRT(1-'Control Room'!$B$9^2)*(AR86-IF('Control Room'!$B$5="Normal",'Control Room'!$B$7,('Control Room'!$B$8+'Control Room'!$D$8)/2))</x:f>
        <x:v>1043.4658063724523</x:v>
      </x:c>
      <x:c r="AT86" s="17" t="n">
        <x:f>IF(AND($A86&gt;='Control Room'!$A$13,$A86&lt;'Control Room'!$A$13+'Control Room'!$B$13,'Process'!BS2=1),1+('Control Room'!$C$13-1)*EXP(-0.5*(($A86-'Control Room'!$A$13-('Control Room'!$B$13-1)/2)/MAX(0.5,'Control Room'!$B$13/4))^2),1)*IF(AND($A86&gt;='Control Room'!$A$14,$A86&lt;'Control Room'!$A$14+'Control Room'!$B$14,'Process'!BS3=1),1+('Control Room'!$C$14-1)*EXP(-0.5*(($A86-'Control Room'!$A$14-('Control Room'!$B$14-1)/2)/MAX(0.5,'Control Room'!$B$14/4))^2),1)*IF(AND($A86&gt;='Control Room'!$A$15,$A86&lt;'Control Room'!$A$15+'Control Room'!$B$15,'Process'!BS4=1),1+('Control Room'!$C$15-1)*EXP(-0.5*(($A86-'Control Room'!$A$15-('Control Room'!$B$15-1)/2)/MAX(0.5,'Control Room'!$B$15/4))^2),1)*IF(AND($A86&gt;='Control Room'!$A$16,$A86&lt;'Control Room'!$A$16+'Control Room'!$B$16,'Process'!BS5=1),1+('Control Room'!$C$16-1)*EXP(-0.5*(($A86-'Control Room'!$A$16-('Control Room'!$B$16-1)/2)/MAX(0.5,'Control Room'!$B$16/4))^2),1)</x:f>
        <x:v>1</x:v>
      </x:c>
      <x:c r="AU86" s="9" t="n">
        <x:f>MOD(AV85*16807,2147483647)</x:f>
        <x:v>481829061</x:v>
      </x:c>
      <x:c r="AV86" s="9" t="n">
        <x:f>MOD(AU86*16807,2147483647)</x:f>
        <x:v>2087679037</x:v>
      </x:c>
      <x:c r="AW86" s="17" t="n">
        <x:f>IF('Control Room'!$B$5="Normal",'Control Room'!$B$7+'Control Room'!$D$7*SQRT(-2*LN(MAX(0.000000000001,AU86/2147483647)))*COS(2*PI()*AV86/2147483647),'Control Room'!$B$8+('Control Room'!$D$8-'Control Room'!$B$8)*AU86/2147483647)</x:f>
        <x:v>1153.220661028226</x:v>
      </x:c>
      <x:c r="AX86" s="17" t="n">
        <x:f>IF('Control Room'!$B$5="Normal",'Control Room'!$B$7,('Control Room'!$B$8+'Control Room'!$D$8)/2)+'Control Room'!$B$9*(AX85-IF('Control Room'!$B$5="Normal",'Control Room'!$B$7,('Control Room'!$B$8+'Control Room'!$D$8)/2))+SQRT(1-'Control Room'!$B$9^2)*(AW86-IF('Control Room'!$B$5="Normal",'Control Room'!$B$7,('Control Room'!$B$8+'Control Room'!$D$8)/2))</x:f>
        <x:v>1066.5057446279807</x:v>
      </x:c>
      <x:c r="AY86" s="17" t="n">
        <x:f>IF(AND($A86&gt;='Control Room'!$A$13,$A86&lt;'Control Room'!$A$13+'Control Room'!$B$13,'Process'!BT2=1),1+('Control Room'!$C$13-1)*EXP(-0.5*(($A86-'Control Room'!$A$13-('Control Room'!$B$13-1)/2)/MAX(0.5,'Control Room'!$B$13/4))^2),1)*IF(AND($A86&gt;='Control Room'!$A$14,$A86&lt;'Control Room'!$A$14+'Control Room'!$B$14,'Process'!BT3=1),1+('Control Room'!$C$14-1)*EXP(-0.5*(($A86-'Control Room'!$A$14-('Control Room'!$B$14-1)/2)/MAX(0.5,'Control Room'!$B$14/4))^2),1)*IF(AND($A86&gt;='Control Room'!$A$15,$A86&lt;'Control Room'!$A$15+'Control Room'!$B$15,'Process'!BT4=1),1+('Control Room'!$C$15-1)*EXP(-0.5*(($A86-'Control Room'!$A$15-('Control Room'!$B$15-1)/2)/MAX(0.5,'Control Room'!$B$15/4))^2),1)*IF(AND($A86&gt;='Control Room'!$A$16,$A86&lt;'Control Room'!$A$16+'Control Room'!$B$16,'Process'!BT5=1),1+('Control Room'!$C$16-1)*EXP(-0.5*(($A86-'Control Room'!$A$16-('Control Room'!$B$16-1)/2)/MAX(0.5,'Control Room'!$B$16/4))^2),1)</x:f>
        <x:v>1</x:v>
      </x:c>
      <x:c r="AZ86" s="9" t="n">
        <x:f>MOD(BA85*16807,2147483647)</x:f>
        <x:v>1218399712</x:v>
      </x:c>
      <x:c r="BA86" s="9" t="n">
        <x:f>MOD(AZ86*16807,2147483647)</x:f>
        <x:v>1387385439</x:v>
      </x:c>
      <x:c r="BB86" s="17" t="n">
        <x:f>IF('Control Room'!$B$5="Normal",'Control Room'!$B$7+'Control Room'!$D$7*SQRT(-2*LN(MAX(0.000000000001,AZ86/2147483647)))*COS(2*PI()*BA86/2147483647),'Control Room'!$B$8+('Control Room'!$D$8-'Control Room'!$B$8)*AZ86/2147483647)</x:f>
        <x:v>941.7727838451286</x:v>
      </x:c>
      <x:c r="BC86" s="17" t="n">
        <x:f>IF('Control Room'!$B$5="Normal",'Control Room'!$B$7,('Control Room'!$B$8+'Control Room'!$D$8)/2)+'Control Room'!$B$9*(BC85-IF('Control Room'!$B$5="Normal",'Control Room'!$B$7,('Control Room'!$B$8+'Control Room'!$D$8)/2))+SQRT(1-'Control Room'!$B$9^2)*(BB86-IF('Control Room'!$B$5="Normal",'Control Room'!$B$7,('Control Room'!$B$8+'Control Room'!$D$8)/2))</x:f>
        <x:v>1045.0946285942352</x:v>
      </x:c>
      <x:c r="BD86" s="17" t="n">
        <x:f>IF(AND($A86&gt;='Control Room'!$A$13,$A86&lt;'Control Room'!$A$13+'Control Room'!$B$13,'Process'!BU2=1),1+('Control Room'!$C$13-1)*EXP(-0.5*(($A86-'Control Room'!$A$13-('Control Room'!$B$13-1)/2)/MAX(0.5,'Control Room'!$B$13/4))^2),1)*IF(AND($A86&gt;='Control Room'!$A$14,$A86&lt;'Control Room'!$A$14+'Control Room'!$B$14,'Process'!BU3=1),1+('Control Room'!$C$14-1)*EXP(-0.5*(($A86-'Control Room'!$A$14-('Control Room'!$B$14-1)/2)/MAX(0.5,'Control Room'!$B$14/4))^2),1)*IF(AND($A86&gt;='Control Room'!$A$15,$A86&lt;'Control Room'!$A$15+'Control Room'!$B$15,'Process'!BU4=1),1+('Control Room'!$C$15-1)*EXP(-0.5*(($A86-'Control Room'!$A$15-('Control Room'!$B$15-1)/2)/MAX(0.5,'Control Room'!$B$15/4))^2),1)*IF(AND($A86&gt;='Control Room'!$A$16,$A86&lt;'Control Room'!$A$16+'Control Room'!$B$16,'Process'!BU5=1),1+('Control Room'!$C$16-1)*EXP(-0.5*(($A86-'Control Room'!$A$16-('Control Room'!$B$16-1)/2)/MAX(0.5,'Control Room'!$B$16/4))^2),1)</x:f>
        <x:v>1</x:v>
      </x:c>
      <x:c r="BE86" s="9" t="n">
        <x:f>MOD(BF85*16807,2147483647)</x:f>
        <x:v>1954970363</x:v>
      </x:c>
      <x:c r="BF86" s="9" t="n">
        <x:f>MOD(BE86*16807,2147483647)</x:f>
        <x:v>687091841</x:v>
      </x:c>
      <x:c r="BG86" s="17" t="n">
        <x:f>IF('Control Room'!$B$5="Normal",'Control Room'!$B$7+'Control Room'!$D$7*SQRT(-2*LN(MAX(0.000000000001,BE86/2147483647)))*COS(2*PI()*BF86/2147483647),'Control Room'!$B$8+('Control Room'!$D$8-'Control Room'!$B$8)*BE86/2147483647)</x:f>
        <x:v>983.4023335256694</x:v>
      </x:c>
      <x:c r="BH86" s="17" t="n">
        <x:f>IF('Control Room'!$B$5="Normal",'Control Room'!$B$7,('Control Room'!$B$8+'Control Room'!$D$8)/2)+'Control Room'!$B$9*(BH85-IF('Control Room'!$B$5="Normal",'Control Room'!$B$7,('Control Room'!$B$8+'Control Room'!$D$8)/2))+SQRT(1-'Control Room'!$B$9^2)*(BG86-IF('Control Room'!$B$5="Normal",'Control Room'!$B$7,('Control Room'!$B$8+'Control Room'!$D$8)/2))</x:f>
        <x:v>1050.0979096690025</x:v>
      </x:c>
      <x:c r="BI86" s="17" t="n">
        <x:f>IF(AND($A86&gt;='Control Room'!$A$13,$A86&lt;'Control Room'!$A$13+'Control Room'!$B$13,'Process'!BV2=1),1+('Control Room'!$C$13-1)*EXP(-0.5*(($A86-'Control Room'!$A$13-('Control Room'!$B$13-1)/2)/MAX(0.5,'Control Room'!$B$13/4))^2),1)*IF(AND($A86&gt;='Control Room'!$A$14,$A86&lt;'Control Room'!$A$14+'Control Room'!$B$14,'Process'!BV3=1),1+('Control Room'!$C$14-1)*EXP(-0.5*(($A86-'Control Room'!$A$14-('Control Room'!$B$14-1)/2)/MAX(0.5,'Control Room'!$B$14/4))^2),1)*IF(AND($A86&gt;='Control Room'!$A$15,$A86&lt;'Control Room'!$A$15+'Control Room'!$B$15,'Process'!BV4=1),1+('Control Room'!$C$15-1)*EXP(-0.5*(($A86-'Control Room'!$A$15-('Control Room'!$B$15-1)/2)/MAX(0.5,'Control Room'!$B$15/4))^2),1)*IF(AND($A86&gt;='Control Room'!$A$16,$A86&lt;'Control Room'!$A$16+'Control Room'!$B$16,'Process'!BV5=1),1+('Control Room'!$C$16-1)*EXP(-0.5*(($A86-'Control Room'!$A$16-('Control Room'!$B$16-1)/2)/MAX(0.5,'Control Room'!$B$16/4))^2),1)</x:f>
        <x:v>1</x:v>
      </x:c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Z86" t="str">
        <x:f>IF('Data'!A86="","",TEXT('Data'!A86,"mm-dd"))</x:f>
        <x:v>01-25</x:v>
      </x:c>
    </x:row>
    <x:row r="87" ht="21" customHeight="1">
      <x:c r="A87" s="15" t="n">
        <x:f>'Control Room'!$B$1+85</x:f>
        <x:v>73076</x:v>
      </x:c>
      <x:c r="B87" s="9" t="n">
        <x:f>MOD(C86*16807,2147483647)</x:f>
        <x:v>1618408878</x:v>
      </x:c>
      <x:c r="C87" s="9" t="n">
        <x:f>MOD(B87*16807,2147483647)</x:f>
        <x:v>570139644</x:v>
      </x:c>
      <x:c r="D87" s="17" t="n">
        <x:f>IF('Control Room'!$B$5="Normal",'Control Room'!$B$7+'Control Room'!$D$7*SQRT(-2*LN(MAX(0.000000000001,B87/2147483647)))*COS(2*PI()*C87/2147483647),'Control Room'!$B$8+('Control Room'!$D$8-'Control Room'!$B$8)*B87/2147483647)</x:f>
        <x:v>993.4213265053659</x:v>
      </x:c>
      <x:c r="E87" s="17" t="n">
        <x:f>IF('Control Room'!$B$5="Normal",'Control Room'!$B$7,('Control Room'!$B$8+'Control Room'!$D$8)/2)+'Control Room'!$B$9*(E86-IF('Control Room'!$B$5="Normal",'Control Room'!$B$7,('Control Room'!$B$8+'Control Room'!$D$8)/2))+SQRT(1-'Control Room'!$B$9^2)*(D87-IF('Control Room'!$B$5="Normal",'Control Room'!$B$7,('Control Room'!$B$8+'Control Room'!$D$8)/2))</x:f>
        <x:v>1069.712786563588</x:v>
      </x:c>
      <x:c r="F87" s="17" t="n">
        <x:f>IF(AND($A87&gt;='Control Room'!$A$13,$A87&lt;'Control Room'!$A$13+'Control Room'!$B$13,'Process'!BK2=1),1+('Control Room'!$C$13-1)*EXP(-0.5*(($A87-'Control Room'!$A$13-('Control Room'!$B$13-1)/2)/MAX(0.5,'Control Room'!$B$13/4))^2),1)*IF(AND($A87&gt;='Control Room'!$A$14,$A87&lt;'Control Room'!$A$14+'Control Room'!$B$14,'Process'!BK3=1),1+('Control Room'!$C$14-1)*EXP(-0.5*(($A87-'Control Room'!$A$14-('Control Room'!$B$14-1)/2)/MAX(0.5,'Control Room'!$B$14/4))^2),1)*IF(AND($A87&gt;='Control Room'!$A$15,$A87&lt;'Control Room'!$A$15+'Control Room'!$B$15,'Process'!BK4=1),1+('Control Room'!$C$15-1)*EXP(-0.5*(($A87-'Control Room'!$A$15-('Control Room'!$B$15-1)/2)/MAX(0.5,'Control Room'!$B$15/4))^2),1)*IF(AND($A87&gt;='Control Room'!$A$16,$A87&lt;'Control Room'!$A$16+'Control Room'!$B$16,'Process'!BK5=1),1+('Control Room'!$C$16-1)*EXP(-0.5*(($A87-'Control Room'!$A$16-('Control Room'!$B$16-1)/2)/MAX(0.5,'Control Room'!$B$16/4))^2),1)</x:f>
        <x:v>1</x:v>
      </x:c>
      <x:c r="G87" s="9" t="n">
        <x:f>MOD(H86*16807,2147483647)</x:f>
        <x:v>2141776499</x:v>
      </x:c>
      <x:c r="H87" s="9" t="n">
        <x:f>MOD(G87*16807,2147483647)</x:f>
        <x:v>716727679</x:v>
      </x:c>
      <x:c r="I87" s="17" t="n">
        <x:f>IF('Control Room'!$B$5="Normal",'Control Room'!$B$7+'Control Room'!$D$7*SQRT(-2*LN(MAX(0.000000000001,G87/2147483647)))*COS(2*PI()*H87/2147483647),'Control Room'!$B$8+('Control Room'!$D$8-'Control Room'!$B$8)*G87/2147483647)</x:f>
        <x:v>996.702116213145</x:v>
      </x:c>
      <x:c r="J87" s="17" t="n">
        <x:f>IF('Control Room'!$B$5="Normal",'Control Room'!$B$7,('Control Room'!$B$8+'Control Room'!$D$8)/2)+'Control Room'!$B$9*(J86-IF('Control Room'!$B$5="Normal",'Control Room'!$B$7,('Control Room'!$B$8+'Control Room'!$D$8)/2))+SQRT(1-'Control Room'!$B$9^2)*(I87-IF('Control Room'!$B$5="Normal",'Control Room'!$B$7,('Control Room'!$B$8+'Control Room'!$D$8)/2))</x:f>
        <x:v>897.1766569191012</x:v>
      </x:c>
      <x:c r="K87" s="17" t="n">
        <x:f>IF(AND($A87&gt;='Control Room'!$A$13,$A87&lt;'Control Room'!$A$13+'Control Room'!$B$13,'Process'!BL2=1),1+('Control Room'!$C$13-1)*EXP(-0.5*(($A87-'Control Room'!$A$13-('Control Room'!$B$13-1)/2)/MAX(0.5,'Control Room'!$B$13/4))^2),1)*IF(AND($A87&gt;='Control Room'!$A$14,$A87&lt;'Control Room'!$A$14+'Control Room'!$B$14,'Process'!BL3=1),1+('Control Room'!$C$14-1)*EXP(-0.5*(($A87-'Control Room'!$A$14-('Control Room'!$B$14-1)/2)/MAX(0.5,'Control Room'!$B$14/4))^2),1)*IF(AND($A87&gt;='Control Room'!$A$15,$A87&lt;'Control Room'!$A$15+'Control Room'!$B$15,'Process'!BL4=1),1+('Control Room'!$C$15-1)*EXP(-0.5*(($A87-'Control Room'!$A$15-('Control Room'!$B$15-1)/2)/MAX(0.5,'Control Room'!$B$15/4))^2),1)*IF(AND($A87&gt;='Control Room'!$A$16,$A87&lt;'Control Room'!$A$16+'Control Room'!$B$16,'Process'!BL5=1),1+('Control Room'!$C$16-1)*EXP(-0.5*(($A87-'Control Room'!$A$16-('Control Room'!$B$16-1)/2)/MAX(0.5,'Control Room'!$B$16/4))^2),1)</x:f>
        <x:v>1</x:v>
      </x:c>
      <x:c r="L87" s="9" t="n">
        <x:f>MOD(M86*16807,2147483647)</x:f>
        <x:v>517660473</x:v>
      </x:c>
      <x:c r="M87" s="9" t="n">
        <x:f>MOD(L87*16807,2147483647)</x:f>
        <x:v>863315714</x:v>
      </x:c>
      <x:c r="N87" s="17" t="n">
        <x:f>IF('Control Room'!$B$5="Normal",'Control Room'!$B$7+'Control Room'!$D$7*SQRT(-2*LN(MAX(0.000000000001,L87/2147483647)))*COS(2*PI()*M87/2147483647),'Control Room'!$B$8+('Control Room'!$D$8-'Control Room'!$B$8)*L87/2147483647)</x:f>
        <x:v>876.0591878684622</x:v>
      </x:c>
      <x:c r="O87" s="17" t="n">
        <x:f>IF('Control Room'!$B$5="Normal",'Control Room'!$B$7,('Control Room'!$B$8+'Control Room'!$D$8)/2)+'Control Room'!$B$9*(O86-IF('Control Room'!$B$5="Normal",'Control Room'!$B$7,('Control Room'!$B$8+'Control Room'!$D$8)/2))+SQRT(1-'Control Room'!$B$9^2)*(N87-IF('Control Room'!$B$5="Normal",'Control Room'!$B$7,('Control Room'!$B$8+'Control Room'!$D$8)/2))</x:f>
        <x:v>960.0732300668425</x:v>
      </x:c>
      <x:c r="P87" s="17" t="n">
        <x:f>IF(AND($A87&gt;='Control Room'!$A$13,$A87&lt;'Control Room'!$A$13+'Control Room'!$B$13,'Process'!BM2=1),1+('Control Room'!$C$13-1)*EXP(-0.5*(($A87-'Control Room'!$A$13-('Control Room'!$B$13-1)/2)/MAX(0.5,'Control Room'!$B$13/4))^2),1)*IF(AND($A87&gt;='Control Room'!$A$14,$A87&lt;'Control Room'!$A$14+'Control Room'!$B$14,'Process'!BM3=1),1+('Control Room'!$C$14-1)*EXP(-0.5*(($A87-'Control Room'!$A$14-('Control Room'!$B$14-1)/2)/MAX(0.5,'Control Room'!$B$14/4))^2),1)*IF(AND($A87&gt;='Control Room'!$A$15,$A87&lt;'Control Room'!$A$15+'Control Room'!$B$15,'Process'!BM4=1),1+('Control Room'!$C$15-1)*EXP(-0.5*(($A87-'Control Room'!$A$15-('Control Room'!$B$15-1)/2)/MAX(0.5,'Control Room'!$B$15/4))^2),1)*IF(AND($A87&gt;='Control Room'!$A$16,$A87&lt;'Control Room'!$A$16+'Control Room'!$B$16,'Process'!BM5=1),1+('Control Room'!$C$16-1)*EXP(-0.5*(($A87-'Control Room'!$A$16-('Control Room'!$B$16-1)/2)/MAX(0.5,'Control Room'!$B$16/4))^2),1)</x:f>
        <x:v>1</x:v>
      </x:c>
      <x:c r="Q87" s="9" t="n">
        <x:f>MOD(R86*16807,2147483647)</x:f>
        <x:v>1041028094</x:v>
      </x:c>
      <x:c r="R87" s="9" t="n">
        <x:f>MOD(Q87*16807,2147483647)</x:f>
        <x:v>1009903749</x:v>
      </x:c>
      <x:c r="S87" s="17" t="n">
        <x:f>IF('Control Room'!$B$5="Normal",'Control Room'!$B$7+'Control Room'!$D$7*SQRT(-2*LN(MAX(0.000000000001,Q87/2147483647)))*COS(2*PI()*R87/2147483647),'Control Room'!$B$8+('Control Room'!$D$8-'Control Room'!$B$8)*Q87/2147483647)</x:f>
        <x:v>893.5775701466799</x:v>
      </x:c>
      <x:c r="T87" s="17" t="n">
        <x:f>IF('Control Room'!$B$5="Normal",'Control Room'!$B$7,('Control Room'!$B$8+'Control Room'!$D$8)/2)+'Control Room'!$B$9*(T86-IF('Control Room'!$B$5="Normal",'Control Room'!$B$7,('Control Room'!$B$8+'Control Room'!$D$8)/2))+SQRT(1-'Control Room'!$B$9^2)*(S87-IF('Control Room'!$B$5="Normal",'Control Room'!$B$7,('Control Room'!$B$8+'Control Room'!$D$8)/2))</x:f>
        <x:v>1022.1006774370828</x:v>
      </x:c>
      <x:c r="U87" s="17" t="n">
        <x:f>IF(AND($A87&gt;='Control Room'!$A$13,$A87&lt;'Control Room'!$A$13+'Control Room'!$B$13,'Process'!BN2=1),1+('Control Room'!$C$13-1)*EXP(-0.5*(($A87-'Control Room'!$A$13-('Control Room'!$B$13-1)/2)/MAX(0.5,'Control Room'!$B$13/4))^2),1)*IF(AND($A87&gt;='Control Room'!$A$14,$A87&lt;'Control Room'!$A$14+'Control Room'!$B$14,'Process'!BN3=1),1+('Control Room'!$C$14-1)*EXP(-0.5*(($A87-'Control Room'!$A$14-('Control Room'!$B$14-1)/2)/MAX(0.5,'Control Room'!$B$14/4))^2),1)*IF(AND($A87&gt;='Control Room'!$A$15,$A87&lt;'Control Room'!$A$15+'Control Room'!$B$15,'Process'!BN4=1),1+('Control Room'!$C$15-1)*EXP(-0.5*(($A87-'Control Room'!$A$15-('Control Room'!$B$15-1)/2)/MAX(0.5,'Control Room'!$B$15/4))^2),1)*IF(AND($A87&gt;='Control Room'!$A$16,$A87&lt;'Control Room'!$A$16+'Control Room'!$B$16,'Process'!BN5=1),1+('Control Room'!$C$16-1)*EXP(-0.5*(($A87-'Control Room'!$A$16-('Control Room'!$B$16-1)/2)/MAX(0.5,'Control Room'!$B$16/4))^2),1)</x:f>
        <x:v>1</x:v>
      </x:c>
      <x:c r="V87" s="9" t="n">
        <x:f>MOD(W86*16807,2147483647)</x:f>
        <x:v>1564395715</x:v>
      </x:c>
      <x:c r="W87" s="9" t="n">
        <x:f>MOD(V87*16807,2147483647)</x:f>
        <x:v>1156491784</x:v>
      </x:c>
      <x:c r="X87" s="17" t="n">
        <x:f>IF('Control Room'!$B$5="Normal",'Control Room'!$B$7+'Control Room'!$D$7*SQRT(-2*LN(MAX(0.000000000001,V87/2147483647)))*COS(2*PI()*W87/2147483647),'Control Room'!$B$8+('Control Room'!$D$8-'Control Room'!$B$8)*V87/2147483647)</x:f>
        <x:v>930.4506747549954</x:v>
      </x:c>
      <x:c r="Y87" s="17" t="n">
        <x:f>IF('Control Room'!$B$5="Normal",'Control Room'!$B$7,('Control Room'!$B$8+'Control Room'!$D$8)/2)+'Control Room'!$B$9*(Y86-IF('Control Room'!$B$5="Normal",'Control Room'!$B$7,('Control Room'!$B$8+'Control Room'!$D$8)/2))+SQRT(1-'Control Room'!$B$9^2)*(X87-IF('Control Room'!$B$5="Normal",'Control Room'!$B$7,('Control Room'!$B$8+'Control Room'!$D$8)/2))</x:f>
        <x:v>880.8397306627248</x:v>
      </x:c>
      <x:c r="Z87" s="17" t="n">
        <x:f>IF(AND($A87&gt;='Control Room'!$A$13,$A87&lt;'Control Room'!$A$13+'Control Room'!$B$13,'Process'!BO2=1),1+('Control Room'!$C$13-1)*EXP(-0.5*(($A87-'Control Room'!$A$13-('Control Room'!$B$13-1)/2)/MAX(0.5,'Control Room'!$B$13/4))^2),1)*IF(AND($A87&gt;='Control Room'!$A$14,$A87&lt;'Control Room'!$A$14+'Control Room'!$B$14,'Process'!BO3=1),1+('Control Room'!$C$14-1)*EXP(-0.5*(($A87-'Control Room'!$A$14-('Control Room'!$B$14-1)/2)/MAX(0.5,'Control Room'!$B$14/4))^2),1)*IF(AND($A87&gt;='Control Room'!$A$15,$A87&lt;'Control Room'!$A$15+'Control Room'!$B$15,'Process'!BO4=1),1+('Control Room'!$C$15-1)*EXP(-0.5*(($A87-'Control Room'!$A$15-('Control Room'!$B$15-1)/2)/MAX(0.5,'Control Room'!$B$15/4))^2),1)*IF(AND($A87&gt;='Control Room'!$A$16,$A87&lt;'Control Room'!$A$16+'Control Room'!$B$16,'Process'!BO5=1),1+('Control Room'!$C$16-1)*EXP(-0.5*(($A87-'Control Room'!$A$16-('Control Room'!$B$16-1)/2)/MAX(0.5,'Control Room'!$B$16/4))^2),1)</x:f>
        <x:v>1</x:v>
      </x:c>
      <x:c r="AA87" s="9" t="n">
        <x:f>MOD(AB86*16807,2147483647)</x:f>
        <x:v>2087763336</x:v>
      </x:c>
      <x:c r="AB87" s="9" t="n">
        <x:f>MOD(AA87*16807,2147483647)</x:f>
        <x:v>1303079819</x:v>
      </x:c>
      <x:c r="AC87" s="17" t="n">
        <x:f>IF('Control Room'!$B$5="Normal",'Control Room'!$B$7+'Control Room'!$D$7*SQRT(-2*LN(MAX(0.000000000001,AA87/2147483647)))*COS(2*PI()*AB87/2147483647),'Control Room'!$B$8+('Control Room'!$D$8-'Control Room'!$B$8)*AA87/2147483647)</x:f>
        <x:v>983.2590717729282</x:v>
      </x:c>
      <x:c r="AD87" s="17" t="n">
        <x:f>IF('Control Room'!$B$5="Normal",'Control Room'!$B$7,('Control Room'!$B$8+'Control Room'!$D$8)/2)+'Control Room'!$B$9*(AD86-IF('Control Room'!$B$5="Normal",'Control Room'!$B$7,('Control Room'!$B$8+'Control Room'!$D$8)/2))+SQRT(1-'Control Room'!$B$9^2)*(AC87-IF('Control Room'!$B$5="Normal",'Control Room'!$B$7,('Control Room'!$B$8+'Control Room'!$D$8)/2))</x:f>
        <x:v>1003.5088154780863</x:v>
      </x:c>
      <x:c r="AE87" s="17" t="n">
        <x:f>IF(AND($A87&gt;='Control Room'!$A$13,$A87&lt;'Control Room'!$A$13+'Control Room'!$B$13,'Process'!BP2=1),1+('Control Room'!$C$13-1)*EXP(-0.5*(($A87-'Control Room'!$A$13-('Control Room'!$B$13-1)/2)/MAX(0.5,'Control Room'!$B$13/4))^2),1)*IF(AND($A87&gt;='Control Room'!$A$14,$A87&lt;'Control Room'!$A$14+'Control Room'!$B$14,'Process'!BP3=1),1+('Control Room'!$C$14-1)*EXP(-0.5*(($A87-'Control Room'!$A$14-('Control Room'!$B$14-1)/2)/MAX(0.5,'Control Room'!$B$14/4))^2),1)*IF(AND($A87&gt;='Control Room'!$A$15,$A87&lt;'Control Room'!$A$15+'Control Room'!$B$15,'Process'!BP4=1),1+('Control Room'!$C$15-1)*EXP(-0.5*(($A87-'Control Room'!$A$15-('Control Room'!$B$15-1)/2)/MAX(0.5,'Control Room'!$B$15/4))^2),1)*IF(AND($A87&gt;='Control Room'!$A$16,$A87&lt;'Control Room'!$A$16+'Control Room'!$B$16,'Process'!BP5=1),1+('Control Room'!$C$16-1)*EXP(-0.5*(($A87-'Control Room'!$A$16-('Control Room'!$B$16-1)/2)/MAX(0.5,'Control Room'!$B$16/4))^2),1)</x:f>
        <x:v>1</x:v>
      </x:c>
      <x:c r="AF87" s="9" t="n">
        <x:f>MOD(AG86*16807,2147483647)</x:f>
        <x:v>463647310</x:v>
      </x:c>
      <x:c r="AG87" s="9" t="n">
        <x:f>MOD(AF87*16807,2147483647)</x:f>
        <x:v>1449667854</x:v>
      </x:c>
      <x:c r="AH87" s="17" t="n">
        <x:f>IF('Control Room'!$B$5="Normal",'Control Room'!$B$7+'Control Room'!$D$7*SQRT(-2*LN(MAX(0.000000000001,AF87/2147483647)))*COS(2*PI()*AG87/2147483647),'Control Room'!$B$8+('Control Room'!$D$8-'Control Room'!$B$8)*AF87/2147483647)</x:f>
        <x:v>928.5051518204153</x:v>
      </x:c>
      <x:c r="AI87" s="17" t="n">
        <x:f>IF('Control Room'!$B$5="Normal",'Control Room'!$B$7,('Control Room'!$B$8+'Control Room'!$D$8)/2)+'Control Room'!$B$9*(AI86-IF('Control Room'!$B$5="Normal",'Control Room'!$B$7,('Control Room'!$B$8+'Control Room'!$D$8)/2))+SQRT(1-'Control Room'!$B$9^2)*(AH87-IF('Control Room'!$B$5="Normal",'Control Room'!$B$7,('Control Room'!$B$8+'Control Room'!$D$8)/2))</x:f>
        <x:v>1031.8788854544277</x:v>
      </x:c>
      <x:c r="AJ87" s="17" t="n">
        <x:f>IF(AND($A87&gt;='Control Room'!$A$13,$A87&lt;'Control Room'!$A$13+'Control Room'!$B$13,'Process'!BQ2=1),1+('Control Room'!$C$13-1)*EXP(-0.5*(($A87-'Control Room'!$A$13-('Control Room'!$B$13-1)/2)/MAX(0.5,'Control Room'!$B$13/4))^2),1)*IF(AND($A87&gt;='Control Room'!$A$14,$A87&lt;'Control Room'!$A$14+'Control Room'!$B$14,'Process'!BQ3=1),1+('Control Room'!$C$14-1)*EXP(-0.5*(($A87-'Control Room'!$A$14-('Control Room'!$B$14-1)/2)/MAX(0.5,'Control Room'!$B$14/4))^2),1)*IF(AND($A87&gt;='Control Room'!$A$15,$A87&lt;'Control Room'!$A$15+'Control Room'!$B$15,'Process'!BQ4=1),1+('Control Room'!$C$15-1)*EXP(-0.5*(($A87-'Control Room'!$A$15-('Control Room'!$B$15-1)/2)/MAX(0.5,'Control Room'!$B$15/4))^2),1)*IF(AND($A87&gt;='Control Room'!$A$16,$A87&lt;'Control Room'!$A$16+'Control Room'!$B$16,'Process'!BQ5=1),1+('Control Room'!$C$16-1)*EXP(-0.5*(($A87-'Control Room'!$A$16-('Control Room'!$B$16-1)/2)/MAX(0.5,'Control Room'!$B$16/4))^2),1)</x:f>
        <x:v>1</x:v>
      </x:c>
      <x:c r="AK87" s="9" t="n">
        <x:f>MOD(AL86*16807,2147483647)</x:f>
        <x:v>987014931</x:v>
      </x:c>
      <x:c r="AL87" s="9" t="n">
        <x:f>MOD(AK87*16807,2147483647)</x:f>
        <x:v>1596255889</x:v>
      </x:c>
      <x:c r="AM87" s="17" t="n">
        <x:f>IF('Control Room'!$B$5="Normal",'Control Room'!$B$7+'Control Room'!$D$7*SQRT(-2*LN(MAX(0.000000000001,AK87/2147483647)))*COS(2*PI()*AL87/2147483647),'Control Room'!$B$8+('Control Room'!$D$8-'Control Room'!$B$8)*AK87/2147483647)</x:f>
        <x:v>995.2874947293869</x:v>
      </x:c>
      <x:c r="AN87" s="17" t="n">
        <x:f>IF('Control Room'!$B$5="Normal",'Control Room'!$B$7,('Control Room'!$B$8+'Control Room'!$D$8)/2)+'Control Room'!$B$9*(AN86-IF('Control Room'!$B$5="Normal",'Control Room'!$B$7,('Control Room'!$B$8+'Control Room'!$D$8)/2))+SQRT(1-'Control Room'!$B$9^2)*(AM87-IF('Control Room'!$B$5="Normal",'Control Room'!$B$7,('Control Room'!$B$8+'Control Room'!$D$8)/2))</x:f>
        <x:v>978.903327986156</x:v>
      </x:c>
      <x:c r="AO87" s="17" t="n">
        <x:f>IF(AND($A87&gt;='Control Room'!$A$13,$A87&lt;'Control Room'!$A$13+'Control Room'!$B$13,'Process'!BR2=1),1+('Control Room'!$C$13-1)*EXP(-0.5*(($A87-'Control Room'!$A$13-('Control Room'!$B$13-1)/2)/MAX(0.5,'Control Room'!$B$13/4))^2),1)*IF(AND($A87&gt;='Control Room'!$A$14,$A87&lt;'Control Room'!$A$14+'Control Room'!$B$14,'Process'!BR3=1),1+('Control Room'!$C$14-1)*EXP(-0.5*(($A87-'Control Room'!$A$14-('Control Room'!$B$14-1)/2)/MAX(0.5,'Control Room'!$B$14/4))^2),1)*IF(AND($A87&gt;='Control Room'!$A$15,$A87&lt;'Control Room'!$A$15+'Control Room'!$B$15,'Process'!BR4=1),1+('Control Room'!$C$15-1)*EXP(-0.5*(($A87-'Control Room'!$A$15-('Control Room'!$B$15-1)/2)/MAX(0.5,'Control Room'!$B$15/4))^2),1)*IF(AND($A87&gt;='Control Room'!$A$16,$A87&lt;'Control Room'!$A$16+'Control Room'!$B$16,'Process'!BR5=1),1+('Control Room'!$C$16-1)*EXP(-0.5*(($A87-'Control Room'!$A$16-('Control Room'!$B$16-1)/2)/MAX(0.5,'Control Room'!$B$16/4))^2),1)</x:f>
        <x:v>1</x:v>
      </x:c>
      <x:c r="AP87" s="9" t="n">
        <x:f>MOD(AQ86*16807,2147483647)</x:f>
        <x:v>1510382552</x:v>
      </x:c>
      <x:c r="AQ87" s="9" t="n">
        <x:f>MOD(AP87*16807,2147483647)</x:f>
        <x:v>1742843924</x:v>
      </x:c>
      <x:c r="AR87" s="17" t="n">
        <x:f>IF('Control Room'!$B$5="Normal",'Control Room'!$B$7+'Control Room'!$D$7*SQRT(-2*LN(MAX(0.000000000001,AP87/2147483647)))*COS(2*PI()*AQ87/2147483647),'Control Room'!$B$8+('Control Room'!$D$8-'Control Room'!$B$8)*AP87/2147483647)</x:f>
        <x:v>1028.4893816234621</x:v>
      </x:c>
      <x:c r="AS87" s="17" t="n">
        <x:f>IF('Control Room'!$B$5="Normal",'Control Room'!$B$7,('Control Room'!$B$8+'Control Room'!$D$8)/2)+'Control Room'!$B$9*(AS86-IF('Control Room'!$B$5="Normal",'Control Room'!$B$7,('Control Room'!$B$8+'Control Room'!$D$8)/2))+SQRT(1-'Control Room'!$B$9^2)*(AR87-IF('Control Room'!$B$5="Normal",'Control Room'!$B$7,('Control Room'!$B$8+'Control Room'!$D$8)/2))</x:f>
        <x:v>1051.7314003537695</x:v>
      </x:c>
      <x:c r="AT87" s="17" t="n">
        <x:f>IF(AND($A87&gt;='Control Room'!$A$13,$A87&lt;'Control Room'!$A$13+'Control Room'!$B$13,'Process'!BS2=1),1+('Control Room'!$C$13-1)*EXP(-0.5*(($A87-'Control Room'!$A$13-('Control Room'!$B$13-1)/2)/MAX(0.5,'Control Room'!$B$13/4))^2),1)*IF(AND($A87&gt;='Control Room'!$A$14,$A87&lt;'Control Room'!$A$14+'Control Room'!$B$14,'Process'!BS3=1),1+('Control Room'!$C$14-1)*EXP(-0.5*(($A87-'Control Room'!$A$14-('Control Room'!$B$14-1)/2)/MAX(0.5,'Control Room'!$B$14/4))^2),1)*IF(AND($A87&gt;='Control Room'!$A$15,$A87&lt;'Control Room'!$A$15+'Control Room'!$B$15,'Process'!BS4=1),1+('Control Room'!$C$15-1)*EXP(-0.5*(($A87-'Control Room'!$A$15-('Control Room'!$B$15-1)/2)/MAX(0.5,'Control Room'!$B$15/4))^2),1)*IF(AND($A87&gt;='Control Room'!$A$16,$A87&lt;'Control Room'!$A$16+'Control Room'!$B$16,'Process'!BS5=1),1+('Control Room'!$C$16-1)*EXP(-0.5*(($A87-'Control Room'!$A$16-('Control Room'!$B$16-1)/2)/MAX(0.5,'Control Room'!$B$16/4))^2),1)</x:f>
        <x:v>1</x:v>
      </x:c>
      <x:c r="AU87" s="9" t="n">
        <x:f>MOD(AV86*16807,2147483647)</x:f>
        <x:v>2033750173</x:v>
      </x:c>
      <x:c r="AV87" s="9" t="n">
        <x:f>MOD(AU87*16807,2147483647)</x:f>
        <x:v>1889431959</x:v>
      </x:c>
      <x:c r="AW87" s="17" t="n">
        <x:f>IF('Control Room'!$B$5="Normal",'Control Room'!$B$7+'Control Room'!$D$7*SQRT(-2*LN(MAX(0.000000000001,AU87/2147483647)))*COS(2*PI()*AV87/2147483647),'Control Room'!$B$8+('Control Room'!$D$8-'Control Room'!$B$8)*AU87/2147483647)</x:f>
        <x:v>1021.6224256307091</x:v>
      </x:c>
      <x:c r="AX87" s="17" t="n">
        <x:f>IF('Control Room'!$B$5="Normal",'Control Room'!$B$7,('Control Room'!$B$8+'Control Room'!$D$8)/2)+'Control Room'!$B$9*(AX86-IF('Control Room'!$B$5="Normal",'Control Room'!$B$7,('Control Room'!$B$8+'Control Room'!$D$8)/2))+SQRT(1-'Control Room'!$B$9^2)*(AW87-IF('Control Room'!$B$5="Normal",'Control Room'!$B$7,('Control Room'!$B$8+'Control Room'!$D$8)/2))</x:f>
        <x:v>1065.4053518100566</x:v>
      </x:c>
      <x:c r="AY87" s="17" t="n">
        <x:f>IF(AND($A87&gt;='Control Room'!$A$13,$A87&lt;'Control Room'!$A$13+'Control Room'!$B$13,'Process'!BT2=1),1+('Control Room'!$C$13-1)*EXP(-0.5*(($A87-'Control Room'!$A$13-('Control Room'!$B$13-1)/2)/MAX(0.5,'Control Room'!$B$13/4))^2),1)*IF(AND($A87&gt;='Control Room'!$A$14,$A87&lt;'Control Room'!$A$14+'Control Room'!$B$14,'Process'!BT3=1),1+('Control Room'!$C$14-1)*EXP(-0.5*(($A87-'Control Room'!$A$14-('Control Room'!$B$14-1)/2)/MAX(0.5,'Control Room'!$B$14/4))^2),1)*IF(AND($A87&gt;='Control Room'!$A$15,$A87&lt;'Control Room'!$A$15+'Control Room'!$B$15,'Process'!BT4=1),1+('Control Room'!$C$15-1)*EXP(-0.5*(($A87-'Control Room'!$A$15-('Control Room'!$B$15-1)/2)/MAX(0.5,'Control Room'!$B$15/4))^2),1)*IF(AND($A87&gt;='Control Room'!$A$16,$A87&lt;'Control Room'!$A$16+'Control Room'!$B$16,'Process'!BT5=1),1+('Control Room'!$C$16-1)*EXP(-0.5*(($A87-'Control Room'!$A$16-('Control Room'!$B$16-1)/2)/MAX(0.5,'Control Room'!$B$16/4))^2),1)</x:f>
        <x:v>1</x:v>
      </x:c>
      <x:c r="AZ87" s="9" t="n">
        <x:f>MOD(BA86*16807,2147483647)</x:f>
        <x:v>409634147</x:v>
      </x:c>
      <x:c r="BA87" s="9" t="n">
        <x:f>MOD(AZ87*16807,2147483647)</x:f>
        <x:v>2036019994</x:v>
      </x:c>
      <x:c r="BB87" s="17" t="n">
        <x:f>IF('Control Room'!$B$5="Normal",'Control Room'!$B$7+'Control Room'!$D$7*SQRT(-2*LN(MAX(0.000000000001,AZ87/2147483647)))*COS(2*PI()*BA87/2147483647),'Control Room'!$B$8+('Control Room'!$D$8-'Control Room'!$B$8)*AZ87/2147483647)</x:f>
        <x:v>1155.1938055655885</x:v>
      </x:c>
      <x:c r="BC87" s="17" t="n">
        <x:f>IF('Control Room'!$B$5="Normal",'Control Room'!$B$7,('Control Room'!$B$8+'Control Room'!$D$8)/2)+'Control Room'!$B$9*(BC86-IF('Control Room'!$B$5="Normal",'Control Room'!$B$7,('Control Room'!$B$8+'Control Room'!$D$8)/2))+SQRT(1-'Control Room'!$B$9^2)*(BB87-IF('Control Room'!$B$5="Normal",'Control Room'!$B$7,('Control Room'!$B$8+'Control Room'!$D$8)/2))</x:f>
        <x:v>1132.2909145085302</x:v>
      </x:c>
      <x:c r="BD87" s="17" t="n">
        <x:f>IF(AND($A87&gt;='Control Room'!$A$13,$A87&lt;'Control Room'!$A$13+'Control Room'!$B$13,'Process'!BU2=1),1+('Control Room'!$C$13-1)*EXP(-0.5*(($A87-'Control Room'!$A$13-('Control Room'!$B$13-1)/2)/MAX(0.5,'Control Room'!$B$13/4))^2),1)*IF(AND($A87&gt;='Control Room'!$A$14,$A87&lt;'Control Room'!$A$14+'Control Room'!$B$14,'Process'!BU3=1),1+('Control Room'!$C$14-1)*EXP(-0.5*(($A87-'Control Room'!$A$14-('Control Room'!$B$14-1)/2)/MAX(0.5,'Control Room'!$B$14/4))^2),1)*IF(AND($A87&gt;='Control Room'!$A$15,$A87&lt;'Control Room'!$A$15+'Control Room'!$B$15,'Process'!BU4=1),1+('Control Room'!$C$15-1)*EXP(-0.5*(($A87-'Control Room'!$A$15-('Control Room'!$B$15-1)/2)/MAX(0.5,'Control Room'!$B$15/4))^2),1)*IF(AND($A87&gt;='Control Room'!$A$16,$A87&lt;'Control Room'!$A$16+'Control Room'!$B$16,'Process'!BU5=1),1+('Control Room'!$C$16-1)*EXP(-0.5*(($A87-'Control Room'!$A$16-('Control Room'!$B$16-1)/2)/MAX(0.5,'Control Room'!$B$16/4))^2),1)</x:f>
        <x:v>1</x:v>
      </x:c>
      <x:c r="BE87" s="9" t="n">
        <x:f>MOD(BF86*16807,2147483647)</x:f>
        <x:v>933001768</x:v>
      </x:c>
      <x:c r="BF87" s="9" t="n">
        <x:f>MOD(BE87*16807,2147483647)</x:f>
        <x:v>35124382</x:v>
      </x:c>
      <x:c r="BG87" s="17" t="n">
        <x:f>IF('Control Room'!$B$5="Normal",'Control Room'!$B$7+'Control Room'!$D$7*SQRT(-2*LN(MAX(0.000000000001,BE87/2147483647)))*COS(2*PI()*BF87/2147483647),'Control Room'!$B$8+('Control Room'!$D$8-'Control Room'!$B$8)*BE87/2147483647)</x:f>
        <x:v>1115.5980909308028</x:v>
      </x:c>
      <x:c r="BH87" s="17" t="n">
        <x:f>IF('Control Room'!$B$5="Normal",'Control Room'!$B$7,('Control Room'!$B$8+'Control Room'!$D$8)/2)+'Control Room'!$B$9*(BH86-IF('Control Room'!$B$5="Normal",'Control Room'!$B$7,('Control Room'!$B$8+'Control Room'!$D$8)/2))+SQRT(1-'Control Room'!$B$9^2)*(BG87-IF('Control Room'!$B$5="Normal",'Control Room'!$B$7,('Control Room'!$B$8+'Control Room'!$D$8)/2))</x:f>
        <x:v>1111.415286690705</x:v>
      </x:c>
      <x:c r="BI87" s="17" t="n">
        <x:f>IF(AND($A87&gt;='Control Room'!$A$13,$A87&lt;'Control Room'!$A$13+'Control Room'!$B$13,'Process'!BV2=1),1+('Control Room'!$C$13-1)*EXP(-0.5*(($A87-'Control Room'!$A$13-('Control Room'!$B$13-1)/2)/MAX(0.5,'Control Room'!$B$13/4))^2),1)*IF(AND($A87&gt;='Control Room'!$A$14,$A87&lt;'Control Room'!$A$14+'Control Room'!$B$14,'Process'!BV3=1),1+('Control Room'!$C$14-1)*EXP(-0.5*(($A87-'Control Room'!$A$14-('Control Room'!$B$14-1)/2)/MAX(0.5,'Control Room'!$B$14/4))^2),1)*IF(AND($A87&gt;='Control Room'!$A$15,$A87&lt;'Control Room'!$A$15+'Control Room'!$B$15,'Process'!BV4=1),1+('Control Room'!$C$15-1)*EXP(-0.5*(($A87-'Control Room'!$A$15-('Control Room'!$B$15-1)/2)/MAX(0.5,'Control Room'!$B$15/4))^2),1)*IF(AND($A87&gt;='Control Room'!$A$16,$A87&lt;'Control Room'!$A$16+'Control Room'!$B$16,'Process'!BV5=1),1+('Control Room'!$C$16-1)*EXP(-0.5*(($A87-'Control Room'!$A$16-('Control Room'!$B$16-1)/2)/MAX(0.5,'Control Room'!$B$16/4))^2),1)</x:f>
        <x:v>1</x:v>
      </x:c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Z87" t="str">
        <x:f>IF('Data'!A87="","",TEXT('Data'!A87,"mm-dd"))</x:f>
        <x:v>01-26</x:v>
      </x:c>
    </x:row>
    <x:row r="88" ht="21" customHeight="1">
      <x:c r="A88" s="15" t="n">
        <x:f>'Control Room'!$B$1+86</x:f>
        <x:v>73077</x:v>
      </x:c>
      <x:c r="B88" s="9" t="n">
        <x:f>MOD(C87*16807,2147483647)</x:f>
        <x:v>264963794</x:v>
      </x:c>
      <x:c r="C88" s="9" t="n">
        <x:f>MOD(B88*16807,2147483647)</x:f>
        <x:v>1512885527</x:v>
      </x:c>
      <x:c r="D88" s="17" t="n">
        <x:f>IF('Control Room'!$B$5="Normal",'Control Room'!$B$7+'Control Room'!$D$7*SQRT(-2*LN(MAX(0.000000000001,B88/2147483647)))*COS(2*PI()*C88/2147483647),'Control Room'!$B$8+('Control Room'!$D$8-'Control Room'!$B$8)*B88/2147483647)</x:f>
        <x:v>948.0701100397266</x:v>
      </x:c>
      <x:c r="E88" s="17" t="n">
        <x:f>IF('Control Room'!$B$5="Normal",'Control Room'!$B$7,('Control Room'!$B$8+'Control Room'!$D$8)/2)+'Control Room'!$B$9*(E87-IF('Control Room'!$B$5="Normal",'Control Room'!$B$7,('Control Room'!$B$8+'Control Room'!$D$8)/2))+SQRT(1-'Control Room'!$B$9^2)*(D88-IF('Control Room'!$B$5="Normal",'Control Room'!$B$7,('Control Room'!$B$8+'Control Room'!$D$8)/2))</x:f>
        <x:v>1021.8793122240803</x:v>
      </x:c>
      <x:c r="F88" s="17" t="n">
        <x:f>IF(AND($A88&gt;='Control Room'!$A$13,$A88&lt;'Control Room'!$A$13+'Control Room'!$B$13,'Process'!BK2=1),1+('Control Room'!$C$13-1)*EXP(-0.5*(($A88-'Control Room'!$A$13-('Control Room'!$B$13-1)/2)/MAX(0.5,'Control Room'!$B$13/4))^2),1)*IF(AND($A88&gt;='Control Room'!$A$14,$A88&lt;'Control Room'!$A$14+'Control Room'!$B$14,'Process'!BK3=1),1+('Control Room'!$C$14-1)*EXP(-0.5*(($A88-'Control Room'!$A$14-('Control Room'!$B$14-1)/2)/MAX(0.5,'Control Room'!$B$14/4))^2),1)*IF(AND($A88&gt;='Control Room'!$A$15,$A88&lt;'Control Room'!$A$15+'Control Room'!$B$15,'Process'!BK4=1),1+('Control Room'!$C$15-1)*EXP(-0.5*(($A88-'Control Room'!$A$15-('Control Room'!$B$15-1)/2)/MAX(0.5,'Control Room'!$B$15/4))^2),1)*IF(AND($A88&gt;='Control Room'!$A$16,$A88&lt;'Control Room'!$A$16+'Control Room'!$B$16,'Process'!BK5=1),1+('Control Room'!$C$16-1)*EXP(-0.5*(($A88-'Control Room'!$A$16-('Control Room'!$B$16-1)/2)/MAX(0.5,'Control Room'!$B$16/4))^2),1)</x:f>
        <x:v>1</x:v>
      </x:c>
      <x:c r="G88" s="9" t="n">
        <x:f>MOD(H87*16807,2147483647)</x:f>
        <x:v>806324930</x:v>
      </x:c>
      <x:c r="H88" s="9" t="n">
        <x:f>MOD(G88*16807,2147483647)</x:f>
        <x:v>1281285940</x:v>
      </x:c>
      <x:c r="I88" s="17" t="n">
        <x:f>IF('Control Room'!$B$5="Normal",'Control Room'!$B$7+'Control Room'!$D$7*SQRT(-2*LN(MAX(0.000000000001,G88/2147483647)))*COS(2*PI()*H88/2147483647),'Control Room'!$B$8+('Control Room'!$D$8-'Control Room'!$B$8)*G88/2147483647)</x:f>
        <x:v>896.5484837256099</x:v>
      </x:c>
      <x:c r="J88" s="17" t="n">
        <x:f>IF('Control Room'!$B$5="Normal",'Control Room'!$B$7,('Control Room'!$B$8+'Control Room'!$D$8)/2)+'Control Room'!$B$9*(J87-IF('Control Room'!$B$5="Normal",'Control Room'!$B$7,('Control Room'!$B$8+'Control Room'!$D$8)/2))+SQRT(1-'Control Room'!$B$9^2)*(I88-IF('Control Room'!$B$5="Normal",'Control Room'!$B$7,('Control Room'!$B$8+'Control Room'!$D$8)/2))</x:f>
        <x:v>855.0599528318917</x:v>
      </x:c>
      <x:c r="K88" s="17" t="n">
        <x:f>IF(AND($A88&gt;='Control Room'!$A$13,$A88&lt;'Control Room'!$A$13+'Control Room'!$B$13,'Process'!BL2=1),1+('Control Room'!$C$13-1)*EXP(-0.5*(($A88-'Control Room'!$A$13-('Control Room'!$B$13-1)/2)/MAX(0.5,'Control Room'!$B$13/4))^2),1)*IF(AND($A88&gt;='Control Room'!$A$14,$A88&lt;'Control Room'!$A$14+'Control Room'!$B$14,'Process'!BL3=1),1+('Control Room'!$C$14-1)*EXP(-0.5*(($A88-'Control Room'!$A$14-('Control Room'!$B$14-1)/2)/MAX(0.5,'Control Room'!$B$14/4))^2),1)*IF(AND($A88&gt;='Control Room'!$A$15,$A88&lt;'Control Room'!$A$15+'Control Room'!$B$15,'Process'!BL4=1),1+('Control Room'!$C$15-1)*EXP(-0.5*(($A88-'Control Room'!$A$15-('Control Room'!$B$15-1)/2)/MAX(0.5,'Control Room'!$B$15/4))^2),1)*IF(AND($A88&gt;='Control Room'!$A$16,$A88&lt;'Control Room'!$A$16+'Control Room'!$B$16,'Process'!BL5=1),1+('Control Room'!$C$16-1)*EXP(-0.5*(($A88-'Control Room'!$A$16-('Control Room'!$B$16-1)/2)/MAX(0.5,'Control Room'!$B$16/4))^2),1)</x:f>
        <x:v>1</x:v>
      </x:c>
      <x:c r="L88" s="9" t="n">
        <x:f>MOD(M87*16807,2147483647)</x:f>
        <x:v>1347686066</x:v>
      </x:c>
      <x:c r="M88" s="9" t="n">
        <x:f>MOD(L88*16807,2147483647)</x:f>
        <x:v>1049686353</x:v>
      </x:c>
      <x:c r="N88" s="17" t="n">
        <x:f>IF('Control Room'!$B$5="Normal",'Control Room'!$B$7+'Control Room'!$D$7*SQRT(-2*LN(MAX(0.000000000001,L88/2147483647)))*COS(2*PI()*M88/2147483647),'Control Room'!$B$8+('Control Room'!$D$8-'Control Room'!$B$8)*L88/2147483647)</x:f>
        <x:v>913.3375689755253</x:v>
      </x:c>
      <x:c r="O88" s="17" t="n">
        <x:f>IF('Control Room'!$B$5="Normal",'Control Room'!$B$7,('Control Room'!$B$8+'Control Room'!$D$8)/2)+'Control Room'!$B$9*(O87-IF('Control Room'!$B$5="Normal",'Control Room'!$B$7,('Control Room'!$B$8+'Control Room'!$D$8)/2))+SQRT(1-'Control Room'!$B$9^2)*(N88-IF('Control Room'!$B$5="Normal",'Control Room'!$B$7,('Control Room'!$B$8+'Control Room'!$D$8)/2))</x:f>
        <x:v>914.6255454934206</x:v>
      </x:c>
      <x:c r="P88" s="17" t="n">
        <x:f>IF(AND($A88&gt;='Control Room'!$A$13,$A88&lt;'Control Room'!$A$13+'Control Room'!$B$13,'Process'!BM2=1),1+('Control Room'!$C$13-1)*EXP(-0.5*(($A88-'Control Room'!$A$13-('Control Room'!$B$13-1)/2)/MAX(0.5,'Control Room'!$B$13/4))^2),1)*IF(AND($A88&gt;='Control Room'!$A$14,$A88&lt;'Control Room'!$A$14+'Control Room'!$B$14,'Process'!BM3=1),1+('Control Room'!$C$14-1)*EXP(-0.5*(($A88-'Control Room'!$A$14-('Control Room'!$B$14-1)/2)/MAX(0.5,'Control Room'!$B$14/4))^2),1)*IF(AND($A88&gt;='Control Room'!$A$15,$A88&lt;'Control Room'!$A$15+'Control Room'!$B$15,'Process'!BM4=1),1+('Control Room'!$C$15-1)*EXP(-0.5*(($A88-'Control Room'!$A$15-('Control Room'!$B$15-1)/2)/MAX(0.5,'Control Room'!$B$15/4))^2),1)*IF(AND($A88&gt;='Control Room'!$A$16,$A88&lt;'Control Room'!$A$16+'Control Room'!$B$16,'Process'!BM5=1),1+('Control Room'!$C$16-1)*EXP(-0.5*(($A88-'Control Room'!$A$16-('Control Room'!$B$16-1)/2)/MAX(0.5,'Control Room'!$B$16/4))^2),1)</x:f>
        <x:v>1</x:v>
      </x:c>
      <x:c r="Q88" s="9" t="n">
        <x:f>MOD(R87*16807,2147483647)</x:f>
        <x:v>1889047202</x:v>
      </x:c>
      <x:c r="R88" s="9" t="n">
        <x:f>MOD(Q88*16807,2147483647)</x:f>
        <x:v>818086766</x:v>
      </x:c>
      <x:c r="S88" s="17" t="n">
        <x:f>IF('Control Room'!$B$5="Normal",'Control Room'!$B$7+'Control Room'!$D$7*SQRT(-2*LN(MAX(0.000000000001,Q88/2147483647)))*COS(2*PI()*R88/2147483647),'Control Room'!$B$8+('Control Room'!$D$8-'Control Room'!$B$8)*Q88/2147483647)</x:f>
        <x:v>966.5901487272768</x:v>
      </x:c>
      <x:c r="T88" s="17" t="n">
        <x:f>IF('Control Room'!$B$5="Normal",'Control Room'!$B$7,('Control Room'!$B$8+'Control Room'!$D$8)/2)+'Control Room'!$B$9*(T87-IF('Control Room'!$B$5="Normal",'Control Room'!$B$7,('Control Room'!$B$8+'Control Room'!$D$8)/2))+SQRT(1-'Control Room'!$B$9^2)*(S88-IF('Control Room'!$B$5="Normal",'Control Room'!$B$7,('Control Room'!$B$8+'Control Room'!$D$8)/2))</x:f>
        <x:v>996.3313279124602</x:v>
      </x:c>
      <x:c r="U88" s="17" t="n">
        <x:f>IF(AND($A88&gt;='Control Room'!$A$13,$A88&lt;'Control Room'!$A$13+'Control Room'!$B$13,'Process'!BN2=1),1+('Control Room'!$C$13-1)*EXP(-0.5*(($A88-'Control Room'!$A$13-('Control Room'!$B$13-1)/2)/MAX(0.5,'Control Room'!$B$13/4))^2),1)*IF(AND($A88&gt;='Control Room'!$A$14,$A88&lt;'Control Room'!$A$14+'Control Room'!$B$14,'Process'!BN3=1),1+('Control Room'!$C$14-1)*EXP(-0.5*(($A88-'Control Room'!$A$14-('Control Room'!$B$14-1)/2)/MAX(0.5,'Control Room'!$B$14/4))^2),1)*IF(AND($A88&gt;='Control Room'!$A$15,$A88&lt;'Control Room'!$A$15+'Control Room'!$B$15,'Process'!BN4=1),1+('Control Room'!$C$15-1)*EXP(-0.5*(($A88-'Control Room'!$A$15-('Control Room'!$B$15-1)/2)/MAX(0.5,'Control Room'!$B$15/4))^2),1)*IF(AND($A88&gt;='Control Room'!$A$16,$A88&lt;'Control Room'!$A$16+'Control Room'!$B$16,'Process'!BN5=1),1+('Control Room'!$C$16-1)*EXP(-0.5*(($A88-'Control Room'!$A$16-('Control Room'!$B$16-1)/2)/MAX(0.5,'Control Room'!$B$16/4))^2),1)</x:f>
        <x:v>1</x:v>
      </x:c>
      <x:c r="V88" s="9" t="n">
        <x:f>MOD(W87*16807,2147483647)</x:f>
        <x:v>282924691</x:v>
      </x:c>
      <x:c r="W88" s="9" t="n">
        <x:f>MOD(V88*16807,2147483647)</x:f>
        <x:v>586487179</x:v>
      </x:c>
      <x:c r="X88" s="17" t="n">
        <x:f>IF('Control Room'!$B$5="Normal",'Control Room'!$B$7+'Control Room'!$D$7*SQRT(-2*LN(MAX(0.000000000001,V88/2147483647)))*COS(2*PI()*W88/2147483647),'Control Room'!$B$8+('Control Room'!$D$8-'Control Room'!$B$8)*V88/2147483647)</x:f>
        <x:v>973.7869099558926</x:v>
      </x:c>
      <x:c r="Y88" s="17" t="n">
        <x:f>IF('Control Room'!$B$5="Normal",'Control Room'!$B$7,('Control Room'!$B$8+'Control Room'!$D$8)/2)+'Control Room'!$B$9*(Y87-IF('Control Room'!$B$5="Normal",'Control Room'!$B$7,('Control Room'!$B$8+'Control Room'!$D$8)/2))+SQRT(1-'Control Room'!$B$9^2)*(X88-IF('Control Room'!$B$5="Normal",'Control Room'!$B$7,('Control Room'!$B$8+'Control Room'!$D$8)/2))</x:f>
        <x:v>890.6513751716614</x:v>
      </x:c>
      <x:c r="Z88" s="17" t="n">
        <x:f>IF(AND($A88&gt;='Control Room'!$A$13,$A88&lt;'Control Room'!$A$13+'Control Room'!$B$13,'Process'!BO2=1),1+('Control Room'!$C$13-1)*EXP(-0.5*(($A88-'Control Room'!$A$13-('Control Room'!$B$13-1)/2)/MAX(0.5,'Control Room'!$B$13/4))^2),1)*IF(AND($A88&gt;='Control Room'!$A$14,$A88&lt;'Control Room'!$A$14+'Control Room'!$B$14,'Process'!BO3=1),1+('Control Room'!$C$14-1)*EXP(-0.5*(($A88-'Control Room'!$A$14-('Control Room'!$B$14-1)/2)/MAX(0.5,'Control Room'!$B$14/4))^2),1)*IF(AND($A88&gt;='Control Room'!$A$15,$A88&lt;'Control Room'!$A$15+'Control Room'!$B$15,'Process'!BO4=1),1+('Control Room'!$C$15-1)*EXP(-0.5*(($A88-'Control Room'!$A$15-('Control Room'!$B$15-1)/2)/MAX(0.5,'Control Room'!$B$15/4))^2),1)*IF(AND($A88&gt;='Control Room'!$A$16,$A88&lt;'Control Room'!$A$16+'Control Room'!$B$16,'Process'!BO5=1),1+('Control Room'!$C$16-1)*EXP(-0.5*(($A88-'Control Room'!$A$16-('Control Room'!$B$16-1)/2)/MAX(0.5,'Control Room'!$B$16/4))^2),1)</x:f>
        <x:v>1</x:v>
      </x:c>
      <x:c r="AA88" s="9" t="n">
        <x:f>MOD(AB87*16807,2147483647)</x:f>
        <x:v>824285827</x:v>
      </x:c>
      <x:c r="AB88" s="9" t="n">
        <x:f>MOD(AA88*16807,2147483647)</x:f>
        <x:v>354887592</x:v>
      </x:c>
      <x:c r="AC88" s="17" t="n">
        <x:f>IF('Control Room'!$B$5="Normal",'Control Room'!$B$7+'Control Room'!$D$7*SQRT(-2*LN(MAX(0.000000000001,AA88/2147483647)))*COS(2*PI()*AB88/2147483647),'Control Room'!$B$8+('Control Room'!$D$8-'Control Room'!$B$8)*AA88/2147483647)</x:f>
        <x:v>1063.2263289616353</x:v>
      </x:c>
      <x:c r="AD88" s="17" t="n">
        <x:f>IF('Control Room'!$B$5="Normal",'Control Room'!$B$7,('Control Room'!$B$8+'Control Room'!$D$8)/2)+'Control Room'!$B$9*(AD87-IF('Control Room'!$B$5="Normal",'Control Room'!$B$7,('Control Room'!$B$8+'Control Room'!$D$8)/2))+SQRT(1-'Control Room'!$B$9^2)*(AC88-IF('Control Room'!$B$5="Normal",'Control Room'!$B$7,('Control Room'!$B$8+'Control Room'!$D$8)/2))</x:f>
        <x:v>1042.302617475346</x:v>
      </x:c>
      <x:c r="AE88" s="17" t="n">
        <x:f>IF(AND($A88&gt;='Control Room'!$A$13,$A88&lt;'Control Room'!$A$13+'Control Room'!$B$13,'Process'!BP2=1),1+('Control Room'!$C$13-1)*EXP(-0.5*(($A88-'Control Room'!$A$13-('Control Room'!$B$13-1)/2)/MAX(0.5,'Control Room'!$B$13/4))^2),1)*IF(AND($A88&gt;='Control Room'!$A$14,$A88&lt;'Control Room'!$A$14+'Control Room'!$B$14,'Process'!BP3=1),1+('Control Room'!$C$14-1)*EXP(-0.5*(($A88-'Control Room'!$A$14-('Control Room'!$B$14-1)/2)/MAX(0.5,'Control Room'!$B$14/4))^2),1)*IF(AND($A88&gt;='Control Room'!$A$15,$A88&lt;'Control Room'!$A$15+'Control Room'!$B$15,'Process'!BP4=1),1+('Control Room'!$C$15-1)*EXP(-0.5*(($A88-'Control Room'!$A$15-('Control Room'!$B$15-1)/2)/MAX(0.5,'Control Room'!$B$15/4))^2),1)*IF(AND($A88&gt;='Control Room'!$A$16,$A88&lt;'Control Room'!$A$16+'Control Room'!$B$16,'Process'!BP5=1),1+('Control Room'!$C$16-1)*EXP(-0.5*(($A88-'Control Room'!$A$16-('Control Room'!$B$16-1)/2)/MAX(0.5,'Control Room'!$B$16/4))^2),1)</x:f>
        <x:v>1</x:v>
      </x:c>
      <x:c r="AF88" s="9" t="n">
        <x:f>MOD(AG87*16807,2147483647)</x:f>
        <x:v>1365646963</x:v>
      </x:c>
      <x:c r="AG88" s="9" t="n">
        <x:f>MOD(AF88*16807,2147483647)</x:f>
        <x:v>123288005</x:v>
      </x:c>
      <x:c r="AH88" s="17" t="n">
        <x:f>IF('Control Room'!$B$5="Normal",'Control Room'!$B$7+'Control Room'!$D$7*SQRT(-2*LN(MAX(0.000000000001,AF88/2147483647)))*COS(2*PI()*AG88/2147483647),'Control Room'!$B$8+('Control Room'!$D$8-'Control Room'!$B$8)*AF88/2147483647)</x:f>
        <x:v>1080.123091513888</x:v>
      </x:c>
      <x:c r="AI88" s="17" t="n">
        <x:f>IF('Control Room'!$B$5="Normal",'Control Room'!$B$7,('Control Room'!$B$8+'Control Room'!$D$8)/2)+'Control Room'!$B$9*(AI87-IF('Control Room'!$B$5="Normal",'Control Room'!$B$7,('Control Room'!$B$8+'Control Room'!$D$8)/2))+SQRT(1-'Control Room'!$B$9^2)*(AH88-IF('Control Room'!$B$5="Normal",'Control Room'!$B$7,('Control Room'!$B$8+'Control Room'!$D$8)/2))</x:f>
        <x:v>1075.0049199130965</x:v>
      </x:c>
      <x:c r="AJ88" s="17" t="n">
        <x:f>IF(AND($A88&gt;='Control Room'!$A$13,$A88&lt;'Control Room'!$A$13+'Control Room'!$B$13,'Process'!BQ2=1),1+('Control Room'!$C$13-1)*EXP(-0.5*(($A88-'Control Room'!$A$13-('Control Room'!$B$13-1)/2)/MAX(0.5,'Control Room'!$B$13/4))^2),1)*IF(AND($A88&gt;='Control Room'!$A$14,$A88&lt;'Control Room'!$A$14+'Control Room'!$B$14,'Process'!BQ3=1),1+('Control Room'!$C$14-1)*EXP(-0.5*(($A88-'Control Room'!$A$14-('Control Room'!$B$14-1)/2)/MAX(0.5,'Control Room'!$B$14/4))^2),1)*IF(AND($A88&gt;='Control Room'!$A$15,$A88&lt;'Control Room'!$A$15+'Control Room'!$B$15,'Process'!BQ4=1),1+('Control Room'!$C$15-1)*EXP(-0.5*(($A88-'Control Room'!$A$15-('Control Room'!$B$15-1)/2)/MAX(0.5,'Control Room'!$B$15/4))^2),1)*IF(AND($A88&gt;='Control Room'!$A$16,$A88&lt;'Control Room'!$A$16+'Control Room'!$B$16,'Process'!BQ5=1),1+('Control Room'!$C$16-1)*EXP(-0.5*(($A88-'Control Room'!$A$16-('Control Room'!$B$16-1)/2)/MAX(0.5,'Control Room'!$B$16/4))^2),1)</x:f>
        <x:v>1</x:v>
      </x:c>
      <x:c r="AK88" s="9" t="n">
        <x:f>MOD(AL87*16807,2147483647)</x:f>
        <x:v>1907008099</x:v>
      </x:c>
      <x:c r="AL88" s="9" t="n">
        <x:f>MOD(AK88*16807,2147483647)</x:f>
        <x:v>2039172065</x:v>
      </x:c>
      <x:c r="AM88" s="17" t="n">
        <x:f>IF('Control Room'!$B$5="Normal",'Control Room'!$B$7+'Control Room'!$D$7*SQRT(-2*LN(MAX(0.000000000001,AK88/2147483647)))*COS(2*PI()*AL88/2147483647),'Control Room'!$B$8+('Control Room'!$D$8-'Control Room'!$B$8)*AK88/2147483647)</x:f>
        <x:v>1041.6785179978508</x:v>
      </x:c>
      <x:c r="AN88" s="17" t="n">
        <x:f>IF('Control Room'!$B$5="Normal",'Control Room'!$B$7,('Control Room'!$B$8+'Control Room'!$D$8)/2)+'Control Room'!$B$9*(AN87-IF('Control Room'!$B$5="Normal",'Control Room'!$B$7,('Control Room'!$B$8+'Control Room'!$D$8)/2))+SQRT(1-'Control Room'!$B$9^2)*(AM88-IF('Control Room'!$B$5="Normal",'Control Room'!$B$7,('Control Room'!$B$8+'Control Room'!$D$8)/2))</x:f>
        <x:v>1009.6261585614056</x:v>
      </x:c>
      <x:c r="AO88" s="17" t="n">
        <x:f>IF(AND($A88&gt;='Control Room'!$A$13,$A88&lt;'Control Room'!$A$13+'Control Room'!$B$13,'Process'!BR2=1),1+('Control Room'!$C$13-1)*EXP(-0.5*(($A88-'Control Room'!$A$13-('Control Room'!$B$13-1)/2)/MAX(0.5,'Control Room'!$B$13/4))^2),1)*IF(AND($A88&gt;='Control Room'!$A$14,$A88&lt;'Control Room'!$A$14+'Control Room'!$B$14,'Process'!BR3=1),1+('Control Room'!$C$14-1)*EXP(-0.5*(($A88-'Control Room'!$A$14-('Control Room'!$B$14-1)/2)/MAX(0.5,'Control Room'!$B$14/4))^2),1)*IF(AND($A88&gt;='Control Room'!$A$15,$A88&lt;'Control Room'!$A$15+'Control Room'!$B$15,'Process'!BR4=1),1+('Control Room'!$C$15-1)*EXP(-0.5*(($A88-'Control Room'!$A$15-('Control Room'!$B$15-1)/2)/MAX(0.5,'Control Room'!$B$15/4))^2),1)*IF(AND($A88&gt;='Control Room'!$A$16,$A88&lt;'Control Room'!$A$16+'Control Room'!$B$16,'Process'!BR5=1),1+('Control Room'!$C$16-1)*EXP(-0.5*(($A88-'Control Room'!$A$16-('Control Room'!$B$16-1)/2)/MAX(0.5,'Control Room'!$B$16/4))^2),1)</x:f>
        <x:v>1</x:v>
      </x:c>
      <x:c r="AP88" s="9" t="n">
        <x:f>MOD(AQ87*16807,2147483647)</x:f>
        <x:v>300885588</x:v>
      </x:c>
      <x:c r="AQ88" s="9" t="n">
        <x:f>MOD(AP88*16807,2147483647)</x:f>
        <x:v>1807572478</x:v>
      </x:c>
      <x:c r="AR88" s="17" t="n">
        <x:f>IF('Control Room'!$B$5="Normal",'Control Room'!$B$7+'Control Room'!$D$7*SQRT(-2*LN(MAX(0.000000000001,AP88/2147483647)))*COS(2*PI()*AQ88/2147483647),'Control Room'!$B$8+('Control Room'!$D$8-'Control Room'!$B$8)*AP88/2147483647)</x:f>
        <x:v>1097.2282710473858</x:v>
      </x:c>
      <x:c r="AS88" s="17" t="n">
        <x:f>IF('Control Room'!$B$5="Normal",'Control Room'!$B$7,('Control Room'!$B$8+'Control Room'!$D$8)/2)+'Control Room'!$B$9*(AS87-IF('Control Room'!$B$5="Normal",'Control Room'!$B$7,('Control Room'!$B$8+'Control Room'!$D$8)/2))+SQRT(1-'Control Room'!$B$9^2)*(AR88-IF('Control Room'!$B$5="Normal",'Control Room'!$B$7,('Control Room'!$B$8+'Control Room'!$D$8)/2))</x:f>
        <x:v>1101.1939524679963</x:v>
      </x:c>
      <x:c r="AT88" s="17" t="n">
        <x:f>IF(AND($A88&gt;='Control Room'!$A$13,$A88&lt;'Control Room'!$A$13+'Control Room'!$B$13,'Process'!BS2=1),1+('Control Room'!$C$13-1)*EXP(-0.5*(($A88-'Control Room'!$A$13-('Control Room'!$B$13-1)/2)/MAX(0.5,'Control Room'!$B$13/4))^2),1)*IF(AND($A88&gt;='Control Room'!$A$14,$A88&lt;'Control Room'!$A$14+'Control Room'!$B$14,'Process'!BS3=1),1+('Control Room'!$C$14-1)*EXP(-0.5*(($A88-'Control Room'!$A$14-('Control Room'!$B$14-1)/2)/MAX(0.5,'Control Room'!$B$14/4))^2),1)*IF(AND($A88&gt;='Control Room'!$A$15,$A88&lt;'Control Room'!$A$15+'Control Room'!$B$15,'Process'!BS4=1),1+('Control Room'!$C$15-1)*EXP(-0.5*(($A88-'Control Room'!$A$15-('Control Room'!$B$15-1)/2)/MAX(0.5,'Control Room'!$B$15/4))^2),1)*IF(AND($A88&gt;='Control Room'!$A$16,$A88&lt;'Control Room'!$A$16+'Control Room'!$B$16,'Process'!BS5=1),1+('Control Room'!$C$16-1)*EXP(-0.5*(($A88-'Control Room'!$A$16-('Control Room'!$B$16-1)/2)/MAX(0.5,'Control Room'!$B$16/4))^2),1)</x:f>
        <x:v>1</x:v>
      </x:c>
      <x:c r="AU88" s="9" t="n">
        <x:f>MOD(AV87*16807,2147483647)</x:f>
        <x:v>842246724</x:v>
      </x:c>
      <x:c r="AV88" s="9" t="n">
        <x:f>MOD(AU88*16807,2147483647)</x:f>
        <x:v>1575972891</x:v>
      </x:c>
      <x:c r="AW88" s="17" t="n">
        <x:f>IF('Control Room'!$B$5="Normal",'Control Room'!$B$7+'Control Room'!$D$7*SQRT(-2*LN(MAX(0.000000000001,AU88/2147483647)))*COS(2*PI()*AV88/2147483647),'Control Room'!$B$8+('Control Room'!$D$8-'Control Room'!$B$8)*AU88/2147483647)</x:f>
        <x:v>987.5412995928644</x:v>
      </x:c>
      <x:c r="AX88" s="17" t="n">
        <x:f>IF('Control Room'!$B$5="Normal",'Control Room'!$B$7,('Control Room'!$B$8+'Control Room'!$D$8)/2)+'Control Room'!$B$9*(AX87-IF('Control Room'!$B$5="Normal",'Control Room'!$B$7,('Control Room'!$B$8+'Control Room'!$D$8)/2))+SQRT(1-'Control Room'!$B$9^2)*(AW88-IF('Control Room'!$B$5="Normal",'Control Room'!$B$7,('Control Room'!$B$8+'Control Room'!$D$8)/2))</x:f>
        <x:v>1043.2197749274094</x:v>
      </x:c>
      <x:c r="AY88" s="17" t="n">
        <x:f>IF(AND($A88&gt;='Control Room'!$A$13,$A88&lt;'Control Room'!$A$13+'Control Room'!$B$13,'Process'!BT2=1),1+('Control Room'!$C$13-1)*EXP(-0.5*(($A88-'Control Room'!$A$13-('Control Room'!$B$13-1)/2)/MAX(0.5,'Control Room'!$B$13/4))^2),1)*IF(AND($A88&gt;='Control Room'!$A$14,$A88&lt;'Control Room'!$A$14+'Control Room'!$B$14,'Process'!BT3=1),1+('Control Room'!$C$14-1)*EXP(-0.5*(($A88-'Control Room'!$A$14-('Control Room'!$B$14-1)/2)/MAX(0.5,'Control Room'!$B$14/4))^2),1)*IF(AND($A88&gt;='Control Room'!$A$15,$A88&lt;'Control Room'!$A$15+'Control Room'!$B$15,'Process'!BT4=1),1+('Control Room'!$C$15-1)*EXP(-0.5*(($A88-'Control Room'!$A$15-('Control Room'!$B$15-1)/2)/MAX(0.5,'Control Room'!$B$15/4))^2),1)*IF(AND($A88&gt;='Control Room'!$A$16,$A88&lt;'Control Room'!$A$16+'Control Room'!$B$16,'Process'!BT5=1),1+('Control Room'!$C$16-1)*EXP(-0.5*(($A88-'Control Room'!$A$16-('Control Room'!$B$16-1)/2)/MAX(0.5,'Control Room'!$B$16/4))^2),1)</x:f>
        <x:v>1</x:v>
      </x:c>
      <x:c r="AZ88" s="9" t="n">
        <x:f>MOD(BA87*16807,2147483647)</x:f>
        <x:v>1383607860</x:v>
      </x:c>
      <x:c r="BA88" s="9" t="n">
        <x:f>MOD(AZ88*16807,2147483647)</x:f>
        <x:v>1344373304</x:v>
      </x:c>
      <x:c r="BB88" s="17" t="n">
        <x:f>IF('Control Room'!$B$5="Normal",'Control Room'!$B$7+'Control Room'!$D$7*SQRT(-2*LN(MAX(0.000000000001,AZ88/2147483647)))*COS(2*PI()*BA88/2147483647),'Control Room'!$B$8+('Control Room'!$D$8-'Control Room'!$B$8)*AZ88/2147483647)</x:f>
        <x:v>940.7123769298903</x:v>
      </x:c>
      <x:c r="BC88" s="17" t="n">
        <x:f>IF('Control Room'!$B$5="Normal",'Control Room'!$B$7,('Control Room'!$B$8+'Control Room'!$D$8)/2)+'Control Room'!$B$9*(BC87-IF('Control Room'!$B$5="Normal",'Control Room'!$B$7,('Control Room'!$B$8+'Control Room'!$D$8)/2))+SQRT(1-'Control Room'!$B$9^2)*(BB88-IF('Control Room'!$B$5="Normal",'Control Room'!$B$7,('Control Room'!$B$8+'Control Room'!$D$8)/2))</x:f>
        <x:v>1066.0859333723554</x:v>
      </x:c>
      <x:c r="BD88" s="17" t="n">
        <x:f>IF(AND($A88&gt;='Control Room'!$A$13,$A88&lt;'Control Room'!$A$13+'Control Room'!$B$13,'Process'!BU2=1),1+('Control Room'!$C$13-1)*EXP(-0.5*(($A88-'Control Room'!$A$13-('Control Room'!$B$13-1)/2)/MAX(0.5,'Control Room'!$B$13/4))^2),1)*IF(AND($A88&gt;='Control Room'!$A$14,$A88&lt;'Control Room'!$A$14+'Control Room'!$B$14,'Process'!BU3=1),1+('Control Room'!$C$14-1)*EXP(-0.5*(($A88-'Control Room'!$A$14-('Control Room'!$B$14-1)/2)/MAX(0.5,'Control Room'!$B$14/4))^2),1)*IF(AND($A88&gt;='Control Room'!$A$15,$A88&lt;'Control Room'!$A$15+'Control Room'!$B$15,'Process'!BU4=1),1+('Control Room'!$C$15-1)*EXP(-0.5*(($A88-'Control Room'!$A$15-('Control Room'!$B$15-1)/2)/MAX(0.5,'Control Room'!$B$15/4))^2),1)*IF(AND($A88&gt;='Control Room'!$A$16,$A88&lt;'Control Room'!$A$16+'Control Room'!$B$16,'Process'!BU5=1),1+('Control Room'!$C$16-1)*EXP(-0.5*(($A88-'Control Room'!$A$16-('Control Room'!$B$16-1)/2)/MAX(0.5,'Control Room'!$B$16/4))^2),1)</x:f>
        <x:v>1</x:v>
      </x:c>
      <x:c r="BE88" s="9" t="n">
        <x:f>MOD(BF87*16807,2147483647)</x:f>
        <x:v>1924968996</x:v>
      </x:c>
      <x:c r="BF88" s="9" t="n">
        <x:f>MOD(BE88*16807,2147483647)</x:f>
        <x:v>1112773717</x:v>
      </x:c>
      <x:c r="BG88" s="17" t="n">
        <x:f>IF('Control Room'!$B$5="Normal",'Control Room'!$B$7+'Control Room'!$D$7*SQRT(-2*LN(MAX(0.000000000001,BE88/2147483647)))*COS(2*PI()*BF88/2147483647),'Control Room'!$B$8+('Control Room'!$D$8-'Control Room'!$B$8)*BE88/2147483647)</x:f>
        <x:v>958.1782711486387</x:v>
      </x:c>
      <x:c r="BH88" s="17" t="n">
        <x:f>IF('Control Room'!$B$5="Normal",'Control Room'!$B$7,('Control Room'!$B$8+'Control Room'!$D$8)/2)+'Control Room'!$B$9*(BH87-IF('Control Room'!$B$5="Normal",'Control Room'!$B$7,('Control Room'!$B$8+'Control Room'!$D$8)/2))+SQRT(1-'Control Room'!$B$9^2)*(BG88-IF('Control Room'!$B$5="Normal",'Control Room'!$B$7,('Control Room'!$B$8+'Control Room'!$D$8)/2))</x:f>
        <x:v>1060.732742468253</x:v>
      </x:c>
      <x:c r="BI88" s="17" t="n">
        <x:f>IF(AND($A88&gt;='Control Room'!$A$13,$A88&lt;'Control Room'!$A$13+'Control Room'!$B$13,'Process'!BV2=1),1+('Control Room'!$C$13-1)*EXP(-0.5*(($A88-'Control Room'!$A$13-('Control Room'!$B$13-1)/2)/MAX(0.5,'Control Room'!$B$13/4))^2),1)*IF(AND($A88&gt;='Control Room'!$A$14,$A88&lt;'Control Room'!$A$14+'Control Room'!$B$14,'Process'!BV3=1),1+('Control Room'!$C$14-1)*EXP(-0.5*(($A88-'Control Room'!$A$14-('Control Room'!$B$14-1)/2)/MAX(0.5,'Control Room'!$B$14/4))^2),1)*IF(AND($A88&gt;='Control Room'!$A$15,$A88&lt;'Control Room'!$A$15+'Control Room'!$B$15,'Process'!BV4=1),1+('Control Room'!$C$15-1)*EXP(-0.5*(($A88-'Control Room'!$A$15-('Control Room'!$B$15-1)/2)/MAX(0.5,'Control Room'!$B$15/4))^2),1)*IF(AND($A88&gt;='Control Room'!$A$16,$A88&lt;'Control Room'!$A$16+'Control Room'!$B$16,'Process'!BV5=1),1+('Control Room'!$C$16-1)*EXP(-0.5*(($A88-'Control Room'!$A$16-('Control Room'!$B$16-1)/2)/MAX(0.5,'Control Room'!$B$16/4))^2),1)</x:f>
        <x:v>1</x:v>
      </x:c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Z88" t="str">
        <x:f>IF('Data'!A88="","",TEXT('Data'!A88,"mm-dd"))</x:f>
        <x:v>01-27</x:v>
      </x:c>
    </x:row>
    <x:row r="89" ht="21" customHeight="1">
      <x:c r="A89" s="15" t="n">
        <x:f>'Control Room'!$B$1+87</x:f>
        <x:v>73078</x:v>
      </x:c>
      <x:c r="B89" s="9" t="n">
        <x:f>MOD(C88*16807,2147483647)</x:f>
        <x:v>860671809</x:v>
      </x:c>
      <x:c r="C89" s="9" t="n">
        <x:f>MOD(B89*16807,2147483647)</x:f>
        <x:v>2008731318</x:v>
      </x:c>
      <x:c r="D89" s="17" t="n">
        <x:f>IF('Control Room'!$B$5="Normal",'Control Room'!$B$7+'Control Room'!$D$7*SQRT(-2*LN(MAX(0.000000000001,B89/2147483647)))*COS(2*PI()*C89/2147483647),'Control Room'!$B$8+('Control Room'!$D$8-'Control Room'!$B$8)*B89/2147483647)</x:f>
        <x:v>1111.8136375426748</x:v>
      </x:c>
      <x:c r="E89" s="17" t="n">
        <x:f>IF('Control Room'!$B$5="Normal",'Control Room'!$B$7,('Control Room'!$B$8+'Control Room'!$D$8)/2)+'Control Room'!$B$9*(E88-IF('Control Room'!$B$5="Normal",'Control Room'!$B$7,('Control Room'!$B$8+'Control Room'!$D$8)/2))+SQRT(1-'Control Room'!$B$9^2)*(D89-IF('Control Room'!$B$5="Normal",'Control Room'!$B$7,('Control Room'!$B$8+'Control Room'!$D$8)/2))</x:f>
        <x:v>1087.0365472821168</x:v>
      </x:c>
      <x:c r="F89" s="17" t="n">
        <x:f>IF(AND($A89&gt;='Control Room'!$A$13,$A89&lt;'Control Room'!$A$13+'Control Room'!$B$13,'Process'!BK2=1),1+('Control Room'!$C$13-1)*EXP(-0.5*(($A89-'Control Room'!$A$13-('Control Room'!$B$13-1)/2)/MAX(0.5,'Control Room'!$B$13/4))^2),1)*IF(AND($A89&gt;='Control Room'!$A$14,$A89&lt;'Control Room'!$A$14+'Control Room'!$B$14,'Process'!BK3=1),1+('Control Room'!$C$14-1)*EXP(-0.5*(($A89-'Control Room'!$A$14-('Control Room'!$B$14-1)/2)/MAX(0.5,'Control Room'!$B$14/4))^2),1)*IF(AND($A89&gt;='Control Room'!$A$15,$A89&lt;'Control Room'!$A$15+'Control Room'!$B$15,'Process'!BK4=1),1+('Control Room'!$C$15-1)*EXP(-0.5*(($A89-'Control Room'!$A$15-('Control Room'!$B$15-1)/2)/MAX(0.5,'Control Room'!$B$15/4))^2),1)*IF(AND($A89&gt;='Control Room'!$A$16,$A89&lt;'Control Room'!$A$16+'Control Room'!$B$16,'Process'!BK5=1),1+('Control Room'!$C$16-1)*EXP(-0.5*(($A89-'Control Room'!$A$16-('Control Room'!$B$16-1)/2)/MAX(0.5,'Control Room'!$B$16/4))^2),1)</x:f>
        <x:v>1</x:v>
      </x:c>
      <x:c r="G89" s="9" t="n">
        <x:f>MOD(H88*16807,2147483647)</x:f>
        <x:v>1754265111</x:v>
      </x:c>
      <x:c r="H89" s="9" t="n">
        <x:f>MOD(G89*16807,2147483647)</x:f>
        <x:v>1130730914</x:v>
      </x:c>
      <x:c r="I89" s="17" t="n">
        <x:f>IF('Control Room'!$B$5="Normal",'Control Room'!$B$7+'Control Room'!$D$7*SQRT(-2*LN(MAX(0.000000000001,G89/2147483647)))*COS(2*PI()*H89/2147483647),'Control Room'!$B$8+('Control Room'!$D$8-'Control Room'!$B$8)*G89/2147483647)</x:f>
        <x:v>943.5540420887477</x:v>
      </x:c>
      <x:c r="J89" s="17" t="n">
        <x:f>IF('Control Room'!$B$5="Normal",'Control Room'!$B$7,('Control Room'!$B$8+'Control Room'!$D$8)/2)+'Control Room'!$B$9*(J88-IF('Control Room'!$B$5="Normal",'Control Room'!$B$7,('Control Room'!$B$8+'Control Room'!$D$8)/2))+SQRT(1-'Control Room'!$B$9^2)*(I89-IF('Control Room'!$B$5="Normal",'Control Room'!$B$7,('Control Room'!$B$8+'Control Room'!$D$8)/2))</x:f>
        <x:v>851.6240391063153</x:v>
      </x:c>
      <x:c r="K89" s="17" t="n">
        <x:f>IF(AND($A89&gt;='Control Room'!$A$13,$A89&lt;'Control Room'!$A$13+'Control Room'!$B$13,'Process'!BL2=1),1+('Control Room'!$C$13-1)*EXP(-0.5*(($A89-'Control Room'!$A$13-('Control Room'!$B$13-1)/2)/MAX(0.5,'Control Room'!$B$13/4))^2),1)*IF(AND($A89&gt;='Control Room'!$A$14,$A89&lt;'Control Room'!$A$14+'Control Room'!$B$14,'Process'!BL3=1),1+('Control Room'!$C$14-1)*EXP(-0.5*(($A89-'Control Room'!$A$14-('Control Room'!$B$14-1)/2)/MAX(0.5,'Control Room'!$B$14/4))^2),1)*IF(AND($A89&gt;='Control Room'!$A$15,$A89&lt;'Control Room'!$A$15+'Control Room'!$B$15,'Process'!BL4=1),1+('Control Room'!$C$15-1)*EXP(-0.5*(($A89-'Control Room'!$A$15-('Control Room'!$B$15-1)/2)/MAX(0.5,'Control Room'!$B$15/4))^2),1)*IF(AND($A89&gt;='Control Room'!$A$16,$A89&lt;'Control Room'!$A$16+'Control Room'!$B$16,'Process'!BL5=1),1+('Control Room'!$C$16-1)*EXP(-0.5*(($A89-'Control Room'!$A$16-('Control Room'!$B$16-1)/2)/MAX(0.5,'Control Room'!$B$16/4))^2),1)</x:f>
        <x:v>1</x:v>
      </x:c>
      <x:c r="L89" s="9" t="n">
        <x:f>MOD(M88*16807,2147483647)</x:f>
        <x:v>500374766</x:v>
      </x:c>
      <x:c r="M89" s="9" t="n">
        <x:f>MOD(L89*16807,2147483647)</x:f>
        <x:v>252730510</x:v>
      </x:c>
      <x:c r="N89" s="17" t="n">
        <x:f>IF('Control Room'!$B$5="Normal",'Control Room'!$B$7+'Control Room'!$D$7*SQRT(-2*LN(MAX(0.000000000001,L89/2147483647)))*COS(2*PI()*M89/2147483647),'Control Room'!$B$8+('Control Room'!$D$8-'Control Room'!$B$8)*L89/2147483647)</x:f>
        <x:v>1113.4991302660367</x:v>
      </x:c>
      <x:c r="O89" s="17" t="n">
        <x:f>IF('Control Room'!$B$5="Normal",'Control Room'!$B$7,('Control Room'!$B$8+'Control Room'!$D$8)/2)+'Control Room'!$B$9*(O88-IF('Control Room'!$B$5="Normal",'Control Room'!$B$7,('Control Room'!$B$8+'Control Room'!$D$8)/2))+SQRT(1-'Control Room'!$B$9^2)*(N89-IF('Control Room'!$B$5="Normal",'Control Room'!$B$7,('Control Room'!$B$8+'Control Room'!$D$8)/2))</x:f>
        <x:v>1004.4333560492869</x:v>
      </x:c>
      <x:c r="P89" s="17" t="n">
        <x:f>IF(AND($A89&gt;='Control Room'!$A$13,$A89&lt;'Control Room'!$A$13+'Control Room'!$B$13,'Process'!BM2=1),1+('Control Room'!$C$13-1)*EXP(-0.5*(($A89-'Control Room'!$A$13-('Control Room'!$B$13-1)/2)/MAX(0.5,'Control Room'!$B$13/4))^2),1)*IF(AND($A89&gt;='Control Room'!$A$14,$A89&lt;'Control Room'!$A$14+'Control Room'!$B$14,'Process'!BM3=1),1+('Control Room'!$C$14-1)*EXP(-0.5*(($A89-'Control Room'!$A$14-('Control Room'!$B$14-1)/2)/MAX(0.5,'Control Room'!$B$14/4))^2),1)*IF(AND($A89&gt;='Control Room'!$A$15,$A89&lt;'Control Room'!$A$15+'Control Room'!$B$15,'Process'!BM4=1),1+('Control Room'!$C$15-1)*EXP(-0.5*(($A89-'Control Room'!$A$15-('Control Room'!$B$15-1)/2)/MAX(0.5,'Control Room'!$B$15/4))^2),1)*IF(AND($A89&gt;='Control Room'!$A$16,$A89&lt;'Control Room'!$A$16+'Control Room'!$B$16,'Process'!BM5=1),1+('Control Room'!$C$16-1)*EXP(-0.5*(($A89-'Control Room'!$A$16-('Control Room'!$B$16-1)/2)/MAX(0.5,'Control Room'!$B$16/4))^2),1)</x:f>
        <x:v>1</x:v>
      </x:c>
      <x:c r="Q89" s="9" t="n">
        <x:f>MOD(R88*16807,2147483647)</x:f>
        <x:v>1393968068</x:v>
      </x:c>
      <x:c r="R89" s="9" t="n">
        <x:f>MOD(Q89*16807,2147483647)</x:f>
        <x:v>1522213753</x:v>
      </x:c>
      <x:c r="S89" s="17" t="n">
        <x:f>IF('Control Room'!$B$5="Normal",'Control Room'!$B$7+'Control Room'!$D$7*SQRT(-2*LN(MAX(0.000000000001,Q89/2147483647)))*COS(2*PI()*R89/2147483647),'Control Room'!$B$8+('Control Room'!$D$8-'Control Room'!$B$8)*Q89/2147483647)</x:f>
        <x:v>978.5999238972549</x:v>
      </x:c>
      <x:c r="T89" s="17" t="n">
        <x:f>IF('Control Room'!$B$5="Normal",'Control Room'!$B$7,('Control Room'!$B$8+'Control Room'!$D$8)/2)+'Control Room'!$B$9*(T88-IF('Control Room'!$B$5="Normal",'Control Room'!$B$7,('Control Room'!$B$8+'Control Room'!$D$8)/2))+SQRT(1-'Control Room'!$B$9^2)*(S89-IF('Control Room'!$B$5="Normal",'Control Room'!$B$7,('Control Room'!$B$8+'Control Room'!$D$8)/2))</x:f>
        <x:v>983.7467065510094</x:v>
      </x:c>
      <x:c r="U89" s="17" t="n">
        <x:f>IF(AND($A89&gt;='Control Room'!$A$13,$A89&lt;'Control Room'!$A$13+'Control Room'!$B$13,'Process'!BN2=1),1+('Control Room'!$C$13-1)*EXP(-0.5*(($A89-'Control Room'!$A$13-('Control Room'!$B$13-1)/2)/MAX(0.5,'Control Room'!$B$13/4))^2),1)*IF(AND($A89&gt;='Control Room'!$A$14,$A89&lt;'Control Room'!$A$14+'Control Room'!$B$14,'Process'!BN3=1),1+('Control Room'!$C$14-1)*EXP(-0.5*(($A89-'Control Room'!$A$14-('Control Room'!$B$14-1)/2)/MAX(0.5,'Control Room'!$B$14/4))^2),1)*IF(AND($A89&gt;='Control Room'!$A$15,$A89&lt;'Control Room'!$A$15+'Control Room'!$B$15,'Process'!BN4=1),1+('Control Room'!$C$15-1)*EXP(-0.5*(($A89-'Control Room'!$A$15-('Control Room'!$B$15-1)/2)/MAX(0.5,'Control Room'!$B$15/4))^2),1)*IF(AND($A89&gt;='Control Room'!$A$16,$A89&lt;'Control Room'!$A$16+'Control Room'!$B$16,'Process'!BN5=1),1+('Control Room'!$C$16-1)*EXP(-0.5*(($A89-'Control Room'!$A$16-('Control Room'!$B$16-1)/2)/MAX(0.5,'Control Room'!$B$16/4))^2),1)</x:f>
        <x:v>1</x:v>
      </x:c>
      <x:c r="V89" s="9" t="n">
        <x:f>MOD(W88*16807,2147483647)</x:f>
        <x:v>140077723</x:v>
      </x:c>
      <x:c r="W89" s="9" t="n">
        <x:f>MOD(V89*16807,2147483647)</x:f>
        <x:v>644213349</x:v>
      </x:c>
      <x:c r="X89" s="17" t="n">
        <x:f>IF('Control Room'!$B$5="Normal",'Control Room'!$B$7+'Control Room'!$D$7*SQRT(-2*LN(MAX(0.000000000001,V89/2147483647)))*COS(2*PI()*W89/2147483647),'Control Room'!$B$8+('Control Room'!$D$8-'Control Room'!$B$8)*V89/2147483647)</x:f>
        <x:v>935.0340993685875</x:v>
      </x:c>
      <x:c r="Y89" s="17" t="n">
        <x:f>IF('Control Room'!$B$5="Normal",'Control Room'!$B$7,('Control Room'!$B$8+'Control Room'!$D$8)/2)+'Control Room'!$B$9*(Y88-IF('Control Room'!$B$5="Normal",'Control Room'!$B$7,('Control Room'!$B$8+'Control Room'!$D$8)/2))+SQRT(1-'Control Room'!$B$9^2)*(X89-IF('Control Room'!$B$5="Normal",'Control Room'!$B$7,('Control Room'!$B$8+'Control Room'!$D$8)/2))</x:f>
        <x:v>874.0537429175731</x:v>
      </x:c>
      <x:c r="Z89" s="17" t="n">
        <x:f>IF(AND($A89&gt;='Control Room'!$A$13,$A89&lt;'Control Room'!$A$13+'Control Room'!$B$13,'Process'!BO2=1),1+('Control Room'!$C$13-1)*EXP(-0.5*(($A89-'Control Room'!$A$13-('Control Room'!$B$13-1)/2)/MAX(0.5,'Control Room'!$B$13/4))^2),1)*IF(AND($A89&gt;='Control Room'!$A$14,$A89&lt;'Control Room'!$A$14+'Control Room'!$B$14,'Process'!BO3=1),1+('Control Room'!$C$14-1)*EXP(-0.5*(($A89-'Control Room'!$A$14-('Control Room'!$B$14-1)/2)/MAX(0.5,'Control Room'!$B$14/4))^2),1)*IF(AND($A89&gt;='Control Room'!$A$15,$A89&lt;'Control Room'!$A$15+'Control Room'!$B$15,'Process'!BO4=1),1+('Control Room'!$C$15-1)*EXP(-0.5*(($A89-'Control Room'!$A$15-('Control Room'!$B$15-1)/2)/MAX(0.5,'Control Room'!$B$15/4))^2),1)*IF(AND($A89&gt;='Control Room'!$A$16,$A89&lt;'Control Room'!$A$16+'Control Room'!$B$16,'Process'!BO5=1),1+('Control Room'!$C$16-1)*EXP(-0.5*(($A89-'Control Room'!$A$16-('Control Room'!$B$16-1)/2)/MAX(0.5,'Control Room'!$B$16/4))^2),1)</x:f>
        <x:v>1</x:v>
      </x:c>
      <x:c r="AA89" s="9" t="n">
        <x:f>MOD(AB88*16807,2147483647)</x:f>
        <x:v>1033671025</x:v>
      </x:c>
      <x:c r="AB89" s="9" t="n">
        <x:f>MOD(AA89*16807,2147483647)</x:f>
        <x:v>1913696592</x:v>
      </x:c>
      <x:c r="AC89" s="17" t="n">
        <x:f>IF('Control Room'!$B$5="Normal",'Control Room'!$B$7+'Control Room'!$D$7*SQRT(-2*LN(MAX(0.000000000001,AA89/2147483647)))*COS(2*PI()*AB89/2147483647),'Control Room'!$B$8+('Control Room'!$D$8-'Control Room'!$B$8)*AA89/2147483647)</x:f>
        <x:v>1084.3513765540886</x:v>
      </x:c>
      <x:c r="AD89" s="17" t="n">
        <x:f>IF('Control Room'!$B$5="Normal",'Control Room'!$B$7,('Control Room'!$B$8+'Control Room'!$D$8)/2)+'Control Room'!$B$9*(AD88-IF('Control Room'!$B$5="Normal",'Control Room'!$B$7,('Control Room'!$B$8+'Control Room'!$D$8)/2))+SQRT(1-'Control Room'!$B$9^2)*(AC89-IF('Control Room'!$B$5="Normal",'Control Room'!$B$7,('Control Room'!$B$8+'Control Room'!$D$8)/2))</x:f>
        <x:v>1085.7814050464428</x:v>
      </x:c>
      <x:c r="AE89" s="17" t="n">
        <x:f>IF(AND($A89&gt;='Control Room'!$A$13,$A89&lt;'Control Room'!$A$13+'Control Room'!$B$13,'Process'!BP2=1),1+('Control Room'!$C$13-1)*EXP(-0.5*(($A89-'Control Room'!$A$13-('Control Room'!$B$13-1)/2)/MAX(0.5,'Control Room'!$B$13/4))^2),1)*IF(AND($A89&gt;='Control Room'!$A$14,$A89&lt;'Control Room'!$A$14+'Control Room'!$B$14,'Process'!BP3=1),1+('Control Room'!$C$14-1)*EXP(-0.5*(($A89-'Control Room'!$A$14-('Control Room'!$B$14-1)/2)/MAX(0.5,'Control Room'!$B$14/4))^2),1)*IF(AND($A89&gt;='Control Room'!$A$15,$A89&lt;'Control Room'!$A$15+'Control Room'!$B$15,'Process'!BP4=1),1+('Control Room'!$C$15-1)*EXP(-0.5*(($A89-'Control Room'!$A$15-('Control Room'!$B$15-1)/2)/MAX(0.5,'Control Room'!$B$15/4))^2),1)*IF(AND($A89&gt;='Control Room'!$A$16,$A89&lt;'Control Room'!$A$16+'Control Room'!$B$16,'Process'!BP5=1),1+('Control Room'!$C$16-1)*EXP(-0.5*(($A89-'Control Room'!$A$16-('Control Room'!$B$16-1)/2)/MAX(0.5,'Control Room'!$B$16/4))^2),1)</x:f>
        <x:v>1</x:v>
      </x:c>
      <x:c r="AF89" s="9" t="n">
        <x:f>MOD(AG88*16807,2147483647)</x:f>
        <x:v>1927264327</x:v>
      </x:c>
      <x:c r="AG89" s="9" t="n">
        <x:f>MOD(AF89*16807,2147483647)</x:f>
        <x:v>1035696188</x:v>
      </x:c>
      <x:c r="AH89" s="17" t="n">
        <x:f>IF('Control Room'!$B$5="Normal",'Control Room'!$B$7+'Control Room'!$D$7*SQRT(-2*LN(MAX(0.000000000001,AF89/2147483647)))*COS(2*PI()*AG89/2147483647),'Control Room'!$B$8+('Control Room'!$D$8-'Control Room'!$B$8)*AF89/2147483647)</x:f>
        <x:v>958.393109831306</x:v>
      </x:c>
      <x:c r="AI89" s="17" t="n">
        <x:f>IF('Control Room'!$B$5="Normal",'Control Room'!$B$7,('Control Room'!$B$8+'Control Room'!$D$8)/2)+'Control Room'!$B$9*(AI88-IF('Control Room'!$B$5="Normal",'Control Room'!$B$7,('Control Room'!$B$8+'Control Room'!$D$8)/2))+SQRT(1-'Control Room'!$B$9^2)*(AH89-IF('Control Room'!$B$5="Normal",'Control Room'!$B$7,('Control Room'!$B$8+'Control Room'!$D$8)/2))</x:f>
        <x:v>1032.4670980281219</x:v>
      </x:c>
      <x:c r="AJ89" s="17" t="n">
        <x:f>IF(AND($A89&gt;='Control Room'!$A$13,$A89&lt;'Control Room'!$A$13+'Control Room'!$B$13,'Process'!BQ2=1),1+('Control Room'!$C$13-1)*EXP(-0.5*(($A89-'Control Room'!$A$13-('Control Room'!$B$13-1)/2)/MAX(0.5,'Control Room'!$B$13/4))^2),1)*IF(AND($A89&gt;='Control Room'!$A$14,$A89&lt;'Control Room'!$A$14+'Control Room'!$B$14,'Process'!BQ3=1),1+('Control Room'!$C$14-1)*EXP(-0.5*(($A89-'Control Room'!$A$14-('Control Room'!$B$14-1)/2)/MAX(0.5,'Control Room'!$B$14/4))^2),1)*IF(AND($A89&gt;='Control Room'!$A$15,$A89&lt;'Control Room'!$A$15+'Control Room'!$B$15,'Process'!BQ4=1),1+('Control Room'!$C$15-1)*EXP(-0.5*(($A89-'Control Room'!$A$15-('Control Room'!$B$15-1)/2)/MAX(0.5,'Control Room'!$B$15/4))^2),1)*IF(AND($A89&gt;='Control Room'!$A$16,$A89&lt;'Control Room'!$A$16+'Control Room'!$B$16,'Process'!BQ5=1),1+('Control Room'!$C$16-1)*EXP(-0.5*(($A89-'Control Room'!$A$16-('Control Room'!$B$16-1)/2)/MAX(0.5,'Control Room'!$B$16/4))^2),1)</x:f>
        <x:v>1</x:v>
      </x:c>
      <x:c r="AK89" s="9" t="n">
        <x:f>MOD(AL88*16807,2147483647)</x:f>
        <x:v>673373982</x:v>
      </x:c>
      <x:c r="AL89" s="9" t="n">
        <x:f>MOD(AK89*16807,2147483647)</x:f>
        <x:v>157695784</x:v>
      </x:c>
      <x:c r="AM89" s="17" t="n">
        <x:f>IF('Control Room'!$B$5="Normal",'Control Room'!$B$7+'Control Room'!$D$7*SQRT(-2*LN(MAX(0.000000000001,AK89/2147483647)))*COS(2*PI()*AL89/2147483647),'Control Room'!$B$8+('Control Room'!$D$8-'Control Room'!$B$8)*AK89/2147483647)</x:f>
        <x:v>1122.7363839087095</x:v>
      </x:c>
      <x:c r="AN89" s="17" t="n">
        <x:f>IF('Control Room'!$B$5="Normal",'Control Room'!$B$7,('Control Room'!$B$8+'Control Room'!$D$8)/2)+'Control Room'!$B$9*(AN88-IF('Control Room'!$B$5="Normal",'Control Room'!$B$7,('Control Room'!$B$8+'Control Room'!$D$8)/2))+SQRT(1-'Control Room'!$B$9^2)*(AM89-IF('Control Room'!$B$5="Normal",'Control Room'!$B$7,('Control Room'!$B$8+'Control Room'!$D$8)/2))</x:f>
        <x:v>1084.314318336473</x:v>
      </x:c>
      <x:c r="AO89" s="17" t="n">
        <x:f>IF(AND($A89&gt;='Control Room'!$A$13,$A89&lt;'Control Room'!$A$13+'Control Room'!$B$13,'Process'!BR2=1),1+('Control Room'!$C$13-1)*EXP(-0.5*(($A89-'Control Room'!$A$13-('Control Room'!$B$13-1)/2)/MAX(0.5,'Control Room'!$B$13/4))^2),1)*IF(AND($A89&gt;='Control Room'!$A$14,$A89&lt;'Control Room'!$A$14+'Control Room'!$B$14,'Process'!BR3=1),1+('Control Room'!$C$14-1)*EXP(-0.5*(($A89-'Control Room'!$A$14-('Control Room'!$B$14-1)/2)/MAX(0.5,'Control Room'!$B$14/4))^2),1)*IF(AND($A89&gt;='Control Room'!$A$15,$A89&lt;'Control Room'!$A$15+'Control Room'!$B$15,'Process'!BR4=1),1+('Control Room'!$C$15-1)*EXP(-0.5*(($A89-'Control Room'!$A$15-('Control Room'!$B$15-1)/2)/MAX(0.5,'Control Room'!$B$15/4))^2),1)*IF(AND($A89&gt;='Control Room'!$A$16,$A89&lt;'Control Room'!$A$16+'Control Room'!$B$16,'Process'!BR5=1),1+('Control Room'!$C$16-1)*EXP(-0.5*(($A89-'Control Room'!$A$16-('Control Room'!$B$16-1)/2)/MAX(0.5,'Control Room'!$B$16/4))^2),1)</x:f>
        <x:v>1</x:v>
      </x:c>
      <x:c r="AP89" s="9" t="n">
        <x:f>MOD(AQ88*16807,2147483647)</x:f>
        <x:v>1566967284</x:v>
      </x:c>
      <x:c r="AQ89" s="9" t="n">
        <x:f>MOD(AP89*16807,2147483647)</x:f>
        <x:v>1427179027</x:v>
      </x:c>
      <x:c r="AR89" s="17" t="n">
        <x:f>IF('Control Room'!$B$5="Normal",'Control Room'!$B$7+'Control Room'!$D$7*SQRT(-2*LN(MAX(0.000000000001,AP89/2147483647)))*COS(2*PI()*AQ89/2147483647),'Control Room'!$B$8+('Control Room'!$D$8-'Control Room'!$B$8)*AP89/2147483647)</x:f>
        <x:v>963.4661607940797</x:v>
      </x:c>
      <x:c r="AS89" s="17" t="n">
        <x:f>IF('Control Room'!$B$5="Normal",'Control Room'!$B$7,('Control Room'!$B$8+'Control Room'!$D$8)/2)+'Control Room'!$B$9*(AS88-IF('Control Room'!$B$5="Normal",'Control Room'!$B$7,('Control Room'!$B$8+'Control Room'!$D$8)/2))+SQRT(1-'Control Room'!$B$9^2)*(AR89-IF('Control Room'!$B$5="Normal",'Control Room'!$B$7,('Control Room'!$B$8+'Control Room'!$D$8)/2))</x:f>
        <x:v>1056.0691547863494</x:v>
      </x:c>
      <x:c r="AT89" s="17" t="n">
        <x:f>IF(AND($A89&gt;='Control Room'!$A$13,$A89&lt;'Control Room'!$A$13+'Control Room'!$B$13,'Process'!BS2=1),1+('Control Room'!$C$13-1)*EXP(-0.5*(($A89-'Control Room'!$A$13-('Control Room'!$B$13-1)/2)/MAX(0.5,'Control Room'!$B$13/4))^2),1)*IF(AND($A89&gt;='Control Room'!$A$14,$A89&lt;'Control Room'!$A$14+'Control Room'!$B$14,'Process'!BS3=1),1+('Control Room'!$C$14-1)*EXP(-0.5*(($A89-'Control Room'!$A$14-('Control Room'!$B$14-1)/2)/MAX(0.5,'Control Room'!$B$14/4))^2),1)*IF(AND($A89&gt;='Control Room'!$A$15,$A89&lt;'Control Room'!$A$15+'Control Room'!$B$15,'Process'!BS4=1),1+('Control Room'!$C$15-1)*EXP(-0.5*(($A89-'Control Room'!$A$15-('Control Room'!$B$15-1)/2)/MAX(0.5,'Control Room'!$B$15/4))^2),1)*IF(AND($A89&gt;='Control Room'!$A$16,$A89&lt;'Control Room'!$A$16+'Control Room'!$B$16,'Process'!BS5=1),1+('Control Room'!$C$16-1)*EXP(-0.5*(($A89-'Control Room'!$A$16-('Control Room'!$B$16-1)/2)/MAX(0.5,'Control Room'!$B$16/4))^2),1)</x:f>
        <x:v>1</x:v>
      </x:c>
      <x:c r="AU89" s="9" t="n">
        <x:f>MOD(AV88*16807,2147483647)</x:f>
        <x:v>313076939</x:v>
      </x:c>
      <x:c r="AV89" s="9" t="n">
        <x:f>MOD(AU89*16807,2147483647)</x:f>
        <x:v>549178623</x:v>
      </x:c>
      <x:c r="AW89" s="17" t="n">
        <x:f>IF('Control Room'!$B$5="Normal",'Control Room'!$B$7+'Control Room'!$D$7*SQRT(-2*LN(MAX(0.000000000001,AU89/2147483647)))*COS(2*PI()*AV89/2147483647),'Control Room'!$B$8+('Control Room'!$D$8-'Control Room'!$B$8)*AU89/2147483647)</x:f>
        <x:v>993.6412122645722</x:v>
      </x:c>
      <x:c r="AX89" s="17" t="n">
        <x:f>IF('Control Room'!$B$5="Normal",'Control Room'!$B$7,('Control Room'!$B$8+'Control Room'!$D$8)/2)+'Control Room'!$B$9*(AX88-IF('Control Room'!$B$5="Normal",'Control Room'!$B$7,('Control Room'!$B$8+'Control Room'!$D$8)/2))+SQRT(1-'Control Room'!$B$9^2)*(AW89-IF('Control Room'!$B$5="Normal",'Control Room'!$B$7,('Control Room'!$B$8+'Control Room'!$D$8)/2))</x:f>
        <x:v>1029.732225345396</x:v>
      </x:c>
      <x:c r="AY89" s="17" t="n">
        <x:f>IF(AND($A89&gt;='Control Room'!$A$13,$A89&lt;'Control Room'!$A$13+'Control Room'!$B$13,'Process'!BT2=1),1+('Control Room'!$C$13-1)*EXP(-0.5*(($A89-'Control Room'!$A$13-('Control Room'!$B$13-1)/2)/MAX(0.5,'Control Room'!$B$13/4))^2),1)*IF(AND($A89&gt;='Control Room'!$A$14,$A89&lt;'Control Room'!$A$14+'Control Room'!$B$14,'Process'!BT3=1),1+('Control Room'!$C$14-1)*EXP(-0.5*(($A89-'Control Room'!$A$14-('Control Room'!$B$14-1)/2)/MAX(0.5,'Control Room'!$B$14/4))^2),1)*IF(AND($A89&gt;='Control Room'!$A$15,$A89&lt;'Control Room'!$A$15+'Control Room'!$B$15,'Process'!BT4=1),1+('Control Room'!$C$15-1)*EXP(-0.5*(($A89-'Control Room'!$A$15-('Control Room'!$B$15-1)/2)/MAX(0.5,'Control Room'!$B$15/4))^2),1)*IF(AND($A89&gt;='Control Room'!$A$16,$A89&lt;'Control Room'!$A$16+'Control Room'!$B$16,'Process'!BT5=1),1+('Control Room'!$C$16-1)*EXP(-0.5*(($A89-'Control Room'!$A$16-('Control Room'!$B$16-1)/2)/MAX(0.5,'Control Room'!$B$16/4))^2),1)</x:f>
        <x:v>1</x:v>
      </x:c>
      <x:c r="AZ89" s="9" t="n">
        <x:f>MOD(BA88*16807,2147483647)</x:f>
        <x:v>1206670241</x:v>
      </x:c>
      <x:c r="BA89" s="9" t="n">
        <x:f>MOD(AZ89*16807,2147483647)</x:f>
        <x:v>1818661866</x:v>
      </x:c>
      <x:c r="BB89" s="17" t="n">
        <x:f>IF('Control Room'!$B$5="Normal",'Control Room'!$B$7+'Control Room'!$D$7*SQRT(-2*LN(MAX(0.000000000001,AZ89/2147483647)))*COS(2*PI()*BA89/2147483647),'Control Room'!$B$8+('Control Room'!$D$8-'Control Room'!$B$8)*AZ89/2147483647)</x:f>
        <x:v>1055.2570659848163</x:v>
      </x:c>
      <x:c r="BC89" s="17" t="n">
        <x:f>IF('Control Room'!$B$5="Normal",'Control Room'!$B$7,('Control Room'!$B$8+'Control Room'!$D$8)/2)+'Control Room'!$B$9*(BC88-IF('Control Room'!$B$5="Normal",'Control Room'!$B$7,('Control Room'!$B$8+'Control Room'!$D$8)/2))+SQRT(1-'Control Room'!$B$9^2)*(BB89-IF('Control Room'!$B$5="Normal",'Control Room'!$B$7,('Control Room'!$B$8+'Control Room'!$D$8)/2))</x:f>
        <x:v>1086.1257679212085</x:v>
      </x:c>
      <x:c r="BD89" s="17" t="n">
        <x:f>IF(AND($A89&gt;='Control Room'!$A$13,$A89&lt;'Control Room'!$A$13+'Control Room'!$B$13,'Process'!BU2=1),1+('Control Room'!$C$13-1)*EXP(-0.5*(($A89-'Control Room'!$A$13-('Control Room'!$B$13-1)/2)/MAX(0.5,'Control Room'!$B$13/4))^2),1)*IF(AND($A89&gt;='Control Room'!$A$14,$A89&lt;'Control Room'!$A$14+'Control Room'!$B$14,'Process'!BU3=1),1+('Control Room'!$C$14-1)*EXP(-0.5*(($A89-'Control Room'!$A$14-('Control Room'!$B$14-1)/2)/MAX(0.5,'Control Room'!$B$14/4))^2),1)*IF(AND($A89&gt;='Control Room'!$A$15,$A89&lt;'Control Room'!$A$15+'Control Room'!$B$15,'Process'!BU4=1),1+('Control Room'!$C$15-1)*EXP(-0.5*(($A89-'Control Room'!$A$15-('Control Room'!$B$15-1)/2)/MAX(0.5,'Control Room'!$B$15/4))^2),1)*IF(AND($A89&gt;='Control Room'!$A$16,$A89&lt;'Control Room'!$A$16+'Control Room'!$B$16,'Process'!BU5=1),1+('Control Room'!$C$16-1)*EXP(-0.5*(($A89-'Control Room'!$A$16-('Control Room'!$B$16-1)/2)/MAX(0.5,'Control Room'!$B$16/4))^2),1)</x:f>
        <x:v>1</x:v>
      </x:c>
      <x:c r="BE89" s="9" t="n">
        <x:f>MOD(BF88*16807,2147483647)</x:f>
        <x:v>2100263543</x:v>
      </x:c>
      <x:c r="BF89" s="9" t="n">
        <x:f>MOD(BE89*16807,2147483647)</x:f>
        <x:v>940661462</x:v>
      </x:c>
      <x:c r="BG89" s="17" t="n">
        <x:f>IF('Control Room'!$B$5="Normal",'Control Room'!$B$7+'Control Room'!$D$7*SQRT(-2*LN(MAX(0.000000000001,BE89/2147483647)))*COS(2*PI()*BF89/2147483647),'Control Room'!$B$8+('Control Room'!$D$8-'Control Room'!$B$8)*BE89/2147483647)</x:f>
        <x:v>982.4419310000687</x:v>
      </x:c>
      <x:c r="BH89" s="17" t="n">
        <x:f>IF('Control Room'!$B$5="Normal",'Control Room'!$B$7,('Control Room'!$B$8+'Control Room'!$D$8)/2)+'Control Room'!$B$9*(BH88-IF('Control Room'!$B$5="Normal",'Control Room'!$B$7,('Control Room'!$B$8+'Control Room'!$D$8)/2))+SQRT(1-'Control Room'!$B$9^2)*(BG89-IF('Control Room'!$B$5="Normal",'Control Room'!$B$7,('Control Room'!$B$8+'Control Room'!$D$8)/2))</x:f>
        <x:v>1036.3840592416752</x:v>
      </x:c>
      <x:c r="BI89" s="17" t="n">
        <x:f>IF(AND($A89&gt;='Control Room'!$A$13,$A89&lt;'Control Room'!$A$13+'Control Room'!$B$13,'Process'!BV2=1),1+('Control Room'!$C$13-1)*EXP(-0.5*(($A89-'Control Room'!$A$13-('Control Room'!$B$13-1)/2)/MAX(0.5,'Control Room'!$B$13/4))^2),1)*IF(AND($A89&gt;='Control Room'!$A$14,$A89&lt;'Control Room'!$A$14+'Control Room'!$B$14,'Process'!BV3=1),1+('Control Room'!$C$14-1)*EXP(-0.5*(($A89-'Control Room'!$A$14-('Control Room'!$B$14-1)/2)/MAX(0.5,'Control Room'!$B$14/4))^2),1)*IF(AND($A89&gt;='Control Room'!$A$15,$A89&lt;'Control Room'!$A$15+'Control Room'!$B$15,'Process'!BV4=1),1+('Control Room'!$C$15-1)*EXP(-0.5*(($A89-'Control Room'!$A$15-('Control Room'!$B$15-1)/2)/MAX(0.5,'Control Room'!$B$15/4))^2),1)*IF(AND($A89&gt;='Control Room'!$A$16,$A89&lt;'Control Room'!$A$16+'Control Room'!$B$16,'Process'!BV5=1),1+('Control Room'!$C$16-1)*EXP(-0.5*(($A89-'Control Room'!$A$16-('Control Room'!$B$16-1)/2)/MAX(0.5,'Control Room'!$B$16/4))^2),1)</x:f>
        <x:v>1</x:v>
      </x:c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Z89" t="str">
        <x:f>IF('Data'!A89="","",TEXT('Data'!A89,"mm-dd"))</x:f>
        <x:v>01-28</x:v>
      </x:c>
    </x:row>
    <x:row r="90" ht="21" customHeight="1">
      <x:c r="A90" s="15" t="n">
        <x:f>'Control Room'!$B$1+88</x:f>
        <x:v>73079</x:v>
      </x:c>
      <x:c r="B90" s="9" t="n">
        <x:f>MOD(C89*16807,2147483647)</x:f>
        <x:v>156847139</x:v>
      </x:c>
      <x:c r="C90" s="9" t="n">
        <x:f>MOD(B90*16807,2147483647)</x:f>
        <x:v>1167430304</x:v>
      </x:c>
      <x:c r="D90" s="17" t="n">
        <x:f>IF('Control Room'!$B$5="Normal",'Control Room'!$B$7+'Control Room'!$D$7*SQRT(-2*LN(MAX(0.000000000001,B90/2147483647)))*COS(2*PI()*C90/2147483647),'Control Room'!$B$8+('Control Room'!$D$8-'Control Room'!$B$8)*B90/2147483647)</x:f>
        <x:v>801.7943066079749</x:v>
      </x:c>
      <x:c r="E90" s="17" t="n">
        <x:f>IF('Control Room'!$B$5="Normal",'Control Room'!$B$7,('Control Room'!$B$8+'Control Room'!$D$8)/2)+'Control Room'!$B$9*(E89-IF('Control Room'!$B$5="Normal",'Control Room'!$B$7,('Control Room'!$B$8+'Control Room'!$D$8)/2))+SQRT(1-'Control Room'!$B$9^2)*(D90-IF('Control Room'!$B$5="Normal",'Control Room'!$B$7,('Control Room'!$B$8+'Control Room'!$D$8)/2))</x:f>
        <x:v>943.8554444196569</x:v>
      </x:c>
      <x:c r="F90" s="17" t="n">
        <x:f>IF(AND($A90&gt;='Control Room'!$A$13,$A90&lt;'Control Room'!$A$13+'Control Room'!$B$13,'Process'!BK2=1),1+('Control Room'!$C$13-1)*EXP(-0.5*(($A90-'Control Room'!$A$13-('Control Room'!$B$13-1)/2)/MAX(0.5,'Control Room'!$B$13/4))^2),1)*IF(AND($A90&gt;='Control Room'!$A$14,$A90&lt;'Control Room'!$A$14+'Control Room'!$B$14,'Process'!BK3=1),1+('Control Room'!$C$14-1)*EXP(-0.5*(($A90-'Control Room'!$A$14-('Control Room'!$B$14-1)/2)/MAX(0.5,'Control Room'!$B$14/4))^2),1)*IF(AND($A90&gt;='Control Room'!$A$15,$A90&lt;'Control Room'!$A$15+'Control Room'!$B$15,'Process'!BK4=1),1+('Control Room'!$C$15-1)*EXP(-0.5*(($A90-'Control Room'!$A$15-('Control Room'!$B$15-1)/2)/MAX(0.5,'Control Room'!$B$15/4))^2),1)*IF(AND($A90&gt;='Control Room'!$A$16,$A90&lt;'Control Room'!$A$16+'Control Room'!$B$16,'Process'!BK5=1),1+('Control Room'!$C$16-1)*EXP(-0.5*(($A90-'Control Room'!$A$16-('Control Room'!$B$16-1)/2)/MAX(0.5,'Control Room'!$B$16/4))^2),1)</x:f>
        <x:v>1</x:v>
      </x:c>
      <x:c r="G90" s="9" t="n">
        <x:f>MOD(H89*16807,2147483647)</x:f>
        <x:v>1111679295</x:v>
      </x:c>
      <x:c r="H90" s="9" t="n">
        <x:f>MOD(G90*16807,2147483647)</x:f>
        <x:v>886182165</x:v>
      </x:c>
      <x:c r="I90" s="17" t="n">
        <x:f>IF('Control Room'!$B$5="Normal",'Control Room'!$B$7+'Control Room'!$D$7*SQRT(-2*LN(MAX(0.000000000001,G90/2147483647)))*COS(2*PI()*H90/2147483647),'Control Room'!$B$8+('Control Room'!$D$8-'Control Room'!$B$8)*G90/2147483647)</x:f>
        <x:v>911.8860003564558</x:v>
      </x:c>
      <x:c r="J90" s="17" t="n">
        <x:f>IF('Control Room'!$B$5="Normal",'Control Room'!$B$7,('Control Room'!$B$8+'Control Room'!$D$8)/2)+'Control Room'!$B$9*(J89-IF('Control Room'!$B$5="Normal",'Control Room'!$B$7,('Control Room'!$B$8+'Control Room'!$D$8)/2))+SQRT(1-'Control Room'!$B$9^2)*(I90-IF('Control Room'!$B$5="Normal",'Control Room'!$B$7,('Control Room'!$B$8+'Control Room'!$D$8)/2))</x:f>
        <x:v>829.1268146393953</x:v>
      </x:c>
      <x:c r="K90" s="17" t="n">
        <x:f>IF(AND($A90&gt;='Control Room'!$A$13,$A90&lt;'Control Room'!$A$13+'Control Room'!$B$13,'Process'!BL2=1),1+('Control Room'!$C$13-1)*EXP(-0.5*(($A90-'Control Room'!$A$13-('Control Room'!$B$13-1)/2)/MAX(0.5,'Control Room'!$B$13/4))^2),1)*IF(AND($A90&gt;='Control Room'!$A$14,$A90&lt;'Control Room'!$A$14+'Control Room'!$B$14,'Process'!BL3=1),1+('Control Room'!$C$14-1)*EXP(-0.5*(($A90-'Control Room'!$A$14-('Control Room'!$B$14-1)/2)/MAX(0.5,'Control Room'!$B$14/4))^2),1)*IF(AND($A90&gt;='Control Room'!$A$15,$A90&lt;'Control Room'!$A$15+'Control Room'!$B$15,'Process'!BL4=1),1+('Control Room'!$C$15-1)*EXP(-0.5*(($A90-'Control Room'!$A$15-('Control Room'!$B$15-1)/2)/MAX(0.5,'Control Room'!$B$15/4))^2),1)*IF(AND($A90&gt;='Control Room'!$A$16,$A90&lt;'Control Room'!$A$16+'Control Room'!$B$16,'Process'!BL5=1),1+('Control Room'!$C$16-1)*EXP(-0.5*(($A90-'Control Room'!$A$16-('Control Room'!$B$16-1)/2)/MAX(0.5,'Control Room'!$B$16/4))^2),1)</x:f>
        <x:v>1</x:v>
      </x:c>
      <x:c r="L90" s="9" t="n">
        <x:f>MOD(M89*16807,2147483647)</x:f>
        <x:v>2066511451</x:v>
      </x:c>
      <x:c r="M90" s="9" t="n">
        <x:f>MOD(L90*16807,2147483647)</x:f>
        <x:v>604934026</x:v>
      </x:c>
      <x:c r="N90" s="17" t="n">
        <x:f>IF('Control Room'!$B$5="Normal",'Control Room'!$B$7+'Control Room'!$D$7*SQRT(-2*LN(MAX(0.000000000001,L90/2147483647)))*COS(2*PI()*M90/2147483647),'Control Room'!$B$8+('Control Room'!$D$8-'Control Room'!$B$8)*L90/2147483647)</x:f>
        <x:v>995.0636300361415</x:v>
      </x:c>
      <x:c r="O90" s="17" t="n">
        <x:f>IF('Control Room'!$B$5="Normal",'Control Room'!$B$7,('Control Room'!$B$8+'Control Room'!$D$8)/2)+'Control Room'!$B$9*(O89-IF('Control Room'!$B$5="Normal",'Control Room'!$B$7,('Control Room'!$B$8+'Control Room'!$D$8)/2))+SQRT(1-'Control Room'!$B$9^2)*(N90-IF('Control Room'!$B$5="Normal",'Control Room'!$B$7,('Control Room'!$B$8+'Control Room'!$D$8)/2))</x:f>
        <x:v>1000.3689385220965</x:v>
      </x:c>
      <x:c r="P90" s="17" t="n">
        <x:f>IF(AND($A90&gt;='Control Room'!$A$13,$A90&lt;'Control Room'!$A$13+'Control Room'!$B$13,'Process'!BM2=1),1+('Control Room'!$C$13-1)*EXP(-0.5*(($A90-'Control Room'!$A$13-('Control Room'!$B$13-1)/2)/MAX(0.5,'Control Room'!$B$13/4))^2),1)*IF(AND($A90&gt;='Control Room'!$A$14,$A90&lt;'Control Room'!$A$14+'Control Room'!$B$14,'Process'!BM3=1),1+('Control Room'!$C$14-1)*EXP(-0.5*(($A90-'Control Room'!$A$14-('Control Room'!$B$14-1)/2)/MAX(0.5,'Control Room'!$B$14/4))^2),1)*IF(AND($A90&gt;='Control Room'!$A$15,$A90&lt;'Control Room'!$A$15+'Control Room'!$B$15,'Process'!BM4=1),1+('Control Room'!$C$15-1)*EXP(-0.5*(($A90-'Control Room'!$A$15-('Control Room'!$B$15-1)/2)/MAX(0.5,'Control Room'!$B$15/4))^2),1)*IF(AND($A90&gt;='Control Room'!$A$16,$A90&lt;'Control Room'!$A$16+'Control Room'!$B$16,'Process'!BM5=1),1+('Control Room'!$C$16-1)*EXP(-0.5*(($A90-'Control Room'!$A$16-('Control Room'!$B$16-1)/2)/MAX(0.5,'Control Room'!$B$16/4))^2),1)</x:f>
        <x:v>1</x:v>
      </x:c>
      <x:c r="Q90" s="9" t="n">
        <x:f>MOD(R89*16807,2147483647)</x:f>
        <x:v>873859960</x:v>
      </x:c>
      <x:c r="R90" s="9" t="n">
        <x:f>MOD(Q90*16807,2147483647)</x:f>
        <x:v>323685887</x:v>
      </x:c>
      <x:c r="S90" s="17" t="n">
        <x:f>IF('Control Room'!$B$5="Normal",'Control Room'!$B$7+'Control Room'!$D$7*SQRT(-2*LN(MAX(0.000000000001,Q90/2147483647)))*COS(2*PI()*R90/2147483647),'Control Room'!$B$8+('Control Room'!$D$8-'Control Room'!$B$8)*Q90/2147483647)</x:f>
        <x:v>1070.4921105951078</x:v>
      </x:c>
      <x:c r="T90" s="17" t="n">
        <x:f>IF('Control Room'!$B$5="Normal",'Control Room'!$B$7,('Control Room'!$B$8+'Control Room'!$D$8)/2)+'Control Room'!$B$9*(T89-IF('Control Room'!$B$5="Normal",'Control Room'!$B$7,('Control Room'!$B$8+'Control Room'!$D$8)/2))+SQRT(1-'Control Room'!$B$9^2)*(S90-IF('Control Room'!$B$5="Normal",'Control Room'!$B$7,('Control Room'!$B$8+'Control Room'!$D$8)/2))</x:f>
        <x:v>1031.4349498108259</x:v>
      </x:c>
      <x:c r="U90" s="17" t="n">
        <x:f>IF(AND($A90&gt;='Control Room'!$A$13,$A90&lt;'Control Room'!$A$13+'Control Room'!$B$13,'Process'!BN2=1),1+('Control Room'!$C$13-1)*EXP(-0.5*(($A90-'Control Room'!$A$13-('Control Room'!$B$13-1)/2)/MAX(0.5,'Control Room'!$B$13/4))^2),1)*IF(AND($A90&gt;='Control Room'!$A$14,$A90&lt;'Control Room'!$A$14+'Control Room'!$B$14,'Process'!BN3=1),1+('Control Room'!$C$14-1)*EXP(-0.5*(($A90-'Control Room'!$A$14-('Control Room'!$B$14-1)/2)/MAX(0.5,'Control Room'!$B$14/4))^2),1)*IF(AND($A90&gt;='Control Room'!$A$15,$A90&lt;'Control Room'!$A$15+'Control Room'!$B$15,'Process'!BN4=1),1+('Control Room'!$C$15-1)*EXP(-0.5*(($A90-'Control Room'!$A$15-('Control Room'!$B$15-1)/2)/MAX(0.5,'Control Room'!$B$15/4))^2),1)*IF(AND($A90&gt;='Control Room'!$A$16,$A90&lt;'Control Room'!$A$16+'Control Room'!$B$16,'Process'!BN5=1),1+('Control Room'!$C$16-1)*EXP(-0.5*(($A90-'Control Room'!$A$16-('Control Room'!$B$16-1)/2)/MAX(0.5,'Control Room'!$B$16/4))^2),1)</x:f>
        <x:v>1</x:v>
      </x:c>
      <x:c r="V90" s="9" t="n">
        <x:f>MOD(W89*16807,2147483647)</x:f>
        <x:v>1828692116</x:v>
      </x:c>
      <x:c r="W90" s="9" t="n">
        <x:f>MOD(V90*16807,2147483647)</x:f>
        <x:v>42437748</x:v>
      </x:c>
      <x:c r="X90" s="17" t="n">
        <x:f>IF('Control Room'!$B$5="Normal",'Control Room'!$B$7+'Control Room'!$D$7*SQRT(-2*LN(MAX(0.000000000001,V90/2147483647)))*COS(2*PI()*W90/2147483647),'Control Room'!$B$8+('Control Room'!$D$8-'Control Room'!$B$8)*V90/2147483647)</x:f>
        <x:v>1050.629455243477</x:v>
      </x:c>
      <x:c r="Y90" s="17" t="n">
        <x:f>IF('Control Room'!$B$5="Normal",'Control Room'!$B$7,('Control Room'!$B$8+'Control Room'!$D$8)/2)+'Control Room'!$B$9*(Y89-IF('Control Room'!$B$5="Normal",'Control Room'!$B$7,('Control Room'!$B$8+'Control Room'!$D$8)/2))+SQRT(1-'Control Room'!$B$9^2)*(X90-IF('Control Room'!$B$5="Normal",'Control Room'!$B$7,('Control Room'!$B$8+'Control Room'!$D$8)/2))</x:f>
        <x:v>933.4447953663074</x:v>
      </x:c>
      <x:c r="Z90" s="17" t="n">
        <x:f>IF(AND($A90&gt;='Control Room'!$A$13,$A90&lt;'Control Room'!$A$13+'Control Room'!$B$13,'Process'!BO2=1),1+('Control Room'!$C$13-1)*EXP(-0.5*(($A90-'Control Room'!$A$13-('Control Room'!$B$13-1)/2)/MAX(0.5,'Control Room'!$B$13/4))^2),1)*IF(AND($A90&gt;='Control Room'!$A$14,$A90&lt;'Control Room'!$A$14+'Control Room'!$B$14,'Process'!BO3=1),1+('Control Room'!$C$14-1)*EXP(-0.5*(($A90-'Control Room'!$A$14-('Control Room'!$B$14-1)/2)/MAX(0.5,'Control Room'!$B$14/4))^2),1)*IF(AND($A90&gt;='Control Room'!$A$15,$A90&lt;'Control Room'!$A$15+'Control Room'!$B$15,'Process'!BO4=1),1+('Control Room'!$C$15-1)*EXP(-0.5*(($A90-'Control Room'!$A$15-('Control Room'!$B$15-1)/2)/MAX(0.5,'Control Room'!$B$15/4))^2),1)*IF(AND($A90&gt;='Control Room'!$A$16,$A90&lt;'Control Room'!$A$16+'Control Room'!$B$16,'Process'!BO5=1),1+('Control Room'!$C$16-1)*EXP(-0.5*(($A90-'Control Room'!$A$16-('Control Room'!$B$16-1)/2)/MAX(0.5,'Control Room'!$B$16/4))^2),1)</x:f>
        <x:v>1</x:v>
      </x:c>
      <x:c r="AA90" s="9" t="n">
        <x:f>MOD(AB89*16807,2147483647)</x:f>
        <x:v>636040625</x:v>
      </x:c>
      <x:c r="AB90" s="9" t="n">
        <x:f>MOD(AA90*16807,2147483647)</x:f>
        <x:v>1908673256</x:v>
      </x:c>
      <x:c r="AC90" s="17" t="n">
        <x:f>IF('Control Room'!$B$5="Normal",'Control Room'!$B$7+'Control Room'!$D$7*SQRT(-2*LN(MAX(0.000000000001,AA90/2147483647)))*COS(2*PI()*AB90/2147483647),'Control Room'!$B$8+('Control Room'!$D$8-'Control Room'!$B$8)*AA90/2147483647)</x:f>
        <x:v>1107.4990624387801</x:v>
      </x:c>
      <x:c r="AD90" s="17" t="n">
        <x:f>IF('Control Room'!$B$5="Normal",'Control Room'!$B$7,('Control Room'!$B$8+'Control Room'!$D$8)/2)+'Control Room'!$B$9*(AD89-IF('Control Room'!$B$5="Normal",'Control Room'!$B$7,('Control Room'!$B$8+'Control Room'!$D$8)/2))+SQRT(1-'Control Room'!$B$9^2)*(AC90-IF('Control Room'!$B$5="Normal",'Control Room'!$B$7,('Control Room'!$B$8+'Control Room'!$D$8)/2))</x:f>
        <x:v>1134.1802069724179</x:v>
      </x:c>
      <x:c r="AE90" s="17" t="n">
        <x:f>IF(AND($A90&gt;='Control Room'!$A$13,$A90&lt;'Control Room'!$A$13+'Control Room'!$B$13,'Process'!BP2=1),1+('Control Room'!$C$13-1)*EXP(-0.5*(($A90-'Control Room'!$A$13-('Control Room'!$B$13-1)/2)/MAX(0.5,'Control Room'!$B$13/4))^2),1)*IF(AND($A90&gt;='Control Room'!$A$14,$A90&lt;'Control Room'!$A$14+'Control Room'!$B$14,'Process'!BP3=1),1+('Control Room'!$C$14-1)*EXP(-0.5*(($A90-'Control Room'!$A$14-('Control Room'!$B$14-1)/2)/MAX(0.5,'Control Room'!$B$14/4))^2),1)*IF(AND($A90&gt;='Control Room'!$A$15,$A90&lt;'Control Room'!$A$15+'Control Room'!$B$15,'Process'!BP4=1),1+('Control Room'!$C$15-1)*EXP(-0.5*(($A90-'Control Room'!$A$15-('Control Room'!$B$15-1)/2)/MAX(0.5,'Control Room'!$B$15/4))^2),1)*IF(AND($A90&gt;='Control Room'!$A$16,$A90&lt;'Control Room'!$A$16+'Control Room'!$B$16,'Process'!BP5=1),1+('Control Room'!$C$16-1)*EXP(-0.5*(($A90-'Control Room'!$A$16-('Control Room'!$B$16-1)/2)/MAX(0.5,'Control Room'!$B$16/4))^2),1)</x:f>
        <x:v>1</x:v>
      </x:c>
      <x:c r="AF90" s="9" t="n">
        <x:f>MOD(AG89*16807,2147483647)</x:f>
        <x:v>1590872781</x:v>
      </x:c>
      <x:c r="AG90" s="9" t="n">
        <x:f>MOD(AF90*16807,2147483647)</x:f>
        <x:v>1627425117</x:v>
      </x:c>
      <x:c r="AH90" s="17" t="n">
        <x:f>IF('Control Room'!$B$5="Normal",'Control Room'!$B$7+'Control Room'!$D$7*SQRT(-2*LN(MAX(0.000000000001,AF90/2147483647)))*COS(2*PI()*AG90/2147483647),'Control Room'!$B$8+('Control Room'!$D$8-'Control Room'!$B$8)*AF90/2147483647)</x:f>
        <x:v>1003.42793311315</x:v>
      </x:c>
      <x:c r="AI90" s="17" t="n">
        <x:f>IF('Control Room'!$B$5="Normal",'Control Room'!$B$7,('Control Room'!$B$8+'Control Room'!$D$8)/2)+'Control Room'!$B$9*(AI89-IF('Control Room'!$B$5="Normal",'Control Room'!$B$7,('Control Room'!$B$8+'Control Room'!$D$8)/2))+SQRT(1-'Control Room'!$B$9^2)*(AH90-IF('Control Room'!$B$5="Normal",'Control Room'!$B$7,('Control Room'!$B$8+'Control Room'!$D$8)/2))</x:f>
        <x:v>1027.4694667791173</x:v>
      </x:c>
      <x:c r="AJ90" s="17" t="n">
        <x:f>IF(AND($A90&gt;='Control Room'!$A$13,$A90&lt;'Control Room'!$A$13+'Control Room'!$B$13,'Process'!BQ2=1),1+('Control Room'!$C$13-1)*EXP(-0.5*(($A90-'Control Room'!$A$13-('Control Room'!$B$13-1)/2)/MAX(0.5,'Control Room'!$B$13/4))^2),1)*IF(AND($A90&gt;='Control Room'!$A$14,$A90&lt;'Control Room'!$A$14+'Control Room'!$B$14,'Process'!BQ3=1),1+('Control Room'!$C$14-1)*EXP(-0.5*(($A90-'Control Room'!$A$14-('Control Room'!$B$14-1)/2)/MAX(0.5,'Control Room'!$B$14/4))^2),1)*IF(AND($A90&gt;='Control Room'!$A$15,$A90&lt;'Control Room'!$A$15+'Control Room'!$B$15,'Process'!BQ4=1),1+('Control Room'!$C$15-1)*EXP(-0.5*(($A90-'Control Room'!$A$15-('Control Room'!$B$15-1)/2)/MAX(0.5,'Control Room'!$B$15/4))^2),1)*IF(AND($A90&gt;='Control Room'!$A$16,$A90&lt;'Control Room'!$A$16+'Control Room'!$B$16,'Process'!BQ5=1),1+('Control Room'!$C$16-1)*EXP(-0.5*(($A90-'Control Room'!$A$16-('Control Room'!$B$16-1)/2)/MAX(0.5,'Control Room'!$B$16/4))^2),1)</x:f>
        <x:v>1</x:v>
      </x:c>
      <x:c r="AK90" s="9" t="n">
        <x:f>MOD(AL89*16807,2147483647)</x:f>
        <x:v>398221290</x:v>
      </x:c>
      <x:c r="AL90" s="9" t="n">
        <x:f>MOD(AK90*16807,2147483647)</x:f>
        <x:v>1346176978</x:v>
      </x:c>
      <x:c r="AM90" s="17" t="n">
        <x:f>IF('Control Room'!$B$5="Normal",'Control Room'!$B$7+'Control Room'!$D$7*SQRT(-2*LN(MAX(0.000000000001,AK90/2147483647)))*COS(2*PI()*AL90/2147483647),'Control Room'!$B$8+('Control Room'!$D$8-'Control Room'!$B$8)*AK90/2147483647)</x:f>
        <x:v>884.5468209930025</x:v>
      </x:c>
      <x:c r="AN90" s="17" t="n">
        <x:f>IF('Control Room'!$B$5="Normal",'Control Room'!$B$7,('Control Room'!$B$8+'Control Room'!$D$8)/2)+'Control Room'!$B$9*(AN89-IF('Control Room'!$B$5="Normal",'Control Room'!$B$7,('Control Room'!$B$8+'Control Room'!$D$8)/2))+SQRT(1-'Control Room'!$B$9^2)*(AM90-IF('Control Room'!$B$5="Normal",'Control Room'!$B$7,('Control Room'!$B$8+'Control Room'!$D$8)/2))</x:f>
        <x:v>993.5169340668012</x:v>
      </x:c>
      <x:c r="AO90" s="17" t="n">
        <x:f>IF(AND($A90&gt;='Control Room'!$A$13,$A90&lt;'Control Room'!$A$13+'Control Room'!$B$13,'Process'!BR2=1),1+('Control Room'!$C$13-1)*EXP(-0.5*(($A90-'Control Room'!$A$13-('Control Room'!$B$13-1)/2)/MAX(0.5,'Control Room'!$B$13/4))^2),1)*IF(AND($A90&gt;='Control Room'!$A$14,$A90&lt;'Control Room'!$A$14+'Control Room'!$B$14,'Process'!BR3=1),1+('Control Room'!$C$14-1)*EXP(-0.5*(($A90-'Control Room'!$A$14-('Control Room'!$B$14-1)/2)/MAX(0.5,'Control Room'!$B$14/4))^2),1)*IF(AND($A90&gt;='Control Room'!$A$15,$A90&lt;'Control Room'!$A$15+'Control Room'!$B$15,'Process'!BR4=1),1+('Control Room'!$C$15-1)*EXP(-0.5*(($A90-'Control Room'!$A$15-('Control Room'!$B$15-1)/2)/MAX(0.5,'Control Room'!$B$15/4))^2),1)*IF(AND($A90&gt;='Control Room'!$A$16,$A90&lt;'Control Room'!$A$16+'Control Room'!$B$16,'Process'!BR5=1),1+('Control Room'!$C$16-1)*EXP(-0.5*(($A90-'Control Room'!$A$16-('Control Room'!$B$16-1)/2)/MAX(0.5,'Control Room'!$B$16/4))^2),1)</x:f>
        <x:v>1</x:v>
      </x:c>
      <x:c r="AP90" s="9" t="n">
        <x:f>MOD(AQ89*16807,2147483647)</x:f>
        <x:v>1353053446</x:v>
      </x:c>
      <x:c r="AQ90" s="9" t="n">
        <x:f>MOD(AP90*16807,2147483647)</x:f>
        <x:v>1064928839</x:v>
      </x:c>
      <x:c r="AR90" s="17" t="n">
        <x:f>IF('Control Room'!$B$5="Normal",'Control Room'!$B$7+'Control Room'!$D$7*SQRT(-2*LN(MAX(0.000000000001,AP90/2147483647)))*COS(2*PI()*AQ90/2147483647),'Control Room'!$B$8+('Control Room'!$D$8-'Control Room'!$B$8)*AP90/2147483647)</x:f>
        <x:v>913.5226116093716</x:v>
      </x:c>
      <x:c r="AS90" s="17" t="n">
        <x:f>IF('Control Room'!$B$5="Normal",'Control Room'!$B$7,('Control Room'!$B$8+'Control Room'!$D$8)/2)+'Control Room'!$B$9*(AS89-IF('Control Room'!$B$5="Normal",'Control Room'!$B$7,('Control Room'!$B$8+'Control Room'!$D$8)/2))+SQRT(1-'Control Room'!$B$9^2)*(AR90-IF('Control Room'!$B$5="Normal",'Control Room'!$B$7,('Control Room'!$B$8+'Control Room'!$D$8)/2))</x:f>
        <x:v>989.6181626640927</x:v>
      </x:c>
      <x:c r="AT90" s="17" t="n">
        <x:f>IF(AND($A90&gt;='Control Room'!$A$13,$A90&lt;'Control Room'!$A$13+'Control Room'!$B$13,'Process'!BS2=1),1+('Control Room'!$C$13-1)*EXP(-0.5*(($A90-'Control Room'!$A$13-('Control Room'!$B$13-1)/2)/MAX(0.5,'Control Room'!$B$13/4))^2),1)*IF(AND($A90&gt;='Control Room'!$A$14,$A90&lt;'Control Room'!$A$14+'Control Room'!$B$14,'Process'!BS3=1),1+('Control Room'!$C$14-1)*EXP(-0.5*(($A90-'Control Room'!$A$14-('Control Room'!$B$14-1)/2)/MAX(0.5,'Control Room'!$B$14/4))^2),1)*IF(AND($A90&gt;='Control Room'!$A$15,$A90&lt;'Control Room'!$A$15+'Control Room'!$B$15,'Process'!BS4=1),1+('Control Room'!$C$15-1)*EXP(-0.5*(($A90-'Control Room'!$A$15-('Control Room'!$B$15-1)/2)/MAX(0.5,'Control Room'!$B$15/4))^2),1)*IF(AND($A90&gt;='Control Room'!$A$16,$A90&lt;'Control Room'!$A$16+'Control Room'!$B$16,'Process'!BS5=1),1+('Control Room'!$C$16-1)*EXP(-0.5*(($A90-'Control Room'!$A$16-('Control Room'!$B$16-1)/2)/MAX(0.5,'Control Room'!$B$16/4))^2),1)</x:f>
        <x:v>1</x:v>
      </x:c>
      <x:c r="AU90" s="9" t="n">
        <x:f>MOD(AV89*16807,2147483647)</x:f>
        <x:v>160401955</x:v>
      </x:c>
      <x:c r="AV90" s="9" t="n">
        <x:f>MOD(AU90*16807,2147483647)</x:f>
        <x:v>783680700</x:v>
      </x:c>
      <x:c r="AW90" s="17" t="n">
        <x:f>IF('Control Room'!$B$5="Normal",'Control Room'!$B$7+'Control Room'!$D$7*SQRT(-2*LN(MAX(0.000000000001,AU90/2147483647)))*COS(2*PI()*AV90/2147483647),'Control Room'!$B$8+('Control Room'!$D$8-'Control Room'!$B$8)*AU90/2147483647)</x:f>
        <x:v>864.4928475529273</x:v>
      </x:c>
      <x:c r="AX90" s="17" t="n">
        <x:f>IF('Control Room'!$B$5="Normal",'Control Room'!$B$7,('Control Room'!$B$8+'Control Room'!$D$8)/2)+'Control Room'!$B$9*(AX89-IF('Control Room'!$B$5="Normal",'Control Room'!$B$7,('Control Room'!$B$8+'Control Room'!$D$8)/2))+SQRT(1-'Control Room'!$B$9^2)*(AW90-IF('Control Room'!$B$5="Normal",'Control Room'!$B$7,('Control Room'!$B$8+'Control Room'!$D$8)/2))</x:f>
        <x:v>938.3935357829386</x:v>
      </x:c>
      <x:c r="AY90" s="17" t="n">
        <x:f>IF(AND($A90&gt;='Control Room'!$A$13,$A90&lt;'Control Room'!$A$13+'Control Room'!$B$13,'Process'!BT2=1),1+('Control Room'!$C$13-1)*EXP(-0.5*(($A90-'Control Room'!$A$13-('Control Room'!$B$13-1)/2)/MAX(0.5,'Control Room'!$B$13/4))^2),1)*IF(AND($A90&gt;='Control Room'!$A$14,$A90&lt;'Control Room'!$A$14+'Control Room'!$B$14,'Process'!BT3=1),1+('Control Room'!$C$14-1)*EXP(-0.5*(($A90-'Control Room'!$A$14-('Control Room'!$B$14-1)/2)/MAX(0.5,'Control Room'!$B$14/4))^2),1)*IF(AND($A90&gt;='Control Room'!$A$15,$A90&lt;'Control Room'!$A$15+'Control Room'!$B$15,'Process'!BT4=1),1+('Control Room'!$C$15-1)*EXP(-0.5*(($A90-'Control Room'!$A$15-('Control Room'!$B$15-1)/2)/MAX(0.5,'Control Room'!$B$15/4))^2),1)*IF(AND($A90&gt;='Control Room'!$A$16,$A90&lt;'Control Room'!$A$16+'Control Room'!$B$16,'Process'!BT5=1),1+('Control Room'!$C$16-1)*EXP(-0.5*(($A90-'Control Room'!$A$16-('Control Room'!$B$16-1)/2)/MAX(0.5,'Control Room'!$B$16/4))^2),1)</x:f>
        <x:v>1</x:v>
      </x:c>
      <x:c r="AZ90" s="9" t="n">
        <x:f>MOD(BA89*16807,2147483647)</x:f>
        <x:v>1115234111</x:v>
      </x:c>
      <x:c r="BA90" s="9" t="n">
        <x:f>MOD(AZ90*16807,2147483647)</x:f>
        <x:v>502432561</x:v>
      </x:c>
      <x:c r="BB90" s="17" t="n">
        <x:f>IF('Control Room'!$B$5="Normal",'Control Room'!$B$7+'Control Room'!$D$7*SQRT(-2*LN(MAX(0.000000000001,AZ90/2147483647)))*COS(2*PI()*BA90/2147483647),'Control Room'!$B$8+('Control Room'!$D$8-'Control Room'!$B$8)*AZ90/2147483647)</x:f>
        <x:v>1010.3636421877499</x:v>
      </x:c>
      <x:c r="BC90" s="17" t="n">
        <x:f>IF('Control Room'!$B$5="Normal",'Control Room'!$B$7,('Control Room'!$B$8+'Control Room'!$D$8)/2)+'Control Room'!$B$9*(BC89-IF('Control Room'!$B$5="Normal",'Control Room'!$B$7,('Control Room'!$B$8+'Control Room'!$D$8)/2))+SQRT(1-'Control Room'!$B$9^2)*(BB90-IF('Control Room'!$B$5="Normal",'Control Room'!$B$7,('Control Room'!$B$8+'Control Room'!$D$8)/2))</x:f>
        <x:v>1073.6634539488862</x:v>
      </x:c>
      <x:c r="BD90" s="17" t="n">
        <x:f>IF(AND($A90&gt;='Control Room'!$A$13,$A90&lt;'Control Room'!$A$13+'Control Room'!$B$13,'Process'!BU2=1),1+('Control Room'!$C$13-1)*EXP(-0.5*(($A90-'Control Room'!$A$13-('Control Room'!$B$13-1)/2)/MAX(0.5,'Control Room'!$B$13/4))^2),1)*IF(AND($A90&gt;='Control Room'!$A$14,$A90&lt;'Control Room'!$A$14+'Control Room'!$B$14,'Process'!BU3=1),1+('Control Room'!$C$14-1)*EXP(-0.5*(($A90-'Control Room'!$A$14-('Control Room'!$B$14-1)/2)/MAX(0.5,'Control Room'!$B$14/4))^2),1)*IF(AND($A90&gt;='Control Room'!$A$15,$A90&lt;'Control Room'!$A$15+'Control Room'!$B$15,'Process'!BU4=1),1+('Control Room'!$C$15-1)*EXP(-0.5*(($A90-'Control Room'!$A$15-('Control Room'!$B$15-1)/2)/MAX(0.5,'Control Room'!$B$15/4))^2),1)*IF(AND($A90&gt;='Control Room'!$A$16,$A90&lt;'Control Room'!$A$16+'Control Room'!$B$16,'Process'!BU5=1),1+('Control Room'!$C$16-1)*EXP(-0.5*(($A90-'Control Room'!$A$16-('Control Room'!$B$16-1)/2)/MAX(0.5,'Control Room'!$B$16/4))^2),1)</x:f>
        <x:v>1</x:v>
      </x:c>
      <x:c r="BE90" s="9" t="n">
        <x:f>MOD(BF89*16807,2147483647)</x:f>
        <x:v>2070066267</x:v>
      </x:c>
      <x:c r="BF90" s="9" t="n">
        <x:f>MOD(BE90*16807,2147483647)</x:f>
        <x:v>221184422</x:v>
      </x:c>
      <x:c r="BG90" s="17" t="n">
        <x:f>IF('Control Room'!$B$5="Normal",'Control Room'!$B$7+'Control Room'!$D$7*SQRT(-2*LN(MAX(0.000000000001,BE90/2147483647)))*COS(2*PI()*BF90/2147483647),'Control Room'!$B$8+('Control Room'!$D$8-'Control Room'!$B$8)*BE90/2147483647)</x:f>
        <x:v>1019.4573262712016</x:v>
      </x:c>
      <x:c r="BH90" s="17" t="n">
        <x:f>IF('Control Room'!$B$5="Normal",'Control Room'!$B$7,('Control Room'!$B$8+'Control Room'!$D$8)/2)+'Control Room'!$B$9*(BH89-IF('Control Room'!$B$5="Normal",'Control Room'!$B$7,('Control Room'!$B$8+'Control Room'!$D$8)/2))+SQRT(1-'Control Room'!$B$9^2)*(BG90-IF('Control Room'!$B$5="Normal",'Control Room'!$B$7,('Control Room'!$B$8+'Control Room'!$D$8)/2))</x:f>
        <x:v>1040.5555623840298</x:v>
      </x:c>
      <x:c r="BI90" s="17" t="n">
        <x:f>IF(AND($A90&gt;='Control Room'!$A$13,$A90&lt;'Control Room'!$A$13+'Control Room'!$B$13,'Process'!BV2=1),1+('Control Room'!$C$13-1)*EXP(-0.5*(($A90-'Control Room'!$A$13-('Control Room'!$B$13-1)/2)/MAX(0.5,'Control Room'!$B$13/4))^2),1)*IF(AND($A90&gt;='Control Room'!$A$14,$A90&lt;'Control Room'!$A$14+'Control Room'!$B$14,'Process'!BV3=1),1+('Control Room'!$C$14-1)*EXP(-0.5*(($A90-'Control Room'!$A$14-('Control Room'!$B$14-1)/2)/MAX(0.5,'Control Room'!$B$14/4))^2),1)*IF(AND($A90&gt;='Control Room'!$A$15,$A90&lt;'Control Room'!$A$15+'Control Room'!$B$15,'Process'!BV4=1),1+('Control Room'!$C$15-1)*EXP(-0.5*(($A90-'Control Room'!$A$15-('Control Room'!$B$15-1)/2)/MAX(0.5,'Control Room'!$B$15/4))^2),1)*IF(AND($A90&gt;='Control Room'!$A$16,$A90&lt;'Control Room'!$A$16+'Control Room'!$B$16,'Process'!BV5=1),1+('Control Room'!$C$16-1)*EXP(-0.5*(($A90-'Control Room'!$A$16-('Control Room'!$B$16-1)/2)/MAX(0.5,'Control Room'!$B$16/4))^2),1)</x:f>
        <x:v>1</x:v>
      </x:c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Z90" t="str">
        <x:f>IF('Data'!A90="","",TEXT('Data'!A90,"mm-dd"))</x:f>
        <x:v>01-29</x:v>
      </x:c>
    </x:row>
    <x:row r="91" ht="21" customHeight="1">
      <x:c r="A91" s="15" t="n">
        <x:f>'Control Room'!$B$1+89</x:f>
        <x:v>73080</x:v>
      </x:c>
      <x:c r="B91" s="9" t="n">
        <x:f>MOD(C90*16807,2147483647)</x:f>
        <x:v>1590520336</x:v>
      </x:c>
      <x:c r="C91" s="9" t="n">
        <x:f>MOD(B91*16807,2147483647)</x:f>
        <x:v>2146332943</x:v>
      </x:c>
      <x:c r="D91" s="17" t="n">
        <x:f>IF('Control Room'!$B$5="Normal",'Control Room'!$B$7+'Control Room'!$D$7*SQRT(-2*LN(MAX(0.000000000001,B91/2147483647)))*COS(2*PI()*C91/2147483647),'Control Room'!$B$8+('Control Room'!$D$8-'Control Room'!$B$8)*B91/2147483647)</x:f>
        <x:v>1069.7406670959122</x:v>
      </x:c>
      <x:c r="E91" s="17" t="n">
        <x:f>IF('Control Room'!$B$5="Normal",'Control Room'!$B$7,('Control Room'!$B$8+'Control Room'!$D$8)/2)+'Control Room'!$B$9*(E90-IF('Control Room'!$B$5="Normal",'Control Room'!$B$7,('Control Room'!$B$8+'Control Room'!$D$8)/2))+SQRT(1-'Control Room'!$B$9^2)*(D91-IF('Control Room'!$B$5="Normal",'Control Room'!$B$7,('Control Room'!$B$8+'Control Room'!$D$8)/2))</x:f>
        <x:v>999.8495274007312</x:v>
      </x:c>
      <x:c r="F91" s="17" t="n">
        <x:f>IF(AND($A91&gt;='Control Room'!$A$13,$A91&lt;'Control Room'!$A$13+'Control Room'!$B$13,'Process'!BK2=1),1+('Control Room'!$C$13-1)*EXP(-0.5*(($A91-'Control Room'!$A$13-('Control Room'!$B$13-1)/2)/MAX(0.5,'Control Room'!$B$13/4))^2),1)*IF(AND($A91&gt;='Control Room'!$A$14,$A91&lt;'Control Room'!$A$14+'Control Room'!$B$14,'Process'!BK3=1),1+('Control Room'!$C$14-1)*EXP(-0.5*(($A91-'Control Room'!$A$14-('Control Room'!$B$14-1)/2)/MAX(0.5,'Control Room'!$B$14/4))^2),1)*IF(AND($A91&gt;='Control Room'!$A$15,$A91&lt;'Control Room'!$A$15+'Control Room'!$B$15,'Process'!BK4=1),1+('Control Room'!$C$15-1)*EXP(-0.5*(($A91-'Control Room'!$A$15-('Control Room'!$B$15-1)/2)/MAX(0.5,'Control Room'!$B$15/4))^2),1)*IF(AND($A91&gt;='Control Room'!$A$16,$A91&lt;'Control Room'!$A$16+'Control Room'!$B$16,'Process'!BK5=1),1+('Control Room'!$C$16-1)*EXP(-0.5*(($A91-'Control Room'!$A$16-('Control Room'!$B$16-1)/2)/MAX(0.5,'Control Room'!$B$16/4))^2),1)</x:f>
        <x:v>1</x:v>
      </x:c>
      <x:c r="G91" s="9" t="n">
        <x:f>MOD(H90*16807,2147483647)</x:f>
        <x:v>1264555210</x:v>
      </x:c>
      <x:c r="H91" s="9" t="n">
        <x:f>MOD(G91*16807,2147483647)</x:f>
        <x:v>1881243758</x:v>
      </x:c>
      <x:c r="I91" s="17" t="n">
        <x:f>IF('Control Room'!$B$5="Normal",'Control Room'!$B$7+'Control Room'!$D$7*SQRT(-2*LN(MAX(0.000000000001,G91/2147483647)))*COS(2*PI()*H91/2147483647),'Control Room'!$B$8+('Control Room'!$D$8-'Control Room'!$B$8)*G91/2147483647)</x:f>
        <x:v>1065.9141704044987</x:v>
      </x:c>
      <x:c r="J91" s="17" t="n">
        <x:f>IF('Control Room'!$B$5="Normal",'Control Room'!$B$7,('Control Room'!$B$8+'Control Room'!$D$8)/2)+'Control Room'!$B$9*(J90-IF('Control Room'!$B$5="Normal",'Control Room'!$B$7,('Control Room'!$B$8+'Control Room'!$D$8)/2))+SQRT(1-'Control Room'!$B$9^2)*(I91-IF('Control Room'!$B$5="Normal",'Control Room'!$B$7,('Control Room'!$B$8+'Control Room'!$D$8)/2))</x:f>
        <x:v>907.9666529326862</x:v>
      </x:c>
      <x:c r="K91" s="17" t="n">
        <x:f>IF(AND($A91&gt;='Control Room'!$A$13,$A91&lt;'Control Room'!$A$13+'Control Room'!$B$13,'Process'!BL2=1),1+('Control Room'!$C$13-1)*EXP(-0.5*(($A91-'Control Room'!$A$13-('Control Room'!$B$13-1)/2)/MAX(0.5,'Control Room'!$B$13/4))^2),1)*IF(AND($A91&gt;='Control Room'!$A$14,$A91&lt;'Control Room'!$A$14+'Control Room'!$B$14,'Process'!BL3=1),1+('Control Room'!$C$14-1)*EXP(-0.5*(($A91-'Control Room'!$A$14-('Control Room'!$B$14-1)/2)/MAX(0.5,'Control Room'!$B$14/4))^2),1)*IF(AND($A91&gt;='Control Room'!$A$15,$A91&lt;'Control Room'!$A$15+'Control Room'!$B$15,'Process'!BL4=1),1+('Control Room'!$C$15-1)*EXP(-0.5*(($A91-'Control Room'!$A$15-('Control Room'!$B$15-1)/2)/MAX(0.5,'Control Room'!$B$15/4))^2),1)*IF(AND($A91&gt;='Control Room'!$A$16,$A91&lt;'Control Room'!$A$16+'Control Room'!$B$16,'Process'!BL5=1),1+('Control Room'!$C$16-1)*EXP(-0.5*(($A91-'Control Room'!$A$16-('Control Room'!$B$16-1)/2)/MAX(0.5,'Control Room'!$B$16/4))^2),1)</x:f>
        <x:v>1</x:v>
      </x:c>
      <x:c r="L91" s="9" t="n">
        <x:f>MOD(M90*16807,2147483647)</x:f>
        <x:v>938590084</x:v>
      </x:c>
      <x:c r="M91" s="9" t="n">
        <x:f>MOD(L91*16807,2147483647)</x:f>
        <x:v>1616154573</x:v>
      </x:c>
      <x:c r="N91" s="17" t="n">
        <x:f>IF('Control Room'!$B$5="Normal",'Control Room'!$B$7+'Control Room'!$D$7*SQRT(-2*LN(MAX(0.000000000001,L91/2147483647)))*COS(2*PI()*M91/2147483647),'Control Room'!$B$8+('Control Room'!$D$8-'Control Room'!$B$8)*L91/2147483647)</x:f>
        <x:v>1001.8774644971363</x:v>
      </x:c>
      <x:c r="O91" s="17" t="n">
        <x:f>IF('Control Room'!$B$5="Normal",'Control Room'!$B$7,('Control Room'!$B$8+'Control Room'!$D$8)/2)+'Control Room'!$B$9*(O90-IF('Control Room'!$B$5="Normal",'Control Room'!$B$7,('Control Room'!$B$8+'Control Room'!$D$8)/2))+SQRT(1-'Control Room'!$B$9^2)*(N91-IF('Control Room'!$B$5="Normal",'Control Room'!$B$7,('Control Room'!$B$8+'Control Room'!$D$8)/2))</x:f>
        <x:v>1001.4626508675924</x:v>
      </x:c>
      <x:c r="P91" s="17" t="n">
        <x:f>IF(AND($A91&gt;='Control Room'!$A$13,$A91&lt;'Control Room'!$A$13+'Control Room'!$B$13,'Process'!BM2=1),1+('Control Room'!$C$13-1)*EXP(-0.5*(($A91-'Control Room'!$A$13-('Control Room'!$B$13-1)/2)/MAX(0.5,'Control Room'!$B$13/4))^2),1)*IF(AND($A91&gt;='Control Room'!$A$14,$A91&lt;'Control Room'!$A$14+'Control Room'!$B$14,'Process'!BM3=1),1+('Control Room'!$C$14-1)*EXP(-0.5*(($A91-'Control Room'!$A$14-('Control Room'!$B$14-1)/2)/MAX(0.5,'Control Room'!$B$14/4))^2),1)*IF(AND($A91&gt;='Control Room'!$A$15,$A91&lt;'Control Room'!$A$15+'Control Room'!$B$15,'Process'!BM4=1),1+('Control Room'!$C$15-1)*EXP(-0.5*(($A91-'Control Room'!$A$15-('Control Room'!$B$15-1)/2)/MAX(0.5,'Control Room'!$B$15/4))^2),1)*IF(AND($A91&gt;='Control Room'!$A$16,$A91&lt;'Control Room'!$A$16+'Control Room'!$B$16,'Process'!BM5=1),1+('Control Room'!$C$16-1)*EXP(-0.5*(($A91-'Control Room'!$A$16-('Control Room'!$B$16-1)/2)/MAX(0.5,'Control Room'!$B$16/4))^2),1)</x:f>
        <x:v>1</x:v>
      </x:c>
      <x:c r="Q91" s="9" t="n">
        <x:f>MOD(R90*16807,2147483647)</x:f>
        <x:v>612624958</x:v>
      </x:c>
      <x:c r="R91" s="9" t="n">
        <x:f>MOD(Q91*16807,2147483647)</x:f>
        <x:v>1351065388</x:v>
      </x:c>
      <x:c r="S91" s="17" t="n">
        <x:f>IF('Control Room'!$B$5="Normal",'Control Room'!$B$7+'Control Room'!$D$7*SQRT(-2*LN(MAX(0.000000000001,Q91/2147483647)))*COS(2*PI()*R91/2147483647),'Control Room'!$B$8+('Control Room'!$D$8-'Control Room'!$B$8)*Q91/2147483647)</x:f>
        <x:v>901.8590527614042</x:v>
      </x:c>
      <x:c r="T91" s="17" t="n">
        <x:f>IF('Control Room'!$B$5="Normal",'Control Room'!$B$7,('Control Room'!$B$8+'Control Room'!$D$8)/2)+'Control Room'!$B$9*(T90-IF('Control Room'!$B$5="Normal",'Control Room'!$B$7,('Control Room'!$B$8+'Control Room'!$D$8)/2))+SQRT(1-'Control Room'!$B$9^2)*(S91-IF('Control Room'!$B$5="Normal",'Control Room'!$B$7,('Control Room'!$B$8+'Control Room'!$D$8)/2))</x:f>
        <x:v>963.104666597117</x:v>
      </x:c>
      <x:c r="U91" s="17" t="n">
        <x:f>IF(AND($A91&gt;='Control Room'!$A$13,$A91&lt;'Control Room'!$A$13+'Control Room'!$B$13,'Process'!BN2=1),1+('Control Room'!$C$13-1)*EXP(-0.5*(($A91-'Control Room'!$A$13-('Control Room'!$B$13-1)/2)/MAX(0.5,'Control Room'!$B$13/4))^2),1)*IF(AND($A91&gt;='Control Room'!$A$14,$A91&lt;'Control Room'!$A$14+'Control Room'!$B$14,'Process'!BN3=1),1+('Control Room'!$C$14-1)*EXP(-0.5*(($A91-'Control Room'!$A$14-('Control Room'!$B$14-1)/2)/MAX(0.5,'Control Room'!$B$14/4))^2),1)*IF(AND($A91&gt;='Control Room'!$A$15,$A91&lt;'Control Room'!$A$15+'Control Room'!$B$15,'Process'!BN4=1),1+('Control Room'!$C$15-1)*EXP(-0.5*(($A91-'Control Room'!$A$15-('Control Room'!$B$15-1)/2)/MAX(0.5,'Control Room'!$B$15/4))^2),1)*IF(AND($A91&gt;='Control Room'!$A$16,$A91&lt;'Control Room'!$A$16+'Control Room'!$B$16,'Process'!BN5=1),1+('Control Room'!$C$16-1)*EXP(-0.5*(($A91-'Control Room'!$A$16-('Control Room'!$B$16-1)/2)/MAX(0.5,'Control Room'!$B$16/4))^2),1)</x:f>
        <x:v>1</x:v>
      </x:c>
      <x:c r="V91" s="9" t="n">
        <x:f>MOD(W90*16807,2147483647)</x:f>
        <x:v>286659832</x:v>
      </x:c>
      <x:c r="W91" s="9" t="n">
        <x:f>MOD(V91*16807,2147483647)</x:f>
        <x:v>1085976203</x:v>
      </x:c>
      <x:c r="X91" s="17" t="n">
        <x:f>IF('Control Room'!$B$5="Normal",'Control Room'!$B$7+'Control Room'!$D$7*SQRT(-2*LN(MAX(0.000000000001,V91/2147483647)))*COS(2*PI()*W91/2147483647),'Control Room'!$B$8+('Control Room'!$D$8-'Control Room'!$B$8)*V91/2147483647)</x:f>
        <x:v>819.4977546217301</x:v>
      </x:c>
      <x:c r="Y91" s="17" t="n">
        <x:f>IF('Control Room'!$B$5="Normal",'Control Room'!$B$7,('Control Room'!$B$8+'Control Room'!$D$8)/2)+'Control Room'!$B$9*(Y90-IF('Control Room'!$B$5="Normal",'Control Room'!$B$7,('Control Room'!$B$8+'Control Room'!$D$8)/2))+SQRT(1-'Control Room'!$B$9^2)*(X91-IF('Control Room'!$B$5="Normal",'Control Room'!$B$7,('Control Room'!$B$8+'Control Room'!$D$8)/2))</x:f>
        <x:v>835.1323330174878</x:v>
      </x:c>
      <x:c r="Z91" s="17" t="n">
        <x:f>IF(AND($A91&gt;='Control Room'!$A$13,$A91&lt;'Control Room'!$A$13+'Control Room'!$B$13,'Process'!BO2=1),1+('Control Room'!$C$13-1)*EXP(-0.5*(($A91-'Control Room'!$A$13-('Control Room'!$B$13-1)/2)/MAX(0.5,'Control Room'!$B$13/4))^2),1)*IF(AND($A91&gt;='Control Room'!$A$14,$A91&lt;'Control Room'!$A$14+'Control Room'!$B$14,'Process'!BO3=1),1+('Control Room'!$C$14-1)*EXP(-0.5*(($A91-'Control Room'!$A$14-('Control Room'!$B$14-1)/2)/MAX(0.5,'Control Room'!$B$14/4))^2),1)*IF(AND($A91&gt;='Control Room'!$A$15,$A91&lt;'Control Room'!$A$15+'Control Room'!$B$15,'Process'!BO4=1),1+('Control Room'!$C$15-1)*EXP(-0.5*(($A91-'Control Room'!$A$15-('Control Room'!$B$15-1)/2)/MAX(0.5,'Control Room'!$B$15/4))^2),1)*IF(AND($A91&gt;='Control Room'!$A$16,$A91&lt;'Control Room'!$A$16+'Control Room'!$B$16,'Process'!BO5=1),1+('Control Room'!$C$16-1)*EXP(-0.5*(($A91-'Control Room'!$A$16-('Control Room'!$B$16-1)/2)/MAX(0.5,'Control Room'!$B$16/4))^2),1)</x:f>
        <x:v>1</x:v>
      </x:c>
      <x:c r="AA91" s="9" t="n">
        <x:f>MOD(AB90*16807,2147483647)</x:f>
        <x:v>2108178353</x:v>
      </x:c>
      <x:c r="AB91" s="9" t="n">
        <x:f>MOD(AA91*16807,2147483647)</x:f>
        <x:v>820887018</x:v>
      </x:c>
      <x:c r="AC91" s="17" t="n">
        <x:f>IF('Control Room'!$B$5="Normal",'Control Room'!$B$7+'Control Room'!$D$7*SQRT(-2*LN(MAX(0.000000000001,AA91/2147483647)))*COS(2*PI()*AB91/2147483647),'Control Room'!$B$8+('Control Room'!$D$8-'Control Room'!$B$8)*AA91/2147483647)</x:f>
        <x:v>987.2230471217158</x:v>
      </x:c>
      <x:c r="AD91" s="17" t="n">
        <x:f>IF('Control Room'!$B$5="Normal",'Control Room'!$B$7,('Control Room'!$B$8+'Control Room'!$D$8)/2)+'Control Room'!$B$9*(AD90-IF('Control Room'!$B$5="Normal",'Control Room'!$B$7,('Control Room'!$B$8+'Control Room'!$D$8)/2))+SQRT(1-'Control Room'!$B$9^2)*(AC91-IF('Control Room'!$B$5="Normal",'Control Room'!$B$7,('Control Room'!$B$8+'Control Room'!$D$8)/2))</x:f>
        <x:v>1096.6650060773627</x:v>
      </x:c>
      <x:c r="AE91" s="17" t="n">
        <x:f>IF(AND($A91&gt;='Control Room'!$A$13,$A91&lt;'Control Room'!$A$13+'Control Room'!$B$13,'Process'!BP2=1),1+('Control Room'!$C$13-1)*EXP(-0.5*(($A91-'Control Room'!$A$13-('Control Room'!$B$13-1)/2)/MAX(0.5,'Control Room'!$B$13/4))^2),1)*IF(AND($A91&gt;='Control Room'!$A$14,$A91&lt;'Control Room'!$A$14+'Control Room'!$B$14,'Process'!BP3=1),1+('Control Room'!$C$14-1)*EXP(-0.5*(($A91-'Control Room'!$A$14-('Control Room'!$B$14-1)/2)/MAX(0.5,'Control Room'!$B$14/4))^2),1)*IF(AND($A91&gt;='Control Room'!$A$15,$A91&lt;'Control Room'!$A$15+'Control Room'!$B$15,'Process'!BP4=1),1+('Control Room'!$C$15-1)*EXP(-0.5*(($A91-'Control Room'!$A$15-('Control Room'!$B$15-1)/2)/MAX(0.5,'Control Room'!$B$15/4))^2),1)*IF(AND($A91&gt;='Control Room'!$A$16,$A91&lt;'Control Room'!$A$16+'Control Room'!$B$16,'Process'!BP5=1),1+('Control Room'!$C$16-1)*EXP(-0.5*(($A91-'Control Room'!$A$16-('Control Room'!$B$16-1)/2)/MAX(0.5,'Control Room'!$B$16/4))^2),1)</x:f>
        <x:v>1</x:v>
      </x:c>
      <x:c r="AF91" s="9" t="n">
        <x:f>MOD(AG90*16807,2147483647)</x:f>
        <x:v>1782213227</x:v>
      </x:c>
      <x:c r="AG91" s="9" t="n">
        <x:f>MOD(AF91*16807,2147483647)</x:f>
        <x:v>555797833</x:v>
      </x:c>
      <x:c r="AH91" s="17" t="n">
        <x:f>IF('Control Room'!$B$5="Normal",'Control Room'!$B$7+'Control Room'!$D$7*SQRT(-2*LN(MAX(0.000000000001,AF91/2147483647)))*COS(2*PI()*AG91/2147483647),'Control Room'!$B$8+('Control Room'!$D$8-'Control Room'!$B$8)*AF91/2147483647)</x:f>
        <x:v>996.9581629081731</x:v>
      </x:c>
      <x:c r="AI91" s="17" t="n">
        <x:f>IF('Control Room'!$B$5="Normal",'Control Room'!$B$7,('Control Room'!$B$8+'Control Room'!$D$8)/2)+'Control Room'!$B$9*(AI90-IF('Control Room'!$B$5="Normal",'Control Room'!$B$7,('Control Room'!$B$8+'Control Room'!$D$8)/2))+SQRT(1-'Control Room'!$B$9^2)*(AH91-IF('Control Room'!$B$5="Normal",'Control Room'!$B$7,('Control Room'!$B$8+'Control Room'!$D$8)/2))</x:f>
        <x:v>1019.5226647510661</x:v>
      </x:c>
      <x:c r="AJ91" s="17" t="n">
        <x:f>IF(AND($A91&gt;='Control Room'!$A$13,$A91&lt;'Control Room'!$A$13+'Control Room'!$B$13,'Process'!BQ2=1),1+('Control Room'!$C$13-1)*EXP(-0.5*(($A91-'Control Room'!$A$13-('Control Room'!$B$13-1)/2)/MAX(0.5,'Control Room'!$B$13/4))^2),1)*IF(AND($A91&gt;='Control Room'!$A$14,$A91&lt;'Control Room'!$A$14+'Control Room'!$B$14,'Process'!BQ3=1),1+('Control Room'!$C$14-1)*EXP(-0.5*(($A91-'Control Room'!$A$14-('Control Room'!$B$14-1)/2)/MAX(0.5,'Control Room'!$B$14/4))^2),1)*IF(AND($A91&gt;='Control Room'!$A$15,$A91&lt;'Control Room'!$A$15+'Control Room'!$B$15,'Process'!BQ4=1),1+('Control Room'!$C$15-1)*EXP(-0.5*(($A91-'Control Room'!$A$15-('Control Room'!$B$15-1)/2)/MAX(0.5,'Control Room'!$B$15/4))^2),1)*IF(AND($A91&gt;='Control Room'!$A$16,$A91&lt;'Control Room'!$A$16+'Control Room'!$B$16,'Process'!BQ5=1),1+('Control Room'!$C$16-1)*EXP(-0.5*(($A91-'Control Room'!$A$16-('Control Room'!$B$16-1)/2)/MAX(0.5,'Control Room'!$B$16/4))^2),1)</x:f>
        <x:v>1</x:v>
      </x:c>
      <x:c r="AK91" s="9" t="n">
        <x:f>MOD(AL90*16807,2147483647)</x:f>
        <x:v>1456248101</x:v>
      </x:c>
      <x:c r="AL91" s="9" t="n">
        <x:f>MOD(AK91*16807,2147483647)</x:f>
        <x:v>290708648</x:v>
      </x:c>
      <x:c r="AM91" s="17" t="n">
        <x:f>IF('Control Room'!$B$5="Normal",'Control Room'!$B$7+'Control Room'!$D$7*SQRT(-2*LN(MAX(0.000000000001,AK91/2147483647)))*COS(2*PI()*AL91/2147483647),'Control Room'!$B$8+('Control Room'!$D$8-'Control Room'!$B$8)*AK91/2147483647)</x:f>
        <x:v>1052.3201207786574</x:v>
      </x:c>
      <x:c r="AN91" s="17" t="n">
        <x:f>IF('Control Room'!$B$5="Normal",'Control Room'!$B$7,('Control Room'!$B$8+'Control Room'!$D$8)/2)+'Control Room'!$B$9*(AN90-IF('Control Room'!$B$5="Normal",'Control Room'!$B$7,('Control Room'!$B$8+'Control Room'!$D$8)/2))+SQRT(1-'Control Room'!$B$9^2)*(AM91-IF('Control Room'!$B$5="Normal",'Control Room'!$B$7,('Control Room'!$B$8+'Control Room'!$D$8)/2))</x:f>
        <x:v>1027.684068319455</x:v>
      </x:c>
      <x:c r="AO91" s="17" t="n">
        <x:f>IF(AND($A91&gt;='Control Room'!$A$13,$A91&lt;'Control Room'!$A$13+'Control Room'!$B$13,'Process'!BR2=1),1+('Control Room'!$C$13-1)*EXP(-0.5*(($A91-'Control Room'!$A$13-('Control Room'!$B$13-1)/2)/MAX(0.5,'Control Room'!$B$13/4))^2),1)*IF(AND($A91&gt;='Control Room'!$A$14,$A91&lt;'Control Room'!$A$14+'Control Room'!$B$14,'Process'!BR3=1),1+('Control Room'!$C$14-1)*EXP(-0.5*(($A91-'Control Room'!$A$14-('Control Room'!$B$14-1)/2)/MAX(0.5,'Control Room'!$B$14/4))^2),1)*IF(AND($A91&gt;='Control Room'!$A$15,$A91&lt;'Control Room'!$A$15+'Control Room'!$B$15,'Process'!BR4=1),1+('Control Room'!$C$15-1)*EXP(-0.5*(($A91-'Control Room'!$A$15-('Control Room'!$B$15-1)/2)/MAX(0.5,'Control Room'!$B$15/4))^2),1)*IF(AND($A91&gt;='Control Room'!$A$16,$A91&lt;'Control Room'!$A$16+'Control Room'!$B$16,'Process'!BR5=1),1+('Control Room'!$C$16-1)*EXP(-0.5*(($A91-'Control Room'!$A$16-('Control Room'!$B$16-1)/2)/MAX(0.5,'Control Room'!$B$16/4))^2),1)</x:f>
        <x:v>1</x:v>
      </x:c>
      <x:c r="AP91" s="9" t="n">
        <x:f>MOD(AQ90*16807,2147483647)</x:f>
        <x:v>1130282975</x:v>
      </x:c>
      <x:c r="AQ91" s="9" t="n">
        <x:f>MOD(AP91*16807,2147483647)</x:f>
        <x:v>25619463</x:v>
      </x:c>
      <x:c r="AR91" s="17" t="n">
        <x:f>IF('Control Room'!$B$5="Normal",'Control Room'!$B$7+'Control Room'!$D$7*SQRT(-2*LN(MAX(0.000000000001,AP91/2147483647)))*COS(2*PI()*AQ91/2147483647),'Control Room'!$B$8+('Control Room'!$D$8-'Control Room'!$B$8)*AP91/2147483647)</x:f>
        <x:v>1101.6824133844316</x:v>
      </x:c>
      <x:c r="AS91" s="17" t="n">
        <x:f>IF('Control Room'!$B$5="Normal",'Control Room'!$B$7,('Control Room'!$B$8+'Control Room'!$D$8)/2)+'Control Room'!$B$9*(AS90-IF('Control Room'!$B$5="Normal",'Control Room'!$B$7,('Control Room'!$B$8+'Control Room'!$D$8)/2))+SQRT(1-'Control Room'!$B$9^2)*(AR91-IF('Control Room'!$B$5="Normal",'Control Room'!$B$7,('Control Room'!$B$8+'Control Room'!$D$8)/2))</x:f>
        <x:v>1055.532938096506</x:v>
      </x:c>
      <x:c r="AT91" s="17" t="n">
        <x:f>IF(AND($A91&gt;='Control Room'!$A$13,$A91&lt;'Control Room'!$A$13+'Control Room'!$B$13,'Process'!BS2=1),1+('Control Room'!$C$13-1)*EXP(-0.5*(($A91-'Control Room'!$A$13-('Control Room'!$B$13-1)/2)/MAX(0.5,'Control Room'!$B$13/4))^2),1)*IF(AND($A91&gt;='Control Room'!$A$14,$A91&lt;'Control Room'!$A$14+'Control Room'!$B$14,'Process'!BS3=1),1+('Control Room'!$C$14-1)*EXP(-0.5*(($A91-'Control Room'!$A$14-('Control Room'!$B$14-1)/2)/MAX(0.5,'Control Room'!$B$14/4))^2),1)*IF(AND($A91&gt;='Control Room'!$A$15,$A91&lt;'Control Room'!$A$15+'Control Room'!$B$15,'Process'!BS4=1),1+('Control Room'!$C$15-1)*EXP(-0.5*(($A91-'Control Room'!$A$15-('Control Room'!$B$15-1)/2)/MAX(0.5,'Control Room'!$B$15/4))^2),1)*IF(AND($A91&gt;='Control Room'!$A$16,$A91&lt;'Control Room'!$A$16+'Control Room'!$B$16,'Process'!BS5=1),1+('Control Room'!$C$16-1)*EXP(-0.5*(($A91-'Control Room'!$A$16-('Control Room'!$B$16-1)/2)/MAX(0.5,'Control Room'!$B$16/4))^2),1)</x:f>
        <x:v>1</x:v>
      </x:c>
      <x:c r="AU91" s="9" t="n">
        <x:f>MOD(AV90*16807,2147483647)</x:f>
        <x:v>804317849</x:v>
      </x:c>
      <x:c r="AV91" s="9" t="n">
        <x:f>MOD(AU91*16807,2147483647)</x:f>
        <x:v>1908013925</x:v>
      </x:c>
      <x:c r="AW91" s="17" t="n">
        <x:f>IF('Control Room'!$B$5="Normal",'Control Room'!$B$7+'Control Room'!$D$7*SQRT(-2*LN(MAX(0.000000000001,AU91/2147483647)))*COS(2*PI()*AV91/2147483647),'Control Room'!$B$8+('Control Room'!$D$8-'Control Room'!$B$8)*AU91/2147483647)</x:f>
        <x:v>1096.4184574300878</x:v>
      </x:c>
      <x:c r="AX91" s="17" t="n">
        <x:f>IF('Control Room'!$B$5="Normal",'Control Room'!$B$7,('Control Room'!$B$8+'Control Room'!$D$8)/2)+'Control Room'!$B$9*(AX90-IF('Control Room'!$B$5="Normal",'Control Room'!$B$7,('Control Room'!$B$8+'Control Room'!$D$8)/2))+SQRT(1-'Control Room'!$B$9^2)*(AW91-IF('Control Room'!$B$5="Normal",'Control Room'!$B$7,('Control Room'!$B$8+'Control Room'!$D$8)/2))</x:f>
        <x:v>1012.2836533309767</x:v>
      </x:c>
      <x:c r="AY91" s="17" t="n">
        <x:f>IF(AND($A91&gt;='Control Room'!$A$13,$A91&lt;'Control Room'!$A$13+'Control Room'!$B$13,'Process'!BT2=1),1+('Control Room'!$C$13-1)*EXP(-0.5*(($A91-'Control Room'!$A$13-('Control Room'!$B$13-1)/2)/MAX(0.5,'Control Room'!$B$13/4))^2),1)*IF(AND($A91&gt;='Control Room'!$A$14,$A91&lt;'Control Room'!$A$14+'Control Room'!$B$14,'Process'!BT3=1),1+('Control Room'!$C$14-1)*EXP(-0.5*(($A91-'Control Room'!$A$14-('Control Room'!$B$14-1)/2)/MAX(0.5,'Control Room'!$B$14/4))^2),1)*IF(AND($A91&gt;='Control Room'!$A$15,$A91&lt;'Control Room'!$A$15+'Control Room'!$B$15,'Process'!BT4=1),1+('Control Room'!$C$15-1)*EXP(-0.5*(($A91-'Control Room'!$A$15-('Control Room'!$B$15-1)/2)/MAX(0.5,'Control Room'!$B$15/4))^2),1)*IF(AND($A91&gt;='Control Room'!$A$16,$A91&lt;'Control Room'!$A$16+'Control Room'!$B$16,'Process'!BT5=1),1+('Control Room'!$C$16-1)*EXP(-0.5*(($A91-'Control Room'!$A$16-('Control Room'!$B$16-1)/2)/MAX(0.5,'Control Room'!$B$16/4))^2),1)</x:f>
        <x:v>1</x:v>
      </x:c>
      <x:c r="AZ91" s="9" t="n">
        <x:f>MOD(BA90*16807,2147483647)</x:f>
        <x:v>478352723</x:v>
      </x:c>
      <x:c r="BA91" s="9" t="n">
        <x:f>MOD(AZ91*16807,2147483647)</x:f>
        <x:v>1642924740</x:v>
      </x:c>
      <x:c r="BB91" s="17" t="n">
        <x:f>IF('Control Room'!$B$5="Normal",'Control Room'!$B$7+'Control Room'!$D$7*SQRT(-2*LN(MAX(0.000000000001,AZ91/2147483647)))*COS(2*PI()*BA91/2147483647),'Control Room'!$B$8+('Control Room'!$D$8-'Control Room'!$B$8)*AZ91/2147483647)</x:f>
        <x:v>1014.7236812294187</x:v>
      </x:c>
      <x:c r="BC91" s="17" t="n">
        <x:f>IF('Control Room'!$B$5="Normal",'Control Room'!$B$7,('Control Room'!$B$8+'Control Room'!$D$8)/2)+'Control Room'!$B$9*(BC90-IF('Control Room'!$B$5="Normal",'Control Room'!$B$7,('Control Room'!$B$8+'Control Room'!$D$8)/2))+SQRT(1-'Control Room'!$B$9^2)*(BB91-IF('Control Room'!$B$5="Normal",'Control Room'!$B$7,('Control Room'!$B$8+'Control Room'!$D$8)/2))</x:f>
        <x:v>1066.6712721624965</x:v>
      </x:c>
      <x:c r="BD91" s="17" t="n">
        <x:f>IF(AND($A91&gt;='Control Room'!$A$13,$A91&lt;'Control Room'!$A$13+'Control Room'!$B$13,'Process'!BU2=1),1+('Control Room'!$C$13-1)*EXP(-0.5*(($A91-'Control Room'!$A$13-('Control Room'!$B$13-1)/2)/MAX(0.5,'Control Room'!$B$13/4))^2),1)*IF(AND($A91&gt;='Control Room'!$A$14,$A91&lt;'Control Room'!$A$14+'Control Room'!$B$14,'Process'!BU3=1),1+('Control Room'!$C$14-1)*EXP(-0.5*(($A91-'Control Room'!$A$14-('Control Room'!$B$14-1)/2)/MAX(0.5,'Control Room'!$B$14/4))^2),1)*IF(AND($A91&gt;='Control Room'!$A$15,$A91&lt;'Control Room'!$A$15+'Control Room'!$B$15,'Process'!BU4=1),1+('Control Room'!$C$15-1)*EXP(-0.5*(($A91-'Control Room'!$A$15-('Control Room'!$B$15-1)/2)/MAX(0.5,'Control Room'!$B$15/4))^2),1)*IF(AND($A91&gt;='Control Room'!$A$16,$A91&lt;'Control Room'!$A$16+'Control Room'!$B$16,'Process'!BU5=1),1+('Control Room'!$C$16-1)*EXP(-0.5*(($A91-'Control Room'!$A$16-('Control Room'!$B$16-1)/2)/MAX(0.5,'Control Room'!$B$16/4))^2),1)</x:f>
        <x:v>1</x:v>
      </x:c>
      <x:c r="BE91" s="9" t="n">
        <x:f>MOD(BF90*16807,2147483647)</x:f>
        <x:v>152387597</x:v>
      </x:c>
      <x:c r="BF91" s="9" t="n">
        <x:f>MOD(BE91*16807,2147483647)</x:f>
        <x:v>1377835555</x:v>
      </x:c>
      <x:c r="BG91" s="17" t="n">
        <x:f>IF('Control Room'!$B$5="Normal",'Control Room'!$B$7+'Control Room'!$D$7*SQRT(-2*LN(MAX(0.000000000001,BE91/2147483647)))*COS(2*PI()*BF91/2147483647),'Control Room'!$B$8+('Control Room'!$D$8-'Control Room'!$B$8)*BE91/2147483647)</x:f>
        <x:v>869.6526409811365</x:v>
      </x:c>
      <x:c r="BH91" s="17" t="n">
        <x:f>IF('Control Room'!$B$5="Normal",'Control Room'!$B$7,('Control Room'!$B$8+'Control Room'!$D$8)/2)+'Control Room'!$B$9*(BH90-IF('Control Room'!$B$5="Normal",'Control Room'!$B$7,('Control Room'!$B$8+'Control Room'!$D$8)/2))+SQRT(1-'Control Room'!$B$9^2)*(BG91-IF('Control Room'!$B$5="Normal",'Control Room'!$B$7,('Control Room'!$B$8+'Control Room'!$D$8)/2))</x:f>
        <x:v>950.0646316963324</x:v>
      </x:c>
      <x:c r="BI91" s="17" t="n">
        <x:f>IF(AND($A91&gt;='Control Room'!$A$13,$A91&lt;'Control Room'!$A$13+'Control Room'!$B$13,'Process'!BV2=1),1+('Control Room'!$C$13-1)*EXP(-0.5*(($A91-'Control Room'!$A$13-('Control Room'!$B$13-1)/2)/MAX(0.5,'Control Room'!$B$13/4))^2),1)*IF(AND($A91&gt;='Control Room'!$A$14,$A91&lt;'Control Room'!$A$14+'Control Room'!$B$14,'Process'!BV3=1),1+('Control Room'!$C$14-1)*EXP(-0.5*(($A91-'Control Room'!$A$14-('Control Room'!$B$14-1)/2)/MAX(0.5,'Control Room'!$B$14/4))^2),1)*IF(AND($A91&gt;='Control Room'!$A$15,$A91&lt;'Control Room'!$A$15+'Control Room'!$B$15,'Process'!BV4=1),1+('Control Room'!$C$15-1)*EXP(-0.5*(($A91-'Control Room'!$A$15-('Control Room'!$B$15-1)/2)/MAX(0.5,'Control Room'!$B$15/4))^2),1)*IF(AND($A91&gt;='Control Room'!$A$16,$A91&lt;'Control Room'!$A$16+'Control Room'!$B$16,'Process'!BV5=1),1+('Control Room'!$C$16-1)*EXP(-0.5*(($A91-'Control Room'!$A$16-('Control Room'!$B$16-1)/2)/MAX(0.5,'Control Room'!$B$16/4))^2),1)</x:f>
        <x:v>1</x:v>
      </x:c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Z91" t="str">
        <x:f>IF('Data'!A91="","",TEXT('Data'!A91,"mm-dd"))</x:f>
        <x:v>01-30</x:v>
      </x:c>
    </x:row>
    <x:row r="92" ht="21" customHeight="1">
      <x:c r="A92" s="15" t="n">
        <x:f>'Control Room'!$B$1+90</x:f>
        <x:v>73081</x:v>
      </x:c>
      <x:c r="B92" s="9" t="n">
        <x:f>MOD(C91*16807,2147483647)</x:f>
        <x:v>2134954342</x:v>
      </x:c>
      <x:c r="C92" s="9" t="n">
        <x:f>MOD(B92*16807,2147483647)</x:f>
        <x:v>2020851918</x:v>
      </x:c>
      <x:c r="D92" s="17" t="n">
        <x:f>IF('Control Room'!$B$5="Normal",'Control Room'!$B$7+'Control Room'!$D$7*SQRT(-2*LN(MAX(0.000000000001,B92/2147483647)))*COS(2*PI()*C92/2147483647),'Control Room'!$B$8+('Control Room'!$D$8-'Control Room'!$B$8)*B92/2147483647)</x:f>
        <x:v>1009.0755841444966</x:v>
      </x:c>
      <x:c r="E92" s="17" t="n">
        <x:f>IF('Control Room'!$B$5="Normal",'Control Room'!$B$7,('Control Room'!$B$8+'Control Room'!$D$8)/2)+'Control Room'!$B$9*(E91-IF('Control Room'!$B$5="Normal",'Control Room'!$B$7,('Control Room'!$B$8+'Control Room'!$D$8)/2))+SQRT(1-'Control Room'!$B$9^2)*(D92-IF('Control Room'!$B$5="Normal",'Control Room'!$B$7,('Control Room'!$B$8+'Control Room'!$D$8)/2))</x:f>
        <x:v>1005.5619460067493</x:v>
      </x:c>
      <x:c r="F92" s="17" t="n">
        <x:f>IF(AND($A92&gt;='Control Room'!$A$13,$A92&lt;'Control Room'!$A$13+'Control Room'!$B$13,'Process'!BK2=1),1+('Control Room'!$C$13-1)*EXP(-0.5*(($A92-'Control Room'!$A$13-('Control Room'!$B$13-1)/2)/MAX(0.5,'Control Room'!$B$13/4))^2),1)*IF(AND($A92&gt;='Control Room'!$A$14,$A92&lt;'Control Room'!$A$14+'Control Room'!$B$14,'Process'!BK3=1),1+('Control Room'!$C$14-1)*EXP(-0.5*(($A92-'Control Room'!$A$14-('Control Room'!$B$14-1)/2)/MAX(0.5,'Control Room'!$B$14/4))^2),1)*IF(AND($A92&gt;='Control Room'!$A$15,$A92&lt;'Control Room'!$A$15+'Control Room'!$B$15,'Process'!BK4=1),1+('Control Room'!$C$15-1)*EXP(-0.5*(($A92-'Control Room'!$A$15-('Control Room'!$B$15-1)/2)/MAX(0.5,'Control Room'!$B$15/4))^2),1)*IF(AND($A92&gt;='Control Room'!$A$16,$A92&lt;'Control Room'!$A$16+'Control Room'!$B$16,'Process'!BK5=1),1+('Control Room'!$C$16-1)*EXP(-0.5*(($A92-'Control Room'!$A$16-('Control Room'!$B$16-1)/2)/MAX(0.5,'Control Room'!$B$16/4))^2),1)</x:f>
        <x:v>1</x:v>
      </x:c>
      <x:c r="G92" s="9" t="n">
        <x:f>MOD(H91*16807,2147483647)</x:f>
        <x:v>662105925</x:v>
      </x:c>
      <x:c r="H92" s="9" t="n">
        <x:f>MOD(G92*16807,2147483647)</x:f>
        <x:v>1901506368</x:v>
      </x:c>
      <x:c r="I92" s="17" t="n">
        <x:f>IF('Control Room'!$B$5="Normal",'Control Room'!$B$7+'Control Room'!$D$7*SQRT(-2*LN(MAX(0.000000000001,G92/2147483647)))*COS(2*PI()*H92/2147483647),'Control Room'!$B$8+('Control Room'!$D$8-'Control Room'!$B$8)*G92/2147483647)</x:f>
        <x:v>1103.8247252424367</x:v>
      </x:c>
      <x:c r="J92" s="17" t="n">
        <x:f>IF('Control Room'!$B$5="Normal",'Control Room'!$B$7,('Control Room'!$B$8+'Control Room'!$D$8)/2)+'Control Room'!$B$9*(J91-IF('Control Room'!$B$5="Normal",'Control Room'!$B$7,('Control Room'!$B$8+'Control Room'!$D$8)/2))+SQRT(1-'Control Room'!$B$9^2)*(I92-IF('Control Room'!$B$5="Normal",'Control Room'!$B$7,('Control Room'!$B$8+'Control Room'!$D$8)/2))</x:f>
        <x:v>993.1853753791047</x:v>
      </x:c>
      <x:c r="K92" s="17" t="n">
        <x:f>IF(AND($A92&gt;='Control Room'!$A$13,$A92&lt;'Control Room'!$A$13+'Control Room'!$B$13,'Process'!BL2=1),1+('Control Room'!$C$13-1)*EXP(-0.5*(($A92-'Control Room'!$A$13-('Control Room'!$B$13-1)/2)/MAX(0.5,'Control Room'!$B$13/4))^2),1)*IF(AND($A92&gt;='Control Room'!$A$14,$A92&lt;'Control Room'!$A$14+'Control Room'!$B$14,'Process'!BL3=1),1+('Control Room'!$C$14-1)*EXP(-0.5*(($A92-'Control Room'!$A$14-('Control Room'!$B$14-1)/2)/MAX(0.5,'Control Room'!$B$14/4))^2),1)*IF(AND($A92&gt;='Control Room'!$A$15,$A92&lt;'Control Room'!$A$15+'Control Room'!$B$15,'Process'!BL4=1),1+('Control Room'!$C$15-1)*EXP(-0.5*(($A92-'Control Room'!$A$15-('Control Room'!$B$15-1)/2)/MAX(0.5,'Control Room'!$B$15/4))^2),1)*IF(AND($A92&gt;='Control Room'!$A$16,$A92&lt;'Control Room'!$A$16+'Control Room'!$B$16,'Process'!BL5=1),1+('Control Room'!$C$16-1)*EXP(-0.5*(($A92-'Control Room'!$A$16-('Control Room'!$B$16-1)/2)/MAX(0.5,'Control Room'!$B$16/4))^2),1)</x:f>
        <x:v>1</x:v>
      </x:c>
      <x:c r="L92" s="9" t="n">
        <x:f>MOD(M91*16807,2147483647)</x:f>
        <x:v>1336741155</x:v>
      </x:c>
      <x:c r="M92" s="9" t="n">
        <x:f>MOD(L92*16807,2147483647)</x:f>
        <x:v>1782160818</x:v>
      </x:c>
      <x:c r="N92" s="17" t="n">
        <x:f>IF('Control Room'!$B$5="Normal",'Control Room'!$B$7+'Control Room'!$D$7*SQRT(-2*LN(MAX(0.000000000001,L92/2147483647)))*COS(2*PI()*M92/2147483647),'Control Room'!$B$8+('Control Room'!$D$8-'Control Room'!$B$8)*L92/2147483647)</x:f>
        <x:v>1042.161922370877</x:v>
      </x:c>
      <x:c r="O92" s="17" t="n">
        <x:f>IF('Control Room'!$B$5="Normal",'Control Room'!$B$7,('Control Room'!$B$8+'Control Room'!$D$8)/2)+'Control Room'!$B$9*(O91-IF('Control Room'!$B$5="Normal",'Control Room'!$B$7,('Control Room'!$B$8+'Control Room'!$D$8)/2))+SQRT(1-'Control Room'!$B$9^2)*(N92-IF('Control Room'!$B$5="Normal",'Control Room'!$B$7,('Control Room'!$B$8+'Control Room'!$D$8)/2))</x:f>
        <x:v>1027.524934962489</x:v>
      </x:c>
      <x:c r="P92" s="17" t="n">
        <x:f>IF(AND($A92&gt;='Control Room'!$A$13,$A92&lt;'Control Room'!$A$13+'Control Room'!$B$13,'Process'!BM2=1),1+('Control Room'!$C$13-1)*EXP(-0.5*(($A92-'Control Room'!$A$13-('Control Room'!$B$13-1)/2)/MAX(0.5,'Control Room'!$B$13/4))^2),1)*IF(AND($A92&gt;='Control Room'!$A$14,$A92&lt;'Control Room'!$A$14+'Control Room'!$B$14,'Process'!BM3=1),1+('Control Room'!$C$14-1)*EXP(-0.5*(($A92-'Control Room'!$A$14-('Control Room'!$B$14-1)/2)/MAX(0.5,'Control Room'!$B$14/4))^2),1)*IF(AND($A92&gt;='Control Room'!$A$15,$A92&lt;'Control Room'!$A$15+'Control Room'!$B$15,'Process'!BM4=1),1+('Control Room'!$C$15-1)*EXP(-0.5*(($A92-'Control Room'!$A$15-('Control Room'!$B$15-1)/2)/MAX(0.5,'Control Room'!$B$15/4))^2),1)*IF(AND($A92&gt;='Control Room'!$A$16,$A92&lt;'Control Room'!$A$16+'Control Room'!$B$16,'Process'!BM5=1),1+('Control Room'!$C$16-1)*EXP(-0.5*(($A92-'Control Room'!$A$16-('Control Room'!$B$16-1)/2)/MAX(0.5,'Control Room'!$B$16/4))^2),1)</x:f>
        <x:v>1</x:v>
      </x:c>
      <x:c r="Q92" s="9" t="n">
        <x:f>MOD(R91*16807,2147483647)</x:f>
        <x:v>2011376385</x:v>
      </x:c>
      <x:c r="R92" s="9" t="n">
        <x:f>MOD(Q92*16807,2147483647)</x:f>
        <x:v>1662815268</x:v>
      </x:c>
      <x:c r="S92" s="17" t="n">
        <x:f>IF('Control Room'!$B$5="Normal",'Control Room'!$B$7+'Control Room'!$D$7*SQRT(-2*LN(MAX(0.000000000001,Q92/2147483647)))*COS(2*PI()*R92/2147483647),'Control Room'!$B$8+('Control Room'!$D$8-'Control Room'!$B$8)*Q92/2147483647)</x:f>
        <x:v>1004.955132446546</x:v>
      </x:c>
      <x:c r="T92" s="17" t="n">
        <x:f>IF('Control Room'!$B$5="Normal",'Control Room'!$B$7,('Control Room'!$B$8+'Control Room'!$D$8)/2)+'Control Room'!$B$9*(T91-IF('Control Room'!$B$5="Normal",'Control Room'!$B$7,('Control Room'!$B$8+'Control Room'!$D$8)/2))+SQRT(1-'Control Room'!$B$9^2)*(S92-IF('Control Room'!$B$5="Normal",'Control Room'!$B$7,('Control Room'!$B$8+'Control Room'!$D$8)/2))</x:f>
        <x:v>974.3224603193939</x:v>
      </x:c>
      <x:c r="U92" s="17" t="n">
        <x:f>IF(AND($A92&gt;='Control Room'!$A$13,$A92&lt;'Control Room'!$A$13+'Control Room'!$B$13,'Process'!BN2=1),1+('Control Room'!$C$13-1)*EXP(-0.5*(($A92-'Control Room'!$A$13-('Control Room'!$B$13-1)/2)/MAX(0.5,'Control Room'!$B$13/4))^2),1)*IF(AND($A92&gt;='Control Room'!$A$14,$A92&lt;'Control Room'!$A$14+'Control Room'!$B$14,'Process'!BN3=1),1+('Control Room'!$C$14-1)*EXP(-0.5*(($A92-'Control Room'!$A$14-('Control Room'!$B$14-1)/2)/MAX(0.5,'Control Room'!$B$14/4))^2),1)*IF(AND($A92&gt;='Control Room'!$A$15,$A92&lt;'Control Room'!$A$15+'Control Room'!$B$15,'Process'!BN4=1),1+('Control Room'!$C$15-1)*EXP(-0.5*(($A92-'Control Room'!$A$15-('Control Room'!$B$15-1)/2)/MAX(0.5,'Control Room'!$B$15/4))^2),1)*IF(AND($A92&gt;='Control Room'!$A$16,$A92&lt;'Control Room'!$A$16+'Control Room'!$B$16,'Process'!BN5=1),1+('Control Room'!$C$16-1)*EXP(-0.5*(($A92-'Control Room'!$A$16-('Control Room'!$B$16-1)/2)/MAX(0.5,'Control Room'!$B$16/4))^2),1)</x:f>
        <x:v>1</x:v>
      </x:c>
      <x:c r="V92" s="9" t="n">
        <x:f>MOD(W91*16807,2147483647)</x:f>
        <x:v>538527968</x:v>
      </x:c>
      <x:c r="W92" s="9" t="n">
        <x:f>MOD(V92*16807,2147483647)</x:f>
        <x:v>1543469718</x:v>
      </x:c>
      <x:c r="X92" s="17" t="n">
        <x:f>IF('Control Room'!$B$5="Normal",'Control Room'!$B$7+'Control Room'!$D$7*SQRT(-2*LN(MAX(0.000000000001,V92/2147483647)))*COS(2*PI()*W92/2147483647),'Control Room'!$B$8+('Control Room'!$D$8-'Control Room'!$B$8)*V92/2147483647)</x:f>
        <x:v>970.7816410486945</x:v>
      </x:c>
      <x:c r="Y92" s="17" t="n">
        <x:f>IF('Control Room'!$B$5="Normal",'Control Room'!$B$7,('Control Room'!$B$8+'Control Room'!$D$8)/2)+'Control Room'!$B$9*(Y91-IF('Control Room'!$B$5="Normal",'Control Room'!$B$7,('Control Room'!$B$8+'Control Room'!$D$8)/2))+SQRT(1-'Control Room'!$B$9^2)*(X92-IF('Control Room'!$B$5="Normal",'Control Room'!$B$7,('Control Room'!$B$8+'Control Room'!$D$8)/2))</x:f>
        <x:v>853.1189692925318</x:v>
      </x:c>
      <x:c r="Z92" s="17" t="n">
        <x:f>IF(AND($A92&gt;='Control Room'!$A$13,$A92&lt;'Control Room'!$A$13+'Control Room'!$B$13,'Process'!BO2=1),1+('Control Room'!$C$13-1)*EXP(-0.5*(($A92-'Control Room'!$A$13-('Control Room'!$B$13-1)/2)/MAX(0.5,'Control Room'!$B$13/4))^2),1)*IF(AND($A92&gt;='Control Room'!$A$14,$A92&lt;'Control Room'!$A$14+'Control Room'!$B$14,'Process'!BO3=1),1+('Control Room'!$C$14-1)*EXP(-0.5*(($A92-'Control Room'!$A$14-('Control Room'!$B$14-1)/2)/MAX(0.5,'Control Room'!$B$14/4))^2),1)*IF(AND($A92&gt;='Control Room'!$A$15,$A92&lt;'Control Room'!$A$15+'Control Room'!$B$15,'Process'!BO4=1),1+('Control Room'!$C$15-1)*EXP(-0.5*(($A92-'Control Room'!$A$15-('Control Room'!$B$15-1)/2)/MAX(0.5,'Control Room'!$B$15/4))^2),1)*IF(AND($A92&gt;='Control Room'!$A$16,$A92&lt;'Control Room'!$A$16+'Control Room'!$B$16,'Process'!BO5=1),1+('Control Room'!$C$16-1)*EXP(-0.5*(($A92-'Control Room'!$A$16-('Control Room'!$B$16-1)/2)/MAX(0.5,'Control Room'!$B$16/4))^2),1)</x:f>
        <x:v>1</x:v>
      </x:c>
      <x:c r="AA92" s="9" t="n">
        <x:f>MOD(AB91*16807,2147483647)</x:f>
        <x:v>1213163198</x:v>
      </x:c>
      <x:c r="AB92" s="9" t="n">
        <x:f>MOD(AA92*16807,2147483647)</x:f>
        <x:v>1424124168</x:v>
      </x:c>
      <x:c r="AC92" s="17" t="n">
        <x:f>IF('Control Room'!$B$5="Normal",'Control Room'!$B$7+'Control Room'!$D$7*SQRT(-2*LN(MAX(0.000000000001,AA92/2147483647)))*COS(2*PI()*AB92/2147483647),'Control Room'!$B$8+('Control Room'!$D$8-'Control Room'!$B$8)*AA92/2147483647)</x:f>
        <x:v>950.0845240264043</x:v>
      </x:c>
      <x:c r="AD92" s="17" t="n">
        <x:f>IF('Control Room'!$B$5="Normal",'Control Room'!$B$7,('Control Room'!$B$8+'Control Room'!$D$8)/2)+'Control Room'!$B$9*(AD91-IF('Control Room'!$B$5="Normal",'Control Room'!$B$7,('Control Room'!$B$8+'Control Room'!$D$8)/2))+SQRT(1-'Control Room'!$B$9^2)*(AC92-IF('Control Room'!$B$5="Normal",'Control Room'!$B$7,('Control Room'!$B$8+'Control Room'!$D$8)/2))</x:f>
        <x:v>1044.162622450174</x:v>
      </x:c>
      <x:c r="AE92" s="17" t="n">
        <x:f>IF(AND($A92&gt;='Control Room'!$A$13,$A92&lt;'Control Room'!$A$13+'Control Room'!$B$13,'Process'!BP2=1),1+('Control Room'!$C$13-1)*EXP(-0.5*(($A92-'Control Room'!$A$13-('Control Room'!$B$13-1)/2)/MAX(0.5,'Control Room'!$B$13/4))^2),1)*IF(AND($A92&gt;='Control Room'!$A$14,$A92&lt;'Control Room'!$A$14+'Control Room'!$B$14,'Process'!BP3=1),1+('Control Room'!$C$14-1)*EXP(-0.5*(($A92-'Control Room'!$A$14-('Control Room'!$B$14-1)/2)/MAX(0.5,'Control Room'!$B$14/4))^2),1)*IF(AND($A92&gt;='Control Room'!$A$15,$A92&lt;'Control Room'!$A$15+'Control Room'!$B$15,'Process'!BP4=1),1+('Control Room'!$C$15-1)*EXP(-0.5*(($A92-'Control Room'!$A$15-('Control Room'!$B$15-1)/2)/MAX(0.5,'Control Room'!$B$15/4))^2),1)*IF(AND($A92&gt;='Control Room'!$A$16,$A92&lt;'Control Room'!$A$16+'Control Room'!$B$16,'Process'!BP5=1),1+('Control Room'!$C$16-1)*EXP(-0.5*(($A92-'Control Room'!$A$16-('Control Room'!$B$16-1)/2)/MAX(0.5,'Control Room'!$B$16/4))^2),1)</x:f>
        <x:v>1</x:v>
      </x:c>
      <x:c r="AF92" s="9" t="n">
        <x:f>MOD(AG91*16807,2147483647)</x:f>
        <x:v>1887798428</x:v>
      </x:c>
      <x:c r="AG92" s="9" t="n">
        <x:f>MOD(AF92*16807,2147483647)</x:f>
        <x:v>1304778618</x:v>
      </x:c>
      <x:c r="AH92" s="17" t="n">
        <x:f>IF('Control Room'!$B$5="Normal",'Control Room'!$B$7+'Control Room'!$D$7*SQRT(-2*LN(MAX(0.000000000001,AF92/2147483647)))*COS(2*PI()*AG92/2147483647),'Control Room'!$B$8+('Control Room'!$D$8-'Control Room'!$B$8)*AF92/2147483647)</x:f>
        <x:v>964.354232403605</x:v>
      </x:c>
      <x:c r="AI92" s="17" t="n">
        <x:f>IF('Control Room'!$B$5="Normal",'Control Room'!$B$7,('Control Room'!$B$8+'Control Room'!$D$8)/2)+'Control Room'!$B$9*(AI91-IF('Control Room'!$B$5="Normal",'Control Room'!$B$7,('Control Room'!$B$8+'Control Room'!$D$8)/2))+SQRT(1-'Control Room'!$B$9^2)*(AH92-IF('Control Room'!$B$5="Normal",'Control Room'!$B$7,('Control Room'!$B$8+'Control Room'!$D$8)/2))</x:f>
        <x:v>992.9212873872491</x:v>
      </x:c>
      <x:c r="AJ92" s="17" t="n">
        <x:f>IF(AND($A92&gt;='Control Room'!$A$13,$A92&lt;'Control Room'!$A$13+'Control Room'!$B$13,'Process'!BQ2=1),1+('Control Room'!$C$13-1)*EXP(-0.5*(($A92-'Control Room'!$A$13-('Control Room'!$B$13-1)/2)/MAX(0.5,'Control Room'!$B$13/4))^2),1)*IF(AND($A92&gt;='Control Room'!$A$14,$A92&lt;'Control Room'!$A$14+'Control Room'!$B$14,'Process'!BQ3=1),1+('Control Room'!$C$14-1)*EXP(-0.5*(($A92-'Control Room'!$A$14-('Control Room'!$B$14-1)/2)/MAX(0.5,'Control Room'!$B$14/4))^2),1)*IF(AND($A92&gt;='Control Room'!$A$15,$A92&lt;'Control Room'!$A$15+'Control Room'!$B$15,'Process'!BQ4=1),1+('Control Room'!$C$15-1)*EXP(-0.5*(($A92-'Control Room'!$A$15-('Control Room'!$B$15-1)/2)/MAX(0.5,'Control Room'!$B$15/4))^2),1)*IF(AND($A92&gt;='Control Room'!$A$16,$A92&lt;'Control Room'!$A$16+'Control Room'!$B$16,'Process'!BQ5=1),1+('Control Room'!$C$16-1)*EXP(-0.5*(($A92-'Control Room'!$A$16-('Control Room'!$B$16-1)/2)/MAX(0.5,'Control Room'!$B$16/4))^2),1)</x:f>
        <x:v>1</x:v>
      </x:c>
      <x:c r="AK92" s="9" t="n">
        <x:f>MOD(AL91*16807,2147483647)</x:f>
        <x:v>414950011</x:v>
      </x:c>
      <x:c r="AL92" s="9" t="n">
        <x:f>MOD(AK92*16807,2147483647)</x:f>
        <x:v>1185433068</x:v>
      </x:c>
      <x:c r="AM92" s="17" t="n">
        <x:f>IF('Control Room'!$B$5="Normal",'Control Room'!$B$7+'Control Room'!$D$7*SQRT(-2*LN(MAX(0.000000000001,AK92/2147483647)))*COS(2*PI()*AL92/2147483647),'Control Room'!$B$8+('Control Room'!$D$8-'Control Room'!$B$8)*AK92/2147483647)</x:f>
        <x:v>845.4461050053434</x:v>
      </x:c>
      <x:c r="AN92" s="17" t="n">
        <x:f>IF('Control Room'!$B$5="Normal",'Control Room'!$B$7,('Control Room'!$B$8+'Control Room'!$D$8)/2)+'Control Room'!$B$9*(AN91-IF('Control Room'!$B$5="Normal",'Control Room'!$B$7,('Control Room'!$B$8+'Control Room'!$D$8)/2))+SQRT(1-'Control Room'!$B$9^2)*(AM92-IF('Control Room'!$B$5="Normal",'Control Room'!$B$7,('Control Room'!$B$8+'Control Room'!$D$8)/2))</x:f>
        <x:v>924.8769120101566</x:v>
      </x:c>
      <x:c r="AO92" s="17" t="n">
        <x:f>IF(AND($A92&gt;='Control Room'!$A$13,$A92&lt;'Control Room'!$A$13+'Control Room'!$B$13,'Process'!BR2=1),1+('Control Room'!$C$13-1)*EXP(-0.5*(($A92-'Control Room'!$A$13-('Control Room'!$B$13-1)/2)/MAX(0.5,'Control Room'!$B$13/4))^2),1)*IF(AND($A92&gt;='Control Room'!$A$14,$A92&lt;'Control Room'!$A$14+'Control Room'!$B$14,'Process'!BR3=1),1+('Control Room'!$C$14-1)*EXP(-0.5*(($A92-'Control Room'!$A$14-('Control Room'!$B$14-1)/2)/MAX(0.5,'Control Room'!$B$14/4))^2),1)*IF(AND($A92&gt;='Control Room'!$A$15,$A92&lt;'Control Room'!$A$15+'Control Room'!$B$15,'Process'!BR4=1),1+('Control Room'!$C$15-1)*EXP(-0.5*(($A92-'Control Room'!$A$15-('Control Room'!$B$15-1)/2)/MAX(0.5,'Control Room'!$B$15/4))^2),1)*IF(AND($A92&gt;='Control Room'!$A$16,$A92&lt;'Control Room'!$A$16+'Control Room'!$B$16,'Process'!BR5=1),1+('Control Room'!$C$16-1)*EXP(-0.5*(($A92-'Control Room'!$A$16-('Control Room'!$B$16-1)/2)/MAX(0.5,'Control Room'!$B$16/4))^2),1)</x:f>
        <x:v>1</x:v>
      </x:c>
      <x:c r="AP92" s="9" t="n">
        <x:f>MOD(AQ91*16807,2147483647)</x:f>
        <x:v>1089585241</x:v>
      </x:c>
      <x:c r="AQ92" s="9" t="n">
        <x:f>MOD(AP92*16807,2147483647)</x:f>
        <x:v>1066087518</x:v>
      </x:c>
      <x:c r="AR92" s="17" t="n">
        <x:f>IF('Control Room'!$B$5="Normal",'Control Room'!$B$7+'Control Room'!$D$7*SQRT(-2*LN(MAX(0.000000000001,AP92/2147483647)))*COS(2*PI()*AQ92/2147483647),'Control Room'!$B$8+('Control Room'!$D$8-'Control Room'!$B$8)*AP92/2147483647)</x:f>
        <x:v>895.1850087817746</x:v>
      </x:c>
      <x:c r="AS92" s="17" t="n">
        <x:f>IF('Control Room'!$B$5="Normal",'Control Room'!$B$7,('Control Room'!$B$8+'Control Room'!$D$8)/2)+'Control Room'!$B$9*(AS91-IF('Control Room'!$B$5="Normal",'Control Room'!$B$7,('Control Room'!$B$8+'Control Room'!$D$8)/2))+SQRT(1-'Control Room'!$B$9^2)*(AR92-IF('Control Room'!$B$5="Normal",'Control Room'!$B$7,('Control Room'!$B$8+'Control Room'!$D$8)/2))</x:f>
        <x:v>977.724617462718</x:v>
      </x:c>
      <x:c r="AT92" s="17" t="n">
        <x:f>IF(AND($A92&gt;='Control Room'!$A$13,$A92&lt;'Control Room'!$A$13+'Control Room'!$B$13,'Process'!BS2=1),1+('Control Room'!$C$13-1)*EXP(-0.5*(($A92-'Control Room'!$A$13-('Control Room'!$B$13-1)/2)/MAX(0.5,'Control Room'!$B$13/4))^2),1)*IF(AND($A92&gt;='Control Room'!$A$14,$A92&lt;'Control Room'!$A$14+'Control Room'!$B$14,'Process'!BS3=1),1+('Control Room'!$C$14-1)*EXP(-0.5*(($A92-'Control Room'!$A$14-('Control Room'!$B$14-1)/2)/MAX(0.5,'Control Room'!$B$14/4))^2),1)*IF(AND($A92&gt;='Control Room'!$A$15,$A92&lt;'Control Room'!$A$15+'Control Room'!$B$15,'Process'!BS4=1),1+('Control Room'!$C$15-1)*EXP(-0.5*(($A92-'Control Room'!$A$15-('Control Room'!$B$15-1)/2)/MAX(0.5,'Control Room'!$B$15/4))^2),1)*IF(AND($A92&gt;='Control Room'!$A$16,$A92&lt;'Control Room'!$A$16+'Control Room'!$B$16,'Process'!BS5=1),1+('Control Room'!$C$16-1)*EXP(-0.5*(($A92-'Control Room'!$A$16-('Control Room'!$B$16-1)/2)/MAX(0.5,'Control Room'!$B$16/4))^2),1)</x:f>
        <x:v>1</x:v>
      </x:c>
      <x:c r="AU92" s="9" t="n">
        <x:f>MOD(AV91*16807,2147483647)</x:f>
        <x:v>1764220471</x:v>
      </x:c>
      <x:c r="AV92" s="9" t="n">
        <x:f>MOD(AU92*16807,2147483647)</x:f>
        <x:v>946741968</x:v>
      </x:c>
      <x:c r="AW92" s="17" t="n">
        <x:f>IF('Control Room'!$B$5="Normal",'Control Room'!$B$7+'Control Room'!$D$7*SQRT(-2*LN(MAX(0.000000000001,AU92/2147483647)))*COS(2*PI()*AV92/2147483647),'Control Room'!$B$8+('Control Room'!$D$8-'Control Room'!$B$8)*AU92/2147483647)</x:f>
        <x:v>947.417971007701</x:v>
      </x:c>
      <x:c r="AX92" s="17" t="n">
        <x:f>IF('Control Room'!$B$5="Normal",'Control Room'!$B$7,('Control Room'!$B$8+'Control Room'!$D$8)/2)+'Control Room'!$B$9*(AX91-IF('Control Room'!$B$5="Normal",'Control Room'!$B$7,('Control Room'!$B$8+'Control Room'!$D$8)/2))+SQRT(1-'Control Room'!$B$9^2)*(AW92-IF('Control Room'!$B$5="Normal",'Control Room'!$B$7,('Control Room'!$B$8+'Control Room'!$D$8)/2))</x:f>
        <x:v>976.676493056196</x:v>
      </x:c>
      <x:c r="AY92" s="17" t="n">
        <x:f>IF(AND($A92&gt;='Control Room'!$A$13,$A92&lt;'Control Room'!$A$13+'Control Room'!$B$13,'Process'!BT2=1),1+('Control Room'!$C$13-1)*EXP(-0.5*(($A92-'Control Room'!$A$13-('Control Room'!$B$13-1)/2)/MAX(0.5,'Control Room'!$B$13/4))^2),1)*IF(AND($A92&gt;='Control Room'!$A$14,$A92&lt;'Control Room'!$A$14+'Control Room'!$B$14,'Process'!BT3=1),1+('Control Room'!$C$14-1)*EXP(-0.5*(($A92-'Control Room'!$A$14-('Control Room'!$B$14-1)/2)/MAX(0.5,'Control Room'!$B$14/4))^2),1)*IF(AND($A92&gt;='Control Room'!$A$15,$A92&lt;'Control Room'!$A$15+'Control Room'!$B$15,'Process'!BT4=1),1+('Control Room'!$C$15-1)*EXP(-0.5*(($A92-'Control Room'!$A$15-('Control Room'!$B$15-1)/2)/MAX(0.5,'Control Room'!$B$15/4))^2),1)*IF(AND($A92&gt;='Control Room'!$A$16,$A92&lt;'Control Room'!$A$16+'Control Room'!$B$16,'Process'!BT5=1),1+('Control Room'!$C$16-1)*EXP(-0.5*(($A92-'Control Room'!$A$16-('Control Room'!$B$16-1)/2)/MAX(0.5,'Control Room'!$B$16/4))^2),1)</x:f>
        <x:v>1</x:v>
      </x:c>
      <x:c r="AZ92" s="9" t="n">
        <x:f>MOD(BA91*16807,2147483647)</x:f>
        <x:v>291372054</x:v>
      </x:c>
      <x:c r="BA92" s="9" t="n">
        <x:f>MOD(AZ92*16807,2147483647)</x:f>
        <x:v>827396418</x:v>
      </x:c>
      <x:c r="BB92" s="17" t="n">
        <x:f>IF('Control Room'!$B$5="Normal",'Control Room'!$B$7+'Control Room'!$D$7*SQRT(-2*LN(MAX(0.000000000001,AZ92/2147483647)))*COS(2*PI()*BA92/2147483647),'Control Room'!$B$8+('Control Room'!$D$8-'Control Room'!$B$8)*AZ92/2147483647)</x:f>
        <x:v>864.852163076441</x:v>
      </x:c>
      <x:c r="BC92" s="17" t="n">
        <x:f>IF('Control Room'!$B$5="Normal",'Control Room'!$B$7,('Control Room'!$B$8+'Control Room'!$D$8)/2)+'Control Room'!$B$9*(BC91-IF('Control Room'!$B$5="Normal",'Control Room'!$B$7,('Control Room'!$B$8+'Control Room'!$D$8)/2))+SQRT(1-'Control Room'!$B$9^2)*(BB92-IF('Control Room'!$B$5="Normal",'Control Room'!$B$7,('Control Room'!$B$8+'Control Room'!$D$8)/2))</x:f>
        <x:v>967.4308445939132</x:v>
      </x:c>
      <x:c r="BD92" s="17" t="n">
        <x:f>IF(AND($A92&gt;='Control Room'!$A$13,$A92&lt;'Control Room'!$A$13+'Control Room'!$B$13,'Process'!BU2=1),1+('Control Room'!$C$13-1)*EXP(-0.5*(($A92-'Control Room'!$A$13-('Control Room'!$B$13-1)/2)/MAX(0.5,'Control Room'!$B$13/4))^2),1)*IF(AND($A92&gt;='Control Room'!$A$14,$A92&lt;'Control Room'!$A$14+'Control Room'!$B$14,'Process'!BU3=1),1+('Control Room'!$C$14-1)*EXP(-0.5*(($A92-'Control Room'!$A$14-('Control Room'!$B$14-1)/2)/MAX(0.5,'Control Room'!$B$14/4))^2),1)*IF(AND($A92&gt;='Control Room'!$A$15,$A92&lt;'Control Room'!$A$15+'Control Room'!$B$15,'Process'!BU4=1),1+('Control Room'!$C$15-1)*EXP(-0.5*(($A92-'Control Room'!$A$15-('Control Room'!$B$15-1)/2)/MAX(0.5,'Control Room'!$B$15/4))^2),1)*IF(AND($A92&gt;='Control Room'!$A$16,$A92&lt;'Control Room'!$A$16+'Control Room'!$B$16,'Process'!BU5=1),1+('Control Room'!$C$16-1)*EXP(-0.5*(($A92-'Control Room'!$A$16-('Control Room'!$B$16-1)/2)/MAX(0.5,'Control Room'!$B$16/4))^2),1)</x:f>
        <x:v>1</x:v>
      </x:c>
      <x:c r="BE92" s="9" t="n">
        <x:f>MOD(BF91*16807,2147483647)</x:f>
        <x:v>966007284</x:v>
      </x:c>
      <x:c r="BF92" s="9" t="n">
        <x:f>MOD(BE92*16807,2147483647)</x:f>
        <x:v>708050868</x:v>
      </x:c>
      <x:c r="BG92" s="17" t="n">
        <x:f>IF('Control Room'!$B$5="Normal",'Control Room'!$B$7+'Control Room'!$D$7*SQRT(-2*LN(MAX(0.000000000001,BE92/2147483647)))*COS(2*PI()*BF92/2147483647),'Control Room'!$B$8+('Control Room'!$D$8-'Control Room'!$B$8)*BE92/2147483647)</x:f>
        <x:v>945.3751432126846</x:v>
      </x:c>
      <x:c r="BH92" s="17" t="n">
        <x:f>IF('Control Room'!$B$5="Normal",'Control Room'!$B$7,('Control Room'!$B$8+'Control Room'!$D$8)/2)+'Control Room'!$B$9*(BH91-IF('Control Room'!$B$5="Normal",'Control Room'!$B$7,('Control Room'!$B$8+'Control Room'!$D$8)/2))+SQRT(1-'Control Room'!$B$9^2)*(BG92-IF('Control Room'!$B$5="Normal",'Control Room'!$B$7,('Control Room'!$B$8+'Control Room'!$D$8)/2))</x:f>
        <x:v>926.8672963966544</x:v>
      </x:c>
      <x:c r="BI92" s="17" t="n">
        <x:f>IF(AND($A92&gt;='Control Room'!$A$13,$A92&lt;'Control Room'!$A$13+'Control Room'!$B$13,'Process'!BV2=1),1+('Control Room'!$C$13-1)*EXP(-0.5*(($A92-'Control Room'!$A$13-('Control Room'!$B$13-1)/2)/MAX(0.5,'Control Room'!$B$13/4))^2),1)*IF(AND($A92&gt;='Control Room'!$A$14,$A92&lt;'Control Room'!$A$14+'Control Room'!$B$14,'Process'!BV3=1),1+('Control Room'!$C$14-1)*EXP(-0.5*(($A92-'Control Room'!$A$14-('Control Room'!$B$14-1)/2)/MAX(0.5,'Control Room'!$B$14/4))^2),1)*IF(AND($A92&gt;='Control Room'!$A$15,$A92&lt;'Control Room'!$A$15+'Control Room'!$B$15,'Process'!BV4=1),1+('Control Room'!$C$15-1)*EXP(-0.5*(($A92-'Control Room'!$A$15-('Control Room'!$B$15-1)/2)/MAX(0.5,'Control Room'!$B$15/4))^2),1)*IF(AND($A92&gt;='Control Room'!$A$16,$A92&lt;'Control Room'!$A$16+'Control Room'!$B$16,'Process'!BV5=1),1+('Control Room'!$C$16-1)*EXP(-0.5*(($A92-'Control Room'!$A$16-('Control Room'!$B$16-1)/2)/MAX(0.5,'Control Room'!$B$16/4))^2),1)</x:f>
        <x:v>1</x:v>
      </x:c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Z92" t="str">
        <x:f>IF('Data'!A92="","",TEXT('Data'!A92,"mm-dd"))</x:f>
        <x:v>01-31</x:v>
      </x:c>
    </x:row>
    <x:row r="93" ht="21" customHeight="1">
      <x:c r="A93" s="15" t="n">
        <x:f>'Control Room'!$B$1+91</x:f>
        <x:v>73082</x:v>
      </x:c>
      <x:c r="B93" s="9" t="n">
        <x:f>MOD(C92*16807,2147483647)</x:f>
        <x:v>2004308521</x:v>
      </x:c>
      <x:c r="C93" s="9" t="n">
        <x:f>MOD(B93*16807,2147483647)</x:f>
        <x:v>984825605</x:v>
      </x:c>
      <x:c r="D93" s="17" t="n">
        <x:f>IF('Control Room'!$B$5="Normal",'Control Room'!$B$7+'Control Room'!$D$7*SQRT(-2*LN(MAX(0.000000000001,B93/2147483647)))*COS(2*PI()*C93/2147483647),'Control Room'!$B$8+('Control Room'!$D$8-'Control Room'!$B$8)*B93/2147483647)</x:f>
        <x:v>967.6920650584999</x:v>
      </x:c>
      <x:c r="E93" s="17" t="n">
        <x:f>IF('Control Room'!$B$5="Normal",'Control Room'!$B$7,('Control Room'!$B$8+'Control Room'!$D$8)/2)+'Control Room'!$B$9*(E92-IF('Control Room'!$B$5="Normal",'Control Room'!$B$7,('Control Room'!$B$8+'Control Room'!$D$8)/2))+SQRT(1-'Control Room'!$B$9^2)*(D93-IF('Control Room'!$B$5="Normal",'Control Room'!$B$7,('Control Room'!$B$8+'Control Room'!$D$8)/2))</x:f>
        <x:v>984.1206740628965</x:v>
      </x:c>
      <x:c r="F93" s="17" t="n">
        <x:f>IF(AND($A93&gt;='Control Room'!$A$13,$A93&lt;'Control Room'!$A$13+'Control Room'!$B$13,'Process'!BK2=1),1+('Control Room'!$C$13-1)*EXP(-0.5*(($A93-'Control Room'!$A$13-('Control Room'!$B$13-1)/2)/MAX(0.5,'Control Room'!$B$13/4))^2),1)*IF(AND($A93&gt;='Control Room'!$A$14,$A93&lt;'Control Room'!$A$14+'Control Room'!$B$14,'Process'!BK3=1),1+('Control Room'!$C$14-1)*EXP(-0.5*(($A93-'Control Room'!$A$14-('Control Room'!$B$14-1)/2)/MAX(0.5,'Control Room'!$B$14/4))^2),1)*IF(AND($A93&gt;='Control Room'!$A$15,$A93&lt;'Control Room'!$A$15+'Control Room'!$B$15,'Process'!BK4=1),1+('Control Room'!$C$15-1)*EXP(-0.5*(($A93-'Control Room'!$A$15-('Control Room'!$B$15-1)/2)/MAX(0.5,'Control Room'!$B$15/4))^2),1)*IF(AND($A93&gt;='Control Room'!$A$16,$A93&lt;'Control Room'!$A$16+'Control Room'!$B$16,'Process'!BK5=1),1+('Control Room'!$C$16-1)*EXP(-0.5*(($A93-'Control Room'!$A$16-('Control Room'!$B$16-1)/2)/MAX(0.5,'Control Room'!$B$16/4))^2),1)</x:f>
        <x:v>1</x:v>
      </x:c>
      <x:c r="G93" s="9" t="n">
        <x:f>MOD(H92*16807,2147483647)</x:f>
        <x:v>1913375969</x:v>
      </x:c>
      <x:c r="H93" s="9" t="n">
        <x:f>MOD(G93*16807,2147483647)</x:f>
        <x:v>1689780805</x:v>
      </x:c>
      <x:c r="I93" s="17" t="n">
        <x:f>IF('Control Room'!$B$5="Normal",'Control Room'!$B$7+'Control Room'!$D$7*SQRT(-2*LN(MAX(0.000000000001,G93/2147483647)))*COS(2*PI()*H93/2147483647),'Control Room'!$B$8+('Control Room'!$D$8-'Control Room'!$B$8)*G93/2147483647)</x:f>
        <x:v>1009.9270853821937</x:v>
      </x:c>
      <x:c r="J93" s="17" t="n">
        <x:f>IF('Control Room'!$B$5="Normal",'Control Room'!$B$7,('Control Room'!$B$8+'Control Room'!$D$8)/2)+'Control Room'!$B$9*(J92-IF('Control Room'!$B$5="Normal",'Control Room'!$B$7,('Control Room'!$B$8+'Control Room'!$D$8)/2))+SQRT(1-'Control Room'!$B$9^2)*(I93-IF('Control Room'!$B$5="Normal",'Control Room'!$B$7,('Control Room'!$B$8+'Control Room'!$D$8)/2))</x:f>
        <x:v>1000.8967594604804</x:v>
      </x:c>
      <x:c r="K93" s="17" t="n">
        <x:f>IF(AND($A93&gt;='Control Room'!$A$13,$A93&lt;'Control Room'!$A$13+'Control Room'!$B$13,'Process'!BL2=1),1+('Control Room'!$C$13-1)*EXP(-0.5*(($A93-'Control Room'!$A$13-('Control Room'!$B$13-1)/2)/MAX(0.5,'Control Room'!$B$13/4))^2),1)*IF(AND($A93&gt;='Control Room'!$A$14,$A93&lt;'Control Room'!$A$14+'Control Room'!$B$14,'Process'!BL3=1),1+('Control Room'!$C$14-1)*EXP(-0.5*(($A93-'Control Room'!$A$14-('Control Room'!$B$14-1)/2)/MAX(0.5,'Control Room'!$B$14/4))^2),1)*IF(AND($A93&gt;='Control Room'!$A$15,$A93&lt;'Control Room'!$A$15+'Control Room'!$B$15,'Process'!BL4=1),1+('Control Room'!$C$15-1)*EXP(-0.5*(($A93-'Control Room'!$A$15-('Control Room'!$B$15-1)/2)/MAX(0.5,'Control Room'!$B$15/4))^2),1)*IF(AND($A93&gt;='Control Room'!$A$16,$A93&lt;'Control Room'!$A$16+'Control Room'!$B$16,'Process'!BL5=1),1+('Control Room'!$C$16-1)*EXP(-0.5*(($A93-'Control Room'!$A$16-('Control Room'!$B$16-1)/2)/MAX(0.5,'Control Room'!$B$16/4))^2),1)</x:f>
        <x:v>1</x:v>
      </x:c>
      <x:c r="L93" s="9" t="n">
        <x:f>MOD(M92*16807,2147483647)</x:f>
        <x:v>1822443417</x:v>
      </x:c>
      <x:c r="M93" s="9" t="n">
        <x:f>MOD(L93*16807,2147483647)</x:f>
        <x:v>247252358</x:v>
      </x:c>
      <x:c r="N93" s="17" t="n">
        <x:f>IF('Control Room'!$B$5="Normal",'Control Room'!$B$7+'Control Room'!$D$7*SQRT(-2*LN(MAX(0.000000000001,L93/2147483647)))*COS(2*PI()*M93/2147483647),'Control Room'!$B$8+('Control Room'!$D$8-'Control Room'!$B$8)*L93/2147483647)</x:f>
        <x:v>1038.6487018955331</x:v>
      </x:c>
      <x:c r="O93" s="17" t="n">
        <x:f>IF('Control Room'!$B$5="Normal",'Control Room'!$B$7,('Control Room'!$B$8+'Control Room'!$D$8)/2)+'Control Room'!$B$9*(O92-IF('Control Room'!$B$5="Normal",'Control Room'!$B$7,('Control Room'!$B$8+'Control Room'!$D$8)/2))+SQRT(1-'Control Room'!$B$9^2)*(N93-IF('Control Room'!$B$5="Normal",'Control Room'!$B$7,('Control Room'!$B$8+'Control Room'!$D$8)/2))</x:f>
        <x:v>1045.6550151552717</x:v>
      </x:c>
      <x:c r="P93" s="17" t="n">
        <x:f>IF(AND($A93&gt;='Control Room'!$A$13,$A93&lt;'Control Room'!$A$13+'Control Room'!$B$13,'Process'!BM2=1),1+('Control Room'!$C$13-1)*EXP(-0.5*(($A93-'Control Room'!$A$13-('Control Room'!$B$13-1)/2)/MAX(0.5,'Control Room'!$B$13/4))^2),1)*IF(AND($A93&gt;='Control Room'!$A$14,$A93&lt;'Control Room'!$A$14+'Control Room'!$B$14,'Process'!BM3=1),1+('Control Room'!$C$14-1)*EXP(-0.5*(($A93-'Control Room'!$A$14-('Control Room'!$B$14-1)/2)/MAX(0.5,'Control Room'!$B$14/4))^2),1)*IF(AND($A93&gt;='Control Room'!$A$15,$A93&lt;'Control Room'!$A$15+'Control Room'!$B$15,'Process'!BM4=1),1+('Control Room'!$C$15-1)*EXP(-0.5*(($A93-'Control Room'!$A$15-('Control Room'!$B$15-1)/2)/MAX(0.5,'Control Room'!$B$15/4))^2),1)*IF(AND($A93&gt;='Control Room'!$A$16,$A93&lt;'Control Room'!$A$16+'Control Room'!$B$16,'Process'!BM5=1),1+('Control Room'!$C$16-1)*EXP(-0.5*(($A93-'Control Room'!$A$16-('Control Room'!$B$16-1)/2)/MAX(0.5,'Control Room'!$B$16/4))^2),1)</x:f>
        <x:v>1</x:v>
      </x:c>
      <x:c r="Q93" s="9" t="n">
        <x:f>MOD(R92*16807,2147483647)</x:f>
        <x:v>1731510865</x:v>
      </x:c>
      <x:c r="R93" s="9" t="n">
        <x:f>MOD(Q93*16807,2147483647)</x:f>
        <x:v>952207558</x:v>
      </x:c>
      <x:c r="S93" s="17" t="n">
        <x:f>IF('Control Room'!$B$5="Normal",'Control Room'!$B$7+'Control Room'!$D$7*SQRT(-2*LN(MAX(0.000000000001,Q93/2147483647)))*COS(2*PI()*R93/2147483647),'Control Room'!$B$8+('Control Room'!$D$8-'Control Room'!$B$8)*Q93/2147483647)</x:f>
        <x:v>944.6361725371319</x:v>
      </x:c>
      <x:c r="T93" s="17" t="n">
        <x:f>IF('Control Room'!$B$5="Normal",'Control Room'!$B$7,('Control Room'!$B$8+'Control Room'!$D$8)/2)+'Control Room'!$B$9*(T92-IF('Control Room'!$B$5="Normal",'Control Room'!$B$7,('Control Room'!$B$8+'Control Room'!$D$8)/2))+SQRT(1-'Control Room'!$B$9^2)*(S93-IF('Control Room'!$B$5="Normal",'Control Room'!$B$7,('Control Room'!$B$8+'Control Room'!$D$8)/2))</x:f>
        <x:v>945.3259700125187</x:v>
      </x:c>
      <x:c r="U93" s="17" t="n">
        <x:f>IF(AND($A93&gt;='Control Room'!$A$13,$A93&lt;'Control Room'!$A$13+'Control Room'!$B$13,'Process'!BN2=1),1+('Control Room'!$C$13-1)*EXP(-0.5*(($A93-'Control Room'!$A$13-('Control Room'!$B$13-1)/2)/MAX(0.5,'Control Room'!$B$13/4))^2),1)*IF(AND($A93&gt;='Control Room'!$A$14,$A93&lt;'Control Room'!$A$14+'Control Room'!$B$14,'Process'!BN3=1),1+('Control Room'!$C$14-1)*EXP(-0.5*(($A93-'Control Room'!$A$14-('Control Room'!$B$14-1)/2)/MAX(0.5,'Control Room'!$B$14/4))^2),1)*IF(AND($A93&gt;='Control Room'!$A$15,$A93&lt;'Control Room'!$A$15+'Control Room'!$B$15,'Process'!BN4=1),1+('Control Room'!$C$15-1)*EXP(-0.5*(($A93-'Control Room'!$A$15-('Control Room'!$B$15-1)/2)/MAX(0.5,'Control Room'!$B$15/4))^2),1)*IF(AND($A93&gt;='Control Room'!$A$16,$A93&lt;'Control Room'!$A$16+'Control Room'!$B$16,'Process'!BN5=1),1+('Control Room'!$C$16-1)*EXP(-0.5*(($A93-'Control Room'!$A$16-('Control Room'!$B$16-1)/2)/MAX(0.5,'Control Room'!$B$16/4))^2),1)</x:f>
        <x:v>1</x:v>
      </x:c>
      <x:c r="V93" s="9" t="n">
        <x:f>MOD(W92*16807,2147483647)</x:f>
        <x:v>1640578313</x:v>
      </x:c>
      <x:c r="W93" s="9" t="n">
        <x:f>MOD(V93*16807,2147483647)</x:f>
        <x:v>1657162758</x:v>
      </x:c>
      <x:c r="X93" s="17" t="n">
        <x:f>IF('Control Room'!$B$5="Normal",'Control Room'!$B$7+'Control Room'!$D$7*SQRT(-2*LN(MAX(0.000000000001,V93/2147483647)))*COS(2*PI()*W93/2147483647),'Control Room'!$B$8+('Control Room'!$D$8-'Control Room'!$B$8)*V93/2147483647)</x:f>
        <x:v>1008.9672669484037</x:v>
      </x:c>
      <x:c r="Y93" s="17" t="n">
        <x:f>IF('Control Room'!$B$5="Normal",'Control Room'!$B$7,('Control Room'!$B$8+'Control Room'!$D$8)/2)+'Control Room'!$B$9*(Y92-IF('Control Room'!$B$5="Normal",'Control Room'!$B$7,('Control Room'!$B$8+'Control Room'!$D$8)/2))+SQRT(1-'Control Room'!$B$9^2)*(X93-IF('Control Room'!$B$5="Normal",'Control Room'!$B$7,('Control Room'!$B$8+'Control Room'!$D$8)/2))</x:f>
        <x:v>891.0443280000372</x:v>
      </x:c>
      <x:c r="Z93" s="17" t="n">
        <x:f>IF(AND($A93&gt;='Control Room'!$A$13,$A93&lt;'Control Room'!$A$13+'Control Room'!$B$13,'Process'!BO2=1),1+('Control Room'!$C$13-1)*EXP(-0.5*(($A93-'Control Room'!$A$13-('Control Room'!$B$13-1)/2)/MAX(0.5,'Control Room'!$B$13/4))^2),1)*IF(AND($A93&gt;='Control Room'!$A$14,$A93&lt;'Control Room'!$A$14+'Control Room'!$B$14,'Process'!BO3=1),1+('Control Room'!$C$14-1)*EXP(-0.5*(($A93-'Control Room'!$A$14-('Control Room'!$B$14-1)/2)/MAX(0.5,'Control Room'!$B$14/4))^2),1)*IF(AND($A93&gt;='Control Room'!$A$15,$A93&lt;'Control Room'!$A$15+'Control Room'!$B$15,'Process'!BO4=1),1+('Control Room'!$C$15-1)*EXP(-0.5*(($A93-'Control Room'!$A$15-('Control Room'!$B$15-1)/2)/MAX(0.5,'Control Room'!$B$15/4))^2),1)*IF(AND($A93&gt;='Control Room'!$A$16,$A93&lt;'Control Room'!$A$16+'Control Room'!$B$16,'Process'!BO5=1),1+('Control Room'!$C$16-1)*EXP(-0.5*(($A93-'Control Room'!$A$16-('Control Room'!$B$16-1)/2)/MAX(0.5,'Control Room'!$B$16/4))^2),1)</x:f>
        <x:v>1</x:v>
      </x:c>
      <x:c r="AA93" s="9" t="n">
        <x:f>MOD(AB92*16807,2147483647)</x:f>
        <x:v>1549645761</x:v>
      </x:c>
      <x:c r="AB93" s="9" t="n">
        <x:f>MOD(AA93*16807,2147483647)</x:f>
        <x:v>214634311</x:v>
      </x:c>
      <x:c r="AC93" s="17" t="n">
        <x:f>IF('Control Room'!$B$5="Normal",'Control Room'!$B$7+'Control Room'!$D$7*SQRT(-2*LN(MAX(0.000000000001,AA93/2147483647)))*COS(2*PI()*AB93/2147483647),'Control Room'!$B$8+('Control Room'!$D$8-'Control Room'!$B$8)*AA93/2147483647)</x:f>
        <x:v>1058.8314082853392</x:v>
      </x:c>
      <x:c r="AD93" s="17" t="n">
        <x:f>IF('Control Room'!$B$5="Normal",'Control Room'!$B$7,('Control Room'!$B$8+'Control Room'!$D$8)/2)+'Control Room'!$B$9*(AD92-IF('Control Room'!$B$5="Normal",'Control Room'!$B$7,('Control Room'!$B$8+'Control Room'!$D$8)/2))+SQRT(1-'Control Room'!$B$9^2)*(AC93-IF('Control Room'!$B$5="Normal",'Control Room'!$B$7,('Control Room'!$B$8+'Control Room'!$D$8)/2))</x:f>
        <x:v>1071.2623355891924</x:v>
      </x:c>
      <x:c r="AE93" s="17" t="n">
        <x:f>IF(AND($A93&gt;='Control Room'!$A$13,$A93&lt;'Control Room'!$A$13+'Control Room'!$B$13,'Process'!BP2=1),1+('Control Room'!$C$13-1)*EXP(-0.5*(($A93-'Control Room'!$A$13-('Control Room'!$B$13-1)/2)/MAX(0.5,'Control Room'!$B$13/4))^2),1)*IF(AND($A93&gt;='Control Room'!$A$14,$A93&lt;'Control Room'!$A$14+'Control Room'!$B$14,'Process'!BP3=1),1+('Control Room'!$C$14-1)*EXP(-0.5*(($A93-'Control Room'!$A$14-('Control Room'!$B$14-1)/2)/MAX(0.5,'Control Room'!$B$14/4))^2),1)*IF(AND($A93&gt;='Control Room'!$A$15,$A93&lt;'Control Room'!$A$15+'Control Room'!$B$15,'Process'!BP4=1),1+('Control Room'!$C$15-1)*EXP(-0.5*(($A93-'Control Room'!$A$15-('Control Room'!$B$15-1)/2)/MAX(0.5,'Control Room'!$B$15/4))^2),1)*IF(AND($A93&gt;='Control Room'!$A$16,$A93&lt;'Control Room'!$A$16+'Control Room'!$B$16,'Process'!BP5=1),1+('Control Room'!$C$16-1)*EXP(-0.5*(($A93-'Control Room'!$A$16-('Control Room'!$B$16-1)/2)/MAX(0.5,'Control Room'!$B$16/4))^2),1)</x:f>
        <x:v>1</x:v>
      </x:c>
      <x:c r="AF93" s="9" t="n">
        <x:f>MOD(AG92*16807,2147483647)</x:f>
        <x:v>1458713209</x:v>
      </x:c>
      <x:c r="AG93" s="9" t="n">
        <x:f>MOD(AF93*16807,2147483647)</x:f>
        <x:v>919589511</x:v>
      </x:c>
      <x:c r="AH93" s="17" t="n">
        <x:f>IF('Control Room'!$B$5="Normal",'Control Room'!$B$7+'Control Room'!$D$7*SQRT(-2*LN(MAX(0.000000000001,AF93/2147483647)))*COS(2*PI()*AG93/2147483647),'Control Room'!$B$8+('Control Room'!$D$8-'Control Room'!$B$8)*AF93/2147483647)</x:f>
        <x:v>928.7620793760689</x:v>
      </x:c>
      <x:c r="AI93" s="17" t="n">
        <x:f>IF('Control Room'!$B$5="Normal",'Control Room'!$B$7,('Control Room'!$B$8+'Control Room'!$D$8)/2)+'Control Room'!$B$9*(AI92-IF('Control Room'!$B$5="Normal",'Control Room'!$B$7,('Control Room'!$B$8+'Control Room'!$D$8)/2))+SQRT(1-'Control Room'!$B$9^2)*(AH93-IF('Control Room'!$B$5="Normal",'Control Room'!$B$7,('Control Room'!$B$8+'Control Room'!$D$8)/2))</x:f>
        <x:v>949.8993728237269</x:v>
      </x:c>
      <x:c r="AJ93" s="17" t="n">
        <x:f>IF(AND($A93&gt;='Control Room'!$A$13,$A93&lt;'Control Room'!$A$13+'Control Room'!$B$13,'Process'!BQ2=1),1+('Control Room'!$C$13-1)*EXP(-0.5*(($A93-'Control Room'!$A$13-('Control Room'!$B$13-1)/2)/MAX(0.5,'Control Room'!$B$13/4))^2),1)*IF(AND($A93&gt;='Control Room'!$A$14,$A93&lt;'Control Room'!$A$14+'Control Room'!$B$14,'Process'!BQ3=1),1+('Control Room'!$C$14-1)*EXP(-0.5*(($A93-'Control Room'!$A$14-('Control Room'!$B$14-1)/2)/MAX(0.5,'Control Room'!$B$14/4))^2),1)*IF(AND($A93&gt;='Control Room'!$A$15,$A93&lt;'Control Room'!$A$15+'Control Room'!$B$15,'Process'!BQ4=1),1+('Control Room'!$C$15-1)*EXP(-0.5*(($A93-'Control Room'!$A$15-('Control Room'!$B$15-1)/2)/MAX(0.5,'Control Room'!$B$15/4))^2),1)*IF(AND($A93&gt;='Control Room'!$A$16,$A93&lt;'Control Room'!$A$16+'Control Room'!$B$16,'Process'!BQ5=1),1+('Control Room'!$C$16-1)*EXP(-0.5*(($A93-'Control Room'!$A$16-('Control Room'!$B$16-1)/2)/MAX(0.5,'Control Room'!$B$16/4))^2),1)</x:f>
        <x:v>1</x:v>
      </x:c>
      <x:c r="AK93" s="9" t="n">
        <x:f>MOD(AL92*16807,2147483647)</x:f>
        <x:v>1367780657</x:v>
      </x:c>
      <x:c r="AL93" s="9" t="n">
        <x:f>MOD(AK93*16807,2147483647)</x:f>
        <x:v>1624544711</x:v>
      </x:c>
      <x:c r="AM93" s="17" t="n">
        <x:f>IF('Control Room'!$B$5="Normal",'Control Room'!$B$7+'Control Room'!$D$7*SQRT(-2*LN(MAX(0.000000000001,AK93/2147483647)))*COS(2*PI()*AL93/2147483647),'Control Room'!$B$8+('Control Room'!$D$8-'Control Room'!$B$8)*AK93/2147483647)</x:f>
        <x:v>1003.483692927434</x:v>
      </x:c>
      <x:c r="AN93" s="17" t="n">
        <x:f>IF('Control Room'!$B$5="Normal",'Control Room'!$B$7,('Control Room'!$B$8+'Control Room'!$D$8)/2)+'Control Room'!$B$9*(AN92-IF('Control Room'!$B$5="Normal",'Control Room'!$B$7,('Control Room'!$B$8+'Control Room'!$D$8)/2))+SQRT(1-'Control Room'!$B$9^2)*(AM93-IF('Control Room'!$B$5="Normal",'Control Room'!$B$7,('Control Room'!$B$8+'Control Room'!$D$8)/2))</x:f>
        <x:v>943.5840150345815</x:v>
      </x:c>
      <x:c r="AO93" s="17" t="n">
        <x:f>IF(AND($A93&gt;='Control Room'!$A$13,$A93&lt;'Control Room'!$A$13+'Control Room'!$B$13,'Process'!BR2=1),1+('Control Room'!$C$13-1)*EXP(-0.5*(($A93-'Control Room'!$A$13-('Control Room'!$B$13-1)/2)/MAX(0.5,'Control Room'!$B$13/4))^2),1)*IF(AND($A93&gt;='Control Room'!$A$14,$A93&lt;'Control Room'!$A$14+'Control Room'!$B$14,'Process'!BR3=1),1+('Control Room'!$C$14-1)*EXP(-0.5*(($A93-'Control Room'!$A$14-('Control Room'!$B$14-1)/2)/MAX(0.5,'Control Room'!$B$14/4))^2),1)*IF(AND($A93&gt;='Control Room'!$A$15,$A93&lt;'Control Room'!$A$15+'Control Room'!$B$15,'Process'!BR4=1),1+('Control Room'!$C$15-1)*EXP(-0.5*(($A93-'Control Room'!$A$15-('Control Room'!$B$15-1)/2)/MAX(0.5,'Control Room'!$B$15/4))^2),1)*IF(AND($A93&gt;='Control Room'!$A$16,$A93&lt;'Control Room'!$A$16+'Control Room'!$B$16,'Process'!BR5=1),1+('Control Room'!$C$16-1)*EXP(-0.5*(($A93-'Control Room'!$A$16-('Control Room'!$B$16-1)/2)/MAX(0.5,'Control Room'!$B$16/4))^2),1)</x:f>
        <x:v>1</x:v>
      </x:c>
      <x:c r="AP93" s="9" t="n">
        <x:f>MOD(AQ92*16807,2147483647)</x:f>
        <x:v>1276848105</x:v>
      </x:c>
      <x:c r="AQ93" s="9" t="n">
        <x:f>MOD(AP93*16807,2147483647)</x:f>
        <x:v>182016264</x:v>
      </x:c>
      <x:c r="AR93" s="17" t="n">
        <x:f>IF('Control Room'!$B$5="Normal",'Control Room'!$B$7+'Control Room'!$D$7*SQRT(-2*LN(MAX(0.000000000001,AP93/2147483647)))*COS(2*PI()*AQ93/2147483647),'Control Room'!$B$8+('Control Room'!$D$8-'Control Room'!$B$8)*AP93/2147483647)</x:f>
        <x:v>1079.064456615845</x:v>
      </x:c>
      <x:c r="AS93" s="17" t="n">
        <x:f>IF('Control Room'!$B$5="Normal",'Control Room'!$B$7,('Control Room'!$B$8+'Control Room'!$D$8)/2)+'Control Room'!$B$9*(AS92-IF('Control Room'!$B$5="Normal",'Control Room'!$B$7,('Control Room'!$B$8+'Control Room'!$D$8)/2))+SQRT(1-'Control Room'!$B$9^2)*(AR93-IF('Control Room'!$B$5="Normal",'Control Room'!$B$7,('Control Room'!$B$8+'Control Room'!$D$8)/2))</x:f>
        <x:v>1032.1021188476823</x:v>
      </x:c>
      <x:c r="AT93" s="17" t="n">
        <x:f>IF(AND($A93&gt;='Control Room'!$A$13,$A93&lt;'Control Room'!$A$13+'Control Room'!$B$13,'Process'!BS2=1),1+('Control Room'!$C$13-1)*EXP(-0.5*(($A93-'Control Room'!$A$13-('Control Room'!$B$13-1)/2)/MAX(0.5,'Control Room'!$B$13/4))^2),1)*IF(AND($A93&gt;='Control Room'!$A$14,$A93&lt;'Control Room'!$A$14+'Control Room'!$B$14,'Process'!BS3=1),1+('Control Room'!$C$14-1)*EXP(-0.5*(($A93-'Control Room'!$A$14-('Control Room'!$B$14-1)/2)/MAX(0.5,'Control Room'!$B$14/4))^2),1)*IF(AND($A93&gt;='Control Room'!$A$15,$A93&lt;'Control Room'!$A$15+'Control Room'!$B$15,'Process'!BS4=1),1+('Control Room'!$C$15-1)*EXP(-0.5*(($A93-'Control Room'!$A$15-('Control Room'!$B$15-1)/2)/MAX(0.5,'Control Room'!$B$15/4))^2),1)*IF(AND($A93&gt;='Control Room'!$A$16,$A93&lt;'Control Room'!$A$16+'Control Room'!$B$16,'Process'!BS5=1),1+('Control Room'!$C$16-1)*EXP(-0.5*(($A93-'Control Room'!$A$16-('Control Room'!$B$16-1)/2)/MAX(0.5,'Control Room'!$B$16/4))^2),1)</x:f>
        <x:v>1</x:v>
      </x:c>
      <x:c r="AU93" s="9" t="n">
        <x:f>MOD(AV92*16807,2147483647)</x:f>
        <x:v>1185915553</x:v>
      </x:c>
      <x:c r="AV93" s="9" t="n">
        <x:f>MOD(AU93*16807,2147483647)</x:f>
        <x:v>886971464</x:v>
      </x:c>
      <x:c r="AW93" s="17" t="n">
        <x:f>IF('Control Room'!$B$5="Normal",'Control Room'!$B$7+'Control Room'!$D$7*SQRT(-2*LN(MAX(0.000000000001,AU93/2147483647)))*COS(2*PI()*AV93/2147483647),'Control Room'!$B$8+('Control Room'!$D$8-'Control Room'!$B$8)*AU93/2147483647)</x:f>
        <x:v>916.2052577918719</x:v>
      </x:c>
      <x:c r="AX93" s="17" t="n">
        <x:f>IF('Control Room'!$B$5="Normal",'Control Room'!$B$7,('Control Room'!$B$8+'Control Room'!$D$8)/2)+'Control Room'!$B$9*(AX92-IF('Control Room'!$B$5="Normal",'Control Room'!$B$7,('Control Room'!$B$8+'Control Room'!$D$8)/2))+SQRT(1-'Control Room'!$B$9^2)*(AW93-IF('Control Room'!$B$5="Normal",'Control Room'!$B$7,('Control Room'!$B$8+'Control Room'!$D$8)/2))</x:f>
        <x:v>929.3706315385875</x:v>
      </x:c>
      <x:c r="AY93" s="17" t="n">
        <x:f>IF(AND($A93&gt;='Control Room'!$A$13,$A93&lt;'Control Room'!$A$13+'Control Room'!$B$13,'Process'!BT2=1),1+('Control Room'!$C$13-1)*EXP(-0.5*(($A93-'Control Room'!$A$13-('Control Room'!$B$13-1)/2)/MAX(0.5,'Control Room'!$B$13/4))^2),1)*IF(AND($A93&gt;='Control Room'!$A$14,$A93&lt;'Control Room'!$A$14+'Control Room'!$B$14,'Process'!BT3=1),1+('Control Room'!$C$14-1)*EXP(-0.5*(($A93-'Control Room'!$A$14-('Control Room'!$B$14-1)/2)/MAX(0.5,'Control Room'!$B$14/4))^2),1)*IF(AND($A93&gt;='Control Room'!$A$15,$A93&lt;'Control Room'!$A$15+'Control Room'!$B$15,'Process'!BT4=1),1+('Control Room'!$C$15-1)*EXP(-0.5*(($A93-'Control Room'!$A$15-('Control Room'!$B$15-1)/2)/MAX(0.5,'Control Room'!$B$15/4))^2),1)*IF(AND($A93&gt;='Control Room'!$A$16,$A93&lt;'Control Room'!$A$16+'Control Room'!$B$16,'Process'!BT5=1),1+('Control Room'!$C$16-1)*EXP(-0.5*(($A93-'Control Room'!$A$16-('Control Room'!$B$16-1)/2)/MAX(0.5,'Control Room'!$B$16/4))^2),1)</x:f>
        <x:v>1</x:v>
      </x:c>
      <x:c r="AZ93" s="9" t="n">
        <x:f>MOD(BA92*16807,2147483647)</x:f>
        <x:v>1094983001</x:v>
      </x:c>
      <x:c r="BA93" s="9" t="n">
        <x:f>MOD(AZ93*16807,2147483647)</x:f>
        <x:v>1591926664</x:v>
      </x:c>
      <x:c r="BB93" s="17" t="n">
        <x:f>IF('Control Room'!$B$5="Normal",'Control Room'!$B$7+'Control Room'!$D$7*SQRT(-2*LN(MAX(0.000000000001,AZ93/2147483647)))*COS(2*PI()*BA93/2147483647),'Control Room'!$B$8+('Control Room'!$D$8-'Control Room'!$B$8)*AZ93/2147483647)</x:f>
        <x:v>994.2918338345551</x:v>
      </x:c>
      <x:c r="BC93" s="17" t="n">
        <x:f>IF('Control Room'!$B$5="Normal",'Control Room'!$B$7,('Control Room'!$B$8+'Control Room'!$D$8)/2)+'Control Room'!$B$9*(BC92-IF('Control Room'!$B$5="Normal",'Control Room'!$B$7,('Control Room'!$B$8+'Control Room'!$D$8)/2))+SQRT(1-'Control Room'!$B$9^2)*(BB93-IF('Control Room'!$B$5="Normal",'Control Room'!$B$7,('Control Room'!$B$8+'Control Room'!$D$8)/2))</x:f>
        <x:v>971.0240053350569</x:v>
      </x:c>
      <x:c r="BD93" s="17" t="n">
        <x:f>IF(AND($A93&gt;='Control Room'!$A$13,$A93&lt;'Control Room'!$A$13+'Control Room'!$B$13,'Process'!BU2=1),1+('Control Room'!$C$13-1)*EXP(-0.5*(($A93-'Control Room'!$A$13-('Control Room'!$B$13-1)/2)/MAX(0.5,'Control Room'!$B$13/4))^2),1)*IF(AND($A93&gt;='Control Room'!$A$14,$A93&lt;'Control Room'!$A$14+'Control Room'!$B$14,'Process'!BU3=1),1+('Control Room'!$C$14-1)*EXP(-0.5*(($A93-'Control Room'!$A$14-('Control Room'!$B$14-1)/2)/MAX(0.5,'Control Room'!$B$14/4))^2),1)*IF(AND($A93&gt;='Control Room'!$A$15,$A93&lt;'Control Room'!$A$15+'Control Room'!$B$15,'Process'!BU4=1),1+('Control Room'!$C$15-1)*EXP(-0.5*(($A93-'Control Room'!$A$15-('Control Room'!$B$15-1)/2)/MAX(0.5,'Control Room'!$B$15/4))^2),1)*IF(AND($A93&gt;='Control Room'!$A$16,$A93&lt;'Control Room'!$A$16+'Control Room'!$B$16,'Process'!BU5=1),1+('Control Room'!$C$16-1)*EXP(-0.5*(($A93-'Control Room'!$A$16-('Control Room'!$B$16-1)/2)/MAX(0.5,'Control Room'!$B$16/4))^2),1)</x:f>
        <x:v>1</x:v>
      </x:c>
      <x:c r="BE93" s="9" t="n">
        <x:f>MOD(BF92*16807,2147483647)</x:f>
        <x:v>1004050449</x:v>
      </x:c>
      <x:c r="BF93" s="9" t="n">
        <x:f>MOD(BE93*16807,2147483647)</x:f>
        <x:v>149398217</x:v>
      </x:c>
      <x:c r="BG93" s="17" t="n">
        <x:f>IF('Control Room'!$B$5="Normal",'Control Room'!$B$7+'Control Room'!$D$7*SQRT(-2*LN(MAX(0.000000000001,BE93/2147483647)))*COS(2*PI()*BF93/2147483647),'Control Room'!$B$8+('Control Room'!$D$8-'Control Room'!$B$8)*BE93/2147483647)</x:f>
        <x:v>1100.5435252146526</x:v>
      </x:c>
      <x:c r="BH93" s="17" t="n">
        <x:f>IF('Control Room'!$B$5="Normal",'Control Room'!$B$7,('Control Room'!$B$8+'Control Room'!$D$8)/2)+'Control Room'!$B$9*(BH92-IF('Control Room'!$B$5="Normal",'Control Room'!$B$7,('Control Room'!$B$8+'Control Room'!$D$8)/2))+SQRT(1-'Control Room'!$B$9^2)*(BG93-IF('Control Room'!$B$5="Normal",'Control Room'!$B$7,('Control Room'!$B$8+'Control Room'!$D$8)/2))</x:f>
        <x:v>1005.8745695226489</x:v>
      </x:c>
      <x:c r="BI93" s="17" t="n">
        <x:f>IF(AND($A93&gt;='Control Room'!$A$13,$A93&lt;'Control Room'!$A$13+'Control Room'!$B$13,'Process'!BV2=1),1+('Control Room'!$C$13-1)*EXP(-0.5*(($A93-'Control Room'!$A$13-('Control Room'!$B$13-1)/2)/MAX(0.5,'Control Room'!$B$13/4))^2),1)*IF(AND($A93&gt;='Control Room'!$A$14,$A93&lt;'Control Room'!$A$14+'Control Room'!$B$14,'Process'!BV3=1),1+('Control Room'!$C$14-1)*EXP(-0.5*(($A93-'Control Room'!$A$14-('Control Room'!$B$14-1)/2)/MAX(0.5,'Control Room'!$B$14/4))^2),1)*IF(AND($A93&gt;='Control Room'!$A$15,$A93&lt;'Control Room'!$A$15+'Control Room'!$B$15,'Process'!BV4=1),1+('Control Room'!$C$15-1)*EXP(-0.5*(($A93-'Control Room'!$A$15-('Control Room'!$B$15-1)/2)/MAX(0.5,'Control Room'!$B$15/4))^2),1)*IF(AND($A93&gt;='Control Room'!$A$16,$A93&lt;'Control Room'!$A$16+'Control Room'!$B$16,'Process'!BV5=1),1+('Control Room'!$C$16-1)*EXP(-0.5*(($A93-'Control Room'!$A$16-('Control Room'!$B$16-1)/2)/MAX(0.5,'Control Room'!$B$16/4))^2),1)</x:f>
        <x:v>1</x:v>
      </x:c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Z93" t="str">
        <x:f>IF('Data'!A93="","",TEXT('Data'!A93,"mm-dd"))</x:f>
        <x:v>02-01</x:v>
      </x:c>
    </x:row>
    <x:row r="94" ht="21" customHeight="1">
      <x:c r="A94" s="15" t="n">
        <x:f>'Control Room'!$B$1+92</x:f>
        <x:v>73083</x:v>
      </x:c>
      <x:c r="B94" s="9" t="n">
        <x:f>MOD(C93*16807,2147483647)</x:f>
        <x:v>1307475806</x:v>
      </x:c>
      <x:c r="C94" s="9" t="n">
        <x:f>MOD(B94*16807,2147483647)</x:f>
        <x:v>1693195338</x:v>
      </x:c>
      <x:c r="D94" s="17" t="n">
        <x:f>IF('Control Room'!$B$5="Normal",'Control Room'!$B$7+'Control Room'!$D$7*SQRT(-2*LN(MAX(0.000000000001,B94/2147483647)))*COS(2*PI()*C94/2147483647),'Control Room'!$B$8+('Control Room'!$D$8-'Control Room'!$B$8)*B94/2147483647)</x:f>
        <x:v>1021.453080713651</x:v>
      </x:c>
      <x:c r="E94" s="17" t="n">
        <x:f>IF('Control Room'!$B$5="Normal",'Control Room'!$B$7,('Control Room'!$B$8+'Control Room'!$D$8)/2)+'Control Room'!$B$9*(E93-IF('Control Room'!$B$5="Normal",'Control Room'!$B$7,('Control Room'!$B$8+'Control Room'!$D$8)/2))+SQRT(1-'Control Room'!$B$9^2)*(D94-IF('Control Room'!$B$5="Normal",'Control Room'!$B$7,('Control Room'!$B$8+'Control Room'!$D$8)/2))</x:f>
        <x:v>1001.0390241894152</x:v>
      </x:c>
      <x:c r="F94" s="17" t="n">
        <x:f>IF(AND($A94&gt;='Control Room'!$A$13,$A94&lt;'Control Room'!$A$13+'Control Room'!$B$13,'Process'!BK2=1),1+('Control Room'!$C$13-1)*EXP(-0.5*(($A94-'Control Room'!$A$13-('Control Room'!$B$13-1)/2)/MAX(0.5,'Control Room'!$B$13/4))^2),1)*IF(AND($A94&gt;='Control Room'!$A$14,$A94&lt;'Control Room'!$A$14+'Control Room'!$B$14,'Process'!BK3=1),1+('Control Room'!$C$14-1)*EXP(-0.5*(($A94-'Control Room'!$A$14-('Control Room'!$B$14-1)/2)/MAX(0.5,'Control Room'!$B$14/4))^2),1)*IF(AND($A94&gt;='Control Room'!$A$15,$A94&lt;'Control Room'!$A$15+'Control Room'!$B$15,'Process'!BK4=1),1+('Control Room'!$C$15-1)*EXP(-0.5*(($A94-'Control Room'!$A$15-('Control Room'!$B$15-1)/2)/MAX(0.5,'Control Room'!$B$15/4))^2),1)*IF(AND($A94&gt;='Control Room'!$A$16,$A94&lt;'Control Room'!$A$16+'Control Room'!$B$16,'Process'!BK5=1),1+('Control Room'!$C$16-1)*EXP(-0.5*(($A94-'Control Room'!$A$16-('Control Room'!$B$16-1)/2)/MAX(0.5,'Control Room'!$B$16/4))^2),1)</x:f>
        <x:v>1</x:v>
      </x:c>
      <x:c r="G94" s="9" t="n">
        <x:f>MOD(H93*16807,2147483647)</x:f>
        <x:v>1822241707</x:v>
      </x:c>
      <x:c r="H94" s="9" t="n">
        <x:f>MOD(G94*16807,2147483647)</x:f>
        <x:v>1152079682</x:v>
      </x:c>
      <x:c r="I94" s="17" t="n">
        <x:f>IF('Control Room'!$B$5="Normal",'Control Room'!$B$7+'Control Room'!$D$7*SQRT(-2*LN(MAX(0.000000000001,G94/2147483647)))*COS(2*PI()*H94/2147483647),'Control Room'!$B$8+('Control Room'!$D$8-'Control Room'!$B$8)*G94/2147483647)</x:f>
        <x:v>949.768766119441</x:v>
      </x:c>
      <x:c r="J94" s="17" t="n">
        <x:f>IF('Control Room'!$B$5="Normal",'Control Room'!$B$7,('Control Room'!$B$8+'Control Room'!$D$8)/2)+'Control Room'!$B$9*(J93-IF('Control Room'!$B$5="Normal",'Control Room'!$B$7,('Control Room'!$B$8+'Control Room'!$D$8)/2))+SQRT(1-'Control Room'!$B$9^2)*(I94-IF('Control Room'!$B$5="Normal",'Control Room'!$B$7,('Control Room'!$B$8+'Control Room'!$D$8)/2))</x:f>
        <x:v>969.2657952594805</x:v>
      </x:c>
      <x:c r="K94" s="17" t="n">
        <x:f>IF(AND($A94&gt;='Control Room'!$A$13,$A94&lt;'Control Room'!$A$13+'Control Room'!$B$13,'Process'!BL2=1),1+('Control Room'!$C$13-1)*EXP(-0.5*(($A94-'Control Room'!$A$13-('Control Room'!$B$13-1)/2)/MAX(0.5,'Control Room'!$B$13/4))^2),1)*IF(AND($A94&gt;='Control Room'!$A$14,$A94&lt;'Control Room'!$A$14+'Control Room'!$B$14,'Process'!BL3=1),1+('Control Room'!$C$14-1)*EXP(-0.5*(($A94-'Control Room'!$A$14-('Control Room'!$B$14-1)/2)/MAX(0.5,'Control Room'!$B$14/4))^2),1)*IF(AND($A94&gt;='Control Room'!$A$15,$A94&lt;'Control Room'!$A$15+'Control Room'!$B$15,'Process'!BL4=1),1+('Control Room'!$C$15-1)*EXP(-0.5*(($A94-'Control Room'!$A$15-('Control Room'!$B$15-1)/2)/MAX(0.5,'Control Room'!$B$15/4))^2),1)*IF(AND($A94&gt;='Control Room'!$A$16,$A94&lt;'Control Room'!$A$16+'Control Room'!$B$16,'Process'!BL5=1),1+('Control Room'!$C$16-1)*EXP(-0.5*(($A94-'Control Room'!$A$16-('Control Room'!$B$16-1)/2)/MAX(0.5,'Control Room'!$B$16/4))^2),1)</x:f>
        <x:v>1</x:v>
      </x:c>
      <x:c r="L94" s="9" t="n">
        <x:f>MOD(M93*16807,2147483647)</x:f>
        <x:v>189523961</x:v>
      </x:c>
      <x:c r="M94" s="9" t="n">
        <x:f>MOD(L94*16807,2147483647)</x:f>
        <x:v>610964026</x:v>
      </x:c>
      <x:c r="N94" s="17" t="n">
        <x:f>IF('Control Room'!$B$5="Normal",'Control Room'!$B$7+'Control Room'!$D$7*SQRT(-2*LN(MAX(0.000000000001,L94/2147483647)))*COS(2*PI()*M94/2147483647),'Control Room'!$B$8+('Control Room'!$D$8-'Control Room'!$B$8)*L94/2147483647)</x:f>
        <x:v>957.3458528424894</x:v>
      </x:c>
      <x:c r="O94" s="17" t="n">
        <x:f>IF('Control Room'!$B$5="Normal",'Control Room'!$B$7,('Control Room'!$B$8+'Control Room'!$D$8)/2)+'Control Room'!$B$9*(O93-IF('Control Room'!$B$5="Normal",'Control Room'!$B$7,('Control Room'!$B$8+'Control Room'!$D$8)/2))+SQRT(1-'Control Room'!$B$9^2)*(N94-IF('Control Room'!$B$5="Normal",'Control Room'!$B$7,('Control Room'!$B$8+'Control Room'!$D$8)/2))</x:f>
        <x:v>1008.9188203476426</x:v>
      </x:c>
      <x:c r="P94" s="17" t="n">
        <x:f>IF(AND($A94&gt;='Control Room'!$A$13,$A94&lt;'Control Room'!$A$13+'Control Room'!$B$13,'Process'!BM2=1),1+('Control Room'!$C$13-1)*EXP(-0.5*(($A94-'Control Room'!$A$13-('Control Room'!$B$13-1)/2)/MAX(0.5,'Control Room'!$B$13/4))^2),1)*IF(AND($A94&gt;='Control Room'!$A$14,$A94&lt;'Control Room'!$A$14+'Control Room'!$B$14,'Process'!BM3=1),1+('Control Room'!$C$14-1)*EXP(-0.5*(($A94-'Control Room'!$A$14-('Control Room'!$B$14-1)/2)/MAX(0.5,'Control Room'!$B$14/4))^2),1)*IF(AND($A94&gt;='Control Room'!$A$15,$A94&lt;'Control Room'!$A$15+'Control Room'!$B$15,'Process'!BM4=1),1+('Control Room'!$C$15-1)*EXP(-0.5*(($A94-'Control Room'!$A$15-('Control Room'!$B$15-1)/2)/MAX(0.5,'Control Room'!$B$15/4))^2),1)*IF(AND($A94&gt;='Control Room'!$A$16,$A94&lt;'Control Room'!$A$16+'Control Room'!$B$16,'Process'!BM5=1),1+('Control Room'!$C$16-1)*EXP(-0.5*(($A94-'Control Room'!$A$16-('Control Room'!$B$16-1)/2)/MAX(0.5,'Control Room'!$B$16/4))^2),1)</x:f>
        <x:v>1</x:v>
      </x:c>
      <x:c r="Q94" s="9" t="n">
        <x:f>MOD(R93*16807,2147483647)</x:f>
        <x:v>704289862</x:v>
      </x:c>
      <x:c r="R94" s="9" t="n">
        <x:f>MOD(Q94*16807,2147483647)</x:f>
        <x:v>69848370</x:v>
      </x:c>
      <x:c r="S94" s="17" t="n">
        <x:f>IF('Control Room'!$B$5="Normal",'Control Room'!$B$7+'Control Room'!$D$7*SQRT(-2*LN(MAX(0.000000000001,Q94/2147483647)))*COS(2*PI()*R94/2147483647),'Control Room'!$B$8+('Control Room'!$D$8-'Control Room'!$B$8)*Q94/2147483647)</x:f>
        <x:v>1131.5936923440518</x:v>
      </x:c>
      <x:c r="T94" s="17" t="n">
        <x:f>IF('Control Room'!$B$5="Normal",'Control Room'!$B$7,('Control Room'!$B$8+'Control Room'!$D$8)/2)+'Control Room'!$B$9*(T93-IF('Control Room'!$B$5="Normal",'Control Room'!$B$7,('Control Room'!$B$8+'Control Room'!$D$8)/2))+SQRT(1-'Control Room'!$B$9^2)*(S94-IF('Control Room'!$B$5="Normal",'Control Room'!$B$7,('Control Room'!$B$8+'Control Room'!$D$8)/2))</x:f>
        <x:v>1039.7028934353525</x:v>
      </x:c>
      <x:c r="U94" s="17" t="n">
        <x:f>IF(AND($A94&gt;='Control Room'!$A$13,$A94&lt;'Control Room'!$A$13+'Control Room'!$B$13,'Process'!BN2=1),1+('Control Room'!$C$13-1)*EXP(-0.5*(($A94-'Control Room'!$A$13-('Control Room'!$B$13-1)/2)/MAX(0.5,'Control Room'!$B$13/4))^2),1)*IF(AND($A94&gt;='Control Room'!$A$14,$A94&lt;'Control Room'!$A$14+'Control Room'!$B$14,'Process'!BN3=1),1+('Control Room'!$C$14-1)*EXP(-0.5*(($A94-'Control Room'!$A$14-('Control Room'!$B$14-1)/2)/MAX(0.5,'Control Room'!$B$14/4))^2),1)*IF(AND($A94&gt;='Control Room'!$A$15,$A94&lt;'Control Room'!$A$15+'Control Room'!$B$15,'Process'!BN4=1),1+('Control Room'!$C$15-1)*EXP(-0.5*(($A94-'Control Room'!$A$15-('Control Room'!$B$15-1)/2)/MAX(0.5,'Control Room'!$B$15/4))^2),1)*IF(AND($A94&gt;='Control Room'!$A$16,$A94&lt;'Control Room'!$A$16+'Control Room'!$B$16,'Process'!BN5=1),1+('Control Room'!$C$16-1)*EXP(-0.5*(($A94-'Control Room'!$A$16-('Control Room'!$B$16-1)/2)/MAX(0.5,'Control Room'!$B$16/4))^2),1)</x:f>
        <x:v>1</x:v>
      </x:c>
      <x:c r="V94" s="9" t="n">
        <x:f>MOD(W93*16807,2147483647)</x:f>
        <x:v>1219055763</x:v>
      </x:c>
      <x:c r="W94" s="9" t="n">
        <x:f>MOD(V94*16807,2147483647)</x:f>
        <x:v>1676216361</x:v>
      </x:c>
      <x:c r="X94" s="17" t="n">
        <x:f>IF('Control Room'!$B$5="Normal",'Control Room'!$B$7+'Control Room'!$D$7*SQRT(-2*LN(MAX(0.000000000001,V94/2147483647)))*COS(2*PI()*W94/2147483647),'Control Room'!$B$8+('Control Room'!$D$8-'Control Room'!$B$8)*V94/2147483647)</x:f>
        <x:v>1018.2708161074813</x:v>
      </x:c>
      <x:c r="Y94" s="17" t="n">
        <x:f>IF('Control Room'!$B$5="Normal",'Control Room'!$B$7,('Control Room'!$B$8+'Control Room'!$D$8)/2)+'Control Room'!$B$9*(Y93-IF('Control Room'!$B$5="Normal",'Control Room'!$B$7,('Control Room'!$B$8+'Control Room'!$D$8)/2))+SQRT(1-'Control Room'!$B$9^2)*(X94-IF('Control Room'!$B$5="Normal",'Control Room'!$B$7,('Control Room'!$B$8+'Control Room'!$D$8)/2))</x:f>
        <x:v>926.448078262078</x:v>
      </x:c>
      <x:c r="Z94" s="17" t="n">
        <x:f>IF(AND($A94&gt;='Control Room'!$A$13,$A94&lt;'Control Room'!$A$13+'Control Room'!$B$13,'Process'!BO2=1),1+('Control Room'!$C$13-1)*EXP(-0.5*(($A94-'Control Room'!$A$13-('Control Room'!$B$13-1)/2)/MAX(0.5,'Control Room'!$B$13/4))^2),1)*IF(AND($A94&gt;='Control Room'!$A$14,$A94&lt;'Control Room'!$A$14+'Control Room'!$B$14,'Process'!BO3=1),1+('Control Room'!$C$14-1)*EXP(-0.5*(($A94-'Control Room'!$A$14-('Control Room'!$B$14-1)/2)/MAX(0.5,'Control Room'!$B$14/4))^2),1)*IF(AND($A94&gt;='Control Room'!$A$15,$A94&lt;'Control Room'!$A$15+'Control Room'!$B$15,'Process'!BO4=1),1+('Control Room'!$C$15-1)*EXP(-0.5*(($A94-'Control Room'!$A$15-('Control Room'!$B$15-1)/2)/MAX(0.5,'Control Room'!$B$15/4))^2),1)*IF(AND($A94&gt;='Control Room'!$A$16,$A94&lt;'Control Room'!$A$16+'Control Room'!$B$16,'Process'!BO5=1),1+('Control Room'!$C$16-1)*EXP(-0.5*(($A94-'Control Room'!$A$16-('Control Room'!$B$16-1)/2)/MAX(0.5,'Control Room'!$B$16/4))^2),1)</x:f>
        <x:v>1</x:v>
      </x:c>
      <x:c r="AA94" s="9" t="n">
        <x:f>MOD(AB93*16807,2147483647)</x:f>
        <x:v>1733821664</x:v>
      </x:c>
      <x:c r="AB94" s="9" t="n">
        <x:f>MOD(AA94*16807,2147483647)</x:f>
        <x:v>1135100705</x:v>
      </x:c>
      <x:c r="AC94" s="17" t="n">
        <x:f>IF('Control Room'!$B$5="Normal",'Control Room'!$B$7+'Control Room'!$D$7*SQRT(-2*LN(MAX(0.000000000001,AA94/2147483647)))*COS(2*PI()*AB94/2147483647),'Control Room'!$B$8+('Control Room'!$D$8-'Control Room'!$B$8)*AA94/2147483647)</x:f>
        <x:v>942.0709805433274</x:v>
      </x:c>
      <x:c r="AD94" s="17" t="n">
        <x:f>IF('Control Room'!$B$5="Normal",'Control Room'!$B$7,('Control Room'!$B$8+'Control Room'!$D$8)/2)+'Control Room'!$B$9*(AD93-IF('Control Room'!$B$5="Normal",'Control Room'!$B$7,('Control Room'!$B$8+'Control Room'!$D$8)/2))+SQRT(1-'Control Room'!$B$9^2)*(AC94-IF('Control Room'!$B$5="Normal",'Control Room'!$B$7,('Control Room'!$B$8+'Control Room'!$D$8)/2))</x:f>
        <x:v>1019.3338281240531</x:v>
      </x:c>
      <x:c r="AE94" s="17" t="n">
        <x:f>IF(AND($A94&gt;='Control Room'!$A$13,$A94&lt;'Control Room'!$A$13+'Control Room'!$B$13,'Process'!BP2=1),1+('Control Room'!$C$13-1)*EXP(-0.5*(($A94-'Control Room'!$A$13-('Control Room'!$B$13-1)/2)/MAX(0.5,'Control Room'!$B$13/4))^2),1)*IF(AND($A94&gt;='Control Room'!$A$14,$A94&lt;'Control Room'!$A$14+'Control Room'!$B$14,'Process'!BP3=1),1+('Control Room'!$C$14-1)*EXP(-0.5*(($A94-'Control Room'!$A$14-('Control Room'!$B$14-1)/2)/MAX(0.5,'Control Room'!$B$14/4))^2),1)*IF(AND($A94&gt;='Control Room'!$A$15,$A94&lt;'Control Room'!$A$15+'Control Room'!$B$15,'Process'!BP4=1),1+('Control Room'!$C$15-1)*EXP(-0.5*(($A94-'Control Room'!$A$15-('Control Room'!$B$15-1)/2)/MAX(0.5,'Control Room'!$B$15/4))^2),1)*IF(AND($A94&gt;='Control Room'!$A$16,$A94&lt;'Control Room'!$A$16+'Control Room'!$B$16,'Process'!BP5=1),1+('Control Room'!$C$16-1)*EXP(-0.5*(($A94-'Control Room'!$A$16-('Control Room'!$B$16-1)/2)/MAX(0.5,'Control Room'!$B$16/4))^2),1)</x:f>
        <x:v>1</x:v>
      </x:c>
      <x:c r="AF94" s="9" t="n">
        <x:f>MOD(AG93*16807,2147483647)</x:f>
        <x:v>101103918</x:v>
      </x:c>
      <x:c r="AG94" s="9" t="n">
        <x:f>MOD(AF94*16807,2147483647)</x:f>
        <x:v>593985049</x:v>
      </x:c>
      <x:c r="AH94" s="17" t="n">
        <x:f>IF('Control Room'!$B$5="Normal",'Control Room'!$B$7+'Control Room'!$D$7*SQRT(-2*LN(MAX(0.000000000001,AF94/2147483647)))*COS(2*PI()*AG94/2147483647),'Control Room'!$B$8+('Control Room'!$D$8-'Control Room'!$B$8)*AF94/2147483647)</x:f>
        <x:v>962.9918147955642</x:v>
      </x:c>
      <x:c r="AI94" s="17" t="n">
        <x:f>IF('Control Room'!$B$5="Normal",'Control Room'!$B$7,('Control Room'!$B$8+'Control Room'!$D$8)/2)+'Control Room'!$B$9*(AI93-IF('Control Room'!$B$5="Normal",'Control Room'!$B$7,('Control Room'!$B$8+'Control Room'!$D$8)/2))+SQRT(1-'Control Room'!$B$9^2)*(AH94-IF('Control Room'!$B$5="Normal",'Control Room'!$B$7,('Control Room'!$B$8+'Control Room'!$D$8)/2))</x:f>
        <x:v>937.7625466554543</x:v>
      </x:c>
      <x:c r="AJ94" s="17" t="n">
        <x:f>IF(AND($A94&gt;='Control Room'!$A$13,$A94&lt;'Control Room'!$A$13+'Control Room'!$B$13,'Process'!BQ2=1),1+('Control Room'!$C$13-1)*EXP(-0.5*(($A94-'Control Room'!$A$13-('Control Room'!$B$13-1)/2)/MAX(0.5,'Control Room'!$B$13/4))^2),1)*IF(AND($A94&gt;='Control Room'!$A$14,$A94&lt;'Control Room'!$A$14+'Control Room'!$B$14,'Process'!BQ3=1),1+('Control Room'!$C$14-1)*EXP(-0.5*(($A94-'Control Room'!$A$14-('Control Room'!$B$14-1)/2)/MAX(0.5,'Control Room'!$B$14/4))^2),1)*IF(AND($A94&gt;='Control Room'!$A$15,$A94&lt;'Control Room'!$A$15+'Control Room'!$B$15,'Process'!BQ4=1),1+('Control Room'!$C$15-1)*EXP(-0.5*(($A94-'Control Room'!$A$15-('Control Room'!$B$15-1)/2)/MAX(0.5,'Control Room'!$B$15/4))^2),1)*IF(AND($A94&gt;='Control Room'!$A$16,$A94&lt;'Control Room'!$A$16+'Control Room'!$B$16,'Process'!BQ5=1),1+('Control Room'!$C$16-1)*EXP(-0.5*(($A94-'Control Room'!$A$16-('Control Room'!$B$16-1)/2)/MAX(0.5,'Control Room'!$B$16/4))^2),1)</x:f>
        <x:v>1</x:v>
      </x:c>
      <x:c r="AK94" s="9" t="n">
        <x:f>MOD(AL93*16807,2147483647)</x:f>
        <x:v>615869819</x:v>
      </x:c>
      <x:c r="AL94" s="9" t="n">
        <x:f>MOD(AK94*16807,2147483647)</x:f>
        <x:v>52869393</x:v>
      </x:c>
      <x:c r="AM94" s="17" t="n">
        <x:f>IF('Control Room'!$B$5="Normal",'Control Room'!$B$7+'Control Room'!$D$7*SQRT(-2*LN(MAX(0.000000000001,AK94/2147483647)))*COS(2*PI()*AL94/2147483647),'Control Room'!$B$8+('Control Room'!$D$8-'Control Room'!$B$8)*AK94/2147483647)</x:f>
        <x:v>1140.5480427911966</x:v>
      </x:c>
      <x:c r="AN94" s="17" t="n">
        <x:f>IF('Control Room'!$B$5="Normal",'Control Room'!$B$7,('Control Room'!$B$8+'Control Room'!$D$8)/2)+'Control Room'!$B$9*(AN93-IF('Control Room'!$B$5="Normal",'Control Room'!$B$7,('Control Room'!$B$8+'Control Room'!$D$8)/2))+SQRT(1-'Control Room'!$B$9^2)*(AM94-IF('Control Room'!$B$5="Normal",'Control Room'!$B$7,('Control Room'!$B$8+'Control Room'!$D$8)/2))</x:f>
        <x:v>1043.9476176225448</x:v>
      </x:c>
      <x:c r="AO94" s="17" t="n">
        <x:f>IF(AND($A94&gt;='Control Room'!$A$13,$A94&lt;'Control Room'!$A$13+'Control Room'!$B$13,'Process'!BR2=1),1+('Control Room'!$C$13-1)*EXP(-0.5*(($A94-'Control Room'!$A$13-('Control Room'!$B$13-1)/2)/MAX(0.5,'Control Room'!$B$13/4))^2),1)*IF(AND($A94&gt;='Control Room'!$A$14,$A94&lt;'Control Room'!$A$14+'Control Room'!$B$14,'Process'!BR3=1),1+('Control Room'!$C$14-1)*EXP(-0.5*(($A94-'Control Room'!$A$14-('Control Room'!$B$14-1)/2)/MAX(0.5,'Control Room'!$B$14/4))^2),1)*IF(AND($A94&gt;='Control Room'!$A$15,$A94&lt;'Control Room'!$A$15+'Control Room'!$B$15,'Process'!BR4=1),1+('Control Room'!$C$15-1)*EXP(-0.5*(($A94-'Control Room'!$A$15-('Control Room'!$B$15-1)/2)/MAX(0.5,'Control Room'!$B$15/4))^2),1)*IF(AND($A94&gt;='Control Room'!$A$16,$A94&lt;'Control Room'!$A$16+'Control Room'!$B$16,'Process'!BR5=1),1+('Control Room'!$C$16-1)*EXP(-0.5*(($A94-'Control Room'!$A$16-('Control Room'!$B$16-1)/2)/MAX(0.5,'Control Room'!$B$16/4))^2),1)</x:f>
        <x:v>1</x:v>
      </x:c>
      <x:c r="AP94" s="9" t="n">
        <x:f>MOD(AQ93*16807,2147483647)</x:f>
        <x:v>1130635720</x:v>
      </x:c>
      <x:c r="AQ94" s="9" t="n">
        <x:f>MOD(AP94*16807,2147483647)</x:f>
        <x:v>1659237384</x:v>
      </x:c>
      <x:c r="AR94" s="17" t="n">
        <x:f>IF('Control Room'!$B$5="Normal",'Control Room'!$B$7+'Control Room'!$D$7*SQRT(-2*LN(MAX(0.000000000001,AP94/2147483647)))*COS(2*PI()*AQ94/2147483647),'Control Room'!$B$8+('Control Room'!$D$8-'Control Room'!$B$8)*AP94/2147483647)</x:f>
        <x:v>1014.4544627097813</x:v>
      </x:c>
      <x:c r="AS94" s="17" t="n">
        <x:f>IF('Control Room'!$B$5="Normal",'Control Room'!$B$7,('Control Room'!$B$8+'Control Room'!$D$8)/2)+'Control Room'!$B$9*(AS93-IF('Control Room'!$B$5="Normal",'Control Room'!$B$7,('Control Room'!$B$8+'Control Room'!$D$8)/2))+SQRT(1-'Control Room'!$B$9^2)*(AR94-IF('Control Room'!$B$5="Normal",'Control Room'!$B$7,('Control Room'!$B$8+'Control Room'!$D$8)/2))</x:f>
        <x:v>1034.0849593492094</x:v>
      </x:c>
      <x:c r="AT94" s="17" t="n">
        <x:f>IF(AND($A94&gt;='Control Room'!$A$13,$A94&lt;'Control Room'!$A$13+'Control Room'!$B$13,'Process'!BS2=1),1+('Control Room'!$C$13-1)*EXP(-0.5*(($A94-'Control Room'!$A$13-('Control Room'!$B$13-1)/2)/MAX(0.5,'Control Room'!$B$13/4))^2),1)*IF(AND($A94&gt;='Control Room'!$A$14,$A94&lt;'Control Room'!$A$14+'Control Room'!$B$14,'Process'!BS3=1),1+('Control Room'!$C$14-1)*EXP(-0.5*(($A94-'Control Room'!$A$14-('Control Room'!$B$14-1)/2)/MAX(0.5,'Control Room'!$B$14/4))^2),1)*IF(AND($A94&gt;='Control Room'!$A$15,$A94&lt;'Control Room'!$A$15+'Control Room'!$B$15,'Process'!BS4=1),1+('Control Room'!$C$15-1)*EXP(-0.5*(($A94-'Control Room'!$A$15-('Control Room'!$B$15-1)/2)/MAX(0.5,'Control Room'!$B$15/4))^2),1)*IF(AND($A94&gt;='Control Room'!$A$16,$A94&lt;'Control Room'!$A$16+'Control Room'!$B$16,'Process'!BS5=1),1+('Control Room'!$C$16-1)*EXP(-0.5*(($A94-'Control Room'!$A$16-('Control Room'!$B$16-1)/2)/MAX(0.5,'Control Room'!$B$16/4))^2),1)</x:f>
        <x:v>1</x:v>
      </x:c>
      <x:c r="AU94" s="9" t="n">
        <x:f>MOD(AV93*16807,2147483647)</x:f>
        <x:v>1645401621</x:v>
      </x:c>
      <x:c r="AV94" s="9" t="n">
        <x:f>MOD(AU94*16807,2147483647)</x:f>
        <x:v>1118121728</x:v>
      </x:c>
      <x:c r="AW94" s="17" t="n">
        <x:f>IF('Control Room'!$B$5="Normal",'Control Room'!$B$7+'Control Room'!$D$7*SQRT(-2*LN(MAX(0.000000000001,AU94/2147483647)))*COS(2*PI()*AV94/2147483647),'Control Room'!$B$8+('Control Room'!$D$8-'Control Room'!$B$8)*AU94/2147483647)</x:f>
        <x:v>934.8699335397675</x:v>
      </x:c>
      <x:c r="AX94" s="17" t="n">
        <x:f>IF('Control Room'!$B$5="Normal",'Control Room'!$B$7,('Control Room'!$B$8+'Control Room'!$D$8)/2)+'Control Room'!$B$9*(AX93-IF('Control Room'!$B$5="Normal",'Control Room'!$B$7,('Control Room'!$B$8+'Control Room'!$D$8)/2))+SQRT(1-'Control Room'!$B$9^2)*(AW94-IF('Control Room'!$B$5="Normal",'Control Room'!$B$7,('Control Room'!$B$8+'Control Room'!$D$8)/2))</x:f>
        <x:v>904.1520312712198</x:v>
      </x:c>
      <x:c r="AY94" s="17" t="n">
        <x:f>IF(AND($A94&gt;='Control Room'!$A$13,$A94&lt;'Control Room'!$A$13+'Control Room'!$B$13,'Process'!BT2=1),1+('Control Room'!$C$13-1)*EXP(-0.5*(($A94-'Control Room'!$A$13-('Control Room'!$B$13-1)/2)/MAX(0.5,'Control Room'!$B$13/4))^2),1)*IF(AND($A94&gt;='Control Room'!$A$14,$A94&lt;'Control Room'!$A$14+'Control Room'!$B$14,'Process'!BT3=1),1+('Control Room'!$C$14-1)*EXP(-0.5*(($A94-'Control Room'!$A$14-('Control Room'!$B$14-1)/2)/MAX(0.5,'Control Room'!$B$14/4))^2),1)*IF(AND($A94&gt;='Control Room'!$A$15,$A94&lt;'Control Room'!$A$15+'Control Room'!$B$15,'Process'!BT4=1),1+('Control Room'!$C$15-1)*EXP(-0.5*(($A94-'Control Room'!$A$15-('Control Room'!$B$15-1)/2)/MAX(0.5,'Control Room'!$B$15/4))^2),1)*IF(AND($A94&gt;='Control Room'!$A$16,$A94&lt;'Control Room'!$A$16+'Control Room'!$B$16,'Process'!BT5=1),1+('Control Room'!$C$16-1)*EXP(-0.5*(($A94-'Control Room'!$A$16-('Control Room'!$B$16-1)/2)/MAX(0.5,'Control Room'!$B$16/4))^2),1)</x:f>
        <x:v>1</x:v>
      </x:c>
      <x:c r="AZ94" s="9" t="n">
        <x:f>MOD(BA93*16807,2147483647)</x:f>
        <x:v>12683875</x:v>
      </x:c>
      <x:c r="BA94" s="9" t="n">
        <x:f>MOD(AZ94*16807,2147483647)</x:f>
        <x:v>577006072</x:v>
      </x:c>
      <x:c r="BB94" s="17" t="n">
        <x:f>IF('Control Room'!$B$5="Normal",'Control Room'!$B$7+'Control Room'!$D$7*SQRT(-2*LN(MAX(0.000000000001,AZ94/2147483647)))*COS(2*PI()*BA94/2147483647),'Control Room'!$B$8+('Control Room'!$D$8-'Control Room'!$B$8)*AZ94/2147483647)</x:f>
        <x:v>966.2195500129551</x:v>
      </x:c>
      <x:c r="BC94" s="17" t="n">
        <x:f>IF('Control Room'!$B$5="Normal",'Control Room'!$B$7,('Control Room'!$B$8+'Control Room'!$D$8)/2)+'Control Room'!$B$9*(BC93-IF('Control Room'!$B$5="Normal",'Control Room'!$B$7,('Control Room'!$B$8+'Control Room'!$D$8)/2))+SQRT(1-'Control Room'!$B$9^2)*(BB94-IF('Control Room'!$B$5="Normal",'Control Room'!$B$7,('Control Room'!$B$8+'Control Room'!$D$8)/2))</x:f>
        <x:v>956.2596105895849</x:v>
      </x:c>
      <x:c r="BD94" s="17" t="n">
        <x:f>IF(AND($A94&gt;='Control Room'!$A$13,$A94&lt;'Control Room'!$A$13+'Control Room'!$B$13,'Process'!BU2=1),1+('Control Room'!$C$13-1)*EXP(-0.5*(($A94-'Control Room'!$A$13-('Control Room'!$B$13-1)/2)/MAX(0.5,'Control Room'!$B$13/4))^2),1)*IF(AND($A94&gt;='Control Room'!$A$14,$A94&lt;'Control Room'!$A$14+'Control Room'!$B$14,'Process'!BU3=1),1+('Control Room'!$C$14-1)*EXP(-0.5*(($A94-'Control Room'!$A$14-('Control Room'!$B$14-1)/2)/MAX(0.5,'Control Room'!$B$14/4))^2),1)*IF(AND($A94&gt;='Control Room'!$A$15,$A94&lt;'Control Room'!$A$15+'Control Room'!$B$15,'Process'!BU4=1),1+('Control Room'!$C$15-1)*EXP(-0.5*(($A94-'Control Room'!$A$15-('Control Room'!$B$15-1)/2)/MAX(0.5,'Control Room'!$B$15/4))^2),1)*IF(AND($A94&gt;='Control Room'!$A$16,$A94&lt;'Control Room'!$A$16+'Control Room'!$B$16,'Process'!BU5=1),1+('Control Room'!$C$16-1)*EXP(-0.5*(($A94-'Control Room'!$A$16-('Control Room'!$B$16-1)/2)/MAX(0.5,'Control Room'!$B$16/4))^2),1)</x:f>
        <x:v>1</x:v>
      </x:c>
      <x:c r="BE94" s="9" t="n">
        <x:f>MOD(BF93*16807,2147483647)</x:f>
        <x:v>527449776</x:v>
      </x:c>
      <x:c r="BF94" s="9" t="n">
        <x:f>MOD(BE94*16807,2147483647)</x:f>
        <x:v>35890416</x:v>
      </x:c>
      <x:c r="BG94" s="17" t="n">
        <x:f>IF('Control Room'!$B$5="Normal",'Control Room'!$B$7+'Control Room'!$D$7*SQRT(-2*LN(MAX(0.000000000001,BE94/2147483647)))*COS(2*PI()*BF94/2147483647),'Control Room'!$B$8+('Control Room'!$D$8-'Control Room'!$B$8)*BE94/2147483647)</x:f>
        <x:v>1149.982959149429</x:v>
      </x:c>
      <x:c r="BH94" s="17" t="n">
        <x:f>IF('Control Room'!$B$5="Normal",'Control Room'!$B$7,('Control Room'!$B$8+'Control Room'!$D$8)/2)+'Control Room'!$B$9*(BH93-IF('Control Room'!$B$5="Normal",'Control Room'!$B$7,('Control Room'!$B$8+'Control Room'!$D$8)/2))+SQRT(1-'Control Room'!$B$9^2)*(BG94-IF('Control Room'!$B$5="Normal",'Control Room'!$B$7,('Control Room'!$B$8+'Control Room'!$D$8)/2))</x:f>
        <x:v>1098.4384274954516</x:v>
      </x:c>
      <x:c r="BI94" s="17" t="n">
        <x:f>IF(AND($A94&gt;='Control Room'!$A$13,$A94&lt;'Control Room'!$A$13+'Control Room'!$B$13,'Process'!BV2=1),1+('Control Room'!$C$13-1)*EXP(-0.5*(($A94-'Control Room'!$A$13-('Control Room'!$B$13-1)/2)/MAX(0.5,'Control Room'!$B$13/4))^2),1)*IF(AND($A94&gt;='Control Room'!$A$14,$A94&lt;'Control Room'!$A$14+'Control Room'!$B$14,'Process'!BV3=1),1+('Control Room'!$C$14-1)*EXP(-0.5*(($A94-'Control Room'!$A$14-('Control Room'!$B$14-1)/2)/MAX(0.5,'Control Room'!$B$14/4))^2),1)*IF(AND($A94&gt;='Control Room'!$A$15,$A94&lt;'Control Room'!$A$15+'Control Room'!$B$15,'Process'!BV4=1),1+('Control Room'!$C$15-1)*EXP(-0.5*(($A94-'Control Room'!$A$15-('Control Room'!$B$15-1)/2)/MAX(0.5,'Control Room'!$B$15/4))^2),1)*IF(AND($A94&gt;='Control Room'!$A$16,$A94&lt;'Control Room'!$A$16+'Control Room'!$B$16,'Process'!BV5=1),1+('Control Room'!$C$16-1)*EXP(-0.5*(($A94-'Control Room'!$A$16-('Control Room'!$B$16-1)/2)/MAX(0.5,'Control Room'!$B$16/4))^2),1)</x:f>
        <x:v>1</x:v>
      </x:c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Z94" t="str">
        <x:f>IF('Data'!A94="","",TEXT('Data'!A94,"mm-dd"))</x:f>
        <x:v>02-02</x:v>
      </x:c>
    </x:row>
    <x:row r="95" ht="21" customHeight="1">
      <x:c r="A95" s="15" t="n">
        <x:f>'Control Room'!$B$1+93</x:f>
        <x:v>73084</x:v>
      </x:c>
      <x:c r="B95" s="9" t="n">
        <x:f>MOD(C94*16807,2147483647)</x:f>
        <x:v>1228239369</x:v>
      </x:c>
      <x:c r="C95" s="9" t="n">
        <x:f>MOD(B95*16807,2147483647)</x:f>
        <x:v>1406259819</x:v>
      </x:c>
      <x:c r="D95" s="17" t="n">
        <x:f>IF('Control Room'!$B$5="Normal",'Control Room'!$B$7+'Control Room'!$D$7*SQRT(-2*LN(MAX(0.000000000001,B95/2147483647)))*COS(2*PI()*C95/2147483647),'Control Room'!$B$8+('Control Room'!$D$8-'Control Room'!$B$8)*B95/2147483647)</x:f>
        <x:v>946.4459731830373</x:v>
      </x:c>
      <x:c r="E95" s="17" t="n">
        <x:f>IF('Control Room'!$B$5="Normal",'Control Room'!$B$7,('Control Room'!$B$8+'Control Room'!$D$8)/2)+'Control Room'!$B$9*(E94-IF('Control Room'!$B$5="Normal",'Control Room'!$B$7,('Control Room'!$B$8+'Control Room'!$D$8)/2))+SQRT(1-'Control Room'!$B$9^2)*(D95-IF('Control Room'!$B$5="Normal",'Control Room'!$B$7,('Control Room'!$B$8+'Control Room'!$D$8)/2))</x:f>
        <x:v>967.2974259995614</x:v>
      </x:c>
      <x:c r="F95" s="17" t="n">
        <x:f>IF(AND($A95&gt;='Control Room'!$A$13,$A95&lt;'Control Room'!$A$13+'Control Room'!$B$13,'Process'!BK2=1),1+('Control Room'!$C$13-1)*EXP(-0.5*(($A95-'Control Room'!$A$13-('Control Room'!$B$13-1)/2)/MAX(0.5,'Control Room'!$B$13/4))^2),1)*IF(AND($A95&gt;='Control Room'!$A$14,$A95&lt;'Control Room'!$A$14+'Control Room'!$B$14,'Process'!BK3=1),1+('Control Room'!$C$14-1)*EXP(-0.5*(($A95-'Control Room'!$A$14-('Control Room'!$B$14-1)/2)/MAX(0.5,'Control Room'!$B$14/4))^2),1)*IF(AND($A95&gt;='Control Room'!$A$15,$A95&lt;'Control Room'!$A$15+'Control Room'!$B$15,'Process'!BK4=1),1+('Control Room'!$C$15-1)*EXP(-0.5*(($A95-'Control Room'!$A$15-('Control Room'!$B$15-1)/2)/MAX(0.5,'Control Room'!$B$15/4))^2),1)*IF(AND($A95&gt;='Control Room'!$A$16,$A95&lt;'Control Room'!$A$16+'Control Room'!$B$16,'Process'!BK5=1),1+('Control Room'!$C$16-1)*EXP(-0.5*(($A95-'Control Room'!$A$16-('Control Room'!$B$16-1)/2)/MAX(0.5,'Control Room'!$B$16/4))^2),1)</x:f>
        <x:v>1</x:v>
      </x:c>
      <x:c r="G95" s="9" t="n">
        <x:f>MOD(H94*16807,2147483647)</x:f>
        <x:v>1290654022</x:v>
      </x:c>
      <x:c r="H95" s="9" t="n">
        <x:f>MOD(G95*16807,2147483647)</x:f>
        <x:v>289829407</x:v>
      </x:c>
      <x:c r="I95" s="17" t="n">
        <x:f>IF('Control Room'!$B$5="Normal",'Control Room'!$B$7+'Control Room'!$D$7*SQRT(-2*LN(MAX(0.000000000001,G95/2147483647)))*COS(2*PI()*H95/2147483647),'Control Room'!$B$8+('Control Room'!$D$8-'Control Room'!$B$8)*G95/2147483647)</x:f>
        <x:v>1060.0761727192678</x:v>
      </x:c>
      <x:c r="J95" s="17" t="n">
        <x:f>IF('Control Room'!$B$5="Normal",'Control Room'!$B$7,('Control Room'!$B$8+'Control Room'!$D$8)/2)+'Control Room'!$B$9*(J94-IF('Control Room'!$B$5="Normal",'Control Room'!$B$7,('Control Room'!$B$8+'Control Room'!$D$8)/2))+SQRT(1-'Control Room'!$B$9^2)*(I95-IF('Control Room'!$B$5="Normal",'Control Room'!$B$7,('Control Room'!$B$8+'Control Room'!$D$8)/2))</x:f>
        <x:v>1013.6217584628184</x:v>
      </x:c>
      <x:c r="K95" s="17" t="n">
        <x:f>IF(AND($A95&gt;='Control Room'!$A$13,$A95&lt;'Control Room'!$A$13+'Control Room'!$B$13,'Process'!BL2=1),1+('Control Room'!$C$13-1)*EXP(-0.5*(($A95-'Control Room'!$A$13-('Control Room'!$B$13-1)/2)/MAX(0.5,'Control Room'!$B$13/4))^2),1)*IF(AND($A95&gt;='Control Room'!$A$14,$A95&lt;'Control Room'!$A$14+'Control Room'!$B$14,'Process'!BL3=1),1+('Control Room'!$C$14-1)*EXP(-0.5*(($A95-'Control Room'!$A$14-('Control Room'!$B$14-1)/2)/MAX(0.5,'Control Room'!$B$14/4))^2),1)*IF(AND($A95&gt;='Control Room'!$A$15,$A95&lt;'Control Room'!$A$15+'Control Room'!$B$15,'Process'!BL4=1),1+('Control Room'!$C$15-1)*EXP(-0.5*(($A95-'Control Room'!$A$15-('Control Room'!$B$15-1)/2)/MAX(0.5,'Control Room'!$B$15/4))^2),1)*IF(AND($A95&gt;='Control Room'!$A$16,$A95&lt;'Control Room'!$A$16+'Control Room'!$B$16,'Process'!BL5=1),1+('Control Room'!$C$16-1)*EXP(-0.5*(($A95-'Control Room'!$A$16-('Control Room'!$B$16-1)/2)/MAX(0.5,'Control Room'!$B$16/4))^2),1)</x:f>
        <x:v>1</x:v>
      </x:c>
      <x:c r="L95" s="9" t="n">
        <x:f>MOD(M94*16807,2147483647)</x:f>
        <x:v>1353068675</x:v>
      </x:c>
      <x:c r="M95" s="9" t="n">
        <x:f>MOD(L95*16807,2147483647)</x:f>
        <x:v>1320882642</x:v>
      </x:c>
      <x:c r="N95" s="17" t="n">
        <x:f>IF('Control Room'!$B$5="Normal",'Control Room'!$B$7+'Control Room'!$D$7*SQRT(-2*LN(MAX(0.000000000001,L95/2147483647)))*COS(2*PI()*M95/2147483647),'Control Room'!$B$8+('Control Room'!$D$8-'Control Room'!$B$8)*L95/2147483647)</x:f>
        <x:v>935.141743870739</x:v>
      </x:c>
      <x:c r="O95" s="17" t="n">
        <x:f>IF('Control Room'!$B$5="Normal",'Control Room'!$B$7,('Control Room'!$B$8+'Control Room'!$D$8)/2)+'Control Room'!$B$9*(O94-IF('Control Room'!$B$5="Normal",'Control Room'!$B$7,('Control Room'!$B$8+'Control Room'!$D$8)/2))+SQRT(1-'Control Room'!$B$9^2)*(N95-IF('Control Room'!$B$5="Normal",'Control Room'!$B$7,('Control Room'!$B$8+'Control Room'!$D$8)/2))</x:f>
        <x:v>966.3697118790674</x:v>
      </x:c>
      <x:c r="P95" s="17" t="n">
        <x:f>IF(AND($A95&gt;='Control Room'!$A$13,$A95&lt;'Control Room'!$A$13+'Control Room'!$B$13,'Process'!BM2=1),1+('Control Room'!$C$13-1)*EXP(-0.5*(($A95-'Control Room'!$A$13-('Control Room'!$B$13-1)/2)/MAX(0.5,'Control Room'!$B$13/4))^2),1)*IF(AND($A95&gt;='Control Room'!$A$14,$A95&lt;'Control Room'!$A$14+'Control Room'!$B$14,'Process'!BM3=1),1+('Control Room'!$C$14-1)*EXP(-0.5*(($A95-'Control Room'!$A$14-('Control Room'!$B$14-1)/2)/MAX(0.5,'Control Room'!$B$14/4))^2),1)*IF(AND($A95&gt;='Control Room'!$A$15,$A95&lt;'Control Room'!$A$15+'Control Room'!$B$15,'Process'!BM4=1),1+('Control Room'!$C$15-1)*EXP(-0.5*(($A95-'Control Room'!$A$15-('Control Room'!$B$15-1)/2)/MAX(0.5,'Control Room'!$B$15/4))^2),1)*IF(AND($A95&gt;='Control Room'!$A$16,$A95&lt;'Control Room'!$A$16+'Control Room'!$B$16,'Process'!BM5=1),1+('Control Room'!$C$16-1)*EXP(-0.5*(($A95-'Control Room'!$A$16-('Control Room'!$B$16-1)/2)/MAX(0.5,'Control Room'!$B$16/4))^2),1)</x:f>
        <x:v>1</x:v>
      </x:c>
      <x:c r="Q95" s="9" t="n">
        <x:f>MOD(R94*16807,2147483647)</x:f>
        <x:v>1415483328</x:v>
      </x:c>
      <x:c r="R95" s="9" t="n">
        <x:f>MOD(Q95*16807,2147483647)</x:f>
        <x:v>204452230</x:v>
      </x:c>
      <x:c r="S95" s="17" t="n">
        <x:f>IF('Control Room'!$B$5="Normal",'Control Room'!$B$7+'Control Room'!$D$7*SQRT(-2*LN(MAX(0.000000000001,Q95/2147483647)))*COS(2*PI()*R95/2147483647),'Control Room'!$B$8+('Control Room'!$D$8-'Control Room'!$B$8)*Q95/2147483647)</x:f>
        <x:v>1067.9048788790499</x:v>
      </x:c>
      <x:c r="T95" s="17" t="n">
        <x:f>IF('Control Room'!$B$5="Normal",'Control Room'!$B$7,('Control Room'!$B$8+'Control Room'!$D$8)/2)+'Control Room'!$B$9*(T94-IF('Control Room'!$B$5="Normal",'Control Room'!$B$7,('Control Room'!$B$8+'Control Room'!$D$8)/2))+SQRT(1-'Control Room'!$B$9^2)*(S95-IF('Control Room'!$B$5="Normal",'Control Room'!$B$7,('Control Room'!$B$8+'Control Room'!$D$8)/2))</x:f>
        <x:v>1073.4617389750272</x:v>
      </x:c>
      <x:c r="U95" s="17" t="n">
        <x:f>IF(AND($A95&gt;='Control Room'!$A$13,$A95&lt;'Control Room'!$A$13+'Control Room'!$B$13,'Process'!BN2=1),1+('Control Room'!$C$13-1)*EXP(-0.5*(($A95-'Control Room'!$A$13-('Control Room'!$B$13-1)/2)/MAX(0.5,'Control Room'!$B$13/4))^2),1)*IF(AND($A95&gt;='Control Room'!$A$14,$A95&lt;'Control Room'!$A$14+'Control Room'!$B$14,'Process'!BN3=1),1+('Control Room'!$C$14-1)*EXP(-0.5*(($A95-'Control Room'!$A$14-('Control Room'!$B$14-1)/2)/MAX(0.5,'Control Room'!$B$14/4))^2),1)*IF(AND($A95&gt;='Control Room'!$A$15,$A95&lt;'Control Room'!$A$15+'Control Room'!$B$15,'Process'!BN4=1),1+('Control Room'!$C$15-1)*EXP(-0.5*(($A95-'Control Room'!$A$15-('Control Room'!$B$15-1)/2)/MAX(0.5,'Control Room'!$B$15/4))^2),1)*IF(AND($A95&gt;='Control Room'!$A$16,$A95&lt;'Control Room'!$A$16+'Control Room'!$B$16,'Process'!BN5=1),1+('Control Room'!$C$16-1)*EXP(-0.5*(($A95-'Control Room'!$A$16-('Control Room'!$B$16-1)/2)/MAX(0.5,'Control Room'!$B$16/4))^2),1)</x:f>
        <x:v>1</x:v>
      </x:c>
      <x:c r="V95" s="9" t="n">
        <x:f>MOD(W94*16807,2147483647)</x:f>
        <x:v>1477897981</x:v>
      </x:c>
      <x:c r="W95" s="9" t="n">
        <x:f>MOD(V95*16807,2147483647)</x:f>
        <x:v>1235505465</x:v>
      </x:c>
      <x:c r="X95" s="17" t="n">
        <x:f>IF('Control Room'!$B$5="Normal",'Control Room'!$B$7+'Control Room'!$D$7*SQRT(-2*LN(MAX(0.000000000001,V95/2147483647)))*COS(2*PI()*W95/2147483647),'Control Room'!$B$8+('Control Room'!$D$8-'Control Room'!$B$8)*V95/2147483647)</x:f>
        <x:v>930.7483579002268</x:v>
      </x:c>
      <x:c r="Y95" s="17" t="n">
        <x:f>IF('Control Room'!$B$5="Normal",'Control Room'!$B$7,('Control Room'!$B$8+'Control Room'!$D$8)/2)+'Control Room'!$B$9*(Y94-IF('Control Room'!$B$5="Normal",'Control Room'!$B$7,('Control Room'!$B$8+'Control Room'!$D$8)/2))+SQRT(1-'Control Room'!$B$9^2)*(X95-IF('Control Room'!$B$5="Normal",'Control Room'!$B$7,('Control Room'!$B$8+'Control Room'!$D$8)/2))</x:f>
        <x:v>899.2932421153841</x:v>
      </x:c>
      <x:c r="Z95" s="17" t="n">
        <x:f>IF(AND($A95&gt;='Control Room'!$A$13,$A95&lt;'Control Room'!$A$13+'Control Room'!$B$13,'Process'!BO2=1),1+('Control Room'!$C$13-1)*EXP(-0.5*(($A95-'Control Room'!$A$13-('Control Room'!$B$13-1)/2)/MAX(0.5,'Control Room'!$B$13/4))^2),1)*IF(AND($A95&gt;='Control Room'!$A$14,$A95&lt;'Control Room'!$A$14+'Control Room'!$B$14,'Process'!BO3=1),1+('Control Room'!$C$14-1)*EXP(-0.5*(($A95-'Control Room'!$A$14-('Control Room'!$B$14-1)/2)/MAX(0.5,'Control Room'!$B$14/4))^2),1)*IF(AND($A95&gt;='Control Room'!$A$15,$A95&lt;'Control Room'!$A$15+'Control Room'!$B$15,'Process'!BO4=1),1+('Control Room'!$C$15-1)*EXP(-0.5*(($A95-'Control Room'!$A$15-('Control Room'!$B$15-1)/2)/MAX(0.5,'Control Room'!$B$15/4))^2),1)*IF(AND($A95&gt;='Control Room'!$A$16,$A95&lt;'Control Room'!$A$16+'Control Room'!$B$16,'Process'!BO5=1),1+('Control Room'!$C$16-1)*EXP(-0.5*(($A95-'Control Room'!$A$16-('Control Room'!$B$16-1)/2)/MAX(0.5,'Control Room'!$B$16/4))^2),1)</x:f>
        <x:v>1</x:v>
      </x:c>
      <x:c r="AA95" s="9" t="n">
        <x:f>MOD(AB94*16807,2147483647)</x:f>
        <x:v>1540312634</x:v>
      </x:c>
      <x:c r="AB95" s="9" t="n">
        <x:f>MOD(AA95*16807,2147483647)</x:f>
        <x:v>119075053</x:v>
      </x:c>
      <x:c r="AC95" s="17" t="n">
        <x:f>IF('Control Room'!$B$5="Normal",'Control Room'!$B$7+'Control Room'!$D$7*SQRT(-2*LN(MAX(0.000000000001,AA95/2147483647)))*COS(2*PI()*AB95/2147483647),'Control Room'!$B$8+('Control Room'!$D$8-'Control Room'!$B$8)*AA95/2147483647)</x:f>
        <x:v>1068.9639276948205</x:v>
      </x:c>
      <x:c r="AD95" s="17" t="n">
        <x:f>IF('Control Room'!$B$5="Normal",'Control Room'!$B$7,('Control Room'!$B$8+'Control Room'!$D$8)/2)+'Control Room'!$B$9*(AD94-IF('Control Room'!$B$5="Normal",'Control Room'!$B$7,('Control Room'!$B$8+'Control Room'!$D$8)/2))+SQRT(1-'Control Room'!$B$9^2)*(AC95-IF('Control Room'!$B$5="Normal",'Control Room'!$B$7,('Control Room'!$B$8+'Control Room'!$D$8)/2))</x:f>
        <x:v>1058.2365990853286</x:v>
      </x:c>
      <x:c r="AE95" s="17" t="n">
        <x:f>IF(AND($A95&gt;='Control Room'!$A$13,$A95&lt;'Control Room'!$A$13+'Control Room'!$B$13,'Process'!BP2=1),1+('Control Room'!$C$13-1)*EXP(-0.5*(($A95-'Control Room'!$A$13-('Control Room'!$B$13-1)/2)/MAX(0.5,'Control Room'!$B$13/4))^2),1)*IF(AND($A95&gt;='Control Room'!$A$14,$A95&lt;'Control Room'!$A$14+'Control Room'!$B$14,'Process'!BP3=1),1+('Control Room'!$C$14-1)*EXP(-0.5*(($A95-'Control Room'!$A$14-('Control Room'!$B$14-1)/2)/MAX(0.5,'Control Room'!$B$14/4))^2),1)*IF(AND($A95&gt;='Control Room'!$A$15,$A95&lt;'Control Room'!$A$15+'Control Room'!$B$15,'Process'!BP4=1),1+('Control Room'!$C$15-1)*EXP(-0.5*(($A95-'Control Room'!$A$15-('Control Room'!$B$15-1)/2)/MAX(0.5,'Control Room'!$B$15/4))^2),1)*IF(AND($A95&gt;='Control Room'!$A$16,$A95&lt;'Control Room'!$A$16+'Control Room'!$B$16,'Process'!BP5=1),1+('Control Room'!$C$16-1)*EXP(-0.5*(($A95-'Control Room'!$A$16-('Control Room'!$B$16-1)/2)/MAX(0.5,'Control Room'!$B$16/4))^2),1)</x:f>
        <x:v>1</x:v>
      </x:c>
      <x:c r="AF95" s="9" t="n">
        <x:f>MOD(AG94*16807,2147483647)</x:f>
        <x:v>1602727287</x:v>
      </x:c>
      <x:c r="AG95" s="9" t="n">
        <x:f>MOD(AF95*16807,2147483647)</x:f>
        <x:v>1150128288</x:v>
      </x:c>
      <x:c r="AH95" s="17" t="n">
        <x:f>IF('Control Room'!$B$5="Normal",'Control Room'!$B$7+'Control Room'!$D$7*SQRT(-2*LN(MAX(0.000000000001,AF95/2147483647)))*COS(2*PI()*AG95/2147483647),'Control Room'!$B$8+('Control Room'!$D$8-'Control Room'!$B$8)*AF95/2147483647)</x:f>
        <x:v>932.8649507699367</x:v>
      </x:c>
      <x:c r="AI95" s="17" t="n">
        <x:f>IF('Control Room'!$B$5="Normal",'Control Room'!$B$7,('Control Room'!$B$8+'Control Room'!$D$8)/2)+'Control Room'!$B$9*(AI94-IF('Control Room'!$B$5="Normal",'Control Room'!$B$7,('Control Room'!$B$8+'Control Room'!$D$8)/2))+SQRT(1-'Control Room'!$B$9^2)*(AH95-IF('Control Room'!$B$5="Normal",'Control Room'!$B$7,('Control Room'!$B$8+'Control Room'!$D$8)/2))</x:f>
        <x:v>909.4430479193205</x:v>
      </x:c>
      <x:c r="AJ95" s="17" t="n">
        <x:f>IF(AND($A95&gt;='Control Room'!$A$13,$A95&lt;'Control Room'!$A$13+'Control Room'!$B$13,'Process'!BQ2=1),1+('Control Room'!$C$13-1)*EXP(-0.5*(($A95-'Control Room'!$A$13-('Control Room'!$B$13-1)/2)/MAX(0.5,'Control Room'!$B$13/4))^2),1)*IF(AND($A95&gt;='Control Room'!$A$14,$A95&lt;'Control Room'!$A$14+'Control Room'!$B$14,'Process'!BQ3=1),1+('Control Room'!$C$14-1)*EXP(-0.5*(($A95-'Control Room'!$A$14-('Control Room'!$B$14-1)/2)/MAX(0.5,'Control Room'!$B$14/4))^2),1)*IF(AND($A95&gt;='Control Room'!$A$15,$A95&lt;'Control Room'!$A$15+'Control Room'!$B$15,'Process'!BQ4=1),1+('Control Room'!$C$15-1)*EXP(-0.5*(($A95-'Control Room'!$A$15-('Control Room'!$B$15-1)/2)/MAX(0.5,'Control Room'!$B$15/4))^2),1)*IF(AND($A95&gt;='Control Room'!$A$16,$A95&lt;'Control Room'!$A$16+'Control Room'!$B$16,'Process'!BQ5=1),1+('Control Room'!$C$16-1)*EXP(-0.5*(($A95-'Control Room'!$A$16-('Control Room'!$B$16-1)/2)/MAX(0.5,'Control Room'!$B$16/4))^2),1)</x:f>
        <x:v>1</x:v>
      </x:c>
      <x:c r="AK95" s="9" t="n">
        <x:f>MOD(AL94*16807,2147483647)</x:f>
        <x:v>1665141940</x:v>
      </x:c>
      <x:c r="AL95" s="9" t="n">
        <x:f>MOD(AK95*16807,2147483647)</x:f>
        <x:v>33697876</x:v>
      </x:c>
      <x:c r="AM95" s="17" t="n">
        <x:f>IF('Control Room'!$B$5="Normal",'Control Room'!$B$7+'Control Room'!$D$7*SQRT(-2*LN(MAX(0.000000000001,AK95/2147483647)))*COS(2*PI()*AL95/2147483647),'Control Room'!$B$8+('Control Room'!$D$8-'Control Room'!$B$8)*AK95/2147483647)</x:f>
        <x:v>1063.883713841019</x:v>
      </x:c>
      <x:c r="AN95" s="17" t="n">
        <x:f>IF('Control Room'!$B$5="Normal",'Control Room'!$B$7,('Control Room'!$B$8+'Control Room'!$D$8)/2)+'Control Room'!$B$9*(AN94-IF('Control Room'!$B$5="Normal",'Control Room'!$B$7,('Control Room'!$B$8+'Control Room'!$D$8)/2))+SQRT(1-'Control Room'!$B$9^2)*(AM95-IF('Control Room'!$B$5="Normal",'Control Room'!$B$7,('Control Room'!$B$8+'Control Room'!$D$8)/2))</x:f>
        <x:v>1074.256261138281</x:v>
      </x:c>
      <x:c r="AO95" s="17" t="n">
        <x:f>IF(AND($A95&gt;='Control Room'!$A$13,$A95&lt;'Control Room'!$A$13+'Control Room'!$B$13,'Process'!BR2=1),1+('Control Room'!$C$13-1)*EXP(-0.5*(($A95-'Control Room'!$A$13-('Control Room'!$B$13-1)/2)/MAX(0.5,'Control Room'!$B$13/4))^2),1)*IF(AND($A95&gt;='Control Room'!$A$14,$A95&lt;'Control Room'!$A$14+'Control Room'!$B$14,'Process'!BR3=1),1+('Control Room'!$C$14-1)*EXP(-0.5*(($A95-'Control Room'!$A$14-('Control Room'!$B$14-1)/2)/MAX(0.5,'Control Room'!$B$14/4))^2),1)*IF(AND($A95&gt;='Control Room'!$A$15,$A95&lt;'Control Room'!$A$15+'Control Room'!$B$15,'Process'!BR4=1),1+('Control Room'!$C$15-1)*EXP(-0.5*(($A95-'Control Room'!$A$15-('Control Room'!$B$15-1)/2)/MAX(0.5,'Control Room'!$B$15/4))^2),1)*IF(AND($A95&gt;='Control Room'!$A$16,$A95&lt;'Control Room'!$A$16+'Control Room'!$B$16,'Process'!BR5=1),1+('Control Room'!$C$16-1)*EXP(-0.5*(($A95-'Control Room'!$A$16-('Control Room'!$B$16-1)/2)/MAX(0.5,'Control Room'!$B$16/4))^2),1)</x:f>
        <x:v>1</x:v>
      </x:c>
      <x:c r="AP95" s="9" t="n">
        <x:f>MOD(AQ94*16807,2147483647)</x:f>
        <x:v>1727556593</x:v>
      </x:c>
      <x:c r="AQ95" s="9" t="n">
        <x:f>MOD(AP95*16807,2147483647)</x:f>
        <x:v>1064751111</x:v>
      </x:c>
      <x:c r="AR95" s="17" t="n">
        <x:f>IF('Control Room'!$B$5="Normal",'Control Room'!$B$7+'Control Room'!$D$7*SQRT(-2*LN(MAX(0.000000000001,AP95/2147483647)))*COS(2*PI()*AQ95/2147483647),'Control Room'!$B$8+('Control Room'!$D$8-'Control Room'!$B$8)*AP95/2147483647)</x:f>
        <x:v>940.6493577854425</x:v>
      </x:c>
      <x:c r="AS95" s="17" t="n">
        <x:f>IF('Control Room'!$B$5="Normal",'Control Room'!$B$7,('Control Room'!$B$8+'Control Room'!$D$8)/2)+'Control Room'!$B$9*(AS94-IF('Control Room'!$B$5="Normal",'Control Room'!$B$7,('Control Room'!$B$8+'Control Room'!$D$8)/2))+SQRT(1-'Control Room'!$B$9^2)*(AR95-IF('Control Room'!$B$5="Normal",'Control Room'!$B$7,('Control Room'!$B$8+'Control Room'!$D$8)/2))</x:f>
        <x:v>989.445852258507</x:v>
      </x:c>
      <x:c r="AT95" s="17" t="n">
        <x:f>IF(AND($A95&gt;='Control Room'!$A$13,$A95&lt;'Control Room'!$A$13+'Control Room'!$B$13,'Process'!BS2=1),1+('Control Room'!$C$13-1)*EXP(-0.5*(($A95-'Control Room'!$A$13-('Control Room'!$B$13-1)/2)/MAX(0.5,'Control Room'!$B$13/4))^2),1)*IF(AND($A95&gt;='Control Room'!$A$14,$A95&lt;'Control Room'!$A$14+'Control Room'!$B$14,'Process'!BS3=1),1+('Control Room'!$C$14-1)*EXP(-0.5*(($A95-'Control Room'!$A$14-('Control Room'!$B$14-1)/2)/MAX(0.5,'Control Room'!$B$14/4))^2),1)*IF(AND($A95&gt;='Control Room'!$A$15,$A95&lt;'Control Room'!$A$15+'Control Room'!$B$15,'Process'!BS4=1),1+('Control Room'!$C$15-1)*EXP(-0.5*(($A95-'Control Room'!$A$15-('Control Room'!$B$15-1)/2)/MAX(0.5,'Control Room'!$B$15/4))^2),1)*IF(AND($A95&gt;='Control Room'!$A$16,$A95&lt;'Control Room'!$A$16+'Control Room'!$B$16,'Process'!BS5=1),1+('Control Room'!$C$16-1)*EXP(-0.5*(($A95-'Control Room'!$A$16-('Control Room'!$B$16-1)/2)/MAX(0.5,'Control Room'!$B$16/4))^2),1)</x:f>
        <x:v>1</x:v>
      </x:c>
      <x:c r="AU95" s="9" t="n">
        <x:f>MOD(AV94*16807,2147483647)</x:f>
        <x:v>1789971246</x:v>
      </x:c>
      <x:c r="AV95" s="9" t="n">
        <x:f>MOD(AU95*16807,2147483647)</x:f>
        <x:v>2095804346</x:v>
      </x:c>
      <x:c r="AW95" s="17" t="n">
        <x:f>IF('Control Room'!$B$5="Normal",'Control Room'!$B$7+'Control Room'!$D$7*SQRT(-2*LN(MAX(0.000000000001,AU95/2147483647)))*COS(2*PI()*AV95/2147483647),'Control Room'!$B$8+('Control Room'!$D$8-'Control Room'!$B$8)*AU95/2147483647)</x:f>
        <x:v>1053.6939648371392</x:v>
      </x:c>
      <x:c r="AX95" s="17" t="n">
        <x:f>IF('Control Room'!$B$5="Normal",'Control Room'!$B$7,('Control Room'!$B$8+'Control Room'!$D$8)/2)+'Control Room'!$B$9*(AX94-IF('Control Room'!$B$5="Normal",'Control Room'!$B$7,('Control Room'!$B$8+'Control Room'!$D$8)/2))+SQRT(1-'Control Room'!$B$9^2)*(AW95-IF('Control Room'!$B$5="Normal",'Control Room'!$B$7,('Control Room'!$B$8+'Control Room'!$D$8)/2))</x:f>
        <x:v>958.8391676059742</x:v>
      </x:c>
      <x:c r="AY95" s="17" t="n">
        <x:f>IF(AND($A95&gt;='Control Room'!$A$13,$A95&lt;'Control Room'!$A$13+'Control Room'!$B$13,'Process'!BT2=1),1+('Control Room'!$C$13-1)*EXP(-0.5*(($A95-'Control Room'!$A$13-('Control Room'!$B$13-1)/2)/MAX(0.5,'Control Room'!$B$13/4))^2),1)*IF(AND($A95&gt;='Control Room'!$A$14,$A95&lt;'Control Room'!$A$14+'Control Room'!$B$14,'Process'!BT3=1),1+('Control Room'!$C$14-1)*EXP(-0.5*(($A95-'Control Room'!$A$14-('Control Room'!$B$14-1)/2)/MAX(0.5,'Control Room'!$B$14/4))^2),1)*IF(AND($A95&gt;='Control Room'!$A$15,$A95&lt;'Control Room'!$A$15+'Control Room'!$B$15,'Process'!BT4=1),1+('Control Room'!$C$15-1)*EXP(-0.5*(($A95-'Control Room'!$A$15-('Control Room'!$B$15-1)/2)/MAX(0.5,'Control Room'!$B$15/4))^2),1)*IF(AND($A95&gt;='Control Room'!$A$16,$A95&lt;'Control Room'!$A$16+'Control Room'!$B$16,'Process'!BT5=1),1+('Control Room'!$C$16-1)*EXP(-0.5*(($A95-'Control Room'!$A$16-('Control Room'!$B$16-1)/2)/MAX(0.5,'Control Room'!$B$16/4))^2),1)</x:f>
        <x:v>1</x:v>
      </x:c>
      <x:c r="AZ95" s="9" t="n">
        <x:f>MOD(BA94*16807,2147483647)</x:f>
        <x:v>1852385899</x:v>
      </x:c>
      <x:c r="BA95" s="9" t="n">
        <x:f>MOD(AZ95*16807,2147483647)</x:f>
        <x:v>979373934</x:v>
      </x:c>
      <x:c r="BB95" s="17" t="n">
        <x:f>IF('Control Room'!$B$5="Normal",'Control Room'!$B$7+'Control Room'!$D$7*SQRT(-2*LN(MAX(0.000000000001,AZ95/2147483647)))*COS(2*PI()*BA95/2147483647),'Control Room'!$B$8+('Control Room'!$D$8-'Control Room'!$B$8)*AZ95/2147483647)</x:f>
        <x:v>952.9175830067035</x:v>
      </x:c>
      <x:c r="BC95" s="17" t="n">
        <x:f>IF('Control Room'!$B$5="Normal",'Control Room'!$B$7,('Control Room'!$B$8+'Control Room'!$D$8)/2)+'Control Room'!$B$9*(BC94-IF('Control Room'!$B$5="Normal",'Control Room'!$B$7,('Control Room'!$B$8+'Control Room'!$D$8)/2))+SQRT(1-'Control Room'!$B$9^2)*(BB95-IF('Control Room'!$B$5="Normal",'Control Room'!$B$7,('Control Room'!$B$8+'Control Room'!$D$8)/2))</x:f>
        <x:v>936.4192842412106</x:v>
      </x:c>
      <x:c r="BD95" s="17" t="n">
        <x:f>IF(AND($A95&gt;='Control Room'!$A$13,$A95&lt;'Control Room'!$A$13+'Control Room'!$B$13,'Process'!BU2=1),1+('Control Room'!$C$13-1)*EXP(-0.5*(($A95-'Control Room'!$A$13-('Control Room'!$B$13-1)/2)/MAX(0.5,'Control Room'!$B$13/4))^2),1)*IF(AND($A95&gt;='Control Room'!$A$14,$A95&lt;'Control Room'!$A$14+'Control Room'!$B$14,'Process'!BU3=1),1+('Control Room'!$C$14-1)*EXP(-0.5*(($A95-'Control Room'!$A$14-('Control Room'!$B$14-1)/2)/MAX(0.5,'Control Room'!$B$14/4))^2),1)*IF(AND($A95&gt;='Control Room'!$A$15,$A95&lt;'Control Room'!$A$15+'Control Room'!$B$15,'Process'!BU4=1),1+('Control Room'!$C$15-1)*EXP(-0.5*(($A95-'Control Room'!$A$15-('Control Room'!$B$15-1)/2)/MAX(0.5,'Control Room'!$B$15/4))^2),1)*IF(AND($A95&gt;='Control Room'!$A$16,$A95&lt;'Control Room'!$A$16+'Control Room'!$B$16,'Process'!BU5=1),1+('Control Room'!$C$16-1)*EXP(-0.5*(($A95-'Control Room'!$A$16-('Control Room'!$B$16-1)/2)/MAX(0.5,'Control Room'!$B$16/4))^2),1)</x:f>
        <x:v>1</x:v>
      </x:c>
      <x:c r="BE95" s="9" t="n">
        <x:f>MOD(BF94*16807,2147483647)</x:f>
        <x:v>1914800552</x:v>
      </x:c>
      <x:c r="BF95" s="9" t="n">
        <x:f>MOD(BE95*16807,2147483647)</x:f>
        <x:v>2010427169</x:v>
      </x:c>
      <x:c r="BG95" s="17" t="n">
        <x:f>IF('Control Room'!$B$5="Normal",'Control Room'!$B$7+'Control Room'!$D$7*SQRT(-2*LN(MAX(0.000000000001,BE95/2147483647)))*COS(2*PI()*BF95/2147483647),'Control Room'!$B$8+('Control Room'!$D$8-'Control Room'!$B$8)*BE95/2147483647)</x:f>
        <x:v>1039.6836142307477</x:v>
      </x:c>
      <x:c r="BH95" s="17" t="n">
        <x:f>IF('Control Room'!$B$5="Normal",'Control Room'!$B$7,('Control Room'!$B$8+'Control Room'!$D$8)/2)+'Control Room'!$B$9*(BH94-IF('Control Room'!$B$5="Normal",'Control Room'!$B$7,('Control Room'!$B$8+'Control Room'!$D$8)/2))+SQRT(1-'Control Room'!$B$9^2)*(BG95-IF('Control Room'!$B$5="Normal",'Control Room'!$B$7,('Control Room'!$B$8+'Control Room'!$D$8)/2))</x:f>
        <x:v>1101.6151662690281</x:v>
      </x:c>
      <x:c r="BI95" s="17" t="n">
        <x:f>IF(AND($A95&gt;='Control Room'!$A$13,$A95&lt;'Control Room'!$A$13+'Control Room'!$B$13,'Process'!BV2=1),1+('Control Room'!$C$13-1)*EXP(-0.5*(($A95-'Control Room'!$A$13-('Control Room'!$B$13-1)/2)/MAX(0.5,'Control Room'!$B$13/4))^2),1)*IF(AND($A95&gt;='Control Room'!$A$14,$A95&lt;'Control Room'!$A$14+'Control Room'!$B$14,'Process'!BV3=1),1+('Control Room'!$C$14-1)*EXP(-0.5*(($A95-'Control Room'!$A$14-('Control Room'!$B$14-1)/2)/MAX(0.5,'Control Room'!$B$14/4))^2),1)*IF(AND($A95&gt;='Control Room'!$A$15,$A95&lt;'Control Room'!$A$15+'Control Room'!$B$15,'Process'!BV4=1),1+('Control Room'!$C$15-1)*EXP(-0.5*(($A95-'Control Room'!$A$15-('Control Room'!$B$15-1)/2)/MAX(0.5,'Control Room'!$B$15/4))^2),1)*IF(AND($A95&gt;='Control Room'!$A$16,$A95&lt;'Control Room'!$A$16+'Control Room'!$B$16,'Process'!BV5=1),1+('Control Room'!$C$16-1)*EXP(-0.5*(($A95-'Control Room'!$A$16-('Control Room'!$B$16-1)/2)/MAX(0.5,'Control Room'!$B$16/4))^2),1)</x:f>
        <x:v>1</x:v>
      </x:c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Z95" t="str">
        <x:f>IF('Data'!A95="","",TEXT('Data'!A95,"mm-dd"))</x:f>
        <x:v>02-03</x:v>
      </x:c>
    </x:row>
    <x:row r="96" ht="21" customHeight="1">
      <x:c r="A96" s="15" t="n">
        <x:f>'Control Room'!$B$1+94</x:f>
        <x:v>73085</x:v>
      </x:c>
      <x:c r="B96" s="9" t="n">
        <x:f>MOD(C95*16807,2147483647)</x:f>
        <x:v>1951242698</x:v>
      </x:c>
      <x:c r="C96" s="9" t="n">
        <x:f>MOD(B96*16807,2147483647)</x:f>
        <x:v>313251949</x:v>
      </x:c>
      <x:c r="D96" s="17" t="n">
        <x:f>IF('Control Room'!$B$5="Normal",'Control Room'!$B$7+'Control Room'!$D$7*SQRT(-2*LN(MAX(0.000000000001,B96/2147483647)))*COS(2*PI()*C96/2147483647),'Control Room'!$B$8+('Control Room'!$D$8-'Control Room'!$B$8)*B96/2147483647)</x:f>
        <x:v>1023.9788375385298</x:v>
      </x:c>
      <x:c r="E96" s="17" t="n">
        <x:f>IF('Control Room'!$B$5="Normal",'Control Room'!$B$7,('Control Room'!$B$8+'Control Room'!$D$8)/2)+'Control Room'!$B$9*(E95-IF('Control Room'!$B$5="Normal",'Control Room'!$B$7,('Control Room'!$B$8+'Control Room'!$D$8)/2))+SQRT(1-'Control Room'!$B$9^2)*(D96-IF('Control Room'!$B$5="Normal",'Control Room'!$B$7,('Control Room'!$B$8+'Control Room'!$D$8)/2))</x:f>
        <x:v>989.4974575780819</x:v>
      </x:c>
      <x:c r="F96" s="17" t="n">
        <x:f>IF(AND($A96&gt;='Control Room'!$A$13,$A96&lt;'Control Room'!$A$13+'Control Room'!$B$13,'Process'!BK2=1),1+('Control Room'!$C$13-1)*EXP(-0.5*(($A96-'Control Room'!$A$13-('Control Room'!$B$13-1)/2)/MAX(0.5,'Control Room'!$B$13/4))^2),1)*IF(AND($A96&gt;='Control Room'!$A$14,$A96&lt;'Control Room'!$A$14+'Control Room'!$B$14,'Process'!BK3=1),1+('Control Room'!$C$14-1)*EXP(-0.5*(($A96-'Control Room'!$A$14-('Control Room'!$B$14-1)/2)/MAX(0.5,'Control Room'!$B$14/4))^2),1)*IF(AND($A96&gt;='Control Room'!$A$15,$A96&lt;'Control Room'!$A$15+'Control Room'!$B$15,'Process'!BK4=1),1+('Control Room'!$C$15-1)*EXP(-0.5*(($A96-'Control Room'!$A$15-('Control Room'!$B$15-1)/2)/MAX(0.5,'Control Room'!$B$15/4))^2),1)*IF(AND($A96&gt;='Control Room'!$A$16,$A96&lt;'Control Room'!$A$16+'Control Room'!$B$16,'Process'!BK5=1),1+('Control Room'!$C$16-1)*EXP(-0.5*(($A96-'Control Room'!$A$16-('Control Room'!$B$16-1)/2)/MAX(0.5,'Control Room'!$B$16/4))^2),1)</x:f>
        <x:v>1</x:v>
      </x:c>
      <x:c r="G96" s="9" t="n">
        <x:f>MOD(H95*16807,2147483647)</x:f>
        <x:v>669932053</x:v>
      </x:c>
      <x:c r="H96" s="9" t="n">
        <x:f>MOD(G96*16807,2147483647)</x:f>
        <x:v>291253550</x:v>
      </x:c>
      <x:c r="I96" s="17" t="n">
        <x:f>IF('Control Room'!$B$5="Normal",'Control Room'!$B$7+'Control Room'!$D$7*SQRT(-2*LN(MAX(0.000000000001,G96/2147483647)))*COS(2*PI()*H96/2147483647),'Control Room'!$B$8+('Control Room'!$D$8-'Control Room'!$B$8)*G96/2147483647)</x:f>
        <x:v>1090.439863368265</x:v>
      </x:c>
      <x:c r="J96" s="17" t="n">
        <x:f>IF('Control Room'!$B$5="Normal",'Control Room'!$B$7,('Control Room'!$B$8+'Control Room'!$D$8)/2)+'Control Room'!$B$9*(J95-IF('Control Room'!$B$5="Normal",'Control Room'!$B$7,('Control Room'!$B$8+'Control Room'!$D$8)/2))+SQRT(1-'Control Room'!$B$9^2)*(I96-IF('Control Room'!$B$5="Normal",'Control Room'!$B$7,('Control Room'!$B$8+'Control Room'!$D$8)/2))</x:f>
        <x:v>1067.2203853355509</x:v>
      </x:c>
      <x:c r="K96" s="17" t="n">
        <x:f>IF(AND($A96&gt;='Control Room'!$A$13,$A96&lt;'Control Room'!$A$13+'Control Room'!$B$13,'Process'!BL2=1),1+('Control Room'!$C$13-1)*EXP(-0.5*(($A96-'Control Room'!$A$13-('Control Room'!$B$13-1)/2)/MAX(0.5,'Control Room'!$B$13/4))^2),1)*IF(AND($A96&gt;='Control Room'!$A$14,$A96&lt;'Control Room'!$A$14+'Control Room'!$B$14,'Process'!BL3=1),1+('Control Room'!$C$14-1)*EXP(-0.5*(($A96-'Control Room'!$A$14-('Control Room'!$B$14-1)/2)/MAX(0.5,'Control Room'!$B$14/4))^2),1)*IF(AND($A96&gt;='Control Room'!$A$15,$A96&lt;'Control Room'!$A$15+'Control Room'!$B$15,'Process'!BL4=1),1+('Control Room'!$C$15-1)*EXP(-0.5*(($A96-'Control Room'!$A$15-('Control Room'!$B$15-1)/2)/MAX(0.5,'Control Room'!$B$15/4))^2),1)*IF(AND($A96&gt;='Control Room'!$A$16,$A96&lt;'Control Room'!$A$16+'Control Room'!$B$16,'Process'!BL5=1),1+('Control Room'!$C$16-1)*EXP(-0.5*(($A96-'Control Room'!$A$16-('Control Room'!$B$16-1)/2)/MAX(0.5,'Control Room'!$B$16/4))^2),1)</x:f>
        <x:v>1</x:v>
      </x:c>
      <x:c r="L96" s="9" t="n">
        <x:f>MOD(M95*16807,2147483647)</x:f>
        <x:v>1536105055</x:v>
      </x:c>
      <x:c r="M96" s="9" t="n">
        <x:f>MOD(L96*16807,2147483647)</x:f>
        <x:v>269255151</x:v>
      </x:c>
      <x:c r="N96" s="17" t="n">
        <x:f>IF('Control Room'!$B$5="Normal",'Control Room'!$B$7+'Control Room'!$D$7*SQRT(-2*LN(MAX(0.000000000001,L96/2147483647)))*COS(2*PI()*M96/2147483647),'Control Room'!$B$8+('Control Room'!$D$8-'Control Room'!$B$8)*L96/2147483647)</x:f>
        <x:v>1051.9698107264371</x:v>
      </x:c>
      <x:c r="O96" s="17" t="n">
        <x:f>IF('Control Room'!$B$5="Normal",'Control Room'!$B$7,('Control Room'!$B$8+'Control Room'!$D$8)/2)+'Control Room'!$B$9*(O95-IF('Control Room'!$B$5="Normal",'Control Room'!$B$7,('Control Room'!$B$8+'Control Room'!$D$8)/2))+SQRT(1-'Control Room'!$B$9^2)*(N96-IF('Control Room'!$B$5="Normal",'Control Room'!$B$7,('Control Room'!$B$8+'Control Room'!$D$8)/2))</x:f>
        <x:v>1006.2900181588349</x:v>
      </x:c>
      <x:c r="P96" s="17" t="n">
        <x:f>IF(AND($A96&gt;='Control Room'!$A$13,$A96&lt;'Control Room'!$A$13+'Control Room'!$B$13,'Process'!BM2=1),1+('Control Room'!$C$13-1)*EXP(-0.5*(($A96-'Control Room'!$A$13-('Control Room'!$B$13-1)/2)/MAX(0.5,'Control Room'!$B$13/4))^2),1)*IF(AND($A96&gt;='Control Room'!$A$14,$A96&lt;'Control Room'!$A$14+'Control Room'!$B$14,'Process'!BM3=1),1+('Control Room'!$C$14-1)*EXP(-0.5*(($A96-'Control Room'!$A$14-('Control Room'!$B$14-1)/2)/MAX(0.5,'Control Room'!$B$14/4))^2),1)*IF(AND($A96&gt;='Control Room'!$A$15,$A96&lt;'Control Room'!$A$15+'Control Room'!$B$15,'Process'!BM4=1),1+('Control Room'!$C$15-1)*EXP(-0.5*(($A96-'Control Room'!$A$15-('Control Room'!$B$15-1)/2)/MAX(0.5,'Control Room'!$B$15/4))^2),1)*IF(AND($A96&gt;='Control Room'!$A$16,$A96&lt;'Control Room'!$A$16+'Control Room'!$B$16,'Process'!BM5=1),1+('Control Room'!$C$16-1)*EXP(-0.5*(($A96-'Control Room'!$A$16-('Control Room'!$B$16-1)/2)/MAX(0.5,'Control Room'!$B$16/4))^2),1)</x:f>
        <x:v>1</x:v>
      </x:c>
      <x:c r="Q96" s="9" t="n">
        <x:f>MOD(R95*16807,2147483647)</x:f>
        <x:v>254794410</x:v>
      </x:c>
      <x:c r="R96" s="9" t="n">
        <x:f>MOD(Q96*16807,2147483647)</x:f>
        <x:v>247256752</x:v>
      </x:c>
      <x:c r="S96" s="17" t="n">
        <x:f>IF('Control Room'!$B$5="Normal",'Control Room'!$B$7+'Control Room'!$D$7*SQRT(-2*LN(MAX(0.000000000001,Q96/2147483647)))*COS(2*PI()*R96/2147483647),'Control Room'!$B$8+('Control Room'!$D$8-'Control Room'!$B$8)*Q96/2147483647)</x:f>
        <x:v>1139.2846962029116</x:v>
      </x:c>
      <x:c r="T96" s="17" t="n">
        <x:f>IF('Control Room'!$B$5="Normal",'Control Room'!$B$7,('Control Room'!$B$8+'Control Room'!$D$8)/2)+'Control Room'!$B$9*(T95-IF('Control Room'!$B$5="Normal",'Control Room'!$B$7,('Control Room'!$B$8+'Control Room'!$D$8)/2))+SQRT(1-'Control Room'!$B$9^2)*(S96-IF('Control Room'!$B$5="Normal",'Control Room'!$B$7,('Control Room'!$B$8+'Control Room'!$D$8)/2))</x:f>
        <x:v>1144.4616658822054</x:v>
      </x:c>
      <x:c r="U96" s="17" t="n">
        <x:f>IF(AND($A96&gt;='Control Room'!$A$13,$A96&lt;'Control Room'!$A$13+'Control Room'!$B$13,'Process'!BN2=1),1+('Control Room'!$C$13-1)*EXP(-0.5*(($A96-'Control Room'!$A$13-('Control Room'!$B$13-1)/2)/MAX(0.5,'Control Room'!$B$13/4))^2),1)*IF(AND($A96&gt;='Control Room'!$A$14,$A96&lt;'Control Room'!$A$14+'Control Room'!$B$14,'Process'!BN3=1),1+('Control Room'!$C$14-1)*EXP(-0.5*(($A96-'Control Room'!$A$14-('Control Room'!$B$14-1)/2)/MAX(0.5,'Control Room'!$B$14/4))^2),1)*IF(AND($A96&gt;='Control Room'!$A$15,$A96&lt;'Control Room'!$A$15+'Control Room'!$B$15,'Process'!BN4=1),1+('Control Room'!$C$15-1)*EXP(-0.5*(($A96-'Control Room'!$A$15-('Control Room'!$B$15-1)/2)/MAX(0.5,'Control Room'!$B$15/4))^2),1)*IF(AND($A96&gt;='Control Room'!$A$16,$A96&lt;'Control Room'!$A$16+'Control Room'!$B$16,'Process'!BN5=1),1+('Control Room'!$C$16-1)*EXP(-0.5*(($A96-'Control Room'!$A$16-('Control Room'!$B$16-1)/2)/MAX(0.5,'Control Room'!$B$16/4))^2),1)</x:f>
        <x:v>1</x:v>
      </x:c>
      <x:c r="V96" s="9" t="n">
        <x:f>MOD(W95*16807,2147483647)</x:f>
        <x:v>1120967412</x:v>
      </x:c>
      <x:c r="W96" s="9" t="n">
        <x:f>MOD(V96*16807,2147483647)</x:f>
        <x:v>225258353</x:v>
      </x:c>
      <x:c r="X96" s="17" t="n">
        <x:f>IF('Control Room'!$B$5="Normal",'Control Room'!$B$7+'Control Room'!$D$7*SQRT(-2*LN(MAX(0.000000000001,V96/2147483647)))*COS(2*PI()*W96/2147483647),'Control Room'!$B$8+('Control Room'!$D$8-'Control Room'!$B$8)*V96/2147483647)</x:f>
        <x:v>1081.1307450743652</x:v>
      </x:c>
      <x:c r="Y96" s="17" t="n">
        <x:f>IF('Control Room'!$B$5="Normal",'Control Room'!$B$7,('Control Room'!$B$8+'Control Room'!$D$8)/2)+'Control Room'!$B$9*(Y95-IF('Control Room'!$B$5="Normal",'Control Room'!$B$7,('Control Room'!$B$8+'Control Room'!$D$8)/2))+SQRT(1-'Control Room'!$B$9^2)*(X96-IF('Control Room'!$B$5="Normal",'Control Room'!$B$7,('Control Room'!$B$8+'Control Room'!$D$8)/2))</x:f>
        <x:v>972.2186870638839</x:v>
      </x:c>
      <x:c r="Z96" s="17" t="n">
        <x:f>IF(AND($A96&gt;='Control Room'!$A$13,$A96&lt;'Control Room'!$A$13+'Control Room'!$B$13,'Process'!BO2=1),1+('Control Room'!$C$13-1)*EXP(-0.5*(($A96-'Control Room'!$A$13-('Control Room'!$B$13-1)/2)/MAX(0.5,'Control Room'!$B$13/4))^2),1)*IF(AND($A96&gt;='Control Room'!$A$14,$A96&lt;'Control Room'!$A$14+'Control Room'!$B$14,'Process'!BO3=1),1+('Control Room'!$C$14-1)*EXP(-0.5*(($A96-'Control Room'!$A$14-('Control Room'!$B$14-1)/2)/MAX(0.5,'Control Room'!$B$14/4))^2),1)*IF(AND($A96&gt;='Control Room'!$A$15,$A96&lt;'Control Room'!$A$15+'Control Room'!$B$15,'Process'!BO4=1),1+('Control Room'!$C$15-1)*EXP(-0.5*(($A96-'Control Room'!$A$15-('Control Room'!$B$15-1)/2)/MAX(0.5,'Control Room'!$B$15/4))^2),1)*IF(AND($A96&gt;='Control Room'!$A$16,$A96&lt;'Control Room'!$A$16+'Control Room'!$B$16,'Process'!BO5=1),1+('Control Room'!$C$16-1)*EXP(-0.5*(($A96-'Control Room'!$A$16-('Control Room'!$B$16-1)/2)/MAX(0.5,'Control Room'!$B$16/4))^2),1)</x:f>
        <x:v>1</x:v>
      </x:c>
      <x:c r="AA96" s="9" t="n">
        <x:f>MOD(AB95*16807,2147483647)</x:f>
        <x:v>1987140414</x:v>
      </x:c>
      <x:c r="AB96" s="9" t="n">
        <x:f>MOD(AA96*16807,2147483647)</x:f>
        <x:v>203259954</x:v>
      </x:c>
      <x:c r="AC96" s="17" t="n">
        <x:f>IF('Control Room'!$B$5="Normal",'Control Room'!$B$7+'Control Room'!$D$7*SQRT(-2*LN(MAX(0.000000000001,AA96/2147483647)))*COS(2*PI()*AB96/2147483647),'Control Room'!$B$8+('Control Room'!$D$8-'Control Room'!$B$8)*AA96/2147483647)</x:f>
        <x:v>1029.3686205094507</x:v>
      </x:c>
      <x:c r="AD96" s="17" t="n">
        <x:f>IF('Control Room'!$B$5="Normal",'Control Room'!$B$7,('Control Room'!$B$8+'Control Room'!$D$8)/2)+'Control Room'!$B$9*(AD95-IF('Control Room'!$B$5="Normal",'Control Room'!$B$7,('Control Room'!$B$8+'Control Room'!$D$8)/2))+SQRT(1-'Control Room'!$B$9^2)*(AC96-IF('Control Room'!$B$5="Normal",'Control Room'!$B$7,('Control Room'!$B$8+'Control Room'!$D$8)/2))</x:f>
        <x:v>1063.802828352477</x:v>
      </x:c>
      <x:c r="AE96" s="17" t="n">
        <x:f>IF(AND($A96&gt;='Control Room'!$A$13,$A96&lt;'Control Room'!$A$13+'Control Room'!$B$13,'Process'!BP2=1),1+('Control Room'!$C$13-1)*EXP(-0.5*(($A96-'Control Room'!$A$13-('Control Room'!$B$13-1)/2)/MAX(0.5,'Control Room'!$B$13/4))^2),1)*IF(AND($A96&gt;='Control Room'!$A$14,$A96&lt;'Control Room'!$A$14+'Control Room'!$B$14,'Process'!BP3=1),1+('Control Room'!$C$14-1)*EXP(-0.5*(($A96-'Control Room'!$A$14-('Control Room'!$B$14-1)/2)/MAX(0.5,'Control Room'!$B$14/4))^2),1)*IF(AND($A96&gt;='Control Room'!$A$15,$A96&lt;'Control Room'!$A$15+'Control Room'!$B$15,'Process'!BP4=1),1+('Control Room'!$C$15-1)*EXP(-0.5*(($A96-'Control Room'!$A$15-('Control Room'!$B$15-1)/2)/MAX(0.5,'Control Room'!$B$15/4))^2),1)*IF(AND($A96&gt;='Control Room'!$A$16,$A96&lt;'Control Room'!$A$16+'Control Room'!$B$16,'Process'!BP5=1),1+('Control Room'!$C$16-1)*EXP(-0.5*(($A96-'Control Room'!$A$16-('Control Room'!$B$16-1)/2)/MAX(0.5,'Control Room'!$B$16/4))^2),1)</x:f>
        <x:v>1</x:v>
      </x:c>
      <x:c r="AF96" s="9" t="n">
        <x:f>MOD(AG95*16807,2147483647)</x:f>
        <x:v>705829769</x:v>
      </x:c>
      <x:c r="AG96" s="9" t="n">
        <x:f>MOD(AF96*16807,2147483647)</x:f>
        <x:v>181261555</x:v>
      </x:c>
      <x:c r="AH96" s="17" t="n">
        <x:f>IF('Control Room'!$B$5="Normal",'Control Room'!$B$7+'Control Room'!$D$7*SQRT(-2*LN(MAX(0.000000000001,AF96/2147483647)))*COS(2*PI()*AG96/2147483647),'Control Room'!$B$8+('Control Room'!$D$8-'Control Room'!$B$8)*AF96/2147483647)</x:f>
        <x:v>1115.8161123983268</x:v>
      </x:c>
      <x:c r="AI96" s="17" t="n">
        <x:f>IF('Control Room'!$B$5="Normal",'Control Room'!$B$7,('Control Room'!$B$8+'Control Room'!$D$8)/2)+'Control Room'!$B$9*(AI95-IF('Control Room'!$B$5="Normal",'Control Room'!$B$7,('Control Room'!$B$8+'Control Room'!$D$8)/2))+SQRT(1-'Control Room'!$B$9^2)*(AH96-IF('Control Room'!$B$5="Normal",'Control Room'!$B$7,('Control Room'!$B$8+'Control Room'!$D$8)/2))</x:f>
        <x:v>1001.8409278939168</x:v>
      </x:c>
      <x:c r="AJ96" s="17" t="n">
        <x:f>IF(AND($A96&gt;='Control Room'!$A$13,$A96&lt;'Control Room'!$A$13+'Control Room'!$B$13,'Process'!BQ2=1),1+('Control Room'!$C$13-1)*EXP(-0.5*(($A96-'Control Room'!$A$13-('Control Room'!$B$13-1)/2)/MAX(0.5,'Control Room'!$B$13/4))^2),1)*IF(AND($A96&gt;='Control Room'!$A$14,$A96&lt;'Control Room'!$A$14+'Control Room'!$B$14,'Process'!BQ3=1),1+('Control Room'!$C$14-1)*EXP(-0.5*(($A96-'Control Room'!$A$14-('Control Room'!$B$14-1)/2)/MAX(0.5,'Control Room'!$B$14/4))^2),1)*IF(AND($A96&gt;='Control Room'!$A$15,$A96&lt;'Control Room'!$A$15+'Control Room'!$B$15,'Process'!BQ4=1),1+('Control Room'!$C$15-1)*EXP(-0.5*(($A96-'Control Room'!$A$15-('Control Room'!$B$15-1)/2)/MAX(0.5,'Control Room'!$B$15/4))^2),1)*IF(AND($A96&gt;='Control Room'!$A$16,$A96&lt;'Control Room'!$A$16+'Control Room'!$B$16,'Process'!BQ5=1),1+('Control Room'!$C$16-1)*EXP(-0.5*(($A96-'Control Room'!$A$16-('Control Room'!$B$16-1)/2)/MAX(0.5,'Control Room'!$B$16/4))^2),1)</x:f>
        <x:v>1</x:v>
      </x:c>
      <x:c r="AK96" s="9" t="n">
        <x:f>MOD(AL95*16807,2147483647)</x:f>
        <x:v>1572002771</x:v>
      </x:c>
      <x:c r="AL96" s="9" t="n">
        <x:f>MOD(AK96*16807,2147483647)</x:f>
        <x:v>159263156</x:v>
      </x:c>
      <x:c r="AM96" s="17" t="n">
        <x:f>IF('Control Room'!$B$5="Normal",'Control Room'!$B$7+'Control Room'!$D$7*SQRT(-2*LN(MAX(0.000000000001,AK96/2147483647)))*COS(2*PI()*AL96/2147483647),'Control Room'!$B$8+('Control Room'!$D$8-'Control Room'!$B$8)*AK96/2147483647)</x:f>
        <x:v>1063.5089497549518</x:v>
      </x:c>
      <x:c r="AN96" s="17" t="n">
        <x:f>IF('Control Room'!$B$5="Normal",'Control Room'!$B$7,('Control Room'!$B$8+'Control Room'!$D$8)/2)+'Control Room'!$B$9*(AN95-IF('Control Room'!$B$5="Normal",'Control Room'!$B$7,('Control Room'!$B$8+'Control Room'!$D$8)/2))+SQRT(1-'Control Room'!$B$9^2)*(AM96-IF('Control Room'!$B$5="Normal",'Control Room'!$B$7,('Control Room'!$B$8+'Control Room'!$D$8)/2))</x:f>
        <x:v>1097.6624833929536</x:v>
      </x:c>
      <x:c r="AO96" s="17" t="n">
        <x:f>IF(AND($A96&gt;='Control Room'!$A$13,$A96&lt;'Control Room'!$A$13+'Control Room'!$B$13,'Process'!BR2=1),1+('Control Room'!$C$13-1)*EXP(-0.5*(($A96-'Control Room'!$A$13-('Control Room'!$B$13-1)/2)/MAX(0.5,'Control Room'!$B$13/4))^2),1)*IF(AND($A96&gt;='Control Room'!$A$14,$A96&lt;'Control Room'!$A$14+'Control Room'!$B$14,'Process'!BR3=1),1+('Control Room'!$C$14-1)*EXP(-0.5*(($A96-'Control Room'!$A$14-('Control Room'!$B$14-1)/2)/MAX(0.5,'Control Room'!$B$14/4))^2),1)*IF(AND($A96&gt;='Control Room'!$A$15,$A96&lt;'Control Room'!$A$15+'Control Room'!$B$15,'Process'!BR4=1),1+('Control Room'!$C$15-1)*EXP(-0.5*(($A96-'Control Room'!$A$15-('Control Room'!$B$15-1)/2)/MAX(0.5,'Control Room'!$B$15/4))^2),1)*IF(AND($A96&gt;='Control Room'!$A$16,$A96&lt;'Control Room'!$A$16+'Control Room'!$B$16,'Process'!BR5=1),1+('Control Room'!$C$16-1)*EXP(-0.5*(($A96-'Control Room'!$A$16-('Control Room'!$B$16-1)/2)/MAX(0.5,'Control Room'!$B$16/4))^2),1)</x:f>
        <x:v>1</x:v>
      </x:c>
      <x:c r="AP96" s="9" t="n">
        <x:f>MOD(AQ95*16807,2147483647)</x:f>
        <x:v>290692126</x:v>
      </x:c>
      <x:c r="AQ96" s="9" t="n">
        <x:f>MOD(AP96*16807,2147483647)</x:f>
        <x:v>137264757</x:v>
      </x:c>
      <x:c r="AR96" s="17" t="n">
        <x:f>IF('Control Room'!$B$5="Normal",'Control Room'!$B$7+'Control Room'!$D$7*SQRT(-2*LN(MAX(0.000000000001,AP96/2147483647)))*COS(2*PI()*AQ96/2147483647),'Control Room'!$B$8+('Control Room'!$D$8-'Control Room'!$B$8)*AP96/2147483647)</x:f>
        <x:v>1165.6688064831706</x:v>
      </x:c>
      <x:c r="AS96" s="17" t="n">
        <x:f>IF('Control Room'!$B$5="Normal",'Control Room'!$B$7,('Control Room'!$B$8+'Control Room'!$D$8)/2)+'Control Room'!$B$9*(AS95-IF('Control Room'!$B$5="Normal",'Control Room'!$B$7,('Control Room'!$B$8+'Control Room'!$D$8)/2))+SQRT(1-'Control Room'!$B$9^2)*(AR96-IF('Control Room'!$B$5="Normal",'Control Room'!$B$7,('Control Room'!$B$8+'Control Room'!$D$8)/2))</x:f>
        <x:v>1095.4399099488273</x:v>
      </x:c>
      <x:c r="AT96" s="17" t="n">
        <x:f>IF(AND($A96&gt;='Control Room'!$A$13,$A96&lt;'Control Room'!$A$13+'Control Room'!$B$13,'Process'!BS2=1),1+('Control Room'!$C$13-1)*EXP(-0.5*(($A96-'Control Room'!$A$13-('Control Room'!$B$13-1)/2)/MAX(0.5,'Control Room'!$B$13/4))^2),1)*IF(AND($A96&gt;='Control Room'!$A$14,$A96&lt;'Control Room'!$A$14+'Control Room'!$B$14,'Process'!BS3=1),1+('Control Room'!$C$14-1)*EXP(-0.5*(($A96-'Control Room'!$A$14-('Control Room'!$B$14-1)/2)/MAX(0.5,'Control Room'!$B$14/4))^2),1)*IF(AND($A96&gt;='Control Room'!$A$15,$A96&lt;'Control Room'!$A$15+'Control Room'!$B$15,'Process'!BS4=1),1+('Control Room'!$C$15-1)*EXP(-0.5*(($A96-'Control Room'!$A$15-('Control Room'!$B$15-1)/2)/MAX(0.5,'Control Room'!$B$15/4))^2),1)*IF(AND($A96&gt;='Control Room'!$A$16,$A96&lt;'Control Room'!$A$16+'Control Room'!$B$16,'Process'!BS5=1),1+('Control Room'!$C$16-1)*EXP(-0.5*(($A96-'Control Room'!$A$16-('Control Room'!$B$16-1)/2)/MAX(0.5,'Control Room'!$B$16/4))^2),1)</x:f>
        <x:v>1</x:v>
      </x:c>
      <x:c r="AU96" s="9" t="n">
        <x:f>MOD(AV95*16807,2147483647)</x:f>
        <x:v>1156865128</x:v>
      </x:c>
      <x:c r="AV96" s="9" t="n">
        <x:f>MOD(AU96*16807,2147483647)</x:f>
        <x:v>115266358</x:v>
      </x:c>
      <x:c r="AW96" s="17" t="n">
        <x:f>IF('Control Room'!$B$5="Normal",'Control Room'!$B$7+'Control Room'!$D$7*SQRT(-2*LN(MAX(0.000000000001,AU96/2147483647)))*COS(2*PI()*AV96/2147483647),'Control Room'!$B$8+('Control Room'!$D$8-'Control Room'!$B$8)*AU96/2147483647)</x:f>
        <x:v>1094.46603800086</x:v>
      </x:c>
      <x:c r="AX96" s="17" t="n">
        <x:f>IF('Control Room'!$B$5="Normal",'Control Room'!$B$7,('Control Room'!$B$8+'Control Room'!$D$8)/2)+'Control Room'!$B$9*(AX95-IF('Control Room'!$B$5="Normal",'Control Room'!$B$7,('Control Room'!$B$8+'Control Room'!$D$8)/2))+SQRT(1-'Control Room'!$B$9^2)*(AW96-IF('Control Room'!$B$5="Normal",'Control Room'!$B$7,('Control Room'!$B$8+'Control Room'!$D$8)/2))</x:f>
        <x:v>1027.00946207162</x:v>
      </x:c>
      <x:c r="AY96" s="17" t="n">
        <x:f>IF(AND($A96&gt;='Control Room'!$A$13,$A96&lt;'Control Room'!$A$13+'Control Room'!$B$13,'Process'!BT2=1),1+('Control Room'!$C$13-1)*EXP(-0.5*(($A96-'Control Room'!$A$13-('Control Room'!$B$13-1)/2)/MAX(0.5,'Control Room'!$B$13/4))^2),1)*IF(AND($A96&gt;='Control Room'!$A$14,$A96&lt;'Control Room'!$A$14+'Control Room'!$B$14,'Process'!BT3=1),1+('Control Room'!$C$14-1)*EXP(-0.5*(($A96-'Control Room'!$A$14-('Control Room'!$B$14-1)/2)/MAX(0.5,'Control Room'!$B$14/4))^2),1)*IF(AND($A96&gt;='Control Room'!$A$15,$A96&lt;'Control Room'!$A$15+'Control Room'!$B$15,'Process'!BT4=1),1+('Control Room'!$C$15-1)*EXP(-0.5*(($A96-'Control Room'!$A$15-('Control Room'!$B$15-1)/2)/MAX(0.5,'Control Room'!$B$15/4))^2),1)*IF(AND($A96&gt;='Control Room'!$A$16,$A96&lt;'Control Room'!$A$16+'Control Room'!$B$16,'Process'!BT5=1),1+('Control Room'!$C$16-1)*EXP(-0.5*(($A96-'Control Room'!$A$16-('Control Room'!$B$16-1)/2)/MAX(0.5,'Control Room'!$B$16/4))^2),1)</x:f>
        <x:v>1</x:v>
      </x:c>
      <x:c r="AZ96" s="9" t="n">
        <x:f>MOD(BA95*16807,2147483647)</x:f>
        <x:v>2023038130</x:v>
      </x:c>
      <x:c r="BA96" s="9" t="n">
        <x:f>MOD(AZ96*16807,2147483647)</x:f>
        <x:v>93267959</x:v>
      </x:c>
      <x:c r="BB96" s="17" t="n">
        <x:f>IF('Control Room'!$B$5="Normal",'Control Room'!$B$7+'Control Room'!$D$7*SQRT(-2*LN(MAX(0.000000000001,AZ96/2147483647)))*COS(2*PI()*BA96/2147483647),'Control Room'!$B$8+('Control Room'!$D$8-'Control Room'!$B$8)*AZ96/2147483647)</x:f>
        <x:v>1029.947204919074</x:v>
      </x:c>
      <x:c r="BC96" s="17" t="n">
        <x:f>IF('Control Room'!$B$5="Normal",'Control Room'!$B$7,('Control Room'!$B$8+'Control Room'!$D$8)/2)+'Control Room'!$B$9*(BC95-IF('Control Room'!$B$5="Normal",'Control Room'!$B$7,('Control Room'!$B$8+'Control Room'!$D$8)/2))+SQRT(1-'Control Room'!$B$9^2)*(BB96-IF('Control Room'!$B$5="Normal",'Control Room'!$B$7,('Control Room'!$B$8+'Control Room'!$D$8)/2))</x:f>
        <x:v>969.1473890446612</x:v>
      </x:c>
      <x:c r="BD96" s="17" t="n">
        <x:f>IF(AND($A96&gt;='Control Room'!$A$13,$A96&lt;'Control Room'!$A$13+'Control Room'!$B$13,'Process'!BU2=1),1+('Control Room'!$C$13-1)*EXP(-0.5*(($A96-'Control Room'!$A$13-('Control Room'!$B$13-1)/2)/MAX(0.5,'Control Room'!$B$13/4))^2),1)*IF(AND($A96&gt;='Control Room'!$A$14,$A96&lt;'Control Room'!$A$14+'Control Room'!$B$14,'Process'!BU3=1),1+('Control Room'!$C$14-1)*EXP(-0.5*(($A96-'Control Room'!$A$14-('Control Room'!$B$14-1)/2)/MAX(0.5,'Control Room'!$B$14/4))^2),1)*IF(AND($A96&gt;='Control Room'!$A$15,$A96&lt;'Control Room'!$A$15+'Control Room'!$B$15,'Process'!BU4=1),1+('Control Room'!$C$15-1)*EXP(-0.5*(($A96-'Control Room'!$A$15-('Control Room'!$B$15-1)/2)/MAX(0.5,'Control Room'!$B$15/4))^2),1)*IF(AND($A96&gt;='Control Room'!$A$16,$A96&lt;'Control Room'!$A$16+'Control Room'!$B$16,'Process'!BU5=1),1+('Control Room'!$C$16-1)*EXP(-0.5*(($A96-'Control Room'!$A$16-('Control Room'!$B$16-1)/2)/MAX(0.5,'Control Room'!$B$16/4))^2),1)</x:f>
        <x:v>1</x:v>
      </x:c>
      <x:c r="BE96" s="9" t="n">
        <x:f>MOD(BF95*16807,2147483647)</x:f>
        <x:v>741727485</x:v>
      </x:c>
      <x:c r="BF96" s="9" t="n">
        <x:f>MOD(BE96*16807,2147483647)</x:f>
        <x:v>71269560</x:v>
      </x:c>
      <x:c r="BG96" s="17" t="n">
        <x:f>IF('Control Room'!$B$5="Normal",'Control Room'!$B$7+'Control Room'!$D$7*SQRT(-2*LN(MAX(0.000000000001,BE96/2147483647)))*COS(2*PI()*BF96/2147483647),'Control Room'!$B$8+('Control Room'!$D$8-'Control Room'!$B$8)*BE96/2147483647)</x:f>
        <x:v>1128.3888382783814</x:v>
      </x:c>
      <x:c r="BH96" s="17" t="n">
        <x:f>IF('Control Room'!$B$5="Normal",'Control Room'!$B$7,('Control Room'!$B$8+'Control Room'!$D$8)/2)+'Control Room'!$B$9*(BH95-IF('Control Room'!$B$5="Normal",'Control Room'!$B$7,('Control Room'!$B$8+'Control Room'!$D$8)/2))+SQRT(1-'Control Room'!$B$9^2)*(BG96-IF('Control Room'!$B$5="Normal",'Control Room'!$B$7,('Control Room'!$B$8+'Control Room'!$D$8)/2))</x:f>
        <x:v>1159.6029344961376</x:v>
      </x:c>
      <x:c r="BI96" s="17" t="n">
        <x:f>IF(AND($A96&gt;='Control Room'!$A$13,$A96&lt;'Control Room'!$A$13+'Control Room'!$B$13,'Process'!BV2=1),1+('Control Room'!$C$13-1)*EXP(-0.5*(($A96-'Control Room'!$A$13-('Control Room'!$B$13-1)/2)/MAX(0.5,'Control Room'!$B$13/4))^2),1)*IF(AND($A96&gt;='Control Room'!$A$14,$A96&lt;'Control Room'!$A$14+'Control Room'!$B$14,'Process'!BV3=1),1+('Control Room'!$C$14-1)*EXP(-0.5*(($A96-'Control Room'!$A$14-('Control Room'!$B$14-1)/2)/MAX(0.5,'Control Room'!$B$14/4))^2),1)*IF(AND($A96&gt;='Control Room'!$A$15,$A96&lt;'Control Room'!$A$15+'Control Room'!$B$15,'Process'!BV4=1),1+('Control Room'!$C$15-1)*EXP(-0.5*(($A96-'Control Room'!$A$15-('Control Room'!$B$15-1)/2)/MAX(0.5,'Control Room'!$B$15/4))^2),1)*IF(AND($A96&gt;='Control Room'!$A$16,$A96&lt;'Control Room'!$A$16+'Control Room'!$B$16,'Process'!BV5=1),1+('Control Room'!$C$16-1)*EXP(-0.5*(($A96-'Control Room'!$A$16-('Control Room'!$B$16-1)/2)/MAX(0.5,'Control Room'!$B$16/4))^2),1)</x:f>
        <x:v>1</x:v>
      </x:c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Z96" t="str">
        <x:f>IF('Data'!A96="","",TEXT('Data'!A96,"mm-dd"))</x:f>
        <x:v>02-04</x:v>
      </x:c>
    </x:row>
    <x:row r="97" ht="21" customHeight="1">
      <x:c r="A97" s="15" t="n">
        <x:f>'Control Room'!$B$1+95</x:f>
        <x:v>73086</x:v>
      </x:c>
      <x:c r="B97" s="9" t="n">
        <x:f>MOD(C96*16807,2147483647)</x:f>
        <x:v>1343088046</x:v>
      </x:c>
      <x:c r="C97" s="9" t="n">
        <x:f>MOD(B97*16807,2147483647)</x:f>
        <x:v>1080175505</x:v>
      </x:c>
      <x:c r="D97" s="17" t="n">
        <x:f>IF('Control Room'!$B$5="Normal",'Control Room'!$B$7+'Control Room'!$D$7*SQRT(-2*LN(MAX(0.000000000001,B97/2147483647)))*COS(2*PI()*C97/2147483647),'Control Room'!$B$8+('Control Room'!$D$8-'Control Room'!$B$8)*B97/2147483647)</x:f>
        <x:v>912.8198653598239</x:v>
      </x:c>
      <x:c r="E97" s="17" t="n">
        <x:f>IF('Control Room'!$B$5="Normal",'Control Room'!$B$7,('Control Room'!$B$8+'Control Room'!$D$8)/2)+'Control Room'!$B$9*(E96-IF('Control Room'!$B$5="Normal",'Control Room'!$B$7,('Control Room'!$B$8+'Control Room'!$D$8)/2))+SQRT(1-'Control Room'!$B$9^2)*(D97-IF('Control Room'!$B$5="Normal",'Control Room'!$B$7,('Control Room'!$B$8+'Control Room'!$D$8)/2))</x:f>
        <x:v>937.2524746352166</x:v>
      </x:c>
      <x:c r="F97" s="17" t="n">
        <x:f>IF(AND($A97&gt;='Control Room'!$A$13,$A97&lt;'Control Room'!$A$13+'Control Room'!$B$13,'Process'!BK2=1),1+('Control Room'!$C$13-1)*EXP(-0.5*(($A97-'Control Room'!$A$13-('Control Room'!$B$13-1)/2)/MAX(0.5,'Control Room'!$B$13/4))^2),1)*IF(AND($A97&gt;='Control Room'!$A$14,$A97&lt;'Control Room'!$A$14+'Control Room'!$B$14,'Process'!BK3=1),1+('Control Room'!$C$14-1)*EXP(-0.5*(($A97-'Control Room'!$A$14-('Control Room'!$B$14-1)/2)/MAX(0.5,'Control Room'!$B$14/4))^2),1)*IF(AND($A97&gt;='Control Room'!$A$15,$A97&lt;'Control Room'!$A$15+'Control Room'!$B$15,'Process'!BK4=1),1+('Control Room'!$C$15-1)*EXP(-0.5*(($A97-'Control Room'!$A$15-('Control Room'!$B$15-1)/2)/MAX(0.5,'Control Room'!$B$15/4))^2),1)*IF(AND($A97&gt;='Control Room'!$A$16,$A97&lt;'Control Room'!$A$16+'Control Room'!$B$16,'Process'!BK5=1),1+('Control Room'!$C$16-1)*EXP(-0.5*(($A97-'Control Room'!$A$16-('Control Room'!$B$16-1)/2)/MAX(0.5,'Control Room'!$B$16/4))^2),1)</x:f>
        <x:v>1</x:v>
      </x:c>
      <x:c r="G97" s="9" t="n">
        <x:f>MOD(H96*16807,2147483647)</x:f>
        <x:v>983183337</x:v>
      </x:c>
      <x:c r="H97" s="9" t="n">
        <x:f>MOD(G97*16807,2147483647)</x:f>
        <x:v>1623164941</x:v>
      </x:c>
      <x:c r="I97" s="17" t="n">
        <x:f>IF('Control Room'!$B$5="Normal",'Control Room'!$B$7+'Control Room'!$D$7*SQRT(-2*LN(MAX(0.000000000001,G97/2147483647)))*COS(2*PI()*H97/2147483647),'Control Room'!$B$8+('Control Room'!$D$8-'Control Room'!$B$8)*G97/2147483647)</x:f>
        <x:v>1004.130729245854</x:v>
      </x:c>
      <x:c r="J97" s="17" t="n">
        <x:f>IF('Control Room'!$B$5="Normal",'Control Room'!$B$7,('Control Room'!$B$8+'Control Room'!$D$8)/2)+'Control Room'!$B$9*(J96-IF('Control Room'!$B$5="Normal",'Control Room'!$B$7,('Control Room'!$B$8+'Control Room'!$D$8)/2))+SQRT(1-'Control Room'!$B$9^2)*(I97-IF('Control Room'!$B$5="Normal",'Control Room'!$B$7,('Control Room'!$B$8+'Control Room'!$D$8)/2))</x:f>
        <x:v>1055.016826301197</x:v>
      </x:c>
      <x:c r="K97" s="17" t="n">
        <x:f>IF(AND($A97&gt;='Control Room'!$A$13,$A97&lt;'Control Room'!$A$13+'Control Room'!$B$13,'Process'!BL2=1),1+('Control Room'!$C$13-1)*EXP(-0.5*(($A97-'Control Room'!$A$13-('Control Room'!$B$13-1)/2)/MAX(0.5,'Control Room'!$B$13/4))^2),1)*IF(AND($A97&gt;='Control Room'!$A$14,$A97&lt;'Control Room'!$A$14+'Control Room'!$B$14,'Process'!BL3=1),1+('Control Room'!$C$14-1)*EXP(-0.5*(($A97-'Control Room'!$A$14-('Control Room'!$B$14-1)/2)/MAX(0.5,'Control Room'!$B$14/4))^2),1)*IF(AND($A97&gt;='Control Room'!$A$15,$A97&lt;'Control Room'!$A$15+'Control Room'!$B$15,'Process'!BL4=1),1+('Control Room'!$C$15-1)*EXP(-0.5*(($A97-'Control Room'!$A$15-('Control Room'!$B$15-1)/2)/MAX(0.5,'Control Room'!$B$15/4))^2),1)*IF(AND($A97&gt;='Control Room'!$A$16,$A97&lt;'Control Room'!$A$16+'Control Room'!$B$16,'Process'!BL5=1),1+('Control Room'!$C$16-1)*EXP(-0.5*(($A97-'Control Room'!$A$16-('Control Room'!$B$16-1)/2)/MAX(0.5,'Control Room'!$B$16/4))^2),1)</x:f>
        <x:v>1</x:v>
      </x:c>
      <x:c r="L97" s="9" t="n">
        <x:f>MOD(M96*16807,2147483647)</x:f>
        <x:v>623278628</x:v>
      </x:c>
      <x:c r="M97" s="9" t="n">
        <x:f>MOD(L97*16807,2147483647)</x:f>
        <x:v>18670730</x:v>
      </x:c>
      <x:c r="N97" s="17" t="n">
        <x:f>IF('Control Room'!$B$5="Normal",'Control Room'!$B$7+'Control Room'!$D$7*SQRT(-2*LN(MAX(0.000000000001,L97/2147483647)))*COS(2*PI()*M97/2147483647),'Control Room'!$B$8+('Control Room'!$D$8-'Control Room'!$B$8)*L97/2147483647)</x:f>
        <x:v>1141.3527559716185</x:v>
      </x:c>
      <x:c r="O97" s="17" t="n">
        <x:f>IF('Control Room'!$B$5="Normal",'Control Room'!$B$7,('Control Room'!$B$8+'Control Room'!$D$8)/2)+'Control Room'!$B$9*(O96-IF('Control Room'!$B$5="Normal",'Control Room'!$B$7,('Control Room'!$B$8+'Control Room'!$D$8)/2))+SQRT(1-'Control Room'!$B$9^2)*(N97-IF('Control Room'!$B$5="Normal",'Control Room'!$B$7,('Control Room'!$B$8+'Control Room'!$D$8)/2))</x:f>
        <x:v>1093.361873082325</x:v>
      </x:c>
      <x:c r="P97" s="17" t="n">
        <x:f>IF(AND($A97&gt;='Control Room'!$A$13,$A97&lt;'Control Room'!$A$13+'Control Room'!$B$13,'Process'!BM2=1),1+('Control Room'!$C$13-1)*EXP(-0.5*(($A97-'Control Room'!$A$13-('Control Room'!$B$13-1)/2)/MAX(0.5,'Control Room'!$B$13/4))^2),1)*IF(AND($A97&gt;='Control Room'!$A$14,$A97&lt;'Control Room'!$A$14+'Control Room'!$B$14,'Process'!BM3=1),1+('Control Room'!$C$14-1)*EXP(-0.5*(($A97-'Control Room'!$A$14-('Control Room'!$B$14-1)/2)/MAX(0.5,'Control Room'!$B$14/4))^2),1)*IF(AND($A97&gt;='Control Room'!$A$15,$A97&lt;'Control Room'!$A$15+'Control Room'!$B$15,'Process'!BM4=1),1+('Control Room'!$C$15-1)*EXP(-0.5*(($A97-'Control Room'!$A$15-('Control Room'!$B$15-1)/2)/MAX(0.5,'Control Room'!$B$15/4))^2),1)*IF(AND($A97&gt;='Control Room'!$A$16,$A97&lt;'Control Room'!$A$16+'Control Room'!$B$16,'Process'!BM5=1),1+('Control Room'!$C$16-1)*EXP(-0.5*(($A97-'Control Room'!$A$16-('Control Room'!$B$16-1)/2)/MAX(0.5,'Control Room'!$B$16/4))^2),1)</x:f>
        <x:v>1</x:v>
      </x:c>
      <x:c r="Q97" s="9" t="n">
        <x:f>MOD(R96*16807,2147483647)</x:f>
        <x:v>263373919</x:v>
      </x:c>
      <x:c r="R97" s="9" t="n">
        <x:f>MOD(Q97*16807,2147483647)</x:f>
        <x:v>561660166</x:v>
      </x:c>
      <x:c r="S97" s="17" t="n">
        <x:f>IF('Control Room'!$B$5="Normal",'Control Room'!$B$7+'Control Room'!$D$7*SQRT(-2*LN(MAX(0.000000000001,Q97/2147483647)))*COS(2*PI()*R97/2147483647),'Control Room'!$B$8+('Control Room'!$D$8-'Control Room'!$B$8)*Q97/2147483647)</x:f>
        <x:v>986.6388982132039</x:v>
      </x:c>
      <x:c r="T97" s="17" t="n">
        <x:f>IF('Control Room'!$B$5="Normal",'Control Room'!$B$7,('Control Room'!$B$8+'Control Room'!$D$8)/2)+'Control Room'!$B$9*(T96-IF('Control Room'!$B$5="Normal",'Control Room'!$B$7,('Control Room'!$B$8+'Control Room'!$D$8)/2))+SQRT(1-'Control Room'!$B$9^2)*(S97-IF('Control Room'!$B$5="Normal",'Control Room'!$B$7,('Control Room'!$B$8+'Control Room'!$D$8)/2))</x:f>
        <x:v>1104.3189956069912</x:v>
      </x:c>
      <x:c r="U97" s="17" t="n">
        <x:f>IF(AND($A97&gt;='Control Room'!$A$13,$A97&lt;'Control Room'!$A$13+'Control Room'!$B$13,'Process'!BN2=1),1+('Control Room'!$C$13-1)*EXP(-0.5*(($A97-'Control Room'!$A$13-('Control Room'!$B$13-1)/2)/MAX(0.5,'Control Room'!$B$13/4))^2),1)*IF(AND($A97&gt;='Control Room'!$A$14,$A97&lt;'Control Room'!$A$14+'Control Room'!$B$14,'Process'!BN3=1),1+('Control Room'!$C$14-1)*EXP(-0.5*(($A97-'Control Room'!$A$14-('Control Room'!$B$14-1)/2)/MAX(0.5,'Control Room'!$B$14/4))^2),1)*IF(AND($A97&gt;='Control Room'!$A$15,$A97&lt;'Control Room'!$A$15+'Control Room'!$B$15,'Process'!BN4=1),1+('Control Room'!$C$15-1)*EXP(-0.5*(($A97-'Control Room'!$A$15-('Control Room'!$B$15-1)/2)/MAX(0.5,'Control Room'!$B$15/4))^2),1)*IF(AND($A97&gt;='Control Room'!$A$16,$A97&lt;'Control Room'!$A$16+'Control Room'!$B$16,'Process'!BN5=1),1+('Control Room'!$C$16-1)*EXP(-0.5*(($A97-'Control Room'!$A$16-('Control Room'!$B$16-1)/2)/MAX(0.5,'Control Room'!$B$16/4))^2),1)</x:f>
        <x:v>1</x:v>
      </x:c>
      <x:c r="V97" s="9" t="n">
        <x:f>MOD(W96*16807,2147483647)</x:f>
        <x:v>2050952857</x:v>
      </x:c>
      <x:c r="W97" s="9" t="n">
        <x:f>MOD(V97*16807,2147483647)</x:f>
        <x:v>1104649602</x:v>
      </x:c>
      <x:c r="X97" s="17" t="n">
        <x:f>IF('Control Room'!$B$5="Normal",'Control Room'!$B$7+'Control Room'!$D$7*SQRT(-2*LN(MAX(0.000000000001,V97/2147483647)))*COS(2*PI()*W97/2147483647),'Control Room'!$B$8+('Control Room'!$D$8-'Control Room'!$B$8)*V97/2147483647)</x:f>
        <x:v>972.81547776976</x:v>
      </x:c>
      <x:c r="Y97" s="17" t="n">
        <x:f>IF('Control Room'!$B$5="Normal",'Control Room'!$B$7,('Control Room'!$B$8+'Control Room'!$D$8)/2)+'Control Room'!$B$9*(Y96-IF('Control Room'!$B$5="Normal",'Control Room'!$B$7,('Control Room'!$B$8+'Control Room'!$D$8)/2))+SQRT(1-'Control Room'!$B$9^2)*(X97-IF('Control Room'!$B$5="Normal",'Control Room'!$B$7,('Control Room'!$B$8+'Control Room'!$D$8)/2))</x:f>
        <x:v>961.3190588033536</x:v>
      </x:c>
      <x:c r="Z97" s="17" t="n">
        <x:f>IF(AND($A97&gt;='Control Room'!$A$13,$A97&lt;'Control Room'!$A$13+'Control Room'!$B$13,'Process'!BO2=1),1+('Control Room'!$C$13-1)*EXP(-0.5*(($A97-'Control Room'!$A$13-('Control Room'!$B$13-1)/2)/MAX(0.5,'Control Room'!$B$13/4))^2),1)*IF(AND($A97&gt;='Control Room'!$A$14,$A97&lt;'Control Room'!$A$14+'Control Room'!$B$14,'Process'!BO3=1),1+('Control Room'!$C$14-1)*EXP(-0.5*(($A97-'Control Room'!$A$14-('Control Room'!$B$14-1)/2)/MAX(0.5,'Control Room'!$B$14/4))^2),1)*IF(AND($A97&gt;='Control Room'!$A$15,$A97&lt;'Control Room'!$A$15+'Control Room'!$B$15,'Process'!BO4=1),1+('Control Room'!$C$15-1)*EXP(-0.5*(($A97-'Control Room'!$A$15-('Control Room'!$B$15-1)/2)/MAX(0.5,'Control Room'!$B$15/4))^2),1)*IF(AND($A97&gt;='Control Room'!$A$16,$A97&lt;'Control Room'!$A$16+'Control Room'!$B$16,'Process'!BO5=1),1+('Control Room'!$C$16-1)*EXP(-0.5*(($A97-'Control Room'!$A$16-('Control Room'!$B$16-1)/2)/MAX(0.5,'Control Room'!$B$16/4))^2),1)</x:f>
        <x:v>1</x:v>
      </x:c>
      <x:c r="AA97" s="9" t="n">
        <x:f>MOD(AB96*16807,2147483647)</x:f>
        <x:v>1691048148</x:v>
      </x:c>
      <x:c r="AB97" s="9" t="n">
        <x:f>MOD(AA97*16807,2147483647)</x:f>
        <x:v>1647639038</x:v>
      </x:c>
      <x:c r="AC97" s="17" t="n">
        <x:f>IF('Control Room'!$B$5="Normal",'Control Room'!$B$7+'Control Room'!$D$7*SQRT(-2*LN(MAX(0.000000000001,AA97/2147483647)))*COS(2*PI()*AB97/2147483647),'Control Room'!$B$8+('Control Room'!$D$8-'Control Room'!$B$8)*AA97/2147483647)</x:f>
        <x:v>1006.7269769844097</x:v>
      </x:c>
      <x:c r="AD97" s="17" t="n">
        <x:f>IF('Control Room'!$B$5="Normal",'Control Room'!$B$7,('Control Room'!$B$8+'Control Room'!$D$8)/2)+'Control Room'!$B$9*(AD96-IF('Control Room'!$B$5="Normal",'Control Room'!$B$7,('Control Room'!$B$8+'Control Room'!$D$8)/2))+SQRT(1-'Control Room'!$B$9^2)*(AC97-IF('Control Room'!$B$5="Normal",'Control Room'!$B$7,('Control Room'!$B$8+'Control Room'!$D$8)/2))</x:f>
        <x:v>1053.9758105021617</x:v>
      </x:c>
      <x:c r="AE97" s="17" t="n">
        <x:f>IF(AND($A97&gt;='Control Room'!$A$13,$A97&lt;'Control Room'!$A$13+'Control Room'!$B$13,'Process'!BP2=1),1+('Control Room'!$C$13-1)*EXP(-0.5*(($A97-'Control Room'!$A$13-('Control Room'!$B$13-1)/2)/MAX(0.5,'Control Room'!$B$13/4))^2),1)*IF(AND($A97&gt;='Control Room'!$A$14,$A97&lt;'Control Room'!$A$14+'Control Room'!$B$14,'Process'!BP3=1),1+('Control Room'!$C$14-1)*EXP(-0.5*(($A97-'Control Room'!$A$14-('Control Room'!$B$14-1)/2)/MAX(0.5,'Control Room'!$B$14/4))^2),1)*IF(AND($A97&gt;='Control Room'!$A$15,$A97&lt;'Control Room'!$A$15+'Control Room'!$B$15,'Process'!BP4=1),1+('Control Room'!$C$15-1)*EXP(-0.5*(($A97-'Control Room'!$A$15-('Control Room'!$B$15-1)/2)/MAX(0.5,'Control Room'!$B$15/4))^2),1)*IF(AND($A97&gt;='Control Room'!$A$16,$A97&lt;'Control Room'!$A$16+'Control Room'!$B$16,'Process'!BP5=1),1+('Control Room'!$C$16-1)*EXP(-0.5*(($A97-'Control Room'!$A$16-('Control Room'!$B$16-1)/2)/MAX(0.5,'Control Room'!$B$16/4))^2),1)</x:f>
        <x:v>1</x:v>
      </x:c>
      <x:c r="AF97" s="9" t="n">
        <x:f>MOD(AG96*16807,2147483647)</x:f>
        <x:v>1331143439</x:v>
      </x:c>
      <x:c r="AG97" s="9" t="n">
        <x:f>MOD(AF97*16807,2147483647)</x:f>
        <x:v>43144827</x:v>
      </x:c>
      <x:c r="AH97" s="17" t="n">
        <x:f>IF('Control Room'!$B$5="Normal",'Control Room'!$B$7+'Control Room'!$D$7*SQRT(-2*LN(MAX(0.000000000001,AF97/2147483647)))*COS(2*PI()*AG97/2147483647),'Control Room'!$B$8+('Control Room'!$D$8-'Control Room'!$B$8)*AF97/2147483647)</x:f>
        <x:v>1087.3211252435603</x:v>
      </x:c>
      <x:c r="AI97" s="17" t="n">
        <x:f>IF('Control Room'!$B$5="Normal",'Control Room'!$B$7,('Control Room'!$B$8+'Control Room'!$D$8)/2)+'Control Room'!$B$9*(AI96-IF('Control Room'!$B$5="Normal",'Control Room'!$B$7,('Control Room'!$B$8+'Control Room'!$D$8)/2))+SQRT(1-'Control Room'!$B$9^2)*(AH97-IF('Control Room'!$B$5="Normal",'Control Room'!$B$7,('Control Room'!$B$8+'Control Room'!$D$8)/2))</x:f>
        <x:v>1056.079695064191</x:v>
      </x:c>
      <x:c r="AJ97" s="17" t="n">
        <x:f>IF(AND($A97&gt;='Control Room'!$A$13,$A97&lt;'Control Room'!$A$13+'Control Room'!$B$13,'Process'!BQ2=1),1+('Control Room'!$C$13-1)*EXP(-0.5*(($A97-'Control Room'!$A$13-('Control Room'!$B$13-1)/2)/MAX(0.5,'Control Room'!$B$13/4))^2),1)*IF(AND($A97&gt;='Control Room'!$A$14,$A97&lt;'Control Room'!$A$14+'Control Room'!$B$14,'Process'!BQ3=1),1+('Control Room'!$C$14-1)*EXP(-0.5*(($A97-'Control Room'!$A$14-('Control Room'!$B$14-1)/2)/MAX(0.5,'Control Room'!$B$14/4))^2),1)*IF(AND($A97&gt;='Control Room'!$A$15,$A97&lt;'Control Room'!$A$15+'Control Room'!$B$15,'Process'!BQ4=1),1+('Control Room'!$C$15-1)*EXP(-0.5*(($A97-'Control Room'!$A$15-('Control Room'!$B$15-1)/2)/MAX(0.5,'Control Room'!$B$15/4))^2),1)*IF(AND($A97&gt;='Control Room'!$A$16,$A97&lt;'Control Room'!$A$16+'Control Room'!$B$16,'Process'!BQ5=1),1+('Control Room'!$C$16-1)*EXP(-0.5*(($A97-'Control Room'!$A$16-('Control Room'!$B$16-1)/2)/MAX(0.5,'Control Room'!$B$16/4))^2),1)</x:f>
        <x:v>1</x:v>
      </x:c>
      <x:c r="AK97" s="9" t="n">
        <x:f>MOD(AL96*16807,2147483647)</x:f>
        <x:v>971238730</x:v>
      </x:c>
      <x:c r="AL97" s="9" t="n">
        <x:f>MOD(AK97*16807,2147483647)</x:f>
        <x:v>586134263</x:v>
      </x:c>
      <x:c r="AM97" s="17" t="n">
        <x:f>IF('Control Room'!$B$5="Normal",'Control Room'!$B$7+'Control Room'!$D$7*SQRT(-2*LN(MAX(0.000000000001,AK97/2147483647)))*COS(2*PI()*AL97/2147483647),'Control Room'!$B$8+('Control Room'!$D$8-'Control Room'!$B$8)*AK97/2147483647)</x:f>
        <x:v>983.7147446421758</x:v>
      </x:c>
      <x:c r="AN97" s="17" t="n">
        <x:f>IF('Control Room'!$B$5="Normal",'Control Room'!$B$7,('Control Room'!$B$8+'Control Room'!$D$8)/2)+'Control Room'!$B$9*(AN96-IF('Control Room'!$B$5="Normal",'Control Room'!$B$7,('Control Room'!$B$8+'Control Room'!$D$8)/2))+SQRT(1-'Control Room'!$B$9^2)*(AM97-IF('Control Room'!$B$5="Normal",'Control Room'!$B$7,('Control Room'!$B$8+'Control Room'!$D$8)/2))</x:f>
        <x:v>1065.9857578651674</x:v>
      </x:c>
      <x:c r="AO97" s="17" t="n">
        <x:f>IF(AND($A97&gt;='Control Room'!$A$13,$A97&lt;'Control Room'!$A$13+'Control Room'!$B$13,'Process'!BR2=1),1+('Control Room'!$C$13-1)*EXP(-0.5*(($A97-'Control Room'!$A$13-('Control Room'!$B$13-1)/2)/MAX(0.5,'Control Room'!$B$13/4))^2),1)*IF(AND($A97&gt;='Control Room'!$A$14,$A97&lt;'Control Room'!$A$14+'Control Room'!$B$14,'Process'!BR3=1),1+('Control Room'!$C$14-1)*EXP(-0.5*(($A97-'Control Room'!$A$14-('Control Room'!$B$14-1)/2)/MAX(0.5,'Control Room'!$B$14/4))^2),1)*IF(AND($A97&gt;='Control Room'!$A$15,$A97&lt;'Control Room'!$A$15+'Control Room'!$B$15,'Process'!BR4=1),1+('Control Room'!$C$15-1)*EXP(-0.5*(($A97-'Control Room'!$A$15-('Control Room'!$B$15-1)/2)/MAX(0.5,'Control Room'!$B$15/4))^2),1)*IF(AND($A97&gt;='Control Room'!$A$16,$A97&lt;'Control Room'!$A$16+'Control Room'!$B$16,'Process'!BR5=1),1+('Control Room'!$C$16-1)*EXP(-0.5*(($A97-'Control Room'!$A$16-('Control Room'!$B$16-1)/2)/MAX(0.5,'Control Room'!$B$16/4))^2),1)</x:f>
        <x:v>1</x:v>
      </x:c>
      <x:c r="AP97" s="9" t="n">
        <x:f>MOD(AQ96*16807,2147483647)</x:f>
        <x:v>611334021</x:v>
      </x:c>
      <x:c r="AQ97" s="9" t="n">
        <x:f>MOD(AP97*16807,2147483647)</x:f>
        <x:v>1129123699</x:v>
      </x:c>
      <x:c r="AR97" s="17" t="n">
        <x:f>IF('Control Room'!$B$5="Normal",'Control Room'!$B$7+'Control Room'!$D$7*SQRT(-2*LN(MAX(0.000000000001,AP97/2147483647)))*COS(2*PI()*AQ97/2147483647),'Control Room'!$B$8+('Control Room'!$D$8-'Control Room'!$B$8)*AP97/2147483647)</x:f>
        <x:v>859.2020551000812</x:v>
      </x:c>
      <x:c r="AS97" s="17" t="n">
        <x:f>IF('Control Room'!$B$5="Normal",'Control Room'!$B$7,('Control Room'!$B$8+'Control Room'!$D$8)/2)+'Control Room'!$B$9*(AS96-IF('Control Room'!$B$5="Normal",'Control Room'!$B$7,('Control Room'!$B$8+'Control Room'!$D$8)/2))+SQRT(1-'Control Room'!$B$9^2)*(AR97-IF('Control Room'!$B$5="Normal",'Control Room'!$B$7,('Control Room'!$B$8+'Control Room'!$D$8)/2))</x:f>
        <x:v>986.3346602443987</x:v>
      </x:c>
      <x:c r="AT97" s="17" t="n">
        <x:f>IF(AND($A97&gt;='Control Room'!$A$13,$A97&lt;'Control Room'!$A$13+'Control Room'!$B$13,'Process'!BS2=1),1+('Control Room'!$C$13-1)*EXP(-0.5*(($A97-'Control Room'!$A$13-('Control Room'!$B$13-1)/2)/MAX(0.5,'Control Room'!$B$13/4))^2),1)*IF(AND($A97&gt;='Control Room'!$A$14,$A97&lt;'Control Room'!$A$14+'Control Room'!$B$14,'Process'!BS3=1),1+('Control Room'!$C$14-1)*EXP(-0.5*(($A97-'Control Room'!$A$14-('Control Room'!$B$14-1)/2)/MAX(0.5,'Control Room'!$B$14/4))^2),1)*IF(AND($A97&gt;='Control Room'!$A$15,$A97&lt;'Control Room'!$A$15+'Control Room'!$B$15,'Process'!BS4=1),1+('Control Room'!$C$15-1)*EXP(-0.5*(($A97-'Control Room'!$A$15-('Control Room'!$B$15-1)/2)/MAX(0.5,'Control Room'!$B$15/4))^2),1)*IF(AND($A97&gt;='Control Room'!$A$16,$A97&lt;'Control Room'!$A$16+'Control Room'!$B$16,'Process'!BS5=1),1+('Control Room'!$C$16-1)*EXP(-0.5*(($A97-'Control Room'!$A$16-('Control Room'!$B$16-1)/2)/MAX(0.5,'Control Room'!$B$16/4))^2),1)</x:f>
        <x:v>1</x:v>
      </x:c>
      <x:c r="AU97" s="9" t="n">
        <x:f>MOD(AV96*16807,2147483647)</x:f>
        <x:v>251429312</x:v>
      </x:c>
      <x:c r="AV97" s="9" t="n">
        <x:f>MOD(AU97*16807,2147483647)</x:f>
        <x:v>1672113135</x:v>
      </x:c>
      <x:c r="AW97" s="17" t="n">
        <x:f>IF('Control Room'!$B$5="Normal",'Control Room'!$B$7+'Control Room'!$D$7*SQRT(-2*LN(MAX(0.000000000001,AU97/2147483647)))*COS(2*PI()*AV97/2147483647),'Control Room'!$B$8+('Control Room'!$D$8-'Control Room'!$B$8)*AU97/2147483647)</x:f>
        <x:v>1033.3612114392954</x:v>
      </x:c>
      <x:c r="AX97" s="17" t="n">
        <x:f>IF('Control Room'!$B$5="Normal",'Control Room'!$B$7,('Control Room'!$B$8+'Control Room'!$D$8)/2)+'Control Room'!$B$9*(AX96-IF('Control Room'!$B$5="Normal",'Control Room'!$B$7,('Control Room'!$B$8+'Control Room'!$D$8)/2))+SQRT(1-'Control Room'!$B$9^2)*(AW97-IF('Control Room'!$B$5="Normal",'Control Room'!$B$7,('Control Room'!$B$8+'Control Room'!$D$8)/2))</x:f>
        <x:v>1041.9441430930099</x:v>
      </x:c>
      <x:c r="AY97" s="17" t="n">
        <x:f>IF(AND($A97&gt;='Control Room'!$A$13,$A97&lt;'Control Room'!$A$13+'Control Room'!$B$13,'Process'!BT2=1),1+('Control Room'!$C$13-1)*EXP(-0.5*(($A97-'Control Room'!$A$13-('Control Room'!$B$13-1)/2)/MAX(0.5,'Control Room'!$B$13/4))^2),1)*IF(AND($A97&gt;='Control Room'!$A$14,$A97&lt;'Control Room'!$A$14+'Control Room'!$B$14,'Process'!BT3=1),1+('Control Room'!$C$14-1)*EXP(-0.5*(($A97-'Control Room'!$A$14-('Control Room'!$B$14-1)/2)/MAX(0.5,'Control Room'!$B$14/4))^2),1)*IF(AND($A97&gt;='Control Room'!$A$15,$A97&lt;'Control Room'!$A$15+'Control Room'!$B$15,'Process'!BT4=1),1+('Control Room'!$C$15-1)*EXP(-0.5*(($A97-'Control Room'!$A$15-('Control Room'!$B$15-1)/2)/MAX(0.5,'Control Room'!$B$15/4))^2),1)*IF(AND($A97&gt;='Control Room'!$A$16,$A97&lt;'Control Room'!$A$16+'Control Room'!$B$16,'Process'!BT5=1),1+('Control Room'!$C$16-1)*EXP(-0.5*(($A97-'Control Room'!$A$16-('Control Room'!$B$16-1)/2)/MAX(0.5,'Control Room'!$B$16/4))^2),1)</x:f>
        <x:v>1</x:v>
      </x:c>
      <x:c r="AZ97" s="9" t="n">
        <x:f>MOD(BA96*16807,2147483647)</x:f>
        <x:v>2039008250</x:v>
      </x:c>
      <x:c r="BA97" s="9" t="n">
        <x:f>MOD(AZ97*16807,2147483647)</x:f>
        <x:v>67618924</x:v>
      </x:c>
      <x:c r="BB97" s="17" t="n">
        <x:f>IF('Control Room'!$B$5="Normal",'Control Room'!$B$7+'Control Room'!$D$7*SQRT(-2*LN(MAX(0.000000000001,AZ97/2147483647)))*COS(2*PI()*BA97/2147483647),'Control Room'!$B$8+('Control Room'!$D$8-'Control Room'!$B$8)*AZ97/2147483647)</x:f>
        <x:v>1028.4122827926124</x:v>
      </x:c>
      <x:c r="BC97" s="17" t="n">
        <x:f>IF('Control Room'!$B$5="Normal",'Control Room'!$B$7,('Control Room'!$B$8+'Control Room'!$D$8)/2)+'Control Room'!$B$9*(BC96-IF('Control Room'!$B$5="Normal",'Control Room'!$B$7,('Control Room'!$B$8+'Control Room'!$D$8)/2))+SQRT(1-'Control Room'!$B$9^2)*(BB97-IF('Control Room'!$B$5="Normal",'Control Room'!$B$7,('Control Room'!$B$8+'Control Room'!$D$8)/2))</x:f>
        <x:v>993.7147879692019</x:v>
      </x:c>
      <x:c r="BD97" s="17" t="n">
        <x:f>IF(AND($A97&gt;='Control Room'!$A$13,$A97&lt;'Control Room'!$A$13+'Control Room'!$B$13,'Process'!BU2=1),1+('Control Room'!$C$13-1)*EXP(-0.5*(($A97-'Control Room'!$A$13-('Control Room'!$B$13-1)/2)/MAX(0.5,'Control Room'!$B$13/4))^2),1)*IF(AND($A97&gt;='Control Room'!$A$14,$A97&lt;'Control Room'!$A$14+'Control Room'!$B$14,'Process'!BU3=1),1+('Control Room'!$C$14-1)*EXP(-0.5*(($A97-'Control Room'!$A$14-('Control Room'!$B$14-1)/2)/MAX(0.5,'Control Room'!$B$14/4))^2),1)*IF(AND($A97&gt;='Control Room'!$A$15,$A97&lt;'Control Room'!$A$15+'Control Room'!$B$15,'Process'!BU4=1),1+('Control Room'!$C$15-1)*EXP(-0.5*(($A97-'Control Room'!$A$15-('Control Room'!$B$15-1)/2)/MAX(0.5,'Control Room'!$B$15/4))^2),1)*IF(AND($A97&gt;='Control Room'!$A$16,$A97&lt;'Control Room'!$A$16+'Control Room'!$B$16,'Process'!BU5=1),1+('Control Room'!$C$16-1)*EXP(-0.5*(($A97-'Control Room'!$A$16-('Control Room'!$B$16-1)/2)/MAX(0.5,'Control Room'!$B$16/4))^2),1)</x:f>
        <x:v>1</x:v>
      </x:c>
      <x:c r="BE97" s="9" t="n">
        <x:f>MOD(BF96*16807,2147483647)</x:f>
        <x:v>1679103541</x:v>
      </x:c>
      <x:c r="BF97" s="9" t="n">
        <x:f>MOD(BE97*16807,2147483647)</x:f>
        <x:v>610608360</x:v>
      </x:c>
      <x:c r="BG97" s="17" t="n">
        <x:f>IF('Control Room'!$B$5="Normal",'Control Room'!$B$7+'Control Room'!$D$7*SQRT(-2*LN(MAX(0.000000000001,BE97/2147483647)))*COS(2*PI()*BF97/2147483647),'Control Room'!$B$8+('Control Room'!$D$8-'Control Room'!$B$8)*BE97/2147483647)</x:f>
        <x:v>986.4848376116506</x:v>
      </x:c>
      <x:c r="BH97" s="17" t="n">
        <x:f>IF('Control Room'!$B$5="Normal",'Control Room'!$B$7,('Control Room'!$B$8+'Control Room'!$D$8)/2)+'Control Room'!$B$9*(BH96-IF('Control Room'!$B$5="Normal",'Control Room'!$B$7,('Control Room'!$B$8+'Control Room'!$D$8)/2))+SQRT(1-'Control Room'!$B$9^2)*(BG97-IF('Control Room'!$B$5="Normal",'Control Room'!$B$7,('Control Room'!$B$8+'Control Room'!$D$8)/2))</x:f>
        <x:v>1116.0327771575091</x:v>
      </x:c>
      <x:c r="BI97" s="17" t="n">
        <x:f>IF(AND($A97&gt;='Control Room'!$A$13,$A97&lt;'Control Room'!$A$13+'Control Room'!$B$13,'Process'!BV2=1),1+('Control Room'!$C$13-1)*EXP(-0.5*(($A97-'Control Room'!$A$13-('Control Room'!$B$13-1)/2)/MAX(0.5,'Control Room'!$B$13/4))^2),1)*IF(AND($A97&gt;='Control Room'!$A$14,$A97&lt;'Control Room'!$A$14+'Control Room'!$B$14,'Process'!BV3=1),1+('Control Room'!$C$14-1)*EXP(-0.5*(($A97-'Control Room'!$A$14-('Control Room'!$B$14-1)/2)/MAX(0.5,'Control Room'!$B$14/4))^2),1)*IF(AND($A97&gt;='Control Room'!$A$15,$A97&lt;'Control Room'!$A$15+'Control Room'!$B$15,'Process'!BV4=1),1+('Control Room'!$C$15-1)*EXP(-0.5*(($A97-'Control Room'!$A$15-('Control Room'!$B$15-1)/2)/MAX(0.5,'Control Room'!$B$15/4))^2),1)*IF(AND($A97&gt;='Control Room'!$A$16,$A97&lt;'Control Room'!$A$16+'Control Room'!$B$16,'Process'!BV5=1),1+('Control Room'!$C$16-1)*EXP(-0.5*(($A97-'Control Room'!$A$16-('Control Room'!$B$16-1)/2)/MAX(0.5,'Control Room'!$B$16/4))^2),1)</x:f>
        <x:v>1</x:v>
      </x:c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Z97" t="str">
        <x:f>IF('Data'!A97="","",TEXT('Data'!A97,"mm-dd"))</x:f>
        <x:v>02-05</x:v>
      </x:c>
    </x:row>
    <x:row r="98" ht="21" customHeight="1">
      <x:c r="A98" s="15" t="n">
        <x:f>'Control Room'!$B$1+96</x:f>
        <x:v>73087</x:v>
      </x:c>
      <x:c r="B98" s="9" t="n">
        <x:f>MOD(C97*16807,2147483647)</x:f>
        <x:v>1830444444</x:v>
      </x:c>
      <x:c r="C98" s="9" t="n">
        <x:f>MOD(B98*16807,2147483647)</x:f>
        <x:v>1576527033</x:v>
      </x:c>
      <x:c r="D98" s="17" t="n">
        <x:f>IF('Control Room'!$B$5="Normal",'Control Room'!$B$7+'Control Room'!$D$7*SQRT(-2*LN(MAX(0.000000000001,B98/2147483647)))*COS(2*PI()*C98/2147483647),'Control Room'!$B$8+('Control Room'!$D$8-'Control Room'!$B$8)*B98/2147483647)</x:f>
        <x:v>994.9351840137247</x:v>
      </x:c>
      <x:c r="E98" s="17" t="n">
        <x:f>IF('Control Room'!$B$5="Normal",'Control Room'!$B$7,('Control Room'!$B$8+'Control Room'!$D$8)/2)+'Control Room'!$B$9*(E97-IF('Control Room'!$B$5="Normal",'Control Room'!$B$7,('Control Room'!$B$8+'Control Room'!$D$8)/2))+SQRT(1-'Control Room'!$B$9^2)*(D98-IF('Control Room'!$B$5="Normal",'Control Room'!$B$7,('Control Room'!$B$8+'Control Room'!$D$8)/2))</x:f>
        <x:v>947.887472129653</x:v>
      </x:c>
      <x:c r="F98" s="17" t="n">
        <x:f>IF(AND($A98&gt;='Control Room'!$A$13,$A98&lt;'Control Room'!$A$13+'Control Room'!$B$13,'Process'!BK2=1),1+('Control Room'!$C$13-1)*EXP(-0.5*(($A98-'Control Room'!$A$13-('Control Room'!$B$13-1)/2)/MAX(0.5,'Control Room'!$B$13/4))^2),1)*IF(AND($A98&gt;='Control Room'!$A$14,$A98&lt;'Control Room'!$A$14+'Control Room'!$B$14,'Process'!BK3=1),1+('Control Room'!$C$14-1)*EXP(-0.5*(($A98-'Control Room'!$A$14-('Control Room'!$B$14-1)/2)/MAX(0.5,'Control Room'!$B$14/4))^2),1)*IF(AND($A98&gt;='Control Room'!$A$15,$A98&lt;'Control Room'!$A$15+'Control Room'!$B$15,'Process'!BK4=1),1+('Control Room'!$C$15-1)*EXP(-0.5*(($A98-'Control Room'!$A$15-('Control Room'!$B$15-1)/2)/MAX(0.5,'Control Room'!$B$15/4))^2),1)*IF(AND($A98&gt;='Control Room'!$A$16,$A98&lt;'Control Room'!$A$16+'Control Room'!$B$16,'Process'!BK5=1),1+('Control Room'!$C$16-1)*EXP(-0.5*(($A98-'Control Room'!$A$16-('Control Room'!$B$16-1)/2)/MAX(0.5,'Control Room'!$B$16/4))^2),1)</x:f>
        <x:v>1</x:v>
      </x:c>
      <x:c r="G98" s="9" t="n">
        <x:f>MOD(H97*16807,2147483647)</x:f>
        <x:v>1048395546</x:v>
      </x:c>
      <x:c r="H98" s="9" t="n">
        <x:f>MOD(G98*16807,2147483647)</x:f>
        <x:v>280617987</x:v>
      </x:c>
      <x:c r="I98" s="17" t="n">
        <x:f>IF('Control Room'!$B$5="Normal",'Control Room'!$B$7+'Control Room'!$D$7*SQRT(-2*LN(MAX(0.000000000001,G98/2147483647)))*COS(2*PI()*H98/2147483647),'Control Room'!$B$8+('Control Room'!$D$8-'Control Room'!$B$8)*G98/2147483647)</x:f>
        <x:v>1073.4458961905104</x:v>
      </x:c>
      <x:c r="J98" s="17" t="n">
        <x:f>IF('Control Room'!$B$5="Normal",'Control Room'!$B$7,('Control Room'!$B$8+'Control Room'!$D$8)/2)+'Control Room'!$B$9*(J97-IF('Control Room'!$B$5="Normal",'Control Room'!$B$7,('Control Room'!$B$8+'Control Room'!$D$8)/2))+SQRT(1-'Control Room'!$B$9^2)*(I98-IF('Control Room'!$B$5="Normal",'Control Room'!$B$7,('Control Room'!$B$8+'Control Room'!$D$8)/2))</x:f>
        <x:v>1088.8740617299882</x:v>
      </x:c>
      <x:c r="K98" s="17" t="n">
        <x:f>IF(AND($A98&gt;='Control Room'!$A$13,$A98&lt;'Control Room'!$A$13+'Control Room'!$B$13,'Process'!BL2=1),1+('Control Room'!$C$13-1)*EXP(-0.5*(($A98-'Control Room'!$A$13-('Control Room'!$B$13-1)/2)/MAX(0.5,'Control Room'!$B$13/4))^2),1)*IF(AND($A98&gt;='Control Room'!$A$14,$A98&lt;'Control Room'!$A$14+'Control Room'!$B$14,'Process'!BL3=1),1+('Control Room'!$C$14-1)*EXP(-0.5*(($A98-'Control Room'!$A$14-('Control Room'!$B$14-1)/2)/MAX(0.5,'Control Room'!$B$14/4))^2),1)*IF(AND($A98&gt;='Control Room'!$A$15,$A98&lt;'Control Room'!$A$15+'Control Room'!$B$15,'Process'!BL4=1),1+('Control Room'!$C$15-1)*EXP(-0.5*(($A98-'Control Room'!$A$15-('Control Room'!$B$15-1)/2)/MAX(0.5,'Control Room'!$B$15/4))^2),1)*IF(AND($A98&gt;='Control Room'!$A$16,$A98&lt;'Control Room'!$A$16+'Control Room'!$B$16,'Process'!BL5=1),1+('Control Room'!$C$16-1)*EXP(-0.5*(($A98-'Control Room'!$A$16-('Control Room'!$B$16-1)/2)/MAX(0.5,'Control Room'!$B$16/4))^2),1)</x:f>
        <x:v>1</x:v>
      </x:c>
      <x:c r="L98" s="9" t="n">
        <x:f>MOD(M97*16807,2147483647)</x:f>
        <x:v>266346648</x:v>
      </x:c>
      <x:c r="M98" s="9" t="n">
        <x:f>MOD(L98*16807,2147483647)</x:f>
        <x:v>1132192588</x:v>
      </x:c>
      <x:c r="N98" s="17" t="n">
        <x:f>IF('Control Room'!$B$5="Normal",'Control Room'!$B$7+'Control Room'!$D$7*SQRT(-2*LN(MAX(0.000000000001,L98/2147483647)))*COS(2*PI()*M98/2147483647),'Control Room'!$B$8+('Control Room'!$D$8-'Control Room'!$B$8)*L98/2147483647)</x:f>
        <x:v>818.797993630056</x:v>
      </x:c>
      <x:c r="O98" s="17" t="n">
        <x:f>IF('Control Room'!$B$5="Normal",'Control Room'!$B$7,('Control Room'!$B$8+'Control Room'!$D$8)/2)+'Control Room'!$B$9*(O97-IF('Control Room'!$B$5="Normal",'Control Room'!$B$7,('Control Room'!$B$8+'Control Room'!$D$8)/2))+SQRT(1-'Control Room'!$B$9^2)*(N98-IF('Control Room'!$B$5="Normal",'Control Room'!$B$7,('Control Room'!$B$8+'Control Room'!$D$8)/2))</x:f>
        <x:v>959.429757542775</x:v>
      </x:c>
      <x:c r="P98" s="17" t="n">
        <x:f>IF(AND($A98&gt;='Control Room'!$A$13,$A98&lt;'Control Room'!$A$13+'Control Room'!$B$13,'Process'!BM2=1),1+('Control Room'!$C$13-1)*EXP(-0.5*(($A98-'Control Room'!$A$13-('Control Room'!$B$13-1)/2)/MAX(0.5,'Control Room'!$B$13/4))^2),1)*IF(AND($A98&gt;='Control Room'!$A$14,$A98&lt;'Control Room'!$A$14+'Control Room'!$B$14,'Process'!BM3=1),1+('Control Room'!$C$14-1)*EXP(-0.5*(($A98-'Control Room'!$A$14-('Control Room'!$B$14-1)/2)/MAX(0.5,'Control Room'!$B$14/4))^2),1)*IF(AND($A98&gt;='Control Room'!$A$15,$A98&lt;'Control Room'!$A$15+'Control Room'!$B$15,'Process'!BM4=1),1+('Control Room'!$C$15-1)*EXP(-0.5*(($A98-'Control Room'!$A$15-('Control Room'!$B$15-1)/2)/MAX(0.5,'Control Room'!$B$15/4))^2),1)*IF(AND($A98&gt;='Control Room'!$A$16,$A98&lt;'Control Room'!$A$16+'Control Room'!$B$16,'Process'!BM5=1),1+('Control Room'!$C$16-1)*EXP(-0.5*(($A98-'Control Room'!$A$16-('Control Room'!$B$16-1)/2)/MAX(0.5,'Control Room'!$B$16/4))^2),1)</x:f>
        <x:v>1</x:v>
      </x:c>
      <x:c r="Q98" s="9" t="n">
        <x:f>MOD(R97*16807,2147483647)</x:f>
        <x:v>1631781397</x:v>
      </x:c>
      <x:c r="R98" s="9" t="n">
        <x:f>MOD(Q98*16807,2147483647)</x:f>
        <x:v>1983767189</x:v>
      </x:c>
      <x:c r="S98" s="17" t="n">
        <x:f>IF('Control Room'!$B$5="Normal",'Control Room'!$B$7+'Control Room'!$D$7*SQRT(-2*LN(MAX(0.000000000001,Q98/2147483647)))*COS(2*PI()*R98/2147483647),'Control Room'!$B$8+('Control Room'!$D$8-'Control Room'!$B$8)*Q98/2147483647)</x:f>
        <x:v>1059.1932755377443</x:v>
      </x:c>
      <x:c r="T98" s="17" t="n">
        <x:f>IF('Control Room'!$B$5="Normal",'Control Room'!$B$7,('Control Room'!$B$8+'Control Room'!$D$8)/2)+'Control Room'!$B$9*(T97-IF('Control Room'!$B$5="Normal",'Control Room'!$B$7,('Control Room'!$B$8+'Control Room'!$D$8)/2))+SQRT(1-'Control Room'!$B$9^2)*(S98-IF('Control Room'!$B$5="Normal",'Control Room'!$B$7,('Control Room'!$B$8+'Control Room'!$D$8)/2))</x:f>
        <x:v>1118.4107557648113</x:v>
      </x:c>
      <x:c r="U98" s="17" t="n">
        <x:f>IF(AND($A98&gt;='Control Room'!$A$13,$A98&lt;'Control Room'!$A$13+'Control Room'!$B$13,'Process'!BN2=1),1+('Control Room'!$C$13-1)*EXP(-0.5*(($A98-'Control Room'!$A$13-('Control Room'!$B$13-1)/2)/MAX(0.5,'Control Room'!$B$13/4))^2),1)*IF(AND($A98&gt;='Control Room'!$A$14,$A98&lt;'Control Room'!$A$14+'Control Room'!$B$14,'Process'!BN3=1),1+('Control Room'!$C$14-1)*EXP(-0.5*(($A98-'Control Room'!$A$14-('Control Room'!$B$14-1)/2)/MAX(0.5,'Control Room'!$B$14/4))^2),1)*IF(AND($A98&gt;='Control Room'!$A$15,$A98&lt;'Control Room'!$A$15+'Control Room'!$B$15,'Process'!BN4=1),1+('Control Room'!$C$15-1)*EXP(-0.5*(($A98-'Control Room'!$A$15-('Control Room'!$B$15-1)/2)/MAX(0.5,'Control Room'!$B$15/4))^2),1)*IF(AND($A98&gt;='Control Room'!$A$16,$A98&lt;'Control Room'!$A$16+'Control Room'!$B$16,'Process'!BN5=1),1+('Control Room'!$C$16-1)*EXP(-0.5*(($A98-'Control Room'!$A$16-('Control Room'!$B$16-1)/2)/MAX(0.5,'Control Room'!$B$16/4))^2),1)</x:f>
        <x:v>1</x:v>
      </x:c>
      <x:c r="V98" s="9" t="n">
        <x:f>MOD(W97*16807,2147483647)</x:f>
        <x:v>849732499</x:v>
      </x:c>
      <x:c r="W98" s="9" t="n">
        <x:f>MOD(V98*16807,2147483647)</x:f>
        <x:v>687858143</x:v>
      </x:c>
      <x:c r="X98" s="17" t="n">
        <x:f>IF('Control Room'!$B$5="Normal",'Control Room'!$B$7+'Control Room'!$D$7*SQRT(-2*LN(MAX(0.000000000001,V98/2147483647)))*COS(2*PI()*W98/2147483647),'Control Room'!$B$8+('Control Room'!$D$8-'Control Room'!$B$8)*V98/2147483647)</x:f>
        <x:v>947.6038602596421</x:v>
      </x:c>
      <x:c r="Y98" s="17" t="n">
        <x:f>IF('Control Room'!$B$5="Normal",'Control Room'!$B$7,('Control Room'!$B$8+'Control Room'!$D$8)/2)+'Control Room'!$B$9*(Y97-IF('Control Room'!$B$5="Normal",'Control Room'!$B$7,('Control Room'!$B$8+'Control Room'!$D$8)/2))+SQRT(1-'Control Room'!$B$9^2)*(X98-IF('Control Room'!$B$5="Normal",'Control Room'!$B$7,('Control Room'!$B$8+'Control Room'!$D$8)/2))</x:f>
        <x:v>937.0404350103667</x:v>
      </x:c>
      <x:c r="Z98" s="17" t="n">
        <x:f>IF(AND($A98&gt;='Control Room'!$A$13,$A98&lt;'Control Room'!$A$13+'Control Room'!$B$13,'Process'!BO2=1),1+('Control Room'!$C$13-1)*EXP(-0.5*(($A98-'Control Room'!$A$13-('Control Room'!$B$13-1)/2)/MAX(0.5,'Control Room'!$B$13/4))^2),1)*IF(AND($A98&gt;='Control Room'!$A$14,$A98&lt;'Control Room'!$A$14+'Control Room'!$B$14,'Process'!BO3=1),1+('Control Room'!$C$14-1)*EXP(-0.5*(($A98-'Control Room'!$A$14-('Control Room'!$B$14-1)/2)/MAX(0.5,'Control Room'!$B$14/4))^2),1)*IF(AND($A98&gt;='Control Room'!$A$15,$A98&lt;'Control Room'!$A$15+'Control Room'!$B$15,'Process'!BO4=1),1+('Control Room'!$C$15-1)*EXP(-0.5*(($A98-'Control Room'!$A$15-('Control Room'!$B$15-1)/2)/MAX(0.5,'Control Room'!$B$15/4))^2),1)*IF(AND($A98&gt;='Control Room'!$A$16,$A98&lt;'Control Room'!$A$16+'Control Room'!$B$16,'Process'!BO5=1),1+('Control Room'!$C$16-1)*EXP(-0.5*(($A98-'Control Room'!$A$16-('Control Room'!$B$16-1)/2)/MAX(0.5,'Control Room'!$B$16/4))^2),1)</x:f>
        <x:v>1</x:v>
      </x:c>
      <x:c r="AA98" s="9" t="n">
        <x:f>MOD(AB97*16807,2147483647)</x:f>
        <x:v>67683601</x:v>
      </x:c>
      <x:c r="AB98" s="9" t="n">
        <x:f>MOD(AA98*16807,2147483647)</x:f>
        <x:v>1539432744</x:v>
      </x:c>
      <x:c r="AC98" s="17" t="n">
        <x:f>IF('Control Room'!$B$5="Normal",'Control Room'!$B$7+'Control Room'!$D$7*SQRT(-2*LN(MAX(0.000000000001,AA98/2147483647)))*COS(2*PI()*AB98/2147483647),'Control Room'!$B$8+('Control Room'!$D$8-'Control Room'!$B$8)*AA98/2147483647)</x:f>
        <x:v>951.0689838510673</x:v>
      </x:c>
      <x:c r="AD98" s="17" t="n">
        <x:f>IF('Control Room'!$B$5="Normal",'Control Room'!$B$7,('Control Room'!$B$8+'Control Room'!$D$8)/2)+'Control Room'!$B$9*(AD97-IF('Control Room'!$B$5="Normal",'Control Room'!$B$7,('Control Room'!$B$8+'Control Room'!$D$8)/2))+SQRT(1-'Control Room'!$B$9^2)*(AC98-IF('Control Room'!$B$5="Normal",'Control Room'!$B$7,('Control Room'!$B$8+'Control Room'!$D$8)/2))</x:f>
        <x:v>1011.4811046920356</x:v>
      </x:c>
      <x:c r="AE98" s="17" t="n">
        <x:f>IF(AND($A98&gt;='Control Room'!$A$13,$A98&lt;'Control Room'!$A$13+'Control Room'!$B$13,'Process'!BP2=1),1+('Control Room'!$C$13-1)*EXP(-0.5*(($A98-'Control Room'!$A$13-('Control Room'!$B$13-1)/2)/MAX(0.5,'Control Room'!$B$13/4))^2),1)*IF(AND($A98&gt;='Control Room'!$A$14,$A98&lt;'Control Room'!$A$14+'Control Room'!$B$14,'Process'!BP3=1),1+('Control Room'!$C$14-1)*EXP(-0.5*(($A98-'Control Room'!$A$14-('Control Room'!$B$14-1)/2)/MAX(0.5,'Control Room'!$B$14/4))^2),1)*IF(AND($A98&gt;='Control Room'!$A$15,$A98&lt;'Control Room'!$A$15+'Control Room'!$B$15,'Process'!BP4=1),1+('Control Room'!$C$15-1)*EXP(-0.5*(($A98-'Control Room'!$A$15-('Control Room'!$B$15-1)/2)/MAX(0.5,'Control Room'!$B$15/4))^2),1)*IF(AND($A98&gt;='Control Room'!$A$16,$A98&lt;'Control Room'!$A$16+'Control Room'!$B$16,'Process'!BP5=1),1+('Control Room'!$C$16-1)*EXP(-0.5*(($A98-'Control Room'!$A$16-('Control Room'!$B$16-1)/2)/MAX(0.5,'Control Room'!$B$16/4))^2),1)</x:f>
        <x:v>1</x:v>
      </x:c>
      <x:c r="AF98" s="9" t="n">
        <x:f>MOD(AG97*16807,2147483647)</x:f>
        <x:v>1433118350</x:v>
      </x:c>
      <x:c r="AG98" s="9" t="n">
        <x:f>MOD(AF98*16807,2147483647)</x:f>
        <x:v>243523698</x:v>
      </x:c>
      <x:c r="AH98" s="17" t="n">
        <x:f>IF('Control Room'!$B$5="Normal",'Control Room'!$B$7+'Control Room'!$D$7*SQRT(-2*LN(MAX(0.000000000001,AF98/2147483647)))*COS(2*PI()*AG98/2147483647),'Control Room'!$B$8+('Control Room'!$D$8-'Control Room'!$B$8)*AF98/2147483647)</x:f>
        <x:v>1061.2524845775547</x:v>
      </x:c>
      <x:c r="AI98" s="17" t="n">
        <x:f>IF('Control Room'!$B$5="Normal",'Control Room'!$B$7,('Control Room'!$B$8+'Control Room'!$D$8)/2)+'Control Room'!$B$9*(AI97-IF('Control Room'!$B$5="Normal",'Control Room'!$B$7,('Control Room'!$B$8+'Control Room'!$D$8)/2))+SQRT(1-'Control Room'!$B$9^2)*(AH98-IF('Control Room'!$B$5="Normal",'Control Room'!$B$7,('Control Room'!$B$8+'Control Room'!$D$8)/2))</x:f>
        <x:v>1082.0727121733503</x:v>
      </x:c>
      <x:c r="AJ98" s="17" t="n">
        <x:f>IF(AND($A98&gt;='Control Room'!$A$13,$A98&lt;'Control Room'!$A$13+'Control Room'!$B$13,'Process'!BQ2=1),1+('Control Room'!$C$13-1)*EXP(-0.5*(($A98-'Control Room'!$A$13-('Control Room'!$B$13-1)/2)/MAX(0.5,'Control Room'!$B$13/4))^2),1)*IF(AND($A98&gt;='Control Room'!$A$14,$A98&lt;'Control Room'!$A$14+'Control Room'!$B$14,'Process'!BQ3=1),1+('Control Room'!$C$14-1)*EXP(-0.5*(($A98-'Control Room'!$A$14-('Control Room'!$B$14-1)/2)/MAX(0.5,'Control Room'!$B$14/4))^2),1)*IF(AND($A98&gt;='Control Room'!$A$15,$A98&lt;'Control Room'!$A$15+'Control Room'!$B$15,'Process'!BQ4=1),1+('Control Room'!$C$15-1)*EXP(-0.5*(($A98-'Control Room'!$A$15-('Control Room'!$B$15-1)/2)/MAX(0.5,'Control Room'!$B$15/4))^2),1)*IF(AND($A98&gt;='Control Room'!$A$16,$A98&lt;'Control Room'!$A$16+'Control Room'!$B$16,'Process'!BQ5=1),1+('Control Room'!$C$16-1)*EXP(-0.5*(($A98-'Control Room'!$A$16-('Control Room'!$B$16-1)/2)/MAX(0.5,'Control Room'!$B$16/4))^2),1)</x:f>
        <x:v>1</x:v>
      </x:c>
      <x:c r="AK98" s="9" t="n">
        <x:f>MOD(AL97*16807,2147483647)</x:f>
        <x:v>651069452</x:v>
      </x:c>
      <x:c r="AL98" s="9" t="n">
        <x:f>MOD(AK98*16807,2147483647)</x:f>
        <x:v>1095098299</x:v>
      </x:c>
      <x:c r="AM98" s="17" t="n">
        <x:f>IF('Control Room'!$B$5="Normal",'Control Room'!$B$7+'Control Room'!$D$7*SQRT(-2*LN(MAX(0.000000000001,AK98/2147483647)))*COS(2*PI()*AL98/2147483647),'Control Room'!$B$8+('Control Room'!$D$8-'Control Room'!$B$8)*AK98/2147483647)</x:f>
        <x:v>861.225832259612</x:v>
      </x:c>
      <x:c r="AN98" s="17" t="n">
        <x:f>IF('Control Room'!$B$5="Normal",'Control Room'!$B$7,('Control Room'!$B$8+'Control Room'!$D$8)/2)+'Control Room'!$B$9*(AN97-IF('Control Room'!$B$5="Normal",'Control Room'!$B$7,('Control Room'!$B$8+'Control Room'!$D$8)/2))+SQRT(1-'Control Room'!$B$9^2)*(AM98-IF('Control Room'!$B$5="Normal",'Control Room'!$B$7,('Control Room'!$B$8+'Control Room'!$D$8)/2))</x:f>
        <x:v>964.6268599062496</x:v>
      </x:c>
      <x:c r="AO98" s="17" t="n">
        <x:f>IF(AND($A98&gt;='Control Room'!$A$13,$A98&lt;'Control Room'!$A$13+'Control Room'!$B$13,'Process'!BR2=1),1+('Control Room'!$C$13-1)*EXP(-0.5*(($A98-'Control Room'!$A$13-('Control Room'!$B$13-1)/2)/MAX(0.5,'Control Room'!$B$13/4))^2),1)*IF(AND($A98&gt;='Control Room'!$A$14,$A98&lt;'Control Room'!$A$14+'Control Room'!$B$14,'Process'!BR3=1),1+('Control Room'!$C$14-1)*EXP(-0.5*(($A98-'Control Room'!$A$14-('Control Room'!$B$14-1)/2)/MAX(0.5,'Control Room'!$B$14/4))^2),1)*IF(AND($A98&gt;='Control Room'!$A$15,$A98&lt;'Control Room'!$A$15+'Control Room'!$B$15,'Process'!BR4=1),1+('Control Room'!$C$15-1)*EXP(-0.5*(($A98-'Control Room'!$A$15-('Control Room'!$B$15-1)/2)/MAX(0.5,'Control Room'!$B$15/4))^2),1)*IF(AND($A98&gt;='Control Room'!$A$16,$A98&lt;'Control Room'!$A$16+'Control Room'!$B$16,'Process'!BR5=1),1+('Control Room'!$C$16-1)*EXP(-0.5*(($A98-'Control Room'!$A$16-('Control Room'!$B$16-1)/2)/MAX(0.5,'Control Room'!$B$16/4))^2),1)</x:f>
        <x:v>1</x:v>
      </x:c>
      <x:c r="AP98" s="9" t="n">
        <x:f>MOD(AQ97*16807,2147483647)</x:f>
        <x:v>2016504201</x:v>
      </x:c>
      <x:c r="AQ98" s="9" t="n">
        <x:f>MOD(AP98*16807,2147483647)</x:f>
        <x:v>1946672900</x:v>
      </x:c>
      <x:c r="AR98" s="17" t="n">
        <x:f>IF('Control Room'!$B$5="Normal",'Control Room'!$B$7+'Control Room'!$D$7*SQRT(-2*LN(MAX(0.000000000001,AP98/2147483647)))*COS(2*PI()*AQ98/2147483647),'Control Room'!$B$8+('Control Room'!$D$8-'Control Room'!$B$8)*AP98/2147483647)</x:f>
        <x:v>1026.5750836251498</x:v>
      </x:c>
      <x:c r="AS98" s="17" t="n">
        <x:f>IF('Control Room'!$B$5="Normal",'Control Room'!$B$7,('Control Room'!$B$8+'Control Room'!$D$8)/2)+'Control Room'!$B$9*(AS97-IF('Control Room'!$B$5="Normal",'Control Room'!$B$7,('Control Room'!$B$8+'Control Room'!$D$8)/2))+SQRT(1-'Control Room'!$B$9^2)*(AR98-IF('Control Room'!$B$5="Normal",'Control Room'!$B$7,('Control Room'!$B$8+'Control Room'!$D$8)/2))</x:f>
        <x:v>1005.9711779030698</x:v>
      </x:c>
      <x:c r="AT98" s="17" t="n">
        <x:f>IF(AND($A98&gt;='Control Room'!$A$13,$A98&lt;'Control Room'!$A$13+'Control Room'!$B$13,'Process'!BS2=1),1+('Control Room'!$C$13-1)*EXP(-0.5*(($A98-'Control Room'!$A$13-('Control Room'!$B$13-1)/2)/MAX(0.5,'Control Room'!$B$13/4))^2),1)*IF(AND($A98&gt;='Control Room'!$A$14,$A98&lt;'Control Room'!$A$14+'Control Room'!$B$14,'Process'!BS3=1),1+('Control Room'!$C$14-1)*EXP(-0.5*(($A98-'Control Room'!$A$14-('Control Room'!$B$14-1)/2)/MAX(0.5,'Control Room'!$B$14/4))^2),1)*IF(AND($A98&gt;='Control Room'!$A$15,$A98&lt;'Control Room'!$A$15+'Control Room'!$B$15,'Process'!BS4=1),1+('Control Room'!$C$15-1)*EXP(-0.5*(($A98-'Control Room'!$A$15-('Control Room'!$B$15-1)/2)/MAX(0.5,'Control Room'!$B$15/4))^2),1)*IF(AND($A98&gt;='Control Room'!$A$16,$A98&lt;'Control Room'!$A$16+'Control Room'!$B$16,'Process'!BS5=1),1+('Control Room'!$C$16-1)*EXP(-0.5*(($A98-'Control Room'!$A$16-('Control Room'!$B$16-1)/2)/MAX(0.5,'Control Room'!$B$16/4))^2),1)</x:f>
        <x:v>1</x:v>
      </x:c>
      <x:c r="AU98" s="9" t="n">
        <x:f>MOD(AV97*16807,2147483647)</x:f>
        <x:v>1234455303</x:v>
      </x:c>
      <x:c r="AV98" s="9" t="n">
        <x:f>MOD(AU98*16807,2147483647)</x:f>
        <x:v>650763854</x:v>
      </x:c>
      <x:c r="AW98" s="17" t="n">
        <x:f>IF('Control Room'!$B$5="Normal",'Control Room'!$B$7+'Control Room'!$D$7*SQRT(-2*LN(MAX(0.000000000001,AU98/2147483647)))*COS(2*PI()*AV98/2147483647),'Control Room'!$B$8+('Control Room'!$D$8-'Control Room'!$B$8)*AU98/2147483647)</x:f>
        <x:v>969.02145258889</x:v>
      </x:c>
      <x:c r="AX98" s="17" t="n">
        <x:f>IF('Control Room'!$B$5="Normal",'Control Room'!$B$7,('Control Room'!$B$8+'Control Room'!$D$8)/2)+'Control Room'!$B$9*(AX97-IF('Control Room'!$B$5="Normal",'Control Room'!$B$7,('Control Room'!$B$8+'Control Room'!$D$8)/2))+SQRT(1-'Control Room'!$B$9^2)*(AW98-IF('Control Room'!$B$5="Normal",'Control Room'!$B$7,('Control Room'!$B$8+'Control Room'!$D$8)/2))</x:f>
        <x:v>1013.330691272714</x:v>
      </x:c>
      <x:c r="AY98" s="17" t="n">
        <x:f>IF(AND($A98&gt;='Control Room'!$A$13,$A98&lt;'Control Room'!$A$13+'Control Room'!$B$13,'Process'!BT2=1),1+('Control Room'!$C$13-1)*EXP(-0.5*(($A98-'Control Room'!$A$13-('Control Room'!$B$13-1)/2)/MAX(0.5,'Control Room'!$B$13/4))^2),1)*IF(AND($A98&gt;='Control Room'!$A$14,$A98&lt;'Control Room'!$A$14+'Control Room'!$B$14,'Process'!BT3=1),1+('Control Room'!$C$14-1)*EXP(-0.5*(($A98-'Control Room'!$A$14-('Control Room'!$B$14-1)/2)/MAX(0.5,'Control Room'!$B$14/4))^2),1)*IF(AND($A98&gt;='Control Room'!$A$15,$A98&lt;'Control Room'!$A$15+'Control Room'!$B$15,'Process'!BT4=1),1+('Control Room'!$C$15-1)*EXP(-0.5*(($A98-'Control Room'!$A$15-('Control Room'!$B$15-1)/2)/MAX(0.5,'Control Room'!$B$15/4))^2),1)*IF(AND($A98&gt;='Control Room'!$A$16,$A98&lt;'Control Room'!$A$16+'Control Room'!$B$16,'Process'!BT5=1),1+('Control Room'!$C$16-1)*EXP(-0.5*(($A98-'Control Room'!$A$16-('Control Room'!$B$16-1)/2)/MAX(0.5,'Control Room'!$B$16/4))^2),1)</x:f>
        <x:v>1</x:v>
      </x:c>
      <x:c r="AZ98" s="9" t="n">
        <x:f>MOD(BA97*16807,2147483647)</x:f>
        <x:v>452406405</x:v>
      </x:c>
      <x:c r="BA98" s="9" t="n">
        <x:f>MOD(AZ98*16807,2147483647)</x:f>
        <x:v>1502338455</x:v>
      </x:c>
      <x:c r="BB98" s="17" t="n">
        <x:f>IF('Control Room'!$B$5="Normal",'Control Room'!$B$7+'Control Room'!$D$7*SQRT(-2*LN(MAX(0.000000000001,AZ98/2147483647)))*COS(2*PI()*BA98/2147483647),'Control Room'!$B$8+('Control Room'!$D$8-'Control Room'!$B$8)*AZ98/2147483647)</x:f>
        <x:v>950.5172039508541</x:v>
      </x:c>
      <x:c r="BC98" s="17" t="n">
        <x:f>IF('Control Room'!$B$5="Normal",'Control Room'!$B$7,('Control Room'!$B$8+'Control Room'!$D$8)/2)+'Control Room'!$B$9*(BC97-IF('Control Room'!$B$5="Normal",'Control Room'!$B$7,('Control Room'!$B$8+'Control Room'!$D$8)/2))+SQRT(1-'Control Room'!$B$9^2)*(BB98-IF('Control Room'!$B$5="Normal",'Control Room'!$B$7,('Control Room'!$B$8+'Control Room'!$D$8)/2))</x:f>
        <x:v>964.1322145585991</x:v>
      </x:c>
      <x:c r="BD98" s="17" t="n">
        <x:f>IF(AND($A98&gt;='Control Room'!$A$13,$A98&lt;'Control Room'!$A$13+'Control Room'!$B$13,'Process'!BU2=1),1+('Control Room'!$C$13-1)*EXP(-0.5*(($A98-'Control Room'!$A$13-('Control Room'!$B$13-1)/2)/MAX(0.5,'Control Room'!$B$13/4))^2),1)*IF(AND($A98&gt;='Control Room'!$A$14,$A98&lt;'Control Room'!$A$14+'Control Room'!$B$14,'Process'!BU3=1),1+('Control Room'!$C$14-1)*EXP(-0.5*(($A98-'Control Room'!$A$14-('Control Room'!$B$14-1)/2)/MAX(0.5,'Control Room'!$B$14/4))^2),1)*IF(AND($A98&gt;='Control Room'!$A$15,$A98&lt;'Control Room'!$A$15+'Control Room'!$B$15,'Process'!BU4=1),1+('Control Room'!$C$15-1)*EXP(-0.5*(($A98-'Control Room'!$A$15-('Control Room'!$B$15-1)/2)/MAX(0.5,'Control Room'!$B$15/4))^2),1)*IF(AND($A98&gt;='Control Room'!$A$16,$A98&lt;'Control Room'!$A$16+'Control Room'!$B$16,'Process'!BU5=1),1+('Control Room'!$C$16-1)*EXP(-0.5*(($A98-'Control Room'!$A$16-('Control Room'!$B$16-1)/2)/MAX(0.5,'Control Room'!$B$16/4))^2),1)</x:f>
        <x:v>1</x:v>
      </x:c>
      <x:c r="BE98" s="9" t="n">
        <x:f>MOD(BF97*16807,2147483647)</x:f>
        <x:v>1817841154</x:v>
      </x:c>
      <x:c r="BF98" s="9" t="n">
        <x:f>MOD(BE98*16807,2147483647)</x:f>
        <x:v>206429409</x:v>
      </x:c>
      <x:c r="BG98" s="17" t="n">
        <x:f>IF('Control Room'!$B$5="Normal",'Control Room'!$B$7+'Control Room'!$D$7*SQRT(-2*LN(MAX(0.000000000001,BE98/2147483647)))*COS(2*PI()*BF98/2147483647),'Control Room'!$B$8+('Control Room'!$D$8-'Control Room'!$B$8)*BE98/2147483647)</x:f>
        <x:v>1042.7661205064273</x:v>
      </x:c>
      <x:c r="BH98" s="17" t="n">
        <x:f>IF('Control Room'!$B$5="Normal",'Control Room'!$B$7,('Control Room'!$B$8+'Control Room'!$D$8)/2)+'Control Room'!$B$9*(BH97-IF('Control Room'!$B$5="Normal",'Control Room'!$B$7,('Control Room'!$B$8+'Control Room'!$D$8)/2))+SQRT(1-'Control Room'!$B$9^2)*(BG98-IF('Control Room'!$B$5="Normal",'Control Room'!$B$7,('Control Room'!$B$8+'Control Room'!$D$8)/2))</x:f>
        <x:v>1117.2677282841798</x:v>
      </x:c>
      <x:c r="BI98" s="17" t="n">
        <x:f>IF(AND($A98&gt;='Control Room'!$A$13,$A98&lt;'Control Room'!$A$13+'Control Room'!$B$13,'Process'!BV2=1),1+('Control Room'!$C$13-1)*EXP(-0.5*(($A98-'Control Room'!$A$13-('Control Room'!$B$13-1)/2)/MAX(0.5,'Control Room'!$B$13/4))^2),1)*IF(AND($A98&gt;='Control Room'!$A$14,$A98&lt;'Control Room'!$A$14+'Control Room'!$B$14,'Process'!BV3=1),1+('Control Room'!$C$14-1)*EXP(-0.5*(($A98-'Control Room'!$A$14-('Control Room'!$B$14-1)/2)/MAX(0.5,'Control Room'!$B$14/4))^2),1)*IF(AND($A98&gt;='Control Room'!$A$15,$A98&lt;'Control Room'!$A$15+'Control Room'!$B$15,'Process'!BV4=1),1+('Control Room'!$C$15-1)*EXP(-0.5*(($A98-'Control Room'!$A$15-('Control Room'!$B$15-1)/2)/MAX(0.5,'Control Room'!$B$15/4))^2),1)*IF(AND($A98&gt;='Control Room'!$A$16,$A98&lt;'Control Room'!$A$16+'Control Room'!$B$16,'Process'!BV5=1),1+('Control Room'!$C$16-1)*EXP(-0.5*(($A98-'Control Room'!$A$16-('Control Room'!$B$16-1)/2)/MAX(0.5,'Control Room'!$B$16/4))^2),1)</x:f>
        <x:v>1</x:v>
      </x:c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Z98" t="str">
        <x:f>IF('Data'!A98="","",TEXT('Data'!A98,"mm-dd"))</x:f>
        <x:v>02-06</x:v>
      </x:c>
    </x:row>
    <x:row r="99" ht="21" customHeight="1">
      <x:c r="A99" s="15" t="n">
        <x:f>'Control Room'!$B$1+97</x:f>
        <x:v>73088</x:v>
      </x:c>
      <x:c r="B99" s="9" t="n">
        <x:f>MOD(C98*16807,2147483647)</x:f>
        <x:v>1036606945</x:v>
      </x:c>
      <x:c r="C99" s="9" t="n">
        <x:f>MOD(B99*16807,2147483647)</x:f>
        <x:v>1865580151</x:v>
      </x:c>
      <x:c r="D99" s="17" t="n">
        <x:f>IF('Control Room'!$B$5="Normal",'Control Room'!$B$7+'Control Room'!$D$7*SQRT(-2*LN(MAX(0.000000000001,B99/2147483647)))*COS(2*PI()*C99/2147483647),'Control Room'!$B$8+('Control Room'!$D$8-'Control Room'!$B$8)*B99/2147483647)</x:f>
        <x:v>1073.723248492573</x:v>
      </x:c>
      <x:c r="E99" s="17" t="n">
        <x:f>IF('Control Room'!$B$5="Normal",'Control Room'!$B$7,('Control Room'!$B$8+'Control Room'!$D$8)/2)+'Control Room'!$B$9*(E98-IF('Control Room'!$B$5="Normal",'Control Room'!$B$7,('Control Room'!$B$8+'Control Room'!$D$8)/2))+SQRT(1-'Control Room'!$B$9^2)*(D99-IF('Control Room'!$B$5="Normal",'Control Room'!$B$7,('Control Room'!$B$8+'Control Room'!$D$8)/2))</x:f>
        <x:v>1005.4867268649439</x:v>
      </x:c>
      <x:c r="F99" s="17" t="n">
        <x:f>IF(AND($A99&gt;='Control Room'!$A$13,$A99&lt;'Control Room'!$A$13+'Control Room'!$B$13,'Process'!BK2=1),1+('Control Room'!$C$13-1)*EXP(-0.5*(($A99-'Control Room'!$A$13-('Control Room'!$B$13-1)/2)/MAX(0.5,'Control Room'!$B$13/4))^2),1)*IF(AND($A99&gt;='Control Room'!$A$14,$A99&lt;'Control Room'!$A$14+'Control Room'!$B$14,'Process'!BK3=1),1+('Control Room'!$C$14-1)*EXP(-0.5*(($A99-'Control Room'!$A$14-('Control Room'!$B$14-1)/2)/MAX(0.5,'Control Room'!$B$14/4))^2),1)*IF(AND($A99&gt;='Control Room'!$A$15,$A99&lt;'Control Room'!$A$15+'Control Room'!$B$15,'Process'!BK4=1),1+('Control Room'!$C$15-1)*EXP(-0.5*(($A99-'Control Room'!$A$15-('Control Room'!$B$15-1)/2)/MAX(0.5,'Control Room'!$B$15/4))^2),1)*IF(AND($A99&gt;='Control Room'!$A$16,$A99&lt;'Control Room'!$A$16+'Control Room'!$B$16,'Process'!BK5=1),1+('Control Room'!$C$16-1)*EXP(-0.5*(($A99-'Control Room'!$A$16-('Control Room'!$B$16-1)/2)/MAX(0.5,'Control Room'!$B$16/4))^2),1)</x:f>
        <x:v>1</x:v>
      </x:c>
      <x:c r="G99" s="9" t="n">
        <x:f>MOD(H98*16807,2147483647)</x:f>
        <x:v>472418697</x:v>
      </x:c>
      <x:c r="H99" s="9" t="n">
        <x:f>MOD(G99*16807,2147483647)</x:f>
        <x:v>693997520</x:v>
      </x:c>
      <x:c r="I99" s="17" t="n">
        <x:f>IF('Control Room'!$B$5="Normal",'Control Room'!$B$7+'Control Room'!$D$7*SQRT(-2*LN(MAX(0.000000000001,G99/2147483647)))*COS(2*PI()*H99/2147483647),'Control Room'!$B$8+('Control Room'!$D$8-'Control Room'!$B$8)*G99/2147483647)</x:f>
        <x:v>930.50721045842</x:v>
      </x:c>
      <x:c r="J99" s="17" t="n">
        <x:f>IF('Control Room'!$B$5="Normal",'Control Room'!$B$7,('Control Room'!$B$8+'Control Room'!$D$8)/2)+'Control Room'!$B$9*(J98-IF('Control Room'!$B$5="Normal",'Control Room'!$B$7,('Control Room'!$B$8+'Control Room'!$D$8)/2))+SQRT(1-'Control Room'!$B$9^2)*(I99-IF('Control Room'!$B$5="Normal",'Control Room'!$B$7,('Control Room'!$B$8+'Control Room'!$D$8)/2))</x:f>
        <x:v>1025.8346040914453</x:v>
      </x:c>
      <x:c r="K99" s="17" t="n">
        <x:f>IF(AND($A99&gt;='Control Room'!$A$13,$A99&lt;'Control Room'!$A$13+'Control Room'!$B$13,'Process'!BL2=1),1+('Control Room'!$C$13-1)*EXP(-0.5*(($A99-'Control Room'!$A$13-('Control Room'!$B$13-1)/2)/MAX(0.5,'Control Room'!$B$13/4))^2),1)*IF(AND($A99&gt;='Control Room'!$A$14,$A99&lt;'Control Room'!$A$14+'Control Room'!$B$14,'Process'!BL3=1),1+('Control Room'!$C$14-1)*EXP(-0.5*(($A99-'Control Room'!$A$14-('Control Room'!$B$14-1)/2)/MAX(0.5,'Control Room'!$B$14/4))^2),1)*IF(AND($A99&gt;='Control Room'!$A$15,$A99&lt;'Control Room'!$A$15+'Control Room'!$B$15,'Process'!BL4=1),1+('Control Room'!$C$15-1)*EXP(-0.5*(($A99-'Control Room'!$A$15-('Control Room'!$B$15-1)/2)/MAX(0.5,'Control Room'!$B$15/4))^2),1)*IF(AND($A99&gt;='Control Room'!$A$16,$A99&lt;'Control Room'!$A$16+'Control Room'!$B$16,'Process'!BL5=1),1+('Control Room'!$C$16-1)*EXP(-0.5*(($A99-'Control Room'!$A$16-('Control Room'!$B$16-1)/2)/MAX(0.5,'Control Room'!$B$16/4))^2),1)</x:f>
        <x:v>1</x:v>
      </x:c>
      <x:c r="L99" s="9" t="n">
        <x:f>MOD(M98*16807,2147483647)</x:f>
        <x:v>2055714096</x:v>
      </x:c>
      <x:c r="M99" s="9" t="n">
        <x:f>MOD(L99*16807,2147483647)</x:f>
        <x:v>1669898536</x:v>
      </x:c>
      <x:c r="N99" s="17" t="n">
        <x:f>IF('Control Room'!$B$5="Normal",'Control Room'!$B$7+'Control Room'!$D$7*SQRT(-2*LN(MAX(0.000000000001,L99/2147483647)))*COS(2*PI()*M99/2147483647),'Control Room'!$B$8+('Control Room'!$D$8-'Control Room'!$B$8)*L99/2147483647)</x:f>
        <x:v>1004.5907858111782</x:v>
      </x:c>
      <x:c r="O99" s="17" t="n">
        <x:f>IF('Control Room'!$B$5="Normal",'Control Room'!$B$7,('Control Room'!$B$8+'Control Room'!$D$8)/2)+'Control Room'!$B$9*(O98-IF('Control Room'!$B$5="Normal",'Control Room'!$B$7,('Control Room'!$B$8+'Control Room'!$D$8)/2))+SQRT(1-'Control Room'!$B$9^2)*(N99-IF('Control Room'!$B$5="Normal",'Control Room'!$B$7,('Control Room'!$B$8+'Control Room'!$D$8)/2))</x:f>
        <x:v>971.2280305966405</x:v>
      </x:c>
      <x:c r="P99" s="17" t="n">
        <x:f>IF(AND($A99&gt;='Control Room'!$A$13,$A99&lt;'Control Room'!$A$13+'Control Room'!$B$13,'Process'!BM2=1),1+('Control Room'!$C$13-1)*EXP(-0.5*(($A99-'Control Room'!$A$13-('Control Room'!$B$13-1)/2)/MAX(0.5,'Control Room'!$B$13/4))^2),1)*IF(AND($A99&gt;='Control Room'!$A$14,$A99&lt;'Control Room'!$A$14+'Control Room'!$B$14,'Process'!BM3=1),1+('Control Room'!$C$14-1)*EXP(-0.5*(($A99-'Control Room'!$A$14-('Control Room'!$B$14-1)/2)/MAX(0.5,'Control Room'!$B$14/4))^2),1)*IF(AND($A99&gt;='Control Room'!$A$15,$A99&lt;'Control Room'!$A$15+'Control Room'!$B$15,'Process'!BM4=1),1+('Control Room'!$C$15-1)*EXP(-0.5*(($A99-'Control Room'!$A$15-('Control Room'!$B$15-1)/2)/MAX(0.5,'Control Room'!$B$15/4))^2),1)*IF(AND($A99&gt;='Control Room'!$A$16,$A99&lt;'Control Room'!$A$16+'Control Room'!$B$16,'Process'!BM5=1),1+('Control Room'!$C$16-1)*EXP(-0.5*(($A99-'Control Room'!$A$16-('Control Room'!$B$16-1)/2)/MAX(0.5,'Control Room'!$B$16/4))^2),1)</x:f>
        <x:v>1</x:v>
      </x:c>
      <x:c r="Q99" s="9" t="n">
        <x:f>MOD(R98*16807,2147483647)</x:f>
        <x:v>1491525848</x:v>
      </x:c>
      <x:c r="R99" s="9" t="n">
        <x:f>MOD(Q99*16807,2147483647)</x:f>
        <x:v>498315905</x:v>
      </x:c>
      <x:c r="S99" s="17" t="n">
        <x:f>IF('Control Room'!$B$5="Normal",'Control Room'!$B$7+'Control Room'!$D$7*SQRT(-2*LN(MAX(0.000000000001,Q99/2147483647)))*COS(2*PI()*R99/2147483647),'Control Room'!$B$8+('Control Room'!$D$8-'Control Room'!$B$8)*Q99/2147483647)</x:f>
        <x:v>1008.649955437807</x:v>
      </x:c>
      <x:c r="T99" s="17" t="n">
        <x:f>IF('Control Room'!$B$5="Normal",'Control Room'!$B$7,('Control Room'!$B$8+'Control Room'!$D$8)/2)+'Control Room'!$B$9*(T98-IF('Control Room'!$B$5="Normal",'Control Room'!$B$7,('Control Room'!$B$8+'Control Room'!$D$8)/2))+SQRT(1-'Control Room'!$B$9^2)*(S99-IF('Control Room'!$B$5="Normal",'Control Room'!$B$7,('Control Room'!$B$8+'Control Room'!$D$8)/2))</x:f>
        <x:v>1097.7733544055632</x:v>
      </x:c>
      <x:c r="U99" s="17" t="n">
        <x:f>IF(AND($A99&gt;='Control Room'!$A$13,$A99&lt;'Control Room'!$A$13+'Control Room'!$B$13,'Process'!BN2=1),1+('Control Room'!$C$13-1)*EXP(-0.5*(($A99-'Control Room'!$A$13-('Control Room'!$B$13-1)/2)/MAX(0.5,'Control Room'!$B$13/4))^2),1)*IF(AND($A99&gt;='Control Room'!$A$14,$A99&lt;'Control Room'!$A$14+'Control Room'!$B$14,'Process'!BN3=1),1+('Control Room'!$C$14-1)*EXP(-0.5*(($A99-'Control Room'!$A$14-('Control Room'!$B$14-1)/2)/MAX(0.5,'Control Room'!$B$14/4))^2),1)*IF(AND($A99&gt;='Control Room'!$A$15,$A99&lt;'Control Room'!$A$15+'Control Room'!$B$15,'Process'!BN4=1),1+('Control Room'!$C$15-1)*EXP(-0.5*(($A99-'Control Room'!$A$15-('Control Room'!$B$15-1)/2)/MAX(0.5,'Control Room'!$B$15/4))^2),1)*IF(AND($A99&gt;='Control Room'!$A$16,$A99&lt;'Control Room'!$A$16+'Control Room'!$B$16,'Process'!BN5=1),1+('Control Room'!$C$16-1)*EXP(-0.5*(($A99-'Control Room'!$A$16-('Control Room'!$B$16-1)/2)/MAX(0.5,'Control Room'!$B$16/4))^2),1)</x:f>
        <x:v>1</x:v>
      </x:c>
      <x:c r="V99" s="9" t="n">
        <x:f>MOD(W98*16807,2147483647)</x:f>
        <x:v>927337600</x:v>
      </x:c>
      <x:c r="W99" s="9" t="n">
        <x:f>MOD(V99*16807,2147483647)</x:f>
        <x:v>1474216921</x:v>
      </x:c>
      <x:c r="X99" s="17" t="n">
        <x:f>IF('Control Room'!$B$5="Normal",'Control Room'!$B$7+'Control Room'!$D$7*SQRT(-2*LN(MAX(0.000000000001,V99/2147483647)))*COS(2*PI()*W99/2147483647),'Control Room'!$B$8+('Control Room'!$D$8-'Control Room'!$B$8)*V99/2147483647)</x:f>
        <x:v>954.679969694593</x:v>
      </x:c>
      <x:c r="Y99" s="17" t="n">
        <x:f>IF('Control Room'!$B$5="Normal",'Control Room'!$B$7,('Control Room'!$B$8+'Control Room'!$D$8)/2)+'Control Room'!$B$9*(Y98-IF('Control Room'!$B$5="Normal",'Control Room'!$B$7,('Control Room'!$B$8+'Control Room'!$D$8)/2))+SQRT(1-'Control Room'!$B$9^2)*(X99-IF('Control Room'!$B$5="Normal",'Control Room'!$B$7,('Control Room'!$B$8+'Control Room'!$D$8)/2))</x:f>
        <x:v>922.5311927742478</x:v>
      </x:c>
      <x:c r="Z99" s="17" t="n">
        <x:f>IF(AND($A99&gt;='Control Room'!$A$13,$A99&lt;'Control Room'!$A$13+'Control Room'!$B$13,'Process'!BO2=1),1+('Control Room'!$C$13-1)*EXP(-0.5*(($A99-'Control Room'!$A$13-('Control Room'!$B$13-1)/2)/MAX(0.5,'Control Room'!$B$13/4))^2),1)*IF(AND($A99&gt;='Control Room'!$A$14,$A99&lt;'Control Room'!$A$14+'Control Room'!$B$14,'Process'!BO3=1),1+('Control Room'!$C$14-1)*EXP(-0.5*(($A99-'Control Room'!$A$14-('Control Room'!$B$14-1)/2)/MAX(0.5,'Control Room'!$B$14/4))^2),1)*IF(AND($A99&gt;='Control Room'!$A$15,$A99&lt;'Control Room'!$A$15+'Control Room'!$B$15,'Process'!BO4=1),1+('Control Room'!$C$15-1)*EXP(-0.5*(($A99-'Control Room'!$A$15-('Control Room'!$B$15-1)/2)/MAX(0.5,'Control Room'!$B$15/4))^2),1)*IF(AND($A99&gt;='Control Room'!$A$16,$A99&lt;'Control Room'!$A$16+'Control Room'!$B$16,'Process'!BO5=1),1+('Control Room'!$C$16-1)*EXP(-0.5*(($A99-'Control Room'!$A$16-('Control Room'!$B$16-1)/2)/MAX(0.5,'Control Room'!$B$16/4))^2),1)</x:f>
        <x:v>1</x:v>
      </x:c>
      <x:c r="AA99" s="9" t="n">
        <x:f>MOD(AB98*16807,2147483647)</x:f>
        <x:v>363149352</x:v>
      </x:c>
      <x:c r="AB99" s="9" t="n">
        <x:f>MOD(AA99*16807,2147483647)</x:f>
        <x:v>302634290</x:v>
      </x:c>
      <x:c r="AC99" s="17" t="n">
        <x:f>IF('Control Room'!$B$5="Normal",'Control Room'!$B$7+'Control Room'!$D$7*SQRT(-2*LN(MAX(0.000000000001,AA99/2147483647)))*COS(2*PI()*AB99/2147483647),'Control Room'!$B$8+('Control Room'!$D$8-'Control Room'!$B$8)*AA99/2147483647)</x:f>
        <x:v>1107.3962701337227</x:v>
      </x:c>
      <x:c r="AD99" s="17" t="n">
        <x:f>IF('Control Room'!$B$5="Normal",'Control Room'!$B$7,('Control Room'!$B$8+'Control Room'!$D$8)/2)+'Control Room'!$B$9*(AD98-IF('Control Room'!$B$5="Normal",'Control Room'!$B$7,('Control Room'!$B$8+'Control Room'!$D$8)/2))+SQRT(1-'Control Room'!$B$9^2)*(AC99-IF('Control Room'!$B$5="Normal",'Control Room'!$B$7,('Control Room'!$B$8+'Control Room'!$D$8)/2))</x:f>
        <x:v>1076.16164737729</x:v>
      </x:c>
      <x:c r="AE99" s="17" t="n">
        <x:f>IF(AND($A99&gt;='Control Room'!$A$13,$A99&lt;'Control Room'!$A$13+'Control Room'!$B$13,'Process'!BP2=1),1+('Control Room'!$C$13-1)*EXP(-0.5*(($A99-'Control Room'!$A$13-('Control Room'!$B$13-1)/2)/MAX(0.5,'Control Room'!$B$13/4))^2),1)*IF(AND($A99&gt;='Control Room'!$A$14,$A99&lt;'Control Room'!$A$14+'Control Room'!$B$14,'Process'!BP3=1),1+('Control Room'!$C$14-1)*EXP(-0.5*(($A99-'Control Room'!$A$14-('Control Room'!$B$14-1)/2)/MAX(0.5,'Control Room'!$B$14/4))^2),1)*IF(AND($A99&gt;='Control Room'!$A$15,$A99&lt;'Control Room'!$A$15+'Control Room'!$B$15,'Process'!BP4=1),1+('Control Room'!$C$15-1)*EXP(-0.5*(($A99-'Control Room'!$A$15-('Control Room'!$B$15-1)/2)/MAX(0.5,'Control Room'!$B$15/4))^2),1)*IF(AND($A99&gt;='Control Room'!$A$16,$A99&lt;'Control Room'!$A$16+'Control Room'!$B$16,'Process'!BP5=1),1+('Control Room'!$C$16-1)*EXP(-0.5*(($A99-'Control Room'!$A$16-('Control Room'!$B$16-1)/2)/MAX(0.5,'Control Room'!$B$16/4))^2),1)</x:f>
        <x:v>1</x:v>
      </x:c>
      <x:c r="AF99" s="9" t="n">
        <x:f>MOD(AG98*16807,2147483647)</x:f>
        <x:v>1946444751</x:v>
      </x:c>
      <x:c r="AG99" s="9" t="n">
        <x:f>MOD(AF99*16807,2147483647)</x:f>
        <x:v>1278535306</x:v>
      </x:c>
      <x:c r="AH99" s="17" t="n">
        <x:f>IF('Control Room'!$B$5="Normal",'Control Room'!$B$7+'Control Room'!$D$7*SQRT(-2*LN(MAX(0.000000000001,AF99/2147483647)))*COS(2*PI()*AG99/2147483647),'Control Room'!$B$8+('Control Room'!$D$8-'Control Room'!$B$8)*AF99/2147483647)</x:f>
        <x:v>967.0475617280542</x:v>
      </x:c>
      <x:c r="AI99" s="17" t="n">
        <x:f>IF('Control Room'!$B$5="Normal",'Control Room'!$B$7,('Control Room'!$B$8+'Control Room'!$D$8)/2)+'Control Room'!$B$9*(AI98-IF('Control Room'!$B$5="Normal",'Control Room'!$B$7,('Control Room'!$B$8+'Control Room'!$D$8)/2))+SQRT(1-'Control Room'!$B$9^2)*(AH99-IF('Control Room'!$B$5="Normal",'Control Room'!$B$7,('Control Room'!$B$8+'Control Room'!$D$8)/2))</x:f>
        <x:v>1043.3957546920208</x:v>
      </x:c>
      <x:c r="AJ99" s="17" t="n">
        <x:f>IF(AND($A99&gt;='Control Room'!$A$13,$A99&lt;'Control Room'!$A$13+'Control Room'!$B$13,'Process'!BQ2=1),1+('Control Room'!$C$13-1)*EXP(-0.5*(($A99-'Control Room'!$A$13-('Control Room'!$B$13-1)/2)/MAX(0.5,'Control Room'!$B$13/4))^2),1)*IF(AND($A99&gt;='Control Room'!$A$14,$A99&lt;'Control Room'!$A$14+'Control Room'!$B$14,'Process'!BQ3=1),1+('Control Room'!$C$14-1)*EXP(-0.5*(($A99-'Control Room'!$A$14-('Control Room'!$B$14-1)/2)/MAX(0.5,'Control Room'!$B$14/4))^2),1)*IF(AND($A99&gt;='Control Room'!$A$15,$A99&lt;'Control Room'!$A$15+'Control Room'!$B$15,'Process'!BQ4=1),1+('Control Room'!$C$15-1)*EXP(-0.5*(($A99-'Control Room'!$A$15-('Control Room'!$B$15-1)/2)/MAX(0.5,'Control Room'!$B$15/4))^2),1)*IF(AND($A99&gt;='Control Room'!$A$16,$A99&lt;'Control Room'!$A$16+'Control Room'!$B$16,'Process'!BQ5=1),1+('Control Room'!$C$16-1)*EXP(-0.5*(($A99-'Control Room'!$A$16-('Control Room'!$B$16-1)/2)/MAX(0.5,'Control Room'!$B$16/4))^2),1)</x:f>
        <x:v>1</x:v>
      </x:c>
      <x:c r="AK99" s="9" t="n">
        <x:f>MOD(AL98*16807,2147483647)</x:f>
        <x:v>1382256503</x:v>
      </x:c>
      <x:c r="AL99" s="9" t="n">
        <x:f>MOD(AK99*16807,2147483647)</x:f>
        <x:v>106952675</x:v>
      </x:c>
      <x:c r="AM99" s="17" t="n">
        <x:f>IF('Control Room'!$B$5="Normal",'Control Room'!$B$7+'Control Room'!$D$7*SQRT(-2*LN(MAX(0.000000000001,AK99/2147483647)))*COS(2*PI()*AL99/2147483647),'Control Room'!$B$8+('Control Room'!$D$8-'Control Room'!$B$8)*AK99/2147483647)</x:f>
        <x:v>1080.3802980254902</x:v>
      </x:c>
      <x:c r="AN99" s="17" t="n">
        <x:f>IF('Control Room'!$B$5="Normal",'Control Room'!$B$7,('Control Room'!$B$8+'Control Room'!$D$8)/2)+'Control Room'!$B$9*(AN98-IF('Control Room'!$B$5="Normal",'Control Room'!$B$7,('Control Room'!$B$8+'Control Room'!$D$8)/2))+SQRT(1-'Control Room'!$B$9^2)*(AM99-IF('Control Room'!$B$5="Normal",'Control Room'!$B$7,('Control Room'!$B$8+'Control Room'!$D$8)/2))</x:f>
        <x:v>1022.7092945513164</x:v>
      </x:c>
      <x:c r="AO99" s="17" t="n">
        <x:f>IF(AND($A99&gt;='Control Room'!$A$13,$A99&lt;'Control Room'!$A$13+'Control Room'!$B$13,'Process'!BR2=1),1+('Control Room'!$C$13-1)*EXP(-0.5*(($A99-'Control Room'!$A$13-('Control Room'!$B$13-1)/2)/MAX(0.5,'Control Room'!$B$13/4))^2),1)*IF(AND($A99&gt;='Control Room'!$A$14,$A99&lt;'Control Room'!$A$14+'Control Room'!$B$14,'Process'!BR3=1),1+('Control Room'!$C$14-1)*EXP(-0.5*(($A99-'Control Room'!$A$14-('Control Room'!$B$14-1)/2)/MAX(0.5,'Control Room'!$B$14/4))^2),1)*IF(AND($A99&gt;='Control Room'!$A$15,$A99&lt;'Control Room'!$A$15+'Control Room'!$B$15,'Process'!BR4=1),1+('Control Room'!$C$15-1)*EXP(-0.5*(($A99-'Control Room'!$A$15-('Control Room'!$B$15-1)/2)/MAX(0.5,'Control Room'!$B$15/4))^2),1)*IF(AND($A99&gt;='Control Room'!$A$16,$A99&lt;'Control Room'!$A$16+'Control Room'!$B$16,'Process'!BR5=1),1+('Control Room'!$C$16-1)*EXP(-0.5*(($A99-'Control Room'!$A$16-('Control Room'!$B$16-1)/2)/MAX(0.5,'Control Room'!$B$16/4))^2),1)</x:f>
        <x:v>1</x:v>
      </x:c>
      <x:c r="AP99" s="9" t="n">
        <x:f>MOD(AQ98*16807,2147483647)</x:f>
        <x:v>818068255</x:v>
      </x:c>
      <x:c r="AQ99" s="9" t="n">
        <x:f>MOD(AP99*16807,2147483647)</x:f>
        <x:v>1082853691</x:v>
      </x:c>
      <x:c r="AR99" s="17" t="n">
        <x:f>IF('Control Room'!$B$5="Normal",'Control Room'!$B$7+'Control Room'!$D$7*SQRT(-2*LN(MAX(0.000000000001,AP99/2147483647)))*COS(2*PI()*AQ99/2147483647),'Control Room'!$B$8+('Control Room'!$D$8-'Control Room'!$B$8)*AP99/2147483647)</x:f>
        <x:v>875.0055529561366</x:v>
      </x:c>
      <x:c r="AS99" s="17" t="n">
        <x:f>IF('Control Room'!$B$5="Normal",'Control Room'!$B$7,('Control Room'!$B$8+'Control Room'!$D$8)/2)+'Control Room'!$B$9*(AS98-IF('Control Room'!$B$5="Normal",'Control Room'!$B$7,('Control Room'!$B$8+'Control Room'!$D$8)/2))+SQRT(1-'Control Room'!$B$9^2)*(AR99-IF('Control Room'!$B$5="Normal",'Control Room'!$B$7,('Control Room'!$B$8+'Control Room'!$D$8)/2))</x:f>
        <x:v>926.4385544547762</x:v>
      </x:c>
      <x:c r="AT99" s="17" t="n">
        <x:f>IF(AND($A99&gt;='Control Room'!$A$13,$A99&lt;'Control Room'!$A$13+'Control Room'!$B$13,'Process'!BS2=1),1+('Control Room'!$C$13-1)*EXP(-0.5*(($A99-'Control Room'!$A$13-('Control Room'!$B$13-1)/2)/MAX(0.5,'Control Room'!$B$13/4))^2),1)*IF(AND($A99&gt;='Control Room'!$A$14,$A99&lt;'Control Room'!$A$14+'Control Room'!$B$14,'Process'!BS3=1),1+('Control Room'!$C$14-1)*EXP(-0.5*(($A99-'Control Room'!$A$14-('Control Room'!$B$14-1)/2)/MAX(0.5,'Control Room'!$B$14/4))^2),1)*IF(AND($A99&gt;='Control Room'!$A$15,$A99&lt;'Control Room'!$A$15+'Control Room'!$B$15,'Process'!BS4=1),1+('Control Room'!$C$15-1)*EXP(-0.5*(($A99-'Control Room'!$A$15-('Control Room'!$B$15-1)/2)/MAX(0.5,'Control Room'!$B$15/4))^2),1)*IF(AND($A99&gt;='Control Room'!$A$16,$A99&lt;'Control Room'!$A$16+'Control Room'!$B$16,'Process'!BS5=1),1+('Control Room'!$C$16-1)*EXP(-0.5*(($A99-'Control Room'!$A$16-('Control Room'!$B$16-1)/2)/MAX(0.5,'Control Room'!$B$16/4))^2),1)</x:f>
        <x:v>1</x:v>
      </x:c>
      <x:c r="AU99" s="9" t="n">
        <x:f>MOD(AV98*16807,2147483647)</x:f>
        <x:v>253880007</x:v>
      </x:c>
      <x:c r="AV99" s="9" t="n">
        <x:f>MOD(AU99*16807,2147483647)</x:f>
        <x:v>2058754707</x:v>
      </x:c>
      <x:c r="AW99" s="17" t="n">
        <x:f>IF('Control Room'!$B$5="Normal",'Control Room'!$B$7+'Control Room'!$D$7*SQRT(-2*LN(MAX(0.000000000001,AU99/2147483647)))*COS(2*PI()*AV99/2147483647),'Control Room'!$B$8+('Control Room'!$D$8-'Control Room'!$B$8)*AU99/2147483647)</x:f>
        <x:v>1179.751971511398</x:v>
      </x:c>
      <x:c r="AX99" s="17" t="n">
        <x:f>IF('Control Room'!$B$5="Normal",'Control Room'!$B$7,('Control Room'!$B$8+'Control Room'!$D$8)/2)+'Control Room'!$B$9*(AX98-IF('Control Room'!$B$5="Normal",'Control Room'!$B$7,('Control Room'!$B$8+'Control Room'!$D$8)/2))+SQRT(1-'Control Room'!$B$9^2)*(AW99-IF('Control Room'!$B$5="Normal",'Control Room'!$B$7,('Control Room'!$B$8+'Control Room'!$D$8)/2))</x:f>
        <x:v>1122.883040545256</x:v>
      </x:c>
      <x:c r="AY99" s="17" t="n">
        <x:f>IF(AND($A99&gt;='Control Room'!$A$13,$A99&lt;'Control Room'!$A$13+'Control Room'!$B$13,'Process'!BT2=1),1+('Control Room'!$C$13-1)*EXP(-0.5*(($A99-'Control Room'!$A$13-('Control Room'!$B$13-1)/2)/MAX(0.5,'Control Room'!$B$13/4))^2),1)*IF(AND($A99&gt;='Control Room'!$A$14,$A99&lt;'Control Room'!$A$14+'Control Room'!$B$14,'Process'!BT3=1),1+('Control Room'!$C$14-1)*EXP(-0.5*(($A99-'Control Room'!$A$14-('Control Room'!$B$14-1)/2)/MAX(0.5,'Control Room'!$B$14/4))^2),1)*IF(AND($A99&gt;='Control Room'!$A$15,$A99&lt;'Control Room'!$A$15+'Control Room'!$B$15,'Process'!BT4=1),1+('Control Room'!$C$15-1)*EXP(-0.5*(($A99-'Control Room'!$A$15-('Control Room'!$B$15-1)/2)/MAX(0.5,'Control Room'!$B$15/4))^2),1)*IF(AND($A99&gt;='Control Room'!$A$16,$A99&lt;'Control Room'!$A$16+'Control Room'!$B$16,'Process'!BT5=1),1+('Control Room'!$C$16-1)*EXP(-0.5*(($A99-'Control Room'!$A$16-('Control Room'!$B$16-1)/2)/MAX(0.5,'Control Room'!$B$16/4))^2),1)</x:f>
        <x:v>1</x:v>
      </x:c>
      <x:c r="AZ99" s="9" t="n">
        <x:f>MOD(BA98*16807,2147483647)</x:f>
        <x:v>1837175406</x:v>
      </x:c>
      <x:c r="BA99" s="9" t="n">
        <x:f>MOD(AZ99*16807,2147483647)</x:f>
        <x:v>887172076</x:v>
      </x:c>
      <x:c r="BB99" s="17" t="n">
        <x:f>IF('Control Room'!$B$5="Normal",'Control Room'!$B$7+'Control Room'!$D$7*SQRT(-2*LN(MAX(0.000000000001,AZ99/2147483647)))*COS(2*PI()*BA99/2147483647),'Control Room'!$B$8+('Control Room'!$D$8-'Control Room'!$B$8)*AZ99/2147483647)</x:f>
        <x:v>957.025134730827</x:v>
      </x:c>
      <x:c r="BC99" s="17" t="n">
        <x:f>IF('Control Room'!$B$5="Normal",'Control Room'!$B$7,('Control Room'!$B$8+'Control Room'!$D$8)/2)+'Control Room'!$B$9*(BC98-IF('Control Room'!$B$5="Normal",'Control Room'!$B$7,('Control Room'!$B$8+'Control Room'!$D$8)/2))+SQRT(1-'Control Room'!$B$9^2)*(BB99-IF('Control Room'!$B$5="Normal",'Control Room'!$B$7,('Control Room'!$B$8+'Control Room'!$D$8)/2))</x:f>
        <x:v>945.1303370582272</x:v>
      </x:c>
      <x:c r="BD99" s="17" t="n">
        <x:f>IF(AND($A99&gt;='Control Room'!$A$13,$A99&lt;'Control Room'!$A$13+'Control Room'!$B$13,'Process'!BU2=1),1+('Control Room'!$C$13-1)*EXP(-0.5*(($A99-'Control Room'!$A$13-('Control Room'!$B$13-1)/2)/MAX(0.5,'Control Room'!$B$13/4))^2),1)*IF(AND($A99&gt;='Control Room'!$A$14,$A99&lt;'Control Room'!$A$14+'Control Room'!$B$14,'Process'!BU3=1),1+('Control Room'!$C$14-1)*EXP(-0.5*(($A99-'Control Room'!$A$14-('Control Room'!$B$14-1)/2)/MAX(0.5,'Control Room'!$B$14/4))^2),1)*IF(AND($A99&gt;='Control Room'!$A$15,$A99&lt;'Control Room'!$A$15+'Control Room'!$B$15,'Process'!BU4=1),1+('Control Room'!$C$15-1)*EXP(-0.5*(($A99-'Control Room'!$A$15-('Control Room'!$B$15-1)/2)/MAX(0.5,'Control Room'!$B$15/4))^2),1)*IF(AND($A99&gt;='Control Room'!$A$16,$A99&lt;'Control Room'!$A$16+'Control Room'!$B$16,'Process'!BU5=1),1+('Control Room'!$C$16-1)*EXP(-0.5*(($A99-'Control Room'!$A$16-('Control Room'!$B$16-1)/2)/MAX(0.5,'Control Room'!$B$16/4))^2),1)</x:f>
        <x:v>1</x:v>
      </x:c>
      <x:c r="BE99" s="9" t="n">
        <x:f>MOD(BF98*16807,2147483647)</x:f>
        <x:v>1272987158</x:v>
      </x:c>
      <x:c r="BF99" s="9" t="n">
        <x:f>MOD(BE99*16807,2147483647)</x:f>
        <x:v>1863073092</x:v>
      </x:c>
      <x:c r="BG99" s="17" t="n">
        <x:f>IF('Control Room'!$B$5="Normal",'Control Room'!$B$7+'Control Room'!$D$7*SQRT(-2*LN(MAX(0.000000000001,BE99/2147483647)))*COS(2*PI()*BF99/2147483647),'Control Room'!$B$8+('Control Room'!$D$8-'Control Room'!$B$8)*BE99/2147483647)</x:f>
        <x:v>1061.9705783202396</x:v>
      </x:c>
      <x:c r="BH99" s="17" t="n">
        <x:f>IF('Control Room'!$B$5="Normal",'Control Room'!$B$7,('Control Room'!$B$8+'Control Room'!$D$8)/2)+'Control Room'!$B$9*(BH98-IF('Control Room'!$B$5="Normal",'Control Room'!$B$7,('Control Room'!$B$8+'Control Room'!$D$8)/2))+SQRT(1-'Control Room'!$B$9^2)*(BG99-IF('Control Room'!$B$5="Normal",'Control Room'!$B$7,('Control Room'!$B$8+'Control Room'!$D$8)/2))</x:f>
        <x:v>1130.248746438164</x:v>
      </x:c>
      <x:c r="BI99" s="17" t="n">
        <x:f>IF(AND($A99&gt;='Control Room'!$A$13,$A99&lt;'Control Room'!$A$13+'Control Room'!$B$13,'Process'!BV2=1),1+('Control Room'!$C$13-1)*EXP(-0.5*(($A99-'Control Room'!$A$13-('Control Room'!$B$13-1)/2)/MAX(0.5,'Control Room'!$B$13/4))^2),1)*IF(AND($A99&gt;='Control Room'!$A$14,$A99&lt;'Control Room'!$A$14+'Control Room'!$B$14,'Process'!BV3=1),1+('Control Room'!$C$14-1)*EXP(-0.5*(($A99-'Control Room'!$A$14-('Control Room'!$B$14-1)/2)/MAX(0.5,'Control Room'!$B$14/4))^2),1)*IF(AND($A99&gt;='Control Room'!$A$15,$A99&lt;'Control Room'!$A$15+'Control Room'!$B$15,'Process'!BV4=1),1+('Control Room'!$C$15-1)*EXP(-0.5*(($A99-'Control Room'!$A$15-('Control Room'!$B$15-1)/2)/MAX(0.5,'Control Room'!$B$15/4))^2),1)*IF(AND($A99&gt;='Control Room'!$A$16,$A99&lt;'Control Room'!$A$16+'Control Room'!$B$16,'Process'!BV5=1),1+('Control Room'!$C$16-1)*EXP(-0.5*(($A99-'Control Room'!$A$16-('Control Room'!$B$16-1)/2)/MAX(0.5,'Control Room'!$B$16/4))^2),1)</x:f>
        <x:v>1</x:v>
      </x:c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Z99" t="str">
        <x:f>IF('Data'!A99="","",TEXT('Data'!A99,"mm-dd"))</x:f>
        <x:v>02-07</x:v>
      </x:c>
    </x:row>
    <x:row r="100" ht="21" customHeight="1">
      <x:c r="A100" s="15" t="n">
        <x:f>'Control Room'!$B$1+98</x:f>
        <x:v>73089</x:v>
      </x:c>
      <x:c r="B100" s="9" t="n">
        <x:f>MOD(C99*16807,2147483647)</x:f>
        <x:v>1544351657</x:v>
      </x:c>
      <x:c r="C100" s="9" t="n">
        <x:f>MOD(B100*16807,2147483647)</x:f>
        <x:v>1430941557</x:v>
      </x:c>
      <x:c r="D100" s="17" t="n">
        <x:f>IF('Control Room'!$B$5="Normal",'Control Room'!$B$7+'Control Room'!$D$7*SQRT(-2*LN(MAX(0.000000000001,B100/2147483647)))*COS(2*PI()*C100/2147483647),'Control Room'!$B$8+('Control Room'!$D$8-'Control Room'!$B$8)*B100/2147483647)</x:f>
        <x:v>963.3266829722733</x:v>
      </x:c>
      <x:c r="E100" s="17" t="n">
        <x:f>IF('Control Room'!$B$5="Normal",'Control Room'!$B$7,('Control Room'!$B$8+'Control Room'!$D$8)/2)+'Control Room'!$B$9*(E99-IF('Control Room'!$B$5="Normal",'Control Room'!$B$7,('Control Room'!$B$8+'Control Room'!$D$8)/2))+SQRT(1-'Control Room'!$B$9^2)*(D100-IF('Control Room'!$B$5="Normal",'Control Room'!$B$7,('Control Room'!$B$8+'Control Room'!$D$8)/2))</x:f>
        <x:v>981.3302364524405</x:v>
      </x:c>
      <x:c r="F100" s="17" t="n">
        <x:f>IF(AND($A100&gt;='Control Room'!$A$13,$A100&lt;'Control Room'!$A$13+'Control Room'!$B$13,'Process'!BK2=1),1+('Control Room'!$C$13-1)*EXP(-0.5*(($A100-'Control Room'!$A$13-('Control Room'!$B$13-1)/2)/MAX(0.5,'Control Room'!$B$13/4))^2),1)*IF(AND($A100&gt;='Control Room'!$A$14,$A100&lt;'Control Room'!$A$14+'Control Room'!$B$14,'Process'!BK3=1),1+('Control Room'!$C$14-1)*EXP(-0.5*(($A100-'Control Room'!$A$14-('Control Room'!$B$14-1)/2)/MAX(0.5,'Control Room'!$B$14/4))^2),1)*IF(AND($A100&gt;='Control Room'!$A$15,$A100&lt;'Control Room'!$A$15+'Control Room'!$B$15,'Process'!BK4=1),1+('Control Room'!$C$15-1)*EXP(-0.5*(($A100-'Control Room'!$A$15-('Control Room'!$B$15-1)/2)/MAX(0.5,'Control Room'!$B$15/4))^2),1)*IF(AND($A100&gt;='Control Room'!$A$16,$A100&lt;'Control Room'!$A$16+'Control Room'!$B$16,'Process'!BK5=1),1+('Control Room'!$C$16-1)*EXP(-0.5*(($A100-'Control Room'!$A$16-('Control Room'!$B$16-1)/2)/MAX(0.5,'Control Room'!$B$16/4))^2),1)</x:f>
        <x:v>1</x:v>
      </x:c>
      <x:c r="G100" s="9" t="n">
        <x:f>MOD(H99*16807,2147483647)</x:f>
        <x:v>1032631783</x:v>
      </x:c>
      <x:c r="H100" s="9" t="n">
        <x:f>MOD(G100*16807,2147483647)</x:f>
        <x:v>1627025474</x:v>
      </x:c>
      <x:c r="I100" s="17" t="n">
        <x:f>IF('Control Room'!$B$5="Normal",'Control Room'!$B$7+'Control Room'!$D$7*SQRT(-2*LN(MAX(0.000000000001,G100/2147483647)))*COS(2*PI()*H100/2147483647),'Control Room'!$B$8+('Control Room'!$D$8-'Control Room'!$B$8)*G100/2147483647)</x:f>
        <x:v>1005.2279614358758</x:v>
      </x:c>
      <x:c r="J100" s="17" t="n">
        <x:f>IF('Control Room'!$B$5="Normal",'Control Room'!$B$7,('Control Room'!$B$8+'Control Room'!$D$8)/2)+'Control Room'!$B$9*(J99-IF('Control Room'!$B$5="Normal",'Control Room'!$B$7,('Control Room'!$B$8+'Control Room'!$D$8)/2))+SQRT(1-'Control Room'!$B$9^2)*(I100-IF('Control Room'!$B$5="Normal",'Control Room'!$B$7,('Control Room'!$B$8+'Control Room'!$D$8)/2))</x:f>
        <x:v>1023.4225423572869</x:v>
      </x:c>
      <x:c r="K100" s="17" t="n">
        <x:f>IF(AND($A100&gt;='Control Room'!$A$13,$A100&lt;'Control Room'!$A$13+'Control Room'!$B$13,'Process'!BL2=1),1+('Control Room'!$C$13-1)*EXP(-0.5*(($A100-'Control Room'!$A$13-('Control Room'!$B$13-1)/2)/MAX(0.5,'Control Room'!$B$13/4))^2),1)*IF(AND($A100&gt;='Control Room'!$A$14,$A100&lt;'Control Room'!$A$14+'Control Room'!$B$14,'Process'!BL3=1),1+('Control Room'!$C$14-1)*EXP(-0.5*(($A100-'Control Room'!$A$14-('Control Room'!$B$14-1)/2)/MAX(0.5,'Control Room'!$B$14/4))^2),1)*IF(AND($A100&gt;='Control Room'!$A$15,$A100&lt;'Control Room'!$A$15+'Control Room'!$B$15,'Process'!BL4=1),1+('Control Room'!$C$15-1)*EXP(-0.5*(($A100-'Control Room'!$A$15-('Control Room'!$B$15-1)/2)/MAX(0.5,'Control Room'!$B$15/4))^2),1)*IF(AND($A100&gt;='Control Room'!$A$16,$A100&lt;'Control Room'!$A$16+'Control Room'!$B$16,'Process'!BL5=1),1+('Control Room'!$C$16-1)*EXP(-0.5*(($A100-'Control Room'!$A$16-('Control Room'!$B$16-1)/2)/MAX(0.5,'Control Room'!$B$16/4))^2),1)</x:f>
        <x:v>1</x:v>
      </x:c>
      <x:c r="L100" s="9" t="n">
        <x:f>MOD(M99*16807,2147483647)</x:f>
        <x:v>520911909</x:v>
      </x:c>
      <x:c r="M100" s="9" t="n">
        <x:f>MOD(L100*16807,2147483647)</x:f>
        <x:v>1823109391</x:v>
      </x:c>
      <x:c r="N100" s="17" t="n">
        <x:f>IF('Control Room'!$B$5="Normal",'Control Room'!$B$7+'Control Room'!$D$7*SQRT(-2*LN(MAX(0.000000000001,L100/2147483647)))*COS(2*PI()*M100/2147483647),'Control Room'!$B$8+('Control Room'!$D$8-'Control Room'!$B$8)*L100/2147483647)</x:f>
        <x:v>1088.2296416557394</x:v>
      </x:c>
      <x:c r="O100" s="17" t="n">
        <x:f>IF('Control Room'!$B$5="Normal",'Control Room'!$B$7,('Control Room'!$B$8+'Control Room'!$D$8)/2)+'Control Room'!$B$9*(O99-IF('Control Room'!$B$5="Normal",'Control Room'!$B$7,('Control Room'!$B$8+'Control Room'!$D$8)/2))+SQRT(1-'Control Room'!$B$9^2)*(N100-IF('Control Room'!$B$5="Normal",'Control Room'!$B$7,('Control Room'!$B$8+'Control Room'!$D$8)/2))</x:f>
        <x:v>1032.7701661310866</x:v>
      </x:c>
      <x:c r="P100" s="17" t="n">
        <x:f>IF(AND($A100&gt;='Control Room'!$A$13,$A100&lt;'Control Room'!$A$13+'Control Room'!$B$13,'Process'!BM2=1),1+('Control Room'!$C$13-1)*EXP(-0.5*(($A100-'Control Room'!$A$13-('Control Room'!$B$13-1)/2)/MAX(0.5,'Control Room'!$B$13/4))^2),1)*IF(AND($A100&gt;='Control Room'!$A$14,$A100&lt;'Control Room'!$A$14+'Control Room'!$B$14,'Process'!BM3=1),1+('Control Room'!$C$14-1)*EXP(-0.5*(($A100-'Control Room'!$A$14-('Control Room'!$B$14-1)/2)/MAX(0.5,'Control Room'!$B$14/4))^2),1)*IF(AND($A100&gt;='Control Room'!$A$15,$A100&lt;'Control Room'!$A$15+'Control Room'!$B$15,'Process'!BM4=1),1+('Control Room'!$C$15-1)*EXP(-0.5*(($A100-'Control Room'!$A$15-('Control Room'!$B$15-1)/2)/MAX(0.5,'Control Room'!$B$15/4))^2),1)*IF(AND($A100&gt;='Control Room'!$A$16,$A100&lt;'Control Room'!$A$16+'Control Room'!$B$16,'Process'!BM5=1),1+('Control Room'!$C$16-1)*EXP(-0.5*(($A100-'Control Room'!$A$16-('Control Room'!$B$16-1)/2)/MAX(0.5,'Control Room'!$B$16/4))^2),1)</x:f>
        <x:v>1</x:v>
      </x:c>
      <x:c r="Q100" s="9" t="n">
        <x:f>MOD(R99*16807,2147483647)</x:f>
        <x:v>9192035</x:v>
      </x:c>
      <x:c r="R100" s="9" t="n">
        <x:f>MOD(Q100*16807,2147483647)</x:f>
        <x:v>2019193308</x:v>
      </x:c>
      <x:c r="S100" s="17" t="n">
        <x:f>IF('Control Room'!$B$5="Normal",'Control Room'!$B$7+'Control Room'!$D$7*SQRT(-2*LN(MAX(0.000000000001,Q100/2147483647)))*COS(2*PI()*R100/2147483647),'Control Room'!$B$8+('Control Room'!$D$8-'Control Room'!$B$8)*Q100/2147483647)</x:f>
        <x:v>1276.543001072014</x:v>
      </x:c>
      <x:c r="T100" s="17" t="n">
        <x:f>IF('Control Room'!$B$5="Normal",'Control Room'!$B$7,('Control Room'!$B$8+'Control Room'!$D$8)/2)+'Control Room'!$B$9*(T99-IF('Control Room'!$B$5="Normal",'Control Room'!$B$7,('Control Room'!$B$8+'Control Room'!$D$8)/2))+SQRT(1-'Control Room'!$B$9^2)*(S100-IF('Control Room'!$B$5="Normal",'Control Room'!$B$7,('Control Room'!$B$8+'Control Room'!$D$8)/2))</x:f>
        <x:v>1249.3181612158926</x:v>
      </x:c>
      <x:c r="U100" s="17" t="n">
        <x:f>IF(AND($A100&gt;='Control Room'!$A$13,$A100&lt;'Control Room'!$A$13+'Control Room'!$B$13,'Process'!BN2=1),1+('Control Room'!$C$13-1)*EXP(-0.5*(($A100-'Control Room'!$A$13-('Control Room'!$B$13-1)/2)/MAX(0.5,'Control Room'!$B$13/4))^2),1)*IF(AND($A100&gt;='Control Room'!$A$14,$A100&lt;'Control Room'!$A$14+'Control Room'!$B$14,'Process'!BN3=1),1+('Control Room'!$C$14-1)*EXP(-0.5*(($A100-'Control Room'!$A$14-('Control Room'!$B$14-1)/2)/MAX(0.5,'Control Room'!$B$14/4))^2),1)*IF(AND($A100&gt;='Control Room'!$A$15,$A100&lt;'Control Room'!$A$15+'Control Room'!$B$15,'Process'!BN4=1),1+('Control Room'!$C$15-1)*EXP(-0.5*(($A100-'Control Room'!$A$15-('Control Room'!$B$15-1)/2)/MAX(0.5,'Control Room'!$B$15/4))^2),1)*IF(AND($A100&gt;='Control Room'!$A$16,$A100&lt;'Control Room'!$A$16+'Control Room'!$B$16,'Process'!BN5=1),1+('Control Room'!$C$16-1)*EXP(-0.5*(($A100-'Control Room'!$A$16-('Control Room'!$B$16-1)/2)/MAX(0.5,'Control Room'!$B$16/4))^2),1)</x:f>
        <x:v>1</x:v>
      </x:c>
      <x:c r="V100" s="9" t="n">
        <x:f>MOD(W99*16807,2147483647)</x:f>
        <x:v>1644955808</x:v>
      </x:c>
      <x:c r="W100" s="9" t="n">
        <x:f>MOD(V100*16807,2147483647)</x:f>
        <x:v>67793578</x:v>
      </x:c>
      <x:c r="X100" s="17" t="n">
        <x:f>IF('Control Room'!$B$5="Normal",'Control Room'!$B$7+'Control Room'!$D$7*SQRT(-2*LN(MAX(0.000000000001,V100/2147483647)))*COS(2*PI()*W100/2147483647),'Control Room'!$B$8+('Control Room'!$D$8-'Control Room'!$B$8)*V100/2147483647)</x:f>
        <x:v>1064.4278884927664</x:v>
      </x:c>
      <x:c r="Y100" s="17" t="n">
        <x:f>IF('Control Room'!$B$5="Normal",'Control Room'!$B$7,('Control Room'!$B$8+'Control Room'!$D$8)/2)+'Control Room'!$B$9*(Y99-IF('Control Room'!$B$5="Normal",'Control Room'!$B$7,('Control Room'!$B$8+'Control Room'!$D$8)/2))+SQRT(1-'Control Room'!$B$9^2)*(X100-IF('Control Room'!$B$5="Normal",'Control Room'!$B$7,('Control Room'!$B$8+'Control Room'!$D$8)/2))</x:f>
        <x:v>979.891983105649</x:v>
      </x:c>
      <x:c r="Z100" s="17" t="n">
        <x:f>IF(AND($A100&gt;='Control Room'!$A$13,$A100&lt;'Control Room'!$A$13+'Control Room'!$B$13,'Process'!BO2=1),1+('Control Room'!$C$13-1)*EXP(-0.5*(($A100-'Control Room'!$A$13-('Control Room'!$B$13-1)/2)/MAX(0.5,'Control Room'!$B$13/4))^2),1)*IF(AND($A100&gt;='Control Room'!$A$14,$A100&lt;'Control Room'!$A$14+'Control Room'!$B$14,'Process'!BO3=1),1+('Control Room'!$C$14-1)*EXP(-0.5*(($A100-'Control Room'!$A$14-('Control Room'!$B$14-1)/2)/MAX(0.5,'Control Room'!$B$14/4))^2),1)*IF(AND($A100&gt;='Control Room'!$A$15,$A100&lt;'Control Room'!$A$15+'Control Room'!$B$15,'Process'!BO4=1),1+('Control Room'!$C$15-1)*EXP(-0.5*(($A100-'Control Room'!$A$15-('Control Room'!$B$15-1)/2)/MAX(0.5,'Control Room'!$B$15/4))^2),1)*IF(AND($A100&gt;='Control Room'!$A$16,$A100&lt;'Control Room'!$A$16+'Control Room'!$B$16,'Process'!BO5=1),1+('Control Room'!$C$16-1)*EXP(-0.5*(($A100-'Control Room'!$A$16-('Control Room'!$B$16-1)/2)/MAX(0.5,'Control Room'!$B$16/4))^2),1)</x:f>
        <x:v>1</x:v>
      </x:c>
      <x:c r="AA100" s="9" t="n">
        <x:f>MOD(AB99*16807,2147483647)</x:f>
        <x:v>1133235934</x:v>
      </x:c>
      <x:c r="AB100" s="9" t="n">
        <x:f>MOD(AA100*16807,2147483647)</x:f>
        <x:v>263877495</x:v>
      </x:c>
      <x:c r="AC100" s="17" t="n">
        <x:f>IF('Control Room'!$B$5="Normal",'Control Room'!$B$7+'Control Room'!$D$7*SQRT(-2*LN(MAX(0.000000000001,AA100/2147483647)))*COS(2*PI()*AB100/2147483647),'Control Room'!$B$8+('Control Room'!$D$8-'Control Room'!$B$8)*AA100/2147483647)</x:f>
        <x:v>1072.9092554214872</x:v>
      </x:c>
      <x:c r="AD100" s="17" t="n">
        <x:f>IF('Control Room'!$B$5="Normal",'Control Room'!$B$7,('Control Room'!$B$8+'Control Room'!$D$8)/2)+'Control Room'!$B$9*(AD99-IF('Control Room'!$B$5="Normal",'Control Room'!$B$7,('Control Room'!$B$8+'Control Room'!$D$8)/2))+SQRT(1-'Control Room'!$B$9^2)*(AC100-IF('Control Room'!$B$5="Normal",'Control Room'!$B$7,('Control Room'!$B$8+'Control Room'!$D$8)/2))</x:f>
        <x:v>1105.0312033697696</x:v>
      </x:c>
      <x:c r="AE100" s="17" t="n">
        <x:f>IF(AND($A100&gt;='Control Room'!$A$13,$A100&lt;'Control Room'!$A$13+'Control Room'!$B$13,'Process'!BP2=1),1+('Control Room'!$C$13-1)*EXP(-0.5*(($A100-'Control Room'!$A$13-('Control Room'!$B$13-1)/2)/MAX(0.5,'Control Room'!$B$13/4))^2),1)*IF(AND($A100&gt;='Control Room'!$A$14,$A100&lt;'Control Room'!$A$14+'Control Room'!$B$14,'Process'!BP3=1),1+('Control Room'!$C$14-1)*EXP(-0.5*(($A100-'Control Room'!$A$14-('Control Room'!$B$14-1)/2)/MAX(0.5,'Control Room'!$B$14/4))^2),1)*IF(AND($A100&gt;='Control Room'!$A$15,$A100&lt;'Control Room'!$A$15+'Control Room'!$B$15,'Process'!BP4=1),1+('Control Room'!$C$15-1)*EXP(-0.5*(($A100-'Control Room'!$A$15-('Control Room'!$B$15-1)/2)/MAX(0.5,'Control Room'!$B$15/4))^2),1)*IF(AND($A100&gt;='Control Room'!$A$16,$A100&lt;'Control Room'!$A$16+'Control Room'!$B$16,'Process'!BP5=1),1+('Control Room'!$C$16-1)*EXP(-0.5*(($A100-'Control Room'!$A$16-('Control Room'!$B$16-1)/2)/MAX(0.5,'Control Room'!$B$16/4))^2),1)</x:f>
        <x:v>1</x:v>
      </x:c>
      <x:c r="AF100" s="9" t="n">
        <x:f>MOD(AG99*16807,2147483647)</x:f>
        <x:v>621516060</x:v>
      </x:c>
      <x:c r="AG100" s="9" t="n">
        <x:f>MOD(AF100*16807,2147483647)</x:f>
        <x:v>459961412</x:v>
      </x:c>
      <x:c r="AH100" s="17" t="n">
        <x:f>IF('Control Room'!$B$5="Normal",'Control Room'!$B$7+'Control Room'!$D$7*SQRT(-2*LN(MAX(0.000000000001,AF100/2147483647)))*COS(2*PI()*AG100/2147483647),'Control Room'!$B$8+('Control Room'!$D$8-'Control Room'!$B$8)*AF100/2147483647)</x:f>
        <x:v>1031.6233415488662</x:v>
      </x:c>
      <x:c r="AI100" s="17" t="n">
        <x:f>IF('Control Room'!$B$5="Normal",'Control Room'!$B$7,('Control Room'!$B$8+'Control Room'!$D$8)/2)+'Control Room'!$B$9*(AI99-IF('Control Room'!$B$5="Normal",'Control Room'!$B$7,('Control Room'!$B$8+'Control Room'!$D$8)/2))+SQRT(1-'Control Room'!$B$9^2)*(AH100-IF('Control Room'!$B$5="Normal",'Control Room'!$B$7,('Control Room'!$B$8+'Control Room'!$D$8)/2))</x:f>
        <x:v>1053.6379279616917</x:v>
      </x:c>
      <x:c r="AJ100" s="17" t="n">
        <x:f>IF(AND($A100&gt;='Control Room'!$A$13,$A100&lt;'Control Room'!$A$13+'Control Room'!$B$13,'Process'!BQ2=1),1+('Control Room'!$C$13-1)*EXP(-0.5*(($A100-'Control Room'!$A$13-('Control Room'!$B$13-1)/2)/MAX(0.5,'Control Room'!$B$13/4))^2),1)*IF(AND($A100&gt;='Control Room'!$A$14,$A100&lt;'Control Room'!$A$14+'Control Room'!$B$14,'Process'!BQ3=1),1+('Control Room'!$C$14-1)*EXP(-0.5*(($A100-'Control Room'!$A$14-('Control Room'!$B$14-1)/2)/MAX(0.5,'Control Room'!$B$14/4))^2),1)*IF(AND($A100&gt;='Control Room'!$A$15,$A100&lt;'Control Room'!$A$15+'Control Room'!$B$15,'Process'!BQ4=1),1+('Control Room'!$C$15-1)*EXP(-0.5*(($A100-'Control Room'!$A$15-('Control Room'!$B$15-1)/2)/MAX(0.5,'Control Room'!$B$15/4))^2),1)*IF(AND($A100&gt;='Control Room'!$A$16,$A100&lt;'Control Room'!$A$16+'Control Room'!$B$16,'Process'!BQ5=1),1+('Control Room'!$C$16-1)*EXP(-0.5*(($A100-'Control Room'!$A$16-('Control Room'!$B$16-1)/2)/MAX(0.5,'Control Room'!$B$16/4))^2),1)</x:f>
        <x:v>1</x:v>
      </x:c>
      <x:c r="AK100" s="9" t="n">
        <x:f>MOD(AL99*16807,2147483647)</x:f>
        <x:v>109796186</x:v>
      </x:c>
      <x:c r="AL100" s="9" t="n">
        <x:f>MOD(AK100*16807,2147483647)</x:f>
        <x:v>656045329</x:v>
      </x:c>
      <x:c r="AM100" s="17" t="n">
        <x:f>IF('Control Room'!$B$5="Normal",'Control Room'!$B$7+'Control Room'!$D$7*SQRT(-2*LN(MAX(0.000000000001,AK100/2147483647)))*COS(2*PI()*AL100/2147483647),'Control Room'!$B$8+('Control Room'!$D$8-'Control Room'!$B$8)*AK100/2147483647)</x:f>
        <x:v>925.0135392879596</x:v>
      </x:c>
      <x:c r="AN100" s="17" t="n">
        <x:f>IF('Control Room'!$B$5="Normal",'Control Room'!$B$7,('Control Room'!$B$8+'Control Room'!$D$8)/2)+'Control Room'!$B$9*(AN99-IF('Control Room'!$B$5="Normal",'Control Room'!$B$7,('Control Room'!$B$8+'Control Room'!$D$8)/2))+SQRT(1-'Control Room'!$B$9^2)*(AM100-IF('Control Room'!$B$5="Normal",'Control Room'!$B$7,('Control Room'!$B$8+'Control Room'!$D$8)/2))</x:f>
        <x:v>970.7882588175785</x:v>
      </x:c>
      <x:c r="AO100" s="17" t="n">
        <x:f>IF(AND($A100&gt;='Control Room'!$A$13,$A100&lt;'Control Room'!$A$13+'Control Room'!$B$13,'Process'!BR2=1),1+('Control Room'!$C$13-1)*EXP(-0.5*(($A100-'Control Room'!$A$13-('Control Room'!$B$13-1)/2)/MAX(0.5,'Control Room'!$B$13/4))^2),1)*IF(AND($A100&gt;='Control Room'!$A$14,$A100&lt;'Control Room'!$A$14+'Control Room'!$B$14,'Process'!BR3=1),1+('Control Room'!$C$14-1)*EXP(-0.5*(($A100-'Control Room'!$A$14-('Control Room'!$B$14-1)/2)/MAX(0.5,'Control Room'!$B$14/4))^2),1)*IF(AND($A100&gt;='Control Room'!$A$15,$A100&lt;'Control Room'!$A$15+'Control Room'!$B$15,'Process'!BR4=1),1+('Control Room'!$C$15-1)*EXP(-0.5*(($A100-'Control Room'!$A$15-('Control Room'!$B$15-1)/2)/MAX(0.5,'Control Room'!$B$15/4))^2),1)*IF(AND($A100&gt;='Control Room'!$A$16,$A100&lt;'Control Room'!$A$16+'Control Room'!$B$16,'Process'!BR5=1),1+('Control Room'!$C$16-1)*EXP(-0.5*(($A100-'Control Room'!$A$16-('Control Room'!$B$16-1)/2)/MAX(0.5,'Control Room'!$B$16/4))^2),1)</x:f>
        <x:v>1</x:v>
      </x:c>
      <x:c r="AP100" s="9" t="n">
        <x:f>MOD(AQ99*16807,2147483647)</x:f>
        <x:v>1745559959</x:v>
      </x:c>
      <x:c r="AQ100" s="9" t="n">
        <x:f>MOD(AP100*16807,2147483647)</x:f>
        <x:v>852129246</x:v>
      </x:c>
      <x:c r="AR100" s="17" t="n">
        <x:f>IF('Control Room'!$B$5="Normal",'Control Room'!$B$7+'Control Room'!$D$7*SQRT(-2*LN(MAX(0.000000000001,AP100/2147483647)))*COS(2*PI()*AQ100/2147483647),'Control Room'!$B$8+('Control Room'!$D$8-'Control Room'!$B$8)*AP100/2147483647)</x:f>
        <x:v>953.8193295071345</x:v>
      </x:c>
      <x:c r="AS100" s="17" t="n">
        <x:f>IF('Control Room'!$B$5="Normal",'Control Room'!$B$7,('Control Room'!$B$8+'Control Room'!$D$8)/2)+'Control Room'!$B$9*(AS99-IF('Control Room'!$B$5="Normal",'Control Room'!$B$7,('Control Room'!$B$8+'Control Room'!$D$8)/2))+SQRT(1-'Control Room'!$B$9^2)*(AR100-IF('Control Room'!$B$5="Normal",'Control Room'!$B$7,('Control Room'!$B$8+'Control Room'!$D$8)/2))</x:f>
        <x:v>913.7231549427484</x:v>
      </x:c>
      <x:c r="AT100" s="17" t="n">
        <x:f>IF(AND($A100&gt;='Control Room'!$A$13,$A100&lt;'Control Room'!$A$13+'Control Room'!$B$13,'Process'!BS2=1),1+('Control Room'!$C$13-1)*EXP(-0.5*(($A100-'Control Room'!$A$13-('Control Room'!$B$13-1)/2)/MAX(0.5,'Control Room'!$B$13/4))^2),1)*IF(AND($A100&gt;='Control Room'!$A$14,$A100&lt;'Control Room'!$A$14+'Control Room'!$B$14,'Process'!BS3=1),1+('Control Room'!$C$14-1)*EXP(-0.5*(($A100-'Control Room'!$A$14-('Control Room'!$B$14-1)/2)/MAX(0.5,'Control Room'!$B$14/4))^2),1)*IF(AND($A100&gt;='Control Room'!$A$15,$A100&lt;'Control Room'!$A$15+'Control Room'!$B$15,'Process'!BS4=1),1+('Control Room'!$C$15-1)*EXP(-0.5*(($A100-'Control Room'!$A$15-('Control Room'!$B$15-1)/2)/MAX(0.5,'Control Room'!$B$15/4))^2),1)*IF(AND($A100&gt;='Control Room'!$A$16,$A100&lt;'Control Room'!$A$16+'Control Room'!$B$16,'Process'!BS5=1),1+('Control Room'!$C$16-1)*EXP(-0.5*(($A100-'Control Room'!$A$16-('Control Room'!$B$16-1)/2)/MAX(0.5,'Control Room'!$B$16/4))^2),1)</x:f>
        <x:v>1</x:v>
      </x:c>
      <x:c r="AU100" s="9" t="n">
        <x:f>MOD(AV99*16807,2147483647)</x:f>
        <x:v>1233840085</x:v>
      </x:c>
      <x:c r="AV100" s="9" t="n">
        <x:f>MOD(AU100*16807,2147483647)</x:f>
        <x:v>1048213163</x:v>
      </x:c>
      <x:c r="AW100" s="17" t="n">
        <x:f>IF('Control Room'!$B$5="Normal",'Control Room'!$B$7+'Control Room'!$D$7*SQRT(-2*LN(MAX(0.000000000001,AU100/2147483647)))*COS(2*PI()*AV100/2147483647),'Control Room'!$B$8+('Control Room'!$D$8-'Control Room'!$B$8)*AU100/2147483647)</x:f>
        <x:v>905.5146160990967</x:v>
      </x:c>
      <x:c r="AX100" s="17" t="n">
        <x:f>IF('Control Room'!$B$5="Normal",'Control Room'!$B$7,('Control Room'!$B$8+'Control Room'!$D$8)/2)+'Control Room'!$B$9*(AX99-IF('Control Room'!$B$5="Normal",'Control Room'!$B$7,('Control Room'!$B$8+'Control Room'!$D$8)/2))+SQRT(1-'Control Room'!$B$9^2)*(AW100-IF('Control Room'!$B$5="Normal",'Control Room'!$B$7,('Control Room'!$B$8+'Control Room'!$D$8)/2))</x:f>
        <x:v>1036.7217540184151</x:v>
      </x:c>
      <x:c r="AY100" s="17" t="n">
        <x:f>IF(AND($A100&gt;='Control Room'!$A$13,$A100&lt;'Control Room'!$A$13+'Control Room'!$B$13,'Process'!BT2=1),1+('Control Room'!$C$13-1)*EXP(-0.5*(($A100-'Control Room'!$A$13-('Control Room'!$B$13-1)/2)/MAX(0.5,'Control Room'!$B$13/4))^2),1)*IF(AND($A100&gt;='Control Room'!$A$14,$A100&lt;'Control Room'!$A$14+'Control Room'!$B$14,'Process'!BT3=1),1+('Control Room'!$C$14-1)*EXP(-0.5*(($A100-'Control Room'!$A$14-('Control Room'!$B$14-1)/2)/MAX(0.5,'Control Room'!$B$14/4))^2),1)*IF(AND($A100&gt;='Control Room'!$A$15,$A100&lt;'Control Room'!$A$15+'Control Room'!$B$15,'Process'!BT4=1),1+('Control Room'!$C$15-1)*EXP(-0.5*(($A100-'Control Room'!$A$15-('Control Room'!$B$15-1)/2)/MAX(0.5,'Control Room'!$B$15/4))^2),1)*IF(AND($A100&gt;='Control Room'!$A$16,$A100&lt;'Control Room'!$A$16+'Control Room'!$B$16,'Process'!BT5=1),1+('Control Room'!$C$16-1)*EXP(-0.5*(($A100-'Control Room'!$A$16-('Control Room'!$B$16-1)/2)/MAX(0.5,'Control Room'!$B$16/4))^2),1)</x:f>
        <x:v>1</x:v>
      </x:c>
      <x:c r="AZ100" s="9" t="n">
        <x:f>MOD(BA99*16807,2147483647)</x:f>
        <x:v>722120211</x:v>
      </x:c>
      <x:c r="BA100" s="9" t="n">
        <x:f>MOD(AZ100*16807,2147483647)</x:f>
        <x:v>1244297080</x:v>
      </x:c>
      <x:c r="BB100" s="17" t="n">
        <x:f>IF('Control Room'!$B$5="Normal",'Control Room'!$B$7+'Control Room'!$D$7*SQRT(-2*LN(MAX(0.000000000001,AZ100/2147483647)))*COS(2*PI()*BA100/2147483647),'Control Room'!$B$8+('Control Room'!$D$8-'Control Room'!$B$8)*AZ100/2147483647)</x:f>
        <x:v>883.3287247872271</x:v>
      </x:c>
      <x:c r="BC100" s="17" t="n">
        <x:f>IF('Control Room'!$B$5="Normal",'Control Room'!$B$7,('Control Room'!$B$8+'Control Room'!$D$8)/2)+'Control Room'!$B$9*(BC99-IF('Control Room'!$B$5="Normal",'Control Room'!$B$7,('Control Room'!$B$8+'Control Room'!$D$8)/2))+SQRT(1-'Control Room'!$B$9^2)*(BB100-IF('Control Room'!$B$5="Normal",'Control Room'!$B$7,('Control Room'!$B$8+'Control Room'!$D$8)/2))</x:f>
        <x:v>884.1911690182524</x:v>
      </x:c>
      <x:c r="BD100" s="17" t="n">
        <x:f>IF(AND($A100&gt;='Control Room'!$A$13,$A100&lt;'Control Room'!$A$13+'Control Room'!$B$13,'Process'!BU2=1),1+('Control Room'!$C$13-1)*EXP(-0.5*(($A100-'Control Room'!$A$13-('Control Room'!$B$13-1)/2)/MAX(0.5,'Control Room'!$B$13/4))^2),1)*IF(AND($A100&gt;='Control Room'!$A$14,$A100&lt;'Control Room'!$A$14+'Control Room'!$B$14,'Process'!BU3=1),1+('Control Room'!$C$14-1)*EXP(-0.5*(($A100-'Control Room'!$A$14-('Control Room'!$B$14-1)/2)/MAX(0.5,'Control Room'!$B$14/4))^2),1)*IF(AND($A100&gt;='Control Room'!$A$15,$A100&lt;'Control Room'!$A$15+'Control Room'!$B$15,'Process'!BU4=1),1+('Control Room'!$C$15-1)*EXP(-0.5*(($A100-'Control Room'!$A$15-('Control Room'!$B$15-1)/2)/MAX(0.5,'Control Room'!$B$15/4))^2),1)*IF(AND($A100&gt;='Control Room'!$A$16,$A100&lt;'Control Room'!$A$16+'Control Room'!$B$16,'Process'!BU5=1),1+('Control Room'!$C$16-1)*EXP(-0.5*(($A100-'Control Room'!$A$16-('Control Room'!$B$16-1)/2)/MAX(0.5,'Control Room'!$B$16/4))^2),1)</x:f>
        <x:v>1</x:v>
      </x:c>
      <x:c r="BE100" s="9" t="n">
        <x:f>MOD(BF99*16807,2147483647)</x:f>
        <x:v>210400337</x:v>
      </x:c>
      <x:c r="BF100" s="9" t="n">
        <x:f>MOD(BE100*16807,2147483647)</x:f>
        <x:v>1440380997</x:v>
      </x:c>
      <x:c r="BG100" s="17" t="n">
        <x:f>IF('Control Room'!$B$5="Normal",'Control Room'!$B$7+'Control Room'!$D$7*SQRT(-2*LN(MAX(0.000000000001,BE100/2147483647)))*COS(2*PI()*BF100/2147483647),'Control Room'!$B$8+('Control Room'!$D$8-'Control Room'!$B$8)*BE100/2147483647)</x:f>
        <x:v>907.3235624867165</x:v>
      </x:c>
      <x:c r="BH100" s="17" t="n">
        <x:f>IF('Control Room'!$B$5="Normal",'Control Room'!$B$7,('Control Room'!$B$8+'Control Room'!$D$8)/2)+'Control Room'!$B$9*(BH99-IF('Control Room'!$B$5="Normal",'Control Room'!$B$7,('Control Room'!$B$8+'Control Room'!$D$8)/2))+SQRT(1-'Control Room'!$B$9^2)*(BG100-IF('Control Room'!$B$5="Normal",'Control Room'!$B$7,('Control Room'!$B$8+'Control Room'!$D$8)/2))</x:f>
        <x:v>1043.5990062059745</x:v>
      </x:c>
      <x:c r="BI100" s="17" t="n">
        <x:f>IF(AND($A100&gt;='Control Room'!$A$13,$A100&lt;'Control Room'!$A$13+'Control Room'!$B$13,'Process'!BV2=1),1+('Control Room'!$C$13-1)*EXP(-0.5*(($A100-'Control Room'!$A$13-('Control Room'!$B$13-1)/2)/MAX(0.5,'Control Room'!$B$13/4))^2),1)*IF(AND($A100&gt;='Control Room'!$A$14,$A100&lt;'Control Room'!$A$14+'Control Room'!$B$14,'Process'!BV3=1),1+('Control Room'!$C$14-1)*EXP(-0.5*(($A100-'Control Room'!$A$14-('Control Room'!$B$14-1)/2)/MAX(0.5,'Control Room'!$B$14/4))^2),1)*IF(AND($A100&gt;='Control Room'!$A$15,$A100&lt;'Control Room'!$A$15+'Control Room'!$B$15,'Process'!BV4=1),1+('Control Room'!$C$15-1)*EXP(-0.5*(($A100-'Control Room'!$A$15-('Control Room'!$B$15-1)/2)/MAX(0.5,'Control Room'!$B$15/4))^2),1)*IF(AND($A100&gt;='Control Room'!$A$16,$A100&lt;'Control Room'!$A$16+'Control Room'!$B$16,'Process'!BV5=1),1+('Control Room'!$C$16-1)*EXP(-0.5*(($A100-'Control Room'!$A$16-('Control Room'!$B$16-1)/2)/MAX(0.5,'Control Room'!$B$16/4))^2),1)</x:f>
        <x:v>1</x:v>
      </x:c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Z100" t="str">
        <x:f>IF('Data'!A100="","",TEXT('Data'!A100,"mm-dd"))</x:f>
        <x:v>02-08</x:v>
      </x:c>
    </x:row>
    <x:row r="101" ht="21" customHeight="1">
      <x:c r="A101" s="15" t="n">
        <x:f>'Control Room'!$B$1+99</x:f>
        <x:v>73090</x:v>
      </x:c>
      <x:c r="B101" s="9" t="n">
        <x:f>MOD(C100*16807,2147483647)</x:f>
        <x:v>165385746</x:v>
      </x:c>
      <x:c r="C101" s="9" t="n">
        <x:f>MOD(B101*16807,2147483647)</x:f>
        <x:v>794393804</x:v>
      </x:c>
      <x:c r="D101" s="17" t="n">
        <x:f>IF('Control Room'!$B$5="Normal",'Control Room'!$B$7+'Control Room'!$D$7*SQRT(-2*LN(MAX(0.000000000001,B101/2147483647)))*COS(2*PI()*C101/2147483647),'Control Room'!$B$8+('Control Room'!$D$8-'Control Room'!$B$8)*B101/2147483647)</x:f>
        <x:v>860.5677029363575</x:v>
      </x:c>
      <x:c r="E101" s="17" t="n">
        <x:f>IF('Control Room'!$B$5="Normal",'Control Room'!$B$7,('Control Room'!$B$8+'Control Room'!$D$8)/2)+'Control Room'!$B$9*(E100-IF('Control Room'!$B$5="Normal",'Control Room'!$B$7,('Control Room'!$B$8+'Control Room'!$D$8)/2))+SQRT(1-'Control Room'!$B$9^2)*(D101-IF('Control Room'!$B$5="Normal",'Control Room'!$B$7,('Control Room'!$B$8+'Control Room'!$D$8)/2))</x:f>
        <x:v>898.183709356342</x:v>
      </x:c>
      <x:c r="F101" s="17" t="n">
        <x:f>IF(AND($A101&gt;='Control Room'!$A$13,$A101&lt;'Control Room'!$A$13+'Control Room'!$B$13,'Process'!BK2=1),1+('Control Room'!$C$13-1)*EXP(-0.5*(($A101-'Control Room'!$A$13-('Control Room'!$B$13-1)/2)/MAX(0.5,'Control Room'!$B$13/4))^2),1)*IF(AND($A101&gt;='Control Room'!$A$14,$A101&lt;'Control Room'!$A$14+'Control Room'!$B$14,'Process'!BK3=1),1+('Control Room'!$C$14-1)*EXP(-0.5*(($A101-'Control Room'!$A$14-('Control Room'!$B$14-1)/2)/MAX(0.5,'Control Room'!$B$14/4))^2),1)*IF(AND($A101&gt;='Control Room'!$A$15,$A101&lt;'Control Room'!$A$15+'Control Room'!$B$15,'Process'!BK4=1),1+('Control Room'!$C$15-1)*EXP(-0.5*(($A101-'Control Room'!$A$15-('Control Room'!$B$15-1)/2)/MAX(0.5,'Control Room'!$B$15/4))^2),1)*IF(AND($A101&gt;='Control Room'!$A$16,$A101&lt;'Control Room'!$A$16+'Control Room'!$B$16,'Process'!BK5=1),1+('Control Room'!$C$16-1)*EXP(-0.5*(($A101-'Control Room'!$A$16-('Control Room'!$B$16-1)/2)/MAX(0.5,'Control Room'!$B$16/4))^2),1)</x:f>
        <x:v>1.7811133519636562</x:v>
      </x:c>
      <x:c r="G101" s="9" t="n">
        <x:f>MOD(H100*16807,2147483647)</x:f>
        <x:v>1507864267</x:v>
      </x:c>
      <x:c r="H101" s="9" t="n">
        <x:f>MOD(G101*16807,2147483647)</x:f>
        <x:v>220217222</x:v>
      </x:c>
      <x:c r="I101" s="17" t="n">
        <x:f>IF('Control Room'!$B$5="Normal",'Control Room'!$B$7+'Control Room'!$D$7*SQRT(-2*LN(MAX(0.000000000001,G101/2147483647)))*COS(2*PI()*H101/2147483647),'Control Room'!$B$8+('Control Room'!$D$8-'Control Room'!$B$8)*G101/2147483647)</x:f>
        <x:v>1060.5115617008894</x:v>
      </x:c>
      <x:c r="J101" s="17" t="n">
        <x:f>IF('Control Room'!$B$5="Normal",'Control Room'!$B$7,('Control Room'!$B$8+'Control Room'!$D$8)/2)+'Control Room'!$B$9*(J100-IF('Control Room'!$B$5="Normal",'Control Room'!$B$7,('Control Room'!$B$8+'Control Room'!$D$8)/2))+SQRT(1-'Control Room'!$B$9^2)*(I101-IF('Control Room'!$B$5="Normal",'Control Room'!$B$7,('Control Room'!$B$8+'Control Room'!$D$8)/2))</x:f>
        <x:v>1056.136478704378</x:v>
      </x:c>
      <x:c r="K101" s="17" t="n">
        <x:f>IF(AND($A101&gt;='Control Room'!$A$13,$A101&lt;'Control Room'!$A$13+'Control Room'!$B$13,'Process'!BL2=1),1+('Control Room'!$C$13-1)*EXP(-0.5*(($A101-'Control Room'!$A$13-('Control Room'!$B$13-1)/2)/MAX(0.5,'Control Room'!$B$13/4))^2),1)*IF(AND($A101&gt;='Control Room'!$A$14,$A101&lt;'Control Room'!$A$14+'Control Room'!$B$14,'Process'!BL3=1),1+('Control Room'!$C$14-1)*EXP(-0.5*(($A101-'Control Room'!$A$14-('Control Room'!$B$14-1)/2)/MAX(0.5,'Control Room'!$B$14/4))^2),1)*IF(AND($A101&gt;='Control Room'!$A$15,$A101&lt;'Control Room'!$A$15+'Control Room'!$B$15,'Process'!BL4=1),1+('Control Room'!$C$15-1)*EXP(-0.5*(($A101-'Control Room'!$A$15-('Control Room'!$B$15-1)/2)/MAX(0.5,'Control Room'!$B$15/4))^2),1)*IF(AND($A101&gt;='Control Room'!$A$16,$A101&lt;'Control Room'!$A$16+'Control Room'!$B$16,'Process'!BL5=1),1+('Control Room'!$C$16-1)*EXP(-0.5*(($A101-'Control Room'!$A$16-('Control Room'!$B$16-1)/2)/MAX(0.5,'Control Room'!$B$16/4))^2),1)</x:f>
        <x:v>1.7811133519636562</x:v>
      </x:c>
      <x:c r="L101" s="9" t="n">
        <x:f>MOD(M100*16807,2147483647)</x:f>
        <x:v>702859141</x:v>
      </x:c>
      <x:c r="M101" s="9" t="n">
        <x:f>MOD(L101*16807,2147483647)</x:f>
        <x:v>1793524287</x:v>
      </x:c>
      <x:c r="N101" s="17" t="n">
        <x:f>IF('Control Room'!$B$5="Normal",'Control Room'!$B$7+'Control Room'!$D$7*SQRT(-2*LN(MAX(0.000000000001,L101/2147483647)))*COS(2*PI()*M101/2147483647),'Control Room'!$B$8+('Control Room'!$D$8-'Control Room'!$B$8)*L101/2147483647)</x:f>
        <x:v>1068.5997549828342</x:v>
      </x:c>
      <x:c r="O101" s="17" t="n">
        <x:f>IF('Control Room'!$B$5="Normal",'Control Room'!$B$7,('Control Room'!$B$8+'Control Room'!$D$8)/2)+'Control Room'!$B$9*(O100-IF('Control Room'!$B$5="Normal",'Control Room'!$B$7,('Control Room'!$B$8+'Control Room'!$D$8)/2))+SQRT(1-'Control Room'!$B$9^2)*(N101-IF('Control Room'!$B$5="Normal",'Control Room'!$B$7,('Control Room'!$B$8+'Control Room'!$D$8)/2))</x:f>
        <x:v>1068.4890509081372</x:v>
      </x:c>
      <x:c r="P101" s="17" t="n">
        <x:f>IF(AND($A101&gt;='Control Room'!$A$13,$A101&lt;'Control Room'!$A$13+'Control Room'!$B$13,'Process'!BM2=1),1+('Control Room'!$C$13-1)*EXP(-0.5*(($A101-'Control Room'!$A$13-('Control Room'!$B$13-1)/2)/MAX(0.5,'Control Room'!$B$13/4))^2),1)*IF(AND($A101&gt;='Control Room'!$A$14,$A101&lt;'Control Room'!$A$14+'Control Room'!$B$14,'Process'!BM3=1),1+('Control Room'!$C$14-1)*EXP(-0.5*(($A101-'Control Room'!$A$14-('Control Room'!$B$14-1)/2)/MAX(0.5,'Control Room'!$B$14/4))^2),1)*IF(AND($A101&gt;='Control Room'!$A$15,$A101&lt;'Control Room'!$A$15+'Control Room'!$B$15,'Process'!BM4=1),1+('Control Room'!$C$15-1)*EXP(-0.5*(($A101-'Control Room'!$A$15-('Control Room'!$B$15-1)/2)/MAX(0.5,'Control Room'!$B$15/4))^2),1)*IF(AND($A101&gt;='Control Room'!$A$16,$A101&lt;'Control Room'!$A$16+'Control Room'!$B$16,'Process'!BM5=1),1+('Control Room'!$C$16-1)*EXP(-0.5*(($A101-'Control Room'!$A$16-('Control Room'!$B$16-1)/2)/MAX(0.5,'Control Room'!$B$16/4))^2),1)</x:f>
        <x:v>1.7811133519636562</x:v>
      </x:c>
      <x:c r="Q101" s="9" t="n">
        <x:f>MOD(R100*16807,2147483647)</x:f>
        <x:v>2045337662</x:v>
      </x:c>
      <x:c r="R101" s="9" t="n">
        <x:f>MOD(Q101*16807,2147483647)</x:f>
        <x:v>1219347705</x:v>
      </x:c>
      <x:c r="S101" s="17" t="n">
        <x:f>IF('Control Room'!$B$5="Normal",'Control Room'!$B$7+'Control Room'!$D$7*SQRT(-2*LN(MAX(0.000000000001,Q101/2147483647)))*COS(2*PI()*R101/2147483647),'Control Room'!$B$8+('Control Room'!$D$8-'Control Room'!$B$8)*Q101/2147483647)</x:f>
        <x:v>974.4135967940193</x:v>
      </x:c>
      <x:c r="T101" s="17" t="n">
        <x:f>IF('Control Room'!$B$5="Normal",'Control Room'!$B$7,('Control Room'!$B$8+'Control Room'!$D$8)/2)+'Control Room'!$B$9*(T100-IF('Control Room'!$B$5="Normal",'Control Room'!$B$7,('Control Room'!$B$8+'Control Room'!$D$8)/2))+SQRT(1-'Control Room'!$B$9^2)*(S101-IF('Control Room'!$B$5="Normal",'Control Room'!$B$7,('Control Room'!$B$8+'Control Room'!$D$8)/2))</x:f>
        <x:v>1178.456718788054</x:v>
      </x:c>
      <x:c r="U101" s="17" t="n">
        <x:f>IF(AND($A101&gt;='Control Room'!$A$13,$A101&lt;'Control Room'!$A$13+'Control Room'!$B$13,'Process'!BN2=1),1+('Control Room'!$C$13-1)*EXP(-0.5*(($A101-'Control Room'!$A$13-('Control Room'!$B$13-1)/2)/MAX(0.5,'Control Room'!$B$13/4))^2),1)*IF(AND($A101&gt;='Control Room'!$A$14,$A101&lt;'Control Room'!$A$14+'Control Room'!$B$14,'Process'!BN3=1),1+('Control Room'!$C$14-1)*EXP(-0.5*(($A101-'Control Room'!$A$14-('Control Room'!$B$14-1)/2)/MAX(0.5,'Control Room'!$B$14/4))^2),1)*IF(AND($A101&gt;='Control Room'!$A$15,$A101&lt;'Control Room'!$A$15+'Control Room'!$B$15,'Process'!BN4=1),1+('Control Room'!$C$15-1)*EXP(-0.5*(($A101-'Control Room'!$A$15-('Control Room'!$B$15-1)/2)/MAX(0.5,'Control Room'!$B$15/4))^2),1)*IF(AND($A101&gt;='Control Room'!$A$16,$A101&lt;'Control Room'!$A$16+'Control Room'!$B$16,'Process'!BN5=1),1+('Control Room'!$C$16-1)*EXP(-0.5*(($A101-'Control Room'!$A$16-('Control Room'!$B$16-1)/2)/MAX(0.5,'Control Room'!$B$16/4))^2),1)</x:f>
        <x:v>1.7811133519636562</x:v>
      </x:c>
      <x:c r="V101" s="9" t="n">
        <x:f>MOD(W100*16807,2147483647)</x:f>
        <x:v>1240332536</x:v>
      </x:c>
      <x:c r="W101" s="9" t="n">
        <x:f>MOD(V101*16807,2147483647)</x:f>
        <x:v>645171123</x:v>
      </x:c>
      <x:c r="X101" s="17" t="n">
        <x:f>IF('Control Room'!$B$5="Normal",'Control Room'!$B$7+'Control Room'!$D$7*SQRT(-2*LN(MAX(0.000000000001,V101/2147483647)))*COS(2*PI()*W101/2147483647),'Control Room'!$B$8+('Control Room'!$D$8-'Control Room'!$B$8)*V101/2147483647)</x:f>
        <x:v>970.616863042163</x:v>
      </x:c>
      <x:c r="Y101" s="17" t="n">
        <x:f>IF('Control Room'!$B$5="Normal",'Control Room'!$B$7,('Control Room'!$B$8+'Control Room'!$D$8)/2)+'Control Room'!$B$9*(Y100-IF('Control Room'!$B$5="Normal",'Control Room'!$B$7,('Control Room'!$B$8+'Control Room'!$D$8)/2))+SQRT(1-'Control Room'!$B$9^2)*(X101-IF('Control Room'!$B$5="Normal",'Control Room'!$B$7,('Control Room'!$B$8+'Control Room'!$D$8)/2))</x:f>
        <x:v>965.9283816604711</x:v>
      </x:c>
      <x:c r="Z101" s="17" t="n">
        <x:f>IF(AND($A101&gt;='Control Room'!$A$13,$A101&lt;'Control Room'!$A$13+'Control Room'!$B$13,'Process'!BO2=1),1+('Control Room'!$C$13-1)*EXP(-0.5*(($A101-'Control Room'!$A$13-('Control Room'!$B$13-1)/2)/MAX(0.5,'Control Room'!$B$13/4))^2),1)*IF(AND($A101&gt;='Control Room'!$A$14,$A101&lt;'Control Room'!$A$14+'Control Room'!$B$14,'Process'!BO3=1),1+('Control Room'!$C$14-1)*EXP(-0.5*(($A101-'Control Room'!$A$14-('Control Room'!$B$14-1)/2)/MAX(0.5,'Control Room'!$B$14/4))^2),1)*IF(AND($A101&gt;='Control Room'!$A$15,$A101&lt;'Control Room'!$A$15+'Control Room'!$B$15,'Process'!BO4=1),1+('Control Room'!$C$15-1)*EXP(-0.5*(($A101-'Control Room'!$A$15-('Control Room'!$B$15-1)/2)/MAX(0.5,'Control Room'!$B$15/4))^2),1)*IF(AND($A101&gt;='Control Room'!$A$16,$A101&lt;'Control Room'!$A$16+'Control Room'!$B$16,'Process'!BO5=1),1+('Control Room'!$C$16-1)*EXP(-0.5*(($A101-'Control Room'!$A$16-('Control Room'!$B$16-1)/2)/MAX(0.5,'Control Room'!$B$16/4))^2),1)</x:f>
        <x:v>1.7811133519636562</x:v>
      </x:c>
      <x:c r="AA101" s="9" t="n">
        <x:f>MOD(AB100*16807,2147483647)</x:f>
        <x:v>435327410</x:v>
      </x:c>
      <x:c r="AB101" s="9" t="n">
        <x:f>MOD(AA101*16807,2147483647)</x:f>
        <x:v>70994541</x:v>
      </x:c>
      <x:c r="AC101" s="17" t="n">
        <x:f>IF('Control Room'!$B$5="Normal",'Control Room'!$B$7+'Control Room'!$D$7*SQRT(-2*LN(MAX(0.000000000001,AA101/2147483647)))*COS(2*PI()*AB101/2147483647),'Control Room'!$B$8+('Control Room'!$D$8-'Control Room'!$B$8)*AA101/2147483647)</x:f>
        <x:v>1157.3367744958741</x:v>
      </x:c>
      <x:c r="AD101" s="17" t="n">
        <x:f>IF('Control Room'!$B$5="Normal",'Control Room'!$B$7,('Control Room'!$B$8+'Control Room'!$D$8)/2)+'Control Room'!$B$9*(AD100-IF('Control Room'!$B$5="Normal",'Control Room'!$B$7,('Control Room'!$B$8+'Control Room'!$D$8)/2))+SQRT(1-'Control Room'!$B$9^2)*(AC101-IF('Control Room'!$B$5="Normal",'Control Room'!$B$7,('Control Room'!$B$8+'Control Room'!$D$8)/2))</x:f>
        <x:v>1180.3824688889154</x:v>
      </x:c>
      <x:c r="AE101" s="17" t="n">
        <x:f>IF(AND($A101&gt;='Control Room'!$A$13,$A101&lt;'Control Room'!$A$13+'Control Room'!$B$13,'Process'!BP2=1),1+('Control Room'!$C$13-1)*EXP(-0.5*(($A101-'Control Room'!$A$13-('Control Room'!$B$13-1)/2)/MAX(0.5,'Control Room'!$B$13/4))^2),1)*IF(AND($A101&gt;='Control Room'!$A$14,$A101&lt;'Control Room'!$A$14+'Control Room'!$B$14,'Process'!BP3=1),1+('Control Room'!$C$14-1)*EXP(-0.5*(($A101-'Control Room'!$A$14-('Control Room'!$B$14-1)/2)/MAX(0.5,'Control Room'!$B$14/4))^2),1)*IF(AND($A101&gt;='Control Room'!$A$15,$A101&lt;'Control Room'!$A$15+'Control Room'!$B$15,'Process'!BP4=1),1+('Control Room'!$C$15-1)*EXP(-0.5*(($A101-'Control Room'!$A$15-('Control Room'!$B$15-1)/2)/MAX(0.5,'Control Room'!$B$15/4))^2),1)*IF(AND($A101&gt;='Control Room'!$A$16,$A101&lt;'Control Room'!$A$16+'Control Room'!$B$16,'Process'!BP5=1),1+('Control Room'!$C$16-1)*EXP(-0.5*(($A101-'Control Room'!$A$16-('Control Room'!$B$16-1)/2)/MAX(0.5,'Control Room'!$B$16/4))^2),1)</x:f>
        <x:v>1.7811133519636562</x:v>
      </x:c>
      <x:c r="AF101" s="9" t="n">
        <x:f>MOD(AG100*16807,2147483647)</x:f>
        <x:v>1777805931</x:v>
      </x:c>
      <x:c r="AG101" s="9" t="n">
        <x:f>MOD(AF101*16807,2147483647)</x:f>
        <x:v>1644301606</x:v>
      </x:c>
      <x:c r="AH101" s="17" t="n">
        <x:f>IF('Control Room'!$B$5="Normal",'Control Room'!$B$7+'Control Room'!$D$7*SQRT(-2*LN(MAX(0.000000000001,AF101/2147483647)))*COS(2*PI()*AG101/2147483647),'Control Room'!$B$8+('Control Room'!$D$8-'Control Room'!$B$8)*AF101/2147483647)</x:f>
        <x:v>1005.4440957922551</x:v>
      </x:c>
      <x:c r="AI101" s="17" t="n">
        <x:f>IF('Control Room'!$B$5="Normal",'Control Room'!$B$7,('Control Room'!$B$8+'Control Room'!$D$8)/2)+'Control Room'!$B$9*(AI100-IF('Control Room'!$B$5="Normal",'Control Room'!$B$7,('Control Room'!$B$8+'Control Room'!$D$8)/2))+SQRT(1-'Control Room'!$B$9^2)*(AH101-IF('Control Room'!$B$5="Normal",'Control Room'!$B$7,('Control Room'!$B$8+'Control Room'!$D$8)/2))</x:f>
        <x:v>1045.2443874285484</x:v>
      </x:c>
      <x:c r="AJ101" s="17" t="n">
        <x:f>IF(AND($A101&gt;='Control Room'!$A$13,$A101&lt;'Control Room'!$A$13+'Control Room'!$B$13,'Process'!BQ2=1),1+('Control Room'!$C$13-1)*EXP(-0.5*(($A101-'Control Room'!$A$13-('Control Room'!$B$13-1)/2)/MAX(0.5,'Control Room'!$B$13/4))^2),1)*IF(AND($A101&gt;='Control Room'!$A$14,$A101&lt;'Control Room'!$A$14+'Control Room'!$B$14,'Process'!BQ3=1),1+('Control Room'!$C$14-1)*EXP(-0.5*(($A101-'Control Room'!$A$14-('Control Room'!$B$14-1)/2)/MAX(0.5,'Control Room'!$B$14/4))^2),1)*IF(AND($A101&gt;='Control Room'!$A$15,$A101&lt;'Control Room'!$A$15+'Control Room'!$B$15,'Process'!BQ4=1),1+('Control Room'!$C$15-1)*EXP(-0.5*(($A101-'Control Room'!$A$15-('Control Room'!$B$15-1)/2)/MAX(0.5,'Control Room'!$B$15/4))^2),1)*IF(AND($A101&gt;='Control Room'!$A$16,$A101&lt;'Control Room'!$A$16+'Control Room'!$B$16,'Process'!BQ5=1),1+('Control Room'!$C$16-1)*EXP(-0.5*(($A101-'Control Room'!$A$16-('Control Room'!$B$16-1)/2)/MAX(0.5,'Control Room'!$B$16/4))^2),1)</x:f>
        <x:v>1.7811133519636562</x:v>
      </x:c>
      <x:c r="AK101" s="9" t="n">
        <x:f>MOD(AL100*16807,2147483647)</x:f>
        <x:v>972800805</x:v>
      </x:c>
      <x:c r="AL101" s="9" t="n">
        <x:f>MOD(AK101*16807,2147483647)</x:f>
        <x:v>1070125024</x:v>
      </x:c>
      <x:c r="AM101" s="17" t="n">
        <x:f>IF('Control Room'!$B$5="Normal",'Control Room'!$B$7+'Control Room'!$D$7*SQRT(-2*LN(MAX(0.000000000001,AK101/2147483647)))*COS(2*PI()*AL101/2147483647),'Control Room'!$B$8+('Control Room'!$D$8-'Control Room'!$B$8)*AK101/2147483647)</x:f>
        <x:v>886.7440895497297</x:v>
      </x:c>
      <x:c r="AN101" s="17" t="n">
        <x:f>IF('Control Room'!$B$5="Normal",'Control Room'!$B$7,('Control Room'!$B$8+'Control Room'!$D$8)/2)+'Control Room'!$B$9*(AN100-IF('Control Room'!$B$5="Normal",'Control Room'!$B$7,('Control Room'!$B$8+'Control Room'!$D$8)/2))+SQRT(1-'Control Room'!$B$9^2)*(AM101-IF('Control Room'!$B$5="Normal",'Control Room'!$B$7,('Control Room'!$B$8+'Control Room'!$D$8)/2))</x:f>
        <x:v>906.3416132913703</x:v>
      </x:c>
      <x:c r="AO101" s="17" t="n">
        <x:f>IF(AND($A101&gt;='Control Room'!$A$13,$A101&lt;'Control Room'!$A$13+'Control Room'!$B$13,'Process'!BR2=1),1+('Control Room'!$C$13-1)*EXP(-0.5*(($A101-'Control Room'!$A$13-('Control Room'!$B$13-1)/2)/MAX(0.5,'Control Room'!$B$13/4))^2),1)*IF(AND($A101&gt;='Control Room'!$A$14,$A101&lt;'Control Room'!$A$14+'Control Room'!$B$14,'Process'!BR3=1),1+('Control Room'!$C$14-1)*EXP(-0.5*(($A101-'Control Room'!$A$14-('Control Room'!$B$14-1)/2)/MAX(0.5,'Control Room'!$B$14/4))^2),1)*IF(AND($A101&gt;='Control Room'!$A$15,$A101&lt;'Control Room'!$A$15+'Control Room'!$B$15,'Process'!BR4=1),1+('Control Room'!$C$15-1)*EXP(-0.5*(($A101-'Control Room'!$A$15-('Control Room'!$B$15-1)/2)/MAX(0.5,'Control Room'!$B$15/4))^2),1)*IF(AND($A101&gt;='Control Room'!$A$16,$A101&lt;'Control Room'!$A$16+'Control Room'!$B$16,'Process'!BR5=1),1+('Control Room'!$C$16-1)*EXP(-0.5*(($A101-'Control Room'!$A$16-('Control Room'!$B$16-1)/2)/MAX(0.5,'Control Room'!$B$16/4))^2),1)</x:f>
        <x:v>1.7811133519636562</x:v>
      </x:c>
      <x:c r="AP101" s="9" t="n">
        <x:f>MOD(AQ100*16807,2147483647)</x:f>
        <x:v>167795679</x:v>
      </x:c>
      <x:c r="AQ101" s="9" t="n">
        <x:f>MOD(AP101*16807,2147483647)</x:f>
        <x:v>495948442</x:v>
      </x:c>
      <x:c r="AR101" s="17" t="n">
        <x:f>IF('Control Room'!$B$5="Normal",'Control Room'!$B$7+'Control Room'!$D$7*SQRT(-2*LN(MAX(0.000000000001,AP101/2147483647)))*COS(2*PI()*AQ101/2147483647),'Control Room'!$B$8+('Control Room'!$D$8-'Control Room'!$B$8)*AP101/2147483647)</x:f>
        <x:v>1024.2740412070882</x:v>
      </x:c>
      <x:c r="AS101" s="17" t="n">
        <x:f>IF('Control Room'!$B$5="Normal",'Control Room'!$B$7,('Control Room'!$B$8+'Control Room'!$D$8)/2)+'Control Room'!$B$9*(AS100-IF('Control Room'!$B$5="Normal",'Control Room'!$B$7,('Control Room'!$B$8+'Control Room'!$D$8)/2))+SQRT(1-'Control Room'!$B$9^2)*(AR101-IF('Control Room'!$B$5="Normal",'Control Room'!$B$7,('Control Room'!$B$8+'Control Room'!$D$8)/2))</x:f>
        <x:v>947.8942585619758</x:v>
      </x:c>
      <x:c r="AT101" s="17" t="n">
        <x:f>IF(AND($A101&gt;='Control Room'!$A$13,$A101&lt;'Control Room'!$A$13+'Control Room'!$B$13,'Process'!BS2=1),1+('Control Room'!$C$13-1)*EXP(-0.5*(($A101-'Control Room'!$A$13-('Control Room'!$B$13-1)/2)/MAX(0.5,'Control Room'!$B$13/4))^2),1)*IF(AND($A101&gt;='Control Room'!$A$14,$A101&lt;'Control Room'!$A$14+'Control Room'!$B$14,'Process'!BS3=1),1+('Control Room'!$C$14-1)*EXP(-0.5*(($A101-'Control Room'!$A$14-('Control Room'!$B$14-1)/2)/MAX(0.5,'Control Room'!$B$14/4))^2),1)*IF(AND($A101&gt;='Control Room'!$A$15,$A101&lt;'Control Room'!$A$15+'Control Room'!$B$15,'Process'!BS4=1),1+('Control Room'!$C$15-1)*EXP(-0.5*(($A101-'Control Room'!$A$15-('Control Room'!$B$15-1)/2)/MAX(0.5,'Control Room'!$B$15/4))^2),1)*IF(AND($A101&gt;='Control Room'!$A$16,$A101&lt;'Control Room'!$A$16+'Control Room'!$B$16,'Process'!BS5=1),1+('Control Room'!$C$16-1)*EXP(-0.5*(($A101-'Control Room'!$A$16-('Control Room'!$B$16-1)/2)/MAX(0.5,'Control Room'!$B$16/4))^2),1)</x:f>
        <x:v>1.7811133519636562</x:v>
      </x:c>
      <x:c r="AU101" s="9" t="n">
        <x:f>MOD(AV100*16807,2147483647)</x:f>
        <x:v>1510274200</x:v>
      </x:c>
      <x:c r="AV101" s="9" t="n">
        <x:f>MOD(AU101*16807,2147483647)</x:f>
        <x:v>2069255507</x:v>
      </x:c>
      <x:c r="AW101" s="17" t="n">
        <x:f>IF('Control Room'!$B$5="Normal",'Control Room'!$B$7+'Control Room'!$D$7*SQRT(-2*LN(MAX(0.000000000001,AU101/2147483647)))*COS(2*PI()*AV101/2147483647),'Control Room'!$B$8+('Control Room'!$D$8-'Control Room'!$B$8)*AU101/2147483647)</x:f>
        <x:v>1073.5454420067572</x:v>
      </x:c>
      <x:c r="AX101" s="17" t="n">
        <x:f>IF('Control Room'!$B$5="Normal",'Control Room'!$B$7,('Control Room'!$B$8+'Control Room'!$D$8)/2)+'Control Room'!$B$9*(AX100-IF('Control Room'!$B$5="Normal",'Control Room'!$B$7,('Control Room'!$B$8+'Control Room'!$D$8)/2))+SQRT(1-'Control Room'!$B$9^2)*(AW101-IF('Control Room'!$B$5="Normal",'Control Room'!$B$7,('Control Room'!$B$8+'Control Room'!$D$8)/2))</x:f>
        <x:v>1074.6661990819186</x:v>
      </x:c>
      <x:c r="AY101" s="17" t="n">
        <x:f>IF(AND($A101&gt;='Control Room'!$A$13,$A101&lt;'Control Room'!$A$13+'Control Room'!$B$13,'Process'!BT2=1),1+('Control Room'!$C$13-1)*EXP(-0.5*(($A101-'Control Room'!$A$13-('Control Room'!$B$13-1)/2)/MAX(0.5,'Control Room'!$B$13/4))^2),1)*IF(AND($A101&gt;='Control Room'!$A$14,$A101&lt;'Control Room'!$A$14+'Control Room'!$B$14,'Process'!BT3=1),1+('Control Room'!$C$14-1)*EXP(-0.5*(($A101-'Control Room'!$A$14-('Control Room'!$B$14-1)/2)/MAX(0.5,'Control Room'!$B$14/4))^2),1)*IF(AND($A101&gt;='Control Room'!$A$15,$A101&lt;'Control Room'!$A$15+'Control Room'!$B$15,'Process'!BT4=1),1+('Control Room'!$C$15-1)*EXP(-0.5*(($A101-'Control Room'!$A$15-('Control Room'!$B$15-1)/2)/MAX(0.5,'Control Room'!$B$15/4))^2),1)*IF(AND($A101&gt;='Control Room'!$A$16,$A101&lt;'Control Room'!$A$16+'Control Room'!$B$16,'Process'!BT5=1),1+('Control Room'!$C$16-1)*EXP(-0.5*(($A101-'Control Room'!$A$16-('Control Room'!$B$16-1)/2)/MAX(0.5,'Control Room'!$B$16/4))^2),1)</x:f>
        <x:v>1.7811133519636562</x:v>
      </x:c>
      <x:c r="AZ101" s="9" t="n">
        <x:f>MOD(BA100*16807,2147483647)</x:f>
        <x:v>705269074</x:v>
      </x:c>
      <x:c r="BA101" s="9" t="n">
        <x:f>MOD(AZ101*16807,2147483647)</x:f>
        <x:v>1495078925</x:v>
      </x:c>
      <x:c r="BB101" s="17" t="n">
        <x:f>IF('Control Room'!$B$5="Normal",'Control Room'!$B$7+'Control Room'!$D$7*SQRT(-2*LN(MAX(0.000000000001,AZ101/2147483647)))*COS(2*PI()*BA101/2147483647),'Control Room'!$B$8+('Control Room'!$D$8-'Control Room'!$B$8)*AZ101/2147483647)</x:f>
        <x:v>955.4596343584951</x:v>
      </x:c>
      <x:c r="BC101" s="17" t="n">
        <x:f>IF('Control Room'!$B$5="Normal",'Control Room'!$B$7,('Control Room'!$B$8+'Control Room'!$D$8)/2)+'Control Room'!$B$9*(BC100-IF('Control Room'!$B$5="Normal",'Control Room'!$B$7,('Control Room'!$B$8+'Control Room'!$D$8)/2))+SQRT(1-'Control Room'!$B$9^2)*(BB101-IF('Control Room'!$B$5="Normal",'Control Room'!$B$7,('Control Room'!$B$8+'Control Room'!$D$8)/2))</x:f>
        <x:v>881.7966634747698</x:v>
      </x:c>
      <x:c r="BD101" s="17" t="n">
        <x:f>IF(AND($A101&gt;='Control Room'!$A$13,$A101&lt;'Control Room'!$A$13+'Control Room'!$B$13,'Process'!BU2=1),1+('Control Room'!$C$13-1)*EXP(-0.5*(($A101-'Control Room'!$A$13-('Control Room'!$B$13-1)/2)/MAX(0.5,'Control Room'!$B$13/4))^2),1)*IF(AND($A101&gt;='Control Room'!$A$14,$A101&lt;'Control Room'!$A$14+'Control Room'!$B$14,'Process'!BU3=1),1+('Control Room'!$C$14-1)*EXP(-0.5*(($A101-'Control Room'!$A$14-('Control Room'!$B$14-1)/2)/MAX(0.5,'Control Room'!$B$14/4))^2),1)*IF(AND($A101&gt;='Control Room'!$A$15,$A101&lt;'Control Room'!$A$15+'Control Room'!$B$15,'Process'!BU4=1),1+('Control Room'!$C$15-1)*EXP(-0.5*(($A101-'Control Room'!$A$15-('Control Room'!$B$15-1)/2)/MAX(0.5,'Control Room'!$B$15/4))^2),1)*IF(AND($A101&gt;='Control Room'!$A$16,$A101&lt;'Control Room'!$A$16+'Control Room'!$B$16,'Process'!BU5=1),1+('Control Room'!$C$16-1)*EXP(-0.5*(($A101-'Control Room'!$A$16-('Control Room'!$B$16-1)/2)/MAX(0.5,'Control Room'!$B$16/4))^2),1)</x:f>
        <x:v>1.7811133519636562</x:v>
      </x:c>
      <x:c r="BE101" s="9" t="n">
        <x:f>MOD(BF100*16807,2147483647)</x:f>
        <x:v>2047747595</x:v>
      </x:c>
      <x:c r="BF101" s="9" t="n">
        <x:f>MOD(BE101*16807,2147483647)</x:f>
        <x:v>920902343</x:v>
      </x:c>
      <x:c r="BG101" s="17" t="n">
        <x:f>IF('Control Room'!$B$5="Normal",'Control Room'!$B$7+'Control Room'!$D$7*SQRT(-2*LN(MAX(0.000000000001,BE101/2147483647)))*COS(2*PI()*BF101/2147483647),'Control Room'!$B$8+('Control Room'!$D$8-'Control Room'!$B$8)*BE101/2147483647)</x:f>
        <x:v>974.9730137055341</x:v>
      </x:c>
      <x:c r="BH101" s="17" t="n">
        <x:f>IF('Control Room'!$B$5="Normal",'Control Room'!$B$7,('Control Room'!$B$8+'Control Room'!$D$8)/2)+'Control Room'!$B$9*(BH100-IF('Control Room'!$B$5="Normal",'Control Room'!$B$7,('Control Room'!$B$8+'Control Room'!$D$8)/2))+SQRT(1-'Control Room'!$B$9^2)*(BG101-IF('Control Room'!$B$5="Normal",'Control Room'!$B$7,('Control Room'!$B$8+'Control Room'!$D$8)/2))</x:f>
        <x:v>1018.3458495232658</x:v>
      </x:c>
      <x:c r="BI101" s="17" t="n">
        <x:f>IF(AND($A101&gt;='Control Room'!$A$13,$A101&lt;'Control Room'!$A$13+'Control Room'!$B$13,'Process'!BV2=1),1+('Control Room'!$C$13-1)*EXP(-0.5*(($A101-'Control Room'!$A$13-('Control Room'!$B$13-1)/2)/MAX(0.5,'Control Room'!$B$13/4))^2),1)*IF(AND($A101&gt;='Control Room'!$A$14,$A101&lt;'Control Room'!$A$14+'Control Room'!$B$14,'Process'!BV3=1),1+('Control Room'!$C$14-1)*EXP(-0.5*(($A101-'Control Room'!$A$14-('Control Room'!$B$14-1)/2)/MAX(0.5,'Control Room'!$B$14/4))^2),1)*IF(AND($A101&gt;='Control Room'!$A$15,$A101&lt;'Control Room'!$A$15+'Control Room'!$B$15,'Process'!BV4=1),1+('Control Room'!$C$15-1)*EXP(-0.5*(($A101-'Control Room'!$A$15-('Control Room'!$B$15-1)/2)/MAX(0.5,'Control Room'!$B$15/4))^2),1)*IF(AND($A101&gt;='Control Room'!$A$16,$A101&lt;'Control Room'!$A$16+'Control Room'!$B$16,'Process'!BV5=1),1+('Control Room'!$C$16-1)*EXP(-0.5*(($A101-'Control Room'!$A$16-('Control Room'!$B$16-1)/2)/MAX(0.5,'Control Room'!$B$16/4))^2),1)</x:f>
        <x:v>1.7811133519636562</x:v>
      </x:c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Z101" t="str">
        <x:f>IF('Data'!A101="","",TEXT('Data'!A101,"mm-dd"))</x:f>
        <x:v>02-09</x:v>
      </x:c>
    </x:row>
    <x:row r="102" ht="21" customHeight="1">
      <x:c r="A102" s="15" t="n">
        <x:f>'Control Room'!$B$1+100</x:f>
        <x:v>73091</x:v>
      </x:c>
      <x:c r="B102" s="9" t="n">
        <x:f>MOD(C101*16807,2147483647)</x:f>
        <x:v>470830429</x:v>
      </x:c>
      <x:c r="C102" s="9" t="n">
        <x:f>MOD(B102*16807,2147483647)</x:f>
        <x:v>1917264655</x:v>
      </x:c>
      <x:c r="D102" s="17" t="n">
        <x:f>IF('Control Room'!$B$5="Normal",'Control Room'!$B$7+'Control Room'!$D$7*SQRT(-2*LN(MAX(0.000000000001,B102/2147483647)))*COS(2*PI()*C102/2147483647),'Control Room'!$B$8+('Control Room'!$D$8-'Control Room'!$B$8)*B102/2147483647)</x:f>
        <x:v>1122.5489177148422</x:v>
      </x:c>
      <x:c r="E102" s="17" t="n">
        <x:f>IF('Control Room'!$B$5="Normal",'Control Room'!$B$7,('Control Room'!$B$8+'Control Room'!$D$8)/2)+'Control Room'!$B$9*(E101-IF('Control Room'!$B$5="Normal",'Control Room'!$B$7,('Control Room'!$B$8+'Control Room'!$D$8)/2))+SQRT(1-'Control Room'!$B$9^2)*(D102-IF('Control Room'!$B$5="Normal",'Control Room'!$B$7,('Control Room'!$B$8+'Control Room'!$D$8)/2))</x:f>
        <x:v>997.271895452855</x:v>
      </x:c>
      <x:c r="F102" s="17" t="n">
        <x:f>IF(AND($A102&gt;='Control Room'!$A$13,$A102&lt;'Control Room'!$A$13+'Control Room'!$B$13,'Process'!BK2=1),1+('Control Room'!$C$13-1)*EXP(-0.5*(($A102-'Control Room'!$A$13-('Control Room'!$B$13-1)/2)/MAX(0.5,'Control Room'!$B$13/4))^2),1)*IF(AND($A102&gt;='Control Room'!$A$14,$A102&lt;'Control Room'!$A$14+'Control Room'!$B$14,'Process'!BK3=1),1+('Control Room'!$C$14-1)*EXP(-0.5*(($A102-'Control Room'!$A$14-('Control Room'!$B$14-1)/2)/MAX(0.5,'Control Room'!$B$14/4))^2),1)*IF(AND($A102&gt;='Control Room'!$A$15,$A102&lt;'Control Room'!$A$15+'Control Room'!$B$15,'Process'!BK4=1),1+('Control Room'!$C$15-1)*EXP(-0.5*(($A102-'Control Room'!$A$15-('Control Room'!$B$15-1)/2)/MAX(0.5,'Control Room'!$B$15/4))^2),1)*IF(AND($A102&gt;='Control Room'!$A$16,$A102&lt;'Control Room'!$A$16+'Control Room'!$B$16,'Process'!BK5=1),1+('Control Room'!$C$16-1)*EXP(-0.5*(($A102-'Control Room'!$A$16-('Control Room'!$B$16-1)/2)/MAX(0.5,'Control Room'!$B$16/4))^2),1)</x:f>
        <x:v>2.9</x:v>
      </x:c>
      <x:c r="G102" s="9" t="n">
        <x:f>MOD(H101*16807,2147483647)</x:f>
        <x:v>1076526373</x:v>
      </x:c>
      <x:c r="H102" s="9" t="n">
        <x:f>MOD(G102*16807,2147483647)</x:f>
        <x:v>629025036</x:v>
      </x:c>
      <x:c r="I102" s="17" t="n">
        <x:f>IF('Control Room'!$B$5="Normal",'Control Room'!$B$7+'Control Room'!$D$7*SQRT(-2*LN(MAX(0.000000000001,G102/2147483647)))*COS(2*PI()*H102/2147483647),'Control Room'!$B$8+('Control Room'!$D$8-'Control Room'!$B$8)*G102/2147483647)</x:f>
        <x:v>971.8260869976344</x:v>
      </x:c>
      <x:c r="J102" s="17" t="n">
        <x:f>IF('Control Room'!$B$5="Normal",'Control Room'!$B$7,('Control Room'!$B$8+'Control Room'!$D$8)/2)+'Control Room'!$B$9*(J101-IF('Control Room'!$B$5="Normal",'Control Room'!$B$7,('Control Room'!$B$8+'Control Room'!$D$8)/2))+SQRT(1-'Control Room'!$B$9^2)*(I102-IF('Control Room'!$B$5="Normal",'Control Room'!$B$7,('Control Room'!$B$8+'Control Room'!$D$8)/2))</x:f>
        <x:v>1026.1557958065146</x:v>
      </x:c>
      <x:c r="K102" s="17" t="n">
        <x:f>IF(AND($A102&gt;='Control Room'!$A$13,$A102&lt;'Control Room'!$A$13+'Control Room'!$B$13,'Process'!BL2=1),1+('Control Room'!$C$13-1)*EXP(-0.5*(($A102-'Control Room'!$A$13-('Control Room'!$B$13-1)/2)/MAX(0.5,'Control Room'!$B$13/4))^2),1)*IF(AND($A102&gt;='Control Room'!$A$14,$A102&lt;'Control Room'!$A$14+'Control Room'!$B$14,'Process'!BL3=1),1+('Control Room'!$C$14-1)*EXP(-0.5*(($A102-'Control Room'!$A$14-('Control Room'!$B$14-1)/2)/MAX(0.5,'Control Room'!$B$14/4))^2),1)*IF(AND($A102&gt;='Control Room'!$A$15,$A102&lt;'Control Room'!$A$15+'Control Room'!$B$15,'Process'!BL4=1),1+('Control Room'!$C$15-1)*EXP(-0.5*(($A102-'Control Room'!$A$15-('Control Room'!$B$15-1)/2)/MAX(0.5,'Control Room'!$B$15/4))^2),1)*IF(AND($A102&gt;='Control Room'!$A$16,$A102&lt;'Control Room'!$A$16+'Control Room'!$B$16,'Process'!BL5=1),1+('Control Room'!$C$16-1)*EXP(-0.5*(($A102-'Control Room'!$A$16-('Control Room'!$B$16-1)/2)/MAX(0.5,'Control Room'!$B$16/4))^2),1)</x:f>
        <x:v>2.9</x:v>
      </x:c>
      <x:c r="L102" s="9" t="n">
        <x:f>MOD(M101*16807,2147483647)</x:f>
        <x:v>1682222317</x:v>
      </x:c>
      <x:c r="M102" s="9" t="n">
        <x:f>MOD(L102*16807,2147483647)</x:f>
        <x:v>1488269064</x:v>
      </x:c>
      <x:c r="N102" s="17" t="n">
        <x:f>IF('Control Room'!$B$5="Normal",'Control Room'!$B$7+'Control Room'!$D$7*SQRT(-2*LN(MAX(0.000000000001,L102/2147483647)))*COS(2*PI()*M102/2147483647),'Control Room'!$B$8+('Control Room'!$D$8-'Control Room'!$B$8)*L102/2147483647)</x:f>
        <x:v>977.9641186895675</x:v>
      </x:c>
      <x:c r="O102" s="17" t="n">
        <x:f>IF('Control Room'!$B$5="Normal",'Control Room'!$B$7,('Control Room'!$B$8+'Control Room'!$D$8)/2)+'Control Room'!$B$9*(O101-IF('Control Room'!$B$5="Normal",'Control Room'!$B$7,('Control Room'!$B$8+'Control Room'!$D$8)/2))+SQRT(1-'Control Room'!$B$9^2)*(N102-IF('Control Room'!$B$5="Normal",'Control Room'!$B$7,('Control Room'!$B$8+'Control Room'!$D$8)/2))</x:f>
        <x:v>1039.6318566138443</x:v>
      </x:c>
      <x:c r="P102" s="17" t="n">
        <x:f>IF(AND($A102&gt;='Control Room'!$A$13,$A102&lt;'Control Room'!$A$13+'Control Room'!$B$13,'Process'!BM2=1),1+('Control Room'!$C$13-1)*EXP(-0.5*(($A102-'Control Room'!$A$13-('Control Room'!$B$13-1)/2)/MAX(0.5,'Control Room'!$B$13/4))^2),1)*IF(AND($A102&gt;='Control Room'!$A$14,$A102&lt;'Control Room'!$A$14+'Control Room'!$B$14,'Process'!BM3=1),1+('Control Room'!$C$14-1)*EXP(-0.5*(($A102-'Control Room'!$A$14-('Control Room'!$B$14-1)/2)/MAX(0.5,'Control Room'!$B$14/4))^2),1)*IF(AND($A102&gt;='Control Room'!$A$15,$A102&lt;'Control Room'!$A$15+'Control Room'!$B$15,'Process'!BM4=1),1+('Control Room'!$C$15-1)*EXP(-0.5*(($A102-'Control Room'!$A$15-('Control Room'!$B$15-1)/2)/MAX(0.5,'Control Room'!$B$15/4))^2),1)*IF(AND($A102&gt;='Control Room'!$A$16,$A102&lt;'Control Room'!$A$16+'Control Room'!$B$16,'Process'!BM5=1),1+('Control Room'!$C$16-1)*EXP(-0.5*(($A102-'Control Room'!$A$16-('Control Room'!$B$16-1)/2)/MAX(0.5,'Control Room'!$B$16/4))^2),1)</x:f>
        <x:v>2.9</x:v>
      </x:c>
      <x:c r="Q102" s="9" t="n">
        <x:f>MOD(R101*16807,2147483647)</x:f>
        <x:v>140434614</x:v>
      </x:c>
      <x:c r="R102" s="9" t="n">
        <x:f>MOD(Q102*16807,2147483647)</x:f>
        <x:v>200029445</x:v>
      </x:c>
      <x:c r="S102" s="17" t="n">
        <x:f>IF('Control Room'!$B$5="Normal",'Control Room'!$B$7+'Control Room'!$D$7*SQRT(-2*LN(MAX(0.000000000001,Q102/2147483647)))*COS(2*PI()*R102/2147483647),'Control Room'!$B$8+('Control Room'!$D$8-'Control Room'!$B$8)*Q102/2147483647)</x:f>
        <x:v>1175.2136571015415</x:v>
      </x:c>
      <x:c r="T102" s="17" t="n">
        <x:f>IF('Control Room'!$B$5="Normal",'Control Room'!$B$7,('Control Room'!$B$8+'Control Room'!$D$8)/2)+'Control Room'!$B$9*(T101-IF('Control Room'!$B$5="Normal",'Control Room'!$B$7,('Control Room'!$B$8+'Control Room'!$D$8)/2))+SQRT(1-'Control Room'!$B$9^2)*(S102-IF('Control Room'!$B$5="Normal",'Control Room'!$B$7,('Control Room'!$B$8+'Control Room'!$D$8)/2))</x:f>
        <x:v>1248.8413578219574</x:v>
      </x:c>
      <x:c r="U102" s="17" t="n">
        <x:f>IF(AND($A102&gt;='Control Room'!$A$13,$A102&lt;'Control Room'!$A$13+'Control Room'!$B$13,'Process'!BN2=1),1+('Control Room'!$C$13-1)*EXP(-0.5*(($A102-'Control Room'!$A$13-('Control Room'!$B$13-1)/2)/MAX(0.5,'Control Room'!$B$13/4))^2),1)*IF(AND($A102&gt;='Control Room'!$A$14,$A102&lt;'Control Room'!$A$14+'Control Room'!$B$14,'Process'!BN3=1),1+('Control Room'!$C$14-1)*EXP(-0.5*(($A102-'Control Room'!$A$14-('Control Room'!$B$14-1)/2)/MAX(0.5,'Control Room'!$B$14/4))^2),1)*IF(AND($A102&gt;='Control Room'!$A$15,$A102&lt;'Control Room'!$A$15+'Control Room'!$B$15,'Process'!BN4=1),1+('Control Room'!$C$15-1)*EXP(-0.5*(($A102-'Control Room'!$A$15-('Control Room'!$B$15-1)/2)/MAX(0.5,'Control Room'!$B$15/4))^2),1)*IF(AND($A102&gt;='Control Room'!$A$16,$A102&lt;'Control Room'!$A$16+'Control Room'!$B$16,'Process'!BN5=1),1+('Control Room'!$C$16-1)*EXP(-0.5*(($A102-'Control Room'!$A$16-('Control Room'!$B$16-1)/2)/MAX(0.5,'Control Room'!$B$16/4))^2),1)</x:f>
        <x:v>2.9</x:v>
      </x:c>
      <x:c r="V102" s="9" t="n">
        <x:f>MOD(W101*16807,2147483647)</x:f>
        <x:v>746130558</x:v>
      </x:c>
      <x:c r="W102" s="9" t="n">
        <x:f>MOD(V102*16807,2147483647)</x:f>
        <x:v>1059273473</x:v>
      </x:c>
      <x:c r="X102" s="17" t="n">
        <x:f>IF('Control Room'!$B$5="Normal",'Control Room'!$B$7+'Control Room'!$D$7*SQRT(-2*LN(MAX(0.000000000001,V102/2147483647)))*COS(2*PI()*W102/2147483647),'Control Room'!$B$8+('Control Room'!$D$8-'Control Room'!$B$8)*V102/2147483647)</x:f>
        <x:v>869.2514543985719</x:v>
      </x:c>
      <x:c r="Y102" s="17" t="n">
        <x:f>IF('Control Room'!$B$5="Normal",'Control Room'!$B$7,('Control Room'!$B$8+'Control Room'!$D$8)/2)+'Control Room'!$B$9*(Y101-IF('Control Room'!$B$5="Normal",'Control Room'!$B$7,('Control Room'!$B$8+'Control Room'!$D$8)/2))+SQRT(1-'Control Room'!$B$9^2)*(X102-IF('Control Room'!$B$5="Normal",'Control Room'!$B$7,('Control Room'!$B$8+'Control Room'!$D$8)/2))</x:f>
        <x:v>891.6043763873415</x:v>
      </x:c>
      <x:c r="Z102" s="17" t="n">
        <x:f>IF(AND($A102&gt;='Control Room'!$A$13,$A102&lt;'Control Room'!$A$13+'Control Room'!$B$13,'Process'!BO2=1),1+('Control Room'!$C$13-1)*EXP(-0.5*(($A102-'Control Room'!$A$13-('Control Room'!$B$13-1)/2)/MAX(0.5,'Control Room'!$B$13/4))^2),1)*IF(AND($A102&gt;='Control Room'!$A$14,$A102&lt;'Control Room'!$A$14+'Control Room'!$B$14,'Process'!BO3=1),1+('Control Room'!$C$14-1)*EXP(-0.5*(($A102-'Control Room'!$A$14-('Control Room'!$B$14-1)/2)/MAX(0.5,'Control Room'!$B$14/4))^2),1)*IF(AND($A102&gt;='Control Room'!$A$15,$A102&lt;'Control Room'!$A$15+'Control Room'!$B$15,'Process'!BO4=1),1+('Control Room'!$C$15-1)*EXP(-0.5*(($A102-'Control Room'!$A$15-('Control Room'!$B$15-1)/2)/MAX(0.5,'Control Room'!$B$15/4))^2),1)*IF(AND($A102&gt;='Control Room'!$A$16,$A102&lt;'Control Room'!$A$16+'Control Room'!$B$16,'Process'!BO5=1),1+('Control Room'!$C$16-1)*EXP(-0.5*(($A102-'Control Room'!$A$16-('Control Room'!$B$16-1)/2)/MAX(0.5,'Control Room'!$B$16/4))^2),1)</x:f>
        <x:v>2.9</x:v>
      </x:c>
      <x:c r="AA102" s="9" t="n">
        <x:f>MOD(AB101*16807,2147483647)</x:f>
        <x:v>1351826502</x:v>
      </x:c>
      <x:c r="AB102" s="9" t="n">
        <x:f>MOD(AA102*16807,2147483647)</x:f>
        <x:v>1918517501</x:v>
      </x:c>
      <x:c r="AC102" s="17" t="n">
        <x:f>IF('Control Room'!$B$5="Normal",'Control Room'!$B$7+'Control Room'!$D$7*SQRT(-2*LN(MAX(0.000000000001,AA102/2147483647)))*COS(2*PI()*AB102/2147483647),'Control Room'!$B$8+('Control Room'!$D$8-'Control Room'!$B$8)*AA102/2147483647)</x:f>
        <x:v>1067.876380637444</x:v>
      </x:c>
      <x:c r="AD102" s="17" t="n">
        <x:f>IF('Control Room'!$B$5="Normal",'Control Room'!$B$7,('Control Room'!$B$8+'Control Room'!$D$8)/2)+'Control Room'!$B$9*(AD101-IF('Control Room'!$B$5="Normal",'Control Room'!$B$7,('Control Room'!$B$8+'Control Room'!$D$8)/2))+SQRT(1-'Control Room'!$B$9^2)*(AC102-IF('Control Room'!$B$5="Normal",'Control Room'!$B$7,('Control Room'!$B$8+'Control Room'!$D$8)/2))</x:f>
        <x:v>1183.1739742130276</x:v>
      </x:c>
      <x:c r="AE102" s="17" t="n">
        <x:f>IF(AND($A102&gt;='Control Room'!$A$13,$A102&lt;'Control Room'!$A$13+'Control Room'!$B$13,'Process'!BP2=1),1+('Control Room'!$C$13-1)*EXP(-0.5*(($A102-'Control Room'!$A$13-('Control Room'!$B$13-1)/2)/MAX(0.5,'Control Room'!$B$13/4))^2),1)*IF(AND($A102&gt;='Control Room'!$A$14,$A102&lt;'Control Room'!$A$14+'Control Room'!$B$14,'Process'!BP3=1),1+('Control Room'!$C$14-1)*EXP(-0.5*(($A102-'Control Room'!$A$14-('Control Room'!$B$14-1)/2)/MAX(0.5,'Control Room'!$B$14/4))^2),1)*IF(AND($A102&gt;='Control Room'!$A$15,$A102&lt;'Control Room'!$A$15+'Control Room'!$B$15,'Process'!BP4=1),1+('Control Room'!$C$15-1)*EXP(-0.5*(($A102-'Control Room'!$A$15-('Control Room'!$B$15-1)/2)/MAX(0.5,'Control Room'!$B$15/4))^2),1)*IF(AND($A102&gt;='Control Room'!$A$16,$A102&lt;'Control Room'!$A$16+'Control Room'!$B$16,'Process'!BP5=1),1+('Control Room'!$C$16-1)*EXP(-0.5*(($A102-'Control Room'!$A$16-('Control Room'!$B$16-1)/2)/MAX(0.5,'Control Room'!$B$16/4))^2),1)</x:f>
        <x:v>2.9</x:v>
      </x:c>
      <x:c r="AF102" s="9" t="n">
        <x:f>MOD(AG101*16807,2147483647)</x:f>
        <x:v>1957522446</x:v>
      </x:c>
      <x:c r="AG102" s="9" t="n">
        <x:f>MOD(AF102*16807,2147483647)</x:f>
        <x:v>630277882</x:v>
      </x:c>
      <x:c r="AH102" s="17" t="n">
        <x:f>IF('Control Room'!$B$5="Normal",'Control Room'!$B$7+'Control Room'!$D$7*SQRT(-2*LN(MAX(0.000000000001,AF102/2147483647)))*COS(2*PI()*AG102/2147483647),'Control Room'!$B$8+('Control Room'!$D$8-'Control Room'!$B$8)*AF102/2147483647)</x:f>
        <x:v>989.5452712036756</x:v>
      </x:c>
      <x:c r="AI102" s="17" t="n">
        <x:f>IF('Control Room'!$B$5="Normal",'Control Room'!$B$7,('Control Room'!$B$8+'Control Room'!$D$8)/2)+'Control Room'!$B$9*(AI101-IF('Control Room'!$B$5="Normal",'Control Room'!$B$7,('Control Room'!$B$8+'Control Room'!$D$8)/2))+SQRT(1-'Control Room'!$B$9^2)*(AH102-IF('Control Room'!$B$5="Normal",'Control Room'!$B$7,('Control Room'!$B$8+'Control Room'!$D$8)/2))</x:f>
        <x:v>1028.748267090289</x:v>
      </x:c>
      <x:c r="AJ102" s="17" t="n">
        <x:f>IF(AND($A102&gt;='Control Room'!$A$13,$A102&lt;'Control Room'!$A$13+'Control Room'!$B$13,'Process'!BQ2=1),1+('Control Room'!$C$13-1)*EXP(-0.5*(($A102-'Control Room'!$A$13-('Control Room'!$B$13-1)/2)/MAX(0.5,'Control Room'!$B$13/4))^2),1)*IF(AND($A102&gt;='Control Room'!$A$14,$A102&lt;'Control Room'!$A$14+'Control Room'!$B$14,'Process'!BQ3=1),1+('Control Room'!$C$14-1)*EXP(-0.5*(($A102-'Control Room'!$A$14-('Control Room'!$B$14-1)/2)/MAX(0.5,'Control Room'!$B$14/4))^2),1)*IF(AND($A102&gt;='Control Room'!$A$15,$A102&lt;'Control Room'!$A$15+'Control Room'!$B$15,'Process'!BQ4=1),1+('Control Room'!$C$15-1)*EXP(-0.5*(($A102-'Control Room'!$A$15-('Control Room'!$B$15-1)/2)/MAX(0.5,'Control Room'!$B$15/4))^2),1)*IF(AND($A102&gt;='Control Room'!$A$16,$A102&lt;'Control Room'!$A$16+'Control Room'!$B$16,'Process'!BQ5=1),1+('Control Room'!$C$16-1)*EXP(-0.5*(($A102-'Control Room'!$A$16-('Control Room'!$B$16-1)/2)/MAX(0.5,'Control Room'!$B$16/4))^2),1)</x:f>
        <x:v>2.9</x:v>
      </x:c>
      <x:c r="AK102" s="9" t="n">
        <x:f>MOD(AL101*16807,2147483647)</x:f>
        <x:v>415734743</x:v>
      </x:c>
      <x:c r="AL102" s="9" t="n">
        <x:f>MOD(AK102*16807,2147483647)</x:f>
        <x:v>1489521910</x:v>
      </x:c>
      <x:c r="AM102" s="17" t="n">
        <x:f>IF('Control Room'!$B$5="Normal",'Control Room'!$B$7+'Control Room'!$D$7*SQRT(-2*LN(MAX(0.000000000001,AK102/2147483647)))*COS(2*PI()*AL102/2147483647),'Control Room'!$B$8+('Control Room'!$D$8-'Control Room'!$B$8)*AK102/2147483647)</x:f>
        <x:v>943.4175204618214</x:v>
      </x:c>
      <x:c r="AN102" s="17" t="n">
        <x:f>IF('Control Room'!$B$5="Normal",'Control Room'!$B$7,('Control Room'!$B$8+'Control Room'!$D$8)/2)+'Control Room'!$B$9*(AN101-IF('Control Room'!$B$5="Normal",'Control Room'!$B$7,('Control Room'!$B$8+'Control Room'!$D$8)/2))+SQRT(1-'Control Room'!$B$9^2)*(AM102-IF('Control Room'!$B$5="Normal",'Control Room'!$B$7,('Control Room'!$B$8+'Control Room'!$D$8)/2))</x:f>
        <x:v>891.5383018273757</x:v>
      </x:c>
      <x:c r="AO102" s="17" t="n">
        <x:f>IF(AND($A102&gt;='Control Room'!$A$13,$A102&lt;'Control Room'!$A$13+'Control Room'!$B$13,'Process'!BR2=1),1+('Control Room'!$C$13-1)*EXP(-0.5*(($A102-'Control Room'!$A$13-('Control Room'!$B$13-1)/2)/MAX(0.5,'Control Room'!$B$13/4))^2),1)*IF(AND($A102&gt;='Control Room'!$A$14,$A102&lt;'Control Room'!$A$14+'Control Room'!$B$14,'Process'!BR3=1),1+('Control Room'!$C$14-1)*EXP(-0.5*(($A102-'Control Room'!$A$14-('Control Room'!$B$14-1)/2)/MAX(0.5,'Control Room'!$B$14/4))^2),1)*IF(AND($A102&gt;='Control Room'!$A$15,$A102&lt;'Control Room'!$A$15+'Control Room'!$B$15,'Process'!BR4=1),1+('Control Room'!$C$15-1)*EXP(-0.5*(($A102-'Control Room'!$A$15-('Control Room'!$B$15-1)/2)/MAX(0.5,'Control Room'!$B$15/4))^2),1)*IF(AND($A102&gt;='Control Room'!$A$16,$A102&lt;'Control Room'!$A$16+'Control Room'!$B$16,'Process'!BR5=1),1+('Control Room'!$C$16-1)*EXP(-0.5*(($A102-'Control Room'!$A$16-('Control Room'!$B$16-1)/2)/MAX(0.5,'Control Room'!$B$16/4))^2),1)</x:f>
        <x:v>2.9</x:v>
      </x:c>
      <x:c r="AP102" s="9" t="n">
        <x:f>MOD(AQ101*16807,2147483647)</x:f>
        <x:v>1021430687</x:v>
      </x:c>
      <x:c r="AQ102" s="9" t="n">
        <x:f>MOD(AP102*16807,2147483647)</x:f>
        <x:v>201282291</x:v>
      </x:c>
      <x:c r="AR102" s="17" t="n">
        <x:f>IF('Control Room'!$B$5="Normal",'Control Room'!$B$7+'Control Room'!$D$7*SQRT(-2*LN(MAX(0.000000000001,AP102/2147483647)))*COS(2*PI()*AQ102/2147483647),'Control Room'!$B$8+('Control Room'!$D$8-'Control Room'!$B$8)*AP102/2147483647)</x:f>
        <x:v>1091.2353054355938</x:v>
      </x:c>
      <x:c r="AS102" s="17" t="n">
        <x:f>IF('Control Room'!$B$5="Normal",'Control Room'!$B$7,('Control Room'!$B$8+'Control Room'!$D$8)/2)+'Control Room'!$B$9*(AS101-IF('Control Room'!$B$5="Normal",'Control Room'!$B$7,('Control Room'!$B$8+'Control Room'!$D$8)/2))+SQRT(1-'Control Room'!$B$9^2)*(AR102-IF('Control Room'!$B$5="Normal",'Control Room'!$B$7,('Control Room'!$B$8+'Control Room'!$D$8)/2))</x:f>
        <x:v>1016.4507067631115</x:v>
      </x:c>
      <x:c r="AT102" s="17" t="n">
        <x:f>IF(AND($A102&gt;='Control Room'!$A$13,$A102&lt;'Control Room'!$A$13+'Control Room'!$B$13,'Process'!BS2=1),1+('Control Room'!$C$13-1)*EXP(-0.5*(($A102-'Control Room'!$A$13-('Control Room'!$B$13-1)/2)/MAX(0.5,'Control Room'!$B$13/4))^2),1)*IF(AND($A102&gt;='Control Room'!$A$14,$A102&lt;'Control Room'!$A$14+'Control Room'!$B$14,'Process'!BS3=1),1+('Control Room'!$C$14-1)*EXP(-0.5*(($A102-'Control Room'!$A$14-('Control Room'!$B$14-1)/2)/MAX(0.5,'Control Room'!$B$14/4))^2),1)*IF(AND($A102&gt;='Control Room'!$A$15,$A102&lt;'Control Room'!$A$15+'Control Room'!$B$15,'Process'!BS4=1),1+('Control Room'!$C$15-1)*EXP(-0.5*(($A102-'Control Room'!$A$15-('Control Room'!$B$15-1)/2)/MAX(0.5,'Control Room'!$B$15/4))^2),1)*IF(AND($A102&gt;='Control Room'!$A$16,$A102&lt;'Control Room'!$A$16+'Control Room'!$B$16,'Process'!BS5=1),1+('Control Room'!$C$16-1)*EXP(-0.5*(($A102-'Control Room'!$A$16-('Control Room'!$B$16-1)/2)/MAX(0.5,'Control Room'!$B$16/4))^2),1)</x:f>
        <x:v>2.9</x:v>
      </x:c>
      <x:c r="AU102" s="9" t="n">
        <x:f>MOD(AV101*16807,2147483647)</x:f>
        <x:v>1627126631</x:v>
      </x:c>
      <x:c r="AV102" s="9" t="n">
        <x:f>MOD(AU102*16807,2147483647)</x:f>
        <x:v>1060526319</x:v>
      </x:c>
      <x:c r="AW102" s="17" t="n">
        <x:f>IF('Control Room'!$B$5="Normal",'Control Room'!$B$7+'Control Room'!$D$7*SQRT(-2*LN(MAX(0.000000000001,AU102/2147483647)))*COS(2*PI()*AV102/2147483647),'Control Room'!$B$8+('Control Room'!$D$8-'Control Room'!$B$8)*AU102/2147483647)</x:f>
        <x:v>933.0039067730374</x:v>
      </x:c>
      <x:c r="AX102" s="17" t="n">
        <x:f>IF('Control Room'!$B$5="Normal",'Control Room'!$B$7,('Control Room'!$B$8+'Control Room'!$D$8)/2)+'Control Room'!$B$9*(AX101-IF('Control Room'!$B$5="Normal",'Control Room'!$B$7,('Control Room'!$B$8+'Control Room'!$D$8)/2))+SQRT(1-'Control Room'!$B$9^2)*(AW102-IF('Control Room'!$B$5="Normal",'Control Room'!$B$7,('Control Room'!$B$8+'Control Room'!$D$8)/2))</x:f>
        <x:v>1016.3148526320347</x:v>
      </x:c>
      <x:c r="AY102" s="17" t="n">
        <x:f>IF(AND($A102&gt;='Control Room'!$A$13,$A102&lt;'Control Room'!$A$13+'Control Room'!$B$13,'Process'!BT2=1),1+('Control Room'!$C$13-1)*EXP(-0.5*(($A102-'Control Room'!$A$13-('Control Room'!$B$13-1)/2)/MAX(0.5,'Control Room'!$B$13/4))^2),1)*IF(AND($A102&gt;='Control Room'!$A$14,$A102&lt;'Control Room'!$A$14+'Control Room'!$B$14,'Process'!BT3=1),1+('Control Room'!$C$14-1)*EXP(-0.5*(($A102-'Control Room'!$A$14-('Control Room'!$B$14-1)/2)/MAX(0.5,'Control Room'!$B$14/4))^2),1)*IF(AND($A102&gt;='Control Room'!$A$15,$A102&lt;'Control Room'!$A$15+'Control Room'!$B$15,'Process'!BT4=1),1+('Control Room'!$C$15-1)*EXP(-0.5*(($A102-'Control Room'!$A$15-('Control Room'!$B$15-1)/2)/MAX(0.5,'Control Room'!$B$15/4))^2),1)*IF(AND($A102&gt;='Control Room'!$A$16,$A102&lt;'Control Room'!$A$16+'Control Room'!$B$16,'Process'!BT5=1),1+('Control Room'!$C$16-1)*EXP(-0.5*(($A102-'Control Room'!$A$16-('Control Room'!$B$16-1)/2)/MAX(0.5,'Control Room'!$B$16/4))^2),1)</x:f>
        <x:v>2.9</x:v>
      </x:c>
      <x:c r="AZ102" s="9" t="n">
        <x:f>MOD(BA101*16807,2147483647)</x:f>
        <x:v>85338928</x:v>
      </x:c>
      <x:c r="BA102" s="9" t="n">
        <x:f>MOD(AZ102*16807,2147483647)</x:f>
        <x:v>1919770347</x:v>
      </x:c>
      <x:c r="BB102" s="17" t="n">
        <x:f>IF('Control Room'!$B$5="Normal",'Control Room'!$B$7+'Control Room'!$D$7*SQRT(-2*LN(MAX(0.000000000001,AZ102/2147483647)))*COS(2*PI()*BA102/2147483647),'Control Room'!$B$8+('Control Room'!$D$8-'Control Room'!$B$8)*AZ102/2147483647)</x:f>
        <x:v>1179.7019080588002</x:v>
      </x:c>
      <x:c r="BC102" s="17" t="n">
        <x:f>IF('Control Room'!$B$5="Normal",'Control Room'!$B$7,('Control Room'!$B$8+'Control Room'!$D$8)/2)+'Control Room'!$B$9*(BC101-IF('Control Room'!$B$5="Normal",'Control Room'!$B$7,('Control Room'!$B$8+'Control Room'!$D$8)/2))+SQRT(1-'Control Room'!$B$9^2)*(BB102-IF('Control Room'!$B$5="Normal",'Control Room'!$B$7,('Control Room'!$B$8+'Control Room'!$D$8)/2))</x:f>
        <x:v>1020.2551701798295</x:v>
      </x:c>
      <x:c r="BD102" s="17" t="n">
        <x:f>IF(AND($A102&gt;='Control Room'!$A$13,$A102&lt;'Control Room'!$A$13+'Control Room'!$B$13,'Process'!BU2=1),1+('Control Room'!$C$13-1)*EXP(-0.5*(($A102-'Control Room'!$A$13-('Control Room'!$B$13-1)/2)/MAX(0.5,'Control Room'!$B$13/4))^2),1)*IF(AND($A102&gt;='Control Room'!$A$14,$A102&lt;'Control Room'!$A$14+'Control Room'!$B$14,'Process'!BU3=1),1+('Control Room'!$C$14-1)*EXP(-0.5*(($A102-'Control Room'!$A$14-('Control Room'!$B$14-1)/2)/MAX(0.5,'Control Room'!$B$14/4))^2),1)*IF(AND($A102&gt;='Control Room'!$A$15,$A102&lt;'Control Room'!$A$15+'Control Room'!$B$15,'Process'!BU4=1),1+('Control Room'!$C$15-1)*EXP(-0.5*(($A102-'Control Room'!$A$15-('Control Room'!$B$15-1)/2)/MAX(0.5,'Control Room'!$B$15/4))^2),1)*IF(AND($A102&gt;='Control Room'!$A$16,$A102&lt;'Control Room'!$A$16+'Control Room'!$B$16,'Process'!BU5=1),1+('Control Room'!$C$16-1)*EXP(-0.5*(($A102-'Control Room'!$A$16-('Control Room'!$B$16-1)/2)/MAX(0.5,'Control Room'!$B$16/4))^2),1)</x:f>
        <x:v>2.9</x:v>
      </x:c>
      <x:c r="BE102" s="9" t="n">
        <x:f>MOD(BF101*16807,2147483647)</x:f>
        <x:v>691034872</x:v>
      </x:c>
      <x:c r="BF102" s="9" t="n">
        <x:f>MOD(BE102*16807,2147483647)</x:f>
        <x:v>631530728</x:v>
      </x:c>
      <x:c r="BG102" s="17" t="n">
        <x:f>IF('Control Room'!$B$5="Normal",'Control Room'!$B$7+'Control Room'!$D$7*SQRT(-2*LN(MAX(0.000000000001,BE102/2147483647)))*COS(2*PI()*BF102/2147483647),'Control Room'!$B$8+('Control Room'!$D$8-'Control Room'!$B$8)*BE102/2147483647)</x:f>
        <x:v>962.9415915852928</x:v>
      </x:c>
      <x:c r="BH102" s="17" t="n">
        <x:f>IF('Control Room'!$B$5="Normal",'Control Room'!$B$7,('Control Room'!$B$8+'Control Room'!$D$8)/2)+'Control Room'!$B$9*(BH101-IF('Control Room'!$B$5="Normal",'Control Room'!$B$7,('Control Room'!$B$8+'Control Room'!$D$8)/2))+SQRT(1-'Control Room'!$B$9^2)*(BG102-IF('Control Room'!$B$5="Normal",'Control Room'!$B$7,('Control Room'!$B$8+'Control Room'!$D$8)/2))</x:f>
        <x:v>991.1193698249851</x:v>
      </x:c>
      <x:c r="BI102" s="17" t="n">
        <x:f>IF(AND($A102&gt;='Control Room'!$A$13,$A102&lt;'Control Room'!$A$13+'Control Room'!$B$13,'Process'!BV2=1),1+('Control Room'!$C$13-1)*EXP(-0.5*(($A102-'Control Room'!$A$13-('Control Room'!$B$13-1)/2)/MAX(0.5,'Control Room'!$B$13/4))^2),1)*IF(AND($A102&gt;='Control Room'!$A$14,$A102&lt;'Control Room'!$A$14+'Control Room'!$B$14,'Process'!BV3=1),1+('Control Room'!$C$14-1)*EXP(-0.5*(($A102-'Control Room'!$A$14-('Control Room'!$B$14-1)/2)/MAX(0.5,'Control Room'!$B$14/4))^2),1)*IF(AND($A102&gt;='Control Room'!$A$15,$A102&lt;'Control Room'!$A$15+'Control Room'!$B$15,'Process'!BV4=1),1+('Control Room'!$C$15-1)*EXP(-0.5*(($A102-'Control Room'!$A$15-('Control Room'!$B$15-1)/2)/MAX(0.5,'Control Room'!$B$15/4))^2),1)*IF(AND($A102&gt;='Control Room'!$A$16,$A102&lt;'Control Room'!$A$16+'Control Room'!$B$16,'Process'!BV5=1),1+('Control Room'!$C$16-1)*EXP(-0.5*(($A102-'Control Room'!$A$16-('Control Room'!$B$16-1)/2)/MAX(0.5,'Control Room'!$B$16/4))^2),1)</x:f>
        <x:v>2.9</x:v>
      </x:c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Z102" t="str">
        <x:f>IF('Data'!A102="","",TEXT('Data'!A102,"mm-dd"))</x:f>
        <x:v>02-10</x:v>
      </x:c>
    </x:row>
    <x:row r="103" ht="21" customHeight="1">
      <x:c r="A103" s="15" t="n">
        <x:f>'Control Room'!$B$1+101</x:f>
        <x:v>73092</x:v>
      </x:c>
      <x:c r="B103" s="9" t="n">
        <x:f>MOD(C102*16807,2147483647)</x:f>
        <x:v>474933350</x:v>
      </x:c>
      <x:c r="C103" s="9" t="n">
        <x:f>MOD(B103*16807,2147483647)</x:f>
        <x:v>8097551</x:v>
      </x:c>
      <x:c r="D103" s="17" t="n">
        <x:f>IF('Control Room'!$B$5="Normal",'Control Room'!$B$7+'Control Room'!$D$7*SQRT(-2*LN(MAX(0.000000000001,B103/2147483647)))*COS(2*PI()*C103/2147483647),'Control Room'!$B$8+('Control Room'!$D$8-'Control Room'!$B$8)*B103/2147483647)</x:f>
        <x:v>1156.3013062750872</x:v>
      </x:c>
      <x:c r="E103" s="17" t="n">
        <x:f>IF('Control Room'!$B$5="Normal",'Control Room'!$B$7,('Control Room'!$B$8+'Control Room'!$D$8)/2)+'Control Room'!$B$9*(E102-IF('Control Room'!$B$5="Normal",'Control Room'!$B$7,('Control Room'!$B$8+'Control Room'!$D$8)/2))+SQRT(1-'Control Room'!$B$9^2)*(D103-IF('Control Room'!$B$5="Normal",'Control Room'!$B$7,('Control Room'!$B$8+'Control Room'!$D$8)/2))</x:f>
        <x:v>1095.6822339138728</x:v>
      </x:c>
      <x:c r="F103" s="17" t="n">
        <x:f>IF(AND($A103&gt;='Control Room'!$A$13,$A103&lt;'Control Room'!$A$13+'Control Room'!$B$13,'Process'!BK2=1),1+('Control Room'!$C$13-1)*EXP(-0.5*(($A103-'Control Room'!$A$13-('Control Room'!$B$13-1)/2)/MAX(0.5,'Control Room'!$B$13/4))^2),1)*IF(AND($A103&gt;='Control Room'!$A$14,$A103&lt;'Control Room'!$A$14+'Control Room'!$B$14,'Process'!BK3=1),1+('Control Room'!$C$14-1)*EXP(-0.5*(($A103-'Control Room'!$A$14-('Control Room'!$B$14-1)/2)/MAX(0.5,'Control Room'!$B$14/4))^2),1)*IF(AND($A103&gt;='Control Room'!$A$15,$A103&lt;'Control Room'!$A$15+'Control Room'!$B$15,'Process'!BK4=1),1+('Control Room'!$C$15-1)*EXP(-0.5*(($A103-'Control Room'!$A$15-('Control Room'!$B$15-1)/2)/MAX(0.5,'Control Room'!$B$15/4))^2),1)*IF(AND($A103&gt;='Control Room'!$A$16,$A103&lt;'Control Room'!$A$16+'Control Room'!$B$16,'Process'!BK5=1),1+('Control Room'!$C$16-1)*EXP(-0.5*(($A103-'Control Room'!$A$16-('Control Room'!$B$16-1)/2)/MAX(0.5,'Control Room'!$B$16/4))^2),1)</x:f>
        <x:v>1.7811133519636562</x:v>
      </x:c>
      <x:c r="G103" s="9" t="n">
        <x:f>MOD(H102*16807,2147483647)</x:f>
        <x:v>2109269518</x:v>
      </x:c>
      <x:c r="H103" s="9" t="n">
        <x:f>MOD(G103*16807,2147483647)</x:f>
        <x:v>1980227997</x:v>
      </x:c>
      <x:c r="I103" s="17" t="n">
        <x:f>IF('Control Room'!$B$5="Normal",'Control Room'!$B$7+'Control Room'!$D$7*SQRT(-2*LN(MAX(0.000000000001,G103/2147483647)))*COS(2*PI()*H103/2147483647),'Control Room'!$B$8+('Control Room'!$D$8-'Control Room'!$B$8)*G103/2147483647)</x:f>
        <x:v>1015.0532776730595</x:v>
      </x:c>
      <x:c r="J103" s="17" t="n">
        <x:f>IF('Control Room'!$B$5="Normal",'Control Room'!$B$7,('Control Room'!$B$8+'Control Room'!$D$8)/2)+'Control Room'!$B$9*(J102-IF('Control Room'!$B$5="Normal",'Control Room'!$B$7,('Control Room'!$B$8+'Control Room'!$D$8)/2))+SQRT(1-'Control Room'!$B$9^2)*(I103-IF('Control Room'!$B$5="Normal",'Control Room'!$B$7,('Control Room'!$B$8+'Control Room'!$D$8)/2))</x:f>
        <x:v>1029.8215535137267</x:v>
      </x:c>
      <x:c r="K103" s="17" t="n">
        <x:f>IF(AND($A103&gt;='Control Room'!$A$13,$A103&lt;'Control Room'!$A$13+'Control Room'!$B$13,'Process'!BL2=1),1+('Control Room'!$C$13-1)*EXP(-0.5*(($A103-'Control Room'!$A$13-('Control Room'!$B$13-1)/2)/MAX(0.5,'Control Room'!$B$13/4))^2),1)*IF(AND($A103&gt;='Control Room'!$A$14,$A103&lt;'Control Room'!$A$14+'Control Room'!$B$14,'Process'!BL3=1),1+('Control Room'!$C$14-1)*EXP(-0.5*(($A103-'Control Room'!$A$14-('Control Room'!$B$14-1)/2)/MAX(0.5,'Control Room'!$B$14/4))^2),1)*IF(AND($A103&gt;='Control Room'!$A$15,$A103&lt;'Control Room'!$A$15+'Control Room'!$B$15,'Process'!BL4=1),1+('Control Room'!$C$15-1)*EXP(-0.5*(($A103-'Control Room'!$A$15-('Control Room'!$B$15-1)/2)/MAX(0.5,'Control Room'!$B$15/4))^2),1)*IF(AND($A103&gt;='Control Room'!$A$16,$A103&lt;'Control Room'!$A$16+'Control Room'!$B$16,'Process'!BL5=1),1+('Control Room'!$C$16-1)*EXP(-0.5*(($A103-'Control Room'!$A$16-('Control Room'!$B$16-1)/2)/MAX(0.5,'Control Room'!$B$16/4))^2),1)</x:f>
        <x:v>1.7811133519636562</x:v>
      </x:c>
      <x:c r="L103" s="9" t="n">
        <x:f>MOD(M102*16807,2147483647)</x:f>
        <x:v>1596122039</x:v>
      </x:c>
      <x:c r="M103" s="9" t="n">
        <x:f>MOD(L103*16807,2147483647)</x:f>
        <x:v>1804874796</x:v>
      </x:c>
      <x:c r="N103" s="17" t="n">
        <x:f>IF('Control Room'!$B$5="Normal",'Control Room'!$B$7+'Control Room'!$D$7*SQRT(-2*LN(MAX(0.000000000001,L103/2147483647)))*COS(2*PI()*M103/2147483647),'Control Room'!$B$8+('Control Room'!$D$8-'Control Room'!$B$8)*L103/2147483647)</x:f>
        <x:v>1037.3188447637153</x:v>
      </x:c>
      <x:c r="O103" s="17" t="n">
        <x:f>IF('Control Room'!$B$5="Normal",'Control Room'!$B$7,('Control Room'!$B$8+'Control Room'!$D$8)/2)+'Control Room'!$B$9*(O102-IF('Control Room'!$B$5="Normal",'Control Room'!$B$7,('Control Room'!$B$8+'Control Room'!$D$8)/2))+SQRT(1-'Control Room'!$B$9^2)*(N103-IF('Control Room'!$B$5="Normal",'Control Room'!$B$7,('Control Room'!$B$8+'Control Room'!$D$8)/2))</x:f>
        <x:v>1054.2662166938414</x:v>
      </x:c>
      <x:c r="P103" s="17" t="n">
        <x:f>IF(AND($A103&gt;='Control Room'!$A$13,$A103&lt;'Control Room'!$A$13+'Control Room'!$B$13,'Process'!BM2=1),1+('Control Room'!$C$13-1)*EXP(-0.5*(($A103-'Control Room'!$A$13-('Control Room'!$B$13-1)/2)/MAX(0.5,'Control Room'!$B$13/4))^2),1)*IF(AND($A103&gt;='Control Room'!$A$14,$A103&lt;'Control Room'!$A$14+'Control Room'!$B$14,'Process'!BM3=1),1+('Control Room'!$C$14-1)*EXP(-0.5*(($A103-'Control Room'!$A$14-('Control Room'!$B$14-1)/2)/MAX(0.5,'Control Room'!$B$14/4))^2),1)*IF(AND($A103&gt;='Control Room'!$A$15,$A103&lt;'Control Room'!$A$15+'Control Room'!$B$15,'Process'!BM4=1),1+('Control Room'!$C$15-1)*EXP(-0.5*(($A103-'Control Room'!$A$15-('Control Room'!$B$15-1)/2)/MAX(0.5,'Control Room'!$B$15/4))^2),1)*IF(AND($A103&gt;='Control Room'!$A$16,$A103&lt;'Control Room'!$A$16+'Control Room'!$B$16,'Process'!BM5=1),1+('Control Room'!$C$16-1)*EXP(-0.5*(($A103-'Control Room'!$A$16-('Control Room'!$B$16-1)/2)/MAX(0.5,'Control Room'!$B$16/4))^2),1)</x:f>
        <x:v>1.7811133519636562</x:v>
      </x:c>
      <x:c r="Q103" s="9" t="n">
        <x:f>MOD(R102*16807,2147483647)</x:f>
        <x:v>1082974560</x:v>
      </x:c>
      <x:c r="R103" s="9" t="n">
        <x:f>MOD(Q103*16807,2147483647)</x:f>
        <x:v>1629521595</x:v>
      </x:c>
      <x:c r="S103" s="17" t="n">
        <x:f>IF('Control Room'!$B$5="Normal",'Control Room'!$B$7+'Control Room'!$D$7*SQRT(-2*LN(MAX(0.000000000001,Q103/2147483647)))*COS(2*PI()*R103/2147483647),'Control Room'!$B$8+('Control Room'!$D$8-'Control Room'!$B$8)*Q103/2147483647)</x:f>
        <x:v>1005.8232449868882</x:v>
      </x:c>
      <x:c r="T103" s="17" t="n">
        <x:f>IF('Control Room'!$B$5="Normal",'Control Room'!$B$7,('Control Room'!$B$8+'Control Room'!$D$8)/2)+'Control Room'!$B$9*(T102-IF('Control Room'!$B$5="Normal",'Control Room'!$B$7,('Control Room'!$B$8+'Control Room'!$D$8)/2))+SQRT(1-'Control Room'!$B$9^2)*(S103-IF('Control Room'!$B$5="Normal",'Control Room'!$B$7,('Control Room'!$B$8+'Control Room'!$D$8)/2))</x:f>
        <x:v>1197.7403265182636</x:v>
      </x:c>
      <x:c r="U103" s="17" t="n">
        <x:f>IF(AND($A103&gt;='Control Room'!$A$13,$A103&lt;'Control Room'!$A$13+'Control Room'!$B$13,'Process'!BN2=1),1+('Control Room'!$C$13-1)*EXP(-0.5*(($A103-'Control Room'!$A$13-('Control Room'!$B$13-1)/2)/MAX(0.5,'Control Room'!$B$13/4))^2),1)*IF(AND($A103&gt;='Control Room'!$A$14,$A103&lt;'Control Room'!$A$14+'Control Room'!$B$14,'Process'!BN3=1),1+('Control Room'!$C$14-1)*EXP(-0.5*(($A103-'Control Room'!$A$14-('Control Room'!$B$14-1)/2)/MAX(0.5,'Control Room'!$B$14/4))^2),1)*IF(AND($A103&gt;='Control Room'!$A$15,$A103&lt;'Control Room'!$A$15+'Control Room'!$B$15,'Process'!BN4=1),1+('Control Room'!$C$15-1)*EXP(-0.5*(($A103-'Control Room'!$A$15-('Control Room'!$B$15-1)/2)/MAX(0.5,'Control Room'!$B$15/4))^2),1)*IF(AND($A103&gt;='Control Room'!$A$16,$A103&lt;'Control Room'!$A$16+'Control Room'!$B$16,'Process'!BN5=1),1+('Control Room'!$C$16-1)*EXP(-0.5*(($A103-'Control Room'!$A$16-('Control Room'!$B$16-1)/2)/MAX(0.5,'Control Room'!$B$16/4))^2),1)</x:f>
        <x:v>1.7811133519636562</x:v>
      </x:c>
      <x:c r="V103" s="9" t="n">
        <x:f>MOD(W102*16807,2147483647)</x:f>
        <x:v>569827081</x:v>
      </x:c>
      <x:c r="W103" s="9" t="n">
        <x:f>MOD(V103*16807,2147483647)</x:f>
        <x:v>1454168394</x:v>
      </x:c>
      <x:c r="X103" s="17" t="n">
        <x:f>IF('Control Room'!$B$5="Normal",'Control Room'!$B$7+'Control Room'!$D$7*SQRT(-2*LN(MAX(0.000000000001,V103/2147483647)))*COS(2*PI()*W103/2147483647),'Control Room'!$B$8+('Control Room'!$D$8-'Control Room'!$B$8)*V103/2147483647)</x:f>
        <x:v>935.213554763684</x:v>
      </x:c>
      <x:c r="Y103" s="17" t="n">
        <x:f>IF('Control Room'!$B$5="Normal",'Control Room'!$B$7,('Control Room'!$B$8+'Control Room'!$D$8)/2)+'Control Room'!$B$9*(Y102-IF('Control Room'!$B$5="Normal",'Control Room'!$B$7,('Control Room'!$B$8+'Control Room'!$D$8)/2))+SQRT(1-'Control Room'!$B$9^2)*(X103-IF('Control Room'!$B$5="Normal",'Control Room'!$B$7,('Control Room'!$B$8+'Control Room'!$D$8)/2))</x:f>
        <x:v>874.9093833757115</x:v>
      </x:c>
      <x:c r="Z103" s="17" t="n">
        <x:f>IF(AND($A103&gt;='Control Room'!$A$13,$A103&lt;'Control Room'!$A$13+'Control Room'!$B$13,'Process'!BO2=1),1+('Control Room'!$C$13-1)*EXP(-0.5*(($A103-'Control Room'!$A$13-('Control Room'!$B$13-1)/2)/MAX(0.5,'Control Room'!$B$13/4))^2),1)*IF(AND($A103&gt;='Control Room'!$A$14,$A103&lt;'Control Room'!$A$14+'Control Room'!$B$14,'Process'!BO3=1),1+('Control Room'!$C$14-1)*EXP(-0.5*(($A103-'Control Room'!$A$14-('Control Room'!$B$14-1)/2)/MAX(0.5,'Control Room'!$B$14/4))^2),1)*IF(AND($A103&gt;='Control Room'!$A$15,$A103&lt;'Control Room'!$A$15+'Control Room'!$B$15,'Process'!BO4=1),1+('Control Room'!$C$15-1)*EXP(-0.5*(($A103-'Control Room'!$A$15-('Control Room'!$B$15-1)/2)/MAX(0.5,'Control Room'!$B$15/4))^2),1)*IF(AND($A103&gt;='Control Room'!$A$16,$A103&lt;'Control Room'!$A$16+'Control Room'!$B$16,'Process'!BO5=1),1+('Control Room'!$C$16-1)*EXP(-0.5*(($A103-'Control Room'!$A$16-('Control Room'!$B$16-1)/2)/MAX(0.5,'Control Room'!$B$16/4))^2),1)</x:f>
        <x:v>1.7811133519636562</x:v>
      </x:c>
      <x:c r="AA103" s="9" t="n">
        <x:f>MOD(AB102*16807,2147483647)</x:f>
        <x:v>56679602</x:v>
      </x:c>
      <x:c r="AB103" s="9" t="n">
        <x:f>MOD(AA103*16807,2147483647)</x:f>
        <x:v>1278815193</x:v>
      </x:c>
      <x:c r="AC103" s="17" t="n">
        <x:f>IF('Control Room'!$B$5="Normal",'Control Room'!$B$7+'Control Room'!$D$7*SQRT(-2*LN(MAX(0.000000000001,AA103/2147483647)))*COS(2*PI()*AB103/2147483647),'Control Room'!$B$8+('Control Room'!$D$8-'Control Room'!$B$8)*AA103/2147483647)</x:f>
        <x:v>799.7302472433392</x:v>
      </x:c>
      <x:c r="AD103" s="17" t="n">
        <x:f>IF('Control Room'!$B$5="Normal",'Control Room'!$B$7,('Control Room'!$B$8+'Control Room'!$D$8)/2)+'Control Room'!$B$9*(AD102-IF('Control Room'!$B$5="Normal",'Control Room'!$B$7,('Control Room'!$B$8+'Control Room'!$D$8)/2))+SQRT(1-'Control Room'!$B$9^2)*(AC103-IF('Control Room'!$B$5="Normal",'Control Room'!$B$7,('Control Room'!$B$8+'Control Room'!$D$8)/2))</x:f>
        <x:v>1017.5509913599327</x:v>
      </x:c>
      <x:c r="AE103" s="17" t="n">
        <x:f>IF(AND($A103&gt;='Control Room'!$A$13,$A103&lt;'Control Room'!$A$13+'Control Room'!$B$13,'Process'!BP2=1),1+('Control Room'!$C$13-1)*EXP(-0.5*(($A103-'Control Room'!$A$13-('Control Room'!$B$13-1)/2)/MAX(0.5,'Control Room'!$B$13/4))^2),1)*IF(AND($A103&gt;='Control Room'!$A$14,$A103&lt;'Control Room'!$A$14+'Control Room'!$B$14,'Process'!BP3=1),1+('Control Room'!$C$14-1)*EXP(-0.5*(($A103-'Control Room'!$A$14-('Control Room'!$B$14-1)/2)/MAX(0.5,'Control Room'!$B$14/4))^2),1)*IF(AND($A103&gt;='Control Room'!$A$15,$A103&lt;'Control Room'!$A$15+'Control Room'!$B$15,'Process'!BP4=1),1+('Control Room'!$C$15-1)*EXP(-0.5*(($A103-'Control Room'!$A$15-('Control Room'!$B$15-1)/2)/MAX(0.5,'Control Room'!$B$15/4))^2),1)*IF(AND($A103&gt;='Control Room'!$A$16,$A103&lt;'Control Room'!$A$16+'Control Room'!$B$16,'Process'!BP5=1),1+('Control Room'!$C$16-1)*EXP(-0.5*(($A103-'Control Room'!$A$16-('Control Room'!$B$16-1)/2)/MAX(0.5,'Control Room'!$B$16/4))^2),1)</x:f>
        <x:v>1.7811133519636562</x:v>
      </x:c>
      <x:c r="AF103" s="9" t="n">
        <x:f>MOD(AG102*16807,2147483647)</x:f>
        <x:v>1691015770</x:v>
      </x:c>
      <x:c r="AG103" s="9" t="n">
        <x:f>MOD(AF103*16807,2147483647)</x:f>
        <x:v>1103461992</x:v>
      </x:c>
      <x:c r="AH103" s="17" t="n">
        <x:f>IF('Control Room'!$B$5="Normal",'Control Room'!$B$7+'Control Room'!$D$7*SQRT(-2*LN(MAX(0.000000000001,AF103/2147483647)))*COS(2*PI()*AG103/2147483647),'Control Room'!$B$8+('Control Room'!$D$8-'Control Room'!$B$8)*AF103/2147483647)</x:f>
        <x:v>938.0155442624044</x:v>
      </x:c>
      <x:c r="AI103" s="17" t="n">
        <x:f>IF('Control Room'!$B$5="Normal",'Control Room'!$B$7,('Control Room'!$B$8+'Control Room'!$D$8)/2)+'Control Room'!$B$9*(AI102-IF('Control Room'!$B$5="Normal",'Control Room'!$B$7,('Control Room'!$B$8+'Control Room'!$D$8)/2))+SQRT(1-'Control Room'!$B$9^2)*(AH103-IF('Control Room'!$B$5="Normal",'Control Room'!$B$7,('Control Room'!$B$8+'Control Room'!$D$8)/2))</x:f>
        <x:v>983.6350457504346</x:v>
      </x:c>
      <x:c r="AJ103" s="17" t="n">
        <x:f>IF(AND($A103&gt;='Control Room'!$A$13,$A103&lt;'Control Room'!$A$13+'Control Room'!$B$13,'Process'!BQ2=1),1+('Control Room'!$C$13-1)*EXP(-0.5*(($A103-'Control Room'!$A$13-('Control Room'!$B$13-1)/2)/MAX(0.5,'Control Room'!$B$13/4))^2),1)*IF(AND($A103&gt;='Control Room'!$A$14,$A103&lt;'Control Room'!$A$14+'Control Room'!$B$14,'Process'!BQ3=1),1+('Control Room'!$C$14-1)*EXP(-0.5*(($A103-'Control Room'!$A$14-('Control Room'!$B$14-1)/2)/MAX(0.5,'Control Room'!$B$14/4))^2),1)*IF(AND($A103&gt;='Control Room'!$A$15,$A103&lt;'Control Room'!$A$15+'Control Room'!$B$15,'Process'!BQ4=1),1+('Control Room'!$C$15-1)*EXP(-0.5*(($A103-'Control Room'!$A$15-('Control Room'!$B$15-1)/2)/MAX(0.5,'Control Room'!$B$15/4))^2),1)*IF(AND($A103&gt;='Control Room'!$A$16,$A103&lt;'Control Room'!$A$16+'Control Room'!$B$16,'Process'!BQ5=1),1+('Control Room'!$C$16-1)*EXP(-0.5*(($A103-'Control Room'!$A$16-('Control Room'!$B$16-1)/2)/MAX(0.5,'Control Room'!$B$16/4))^2),1)</x:f>
        <x:v>1.7811133519636562</x:v>
      </x:c>
      <x:c r="AK103" s="9" t="n">
        <x:f>MOD(AL102*16807,2147483647)</x:f>
        <x:v>1177868291</x:v>
      </x:c>
      <x:c r="AL103" s="9" t="n">
        <x:f>MOD(AK103*16807,2147483647)</x:f>
        <x:v>928108791</x:v>
      </x:c>
      <x:c r="AM103" s="17" t="n">
        <x:f>IF('Control Room'!$B$5="Normal",'Control Room'!$B$7+'Control Room'!$D$7*SQRT(-2*LN(MAX(0.000000000001,AK103/2147483647)))*COS(2*PI()*AL103/2147483647),'Control Room'!$B$8+('Control Room'!$D$8-'Control Room'!$B$8)*AK103/2147483647)</x:f>
        <x:v>910.1811760971625</x:v>
      </x:c>
      <x:c r="AN103" s="17" t="n">
        <x:f>IF('Control Room'!$B$5="Normal",'Control Room'!$B$7,('Control Room'!$B$8+'Control Room'!$D$8)/2)+'Control Room'!$B$9*(AN102-IF('Control Room'!$B$5="Normal",'Control Room'!$B$7,('Control Room'!$B$8+'Control Room'!$D$8)/2))+SQRT(1-'Control Room'!$B$9^2)*(AM103-IF('Control Room'!$B$5="Normal",'Control Room'!$B$7,('Control Room'!$B$8+'Control Room'!$D$8)/2))</x:f>
        <x:v>859.19309546558</x:v>
      </x:c>
      <x:c r="AO103" s="17" t="n">
        <x:f>IF(AND($A103&gt;='Control Room'!$A$13,$A103&lt;'Control Room'!$A$13+'Control Room'!$B$13,'Process'!BR2=1),1+('Control Room'!$C$13-1)*EXP(-0.5*(($A103-'Control Room'!$A$13-('Control Room'!$B$13-1)/2)/MAX(0.5,'Control Room'!$B$13/4))^2),1)*IF(AND($A103&gt;='Control Room'!$A$14,$A103&lt;'Control Room'!$A$14+'Control Room'!$B$14,'Process'!BR3=1),1+('Control Room'!$C$14-1)*EXP(-0.5*(($A103-'Control Room'!$A$14-('Control Room'!$B$14-1)/2)/MAX(0.5,'Control Room'!$B$14/4))^2),1)*IF(AND($A103&gt;='Control Room'!$A$15,$A103&lt;'Control Room'!$A$15+'Control Room'!$B$15,'Process'!BR4=1),1+('Control Room'!$C$15-1)*EXP(-0.5*(($A103-'Control Room'!$A$15-('Control Room'!$B$15-1)/2)/MAX(0.5,'Control Room'!$B$15/4))^2),1)*IF(AND($A103&gt;='Control Room'!$A$16,$A103&lt;'Control Room'!$A$16+'Control Room'!$B$16,'Process'!BR5=1),1+('Control Room'!$C$16-1)*EXP(-0.5*(($A103-'Control Room'!$A$16-('Control Room'!$B$16-1)/2)/MAX(0.5,'Control Room'!$B$16/4))^2),1)</x:f>
        <x:v>1.7811133519636562</x:v>
      </x:c>
      <x:c r="AP103" s="9" t="n">
        <x:f>MOD(AQ102*16807,2147483647)</x:f>
        <x:v>664720812</x:v>
      </x:c>
      <x:c r="AQ103" s="9" t="n">
        <x:f>MOD(AP103*16807,2147483647)</x:f>
        <x:v>752755590</x:v>
      </x:c>
      <x:c r="AR103" s="17" t="n">
        <x:f>IF('Control Room'!$B$5="Normal",'Control Room'!$B$7+'Control Room'!$D$7*SQRT(-2*LN(MAX(0.000000000001,AP103/2147483647)))*COS(2*PI()*AQ103/2147483647),'Control Room'!$B$8+('Control Room'!$D$8-'Control Room'!$B$8)*AP103/2147483647)</x:f>
        <x:v>918.6144555803934</x:v>
      </x:c>
      <x:c r="AS103" s="17" t="n">
        <x:f>IF('Control Room'!$B$5="Normal",'Control Room'!$B$7,('Control Room'!$B$8+'Control Room'!$D$8)/2)+'Control Room'!$B$9*(AS102-IF('Control Room'!$B$5="Normal",'Control Room'!$B$7,('Control Room'!$B$8+'Control Room'!$D$8)/2))+SQRT(1-'Control Room'!$B$9^2)*(AR103-IF('Control Room'!$B$5="Normal",'Control Room'!$B$7,('Control Room'!$B$8+'Control Room'!$D$8)/2))</x:f>
        <x:v>961.902144850939</x:v>
      </x:c>
      <x:c r="AT103" s="17" t="n">
        <x:f>IF(AND($A103&gt;='Control Room'!$A$13,$A103&lt;'Control Room'!$A$13+'Control Room'!$B$13,'Process'!BS2=1),1+('Control Room'!$C$13-1)*EXP(-0.5*(($A103-'Control Room'!$A$13-('Control Room'!$B$13-1)/2)/MAX(0.5,'Control Room'!$B$13/4))^2),1)*IF(AND($A103&gt;='Control Room'!$A$14,$A103&lt;'Control Room'!$A$14+'Control Room'!$B$14,'Process'!BS3=1),1+('Control Room'!$C$14-1)*EXP(-0.5*(($A103-'Control Room'!$A$14-('Control Room'!$B$14-1)/2)/MAX(0.5,'Control Room'!$B$14/4))^2),1)*IF(AND($A103&gt;='Control Room'!$A$15,$A103&lt;'Control Room'!$A$15+'Control Room'!$B$15,'Process'!BS4=1),1+('Control Room'!$C$15-1)*EXP(-0.5*(($A103-'Control Room'!$A$15-('Control Room'!$B$15-1)/2)/MAX(0.5,'Control Room'!$B$15/4))^2),1)*IF(AND($A103&gt;='Control Room'!$A$16,$A103&lt;'Control Room'!$A$16+'Control Room'!$B$16,'Process'!BS5=1),1+('Control Room'!$C$16-1)*EXP(-0.5*(($A103-'Control Room'!$A$16-('Control Room'!$B$16-1)/2)/MAX(0.5,'Control Room'!$B$16/4))^2),1)</x:f>
        <x:v>1.7811133519636562</x:v>
      </x:c>
      <x:c r="AU103" s="9" t="n">
        <x:f>MOD(AV102*16807,2147483647)</x:f>
        <x:v>151573333</x:v>
      </x:c>
      <x:c r="AV103" s="9" t="n">
        <x:f>MOD(AU103*16807,2147483647)</x:f>
        <x:v>577402389</x:v>
      </x:c>
      <x:c r="AW103" s="17" t="n">
        <x:f>IF('Control Room'!$B$5="Normal",'Control Room'!$B$7+'Control Room'!$D$7*SQRT(-2*LN(MAX(0.000000000001,AU103/2147483647)))*COS(2*PI()*AV103/2147483647),'Control Room'!$B$8+('Control Room'!$D$8-'Control Room'!$B$8)*AU103/2147483647)</x:f>
        <x:v>975.4820043008559</x:v>
      </x:c>
      <x:c r="AX103" s="17" t="n">
        <x:f>IF('Control Room'!$B$5="Normal",'Control Room'!$B$7,('Control Room'!$B$8+'Control Room'!$D$8)/2)+'Control Room'!$B$9*(AX102-IF('Control Room'!$B$5="Normal",'Control Room'!$B$7,('Control Room'!$B$8+'Control Room'!$D$8)/2))+SQRT(1-'Control Room'!$B$9^2)*(AW103-IF('Control Room'!$B$5="Normal",'Control Room'!$B$7,('Control Room'!$B$8+'Control Room'!$D$8)/2))</x:f>
        <x:v>997.3827256229059</x:v>
      </x:c>
      <x:c r="AY103" s="17" t="n">
        <x:f>IF(AND($A103&gt;='Control Room'!$A$13,$A103&lt;'Control Room'!$A$13+'Control Room'!$B$13,'Process'!BT2=1),1+('Control Room'!$C$13-1)*EXP(-0.5*(($A103-'Control Room'!$A$13-('Control Room'!$B$13-1)/2)/MAX(0.5,'Control Room'!$B$13/4))^2),1)*IF(AND($A103&gt;='Control Room'!$A$14,$A103&lt;'Control Room'!$A$14+'Control Room'!$B$14,'Process'!BT3=1),1+('Control Room'!$C$14-1)*EXP(-0.5*(($A103-'Control Room'!$A$14-('Control Room'!$B$14-1)/2)/MAX(0.5,'Control Room'!$B$14/4))^2),1)*IF(AND($A103&gt;='Control Room'!$A$15,$A103&lt;'Control Room'!$A$15+'Control Room'!$B$15,'Process'!BT4=1),1+('Control Room'!$C$15-1)*EXP(-0.5*(($A103-'Control Room'!$A$15-('Control Room'!$B$15-1)/2)/MAX(0.5,'Control Room'!$B$15/4))^2),1)*IF(AND($A103&gt;='Control Room'!$A$16,$A103&lt;'Control Room'!$A$16+'Control Room'!$B$16,'Process'!BT5=1),1+('Control Room'!$C$16-1)*EXP(-0.5*(($A103-'Control Room'!$A$16-('Control Room'!$B$16-1)/2)/MAX(0.5,'Control Room'!$B$16/4))^2),1)</x:f>
        <x:v>1.7811133519636562</x:v>
      </x:c>
      <x:c r="AZ103" s="9" t="n">
        <x:f>MOD(BA102*16807,2147483647)</x:f>
        <x:v>1785909501</x:v>
      </x:c>
      <x:c r="BA103" s="9" t="n">
        <x:f>MOD(AZ103*16807,2147483647)</x:f>
        <x:v>402049188</x:v>
      </x:c>
      <x:c r="BB103" s="17" t="n">
        <x:f>IF('Control Room'!$B$5="Normal",'Control Room'!$B$7+'Control Room'!$D$7*SQRT(-2*LN(MAX(0.000000000001,AZ103/2147483647)))*COS(2*PI()*BA103/2147483647),'Control Room'!$B$8+('Control Room'!$D$8-'Control Room'!$B$8)*AZ103/2147483647)</x:f>
        <x:v>1021.0033856785388</x:v>
      </x:c>
      <x:c r="BC103" s="17" t="n">
        <x:f>IF('Control Room'!$B$5="Normal",'Control Room'!$B$7,('Control Room'!$B$8+'Control Room'!$D$8)/2)+'Control Room'!$B$9*(BC102-IF('Control Room'!$B$5="Normal",'Control Room'!$B$7,('Control Room'!$B$8+'Control Room'!$D$8)/2))+SQRT(1-'Control Room'!$B$9^2)*(BB103-IF('Control Room'!$B$5="Normal",'Control Room'!$B$7,('Control Room'!$B$8+'Control Room'!$D$8)/2))</x:f>
        <x:v>1028.9425212201534</x:v>
      </x:c>
      <x:c r="BD103" s="17" t="n">
        <x:f>IF(AND($A103&gt;='Control Room'!$A$13,$A103&lt;'Control Room'!$A$13+'Control Room'!$B$13,'Process'!BU2=1),1+('Control Room'!$C$13-1)*EXP(-0.5*(($A103-'Control Room'!$A$13-('Control Room'!$B$13-1)/2)/MAX(0.5,'Control Room'!$B$13/4))^2),1)*IF(AND($A103&gt;='Control Room'!$A$14,$A103&lt;'Control Room'!$A$14+'Control Room'!$B$14,'Process'!BU3=1),1+('Control Room'!$C$14-1)*EXP(-0.5*(($A103-'Control Room'!$A$14-('Control Room'!$B$14-1)/2)/MAX(0.5,'Control Room'!$B$14/4))^2),1)*IF(AND($A103&gt;='Control Room'!$A$15,$A103&lt;'Control Room'!$A$15+'Control Room'!$B$15,'Process'!BU4=1),1+('Control Room'!$C$15-1)*EXP(-0.5*(($A103-'Control Room'!$A$15-('Control Room'!$B$15-1)/2)/MAX(0.5,'Control Room'!$B$15/4))^2),1)*IF(AND($A103&gt;='Control Room'!$A$16,$A103&lt;'Control Room'!$A$16+'Control Room'!$B$16,'Process'!BU5=1),1+('Control Room'!$C$16-1)*EXP(-0.5*(($A103-'Control Room'!$A$16-('Control Room'!$B$16-1)/2)/MAX(0.5,'Control Room'!$B$16/4))^2),1)</x:f>
        <x:v>1.7811133519636562</x:v>
      </x:c>
      <x:c r="BE103" s="9" t="n">
        <x:f>MOD(BF102*16807,2147483647)</x:f>
        <x:v>1272762022</x:v>
      </x:c>
      <x:c r="BF103" s="9" t="n">
        <x:f>MOD(BE103*16807,2147483647)</x:f>
        <x:v>226695987</x:v>
      </x:c>
      <x:c r="BG103" s="17" t="n">
        <x:f>IF('Control Room'!$B$5="Normal",'Control Room'!$B$7+'Control Room'!$D$7*SQRT(-2*LN(MAX(0.000000000001,BE103/2147483647)))*COS(2*PI()*BF103/2147483647),'Control Room'!$B$8+('Control Room'!$D$8-'Control Room'!$B$8)*BE103/2147483647)</x:f>
        <x:v>1072.5384128988533</x:v>
      </x:c>
      <x:c r="BH103" s="17" t="n">
        <x:f>IF('Control Room'!$B$5="Normal",'Control Room'!$B$7,('Control Room'!$B$8+'Control Room'!$D$8)/2)+'Control Room'!$B$9*(BH102-IF('Control Room'!$B$5="Normal",'Control Room'!$B$7,('Control Room'!$B$8+'Control Room'!$D$8)/2))+SQRT(1-'Control Room'!$B$9^2)*(BG103-IF('Control Room'!$B$5="Normal",'Control Room'!$B$7,('Control Room'!$B$8+'Control Room'!$D$8)/2))</x:f>
        <x:v>1038.4661612254297</x:v>
      </x:c>
      <x:c r="BI103" s="17" t="n">
        <x:f>IF(AND($A103&gt;='Control Room'!$A$13,$A103&lt;'Control Room'!$A$13+'Control Room'!$B$13,'Process'!BV2=1),1+('Control Room'!$C$13-1)*EXP(-0.5*(($A103-'Control Room'!$A$13-('Control Room'!$B$13-1)/2)/MAX(0.5,'Control Room'!$B$13/4))^2),1)*IF(AND($A103&gt;='Control Room'!$A$14,$A103&lt;'Control Room'!$A$14+'Control Room'!$B$14,'Process'!BV3=1),1+('Control Room'!$C$14-1)*EXP(-0.5*(($A103-'Control Room'!$A$14-('Control Room'!$B$14-1)/2)/MAX(0.5,'Control Room'!$B$14/4))^2),1)*IF(AND($A103&gt;='Control Room'!$A$15,$A103&lt;'Control Room'!$A$15+'Control Room'!$B$15,'Process'!BV4=1),1+('Control Room'!$C$15-1)*EXP(-0.5*(($A103-'Control Room'!$A$15-('Control Room'!$B$15-1)/2)/MAX(0.5,'Control Room'!$B$15/4))^2),1)*IF(AND($A103&gt;='Control Room'!$A$16,$A103&lt;'Control Room'!$A$16+'Control Room'!$B$16,'Process'!BV5=1),1+('Control Room'!$C$16-1)*EXP(-0.5*(($A103-'Control Room'!$A$16-('Control Room'!$B$16-1)/2)/MAX(0.5,'Control Room'!$B$16/4))^2),1)</x:f>
        <x:v>1.7811133519636562</x:v>
      </x:c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Z103" t="str">
        <x:f>IF('Data'!A103="","",TEXT('Data'!A103,"mm-dd"))</x:f>
        <x:v>02-11</x:v>
      </x:c>
    </x:row>
    <x:row r="104" ht="21" customHeight="1">
      <x:c r="A104" s="15" t="n">
        <x:f>'Control Room'!$B$1+102</x:f>
        <x:v>73093</x:v>
      </x:c>
      <x:c r="B104" s="9" t="n">
        <x:f>MOD(C103*16807,2147483647)</x:f>
        <x:v>804069896</x:v>
      </x:c>
      <x:c r="C104" s="9" t="n">
        <x:f>MOD(B104*16807,2147483647)</x:f>
        <x:v>2035635148</x:v>
      </x:c>
      <x:c r="D104" s="17" t="n">
        <x:f>IF('Control Room'!$B$5="Normal",'Control Room'!$B$7+'Control Room'!$D$7*SQRT(-2*LN(MAX(0.000000000001,B104/2147483647)))*COS(2*PI()*C104/2147483647),'Control Room'!$B$8+('Control Room'!$D$8-'Control Room'!$B$8)*B104/2147483647)</x:f>
        <x:v>1119.4570811713645</x:v>
      </x:c>
      <x:c r="E104" s="17" t="n">
        <x:f>IF('Control Room'!$B$5="Normal",'Control Room'!$B$7,('Control Room'!$B$8+'Control Room'!$D$8)/2)+'Control Room'!$B$9*(E103-IF('Control Room'!$B$5="Normal",'Control Room'!$B$7,('Control Room'!$B$8+'Control Room'!$D$8)/2))+SQRT(1-'Control Room'!$B$9^2)*(D104-IF('Control Room'!$B$5="Normal",'Control Room'!$B$7,('Control Room'!$B$8+'Control Room'!$D$8)/2))</x:f>
        <x:v>1149.385936638535</x:v>
      </x:c>
      <x:c r="F104" s="17" t="n">
        <x:f>IF(AND($A104&gt;='Control Room'!$A$13,$A104&lt;'Control Room'!$A$13+'Control Room'!$B$13,'Process'!BK2=1),1+('Control Room'!$C$13-1)*EXP(-0.5*(($A104-'Control Room'!$A$13-('Control Room'!$B$13-1)/2)/MAX(0.5,'Control Room'!$B$13/4))^2),1)*IF(AND($A104&gt;='Control Room'!$A$14,$A104&lt;'Control Room'!$A$14+'Control Room'!$B$14,'Process'!BK3=1),1+('Control Room'!$C$14-1)*EXP(-0.5*(($A104-'Control Room'!$A$14-('Control Room'!$B$14-1)/2)/MAX(0.5,'Control Room'!$B$14/4))^2),1)*IF(AND($A104&gt;='Control Room'!$A$15,$A104&lt;'Control Room'!$A$15+'Control Room'!$B$15,'Process'!BK4=1),1+('Control Room'!$C$15-1)*EXP(-0.5*(($A104-'Control Room'!$A$15-('Control Room'!$B$15-1)/2)/MAX(0.5,'Control Room'!$B$15/4))^2),1)*IF(AND($A104&gt;='Control Room'!$A$16,$A104&lt;'Control Room'!$A$16+'Control Room'!$B$16,'Process'!BK5=1),1+('Control Room'!$C$16-1)*EXP(-0.5*(($A104-'Control Room'!$A$16-('Control Room'!$B$16-1)/2)/MAX(0.5,'Control Room'!$B$16/4))^2),1)</x:f>
        <x:v>1</x:v>
      </x:c>
      <x:c r="G104" s="9" t="n">
        <x:f>MOD(H103*16807,2147483647)</x:f>
        <x:v>2137868020</x:v>
      </x:c>
      <x:c r="H104" s="9" t="n">
        <x:f>MOD(G104*16807,2147483647)</x:f>
        <x:v>1598914183</x:v>
      </x:c>
      <x:c r="I104" s="17" t="n">
        <x:f>IF('Control Room'!$B$5="Normal",'Control Room'!$B$7+'Control Room'!$D$7*SQRT(-2*LN(MAX(0.000000000001,G104/2147483647)))*COS(2*PI()*H104/2147483647),'Control Room'!$B$8+('Control Room'!$D$8-'Control Room'!$B$8)*G104/2147483647)</x:f>
        <x:v>999.7082131210727</x:v>
      </x:c>
      <x:c r="J104" s="17" t="n">
        <x:f>IF('Control Room'!$B$5="Normal",'Control Room'!$B$7,('Control Room'!$B$8+'Control Room'!$D$8)/2)+'Control Room'!$B$9*(J103-IF('Control Room'!$B$5="Normal",'Control Room'!$B$7,('Control Room'!$B$8+'Control Room'!$D$8)/2))+SQRT(1-'Control Room'!$B$9^2)*(I104-IF('Control Room'!$B$5="Normal",'Control Room'!$B$7,('Control Room'!$B$8+'Control Room'!$D$8)/2))</x:f>
        <x:v>1023.0782174894532</x:v>
      </x:c>
      <x:c r="K104" s="17" t="n">
        <x:f>IF(AND($A104&gt;='Control Room'!$A$13,$A104&lt;'Control Room'!$A$13+'Control Room'!$B$13,'Process'!BL2=1),1+('Control Room'!$C$13-1)*EXP(-0.5*(($A104-'Control Room'!$A$13-('Control Room'!$B$13-1)/2)/MAX(0.5,'Control Room'!$B$13/4))^2),1)*IF(AND($A104&gt;='Control Room'!$A$14,$A104&lt;'Control Room'!$A$14+'Control Room'!$B$14,'Process'!BL3=1),1+('Control Room'!$C$14-1)*EXP(-0.5*(($A104-'Control Room'!$A$14-('Control Room'!$B$14-1)/2)/MAX(0.5,'Control Room'!$B$14/4))^2),1)*IF(AND($A104&gt;='Control Room'!$A$15,$A104&lt;'Control Room'!$A$15+'Control Room'!$B$15,'Process'!BL4=1),1+('Control Room'!$C$15-1)*EXP(-0.5*(($A104-'Control Room'!$A$15-('Control Room'!$B$15-1)/2)/MAX(0.5,'Control Room'!$B$15/4))^2),1)*IF(AND($A104&gt;='Control Room'!$A$16,$A104&lt;'Control Room'!$A$16+'Control Room'!$B$16,'Process'!BL5=1),1+('Control Room'!$C$16-1)*EXP(-0.5*(($A104-'Control Room'!$A$16-('Control Room'!$B$16-1)/2)/MAX(0.5,'Control Room'!$B$16/4))^2),1)</x:f>
        <x:v>1</x:v>
      </x:c>
      <x:c r="L104" s="9" t="n">
        <x:f>MOD(M103*16807,2147483647)</x:f>
        <x:v>1324182497</x:v>
      </x:c>
      <x:c r="M104" s="9" t="n">
        <x:f>MOD(L104*16807,2147483647)</x:f>
        <x:v>1162193218</x:v>
      </x:c>
      <x:c r="N104" s="17" t="n">
        <x:f>IF('Control Room'!$B$5="Normal",'Control Room'!$B$7+'Control Room'!$D$7*SQRT(-2*LN(MAX(0.000000000001,L104/2147483647)))*COS(2*PI()*M104/2147483647),'Control Room'!$B$8+('Control Room'!$D$8-'Control Room'!$B$8)*L104/2147483647)</x:f>
        <x:v>914.4445290906135</x:v>
      </x:c>
      <x:c r="O104" s="17" t="n">
        <x:f>IF('Control Room'!$B$5="Normal",'Control Room'!$B$7,('Control Room'!$B$8+'Control Room'!$D$8)/2)+'Control Room'!$B$9*(O103-IF('Control Room'!$B$5="Normal",'Control Room'!$B$7,('Control Room'!$B$8+'Control Room'!$D$8)/2))+SQRT(1-'Control Room'!$B$9^2)*(N104-IF('Control Room'!$B$5="Normal",'Control Room'!$B$7,('Control Room'!$B$8+'Control Room'!$D$8)/2))</x:f>
        <x:v>988.7887880251915</x:v>
      </x:c>
      <x:c r="P104" s="17" t="n">
        <x:f>IF(AND($A104&gt;='Control Room'!$A$13,$A104&lt;'Control Room'!$A$13+'Control Room'!$B$13,'Process'!BM2=1),1+('Control Room'!$C$13-1)*EXP(-0.5*(($A104-'Control Room'!$A$13-('Control Room'!$B$13-1)/2)/MAX(0.5,'Control Room'!$B$13/4))^2),1)*IF(AND($A104&gt;='Control Room'!$A$14,$A104&lt;'Control Room'!$A$14+'Control Room'!$B$14,'Process'!BM3=1),1+('Control Room'!$C$14-1)*EXP(-0.5*(($A104-'Control Room'!$A$14-('Control Room'!$B$14-1)/2)/MAX(0.5,'Control Room'!$B$14/4))^2),1)*IF(AND($A104&gt;='Control Room'!$A$15,$A104&lt;'Control Room'!$A$15+'Control Room'!$B$15,'Process'!BM4=1),1+('Control Room'!$C$15-1)*EXP(-0.5*(($A104-'Control Room'!$A$15-('Control Room'!$B$15-1)/2)/MAX(0.5,'Control Room'!$B$15/4))^2),1)*IF(AND($A104&gt;='Control Room'!$A$16,$A104&lt;'Control Room'!$A$16+'Control Room'!$B$16,'Process'!BM5=1),1+('Control Room'!$C$16-1)*EXP(-0.5*(($A104-'Control Room'!$A$16-('Control Room'!$B$16-1)/2)/MAX(0.5,'Control Room'!$B$16/4))^2),1)</x:f>
        <x:v>1</x:v>
      </x:c>
      <x:c r="Q104" s="9" t="n">
        <x:f>MOD(R103*16807,2147483647)</x:f>
        <x:v>510496974</x:v>
      </x:c>
      <x:c r="R104" s="9" t="n">
        <x:f>MOD(Q104*16807,2147483647)</x:f>
        <x:v>725472253</x:v>
      </x:c>
      <x:c r="S104" s="17" t="n">
        <x:f>IF('Control Room'!$B$5="Normal",'Control Room'!$B$7+'Control Room'!$D$7*SQRT(-2*LN(MAX(0.000000000001,Q104/2147483647)))*COS(2*PI()*R104/2147483647),'Control Room'!$B$8+('Control Room'!$D$8-'Control Room'!$B$8)*Q104/2147483647)</x:f>
        <x:v>920.0236285967538</x:v>
      </x:c>
      <x:c r="T104" s="17" t="n">
        <x:f>IF('Control Room'!$B$5="Normal",'Control Room'!$B$7,('Control Room'!$B$8+'Control Room'!$D$8)/2)+'Control Room'!$B$9*(T103-IF('Control Room'!$B$5="Normal",'Control Room'!$B$7,('Control Room'!$B$8+'Control Room'!$D$8)/2))+SQRT(1-'Control Room'!$B$9^2)*(S104-IF('Control Room'!$B$5="Normal",'Control Room'!$B$7,('Control Room'!$B$8+'Control Room'!$D$8)/2))</x:f>
        <x:v>1104.1898798651177</x:v>
      </x:c>
      <x:c r="U104" s="17" t="n">
        <x:f>IF(AND($A104&gt;='Control Room'!$A$13,$A104&lt;'Control Room'!$A$13+'Control Room'!$B$13,'Process'!BN2=1),1+('Control Room'!$C$13-1)*EXP(-0.5*(($A104-'Control Room'!$A$13-('Control Room'!$B$13-1)/2)/MAX(0.5,'Control Room'!$B$13/4))^2),1)*IF(AND($A104&gt;='Control Room'!$A$14,$A104&lt;'Control Room'!$A$14+'Control Room'!$B$14,'Process'!BN3=1),1+('Control Room'!$C$14-1)*EXP(-0.5*(($A104-'Control Room'!$A$14-('Control Room'!$B$14-1)/2)/MAX(0.5,'Control Room'!$B$14/4))^2),1)*IF(AND($A104&gt;='Control Room'!$A$15,$A104&lt;'Control Room'!$A$15+'Control Room'!$B$15,'Process'!BN4=1),1+('Control Room'!$C$15-1)*EXP(-0.5*(($A104-'Control Room'!$A$15-('Control Room'!$B$15-1)/2)/MAX(0.5,'Control Room'!$B$15/4))^2),1)*IF(AND($A104&gt;='Control Room'!$A$16,$A104&lt;'Control Room'!$A$16+'Control Room'!$B$16,'Process'!BN5=1),1+('Control Room'!$C$16-1)*EXP(-0.5*(($A104-'Control Room'!$A$16-('Control Room'!$B$16-1)/2)/MAX(0.5,'Control Room'!$B$16/4))^2),1)</x:f>
        <x:v>1</x:v>
      </x:c>
      <x:c r="V104" s="9" t="n">
        <x:f>MOD(W103*16807,2147483647)</x:f>
        <x:v>1844295098</x:v>
      </x:c>
      <x:c r="W104" s="9" t="n">
        <x:f>MOD(V104*16807,2147483647)</x:f>
        <x:v>288751288</x:v>
      </x:c>
      <x:c r="X104" s="17" t="n">
        <x:f>IF('Control Room'!$B$5="Normal",'Control Room'!$B$7+'Control Room'!$D$7*SQRT(-2*LN(MAX(0.000000000001,V104/2147483647)))*COS(2*PI()*W104/2147483647),'Control Room'!$B$8+('Control Room'!$D$8-'Control Room'!$B$8)*V104/2147483647)</x:f>
        <x:v>1032.963656168567</x:v>
      </x:c>
      <x:c r="Y104" s="17" t="n">
        <x:f>IF('Control Room'!$B$5="Normal",'Control Room'!$B$7,('Control Room'!$B$8+'Control Room'!$D$8)/2)+'Control Room'!$B$9*(Y103-IF('Control Room'!$B$5="Normal",'Control Room'!$B$7,('Control Room'!$B$8+'Control Room'!$D$8)/2))+SQRT(1-'Control Room'!$B$9^2)*(X104-IF('Control Room'!$B$5="Normal",'Control Room'!$B$7,('Control Room'!$B$8+'Control Room'!$D$8)/2))</x:f>
        <x:v>923.0572997661419</x:v>
      </x:c>
      <x:c r="Z104" s="17" t="n">
        <x:f>IF(AND($A104&gt;='Control Room'!$A$13,$A104&lt;'Control Room'!$A$13+'Control Room'!$B$13,'Process'!BO2=1),1+('Control Room'!$C$13-1)*EXP(-0.5*(($A104-'Control Room'!$A$13-('Control Room'!$B$13-1)/2)/MAX(0.5,'Control Room'!$B$13/4))^2),1)*IF(AND($A104&gt;='Control Room'!$A$14,$A104&lt;'Control Room'!$A$14+'Control Room'!$B$14,'Process'!BO3=1),1+('Control Room'!$C$14-1)*EXP(-0.5*(($A104-'Control Room'!$A$14-('Control Room'!$B$14-1)/2)/MAX(0.5,'Control Room'!$B$14/4))^2),1)*IF(AND($A104&gt;='Control Room'!$A$15,$A104&lt;'Control Room'!$A$15+'Control Room'!$B$15,'Process'!BO4=1),1+('Control Room'!$C$15-1)*EXP(-0.5*(($A104-'Control Room'!$A$15-('Control Room'!$B$15-1)/2)/MAX(0.5,'Control Room'!$B$15/4))^2),1)*IF(AND($A104&gt;='Control Room'!$A$16,$A104&lt;'Control Room'!$A$16+'Control Room'!$B$16,'Process'!BO5=1),1+('Control Room'!$C$16-1)*EXP(-0.5*(($A104-'Control Room'!$A$16-('Control Room'!$B$16-1)/2)/MAX(0.5,'Control Room'!$B$16/4))^2),1)</x:f>
        <x:v>1</x:v>
      </x:c>
      <x:c r="AA104" s="9" t="n">
        <x:f>MOD(AB103*16807,2147483647)</x:f>
        <x:v>1030609575</x:v>
      </x:c>
      <x:c r="AB104" s="9" t="n">
        <x:f>MOD(AA104*16807,2147483647)</x:f>
        <x:v>1999513970</x:v>
      </x:c>
      <x:c r="AC104" s="17" t="n">
        <x:f>IF('Control Room'!$B$5="Normal",'Control Room'!$B$7+'Control Room'!$D$7*SQRT(-2*LN(MAX(0.000000000001,AA104/2147483647)))*COS(2*PI()*AB104/2147483647),'Control Room'!$B$8+('Control Room'!$D$8-'Control Room'!$B$8)*AA104/2147483647)</x:f>
        <x:v>1098.9941387337824</x:v>
      </x:c>
      <x:c r="AD104" s="17" t="n">
        <x:f>IF('Control Room'!$B$5="Normal",'Control Room'!$B$7,('Control Room'!$B$8+'Control Room'!$D$8)/2)+'Control Room'!$B$9*(AD103-IF('Control Room'!$B$5="Normal",'Control Room'!$B$7,('Control Room'!$B$8+'Control Room'!$D$8)/2))+SQRT(1-'Control Room'!$B$9^2)*(AC104-IF('Control Room'!$B$5="Normal",'Control Room'!$B$7,('Control Room'!$B$8+'Control Room'!$D$8)/2))</x:f>
        <x:v>1075.6382772751847</x:v>
      </x:c>
      <x:c r="AE104" s="17" t="n">
        <x:f>IF(AND($A104&gt;='Control Room'!$A$13,$A104&lt;'Control Room'!$A$13+'Control Room'!$B$13,'Process'!BP2=1),1+('Control Room'!$C$13-1)*EXP(-0.5*(($A104-'Control Room'!$A$13-('Control Room'!$B$13-1)/2)/MAX(0.5,'Control Room'!$B$13/4))^2),1)*IF(AND($A104&gt;='Control Room'!$A$14,$A104&lt;'Control Room'!$A$14+'Control Room'!$B$14,'Process'!BP3=1),1+('Control Room'!$C$14-1)*EXP(-0.5*(($A104-'Control Room'!$A$14-('Control Room'!$B$14-1)/2)/MAX(0.5,'Control Room'!$B$14/4))^2),1)*IF(AND($A104&gt;='Control Room'!$A$15,$A104&lt;'Control Room'!$A$15+'Control Room'!$B$15,'Process'!BP4=1),1+('Control Room'!$C$15-1)*EXP(-0.5*(($A104-'Control Room'!$A$15-('Control Room'!$B$15-1)/2)/MAX(0.5,'Control Room'!$B$15/4))^2),1)*IF(AND($A104&gt;='Control Room'!$A$16,$A104&lt;'Control Room'!$A$16+'Control Room'!$B$16,'Process'!BP5=1),1+('Control Room'!$C$16-1)*EXP(-0.5*(($A104-'Control Room'!$A$16-('Control Room'!$B$16-1)/2)/MAX(0.5,'Control Room'!$B$16/4))^2),1)</x:f>
        <x:v>1</x:v>
      </x:c>
      <x:c r="AF104" s="9" t="n">
        <x:f>MOD(AG103*16807,2147483647)</x:f>
        <x:v>216924052</x:v>
      </x:c>
      <x:c r="AG104" s="9" t="n">
        <x:f>MOD(AF104*16807,2147483647)</x:f>
        <x:v>1562793005</x:v>
      </x:c>
      <x:c r="AH104" s="17" t="n">
        <x:f>IF('Control Room'!$B$5="Normal",'Control Room'!$B$7+'Control Room'!$D$7*SQRT(-2*LN(MAX(0.000000000001,AF104/2147483647)))*COS(2*PI()*AG104/2147483647),'Control Room'!$B$8+('Control Room'!$D$8-'Control Room'!$B$8)*AF104/2147483647)</x:f>
        <x:v>973.1247878685706</x:v>
      </x:c>
      <x:c r="AI104" s="17" t="n">
        <x:f>IF('Control Room'!$B$5="Normal",'Control Room'!$B$7,('Control Room'!$B$8+'Control Room'!$D$8)/2)+'Control Room'!$B$9*(AI103-IF('Control Room'!$B$5="Normal",'Control Room'!$B$7,('Control Room'!$B$8+'Control Room'!$D$8)/2))+SQRT(1-'Control Room'!$B$9^2)*(AH104-IF('Control Room'!$B$5="Normal",'Control Room'!$B$7,('Control Room'!$B$8+'Control Room'!$D$8)/2))</x:f>
        <x:v>970.4173785021371</x:v>
      </x:c>
      <x:c r="AJ104" s="17" t="n">
        <x:f>IF(AND($A104&gt;='Control Room'!$A$13,$A104&lt;'Control Room'!$A$13+'Control Room'!$B$13,'Process'!BQ2=1),1+('Control Room'!$C$13-1)*EXP(-0.5*(($A104-'Control Room'!$A$13-('Control Room'!$B$13-1)/2)/MAX(0.5,'Control Room'!$B$13/4))^2),1)*IF(AND($A104&gt;='Control Room'!$A$14,$A104&lt;'Control Room'!$A$14+'Control Room'!$B$14,'Process'!BQ3=1),1+('Control Room'!$C$14-1)*EXP(-0.5*(($A104-'Control Room'!$A$14-('Control Room'!$B$14-1)/2)/MAX(0.5,'Control Room'!$B$14/4))^2),1)*IF(AND($A104&gt;='Control Room'!$A$15,$A104&lt;'Control Room'!$A$15+'Control Room'!$B$15,'Process'!BQ4=1),1+('Control Room'!$C$15-1)*EXP(-0.5*(($A104-'Control Room'!$A$15-('Control Room'!$B$15-1)/2)/MAX(0.5,'Control Room'!$B$15/4))^2),1)*IF(AND($A104&gt;='Control Room'!$A$16,$A104&lt;'Control Room'!$A$16+'Control Room'!$B$16,'Process'!BQ5=1),1+('Control Room'!$C$16-1)*EXP(-0.5*(($A104-'Control Room'!$A$16-('Control Room'!$B$16-1)/2)/MAX(0.5,'Control Room'!$B$16/4))^2),1)</x:f>
        <x:v>1</x:v>
      </x:c>
      <x:c r="AK104" s="9" t="n">
        <x:f>MOD(AL103*16807,2147483647)</x:f>
        <x:v>1550722176</x:v>
      </x:c>
      <x:c r="AL104" s="9" t="n">
        <x:f>MOD(AK104*16807,2147483647)</x:f>
        <x:v>1126072040</x:v>
      </x:c>
      <x:c r="AM104" s="17" t="n">
        <x:f>IF('Control Room'!$B$5="Normal",'Control Room'!$B$7+'Control Room'!$D$7*SQRT(-2*LN(MAX(0.000000000001,AK104/2147483647)))*COS(2*PI()*AL104/2147483647),'Control Room'!$B$8+('Control Room'!$D$8-'Control Room'!$B$8)*AK104/2147483647)</x:f>
        <x:v>928.224998756517</x:v>
      </x:c>
      <x:c r="AN104" s="17" t="n">
        <x:f>IF('Control Room'!$B$5="Normal",'Control Room'!$B$7,('Control Room'!$B$8+'Control Room'!$D$8)/2)+'Control Room'!$B$9*(AN103-IF('Control Room'!$B$5="Normal",'Control Room'!$B$7,('Control Room'!$B$8+'Control Room'!$D$8)/2))+SQRT(1-'Control Room'!$B$9^2)*(AM104-IF('Control Room'!$B$5="Normal",'Control Room'!$B$7,('Control Room'!$B$8+'Control Room'!$D$8)/2))</x:f>
        <x:v>845.2552890758041</x:v>
      </x:c>
      <x:c r="AO104" s="17" t="n">
        <x:f>IF(AND($A104&gt;='Control Room'!$A$13,$A104&lt;'Control Room'!$A$13+'Control Room'!$B$13,'Process'!BR2=1),1+('Control Room'!$C$13-1)*EXP(-0.5*(($A104-'Control Room'!$A$13-('Control Room'!$B$13-1)/2)/MAX(0.5,'Control Room'!$B$13/4))^2),1)*IF(AND($A104&gt;='Control Room'!$A$14,$A104&lt;'Control Room'!$A$14+'Control Room'!$B$14,'Process'!BR3=1),1+('Control Room'!$C$14-1)*EXP(-0.5*(($A104-'Control Room'!$A$14-('Control Room'!$B$14-1)/2)/MAX(0.5,'Control Room'!$B$14/4))^2),1)*IF(AND($A104&gt;='Control Room'!$A$15,$A104&lt;'Control Room'!$A$15+'Control Room'!$B$15,'Process'!BR4=1),1+('Control Room'!$C$15-1)*EXP(-0.5*(($A104-'Control Room'!$A$15-('Control Room'!$B$15-1)/2)/MAX(0.5,'Control Room'!$B$15/4))^2),1)*IF(AND($A104&gt;='Control Room'!$A$16,$A104&lt;'Control Room'!$A$16+'Control Room'!$B$16,'Process'!BR5=1),1+('Control Room'!$C$16-1)*EXP(-0.5*(($A104-'Control Room'!$A$16-('Control Room'!$B$16-1)/2)/MAX(0.5,'Control Room'!$B$16/4))^2),1)</x:f>
        <x:v>1</x:v>
      </x:c>
      <x:c r="AP104" s="9" t="n">
        <x:f>MOD(AQ103*16807,2147483647)</x:f>
        <x:v>737036653</x:v>
      </x:c>
      <x:c r="AQ104" s="9" t="n">
        <x:f>MOD(AP104*16807,2147483647)</x:f>
        <x:v>689351075</x:v>
      </x:c>
      <x:c r="AR104" s="17" t="n">
        <x:f>IF('Control Room'!$B$5="Normal",'Control Room'!$B$7+'Control Room'!$D$7*SQRT(-2*LN(MAX(0.000000000001,AP104/2147483647)))*COS(2*PI()*AQ104/2147483647),'Control Room'!$B$8+('Control Room'!$D$8-'Control Room'!$B$8)*AP104/2147483647)</x:f>
        <x:v>943.2075600830067</x:v>
      </x:c>
      <x:c r="AS104" s="17" t="n">
        <x:f>IF('Control Room'!$B$5="Normal",'Control Room'!$B$7,('Control Room'!$B$8+'Control Room'!$D$8)/2)+'Control Room'!$B$9*(AS103-IF('Control Room'!$B$5="Normal",'Control Room'!$B$7,('Control Room'!$B$8+'Control Room'!$D$8)/2))+SQRT(1-'Control Room'!$B$9^2)*(AR104-IF('Control Room'!$B$5="Normal",'Control Room'!$B$7,('Control Room'!$B$8+'Control Room'!$D$8)/2))</x:f>
        <x:v>934.7441275400491</x:v>
      </x:c>
      <x:c r="AT104" s="17" t="n">
        <x:f>IF(AND($A104&gt;='Control Room'!$A$13,$A104&lt;'Control Room'!$A$13+'Control Room'!$B$13,'Process'!BS2=1),1+('Control Room'!$C$13-1)*EXP(-0.5*(($A104-'Control Room'!$A$13-('Control Room'!$B$13-1)/2)/MAX(0.5,'Control Room'!$B$13/4))^2),1)*IF(AND($A104&gt;='Control Room'!$A$14,$A104&lt;'Control Room'!$A$14+'Control Room'!$B$14,'Process'!BS3=1),1+('Control Room'!$C$14-1)*EXP(-0.5*(($A104-'Control Room'!$A$14-('Control Room'!$B$14-1)/2)/MAX(0.5,'Control Room'!$B$14/4))^2),1)*IF(AND($A104&gt;='Control Room'!$A$15,$A104&lt;'Control Room'!$A$15+'Control Room'!$B$15,'Process'!BS4=1),1+('Control Room'!$C$15-1)*EXP(-0.5*(($A104-'Control Room'!$A$15-('Control Room'!$B$15-1)/2)/MAX(0.5,'Control Room'!$B$15/4))^2),1)*IF(AND($A104&gt;='Control Room'!$A$16,$A104&lt;'Control Room'!$A$16+'Control Room'!$B$16,'Process'!BS5=1),1+('Control Room'!$C$16-1)*EXP(-0.5*(($A104-'Control Room'!$A$16-('Control Room'!$B$16-1)/2)/MAX(0.5,'Control Room'!$B$16/4))^2),1)</x:f>
        <x:v>1</x:v>
      </x:c>
      <x:c r="AU104" s="9" t="n">
        <x:f>MOD(AV103*16807,2147483647)</x:f>
        <x:v>2070834777</x:v>
      </x:c>
      <x:c r="AV104" s="9" t="n">
        <x:f>MOD(AU104*16807,2147483647)</x:f>
        <x:v>252630110</x:v>
      </x:c>
      <x:c r="AW104" s="17" t="n">
        <x:f>IF('Control Room'!$B$5="Normal",'Control Room'!$B$7+'Control Room'!$D$7*SQRT(-2*LN(MAX(0.000000000001,AU104/2147483647)))*COS(2*PI()*AV104/2147483647),'Control Room'!$B$8+('Control Room'!$D$8-'Control Room'!$B$8)*AU104/2147483647)</x:f>
        <x:v>1017.9327414805748</x:v>
      </x:c>
      <x:c r="AX104" s="17" t="n">
        <x:f>IF('Control Room'!$B$5="Normal",'Control Room'!$B$7,('Control Room'!$B$8+'Control Room'!$D$8)/2)+'Control Room'!$B$9*(AX103-IF('Control Room'!$B$5="Normal",'Control Room'!$B$7,('Control Room'!$B$8+'Control Room'!$D$8)/2))+SQRT(1-'Control Room'!$B$9^2)*(AW104-IF('Control Room'!$B$5="Normal",'Control Room'!$B$7,('Control Room'!$B$8+'Control Room'!$D$8)/2))</x:f>
        <x:v>1009.1804682322326</x:v>
      </x:c>
      <x:c r="AY104" s="17" t="n">
        <x:f>IF(AND($A104&gt;='Control Room'!$A$13,$A104&lt;'Control Room'!$A$13+'Control Room'!$B$13,'Process'!BT2=1),1+('Control Room'!$C$13-1)*EXP(-0.5*(($A104-'Control Room'!$A$13-('Control Room'!$B$13-1)/2)/MAX(0.5,'Control Room'!$B$13/4))^2),1)*IF(AND($A104&gt;='Control Room'!$A$14,$A104&lt;'Control Room'!$A$14+'Control Room'!$B$14,'Process'!BT3=1),1+('Control Room'!$C$14-1)*EXP(-0.5*(($A104-'Control Room'!$A$14-('Control Room'!$B$14-1)/2)/MAX(0.5,'Control Room'!$B$14/4))^2),1)*IF(AND($A104&gt;='Control Room'!$A$15,$A104&lt;'Control Room'!$A$15+'Control Room'!$B$15,'Process'!BT4=1),1+('Control Room'!$C$15-1)*EXP(-0.5*(($A104-'Control Room'!$A$15-('Control Room'!$B$15-1)/2)/MAX(0.5,'Control Room'!$B$15/4))^2),1)*IF(AND($A104&gt;='Control Room'!$A$16,$A104&lt;'Control Room'!$A$16+'Control Room'!$B$16,'Process'!BT5=1),1+('Control Room'!$C$16-1)*EXP(-0.5*(($A104-'Control Room'!$A$16-('Control Room'!$B$16-1)/2)/MAX(0.5,'Control Room'!$B$16/4))^2),1)</x:f>
        <x:v>1</x:v>
      </x:c>
      <x:c r="AZ104" s="9" t="n">
        <x:f>MOD(BA103*16807,2147483647)</x:f>
        <x:v>1257149254</x:v>
      </x:c>
      <x:c r="BA104" s="9" t="n">
        <x:f>MOD(AZ104*16807,2147483647)</x:f>
        <x:v>1963392792</x:v>
      </x:c>
      <x:c r="BB104" s="17" t="n">
        <x:f>IF('Control Room'!$B$5="Normal",'Control Room'!$B$7+'Control Room'!$D$7*SQRT(-2*LN(MAX(0.000000000001,AZ104/2147483647)))*COS(2*PI()*BA104/2147483647),'Control Room'!$B$8+('Control Room'!$D$8-'Control Room'!$B$8)*AZ104/2147483647)</x:f>
        <x:v>1079.9494701550852</x:v>
      </x:c>
      <x:c r="BC104" s="17" t="n">
        <x:f>IF('Control Room'!$B$5="Normal",'Control Room'!$B$7,('Control Room'!$B$8+'Control Room'!$D$8)/2)+'Control Room'!$B$9*(BC103-IF('Control Room'!$B$5="Normal",'Control Room'!$B$7,('Control Room'!$B$8+'Control Room'!$D$8)/2))+SQRT(1-'Control Room'!$B$9^2)*(BB104-IF('Control Room'!$B$5="Normal",'Control Room'!$B$7,('Control Room'!$B$8+'Control Room'!$D$8)/2))</x:f>
        <x:v>1072.6059071208506</x:v>
      </x:c>
      <x:c r="BD104" s="17" t="n">
        <x:f>IF(AND($A104&gt;='Control Room'!$A$13,$A104&lt;'Control Room'!$A$13+'Control Room'!$B$13,'Process'!BU2=1),1+('Control Room'!$C$13-1)*EXP(-0.5*(($A104-'Control Room'!$A$13-('Control Room'!$B$13-1)/2)/MAX(0.5,'Control Room'!$B$13/4))^2),1)*IF(AND($A104&gt;='Control Room'!$A$14,$A104&lt;'Control Room'!$A$14+'Control Room'!$B$14,'Process'!BU3=1),1+('Control Room'!$C$14-1)*EXP(-0.5*(($A104-'Control Room'!$A$14-('Control Room'!$B$14-1)/2)/MAX(0.5,'Control Room'!$B$14/4))^2),1)*IF(AND($A104&gt;='Control Room'!$A$15,$A104&lt;'Control Room'!$A$15+'Control Room'!$B$15,'Process'!BU4=1),1+('Control Room'!$C$15-1)*EXP(-0.5*(($A104-'Control Room'!$A$15-('Control Room'!$B$15-1)/2)/MAX(0.5,'Control Room'!$B$15/4))^2),1)*IF(AND($A104&gt;='Control Room'!$A$16,$A104&lt;'Control Room'!$A$16+'Control Room'!$B$16,'Process'!BU5=1),1+('Control Room'!$C$16-1)*EXP(-0.5*(($A104-'Control Room'!$A$16-('Control Room'!$B$16-1)/2)/MAX(0.5,'Control Room'!$B$16/4))^2),1)</x:f>
        <x:v>1</x:v>
      </x:c>
      <x:c r="BE104" s="9" t="n">
        <x:f>MOD(BF103*16807,2147483647)</x:f>
        <x:v>443463731</x:v>
      </x:c>
      <x:c r="BF104" s="9" t="n">
        <x:f>MOD(BE104*16807,2147483647)</x:f>
        <x:v>1526671827</x:v>
      </x:c>
      <x:c r="BG104" s="17" t="n">
        <x:f>IF('Control Room'!$B$5="Normal",'Control Room'!$B$7+'Control Room'!$D$7*SQRT(-2*LN(MAX(0.000000000001,BE104/2147483647)))*COS(2*PI()*BF104/2147483647),'Control Room'!$B$8+('Control Room'!$D$8-'Control Room'!$B$8)*BE104/2147483647)</x:f>
        <x:v>961.1328879375528</x:v>
      </x:c>
      <x:c r="BH104" s="17" t="n">
        <x:f>IF('Control Room'!$B$5="Normal",'Control Room'!$B$7,('Control Room'!$B$8+'Control Room'!$D$8)/2)+'Control Room'!$B$9*(BH103-IF('Control Room'!$B$5="Normal",'Control Room'!$B$7,('Control Room'!$B$8+'Control Room'!$D$8)/2))+SQRT(1-'Control Room'!$B$9^2)*(BG104-IF('Control Room'!$B$5="Normal",'Control Room'!$B$7,('Control Room'!$B$8+'Control Room'!$D$8)/2))</x:f>
        <x:v>1005.6813632632256</x:v>
      </x:c>
      <x:c r="BI104" s="17" t="n">
        <x:f>IF(AND($A104&gt;='Control Room'!$A$13,$A104&lt;'Control Room'!$A$13+'Control Room'!$B$13,'Process'!BV2=1),1+('Control Room'!$C$13-1)*EXP(-0.5*(($A104-'Control Room'!$A$13-('Control Room'!$B$13-1)/2)/MAX(0.5,'Control Room'!$B$13/4))^2),1)*IF(AND($A104&gt;='Control Room'!$A$14,$A104&lt;'Control Room'!$A$14+'Control Room'!$B$14,'Process'!BV3=1),1+('Control Room'!$C$14-1)*EXP(-0.5*(($A104-'Control Room'!$A$14-('Control Room'!$B$14-1)/2)/MAX(0.5,'Control Room'!$B$14/4))^2),1)*IF(AND($A104&gt;='Control Room'!$A$15,$A104&lt;'Control Room'!$A$15+'Control Room'!$B$15,'Process'!BV4=1),1+('Control Room'!$C$15-1)*EXP(-0.5*(($A104-'Control Room'!$A$15-('Control Room'!$B$15-1)/2)/MAX(0.5,'Control Room'!$B$15/4))^2),1)*IF(AND($A104&gt;='Control Room'!$A$16,$A104&lt;'Control Room'!$A$16+'Control Room'!$B$16,'Process'!BV5=1),1+('Control Room'!$C$16-1)*EXP(-0.5*(($A104-'Control Room'!$A$16-('Control Room'!$B$16-1)/2)/MAX(0.5,'Control Room'!$B$16/4))^2),1)</x:f>
        <x:v>1</x:v>
      </x:c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Z104" t="str">
        <x:f>IF('Data'!A104="","",TEXT('Data'!A104,"mm-dd"))</x:f>
        <x:v>02-12</x:v>
      </x:c>
    </x:row>
    <x:row r="105" ht="21" customHeight="1">
      <x:c r="A105" s="15" t="n">
        <x:f>'Control Room'!$B$1+103</x:f>
        <x:v>73094</x:v>
      </x:c>
      <x:c r="B105" s="9" t="n">
        <x:f>MOD(C104*16807,2147483647)</x:f>
        <x:v>1357952079</x:v>
      </x:c>
      <x:c r="C105" s="9" t="n">
        <x:f>MOD(B105*16807,2147483647)</x:f>
        <x:v>1791875084</x:v>
      </x:c>
      <x:c r="D105" s="17" t="n">
        <x:f>IF('Control Room'!$B$5="Normal",'Control Room'!$B$7+'Control Room'!$D$7*SQRT(-2*LN(MAX(0.000000000001,B105/2147483647)))*COS(2*PI()*C105/2147483647),'Control Room'!$B$8+('Control Room'!$D$8-'Control Room'!$B$8)*B105/2147483647)</x:f>
        <x:v>1043.5859064304648</x:v>
      </x:c>
      <x:c r="E105" s="17" t="n">
        <x:f>IF('Control Room'!$B$5="Normal",'Control Room'!$B$7,('Control Room'!$B$8+'Control Room'!$D$8)/2)+'Control Room'!$B$9*(E104-IF('Control Room'!$B$5="Normal",'Control Room'!$B$7,('Control Room'!$B$8+'Control Room'!$D$8)/2))+SQRT(1-'Control Room'!$B$9^2)*(D105-IF('Control Room'!$B$5="Normal",'Control Room'!$B$7,('Control Room'!$B$8+'Control Room'!$D$8)/2))</x:f>
        <x:v>1143.7961979164152</x:v>
      </x:c>
      <x:c r="F105" s="17" t="n">
        <x:f>IF(AND($A105&gt;='Control Room'!$A$13,$A105&lt;'Control Room'!$A$13+'Control Room'!$B$13,'Process'!BK2=1),1+('Control Room'!$C$13-1)*EXP(-0.5*(($A105-'Control Room'!$A$13-('Control Room'!$B$13-1)/2)/MAX(0.5,'Control Room'!$B$13/4))^2),1)*IF(AND($A105&gt;='Control Room'!$A$14,$A105&lt;'Control Room'!$A$14+'Control Room'!$B$14,'Process'!BK3=1),1+('Control Room'!$C$14-1)*EXP(-0.5*(($A105-'Control Room'!$A$14-('Control Room'!$B$14-1)/2)/MAX(0.5,'Control Room'!$B$14/4))^2),1)*IF(AND($A105&gt;='Control Room'!$A$15,$A105&lt;'Control Room'!$A$15+'Control Room'!$B$15,'Process'!BK4=1),1+('Control Room'!$C$15-1)*EXP(-0.5*(($A105-'Control Room'!$A$15-('Control Room'!$B$15-1)/2)/MAX(0.5,'Control Room'!$B$15/4))^2),1)*IF(AND($A105&gt;='Control Room'!$A$16,$A105&lt;'Control Room'!$A$16+'Control Room'!$B$16,'Process'!BK5=1),1+('Control Room'!$C$16-1)*EXP(-0.5*(($A105-'Control Room'!$A$16-('Control Room'!$B$16-1)/2)/MAX(0.5,'Control Room'!$B$16/4))^2),1)</x:f>
        <x:v>1</x:v>
      </x:c>
      <x:c r="G105" s="9" t="n">
        <x:f>MOD(H104*16807,2147483647)</x:f>
        <x:v>1487798770</x:v>
      </x:c>
      <x:c r="H105" s="9" t="n">
        <x:f>MOD(G105*16807,2147483647)</x:f>
        <x:v>134341722</x:v>
      </x:c>
      <x:c r="I105" s="17" t="n">
        <x:f>IF('Control Room'!$B$5="Normal",'Control Room'!$B$7+'Control Room'!$D$7*SQRT(-2*LN(MAX(0.000000000001,G105/2147483647)))*COS(2*PI()*H105/2147483647),'Control Room'!$B$8+('Control Room'!$D$8-'Control Room'!$B$8)*G105/2147483647)</x:f>
        <x:v>1071.22624323166</x:v>
      </x:c>
      <x:c r="J105" s="17" t="n">
        <x:f>IF('Control Room'!$B$5="Normal",'Control Room'!$B$7,('Control Room'!$B$8+'Control Room'!$D$8)/2)+'Control Room'!$B$9*(J104-IF('Control Room'!$B$5="Normal",'Control Room'!$B$7,('Control Room'!$B$8+'Control Room'!$D$8)/2))+SQRT(1-'Control Room'!$B$9^2)*(I105-IF('Control Room'!$B$5="Normal",'Control Room'!$B$7,('Control Room'!$B$8+'Control Room'!$D$8)/2))</x:f>
        <x:v>1062.572933507242</x:v>
      </x:c>
      <x:c r="K105" s="17" t="n">
        <x:f>IF(AND($A105&gt;='Control Room'!$A$13,$A105&lt;'Control Room'!$A$13+'Control Room'!$B$13,'Process'!BL2=1),1+('Control Room'!$C$13-1)*EXP(-0.5*(($A105-'Control Room'!$A$13-('Control Room'!$B$13-1)/2)/MAX(0.5,'Control Room'!$B$13/4))^2),1)*IF(AND($A105&gt;='Control Room'!$A$14,$A105&lt;'Control Room'!$A$14+'Control Room'!$B$14,'Process'!BL3=1),1+('Control Room'!$C$14-1)*EXP(-0.5*(($A105-'Control Room'!$A$14-('Control Room'!$B$14-1)/2)/MAX(0.5,'Control Room'!$B$14/4))^2),1)*IF(AND($A105&gt;='Control Room'!$A$15,$A105&lt;'Control Room'!$A$15+'Control Room'!$B$15,'Process'!BL4=1),1+('Control Room'!$C$15-1)*EXP(-0.5*(($A105-'Control Room'!$A$15-('Control Room'!$B$15-1)/2)/MAX(0.5,'Control Room'!$B$15/4))^2),1)*IF(AND($A105&gt;='Control Room'!$A$16,$A105&lt;'Control Room'!$A$16+'Control Room'!$B$16,'Process'!BL5=1),1+('Control Room'!$C$16-1)*EXP(-0.5*(($A105-'Control Room'!$A$16-('Control Room'!$B$16-1)/2)/MAX(0.5,'Control Room'!$B$16/4))^2),1)</x:f>
        <x:v>1</x:v>
      </x:c>
      <x:c r="L105" s="9" t="n">
        <x:f>MOD(M104*16807,2147483647)</x:f>
        <x:v>1617645461</x:v>
      </x:c>
      <x:c r="M105" s="9" t="n">
        <x:f>MOD(L105*16807,2147483647)</x:f>
        <x:v>624292007</x:v>
      </x:c>
      <x:c r="N105" s="17" t="n">
        <x:f>IF('Control Room'!$B$5="Normal",'Control Room'!$B$7+'Control Room'!$D$7*SQRT(-2*LN(MAX(0.000000000001,L105/2147483647)))*COS(2*PI()*M105/2147483647),'Control Room'!$B$8+('Control Room'!$D$8-'Control Room'!$B$8)*L105/2147483647)</x:f>
        <x:v>982.8596217387384</x:v>
      </x:c>
      <x:c r="O105" s="17" t="n">
        <x:f>IF('Control Room'!$B$5="Normal",'Control Room'!$B$7,('Control Room'!$B$8+'Control Room'!$D$8)/2)+'Control Room'!$B$9*(O104-IF('Control Room'!$B$5="Normal",'Control Room'!$B$7,('Control Room'!$B$8+'Control Room'!$D$8)/2))+SQRT(1-'Control Room'!$B$9^2)*(N105-IF('Control Room'!$B$5="Normal",'Control Room'!$B$7,('Control Room'!$B$8+'Control Room'!$D$8)/2))</x:f>
        <x:v>980.5291570834867</x:v>
      </x:c>
      <x:c r="P105" s="17" t="n">
        <x:f>IF(AND($A105&gt;='Control Room'!$A$13,$A105&lt;'Control Room'!$A$13+'Control Room'!$B$13,'Process'!BM2=1),1+('Control Room'!$C$13-1)*EXP(-0.5*(($A105-'Control Room'!$A$13-('Control Room'!$B$13-1)/2)/MAX(0.5,'Control Room'!$B$13/4))^2),1)*IF(AND($A105&gt;='Control Room'!$A$14,$A105&lt;'Control Room'!$A$14+'Control Room'!$B$14,'Process'!BM3=1),1+('Control Room'!$C$14-1)*EXP(-0.5*(($A105-'Control Room'!$A$14-('Control Room'!$B$14-1)/2)/MAX(0.5,'Control Room'!$B$14/4))^2),1)*IF(AND($A105&gt;='Control Room'!$A$15,$A105&lt;'Control Room'!$A$15+'Control Room'!$B$15,'Process'!BM4=1),1+('Control Room'!$C$15-1)*EXP(-0.5*(($A105-'Control Room'!$A$15-('Control Room'!$B$15-1)/2)/MAX(0.5,'Control Room'!$B$15/4))^2),1)*IF(AND($A105&gt;='Control Room'!$A$16,$A105&lt;'Control Room'!$A$16+'Control Room'!$B$16,'Process'!BM5=1),1+('Control Room'!$C$16-1)*EXP(-0.5*(($A105-'Control Room'!$A$16-('Control Room'!$B$16-1)/2)/MAX(0.5,'Control Room'!$B$16/4))^2),1)</x:f>
        <x:v>1</x:v>
      </x:c>
      <x:c r="Q105" s="9" t="n">
        <x:f>MOD(R104*16807,2147483647)</x:f>
        <x:v>1747492152</x:v>
      </x:c>
      <x:c r="R105" s="9" t="n">
        <x:f>MOD(Q105*16807,2147483647)</x:f>
        <x:v>1114242292</x:v>
      </x:c>
      <x:c r="S105" s="17" t="n">
        <x:f>IF('Control Room'!$B$5="Normal",'Control Room'!$B$7+'Control Room'!$D$7*SQRT(-2*LN(MAX(0.000000000001,Q105/2147483647)))*COS(2*PI()*R105/2147483647),'Control Room'!$B$8+('Control Room'!$D$8-'Control Room'!$B$8)*Q105/2147483647)</x:f>
        <x:v>942.6205893199043</x:v>
      </x:c>
      <x:c r="T105" s="17" t="n">
        <x:f>IF('Control Room'!$B$5="Normal",'Control Room'!$B$7,('Control Room'!$B$8+'Control Room'!$D$8)/2)+'Control Room'!$B$9*(T104-IF('Control Room'!$B$5="Normal",'Control Room'!$B$7,('Control Room'!$B$8+'Control Room'!$D$8)/2))+SQRT(1-'Control Room'!$B$9^2)*(S105-IF('Control Room'!$B$5="Normal",'Control Room'!$B$7,('Control Room'!$B$8+'Control Room'!$D$8)/2))</x:f>
        <x:v>1045.3612465723088</x:v>
      </x:c>
      <x:c r="U105" s="17" t="n">
        <x:f>IF(AND($A105&gt;='Control Room'!$A$13,$A105&lt;'Control Room'!$A$13+'Control Room'!$B$13,'Process'!BN2=1),1+('Control Room'!$C$13-1)*EXP(-0.5*(($A105-'Control Room'!$A$13-('Control Room'!$B$13-1)/2)/MAX(0.5,'Control Room'!$B$13/4))^2),1)*IF(AND($A105&gt;='Control Room'!$A$14,$A105&lt;'Control Room'!$A$14+'Control Room'!$B$14,'Process'!BN3=1),1+('Control Room'!$C$14-1)*EXP(-0.5*(($A105-'Control Room'!$A$14-('Control Room'!$B$14-1)/2)/MAX(0.5,'Control Room'!$B$14/4))^2),1)*IF(AND($A105&gt;='Control Room'!$A$15,$A105&lt;'Control Room'!$A$15+'Control Room'!$B$15,'Process'!BN4=1),1+('Control Room'!$C$15-1)*EXP(-0.5*(($A105-'Control Room'!$A$15-('Control Room'!$B$15-1)/2)/MAX(0.5,'Control Room'!$B$15/4))^2),1)*IF(AND($A105&gt;='Control Room'!$A$16,$A105&lt;'Control Room'!$A$16+'Control Room'!$B$16,'Process'!BN5=1),1+('Control Room'!$C$16-1)*EXP(-0.5*(($A105-'Control Room'!$A$16-('Control Room'!$B$16-1)/2)/MAX(0.5,'Control Room'!$B$16/4))^2),1)</x:f>
        <x:v>1</x:v>
      </x:c>
      <x:c r="V105" s="9" t="n">
        <x:f>MOD(W104*16807,2147483647)</x:f>
        <x:v>1877338843</x:v>
      </x:c>
      <x:c r="W105" s="9" t="n">
        <x:f>MOD(V105*16807,2147483647)</x:f>
        <x:v>1604192577</x:v>
      </x:c>
      <x:c r="X105" s="17" t="n">
        <x:f>IF('Control Room'!$B$5="Normal",'Control Room'!$B$7+'Control Room'!$D$7*SQRT(-2*LN(MAX(0.000000000001,V105/2147483647)))*COS(2*PI()*W105/2147483647),'Control Room'!$B$8+('Control Room'!$D$8-'Control Room'!$B$8)*V105/2147483647)</x:f>
        <x:v>999.1234143248025</x:v>
      </x:c>
      <x:c r="Y105" s="17" t="n">
        <x:f>IF('Control Room'!$B$5="Normal",'Control Room'!$B$7,('Control Room'!$B$8+'Control Room'!$D$8)/2)+'Control Room'!$B$9*(Y104-IF('Control Room'!$B$5="Normal",'Control Room'!$B$7,('Control Room'!$B$8+'Control Room'!$D$8)/2))+SQRT(1-'Control Room'!$B$9^2)*(X105-IF('Control Room'!$B$5="Normal",'Control Room'!$B$7,('Control Room'!$B$8+'Control Room'!$D$8)/2))</x:f>
        <x:v>939.4361444598858</x:v>
      </x:c>
      <x:c r="Z105" s="17" t="n">
        <x:f>IF(AND($A105&gt;='Control Room'!$A$13,$A105&lt;'Control Room'!$A$13+'Control Room'!$B$13,'Process'!BO2=1),1+('Control Room'!$C$13-1)*EXP(-0.5*(($A105-'Control Room'!$A$13-('Control Room'!$B$13-1)/2)/MAX(0.5,'Control Room'!$B$13/4))^2),1)*IF(AND($A105&gt;='Control Room'!$A$14,$A105&lt;'Control Room'!$A$14+'Control Room'!$B$14,'Process'!BO3=1),1+('Control Room'!$C$14-1)*EXP(-0.5*(($A105-'Control Room'!$A$14-('Control Room'!$B$14-1)/2)/MAX(0.5,'Control Room'!$B$14/4))^2),1)*IF(AND($A105&gt;='Control Room'!$A$15,$A105&lt;'Control Room'!$A$15+'Control Room'!$B$15,'Process'!BO4=1),1+('Control Room'!$C$15-1)*EXP(-0.5*(($A105-'Control Room'!$A$15-('Control Room'!$B$15-1)/2)/MAX(0.5,'Control Room'!$B$15/4))^2),1)*IF(AND($A105&gt;='Control Room'!$A$16,$A105&lt;'Control Room'!$A$16+'Control Room'!$B$16,'Process'!BO5=1),1+('Control Room'!$C$16-1)*EXP(-0.5*(($A105-'Control Room'!$A$16-('Control Room'!$B$16-1)/2)/MAX(0.5,'Control Room'!$B$16/4))^2),1)</x:f>
        <x:v>1</x:v>
      </x:c>
      <x:c r="AA105" s="9" t="n">
        <x:f>MOD(AB104*16807,2147483647)</x:f>
        <x:v>2007185534</x:v>
      </x:c>
      <x:c r="AB105" s="9" t="n">
        <x:f>MOD(AA105*16807,2147483647)</x:f>
        <x:v>2094142862</x:v>
      </x:c>
      <x:c r="AC105" s="17" t="n">
        <x:f>IF('Control Room'!$B$5="Normal",'Control Room'!$B$7+'Control Room'!$D$7*SQRT(-2*LN(MAX(0.000000000001,AA105/2147483647)))*COS(2*PI()*AB105/2147483647),'Control Room'!$B$8+('Control Room'!$D$8-'Control Room'!$B$8)*AA105/2147483647)</x:f>
        <x:v>1032.6815142657883</x:v>
      </x:c>
      <x:c r="AD105" s="17" t="n">
        <x:f>IF('Control Room'!$B$5="Normal",'Control Room'!$B$7,('Control Room'!$B$8+'Control Room'!$D$8)/2)+'Control Room'!$B$9*(AD104-IF('Control Room'!$B$5="Normal",'Control Room'!$B$7,('Control Room'!$B$8+'Control Room'!$D$8)/2))+SQRT(1-'Control Room'!$B$9^2)*(AC105-IF('Control Room'!$B$5="Normal",'Control Room'!$B$7,('Control Room'!$B$8+'Control Room'!$D$8)/2))</x:f>
        <x:v>1079.4492783849632</x:v>
      </x:c>
      <x:c r="AE105" s="17" t="n">
        <x:f>IF(AND($A105&gt;='Control Room'!$A$13,$A105&lt;'Control Room'!$A$13+'Control Room'!$B$13,'Process'!BP2=1),1+('Control Room'!$C$13-1)*EXP(-0.5*(($A105-'Control Room'!$A$13-('Control Room'!$B$13-1)/2)/MAX(0.5,'Control Room'!$B$13/4))^2),1)*IF(AND($A105&gt;='Control Room'!$A$14,$A105&lt;'Control Room'!$A$14+'Control Room'!$B$14,'Process'!BP3=1),1+('Control Room'!$C$14-1)*EXP(-0.5*(($A105-'Control Room'!$A$14-('Control Room'!$B$14-1)/2)/MAX(0.5,'Control Room'!$B$14/4))^2),1)*IF(AND($A105&gt;='Control Room'!$A$15,$A105&lt;'Control Room'!$A$15+'Control Room'!$B$15,'Process'!BP4=1),1+('Control Room'!$C$15-1)*EXP(-0.5*(($A105-'Control Room'!$A$15-('Control Room'!$B$15-1)/2)/MAX(0.5,'Control Room'!$B$15/4))^2),1)*IF(AND($A105&gt;='Control Room'!$A$16,$A105&lt;'Control Room'!$A$16+'Control Room'!$B$16,'Process'!BP5=1),1+('Control Room'!$C$16-1)*EXP(-0.5*(($A105-'Control Room'!$A$16-('Control Room'!$B$16-1)/2)/MAX(0.5,'Control Room'!$B$16/4))^2),1)</x:f>
        <x:v>1</x:v>
      </x:c>
      <x:c r="AF105" s="9" t="n">
        <x:f>MOD(AG104*16807,2147483647)</x:f>
        <x:v>2137032225</x:v>
      </x:c>
      <x:c r="AG105" s="9" t="n">
        <x:f>MOD(AF105*16807,2147483647)</x:f>
        <x:v>436609500</x:v>
      </x:c>
      <x:c r="AH105" s="17" t="n">
        <x:f>IF('Control Room'!$B$5="Normal",'Control Room'!$B$7+'Control Room'!$D$7*SQRT(-2*LN(MAX(0.000000000001,AF105/2147483647)))*COS(2*PI()*AG105/2147483647),'Control Room'!$B$8+('Control Room'!$D$8-'Control Room'!$B$8)*AF105/2147483647)</x:f>
        <x:v>1002.5706731173289</x:v>
      </x:c>
      <x:c r="AI105" s="17" t="n">
        <x:f>IF('Control Room'!$B$5="Normal",'Control Room'!$B$7,('Control Room'!$B$8+'Control Room'!$D$8)/2)+'Control Room'!$B$9*(AI104-IF('Control Room'!$B$5="Normal",'Control Room'!$B$7,('Control Room'!$B$8+'Control Room'!$D$8)/2))+SQRT(1-'Control Room'!$B$9^2)*(AH105-IF('Control Room'!$B$5="Normal",'Control Room'!$B$7,('Control Room'!$B$8+'Control Room'!$D$8)/2))</x:f>
        <x:v>978.53422980539</x:v>
      </x:c>
      <x:c r="AJ105" s="17" t="n">
        <x:f>IF(AND($A105&gt;='Control Room'!$A$13,$A105&lt;'Control Room'!$A$13+'Control Room'!$B$13,'Process'!BQ2=1),1+('Control Room'!$C$13-1)*EXP(-0.5*(($A105-'Control Room'!$A$13-('Control Room'!$B$13-1)/2)/MAX(0.5,'Control Room'!$B$13/4))^2),1)*IF(AND($A105&gt;='Control Room'!$A$14,$A105&lt;'Control Room'!$A$14+'Control Room'!$B$14,'Process'!BQ3=1),1+('Control Room'!$C$14-1)*EXP(-0.5*(($A105-'Control Room'!$A$14-('Control Room'!$B$14-1)/2)/MAX(0.5,'Control Room'!$B$14/4))^2),1)*IF(AND($A105&gt;='Control Room'!$A$15,$A105&lt;'Control Room'!$A$15+'Control Room'!$B$15,'Process'!BQ4=1),1+('Control Room'!$C$15-1)*EXP(-0.5*(($A105-'Control Room'!$A$15-('Control Room'!$B$15-1)/2)/MAX(0.5,'Control Room'!$B$15/4))^2),1)*IF(AND($A105&gt;='Control Room'!$A$16,$A105&lt;'Control Room'!$A$16+'Control Room'!$B$16,'Process'!BQ5=1),1+('Control Room'!$C$16-1)*EXP(-0.5*(($A105-'Control Room'!$A$16-('Control Room'!$B$16-1)/2)/MAX(0.5,'Control Room'!$B$16/4))^2),1)</x:f>
        <x:v>1</x:v>
      </x:c>
      <x:c r="AK105" s="9" t="n">
        <x:f>MOD(AL104*16807,2147483647)</x:f>
        <x:v>119395269</x:v>
      </x:c>
      <x:c r="AL105" s="9" t="n">
        <x:f>MOD(AK105*16807,2147483647)</x:f>
        <x:v>926559785</x:v>
      </x:c>
      <x:c r="AM105" s="17" t="n">
        <x:f>IF('Control Room'!$B$5="Normal",'Control Room'!$B$7+'Control Room'!$D$7*SQRT(-2*LN(MAX(0.000000000001,AK105/2147483647)))*COS(2*PI()*AL105/2147483647),'Control Room'!$B$8+('Control Room'!$D$8-'Control Room'!$B$8)*AK105/2147483647)</x:f>
        <x:v>803.3929278568405</x:v>
      </x:c>
      <x:c r="AN105" s="17" t="n">
        <x:f>IF('Control Room'!$B$5="Normal",'Control Room'!$B$7,('Control Room'!$B$8+'Control Room'!$D$8)/2)+'Control Room'!$B$9*(AN104-IF('Control Room'!$B$5="Normal",'Control Room'!$B$7,('Control Room'!$B$8+'Control Room'!$D$8)/2))+SQRT(1-'Control Room'!$B$9^2)*(AM105-IF('Control Room'!$B$5="Normal",'Control Room'!$B$7,('Control Room'!$B$8+'Control Room'!$D$8)/2))</x:f>
        <x:v>756.2664474467366</x:v>
      </x:c>
      <x:c r="AO105" s="17" t="n">
        <x:f>IF(AND($A105&gt;='Control Room'!$A$13,$A105&lt;'Control Room'!$A$13+'Control Room'!$B$13,'Process'!BR2=1),1+('Control Room'!$C$13-1)*EXP(-0.5*(($A105-'Control Room'!$A$13-('Control Room'!$B$13-1)/2)/MAX(0.5,'Control Room'!$B$13/4))^2),1)*IF(AND($A105&gt;='Control Room'!$A$14,$A105&lt;'Control Room'!$A$14+'Control Room'!$B$14,'Process'!BR3=1),1+('Control Room'!$C$14-1)*EXP(-0.5*(($A105-'Control Room'!$A$14-('Control Room'!$B$14-1)/2)/MAX(0.5,'Control Room'!$B$14/4))^2),1)*IF(AND($A105&gt;='Control Room'!$A$15,$A105&lt;'Control Room'!$A$15+'Control Room'!$B$15,'Process'!BR4=1),1+('Control Room'!$C$15-1)*EXP(-0.5*(($A105-'Control Room'!$A$15-('Control Room'!$B$15-1)/2)/MAX(0.5,'Control Room'!$B$15/4))^2),1)*IF(AND($A105&gt;='Control Room'!$A$16,$A105&lt;'Control Room'!$A$16+'Control Room'!$B$16,'Process'!BR5=1),1+('Control Room'!$C$16-1)*EXP(-0.5*(($A105-'Control Room'!$A$16-('Control Room'!$B$16-1)/2)/MAX(0.5,'Control Room'!$B$16/4))^2),1)</x:f>
        <x:v>1</x:v>
      </x:c>
      <x:c r="AP105" s="9" t="n">
        <x:f>MOD(AQ104*16807,2147483647)</x:f>
        <x:v>249241960</x:v>
      </x:c>
      <x:c r="AQ105" s="9" t="n">
        <x:f>MOD(AP105*16807,2147483647)</x:f>
        <x:v>1416510070</x:v>
      </x:c>
      <x:c r="AR105" s="17" t="n">
        <x:f>IF('Control Room'!$B$5="Normal",'Control Room'!$B$7+'Control Room'!$D$7*SQRT(-2*LN(MAX(0.000000000001,AP105/2147483647)))*COS(2*PI()*AQ105/2147483647),'Control Room'!$B$8+('Control Room'!$D$8-'Control Room'!$B$8)*AP105/2147483647)</x:f>
        <x:v>899.5331054696131</x:v>
      </x:c>
      <x:c r="AS105" s="17" t="n">
        <x:f>IF('Control Room'!$B$5="Normal",'Control Room'!$B$7,('Control Room'!$B$8+'Control Room'!$D$8)/2)+'Control Room'!$B$9*(AS104-IF('Control Room'!$B$5="Normal",'Control Room'!$B$7,('Control Room'!$B$8+'Control Room'!$D$8)/2))+SQRT(1-'Control Room'!$B$9^2)*(AR105-IF('Control Room'!$B$5="Normal",'Control Room'!$B$7,('Control Room'!$B$8+'Control Room'!$D$8)/2))</x:f>
        <x:v>886.2302950603284</x:v>
      </x:c>
      <x:c r="AT105" s="17" t="n">
        <x:f>IF(AND($A105&gt;='Control Room'!$A$13,$A105&lt;'Control Room'!$A$13+'Control Room'!$B$13,'Process'!BS2=1),1+('Control Room'!$C$13-1)*EXP(-0.5*(($A105-'Control Room'!$A$13-('Control Room'!$B$13-1)/2)/MAX(0.5,'Control Room'!$B$13/4))^2),1)*IF(AND($A105&gt;='Control Room'!$A$14,$A105&lt;'Control Room'!$A$14+'Control Room'!$B$14,'Process'!BS3=1),1+('Control Room'!$C$14-1)*EXP(-0.5*(($A105-'Control Room'!$A$14-('Control Room'!$B$14-1)/2)/MAX(0.5,'Control Room'!$B$14/4))^2),1)*IF(AND($A105&gt;='Control Room'!$A$15,$A105&lt;'Control Room'!$A$15+'Control Room'!$B$15,'Process'!BS4=1),1+('Control Room'!$C$15-1)*EXP(-0.5*(($A105-'Control Room'!$A$15-('Control Room'!$B$15-1)/2)/MAX(0.5,'Control Room'!$B$15/4))^2),1)*IF(AND($A105&gt;='Control Room'!$A$16,$A105&lt;'Control Room'!$A$16+'Control Room'!$B$16,'Process'!BS5=1),1+('Control Room'!$C$16-1)*EXP(-0.5*(($A105-'Control Room'!$A$16-('Control Room'!$B$16-1)/2)/MAX(0.5,'Control Room'!$B$16/4))^2),1)</x:f>
        <x:v>1</x:v>
      </x:c>
      <x:c r="AU105" s="9" t="n">
        <x:f>MOD(AV104*16807,2147483647)</x:f>
        <x:v>379088651</x:v>
      </x:c>
      <x:c r="AV105" s="9" t="n">
        <x:f>MOD(AU105*16807,2147483647)</x:f>
        <x:v>1906460355</x:v>
      </x:c>
      <x:c r="AW105" s="17" t="n">
        <x:f>IF('Control Room'!$B$5="Normal",'Control Room'!$B$7+'Control Room'!$D$7*SQRT(-2*LN(MAX(0.000000000001,AU105/2147483647)))*COS(2*PI()*AV105/2147483647),'Control Room'!$B$8+('Control Room'!$D$8-'Control Room'!$B$8)*AU105/2147483647)</x:f>
        <x:v>1127.6376896552213</x:v>
      </x:c>
      <x:c r="AX105" s="17" t="n">
        <x:f>IF('Control Room'!$B$5="Normal",'Control Room'!$B$7,('Control Room'!$B$8+'Control Room'!$D$8)/2)+'Control Room'!$B$9*(AX104-IF('Control Room'!$B$5="Normal",'Control Room'!$B$7,('Control Room'!$B$8+'Control Room'!$D$8)/2))+SQRT(1-'Control Room'!$B$9^2)*(AW105-IF('Control Room'!$B$5="Normal",'Control Room'!$B$7,('Control Room'!$B$8+'Control Room'!$D$8)/2))</x:f>
        <x:v>1087.0338166071792</x:v>
      </x:c>
      <x:c r="AY105" s="17" t="n">
        <x:f>IF(AND($A105&gt;='Control Room'!$A$13,$A105&lt;'Control Room'!$A$13+'Control Room'!$B$13,'Process'!BT2=1),1+('Control Room'!$C$13-1)*EXP(-0.5*(($A105-'Control Room'!$A$13-('Control Room'!$B$13-1)/2)/MAX(0.5,'Control Room'!$B$13/4))^2),1)*IF(AND($A105&gt;='Control Room'!$A$14,$A105&lt;'Control Room'!$A$14+'Control Room'!$B$14,'Process'!BT3=1),1+('Control Room'!$C$14-1)*EXP(-0.5*(($A105-'Control Room'!$A$14-('Control Room'!$B$14-1)/2)/MAX(0.5,'Control Room'!$B$14/4))^2),1)*IF(AND($A105&gt;='Control Room'!$A$15,$A105&lt;'Control Room'!$A$15+'Control Room'!$B$15,'Process'!BT4=1),1+('Control Room'!$C$15-1)*EXP(-0.5*(($A105-'Control Room'!$A$15-('Control Room'!$B$15-1)/2)/MAX(0.5,'Control Room'!$B$15/4))^2),1)*IF(AND($A105&gt;='Control Room'!$A$16,$A105&lt;'Control Room'!$A$16+'Control Room'!$B$16,'Process'!BT5=1),1+('Control Room'!$C$16-1)*EXP(-0.5*(($A105-'Control Room'!$A$16-('Control Room'!$B$16-1)/2)/MAX(0.5,'Control Room'!$B$16/4))^2),1)</x:f>
        <x:v>1</x:v>
      </x:c>
      <x:c r="AZ105" s="9" t="n">
        <x:f>MOD(BA104*16807,2147483647)</x:f>
        <x:v>508935342</x:v>
      </x:c>
      <x:c r="BA105" s="9" t="n">
        <x:f>MOD(AZ105*16807,2147483647)</x:f>
        <x:v>248926993</x:v>
      </x:c>
      <x:c r="BB105" s="17" t="n">
        <x:f>IF('Control Room'!$B$5="Normal",'Control Room'!$B$7+'Control Room'!$D$7*SQRT(-2*LN(MAX(0.000000000001,AZ105/2147483647)))*COS(2*PI()*BA105/2147483647),'Control Room'!$B$8+('Control Room'!$D$8-'Control Room'!$B$8)*AZ105/2147483647)</x:f>
        <x:v>1113.9746115150997</x:v>
      </x:c>
      <x:c r="BC105" s="17" t="n">
        <x:f>IF('Control Room'!$B$5="Normal",'Control Room'!$B$7,('Control Room'!$B$8+'Control Room'!$D$8)/2)+'Control Room'!$B$9*(BC104-IF('Control Room'!$B$5="Normal",'Control Room'!$B$7,('Control Room'!$B$8+'Control Room'!$D$8)/2))+SQRT(1-'Control Room'!$B$9^2)*(BB105-IF('Control Room'!$B$5="Normal",'Control Room'!$B$7,('Control Room'!$B$8+'Control Room'!$D$8)/2))</x:f>
        <x:v>1127.955584543583</x:v>
      </x:c>
      <x:c r="BD105" s="17" t="n">
        <x:f>IF(AND($A105&gt;='Control Room'!$A$13,$A105&lt;'Control Room'!$A$13+'Control Room'!$B$13,'Process'!BU2=1),1+('Control Room'!$C$13-1)*EXP(-0.5*(($A105-'Control Room'!$A$13-('Control Room'!$B$13-1)/2)/MAX(0.5,'Control Room'!$B$13/4))^2),1)*IF(AND($A105&gt;='Control Room'!$A$14,$A105&lt;'Control Room'!$A$14+'Control Room'!$B$14,'Process'!BU3=1),1+('Control Room'!$C$14-1)*EXP(-0.5*(($A105-'Control Room'!$A$14-('Control Room'!$B$14-1)/2)/MAX(0.5,'Control Room'!$B$14/4))^2),1)*IF(AND($A105&gt;='Control Room'!$A$15,$A105&lt;'Control Room'!$A$15+'Control Room'!$B$15,'Process'!BU4=1),1+('Control Room'!$C$15-1)*EXP(-0.5*(($A105-'Control Room'!$A$15-('Control Room'!$B$15-1)/2)/MAX(0.5,'Control Room'!$B$15/4))^2),1)*IF(AND($A105&gt;='Control Room'!$A$16,$A105&lt;'Control Room'!$A$16+'Control Room'!$B$16,'Process'!BU5=1),1+('Control Room'!$C$16-1)*EXP(-0.5*(($A105-'Control Room'!$A$16-('Control Room'!$B$16-1)/2)/MAX(0.5,'Control Room'!$B$16/4))^2),1)</x:f>
        <x:v>1</x:v>
      </x:c>
      <x:c r="BE105" s="9" t="n">
        <x:f>MOD(BF104*16807,2147483647)</x:f>
        <x:v>638782033</x:v>
      </x:c>
      <x:c r="BF105" s="9" t="n">
        <x:f>MOD(BE105*16807,2147483647)</x:f>
        <x:v>738877278</x:v>
      </x:c>
      <x:c r="BG105" s="17" t="n">
        <x:f>IF('Control Room'!$B$5="Normal",'Control Room'!$B$7+'Control Room'!$D$7*SQRT(-2*LN(MAX(0.000000000001,BE105/2147483647)))*COS(2*PI()*BF105/2147483647),'Control Room'!$B$8+('Control Room'!$D$8-'Control Room'!$B$8)*BE105/2147483647)</x:f>
        <x:v>921.9046306677164</x:v>
      </x:c>
      <x:c r="BH105" s="17" t="n">
        <x:f>IF('Control Room'!$B$5="Normal",'Control Room'!$B$7,('Control Room'!$B$8+'Control Room'!$D$8)/2)+'Control Room'!$B$9*(BH104-IF('Control Room'!$B$5="Normal",'Control Room'!$B$7,('Control Room'!$B$8+'Control Room'!$D$8)/2))+SQRT(1-'Control Room'!$B$9^2)*(BG105-IF('Control Room'!$B$5="Normal",'Control Room'!$B$7,('Control Room'!$B$8+'Control Room'!$D$8)/2))</x:f>
        <x:v>955.5609810877745</x:v>
      </x:c>
      <x:c r="BI105" s="17" t="n">
        <x:f>IF(AND($A105&gt;='Control Room'!$A$13,$A105&lt;'Control Room'!$A$13+'Control Room'!$B$13,'Process'!BV2=1),1+('Control Room'!$C$13-1)*EXP(-0.5*(($A105-'Control Room'!$A$13-('Control Room'!$B$13-1)/2)/MAX(0.5,'Control Room'!$B$13/4))^2),1)*IF(AND($A105&gt;='Control Room'!$A$14,$A105&lt;'Control Room'!$A$14+'Control Room'!$B$14,'Process'!BV3=1),1+('Control Room'!$C$14-1)*EXP(-0.5*(($A105-'Control Room'!$A$14-('Control Room'!$B$14-1)/2)/MAX(0.5,'Control Room'!$B$14/4))^2),1)*IF(AND($A105&gt;='Control Room'!$A$15,$A105&lt;'Control Room'!$A$15+'Control Room'!$B$15,'Process'!BV4=1),1+('Control Room'!$C$15-1)*EXP(-0.5*(($A105-'Control Room'!$A$15-('Control Room'!$B$15-1)/2)/MAX(0.5,'Control Room'!$B$15/4))^2),1)*IF(AND($A105&gt;='Control Room'!$A$16,$A105&lt;'Control Room'!$A$16+'Control Room'!$B$16,'Process'!BV5=1),1+('Control Room'!$C$16-1)*EXP(-0.5*(($A105-'Control Room'!$A$16-('Control Room'!$B$16-1)/2)/MAX(0.5,'Control Room'!$B$16/4))^2),1)</x:f>
        <x:v>1</x:v>
      </x:c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Z105" t="str">
        <x:f>IF('Data'!A105="","",TEXT('Data'!A105,"mm-dd"))</x:f>
        <x:v>02-13</x:v>
      </x:c>
    </x:row>
    <x:row r="106" ht="21" customHeight="1">
      <x:c r="A106" s="15" t="n">
        <x:f>'Control Room'!$B$1+104</x:f>
        <x:v>73095</x:v>
      </x:c>
      <x:c r="B106" s="9" t="n">
        <x:f>MOD(C105*16807,2147483647)</x:f>
        <x:v>1881354907</x:v>
      </x:c>
      <x:c r="C106" s="9" t="n">
        <x:f>MOD(B106*16807,2147483647)</x:f>
        <x:v>382703521</x:v>
      </x:c>
      <x:c r="D106" s="17" t="n">
        <x:f>IF('Control Room'!$B$5="Normal",'Control Room'!$B$7+'Control Room'!$D$7*SQRT(-2*LN(MAX(0.000000000001,B106/2147483647)))*COS(2*PI()*C106/2147483647),'Control Room'!$B$8+('Control Room'!$D$8-'Control Room'!$B$8)*B106/2147483647)</x:f>
        <x:v>1020.1817627963346</x:v>
      </x:c>
      <x:c r="E106" s="17" t="n">
        <x:f>IF('Control Room'!$B$5="Normal",'Control Room'!$B$7,('Control Room'!$B$8+'Control Room'!$D$8)/2)+'Control Room'!$B$9*(E105-IF('Control Room'!$B$5="Normal",'Control Room'!$B$7,('Control Room'!$B$8+'Control Room'!$D$8)/2))+SQRT(1-'Control Room'!$B$9^2)*(D106-IF('Control Room'!$B$5="Normal",'Control Room'!$B$7,('Control Room'!$B$8+'Control Room'!$D$8)/2))</x:f>
        <x:v>1124.7903680868665</x:v>
      </x:c>
      <x:c r="F106" s="17" t="n">
        <x:f>IF(AND($A106&gt;='Control Room'!$A$13,$A106&lt;'Control Room'!$A$13+'Control Room'!$B$13,'Process'!BK2=1),1+('Control Room'!$C$13-1)*EXP(-0.5*(($A106-'Control Room'!$A$13-('Control Room'!$B$13-1)/2)/MAX(0.5,'Control Room'!$B$13/4))^2),1)*IF(AND($A106&gt;='Control Room'!$A$14,$A106&lt;'Control Room'!$A$14+'Control Room'!$B$14,'Process'!BK3=1),1+('Control Room'!$C$14-1)*EXP(-0.5*(($A106-'Control Room'!$A$14-('Control Room'!$B$14-1)/2)/MAX(0.5,'Control Room'!$B$14/4))^2),1)*IF(AND($A106&gt;='Control Room'!$A$15,$A106&lt;'Control Room'!$A$15+'Control Room'!$B$15,'Process'!BK4=1),1+('Control Room'!$C$15-1)*EXP(-0.5*(($A106-'Control Room'!$A$15-('Control Room'!$B$15-1)/2)/MAX(0.5,'Control Room'!$B$15/4))^2),1)*IF(AND($A106&gt;='Control Room'!$A$16,$A106&lt;'Control Room'!$A$16+'Control Room'!$B$16,'Process'!BK5=1),1+('Control Room'!$C$16-1)*EXP(-0.5*(($A106-'Control Room'!$A$16-('Control Room'!$B$16-1)/2)/MAX(0.5,'Control Room'!$B$16/4))^2),1)</x:f>
        <x:v>1</x:v>
      </x:c>
      <x:c r="G106" s="9" t="n">
        <x:f>MOD(H105*16807,2147483647)</x:f>
        <x:v>876008657</x:v>
      </x:c>
      <x:c r="H106" s="9" t="n">
        <x:f>MOD(G106*16807,2147483647)</x:f>
        <x:v>2077098014</x:v>
      </x:c>
      <x:c r="I106" s="17" t="n">
        <x:f>IF('Control Room'!$B$5="Normal",'Control Room'!$B$7+'Control Room'!$D$7*SQRT(-2*LN(MAX(0.000000000001,G106/2147483647)))*COS(2*PI()*H106/2147483647),'Control Room'!$B$8+('Control Room'!$D$8-'Control Room'!$B$8)*G106/2147483647)</x:f>
        <x:v>1117.9777873597534</x:v>
      </x:c>
      <x:c r="J106" s="17" t="n">
        <x:f>IF('Control Room'!$B$5="Normal",'Control Room'!$B$7,('Control Room'!$B$8+'Control Room'!$D$8)/2)+'Control Room'!$B$9*(J105-IF('Control Room'!$B$5="Normal",'Control Room'!$B$7,('Control Room'!$B$8+'Control Room'!$D$8)/2))+SQRT(1-'Control Room'!$B$9^2)*(I106-IF('Control Room'!$B$5="Normal",'Control Room'!$B$7,('Control Room'!$B$8+'Control Room'!$D$8)/2))</x:f>
        <x:v>1122.6349705590378</x:v>
      </x:c>
      <x:c r="K106" s="17" t="n">
        <x:f>IF(AND($A106&gt;='Control Room'!$A$13,$A106&lt;'Control Room'!$A$13+'Control Room'!$B$13,'Process'!BL2=1),1+('Control Room'!$C$13-1)*EXP(-0.5*(($A106-'Control Room'!$A$13-('Control Room'!$B$13-1)/2)/MAX(0.5,'Control Room'!$B$13/4))^2),1)*IF(AND($A106&gt;='Control Room'!$A$14,$A106&lt;'Control Room'!$A$14+'Control Room'!$B$14,'Process'!BL3=1),1+('Control Room'!$C$14-1)*EXP(-0.5*(($A106-'Control Room'!$A$14-('Control Room'!$B$14-1)/2)/MAX(0.5,'Control Room'!$B$14/4))^2),1)*IF(AND($A106&gt;='Control Room'!$A$15,$A106&lt;'Control Room'!$A$15+'Control Room'!$B$15,'Process'!BL4=1),1+('Control Room'!$C$15-1)*EXP(-0.5*(($A106-'Control Room'!$A$15-('Control Room'!$B$15-1)/2)/MAX(0.5,'Control Room'!$B$15/4))^2),1)*IF(AND($A106&gt;='Control Room'!$A$16,$A106&lt;'Control Room'!$A$16+'Control Room'!$B$16,'Process'!BL5=1),1+('Control Room'!$C$16-1)*EXP(-0.5*(($A106-'Control Room'!$A$16-('Control Room'!$B$16-1)/2)/MAX(0.5,'Control Room'!$B$16/4))^2),1)</x:f>
        <x:v>1</x:v>
      </x:c>
      <x:c r="L106" s="9" t="n">
        <x:f>MOD(M105*16807,2147483647)</x:f>
        <x:v>2018146054</x:v>
      </x:c>
      <x:c r="M106" s="9" t="n">
        <x:f>MOD(L106*16807,2147483647)</x:f>
        <x:v>1624008860</x:v>
      </x:c>
      <x:c r="N106" s="17" t="n">
        <x:f>IF('Control Room'!$B$5="Normal",'Control Room'!$B$7+'Control Room'!$D$7*SQRT(-2*LN(MAX(0.000000000001,L106/2147483647)))*COS(2*PI()*M106/2147483647),'Control Room'!$B$8+('Control Room'!$D$8-'Control Room'!$B$8)*L106/2147483647)</x:f>
        <x:v>1001.2430321263997</x:v>
      </x:c>
      <x:c r="O106" s="17" t="n">
        <x:f>IF('Control Room'!$B$5="Normal",'Control Room'!$B$7,('Control Room'!$B$8+'Control Room'!$D$8)/2)+'Control Room'!$B$9*(O105-IF('Control Room'!$B$5="Normal",'Control Room'!$B$7,('Control Room'!$B$8+'Control Room'!$D$8)/2))+SQRT(1-'Control Room'!$B$9^2)*(N106-IF('Control Room'!$B$5="Normal",'Control Room'!$B$7,('Control Room'!$B$8+'Control Room'!$D$8)/2))</x:f>
        <x:v>985.5906065649233</x:v>
      </x:c>
      <x:c r="P106" s="17" t="n">
        <x:f>IF(AND($A106&gt;='Control Room'!$A$13,$A106&lt;'Control Room'!$A$13+'Control Room'!$B$13,'Process'!BM2=1),1+('Control Room'!$C$13-1)*EXP(-0.5*(($A106-'Control Room'!$A$13-('Control Room'!$B$13-1)/2)/MAX(0.5,'Control Room'!$B$13/4))^2),1)*IF(AND($A106&gt;='Control Room'!$A$14,$A106&lt;'Control Room'!$A$14+'Control Room'!$B$14,'Process'!BM3=1),1+('Control Room'!$C$14-1)*EXP(-0.5*(($A106-'Control Room'!$A$14-('Control Room'!$B$14-1)/2)/MAX(0.5,'Control Room'!$B$14/4))^2),1)*IF(AND($A106&gt;='Control Room'!$A$15,$A106&lt;'Control Room'!$A$15+'Control Room'!$B$15,'Process'!BM4=1),1+('Control Room'!$C$15-1)*EXP(-0.5*(($A106-'Control Room'!$A$15-('Control Room'!$B$15-1)/2)/MAX(0.5,'Control Room'!$B$15/4))^2),1)*IF(AND($A106&gt;='Control Room'!$A$16,$A106&lt;'Control Room'!$A$16+'Control Room'!$B$16,'Process'!BM5=1),1+('Control Room'!$C$16-1)*EXP(-0.5*(($A106-'Control Room'!$A$16-('Control Room'!$B$16-1)/2)/MAX(0.5,'Control Room'!$B$16/4))^2),1)</x:f>
        <x:v>1</x:v>
      </x:c>
      <x:c r="Q106" s="9" t="n">
        <x:f>MOD(R105*16807,2147483647)</x:f>
        <x:v>1012799804</x:v>
      </x:c>
      <x:c r="R106" s="9" t="n">
        <x:f>MOD(Q106*16807,2147483647)</x:f>
        <x:v>1170919706</x:v>
      </x:c>
      <x:c r="S106" s="17" t="n">
        <x:f>IF('Control Room'!$B$5="Normal",'Control Room'!$B$7+'Control Room'!$D$7*SQRT(-2*LN(MAX(0.000000000001,Q106/2147483647)))*COS(2*PI()*R106/2147483647),'Control Room'!$B$8+('Control Room'!$D$8-'Control Room'!$B$8)*Q106/2147483647)</x:f>
        <x:v>894.0872340621688</x:v>
      </x:c>
      <x:c r="T106" s="17" t="n">
        <x:f>IF('Control Room'!$B$5="Normal",'Control Room'!$B$7,('Control Room'!$B$8+'Control Room'!$D$8)/2)+'Control Room'!$B$9*(T105-IF('Control Room'!$B$5="Normal",'Control Room'!$B$7,('Control Room'!$B$8+'Control Room'!$D$8)/2))+SQRT(1-'Control Room'!$B$9^2)*(S106-IF('Control Room'!$B$5="Normal",'Control Room'!$B$7,('Control Room'!$B$8+'Control Room'!$D$8)/2))</x:f>
        <x:v>969.1037331434522</x:v>
      </x:c>
      <x:c r="U106" s="17" t="n">
        <x:f>IF(AND($A106&gt;='Control Room'!$A$13,$A106&lt;'Control Room'!$A$13+'Control Room'!$B$13,'Process'!BN2=1),1+('Control Room'!$C$13-1)*EXP(-0.5*(($A106-'Control Room'!$A$13-('Control Room'!$B$13-1)/2)/MAX(0.5,'Control Room'!$B$13/4))^2),1)*IF(AND($A106&gt;='Control Room'!$A$14,$A106&lt;'Control Room'!$A$14+'Control Room'!$B$14,'Process'!BN3=1),1+('Control Room'!$C$14-1)*EXP(-0.5*(($A106-'Control Room'!$A$14-('Control Room'!$B$14-1)/2)/MAX(0.5,'Control Room'!$B$14/4))^2),1)*IF(AND($A106&gt;='Control Room'!$A$15,$A106&lt;'Control Room'!$A$15+'Control Room'!$B$15,'Process'!BN4=1),1+('Control Room'!$C$15-1)*EXP(-0.5*(($A106-'Control Room'!$A$15-('Control Room'!$B$15-1)/2)/MAX(0.5,'Control Room'!$B$15/4))^2),1)*IF(AND($A106&gt;='Control Room'!$A$16,$A106&lt;'Control Room'!$A$16+'Control Room'!$B$16,'Process'!BN5=1),1+('Control Room'!$C$16-1)*EXP(-0.5*(($A106-'Control Room'!$A$16-('Control Room'!$B$16-1)/2)/MAX(0.5,'Control Room'!$B$16/4))^2),1)</x:f>
        <x:v>1</x:v>
      </x:c>
      <x:c r="V106" s="9" t="n">
        <x:f>MOD(W105*16807,2147483647)</x:f>
        <x:v>7453554</x:v>
      </x:c>
      <x:c r="W106" s="9" t="n">
        <x:f>MOD(V106*16807,2147483647)</x:f>
        <x:v>717830552</x:v>
      </x:c>
      <x:c r="X106" s="17" t="n">
        <x:f>IF('Control Room'!$B$5="Normal",'Control Room'!$B$7+'Control Room'!$D$7*SQRT(-2*LN(MAX(0.000000000001,V106/2147483647)))*COS(2*PI()*W106/2147483647),'Control Room'!$B$8+('Control Room'!$D$8-'Control Room'!$B$8)*V106/2147483647)</x:f>
        <x:v>847.0171889381895</x:v>
      </x:c>
      <x:c r="Y106" s="17" t="n">
        <x:f>IF('Control Room'!$B$5="Normal",'Control Room'!$B$7,('Control Room'!$B$8+'Control Room'!$D$8)/2)+'Control Room'!$B$9*(Y105-IF('Control Room'!$B$5="Normal",'Control Room'!$B$7,('Control Room'!$B$8+'Control Room'!$D$8)/2))+SQRT(1-'Control Room'!$B$9^2)*(X106-IF('Control Room'!$B$5="Normal",'Control Room'!$B$7,('Control Room'!$B$8+'Control Room'!$D$8)/2))</x:f>
        <x:v>857.0266835394639</x:v>
      </x:c>
      <x:c r="Z106" s="17" t="n">
        <x:f>IF(AND($A106&gt;='Control Room'!$A$13,$A106&lt;'Control Room'!$A$13+'Control Room'!$B$13,'Process'!BO2=1),1+('Control Room'!$C$13-1)*EXP(-0.5*(($A106-'Control Room'!$A$13-('Control Room'!$B$13-1)/2)/MAX(0.5,'Control Room'!$B$13/4))^2),1)*IF(AND($A106&gt;='Control Room'!$A$14,$A106&lt;'Control Room'!$A$14+'Control Room'!$B$14,'Process'!BO3=1),1+('Control Room'!$C$14-1)*EXP(-0.5*(($A106-'Control Room'!$A$14-('Control Room'!$B$14-1)/2)/MAX(0.5,'Control Room'!$B$14/4))^2),1)*IF(AND($A106&gt;='Control Room'!$A$15,$A106&lt;'Control Room'!$A$15+'Control Room'!$B$15,'Process'!BO4=1),1+('Control Room'!$C$15-1)*EXP(-0.5*(($A106-'Control Room'!$A$15-('Control Room'!$B$15-1)/2)/MAX(0.5,'Control Room'!$B$15/4))^2),1)*IF(AND($A106&gt;='Control Room'!$A$16,$A106&lt;'Control Room'!$A$16+'Control Room'!$B$16,'Process'!BO5=1),1+('Control Room'!$C$16-1)*EXP(-0.5*(($A106-'Control Room'!$A$16-('Control Room'!$B$16-1)/2)/MAX(0.5,'Control Room'!$B$16/4))^2),1)</x:f>
        <x:v>1</x:v>
      </x:c>
      <x:c r="AA106" s="9" t="n">
        <x:f>MOD(AB105*16807,2147483647)</x:f>
        <x:v>1149590951</x:v>
      </x:c>
      <x:c r="AB106" s="9" t="n">
        <x:f>MOD(AA106*16807,2147483647)</x:f>
        <x:v>264741398</x:v>
      </x:c>
      <x:c r="AC106" s="17" t="n">
        <x:f>IF('Control Room'!$B$5="Normal",'Control Room'!$B$7+'Control Room'!$D$7*SQRT(-2*LN(MAX(0.000000000001,AA106/2147483647)))*COS(2*PI()*AB106/2147483647),'Control Room'!$B$8+('Control Room'!$D$8-'Control Room'!$B$8)*AA106/2147483647)</x:f>
        <x:v>1071.9097982855599</x:v>
      </x:c>
      <x:c r="AD106" s="17" t="n">
        <x:f>IF('Control Room'!$B$5="Normal",'Control Room'!$B$7,('Control Room'!$B$8+'Control Room'!$D$8)/2)+'Control Room'!$B$9*(AD105-IF('Control Room'!$B$5="Normal",'Control Room'!$B$7,('Control Room'!$B$8+'Control Room'!$D$8)/2))+SQRT(1-'Control Room'!$B$9^2)*(AC106-IF('Control Room'!$B$5="Normal",'Control Room'!$B$7,('Control Room'!$B$8+'Control Room'!$D$8)/2))</x:f>
        <x:v>1106.970115755084</x:v>
      </x:c>
      <x:c r="AE106" s="17" t="n">
        <x:f>IF(AND($A106&gt;='Control Room'!$A$13,$A106&lt;'Control Room'!$A$13+'Control Room'!$B$13,'Process'!BP2=1),1+('Control Room'!$C$13-1)*EXP(-0.5*(($A106-'Control Room'!$A$13-('Control Room'!$B$13-1)/2)/MAX(0.5,'Control Room'!$B$13/4))^2),1)*IF(AND($A106&gt;='Control Room'!$A$14,$A106&lt;'Control Room'!$A$14+'Control Room'!$B$14,'Process'!BP3=1),1+('Control Room'!$C$14-1)*EXP(-0.5*(($A106-'Control Room'!$A$14-('Control Room'!$B$14-1)/2)/MAX(0.5,'Control Room'!$B$14/4))^2),1)*IF(AND($A106&gt;='Control Room'!$A$15,$A106&lt;'Control Room'!$A$15+'Control Room'!$B$15,'Process'!BP4=1),1+('Control Room'!$C$15-1)*EXP(-0.5*(($A106-'Control Room'!$A$15-('Control Room'!$B$15-1)/2)/MAX(0.5,'Control Room'!$B$15/4))^2),1)*IF(AND($A106&gt;='Control Room'!$A$16,$A106&lt;'Control Room'!$A$16+'Control Room'!$B$16,'Process'!BP5=1),1+('Control Room'!$C$16-1)*EXP(-0.5*(($A106-'Control Room'!$A$16-('Control Room'!$B$16-1)/2)/MAX(0.5,'Control Room'!$B$16/4))^2),1)</x:f>
        <x:v>1</x:v>
      </x:c>
      <x:c r="AF106" s="9" t="n">
        <x:f>MOD(AG105*16807,2147483647)</x:f>
        <x:v>144244701</x:v>
      </x:c>
      <x:c r="AG106" s="9" t="n">
        <x:f>MOD(AF106*16807,2147483647)</x:f>
        <x:v>1959135891</x:v>
      </x:c>
      <x:c r="AH106" s="17" t="n">
        <x:f>IF('Control Room'!$B$5="Normal",'Control Room'!$B$7+'Control Room'!$D$7*SQRT(-2*LN(MAX(0.000000000001,AF106/2147483647)))*COS(2*PI()*AG106/2147483647),'Control Room'!$B$8+('Control Room'!$D$8-'Control Room'!$B$8)*AF106/2147483647)</x:f>
        <x:v>1178.1981812667618</x:v>
      </x:c>
      <x:c r="AI106" s="17" t="n">
        <x:f>IF('Control Room'!$B$5="Normal",'Control Room'!$B$7,('Control Room'!$B$8+'Control Room'!$D$8)/2)+'Control Room'!$B$9*(AI105-IF('Control Room'!$B$5="Normal",'Control Room'!$B$7,('Control Room'!$B$8+'Control Room'!$D$8)/2))+SQRT(1-'Control Room'!$B$9^2)*(AH106-IF('Control Room'!$B$5="Normal",'Control Room'!$B$7,('Control Room'!$B$8+'Control Room'!$D$8)/2))</x:f>
        <x:v>1094.7694704967735</x:v>
      </x:c>
      <x:c r="AJ106" s="17" t="n">
        <x:f>IF(AND($A106&gt;='Control Room'!$A$13,$A106&lt;'Control Room'!$A$13+'Control Room'!$B$13,'Process'!BQ2=1),1+('Control Room'!$C$13-1)*EXP(-0.5*(($A106-'Control Room'!$A$13-('Control Room'!$B$13-1)/2)/MAX(0.5,'Control Room'!$B$13/4))^2),1)*IF(AND($A106&gt;='Control Room'!$A$14,$A106&lt;'Control Room'!$A$14+'Control Room'!$B$14,'Process'!BQ3=1),1+('Control Room'!$C$14-1)*EXP(-0.5*(($A106-'Control Room'!$A$14-('Control Room'!$B$14-1)/2)/MAX(0.5,'Control Room'!$B$14/4))^2),1)*IF(AND($A106&gt;='Control Room'!$A$15,$A106&lt;'Control Room'!$A$15+'Control Room'!$B$15,'Process'!BQ4=1),1+('Control Room'!$C$15-1)*EXP(-0.5*(($A106-'Control Room'!$A$15-('Control Room'!$B$15-1)/2)/MAX(0.5,'Control Room'!$B$15/4))^2),1)*IF(AND($A106&gt;='Control Room'!$A$16,$A106&lt;'Control Room'!$A$16+'Control Room'!$B$16,'Process'!BQ5=1),1+('Control Room'!$C$16-1)*EXP(-0.5*(($A106-'Control Room'!$A$16-('Control Room'!$B$16-1)/2)/MAX(0.5,'Control Room'!$B$16/4))^2),1)</x:f>
        <x:v>1</x:v>
      </x:c>
      <x:c r="AK106" s="9" t="n">
        <x:f>MOD(AL105*16807,2147483647)</x:f>
        <x:v>1286382098</x:v>
      </x:c>
      <x:c r="AL106" s="9" t="n">
        <x:f>MOD(AK106*16807,2147483647)</x:f>
        <x:v>1506046737</x:v>
      </x:c>
      <x:c r="AM106" s="17" t="n">
        <x:f>IF('Control Room'!$B$5="Normal",'Control Room'!$B$7+'Control Room'!$D$7*SQRT(-2*LN(MAX(0.000000000001,AK106/2147483647)))*COS(2*PI()*AL106/2147483647),'Control Room'!$B$8+('Control Room'!$D$8-'Control Room'!$B$8)*AK106/2147483647)</x:f>
        <x:v>972.5569143803028</x:v>
      </x:c>
      <x:c r="AN106" s="17" t="n">
        <x:f>IF('Control Room'!$B$5="Normal",'Control Room'!$B$7,('Control Room'!$B$8+'Control Room'!$D$8)/2)+'Control Room'!$B$9*(AN105-IF('Control Room'!$B$5="Normal",'Control Room'!$B$7,('Control Room'!$B$8+'Control Room'!$D$8)/2))+SQRT(1-'Control Room'!$B$9^2)*(AM106-IF('Control Room'!$B$5="Normal",'Control Room'!$B$7,('Control Room'!$B$8+'Control Room'!$D$8)/2))</x:f>
        <x:v>792.7145082298154</x:v>
      </x:c>
      <x:c r="AO106" s="17" t="n">
        <x:f>IF(AND($A106&gt;='Control Room'!$A$13,$A106&lt;'Control Room'!$A$13+'Control Room'!$B$13,'Process'!BR2=1),1+('Control Room'!$C$13-1)*EXP(-0.5*(($A106-'Control Room'!$A$13-('Control Room'!$B$13-1)/2)/MAX(0.5,'Control Room'!$B$13/4))^2),1)*IF(AND($A106&gt;='Control Room'!$A$14,$A106&lt;'Control Room'!$A$14+'Control Room'!$B$14,'Process'!BR3=1),1+('Control Room'!$C$14-1)*EXP(-0.5*(($A106-'Control Room'!$A$14-('Control Room'!$B$14-1)/2)/MAX(0.5,'Control Room'!$B$14/4))^2),1)*IF(AND($A106&gt;='Control Room'!$A$15,$A106&lt;'Control Room'!$A$15+'Control Room'!$B$15,'Process'!BR4=1),1+('Control Room'!$C$15-1)*EXP(-0.5*(($A106-'Control Room'!$A$15-('Control Room'!$B$15-1)/2)/MAX(0.5,'Control Room'!$B$15/4))^2),1)*IF(AND($A106&gt;='Control Room'!$A$16,$A106&lt;'Control Room'!$A$16+'Control Room'!$B$16,'Process'!BR5=1),1+('Control Room'!$C$16-1)*EXP(-0.5*(($A106-'Control Room'!$A$16-('Control Room'!$B$16-1)/2)/MAX(0.5,'Control Room'!$B$16/4))^2),1)</x:f>
        <x:v>1</x:v>
      </x:c>
      <x:c r="AP106" s="9" t="n">
        <x:f>MOD(AQ105*16807,2147483647)</x:f>
        <x:v>281035848</x:v>
      </x:c>
      <x:c r="AQ106" s="9" t="n">
        <x:f>MOD(AP106*16807,2147483647)</x:f>
        <x:v>1052957583</x:v>
      </x:c>
      <x:c r="AR106" s="17" t="n">
        <x:f>IF('Control Room'!$B$5="Normal",'Control Room'!$B$7+'Control Room'!$D$7*SQRT(-2*LN(MAX(0.000000000001,AP106/2147483647)))*COS(2*PI()*AQ106/2147483647),'Control Room'!$B$8+('Control Room'!$D$8-'Control Room'!$B$8)*AP106/2147483647)</x:f>
        <x:v>818.8311443665424</x:v>
      </x:c>
      <x:c r="AS106" s="17" t="n">
        <x:f>IF('Control Room'!$B$5="Normal",'Control Room'!$B$7,('Control Room'!$B$8+'Control Room'!$D$8)/2)+'Control Room'!$B$9*(AS105-IF('Control Room'!$B$5="Normal",'Control Room'!$B$7,('Control Room'!$B$8+'Control Room'!$D$8)/2))+SQRT(1-'Control Room'!$B$9^2)*(AR106-IF('Control Room'!$B$5="Normal",'Control Room'!$B$7,('Control Room'!$B$8+'Control Room'!$D$8)/2))</x:f>
        <x:v>797.8878717373811</x:v>
      </x:c>
      <x:c r="AT106" s="17" t="n">
        <x:f>IF(AND($A106&gt;='Control Room'!$A$13,$A106&lt;'Control Room'!$A$13+'Control Room'!$B$13,'Process'!BS2=1),1+('Control Room'!$C$13-1)*EXP(-0.5*(($A106-'Control Room'!$A$13-('Control Room'!$B$13-1)/2)/MAX(0.5,'Control Room'!$B$13/4))^2),1)*IF(AND($A106&gt;='Control Room'!$A$14,$A106&lt;'Control Room'!$A$14+'Control Room'!$B$14,'Process'!BS3=1),1+('Control Room'!$C$14-1)*EXP(-0.5*(($A106-'Control Room'!$A$14-('Control Room'!$B$14-1)/2)/MAX(0.5,'Control Room'!$B$14/4))^2),1)*IF(AND($A106&gt;='Control Room'!$A$15,$A106&lt;'Control Room'!$A$15+'Control Room'!$B$15,'Process'!BS4=1),1+('Control Room'!$C$15-1)*EXP(-0.5*(($A106-'Control Room'!$A$15-('Control Room'!$B$15-1)/2)/MAX(0.5,'Control Room'!$B$15/4))^2),1)*IF(AND($A106&gt;='Control Room'!$A$16,$A106&lt;'Control Room'!$A$16+'Control Room'!$B$16,'Process'!BS5=1),1+('Control Room'!$C$16-1)*EXP(-0.5*(($A106-'Control Room'!$A$16-('Control Room'!$B$16-1)/2)/MAX(0.5,'Control Room'!$B$16/4))^2),1)</x:f>
        <x:v>1</x:v>
      </x:c>
      <x:c r="AU106" s="9" t="n">
        <x:f>MOD(AV105*16807,2147483647)</x:f>
        <x:v>1423173245</x:v>
      </x:c>
      <x:c r="AV106" s="9" t="n">
        <x:f>MOD(AU106*16807,2147483647)</x:f>
        <x:v>599868429</x:v>
      </x:c>
      <x:c r="AW106" s="17" t="n">
        <x:f>IF('Control Room'!$B$5="Normal",'Control Room'!$B$7+'Control Room'!$D$7*SQRT(-2*LN(MAX(0.000000000001,AU106/2147483647)))*COS(2*PI()*AV106/2147483647),'Control Room'!$B$8+('Control Room'!$D$8-'Control Room'!$B$8)*AU106/2147483647)</x:f>
        <x:v>985.0374628681594</x:v>
      </x:c>
      <x:c r="AX106" s="17" t="n">
        <x:f>IF('Control Room'!$B$5="Normal",'Control Room'!$B$7,('Control Room'!$B$8+'Control Room'!$D$8)/2)+'Control Room'!$B$9*(AX105-IF('Control Room'!$B$5="Normal",'Control Room'!$B$7,('Control Room'!$B$8+'Control Room'!$D$8)/2))+SQRT(1-'Control Room'!$B$9^2)*(AW106-IF('Control Room'!$B$5="Normal",'Control Room'!$B$7,('Control Room'!$B$8+'Control Room'!$D$8)/2))</x:f>
        <x:v>1058.5231277407283</x:v>
      </x:c>
      <x:c r="AY106" s="17" t="n">
        <x:f>IF(AND($A106&gt;='Control Room'!$A$13,$A106&lt;'Control Room'!$A$13+'Control Room'!$B$13,'Process'!BT2=1),1+('Control Room'!$C$13-1)*EXP(-0.5*(($A106-'Control Room'!$A$13-('Control Room'!$B$13-1)/2)/MAX(0.5,'Control Room'!$B$13/4))^2),1)*IF(AND($A106&gt;='Control Room'!$A$14,$A106&lt;'Control Room'!$A$14+'Control Room'!$B$14,'Process'!BT3=1),1+('Control Room'!$C$14-1)*EXP(-0.5*(($A106-'Control Room'!$A$14-('Control Room'!$B$14-1)/2)/MAX(0.5,'Control Room'!$B$14/4))^2),1)*IF(AND($A106&gt;='Control Room'!$A$15,$A106&lt;'Control Room'!$A$15+'Control Room'!$B$15,'Process'!BT4=1),1+('Control Room'!$C$15-1)*EXP(-0.5*(($A106-'Control Room'!$A$15-('Control Room'!$B$15-1)/2)/MAX(0.5,'Control Room'!$B$15/4))^2),1)*IF(AND($A106&gt;='Control Room'!$A$16,$A106&lt;'Control Room'!$A$16+'Control Room'!$B$16,'Process'!BT5=1),1+('Control Room'!$C$16-1)*EXP(-0.5*(($A106-'Control Room'!$A$16-('Control Room'!$B$16-1)/2)/MAX(0.5,'Control Room'!$B$16/4))^2),1)</x:f>
        <x:v>1</x:v>
      </x:c>
      <x:c r="AZ106" s="9" t="n">
        <x:f>MOD(BA105*16807,2147483647)</x:f>
        <x:v>417826995</x:v>
      </x:c>
      <x:c r="BA106" s="9" t="n">
        <x:f>MOD(AZ106*16807,2147483647)</x:f>
        <x:v>146779275</x:v>
      </x:c>
      <x:c r="BB106" s="17" t="n">
        <x:f>IF('Control Room'!$B$5="Normal",'Control Room'!$B$7+'Control Room'!$D$7*SQRT(-2*LN(MAX(0.000000000001,AZ106/2147483647)))*COS(2*PI()*BA106/2147483647),'Control Room'!$B$8+('Control Room'!$D$8-'Control Room'!$B$8)*AZ106/2147483647)</x:f>
        <x:v>1148.059530691733</x:v>
      </x:c>
      <x:c r="BC106" s="17" t="n">
        <x:f>IF('Control Room'!$B$5="Normal",'Control Room'!$B$7,('Control Room'!$B$8+'Control Room'!$D$8)/2)+'Control Room'!$B$9*(BC105-IF('Control Room'!$B$5="Normal",'Control Room'!$B$7,('Control Room'!$B$8+'Control Room'!$D$8)/2))+SQRT(1-'Control Room'!$B$9^2)*(BB106-IF('Control Room'!$B$5="Normal",'Control Room'!$B$7,('Control Room'!$B$8+'Control Room'!$D$8)/2))</x:f>
        <x:v>1192.457977086528</x:v>
      </x:c>
      <x:c r="BD106" s="17" t="n">
        <x:f>IF(AND($A106&gt;='Control Room'!$A$13,$A106&lt;'Control Room'!$A$13+'Control Room'!$B$13,'Process'!BU2=1),1+('Control Room'!$C$13-1)*EXP(-0.5*(($A106-'Control Room'!$A$13-('Control Room'!$B$13-1)/2)/MAX(0.5,'Control Room'!$B$13/4))^2),1)*IF(AND($A106&gt;='Control Room'!$A$14,$A106&lt;'Control Room'!$A$14+'Control Room'!$B$14,'Process'!BU3=1),1+('Control Room'!$C$14-1)*EXP(-0.5*(($A106-'Control Room'!$A$14-('Control Room'!$B$14-1)/2)/MAX(0.5,'Control Room'!$B$14/4))^2),1)*IF(AND($A106&gt;='Control Room'!$A$15,$A106&lt;'Control Room'!$A$15+'Control Room'!$B$15,'Process'!BU4=1),1+('Control Room'!$C$15-1)*EXP(-0.5*(($A106-'Control Room'!$A$15-('Control Room'!$B$15-1)/2)/MAX(0.5,'Control Room'!$B$15/4))^2),1)*IF(AND($A106&gt;='Control Room'!$A$16,$A106&lt;'Control Room'!$A$16+'Control Room'!$B$16,'Process'!BU5=1),1+('Control Room'!$C$16-1)*EXP(-0.5*(($A106-'Control Room'!$A$16-('Control Room'!$B$16-1)/2)/MAX(0.5,'Control Room'!$B$16/4))^2),1)</x:f>
        <x:v>1</x:v>
      </x:c>
      <x:c r="BE106" s="9" t="n">
        <x:f>MOD(BF105*16807,2147483647)</x:f>
        <x:v>1559964392</x:v>
      </x:c>
      <x:c r="BF106" s="9" t="n">
        <x:f>MOD(BE106*16807,2147483647)</x:f>
        <x:v>1841173768</x:v>
      </x:c>
      <x:c r="BG106" s="17" t="n">
        <x:f>IF('Control Room'!$B$5="Normal",'Control Room'!$B$7+'Control Room'!$D$7*SQRT(-2*LN(MAX(0.000000000001,BE106/2147483647)))*COS(2*PI()*BF106/2147483647),'Control Room'!$B$8+('Control Room'!$D$8-'Control Room'!$B$8)*BE106/2147483647)</x:f>
        <x:v>1044.9434676329472</x:v>
      </x:c>
      <x:c r="BH106" s="17" t="n">
        <x:f>IF('Control Room'!$B$5="Normal",'Control Room'!$B$7,('Control Room'!$B$8+'Control Room'!$D$8)/2)+'Control Room'!$B$9*(BH105-IF('Control Room'!$B$5="Normal",'Control Room'!$B$7,('Control Room'!$B$8+'Control Room'!$D$8)/2))+SQRT(1-'Control Room'!$B$9^2)*(BG106-IF('Control Room'!$B$5="Normal",'Control Room'!$B$7,('Control Room'!$B$8+'Control Room'!$D$8)/2))</x:f>
        <x:v>993.4622665761826</x:v>
      </x:c>
      <x:c r="BI106" s="17" t="n">
        <x:f>IF(AND($A106&gt;='Control Room'!$A$13,$A106&lt;'Control Room'!$A$13+'Control Room'!$B$13,'Process'!BV2=1),1+('Control Room'!$C$13-1)*EXP(-0.5*(($A106-'Control Room'!$A$13-('Control Room'!$B$13-1)/2)/MAX(0.5,'Control Room'!$B$13/4))^2),1)*IF(AND($A106&gt;='Control Room'!$A$14,$A106&lt;'Control Room'!$A$14+'Control Room'!$B$14,'Process'!BV3=1),1+('Control Room'!$C$14-1)*EXP(-0.5*(($A106-'Control Room'!$A$14-('Control Room'!$B$14-1)/2)/MAX(0.5,'Control Room'!$B$14/4))^2),1)*IF(AND($A106&gt;='Control Room'!$A$15,$A106&lt;'Control Room'!$A$15+'Control Room'!$B$15,'Process'!BV4=1),1+('Control Room'!$C$15-1)*EXP(-0.5*(($A106-'Control Room'!$A$15-('Control Room'!$B$15-1)/2)/MAX(0.5,'Control Room'!$B$15/4))^2),1)*IF(AND($A106&gt;='Control Room'!$A$16,$A106&lt;'Control Room'!$A$16+'Control Room'!$B$16,'Process'!BV5=1),1+('Control Room'!$C$16-1)*EXP(-0.5*(($A106-'Control Room'!$A$16-('Control Room'!$B$16-1)/2)/MAX(0.5,'Control Room'!$B$16/4))^2),1)</x:f>
        <x:v>1</x:v>
      </x:c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Z106" t="str">
        <x:f>IF('Data'!A106="","",TEXT('Data'!A106,"mm-dd"))</x:f>
        <x:v>02-14</x:v>
      </x:c>
    </x:row>
    <x:row r="107" ht="21" customHeight="1">
      <x:c r="A107" s="15" t="n">
        <x:f>'Control Room'!$B$1+105</x:f>
        <x:v>73096</x:v>
      </x:c>
      <x:c r="B107" s="9" t="n">
        <x:f>MOD(C106*16807,2147483647)</x:f>
        <x:v>384554682</x:v>
      </x:c>
      <x:c r="C107" s="9" t="n">
        <x:f>MOD(B107*16807,2147483647)</x:f>
        <x:v>1432246551</x:v>
      </x:c>
      <x:c r="D107" s="17" t="n">
        <x:f>IF('Control Room'!$B$5="Normal",'Control Room'!$B$7+'Control Room'!$D$7*SQRT(-2*LN(MAX(0.000000000001,B107/2147483647)))*COS(2*PI()*C107/2147483647),'Control Room'!$B$8+('Control Room'!$D$8-'Control Room'!$B$8)*B107/2147483647)</x:f>
        <x:v>916.7882602401551</x:v>
      </x:c>
      <x:c r="E107" s="17" t="n">
        <x:f>IF('Control Room'!$B$5="Normal",'Control Room'!$B$7,('Control Room'!$B$8+'Control Room'!$D$8)/2)+'Control Room'!$B$9*(E106-IF('Control Room'!$B$5="Normal",'Control Room'!$B$7,('Control Room'!$B$8+'Control Room'!$D$8)/2))+SQRT(1-'Control Room'!$B$9^2)*(D107-IF('Control Room'!$B$5="Normal",'Control Room'!$B$7,('Control Room'!$B$8+'Control Room'!$D$8)/2))</x:f>
        <x:v>1045.2642850511918</x:v>
      </x:c>
      <x:c r="F107" s="17" t="n">
        <x:f>IF(AND($A107&gt;='Control Room'!$A$13,$A107&lt;'Control Room'!$A$13+'Control Room'!$B$13,'Process'!BK2=1),1+('Control Room'!$C$13-1)*EXP(-0.5*(($A107-'Control Room'!$A$13-('Control Room'!$B$13-1)/2)/MAX(0.5,'Control Room'!$B$13/4))^2),1)*IF(AND($A107&gt;='Control Room'!$A$14,$A107&lt;'Control Room'!$A$14+'Control Room'!$B$14,'Process'!BK3=1),1+('Control Room'!$C$14-1)*EXP(-0.5*(($A107-'Control Room'!$A$14-('Control Room'!$B$14-1)/2)/MAX(0.5,'Control Room'!$B$14/4))^2),1)*IF(AND($A107&gt;='Control Room'!$A$15,$A107&lt;'Control Room'!$A$15+'Control Room'!$B$15,'Process'!BK4=1),1+('Control Room'!$C$15-1)*EXP(-0.5*(($A107-'Control Room'!$A$15-('Control Room'!$B$15-1)/2)/MAX(0.5,'Control Room'!$B$15/4))^2),1)*IF(AND($A107&gt;='Control Room'!$A$16,$A107&lt;'Control Room'!$A$16+'Control Room'!$B$16,'Process'!BK5=1),1+('Control Room'!$C$16-1)*EXP(-0.5*(($A107-'Control Room'!$A$16-('Control Room'!$B$16-1)/2)/MAX(0.5,'Control Room'!$B$16/4))^2),1)</x:f>
        <x:v>1</x:v>
      </x:c>
      <x:c r="G107" s="9" t="n">
        <x:f>MOD(H106*16807,2147483647)</x:f>
        <x:v>292155666</x:v>
      </x:c>
      <x:c r="H107" s="9" t="n">
        <x:f>MOD(G107*16807,2147483647)</x:f>
        <x:v>1112661420</x:v>
      </x:c>
      <x:c r="I107" s="17" t="n">
        <x:f>IF('Control Room'!$B$5="Normal",'Control Room'!$B$7+'Control Room'!$D$7*SQRT(-2*LN(MAX(0.000000000001,G107/2147483647)))*COS(2*PI()*H107/2147483647),'Control Room'!$B$8+('Control Room'!$D$8-'Control Room'!$B$8)*G107/2147483647)</x:f>
        <x:v>821.3999521501449</x:v>
      </x:c>
      <x:c r="J107" s="17" t="n">
        <x:f>IF('Control Room'!$B$5="Normal",'Control Room'!$B$7,('Control Room'!$B$8+'Control Room'!$D$8)/2)+'Control Room'!$B$9*(J106-IF('Control Room'!$B$5="Normal",'Control Room'!$B$7,('Control Room'!$B$8+'Control Room'!$D$8)/2))+SQRT(1-'Control Room'!$B$9^2)*(I107-IF('Control Room'!$B$5="Normal",'Control Room'!$B$7,('Control Room'!$B$8+'Control Room'!$D$8)/2))</x:f>
        <x:v>983.891025912465</x:v>
      </x:c>
      <x:c r="K107" s="17" t="n">
        <x:f>IF(AND($A107&gt;='Control Room'!$A$13,$A107&lt;'Control Room'!$A$13+'Control Room'!$B$13,'Process'!BL2=1),1+('Control Room'!$C$13-1)*EXP(-0.5*(($A107-'Control Room'!$A$13-('Control Room'!$B$13-1)/2)/MAX(0.5,'Control Room'!$B$13/4))^2),1)*IF(AND($A107&gt;='Control Room'!$A$14,$A107&lt;'Control Room'!$A$14+'Control Room'!$B$14,'Process'!BL3=1),1+('Control Room'!$C$14-1)*EXP(-0.5*(($A107-'Control Room'!$A$14-('Control Room'!$B$14-1)/2)/MAX(0.5,'Control Room'!$B$14/4))^2),1)*IF(AND($A107&gt;='Control Room'!$A$15,$A107&lt;'Control Room'!$A$15+'Control Room'!$B$15,'Process'!BL4=1),1+('Control Room'!$C$15-1)*EXP(-0.5*(($A107-'Control Room'!$A$15-('Control Room'!$B$15-1)/2)/MAX(0.5,'Control Room'!$B$15/4))^2),1)*IF(AND($A107&gt;='Control Room'!$A$16,$A107&lt;'Control Room'!$A$16+'Control Room'!$B$16,'Process'!BL5=1),1+('Control Room'!$C$16-1)*EXP(-0.5*(($A107-'Control Room'!$A$16-('Control Room'!$B$16-1)/2)/MAX(0.5,'Control Room'!$B$16/4))^2),1)</x:f>
        <x:v>1</x:v>
      </x:c>
      <x:c r="L107" s="9" t="n">
        <x:f>MOD(M106*16807,2147483647)</x:f>
        <x:v>199756650</x:v>
      </x:c>
      <x:c r="M107" s="9" t="n">
        <x:f>MOD(L107*16807,2147483647)</x:f>
        <x:v>793076289</x:v>
      </x:c>
      <x:c r="N107" s="17" t="n">
        <x:f>IF('Control Room'!$B$5="Normal",'Control Room'!$B$7+'Control Room'!$D$7*SQRT(-2*LN(MAX(0.000000000001,L107/2147483647)))*COS(2*PI()*M107/2147483647),'Control Room'!$B$8+('Control Room'!$D$8-'Control Room'!$B$8)*L107/2147483647)</x:f>
        <x:v>866.3528664639132</x:v>
      </x:c>
      <x:c r="O107" s="17" t="n">
        <x:f>IF('Control Room'!$B$5="Normal",'Control Room'!$B$7,('Control Room'!$B$8+'Control Room'!$D$8)/2)+'Control Room'!$B$9*(O106-IF('Control Room'!$B$5="Normal",'Control Room'!$B$7,('Control Room'!$B$8+'Control Room'!$D$8)/2))+SQRT(1-'Control Room'!$B$9^2)*(N107-IF('Control Room'!$B$5="Normal",'Control Room'!$B$7,('Control Room'!$B$8+'Control Room'!$D$8)/2))</x:f>
        <x:v>905.1270348641062</x:v>
      </x:c>
      <x:c r="P107" s="17" t="n">
        <x:f>IF(AND($A107&gt;='Control Room'!$A$13,$A107&lt;'Control Room'!$A$13+'Control Room'!$B$13,'Process'!BM2=1),1+('Control Room'!$C$13-1)*EXP(-0.5*(($A107-'Control Room'!$A$13-('Control Room'!$B$13-1)/2)/MAX(0.5,'Control Room'!$B$13/4))^2),1)*IF(AND($A107&gt;='Control Room'!$A$14,$A107&lt;'Control Room'!$A$14+'Control Room'!$B$14,'Process'!BM3=1),1+('Control Room'!$C$14-1)*EXP(-0.5*(($A107-'Control Room'!$A$14-('Control Room'!$B$14-1)/2)/MAX(0.5,'Control Room'!$B$14/4))^2),1)*IF(AND($A107&gt;='Control Room'!$A$15,$A107&lt;'Control Room'!$A$15+'Control Room'!$B$15,'Process'!BM4=1),1+('Control Room'!$C$15-1)*EXP(-0.5*(($A107-'Control Room'!$A$15-('Control Room'!$B$15-1)/2)/MAX(0.5,'Control Room'!$B$15/4))^2),1)*IF(AND($A107&gt;='Control Room'!$A$16,$A107&lt;'Control Room'!$A$16+'Control Room'!$B$16,'Process'!BM5=1),1+('Control Room'!$C$16-1)*EXP(-0.5*(($A107-'Control Room'!$A$16-('Control Room'!$B$16-1)/2)/MAX(0.5,'Control Room'!$B$16/4))^2),1)</x:f>
        <x:v>1</x:v>
      </x:c>
      <x:c r="Q107" s="9" t="n">
        <x:f>MOD(R106*16807,2147483647)</x:f>
        <x:v>107357634</x:v>
      </x:c>
      <x:c r="R107" s="9" t="n">
        <x:f>MOD(Q107*16807,2147483647)</x:f>
        <x:v>473491158</x:v>
      </x:c>
      <x:c r="S107" s="17" t="n">
        <x:f>IF('Control Room'!$B$5="Normal",'Control Room'!$B$7+'Control Room'!$D$7*SQRT(-2*LN(MAX(0.000000000001,Q107/2147483647)))*COS(2*PI()*R107/2147483647),'Control Room'!$B$8+('Control Room'!$D$8-'Control Room'!$B$8)*Q107/2147483647)</x:f>
        <x:v>1040.618961563319</x:v>
      </x:c>
      <x:c r="T107" s="17" t="n">
        <x:f>IF('Control Room'!$B$5="Normal",'Control Room'!$B$7,('Control Room'!$B$8+'Control Room'!$D$8)/2)+'Control Room'!$B$9*(T106-IF('Control Room'!$B$5="Normal",'Control Room'!$B$7,('Control Room'!$B$8+'Control Room'!$D$8)/2))+SQRT(1-'Control Room'!$B$9^2)*(S107-IF('Control Room'!$B$5="Normal",'Control Room'!$B$7,('Control Room'!$B$8+'Control Room'!$D$8)/2))</x:f>
        <x:v>1001.3194258735601</x:v>
      </x:c>
      <x:c r="U107" s="17" t="n">
        <x:f>IF(AND($A107&gt;='Control Room'!$A$13,$A107&lt;'Control Room'!$A$13+'Control Room'!$B$13,'Process'!BN2=1),1+('Control Room'!$C$13-1)*EXP(-0.5*(($A107-'Control Room'!$A$13-('Control Room'!$B$13-1)/2)/MAX(0.5,'Control Room'!$B$13/4))^2),1)*IF(AND($A107&gt;='Control Room'!$A$14,$A107&lt;'Control Room'!$A$14+'Control Room'!$B$14,'Process'!BN3=1),1+('Control Room'!$C$14-1)*EXP(-0.5*(($A107-'Control Room'!$A$14-('Control Room'!$B$14-1)/2)/MAX(0.5,'Control Room'!$B$14/4))^2),1)*IF(AND($A107&gt;='Control Room'!$A$15,$A107&lt;'Control Room'!$A$15+'Control Room'!$B$15,'Process'!BN4=1),1+('Control Room'!$C$15-1)*EXP(-0.5*(($A107-'Control Room'!$A$15-('Control Room'!$B$15-1)/2)/MAX(0.5,'Control Room'!$B$15/4))^2),1)*IF(AND($A107&gt;='Control Room'!$A$16,$A107&lt;'Control Room'!$A$16+'Control Room'!$B$16,'Process'!BN5=1),1+('Control Room'!$C$16-1)*EXP(-0.5*(($A107-'Control Room'!$A$16-('Control Room'!$B$16-1)/2)/MAX(0.5,'Control Room'!$B$16/4))^2),1)</x:f>
        <x:v>1</x:v>
      </x:c>
      <x:c r="V107" s="9" t="n">
        <x:f>MOD(W106*16807,2147483647)</x:f>
        <x:v>14958618</x:v>
      </x:c>
      <x:c r="W107" s="9" t="n">
        <x:f>MOD(V107*16807,2147483647)</x:f>
        <x:v>153906027</x:v>
      </x:c>
      <x:c r="X107" s="17" t="n">
        <x:f>IF('Control Room'!$B$5="Normal",'Control Room'!$B$7+'Control Room'!$D$7*SQRT(-2*LN(MAX(0.000000000001,V107/2147483647)))*COS(2*PI()*W107/2147483647),'Control Room'!$B$8+('Control Room'!$D$8-'Control Room'!$B$8)*V107/2147483647)</x:f>
        <x:v>1255.3810873554035</x:v>
      </x:c>
      <x:c r="Y107" s="17" t="n">
        <x:f>IF('Control Room'!$B$5="Normal",'Control Room'!$B$7,('Control Room'!$B$8+'Control Room'!$D$8)/2)+'Control Room'!$B$9*(Y106-IF('Control Room'!$B$5="Normal",'Control Room'!$B$7,('Control Room'!$B$8+'Control Room'!$D$8)/2))+SQRT(1-'Control Room'!$B$9^2)*(X107-IF('Control Room'!$B$5="Normal",'Control Room'!$B$7,('Control Room'!$B$8+'Control Room'!$D$8)/2))</x:f>
        <x:v>1048.293065861847</x:v>
      </x:c>
      <x:c r="Z107" s="17" t="n">
        <x:f>IF(AND($A107&gt;='Control Room'!$A$13,$A107&lt;'Control Room'!$A$13+'Control Room'!$B$13,'Process'!BO2=1),1+('Control Room'!$C$13-1)*EXP(-0.5*(($A107-'Control Room'!$A$13-('Control Room'!$B$13-1)/2)/MAX(0.5,'Control Room'!$B$13/4))^2),1)*IF(AND($A107&gt;='Control Room'!$A$14,$A107&lt;'Control Room'!$A$14+'Control Room'!$B$14,'Process'!BO3=1),1+('Control Room'!$C$14-1)*EXP(-0.5*(($A107-'Control Room'!$A$14-('Control Room'!$B$14-1)/2)/MAX(0.5,'Control Room'!$B$14/4))^2),1)*IF(AND($A107&gt;='Control Room'!$A$15,$A107&lt;'Control Room'!$A$15+'Control Room'!$B$15,'Process'!BO4=1),1+('Control Room'!$C$15-1)*EXP(-0.5*(($A107-'Control Room'!$A$15-('Control Room'!$B$15-1)/2)/MAX(0.5,'Control Room'!$B$15/4))^2),1)*IF(AND($A107&gt;='Control Room'!$A$16,$A107&lt;'Control Room'!$A$16+'Control Room'!$B$16,'Process'!BO5=1),1+('Control Room'!$C$16-1)*EXP(-0.5*(($A107-'Control Room'!$A$16-('Control Room'!$B$16-1)/2)/MAX(0.5,'Control Room'!$B$16/4))^2),1)</x:f>
        <x:v>1</x:v>
      </x:c>
      <x:c r="AA107" s="9" t="n">
        <x:f>MOD(AB106*16807,2147483647)</x:f>
        <x:v>2070043249</x:v>
      </x:c>
      <x:c r="AB107" s="9" t="n">
        <x:f>MOD(AA107*16807,2147483647)</x:f>
        <x:v>1981804543</x:v>
      </x:c>
      <x:c r="AC107" s="17" t="n">
        <x:f>IF('Control Room'!$B$5="Normal",'Control Room'!$B$7+'Control Room'!$D$7*SQRT(-2*LN(MAX(0.000000000001,AA107/2147483647)))*COS(2*PI()*AB107/2147483647),'Control Room'!$B$8+('Control Room'!$D$8-'Control Room'!$B$8)*AA107/2147483647)</x:f>
        <x:v>1021.5820512030749</x:v>
      </x:c>
      <x:c r="AD107" s="17" t="n">
        <x:f>IF('Control Room'!$B$5="Normal",'Control Room'!$B$7,('Control Room'!$B$8+'Control Room'!$D$8)/2)+'Control Room'!$B$9*(AD106-IF('Control Room'!$B$5="Normal",'Control Room'!$B$7,('Control Room'!$B$8+'Control Room'!$D$8)/2))+SQRT(1-'Control Room'!$B$9^2)*(AC107-IF('Control Room'!$B$5="Normal",'Control Room'!$B$7,('Control Room'!$B$8+'Control Room'!$D$8)/2))</x:f>
        <x:v>1096.9422957994989</x:v>
      </x:c>
      <x:c r="AE107" s="17" t="n">
        <x:f>IF(AND($A107&gt;='Control Room'!$A$13,$A107&lt;'Control Room'!$A$13+'Control Room'!$B$13,'Process'!BP2=1),1+('Control Room'!$C$13-1)*EXP(-0.5*(($A107-'Control Room'!$A$13-('Control Room'!$B$13-1)/2)/MAX(0.5,'Control Room'!$B$13/4))^2),1)*IF(AND($A107&gt;='Control Room'!$A$14,$A107&lt;'Control Room'!$A$14+'Control Room'!$B$14,'Process'!BP3=1),1+('Control Room'!$C$14-1)*EXP(-0.5*(($A107-'Control Room'!$A$14-('Control Room'!$B$14-1)/2)/MAX(0.5,'Control Room'!$B$14/4))^2),1)*IF(AND($A107&gt;='Control Room'!$A$15,$A107&lt;'Control Room'!$A$15+'Control Room'!$B$15,'Process'!BP4=1),1+('Control Room'!$C$15-1)*EXP(-0.5*(($A107-'Control Room'!$A$15-('Control Room'!$B$15-1)/2)/MAX(0.5,'Control Room'!$B$15/4))^2),1)*IF(AND($A107&gt;='Control Room'!$A$16,$A107&lt;'Control Room'!$A$16+'Control Room'!$B$16,'Process'!BP5=1),1+('Control Room'!$C$16-1)*EXP(-0.5*(($A107-'Control Room'!$A$16-('Control Room'!$B$16-1)/2)/MAX(0.5,'Control Room'!$B$16/4))^2),1)</x:f>
        <x:v>1</x:v>
      </x:c>
      <x:c r="AF107" s="9" t="n">
        <x:f>MOD(AG106*16807,2147483647)</x:f>
        <x:v>1977644233</x:v>
      </x:c>
      <x:c r="AG107" s="9" t="n">
        <x:f>MOD(AF107*16807,2147483647)</x:f>
        <x:v>1662219412</x:v>
      </x:c>
      <x:c r="AH107" s="17" t="n">
        <x:f>IF('Control Room'!$B$5="Normal",'Control Room'!$B$7+'Control Room'!$D$7*SQRT(-2*LN(MAX(0.000000000001,AF107/2147483647)))*COS(2*PI()*AG107/2147483647),'Control Room'!$B$8+('Control Room'!$D$8-'Control Room'!$B$8)*AF107/2147483647)</x:f>
        <x:v>1005.4954117089538</x:v>
      </x:c>
      <x:c r="AI107" s="17" t="n">
        <x:f>IF('Control Room'!$B$5="Normal",'Control Room'!$B$7,('Control Room'!$B$8+'Control Room'!$D$8)/2)+'Control Room'!$B$9*(AI106-IF('Control Room'!$B$5="Normal",'Control Room'!$B$7,('Control Room'!$B$8+'Control Room'!$D$8)/2))+SQRT(1-'Control Room'!$B$9^2)*(AH107-IF('Control Room'!$B$5="Normal",'Control Room'!$B$7,('Control Room'!$B$8+'Control Room'!$D$8)/2))</x:f>
        <x:v>1077.3591030553184</x:v>
      </x:c>
      <x:c r="AJ107" s="17" t="n">
        <x:f>IF(AND($A107&gt;='Control Room'!$A$13,$A107&lt;'Control Room'!$A$13+'Control Room'!$B$13,'Process'!BQ2=1),1+('Control Room'!$C$13-1)*EXP(-0.5*(($A107-'Control Room'!$A$13-('Control Room'!$B$13-1)/2)/MAX(0.5,'Control Room'!$B$13/4))^2),1)*IF(AND($A107&gt;='Control Room'!$A$14,$A107&lt;'Control Room'!$A$14+'Control Room'!$B$14,'Process'!BQ3=1),1+('Control Room'!$C$14-1)*EXP(-0.5*(($A107-'Control Room'!$A$14-('Control Room'!$B$14-1)/2)/MAX(0.5,'Control Room'!$B$14/4))^2),1)*IF(AND($A107&gt;='Control Room'!$A$15,$A107&lt;'Control Room'!$A$15+'Control Room'!$B$15,'Process'!BQ4=1),1+('Control Room'!$C$15-1)*EXP(-0.5*(($A107-'Control Room'!$A$15-('Control Room'!$B$15-1)/2)/MAX(0.5,'Control Room'!$B$15/4))^2),1)*IF(AND($A107&gt;='Control Room'!$A$16,$A107&lt;'Control Room'!$A$16+'Control Room'!$B$16,'Process'!BQ5=1),1+('Control Room'!$C$16-1)*EXP(-0.5*(($A107-'Control Room'!$A$16-('Control Room'!$B$16-1)/2)/MAX(0.5,'Control Room'!$B$16/4))^2),1)</x:f>
        <x:v>1</x:v>
      </x:c>
      <x:c r="AK107" s="9" t="n">
        <x:f>MOD(AL106*16807,2147483647)</x:f>
        <x:v>1885245217</x:v>
      </x:c>
      <x:c r="AL107" s="9" t="n">
        <x:f>MOD(AK107*16807,2147483647)</x:f>
        <x:v>1342634281</x:v>
      </x:c>
      <x:c r="AM107" s="17" t="n">
        <x:f>IF('Control Room'!$B$5="Normal",'Control Room'!$B$7+'Control Room'!$D$7*SQRT(-2*LN(MAX(0.000000000001,AK107/2147483647)))*COS(2*PI()*AL107/2147483647),'Control Room'!$B$8+('Control Room'!$D$8-'Control Room'!$B$8)*AK107/2147483647)</x:f>
        <x:v>967.5636989013101</x:v>
      </x:c>
      <x:c r="AN107" s="17" t="n">
        <x:f>IF('Control Room'!$B$5="Normal",'Control Room'!$B$7,('Control Room'!$B$8+'Control Room'!$D$8)/2)+'Control Room'!$B$9*(AN106-IF('Control Room'!$B$5="Normal",'Control Room'!$B$7,('Control Room'!$B$8+'Control Room'!$D$8)/2))+SQRT(1-'Control Room'!$B$9^2)*(AM107-IF('Control Room'!$B$5="Normal",'Control Room'!$B$7,('Control Room'!$B$8+'Control Room'!$D$8)/2))</x:f>
        <x:v>818.0193436854423</x:v>
      </x:c>
      <x:c r="AO107" s="17" t="n">
        <x:f>IF(AND($A107&gt;='Control Room'!$A$13,$A107&lt;'Control Room'!$A$13+'Control Room'!$B$13,'Process'!BR2=1),1+('Control Room'!$C$13-1)*EXP(-0.5*(($A107-'Control Room'!$A$13-('Control Room'!$B$13-1)/2)/MAX(0.5,'Control Room'!$B$13/4))^2),1)*IF(AND($A107&gt;='Control Room'!$A$14,$A107&lt;'Control Room'!$A$14+'Control Room'!$B$14,'Process'!BR3=1),1+('Control Room'!$C$14-1)*EXP(-0.5*(($A107-'Control Room'!$A$14-('Control Room'!$B$14-1)/2)/MAX(0.5,'Control Room'!$B$14/4))^2),1)*IF(AND($A107&gt;='Control Room'!$A$15,$A107&lt;'Control Room'!$A$15+'Control Room'!$B$15,'Process'!BR4=1),1+('Control Room'!$C$15-1)*EXP(-0.5*(($A107-'Control Room'!$A$15-('Control Room'!$B$15-1)/2)/MAX(0.5,'Control Room'!$B$15/4))^2),1)*IF(AND($A107&gt;='Control Room'!$A$16,$A107&lt;'Control Room'!$A$16+'Control Room'!$B$16,'Process'!BR5=1),1+('Control Room'!$C$16-1)*EXP(-0.5*(($A107-'Control Room'!$A$16-('Control Room'!$B$16-1)/2)/MAX(0.5,'Control Room'!$B$16/4))^2),1)</x:f>
        <x:v>1</x:v>
      </x:c>
      <x:c r="AP107" s="9" t="n">
        <x:f>MOD(AQ106*16807,2147483647)</x:f>
        <x:v>1792846201</x:v>
      </x:c>
      <x:c r="AQ107" s="9" t="n">
        <x:f>MOD(AP107*16807,2147483647)</x:f>
        <x:v>1023049150</x:v>
      </x:c>
      <x:c r="AR107" s="17" t="n">
        <x:f>IF('Control Room'!$B$5="Normal",'Control Room'!$B$7+'Control Room'!$D$7*SQRT(-2*LN(MAX(0.000000000001,AP107/2147483647)))*COS(2*PI()*AQ107/2147483647),'Control Room'!$B$8+('Control Room'!$D$8-'Control Room'!$B$8)*AP107/2147483647)</x:f>
        <x:v>946.5198765390095</x:v>
      </x:c>
      <x:c r="AS107" s="17" t="n">
        <x:f>IF('Control Room'!$B$5="Normal",'Control Room'!$B$7,('Control Room'!$B$8+'Control Room'!$D$8)/2)+'Control Room'!$B$9*(AS106-IF('Control Room'!$B$5="Normal",'Control Room'!$B$7,('Control Room'!$B$8+'Control Room'!$D$8)/2))+SQRT(1-'Control Room'!$B$9^2)*(AR107-IF('Control Room'!$B$5="Normal",'Control Room'!$B$7,('Control Room'!$B$8+'Control Room'!$D$8)/2))</x:f>
        <x:v>808.8857742931497</x:v>
      </x:c>
      <x:c r="AT107" s="17" t="n">
        <x:f>IF(AND($A107&gt;='Control Room'!$A$13,$A107&lt;'Control Room'!$A$13+'Control Room'!$B$13,'Process'!BS2=1),1+('Control Room'!$C$13-1)*EXP(-0.5*(($A107-'Control Room'!$A$13-('Control Room'!$B$13-1)/2)/MAX(0.5,'Control Room'!$B$13/4))^2),1)*IF(AND($A107&gt;='Control Room'!$A$14,$A107&lt;'Control Room'!$A$14+'Control Room'!$B$14,'Process'!BS3=1),1+('Control Room'!$C$14-1)*EXP(-0.5*(($A107-'Control Room'!$A$14-('Control Room'!$B$14-1)/2)/MAX(0.5,'Control Room'!$B$14/4))^2),1)*IF(AND($A107&gt;='Control Room'!$A$15,$A107&lt;'Control Room'!$A$15+'Control Room'!$B$15,'Process'!BS4=1),1+('Control Room'!$C$15-1)*EXP(-0.5*(($A107-'Control Room'!$A$15-('Control Room'!$B$15-1)/2)/MAX(0.5,'Control Room'!$B$15/4))^2),1)*IF(AND($A107&gt;='Control Room'!$A$16,$A107&lt;'Control Room'!$A$16+'Control Room'!$B$16,'Process'!BS5=1),1+('Control Room'!$C$16-1)*EXP(-0.5*(($A107-'Control Room'!$A$16-('Control Room'!$B$16-1)/2)/MAX(0.5,'Control Room'!$B$16/4))^2),1)</x:f>
        <x:v>1</x:v>
      </x:c>
      <x:c r="AU107" s="9" t="n">
        <x:f>MOD(AV106*16807,2147483647)</x:f>
        <x:v>1700447185</x:v>
      </x:c>
      <x:c r="AV107" s="9" t="n">
        <x:f>MOD(AU107*16807,2147483647)</x:f>
        <x:v>703464019</x:v>
      </x:c>
      <x:c r="AW107" s="17" t="n">
        <x:f>IF('Control Room'!$B$5="Normal",'Control Room'!$B$7+'Control Room'!$D$7*SQRT(-2*LN(MAX(0.000000000001,AU107/2147483647)))*COS(2*PI()*AV107/2147483647),'Control Room'!$B$8+('Control Room'!$D$8-'Control Room'!$B$8)*AU107/2147483647)</x:f>
        <x:v>971.2004954794734</x:v>
      </x:c>
      <x:c r="AX107" s="17" t="n">
        <x:f>IF('Control Room'!$B$5="Normal",'Control Room'!$B$7,('Control Room'!$B$8+'Control Room'!$D$8)/2)+'Control Room'!$B$9*(AX106-IF('Control Room'!$B$5="Normal",'Control Room'!$B$7,('Control Room'!$B$8+'Control Room'!$D$8)/2))+SQRT(1-'Control Room'!$B$9^2)*(AW107-IF('Control Room'!$B$5="Normal",'Control Room'!$B$7,('Control Room'!$B$8+'Control Room'!$D$8)/2))</x:f>
        <x:v>1027.6258996987415</x:v>
      </x:c>
      <x:c r="AY107" s="17" t="n">
        <x:f>IF(AND($A107&gt;='Control Room'!$A$13,$A107&lt;'Control Room'!$A$13+'Control Room'!$B$13,'Process'!BT2=1),1+('Control Room'!$C$13-1)*EXP(-0.5*(($A107-'Control Room'!$A$13-('Control Room'!$B$13-1)/2)/MAX(0.5,'Control Room'!$B$13/4))^2),1)*IF(AND($A107&gt;='Control Room'!$A$14,$A107&lt;'Control Room'!$A$14+'Control Room'!$B$14,'Process'!BT3=1),1+('Control Room'!$C$14-1)*EXP(-0.5*(($A107-'Control Room'!$A$14-('Control Room'!$B$14-1)/2)/MAX(0.5,'Control Room'!$B$14/4))^2),1)*IF(AND($A107&gt;='Control Room'!$A$15,$A107&lt;'Control Room'!$A$15+'Control Room'!$B$15,'Process'!BT4=1),1+('Control Room'!$C$15-1)*EXP(-0.5*(($A107-'Control Room'!$A$15-('Control Room'!$B$15-1)/2)/MAX(0.5,'Control Room'!$B$15/4))^2),1)*IF(AND($A107&gt;='Control Room'!$A$16,$A107&lt;'Control Room'!$A$16+'Control Room'!$B$16,'Process'!BT5=1),1+('Control Room'!$C$16-1)*EXP(-0.5*(($A107-'Control Room'!$A$16-('Control Room'!$B$16-1)/2)/MAX(0.5,'Control Room'!$B$16/4))^2),1)</x:f>
        <x:v>1</x:v>
      </x:c>
      <x:c r="AZ107" s="9" t="n">
        <x:f>MOD(BA106*16807,2147483647)</x:f>
        <x:v>1608048169</x:v>
      </x:c>
      <x:c r="BA107" s="9" t="n">
        <x:f>MOD(AZ107*16807,2147483647)</x:f>
        <x:v>383878888</x:v>
      </x:c>
      <x:c r="BB107" s="17" t="n">
        <x:f>IF('Control Room'!$B$5="Normal",'Control Room'!$B$7+'Control Room'!$D$7*SQRT(-2*LN(MAX(0.000000000001,AZ107/2147483647)))*COS(2*PI()*BA107/2147483647),'Control Room'!$B$8+('Control Room'!$D$8-'Control Room'!$B$8)*AZ107/2147483647)</x:f>
        <x:v>1029.6299336162401</x:v>
      </x:c>
      <x:c r="BC107" s="17" t="n">
        <x:f>IF('Control Room'!$B$5="Normal",'Control Room'!$B$7,('Control Room'!$B$8+'Control Room'!$D$8)/2)+'Control Room'!$B$9*(BC106-IF('Control Room'!$B$5="Normal",'Control Room'!$B$7,('Control Room'!$B$8+'Control Room'!$D$8)/2))+SQRT(1-'Control Room'!$B$9^2)*(BB107-IF('Control Room'!$B$5="Normal",'Control Room'!$B$7,('Control Room'!$B$8+'Control Room'!$D$8)/2))</x:f>
        <x:v>1168.6590275823514</x:v>
      </x:c>
      <x:c r="BD107" s="17" t="n">
        <x:f>IF(AND($A107&gt;='Control Room'!$A$13,$A107&lt;'Control Room'!$A$13+'Control Room'!$B$13,'Process'!BU2=1),1+('Control Room'!$C$13-1)*EXP(-0.5*(($A107-'Control Room'!$A$13-('Control Room'!$B$13-1)/2)/MAX(0.5,'Control Room'!$B$13/4))^2),1)*IF(AND($A107&gt;='Control Room'!$A$14,$A107&lt;'Control Room'!$A$14+'Control Room'!$B$14,'Process'!BU3=1),1+('Control Room'!$C$14-1)*EXP(-0.5*(($A107-'Control Room'!$A$14-('Control Room'!$B$14-1)/2)/MAX(0.5,'Control Room'!$B$14/4))^2),1)*IF(AND($A107&gt;='Control Room'!$A$15,$A107&lt;'Control Room'!$A$15+'Control Room'!$B$15,'Process'!BU4=1),1+('Control Room'!$C$15-1)*EXP(-0.5*(($A107-'Control Room'!$A$15-('Control Room'!$B$15-1)/2)/MAX(0.5,'Control Room'!$B$15/4))^2),1)*IF(AND($A107&gt;='Control Room'!$A$16,$A107&lt;'Control Room'!$A$16+'Control Room'!$B$16,'Process'!BU5=1),1+('Control Room'!$C$16-1)*EXP(-0.5*(($A107-'Control Room'!$A$16-('Control Room'!$B$16-1)/2)/MAX(0.5,'Control Room'!$B$16/4))^2),1)</x:f>
        <x:v>1</x:v>
      </x:c>
      <x:c r="BE107" s="9" t="n">
        <x:f>MOD(BF106*16807,2147483647)</x:f>
        <x:v>1515649153</x:v>
      </x:c>
      <x:c r="BF107" s="9" t="n">
        <x:f>MOD(BE107*16807,2147483647)</x:f>
        <x:v>64293757</x:v>
      </x:c>
      <x:c r="BG107" s="17" t="n">
        <x:f>IF('Control Room'!$B$5="Normal",'Control Room'!$B$7+'Control Room'!$D$7*SQRT(-2*LN(MAX(0.000000000001,BE107/2147483647)))*COS(2*PI()*BF107/2147483647),'Control Room'!$B$8+('Control Room'!$D$8-'Control Room'!$B$8)*BE107/2147483647)</x:f>
        <x:v>1073.807370793384</x:v>
      </x:c>
      <x:c r="BH107" s="17" t="n">
        <x:f>IF('Control Room'!$B$5="Normal",'Control Room'!$B$7,('Control Room'!$B$8+'Control Room'!$D$8)/2)+'Control Room'!$B$9*(BH106-IF('Control Room'!$B$5="Normal",'Control Room'!$B$7,('Control Room'!$B$8+'Control Room'!$D$8)/2))+SQRT(1-'Control Room'!$B$9^2)*(BG107-IF('Control Room'!$B$5="Normal",'Control Room'!$B$7,('Control Room'!$B$8+'Control Room'!$D$8)/2))</x:f>
        <x:v>1041.0877085457455</x:v>
      </x:c>
      <x:c r="BI107" s="17" t="n">
        <x:f>IF(AND($A107&gt;='Control Room'!$A$13,$A107&lt;'Control Room'!$A$13+'Control Room'!$B$13,'Process'!BV2=1),1+('Control Room'!$C$13-1)*EXP(-0.5*(($A107-'Control Room'!$A$13-('Control Room'!$B$13-1)/2)/MAX(0.5,'Control Room'!$B$13/4))^2),1)*IF(AND($A107&gt;='Control Room'!$A$14,$A107&lt;'Control Room'!$A$14+'Control Room'!$B$14,'Process'!BV3=1),1+('Control Room'!$C$14-1)*EXP(-0.5*(($A107-'Control Room'!$A$14-('Control Room'!$B$14-1)/2)/MAX(0.5,'Control Room'!$B$14/4))^2),1)*IF(AND($A107&gt;='Control Room'!$A$15,$A107&lt;'Control Room'!$A$15+'Control Room'!$B$15,'Process'!BV4=1),1+('Control Room'!$C$15-1)*EXP(-0.5*(($A107-'Control Room'!$A$15-('Control Room'!$B$15-1)/2)/MAX(0.5,'Control Room'!$B$15/4))^2),1)*IF(AND($A107&gt;='Control Room'!$A$16,$A107&lt;'Control Room'!$A$16+'Control Room'!$B$16,'Process'!BV5=1),1+('Control Room'!$C$16-1)*EXP(-0.5*(($A107-'Control Room'!$A$16-('Control Room'!$B$16-1)/2)/MAX(0.5,'Control Room'!$B$16/4))^2),1)</x:f>
        <x:v>1</x:v>
      </x:c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Z107" t="str">
        <x:f>IF('Data'!A107="","",TEXT('Data'!A107,"mm-dd"))</x:f>
        <x:v>02-15</x:v>
      </x:c>
    </x:row>
    <x:row r="108" ht="21" customHeight="1">
      <x:c r="A108" s="15" t="n">
        <x:f>'Control Room'!$B$1+106</x:f>
        <x:v>73097</x:v>
      </x:c>
      <x:c r="B108" s="9" t="n">
        <x:f>MOD(C107*16807,2147483647)</x:f>
        <x:v>623583434</x:v>
      </x:c>
      <x:c r="C108" s="9" t="n">
        <x:f>MOD(B108*16807,2147483647)</x:f>
        <x:v>846577878</x:v>
      </x:c>
      <x:c r="D108" s="17" t="n">
        <x:f>IF('Control Room'!$B$5="Normal",'Control Room'!$B$7+'Control Room'!$D$7*SQRT(-2*LN(MAX(0.000000000001,B108/2147483647)))*COS(2*PI()*C108/2147483647),'Control Room'!$B$8+('Control Room'!$D$8-'Control Room'!$B$8)*B108/2147483647)</x:f>
        <x:v>888.5919424643772</x:v>
      </x:c>
      <x:c r="E108" s="17" t="n">
        <x:f>IF('Control Room'!$B$5="Normal",'Control Room'!$B$7,('Control Room'!$B$8+'Control Room'!$D$8)/2)+'Control Room'!$B$9*(E107-IF('Control Room'!$B$5="Normal",'Control Room'!$B$7,('Control Room'!$B$8+'Control Room'!$D$8)/2))+SQRT(1-'Control Room'!$B$9^2)*(D108-IF('Control Room'!$B$5="Normal",'Control Room'!$B$7,('Control Room'!$B$8+'Control Room'!$D$8)/2))</x:f>
        <x:v>965.5892622522506</x:v>
      </x:c>
      <x:c r="F108" s="17" t="n">
        <x:f>IF(AND($A108&gt;='Control Room'!$A$13,$A108&lt;'Control Room'!$A$13+'Control Room'!$B$13,'Process'!BK2=1),1+('Control Room'!$C$13-1)*EXP(-0.5*(($A108-'Control Room'!$A$13-('Control Room'!$B$13-1)/2)/MAX(0.5,'Control Room'!$B$13/4))^2),1)*IF(AND($A108&gt;='Control Room'!$A$14,$A108&lt;'Control Room'!$A$14+'Control Room'!$B$14,'Process'!BK3=1),1+('Control Room'!$C$14-1)*EXP(-0.5*(($A108-'Control Room'!$A$14-('Control Room'!$B$14-1)/2)/MAX(0.5,'Control Room'!$B$14/4))^2),1)*IF(AND($A108&gt;='Control Room'!$A$15,$A108&lt;'Control Room'!$A$15+'Control Room'!$B$15,'Process'!BK4=1),1+('Control Room'!$C$15-1)*EXP(-0.5*(($A108-'Control Room'!$A$15-('Control Room'!$B$15-1)/2)/MAX(0.5,'Control Room'!$B$15/4))^2),1)*IF(AND($A108&gt;='Control Room'!$A$16,$A108&lt;'Control Room'!$A$16+'Control Room'!$B$16,'Process'!BK5=1),1+('Control Room'!$C$16-1)*EXP(-0.5*(($A108-'Control Room'!$A$16-('Control Room'!$B$16-1)/2)/MAX(0.5,'Control Room'!$B$16/4))^2),1)</x:f>
        <x:v>1</x:v>
      </x:c>
      <x:c r="G108" s="9" t="n">
        <x:f>MOD(H107*16807,2147483647)</x:f>
        <x:v>212887864</x:v>
      </x:c>
      <x:c r="H108" s="9" t="n">
        <x:f>MOD(G108*16807,2147483647)</x:f>
        <x:v>298574346</x:v>
      </x:c>
      <x:c r="I108" s="17" t="n">
        <x:f>IF('Control Room'!$B$5="Normal",'Control Room'!$B$7+'Control Room'!$D$7*SQRT(-2*LN(MAX(0.000000000001,G108/2147483647)))*COS(2*PI()*H108/2147483647),'Control Room'!$B$8+('Control Room'!$D$8-'Control Room'!$B$8)*G108/2147483647)</x:f>
        <x:v>1124.2447018276146</x:v>
      </x:c>
      <x:c r="J108" s="17" t="n">
        <x:f>IF('Control Room'!$B$5="Normal",'Control Room'!$B$7,('Control Room'!$B$8+'Control Room'!$D$8)/2)+'Control Room'!$B$9*(J107-IF('Control Room'!$B$5="Normal",'Control Room'!$B$7,('Control Room'!$B$8+'Control Room'!$D$8)/2))+SQRT(1-'Control Room'!$B$9^2)*(I108-IF('Control Room'!$B$5="Normal",'Control Room'!$B$7,('Control Room'!$B$8+'Control Room'!$D$8)/2))</x:f>
        <x:v>1065.184789324378</x:v>
      </x:c>
      <x:c r="K108" s="17" t="n">
        <x:f>IF(AND($A108&gt;='Control Room'!$A$13,$A108&lt;'Control Room'!$A$13+'Control Room'!$B$13,'Process'!BL2=1),1+('Control Room'!$C$13-1)*EXP(-0.5*(($A108-'Control Room'!$A$13-('Control Room'!$B$13-1)/2)/MAX(0.5,'Control Room'!$B$13/4))^2),1)*IF(AND($A108&gt;='Control Room'!$A$14,$A108&lt;'Control Room'!$A$14+'Control Room'!$B$14,'Process'!BL3=1),1+('Control Room'!$C$14-1)*EXP(-0.5*(($A108-'Control Room'!$A$14-('Control Room'!$B$14-1)/2)/MAX(0.5,'Control Room'!$B$14/4))^2),1)*IF(AND($A108&gt;='Control Room'!$A$15,$A108&lt;'Control Room'!$A$15+'Control Room'!$B$15,'Process'!BL4=1),1+('Control Room'!$C$15-1)*EXP(-0.5*(($A108-'Control Room'!$A$15-('Control Room'!$B$15-1)/2)/MAX(0.5,'Control Room'!$B$15/4))^2),1)*IF(AND($A108&gt;='Control Room'!$A$16,$A108&lt;'Control Room'!$A$16+'Control Room'!$B$16,'Process'!BL5=1),1+('Control Room'!$C$16-1)*EXP(-0.5*(($A108-'Control Room'!$A$16-('Control Room'!$B$16-1)/2)/MAX(0.5,'Control Room'!$B$16/4))^2),1)</x:f>
        <x:v>1</x:v>
      </x:c>
      <x:c r="L108" s="9" t="n">
        <x:f>MOD(M107*16807,2147483647)</x:f>
        <x:v>1949675941</x:v>
      </x:c>
      <x:c r="M108" s="9" t="n">
        <x:f>MOD(L108*16807,2147483647)</x:f>
        <x:v>1898054461</x:v>
      </x:c>
      <x:c r="N108" s="17" t="n">
        <x:f>IF('Control Room'!$B$5="Normal",'Control Room'!$B$7+'Control Room'!$D$7*SQRT(-2*LN(MAX(0.000000000001,L108/2147483647)))*COS(2*PI()*M108/2147483647),'Control Room'!$B$8+('Control Room'!$D$8-'Control Room'!$B$8)*L108/2147483647)</x:f>
        <x:v>1029.4890986003238</x:v>
      </x:c>
      <x:c r="O108" s="17" t="n">
        <x:f>IF('Control Room'!$B$5="Normal",'Control Room'!$B$7,('Control Room'!$B$8+'Control Room'!$D$8)/2)+'Control Room'!$B$9*(O107-IF('Control Room'!$B$5="Normal",'Control Room'!$B$7,('Control Room'!$B$8+'Control Room'!$D$8)/2))+SQRT(1-'Control Room'!$B$9^2)*(N108-IF('Control Room'!$B$5="Normal",'Control Room'!$B$7,('Control Room'!$B$8+'Control Room'!$D$8)/2))</x:f>
        <x:v>944.452760981064</x:v>
      </x:c>
      <x:c r="P108" s="17" t="n">
        <x:f>IF(AND($A108&gt;='Control Room'!$A$13,$A108&lt;'Control Room'!$A$13+'Control Room'!$B$13,'Process'!BM2=1),1+('Control Room'!$C$13-1)*EXP(-0.5*(($A108-'Control Room'!$A$13-('Control Room'!$B$13-1)/2)/MAX(0.5,'Control Room'!$B$13/4))^2),1)*IF(AND($A108&gt;='Control Room'!$A$14,$A108&lt;'Control Room'!$A$14+'Control Room'!$B$14,'Process'!BM3=1),1+('Control Room'!$C$14-1)*EXP(-0.5*(($A108-'Control Room'!$A$14-('Control Room'!$B$14-1)/2)/MAX(0.5,'Control Room'!$B$14/4))^2),1)*IF(AND($A108&gt;='Control Room'!$A$15,$A108&lt;'Control Room'!$A$15+'Control Room'!$B$15,'Process'!BM4=1),1+('Control Room'!$C$15-1)*EXP(-0.5*(($A108-'Control Room'!$A$15-('Control Room'!$B$15-1)/2)/MAX(0.5,'Control Room'!$B$15/4))^2),1)*IF(AND($A108&gt;='Control Room'!$A$16,$A108&lt;'Control Room'!$A$16+'Control Room'!$B$16,'Process'!BM5=1),1+('Control Room'!$C$16-1)*EXP(-0.5*(($A108-'Control Room'!$A$16-('Control Room'!$B$16-1)/2)/MAX(0.5,'Control Room'!$B$16/4))^2),1)</x:f>
        <x:v>1</x:v>
      </x:c>
      <x:c r="Q108" s="9" t="n">
        <x:f>MOD(R107*16807,2147483647)</x:f>
        <x:v>1538980371</x:v>
      </x:c>
      <x:c r="R108" s="9" t="n">
        <x:f>MOD(Q108*16807,2147483647)</x:f>
        <x:v>1350050929</x:v>
      </x:c>
      <x:c r="S108" s="17" t="n">
        <x:f>IF('Control Room'!$B$5="Normal",'Control Room'!$B$7+'Control Room'!$D$7*SQRT(-2*LN(MAX(0.000000000001,Q108/2147483647)))*COS(2*PI()*R108/2147483647),'Control Room'!$B$8+('Control Room'!$D$8-'Control Room'!$B$8)*Q108/2147483647)</x:f>
        <x:v>949.2611238478291</x:v>
      </x:c>
      <x:c r="T108" s="17" t="n">
        <x:f>IF('Control Room'!$B$5="Normal",'Control Room'!$B$7,('Control Room'!$B$8+'Control Room'!$D$8)/2)+'Control Room'!$B$9*(T107-IF('Control Room'!$B$5="Normal",'Control Room'!$B$7,('Control Room'!$B$8+'Control Room'!$D$8)/2))+SQRT(1-'Control Room'!$B$9^2)*(S108-IF('Control Room'!$B$5="Normal",'Control Room'!$B$7,('Control Room'!$B$8+'Control Room'!$D$8)/2))</x:f>
        <x:v>969.2778029277251</x:v>
      </x:c>
      <x:c r="U108" s="17" t="n">
        <x:f>IF(AND($A108&gt;='Control Room'!$A$13,$A108&lt;'Control Room'!$A$13+'Control Room'!$B$13,'Process'!BN2=1),1+('Control Room'!$C$13-1)*EXP(-0.5*(($A108-'Control Room'!$A$13-('Control Room'!$B$13-1)/2)/MAX(0.5,'Control Room'!$B$13/4))^2),1)*IF(AND($A108&gt;='Control Room'!$A$14,$A108&lt;'Control Room'!$A$14+'Control Room'!$B$14,'Process'!BN3=1),1+('Control Room'!$C$14-1)*EXP(-0.5*(($A108-'Control Room'!$A$14-('Control Room'!$B$14-1)/2)/MAX(0.5,'Control Room'!$B$14/4))^2),1)*IF(AND($A108&gt;='Control Room'!$A$15,$A108&lt;'Control Room'!$A$15+'Control Room'!$B$15,'Process'!BN4=1),1+('Control Room'!$C$15-1)*EXP(-0.5*(($A108-'Control Room'!$A$15-('Control Room'!$B$15-1)/2)/MAX(0.5,'Control Room'!$B$15/4))^2),1)*IF(AND($A108&gt;='Control Room'!$A$16,$A108&lt;'Control Room'!$A$16+'Control Room'!$B$16,'Process'!BN5=1),1+('Control Room'!$C$16-1)*EXP(-0.5*(($A108-'Control Room'!$A$16-('Control Room'!$B$16-1)/2)/MAX(0.5,'Control Room'!$B$16/4))^2),1)</x:f>
        <x:v>1</x:v>
      </x:c>
      <x:c r="V108" s="9" t="n">
        <x:f>MOD(W107*16807,2147483647)</x:f>
        <x:v>1128284801</x:v>
      </x:c>
      <x:c r="W108" s="9" t="n">
        <x:f>MOD(V108*16807,2147483647)</x:f>
        <x:v>802047397</x:v>
      </x:c>
      <x:c r="X108" s="17" t="n">
        <x:f>IF('Control Room'!$B$5="Normal",'Control Room'!$B$7+'Control Room'!$D$7*SQRT(-2*LN(MAX(0.000000000001,V108/2147483647)))*COS(2*PI()*W108/2147483647),'Control Room'!$B$8+('Control Room'!$D$8-'Control Room'!$B$8)*V108/2147483647)</x:f>
        <x:v>928.4896218890651</x:v>
      </x:c>
      <x:c r="Y108" s="17" t="n">
        <x:f>IF('Control Room'!$B$5="Normal",'Control Room'!$B$7,('Control Room'!$B$8+'Control Room'!$D$8)/2)+'Control Room'!$B$9*(Y107-IF('Control Room'!$B$5="Normal",'Control Room'!$B$7,('Control Room'!$B$8+'Control Room'!$D$8)/2))+SQRT(1-'Control Room'!$B$9^2)*(X108-IF('Control Room'!$B$5="Normal",'Control Room'!$B$7,('Control Room'!$B$8+'Control Room'!$D$8)/2))</x:f>
        <x:v>992.9188617201413</x:v>
      </x:c>
      <x:c r="Z108" s="17" t="n">
        <x:f>IF(AND($A108&gt;='Control Room'!$A$13,$A108&lt;'Control Room'!$A$13+'Control Room'!$B$13,'Process'!BO2=1),1+('Control Room'!$C$13-1)*EXP(-0.5*(($A108-'Control Room'!$A$13-('Control Room'!$B$13-1)/2)/MAX(0.5,'Control Room'!$B$13/4))^2),1)*IF(AND($A108&gt;='Control Room'!$A$14,$A108&lt;'Control Room'!$A$14+'Control Room'!$B$14,'Process'!BO3=1),1+('Control Room'!$C$14-1)*EXP(-0.5*(($A108-'Control Room'!$A$14-('Control Room'!$B$14-1)/2)/MAX(0.5,'Control Room'!$B$14/4))^2),1)*IF(AND($A108&gt;='Control Room'!$A$15,$A108&lt;'Control Room'!$A$15+'Control Room'!$B$15,'Process'!BO4=1),1+('Control Room'!$C$15-1)*EXP(-0.5*(($A108-'Control Room'!$A$15-('Control Room'!$B$15-1)/2)/MAX(0.5,'Control Room'!$B$15/4))^2),1)*IF(AND($A108&gt;='Control Room'!$A$16,$A108&lt;'Control Room'!$A$16+'Control Room'!$B$16,'Process'!BO5=1),1+('Control Room'!$C$16-1)*EXP(-0.5*(($A108-'Control Room'!$A$16-('Control Room'!$B$16-1)/2)/MAX(0.5,'Control Room'!$B$16/4))^2),1)</x:f>
        <x:v>1</x:v>
      </x:c>
      <x:c r="AA108" s="9" t="n">
        <x:f>MOD(AB107*16807,2147483647)</x:f>
        <x:v>717589231</x:v>
      </x:c>
      <x:c r="AB108" s="9" t="n">
        <x:f>MOD(AA108*16807,2147483647)</x:f>
        <x:v>254043865</x:v>
      </x:c>
      <x:c r="AC108" s="17" t="n">
        <x:f>IF('Control Room'!$B$5="Normal",'Control Room'!$B$7+'Control Room'!$D$7*SQRT(-2*LN(MAX(0.000000000001,AA108/2147483647)))*COS(2*PI()*AB108/2147483647),'Control Room'!$B$8+('Control Room'!$D$8-'Control Room'!$B$8)*AA108/2147483647)</x:f>
        <x:v>1098.1106586897802</x:v>
      </x:c>
      <x:c r="AD108" s="17" t="n">
        <x:f>IF('Control Room'!$B$5="Normal",'Control Room'!$B$7,('Control Room'!$B$8+'Control Room'!$D$8)/2)+'Control Room'!$B$9*(AD107-IF('Control Room'!$B$5="Normal",'Control Room'!$B$7,('Control Room'!$B$8+'Control Room'!$D$8)/2))+SQRT(1-'Control Room'!$B$9^2)*(AC108-IF('Control Room'!$B$5="Normal",'Control Room'!$B$7,('Control Room'!$B$8+'Control Room'!$D$8)/2))</x:f>
        <x:v>1137.0106310255821</x:v>
      </x:c>
      <x:c r="AE108" s="17" t="n">
        <x:f>IF(AND($A108&gt;='Control Room'!$A$13,$A108&lt;'Control Room'!$A$13+'Control Room'!$B$13,'Process'!BP2=1),1+('Control Room'!$C$13-1)*EXP(-0.5*(($A108-'Control Room'!$A$13-('Control Room'!$B$13-1)/2)/MAX(0.5,'Control Room'!$B$13/4))^2),1)*IF(AND($A108&gt;='Control Room'!$A$14,$A108&lt;'Control Room'!$A$14+'Control Room'!$B$14,'Process'!BP3=1),1+('Control Room'!$C$14-1)*EXP(-0.5*(($A108-'Control Room'!$A$14-('Control Room'!$B$14-1)/2)/MAX(0.5,'Control Room'!$B$14/4))^2),1)*IF(AND($A108&gt;='Control Room'!$A$15,$A108&lt;'Control Room'!$A$15+'Control Room'!$B$15,'Process'!BP4=1),1+('Control Room'!$C$15-1)*EXP(-0.5*(($A108-'Control Room'!$A$15-('Control Room'!$B$15-1)/2)/MAX(0.5,'Control Room'!$B$15/4))^2),1)*IF(AND($A108&gt;='Control Room'!$A$16,$A108&lt;'Control Room'!$A$16+'Control Room'!$B$16,'Process'!BP5=1),1+('Control Room'!$C$16-1)*EXP(-0.5*(($A108-'Control Room'!$A$16-('Control Room'!$B$16-1)/2)/MAX(0.5,'Control Room'!$B$16/4))^2),1)</x:f>
        <x:v>1</x:v>
      </x:c>
      <x:c r="AF108" s="9" t="n">
        <x:f>MOD(AG107*16807,2147483647)</x:f>
        <x:v>306893661</x:v>
      </x:c>
      <x:c r="AG108" s="9" t="n">
        <x:f>MOD(AF108*16807,2147483647)</x:f>
        <x:v>1853523980</x:v>
      </x:c>
      <x:c r="AH108" s="17" t="n">
        <x:f>IF('Control Room'!$B$5="Normal",'Control Room'!$B$7+'Control Room'!$D$7*SQRT(-2*LN(MAX(0.000000000001,AF108/2147483647)))*COS(2*PI()*AG108/2147483647),'Control Room'!$B$8+('Control Room'!$D$8-'Control Room'!$B$8)*AF108/2147483647)</x:f>
        <x:v>1115.8186289294397</x:v>
      </x:c>
      <x:c r="AI108" s="17" t="n">
        <x:f>IF('Control Room'!$B$5="Normal",'Control Room'!$B$7,('Control Room'!$B$8+'Control Room'!$D$8)/2)+'Control Room'!$B$9*(AI107-IF('Control Room'!$B$5="Normal",'Control Room'!$B$7,('Control Room'!$B$8+'Control Room'!$D$8)/2))+SQRT(1-'Control Room'!$B$9^2)*(AH108-IF('Control Room'!$B$5="Normal",'Control Room'!$B$7,('Control Room'!$B$8+'Control Room'!$D$8)/2))</x:f>
        <x:v>1132.8170256936119</x:v>
      </x:c>
      <x:c r="AJ108" s="17" t="n">
        <x:f>IF(AND($A108&gt;='Control Room'!$A$13,$A108&lt;'Control Room'!$A$13+'Control Room'!$B$13,'Process'!BQ2=1),1+('Control Room'!$C$13-1)*EXP(-0.5*(($A108-'Control Room'!$A$13-('Control Room'!$B$13-1)/2)/MAX(0.5,'Control Room'!$B$13/4))^2),1)*IF(AND($A108&gt;='Control Room'!$A$14,$A108&lt;'Control Room'!$A$14+'Control Room'!$B$14,'Process'!BQ3=1),1+('Control Room'!$C$14-1)*EXP(-0.5*(($A108-'Control Room'!$A$14-('Control Room'!$B$14-1)/2)/MAX(0.5,'Control Room'!$B$14/4))^2),1)*IF(AND($A108&gt;='Control Room'!$A$15,$A108&lt;'Control Room'!$A$15+'Control Room'!$B$15,'Process'!BQ4=1),1+('Control Room'!$C$15-1)*EXP(-0.5*(($A108-'Control Room'!$A$15-('Control Room'!$B$15-1)/2)/MAX(0.5,'Control Room'!$B$15/4))^2),1)*IF(AND($A108&gt;='Control Room'!$A$16,$A108&lt;'Control Room'!$A$16+'Control Room'!$B$16,'Process'!BQ5=1),1+('Control Room'!$C$16-1)*EXP(-0.5*(($A108-'Control Room'!$A$16-('Control Room'!$B$16-1)/2)/MAX(0.5,'Control Room'!$B$16/4))^2),1)</x:f>
        <x:v>1</x:v>
      </x:c>
      <x:c r="AK108" s="9" t="n">
        <x:f>MOD(AL107*16807,2147483647)</x:f>
        <x:v>2043681738</x:v>
      </x:c>
      <x:c r="AL108" s="9" t="n">
        <x:f>MOD(AK108*16807,2147483647)</x:f>
        <x:v>1305520448</x:v>
      </x:c>
      <x:c r="AM108" s="17" t="n">
        <x:f>IF('Control Room'!$B$5="Normal",'Control Room'!$B$7+'Control Room'!$D$7*SQRT(-2*LN(MAX(0.000000000001,AK108/2147483647)))*COS(2*PI()*AL108/2147483647),'Control Room'!$B$8+('Control Room'!$D$8-'Control Room'!$B$8)*AK108/2147483647)</x:f>
        <x:v>977.9380960233857</x:v>
      </x:c>
      <x:c r="AN108" s="17" t="n">
        <x:f>IF('Control Room'!$B$5="Normal",'Control Room'!$B$7,('Control Room'!$B$8+'Control Room'!$D$8)/2)+'Control Room'!$B$9*(AN107-IF('Control Room'!$B$5="Normal",'Control Room'!$B$7,('Control Room'!$B$8+'Control Room'!$D$8)/2))+SQRT(1-'Control Room'!$B$9^2)*(AM108-IF('Control Room'!$B$5="Normal",'Control Room'!$B$7,('Control Room'!$B$8+'Control Room'!$D$8)/2))</x:f>
        <x:v>844.2492005287492</x:v>
      </x:c>
      <x:c r="AO108" s="17" t="n">
        <x:f>IF(AND($A108&gt;='Control Room'!$A$13,$A108&lt;'Control Room'!$A$13+'Control Room'!$B$13,'Process'!BR2=1),1+('Control Room'!$C$13-1)*EXP(-0.5*(($A108-'Control Room'!$A$13-('Control Room'!$B$13-1)/2)/MAX(0.5,'Control Room'!$B$13/4))^2),1)*IF(AND($A108&gt;='Control Room'!$A$14,$A108&lt;'Control Room'!$A$14+'Control Room'!$B$14,'Process'!BR3=1),1+('Control Room'!$C$14-1)*EXP(-0.5*(($A108-'Control Room'!$A$14-('Control Room'!$B$14-1)/2)/MAX(0.5,'Control Room'!$B$14/4))^2),1)*IF(AND($A108&gt;='Control Room'!$A$15,$A108&lt;'Control Room'!$A$15+'Control Room'!$B$15,'Process'!BR4=1),1+('Control Room'!$C$15-1)*EXP(-0.5*(($A108-'Control Room'!$A$15-('Control Room'!$B$15-1)/2)/MAX(0.5,'Control Room'!$B$15/4))^2),1)*IF(AND($A108&gt;='Control Room'!$A$16,$A108&lt;'Control Room'!$A$16+'Control Room'!$B$16,'Process'!BR5=1),1+('Control Room'!$C$16-1)*EXP(-0.5*(($A108-'Control Room'!$A$16-('Control Room'!$B$16-1)/2)/MAX(0.5,'Control Room'!$B$16/4))^2),1)</x:f>
        <x:v>1</x:v>
      </x:c>
      <x:c r="AP108" s="9" t="n">
        <x:f>MOD(AQ107*16807,2147483647)</x:f>
        <x:v>1632986168</x:v>
      </x:c>
      <x:c r="AQ108" s="9" t="n">
        <x:f>MOD(AP108*16807,2147483647)</x:f>
        <x:v>757516916</x:v>
      </x:c>
      <x:c r="AR108" s="17" t="n">
        <x:f>IF('Control Room'!$B$5="Normal",'Control Room'!$B$7+'Control Room'!$D$7*SQRT(-2*LN(MAX(0.000000000001,AP108/2147483647)))*COS(2*PI()*AQ108/2147483647),'Control Room'!$B$8+('Control Room'!$D$8-'Control Room'!$B$8)*AP108/2147483647)</x:f>
        <x:v>959.9233162429782</x:v>
      </x:c>
      <x:c r="AS108" s="17" t="n">
        <x:f>IF('Control Room'!$B$5="Normal",'Control Room'!$B$7,('Control Room'!$B$8+'Control Room'!$D$8)/2)+'Control Room'!$B$9*(AS107-IF('Control Room'!$B$5="Normal",'Control Room'!$B$7,('Control Room'!$B$8+'Control Room'!$D$8)/2))+SQRT(1-'Control Room'!$B$9^2)*(AR108-IF('Control Room'!$B$5="Normal",'Control Room'!$B$7,('Control Room'!$B$8+'Control Room'!$D$8)/2))</x:f>
        <x:v>825.8517362690055</x:v>
      </x:c>
      <x:c r="AT108" s="17" t="n">
        <x:f>IF(AND($A108&gt;='Control Room'!$A$13,$A108&lt;'Control Room'!$A$13+'Control Room'!$B$13,'Process'!BS2=1),1+('Control Room'!$C$13-1)*EXP(-0.5*(($A108-'Control Room'!$A$13-('Control Room'!$B$13-1)/2)/MAX(0.5,'Control Room'!$B$13/4))^2),1)*IF(AND($A108&gt;='Control Room'!$A$14,$A108&lt;'Control Room'!$A$14+'Control Room'!$B$14,'Process'!BS3=1),1+('Control Room'!$C$14-1)*EXP(-0.5*(($A108-'Control Room'!$A$14-('Control Room'!$B$14-1)/2)/MAX(0.5,'Control Room'!$B$14/4))^2),1)*IF(AND($A108&gt;='Control Room'!$A$15,$A108&lt;'Control Room'!$A$15+'Control Room'!$B$15,'Process'!BS4=1),1+('Control Room'!$C$15-1)*EXP(-0.5*(($A108-'Control Room'!$A$15-('Control Room'!$B$15-1)/2)/MAX(0.5,'Control Room'!$B$15/4))^2),1)*IF(AND($A108&gt;='Control Room'!$A$16,$A108&lt;'Control Room'!$A$16+'Control Room'!$B$16,'Process'!BS5=1),1+('Control Room'!$C$16-1)*EXP(-0.5*(($A108-'Control Room'!$A$16-('Control Room'!$B$16-1)/2)/MAX(0.5,'Control Room'!$B$16/4))^2),1)</x:f>
        <x:v>1</x:v>
      </x:c>
      <x:c r="AU108" s="9" t="n">
        <x:f>MOD(AV107*16807,2147483647)</x:f>
        <x:v>1222290598</x:v>
      </x:c>
      <x:c r="AV108" s="9" t="n">
        <x:f>MOD(AU108*16807,2147483647)</x:f>
        <x:v>209513384</x:v>
      </x:c>
      <x:c r="AW108" s="17" t="n">
        <x:f>IF('Control Room'!$B$5="Normal",'Control Room'!$B$7+'Control Room'!$D$7*SQRT(-2*LN(MAX(0.000000000001,AU108/2147483647)))*COS(2*PI()*AV108/2147483647),'Control Room'!$B$8+('Control Room'!$D$8-'Control Room'!$B$8)*AU108/2147483647)</x:f>
        <x:v>1078.1528458958715</x:v>
      </x:c>
      <x:c r="AX108" s="17" t="n">
        <x:f>IF('Control Room'!$B$5="Normal",'Control Room'!$B$7,('Control Room'!$B$8+'Control Room'!$D$8)/2)+'Control Room'!$B$9*(AX107-IF('Control Room'!$B$5="Normal",'Control Room'!$B$7,('Control Room'!$B$8+'Control Room'!$D$8)/2))+SQRT(1-'Control Room'!$B$9^2)*(AW108-IF('Control Room'!$B$5="Normal",'Control Room'!$B$7,('Control Room'!$B$8+'Control Room'!$D$8)/2))</x:f>
        <x:v>1070.4546516785817</x:v>
      </x:c>
      <x:c r="AY108" s="17" t="n">
        <x:f>IF(AND($A108&gt;='Control Room'!$A$13,$A108&lt;'Control Room'!$A$13+'Control Room'!$B$13,'Process'!BT2=1),1+('Control Room'!$C$13-1)*EXP(-0.5*(($A108-'Control Room'!$A$13-('Control Room'!$B$13-1)/2)/MAX(0.5,'Control Room'!$B$13/4))^2),1)*IF(AND($A108&gt;='Control Room'!$A$14,$A108&lt;'Control Room'!$A$14+'Control Room'!$B$14,'Process'!BT3=1),1+('Control Room'!$C$14-1)*EXP(-0.5*(($A108-'Control Room'!$A$14-('Control Room'!$B$14-1)/2)/MAX(0.5,'Control Room'!$B$14/4))^2),1)*IF(AND($A108&gt;='Control Room'!$A$15,$A108&lt;'Control Room'!$A$15+'Control Room'!$B$15,'Process'!BT4=1),1+('Control Room'!$C$15-1)*EXP(-0.5*(($A108-'Control Room'!$A$15-('Control Room'!$B$15-1)/2)/MAX(0.5,'Control Room'!$B$15/4))^2),1)*IF(AND($A108&gt;='Control Room'!$A$16,$A108&lt;'Control Room'!$A$16+'Control Room'!$B$16,'Process'!BT5=1),1+('Control Room'!$C$16-1)*EXP(-0.5*(($A108-'Control Room'!$A$16-('Control Room'!$B$16-1)/2)/MAX(0.5,'Control Room'!$B$16/4))^2),1)</x:f>
        <x:v>1</x:v>
      </x:c>
      <x:c r="AZ108" s="9" t="n">
        <x:f>MOD(BA107*16807,2147483647)</x:f>
        <x:v>811595028</x:v>
      </x:c>
      <x:c r="BA108" s="9" t="n">
        <x:f>MOD(AZ108*16807,2147483647)</x:f>
        <x:v>1808993499</x:v>
      </x:c>
      <x:c r="BB108" s="17" t="n">
        <x:f>IF('Control Room'!$B$5="Normal",'Control Room'!$B$7+'Control Room'!$D$7*SQRT(-2*LN(MAX(0.000000000001,AZ108/2147483647)))*COS(2*PI()*BA108/2147483647),'Control Room'!$B$8+('Control Room'!$D$8-'Control Room'!$B$8)*AZ108/2147483647)</x:f>
        <x:v>1068.8508622908273</x:v>
      </x:c>
      <x:c r="BC108" s="17" t="n">
        <x:f>IF('Control Room'!$B$5="Normal",'Control Room'!$B$7,('Control Room'!$B$8+'Control Room'!$D$8)/2)+'Control Room'!$B$9*(BC107-IF('Control Room'!$B$5="Normal",'Control Room'!$B$7,('Control Room'!$B$8+'Control Room'!$D$8)/2))+SQRT(1-'Control Room'!$B$9^2)*(BB108-IF('Control Room'!$B$5="Normal",'Control Room'!$B$7,('Control Room'!$B$8+'Control Room'!$D$8)/2))</x:f>
        <x:v>1174.639500649253</x:v>
      </x:c>
      <x:c r="BD108" s="17" t="n">
        <x:f>IF(AND($A108&gt;='Control Room'!$A$13,$A108&lt;'Control Room'!$A$13+'Control Room'!$B$13,'Process'!BU2=1),1+('Control Room'!$C$13-1)*EXP(-0.5*(($A108-'Control Room'!$A$13-('Control Room'!$B$13-1)/2)/MAX(0.5,'Control Room'!$B$13/4))^2),1)*IF(AND($A108&gt;='Control Room'!$A$14,$A108&lt;'Control Room'!$A$14+'Control Room'!$B$14,'Process'!BU3=1),1+('Control Room'!$C$14-1)*EXP(-0.5*(($A108-'Control Room'!$A$14-('Control Room'!$B$14-1)/2)/MAX(0.5,'Control Room'!$B$14/4))^2),1)*IF(AND($A108&gt;='Control Room'!$A$15,$A108&lt;'Control Room'!$A$15+'Control Room'!$B$15,'Process'!BU4=1),1+('Control Room'!$C$15-1)*EXP(-0.5*(($A108-'Control Room'!$A$15-('Control Room'!$B$15-1)/2)/MAX(0.5,'Control Room'!$B$15/4))^2),1)*IF(AND($A108&gt;='Control Room'!$A$16,$A108&lt;'Control Room'!$A$16+'Control Room'!$B$16,'Process'!BU5=1),1+('Control Room'!$C$16-1)*EXP(-0.5*(($A108-'Control Room'!$A$16-('Control Room'!$B$16-1)/2)/MAX(0.5,'Control Room'!$B$16/4))^2),1)</x:f>
        <x:v>1</x:v>
      </x:c>
      <x:c r="BE108" s="9" t="n">
        <x:f>MOD(BF107*16807,2147483647)</x:f>
        <x:v>400899458</x:v>
      </x:c>
      <x:c r="BF108" s="9" t="n">
        <x:f>MOD(BE108*16807,2147483647)</x:f>
        <x:v>1260989967</x:v>
      </x:c>
      <x:c r="BG108" s="17" t="n">
        <x:f>IF('Control Room'!$B$5="Normal",'Control Room'!$B$7+'Control Room'!$D$7*SQRT(-2*LN(MAX(0.000000000001,BE108/2147483647)))*COS(2*PI()*BF108/2147483647),'Control Room'!$B$8+('Control Room'!$D$8-'Control Room'!$B$8)*BE108/2147483647)</x:f>
        <x:v>859.2418092347829</x:v>
      </x:c>
      <x:c r="BH108" s="17" t="n">
        <x:f>IF('Control Room'!$B$5="Normal",'Control Room'!$B$7,('Control Room'!$B$8+'Control Room'!$D$8)/2)+'Control Room'!$B$9*(BH107-IF('Control Room'!$B$5="Normal",'Control Room'!$B$7,('Control Room'!$B$8+'Control Room'!$D$8)/2))+SQRT(1-'Control Room'!$B$9^2)*(BG108-IF('Control Room'!$B$5="Normal",'Control Room'!$B$7,('Control Room'!$B$8+'Control Room'!$D$8)/2))</x:f>
        <x:v>943.9648204730835</x:v>
      </x:c>
      <x:c r="BI108" s="17" t="n">
        <x:f>IF(AND($A108&gt;='Control Room'!$A$13,$A108&lt;'Control Room'!$A$13+'Control Room'!$B$13,'Process'!BV2=1),1+('Control Room'!$C$13-1)*EXP(-0.5*(($A108-'Control Room'!$A$13-('Control Room'!$B$13-1)/2)/MAX(0.5,'Control Room'!$B$13/4))^2),1)*IF(AND($A108&gt;='Control Room'!$A$14,$A108&lt;'Control Room'!$A$14+'Control Room'!$B$14,'Process'!BV3=1),1+('Control Room'!$C$14-1)*EXP(-0.5*(($A108-'Control Room'!$A$14-('Control Room'!$B$14-1)/2)/MAX(0.5,'Control Room'!$B$14/4))^2),1)*IF(AND($A108&gt;='Control Room'!$A$15,$A108&lt;'Control Room'!$A$15+'Control Room'!$B$15,'Process'!BV4=1),1+('Control Room'!$C$15-1)*EXP(-0.5*(($A108-'Control Room'!$A$15-('Control Room'!$B$15-1)/2)/MAX(0.5,'Control Room'!$B$15/4))^2),1)*IF(AND($A108&gt;='Control Room'!$A$16,$A108&lt;'Control Room'!$A$16+'Control Room'!$B$16,'Process'!BV5=1),1+('Control Room'!$C$16-1)*EXP(-0.5*(($A108-'Control Room'!$A$16-('Control Room'!$B$16-1)/2)/MAX(0.5,'Control Room'!$B$16/4))^2),1)</x:f>
        <x:v>1</x:v>
      </x:c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Z108" t="str">
        <x:f>IF('Data'!A108="","",TEXT('Data'!A108,"mm-dd"))</x:f>
        <x:v>02-16</x:v>
      </x:c>
    </x:row>
    <x:row r="109" ht="21" customHeight="1">
      <x:c r="A109" s="15" t="n">
        <x:f>'Control Room'!$B$1+107</x:f>
        <x:v>73098</x:v>
      </x:c>
      <x:c r="B109" s="9" t="n">
        <x:f>MOD(C108*16807,2147483647)</x:f>
        <x:v>1355234171</x:v>
      </x:c>
      <x:c r="C109" s="9" t="n">
        <x:f>MOD(B109*16807,2147483647)</x:f>
        <x:v>1209151915</x:v>
      </x:c>
      <x:c r="D109" s="17" t="n">
        <x:f>IF('Control Room'!$B$5="Normal",'Control Room'!$B$7+'Control Room'!$D$7*SQRT(-2*LN(MAX(0.000000000001,B109/2147483647)))*COS(2*PI()*C109/2147483647),'Control Room'!$B$8+('Control Room'!$D$8-'Control Room'!$B$8)*B109/2147483647)</x:f>
        <x:v>920.3339511299442</x:v>
      </x:c>
      <x:c r="E109" s="17" t="n">
        <x:f>IF('Control Room'!$B$5="Normal",'Control Room'!$B$7,('Control Room'!$B$8+'Control Room'!$D$8)/2)+'Control Room'!$B$9*(E108-IF('Control Room'!$B$5="Normal",'Control Room'!$B$7,('Control Room'!$B$8+'Control Room'!$D$8)/2))+SQRT(1-'Control Room'!$B$9^2)*(D109-IF('Control Room'!$B$5="Normal",'Control Room'!$B$7,('Control Room'!$B$8+'Control Room'!$D$8)/2))</x:f>
        <x:v>923.3062432215954</x:v>
      </x:c>
      <x:c r="F109" s="17" t="n">
        <x:f>IF(AND($A109&gt;='Control Room'!$A$13,$A109&lt;'Control Room'!$A$13+'Control Room'!$B$13,'Process'!BK2=1),1+('Control Room'!$C$13-1)*EXP(-0.5*(($A109-'Control Room'!$A$13-('Control Room'!$B$13-1)/2)/MAX(0.5,'Control Room'!$B$13/4))^2),1)*IF(AND($A109&gt;='Control Room'!$A$14,$A109&lt;'Control Room'!$A$14+'Control Room'!$B$14,'Process'!BK3=1),1+('Control Room'!$C$14-1)*EXP(-0.5*(($A109-'Control Room'!$A$14-('Control Room'!$B$14-1)/2)/MAX(0.5,'Control Room'!$B$14/4))^2),1)*IF(AND($A109&gt;='Control Room'!$A$15,$A109&lt;'Control Room'!$A$15+'Control Room'!$B$15,'Process'!BK4=1),1+('Control Room'!$C$15-1)*EXP(-0.5*(($A109-'Control Room'!$A$15-('Control Room'!$B$15-1)/2)/MAX(0.5,'Control Room'!$B$15/4))^2),1)*IF(AND($A109&gt;='Control Room'!$A$16,$A109&lt;'Control Room'!$A$16+'Control Room'!$B$16,'Process'!BK5=1),1+('Control Room'!$C$16-1)*EXP(-0.5*(($A109-'Control Room'!$A$16-('Control Room'!$B$16-1)/2)/MAX(0.5,'Control Room'!$B$16/4))^2),1)</x:f>
        <x:v>1</x:v>
      </x:c>
      <x:c r="G109" s="9" t="n">
        <x:f>MOD(H108*16807,2147483647)</x:f>
        <x:v>1617233830</x:v>
      </x:c>
      <x:c r="H109" s="9" t="n">
        <x:f>MOD(G109*16807,2147483647)</x:f>
        <x:v>148460731</x:v>
      </x:c>
      <x:c r="I109" s="17" t="n">
        <x:f>IF('Control Room'!$B$5="Normal",'Control Room'!$B$7+'Control Room'!$D$7*SQRT(-2*LN(MAX(0.000000000001,G109/2147483647)))*COS(2*PI()*H109/2147483647),'Control Room'!$B$8+('Control Room'!$D$8-'Control Room'!$B$8)*G109/2147483647)</x:f>
        <x:v>1061.484652193791</x:v>
      </x:c>
      <x:c r="J109" s="17" t="n">
        <x:f>IF('Control Room'!$B$5="Normal",'Control Room'!$B$7,('Control Room'!$B$8+'Control Room'!$D$8)/2)+'Control Room'!$B$9*(J108-IF('Control Room'!$B$5="Normal",'Control Room'!$B$7,('Control Room'!$B$8+'Control Room'!$D$8)/2))+SQRT(1-'Control Room'!$B$9^2)*(I109-IF('Control Room'!$B$5="Normal",'Control Room'!$B$7,('Control Room'!$B$8+'Control Room'!$D$8)/2))</x:f>
        <x:v>1089.3199714343245</x:v>
      </x:c>
      <x:c r="K109" s="17" t="n">
        <x:f>IF(AND($A109&gt;='Control Room'!$A$13,$A109&lt;'Control Room'!$A$13+'Control Room'!$B$13,'Process'!BL2=1),1+('Control Room'!$C$13-1)*EXP(-0.5*(($A109-'Control Room'!$A$13-('Control Room'!$B$13-1)/2)/MAX(0.5,'Control Room'!$B$13/4))^2),1)*IF(AND($A109&gt;='Control Room'!$A$14,$A109&lt;'Control Room'!$A$14+'Control Room'!$B$14,'Process'!BL3=1),1+('Control Room'!$C$14-1)*EXP(-0.5*(($A109-'Control Room'!$A$14-('Control Room'!$B$14-1)/2)/MAX(0.5,'Control Room'!$B$14/4))^2),1)*IF(AND($A109&gt;='Control Room'!$A$15,$A109&lt;'Control Room'!$A$15+'Control Room'!$B$15,'Process'!BL4=1),1+('Control Room'!$C$15-1)*EXP(-0.5*(($A109-'Control Room'!$A$15-('Control Room'!$B$15-1)/2)/MAX(0.5,'Control Room'!$B$15/4))^2),1)*IF(AND($A109&gt;='Control Room'!$A$16,$A109&lt;'Control Room'!$A$16+'Control Room'!$B$16,'Process'!BL5=1),1+('Control Room'!$C$16-1)*EXP(-0.5*(($A109-'Control Room'!$A$16-('Control Room'!$B$16-1)/2)/MAX(0.5,'Control Room'!$B$16/4))^2),1)</x:f>
        <x:v>1</x:v>
      </x:c>
      <x:c r="L109" s="9" t="n">
        <x:f>MOD(M108*16807,2147483647)</x:f>
        <x:v>1879233489</x:v>
      </x:c>
      <x:c r="M109" s="9" t="n">
        <x:f>MOD(L109*16807,2147483647)</x:f>
        <x:v>1235253194</x:v>
      </x:c>
      <x:c r="N109" s="17" t="n">
        <x:f>IF('Control Room'!$B$5="Normal",'Control Room'!$B$7+'Control Room'!$D$7*SQRT(-2*LN(MAX(0.000000000001,L109/2147483647)))*COS(2*PI()*M109/2147483647),'Control Room'!$B$8+('Control Room'!$D$8-'Control Room'!$B$8)*L109/2147483647)</x:f>
        <x:v>958.6021505662567</x:v>
      </x:c>
      <x:c r="O109" s="17" t="n">
        <x:f>IF('Control Room'!$B$5="Normal",'Control Room'!$B$7,('Control Room'!$B$8+'Control Room'!$D$8)/2)+'Control Room'!$B$9*(O108-IF('Control Room'!$B$5="Normal",'Control Room'!$B$7,('Control Room'!$B$8+'Control Room'!$D$8)/2))+SQRT(1-'Control Room'!$B$9^2)*(N109-IF('Control Room'!$B$5="Normal",'Control Room'!$B$7,('Control Room'!$B$8+'Control Room'!$D$8)/2))</x:f>
        <x:v>930.7672274706363</x:v>
      </x:c>
      <x:c r="P109" s="17" t="n">
        <x:f>IF(AND($A109&gt;='Control Room'!$A$13,$A109&lt;'Control Room'!$A$13+'Control Room'!$B$13,'Process'!BM2=1),1+('Control Room'!$C$13-1)*EXP(-0.5*(($A109-'Control Room'!$A$13-('Control Room'!$B$13-1)/2)/MAX(0.5,'Control Room'!$B$13/4))^2),1)*IF(AND($A109&gt;='Control Room'!$A$14,$A109&lt;'Control Room'!$A$14+'Control Room'!$B$14,'Process'!BM3=1),1+('Control Room'!$C$14-1)*EXP(-0.5*(($A109-'Control Room'!$A$14-('Control Room'!$B$14-1)/2)/MAX(0.5,'Control Room'!$B$14/4))^2),1)*IF(AND($A109&gt;='Control Room'!$A$15,$A109&lt;'Control Room'!$A$15+'Control Room'!$B$15,'Process'!BM4=1),1+('Control Room'!$C$15-1)*EXP(-0.5*(($A109-'Control Room'!$A$15-('Control Room'!$B$15-1)/2)/MAX(0.5,'Control Room'!$B$15/4))^2),1)*IF(AND($A109&gt;='Control Room'!$A$16,$A109&lt;'Control Room'!$A$16+'Control Room'!$B$16,'Process'!BM5=1),1+('Control Room'!$C$16-1)*EXP(-0.5*(($A109-'Control Room'!$A$16-('Control Room'!$B$16-1)/2)/MAX(0.5,'Control Room'!$B$16/4))^2),1)</x:f>
        <x:v>1</x:v>
      </x:c>
      <x:c r="Q109" s="9" t="n">
        <x:f>MOD(R108*16807,2147483647)</x:f>
        <x:v>2141233148</x:v>
      </x:c>
      <x:c r="R109" s="9" t="n">
        <x:f>MOD(Q109*16807,2147483647)</x:f>
        <x:v>174562010</x:v>
      </x:c>
      <x:c r="S109" s="17" t="n">
        <x:f>IF('Control Room'!$B$5="Normal",'Control Room'!$B$7+'Control Room'!$D$7*SQRT(-2*LN(MAX(0.000000000001,Q109/2147483647)))*COS(2*PI()*R109/2147483647),'Control Room'!$B$8+('Control Room'!$D$8-'Control Room'!$B$8)*Q109/2147483647)</x:f>
        <x:v>1005.9947842960541</x:v>
      </x:c>
      <x:c r="T109" s="17" t="n">
        <x:f>IF('Control Room'!$B$5="Normal",'Control Room'!$B$7,('Control Room'!$B$8+'Control Room'!$D$8)/2)+'Control Room'!$B$9*(T108-IF('Control Room'!$B$5="Normal",'Control Room'!$B$7,('Control Room'!$B$8+'Control Room'!$D$8)/2))+SQRT(1-'Control Room'!$B$9^2)*(S109-IF('Control Room'!$B$5="Normal",'Control Room'!$B$7,('Control Room'!$B$8+'Control Room'!$D$8)/2))</x:f>
        <x:v>979.7880994862647</x:v>
      </x:c>
      <x:c r="U109" s="17" t="n">
        <x:f>IF(AND($A109&gt;='Control Room'!$A$13,$A109&lt;'Control Room'!$A$13+'Control Room'!$B$13,'Process'!BN2=1),1+('Control Room'!$C$13-1)*EXP(-0.5*(($A109-'Control Room'!$A$13-('Control Room'!$B$13-1)/2)/MAX(0.5,'Control Room'!$B$13/4))^2),1)*IF(AND($A109&gt;='Control Room'!$A$14,$A109&lt;'Control Room'!$A$14+'Control Room'!$B$14,'Process'!BN3=1),1+('Control Room'!$C$14-1)*EXP(-0.5*(($A109-'Control Room'!$A$14-('Control Room'!$B$14-1)/2)/MAX(0.5,'Control Room'!$B$14/4))^2),1)*IF(AND($A109&gt;='Control Room'!$A$15,$A109&lt;'Control Room'!$A$15+'Control Room'!$B$15,'Process'!BN4=1),1+('Control Room'!$C$15-1)*EXP(-0.5*(($A109-'Control Room'!$A$15-('Control Room'!$B$15-1)/2)/MAX(0.5,'Control Room'!$B$15/4))^2),1)*IF(AND($A109&gt;='Control Room'!$A$16,$A109&lt;'Control Room'!$A$16+'Control Room'!$B$16,'Process'!BN5=1),1+('Control Room'!$C$16-1)*EXP(-0.5*(($A109-'Control Room'!$A$16-('Control Room'!$B$16-1)/2)/MAX(0.5,'Control Room'!$B$16/4))^2),1)</x:f>
        <x:v>1</x:v>
      </x:c>
      <x:c r="V109" s="9" t="n">
        <x:f>MOD(W108*16807,2147483647)</x:f>
        <x:v>255749160</x:v>
      </x:c>
      <x:c r="W109" s="9" t="n">
        <x:f>MOD(V109*16807,2147483647)</x:f>
        <x:v>1261354473</x:v>
      </x:c>
      <x:c r="X109" s="17" t="n">
        <x:f>IF('Control Room'!$B$5="Normal",'Control Room'!$B$7+'Control Room'!$D$7*SQRT(-2*LN(MAX(0.000000000001,V109/2147483647)))*COS(2*PI()*W109/2147483647),'Control Room'!$B$8+('Control Room'!$D$8-'Control Room'!$B$8)*V109/2147483647)</x:f>
        <x:v>841.6122511450493</x:v>
      </x:c>
      <x:c r="Y109" s="17" t="n">
        <x:f>IF('Control Room'!$B$5="Normal",'Control Room'!$B$7,('Control Room'!$B$8+'Control Room'!$D$8)/2)+'Control Room'!$B$9*(Y108-IF('Control Room'!$B$5="Normal",'Control Room'!$B$7,('Control Room'!$B$8+'Control Room'!$D$8)/2))+SQRT(1-'Control Room'!$B$9^2)*(X109-IF('Control Room'!$B$5="Normal",'Control Room'!$B$7,('Control Room'!$B$8+'Control Room'!$D$8)/2))</x:f>
        <x:v>895.3609036576852</x:v>
      </x:c>
      <x:c r="Z109" s="17" t="n">
        <x:f>IF(AND($A109&gt;='Control Room'!$A$13,$A109&lt;'Control Room'!$A$13+'Control Room'!$B$13,'Process'!BO2=1),1+('Control Room'!$C$13-1)*EXP(-0.5*(($A109-'Control Room'!$A$13-('Control Room'!$B$13-1)/2)/MAX(0.5,'Control Room'!$B$13/4))^2),1)*IF(AND($A109&gt;='Control Room'!$A$14,$A109&lt;'Control Room'!$A$14+'Control Room'!$B$14,'Process'!BO3=1),1+('Control Room'!$C$14-1)*EXP(-0.5*(($A109-'Control Room'!$A$14-('Control Room'!$B$14-1)/2)/MAX(0.5,'Control Room'!$B$14/4))^2),1)*IF(AND($A109&gt;='Control Room'!$A$15,$A109&lt;'Control Room'!$A$15+'Control Room'!$B$15,'Process'!BO4=1),1+('Control Room'!$C$15-1)*EXP(-0.5*(($A109-'Control Room'!$A$15-('Control Room'!$B$15-1)/2)/MAX(0.5,'Control Room'!$B$15/4))^2),1)*IF(AND($A109&gt;='Control Room'!$A$16,$A109&lt;'Control Room'!$A$16+'Control Room'!$B$16,'Process'!BO5=1),1+('Control Room'!$C$16-1)*EXP(-0.5*(($A109-'Control Room'!$A$16-('Control Room'!$B$16-1)/2)/MAX(0.5,'Control Room'!$B$16/4))^2),1)</x:f>
        <x:v>1</x:v>
      </x:c>
      <x:c r="AA109" s="9" t="n">
        <x:f>MOD(AB108*16807,2147483647)</x:f>
        <x:v>517748819</x:v>
      </x:c>
      <x:c r="AB109" s="9" t="n">
        <x:f>MOD(AA109*16807,2147483647)</x:f>
        <x:v>200663289</x:v>
      </x:c>
      <x:c r="AC109" s="17" t="n">
        <x:f>IF('Control Room'!$B$5="Normal",'Control Room'!$B$7+'Control Room'!$D$7*SQRT(-2*LN(MAX(0.000000000001,AA109/2147483647)))*COS(2*PI()*AB109/2147483647),'Control Room'!$B$8+('Control Room'!$D$8-'Control Room'!$B$8)*AA109/2147483647)</x:f>
        <x:v>1126.3867220779944</x:v>
      </x:c>
      <x:c r="AD109" s="17" t="n">
        <x:f>IF('Control Room'!$B$5="Normal",'Control Room'!$B$7,('Control Room'!$B$8+'Control Room'!$D$8)/2)+'Control Room'!$B$9*(AD108-IF('Control Room'!$B$5="Normal",'Control Room'!$B$7,('Control Room'!$B$8+'Control Room'!$D$8)/2))+SQRT(1-'Control Room'!$B$9^2)*(AC109-IF('Control Room'!$B$5="Normal",'Control Room'!$B$7,('Control Room'!$B$8+'Control Room'!$D$8)/2))</x:f>
        <x:v>1185.9585137036272</x:v>
      </x:c>
      <x:c r="AE109" s="17" t="n">
        <x:f>IF(AND($A109&gt;='Control Room'!$A$13,$A109&lt;'Control Room'!$A$13+'Control Room'!$B$13,'Process'!BP2=1),1+('Control Room'!$C$13-1)*EXP(-0.5*(($A109-'Control Room'!$A$13-('Control Room'!$B$13-1)/2)/MAX(0.5,'Control Room'!$B$13/4))^2),1)*IF(AND($A109&gt;='Control Room'!$A$14,$A109&lt;'Control Room'!$A$14+'Control Room'!$B$14,'Process'!BP3=1),1+('Control Room'!$C$14-1)*EXP(-0.5*(($A109-'Control Room'!$A$14-('Control Room'!$B$14-1)/2)/MAX(0.5,'Control Room'!$B$14/4))^2),1)*IF(AND($A109&gt;='Control Room'!$A$15,$A109&lt;'Control Room'!$A$15+'Control Room'!$B$15,'Process'!BP4=1),1+('Control Room'!$C$15-1)*EXP(-0.5*(($A109-'Control Room'!$A$15-('Control Room'!$B$15-1)/2)/MAX(0.5,'Control Room'!$B$15/4))^2),1)*IF(AND($A109&gt;='Control Room'!$A$16,$A109&lt;'Control Room'!$A$16+'Control Room'!$B$16,'Process'!BP5=1),1+('Control Room'!$C$16-1)*EXP(-0.5*(($A109-'Control Room'!$A$16-('Control Room'!$B$16-1)/2)/MAX(0.5,'Control Room'!$B$16/4))^2),1)</x:f>
        <x:v>1</x:v>
      </x:c>
      <x:c r="AF109" s="9" t="n">
        <x:f>MOD(AG108*16807,2147483647)</x:f>
        <x:v>779748478</x:v>
      </x:c>
      <x:c r="AG109" s="9" t="n">
        <x:f>MOD(AF109*16807,2147483647)</x:f>
        <x:v>1287455752</x:v>
      </x:c>
      <x:c r="AH109" s="17" t="n">
        <x:f>IF('Control Room'!$B$5="Normal",'Control Room'!$B$7+'Control Room'!$D$7*SQRT(-2*LN(MAX(0.000000000001,AF109/2147483647)))*COS(2*PI()*AG109/2147483647),'Control Room'!$B$8+('Control Room'!$D$8-'Control Room'!$B$8)*AF109/2147483647)</x:f>
        <x:v>896.130243203894</x:v>
      </x:c>
      <x:c r="AI109" s="17" t="n">
        <x:f>IF('Control Room'!$B$5="Normal",'Control Room'!$B$7,('Control Room'!$B$8+'Control Room'!$D$8)/2)+'Control Room'!$B$9*(AI108-IF('Control Room'!$B$5="Normal",'Control Room'!$B$7,('Control Room'!$B$8+'Control Room'!$D$8)/2))+SQRT(1-'Control Room'!$B$9^2)*(AH109-IF('Control Room'!$B$5="Normal",'Control Room'!$B$7,('Control Room'!$B$8+'Control Room'!$D$8)/2))</x:f>
        <x:v>1038.597714125643</x:v>
      </x:c>
      <x:c r="AJ109" s="17" t="n">
        <x:f>IF(AND($A109&gt;='Control Room'!$A$13,$A109&lt;'Control Room'!$A$13+'Control Room'!$B$13,'Process'!BQ2=1),1+('Control Room'!$C$13-1)*EXP(-0.5*(($A109-'Control Room'!$A$13-('Control Room'!$B$13-1)/2)/MAX(0.5,'Control Room'!$B$13/4))^2),1)*IF(AND($A109&gt;='Control Room'!$A$14,$A109&lt;'Control Room'!$A$14+'Control Room'!$B$14,'Process'!BQ3=1),1+('Control Room'!$C$14-1)*EXP(-0.5*(($A109-'Control Room'!$A$14-('Control Room'!$B$14-1)/2)/MAX(0.5,'Control Room'!$B$14/4))^2),1)*IF(AND($A109&gt;='Control Room'!$A$15,$A109&lt;'Control Room'!$A$15+'Control Room'!$B$15,'Process'!BQ4=1),1+('Control Room'!$C$15-1)*EXP(-0.5*(($A109-'Control Room'!$A$15-('Control Room'!$B$15-1)/2)/MAX(0.5,'Control Room'!$B$15/4))^2),1)*IF(AND($A109&gt;='Control Room'!$A$16,$A109&lt;'Control Room'!$A$16+'Control Room'!$B$16,'Process'!BQ5=1),1+('Control Room'!$C$16-1)*EXP(-0.5*(($A109-'Control Room'!$A$16-('Control Room'!$B$16-1)/2)/MAX(0.5,'Control Room'!$B$16/4))^2),1)</x:f>
        <x:v>1</x:v>
      </x:c>
      <x:c r="AK109" s="9" t="n">
        <x:f>MOD(AL108*16807,2147483647)</x:f>
        <x:v>1041748137</x:v>
      </x:c>
      <x:c r="AL109" s="9" t="n">
        <x:f>MOD(AK109*16807,2147483647)</x:f>
        <x:v>226764568</x:v>
      </x:c>
      <x:c r="AM109" s="17" t="n">
        <x:f>IF('Control Room'!$B$5="Normal",'Control Room'!$B$7+'Control Room'!$D$7*SQRT(-2*LN(MAX(0.000000000001,AK109/2147483647)))*COS(2*PI()*AL109/2147483647),'Control Room'!$B$8+('Control Room'!$D$8-'Control Room'!$B$8)*AK109/2147483647)</x:f>
        <x:v>1085.2889426293711</x:v>
      </x:c>
      <x:c r="AN109" s="17" t="n">
        <x:f>IF('Control Room'!$B$5="Normal",'Control Room'!$B$7,('Control Room'!$B$8+'Control Room'!$D$8)/2)+'Control Room'!$B$9*(AN108-IF('Control Room'!$B$5="Normal",'Control Room'!$B$7,('Control Room'!$B$8+'Control Room'!$D$8)/2))+SQRT(1-'Control Room'!$B$9^2)*(AM109-IF('Control Room'!$B$5="Normal",'Control Room'!$B$7,('Control Room'!$B$8+'Control Room'!$D$8)/2))</x:f>
        <x:v>931.8864494709242</x:v>
      </x:c>
      <x:c r="AO109" s="17" t="n">
        <x:f>IF(AND($A109&gt;='Control Room'!$A$13,$A109&lt;'Control Room'!$A$13+'Control Room'!$B$13,'Process'!BR2=1),1+('Control Room'!$C$13-1)*EXP(-0.5*(($A109-'Control Room'!$A$13-('Control Room'!$B$13-1)/2)/MAX(0.5,'Control Room'!$B$13/4))^2),1)*IF(AND($A109&gt;='Control Room'!$A$14,$A109&lt;'Control Room'!$A$14+'Control Room'!$B$14,'Process'!BR3=1),1+('Control Room'!$C$14-1)*EXP(-0.5*(($A109-'Control Room'!$A$14-('Control Room'!$B$14-1)/2)/MAX(0.5,'Control Room'!$B$14/4))^2),1)*IF(AND($A109&gt;='Control Room'!$A$15,$A109&lt;'Control Room'!$A$15+'Control Room'!$B$15,'Process'!BR4=1),1+('Control Room'!$C$15-1)*EXP(-0.5*(($A109-'Control Room'!$A$15-('Control Room'!$B$15-1)/2)/MAX(0.5,'Control Room'!$B$15/4))^2),1)*IF(AND($A109&gt;='Control Room'!$A$16,$A109&lt;'Control Room'!$A$16+'Control Room'!$B$16,'Process'!BR5=1),1+('Control Room'!$C$16-1)*EXP(-0.5*(($A109-'Control Room'!$A$16-('Control Room'!$B$16-1)/2)/MAX(0.5,'Control Room'!$B$16/4))^2),1)</x:f>
        <x:v>1</x:v>
      </x:c>
      <x:c r="AP109" s="9" t="n">
        <x:f>MOD(AQ108*16807,2147483647)</x:f>
        <x:v>1303747796</x:v>
      </x:c>
      <x:c r="AQ109" s="9" t="n">
        <x:f>MOD(AP109*16807,2147483647)</x:f>
        <x:v>1313557031</x:v>
      </x:c>
      <x:c r="AR109" s="17" t="n">
        <x:f>IF('Control Room'!$B$5="Normal",'Control Room'!$B$7+'Control Room'!$D$7*SQRT(-2*LN(MAX(0.000000000001,AP109/2147483647)))*COS(2*PI()*AQ109/2147483647),'Control Room'!$B$8+('Control Room'!$D$8-'Control Room'!$B$8)*AP109/2147483647)</x:f>
        <x:v>931.3256217639116</x:v>
      </x:c>
      <x:c r="AS109" s="17" t="n">
        <x:f>IF('Control Room'!$B$5="Normal",'Control Room'!$B$7,('Control Room'!$B$8+'Control Room'!$D$8)/2)+'Control Room'!$B$9*(AS108-IF('Control Room'!$B$5="Normal",'Control Room'!$B$7,('Control Room'!$B$8+'Control Room'!$D$8)/2))+SQRT(1-'Control Room'!$B$9^2)*(AR109-IF('Control Room'!$B$5="Normal",'Control Room'!$B$7,('Control Room'!$B$8+'Control Room'!$D$8)/2))</x:f>
        <x:v>821.1893352607887</x:v>
      </x:c>
      <x:c r="AT109" s="17" t="n">
        <x:f>IF(AND($A109&gt;='Control Room'!$A$13,$A109&lt;'Control Room'!$A$13+'Control Room'!$B$13,'Process'!BS2=1),1+('Control Room'!$C$13-1)*EXP(-0.5*(($A109-'Control Room'!$A$13-('Control Room'!$B$13-1)/2)/MAX(0.5,'Control Room'!$B$13/4))^2),1)*IF(AND($A109&gt;='Control Room'!$A$14,$A109&lt;'Control Room'!$A$14+'Control Room'!$B$14,'Process'!BS3=1),1+('Control Room'!$C$14-1)*EXP(-0.5*(($A109-'Control Room'!$A$14-('Control Room'!$B$14-1)/2)/MAX(0.5,'Control Room'!$B$14/4))^2),1)*IF(AND($A109&gt;='Control Room'!$A$15,$A109&lt;'Control Room'!$A$15+'Control Room'!$B$15,'Process'!BS4=1),1+('Control Room'!$C$15-1)*EXP(-0.5*(($A109-'Control Room'!$A$15-('Control Room'!$B$15-1)/2)/MAX(0.5,'Control Room'!$B$15/4))^2),1)*IF(AND($A109&gt;='Control Room'!$A$16,$A109&lt;'Control Room'!$A$16+'Control Room'!$B$16,'Process'!BS5=1),1+('Control Room'!$C$16-1)*EXP(-0.5*(($A109-'Control Room'!$A$16-('Control Room'!$B$16-1)/2)/MAX(0.5,'Control Room'!$B$16/4))^2),1)</x:f>
        <x:v>1</x:v>
      </x:c>
      <x:c r="AU109" s="9" t="n">
        <x:f>MOD(AV108*16807,2147483647)</x:f>
        <x:v>1565747455</x:v>
      </x:c>
      <x:c r="AV109" s="9" t="n">
        <x:f>MOD(AU109*16807,2147483647)</x:f>
        <x:v>252865847</x:v>
      </x:c>
      <x:c r="AW109" s="17" t="n">
        <x:f>IF('Control Room'!$B$5="Normal",'Control Room'!$B$7+'Control Room'!$D$7*SQRT(-2*LN(MAX(0.000000000001,AU109/2147483647)))*COS(2*PI()*AV109/2147483647),'Control Room'!$B$8+('Control Room'!$D$8-'Control Room'!$B$8)*AU109/2147483647)</x:f>
        <x:v>1052.8383385900531</x:v>
      </x:c>
      <x:c r="AX109" s="17" t="n">
        <x:f>IF('Control Room'!$B$5="Normal",'Control Room'!$B$7,('Control Room'!$B$8+'Control Room'!$D$8)/2)+'Control Room'!$B$9*(AX108-IF('Control Room'!$B$5="Normal",'Control Room'!$B$7,('Control Room'!$B$8+'Control Room'!$D$8)/2))+SQRT(1-'Control Room'!$B$9^2)*(AW109-IF('Control Room'!$B$5="Normal",'Control Room'!$B$7,('Control Room'!$B$8+'Control Room'!$D$8)/2))</x:f>
        <x:v>1088.0197781467466</x:v>
      </x:c>
      <x:c r="AY109" s="17" t="n">
        <x:f>IF(AND($A109&gt;='Control Room'!$A$13,$A109&lt;'Control Room'!$A$13+'Control Room'!$B$13,'Process'!BT2=1),1+('Control Room'!$C$13-1)*EXP(-0.5*(($A109-'Control Room'!$A$13-('Control Room'!$B$13-1)/2)/MAX(0.5,'Control Room'!$B$13/4))^2),1)*IF(AND($A109&gt;='Control Room'!$A$14,$A109&lt;'Control Room'!$A$14+'Control Room'!$B$14,'Process'!BT3=1),1+('Control Room'!$C$14-1)*EXP(-0.5*(($A109-'Control Room'!$A$14-('Control Room'!$B$14-1)/2)/MAX(0.5,'Control Room'!$B$14/4))^2),1)*IF(AND($A109&gt;='Control Room'!$A$15,$A109&lt;'Control Room'!$A$15+'Control Room'!$B$15,'Process'!BT4=1),1+('Control Room'!$C$15-1)*EXP(-0.5*(($A109-'Control Room'!$A$15-('Control Room'!$B$15-1)/2)/MAX(0.5,'Control Room'!$B$15/4))^2),1)*IF(AND($A109&gt;='Control Room'!$A$16,$A109&lt;'Control Room'!$A$16+'Control Room'!$B$16,'Process'!BT5=1),1+('Control Room'!$C$16-1)*EXP(-0.5*(($A109-'Control Room'!$A$16-('Control Room'!$B$16-1)/2)/MAX(0.5,'Control Room'!$B$16/4))^2),1)</x:f>
        <x:v>1</x:v>
      </x:c>
      <x:c r="AZ109" s="9" t="n">
        <x:f>MOD(BA108*16807,2147483647)</x:f>
        <x:v>1827747114</x:v>
      </x:c>
      <x:c r="BA109" s="9" t="n">
        <x:f>MOD(AZ109*16807,2147483647)</x:f>
        <x:v>1339658310</x:v>
      </x:c>
      <x:c r="BB109" s="17" t="n">
        <x:f>IF('Control Room'!$B$5="Normal",'Control Room'!$B$7+'Control Room'!$D$7*SQRT(-2*LN(MAX(0.000000000001,AZ109/2147483647)))*COS(2*PI()*BA109/2147483647),'Control Room'!$B$8+('Control Room'!$D$8-'Control Room'!$B$8)*AZ109/2147483647)</x:f>
        <x:v>963.5984928658504</x:v>
      </x:c>
      <x:c r="BC109" s="17" t="n">
        <x:f>IF('Control Room'!$B$5="Normal",'Control Room'!$B$7,('Control Room'!$B$8+'Control Room'!$D$8)/2)+'Control Room'!$B$9*(BC108-IF('Control Room'!$B$5="Normal",'Control Room'!$B$7,('Control Room'!$B$8+'Control Room'!$D$8)/2))+SQRT(1-'Control Room'!$B$9^2)*(BB109-IF('Control Room'!$B$5="Normal",'Control Room'!$B$7,('Control Room'!$B$8+'Control Room'!$D$8)/2))</x:f>
        <x:v>1113.439493067274</x:v>
      </x:c>
      <x:c r="BD109" s="17" t="n">
        <x:f>IF(AND($A109&gt;='Control Room'!$A$13,$A109&lt;'Control Room'!$A$13+'Control Room'!$B$13,'Process'!BU2=1),1+('Control Room'!$C$13-1)*EXP(-0.5*(($A109-'Control Room'!$A$13-('Control Room'!$B$13-1)/2)/MAX(0.5,'Control Room'!$B$13/4))^2),1)*IF(AND($A109&gt;='Control Room'!$A$14,$A109&lt;'Control Room'!$A$14+'Control Room'!$B$14,'Process'!BU3=1),1+('Control Room'!$C$14-1)*EXP(-0.5*(($A109-'Control Room'!$A$14-('Control Room'!$B$14-1)/2)/MAX(0.5,'Control Room'!$B$14/4))^2),1)*IF(AND($A109&gt;='Control Room'!$A$15,$A109&lt;'Control Room'!$A$15+'Control Room'!$B$15,'Process'!BU4=1),1+('Control Room'!$C$15-1)*EXP(-0.5*(($A109-'Control Room'!$A$15-('Control Room'!$B$15-1)/2)/MAX(0.5,'Control Room'!$B$15/4))^2),1)*IF(AND($A109&gt;='Control Room'!$A$16,$A109&lt;'Control Room'!$A$16+'Control Room'!$B$16,'Process'!BU5=1),1+('Control Room'!$C$16-1)*EXP(-0.5*(($A109-'Control Room'!$A$16-('Control Room'!$B$16-1)/2)/MAX(0.5,'Control Room'!$B$16/4))^2),1)</x:f>
        <x:v>1</x:v>
      </x:c>
      <x:c r="BE109" s="9" t="n">
        <x:f>MOD(BF108*16807,2147483647)</x:f>
        <x:v>2089746773</x:v>
      </x:c>
      <x:c r="BF109" s="9" t="n">
        <x:f>MOD(BE109*16807,2147483647)</x:f>
        <x:v>278967126</x:v>
      </x:c>
      <x:c r="BG109" s="17" t="n">
        <x:f>IF('Control Room'!$B$5="Normal",'Control Room'!$B$7+'Control Room'!$D$7*SQRT(-2*LN(MAX(0.000000000001,BE109/2147483647)))*COS(2*PI()*BF109/2147483647),'Control Room'!$B$8+('Control Room'!$D$8-'Control Room'!$B$8)*BE109/2147483647)</x:f>
        <x:v>1014.3930592417844</x:v>
      </x:c>
      <x:c r="BH109" s="17" t="n">
        <x:f>IF('Control Room'!$B$5="Normal",'Control Room'!$B$7,('Control Room'!$B$8+'Control Room'!$D$8)/2)+'Control Room'!$B$9*(BH108-IF('Control Room'!$B$5="Normal",'Control Room'!$B$7,('Control Room'!$B$8+'Control Room'!$D$8)/2))+SQRT(1-'Control Room'!$B$9^2)*(BG109-IF('Control Room'!$B$5="Normal",'Control Room'!$B$7,('Control Room'!$B$8+'Control Room'!$D$8)/2))</x:f>
        <x:v>965.2994415846682</x:v>
      </x:c>
      <x:c r="BI109" s="17" t="n">
        <x:f>IF(AND($A109&gt;='Control Room'!$A$13,$A109&lt;'Control Room'!$A$13+'Control Room'!$B$13,'Process'!BV2=1),1+('Control Room'!$C$13-1)*EXP(-0.5*(($A109-'Control Room'!$A$13-('Control Room'!$B$13-1)/2)/MAX(0.5,'Control Room'!$B$13/4))^2),1)*IF(AND($A109&gt;='Control Room'!$A$14,$A109&lt;'Control Room'!$A$14+'Control Room'!$B$14,'Process'!BV3=1),1+('Control Room'!$C$14-1)*EXP(-0.5*(($A109-'Control Room'!$A$14-('Control Room'!$B$14-1)/2)/MAX(0.5,'Control Room'!$B$14/4))^2),1)*IF(AND($A109&gt;='Control Room'!$A$15,$A109&lt;'Control Room'!$A$15+'Control Room'!$B$15,'Process'!BV4=1),1+('Control Room'!$C$15-1)*EXP(-0.5*(($A109-'Control Room'!$A$15-('Control Room'!$B$15-1)/2)/MAX(0.5,'Control Room'!$B$15/4))^2),1)*IF(AND($A109&gt;='Control Room'!$A$16,$A109&lt;'Control Room'!$A$16+'Control Room'!$B$16,'Process'!BV5=1),1+('Control Room'!$C$16-1)*EXP(-0.5*(($A109-'Control Room'!$A$16-('Control Room'!$B$16-1)/2)/MAX(0.5,'Control Room'!$B$16/4))^2),1)</x:f>
        <x:v>1</x:v>
      </x:c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Z109" t="str">
        <x:f>IF('Data'!A109="","",TEXT('Data'!A109,"mm-dd"))</x:f>
        <x:v>02-17</x:v>
      </x:c>
    </x:row>
    <x:row r="110" ht="21" customHeight="1">
      <x:c r="A110" s="15" t="n">
        <x:f>'Control Room'!$B$1+108</x:f>
        <x:v>73099</x:v>
      </x:c>
      <x:c r="B110" s="9" t="n">
        <x:f>MOD(C109*16807,2147483647)</x:f>
        <x:v>578483844</x:v>
      </x:c>
      <x:c r="C110" s="9" t="n">
        <x:f>MOD(B110*16807,2147483647)</x:f>
        <x:v>919496139</x:v>
      </x:c>
      <x:c r="D110" s="17" t="n">
        <x:f>IF('Control Room'!$B$5="Normal",'Control Room'!$B$7+'Control Room'!$D$7*SQRT(-2*LN(MAX(0.000000000001,B110/2147483647)))*COS(2*PI()*C110/2147483647),'Control Room'!$B$8+('Control Room'!$D$8-'Control Room'!$B$8)*B110/2147483647)</x:f>
        <x:v>868.8251425266925</x:v>
      </x:c>
      <x:c r="E110" s="17" t="n">
        <x:f>IF('Control Room'!$B$5="Normal",'Control Room'!$B$7,('Control Room'!$B$8+'Control Room'!$D$8)/2)+'Control Room'!$B$9*(E109-IF('Control Room'!$B$5="Normal",'Control Room'!$B$7,('Control Room'!$B$8+'Control Room'!$D$8)/2))+SQRT(1-'Control Room'!$B$9^2)*(D110-IF('Control Room'!$B$5="Normal",'Control Room'!$B$7,('Control Room'!$B$8+'Control Room'!$D$8)/2))</x:f>
        <x:v>858.0923311690697</x:v>
      </x:c>
      <x:c r="F110" s="17" t="n">
        <x:f>IF(AND($A110&gt;='Control Room'!$A$13,$A110&lt;'Control Room'!$A$13+'Control Room'!$B$13,'Process'!BK2=1),1+('Control Room'!$C$13-1)*EXP(-0.5*(($A110-'Control Room'!$A$13-('Control Room'!$B$13-1)/2)/MAX(0.5,'Control Room'!$B$13/4))^2),1)*IF(AND($A110&gt;='Control Room'!$A$14,$A110&lt;'Control Room'!$A$14+'Control Room'!$B$14,'Process'!BK3=1),1+('Control Room'!$C$14-1)*EXP(-0.5*(($A110-'Control Room'!$A$14-('Control Room'!$B$14-1)/2)/MAX(0.5,'Control Room'!$B$14/4))^2),1)*IF(AND($A110&gt;='Control Room'!$A$15,$A110&lt;'Control Room'!$A$15+'Control Room'!$B$15,'Process'!BK4=1),1+('Control Room'!$C$15-1)*EXP(-0.5*(($A110-'Control Room'!$A$15-('Control Room'!$B$15-1)/2)/MAX(0.5,'Control Room'!$B$15/4))^2),1)*IF(AND($A110&gt;='Control Room'!$A$16,$A110&lt;'Control Room'!$A$16+'Control Room'!$B$16,'Process'!BK5=1),1+('Control Room'!$C$16-1)*EXP(-0.5*(($A110-'Control Room'!$A$16-('Control Room'!$B$16-1)/2)/MAX(0.5,'Control Room'!$B$16/4))^2),1)</x:f>
        <x:v>1</x:v>
      </x:c>
      <x:c r="G110" s="9" t="n">
        <x:f>MOD(H109*16807,2147483647)</x:f>
        <x:v>1950991750</x:v>
      </x:c>
      <x:c r="H110" s="9" t="n">
        <x:f>MOD(G110*16807,2147483647)</x:f>
        <x:v>390536207</x:v>
      </x:c>
      <x:c r="I110" s="17" t="n">
        <x:f>IF('Control Room'!$B$5="Normal",'Control Room'!$B$7+'Control Room'!$D$7*SQRT(-2*LN(MAX(0.000000000001,G110/2147483647)))*COS(2*PI()*H110/2147483647),'Control Room'!$B$8+('Control Room'!$D$8-'Control Room'!$B$8)*G110/2147483647)</x:f>
        <x:v>1016.3699299969857</x:v>
      </x:c>
      <x:c r="J110" s="17" t="n">
        <x:f>IF('Control Room'!$B$5="Normal",'Control Room'!$B$7,('Control Room'!$B$8+'Control Room'!$D$8)/2)+'Control Room'!$B$9*(J109-IF('Control Room'!$B$5="Normal",'Control Room'!$B$7,('Control Room'!$B$8+'Control Room'!$D$8)/2))+SQRT(1-'Control Room'!$B$9^2)*(I110-IF('Control Room'!$B$5="Normal",'Control Room'!$B$7,('Control Room'!$B$8+'Control Room'!$D$8)/2))</x:f>
        <x:v>1079.9135445546426</x:v>
      </x:c>
      <x:c r="K110" s="17" t="n">
        <x:f>IF(AND($A110&gt;='Control Room'!$A$13,$A110&lt;'Control Room'!$A$13+'Control Room'!$B$13,'Process'!BL2=1),1+('Control Room'!$C$13-1)*EXP(-0.5*(($A110-'Control Room'!$A$13-('Control Room'!$B$13-1)/2)/MAX(0.5,'Control Room'!$B$13/4))^2),1)*IF(AND($A110&gt;='Control Room'!$A$14,$A110&lt;'Control Room'!$A$14+'Control Room'!$B$14,'Process'!BL3=1),1+('Control Room'!$C$14-1)*EXP(-0.5*(($A110-'Control Room'!$A$14-('Control Room'!$B$14-1)/2)/MAX(0.5,'Control Room'!$B$14/4))^2),1)*IF(AND($A110&gt;='Control Room'!$A$15,$A110&lt;'Control Room'!$A$15+'Control Room'!$B$15,'Process'!BL4=1),1+('Control Room'!$C$15-1)*EXP(-0.5*(($A110-'Control Room'!$A$15-('Control Room'!$B$15-1)/2)/MAX(0.5,'Control Room'!$B$15/4))^2),1)*IF(AND($A110&gt;='Control Room'!$A$16,$A110&lt;'Control Room'!$A$16+'Control Room'!$B$16,'Process'!BL5=1),1+('Control Room'!$C$16-1)*EXP(-0.5*(($A110-'Control Room'!$A$16-('Control Room'!$B$16-1)/2)/MAX(0.5,'Control Room'!$B$16/4))^2),1)</x:f>
        <x:v>1</x:v>
      </x:c>
      <x:c r="L110" s="9" t="n">
        <x:f>MOD(M109*16807,2147483647)</x:f>
        <x:v>1176016009</x:v>
      </x:c>
      <x:c r="M110" s="9" t="n">
        <x:f>MOD(L110*16807,2147483647)</x:f>
        <x:v>2009059922</x:v>
      </x:c>
      <x:c r="N110" s="17" t="n">
        <x:f>IF('Control Room'!$B$5="Normal",'Control Room'!$B$7+'Control Room'!$D$7*SQRT(-2*LN(MAX(0.000000000001,L110/2147483647)))*COS(2*PI()*M110/2147483647),'Control Room'!$B$8+('Control Room'!$D$8-'Control Room'!$B$8)*L110/2147483647)</x:f>
        <x:v>1090.7774440192995</x:v>
      </x:c>
      <x:c r="O110" s="17" t="n">
        <x:f>IF('Control Room'!$B$5="Normal",'Control Room'!$B$7,('Control Room'!$B$8+'Control Room'!$D$8)/2)+'Control Room'!$B$9*(O109-IF('Control Room'!$B$5="Normal",'Control Room'!$B$7,('Control Room'!$B$8+'Control Room'!$D$8)/2))+SQRT(1-'Control Room'!$B$9^2)*(N110-IF('Control Room'!$B$5="Normal",'Control Room'!$B$7,('Control Room'!$B$8+'Control Room'!$D$8)/2))</x:f>
        <x:v>1002.8051022173507</x:v>
      </x:c>
      <x:c r="P110" s="17" t="n">
        <x:f>IF(AND($A110&gt;='Control Room'!$A$13,$A110&lt;'Control Room'!$A$13+'Control Room'!$B$13,'Process'!BM2=1),1+('Control Room'!$C$13-1)*EXP(-0.5*(($A110-'Control Room'!$A$13-('Control Room'!$B$13-1)/2)/MAX(0.5,'Control Room'!$B$13/4))^2),1)*IF(AND($A110&gt;='Control Room'!$A$14,$A110&lt;'Control Room'!$A$14+'Control Room'!$B$14,'Process'!BM3=1),1+('Control Room'!$C$14-1)*EXP(-0.5*(($A110-'Control Room'!$A$14-('Control Room'!$B$14-1)/2)/MAX(0.5,'Control Room'!$B$14/4))^2),1)*IF(AND($A110&gt;='Control Room'!$A$15,$A110&lt;'Control Room'!$A$15+'Control Room'!$B$15,'Process'!BM4=1),1+('Control Room'!$C$15-1)*EXP(-0.5*(($A110-'Control Room'!$A$15-('Control Room'!$B$15-1)/2)/MAX(0.5,'Control Room'!$B$15/4))^2),1)*IF(AND($A110&gt;='Control Room'!$A$16,$A110&lt;'Control Room'!$A$16+'Control Room'!$B$16,'Process'!BM5=1),1+('Control Room'!$C$16-1)*EXP(-0.5*(($A110-'Control Room'!$A$16-('Control Room'!$B$16-1)/2)/MAX(0.5,'Control Room'!$B$16/4))^2),1)</x:f>
        <x:v>1</x:v>
      </x:c>
      <x:c r="Q110" s="9" t="n">
        <x:f>MOD(R109*16807,2147483647)</x:f>
        <x:v>401040268</x:v>
      </x:c>
      <x:c r="R110" s="9" t="n">
        <x:f>MOD(Q110*16807,2147483647)</x:f>
        <x:v>1480099990</x:v>
      </x:c>
      <x:c r="S110" s="17" t="n">
        <x:f>IF('Control Room'!$B$5="Normal",'Control Room'!$B$7+'Control Room'!$D$7*SQRT(-2*LN(MAX(0.000000000001,Q110/2147483647)))*COS(2*PI()*R110/2147483647),'Control Room'!$B$8+('Control Room'!$D$8-'Control Room'!$B$8)*Q110/2147483647)</x:f>
        <x:v>938.5603357850558</x:v>
      </x:c>
      <x:c r="T110" s="17" t="n">
        <x:f>IF('Control Room'!$B$5="Normal",'Control Room'!$B$7,('Control Room'!$B$8+'Control Room'!$D$8)/2)+'Control Room'!$B$9*(T109-IF('Control Room'!$B$5="Normal",'Control Room'!$B$7,('Control Room'!$B$8+'Control Room'!$D$8)/2))+SQRT(1-'Control Room'!$B$9^2)*(S110-IF('Control Room'!$B$5="Normal",'Control Room'!$B$7,('Control Room'!$B$8+'Control Room'!$D$8)/2))</x:f>
        <x:v>945.7870343935101</x:v>
      </x:c>
      <x:c r="U110" s="17" t="n">
        <x:f>IF(AND($A110&gt;='Control Room'!$A$13,$A110&lt;'Control Room'!$A$13+'Control Room'!$B$13,'Process'!BN2=1),1+('Control Room'!$C$13-1)*EXP(-0.5*(($A110-'Control Room'!$A$13-('Control Room'!$B$13-1)/2)/MAX(0.5,'Control Room'!$B$13/4))^2),1)*IF(AND($A110&gt;='Control Room'!$A$14,$A110&lt;'Control Room'!$A$14+'Control Room'!$B$14,'Process'!BN3=1),1+('Control Room'!$C$14-1)*EXP(-0.5*(($A110-'Control Room'!$A$14-('Control Room'!$B$14-1)/2)/MAX(0.5,'Control Room'!$B$14/4))^2),1)*IF(AND($A110&gt;='Control Room'!$A$15,$A110&lt;'Control Room'!$A$15+'Control Room'!$B$15,'Process'!BN4=1),1+('Control Room'!$C$15-1)*EXP(-0.5*(($A110-'Control Room'!$A$15-('Control Room'!$B$15-1)/2)/MAX(0.5,'Control Room'!$B$15/4))^2),1)*IF(AND($A110&gt;='Control Room'!$A$16,$A110&lt;'Control Room'!$A$16+'Control Room'!$B$16,'Process'!BN5=1),1+('Control Room'!$C$16-1)*EXP(-0.5*(($A110-'Control Room'!$A$16-('Control Room'!$B$16-1)/2)/MAX(0.5,'Control Room'!$B$16/4))^2),1)</x:f>
        <x:v>1</x:v>
      </x:c>
      <x:c r="V110" s="9" t="n">
        <x:f>MOD(W109*16807,2147483647)</x:f>
        <x:v>1773548174</x:v>
      </x:c>
      <x:c r="W110" s="9" t="n">
        <x:f>MOD(V110*16807,2147483647)</x:f>
        <x:v>951140058</x:v>
      </x:c>
      <x:c r="X110" s="17" t="n">
        <x:f>IF('Control Room'!$B$5="Normal",'Control Room'!$B$7+'Control Room'!$D$7*SQRT(-2*LN(MAX(0.000000000001,V110/2147483647)))*COS(2*PI()*W110/2147483647),'Control Room'!$B$8+('Control Room'!$D$8-'Control Room'!$B$8)*V110/2147483647)</x:f>
        <x:v>947.8721795153072</x:v>
      </x:c>
      <x:c r="Y110" s="17" t="n">
        <x:f>IF('Control Room'!$B$5="Normal",'Control Room'!$B$7,('Control Room'!$B$8+'Control Room'!$D$8)/2)+'Control Room'!$B$9*(Y109-IF('Control Room'!$B$5="Normal",'Control Room'!$B$7,('Control Room'!$B$8+'Control Room'!$D$8)/2))+SQRT(1-'Control Room'!$B$9^2)*(X110-IF('Control Room'!$B$5="Normal",'Control Room'!$B$7,('Control Room'!$B$8+'Control Room'!$D$8)/2))</x:f>
        <x:v>885.7609826901216</x:v>
      </x:c>
      <x:c r="Z110" s="17" t="n">
        <x:f>IF(AND($A110&gt;='Control Room'!$A$13,$A110&lt;'Control Room'!$A$13+'Control Room'!$B$13,'Process'!BO2=1),1+('Control Room'!$C$13-1)*EXP(-0.5*(($A110-'Control Room'!$A$13-('Control Room'!$B$13-1)/2)/MAX(0.5,'Control Room'!$B$13/4))^2),1)*IF(AND($A110&gt;='Control Room'!$A$14,$A110&lt;'Control Room'!$A$14+'Control Room'!$B$14,'Process'!BO3=1),1+('Control Room'!$C$14-1)*EXP(-0.5*(($A110-'Control Room'!$A$14-('Control Room'!$B$14-1)/2)/MAX(0.5,'Control Room'!$B$14/4))^2),1)*IF(AND($A110&gt;='Control Room'!$A$15,$A110&lt;'Control Room'!$A$15+'Control Room'!$B$15,'Process'!BO4=1),1+('Control Room'!$C$15-1)*EXP(-0.5*(($A110-'Control Room'!$A$15-('Control Room'!$B$15-1)/2)/MAX(0.5,'Control Room'!$B$15/4))^2),1)*IF(AND($A110&gt;='Control Room'!$A$16,$A110&lt;'Control Room'!$A$16+'Control Room'!$B$16,'Process'!BO5=1),1+('Control Room'!$C$16-1)*EXP(-0.5*(($A110-'Control Room'!$A$16-('Control Room'!$B$16-1)/2)/MAX(0.5,'Control Room'!$B$16/4))^2),1)</x:f>
        <x:v>1</x:v>
      </x:c>
      <x:c r="AA110" s="9" t="n">
        <x:f>MOD(AB109*16807,2147483647)</x:f>
        <x:v>998572433</x:v>
      </x:c>
      <x:c r="AB110" s="9" t="n">
        <x:f>MOD(AA110*16807,2147483647)</x:f>
        <x:v>422180126</x:v>
      </x:c>
      <x:c r="AC110" s="17" t="n">
        <x:f>IF('Control Room'!$B$5="Normal",'Control Room'!$B$7+'Control Room'!$D$7*SQRT(-2*LN(MAX(0.000000000001,AA110/2147483647)))*COS(2*PI()*AB110/2147483647),'Control Room'!$B$8+('Control Room'!$D$8-'Control Room'!$B$8)*AA110/2147483647)</x:f>
        <x:v>1036.6767737255843</x:v>
      </x:c>
      <x:c r="AD110" s="17" t="n">
        <x:f>IF('Control Room'!$B$5="Normal",'Control Room'!$B$7,('Control Room'!$B$8+'Control Room'!$D$8)/2)+'Control Room'!$B$9*(AD109-IF('Control Room'!$B$5="Normal",'Control Room'!$B$7,('Control Room'!$B$8+'Control Room'!$D$8)/2))+SQRT(1-'Control Room'!$B$9^2)*(AC110-IF('Control Room'!$B$5="Normal",'Control Room'!$B$7,('Control Room'!$B$8+'Control Room'!$D$8)/2))</x:f>
        <x:v>1167.9992143217498</x:v>
      </x:c>
      <x:c r="AE110" s="17" t="n">
        <x:f>IF(AND($A110&gt;='Control Room'!$A$13,$A110&lt;'Control Room'!$A$13+'Control Room'!$B$13,'Process'!BP2=1),1+('Control Room'!$C$13-1)*EXP(-0.5*(($A110-'Control Room'!$A$13-('Control Room'!$B$13-1)/2)/MAX(0.5,'Control Room'!$B$13/4))^2),1)*IF(AND($A110&gt;='Control Room'!$A$14,$A110&lt;'Control Room'!$A$14+'Control Room'!$B$14,'Process'!BP3=1),1+('Control Room'!$C$14-1)*EXP(-0.5*(($A110-'Control Room'!$A$14-('Control Room'!$B$14-1)/2)/MAX(0.5,'Control Room'!$B$14/4))^2),1)*IF(AND($A110&gt;='Control Room'!$A$15,$A110&lt;'Control Room'!$A$15+'Control Room'!$B$15,'Process'!BP4=1),1+('Control Room'!$C$15-1)*EXP(-0.5*(($A110-'Control Room'!$A$15-('Control Room'!$B$15-1)/2)/MAX(0.5,'Control Room'!$B$15/4))^2),1)*IF(AND($A110&gt;='Control Room'!$A$16,$A110&lt;'Control Room'!$A$16+'Control Room'!$B$16,'Process'!BP5=1),1+('Control Room'!$C$16-1)*EXP(-0.5*(($A110-'Control Room'!$A$16-('Control Room'!$B$16-1)/2)/MAX(0.5,'Control Room'!$B$16/4))^2),1)</x:f>
        <x:v>1</x:v>
      </x:c>
      <x:c r="AF110" s="9" t="n">
        <x:f>MOD(AG109*16807,2147483647)</x:f>
        <x:v>223596692</x:v>
      </x:c>
      <x:c r="AG110" s="9" t="n">
        <x:f>MOD(AF110*16807,2147483647)</x:f>
        <x:v>2040703841</x:v>
      </x:c>
      <x:c r="AH110" s="17" t="n">
        <x:f>IF('Control Room'!$B$5="Normal",'Control Room'!$B$7+'Control Room'!$D$7*SQRT(-2*LN(MAX(0.000000000001,AF110/2147483647)))*COS(2*PI()*AG110/2147483647),'Control Room'!$B$8+('Control Room'!$D$8-'Control Room'!$B$8)*AF110/2147483647)</x:f>
        <x:v>1182.1691287675303</x:v>
      </x:c>
      <x:c r="AI110" s="17" t="n">
        <x:f>IF('Control Room'!$B$5="Normal",'Control Room'!$B$7,('Control Room'!$B$8+'Control Room'!$D$8)/2)+'Control Room'!$B$9*(AI109-IF('Control Room'!$B$5="Normal",'Control Room'!$B$7,('Control Room'!$B$8+'Control Room'!$D$8)/2))+SQRT(1-'Control Room'!$B$9^2)*(AH110-IF('Control Room'!$B$5="Normal",'Control Room'!$B$7,('Control Room'!$B$8+'Control Room'!$D$8)/2))</x:f>
        <x:v>1144.1039258632704</x:v>
      </x:c>
      <x:c r="AJ110" s="17" t="n">
        <x:f>IF(AND($A110&gt;='Control Room'!$A$13,$A110&lt;'Control Room'!$A$13+'Control Room'!$B$13,'Process'!BQ2=1),1+('Control Room'!$C$13-1)*EXP(-0.5*(($A110-'Control Room'!$A$13-('Control Room'!$B$13-1)/2)/MAX(0.5,'Control Room'!$B$13/4))^2),1)*IF(AND($A110&gt;='Control Room'!$A$14,$A110&lt;'Control Room'!$A$14+'Control Room'!$B$14,'Process'!BQ3=1),1+('Control Room'!$C$14-1)*EXP(-0.5*(($A110-'Control Room'!$A$14-('Control Room'!$B$14-1)/2)/MAX(0.5,'Control Room'!$B$14/4))^2),1)*IF(AND($A110&gt;='Control Room'!$A$15,$A110&lt;'Control Room'!$A$15+'Control Room'!$B$15,'Process'!BQ4=1),1+('Control Room'!$C$15-1)*EXP(-0.5*(($A110-'Control Room'!$A$15-('Control Room'!$B$15-1)/2)/MAX(0.5,'Control Room'!$B$15/4))^2),1)*IF(AND($A110&gt;='Control Room'!$A$16,$A110&lt;'Control Room'!$A$16+'Control Room'!$B$16,'Process'!BQ5=1),1+('Control Room'!$C$16-1)*EXP(-0.5*(($A110-'Control Room'!$A$16-('Control Room'!$B$16-1)/2)/MAX(0.5,'Control Room'!$B$16/4))^2),1)</x:f>
        <x:v>1</x:v>
      </x:c>
      <x:c r="AK110" s="9" t="n">
        <x:f>MOD(AL109*16807,2147483647)</x:f>
        <x:v>1596104598</x:v>
      </x:c>
      <x:c r="AL110" s="9" t="n">
        <x:f>MOD(AK110*16807,2147483647)</x:f>
        <x:v>1511743909</x:v>
      </x:c>
      <x:c r="AM110" s="17" t="n">
        <x:f>IF('Control Room'!$B$5="Normal",'Control Room'!$B$7+'Control Room'!$D$7*SQRT(-2*LN(MAX(0.000000000001,AK110/2147483647)))*COS(2*PI()*AL110/2147483647),'Control Room'!$B$8+('Control Room'!$D$8-'Control Room'!$B$8)*AK110/2147483647)</x:f>
        <x:v>980.2223702214517</x:v>
      </x:c>
      <x:c r="AN110" s="17" t="n">
        <x:f>IF('Control Room'!$B$5="Normal",'Control Room'!$B$7,('Control Room'!$B$8+'Control Room'!$D$8)/2)+'Control Room'!$B$9*(AN109-IF('Control Room'!$B$5="Normal",'Control Room'!$B$7,('Control Room'!$B$8+'Control Room'!$D$8)/2))+SQRT(1-'Control Room'!$B$9^2)*(AM110-IF('Control Room'!$B$5="Normal",'Control Room'!$B$7,('Control Room'!$B$8+'Control Room'!$D$8)/2))</x:f>
        <x:v>934.4949950386741</x:v>
      </x:c>
      <x:c r="AO110" s="17" t="n">
        <x:f>IF(AND($A110&gt;='Control Room'!$A$13,$A110&lt;'Control Room'!$A$13+'Control Room'!$B$13,'Process'!BR2=1),1+('Control Room'!$C$13-1)*EXP(-0.5*(($A110-'Control Room'!$A$13-('Control Room'!$B$13-1)/2)/MAX(0.5,'Control Room'!$B$13/4))^2),1)*IF(AND($A110&gt;='Control Room'!$A$14,$A110&lt;'Control Room'!$A$14+'Control Room'!$B$14,'Process'!BR3=1),1+('Control Room'!$C$14-1)*EXP(-0.5*(($A110-'Control Room'!$A$14-('Control Room'!$B$14-1)/2)/MAX(0.5,'Control Room'!$B$14/4))^2),1)*IF(AND($A110&gt;='Control Room'!$A$15,$A110&lt;'Control Room'!$A$15+'Control Room'!$B$15,'Process'!BR4=1),1+('Control Room'!$C$15-1)*EXP(-0.5*(($A110-'Control Room'!$A$15-('Control Room'!$B$15-1)/2)/MAX(0.5,'Control Room'!$B$15/4))^2),1)*IF(AND($A110&gt;='Control Room'!$A$16,$A110&lt;'Control Room'!$A$16+'Control Room'!$B$16,'Process'!BR5=1),1+('Control Room'!$C$16-1)*EXP(-0.5*(($A110-'Control Room'!$A$16-('Control Room'!$B$16-1)/2)/MAX(0.5,'Control Room'!$B$16/4))^2),1)</x:f>
        <x:v>1</x:v>
      </x:c>
      <x:c r="AP110" s="9" t="n">
        <x:f>MOD(AQ109*16807,2147483647)</x:f>
        <x:v>821128857</x:v>
      </x:c>
      <x:c r="AQ110" s="9" t="n">
        <x:f>MOD(AP110*16807,2147483647)</x:f>
        <x:v>982783977</x:v>
      </x:c>
      <x:c r="AR110" s="17" t="n">
        <x:f>IF('Control Room'!$B$5="Normal",'Control Room'!$B$7+'Control Room'!$D$7*SQRT(-2*LN(MAX(0.000000000001,AP110/2147483647)))*COS(2*PI()*AQ110/2147483647),'Control Room'!$B$8+('Control Room'!$D$8-'Control Room'!$B$8)*AP110/2147483647)</x:f>
        <x:v>879.5965401300115</x:v>
      </x:c>
      <x:c r="AS110" s="17" t="n">
        <x:f>IF('Control Room'!$B$5="Normal",'Control Room'!$B$7,('Control Room'!$B$8+'Control Room'!$D$8)/2)+'Control Room'!$B$9*(AS109-IF('Control Room'!$B$5="Normal",'Control Room'!$B$7,('Control Room'!$B$8+'Control Room'!$D$8)/2))+SQRT(1-'Control Room'!$B$9^2)*(AR110-IF('Control Room'!$B$5="Normal",'Control Room'!$B$7,('Control Room'!$B$8+'Control Room'!$D$8)/2))</x:f>
        <x:v>785.1816629157233</x:v>
      </x:c>
      <x:c r="AT110" s="17" t="n">
        <x:f>IF(AND($A110&gt;='Control Room'!$A$13,$A110&lt;'Control Room'!$A$13+'Control Room'!$B$13,'Process'!BS2=1),1+('Control Room'!$C$13-1)*EXP(-0.5*(($A110-'Control Room'!$A$13-('Control Room'!$B$13-1)/2)/MAX(0.5,'Control Room'!$B$13/4))^2),1)*IF(AND($A110&gt;='Control Room'!$A$14,$A110&lt;'Control Room'!$A$14+'Control Room'!$B$14,'Process'!BS3=1),1+('Control Room'!$C$14-1)*EXP(-0.5*(($A110-'Control Room'!$A$14-('Control Room'!$B$14-1)/2)/MAX(0.5,'Control Room'!$B$14/4))^2),1)*IF(AND($A110&gt;='Control Room'!$A$15,$A110&lt;'Control Room'!$A$15+'Control Room'!$B$15,'Process'!BS4=1),1+('Control Room'!$C$15-1)*EXP(-0.5*(($A110-'Control Room'!$A$15-('Control Room'!$B$15-1)/2)/MAX(0.5,'Control Room'!$B$15/4))^2),1)*IF(AND($A110&gt;='Control Room'!$A$16,$A110&lt;'Control Room'!$A$16+'Control Room'!$B$16,'Process'!BS5=1),1+('Control Room'!$C$16-1)*EXP(-0.5*(($A110-'Control Room'!$A$16-('Control Room'!$B$16-1)/2)/MAX(0.5,'Control Room'!$B$16/4))^2),1)</x:f>
        <x:v>1</x:v>
      </x:c>
      <x:c r="AU110" s="9" t="n">
        <x:f>MOD(AV109*16807,2147483647)</x:f>
        <x:v>46153116</x:v>
      </x:c>
      <x:c r="AV110" s="9" t="n">
        <x:f>MOD(AU110*16807,2147483647)</x:f>
        <x:v>453824045</x:v>
      </x:c>
      <x:c r="AW110" s="17" t="n">
        <x:f>IF('Control Room'!$B$5="Normal",'Control Room'!$B$7+'Control Room'!$D$7*SQRT(-2*LN(MAX(0.000000000001,AU110/2147483647)))*COS(2*PI()*AV110/2147483647),'Control Room'!$B$8+('Control Room'!$D$8-'Control Room'!$B$8)*AU110/2147483647)</x:f>
        <x:v>1060.0094193375003</x:v>
      </x:c>
      <x:c r="AX110" s="17" t="n">
        <x:f>IF('Control Room'!$B$5="Normal",'Control Room'!$B$7,('Control Room'!$B$8+'Control Room'!$D$8)/2)+'Control Room'!$B$9*(AX109-IF('Control Room'!$B$5="Normal",'Control Room'!$B$7,('Control Room'!$B$8+'Control Room'!$D$8)/2))+SQRT(1-'Control Room'!$B$9^2)*(AW110-IF('Control Room'!$B$5="Normal",'Control Room'!$B$7,('Control Room'!$B$8+'Control Room'!$D$8)/2))</x:f>
        <x:v>1106.2080922160933</x:v>
      </x:c>
      <x:c r="AY110" s="17" t="n">
        <x:f>IF(AND($A110&gt;='Control Room'!$A$13,$A110&lt;'Control Room'!$A$13+'Control Room'!$B$13,'Process'!BT2=1),1+('Control Room'!$C$13-1)*EXP(-0.5*(($A110-'Control Room'!$A$13-('Control Room'!$B$13-1)/2)/MAX(0.5,'Control Room'!$B$13/4))^2),1)*IF(AND($A110&gt;='Control Room'!$A$14,$A110&lt;'Control Room'!$A$14+'Control Room'!$B$14,'Process'!BT3=1),1+('Control Room'!$C$14-1)*EXP(-0.5*(($A110-'Control Room'!$A$14-('Control Room'!$B$14-1)/2)/MAX(0.5,'Control Room'!$B$14/4))^2),1)*IF(AND($A110&gt;='Control Room'!$A$15,$A110&lt;'Control Room'!$A$15+'Control Room'!$B$15,'Process'!BT4=1),1+('Control Room'!$C$15-1)*EXP(-0.5*(($A110-'Control Room'!$A$15-('Control Room'!$B$15-1)/2)/MAX(0.5,'Control Room'!$B$15/4))^2),1)*IF(AND($A110&gt;='Control Room'!$A$16,$A110&lt;'Control Room'!$A$16+'Control Room'!$B$16,'Process'!BT5=1),1+('Control Room'!$C$16-1)*EXP(-0.5*(($A110-'Control Room'!$A$16-('Control Room'!$B$16-1)/2)/MAX(0.5,'Control Room'!$B$16/4))^2),1)</x:f>
        <x:v>1</x:v>
      </x:c>
      <x:c r="AZ110" s="9" t="n">
        <x:f>MOD(BA109*16807,2147483647)</x:f>
        <x:v>1418661022</x:v>
      </x:c>
      <x:c r="BA110" s="9" t="n">
        <x:f>MOD(AZ110*16807,2147483647)</x:f>
        <x:v>2072347760</x:v>
      </x:c>
      <x:c r="BB110" s="17" t="n">
        <x:f>IF('Control Room'!$B$5="Normal",'Control Room'!$B$7+'Control Room'!$D$7*SQRT(-2*LN(MAX(0.000000000001,AZ110/2147483647)))*COS(2*PI()*BA110/2147483647),'Control Room'!$B$8+('Control Room'!$D$8-'Control Room'!$B$8)*AZ110/2147483647)</x:f>
        <x:v>1079.980399441542</x:v>
      </x:c>
      <x:c r="BC110" s="17" t="n">
        <x:f>IF('Control Room'!$B$5="Normal",'Control Room'!$B$7,('Control Room'!$B$8+'Control Room'!$D$8)/2)+'Control Room'!$B$9*(BC109-IF('Control Room'!$B$5="Normal",'Control Room'!$B$7,('Control Room'!$B$8+'Control Room'!$D$8)/2))+SQRT(1-'Control Room'!$B$9^2)*(BB110-IF('Control Room'!$B$5="Normal",'Control Room'!$B$7,('Control Room'!$B$8+'Control Room'!$D$8)/2))</x:f>
        <x:v>1138.5329000754484</x:v>
      </x:c>
      <x:c r="BD110" s="17" t="n">
        <x:f>IF(AND($A110&gt;='Control Room'!$A$13,$A110&lt;'Control Room'!$A$13+'Control Room'!$B$13,'Process'!BU2=1),1+('Control Room'!$C$13-1)*EXP(-0.5*(($A110-'Control Room'!$A$13-('Control Room'!$B$13-1)/2)/MAX(0.5,'Control Room'!$B$13/4))^2),1)*IF(AND($A110&gt;='Control Room'!$A$14,$A110&lt;'Control Room'!$A$14+'Control Room'!$B$14,'Process'!BU3=1),1+('Control Room'!$C$14-1)*EXP(-0.5*(($A110-'Control Room'!$A$14-('Control Room'!$B$14-1)/2)/MAX(0.5,'Control Room'!$B$14/4))^2),1)*IF(AND($A110&gt;='Control Room'!$A$15,$A110&lt;'Control Room'!$A$15+'Control Room'!$B$15,'Process'!BU4=1),1+('Control Room'!$C$15-1)*EXP(-0.5*(($A110-'Control Room'!$A$15-('Control Room'!$B$15-1)/2)/MAX(0.5,'Control Room'!$B$15/4))^2),1)*IF(AND($A110&gt;='Control Room'!$A$16,$A110&lt;'Control Room'!$A$16+'Control Room'!$B$16,'Process'!BU5=1),1+('Control Room'!$C$16-1)*EXP(-0.5*(($A110-'Control Room'!$A$16-('Control Room'!$B$16-1)/2)/MAX(0.5,'Control Room'!$B$16/4))^2),1)</x:f>
        <x:v>1</x:v>
      </x:c>
      <x:c r="BE110" s="9" t="n">
        <x:f>MOD(BF109*16807,2147483647)</x:f>
        <x:v>643685281</x:v>
      </x:c>
      <x:c r="BF110" s="9" t="n">
        <x:f>MOD(BE110*16807,2147483647)</x:f>
        <x:v>1543387828</x:v>
      </x:c>
      <x:c r="BG110" s="17" t="n">
        <x:f>IF('Control Room'!$B$5="Normal",'Control Room'!$B$7+'Control Room'!$D$7*SQRT(-2*LN(MAX(0.000000000001,BE110/2147483647)))*COS(2*PI()*BF110/2147483647),'Control Room'!$B$8+('Control Room'!$D$8-'Control Room'!$B$8)*BE110/2147483647)</x:f>
        <x:v>972.6977181730359</x:v>
      </x:c>
      <x:c r="BH110" s="17" t="n">
        <x:f>IF('Control Room'!$B$5="Normal",'Control Room'!$B$7,('Control Room'!$B$8+'Control Room'!$D$8)/2)+'Control Room'!$B$9*(BH109-IF('Control Room'!$B$5="Normal",'Control Room'!$B$7,('Control Room'!$B$8+'Control Room'!$D$8)/2))+SQRT(1-'Control Room'!$B$9^2)*(BG110-IF('Control Room'!$B$5="Normal",'Control Room'!$B$7,('Control Room'!$B$8+'Control Room'!$D$8)/2))</x:f>
        <x:v>955.8483557863719</x:v>
      </x:c>
      <x:c r="BI110" s="17" t="n">
        <x:f>IF(AND($A110&gt;='Control Room'!$A$13,$A110&lt;'Control Room'!$A$13+'Control Room'!$B$13,'Process'!BV2=1),1+('Control Room'!$C$13-1)*EXP(-0.5*(($A110-'Control Room'!$A$13-('Control Room'!$B$13-1)/2)/MAX(0.5,'Control Room'!$B$13/4))^2),1)*IF(AND($A110&gt;='Control Room'!$A$14,$A110&lt;'Control Room'!$A$14+'Control Room'!$B$14,'Process'!BV3=1),1+('Control Room'!$C$14-1)*EXP(-0.5*(($A110-'Control Room'!$A$14-('Control Room'!$B$14-1)/2)/MAX(0.5,'Control Room'!$B$14/4))^2),1)*IF(AND($A110&gt;='Control Room'!$A$15,$A110&lt;'Control Room'!$A$15+'Control Room'!$B$15,'Process'!BV4=1),1+('Control Room'!$C$15-1)*EXP(-0.5*(($A110-'Control Room'!$A$15-('Control Room'!$B$15-1)/2)/MAX(0.5,'Control Room'!$B$15/4))^2),1)*IF(AND($A110&gt;='Control Room'!$A$16,$A110&lt;'Control Room'!$A$16+'Control Room'!$B$16,'Process'!BV5=1),1+('Control Room'!$C$16-1)*EXP(-0.5*(($A110-'Control Room'!$A$16-('Control Room'!$B$16-1)/2)/MAX(0.5,'Control Room'!$B$16/4))^2),1)</x:f>
        <x:v>1</x:v>
      </x:c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Z110" t="str">
        <x:f>IF('Data'!A110="","",TEXT('Data'!A110,"mm-dd"))</x:f>
        <x:v>02-18</x:v>
      </x:c>
    </x:row>
    <x:row r="111" ht="21" customHeight="1">
      <x:c r="A111" s="15" t="n">
        <x:f>'Control Room'!$B$1+109</x:f>
        <x:v>73100</x:v>
      </x:c>
      <x:c r="B111" s="9" t="n">
        <x:f>MOD(C110*16807,2147483647)</x:f>
        <x:v>679284361</x:v>
      </x:c>
      <x:c r="C111" s="9" t="n">
        <x:f>MOD(B111*16807,2147483647)</x:f>
        <x:v>709187875</x:v>
      </x:c>
      <x:c r="D111" s="17" t="n">
        <x:f>IF('Control Room'!$B$5="Normal",'Control Room'!$B$7+'Control Room'!$D$7*SQRT(-2*LN(MAX(0.000000000001,B111/2147483647)))*COS(2*PI()*C111/2147483647),'Control Room'!$B$8+('Control Room'!$D$8-'Control Room'!$B$8)*B111/2147483647)</x:f>
        <x:v>934.0342862755509</x:v>
      </x:c>
      <x:c r="E111" s="17" t="n">
        <x:f>IF('Control Room'!$B$5="Normal",'Control Room'!$B$7,('Control Room'!$B$8+'Control Room'!$D$8)/2)+'Control Room'!$B$9*(E110-IF('Control Room'!$B$5="Normal",'Control Room'!$B$7,('Control Room'!$B$8+'Control Room'!$D$8)/2))+SQRT(1-'Control Room'!$B$9^2)*(D111-IF('Control Room'!$B$5="Normal",'Control Room'!$B$7,('Control Room'!$B$8+'Control Room'!$D$8)/2))</x:f>
        <x:v>848.0320260442138</x:v>
      </x:c>
      <x:c r="F111" s="17" t="n">
        <x:f>IF(AND($A111&gt;='Control Room'!$A$13,$A111&lt;'Control Room'!$A$13+'Control Room'!$B$13,'Process'!BK2=1),1+('Control Room'!$C$13-1)*EXP(-0.5*(($A111-'Control Room'!$A$13-('Control Room'!$B$13-1)/2)/MAX(0.5,'Control Room'!$B$13/4))^2),1)*IF(AND($A111&gt;='Control Room'!$A$14,$A111&lt;'Control Room'!$A$14+'Control Room'!$B$14,'Process'!BK3=1),1+('Control Room'!$C$14-1)*EXP(-0.5*(($A111-'Control Room'!$A$14-('Control Room'!$B$14-1)/2)/MAX(0.5,'Control Room'!$B$14/4))^2),1)*IF(AND($A111&gt;='Control Room'!$A$15,$A111&lt;'Control Room'!$A$15+'Control Room'!$B$15,'Process'!BK4=1),1+('Control Room'!$C$15-1)*EXP(-0.5*(($A111-'Control Room'!$A$15-('Control Room'!$B$15-1)/2)/MAX(0.5,'Control Room'!$B$15/4))^2),1)*IF(AND($A111&gt;='Control Room'!$A$16,$A111&lt;'Control Room'!$A$16+'Control Room'!$B$16,'Process'!BK5=1),1+('Control Room'!$C$16-1)*EXP(-0.5*(($A111-'Control Room'!$A$16-('Control Room'!$B$16-1)/2)/MAX(0.5,'Control Room'!$B$16/4))^2),1)</x:f>
        <x:v>1</x:v>
      </x:c>
      <x:c r="G111" s="9" t="n">
        <x:f>MOD(H110*16807,2147483647)</x:f>
        <x:v>1032005817</x:v>
      </x:c>
      <x:c r="H111" s="9" t="n">
        <x:f>MOD(G111*16807,2147483647)</x:f>
        <x:v>1843833147</x:v>
      </x:c>
      <x:c r="I111" s="17" t="n">
        <x:f>IF('Control Room'!$B$5="Normal",'Control Room'!$B$7+'Control Room'!$D$7*SQRT(-2*LN(MAX(0.000000000001,G111/2147483647)))*COS(2*PI()*H111/2147483647),'Control Room'!$B$8+('Control Room'!$D$8-'Control Room'!$B$8)*G111/2147483647)</x:f>
        <x:v>1068.7104242372318</x:v>
      </x:c>
      <x:c r="J111" s="17" t="n">
        <x:f>IF('Control Room'!$B$5="Normal",'Control Room'!$B$7,('Control Room'!$B$8+'Control Room'!$D$8)/2)+'Control Room'!$B$9*(J110-IF('Control Room'!$B$5="Normal",'Control Room'!$B$7,('Control Room'!$B$8+'Control Room'!$D$8)/2))+SQRT(1-'Control Room'!$B$9^2)*(I111-IF('Control Room'!$B$5="Normal",'Control Room'!$B$7,('Control Room'!$B$8+'Control Room'!$D$8)/2))</x:f>
        <x:v>1105.33014063073</x:v>
      </x:c>
      <x:c r="K111" s="17" t="n">
        <x:f>IF(AND($A111&gt;='Control Room'!$A$13,$A111&lt;'Control Room'!$A$13+'Control Room'!$B$13,'Process'!BL2=1),1+('Control Room'!$C$13-1)*EXP(-0.5*(($A111-'Control Room'!$A$13-('Control Room'!$B$13-1)/2)/MAX(0.5,'Control Room'!$B$13/4))^2),1)*IF(AND($A111&gt;='Control Room'!$A$14,$A111&lt;'Control Room'!$A$14+'Control Room'!$B$14,'Process'!BL3=1),1+('Control Room'!$C$14-1)*EXP(-0.5*(($A111-'Control Room'!$A$14-('Control Room'!$B$14-1)/2)/MAX(0.5,'Control Room'!$B$14/4))^2),1)*IF(AND($A111&gt;='Control Room'!$A$15,$A111&lt;'Control Room'!$A$15+'Control Room'!$B$15,'Process'!BL4=1),1+('Control Room'!$C$15-1)*EXP(-0.5*(($A111-'Control Room'!$A$15-('Control Room'!$B$15-1)/2)/MAX(0.5,'Control Room'!$B$15/4))^2),1)*IF(AND($A111&gt;='Control Room'!$A$16,$A111&lt;'Control Room'!$A$16+'Control Room'!$B$16,'Process'!BL5=1),1+('Control Room'!$C$16-1)*EXP(-0.5*(($A111-'Control Room'!$A$16-('Control Room'!$B$16-1)/2)/MAX(0.5,'Control Room'!$B$16/4))^2),1)</x:f>
        <x:v>1</x:v>
      </x:c>
      <x:c r="L111" s="9" t="n">
        <x:f>MOD(M110*16807,2147483647)</x:f>
        <x:v>1384727273</x:v>
      </x:c>
      <x:c r="M111" s="9" t="n">
        <x:f>MOD(L111*16807,2147483647)</x:f>
        <x:v>830994772</x:v>
      </x:c>
      <x:c r="N111" s="17" t="n">
        <x:f>IF('Control Room'!$B$5="Normal",'Control Room'!$B$7+'Control Room'!$D$7*SQRT(-2*LN(MAX(0.000000000001,L111/2147483647)))*COS(2*PI()*M111/2147483647),'Control Room'!$B$8+('Control Room'!$D$8-'Control Room'!$B$8)*L111/2147483647)</x:f>
        <x:v>936.0743404566749</x:v>
      </x:c>
      <x:c r="O111" s="17" t="n">
        <x:f>IF('Control Room'!$B$5="Normal",'Control Room'!$B$7,('Control Room'!$B$8+'Control Room'!$D$8)/2)+'Control Room'!$B$9*(O110-IF('Control Room'!$B$5="Normal",'Control Room'!$B$7,('Control Room'!$B$8+'Control Room'!$D$8)/2))+SQRT(1-'Control Room'!$B$9^2)*(N111-IF('Control Room'!$B$5="Normal",'Control Room'!$B$7,('Control Room'!$B$8+'Control Room'!$D$8)/2))</x:f>
        <x:v>962.184611575639</x:v>
      </x:c>
      <x:c r="P111" s="17" t="n">
        <x:f>IF(AND($A111&gt;='Control Room'!$A$13,$A111&lt;'Control Room'!$A$13+'Control Room'!$B$13,'Process'!BM2=1),1+('Control Room'!$C$13-1)*EXP(-0.5*(($A111-'Control Room'!$A$13-('Control Room'!$B$13-1)/2)/MAX(0.5,'Control Room'!$B$13/4))^2),1)*IF(AND($A111&gt;='Control Room'!$A$14,$A111&lt;'Control Room'!$A$14+'Control Room'!$B$14,'Process'!BM3=1),1+('Control Room'!$C$14-1)*EXP(-0.5*(($A111-'Control Room'!$A$14-('Control Room'!$B$14-1)/2)/MAX(0.5,'Control Room'!$B$14/4))^2),1)*IF(AND($A111&gt;='Control Room'!$A$15,$A111&lt;'Control Room'!$A$15+'Control Room'!$B$15,'Process'!BM4=1),1+('Control Room'!$C$15-1)*EXP(-0.5*(($A111-'Control Room'!$A$15-('Control Room'!$B$15-1)/2)/MAX(0.5,'Control Room'!$B$15/4))^2),1)*IF(AND($A111&gt;='Control Room'!$A$16,$A111&lt;'Control Room'!$A$16+'Control Room'!$B$16,'Process'!BM5=1),1+('Control Room'!$C$16-1)*EXP(-0.5*(($A111-'Control Room'!$A$16-('Control Room'!$B$16-1)/2)/MAX(0.5,'Control Room'!$B$16/4))^2),1)</x:f>
        <x:v>1</x:v>
      </x:c>
      <x:c r="Q111" s="9" t="n">
        <x:f>MOD(R110*16807,2147483647)</x:f>
        <x:v>1737448729</x:v>
      </x:c>
      <x:c r="R111" s="9" t="n">
        <x:f>MOD(Q111*16807,2147483647)</x:f>
        <x:v>1965640044</x:v>
      </x:c>
      <x:c r="S111" s="17" t="n">
        <x:f>IF('Control Room'!$B$5="Normal",'Control Room'!$B$7+'Control Room'!$D$7*SQRT(-2*LN(MAX(0.000000000001,Q111/2147483647)))*COS(2*PI()*R111/2147483647),'Control Room'!$B$8+('Control Room'!$D$8-'Control Room'!$B$8)*Q111/2147483647)</x:f>
        <x:v>1050.4886364739657</x:v>
      </x:c>
      <x:c r="T111" s="17" t="n">
        <x:f>IF('Control Room'!$B$5="Normal",'Control Room'!$B$7,('Control Room'!$B$8+'Control Room'!$D$8)/2)+'Control Room'!$B$9*(T110-IF('Control Room'!$B$5="Normal",'Control Room'!$B$7,('Control Room'!$B$8+'Control Room'!$D$8)/2))+SQRT(1-'Control Room'!$B$9^2)*(S111-IF('Control Room'!$B$5="Normal",'Control Room'!$B$7,('Control Room'!$B$8+'Control Room'!$D$8)/2))</x:f>
        <x:v>989.3086412164074</x:v>
      </x:c>
      <x:c r="U111" s="17" t="n">
        <x:f>IF(AND($A111&gt;='Control Room'!$A$13,$A111&lt;'Control Room'!$A$13+'Control Room'!$B$13,'Process'!BN2=1),1+('Control Room'!$C$13-1)*EXP(-0.5*(($A111-'Control Room'!$A$13-('Control Room'!$B$13-1)/2)/MAX(0.5,'Control Room'!$B$13/4))^2),1)*IF(AND($A111&gt;='Control Room'!$A$14,$A111&lt;'Control Room'!$A$14+'Control Room'!$B$14,'Process'!BN3=1),1+('Control Room'!$C$14-1)*EXP(-0.5*(($A111-'Control Room'!$A$14-('Control Room'!$B$14-1)/2)/MAX(0.5,'Control Room'!$B$14/4))^2),1)*IF(AND($A111&gt;='Control Room'!$A$15,$A111&lt;'Control Room'!$A$15+'Control Room'!$B$15,'Process'!BN4=1),1+('Control Room'!$C$15-1)*EXP(-0.5*(($A111-'Control Room'!$A$15-('Control Room'!$B$15-1)/2)/MAX(0.5,'Control Room'!$B$15/4))^2),1)*IF(AND($A111&gt;='Control Room'!$A$16,$A111&lt;'Control Room'!$A$16+'Control Room'!$B$16,'Process'!BN5=1),1+('Control Room'!$C$16-1)*EXP(-0.5*(($A111-'Control Room'!$A$16-('Control Room'!$B$16-1)/2)/MAX(0.5,'Control Room'!$B$16/4))^2),1)</x:f>
        <x:v>1</x:v>
      </x:c>
      <x:c r="V111" s="9" t="n">
        <x:f>MOD(W110*16807,2147483647)</x:f>
        <x:v>2090170185</x:v>
      </x:c>
      <x:c r="W111" s="9" t="n">
        <x:f>MOD(V111*16807,2147483647)</x:f>
        <x:v>952801669</x:v>
      </x:c>
      <x:c r="X111" s="17" t="n">
        <x:f>IF('Control Room'!$B$5="Normal",'Control Room'!$B$7+'Control Room'!$D$7*SQRT(-2*LN(MAX(0.000000000001,V111/2147483647)))*COS(2*PI()*W111/2147483647),'Control Room'!$B$8+('Control Room'!$D$8-'Control Room'!$B$8)*V111/2147483647)</x:f>
        <x:v>980.3630015416463</x:v>
      </x:c>
      <x:c r="Y111" s="17" t="n">
        <x:f>IF('Control Room'!$B$5="Normal",'Control Room'!$B$7,('Control Room'!$B$8+'Control Room'!$D$8)/2)+'Control Room'!$B$9*(Y110-IF('Control Room'!$B$5="Normal",'Control Room'!$B$7,('Control Room'!$B$8+'Control Room'!$D$8)/2))+SQRT(1-'Control Room'!$B$9^2)*(X111-IF('Control Room'!$B$5="Normal",'Control Room'!$B$7,('Control Room'!$B$8+'Control Room'!$D$8)/2))</x:f>
        <x:v>898.6051351488367</x:v>
      </x:c>
      <x:c r="Z111" s="17" t="n">
        <x:f>IF(AND($A111&gt;='Control Room'!$A$13,$A111&lt;'Control Room'!$A$13+'Control Room'!$B$13,'Process'!BO2=1),1+('Control Room'!$C$13-1)*EXP(-0.5*(($A111-'Control Room'!$A$13-('Control Room'!$B$13-1)/2)/MAX(0.5,'Control Room'!$B$13/4))^2),1)*IF(AND($A111&gt;='Control Room'!$A$14,$A111&lt;'Control Room'!$A$14+'Control Room'!$B$14,'Process'!BO3=1),1+('Control Room'!$C$14-1)*EXP(-0.5*(($A111-'Control Room'!$A$14-('Control Room'!$B$14-1)/2)/MAX(0.5,'Control Room'!$B$14/4))^2),1)*IF(AND($A111&gt;='Control Room'!$A$15,$A111&lt;'Control Room'!$A$15+'Control Room'!$B$15,'Process'!BO4=1),1+('Control Room'!$C$15-1)*EXP(-0.5*(($A111-'Control Room'!$A$15-('Control Room'!$B$15-1)/2)/MAX(0.5,'Control Room'!$B$15/4))^2),1)*IF(AND($A111&gt;='Control Room'!$A$16,$A111&lt;'Control Room'!$A$16+'Control Room'!$B$16,'Process'!BO5=1),1+('Control Room'!$C$16-1)*EXP(-0.5*(($A111-'Control Room'!$A$16-('Control Room'!$B$16-1)/2)/MAX(0.5,'Control Room'!$B$16/4))^2),1)</x:f>
        <x:v>1</x:v>
      </x:c>
      <x:c r="AA111" s="9" t="n">
        <x:f>MOD(AB110*16807,2147483647)</x:f>
        <x:v>295407994</x:v>
      </x:c>
      <x:c r="AB111" s="9" t="n">
        <x:f>MOD(AA111*16807,2147483647)</x:f>
        <x:v>2087446941</x:v>
      </x:c>
      <x:c r="AC111" s="17" t="n">
        <x:f>IF('Control Room'!$B$5="Normal",'Control Room'!$B$7+'Control Room'!$D$7*SQRT(-2*LN(MAX(0.000000000001,AA111/2147483647)))*COS(2*PI()*AB111/2147483647),'Control Room'!$B$8+('Control Room'!$D$8-'Control Room'!$B$8)*AA111/2147483647)</x:f>
        <x:v>1176.5062007142014</x:v>
      </x:c>
      <x:c r="AD111" s="17" t="n">
        <x:f>IF('Control Room'!$B$5="Normal",'Control Room'!$B$7,('Control Room'!$B$8+'Control Room'!$D$8)/2)+'Control Room'!$B$9*(AD110-IF('Control Room'!$B$5="Normal",'Control Room'!$B$7,('Control Room'!$B$8+'Control Room'!$D$8)/2))+SQRT(1-'Control Room'!$B$9^2)*(AC111-IF('Control Room'!$B$5="Normal",'Control Room'!$B$7,('Control Room'!$B$8+'Control Room'!$D$8)/2))</x:f>
        <x:v>1241.4933516518474</x:v>
      </x:c>
      <x:c r="AE111" s="17" t="n">
        <x:f>IF(AND($A111&gt;='Control Room'!$A$13,$A111&lt;'Control Room'!$A$13+'Control Room'!$B$13,'Process'!BP2=1),1+('Control Room'!$C$13-1)*EXP(-0.5*(($A111-'Control Room'!$A$13-('Control Room'!$B$13-1)/2)/MAX(0.5,'Control Room'!$B$13/4))^2),1)*IF(AND($A111&gt;='Control Room'!$A$14,$A111&lt;'Control Room'!$A$14+'Control Room'!$B$14,'Process'!BP3=1),1+('Control Room'!$C$14-1)*EXP(-0.5*(($A111-'Control Room'!$A$14-('Control Room'!$B$14-1)/2)/MAX(0.5,'Control Room'!$B$14/4))^2),1)*IF(AND($A111&gt;='Control Room'!$A$15,$A111&lt;'Control Room'!$A$15+'Control Room'!$B$15,'Process'!BP4=1),1+('Control Room'!$C$15-1)*EXP(-0.5*(($A111-'Control Room'!$A$15-('Control Room'!$B$15-1)/2)/MAX(0.5,'Control Room'!$B$15/4))^2),1)*IF(AND($A111&gt;='Control Room'!$A$16,$A111&lt;'Control Room'!$A$16+'Control Room'!$B$16,'Process'!BP5=1),1+('Control Room'!$C$16-1)*EXP(-0.5*(($A111-'Control Room'!$A$16-('Control Room'!$B$16-1)/2)/MAX(0.5,'Control Room'!$B$16/4))^2),1)</x:f>
        <x:v>1</x:v>
      </x:c>
      <x:c r="AF111" s="9" t="n">
        <x:f>MOD(AG110*16807,2147483647)</x:f>
        <x:v>648129450</x:v>
      </x:c>
      <x:c r="AG111" s="9" t="n">
        <x:f>MOD(AF111*16807,2147483647)</x:f>
        <x:v>1074608566</x:v>
      </x:c>
      <x:c r="AH111" s="17" t="n">
        <x:f>IF('Control Room'!$B$5="Normal",'Control Room'!$B$7+'Control Room'!$D$7*SQRT(-2*LN(MAX(0.000000000001,AF111/2147483647)))*COS(2*PI()*AG111/2147483647),'Control Room'!$B$8+('Control Room'!$D$8-'Control Room'!$B$8)*AF111/2147483647)</x:f>
        <x:v>860.6915185049734</x:v>
      </x:c>
      <x:c r="AI111" s="17" t="n">
        <x:f>IF('Control Room'!$B$5="Normal",'Control Room'!$B$7,('Control Room'!$B$8+'Control Room'!$D$8)/2)+'Control Room'!$B$9*(AI110-IF('Control Room'!$B$5="Normal",'Control Room'!$B$7,('Control Room'!$B$8+'Control Room'!$D$8)/2))+SQRT(1-'Control Room'!$B$9^2)*(AH111-IF('Control Room'!$B$5="Normal",'Control Room'!$B$7,('Control Room'!$B$8+'Control Room'!$D$8)/2))</x:f>
        <x:v>1025.2246683431295</x:v>
      </x:c>
      <x:c r="AJ111" s="17" t="n">
        <x:f>IF(AND($A111&gt;='Control Room'!$A$13,$A111&lt;'Control Room'!$A$13+'Control Room'!$B$13,'Process'!BQ2=1),1+('Control Room'!$C$13-1)*EXP(-0.5*(($A111-'Control Room'!$A$13-('Control Room'!$B$13-1)/2)/MAX(0.5,'Control Room'!$B$13/4))^2),1)*IF(AND($A111&gt;='Control Room'!$A$14,$A111&lt;'Control Room'!$A$14+'Control Room'!$B$14,'Process'!BQ3=1),1+('Control Room'!$C$14-1)*EXP(-0.5*(($A111-'Control Room'!$A$14-('Control Room'!$B$14-1)/2)/MAX(0.5,'Control Room'!$B$14/4))^2),1)*IF(AND($A111&gt;='Control Room'!$A$15,$A111&lt;'Control Room'!$A$15+'Control Room'!$B$15,'Process'!BQ4=1),1+('Control Room'!$C$15-1)*EXP(-0.5*(($A111-'Control Room'!$A$15-('Control Room'!$B$15-1)/2)/MAX(0.5,'Control Room'!$B$15/4))^2),1)*IF(AND($A111&gt;='Control Room'!$A$16,$A111&lt;'Control Room'!$A$16+'Control Room'!$B$16,'Process'!BQ5=1),1+('Control Room'!$C$16-1)*EXP(-0.5*(($A111-'Control Room'!$A$16-('Control Room'!$B$16-1)/2)/MAX(0.5,'Control Room'!$B$16/4))^2),1)</x:f>
        <x:v>1</x:v>
      </x:c>
      <x:c r="AK111" s="9" t="n">
        <x:f>MOD(AL110*16807,2147483647)</x:f>
        <x:v>1000850906</x:v>
      </x:c>
      <x:c r="AL111" s="9" t="n">
        <x:f>MOD(AK111*16807,2147483647)</x:f>
        <x:v>61770191</x:v>
      </x:c>
      <x:c r="AM111" s="17" t="n">
        <x:f>IF('Control Room'!$B$5="Normal",'Control Room'!$B$7+'Control Room'!$D$7*SQRT(-2*LN(MAX(0.000000000001,AK111/2147483647)))*COS(2*PI()*AL111/2147483647),'Control Room'!$B$8+('Control Room'!$D$8-'Control Room'!$B$8)*AK111/2147483647)</x:f>
        <x:v>1109.399432502469</x:v>
      </x:c>
      <x:c r="AN111" s="17" t="n">
        <x:f>IF('Control Room'!$B$5="Normal",'Control Room'!$B$7,('Control Room'!$B$8+'Control Room'!$D$8)/2)+'Control Room'!$B$9*(AN110-IF('Control Room'!$B$5="Normal",'Control Room'!$B$7,('Control Room'!$B$8+'Control Room'!$D$8)/2))+SQRT(1-'Control Room'!$B$9^2)*(AM111-IF('Control Room'!$B$5="Normal",'Control Room'!$B$7,('Control Room'!$B$8+'Control Room'!$D$8)/2))</x:f>
        <x:v>1017.3660198210176</x:v>
      </x:c>
      <x:c r="AO111" s="17" t="n">
        <x:f>IF(AND($A111&gt;='Control Room'!$A$13,$A111&lt;'Control Room'!$A$13+'Control Room'!$B$13,'Process'!BR2=1),1+('Control Room'!$C$13-1)*EXP(-0.5*(($A111-'Control Room'!$A$13-('Control Room'!$B$13-1)/2)/MAX(0.5,'Control Room'!$B$13/4))^2),1)*IF(AND($A111&gt;='Control Room'!$A$14,$A111&lt;'Control Room'!$A$14+'Control Room'!$B$14,'Process'!BR3=1),1+('Control Room'!$C$14-1)*EXP(-0.5*(($A111-'Control Room'!$A$14-('Control Room'!$B$14-1)/2)/MAX(0.5,'Control Room'!$B$14/4))^2),1)*IF(AND($A111&gt;='Control Room'!$A$15,$A111&lt;'Control Room'!$A$15+'Control Room'!$B$15,'Process'!BR4=1),1+('Control Room'!$C$15-1)*EXP(-0.5*(($A111-'Control Room'!$A$15-('Control Room'!$B$15-1)/2)/MAX(0.5,'Control Room'!$B$15/4))^2),1)*IF(AND($A111&gt;='Control Room'!$A$16,$A111&lt;'Control Room'!$A$16+'Control Room'!$B$16,'Process'!BR5=1),1+('Control Room'!$C$16-1)*EXP(-0.5*(($A111-'Control Room'!$A$16-('Control Room'!$B$16-1)/2)/MAX(0.5,'Control Room'!$B$16/4))^2),1)</x:f>
        <x:v>1</x:v>
      </x:c>
      <x:c r="AP111" s="9" t="n">
        <x:f>MOD(AQ110*16807,2147483647)</x:f>
        <x:v>1353572362</x:v>
      </x:c>
      <x:c r="AQ111" s="9" t="n">
        <x:f>MOD(AP111*16807,2147483647)</x:f>
        <x:v>1196415463</x:v>
      </x:c>
      <x:c r="AR111" s="17" t="n">
        <x:f>IF('Control Room'!$B$5="Normal",'Control Room'!$B$7+'Control Room'!$D$7*SQRT(-2*LN(MAX(0.000000000001,AP111/2147483647)))*COS(2*PI()*AQ111/2147483647),'Control Room'!$B$8+('Control Room'!$D$8-'Control Room'!$B$8)*AP111/2147483647)</x:f>
        <x:v>919.0400218346283</x:v>
      </x:c>
      <x:c r="AS111" s="17" t="n">
        <x:f>IF('Control Room'!$B$5="Normal",'Control Room'!$B$7,('Control Room'!$B$8+'Control Room'!$D$8)/2)+'Control Room'!$B$9*(AS110-IF('Control Room'!$B$5="Normal",'Control Room'!$B$7,('Control Room'!$B$8+'Control Room'!$D$8)/2))+SQRT(1-'Control Room'!$B$9^2)*(AR111-IF('Control Room'!$B$5="Normal",'Control Room'!$B$7,('Control Room'!$B$8+'Control Room'!$D$8)/2))</x:f>
        <x:v>781.7786012936779</x:v>
      </x:c>
      <x:c r="AT111" s="17" t="n">
        <x:f>IF(AND($A111&gt;='Control Room'!$A$13,$A111&lt;'Control Room'!$A$13+'Control Room'!$B$13,'Process'!BS2=1),1+('Control Room'!$C$13-1)*EXP(-0.5*(($A111-'Control Room'!$A$13-('Control Room'!$B$13-1)/2)/MAX(0.5,'Control Room'!$B$13/4))^2),1)*IF(AND($A111&gt;='Control Room'!$A$14,$A111&lt;'Control Room'!$A$14+'Control Room'!$B$14,'Process'!BS3=1),1+('Control Room'!$C$14-1)*EXP(-0.5*(($A111-'Control Room'!$A$14-('Control Room'!$B$14-1)/2)/MAX(0.5,'Control Room'!$B$14/4))^2),1)*IF(AND($A111&gt;='Control Room'!$A$15,$A111&lt;'Control Room'!$A$15+'Control Room'!$B$15,'Process'!BS4=1),1+('Control Room'!$C$15-1)*EXP(-0.5*(($A111-'Control Room'!$A$15-('Control Room'!$B$15-1)/2)/MAX(0.5,'Control Room'!$B$15/4))^2),1)*IF(AND($A111&gt;='Control Room'!$A$16,$A111&lt;'Control Room'!$A$16+'Control Room'!$B$16,'Process'!BS5=1),1+('Control Room'!$C$16-1)*EXP(-0.5*(($A111-'Control Room'!$A$16-('Control Room'!$B$16-1)/2)/MAX(0.5,'Control Room'!$B$16/4))^2),1)</x:f>
        <x:v>1</x:v>
      </x:c>
      <x:c r="AU111" s="9" t="n">
        <x:f>MOD(AV110*16807,2147483647)</x:f>
        <x:v>1706293818</x:v>
      </x:c>
      <x:c r="AV111" s="9" t="n">
        <x:f>MOD(AU111*16807,2147483647)</x:f>
        <x:v>183577088</x:v>
      </x:c>
      <x:c r="AW111" s="17" t="n">
        <x:f>IF('Control Room'!$B$5="Normal",'Control Room'!$B$7+'Control Room'!$D$7*SQRT(-2*LN(MAX(0.000000000001,AU111/2147483647)))*COS(2*PI()*AV111/2147483647),'Control Room'!$B$8+('Control Room'!$D$8-'Control Room'!$B$8)*AU111/2147483647)</x:f>
        <x:v>1052.4425793663008</x:v>
      </x:c>
      <x:c r="AX111" s="17" t="n">
        <x:f>IF('Control Room'!$B$5="Normal",'Control Room'!$B$7,('Control Room'!$B$8+'Control Room'!$D$8)/2)+'Control Room'!$B$9*(AX110-IF('Control Room'!$B$5="Normal",'Control Room'!$B$7,('Control Room'!$B$8+'Control Room'!$D$8)/2))+SQRT(1-'Control Room'!$B$9^2)*(AW111-IF('Control Room'!$B$5="Normal",'Control Room'!$B$7,('Control Room'!$B$8+'Control Room'!$D$8)/2))</x:f>
        <x:v>1115.6598037513497</x:v>
      </x:c>
      <x:c r="AY111" s="17" t="n">
        <x:f>IF(AND($A111&gt;='Control Room'!$A$13,$A111&lt;'Control Room'!$A$13+'Control Room'!$B$13,'Process'!BT2=1),1+('Control Room'!$C$13-1)*EXP(-0.5*(($A111-'Control Room'!$A$13-('Control Room'!$B$13-1)/2)/MAX(0.5,'Control Room'!$B$13/4))^2),1)*IF(AND($A111&gt;='Control Room'!$A$14,$A111&lt;'Control Room'!$A$14+'Control Room'!$B$14,'Process'!BT3=1),1+('Control Room'!$C$14-1)*EXP(-0.5*(($A111-'Control Room'!$A$14-('Control Room'!$B$14-1)/2)/MAX(0.5,'Control Room'!$B$14/4))^2),1)*IF(AND($A111&gt;='Control Room'!$A$15,$A111&lt;'Control Room'!$A$15+'Control Room'!$B$15,'Process'!BT4=1),1+('Control Room'!$C$15-1)*EXP(-0.5*(($A111-'Control Room'!$A$15-('Control Room'!$B$15-1)/2)/MAX(0.5,'Control Room'!$B$15/4))^2),1)*IF(AND($A111&gt;='Control Room'!$A$16,$A111&lt;'Control Room'!$A$16+'Control Room'!$B$16,'Process'!BT5=1),1+('Control Room'!$C$16-1)*EXP(-0.5*(($A111-'Control Room'!$A$16-('Control Room'!$B$16-1)/2)/MAX(0.5,'Control Room'!$B$16/4))^2),1)</x:f>
        <x:v>1</x:v>
      </x:c>
      <x:c r="AZ111" s="9" t="n">
        <x:f>MOD(BA110*16807,2147483647)</x:f>
        <x:v>2059015274</x:v>
      </x:c>
      <x:c r="BA111" s="9" t="n">
        <x:f>MOD(AZ111*16807,2147483647)</x:f>
        <x:v>1318222360</x:v>
      </x:c>
      <x:c r="BB111" s="17" t="n">
        <x:f>IF('Control Room'!$B$5="Normal",'Control Room'!$B$7+'Control Room'!$D$7*SQRT(-2*LN(MAX(0.000000000001,AZ111/2147483647)))*COS(2*PI()*BA111/2147483647),'Control Room'!$B$8+('Control Room'!$D$8-'Control Room'!$B$8)*AZ111/2147483647)</x:f>
        <x:v>980.2929413039552</x:v>
      </x:c>
      <x:c r="BC111" s="17" t="n">
        <x:f>IF('Control Room'!$B$5="Normal",'Control Room'!$B$7,('Control Room'!$B$8+'Control Room'!$D$8)/2)+'Control Room'!$B$9*(BC110-IF('Control Room'!$B$5="Normal",'Control Room'!$B$7,('Control Room'!$B$8+'Control Room'!$D$8)/2))+SQRT(1-'Control Room'!$B$9^2)*(BB111-IF('Control Room'!$B$5="Normal",'Control Room'!$B$7,('Control Room'!$B$8+'Control Room'!$D$8)/2))</x:f>
        <x:v>1095.7233884479065</x:v>
      </x:c>
      <x:c r="BD111" s="17" t="n">
        <x:f>IF(AND($A111&gt;='Control Room'!$A$13,$A111&lt;'Control Room'!$A$13+'Control Room'!$B$13,'Process'!BU2=1),1+('Control Room'!$C$13-1)*EXP(-0.5*(($A111-'Control Room'!$A$13-('Control Room'!$B$13-1)/2)/MAX(0.5,'Control Room'!$B$13/4))^2),1)*IF(AND($A111&gt;='Control Room'!$A$14,$A111&lt;'Control Room'!$A$14+'Control Room'!$B$14,'Process'!BU3=1),1+('Control Room'!$C$14-1)*EXP(-0.5*(($A111-'Control Room'!$A$14-('Control Room'!$B$14-1)/2)/MAX(0.5,'Control Room'!$B$14/4))^2),1)*IF(AND($A111&gt;='Control Room'!$A$15,$A111&lt;'Control Room'!$A$15+'Control Room'!$B$15,'Process'!BU4=1),1+('Control Room'!$C$15-1)*EXP(-0.5*(($A111-'Control Room'!$A$15-('Control Room'!$B$15-1)/2)/MAX(0.5,'Control Room'!$B$15/4))^2),1)*IF(AND($A111&gt;='Control Room'!$A$16,$A111&lt;'Control Room'!$A$16+'Control Room'!$B$16,'Process'!BU5=1),1+('Control Room'!$C$16-1)*EXP(-0.5*(($A111-'Control Room'!$A$16-('Control Room'!$B$16-1)/2)/MAX(0.5,'Control Room'!$B$16/4))^2),1)</x:f>
        <x:v>1</x:v>
      </x:c>
      <x:c r="BE111" s="9" t="n">
        <x:f>MOD(BF110*16807,2147483647)</x:f>
        <x:v>264253083</x:v>
      </x:c>
      <x:c r="BF111" s="9" t="n">
        <x:f>MOD(BE111*16807,2147483647)</x:f>
        <x:v>305383985</x:v>
      </x:c>
      <x:c r="BG111" s="17" t="n">
        <x:f>IF('Control Room'!$B$5="Normal",'Control Room'!$B$7+'Control Room'!$D$7*SQRT(-2*LN(MAX(0.000000000001,BE111/2147483647)))*COS(2*PI()*BF111/2147483647),'Control Room'!$B$8+('Control Room'!$D$8-'Control Room'!$B$8)*BE111/2147483647)</x:f>
        <x:v>1115.4554143045013</x:v>
      </x:c>
      <x:c r="BH111" s="17" t="n">
        <x:f>IF('Control Room'!$B$5="Normal",'Control Room'!$B$7,('Control Room'!$B$8+'Control Room'!$D$8)/2)+'Control Room'!$B$9*(BH110-IF('Control Room'!$B$5="Normal",'Control Room'!$B$7,('Control Room'!$B$8+'Control Room'!$D$8)/2))+SQRT(1-'Control Room'!$B$9^2)*(BG111-IF('Control Room'!$B$5="Normal",'Control Room'!$B$7,('Control Room'!$B$8+'Control Room'!$D$8)/2))</x:f>
        <x:v>1037.8113505524032</x:v>
      </x:c>
      <x:c r="BI111" s="17" t="n">
        <x:f>IF(AND($A111&gt;='Control Room'!$A$13,$A111&lt;'Control Room'!$A$13+'Control Room'!$B$13,'Process'!BV2=1),1+('Control Room'!$C$13-1)*EXP(-0.5*(($A111-'Control Room'!$A$13-('Control Room'!$B$13-1)/2)/MAX(0.5,'Control Room'!$B$13/4))^2),1)*IF(AND($A111&gt;='Control Room'!$A$14,$A111&lt;'Control Room'!$A$14+'Control Room'!$B$14,'Process'!BV3=1),1+('Control Room'!$C$14-1)*EXP(-0.5*(($A111-'Control Room'!$A$14-('Control Room'!$B$14-1)/2)/MAX(0.5,'Control Room'!$B$14/4))^2),1)*IF(AND($A111&gt;='Control Room'!$A$15,$A111&lt;'Control Room'!$A$15+'Control Room'!$B$15,'Process'!BV4=1),1+('Control Room'!$C$15-1)*EXP(-0.5*(($A111-'Control Room'!$A$15-('Control Room'!$B$15-1)/2)/MAX(0.5,'Control Room'!$B$15/4))^2),1)*IF(AND($A111&gt;='Control Room'!$A$16,$A111&lt;'Control Room'!$A$16+'Control Room'!$B$16,'Process'!BV5=1),1+('Control Room'!$C$16-1)*EXP(-0.5*(($A111-'Control Room'!$A$16-('Control Room'!$B$16-1)/2)/MAX(0.5,'Control Room'!$B$16/4))^2),1)</x:f>
        <x:v>1</x:v>
      </x:c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Z111" t="str">
        <x:f>IF('Data'!A111="","",TEXT('Data'!A111,"mm-dd"))</x:f>
        <x:v>02-19</x:v>
      </x:c>
    </x:row>
    <x:row r="112" ht="21" customHeight="1">
      <x:c r="A112" s="15" t="n">
        <x:f>'Control Room'!$B$1+110</x:f>
        <x:v>73101</x:v>
      </x:c>
      <x:c r="B112" s="9" t="n">
        <x:f>MOD(C111*16807,2147483647)</x:f>
        <x:v>786374275</x:v>
      </x:c>
      <x:c r="C112" s="9" t="n">
        <x:f>MOD(B112*16807,2147483647)</x:f>
        <x:v>978076287</x:v>
      </x:c>
      <x:c r="D112" s="17" t="n">
        <x:f>IF('Control Room'!$B$5="Normal",'Control Room'!$B$7+'Control Room'!$D$7*SQRT(-2*LN(MAX(0.000000000001,B112/2147483647)))*COS(2*PI()*C112/2147483647),'Control Room'!$B$8+('Control Room'!$D$8-'Control Room'!$B$8)*B112/2147483647)</x:f>
        <x:v>877.3919580795935</x:v>
      </x:c>
      <x:c r="E112" s="17" t="n">
        <x:f>IF('Control Room'!$B$5="Normal",'Control Room'!$B$7,('Control Room'!$B$8+'Control Room'!$D$8)/2)+'Control Room'!$B$9*(E111-IF('Control Room'!$B$5="Normal",'Control Room'!$B$7,('Control Room'!$B$8+'Control Room'!$D$8)/2))+SQRT(1-'Control Room'!$B$9^2)*(D112-IF('Control Room'!$B$5="Normal",'Control Room'!$B$7,('Control Room'!$B$8+'Control Room'!$D$8)/2))</x:f>
        <x:v>804.7393794429615</x:v>
      </x:c>
      <x:c r="F112" s="17" t="n">
        <x:f>IF(AND($A112&gt;='Control Room'!$A$13,$A112&lt;'Control Room'!$A$13+'Control Room'!$B$13,'Process'!BK2=1),1+('Control Room'!$C$13-1)*EXP(-0.5*(($A112-'Control Room'!$A$13-('Control Room'!$B$13-1)/2)/MAX(0.5,'Control Room'!$B$13/4))^2),1)*IF(AND($A112&gt;='Control Room'!$A$14,$A112&lt;'Control Room'!$A$14+'Control Room'!$B$14,'Process'!BK3=1),1+('Control Room'!$C$14-1)*EXP(-0.5*(($A112-'Control Room'!$A$14-('Control Room'!$B$14-1)/2)/MAX(0.5,'Control Room'!$B$14/4))^2),1)*IF(AND($A112&gt;='Control Room'!$A$15,$A112&lt;'Control Room'!$A$15+'Control Room'!$B$15,'Process'!BK4=1),1+('Control Room'!$C$15-1)*EXP(-0.5*(($A112-'Control Room'!$A$15-('Control Room'!$B$15-1)/2)/MAX(0.5,'Control Room'!$B$15/4))^2),1)*IF(AND($A112&gt;='Control Room'!$A$16,$A112&lt;'Control Room'!$A$16+'Control Room'!$B$16,'Process'!BK5=1),1+('Control Room'!$C$16-1)*EXP(-0.5*(($A112-'Control Room'!$A$16-('Control Room'!$B$16-1)/2)/MAX(0.5,'Control Room'!$B$16/4))^2),1)</x:f>
        <x:v>1</x:v>
      </x:c>
      <x:c r="G112" s="9" t="n">
        <x:f>MOD(H111*16807,2147483647)</x:f>
        <x:v>1114675419</x:v>
      </x:c>
      <x:c r="H112" s="9" t="n">
        <x:f>MOD(G112*16807,2147483647)</x:f>
        <x:v>1849914352</x:v>
      </x:c>
      <x:c r="I112" s="17" t="n">
        <x:f>IF('Control Room'!$B$5="Normal",'Control Room'!$B$7+'Control Room'!$D$7*SQRT(-2*LN(MAX(0.000000000001,G112/2147483647)))*COS(2*PI()*H112/2147483647),'Control Room'!$B$8+('Control Room'!$D$8-'Control Room'!$B$8)*G112/2147483647)</x:f>
        <x:v>1066.4102236463914</x:v>
      </x:c>
      <x:c r="J112" s="17" t="n">
        <x:f>IF('Control Room'!$B$5="Normal",'Control Room'!$B$7,('Control Room'!$B$8+'Control Room'!$D$8)/2)+'Control Room'!$B$9*(J111-IF('Control Room'!$B$5="Normal",'Control Room'!$B$7,('Control Room'!$B$8+'Control Room'!$D$8)/2))+SQRT(1-'Control Room'!$B$9^2)*(I112-IF('Control Room'!$B$5="Normal",'Control Room'!$B$7,('Control Room'!$B$8+'Control Room'!$D$8)/2))</x:f>
        <x:v>1123.7156671625007</x:v>
      </x:c>
      <x:c r="K112" s="17" t="n">
        <x:f>IF(AND($A112&gt;='Control Room'!$A$13,$A112&lt;'Control Room'!$A$13+'Control Room'!$B$13,'Process'!BL2=1),1+('Control Room'!$C$13-1)*EXP(-0.5*(($A112-'Control Room'!$A$13-('Control Room'!$B$13-1)/2)/MAX(0.5,'Control Room'!$B$13/4))^2),1)*IF(AND($A112&gt;='Control Room'!$A$14,$A112&lt;'Control Room'!$A$14+'Control Room'!$B$14,'Process'!BL3=1),1+('Control Room'!$C$14-1)*EXP(-0.5*(($A112-'Control Room'!$A$14-('Control Room'!$B$14-1)/2)/MAX(0.5,'Control Room'!$B$14/4))^2),1)*IF(AND($A112&gt;='Control Room'!$A$15,$A112&lt;'Control Room'!$A$15+'Control Room'!$B$15,'Process'!BL4=1),1+('Control Room'!$C$15-1)*EXP(-0.5*(($A112-'Control Room'!$A$15-('Control Room'!$B$15-1)/2)/MAX(0.5,'Control Room'!$B$15/4))^2),1)*IF(AND($A112&gt;='Control Room'!$A$16,$A112&lt;'Control Room'!$A$16+'Control Room'!$B$16,'Process'!BL5=1),1+('Control Room'!$C$16-1)*EXP(-0.5*(($A112-'Control Room'!$A$16-('Control Room'!$B$16-1)/2)/MAX(0.5,'Control Room'!$B$16/4))^2),1)</x:f>
        <x:v>1</x:v>
      </x:c>
      <x:c r="L112" s="9" t="n">
        <x:f>MOD(M111*16807,2147483647)</x:f>
        <x:v>1442976563</x:v>
      </x:c>
      <x:c r="M112" s="9" t="n">
        <x:f>MOD(L112*16807,2147483647)</x:f>
        <x:v>574268770</x:v>
      </x:c>
      <x:c r="N112" s="17" t="n">
        <x:f>IF('Control Room'!$B$5="Normal",'Control Room'!$B$7+'Control Room'!$D$7*SQRT(-2*LN(MAX(0.000000000001,L112/2147483647)))*COS(2*PI()*M112/2147483647),'Control Room'!$B$8+('Control Room'!$D$8-'Control Room'!$B$8)*L112/2147483647)</x:f>
        <x:v>991.2359608675968</x:v>
      </x:c>
      <x:c r="O112" s="17" t="n">
        <x:f>IF('Control Room'!$B$5="Normal",'Control Room'!$B$7,('Control Room'!$B$8+'Control Room'!$D$8)/2)+'Control Room'!$B$9*(O111-IF('Control Room'!$B$5="Normal",'Control Room'!$B$7,('Control Room'!$B$8+'Control Room'!$D$8)/2))+SQRT(1-'Control Room'!$B$9^2)*(N112-IF('Control Room'!$B$5="Normal",'Control Room'!$B$7,('Control Room'!$B$8+'Control Room'!$D$8)/2))</x:f>
        <x:v>965.019640881041</x:v>
      </x:c>
      <x:c r="P112" s="17" t="n">
        <x:f>IF(AND($A112&gt;='Control Room'!$A$13,$A112&lt;'Control Room'!$A$13+'Control Room'!$B$13,'Process'!BM2=1),1+('Control Room'!$C$13-1)*EXP(-0.5*(($A112-'Control Room'!$A$13-('Control Room'!$B$13-1)/2)/MAX(0.5,'Control Room'!$B$13/4))^2),1)*IF(AND($A112&gt;='Control Room'!$A$14,$A112&lt;'Control Room'!$A$14+'Control Room'!$B$14,'Process'!BM3=1),1+('Control Room'!$C$14-1)*EXP(-0.5*(($A112-'Control Room'!$A$14-('Control Room'!$B$14-1)/2)/MAX(0.5,'Control Room'!$B$14/4))^2),1)*IF(AND($A112&gt;='Control Room'!$A$15,$A112&lt;'Control Room'!$A$15+'Control Room'!$B$15,'Process'!BM4=1),1+('Control Room'!$C$15-1)*EXP(-0.5*(($A112-'Control Room'!$A$15-('Control Room'!$B$15-1)/2)/MAX(0.5,'Control Room'!$B$15/4))^2),1)*IF(AND($A112&gt;='Control Room'!$A$16,$A112&lt;'Control Room'!$A$16+'Control Room'!$B$16,'Process'!BM5=1),1+('Control Room'!$C$16-1)*EXP(-0.5*(($A112-'Control Room'!$A$16-('Control Room'!$B$16-1)/2)/MAX(0.5,'Control Room'!$B$16/4))^2),1)</x:f>
        <x:v>1</x:v>
      </x:c>
      <x:c r="Q112" s="9" t="n">
        <x:f>MOD(R111*16807,2147483647)</x:f>
        <x:v>1771277707</x:v>
      </x:c>
      <x:c r="R112" s="9" t="n">
        <x:f>MOD(Q112*16807,2147483647)</x:f>
        <x:v>1446106835</x:v>
      </x:c>
      <x:c r="S112" s="17" t="n">
        <x:f>IF('Control Room'!$B$5="Normal",'Control Room'!$B$7+'Control Room'!$D$7*SQRT(-2*LN(MAX(0.000000000001,Q112/2147483647)))*COS(2*PI()*R112/2147483647),'Control Room'!$B$8+('Control Room'!$D$8-'Control Room'!$B$8)*Q112/2147483647)</x:f>
        <x:v>974.1409731340351</x:v>
      </x:c>
      <x:c r="T112" s="17" t="n">
        <x:f>IF('Control Room'!$B$5="Normal",'Control Room'!$B$7,('Control Room'!$B$8+'Control Room'!$D$8)/2)+'Control Room'!$B$9*(T111-IF('Control Room'!$B$5="Normal",'Control Room'!$B$7,('Control Room'!$B$8+'Control Room'!$D$8)/2))+SQRT(1-'Control Room'!$B$9^2)*(S112-IF('Control Room'!$B$5="Normal",'Control Room'!$B$7,('Control Room'!$B$8+'Control Room'!$D$8)/2))</x:f>
        <x:v>975.4786908870368</x:v>
      </x:c>
      <x:c r="U112" s="17" t="n">
        <x:f>IF(AND($A112&gt;='Control Room'!$A$13,$A112&lt;'Control Room'!$A$13+'Control Room'!$B$13,'Process'!BN2=1),1+('Control Room'!$C$13-1)*EXP(-0.5*(($A112-'Control Room'!$A$13-('Control Room'!$B$13-1)/2)/MAX(0.5,'Control Room'!$B$13/4))^2),1)*IF(AND($A112&gt;='Control Room'!$A$14,$A112&lt;'Control Room'!$A$14+'Control Room'!$B$14,'Process'!BN3=1),1+('Control Room'!$C$14-1)*EXP(-0.5*(($A112-'Control Room'!$A$14-('Control Room'!$B$14-1)/2)/MAX(0.5,'Control Room'!$B$14/4))^2),1)*IF(AND($A112&gt;='Control Room'!$A$15,$A112&lt;'Control Room'!$A$15+'Control Room'!$B$15,'Process'!BN4=1),1+('Control Room'!$C$15-1)*EXP(-0.5*(($A112-'Control Room'!$A$15-('Control Room'!$B$15-1)/2)/MAX(0.5,'Control Room'!$B$15/4))^2),1)*IF(AND($A112&gt;='Control Room'!$A$16,$A112&lt;'Control Room'!$A$16+'Control Room'!$B$16,'Process'!BN5=1),1+('Control Room'!$C$16-1)*EXP(-0.5*(($A112-'Control Room'!$A$16-('Control Room'!$B$16-1)/2)/MAX(0.5,'Control Room'!$B$16/4))^2),1)</x:f>
        <x:v>1</x:v>
      </x:c>
      <x:c r="V112" s="9" t="n">
        <x:f>MOD(W111*16807,2147483647)</x:f>
        <x:v>2099578851</x:v>
      </x:c>
      <x:c r="W112" s="9" t="n">
        <x:f>MOD(V112*16807,2147483647)</x:f>
        <x:v>170461253</x:v>
      </x:c>
      <x:c r="X112" s="17" t="n">
        <x:f>IF('Control Room'!$B$5="Normal",'Control Room'!$B$7+'Control Room'!$D$7*SQRT(-2*LN(MAX(0.000000000001,V112/2147483647)))*COS(2*PI()*W112/2147483647),'Control Room'!$B$8+('Control Room'!$D$8-'Control Room'!$B$8)*V112/2147483647)</x:f>
        <x:v>1016.7885413572517</x:v>
      </x:c>
      <x:c r="Y112" s="17" t="n">
        <x:f>IF('Control Room'!$B$5="Normal",'Control Room'!$B$7,('Control Room'!$B$8+'Control Room'!$D$8)/2)+'Control Room'!$B$9*(Y111-IF('Control Room'!$B$5="Normal",'Control Room'!$B$7,('Control Room'!$B$8+'Control Room'!$D$8)/2))+SQRT(1-'Control Room'!$B$9^2)*(X112-IF('Control Room'!$B$5="Normal",'Control Room'!$B$7,('Control Room'!$B$8+'Control Room'!$D$8)/2))</x:f>
        <x:v>931.4179306654967</x:v>
      </x:c>
      <x:c r="Z112" s="17" t="n">
        <x:f>IF(AND($A112&gt;='Control Room'!$A$13,$A112&lt;'Control Room'!$A$13+'Control Room'!$B$13,'Process'!BO2=1),1+('Control Room'!$C$13-1)*EXP(-0.5*(($A112-'Control Room'!$A$13-('Control Room'!$B$13-1)/2)/MAX(0.5,'Control Room'!$B$13/4))^2),1)*IF(AND($A112&gt;='Control Room'!$A$14,$A112&lt;'Control Room'!$A$14+'Control Room'!$B$14,'Process'!BO3=1),1+('Control Room'!$C$14-1)*EXP(-0.5*(($A112-'Control Room'!$A$14-('Control Room'!$B$14-1)/2)/MAX(0.5,'Control Room'!$B$14/4))^2),1)*IF(AND($A112&gt;='Control Room'!$A$15,$A112&lt;'Control Room'!$A$15+'Control Room'!$B$15,'Process'!BO4=1),1+('Control Room'!$C$15-1)*EXP(-0.5*(($A112-'Control Room'!$A$15-('Control Room'!$B$15-1)/2)/MAX(0.5,'Control Room'!$B$15/4))^2),1)*IF(AND($A112&gt;='Control Room'!$A$16,$A112&lt;'Control Room'!$A$16+'Control Room'!$B$16,'Process'!BO5=1),1+('Control Room'!$C$16-1)*EXP(-0.5*(($A112-'Control Room'!$A$16-('Control Room'!$B$16-1)/2)/MAX(0.5,'Control Room'!$B$16/4))^2),1)</x:f>
        <x:v>1</x:v>
      </x:c>
      <x:c r="AA112" s="9" t="n">
        <x:f>MOD(AB111*16807,2147483647)</x:f>
        <x:v>280396348</x:v>
      </x:c>
      <x:c r="AB112" s="9" t="n">
        <x:f>MOD(AA112*16807,2147483647)</x:f>
        <x:v>1042299318</x:v>
      </x:c>
      <x:c r="AC112" s="17" t="n">
        <x:f>IF('Control Room'!$B$5="Normal",'Control Room'!$B$7+'Control Room'!$D$7*SQRT(-2*LN(MAX(0.000000000001,AA112/2147483647)))*COS(2*PI()*AB112/2147483647),'Control Room'!$B$8+('Control Room'!$D$8-'Control Room'!$B$8)*AA112/2147483647)</x:f>
        <x:v>819.1619501404275</x:v>
      </x:c>
      <x:c r="AD112" s="17" t="n">
        <x:f>IF('Control Room'!$B$5="Normal",'Control Room'!$B$7,('Control Room'!$B$8+'Control Room'!$D$8)/2)+'Control Room'!$B$9*(AD111-IF('Control Room'!$B$5="Normal",'Control Room'!$B$7,('Control Room'!$B$8+'Control Room'!$D$8)/2))+SQRT(1-'Control Room'!$B$9^2)*(AC112-IF('Control Room'!$B$5="Normal",'Control Room'!$B$7,('Control Room'!$B$8+'Control Room'!$D$8)/2))</x:f>
        <x:v>1075.2000673551386</x:v>
      </x:c>
      <x:c r="AE112" s="17" t="n">
        <x:f>IF(AND($A112&gt;='Control Room'!$A$13,$A112&lt;'Control Room'!$A$13+'Control Room'!$B$13,'Process'!BP2=1),1+('Control Room'!$C$13-1)*EXP(-0.5*(($A112-'Control Room'!$A$13-('Control Room'!$B$13-1)/2)/MAX(0.5,'Control Room'!$B$13/4))^2),1)*IF(AND($A112&gt;='Control Room'!$A$14,$A112&lt;'Control Room'!$A$14+'Control Room'!$B$14,'Process'!BP3=1),1+('Control Room'!$C$14-1)*EXP(-0.5*(($A112-'Control Room'!$A$14-('Control Room'!$B$14-1)/2)/MAX(0.5,'Control Room'!$B$14/4))^2),1)*IF(AND($A112&gt;='Control Room'!$A$15,$A112&lt;'Control Room'!$A$15+'Control Room'!$B$15,'Process'!BP4=1),1+('Control Room'!$C$15-1)*EXP(-0.5*(($A112-'Control Room'!$A$15-('Control Room'!$B$15-1)/2)/MAX(0.5,'Control Room'!$B$15/4))^2),1)*IF(AND($A112&gt;='Control Room'!$A$16,$A112&lt;'Control Room'!$A$16+'Control Room'!$B$16,'Process'!BP5=1),1+('Control Room'!$C$16-1)*EXP(-0.5*(($A112-'Control Room'!$A$16-('Control Room'!$B$16-1)/2)/MAX(0.5,'Control Room'!$B$16/4))^2),1)</x:f>
        <x:v>1</x:v>
      </x:c>
      <x:c r="AF112" s="9" t="n">
        <x:f>MOD(AG111*16807,2147483647)</x:f>
        <x:v>608697492</x:v>
      </x:c>
      <x:c r="AG112" s="9" t="n">
        <x:f>MOD(AF112*16807,2147483647)</x:f>
        <x:v>1914137383</x:v>
      </x:c>
      <x:c r="AH112" s="17" t="n">
        <x:f>IF('Control Room'!$B$5="Normal",'Control Room'!$B$7+'Control Room'!$D$7*SQRT(-2*LN(MAX(0.000000000001,AF112/2147483647)))*COS(2*PI()*AG112/2147483647),'Control Room'!$B$8+('Control Room'!$D$8-'Control Room'!$B$8)*AF112/2147483647)</x:f>
        <x:v>1110.8784604445998</x:v>
      </x:c>
      <x:c r="AI112" s="17" t="n">
        <x:f>IF('Control Room'!$B$5="Normal",'Control Room'!$B$7,('Control Room'!$B$8+'Control Room'!$D$8)/2)+'Control Room'!$B$9*(AI111-IF('Control Room'!$B$5="Normal",'Control Room'!$B$7,('Control Room'!$B$8+'Control Room'!$D$8)/2))+SQRT(1-'Control Room'!$B$9^2)*(AH112-IF('Control Room'!$B$5="Normal",'Control Room'!$B$7,('Control Room'!$B$8+'Control Room'!$D$8)/2))</x:f>
        <x:v>1089.060710385144</x:v>
      </x:c>
      <x:c r="AJ112" s="17" t="n">
        <x:f>IF(AND($A112&gt;='Control Room'!$A$13,$A112&lt;'Control Room'!$A$13+'Control Room'!$B$13,'Process'!BQ2=1),1+('Control Room'!$C$13-1)*EXP(-0.5*(($A112-'Control Room'!$A$13-('Control Room'!$B$13-1)/2)/MAX(0.5,'Control Room'!$B$13/4))^2),1)*IF(AND($A112&gt;='Control Room'!$A$14,$A112&lt;'Control Room'!$A$14+'Control Room'!$B$14,'Process'!BQ3=1),1+('Control Room'!$C$14-1)*EXP(-0.5*(($A112-'Control Room'!$A$14-('Control Room'!$B$14-1)/2)/MAX(0.5,'Control Room'!$B$14/4))^2),1)*IF(AND($A112&gt;='Control Room'!$A$15,$A112&lt;'Control Room'!$A$15+'Control Room'!$B$15,'Process'!BQ4=1),1+('Control Room'!$C$15-1)*EXP(-0.5*(($A112-'Control Room'!$A$15-('Control Room'!$B$15-1)/2)/MAX(0.5,'Control Room'!$B$15/4))^2),1)*IF(AND($A112&gt;='Control Room'!$A$16,$A112&lt;'Control Room'!$A$16+'Control Room'!$B$16,'Process'!BQ5=1),1+('Control Room'!$C$16-1)*EXP(-0.5*(($A112-'Control Room'!$A$16-('Control Room'!$B$16-1)/2)/MAX(0.5,'Control Room'!$B$16/4))^2),1)</x:f>
        <x:v>1</x:v>
      </x:c>
      <x:c r="AK112" s="9" t="n">
        <x:f>MOD(AL111*16807,2147483647)</x:f>
        <x:v>936998636</x:v>
      </x:c>
      <x:c r="AL112" s="9" t="n">
        <x:f>MOD(AK112*16807,2147483647)</x:f>
        <x:v>638491801</x:v>
      </x:c>
      <x:c r="AM112" s="17" t="n">
        <x:f>IF('Control Room'!$B$5="Normal",'Control Room'!$B$7+'Control Room'!$D$7*SQRT(-2*LN(MAX(0.000000000001,AK112/2147483647)))*COS(2*PI()*AL112/2147483647),'Control Room'!$B$8+('Control Room'!$D$8-'Control Room'!$B$8)*AK112/2147483647)</x:f>
        <x:v>966.0416212417356</x:v>
      </x:c>
      <x:c r="AN112" s="17" t="n">
        <x:f>IF('Control Room'!$B$5="Normal",'Control Room'!$B$7,('Control Room'!$B$8+'Control Room'!$D$8)/2)+'Control Room'!$B$9*(AN111-IF('Control Room'!$B$5="Normal",'Control Room'!$B$7,('Control Room'!$B$8+'Control Room'!$D$8)/2))+SQRT(1-'Control Room'!$B$9^2)*(AM112-IF('Control Room'!$B$5="Normal",'Control Room'!$B$7,('Control Room'!$B$8+'Control Room'!$D$8)/2))</x:f>
        <x:v>992.295037708674</x:v>
      </x:c>
      <x:c r="AO112" s="17" t="n">
        <x:f>IF(AND($A112&gt;='Control Room'!$A$13,$A112&lt;'Control Room'!$A$13+'Control Room'!$B$13,'Process'!BR2=1),1+('Control Room'!$C$13-1)*EXP(-0.5*(($A112-'Control Room'!$A$13-('Control Room'!$B$13-1)/2)/MAX(0.5,'Control Room'!$B$13/4))^2),1)*IF(AND($A112&gt;='Control Room'!$A$14,$A112&lt;'Control Room'!$A$14+'Control Room'!$B$14,'Process'!BR3=1),1+('Control Room'!$C$14-1)*EXP(-0.5*(($A112-'Control Room'!$A$14-('Control Room'!$B$14-1)/2)/MAX(0.5,'Control Room'!$B$14/4))^2),1)*IF(AND($A112&gt;='Control Room'!$A$15,$A112&lt;'Control Room'!$A$15+'Control Room'!$B$15,'Process'!BR4=1),1+('Control Room'!$C$15-1)*EXP(-0.5*(($A112-'Control Room'!$A$15-('Control Room'!$B$15-1)/2)/MAX(0.5,'Control Room'!$B$15/4))^2),1)*IF(AND($A112&gt;='Control Room'!$A$16,$A112&lt;'Control Room'!$A$16+'Control Room'!$B$16,'Process'!BR5=1),1+('Control Room'!$C$16-1)*EXP(-0.5*(($A112-'Control Room'!$A$16-('Control Room'!$B$16-1)/2)/MAX(0.5,'Control Room'!$B$16/4))^2),1)</x:f>
        <x:v>1</x:v>
      </x:c>
      <x:c r="AP112" s="9" t="n">
        <x:f>MOD(AQ111*16807,2147483647)</x:f>
        <x:v>1265299780</x:v>
      </x:c>
      <x:c r="AQ112" s="9" t="n">
        <x:f>MOD(AP112*16807,2147483647)</x:f>
        <x:v>1510329866</x:v>
      </x:c>
      <x:c r="AR112" s="17" t="n">
        <x:f>IF('Control Room'!$B$5="Normal",'Control Room'!$B$7+'Control Room'!$D$7*SQRT(-2*LN(MAX(0.000000000001,AP112/2147483647)))*COS(2*PI()*AQ112/2147483647),'Control Room'!$B$8+('Control Room'!$D$8-'Control Room'!$B$8)*AP112/2147483647)</x:f>
        <x:v>973.2263458755782</x:v>
      </x:c>
      <x:c r="AS112" s="17" t="n">
        <x:f>IF('Control Room'!$B$5="Normal",'Control Room'!$B$7,('Control Room'!$B$8+'Control Room'!$D$8)/2)+'Control Room'!$B$9*(AS111-IF('Control Room'!$B$5="Normal",'Control Room'!$B$7,('Control Room'!$B$8+'Control Room'!$D$8)/2))+SQRT(1-'Control Room'!$B$9^2)*(AR112-IF('Control Room'!$B$5="Normal",'Control Room'!$B$7,('Control Room'!$B$8+'Control Room'!$D$8)/2))</x:f>
        <x:v>813.0329047461233</x:v>
      </x:c>
      <x:c r="AT112" s="17" t="n">
        <x:f>IF(AND($A112&gt;='Control Room'!$A$13,$A112&lt;'Control Room'!$A$13+'Control Room'!$B$13,'Process'!BS2=1),1+('Control Room'!$C$13-1)*EXP(-0.5*(($A112-'Control Room'!$A$13-('Control Room'!$B$13-1)/2)/MAX(0.5,'Control Room'!$B$13/4))^2),1)*IF(AND($A112&gt;='Control Room'!$A$14,$A112&lt;'Control Room'!$A$14+'Control Room'!$B$14,'Process'!BS3=1),1+('Control Room'!$C$14-1)*EXP(-0.5*(($A112-'Control Room'!$A$14-('Control Room'!$B$14-1)/2)/MAX(0.5,'Control Room'!$B$14/4))^2),1)*IF(AND($A112&gt;='Control Room'!$A$15,$A112&lt;'Control Room'!$A$15+'Control Room'!$B$15,'Process'!BS4=1),1+('Control Room'!$C$15-1)*EXP(-0.5*(($A112-'Control Room'!$A$15-('Control Room'!$B$15-1)/2)/MAX(0.5,'Control Room'!$B$15/4))^2),1)*IF(AND($A112&gt;='Control Room'!$A$16,$A112&lt;'Control Room'!$A$16+'Control Room'!$B$16,'Process'!BS5=1),1+('Control Room'!$C$16-1)*EXP(-0.5*(($A112-'Control Room'!$A$16-('Control Room'!$B$16-1)/2)/MAX(0.5,'Control Room'!$B$16/4))^2),1)</x:f>
        <x:v>1</x:v>
      </x:c>
      <x:c r="AU112" s="9" t="n">
        <x:f>MOD(AV111*16807,2147483647)</x:f>
        <x:v>1593600924</x:v>
      </x:c>
      <x:c r="AV112" s="9" t="n">
        <x:f>MOD(AU112*16807,2147483647)</x:f>
        <x:v>234684284</x:v>
      </x:c>
      <x:c r="AW112" s="17" t="n">
        <x:f>IF('Control Room'!$B$5="Normal",'Control Room'!$B$7+'Control Room'!$D$7*SQRT(-2*LN(MAX(0.000000000001,AU112/2147483647)))*COS(2*PI()*AV112/2147483647),'Control Room'!$B$8+('Control Room'!$D$8-'Control Room'!$B$8)*AU112/2147483647)</x:f>
        <x:v>1053.7619435453114</x:v>
      </x:c>
      <x:c r="AX112" s="17" t="n">
        <x:f>IF('Control Room'!$B$5="Normal",'Control Room'!$B$7,('Control Room'!$B$8+'Control Room'!$D$8)/2)+'Control Room'!$B$9*(AX111-IF('Control Room'!$B$5="Normal",'Control Room'!$B$7,('Control Room'!$B$8+'Control Room'!$D$8)/2))+SQRT(1-'Control Room'!$B$9^2)*(AW112-IF('Control Room'!$B$5="Normal",'Control Room'!$B$7,('Control Room'!$B$8+'Control Room'!$D$8)/2))</x:f>
        <x:v>1123.8577698234303</x:v>
      </x:c>
      <x:c r="AY112" s="17" t="n">
        <x:f>IF(AND($A112&gt;='Control Room'!$A$13,$A112&lt;'Control Room'!$A$13+'Control Room'!$B$13,'Process'!BT2=1),1+('Control Room'!$C$13-1)*EXP(-0.5*(($A112-'Control Room'!$A$13-('Control Room'!$B$13-1)/2)/MAX(0.5,'Control Room'!$B$13/4))^2),1)*IF(AND($A112&gt;='Control Room'!$A$14,$A112&lt;'Control Room'!$A$14+'Control Room'!$B$14,'Process'!BT3=1),1+('Control Room'!$C$14-1)*EXP(-0.5*(($A112-'Control Room'!$A$14-('Control Room'!$B$14-1)/2)/MAX(0.5,'Control Room'!$B$14/4))^2),1)*IF(AND($A112&gt;='Control Room'!$A$15,$A112&lt;'Control Room'!$A$15+'Control Room'!$B$15,'Process'!BT4=1),1+('Control Room'!$C$15-1)*EXP(-0.5*(($A112-'Control Room'!$A$15-('Control Room'!$B$15-1)/2)/MAX(0.5,'Control Room'!$B$15/4))^2),1)*IF(AND($A112&gt;='Control Room'!$A$16,$A112&lt;'Control Room'!$A$16+'Control Room'!$B$16,'Process'!BT5=1),1+('Control Room'!$C$16-1)*EXP(-0.5*(($A112-'Control Room'!$A$16-('Control Room'!$B$16-1)/2)/MAX(0.5,'Control Room'!$B$16/4))^2),1)</x:f>
        <x:v>1</x:v>
      </x:c>
      <x:c r="AZ112" s="9" t="n">
        <x:f>MOD(BA111*16807,2147483647)</x:f>
        <x:v>1921902068</x:v>
      </x:c>
      <x:c r="BA112" s="9" t="n">
        <x:f>MOD(AZ112*16807,2147483647)</x:f>
        <x:v>1106522349</x:v>
      </x:c>
      <x:c r="BB112" s="17" t="n">
        <x:f>IF('Control Room'!$B$5="Normal",'Control Room'!$B$7+'Control Room'!$D$7*SQRT(-2*LN(MAX(0.000000000001,AZ112/2147483647)))*COS(2*PI()*BA112/2147483647),'Control Room'!$B$8+('Control Room'!$D$8-'Control Room'!$B$8)*AZ112/2147483647)</x:f>
        <x:v>957.7932368407243</x:v>
      </x:c>
      <x:c r="BC112" s="17" t="n">
        <x:f>IF('Control Room'!$B$5="Normal",'Control Room'!$B$7,('Control Room'!$B$8+'Control Room'!$D$8)/2)+'Control Room'!$B$9*(BC111-IF('Control Room'!$B$5="Normal",'Control Room'!$B$7,('Control Room'!$B$8+'Control Room'!$D$8)/2))+SQRT(1-'Control Room'!$B$9^2)*(BB112-IF('Control Room'!$B$5="Normal",'Control Room'!$B$7,('Control Room'!$B$8+'Control Room'!$D$8)/2))</x:f>
        <x:v>1048.2521152568336</x:v>
      </x:c>
      <x:c r="BD112" s="17" t="n">
        <x:f>IF(AND($A112&gt;='Control Room'!$A$13,$A112&lt;'Control Room'!$A$13+'Control Room'!$B$13,'Process'!BU2=1),1+('Control Room'!$C$13-1)*EXP(-0.5*(($A112-'Control Room'!$A$13-('Control Room'!$B$13-1)/2)/MAX(0.5,'Control Room'!$B$13/4))^2),1)*IF(AND($A112&gt;='Control Room'!$A$14,$A112&lt;'Control Room'!$A$14+'Control Room'!$B$14,'Process'!BU3=1),1+('Control Room'!$C$14-1)*EXP(-0.5*(($A112-'Control Room'!$A$14-('Control Room'!$B$14-1)/2)/MAX(0.5,'Control Room'!$B$14/4))^2),1)*IF(AND($A112&gt;='Control Room'!$A$15,$A112&lt;'Control Room'!$A$15+'Control Room'!$B$15,'Process'!BU4=1),1+('Control Room'!$C$15-1)*EXP(-0.5*(($A112-'Control Room'!$A$15-('Control Room'!$B$15-1)/2)/MAX(0.5,'Control Room'!$B$15/4))^2),1)*IF(AND($A112&gt;='Control Room'!$A$16,$A112&lt;'Control Room'!$A$16+'Control Room'!$B$16,'Process'!BU5=1),1+('Control Room'!$C$16-1)*EXP(-0.5*(($A112-'Control Room'!$A$16-('Control Room'!$B$16-1)/2)/MAX(0.5,'Control Room'!$B$16/4))^2),1)</x:f>
        <x:v>1</x:v>
      </x:c>
      <x:c r="BE112" s="9" t="n">
        <x:f>MOD(BF111*16807,2147483647)</x:f>
        <x:v>102719565</x:v>
      </x:c>
      <x:c r="BF112" s="9" t="n">
        <x:f>MOD(BE112*16807,2147483647)</x:f>
        <x:v>1978360414</x:v>
      </x:c>
      <x:c r="BG112" s="17" t="n">
        <x:f>IF('Control Room'!$B$5="Normal",'Control Room'!$B$7+'Control Room'!$D$7*SQRT(-2*LN(MAX(0.000000000001,BE112/2147483647)))*COS(2*PI()*BF112/2147483647),'Control Room'!$B$8+('Control Room'!$D$8-'Control Room'!$B$8)*BE112/2147483647)</x:f>
        <x:v>1195.3015277432953</x:v>
      </x:c>
      <x:c r="BH112" s="17" t="n">
        <x:f>IF('Control Room'!$B$5="Normal",'Control Room'!$B$7,('Control Room'!$B$8+'Control Room'!$D$8)/2)+'Control Room'!$B$9*(BH111-IF('Control Room'!$B$5="Normal",'Control Room'!$B$7,('Control Room'!$B$8+'Control Room'!$D$8)/2))+SQRT(1-'Control Room'!$B$9^2)*(BG112-IF('Control Room'!$B$5="Normal",'Control Room'!$B$7,('Control Room'!$B$8+'Control Room'!$D$8)/2))</x:f>
        <x:v>1151.7085485233608</x:v>
      </x:c>
      <x:c r="BI112" s="17" t="n">
        <x:f>IF(AND($A112&gt;='Control Room'!$A$13,$A112&lt;'Control Room'!$A$13+'Control Room'!$B$13,'Process'!BV2=1),1+('Control Room'!$C$13-1)*EXP(-0.5*(($A112-'Control Room'!$A$13-('Control Room'!$B$13-1)/2)/MAX(0.5,'Control Room'!$B$13/4))^2),1)*IF(AND($A112&gt;='Control Room'!$A$14,$A112&lt;'Control Room'!$A$14+'Control Room'!$B$14,'Process'!BV3=1),1+('Control Room'!$C$14-1)*EXP(-0.5*(($A112-'Control Room'!$A$14-('Control Room'!$B$14-1)/2)/MAX(0.5,'Control Room'!$B$14/4))^2),1)*IF(AND($A112&gt;='Control Room'!$A$15,$A112&lt;'Control Room'!$A$15+'Control Room'!$B$15,'Process'!BV4=1),1+('Control Room'!$C$15-1)*EXP(-0.5*(($A112-'Control Room'!$A$15-('Control Room'!$B$15-1)/2)/MAX(0.5,'Control Room'!$B$15/4))^2),1)*IF(AND($A112&gt;='Control Room'!$A$16,$A112&lt;'Control Room'!$A$16+'Control Room'!$B$16,'Process'!BV5=1),1+('Control Room'!$C$16-1)*EXP(-0.5*(($A112-'Control Room'!$A$16-('Control Room'!$B$16-1)/2)/MAX(0.5,'Control Room'!$B$16/4))^2),1)</x:f>
        <x:v>1</x:v>
      </x:c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Z112" t="str">
        <x:f>IF('Data'!A112="","",TEXT('Data'!A112,"mm-dd"))</x:f>
        <x:v>02-20</x:v>
      </x:c>
    </x:row>
    <x:row r="113" ht="21" customHeight="1">
      <x:c r="A113" s="15" t="n">
        <x:f>'Control Room'!$B$1+111</x:f>
        <x:v>73102</x:v>
      </x:c>
      <x:c r="B113" s="9" t="n">
        <x:f>MOD(C112*16807,2147483647)</x:f>
        <x:v>1688321471</x:v>
      </x:c>
      <x:c r="C113" s="9" t="n">
        <x:f>MOD(B113*16807,2147483647)</x:f>
        <x:v>917535286</x:v>
      </x:c>
      <x:c r="D113" s="17" t="n">
        <x:f>IF('Control Room'!$B$5="Normal",'Control Room'!$B$7+'Control Room'!$D$7*SQRT(-2*LN(MAX(0.000000000001,B113/2147483647)))*COS(2*PI()*C113/2147483647),'Control Room'!$B$8+('Control Room'!$D$8-'Control Room'!$B$8)*B113/2147483647)</x:f>
        <x:v>943.9803901133475</x:v>
      </x:c>
      <x:c r="E113" s="17" t="n">
        <x:f>IF('Control Room'!$B$5="Normal",'Control Room'!$B$7,('Control Room'!$B$8+'Control Room'!$D$8)/2)+'Control Room'!$B$9*(E112-IF('Control Room'!$B$5="Normal",'Control Room'!$B$7,('Control Room'!$B$8+'Control Room'!$D$8)/2))+SQRT(1-'Control Room'!$B$9^2)*(D113-IF('Control Room'!$B$5="Normal",'Control Room'!$B$7,('Control Room'!$B$8+'Control Room'!$D$8)/2))</x:f>
        <x:v>812.6407917225303</x:v>
      </x:c>
      <x:c r="F113" s="17" t="n">
        <x:f>IF(AND($A113&gt;='Control Room'!$A$13,$A113&lt;'Control Room'!$A$13+'Control Room'!$B$13,'Process'!BK2=1),1+('Control Room'!$C$13-1)*EXP(-0.5*(($A113-'Control Room'!$A$13-('Control Room'!$B$13-1)/2)/MAX(0.5,'Control Room'!$B$13/4))^2),1)*IF(AND($A113&gt;='Control Room'!$A$14,$A113&lt;'Control Room'!$A$14+'Control Room'!$B$14,'Process'!BK3=1),1+('Control Room'!$C$14-1)*EXP(-0.5*(($A113-'Control Room'!$A$14-('Control Room'!$B$14-1)/2)/MAX(0.5,'Control Room'!$B$14/4))^2),1)*IF(AND($A113&gt;='Control Room'!$A$15,$A113&lt;'Control Room'!$A$15+'Control Room'!$B$15,'Process'!BK4=1),1+('Control Room'!$C$15-1)*EXP(-0.5*(($A113-'Control Room'!$A$15-('Control Room'!$B$15-1)/2)/MAX(0.5,'Control Room'!$B$15/4))^2),1)*IF(AND($A113&gt;='Control Room'!$A$16,$A113&lt;'Control Room'!$A$16+'Control Room'!$B$16,'Process'!BK5=1),1+('Control Room'!$C$16-1)*EXP(-0.5*(($A113-'Control Room'!$A$16-('Control Room'!$B$16-1)/2)/MAX(0.5,'Control Room'!$B$16/4))^2),1)</x:f>
        <x:v>1</x:v>
      </x:c>
      <x:c r="G113" s="9" t="n">
        <x:f>MOD(H112*16807,2147483647)</x:f>
        <x:v>242272798</x:v>
      </x:c>
      <x:c r="H113" s="9" t="n">
        <x:f>MOD(G113*16807,2147483647)</x:f>
        <x:v>249921274</x:v>
      </x:c>
      <x:c r="I113" s="17" t="n">
        <x:f>IF('Control Room'!$B$5="Normal",'Control Room'!$B$7+'Control Room'!$D$7*SQRT(-2*LN(MAX(0.000000000001,G113/2147483647)))*COS(2*PI()*H113/2147483647),'Control Room'!$B$8+('Control Room'!$D$8-'Control Room'!$B$8)*G113/2147483647)</x:f>
        <x:v>1139.9469531805362</x:v>
      </x:c>
      <x:c r="J113" s="17" t="n">
        <x:f>IF('Control Room'!$B$5="Normal",'Control Room'!$B$7,('Control Room'!$B$8+'Control Room'!$D$8)/2)+'Control Room'!$B$9*(J112-IF('Control Room'!$B$5="Normal",'Control Room'!$B$7,('Control Room'!$B$8+'Control Room'!$D$8)/2))+SQRT(1-'Control Room'!$B$9^2)*(I113-IF('Control Room'!$B$5="Normal",'Control Room'!$B$7,('Control Room'!$B$8+'Control Room'!$D$8)/2))</x:f>
        <x:v>1184.0741567179605</x:v>
      </x:c>
      <x:c r="K113" s="17" t="n">
        <x:f>IF(AND($A113&gt;='Control Room'!$A$13,$A113&lt;'Control Room'!$A$13+'Control Room'!$B$13,'Process'!BL2=1),1+('Control Room'!$C$13-1)*EXP(-0.5*(($A113-'Control Room'!$A$13-('Control Room'!$B$13-1)/2)/MAX(0.5,'Control Room'!$B$13/4))^2),1)*IF(AND($A113&gt;='Control Room'!$A$14,$A113&lt;'Control Room'!$A$14+'Control Room'!$B$14,'Process'!BL3=1),1+('Control Room'!$C$14-1)*EXP(-0.5*(($A113-'Control Room'!$A$14-('Control Room'!$B$14-1)/2)/MAX(0.5,'Control Room'!$B$14/4))^2),1)*IF(AND($A113&gt;='Control Room'!$A$15,$A113&lt;'Control Room'!$A$15+'Control Room'!$B$15,'Process'!BL4=1),1+('Control Room'!$C$15-1)*EXP(-0.5*(($A113-'Control Room'!$A$15-('Control Room'!$B$15-1)/2)/MAX(0.5,'Control Room'!$B$15/4))^2),1)*IF(AND($A113&gt;='Control Room'!$A$16,$A113&lt;'Control Room'!$A$16+'Control Room'!$B$16,'Process'!BL5=1),1+('Control Room'!$C$16-1)*EXP(-0.5*(($A113-'Control Room'!$A$16-('Control Room'!$B$16-1)/2)/MAX(0.5,'Control Room'!$B$16/4))^2),1)</x:f>
        <x:v>1</x:v>
      </x:c>
      <x:c r="L113" s="9" t="n">
        <x:f>MOD(M112*16807,2147483647)</x:f>
        <x:v>943707772</x:v>
      </x:c>
      <x:c r="M113" s="9" t="n">
        <x:f>MOD(L113*16807,2147483647)</x:f>
        <x:v>1729790909</x:v>
      </x:c>
      <x:c r="N113" s="17" t="n">
        <x:f>IF('Control Room'!$B$5="Normal",'Control Room'!$B$7+'Control Room'!$D$7*SQRT(-2*LN(MAX(0.000000000001,L113/2147483647)))*COS(2*PI()*M113/2147483647),'Control Room'!$B$8+('Control Room'!$D$8-'Control Room'!$B$8)*L113/2147483647)</x:f>
        <x:v>1039.433516568265</x:v>
      </x:c>
      <x:c r="O113" s="17" t="n">
        <x:f>IF('Control Room'!$B$5="Normal",'Control Room'!$B$7,('Control Room'!$B$8+'Control Room'!$D$8)/2)+'Control Room'!$B$9*(O112-IF('Control Room'!$B$5="Normal",'Control Room'!$B$7,('Control Room'!$B$8+'Control Room'!$D$8)/2))+SQRT(1-'Control Room'!$B$9^2)*(N113-IF('Control Room'!$B$5="Normal",'Control Room'!$B$7,('Control Room'!$B$8+'Control Room'!$D$8)/2))</x:f>
        <x:v>997.3920067161354</x:v>
      </x:c>
      <x:c r="P113" s="17" t="n">
        <x:f>IF(AND($A113&gt;='Control Room'!$A$13,$A113&lt;'Control Room'!$A$13+'Control Room'!$B$13,'Process'!BM2=1),1+('Control Room'!$C$13-1)*EXP(-0.5*(($A113-'Control Room'!$A$13-('Control Room'!$B$13-1)/2)/MAX(0.5,'Control Room'!$B$13/4))^2),1)*IF(AND($A113&gt;='Control Room'!$A$14,$A113&lt;'Control Room'!$A$14+'Control Room'!$B$14,'Process'!BM3=1),1+('Control Room'!$C$14-1)*EXP(-0.5*(($A113-'Control Room'!$A$14-('Control Room'!$B$14-1)/2)/MAX(0.5,'Control Room'!$B$14/4))^2),1)*IF(AND($A113&gt;='Control Room'!$A$15,$A113&lt;'Control Room'!$A$15+'Control Room'!$B$15,'Process'!BM4=1),1+('Control Room'!$C$15-1)*EXP(-0.5*(($A113-'Control Room'!$A$15-('Control Room'!$B$15-1)/2)/MAX(0.5,'Control Room'!$B$15/4))^2),1)*IF(AND($A113&gt;='Control Room'!$A$16,$A113&lt;'Control Room'!$A$16+'Control Room'!$B$16,'Process'!BM5=1),1+('Control Room'!$C$16-1)*EXP(-0.5*(($A113-'Control Room'!$A$16-('Control Room'!$B$16-1)/2)/MAX(0.5,'Control Room'!$B$16/4))^2),1)</x:f>
        <x:v>1</x:v>
      </x:c>
      <x:c r="Q113" s="9" t="n">
        <x:f>MOD(R112*16807,2147483647)</x:f>
        <x:v>1645142746</x:v>
      </x:c>
      <x:c r="R113" s="9" t="n">
        <x:f>MOD(Q113*16807,2147483647)</x:f>
        <x:v>1062176897</x:v>
      </x:c>
      <x:c r="S113" s="17" t="n">
        <x:f>IF('Control Room'!$B$5="Normal",'Control Room'!$B$7+'Control Room'!$D$7*SQRT(-2*LN(MAX(0.000000000001,Q113/2147483647)))*COS(2*PI()*R113/2147483647),'Control Room'!$B$8+('Control Room'!$D$8-'Control Room'!$B$8)*Q113/2147483647)</x:f>
        <x:v>934.335192472939</x:v>
      </x:c>
      <x:c r="T113" s="17" t="n">
        <x:f>IF('Control Room'!$B$5="Normal",'Control Room'!$B$7,('Control Room'!$B$8+'Control Room'!$D$8)/2)+'Control Room'!$B$9*(T112-IF('Control Room'!$B$5="Normal",'Control Room'!$B$7,('Control Room'!$B$8+'Control Room'!$D$8)/2))+SQRT(1-'Control Room'!$B$9^2)*(S113-IF('Control Room'!$B$5="Normal",'Control Room'!$B$7,('Control Room'!$B$8+'Control Room'!$D$8)/2))</x:f>
        <x:v>939.7816875581551</x:v>
      </x:c>
      <x:c r="U113" s="17" t="n">
        <x:f>IF(AND($A113&gt;='Control Room'!$A$13,$A113&lt;'Control Room'!$A$13+'Control Room'!$B$13,'Process'!BN2=1),1+('Control Room'!$C$13-1)*EXP(-0.5*(($A113-'Control Room'!$A$13-('Control Room'!$B$13-1)/2)/MAX(0.5,'Control Room'!$B$13/4))^2),1)*IF(AND($A113&gt;='Control Room'!$A$14,$A113&lt;'Control Room'!$A$14+'Control Room'!$B$14,'Process'!BN3=1),1+('Control Room'!$C$14-1)*EXP(-0.5*(($A113-'Control Room'!$A$14-('Control Room'!$B$14-1)/2)/MAX(0.5,'Control Room'!$B$14/4))^2),1)*IF(AND($A113&gt;='Control Room'!$A$15,$A113&lt;'Control Room'!$A$15+'Control Room'!$B$15,'Process'!BN4=1),1+('Control Room'!$C$15-1)*EXP(-0.5*(($A113-'Control Room'!$A$15-('Control Room'!$B$15-1)/2)/MAX(0.5,'Control Room'!$B$15/4))^2),1)*IF(AND($A113&gt;='Control Room'!$A$16,$A113&lt;'Control Room'!$A$16+'Control Room'!$B$16,'Process'!BN5=1),1+('Control Room'!$C$16-1)*EXP(-0.5*(($A113-'Control Room'!$A$16-('Control Room'!$B$16-1)/2)/MAX(0.5,'Control Room'!$B$16/4))^2),1)</x:f>
        <x:v>1</x:v>
      </x:c>
      <x:c r="V113" s="9" t="n">
        <x:f>MOD(W112*16807,2147483647)</x:f>
        <x:v>199094073</x:v>
      </x:c>
      <x:c r="W113" s="9" t="n">
        <x:f>MOD(V113*16807,2147483647)</x:f>
        <x:v>394562885</x:v>
      </x:c>
      <x:c r="X113" s="17" t="n">
        <x:f>IF('Control Room'!$B$5="Normal",'Control Room'!$B$7+'Control Room'!$D$7*SQRT(-2*LN(MAX(0.000000000001,V113/2147483647)))*COS(2*PI()*W113/2147483647),'Control Room'!$B$8+('Control Room'!$D$8-'Control Room'!$B$8)*V113/2147483647)</x:f>
        <x:v>1079.3863949154281</x:v>
      </x:c>
      <x:c r="Y113" s="17" t="n">
        <x:f>IF('Control Room'!$B$5="Normal",'Control Room'!$B$7,('Control Room'!$B$8+'Control Room'!$D$8)/2)+'Control Room'!$B$9*(Y112-IF('Control Room'!$B$5="Normal",'Control Room'!$B$7,('Control Room'!$B$8+'Control Room'!$D$8)/2))+SQRT(1-'Control Room'!$B$9^2)*(X113-IF('Control Room'!$B$5="Normal",'Control Room'!$B$7,('Control Room'!$B$8+'Control Room'!$D$8)/2))</x:f>
        <x:v>996.1843655384641</x:v>
      </x:c>
      <x:c r="Z113" s="17" t="n">
        <x:f>IF(AND($A113&gt;='Control Room'!$A$13,$A113&lt;'Control Room'!$A$13+'Control Room'!$B$13,'Process'!BO2=1),1+('Control Room'!$C$13-1)*EXP(-0.5*(($A113-'Control Room'!$A$13-('Control Room'!$B$13-1)/2)/MAX(0.5,'Control Room'!$B$13/4))^2),1)*IF(AND($A113&gt;='Control Room'!$A$14,$A113&lt;'Control Room'!$A$14+'Control Room'!$B$14,'Process'!BO3=1),1+('Control Room'!$C$14-1)*EXP(-0.5*(($A113-'Control Room'!$A$14-('Control Room'!$B$14-1)/2)/MAX(0.5,'Control Room'!$B$14/4))^2),1)*IF(AND($A113&gt;='Control Room'!$A$15,$A113&lt;'Control Room'!$A$15+'Control Room'!$B$15,'Process'!BO4=1),1+('Control Room'!$C$15-1)*EXP(-0.5*(($A113-'Control Room'!$A$15-('Control Room'!$B$15-1)/2)/MAX(0.5,'Control Room'!$B$15/4))^2),1)*IF(AND($A113&gt;='Control Room'!$A$16,$A113&lt;'Control Room'!$A$16+'Control Room'!$B$16,'Process'!BO5=1),1+('Control Room'!$C$16-1)*EXP(-0.5*(($A113-'Control Room'!$A$16-('Control Room'!$B$16-1)/2)/MAX(0.5,'Control Room'!$B$16/4))^2),1)</x:f>
        <x:v>1</x:v>
      </x:c>
      <x:c r="AA113" s="9" t="n">
        <x:f>MOD(AB112*16807,2147483647)</x:f>
        <x:v>900529047</x:v>
      </x:c>
      <x:c r="AB113" s="9" t="n">
        <x:f>MOD(AA113*16807,2147483647)</x:f>
        <x:v>1874432520</x:v>
      </x:c>
      <x:c r="AC113" s="17" t="n">
        <x:f>IF('Control Room'!$B$5="Normal",'Control Room'!$B$7+'Control Room'!$D$7*SQRT(-2*LN(MAX(0.000000000001,AA113/2147483647)))*COS(2*PI()*AB113/2147483647),'Control Room'!$B$8+('Control Room'!$D$8-'Control Room'!$B$8)*AA113/2147483647)</x:f>
        <x:v>1082.7608323032662</x:v>
      </x:c>
      <x:c r="AD113" s="17" t="n">
        <x:f>IF('Control Room'!$B$5="Normal",'Control Room'!$B$7,('Control Room'!$B$8+'Control Room'!$D$8)/2)+'Control Room'!$B$9*(AD112-IF('Control Room'!$B$5="Normal",'Control Room'!$B$7,('Control Room'!$B$8+'Control Room'!$D$8)/2))+SQRT(1-'Control Room'!$B$9^2)*(AC113-IF('Control Room'!$B$5="Normal",'Control Room'!$B$7,('Control Room'!$B$8+'Control Room'!$D$8)/2))</x:f>
        <x:v>1110.4460859445865</x:v>
      </x:c>
      <x:c r="AE113" s="17" t="n">
        <x:f>IF(AND($A113&gt;='Control Room'!$A$13,$A113&lt;'Control Room'!$A$13+'Control Room'!$B$13,'Process'!BP2=1),1+('Control Room'!$C$13-1)*EXP(-0.5*(($A113-'Control Room'!$A$13-('Control Room'!$B$13-1)/2)/MAX(0.5,'Control Room'!$B$13/4))^2),1)*IF(AND($A113&gt;='Control Room'!$A$14,$A113&lt;'Control Room'!$A$14+'Control Room'!$B$14,'Process'!BP3=1),1+('Control Room'!$C$14-1)*EXP(-0.5*(($A113-'Control Room'!$A$14-('Control Room'!$B$14-1)/2)/MAX(0.5,'Control Room'!$B$14/4))^2),1)*IF(AND($A113&gt;='Control Room'!$A$15,$A113&lt;'Control Room'!$A$15+'Control Room'!$B$15,'Process'!BP4=1),1+('Control Room'!$C$15-1)*EXP(-0.5*(($A113-'Control Room'!$A$15-('Control Room'!$B$15-1)/2)/MAX(0.5,'Control Room'!$B$15/4))^2),1)*IF(AND($A113&gt;='Control Room'!$A$16,$A113&lt;'Control Room'!$A$16+'Control Room'!$B$16,'Process'!BP5=1),1+('Control Room'!$C$16-1)*EXP(-0.5*(($A113-'Control Room'!$A$16-('Control Room'!$B$16-1)/2)/MAX(0.5,'Control Room'!$B$16/4))^2),1)</x:f>
        <x:v>1</x:v>
      </x:c>
      <x:c r="AF113" s="9" t="n">
        <x:f>MOD(AG112*16807,2147483647)</x:f>
        <x:v>1601964021</x:v>
      </x:c>
      <x:c r="AG113" s="9" t="n">
        <x:f>MOD(AF113*16807,2147483647)</x:f>
        <x:v>1206818508</x:v>
      </x:c>
      <x:c r="AH113" s="17" t="n">
        <x:f>IF('Control Room'!$B$5="Normal",'Control Room'!$B$7+'Control Room'!$D$7*SQRT(-2*LN(MAX(0.000000000001,AF113/2147483647)))*COS(2*PI()*AG113/2147483647),'Control Room'!$B$8+('Control Room'!$D$8-'Control Room'!$B$8)*AF113/2147483647)</x:f>
        <x:v>936.2539059439846</x:v>
      </x:c>
      <x:c r="AI113" s="17" t="n">
        <x:f>IF('Control Room'!$B$5="Normal",'Control Room'!$B$7,('Control Room'!$B$8+'Control Room'!$D$8)/2)+'Control Room'!$B$9*(AI112-IF('Control Room'!$B$5="Normal",'Control Room'!$B$7,('Control Room'!$B$8+'Control Room'!$D$8)/2))+SQRT(1-'Control Room'!$B$9^2)*(AH113-IF('Control Room'!$B$5="Normal",'Control Room'!$B$7,('Control Room'!$B$8+'Control Room'!$D$8)/2))</x:f>
        <x:v>1029.576354349877</x:v>
      </x:c>
      <x:c r="AJ113" s="17" t="n">
        <x:f>IF(AND($A113&gt;='Control Room'!$A$13,$A113&lt;'Control Room'!$A$13+'Control Room'!$B$13,'Process'!BQ2=1),1+('Control Room'!$C$13-1)*EXP(-0.5*(($A113-'Control Room'!$A$13-('Control Room'!$B$13-1)/2)/MAX(0.5,'Control Room'!$B$13/4))^2),1)*IF(AND($A113&gt;='Control Room'!$A$14,$A113&lt;'Control Room'!$A$14+'Control Room'!$B$14,'Process'!BQ3=1),1+('Control Room'!$C$14-1)*EXP(-0.5*(($A113-'Control Room'!$A$14-('Control Room'!$B$14-1)/2)/MAX(0.5,'Control Room'!$B$14/4))^2),1)*IF(AND($A113&gt;='Control Room'!$A$15,$A113&lt;'Control Room'!$A$15+'Control Room'!$B$15,'Process'!BQ4=1),1+('Control Room'!$C$15-1)*EXP(-0.5*(($A113-'Control Room'!$A$15-('Control Room'!$B$15-1)/2)/MAX(0.5,'Control Room'!$B$15/4))^2),1)*IF(AND($A113&gt;='Control Room'!$A$16,$A113&lt;'Control Room'!$A$16+'Control Room'!$B$16,'Process'!BQ5=1),1+('Control Room'!$C$16-1)*EXP(-0.5*(($A113-'Control Room'!$A$16-('Control Room'!$B$16-1)/2)/MAX(0.5,'Control Room'!$B$16/4))^2),1)</x:f>
        <x:v>1</x:v>
      </x:c>
      <x:c r="AK113" s="9" t="n">
        <x:f>MOD(AL112*16807,2147483647)</x:f>
        <x:v>155915348</x:v>
      </x:c>
      <x:c r="AL113" s="9" t="n">
        <x:f>MOD(AK113*16807,2147483647)</x:f>
        <x:v>539204496</x:v>
      </x:c>
      <x:c r="AM113" s="17" t="n">
        <x:f>IF('Control Room'!$B$5="Normal",'Control Room'!$B$7+'Control Room'!$D$7*SQRT(-2*LN(MAX(0.000000000001,AK113/2147483647)))*COS(2*PI()*AL113/2147483647),'Control Room'!$B$8+('Control Room'!$D$8-'Control Room'!$B$8)*AK113/2147483647)</x:f>
        <x:v>998.5926401951101</x:v>
      </x:c>
      <x:c r="AN113" s="17" t="n">
        <x:f>IF('Control Room'!$B$5="Normal",'Control Room'!$B$7,('Control Room'!$B$8+'Control Room'!$D$8)/2)+'Control Room'!$B$9*(AN112-IF('Control Room'!$B$5="Normal",'Control Room'!$B$7,('Control Room'!$B$8+'Control Room'!$D$8)/2))+SQRT(1-'Control Room'!$B$9^2)*(AM113-IF('Control Room'!$B$5="Normal",'Control Room'!$B$7,('Control Room'!$B$8+'Control Room'!$D$8)/2))</x:f>
        <x:v>993.1094324781984</x:v>
      </x:c>
      <x:c r="AO113" s="17" t="n">
        <x:f>IF(AND($A113&gt;='Control Room'!$A$13,$A113&lt;'Control Room'!$A$13+'Control Room'!$B$13,'Process'!BR2=1),1+('Control Room'!$C$13-1)*EXP(-0.5*(($A113-'Control Room'!$A$13-('Control Room'!$B$13-1)/2)/MAX(0.5,'Control Room'!$B$13/4))^2),1)*IF(AND($A113&gt;='Control Room'!$A$14,$A113&lt;'Control Room'!$A$14+'Control Room'!$B$14,'Process'!BR3=1),1+('Control Room'!$C$14-1)*EXP(-0.5*(($A113-'Control Room'!$A$14-('Control Room'!$B$14-1)/2)/MAX(0.5,'Control Room'!$B$14/4))^2),1)*IF(AND($A113&gt;='Control Room'!$A$15,$A113&lt;'Control Room'!$A$15+'Control Room'!$B$15,'Process'!BR4=1),1+('Control Room'!$C$15-1)*EXP(-0.5*(($A113-'Control Room'!$A$15-('Control Room'!$B$15-1)/2)/MAX(0.5,'Control Room'!$B$15/4))^2),1)*IF(AND($A113&gt;='Control Room'!$A$16,$A113&lt;'Control Room'!$A$16+'Control Room'!$B$16,'Process'!BR5=1),1+('Control Room'!$C$16-1)*EXP(-0.5*(($A113-'Control Room'!$A$16-('Control Room'!$B$16-1)/2)/MAX(0.5,'Control Room'!$B$16/4))^2),1)</x:f>
        <x:v>1</x:v>
      </x:c>
      <x:c r="AP113" s="9" t="n">
        <x:f>MOD(AQ112*16807,2147483647)</x:f>
        <x:v>857350322</x:v>
      </x:c>
      <x:c r="AQ113" s="9" t="n">
        <x:f>MOD(AP113*16807,2147483647)</x:f>
        <x:v>2019074131</x:v>
      </x:c>
      <x:c r="AR113" s="17" t="n">
        <x:f>IF('Control Room'!$B$5="Normal",'Control Room'!$B$7+'Control Room'!$D$7*SQRT(-2*LN(MAX(0.000000000001,AP113/2147483647)))*COS(2*PI()*AQ113/2147483647),'Control Room'!$B$8+('Control Room'!$D$8-'Control Room'!$B$8)*AP113/2147483647)</x:f>
        <x:v>1113.455796808752</x:v>
      </x:c>
      <x:c r="AS113" s="17" t="n">
        <x:f>IF('Control Room'!$B$5="Normal",'Control Room'!$B$7,('Control Room'!$B$8+'Control Room'!$D$8)/2)+'Control Room'!$B$9*(AS112-IF('Control Room'!$B$5="Normal",'Control Room'!$B$7,('Control Room'!$B$8+'Control Room'!$D$8)/2))+SQRT(1-'Control Room'!$B$9^2)*(AR113-IF('Control Room'!$B$5="Normal",'Control Room'!$B$7,('Control Room'!$B$8+'Control Room'!$D$8)/2))</x:f>
        <x:v>925.1639790765603</x:v>
      </x:c>
      <x:c r="AT113" s="17" t="n">
        <x:f>IF(AND($A113&gt;='Control Room'!$A$13,$A113&lt;'Control Room'!$A$13+'Control Room'!$B$13,'Process'!BS2=1),1+('Control Room'!$C$13-1)*EXP(-0.5*(($A113-'Control Room'!$A$13-('Control Room'!$B$13-1)/2)/MAX(0.5,'Control Room'!$B$13/4))^2),1)*IF(AND($A113&gt;='Control Room'!$A$14,$A113&lt;'Control Room'!$A$14+'Control Room'!$B$14,'Process'!BS3=1),1+('Control Room'!$C$14-1)*EXP(-0.5*(($A113-'Control Room'!$A$14-('Control Room'!$B$14-1)/2)/MAX(0.5,'Control Room'!$B$14/4))^2),1)*IF(AND($A113&gt;='Control Room'!$A$15,$A113&lt;'Control Room'!$A$15+'Control Room'!$B$15,'Process'!BS4=1),1+('Control Room'!$C$15-1)*EXP(-0.5*(($A113-'Control Room'!$A$15-('Control Room'!$B$15-1)/2)/MAX(0.5,'Control Room'!$B$15/4))^2),1)*IF(AND($A113&gt;='Control Room'!$A$16,$A113&lt;'Control Room'!$A$16+'Control Room'!$B$16,'Process'!BS5=1),1+('Control Room'!$C$16-1)*EXP(-0.5*(($A113-'Control Room'!$A$16-('Control Room'!$B$16-1)/2)/MAX(0.5,'Control Room'!$B$16/4))^2),1)</x:f>
        <x:v>1</x:v>
      </x:c>
      <x:c r="AU113" s="9" t="n">
        <x:f>MOD(AV112*16807,2147483647)</x:f>
        <x:v>1558785296</x:v>
      </x:c>
      <x:c r="AV113" s="9" t="n">
        <x:f>MOD(AU113*16807,2147483647)</x:f>
        <x:v>1351460119</x:v>
      </x:c>
      <x:c r="AW113" s="17" t="n">
        <x:f>IF('Control Room'!$B$5="Normal",'Control Room'!$B$7+'Control Room'!$D$7*SQRT(-2*LN(MAX(0.000000000001,AU113/2147483647)))*COS(2*PI()*AV113/2147483647),'Control Room'!$B$8+('Control Room'!$D$8-'Control Room'!$B$8)*AU113/2147483647)</x:f>
        <x:v>950.4595301960477</x:v>
      </x:c>
      <x:c r="AX113" s="17" t="n">
        <x:f>IF('Control Room'!$B$5="Normal",'Control Room'!$B$7,('Control Room'!$B$8+'Control Room'!$D$8)/2)+'Control Room'!$B$9*(AX112-IF('Control Room'!$B$5="Normal",'Control Room'!$B$7,('Control Room'!$B$8+'Control Room'!$D$8)/2))+SQRT(1-'Control Room'!$B$9^2)*(AW113-IF('Control Room'!$B$5="Normal",'Control Room'!$B$7,('Control Room'!$B$8+'Control Room'!$D$8)/2))</x:f>
        <x:v>1065.6076493506505</x:v>
      </x:c>
      <x:c r="AY113" s="17" t="n">
        <x:f>IF(AND($A113&gt;='Control Room'!$A$13,$A113&lt;'Control Room'!$A$13+'Control Room'!$B$13,'Process'!BT2=1),1+('Control Room'!$C$13-1)*EXP(-0.5*(($A113-'Control Room'!$A$13-('Control Room'!$B$13-1)/2)/MAX(0.5,'Control Room'!$B$13/4))^2),1)*IF(AND($A113&gt;='Control Room'!$A$14,$A113&lt;'Control Room'!$A$14+'Control Room'!$B$14,'Process'!BT3=1),1+('Control Room'!$C$14-1)*EXP(-0.5*(($A113-'Control Room'!$A$14-('Control Room'!$B$14-1)/2)/MAX(0.5,'Control Room'!$B$14/4))^2),1)*IF(AND($A113&gt;='Control Room'!$A$15,$A113&lt;'Control Room'!$A$15+'Control Room'!$B$15,'Process'!BT4=1),1+('Control Room'!$C$15-1)*EXP(-0.5*(($A113-'Control Room'!$A$15-('Control Room'!$B$15-1)/2)/MAX(0.5,'Control Room'!$B$15/4))^2),1)*IF(AND($A113&gt;='Control Room'!$A$16,$A113&lt;'Control Room'!$A$16+'Control Room'!$B$16,'Process'!BT5=1),1+('Control Room'!$C$16-1)*EXP(-0.5*(($A113-'Control Room'!$A$16-('Control Room'!$B$16-1)/2)/MAX(0.5,'Control Room'!$B$16/4))^2),1)</x:f>
        <x:v>1</x:v>
      </x:c>
      <x:c r="AZ113" s="9" t="n">
        <x:f>MOD(BA112*16807,2147483647)</x:f>
        <x:v>112736623</x:v>
      </x:c>
      <x:c r="BA113" s="9" t="n">
        <x:f>MOD(AZ113*16807,2147483647)</x:f>
        <x:v>683846107</x:v>
      </x:c>
      <x:c r="BB113" s="17" t="n">
        <x:f>IF('Control Room'!$B$5="Normal",'Control Room'!$B$7+'Control Room'!$D$7*SQRT(-2*LN(MAX(0.000000000001,AZ113/2147483647)))*COS(2*PI()*BA113/2147483647),'Control Room'!$B$8+('Control Room'!$D$8-'Control Room'!$B$8)*AZ113/2147483647)</x:f>
        <x:v>908.909543050836</x:v>
      </x:c>
      <x:c r="BC113" s="17" t="n">
        <x:f>IF('Control Room'!$B$5="Normal",'Control Room'!$B$7,('Control Room'!$B$8+'Control Room'!$D$8)/2)+'Control Room'!$B$9*(BC112-IF('Control Room'!$B$5="Normal",'Control Room'!$B$7,('Control Room'!$B$8+'Control Room'!$D$8)/2))+SQRT(1-'Control Room'!$B$9^2)*(BB113-IF('Control Room'!$B$5="Normal",'Control Room'!$B$7,('Control Room'!$B$8+'Control Room'!$D$8)/2))</x:f>
        <x:v>980.634108030985</x:v>
      </x:c>
      <x:c r="BD113" s="17" t="n">
        <x:f>IF(AND($A113&gt;='Control Room'!$A$13,$A113&lt;'Control Room'!$A$13+'Control Room'!$B$13,'Process'!BU2=1),1+('Control Room'!$C$13-1)*EXP(-0.5*(($A113-'Control Room'!$A$13-('Control Room'!$B$13-1)/2)/MAX(0.5,'Control Room'!$B$13/4))^2),1)*IF(AND($A113&gt;='Control Room'!$A$14,$A113&lt;'Control Room'!$A$14+'Control Room'!$B$14,'Process'!BU3=1),1+('Control Room'!$C$14-1)*EXP(-0.5*(($A113-'Control Room'!$A$14-('Control Room'!$B$14-1)/2)/MAX(0.5,'Control Room'!$B$14/4))^2),1)*IF(AND($A113&gt;='Control Room'!$A$15,$A113&lt;'Control Room'!$A$15+'Control Room'!$B$15,'Process'!BU4=1),1+('Control Room'!$C$15-1)*EXP(-0.5*(($A113-'Control Room'!$A$15-('Control Room'!$B$15-1)/2)/MAX(0.5,'Control Room'!$B$15/4))^2),1)*IF(AND($A113&gt;='Control Room'!$A$16,$A113&lt;'Control Room'!$A$16+'Control Room'!$B$16,'Process'!BU5=1),1+('Control Room'!$C$16-1)*EXP(-0.5*(($A113-'Control Room'!$A$16-('Control Room'!$B$16-1)/2)/MAX(0.5,'Control Room'!$B$16/4))^2),1)</x:f>
        <x:v>1</x:v>
      </x:c>
      <x:c r="BE113" s="9" t="n">
        <x:f>MOD(BF112*16807,2147483647)</x:f>
        <x:v>814171597</x:v>
      </x:c>
      <x:c r="BF113" s="9" t="n">
        <x:f>MOD(BE113*16807,2147483647)</x:f>
        <x:v>16232095</x:v>
      </x:c>
      <x:c r="BG113" s="17" t="n">
        <x:f>IF('Control Room'!$B$5="Normal",'Control Room'!$B$7+'Control Room'!$D$7*SQRT(-2*LN(MAX(0.000000000001,BE113/2147483647)))*COS(2*PI()*BF113/2147483647),'Control Room'!$B$8+('Control Room'!$D$8-'Control Room'!$B$8)*BE113/2147483647)</x:f>
        <x:v>1125.206461221356</x:v>
      </x:c>
      <x:c r="BH113" s="17" t="n">
        <x:f>IF('Control Room'!$B$5="Normal",'Control Room'!$B$7,('Control Room'!$B$8+'Control Room'!$D$8)/2)+'Control Room'!$B$9*(BH112-IF('Control Room'!$B$5="Normal",'Control Room'!$B$7,('Control Room'!$B$8+'Control Room'!$D$8)/2))+SQRT(1-'Control Room'!$B$9^2)*(BG113-IF('Control Room'!$B$5="Normal",'Control Room'!$B$7,('Control Room'!$B$8+'Control Room'!$D$8)/2))</x:f>
        <x:v>1196.684306286768</x:v>
      </x:c>
      <x:c r="BI113" s="17" t="n">
        <x:f>IF(AND($A113&gt;='Control Room'!$A$13,$A113&lt;'Control Room'!$A$13+'Control Room'!$B$13,'Process'!BV2=1),1+('Control Room'!$C$13-1)*EXP(-0.5*(($A113-'Control Room'!$A$13-('Control Room'!$B$13-1)/2)/MAX(0.5,'Control Room'!$B$13/4))^2),1)*IF(AND($A113&gt;='Control Room'!$A$14,$A113&lt;'Control Room'!$A$14+'Control Room'!$B$14,'Process'!BV3=1),1+('Control Room'!$C$14-1)*EXP(-0.5*(($A113-'Control Room'!$A$14-('Control Room'!$B$14-1)/2)/MAX(0.5,'Control Room'!$B$14/4))^2),1)*IF(AND($A113&gt;='Control Room'!$A$15,$A113&lt;'Control Room'!$A$15+'Control Room'!$B$15,'Process'!BV4=1),1+('Control Room'!$C$15-1)*EXP(-0.5*(($A113-'Control Room'!$A$15-('Control Room'!$B$15-1)/2)/MAX(0.5,'Control Room'!$B$15/4))^2),1)*IF(AND($A113&gt;='Control Room'!$A$16,$A113&lt;'Control Room'!$A$16+'Control Room'!$B$16,'Process'!BV5=1),1+('Control Room'!$C$16-1)*EXP(-0.5*(($A113-'Control Room'!$A$16-('Control Room'!$B$16-1)/2)/MAX(0.5,'Control Room'!$B$16/4))^2),1)</x:f>
        <x:v>1</x:v>
      </x:c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Z113" t="str">
        <x:f>IF('Data'!A113="","",TEXT('Data'!A113,"mm-dd"))</x:f>
        <x:v>02-21</x:v>
      </x:c>
    </x:row>
    <x:row r="114" ht="21" customHeight="1">
      <x:c r="A114" s="15" t="n">
        <x:f>'Control Room'!$B$1+112</x:f>
        <x:v>73103</x:v>
      </x:c>
      <x:c r="B114" s="9" t="n">
        <x:f>MOD(C113*16807,2147483647)</x:f>
        <x:v>2082966342</x:v>
      </x:c>
      <x:c r="C114" s="9" t="n">
        <x:f>MOD(B114*16807,2147483647)</x:f>
        <x:v>136896600</x:v>
      </x:c>
      <x:c r="D114" s="17" t="n">
        <x:f>IF('Control Room'!$B$5="Normal",'Control Room'!$B$7+'Control Room'!$D$7*SQRT(-2*LN(MAX(0.000000000001,B114/2147483647)))*COS(2*PI()*C114/2147483647),'Control Room'!$B$8+('Control Room'!$D$8-'Control Room'!$B$8)*B114/2147483647)</x:f>
        <x:v>1020.4702845016168</x:v>
      </x:c>
      <x:c r="E114" s="17" t="n">
        <x:f>IF('Control Room'!$B$5="Normal",'Control Room'!$B$7,('Control Room'!$B$8+'Control Room'!$D$8)/2)+'Control Room'!$B$9*(E113-IF('Control Room'!$B$5="Normal",'Control Room'!$B$7,('Control Room'!$B$8+'Control Room'!$D$8)/2))+SQRT(1-'Control Room'!$B$9^2)*(D114-IF('Control Room'!$B$5="Normal",'Control Room'!$B$7,('Control Room'!$B$8+'Control Room'!$D$8)/2))</x:f>
        <x:v>866.6697022281134</x:v>
      </x:c>
      <x:c r="F114" s="17" t="n">
        <x:f>IF(AND($A114&gt;='Control Room'!$A$13,$A114&lt;'Control Room'!$A$13+'Control Room'!$B$13,'Process'!BK2=1),1+('Control Room'!$C$13-1)*EXP(-0.5*(($A114-'Control Room'!$A$13-('Control Room'!$B$13-1)/2)/MAX(0.5,'Control Room'!$B$13/4))^2),1)*IF(AND($A114&gt;='Control Room'!$A$14,$A114&lt;'Control Room'!$A$14+'Control Room'!$B$14,'Process'!BK3=1),1+('Control Room'!$C$14-1)*EXP(-0.5*(($A114-'Control Room'!$A$14-('Control Room'!$B$14-1)/2)/MAX(0.5,'Control Room'!$B$14/4))^2),1)*IF(AND($A114&gt;='Control Room'!$A$15,$A114&lt;'Control Room'!$A$15+'Control Room'!$B$15,'Process'!BK4=1),1+('Control Room'!$C$15-1)*EXP(-0.5*(($A114-'Control Room'!$A$15-('Control Room'!$B$15-1)/2)/MAX(0.5,'Control Room'!$B$15/4))^2),1)*IF(AND($A114&gt;='Control Room'!$A$16,$A114&lt;'Control Room'!$A$16+'Control Room'!$B$16,'Process'!BK5=1),1+('Control Room'!$C$16-1)*EXP(-0.5*(($A114-'Control Room'!$A$16-('Control Room'!$B$16-1)/2)/MAX(0.5,'Control Room'!$B$16/4))^2),1)</x:f>
        <x:v>1</x:v>
      </x:c>
      <x:c r="G114" s="9" t="n">
        <x:f>MOD(H113*16807,2147483647)</x:f>
        <x:v>2096322233</x:v>
      </x:c>
      <x:c r="H114" s="9" t="n">
        <x:f>MOD(G114*16807,2147483647)</x:f>
        <x:v>1271057349</x:v>
      </x:c>
      <x:c r="I114" s="17" t="n">
        <x:f>IF('Control Room'!$B$5="Normal",'Control Room'!$B$7+'Control Room'!$D$7*SQRT(-2*LN(MAX(0.000000000001,G114/2147483647)))*COS(2*PI()*H114/2147483647),'Control Room'!$B$8+('Control Room'!$D$8-'Control Room'!$B$8)*G114/2147483647)</x:f>
        <x:v>983.4390429044165</x:v>
      </x:c>
      <x:c r="J114" s="17" t="n">
        <x:f>IF('Control Room'!$B$5="Normal",'Control Room'!$B$7,('Control Room'!$B$8+'Control Room'!$D$8)/2)+'Control Room'!$B$9*(J113-IF('Control Room'!$B$5="Normal",'Control Room'!$B$7,('Control Room'!$B$8+'Control Room'!$D$8)/2))+SQRT(1-'Control Room'!$B$9^2)*(I114-IF('Control Room'!$B$5="Normal",'Control Room'!$B$7,('Control Room'!$B$8+'Control Room'!$D$8)/2))</x:f>
        <x:v>1133.2143345592401</x:v>
      </x:c>
      <x:c r="K114" s="17" t="n">
        <x:f>IF(AND($A114&gt;='Control Room'!$A$13,$A114&lt;'Control Room'!$A$13+'Control Room'!$B$13,'Process'!BL2=1),1+('Control Room'!$C$13-1)*EXP(-0.5*(($A114-'Control Room'!$A$13-('Control Room'!$B$13-1)/2)/MAX(0.5,'Control Room'!$B$13/4))^2),1)*IF(AND($A114&gt;='Control Room'!$A$14,$A114&lt;'Control Room'!$A$14+'Control Room'!$B$14,'Process'!BL3=1),1+('Control Room'!$C$14-1)*EXP(-0.5*(($A114-'Control Room'!$A$14-('Control Room'!$B$14-1)/2)/MAX(0.5,'Control Room'!$B$14/4))^2),1)*IF(AND($A114&gt;='Control Room'!$A$15,$A114&lt;'Control Room'!$A$15+'Control Room'!$B$15,'Process'!BL4=1),1+('Control Room'!$C$15-1)*EXP(-0.5*(($A114-'Control Room'!$A$15-('Control Room'!$B$15-1)/2)/MAX(0.5,'Control Room'!$B$15/4))^2),1)*IF(AND($A114&gt;='Control Room'!$A$16,$A114&lt;'Control Room'!$A$16+'Control Room'!$B$16,'Process'!BL5=1),1+('Control Room'!$C$16-1)*EXP(-0.5*(($A114-'Control Room'!$A$16-('Control Room'!$B$16-1)/2)/MAX(0.5,'Control Room'!$B$16/4))^2),1)</x:f>
        <x:v>1</x:v>
      </x:c>
      <x:c r="L114" s="9" t="n">
        <x:f>MOD(M113*16807,2147483647)</x:f>
        <x:v>2109678124</x:v>
      </x:c>
      <x:c r="M114" s="9" t="n">
        <x:f>MOD(L114*16807,2147483647)</x:f>
        <x:v>257734451</x:v>
      </x:c>
      <x:c r="N114" s="17" t="n">
        <x:f>IF('Control Room'!$B$5="Normal",'Control Room'!$B$7+'Control Room'!$D$7*SQRT(-2*LN(MAX(0.000000000001,L114/2147483647)))*COS(2*PI()*M114/2147483647),'Control Room'!$B$8+('Control Room'!$D$8-'Control Room'!$B$8)*L114/2147483647)</x:f>
        <x:v>1012.3640611804286</x:v>
      </x:c>
      <x:c r="O114" s="17" t="n">
        <x:f>IF('Control Room'!$B$5="Normal",'Control Room'!$B$7,('Control Room'!$B$8+'Control Room'!$D$8)/2)+'Control Room'!$B$9*(O113-IF('Control Room'!$B$5="Normal",'Control Room'!$B$7,('Control Room'!$B$8+'Control Room'!$D$8)/2))+SQRT(1-'Control Room'!$B$9^2)*(N114-IF('Control Room'!$B$5="Normal",'Control Room'!$B$7,('Control Room'!$B$8+'Control Room'!$D$8)/2))</x:f>
        <x:v>1005.7029414337369</x:v>
      </x:c>
      <x:c r="P114" s="17" t="n">
        <x:f>IF(AND($A114&gt;='Control Room'!$A$13,$A114&lt;'Control Room'!$A$13+'Control Room'!$B$13,'Process'!BM2=1),1+('Control Room'!$C$13-1)*EXP(-0.5*(($A114-'Control Room'!$A$13-('Control Room'!$B$13-1)/2)/MAX(0.5,'Control Room'!$B$13/4))^2),1)*IF(AND($A114&gt;='Control Room'!$A$14,$A114&lt;'Control Room'!$A$14+'Control Room'!$B$14,'Process'!BM3=1),1+('Control Room'!$C$14-1)*EXP(-0.5*(($A114-'Control Room'!$A$14-('Control Room'!$B$14-1)/2)/MAX(0.5,'Control Room'!$B$14/4))^2),1)*IF(AND($A114&gt;='Control Room'!$A$15,$A114&lt;'Control Room'!$A$15+'Control Room'!$B$15,'Process'!BM4=1),1+('Control Room'!$C$15-1)*EXP(-0.5*(($A114-'Control Room'!$A$15-('Control Room'!$B$15-1)/2)/MAX(0.5,'Control Room'!$B$15/4))^2),1)*IF(AND($A114&gt;='Control Room'!$A$16,$A114&lt;'Control Room'!$A$16+'Control Room'!$B$16,'Process'!BM5=1),1+('Control Room'!$C$16-1)*EXP(-0.5*(($A114-'Control Room'!$A$16-('Control Room'!$B$16-1)/2)/MAX(0.5,'Control Room'!$B$16/4))^2),1)</x:f>
        <x:v>1</x:v>
      </x:c>
      <x:c r="Q114" s="9" t="n">
        <x:f>MOD(R113*16807,2147483647)</x:f>
        <x:v>2123034015</x:v>
      </x:c>
      <x:c r="R114" s="9" t="n">
        <x:f>MOD(Q114*16807,2147483647)</x:f>
        <x:v>1391895200</x:v>
      </x:c>
      <x:c r="S114" s="17" t="n">
        <x:f>IF('Control Room'!$B$5="Normal",'Control Room'!$B$7+'Control Room'!$D$7*SQRT(-2*LN(MAX(0.000000000001,Q114/2147483647)))*COS(2*PI()*R114/2147483647),'Control Room'!$B$8+('Control Room'!$D$8-'Control Room'!$B$8)*Q114/2147483647)</x:f>
        <x:v>991.8670630418857</x:v>
      </x:c>
      <x:c r="T114" s="17" t="n">
        <x:f>IF('Control Room'!$B$5="Normal",'Control Room'!$B$7,('Control Room'!$B$8+'Control Room'!$D$8)/2)+'Control Room'!$B$9*(T113-IF('Control Room'!$B$5="Normal",'Control Room'!$B$7,('Control Room'!$B$8+'Control Room'!$D$8)/2))+SQRT(1-'Control Room'!$B$9^2)*(S114-IF('Control Room'!$B$5="Normal",'Control Room'!$B$7,('Control Room'!$B$8+'Control Room'!$D$8)/2))</x:f>
        <x:v>947.9402909592428</x:v>
      </x:c>
      <x:c r="U114" s="17" t="n">
        <x:f>IF(AND($A114&gt;='Control Room'!$A$13,$A114&lt;'Control Room'!$A$13+'Control Room'!$B$13,'Process'!BN2=1),1+('Control Room'!$C$13-1)*EXP(-0.5*(($A114-'Control Room'!$A$13-('Control Room'!$B$13-1)/2)/MAX(0.5,'Control Room'!$B$13/4))^2),1)*IF(AND($A114&gt;='Control Room'!$A$14,$A114&lt;'Control Room'!$A$14+'Control Room'!$B$14,'Process'!BN3=1),1+('Control Room'!$C$14-1)*EXP(-0.5*(($A114-'Control Room'!$A$14-('Control Room'!$B$14-1)/2)/MAX(0.5,'Control Room'!$B$14/4))^2),1)*IF(AND($A114&gt;='Control Room'!$A$15,$A114&lt;'Control Room'!$A$15+'Control Room'!$B$15,'Process'!BN4=1),1+('Control Room'!$C$15-1)*EXP(-0.5*(($A114-'Control Room'!$A$15-('Control Room'!$B$15-1)/2)/MAX(0.5,'Control Room'!$B$15/4))^2),1)*IF(AND($A114&gt;='Control Room'!$A$16,$A114&lt;'Control Room'!$A$16+'Control Room'!$B$16,'Process'!BN5=1),1+('Control Room'!$C$16-1)*EXP(-0.5*(($A114-'Control Room'!$A$16-('Control Room'!$B$16-1)/2)/MAX(0.5,'Control Room'!$B$16/4))^2),1)</x:f>
        <x:v>1</x:v>
      </x:c>
      <x:c r="V114" s="9" t="n">
        <x:f>MOD(W113*16807,2147483647)</x:f>
        <x:v>2136389906</x:v>
      </x:c>
      <x:c r="W114" s="9" t="n">
        <x:f>MOD(V114*16807,2147483647)</x:f>
        <x:v>378572302</x:v>
      </x:c>
      <x:c r="X114" s="17" t="n">
        <x:f>IF('Control Room'!$B$5="Normal",'Control Room'!$B$7+'Control Room'!$D$7*SQRT(-2*LN(MAX(0.000000000001,V114/2147483647)))*COS(2*PI()*W114/2147483647),'Control Room'!$B$8+('Control Room'!$D$8-'Control Room'!$B$8)*V114/2147483647)</x:f>
        <x:v>1004.0924297412136</x:v>
      </x:c>
      <x:c r="Y114" s="17" t="n">
        <x:f>IF('Control Room'!$B$5="Normal",'Control Room'!$B$7,('Control Room'!$B$8+'Control Room'!$D$8)/2)+'Control Room'!$B$9*(Y113-IF('Control Room'!$B$5="Normal",'Control Room'!$B$7,('Control Room'!$B$8+'Control Room'!$D$8)/2))+SQRT(1-'Control Room'!$B$9^2)*(X114-IF('Control Room'!$B$5="Normal",'Control Room'!$B$7,('Control Room'!$B$8+'Control Room'!$D$8)/2))</x:f>
        <x:v>999.5847638140733</x:v>
      </x:c>
      <x:c r="Z114" s="17" t="n">
        <x:f>IF(AND($A114&gt;='Control Room'!$A$13,$A114&lt;'Control Room'!$A$13+'Control Room'!$B$13,'Process'!BO2=1),1+('Control Room'!$C$13-1)*EXP(-0.5*(($A114-'Control Room'!$A$13-('Control Room'!$B$13-1)/2)/MAX(0.5,'Control Room'!$B$13/4))^2),1)*IF(AND($A114&gt;='Control Room'!$A$14,$A114&lt;'Control Room'!$A$14+'Control Room'!$B$14,'Process'!BO3=1),1+('Control Room'!$C$14-1)*EXP(-0.5*(($A114-'Control Room'!$A$14-('Control Room'!$B$14-1)/2)/MAX(0.5,'Control Room'!$B$14/4))^2),1)*IF(AND($A114&gt;='Control Room'!$A$15,$A114&lt;'Control Room'!$A$15+'Control Room'!$B$15,'Process'!BO4=1),1+('Control Room'!$C$15-1)*EXP(-0.5*(($A114-'Control Room'!$A$15-('Control Room'!$B$15-1)/2)/MAX(0.5,'Control Room'!$B$15/4))^2),1)*IF(AND($A114&gt;='Control Room'!$A$16,$A114&lt;'Control Room'!$A$16+'Control Room'!$B$16,'Process'!BO5=1),1+('Control Room'!$C$16-1)*EXP(-0.5*(($A114-'Control Room'!$A$16-('Control Room'!$B$16-1)/2)/MAX(0.5,'Control Room'!$B$16/4))^2),1)</x:f>
        <x:v>1</x:v>
      </x:c>
      <x:c r="AA114" s="9" t="n">
        <x:f>MOD(AB113*16807,2147483647)</x:f>
        <x:v>2262150</x:v>
      </x:c>
      <x:c r="AB114" s="9" t="n">
        <x:f>MOD(AA114*16807,2147483647)</x:f>
        <x:v>1512733051</x:v>
      </x:c>
      <x:c r="AC114" s="17" t="n">
        <x:f>IF('Control Room'!$B$5="Normal",'Control Room'!$B$7+'Control Room'!$D$7*SQRT(-2*LN(MAX(0.000000000001,AA114/2147483647)))*COS(2*PI()*AB114/2147483647),'Control Room'!$B$8+('Control Room'!$D$8-'Control Room'!$B$8)*AA114/2147483647)</x:f>
        <x:v>905.8599384226173</x:v>
      </x:c>
      <x:c r="AD114" s="17" t="n">
        <x:f>IF('Control Room'!$B$5="Normal",'Control Room'!$B$7,('Control Room'!$B$8+'Control Room'!$D$8)/2)+'Control Room'!$B$9*(AD113-IF('Control Room'!$B$5="Normal",'Control Room'!$B$7,('Control Room'!$B$8+'Control Room'!$D$8)/2))+SQRT(1-'Control Room'!$B$9^2)*(AC114-IF('Control Room'!$B$5="Normal",'Control Room'!$B$7,('Control Room'!$B$8+'Control Room'!$D$8)/2))</x:f>
        <x:v>1027.2370250656395</x:v>
      </x:c>
      <x:c r="AE114" s="17" t="n">
        <x:f>IF(AND($A114&gt;='Control Room'!$A$13,$A114&lt;'Control Room'!$A$13+'Control Room'!$B$13,'Process'!BP2=1),1+('Control Room'!$C$13-1)*EXP(-0.5*(($A114-'Control Room'!$A$13-('Control Room'!$B$13-1)/2)/MAX(0.5,'Control Room'!$B$13/4))^2),1)*IF(AND($A114&gt;='Control Room'!$A$14,$A114&lt;'Control Room'!$A$14+'Control Room'!$B$14,'Process'!BP3=1),1+('Control Room'!$C$14-1)*EXP(-0.5*(($A114-'Control Room'!$A$14-('Control Room'!$B$14-1)/2)/MAX(0.5,'Control Room'!$B$14/4))^2),1)*IF(AND($A114&gt;='Control Room'!$A$15,$A114&lt;'Control Room'!$A$15+'Control Room'!$B$15,'Process'!BP4=1),1+('Control Room'!$C$15-1)*EXP(-0.5*(($A114-'Control Room'!$A$15-('Control Room'!$B$15-1)/2)/MAX(0.5,'Control Room'!$B$15/4))^2),1)*IF(AND($A114&gt;='Control Room'!$A$16,$A114&lt;'Control Room'!$A$16+'Control Room'!$B$16,'Process'!BP5=1),1+('Control Room'!$C$16-1)*EXP(-0.5*(($A114-'Control Room'!$A$16-('Control Room'!$B$16-1)/2)/MAX(0.5,'Control Room'!$B$16/4))^2),1)</x:f>
        <x:v>1</x:v>
      </x:c>
      <x:c r="AF114" s="9" t="n">
        <x:f>MOD(AG113*16807,2147483647)</x:f>
        <x:v>15618041</x:v>
      </x:c>
      <x:c r="AG114" s="9" t="n">
        <x:f>MOD(AF114*16807,2147483647)</x:f>
        <x:v>499410153</x:v>
      </x:c>
      <x:c r="AH114" s="17" t="n">
        <x:f>IF('Control Room'!$B$5="Normal",'Control Room'!$B$7+'Control Room'!$D$7*SQRT(-2*LN(MAX(0.000000000001,AF114/2147483647)))*COS(2*PI()*AG114/2147483647),'Control Room'!$B$8+('Control Room'!$D$8-'Control Room'!$B$8)*AF114/2147483647)</x:f>
        <x:v>1030.892758985098</x:v>
      </x:c>
      <x:c r="AI114" s="17" t="n">
        <x:f>IF('Control Room'!$B$5="Normal",'Control Room'!$B$7,('Control Room'!$B$8+'Control Room'!$D$8)/2)+'Control Room'!$B$9*(AI113-IF('Control Room'!$B$5="Normal",'Control Room'!$B$7,('Control Room'!$B$8+'Control Room'!$D$8)/2))+SQRT(1-'Control Room'!$B$9^2)*(AH114-IF('Control Room'!$B$5="Normal",'Control Room'!$B$7,('Control Room'!$B$8+'Control Room'!$D$8)/2))</x:f>
        <x:v>1042.4016120932108</x:v>
      </x:c>
      <x:c r="AJ114" s="17" t="n">
        <x:f>IF(AND($A114&gt;='Control Room'!$A$13,$A114&lt;'Control Room'!$A$13+'Control Room'!$B$13,'Process'!BQ2=1),1+('Control Room'!$C$13-1)*EXP(-0.5*(($A114-'Control Room'!$A$13-('Control Room'!$B$13-1)/2)/MAX(0.5,'Control Room'!$B$13/4))^2),1)*IF(AND($A114&gt;='Control Room'!$A$14,$A114&lt;'Control Room'!$A$14+'Control Room'!$B$14,'Process'!BQ3=1),1+('Control Room'!$C$14-1)*EXP(-0.5*(($A114-'Control Room'!$A$14-('Control Room'!$B$14-1)/2)/MAX(0.5,'Control Room'!$B$14/4))^2),1)*IF(AND($A114&gt;='Control Room'!$A$15,$A114&lt;'Control Room'!$A$15+'Control Room'!$B$15,'Process'!BQ4=1),1+('Control Room'!$C$15-1)*EXP(-0.5*(($A114-'Control Room'!$A$15-('Control Room'!$B$15-1)/2)/MAX(0.5,'Control Room'!$B$15/4))^2),1)*IF(AND($A114&gt;='Control Room'!$A$16,$A114&lt;'Control Room'!$A$16+'Control Room'!$B$16,'Process'!BQ5=1),1+('Control Room'!$C$16-1)*EXP(-0.5*(($A114-'Control Room'!$A$16-('Control Room'!$B$16-1)/2)/MAX(0.5,'Control Room'!$B$16/4))^2),1)</x:f>
        <x:v>1</x:v>
      </x:c>
      <x:c r="AK114" s="9" t="n">
        <x:f>MOD(AL113*16807,2147483647)</x:f>
        <x:v>28973932</x:v>
      </x:c>
      <x:c r="AL114" s="9" t="n">
        <x:f>MOD(AK114*16807,2147483647)</x:f>
        <x:v>1633570902</x:v>
      </x:c>
      <x:c r="AM114" s="17" t="n">
        <x:f>IF('Control Room'!$B$5="Normal",'Control Room'!$B$7+'Control Room'!$D$7*SQRT(-2*LN(MAX(0.000000000001,AK114/2147483647)))*COS(2*PI()*AL114/2147483647),'Control Room'!$B$8+('Control Room'!$D$8-'Control Room'!$B$8)*AK114/2147483647)</x:f>
        <x:v>1017.7271007651648</x:v>
      </x:c>
      <x:c r="AN114" s="17" t="n">
        <x:f>IF('Control Room'!$B$5="Normal",'Control Room'!$B$7,('Control Room'!$B$8+'Control Room'!$D$8)/2)+'Control Room'!$B$9*(AN113-IF('Control Room'!$B$5="Normal",'Control Room'!$B$7,('Control Room'!$B$8+'Control Room'!$D$8)/2))+SQRT(1-'Control Room'!$B$9^2)*(AM114-IF('Control Room'!$B$5="Normal",'Control Room'!$B$7,('Control Room'!$B$8+'Control Room'!$D$8)/2))</x:f>
        <x:v>1005.7186138324363</x:v>
      </x:c>
      <x:c r="AO114" s="17" t="n">
        <x:f>IF(AND($A114&gt;='Control Room'!$A$13,$A114&lt;'Control Room'!$A$13+'Control Room'!$B$13,'Process'!BR2=1),1+('Control Room'!$C$13-1)*EXP(-0.5*(($A114-'Control Room'!$A$13-('Control Room'!$B$13-1)/2)/MAX(0.5,'Control Room'!$B$13/4))^2),1)*IF(AND($A114&gt;='Control Room'!$A$14,$A114&lt;'Control Room'!$A$14+'Control Room'!$B$14,'Process'!BR3=1),1+('Control Room'!$C$14-1)*EXP(-0.5*(($A114-'Control Room'!$A$14-('Control Room'!$B$14-1)/2)/MAX(0.5,'Control Room'!$B$14/4))^2),1)*IF(AND($A114&gt;='Control Room'!$A$15,$A114&lt;'Control Room'!$A$15+'Control Room'!$B$15,'Process'!BR4=1),1+('Control Room'!$C$15-1)*EXP(-0.5*(($A114-'Control Room'!$A$15-('Control Room'!$B$15-1)/2)/MAX(0.5,'Control Room'!$B$15/4))^2),1)*IF(AND($A114&gt;='Control Room'!$A$16,$A114&lt;'Control Room'!$A$16+'Control Room'!$B$16,'Process'!BR5=1),1+('Control Room'!$C$16-1)*EXP(-0.5*(($A114-'Control Room'!$A$16-('Control Room'!$B$16-1)/2)/MAX(0.5,'Control Room'!$B$16/4))^2),1)</x:f>
        <x:v>1</x:v>
      </x:c>
      <x:c r="AP114" s="9" t="n">
        <x:f>MOD(AQ113*16807,2147483647)</x:f>
        <x:v>42329823</x:v>
      </x:c>
      <x:c r="AQ114" s="9" t="n">
        <x:f>MOD(AP114*16807,2147483647)</x:f>
        <x:v>620248004</x:v>
      </x:c>
      <x:c r="AR114" s="17" t="n">
        <x:f>IF('Control Room'!$B$5="Normal",'Control Room'!$B$7+'Control Room'!$D$7*SQRT(-2*LN(MAX(0.000000000001,AP114/2147483647)))*COS(2*PI()*AQ114/2147483647),'Control Room'!$B$8+('Control Room'!$D$8-'Control Room'!$B$8)*AP114/2147483647)</x:f>
        <x:v>939.08218833957</x:v>
      </x:c>
      <x:c r="AS114" s="17" t="n">
        <x:f>IF('Control Room'!$B$5="Normal",'Control Room'!$B$7,('Control Room'!$B$8+'Control Room'!$D$8)/2)+'Control Room'!$B$9*(AS113-IF('Control Room'!$B$5="Normal",'Control Room'!$B$7,('Control Room'!$B$8+'Control Room'!$D$8)/2))+SQRT(1-'Control Room'!$B$9^2)*(AR114-IF('Control Room'!$B$5="Normal",'Control Room'!$B$7,('Control Room'!$B$8+'Control Room'!$D$8)/2))</x:f>
        <x:v>903.506785111825</x:v>
      </x:c>
      <x:c r="AT114" s="17" t="n">
        <x:f>IF(AND($A114&gt;='Control Room'!$A$13,$A114&lt;'Control Room'!$A$13+'Control Room'!$B$13,'Process'!BS2=1),1+('Control Room'!$C$13-1)*EXP(-0.5*(($A114-'Control Room'!$A$13-('Control Room'!$B$13-1)/2)/MAX(0.5,'Control Room'!$B$13/4))^2),1)*IF(AND($A114&gt;='Control Room'!$A$14,$A114&lt;'Control Room'!$A$14+'Control Room'!$B$14,'Process'!BS3=1),1+('Control Room'!$C$14-1)*EXP(-0.5*(($A114-'Control Room'!$A$14-('Control Room'!$B$14-1)/2)/MAX(0.5,'Control Room'!$B$14/4))^2),1)*IF(AND($A114&gt;='Control Room'!$A$15,$A114&lt;'Control Room'!$A$15+'Control Room'!$B$15,'Process'!BS4=1),1+('Control Room'!$C$15-1)*EXP(-0.5*(($A114-'Control Room'!$A$15-('Control Room'!$B$15-1)/2)/MAX(0.5,'Control Room'!$B$15/4))^2),1)*IF(AND($A114&gt;='Control Room'!$A$16,$A114&lt;'Control Room'!$A$16+'Control Room'!$B$16,'Process'!BS5=1),1+('Control Room'!$C$16-1)*EXP(-0.5*(($A114-'Control Room'!$A$16-('Control Room'!$B$16-1)/2)/MAX(0.5,'Control Room'!$B$16/4))^2),1)</x:f>
        <x:v>1</x:v>
      </x:c>
      <x:c r="AU114" s="9" t="n">
        <x:f>MOD(AV113*16807,2147483647)</x:f>
        <x:v>55685714</x:v>
      </x:c>
      <x:c r="AV114" s="9" t="n">
        <x:f>MOD(AU114*16807,2147483647)</x:f>
        <x:v>1754408753</x:v>
      </x:c>
      <x:c r="AW114" s="17" t="n">
        <x:f>IF('Control Room'!$B$5="Normal",'Control Room'!$B$7+'Control Room'!$D$7*SQRT(-2*LN(MAX(0.000000000001,AU114/2147483647)))*COS(2*PI()*AV114/2147483647),'Control Room'!$B$8+('Control Room'!$D$8-'Control Room'!$B$8)*AU114/2147483647)</x:f>
        <x:v>1099.346033451716</x:v>
      </x:c>
      <x:c r="AX114" s="17" t="n">
        <x:f>IF('Control Room'!$B$5="Normal",'Control Room'!$B$7,('Control Room'!$B$8+'Control Room'!$D$8)/2)+'Control Room'!$B$9*(AX113-IF('Control Room'!$B$5="Normal",'Control Room'!$B$7,('Control Room'!$B$8+'Control Room'!$D$8)/2))+SQRT(1-'Control Room'!$B$9^2)*(AW114-IF('Control Room'!$B$5="Normal",'Control Room'!$B$7,('Control Room'!$B$8+'Control Room'!$D$8)/2))</x:f>
        <x:v>1113.3426790134722</x:v>
      </x:c>
      <x:c r="AY114" s="17" t="n">
        <x:f>IF(AND($A114&gt;='Control Room'!$A$13,$A114&lt;'Control Room'!$A$13+'Control Room'!$B$13,'Process'!BT2=1),1+('Control Room'!$C$13-1)*EXP(-0.5*(($A114-'Control Room'!$A$13-('Control Room'!$B$13-1)/2)/MAX(0.5,'Control Room'!$B$13/4))^2),1)*IF(AND($A114&gt;='Control Room'!$A$14,$A114&lt;'Control Room'!$A$14+'Control Room'!$B$14,'Process'!BT3=1),1+('Control Room'!$C$14-1)*EXP(-0.5*(($A114-'Control Room'!$A$14-('Control Room'!$B$14-1)/2)/MAX(0.5,'Control Room'!$B$14/4))^2),1)*IF(AND($A114&gt;='Control Room'!$A$15,$A114&lt;'Control Room'!$A$15+'Control Room'!$B$15,'Process'!BT4=1),1+('Control Room'!$C$15-1)*EXP(-0.5*(($A114-'Control Room'!$A$15-('Control Room'!$B$15-1)/2)/MAX(0.5,'Control Room'!$B$15/4))^2),1)*IF(AND($A114&gt;='Control Room'!$A$16,$A114&lt;'Control Room'!$A$16+'Control Room'!$B$16,'Process'!BT5=1),1+('Control Room'!$C$16-1)*EXP(-0.5*(($A114-'Control Room'!$A$16-('Control Room'!$B$16-1)/2)/MAX(0.5,'Control Room'!$B$16/4))^2),1)</x:f>
        <x:v>1</x:v>
      </x:c>
      <x:c r="AZ114" s="9" t="n">
        <x:f>MOD(BA113*16807,2147483647)</x:f>
        <x:v>69041605</x:v>
      </x:c>
      <x:c r="BA114" s="9" t="n">
        <x:f>MOD(AZ114*16807,2147483647)</x:f>
        <x:v>741085855</x:v>
      </x:c>
      <x:c r="BB114" s="17" t="n">
        <x:f>IF('Control Room'!$B$5="Normal",'Control Room'!$B$7+'Control Room'!$D$7*SQRT(-2*LN(MAX(0.000000000001,AZ114/2147483647)))*COS(2*PI()*BA114/2147483647),'Control Room'!$B$8+('Control Room'!$D$8-'Control Room'!$B$8)*AZ114/2147483647)</x:f>
        <x:v>867.2450127317084</x:v>
      </x:c>
      <x:c r="BC114" s="17" t="n">
        <x:f>IF('Control Room'!$B$5="Normal",'Control Room'!$B$7,('Control Room'!$B$8+'Control Room'!$D$8)/2)+'Control Room'!$B$9*(BC113-IF('Control Room'!$B$5="Normal",'Control Room'!$B$7,('Control Room'!$B$8+'Control Room'!$D$8)/2))+SQRT(1-'Control Room'!$B$9^2)*(BB114-IF('Control Room'!$B$5="Normal",'Control Room'!$B$7,('Control Room'!$B$8+'Control Room'!$D$8)/2))</x:f>
        <x:v>901.8192528654108</x:v>
      </x:c>
      <x:c r="BD114" s="17" t="n">
        <x:f>IF(AND($A114&gt;='Control Room'!$A$13,$A114&lt;'Control Room'!$A$13+'Control Room'!$B$13,'Process'!BU2=1),1+('Control Room'!$C$13-1)*EXP(-0.5*(($A114-'Control Room'!$A$13-('Control Room'!$B$13-1)/2)/MAX(0.5,'Control Room'!$B$13/4))^2),1)*IF(AND($A114&gt;='Control Room'!$A$14,$A114&lt;'Control Room'!$A$14+'Control Room'!$B$14,'Process'!BU3=1),1+('Control Room'!$C$14-1)*EXP(-0.5*(($A114-'Control Room'!$A$14-('Control Room'!$B$14-1)/2)/MAX(0.5,'Control Room'!$B$14/4))^2),1)*IF(AND($A114&gt;='Control Room'!$A$15,$A114&lt;'Control Room'!$A$15+'Control Room'!$B$15,'Process'!BU4=1),1+('Control Room'!$C$15-1)*EXP(-0.5*(($A114-'Control Room'!$A$15-('Control Room'!$B$15-1)/2)/MAX(0.5,'Control Room'!$B$15/4))^2),1)*IF(AND($A114&gt;='Control Room'!$A$16,$A114&lt;'Control Room'!$A$16+'Control Room'!$B$16,'Process'!BU5=1),1+('Control Room'!$C$16-1)*EXP(-0.5*(($A114-'Control Room'!$A$16-('Control Room'!$B$16-1)/2)/MAX(0.5,'Control Room'!$B$16/4))^2),1)</x:f>
        <x:v>1</x:v>
      </x:c>
      <x:c r="BE114" s="9" t="n">
        <x:f>MOD(BF113*16807,2147483647)</x:f>
        <x:v>82397496</x:v>
      </x:c>
      <x:c r="BF114" s="9" t="n">
        <x:f>MOD(BE114*16807,2147483647)</x:f>
        <x:v>1875246604</x:v>
      </x:c>
      <x:c r="BG114" s="17" t="n">
        <x:f>IF('Control Room'!$B$5="Normal",'Control Room'!$B$7+'Control Room'!$D$7*SQRT(-2*LN(MAX(0.000000000001,BE114/2147483647)))*COS(2*PI()*BF114/2147483647),'Control Room'!$B$8+('Control Room'!$D$8-'Control Room'!$B$8)*BE114/2147483647)</x:f>
        <x:v>1160.694013895229</x:v>
      </x:c>
      <x:c r="BH114" s="17" t="n">
        <x:f>IF('Control Room'!$B$5="Normal",'Control Room'!$B$7,('Control Room'!$B$8+'Control Room'!$D$8)/2)+'Control Room'!$B$9*(BH113-IF('Control Room'!$B$5="Normal",'Control Room'!$B$7,('Control Room'!$B$8+'Control Room'!$D$8)/2))+SQRT(1-'Control Room'!$B$9^2)*(BG114-IF('Control Room'!$B$5="Normal",'Control Room'!$B$7,('Control Room'!$B$8+'Control Room'!$D$8)/2))</x:f>
        <x:v>1253.972780803503</x:v>
      </x:c>
      <x:c r="BI114" s="17" t="n">
        <x:f>IF(AND($A114&gt;='Control Room'!$A$13,$A114&lt;'Control Room'!$A$13+'Control Room'!$B$13,'Process'!BV2=1),1+('Control Room'!$C$13-1)*EXP(-0.5*(($A114-'Control Room'!$A$13-('Control Room'!$B$13-1)/2)/MAX(0.5,'Control Room'!$B$13/4))^2),1)*IF(AND($A114&gt;='Control Room'!$A$14,$A114&lt;'Control Room'!$A$14+'Control Room'!$B$14,'Process'!BV3=1),1+('Control Room'!$C$14-1)*EXP(-0.5*(($A114-'Control Room'!$A$14-('Control Room'!$B$14-1)/2)/MAX(0.5,'Control Room'!$B$14/4))^2),1)*IF(AND($A114&gt;='Control Room'!$A$15,$A114&lt;'Control Room'!$A$15+'Control Room'!$B$15,'Process'!BV4=1),1+('Control Room'!$C$15-1)*EXP(-0.5*(($A114-'Control Room'!$A$15-('Control Room'!$B$15-1)/2)/MAX(0.5,'Control Room'!$B$15/4))^2),1)*IF(AND($A114&gt;='Control Room'!$A$16,$A114&lt;'Control Room'!$A$16+'Control Room'!$B$16,'Process'!BV5=1),1+('Control Room'!$C$16-1)*EXP(-0.5*(($A114-'Control Room'!$A$16-('Control Room'!$B$16-1)/2)/MAX(0.5,'Control Room'!$B$16/4))^2),1)</x:f>
        <x:v>1</x:v>
      </x:c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Z114" t="str">
        <x:f>IF('Data'!A114="","",TEXT('Data'!A114,"mm-dd"))</x:f>
        <x:v>02-22</x:v>
      </x:c>
    </x:row>
    <x:row r="115" ht="21" customHeight="1">
      <x:c r="A115" s="15" t="n">
        <x:f>'Control Room'!$B$1+113</x:f>
        <x:v>73104</x:v>
      </x:c>
      <x:c r="B115" s="9" t="n">
        <x:f>MOD(C114*16807,2147483647)</x:f>
        <x:v>866170263</x:v>
      </x:c>
      <x:c r="C115" s="9" t="n">
        <x:f>MOD(B115*16807,2147483647)</x:f>
        <x:v>2079450875</x:v>
      </x:c>
      <x:c r="D115" s="17" t="n">
        <x:f>IF('Control Room'!$B$5="Normal",'Control Room'!$B$7+'Control Room'!$D$7*SQRT(-2*LN(MAX(0.000000000001,B115/2147483647)))*COS(2*PI()*C115/2147483647),'Control Room'!$B$8+('Control Room'!$D$8-'Control Room'!$B$8)*B115/2147483647)</x:f>
        <x:v>1118.8863941919185</x:v>
      </x:c>
      <x:c r="E115" s="17" t="n">
        <x:f>IF('Control Room'!$B$5="Normal",'Control Room'!$B$7,('Control Room'!$B$8+'Control Room'!$D$8)/2)+'Control Room'!$B$9*(E114-IF('Control Room'!$B$5="Normal",'Control Room'!$B$7,('Control Room'!$B$8+'Control Room'!$D$8)/2))+SQRT(1-'Control Room'!$B$9^2)*(D115-IF('Control Room'!$B$5="Normal",'Control Room'!$B$7,('Control Room'!$B$8+'Control Room'!$D$8)/2))</x:f>
        <x:v>970.3990377030636</x:v>
      </x:c>
      <x:c r="F115" s="17" t="n">
        <x:f>IF(AND($A115&gt;='Control Room'!$A$13,$A115&lt;'Control Room'!$A$13+'Control Room'!$B$13,'Process'!BK2=1),1+('Control Room'!$C$13-1)*EXP(-0.5*(($A115-'Control Room'!$A$13-('Control Room'!$B$13-1)/2)/MAX(0.5,'Control Room'!$B$13/4))^2),1)*IF(AND($A115&gt;='Control Room'!$A$14,$A115&lt;'Control Room'!$A$14+'Control Room'!$B$14,'Process'!BK3=1),1+('Control Room'!$C$14-1)*EXP(-0.5*(($A115-'Control Room'!$A$14-('Control Room'!$B$14-1)/2)/MAX(0.5,'Control Room'!$B$14/4))^2),1)*IF(AND($A115&gt;='Control Room'!$A$15,$A115&lt;'Control Room'!$A$15+'Control Room'!$B$15,'Process'!BK4=1),1+('Control Room'!$C$15-1)*EXP(-0.5*(($A115-'Control Room'!$A$15-('Control Room'!$B$15-1)/2)/MAX(0.5,'Control Room'!$B$15/4))^2),1)*IF(AND($A115&gt;='Control Room'!$A$16,$A115&lt;'Control Room'!$A$16+'Control Room'!$B$16,'Process'!BK5=1),1+('Control Room'!$C$16-1)*EXP(-0.5*(($A115-'Control Room'!$A$16-('Control Room'!$B$16-1)/2)/MAX(0.5,'Control Room'!$B$16/4))^2),1)</x:f>
        <x:v>1</x:v>
      </x:c>
      <x:c r="G115" s="9" t="n">
        <x:f>MOD(H114*16807,2147483647)</x:f>
        <x:v>1641027934</x:v>
      </x:c>
      <x:c r="H115" s="9" t="n">
        <x:f>MOD(G115*16807,2147483647)</x:f>
        <x:v>624008317</x:v>
      </x:c>
      <x:c r="I115" s="17" t="n">
        <x:f>IF('Control Room'!$B$5="Normal",'Control Room'!$B$7+'Control Room'!$D$7*SQRT(-2*LN(MAX(0.000000000001,G115/2147483647)))*COS(2*PI()*H115/2147483647),'Control Room'!$B$8+('Control Room'!$D$8-'Control Room'!$B$8)*G115/2147483647)</x:f>
        <x:v>983.3523791607247</x:v>
      </x:c>
      <x:c r="J115" s="17" t="n">
        <x:f>IF('Control Room'!$B$5="Normal",'Control Room'!$B$7,('Control Room'!$B$8+'Control Room'!$D$8)/2)+'Control Room'!$B$9*(J114-IF('Control Room'!$B$5="Normal",'Control Room'!$B$7,('Control Room'!$B$8+'Control Room'!$D$8)/2))+SQRT(1-'Control Room'!$B$9^2)*(I115-IF('Control Room'!$B$5="Normal",'Control Room'!$B$7,('Control Room'!$B$8+'Control Room'!$D$8)/2))</x:f>
        <x:v>1093.4894408800392</x:v>
      </x:c>
      <x:c r="K115" s="17" t="n">
        <x:f>IF(AND($A115&gt;='Control Room'!$A$13,$A115&lt;'Control Room'!$A$13+'Control Room'!$B$13,'Process'!BL2=1),1+('Control Room'!$C$13-1)*EXP(-0.5*(($A115-'Control Room'!$A$13-('Control Room'!$B$13-1)/2)/MAX(0.5,'Control Room'!$B$13/4))^2),1)*IF(AND($A115&gt;='Control Room'!$A$14,$A115&lt;'Control Room'!$A$14+'Control Room'!$B$14,'Process'!BL3=1),1+('Control Room'!$C$14-1)*EXP(-0.5*(($A115-'Control Room'!$A$14-('Control Room'!$B$14-1)/2)/MAX(0.5,'Control Room'!$B$14/4))^2),1)*IF(AND($A115&gt;='Control Room'!$A$15,$A115&lt;'Control Room'!$A$15+'Control Room'!$B$15,'Process'!BL4=1),1+('Control Room'!$C$15-1)*EXP(-0.5*(($A115-'Control Room'!$A$15-('Control Room'!$B$15-1)/2)/MAX(0.5,'Control Room'!$B$15/4))^2),1)*IF(AND($A115&gt;='Control Room'!$A$16,$A115&lt;'Control Room'!$A$16+'Control Room'!$B$16,'Process'!BL5=1),1+('Control Room'!$C$16-1)*EXP(-0.5*(($A115-'Control Room'!$A$16-('Control Room'!$B$16-1)/2)/MAX(0.5,'Control Room'!$B$16/4))^2),1)</x:f>
        <x:v>1</x:v>
      </x:c>
      <x:c r="L115" s="9" t="n">
        <x:f>MOD(M114*16807,2147483647)</x:f>
        <x:v>268401958</x:v>
      </x:c>
      <x:c r="M115" s="9" t="n">
        <x:f>MOD(L115*16807,2147483647)</x:f>
        <x:v>1316049406</x:v>
      </x:c>
      <x:c r="N115" s="17" t="n">
        <x:f>IF('Control Room'!$B$5="Normal",'Control Room'!$B$7+'Control Room'!$D$7*SQRT(-2*LN(MAX(0.000000000001,L115/2147483647)))*COS(2*PI()*M115/2147483647),'Control Room'!$B$8+('Control Room'!$D$8-'Control Room'!$B$8)*L115/2147483647)</x:f>
        <x:v>860.6807672105514</x:v>
      </x:c>
      <x:c r="O115" s="17" t="n">
        <x:f>IF('Control Room'!$B$5="Normal",'Control Room'!$B$7,('Control Room'!$B$8+'Control Room'!$D$8)/2)+'Control Room'!$B$9*(O114-IF('Control Room'!$B$5="Normal",'Control Room'!$B$7,('Control Room'!$B$8+'Control Room'!$D$8)/2))+SQRT(1-'Control Room'!$B$9^2)*(N115-IF('Control Room'!$B$5="Normal",'Control Room'!$B$7,('Control Room'!$B$8+'Control Room'!$D$8)/2))</x:f>
        <x:v>917.2651725482962</x:v>
      </x:c>
      <x:c r="P115" s="17" t="n">
        <x:f>IF(AND($A115&gt;='Control Room'!$A$13,$A115&lt;'Control Room'!$A$13+'Control Room'!$B$13,'Process'!BM2=1),1+('Control Room'!$C$13-1)*EXP(-0.5*(($A115-'Control Room'!$A$13-('Control Room'!$B$13-1)/2)/MAX(0.5,'Control Room'!$B$13/4))^2),1)*IF(AND($A115&gt;='Control Room'!$A$14,$A115&lt;'Control Room'!$A$14+'Control Room'!$B$14,'Process'!BM3=1),1+('Control Room'!$C$14-1)*EXP(-0.5*(($A115-'Control Room'!$A$14-('Control Room'!$B$14-1)/2)/MAX(0.5,'Control Room'!$B$14/4))^2),1)*IF(AND($A115&gt;='Control Room'!$A$15,$A115&lt;'Control Room'!$A$15+'Control Room'!$B$15,'Process'!BM4=1),1+('Control Room'!$C$15-1)*EXP(-0.5*(($A115-'Control Room'!$A$15-('Control Room'!$B$15-1)/2)/MAX(0.5,'Control Room'!$B$15/4))^2),1)*IF(AND($A115&gt;='Control Room'!$A$16,$A115&lt;'Control Room'!$A$16+'Control Room'!$B$16,'Process'!BM5=1),1+('Control Room'!$C$16-1)*EXP(-0.5*(($A115-'Control Room'!$A$16-('Control Room'!$B$16-1)/2)/MAX(0.5,'Control Room'!$B$16/4))^2),1)</x:f>
        <x:v>1</x:v>
      </x:c>
      <x:c r="Q115" s="9" t="n">
        <x:f>MOD(R114*16807,2147483647)</x:f>
        <x:v>1043259629</x:v>
      </x:c>
      <x:c r="R115" s="9" t="n">
        <x:f>MOD(Q115*16807,2147483647)</x:f>
        <x:v>2008090495</x:v>
      </x:c>
      <x:c r="S115" s="17" t="n">
        <x:f>IF('Control Room'!$B$5="Normal",'Control Room'!$B$7+'Control Room'!$D$7*SQRT(-2*LN(MAX(0.000000000001,Q115/2147483647)))*COS(2*PI()*R115/2147483647),'Control Room'!$B$8+('Control Room'!$D$8-'Control Room'!$B$8)*Q115/2147483647)</x:f>
        <x:v>1099.275676067467</x:v>
      </x:c>
      <x:c r="T115" s="17" t="n">
        <x:f>IF('Control Room'!$B$5="Normal",'Control Room'!$B$7,('Control Room'!$B$8+'Control Room'!$D$8)/2)+'Control Room'!$B$9*(T114-IF('Control Room'!$B$5="Normal",'Control Room'!$B$7,('Control Room'!$B$8+'Control Room'!$D$8)/2))+SQRT(1-'Control Room'!$B$9^2)*(S115-IF('Control Room'!$B$5="Normal",'Control Room'!$B$7,('Control Room'!$B$8+'Control Room'!$D$8)/2))</x:f>
        <x:v>1021.5181112584605</x:v>
      </x:c>
      <x:c r="U115" s="17" t="n">
        <x:f>IF(AND($A115&gt;='Control Room'!$A$13,$A115&lt;'Control Room'!$A$13+'Control Room'!$B$13,'Process'!BN2=1),1+('Control Room'!$C$13-1)*EXP(-0.5*(($A115-'Control Room'!$A$13-('Control Room'!$B$13-1)/2)/MAX(0.5,'Control Room'!$B$13/4))^2),1)*IF(AND($A115&gt;='Control Room'!$A$14,$A115&lt;'Control Room'!$A$14+'Control Room'!$B$14,'Process'!BN3=1),1+('Control Room'!$C$14-1)*EXP(-0.5*(($A115-'Control Room'!$A$14-('Control Room'!$B$14-1)/2)/MAX(0.5,'Control Room'!$B$14/4))^2),1)*IF(AND($A115&gt;='Control Room'!$A$15,$A115&lt;'Control Room'!$A$15+'Control Room'!$B$15,'Process'!BN4=1),1+('Control Room'!$C$15-1)*EXP(-0.5*(($A115-'Control Room'!$A$15-('Control Room'!$B$15-1)/2)/MAX(0.5,'Control Room'!$B$15/4))^2),1)*IF(AND($A115&gt;='Control Room'!$A$16,$A115&lt;'Control Room'!$A$16+'Control Room'!$B$16,'Process'!BN5=1),1+('Control Room'!$C$16-1)*EXP(-0.5*(($A115-'Control Room'!$A$16-('Control Room'!$B$16-1)/2)/MAX(0.5,'Control Room'!$B$16/4))^2),1)</x:f>
        <x:v>1</x:v>
      </x:c>
      <x:c r="V115" s="9" t="n">
        <x:f>MOD(W114*16807,2147483647)</x:f>
        <x:v>1818117300</x:v>
      </x:c>
      <x:c r="W115" s="9" t="n">
        <x:f>MOD(V115*16807,2147483647)</x:f>
        <x:v>552647937</x:v>
      </x:c>
      <x:c r="X115" s="17" t="n">
        <x:f>IF('Control Room'!$B$5="Normal",'Control Room'!$B$7+'Control Room'!$D$7*SQRT(-2*LN(MAX(0.000000000001,V115/2147483647)))*COS(2*PI()*W115/2147483647),'Control Room'!$B$8+('Control Room'!$D$8-'Control Room'!$B$8)*V115/2147483647)</x:f>
        <x:v>997.6034896887203</x:v>
      </x:c>
      <x:c r="Y115" s="17" t="n">
        <x:f>IF('Control Room'!$B$5="Normal",'Control Room'!$B$7,('Control Room'!$B$8+'Control Room'!$D$8)/2)+'Control Room'!$B$9*(Y114-IF('Control Room'!$B$5="Normal",'Control Room'!$B$7,('Control Room'!$B$8+'Control Room'!$D$8)/2))+SQRT(1-'Control Room'!$B$9^2)*(X115-IF('Control Room'!$B$5="Normal",'Control Room'!$B$7,('Control Room'!$B$8+'Control Room'!$D$8)/2))</x:f>
        <x:v>998.1764287173606</x:v>
      </x:c>
      <x:c r="Z115" s="17" t="n">
        <x:f>IF(AND($A115&gt;='Control Room'!$A$13,$A115&lt;'Control Room'!$A$13+'Control Room'!$B$13,'Process'!BO2=1),1+('Control Room'!$C$13-1)*EXP(-0.5*(($A115-'Control Room'!$A$13-('Control Room'!$B$13-1)/2)/MAX(0.5,'Control Room'!$B$13/4))^2),1)*IF(AND($A115&gt;='Control Room'!$A$14,$A115&lt;'Control Room'!$A$14+'Control Room'!$B$14,'Process'!BO3=1),1+('Control Room'!$C$14-1)*EXP(-0.5*(($A115-'Control Room'!$A$14-('Control Room'!$B$14-1)/2)/MAX(0.5,'Control Room'!$B$14/4))^2),1)*IF(AND($A115&gt;='Control Room'!$A$15,$A115&lt;'Control Room'!$A$15+'Control Room'!$B$15,'Process'!BO4=1),1+('Control Room'!$C$15-1)*EXP(-0.5*(($A115-'Control Room'!$A$15-('Control Room'!$B$15-1)/2)/MAX(0.5,'Control Room'!$B$15/4))^2),1)*IF(AND($A115&gt;='Control Room'!$A$16,$A115&lt;'Control Room'!$A$16+'Control Room'!$B$16,'Process'!BO5=1),1+('Control Room'!$C$16-1)*EXP(-0.5*(($A115-'Control Room'!$A$16-('Control Room'!$B$16-1)/2)/MAX(0.5,'Control Room'!$B$16/4))^2),1)</x:f>
        <x:v>1</x:v>
      </x:c>
      <x:c r="AA115" s="9" t="n">
        <x:f>MOD(AB114*16807,2147483647)</x:f>
        <x:v>445491324</x:v>
      </x:c>
      <x:c r="AB115" s="9" t="n">
        <x:f>MOD(AA115*16807,2147483647)</x:f>
        <x:v>1244689026</x:v>
      </x:c>
      <x:c r="AC115" s="17" t="n">
        <x:f>IF('Control Room'!$B$5="Normal",'Control Room'!$B$7+'Control Room'!$D$7*SQRT(-2*LN(MAX(0.000000000001,AA115/2147483647)))*COS(2*PI()*AB115/2147483647),'Control Room'!$B$8+('Control Room'!$D$8-'Control Room'!$B$8)*AA115/2147483647)</x:f>
        <x:v>859.9272370102813</x:v>
      </x:c>
      <x:c r="AD115" s="17" t="n">
        <x:f>IF('Control Room'!$B$5="Normal",'Control Room'!$B$7,('Control Room'!$B$8+'Control Room'!$D$8)/2)+'Control Room'!$B$9*(AD114-IF('Control Room'!$B$5="Normal",'Control Room'!$B$7,('Control Room'!$B$8+'Control Room'!$D$8)/2))+SQRT(1-'Control Room'!$B$9^2)*(AC115-IF('Control Room'!$B$5="Normal",'Control Room'!$B$7,('Control Room'!$B$8+'Control Room'!$D$8)/2))</x:f>
        <x:v>933.5902140187563</x:v>
      </x:c>
      <x:c r="AE115" s="17" t="n">
        <x:f>IF(AND($A115&gt;='Control Room'!$A$13,$A115&lt;'Control Room'!$A$13+'Control Room'!$B$13,'Process'!BP2=1),1+('Control Room'!$C$13-1)*EXP(-0.5*(($A115-'Control Room'!$A$13-('Control Room'!$B$13-1)/2)/MAX(0.5,'Control Room'!$B$13/4))^2),1)*IF(AND($A115&gt;='Control Room'!$A$14,$A115&lt;'Control Room'!$A$14+'Control Room'!$B$14,'Process'!BP3=1),1+('Control Room'!$C$14-1)*EXP(-0.5*(($A115-'Control Room'!$A$14-('Control Room'!$B$14-1)/2)/MAX(0.5,'Control Room'!$B$14/4))^2),1)*IF(AND($A115&gt;='Control Room'!$A$15,$A115&lt;'Control Room'!$A$15+'Control Room'!$B$15,'Process'!BP4=1),1+('Control Room'!$C$15-1)*EXP(-0.5*(($A115-'Control Room'!$A$15-('Control Room'!$B$15-1)/2)/MAX(0.5,'Control Room'!$B$15/4))^2),1)*IF(AND($A115&gt;='Control Room'!$A$16,$A115&lt;'Control Room'!$A$16+'Control Room'!$B$16,'Process'!BP5=1),1+('Control Room'!$C$16-1)*EXP(-0.5*(($A115-'Control Room'!$A$16-('Control Room'!$B$16-1)/2)/MAX(0.5,'Control Room'!$B$16/4))^2),1)</x:f>
        <x:v>1</x:v>
      </x:c>
      <x:c r="AF115" s="9" t="n">
        <x:f>MOD(AG114*16807,2147483647)</x:f>
        <x:v>1220348995</x:v>
      </x:c>
      <x:c r="AG115" s="9" t="n">
        <x:f>MOD(AF115*16807,2147483647)</x:f>
        <x:v>1936730115</x:v>
      </x:c>
      <x:c r="AH115" s="17" t="n">
        <x:f>IF('Control Room'!$B$5="Normal",'Control Room'!$B$7+'Control Room'!$D$7*SQRT(-2*LN(MAX(0.000000000001,AF115/2147483647)))*COS(2*PI()*AG115/2147483647),'Control Room'!$B$8+('Control Room'!$D$8-'Control Room'!$B$8)*AF115/2147483647)</x:f>
        <x:v>1078.062736083984</x:v>
      </x:c>
      <x:c r="AI115" s="17" t="n">
        <x:f>IF('Control Room'!$B$5="Normal",'Control Room'!$B$7,('Control Room'!$B$8+'Control Room'!$D$8)/2)+'Control Room'!$B$9*(AI114-IF('Control Room'!$B$5="Normal",'Control Room'!$B$7,('Control Room'!$B$8+'Control Room'!$D$8)/2))+SQRT(1-'Control Room'!$B$9^2)*(AH115-IF('Control Room'!$B$5="Normal",'Control Room'!$B$7,('Control Room'!$B$8+'Control Room'!$D$8)/2))</x:f>
        <x:v>1081.9233184719885</x:v>
      </x:c>
      <x:c r="AJ115" s="17" t="n">
        <x:f>IF(AND($A115&gt;='Control Room'!$A$13,$A115&lt;'Control Room'!$A$13+'Control Room'!$B$13,'Process'!BQ2=1),1+('Control Room'!$C$13-1)*EXP(-0.5*(($A115-'Control Room'!$A$13-('Control Room'!$B$13-1)/2)/MAX(0.5,'Control Room'!$B$13/4))^2),1)*IF(AND($A115&gt;='Control Room'!$A$14,$A115&lt;'Control Room'!$A$14+'Control Room'!$B$14,'Process'!BQ3=1),1+('Control Room'!$C$14-1)*EXP(-0.5*(($A115-'Control Room'!$A$14-('Control Room'!$B$14-1)/2)/MAX(0.5,'Control Room'!$B$14/4))^2),1)*IF(AND($A115&gt;='Control Room'!$A$15,$A115&lt;'Control Room'!$A$15+'Control Room'!$B$15,'Process'!BQ4=1),1+('Control Room'!$C$15-1)*EXP(-0.5*(($A115-'Control Room'!$A$15-('Control Room'!$B$15-1)/2)/MAX(0.5,'Control Room'!$B$15/4))^2),1)*IF(AND($A115&gt;='Control Room'!$A$16,$A115&lt;'Control Room'!$A$16+'Control Room'!$B$16,'Process'!BQ5=1),1+('Control Room'!$C$16-1)*EXP(-0.5*(($A115-'Control Room'!$A$16-('Control Room'!$B$16-1)/2)/MAX(0.5,'Control Room'!$B$16/4))^2),1)</x:f>
        <x:v>1</x:v>
      </x:c>
      <x:c r="AK115" s="9" t="n">
        <x:f>MOD(AL114*16807,2147483647)</x:f>
        <x:v>1995206666</x:v>
      </x:c>
      <x:c r="AL115" s="9" t="n">
        <x:f>MOD(AK115*16807,2147483647)</x:f>
        <x:v>481287557</x:v>
      </x:c>
      <x:c r="AM115" s="17" t="n">
        <x:f>IF('Control Room'!$B$5="Normal",'Control Room'!$B$7+'Control Room'!$D$7*SQRT(-2*LN(MAX(0.000000000001,AK115/2147483647)))*COS(2*PI()*AL115/2147483647),'Control Room'!$B$8+('Control Room'!$D$8-'Control Room'!$B$8)*AK115/2147483647)</x:f>
        <x:v>1005.5888823659731</x:v>
      </x:c>
      <x:c r="AN115" s="17" t="n">
        <x:f>IF('Control Room'!$B$5="Normal",'Control Room'!$B$7,('Control Room'!$B$8+'Control Room'!$D$8)/2)+'Control Room'!$B$9*(AN114-IF('Control Room'!$B$5="Normal",'Control Room'!$B$7,('Control Room'!$B$8+'Control Room'!$D$8)/2))+SQRT(1-'Control Room'!$B$9^2)*(AM115-IF('Control Room'!$B$5="Normal",'Control Room'!$B$7,('Control Room'!$B$8+'Control Room'!$D$8)/2))</x:f>
        <x:v>1007.9579268794477</x:v>
      </x:c>
      <x:c r="AO115" s="17" t="n">
        <x:f>IF(AND($A115&gt;='Control Room'!$A$13,$A115&lt;'Control Room'!$A$13+'Control Room'!$B$13,'Process'!BR2=1),1+('Control Room'!$C$13-1)*EXP(-0.5*(($A115-'Control Room'!$A$13-('Control Room'!$B$13-1)/2)/MAX(0.5,'Control Room'!$B$13/4))^2),1)*IF(AND($A115&gt;='Control Room'!$A$14,$A115&lt;'Control Room'!$A$14+'Control Room'!$B$14,'Process'!BR3=1),1+('Control Room'!$C$14-1)*EXP(-0.5*(($A115-'Control Room'!$A$14-('Control Room'!$B$14-1)/2)/MAX(0.5,'Control Room'!$B$14/4))^2),1)*IF(AND($A115&gt;='Control Room'!$A$15,$A115&lt;'Control Room'!$A$15+'Control Room'!$B$15,'Process'!BR4=1),1+('Control Room'!$C$15-1)*EXP(-0.5*(($A115-'Control Room'!$A$15-('Control Room'!$B$15-1)/2)/MAX(0.5,'Control Room'!$B$15/4))^2),1)*IF(AND($A115&gt;='Control Room'!$A$16,$A115&lt;'Control Room'!$A$16+'Control Room'!$B$16,'Process'!BR5=1),1+('Control Room'!$C$16-1)*EXP(-0.5*(($A115-'Control Room'!$A$16-('Control Room'!$B$16-1)/2)/MAX(0.5,'Control Room'!$B$16/4))^2),1)</x:f>
        <x:v>1</x:v>
      </x:c>
      <x:c r="AP115" s="9" t="n">
        <x:f>MOD(AQ114*16807,2147483647)</x:f>
        <x:v>622580690</x:v>
      </x:c>
      <x:c r="AQ115" s="9" t="n">
        <x:f>MOD(AP115*16807,2147483647)</x:f>
        <x:v>1173328646</x:v>
      </x:c>
      <x:c r="AR115" s="17" t="n">
        <x:f>IF('Control Room'!$B$5="Normal",'Control Room'!$B$7+'Control Room'!$D$7*SQRT(-2*LN(MAX(0.000000000001,AP115/2147483647)))*COS(2*PI()*AQ115/2147483647),'Control Room'!$B$8+('Control Room'!$D$8-'Control Room'!$B$8)*AP115/2147483647)</x:f>
        <x:v>864.3416187533883</x:v>
      </x:c>
      <x:c r="AS115" s="17" t="n">
        <x:f>IF('Control Room'!$B$5="Normal",'Control Room'!$B$7,('Control Room'!$B$8+'Control Room'!$D$8)/2)+'Control Room'!$B$9*(AS114-IF('Control Room'!$B$5="Normal",'Control Room'!$B$7,('Control Room'!$B$8+'Control Room'!$D$8)/2))+SQRT(1-'Control Room'!$B$9^2)*(AR115-IF('Control Room'!$B$5="Normal",'Control Room'!$B$7,('Control Room'!$B$8+'Control Room'!$D$8)/2))</x:f>
        <x:v>839.8430565160919</x:v>
      </x:c>
      <x:c r="AT115" s="17" t="n">
        <x:f>IF(AND($A115&gt;='Control Room'!$A$13,$A115&lt;'Control Room'!$A$13+'Control Room'!$B$13,'Process'!BS2=1),1+('Control Room'!$C$13-1)*EXP(-0.5*(($A115-'Control Room'!$A$13-('Control Room'!$B$13-1)/2)/MAX(0.5,'Control Room'!$B$13/4))^2),1)*IF(AND($A115&gt;='Control Room'!$A$14,$A115&lt;'Control Room'!$A$14+'Control Room'!$B$14,'Process'!BS3=1),1+('Control Room'!$C$14-1)*EXP(-0.5*(($A115-'Control Room'!$A$14-('Control Room'!$B$14-1)/2)/MAX(0.5,'Control Room'!$B$14/4))^2),1)*IF(AND($A115&gt;='Control Room'!$A$15,$A115&lt;'Control Room'!$A$15+'Control Room'!$B$15,'Process'!BS4=1),1+('Control Room'!$C$15-1)*EXP(-0.5*(($A115-'Control Room'!$A$15-('Control Room'!$B$15-1)/2)/MAX(0.5,'Control Room'!$B$15/4))^2),1)*IF(AND($A115&gt;='Control Room'!$A$16,$A115&lt;'Control Room'!$A$16+'Control Room'!$B$16,'Process'!BS5=1),1+('Control Room'!$C$16-1)*EXP(-0.5*(($A115-'Control Room'!$A$16-('Control Room'!$B$16-1)/2)/MAX(0.5,'Control Room'!$B$16/4))^2),1)</x:f>
        <x:v>1</x:v>
      </x:c>
      <x:c r="AU115" s="9" t="n">
        <x:f>MOD(AV114*16807,2147483647)</x:f>
        <x:v>1397438361</x:v>
      </x:c>
      <x:c r="AV115" s="9" t="n">
        <x:f>MOD(AU115*16807,2147483647)</x:f>
        <x:v>1865369735</x:v>
      </x:c>
      <x:c r="AW115" s="17" t="n">
        <x:f>IF('Control Room'!$B$5="Normal",'Control Room'!$B$7+'Control Room'!$D$7*SQRT(-2*LN(MAX(0.000000000001,AU115/2147483647)))*COS(2*PI()*AV115/2147483647),'Control Room'!$B$8+('Control Room'!$D$8-'Control Room'!$B$8)*AU115/2147483647)</x:f>
        <x:v>1056.5857561785213</x:v>
      </x:c>
      <x:c r="AX115" s="17" t="n">
        <x:f>IF('Control Room'!$B$5="Normal",'Control Room'!$B$7,('Control Room'!$B$8+'Control Room'!$D$8)/2)+'Control Room'!$B$9*(AX114-IF('Control Room'!$B$5="Normal",'Control Room'!$B$7,('Control Room'!$B$8+'Control Room'!$D$8)/2))+SQRT(1-'Control Room'!$B$9^2)*(AW115-IF('Control Room'!$B$5="Normal",'Control Room'!$B$7,('Control Room'!$B$8+'Control Room'!$D$8)/2))</x:f>
        <x:v>1123.8174966248023</x:v>
      </x:c>
      <x:c r="AY115" s="17" t="n">
        <x:f>IF(AND($A115&gt;='Control Room'!$A$13,$A115&lt;'Control Room'!$A$13+'Control Room'!$B$13,'Process'!BT2=1),1+('Control Room'!$C$13-1)*EXP(-0.5*(($A115-'Control Room'!$A$13-('Control Room'!$B$13-1)/2)/MAX(0.5,'Control Room'!$B$13/4))^2),1)*IF(AND($A115&gt;='Control Room'!$A$14,$A115&lt;'Control Room'!$A$14+'Control Room'!$B$14,'Process'!BT3=1),1+('Control Room'!$C$14-1)*EXP(-0.5*(($A115-'Control Room'!$A$14-('Control Room'!$B$14-1)/2)/MAX(0.5,'Control Room'!$B$14/4))^2),1)*IF(AND($A115&gt;='Control Room'!$A$15,$A115&lt;'Control Room'!$A$15+'Control Room'!$B$15,'Process'!BT4=1),1+('Control Room'!$C$15-1)*EXP(-0.5*(($A115-'Control Room'!$A$15-('Control Room'!$B$15-1)/2)/MAX(0.5,'Control Room'!$B$15/4))^2),1)*IF(AND($A115&gt;='Control Room'!$A$16,$A115&lt;'Control Room'!$A$16+'Control Room'!$B$16,'Process'!BT5=1),1+('Control Room'!$C$16-1)*EXP(-0.5*(($A115-'Control Room'!$A$16-('Control Room'!$B$16-1)/2)/MAX(0.5,'Control Room'!$B$16/4))^2),1)</x:f>
        <x:v>1</x:v>
      </x:c>
      <x:c r="AZ115" s="9" t="n">
        <x:f>MOD(BA114*16807,2147483647)</x:f>
        <x:v>24812385</x:v>
      </x:c>
      <x:c r="BA115" s="9" t="n">
        <x:f>MOD(AZ115*16807,2147483647)</x:f>
        <x:v>409927177</x:v>
      </x:c>
      <x:c r="BB115" s="17" t="n">
        <x:f>IF('Control Room'!$B$5="Normal",'Control Room'!$B$7+'Control Room'!$D$7*SQRT(-2*LN(MAX(0.000000000001,AZ115/2147483647)))*COS(2*PI()*BA115/2147483647),'Control Room'!$B$8+('Control Room'!$D$8-'Control Room'!$B$8)*AZ115/2147483647)</x:f>
        <x:v>1097.5639193272575</x:v>
      </x:c>
      <x:c r="BC115" s="17" t="n">
        <x:f>IF('Control Room'!$B$5="Normal",'Control Room'!$B$7,('Control Room'!$B$8+'Control Room'!$D$8)/2)+'Control Room'!$B$9*(BC114-IF('Control Room'!$B$5="Normal",'Control Room'!$B$7,('Control Room'!$B$8+'Control Room'!$D$8)/2))+SQRT(1-'Control Room'!$B$9^2)*(BB115-IF('Control Room'!$B$5="Normal",'Control Room'!$B$7,('Control Room'!$B$8+'Control Room'!$D$8)/2))</x:f>
        <x:v>984.4725192444914</x:v>
      </x:c>
      <x:c r="BD115" s="17" t="n">
        <x:f>IF(AND($A115&gt;='Control Room'!$A$13,$A115&lt;'Control Room'!$A$13+'Control Room'!$B$13,'Process'!BU2=1),1+('Control Room'!$C$13-1)*EXP(-0.5*(($A115-'Control Room'!$A$13-('Control Room'!$B$13-1)/2)/MAX(0.5,'Control Room'!$B$13/4))^2),1)*IF(AND($A115&gt;='Control Room'!$A$14,$A115&lt;'Control Room'!$A$14+'Control Room'!$B$14,'Process'!BU3=1),1+('Control Room'!$C$14-1)*EXP(-0.5*(($A115-'Control Room'!$A$14-('Control Room'!$B$14-1)/2)/MAX(0.5,'Control Room'!$B$14/4))^2),1)*IF(AND($A115&gt;='Control Room'!$A$15,$A115&lt;'Control Room'!$A$15+'Control Room'!$B$15,'Process'!BU4=1),1+('Control Room'!$C$15-1)*EXP(-0.5*(($A115-'Control Room'!$A$15-('Control Room'!$B$15-1)/2)/MAX(0.5,'Control Room'!$B$15/4))^2),1)*IF(AND($A115&gt;='Control Room'!$A$16,$A115&lt;'Control Room'!$A$16+'Control Room'!$B$16,'Process'!BU5=1),1+('Control Room'!$C$16-1)*EXP(-0.5*(($A115-'Control Room'!$A$16-('Control Room'!$B$16-1)/2)/MAX(0.5,'Control Room'!$B$16/4))^2),1)</x:f>
        <x:v>1</x:v>
      </x:c>
      <x:c r="BE115" s="9" t="n">
        <x:f>MOD(BF114*16807,2147483647)</x:f>
        <x:v>799670056</x:v>
      </x:c>
      <x:c r="BF115" s="9" t="n">
        <x:f>MOD(BE115*16807,2147483647)</x:f>
        <x:v>1101968266</x:v>
      </x:c>
      <x:c r="BG115" s="17" t="n">
        <x:f>IF('Control Room'!$B$5="Normal",'Control Room'!$B$7+'Control Room'!$D$7*SQRT(-2*LN(MAX(0.000000000001,BE115/2147483647)))*COS(2*PI()*BF115/2147483647),'Control Room'!$B$8+('Control Room'!$D$8-'Control Room'!$B$8)*BE115/2147483647)</x:f>
        <x:v>873.9273433297689</x:v>
      </x:c>
      <x:c r="BH115" s="17" t="n">
        <x:f>IF('Control Room'!$B$5="Normal",'Control Room'!$B$7,('Control Room'!$B$8+'Control Room'!$D$8)/2)+'Control Room'!$B$9*(BH114-IF('Control Room'!$B$5="Normal",'Control Room'!$B$7,('Control Room'!$B$8+'Control Room'!$D$8)/2))+SQRT(1-'Control Room'!$B$9^2)*(BG115-IF('Control Room'!$B$5="Normal",'Control Room'!$B$7,('Control Room'!$B$8+'Control Room'!$D$8)/2))</x:f>
        <x:v>1119.2050832212578</x:v>
      </x:c>
      <x:c r="BI115" s="17" t="n">
        <x:f>IF(AND($A115&gt;='Control Room'!$A$13,$A115&lt;'Control Room'!$A$13+'Control Room'!$B$13,'Process'!BV2=1),1+('Control Room'!$C$13-1)*EXP(-0.5*(($A115-'Control Room'!$A$13-('Control Room'!$B$13-1)/2)/MAX(0.5,'Control Room'!$B$13/4))^2),1)*IF(AND($A115&gt;='Control Room'!$A$14,$A115&lt;'Control Room'!$A$14+'Control Room'!$B$14,'Process'!BV3=1),1+('Control Room'!$C$14-1)*EXP(-0.5*(($A115-'Control Room'!$A$14-('Control Room'!$B$14-1)/2)/MAX(0.5,'Control Room'!$B$14/4))^2),1)*IF(AND($A115&gt;='Control Room'!$A$15,$A115&lt;'Control Room'!$A$15+'Control Room'!$B$15,'Process'!BV4=1),1+('Control Room'!$C$15-1)*EXP(-0.5*(($A115-'Control Room'!$A$15-('Control Room'!$B$15-1)/2)/MAX(0.5,'Control Room'!$B$15/4))^2),1)*IF(AND($A115&gt;='Control Room'!$A$16,$A115&lt;'Control Room'!$A$16+'Control Room'!$B$16,'Process'!BV5=1),1+('Control Room'!$C$16-1)*EXP(-0.5*(($A115-'Control Room'!$A$16-('Control Room'!$B$16-1)/2)/MAX(0.5,'Control Room'!$B$16/4))^2),1)</x:f>
        <x:v>1</x:v>
      </x:c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Z115" t="str">
        <x:f>IF('Data'!A115="","",TEXT('Data'!A115,"mm-dd"))</x:f>
        <x:v>02-23</x:v>
      </x:c>
    </x:row>
    <x:row r="116" ht="21" customHeight="1">
      <x:c r="A116" s="15" t="n">
        <x:f>'Control Room'!$B$1+114</x:f>
        <x:v>73105</x:v>
      </x:c>
      <x:c r="B116" s="9" t="n">
        <x:f>MOD(C115*16807,2147483647)</x:f>
        <x:v>1181984847</x:v>
      </x:c>
      <x:c r="C116" s="9" t="n">
        <x:f>MOD(B116*16807,2147483647)</x:f>
        <x:v>1395588779</x:v>
      </x:c>
      <x:c r="D116" s="17" t="n">
        <x:f>IF('Control Room'!$B$5="Normal",'Control Room'!$B$7+'Control Room'!$D$7*SQRT(-2*LN(MAX(0.000000000001,B116/2147483647)))*COS(2*PI()*C116/2147483647),'Control Room'!$B$8+('Control Room'!$D$8-'Control Room'!$B$8)*B116/2147483647)</x:f>
        <x:v>942.1262111997947</x:v>
      </x:c>
      <x:c r="E116" s="17" t="n">
        <x:f>IF('Control Room'!$B$5="Normal",'Control Room'!$B$7,('Control Room'!$B$8+'Control Room'!$D$8)/2)+'Control Room'!$B$9*(E115-IF('Control Room'!$B$5="Normal",'Control Room'!$B$7,('Control Room'!$B$8+'Control Room'!$D$8)/2))+SQRT(1-'Control Room'!$B$9^2)*(D116-IF('Control Room'!$B$5="Normal",'Control Room'!$B$7,('Control Room'!$B$8+'Control Room'!$D$8)/2))</x:f>
        <x:v>940.6950179862283</x:v>
      </x:c>
      <x:c r="F116" s="17" t="n">
        <x:f>IF(AND($A116&gt;='Control Room'!$A$13,$A116&lt;'Control Room'!$A$13+'Control Room'!$B$13,'Process'!BK2=1),1+('Control Room'!$C$13-1)*EXP(-0.5*(($A116-'Control Room'!$A$13-('Control Room'!$B$13-1)/2)/MAX(0.5,'Control Room'!$B$13/4))^2),1)*IF(AND($A116&gt;='Control Room'!$A$14,$A116&lt;'Control Room'!$A$14+'Control Room'!$B$14,'Process'!BK3=1),1+('Control Room'!$C$14-1)*EXP(-0.5*(($A116-'Control Room'!$A$14-('Control Room'!$B$14-1)/2)/MAX(0.5,'Control Room'!$B$14/4))^2),1)*IF(AND($A116&gt;='Control Room'!$A$15,$A116&lt;'Control Room'!$A$15+'Control Room'!$B$15,'Process'!BK4=1),1+('Control Room'!$C$15-1)*EXP(-0.5*(($A116-'Control Room'!$A$15-('Control Room'!$B$15-1)/2)/MAX(0.5,'Control Room'!$B$15/4))^2),1)*IF(AND($A116&gt;='Control Room'!$A$16,$A116&lt;'Control Room'!$A$16+'Control Room'!$B$16,'Process'!BK5=1),1+('Control Room'!$C$16-1)*EXP(-0.5*(($A116-'Control Room'!$A$16-('Control Room'!$B$16-1)/2)/MAX(0.5,'Control Room'!$B$16/4))^2),1)</x:f>
        <x:v>1</x:v>
      </x:c>
      <x:c r="G116" s="9" t="n">
        <x:f>MOD(H115*16807,2147483647)</x:f>
        <x:v>1545135518</x:v>
      </x:c>
      <x:c r="H116" s="9" t="n">
        <x:f>MOD(G116*16807,2147483647)</x:f>
        <x:v>1720391502</x:v>
      </x:c>
      <x:c r="I116" s="17" t="n">
        <x:f>IF('Control Room'!$B$5="Normal",'Control Room'!$B$7+'Control Room'!$D$7*SQRT(-2*LN(MAX(0.000000000001,G116/2147483647)))*COS(2*PI()*H116/2147483647),'Control Room'!$B$8+('Control Room'!$D$8-'Control Room'!$B$8)*G116/2147483647)</x:f>
        <x:v>1023.0543410617245</x:v>
      </x:c>
      <x:c r="J116" s="17" t="n">
        <x:f>IF('Control Room'!$B$5="Normal",'Control Room'!$B$7,('Control Room'!$B$8+'Control Room'!$D$8)/2)+'Control Room'!$B$9*(J115-IF('Control Room'!$B$5="Normal",'Control Room'!$B$7,('Control Room'!$B$8+'Control Room'!$D$8)/2))+SQRT(1-'Control Room'!$B$9^2)*(I116-IF('Control Room'!$B$5="Normal",'Control Room'!$B$7,('Control Room'!$B$8+'Control Room'!$D$8)/2))</x:f>
        <x:v>1087.3486982290096</x:v>
      </x:c>
      <x:c r="K116" s="17" t="n">
        <x:f>IF(AND($A116&gt;='Control Room'!$A$13,$A116&lt;'Control Room'!$A$13+'Control Room'!$B$13,'Process'!BL2=1),1+('Control Room'!$C$13-1)*EXP(-0.5*(($A116-'Control Room'!$A$13-('Control Room'!$B$13-1)/2)/MAX(0.5,'Control Room'!$B$13/4))^2),1)*IF(AND($A116&gt;='Control Room'!$A$14,$A116&lt;'Control Room'!$A$14+'Control Room'!$B$14,'Process'!BL3=1),1+('Control Room'!$C$14-1)*EXP(-0.5*(($A116-'Control Room'!$A$14-('Control Room'!$B$14-1)/2)/MAX(0.5,'Control Room'!$B$14/4))^2),1)*IF(AND($A116&gt;='Control Room'!$A$15,$A116&lt;'Control Room'!$A$15+'Control Room'!$B$15,'Process'!BL4=1),1+('Control Room'!$C$15-1)*EXP(-0.5*(($A116-'Control Room'!$A$15-('Control Room'!$B$15-1)/2)/MAX(0.5,'Control Room'!$B$15/4))^2),1)*IF(AND($A116&gt;='Control Room'!$A$16,$A116&lt;'Control Room'!$A$16+'Control Room'!$B$16,'Process'!BL5=1),1+('Control Room'!$C$16-1)*EXP(-0.5*(($A116-'Control Room'!$A$16-('Control Room'!$B$16-1)/2)/MAX(0.5,'Control Room'!$B$16/4))^2),1)</x:f>
        <x:v>1</x:v>
      </x:c>
      <x:c r="L116" s="9" t="n">
        <x:f>MOD(M115*16807,2147483647)</x:f>
        <x:v>1908286189</x:v>
      </x:c>
      <x:c r="M116" s="9" t="n">
        <x:f>MOD(L116*16807,2147483647)</x:f>
        <x:v>2045194225</x:v>
      </x:c>
      <x:c r="N116" s="17" t="n">
        <x:f>IF('Control Room'!$B$5="Normal",'Control Room'!$B$7+'Control Room'!$D$7*SQRT(-2*LN(MAX(0.000000000001,L116/2147483647)))*COS(2*PI()*M116/2147483647),'Control Room'!$B$8+('Control Room'!$D$8-'Control Room'!$B$8)*L116/2147483647)</x:f>
        <x:v>1041.7944844085177</x:v>
      </x:c>
      <x:c r="O116" s="17" t="n">
        <x:f>IF('Control Room'!$B$5="Normal",'Control Room'!$B$7,('Control Room'!$B$8+'Control Room'!$D$8)/2)+'Control Room'!$B$9*(O115-IF('Control Room'!$B$5="Normal",'Control Room'!$B$7,('Control Room'!$B$8+'Control Room'!$D$8)/2))+SQRT(1-'Control Room'!$B$9^2)*(N116-IF('Control Room'!$B$5="Normal",'Control Room'!$B$7,('Control Room'!$B$8+'Control Room'!$D$8)/2))</x:f>
        <x:v>961.6209667239693</x:v>
      </x:c>
      <x:c r="P116" s="17" t="n">
        <x:f>IF(AND($A116&gt;='Control Room'!$A$13,$A116&lt;'Control Room'!$A$13+'Control Room'!$B$13,'Process'!BM2=1),1+('Control Room'!$C$13-1)*EXP(-0.5*(($A116-'Control Room'!$A$13-('Control Room'!$B$13-1)/2)/MAX(0.5,'Control Room'!$B$13/4))^2),1)*IF(AND($A116&gt;='Control Room'!$A$14,$A116&lt;'Control Room'!$A$14+'Control Room'!$B$14,'Process'!BM3=1),1+('Control Room'!$C$14-1)*EXP(-0.5*(($A116-'Control Room'!$A$14-('Control Room'!$B$14-1)/2)/MAX(0.5,'Control Room'!$B$14/4))^2),1)*IF(AND($A116&gt;='Control Room'!$A$15,$A116&lt;'Control Room'!$A$15+'Control Room'!$B$15,'Process'!BM4=1),1+('Control Room'!$C$15-1)*EXP(-0.5*(($A116-'Control Room'!$A$15-('Control Room'!$B$15-1)/2)/MAX(0.5,'Control Room'!$B$15/4))^2),1)*IF(AND($A116&gt;='Control Room'!$A$16,$A116&lt;'Control Room'!$A$16+'Control Room'!$B$16,'Process'!BM5=1),1+('Control Room'!$C$16-1)*EXP(-0.5*(($A116-'Control Room'!$A$16-('Control Room'!$B$16-1)/2)/MAX(0.5,'Control Room'!$B$16/4))^2),1)</x:f>
        <x:v>1</x:v>
      </x:c>
      <x:c r="Q116" s="9" t="n">
        <x:f>MOD(R115*16807,2147483647)</x:f>
        <x:v>123953213</x:v>
      </x:c>
      <x:c r="R116" s="9" t="n">
        <x:f>MOD(Q116*16807,2147483647)</x:f>
        <x:v>222513301</x:v>
      </x:c>
      <x:c r="S116" s="17" t="n">
        <x:f>IF('Control Room'!$B$5="Normal",'Control Room'!$B$7+'Control Room'!$D$7*SQRT(-2*LN(MAX(0.000000000001,Q116/2147483647)))*COS(2*PI()*R116/2147483647),'Control Room'!$B$8+('Control Room'!$D$8-'Control Room'!$B$8)*Q116/2147483647)</x:f>
        <x:v>1170.9855544775055</x:v>
      </x:c>
      <x:c r="T116" s="17" t="n">
        <x:f>IF('Control Room'!$B$5="Normal",'Control Room'!$B$7,('Control Room'!$B$8+'Control Room'!$D$8)/2)+'Control Room'!$B$9*(T115-IF('Control Room'!$B$5="Normal",'Control Room'!$B$7,('Control Room'!$B$8+'Control Room'!$D$8)/2))+SQRT(1-'Control Room'!$B$9^2)*(S116-IF('Control Room'!$B$5="Normal",'Control Room'!$B$7,('Control Room'!$B$8+'Control Room'!$D$8)/2))</x:f>
        <x:v>1123.783383944143</x:v>
      </x:c>
      <x:c r="U116" s="17" t="n">
        <x:f>IF(AND($A116&gt;='Control Room'!$A$13,$A116&lt;'Control Room'!$A$13+'Control Room'!$B$13,'Process'!BN2=1),1+('Control Room'!$C$13-1)*EXP(-0.5*(($A116-'Control Room'!$A$13-('Control Room'!$B$13-1)/2)/MAX(0.5,'Control Room'!$B$13/4))^2),1)*IF(AND($A116&gt;='Control Room'!$A$14,$A116&lt;'Control Room'!$A$14+'Control Room'!$B$14,'Process'!BN3=1),1+('Control Room'!$C$14-1)*EXP(-0.5*(($A116-'Control Room'!$A$14-('Control Room'!$B$14-1)/2)/MAX(0.5,'Control Room'!$B$14/4))^2),1)*IF(AND($A116&gt;='Control Room'!$A$15,$A116&lt;'Control Room'!$A$15+'Control Room'!$B$15,'Process'!BN4=1),1+('Control Room'!$C$15-1)*EXP(-0.5*(($A116-'Control Room'!$A$15-('Control Room'!$B$15-1)/2)/MAX(0.5,'Control Room'!$B$15/4))^2),1)*IF(AND($A116&gt;='Control Room'!$A$16,$A116&lt;'Control Room'!$A$16+'Control Room'!$B$16,'Process'!BN5=1),1+('Control Room'!$C$16-1)*EXP(-0.5*(($A116-'Control Room'!$A$16-('Control Room'!$B$16-1)/2)/MAX(0.5,'Control Room'!$B$16/4))^2),1)</x:f>
        <x:v>1</x:v>
      </x:c>
      <x:c r="V116" s="9" t="n">
        <x:f>MOD(W115*16807,2147483647)</x:f>
        <x:v>487103884</x:v>
      </x:c>
      <x:c r="W116" s="9" t="n">
        <x:f>MOD(V116*16807,2147483647)</x:f>
        <x:v>547316024</x:v>
      </x:c>
      <x:c r="X116" s="17" t="n">
        <x:f>IF('Control Room'!$B$5="Normal",'Control Room'!$B$7+'Control Room'!$D$7*SQRT(-2*LN(MAX(0.000000000001,V116/2147483647)))*COS(2*PI()*W116/2147483647),'Control Room'!$B$8+('Control Room'!$D$8-'Control Room'!$B$8)*V116/2147483647)</x:f>
        <x:v>995.2629527577898</x:v>
      </x:c>
      <x:c r="Y116" s="17" t="n">
        <x:f>IF('Control Room'!$B$5="Normal",'Control Room'!$B$7,('Control Room'!$B$8+'Control Room'!$D$8)/2)+'Control Room'!$B$9*(Y115-IF('Control Room'!$B$5="Normal",'Control Room'!$B$7,('Control Room'!$B$8+'Control Room'!$D$8)/2))+SQRT(1-'Control Room'!$B$9^2)*(X116-IF('Control Room'!$B$5="Normal",'Control Room'!$B$7,('Control Room'!$B$8+'Control Room'!$D$8)/2))</x:f>
        <x:v>995.6132672790537</x:v>
      </x:c>
      <x:c r="Z116" s="17" t="n">
        <x:f>IF(AND($A116&gt;='Control Room'!$A$13,$A116&lt;'Control Room'!$A$13+'Control Room'!$B$13,'Process'!BO2=1),1+('Control Room'!$C$13-1)*EXP(-0.5*(($A116-'Control Room'!$A$13-('Control Room'!$B$13-1)/2)/MAX(0.5,'Control Room'!$B$13/4))^2),1)*IF(AND($A116&gt;='Control Room'!$A$14,$A116&lt;'Control Room'!$A$14+'Control Room'!$B$14,'Process'!BO3=1),1+('Control Room'!$C$14-1)*EXP(-0.5*(($A116-'Control Room'!$A$14-('Control Room'!$B$14-1)/2)/MAX(0.5,'Control Room'!$B$14/4))^2),1)*IF(AND($A116&gt;='Control Room'!$A$15,$A116&lt;'Control Room'!$A$15+'Control Room'!$B$15,'Process'!BO4=1),1+('Control Room'!$C$15-1)*EXP(-0.5*(($A116-'Control Room'!$A$15-('Control Room'!$B$15-1)/2)/MAX(0.5,'Control Room'!$B$15/4))^2),1)*IF(AND($A116&gt;='Control Room'!$A$16,$A116&lt;'Control Room'!$A$16+'Control Room'!$B$16,'Process'!BO5=1),1+('Control Room'!$C$16-1)*EXP(-0.5*(($A116-'Control Room'!$A$16-('Control Room'!$B$16-1)/2)/MAX(0.5,'Control Room'!$B$16/4))^2),1)</x:f>
        <x:v>1</x:v>
      </x:c>
      <x:c r="AA116" s="9" t="n">
        <x:f>MOD(AB115*16807,2147483647)</x:f>
        <x:v>850254555</x:v>
      </x:c>
      <x:c r="AB116" s="9" t="n">
        <x:f>MOD(AA116*16807,2147483647)</x:f>
        <x:v>872118747</x:v>
      </x:c>
      <x:c r="AC116" s="17" t="n">
        <x:f>IF('Control Room'!$B$5="Normal",'Control Room'!$B$7+'Control Room'!$D$7*SQRT(-2*LN(MAX(0.000000000001,AA116/2147483647)))*COS(2*PI()*AB116/2147483647),'Control Room'!$B$8+('Control Room'!$D$8-'Control Room'!$B$8)*AA116/2147483647)</x:f>
        <x:v>898.1928105631138</x:v>
      </x:c>
      <x:c r="AD116" s="17" t="n">
        <x:f>IF('Control Room'!$B$5="Normal",'Control Room'!$B$7,('Control Room'!$B$8+'Control Room'!$D$8)/2)+'Control Room'!$B$9*(AD115-IF('Control Room'!$B$5="Normal",'Control Room'!$B$7,('Control Room'!$B$8+'Control Room'!$D$8)/2))+SQRT(1-'Control Room'!$B$9^2)*(AC116-IF('Control Room'!$B$5="Normal",'Control Room'!$B$7,('Control Room'!$B$8+'Control Room'!$D$8)/2))</x:f>
        <x:v>884.4915134186665</x:v>
      </x:c>
      <x:c r="AE116" s="17" t="n">
        <x:f>IF(AND($A116&gt;='Control Room'!$A$13,$A116&lt;'Control Room'!$A$13+'Control Room'!$B$13,'Process'!BP2=1),1+('Control Room'!$C$13-1)*EXP(-0.5*(($A116-'Control Room'!$A$13-('Control Room'!$B$13-1)/2)/MAX(0.5,'Control Room'!$B$13/4))^2),1)*IF(AND($A116&gt;='Control Room'!$A$14,$A116&lt;'Control Room'!$A$14+'Control Room'!$B$14,'Process'!BP3=1),1+('Control Room'!$C$14-1)*EXP(-0.5*(($A116-'Control Room'!$A$14-('Control Room'!$B$14-1)/2)/MAX(0.5,'Control Room'!$B$14/4))^2),1)*IF(AND($A116&gt;='Control Room'!$A$15,$A116&lt;'Control Room'!$A$15+'Control Room'!$B$15,'Process'!BP4=1),1+('Control Room'!$C$15-1)*EXP(-0.5*(($A116-'Control Room'!$A$15-('Control Room'!$B$15-1)/2)/MAX(0.5,'Control Room'!$B$15/4))^2),1)*IF(AND($A116&gt;='Control Room'!$A$16,$A116&lt;'Control Room'!$A$16+'Control Room'!$B$16,'Process'!BP5=1),1+('Control Room'!$C$16-1)*EXP(-0.5*(($A116-'Control Room'!$A$16-('Control Room'!$B$16-1)/2)/MAX(0.5,'Control Room'!$B$16/4))^2),1)</x:f>
        <x:v>1</x:v>
      </x:c>
      <x:c r="AF116" s="9" t="n">
        <x:f>MOD(AG115*16807,2147483647)</x:f>
        <x:v>1213405226</x:v>
      </x:c>
      <x:c r="AG116" s="9" t="n">
        <x:f>MOD(AF116*16807,2147483647)</x:f>
        <x:v>1196921470</x:v>
      </x:c>
      <x:c r="AH116" s="17" t="n">
        <x:f>IF('Control Room'!$B$5="Normal",'Control Room'!$B$7+'Control Room'!$D$7*SQRT(-2*LN(MAX(0.000000000001,AF116/2147483647)))*COS(2*PI()*AG116/2147483647),'Control Room'!$B$8+('Control Room'!$D$8-'Control Room'!$B$8)*AF116/2147483647)</x:f>
        <x:v>910.0115815063879</x:v>
      </x:c>
      <x:c r="AI116" s="17" t="n">
        <x:f>IF('Control Room'!$B$5="Normal",'Control Room'!$B$7,('Control Room'!$B$8+'Control Room'!$D$8)/2)+'Control Room'!$B$9*(AI115-IF('Control Room'!$B$5="Normal",'Control Room'!$B$7,('Control Room'!$B$8+'Control Room'!$D$8)/2))+SQRT(1-'Control Room'!$B$9^2)*(AH116-IF('Control Room'!$B$5="Normal",'Control Room'!$B$7,('Control Room'!$B$8+'Control Room'!$D$8)/2))</x:f>
        <x:v>1007.5872796278053</x:v>
      </x:c>
      <x:c r="AJ116" s="17" t="n">
        <x:f>IF(AND($A116&gt;='Control Room'!$A$13,$A116&lt;'Control Room'!$A$13+'Control Room'!$B$13,'Process'!BQ2=1),1+('Control Room'!$C$13-1)*EXP(-0.5*(($A116-'Control Room'!$A$13-('Control Room'!$B$13-1)/2)/MAX(0.5,'Control Room'!$B$13/4))^2),1)*IF(AND($A116&gt;='Control Room'!$A$14,$A116&lt;'Control Room'!$A$14+'Control Room'!$B$14,'Process'!BQ3=1),1+('Control Room'!$C$14-1)*EXP(-0.5*(($A116-'Control Room'!$A$14-('Control Room'!$B$14-1)/2)/MAX(0.5,'Control Room'!$B$14/4))^2),1)*IF(AND($A116&gt;='Control Room'!$A$15,$A116&lt;'Control Room'!$A$15+'Control Room'!$B$15,'Process'!BQ4=1),1+('Control Room'!$C$15-1)*EXP(-0.5*(($A116-'Control Room'!$A$15-('Control Room'!$B$15-1)/2)/MAX(0.5,'Control Room'!$B$15/4))^2),1)*IF(AND($A116&gt;='Control Room'!$A$16,$A116&lt;'Control Room'!$A$16+'Control Room'!$B$16,'Process'!BQ5=1),1+('Control Room'!$C$16-1)*EXP(-0.5*(($A116-'Control Room'!$A$16-('Control Room'!$B$16-1)/2)/MAX(0.5,'Control Room'!$B$16/4))^2),1)</x:f>
        <x:v>1</x:v>
      </x:c>
      <x:c r="AK116" s="9" t="n">
        <x:f>MOD(AL115*16807,2147483647)</x:f>
        <x:v>1576555897</x:v>
      </x:c>
      <x:c r="AL116" s="9" t="n">
        <x:f>MOD(AK116*16807,2147483647)</x:f>
        <x:v>1521724193</x:v>
      </x:c>
      <x:c r="AM116" s="17" t="n">
        <x:f>IF('Control Room'!$B$5="Normal",'Control Room'!$B$7+'Control Room'!$D$7*SQRT(-2*LN(MAX(0.000000000001,AK116/2147483647)))*COS(2*PI()*AL116/2147483647),'Control Room'!$B$8+('Control Room'!$D$8-'Control Room'!$B$8)*AK116/2147483647)</x:f>
        <x:v>981.8045142038192</x:v>
      </x:c>
      <x:c r="AN116" s="17" t="n">
        <x:f>IF('Control Room'!$B$5="Normal",'Control Room'!$B$7,('Control Room'!$B$8+'Control Room'!$D$8)/2)+'Control Room'!$B$9*(AN115-IF('Control Room'!$B$5="Normal",'Control Room'!$B$7,('Control Room'!$B$8+'Control Room'!$D$8)/2))+SQRT(1-'Control Room'!$B$9^2)*(AM116-IF('Control Room'!$B$5="Normal",'Control Room'!$B$7,('Control Room'!$B$8+'Control Room'!$D$8)/2))</x:f>
        <x:v>994.8208207095068</x:v>
      </x:c>
      <x:c r="AO116" s="17" t="n">
        <x:f>IF(AND($A116&gt;='Control Room'!$A$13,$A116&lt;'Control Room'!$A$13+'Control Room'!$B$13,'Process'!BR2=1),1+('Control Room'!$C$13-1)*EXP(-0.5*(($A116-'Control Room'!$A$13-('Control Room'!$B$13-1)/2)/MAX(0.5,'Control Room'!$B$13/4))^2),1)*IF(AND($A116&gt;='Control Room'!$A$14,$A116&lt;'Control Room'!$A$14+'Control Room'!$B$14,'Process'!BR3=1),1+('Control Room'!$C$14-1)*EXP(-0.5*(($A116-'Control Room'!$A$14-('Control Room'!$B$14-1)/2)/MAX(0.5,'Control Room'!$B$14/4))^2),1)*IF(AND($A116&gt;='Control Room'!$A$15,$A116&lt;'Control Room'!$A$15+'Control Room'!$B$15,'Process'!BR4=1),1+('Control Room'!$C$15-1)*EXP(-0.5*(($A116-'Control Room'!$A$15-('Control Room'!$B$15-1)/2)/MAX(0.5,'Control Room'!$B$15/4))^2),1)*IF(AND($A116&gt;='Control Room'!$A$16,$A116&lt;'Control Room'!$A$16+'Control Room'!$B$16,'Process'!BR5=1),1+('Control Room'!$C$16-1)*EXP(-0.5*(($A116-'Control Room'!$A$16-('Control Room'!$B$16-1)/2)/MAX(0.5,'Control Room'!$B$16/4))^2),1)</x:f>
        <x:v>1</x:v>
      </x:c>
      <x:c r="AP116" s="9" t="n">
        <x:f>MOD(AQ115*16807,2147483647)</x:f>
        <x:v>1939706568</x:v>
      </x:c>
      <x:c r="AQ116" s="9" t="n">
        <x:f>MOD(AP116*16807,2147483647)</x:f>
        <x:v>1846526916</x:v>
      </x:c>
      <x:c r="AR116" s="17" t="n">
        <x:f>IF('Control Room'!$B$5="Normal",'Control Room'!$B$7+'Control Room'!$D$7*SQRT(-2*LN(MAX(0.000000000001,AP116/2147483647)))*COS(2*PI()*AQ116/2147483647),'Control Room'!$B$8+('Control Room'!$D$8-'Control Room'!$B$8)*AP116/2147483647)</x:f>
        <x:v>1025.8523177178658</x:v>
      </x:c>
      <x:c r="AS116" s="17" t="n">
        <x:f>IF('Control Room'!$B$5="Normal",'Control Room'!$B$7,('Control Room'!$B$8+'Control Room'!$D$8)/2)+'Control Room'!$B$9*(AS115-IF('Control Room'!$B$5="Normal",'Control Room'!$B$7,('Control Room'!$B$8+'Control Room'!$D$8)/2))+SQRT(1-'Control Room'!$B$9^2)*(AR116-IF('Control Room'!$B$5="Normal",'Control Room'!$B$7,('Control Room'!$B$8+'Control Room'!$D$8)/2))</x:f>
        <x:v>891.2554348968766</x:v>
      </x:c>
      <x:c r="AT116" s="17" t="n">
        <x:f>IF(AND($A116&gt;='Control Room'!$A$13,$A116&lt;'Control Room'!$A$13+'Control Room'!$B$13,'Process'!BS2=1),1+('Control Room'!$C$13-1)*EXP(-0.5*(($A116-'Control Room'!$A$13-('Control Room'!$B$13-1)/2)/MAX(0.5,'Control Room'!$B$13/4))^2),1)*IF(AND($A116&gt;='Control Room'!$A$14,$A116&lt;'Control Room'!$A$14+'Control Room'!$B$14,'Process'!BS3=1),1+('Control Room'!$C$14-1)*EXP(-0.5*(($A116-'Control Room'!$A$14-('Control Room'!$B$14-1)/2)/MAX(0.5,'Control Room'!$B$14/4))^2),1)*IF(AND($A116&gt;='Control Room'!$A$15,$A116&lt;'Control Room'!$A$15+'Control Room'!$B$15,'Process'!BS4=1),1+('Control Room'!$C$15-1)*EXP(-0.5*(($A116-'Control Room'!$A$15-('Control Room'!$B$15-1)/2)/MAX(0.5,'Control Room'!$B$15/4))^2),1)*IF(AND($A116&gt;='Control Room'!$A$16,$A116&lt;'Control Room'!$A$16+'Control Room'!$B$16,'Process'!BS5=1),1+('Control Room'!$C$16-1)*EXP(-0.5*(($A116-'Control Room'!$A$16-('Control Room'!$B$16-1)/2)/MAX(0.5,'Control Room'!$B$16/4))^2),1)</x:f>
        <x:v>1</x:v>
      </x:c>
      <x:c r="AU116" s="9" t="n">
        <x:f>MOD(AV115*16807,2147483647)</x:f>
        <x:v>155373592</x:v>
      </x:c>
      <x:c r="AV116" s="9" t="n">
        <x:f>MOD(AU116*16807,2147483647)</x:f>
        <x:v>23845992</x:v>
      </x:c>
      <x:c r="AW116" s="17" t="n">
        <x:f>IF('Control Room'!$B$5="Normal",'Control Room'!$B$7+'Control Room'!$D$7*SQRT(-2*LN(MAX(0.000000000001,AU116/2147483647)))*COS(2*PI()*AV116/2147483647),'Control Room'!$B$8+('Control Room'!$D$8-'Control Room'!$B$8)*AU116/2147483647)</x:f>
        <x:v>1205.7619841000137</x:v>
      </x:c>
      <x:c r="AX116" s="17" t="n">
        <x:f>IF('Control Room'!$B$5="Normal",'Control Room'!$B$7,('Control Room'!$B$8+'Control Room'!$D$8)/2)+'Control Room'!$B$9*(AX115-IF('Control Room'!$B$5="Normal",'Control Room'!$B$7,('Control Room'!$B$8+'Control Room'!$D$8)/2))+SQRT(1-'Control Room'!$B$9^2)*(AW116-IF('Control Room'!$B$5="Normal",'Control Room'!$B$7,('Control Room'!$B$8+'Control Room'!$D$8)/2))</x:f>
        <x:v>1225.3392817537701</x:v>
      </x:c>
      <x:c r="AY116" s="17" t="n">
        <x:f>IF(AND($A116&gt;='Control Room'!$A$13,$A116&lt;'Control Room'!$A$13+'Control Room'!$B$13,'Process'!BT2=1),1+('Control Room'!$C$13-1)*EXP(-0.5*(($A116-'Control Room'!$A$13-('Control Room'!$B$13-1)/2)/MAX(0.5,'Control Room'!$B$13/4))^2),1)*IF(AND($A116&gt;='Control Room'!$A$14,$A116&lt;'Control Room'!$A$14+'Control Room'!$B$14,'Process'!BT3=1),1+('Control Room'!$C$14-1)*EXP(-0.5*(($A116-'Control Room'!$A$14-('Control Room'!$B$14-1)/2)/MAX(0.5,'Control Room'!$B$14/4))^2),1)*IF(AND($A116&gt;='Control Room'!$A$15,$A116&lt;'Control Room'!$A$15+'Control Room'!$B$15,'Process'!BT4=1),1+('Control Room'!$C$15-1)*EXP(-0.5*(($A116-'Control Room'!$A$15-('Control Room'!$B$15-1)/2)/MAX(0.5,'Control Room'!$B$15/4))^2),1)*IF(AND($A116&gt;='Control Room'!$A$16,$A116&lt;'Control Room'!$A$16+'Control Room'!$B$16,'Process'!BT5=1),1+('Control Room'!$C$16-1)*EXP(-0.5*(($A116-'Control Room'!$A$16-('Control Room'!$B$16-1)/2)/MAX(0.5,'Control Room'!$B$16/4))^2),1)</x:f>
        <x:v>1</x:v>
      </x:c>
      <x:c r="AZ116" s="9" t="n">
        <x:f>MOD(BA115*16807,2147483647)</x:f>
        <x:v>518524263</x:v>
      </x:c>
      <x:c r="BA116" s="9" t="n">
        <x:f>MOD(AZ116*16807,2147483647)</x:f>
        <x:v>348648715</x:v>
      </x:c>
      <x:c r="BB116" s="17" t="n">
        <x:f>IF('Control Room'!$B$5="Normal",'Control Room'!$B$7+'Control Room'!$D$7*SQRT(-2*LN(MAX(0.000000000001,AZ116/2147483647)))*COS(2*PI()*BA116/2147483647),'Control Room'!$B$8+('Control Room'!$D$8-'Control Room'!$B$8)*AZ116/2147483647)</x:f>
        <x:v>1079.3975365520944</x:v>
      </x:c>
      <x:c r="BC116" s="17" t="n">
        <x:f>IF('Control Room'!$B$5="Normal",'Control Room'!$B$7,('Control Room'!$B$8+'Control Room'!$D$8)/2)+'Control Room'!$B$9*(BC115-IF('Control Room'!$B$5="Normal",'Control Room'!$B$7,('Control Room'!$B$8+'Control Room'!$D$8)/2))+SQRT(1-'Control Room'!$B$9^2)*(BB116-IF('Control Room'!$B$5="Normal",'Control Room'!$B$7,('Control Room'!$B$8+'Control Room'!$D$8)/2))</x:f>
        <x:v>1037.5739168380571</x:v>
      </x:c>
      <x:c r="BD116" s="17" t="n">
        <x:f>IF(AND($A116&gt;='Control Room'!$A$13,$A116&lt;'Control Room'!$A$13+'Control Room'!$B$13,'Process'!BU2=1),1+('Control Room'!$C$13-1)*EXP(-0.5*(($A116-'Control Room'!$A$13-('Control Room'!$B$13-1)/2)/MAX(0.5,'Control Room'!$B$13/4))^2),1)*IF(AND($A116&gt;='Control Room'!$A$14,$A116&lt;'Control Room'!$A$14+'Control Room'!$B$14,'Process'!BU3=1),1+('Control Room'!$C$14-1)*EXP(-0.5*(($A116-'Control Room'!$A$14-('Control Room'!$B$14-1)/2)/MAX(0.5,'Control Room'!$B$14/4))^2),1)*IF(AND($A116&gt;='Control Room'!$A$15,$A116&lt;'Control Room'!$A$15+'Control Room'!$B$15,'Process'!BU4=1),1+('Control Room'!$C$15-1)*EXP(-0.5*(($A116-'Control Room'!$A$15-('Control Room'!$B$15-1)/2)/MAX(0.5,'Control Room'!$B$15/4))^2),1)*IF(AND($A116&gt;='Control Room'!$A$16,$A116&lt;'Control Room'!$A$16+'Control Room'!$B$16,'Process'!BU5=1),1+('Control Room'!$C$16-1)*EXP(-0.5*(($A116-'Control Room'!$A$16-('Control Room'!$B$16-1)/2)/MAX(0.5,'Control Room'!$B$16/4))^2),1)</x:f>
        <x:v>1</x:v>
      </x:c>
      <x:c r="BE116" s="9" t="n">
        <x:f>MOD(BF115*16807,2147483647)</x:f>
        <x:v>881674934</x:v>
      </x:c>
      <x:c r="BF116" s="9" t="n">
        <x:f>MOD(BE116*16807,2147483647)</x:f>
        <x:v>673451438</x:v>
      </x:c>
      <x:c r="BG116" s="17" t="n">
        <x:f>IF('Control Room'!$B$5="Normal",'Control Room'!$B$7+'Control Room'!$D$7*SQRT(-2*LN(MAX(0.000000000001,BE116/2147483647)))*COS(2*PI()*BF116/2147483647),'Control Room'!$B$8+('Control Room'!$D$8-'Control Room'!$B$8)*BE116/2147483647)</x:f>
        <x:v>953.2774903214872</x:v>
      </x:c>
      <x:c r="BH116" s="17" t="n">
        <x:f>IF('Control Room'!$B$5="Normal",'Control Room'!$B$7,('Control Room'!$B$8+'Control Room'!$D$8)/2)+'Control Room'!$B$9*(BH115-IF('Control Room'!$B$5="Normal",'Control Room'!$B$7,('Control Room'!$B$8+'Control Room'!$D$8)/2))+SQRT(1-'Control Room'!$B$9^2)*(BG116-IF('Control Room'!$B$5="Normal",'Control Room'!$B$7,('Control Room'!$B$8+'Control Room'!$D$8)/2))</x:f>
        <x:v>1063.741975518405</x:v>
      </x:c>
      <x:c r="BI116" s="17" t="n">
        <x:f>IF(AND($A116&gt;='Control Room'!$A$13,$A116&lt;'Control Room'!$A$13+'Control Room'!$B$13,'Process'!BV2=1),1+('Control Room'!$C$13-1)*EXP(-0.5*(($A116-'Control Room'!$A$13-('Control Room'!$B$13-1)/2)/MAX(0.5,'Control Room'!$B$13/4))^2),1)*IF(AND($A116&gt;='Control Room'!$A$14,$A116&lt;'Control Room'!$A$14+'Control Room'!$B$14,'Process'!BV3=1),1+('Control Room'!$C$14-1)*EXP(-0.5*(($A116-'Control Room'!$A$14-('Control Room'!$B$14-1)/2)/MAX(0.5,'Control Room'!$B$14/4))^2),1)*IF(AND($A116&gt;='Control Room'!$A$15,$A116&lt;'Control Room'!$A$15+'Control Room'!$B$15,'Process'!BV4=1),1+('Control Room'!$C$15-1)*EXP(-0.5*(($A116-'Control Room'!$A$15-('Control Room'!$B$15-1)/2)/MAX(0.5,'Control Room'!$B$15/4))^2),1)*IF(AND($A116&gt;='Control Room'!$A$16,$A116&lt;'Control Room'!$A$16+'Control Room'!$B$16,'Process'!BV5=1),1+('Control Room'!$C$16-1)*EXP(-0.5*(($A116-'Control Room'!$A$16-('Control Room'!$B$16-1)/2)/MAX(0.5,'Control Room'!$B$16/4))^2),1)</x:f>
        <x:v>1</x:v>
      </x:c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Z116" t="str">
        <x:f>IF('Data'!A116="","",TEXT('Data'!A116,"mm-dd"))</x:f>
        <x:v>02-24</x:v>
      </x:c>
    </x:row>
    <x:row r="117" ht="21" customHeight="1">
      <x:c r="A117" s="15" t="n">
        <x:f>'Control Room'!$B$1+115</x:f>
        <x:v>73106</x:v>
      </x:c>
      <x:c r="B117" s="9" t="n">
        <x:f>MOD(C116*16807,2147483647)</x:f>
        <x:v>844216119</x:v>
      </x:c>
      <x:c r="C117" s="9" t="n">
        <x:f>MOD(B117*16807,2147483647)</x:f>
        <x:v>315856304</x:v>
      </x:c>
      <x:c r="D117" s="17" t="n">
        <x:f>IF('Control Room'!$B$5="Normal",'Control Room'!$B$7+'Control Room'!$D$7*SQRT(-2*LN(MAX(0.000000000001,B117/2147483647)))*COS(2*PI()*C117/2147483647),'Control Room'!$B$8+('Control Room'!$D$8-'Control Room'!$B$8)*B117/2147483647)</x:f>
        <x:v>1074.0999962707838</x:v>
      </x:c>
      <x:c r="E117" s="17" t="n">
        <x:f>IF('Control Room'!$B$5="Normal",'Control Room'!$B$7,('Control Room'!$B$8+'Control Room'!$D$8)/2)+'Control Room'!$B$9*(E116-IF('Control Room'!$B$5="Normal",'Control Room'!$B$7,('Control Room'!$B$8+'Control Room'!$D$8)/2))+SQRT(1-'Control Room'!$B$9^2)*(D117-IF('Control Room'!$B$5="Normal",'Control Room'!$B$7,('Control Room'!$B$8+'Control Room'!$D$8)/2))</x:f>
        <x:v>1000.1123736745792</x:v>
      </x:c>
      <x:c r="F117" s="17" t="n">
        <x:f>IF(AND($A117&gt;='Control Room'!$A$13,$A117&lt;'Control Room'!$A$13+'Control Room'!$B$13,'Process'!BK2=1),1+('Control Room'!$C$13-1)*EXP(-0.5*(($A117-'Control Room'!$A$13-('Control Room'!$B$13-1)/2)/MAX(0.5,'Control Room'!$B$13/4))^2),1)*IF(AND($A117&gt;='Control Room'!$A$14,$A117&lt;'Control Room'!$A$14+'Control Room'!$B$14,'Process'!BK3=1),1+('Control Room'!$C$14-1)*EXP(-0.5*(($A117-'Control Room'!$A$14-('Control Room'!$B$14-1)/2)/MAX(0.5,'Control Room'!$B$14/4))^2),1)*IF(AND($A117&gt;='Control Room'!$A$15,$A117&lt;'Control Room'!$A$15+'Control Room'!$B$15,'Process'!BK4=1),1+('Control Room'!$C$15-1)*EXP(-0.5*(($A117-'Control Room'!$A$15-('Control Room'!$B$15-1)/2)/MAX(0.5,'Control Room'!$B$15/4))^2),1)*IF(AND($A117&gt;='Control Room'!$A$16,$A117&lt;'Control Room'!$A$16+'Control Room'!$B$16,'Process'!BK5=1),1+('Control Room'!$C$16-1)*EXP(-0.5*(($A117-'Control Room'!$A$16-('Control Room'!$B$16-1)/2)/MAX(0.5,'Control Room'!$B$16/4))^2),1)</x:f>
        <x:v>1</x:v>
      </x:c>
      <x:c r="G117" s="9" t="n">
        <x:f>MOD(H116*16807,2147483647)</x:f>
        <x:v>900150906</x:v>
      </x:c>
      <x:c r="H117" s="9" t="n">
        <x:f>MOD(G117*16807,2147483647)</x:f>
        <x:v>1961467674</x:v>
      </x:c>
      <x:c r="I117" s="17" t="n">
        <x:f>IF('Control Room'!$B$5="Normal",'Control Room'!$B$7+'Control Room'!$D$7*SQRT(-2*LN(MAX(0.000000000001,G117/2147483647)))*COS(2*PI()*H117/2147483647),'Control Room'!$B$8+('Control Room'!$D$8-'Control Room'!$B$8)*G117/2147483647)</x:f>
        <x:v>1101.535328964681</x:v>
      </x:c>
      <x:c r="J117" s="17" t="n">
        <x:f>IF('Control Room'!$B$5="Normal",'Control Room'!$B$7,('Control Room'!$B$8+'Control Room'!$D$8)/2)+'Control Room'!$B$9*(J116-IF('Control Room'!$B$5="Normal",'Control Room'!$B$7,('Control Room'!$B$8+'Control Room'!$D$8)/2))+SQRT(1-'Control Room'!$B$9^2)*(I117-IF('Control Room'!$B$5="Normal",'Control Room'!$B$7,('Control Room'!$B$8+'Control Room'!$D$8)/2))</x:f>
        <x:v>1131.6707134204494</x:v>
      </x:c>
      <x:c r="K117" s="17" t="n">
        <x:f>IF(AND($A117&gt;='Control Room'!$A$13,$A117&lt;'Control Room'!$A$13+'Control Room'!$B$13,'Process'!BL2=1),1+('Control Room'!$C$13-1)*EXP(-0.5*(($A117-'Control Room'!$A$13-('Control Room'!$B$13-1)/2)/MAX(0.5,'Control Room'!$B$13/4))^2),1)*IF(AND($A117&gt;='Control Room'!$A$14,$A117&lt;'Control Room'!$A$14+'Control Room'!$B$14,'Process'!BL3=1),1+('Control Room'!$C$14-1)*EXP(-0.5*(($A117-'Control Room'!$A$14-('Control Room'!$B$14-1)/2)/MAX(0.5,'Control Room'!$B$14/4))^2),1)*IF(AND($A117&gt;='Control Room'!$A$15,$A117&lt;'Control Room'!$A$15+'Control Room'!$B$15,'Process'!BL4=1),1+('Control Room'!$C$15-1)*EXP(-0.5*(($A117-'Control Room'!$A$15-('Control Room'!$B$15-1)/2)/MAX(0.5,'Control Room'!$B$15/4))^2),1)*IF(AND($A117&gt;='Control Room'!$A$16,$A117&lt;'Control Room'!$A$16+'Control Room'!$B$16,'Process'!BL5=1),1+('Control Room'!$C$16-1)*EXP(-0.5*(($A117-'Control Room'!$A$16-('Control Room'!$B$16-1)/2)/MAX(0.5,'Control Room'!$B$16/4))^2),1)</x:f>
        <x:v>1</x:v>
      </x:c>
      <x:c r="L117" s="9" t="n">
        <x:f>MOD(M116*16807,2147483647)</x:f>
        <x:v>956085693</x:v>
      </x:c>
      <x:c r="M117" s="9" t="n">
        <x:f>MOD(L117*16807,2147483647)</x:f>
        <x:v>1459595397</x:v>
      </x:c>
      <x:c r="N117" s="17" t="n">
        <x:f>IF('Control Room'!$B$5="Normal",'Control Room'!$B$7+'Control Room'!$D$7*SQRT(-2*LN(MAX(0.000000000001,L117/2147483647)))*COS(2*PI()*M117/2147483647),'Control Room'!$B$8+('Control Room'!$D$8-'Control Room'!$B$8)*L117/2147483647)</x:f>
        <x:v>951.0402835066176</x:v>
      </x:c>
      <x:c r="O117" s="17" t="n">
        <x:f>IF('Control Room'!$B$5="Normal",'Control Room'!$B$7,('Control Room'!$B$8+'Control Room'!$D$8)/2)+'Control Room'!$B$9*(O116-IF('Control Room'!$B$5="Normal",'Control Room'!$B$7,('Control Room'!$B$8+'Control Room'!$D$8)/2))+SQRT(1-'Control Room'!$B$9^2)*(N117-IF('Control Room'!$B$5="Normal",'Control Room'!$B$7,('Control Room'!$B$8+'Control Room'!$D$8)/2))</x:f>
        <x:v>939.4263664574473</x:v>
      </x:c>
      <x:c r="P117" s="17" t="n">
        <x:f>IF(AND($A117&gt;='Control Room'!$A$13,$A117&lt;'Control Room'!$A$13+'Control Room'!$B$13,'Process'!BM2=1),1+('Control Room'!$C$13-1)*EXP(-0.5*(($A117-'Control Room'!$A$13-('Control Room'!$B$13-1)/2)/MAX(0.5,'Control Room'!$B$13/4))^2),1)*IF(AND($A117&gt;='Control Room'!$A$14,$A117&lt;'Control Room'!$A$14+'Control Room'!$B$14,'Process'!BM3=1),1+('Control Room'!$C$14-1)*EXP(-0.5*(($A117-'Control Room'!$A$14-('Control Room'!$B$14-1)/2)/MAX(0.5,'Control Room'!$B$14/4))^2),1)*IF(AND($A117&gt;='Control Room'!$A$15,$A117&lt;'Control Room'!$A$15+'Control Room'!$B$15,'Process'!BM4=1),1+('Control Room'!$C$15-1)*EXP(-0.5*(($A117-'Control Room'!$A$15-('Control Room'!$B$15-1)/2)/MAX(0.5,'Control Room'!$B$15/4))^2),1)*IF(AND($A117&gt;='Control Room'!$A$16,$A117&lt;'Control Room'!$A$16+'Control Room'!$B$16,'Process'!BM5=1),1+('Control Room'!$C$16-1)*EXP(-0.5*(($A117-'Control Room'!$A$16-('Control Room'!$B$16-1)/2)/MAX(0.5,'Control Room'!$B$16/4))^2),1)</x:f>
        <x:v>1</x:v>
      </x:c>
      <x:c r="Q117" s="9" t="n">
        <x:f>MOD(R116*16807,2147483647)</x:f>
        <x:v>1012020480</x:v>
      </x:c>
      <x:c r="R117" s="9" t="n">
        <x:f>MOD(Q117*16807,2147483647)</x:f>
        <x:v>957723120</x:v>
      </x:c>
      <x:c r="S117" s="17" t="n">
        <x:f>IF('Control Room'!$B$5="Normal",'Control Room'!$B$7+'Control Room'!$D$7*SQRT(-2*LN(MAX(0.000000000001,Q117/2147483647)))*COS(2*PI()*R117/2147483647),'Control Room'!$B$8+('Control Room'!$D$8-'Control Room'!$B$8)*Q117/2147483647)</x:f>
        <x:v>895.9002405114514</x:v>
      </x:c>
      <x:c r="T117" s="17" t="n">
        <x:f>IF('Control Room'!$B$5="Normal",'Control Room'!$B$7,('Control Room'!$B$8+'Control Room'!$D$8)/2)+'Control Room'!$B$9*(T116-IF('Control Room'!$B$5="Normal",'Control Room'!$B$7,('Control Room'!$B$8+'Control Room'!$D$8)/2))+SQRT(1-'Control Room'!$B$9^2)*(S117-IF('Control Room'!$B$5="Normal",'Control Room'!$B$7,('Control Room'!$B$8+'Control Room'!$D$8)/2))</x:f>
        <x:v>1031.407542587988</x:v>
      </x:c>
      <x:c r="U117" s="17" t="n">
        <x:f>IF(AND($A117&gt;='Control Room'!$A$13,$A117&lt;'Control Room'!$A$13+'Control Room'!$B$13,'Process'!BN2=1),1+('Control Room'!$C$13-1)*EXP(-0.5*(($A117-'Control Room'!$A$13-('Control Room'!$B$13-1)/2)/MAX(0.5,'Control Room'!$B$13/4))^2),1)*IF(AND($A117&gt;='Control Room'!$A$14,$A117&lt;'Control Room'!$A$14+'Control Room'!$B$14,'Process'!BN3=1),1+('Control Room'!$C$14-1)*EXP(-0.5*(($A117-'Control Room'!$A$14-('Control Room'!$B$14-1)/2)/MAX(0.5,'Control Room'!$B$14/4))^2),1)*IF(AND($A117&gt;='Control Room'!$A$15,$A117&lt;'Control Room'!$A$15+'Control Room'!$B$15,'Process'!BN4=1),1+('Control Room'!$C$15-1)*EXP(-0.5*(($A117-'Control Room'!$A$15-('Control Room'!$B$15-1)/2)/MAX(0.5,'Control Room'!$B$15/4))^2),1)*IF(AND($A117&gt;='Control Room'!$A$16,$A117&lt;'Control Room'!$A$16+'Control Room'!$B$16,'Process'!BN5=1),1+('Control Room'!$C$16-1)*EXP(-0.5*(($A117-'Control Room'!$A$16-('Control Room'!$B$16-1)/2)/MAX(0.5,'Control Room'!$B$16/4))^2),1)</x:f>
        <x:v>1</x:v>
      </x:c>
      <x:c r="V117" s="9" t="n">
        <x:f>MOD(W116*16807,2147483647)</x:f>
        <x:v>1067955267</x:v>
      </x:c>
      <x:c r="W117" s="9" t="n">
        <x:f>MOD(V117*16807,2147483647)</x:f>
        <x:v>455850843</x:v>
      </x:c>
      <x:c r="X117" s="17" t="n">
        <x:f>IF('Control Room'!$B$5="Normal",'Control Room'!$B$7+'Control Room'!$D$7*SQRT(-2*LN(MAX(0.000000000001,V117/2147483647)))*COS(2*PI()*W117/2147483647),'Control Room'!$B$8+('Control Room'!$D$8-'Control Room'!$B$8)*V117/2147483647)</x:f>
        <x:v>1024.9818207780954</x:v>
      </x:c>
      <x:c r="Y117" s="17" t="n">
        <x:f>IF('Control Room'!$B$5="Normal",'Control Room'!$B$7,('Control Room'!$B$8+'Control Room'!$D$8)/2)+'Control Room'!$B$9*(Y116-IF('Control Room'!$B$5="Normal",'Control Room'!$B$7,('Control Room'!$B$8+'Control Room'!$D$8)/2))+SQRT(1-'Control Room'!$B$9^2)*(X117-IF('Control Room'!$B$5="Normal",'Control Room'!$B$7,('Control Room'!$B$8+'Control Room'!$D$8)/2))</x:f>
        <x:v>1012.2114601401777</x:v>
      </x:c>
      <x:c r="Z117" s="17" t="n">
        <x:f>IF(AND($A117&gt;='Control Room'!$A$13,$A117&lt;'Control Room'!$A$13+'Control Room'!$B$13,'Process'!BO2=1),1+('Control Room'!$C$13-1)*EXP(-0.5*(($A117-'Control Room'!$A$13-('Control Room'!$B$13-1)/2)/MAX(0.5,'Control Room'!$B$13/4))^2),1)*IF(AND($A117&gt;='Control Room'!$A$14,$A117&lt;'Control Room'!$A$14+'Control Room'!$B$14,'Process'!BO3=1),1+('Control Room'!$C$14-1)*EXP(-0.5*(($A117-'Control Room'!$A$14-('Control Room'!$B$14-1)/2)/MAX(0.5,'Control Room'!$B$14/4))^2),1)*IF(AND($A117&gt;='Control Room'!$A$15,$A117&lt;'Control Room'!$A$15+'Control Room'!$B$15,'Process'!BO4=1),1+('Control Room'!$C$15-1)*EXP(-0.5*(($A117-'Control Room'!$A$15-('Control Room'!$B$15-1)/2)/MAX(0.5,'Control Room'!$B$15/4))^2),1)*IF(AND($A117&gt;='Control Room'!$A$16,$A117&lt;'Control Room'!$A$16+'Control Room'!$B$16,'Process'!BO5=1),1+('Control Room'!$C$16-1)*EXP(-0.5*(($A117-'Control Room'!$A$16-('Control Room'!$B$16-1)/2)/MAX(0.5,'Control Room'!$B$16/4))^2),1)</x:f>
        <x:v>1</x:v>
      </x:c>
      <x:c r="AA117" s="9" t="n">
        <x:f>MOD(AB116*16807,2147483647)</x:f>
        <x:v>1123890054</x:v>
      </x:c>
      <x:c r="AB117" s="9" t="n">
        <x:f>MOD(AA117*16807,2147483647)</x:f>
        <x:v>2101462213</x:v>
      </x:c>
      <x:c r="AC117" s="17" t="n">
        <x:f>IF('Control Room'!$B$5="Normal",'Control Room'!$B$7+'Control Room'!$D$7*SQRT(-2*LN(MAX(0.000000000001,AA117/2147483647)))*COS(2*PI()*AB117/2147483647),'Control Room'!$B$8+('Control Room'!$D$8-'Control Room'!$B$8)*AA117/2147483647)</x:f>
        <x:v>1101.4912575063652</x:v>
      </x:c>
      <x:c r="AD117" s="17" t="n">
        <x:f>IF('Control Room'!$B$5="Normal",'Control Room'!$B$7,('Control Room'!$B$8+'Control Room'!$D$8)/2)+'Control Room'!$B$9*(AD116-IF('Control Room'!$B$5="Normal",'Control Room'!$B$7,('Control Room'!$B$8+'Control Room'!$D$8)/2))+SQRT(1-'Control Room'!$B$9^2)*(AC117-IF('Control Room'!$B$5="Normal",'Control Room'!$B$7,('Control Room'!$B$8+'Control Room'!$D$8)/2))</x:f>
        <x:v>973.4145302526207</x:v>
      </x:c>
      <x:c r="AE117" s="17" t="n">
        <x:f>IF(AND($A117&gt;='Control Room'!$A$13,$A117&lt;'Control Room'!$A$13+'Control Room'!$B$13,'Process'!BP2=1),1+('Control Room'!$C$13-1)*EXP(-0.5*(($A117-'Control Room'!$A$13-('Control Room'!$B$13-1)/2)/MAX(0.5,'Control Room'!$B$13/4))^2),1)*IF(AND($A117&gt;='Control Room'!$A$14,$A117&lt;'Control Room'!$A$14+'Control Room'!$B$14,'Process'!BP3=1),1+('Control Room'!$C$14-1)*EXP(-0.5*(($A117-'Control Room'!$A$14-('Control Room'!$B$14-1)/2)/MAX(0.5,'Control Room'!$B$14/4))^2),1)*IF(AND($A117&gt;='Control Room'!$A$15,$A117&lt;'Control Room'!$A$15+'Control Room'!$B$15,'Process'!BP4=1),1+('Control Room'!$C$15-1)*EXP(-0.5*(($A117-'Control Room'!$A$15-('Control Room'!$B$15-1)/2)/MAX(0.5,'Control Room'!$B$15/4))^2),1)*IF(AND($A117&gt;='Control Room'!$A$16,$A117&lt;'Control Room'!$A$16+'Control Room'!$B$16,'Process'!BP5=1),1+('Control Room'!$C$16-1)*EXP(-0.5*(($A117-'Control Room'!$A$16-('Control Room'!$B$16-1)/2)/MAX(0.5,'Control Room'!$B$16/4))^2),1)</x:f>
        <x:v>1</x:v>
      </x:c>
      <x:c r="AF117" s="9" t="n">
        <x:f>MOD(AG116*16807,2147483647)</x:f>
        <x:v>1179824841</x:v>
      </x:c>
      <x:c r="AG117" s="9" t="n">
        <x:f>MOD(AF117*16807,2147483647)</x:f>
        <x:v>1599589936</x:v>
      </x:c>
      <x:c r="AH117" s="17" t="n">
        <x:f>IF('Control Room'!$B$5="Normal",'Control Room'!$B$7+'Control Room'!$D$7*SQRT(-2*LN(MAX(0.000000000001,AF117/2147483647)))*COS(2*PI()*AG117/2147483647),'Control Room'!$B$8+('Control Room'!$D$8-'Control Room'!$B$8)*AF117/2147483647)</x:f>
        <x:v>996.8237664210752</x:v>
      </x:c>
      <x:c r="AI117" s="17" t="n">
        <x:f>IF('Control Room'!$B$5="Normal",'Control Room'!$B$7,('Control Room'!$B$8+'Control Room'!$D$8)/2)+'Control Room'!$B$9*(AI116-IF('Control Room'!$B$5="Normal",'Control Room'!$B$7,('Control Room'!$B$8+'Control Room'!$D$8)/2))+SQRT(1-'Control Room'!$B$9^2)*(AH117-IF('Control Room'!$B$5="Normal",'Control Room'!$B$7,('Control Room'!$B$8+'Control Room'!$D$8)/2))</x:f>
        <x:v>1003.9304562046786</x:v>
      </x:c>
      <x:c r="AJ117" s="17" t="n">
        <x:f>IF(AND($A117&gt;='Control Room'!$A$13,$A117&lt;'Control Room'!$A$13+'Control Room'!$B$13,'Process'!BQ2=1),1+('Control Room'!$C$13-1)*EXP(-0.5*(($A117-'Control Room'!$A$13-('Control Room'!$B$13-1)/2)/MAX(0.5,'Control Room'!$B$13/4))^2),1)*IF(AND($A117&gt;='Control Room'!$A$14,$A117&lt;'Control Room'!$A$14+'Control Room'!$B$14,'Process'!BQ3=1),1+('Control Room'!$C$14-1)*EXP(-0.5*(($A117-'Control Room'!$A$14-('Control Room'!$B$14-1)/2)/MAX(0.5,'Control Room'!$B$14/4))^2),1)*IF(AND($A117&gt;='Control Room'!$A$15,$A117&lt;'Control Room'!$A$15+'Control Room'!$B$15,'Process'!BQ4=1),1+('Control Room'!$C$15-1)*EXP(-0.5*(($A117-'Control Room'!$A$15-('Control Room'!$B$15-1)/2)/MAX(0.5,'Control Room'!$B$15/4))^2),1)*IF(AND($A117&gt;='Control Room'!$A$16,$A117&lt;'Control Room'!$A$16+'Control Room'!$B$16,'Process'!BQ5=1),1+('Control Room'!$C$16-1)*EXP(-0.5*(($A117-'Control Room'!$A$16-('Control Room'!$B$16-1)/2)/MAX(0.5,'Control Room'!$B$16/4))^2),1)</x:f>
        <x:v>1</x:v>
      </x:c>
      <x:c r="AK117" s="9" t="n">
        <x:f>MOD(AL116*16807,2147483647)</x:f>
        <x:v>1235759628</x:v>
      </x:c>
      <x:c r="AL117" s="9" t="n">
        <x:f>MOD(AK117*16807,2147483647)</x:f>
        <x:v>1097717659</x:v>
      </x:c>
      <x:c r="AM117" s="17" t="n">
        <x:f>IF('Control Room'!$B$5="Normal",'Control Room'!$B$7+'Control Room'!$D$7*SQRT(-2*LN(MAX(0.000000000001,AK117/2147483647)))*COS(2*PI()*AL117/2147483647),'Control Room'!$B$8+('Control Room'!$D$8-'Control Room'!$B$8)*AK117/2147483647)</x:f>
        <x:v>905.6161292093715</x:v>
      </x:c>
      <x:c r="AN117" s="17" t="n">
        <x:f>IF('Control Room'!$B$5="Normal",'Control Room'!$B$7,('Control Room'!$B$8+'Control Room'!$D$8)/2)+'Control Room'!$B$9*(AN116-IF('Control Room'!$B$5="Normal",'Control Room'!$B$7,('Control Room'!$B$8+'Control Room'!$D$8)/2))+SQRT(1-'Control Room'!$B$9^2)*(AM117-IF('Control Room'!$B$5="Normal",'Control Room'!$B$7,('Control Room'!$B$8+'Control Room'!$D$8)/2))</x:f>
        <x:v>936.8967473713315</x:v>
      </x:c>
      <x:c r="AO117" s="17" t="n">
        <x:f>IF(AND($A117&gt;='Control Room'!$A$13,$A117&lt;'Control Room'!$A$13+'Control Room'!$B$13,'Process'!BR2=1),1+('Control Room'!$C$13-1)*EXP(-0.5*(($A117-'Control Room'!$A$13-('Control Room'!$B$13-1)/2)/MAX(0.5,'Control Room'!$B$13/4))^2),1)*IF(AND($A117&gt;='Control Room'!$A$14,$A117&lt;'Control Room'!$A$14+'Control Room'!$B$14,'Process'!BR3=1),1+('Control Room'!$C$14-1)*EXP(-0.5*(($A117-'Control Room'!$A$14-('Control Room'!$B$14-1)/2)/MAX(0.5,'Control Room'!$B$14/4))^2),1)*IF(AND($A117&gt;='Control Room'!$A$15,$A117&lt;'Control Room'!$A$15+'Control Room'!$B$15,'Process'!BR4=1),1+('Control Room'!$C$15-1)*EXP(-0.5*(($A117-'Control Room'!$A$15-('Control Room'!$B$15-1)/2)/MAX(0.5,'Control Room'!$B$15/4))^2),1)*IF(AND($A117&gt;='Control Room'!$A$16,$A117&lt;'Control Room'!$A$16+'Control Room'!$B$16,'Process'!BR5=1),1+('Control Room'!$C$16-1)*EXP(-0.5*(($A117-'Control Room'!$A$16-('Control Room'!$B$16-1)/2)/MAX(0.5,'Control Room'!$B$16/4))^2),1)</x:f>
        <x:v>1</x:v>
      </x:c>
      <x:c r="AP117" s="9" t="n">
        <x:f>MOD(AQ116*16807,2147483647)</x:f>
        <x:v>1291694415</x:v>
      </x:c>
      <x:c r="AQ117" s="9" t="n">
        <x:f>MOD(AP117*16807,2147483647)</x:f>
        <x:v>595845382</x:v>
      </x:c>
      <x:c r="AR117" s="17" t="n">
        <x:f>IF('Control Room'!$B$5="Normal",'Control Room'!$B$7+'Control Room'!$D$7*SQRT(-2*LN(MAX(0.000000000001,AP117/2147483647)))*COS(2*PI()*AQ117/2147483647),'Control Room'!$B$8+('Control Room'!$D$8-'Control Room'!$B$8)*AP117/2147483647)</x:f>
        <x:v>984.4191085353034</x:v>
      </x:c>
      <x:c r="AS117" s="17" t="n">
        <x:f>IF('Control Room'!$B$5="Normal",'Control Room'!$B$7,('Control Room'!$B$8+'Control Room'!$D$8)/2)+'Control Room'!$B$9*(AS116-IF('Control Room'!$B$5="Normal",'Control Room'!$B$7,('Control Room'!$B$8+'Control Room'!$D$8)/2))+SQRT(1-'Control Room'!$B$9^2)*(AR117-IF('Control Room'!$B$5="Normal",'Control Room'!$B$7,('Control Room'!$B$8+'Control Room'!$D$8)/2))</x:f>
        <x:v>905.4290365328679</x:v>
      </x:c>
      <x:c r="AT117" s="17" t="n">
        <x:f>IF(AND($A117&gt;='Control Room'!$A$13,$A117&lt;'Control Room'!$A$13+'Control Room'!$B$13,'Process'!BS2=1),1+('Control Room'!$C$13-1)*EXP(-0.5*(($A117-'Control Room'!$A$13-('Control Room'!$B$13-1)/2)/MAX(0.5,'Control Room'!$B$13/4))^2),1)*IF(AND($A117&gt;='Control Room'!$A$14,$A117&lt;'Control Room'!$A$14+'Control Room'!$B$14,'Process'!BS3=1),1+('Control Room'!$C$14-1)*EXP(-0.5*(($A117-'Control Room'!$A$14-('Control Room'!$B$14-1)/2)/MAX(0.5,'Control Room'!$B$14/4))^2),1)*IF(AND($A117&gt;='Control Room'!$A$15,$A117&lt;'Control Room'!$A$15+'Control Room'!$B$15,'Process'!BS4=1),1+('Control Room'!$C$15-1)*EXP(-0.5*(($A117-'Control Room'!$A$15-('Control Room'!$B$15-1)/2)/MAX(0.5,'Control Room'!$B$15/4))^2),1)*IF(AND($A117&gt;='Control Room'!$A$16,$A117&lt;'Control Room'!$A$16+'Control Room'!$B$16,'Process'!BS5=1),1+('Control Room'!$C$16-1)*EXP(-0.5*(($A117-'Control Room'!$A$16-('Control Room'!$B$16-1)/2)/MAX(0.5,'Control Room'!$B$16/4))^2),1)</x:f>
        <x:v>1</x:v>
      </x:c>
      <x:c r="AU117" s="9" t="n">
        <x:f>MOD(AV116*16807,2147483647)</x:f>
        <x:v>1347629202</x:v>
      </x:c>
      <x:c r="AV117" s="9" t="n">
        <x:f>MOD(AU117*16807,2147483647)</x:f>
        <x:v>93973105</x:v>
      </x:c>
      <x:c r="AW117" s="17" t="n">
        <x:f>IF('Control Room'!$B$5="Normal",'Control Room'!$B$7+'Control Room'!$D$7*SQRT(-2*LN(MAX(0.000000000001,AU117/2147483647)))*COS(2*PI()*AV117/2147483647),'Control Room'!$B$8+('Control Room'!$D$8-'Control Room'!$B$8)*AU117/2147483647)</x:f>
        <x:v>1083.6180858079997</x:v>
      </x:c>
      <x:c r="AX117" s="17" t="n">
        <x:f>IF('Control Room'!$B$5="Normal",'Control Room'!$B$7,('Control Room'!$B$8+'Control Room'!$D$8)/2)+'Control Room'!$B$9*(AX116-IF('Control Room'!$B$5="Normal",'Control Room'!$B$7,('Control Room'!$B$8+'Control Room'!$D$8)/2))+SQRT(1-'Control Room'!$B$9^2)*(AW117-IF('Control Room'!$B$5="Normal",'Control Room'!$B$7,('Control Room'!$B$8+'Control Room'!$D$8)/2))</x:f>
        <x:v>1228.0911248569887</x:v>
      </x:c>
      <x:c r="AY117" s="17" t="n">
        <x:f>IF(AND($A117&gt;='Control Room'!$A$13,$A117&lt;'Control Room'!$A$13+'Control Room'!$B$13,'Process'!BT2=1),1+('Control Room'!$C$13-1)*EXP(-0.5*(($A117-'Control Room'!$A$13-('Control Room'!$B$13-1)/2)/MAX(0.5,'Control Room'!$B$13/4))^2),1)*IF(AND($A117&gt;='Control Room'!$A$14,$A117&lt;'Control Room'!$A$14+'Control Room'!$B$14,'Process'!BT3=1),1+('Control Room'!$C$14-1)*EXP(-0.5*(($A117-'Control Room'!$A$14-('Control Room'!$B$14-1)/2)/MAX(0.5,'Control Room'!$B$14/4))^2),1)*IF(AND($A117&gt;='Control Room'!$A$15,$A117&lt;'Control Room'!$A$15+'Control Room'!$B$15,'Process'!BT4=1),1+('Control Room'!$C$15-1)*EXP(-0.5*(($A117-'Control Room'!$A$15-('Control Room'!$B$15-1)/2)/MAX(0.5,'Control Room'!$B$15/4))^2),1)*IF(AND($A117&gt;='Control Room'!$A$16,$A117&lt;'Control Room'!$A$16+'Control Room'!$B$16,'Process'!BT5=1),1+('Control Room'!$C$16-1)*EXP(-0.5*(($A117-'Control Room'!$A$16-('Control Room'!$B$16-1)/2)/MAX(0.5,'Control Room'!$B$16/4))^2),1)</x:f>
        <x:v>1</x:v>
      </x:c>
      <x:c r="AZ117" s="9" t="n">
        <x:f>MOD(BA116*16807,2147483647)</x:f>
        <x:v>1403563989</x:v>
      </x:c>
      <x:c r="BA117" s="9" t="n">
        <x:f>MOD(AZ117*16807,2147483647)</x:f>
        <x:v>1739584475</x:v>
      </x:c>
      <x:c r="BB117" s="17" t="n">
        <x:f>IF('Control Room'!$B$5="Normal",'Control Room'!$B$7+'Control Room'!$D$7*SQRT(-2*LN(MAX(0.000000000001,AZ117/2147483647)))*COS(2*PI()*BA117/2147483647),'Control Room'!$B$8+('Control Room'!$D$8-'Control Room'!$B$8)*AZ117/2147483647)</x:f>
        <x:v>1030.5833086564292</x:v>
      </x:c>
      <x:c r="BC117" s="17" t="n">
        <x:f>IF('Control Room'!$B$5="Normal",'Control Room'!$B$7,('Control Room'!$B$8+'Control Room'!$D$8)/2)+'Control Room'!$B$9*(BC116-IF('Control Room'!$B$5="Normal",'Control Room'!$B$7,('Control Room'!$B$8+'Control Room'!$D$8)/2))+SQRT(1-'Control Room'!$B$9^2)*(BB117-IF('Control Room'!$B$5="Normal",'Control Room'!$B$7,('Control Room'!$B$8+'Control Room'!$D$8)/2))</x:f>
        <x:v>1048.4460631577451</x:v>
      </x:c>
      <x:c r="BD117" s="17" t="n">
        <x:f>IF(AND($A117&gt;='Control Room'!$A$13,$A117&lt;'Control Room'!$A$13+'Control Room'!$B$13,'Process'!BU2=1),1+('Control Room'!$C$13-1)*EXP(-0.5*(($A117-'Control Room'!$A$13-('Control Room'!$B$13-1)/2)/MAX(0.5,'Control Room'!$B$13/4))^2),1)*IF(AND($A117&gt;='Control Room'!$A$14,$A117&lt;'Control Room'!$A$14+'Control Room'!$B$14,'Process'!BU3=1),1+('Control Room'!$C$14-1)*EXP(-0.5*(($A117-'Control Room'!$A$14-('Control Room'!$B$14-1)/2)/MAX(0.5,'Control Room'!$B$14/4))^2),1)*IF(AND($A117&gt;='Control Room'!$A$15,$A117&lt;'Control Room'!$A$15+'Control Room'!$B$15,'Process'!BU4=1),1+('Control Room'!$C$15-1)*EXP(-0.5*(($A117-'Control Room'!$A$15-('Control Room'!$B$15-1)/2)/MAX(0.5,'Control Room'!$B$15/4))^2),1)*IF(AND($A117&gt;='Control Room'!$A$16,$A117&lt;'Control Room'!$A$16+'Control Room'!$B$16,'Process'!BU5=1),1+('Control Room'!$C$16-1)*EXP(-0.5*(($A117-'Control Room'!$A$16-('Control Room'!$B$16-1)/2)/MAX(0.5,'Control Room'!$B$16/4))^2),1)</x:f>
        <x:v>1</x:v>
      </x:c>
      <x:c r="BE117" s="9" t="n">
        <x:f>MOD(BF116*16807,2147483647)</x:f>
        <x:v>1459498776</x:v>
      </x:c>
      <x:c r="BF117" s="9" t="n">
        <x:f>MOD(BE117*16807,2147483647)</x:f>
        <x:v>1237712198</x:v>
      </x:c>
      <x:c r="BG117" s="17" t="n">
        <x:f>IF('Control Room'!$B$5="Normal",'Control Room'!$B$7+'Control Room'!$D$7*SQRT(-2*LN(MAX(0.000000000001,BE117/2147483647)))*COS(2*PI()*BF117/2147483647),'Control Room'!$B$8+('Control Room'!$D$8-'Control Room'!$B$8)*BE117/2147483647)</x:f>
        <x:v>929.8313284241167</x:v>
      </x:c>
      <x:c r="BH117" s="17" t="n">
        <x:f>IF('Control Room'!$B$5="Normal",'Control Room'!$B$7,('Control Room'!$B$8+'Control Room'!$D$8)/2)+'Control Room'!$B$9*(BH116-IF('Control Room'!$B$5="Normal",'Control Room'!$B$7,('Control Room'!$B$8+'Control Room'!$D$8)/2))+SQRT(1-'Control Room'!$B$9^2)*(BG117-IF('Control Room'!$B$5="Normal",'Control Room'!$B$7,('Control Room'!$B$8+'Control Room'!$D$8)/2))</x:f>
        <x:v>1005.8086237155395</x:v>
      </x:c>
      <x:c r="BI117" s="17" t="n">
        <x:f>IF(AND($A117&gt;='Control Room'!$A$13,$A117&lt;'Control Room'!$A$13+'Control Room'!$B$13,'Process'!BV2=1),1+('Control Room'!$C$13-1)*EXP(-0.5*(($A117-'Control Room'!$A$13-('Control Room'!$B$13-1)/2)/MAX(0.5,'Control Room'!$B$13/4))^2),1)*IF(AND($A117&gt;='Control Room'!$A$14,$A117&lt;'Control Room'!$A$14+'Control Room'!$B$14,'Process'!BV3=1),1+('Control Room'!$C$14-1)*EXP(-0.5*(($A117-'Control Room'!$A$14-('Control Room'!$B$14-1)/2)/MAX(0.5,'Control Room'!$B$14/4))^2),1)*IF(AND($A117&gt;='Control Room'!$A$15,$A117&lt;'Control Room'!$A$15+'Control Room'!$B$15,'Process'!BV4=1),1+('Control Room'!$C$15-1)*EXP(-0.5*(($A117-'Control Room'!$A$15-('Control Room'!$B$15-1)/2)/MAX(0.5,'Control Room'!$B$15/4))^2),1)*IF(AND($A117&gt;='Control Room'!$A$16,$A117&lt;'Control Room'!$A$16+'Control Room'!$B$16,'Process'!BV5=1),1+('Control Room'!$C$16-1)*EXP(-0.5*(($A117-'Control Room'!$A$16-('Control Room'!$B$16-1)/2)/MAX(0.5,'Control Room'!$B$16/4))^2),1)</x:f>
        <x:v>1</x:v>
      </x:c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Z117" t="str">
        <x:f>IF('Data'!A117="","",TEXT('Data'!A117,"mm-dd"))</x:f>
        <x:v>02-25</x:v>
      </x:c>
    </x:row>
    <x:row r="118" ht="21" customHeight="1">
      <x:c r="A118" s="15" t="n">
        <x:f>'Control Room'!$B$1+116</x:f>
        <x:v>73107</x:v>
      </x:c>
      <x:c r="B118" s="9" t="n">
        <x:f>MOD(C117*16807,2147483647)</x:f>
        <x:v>17325944</x:v>
      </x:c>
      <x:c r="C118" s="9" t="n">
        <x:f>MOD(B118*16807,2147483647)</x:f>
        <x:v>1286848463</x:v>
      </x:c>
      <x:c r="D118" s="17" t="n">
        <x:f>IF('Control Room'!$B$5="Normal",'Control Room'!$B$7+'Control Room'!$D$7*SQRT(-2*LN(MAX(0.000000000001,B118/2147483647)))*COS(2*PI()*C118/2147483647),'Control Room'!$B$8+('Control Room'!$D$8-'Control Room'!$B$8)*B118/2147483647)</x:f>
        <x:v>773.1494793544106</x:v>
      </x:c>
      <x:c r="E118" s="17" t="n">
        <x:f>IF('Control Room'!$B$5="Normal",'Control Room'!$B$7,('Control Room'!$B$8+'Control Room'!$D$8)/2)+'Control Room'!$B$9*(E117-IF('Control Room'!$B$5="Normal",'Control Room'!$B$7,('Control Room'!$B$8+'Control Room'!$D$8)/2))+SQRT(1-'Control Room'!$B$9^2)*(D118-IF('Control Room'!$B$5="Normal",'Control Room'!$B$7,('Control Room'!$B$8+'Control Room'!$D$8)/2))</x:f>
        <x:v>858.1292429316798</x:v>
      </x:c>
      <x:c r="F118" s="17" t="n">
        <x:f>IF(AND($A118&gt;='Control Room'!$A$13,$A118&lt;'Control Room'!$A$13+'Control Room'!$B$13,'Process'!BK2=1),1+('Control Room'!$C$13-1)*EXP(-0.5*(($A118-'Control Room'!$A$13-('Control Room'!$B$13-1)/2)/MAX(0.5,'Control Room'!$B$13/4))^2),1)*IF(AND($A118&gt;='Control Room'!$A$14,$A118&lt;'Control Room'!$A$14+'Control Room'!$B$14,'Process'!BK3=1),1+('Control Room'!$C$14-1)*EXP(-0.5*(($A118-'Control Room'!$A$14-('Control Room'!$B$14-1)/2)/MAX(0.5,'Control Room'!$B$14/4))^2),1)*IF(AND($A118&gt;='Control Room'!$A$15,$A118&lt;'Control Room'!$A$15+'Control Room'!$B$15,'Process'!BK4=1),1+('Control Room'!$C$15-1)*EXP(-0.5*(($A118-'Control Room'!$A$15-('Control Room'!$B$15-1)/2)/MAX(0.5,'Control Room'!$B$15/4))^2),1)*IF(AND($A118&gt;='Control Room'!$A$16,$A118&lt;'Control Room'!$A$16+'Control Room'!$B$16,'Process'!BK5=1),1+('Control Room'!$C$16-1)*EXP(-0.5*(($A118-'Control Room'!$A$16-('Control Room'!$B$16-1)/2)/MAX(0.5,'Control Room'!$B$16/4))^2),1)</x:f>
        <x:v>1</x:v>
      </x:c>
      <x:c r="G118" s="9" t="n">
        <x:f>MOD(H117*16807,2147483647)</x:f>
        <x:v>365731821</x:v>
      </x:c>
      <x:c r="H118" s="9" t="n">
        <x:f>MOD(G118*16807,2147483647)</x:f>
        <x:v>756517833</x:v>
      </x:c>
      <x:c r="I118" s="17" t="n">
        <x:f>IF('Control Room'!$B$5="Normal",'Control Room'!$B$7+'Control Room'!$D$7*SQRT(-2*LN(MAX(0.000000000001,G118/2147483647)))*COS(2*PI()*H118/2147483647),'Control Room'!$B$8+('Control Room'!$D$8-'Control Room'!$B$8)*G118/2147483647)</x:f>
        <x:v>898.5104688149942</x:v>
      </x:c>
      <x:c r="J118" s="17" t="n">
        <x:f>IF('Control Room'!$B$5="Normal",'Control Room'!$B$7,('Control Room'!$B$8+'Control Room'!$D$8)/2)+'Control Room'!$B$9*(J117-IF('Control Room'!$B$5="Normal",'Control Room'!$B$7,('Control Room'!$B$8+'Control Room'!$D$8)/2))+SQRT(1-'Control Room'!$B$9^2)*(I118-IF('Control Room'!$B$5="Normal",'Control Room'!$B$7,('Control Room'!$B$8+'Control Room'!$D$8)/2))</x:f>
        <x:v>1039.1930869784308</x:v>
      </x:c>
      <x:c r="K118" s="17" t="n">
        <x:f>IF(AND($A118&gt;='Control Room'!$A$13,$A118&lt;'Control Room'!$A$13+'Control Room'!$B$13,'Process'!BL2=1),1+('Control Room'!$C$13-1)*EXP(-0.5*(($A118-'Control Room'!$A$13-('Control Room'!$B$13-1)/2)/MAX(0.5,'Control Room'!$B$13/4))^2),1)*IF(AND($A118&gt;='Control Room'!$A$14,$A118&lt;'Control Room'!$A$14+'Control Room'!$B$14,'Process'!BL3=1),1+('Control Room'!$C$14-1)*EXP(-0.5*(($A118-'Control Room'!$A$14-('Control Room'!$B$14-1)/2)/MAX(0.5,'Control Room'!$B$14/4))^2),1)*IF(AND($A118&gt;='Control Room'!$A$15,$A118&lt;'Control Room'!$A$15+'Control Room'!$B$15,'Process'!BL4=1),1+('Control Room'!$C$15-1)*EXP(-0.5*(($A118-'Control Room'!$A$15-('Control Room'!$B$15-1)/2)/MAX(0.5,'Control Room'!$B$15/4))^2),1)*IF(AND($A118&gt;='Control Room'!$A$16,$A118&lt;'Control Room'!$A$16+'Control Room'!$B$16,'Process'!BL5=1),1+('Control Room'!$C$16-1)*EXP(-0.5*(($A118-'Control Room'!$A$16-('Control Room'!$B$16-1)/2)/MAX(0.5,'Control Room'!$B$16/4))^2),1)</x:f>
        <x:v>1</x:v>
      </x:c>
      <x:c r="L118" s="9" t="n">
        <x:f>MOD(M117*16807,2147483647)</x:f>
        <x:v>714137698</x:v>
      </x:c>
      <x:c r="M118" s="9" t="n">
        <x:f>MOD(L118*16807,2147483647)</x:f>
        <x:v>226187203</x:v>
      </x:c>
      <x:c r="N118" s="17" t="n">
        <x:f>IF('Control Room'!$B$5="Normal",'Control Room'!$B$7+'Control Room'!$D$7*SQRT(-2*LN(MAX(0.000000000001,L118/2147483647)))*COS(2*PI()*M118/2147483647),'Control Room'!$B$8+('Control Room'!$D$8-'Control Room'!$B$8)*L118/2147483647)</x:f>
        <x:v>1105.357624201798</x:v>
      </x:c>
      <x:c r="O118" s="17" t="n">
        <x:f>IF('Control Room'!$B$5="Normal",'Control Room'!$B$7,('Control Room'!$B$8+'Control Room'!$D$8)/2)+'Control Room'!$B$9*(O117-IF('Control Room'!$B$5="Normal",'Control Room'!$B$7,('Control Room'!$B$8+'Control Room'!$D$8)/2))+SQRT(1-'Control Room'!$B$9^2)*(N118-IF('Control Room'!$B$5="Normal",'Control Room'!$B$7,('Control Room'!$B$8+'Control Room'!$D$8)/2))</x:f>
        <x:v>1018.6832086940445</x:v>
      </x:c>
      <x:c r="P118" s="17" t="n">
        <x:f>IF(AND($A118&gt;='Control Room'!$A$13,$A118&lt;'Control Room'!$A$13+'Control Room'!$B$13,'Process'!BM2=1),1+('Control Room'!$C$13-1)*EXP(-0.5*(($A118-'Control Room'!$A$13-('Control Room'!$B$13-1)/2)/MAX(0.5,'Control Room'!$B$13/4))^2),1)*IF(AND($A118&gt;='Control Room'!$A$14,$A118&lt;'Control Room'!$A$14+'Control Room'!$B$14,'Process'!BM3=1),1+('Control Room'!$C$14-1)*EXP(-0.5*(($A118-'Control Room'!$A$14-('Control Room'!$B$14-1)/2)/MAX(0.5,'Control Room'!$B$14/4))^2),1)*IF(AND($A118&gt;='Control Room'!$A$15,$A118&lt;'Control Room'!$A$15+'Control Room'!$B$15,'Process'!BM4=1),1+('Control Room'!$C$15-1)*EXP(-0.5*(($A118-'Control Room'!$A$15-('Control Room'!$B$15-1)/2)/MAX(0.5,'Control Room'!$B$15/4))^2),1)*IF(AND($A118&gt;='Control Room'!$A$16,$A118&lt;'Control Room'!$A$16+'Control Room'!$B$16,'Process'!BM5=1),1+('Control Room'!$C$16-1)*EXP(-0.5*(($A118-'Control Room'!$A$16-('Control Room'!$B$16-1)/2)/MAX(0.5,'Control Room'!$B$16/4))^2),1)</x:f>
        <x:v>1</x:v>
      </x:c>
      <x:c r="Q118" s="9" t="n">
        <x:f>MOD(R117*16807,2147483647)</x:f>
        <x:v>1062543575</x:v>
      </x:c>
      <x:c r="R118" s="9" t="n">
        <x:f>MOD(Q118*16807,2147483647)</x:f>
        <x:v>1843340220</x:v>
      </x:c>
      <x:c r="S118" s="17" t="n">
        <x:f>IF('Control Room'!$B$5="Normal",'Control Room'!$B$7+'Control Room'!$D$7*SQRT(-2*LN(MAX(0.000000000001,Q118/2147483647)))*COS(2*PI()*R118/2147483647),'Control Room'!$B$8+('Control Room'!$D$8-'Control Room'!$B$8)*Q118/2147483647)</x:f>
        <x:v>1067.2098155618355</x:v>
      </x:c>
      <x:c r="T118" s="17" t="n">
        <x:f>IF('Control Room'!$B$5="Normal",'Control Room'!$B$7,('Control Room'!$B$8+'Control Room'!$D$8)/2)+'Control Room'!$B$9*(T117-IF('Control Room'!$B$5="Normal",'Control Room'!$B$7,('Control Room'!$B$8+'Control Room'!$D$8)/2))+SQRT(1-'Control Room'!$B$9^2)*(S118-IF('Control Room'!$B$5="Normal",'Control Room'!$B$7,('Control Room'!$B$8+'Control Room'!$D$8)/2))</x:f>
        <x:v>1066.5564089293161</x:v>
      </x:c>
      <x:c r="U118" s="17" t="n">
        <x:f>IF(AND($A118&gt;='Control Room'!$A$13,$A118&lt;'Control Room'!$A$13+'Control Room'!$B$13,'Process'!BN2=1),1+('Control Room'!$C$13-1)*EXP(-0.5*(($A118-'Control Room'!$A$13-('Control Room'!$B$13-1)/2)/MAX(0.5,'Control Room'!$B$13/4))^2),1)*IF(AND($A118&gt;='Control Room'!$A$14,$A118&lt;'Control Room'!$A$14+'Control Room'!$B$14,'Process'!BN3=1),1+('Control Room'!$C$14-1)*EXP(-0.5*(($A118-'Control Room'!$A$14-('Control Room'!$B$14-1)/2)/MAX(0.5,'Control Room'!$B$14/4))^2),1)*IF(AND($A118&gt;='Control Room'!$A$15,$A118&lt;'Control Room'!$A$15+'Control Room'!$B$15,'Process'!BN4=1),1+('Control Room'!$C$15-1)*EXP(-0.5*(($A118-'Control Room'!$A$15-('Control Room'!$B$15-1)/2)/MAX(0.5,'Control Room'!$B$15/4))^2),1)*IF(AND($A118&gt;='Control Room'!$A$16,$A118&lt;'Control Room'!$A$16+'Control Room'!$B$16,'Process'!BN5=1),1+('Control Room'!$C$16-1)*EXP(-0.5*(($A118-'Control Room'!$A$16-('Control Room'!$B$16-1)/2)/MAX(0.5,'Control Room'!$B$16/4))^2),1)</x:f>
        <x:v>1</x:v>
      </x:c>
      <x:c r="V118" s="9" t="n">
        <x:f>MOD(W117*16807,2147483647)</x:f>
        <x:v>1410949452</x:v>
      </x:c>
      <x:c r="W118" s="9" t="n">
        <x:f>MOD(V118*16807,2147483647)</x:f>
        <x:v>1313009590</x:v>
      </x:c>
      <x:c r="X118" s="17" t="n">
        <x:f>IF('Control Room'!$B$5="Normal",'Control Room'!$B$7+'Control Room'!$D$7*SQRT(-2*LN(MAX(0.000000000001,V118/2147483647)))*COS(2*PI()*W118/2147483647),'Control Room'!$B$8+('Control Room'!$D$8-'Control Room'!$B$8)*V118/2147483647)</x:f>
        <x:v>936.9115004862155</x:v>
      </x:c>
      <x:c r="Y118" s="17" t="n">
        <x:f>IF('Control Room'!$B$5="Normal",'Control Room'!$B$7,('Control Room'!$B$8+'Control Room'!$D$8)/2)+'Control Room'!$B$9*(Y117-IF('Control Room'!$B$5="Normal",'Control Room'!$B$7,('Control Room'!$B$8+'Control Room'!$D$8)/2))+SQRT(1-'Control Room'!$B$9^2)*(X118-IF('Control Room'!$B$5="Normal",'Control Room'!$B$7,('Control Room'!$B$8+'Control Room'!$D$8)/2))</x:f>
        <x:v>970.0454483517751</x:v>
      </x:c>
      <x:c r="Z118" s="17" t="n">
        <x:f>IF(AND($A118&gt;='Control Room'!$A$13,$A118&lt;'Control Room'!$A$13+'Control Room'!$B$13,'Process'!BO2=1),1+('Control Room'!$C$13-1)*EXP(-0.5*(($A118-'Control Room'!$A$13-('Control Room'!$B$13-1)/2)/MAX(0.5,'Control Room'!$B$13/4))^2),1)*IF(AND($A118&gt;='Control Room'!$A$14,$A118&lt;'Control Room'!$A$14+'Control Room'!$B$14,'Process'!BO3=1),1+('Control Room'!$C$14-1)*EXP(-0.5*(($A118-'Control Room'!$A$14-('Control Room'!$B$14-1)/2)/MAX(0.5,'Control Room'!$B$14/4))^2),1)*IF(AND($A118&gt;='Control Room'!$A$15,$A118&lt;'Control Room'!$A$15+'Control Room'!$B$15,'Process'!BO4=1),1+('Control Room'!$C$15-1)*EXP(-0.5*(($A118-'Control Room'!$A$15-('Control Room'!$B$15-1)/2)/MAX(0.5,'Control Room'!$B$15/4))^2),1)*IF(AND($A118&gt;='Control Room'!$A$16,$A118&lt;'Control Room'!$A$16+'Control Room'!$B$16,'Process'!BO5=1),1+('Control Room'!$C$16-1)*EXP(-0.5*(($A118-'Control Room'!$A$16-('Control Room'!$B$16-1)/2)/MAX(0.5,'Control Room'!$B$16/4))^2),1)</x:f>
        <x:v>1</x:v>
      </x:c>
      <x:c r="AA118" s="9" t="n">
        <x:f>MOD(AB117*16807,2147483647)</x:f>
        <x:v>1759355329</x:v>
      </x:c>
      <x:c r="AB118" s="9" t="n">
        <x:f>MOD(AA118*16807,2147483647)</x:f>
        <x:v>782678960</x:v>
      </x:c>
      <x:c r="AC118" s="17" t="n">
        <x:f>IF('Control Room'!$B$5="Normal",'Control Room'!$B$7+'Control Room'!$D$7*SQRT(-2*LN(MAX(0.000000000001,AA118/2147483647)))*COS(2*PI()*AB118/2147483647),'Control Room'!$B$8+('Control Room'!$D$8-'Control Room'!$B$8)*AA118/2147483647)</x:f>
        <x:v>962.5627163316011</x:v>
      </x:c>
      <x:c r="AD118" s="17" t="n">
        <x:f>IF('Control Room'!$B$5="Normal",'Control Room'!$B$7,('Control Room'!$B$8+'Control Room'!$D$8)/2)+'Control Room'!$B$9*(AD117-IF('Control Room'!$B$5="Normal",'Control Room'!$B$7,('Control Room'!$B$8+'Control Room'!$D$8)/2))+SQRT(1-'Control Room'!$B$9^2)*(AC118-IF('Control Room'!$B$5="Normal",'Control Room'!$B$7,('Control Room'!$B$8+'Control Room'!$D$8)/2))</x:f>
        <x:v>955.8358484218032</x:v>
      </x:c>
      <x:c r="AE118" s="17" t="n">
        <x:f>IF(AND($A118&gt;='Control Room'!$A$13,$A118&lt;'Control Room'!$A$13+'Control Room'!$B$13,'Process'!BP2=1),1+('Control Room'!$C$13-1)*EXP(-0.5*(($A118-'Control Room'!$A$13-('Control Room'!$B$13-1)/2)/MAX(0.5,'Control Room'!$B$13/4))^2),1)*IF(AND($A118&gt;='Control Room'!$A$14,$A118&lt;'Control Room'!$A$14+'Control Room'!$B$14,'Process'!BP3=1),1+('Control Room'!$C$14-1)*EXP(-0.5*(($A118-'Control Room'!$A$14-('Control Room'!$B$14-1)/2)/MAX(0.5,'Control Room'!$B$14/4))^2),1)*IF(AND($A118&gt;='Control Room'!$A$15,$A118&lt;'Control Room'!$A$15+'Control Room'!$B$15,'Process'!BP4=1),1+('Control Room'!$C$15-1)*EXP(-0.5*(($A118-'Control Room'!$A$15-('Control Room'!$B$15-1)/2)/MAX(0.5,'Control Room'!$B$15/4))^2),1)*IF(AND($A118&gt;='Control Room'!$A$16,$A118&lt;'Control Room'!$A$16+'Control Room'!$B$16,'Process'!BP5=1),1+('Control Room'!$C$16-1)*EXP(-0.5*(($A118-'Control Room'!$A$16-('Control Room'!$B$16-1)/2)/MAX(0.5,'Control Room'!$B$16/4))^2),1)</x:f>
        <x:v>1</x:v>
      </x:c>
      <x:c r="AF118" s="9" t="n">
        <x:f>MOD(AG117*16807,2147483647)</x:f>
        <x:v>2107761206</x:v>
      </x:c>
      <x:c r="AG118" s="9" t="n">
        <x:f>MOD(AF118*16807,2147483647)</x:f>
        <x:v>252348330</x:v>
      </x:c>
      <x:c r="AH118" s="17" t="n">
        <x:f>IF('Control Room'!$B$5="Normal",'Control Room'!$B$7+'Control Room'!$D$7*SQRT(-2*LN(MAX(0.000000000001,AF118/2147483647)))*COS(2*PI()*AG118/2147483647),'Control Room'!$B$8+('Control Room'!$D$8-'Control Room'!$B$8)*AF118/2147483647)</x:f>
        <x:v>1012.862568171458</x:v>
      </x:c>
      <x:c r="AI118" s="17" t="n">
        <x:f>IF('Control Room'!$B$5="Normal",'Control Room'!$B$7,('Control Room'!$B$8+'Control Room'!$D$8)/2)+'Control Room'!$B$9*(AI117-IF('Control Room'!$B$5="Normal",'Control Room'!$B$7,('Control Room'!$B$8+'Control Room'!$D$8)/2))+SQRT(1-'Control Room'!$B$9^2)*(AH118-IF('Control Room'!$B$5="Normal",'Control Room'!$B$7,('Control Room'!$B$8+'Control Room'!$D$8)/2))</x:f>
        <x:v>1011.114887497316</x:v>
      </x:c>
      <x:c r="AJ118" s="17" t="n">
        <x:f>IF(AND($A118&gt;='Control Room'!$A$13,$A118&lt;'Control Room'!$A$13+'Control Room'!$B$13,'Process'!BQ2=1),1+('Control Room'!$C$13-1)*EXP(-0.5*(($A118-'Control Room'!$A$13-('Control Room'!$B$13-1)/2)/MAX(0.5,'Control Room'!$B$13/4))^2),1)*IF(AND($A118&gt;='Control Room'!$A$14,$A118&lt;'Control Room'!$A$14+'Control Room'!$B$14,'Process'!BQ3=1),1+('Control Room'!$C$14-1)*EXP(-0.5*(($A118-'Control Room'!$A$14-('Control Room'!$B$14-1)/2)/MAX(0.5,'Control Room'!$B$14/4))^2),1)*IF(AND($A118&gt;='Control Room'!$A$15,$A118&lt;'Control Room'!$A$15+'Control Room'!$B$15,'Process'!BQ4=1),1+('Control Room'!$C$15-1)*EXP(-0.5*(($A118-'Control Room'!$A$15-('Control Room'!$B$15-1)/2)/MAX(0.5,'Control Room'!$B$15/4))^2),1)*IF(AND($A118&gt;='Control Room'!$A$16,$A118&lt;'Control Room'!$A$16+'Control Room'!$B$16,'Process'!BQ5=1),1+('Control Room'!$C$16-1)*EXP(-0.5*(($A118-'Control Room'!$A$16-('Control Room'!$B$16-1)/2)/MAX(0.5,'Control Room'!$B$16/4))^2),1)</x:f>
        <x:v>1</x:v>
      </x:c>
      <x:c r="AK118" s="9" t="n">
        <x:f>MOD(AL117*16807,2147483647)</x:f>
        <x:v>308683436</x:v>
      </x:c>
      <x:c r="AL118" s="9" t="n">
        <x:f>MOD(AK118*16807,2147483647)</x:f>
        <x:v>1869501347</x:v>
      </x:c>
      <x:c r="AM118" s="17" t="n">
        <x:f>IF('Control Room'!$B$5="Normal",'Control Room'!$B$7+'Control Room'!$D$7*SQRT(-2*LN(MAX(0.000000000001,AK118/2147483647)))*COS(2*PI()*AL118/2147483647),'Control Room'!$B$8+('Control Room'!$D$8-'Control Room'!$B$8)*AK118/2147483647)</x:f>
        <x:v>1121.7972622628859</x:v>
      </x:c>
      <x:c r="AN118" s="17" t="n">
        <x:f>IF('Control Room'!$B$5="Normal",'Control Room'!$B$7,('Control Room'!$B$8+'Control Room'!$D$8)/2)+'Control Room'!$B$9*(AN117-IF('Control Room'!$B$5="Normal",'Control Room'!$B$7,('Control Room'!$B$8+'Control Room'!$D$8)/2))+SQRT(1-'Control Room'!$B$9^2)*(AM118-IF('Control Room'!$B$5="Normal",'Control Room'!$B$7,('Control Room'!$B$8+'Control Room'!$D$8)/2))</x:f>
        <x:v>1026.9976945212113</x:v>
      </x:c>
      <x:c r="AO118" s="17" t="n">
        <x:f>IF(AND($A118&gt;='Control Room'!$A$13,$A118&lt;'Control Room'!$A$13+'Control Room'!$B$13,'Process'!BR2=1),1+('Control Room'!$C$13-1)*EXP(-0.5*(($A118-'Control Room'!$A$13-('Control Room'!$B$13-1)/2)/MAX(0.5,'Control Room'!$B$13/4))^2),1)*IF(AND($A118&gt;='Control Room'!$A$14,$A118&lt;'Control Room'!$A$14+'Control Room'!$B$14,'Process'!BR3=1),1+('Control Room'!$C$14-1)*EXP(-0.5*(($A118-'Control Room'!$A$14-('Control Room'!$B$14-1)/2)/MAX(0.5,'Control Room'!$B$14/4))^2),1)*IF(AND($A118&gt;='Control Room'!$A$15,$A118&lt;'Control Room'!$A$15+'Control Room'!$B$15,'Process'!BR4=1),1+('Control Room'!$C$15-1)*EXP(-0.5*(($A118-'Control Room'!$A$15-('Control Room'!$B$15-1)/2)/MAX(0.5,'Control Room'!$B$15/4))^2),1)*IF(AND($A118&gt;='Control Room'!$A$16,$A118&lt;'Control Room'!$A$16+'Control Room'!$B$16,'Process'!BR5=1),1+('Control Room'!$C$16-1)*EXP(-0.5*(($A118-'Control Room'!$A$16-('Control Room'!$B$16-1)/2)/MAX(0.5,'Control Room'!$B$16/4))^2),1)</x:f>
        <x:v>1</x:v>
      </x:c>
      <x:c r="AP118" s="9" t="n">
        <x:f>MOD(AQ117*16807,2147483647)</x:f>
        <x:v>657089313</x:v>
      </x:c>
      <x:c r="AQ118" s="9" t="n">
        <x:f>MOD(AP118*16807,2147483647)</x:f>
        <x:v>1339170717</x:v>
      </x:c>
      <x:c r="AR118" s="17" t="n">
        <x:f>IF('Control Room'!$B$5="Normal",'Control Room'!$B$7+'Control Room'!$D$7*SQRT(-2*LN(MAX(0.000000000001,AP118/2147483647)))*COS(2*PI()*AQ118/2147483647),'Control Room'!$B$8+('Control Room'!$D$8-'Control Room'!$B$8)*AP118/2147483647)</x:f>
        <x:v>901.2020637669534</x:v>
      </x:c>
      <x:c r="AS118" s="17" t="n">
        <x:f>IF('Control Room'!$B$5="Normal",'Control Room'!$B$7,('Control Room'!$B$8+'Control Room'!$D$8)/2)+'Control Room'!$B$9*(AS117-IF('Control Room'!$B$5="Normal",'Control Room'!$B$7,('Control Room'!$B$8+'Control Room'!$D$8)/2))+SQRT(1-'Control Room'!$B$9^2)*(AR118-IF('Control Room'!$B$5="Normal",'Control Room'!$B$7,('Control Room'!$B$8+'Control Room'!$D$8)/2))</x:f>
        <x:v>864.4089239867336</x:v>
      </x:c>
      <x:c r="AT118" s="17" t="n">
        <x:f>IF(AND($A118&gt;='Control Room'!$A$13,$A118&lt;'Control Room'!$A$13+'Control Room'!$B$13,'Process'!BS2=1),1+('Control Room'!$C$13-1)*EXP(-0.5*(($A118-'Control Room'!$A$13-('Control Room'!$B$13-1)/2)/MAX(0.5,'Control Room'!$B$13/4))^2),1)*IF(AND($A118&gt;='Control Room'!$A$14,$A118&lt;'Control Room'!$A$14+'Control Room'!$B$14,'Process'!BS3=1),1+('Control Room'!$C$14-1)*EXP(-0.5*(($A118-'Control Room'!$A$14-('Control Room'!$B$14-1)/2)/MAX(0.5,'Control Room'!$B$14/4))^2),1)*IF(AND($A118&gt;='Control Room'!$A$15,$A118&lt;'Control Room'!$A$15+'Control Room'!$B$15,'Process'!BS4=1),1+('Control Room'!$C$15-1)*EXP(-0.5*(($A118-'Control Room'!$A$15-('Control Room'!$B$15-1)/2)/MAX(0.5,'Control Room'!$B$15/4))^2),1)*IF(AND($A118&gt;='Control Room'!$A$16,$A118&lt;'Control Room'!$A$16+'Control Room'!$B$16,'Process'!BS5=1),1+('Control Room'!$C$16-1)*EXP(-0.5*(($A118-'Control Room'!$A$16-('Control Room'!$B$16-1)/2)/MAX(0.5,'Control Room'!$B$16/4))^2),1)</x:f>
        <x:v>1</x:v>
      </x:c>
      <x:c r="AU118" s="9" t="n">
        <x:f>MOD(AV117*16807,2147483647)</x:f>
        <x:v>1005495190</x:v>
      </x:c>
      <x:c r="AV118" s="9" t="n">
        <x:f>MOD(AU118*16807,2147483647)</x:f>
        <x:v>808840087</x:v>
      </x:c>
      <x:c r="AW118" s="17" t="n">
        <x:f>IF('Control Room'!$B$5="Normal",'Control Room'!$B$7+'Control Room'!$D$7*SQRT(-2*LN(MAX(0.000000000001,AU118/2147483647)))*COS(2*PI()*AV118/2147483647),'Control Room'!$B$8+('Control Room'!$D$8-'Control Room'!$B$8)*AU118/2147483647)</x:f>
        <x:v>920.7945576141044</x:v>
      </x:c>
      <x:c r="AX118" s="17" t="n">
        <x:f>IF('Control Room'!$B$5="Normal",'Control Room'!$B$7,('Control Room'!$B$8+'Control Room'!$D$8)/2)+'Control Room'!$B$9*(AX117-IF('Control Room'!$B$5="Normal",'Control Room'!$B$7,('Control Room'!$B$8+'Control Room'!$D$8)/2))+SQRT(1-'Control Room'!$B$9^2)*(AW118-IF('Control Room'!$B$5="Normal",'Control Room'!$B$7,('Control Room'!$B$8+'Control Room'!$D$8)/2))</x:f>
        <x:v>1128.345934155042</x:v>
      </x:c>
      <x:c r="AY118" s="17" t="n">
        <x:f>IF(AND($A118&gt;='Control Room'!$A$13,$A118&lt;'Control Room'!$A$13+'Control Room'!$B$13,'Process'!BT2=1),1+('Control Room'!$C$13-1)*EXP(-0.5*(($A118-'Control Room'!$A$13-('Control Room'!$B$13-1)/2)/MAX(0.5,'Control Room'!$B$13/4))^2),1)*IF(AND($A118&gt;='Control Room'!$A$14,$A118&lt;'Control Room'!$A$14+'Control Room'!$B$14,'Process'!BT3=1),1+('Control Room'!$C$14-1)*EXP(-0.5*(($A118-'Control Room'!$A$14-('Control Room'!$B$14-1)/2)/MAX(0.5,'Control Room'!$B$14/4))^2),1)*IF(AND($A118&gt;='Control Room'!$A$15,$A118&lt;'Control Room'!$A$15+'Control Room'!$B$15,'Process'!BT4=1),1+('Control Room'!$C$15-1)*EXP(-0.5*(($A118-'Control Room'!$A$15-('Control Room'!$B$15-1)/2)/MAX(0.5,'Control Room'!$B$15/4))^2),1)*IF(AND($A118&gt;='Control Room'!$A$16,$A118&lt;'Control Room'!$A$16+'Control Room'!$B$16,'Process'!BT5=1),1+('Control Room'!$C$16-1)*EXP(-0.5*(($A118-'Control Room'!$A$16-('Control Room'!$B$16-1)/2)/MAX(0.5,'Control Room'!$B$16/4))^2),1)</x:f>
        <x:v>1</x:v>
      </x:c>
      <x:c r="AZ118" s="9" t="n">
        <x:f>MOD(BA117*16807,2147483647)</x:f>
        <x:v>1353901067</x:v>
      </x:c>
      <x:c r="BA118" s="9" t="n">
        <x:f>MOD(AZ118*16807,2147483647)</x:f>
        <x:v>278509457</x:v>
      </x:c>
      <x:c r="BB118" s="17" t="n">
        <x:f>IF('Control Room'!$B$5="Normal",'Control Room'!$B$7+'Control Room'!$D$7*SQRT(-2*LN(MAX(0.000000000001,AZ118/2147483647)))*COS(2*PI()*BA118/2147483647),'Control Room'!$B$8+('Control Room'!$D$8-'Control Room'!$B$8)*AZ118/2147483647)</x:f>
        <x:v>1059.2995848361566</x:v>
      </x:c>
      <x:c r="BC118" s="17" t="n">
        <x:f>IF('Control Room'!$B$5="Normal",'Control Room'!$B$7,('Control Room'!$B$8+'Control Room'!$D$8)/2)+'Control Room'!$B$9*(BC117-IF('Control Room'!$B$5="Normal",'Control Room'!$B$7,('Control Room'!$B$8+'Control Room'!$D$8)/2))+SQRT(1-'Control Room'!$B$9^2)*(BB118-IF('Control Room'!$B$5="Normal",'Control Room'!$B$7,('Control Room'!$B$8+'Control Room'!$D$8)/2))</x:f>
        <x:v>1074.8963946354813</x:v>
      </x:c>
      <x:c r="BD118" s="17" t="n">
        <x:f>IF(AND($A118&gt;='Control Room'!$A$13,$A118&lt;'Control Room'!$A$13+'Control Room'!$B$13,'Process'!BU2=1),1+('Control Room'!$C$13-1)*EXP(-0.5*(($A118-'Control Room'!$A$13-('Control Room'!$B$13-1)/2)/MAX(0.5,'Control Room'!$B$13/4))^2),1)*IF(AND($A118&gt;='Control Room'!$A$14,$A118&lt;'Control Room'!$A$14+'Control Room'!$B$14,'Process'!BU3=1),1+('Control Room'!$C$14-1)*EXP(-0.5*(($A118-'Control Room'!$A$14-('Control Room'!$B$14-1)/2)/MAX(0.5,'Control Room'!$B$14/4))^2),1)*IF(AND($A118&gt;='Control Room'!$A$15,$A118&lt;'Control Room'!$A$15+'Control Room'!$B$15,'Process'!BU4=1),1+('Control Room'!$C$15-1)*EXP(-0.5*(($A118-'Control Room'!$A$15-('Control Room'!$B$15-1)/2)/MAX(0.5,'Control Room'!$B$15/4))^2),1)*IF(AND($A118&gt;='Control Room'!$A$16,$A118&lt;'Control Room'!$A$16+'Control Room'!$B$16,'Process'!BU5=1),1+('Control Room'!$C$16-1)*EXP(-0.5*(($A118-'Control Room'!$A$16-('Control Room'!$B$16-1)/2)/MAX(0.5,'Control Room'!$B$16/4))^2),1)</x:f>
        <x:v>1</x:v>
      </x:c>
      <x:c r="BE118" s="9" t="n">
        <x:f>MOD(BF117*16807,2147483647)</x:f>
        <x:v>1702306944</x:v>
      </x:c>
      <x:c r="BF118" s="9" t="n">
        <x:f>MOD(BE118*16807,2147483647)</x:f>
        <x:v>1895662474</x:v>
      </x:c>
      <x:c r="BG118" s="17" t="n">
        <x:f>IF('Control Room'!$B$5="Normal",'Control Room'!$B$7+'Control Room'!$D$7*SQRT(-2*LN(MAX(0.000000000001,BE118/2147483647)))*COS(2*PI()*BF118/2147483647),'Control Room'!$B$8+('Control Room'!$D$8-'Control Room'!$B$8)*BE118/2147483647)</x:f>
        <x:v>1045.4355230807228</x:v>
      </x:c>
      <x:c r="BH118" s="17" t="n">
        <x:f>IF('Control Room'!$B$5="Normal",'Control Room'!$B$7,('Control Room'!$B$8+'Control Room'!$D$8)/2)+'Control Room'!$B$9*(BH117-IF('Control Room'!$B$5="Normal",'Control Room'!$B$7,('Control Room'!$B$8+'Control Room'!$D$8)/2))+SQRT(1-'Control Room'!$B$9^2)*(BG118-IF('Control Room'!$B$5="Normal",'Control Room'!$B$7,('Control Room'!$B$8+'Control Room'!$D$8)/2))</x:f>
        <x:v>1032.9633460447535</x:v>
      </x:c>
      <x:c r="BI118" s="17" t="n">
        <x:f>IF(AND($A118&gt;='Control Room'!$A$13,$A118&lt;'Control Room'!$A$13+'Control Room'!$B$13,'Process'!BV2=1),1+('Control Room'!$C$13-1)*EXP(-0.5*(($A118-'Control Room'!$A$13-('Control Room'!$B$13-1)/2)/MAX(0.5,'Control Room'!$B$13/4))^2),1)*IF(AND($A118&gt;='Control Room'!$A$14,$A118&lt;'Control Room'!$A$14+'Control Room'!$B$14,'Process'!BV3=1),1+('Control Room'!$C$14-1)*EXP(-0.5*(($A118-'Control Room'!$A$14-('Control Room'!$B$14-1)/2)/MAX(0.5,'Control Room'!$B$14/4))^2),1)*IF(AND($A118&gt;='Control Room'!$A$15,$A118&lt;'Control Room'!$A$15+'Control Room'!$B$15,'Process'!BV4=1),1+('Control Room'!$C$15-1)*EXP(-0.5*(($A118-'Control Room'!$A$15-('Control Room'!$B$15-1)/2)/MAX(0.5,'Control Room'!$B$15/4))^2),1)*IF(AND($A118&gt;='Control Room'!$A$16,$A118&lt;'Control Room'!$A$16+'Control Room'!$B$16,'Process'!BV5=1),1+('Control Room'!$C$16-1)*EXP(-0.5*(($A118-'Control Room'!$A$16-('Control Room'!$B$16-1)/2)/MAX(0.5,'Control Room'!$B$16/4))^2),1)</x:f>
        <x:v>1</x:v>
      </x:c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Z118" t="str">
        <x:f>IF('Data'!A118="","",TEXT('Data'!A118,"mm-dd"))</x:f>
        <x:v>02-26</x:v>
      </x:c>
    </x:row>
    <x:row r="119" ht="21" customHeight="1">
      <x:c r="A119" s="15" t="n">
        <x:f>'Control Room'!$B$1+117</x:f>
        <x:v>73108</x:v>
      </x:c>
      <x:c r="B119" s="9" t="n">
        <x:f>MOD(C118*16807,2147483647)</x:f>
        <x:v>754308704</x:v>
      </x:c>
      <x:c r="C119" s="9" t="n">
        <x:f>MOD(B119*16807,2147483647)</x:f>
        <x:v>1070419887</x:v>
      </x:c>
      <x:c r="D119" s="17" t="n">
        <x:f>IF('Control Room'!$B$5="Normal",'Control Room'!$B$7+'Control Room'!$D$7*SQRT(-2*LN(MAX(0.000000000001,B119/2147483647)))*COS(2*PI()*C119/2147483647),'Control Room'!$B$8+('Control Room'!$D$8-'Control Room'!$B$8)*B119/2147483647)</x:f>
        <x:v>869.8168432948664</x:v>
      </x:c>
      <x:c r="E119" s="17" t="n">
        <x:f>IF('Control Room'!$B$5="Normal",'Control Room'!$B$7,('Control Room'!$B$8+'Control Room'!$D$8)/2)+'Control Room'!$B$9*(E118-IF('Control Room'!$B$5="Normal",'Control Room'!$B$7,('Control Room'!$B$8+'Control Room'!$D$8)/2))+SQRT(1-'Control Room'!$B$9^2)*(D119-IF('Control Room'!$B$5="Normal",'Control Room'!$B$7,('Control Room'!$B$8+'Control Room'!$D$8)/2))</x:f>
        <x:v>807.8748569675643</x:v>
      </x:c>
      <x:c r="F119" s="17" t="n">
        <x:f>IF(AND($A119&gt;='Control Room'!$A$13,$A119&lt;'Control Room'!$A$13+'Control Room'!$B$13,'Process'!BK2=1),1+('Control Room'!$C$13-1)*EXP(-0.5*(($A119-'Control Room'!$A$13-('Control Room'!$B$13-1)/2)/MAX(0.5,'Control Room'!$B$13/4))^2),1)*IF(AND($A119&gt;='Control Room'!$A$14,$A119&lt;'Control Room'!$A$14+'Control Room'!$B$14,'Process'!BK3=1),1+('Control Room'!$C$14-1)*EXP(-0.5*(($A119-'Control Room'!$A$14-('Control Room'!$B$14-1)/2)/MAX(0.5,'Control Room'!$B$14/4))^2),1)*IF(AND($A119&gt;='Control Room'!$A$15,$A119&lt;'Control Room'!$A$15+'Control Room'!$B$15,'Process'!BK4=1),1+('Control Room'!$C$15-1)*EXP(-0.5*(($A119-'Control Room'!$A$15-('Control Room'!$B$15-1)/2)/MAX(0.5,'Control Room'!$B$15/4))^2),1)*IF(AND($A119&gt;='Control Room'!$A$16,$A119&lt;'Control Room'!$A$16+'Control Room'!$B$16,'Process'!BK5=1),1+('Control Room'!$C$16-1)*EXP(-0.5*(($A119-'Control Room'!$A$16-('Control Room'!$B$16-1)/2)/MAX(0.5,'Control Room'!$B$16/4))^2),1)</x:f>
        <x:v>1</x:v>
      </x:c>
      <x:c r="G119" s="9" t="n">
        <x:f>MOD(H118*16807,2147483647)</x:f>
        <x:v>1692028991</x:v>
      </x:c>
      <x:c r="H119" s="9" t="n">
        <x:f>MOD(G119*16807,2147483647)</x:f>
        <x:v>952798163</x:v>
      </x:c>
      <x:c r="I119" s="17" t="n">
        <x:f>IF('Control Room'!$B$5="Normal",'Control Room'!$B$7+'Control Room'!$D$7*SQRT(-2*LN(MAX(0.000000000001,G119/2147483647)))*COS(2*PI()*H119/2147483647),'Control Room'!$B$8+('Control Room'!$D$8-'Control Room'!$B$8)*G119/2147483647)</x:f>
        <x:v>941.7086723558505</x:v>
      </x:c>
      <x:c r="J119" s="17" t="n">
        <x:f>IF('Control Room'!$B$5="Normal",'Control Room'!$B$7,('Control Room'!$B$8+'Control Room'!$D$8)/2)+'Control Room'!$B$9*(J118-IF('Control Room'!$B$5="Normal",'Control Room'!$B$7,('Control Room'!$B$8+'Control Room'!$D$8)/2))+SQRT(1-'Control Room'!$B$9^2)*(I119-IF('Control Room'!$B$5="Normal",'Control Room'!$B$7,('Control Room'!$B$8+'Control Room'!$D$8)/2))</x:f>
        <x:v>994.0930891662226</x:v>
      </x:c>
      <x:c r="K119" s="17" t="n">
        <x:f>IF(AND($A119&gt;='Control Room'!$A$13,$A119&lt;'Control Room'!$A$13+'Control Room'!$B$13,'Process'!BL2=1),1+('Control Room'!$C$13-1)*EXP(-0.5*(($A119-'Control Room'!$A$13-('Control Room'!$B$13-1)/2)/MAX(0.5,'Control Room'!$B$13/4))^2),1)*IF(AND($A119&gt;='Control Room'!$A$14,$A119&lt;'Control Room'!$A$14+'Control Room'!$B$14,'Process'!BL3=1),1+('Control Room'!$C$14-1)*EXP(-0.5*(($A119-'Control Room'!$A$14-('Control Room'!$B$14-1)/2)/MAX(0.5,'Control Room'!$B$14/4))^2),1)*IF(AND($A119&gt;='Control Room'!$A$15,$A119&lt;'Control Room'!$A$15+'Control Room'!$B$15,'Process'!BL4=1),1+('Control Room'!$C$15-1)*EXP(-0.5*(($A119-'Control Room'!$A$15-('Control Room'!$B$15-1)/2)/MAX(0.5,'Control Room'!$B$15/4))^2),1)*IF(AND($A119&gt;='Control Room'!$A$16,$A119&lt;'Control Room'!$A$16+'Control Room'!$B$16,'Process'!BL5=1),1+('Control Room'!$C$16-1)*EXP(-0.5*(($A119-'Control Room'!$A$16-('Control Room'!$B$16-1)/2)/MAX(0.5,'Control Room'!$B$16/4))^2),1)</x:f>
        <x:v>1</x:v>
      </x:c>
      <x:c r="L119" s="9" t="n">
        <x:f>MOD(M118*16807,2147483647)</x:f>
        <x:v>482265631</x:v>
      </x:c>
      <x:c r="M119" s="9" t="n">
        <x:f>MOD(L119*16807,2147483647)</x:f>
        <x:v>835176439</x:v>
      </x:c>
      <x:c r="N119" s="17" t="n">
        <x:f>IF('Control Room'!$B$5="Normal",'Control Room'!$B$7+'Control Room'!$D$7*SQRT(-2*LN(MAX(0.000000000001,L119/2147483647)))*COS(2*PI()*M119/2147483647),'Control Room'!$B$8+('Control Room'!$D$8-'Control Room'!$B$8)*L119/2147483647)</x:f>
        <x:v>880.8293845279146</x:v>
      </x:c>
      <x:c r="O119" s="17" t="n">
        <x:f>IF('Control Room'!$B$5="Normal",'Control Room'!$B$7,('Control Room'!$B$8+'Control Room'!$D$8)/2)+'Control Room'!$B$9*(O118-IF('Control Room'!$B$5="Normal",'Control Room'!$B$7,('Control Room'!$B$8+'Control Room'!$D$8)/2))+SQRT(1-'Control Room'!$B$9^2)*(N119-IF('Control Room'!$B$5="Normal",'Control Room'!$B$7,('Control Room'!$B$8+'Control Room'!$D$8)/2))</x:f>
        <x:v>939.9983729616804</x:v>
      </x:c>
      <x:c r="P119" s="17" t="n">
        <x:f>IF(AND($A119&gt;='Control Room'!$A$13,$A119&lt;'Control Room'!$A$13+'Control Room'!$B$13,'Process'!BM2=1),1+('Control Room'!$C$13-1)*EXP(-0.5*(($A119-'Control Room'!$A$13-('Control Room'!$B$13-1)/2)/MAX(0.5,'Control Room'!$B$13/4))^2),1)*IF(AND($A119&gt;='Control Room'!$A$14,$A119&lt;'Control Room'!$A$14+'Control Room'!$B$14,'Process'!BM3=1),1+('Control Room'!$C$14-1)*EXP(-0.5*(($A119-'Control Room'!$A$14-('Control Room'!$B$14-1)/2)/MAX(0.5,'Control Room'!$B$14/4))^2),1)*IF(AND($A119&gt;='Control Room'!$A$15,$A119&lt;'Control Room'!$A$15+'Control Room'!$B$15,'Process'!BM4=1),1+('Control Room'!$C$15-1)*EXP(-0.5*(($A119-'Control Room'!$A$15-('Control Room'!$B$15-1)/2)/MAX(0.5,'Control Room'!$B$15/4))^2),1)*IF(AND($A119&gt;='Control Room'!$A$16,$A119&lt;'Control Room'!$A$16+'Control Room'!$B$16,'Process'!BM5=1),1+('Control Room'!$C$16-1)*EXP(-0.5*(($A119-'Control Room'!$A$16-('Control Room'!$B$16-1)/2)/MAX(0.5,'Control Room'!$B$16/4))^2),1)</x:f>
        <x:v>1</x:v>
      </x:c>
      <x:c r="Q119" s="9" t="n">
        <x:f>MOD(R118*16807,2147483647)</x:f>
        <x:v>1419985918</x:v>
      </x:c>
      <x:c r="R119" s="9" t="n">
        <x:f>MOD(Q119*16807,2147483647)</x:f>
        <x:v>717554715</x:v>
      </x:c>
      <x:c r="S119" s="17" t="n">
        <x:f>IF('Control Room'!$B$5="Normal",'Control Room'!$B$7+'Control Room'!$D$7*SQRT(-2*LN(MAX(0.000000000001,Q119/2147483647)))*COS(2*PI()*R119/2147483647),'Control Room'!$B$8+('Control Room'!$D$8-'Control Room'!$B$8)*Q119/2147483647)</x:f>
        <x:v>958.7121357010527</x:v>
      </x:c>
      <x:c r="T119" s="17" t="n">
        <x:f>IF('Control Room'!$B$5="Normal",'Control Room'!$B$7,('Control Room'!$B$8+'Control Room'!$D$8)/2)+'Control Room'!$B$9*(T118-IF('Control Room'!$B$5="Normal",'Control Room'!$B$7,('Control Room'!$B$8+'Control Room'!$D$8)/2))+SQRT(1-'Control Room'!$B$9^2)*(S119-IF('Control Room'!$B$5="Normal",'Control Room'!$B$7,('Control Room'!$B$8+'Control Room'!$D$8)/2))</x:f>
        <x:v>1026.0768993144604</x:v>
      </x:c>
      <x:c r="U119" s="17" t="n">
        <x:f>IF(AND($A119&gt;='Control Room'!$A$13,$A119&lt;'Control Room'!$A$13+'Control Room'!$B$13,'Process'!BN2=1),1+('Control Room'!$C$13-1)*EXP(-0.5*(($A119-'Control Room'!$A$13-('Control Room'!$B$13-1)/2)/MAX(0.5,'Control Room'!$B$13/4))^2),1)*IF(AND($A119&gt;='Control Room'!$A$14,$A119&lt;'Control Room'!$A$14+'Control Room'!$B$14,'Process'!BN3=1),1+('Control Room'!$C$14-1)*EXP(-0.5*(($A119-'Control Room'!$A$14-('Control Room'!$B$14-1)/2)/MAX(0.5,'Control Room'!$B$14/4))^2),1)*IF(AND($A119&gt;='Control Room'!$A$15,$A119&lt;'Control Room'!$A$15+'Control Room'!$B$15,'Process'!BN4=1),1+('Control Room'!$C$15-1)*EXP(-0.5*(($A119-'Control Room'!$A$15-('Control Room'!$B$15-1)/2)/MAX(0.5,'Control Room'!$B$15/4))^2),1)*IF(AND($A119&gt;='Control Room'!$A$16,$A119&lt;'Control Room'!$A$16+'Control Room'!$B$16,'Process'!BN5=1),1+('Control Room'!$C$16-1)*EXP(-0.5*(($A119-'Control Room'!$A$16-('Control Room'!$B$16-1)/2)/MAX(0.5,'Control Room'!$B$16/4))^2),1)</x:f>
        <x:v>1</x:v>
      </x:c>
      <x:c r="V119" s="9" t="n">
        <x:f>MOD(W118*16807,2147483647)</x:f>
        <x:v>210222558</x:v>
      </x:c>
      <x:c r="W119" s="9" t="n">
        <x:f>MOD(V119*16807,2147483647)</x:f>
        <x:v>599932991</x:v>
      </x:c>
      <x:c r="X119" s="17" t="n">
        <x:f>IF('Control Room'!$B$5="Normal",'Control Room'!$B$7+'Control Room'!$D$7*SQRT(-2*LN(MAX(0.000000000001,V119/2147483647)))*COS(2*PI()*W119/2147483647),'Control Room'!$B$8+('Control Room'!$D$8-'Control Room'!$B$8)*V119/2147483647)</x:f>
        <x:v>964.4027727398632</x:v>
      </x:c>
      <x:c r="Y119" s="17" t="n">
        <x:f>IF('Control Room'!$B$5="Normal",'Control Room'!$B$7,('Control Room'!$B$8+'Control Room'!$D$8)/2)+'Control Room'!$B$9*(Y118-IF('Control Room'!$B$5="Normal",'Control Room'!$B$7,('Control Room'!$B$8+'Control Room'!$D$8)/2))+SQRT(1-'Control Room'!$B$9^2)*(X119-IF('Control Room'!$B$5="Normal",'Control Room'!$B$7,('Control Room'!$B$8+'Control Room'!$D$8)/2))</x:f>
        <x:v>954.3594341438295</x:v>
      </x:c>
      <x:c r="Z119" s="17" t="n">
        <x:f>IF(AND($A119&gt;='Control Room'!$A$13,$A119&lt;'Control Room'!$A$13+'Control Room'!$B$13,'Process'!BO2=1),1+('Control Room'!$C$13-1)*EXP(-0.5*(($A119-'Control Room'!$A$13-('Control Room'!$B$13-1)/2)/MAX(0.5,'Control Room'!$B$13/4))^2),1)*IF(AND($A119&gt;='Control Room'!$A$14,$A119&lt;'Control Room'!$A$14+'Control Room'!$B$14,'Process'!BO3=1),1+('Control Room'!$C$14-1)*EXP(-0.5*(($A119-'Control Room'!$A$14-('Control Room'!$B$14-1)/2)/MAX(0.5,'Control Room'!$B$14/4))^2),1)*IF(AND($A119&gt;='Control Room'!$A$15,$A119&lt;'Control Room'!$A$15+'Control Room'!$B$15,'Process'!BO4=1),1+('Control Room'!$C$15-1)*EXP(-0.5*(($A119-'Control Room'!$A$15-('Control Room'!$B$15-1)/2)/MAX(0.5,'Control Room'!$B$15/4))^2),1)*IF(AND($A119&gt;='Control Room'!$A$16,$A119&lt;'Control Room'!$A$16+'Control Room'!$B$16,'Process'!BO5=1),1+('Control Room'!$C$16-1)*EXP(-0.5*(($A119-'Control Room'!$A$16-('Control Room'!$B$16-1)/2)/MAX(0.5,'Control Room'!$B$16/4))^2),1)</x:f>
        <x:v>1</x:v>
      </x:c>
      <x:c r="AA119" s="9" t="n">
        <x:f>MOD(AB118*16807,2147483647)</x:f>
        <x:v>1147942845</x:v>
      </x:c>
      <x:c r="AB119" s="9" t="n">
        <x:f>MOD(AA119*16807,2147483647)</x:f>
        <x:v>482311267</x:v>
      </x:c>
      <x:c r="AC119" s="17" t="n">
        <x:f>IF('Control Room'!$B$5="Normal",'Control Room'!$B$7+'Control Room'!$D$7*SQRT(-2*LN(MAX(0.000000000001,AA119/2147483647)))*COS(2*PI()*AB119/2147483647),'Control Room'!$B$8+('Control Room'!$D$8-'Control Room'!$B$8)*AA119/2147483647)</x:f>
        <x:v>1016.0115341410442</x:v>
      </x:c>
      <x:c r="AD119" s="17" t="n">
        <x:f>IF('Control Room'!$B$5="Normal",'Control Room'!$B$7,('Control Room'!$B$8+'Control Room'!$D$8)/2)+'Control Room'!$B$9*(AD118-IF('Control Room'!$B$5="Normal",'Control Room'!$B$7,('Control Room'!$B$8+'Control Room'!$D$8)/2))+SQRT(1-'Control Room'!$B$9^2)*(AC119-IF('Control Room'!$B$5="Normal",'Control Room'!$B$7,('Control Room'!$B$8+'Control Room'!$D$8)/2))</x:f>
        <x:v>975.571651820366</x:v>
      </x:c>
      <x:c r="AE119" s="17" t="n">
        <x:f>IF(AND($A119&gt;='Control Room'!$A$13,$A119&lt;'Control Room'!$A$13+'Control Room'!$B$13,'Process'!BP2=1),1+('Control Room'!$C$13-1)*EXP(-0.5*(($A119-'Control Room'!$A$13-('Control Room'!$B$13-1)/2)/MAX(0.5,'Control Room'!$B$13/4))^2),1)*IF(AND($A119&gt;='Control Room'!$A$14,$A119&lt;'Control Room'!$A$14+'Control Room'!$B$14,'Process'!BP3=1),1+('Control Room'!$C$14-1)*EXP(-0.5*(($A119-'Control Room'!$A$14-('Control Room'!$B$14-1)/2)/MAX(0.5,'Control Room'!$B$14/4))^2),1)*IF(AND($A119&gt;='Control Room'!$A$15,$A119&lt;'Control Room'!$A$15+'Control Room'!$B$15,'Process'!BP4=1),1+('Control Room'!$C$15-1)*EXP(-0.5*(($A119-'Control Room'!$A$15-('Control Room'!$B$15-1)/2)/MAX(0.5,'Control Room'!$B$15/4))^2),1)*IF(AND($A119&gt;='Control Room'!$A$16,$A119&lt;'Control Room'!$A$16+'Control Room'!$B$16,'Process'!BP5=1),1+('Control Room'!$C$16-1)*EXP(-0.5*(($A119-'Control Room'!$A$16-('Control Room'!$B$16-1)/2)/MAX(0.5,'Control Room'!$B$16/4))^2),1)</x:f>
        <x:v>1</x:v>
      </x:c>
      <x:c r="AF119" s="9" t="n">
        <x:f>MOD(AG118*16807,2147483647)</x:f>
        <x:v>2085663132</x:v>
      </x:c>
      <x:c r="AG119" s="9" t="n">
        <x:f>MOD(AF119*16807,2147483647)</x:f>
        <x:v>364689543</x:v>
      </x:c>
      <x:c r="AH119" s="17" t="n">
        <x:f>IF('Control Room'!$B$5="Normal",'Control Room'!$B$7+'Control Room'!$D$7*SQRT(-2*LN(MAX(0.000000000001,AF119/2147483647)))*COS(2*PI()*AG119/2147483647),'Control Room'!$B$8+('Control Room'!$D$8-'Control Room'!$B$8)*AF119/2147483647)</x:f>
        <x:v>1010.5010071330425</x:v>
      </x:c>
      <x:c r="AI119" s="17" t="n">
        <x:f>IF('Control Room'!$B$5="Normal",'Control Room'!$B$7,('Control Room'!$B$8+'Control Room'!$D$8)/2)+'Control Room'!$B$9*(AI118-IF('Control Room'!$B$5="Normal",'Control Room'!$B$7,('Control Room'!$B$8+'Control Room'!$D$8)/2))+SQRT(1-'Control Room'!$B$9^2)*(AH119-IF('Control Room'!$B$5="Normal",'Control Room'!$B$7,('Control Room'!$B$8+'Control Room'!$D$8)/2))</x:f>
        <x:v>1015.2409273869403</x:v>
      </x:c>
      <x:c r="AJ119" s="17" t="n">
        <x:f>IF(AND($A119&gt;='Control Room'!$A$13,$A119&lt;'Control Room'!$A$13+'Control Room'!$B$13,'Process'!BQ2=1),1+('Control Room'!$C$13-1)*EXP(-0.5*(($A119-'Control Room'!$A$13-('Control Room'!$B$13-1)/2)/MAX(0.5,'Control Room'!$B$13/4))^2),1)*IF(AND($A119&gt;='Control Room'!$A$14,$A119&lt;'Control Room'!$A$14+'Control Room'!$B$14,'Process'!BQ3=1),1+('Control Room'!$C$14-1)*EXP(-0.5*(($A119-'Control Room'!$A$14-('Control Room'!$B$14-1)/2)/MAX(0.5,'Control Room'!$B$14/4))^2),1)*IF(AND($A119&gt;='Control Room'!$A$15,$A119&lt;'Control Room'!$A$15+'Control Room'!$B$15,'Process'!BQ4=1),1+('Control Room'!$C$15-1)*EXP(-0.5*(($A119-'Control Room'!$A$15-('Control Room'!$B$15-1)/2)/MAX(0.5,'Control Room'!$B$15/4))^2),1)*IF(AND($A119&gt;='Control Room'!$A$16,$A119&lt;'Control Room'!$A$16+'Control Room'!$B$16,'Process'!BQ5=1),1+('Control Room'!$C$16-1)*EXP(-0.5*(($A119-'Control Room'!$A$16-('Control Room'!$B$16-1)/2)/MAX(0.5,'Control Room'!$B$16/4))^2),1)</x:f>
        <x:v>1</x:v>
      </x:c>
      <x:c r="AK119" s="9" t="n">
        <x:f>MOD(AL118*16807,2147483647)</x:f>
        <x:v>875899772</x:v>
      </x:c>
      <x:c r="AL119" s="9" t="n">
        <x:f>MOD(AK119*16807,2147483647)</x:f>
        <x:v>247067819</x:v>
      </x:c>
      <x:c r="AM119" s="17" t="n">
        <x:f>IF('Control Room'!$B$5="Normal",'Control Room'!$B$7+'Control Room'!$D$7*SQRT(-2*LN(MAX(0.000000000001,AK119/2147483647)))*COS(2*PI()*AL119/2147483647),'Control Room'!$B$8+('Control Room'!$D$8-'Control Room'!$B$8)*AK119/2147483647)</x:f>
        <x:v>1090.3880137191954</x:v>
      </x:c>
      <x:c r="AN119" s="17" t="n">
        <x:f>IF('Control Room'!$B$5="Normal",'Control Room'!$B$7,('Control Room'!$B$8+'Control Room'!$D$8)/2)+'Control Room'!$B$9*(AN118-IF('Control Room'!$B$5="Normal",'Control Room'!$B$7,('Control Room'!$B$8+'Control Room'!$D$8)/2))+SQRT(1-'Control Room'!$B$9^2)*(AM119-IF('Control Room'!$B$5="Normal",'Control Room'!$B$7,('Control Room'!$B$8+'Control Room'!$D$8)/2))</x:f>
        <x:v>1077.6211690129073</x:v>
      </x:c>
      <x:c r="AO119" s="17" t="n">
        <x:f>IF(AND($A119&gt;='Control Room'!$A$13,$A119&lt;'Control Room'!$A$13+'Control Room'!$B$13,'Process'!BR2=1),1+('Control Room'!$C$13-1)*EXP(-0.5*(($A119-'Control Room'!$A$13-('Control Room'!$B$13-1)/2)/MAX(0.5,'Control Room'!$B$13/4))^2),1)*IF(AND($A119&gt;='Control Room'!$A$14,$A119&lt;'Control Room'!$A$14+'Control Room'!$B$14,'Process'!BR3=1),1+('Control Room'!$C$14-1)*EXP(-0.5*(($A119-'Control Room'!$A$14-('Control Room'!$B$14-1)/2)/MAX(0.5,'Control Room'!$B$14/4))^2),1)*IF(AND($A119&gt;='Control Room'!$A$15,$A119&lt;'Control Room'!$A$15+'Control Room'!$B$15,'Process'!BR4=1),1+('Control Room'!$C$15-1)*EXP(-0.5*(($A119-'Control Room'!$A$15-('Control Room'!$B$15-1)/2)/MAX(0.5,'Control Room'!$B$15/4))^2),1)*IF(AND($A119&gt;='Control Room'!$A$16,$A119&lt;'Control Room'!$A$16+'Control Room'!$B$16,'Process'!BR5=1),1+('Control Room'!$C$16-1)*EXP(-0.5*(($A119-'Control Room'!$A$16-('Control Room'!$B$16-1)/2)/MAX(0.5,'Control Room'!$B$16/4))^2),1)</x:f>
        <x:v>1</x:v>
      </x:c>
      <x:c r="AP119" s="9" t="n">
        <x:f>MOD(AQ118*16807,2147483647)</x:f>
        <x:v>1813620059</x:v>
      </x:c>
      <x:c r="AQ119" s="9" t="n">
        <x:f>MOD(AP119*16807,2147483647)</x:f>
        <x:v>129446095</x:v>
      </x:c>
      <x:c r="AR119" s="17" t="n">
        <x:f>IF('Control Room'!$B$5="Normal",'Control Room'!$B$7+'Control Room'!$D$7*SQRT(-2*LN(MAX(0.000000000001,AP119/2147483647)))*COS(2*PI()*AQ119/2147483647),'Control Room'!$B$8+('Control Room'!$D$8-'Control Room'!$B$8)*AP119/2147483647)</x:f>
        <x:v>1048.611847851824</x:v>
      </x:c>
      <x:c r="AS119" s="17" t="n">
        <x:f>IF('Control Room'!$B$5="Normal",'Control Room'!$B$7,('Control Room'!$B$8+'Control Room'!$D$8)/2)+'Control Room'!$B$9*(AS118-IF('Control Room'!$B$5="Normal",'Control Room'!$B$7,('Control Room'!$B$8+'Control Room'!$D$8)/2))+SQRT(1-'Control Room'!$B$9^2)*(AR119-IF('Control Room'!$B$5="Normal",'Control Room'!$B$7,('Control Room'!$B$8+'Control Room'!$D$8)/2))</x:f>
        <x:v>924.6592592274902</x:v>
      </x:c>
      <x:c r="AT119" s="17" t="n">
        <x:f>IF(AND($A119&gt;='Control Room'!$A$13,$A119&lt;'Control Room'!$A$13+'Control Room'!$B$13,'Process'!BS2=1),1+('Control Room'!$C$13-1)*EXP(-0.5*(($A119-'Control Room'!$A$13-('Control Room'!$B$13-1)/2)/MAX(0.5,'Control Room'!$B$13/4))^2),1)*IF(AND($A119&gt;='Control Room'!$A$14,$A119&lt;'Control Room'!$A$14+'Control Room'!$B$14,'Process'!BS3=1),1+('Control Room'!$C$14-1)*EXP(-0.5*(($A119-'Control Room'!$A$14-('Control Room'!$B$14-1)/2)/MAX(0.5,'Control Room'!$B$14/4))^2),1)*IF(AND($A119&gt;='Control Room'!$A$15,$A119&lt;'Control Room'!$A$15+'Control Room'!$B$15,'Process'!BS4=1),1+('Control Room'!$C$15-1)*EXP(-0.5*(($A119-'Control Room'!$A$15-('Control Room'!$B$15-1)/2)/MAX(0.5,'Control Room'!$B$15/4))^2),1)*IF(AND($A119&gt;='Control Room'!$A$16,$A119&lt;'Control Room'!$A$16+'Control Room'!$B$16,'Process'!BS5=1),1+('Control Room'!$C$16-1)*EXP(-0.5*(($A119-'Control Room'!$A$16-('Control Room'!$B$16-1)/2)/MAX(0.5,'Control Room'!$B$16/4))^2),1)</x:f>
        <x:v>1</x:v>
      </x:c>
      <x:c r="AU119" s="9" t="n">
        <x:f>MOD(AV118*16807,2147483647)</x:f>
        <x:v>603856699</x:v>
      </x:c>
      <x:c r="AV119" s="9" t="n">
        <x:f>MOD(AU119*16807,2147483647)</x:f>
        <x:v>11824371</x:v>
      </x:c>
      <x:c r="AW119" s="17" t="n">
        <x:f>IF('Control Room'!$B$5="Normal",'Control Room'!$B$7+'Control Room'!$D$7*SQRT(-2*LN(MAX(0.000000000001,AU119/2147483647)))*COS(2*PI()*AV119/2147483647),'Control Room'!$B$8+('Control Room'!$D$8-'Control Room'!$B$8)*AU119/2147483647)</x:f>
        <x:v>1143.2780331720144</x:v>
      </x:c>
      <x:c r="AX119" s="17" t="n">
        <x:f>IF('Control Room'!$B$5="Normal",'Control Room'!$B$7,('Control Room'!$B$8+'Control Room'!$D$8)/2)+'Control Room'!$B$9*(AX118-IF('Control Room'!$B$5="Normal",'Control Room'!$B$7,('Control Room'!$B$8+'Control Room'!$D$8)/2))+SQRT(1-'Control Room'!$B$9^2)*(AW119-IF('Control Room'!$B$5="Normal",'Control Room'!$B$7,('Control Room'!$B$8+'Control Room'!$D$8)/2))</x:f>
        <x:v>1189.770286589927</x:v>
      </x:c>
      <x:c r="AY119" s="17" t="n">
        <x:f>IF(AND($A119&gt;='Control Room'!$A$13,$A119&lt;'Control Room'!$A$13+'Control Room'!$B$13,'Process'!BT2=1),1+('Control Room'!$C$13-1)*EXP(-0.5*(($A119-'Control Room'!$A$13-('Control Room'!$B$13-1)/2)/MAX(0.5,'Control Room'!$B$13/4))^2),1)*IF(AND($A119&gt;='Control Room'!$A$14,$A119&lt;'Control Room'!$A$14+'Control Room'!$B$14,'Process'!BT3=1),1+('Control Room'!$C$14-1)*EXP(-0.5*(($A119-'Control Room'!$A$14-('Control Room'!$B$14-1)/2)/MAX(0.5,'Control Room'!$B$14/4))^2),1)*IF(AND($A119&gt;='Control Room'!$A$15,$A119&lt;'Control Room'!$A$15+'Control Room'!$B$15,'Process'!BT4=1),1+('Control Room'!$C$15-1)*EXP(-0.5*(($A119-'Control Room'!$A$15-('Control Room'!$B$15-1)/2)/MAX(0.5,'Control Room'!$B$15/4))^2),1)*IF(AND($A119&gt;='Control Room'!$A$16,$A119&lt;'Control Room'!$A$16+'Control Room'!$B$16,'Process'!BT5=1),1+('Control Room'!$C$16-1)*EXP(-0.5*(($A119-'Control Room'!$A$16-('Control Room'!$B$16-1)/2)/MAX(0.5,'Control Room'!$B$16/4))^2),1)</x:f>
        <x:v>1</x:v>
      </x:c>
      <x:c r="AZ119" s="9" t="n">
        <x:f>MOD(BA118*16807,2147483647)</x:f>
        <x:v>1541576986</x:v>
      </x:c>
      <x:c r="BA119" s="9" t="n">
        <x:f>MOD(AZ119*16807,2147483647)</x:f>
        <x:v>2041686294</x:v>
      </x:c>
      <x:c r="BB119" s="17" t="n">
        <x:f>IF('Control Room'!$B$5="Normal",'Control Room'!$B$7+'Control Room'!$D$7*SQRT(-2*LN(MAX(0.000000000001,AZ119/2147483647)))*COS(2*PI()*BA119/2147483647),'Control Room'!$B$8+('Control Room'!$D$8-'Control Room'!$B$8)*AZ119/2147483647)</x:f>
        <x:v>1069.7984088023359</x:v>
      </x:c>
      <x:c r="BC119" s="17" t="n">
        <x:f>IF('Control Room'!$B$5="Normal",'Control Room'!$B$7,('Control Room'!$B$8+'Control Room'!$D$8)/2)+'Control Room'!$B$9*(BC118-IF('Control Room'!$B$5="Normal",'Control Room'!$B$7,('Control Room'!$B$8+'Control Room'!$D$8)/2))+SQRT(1-'Control Room'!$B$9^2)*(BB119-IF('Control Room'!$B$5="Normal",'Control Room'!$B$7,('Control Room'!$B$8+'Control Room'!$D$8)/2))</x:f>
        <x:v>1102.097602146051</x:v>
      </x:c>
      <x:c r="BD119" s="17" t="n">
        <x:f>IF(AND($A119&gt;='Control Room'!$A$13,$A119&lt;'Control Room'!$A$13+'Control Room'!$B$13,'Process'!BU2=1),1+('Control Room'!$C$13-1)*EXP(-0.5*(($A119-'Control Room'!$A$13-('Control Room'!$B$13-1)/2)/MAX(0.5,'Control Room'!$B$13/4))^2),1)*IF(AND($A119&gt;='Control Room'!$A$14,$A119&lt;'Control Room'!$A$14+'Control Room'!$B$14,'Process'!BU3=1),1+('Control Room'!$C$14-1)*EXP(-0.5*(($A119-'Control Room'!$A$14-('Control Room'!$B$14-1)/2)/MAX(0.5,'Control Room'!$B$14/4))^2),1)*IF(AND($A119&gt;='Control Room'!$A$15,$A119&lt;'Control Room'!$A$15+'Control Room'!$B$15,'Process'!BU4=1),1+('Control Room'!$C$15-1)*EXP(-0.5*(($A119-'Control Room'!$A$15-('Control Room'!$B$15-1)/2)/MAX(0.5,'Control Room'!$B$15/4))^2),1)*IF(AND($A119&gt;='Control Room'!$A$16,$A119&lt;'Control Room'!$A$16+'Control Room'!$B$16,'Process'!BU5=1),1+('Control Room'!$C$16-1)*EXP(-0.5*(($A119-'Control Room'!$A$16-('Control Room'!$B$16-1)/2)/MAX(0.5,'Control Room'!$B$16/4))^2),1)</x:f>
        <x:v>1</x:v>
      </x:c>
      <x:c r="BE119" s="9" t="n">
        <x:f>MOD(BF118*16807,2147483647)</x:f>
        <x:v>331813626</x:v>
      </x:c>
      <x:c r="BF119" s="9" t="n">
        <x:f>MOD(BE119*16807,2147483647)</x:f>
        <x:v>1924064570</x:v>
      </x:c>
      <x:c r="BG119" s="17" t="n">
        <x:f>IF('Control Room'!$B$5="Normal",'Control Room'!$B$7+'Control Room'!$D$7*SQRT(-2*LN(MAX(0.000000000001,BE119/2147483647)))*COS(2*PI()*BF119/2147483647),'Control Room'!$B$8+('Control Room'!$D$8-'Control Room'!$B$8)*BE119/2147483647)</x:f>
        <x:v>1138.0771980956463</x:v>
      </x:c>
      <x:c r="BH119" s="17" t="n">
        <x:f>IF('Control Room'!$B$5="Normal",'Control Room'!$B$7,('Control Room'!$B$8+'Control Room'!$D$8)/2)+'Control Room'!$B$9*(BH118-IF('Control Room'!$B$5="Normal",'Control Room'!$B$7,('Control Room'!$B$8+'Control Room'!$D$8)/2))+SQRT(1-'Control Room'!$B$9^2)*(BG119-IF('Control Room'!$B$5="Normal",'Control Room'!$B$7,('Control Room'!$B$8+'Control Room'!$D$8)/2))</x:f>
        <x:v>1112.1172918180087</x:v>
      </x:c>
      <x:c r="BI119" s="17" t="n">
        <x:f>IF(AND($A119&gt;='Control Room'!$A$13,$A119&lt;'Control Room'!$A$13+'Control Room'!$B$13,'Process'!BV2=1),1+('Control Room'!$C$13-1)*EXP(-0.5*(($A119-'Control Room'!$A$13-('Control Room'!$B$13-1)/2)/MAX(0.5,'Control Room'!$B$13/4))^2),1)*IF(AND($A119&gt;='Control Room'!$A$14,$A119&lt;'Control Room'!$A$14+'Control Room'!$B$14,'Process'!BV3=1),1+('Control Room'!$C$14-1)*EXP(-0.5*(($A119-'Control Room'!$A$14-('Control Room'!$B$14-1)/2)/MAX(0.5,'Control Room'!$B$14/4))^2),1)*IF(AND($A119&gt;='Control Room'!$A$15,$A119&lt;'Control Room'!$A$15+'Control Room'!$B$15,'Process'!BV4=1),1+('Control Room'!$C$15-1)*EXP(-0.5*(($A119-'Control Room'!$A$15-('Control Room'!$B$15-1)/2)/MAX(0.5,'Control Room'!$B$15/4))^2),1)*IF(AND($A119&gt;='Control Room'!$A$16,$A119&lt;'Control Room'!$A$16+'Control Room'!$B$16,'Process'!BV5=1),1+('Control Room'!$C$16-1)*EXP(-0.5*(($A119-'Control Room'!$A$16-('Control Room'!$B$16-1)/2)/MAX(0.5,'Control Room'!$B$16/4))^2),1)</x:f>
        <x:v>1</x:v>
      </x:c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Z119" t="str">
        <x:f>IF('Data'!A119="","",TEXT('Data'!A119,"mm-dd"))</x:f>
        <x:v>02-27</x:v>
      </x:c>
    </x:row>
    <x:row r="120" ht="21" customHeight="1">
      <x:c r="A120" s="15" t="n">
        <x:f>'Control Room'!$B$1+118</x:f>
        <x:v>73109</x:v>
      </x:c>
      <x:c r="B120" s="9" t="n">
        <x:f>MOD(C119*16807,2147483647)</x:f>
        <x:v>1076529890</x:v>
      </x:c>
      <x:c r="C120" s="9" t="n">
        <x:f>MOD(B120*16807,2147483647)</x:f>
        <x:v>688135255</x:v>
      </x:c>
      <x:c r="D120" s="17" t="n">
        <x:f>IF('Control Room'!$B$5="Normal",'Control Room'!$B$7+'Control Room'!$D$7*SQRT(-2*LN(MAX(0.000000000001,B120/2147483647)))*COS(2*PI()*C120/2147483647),'Control Room'!$B$8+('Control Room'!$D$8-'Control Room'!$B$8)*B120/2147483647)</x:f>
        <x:v>954.7027918035604</x:v>
      </x:c>
      <x:c r="E120" s="17" t="n">
        <x:f>IF('Control Room'!$B$5="Normal",'Control Room'!$B$7,('Control Room'!$B$8+'Control Room'!$D$8)/2)+'Control Room'!$B$9*(E119-IF('Control Room'!$B$5="Normal",'Control Room'!$B$7,('Control Room'!$B$8+'Control Room'!$D$8)/2))+SQRT(1-'Control Room'!$B$9^2)*(D120-IF('Control Room'!$B$5="Normal",'Control Room'!$B$7,('Control Room'!$B$8+'Control Room'!$D$8)/2))</x:f>
        <x:v>821.7963235091175</x:v>
      </x:c>
      <x:c r="F120" s="17" t="n">
        <x:f>IF(AND($A120&gt;='Control Room'!$A$13,$A120&lt;'Control Room'!$A$13+'Control Room'!$B$13,'Process'!BK2=1),1+('Control Room'!$C$13-1)*EXP(-0.5*(($A120-'Control Room'!$A$13-('Control Room'!$B$13-1)/2)/MAX(0.5,'Control Room'!$B$13/4))^2),1)*IF(AND($A120&gt;='Control Room'!$A$14,$A120&lt;'Control Room'!$A$14+'Control Room'!$B$14,'Process'!BK3=1),1+('Control Room'!$C$14-1)*EXP(-0.5*(($A120-'Control Room'!$A$14-('Control Room'!$B$14-1)/2)/MAX(0.5,'Control Room'!$B$14/4))^2),1)*IF(AND($A120&gt;='Control Room'!$A$15,$A120&lt;'Control Room'!$A$15+'Control Room'!$B$15,'Process'!BK4=1),1+('Control Room'!$C$15-1)*EXP(-0.5*(($A120-'Control Room'!$A$15-('Control Room'!$B$15-1)/2)/MAX(0.5,'Control Room'!$B$15/4))^2),1)*IF(AND($A120&gt;='Control Room'!$A$16,$A120&lt;'Control Room'!$A$16+'Control Room'!$B$16,'Process'!BK5=1),1+('Control Room'!$C$16-1)*EXP(-0.5*(($A120-'Control Room'!$A$16-('Control Room'!$B$16-1)/2)/MAX(0.5,'Control Room'!$B$16/4))^2),1)</x:f>
        <x:v>1</x:v>
      </x:c>
      <x:c r="G120" s="9" t="n">
        <x:f>MOD(H119*16807,2147483647)</x:f>
        <x:v>2040653509</x:v>
      </x:c>
      <x:c r="H120" s="9" t="n">
        <x:f>MOD(G120*16807,2147483647)</x:f>
        <x:v>1949683173</x:v>
      </x:c>
      <x:c r="I120" s="17" t="n">
        <x:f>IF('Control Room'!$B$5="Normal",'Control Room'!$B$7+'Control Room'!$D$7*SQRT(-2*LN(MAX(0.000000000001,G120/2147483647)))*COS(2*PI()*H120/2147483647),'Control Room'!$B$8+('Control Room'!$D$8-'Control Room'!$B$8)*G120/2147483647)</x:f>
        <x:v>1024.069272824176</x:v>
      </x:c>
      <x:c r="J120" s="17" t="n">
        <x:f>IF('Control Room'!$B$5="Normal",'Control Room'!$B$7,('Control Room'!$B$8+'Control Room'!$D$8)/2)+'Control Room'!$B$9*(J119-IF('Control Room'!$B$5="Normal",'Control Room'!$B$7,('Control Room'!$B$8+'Control Room'!$D$8)/2))+SQRT(1-'Control Room'!$B$9^2)*(I120-IF('Control Room'!$B$5="Normal",'Control Room'!$B$7,('Control Room'!$B$8+'Control Room'!$D$8)/2))</x:f>
        <x:v>1010.4546673971677</x:v>
      </x:c>
      <x:c r="K120" s="17" t="n">
        <x:f>IF(AND($A120&gt;='Control Room'!$A$13,$A120&lt;'Control Room'!$A$13+'Control Room'!$B$13,'Process'!BL2=1),1+('Control Room'!$C$13-1)*EXP(-0.5*(($A120-'Control Room'!$A$13-('Control Room'!$B$13-1)/2)/MAX(0.5,'Control Room'!$B$13/4))^2),1)*IF(AND($A120&gt;='Control Room'!$A$14,$A120&lt;'Control Room'!$A$14+'Control Room'!$B$14,'Process'!BL3=1),1+('Control Room'!$C$14-1)*EXP(-0.5*(($A120-'Control Room'!$A$14-('Control Room'!$B$14-1)/2)/MAX(0.5,'Control Room'!$B$14/4))^2),1)*IF(AND($A120&gt;='Control Room'!$A$15,$A120&lt;'Control Room'!$A$15+'Control Room'!$B$15,'Process'!BL4=1),1+('Control Room'!$C$15-1)*EXP(-0.5*(($A120-'Control Room'!$A$15-('Control Room'!$B$15-1)/2)/MAX(0.5,'Control Room'!$B$15/4))^2),1)*IF(AND($A120&gt;='Control Room'!$A$16,$A120&lt;'Control Room'!$A$16+'Control Room'!$B$16,'Process'!BL5=1),1+('Control Room'!$C$16-1)*EXP(-0.5*(($A120-'Control Room'!$A$16-('Control Room'!$B$16-1)/2)/MAX(0.5,'Control Room'!$B$16/4))^2),1)</x:f>
        <x:v>1</x:v>
      </x:c>
      <x:c r="L120" s="9" t="n">
        <x:f>MOD(M119*16807,2147483647)</x:f>
        <x:v>857293481</x:v>
      </x:c>
      <x:c r="M120" s="9" t="n">
        <x:f>MOD(L120*16807,2147483647)</x:f>
        <x:v>1063747444</x:v>
      </x:c>
      <x:c r="N120" s="17" t="n">
        <x:f>IF('Control Room'!$B$5="Normal",'Control Room'!$B$7+'Control Room'!$D$7*SQRT(-2*LN(MAX(0.000000000001,L120/2147483647)))*COS(2*PI()*M120/2147483647),'Control Room'!$B$8+('Control Room'!$D$8-'Control Room'!$B$8)*L120/2147483647)</x:f>
        <x:v>878.084925900757</x:v>
      </x:c>
      <x:c r="O120" s="17" t="n">
        <x:f>IF('Control Room'!$B$5="Normal",'Control Room'!$B$7,('Control Room'!$B$8+'Control Room'!$D$8)/2)+'Control Room'!$B$9*(O119-IF('Control Room'!$B$5="Normal",'Control Room'!$B$7,('Control Room'!$B$8+'Control Room'!$D$8)/2))+SQRT(1-'Control Room'!$B$9^2)*(N120-IF('Control Room'!$B$5="Normal",'Control Room'!$B$7,('Control Room'!$B$8+'Control Room'!$D$8)/2))</x:f>
        <x:v>876.9067751048522</x:v>
      </x:c>
      <x:c r="P120" s="17" t="n">
        <x:f>IF(AND($A120&gt;='Control Room'!$A$13,$A120&lt;'Control Room'!$A$13+'Control Room'!$B$13,'Process'!BM2=1),1+('Control Room'!$C$13-1)*EXP(-0.5*(($A120-'Control Room'!$A$13-('Control Room'!$B$13-1)/2)/MAX(0.5,'Control Room'!$B$13/4))^2),1)*IF(AND($A120&gt;='Control Room'!$A$14,$A120&lt;'Control Room'!$A$14+'Control Room'!$B$14,'Process'!BM3=1),1+('Control Room'!$C$14-1)*EXP(-0.5*(($A120-'Control Room'!$A$14-('Control Room'!$B$14-1)/2)/MAX(0.5,'Control Room'!$B$14/4))^2),1)*IF(AND($A120&gt;='Control Room'!$A$15,$A120&lt;'Control Room'!$A$15+'Control Room'!$B$15,'Process'!BM4=1),1+('Control Room'!$C$15-1)*EXP(-0.5*(($A120-'Control Room'!$A$15-('Control Room'!$B$15-1)/2)/MAX(0.5,'Control Room'!$B$15/4))^2),1)*IF(AND($A120&gt;='Control Room'!$A$16,$A120&lt;'Control Room'!$A$16+'Control Room'!$B$16,'Process'!BM5=1),1+('Control Room'!$C$16-1)*EXP(-0.5*(($A120-'Control Room'!$A$16-('Control Room'!$B$16-1)/2)/MAX(0.5,'Control Room'!$B$16/4))^2),1)</x:f>
        <x:v>1</x:v>
      </x:c>
      <x:c r="Q120" s="9" t="n">
        <x:f>MOD(R119*16807,2147483647)</x:f>
        <x:v>1821417100</x:v>
      </x:c>
      <x:c r="R120" s="9" t="n">
        <x:f>MOD(Q120*16807,2147483647)</x:f>
        <x:v>177811715</x:v>
      </x:c>
      <x:c r="S120" s="17" t="n">
        <x:f>IF('Control Room'!$B$5="Normal",'Control Room'!$B$7+'Control Room'!$D$7*SQRT(-2*LN(MAX(0.000000000001,Q120/2147483647)))*COS(2*PI()*R120/2147483647),'Control Room'!$B$8+('Control Room'!$D$8-'Control Room'!$B$8)*Q120/2147483647)</x:f>
        <x:v>1044.8175447523486</x:v>
      </x:c>
      <x:c r="T120" s="17" t="n">
        <x:f>IF('Control Room'!$B$5="Normal",'Control Room'!$B$7,('Control Room'!$B$8+'Control Room'!$D$8)/2)+'Control Room'!$B$9*(T119-IF('Control Room'!$B$5="Normal",'Control Room'!$B$7,('Control Room'!$B$8+'Control Room'!$D$8)/2))+SQRT(1-'Control Room'!$B$9^2)*(S120-IF('Control Room'!$B$5="Normal",'Control Room'!$B$7,('Control Room'!$B$8+'Control Room'!$D$8)/2))</x:f>
        <x:v>1048.3858828339894</x:v>
      </x:c>
      <x:c r="U120" s="17" t="n">
        <x:f>IF(AND($A120&gt;='Control Room'!$A$13,$A120&lt;'Control Room'!$A$13+'Control Room'!$B$13,'Process'!BN2=1),1+('Control Room'!$C$13-1)*EXP(-0.5*(($A120-'Control Room'!$A$13-('Control Room'!$B$13-1)/2)/MAX(0.5,'Control Room'!$B$13/4))^2),1)*IF(AND($A120&gt;='Control Room'!$A$14,$A120&lt;'Control Room'!$A$14+'Control Room'!$B$14,'Process'!BN3=1),1+('Control Room'!$C$14-1)*EXP(-0.5*(($A120-'Control Room'!$A$14-('Control Room'!$B$14-1)/2)/MAX(0.5,'Control Room'!$B$14/4))^2),1)*IF(AND($A120&gt;='Control Room'!$A$15,$A120&lt;'Control Room'!$A$15+'Control Room'!$B$15,'Process'!BN4=1),1+('Control Room'!$C$15-1)*EXP(-0.5*(($A120-'Control Room'!$A$15-('Control Room'!$B$15-1)/2)/MAX(0.5,'Control Room'!$B$15/4))^2),1)*IF(AND($A120&gt;='Control Room'!$A$16,$A120&lt;'Control Room'!$A$16+'Control Room'!$B$16,'Process'!BN5=1),1+('Control Room'!$C$16-1)*EXP(-0.5*(($A120-'Control Room'!$A$16-('Control Room'!$B$16-1)/2)/MAX(0.5,'Control Room'!$B$16/4))^2),1)</x:f>
        <x:v>1</x:v>
      </x:c>
      <x:c r="V120" s="9" t="n">
        <x:f>MOD(W119*16807,2147483647)</x:f>
        <x:v>638057072</x:v>
      </x:c>
      <x:c r="W120" s="9" t="n">
        <x:f>MOD(V120*16807,2147483647)</x:f>
        <x:v>1439359633</x:v>
      </x:c>
      <x:c r="X120" s="17" t="n">
        <x:f>IF('Control Room'!$B$5="Normal",'Control Room'!$B$7+'Control Room'!$D$7*SQRT(-2*LN(MAX(0.000000000001,V120/2147483647)))*COS(2*PI()*W120/2147483647),'Control Room'!$B$8+('Control Room'!$D$8-'Control Room'!$B$8)*V120/2147483647)</x:f>
        <x:v>932.6463339523239</x:v>
      </x:c>
      <x:c r="Y120" s="17" t="n">
        <x:f>IF('Control Room'!$B$5="Normal",'Control Room'!$B$7,('Control Room'!$B$8+'Control Room'!$D$8)/2)+'Control Room'!$B$9*(Y119-IF('Control Room'!$B$5="Normal",'Control Room'!$B$7,('Control Room'!$B$8+'Control Room'!$D$8)/2))+SQRT(1-'Control Room'!$B$9^2)*(X120-IF('Control Room'!$B$5="Normal",'Control Room'!$B$7,('Control Room'!$B$8+'Control Room'!$D$8)/2))</x:f>
        <x:v>922.2518142344</x:v>
      </x:c>
      <x:c r="Z120" s="17" t="n">
        <x:f>IF(AND($A120&gt;='Control Room'!$A$13,$A120&lt;'Control Room'!$A$13+'Control Room'!$B$13,'Process'!BO2=1),1+('Control Room'!$C$13-1)*EXP(-0.5*(($A120-'Control Room'!$A$13-('Control Room'!$B$13-1)/2)/MAX(0.5,'Control Room'!$B$13/4))^2),1)*IF(AND($A120&gt;='Control Room'!$A$14,$A120&lt;'Control Room'!$A$14+'Control Room'!$B$14,'Process'!BO3=1),1+('Control Room'!$C$14-1)*EXP(-0.5*(($A120-'Control Room'!$A$14-('Control Room'!$B$14-1)/2)/MAX(0.5,'Control Room'!$B$14/4))^2),1)*IF(AND($A120&gt;='Control Room'!$A$15,$A120&lt;'Control Room'!$A$15+'Control Room'!$B$15,'Process'!BO4=1),1+('Control Room'!$C$15-1)*EXP(-0.5*(($A120-'Control Room'!$A$15-('Control Room'!$B$15-1)/2)/MAX(0.5,'Control Room'!$B$15/4))^2),1)*IF(AND($A120&gt;='Control Room'!$A$16,$A120&lt;'Control Room'!$A$16+'Control Room'!$B$16,'Process'!BO5=1),1+('Control Room'!$C$16-1)*EXP(-0.5*(($A120-'Control Room'!$A$16-('Control Room'!$B$16-1)/2)/MAX(0.5,'Control Room'!$B$16/4))^2),1)</x:f>
        <x:v>1</x:v>
      </x:c>
      <x:c r="AA120" s="9" t="n">
        <x:f>MOD(AB119*16807,2147483647)</x:f>
        <x:v>1602180691</x:v>
      </x:c>
      <x:c r="AB120" s="9" t="n">
        <x:f>MOD(AA120*16807,2147483647)</x:f>
        <x:v>553423904</x:v>
      </x:c>
      <x:c r="AC120" s="17" t="n">
        <x:f>IF('Control Room'!$B$5="Normal",'Control Room'!$B$7+'Control Room'!$D$7*SQRT(-2*LN(MAX(0.000000000001,AA120/2147483647)))*COS(2*PI()*AB120/2147483647),'Control Room'!$B$8+('Control Room'!$D$8-'Control Room'!$B$8)*AA120/2147483647)</x:f>
        <x:v>996.6649911561159</x:v>
      </x:c>
      <x:c r="AD120" s="17" t="n">
        <x:f>IF('Control Room'!$B$5="Normal",'Control Room'!$B$7,('Control Room'!$B$8+'Control Room'!$D$8)/2)+'Control Room'!$B$9*(AD119-IF('Control Room'!$B$5="Normal",'Control Room'!$B$7,('Control Room'!$B$8+'Control Room'!$D$8)/2))+SQRT(1-'Control Room'!$B$9^2)*(AC120-IF('Control Room'!$B$5="Normal",'Control Room'!$B$7,('Control Room'!$B$8+'Control Room'!$D$8)/2))</x:f>
        <x:v>978.8589082067525</x:v>
      </x:c>
      <x:c r="AE120" s="17" t="n">
        <x:f>IF(AND($A120&gt;='Control Room'!$A$13,$A120&lt;'Control Room'!$A$13+'Control Room'!$B$13,'Process'!BP2=1),1+('Control Room'!$C$13-1)*EXP(-0.5*(($A120-'Control Room'!$A$13-('Control Room'!$B$13-1)/2)/MAX(0.5,'Control Room'!$B$13/4))^2),1)*IF(AND($A120&gt;='Control Room'!$A$14,$A120&lt;'Control Room'!$A$14+'Control Room'!$B$14,'Process'!BP3=1),1+('Control Room'!$C$14-1)*EXP(-0.5*(($A120-'Control Room'!$A$14-('Control Room'!$B$14-1)/2)/MAX(0.5,'Control Room'!$B$14/4))^2),1)*IF(AND($A120&gt;='Control Room'!$A$15,$A120&lt;'Control Room'!$A$15+'Control Room'!$B$15,'Process'!BP4=1),1+('Control Room'!$C$15-1)*EXP(-0.5*(($A120-'Control Room'!$A$15-('Control Room'!$B$15-1)/2)/MAX(0.5,'Control Room'!$B$15/4))^2),1)*IF(AND($A120&gt;='Control Room'!$A$16,$A120&lt;'Control Room'!$A$16+'Control Room'!$B$16,'Process'!BP5=1),1+('Control Room'!$C$16-1)*EXP(-0.5*(($A120-'Control Room'!$A$16-('Control Room'!$B$16-1)/2)/MAX(0.5,'Control Room'!$B$16/4))^2),1)</x:f>
        <x:v>1</x:v>
      </x:c>
      <x:c r="AF120" s="9" t="n">
        <x:f>MOD(AG119*16807,2147483647)</x:f>
        <x:v>418820663</x:v>
      </x:c>
      <x:c r="AG120" s="9" t="n">
        <x:f>MOD(AF120*16807,2147483647)</x:f>
        <x:v>1814971822</x:v>
      </x:c>
      <x:c r="AH120" s="17" t="n">
        <x:f>IF('Control Room'!$B$5="Normal",'Control Room'!$B$7+'Control Room'!$D$7*SQRT(-2*LN(MAX(0.000000000001,AF120/2147483647)))*COS(2*PI()*AG120/2147483647),'Control Room'!$B$8+('Control Room'!$D$8-'Control Room'!$B$8)*AF120/2147483647)</x:f>
        <x:v>1091.604211701051</x:v>
      </x:c>
      <x:c r="AI120" s="17" t="n">
        <x:f>IF('Control Room'!$B$5="Normal",'Control Room'!$B$7,('Control Room'!$B$8+'Control Room'!$D$8)/2)+'Control Room'!$B$9*(AI119-IF('Control Room'!$B$5="Normal",'Control Room'!$B$7,('Control Room'!$B$8+'Control Room'!$D$8)/2))+SQRT(1-'Control Room'!$B$9^2)*(AH120-IF('Control Room'!$B$5="Normal",'Control Room'!$B$7,('Control Room'!$B$8+'Control Room'!$D$8)/2))</x:f>
        <x:v>1069.2119624300515</x:v>
      </x:c>
      <x:c r="AJ120" s="17" t="n">
        <x:f>IF(AND($A120&gt;='Control Room'!$A$13,$A120&lt;'Control Room'!$A$13+'Control Room'!$B$13,'Process'!BQ2=1),1+('Control Room'!$C$13-1)*EXP(-0.5*(($A120-'Control Room'!$A$13-('Control Room'!$B$13-1)/2)/MAX(0.5,'Control Room'!$B$13/4))^2),1)*IF(AND($A120&gt;='Control Room'!$A$14,$A120&lt;'Control Room'!$A$14+'Control Room'!$B$14,'Process'!BQ3=1),1+('Control Room'!$C$14-1)*EXP(-0.5*(($A120-'Control Room'!$A$14-('Control Room'!$B$14-1)/2)/MAX(0.5,'Control Room'!$B$14/4))^2),1)*IF(AND($A120&gt;='Control Room'!$A$15,$A120&lt;'Control Room'!$A$15+'Control Room'!$B$15,'Process'!BQ4=1),1+('Control Room'!$C$15-1)*EXP(-0.5*(($A120-'Control Room'!$A$15-('Control Room'!$B$15-1)/2)/MAX(0.5,'Control Room'!$B$15/4))^2),1)*IF(AND($A120&gt;='Control Room'!$A$16,$A120&lt;'Control Room'!$A$16+'Control Room'!$B$16,'Process'!BQ5=1),1+('Control Room'!$C$16-1)*EXP(-0.5*(($A120-'Control Room'!$A$16-('Control Room'!$B$16-1)/2)/MAX(0.5,'Control Room'!$B$16/4))^2),1)</x:f>
        <x:v>1</x:v>
      </x:c>
      <x:c r="AK120" s="9" t="n">
        <x:f>MOD(AL119*16807,2147483647)</x:f>
        <x:v>1382944282</x:v>
      </x:c>
      <x:c r="AL120" s="9" t="n">
        <x:f>MOD(AK120*16807,2147483647)</x:f>
        <x:v>929036093</x:v>
      </x:c>
      <x:c r="AM120" s="17" t="n">
        <x:f>IF('Control Room'!$B$5="Normal",'Control Room'!$B$7+'Control Room'!$D$7*SQRT(-2*LN(MAX(0.000000000001,AK120/2147483647)))*COS(2*PI()*AL120/2147483647),'Control Room'!$B$8+('Control Room'!$D$8-'Control Room'!$B$8)*AK120/2147483647)</x:f>
        <x:v>923.0200096870872</x:v>
      </x:c>
      <x:c r="AN120" s="17" t="n">
        <x:f>IF('Control Room'!$B$5="Normal",'Control Room'!$B$7,('Control Room'!$B$8+'Control Room'!$D$8)/2)+'Control Room'!$B$9*(AN119-IF('Control Room'!$B$5="Normal",'Control Room'!$B$7,('Control Room'!$B$8+'Control Room'!$D$8)/2))+SQRT(1-'Control Room'!$B$9^2)*(AM120-IF('Control Room'!$B$5="Normal",'Control Room'!$B$7,('Control Room'!$B$8+'Control Room'!$D$8)/2))</x:f>
        <x:v>1012.3720109130671</x:v>
      </x:c>
      <x:c r="AO120" s="17" t="n">
        <x:f>IF(AND($A120&gt;='Control Room'!$A$13,$A120&lt;'Control Room'!$A$13+'Control Room'!$B$13,'Process'!BR2=1),1+('Control Room'!$C$13-1)*EXP(-0.5*(($A120-'Control Room'!$A$13-('Control Room'!$B$13-1)/2)/MAX(0.5,'Control Room'!$B$13/4))^2),1)*IF(AND($A120&gt;='Control Room'!$A$14,$A120&lt;'Control Room'!$A$14+'Control Room'!$B$14,'Process'!BR3=1),1+('Control Room'!$C$14-1)*EXP(-0.5*(($A120-'Control Room'!$A$14-('Control Room'!$B$14-1)/2)/MAX(0.5,'Control Room'!$B$14/4))^2),1)*IF(AND($A120&gt;='Control Room'!$A$15,$A120&lt;'Control Room'!$A$15+'Control Room'!$B$15,'Process'!BR4=1),1+('Control Room'!$C$15-1)*EXP(-0.5*(($A120-'Control Room'!$A$15-('Control Room'!$B$15-1)/2)/MAX(0.5,'Control Room'!$B$15/4))^2),1)*IF(AND($A120&gt;='Control Room'!$A$16,$A120&lt;'Control Room'!$A$16+'Control Room'!$B$16,'Process'!BR5=1),1+('Control Room'!$C$16-1)*EXP(-0.5*(($A120-'Control Room'!$A$16-('Control Room'!$B$16-1)/2)/MAX(0.5,'Control Room'!$B$16/4))^2),1)</x:f>
        <x:v>1</x:v>
      </x:c>
      <x:c r="AP120" s="9" t="n">
        <x:f>MOD(AQ119*16807,2147483647)</x:f>
        <x:v>199584254</x:v>
      </x:c>
      <x:c r="AQ120" s="9" t="n">
        <x:f>MOD(AP120*16807,2147483647)</x:f>
        <x:v>43100364</x:v>
      </x:c>
      <x:c r="AR120" s="17" t="n">
        <x:f>IF('Control Room'!$B$5="Normal",'Control Room'!$B$7+'Control Room'!$D$7*SQRT(-2*LN(MAX(0.000000000001,AP120/2147483647)))*COS(2*PI()*AQ120/2147483647),'Control Room'!$B$8+('Control Room'!$D$8-'Control Room'!$B$8)*AP120/2147483647)</x:f>
        <x:v>1194.6262979045898</x:v>
      </x:c>
      <x:c r="AS120" s="17" t="n">
        <x:f>IF('Control Room'!$B$5="Normal",'Control Room'!$B$7,('Control Room'!$B$8+'Control Room'!$D$8)/2)+'Control Room'!$B$9*(AS119-IF('Control Room'!$B$5="Normal",'Control Room'!$B$7,('Control Room'!$B$8+'Control Room'!$D$8)/2))+SQRT(1-'Control Room'!$B$9^2)*(AR120-IF('Control Room'!$B$5="Normal",'Control Room'!$B$7,('Control Room'!$B$8+'Control Room'!$D$8)/2))</x:f>
        <x:v>1063.0273722897018</x:v>
      </x:c>
      <x:c r="AT120" s="17" t="n">
        <x:f>IF(AND($A120&gt;='Control Room'!$A$13,$A120&lt;'Control Room'!$A$13+'Control Room'!$B$13,'Process'!BS2=1),1+('Control Room'!$C$13-1)*EXP(-0.5*(($A120-'Control Room'!$A$13-('Control Room'!$B$13-1)/2)/MAX(0.5,'Control Room'!$B$13/4))^2),1)*IF(AND($A120&gt;='Control Room'!$A$14,$A120&lt;'Control Room'!$A$14+'Control Room'!$B$14,'Process'!BS3=1),1+('Control Room'!$C$14-1)*EXP(-0.5*(($A120-'Control Room'!$A$14-('Control Room'!$B$14-1)/2)/MAX(0.5,'Control Room'!$B$14/4))^2),1)*IF(AND($A120&gt;='Control Room'!$A$15,$A120&lt;'Control Room'!$A$15+'Control Room'!$B$15,'Process'!BS4=1),1+('Control Room'!$C$15-1)*EXP(-0.5*(($A120-'Control Room'!$A$15-('Control Room'!$B$15-1)/2)/MAX(0.5,'Control Room'!$B$15/4))^2),1)*IF(AND($A120&gt;='Control Room'!$A$16,$A120&lt;'Control Room'!$A$16+'Control Room'!$B$16,'Process'!BS5=1),1+('Control Room'!$C$16-1)*EXP(-0.5*(($A120-'Control Room'!$A$16-('Control Room'!$B$16-1)/2)/MAX(0.5,'Control Room'!$B$16/4))^2),1)</x:f>
        <x:v>1</x:v>
      </x:c>
      <x:c r="AU120" s="9" t="n">
        <x:f>MOD(AV119*16807,2147483647)</x:f>
        <x:v>1163707873</x:v>
      </x:c>
      <x:c r="AV120" s="9" t="n">
        <x:f>MOD(AU120*16807,2147483647)</x:f>
        <x:v>1304648282</x:v>
      </x:c>
      <x:c r="AW120" s="17" t="n">
        <x:f>IF('Control Room'!$B$5="Normal",'Control Room'!$B$7+'Control Room'!$D$7*SQRT(-2*LN(MAX(0.000000000001,AU120/2147483647)))*COS(2*PI()*AV120/2147483647),'Control Room'!$B$8+('Control Room'!$D$8-'Control Room'!$B$8)*AU120/2147483647)</x:f>
        <x:v>922.2576707241353</x:v>
      </x:c>
      <x:c r="AX120" s="17" t="n">
        <x:f>IF('Control Room'!$B$5="Normal",'Control Room'!$B$7,('Control Room'!$B$8+'Control Room'!$D$8)/2)+'Control Room'!$B$9*(AX119-IF('Control Room'!$B$5="Normal",'Control Room'!$B$7,('Control Room'!$B$8+'Control Room'!$D$8)/2))+SQRT(1-'Control Room'!$B$9^2)*(AW120-IF('Control Room'!$B$5="Normal",'Control Room'!$B$7,('Control Room'!$B$8+'Control Room'!$D$8)/2))</x:f>
        <x:v>1099.3712665174899</x:v>
      </x:c>
      <x:c r="AY120" s="17" t="n">
        <x:f>IF(AND($A120&gt;='Control Room'!$A$13,$A120&lt;'Control Room'!$A$13+'Control Room'!$B$13,'Process'!BT2=1),1+('Control Room'!$C$13-1)*EXP(-0.5*(($A120-'Control Room'!$A$13-('Control Room'!$B$13-1)/2)/MAX(0.5,'Control Room'!$B$13/4))^2),1)*IF(AND($A120&gt;='Control Room'!$A$14,$A120&lt;'Control Room'!$A$14+'Control Room'!$B$14,'Process'!BT3=1),1+('Control Room'!$C$14-1)*EXP(-0.5*(($A120-'Control Room'!$A$14-('Control Room'!$B$14-1)/2)/MAX(0.5,'Control Room'!$B$14/4))^2),1)*IF(AND($A120&gt;='Control Room'!$A$15,$A120&lt;'Control Room'!$A$15+'Control Room'!$B$15,'Process'!BT4=1),1+('Control Room'!$C$15-1)*EXP(-0.5*(($A120-'Control Room'!$A$15-('Control Room'!$B$15-1)/2)/MAX(0.5,'Control Room'!$B$15/4))^2),1)*IF(AND($A120&gt;='Control Room'!$A$16,$A120&lt;'Control Room'!$A$16+'Control Room'!$B$16,'Process'!BT5=1),1+('Control Room'!$C$16-1)*EXP(-0.5*(($A120-'Control Room'!$A$16-('Control Room'!$B$16-1)/2)/MAX(0.5,'Control Room'!$B$16/4))^2),1)</x:f>
        <x:v>1</x:v>
      </x:c>
      <x:c r="AZ120" s="9" t="n">
        <x:f>MOD(BA119*16807,2147483647)</x:f>
        <x:v>2127831492</x:v>
      </x:c>
      <x:c r="BA120" s="9" t="n">
        <x:f>MOD(AZ120*16807,2147483647)</x:f>
        <x:v>418712553</x:v>
      </x:c>
      <x:c r="BB120" s="17" t="n">
        <x:f>IF('Control Room'!$B$5="Normal",'Control Room'!$B$7+'Control Room'!$D$7*SQRT(-2*LN(MAX(0.000000000001,AZ120/2147483647)))*COS(2*PI()*BA120/2147483647),'Control Room'!$B$8+('Control Room'!$D$8-'Control Room'!$B$8)*AZ120/2147483647)</x:f>
        <x:v>1004.1354604314774</x:v>
      </x:c>
      <x:c r="BC120" s="17" t="n">
        <x:f>IF('Control Room'!$B$5="Normal",'Control Room'!$B$7,('Control Room'!$B$8+'Control Room'!$D$8)/2)+'Control Room'!$B$9*(BC119-IF('Control Room'!$B$5="Normal",'Control Room'!$B$7,('Control Room'!$B$8+'Control Room'!$D$8)/2))+SQRT(1-'Control Room'!$B$9^2)*(BB120-IF('Control Room'!$B$5="Normal",'Control Room'!$B$7,('Control Room'!$B$8+'Control Room'!$D$8)/2))</x:f>
        <x:v>1082.2240160924266</x:v>
      </x:c>
      <x:c r="BD120" s="17" t="n">
        <x:f>IF(AND($A120&gt;='Control Room'!$A$13,$A120&lt;'Control Room'!$A$13+'Control Room'!$B$13,'Process'!BU2=1),1+('Control Room'!$C$13-1)*EXP(-0.5*(($A120-'Control Room'!$A$13-('Control Room'!$B$13-1)/2)/MAX(0.5,'Control Room'!$B$13/4))^2),1)*IF(AND($A120&gt;='Control Room'!$A$14,$A120&lt;'Control Room'!$A$14+'Control Room'!$B$14,'Process'!BU3=1),1+('Control Room'!$C$14-1)*EXP(-0.5*(($A120-'Control Room'!$A$14-('Control Room'!$B$14-1)/2)/MAX(0.5,'Control Room'!$B$14/4))^2),1)*IF(AND($A120&gt;='Control Room'!$A$15,$A120&lt;'Control Room'!$A$15+'Control Room'!$B$15,'Process'!BU4=1),1+('Control Room'!$C$15-1)*EXP(-0.5*(($A120-'Control Room'!$A$15-('Control Room'!$B$15-1)/2)/MAX(0.5,'Control Room'!$B$15/4))^2),1)*IF(AND($A120&gt;='Control Room'!$A$16,$A120&lt;'Control Room'!$A$16+'Control Room'!$B$16,'Process'!BU5=1),1+('Control Room'!$C$16-1)*EXP(-0.5*(($A120-'Control Room'!$A$16-('Control Room'!$B$16-1)/2)/MAX(0.5,'Control Room'!$B$16/4))^2),1)</x:f>
        <x:v>1</x:v>
      </x:c>
      <x:c r="BE120" s="9" t="n">
        <x:f>MOD(BF119*16807,2147483647)</x:f>
        <x:v>944471464</x:v>
      </x:c>
      <x:c r="BF120" s="9" t="n">
        <x:f>MOD(BE120*16807,2147483647)</x:f>
        <x:v>1680260471</x:v>
      </x:c>
      <x:c r="BG120" s="17" t="n">
        <x:f>IF('Control Room'!$B$5="Normal",'Control Room'!$B$7+'Control Room'!$D$7*SQRT(-2*LN(MAX(0.000000000001,BE120/2147483647)))*COS(2*PI()*BF120/2147483647),'Control Room'!$B$8+('Control Room'!$D$8-'Control Room'!$B$8)*BE120/2147483647)</x:f>
        <x:v>1023.3447379315685</x:v>
      </x:c>
      <x:c r="BH120" s="17" t="n">
        <x:f>IF('Control Room'!$B$5="Normal",'Control Room'!$B$7,('Control Room'!$B$8+'Control Room'!$D$8)/2)+'Control Room'!$B$9*(BH119-IF('Control Room'!$B$5="Normal",'Control Room'!$B$7,('Control Room'!$B$8+'Control Room'!$D$8)/2))+SQRT(1-'Control Room'!$B$9^2)*(BG120-IF('Control Room'!$B$5="Normal",'Control Room'!$B$7,('Control Room'!$B$8+'Control Room'!$D$8)/2))</x:f>
        <x:v>1102.060146372671</x:v>
      </x:c>
      <x:c r="BI120" s="17" t="n">
        <x:f>IF(AND($A120&gt;='Control Room'!$A$13,$A120&lt;'Control Room'!$A$13+'Control Room'!$B$13,'Process'!BV2=1),1+('Control Room'!$C$13-1)*EXP(-0.5*(($A120-'Control Room'!$A$13-('Control Room'!$B$13-1)/2)/MAX(0.5,'Control Room'!$B$13/4))^2),1)*IF(AND($A120&gt;='Control Room'!$A$14,$A120&lt;'Control Room'!$A$14+'Control Room'!$B$14,'Process'!BV3=1),1+('Control Room'!$C$14-1)*EXP(-0.5*(($A120-'Control Room'!$A$14-('Control Room'!$B$14-1)/2)/MAX(0.5,'Control Room'!$B$14/4))^2),1)*IF(AND($A120&gt;='Control Room'!$A$15,$A120&lt;'Control Room'!$A$15+'Control Room'!$B$15,'Process'!BV4=1),1+('Control Room'!$C$15-1)*EXP(-0.5*(($A120-'Control Room'!$A$15-('Control Room'!$B$15-1)/2)/MAX(0.5,'Control Room'!$B$15/4))^2),1)*IF(AND($A120&gt;='Control Room'!$A$16,$A120&lt;'Control Room'!$A$16+'Control Room'!$B$16,'Process'!BV5=1),1+('Control Room'!$C$16-1)*EXP(-0.5*(($A120-'Control Room'!$A$16-('Control Room'!$B$16-1)/2)/MAX(0.5,'Control Room'!$B$16/4))^2),1)</x:f>
        <x:v>1</x:v>
      </x:c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Z120" t="str">
        <x:f>IF('Data'!A120="","",TEXT('Data'!A120,"mm-dd"))</x:f>
        <x:v>02-28</x:v>
      </x:c>
    </x:row>
    <x:row r="121" ht="21" customHeight="1">
      <x:c r="A121" s="15" t="n">
        <x:f>'Control Room'!$B$1+119</x:f>
        <x:v>73110</x:v>
      </x:c>
      <x:c r="B121" s="9" t="n">
        <x:f>MOD(C120*16807,2147483647)</x:f>
        <x:v>1289791690</x:v>
      </x:c>
      <x:c r="C121" s="9" t="n">
        <x:f>MOD(B121*16807,2147483647)</x:f>
        <x:v>829001012</x:v>
      </x:c>
      <x:c r="D121" s="17" t="n">
        <x:f>IF('Control Room'!$B$5="Normal",'Control Room'!$B$7+'Control Room'!$D$7*SQRT(-2*LN(MAX(0.000000000001,B121/2147483647)))*COS(2*PI()*C121/2147483647),'Control Room'!$B$8+('Control Room'!$D$8-'Control Room'!$B$8)*B121/2147483647)</x:f>
        <x:v>931.4416510277886</x:v>
      </x:c>
      <x:c r="E121" s="17" t="n">
        <x:f>IF('Control Room'!$B$5="Normal",'Control Room'!$B$7,('Control Room'!$B$8+'Control Room'!$D$8)/2)+'Control Room'!$B$9*(E120-IF('Control Room'!$B$5="Normal",'Control Room'!$B$7,('Control Room'!$B$8+'Control Room'!$D$8)/2))+SQRT(1-'Control Room'!$B$9^2)*(D121-IF('Control Room'!$B$5="Normal",'Control Room'!$B$7,('Control Room'!$B$8+'Control Room'!$D$8)/2))</x:f>
        <x:v>818.0987220444215</x:v>
      </x:c>
      <x:c r="F121" s="17" t="n">
        <x:f>IF(AND($A121&gt;='Control Room'!$A$13,$A121&lt;'Control Room'!$A$13+'Control Room'!$B$13,'Process'!BK2=1),1+('Control Room'!$C$13-1)*EXP(-0.5*(($A121-'Control Room'!$A$13-('Control Room'!$B$13-1)/2)/MAX(0.5,'Control Room'!$B$13/4))^2),1)*IF(AND($A121&gt;='Control Room'!$A$14,$A121&lt;'Control Room'!$A$14+'Control Room'!$B$14,'Process'!BK3=1),1+('Control Room'!$C$14-1)*EXP(-0.5*(($A121-'Control Room'!$A$14-('Control Room'!$B$14-1)/2)/MAX(0.5,'Control Room'!$B$14/4))^2),1)*IF(AND($A121&gt;='Control Room'!$A$15,$A121&lt;'Control Room'!$A$15+'Control Room'!$B$15,'Process'!BK4=1),1+('Control Room'!$C$15-1)*EXP(-0.5*(($A121-'Control Room'!$A$15-('Control Room'!$B$15-1)/2)/MAX(0.5,'Control Room'!$B$15/4))^2),1)*IF(AND($A121&gt;='Control Room'!$A$16,$A121&lt;'Control Room'!$A$16+'Control Room'!$B$16,'Process'!BK5=1),1+('Control Room'!$C$16-1)*EXP(-0.5*(($A121-'Control Room'!$A$16-('Control Room'!$B$16-1)/2)/MAX(0.5,'Control Room'!$B$16/4))^2),1)</x:f>
        <x:v>1</x:v>
      </x:c>
      <x:c r="G121" s="9" t="n">
        <x:f>MOD(H120*16807,2147483647)</x:f>
        <x:v>2019602685</x:v>
      </x:c>
      <x:c r="H121" s="9" t="n">
        <x:f>MOD(G121*16807,2147483647)</x:f>
        <x:v>335802313</x:v>
      </x:c>
      <x:c r="I121" s="17" t="n">
        <x:f>IF('Control Room'!$B$5="Normal",'Control Room'!$B$7+'Control Room'!$D$7*SQRT(-2*LN(MAX(0.000000000001,G121/2147483647)))*COS(2*PI()*H121/2147483647),'Control Room'!$B$8+('Control Room'!$D$8-'Control Room'!$B$8)*G121/2147483647)</x:f>
        <x:v>1017.5015027767287</x:v>
      </x:c>
      <x:c r="J121" s="17" t="n">
        <x:f>IF('Control Room'!$B$5="Normal",'Control Room'!$B$7,('Control Room'!$B$8+'Control Room'!$D$8)/2)+'Control Room'!$B$9*(J120-IF('Control Room'!$B$5="Normal",'Control Room'!$B$7,('Control Room'!$B$8+'Control Room'!$D$8)/2))+SQRT(1-'Control Room'!$B$9^2)*(I121-IF('Control Room'!$B$5="Normal",'Control Room'!$B$7,('Control Room'!$B$8+'Control Room'!$D$8)/2))</x:f>
        <x:v>1019.1067224696949</x:v>
      </x:c>
      <x:c r="K121" s="17" t="n">
        <x:f>IF(AND($A121&gt;='Control Room'!$A$13,$A121&lt;'Control Room'!$A$13+'Control Room'!$B$13,'Process'!BL2=1),1+('Control Room'!$C$13-1)*EXP(-0.5*(($A121-'Control Room'!$A$13-('Control Room'!$B$13-1)/2)/MAX(0.5,'Control Room'!$B$13/4))^2),1)*IF(AND($A121&gt;='Control Room'!$A$14,$A121&lt;'Control Room'!$A$14+'Control Room'!$B$14,'Process'!BL3=1),1+('Control Room'!$C$14-1)*EXP(-0.5*(($A121-'Control Room'!$A$14-('Control Room'!$B$14-1)/2)/MAX(0.5,'Control Room'!$B$14/4))^2),1)*IF(AND($A121&gt;='Control Room'!$A$15,$A121&lt;'Control Room'!$A$15+'Control Room'!$B$15,'Process'!BL4=1),1+('Control Room'!$C$15-1)*EXP(-0.5*(($A121-'Control Room'!$A$15-('Control Room'!$B$15-1)/2)/MAX(0.5,'Control Room'!$B$15/4))^2),1)*IF(AND($A121&gt;='Control Room'!$A$16,$A121&lt;'Control Room'!$A$16+'Control Room'!$B$16,'Process'!BL5=1),1+('Control Room'!$C$16-1)*EXP(-0.5*(($A121-'Control Room'!$A$16-('Control Room'!$B$16-1)/2)/MAX(0.5,'Control Room'!$B$16/4))^2),1)</x:f>
        <x:v>1</x:v>
      </x:c>
      <x:c r="L121" s="9" t="n">
        <x:f>MOD(M120*16807,2147483647)</x:f>
        <x:v>601930033</x:v>
      </x:c>
      <x:c r="M121" s="9" t="n">
        <x:f>MOD(L121*16807,2147483647)</x:f>
        <x:v>1990087261</x:v>
      </x:c>
      <x:c r="N121" s="17" t="n">
        <x:f>IF('Control Room'!$B$5="Normal",'Control Room'!$B$7+'Control Room'!$D$7*SQRT(-2*LN(MAX(0.000000000001,L121/2147483647)))*COS(2*PI()*M121/2147483647),'Control Room'!$B$8+('Control Room'!$D$8-'Control Room'!$B$8)*L121/2147483647)</x:f>
        <x:v>1128.5902928716428</x:v>
      </x:c>
      <x:c r="O121" s="17" t="n">
        <x:f>IF('Control Room'!$B$5="Normal",'Control Room'!$B$7,('Control Room'!$B$8+'Control Room'!$D$8)/2)+'Control Room'!$B$9*(O120-IF('Control Room'!$B$5="Normal",'Control Room'!$B$7,('Control Room'!$B$8+'Control Room'!$D$8)/2))+SQRT(1-'Control Room'!$B$9^2)*(N121-IF('Control Room'!$B$5="Normal",'Control Room'!$B$7,('Control Room'!$B$8+'Control Room'!$D$8)/2))</x:f>
        <x:v>984.4564555455215</x:v>
      </x:c>
      <x:c r="P121" s="17" t="n">
        <x:f>IF(AND($A121&gt;='Control Room'!$A$13,$A121&lt;'Control Room'!$A$13+'Control Room'!$B$13,'Process'!BM2=1),1+('Control Room'!$C$13-1)*EXP(-0.5*(($A121-'Control Room'!$A$13-('Control Room'!$B$13-1)/2)/MAX(0.5,'Control Room'!$B$13/4))^2),1)*IF(AND($A121&gt;='Control Room'!$A$14,$A121&lt;'Control Room'!$A$14+'Control Room'!$B$14,'Process'!BM3=1),1+('Control Room'!$C$14-1)*EXP(-0.5*(($A121-'Control Room'!$A$14-('Control Room'!$B$14-1)/2)/MAX(0.5,'Control Room'!$B$14/4))^2),1)*IF(AND($A121&gt;='Control Room'!$A$15,$A121&lt;'Control Room'!$A$15+'Control Room'!$B$15,'Process'!BM4=1),1+('Control Room'!$C$15-1)*EXP(-0.5*(($A121-'Control Room'!$A$15-('Control Room'!$B$15-1)/2)/MAX(0.5,'Control Room'!$B$15/4))^2),1)*IF(AND($A121&gt;='Control Room'!$A$16,$A121&lt;'Control Room'!$A$16+'Control Room'!$B$16,'Process'!BM5=1),1+('Control Room'!$C$16-1)*EXP(-0.5*(($A121-'Control Room'!$A$16-('Control Room'!$B$16-1)/2)/MAX(0.5,'Control Room'!$B$16/4))^2),1)</x:f>
        <x:v>1</x:v>
      </x:c>
      <x:c r="Q121" s="9" t="n">
        <x:f>MOD(R120*16807,2147483647)</x:f>
        <x:v>1331741028</x:v>
      </x:c>
      <x:c r="R121" s="9" t="n">
        <x:f>MOD(Q121*16807,2147483647)</x:f>
        <x:v>1496888562</x:v>
      </x:c>
      <x:c r="S121" s="17" t="n">
        <x:f>IF('Control Room'!$B$5="Normal",'Control Room'!$B$7+'Control Room'!$D$7*SQRT(-2*LN(MAX(0.000000000001,Q121/2147483647)))*COS(2*PI()*R121/2147483647),'Control Room'!$B$8+('Control Room'!$D$8-'Control Room'!$B$8)*Q121/2147483647)</x:f>
        <x:v>971.2628191788139</x:v>
      </x:c>
      <x:c r="T121" s="17" t="n">
        <x:f>IF('Control Room'!$B$5="Normal",'Control Room'!$B$7,('Control Room'!$B$8+'Control Room'!$D$8)/2)+'Control Room'!$B$9*(T120-IF('Control Room'!$B$5="Normal",'Control Room'!$B$7,('Control Room'!$B$8+'Control Room'!$D$8)/2))+SQRT(1-'Control Room'!$B$9^2)*(S121-IF('Control Room'!$B$5="Normal",'Control Room'!$B$7,('Control Room'!$B$8+'Control Room'!$D$8)/2))</x:f>
        <x:v>1019.757849565762</x:v>
      </x:c>
      <x:c r="U121" s="17" t="n">
        <x:f>IF(AND($A121&gt;='Control Room'!$A$13,$A121&lt;'Control Room'!$A$13+'Control Room'!$B$13,'Process'!BN2=1),1+('Control Room'!$C$13-1)*EXP(-0.5*(($A121-'Control Room'!$A$13-('Control Room'!$B$13-1)/2)/MAX(0.5,'Control Room'!$B$13/4))^2),1)*IF(AND($A121&gt;='Control Room'!$A$14,$A121&lt;'Control Room'!$A$14+'Control Room'!$B$14,'Process'!BN3=1),1+('Control Room'!$C$14-1)*EXP(-0.5*(($A121-'Control Room'!$A$14-('Control Room'!$B$14-1)/2)/MAX(0.5,'Control Room'!$B$14/4))^2),1)*IF(AND($A121&gt;='Control Room'!$A$15,$A121&lt;'Control Room'!$A$15+'Control Room'!$B$15,'Process'!BN4=1),1+('Control Room'!$C$15-1)*EXP(-0.5*(($A121-'Control Room'!$A$15-('Control Room'!$B$15-1)/2)/MAX(0.5,'Control Room'!$B$15/4))^2),1)*IF(AND($A121&gt;='Control Room'!$A$16,$A121&lt;'Control Room'!$A$16+'Control Room'!$B$16,'Process'!BN5=1),1+('Control Room'!$C$16-1)*EXP(-0.5*(($A121-'Control Room'!$A$16-('Control Room'!$B$16-1)/2)/MAX(0.5,'Control Room'!$B$16/4))^2),1)</x:f>
        <x:v>1</x:v>
      </x:c>
      <x:c r="V121" s="9" t="n">
        <x:f>MOD(W120*16807,2147483647)</x:f>
        <x:v>2061552023</x:v>
      </x:c>
      <x:c r="W121" s="9" t="n">
        <x:f>MOD(V121*16807,2147483647)</x:f>
        <x:v>1003689863</x:v>
      </x:c>
      <x:c r="X121" s="17" t="n">
        <x:f>IF('Control Room'!$B$5="Normal",'Control Room'!$B$7+'Control Room'!$D$7*SQRT(-2*LN(MAX(0.000000000001,V121/2147483647)))*COS(2*PI()*W121/2147483647),'Control Room'!$B$8+('Control Room'!$D$8-'Control Room'!$B$8)*V121/2147483647)</x:f>
        <x:v>974.8173637415038</x:v>
      </x:c>
      <x:c r="Y121" s="17" t="n">
        <x:f>IF('Control Room'!$B$5="Normal",'Control Room'!$B$7,('Control Room'!$B$8+'Control Room'!$D$8)/2)+'Control Room'!$B$9*(Y120-IF('Control Room'!$B$5="Normal",'Control Room'!$B$7,('Control Room'!$B$8+'Control Room'!$D$8)/2))+SQRT(1-'Control Room'!$B$9^2)*(X121-IF('Control Room'!$B$5="Normal",'Control Room'!$B$7,('Control Room'!$B$8+'Control Room'!$D$8)/2))</x:f>
        <x:v>923.5976372266101</x:v>
      </x:c>
      <x:c r="Z121" s="17" t="n">
        <x:f>IF(AND($A121&gt;='Control Room'!$A$13,$A121&lt;'Control Room'!$A$13+'Control Room'!$B$13,'Process'!BO2=1),1+('Control Room'!$C$13-1)*EXP(-0.5*(($A121-'Control Room'!$A$13-('Control Room'!$B$13-1)/2)/MAX(0.5,'Control Room'!$B$13/4))^2),1)*IF(AND($A121&gt;='Control Room'!$A$14,$A121&lt;'Control Room'!$A$14+'Control Room'!$B$14,'Process'!BO3=1),1+('Control Room'!$C$14-1)*EXP(-0.5*(($A121-'Control Room'!$A$14-('Control Room'!$B$14-1)/2)/MAX(0.5,'Control Room'!$B$14/4))^2),1)*IF(AND($A121&gt;='Control Room'!$A$15,$A121&lt;'Control Room'!$A$15+'Control Room'!$B$15,'Process'!BO4=1),1+('Control Room'!$C$15-1)*EXP(-0.5*(($A121-'Control Room'!$A$15-('Control Room'!$B$15-1)/2)/MAX(0.5,'Control Room'!$B$15/4))^2),1)*IF(AND($A121&gt;='Control Room'!$A$16,$A121&lt;'Control Room'!$A$16+'Control Room'!$B$16,'Process'!BO5=1),1+('Control Room'!$C$16-1)*EXP(-0.5*(($A121-'Control Room'!$A$16-('Control Room'!$B$16-1)/2)/MAX(0.5,'Control Room'!$B$16/4))^2),1)</x:f>
        <x:v>1</x:v>
      </x:c>
      <x:c r="AA121" s="9" t="n">
        <x:f>MOD(AB120*16807,2147483647)</x:f>
        <x:v>643879371</x:v>
      </x:c>
      <x:c r="AB121" s="9" t="n">
        <x:f>MOD(AA121*16807,2147483647)</x:f>
        <x:v>510491164</x:v>
      </x:c>
      <x:c r="AC121" s="17" t="n">
        <x:f>IF('Control Room'!$B$5="Normal",'Control Room'!$B$7+'Control Room'!$D$7*SQRT(-2*LN(MAX(0.000000000001,AA121/2147483647)))*COS(2*PI()*AB121/2147483647),'Control Room'!$B$8+('Control Room'!$D$8-'Control Room'!$B$8)*AA121/2147483647)</x:f>
        <x:v>1010.7710389513002</x:v>
      </x:c>
      <x:c r="AD121" s="17" t="n">
        <x:f>IF('Control Room'!$B$5="Normal",'Control Room'!$B$7,('Control Room'!$B$8+'Control Room'!$D$8)/2)+'Control Room'!$B$9*(AD120-IF('Control Room'!$B$5="Normal",'Control Room'!$B$7,('Control Room'!$B$8+'Control Room'!$D$8)/2))+SQRT(1-'Control Room'!$B$9^2)*(AC121-IF('Control Room'!$B$5="Normal",'Control Room'!$B$7,('Control Room'!$B$8+'Control Room'!$D$8)/2))</x:f>
        <x:v>990.2502439202639</x:v>
      </x:c>
      <x:c r="AE121" s="17" t="n">
        <x:f>IF(AND($A121&gt;='Control Room'!$A$13,$A121&lt;'Control Room'!$A$13+'Control Room'!$B$13,'Process'!BP2=1),1+('Control Room'!$C$13-1)*EXP(-0.5*(($A121-'Control Room'!$A$13-('Control Room'!$B$13-1)/2)/MAX(0.5,'Control Room'!$B$13/4))^2),1)*IF(AND($A121&gt;='Control Room'!$A$14,$A121&lt;'Control Room'!$A$14+'Control Room'!$B$14,'Process'!BP3=1),1+('Control Room'!$C$14-1)*EXP(-0.5*(($A121-'Control Room'!$A$14-('Control Room'!$B$14-1)/2)/MAX(0.5,'Control Room'!$B$14/4))^2),1)*IF(AND($A121&gt;='Control Room'!$A$15,$A121&lt;'Control Room'!$A$15+'Control Room'!$B$15,'Process'!BP4=1),1+('Control Room'!$C$15-1)*EXP(-0.5*(($A121-'Control Room'!$A$15-('Control Room'!$B$15-1)/2)/MAX(0.5,'Control Room'!$B$15/4))^2),1)*IF(AND($A121&gt;='Control Room'!$A$16,$A121&lt;'Control Room'!$A$16+'Control Room'!$B$16,'Process'!BP5=1),1+('Control Room'!$C$16-1)*EXP(-0.5*(($A121-'Control Room'!$A$16-('Control Room'!$B$16-1)/2)/MAX(0.5,'Control Room'!$B$16/4))^2),1)</x:f>
        <x:v>1</x:v>
      </x:c>
      <x:c r="AF121" s="9" t="n">
        <x:f>MOD(AG120*16807,2147483647)</x:f>
        <x:v>1373690366</x:v>
      </x:c>
      <x:c r="AG121" s="9" t="n">
        <x:f>MOD(AF121*16807,2147483647)</x:f>
        <x:v>17292465</x:v>
      </x:c>
      <x:c r="AH121" s="17" t="n">
        <x:f>IF('Control Room'!$B$5="Normal",'Control Room'!$B$7+'Control Room'!$D$7*SQRT(-2*LN(MAX(0.000000000001,AF121/2147483647)))*COS(2*PI()*AG121/2147483647),'Control Room'!$B$8+('Control Room'!$D$8-'Control Room'!$B$8)*AF121/2147483647)</x:f>
        <x:v>1084.9681216005433</x:v>
      </x:c>
      <x:c r="AI121" s="17" t="n">
        <x:f>IF('Control Room'!$B$5="Normal",'Control Room'!$B$7,('Control Room'!$B$8+'Control Room'!$D$8)/2)+'Control Room'!$B$9*(AI120-IF('Control Room'!$B$5="Normal",'Control Room'!$B$7,('Control Room'!$B$8+'Control Room'!$D$8)/2))+SQRT(1-'Control Room'!$B$9^2)*(AH121-IF('Control Room'!$B$5="Normal",'Control Room'!$B$7,('Control Room'!$B$8+'Control Room'!$D$8)/2))</x:f>
        <x:v>1107.1566405264755</x:v>
      </x:c>
      <x:c r="AJ121" s="17" t="n">
        <x:f>IF(AND($A121&gt;='Control Room'!$A$13,$A121&lt;'Control Room'!$A$13+'Control Room'!$B$13,'Process'!BQ2=1),1+('Control Room'!$C$13-1)*EXP(-0.5*(($A121-'Control Room'!$A$13-('Control Room'!$B$13-1)/2)/MAX(0.5,'Control Room'!$B$13/4))^2),1)*IF(AND($A121&gt;='Control Room'!$A$14,$A121&lt;'Control Room'!$A$14+'Control Room'!$B$14,'Process'!BQ3=1),1+('Control Room'!$C$14-1)*EXP(-0.5*(($A121-'Control Room'!$A$14-('Control Room'!$B$14-1)/2)/MAX(0.5,'Control Room'!$B$14/4))^2),1)*IF(AND($A121&gt;='Control Room'!$A$15,$A121&lt;'Control Room'!$A$15+'Control Room'!$B$15,'Process'!BQ4=1),1+('Control Room'!$C$15-1)*EXP(-0.5*(($A121-'Control Room'!$A$15-('Control Room'!$B$15-1)/2)/MAX(0.5,'Control Room'!$B$15/4))^2),1)*IF(AND($A121&gt;='Control Room'!$A$16,$A121&lt;'Control Room'!$A$16+'Control Room'!$B$16,'Process'!BQ5=1),1+('Control Room'!$C$16-1)*EXP(-0.5*(($A121-'Control Room'!$A$16-('Control Room'!$B$16-1)/2)/MAX(0.5,'Control Room'!$B$16/4))^2),1)</x:f>
        <x:v>1</x:v>
      </x:c>
      <x:c r="AK121" s="9" t="n">
        <x:f>MOD(AL120*16807,2147483647)</x:f>
        <x:v>2103501361</x:v>
      </x:c>
      <x:c r="AL121" s="9" t="n">
        <x:f>MOD(AK121*16807,2147483647)</x:f>
        <x:v>1671577413</x:v>
      </x:c>
      <x:c r="AM121" s="17" t="n">
        <x:f>IF('Control Room'!$B$5="Normal",'Control Room'!$B$7+'Control Room'!$D$7*SQRT(-2*LN(MAX(0.000000000001,AK121/2147483647)))*COS(2*PI()*AL121/2147483647),'Control Room'!$B$8+('Control Room'!$D$8-'Control Room'!$B$8)*AK121/2147483647)</x:f>
        <x:v>1003.2486073848854</x:v>
      </x:c>
      <x:c r="AN121" s="17" t="n">
        <x:f>IF('Control Room'!$B$5="Normal",'Control Room'!$B$7,('Control Room'!$B$8+'Control Room'!$D$8)/2)+'Control Room'!$B$9*(AN120-IF('Control Room'!$B$5="Normal",'Control Room'!$B$7,('Control Room'!$B$8+'Control Room'!$D$8)/2))+SQRT(1-'Control Room'!$B$9^2)*(AM121-IF('Control Room'!$B$5="Normal",'Control Room'!$B$7,('Control Room'!$B$8+'Control Room'!$D$8)/2))</x:f>
        <x:v>1011.683080462314</x:v>
      </x:c>
      <x:c r="AO121" s="17" t="n">
        <x:f>IF(AND($A121&gt;='Control Room'!$A$13,$A121&lt;'Control Room'!$A$13+'Control Room'!$B$13,'Process'!BR2=1),1+('Control Room'!$C$13-1)*EXP(-0.5*(($A121-'Control Room'!$A$13-('Control Room'!$B$13-1)/2)/MAX(0.5,'Control Room'!$B$13/4))^2),1)*IF(AND($A121&gt;='Control Room'!$A$14,$A121&lt;'Control Room'!$A$14+'Control Room'!$B$14,'Process'!BR3=1),1+('Control Room'!$C$14-1)*EXP(-0.5*(($A121-'Control Room'!$A$14-('Control Room'!$B$14-1)/2)/MAX(0.5,'Control Room'!$B$14/4))^2),1)*IF(AND($A121&gt;='Control Room'!$A$15,$A121&lt;'Control Room'!$A$15+'Control Room'!$B$15,'Process'!BR4=1),1+('Control Room'!$C$15-1)*EXP(-0.5*(($A121-'Control Room'!$A$15-('Control Room'!$B$15-1)/2)/MAX(0.5,'Control Room'!$B$15/4))^2),1)*IF(AND($A121&gt;='Control Room'!$A$16,$A121&lt;'Control Room'!$A$16+'Control Room'!$B$16,'Process'!BR5=1),1+('Control Room'!$C$16-1)*EXP(-0.5*(($A121-'Control Room'!$A$16-('Control Room'!$B$16-1)/2)/MAX(0.5,'Control Room'!$B$16/4))^2),1)</x:f>
        <x:v>1</x:v>
      </x:c>
      <x:c r="AP121" s="9" t="n">
        <x:f>MOD(AQ120*16807,2147483647)</x:f>
        <x:v>685828709</x:v>
      </x:c>
      <x:c r="AQ121" s="9" t="n">
        <x:f>MOD(AP121*16807,2147483647)</x:f>
        <x:v>1178378714</x:v>
      </x:c>
      <x:c r="AR121" s="17" t="n">
        <x:f>IF('Control Room'!$B$5="Normal",'Control Room'!$B$7+'Control Room'!$D$7*SQRT(-2*LN(MAX(0.000000000001,AP121/2147483647)))*COS(2*PI()*AQ121/2147483647),'Control Room'!$B$8+('Control Room'!$D$8-'Control Room'!$B$8)*AP121/2147483647)</x:f>
        <x:v>870.3411621216084</x:v>
      </x:c>
      <x:c r="AS121" s="17" t="n">
        <x:f>IF('Control Room'!$B$5="Normal",'Control Room'!$B$7,('Control Room'!$B$8+'Control Room'!$D$8)/2)+'Control Room'!$B$9*(AS120-IF('Control Room'!$B$5="Normal",'Control Room'!$B$7,('Control Room'!$B$8+'Control Room'!$D$8)/2))+SQRT(1-'Control Room'!$B$9^2)*(AR121-IF('Control Room'!$B$5="Normal",'Control Room'!$B$7,('Control Room'!$B$8+'Control Room'!$D$8)/2))</x:f>
        <x:v>968.0235058473414</x:v>
      </x:c>
      <x:c r="AT121" s="17" t="n">
        <x:f>IF(AND($A121&gt;='Control Room'!$A$13,$A121&lt;'Control Room'!$A$13+'Control Room'!$B$13,'Process'!BS2=1),1+('Control Room'!$C$13-1)*EXP(-0.5*(($A121-'Control Room'!$A$13-('Control Room'!$B$13-1)/2)/MAX(0.5,'Control Room'!$B$13/4))^2),1)*IF(AND($A121&gt;='Control Room'!$A$14,$A121&lt;'Control Room'!$A$14+'Control Room'!$B$14,'Process'!BS3=1),1+('Control Room'!$C$14-1)*EXP(-0.5*(($A121-'Control Room'!$A$14-('Control Room'!$B$14-1)/2)/MAX(0.5,'Control Room'!$B$14/4))^2),1)*IF(AND($A121&gt;='Control Room'!$A$15,$A121&lt;'Control Room'!$A$15+'Control Room'!$B$15,'Process'!BS4=1),1+('Control Room'!$C$15-1)*EXP(-0.5*(($A121-'Control Room'!$A$15-('Control Room'!$B$15-1)/2)/MAX(0.5,'Control Room'!$B$15/4))^2),1)*IF(AND($A121&gt;='Control Room'!$A$16,$A121&lt;'Control Room'!$A$16+'Control Room'!$B$16,'Process'!BS5=1),1+('Control Room'!$C$16-1)*EXP(-0.5*(($A121-'Control Room'!$A$16-('Control Room'!$B$16-1)/2)/MAX(0.5,'Control Room'!$B$16/4))^2),1)</x:f>
        <x:v>1</x:v>
      </x:c>
      <x:c r="AU121" s="9" t="n">
        <x:f>MOD(AV120*16807,2147483647)</x:f>
        <x:v>1415639704</x:v>
      </x:c>
      <x:c r="AV121" s="9" t="n">
        <x:f>MOD(AU121*16807,2147483647)</x:f>
        <x:v>685180015</x:v>
      </x:c>
      <x:c r="AW121" s="17" t="n">
        <x:f>IF('Control Room'!$B$5="Normal",'Control Room'!$B$7+'Control Room'!$D$7*SQRT(-2*LN(MAX(0.000000000001,AU121/2147483647)))*COS(2*PI()*AV121/2147483647),'Control Room'!$B$8+('Control Room'!$D$8-'Control Room'!$B$8)*AU121/2147483647)</x:f>
        <x:v>965.4554702203848</x:v>
      </x:c>
      <x:c r="AX121" s="17" t="n">
        <x:f>IF('Control Room'!$B$5="Normal",'Control Room'!$B$7,('Control Room'!$B$8+'Control Room'!$D$8)/2)+'Control Room'!$B$9*(AX120-IF('Control Room'!$B$5="Normal",'Control Room'!$B$7,('Control Room'!$B$8+'Control Room'!$D$8)/2))+SQRT(1-'Control Room'!$B$9^2)*(AW121-IF('Control Room'!$B$5="Normal",'Control Room'!$B$7,('Control Room'!$B$8+'Control Room'!$D$8)/2))</x:f>
        <x:v>1055.8923288307174</x:v>
      </x:c>
      <x:c r="AY121" s="17" t="n">
        <x:f>IF(AND($A121&gt;='Control Room'!$A$13,$A121&lt;'Control Room'!$A$13+'Control Room'!$B$13,'Process'!BT2=1),1+('Control Room'!$C$13-1)*EXP(-0.5*(($A121-'Control Room'!$A$13-('Control Room'!$B$13-1)/2)/MAX(0.5,'Control Room'!$B$13/4))^2),1)*IF(AND($A121&gt;='Control Room'!$A$14,$A121&lt;'Control Room'!$A$14+'Control Room'!$B$14,'Process'!BT3=1),1+('Control Room'!$C$14-1)*EXP(-0.5*(($A121-'Control Room'!$A$14-('Control Room'!$B$14-1)/2)/MAX(0.5,'Control Room'!$B$14/4))^2),1)*IF(AND($A121&gt;='Control Room'!$A$15,$A121&lt;'Control Room'!$A$15+'Control Room'!$B$15,'Process'!BT4=1),1+('Control Room'!$C$15-1)*EXP(-0.5*(($A121-'Control Room'!$A$15-('Control Room'!$B$15-1)/2)/MAX(0.5,'Control Room'!$B$15/4))^2),1)*IF(AND($A121&gt;='Control Room'!$A$16,$A121&lt;'Control Room'!$A$16+'Control Room'!$B$16,'Process'!BT5=1),1+('Control Room'!$C$16-1)*EXP(-0.5*(($A121-'Control Room'!$A$16-('Control Room'!$B$16-1)/2)/MAX(0.5,'Control Room'!$B$16/4))^2),1)</x:f>
        <x:v>1</x:v>
      </x:c>
      <x:c r="AZ121" s="9" t="n">
        <x:f>MOD(BA120*16807,2147483647)</x:f>
        <x:v>2145450699</x:v>
      </x:c>
      <x:c r="BA121" s="9" t="n">
        <x:f>MOD(AZ121*16807,2147483647)</x:f>
        <x:v>191981316</x:v>
      </x:c>
      <x:c r="BB121" s="17" t="n">
        <x:f>IF('Control Room'!$B$5="Normal",'Control Room'!$B$7+'Control Room'!$D$7*SQRT(-2*LN(MAX(0.000000000001,AZ121/2147483647)))*COS(2*PI()*BA121/2147483647),'Control Room'!$B$8+('Control Room'!$D$8-'Control Room'!$B$8)*AZ121/2147483647)</x:f>
        <x:v>1003.3151819738889</x:v>
      </x:c>
      <x:c r="BC121" s="17" t="n">
        <x:f>IF('Control Room'!$B$5="Normal",'Control Room'!$B$7,('Control Room'!$B$8+'Control Room'!$D$8)/2)+'Control Room'!$B$9*(BC120-IF('Control Room'!$B$5="Normal",'Control Room'!$B$7,('Control Room'!$B$8+'Control Room'!$D$8)/2))+SQRT(1-'Control Room'!$B$9^2)*(BB121-IF('Control Room'!$B$5="Normal",'Control Room'!$B$7,('Control Room'!$B$8+'Control Room'!$D$8)/2))</x:f>
        <x:v>1066.2093055161583</x:v>
      </x:c>
      <x:c r="BD121" s="17" t="n">
        <x:f>IF(AND($A121&gt;='Control Room'!$A$13,$A121&lt;'Control Room'!$A$13+'Control Room'!$B$13,'Process'!BU2=1),1+('Control Room'!$C$13-1)*EXP(-0.5*(($A121-'Control Room'!$A$13-('Control Room'!$B$13-1)/2)/MAX(0.5,'Control Room'!$B$13/4))^2),1)*IF(AND($A121&gt;='Control Room'!$A$14,$A121&lt;'Control Room'!$A$14+'Control Room'!$B$14,'Process'!BU3=1),1+('Control Room'!$C$14-1)*EXP(-0.5*(($A121-'Control Room'!$A$14-('Control Room'!$B$14-1)/2)/MAX(0.5,'Control Room'!$B$14/4))^2),1)*IF(AND($A121&gt;='Control Room'!$A$15,$A121&lt;'Control Room'!$A$15+'Control Room'!$B$15,'Process'!BU4=1),1+('Control Room'!$C$15-1)*EXP(-0.5*(($A121-'Control Room'!$A$15-('Control Room'!$B$15-1)/2)/MAX(0.5,'Control Room'!$B$15/4))^2),1)*IF(AND($A121&gt;='Control Room'!$A$16,$A121&lt;'Control Room'!$A$16+'Control Room'!$B$16,'Process'!BU5=1),1+('Control Room'!$C$16-1)*EXP(-0.5*(($A121-'Control Room'!$A$16-('Control Room'!$B$16-1)/2)/MAX(0.5,'Control Room'!$B$16/4))^2),1)</x:f>
        <x:v>1</x:v>
      </x:c>
      <x:c r="BE121" s="9" t="n">
        <x:f>MOD(BF120*16807,2147483647)</x:f>
        <x:v>727778047</x:v>
      </x:c>
      <x:c r="BF121" s="9" t="n">
        <x:f>MOD(BE121*16807,2147483647)</x:f>
        <x:v>1846266264</x:v>
      </x:c>
      <x:c r="BG121" s="17" t="n">
        <x:f>IF('Control Room'!$B$5="Normal",'Control Room'!$B$7+'Control Room'!$D$7*SQRT(-2*LN(MAX(0.000000000001,BE121/2147483647)))*COS(2*PI()*BF121/2147483647),'Control Room'!$B$8+('Control Room'!$D$8-'Control Room'!$B$8)*BE121/2147483647)</x:f>
        <x:v>1084.2236911608431</x:v>
      </x:c>
      <x:c r="BH121" s="17" t="n">
        <x:f>IF('Control Room'!$B$5="Normal",'Control Room'!$B$7,('Control Room'!$B$8+'Control Room'!$D$8)/2)+'Control Room'!$B$9*(BH120-IF('Control Room'!$B$5="Normal",'Control Room'!$B$7,('Control Room'!$B$8+'Control Room'!$D$8)/2))+SQRT(1-'Control Room'!$B$9^2)*(BG121-IF('Control Room'!$B$5="Normal",'Control Room'!$B$7,('Control Room'!$B$8+'Control Room'!$D$8)/2))</x:f>
        <x:v>1132.3123746830406</x:v>
      </x:c>
      <x:c r="BI121" s="17" t="n">
        <x:f>IF(AND($A121&gt;='Control Room'!$A$13,$A121&lt;'Control Room'!$A$13+'Control Room'!$B$13,'Process'!BV2=1),1+('Control Room'!$C$13-1)*EXP(-0.5*(($A121-'Control Room'!$A$13-('Control Room'!$B$13-1)/2)/MAX(0.5,'Control Room'!$B$13/4))^2),1)*IF(AND($A121&gt;='Control Room'!$A$14,$A121&lt;'Control Room'!$A$14+'Control Room'!$B$14,'Process'!BV3=1),1+('Control Room'!$C$14-1)*EXP(-0.5*(($A121-'Control Room'!$A$14-('Control Room'!$B$14-1)/2)/MAX(0.5,'Control Room'!$B$14/4))^2),1)*IF(AND($A121&gt;='Control Room'!$A$15,$A121&lt;'Control Room'!$A$15+'Control Room'!$B$15,'Process'!BV4=1),1+('Control Room'!$C$15-1)*EXP(-0.5*(($A121-'Control Room'!$A$15-('Control Room'!$B$15-1)/2)/MAX(0.5,'Control Room'!$B$15/4))^2),1)*IF(AND($A121&gt;='Control Room'!$A$16,$A121&lt;'Control Room'!$A$16+'Control Room'!$B$16,'Process'!BV5=1),1+('Control Room'!$C$16-1)*EXP(-0.5*(($A121-'Control Room'!$A$16-('Control Room'!$B$16-1)/2)/MAX(0.5,'Control Room'!$B$16/4))^2),1)</x:f>
        <x:v>1</x:v>
      </x:c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Z121" t="str">
        <x:f>IF('Data'!A121="","",TEXT('Data'!A121,"mm-dd"))</x:f>
        <x:v>03-01</x:v>
      </x:c>
    </x:row>
    <x:row r="122" ht="21" customHeight="1">
      <x:c r="A122" s="15" t="n">
        <x:f>'Control Room'!$B$1+120</x:f>
        <x:v>73111</x:v>
      </x:c>
      <x:c r="B122" s="9" t="n">
        <x:f>MOD(C121*16807,2147483647)</x:f>
        <x:v>146106948</x:v>
      </x:c>
      <x:c r="C122" s="9" t="n">
        <x:f>MOD(B122*16807,2147483647)</x:f>
        <x:v>1045666515</x:v>
      </x:c>
      <x:c r="D122" s="17" t="n">
        <x:f>IF('Control Room'!$B$5="Normal",'Control Room'!$B$7+'Control Room'!$D$7*SQRT(-2*LN(MAX(0.000000000001,B122/2147483647)))*COS(2*PI()*C122/2147483647),'Control Room'!$B$8+('Control Room'!$D$8-'Control Room'!$B$8)*B122/2147483647)</x:f>
        <x:v>792.0389057640721</x:v>
      </x:c>
      <x:c r="E122" s="17" t="n">
        <x:f>IF('Control Room'!$B$5="Normal",'Control Room'!$B$7,('Control Room'!$B$8+'Control Room'!$D$8)/2)+'Control Room'!$B$9*(E121-IF('Control Room'!$B$5="Normal",'Control Room'!$B$7,('Control Room'!$B$8+'Control Room'!$D$8)/2))+SQRT(1-'Control Room'!$B$9^2)*(D122-IF('Control Room'!$B$5="Normal",'Control Room'!$B$7,('Control Room'!$B$8+'Control Room'!$D$8)/2))</x:f>
        <x:v>727.9792107363892</x:v>
      </x:c>
      <x:c r="F122" s="17" t="n">
        <x:f>IF(AND($A122&gt;='Control Room'!$A$13,$A122&lt;'Control Room'!$A$13+'Control Room'!$B$13,'Process'!BK2=1),1+('Control Room'!$C$13-1)*EXP(-0.5*(($A122-'Control Room'!$A$13-('Control Room'!$B$13-1)/2)/MAX(0.5,'Control Room'!$B$13/4))^2),1)*IF(AND($A122&gt;='Control Room'!$A$14,$A122&lt;'Control Room'!$A$14+'Control Room'!$B$14,'Process'!BK3=1),1+('Control Room'!$C$14-1)*EXP(-0.5*(($A122-'Control Room'!$A$14-('Control Room'!$B$14-1)/2)/MAX(0.5,'Control Room'!$B$14/4))^2),1)*IF(AND($A122&gt;='Control Room'!$A$15,$A122&lt;'Control Room'!$A$15+'Control Room'!$B$15,'Process'!BK4=1),1+('Control Room'!$C$15-1)*EXP(-0.5*(($A122-'Control Room'!$A$15-('Control Room'!$B$15-1)/2)/MAX(0.5,'Control Room'!$B$15/4))^2),1)*IF(AND($A122&gt;='Control Room'!$A$16,$A122&lt;'Control Room'!$A$16+'Control Room'!$B$16,'Process'!BK5=1),1+('Control Room'!$C$16-1)*EXP(-0.5*(($A122-'Control Room'!$A$16-('Control Room'!$B$16-1)/2)/MAX(0.5,'Control Room'!$B$16/4))^2),1)</x:f>
        <x:v>1</x:v>
      </x:c>
      <x:c r="G122" s="9" t="n">
        <x:f>MOD(H121*16807,2147483647)</x:f>
        <x:v>242450275</x:v>
      </x:c>
      <x:c r="H122" s="9" t="n">
        <x:f>MOD(G122*16807,2147483647)</x:f>
        <x:v>1085293566</x:v>
      </x:c>
      <x:c r="I122" s="17" t="n">
        <x:f>IF('Control Room'!$B$5="Normal",'Control Room'!$B$7+'Control Room'!$D$7*SQRT(-2*LN(MAX(0.000000000001,G122/2147483647)))*COS(2*PI()*H122/2147483647),'Control Room'!$B$8+('Control Room'!$D$8-'Control Room'!$B$8)*G122/2147483647)</x:f>
        <x:v>812.1277381040051</x:v>
      </x:c>
      <x:c r="J122" s="17" t="n">
        <x:f>IF('Control Room'!$B$5="Normal",'Control Room'!$B$7,('Control Room'!$B$8+'Control Room'!$D$8)/2)+'Control Room'!$B$9*(J121-IF('Control Room'!$B$5="Normal",'Control Room'!$B$7,('Control Room'!$B$8+'Control Room'!$D$8)/2))+SQRT(1-'Control Room'!$B$9^2)*(I122-IF('Control Room'!$B$5="Normal",'Control Room'!$B$7,('Control Room'!$B$8+'Control Room'!$D$8)/2))</x:f>
        <x:v>897.3366308043327</x:v>
      </x:c>
      <x:c r="K122" s="17" t="n">
        <x:f>IF(AND($A122&gt;='Control Room'!$A$13,$A122&lt;'Control Room'!$A$13+'Control Room'!$B$13,'Process'!BL2=1),1+('Control Room'!$C$13-1)*EXP(-0.5*(($A122-'Control Room'!$A$13-('Control Room'!$B$13-1)/2)/MAX(0.5,'Control Room'!$B$13/4))^2),1)*IF(AND($A122&gt;='Control Room'!$A$14,$A122&lt;'Control Room'!$A$14+'Control Room'!$B$14,'Process'!BL3=1),1+('Control Room'!$C$14-1)*EXP(-0.5*(($A122-'Control Room'!$A$14-('Control Room'!$B$14-1)/2)/MAX(0.5,'Control Room'!$B$14/4))^2),1)*IF(AND($A122&gt;='Control Room'!$A$15,$A122&lt;'Control Room'!$A$15+'Control Room'!$B$15,'Process'!BL4=1),1+('Control Room'!$C$15-1)*EXP(-0.5*(($A122-'Control Room'!$A$15-('Control Room'!$B$15-1)/2)/MAX(0.5,'Control Room'!$B$15/4))^2),1)*IF(AND($A122&gt;='Control Room'!$A$16,$A122&lt;'Control Room'!$A$16+'Control Room'!$B$16,'Process'!BL5=1),1+('Control Room'!$C$16-1)*EXP(-0.5*(($A122-'Control Room'!$A$16-('Control Room'!$B$16-1)/2)/MAX(0.5,'Control Room'!$B$16/4))^2),1)</x:f>
        <x:v>1</x:v>
      </x:c>
      <x:c r="L122" s="9" t="n">
        <x:f>MOD(M121*16807,2147483647)</x:f>
        <x:v>338793602</x:v>
      </x:c>
      <x:c r="M122" s="9" t="n">
        <x:f>MOD(L122*16807,2147483647)</x:f>
        <x:v>1124920617</x:v>
      </x:c>
      <x:c r="N122" s="17" t="n">
        <x:f>IF('Control Room'!$B$5="Normal",'Control Room'!$B$7+'Control Room'!$D$7*SQRT(-2*LN(MAX(0.000000000001,L122/2147483647)))*COS(2*PI()*M122/2147483647),'Control Room'!$B$8+('Control Room'!$D$8-'Control Room'!$B$8)*L122/2147483647)</x:f>
        <x:v>828.9733273832035</x:v>
      </x:c>
      <x:c r="O122" s="17" t="n">
        <x:f>IF('Control Room'!$B$5="Normal",'Control Room'!$B$7,('Control Room'!$B$8+'Control Room'!$D$8)/2)+'Control Room'!$B$9*(O121-IF('Control Room'!$B$5="Normal",'Control Room'!$B$7,('Control Room'!$B$8+'Control Room'!$D$8)/2))+SQRT(1-'Control Room'!$B$9^2)*(N122-IF('Control Room'!$B$5="Normal",'Control Room'!$B$7,('Control Room'!$B$8+'Control Room'!$D$8)/2))</x:f>
        <x:v>880.8510472737456</x:v>
      </x:c>
      <x:c r="P122" s="17" t="n">
        <x:f>IF(AND($A122&gt;='Control Room'!$A$13,$A122&lt;'Control Room'!$A$13+'Control Room'!$B$13,'Process'!BM2=1),1+('Control Room'!$C$13-1)*EXP(-0.5*(($A122-'Control Room'!$A$13-('Control Room'!$B$13-1)/2)/MAX(0.5,'Control Room'!$B$13/4))^2),1)*IF(AND($A122&gt;='Control Room'!$A$14,$A122&lt;'Control Room'!$A$14+'Control Room'!$B$14,'Process'!BM3=1),1+('Control Room'!$C$14-1)*EXP(-0.5*(($A122-'Control Room'!$A$14-('Control Room'!$B$14-1)/2)/MAX(0.5,'Control Room'!$B$14/4))^2),1)*IF(AND($A122&gt;='Control Room'!$A$15,$A122&lt;'Control Room'!$A$15+'Control Room'!$B$15,'Process'!BM4=1),1+('Control Room'!$C$15-1)*EXP(-0.5*(($A122-'Control Room'!$A$15-('Control Room'!$B$15-1)/2)/MAX(0.5,'Control Room'!$B$15/4))^2),1)*IF(AND($A122&gt;='Control Room'!$A$16,$A122&lt;'Control Room'!$A$16+'Control Room'!$B$16,'Process'!BM5=1),1+('Control Room'!$C$16-1)*EXP(-0.5*(($A122-'Control Room'!$A$16-('Control Room'!$B$16-1)/2)/MAX(0.5,'Control Room'!$B$16/4))^2),1)</x:f>
        <x:v>1</x:v>
      </x:c>
      <x:c r="Q122" s="9" t="n">
        <x:f>MOD(R121*16807,2147483647)</x:f>
        <x:v>435136929</x:v>
      </x:c>
      <x:c r="R122" s="9" t="n">
        <x:f>MOD(Q122*16807,2147483647)</x:f>
        <x:v>1164547668</x:v>
      </x:c>
      <x:c r="S122" s="17" t="n">
        <x:f>IF('Control Room'!$B$5="Normal",'Control Room'!$B$7+'Control Room'!$D$7*SQRT(-2*LN(MAX(0.000000000001,Q122/2147483647)))*COS(2*PI()*R122/2147483647),'Control Room'!$B$8+('Control Room'!$D$8-'Control Room'!$B$8)*Q122/2147483647)</x:f>
        <x:v>844.8272304463496</x:v>
      </x:c>
      <x:c r="T122" s="17" t="n">
        <x:f>IF('Control Room'!$B$5="Normal",'Control Room'!$B$7,('Control Room'!$B$8+'Control Room'!$D$8)/2)+'Control Room'!$B$9*(T121-IF('Control Room'!$B$5="Normal",'Control Room'!$B$7,('Control Room'!$B$8+'Control Room'!$D$8)/2))+SQRT(1-'Control Room'!$B$9^2)*(S122-IF('Control Room'!$B$5="Normal",'Control Room'!$B$7,('Control Room'!$B$8+'Control Room'!$D$8)/2))</x:f>
        <x:v>918.3071823615921</x:v>
      </x:c>
      <x:c r="U122" s="17" t="n">
        <x:f>IF(AND($A122&gt;='Control Room'!$A$13,$A122&lt;'Control Room'!$A$13+'Control Room'!$B$13,'Process'!BN2=1),1+('Control Room'!$C$13-1)*EXP(-0.5*(($A122-'Control Room'!$A$13-('Control Room'!$B$13-1)/2)/MAX(0.5,'Control Room'!$B$13/4))^2),1)*IF(AND($A122&gt;='Control Room'!$A$14,$A122&lt;'Control Room'!$A$14+'Control Room'!$B$14,'Process'!BN3=1),1+('Control Room'!$C$14-1)*EXP(-0.5*(($A122-'Control Room'!$A$14-('Control Room'!$B$14-1)/2)/MAX(0.5,'Control Room'!$B$14/4))^2),1)*IF(AND($A122&gt;='Control Room'!$A$15,$A122&lt;'Control Room'!$A$15+'Control Room'!$B$15,'Process'!BN4=1),1+('Control Room'!$C$15-1)*EXP(-0.5*(($A122-'Control Room'!$A$15-('Control Room'!$B$15-1)/2)/MAX(0.5,'Control Room'!$B$15/4))^2),1)*IF(AND($A122&gt;='Control Room'!$A$16,$A122&lt;'Control Room'!$A$16+'Control Room'!$B$16,'Process'!BN5=1),1+('Control Room'!$C$16-1)*EXP(-0.5*(($A122-'Control Room'!$A$16-('Control Room'!$B$16-1)/2)/MAX(0.5,'Control Room'!$B$16/4))^2),1)</x:f>
        <x:v>1</x:v>
      </x:c>
      <x:c r="V122" s="9" t="n">
        <x:f>MOD(W121*16807,2147483647)</x:f>
        <x:v>531480256</x:v>
      </x:c>
      <x:c r="W122" s="9" t="n">
        <x:f>MOD(V122*16807,2147483647)</x:f>
        <x:v>1204174719</x:v>
      </x:c>
      <x:c r="X122" s="17" t="n">
        <x:f>IF('Control Room'!$B$5="Normal",'Control Room'!$B$7+'Control Room'!$D$7*SQRT(-2*LN(MAX(0.000000000001,V122/2147483647)))*COS(2*PI()*W122/2147483647),'Control Room'!$B$8+('Control Room'!$D$8-'Control Room'!$B$8)*V122/2147483647)</x:f>
        <x:v>860.415702603</x:v>
      </x:c>
      <x:c r="Y122" s="17" t="n">
        <x:f>IF('Control Room'!$B$5="Normal",'Control Room'!$B$7,('Control Room'!$B$8+'Control Room'!$D$8)/2)+'Control Room'!$B$9*(Y121-IF('Control Room'!$B$5="Normal",'Control Room'!$B$7,('Control Room'!$B$8+'Control Room'!$D$8)/2))+SQRT(1-'Control Room'!$B$9^2)*(X122-IF('Control Room'!$B$5="Normal",'Control Room'!$B$7,('Control Room'!$B$8+'Control Room'!$D$8)/2))</x:f>
        <x:v>853.0571632654753</x:v>
      </x:c>
      <x:c r="Z122" s="17" t="n">
        <x:f>IF(AND($A122&gt;='Control Room'!$A$13,$A122&lt;'Control Room'!$A$13+'Control Room'!$B$13,'Process'!BO2=1),1+('Control Room'!$C$13-1)*EXP(-0.5*(($A122-'Control Room'!$A$13-('Control Room'!$B$13-1)/2)/MAX(0.5,'Control Room'!$B$13/4))^2),1)*IF(AND($A122&gt;='Control Room'!$A$14,$A122&lt;'Control Room'!$A$14+'Control Room'!$B$14,'Process'!BO3=1),1+('Control Room'!$C$14-1)*EXP(-0.5*(($A122-'Control Room'!$A$14-('Control Room'!$B$14-1)/2)/MAX(0.5,'Control Room'!$B$14/4))^2),1)*IF(AND($A122&gt;='Control Room'!$A$15,$A122&lt;'Control Room'!$A$15+'Control Room'!$B$15,'Process'!BO4=1),1+('Control Room'!$C$15-1)*EXP(-0.5*(($A122-'Control Room'!$A$15-('Control Room'!$B$15-1)/2)/MAX(0.5,'Control Room'!$B$15/4))^2),1)*IF(AND($A122&gt;='Control Room'!$A$16,$A122&lt;'Control Room'!$A$16+'Control Room'!$B$16,'Process'!BO5=1),1+('Control Room'!$C$16-1)*EXP(-0.5*(($A122-'Control Room'!$A$16-('Control Room'!$B$16-1)/2)/MAX(0.5,'Control Room'!$B$16/4))^2),1)</x:f>
        <x:v>1</x:v>
      </x:c>
      <x:c r="AA122" s="9" t="n">
        <x:f>MOD(AB121*16807,2147483647)</x:f>
        <x:v>627823583</x:v>
      </x:c>
      <x:c r="AB122" s="9" t="n">
        <x:f>MOD(AA122*16807,2147483647)</x:f>
        <x:v>1243801770</x:v>
      </x:c>
      <x:c r="AC122" s="17" t="n">
        <x:f>IF('Control Room'!$B$5="Normal",'Control Room'!$B$7+'Control Room'!$D$7*SQRT(-2*LN(MAX(0.000000000001,AA122/2147483647)))*COS(2*PI()*AB122/2147483647),'Control Room'!$B$8+('Control Room'!$D$8-'Control Room'!$B$8)*AA122/2147483647)</x:f>
        <x:v>875.9670937789392</x:v>
      </x:c>
      <x:c r="AD122" s="17" t="n">
        <x:f>IF('Control Room'!$B$5="Normal",'Control Room'!$B$7,('Control Room'!$B$8+'Control Room'!$D$8)/2)+'Control Room'!$B$9*(AD121-IF('Control Room'!$B$5="Normal",'Control Room'!$B$7,('Control Room'!$B$8+'Control Room'!$D$8)/2))+SQRT(1-'Control Room'!$B$9^2)*(AC122-IF('Control Room'!$B$5="Normal",'Control Room'!$B$7,('Control Room'!$B$8+'Control Room'!$D$8)/2))</x:f>
        <x:v>914.7779384968629</x:v>
      </x:c>
      <x:c r="AE122" s="17" t="n">
        <x:f>IF(AND($A122&gt;='Control Room'!$A$13,$A122&lt;'Control Room'!$A$13+'Control Room'!$B$13,'Process'!BP2=1),1+('Control Room'!$C$13-1)*EXP(-0.5*(($A122-'Control Room'!$A$13-('Control Room'!$B$13-1)/2)/MAX(0.5,'Control Room'!$B$13/4))^2),1)*IF(AND($A122&gt;='Control Room'!$A$14,$A122&lt;'Control Room'!$A$14+'Control Room'!$B$14,'Process'!BP3=1),1+('Control Room'!$C$14-1)*EXP(-0.5*(($A122-'Control Room'!$A$14-('Control Room'!$B$14-1)/2)/MAX(0.5,'Control Room'!$B$14/4))^2),1)*IF(AND($A122&gt;='Control Room'!$A$15,$A122&lt;'Control Room'!$A$15+'Control Room'!$B$15,'Process'!BP4=1),1+('Control Room'!$C$15-1)*EXP(-0.5*(($A122-'Control Room'!$A$15-('Control Room'!$B$15-1)/2)/MAX(0.5,'Control Room'!$B$15/4))^2),1)*IF(AND($A122&gt;='Control Room'!$A$16,$A122&lt;'Control Room'!$A$16+'Control Room'!$B$16,'Process'!BP5=1),1+('Control Room'!$C$16-1)*EXP(-0.5*(($A122-'Control Room'!$A$16-('Control Room'!$B$16-1)/2)/MAX(0.5,'Control Room'!$B$16/4))^2),1)</x:f>
        <x:v>1</x:v>
      </x:c>
      <x:c r="AF122" s="9" t="n">
        <x:f>MOD(AG121*16807,2147483647)</x:f>
        <x:v>724166910</x:v>
      </x:c>
      <x:c r="AG122" s="9" t="n">
        <x:f>MOD(AF122*16807,2147483647)</x:f>
        <x:v>1283428821</x:v>
      </x:c>
      <x:c r="AH122" s="17" t="n">
        <x:f>IF('Control Room'!$B$5="Normal",'Control Room'!$B$7+'Control Room'!$D$7*SQRT(-2*LN(MAX(0.000000000001,AF122/2147483647)))*COS(2*PI()*AG122/2147483647),'Control Room'!$B$8+('Control Room'!$D$8-'Control Room'!$B$8)*AF122/2147483647)</x:f>
        <x:v>891.4983478435727</x:v>
      </x:c>
      <x:c r="AI122" s="17" t="n">
        <x:f>IF('Control Room'!$B$5="Normal",'Control Room'!$B$7,('Control Room'!$B$8+'Control Room'!$D$8)/2)+'Control Room'!$B$9*(AI121-IF('Control Room'!$B$5="Normal",'Control Room'!$B$7,('Control Room'!$B$8+'Control Room'!$D$8)/2))+SQRT(1-'Control Room'!$B$9^2)*(AH122-IF('Control Room'!$B$5="Normal",'Control Room'!$B$7,('Control Room'!$B$8+'Control Room'!$D$8)/2))</x:f>
        <x:v>1015.6840684683218</x:v>
      </x:c>
      <x:c r="AJ122" s="17" t="n">
        <x:f>IF(AND($A122&gt;='Control Room'!$A$13,$A122&lt;'Control Room'!$A$13+'Control Room'!$B$13,'Process'!BQ2=1),1+('Control Room'!$C$13-1)*EXP(-0.5*(($A122-'Control Room'!$A$13-('Control Room'!$B$13-1)/2)/MAX(0.5,'Control Room'!$B$13/4))^2),1)*IF(AND($A122&gt;='Control Room'!$A$14,$A122&lt;'Control Room'!$A$14+'Control Room'!$B$14,'Process'!BQ3=1),1+('Control Room'!$C$14-1)*EXP(-0.5*(($A122-'Control Room'!$A$14-('Control Room'!$B$14-1)/2)/MAX(0.5,'Control Room'!$B$14/4))^2),1)*IF(AND($A122&gt;='Control Room'!$A$15,$A122&lt;'Control Room'!$A$15+'Control Room'!$B$15,'Process'!BQ4=1),1+('Control Room'!$C$15-1)*EXP(-0.5*(($A122-'Control Room'!$A$15-('Control Room'!$B$15-1)/2)/MAX(0.5,'Control Room'!$B$15/4))^2),1)*IF(AND($A122&gt;='Control Room'!$A$16,$A122&lt;'Control Room'!$A$16+'Control Room'!$B$16,'Process'!BQ5=1),1+('Control Room'!$C$16-1)*EXP(-0.5*(($A122-'Control Room'!$A$16-('Control Room'!$B$16-1)/2)/MAX(0.5,'Control Room'!$B$16/4))^2),1)</x:f>
        <x:v>1</x:v>
      </x:c>
      <x:c r="AK122" s="9" t="n">
        <x:f>MOD(AL121*16807,2147483647)</x:f>
        <x:v>820510237</x:v>
      </x:c>
      <x:c r="AL122" s="9" t="n">
        <x:f>MOD(AK122*16807,2147483647)</x:f>
        <x:v>1323055872</x:v>
      </x:c>
      <x:c r="AM122" s="17" t="n">
        <x:f>IF('Control Room'!$B$5="Normal",'Control Room'!$B$7+'Control Room'!$D$7*SQRT(-2*LN(MAX(0.000000000001,AK122/2147483647)))*COS(2*PI()*AL122/2147483647),'Control Room'!$B$8+('Control Room'!$D$8-'Control Room'!$B$8)*AK122/2147483647)</x:f>
        <x:v>906.9226143087454</x:v>
      </x:c>
      <x:c r="AN122" s="17" t="n">
        <x:f>IF('Control Room'!$B$5="Normal",'Control Room'!$B$7,('Control Room'!$B$8+'Control Room'!$D$8)/2)+'Control Room'!$B$9*(AN121-IF('Control Room'!$B$5="Normal",'Control Room'!$B$7,('Control Room'!$B$8+'Control Room'!$D$8)/2))+SQRT(1-'Control Room'!$B$9^2)*(AM122-IF('Control Room'!$B$5="Normal",'Control Room'!$B$7,('Control Room'!$B$8+'Control Room'!$D$8)/2))</x:f>
        <x:v>950.8668815889072</x:v>
      </x:c>
      <x:c r="AO122" s="17" t="n">
        <x:f>IF(AND($A122&gt;='Control Room'!$A$13,$A122&lt;'Control Room'!$A$13+'Control Room'!$B$13,'Process'!BR2=1),1+('Control Room'!$C$13-1)*EXP(-0.5*(($A122-'Control Room'!$A$13-('Control Room'!$B$13-1)/2)/MAX(0.5,'Control Room'!$B$13/4))^2),1)*IF(AND($A122&gt;='Control Room'!$A$14,$A122&lt;'Control Room'!$A$14+'Control Room'!$B$14,'Process'!BR3=1),1+('Control Room'!$C$14-1)*EXP(-0.5*(($A122-'Control Room'!$A$14-('Control Room'!$B$14-1)/2)/MAX(0.5,'Control Room'!$B$14/4))^2),1)*IF(AND($A122&gt;='Control Room'!$A$15,$A122&lt;'Control Room'!$A$15+'Control Room'!$B$15,'Process'!BR4=1),1+('Control Room'!$C$15-1)*EXP(-0.5*(($A122-'Control Room'!$A$15-('Control Room'!$B$15-1)/2)/MAX(0.5,'Control Room'!$B$15/4))^2),1)*IF(AND($A122&gt;='Control Room'!$A$16,$A122&lt;'Control Room'!$A$16+'Control Room'!$B$16,'Process'!BR5=1),1+('Control Room'!$C$16-1)*EXP(-0.5*(($A122-'Control Room'!$A$16-('Control Room'!$B$16-1)/2)/MAX(0.5,'Control Room'!$B$16/4))^2),1)</x:f>
        <x:v>1</x:v>
      </x:c>
      <x:c r="AP122" s="9" t="n">
        <x:f>MOD(AQ121*16807,2147483647)</x:f>
        <x:v>916853564</x:v>
      </x:c>
      <x:c r="AQ122" s="9" t="n">
        <x:f>MOD(AP122*16807,2147483647)</x:f>
        <x:v>1362682923</x:v>
      </x:c>
      <x:c r="AR122" s="17" t="n">
        <x:f>IF('Control Room'!$B$5="Normal",'Control Room'!$B$7+'Control Room'!$D$7*SQRT(-2*LN(MAX(0.000000000001,AP122/2147483647)))*COS(2*PI()*AQ122/2147483647),'Control Room'!$B$8+('Control Room'!$D$8-'Control Room'!$B$8)*AP122/2147483647)</x:f>
        <x:v>922.0980878673056</x:v>
      </x:c>
      <x:c r="AS122" s="17" t="n">
        <x:f>IF('Control Room'!$B$5="Normal",'Control Room'!$B$7,('Control Room'!$B$8+'Control Room'!$D$8)/2)+'Control Room'!$B$9*(AS121-IF('Control Room'!$B$5="Normal",'Control Room'!$B$7,('Control Room'!$B$8+'Control Room'!$D$8)/2))+SQRT(1-'Control Room'!$B$9^2)*(AR122-IF('Control Room'!$B$5="Normal",'Control Room'!$B$7,('Control Room'!$B$8+'Control Room'!$D$8)/2))</x:f>
        <x:v>926.3089138557016</x:v>
      </x:c>
      <x:c r="AT122" s="17" t="n">
        <x:f>IF(AND($A122&gt;='Control Room'!$A$13,$A122&lt;'Control Room'!$A$13+'Control Room'!$B$13,'Process'!BS2=1),1+('Control Room'!$C$13-1)*EXP(-0.5*(($A122-'Control Room'!$A$13-('Control Room'!$B$13-1)/2)/MAX(0.5,'Control Room'!$B$13/4))^2),1)*IF(AND($A122&gt;='Control Room'!$A$14,$A122&lt;'Control Room'!$A$14+'Control Room'!$B$14,'Process'!BS3=1),1+('Control Room'!$C$14-1)*EXP(-0.5*(($A122-'Control Room'!$A$14-('Control Room'!$B$14-1)/2)/MAX(0.5,'Control Room'!$B$14/4))^2),1)*IF(AND($A122&gt;='Control Room'!$A$15,$A122&lt;'Control Room'!$A$15+'Control Room'!$B$15,'Process'!BS4=1),1+('Control Room'!$C$15-1)*EXP(-0.5*(($A122-'Control Room'!$A$15-('Control Room'!$B$15-1)/2)/MAX(0.5,'Control Room'!$B$15/4))^2),1)*IF(AND($A122&gt;='Control Room'!$A$16,$A122&lt;'Control Room'!$A$16+'Control Room'!$B$16,'Process'!BS5=1),1+('Control Room'!$C$16-1)*EXP(-0.5*(($A122-'Control Room'!$A$16-('Control Room'!$B$16-1)/2)/MAX(0.5,'Control Room'!$B$16/4))^2),1)</x:f>
        <x:v>1</x:v>
      </x:c>
      <x:c r="AU122" s="9" t="n">
        <x:f>MOD(AV121*16807,2147483647)</x:f>
        <x:v>1013196891</x:v>
      </x:c>
      <x:c r="AV122" s="9" t="n">
        <x:f>MOD(AU122*16807,2147483647)</x:f>
        <x:v>1402309974</x:v>
      </x:c>
      <x:c r="AW122" s="17" t="n">
        <x:f>IF('Control Room'!$B$5="Normal",'Control Room'!$B$7+'Control Room'!$D$7*SQRT(-2*LN(MAX(0.000000000001,AU122/2147483647)))*COS(2*PI()*AV122/2147483647),'Control Room'!$B$8+('Control Room'!$D$8-'Control Room'!$B$8)*AU122/2147483647)</x:f>
        <x:v>936.8534590686178</x:v>
      </x:c>
      <x:c r="AX122" s="17" t="n">
        <x:f>IF('Control Room'!$B$5="Normal",'Control Room'!$B$7,('Control Room'!$B$8+'Control Room'!$D$8)/2)+'Control Room'!$B$9*(AX121-IF('Control Room'!$B$5="Normal",'Control Room'!$B$7,('Control Room'!$B$8+'Control Room'!$D$8)/2))+SQRT(1-'Control Room'!$B$9^2)*(AW122-IF('Control Room'!$B$5="Normal",'Control Room'!$B$7,('Control Room'!$B$8+'Control Room'!$D$8)/2))</x:f>
        <x:v>1004.0802048003064</x:v>
      </x:c>
      <x:c r="AY122" s="17" t="n">
        <x:f>IF(AND($A122&gt;='Control Room'!$A$13,$A122&lt;'Control Room'!$A$13+'Control Room'!$B$13,'Process'!BT2=1),1+('Control Room'!$C$13-1)*EXP(-0.5*(($A122-'Control Room'!$A$13-('Control Room'!$B$13-1)/2)/MAX(0.5,'Control Room'!$B$13/4))^2),1)*IF(AND($A122&gt;='Control Room'!$A$14,$A122&lt;'Control Room'!$A$14+'Control Room'!$B$14,'Process'!BT3=1),1+('Control Room'!$C$14-1)*EXP(-0.5*(($A122-'Control Room'!$A$14-('Control Room'!$B$14-1)/2)/MAX(0.5,'Control Room'!$B$14/4))^2),1)*IF(AND($A122&gt;='Control Room'!$A$15,$A122&lt;'Control Room'!$A$15+'Control Room'!$B$15,'Process'!BT4=1),1+('Control Room'!$C$15-1)*EXP(-0.5*(($A122-'Control Room'!$A$15-('Control Room'!$B$15-1)/2)/MAX(0.5,'Control Room'!$B$15/4))^2),1)*IF(AND($A122&gt;='Control Room'!$A$16,$A122&lt;'Control Room'!$A$16+'Control Room'!$B$16,'Process'!BT5=1),1+('Control Room'!$C$16-1)*EXP(-0.5*(($A122-'Control Room'!$A$16-('Control Room'!$B$16-1)/2)/MAX(0.5,'Control Room'!$B$16/4))^2),1)</x:f>
        <x:v>1</x:v>
      </x:c>
      <x:c r="AZ122" s="9" t="n">
        <x:f>MOD(BA121*16807,2147483647)</x:f>
        <x:v>1109540218</x:v>
      </x:c>
      <x:c r="BA122" s="9" t="n">
        <x:f>MOD(AZ122*16807,2147483647)</x:f>
        <x:v>1441937025</x:v>
      </x:c>
      <x:c r="BB122" s="17" t="n">
        <x:f>IF('Control Room'!$B$5="Normal",'Control Room'!$B$7+'Control Room'!$D$7*SQRT(-2*LN(MAX(0.000000000001,AZ122/2147483647)))*COS(2*PI()*BA122/2147483647),'Control Room'!$B$8+('Control Room'!$D$8-'Control Room'!$B$8)*AZ122/2147483647)</x:f>
        <x:v>951.0026393611504</x:v>
      </x:c>
      <x:c r="BC122" s="17" t="n">
        <x:f>IF('Control Room'!$B$5="Normal",'Control Room'!$B$7,('Control Room'!$B$8+'Control Room'!$D$8)/2)+'Control Room'!$B$9*(BC121-IF('Control Room'!$B$5="Normal",'Control Room'!$B$7,('Control Room'!$B$8+'Control Room'!$D$8)/2))+SQRT(1-'Control Room'!$B$9^2)*(BB122-IF('Control Room'!$B$5="Normal",'Control Room'!$B$7,('Control Room'!$B$8+'Control Room'!$D$8)/2))</x:f>
        <x:v>1020.9817137803036</x:v>
      </x:c>
      <x:c r="BD122" s="17" t="n">
        <x:f>IF(AND($A122&gt;='Control Room'!$A$13,$A122&lt;'Control Room'!$A$13+'Control Room'!$B$13,'Process'!BU2=1),1+('Control Room'!$C$13-1)*EXP(-0.5*(($A122-'Control Room'!$A$13-('Control Room'!$B$13-1)/2)/MAX(0.5,'Control Room'!$B$13/4))^2),1)*IF(AND($A122&gt;='Control Room'!$A$14,$A122&lt;'Control Room'!$A$14+'Control Room'!$B$14,'Process'!BU3=1),1+('Control Room'!$C$14-1)*EXP(-0.5*(($A122-'Control Room'!$A$14-('Control Room'!$B$14-1)/2)/MAX(0.5,'Control Room'!$B$14/4))^2),1)*IF(AND($A122&gt;='Control Room'!$A$15,$A122&lt;'Control Room'!$A$15+'Control Room'!$B$15,'Process'!BU4=1),1+('Control Room'!$C$15-1)*EXP(-0.5*(($A122-'Control Room'!$A$15-('Control Room'!$B$15-1)/2)/MAX(0.5,'Control Room'!$B$15/4))^2),1)*IF(AND($A122&gt;='Control Room'!$A$16,$A122&lt;'Control Room'!$A$16+'Control Room'!$B$16,'Process'!BU5=1),1+('Control Room'!$C$16-1)*EXP(-0.5*(($A122-'Control Room'!$A$16-('Control Room'!$B$16-1)/2)/MAX(0.5,'Control Room'!$B$16/4))^2),1)</x:f>
        <x:v>1</x:v>
      </x:c>
      <x:c r="BE122" s="9" t="n">
        <x:f>MOD(BF121*16807,2147483647)</x:f>
        <x:v>1205883545</x:v>
      </x:c>
      <x:c r="BF122" s="9" t="n">
        <x:f>MOD(BE122*16807,2147483647)</x:f>
        <x:v>1481564076</x:v>
      </x:c>
      <x:c r="BG122" s="17" t="n">
        <x:f>IF('Control Room'!$B$5="Normal",'Control Room'!$B$7+'Control Room'!$D$7*SQRT(-2*LN(MAX(0.000000000001,BE122/2147483647)))*COS(2*PI()*BF122/2147483647),'Control Room'!$B$8+('Control Room'!$D$8-'Control Room'!$B$8)*BE122/2147483647)</x:f>
        <x:v>964.353896316286</x:v>
      </x:c>
      <x:c r="BH122" s="17" t="n">
        <x:f>IF('Control Room'!$B$5="Normal",'Control Room'!$B$7,('Control Room'!$B$8+'Control Room'!$D$8)/2)+'Control Room'!$B$9*(BH121-IF('Control Room'!$B$5="Normal",'Control Room'!$B$7,('Control Room'!$B$8+'Control Room'!$D$8)/2))+SQRT(1-'Control Room'!$B$9^2)*(BG122-IF('Control Room'!$B$5="Normal",'Control Room'!$B$7,('Control Room'!$B$8+'Control Room'!$D$8)/2))</x:f>
        <x:v>1080.89705081763</x:v>
      </x:c>
      <x:c r="BI122" s="17" t="n">
        <x:f>IF(AND($A122&gt;='Control Room'!$A$13,$A122&lt;'Control Room'!$A$13+'Control Room'!$B$13,'Process'!BV2=1),1+('Control Room'!$C$13-1)*EXP(-0.5*(($A122-'Control Room'!$A$13-('Control Room'!$B$13-1)/2)/MAX(0.5,'Control Room'!$B$13/4))^2),1)*IF(AND($A122&gt;='Control Room'!$A$14,$A122&lt;'Control Room'!$A$14+'Control Room'!$B$14,'Process'!BV3=1),1+('Control Room'!$C$14-1)*EXP(-0.5*(($A122-'Control Room'!$A$14-('Control Room'!$B$14-1)/2)/MAX(0.5,'Control Room'!$B$14/4))^2),1)*IF(AND($A122&gt;='Control Room'!$A$15,$A122&lt;'Control Room'!$A$15+'Control Room'!$B$15,'Process'!BV4=1),1+('Control Room'!$C$15-1)*EXP(-0.5*(($A122-'Control Room'!$A$15-('Control Room'!$B$15-1)/2)/MAX(0.5,'Control Room'!$B$15/4))^2),1)*IF(AND($A122&gt;='Control Room'!$A$16,$A122&lt;'Control Room'!$A$16+'Control Room'!$B$16,'Process'!BV5=1),1+('Control Room'!$C$16-1)*EXP(-0.5*(($A122-'Control Room'!$A$16-('Control Room'!$B$16-1)/2)/MAX(0.5,'Control Room'!$B$16/4))^2),1)</x:f>
        <x:v>1</x:v>
      </x:c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Z122" t="str">
        <x:f>IF('Data'!A122="","",TEXT('Data'!A122,"mm-dd"))</x:f>
      </x:c>
    </x:row>
    <x:row r="123" ht="21" customHeight="1">
      <x:c r="A123" s="15" t="n">
        <x:f>'Control Room'!$B$1+121</x:f>
        <x:v>73112</x:v>
      </x:c>
      <x:c r="B123" s="9" t="n">
        <x:f>MOD(C122*16807,2147483647)</x:f>
        <x:v>1658434204</x:v>
      </x:c>
      <x:c r="C123" s="9" t="n">
        <x:f>MOD(B123*16807,2147483647)</x:f>
        <x:v>1113412215</x:v>
      </x:c>
      <x:c r="D123" s="17" t="n">
        <x:f>IF('Control Room'!$B$5="Normal",'Control Room'!$B$7+'Control Room'!$D$7*SQRT(-2*LN(MAX(0.000000000001,B123/2147483647)))*COS(2*PI()*C123/2147483647),'Control Room'!$B$8+('Control Room'!$D$8-'Control Room'!$B$8)*B123/2147483647)</x:f>
        <x:v>935.7325660353988</x:v>
      </x:c>
      <x:c r="E123" s="17" t="n">
        <x:f>IF('Control Room'!$B$5="Normal",'Control Room'!$B$7,('Control Room'!$B$8+'Control Room'!$D$8)/2)+'Control Room'!$B$9*(E122-IF('Control Room'!$B$5="Normal",'Control Room'!$B$7,('Control Room'!$B$8+'Control Room'!$D$8)/2))+SQRT(1-'Control Room'!$B$9^2)*(D123-IF('Control Room'!$B$5="Normal",'Control Room'!$B$7,('Control Room'!$B$8+'Control Room'!$D$8)/2))</x:f>
        <x:v>747.6065407892839</x:v>
      </x:c>
      <x:c r="F123" s="17" t="n">
        <x:f>IF(AND($A123&gt;='Control Room'!$A$13,$A123&lt;'Control Room'!$A$13+'Control Room'!$B$13,'Process'!BK2=1),1+('Control Room'!$C$13-1)*EXP(-0.5*(($A123-'Control Room'!$A$13-('Control Room'!$B$13-1)/2)/MAX(0.5,'Control Room'!$B$13/4))^2),1)*IF(AND($A123&gt;='Control Room'!$A$14,$A123&lt;'Control Room'!$A$14+'Control Room'!$B$14,'Process'!BK3=1),1+('Control Room'!$C$14-1)*EXP(-0.5*(($A123-'Control Room'!$A$14-('Control Room'!$B$14-1)/2)/MAX(0.5,'Control Room'!$B$14/4))^2),1)*IF(AND($A123&gt;='Control Room'!$A$15,$A123&lt;'Control Room'!$A$15+'Control Room'!$B$15,'Process'!BK4=1),1+('Control Room'!$C$15-1)*EXP(-0.5*(($A123-'Control Room'!$A$15-('Control Room'!$B$15-1)/2)/MAX(0.5,'Control Room'!$B$15/4))^2),1)*IF(AND($A123&gt;='Control Room'!$A$16,$A123&lt;'Control Room'!$A$16+'Control Room'!$B$16,'Process'!BK5=1),1+('Control Room'!$C$16-1)*EXP(-0.5*(($A123-'Control Room'!$A$16-('Control Room'!$B$16-1)/2)/MAX(0.5,'Control Room'!$B$16/4))^2),1)</x:f>
        <x:v>1</x:v>
      </x:c>
      <x:c r="G123" s="9" t="n">
        <x:f>MOD(H122*16807,2147483647)</x:f>
        <x:v>1950349791</x:v>
      </x:c>
      <x:c r="H123" s="9" t="n">
        <x:f>MOD(G123*16807,2147483647)</x:f>
        <x:v>338549529</x:v>
      </x:c>
      <x:c r="I123" s="17" t="n">
        <x:f>IF('Control Room'!$B$5="Normal",'Control Room'!$B$7+'Control Room'!$D$7*SQRT(-2*LN(MAX(0.000000000001,G123/2147483647)))*COS(2*PI()*H123/2147483647),'Control Room'!$B$8+('Control Room'!$D$8-'Control Room'!$B$8)*G123/2147483647)</x:f>
        <x:v>1021.6527337509234</x:v>
      </x:c>
      <x:c r="J123" s="17" t="n">
        <x:f>IF('Control Room'!$B$5="Normal",'Control Room'!$B$7,('Control Room'!$B$8+'Control Room'!$D$8)/2)+'Control Room'!$B$9*(J122-IF('Control Room'!$B$5="Normal",'Control Room'!$B$7,('Control Room'!$B$8+'Control Room'!$D$8)/2))+SQRT(1-'Control Room'!$B$9^2)*(I123-IF('Control Room'!$B$5="Normal",'Control Room'!$B$7,('Control Room'!$B$8+'Control Room'!$D$8)/2))</x:f>
        <x:v>933.4724092283457</x:v>
      </x:c>
      <x:c r="K123" s="17" t="n">
        <x:f>IF(AND($A123&gt;='Control Room'!$A$13,$A123&lt;'Control Room'!$A$13+'Control Room'!$B$13,'Process'!BL2=1),1+('Control Room'!$C$13-1)*EXP(-0.5*(($A123-'Control Room'!$A$13-('Control Room'!$B$13-1)/2)/MAX(0.5,'Control Room'!$B$13/4))^2),1)*IF(AND($A123&gt;='Control Room'!$A$14,$A123&lt;'Control Room'!$A$14+'Control Room'!$B$14,'Process'!BL3=1),1+('Control Room'!$C$14-1)*EXP(-0.5*(($A123-'Control Room'!$A$14-('Control Room'!$B$14-1)/2)/MAX(0.5,'Control Room'!$B$14/4))^2),1)*IF(AND($A123&gt;='Control Room'!$A$15,$A123&lt;'Control Room'!$A$15+'Control Room'!$B$15,'Process'!BL4=1),1+('Control Room'!$C$15-1)*EXP(-0.5*(($A123-'Control Room'!$A$15-('Control Room'!$B$15-1)/2)/MAX(0.5,'Control Room'!$B$15/4))^2),1)*IF(AND($A123&gt;='Control Room'!$A$16,$A123&lt;'Control Room'!$A$16+'Control Room'!$B$16,'Process'!BL5=1),1+('Control Room'!$C$16-1)*EXP(-0.5*(($A123-'Control Room'!$A$16-('Control Room'!$B$16-1)/2)/MAX(0.5,'Control Room'!$B$16/4))^2),1)</x:f>
        <x:v>1</x:v>
      </x:c>
      <x:c r="L123" s="9" t="n">
        <x:f>MOD(M122*16807,2147483647)</x:f>
        <x:v>94781731</x:v>
      </x:c>
      <x:c r="M123" s="9" t="n">
        <x:f>MOD(L123*16807,2147483647)</x:f>
        <x:v>1711170490</x:v>
      </x:c>
      <x:c r="N123" s="17" t="n">
        <x:f>IF('Control Room'!$B$5="Normal",'Control Room'!$B$7+'Control Room'!$D$7*SQRT(-2*LN(MAX(0.000000000001,L123/2147483647)))*COS(2*PI()*M123/2147483647),'Control Room'!$B$8+('Control Room'!$D$8-'Control Room'!$B$8)*L123/2147483647)</x:f>
        <x:v>1065.2003092631517</x:v>
      </x:c>
      <x:c r="O123" s="17" t="n">
        <x:f>IF('Control Room'!$B$5="Normal",'Control Room'!$B$7,('Control Room'!$B$8+'Control Room'!$D$8)/2)+'Control Room'!$B$9*(O122-IF('Control Room'!$B$5="Normal",'Control Room'!$B$7,('Control Room'!$B$8+'Control Room'!$D$8)/2))+SQRT(1-'Control Room'!$B$9^2)*(N123-IF('Control Room'!$B$5="Normal",'Control Room'!$B$7,('Control Room'!$B$8+'Control Room'!$D$8)/2))</x:f>
        <x:v>947.8648347094648</x:v>
      </x:c>
      <x:c r="P123" s="17" t="n">
        <x:f>IF(AND($A123&gt;='Control Room'!$A$13,$A123&lt;'Control Room'!$A$13+'Control Room'!$B$13,'Process'!BM2=1),1+('Control Room'!$C$13-1)*EXP(-0.5*(($A123-'Control Room'!$A$13-('Control Room'!$B$13-1)/2)/MAX(0.5,'Control Room'!$B$13/4))^2),1)*IF(AND($A123&gt;='Control Room'!$A$14,$A123&lt;'Control Room'!$A$14+'Control Room'!$B$14,'Process'!BM3=1),1+('Control Room'!$C$14-1)*EXP(-0.5*(($A123-'Control Room'!$A$14-('Control Room'!$B$14-1)/2)/MAX(0.5,'Control Room'!$B$14/4))^2),1)*IF(AND($A123&gt;='Control Room'!$A$15,$A123&lt;'Control Room'!$A$15+'Control Room'!$B$15,'Process'!BM4=1),1+('Control Room'!$C$15-1)*EXP(-0.5*(($A123-'Control Room'!$A$15-('Control Room'!$B$15-1)/2)/MAX(0.5,'Control Room'!$B$15/4))^2),1)*IF(AND($A123&gt;='Control Room'!$A$16,$A123&lt;'Control Room'!$A$16+'Control Room'!$B$16,'Process'!BM5=1),1+('Control Room'!$C$16-1)*EXP(-0.5*(($A123-'Control Room'!$A$16-('Control Room'!$B$16-1)/2)/MAX(0.5,'Control Room'!$B$16/4))^2),1)</x:f>
        <x:v>1</x:v>
      </x:c>
      <x:c r="Q123" s="9" t="n">
        <x:f>MOD(R122*16807,2147483647)</x:f>
        <x:v>386697318</x:v>
      </x:c>
      <x:c r="R123" s="9" t="n">
        <x:f>MOD(Q123*16807,2147483647)</x:f>
        <x:v>936307804</x:v>
      </x:c>
      <x:c r="S123" s="17" t="n">
        <x:f>IF('Control Room'!$B$5="Normal",'Control Room'!$B$7+'Control Room'!$D$7*SQRT(-2*LN(MAX(0.000000000001,Q123/2147483647)))*COS(2*PI()*R123/2147483647),'Control Room'!$B$8+('Control Room'!$D$8-'Control Room'!$B$8)*Q123/2147483647)</x:f>
        <x:v>846.6390641467536</x:v>
      </x:c>
      <x:c r="T123" s="17" t="n">
        <x:f>IF('Control Room'!$B$5="Normal",'Control Room'!$B$7,('Control Room'!$B$8+'Control Room'!$D$8)/2)+'Control Room'!$B$9*(T122-IF('Control Room'!$B$5="Normal",'Control Room'!$B$7,('Control Room'!$B$8+'Control Room'!$D$8)/2))+SQRT(1-'Control Room'!$B$9^2)*(S123-IF('Control Room'!$B$5="Normal",'Control Room'!$B$7,('Control Room'!$B$8+'Control Room'!$D$8)/2))</x:f>
        <x:v>840.3094703546216</x:v>
      </x:c>
      <x:c r="U123" s="17" t="n">
        <x:f>IF(AND($A123&gt;='Control Room'!$A$13,$A123&lt;'Control Room'!$A$13+'Control Room'!$B$13,'Process'!BN2=1),1+('Control Room'!$C$13-1)*EXP(-0.5*(($A123-'Control Room'!$A$13-('Control Room'!$B$13-1)/2)/MAX(0.5,'Control Room'!$B$13/4))^2),1)*IF(AND($A123&gt;='Control Room'!$A$14,$A123&lt;'Control Room'!$A$14+'Control Room'!$B$14,'Process'!BN3=1),1+('Control Room'!$C$14-1)*EXP(-0.5*(($A123-'Control Room'!$A$14-('Control Room'!$B$14-1)/2)/MAX(0.5,'Control Room'!$B$14/4))^2),1)*IF(AND($A123&gt;='Control Room'!$A$15,$A123&lt;'Control Room'!$A$15+'Control Room'!$B$15,'Process'!BN4=1),1+('Control Room'!$C$15-1)*EXP(-0.5*(($A123-'Control Room'!$A$15-('Control Room'!$B$15-1)/2)/MAX(0.5,'Control Room'!$B$15/4))^2),1)*IF(AND($A123&gt;='Control Room'!$A$16,$A123&lt;'Control Room'!$A$16+'Control Room'!$B$16,'Process'!BN5=1),1+('Control Room'!$C$16-1)*EXP(-0.5*(($A123-'Control Room'!$A$16-('Control Room'!$B$16-1)/2)/MAX(0.5,'Control Room'!$B$16/4))^2),1)</x:f>
        <x:v>1</x:v>
      </x:c>
      <x:c r="V123" s="9" t="n">
        <x:f>MOD(W122*16807,2147483647)</x:f>
        <x:v>678612905</x:v>
      </x:c>
      <x:c r="W123" s="9" t="n">
        <x:f>MOD(V123*16807,2147483647)</x:f>
        <x:v>161445118</x:v>
      </x:c>
      <x:c r="X123" s="17" t="n">
        <x:f>IF('Control Room'!$B$5="Normal",'Control Room'!$B$7+'Control Room'!$D$7*SQRT(-2*LN(MAX(0.000000000001,V123/2147483647)))*COS(2*PI()*W123/2147483647),'Control Room'!$B$8+('Control Room'!$D$8-'Control Room'!$B$8)*V123/2147483647)</x:f>
        <x:v>1121.651085800487</x:v>
      </x:c>
      <x:c r="Y123" s="17" t="n">
        <x:f>IF('Control Room'!$B$5="Normal",'Control Room'!$B$7,('Control Room'!$B$8+'Control Room'!$D$8)/2)+'Control Room'!$B$9*(Y122-IF('Control Room'!$B$5="Normal",'Control Room'!$B$7,('Control Room'!$B$8+'Control Room'!$D$8)/2))+SQRT(1-'Control Room'!$B$9^2)*(X123-IF('Control Room'!$B$5="Normal",'Control Room'!$B$7,('Control Room'!$B$8+'Control Room'!$D$8)/2))</x:f>
        <x:v>961.5113446830619</x:v>
      </x:c>
      <x:c r="Z123" s="17" t="n">
        <x:f>IF(AND($A123&gt;='Control Room'!$A$13,$A123&lt;'Control Room'!$A$13+'Control Room'!$B$13,'Process'!BO2=1),1+('Control Room'!$C$13-1)*EXP(-0.5*(($A123-'Control Room'!$A$13-('Control Room'!$B$13-1)/2)/MAX(0.5,'Control Room'!$B$13/4))^2),1)*IF(AND($A123&gt;='Control Room'!$A$14,$A123&lt;'Control Room'!$A$14+'Control Room'!$B$14,'Process'!BO3=1),1+('Control Room'!$C$14-1)*EXP(-0.5*(($A123-'Control Room'!$A$14-('Control Room'!$B$14-1)/2)/MAX(0.5,'Control Room'!$B$14/4))^2),1)*IF(AND($A123&gt;='Control Room'!$A$15,$A123&lt;'Control Room'!$A$15+'Control Room'!$B$15,'Process'!BO4=1),1+('Control Room'!$C$15-1)*EXP(-0.5*(($A123-'Control Room'!$A$15-('Control Room'!$B$15-1)/2)/MAX(0.5,'Control Room'!$B$15/4))^2),1)*IF(AND($A123&gt;='Control Room'!$A$16,$A123&lt;'Control Room'!$A$16+'Control Room'!$B$16,'Process'!BO5=1),1+('Control Room'!$C$16-1)*EXP(-0.5*(($A123-'Control Room'!$A$16-('Control Room'!$B$16-1)/2)/MAX(0.5,'Control Room'!$B$16/4))^2),1)</x:f>
        <x:v>1</x:v>
      </x:c>
      <x:c r="AA123" s="9" t="n">
        <x:f>MOD(AB122*16807,2147483647)</x:f>
        <x:v>970528492</x:v>
      </x:c>
      <x:c r="AB123" s="9" t="n">
        <x:f>MOD(AA123*16807,2147483647)</x:f>
        <x:v>1534066079</x:v>
      </x:c>
      <x:c r="AC123" s="17" t="n">
        <x:f>IF('Control Room'!$B$5="Normal",'Control Room'!$B$7+'Control Room'!$D$7*SQRT(-2*LN(MAX(0.000000000001,AA123/2147483647)))*COS(2*PI()*AB123/2147483647),'Control Room'!$B$8+('Control Room'!$D$8-'Control Room'!$B$8)*AA123/2147483647)</x:f>
        <x:v>974.8078629378576</x:v>
      </x:c>
      <x:c r="AD123" s="17" t="n">
        <x:f>IF('Control Room'!$B$5="Normal",'Control Room'!$B$7,('Control Room'!$B$8+'Control Room'!$D$8)/2)+'Control Room'!$B$9*(AD122-IF('Control Room'!$B$5="Normal",'Control Room'!$B$7,('Control Room'!$B$8+'Control Room'!$D$8)/2))+SQRT(1-'Control Room'!$B$9^2)*(AC123-IF('Control Room'!$B$5="Normal",'Control Room'!$B$7,('Control Room'!$B$8+'Control Room'!$D$8)/2))</x:f>
        <x:v>917.762068743044</x:v>
      </x:c>
      <x:c r="AE123" s="17" t="n">
        <x:f>IF(AND($A123&gt;='Control Room'!$A$13,$A123&lt;'Control Room'!$A$13+'Control Room'!$B$13,'Process'!BP2=1),1+('Control Room'!$C$13-1)*EXP(-0.5*(($A123-'Control Room'!$A$13-('Control Room'!$B$13-1)/2)/MAX(0.5,'Control Room'!$B$13/4))^2),1)*IF(AND($A123&gt;='Control Room'!$A$14,$A123&lt;'Control Room'!$A$14+'Control Room'!$B$14,'Process'!BP3=1),1+('Control Room'!$C$14-1)*EXP(-0.5*(($A123-'Control Room'!$A$14-('Control Room'!$B$14-1)/2)/MAX(0.5,'Control Room'!$B$14/4))^2),1)*IF(AND($A123&gt;='Control Room'!$A$15,$A123&lt;'Control Room'!$A$15+'Control Room'!$B$15,'Process'!BP4=1),1+('Control Room'!$C$15-1)*EXP(-0.5*(($A123-'Control Room'!$A$15-('Control Room'!$B$15-1)/2)/MAX(0.5,'Control Room'!$B$15/4))^2),1)*IF(AND($A123&gt;='Control Room'!$A$16,$A123&lt;'Control Room'!$A$16+'Control Room'!$B$16,'Process'!BP5=1),1+('Control Room'!$C$16-1)*EXP(-0.5*(($A123-'Control Room'!$A$16-('Control Room'!$B$16-1)/2)/MAX(0.5,'Control Room'!$B$16/4))^2),1)</x:f>
        <x:v>1</x:v>
      </x:c>
      <x:c r="AF123" s="9" t="n">
        <x:f>MOD(AG122*16807,2147483647)</x:f>
        <x:v>1262444079</x:v>
      </x:c>
      <x:c r="AG123" s="9" t="n">
        <x:f>MOD(AF123*16807,2147483647)</x:f>
        <x:v>759203393</x:v>
      </x:c>
      <x:c r="AH123" s="17" t="n">
        <x:f>IF('Control Room'!$B$5="Normal",'Control Room'!$B$7+'Control Room'!$D$7*SQRT(-2*LN(MAX(0.000000000001,AF123/2147483647)))*COS(2*PI()*AG123/2147483647),'Control Room'!$B$8+('Control Room'!$D$8-'Control Room'!$B$8)*AF123/2147483647)</x:f>
        <x:v>943.8195409604812</x:v>
      </x:c>
      <x:c r="AI123" s="17" t="n">
        <x:f>IF('Control Room'!$B$5="Normal",'Control Room'!$B$7,('Control Room'!$B$8+'Control Room'!$D$8)/2)+'Control Room'!$B$9*(AI122-IF('Control Room'!$B$5="Normal",'Control Room'!$B$7,('Control Room'!$B$8+'Control Room'!$D$8)/2))+SQRT(1-'Control Room'!$B$9^2)*(AH123-IF('Control Room'!$B$5="Normal",'Control Room'!$B$7,('Control Room'!$B$8+'Control Room'!$D$8)/2))</x:f>
        <x:v>977.0769930576216</x:v>
      </x:c>
      <x:c r="AJ123" s="17" t="n">
        <x:f>IF(AND($A123&gt;='Control Room'!$A$13,$A123&lt;'Control Room'!$A$13+'Control Room'!$B$13,'Process'!BQ2=1),1+('Control Room'!$C$13-1)*EXP(-0.5*(($A123-'Control Room'!$A$13-('Control Room'!$B$13-1)/2)/MAX(0.5,'Control Room'!$B$13/4))^2),1)*IF(AND($A123&gt;='Control Room'!$A$14,$A123&lt;'Control Room'!$A$14+'Control Room'!$B$14,'Process'!BQ3=1),1+('Control Room'!$C$14-1)*EXP(-0.5*(($A123-'Control Room'!$A$14-('Control Room'!$B$14-1)/2)/MAX(0.5,'Control Room'!$B$14/4))^2),1)*IF(AND($A123&gt;='Control Room'!$A$15,$A123&lt;'Control Room'!$A$15+'Control Room'!$B$15,'Process'!BQ4=1),1+('Control Room'!$C$15-1)*EXP(-0.5*(($A123-'Control Room'!$A$15-('Control Room'!$B$15-1)/2)/MAX(0.5,'Control Room'!$B$15/4))^2),1)*IF(AND($A123&gt;='Control Room'!$A$16,$A123&lt;'Control Room'!$A$16+'Control Room'!$B$16,'Process'!BQ5=1),1+('Control Room'!$C$16-1)*EXP(-0.5*(($A123-'Control Room'!$A$16-('Control Room'!$B$16-1)/2)/MAX(0.5,'Control Room'!$B$16/4))^2),1)</x:f>
        <x:v>1</x:v>
      </x:c>
      <x:c r="AK123" s="9" t="n">
        <x:f>MOD(AL122*16807,2147483647)</x:f>
        <x:v>1554359666</x:v>
      </x:c>
      <x:c r="AL123" s="9" t="n">
        <x:f>MOD(AK123*16807,2147483647)</x:f>
        <x:v>2131824354</x:v>
      </x:c>
      <x:c r="AM123" s="17" t="n">
        <x:f>IF('Control Room'!$B$5="Normal",'Control Room'!$B$7+'Control Room'!$D$7*SQRT(-2*LN(MAX(0.000000000001,AK123/2147483647)))*COS(2*PI()*AL123/2147483647),'Control Room'!$B$8+('Control Room'!$D$8-'Control Room'!$B$8)*AK123/2147483647)</x:f>
        <x:v>1072.2868714137408</x:v>
      </x:c>
      <x:c r="AN123" s="17" t="n">
        <x:f>IF('Control Room'!$B$5="Normal",'Control Room'!$B$7,('Control Room'!$B$8+'Control Room'!$D$8)/2)+'Control Room'!$B$9*(AN122-IF('Control Room'!$B$5="Normal",'Control Room'!$B$7,('Control Room'!$B$8+'Control Room'!$D$8)/2))+SQRT(1-'Control Room'!$B$9^2)*(AM123-IF('Control Room'!$B$5="Normal",'Control Room'!$B$7,('Control Room'!$B$8+'Control Room'!$D$8)/2))</x:f>
        <x:v>1006.9118108930128</x:v>
      </x:c>
      <x:c r="AO123" s="17" t="n">
        <x:f>IF(AND($A123&gt;='Control Room'!$A$13,$A123&lt;'Control Room'!$A$13+'Control Room'!$B$13,'Process'!BR2=1),1+('Control Room'!$C$13-1)*EXP(-0.5*(($A123-'Control Room'!$A$13-('Control Room'!$B$13-1)/2)/MAX(0.5,'Control Room'!$B$13/4))^2),1)*IF(AND($A123&gt;='Control Room'!$A$14,$A123&lt;'Control Room'!$A$14+'Control Room'!$B$14,'Process'!BR3=1),1+('Control Room'!$C$14-1)*EXP(-0.5*(($A123-'Control Room'!$A$14-('Control Room'!$B$14-1)/2)/MAX(0.5,'Control Room'!$B$14/4))^2),1)*IF(AND($A123&gt;='Control Room'!$A$15,$A123&lt;'Control Room'!$A$15+'Control Room'!$B$15,'Process'!BR4=1),1+('Control Room'!$C$15-1)*EXP(-0.5*(($A123-'Control Room'!$A$15-('Control Room'!$B$15-1)/2)/MAX(0.5,'Control Room'!$B$15/4))^2),1)*IF(AND($A123&gt;='Control Room'!$A$16,$A123&lt;'Control Room'!$A$16+'Control Room'!$B$16,'Process'!BR5=1),1+('Control Room'!$C$16-1)*EXP(-0.5*(($A123-'Control Room'!$A$16-('Control Room'!$B$16-1)/2)/MAX(0.5,'Control Room'!$B$16/4))^2),1)</x:f>
        <x:v>1</x:v>
      </x:c>
      <x:c r="AP123" s="9" t="n">
        <x:f>MOD(AQ122*16807,2147483647)</x:f>
        <x:v>1846275253</x:v>
      </x:c>
      <x:c r="AQ123" s="9" t="n">
        <x:f>MOD(AP123*16807,2147483647)</x:f>
        <x:v>1356961668</x:v>
      </x:c>
      <x:c r="AR123" s="17" t="n">
        <x:f>IF('Control Room'!$B$5="Normal",'Control Room'!$B$7+'Control Room'!$D$7*SQRT(-2*LN(MAX(0.000000000001,AP123/2147483647)))*COS(2*PI()*AQ123/2147483647),'Control Room'!$B$8+('Control Room'!$D$8-'Control Room'!$B$8)*AP123/2147483647)</x:f>
        <x:v>966.5582039111841</x:v>
      </x:c>
      <x:c r="AS123" s="17" t="n">
        <x:f>IF('Control Room'!$B$5="Normal",'Control Room'!$B$7,('Control Room'!$B$8+'Control Room'!$D$8)/2)+'Control Room'!$B$9*(AS122-IF('Control Room'!$B$5="Normal",'Control Room'!$B$7,('Control Room'!$B$8+'Control Room'!$D$8)/2))+SQRT(1-'Control Room'!$B$9^2)*(AR123-IF('Control Room'!$B$5="Normal",'Control Room'!$B$7,('Control Room'!$B$8+'Control Room'!$D$8)/2))</x:f>
        <x:v>921.5937619074972</x:v>
      </x:c>
      <x:c r="AT123" s="17" t="n">
        <x:f>IF(AND($A123&gt;='Control Room'!$A$13,$A123&lt;'Control Room'!$A$13+'Control Room'!$B$13,'Process'!BS2=1),1+('Control Room'!$C$13-1)*EXP(-0.5*(($A123-'Control Room'!$A$13-('Control Room'!$B$13-1)/2)/MAX(0.5,'Control Room'!$B$13/4))^2),1)*IF(AND($A123&gt;='Control Room'!$A$14,$A123&lt;'Control Room'!$A$14+'Control Room'!$B$14,'Process'!BS3=1),1+('Control Room'!$C$14-1)*EXP(-0.5*(($A123-'Control Room'!$A$14-('Control Room'!$B$14-1)/2)/MAX(0.5,'Control Room'!$B$14/4))^2),1)*IF(AND($A123&gt;='Control Room'!$A$15,$A123&lt;'Control Room'!$A$15+'Control Room'!$B$15,'Process'!BS4=1),1+('Control Room'!$C$15-1)*EXP(-0.5*(($A123-'Control Room'!$A$15-('Control Room'!$B$15-1)/2)/MAX(0.5,'Control Room'!$B$15/4))^2),1)*IF(AND($A123&gt;='Control Room'!$A$16,$A123&lt;'Control Room'!$A$16+'Control Room'!$B$16,'Process'!BS5=1),1+('Control Room'!$C$16-1)*EXP(-0.5*(($A123-'Control Room'!$A$16-('Control Room'!$B$16-1)/2)/MAX(0.5,'Control Room'!$B$16/4))^2),1)</x:f>
        <x:v>1</x:v>
      </x:c>
      <x:c r="AU123" s="9" t="n">
        <x:f>MOD(AV122*16807,2147483647)</x:f>
        <x:v>2138190840</x:v>
      </x:c>
      <x:c r="AV123" s="9" t="n">
        <x:f>MOD(AU123*16807,2147483647)</x:f>
        <x:v>582098982</x:v>
      </x:c>
      <x:c r="AW123" s="17" t="n">
        <x:f>IF('Control Room'!$B$5="Normal",'Control Room'!$B$7+'Control Room'!$D$7*SQRT(-2*LN(MAX(0.000000000001,AU123/2147483647)))*COS(2*PI()*AV123/2147483647),'Control Room'!$B$8+('Control Room'!$D$8-'Control Room'!$B$8)*AU123/2147483647)</x:f>
        <x:v>998.8940728239446</x:v>
      </x:c>
      <x:c r="AX123" s="17" t="n">
        <x:f>IF('Control Room'!$B$5="Normal",'Control Room'!$B$7,('Control Room'!$B$8+'Control Room'!$D$8)/2)+'Control Room'!$B$9*(AX122-IF('Control Room'!$B$5="Normal",'Control Room'!$B$7,('Control Room'!$B$8+'Control Room'!$D$8)/2))+SQRT(1-'Control Room'!$B$9^2)*(AW123-IF('Control Room'!$B$5="Normal",'Control Room'!$B$7,('Control Room'!$B$8+'Control Room'!$D$8)/2))</x:f>
        <x:v>1002.4904931736132</x:v>
      </x:c>
      <x:c r="AY123" s="17" t="n">
        <x:f>IF(AND($A123&gt;='Control Room'!$A$13,$A123&lt;'Control Room'!$A$13+'Control Room'!$B$13,'Process'!BT2=1),1+('Control Room'!$C$13-1)*EXP(-0.5*(($A123-'Control Room'!$A$13-('Control Room'!$B$13-1)/2)/MAX(0.5,'Control Room'!$B$13/4))^2),1)*IF(AND($A123&gt;='Control Room'!$A$14,$A123&lt;'Control Room'!$A$14+'Control Room'!$B$14,'Process'!BT3=1),1+('Control Room'!$C$14-1)*EXP(-0.5*(($A123-'Control Room'!$A$14-('Control Room'!$B$14-1)/2)/MAX(0.5,'Control Room'!$B$14/4))^2),1)*IF(AND($A123&gt;='Control Room'!$A$15,$A123&lt;'Control Room'!$A$15+'Control Room'!$B$15,'Process'!BT4=1),1+('Control Room'!$C$15-1)*EXP(-0.5*(($A123-'Control Room'!$A$15-('Control Room'!$B$15-1)/2)/MAX(0.5,'Control Room'!$B$15/4))^2),1)*IF(AND($A123&gt;='Control Room'!$A$16,$A123&lt;'Control Room'!$A$16+'Control Room'!$B$16,'Process'!BT5=1),1+('Control Room'!$C$16-1)*EXP(-0.5*(($A123-'Control Room'!$A$16-('Control Room'!$B$16-1)/2)/MAX(0.5,'Control Room'!$B$16/4))^2),1)</x:f>
        <x:v>1</x:v>
      </x:c>
      <x:c r="AZ123" s="9" t="n">
        <x:f>MOD(BA122*16807,2147483647)</x:f>
        <x:v>282622780</x:v>
      </x:c>
      <x:c r="BA123" s="9" t="n">
        <x:f>MOD(AZ123*16807,2147483647)</x:f>
        <x:v>1954719943</x:v>
      </x:c>
      <x:c r="BB123" s="17" t="n">
        <x:f>IF('Control Room'!$B$5="Normal",'Control Room'!$B$7+'Control Room'!$D$7*SQRT(-2*LN(MAX(0.000000000001,AZ123/2147483647)))*COS(2*PI()*BA123/2147483647),'Control Room'!$B$8+('Control Room'!$D$8-'Control Room'!$B$8)*AZ123/2147483647)</x:f>
        <x:v>1153.1815792537036</x:v>
      </x:c>
      <x:c r="BC123" s="17" t="n">
        <x:f>IF('Control Room'!$B$5="Normal",'Control Room'!$B$7,('Control Room'!$B$8+'Control Room'!$D$8)/2)+'Control Room'!$B$9*(BC122-IF('Control Room'!$B$5="Normal",'Control Room'!$B$7,('Control Room'!$B$8+'Control Room'!$D$8)/2))+SQRT(1-'Control Room'!$B$9^2)*(BB123-IF('Control Room'!$B$5="Normal",'Control Room'!$B$7,('Control Room'!$B$8+'Control Room'!$D$8)/2))</x:f>
        <x:v>1112.2236309503828</x:v>
      </x:c>
      <x:c r="BD123" s="17" t="n">
        <x:f>IF(AND($A123&gt;='Control Room'!$A$13,$A123&lt;'Control Room'!$A$13+'Control Room'!$B$13,'Process'!BU2=1),1+('Control Room'!$C$13-1)*EXP(-0.5*(($A123-'Control Room'!$A$13-('Control Room'!$B$13-1)/2)/MAX(0.5,'Control Room'!$B$13/4))^2),1)*IF(AND($A123&gt;='Control Room'!$A$14,$A123&lt;'Control Room'!$A$14+'Control Room'!$B$14,'Process'!BU3=1),1+('Control Room'!$C$14-1)*EXP(-0.5*(($A123-'Control Room'!$A$14-('Control Room'!$B$14-1)/2)/MAX(0.5,'Control Room'!$B$14/4))^2),1)*IF(AND($A123&gt;='Control Room'!$A$15,$A123&lt;'Control Room'!$A$15+'Control Room'!$B$15,'Process'!BU4=1),1+('Control Room'!$C$15-1)*EXP(-0.5*(($A123-'Control Room'!$A$15-('Control Room'!$B$15-1)/2)/MAX(0.5,'Control Room'!$B$15/4))^2),1)*IF(AND($A123&gt;='Control Room'!$A$16,$A123&lt;'Control Room'!$A$16+'Control Room'!$B$16,'Process'!BU5=1),1+('Control Room'!$C$16-1)*EXP(-0.5*(($A123-'Control Room'!$A$16-('Control Room'!$B$16-1)/2)/MAX(0.5,'Control Room'!$B$16/4))^2),1)</x:f>
        <x:v>1</x:v>
      </x:c>
      <x:c r="BE123" s="9" t="n">
        <x:f>MOD(BF122*16807,2147483647)</x:f>
        <x:v>574538367</x:v>
      </x:c>
      <x:c r="BF123" s="9" t="n">
        <x:f>MOD(BE123*16807,2147483647)</x:f>
        <x:v>1179857257</x:v>
      </x:c>
      <x:c r="BG123" s="17" t="n">
        <x:f>IF('Control Room'!$B$5="Normal",'Control Room'!$B$7+'Control Room'!$D$7*SQRT(-2*LN(MAX(0.000000000001,BE123/2147483647)))*COS(2*PI()*BF123/2147483647),'Control Room'!$B$8+('Control Room'!$D$8-'Control Room'!$B$8)*BE123/2147483647)</x:f>
        <x:v>860.838885468035</x:v>
      </x:c>
      <x:c r="BH123" s="17" t="n">
        <x:f>IF('Control Room'!$B$5="Normal",'Control Room'!$B$7,('Control Room'!$B$8+'Control Room'!$D$8)/2)+'Control Room'!$B$9*(BH122-IF('Control Room'!$B$5="Normal",'Control Room'!$B$7,('Control Room'!$B$8+'Control Room'!$D$8)/2))+SQRT(1-'Control Room'!$B$9^2)*(BG123-IF('Control Room'!$B$5="Normal",'Control Room'!$B$7,('Control Room'!$B$8+'Control Room'!$D$8)/2))</x:f>
        <x:v>976.0155250340375</x:v>
      </x:c>
      <x:c r="BI123" s="17" t="n">
        <x:f>IF(AND($A123&gt;='Control Room'!$A$13,$A123&lt;'Control Room'!$A$13+'Control Room'!$B$13,'Process'!BV2=1),1+('Control Room'!$C$13-1)*EXP(-0.5*(($A123-'Control Room'!$A$13-('Control Room'!$B$13-1)/2)/MAX(0.5,'Control Room'!$B$13/4))^2),1)*IF(AND($A123&gt;='Control Room'!$A$14,$A123&lt;'Control Room'!$A$14+'Control Room'!$B$14,'Process'!BV3=1),1+('Control Room'!$C$14-1)*EXP(-0.5*(($A123-'Control Room'!$A$14-('Control Room'!$B$14-1)/2)/MAX(0.5,'Control Room'!$B$14/4))^2),1)*IF(AND($A123&gt;='Control Room'!$A$15,$A123&lt;'Control Room'!$A$15+'Control Room'!$B$15,'Process'!BV4=1),1+('Control Room'!$C$15-1)*EXP(-0.5*(($A123-'Control Room'!$A$15-('Control Room'!$B$15-1)/2)/MAX(0.5,'Control Room'!$B$15/4))^2),1)*IF(AND($A123&gt;='Control Room'!$A$16,$A123&lt;'Control Room'!$A$16+'Control Room'!$B$16,'Process'!BV5=1),1+('Control Room'!$C$16-1)*EXP(-0.5*(($A123-'Control Room'!$A$16-('Control Room'!$B$16-1)/2)/MAX(0.5,'Control Room'!$B$16/4))^2),1)</x:f>
        <x:v>1</x:v>
      </x:c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Z123" t="str">
        <x:f>IF('Data'!A123="","",TEXT('Data'!A123,"mm-dd"))</x:f>
      </x:c>
    </x:row>
    <x:row r="124" ht="21" customHeight="1">
      <x:c r="A124" s="15" t="n">
        <x:f>'Control Room'!$B$1+122</x:f>
        <x:v>73113</x:v>
      </x:c>
      <x:c r="B124" s="9" t="n">
        <x:f>MOD(C123*16807,2147483647)</x:f>
        <x:v>2094081194</x:v>
      </x:c>
      <x:c r="C124" s="9" t="n">
        <x:f>MOD(B124*16807,2147483647)</x:f>
        <x:v>113136875</x:v>
      </x:c>
      <x:c r="D124" s="17" t="n">
        <x:f>IF('Control Room'!$B$5="Normal",'Control Room'!$B$7+'Control Room'!$D$7*SQRT(-2*LN(MAX(0.000000000001,B124/2147483647)))*COS(2*PI()*C124/2147483647),'Control Room'!$B$8+('Control Room'!$D$8-'Control Room'!$B$8)*B124/2147483647)</x:f>
        <x:v>1019.1011768052758</x:v>
      </x:c>
      <x:c r="E124" s="17" t="n">
        <x:f>IF('Control Room'!$B$5="Normal",'Control Room'!$B$7,('Control Room'!$B$8+'Control Room'!$D$8)/2)+'Control Room'!$B$9*(E123-IF('Control Room'!$B$5="Normal",'Control Room'!$B$7,('Control Room'!$B$8+'Control Room'!$D$8)/2))+SQRT(1-'Control Room'!$B$9^2)*(D124-IF('Control Room'!$B$5="Normal",'Control Room'!$B$7,('Control Room'!$B$8+'Control Room'!$D$8)/2))</x:f>
        <x:v>815.0862269515067</x:v>
      </x:c>
      <x:c r="F124" s="17" t="n">
        <x:f>IF(AND($A124&gt;='Control Room'!$A$13,$A124&lt;'Control Room'!$A$13+'Control Room'!$B$13,'Process'!BK2=1),1+('Control Room'!$C$13-1)*EXP(-0.5*(($A124-'Control Room'!$A$13-('Control Room'!$B$13-1)/2)/MAX(0.5,'Control Room'!$B$13/4))^2),1)*IF(AND($A124&gt;='Control Room'!$A$14,$A124&lt;'Control Room'!$A$14+'Control Room'!$B$14,'Process'!BK3=1),1+('Control Room'!$C$14-1)*EXP(-0.5*(($A124-'Control Room'!$A$14-('Control Room'!$B$14-1)/2)/MAX(0.5,'Control Room'!$B$14/4))^2),1)*IF(AND($A124&gt;='Control Room'!$A$15,$A124&lt;'Control Room'!$A$15+'Control Room'!$B$15,'Process'!BK4=1),1+('Control Room'!$C$15-1)*EXP(-0.5*(($A124-'Control Room'!$A$15-('Control Room'!$B$15-1)/2)/MAX(0.5,'Control Room'!$B$15/4))^2),1)*IF(AND($A124&gt;='Control Room'!$A$16,$A124&lt;'Control Room'!$A$16+'Control Room'!$B$16,'Process'!BK5=1),1+('Control Room'!$C$16-1)*EXP(-0.5*(($A124-'Control Room'!$A$16-('Control Room'!$B$16-1)/2)/MAX(0.5,'Control Room'!$B$16/4))^2),1)</x:f>
        <x:v>1</x:v>
      </x:c>
      <x:c r="G124" s="9" t="n">
        <x:f>MOD(H123*16807,2147483647)</x:f>
        <x:v>1317753000</x:v>
      </x:c>
      <x:c r="H124" s="9" t="n">
        <x:f>MOD(G124*16807,2147483647)</x:f>
        <x:v>475819489</x:v>
      </x:c>
      <x:c r="I124" s="17" t="n">
        <x:f>IF('Control Room'!$B$5="Normal",'Control Room'!$B$7+'Control Room'!$D$7*SQRT(-2*LN(MAX(0.000000000001,G124/2147483647)))*COS(2*PI()*H124/2147483647),'Control Room'!$B$8+('Control Room'!$D$8-'Control Room'!$B$8)*G124/2147483647)</x:f>
        <x:v>1015.8039349798073</x:v>
      </x:c>
      <x:c r="J124" s="17" t="n">
        <x:f>IF('Control Room'!$B$5="Normal",'Control Room'!$B$7,('Control Room'!$B$8+'Control Room'!$D$8)/2)+'Control Room'!$B$9*(J123-IF('Control Room'!$B$5="Normal",'Control Room'!$B$7,('Control Room'!$B$8+'Control Room'!$D$8)/2))+SQRT(1-'Control Room'!$B$9^2)*(I124-IF('Control Room'!$B$5="Normal",'Control Room'!$B$7,('Control Room'!$B$8+'Control Room'!$D$8)/2))</x:f>
        <x:v>957.998257947267</x:v>
      </x:c>
      <x:c r="K124" s="17" t="n">
        <x:f>IF(AND($A124&gt;='Control Room'!$A$13,$A124&lt;'Control Room'!$A$13+'Control Room'!$B$13,'Process'!BL2=1),1+('Control Room'!$C$13-1)*EXP(-0.5*(($A124-'Control Room'!$A$13-('Control Room'!$B$13-1)/2)/MAX(0.5,'Control Room'!$B$13/4))^2),1)*IF(AND($A124&gt;='Control Room'!$A$14,$A124&lt;'Control Room'!$A$14+'Control Room'!$B$14,'Process'!BL3=1),1+('Control Room'!$C$14-1)*EXP(-0.5*(($A124-'Control Room'!$A$14-('Control Room'!$B$14-1)/2)/MAX(0.5,'Control Room'!$B$14/4))^2),1)*IF(AND($A124&gt;='Control Room'!$A$15,$A124&lt;'Control Room'!$A$15+'Control Room'!$B$15,'Process'!BL4=1),1+('Control Room'!$C$15-1)*EXP(-0.5*(($A124-'Control Room'!$A$15-('Control Room'!$B$15-1)/2)/MAX(0.5,'Control Room'!$B$15/4))^2),1)*IF(AND($A124&gt;='Control Room'!$A$16,$A124&lt;'Control Room'!$A$16+'Control Room'!$B$16,'Process'!BL5=1),1+('Control Room'!$C$16-1)*EXP(-0.5*(($A124-'Control Room'!$A$16-('Control Room'!$B$16-1)/2)/MAX(0.5,'Control Room'!$B$16/4))^2),1)</x:f>
        <x:v>1</x:v>
      </x:c>
      <x:c r="L124" s="9" t="n">
        <x:f>MOD(M123*16807,2147483647)</x:f>
        <x:v>541424806</x:v>
      </x:c>
      <x:c r="M124" s="9" t="n">
        <x:f>MOD(L124*16807,2147483647)</x:f>
        <x:v>838502103</x:v>
      </x:c>
      <x:c r="N124" s="17" t="n">
        <x:f>IF('Control Room'!$B$5="Normal",'Control Room'!$B$7+'Control Room'!$D$7*SQRT(-2*LN(MAX(0.000000000001,L124/2147483647)))*COS(2*PI()*M124/2147483647),'Control Room'!$B$8+('Control Room'!$D$8-'Control Room'!$B$8)*L124/2147483647)</x:f>
        <x:v>884.6097671220546</x:v>
      </x:c>
      <x:c r="O124" s="17" t="n">
        <x:f>IF('Control Room'!$B$5="Normal",'Control Room'!$B$7,('Control Room'!$B$8+'Control Room'!$D$8)/2)+'Control Room'!$B$9*(O123-IF('Control Room'!$B$5="Normal",'Control Room'!$B$7,('Control Room'!$B$8+'Control Room'!$D$8)/2))+SQRT(1-'Control Room'!$B$9^2)*(N124-IF('Control Room'!$B$5="Normal",'Control Room'!$B$7,('Control Room'!$B$8+'Control Room'!$D$8)/2))</x:f>
        <x:v>887.1257272357741</x:v>
      </x:c>
      <x:c r="P124" s="17" t="n">
        <x:f>IF(AND($A124&gt;='Control Room'!$A$13,$A124&lt;'Control Room'!$A$13+'Control Room'!$B$13,'Process'!BM2=1),1+('Control Room'!$C$13-1)*EXP(-0.5*(($A124-'Control Room'!$A$13-('Control Room'!$B$13-1)/2)/MAX(0.5,'Control Room'!$B$13/4))^2),1)*IF(AND($A124&gt;='Control Room'!$A$14,$A124&lt;'Control Room'!$A$14+'Control Room'!$B$14,'Process'!BM3=1),1+('Control Room'!$C$14-1)*EXP(-0.5*(($A124-'Control Room'!$A$14-('Control Room'!$B$14-1)/2)/MAX(0.5,'Control Room'!$B$14/4))^2),1)*IF(AND($A124&gt;='Control Room'!$A$15,$A124&lt;'Control Room'!$A$15+'Control Room'!$B$15,'Process'!BM4=1),1+('Control Room'!$C$15-1)*EXP(-0.5*(($A124-'Control Room'!$A$15-('Control Room'!$B$15-1)/2)/MAX(0.5,'Control Room'!$B$15/4))^2),1)*IF(AND($A124&gt;='Control Room'!$A$16,$A124&lt;'Control Room'!$A$16+'Control Room'!$B$16,'Process'!BM5=1),1+('Control Room'!$C$16-1)*EXP(-0.5*(($A124-'Control Room'!$A$16-('Control Room'!$B$16-1)/2)/MAX(0.5,'Control Room'!$B$16/4))^2),1)</x:f>
        <x:v>1</x:v>
      </x:c>
      <x:c r="Q124" s="9" t="n">
        <x:f>MOD(R123*16807,2147483647)</x:f>
        <x:v>1912580259</x:v>
      </x:c>
      <x:c r="R124" s="9" t="n">
        <x:f>MOD(Q124*16807,2147483647)</x:f>
        <x:v>1201184717</x:v>
      </x:c>
      <x:c r="S124" s="17" t="n">
        <x:f>IF('Control Room'!$B$5="Normal",'Control Room'!$B$7+'Control Room'!$D$7*SQRT(-2*LN(MAX(0.000000000001,Q124/2147483647)))*COS(2*PI()*R124/2147483647),'Control Room'!$B$8+('Control Room'!$D$8-'Control Room'!$B$8)*Q124/2147483647)</x:f>
        <x:v>959.6563594369633</x:v>
      </x:c>
      <x:c r="T124" s="17" t="n">
        <x:f>IF('Control Room'!$B$5="Normal",'Control Room'!$B$7,('Control Room'!$B$8+'Control Room'!$D$8)/2)+'Control Room'!$B$9*(T123-IF('Control Room'!$B$5="Normal",'Control Room'!$B$7,('Control Room'!$B$8+'Control Room'!$D$8)/2))+SQRT(1-'Control Room'!$B$9^2)*(S124-IF('Control Room'!$B$5="Normal",'Control Room'!$B$7,('Control Room'!$B$8+'Control Room'!$D$8)/2))</x:f>
        <x:v>850.1951630966569</x:v>
      </x:c>
      <x:c r="U124" s="17" t="n">
        <x:f>IF(AND($A124&gt;='Control Room'!$A$13,$A124&lt;'Control Room'!$A$13+'Control Room'!$B$13,'Process'!BN2=1),1+('Control Room'!$C$13-1)*EXP(-0.5*(($A124-'Control Room'!$A$13-('Control Room'!$B$13-1)/2)/MAX(0.5,'Control Room'!$B$13/4))^2),1)*IF(AND($A124&gt;='Control Room'!$A$14,$A124&lt;'Control Room'!$A$14+'Control Room'!$B$14,'Process'!BN3=1),1+('Control Room'!$C$14-1)*EXP(-0.5*(($A124-'Control Room'!$A$14-('Control Room'!$B$14-1)/2)/MAX(0.5,'Control Room'!$B$14/4))^2),1)*IF(AND($A124&gt;='Control Room'!$A$15,$A124&lt;'Control Room'!$A$15+'Control Room'!$B$15,'Process'!BN4=1),1+('Control Room'!$C$15-1)*EXP(-0.5*(($A124-'Control Room'!$A$15-('Control Room'!$B$15-1)/2)/MAX(0.5,'Control Room'!$B$15/4))^2),1)*IF(AND($A124&gt;='Control Room'!$A$16,$A124&lt;'Control Room'!$A$16+'Control Room'!$B$16,'Process'!BN5=1),1+('Control Room'!$C$16-1)*EXP(-0.5*(($A124-'Control Room'!$A$16-('Control Room'!$B$16-1)/2)/MAX(0.5,'Control Room'!$B$16/4))^2),1)</x:f>
        <x:v>1</x:v>
      </x:c>
      <x:c r="V124" s="9" t="n">
        <x:f>MOD(W123*16807,2147483647)</x:f>
        <x:v>1136252065</x:v>
      </x:c>
      <x:c r="W124" s="9" t="n">
        <x:f>MOD(V124*16807,2147483647)</x:f>
        <x:v>1563867331</x:v>
      </x:c>
      <x:c r="X124" s="17" t="n">
        <x:f>IF('Control Room'!$B$5="Normal",'Control Room'!$B$7+'Control Room'!$D$7*SQRT(-2*LN(MAX(0.000000000001,V124/2147483647)))*COS(2*PI()*W124/2147483647),'Control Room'!$B$8+('Control Room'!$D$8-'Control Room'!$B$8)*V124/2147483647)</x:f>
        <x:v>986.154398771016</x:v>
      </x:c>
      <x:c r="Y124" s="17" t="n">
        <x:f>IF('Control Room'!$B$5="Normal",'Control Room'!$B$7,('Control Room'!$B$8+'Control Room'!$D$8)/2)+'Control Room'!$B$9*(Y123-IF('Control Room'!$B$5="Normal",'Control Room'!$B$7,('Control Room'!$B$8+'Control Room'!$D$8)/2))+SQRT(1-'Control Room'!$B$9^2)*(X124-IF('Control Room'!$B$5="Normal",'Control Room'!$B$7,('Control Room'!$B$8+'Control Room'!$D$8)/2))</x:f>
        <x:v>961.3145552462486</x:v>
      </x:c>
      <x:c r="Z124" s="17" t="n">
        <x:f>IF(AND($A124&gt;='Control Room'!$A$13,$A124&lt;'Control Room'!$A$13+'Control Room'!$B$13,'Process'!BO2=1),1+('Control Room'!$C$13-1)*EXP(-0.5*(($A124-'Control Room'!$A$13-('Control Room'!$B$13-1)/2)/MAX(0.5,'Control Room'!$B$13/4))^2),1)*IF(AND($A124&gt;='Control Room'!$A$14,$A124&lt;'Control Room'!$A$14+'Control Room'!$B$14,'Process'!BO3=1),1+('Control Room'!$C$14-1)*EXP(-0.5*(($A124-'Control Room'!$A$14-('Control Room'!$B$14-1)/2)/MAX(0.5,'Control Room'!$B$14/4))^2),1)*IF(AND($A124&gt;='Control Room'!$A$15,$A124&lt;'Control Room'!$A$15+'Control Room'!$B$15,'Process'!BO4=1),1+('Control Room'!$C$15-1)*EXP(-0.5*(($A124-'Control Room'!$A$15-('Control Room'!$B$15-1)/2)/MAX(0.5,'Control Room'!$B$15/4))^2),1)*IF(AND($A124&gt;='Control Room'!$A$16,$A124&lt;'Control Room'!$A$16+'Control Room'!$B$16,'Process'!BO5=1),1+('Control Room'!$C$16-1)*EXP(-0.5*(($A124-'Control Room'!$A$16-('Control Room'!$B$16-1)/2)/MAX(0.5,'Control Room'!$B$16/4))^2),1)</x:f>
        <x:v>1</x:v>
      </x:c>
      <x:c r="AA124" s="9" t="n">
        <x:f>MOD(AB123*16807,2147483647)</x:f>
        <x:v>359923871</x:v>
      </x:c>
      <x:c r="AB124" s="9" t="n">
        <x:f>MOD(AA124*16807,2147483647)</x:f>
        <x:v>1926549945</x:v>
      </x:c>
      <x:c r="AC124" s="17" t="n">
        <x:f>IF('Control Room'!$B$5="Normal",'Control Room'!$B$7+'Control Room'!$D$7*SQRT(-2*LN(MAX(0.000000000001,AA124/2147483647)))*COS(2*PI()*AB124/2147483647),'Control Room'!$B$8+('Control Room'!$D$8-'Control Room'!$B$8)*AA124/2147483647)</x:f>
        <x:v>1135.7861097492373</x:v>
      </x:c>
      <x:c r="AD124" s="17" t="n">
        <x:f>IF('Control Room'!$B$5="Normal",'Control Room'!$B$7,('Control Room'!$B$8+'Control Room'!$D$8)/2)+'Control Room'!$B$9*(AD123-IF('Control Room'!$B$5="Normal",'Control Room'!$B$7,('Control Room'!$B$8+'Control Room'!$D$8)/2))+SQRT(1-'Control Room'!$B$9^2)*(AC124-IF('Control Room'!$B$5="Normal",'Control Room'!$B$7,('Control Room'!$B$8+'Control Room'!$D$8)/2))</x:f>
        <x:v>1020.8265793709884</x:v>
      </x:c>
      <x:c r="AE124" s="17" t="n">
        <x:f>IF(AND($A124&gt;='Control Room'!$A$13,$A124&lt;'Control Room'!$A$13+'Control Room'!$B$13,'Process'!BP2=1),1+('Control Room'!$C$13-1)*EXP(-0.5*(($A124-'Control Room'!$A$13-('Control Room'!$B$13-1)/2)/MAX(0.5,'Control Room'!$B$13/4))^2),1)*IF(AND($A124&gt;='Control Room'!$A$14,$A124&lt;'Control Room'!$A$14+'Control Room'!$B$14,'Process'!BP3=1),1+('Control Room'!$C$14-1)*EXP(-0.5*(($A124-'Control Room'!$A$14-('Control Room'!$B$14-1)/2)/MAX(0.5,'Control Room'!$B$14/4))^2),1)*IF(AND($A124&gt;='Control Room'!$A$15,$A124&lt;'Control Room'!$A$15+'Control Room'!$B$15,'Process'!BP4=1),1+('Control Room'!$C$15-1)*EXP(-0.5*(($A124-'Control Room'!$A$15-('Control Room'!$B$15-1)/2)/MAX(0.5,'Control Room'!$B$15/4))^2),1)*IF(AND($A124&gt;='Control Room'!$A$16,$A124&lt;'Control Room'!$A$16+'Control Room'!$B$16,'Process'!BP5=1),1+('Control Room'!$C$16-1)*EXP(-0.5*(($A124-'Control Room'!$A$16-('Control Room'!$B$16-1)/2)/MAX(0.5,'Control Room'!$B$16/4))^2),1)</x:f>
        <x:v>1</x:v>
      </x:c>
      <x:c r="AF124" s="9" t="n">
        <x:f>MOD(AG123*16807,2147483647)</x:f>
        <x:v>1731079324</x:v>
      </x:c>
      <x:c r="AG124" s="9" t="n">
        <x:f>MOD(AF124*16807,2147483647)</x:f>
        <x:v>141748912</x:v>
      </x:c>
      <x:c r="AH124" s="17" t="n">
        <x:f>IF('Control Room'!$B$5="Normal",'Control Room'!$B$7+'Control Room'!$D$7*SQRT(-2*LN(MAX(0.000000000001,AF124/2147483647)))*COS(2*PI()*AG124/2147483647),'Control Room'!$B$8+('Control Room'!$D$8-'Control Room'!$B$8)*AF124/2147483647)</x:f>
        <x:v>1054.082947819758</x:v>
      </x:c>
      <x:c r="AI124" s="17" t="n">
        <x:f>IF('Control Room'!$B$5="Normal",'Control Room'!$B$7,('Control Room'!$B$8+'Control Room'!$D$8)/2)+'Control Room'!$B$9*(AI123-IF('Control Room'!$B$5="Normal",'Control Room'!$B$7,('Control Room'!$B$8+'Control Room'!$D$8)/2))+SQRT(1-'Control Room'!$B$9^2)*(AH124-IF('Control Room'!$B$5="Normal",'Control Room'!$B$7,('Control Room'!$B$8+'Control Room'!$D$8)/2))</x:f>
        <x:v>1015.964055381141</x:v>
      </x:c>
      <x:c r="AJ124" s="17" t="n">
        <x:f>IF(AND($A124&gt;='Control Room'!$A$13,$A124&lt;'Control Room'!$A$13+'Control Room'!$B$13,'Process'!BQ2=1),1+('Control Room'!$C$13-1)*EXP(-0.5*(($A124-'Control Room'!$A$13-('Control Room'!$B$13-1)/2)/MAX(0.5,'Control Room'!$B$13/4))^2),1)*IF(AND($A124&gt;='Control Room'!$A$14,$A124&lt;'Control Room'!$A$14+'Control Room'!$B$14,'Process'!BQ3=1),1+('Control Room'!$C$14-1)*EXP(-0.5*(($A124-'Control Room'!$A$14-('Control Room'!$B$14-1)/2)/MAX(0.5,'Control Room'!$B$14/4))^2),1)*IF(AND($A124&gt;='Control Room'!$A$15,$A124&lt;'Control Room'!$A$15+'Control Room'!$B$15,'Process'!BQ4=1),1+('Control Room'!$C$15-1)*EXP(-0.5*(($A124-'Control Room'!$A$15-('Control Room'!$B$15-1)/2)/MAX(0.5,'Control Room'!$B$15/4))^2),1)*IF(AND($A124&gt;='Control Room'!$A$16,$A124&lt;'Control Room'!$A$16+'Control Room'!$B$16,'Process'!BQ5=1),1+('Control Room'!$C$16-1)*EXP(-0.5*(($A124-'Control Room'!$A$16-('Control Room'!$B$16-1)/2)/MAX(0.5,'Control Room'!$B$16/4))^2),1)</x:f>
        <x:v>1</x:v>
      </x:c>
      <x:c r="AK124" s="9" t="n">
        <x:f>MOD(AL123*16807,2147483647)</x:f>
        <x:v>954751130</x:v>
      </x:c>
      <x:c r="AL124" s="9" t="n">
        <x:f>MOD(AK124*16807,2147483647)</x:f>
        <x:v>504431526</x:v>
      </x:c>
      <x:c r="AM124" s="17" t="n">
        <x:f>IF('Control Room'!$B$5="Normal",'Control Room'!$B$7+'Control Room'!$D$7*SQRT(-2*LN(MAX(0.000000000001,AK124/2147483647)))*COS(2*PI()*AL124/2147483647),'Control Room'!$B$8+('Control Room'!$D$8-'Control Room'!$B$8)*AK124/2147483647)</x:f>
        <x:v>1010.8600430325553</x:v>
      </x:c>
      <x:c r="AN124" s="17" t="n">
        <x:f>IF('Control Room'!$B$5="Normal",'Control Room'!$B$7,('Control Room'!$B$8+'Control Room'!$D$8)/2)+'Control Room'!$B$9*(AN123-IF('Control Room'!$B$5="Normal",'Control Room'!$B$7,('Control Room'!$B$8+'Control Room'!$D$8)/2))+SQRT(1-'Control Room'!$B$9^2)*(AM124-IF('Control Room'!$B$5="Normal",'Control Room'!$B$7,('Control Room'!$B$8+'Control Room'!$D$8)/2))</x:f>
        <x:v>1012.1872049462487</x:v>
      </x:c>
      <x:c r="AO124" s="17" t="n">
        <x:f>IF(AND($A124&gt;='Control Room'!$A$13,$A124&lt;'Control Room'!$A$13+'Control Room'!$B$13,'Process'!BR2=1),1+('Control Room'!$C$13-1)*EXP(-0.5*(($A124-'Control Room'!$A$13-('Control Room'!$B$13-1)/2)/MAX(0.5,'Control Room'!$B$13/4))^2),1)*IF(AND($A124&gt;='Control Room'!$A$14,$A124&lt;'Control Room'!$A$14+'Control Room'!$B$14,'Process'!BR3=1),1+('Control Room'!$C$14-1)*EXP(-0.5*(($A124-'Control Room'!$A$14-('Control Room'!$B$14-1)/2)/MAX(0.5,'Control Room'!$B$14/4))^2),1)*IF(AND($A124&gt;='Control Room'!$A$15,$A124&lt;'Control Room'!$A$15+'Control Room'!$B$15,'Process'!BR4=1),1+('Control Room'!$C$15-1)*EXP(-0.5*(($A124-'Control Room'!$A$15-('Control Room'!$B$15-1)/2)/MAX(0.5,'Control Room'!$B$15/4))^2),1)*IF(AND($A124&gt;='Control Room'!$A$16,$A124&lt;'Control Room'!$A$16+'Control Room'!$B$16,'Process'!BR5=1),1+('Control Room'!$C$16-1)*EXP(-0.5*(($A124-'Control Room'!$A$16-('Control Room'!$B$16-1)/2)/MAX(0.5,'Control Room'!$B$16/4))^2),1)</x:f>
        <x:v>1</x:v>
      </x:c>
      <x:c r="AP124" s="9" t="n">
        <x:f>MOD(AQ123*16807,2147483647)</x:f>
        <x:v>178422936</x:v>
      </x:c>
      <x:c r="AQ124" s="9" t="n">
        <x:f>MOD(AP124*16807,2147483647)</x:f>
        <x:v>867114140</x:v>
      </x:c>
      <x:c r="AR124" s="17" t="n">
        <x:f>IF('Control Room'!$B$5="Normal",'Control Room'!$B$7+'Control Room'!$D$7*SQRT(-2*LN(MAX(0.000000000001,AP124/2147483647)))*COS(2*PI()*AQ124/2147483647),'Control Room'!$B$8+('Control Room'!$D$8-'Control Room'!$B$8)*AP124/2147483647)</x:f>
        <x:v>834.8254925668069</x:v>
      </x:c>
      <x:c r="AS124" s="17" t="n">
        <x:f>IF('Control Room'!$B$5="Normal",'Control Room'!$B$7,('Control Room'!$B$8+'Control Room'!$D$8)/2)+'Control Room'!$B$9*(AS123-IF('Control Room'!$B$5="Normal",'Control Room'!$B$7,('Control Room'!$B$8+'Control Room'!$D$8)/2))+SQRT(1-'Control Room'!$B$9^2)*(AR124-IF('Control Room'!$B$5="Normal",'Control Room'!$B$7,('Control Room'!$B$8+'Control Room'!$D$8)/2))</x:f>
        <x:v>835.4803113198653</x:v>
      </x:c>
      <x:c r="AT124" s="17" t="n">
        <x:f>IF(AND($A124&gt;='Control Room'!$A$13,$A124&lt;'Control Room'!$A$13+'Control Room'!$B$13,'Process'!BS2=1),1+('Control Room'!$C$13-1)*EXP(-0.5*(($A124-'Control Room'!$A$13-('Control Room'!$B$13-1)/2)/MAX(0.5,'Control Room'!$B$13/4))^2),1)*IF(AND($A124&gt;='Control Room'!$A$14,$A124&lt;'Control Room'!$A$14+'Control Room'!$B$14,'Process'!BS3=1),1+('Control Room'!$C$14-1)*EXP(-0.5*(($A124-'Control Room'!$A$14-('Control Room'!$B$14-1)/2)/MAX(0.5,'Control Room'!$B$14/4))^2),1)*IF(AND($A124&gt;='Control Room'!$A$15,$A124&lt;'Control Room'!$A$15+'Control Room'!$B$15,'Process'!BS4=1),1+('Control Room'!$C$15-1)*EXP(-0.5*(($A124-'Control Room'!$A$15-('Control Room'!$B$15-1)/2)/MAX(0.5,'Control Room'!$B$15/4))^2),1)*IF(AND($A124&gt;='Control Room'!$A$16,$A124&lt;'Control Room'!$A$16+'Control Room'!$B$16,'Process'!BS5=1),1+('Control Room'!$C$16-1)*EXP(-0.5*(($A124-'Control Room'!$A$16-('Control Room'!$B$16-1)/2)/MAX(0.5,'Control Room'!$B$16/4))^2),1)</x:f>
        <x:v>1</x:v>
      </x:c>
      <x:c r="AU124" s="9" t="n">
        <x:f>MOD(AV123*16807,2147483647)</x:f>
        <x:v>1549578389</x:v>
      </x:c>
      <x:c r="AV124" s="9" t="n">
        <x:f>MOD(AU124*16807,2147483647)</x:f>
        <x:v>1229796754</x:v>
      </x:c>
      <x:c r="AW124" s="17" t="n">
        <x:f>IF('Control Room'!$B$5="Normal",'Control Room'!$B$7+'Control Room'!$D$7*SQRT(-2*LN(MAX(0.000000000001,AU124/2147483647)))*COS(2*PI()*AV124/2147483647),'Control Room'!$B$8+('Control Room'!$D$8-'Control Room'!$B$8)*AU124/2147483647)</x:f>
        <x:v>934.7412013676587</x:v>
      </x:c>
      <x:c r="AX124" s="17" t="n">
        <x:f>IF('Control Room'!$B$5="Normal",'Control Room'!$B$7,('Control Room'!$B$8+'Control Room'!$D$8)/2)+'Control Room'!$B$9*(AX123-IF('Control Room'!$B$5="Normal",'Control Room'!$B$7,('Control Room'!$B$8+'Control Room'!$D$8)/2))+SQRT(1-'Control Room'!$B$9^2)*(AW124-IF('Control Room'!$B$5="Normal",'Control Room'!$B$7,('Control Room'!$B$8+'Control Room'!$D$8)/2))</x:f>
        <x:v>961.1049653904561</x:v>
      </x:c>
      <x:c r="AY124" s="17" t="n">
        <x:f>IF(AND($A124&gt;='Control Room'!$A$13,$A124&lt;'Control Room'!$A$13+'Control Room'!$B$13,'Process'!BT2=1),1+('Control Room'!$C$13-1)*EXP(-0.5*(($A124-'Control Room'!$A$13-('Control Room'!$B$13-1)/2)/MAX(0.5,'Control Room'!$B$13/4))^2),1)*IF(AND($A124&gt;='Control Room'!$A$14,$A124&lt;'Control Room'!$A$14+'Control Room'!$B$14,'Process'!BT3=1),1+('Control Room'!$C$14-1)*EXP(-0.5*(($A124-'Control Room'!$A$14-('Control Room'!$B$14-1)/2)/MAX(0.5,'Control Room'!$B$14/4))^2),1)*IF(AND($A124&gt;='Control Room'!$A$15,$A124&lt;'Control Room'!$A$15+'Control Room'!$B$15,'Process'!BT4=1),1+('Control Room'!$C$15-1)*EXP(-0.5*(($A124-'Control Room'!$A$15-('Control Room'!$B$15-1)/2)/MAX(0.5,'Control Room'!$B$15/4))^2),1)*IF(AND($A124&gt;='Control Room'!$A$16,$A124&lt;'Control Room'!$A$16+'Control Room'!$B$16,'Process'!BT5=1),1+('Control Room'!$C$16-1)*EXP(-0.5*(($A124-'Control Room'!$A$16-('Control Room'!$B$16-1)/2)/MAX(0.5,'Control Room'!$B$16/4))^2),1)</x:f>
        <x:v>1</x:v>
      </x:c>
      <x:c r="AZ124" s="9" t="n">
        <x:f>MOD(BA123*16807,2147483647)</x:f>
        <x:v>773250195</x:v>
      </x:c>
      <x:c r="BA124" s="9" t="n">
        <x:f>MOD(AZ124*16807,2147483647)</x:f>
        <x:v>1592479368</x:v>
      </x:c>
      <x:c r="BB124" s="17" t="n">
        <x:f>IF('Control Room'!$B$5="Normal",'Control Room'!$B$7+'Control Room'!$D$7*SQRT(-2*LN(MAX(0.000000000001,AZ124/2147483647)))*COS(2*PI()*BA124/2147483647),'Control Room'!$B$8+('Control Room'!$D$8-'Control Room'!$B$8)*AZ124/2147483647)</x:f>
        <x:v>993.1783312711631</x:v>
      </x:c>
      <x:c r="BC124" s="17" t="n">
        <x:f>IF('Control Room'!$B$5="Normal",'Control Room'!$B$7,('Control Room'!$B$8+'Control Room'!$D$8)/2)+'Control Room'!$B$9*(BC123-IF('Control Room'!$B$5="Normal",'Control Room'!$B$7,('Control Room'!$B$8+'Control Room'!$D$8)/2))+SQRT(1-'Control Room'!$B$9^2)*(BB124-IF('Control Room'!$B$5="Normal",'Control Room'!$B$7,('Control Room'!$B$8+'Control Room'!$D$8)/2))</x:f>
        <x:v>1083.2655716002723</x:v>
      </x:c>
      <x:c r="BD124" s="17" t="n">
        <x:f>IF(AND($A124&gt;='Control Room'!$A$13,$A124&lt;'Control Room'!$A$13+'Control Room'!$B$13,'Process'!BU2=1),1+('Control Room'!$C$13-1)*EXP(-0.5*(($A124-'Control Room'!$A$13-('Control Room'!$B$13-1)/2)/MAX(0.5,'Control Room'!$B$13/4))^2),1)*IF(AND($A124&gt;='Control Room'!$A$14,$A124&lt;'Control Room'!$A$14+'Control Room'!$B$14,'Process'!BU3=1),1+('Control Room'!$C$14-1)*EXP(-0.5*(($A124-'Control Room'!$A$14-('Control Room'!$B$14-1)/2)/MAX(0.5,'Control Room'!$B$14/4))^2),1)*IF(AND($A124&gt;='Control Room'!$A$15,$A124&lt;'Control Room'!$A$15+'Control Room'!$B$15,'Process'!BU4=1),1+('Control Room'!$C$15-1)*EXP(-0.5*(($A124-'Control Room'!$A$15-('Control Room'!$B$15-1)/2)/MAX(0.5,'Control Room'!$B$15/4))^2),1)*IF(AND($A124&gt;='Control Room'!$A$16,$A124&lt;'Control Room'!$A$16+'Control Room'!$B$16,'Process'!BU5=1),1+('Control Room'!$C$16-1)*EXP(-0.5*(($A124-'Control Room'!$A$16-('Control Room'!$B$16-1)/2)/MAX(0.5,'Control Room'!$B$16/4))^2),1)</x:f>
        <x:v>1</x:v>
      </x:c>
      <x:c r="BE124" s="9" t="n">
        <x:f>MOD(BF123*16807,2147483647)</x:f>
        <x:v>2144405648</x:v>
      </x:c>
      <x:c r="BF124" s="9" t="n">
        <x:f>MOD(BE124*16807,2147483647)</x:f>
        <x:v>1955161982</x:v>
      </x:c>
      <x:c r="BG124" s="17" t="n">
        <x:f>IF('Control Room'!$B$5="Normal",'Control Room'!$B$7+'Control Room'!$D$7*SQRT(-2*LN(MAX(0.000000000001,BE124/2147483647)))*COS(2*PI()*BF124/2147483647),'Control Room'!$B$8+('Control Room'!$D$8-'Control Room'!$B$8)*BE124/2147483647)</x:f>
        <x:v>1004.0771707035339</x:v>
      </x:c>
      <x:c r="BH124" s="17" t="n">
        <x:f>IF('Control Room'!$B$5="Normal",'Control Room'!$B$7,('Control Room'!$B$8+'Control Room'!$D$8)/2)+'Control Room'!$B$9*(BH123-IF('Control Room'!$B$5="Normal",'Control Room'!$B$7,('Control Room'!$B$8+'Control Room'!$D$8)/2))+SQRT(1-'Control Room'!$B$9^2)*(BG124-IF('Control Room'!$B$5="Normal",'Control Room'!$B$7,('Control Room'!$B$8+'Control Room'!$D$8)/2))</x:f>
        <x:v>983.8435194274389</x:v>
      </x:c>
      <x:c r="BI124" s="17" t="n">
        <x:f>IF(AND($A124&gt;='Control Room'!$A$13,$A124&lt;'Control Room'!$A$13+'Control Room'!$B$13,'Process'!BV2=1),1+('Control Room'!$C$13-1)*EXP(-0.5*(($A124-'Control Room'!$A$13-('Control Room'!$B$13-1)/2)/MAX(0.5,'Control Room'!$B$13/4))^2),1)*IF(AND($A124&gt;='Control Room'!$A$14,$A124&lt;'Control Room'!$A$14+'Control Room'!$B$14,'Process'!BV3=1),1+('Control Room'!$C$14-1)*EXP(-0.5*(($A124-'Control Room'!$A$14-('Control Room'!$B$14-1)/2)/MAX(0.5,'Control Room'!$B$14/4))^2),1)*IF(AND($A124&gt;='Control Room'!$A$15,$A124&lt;'Control Room'!$A$15+'Control Room'!$B$15,'Process'!BV4=1),1+('Control Room'!$C$15-1)*EXP(-0.5*(($A124-'Control Room'!$A$15-('Control Room'!$B$15-1)/2)/MAX(0.5,'Control Room'!$B$15/4))^2),1)*IF(AND($A124&gt;='Control Room'!$A$16,$A124&lt;'Control Room'!$A$16+'Control Room'!$B$16,'Process'!BV5=1),1+('Control Room'!$C$16-1)*EXP(-0.5*(($A124-'Control Room'!$A$16-('Control Room'!$B$16-1)/2)/MAX(0.5,'Control Room'!$B$16/4))^2),1)</x:f>
        <x:v>1</x:v>
      </x:c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Z124" t="str">
        <x:f>IF('Data'!A124="","",TEXT('Data'!A124,"mm-dd"))</x:f>
      </x:c>
    </x:row>
    <x:row r="125" ht="21" customHeight="1">
      <x:c r="A125" s="15" t="n">
        <x:f>'Control Room'!$B$1+123</x:f>
        <x:v>73114</x:v>
      </x:c>
      <x:c r="B125" s="9" t="n">
        <x:f>MOD(C124*16807,2147483647)</x:f>
        <x:v>968430530</x:v>
      </x:c>
      <x:c r="C125" s="9" t="n">
        <x:f>MOD(B125*16807,2147483647)</x:f>
        <x:v>633357097</x:v>
      </x:c>
      <x:c r="D125" s="17" t="n">
        <x:f>IF('Control Room'!$B$5="Normal",'Control Room'!$B$7+'Control Room'!$D$7*SQRT(-2*LN(MAX(0.000000000001,B125/2147483647)))*COS(2*PI()*C125/2147483647),'Control Room'!$B$8+('Control Room'!$D$8-'Control Room'!$B$8)*B125/2147483647)</x:f>
        <x:v>968.3591875753901</x:v>
      </x:c>
      <x:c r="E125" s="17" t="n">
        <x:f>IF('Control Room'!$B$5="Normal",'Control Room'!$B$7,('Control Room'!$B$8+'Control Room'!$D$8)/2)+'Control Room'!$B$9*(E124-IF('Control Room'!$B$5="Normal",'Control Room'!$B$7,('Control Room'!$B$8+'Control Room'!$D$8)/2))+SQRT(1-'Control Room'!$B$9^2)*(D125-IF('Control Room'!$B$5="Normal",'Control Room'!$B$7,('Control Room'!$B$8+'Control Room'!$D$8)/2))</x:f>
        <x:v>835.9670848041295</x:v>
      </x:c>
      <x:c r="F125" s="17" t="n">
        <x:f>IF(AND($A125&gt;='Control Room'!$A$13,$A125&lt;'Control Room'!$A$13+'Control Room'!$B$13,'Process'!BK2=1),1+('Control Room'!$C$13-1)*EXP(-0.5*(($A125-'Control Room'!$A$13-('Control Room'!$B$13-1)/2)/MAX(0.5,'Control Room'!$B$13/4))^2),1)*IF(AND($A125&gt;='Control Room'!$A$14,$A125&lt;'Control Room'!$A$14+'Control Room'!$B$14,'Process'!BK3=1),1+('Control Room'!$C$14-1)*EXP(-0.5*(($A125-'Control Room'!$A$14-('Control Room'!$B$14-1)/2)/MAX(0.5,'Control Room'!$B$14/4))^2),1)*IF(AND($A125&gt;='Control Room'!$A$15,$A125&lt;'Control Room'!$A$15+'Control Room'!$B$15,'Process'!BK4=1),1+('Control Room'!$C$15-1)*EXP(-0.5*(($A125-'Control Room'!$A$15-('Control Room'!$B$15-1)/2)/MAX(0.5,'Control Room'!$B$15/4))^2),1)*IF(AND($A125&gt;='Control Room'!$A$16,$A125&lt;'Control Room'!$A$16+'Control Room'!$B$16,'Process'!BK5=1),1+('Control Room'!$C$16-1)*EXP(-0.5*(($A125-'Control Room'!$A$16-('Control Room'!$B$16-1)/2)/MAX(0.5,'Control Room'!$B$16/4))^2),1)</x:f>
        <x:v>1</x:v>
      </x:c>
      <x:c r="G125" s="9" t="n">
        <x:f>MOD(H124*16807,2147483647)</x:f>
        <x:v>2016533842</x:v>
      </x:c>
      <x:c r="H125" s="9" t="n">
        <x:f>MOD(G125*16807,2147483647)</x:f>
        <x:v>297365540</x:v>
      </x:c>
      <x:c r="I125" s="17" t="n">
        <x:f>IF('Control Room'!$B$5="Normal",'Control Room'!$B$7+'Control Room'!$D$7*SQRT(-2*LN(MAX(0.000000000001,G125/2147483647)))*COS(2*PI()*H125/2147483647),'Control Room'!$B$8+('Control Room'!$D$8-'Control Room'!$B$8)*G125/2147483647)</x:f>
        <x:v>1020.5854860376423</x:v>
      </x:c>
      <x:c r="J125" s="17" t="n">
        <x:f>IF('Control Room'!$B$5="Normal",'Control Room'!$B$7,('Control Room'!$B$8+'Control Room'!$D$8)/2)+'Control Room'!$B$9*(J124-IF('Control Room'!$B$5="Normal",'Control Room'!$B$7,('Control Room'!$B$8+'Control Room'!$D$8)/2))+SQRT(1-'Control Room'!$B$9^2)*(I125-IF('Control Room'!$B$5="Normal",'Control Room'!$B$7,('Control Room'!$B$8+'Control Room'!$D$8)/2))</x:f>
        <x:v>980.120616644621</x:v>
      </x:c>
      <x:c r="K125" s="17" t="n">
        <x:f>IF(AND($A125&gt;='Control Room'!$A$13,$A125&lt;'Control Room'!$A$13+'Control Room'!$B$13,'Process'!BL2=1),1+('Control Room'!$C$13-1)*EXP(-0.5*(($A125-'Control Room'!$A$13-('Control Room'!$B$13-1)/2)/MAX(0.5,'Control Room'!$B$13/4))^2),1)*IF(AND($A125&gt;='Control Room'!$A$14,$A125&lt;'Control Room'!$A$14+'Control Room'!$B$14,'Process'!BL3=1),1+('Control Room'!$C$14-1)*EXP(-0.5*(($A125-'Control Room'!$A$14-('Control Room'!$B$14-1)/2)/MAX(0.5,'Control Room'!$B$14/4))^2),1)*IF(AND($A125&gt;='Control Room'!$A$15,$A125&lt;'Control Room'!$A$15+'Control Room'!$B$15,'Process'!BL4=1),1+('Control Room'!$C$15-1)*EXP(-0.5*(($A125-'Control Room'!$A$15-('Control Room'!$B$15-1)/2)/MAX(0.5,'Control Room'!$B$15/4))^2),1)*IF(AND($A125&gt;='Control Room'!$A$16,$A125&lt;'Control Room'!$A$16+'Control Room'!$B$16,'Process'!BL5=1),1+('Control Room'!$C$16-1)*EXP(-0.5*(($A125-'Control Room'!$A$16-('Control Room'!$B$16-1)/2)/MAX(0.5,'Control Room'!$B$16/4))^2),1)</x:f>
        <x:v>1</x:v>
      </x:c>
      <x:c r="L125" s="9" t="n">
        <x:f>MOD(M124*16807,2147483647)</x:f>
        <x:v>917153507</x:v>
      </x:c>
      <x:c r="M125" s="9" t="n">
        <x:f>MOD(L125*16807,2147483647)</x:f>
        <x:v>2108857630</x:v>
      </x:c>
      <x:c r="N125" s="17" t="n">
        <x:f>IF('Control Room'!$B$5="Normal",'Control Room'!$B$7+'Control Room'!$D$7*SQRT(-2*LN(MAX(0.000000000001,L125/2147483647)))*COS(2*PI()*M125/2147483647),'Control Room'!$B$8+('Control Room'!$D$8-'Control Room'!$B$8)*L125/2147483647)</x:f>
        <x:v>1116.6503614611702</x:v>
      </x:c>
      <x:c r="O125" s="17" t="n">
        <x:f>IF('Control Room'!$B$5="Normal",'Control Room'!$B$7,('Control Room'!$B$8+'Control Room'!$D$8)/2)+'Control Room'!$B$9*(O124-IF('Control Room'!$B$5="Normal",'Control Room'!$B$7,('Control Room'!$B$8+'Control Room'!$D$8)/2))+SQRT(1-'Control Room'!$B$9^2)*(N125-IF('Control Room'!$B$5="Normal",'Control Room'!$B$7,('Control Room'!$B$8+'Control Room'!$D$8)/2))</x:f>
        <x:v>984.9554737337571</x:v>
      </x:c>
      <x:c r="P125" s="17" t="n">
        <x:f>IF(AND($A125&gt;='Control Room'!$A$13,$A125&lt;'Control Room'!$A$13+'Control Room'!$B$13,'Process'!BM2=1),1+('Control Room'!$C$13-1)*EXP(-0.5*(($A125-'Control Room'!$A$13-('Control Room'!$B$13-1)/2)/MAX(0.5,'Control Room'!$B$13/4))^2),1)*IF(AND($A125&gt;='Control Room'!$A$14,$A125&lt;'Control Room'!$A$14+'Control Room'!$B$14,'Process'!BM3=1),1+('Control Room'!$C$14-1)*EXP(-0.5*(($A125-'Control Room'!$A$14-('Control Room'!$B$14-1)/2)/MAX(0.5,'Control Room'!$B$14/4))^2),1)*IF(AND($A125&gt;='Control Room'!$A$15,$A125&lt;'Control Room'!$A$15+'Control Room'!$B$15,'Process'!BM4=1),1+('Control Room'!$C$15-1)*EXP(-0.5*(($A125-'Control Room'!$A$15-('Control Room'!$B$15-1)/2)/MAX(0.5,'Control Room'!$B$15/4))^2),1)*IF(AND($A125&gt;='Control Room'!$A$16,$A125&lt;'Control Room'!$A$16+'Control Room'!$B$16,'Process'!BM5=1),1+('Control Room'!$C$16-1)*EXP(-0.5*(($A125-'Control Room'!$A$16-('Control Room'!$B$16-1)/2)/MAX(0.5,'Control Room'!$B$16/4))^2),1)</x:f>
        <x:v>1</x:v>
      </x:c>
      <x:c r="Q125" s="9" t="n">
        <x:f>MOD(R124*16807,2147483647)</x:f>
        <x:v>1965256819</x:v>
      </x:c>
      <x:c r="R125" s="9" t="n">
        <x:f>MOD(Q125*16807,2147483647)</x:f>
        <x:v>1772866073</x:v>
      </x:c>
      <x:c r="S125" s="17" t="n">
        <x:f>IF('Control Room'!$B$5="Normal",'Control Room'!$B$7+'Control Room'!$D$7*SQRT(-2*LN(MAX(0.000000000001,Q125/2147483647)))*COS(2*PI()*R125/2147483647),'Control Room'!$B$8+('Control Room'!$D$8-'Control Room'!$B$8)*Q125/2147483647)</x:f>
        <x:v>1017.3245536907835</x:v>
      </x:c>
      <x:c r="T125" s="17" t="n">
        <x:f>IF('Control Room'!$B$5="Normal",'Control Room'!$B$7,('Control Room'!$B$8+'Control Room'!$D$8)/2)+'Control Room'!$B$9*(T124-IF('Control Room'!$B$5="Normal",'Control Room'!$B$7,('Control Room'!$B$8+'Control Room'!$D$8)/2))+SQRT(1-'Control Room'!$B$9^2)*(S125-IF('Control Room'!$B$5="Normal",'Control Room'!$B$7,('Control Room'!$B$8+'Control Room'!$D$8)/2))</x:f>
        <x:v>893.9935780023111</x:v>
      </x:c>
      <x:c r="U125" s="17" t="n">
        <x:f>IF(AND($A125&gt;='Control Room'!$A$13,$A125&lt;'Control Room'!$A$13+'Control Room'!$B$13,'Process'!BN2=1),1+('Control Room'!$C$13-1)*EXP(-0.5*(($A125-'Control Room'!$A$13-('Control Room'!$B$13-1)/2)/MAX(0.5,'Control Room'!$B$13/4))^2),1)*IF(AND($A125&gt;='Control Room'!$A$14,$A125&lt;'Control Room'!$A$14+'Control Room'!$B$14,'Process'!BN3=1),1+('Control Room'!$C$14-1)*EXP(-0.5*(($A125-'Control Room'!$A$14-('Control Room'!$B$14-1)/2)/MAX(0.5,'Control Room'!$B$14/4))^2),1)*IF(AND($A125&gt;='Control Room'!$A$15,$A125&lt;'Control Room'!$A$15+'Control Room'!$B$15,'Process'!BN4=1),1+('Control Room'!$C$15-1)*EXP(-0.5*(($A125-'Control Room'!$A$15-('Control Room'!$B$15-1)/2)/MAX(0.5,'Control Room'!$B$15/4))^2),1)*IF(AND($A125&gt;='Control Room'!$A$16,$A125&lt;'Control Room'!$A$16+'Control Room'!$B$16,'Process'!BN5=1),1+('Control Room'!$C$16-1)*EXP(-0.5*(($A125-'Control Room'!$A$16-('Control Room'!$B$16-1)/2)/MAX(0.5,'Control Room'!$B$16/4))^2),1)</x:f>
        <x:v>1</x:v>
      </x:c>
      <x:c r="V125" s="9" t="n">
        <x:f>MOD(W124*16807,2147483647)</x:f>
        <x:v>865876484</x:v>
      </x:c>
      <x:c r="W125" s="9" t="n">
        <x:f>MOD(V125*16807,2147483647)</x:f>
        <x:v>1436874516</x:v>
      </x:c>
      <x:c r="X125" s="17" t="n">
        <x:f>IF('Control Room'!$B$5="Normal",'Control Room'!$B$7+'Control Room'!$D$7*SQRT(-2*LN(MAX(0.000000000001,V125/2147483647)))*COS(2*PI()*W125/2147483647),'Control Room'!$B$8+('Control Room'!$D$8-'Control Room'!$B$8)*V125/2147483647)</x:f>
        <x:v>940.9591590587862</x:v>
      </x:c>
      <x:c r="Y125" s="17" t="n">
        <x:f>IF('Control Room'!$B$5="Normal",'Control Room'!$B$7,('Control Room'!$B$8+'Control Room'!$D$8)/2)+'Control Room'!$B$9*(Y124-IF('Control Room'!$B$5="Normal",'Control Room'!$B$7,('Control Room'!$B$8+'Control Room'!$D$8)/2))+SQRT(1-'Control Room'!$B$9^2)*(X125-IF('Control Room'!$B$5="Normal",'Control Room'!$B$7,('Control Room'!$B$8+'Control Room'!$D$8)/2))</x:f>
        <x:v>932.8788043484321</x:v>
      </x:c>
      <x:c r="Z125" s="17" t="n">
        <x:f>IF(AND($A125&gt;='Control Room'!$A$13,$A125&lt;'Control Room'!$A$13+'Control Room'!$B$13,'Process'!BO2=1),1+('Control Room'!$C$13-1)*EXP(-0.5*(($A125-'Control Room'!$A$13-('Control Room'!$B$13-1)/2)/MAX(0.5,'Control Room'!$B$13/4))^2),1)*IF(AND($A125&gt;='Control Room'!$A$14,$A125&lt;'Control Room'!$A$14+'Control Room'!$B$14,'Process'!BO3=1),1+('Control Room'!$C$14-1)*EXP(-0.5*(($A125-'Control Room'!$A$14-('Control Room'!$B$14-1)/2)/MAX(0.5,'Control Room'!$B$14/4))^2),1)*IF(AND($A125&gt;='Control Room'!$A$15,$A125&lt;'Control Room'!$A$15+'Control Room'!$B$15,'Process'!BO4=1),1+('Control Room'!$C$15-1)*EXP(-0.5*(($A125-'Control Room'!$A$15-('Control Room'!$B$15-1)/2)/MAX(0.5,'Control Room'!$B$15/4))^2),1)*IF(AND($A125&gt;='Control Room'!$A$16,$A125&lt;'Control Room'!$A$16+'Control Room'!$B$16,'Process'!BO5=1),1+('Control Room'!$C$16-1)*EXP(-0.5*(($A125-'Control Room'!$A$16-('Control Room'!$B$16-1)/2)/MAX(0.5,'Control Room'!$B$16/4))^2),1)</x:f>
        <x:v>1</x:v>
      </x:c>
      <x:c r="AA125" s="9" t="n">
        <x:f>MOD(AB124*16807,2147483647)</x:f>
        <x:v>1913979796</x:v>
      </x:c>
      <x:c r="AB125" s="9" t="n">
        <x:f>MOD(AA125*16807,2147483647)</x:f>
        <x:v>1100882959</x:v>
      </x:c>
      <x:c r="AC125" s="17" t="n">
        <x:f>IF('Control Room'!$B$5="Normal",'Control Room'!$B$7+'Control Room'!$D$7*SQRT(-2*LN(MAX(0.000000000001,AA125/2147483647)))*COS(2*PI()*AB125/2147483647),'Control Room'!$B$8+('Control Room'!$D$8-'Control Room'!$B$8)*AA125/2147483647)</x:f>
        <x:v>956.9525855518931</x:v>
      </x:c>
      <x:c r="AD125" s="17" t="n">
        <x:f>IF('Control Room'!$B$5="Normal",'Control Room'!$B$7,('Control Room'!$B$8+'Control Room'!$D$8)/2)+'Control Room'!$B$9*(AD124-IF('Control Room'!$B$5="Normal",'Control Room'!$B$7,('Control Room'!$B$8+'Control Room'!$D$8)/2))+SQRT(1-'Control Room'!$B$9^2)*(AC125-IF('Control Room'!$B$5="Normal",'Control Room'!$B$7,('Control Room'!$B$8+'Control Room'!$D$8)/2))</x:f>
        <x:v>989.3065418219647</x:v>
      </x:c>
      <x:c r="AE125" s="17" t="n">
        <x:f>IF(AND($A125&gt;='Control Room'!$A$13,$A125&lt;'Control Room'!$A$13+'Control Room'!$B$13,'Process'!BP2=1),1+('Control Room'!$C$13-1)*EXP(-0.5*(($A125-'Control Room'!$A$13-('Control Room'!$B$13-1)/2)/MAX(0.5,'Control Room'!$B$13/4))^2),1)*IF(AND($A125&gt;='Control Room'!$A$14,$A125&lt;'Control Room'!$A$14+'Control Room'!$B$14,'Process'!BP3=1),1+('Control Room'!$C$14-1)*EXP(-0.5*(($A125-'Control Room'!$A$14-('Control Room'!$B$14-1)/2)/MAX(0.5,'Control Room'!$B$14/4))^2),1)*IF(AND($A125&gt;='Control Room'!$A$15,$A125&lt;'Control Room'!$A$15+'Control Room'!$B$15,'Process'!BP4=1),1+('Control Room'!$C$15-1)*EXP(-0.5*(($A125-'Control Room'!$A$15-('Control Room'!$B$15-1)/2)/MAX(0.5,'Control Room'!$B$15/4))^2),1)*IF(AND($A125&gt;='Control Room'!$A$16,$A125&lt;'Control Room'!$A$16+'Control Room'!$B$16,'Process'!BP5=1),1+('Control Room'!$C$16-1)*EXP(-0.5*(($A125-'Control Room'!$A$16-('Control Room'!$B$16-1)/2)/MAX(0.5,'Control Room'!$B$16/4))^2),1)</x:f>
        <x:v>1</x:v>
      </x:c>
      <x:c r="AF125" s="9" t="n">
        <x:f>MOD(AG124*16807,2147483647)</x:f>
        <x:v>814599461</x:v>
      </x:c>
      <x:c r="AG125" s="9" t="n">
        <x:f>MOD(AF125*16807,2147483647)</x:f>
        <x:v>764891402</x:v>
      </x:c>
      <x:c r="AH125" s="17" t="n">
        <x:f>IF('Control Room'!$B$5="Normal",'Control Room'!$B$7+'Control Room'!$D$7*SQRT(-2*LN(MAX(0.000000000001,AF125/2147483647)))*COS(2*PI()*AG125/2147483647),'Control Room'!$B$8+('Control Room'!$D$8-'Control Room'!$B$8)*AF125/2147483647)</x:f>
        <x:v>922.4620542522451</x:v>
      </x:c>
      <x:c r="AI125" s="17" t="n">
        <x:f>IF('Control Room'!$B$5="Normal",'Control Room'!$B$7,('Control Room'!$B$8+'Control Room'!$D$8)/2)+'Control Room'!$B$9*(AI124-IF('Control Room'!$B$5="Normal",'Control Room'!$B$7,('Control Room'!$B$8+'Control Room'!$D$8)/2))+SQRT(1-'Control Room'!$B$9^2)*(AH125-IF('Control Room'!$B$5="Normal",'Control Room'!$B$7,('Control Room'!$B$8+'Control Room'!$D$8)/2))</x:f>
        <x:v>963.9303051995037</x:v>
      </x:c>
      <x:c r="AJ125" s="17" t="n">
        <x:f>IF(AND($A125&gt;='Control Room'!$A$13,$A125&lt;'Control Room'!$A$13+'Control Room'!$B$13,'Process'!BQ2=1),1+('Control Room'!$C$13-1)*EXP(-0.5*(($A125-'Control Room'!$A$13-('Control Room'!$B$13-1)/2)/MAX(0.5,'Control Room'!$B$13/4))^2),1)*IF(AND($A125&gt;='Control Room'!$A$14,$A125&lt;'Control Room'!$A$14+'Control Room'!$B$14,'Process'!BQ3=1),1+('Control Room'!$C$14-1)*EXP(-0.5*(($A125-'Control Room'!$A$14-('Control Room'!$B$14-1)/2)/MAX(0.5,'Control Room'!$B$14/4))^2),1)*IF(AND($A125&gt;='Control Room'!$A$15,$A125&lt;'Control Room'!$A$15+'Control Room'!$B$15,'Process'!BQ4=1),1+('Control Room'!$C$15-1)*EXP(-0.5*(($A125-'Control Room'!$A$15-('Control Room'!$B$15-1)/2)/MAX(0.5,'Control Room'!$B$15/4))^2),1)*IF(AND($A125&gt;='Control Room'!$A$16,$A125&lt;'Control Room'!$A$16+'Control Room'!$B$16,'Process'!BQ5=1),1+('Control Room'!$C$16-1)*EXP(-0.5*(($A125-'Control Room'!$A$16-('Control Room'!$B$16-1)/2)/MAX(0.5,'Control Room'!$B$16/4))^2),1)</x:f>
        <x:v>1</x:v>
      </x:c>
      <x:c r="AK125" s="9" t="n">
        <x:f>MOD(AL124*16807,2147483647)</x:f>
        <x:v>1862702773</x:v>
      </x:c>
      <x:c r="AL125" s="9" t="n">
        <x:f>MOD(AK125*16807,2147483647)</x:f>
        <x:v>428899845</x:v>
      </x:c>
      <x:c r="AM125" s="17" t="n">
        <x:f>IF('Control Room'!$B$5="Normal",'Control Room'!$B$7+'Control Room'!$D$7*SQRT(-2*LN(MAX(0.000000000001,AK125/2147483647)))*COS(2*PI()*AL125/2147483647),'Control Room'!$B$8+('Control Room'!$D$8-'Control Room'!$B$8)*AK125/2147483647)</x:f>
        <x:v>1014.9149283237559</x:v>
      </x:c>
      <x:c r="AN125" s="17" t="n">
        <x:f>IF('Control Room'!$B$5="Normal",'Control Room'!$B$7,('Control Room'!$B$8+'Control Room'!$D$8)/2)+'Control Room'!$B$9*(AN124-IF('Control Room'!$B$5="Normal",'Control Room'!$B$7,('Control Room'!$B$8+'Control Room'!$D$8)/2))+SQRT(1-'Control Room'!$B$9^2)*(AM125-IF('Control Room'!$B$5="Normal",'Control Room'!$B$7,('Control Room'!$B$8+'Control Room'!$D$8)/2))</x:f>
        <x:v>1018.8394764541656</x:v>
      </x:c>
      <x:c r="AO125" s="17" t="n">
        <x:f>IF(AND($A125&gt;='Control Room'!$A$13,$A125&lt;'Control Room'!$A$13+'Control Room'!$B$13,'Process'!BR2=1),1+('Control Room'!$C$13-1)*EXP(-0.5*(($A125-'Control Room'!$A$13-('Control Room'!$B$13-1)/2)/MAX(0.5,'Control Room'!$B$13/4))^2),1)*IF(AND($A125&gt;='Control Room'!$A$14,$A125&lt;'Control Room'!$A$14+'Control Room'!$B$14,'Process'!BR3=1),1+('Control Room'!$C$14-1)*EXP(-0.5*(($A125-'Control Room'!$A$14-('Control Room'!$B$14-1)/2)/MAX(0.5,'Control Room'!$B$14/4))^2),1)*IF(AND($A125&gt;='Control Room'!$A$15,$A125&lt;'Control Room'!$A$15+'Control Room'!$B$15,'Process'!BR4=1),1+('Control Room'!$C$15-1)*EXP(-0.5*(($A125-'Control Room'!$A$15-('Control Room'!$B$15-1)/2)/MAX(0.5,'Control Room'!$B$15/4))^2),1)*IF(AND($A125&gt;='Control Room'!$A$16,$A125&lt;'Control Room'!$A$16+'Control Room'!$B$16,'Process'!BR5=1),1+('Control Room'!$C$16-1)*EXP(-0.5*(($A125-'Control Room'!$A$16-('Control Room'!$B$16-1)/2)/MAX(0.5,'Control Room'!$B$16/4))^2),1)</x:f>
        <x:v>1</x:v>
      </x:c>
      <x:c r="AP125" s="9" t="n">
        <x:f>MOD(AQ124*16807,2147483647)</x:f>
        <x:v>763322438</x:v>
      </x:c>
      <x:c r="AQ125" s="9" t="n">
        <x:f>MOD(AP125*16807,2147483647)</x:f>
        <x:v>92908288</x:v>
      </x:c>
      <x:c r="AR125" s="17" t="n">
        <x:f>IF('Control Room'!$B$5="Normal",'Control Room'!$B$7+'Control Room'!$D$7*SQRT(-2*LN(MAX(0.000000000001,AP125/2147483647)))*COS(2*PI()*AQ125/2147483647),'Control Room'!$B$8+('Control Room'!$D$8-'Control Room'!$B$8)*AP125/2147483647)</x:f>
        <x:v>1124.6947915110916</x:v>
      </x:c>
      <x:c r="AS125" s="17" t="n">
        <x:f>IF('Control Room'!$B$5="Normal",'Control Room'!$B$7,('Control Room'!$B$8+'Control Room'!$D$8)/2)+'Control Room'!$B$9*(AS124-IF('Control Room'!$B$5="Normal",'Control Room'!$B$7,('Control Room'!$B$8+'Control Room'!$D$8)/2))+SQRT(1-'Control Room'!$B$9^2)*(AR125-IF('Control Room'!$B$5="Normal",'Control Room'!$B$7,('Control Room'!$B$8+'Control Room'!$D$8)/2))</x:f>
        <x:v>949.7060888454819</x:v>
      </x:c>
      <x:c r="AT125" s="17" t="n">
        <x:f>IF(AND($A125&gt;='Control Room'!$A$13,$A125&lt;'Control Room'!$A$13+'Control Room'!$B$13,'Process'!BS2=1),1+('Control Room'!$C$13-1)*EXP(-0.5*(($A125-'Control Room'!$A$13-('Control Room'!$B$13-1)/2)/MAX(0.5,'Control Room'!$B$13/4))^2),1)*IF(AND($A125&gt;='Control Room'!$A$14,$A125&lt;'Control Room'!$A$14+'Control Room'!$B$14,'Process'!BS3=1),1+('Control Room'!$C$14-1)*EXP(-0.5*(($A125-'Control Room'!$A$14-('Control Room'!$B$14-1)/2)/MAX(0.5,'Control Room'!$B$14/4))^2),1)*IF(AND($A125&gt;='Control Room'!$A$15,$A125&lt;'Control Room'!$A$15+'Control Room'!$B$15,'Process'!BS4=1),1+('Control Room'!$C$15-1)*EXP(-0.5*(($A125-'Control Room'!$A$15-('Control Room'!$B$15-1)/2)/MAX(0.5,'Control Room'!$B$15/4))^2),1)*IF(AND($A125&gt;='Control Room'!$A$16,$A125&lt;'Control Room'!$A$16+'Control Room'!$B$16,'Process'!BS5=1),1+('Control Room'!$C$16-1)*EXP(-0.5*(($A125-'Control Room'!$A$16-('Control Room'!$B$16-1)/2)/MAX(0.5,'Control Room'!$B$16/4))^2),1)</x:f>
        <x:v>1</x:v>
      </x:c>
      <x:c r="AU125" s="9" t="n">
        <x:f>MOD(AV124*16807,2147483647)</x:f>
        <x:v>1811425750</x:v>
      </x:c>
      <x:c r="AV125" s="9" t="n">
        <x:f>MOD(AU125*16807,2147483647)</x:f>
        <x:v>1904400378</x:v>
      </x:c>
      <x:c r="AW125" s="17" t="n">
        <x:f>IF('Control Room'!$B$5="Normal",'Control Room'!$B$7+'Control Room'!$D$7*SQRT(-2*LN(MAX(0.000000000001,AU125/2147483647)))*COS(2*PI()*AV125/2147483647),'Control Room'!$B$8+('Control Room'!$D$8-'Control Room'!$B$8)*AU125/2147483647)</x:f>
        <x:v>1039.7772556597351</x:v>
      </x:c>
      <x:c r="AX125" s="17" t="n">
        <x:f>IF('Control Room'!$B$5="Normal",'Control Room'!$B$7,('Control Room'!$B$8+'Control Room'!$D$8)/2)+'Control Room'!$B$9*(AX124-IF('Control Room'!$B$5="Normal",'Control Room'!$B$7,('Control Room'!$B$8+'Control Room'!$D$8)/2))+SQRT(1-'Control Room'!$B$9^2)*(AW125-IF('Control Room'!$B$5="Normal",'Control Room'!$B$7,('Control Room'!$B$8+'Control Room'!$D$8)/2))</x:f>
        <x:v>994.553664715043</x:v>
      </x:c>
      <x:c r="AY125" s="17" t="n">
        <x:f>IF(AND($A125&gt;='Control Room'!$A$13,$A125&lt;'Control Room'!$A$13+'Control Room'!$B$13,'Process'!BT2=1),1+('Control Room'!$C$13-1)*EXP(-0.5*(($A125-'Control Room'!$A$13-('Control Room'!$B$13-1)/2)/MAX(0.5,'Control Room'!$B$13/4))^2),1)*IF(AND($A125&gt;='Control Room'!$A$14,$A125&lt;'Control Room'!$A$14+'Control Room'!$B$14,'Process'!BT3=1),1+('Control Room'!$C$14-1)*EXP(-0.5*(($A125-'Control Room'!$A$14-('Control Room'!$B$14-1)/2)/MAX(0.5,'Control Room'!$B$14/4))^2),1)*IF(AND($A125&gt;='Control Room'!$A$15,$A125&lt;'Control Room'!$A$15+'Control Room'!$B$15,'Process'!BT4=1),1+('Control Room'!$C$15-1)*EXP(-0.5*(($A125-'Control Room'!$A$15-('Control Room'!$B$15-1)/2)/MAX(0.5,'Control Room'!$B$15/4))^2),1)*IF(AND($A125&gt;='Control Room'!$A$16,$A125&lt;'Control Room'!$A$16+'Control Room'!$B$16,'Process'!BT5=1),1+('Control Room'!$C$16-1)*EXP(-0.5*(($A125-'Control Room'!$A$16-('Control Room'!$B$16-1)/2)/MAX(0.5,'Control Room'!$B$16/4))^2),1)</x:f>
        <x:v>1</x:v>
      </x:c>
      <x:c r="AZ125" s="9" t="n">
        <x:f>MOD(BA124*16807,2147483647)</x:f>
        <x:v>712045415</x:v>
      </x:c>
      <x:c r="BA125" s="9" t="n">
        <x:f>MOD(AZ125*16807,2147483647)</x:f>
        <x:v>1568408821</x:v>
      </x:c>
      <x:c r="BB125" s="17" t="n">
        <x:f>IF('Control Room'!$B$5="Normal",'Control Room'!$B$7+'Control Room'!$D$7*SQRT(-2*LN(MAX(0.000000000001,AZ125/2147483647)))*COS(2*PI()*BA125/2147483647),'Control Room'!$B$8+('Control Room'!$D$8-'Control Room'!$B$8)*AZ125/2147483647)</x:f>
        <x:v>983.5288882382987</x:v>
      </x:c>
      <x:c r="BC125" s="17" t="n">
        <x:f>IF('Control Room'!$B$5="Normal",'Control Room'!$B$7,('Control Room'!$B$8+'Control Room'!$D$8)/2)+'Control Room'!$B$9*(BC124-IF('Control Room'!$B$5="Normal",'Control Room'!$B$7,('Control Room'!$B$8+'Control Room'!$D$8)/2))+SQRT(1-'Control Room'!$B$9^2)*(BB125-IF('Control Room'!$B$5="Normal",'Control Room'!$B$7,('Control Room'!$B$8+'Control Room'!$D$8)/2))</x:f>
        <x:v>1054.639861536805</x:v>
      </x:c>
      <x:c r="BD125" s="17" t="n">
        <x:f>IF(AND($A125&gt;='Control Room'!$A$13,$A125&lt;'Control Room'!$A$13+'Control Room'!$B$13,'Process'!BU2=1),1+('Control Room'!$C$13-1)*EXP(-0.5*(($A125-'Control Room'!$A$13-('Control Room'!$B$13-1)/2)/MAX(0.5,'Control Room'!$B$13/4))^2),1)*IF(AND($A125&gt;='Control Room'!$A$14,$A125&lt;'Control Room'!$A$14+'Control Room'!$B$14,'Process'!BU3=1),1+('Control Room'!$C$14-1)*EXP(-0.5*(($A125-'Control Room'!$A$14-('Control Room'!$B$14-1)/2)/MAX(0.5,'Control Room'!$B$14/4))^2),1)*IF(AND($A125&gt;='Control Room'!$A$15,$A125&lt;'Control Room'!$A$15+'Control Room'!$B$15,'Process'!BU4=1),1+('Control Room'!$C$15-1)*EXP(-0.5*(($A125-'Control Room'!$A$15-('Control Room'!$B$15-1)/2)/MAX(0.5,'Control Room'!$B$15/4))^2),1)*IF(AND($A125&gt;='Control Room'!$A$16,$A125&lt;'Control Room'!$A$16+'Control Room'!$B$16,'Process'!BU5=1),1+('Control Room'!$C$16-1)*EXP(-0.5*(($A125-'Control Room'!$A$16-('Control Room'!$B$16-1)/2)/MAX(0.5,'Control Room'!$B$16/4))^2),1)</x:f>
        <x:v>1</x:v>
      </x:c>
      <x:c r="BE125" s="9" t="n">
        <x:f>MOD(BF124*16807,2147483647)</x:f>
        <x:v>1760148727</x:v>
      </x:c>
      <x:c r="BF125" s="9" t="n">
        <x:f>MOD(BE125*16807,2147483647)</x:f>
        <x:v>1232417264</x:v>
      </x:c>
      <x:c r="BG125" s="17" t="n">
        <x:f>IF('Control Room'!$B$5="Normal",'Control Room'!$B$7+'Control Room'!$D$7*SQRT(-2*LN(MAX(0.000000000001,BE125/2147483647)))*COS(2*PI()*BF125/2147483647),'Control Room'!$B$8+('Control Room'!$D$8-'Control Room'!$B$8)*BE125/2147483647)</x:f>
        <x:v>949.244223010116</x:v>
      </x:c>
      <x:c r="BH125" s="17" t="n">
        <x:f>IF('Control Room'!$B$5="Normal",'Control Room'!$B$7,('Control Room'!$B$8+'Control Room'!$D$8)/2)+'Control Room'!$B$9*(BH124-IF('Control Room'!$B$5="Normal",'Control Room'!$B$7,('Control Room'!$B$8+'Control Room'!$D$8)/2))+SQRT(1-'Control Room'!$B$9^2)*(BG125-IF('Control Room'!$B$5="Normal",'Control Room'!$B$7,('Control Room'!$B$8+'Control Room'!$D$8)/2))</x:f>
        <x:v>955.6360197017422</x:v>
      </x:c>
      <x:c r="BI125" s="17" t="n">
        <x:f>IF(AND($A125&gt;='Control Room'!$A$13,$A125&lt;'Control Room'!$A$13+'Control Room'!$B$13,'Process'!BV2=1),1+('Control Room'!$C$13-1)*EXP(-0.5*(($A125-'Control Room'!$A$13-('Control Room'!$B$13-1)/2)/MAX(0.5,'Control Room'!$B$13/4))^2),1)*IF(AND($A125&gt;='Control Room'!$A$14,$A125&lt;'Control Room'!$A$14+'Control Room'!$B$14,'Process'!BV3=1),1+('Control Room'!$C$14-1)*EXP(-0.5*(($A125-'Control Room'!$A$14-('Control Room'!$B$14-1)/2)/MAX(0.5,'Control Room'!$B$14/4))^2),1)*IF(AND($A125&gt;='Control Room'!$A$15,$A125&lt;'Control Room'!$A$15+'Control Room'!$B$15,'Process'!BV4=1),1+('Control Room'!$C$15-1)*EXP(-0.5*(($A125-'Control Room'!$A$15-('Control Room'!$B$15-1)/2)/MAX(0.5,'Control Room'!$B$15/4))^2),1)*IF(AND($A125&gt;='Control Room'!$A$16,$A125&lt;'Control Room'!$A$16+'Control Room'!$B$16,'Process'!BV5=1),1+('Control Room'!$C$16-1)*EXP(-0.5*(($A125-'Control Room'!$A$16-('Control Room'!$B$16-1)/2)/MAX(0.5,'Control Room'!$B$16/4))^2),1)</x:f>
        <x:v>1</x:v>
      </x:c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Z125" t="str">
        <x:f>IF('Data'!A125="","",TEXT('Data'!A125,"mm-dd"))</x:f>
      </x:c>
    </x:row>
    <x:row r="126" ht="21" customHeight="1">
      <x:c r="A126" s="15" t="n">
        <x:f>'Control Room'!$B$1+124</x:f>
        <x:v>73115</x:v>
      </x:c>
      <x:c r="B126" s="9" t="n">
        <x:f>MOD(C125*16807,2147483647)</x:f>
        <x:v>1903774747</x:v>
      </x:c>
      <x:c r="C126" s="9" t="n">
        <x:f>MOD(B126*16807,2147483647)</x:f>
        <x:v>1383316176</x:v>
      </x:c>
      <x:c r="D126" s="17" t="n">
        <x:f>IF('Control Room'!$B$5="Normal",'Control Room'!$B$7+'Control Room'!$D$7*SQRT(-2*LN(MAX(0.000000000001,B126/2147483647)))*COS(2*PI()*C126/2147483647),'Control Room'!$B$8+('Control Room'!$D$8-'Control Room'!$B$8)*B126/2147483647)</x:f>
        <x:v>972.7403449827835</x:v>
      </x:c>
      <x:c r="E126" s="17" t="n">
        <x:f>IF('Control Room'!$B$5="Normal",'Control Room'!$B$7,('Control Room'!$B$8+'Control Room'!$D$8)/2)+'Control Room'!$B$9*(E125-IF('Control Room'!$B$5="Normal",'Control Room'!$B$7,('Control Room'!$B$8+'Control Room'!$D$8)/2))+SQRT(1-'Control Room'!$B$9^2)*(D126-IF('Control Room'!$B$5="Normal",'Control Room'!$B$7,('Control Room'!$B$8+'Control Room'!$D$8)/2))</x:f>
        <x:v>854.9957924818341</x:v>
      </x:c>
      <x:c r="F126" s="17" t="n">
        <x:f>IF(AND($A126&gt;='Control Room'!$A$13,$A126&lt;'Control Room'!$A$13+'Control Room'!$B$13,'Process'!BK2=1),1+('Control Room'!$C$13-1)*EXP(-0.5*(($A126-'Control Room'!$A$13-('Control Room'!$B$13-1)/2)/MAX(0.5,'Control Room'!$B$13/4))^2),1)*IF(AND($A126&gt;='Control Room'!$A$14,$A126&lt;'Control Room'!$A$14+'Control Room'!$B$14,'Process'!BK3=1),1+('Control Room'!$C$14-1)*EXP(-0.5*(($A126-'Control Room'!$A$14-('Control Room'!$B$14-1)/2)/MAX(0.5,'Control Room'!$B$14/4))^2),1)*IF(AND($A126&gt;='Control Room'!$A$15,$A126&lt;'Control Room'!$A$15+'Control Room'!$B$15,'Process'!BK4=1),1+('Control Room'!$C$15-1)*EXP(-0.5*(($A126-'Control Room'!$A$15-('Control Room'!$B$15-1)/2)/MAX(0.5,'Control Room'!$B$15/4))^2),1)*IF(AND($A126&gt;='Control Room'!$A$16,$A126&lt;'Control Room'!$A$16+'Control Room'!$B$16,'Process'!BK5=1),1+('Control Room'!$C$16-1)*EXP(-0.5*(($A126-'Control Room'!$A$16-('Control Room'!$B$16-1)/2)/MAX(0.5,'Control Room'!$B$16/4))^2),1)</x:f>
        <x:v>1</x:v>
      </x:c>
      <x:c r="G126" s="9" t="n">
        <x:f>MOD(H125*16807,2147483647)</x:f>
        <x:v>628184211</x:v>
      </x:c>
      <x:c r="H126" s="9" t="n">
        <x:f>MOD(G126*16807,2147483647)</x:f>
        <x:v>862425625</x:v>
      </x:c>
      <x:c r="I126" s="17" t="n">
        <x:f>IF('Control Room'!$B$5="Normal",'Control Room'!$B$7+'Control Room'!$D$7*SQRT(-2*LN(MAX(0.000000000001,G126/2147483647)))*COS(2*PI()*H126/2147483647),'Control Room'!$B$8+('Control Room'!$D$8-'Control Room'!$B$8)*G126/2147483647)</x:f>
        <x:v>885.0086986907152</x:v>
      </x:c>
      <x:c r="J126" s="17" t="n">
        <x:f>IF('Control Room'!$B$5="Normal",'Control Room'!$B$7,('Control Room'!$B$8+'Control Room'!$D$8)/2)+'Control Room'!$B$9*(J125-IF('Control Room'!$B$5="Normal",'Control Room'!$B$7,('Control Room'!$B$8+'Control Room'!$D$8)/2))+SQRT(1-'Control Room'!$B$9^2)*(I126-IF('Control Room'!$B$5="Normal",'Control Room'!$B$7,('Control Room'!$B$8+'Control Room'!$D$8)/2))</x:f>
        <x:v>912.5348803483063</x:v>
      </x:c>
      <x:c r="K126" s="17" t="n">
        <x:f>IF(AND($A126&gt;='Control Room'!$A$13,$A126&lt;'Control Room'!$A$13+'Control Room'!$B$13,'Process'!BL2=1),1+('Control Room'!$C$13-1)*EXP(-0.5*(($A126-'Control Room'!$A$13-('Control Room'!$B$13-1)/2)/MAX(0.5,'Control Room'!$B$13/4))^2),1)*IF(AND($A126&gt;='Control Room'!$A$14,$A126&lt;'Control Room'!$A$14+'Control Room'!$B$14,'Process'!BL3=1),1+('Control Room'!$C$14-1)*EXP(-0.5*(($A126-'Control Room'!$A$14-('Control Room'!$B$14-1)/2)/MAX(0.5,'Control Room'!$B$14/4))^2),1)*IF(AND($A126&gt;='Control Room'!$A$15,$A126&lt;'Control Room'!$A$15+'Control Room'!$B$15,'Process'!BL4=1),1+('Control Room'!$C$15-1)*EXP(-0.5*(($A126-'Control Room'!$A$15-('Control Room'!$B$15-1)/2)/MAX(0.5,'Control Room'!$B$15/4))^2),1)*IF(AND($A126&gt;='Control Room'!$A$16,$A126&lt;'Control Room'!$A$16+'Control Room'!$B$16,'Process'!BL5=1),1+('Control Room'!$C$16-1)*EXP(-0.5*(($A126-'Control Room'!$A$16-('Control Room'!$B$16-1)/2)/MAX(0.5,'Control Room'!$B$16/4))^2),1)</x:f>
        <x:v>1</x:v>
      </x:c>
      <x:c r="L126" s="9" t="n">
        <x:f>MOD(M125*16807,2147483647)</x:f>
        <x:v>1500077322</x:v>
      </x:c>
      <x:c r="M126" s="9" t="n">
        <x:f>MOD(L126*16807,2147483647)</x:f>
        <x:v>341535074</x:v>
      </x:c>
      <x:c r="N126" s="17" t="n">
        <x:f>IF('Control Room'!$B$5="Normal",'Control Room'!$B$7+'Control Room'!$D$7*SQRT(-2*LN(MAX(0.000000000001,L126/2147483647)))*COS(2*PI()*M126/2147483647),'Control Room'!$B$8+('Control Room'!$D$8-'Control Room'!$B$8)*L126/2147483647)</x:f>
        <x:v>1041.2380416392452</x:v>
      </x:c>
      <x:c r="O126" s="17" t="n">
        <x:f>IF('Control Room'!$B$5="Normal",'Control Room'!$B$7,('Control Room'!$B$8+'Control Room'!$D$8)/2)+'Control Room'!$B$9*(O125-IF('Control Room'!$B$5="Normal",'Control Room'!$B$7,('Control Room'!$B$8+'Control Room'!$D$8)/2))+SQRT(1-'Control Room'!$B$9^2)*(N126-IF('Control Room'!$B$5="Normal",'Control Room'!$B$7,('Control Room'!$B$8+'Control Room'!$D$8)/2))</x:f>
        <x:v>1014.0711911629678</x:v>
      </x:c>
      <x:c r="P126" s="17" t="n">
        <x:f>IF(AND($A126&gt;='Control Room'!$A$13,$A126&lt;'Control Room'!$A$13+'Control Room'!$B$13,'Process'!BM2=1),1+('Control Room'!$C$13-1)*EXP(-0.5*(($A126-'Control Room'!$A$13-('Control Room'!$B$13-1)/2)/MAX(0.5,'Control Room'!$B$13/4))^2),1)*IF(AND($A126&gt;='Control Room'!$A$14,$A126&lt;'Control Room'!$A$14+'Control Room'!$B$14,'Process'!BM3=1),1+('Control Room'!$C$14-1)*EXP(-0.5*(($A126-'Control Room'!$A$14-('Control Room'!$B$14-1)/2)/MAX(0.5,'Control Room'!$B$14/4))^2),1)*IF(AND($A126&gt;='Control Room'!$A$15,$A126&lt;'Control Room'!$A$15+'Control Room'!$B$15,'Process'!BM4=1),1+('Control Room'!$C$15-1)*EXP(-0.5*(($A126-'Control Room'!$A$15-('Control Room'!$B$15-1)/2)/MAX(0.5,'Control Room'!$B$15/4))^2),1)*IF(AND($A126&gt;='Control Room'!$A$16,$A126&lt;'Control Room'!$A$16+'Control Room'!$B$16,'Process'!BM5=1),1+('Control Room'!$C$16-1)*EXP(-0.5*(($A126-'Control Room'!$A$16-('Control Room'!$B$16-1)/2)/MAX(0.5,'Control Room'!$B$16/4))^2),1)</x:f>
        <x:v>1</x:v>
      </x:c>
      <x:c r="Q126" s="9" t="n">
        <x:f>MOD(R125*16807,2147483647)</x:f>
        <x:v>224486786</x:v>
      </x:c>
      <x:c r="R126" s="9" t="n">
        <x:f>MOD(Q126*16807,2147483647)</x:f>
        <x:v>1968128170</x:v>
      </x:c>
      <x:c r="S126" s="17" t="n">
        <x:f>IF('Control Room'!$B$5="Normal",'Control Room'!$B$7+'Control Room'!$D$7*SQRT(-2*LN(MAX(0.000000000001,Q126/2147483647)))*COS(2*PI()*R126/2147483647),'Control Room'!$B$8+('Control Room'!$D$8-'Control Room'!$B$8)*Q126/2147483647)</x:f>
        <x:v>1165.5312432355358</x:v>
      </x:c>
      <x:c r="T126" s="17" t="n">
        <x:f>IF('Control Room'!$B$5="Normal",'Control Room'!$B$7,('Control Room'!$B$8+'Control Room'!$D$8)/2)+'Control Room'!$B$9*(T125-IF('Control Room'!$B$5="Normal",'Control Room'!$B$7,('Control Room'!$B$8+'Control Room'!$D$8)/2))+SQRT(1-'Control Room'!$B$9^2)*(S126-IF('Control Room'!$B$5="Normal",'Control Room'!$B$7,('Control Room'!$B$8+'Control Room'!$D$8)/2))</x:f>
        <x:v>1020.901051766761</x:v>
      </x:c>
      <x:c r="U126" s="17" t="n">
        <x:f>IF(AND($A126&gt;='Control Room'!$A$13,$A126&lt;'Control Room'!$A$13+'Control Room'!$B$13,'Process'!BN2=1),1+('Control Room'!$C$13-1)*EXP(-0.5*(($A126-'Control Room'!$A$13-('Control Room'!$B$13-1)/2)/MAX(0.5,'Control Room'!$B$13/4))^2),1)*IF(AND($A126&gt;='Control Room'!$A$14,$A126&lt;'Control Room'!$A$14+'Control Room'!$B$14,'Process'!BN3=1),1+('Control Room'!$C$14-1)*EXP(-0.5*(($A126-'Control Room'!$A$14-('Control Room'!$B$14-1)/2)/MAX(0.5,'Control Room'!$B$14/4))^2),1)*IF(AND($A126&gt;='Control Room'!$A$15,$A126&lt;'Control Room'!$A$15+'Control Room'!$B$15,'Process'!BN4=1),1+('Control Room'!$C$15-1)*EXP(-0.5*(($A126-'Control Room'!$A$15-('Control Room'!$B$15-1)/2)/MAX(0.5,'Control Room'!$B$15/4))^2),1)*IF(AND($A126&gt;='Control Room'!$A$16,$A126&lt;'Control Room'!$A$16+'Control Room'!$B$16,'Process'!BN5=1),1+('Control Room'!$C$16-1)*EXP(-0.5*(($A126-'Control Room'!$A$16-('Control Room'!$B$16-1)/2)/MAX(0.5,'Control Room'!$B$16/4))^2),1)</x:f>
        <x:v>1</x:v>
      </x:c>
      <x:c r="V126" s="9" t="n">
        <x:f>MOD(W125*16807,2147483647)</x:f>
        <x:v>1096379897</x:v>
      </x:c>
      <x:c r="W126" s="9" t="n">
        <x:f>MOD(V126*16807,2147483647)</x:f>
        <x:v>1447237619</x:v>
      </x:c>
      <x:c r="X126" s="17" t="n">
        <x:f>IF('Control Room'!$B$5="Normal",'Control Room'!$B$7+'Control Room'!$D$7*SQRT(-2*LN(MAX(0.000000000001,V126/2147483647)))*COS(2*PI()*W126/2147483647),'Control Room'!$B$8+('Control Room'!$D$8-'Control Room'!$B$8)*V126/2147483647)</x:f>
        <x:v>951.9931922767746</x:v>
      </x:c>
      <x:c r="Y126" s="17" t="n">
        <x:f>IF('Control Room'!$B$5="Normal",'Control Room'!$B$7,('Control Room'!$B$8+'Control Room'!$D$8)/2)+'Control Room'!$B$9*(Y125-IF('Control Room'!$B$5="Normal",'Control Room'!$B$7,('Control Room'!$B$8+'Control Room'!$D$8)/2))+SQRT(1-'Control Room'!$B$9^2)*(X126-IF('Control Room'!$B$5="Normal",'Control Room'!$B$7,('Control Room'!$B$8+'Control Room'!$D$8)/2))</x:f>
        <x:v>917.6037905914953</x:v>
      </x:c>
      <x:c r="Z126" s="17" t="n">
        <x:f>IF(AND($A126&gt;='Control Room'!$A$13,$A126&lt;'Control Room'!$A$13+'Control Room'!$B$13,'Process'!BO2=1),1+('Control Room'!$C$13-1)*EXP(-0.5*(($A126-'Control Room'!$A$13-('Control Room'!$B$13-1)/2)/MAX(0.5,'Control Room'!$B$13/4))^2),1)*IF(AND($A126&gt;='Control Room'!$A$14,$A126&lt;'Control Room'!$A$14+'Control Room'!$B$14,'Process'!BO3=1),1+('Control Room'!$C$14-1)*EXP(-0.5*(($A126-'Control Room'!$A$14-('Control Room'!$B$14-1)/2)/MAX(0.5,'Control Room'!$B$14/4))^2),1)*IF(AND($A126&gt;='Control Room'!$A$15,$A126&lt;'Control Room'!$A$15+'Control Room'!$B$15,'Process'!BO4=1),1+('Control Room'!$C$15-1)*EXP(-0.5*(($A126-'Control Room'!$A$15-('Control Room'!$B$15-1)/2)/MAX(0.5,'Control Room'!$B$15/4))^2),1)*IF(AND($A126&gt;='Control Room'!$A$16,$A126&lt;'Control Room'!$A$16+'Control Room'!$B$16,'Process'!BO5=1),1+('Control Room'!$C$16-1)*EXP(-0.5*(($A126-'Control Room'!$A$16-('Control Room'!$B$16-1)/2)/MAX(0.5,'Control Room'!$B$16/4))^2),1)</x:f>
        <x:v>1</x:v>
      </x:c>
      <x:c r="AA126" s="9" t="n">
        <x:f>MOD(AB125*16807,2147483647)</x:f>
        <x:v>1968273008</x:v>
      </x:c>
      <x:c r="AB126" s="9" t="n">
        <x:f>MOD(AA126*16807,2147483647)</x:f>
        <x:v>926347068</x:v>
      </x:c>
      <x:c r="AC126" s="17" t="n">
        <x:f>IF('Control Room'!$B$5="Normal",'Control Room'!$B$7+'Control Room'!$D$7*SQRT(-2*LN(MAX(0.000000000001,AA126/2147483647)))*COS(2*PI()*AB126/2147483647),'Control Room'!$B$8+('Control Room'!$D$8-'Control Room'!$B$8)*AA126/2147483647)</x:f>
        <x:v>965.8677861156206</x:v>
      </x:c>
      <x:c r="AD126" s="17" t="n">
        <x:f>IF('Control Room'!$B$5="Normal",'Control Room'!$B$7,('Control Room'!$B$8+'Control Room'!$D$8)/2)+'Control Room'!$B$9*(AD125-IF('Control Room'!$B$5="Normal",'Control Room'!$B$7,('Control Room'!$B$8+'Control Room'!$D$8)/2))+SQRT(1-'Control Room'!$B$9^2)*(AC126-IF('Control Room'!$B$5="Normal",'Control Room'!$B$7,('Control Room'!$B$8+'Control Room'!$D$8)/2))</x:f>
        <x:v>970.2998624086962</x:v>
      </x:c>
      <x:c r="AE126" s="17" t="n">
        <x:f>IF(AND($A126&gt;='Control Room'!$A$13,$A126&lt;'Control Room'!$A$13+'Control Room'!$B$13,'Process'!BP2=1),1+('Control Room'!$C$13-1)*EXP(-0.5*(($A126-'Control Room'!$A$13-('Control Room'!$B$13-1)/2)/MAX(0.5,'Control Room'!$B$13/4))^2),1)*IF(AND($A126&gt;='Control Room'!$A$14,$A126&lt;'Control Room'!$A$14+'Control Room'!$B$14,'Process'!BP3=1),1+('Control Room'!$C$14-1)*EXP(-0.5*(($A126-'Control Room'!$A$14-('Control Room'!$B$14-1)/2)/MAX(0.5,'Control Room'!$B$14/4))^2),1)*IF(AND($A126&gt;='Control Room'!$A$15,$A126&lt;'Control Room'!$A$15+'Control Room'!$B$15,'Process'!BP4=1),1+('Control Room'!$C$15-1)*EXP(-0.5*(($A126-'Control Room'!$A$15-('Control Room'!$B$15-1)/2)/MAX(0.5,'Control Room'!$B$15/4))^2),1)*IF(AND($A126&gt;='Control Room'!$A$16,$A126&lt;'Control Room'!$A$16+'Control Room'!$B$16,'Process'!BP5=1),1+('Control Room'!$C$16-1)*EXP(-0.5*(($A126-'Control Room'!$A$16-('Control Room'!$B$16-1)/2)/MAX(0.5,'Control Room'!$B$16/4))^2),1)</x:f>
        <x:v>1</x:v>
      </x:c>
      <x:c r="AF126" s="9" t="n">
        <x:f>MOD(AG125*16807,2147483647)</x:f>
        <x:v>692682472</x:v>
      </x:c>
      <x:c r="AG126" s="9" t="n">
        <x:f>MOD(AF126*16807,2147483647)</x:f>
        <x:v>405456517</x:v>
      </x:c>
      <x:c r="AH126" s="17" t="n">
        <x:f>IF('Control Room'!$B$5="Normal",'Control Room'!$B$7+'Control Room'!$D$7*SQRT(-2*LN(MAX(0.000000000001,AF126/2147483647)))*COS(2*PI()*AG126/2147483647),'Control Room'!$B$8+('Control Room'!$D$8-'Control Room'!$B$8)*AF126/2147483647)</x:f>
        <x:v>1050.7831756167604</x:v>
      </x:c>
      <x:c r="AI126" s="17" t="n">
        <x:f>IF('Control Room'!$B$5="Normal",'Control Room'!$B$7,('Control Room'!$B$8+'Control Room'!$D$8)/2)+'Control Room'!$B$9*(AI125-IF('Control Room'!$B$5="Normal",'Control Room'!$B$7,('Control Room'!$B$8+'Control Room'!$D$8)/2))+SQRT(1-'Control Room'!$B$9^2)*(AH126-IF('Control Room'!$B$5="Normal",'Control Room'!$B$7,('Control Room'!$B$8+'Control Room'!$D$8)/2))</x:f>
        <x:v>1003.644709006681</x:v>
      </x:c>
      <x:c r="AJ126" s="17" t="n">
        <x:f>IF(AND($A126&gt;='Control Room'!$A$13,$A126&lt;'Control Room'!$A$13+'Control Room'!$B$13,'Process'!BQ2=1),1+('Control Room'!$C$13-1)*EXP(-0.5*(($A126-'Control Room'!$A$13-('Control Room'!$B$13-1)/2)/MAX(0.5,'Control Room'!$B$13/4))^2),1)*IF(AND($A126&gt;='Control Room'!$A$14,$A126&lt;'Control Room'!$A$14+'Control Room'!$B$14,'Process'!BQ3=1),1+('Control Room'!$C$14-1)*EXP(-0.5*(($A126-'Control Room'!$A$14-('Control Room'!$B$14-1)/2)/MAX(0.5,'Control Room'!$B$14/4))^2),1)*IF(AND($A126&gt;='Control Room'!$A$15,$A126&lt;'Control Room'!$A$15+'Control Room'!$B$15,'Process'!BQ4=1),1+('Control Room'!$C$15-1)*EXP(-0.5*(($A126-'Control Room'!$A$15-('Control Room'!$B$15-1)/2)/MAX(0.5,'Control Room'!$B$15/4))^2),1)*IF(AND($A126&gt;='Control Room'!$A$16,$A126&lt;'Control Room'!$A$16+'Control Room'!$B$16,'Process'!BQ5=1),1+('Control Room'!$C$16-1)*EXP(-0.5*(($A126-'Control Room'!$A$16-('Control Room'!$B$16-1)/2)/MAX(0.5,'Control Room'!$B$16/4))^2),1)</x:f>
        <x:v>1</x:v>
      </x:c>
      <x:c r="AK126" s="9" t="n">
        <x:f>MOD(AL125*16807,2147483647)</x:f>
        <x:v>1564575583</x:v>
      </x:c>
      <x:c r="AL126" s="9" t="n">
        <x:f>MOD(AK126*16807,2147483647)</x:f>
        <x:v>2032049613</x:v>
      </x:c>
      <x:c r="AM126" s="17" t="n">
        <x:f>IF('Control Room'!$B$5="Normal",'Control Room'!$B$7+'Control Room'!$D$7*SQRT(-2*LN(MAX(0.000000000001,AK126/2147483647)))*COS(2*PI()*AL126/2147483647),'Control Room'!$B$8+('Control Room'!$D$8-'Control Room'!$B$8)*AK126/2147483647)</x:f>
        <x:v>1067.5793149332264</x:v>
      </x:c>
      <x:c r="AN126" s="17" t="n">
        <x:f>IF('Control Room'!$B$5="Normal",'Control Room'!$B$7,('Control Room'!$B$8+'Control Room'!$D$8)/2)+'Control Room'!$B$9*(AN125-IF('Control Room'!$B$5="Normal",'Control Room'!$B$7,('Control Room'!$B$8+'Control Room'!$D$8)/2))+SQRT(1-'Control Room'!$B$9^2)*(AM126-IF('Control Room'!$B$5="Normal",'Control Room'!$B$7,('Control Room'!$B$8+'Control Room'!$D$8)/2))</x:f>
        <x:v>1056.984542481945</x:v>
      </x:c>
      <x:c r="AO126" s="17" t="n">
        <x:f>IF(AND($A126&gt;='Control Room'!$A$13,$A126&lt;'Control Room'!$A$13+'Control Room'!$B$13,'Process'!BR2=1),1+('Control Room'!$C$13-1)*EXP(-0.5*(($A126-'Control Room'!$A$13-('Control Room'!$B$13-1)/2)/MAX(0.5,'Control Room'!$B$13/4))^2),1)*IF(AND($A126&gt;='Control Room'!$A$14,$A126&lt;'Control Room'!$A$14+'Control Room'!$B$14,'Process'!BR3=1),1+('Control Room'!$C$14-1)*EXP(-0.5*(($A126-'Control Room'!$A$14-('Control Room'!$B$14-1)/2)/MAX(0.5,'Control Room'!$B$14/4))^2),1)*IF(AND($A126&gt;='Control Room'!$A$15,$A126&lt;'Control Room'!$A$15+'Control Room'!$B$15,'Process'!BR4=1),1+('Control Room'!$C$15-1)*EXP(-0.5*(($A126-'Control Room'!$A$15-('Control Room'!$B$15-1)/2)/MAX(0.5,'Control Room'!$B$15/4))^2),1)*IF(AND($A126&gt;='Control Room'!$A$16,$A126&lt;'Control Room'!$A$16+'Control Room'!$B$16,'Process'!BR5=1),1+('Control Room'!$C$16-1)*EXP(-0.5*(($A126-'Control Room'!$A$16-('Control Room'!$B$16-1)/2)/MAX(0.5,'Control Room'!$B$16/4))^2),1)</x:f>
        <x:v>1</x:v>
      </x:c>
      <x:c r="AP126" s="9" t="n">
        <x:f>MOD(AQ125*16807,2147483647)</x:f>
        <x:v>288985047</x:v>
      </x:c>
      <x:c r="AQ126" s="9" t="n">
        <x:f>MOD(AP126*16807,2147483647)</x:f>
        <x:v>1511159062</x:v>
      </x:c>
      <x:c r="AR126" s="17" t="n">
        <x:f>IF('Control Room'!$B$5="Normal",'Control Room'!$B$7+'Control Room'!$D$7*SQRT(-2*LN(MAX(0.000000000001,AP126/2147483647)))*COS(2*PI()*AQ126/2147483647),'Control Room'!$B$8+('Control Room'!$D$8-'Control Room'!$B$8)*AP126/2147483647)</x:f>
        <x:v>948.2854602113036</x:v>
      </x:c>
      <x:c r="AS126" s="17" t="n">
        <x:f>IF('Control Room'!$B$5="Normal",'Control Room'!$B$7,('Control Room'!$B$8+'Control Room'!$D$8)/2)+'Control Room'!$B$9*(AS125-IF('Control Room'!$B$5="Normal",'Control Room'!$B$7,('Control Room'!$B$8+'Control Room'!$D$8)/2))+SQRT(1-'Control Room'!$B$9^2)*(AR126-IF('Control Room'!$B$5="Normal",'Control Room'!$B$7,('Control Room'!$B$8+'Control Room'!$D$8)/2))</x:f>
        <x:v>928.4088497296424</x:v>
      </x:c>
      <x:c r="AT126" s="17" t="n">
        <x:f>IF(AND($A126&gt;='Control Room'!$A$13,$A126&lt;'Control Room'!$A$13+'Control Room'!$B$13,'Process'!BS2=1),1+('Control Room'!$C$13-1)*EXP(-0.5*(($A126-'Control Room'!$A$13-('Control Room'!$B$13-1)/2)/MAX(0.5,'Control Room'!$B$13/4))^2),1)*IF(AND($A126&gt;='Control Room'!$A$14,$A126&lt;'Control Room'!$A$14+'Control Room'!$B$14,'Process'!BS3=1),1+('Control Room'!$C$14-1)*EXP(-0.5*(($A126-'Control Room'!$A$14-('Control Room'!$B$14-1)/2)/MAX(0.5,'Control Room'!$B$14/4))^2),1)*IF(AND($A126&gt;='Control Room'!$A$15,$A126&lt;'Control Room'!$A$15+'Control Room'!$B$15,'Process'!BS4=1),1+('Control Room'!$C$15-1)*EXP(-0.5*(($A126-'Control Room'!$A$15-('Control Room'!$B$15-1)/2)/MAX(0.5,'Control Room'!$B$15/4))^2),1)*IF(AND($A126&gt;='Control Room'!$A$16,$A126&lt;'Control Room'!$A$16+'Control Room'!$B$16,'Process'!BS5=1),1+('Control Room'!$C$16-1)*EXP(-0.5*(($A126-'Control Room'!$A$16-('Control Room'!$B$16-1)/2)/MAX(0.5,'Control Room'!$B$16/4))^2),1)</x:f>
        <x:v>1</x:v>
      </x:c>
      <x:c r="AU126" s="9" t="n">
        <x:f>MOD(AV125*16807,2147483647)</x:f>
        <x:v>1160878158</x:v>
      </x:c>
      <x:c r="AV126" s="9" t="n">
        <x:f>MOD(AU126*16807,2147483647)</x:f>
        <x:v>990268511</x:v>
      </x:c>
      <x:c r="AW126" s="17" t="n">
        <x:f>IF('Control Room'!$B$5="Normal",'Control Room'!$B$7+'Control Room'!$D$7*SQRT(-2*LN(MAX(0.000000000001,AU126/2147483647)))*COS(2*PI()*AV126/2147483647),'Control Room'!$B$8+('Control Room'!$D$8-'Control Room'!$B$8)*AU126/2147483647)</x:f>
        <x:v>903.1378279958682</x:v>
      </x:c>
      <x:c r="AX126" s="17" t="n">
        <x:f>IF('Control Room'!$B$5="Normal",'Control Room'!$B$7,('Control Room'!$B$8+'Control Room'!$D$8)/2)+'Control Room'!$B$9*(AX125-IF('Control Room'!$B$5="Normal",'Control Room'!$B$7,('Control Room'!$B$8+'Control Room'!$D$8)/2))+SQRT(1-'Control Room'!$B$9^2)*(AW126-IF('Control Room'!$B$5="Normal",'Control Room'!$B$7,('Control Room'!$B$8+'Control Room'!$D$8)/2))</x:f>
        <x:v>935.1374955669993</x:v>
      </x:c>
      <x:c r="AY126" s="17" t="n">
        <x:f>IF(AND($A126&gt;='Control Room'!$A$13,$A126&lt;'Control Room'!$A$13+'Control Room'!$B$13,'Process'!BT2=1),1+('Control Room'!$C$13-1)*EXP(-0.5*(($A126-'Control Room'!$A$13-('Control Room'!$B$13-1)/2)/MAX(0.5,'Control Room'!$B$13/4))^2),1)*IF(AND($A126&gt;='Control Room'!$A$14,$A126&lt;'Control Room'!$A$14+'Control Room'!$B$14,'Process'!BT3=1),1+('Control Room'!$C$14-1)*EXP(-0.5*(($A126-'Control Room'!$A$14-('Control Room'!$B$14-1)/2)/MAX(0.5,'Control Room'!$B$14/4))^2),1)*IF(AND($A126&gt;='Control Room'!$A$15,$A126&lt;'Control Room'!$A$15+'Control Room'!$B$15,'Process'!BT4=1),1+('Control Room'!$C$15-1)*EXP(-0.5*(($A126-'Control Room'!$A$15-('Control Room'!$B$15-1)/2)/MAX(0.5,'Control Room'!$B$15/4))^2),1)*IF(AND($A126&gt;='Control Room'!$A$16,$A126&lt;'Control Room'!$A$16+'Control Room'!$B$16,'Process'!BT5=1),1+('Control Room'!$C$16-1)*EXP(-0.5*(($A126-'Control Room'!$A$16-('Control Room'!$B$16-1)/2)/MAX(0.5,'Control Room'!$B$16/4))^2),1)</x:f>
        <x:v>1</x:v>
      </x:c>
      <x:c r="AZ126" s="9" t="n">
        <x:f>MOD(BA125*16807,2147483647)</x:f>
        <x:v>2032771269</x:v>
      </x:c>
      <x:c r="BA126" s="9" t="n">
        <x:f>MOD(AZ126*16807,2147483647)</x:f>
        <x:v>469377960</x:v>
      </x:c>
      <x:c r="BB126" s="17" t="n">
        <x:f>IF('Control Room'!$B$5="Normal",'Control Room'!$B$7+'Control Room'!$D$7*SQRT(-2*LN(MAX(0.000000000001,AZ126/2147483647)))*COS(2*PI()*BA126/2147483647),'Control Room'!$B$8+('Control Room'!$D$8-'Control Room'!$B$8)*AZ126/2147483647)</x:f>
        <x:v>1005.8507687203069</x:v>
      </x:c>
      <x:c r="BC126" s="17" t="n">
        <x:f>IF('Control Room'!$B$5="Normal",'Control Room'!$B$7,('Control Room'!$B$8+'Control Room'!$D$8)/2)+'Control Room'!$B$9*(BC125-IF('Control Room'!$B$5="Normal",'Control Room'!$B$7,('Control Room'!$B$8+'Control Room'!$D$8)/2))+SQRT(1-'Control Room'!$B$9^2)*(BB126-IF('Control Room'!$B$5="Normal",'Control Room'!$B$7,('Control Room'!$B$8+'Control Room'!$D$8)/2))</x:f>
        <x:v>1046.2803832043637</x:v>
      </x:c>
      <x:c r="BD126" s="17" t="n">
        <x:f>IF(AND($A126&gt;='Control Room'!$A$13,$A126&lt;'Control Room'!$A$13+'Control Room'!$B$13,'Process'!BU2=1),1+('Control Room'!$C$13-1)*EXP(-0.5*(($A126-'Control Room'!$A$13-('Control Room'!$B$13-1)/2)/MAX(0.5,'Control Room'!$B$13/4))^2),1)*IF(AND($A126&gt;='Control Room'!$A$14,$A126&lt;'Control Room'!$A$14+'Control Room'!$B$14,'Process'!BU3=1),1+('Control Room'!$C$14-1)*EXP(-0.5*(($A126-'Control Room'!$A$14-('Control Room'!$B$14-1)/2)/MAX(0.5,'Control Room'!$B$14/4))^2),1)*IF(AND($A126&gt;='Control Room'!$A$15,$A126&lt;'Control Room'!$A$15+'Control Room'!$B$15,'Process'!BU4=1),1+('Control Room'!$C$15-1)*EXP(-0.5*(($A126-'Control Room'!$A$15-('Control Room'!$B$15-1)/2)/MAX(0.5,'Control Room'!$B$15/4))^2),1)*IF(AND($A126&gt;='Control Room'!$A$16,$A126&lt;'Control Room'!$A$16+'Control Room'!$B$16,'Process'!BU5=1),1+('Control Room'!$C$16-1)*EXP(-0.5*(($A126-'Control Room'!$A$16-('Control Room'!$B$16-1)/2)/MAX(0.5,'Control Room'!$B$16/4))^2),1)</x:f>
        <x:v>1</x:v>
      </x:c>
      <x:c r="BE126" s="9" t="n">
        <x:f>MOD(BF125*16807,2147483647)</x:f>
        <x:v>757180733</x:v>
      </x:c>
      <x:c r="BF126" s="9" t="n">
        <x:f>MOD(BE126*16807,2147483647)</x:f>
        <x:v>2095971056</x:v>
      </x:c>
      <x:c r="BG126" s="17" t="n">
        <x:f>IF('Control Room'!$B$5="Normal",'Control Room'!$B$7+'Control Room'!$D$7*SQRT(-2*LN(MAX(0.000000000001,BE126/2147483647)))*COS(2*PI()*BF126/2147483647),'Control Room'!$B$8+('Control Room'!$D$8-'Control Room'!$B$8)*BE126/2147483647)</x:f>
        <x:v>1128.4794561856297</x:v>
      </x:c>
      <x:c r="BH126" s="17" t="n">
        <x:f>IF('Control Room'!$B$5="Normal",'Control Room'!$B$7,('Control Room'!$B$8+'Control Room'!$D$8)/2)+'Control Room'!$B$9*(BH125-IF('Control Room'!$B$5="Normal",'Control Room'!$B$7,('Control Room'!$B$8+'Control Room'!$D$8)/2))+SQRT(1-'Control Room'!$B$9^2)*(BG126-IF('Control Room'!$B$5="Normal",'Control Room'!$B$7,('Control Room'!$B$8+'Control Room'!$D$8)/2))</x:f>
        <x:v>1045.7959070036015</x:v>
      </x:c>
      <x:c r="BI126" s="17" t="n">
        <x:f>IF(AND($A126&gt;='Control Room'!$A$13,$A126&lt;'Control Room'!$A$13+'Control Room'!$B$13,'Process'!BV2=1),1+('Control Room'!$C$13-1)*EXP(-0.5*(($A126-'Control Room'!$A$13-('Control Room'!$B$13-1)/2)/MAX(0.5,'Control Room'!$B$13/4))^2),1)*IF(AND($A126&gt;='Control Room'!$A$14,$A126&lt;'Control Room'!$A$14+'Control Room'!$B$14,'Process'!BV3=1),1+('Control Room'!$C$14-1)*EXP(-0.5*(($A126-'Control Room'!$A$14-('Control Room'!$B$14-1)/2)/MAX(0.5,'Control Room'!$B$14/4))^2),1)*IF(AND($A126&gt;='Control Room'!$A$15,$A126&lt;'Control Room'!$A$15+'Control Room'!$B$15,'Process'!BV4=1),1+('Control Room'!$C$15-1)*EXP(-0.5*(($A126-'Control Room'!$A$15-('Control Room'!$B$15-1)/2)/MAX(0.5,'Control Room'!$B$15/4))^2),1)*IF(AND($A126&gt;='Control Room'!$A$16,$A126&lt;'Control Room'!$A$16+'Control Room'!$B$16,'Process'!BV5=1),1+('Control Room'!$C$16-1)*EXP(-0.5*(($A126-'Control Room'!$A$16-('Control Room'!$B$16-1)/2)/MAX(0.5,'Control Room'!$B$16/4))^2),1)</x:f>
        <x:v>1</x:v>
      </x:c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Z126" t="str">
        <x:f>IF('Data'!A126="","",TEXT('Data'!A126,"mm-dd"))</x:f>
      </x:c>
    </x:row>
    <x:row r="127" ht="21" customHeight="1">
      <x:c r="A127" s="15" t="n">
        <x:f>'Control Room'!$B$1+125</x:f>
        <x:v>73116</x:v>
      </x:c>
      <x:c r="B127" s="9" t="n">
        <x:f>MOD(C126*16807,2147483647)</x:f>
        <x:v>737007610</x:v>
      </x:c>
      <x:c r="C127" s="9" t="n">
        <x:f>MOD(B127*16807,2147483647)</x:f>
        <x:v>201225374</x:v>
      </x:c>
      <x:c r="D127" s="17" t="n">
        <x:f>IF('Control Room'!$B$5="Normal",'Control Room'!$B$7+'Control Room'!$D$7*SQRT(-2*LN(MAX(0.000000000001,B127/2147483647)))*COS(2*PI()*C127/2147483647),'Control Room'!$B$8+('Control Room'!$D$8-'Control Room'!$B$8)*B127/2147483647)</x:f>
        <x:v>1109.4638748691366</x:v>
      </x:c>
      <x:c r="E127" s="17" t="n">
        <x:f>IF('Control Room'!$B$5="Normal",'Control Room'!$B$7,('Control Room'!$B$8+'Control Room'!$D$8)/2)+'Control Room'!$B$9*(E126-IF('Control Room'!$B$5="Normal",'Control Room'!$B$7,('Control Room'!$B$8+'Control Room'!$D$8)/2))+SQRT(1-'Control Room'!$B$9^2)*(D127-IF('Control Room'!$B$5="Normal",'Control Room'!$B$7,('Control Room'!$B$8+'Control Room'!$D$8)/2))</x:f>
        <x:v>955.3969685395695</x:v>
      </x:c>
      <x:c r="F127" s="17" t="n">
        <x:f>IF(AND($A127&gt;='Control Room'!$A$13,$A127&lt;'Control Room'!$A$13+'Control Room'!$B$13,'Process'!BK2=1),1+('Control Room'!$C$13-1)*EXP(-0.5*(($A127-'Control Room'!$A$13-('Control Room'!$B$13-1)/2)/MAX(0.5,'Control Room'!$B$13/4))^2),1)*IF(AND($A127&gt;='Control Room'!$A$14,$A127&lt;'Control Room'!$A$14+'Control Room'!$B$14,'Process'!BK3=1),1+('Control Room'!$C$14-1)*EXP(-0.5*(($A127-'Control Room'!$A$14-('Control Room'!$B$14-1)/2)/MAX(0.5,'Control Room'!$B$14/4))^2),1)*IF(AND($A127&gt;='Control Room'!$A$15,$A127&lt;'Control Room'!$A$15+'Control Room'!$B$15,'Process'!BK4=1),1+('Control Room'!$C$15-1)*EXP(-0.5*(($A127-'Control Room'!$A$15-('Control Room'!$B$15-1)/2)/MAX(0.5,'Control Room'!$B$15/4))^2),1)*IF(AND($A127&gt;='Control Room'!$A$16,$A127&lt;'Control Room'!$A$16+'Control Room'!$B$16,'Process'!BK5=1),1+('Control Room'!$C$16-1)*EXP(-0.5*(($A127-'Control Room'!$A$16-('Control Room'!$B$16-1)/2)/MAX(0.5,'Control Room'!$B$16/4))^2),1)</x:f>
        <x:v>1</x:v>
      </x:c>
      <x:c r="G127" s="9" t="n">
        <x:f>MOD(H126*16807,2147483647)</x:f>
        <x:v>1420345772</x:v>
      </x:c>
      <x:c r="H127" s="9" t="n">
        <x:f>MOD(G127*16807,2147483647)</x:f>
        <x:v>323169952</x:v>
      </x:c>
      <x:c r="I127" s="17" t="n">
        <x:f>IF('Control Room'!$B$5="Normal",'Control Room'!$B$7+'Control Room'!$D$7*SQRT(-2*LN(MAX(0.000000000001,G127/2147483647)))*COS(2*PI()*H127/2147483647),'Control Room'!$B$8+('Control Room'!$D$8-'Control Room'!$B$8)*G127/2147483647)</x:f>
        <x:v>1047.8984859330824</x:v>
      </x:c>
      <x:c r="J127" s="17" t="n">
        <x:f>IF('Control Room'!$B$5="Normal",'Control Room'!$B$7,('Control Room'!$B$8+'Control Room'!$D$8)/2)+'Control Room'!$B$9*(J126-IF('Control Room'!$B$5="Normal",'Control Room'!$B$7,('Control Room'!$B$8+'Control Room'!$D$8)/2))+SQRT(1-'Control Room'!$B$9^2)*(I127-IF('Control Room'!$B$5="Normal",'Control Room'!$B$7,('Control Room'!$B$8+'Control Room'!$D$8)/2))</x:f>
        <x:v>961.7510979147816</x:v>
      </x:c>
      <x:c r="K127" s="17" t="n">
        <x:f>IF(AND($A127&gt;='Control Room'!$A$13,$A127&lt;'Control Room'!$A$13+'Control Room'!$B$13,'Process'!BL2=1),1+('Control Room'!$C$13-1)*EXP(-0.5*(($A127-'Control Room'!$A$13-('Control Room'!$B$13-1)/2)/MAX(0.5,'Control Room'!$B$13/4))^2),1)*IF(AND($A127&gt;='Control Room'!$A$14,$A127&lt;'Control Room'!$A$14+'Control Room'!$B$14,'Process'!BL3=1),1+('Control Room'!$C$14-1)*EXP(-0.5*(($A127-'Control Room'!$A$14-('Control Room'!$B$14-1)/2)/MAX(0.5,'Control Room'!$B$14/4))^2),1)*IF(AND($A127&gt;='Control Room'!$A$15,$A127&lt;'Control Room'!$A$15+'Control Room'!$B$15,'Process'!BL4=1),1+('Control Room'!$C$15-1)*EXP(-0.5*(($A127-'Control Room'!$A$15-('Control Room'!$B$15-1)/2)/MAX(0.5,'Control Room'!$B$15/4))^2),1)*IF(AND($A127&gt;='Control Room'!$A$16,$A127&lt;'Control Room'!$A$16+'Control Room'!$B$16,'Process'!BL5=1),1+('Control Room'!$C$16-1)*EXP(-0.5*(($A127-'Control Room'!$A$16-('Control Room'!$B$16-1)/2)/MAX(0.5,'Control Room'!$B$16/4))^2),1)</x:f>
        <x:v>1</x:v>
      </x:c>
      <x:c r="L127" s="9" t="n">
        <x:f>MOD(M126*16807,2147483647)</x:f>
        <x:v>2103683934</x:v>
      </x:c>
      <x:c r="M127" s="9" t="n">
        <x:f>MOD(L127*16807,2147483647)</x:f>
        <x:v>445114530</x:v>
      </x:c>
      <x:c r="N127" s="17" t="n">
        <x:f>IF('Control Room'!$B$5="Normal",'Control Room'!$B$7+'Control Room'!$D$7*SQRT(-2*LN(MAX(0.000000000001,L127/2147483647)))*COS(2*PI()*M127/2147483647),'Control Room'!$B$8+('Control Room'!$D$8-'Control Room'!$B$8)*L127/2147483647)</x:f>
        <x:v>1004.8463924935661</x:v>
      </x:c>
      <x:c r="O127" s="17" t="n">
        <x:f>IF('Control Room'!$B$5="Normal",'Control Room'!$B$7,('Control Room'!$B$8+'Control Room'!$D$8)/2)+'Control Room'!$B$9*(O126-IF('Control Room'!$B$5="Normal",'Control Room'!$B$7,('Control Room'!$B$8+'Control Room'!$D$8)/2))+SQRT(1-'Control Room'!$B$9^2)*(N127-IF('Control Room'!$B$5="Normal",'Control Room'!$B$7,('Control Room'!$B$8+'Control Room'!$D$8)/2))</x:f>
        <x:v>1014.0083022458417</x:v>
      </x:c>
      <x:c r="P127" s="17" t="n">
        <x:f>IF(AND($A127&gt;='Control Room'!$A$13,$A127&lt;'Control Room'!$A$13+'Control Room'!$B$13,'Process'!BM2=1),1+('Control Room'!$C$13-1)*EXP(-0.5*(($A127-'Control Room'!$A$13-('Control Room'!$B$13-1)/2)/MAX(0.5,'Control Room'!$B$13/4))^2),1)*IF(AND($A127&gt;='Control Room'!$A$14,$A127&lt;'Control Room'!$A$14+'Control Room'!$B$14,'Process'!BM3=1),1+('Control Room'!$C$14-1)*EXP(-0.5*(($A127-'Control Room'!$A$14-('Control Room'!$B$14-1)/2)/MAX(0.5,'Control Room'!$B$14/4))^2),1)*IF(AND($A127&gt;='Control Room'!$A$15,$A127&lt;'Control Room'!$A$15+'Control Room'!$B$15,'Process'!BM4=1),1+('Control Room'!$C$15-1)*EXP(-0.5*(($A127-'Control Room'!$A$15-('Control Room'!$B$15-1)/2)/MAX(0.5,'Control Room'!$B$15/4))^2),1)*IF(AND($A127&gt;='Control Room'!$A$16,$A127&lt;'Control Room'!$A$16+'Control Room'!$B$16,'Process'!BM5=1),1+('Control Room'!$C$16-1)*EXP(-0.5*(($A127-'Control Room'!$A$16-('Control Room'!$B$16-1)/2)/MAX(0.5,'Control Room'!$B$16/4))^2),1)</x:f>
        <x:v>1</x:v>
      </x:c>
      <x:c r="Q127" s="9" t="n">
        <x:f>MOD(R126*16807,2147483647)</x:f>
        <x:v>639538449</x:v>
      </x:c>
      <x:c r="R127" s="9" t="n">
        <x:f>MOD(Q127*16807,2147483647)</x:f>
        <x:v>567059108</x:v>
      </x:c>
      <x:c r="S127" s="17" t="n">
        <x:f>IF('Control Room'!$B$5="Normal",'Control Room'!$B$7+'Control Room'!$D$7*SQRT(-2*LN(MAX(0.000000000001,Q127/2147483647)))*COS(2*PI()*R127/2147483647),'Control Room'!$B$8+('Control Room'!$D$8-'Control Room'!$B$8)*Q127/2147483647)</x:f>
        <x:v>987.6431820174124</x:v>
      </x:c>
      <x:c r="T127" s="17" t="n">
        <x:f>IF('Control Room'!$B$5="Normal",'Control Room'!$B$7,('Control Room'!$B$8+'Control Room'!$D$8)/2)+'Control Room'!$B$9*(T126-IF('Control Room'!$B$5="Normal",'Control Room'!$B$7,('Control Room'!$B$8+'Control Room'!$D$8)/2))+SQRT(1-'Control Room'!$B$9^2)*(S127-IF('Control Room'!$B$5="Normal",'Control Room'!$B$7,('Control Room'!$B$8+'Control Room'!$D$8)/2))</x:f>
        <x:v>1008.5701768277463</x:v>
      </x:c>
      <x:c r="U127" s="17" t="n">
        <x:f>IF(AND($A127&gt;='Control Room'!$A$13,$A127&lt;'Control Room'!$A$13+'Control Room'!$B$13,'Process'!BN2=1),1+('Control Room'!$C$13-1)*EXP(-0.5*(($A127-'Control Room'!$A$13-('Control Room'!$B$13-1)/2)/MAX(0.5,'Control Room'!$B$13/4))^2),1)*IF(AND($A127&gt;='Control Room'!$A$14,$A127&lt;'Control Room'!$A$14+'Control Room'!$B$14,'Process'!BN3=1),1+('Control Room'!$C$14-1)*EXP(-0.5*(($A127-'Control Room'!$A$14-('Control Room'!$B$14-1)/2)/MAX(0.5,'Control Room'!$B$14/4))^2),1)*IF(AND($A127&gt;='Control Room'!$A$15,$A127&lt;'Control Room'!$A$15+'Control Room'!$B$15,'Process'!BN4=1),1+('Control Room'!$C$15-1)*EXP(-0.5*(($A127-'Control Room'!$A$15-('Control Room'!$B$15-1)/2)/MAX(0.5,'Control Room'!$B$15/4))^2),1)*IF(AND($A127&gt;='Control Room'!$A$16,$A127&lt;'Control Room'!$A$16+'Control Room'!$B$16,'Process'!BN5=1),1+('Control Room'!$C$16-1)*EXP(-0.5*(($A127-'Control Room'!$A$16-('Control Room'!$B$16-1)/2)/MAX(0.5,'Control Room'!$B$16/4))^2),1)</x:f>
        <x:v>1</x:v>
      </x:c>
      <x:c r="V127" s="9" t="n">
        <x:f>MOD(W126*16807,2147483647)</x:f>
        <x:v>1322876611</x:v>
      </x:c>
      <x:c r="W127" s="9" t="n">
        <x:f>MOD(V127*16807,2147483647)</x:f>
        <x:v>689003686</x:v>
      </x:c>
      <x:c r="X127" s="17" t="n">
        <x:f>IF('Control Room'!$B$5="Normal",'Control Room'!$B$7+'Control Room'!$D$7*SQRT(-2*LN(MAX(0.000000000001,V127/2147483647)))*COS(2*PI()*W127/2147483647),'Control Room'!$B$8+('Control Room'!$D$8-'Control Room'!$B$8)*V127/2147483647)</x:f>
        <x:v>961.8552320329685</x:v>
      </x:c>
      <x:c r="Y127" s="17" t="n">
        <x:f>IF('Control Room'!$B$5="Normal",'Control Room'!$B$7,('Control Room'!$B$8+'Control Room'!$D$8)/2)+'Control Room'!$B$9*(Y126-IF('Control Room'!$B$5="Normal",'Control Room'!$B$7,('Control Room'!$B$8+'Control Room'!$D$8)/2))+SQRT(1-'Control Room'!$B$9^2)*(X127-IF('Control Room'!$B$5="Normal",'Control Room'!$B$7,('Control Room'!$B$8+'Control Room'!$D$8)/2))</x:f>
        <x:v>911.8607423056447</x:v>
      </x:c>
      <x:c r="Z127" s="17" t="n">
        <x:f>IF(AND($A127&gt;='Control Room'!$A$13,$A127&lt;'Control Room'!$A$13+'Control Room'!$B$13,'Process'!BO2=1),1+('Control Room'!$C$13-1)*EXP(-0.5*(($A127-'Control Room'!$A$13-('Control Room'!$B$13-1)/2)/MAX(0.5,'Control Room'!$B$13/4))^2),1)*IF(AND($A127&gt;='Control Room'!$A$14,$A127&lt;'Control Room'!$A$14+'Control Room'!$B$14,'Process'!BO3=1),1+('Control Room'!$C$14-1)*EXP(-0.5*(($A127-'Control Room'!$A$14-('Control Room'!$B$14-1)/2)/MAX(0.5,'Control Room'!$B$14/4))^2),1)*IF(AND($A127&gt;='Control Room'!$A$15,$A127&lt;'Control Room'!$A$15+'Control Room'!$B$15,'Process'!BO4=1),1+('Control Room'!$C$15-1)*EXP(-0.5*(($A127-'Control Room'!$A$15-('Control Room'!$B$15-1)/2)/MAX(0.5,'Control Room'!$B$15/4))^2),1)*IF(AND($A127&gt;='Control Room'!$A$16,$A127&lt;'Control Room'!$A$16+'Control Room'!$B$16,'Process'!BO5=1),1+('Control Room'!$C$16-1)*EXP(-0.5*(($A127-'Control Room'!$A$16-('Control Room'!$B$16-1)/2)/MAX(0.5,'Control Room'!$B$16/4))^2),1)</x:f>
        <x:v>1</x:v>
      </x:c>
      <x:c r="AA127" s="9" t="n">
        <x:f>MOD(AB126*16807,2147483647)</x:f>
        <x:v>2006214773</x:v>
      </x:c>
      <x:c r="AB127" s="9" t="n">
        <x:f>MOD(AA127*16807,2147483647)</x:f>
        <x:v>810948264</x:v>
      </x:c>
      <x:c r="AC127" s="17" t="n">
        <x:f>IF('Control Room'!$B$5="Normal",'Control Room'!$B$7+'Control Room'!$D$7*SQRT(-2*LN(MAX(0.000000000001,AA127/2147483647)))*COS(2*PI()*AB127/2147483647),'Control Room'!$B$8+('Control Room'!$D$8-'Control Room'!$B$8)*AA127/2147483647)</x:f>
        <x:v>976.1384313950275</x:v>
      </x:c>
      <x:c r="AD127" s="17" t="n">
        <x:f>IF('Control Room'!$B$5="Normal",'Control Room'!$B$7,('Control Room'!$B$8+'Control Room'!$D$8)/2)+'Control Room'!$B$9*(AD126-IF('Control Room'!$B$5="Normal",'Control Room'!$B$7,('Control Room'!$B$8+'Control Room'!$D$8)/2))+SQRT(1-'Control Room'!$B$9^2)*(AC127-IF('Control Room'!$B$5="Normal",'Control Room'!$B$7,('Control Room'!$B$8+'Control Room'!$D$8)/2))</x:f>
        <x:v>961.9018118765945</x:v>
      </x:c>
      <x:c r="AE127" s="17" t="n">
        <x:f>IF(AND($A127&gt;='Control Room'!$A$13,$A127&lt;'Control Room'!$A$13+'Control Room'!$B$13,'Process'!BP2=1),1+('Control Room'!$C$13-1)*EXP(-0.5*(($A127-'Control Room'!$A$13-('Control Room'!$B$13-1)/2)/MAX(0.5,'Control Room'!$B$13/4))^2),1)*IF(AND($A127&gt;='Control Room'!$A$14,$A127&lt;'Control Room'!$A$14+'Control Room'!$B$14,'Process'!BP3=1),1+('Control Room'!$C$14-1)*EXP(-0.5*(($A127-'Control Room'!$A$14-('Control Room'!$B$14-1)/2)/MAX(0.5,'Control Room'!$B$14/4))^2),1)*IF(AND($A127&gt;='Control Room'!$A$15,$A127&lt;'Control Room'!$A$15+'Control Room'!$B$15,'Process'!BP4=1),1+('Control Room'!$C$15-1)*EXP(-0.5*(($A127-'Control Room'!$A$15-('Control Room'!$B$15-1)/2)/MAX(0.5,'Control Room'!$B$15/4))^2),1)*IF(AND($A127&gt;='Control Room'!$A$16,$A127&lt;'Control Room'!$A$16+'Control Room'!$B$16,'Process'!BP5=1),1+('Control Room'!$C$16-1)*EXP(-0.5*(($A127-'Control Room'!$A$16-('Control Room'!$B$16-1)/2)/MAX(0.5,'Control Room'!$B$16/4))^2),1)</x:f>
        <x:v>1</x:v>
      </x:c>
      <x:c r="AF127" s="9" t="n">
        <x:f>MOD(AG126*16807,2147483647)</x:f>
        <x:v>542069288</x:v>
      </x:c>
      <x:c r="AG127" s="9" t="n">
        <x:f>MOD(AF127*16807,2147483647)</x:f>
        <x:v>932892842</x:v>
      </x:c>
      <x:c r="AH127" s="17" t="n">
        <x:f>IF('Control Room'!$B$5="Normal",'Control Room'!$B$7+'Control Room'!$D$7*SQRT(-2*LN(MAX(0.000000000001,AF127/2147483647)))*COS(2*PI()*AG127/2147483647),'Control Room'!$B$8+('Control Room'!$D$8-'Control Room'!$B$8)*AF127/2147483647)</x:f>
        <x:v>863.1643068029015</x:v>
      </x:c>
      <x:c r="AI127" s="17" t="n">
        <x:f>IF('Control Room'!$B$5="Normal",'Control Room'!$B$7,('Control Room'!$B$8+'Control Room'!$D$8)/2)+'Control Room'!$B$9*(AI126-IF('Control Room'!$B$5="Normal",'Control Room'!$B$7,('Control Room'!$B$8+'Control Room'!$D$8)/2))+SQRT(1-'Control Room'!$B$9^2)*(AH127-IF('Control Room'!$B$5="Normal",'Control Room'!$B$7,('Control Room'!$B$8+'Control Room'!$D$8)/2))</x:f>
        <x:v>917.2138994540112</x:v>
      </x:c>
      <x:c r="AJ127" s="17" t="n">
        <x:f>IF(AND($A127&gt;='Control Room'!$A$13,$A127&lt;'Control Room'!$A$13+'Control Room'!$B$13,'Process'!BQ2=1),1+('Control Room'!$C$13-1)*EXP(-0.5*(($A127-'Control Room'!$A$13-('Control Room'!$B$13-1)/2)/MAX(0.5,'Control Room'!$B$13/4))^2),1)*IF(AND($A127&gt;='Control Room'!$A$14,$A127&lt;'Control Room'!$A$14+'Control Room'!$B$14,'Process'!BQ3=1),1+('Control Room'!$C$14-1)*EXP(-0.5*(($A127-'Control Room'!$A$14-('Control Room'!$B$14-1)/2)/MAX(0.5,'Control Room'!$B$14/4))^2),1)*IF(AND($A127&gt;='Control Room'!$A$15,$A127&lt;'Control Room'!$A$15+'Control Room'!$B$15,'Process'!BQ4=1),1+('Control Room'!$C$15-1)*EXP(-0.5*(($A127-'Control Room'!$A$15-('Control Room'!$B$15-1)/2)/MAX(0.5,'Control Room'!$B$15/4))^2),1)*IF(AND($A127&gt;='Control Room'!$A$16,$A127&lt;'Control Room'!$A$16+'Control Room'!$B$16,'Process'!BQ5=1),1+('Control Room'!$C$16-1)*EXP(-0.5*(($A127-'Control Room'!$A$16-('Control Room'!$B$16-1)/2)/MAX(0.5,'Control Room'!$B$16/4))^2),1)</x:f>
        <x:v>1</x:v>
      </x:c>
      <x:c r="AK127" s="9" t="n">
        <x:f>MOD(AL126*16807,2147483647)</x:f>
        <x:v>1225407450</x:v>
      </x:c>
      <x:c r="AL127" s="9" t="n">
        <x:f>MOD(AK127*16807,2147483647)</x:f>
        <x:v>1054837420</x:v>
      </x:c>
      <x:c r="AM127" s="17" t="n">
        <x:f>IF('Control Room'!$B$5="Normal",'Control Room'!$B$7+'Control Room'!$D$7*SQRT(-2*LN(MAX(0.000000000001,AK127/2147483647)))*COS(2*PI()*AL127/2147483647),'Control Room'!$B$8+('Control Room'!$D$8-'Control Room'!$B$8)*AK127/2147483647)</x:f>
        <x:v>904.811755863548</x:v>
      </x:c>
      <x:c r="AN127" s="17" t="n">
        <x:f>IF('Control Room'!$B$5="Normal",'Control Room'!$B$7,('Control Room'!$B$8+'Control Room'!$D$8)/2)+'Control Room'!$B$9*(AN126-IF('Control Room'!$B$5="Normal",'Control Room'!$B$7,('Control Room'!$B$8+'Control Room'!$D$8)/2))+SQRT(1-'Control Room'!$B$9^2)*(AM127-IF('Control Room'!$B$5="Normal",'Control Room'!$B$7,('Control Room'!$B$8+'Control Room'!$D$8)/2))</x:f>
        <x:v>984.8810899925005</x:v>
      </x:c>
      <x:c r="AO127" s="17" t="n">
        <x:f>IF(AND($A127&gt;='Control Room'!$A$13,$A127&lt;'Control Room'!$A$13+'Control Room'!$B$13,'Process'!BR2=1),1+('Control Room'!$C$13-1)*EXP(-0.5*(($A127-'Control Room'!$A$13-('Control Room'!$B$13-1)/2)/MAX(0.5,'Control Room'!$B$13/4))^2),1)*IF(AND($A127&gt;='Control Room'!$A$14,$A127&lt;'Control Room'!$A$14+'Control Room'!$B$14,'Process'!BR3=1),1+('Control Room'!$C$14-1)*EXP(-0.5*(($A127-'Control Room'!$A$14-('Control Room'!$B$14-1)/2)/MAX(0.5,'Control Room'!$B$14/4))^2),1)*IF(AND($A127&gt;='Control Room'!$A$15,$A127&lt;'Control Room'!$A$15+'Control Room'!$B$15,'Process'!BR4=1),1+('Control Room'!$C$15-1)*EXP(-0.5*(($A127-'Control Room'!$A$15-('Control Room'!$B$15-1)/2)/MAX(0.5,'Control Room'!$B$15/4))^2),1)*IF(AND($A127&gt;='Control Room'!$A$16,$A127&lt;'Control Room'!$A$16+'Control Room'!$B$16,'Process'!BR5=1),1+('Control Room'!$C$16-1)*EXP(-0.5*(($A127-'Control Room'!$A$16-('Control Room'!$B$16-1)/2)/MAX(0.5,'Control Room'!$B$16/4))^2),1)</x:f>
        <x:v>1</x:v>
      </x:c>
      <x:c r="AP127" s="9" t="n">
        <x:f>MOD(AQ126*16807,2147483647)</x:f>
        <x:v>1908745612</x:v>
      </x:c>
      <x:c r="AQ127" s="9" t="n">
        <x:f>MOD(AP127*16807,2147483647)</x:f>
        <x:v>1176781998</x:v>
      </x:c>
      <x:c r="AR127" s="17" t="n">
        <x:f>IF('Control Room'!$B$5="Normal",'Control Room'!$B$7+'Control Room'!$D$7*SQRT(-2*LN(MAX(0.000000000001,AP127/2147483647)))*COS(2*PI()*AQ127/2147483647),'Control Room'!$B$8+('Control Room'!$D$8-'Control Room'!$B$8)*AP127/2147483647)</x:f>
        <x:v>958.2765334363288</x:v>
      </x:c>
      <x:c r="AS127" s="17" t="n">
        <x:f>IF('Control Room'!$B$5="Normal",'Control Room'!$B$7,('Control Room'!$B$8+'Control Room'!$D$8)/2)+'Control Room'!$B$9*(AS126-IF('Control Room'!$B$5="Normal",'Control Room'!$B$7,('Control Room'!$B$8+'Control Room'!$D$8)/2))+SQRT(1-'Control Room'!$B$9^2)*(AR127-IF('Control Room'!$B$5="Normal",'Control Room'!$B$7,('Control Room'!$B$8+'Control Room'!$D$8)/2))</x:f>
        <x:v>918.049212165248</x:v>
      </x:c>
      <x:c r="AT127" s="17" t="n">
        <x:f>IF(AND($A127&gt;='Control Room'!$A$13,$A127&lt;'Control Room'!$A$13+'Control Room'!$B$13,'Process'!BS2=1),1+('Control Room'!$C$13-1)*EXP(-0.5*(($A127-'Control Room'!$A$13-('Control Room'!$B$13-1)/2)/MAX(0.5,'Control Room'!$B$13/4))^2),1)*IF(AND($A127&gt;='Control Room'!$A$14,$A127&lt;'Control Room'!$A$14+'Control Room'!$B$14,'Process'!BS3=1),1+('Control Room'!$C$14-1)*EXP(-0.5*(($A127-'Control Room'!$A$14-('Control Room'!$B$14-1)/2)/MAX(0.5,'Control Room'!$B$14/4))^2),1)*IF(AND($A127&gt;='Control Room'!$A$15,$A127&lt;'Control Room'!$A$15+'Control Room'!$B$15,'Process'!BS4=1),1+('Control Room'!$C$15-1)*EXP(-0.5*(($A127-'Control Room'!$A$15-('Control Room'!$B$15-1)/2)/MAX(0.5,'Control Room'!$B$15/4))^2),1)*IF(AND($A127&gt;='Control Room'!$A$16,$A127&lt;'Control Room'!$A$16+'Control Room'!$B$16,'Process'!BS5=1),1+('Control Room'!$C$16-1)*EXP(-0.5*(($A127-'Control Room'!$A$16-('Control Room'!$B$16-1)/2)/MAX(0.5,'Control Room'!$B$16/4))^2),1)</x:f>
        <x:v>1</x:v>
      </x:c>
      <x:c r="AU127" s="9" t="n">
        <x:f>MOD(AV126*16807,2147483647)</x:f>
        <x:v>444600127</x:v>
      </x:c>
      <x:c r="AV127" s="9" t="n">
        <x:f>MOD(AU127*16807,2147483647)</x:f>
        <x:v>1298726576</x:v>
      </x:c>
      <x:c r="AW127" s="17" t="n">
        <x:f>IF('Control Room'!$B$5="Normal",'Control Room'!$B$7+'Control Room'!$D$7*SQRT(-2*LN(MAX(0.000000000001,AU127/2147483647)))*COS(2*PI()*AV127/2147483647),'Control Room'!$B$8+('Control Room'!$D$8-'Control Room'!$B$8)*AU127/2147483647)</x:f>
        <x:v>873.6468191140284</x:v>
      </x:c>
      <x:c r="AX127" s="17" t="n">
        <x:f>IF('Control Room'!$B$5="Normal",'Control Room'!$B$7,('Control Room'!$B$8+'Control Room'!$D$8)/2)+'Control Room'!$B$9*(AX126-IF('Control Room'!$B$5="Normal",'Control Room'!$B$7,('Control Room'!$B$8+'Control Room'!$D$8)/2))+SQRT(1-'Control Room'!$B$9^2)*(AW127-IF('Control Room'!$B$5="Normal",'Control Room'!$B$7,('Control Room'!$B$8+'Control Room'!$D$8)/2))</x:f>
        <x:v>870.3380144294256</x:v>
      </x:c>
      <x:c r="AY127" s="17" t="n">
        <x:f>IF(AND($A127&gt;='Control Room'!$A$13,$A127&lt;'Control Room'!$A$13+'Control Room'!$B$13,'Process'!BT2=1),1+('Control Room'!$C$13-1)*EXP(-0.5*(($A127-'Control Room'!$A$13-('Control Room'!$B$13-1)/2)/MAX(0.5,'Control Room'!$B$13/4))^2),1)*IF(AND($A127&gt;='Control Room'!$A$14,$A127&lt;'Control Room'!$A$14+'Control Room'!$B$14,'Process'!BT3=1),1+('Control Room'!$C$14-1)*EXP(-0.5*(($A127-'Control Room'!$A$14-('Control Room'!$B$14-1)/2)/MAX(0.5,'Control Room'!$B$14/4))^2),1)*IF(AND($A127&gt;='Control Room'!$A$15,$A127&lt;'Control Room'!$A$15+'Control Room'!$B$15,'Process'!BT4=1),1+('Control Room'!$C$15-1)*EXP(-0.5*(($A127-'Control Room'!$A$15-('Control Room'!$B$15-1)/2)/MAX(0.5,'Control Room'!$B$15/4))^2),1)*IF(AND($A127&gt;='Control Room'!$A$16,$A127&lt;'Control Room'!$A$16+'Control Room'!$B$16,'Process'!BT5=1),1+('Control Room'!$C$16-1)*EXP(-0.5*(($A127-'Control Room'!$A$16-('Control Room'!$B$16-1)/2)/MAX(0.5,'Control Room'!$B$16/4))^2),1)</x:f>
        <x:v>1</x:v>
      </x:c>
      <x:c r="AZ127" s="9" t="n">
        <x:f>MOD(BA126*16807,2147483647)</x:f>
        <x:v>1127938289</x:v>
      </x:c>
      <x:c r="BA127" s="9" t="n">
        <x:f>MOD(AZ127*16807,2147483647)</x:f>
        <x:v>1420671154</x:v>
      </x:c>
      <x:c r="BB127" s="17" t="n">
        <x:f>IF('Control Room'!$B$5="Normal",'Control Room'!$B$7+'Control Room'!$D$7*SQRT(-2*LN(MAX(0.000000000001,AZ127/2147483647)))*COS(2*PI()*BA127/2147483647),'Control Room'!$B$8+('Control Room'!$D$8-'Control Room'!$B$8)*AZ127/2147483647)</x:f>
        <x:v>946.117357940914</x:v>
      </x:c>
      <x:c r="BC127" s="17" t="n">
        <x:f>IF('Control Room'!$B$5="Normal",'Control Room'!$B$7,('Control Room'!$B$8+'Control Room'!$D$8)/2)+'Control Room'!$B$9*(BC126-IF('Control Room'!$B$5="Normal",'Control Room'!$B$7,('Control Room'!$B$8+'Control Room'!$D$8)/2))+SQRT(1-'Control Room'!$B$9^2)*(BB127-IF('Control Room'!$B$5="Normal",'Control Room'!$B$7,('Control Room'!$B$8+'Control Room'!$D$8)/2))</x:f>
        <x:v>1002.3800453447495</x:v>
      </x:c>
      <x:c r="BD127" s="17" t="n">
        <x:f>IF(AND($A127&gt;='Control Room'!$A$13,$A127&lt;'Control Room'!$A$13+'Control Room'!$B$13,'Process'!BU2=1),1+('Control Room'!$C$13-1)*EXP(-0.5*(($A127-'Control Room'!$A$13-('Control Room'!$B$13-1)/2)/MAX(0.5,'Control Room'!$B$13/4))^2),1)*IF(AND($A127&gt;='Control Room'!$A$14,$A127&lt;'Control Room'!$A$14+'Control Room'!$B$14,'Process'!BU3=1),1+('Control Room'!$C$14-1)*EXP(-0.5*(($A127-'Control Room'!$A$14-('Control Room'!$B$14-1)/2)/MAX(0.5,'Control Room'!$B$14/4))^2),1)*IF(AND($A127&gt;='Control Room'!$A$15,$A127&lt;'Control Room'!$A$15+'Control Room'!$B$15,'Process'!BU4=1),1+('Control Room'!$C$15-1)*EXP(-0.5*(($A127-'Control Room'!$A$15-('Control Room'!$B$15-1)/2)/MAX(0.5,'Control Room'!$B$15/4))^2),1)*IF(AND($A127&gt;='Control Room'!$A$16,$A127&lt;'Control Room'!$A$16+'Control Room'!$B$16,'Process'!BU5=1),1+('Control Room'!$C$16-1)*EXP(-0.5*(($A127-'Control Room'!$A$16-('Control Room'!$B$16-1)/2)/MAX(0.5,'Control Room'!$B$16/4))^2),1)</x:f>
        <x:v>1</x:v>
      </x:c>
      <x:c r="BE127" s="9" t="n">
        <x:f>MOD(BF126*16807,2147483647)</x:f>
        <x:v>1811276451</x:v>
      </x:c>
      <x:c r="BF127" s="9" t="n">
        <x:f>MOD(BE127*16807,2147483647)</x:f>
        <x:v>1542615732</x:v>
      </x:c>
      <x:c r="BG127" s="17" t="n">
        <x:f>IF('Control Room'!$B$5="Normal",'Control Room'!$B$7+'Control Room'!$D$7*SQRT(-2*LN(MAX(0.000000000001,BE127/2147483647)))*COS(2*PI()*BF127/2147483647),'Control Room'!$B$8+('Control Room'!$D$8-'Control Room'!$B$8)*BE127/2147483647)</x:f>
        <x:v>989.6201473091126</x:v>
      </x:c>
      <x:c r="BH127" s="17" t="n">
        <x:f>IF('Control Room'!$B$5="Normal",'Control Room'!$B$7,('Control Room'!$B$8+'Control Room'!$D$8)/2)+'Control Room'!$B$9*(BH126-IF('Control Room'!$B$5="Normal",'Control Room'!$B$7,('Control Room'!$B$8+'Control Room'!$D$8)/2))+SQRT(1-'Control Room'!$B$9^2)*(BG127-IF('Control Room'!$B$5="Normal",'Control Room'!$B$7,('Control Room'!$B$8+'Control Room'!$D$8)/2))</x:f>
        <x:v>1029.2253082916925</x:v>
      </x:c>
      <x:c r="BI127" s="17" t="n">
        <x:f>IF(AND($A127&gt;='Control Room'!$A$13,$A127&lt;'Control Room'!$A$13+'Control Room'!$B$13,'Process'!BV2=1),1+('Control Room'!$C$13-1)*EXP(-0.5*(($A127-'Control Room'!$A$13-('Control Room'!$B$13-1)/2)/MAX(0.5,'Control Room'!$B$13/4))^2),1)*IF(AND($A127&gt;='Control Room'!$A$14,$A127&lt;'Control Room'!$A$14+'Control Room'!$B$14,'Process'!BV3=1),1+('Control Room'!$C$14-1)*EXP(-0.5*(($A127-'Control Room'!$A$14-('Control Room'!$B$14-1)/2)/MAX(0.5,'Control Room'!$B$14/4))^2),1)*IF(AND($A127&gt;='Control Room'!$A$15,$A127&lt;'Control Room'!$A$15+'Control Room'!$B$15,'Process'!BV4=1),1+('Control Room'!$C$15-1)*EXP(-0.5*(($A127-'Control Room'!$A$15-('Control Room'!$B$15-1)/2)/MAX(0.5,'Control Room'!$B$15/4))^2),1)*IF(AND($A127&gt;='Control Room'!$A$16,$A127&lt;'Control Room'!$A$16+'Control Room'!$B$16,'Process'!BV5=1),1+('Control Room'!$C$16-1)*EXP(-0.5*(($A127-'Control Room'!$A$16-('Control Room'!$B$16-1)/2)/MAX(0.5,'Control Room'!$B$16/4))^2),1)</x:f>
        <x:v>1</x:v>
      </x:c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Z127" t="str">
        <x:f>IF('Data'!A127="","",TEXT('Data'!A127,"mm-dd"))</x:f>
      </x:c>
    </x:row>
    <x:row r="128" ht="21" customHeight="1">
      <x:c r="A128" s="15" t="n">
        <x:f>'Control Room'!$B$1+126</x:f>
        <x:v>73117</x:v>
      </x:c>
      <x:c r="B128" s="9" t="n">
        <x:f>MOD(C127*16807,2147483647)</x:f>
        <x:v>1855600440</x:v>
      </x:c>
      <x:c r="C128" s="9" t="n">
        <x:f>MOD(B128*16807,2147483647)</x:f>
        <x:v>1319073346</x:v>
      </x:c>
      <x:c r="D128" s="17" t="n">
        <x:f>IF('Control Room'!$B$5="Normal",'Control Room'!$B$7+'Control Room'!$D$7*SQRT(-2*LN(MAX(0.000000000001,B128/2147483647)))*COS(2*PI()*C128/2147483647),'Control Room'!$B$8+('Control Room'!$D$8-'Control Room'!$B$8)*B128/2147483647)</x:f>
        <x:v>963.3556313262717</x:v>
      </x:c>
      <x:c r="E128" s="17" t="n">
        <x:f>IF('Control Room'!$B$5="Normal",'Control Room'!$B$7,('Control Room'!$B$8+'Control Room'!$D$8)/2)+'Control Room'!$B$9*(E127-IF('Control Room'!$B$5="Normal",'Control Room'!$B$7,('Control Room'!$B$8+'Control Room'!$D$8)/2))+SQRT(1-'Control Room'!$B$9^2)*(D128-IF('Control Room'!$B$5="Normal",'Control Room'!$B$7,('Control Room'!$B$8+'Control Room'!$D$8)/2))</x:f>
        <x:v>942.2783402455416</x:v>
      </x:c>
      <x:c r="F128" s="17" t="n">
        <x:f>IF(AND($A128&gt;='Control Room'!$A$13,$A128&lt;'Control Room'!$A$13+'Control Room'!$B$13,'Process'!BK2=1),1+('Control Room'!$C$13-1)*EXP(-0.5*(($A128-'Control Room'!$A$13-('Control Room'!$B$13-1)/2)/MAX(0.5,'Control Room'!$B$13/4))^2),1)*IF(AND($A128&gt;='Control Room'!$A$14,$A128&lt;'Control Room'!$A$14+'Control Room'!$B$14,'Process'!BK3=1),1+('Control Room'!$C$14-1)*EXP(-0.5*(($A128-'Control Room'!$A$14-('Control Room'!$B$14-1)/2)/MAX(0.5,'Control Room'!$B$14/4))^2),1)*IF(AND($A128&gt;='Control Room'!$A$15,$A128&lt;'Control Room'!$A$15+'Control Room'!$B$15,'Process'!BK4=1),1+('Control Room'!$C$15-1)*EXP(-0.5*(($A128-'Control Room'!$A$15-('Control Room'!$B$15-1)/2)/MAX(0.5,'Control Room'!$B$15/4))^2),1)*IF(AND($A128&gt;='Control Room'!$A$16,$A128&lt;'Control Room'!$A$16+'Control Room'!$B$16,'Process'!BK5=1),1+('Control Room'!$C$16-1)*EXP(-0.5*(($A128-'Control Room'!$A$16-('Control Room'!$B$16-1)/2)/MAX(0.5,'Control Room'!$B$16/4))^2),1)</x:f>
        <x:v>1</x:v>
      </x:c>
      <x:c r="G128" s="9" t="n">
        <x:f>MOD(H127*16807,2147483647)</x:f>
        <x:v>531240001</x:v>
      </x:c>
      <x:c r="H128" s="9" t="n">
        <x:f>MOD(G128*16807,2147483647)</x:f>
        <x:v>1461176228</x:v>
      </x:c>
      <x:c r="I128" s="17" t="n">
        <x:f>IF('Control Room'!$B$5="Normal",'Control Room'!$B$7+'Control Room'!$D$7*SQRT(-2*LN(MAX(0.000000000001,G128/2147483647)))*COS(2*PI()*H128/2147483647),'Control Room'!$B$8+('Control Room'!$D$8-'Control Room'!$B$8)*G128/2147483647)</x:f>
        <x:v>936.3041911593007</x:v>
      </x:c>
      <x:c r="J128" s="17" t="n">
        <x:f>IF('Control Room'!$B$5="Normal",'Control Room'!$B$7,('Control Room'!$B$8+'Control Room'!$D$8)/2)+'Control Room'!$B$9*(J127-IF('Control Room'!$B$5="Normal",'Control Room'!$B$7,('Control Room'!$B$8+'Control Room'!$D$8)/2))+SQRT(1-'Control Room'!$B$9^2)*(I128-IF('Control Room'!$B$5="Normal",'Control Room'!$B$7,('Control Room'!$B$8+'Control Room'!$D$8)/2))</x:f>
        <x:v>930.3063240805907</x:v>
      </x:c>
      <x:c r="K128" s="17" t="n">
        <x:f>IF(AND($A128&gt;='Control Room'!$A$13,$A128&lt;'Control Room'!$A$13+'Control Room'!$B$13,'Process'!BL2=1),1+('Control Room'!$C$13-1)*EXP(-0.5*(($A128-'Control Room'!$A$13-('Control Room'!$B$13-1)/2)/MAX(0.5,'Control Room'!$B$13/4))^2),1)*IF(AND($A128&gt;='Control Room'!$A$14,$A128&lt;'Control Room'!$A$14+'Control Room'!$B$14,'Process'!BL3=1),1+('Control Room'!$C$14-1)*EXP(-0.5*(($A128-'Control Room'!$A$14-('Control Room'!$B$14-1)/2)/MAX(0.5,'Control Room'!$B$14/4))^2),1)*IF(AND($A128&gt;='Control Room'!$A$15,$A128&lt;'Control Room'!$A$15+'Control Room'!$B$15,'Process'!BL4=1),1+('Control Room'!$C$15-1)*EXP(-0.5*(($A128-'Control Room'!$A$15-('Control Room'!$B$15-1)/2)/MAX(0.5,'Control Room'!$B$15/4))^2),1)*IF(AND($A128&gt;='Control Room'!$A$16,$A128&lt;'Control Room'!$A$16+'Control Room'!$B$16,'Process'!BL5=1),1+('Control Room'!$C$16-1)*EXP(-0.5*(($A128-'Control Room'!$A$16-('Control Room'!$B$16-1)/2)/MAX(0.5,'Control Room'!$B$16/4))^2),1)</x:f>
        <x:v>1</x:v>
      </x:c>
      <x:c r="L128" s="9" t="n">
        <x:f>MOD(M127*16807,2147483647)</x:f>
        <x:v>1354363209</x:v>
      </x:c>
      <x:c r="M128" s="9" t="n">
        <x:f>MOD(L128*16807,2147483647)</x:f>
        <x:v>1603279110</x:v>
      </x:c>
      <x:c r="N128" s="17" t="n">
        <x:f>IF('Control Room'!$B$5="Normal",'Control Room'!$B$7+'Control Room'!$D$7*SQRT(-2*LN(MAX(0.000000000001,L128/2147483647)))*COS(2*PI()*M128/2147483647),'Control Room'!$B$8+('Control Room'!$D$8-'Control Room'!$B$8)*L128/2147483647)</x:f>
        <x:v>998.1459260601287</x:v>
      </x:c>
      <x:c r="O128" s="17" t="n">
        <x:f>IF('Control Room'!$B$5="Normal",'Control Room'!$B$7,('Control Room'!$B$8+'Control Room'!$D$8)/2)+'Control Room'!$B$9*(O127-IF('Control Room'!$B$5="Normal",'Control Room'!$B$7,('Control Room'!$B$8+'Control Room'!$D$8)/2))+SQRT(1-'Control Room'!$B$9^2)*(N128-IF('Control Room'!$B$5="Normal",'Control Room'!$B$7,('Control Room'!$B$8+'Control Room'!$D$8)/2))</x:f>
        <x:v>1009.7662342629543</x:v>
      </x:c>
      <x:c r="P128" s="17" t="n">
        <x:f>IF(AND($A128&gt;='Control Room'!$A$13,$A128&lt;'Control Room'!$A$13+'Control Room'!$B$13,'Process'!BM2=1),1+('Control Room'!$C$13-1)*EXP(-0.5*(($A128-'Control Room'!$A$13-('Control Room'!$B$13-1)/2)/MAX(0.5,'Control Room'!$B$13/4))^2),1)*IF(AND($A128&gt;='Control Room'!$A$14,$A128&lt;'Control Room'!$A$14+'Control Room'!$B$14,'Process'!BM3=1),1+('Control Room'!$C$14-1)*EXP(-0.5*(($A128-'Control Room'!$A$14-('Control Room'!$B$14-1)/2)/MAX(0.5,'Control Room'!$B$14/4))^2),1)*IF(AND($A128&gt;='Control Room'!$A$15,$A128&lt;'Control Room'!$A$15+'Control Room'!$B$15,'Process'!BM4=1),1+('Control Room'!$C$15-1)*EXP(-0.5*(($A128-'Control Room'!$A$15-('Control Room'!$B$15-1)/2)/MAX(0.5,'Control Room'!$B$15/4))^2),1)*IF(AND($A128&gt;='Control Room'!$A$16,$A128&lt;'Control Room'!$A$16+'Control Room'!$B$16,'Process'!BM5=1),1+('Control Room'!$C$16-1)*EXP(-0.5*(($A128-'Control Room'!$A$16-('Control Room'!$B$16-1)/2)/MAX(0.5,'Control Room'!$B$16/4))^2),1)</x:f>
        <x:v>1</x:v>
      </x:c>
      <x:c r="Q128" s="9" t="n">
        <x:f>MOD(R127*16807,2147483647)</x:f>
        <x:v>30002770</x:v>
      </x:c>
      <x:c r="R128" s="9" t="n">
        <x:f>MOD(Q128*16807,2147483647)</x:f>
        <x:v>1745381992</x:v>
      </x:c>
      <x:c r="S128" s="17" t="n">
        <x:f>IF('Control Room'!$B$5="Normal",'Control Room'!$B$7+'Control Room'!$D$7*SQRT(-2*LN(MAX(0.000000000001,Q128/2147483647)))*COS(2*PI()*R128/2147483647),'Control Room'!$B$8+('Control Room'!$D$8-'Control Room'!$B$8)*Q128/2147483647)</x:f>
        <x:v>1101.0503755860532</x:v>
      </x:c>
      <x:c r="T128" s="17" t="n">
        <x:f>IF('Control Room'!$B$5="Normal",'Control Room'!$B$7,('Control Room'!$B$8+'Control Room'!$D$8)/2)+'Control Room'!$B$9*(T127-IF('Control Room'!$B$5="Normal",'Control Room'!$B$7,('Control Room'!$B$8+'Control Room'!$D$8)/2))+SQRT(1-'Control Room'!$B$9^2)*(S128-IF('Control Room'!$B$5="Normal",'Control Room'!$B$7,('Control Room'!$B$8+'Control Room'!$D$8)/2))</x:f>
        <x:v>1069.9199928379287</x:v>
      </x:c>
      <x:c r="U128" s="17" t="n">
        <x:f>IF(AND($A128&gt;='Control Room'!$A$13,$A128&lt;'Control Room'!$A$13+'Control Room'!$B$13,'Process'!BN2=1),1+('Control Room'!$C$13-1)*EXP(-0.5*(($A128-'Control Room'!$A$13-('Control Room'!$B$13-1)/2)/MAX(0.5,'Control Room'!$B$13/4))^2),1)*IF(AND($A128&gt;='Control Room'!$A$14,$A128&lt;'Control Room'!$A$14+'Control Room'!$B$14,'Process'!BN3=1),1+('Control Room'!$C$14-1)*EXP(-0.5*(($A128-'Control Room'!$A$14-('Control Room'!$B$14-1)/2)/MAX(0.5,'Control Room'!$B$14/4))^2),1)*IF(AND($A128&gt;='Control Room'!$A$15,$A128&lt;'Control Room'!$A$15+'Control Room'!$B$15,'Process'!BN4=1),1+('Control Room'!$C$15-1)*EXP(-0.5*(($A128-'Control Room'!$A$15-('Control Room'!$B$15-1)/2)/MAX(0.5,'Control Room'!$B$15/4))^2),1)*IF(AND($A128&gt;='Control Room'!$A$16,$A128&lt;'Control Room'!$A$16+'Control Room'!$B$16,'Process'!BN5=1),1+('Control Room'!$C$16-1)*EXP(-0.5*(($A128-'Control Room'!$A$16-('Control Room'!$B$16-1)/2)/MAX(0.5,'Control Room'!$B$16/4))^2),1)</x:f>
        <x:v>1</x:v>
      </x:c>
      <x:c r="V128" s="9" t="n">
        <x:f>MOD(W127*16807,2147483647)</x:f>
        <x:v>853125978</x:v>
      </x:c>
      <x:c r="W128" s="9" t="n">
        <x:f>MOD(V128*16807,2147483647)</x:f>
        <x:v>1887484874</x:v>
      </x:c>
      <x:c r="X128" s="17" t="n">
        <x:f>IF('Control Room'!$B$5="Normal",'Control Room'!$B$7+'Control Room'!$D$7*SQRT(-2*LN(MAX(0.000000000001,V128/2147483647)))*COS(2*PI()*W128/2147483647),'Control Room'!$B$8+('Control Room'!$D$8-'Control Room'!$B$8)*V128/2147483647)</x:f>
        <x:v>1088.580337588194</x:v>
      </x:c>
      <x:c r="Y128" s="17" t="n">
        <x:f>IF('Control Room'!$B$5="Normal",'Control Room'!$B$7,('Control Room'!$B$8+'Control Room'!$D$8)/2)+'Control Room'!$B$9*(Y127-IF('Control Room'!$B$5="Normal",'Control Room'!$B$7,('Control Room'!$B$8+'Control Room'!$D$8)/2))+SQRT(1-'Control Room'!$B$9^2)*(X128-IF('Control Room'!$B$5="Normal",'Control Room'!$B$7,('Control Room'!$B$8+'Control Room'!$D$8)/2))</x:f>
        <x:v>986.6831395942432</x:v>
      </x:c>
      <x:c r="Z128" s="17" t="n">
        <x:f>IF(AND($A128&gt;='Control Room'!$A$13,$A128&lt;'Control Room'!$A$13+'Control Room'!$B$13,'Process'!BO2=1),1+('Control Room'!$C$13-1)*EXP(-0.5*(($A128-'Control Room'!$A$13-('Control Room'!$B$13-1)/2)/MAX(0.5,'Control Room'!$B$13/4))^2),1)*IF(AND($A128&gt;='Control Room'!$A$14,$A128&lt;'Control Room'!$A$14+'Control Room'!$B$14,'Process'!BO3=1),1+('Control Room'!$C$14-1)*EXP(-0.5*(($A128-'Control Room'!$A$14-('Control Room'!$B$14-1)/2)/MAX(0.5,'Control Room'!$B$14/4))^2),1)*IF(AND($A128&gt;='Control Room'!$A$15,$A128&lt;'Control Room'!$A$15+'Control Room'!$B$15,'Process'!BO4=1),1+('Control Room'!$C$15-1)*EXP(-0.5*(($A128-'Control Room'!$A$15-('Control Room'!$B$15-1)/2)/MAX(0.5,'Control Room'!$B$15/4))^2),1)*IF(AND($A128&gt;='Control Room'!$A$16,$A128&lt;'Control Room'!$A$16+'Control Room'!$B$16,'Process'!BO5=1),1+('Control Room'!$C$16-1)*EXP(-0.5*(($A128-'Control Room'!$A$16-('Control Room'!$B$16-1)/2)/MAX(0.5,'Control Room'!$B$16/4))^2),1)</x:f>
        <x:v>1</x:v>
      </x:c>
      <x:c r="AA128" s="9" t="n">
        <x:f>MOD(AB127*16807,2147483647)</x:f>
        <x:v>1676249186</x:v>
      </x:c>
      <x:c r="AB128" s="9" t="n">
        <x:f>MOD(AA128*16807,2147483647)</x:f>
        <x:v>2029587756</x:v>
      </x:c>
      <x:c r="AC128" s="17" t="n">
        <x:f>IF('Control Room'!$B$5="Normal",'Control Room'!$B$7+'Control Room'!$D$7*SQRT(-2*LN(MAX(0.000000000001,AA128/2147483647)))*COS(2*PI()*AB128/2147483647),'Control Room'!$B$8+('Control Room'!$D$8-'Control Room'!$B$8)*AA128/2147483647)</x:f>
        <x:v>1059.6193277551374</x:v>
      </x:c>
      <x:c r="AD128" s="17" t="n">
        <x:f>IF('Control Room'!$B$5="Normal",'Control Room'!$B$7,('Control Room'!$B$8+'Control Room'!$D$8)/2)+'Control Room'!$B$9*(AD127-IF('Control Room'!$B$5="Normal",'Control Room'!$B$7,('Control Room'!$B$8+'Control Room'!$D$8)/2))+SQRT(1-'Control Room'!$B$9^2)*(AC128-IF('Control Room'!$B$5="Normal",'Control Room'!$B$7,('Control Room'!$B$8+'Control Room'!$D$8)/2))</x:f>
        <x:v>1007.5919672045924</x:v>
      </x:c>
      <x:c r="AE128" s="17" t="n">
        <x:f>IF(AND($A128&gt;='Control Room'!$A$13,$A128&lt;'Control Room'!$A$13+'Control Room'!$B$13,'Process'!BP2=1),1+('Control Room'!$C$13-1)*EXP(-0.5*(($A128-'Control Room'!$A$13-('Control Room'!$B$13-1)/2)/MAX(0.5,'Control Room'!$B$13/4))^2),1)*IF(AND($A128&gt;='Control Room'!$A$14,$A128&lt;'Control Room'!$A$14+'Control Room'!$B$14,'Process'!BP3=1),1+('Control Room'!$C$14-1)*EXP(-0.5*(($A128-'Control Room'!$A$14-('Control Room'!$B$14-1)/2)/MAX(0.5,'Control Room'!$B$14/4))^2),1)*IF(AND($A128&gt;='Control Room'!$A$15,$A128&lt;'Control Room'!$A$15+'Control Room'!$B$15,'Process'!BP4=1),1+('Control Room'!$C$15-1)*EXP(-0.5*(($A128-'Control Room'!$A$15-('Control Room'!$B$15-1)/2)/MAX(0.5,'Control Room'!$B$15/4))^2),1)*IF(AND($A128&gt;='Control Room'!$A$16,$A128&lt;'Control Room'!$A$16+'Control Room'!$B$16,'Process'!BP5=1),1+('Control Room'!$C$16-1)*EXP(-0.5*(($A128-'Control Room'!$A$16-('Control Room'!$B$16-1)/2)/MAX(0.5,'Control Room'!$B$16/4))^2),1)</x:f>
        <x:v>1</x:v>
      </x:c>
      <x:c r="AF128" s="9" t="n">
        <x:f>MOD(AG127*16807,2147483647)</x:f>
        <x:v>351888747</x:v>
      </x:c>
      <x:c r="AG128" s="9" t="n">
        <x:f>MOD(AF128*16807,2147483647)</x:f>
        <x:v>24206991</x:v>
      </x:c>
      <x:c r="AH128" s="17" t="n">
        <x:f>IF('Control Room'!$B$5="Normal",'Control Room'!$B$7+'Control Room'!$D$7*SQRT(-2*LN(MAX(0.000000000001,AF128/2147483647)))*COS(2*PI()*AG128/2147483647),'Control Room'!$B$8+('Control Room'!$D$8-'Control Room'!$B$8)*AF128/2147483647)</x:f>
        <x:v>1170.7477668820356</x:v>
      </x:c>
      <x:c r="AI128" s="17" t="n">
        <x:f>IF('Control Room'!$B$5="Normal",'Control Room'!$B$7,('Control Room'!$B$8+'Control Room'!$D$8)/2)+'Control Room'!$B$9*(AI127-IF('Control Room'!$B$5="Normal",'Control Room'!$B$7,('Control Room'!$B$8+'Control Room'!$D$8)/2))+SQRT(1-'Control Room'!$B$9^2)*(AH128-IF('Control Room'!$B$5="Normal",'Control Room'!$B$7,('Control Room'!$B$8+'Control Room'!$D$8)/2))</x:f>
        <x:v>1042.277296130771</x:v>
      </x:c>
      <x:c r="AJ128" s="17" t="n">
        <x:f>IF(AND($A128&gt;='Control Room'!$A$13,$A128&lt;'Control Room'!$A$13+'Control Room'!$B$13,'Process'!BQ2=1),1+('Control Room'!$C$13-1)*EXP(-0.5*(($A128-'Control Room'!$A$13-('Control Room'!$B$13-1)/2)/MAX(0.5,'Control Room'!$B$13/4))^2),1)*IF(AND($A128&gt;='Control Room'!$A$14,$A128&lt;'Control Room'!$A$14+'Control Room'!$B$14,'Process'!BQ3=1),1+('Control Room'!$C$14-1)*EXP(-0.5*(($A128-'Control Room'!$A$14-('Control Room'!$B$14-1)/2)/MAX(0.5,'Control Room'!$B$14/4))^2),1)*IF(AND($A128&gt;='Control Room'!$A$15,$A128&lt;'Control Room'!$A$15+'Control Room'!$B$15,'Process'!BQ4=1),1+('Control Room'!$C$15-1)*EXP(-0.5*(($A128-'Control Room'!$A$15-('Control Room'!$B$15-1)/2)/MAX(0.5,'Control Room'!$B$15/4))^2),1)*IF(AND($A128&gt;='Control Room'!$A$16,$A128&lt;'Control Room'!$A$16+'Control Room'!$B$16,'Process'!BQ5=1),1+('Control Room'!$C$16-1)*EXP(-0.5*(($A128-'Control Room'!$A$16-('Control Room'!$B$16-1)/2)/MAX(0.5,'Control Room'!$B$16/4))^2),1)</x:f>
        <x:v>1</x:v>
      </x:c>
      <x:c r="AK128" s="9" t="n">
        <x:f>MOD(AL127*16807,2147483647)</x:f>
        <x:v>1175011955</x:v>
      </x:c>
      <x:c r="AL128" s="9" t="n">
        <x:f>MOD(AK128*16807,2147483647)</x:f>
        <x:v>166309873</x:v>
      </x:c>
      <x:c r="AM128" s="17" t="n">
        <x:f>IF('Control Room'!$B$5="Normal",'Control Room'!$B$7+'Control Room'!$D$7*SQRT(-2*LN(MAX(0.000000000001,AK128/2147483647)))*COS(2*PI()*AL128/2147483647),'Control Room'!$B$8+('Control Room'!$D$8-'Control Room'!$B$8)*AK128/2147483647)</x:f>
        <x:v>1087.3656444060955</x:v>
      </x:c>
      <x:c r="AN128" s="17" t="n">
        <x:f>IF('Control Room'!$B$5="Normal",'Control Room'!$B$7,('Control Room'!$B$8+'Control Room'!$D$8)/2)+'Control Room'!$B$9*(AN127-IF('Control Room'!$B$5="Normal",'Control Room'!$B$7,('Control Room'!$B$8+'Control Room'!$D$8)/2))+SQRT(1-'Control Room'!$B$9^2)*(AM128-IF('Control Room'!$B$5="Normal",'Control Room'!$B$7,('Control Room'!$B$8+'Control Room'!$D$8)/2))</x:f>
        <x:v>1042.878880680976</x:v>
      </x:c>
      <x:c r="AO128" s="17" t="n">
        <x:f>IF(AND($A128&gt;='Control Room'!$A$13,$A128&lt;'Control Room'!$A$13+'Control Room'!$B$13,'Process'!BR2=1),1+('Control Room'!$C$13-1)*EXP(-0.5*(($A128-'Control Room'!$A$13-('Control Room'!$B$13-1)/2)/MAX(0.5,'Control Room'!$B$13/4))^2),1)*IF(AND($A128&gt;='Control Room'!$A$14,$A128&lt;'Control Room'!$A$14+'Control Room'!$B$14,'Process'!BR3=1),1+('Control Room'!$C$14-1)*EXP(-0.5*(($A128-'Control Room'!$A$14-('Control Room'!$B$14-1)/2)/MAX(0.5,'Control Room'!$B$14/4))^2),1)*IF(AND($A128&gt;='Control Room'!$A$15,$A128&lt;'Control Room'!$A$15+'Control Room'!$B$15,'Process'!BR4=1),1+('Control Room'!$C$15-1)*EXP(-0.5*(($A128-'Control Room'!$A$15-('Control Room'!$B$15-1)/2)/MAX(0.5,'Control Room'!$B$15/4))^2),1)*IF(AND($A128&gt;='Control Room'!$A$16,$A128&lt;'Control Room'!$A$16+'Control Room'!$B$16,'Process'!BR5=1),1+('Control Room'!$C$16-1)*EXP(-0.5*(($A128-'Control Room'!$A$16-('Control Room'!$B$16-1)/2)/MAX(0.5,'Control Room'!$B$16/4))^2),1)</x:f>
        <x:v>1</x:v>
      </x:c>
      <x:c r="AP128" s="9" t="n">
        <x:f>MOD(AQ127*16807,2147483647)</x:f>
        <x:v>1998135163</x:v>
      </x:c>
      <x:c r="AQ128" s="9" t="n">
        <x:f>MOD(AP128*16807,2147483647)</x:f>
        <x:v>308412755</x:v>
      </x:c>
      <x:c r="AR128" s="17" t="n">
        <x:f>IF('Control Room'!$B$5="Normal",'Control Room'!$B$7+'Control Room'!$D$7*SQRT(-2*LN(MAX(0.000000000001,AP128/2147483647)))*COS(2*PI()*AQ128/2147483647),'Control Room'!$B$8+('Control Room'!$D$8-'Control Room'!$B$8)*AP128/2147483647)</x:f>
        <x:v>1021.1783745406809</x:v>
      </x:c>
      <x:c r="AS128" s="17" t="n">
        <x:f>IF('Control Room'!$B$5="Normal",'Control Room'!$B$7,('Control Room'!$B$8+'Control Room'!$D$8)/2)+'Control Room'!$B$9*(AS127-IF('Control Room'!$B$5="Normal",'Control Room'!$B$7,('Control Room'!$B$8+'Control Room'!$D$8)/2))+SQRT(1-'Control Room'!$B$9^2)*(AR128-IF('Control Room'!$B$5="Normal",'Control Room'!$B$7,('Control Room'!$B$8+'Control Room'!$D$8)/2))</x:f>
        <x:v>949.3313784138666</x:v>
      </x:c>
      <x:c r="AT128" s="17" t="n">
        <x:f>IF(AND($A128&gt;='Control Room'!$A$13,$A128&lt;'Control Room'!$A$13+'Control Room'!$B$13,'Process'!BS2=1),1+('Control Room'!$C$13-1)*EXP(-0.5*(($A128-'Control Room'!$A$13-('Control Room'!$B$13-1)/2)/MAX(0.5,'Control Room'!$B$13/4))^2),1)*IF(AND($A128&gt;='Control Room'!$A$14,$A128&lt;'Control Room'!$A$14+'Control Room'!$B$14,'Process'!BS3=1),1+('Control Room'!$C$14-1)*EXP(-0.5*(($A128-'Control Room'!$A$14-('Control Room'!$B$14-1)/2)/MAX(0.5,'Control Room'!$B$14/4))^2),1)*IF(AND($A128&gt;='Control Room'!$A$15,$A128&lt;'Control Room'!$A$15+'Control Room'!$B$15,'Process'!BS4=1),1+('Control Room'!$C$15-1)*EXP(-0.5*(($A128-'Control Room'!$A$15-('Control Room'!$B$15-1)/2)/MAX(0.5,'Control Room'!$B$15/4))^2),1)*IF(AND($A128&gt;='Control Room'!$A$16,$A128&lt;'Control Room'!$A$16+'Control Room'!$B$16,'Process'!BS5=1),1+('Control Room'!$C$16-1)*EXP(-0.5*(($A128-'Control Room'!$A$16-('Control Room'!$B$16-1)/2)/MAX(0.5,'Control Room'!$B$16/4))^2),1)</x:f>
        <x:v>1</x:v>
      </x:c>
      <x:c r="AU128" s="9" t="n">
        <x:f>MOD(AV127*16807,2147483647)</x:f>
        <x:v>673774724</x:v>
      </x:c>
      <x:c r="AV128" s="9" t="n">
        <x:f>MOD(AU128*16807,2147483647)</x:f>
        <x:v>450515637</x:v>
      </x:c>
      <x:c r="AW128" s="17" t="n">
        <x:f>IF('Control Room'!$B$5="Normal",'Control Room'!$B$7+'Control Room'!$D$7*SQRT(-2*LN(MAX(0.000000000001,AU128/2147483647)))*COS(2*PI()*AV128/2147483647),'Control Room'!$B$8+('Control Room'!$D$8-'Control Room'!$B$8)*AU128/2147483647)</x:f>
        <x:v>1034.2560087465056</x:v>
      </x:c>
      <x:c r="AX128" s="17" t="n">
        <x:f>IF('Control Room'!$B$5="Normal",'Control Room'!$B$7,('Control Room'!$B$8+'Control Room'!$D$8)/2)+'Control Room'!$B$9*(AX127-IF('Control Room'!$B$5="Normal",'Control Room'!$B$7,('Control Room'!$B$8+'Control Room'!$D$8)/2))+SQRT(1-'Control Room'!$B$9^2)*(AW128-IF('Control Room'!$B$5="Normal",'Control Room'!$B$7,('Control Room'!$B$8+'Control Room'!$D$8)/2))</x:f>
        <x:v>920.3003597560312</x:v>
      </x:c>
      <x:c r="AY128" s="17" t="n">
        <x:f>IF(AND($A128&gt;='Control Room'!$A$13,$A128&lt;'Control Room'!$A$13+'Control Room'!$B$13,'Process'!BT2=1),1+('Control Room'!$C$13-1)*EXP(-0.5*(($A128-'Control Room'!$A$13-('Control Room'!$B$13-1)/2)/MAX(0.5,'Control Room'!$B$13/4))^2),1)*IF(AND($A128&gt;='Control Room'!$A$14,$A128&lt;'Control Room'!$A$14+'Control Room'!$B$14,'Process'!BT3=1),1+('Control Room'!$C$14-1)*EXP(-0.5*(($A128-'Control Room'!$A$14-('Control Room'!$B$14-1)/2)/MAX(0.5,'Control Room'!$B$14/4))^2),1)*IF(AND($A128&gt;='Control Room'!$A$15,$A128&lt;'Control Room'!$A$15+'Control Room'!$B$15,'Process'!BT4=1),1+('Control Room'!$C$15-1)*EXP(-0.5*(($A128-'Control Room'!$A$15-('Control Room'!$B$15-1)/2)/MAX(0.5,'Control Room'!$B$15/4))^2),1)*IF(AND($A128&gt;='Control Room'!$A$16,$A128&lt;'Control Room'!$A$16+'Control Room'!$B$16,'Process'!BT5=1),1+('Control Room'!$C$16-1)*EXP(-0.5*(($A128-'Control Room'!$A$16-('Control Room'!$B$16-1)/2)/MAX(0.5,'Control Room'!$B$16/4))^2),1)</x:f>
        <x:v>1</x:v>
      </x:c>
      <x:c r="AZ128" s="9" t="n">
        <x:f>MOD(BA127*16807,2147483647)</x:f>
        <x:v>1496897932</x:v>
      </x:c>
      <x:c r="BA128" s="9" t="n">
        <x:f>MOD(AZ128*16807,2147483647)</x:f>
        <x:v>592618519</x:v>
      </x:c>
      <x:c r="BB128" s="17" t="n">
        <x:f>IF('Control Room'!$B$5="Normal",'Control Room'!$B$7+'Control Room'!$D$7*SQRT(-2*LN(MAX(0.000000000001,AZ128/2147483647)))*COS(2*PI()*BA128/2147483647),'Control Room'!$B$8+('Control Room'!$D$8-'Control Room'!$B$8)*AZ128/2147483647)</x:f>
        <x:v>987.5834514121124</x:v>
      </x:c>
      <x:c r="BC128" s="17" t="n">
        <x:f>IF('Control Room'!$B$5="Normal",'Control Room'!$B$7,('Control Room'!$B$8+'Control Room'!$D$8)/2)+'Control Room'!$B$9*(BC127-IF('Control Room'!$B$5="Normal",'Control Room'!$B$7,('Control Room'!$B$8+'Control Room'!$D$8)/2))+SQRT(1-'Control Room'!$B$9^2)*(BB128-IF('Control Room'!$B$5="Normal",'Control Room'!$B$7,('Control Room'!$B$8+'Control Room'!$D$8)/2))</x:f>
        <x:v>994.0864136294284</x:v>
      </x:c>
      <x:c r="BD128" s="17" t="n">
        <x:f>IF(AND($A128&gt;='Control Room'!$A$13,$A128&lt;'Control Room'!$A$13+'Control Room'!$B$13,'Process'!BU2=1),1+('Control Room'!$C$13-1)*EXP(-0.5*(($A128-'Control Room'!$A$13-('Control Room'!$B$13-1)/2)/MAX(0.5,'Control Room'!$B$13/4))^2),1)*IF(AND($A128&gt;='Control Room'!$A$14,$A128&lt;'Control Room'!$A$14+'Control Room'!$B$14,'Process'!BU3=1),1+('Control Room'!$C$14-1)*EXP(-0.5*(($A128-'Control Room'!$A$14-('Control Room'!$B$14-1)/2)/MAX(0.5,'Control Room'!$B$14/4))^2),1)*IF(AND($A128&gt;='Control Room'!$A$15,$A128&lt;'Control Room'!$A$15+'Control Room'!$B$15,'Process'!BU4=1),1+('Control Room'!$C$15-1)*EXP(-0.5*(($A128-'Control Room'!$A$15-('Control Room'!$B$15-1)/2)/MAX(0.5,'Control Room'!$B$15/4))^2),1)*IF(AND($A128&gt;='Control Room'!$A$16,$A128&lt;'Control Room'!$A$16+'Control Room'!$B$16,'Process'!BU5=1),1+('Control Room'!$C$16-1)*EXP(-0.5*(($A128-'Control Room'!$A$16-('Control Room'!$B$16-1)/2)/MAX(0.5,'Control Room'!$B$16/4))^2),1)</x:f>
        <x:v>1</x:v>
      </x:c>
      <x:c r="BE128" s="9" t="n">
        <x:f>MOD(BF127*16807,2147483647)</x:f>
        <x:v>172537493</x:v>
      </x:c>
      <x:c r="BF128" s="9" t="n">
        <x:f>MOD(BE128*16807,2147483647)</x:f>
        <x:v>734721401</x:v>
      </x:c>
      <x:c r="BG128" s="17" t="n">
        <x:f>IF('Control Room'!$B$5="Normal",'Control Room'!$B$7+'Control Room'!$D$7*SQRT(-2*LN(MAX(0.000000000001,BE128/2147483647)))*COS(2*PI()*BF128/2147483647),'Control Room'!$B$8+('Control Room'!$D$8-'Control Room'!$B$8)*BE128/2147483647)</x:f>
        <x:v>889.4301914766709</x:v>
      </x:c>
      <x:c r="BH128" s="17" t="n">
        <x:f>IF('Control Room'!$B$5="Normal",'Control Room'!$B$7,('Control Room'!$B$8+'Control Room'!$D$8)/2)+'Control Room'!$B$9*(BH127-IF('Control Room'!$B$5="Normal",'Control Room'!$B$7,('Control Room'!$B$8+'Control Room'!$D$8)/2))+SQRT(1-'Control Room'!$B$9^2)*(BG128-IF('Control Room'!$B$5="Normal",'Control Room'!$B$7,('Control Room'!$B$8+'Control Room'!$D$8)/2))</x:f>
        <x:v>953.60341943927</x:v>
      </x:c>
      <x:c r="BI128" s="17" t="n">
        <x:f>IF(AND($A128&gt;='Control Room'!$A$13,$A128&lt;'Control Room'!$A$13+'Control Room'!$B$13,'Process'!BV2=1),1+('Control Room'!$C$13-1)*EXP(-0.5*(($A128-'Control Room'!$A$13-('Control Room'!$B$13-1)/2)/MAX(0.5,'Control Room'!$B$13/4))^2),1)*IF(AND($A128&gt;='Control Room'!$A$14,$A128&lt;'Control Room'!$A$14+'Control Room'!$B$14,'Process'!BV3=1),1+('Control Room'!$C$14-1)*EXP(-0.5*(($A128-'Control Room'!$A$14-('Control Room'!$B$14-1)/2)/MAX(0.5,'Control Room'!$B$14/4))^2),1)*IF(AND($A128&gt;='Control Room'!$A$15,$A128&lt;'Control Room'!$A$15+'Control Room'!$B$15,'Process'!BV4=1),1+('Control Room'!$C$15-1)*EXP(-0.5*(($A128-'Control Room'!$A$15-('Control Room'!$B$15-1)/2)/MAX(0.5,'Control Room'!$B$15/4))^2),1)*IF(AND($A128&gt;='Control Room'!$A$16,$A128&lt;'Control Room'!$A$16+'Control Room'!$B$16,'Process'!BV5=1),1+('Control Room'!$C$16-1)*EXP(-0.5*(($A128-'Control Room'!$A$16-('Control Room'!$B$16-1)/2)/MAX(0.5,'Control Room'!$B$16/4))^2),1)</x:f>
        <x:v>1</x:v>
      </x:c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Z128" t="str">
        <x:f>IF('Data'!A128="","",TEXT('Data'!A128,"mm-dd"))</x:f>
      </x:c>
    </x:row>
    <x:row r="129" ht="21" customHeight="1">
      <x:c r="A129" s="15" t="n">
        <x:f>'Control Room'!$B$1+127</x:f>
        <x:v>73118</x:v>
      </x:c>
      <x:c r="B129" s="9" t="n">
        <x:f>MOD(C128*16807,2147483647)</x:f>
        <x:v>1192038241</x:v>
      </x:c>
      <x:c r="C129" s="9" t="n">
        <x:f>MOD(B129*16807,2147483647)</x:f>
        <x:v>711773624</x:v>
      </x:c>
      <x:c r="D129" s="17" t="n">
        <x:f>IF('Control Room'!$B$5="Normal",'Control Room'!$B$7+'Control Room'!$D$7*SQRT(-2*LN(MAX(0.000000000001,B129/2147483647)))*COS(2*PI()*C129/2147483647),'Control Room'!$B$8+('Control Room'!$D$8-'Control Room'!$B$8)*B129/2147483647)</x:f>
        <x:v>952.1807612954924</x:v>
      </x:c>
      <x:c r="E129" s="17" t="n">
        <x:f>IF('Control Room'!$B$5="Normal",'Control Room'!$B$7,('Control Room'!$B$8+'Control Room'!$D$8)/2)+'Control Room'!$B$9*(E128-IF('Control Room'!$B$5="Normal",'Control Room'!$B$7,('Control Room'!$B$8+'Control Room'!$D$8)/2))+SQRT(1-'Control Room'!$B$9^2)*(D129-IF('Control Room'!$B$5="Normal",'Control Room'!$B$7,('Control Room'!$B$8+'Control Room'!$D$8)/2))</x:f>
        <x:v>925.052805440594</x:v>
      </x:c>
      <x:c r="F129" s="17" t="n">
        <x:f>IF(AND($A129&gt;='Control Room'!$A$13,$A129&lt;'Control Room'!$A$13+'Control Room'!$B$13,'Process'!BK2=1),1+('Control Room'!$C$13-1)*EXP(-0.5*(($A129-'Control Room'!$A$13-('Control Room'!$B$13-1)/2)/MAX(0.5,'Control Room'!$B$13/4))^2),1)*IF(AND($A129&gt;='Control Room'!$A$14,$A129&lt;'Control Room'!$A$14+'Control Room'!$B$14,'Process'!BK3=1),1+('Control Room'!$C$14-1)*EXP(-0.5*(($A129-'Control Room'!$A$14-('Control Room'!$B$14-1)/2)/MAX(0.5,'Control Room'!$B$14/4))^2),1)*IF(AND($A129&gt;='Control Room'!$A$15,$A129&lt;'Control Room'!$A$15+'Control Room'!$B$15,'Process'!BK4=1),1+('Control Room'!$C$15-1)*EXP(-0.5*(($A129-'Control Room'!$A$15-('Control Room'!$B$15-1)/2)/MAX(0.5,'Control Room'!$B$15/4))^2),1)*IF(AND($A129&gt;='Control Room'!$A$16,$A129&lt;'Control Room'!$A$16+'Control Room'!$B$16,'Process'!BK5=1),1+('Control Room'!$C$16-1)*EXP(-0.5*(($A129-'Control Room'!$A$16-('Control Room'!$B$16-1)/2)/MAX(0.5,'Control Room'!$B$16/4))^2),1)</x:f>
        <x:v>1</x:v>
      </x:c>
      <x:c r="G129" s="9" t="n">
        <x:f>MOD(H128*16807,2147483647)</x:f>
        <x:v>1513360551</x:v>
      </x:c>
      <x:c r="H129" s="9" t="n">
        <x:f>MOD(G129*16807,2147483647)</x:f>
        <x:v>254465589</x:v>
      </x:c>
      <x:c r="I129" s="17" t="n">
        <x:f>IF('Control Room'!$B$5="Normal",'Control Room'!$B$7+'Control Room'!$D$7*SQRT(-2*LN(MAX(0.000000000001,G129/2147483647)))*COS(2*PI()*H129/2147483647),'Control Room'!$B$8+('Control Room'!$D$8-'Control Room'!$B$8)*G129/2147483647)</x:f>
        <x:v>1055.3730980652147</x:v>
      </x:c>
      <x:c r="J129" s="17" t="n">
        <x:f>IF('Control Room'!$B$5="Normal",'Control Room'!$B$7,('Control Room'!$B$8+'Control Room'!$D$8)/2)+'Control Room'!$B$9*(J128-IF('Control Room'!$B$5="Normal",'Control Room'!$B$7,('Control Room'!$B$8+'Control Room'!$D$8)/2))+SQRT(1-'Control Room'!$B$9^2)*(I129-IF('Control Room'!$B$5="Normal",'Control Room'!$B$7,('Control Room'!$B$8+'Control Room'!$D$8)/2))</x:f>
        <x:v>980.2902831724991</x:v>
      </x:c>
      <x:c r="K129" s="17" t="n">
        <x:f>IF(AND($A129&gt;='Control Room'!$A$13,$A129&lt;'Control Room'!$A$13+'Control Room'!$B$13,'Process'!BL2=1),1+('Control Room'!$C$13-1)*EXP(-0.5*(($A129-'Control Room'!$A$13-('Control Room'!$B$13-1)/2)/MAX(0.5,'Control Room'!$B$13/4))^2),1)*IF(AND($A129&gt;='Control Room'!$A$14,$A129&lt;'Control Room'!$A$14+'Control Room'!$B$14,'Process'!BL3=1),1+('Control Room'!$C$14-1)*EXP(-0.5*(($A129-'Control Room'!$A$14-('Control Room'!$B$14-1)/2)/MAX(0.5,'Control Room'!$B$14/4))^2),1)*IF(AND($A129&gt;='Control Room'!$A$15,$A129&lt;'Control Room'!$A$15+'Control Room'!$B$15,'Process'!BL4=1),1+('Control Room'!$C$15-1)*EXP(-0.5*(($A129-'Control Room'!$A$15-('Control Room'!$B$15-1)/2)/MAX(0.5,'Control Room'!$B$15/4))^2),1)*IF(AND($A129&gt;='Control Room'!$A$16,$A129&lt;'Control Room'!$A$16+'Control Room'!$B$16,'Process'!BL5=1),1+('Control Room'!$C$16-1)*EXP(-0.5*(($A129-'Control Room'!$A$16-('Control Room'!$B$16-1)/2)/MAX(0.5,'Control Room'!$B$16/4))^2),1)</x:f>
        <x:v>1</x:v>
      </x:c>
      <x:c r="L129" s="9" t="n">
        <x:f>MOD(M128*16807,2147483647)</x:f>
        <x:v>1834682861</x:v>
      </x:c>
      <x:c r="M129" s="9" t="n">
        <x:f>MOD(L129*16807,2147483647)</x:f>
        <x:v>1944641201</x:v>
      </x:c>
      <x:c r="N129" s="17" t="n">
        <x:f>IF('Control Room'!$B$5="Normal",'Control Room'!$B$7+'Control Room'!$D$7*SQRT(-2*LN(MAX(0.000000000001,L129/2147483647)))*COS(2*PI()*M129/2147483647),'Control Room'!$B$8+('Control Room'!$D$8-'Control Room'!$B$8)*L129/2147483647)</x:f>
        <x:v>1041.8646726185943</x:v>
      </x:c>
      <x:c r="O129" s="17" t="n">
        <x:f>IF('Control Room'!$B$5="Normal",'Control Room'!$B$7,('Control Room'!$B$8+'Control Room'!$D$8)/2)+'Control Room'!$B$9*(O128-IF('Control Room'!$B$5="Normal",'Control Room'!$B$7,('Control Room'!$B$8+'Control Room'!$D$8)/2))+SQRT(1-'Control Room'!$B$9^2)*(N129-IF('Control Room'!$B$5="Normal",'Control Room'!$B$7,('Control Room'!$B$8+'Control Room'!$D$8)/2))</x:f>
        <x:v>1033.815717205385</x:v>
      </x:c>
      <x:c r="P129" s="17" t="n">
        <x:f>IF(AND($A129&gt;='Control Room'!$A$13,$A129&lt;'Control Room'!$A$13+'Control Room'!$B$13,'Process'!BM2=1),1+('Control Room'!$C$13-1)*EXP(-0.5*(($A129-'Control Room'!$A$13-('Control Room'!$B$13-1)/2)/MAX(0.5,'Control Room'!$B$13/4))^2),1)*IF(AND($A129&gt;='Control Room'!$A$14,$A129&lt;'Control Room'!$A$14+'Control Room'!$B$14,'Process'!BM3=1),1+('Control Room'!$C$14-1)*EXP(-0.5*(($A129-'Control Room'!$A$14-('Control Room'!$B$14-1)/2)/MAX(0.5,'Control Room'!$B$14/4))^2),1)*IF(AND($A129&gt;='Control Room'!$A$15,$A129&lt;'Control Room'!$A$15+'Control Room'!$B$15,'Process'!BM4=1),1+('Control Room'!$C$15-1)*EXP(-0.5*(($A129-'Control Room'!$A$15-('Control Room'!$B$15-1)/2)/MAX(0.5,'Control Room'!$B$15/4))^2),1)*IF(AND($A129&gt;='Control Room'!$A$16,$A129&lt;'Control Room'!$A$16+'Control Room'!$B$16,'Process'!BM5=1),1+('Control Room'!$C$16-1)*EXP(-0.5*(($A129-'Control Room'!$A$16-('Control Room'!$B$16-1)/2)/MAX(0.5,'Control Room'!$B$16/4))^2),1)</x:f>
        <x:v>1</x:v>
      </x:c>
      <x:c r="Q129" s="9" t="n">
        <x:f>MOD(R128*16807,2147483647)</x:f>
        <x:v>8521524</x:v>
      </x:c>
      <x:c r="R129" s="9" t="n">
        <x:f>MOD(Q129*16807,2147483647)</x:f>
        <x:v>1487333166</x:v>
      </x:c>
      <x:c r="S129" s="17" t="n">
        <x:f>IF('Control Room'!$B$5="Normal",'Control Room'!$B$7+'Control Room'!$D$7*SQRT(-2*LN(MAX(0.000000000001,Q129/2147483647)))*COS(2*PI()*R129/2147483647),'Control Room'!$B$8+('Control Room'!$D$8-'Control Room'!$B$8)*Q129/2147483647)</x:f>
        <x:v>894.371377503385</x:v>
      </x:c>
      <x:c r="T129" s="17" t="n">
        <x:f>IF('Control Room'!$B$5="Normal",'Control Room'!$B$7,('Control Room'!$B$8+'Control Room'!$D$8)/2)+'Control Room'!$B$9*(T128-IF('Control Room'!$B$5="Normal",'Control Room'!$B$7,('Control Room'!$B$8+'Control Room'!$D$8)/2))+SQRT(1-'Control Room'!$B$9^2)*(S129-IF('Control Room'!$B$5="Normal",'Control Room'!$B$7,('Control Room'!$B$8+'Control Room'!$D$8)/2))</x:f>
        <x:v>988.4373663751542</x:v>
      </x:c>
      <x:c r="U129" s="17" t="n">
        <x:f>IF(AND($A129&gt;='Control Room'!$A$13,$A129&lt;'Control Room'!$A$13+'Control Room'!$B$13,'Process'!BN2=1),1+('Control Room'!$C$13-1)*EXP(-0.5*(($A129-'Control Room'!$A$13-('Control Room'!$B$13-1)/2)/MAX(0.5,'Control Room'!$B$13/4))^2),1)*IF(AND($A129&gt;='Control Room'!$A$14,$A129&lt;'Control Room'!$A$14+'Control Room'!$B$14,'Process'!BN3=1),1+('Control Room'!$C$14-1)*EXP(-0.5*(($A129-'Control Room'!$A$14-('Control Room'!$B$14-1)/2)/MAX(0.5,'Control Room'!$B$14/4))^2),1)*IF(AND($A129&gt;='Control Room'!$A$15,$A129&lt;'Control Room'!$A$15+'Control Room'!$B$15,'Process'!BN4=1),1+('Control Room'!$C$15-1)*EXP(-0.5*(($A129-'Control Room'!$A$15-('Control Room'!$B$15-1)/2)/MAX(0.5,'Control Room'!$B$15/4))^2),1)*IF(AND($A129&gt;='Control Room'!$A$16,$A129&lt;'Control Room'!$A$16+'Control Room'!$B$16,'Process'!BN5=1),1+('Control Room'!$C$16-1)*EXP(-0.5*(($A129-'Control Room'!$A$16-('Control Room'!$B$16-1)/2)/MAX(0.5,'Control Room'!$B$16/4))^2),1)</x:f>
        <x:v>1</x:v>
      </x:c>
      <x:c r="V129" s="9" t="n">
        <x:f>MOD(W128*16807,2147483647)</x:f>
        <x:v>329843834</x:v>
      </x:c>
      <x:c r="W129" s="9" t="n">
        <x:f>MOD(V129*16807,2147483647)</x:f>
        <x:v>1030025131</x:v>
      </x:c>
      <x:c r="X129" s="17" t="n">
        <x:f>IF('Control Room'!$B$5="Normal",'Control Room'!$B$7+'Control Room'!$D$7*SQRT(-2*LN(MAX(0.000000000001,V129/2147483647)))*COS(2*PI()*W129/2147483647),'Control Room'!$B$8+('Control Room'!$D$8-'Control Room'!$B$8)*V129/2147483647)</x:f>
        <x:v>827.2117493583265</x:v>
      </x:c>
      <x:c r="Y129" s="17" t="n">
        <x:f>IF('Control Room'!$B$5="Normal",'Control Room'!$B$7,('Control Room'!$B$8+'Control Room'!$D$8)/2)+'Control Room'!$B$9*(Y128-IF('Control Room'!$B$5="Normal",'Control Room'!$B$7,('Control Room'!$B$8+'Control Room'!$D$8)/2))+SQRT(1-'Control Room'!$B$9^2)*(X129-IF('Control Room'!$B$5="Normal",'Control Room'!$B$7,('Control Room'!$B$8+'Control Room'!$D$8)/2))</x:f>
        <x:v>881.485501391668</x:v>
      </x:c>
      <x:c r="Z129" s="17" t="n">
        <x:f>IF(AND($A129&gt;='Control Room'!$A$13,$A129&lt;'Control Room'!$A$13+'Control Room'!$B$13,'Process'!BO2=1),1+('Control Room'!$C$13-1)*EXP(-0.5*(($A129-'Control Room'!$A$13-('Control Room'!$B$13-1)/2)/MAX(0.5,'Control Room'!$B$13/4))^2),1)*IF(AND($A129&gt;='Control Room'!$A$14,$A129&lt;'Control Room'!$A$14+'Control Room'!$B$14,'Process'!BO3=1),1+('Control Room'!$C$14-1)*EXP(-0.5*(($A129-'Control Room'!$A$14-('Control Room'!$B$14-1)/2)/MAX(0.5,'Control Room'!$B$14/4))^2),1)*IF(AND($A129&gt;='Control Room'!$A$15,$A129&lt;'Control Room'!$A$15+'Control Room'!$B$15,'Process'!BO4=1),1+('Control Room'!$C$15-1)*EXP(-0.5*(($A129-'Control Room'!$A$15-('Control Room'!$B$15-1)/2)/MAX(0.5,'Control Room'!$B$15/4))^2),1)*IF(AND($A129&gt;='Control Room'!$A$16,$A129&lt;'Control Room'!$A$16+'Control Room'!$B$16,'Process'!BO5=1),1+('Control Room'!$C$16-1)*EXP(-0.5*(($A129-'Control Room'!$A$16-('Control Room'!$B$16-1)/2)/MAX(0.5,'Control Room'!$B$16/4))^2),1)</x:f>
        <x:v>1</x:v>
      </x:c>
      <x:c r="AA129" s="9" t="n">
        <x:f>MOD(AB128*16807,2147483647)</x:f>
        <x:v>651166144</x:v>
      </x:c>
      <x:c r="AB129" s="9" t="n">
        <x:f>MOD(AA129*16807,2147483647)</x:f>
        <x:v>572717096</x:v>
      </x:c>
      <x:c r="AC129" s="17" t="n">
        <x:f>IF('Control Room'!$B$5="Normal",'Control Room'!$B$7+'Control Room'!$D$7*SQRT(-2*LN(MAX(0.000000000001,AA129/2147483647)))*COS(2*PI()*AB129/2147483647),'Control Room'!$B$8+('Control Room'!$D$8-'Control Room'!$B$8)*AA129/2147483647)</x:f>
        <x:v>985.4445227193582</x:v>
      </x:c>
      <x:c r="AD129" s="17" t="n">
        <x:f>IF('Control Room'!$B$5="Normal",'Control Room'!$B$7,('Control Room'!$B$8+'Control Room'!$D$8)/2)+'Control Room'!$B$9*(AD128-IF('Control Room'!$B$5="Normal",'Control Room'!$B$7,('Control Room'!$B$8+'Control Room'!$D$8)/2))+SQRT(1-'Control Room'!$B$9^2)*(AC129-IF('Control Room'!$B$5="Normal",'Control Room'!$B$7,('Control Room'!$B$8+'Control Room'!$D$8)/2))</x:f>
        <x:v>996.8132149225164</x:v>
      </x:c>
      <x:c r="AE129" s="17" t="n">
        <x:f>IF(AND($A129&gt;='Control Room'!$A$13,$A129&lt;'Control Room'!$A$13+'Control Room'!$B$13,'Process'!BP2=1),1+('Control Room'!$C$13-1)*EXP(-0.5*(($A129-'Control Room'!$A$13-('Control Room'!$B$13-1)/2)/MAX(0.5,'Control Room'!$B$13/4))^2),1)*IF(AND($A129&gt;='Control Room'!$A$14,$A129&lt;'Control Room'!$A$14+'Control Room'!$B$14,'Process'!BP3=1),1+('Control Room'!$C$14-1)*EXP(-0.5*(($A129-'Control Room'!$A$14-('Control Room'!$B$14-1)/2)/MAX(0.5,'Control Room'!$B$14/4))^2),1)*IF(AND($A129&gt;='Control Room'!$A$15,$A129&lt;'Control Room'!$A$15+'Control Room'!$B$15,'Process'!BP4=1),1+('Control Room'!$C$15-1)*EXP(-0.5*(($A129-'Control Room'!$A$15-('Control Room'!$B$15-1)/2)/MAX(0.5,'Control Room'!$B$15/4))^2),1)*IF(AND($A129&gt;='Control Room'!$A$16,$A129&lt;'Control Room'!$A$16+'Control Room'!$B$16,'Process'!BP5=1),1+('Control Room'!$C$16-1)*EXP(-0.5*(($A129-'Control Room'!$A$16-('Control Room'!$B$16-1)/2)/MAX(0.5,'Control Room'!$B$16/4))^2),1)</x:f>
        <x:v>1</x:v>
      </x:c>
      <x:c r="AF129" s="9" t="n">
        <x:f>MOD(AG128*16807,2147483647)</x:f>
        <x:v>972488454</x:v>
      </x:c>
      <x:c r="AG129" s="9" t="n">
        <x:f>MOD(AF129*16807,2147483647)</x:f>
        <x:v>115409061</x:v>
      </x:c>
      <x:c r="AH129" s="17" t="n">
        <x:f>IF('Control Room'!$B$5="Normal",'Control Room'!$B$7+'Control Room'!$D$7*SQRT(-2*LN(MAX(0.000000000001,AF129/2147483647)))*COS(2*PI()*AG129/2147483647),'Control Room'!$B$8+('Control Room'!$D$8-'Control Room'!$B$8)*AF129/2147483647)</x:f>
        <x:v>1106.8879762008496</x:v>
      </x:c>
      <x:c r="AI129" s="17" t="n">
        <x:f>IF('Control Room'!$B$5="Normal",'Control Room'!$B$7,('Control Room'!$B$8+'Control Room'!$D$8)/2)+'Control Room'!$B$9*(AI128-IF('Control Room'!$B$5="Normal",'Control Room'!$B$7,('Control Room'!$B$8+'Control Room'!$D$8)/2))+SQRT(1-'Control Room'!$B$9^2)*(AH129-IF('Control Room'!$B$5="Normal",'Control Room'!$B$7,('Control Room'!$B$8+'Control Room'!$D$8)/2))</x:f>
        <x:v>1099.8645967692787</x:v>
      </x:c>
      <x:c r="AJ129" s="17" t="n">
        <x:f>IF(AND($A129&gt;='Control Room'!$A$13,$A129&lt;'Control Room'!$A$13+'Control Room'!$B$13,'Process'!BQ2=1),1+('Control Room'!$C$13-1)*EXP(-0.5*(($A129-'Control Room'!$A$13-('Control Room'!$B$13-1)/2)/MAX(0.5,'Control Room'!$B$13/4))^2),1)*IF(AND($A129&gt;='Control Room'!$A$14,$A129&lt;'Control Room'!$A$14+'Control Room'!$B$14,'Process'!BQ3=1),1+('Control Room'!$C$14-1)*EXP(-0.5*(($A129-'Control Room'!$A$14-('Control Room'!$B$14-1)/2)/MAX(0.5,'Control Room'!$B$14/4))^2),1)*IF(AND($A129&gt;='Control Room'!$A$15,$A129&lt;'Control Room'!$A$15+'Control Room'!$B$15,'Process'!BQ4=1),1+('Control Room'!$C$15-1)*EXP(-0.5*(($A129-'Control Room'!$A$15-('Control Room'!$B$15-1)/2)/MAX(0.5,'Control Room'!$B$15/4))^2),1)*IF(AND($A129&gt;='Control Room'!$A$16,$A129&lt;'Control Room'!$A$16+'Control Room'!$B$16,'Process'!BQ5=1),1+('Control Room'!$C$16-1)*EXP(-0.5*(($A129-'Control Room'!$A$16-('Control Room'!$B$16-1)/2)/MAX(0.5,'Control Room'!$B$16/4))^2),1)</x:f>
        <x:v>1</x:v>
      </x:c>
      <x:c r="AK129" s="9" t="n">
        <x:f>MOD(AL128*16807,2147483647)</x:f>
        <x:v>1293810764</x:v>
      </x:c>
      <x:c r="AL129" s="9" t="n">
        <x:f>MOD(AK129*16807,2147483647)</x:f>
        <x:v>1805584673</x:v>
      </x:c>
      <x:c r="AM129" s="17" t="n">
        <x:f>IF('Control Room'!$B$5="Normal",'Control Room'!$B$7+'Control Room'!$D$7*SQRT(-2*LN(MAX(0.000000000001,AK129/2147483647)))*COS(2*PI()*AL129/2147483647),'Control Room'!$B$8+('Control Room'!$D$8-'Control Room'!$B$8)*AK129/2147483647)</x:f>
        <x:v>1048.9262052777553</x:v>
      </x:c>
      <x:c r="AN129" s="17" t="n">
        <x:f>IF('Control Room'!$B$5="Normal",'Control Room'!$B$7,('Control Room'!$B$8+'Control Room'!$D$8)/2)+'Control Room'!$B$9*(AN128-IF('Control Room'!$B$5="Normal",'Control Room'!$B$7,('Control Room'!$B$8+'Control Room'!$D$8)/2))+SQRT(1-'Control Room'!$B$9^2)*(AM129-IF('Control Room'!$B$5="Normal",'Control Room'!$B$7,('Control Room'!$B$8+'Control Room'!$D$8)/2))</x:f>
        <x:v>1064.0625438861853</x:v>
      </x:c>
      <x:c r="AO129" s="17" t="n">
        <x:f>IF(AND($A129&gt;='Control Room'!$A$13,$A129&lt;'Control Room'!$A$13+'Control Room'!$B$13,'Process'!BR2=1),1+('Control Room'!$C$13-1)*EXP(-0.5*(($A129-'Control Room'!$A$13-('Control Room'!$B$13-1)/2)/MAX(0.5,'Control Room'!$B$13/4))^2),1)*IF(AND($A129&gt;='Control Room'!$A$14,$A129&lt;'Control Room'!$A$14+'Control Room'!$B$14,'Process'!BR3=1),1+('Control Room'!$C$14-1)*EXP(-0.5*(($A129-'Control Room'!$A$14-('Control Room'!$B$14-1)/2)/MAX(0.5,'Control Room'!$B$14/4))^2),1)*IF(AND($A129&gt;='Control Room'!$A$15,$A129&lt;'Control Room'!$A$15+'Control Room'!$B$15,'Process'!BR4=1),1+('Control Room'!$C$15-1)*EXP(-0.5*(($A129-'Control Room'!$A$15-('Control Room'!$B$15-1)/2)/MAX(0.5,'Control Room'!$B$15/4))^2),1)*IF(AND($A129&gt;='Control Room'!$A$16,$A129&lt;'Control Room'!$A$16+'Control Room'!$B$16,'Process'!BR5=1),1+('Control Room'!$C$16-1)*EXP(-0.5*(($A129-'Control Room'!$A$16-('Control Room'!$B$16-1)/2)/MAX(0.5,'Control Room'!$B$16/4))^2),1)</x:f>
        <x:v>1</x:v>
      </x:c>
      <x:c r="AP129" s="9" t="n">
        <x:f>MOD(AQ128*16807,2147483647)</x:f>
        <x:v>1615133074</x:v>
      </x:c>
      <x:c r="AQ129" s="9" t="n">
        <x:f>MOD(AP129*16807,2147483647)</x:f>
        <x:v>1348276638</x:v>
      </x:c>
      <x:c r="AR129" s="17" t="n">
        <x:f>IF('Control Room'!$B$5="Normal",'Control Room'!$B$7+'Control Room'!$D$7*SQRT(-2*LN(MAX(0.000000000001,AP129/2147483647)))*COS(2*PI()*AQ129/2147483647),'Control Room'!$B$8+('Control Room'!$D$8-'Control Room'!$B$8)*AP129/2147483647)</x:f>
        <x:v>952.8281668337745</x:v>
      </x:c>
      <x:c r="AS129" s="17" t="n">
        <x:f>IF('Control Room'!$B$5="Normal",'Control Room'!$B$7,('Control Room'!$B$8+'Control Room'!$D$8)/2)+'Control Room'!$B$9*(AS128-IF('Control Room'!$B$5="Normal",'Control Room'!$B$7,('Control Room'!$B$8+'Control Room'!$D$8)/2))+SQRT(1-'Control Room'!$B$9^2)*(AR129-IF('Control Room'!$B$5="Normal",'Control Room'!$B$7,('Control Room'!$B$8+'Control Room'!$D$8)/2))</x:f>
        <x:v>930.9593083349212</x:v>
      </x:c>
      <x:c r="AT129" s="17" t="n">
        <x:f>IF(AND($A129&gt;='Control Room'!$A$13,$A129&lt;'Control Room'!$A$13+'Control Room'!$B$13,'Process'!BS2=1),1+('Control Room'!$C$13-1)*EXP(-0.5*(($A129-'Control Room'!$A$13-('Control Room'!$B$13-1)/2)/MAX(0.5,'Control Room'!$B$13/4))^2),1)*IF(AND($A129&gt;='Control Room'!$A$14,$A129&lt;'Control Room'!$A$14+'Control Room'!$B$14,'Process'!BS3=1),1+('Control Room'!$C$14-1)*EXP(-0.5*(($A129-'Control Room'!$A$14-('Control Room'!$B$14-1)/2)/MAX(0.5,'Control Room'!$B$14/4))^2),1)*IF(AND($A129&gt;='Control Room'!$A$15,$A129&lt;'Control Room'!$A$15+'Control Room'!$B$15,'Process'!BS4=1),1+('Control Room'!$C$15-1)*EXP(-0.5*(($A129-'Control Room'!$A$15-('Control Room'!$B$15-1)/2)/MAX(0.5,'Control Room'!$B$15/4))^2),1)*IF(AND($A129&gt;='Control Room'!$A$16,$A129&lt;'Control Room'!$A$16+'Control Room'!$B$16,'Process'!BS5=1),1+('Control Room'!$C$16-1)*EXP(-0.5*(($A129-'Control Room'!$A$16-('Control Room'!$B$16-1)/2)/MAX(0.5,'Control Room'!$B$16/4))^2),1)</x:f>
        <x:v>1</x:v>
      </x:c>
      <x:c r="AU129" s="9" t="n">
        <x:f>MOD(AV128*16807,2147483647)</x:f>
        <x:v>1936455384</x:v>
      </x:c>
      <x:c r="AV129" s="9" t="n">
        <x:f>MOD(AU129*16807,2147483647)</x:f>
        <x:v>890968603</x:v>
      </x:c>
      <x:c r="AW129" s="17" t="n">
        <x:f>IF('Control Room'!$B$5="Normal",'Control Room'!$B$7+'Control Room'!$D$7*SQRT(-2*LN(MAX(0.000000000001,AU129/2147483647)))*COS(2*PI()*AV129/2147483647),'Control Room'!$B$8+('Control Room'!$D$8-'Control Room'!$B$8)*AU129/2147483647)</x:f>
        <x:v>964.779836535772</x:v>
      </x:c>
      <x:c r="AX129" s="17" t="n">
        <x:f>IF('Control Room'!$B$5="Normal",'Control Room'!$B$7,('Control Room'!$B$8+'Control Room'!$D$8)/2)+'Control Room'!$B$9*(AX128-IF('Control Room'!$B$5="Normal",'Control Room'!$B$7,('Control Room'!$B$8+'Control Room'!$D$8)/2))+SQRT(1-'Control Room'!$B$9^2)*(AW129-IF('Control Room'!$B$5="Normal",'Control Room'!$B$7,('Control Room'!$B$8+'Control Room'!$D$8)/2))</x:f>
        <x:v>915.7942238380574</x:v>
      </x:c>
      <x:c r="AY129" s="17" t="n">
        <x:f>IF(AND($A129&gt;='Control Room'!$A$13,$A129&lt;'Control Room'!$A$13+'Control Room'!$B$13,'Process'!BT2=1),1+('Control Room'!$C$13-1)*EXP(-0.5*(($A129-'Control Room'!$A$13-('Control Room'!$B$13-1)/2)/MAX(0.5,'Control Room'!$B$13/4))^2),1)*IF(AND($A129&gt;='Control Room'!$A$14,$A129&lt;'Control Room'!$A$14+'Control Room'!$B$14,'Process'!BT3=1),1+('Control Room'!$C$14-1)*EXP(-0.5*(($A129-'Control Room'!$A$14-('Control Room'!$B$14-1)/2)/MAX(0.5,'Control Room'!$B$14/4))^2),1)*IF(AND($A129&gt;='Control Room'!$A$15,$A129&lt;'Control Room'!$A$15+'Control Room'!$B$15,'Process'!BT4=1),1+('Control Room'!$C$15-1)*EXP(-0.5*(($A129-'Control Room'!$A$15-('Control Room'!$B$15-1)/2)/MAX(0.5,'Control Room'!$B$15/4))^2),1)*IF(AND($A129&gt;='Control Room'!$A$16,$A129&lt;'Control Room'!$A$16+'Control Room'!$B$16,'Process'!BT5=1),1+('Control Room'!$C$16-1)*EXP(-0.5*(($A129-'Control Room'!$A$16-('Control Room'!$B$16-1)/2)/MAX(0.5,'Control Room'!$B$16/4))^2),1)</x:f>
        <x:v>1</x:v>
      </x:c>
      <x:c r="AZ129" s="9" t="n">
        <x:f>MOD(BA128*16807,2147483647)</x:f>
        <x:v>110294047</x:v>
      </x:c>
      <x:c r="BA129" s="9" t="n">
        <x:f>MOD(AZ129*16807,2147483647)</x:f>
        <x:v>433660568</x:v>
      </x:c>
      <x:c r="BB129" s="17" t="n">
        <x:f>IF('Control Room'!$B$5="Normal",'Control Room'!$B$7+'Control Room'!$D$7*SQRT(-2*LN(MAX(0.000000000001,AZ129/2147483647)))*COS(2*PI()*BA129/2147483647),'Control Room'!$B$8+('Control Room'!$D$8-'Control Room'!$B$8)*AZ129/2147483647)</x:f>
        <x:v>1065.2240783493558</x:v>
      </x:c>
      <x:c r="BC129" s="17" t="n">
        <x:f>IF('Control Room'!$B$5="Normal",'Control Room'!$B$7,('Control Room'!$B$8+'Control Room'!$D$8)/2)+'Control Room'!$B$9*(BC128-IF('Control Room'!$B$5="Normal",'Control Room'!$B$7,('Control Room'!$B$8+'Control Room'!$D$8)/2))+SQRT(1-'Control Room'!$B$9^2)*(BB129-IF('Control Room'!$B$5="Normal",'Control Room'!$B$7,('Control Room'!$B$8+'Control Room'!$D$8)/2))</x:f>
        <x:v>1036.2032946741078</x:v>
      </x:c>
      <x:c r="BD129" s="17" t="n">
        <x:f>IF(AND($A129&gt;='Control Room'!$A$13,$A129&lt;'Control Room'!$A$13+'Control Room'!$B$13,'Process'!BU2=1),1+('Control Room'!$C$13-1)*EXP(-0.5*(($A129-'Control Room'!$A$13-('Control Room'!$B$13-1)/2)/MAX(0.5,'Control Room'!$B$13/4))^2),1)*IF(AND($A129&gt;='Control Room'!$A$14,$A129&lt;'Control Room'!$A$14+'Control Room'!$B$14,'Process'!BU3=1),1+('Control Room'!$C$14-1)*EXP(-0.5*(($A129-'Control Room'!$A$14-('Control Room'!$B$14-1)/2)/MAX(0.5,'Control Room'!$B$14/4))^2),1)*IF(AND($A129&gt;='Control Room'!$A$15,$A129&lt;'Control Room'!$A$15+'Control Room'!$B$15,'Process'!BU4=1),1+('Control Room'!$C$15-1)*EXP(-0.5*(($A129-'Control Room'!$A$15-('Control Room'!$B$15-1)/2)/MAX(0.5,'Control Room'!$B$15/4))^2),1)*IF(AND($A129&gt;='Control Room'!$A$16,$A129&lt;'Control Room'!$A$16+'Control Room'!$B$16,'Process'!BU5=1),1+('Control Room'!$C$16-1)*EXP(-0.5*(($A129-'Control Room'!$A$16-('Control Room'!$B$16-1)/2)/MAX(0.5,'Control Room'!$B$16/4))^2),1)</x:f>
        <x:v>1</x:v>
      </x:c>
      <x:c r="BE129" s="9" t="n">
        <x:f>MOD(BF128*16807,2147483647)</x:f>
        <x:v>431616357</x:v>
      </x:c>
      <x:c r="BF129" s="9" t="n">
        <x:f>MOD(BE129*16807,2147483647)</x:f>
        <x:v>2123836180</x:v>
      </x:c>
      <x:c r="BG129" s="17" t="n">
        <x:f>IF('Control Room'!$B$5="Normal",'Control Room'!$B$7+'Control Room'!$D$7*SQRT(-2*LN(MAX(0.000000000001,BE129/2147483647)))*COS(2*PI()*BF129/2147483647),'Control Room'!$B$8+('Control Room'!$D$8-'Control Room'!$B$8)*BE129/2147483647)</x:f>
        <x:v>1160.8381456356847</x:v>
      </x:c>
      <x:c r="BH129" s="17" t="n">
        <x:f>IF('Control Room'!$B$5="Normal",'Control Room'!$B$7,('Control Room'!$B$8+'Control Room'!$D$8)/2)+'Control Room'!$B$9*(BH128-IF('Control Room'!$B$5="Normal",'Control Room'!$B$7,('Control Room'!$B$8+'Control Room'!$D$8)/2))+SQRT(1-'Control Room'!$B$9^2)*(BG129-IF('Control Room'!$B$5="Normal",'Control Room'!$B$7,('Control Room'!$B$8+'Control Room'!$D$8)/2))</x:f>
        <x:v>1064.4598837529325</x:v>
      </x:c>
      <x:c r="BI129" s="17" t="n">
        <x:f>IF(AND($A129&gt;='Control Room'!$A$13,$A129&lt;'Control Room'!$A$13+'Control Room'!$B$13,'Process'!BV2=1),1+('Control Room'!$C$13-1)*EXP(-0.5*(($A129-'Control Room'!$A$13-('Control Room'!$B$13-1)/2)/MAX(0.5,'Control Room'!$B$13/4))^2),1)*IF(AND($A129&gt;='Control Room'!$A$14,$A129&lt;'Control Room'!$A$14+'Control Room'!$B$14,'Process'!BV3=1),1+('Control Room'!$C$14-1)*EXP(-0.5*(($A129-'Control Room'!$A$14-('Control Room'!$B$14-1)/2)/MAX(0.5,'Control Room'!$B$14/4))^2),1)*IF(AND($A129&gt;='Control Room'!$A$15,$A129&lt;'Control Room'!$A$15+'Control Room'!$B$15,'Process'!BV4=1),1+('Control Room'!$C$15-1)*EXP(-0.5*(($A129-'Control Room'!$A$15-('Control Room'!$B$15-1)/2)/MAX(0.5,'Control Room'!$B$15/4))^2),1)*IF(AND($A129&gt;='Control Room'!$A$16,$A129&lt;'Control Room'!$A$16+'Control Room'!$B$16,'Process'!BV5=1),1+('Control Room'!$C$16-1)*EXP(-0.5*(($A129-'Control Room'!$A$16-('Control Room'!$B$16-1)/2)/MAX(0.5,'Control Room'!$B$16/4))^2),1)</x:f>
        <x:v>1</x:v>
      </x:c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Z129" t="str">
        <x:f>IF('Data'!A129="","",TEXT('Data'!A129,"mm-dd"))</x:f>
      </x:c>
    </x:row>
    <x:row r="130" ht="21" customHeight="1">
      <x:c r="A130" s="15" t="n">
        <x:f>'Control Room'!$B$1+128</x:f>
        <x:v>73119</x:v>
      </x:c>
      <x:c r="B130" s="9" t="n">
        <x:f>MOD(C129*16807,2147483647)</x:f>
        <x:v>1295384778</x:v>
      </x:c>
      <x:c r="C130" s="9" t="n">
        <x:f>MOD(B130*16807,2147483647)</x:f>
        <x:v>342750560</x:v>
      </x:c>
      <x:c r="D130" s="17" t="n">
        <x:f>IF('Control Room'!$B$5="Normal",'Control Room'!$B$7+'Control Room'!$D$7*SQRT(-2*LN(MAX(0.000000000001,B130/2147483647)))*COS(2*PI()*C130/2147483647),'Control Room'!$B$8+('Control Room'!$D$8-'Control Room'!$B$8)*B130/2147483647)</x:f>
        <x:v>1048.677550313622</x:v>
      </x:c>
      <x:c r="E130" s="17" t="n">
        <x:f>IF('Control Room'!$B$5="Normal",'Control Room'!$B$7,('Control Room'!$B$8+'Control Room'!$D$8)/2)+'Control Room'!$B$9*(E129-IF('Control Room'!$B$5="Normal",'Control Room'!$B$7,('Control Room'!$B$8+'Control Room'!$D$8)/2))+SQRT(1-'Control Room'!$B$9^2)*(D130-IF('Control Room'!$B$5="Normal",'Control Room'!$B$7,('Control Room'!$B$8+'Control Room'!$D$8)/2))</x:f>
        <x:v>972.0026020161065</x:v>
      </x:c>
      <x:c r="F130" s="17" t="n">
        <x:f>IF(AND($A130&gt;='Control Room'!$A$13,$A130&lt;'Control Room'!$A$13+'Control Room'!$B$13,'Process'!BK2=1),1+('Control Room'!$C$13-1)*EXP(-0.5*(($A130-'Control Room'!$A$13-('Control Room'!$B$13-1)/2)/MAX(0.5,'Control Room'!$B$13/4))^2),1)*IF(AND($A130&gt;='Control Room'!$A$14,$A130&lt;'Control Room'!$A$14+'Control Room'!$B$14,'Process'!BK3=1),1+('Control Room'!$C$14-1)*EXP(-0.5*(($A130-'Control Room'!$A$14-('Control Room'!$B$14-1)/2)/MAX(0.5,'Control Room'!$B$14/4))^2),1)*IF(AND($A130&gt;='Control Room'!$A$15,$A130&lt;'Control Room'!$A$15+'Control Room'!$B$15,'Process'!BK4=1),1+('Control Room'!$C$15-1)*EXP(-0.5*(($A130-'Control Room'!$A$15-('Control Room'!$B$15-1)/2)/MAX(0.5,'Control Room'!$B$15/4))^2),1)*IF(AND($A130&gt;='Control Room'!$A$16,$A130&lt;'Control Room'!$A$16+'Control Room'!$B$16,'Process'!BK5=1),1+('Control Room'!$C$16-1)*EXP(-0.5*(($A130-'Control Room'!$A$16-('Control Room'!$B$16-1)/2)/MAX(0.5,'Control Room'!$B$16/4))^2),1)</x:f>
        <x:v>1</x:v>
      </x:c>
      <x:c r="G130" s="9" t="n">
        <x:f>MOD(H129*16807,2147483647)</x:f>
        <x:v>1163213146</x:v>
      </x:c>
      <x:c r="H130" s="9" t="n">
        <x:f>MOD(G130*16807,2147483647)</x:f>
        <x:v>1579706181</x:v>
      </x:c>
      <x:c r="I130" s="17" t="n">
        <x:f>IF('Control Room'!$B$5="Normal",'Control Room'!$B$7+'Control Room'!$D$7*SQRT(-2*LN(MAX(0.000000000001,G130/2147483647)))*COS(2*PI()*H130/2147483647),'Control Room'!$B$8+('Control Room'!$D$8-'Control Room'!$B$8)*G130/2147483647)</x:f>
        <x:v>991.0001456758927</x:v>
      </x:c>
      <x:c r="J130" s="17" t="n">
        <x:f>IF('Control Room'!$B$5="Normal",'Control Room'!$B$7,('Control Room'!$B$8+'Control Room'!$D$8)/2)+'Control Room'!$B$9*(J129-IF('Control Room'!$B$5="Normal",'Control Room'!$B$7,('Control Room'!$B$8+'Control Room'!$D$8)/2))+SQRT(1-'Control Room'!$B$9^2)*(I130-IF('Control Room'!$B$5="Normal",'Control Room'!$B$7,('Control Room'!$B$8+'Control Room'!$D$8)/2))</x:f>
        <x:v>978.9944964105604</x:v>
      </x:c>
      <x:c r="K130" s="17" t="n">
        <x:f>IF(AND($A130&gt;='Control Room'!$A$13,$A130&lt;'Control Room'!$A$13+'Control Room'!$B$13,'Process'!BL2=1),1+('Control Room'!$C$13-1)*EXP(-0.5*(($A130-'Control Room'!$A$13-('Control Room'!$B$13-1)/2)/MAX(0.5,'Control Room'!$B$13/4))^2),1)*IF(AND($A130&gt;='Control Room'!$A$14,$A130&lt;'Control Room'!$A$14+'Control Room'!$B$14,'Process'!BL3=1),1+('Control Room'!$C$14-1)*EXP(-0.5*(($A130-'Control Room'!$A$14-('Control Room'!$B$14-1)/2)/MAX(0.5,'Control Room'!$B$14/4))^2),1)*IF(AND($A130&gt;='Control Room'!$A$15,$A130&lt;'Control Room'!$A$15+'Control Room'!$B$15,'Process'!BL4=1),1+('Control Room'!$C$15-1)*EXP(-0.5*(($A130-'Control Room'!$A$15-('Control Room'!$B$15-1)/2)/MAX(0.5,'Control Room'!$B$15/4))^2),1)*IF(AND($A130&gt;='Control Room'!$A$16,$A130&lt;'Control Room'!$A$16+'Control Room'!$B$16,'Process'!BL5=1),1+('Control Room'!$C$16-1)*EXP(-0.5*(($A130-'Control Room'!$A$16-('Control Room'!$B$16-1)/2)/MAX(0.5,'Control Room'!$B$16/4))^2),1)</x:f>
        <x:v>1</x:v>
      </x:c>
      <x:c r="L130" s="9" t="n">
        <x:f>MOD(M129*16807,2147483647)</x:f>
        <x:v>1031041514</x:v>
      </x:c>
      <x:c r="M130" s="9" t="n">
        <x:f>MOD(L130*16807,2147483647)</x:f>
        <x:v>669178155</x:v>
      </x:c>
      <x:c r="N130" s="17" t="n">
        <x:f>IF('Control Room'!$B$5="Normal",'Control Room'!$B$7+'Control Room'!$D$7*SQRT(-2*LN(MAX(0.000000000001,L130/2147483647)))*COS(2*PI()*M130/2147483647),'Control Room'!$B$8+('Control Room'!$D$8-'Control Room'!$B$8)*L130/2147483647)</x:f>
        <x:v>958.841740806363</x:v>
      </x:c>
      <x:c r="O130" s="17" t="n">
        <x:f>IF('Control Room'!$B$5="Normal",'Control Room'!$B$7,('Control Room'!$B$8+'Control Room'!$D$8)/2)+'Control Room'!$B$9*(O129-IF('Control Room'!$B$5="Normal",'Control Room'!$B$7,('Control Room'!$B$8+'Control Room'!$D$8)/2))+SQRT(1-'Control Room'!$B$9^2)*(N130-IF('Control Room'!$B$5="Normal",'Control Room'!$B$7,('Control Room'!$B$8+'Control Room'!$D$8)/2))</x:f>
        <x:v>1000.6202639895923</x:v>
      </x:c>
      <x:c r="P130" s="17" t="n">
        <x:f>IF(AND($A130&gt;='Control Room'!$A$13,$A130&lt;'Control Room'!$A$13+'Control Room'!$B$13,'Process'!BM2=1),1+('Control Room'!$C$13-1)*EXP(-0.5*(($A130-'Control Room'!$A$13-('Control Room'!$B$13-1)/2)/MAX(0.5,'Control Room'!$B$13/4))^2),1)*IF(AND($A130&gt;='Control Room'!$A$14,$A130&lt;'Control Room'!$A$14+'Control Room'!$B$14,'Process'!BM3=1),1+('Control Room'!$C$14-1)*EXP(-0.5*(($A130-'Control Room'!$A$14-('Control Room'!$B$14-1)/2)/MAX(0.5,'Control Room'!$B$14/4))^2),1)*IF(AND($A130&gt;='Control Room'!$A$15,$A130&lt;'Control Room'!$A$15+'Control Room'!$B$15,'Process'!BM4=1),1+('Control Room'!$C$15-1)*EXP(-0.5*(($A130-'Control Room'!$A$15-('Control Room'!$B$15-1)/2)/MAX(0.5,'Control Room'!$B$15/4))^2),1)*IF(AND($A130&gt;='Control Room'!$A$16,$A130&lt;'Control Room'!$A$16+'Control Room'!$B$16,'Process'!BM5=1),1+('Control Room'!$C$16-1)*EXP(-0.5*(($A130-'Control Room'!$A$16-('Control Room'!$B$16-1)/2)/MAX(0.5,'Control Room'!$B$16/4))^2),1)</x:f>
        <x:v>1</x:v>
      </x:c>
      <x:c r="Q130" s="9" t="n">
        <x:f>MOD(R129*16807,2147483647)</x:f>
        <x:v>898869882</x:v>
      </x:c>
      <x:c r="R130" s="9" t="n">
        <x:f>MOD(Q130*16807,2147483647)</x:f>
        <x:v>1906133776</x:v>
      </x:c>
      <x:c r="S130" s="17" t="n">
        <x:f>IF('Control Room'!$B$5="Normal",'Control Room'!$B$7+'Control Room'!$D$7*SQRT(-2*LN(MAX(0.000000000001,Q130/2147483647)))*COS(2*PI()*R130/2147483647),'Control Room'!$B$8+('Control Room'!$D$8-'Control Room'!$B$8)*Q130/2147483647)</x:f>
        <x:v>1090.3759932973262</x:v>
      </x:c>
      <x:c r="T130" s="17" t="n">
        <x:f>IF('Control Room'!$B$5="Normal",'Control Room'!$B$7,('Control Room'!$B$8+'Control Room'!$D$8)/2)+'Control Room'!$B$9*(T129-IF('Control Room'!$B$5="Normal",'Control Room'!$B$7,('Control Room'!$B$8+'Control Room'!$D$8)/2))+SQRT(1-'Control Room'!$B$9^2)*(S130-IF('Control Room'!$B$5="Normal",'Control Room'!$B$7,('Control Room'!$B$8+'Control Room'!$D$8)/2))</x:f>
        <x:v>1047.536590925229</x:v>
      </x:c>
      <x:c r="U130" s="17" t="n">
        <x:f>IF(AND($A130&gt;='Control Room'!$A$13,$A130&lt;'Control Room'!$A$13+'Control Room'!$B$13,'Process'!BN2=1),1+('Control Room'!$C$13-1)*EXP(-0.5*(($A130-'Control Room'!$A$13-('Control Room'!$B$13-1)/2)/MAX(0.5,'Control Room'!$B$13/4))^2),1)*IF(AND($A130&gt;='Control Room'!$A$14,$A130&lt;'Control Room'!$A$14+'Control Room'!$B$14,'Process'!BN3=1),1+('Control Room'!$C$14-1)*EXP(-0.5*(($A130-'Control Room'!$A$14-('Control Room'!$B$14-1)/2)/MAX(0.5,'Control Room'!$B$14/4))^2),1)*IF(AND($A130&gt;='Control Room'!$A$15,$A130&lt;'Control Room'!$A$15+'Control Room'!$B$15,'Process'!BN4=1),1+('Control Room'!$C$15-1)*EXP(-0.5*(($A130-'Control Room'!$A$15-('Control Room'!$B$15-1)/2)/MAX(0.5,'Control Room'!$B$15/4))^2),1)*IF(AND($A130&gt;='Control Room'!$A$16,$A130&lt;'Control Room'!$A$16+'Control Room'!$B$16,'Process'!BN5=1),1+('Control Room'!$C$16-1)*EXP(-0.5*(($A130-'Control Room'!$A$16-('Control Room'!$B$16-1)/2)/MAX(0.5,'Control Room'!$B$16/4))^2),1)</x:f>
        <x:v>1</x:v>
      </x:c>
      <x:c r="V130" s="9" t="n">
        <x:f>MOD(W129*16807,2147483647)</x:f>
        <x:v>766698250</x:v>
      </x:c>
      <x:c r="W130" s="9" t="n">
        <x:f>MOD(V130*16807,2147483647)</x:f>
        <x:v>995605750</x:v>
      </x:c>
      <x:c r="X130" s="17" t="n">
        <x:f>IF('Control Room'!$B$5="Normal",'Control Room'!$B$7+'Control Room'!$D$7*SQRT(-2*LN(MAX(0.000000000001,V130/2147483647)))*COS(2*PI()*W130/2147483647),'Control Room'!$B$8+('Control Room'!$D$8-'Control Room'!$B$8)*V130/2147483647)</x:f>
        <x:v>874.189130357551</x:v>
      </x:c>
      <x:c r="Y130" s="17" t="n">
        <x:f>IF('Control Room'!$B$5="Normal",'Control Room'!$B$7,('Control Room'!$B$8+'Control Room'!$D$8)/2)+'Control Room'!$B$9*(Y129-IF('Control Room'!$B$5="Normal",'Control Room'!$B$7,('Control Room'!$B$8+'Control Room'!$D$8)/2))+SQRT(1-'Control Room'!$B$9^2)*(X130-IF('Control Room'!$B$5="Normal",'Control Room'!$B$7,('Control Room'!$B$8+'Control Room'!$D$8)/2))</x:f>
        <x:v>828.8288262390139</x:v>
      </x:c>
      <x:c r="Z130" s="17" t="n">
        <x:f>IF(AND($A130&gt;='Control Room'!$A$13,$A130&lt;'Control Room'!$A$13+'Control Room'!$B$13,'Process'!BO2=1),1+('Control Room'!$C$13-1)*EXP(-0.5*(($A130-'Control Room'!$A$13-('Control Room'!$B$13-1)/2)/MAX(0.5,'Control Room'!$B$13/4))^2),1)*IF(AND($A130&gt;='Control Room'!$A$14,$A130&lt;'Control Room'!$A$14+'Control Room'!$B$14,'Process'!BO3=1),1+('Control Room'!$C$14-1)*EXP(-0.5*(($A130-'Control Room'!$A$14-('Control Room'!$B$14-1)/2)/MAX(0.5,'Control Room'!$B$14/4))^2),1)*IF(AND($A130&gt;='Control Room'!$A$15,$A130&lt;'Control Room'!$A$15+'Control Room'!$B$15,'Process'!BO4=1),1+('Control Room'!$C$15-1)*EXP(-0.5*(($A130-'Control Room'!$A$15-('Control Room'!$B$15-1)/2)/MAX(0.5,'Control Room'!$B$15/4))^2),1)*IF(AND($A130&gt;='Control Room'!$A$16,$A130&lt;'Control Room'!$A$16+'Control Room'!$B$16,'Process'!BO5=1),1+('Control Room'!$C$16-1)*EXP(-0.5*(($A130-'Control Room'!$A$16-('Control Room'!$B$16-1)/2)/MAX(0.5,'Control Room'!$B$16/4))^2),1)</x:f>
        <x:v>1</x:v>
      </x:c>
      <x:c r="AA130" s="9" t="n">
        <x:f>MOD(AB129*16807,2147483647)</x:f>
        <x:v>634526618</x:v>
      </x:c>
      <x:c r="AB130" s="9" t="n">
        <x:f>MOD(AA130*16807,2147483647)</x:f>
        <x:v>85077724</x:v>
      </x:c>
      <x:c r="AC130" s="17" t="n">
        <x:f>IF('Control Room'!$B$5="Normal",'Control Room'!$B$7+'Control Room'!$D$7*SQRT(-2*LN(MAX(0.000000000001,AA130/2147483647)))*COS(2*PI()*AB130/2147483647),'Control Room'!$B$8+('Control Room'!$D$8-'Control Room'!$B$8)*AA130/2147483647)</x:f>
        <x:v>1136.2052271167847</x:v>
      </x:c>
      <x:c r="AD130" s="17" t="n">
        <x:f>IF('Control Room'!$B$5="Normal",'Control Room'!$B$7,('Control Room'!$B$8+'Control Room'!$D$8)/2)+'Control Room'!$B$9*(AD129-IF('Control Room'!$B$5="Normal",'Control Room'!$B$7,('Control Room'!$B$8+'Control Room'!$D$8)/2))+SQRT(1-'Control Room'!$B$9^2)*(AC130-IF('Control Room'!$B$5="Normal",'Control Room'!$B$7,('Control Room'!$B$8+'Control Room'!$D$8)/2))</x:f>
        <x:v>1082.748748453502</x:v>
      </x:c>
      <x:c r="AE130" s="17" t="n">
        <x:f>IF(AND($A130&gt;='Control Room'!$A$13,$A130&lt;'Control Room'!$A$13+'Control Room'!$B$13,'Process'!BP2=1),1+('Control Room'!$C$13-1)*EXP(-0.5*(($A130-'Control Room'!$A$13-('Control Room'!$B$13-1)/2)/MAX(0.5,'Control Room'!$B$13/4))^2),1)*IF(AND($A130&gt;='Control Room'!$A$14,$A130&lt;'Control Room'!$A$14+'Control Room'!$B$14,'Process'!BP3=1),1+('Control Room'!$C$14-1)*EXP(-0.5*(($A130-'Control Room'!$A$14-('Control Room'!$B$14-1)/2)/MAX(0.5,'Control Room'!$B$14/4))^2),1)*IF(AND($A130&gt;='Control Room'!$A$15,$A130&lt;'Control Room'!$A$15+'Control Room'!$B$15,'Process'!BP4=1),1+('Control Room'!$C$15-1)*EXP(-0.5*(($A130-'Control Room'!$A$15-('Control Room'!$B$15-1)/2)/MAX(0.5,'Control Room'!$B$15/4))^2),1)*IF(AND($A130&gt;='Control Room'!$A$16,$A130&lt;'Control Room'!$A$16+'Control Room'!$B$16,'Process'!BP5=1),1+('Control Room'!$C$16-1)*EXP(-0.5*(($A130-'Control Room'!$A$16-('Control Room'!$B$16-1)/2)/MAX(0.5,'Control Room'!$B$16/4))^2),1)</x:f>
        <x:v>1</x:v>
      </x:c>
      <x:c r="AF130" s="9" t="n">
        <x:f>MOD(AG129*16807,2147483647)</x:f>
        <x:v>502354986</x:v>
      </x:c>
      <x:c r="AG130" s="9" t="n">
        <x:f>MOD(AF130*16807,2147483647)</x:f>
        <x:v>1322033345</x:v>
      </x:c>
      <x:c r="AH130" s="17" t="n">
        <x:f>IF('Control Room'!$B$5="Normal",'Control Room'!$B$7+'Control Room'!$D$7*SQRT(-2*LN(MAX(0.000000000001,AF130/2147483647)))*COS(2*PI()*AG130/2147483647),'Control Room'!$B$8+('Control Room'!$D$8-'Control Room'!$B$8)*AF130/2147483647)</x:f>
        <x:v>885.3217725402669</x:v>
      </x:c>
      <x:c r="AI130" s="17" t="n">
        <x:f>IF('Control Room'!$B$5="Normal",'Control Room'!$B$7,('Control Room'!$B$8+'Control Room'!$D$8)/2)+'Control Room'!$B$9*(AI129-IF('Control Room'!$B$5="Normal",'Control Room'!$B$7,('Control Room'!$B$8+'Control Room'!$D$8)/2))+SQRT(1-'Control Room'!$B$9^2)*(AH130-IF('Control Room'!$B$5="Normal",'Control Room'!$B$7,('Control Room'!$B$8+'Control Room'!$D$8)/2))</x:f>
        <x:v>1006.1311000469225</x:v>
      </x:c>
      <x:c r="AJ130" s="17" t="n">
        <x:f>IF(AND($A130&gt;='Control Room'!$A$13,$A130&lt;'Control Room'!$A$13+'Control Room'!$B$13,'Process'!BQ2=1),1+('Control Room'!$C$13-1)*EXP(-0.5*(($A130-'Control Room'!$A$13-('Control Room'!$B$13-1)/2)/MAX(0.5,'Control Room'!$B$13/4))^2),1)*IF(AND($A130&gt;='Control Room'!$A$14,$A130&lt;'Control Room'!$A$14+'Control Room'!$B$14,'Process'!BQ3=1),1+('Control Room'!$C$14-1)*EXP(-0.5*(($A130-'Control Room'!$A$14-('Control Room'!$B$14-1)/2)/MAX(0.5,'Control Room'!$B$14/4))^2),1)*IF(AND($A130&gt;='Control Room'!$A$15,$A130&lt;'Control Room'!$A$15+'Control Room'!$B$15,'Process'!BQ4=1),1+('Control Room'!$C$15-1)*EXP(-0.5*(($A130-'Control Room'!$A$15-('Control Room'!$B$15-1)/2)/MAX(0.5,'Control Room'!$B$15/4))^2),1)*IF(AND($A130&gt;='Control Room'!$A$16,$A130&lt;'Control Room'!$A$16+'Control Room'!$B$16,'Process'!BQ5=1),1+('Control Room'!$C$16-1)*EXP(-0.5*(($A130-'Control Room'!$A$16-('Control Room'!$B$16-1)/2)/MAX(0.5,'Control Room'!$B$16/4))^2),1)</x:f>
        <x:v>1</x:v>
      </x:c>
      <x:c r="AK130" s="9" t="n">
        <x:f>MOD(AL129*16807,2147483647)</x:f>
        <x:v>370183354</x:v>
      </x:c>
      <x:c r="AL130" s="9" t="n">
        <x:f>MOD(AK130*16807,2147483647)</x:f>
        <x:v>411505319</x:v>
      </x:c>
      <x:c r="AM130" s="17" t="n">
        <x:f>IF('Control Room'!$B$5="Normal",'Control Room'!$B$7+'Control Room'!$D$7*SQRT(-2*LN(MAX(0.000000000001,AK130/2147483647)))*COS(2*PI()*AL130/2147483647),'Control Room'!$B$8+('Control Room'!$D$8-'Control Room'!$B$8)*AK130/2147483647)</x:f>
        <x:v>1060.5228576202142</x:v>
      </x:c>
      <x:c r="AN130" s="17" t="n">
        <x:f>IF('Control Room'!$B$5="Normal",'Control Room'!$B$7,('Control Room'!$B$8+'Control Room'!$D$8)/2)+'Control Room'!$B$9*(AN129-IF('Control Room'!$B$5="Normal",'Control Room'!$B$7,('Control Room'!$B$8+'Control Room'!$D$8)/2))+SQRT(1-'Control Room'!$B$9^2)*(AM130-IF('Control Room'!$B$5="Normal",'Control Room'!$B$7,('Control Room'!$B$8+'Control Room'!$D$8)/2))</x:f>
        <x:v>1087.8427486518228</x:v>
      </x:c>
      <x:c r="AO130" s="17" t="n">
        <x:f>IF(AND($A130&gt;='Control Room'!$A$13,$A130&lt;'Control Room'!$A$13+'Control Room'!$B$13,'Process'!BR2=1),1+('Control Room'!$C$13-1)*EXP(-0.5*(($A130-'Control Room'!$A$13-('Control Room'!$B$13-1)/2)/MAX(0.5,'Control Room'!$B$13/4))^2),1)*IF(AND($A130&gt;='Control Room'!$A$14,$A130&lt;'Control Room'!$A$14+'Control Room'!$B$14,'Process'!BR3=1),1+('Control Room'!$C$14-1)*EXP(-0.5*(($A130-'Control Room'!$A$14-('Control Room'!$B$14-1)/2)/MAX(0.5,'Control Room'!$B$14/4))^2),1)*IF(AND($A130&gt;='Control Room'!$A$15,$A130&lt;'Control Room'!$A$15+'Control Room'!$B$15,'Process'!BR4=1),1+('Control Room'!$C$15-1)*EXP(-0.5*(($A130-'Control Room'!$A$15-('Control Room'!$B$15-1)/2)/MAX(0.5,'Control Room'!$B$15/4))^2),1)*IF(AND($A130&gt;='Control Room'!$A$16,$A130&lt;'Control Room'!$A$16+'Control Room'!$B$16,'Process'!BR5=1),1+('Control Room'!$C$16-1)*EXP(-0.5*(($A130-'Control Room'!$A$16-('Control Room'!$B$16-1)/2)/MAX(0.5,'Control Room'!$B$16/4))^2),1)</x:f>
        <x:v>1</x:v>
      </x:c>
      <x:c r="AP130" s="9" t="n">
        <x:f>MOD(AQ129*16807,2147483647)</x:f>
        <x:v>238011722</x:v>
      </x:c>
      <x:c r="AQ130" s="9" t="n">
        <x:f>MOD(AP130*16807,2147483647)</x:f>
        <x:v>1648460940</x:v>
      </x:c>
      <x:c r="AR130" s="17" t="n">
        <x:f>IF('Control Room'!$B$5="Normal",'Control Room'!$B$7+'Control Room'!$D$7*SQRT(-2*LN(MAX(0.000000000001,AP130/2147483647)))*COS(2*PI()*AQ130/2147483647),'Control Room'!$B$8+('Control Room'!$D$8-'Control Room'!$B$8)*AP130/2147483647)</x:f>
        <x:v>1020.861700984432</x:v>
      </x:c>
      <x:c r="AS130" s="17" t="n">
        <x:f>IF('Control Room'!$B$5="Normal",'Control Room'!$B$7,('Control Room'!$B$8+'Control Room'!$D$8)/2)+'Control Room'!$B$9*(AS129-IF('Control Room'!$B$5="Normal",'Control Room'!$B$7,('Control Room'!$B$8+'Control Room'!$D$8)/2))+SQRT(1-'Control Room'!$B$9^2)*(AR130-IF('Control Room'!$B$5="Normal",'Control Room'!$B$7,('Control Room'!$B$8+'Control Room'!$D$8)/2))</x:f>
        <x:v>959.2030856021215</x:v>
      </x:c>
      <x:c r="AT130" s="17" t="n">
        <x:f>IF(AND($A130&gt;='Control Room'!$A$13,$A130&lt;'Control Room'!$A$13+'Control Room'!$B$13,'Process'!BS2=1),1+('Control Room'!$C$13-1)*EXP(-0.5*(($A130-'Control Room'!$A$13-('Control Room'!$B$13-1)/2)/MAX(0.5,'Control Room'!$B$13/4))^2),1)*IF(AND($A130&gt;='Control Room'!$A$14,$A130&lt;'Control Room'!$A$14+'Control Room'!$B$14,'Process'!BS3=1),1+('Control Room'!$C$14-1)*EXP(-0.5*(($A130-'Control Room'!$A$14-('Control Room'!$B$14-1)/2)/MAX(0.5,'Control Room'!$B$14/4))^2),1)*IF(AND($A130&gt;='Control Room'!$A$15,$A130&lt;'Control Room'!$A$15+'Control Room'!$B$15,'Process'!BS4=1),1+('Control Room'!$C$15-1)*EXP(-0.5*(($A130-'Control Room'!$A$15-('Control Room'!$B$15-1)/2)/MAX(0.5,'Control Room'!$B$15/4))^2),1)*IF(AND($A130&gt;='Control Room'!$A$16,$A130&lt;'Control Room'!$A$16+'Control Room'!$B$16,'Process'!BS5=1),1+('Control Room'!$C$16-1)*EXP(-0.5*(($A130-'Control Room'!$A$16-('Control Room'!$B$16-1)/2)/MAX(0.5,'Control Room'!$B$16/4))^2),1)</x:f>
        <x:v>1</x:v>
      </x:c>
      <x:c r="AU130" s="9" t="n">
        <x:f>MOD(AV129*16807,2147483647)</x:f>
        <x:v>105840090</x:v>
      </x:c>
      <x:c r="AV130" s="9" t="n">
        <x:f>MOD(AU130*16807,2147483647)</x:f>
        <x:v>737932914</x:v>
      </x:c>
      <x:c r="AW130" s="17" t="n">
        <x:f>IF('Control Room'!$B$5="Normal",'Control Room'!$B$7+'Control Room'!$D$7*SQRT(-2*LN(MAX(0.000000000001,AU130/2147483647)))*COS(2*PI()*AV130/2147483647),'Control Room'!$B$8+('Control Room'!$D$8-'Control Room'!$B$8)*AU130/2147483647)</x:f>
        <x:v>877.4579951768604</x:v>
      </x:c>
      <x:c r="AX130" s="17" t="n">
        <x:f>IF('Control Room'!$B$5="Normal",'Control Room'!$B$7,('Control Room'!$B$8+'Control Room'!$D$8)/2)+'Control Room'!$B$9*(AX129-IF('Control Room'!$B$5="Normal",'Control Room'!$B$7,('Control Room'!$B$8+'Control Room'!$D$8)/2))+SQRT(1-'Control Room'!$B$9^2)*(AW130-IF('Control Room'!$B$5="Normal",'Control Room'!$B$7,('Control Room'!$B$8+'Control Room'!$D$8)/2))</x:f>
        <x:v>857.6352183847857</x:v>
      </x:c>
      <x:c r="AY130" s="17" t="n">
        <x:f>IF(AND($A130&gt;='Control Room'!$A$13,$A130&lt;'Control Room'!$A$13+'Control Room'!$B$13,'Process'!BT2=1),1+('Control Room'!$C$13-1)*EXP(-0.5*(($A130-'Control Room'!$A$13-('Control Room'!$B$13-1)/2)/MAX(0.5,'Control Room'!$B$13/4))^2),1)*IF(AND($A130&gt;='Control Room'!$A$14,$A130&lt;'Control Room'!$A$14+'Control Room'!$B$14,'Process'!BT3=1),1+('Control Room'!$C$14-1)*EXP(-0.5*(($A130-'Control Room'!$A$14-('Control Room'!$B$14-1)/2)/MAX(0.5,'Control Room'!$B$14/4))^2),1)*IF(AND($A130&gt;='Control Room'!$A$15,$A130&lt;'Control Room'!$A$15+'Control Room'!$B$15,'Process'!BT4=1),1+('Control Room'!$C$15-1)*EXP(-0.5*(($A130-'Control Room'!$A$15-('Control Room'!$B$15-1)/2)/MAX(0.5,'Control Room'!$B$15/4))^2),1)*IF(AND($A130&gt;='Control Room'!$A$16,$A130&lt;'Control Room'!$A$16+'Control Room'!$B$16,'Process'!BT5=1),1+('Control Room'!$C$16-1)*EXP(-0.5*(($A130-'Control Room'!$A$16-('Control Room'!$B$16-1)/2)/MAX(0.5,'Control Room'!$B$16/4))^2),1)</x:f>
        <x:v>1</x:v>
      </x:c>
      <x:c r="AZ130" s="9" t="n">
        <x:f>MOD(BA129*16807,2147483647)</x:f>
        <x:v>2121152105</x:v>
      </x:c>
      <x:c r="BA130" s="9" t="n">
        <x:f>MOD(AZ130*16807,2147483647)</x:f>
        <x:v>1974888535</x:v>
      </x:c>
      <x:c r="BB130" s="17" t="n">
        <x:f>IF('Control Room'!$B$5="Normal",'Control Room'!$B$7+'Control Room'!$D$7*SQRT(-2*LN(MAX(0.000000000001,AZ130/2147483647)))*COS(2*PI()*BA130/2147483647),'Control Room'!$B$8+('Control Room'!$D$8-'Control Room'!$B$8)*AZ130/2147483647)</x:f>
        <x:v>1012.3727744448964</x:v>
      </x:c>
      <x:c r="BC130" s="17" t="n">
        <x:f>IF('Control Room'!$B$5="Normal",'Control Room'!$B$7,('Control Room'!$B$8+'Control Room'!$D$8)/2)+'Control Room'!$B$9*(BC129-IF('Control Room'!$B$5="Normal",'Control Room'!$B$7,('Control Room'!$B$8+'Control Room'!$D$8)/2))+SQRT(1-'Control Room'!$B$9^2)*(BB130-IF('Control Room'!$B$5="Normal",'Control Room'!$B$7,('Control Room'!$B$8+'Control Room'!$D$8)/2))</x:f>
        <x:v>1035.9811986233583</x:v>
      </x:c>
      <x:c r="BD130" s="17" t="n">
        <x:f>IF(AND($A130&gt;='Control Room'!$A$13,$A130&lt;'Control Room'!$A$13+'Control Room'!$B$13,'Process'!BU2=1),1+('Control Room'!$C$13-1)*EXP(-0.5*(($A130-'Control Room'!$A$13-('Control Room'!$B$13-1)/2)/MAX(0.5,'Control Room'!$B$13/4))^2),1)*IF(AND($A130&gt;='Control Room'!$A$14,$A130&lt;'Control Room'!$A$14+'Control Room'!$B$14,'Process'!BU3=1),1+('Control Room'!$C$14-1)*EXP(-0.5*(($A130-'Control Room'!$A$14-('Control Room'!$B$14-1)/2)/MAX(0.5,'Control Room'!$B$14/4))^2),1)*IF(AND($A130&gt;='Control Room'!$A$15,$A130&lt;'Control Room'!$A$15+'Control Room'!$B$15,'Process'!BU4=1),1+('Control Room'!$C$15-1)*EXP(-0.5*(($A130-'Control Room'!$A$15-('Control Room'!$B$15-1)/2)/MAX(0.5,'Control Room'!$B$15/4))^2),1)*IF(AND($A130&gt;='Control Room'!$A$16,$A130&lt;'Control Room'!$A$16+'Control Room'!$B$16,'Process'!BU5=1),1+('Control Room'!$C$16-1)*EXP(-0.5*(($A130-'Control Room'!$A$16-('Control Room'!$B$16-1)/2)/MAX(0.5,'Control Room'!$B$16/4))^2),1)</x:f>
        <x:v>1</x:v>
      </x:c>
      <x:c r="BE130" s="9" t="n">
        <x:f>MOD(BF129*16807,2147483647)</x:f>
        <x:v>1988980473</x:v>
      </x:c>
      <x:c r="BF130" s="9" t="n">
        <x:f>MOD(BE130*16807,2147483647)</x:f>
        <x:v>1064360509</x:v>
      </x:c>
      <x:c r="BG130" s="17" t="n">
        <x:f>IF('Control Room'!$B$5="Normal",'Control Room'!$B$7+'Control Room'!$D$7*SQRT(-2*LN(MAX(0.000000000001,BE130/2147483647)))*COS(2*PI()*BF130/2147483647),'Control Room'!$B$8+('Control Room'!$D$8-'Control Room'!$B$8)*BE130/2147483647)</x:f>
        <x:v>964.7694370009963</x:v>
      </x:c>
      <x:c r="BH130" s="17" t="n">
        <x:f>IF('Control Room'!$B$5="Normal",'Control Room'!$B$7,('Control Room'!$B$8+'Control Room'!$D$8)/2)+'Control Room'!$B$9*(BH129-IF('Control Room'!$B$5="Normal",'Control Room'!$B$7,('Control Room'!$B$8+'Control Room'!$D$8)/2))+SQRT(1-'Control Room'!$B$9^2)*(BG130-IF('Control Room'!$B$5="Normal",'Control Room'!$B$7,('Control Room'!$B$8+'Control Room'!$D$8)/2))</x:f>
        <x:v>1028.2321447398238</x:v>
      </x:c>
      <x:c r="BI130" s="17" t="n">
        <x:f>IF(AND($A130&gt;='Control Room'!$A$13,$A130&lt;'Control Room'!$A$13+'Control Room'!$B$13,'Process'!BV2=1),1+('Control Room'!$C$13-1)*EXP(-0.5*(($A130-'Control Room'!$A$13-('Control Room'!$B$13-1)/2)/MAX(0.5,'Control Room'!$B$13/4))^2),1)*IF(AND($A130&gt;='Control Room'!$A$14,$A130&lt;'Control Room'!$A$14+'Control Room'!$B$14,'Process'!BV3=1),1+('Control Room'!$C$14-1)*EXP(-0.5*(($A130-'Control Room'!$A$14-('Control Room'!$B$14-1)/2)/MAX(0.5,'Control Room'!$B$14/4))^2),1)*IF(AND($A130&gt;='Control Room'!$A$15,$A130&lt;'Control Room'!$A$15+'Control Room'!$B$15,'Process'!BV4=1),1+('Control Room'!$C$15-1)*EXP(-0.5*(($A130-'Control Room'!$A$15-('Control Room'!$B$15-1)/2)/MAX(0.5,'Control Room'!$B$15/4))^2),1)*IF(AND($A130&gt;='Control Room'!$A$16,$A130&lt;'Control Room'!$A$16+'Control Room'!$B$16,'Process'!BV5=1),1+('Control Room'!$C$16-1)*EXP(-0.5*(($A130-'Control Room'!$A$16-('Control Room'!$B$16-1)/2)/MAX(0.5,'Control Room'!$B$16/4))^2),1)</x:f>
        <x:v>1</x:v>
      </x:c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Z130" t="str">
        <x:f>IF('Data'!A130="","",TEXT('Data'!A130,"mm-dd"))</x:f>
      </x:c>
    </x:row>
    <x:row r="131" ht="21" customHeight="1">
      <x:c r="A131" s="15" t="n">
        <x:f>'Control Room'!$B$1+129</x:f>
        <x:v>73120</x:v>
      </x:c>
      <x:c r="B131" s="9" t="n">
        <x:f>MOD(C130*16807,2147483647)</x:f>
        <x:v>1057520666</x:v>
      </x:c>
      <x:c r="C131" s="9" t="n">
        <x:f>MOD(B131*16807,2147483647)</x:f>
        <x:v>1175170890</x:v>
      </x:c>
      <x:c r="D131" s="17" t="n">
        <x:f>IF('Control Room'!$B$5="Normal",'Control Room'!$B$7+'Control Room'!$D$7*SQRT(-2*LN(MAX(0.000000000001,B131/2147483647)))*COS(2*PI()*C131/2147483647),'Control Room'!$B$8+('Control Room'!$D$8-'Control Room'!$B$8)*B131/2147483647)</x:f>
        <x:v>897.5584926146114</x:v>
      </x:c>
      <x:c r="E131" s="17" t="n">
        <x:f>IF('Control Room'!$B$5="Normal",'Control Room'!$B$7,('Control Room'!$B$8+'Control Room'!$D$8)/2)+'Control Room'!$B$9*(E130-IF('Control Room'!$B$5="Normal",'Control Room'!$B$7,('Control Room'!$B$8+'Control Room'!$D$8)/2))+SQRT(1-'Control Room'!$B$9^2)*(D131-IF('Control Room'!$B$5="Normal",'Control Room'!$B$7,('Control Room'!$B$8+'Control Room'!$D$8)/2))</x:f>
        <x:v>914.0562328791362</x:v>
      </x:c>
      <x:c r="F131" s="17" t="n">
        <x:f>IF(AND($A131&gt;='Control Room'!$A$13,$A131&lt;'Control Room'!$A$13+'Control Room'!$B$13,'Process'!BK2=1),1+('Control Room'!$C$13-1)*EXP(-0.5*(($A131-'Control Room'!$A$13-('Control Room'!$B$13-1)/2)/MAX(0.5,'Control Room'!$B$13/4))^2),1)*IF(AND($A131&gt;='Control Room'!$A$14,$A131&lt;'Control Room'!$A$14+'Control Room'!$B$14,'Process'!BK3=1),1+('Control Room'!$C$14-1)*EXP(-0.5*(($A131-'Control Room'!$A$14-('Control Room'!$B$14-1)/2)/MAX(0.5,'Control Room'!$B$14/4))^2),1)*IF(AND($A131&gt;='Control Room'!$A$15,$A131&lt;'Control Room'!$A$15+'Control Room'!$B$15,'Process'!BK4=1),1+('Control Room'!$C$15-1)*EXP(-0.5*(($A131-'Control Room'!$A$15-('Control Room'!$B$15-1)/2)/MAX(0.5,'Control Room'!$B$15/4))^2),1)*IF(AND($A131&gt;='Control Room'!$A$16,$A131&lt;'Control Room'!$A$16+'Control Room'!$B$16,'Process'!BK5=1),1+('Control Room'!$C$16-1)*EXP(-0.5*(($A131-'Control Room'!$A$16-('Control Room'!$B$16-1)/2)/MAX(0.5,'Control Room'!$B$16/4))^2),1)</x:f>
        <x:v>1</x:v>
      </x:c>
      <x:c r="G131" s="9" t="n">
        <x:f>MOD(H130*16807,2147483647)</x:f>
        <x:v>781456206</x:v>
      </x:c>
      <x:c r="H131" s="9" t="n">
        <x:f>MOD(G131*16807,2147483647)</x:f>
        <x:v>2071952837</x:v>
      </x:c>
      <x:c r="I131" s="17" t="n">
        <x:f>IF('Control Room'!$B$5="Normal",'Control Room'!$B$7+'Control Room'!$D$7*SQRT(-2*LN(MAX(0.000000000001,G131/2147483647)))*COS(2*PI()*H131/2147483647),'Control Room'!$B$8+('Control Room'!$D$8-'Control Room'!$B$8)*G131/2147483647)</x:f>
        <x:v>1124.8584171225561</x:v>
      </x:c>
      <x:c r="J131" s="17" t="n">
        <x:f>IF('Control Room'!$B$5="Normal",'Control Room'!$B$7,('Control Room'!$B$8+'Control Room'!$D$8)/2)+'Control Room'!$B$9*(J130-IF('Control Room'!$B$5="Normal",'Control Room'!$B$7,('Control Room'!$B$8+'Control Room'!$D$8)/2))+SQRT(1-'Control Room'!$B$9^2)*(I131-IF('Control Room'!$B$5="Normal",'Control Room'!$B$7,('Control Room'!$B$8+'Control Room'!$D$8)/2))</x:f>
        <x:v>1061.7495467718256</x:v>
      </x:c>
      <x:c r="K131" s="17" t="n">
        <x:f>IF(AND($A131&gt;='Control Room'!$A$13,$A131&lt;'Control Room'!$A$13+'Control Room'!$B$13,'Process'!BL2=1),1+('Control Room'!$C$13-1)*EXP(-0.5*(($A131-'Control Room'!$A$13-('Control Room'!$B$13-1)/2)/MAX(0.5,'Control Room'!$B$13/4))^2),1)*IF(AND($A131&gt;='Control Room'!$A$14,$A131&lt;'Control Room'!$A$14+'Control Room'!$B$14,'Process'!BL3=1),1+('Control Room'!$C$14-1)*EXP(-0.5*(($A131-'Control Room'!$A$14-('Control Room'!$B$14-1)/2)/MAX(0.5,'Control Room'!$B$14/4))^2),1)*IF(AND($A131&gt;='Control Room'!$A$15,$A131&lt;'Control Room'!$A$15+'Control Room'!$B$15,'Process'!BL4=1),1+('Control Room'!$C$15-1)*EXP(-0.5*(($A131-'Control Room'!$A$15-('Control Room'!$B$15-1)/2)/MAX(0.5,'Control Room'!$B$15/4))^2),1)*IF(AND($A131&gt;='Control Room'!$A$16,$A131&lt;'Control Room'!$A$16+'Control Room'!$B$16,'Process'!BL5=1),1+('Control Room'!$C$16-1)*EXP(-0.5*(($A131-'Control Room'!$A$16-('Control Room'!$B$16-1)/2)/MAX(0.5,'Control Room'!$B$16/4))^2),1)</x:f>
        <x:v>1</x:v>
      </x:c>
      <x:c r="L131" s="9" t="n">
        <x:f>MOD(M130*16807,2147483647)</x:f>
        <x:v>505391746</x:v>
      </x:c>
      <x:c r="M131" s="9" t="n">
        <x:f>MOD(L131*16807,2147483647)</x:f>
        <x:v>821251137</x:v>
      </x:c>
      <x:c r="N131" s="17" t="n">
        <x:f>IF('Control Room'!$B$5="Normal",'Control Room'!$B$7+'Control Room'!$D$7*SQRT(-2*LN(MAX(0.000000000001,L131/2147483647)))*COS(2*PI()*M131/2147483647),'Control Room'!$B$8+('Control Room'!$D$8-'Control Room'!$B$8)*L131/2147483647)</x:f>
        <x:v>886.8178387516061</x:v>
      </x:c>
      <x:c r="O131" s="17" t="n">
        <x:f>IF('Control Room'!$B$5="Normal",'Control Room'!$B$7,('Control Room'!$B$8+'Control Room'!$D$8)/2)+'Control Room'!$B$9*(O130-IF('Control Room'!$B$5="Normal",'Control Room'!$B$7,('Control Room'!$B$8+'Control Room'!$D$8)/2))+SQRT(1-'Control Room'!$B$9^2)*(N131-IF('Control Room'!$B$5="Normal",'Control Room'!$B$7,('Control Room'!$B$8+'Control Room'!$D$8)/2))</x:f>
        <x:v>929.6567280652408</x:v>
      </x:c>
      <x:c r="P131" s="17" t="n">
        <x:f>IF(AND($A131&gt;='Control Room'!$A$13,$A131&lt;'Control Room'!$A$13+'Control Room'!$B$13,'Process'!BM2=1),1+('Control Room'!$C$13-1)*EXP(-0.5*(($A131-'Control Room'!$A$13-('Control Room'!$B$13-1)/2)/MAX(0.5,'Control Room'!$B$13/4))^2),1)*IF(AND($A131&gt;='Control Room'!$A$14,$A131&lt;'Control Room'!$A$14+'Control Room'!$B$14,'Process'!BM3=1),1+('Control Room'!$C$14-1)*EXP(-0.5*(($A131-'Control Room'!$A$14-('Control Room'!$B$14-1)/2)/MAX(0.5,'Control Room'!$B$14/4))^2),1)*IF(AND($A131&gt;='Control Room'!$A$15,$A131&lt;'Control Room'!$A$15+'Control Room'!$B$15,'Process'!BM4=1),1+('Control Room'!$C$15-1)*EXP(-0.5*(($A131-'Control Room'!$A$15-('Control Room'!$B$15-1)/2)/MAX(0.5,'Control Room'!$B$15/4))^2),1)*IF(AND($A131&gt;='Control Room'!$A$16,$A131&lt;'Control Room'!$A$16+'Control Room'!$B$16,'Process'!BM5=1),1+('Control Room'!$C$16-1)*EXP(-0.5*(($A131-'Control Room'!$A$16-('Control Room'!$B$16-1)/2)/MAX(0.5,'Control Room'!$B$16/4))^2),1)</x:f>
        <x:v>1</x:v>
      </x:c>
      <x:c r="Q131" s="9" t="n">
        <x:f>MOD(R130*16807,2147483647)</x:f>
        <x:v>229327286</x:v>
      </x:c>
      <x:c r="R131" s="9" t="n">
        <x:f>MOD(Q131*16807,2147483647)</x:f>
        <x:v>1718033084</x:v>
      </x:c>
      <x:c r="S131" s="17" t="n">
        <x:f>IF('Control Room'!$B$5="Normal",'Control Room'!$B$7+'Control Room'!$D$7*SQRT(-2*LN(MAX(0.000000000001,Q131/2147483647)))*COS(2*PI()*R131/2147483647),'Control Room'!$B$8+('Control Room'!$D$8-'Control Room'!$B$8)*Q131/2147483647)</x:f>
        <x:v>1058.8496439490755</x:v>
      </x:c>
      <x:c r="T131" s="17" t="n">
        <x:f>IF('Control Room'!$B$5="Normal",'Control Room'!$B$7,('Control Room'!$B$8+'Control Room'!$D$8)/2)+'Control Room'!$B$9*(T130-IF('Control Room'!$B$5="Normal",'Control Room'!$B$7,('Control Room'!$B$8+'Control Room'!$D$8)/2))+SQRT(1-'Control Room'!$B$9^2)*(S131-IF('Control Room'!$B$5="Normal",'Control Room'!$B$7,('Control Room'!$B$8+'Control Room'!$D$8)/2))</x:f>
        <x:v>1073.9054425045233</x:v>
      </x:c>
      <x:c r="U131" s="17" t="n">
        <x:f>IF(AND($A131&gt;='Control Room'!$A$13,$A131&lt;'Control Room'!$A$13+'Control Room'!$B$13,'Process'!BN2=1),1+('Control Room'!$C$13-1)*EXP(-0.5*(($A131-'Control Room'!$A$13-('Control Room'!$B$13-1)/2)/MAX(0.5,'Control Room'!$B$13/4))^2),1)*IF(AND($A131&gt;='Control Room'!$A$14,$A131&lt;'Control Room'!$A$14+'Control Room'!$B$14,'Process'!BN3=1),1+('Control Room'!$C$14-1)*EXP(-0.5*(($A131-'Control Room'!$A$14-('Control Room'!$B$14-1)/2)/MAX(0.5,'Control Room'!$B$14/4))^2),1)*IF(AND($A131&gt;='Control Room'!$A$15,$A131&lt;'Control Room'!$A$15+'Control Room'!$B$15,'Process'!BN4=1),1+('Control Room'!$C$15-1)*EXP(-0.5*(($A131-'Control Room'!$A$15-('Control Room'!$B$15-1)/2)/MAX(0.5,'Control Room'!$B$15/4))^2),1)*IF(AND($A131&gt;='Control Room'!$A$16,$A131&lt;'Control Room'!$A$16+'Control Room'!$B$16,'Process'!BN5=1),1+('Control Room'!$C$16-1)*EXP(-0.5*(($A131-'Control Room'!$A$16-('Control Room'!$B$16-1)/2)/MAX(0.5,'Control Room'!$B$16/4))^2),1)</x:f>
        <x:v>1</x:v>
      </x:c>
      <x:c r="V131" s="9" t="n">
        <x:f>MOD(W130*16807,2147483647)</x:f>
        <x:v>2100746473</x:v>
      </x:c>
      <x:c r="W131" s="9" t="n">
        <x:f>MOD(V131*16807,2147483647)</x:f>
        <x:v>467331384</x:v>
      </x:c>
      <x:c r="X131" s="17" t="n">
        <x:f>IF('Control Room'!$B$5="Normal",'Control Room'!$B$7+'Control Room'!$D$7*SQRT(-2*LN(MAX(0.000000000001,V131/2147483647)))*COS(2*PI()*W131/2147483647),'Control Room'!$B$8+('Control Room'!$D$8-'Control Room'!$B$8)*V131/2147483647)</x:f>
        <x:v>1003.8149573824528</x:v>
      </x:c>
      <x:c r="Y131" s="17" t="n">
        <x:f>IF('Control Room'!$B$5="Normal",'Control Room'!$B$7,('Control Room'!$B$8+'Control Room'!$D$8)/2)+'Control Room'!$B$9*(Y130-IF('Control Room'!$B$5="Normal",'Control Room'!$B$7,('Control Room'!$B$8+'Control Room'!$D$8)/2))+SQRT(1-'Control Room'!$B$9^2)*(X131-IF('Control Room'!$B$5="Normal",'Control Room'!$B$7,('Control Room'!$B$8+'Control Room'!$D$8)/2))</x:f>
        <x:v>868.8738066427198</x:v>
      </x:c>
      <x:c r="Z131" s="17" t="n">
        <x:f>IF(AND($A131&gt;='Control Room'!$A$13,$A131&lt;'Control Room'!$A$13+'Control Room'!$B$13,'Process'!BO2=1),1+('Control Room'!$C$13-1)*EXP(-0.5*(($A131-'Control Room'!$A$13-('Control Room'!$B$13-1)/2)/MAX(0.5,'Control Room'!$B$13/4))^2),1)*IF(AND($A131&gt;='Control Room'!$A$14,$A131&lt;'Control Room'!$A$14+'Control Room'!$B$14,'Process'!BO3=1),1+('Control Room'!$C$14-1)*EXP(-0.5*(($A131-'Control Room'!$A$14-('Control Room'!$B$14-1)/2)/MAX(0.5,'Control Room'!$B$14/4))^2),1)*IF(AND($A131&gt;='Control Room'!$A$15,$A131&lt;'Control Room'!$A$15+'Control Room'!$B$15,'Process'!BO4=1),1+('Control Room'!$C$15-1)*EXP(-0.5*(($A131-'Control Room'!$A$15-('Control Room'!$B$15-1)/2)/MAX(0.5,'Control Room'!$B$15/4))^2),1)*IF(AND($A131&gt;='Control Room'!$A$16,$A131&lt;'Control Room'!$A$16+'Control Room'!$B$16,'Process'!BO5=1),1+('Control Room'!$C$16-1)*EXP(-0.5*(($A131-'Control Room'!$A$16-('Control Room'!$B$16-1)/2)/MAX(0.5,'Control Room'!$B$16/4))^2),1)</x:f>
        <x:v>1</x:v>
      </x:c>
      <x:c r="AA131" s="9" t="n">
        <x:f>MOD(AB130*16807,2147483647)</x:f>
        <x:v>1824682013</x:v>
      </x:c>
      <x:c r="AB131" s="9" t="n">
        <x:f>MOD(AA131*16807,2147483647)</x:f>
        <x:v>1364113331</x:v>
      </x:c>
      <x:c r="AC131" s="17" t="n">
        <x:f>IF('Control Room'!$B$5="Normal",'Control Room'!$B$7+'Control Room'!$D$7*SQRT(-2*LN(MAX(0.000000000001,AA131/2147483647)))*COS(2*PI()*AB131/2147483647),'Control Room'!$B$8+('Control Room'!$D$8-'Control Room'!$B$8)*AA131/2147483647)</x:f>
        <x:v>966.080710203193</x:v>
      </x:c>
      <x:c r="AD131" s="17" t="n">
        <x:f>IF('Control Room'!$B$5="Normal",'Control Room'!$B$7,('Control Room'!$B$8+'Control Room'!$D$8)/2)+'Control Room'!$B$9*(AD130-IF('Control Room'!$B$5="Normal",'Control Room'!$B$7,('Control Room'!$B$8+'Control Room'!$D$8)/2))+SQRT(1-'Control Room'!$B$9^2)*(AC131-IF('Control Room'!$B$5="Normal",'Control Room'!$B$7,('Control Room'!$B$8+'Control Room'!$D$8)/2))</x:f>
        <x:v>1043.318027113311</x:v>
      </x:c>
      <x:c r="AE131" s="17" t="n">
        <x:f>IF(AND($A131&gt;='Control Room'!$A$13,$A131&lt;'Control Room'!$A$13+'Control Room'!$B$13,'Process'!BP2=1),1+('Control Room'!$C$13-1)*EXP(-0.5*(($A131-'Control Room'!$A$13-('Control Room'!$B$13-1)/2)/MAX(0.5,'Control Room'!$B$13/4))^2),1)*IF(AND($A131&gt;='Control Room'!$A$14,$A131&lt;'Control Room'!$A$14+'Control Room'!$B$14,'Process'!BP3=1),1+('Control Room'!$C$14-1)*EXP(-0.5*(($A131-'Control Room'!$A$14-('Control Room'!$B$14-1)/2)/MAX(0.5,'Control Room'!$B$14/4))^2),1)*IF(AND($A131&gt;='Control Room'!$A$15,$A131&lt;'Control Room'!$A$15+'Control Room'!$B$15,'Process'!BP4=1),1+('Control Room'!$C$15-1)*EXP(-0.5*(($A131-'Control Room'!$A$15-('Control Room'!$B$15-1)/2)/MAX(0.5,'Control Room'!$B$15/4))^2),1)*IF(AND($A131&gt;='Control Room'!$A$16,$A131&lt;'Control Room'!$A$16+'Control Room'!$B$16,'Process'!BP5=1),1+('Control Room'!$C$16-1)*EXP(-0.5*(($A131-'Control Room'!$A$16-('Control Room'!$B$16-1)/2)/MAX(0.5,'Control Room'!$B$16/4))^2),1)</x:f>
        <x:v>1</x:v>
      </x:c>
      <x:c r="AF131" s="9" t="n">
        <x:f>MOD(AG130*16807,2147483647)</x:f>
        <x:v>1548617553</x:v>
      </x:c>
      <x:c r="AG131" s="9" t="n">
        <x:f>MOD(AF131*16807,2147483647)</x:f>
        <x:v>113411631</x:v>
      </x:c>
      <x:c r="AH131" s="17" t="n">
        <x:f>IF('Control Room'!$B$5="Normal",'Control Room'!$B$7+'Control Room'!$D$7*SQRT(-2*LN(MAX(0.000000000001,AF131/2147483647)))*COS(2*PI()*AG131/2147483647),'Control Room'!$B$8+('Control Room'!$D$8-'Control Room'!$B$8)*AF131/2147483647)</x:f>
        <x:v>1068.8059656624866</x:v>
      </x:c>
      <x:c r="AI131" s="17" t="n">
        <x:f>IF('Control Room'!$B$5="Normal",'Control Room'!$B$7,('Control Room'!$B$8+'Control Room'!$D$8)/2)+'Control Room'!$B$9*(AI130-IF('Control Room'!$B$5="Normal",'Control Room'!$B$7,('Control Room'!$B$8+'Control Room'!$D$8)/2))+SQRT(1-'Control Room'!$B$9^2)*(AH131-IF('Control Room'!$B$5="Normal",'Control Room'!$B$7,('Control Room'!$B$8+'Control Room'!$D$8)/2))</x:f>
        <x:v>1047.8396217813602</x:v>
      </x:c>
      <x:c r="AJ131" s="17" t="n">
        <x:f>IF(AND($A131&gt;='Control Room'!$A$13,$A131&lt;'Control Room'!$A$13+'Control Room'!$B$13,'Process'!BQ2=1),1+('Control Room'!$C$13-1)*EXP(-0.5*(($A131-'Control Room'!$A$13-('Control Room'!$B$13-1)/2)/MAX(0.5,'Control Room'!$B$13/4))^2),1)*IF(AND($A131&gt;='Control Room'!$A$14,$A131&lt;'Control Room'!$A$14+'Control Room'!$B$14,'Process'!BQ3=1),1+('Control Room'!$C$14-1)*EXP(-0.5*(($A131-'Control Room'!$A$14-('Control Room'!$B$14-1)/2)/MAX(0.5,'Control Room'!$B$14/4))^2),1)*IF(AND($A131&gt;='Control Room'!$A$15,$A131&lt;'Control Room'!$A$15+'Control Room'!$B$15,'Process'!BQ4=1),1+('Control Room'!$C$15-1)*EXP(-0.5*(($A131-'Control Room'!$A$15-('Control Room'!$B$15-1)/2)/MAX(0.5,'Control Room'!$B$15/4))^2),1)*IF(AND($A131&gt;='Control Room'!$A$16,$A131&lt;'Control Room'!$A$16+'Control Room'!$B$16,'Process'!BQ5=1),1+('Control Room'!$C$16-1)*EXP(-0.5*(($A131-'Control Room'!$A$16-('Control Room'!$B$16-1)/2)/MAX(0.5,'Control Room'!$B$16/4))^2),1)</x:f>
        <x:v>1</x:v>
      </x:c>
      <x:c r="AK131" s="9" t="n">
        <x:f>MOD(AL130*16807,2147483647)</x:f>
        <x:v>1272553093</x:v>
      </x:c>
      <x:c r="AL131" s="9" t="n">
        <x:f>MOD(AK131*16807,2147483647)</x:f>
        <x:v>1010193578</x:v>
      </x:c>
      <x:c r="AM131" s="17" t="n">
        <x:f>IF('Control Room'!$B$5="Normal",'Control Room'!$B$7+'Control Room'!$D$7*SQRT(-2*LN(MAX(0.000000000001,AK131/2147483647)))*COS(2*PI()*AL131/2147483647),'Control Room'!$B$8+('Control Room'!$D$8-'Control Room'!$B$8)*AK131/2147483647)</x:f>
        <x:v>909.5162677438312</x:v>
      </x:c>
      <x:c r="AN131" s="17" t="n">
        <x:f>IF('Control Room'!$B$5="Normal",'Control Room'!$B$7,('Control Room'!$B$8+'Control Room'!$D$8)/2)+'Control Room'!$B$9*(AN130-IF('Control Room'!$B$5="Normal",'Control Room'!$B$7,('Control Room'!$B$8+'Control Room'!$D$8)/2))+SQRT(1-'Control Room'!$B$9^2)*(AM131-IF('Control Room'!$B$5="Normal",'Control Room'!$B$7,('Control Room'!$B$8+'Control Room'!$D$8)/2))</x:f>
        <x:v>1011.8944779625219</x:v>
      </x:c>
      <x:c r="AO131" s="17" t="n">
        <x:f>IF(AND($A131&gt;='Control Room'!$A$13,$A131&lt;'Control Room'!$A$13+'Control Room'!$B$13,'Process'!BR2=1),1+('Control Room'!$C$13-1)*EXP(-0.5*(($A131-'Control Room'!$A$13-('Control Room'!$B$13-1)/2)/MAX(0.5,'Control Room'!$B$13/4))^2),1)*IF(AND($A131&gt;='Control Room'!$A$14,$A131&lt;'Control Room'!$A$14+'Control Room'!$B$14,'Process'!BR3=1),1+('Control Room'!$C$14-1)*EXP(-0.5*(($A131-'Control Room'!$A$14-('Control Room'!$B$14-1)/2)/MAX(0.5,'Control Room'!$B$14/4))^2),1)*IF(AND($A131&gt;='Control Room'!$A$15,$A131&lt;'Control Room'!$A$15+'Control Room'!$B$15,'Process'!BR4=1),1+('Control Room'!$C$15-1)*EXP(-0.5*(($A131-'Control Room'!$A$15-('Control Room'!$B$15-1)/2)/MAX(0.5,'Control Room'!$B$15/4))^2),1)*IF(AND($A131&gt;='Control Room'!$A$16,$A131&lt;'Control Room'!$A$16+'Control Room'!$B$16,'Process'!BR5=1),1+('Control Room'!$C$16-1)*EXP(-0.5*(($A131-'Control Room'!$A$16-('Control Room'!$B$16-1)/2)/MAX(0.5,'Control Room'!$B$16/4))^2),1)</x:f>
        <x:v>1</x:v>
      </x:c>
      <x:c r="AP131" s="9" t="n">
        <x:f>MOD(AQ130*16807,2147483647)</x:f>
        <x:v>996488633</x:v>
      </x:c>
      <x:c r="AQ131" s="9" t="n">
        <x:f>MOD(AP131*16807,2147483647)</x:f>
        <x:v>1906975525</x:v>
      </x:c>
      <x:c r="AR131" s="17" t="n">
        <x:f>IF('Control Room'!$B$5="Normal",'Control Room'!$B$7+'Control Room'!$D$7*SQRT(-2*LN(MAX(0.000000000001,AP131/2147483647)))*COS(2*PI()*AQ131/2147483647),'Control Room'!$B$8+('Control Room'!$D$8-'Control Room'!$B$8)*AP131/2147483647)</x:f>
        <x:v>1085.0361410601802</x:v>
      </x:c>
      <x:c r="AS131" s="17" t="n">
        <x:f>IF('Control Room'!$B$5="Normal",'Control Room'!$B$7,('Control Room'!$B$8+'Control Room'!$D$8)/2)+'Control Room'!$B$9*(AS130-IF('Control Room'!$B$5="Normal",'Control Room'!$B$7,('Control Room'!$B$8+'Control Room'!$D$8)/2))+SQRT(1-'Control Room'!$B$9^2)*(AR131-IF('Control Room'!$B$5="Normal",'Control Room'!$B$7,('Control Room'!$B$8+'Control Room'!$D$8)/2))</x:f>
        <x:v>1021.3922817850765</x:v>
      </x:c>
      <x:c r="AT131" s="17" t="n">
        <x:f>IF(AND($A131&gt;='Control Room'!$A$13,$A131&lt;'Control Room'!$A$13+'Control Room'!$B$13,'Process'!BS2=1),1+('Control Room'!$C$13-1)*EXP(-0.5*(($A131-'Control Room'!$A$13-('Control Room'!$B$13-1)/2)/MAX(0.5,'Control Room'!$B$13/4))^2),1)*IF(AND($A131&gt;='Control Room'!$A$14,$A131&lt;'Control Room'!$A$14+'Control Room'!$B$14,'Process'!BS3=1),1+('Control Room'!$C$14-1)*EXP(-0.5*(($A131-'Control Room'!$A$14-('Control Room'!$B$14-1)/2)/MAX(0.5,'Control Room'!$B$14/4))^2),1)*IF(AND($A131&gt;='Control Room'!$A$15,$A131&lt;'Control Room'!$A$15+'Control Room'!$B$15,'Process'!BS4=1),1+('Control Room'!$C$15-1)*EXP(-0.5*(($A131-'Control Room'!$A$15-('Control Room'!$B$15-1)/2)/MAX(0.5,'Control Room'!$B$15/4))^2),1)*IF(AND($A131&gt;='Control Room'!$A$16,$A131&lt;'Control Room'!$A$16+'Control Room'!$B$16,'Process'!BS5=1),1+('Control Room'!$C$16-1)*EXP(-0.5*(($A131-'Control Room'!$A$16-('Control Room'!$B$16-1)/2)/MAX(0.5,'Control Room'!$B$16/4))^2),1)</x:f>
        <x:v>1</x:v>
      </x:c>
      <x:c r="AU131" s="9" t="n">
        <x:f>MOD(AV130*16807,2147483647)</x:f>
        <x:v>720424173</x:v>
      </x:c>
      <x:c r="AV131" s="9" t="n">
        <x:f>MOD(AU131*16807,2147483647)</x:f>
        <x:v>656273825</x:v>
      </x:c>
      <x:c r="AW131" s="17" t="n">
        <x:f>IF('Control Room'!$B$5="Normal",'Control Room'!$B$7+'Control Room'!$D$7*SQRT(-2*LN(MAX(0.000000000001,AU131/2147483647)))*COS(2*PI()*AV131/2147483647),'Control Room'!$B$8+('Control Room'!$D$8-'Control Room'!$B$8)*AU131/2147483647)</x:f>
        <x:v>954.4691721497969</x:v>
      </x:c>
      <x:c r="AX131" s="17" t="n">
        <x:f>IF('Control Room'!$B$5="Normal",'Control Room'!$B$7,('Control Room'!$B$8+'Control Room'!$D$8)/2)+'Control Room'!$B$9*(AX130-IF('Control Room'!$B$5="Normal",'Control Room'!$B$7,('Control Room'!$B$8+'Control Room'!$D$8)/2))+SQRT(1-'Control Room'!$B$9^2)*(AW131-IF('Control Room'!$B$5="Normal",'Control Room'!$B$7,('Control Room'!$B$8+'Control Room'!$D$8)/2))</x:f>
        <x:v>860.4632110211837</x:v>
      </x:c>
      <x:c r="AY131" s="17" t="n">
        <x:f>IF(AND($A131&gt;='Control Room'!$A$13,$A131&lt;'Control Room'!$A$13+'Control Room'!$B$13,'Process'!BT2=1),1+('Control Room'!$C$13-1)*EXP(-0.5*(($A131-'Control Room'!$A$13-('Control Room'!$B$13-1)/2)/MAX(0.5,'Control Room'!$B$13/4))^2),1)*IF(AND($A131&gt;='Control Room'!$A$14,$A131&lt;'Control Room'!$A$14+'Control Room'!$B$14,'Process'!BT3=1),1+('Control Room'!$C$14-1)*EXP(-0.5*(($A131-'Control Room'!$A$14-('Control Room'!$B$14-1)/2)/MAX(0.5,'Control Room'!$B$14/4))^2),1)*IF(AND($A131&gt;='Control Room'!$A$15,$A131&lt;'Control Room'!$A$15+'Control Room'!$B$15,'Process'!BT4=1),1+('Control Room'!$C$15-1)*EXP(-0.5*(($A131-'Control Room'!$A$15-('Control Room'!$B$15-1)/2)/MAX(0.5,'Control Room'!$B$15/4))^2),1)*IF(AND($A131&gt;='Control Room'!$A$16,$A131&lt;'Control Room'!$A$16+'Control Room'!$B$16,'Process'!BT5=1),1+('Control Room'!$C$16-1)*EXP(-0.5*(($A131-'Control Room'!$A$16-('Control Room'!$B$16-1)/2)/MAX(0.5,'Control Room'!$B$16/4))^2),1)</x:f>
        <x:v>1</x:v>
      </x:c>
      <x:c r="AZ131" s="9" t="n">
        <x:f>MOD(BA130*16807,2147483647)</x:f>
        <x:v>444359713</x:v>
      </x:c>
      <x:c r="BA131" s="9" t="n">
        <x:f>MOD(AZ131*16807,2147483647)</x:f>
        <x:v>1553055772</x:v>
      </x:c>
      <x:c r="BB131" s="17" t="n">
        <x:f>IF('Control Room'!$B$5="Normal",'Control Room'!$B$7+'Control Room'!$D$7*SQRT(-2*LN(MAX(0.000000000001,AZ131/2147483647)))*COS(2*PI()*BA131/2147483647),'Control Room'!$B$8+('Control Room'!$D$8-'Control Room'!$B$8)*AZ131/2147483647)</x:f>
        <x:v>973.2238227218209</x:v>
      </x:c>
      <x:c r="BC131" s="17" t="n">
        <x:f>IF('Control Room'!$B$5="Normal",'Control Room'!$B$7,('Control Room'!$B$8+'Control Room'!$D$8)/2)+'Control Room'!$B$9*(BC130-IF('Control Room'!$B$5="Normal",'Control Room'!$B$7,('Control Room'!$B$8+'Control Room'!$D$8)/2))+SQRT(1-'Control Room'!$B$9^2)*(BB131-IF('Control Room'!$B$5="Normal",'Control Room'!$B$7,('Control Room'!$B$8+'Control Room'!$D$8)/2))</x:f>
        <x:v>1011.3093517253424</x:v>
      </x:c>
      <x:c r="BD131" s="17" t="n">
        <x:f>IF(AND($A131&gt;='Control Room'!$A$13,$A131&lt;'Control Room'!$A$13+'Control Room'!$B$13,'Process'!BU2=1),1+('Control Room'!$C$13-1)*EXP(-0.5*(($A131-'Control Room'!$A$13-('Control Room'!$B$13-1)/2)/MAX(0.5,'Control Room'!$B$13/4))^2),1)*IF(AND($A131&gt;='Control Room'!$A$14,$A131&lt;'Control Room'!$A$14+'Control Room'!$B$14,'Process'!BU3=1),1+('Control Room'!$C$14-1)*EXP(-0.5*(($A131-'Control Room'!$A$14-('Control Room'!$B$14-1)/2)/MAX(0.5,'Control Room'!$B$14/4))^2),1)*IF(AND($A131&gt;='Control Room'!$A$15,$A131&lt;'Control Room'!$A$15+'Control Room'!$B$15,'Process'!BU4=1),1+('Control Room'!$C$15-1)*EXP(-0.5*(($A131-'Control Room'!$A$15-('Control Room'!$B$15-1)/2)/MAX(0.5,'Control Room'!$B$15/4))^2),1)*IF(AND($A131&gt;='Control Room'!$A$16,$A131&lt;'Control Room'!$A$16+'Control Room'!$B$16,'Process'!BU5=1),1+('Control Room'!$C$16-1)*EXP(-0.5*(($A131-'Control Room'!$A$16-('Control Room'!$B$16-1)/2)/MAX(0.5,'Control Room'!$B$16/4))^2),1)</x:f>
        <x:v>1</x:v>
      </x:c>
      <x:c r="BE131" s="9" t="n">
        <x:f>MOD(BF130*16807,2147483647)</x:f>
        <x:v>168295253</x:v>
      </x:c>
      <x:c r="BF131" s="9" t="n">
        <x:f>MOD(BE131*16807,2147483647)</x:f>
        <x:v>302354072</x:v>
      </x:c>
      <x:c r="BG131" s="17" t="n">
        <x:f>IF('Control Room'!$B$5="Normal",'Control Room'!$B$7+'Control Room'!$D$7*SQRT(-2*LN(MAX(0.000000000001,BE131/2147483647)))*COS(2*PI()*BF131/2147483647),'Control Room'!$B$8+('Control Room'!$D$8-'Control Room'!$B$8)*BE131/2147483647)</x:f>
        <x:v>1128.6794283917416</x:v>
      </x:c>
      <x:c r="BH131" s="17" t="n">
        <x:f>IF('Control Room'!$B$5="Normal",'Control Room'!$B$7,('Control Room'!$B$8+'Control Room'!$D$8)/2)+'Control Room'!$B$9*(BH130-IF('Control Room'!$B$5="Normal",'Control Room'!$B$7,('Control Room'!$B$8+'Control Room'!$D$8)/2))+SQRT(1-'Control Room'!$B$9^2)*(BG131-IF('Control Room'!$B$5="Normal",'Control Room'!$B$7,('Control Room'!$B$8+'Control Room'!$D$8)/2))</x:f>
        <x:v>1102.5460230432368</x:v>
      </x:c>
      <x:c r="BI131" s="17" t="n">
        <x:f>IF(AND($A131&gt;='Control Room'!$A$13,$A131&lt;'Control Room'!$A$13+'Control Room'!$B$13,'Process'!BV2=1),1+('Control Room'!$C$13-1)*EXP(-0.5*(($A131-'Control Room'!$A$13-('Control Room'!$B$13-1)/2)/MAX(0.5,'Control Room'!$B$13/4))^2),1)*IF(AND($A131&gt;='Control Room'!$A$14,$A131&lt;'Control Room'!$A$14+'Control Room'!$B$14,'Process'!BV3=1),1+('Control Room'!$C$14-1)*EXP(-0.5*(($A131-'Control Room'!$A$14-('Control Room'!$B$14-1)/2)/MAX(0.5,'Control Room'!$B$14/4))^2),1)*IF(AND($A131&gt;='Control Room'!$A$15,$A131&lt;'Control Room'!$A$15+'Control Room'!$B$15,'Process'!BV4=1),1+('Control Room'!$C$15-1)*EXP(-0.5*(($A131-'Control Room'!$A$15-('Control Room'!$B$15-1)/2)/MAX(0.5,'Control Room'!$B$15/4))^2),1)*IF(AND($A131&gt;='Control Room'!$A$16,$A131&lt;'Control Room'!$A$16+'Control Room'!$B$16,'Process'!BV5=1),1+('Control Room'!$C$16-1)*EXP(-0.5*(($A131-'Control Room'!$A$16-('Control Room'!$B$16-1)/2)/MAX(0.5,'Control Room'!$B$16/4))^2),1)</x:f>
        <x:v>1</x:v>
      </x:c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Z131" t="str">
        <x:f>IF('Data'!A131="","",TEXT('Data'!A131,"mm-dd"))</x:f>
      </x:c>
    </x:row>
    <x:row r="132" ht="21" customHeight="1">
      <x:c r="A132" s="15" t="n">
        <x:f>'Control Room'!$B$1+130</x:f>
        <x:v>73121</x:v>
      </x:c>
      <x:c r="B132" s="9" t="n">
        <x:f>MOD(C131*16807,2147483647)</x:f>
        <x:v>690046771</x:v>
      </x:c>
      <x:c r="C132" s="9" t="n">
        <x:f>MOD(B132*16807,2147483647)</x:f>
        <x:v>1204386397</x:v>
      </x:c>
      <x:c r="D132" s="17" t="n">
        <x:f>IF('Control Room'!$B$5="Normal",'Control Room'!$B$7+'Control Room'!$D$7*SQRT(-2*LN(MAX(0.000000000001,B132/2147483647)))*COS(2*PI()*C132/2147483647),'Control Room'!$B$8+('Control Room'!$D$8-'Control Room'!$B$8)*B132/2147483647)</x:f>
        <x:v>874.1713019693561</x:v>
      </x:c>
      <x:c r="E132" s="17" t="n">
        <x:f>IF('Control Room'!$B$5="Normal",'Control Room'!$B$7,('Control Room'!$B$8+'Control Room'!$D$8)/2)+'Control Room'!$B$9*(E131-IF('Control Room'!$B$5="Normal",'Control Room'!$B$7,('Control Room'!$B$8+'Control Room'!$D$8)/2))+SQRT(1-'Control Room'!$B$9^2)*(D132-IF('Control Room'!$B$5="Normal",'Control Room'!$B$7,('Control Room'!$B$8+'Control Room'!$D$8)/2))</x:f>
        <x:v>854.2228401591412</x:v>
      </x:c>
      <x:c r="F132" s="17" t="n">
        <x:f>IF(AND($A132&gt;='Control Room'!$A$13,$A132&lt;'Control Room'!$A$13+'Control Room'!$B$13,'Process'!BK2=1),1+('Control Room'!$C$13-1)*EXP(-0.5*(($A132-'Control Room'!$A$13-('Control Room'!$B$13-1)/2)/MAX(0.5,'Control Room'!$B$13/4))^2),1)*IF(AND($A132&gt;='Control Room'!$A$14,$A132&lt;'Control Room'!$A$14+'Control Room'!$B$14,'Process'!BK3=1),1+('Control Room'!$C$14-1)*EXP(-0.5*(($A132-'Control Room'!$A$14-('Control Room'!$B$14-1)/2)/MAX(0.5,'Control Room'!$B$14/4))^2),1)*IF(AND($A132&gt;='Control Room'!$A$15,$A132&lt;'Control Room'!$A$15+'Control Room'!$B$15,'Process'!BK4=1),1+('Control Room'!$C$15-1)*EXP(-0.5*(($A132-'Control Room'!$A$15-('Control Room'!$B$15-1)/2)/MAX(0.5,'Control Room'!$B$15/4))^2),1)*IF(AND($A132&gt;='Control Room'!$A$16,$A132&lt;'Control Room'!$A$16+'Control Room'!$B$16,'Process'!BK5=1),1+('Control Room'!$C$16-1)*EXP(-0.5*(($A132-'Control Room'!$A$16-('Control Room'!$B$16-1)/2)/MAX(0.5,'Control Room'!$B$16/4))^2),1)</x:f>
        <x:v>1</x:v>
      </x:c>
      <x:c r="G132" s="9" t="n">
        <x:f>MOD(H131*16807,2147483647)</x:f>
        <x:v>1863995354</x:v>
      </x:c>
      <x:c r="H132" s="9" t="n">
        <x:f>MOD(G132*16807,2147483647)</x:f>
        <x:v>678472242</x:v>
      </x:c>
      <x:c r="I132" s="17" t="n">
        <x:f>IF('Control Room'!$B$5="Normal",'Control Room'!$B$7+'Control Room'!$D$7*SQRT(-2*LN(MAX(0.000000000001,G132/2147483647)))*COS(2*PI()*H132/2147483647),'Control Room'!$B$8+('Control Room'!$D$8-'Control Room'!$B$8)*G132/2147483647)</x:f>
        <x:v>980.7215831349018</x:v>
      </x:c>
      <x:c r="J132" s="17" t="n">
        <x:f>IF('Control Room'!$B$5="Normal",'Control Room'!$B$7,('Control Room'!$B$8+'Control Room'!$D$8)/2)+'Control Room'!$B$9*(J131-IF('Control Room'!$B$5="Normal",'Control Room'!$B$7,('Control Room'!$B$8+'Control Room'!$D$8)/2))+SQRT(1-'Control Room'!$B$9^2)*(I132-IF('Control Room'!$B$5="Normal",'Control Room'!$B$7,('Control Room'!$B$8+'Control Room'!$D$8)/2))</x:f>
        <x:v>1036.100608147682</x:v>
      </x:c>
      <x:c r="K132" s="17" t="n">
        <x:f>IF(AND($A132&gt;='Control Room'!$A$13,$A132&lt;'Control Room'!$A$13+'Control Room'!$B$13,'Process'!BL2=1),1+('Control Room'!$C$13-1)*EXP(-0.5*(($A132-'Control Room'!$A$13-('Control Room'!$B$13-1)/2)/MAX(0.5,'Control Room'!$B$13/4))^2),1)*IF(AND($A132&gt;='Control Room'!$A$14,$A132&lt;'Control Room'!$A$14+'Control Room'!$B$14,'Process'!BL3=1),1+('Control Room'!$C$14-1)*EXP(-0.5*(($A132-'Control Room'!$A$14-('Control Room'!$B$14-1)/2)/MAX(0.5,'Control Room'!$B$14/4))^2),1)*IF(AND($A132&gt;='Control Room'!$A$15,$A132&lt;'Control Room'!$A$15+'Control Room'!$B$15,'Process'!BL4=1),1+('Control Room'!$C$15-1)*EXP(-0.5*(($A132-'Control Room'!$A$15-('Control Room'!$B$15-1)/2)/MAX(0.5,'Control Room'!$B$15/4))^2),1)*IF(AND($A132&gt;='Control Room'!$A$16,$A132&lt;'Control Room'!$A$16+'Control Room'!$B$16,'Process'!BL5=1),1+('Control Room'!$C$16-1)*EXP(-0.5*(($A132-'Control Room'!$A$16-('Control Room'!$B$16-1)/2)/MAX(0.5,'Control Room'!$B$16/4))^2),1)</x:f>
        <x:v>1</x:v>
      </x:c>
      <x:c r="L132" s="9" t="n">
        <x:f>MOD(M131*16807,2147483647)</x:f>
        <x:v>890460290</x:v>
      </x:c>
      <x:c r="M132" s="9" t="n">
        <x:f>MOD(L132*16807,2147483647)</x:f>
        <x:v>152558087</x:v>
      </x:c>
      <x:c r="N132" s="17" t="n">
        <x:f>IF('Control Room'!$B$5="Normal",'Control Room'!$B$7+'Control Room'!$D$7*SQRT(-2*LN(MAX(0.000000000001,L132/2147483647)))*COS(2*PI()*M132/2147483647),'Control Room'!$B$8+('Control Room'!$D$8-'Control Room'!$B$8)*L132/2147483647)</x:f>
        <x:v>1107.7195404249183</x:v>
      </x:c>
      <x:c r="O132" s="17" t="n">
        <x:f>IF('Control Room'!$B$5="Normal",'Control Room'!$B$7,('Control Room'!$B$8+'Control Room'!$D$8)/2)+'Control Room'!$B$9*(O131-IF('Control Room'!$B$5="Normal",'Control Room'!$B$7,('Control Room'!$B$8+'Control Room'!$D$8)/2))+SQRT(1-'Control Room'!$B$9^2)*(N132-IF('Control Room'!$B$5="Normal",'Control Room'!$B$7,('Control Room'!$B$8+'Control Room'!$D$8)/2))</x:f>
        <x:v>1012.5409295340683</x:v>
      </x:c>
      <x:c r="P132" s="17" t="n">
        <x:f>IF(AND($A132&gt;='Control Room'!$A$13,$A132&lt;'Control Room'!$A$13+'Control Room'!$B$13,'Process'!BM2=1),1+('Control Room'!$C$13-1)*EXP(-0.5*(($A132-'Control Room'!$A$13-('Control Room'!$B$13-1)/2)/MAX(0.5,'Control Room'!$B$13/4))^2),1)*IF(AND($A132&gt;='Control Room'!$A$14,$A132&lt;'Control Room'!$A$14+'Control Room'!$B$14,'Process'!BM3=1),1+('Control Room'!$C$14-1)*EXP(-0.5*(($A132-'Control Room'!$A$14-('Control Room'!$B$14-1)/2)/MAX(0.5,'Control Room'!$B$14/4))^2),1)*IF(AND($A132&gt;='Control Room'!$A$15,$A132&lt;'Control Room'!$A$15+'Control Room'!$B$15,'Process'!BM4=1),1+('Control Room'!$C$15-1)*EXP(-0.5*(($A132-'Control Room'!$A$15-('Control Room'!$B$15-1)/2)/MAX(0.5,'Control Room'!$B$15/4))^2),1)*IF(AND($A132&gt;='Control Room'!$A$16,$A132&lt;'Control Room'!$A$16+'Control Room'!$B$16,'Process'!BM5=1),1+('Control Room'!$C$16-1)*EXP(-0.5*(($A132-'Control Room'!$A$16-('Control Room'!$B$16-1)/2)/MAX(0.5,'Control Room'!$B$16/4))^2),1)</x:f>
        <x:v>1</x:v>
      </x:c>
      <x:c r="Q132" s="9" t="n">
        <x:f>MOD(R131*16807,2147483647)</x:f>
        <x:v>2064408873</x:v>
      </x:c>
      <x:c r="R132" s="9" t="n">
        <x:f>MOD(Q132*16807,2147483647)</x:f>
        <x:v>1774127579</x:v>
      </x:c>
      <x:c r="S132" s="17" t="n">
        <x:f>IF('Control Room'!$B$5="Normal",'Control Room'!$B$7+'Control Room'!$D$7*SQRT(-2*LN(MAX(0.000000000001,Q132/2147483647)))*COS(2*PI()*R132/2147483647),'Control Room'!$B$8+('Control Room'!$D$8-'Control Room'!$B$8)*Q132/2147483647)</x:f>
        <x:v>1011.6388051263299</x:v>
      </x:c>
      <x:c r="T132" s="17" t="n">
        <x:f>IF('Control Room'!$B$5="Normal",'Control Room'!$B$7,('Control Room'!$B$8+'Control Room'!$D$8)/2)+'Control Room'!$B$9*(T131-IF('Control Room'!$B$5="Normal",'Control Room'!$B$7,('Control Room'!$B$8+'Control Room'!$D$8)/2))+SQRT(1-'Control Room'!$B$9^2)*(S132-IF('Control Room'!$B$5="Normal",'Control Room'!$B$7,('Control Room'!$B$8+'Control Room'!$D$8)/2))</x:f>
        <x:v>1064.9295709677024</x:v>
      </x:c>
      <x:c r="U132" s="17" t="n">
        <x:f>IF(AND($A132&gt;='Control Room'!$A$13,$A132&lt;'Control Room'!$A$13+'Control Room'!$B$13,'Process'!BN2=1),1+('Control Room'!$C$13-1)*EXP(-0.5*(($A132-'Control Room'!$A$13-('Control Room'!$B$13-1)/2)/MAX(0.5,'Control Room'!$B$13/4))^2),1)*IF(AND($A132&gt;='Control Room'!$A$14,$A132&lt;'Control Room'!$A$14+'Control Room'!$B$14,'Process'!BN3=1),1+('Control Room'!$C$14-1)*EXP(-0.5*(($A132-'Control Room'!$A$14-('Control Room'!$B$14-1)/2)/MAX(0.5,'Control Room'!$B$14/4))^2),1)*IF(AND($A132&gt;='Control Room'!$A$15,$A132&lt;'Control Room'!$A$15+'Control Room'!$B$15,'Process'!BN4=1),1+('Control Room'!$C$15-1)*EXP(-0.5*(($A132-'Control Room'!$A$15-('Control Room'!$B$15-1)/2)/MAX(0.5,'Control Room'!$B$15/4))^2),1)*IF(AND($A132&gt;='Control Room'!$A$16,$A132&lt;'Control Room'!$A$16+'Control Room'!$B$16,'Process'!BN5=1),1+('Control Room'!$C$16-1)*EXP(-0.5*(($A132-'Control Room'!$A$16-('Control Room'!$B$16-1)/2)/MAX(0.5,'Control Room'!$B$16/4))^2),1)</x:f>
        <x:v>1</x:v>
      </x:c>
      <x:c r="V132" s="9" t="n">
        <x:f>MOD(W131*16807,2147483647)</x:f>
        <x:v>1090873809</x:v>
      </x:c>
      <x:c r="W132" s="9" t="n">
        <x:f>MOD(V132*16807,2147483647)</x:f>
        <x:v>1248213424</x:v>
      </x:c>
      <x:c r="X132" s="17" t="n">
        <x:f>IF('Control Room'!$B$5="Normal",'Control Room'!$B$7+'Control Room'!$D$7*SQRT(-2*LN(MAX(0.000000000001,V132/2147483647)))*COS(2*PI()*W132/2147483647),'Control Room'!$B$8+('Control Room'!$D$8-'Control Room'!$B$8)*V132/2147483647)</x:f>
        <x:v>908.6043931954041</x:v>
      </x:c>
      <x:c r="Y132" s="17" t="n">
        <x:f>IF('Control Room'!$B$5="Normal",'Control Room'!$B$7,('Control Room'!$B$8+'Control Room'!$D$8)/2)+'Control Room'!$B$9*(Y131-IF('Control Room'!$B$5="Normal",'Control Room'!$B$7,('Control Room'!$B$8+'Control Room'!$D$8)/2))+SQRT(1-'Control Room'!$B$9^2)*(X132-IF('Control Room'!$B$5="Normal",'Control Room'!$B$7,('Control Room'!$B$8+'Control Room'!$D$8)/2))</x:f>
        <x:v>840.5280707837815</x:v>
      </x:c>
      <x:c r="Z132" s="17" t="n">
        <x:f>IF(AND($A132&gt;='Control Room'!$A$13,$A132&lt;'Control Room'!$A$13+'Control Room'!$B$13,'Process'!BO2=1),1+('Control Room'!$C$13-1)*EXP(-0.5*(($A132-'Control Room'!$A$13-('Control Room'!$B$13-1)/2)/MAX(0.5,'Control Room'!$B$13/4))^2),1)*IF(AND($A132&gt;='Control Room'!$A$14,$A132&lt;'Control Room'!$A$14+'Control Room'!$B$14,'Process'!BO3=1),1+('Control Room'!$C$14-1)*EXP(-0.5*(($A132-'Control Room'!$A$14-('Control Room'!$B$14-1)/2)/MAX(0.5,'Control Room'!$B$14/4))^2),1)*IF(AND($A132&gt;='Control Room'!$A$15,$A132&lt;'Control Room'!$A$15+'Control Room'!$B$15,'Process'!BO4=1),1+('Control Room'!$C$15-1)*EXP(-0.5*(($A132-'Control Room'!$A$15-('Control Room'!$B$15-1)/2)/MAX(0.5,'Control Room'!$B$15/4))^2),1)*IF(AND($A132&gt;='Control Room'!$A$16,$A132&lt;'Control Room'!$A$16+'Control Room'!$B$16,'Process'!BO5=1),1+('Control Room'!$C$16-1)*EXP(-0.5*(($A132-'Control Room'!$A$16-('Control Room'!$B$16-1)/2)/MAX(0.5,'Control Room'!$B$16/4))^2),1)</x:f>
        <x:v>1</x:v>
      </x:c>
      <x:c r="AA132" s="9" t="n">
        <x:f>MOD(AB131*16807,2147483647)</x:f>
        <x:v>117338745</x:v>
      </x:c>
      <x:c r="AB132" s="9" t="n">
        <x:f>MOD(AA132*16807,2147483647)</x:f>
        <x:v>722299269</x:v>
      </x:c>
      <x:c r="AC132" s="17" t="n">
        <x:f>IF('Control Room'!$B$5="Normal",'Control Room'!$B$7+'Control Room'!$D$7*SQRT(-2*LN(MAX(0.000000000001,AA132/2147483647)))*COS(2*PI()*AB132/2147483647),'Control Room'!$B$8+('Control Room'!$D$8-'Control Room'!$B$8)*AA132/2147483647)</x:f>
        <x:v>887.9564161786815</x:v>
      </x:c>
      <x:c r="AD132" s="17" t="n">
        <x:f>IF('Control Room'!$B$5="Normal",'Control Room'!$B$7,('Control Room'!$B$8+'Control Room'!$D$8)/2)+'Control Room'!$B$9*(AD131-IF('Control Room'!$B$5="Normal",'Control Room'!$B$7,('Control Room'!$B$8+'Control Room'!$D$8)/2))+SQRT(1-'Control Room'!$B$9^2)*(AC132-IF('Control Room'!$B$5="Normal",'Control Room'!$B$7,('Control Room'!$B$8+'Control Room'!$D$8)/2))</x:f>
        <x:v>963.6734817305788</x:v>
      </x:c>
      <x:c r="AE132" s="17" t="n">
        <x:f>IF(AND($A132&gt;='Control Room'!$A$13,$A132&lt;'Control Room'!$A$13+'Control Room'!$B$13,'Process'!BP2=1),1+('Control Room'!$C$13-1)*EXP(-0.5*(($A132-'Control Room'!$A$13-('Control Room'!$B$13-1)/2)/MAX(0.5,'Control Room'!$B$13/4))^2),1)*IF(AND($A132&gt;='Control Room'!$A$14,$A132&lt;'Control Room'!$A$14+'Control Room'!$B$14,'Process'!BP3=1),1+('Control Room'!$C$14-1)*EXP(-0.5*(($A132-'Control Room'!$A$14-('Control Room'!$B$14-1)/2)/MAX(0.5,'Control Room'!$B$14/4))^2),1)*IF(AND($A132&gt;='Control Room'!$A$15,$A132&lt;'Control Room'!$A$15+'Control Room'!$B$15,'Process'!BP4=1),1+('Control Room'!$C$15-1)*EXP(-0.5*(($A132-'Control Room'!$A$15-('Control Room'!$B$15-1)/2)/MAX(0.5,'Control Room'!$B$15/4))^2),1)*IF(AND($A132&gt;='Control Room'!$A$16,$A132&lt;'Control Room'!$A$16+'Control Room'!$B$16,'Process'!BP5=1),1+('Control Room'!$C$16-1)*EXP(-0.5*(($A132-'Control Room'!$A$16-('Control Room'!$B$16-1)/2)/MAX(0.5,'Control Room'!$B$16/4))^2),1)</x:f>
        <x:v>1</x:v>
      </x:c>
      <x:c r="AF132" s="9" t="n">
        <x:f>MOD(AG131*16807,2147483647)</x:f>
        <x:v>1291287328</x:v>
      </x:c>
      <x:c r="AG132" s="9" t="n">
        <x:f>MOD(AF132*16807,2147483647)</x:f>
        <x:v>196385114</x:v>
      </x:c>
      <x:c r="AH132" s="17" t="n">
        <x:f>IF('Control Room'!$B$5="Normal",'Control Room'!$B$7+'Control Room'!$D$7*SQRT(-2*LN(MAX(0.000000000001,AF132/2147483647)))*COS(2*PI()*AG132/2147483647),'Control Room'!$B$8+('Control Room'!$D$8-'Control Room'!$B$8)*AF132/2147483647)</x:f>
        <x:v>1076.1985506174576</x:v>
      </x:c>
      <x:c r="AI132" s="17" t="n">
        <x:f>IF('Control Room'!$B$5="Normal",'Control Room'!$B$7,('Control Room'!$B$8+'Control Room'!$D$8)/2)+'Control Room'!$B$9*(AI131-IF('Control Room'!$B$5="Normal",'Control Room'!$B$7,('Control Room'!$B$8+'Control Room'!$D$8)/2))+SQRT(1-'Control Room'!$B$9^2)*(AH132-IF('Control Room'!$B$5="Normal",'Control Room'!$B$7,('Control Room'!$B$8+'Control Room'!$D$8)/2))</x:f>
        <x:v>1084.998396953708</x:v>
      </x:c>
      <x:c r="AJ132" s="17" t="n">
        <x:f>IF(AND($A132&gt;='Control Room'!$A$13,$A132&lt;'Control Room'!$A$13+'Control Room'!$B$13,'Process'!BQ2=1),1+('Control Room'!$C$13-1)*EXP(-0.5*(($A132-'Control Room'!$A$13-('Control Room'!$B$13-1)/2)/MAX(0.5,'Control Room'!$B$13/4))^2),1)*IF(AND($A132&gt;='Control Room'!$A$14,$A132&lt;'Control Room'!$A$14+'Control Room'!$B$14,'Process'!BQ3=1),1+('Control Room'!$C$14-1)*EXP(-0.5*(($A132-'Control Room'!$A$14-('Control Room'!$B$14-1)/2)/MAX(0.5,'Control Room'!$B$14/4))^2),1)*IF(AND($A132&gt;='Control Room'!$A$15,$A132&lt;'Control Room'!$A$15+'Control Room'!$B$15,'Process'!BQ4=1),1+('Control Room'!$C$15-1)*EXP(-0.5*(($A132-'Control Room'!$A$15-('Control Room'!$B$15-1)/2)/MAX(0.5,'Control Room'!$B$15/4))^2),1)*IF(AND($A132&gt;='Control Room'!$A$16,$A132&lt;'Control Room'!$A$16+'Control Room'!$B$16,'Process'!BQ5=1),1+('Control Room'!$C$16-1)*EXP(-0.5*(($A132-'Control Room'!$A$16-('Control Room'!$B$16-1)/2)/MAX(0.5,'Control Room'!$B$16/4))^2),1)</x:f>
        <x:v>1</x:v>
      </x:c>
      <x:c r="AK132" s="9" t="n">
        <x:f>MOD(AL131*16807,2147483647)</x:f>
        <x:v>317752264</x:v>
      </x:c>
      <x:c r="AL132" s="9" t="n">
        <x:f>MOD(AK132*16807,2147483647)</x:f>
        <x:v>1817954606</x:v>
      </x:c>
      <x:c r="AM132" s="17" t="n">
        <x:f>IF('Control Room'!$B$5="Normal",'Control Room'!$B$7+'Control Room'!$D$7*SQRT(-2*LN(MAX(0.000000000001,AK132/2147483647)))*COS(2*PI()*AL132/2147483647),'Control Room'!$B$8+('Control Room'!$D$8-'Control Room'!$B$8)*AK132/2147483647)</x:f>
        <x:v>1100.305995962146</x:v>
      </x:c>
      <x:c r="AN132" s="17" t="n">
        <x:f>IF('Control Room'!$B$5="Normal",'Control Room'!$B$7,('Control Room'!$B$8+'Control Room'!$D$8)/2)+'Control Room'!$B$9*(AN131-IF('Control Room'!$B$5="Normal",'Control Room'!$B$7,('Control Room'!$B$8+'Control Room'!$D$8)/2))+SQRT(1-'Control Room'!$B$9^2)*(AM132-IF('Control Room'!$B$5="Normal",'Control Room'!$B$7,('Control Room'!$B$8+'Control Room'!$D$8)/2))</x:f>
        <x:v>1072.0471302038582</x:v>
      </x:c>
      <x:c r="AO132" s="17" t="n">
        <x:f>IF(AND($A132&gt;='Control Room'!$A$13,$A132&lt;'Control Room'!$A$13+'Control Room'!$B$13,'Process'!BR2=1),1+('Control Room'!$C$13-1)*EXP(-0.5*(($A132-'Control Room'!$A$13-('Control Room'!$B$13-1)/2)/MAX(0.5,'Control Room'!$B$13/4))^2),1)*IF(AND($A132&gt;='Control Room'!$A$14,$A132&lt;'Control Room'!$A$14+'Control Room'!$B$14,'Process'!BR3=1),1+('Control Room'!$C$14-1)*EXP(-0.5*(($A132-'Control Room'!$A$14-('Control Room'!$B$14-1)/2)/MAX(0.5,'Control Room'!$B$14/4))^2),1)*IF(AND($A132&gt;='Control Room'!$A$15,$A132&lt;'Control Room'!$A$15+'Control Room'!$B$15,'Process'!BR4=1),1+('Control Room'!$C$15-1)*EXP(-0.5*(($A132-'Control Room'!$A$15-('Control Room'!$B$15-1)/2)/MAX(0.5,'Control Room'!$B$15/4))^2),1)*IF(AND($A132&gt;='Control Room'!$A$16,$A132&lt;'Control Room'!$A$16+'Control Room'!$B$16,'Process'!BR5=1),1+('Control Room'!$C$16-1)*EXP(-0.5*(($A132-'Control Room'!$A$16-('Control Room'!$B$16-1)/2)/MAX(0.5,'Control Room'!$B$16/4))^2),1)</x:f>
        <x:v>1</x:v>
      </x:c>
      <x:c r="AP132" s="9" t="n">
        <x:f>MOD(AQ131*16807,2147483647)</x:f>
        <x:v>1491700847</x:v>
      </x:c>
      <x:c r="AQ132" s="9" t="n">
        <x:f>MOD(AP132*16807,2147483647)</x:f>
        <x:v>1292040451</x:v>
      </x:c>
      <x:c r="AR132" s="17" t="n">
        <x:f>IF('Control Room'!$B$5="Normal",'Control Room'!$B$7+'Control Room'!$D$7*SQRT(-2*LN(MAX(0.000000000001,AP132/2147483647)))*COS(2*PI()*AQ132/2147483647),'Control Room'!$B$8+('Control Room'!$D$8-'Control Room'!$B$8)*AP132/2147483647)</x:f>
        <x:v>938.3151221478151</x:v>
      </x:c>
      <x:c r="AS132" s="17" t="n">
        <x:f>IF('Control Room'!$B$5="Normal",'Control Room'!$B$7,('Control Room'!$B$8+'Control Room'!$D$8)/2)+'Control Room'!$B$9*(AS131-IF('Control Room'!$B$5="Normal",'Control Room'!$B$7,('Control Room'!$B$8+'Control Room'!$D$8)/2))+SQRT(1-'Control Room'!$B$9^2)*(AR132-IF('Control Room'!$B$5="Normal",'Control Room'!$B$7,('Control Room'!$B$8+'Control Room'!$D$8)/2))</x:f>
        <x:v>978.0848469158725</x:v>
      </x:c>
      <x:c r="AT132" s="17" t="n">
        <x:f>IF(AND($A132&gt;='Control Room'!$A$13,$A132&lt;'Control Room'!$A$13+'Control Room'!$B$13,'Process'!BS2=1),1+('Control Room'!$C$13-1)*EXP(-0.5*(($A132-'Control Room'!$A$13-('Control Room'!$B$13-1)/2)/MAX(0.5,'Control Room'!$B$13/4))^2),1)*IF(AND($A132&gt;='Control Room'!$A$14,$A132&lt;'Control Room'!$A$14+'Control Room'!$B$14,'Process'!BS3=1),1+('Control Room'!$C$14-1)*EXP(-0.5*(($A132-'Control Room'!$A$14-('Control Room'!$B$14-1)/2)/MAX(0.5,'Control Room'!$B$14/4))^2),1)*IF(AND($A132&gt;='Control Room'!$A$15,$A132&lt;'Control Room'!$A$15+'Control Room'!$B$15,'Process'!BS4=1),1+('Control Room'!$C$15-1)*EXP(-0.5*(($A132-'Control Room'!$A$15-('Control Room'!$B$15-1)/2)/MAX(0.5,'Control Room'!$B$15/4))^2),1)*IF(AND($A132&gt;='Control Room'!$A$16,$A132&lt;'Control Room'!$A$16+'Control Room'!$B$16,'Process'!BS5=1),1+('Control Room'!$C$16-1)*EXP(-0.5*(($A132-'Control Room'!$A$16-('Control Room'!$B$16-1)/2)/MAX(0.5,'Control Room'!$B$16/4))^2),1)</x:f>
        <x:v>1</x:v>
      </x:c>
      <x:c r="AU132" s="9" t="n">
        <x:f>MOD(AV131*16807,2147483647)</x:f>
        <x:v>518165783</x:v>
      </x:c>
      <x:c r="AV132" s="9" t="n">
        <x:f>MOD(AU132*16807,2147483647)</x:f>
        <x:v>766126296</x:v>
      </x:c>
      <x:c r="AW132" s="17" t="n">
        <x:f>IF('Control Room'!$B$5="Normal",'Control Room'!$B$7+'Control Room'!$D$7*SQRT(-2*LN(MAX(0.000000000001,AU132/2147483647)))*COS(2*PI()*AV132/2147483647),'Control Room'!$B$8+('Control Room'!$D$8-'Control Room'!$B$8)*AU132/2147483647)</x:f>
        <x:v>905.6655601985093</x:v>
      </x:c>
      <x:c r="AX132" s="17" t="n">
        <x:f>IF('Control Room'!$B$5="Normal",'Control Room'!$B$7,('Control Room'!$B$8+'Control Room'!$D$8)/2)+'Control Room'!$B$9*(AX131-IF('Control Room'!$B$5="Normal",'Control Room'!$B$7,('Control Room'!$B$8+'Control Room'!$D$8)/2))+SQRT(1-'Control Room'!$B$9^2)*(AW132-IF('Control Room'!$B$5="Normal",'Control Room'!$B$7,('Control Room'!$B$8+'Control Room'!$D$8)/2))</x:f>
        <x:v>832.128744714793</x:v>
      </x:c>
      <x:c r="AY132" s="17" t="n">
        <x:f>IF(AND($A132&gt;='Control Room'!$A$13,$A132&lt;'Control Room'!$A$13+'Control Room'!$B$13,'Process'!BT2=1),1+('Control Room'!$C$13-1)*EXP(-0.5*(($A132-'Control Room'!$A$13-('Control Room'!$B$13-1)/2)/MAX(0.5,'Control Room'!$B$13/4))^2),1)*IF(AND($A132&gt;='Control Room'!$A$14,$A132&lt;'Control Room'!$A$14+'Control Room'!$B$14,'Process'!BT3=1),1+('Control Room'!$C$14-1)*EXP(-0.5*(($A132-'Control Room'!$A$14-('Control Room'!$B$14-1)/2)/MAX(0.5,'Control Room'!$B$14/4))^2),1)*IF(AND($A132&gt;='Control Room'!$A$15,$A132&lt;'Control Room'!$A$15+'Control Room'!$B$15,'Process'!BT4=1),1+('Control Room'!$C$15-1)*EXP(-0.5*(($A132-'Control Room'!$A$15-('Control Room'!$B$15-1)/2)/MAX(0.5,'Control Room'!$B$15/4))^2),1)*IF(AND($A132&gt;='Control Room'!$A$16,$A132&lt;'Control Room'!$A$16+'Control Room'!$B$16,'Process'!BT5=1),1+('Control Room'!$C$16-1)*EXP(-0.5*(($A132-'Control Room'!$A$16-('Control Room'!$B$16-1)/2)/MAX(0.5,'Control Room'!$B$16/4))^2),1)</x:f>
        <x:v>1</x:v>
      </x:c>
      <x:c r="AZ132" s="9" t="n">
        <x:f>MOD(BA131*16807,2147483647)</x:f>
        <x:v>1692114366</x:v>
      </x:c>
      <x:c r="BA132" s="9" t="n">
        <x:f>MOD(AZ132*16807,2147483647)</x:f>
        <x:v>240212141</x:v>
      </x:c>
      <x:c r="BB132" s="17" t="n">
        <x:f>IF('Control Room'!$B$5="Normal",'Control Room'!$B$7+'Control Room'!$D$7*SQRT(-2*LN(MAX(0.000000000001,AZ132/2147483647)))*COS(2*PI()*BA132/2147483647),'Control Room'!$B$8+('Control Room'!$D$8-'Control Room'!$B$8)*AZ132/2147483647)</x:f>
        <x:v>1047.4102955257447</x:v>
      </x:c>
      <x:c r="BC132" s="17" t="n">
        <x:f>IF('Control Room'!$B$5="Normal",'Control Room'!$B$7,('Control Room'!$B$8+'Control Room'!$D$8)/2)+'Control Room'!$B$9*(BC131-IF('Control Room'!$B$5="Normal",'Control Room'!$B$7,('Control Room'!$B$8+'Control Room'!$D$8)/2))+SQRT(1-'Control Room'!$B$9^2)*(BB132-IF('Control Room'!$B$5="Normal",'Control Room'!$B$7,('Control Room'!$B$8+'Control Room'!$D$8)/2))</x:f>
        <x:v>1038.4896860330819</x:v>
      </x:c>
      <x:c r="BD132" s="17" t="n">
        <x:f>IF(AND($A132&gt;='Control Room'!$A$13,$A132&lt;'Control Room'!$A$13+'Control Room'!$B$13,'Process'!BU2=1),1+('Control Room'!$C$13-1)*EXP(-0.5*(($A132-'Control Room'!$A$13-('Control Room'!$B$13-1)/2)/MAX(0.5,'Control Room'!$B$13/4))^2),1)*IF(AND($A132&gt;='Control Room'!$A$14,$A132&lt;'Control Room'!$A$14+'Control Room'!$B$14,'Process'!BU3=1),1+('Control Room'!$C$14-1)*EXP(-0.5*(($A132-'Control Room'!$A$14-('Control Room'!$B$14-1)/2)/MAX(0.5,'Control Room'!$B$14/4))^2),1)*IF(AND($A132&gt;='Control Room'!$A$15,$A132&lt;'Control Room'!$A$15+'Control Room'!$B$15,'Process'!BU4=1),1+('Control Room'!$C$15-1)*EXP(-0.5*(($A132-'Control Room'!$A$15-('Control Room'!$B$15-1)/2)/MAX(0.5,'Control Room'!$B$15/4))^2),1)*IF(AND($A132&gt;='Control Room'!$A$16,$A132&lt;'Control Room'!$A$16+'Control Room'!$B$16,'Process'!BU5=1),1+('Control Room'!$C$16-1)*EXP(-0.5*(($A132-'Control Room'!$A$16-('Control Room'!$B$16-1)/2)/MAX(0.5,'Control Room'!$B$16/4))^2),1)</x:f>
        <x:v>1</x:v>
      </x:c>
      <x:c r="BE132" s="9" t="n">
        <x:f>MOD(BF131*16807,2147483647)</x:f>
        <x:v>718579302</x:v>
      </x:c>
      <x:c r="BF132" s="9" t="n">
        <x:f>MOD(BE132*16807,2147483647)</x:f>
        <x:v>1861781633</x:v>
      </x:c>
      <x:c r="BG132" s="17" t="n">
        <x:f>IF('Control Room'!$B$5="Normal",'Control Room'!$B$7+'Control Room'!$D$7*SQRT(-2*LN(MAX(0.000000000001,BE132/2147483647)))*COS(2*PI()*BF132/2147483647),'Control Room'!$B$8+('Control Room'!$D$8-'Control Room'!$B$8)*BE132/2147483647)</x:f>
        <x:v>1089.2929655758865</x:v>
      </x:c>
      <x:c r="BH132" s="17" t="n">
        <x:f>IF('Control Room'!$B$5="Normal",'Control Room'!$B$7,('Control Room'!$B$8+'Control Room'!$D$8)/2)+'Control Room'!$B$9*(BH131-IF('Control Room'!$B$5="Normal",'Control Room'!$B$7,('Control Room'!$B$8+'Control Room'!$D$8)/2))+SQRT(1-'Control Room'!$B$9^2)*(BG132-IF('Control Room'!$B$5="Normal",'Control Room'!$B$7,('Control Room'!$B$8+'Control Room'!$D$8)/2))</x:f>
        <x:v>1135.8636065652852</x:v>
      </x:c>
      <x:c r="BI132" s="17" t="n">
        <x:f>IF(AND($A132&gt;='Control Room'!$A$13,$A132&lt;'Control Room'!$A$13+'Control Room'!$B$13,'Process'!BV2=1),1+('Control Room'!$C$13-1)*EXP(-0.5*(($A132-'Control Room'!$A$13-('Control Room'!$B$13-1)/2)/MAX(0.5,'Control Room'!$B$13/4))^2),1)*IF(AND($A132&gt;='Control Room'!$A$14,$A132&lt;'Control Room'!$A$14+'Control Room'!$B$14,'Process'!BV3=1),1+('Control Room'!$C$14-1)*EXP(-0.5*(($A132-'Control Room'!$A$14-('Control Room'!$B$14-1)/2)/MAX(0.5,'Control Room'!$B$14/4))^2),1)*IF(AND($A132&gt;='Control Room'!$A$15,$A132&lt;'Control Room'!$A$15+'Control Room'!$B$15,'Process'!BV4=1),1+('Control Room'!$C$15-1)*EXP(-0.5*(($A132-'Control Room'!$A$15-('Control Room'!$B$15-1)/2)/MAX(0.5,'Control Room'!$B$15/4))^2),1)*IF(AND($A132&gt;='Control Room'!$A$16,$A132&lt;'Control Room'!$A$16+'Control Room'!$B$16,'Process'!BV5=1),1+('Control Room'!$C$16-1)*EXP(-0.5*(($A132-'Control Room'!$A$16-('Control Room'!$B$16-1)/2)/MAX(0.5,'Control Room'!$B$16/4))^2),1)</x:f>
        <x:v>1</x:v>
      </x:c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Z132" t="str">
        <x:f>IF('Data'!A132="","",TEXT('Data'!A132,"mm-dd"))</x:f>
      </x:c>
    </x:row>
    <x:row r="133" ht="21" customHeight="1">
      <x:c r="A133" s="15" t="n">
        <x:f>'Control Room'!$B$1+131</x:f>
        <x:v>73122</x:v>
      </x:c>
      <x:c r="B133" s="9" t="n">
        <x:f>MOD(C132*16807,2147483647)</x:f>
        <x:v>2088801404</x:v>
      </x:c>
      <x:c r="C133" s="9" t="n">
        <x:f>MOD(B133*16807,2147483647)</x:f>
        <x:v>1570019519</x:v>
      </x:c>
      <x:c r="D133" s="17" t="n">
        <x:f>IF('Control Room'!$B$5="Normal",'Control Room'!$B$7+'Control Room'!$D$7*SQRT(-2*LN(MAX(0.000000000001,B133/2147483647)))*COS(2*PI()*C133/2147483647),'Control Room'!$B$8+('Control Room'!$D$8-'Control Room'!$B$8)*B133/2147483647)</x:f>
        <x:v>997.4896798515605</x:v>
      </x:c>
      <x:c r="E133" s="17" t="n">
        <x:f>IF('Control Room'!$B$5="Normal",'Control Room'!$B$7,('Control Room'!$B$8+'Control Room'!$D$8)/2)+'Control Room'!$B$9*(E132-IF('Control Room'!$B$5="Normal",'Control Room'!$B$7,('Control Room'!$B$8+'Control Room'!$D$8)/2))+SQRT(1-'Control Room'!$B$9^2)*(D133-IF('Control Room'!$B$5="Normal",'Control Room'!$B$7,('Control Room'!$B$8+'Control Room'!$D$8)/2))</x:f>
        <x:v>884.7229084019402</x:v>
      </x:c>
      <x:c r="F133" s="17" t="n">
        <x:f>IF(AND($A133&gt;='Control Room'!$A$13,$A133&lt;'Control Room'!$A$13+'Control Room'!$B$13,'Process'!BK2=1),1+('Control Room'!$C$13-1)*EXP(-0.5*(($A133-'Control Room'!$A$13-('Control Room'!$B$13-1)/2)/MAX(0.5,'Control Room'!$B$13/4))^2),1)*IF(AND($A133&gt;='Control Room'!$A$14,$A133&lt;'Control Room'!$A$14+'Control Room'!$B$14,'Process'!BK3=1),1+('Control Room'!$C$14-1)*EXP(-0.5*(($A133-'Control Room'!$A$14-('Control Room'!$B$14-1)/2)/MAX(0.5,'Control Room'!$B$14/4))^2),1)*IF(AND($A133&gt;='Control Room'!$A$15,$A133&lt;'Control Room'!$A$15+'Control Room'!$B$15,'Process'!BK4=1),1+('Control Room'!$C$15-1)*EXP(-0.5*(($A133-'Control Room'!$A$15-('Control Room'!$B$15-1)/2)/MAX(0.5,'Control Room'!$B$15/4))^2),1)*IF(AND($A133&gt;='Control Room'!$A$16,$A133&lt;'Control Room'!$A$16+'Control Room'!$B$16,'Process'!BK5=1),1+('Control Room'!$C$16-1)*EXP(-0.5*(($A133-'Control Room'!$A$16-('Control Room'!$B$16-1)/2)/MAX(0.5,'Control Room'!$B$16/4))^2),1)</x:f>
        <x:v>1</x:v>
      </x:c>
      <x:c r="G133" s="9" t="n">
        <x:f>MOD(H132*16807,2147483647)</x:f>
        <x:v>2092289371</x:v>
      </x:c>
      <x:c r="H133" s="9" t="n">
        <x:f>MOD(G133*16807,2147483647)</x:f>
        <x:v>62738772</x:v>
      </x:c>
      <x:c r="I133" s="17" t="n">
        <x:f>IF('Control Room'!$B$5="Normal",'Control Room'!$B$7+'Control Room'!$D$7*SQRT(-2*LN(MAX(0.000000000001,G133/2147483647)))*COS(2*PI()*H133/2147483647),'Control Room'!$B$8+('Control Room'!$D$8-'Control Room'!$B$8)*G133/2147483647)</x:f>
        <x:v>1020.1930601516772</x:v>
      </x:c>
      <x:c r="J133" s="17" t="n">
        <x:f>IF('Control Room'!$B$5="Normal",'Control Room'!$B$7,('Control Room'!$B$8+'Control Room'!$D$8)/2)+'Control Room'!$B$9*(J132-IF('Control Room'!$B$5="Normal",'Control Room'!$B$7,('Control Room'!$B$8+'Control Room'!$D$8)/2))+SQRT(1-'Control Room'!$B$9^2)*(I133-IF('Control Room'!$B$5="Normal",'Control Room'!$B$7,('Control Room'!$B$8+'Control Room'!$D$8)/2))</x:f>
        <x:v>1040.794877720789</x:v>
      </x:c>
      <x:c r="K133" s="17" t="n">
        <x:f>IF(AND($A133&gt;='Control Room'!$A$13,$A133&lt;'Control Room'!$A$13+'Control Room'!$B$13,'Process'!BL2=1),1+('Control Room'!$C$13-1)*EXP(-0.5*(($A133-'Control Room'!$A$13-('Control Room'!$B$13-1)/2)/MAX(0.5,'Control Room'!$B$13/4))^2),1)*IF(AND($A133&gt;='Control Room'!$A$14,$A133&lt;'Control Room'!$A$14+'Control Room'!$B$14,'Process'!BL3=1),1+('Control Room'!$C$14-1)*EXP(-0.5*(($A133-'Control Room'!$A$14-('Control Room'!$B$14-1)/2)/MAX(0.5,'Control Room'!$B$14/4))^2),1)*IF(AND($A133&gt;='Control Room'!$A$15,$A133&lt;'Control Room'!$A$15+'Control Room'!$B$15,'Process'!BL4=1),1+('Control Room'!$C$15-1)*EXP(-0.5*(($A133-'Control Room'!$A$15-('Control Room'!$B$15-1)/2)/MAX(0.5,'Control Room'!$B$15/4))^2),1)*IF(AND($A133&gt;='Control Room'!$A$16,$A133&lt;'Control Room'!$A$16+'Control Room'!$B$16,'Process'!BL5=1),1+('Control Room'!$C$16-1)*EXP(-0.5*(($A133-'Control Room'!$A$16-('Control Room'!$B$16-1)/2)/MAX(0.5,'Control Room'!$B$16/4))^2),1)</x:f>
        <x:v>1</x:v>
      </x:c>
      <x:c r="L133" s="9" t="n">
        <x:f>MOD(M132*16807,2147483647)</x:f>
        <x:v>2095777338</x:v>
      </x:c>
      <x:c r="M133" s="9" t="n">
        <x:f>MOD(L133*16807,2147483647)</x:f>
        <x:v>702941672</x:v>
      </x:c>
      <x:c r="N133" s="17" t="n">
        <x:f>IF('Control Room'!$B$5="Normal",'Control Room'!$B$7+'Control Room'!$D$7*SQRT(-2*LN(MAX(0.000000000001,L133/2147483647)))*COS(2*PI()*M133/2147483647),'Control Room'!$B$8+('Control Room'!$D$8-'Control Room'!$B$8)*L133/2147483647)</x:f>
        <x:v>990.7205405682797</x:v>
      </x:c>
      <x:c r="O133" s="17" t="n">
        <x:f>IF('Control Room'!$B$5="Normal",'Control Room'!$B$7,('Control Room'!$B$8+'Control Room'!$D$8)/2)+'Control Room'!$B$9*(O132-IF('Control Room'!$B$5="Normal",'Control Room'!$B$7,('Control Room'!$B$8+'Control Room'!$D$8)/2))+SQRT(1-'Control Room'!$B$9^2)*(N133-IF('Control Room'!$B$5="Normal",'Control Room'!$B$7,('Control Room'!$B$8+'Control Room'!$D$8)/2))</x:f>
        <x:v>1003.9750294242621</x:v>
      </x:c>
      <x:c r="P133" s="17" t="n">
        <x:f>IF(AND($A133&gt;='Control Room'!$A$13,$A133&lt;'Control Room'!$A$13+'Control Room'!$B$13,'Process'!BM2=1),1+('Control Room'!$C$13-1)*EXP(-0.5*(($A133-'Control Room'!$A$13-('Control Room'!$B$13-1)/2)/MAX(0.5,'Control Room'!$B$13/4))^2),1)*IF(AND($A133&gt;='Control Room'!$A$14,$A133&lt;'Control Room'!$A$14+'Control Room'!$B$14,'Process'!BM3=1),1+('Control Room'!$C$14-1)*EXP(-0.5*(($A133-'Control Room'!$A$14-('Control Room'!$B$14-1)/2)/MAX(0.5,'Control Room'!$B$14/4))^2),1)*IF(AND($A133&gt;='Control Room'!$A$15,$A133&lt;'Control Room'!$A$15+'Control Room'!$B$15,'Process'!BM4=1),1+('Control Room'!$C$15-1)*EXP(-0.5*(($A133-'Control Room'!$A$15-('Control Room'!$B$15-1)/2)/MAX(0.5,'Control Room'!$B$15/4))^2),1)*IF(AND($A133&gt;='Control Room'!$A$16,$A133&lt;'Control Room'!$A$16+'Control Room'!$B$16,'Process'!BM5=1),1+('Control Room'!$C$16-1)*EXP(-0.5*(($A133-'Control Room'!$A$16-('Control Room'!$B$16-1)/2)/MAX(0.5,'Control Room'!$B$16/4))^2),1)</x:f>
        <x:v>1</x:v>
      </x:c>
      <x:c r="Q133" s="9" t="n">
        <x:f>MOD(R132*16807,2147483647)</x:f>
        <x:v>2099265305</x:v>
      </x:c>
      <x:c r="R133" s="9" t="n">
        <x:f>MOD(Q133*16807,2147483647)</x:f>
        <x:v>1343144572</x:v>
      </x:c>
      <x:c r="S133" s="17" t="n">
        <x:f>IF('Control Room'!$B$5="Normal",'Control Room'!$B$7+'Control Room'!$D$7*SQRT(-2*LN(MAX(0.000000000001,Q133/2147483647)))*COS(2*PI()*R133/2147483647),'Control Room'!$B$8+('Control Room'!$D$8-'Control Room'!$B$8)*Q133/2147483647)</x:f>
        <x:v>986.4757845029778</x:v>
      </x:c>
      <x:c r="T133" s="17" t="n">
        <x:f>IF('Control Room'!$B$5="Normal",'Control Room'!$B$7,('Control Room'!$B$8+'Control Room'!$D$8)/2)+'Control Room'!$B$9*(T132-IF('Control Room'!$B$5="Normal",'Control Room'!$B$7,('Control Room'!$B$8+'Control Room'!$D$8)/2))+SQRT(1-'Control Room'!$B$9^2)*(S133-IF('Control Room'!$B$5="Normal",'Control Room'!$B$7,('Control Room'!$B$8+'Control Room'!$D$8)/2))</x:f>
        <x:v>1042.1818883553854</x:v>
      </x:c>
      <x:c r="U133" s="17" t="n">
        <x:f>IF(AND($A133&gt;='Control Room'!$A$13,$A133&lt;'Control Room'!$A$13+'Control Room'!$B$13,'Process'!BN2=1),1+('Control Room'!$C$13-1)*EXP(-0.5*(($A133-'Control Room'!$A$13-('Control Room'!$B$13-1)/2)/MAX(0.5,'Control Room'!$B$13/4))^2),1)*IF(AND($A133&gt;='Control Room'!$A$14,$A133&lt;'Control Room'!$A$14+'Control Room'!$B$14,'Process'!BN3=1),1+('Control Room'!$C$14-1)*EXP(-0.5*(($A133-'Control Room'!$A$14-('Control Room'!$B$14-1)/2)/MAX(0.5,'Control Room'!$B$14/4))^2),1)*IF(AND($A133&gt;='Control Room'!$A$15,$A133&lt;'Control Room'!$A$15+'Control Room'!$B$15,'Process'!BN4=1),1+('Control Room'!$C$15-1)*EXP(-0.5*(($A133-'Control Room'!$A$15-('Control Room'!$B$15-1)/2)/MAX(0.5,'Control Room'!$B$15/4))^2),1)*IF(AND($A133&gt;='Control Room'!$A$16,$A133&lt;'Control Room'!$A$16+'Control Room'!$B$16,'Process'!BN5=1),1+('Control Room'!$C$16-1)*EXP(-0.5*(($A133-'Control Room'!$A$16-('Control Room'!$B$16-1)/2)/MAX(0.5,'Control Room'!$B$16/4))^2),1)</x:f>
        <x:v>1</x:v>
      </x:c>
      <x:c r="V133" s="9" t="n">
        <x:f>MOD(W132*16807,2147483647)</x:f>
        <x:v>2102753272</x:v>
      </x:c>
      <x:c r="W133" s="9" t="n">
        <x:f>MOD(V133*16807,2147483647)</x:f>
        <x:v>1983347472</x:v>
      </x:c>
      <x:c r="X133" s="17" t="n">
        <x:f>IF('Control Room'!$B$5="Normal",'Control Room'!$B$7+'Control Room'!$D$7*SQRT(-2*LN(MAX(0.000000000001,V133/2147483647)))*COS(2*PI()*W133/2147483647),'Control Room'!$B$8+('Control Room'!$D$8-'Control Room'!$B$8)*V133/2147483647)</x:f>
        <x:v>1016.3773293229829</x:v>
      </x:c>
      <x:c r="Y133" s="17" t="n">
        <x:f>IF('Control Room'!$B$5="Normal",'Control Room'!$B$7,('Control Room'!$B$8+'Control Room'!$D$8)/2)+'Control Room'!$B$9*(Y132-IF('Control Room'!$B$5="Normal",'Control Room'!$B$7,('Control Room'!$B$8+'Control Room'!$D$8)/2))+SQRT(1-'Control Room'!$B$9^2)*(X133-IF('Control Room'!$B$5="Normal",'Control Room'!$B$7,('Control Room'!$B$8+'Control Room'!$D$8)/2))</x:f>
        <x:v>885.8604923938445</x:v>
      </x:c>
      <x:c r="Z133" s="17" t="n">
        <x:f>IF(AND($A133&gt;='Control Room'!$A$13,$A133&lt;'Control Room'!$A$13+'Control Room'!$B$13,'Process'!BO2=1),1+('Control Room'!$C$13-1)*EXP(-0.5*(($A133-'Control Room'!$A$13-('Control Room'!$B$13-1)/2)/MAX(0.5,'Control Room'!$B$13/4))^2),1)*IF(AND($A133&gt;='Control Room'!$A$14,$A133&lt;'Control Room'!$A$14+'Control Room'!$B$14,'Process'!BO3=1),1+('Control Room'!$C$14-1)*EXP(-0.5*(($A133-'Control Room'!$A$14-('Control Room'!$B$14-1)/2)/MAX(0.5,'Control Room'!$B$14/4))^2),1)*IF(AND($A133&gt;='Control Room'!$A$15,$A133&lt;'Control Room'!$A$15+'Control Room'!$B$15,'Process'!BO4=1),1+('Control Room'!$C$15-1)*EXP(-0.5*(($A133-'Control Room'!$A$15-('Control Room'!$B$15-1)/2)/MAX(0.5,'Control Room'!$B$15/4))^2),1)*IF(AND($A133&gt;='Control Room'!$A$16,$A133&lt;'Control Room'!$A$16+'Control Room'!$B$16,'Process'!BO5=1),1+('Control Room'!$C$16-1)*EXP(-0.5*(($A133-'Control Room'!$A$16-('Control Room'!$B$16-1)/2)/MAX(0.5,'Control Room'!$B$16/4))^2),1)</x:f>
        <x:v>1</x:v>
      </x:c>
      <x:c r="AA133" s="9" t="n">
        <x:f>MOD(AB132*16807,2147483647)</x:f>
        <x:v>2106241239</x:v>
      </x:c>
      <x:c r="AB133" s="9" t="n">
        <x:f>MOD(AA133*16807,2147483647)</x:f>
        <x:v>476066725</x:v>
      </x:c>
      <x:c r="AC133" s="17" t="n">
        <x:f>IF('Control Room'!$B$5="Normal",'Control Room'!$B$7+'Control Room'!$D$7*SQRT(-2*LN(MAX(0.000000000001,AA133/2147483647)))*COS(2*PI()*AB133/2147483647),'Control Room'!$B$8+('Control Room'!$D$8-'Control Room'!$B$8)*AA133/2147483647)</x:f>
        <x:v>1003.1365832249307</x:v>
      </x:c>
      <x:c r="AD133" s="17" t="n">
        <x:f>IF('Control Room'!$B$5="Normal",'Control Room'!$B$7,('Control Room'!$B$8+'Control Room'!$D$8)/2)+'Control Room'!$B$9*(AD132-IF('Control Room'!$B$5="Normal",'Control Room'!$B$7,('Control Room'!$B$8+'Control Room'!$D$8)/2))+SQRT(1-'Control Room'!$B$9^2)*(AC133-IF('Control Room'!$B$5="Normal",'Control Room'!$B$7,('Control Room'!$B$8+'Control Room'!$D$8)/2))</x:f>
        <x:v>973.6281252756131</x:v>
      </x:c>
      <x:c r="AE133" s="17" t="n">
        <x:f>IF(AND($A133&gt;='Control Room'!$A$13,$A133&lt;'Control Room'!$A$13+'Control Room'!$B$13,'Process'!BP2=1),1+('Control Room'!$C$13-1)*EXP(-0.5*(($A133-'Control Room'!$A$13-('Control Room'!$B$13-1)/2)/MAX(0.5,'Control Room'!$B$13/4))^2),1)*IF(AND($A133&gt;='Control Room'!$A$14,$A133&lt;'Control Room'!$A$14+'Control Room'!$B$14,'Process'!BP3=1),1+('Control Room'!$C$14-1)*EXP(-0.5*(($A133-'Control Room'!$A$14-('Control Room'!$B$14-1)/2)/MAX(0.5,'Control Room'!$B$14/4))^2),1)*IF(AND($A133&gt;='Control Room'!$A$15,$A133&lt;'Control Room'!$A$15+'Control Room'!$B$15,'Process'!BP4=1),1+('Control Room'!$C$15-1)*EXP(-0.5*(($A133-'Control Room'!$A$15-('Control Room'!$B$15-1)/2)/MAX(0.5,'Control Room'!$B$15/4))^2),1)*IF(AND($A133&gt;='Control Room'!$A$16,$A133&lt;'Control Room'!$A$16+'Control Room'!$B$16,'Process'!BP5=1),1+('Control Room'!$C$16-1)*EXP(-0.5*(($A133-'Control Room'!$A$16-('Control Room'!$B$16-1)/2)/MAX(0.5,'Control Room'!$B$16/4))^2),1)</x:f>
        <x:v>1</x:v>
      </x:c>
      <x:c r="AF133" s="9" t="n">
        <x:f>MOD(AG132*16807,2147483647)</x:f>
        <x:v>2109729206</x:v>
      </x:c>
      <x:c r="AG133" s="9" t="n">
        <x:f>MOD(AF133*16807,2147483647)</x:f>
        <x:v>1116269625</x:v>
      </x:c>
      <x:c r="AH133" s="17" t="n">
        <x:f>IF('Control Room'!$B$5="Normal",'Control Room'!$B$7+'Control Room'!$D$7*SQRT(-2*LN(MAX(0.000000000001,AF133/2147483647)))*COS(2*PI()*AG133/2147483647),'Control Room'!$B$8+('Control Room'!$D$8-'Control Room'!$B$8)*AF133/2147483647)</x:f>
        <x:v>983.1798909476415</x:v>
      </x:c>
      <x:c r="AI133" s="17" t="n">
        <x:f>IF('Control Room'!$B$5="Normal",'Control Room'!$B$7,('Control Room'!$B$8+'Control Room'!$D$8)/2)+'Control Room'!$B$9*(AI132-IF('Control Room'!$B$5="Normal",'Control Room'!$B$7,('Control Room'!$B$8+'Control Room'!$D$8)/2))+SQRT(1-'Control Room'!$B$9^2)*(AH133-IF('Control Room'!$B$5="Normal",'Control Room'!$B$7,('Control Room'!$B$8+'Control Room'!$D$8)/2))</x:f>
        <x:v>1055.7730699575898</x:v>
      </x:c>
      <x:c r="AJ133" s="17" t="n">
        <x:f>IF(AND($A133&gt;='Control Room'!$A$13,$A133&lt;'Control Room'!$A$13+'Control Room'!$B$13,'Process'!BQ2=1),1+('Control Room'!$C$13-1)*EXP(-0.5*(($A133-'Control Room'!$A$13-('Control Room'!$B$13-1)/2)/MAX(0.5,'Control Room'!$B$13/4))^2),1)*IF(AND($A133&gt;='Control Room'!$A$14,$A133&lt;'Control Room'!$A$14+'Control Room'!$B$14,'Process'!BQ3=1),1+('Control Room'!$C$14-1)*EXP(-0.5*(($A133-'Control Room'!$A$14-('Control Room'!$B$14-1)/2)/MAX(0.5,'Control Room'!$B$14/4))^2),1)*IF(AND($A133&gt;='Control Room'!$A$15,$A133&lt;'Control Room'!$A$15+'Control Room'!$B$15,'Process'!BQ4=1),1+('Control Room'!$C$15-1)*EXP(-0.5*(($A133-'Control Room'!$A$15-('Control Room'!$B$15-1)/2)/MAX(0.5,'Control Room'!$B$15/4))^2),1)*IF(AND($A133&gt;='Control Room'!$A$16,$A133&lt;'Control Room'!$A$16+'Control Room'!$B$16,'Process'!BQ5=1),1+('Control Room'!$C$16-1)*EXP(-0.5*(($A133-'Control Room'!$A$16-('Control Room'!$B$16-1)/2)/MAX(0.5,'Control Room'!$B$16/4))^2),1)</x:f>
        <x:v>1</x:v>
      </x:c>
      <x:c r="AK133" s="9" t="n">
        <x:f>MOD(AL132*16807,2147483647)</x:f>
        <x:v>2113217173</x:v>
      </x:c>
      <x:c r="AL133" s="9" t="n">
        <x:f>MOD(AK133*16807,2147483647)</x:f>
        <x:v>1756472525</x:v>
      </x:c>
      <x:c r="AM133" s="17" t="n">
        <x:f>IF('Control Room'!$B$5="Normal",'Control Room'!$B$7+'Control Room'!$D$7*SQRT(-2*LN(MAX(0.000000000001,AK133/2147483647)))*COS(2*PI()*AL133/2147483647),'Control Room'!$B$8+('Control Room'!$D$8-'Control Room'!$B$8)*AK133/2147483647)</x:f>
        <x:v>1006.6817973196596</x:v>
      </x:c>
      <x:c r="AN133" s="17" t="n">
        <x:f>IF('Control Room'!$B$5="Normal",'Control Room'!$B$7,('Control Room'!$B$8+'Control Room'!$D$8)/2)+'Control Room'!$B$9*(AN132-IF('Control Room'!$B$5="Normal",'Control Room'!$B$7,('Control Room'!$B$8+'Control Room'!$D$8)/2))+SQRT(1-'Control Room'!$B$9^2)*(AM133-IF('Control Room'!$B$5="Normal",'Control Room'!$B$7,('Control Room'!$B$8+'Control Room'!$D$8)/2))</x:f>
        <x:v>1060.378093437594</x:v>
      </x:c>
      <x:c r="AO133" s="17" t="n">
        <x:f>IF(AND($A133&gt;='Control Room'!$A$13,$A133&lt;'Control Room'!$A$13+'Control Room'!$B$13,'Process'!BR2=1),1+('Control Room'!$C$13-1)*EXP(-0.5*(($A133-'Control Room'!$A$13-('Control Room'!$B$13-1)/2)/MAX(0.5,'Control Room'!$B$13/4))^2),1)*IF(AND($A133&gt;='Control Room'!$A$14,$A133&lt;'Control Room'!$A$14+'Control Room'!$B$14,'Process'!BR3=1),1+('Control Room'!$C$14-1)*EXP(-0.5*(($A133-'Control Room'!$A$14-('Control Room'!$B$14-1)/2)/MAX(0.5,'Control Room'!$B$14/4))^2),1)*IF(AND($A133&gt;='Control Room'!$A$15,$A133&lt;'Control Room'!$A$15+'Control Room'!$B$15,'Process'!BR4=1),1+('Control Room'!$C$15-1)*EXP(-0.5*(($A133-'Control Room'!$A$15-('Control Room'!$B$15-1)/2)/MAX(0.5,'Control Room'!$B$15/4))^2),1)*IF(AND($A133&gt;='Control Room'!$A$16,$A133&lt;'Control Room'!$A$16+'Control Room'!$B$16,'Process'!BR5=1),1+('Control Room'!$C$16-1)*EXP(-0.5*(($A133-'Control Room'!$A$16-('Control Room'!$B$16-1)/2)/MAX(0.5,'Control Room'!$B$16/4))^2),1)</x:f>
        <x:v>1</x:v>
      </x:c>
      <x:c r="AP133" s="9" t="n">
        <x:f>MOD(AQ132*16807,2147483647)</x:f>
        <x:v>2116705140</x:v>
      </x:c>
      <x:c r="AQ133" s="9" t="n">
        <x:f>MOD(AP133*16807,2147483647)</x:f>
        <x:v>249191778</x:v>
      </x:c>
      <x:c r="AR133" s="17" t="n">
        <x:f>IF('Control Room'!$B$5="Normal",'Control Room'!$B$7+'Control Room'!$D$7*SQRT(-2*LN(MAX(0.000000000001,AP133/2147483647)))*COS(2*PI()*AQ133/2147483647),'Control Room'!$B$8+('Control Room'!$D$8-'Control Room'!$B$8)*AP133/2147483647)</x:f>
        <x:v>1011.404899111071</x:v>
      </x:c>
      <x:c r="AS133" s="17" t="n">
        <x:f>IF('Control Room'!$B$5="Normal",'Control Room'!$B$7,('Control Room'!$B$8+'Control Room'!$D$8)/2)+'Control Room'!$B$9*(AS132-IF('Control Room'!$B$5="Normal",'Control Room'!$B$7,('Control Room'!$B$8+'Control Room'!$D$8)/2))+SQRT(1-'Control Room'!$B$9^2)*(AR133-IF('Control Room'!$B$5="Normal",'Control Room'!$B$7,('Control Room'!$B$8+'Control Room'!$D$8)/2))</x:f>
        <x:v>990.043132816031</x:v>
      </x:c>
      <x:c r="AT133" s="17" t="n">
        <x:f>IF(AND($A133&gt;='Control Room'!$A$13,$A133&lt;'Control Room'!$A$13+'Control Room'!$B$13,'Process'!BS2=1),1+('Control Room'!$C$13-1)*EXP(-0.5*(($A133-'Control Room'!$A$13-('Control Room'!$B$13-1)/2)/MAX(0.5,'Control Room'!$B$13/4))^2),1)*IF(AND($A133&gt;='Control Room'!$A$14,$A133&lt;'Control Room'!$A$14+'Control Room'!$B$14,'Process'!BS3=1),1+('Control Room'!$C$14-1)*EXP(-0.5*(($A133-'Control Room'!$A$14-('Control Room'!$B$14-1)/2)/MAX(0.5,'Control Room'!$B$14/4))^2),1)*IF(AND($A133&gt;='Control Room'!$A$15,$A133&lt;'Control Room'!$A$15+'Control Room'!$B$15,'Process'!BS4=1),1+('Control Room'!$C$15-1)*EXP(-0.5*(($A133-'Control Room'!$A$15-('Control Room'!$B$15-1)/2)/MAX(0.5,'Control Room'!$B$15/4))^2),1)*IF(AND($A133&gt;='Control Room'!$A$16,$A133&lt;'Control Room'!$A$16+'Control Room'!$B$16,'Process'!BS5=1),1+('Control Room'!$C$16-1)*EXP(-0.5*(($A133-'Control Room'!$A$16-('Control Room'!$B$16-1)/2)/MAX(0.5,'Control Room'!$B$16/4))^2),1)</x:f>
        <x:v>1</x:v>
      </x:c>
      <x:c r="AU133" s="9" t="n">
        <x:f>MOD(AV132*16807,2147483647)</x:f>
        <x:v>2120193107</x:v>
      </x:c>
      <x:c r="AV133" s="9" t="n">
        <x:f>MOD(AU133*16807,2147483647)</x:f>
        <x:v>889394678</x:v>
      </x:c>
      <x:c r="AW133" s="17" t="n">
        <x:f>IF('Control Room'!$B$5="Normal",'Control Room'!$B$7+'Control Room'!$D$7*SQRT(-2*LN(MAX(0.000000000001,AU133/2147483647)))*COS(2*PI()*AV133/2147483647),'Control Room'!$B$8+('Control Room'!$D$8-'Control Room'!$B$8)*AU133/2147483647)</x:f>
        <x:v>987.6493565174759</x:v>
      </x:c>
      <x:c r="AX133" s="17" t="n">
        <x:f>IF('Control Room'!$B$5="Normal",'Control Room'!$B$7,('Control Room'!$B$8+'Control Room'!$D$8)/2)+'Control Room'!$B$9*(AX132-IF('Control Room'!$B$5="Normal",'Control Room'!$B$7,('Control Room'!$B$8+'Control Room'!$D$8)/2))+SQRT(1-'Control Room'!$B$9^2)*(AW133-IF('Control Room'!$B$5="Normal",'Control Room'!$B$7,('Control Room'!$B$8+'Control Room'!$D$8)/2))</x:f>
        <x:v>861.3316412028594</x:v>
      </x:c>
      <x:c r="AY133" s="17" t="n">
        <x:f>IF(AND($A133&gt;='Control Room'!$A$13,$A133&lt;'Control Room'!$A$13+'Control Room'!$B$13,'Process'!BT2=1),1+('Control Room'!$C$13-1)*EXP(-0.5*(($A133-'Control Room'!$A$13-('Control Room'!$B$13-1)/2)/MAX(0.5,'Control Room'!$B$13/4))^2),1)*IF(AND($A133&gt;='Control Room'!$A$14,$A133&lt;'Control Room'!$A$14+'Control Room'!$B$14,'Process'!BT3=1),1+('Control Room'!$C$14-1)*EXP(-0.5*(($A133-'Control Room'!$A$14-('Control Room'!$B$14-1)/2)/MAX(0.5,'Control Room'!$B$14/4))^2),1)*IF(AND($A133&gt;='Control Room'!$A$15,$A133&lt;'Control Room'!$A$15+'Control Room'!$B$15,'Process'!BT4=1),1+('Control Room'!$C$15-1)*EXP(-0.5*(($A133-'Control Room'!$A$15-('Control Room'!$B$15-1)/2)/MAX(0.5,'Control Room'!$B$15/4))^2),1)*IF(AND($A133&gt;='Control Room'!$A$16,$A133&lt;'Control Room'!$A$16+'Control Room'!$B$16,'Process'!BT5=1),1+('Control Room'!$C$16-1)*EXP(-0.5*(($A133-'Control Room'!$A$16-('Control Room'!$B$16-1)/2)/MAX(0.5,'Control Room'!$B$16/4))^2),1)</x:f>
        <x:v>1</x:v>
      </x:c>
      <x:c r="AZ133" s="9" t="n">
        <x:f>MOD(BA132*16807,2147483647)</x:f>
        <x:v>2123681074</x:v>
      </x:c>
      <x:c r="BA133" s="9" t="n">
        <x:f>MOD(AZ133*16807,2147483647)</x:f>
        <x:v>1529597578</x:v>
      </x:c>
      <x:c r="BB133" s="17" t="n">
        <x:f>IF('Control Room'!$B$5="Normal",'Control Room'!$B$7+'Control Room'!$D$7*SQRT(-2*LN(MAX(0.000000000001,AZ133/2147483647)))*COS(2*PI()*BA133/2147483647),'Control Room'!$B$8+('Control Room'!$D$8-'Control Room'!$B$8)*AZ133/2147483647)</x:f>
        <x:v>996.8445938780791</x:v>
      </x:c>
      <x:c r="BC133" s="17" t="n">
        <x:f>IF('Control Room'!$B$5="Normal",'Control Room'!$B$7,('Control Room'!$B$8+'Control Room'!$D$8)/2)+'Control Room'!$B$9*(BC132-IF('Control Room'!$B$5="Normal",'Control Room'!$B$7,('Control Room'!$B$8+'Control Room'!$D$8)/2))+SQRT(1-'Control Room'!$B$9^2)*(BB133-IF('Control Room'!$B$5="Normal",'Control Room'!$B$7,('Control Room'!$B$8+'Control Room'!$D$8)/2))</x:f>
        <x:v>1028.0473665967138</x:v>
      </x:c>
      <x:c r="BD133" s="17" t="n">
        <x:f>IF(AND($A133&gt;='Control Room'!$A$13,$A133&lt;'Control Room'!$A$13+'Control Room'!$B$13,'Process'!BU2=1),1+('Control Room'!$C$13-1)*EXP(-0.5*(($A133-'Control Room'!$A$13-('Control Room'!$B$13-1)/2)/MAX(0.5,'Control Room'!$B$13/4))^2),1)*IF(AND($A133&gt;='Control Room'!$A$14,$A133&lt;'Control Room'!$A$14+'Control Room'!$B$14,'Process'!BU3=1),1+('Control Room'!$C$14-1)*EXP(-0.5*(($A133-'Control Room'!$A$14-('Control Room'!$B$14-1)/2)/MAX(0.5,'Control Room'!$B$14/4))^2),1)*IF(AND($A133&gt;='Control Room'!$A$15,$A133&lt;'Control Room'!$A$15+'Control Room'!$B$15,'Process'!BU4=1),1+('Control Room'!$C$15-1)*EXP(-0.5*(($A133-'Control Room'!$A$15-('Control Room'!$B$15-1)/2)/MAX(0.5,'Control Room'!$B$15/4))^2),1)*IF(AND($A133&gt;='Control Room'!$A$16,$A133&lt;'Control Room'!$A$16+'Control Room'!$B$16,'Process'!BU5=1),1+('Control Room'!$C$16-1)*EXP(-0.5*(($A133-'Control Room'!$A$16-('Control Room'!$B$16-1)/2)/MAX(0.5,'Control Room'!$B$16/4))^2),1)</x:f>
        <x:v>1</x:v>
      </x:c>
      <x:c r="BE133" s="9" t="n">
        <x:f>MOD(BF132*16807,2147483647)</x:f>
        <x:v>2127169041</x:v>
      </x:c>
      <x:c r="BF133" s="9" t="n">
        <x:f>MOD(BE133*16807,2147483647)</x:f>
        <x:v>22316831</x:v>
      </x:c>
      <x:c r="BG133" s="17" t="n">
        <x:f>IF('Control Room'!$B$5="Normal",'Control Room'!$B$7+'Control Room'!$D$7*SQRT(-2*LN(MAX(0.000000000001,BE133/2147483647)))*COS(2*PI()*BF133/2147483647),'Control Room'!$B$8+('Control Room'!$D$8-'Control Room'!$B$8)*BE133/2147483647)</x:f>
        <x:v>1012.3823039695782</x:v>
      </x:c>
      <x:c r="BH133" s="17" t="n">
        <x:f>IF('Control Room'!$B$5="Normal",'Control Room'!$B$7,('Control Room'!$B$8+'Control Room'!$D$8)/2)+'Control Room'!$B$9*(BH132-IF('Control Room'!$B$5="Normal",'Control Room'!$B$7,('Control Room'!$B$8+'Control Room'!$D$8)/2))+SQRT(1-'Control Room'!$B$9^2)*(BG133-IF('Control Room'!$B$5="Normal",'Control Room'!$B$7,('Control Room'!$B$8+'Control Room'!$D$8)/2))</x:f>
        <x:v>1113.7222052797997</x:v>
      </x:c>
      <x:c r="BI133" s="17" t="n">
        <x:f>IF(AND($A133&gt;='Control Room'!$A$13,$A133&lt;'Control Room'!$A$13+'Control Room'!$B$13,'Process'!BV2=1),1+('Control Room'!$C$13-1)*EXP(-0.5*(($A133-'Control Room'!$A$13-('Control Room'!$B$13-1)/2)/MAX(0.5,'Control Room'!$B$13/4))^2),1)*IF(AND($A133&gt;='Control Room'!$A$14,$A133&lt;'Control Room'!$A$14+'Control Room'!$B$14,'Process'!BV3=1),1+('Control Room'!$C$14-1)*EXP(-0.5*(($A133-'Control Room'!$A$14-('Control Room'!$B$14-1)/2)/MAX(0.5,'Control Room'!$B$14/4))^2),1)*IF(AND($A133&gt;='Control Room'!$A$15,$A133&lt;'Control Room'!$A$15+'Control Room'!$B$15,'Process'!BV4=1),1+('Control Room'!$C$15-1)*EXP(-0.5*(($A133-'Control Room'!$A$15-('Control Room'!$B$15-1)/2)/MAX(0.5,'Control Room'!$B$15/4))^2),1)*IF(AND($A133&gt;='Control Room'!$A$16,$A133&lt;'Control Room'!$A$16+'Control Room'!$B$16,'Process'!BV5=1),1+('Control Room'!$C$16-1)*EXP(-0.5*(($A133-'Control Room'!$A$16-('Control Room'!$B$16-1)/2)/MAX(0.5,'Control Room'!$B$16/4))^2),1)</x:f>
        <x:v>1</x:v>
      </x:c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Z133" t="str">
        <x:f>IF('Data'!A133="","",TEXT('Data'!A133,"mm-dd"))</x:f>
      </x:c>
    </x:row>
    <x:row r="134" ht="21" customHeight="1">
      <x:c r="A134" s="15" t="n">
        <x:f>'Control Room'!$B$1+132</x:f>
        <x:v>73123</x:v>
      </x:c>
      <x:c r="B134" s="9" t="n">
        <x:f>MOD(C133*16807,2147483647)</x:f>
        <x:v>1186485144</x:v>
      </x:c>
      <x:c r="C134" s="9" t="n">
        <x:f>MOD(B134*16807,2147483647)</x:f>
        <x:v>1870152813</x:v>
      </x:c>
      <x:c r="D134" s="17" t="n">
        <x:f>IF('Control Room'!$B$5="Normal",'Control Room'!$B$7+'Control Room'!$D$7*SQRT(-2*LN(MAX(0.000000000001,B134/2147483647)))*COS(2*PI()*C134/2147483647),'Control Room'!$B$8+('Control Room'!$D$8-'Control Room'!$B$8)*B134/2147483647)</x:f>
        <x:v>1067.4959440191415</x:v>
      </x:c>
      <x:c r="E134" s="17" t="n">
        <x:f>IF('Control Room'!$B$5="Normal",'Control Room'!$B$7,('Control Room'!$B$8+'Control Room'!$D$8)/2)+'Control Room'!$B$9*(E133-IF('Control Room'!$B$5="Normal",'Control Room'!$B$7,('Control Room'!$B$8+'Control Room'!$D$8)/2))+SQRT(1-'Control Room'!$B$9^2)*(D134-IF('Control Room'!$B$5="Normal",'Control Room'!$B$7,('Control Room'!$B$8+'Control Room'!$D$8)/2))</x:f>
        <x:v>952.3214475911209</x:v>
      </x:c>
      <x:c r="F134" s="17" t="n">
        <x:f>IF(AND($A134&gt;='Control Room'!$A$13,$A134&lt;'Control Room'!$A$13+'Control Room'!$B$13,'Process'!BK2=1),1+('Control Room'!$C$13-1)*EXP(-0.5*(($A134-'Control Room'!$A$13-('Control Room'!$B$13-1)/2)/MAX(0.5,'Control Room'!$B$13/4))^2),1)*IF(AND($A134&gt;='Control Room'!$A$14,$A134&lt;'Control Room'!$A$14+'Control Room'!$B$14,'Process'!BK3=1),1+('Control Room'!$C$14-1)*EXP(-0.5*(($A134-'Control Room'!$A$14-('Control Room'!$B$14-1)/2)/MAX(0.5,'Control Room'!$B$14/4))^2),1)*IF(AND($A134&gt;='Control Room'!$A$15,$A134&lt;'Control Room'!$A$15+'Control Room'!$B$15,'Process'!BK4=1),1+('Control Room'!$C$15-1)*EXP(-0.5*(($A134-'Control Room'!$A$15-('Control Room'!$B$15-1)/2)/MAX(0.5,'Control Room'!$B$15/4))^2),1)*IF(AND($A134&gt;='Control Room'!$A$16,$A134&lt;'Control Room'!$A$16+'Control Room'!$B$16,'Process'!BK5=1),1+('Control Room'!$C$16-1)*EXP(-0.5*(($A134-'Control Room'!$A$16-('Control Room'!$B$16-1)/2)/MAX(0.5,'Control Room'!$B$16/4))^2),1)</x:f>
        <x:v>1</x:v>
      </x:c>
      <x:c r="G134" s="9" t="n">
        <x:f>MOD(H133*16807,2147483647)</x:f>
        <x:v>36070327</x:v>
      </x:c>
      <x:c r="H134" s="9" t="n">
        <x:f>MOD(G134*16807,2147483647)</x:f>
        <x:v>643597435</x:v>
      </x:c>
      <x:c r="I134" s="17" t="n">
        <x:f>IF('Control Room'!$B$5="Normal",'Control Room'!$B$7+'Control Room'!$D$7*SQRT(-2*LN(MAX(0.000000000001,G134/2147483647)))*COS(2*PI()*H134/2147483647),'Control Room'!$B$8+('Control Room'!$D$8-'Control Room'!$B$8)*G134/2147483647)</x:f>
        <x:v>920.9541757041416</x:v>
      </x:c>
      <x:c r="J134" s="17" t="n">
        <x:f>IF('Control Room'!$B$5="Normal",'Control Room'!$B$7,('Control Room'!$B$8+'Control Room'!$D$8)/2)+'Control Room'!$B$9*(J133-IF('Control Room'!$B$5="Normal",'Control Room'!$B$7,('Control Room'!$B$8+'Control Room'!$D$8)/2))+SQRT(1-'Control Room'!$B$9^2)*(I134-IF('Control Room'!$B$5="Normal",'Control Room'!$B$7,('Control Room'!$B$8+'Control Room'!$D$8)/2))</x:f>
        <x:v>982.3547471195968</x:v>
      </x:c>
      <x:c r="K134" s="17" t="n">
        <x:f>IF(AND($A134&gt;='Control Room'!$A$13,$A134&lt;'Control Room'!$A$13+'Control Room'!$B$13,'Process'!BL2=1),1+('Control Room'!$C$13-1)*EXP(-0.5*(($A134-'Control Room'!$A$13-('Control Room'!$B$13-1)/2)/MAX(0.5,'Control Room'!$B$13/4))^2),1)*IF(AND($A134&gt;='Control Room'!$A$14,$A134&lt;'Control Room'!$A$14+'Control Room'!$B$14,'Process'!BL3=1),1+('Control Room'!$C$14-1)*EXP(-0.5*(($A134-'Control Room'!$A$14-('Control Room'!$B$14-1)/2)/MAX(0.5,'Control Room'!$B$14/4))^2),1)*IF(AND($A134&gt;='Control Room'!$A$15,$A134&lt;'Control Room'!$A$15+'Control Room'!$B$15,'Process'!BL4=1),1+('Control Room'!$C$15-1)*EXP(-0.5*(($A134-'Control Room'!$A$15-('Control Room'!$B$15-1)/2)/MAX(0.5,'Control Room'!$B$15/4))^2),1)*IF(AND($A134&gt;='Control Room'!$A$16,$A134&lt;'Control Room'!$A$16+'Control Room'!$B$16,'Process'!BL5=1),1+('Control Room'!$C$16-1)*EXP(-0.5*(($A134-'Control Room'!$A$16-('Control Room'!$B$16-1)/2)/MAX(0.5,'Control Room'!$B$16/4))^2),1)</x:f>
        <x:v>1</x:v>
      </x:c>
      <x:c r="L134" s="9" t="n">
        <x:f>MOD(M133*16807,2147483647)</x:f>
        <x:v>1033139157</x:v>
      </x:c>
      <x:c r="M134" s="9" t="n">
        <x:f>MOD(L134*16807,2147483647)</x:f>
        <x:v>1564525704</x:v>
      </x:c>
      <x:c r="N134" s="17" t="n">
        <x:f>IF('Control Room'!$B$5="Normal",'Control Room'!$B$7+'Control Room'!$D$7*SQRT(-2*LN(MAX(0.000000000001,L134/2147483647)))*COS(2*PI()*M134/2147483647),'Control Room'!$B$8+('Control Room'!$D$8-'Control Room'!$B$8)*L134/2147483647)</x:f>
        <x:v>985.3635974881034</x:v>
      </x:c>
      <x:c r="O134" s="17" t="n">
        <x:f>IF('Control Room'!$B$5="Normal",'Control Room'!$B$7,('Control Room'!$B$8+'Control Room'!$D$8)/2)+'Control Room'!$B$9*(O133-IF('Control Room'!$B$5="Normal",'Control Room'!$B$7,('Control Room'!$B$8+'Control Room'!$D$8)/2))+SQRT(1-'Control Room'!$B$9^2)*(N134-IF('Control Room'!$B$5="Normal",'Control Room'!$B$7,('Control Room'!$B$8+'Control Room'!$D$8)/2))</x:f>
        <x:v>993.9413621019829</x:v>
      </x:c>
      <x:c r="P134" s="17" t="n">
        <x:f>IF(AND($A134&gt;='Control Room'!$A$13,$A134&lt;'Control Room'!$A$13+'Control Room'!$B$13,'Process'!BM2=1),1+('Control Room'!$C$13-1)*EXP(-0.5*(($A134-'Control Room'!$A$13-('Control Room'!$B$13-1)/2)/MAX(0.5,'Control Room'!$B$13/4))^2),1)*IF(AND($A134&gt;='Control Room'!$A$14,$A134&lt;'Control Room'!$A$14+'Control Room'!$B$14,'Process'!BM3=1),1+('Control Room'!$C$14-1)*EXP(-0.5*(($A134-'Control Room'!$A$14-('Control Room'!$B$14-1)/2)/MAX(0.5,'Control Room'!$B$14/4))^2),1)*IF(AND($A134&gt;='Control Room'!$A$15,$A134&lt;'Control Room'!$A$15+'Control Room'!$B$15,'Process'!BM4=1),1+('Control Room'!$C$15-1)*EXP(-0.5*(($A134-'Control Room'!$A$15-('Control Room'!$B$15-1)/2)/MAX(0.5,'Control Room'!$B$15/4))^2),1)*IF(AND($A134&gt;='Control Room'!$A$16,$A134&lt;'Control Room'!$A$16+'Control Room'!$B$16,'Process'!BM5=1),1+('Control Room'!$C$16-1)*EXP(-0.5*(($A134-'Control Room'!$A$16-('Control Room'!$B$16-1)/2)/MAX(0.5,'Control Room'!$B$16/4))^2),1)</x:f>
        <x:v>1</x:v>
      </x:c>
      <x:c r="Q134" s="9" t="n">
        <x:f>MOD(R133*16807,2147483647)</x:f>
        <x:v>2030207987</x:v>
      </x:c>
      <x:c r="R134" s="9" t="n">
        <x:f>MOD(Q134*16807,2147483647)</x:f>
        <x:v>337970326</x:v>
      </x:c>
      <x:c r="S134" s="17" t="n">
        <x:f>IF('Control Room'!$B$5="Normal",'Control Room'!$B$7+'Control Room'!$D$7*SQRT(-2*LN(MAX(0.000000000001,Q134/2147483647)))*COS(2*PI()*R134/2147483647),'Control Room'!$B$8+('Control Room'!$D$8-'Control Room'!$B$8)*Q134/2147483647)</x:f>
        <x:v>1016.5788748672943</x:v>
      </x:c>
      <x:c r="T134" s="17" t="n">
        <x:f>IF('Control Room'!$B$5="Normal",'Control Room'!$B$7,('Control Room'!$B$8+'Control Room'!$D$8)/2)+'Control Room'!$B$9*(T133-IF('Control Room'!$B$5="Normal",'Control Room'!$B$7,('Control Room'!$B$8+'Control Room'!$D$8)/2))+SQRT(1-'Control Room'!$B$9^2)*(S134-IF('Control Room'!$B$5="Normal",'Control Room'!$B$7,('Control Room'!$B$8+'Control Room'!$D$8)/2))</x:f>
        <x:v>1043.2765931724407</x:v>
      </x:c>
      <x:c r="U134" s="17" t="n">
        <x:f>IF(AND($A134&gt;='Control Room'!$A$13,$A134&lt;'Control Room'!$A$13+'Control Room'!$B$13,'Process'!BN2=1),1+('Control Room'!$C$13-1)*EXP(-0.5*(($A134-'Control Room'!$A$13-('Control Room'!$B$13-1)/2)/MAX(0.5,'Control Room'!$B$13/4))^2),1)*IF(AND($A134&gt;='Control Room'!$A$14,$A134&lt;'Control Room'!$A$14+'Control Room'!$B$14,'Process'!BN3=1),1+('Control Room'!$C$14-1)*EXP(-0.5*(($A134-'Control Room'!$A$14-('Control Room'!$B$14-1)/2)/MAX(0.5,'Control Room'!$B$14/4))^2),1)*IF(AND($A134&gt;='Control Room'!$A$15,$A134&lt;'Control Room'!$A$15+'Control Room'!$B$15,'Process'!BN4=1),1+('Control Room'!$C$15-1)*EXP(-0.5*(($A134-'Control Room'!$A$15-('Control Room'!$B$15-1)/2)/MAX(0.5,'Control Room'!$B$15/4))^2),1)*IF(AND($A134&gt;='Control Room'!$A$16,$A134&lt;'Control Room'!$A$16+'Control Room'!$B$16,'Process'!BN5=1),1+('Control Room'!$C$16-1)*EXP(-0.5*(($A134-'Control Room'!$A$16-('Control Room'!$B$16-1)/2)/MAX(0.5,'Control Room'!$B$16/4))^2),1)</x:f>
        <x:v>1</x:v>
      </x:c>
      <x:c r="V134" s="9" t="n">
        <x:f>MOD(W133*16807,2147483647)</x:f>
        <x:v>879793170</x:v>
      </x:c>
      <x:c r="W134" s="9" t="n">
        <x:f>MOD(V134*16807,2147483647)</x:f>
        <x:v>1258898595</x:v>
      </x:c>
      <x:c r="X134" s="17" t="n">
        <x:f>IF('Control Room'!$B$5="Normal",'Control Room'!$B$7+'Control Room'!$D$7*SQRT(-2*LN(MAX(0.000000000001,V134/2147483647)))*COS(2*PI()*W134/2147483647),'Control Room'!$B$8+('Control Room'!$D$8-'Control Room'!$B$8)*V134/2147483647)</x:f>
        <x:v>896.9815095888016</x:v>
      </x:c>
      <x:c r="Y134" s="17" t="n">
        <x:f>IF('Control Room'!$B$5="Normal",'Control Room'!$B$7,('Control Room'!$B$8+'Control Room'!$D$8)/2)+'Control Room'!$B$9*(Y133-IF('Control Room'!$B$5="Normal",'Control Room'!$B$7,('Control Room'!$B$8+'Control Room'!$D$8)/2))+SQRT(1-'Control Room'!$B$9^2)*(X134-IF('Control Room'!$B$5="Normal",'Control Room'!$B$7,('Control Room'!$B$8+'Control Room'!$D$8)/2))</x:f>
        <x:v>846.5043232163599</x:v>
      </x:c>
      <x:c r="Z134" s="17" t="n">
        <x:f>IF(AND($A134&gt;='Control Room'!$A$13,$A134&lt;'Control Room'!$A$13+'Control Room'!$B$13,'Process'!BO2=1),1+('Control Room'!$C$13-1)*EXP(-0.5*(($A134-'Control Room'!$A$13-('Control Room'!$B$13-1)/2)/MAX(0.5,'Control Room'!$B$13/4))^2),1)*IF(AND($A134&gt;='Control Room'!$A$14,$A134&lt;'Control Room'!$A$14+'Control Room'!$B$14,'Process'!BO3=1),1+('Control Room'!$C$14-1)*EXP(-0.5*(($A134-'Control Room'!$A$14-('Control Room'!$B$14-1)/2)/MAX(0.5,'Control Room'!$B$14/4))^2),1)*IF(AND($A134&gt;='Control Room'!$A$15,$A134&lt;'Control Room'!$A$15+'Control Room'!$B$15,'Process'!BO4=1),1+('Control Room'!$C$15-1)*EXP(-0.5*(($A134-'Control Room'!$A$15-('Control Room'!$B$15-1)/2)/MAX(0.5,'Control Room'!$B$15/4))^2),1)*IF(AND($A134&gt;='Control Room'!$A$16,$A134&lt;'Control Room'!$A$16+'Control Room'!$B$16,'Process'!BO5=1),1+('Control Room'!$C$16-1)*EXP(-0.5*(($A134-'Control Room'!$A$16-('Control Room'!$B$16-1)/2)/MAX(0.5,'Control Room'!$B$16/4))^2),1)</x:f>
        <x:v>1</x:v>
      </x:c>
      <x:c r="AA134" s="9" t="n">
        <x:f>MOD(AB133*16807,2147483647)</x:f>
        <x:v>1876862000</x:v>
      </x:c>
      <x:c r="AB134" s="9" t="n">
        <x:f>MOD(AA134*16807,2147483647)</x:f>
        <x:v>32343217</x:v>
      </x:c>
      <x:c r="AC134" s="17" t="n">
        <x:f>IF('Control Room'!$B$5="Normal",'Control Room'!$B$7+'Control Room'!$D$7*SQRT(-2*LN(MAX(0.000000000001,AA134/2147483647)))*COS(2*PI()*AB134/2147483647),'Control Room'!$B$8+('Control Room'!$D$8-'Control Room'!$B$8)*AA134/2147483647)</x:f>
        <x:v>1046.5036056373922</x:v>
      </x:c>
      <x:c r="AD134" s="17" t="n">
        <x:f>IF('Control Room'!$B$5="Normal",'Control Room'!$B$7,('Control Room'!$B$8+'Control Room'!$D$8)/2)+'Control Room'!$B$9*(AD133-IF('Control Room'!$B$5="Normal",'Control Room'!$B$7,('Control Room'!$B$8+'Control Room'!$D$8)/2))+SQRT(1-'Control Room'!$B$9^2)*(AC134-IF('Control Room'!$B$5="Normal",'Control Room'!$B$7,('Control Room'!$B$8+'Control Room'!$D$8)/2))</x:f>
        <x:v>1008.5309414447141</x:v>
      </x:c>
      <x:c r="AE134" s="17" t="n">
        <x:f>IF(AND($A134&gt;='Control Room'!$A$13,$A134&lt;'Control Room'!$A$13+'Control Room'!$B$13,'Process'!BP2=1),1+('Control Room'!$C$13-1)*EXP(-0.5*(($A134-'Control Room'!$A$13-('Control Room'!$B$13-1)/2)/MAX(0.5,'Control Room'!$B$13/4))^2),1)*IF(AND($A134&gt;='Control Room'!$A$14,$A134&lt;'Control Room'!$A$14+'Control Room'!$B$14,'Process'!BP3=1),1+('Control Room'!$C$14-1)*EXP(-0.5*(($A134-'Control Room'!$A$14-('Control Room'!$B$14-1)/2)/MAX(0.5,'Control Room'!$B$14/4))^2),1)*IF(AND($A134&gt;='Control Room'!$A$15,$A134&lt;'Control Room'!$A$15+'Control Room'!$B$15,'Process'!BP4=1),1+('Control Room'!$C$15-1)*EXP(-0.5*(($A134-'Control Room'!$A$15-('Control Room'!$B$15-1)/2)/MAX(0.5,'Control Room'!$B$15/4))^2),1)*IF(AND($A134&gt;='Control Room'!$A$16,$A134&lt;'Control Room'!$A$16+'Control Room'!$B$16,'Process'!BP5=1),1+('Control Room'!$C$16-1)*EXP(-0.5*(($A134-'Control Room'!$A$16-('Control Room'!$B$16-1)/2)/MAX(0.5,'Control Room'!$B$16/4))^2),1)</x:f>
        <x:v>1</x:v>
      </x:c>
      <x:c r="AF134" s="9" t="n">
        <x:f>MOD(AG133*16807,2147483647)</x:f>
        <x:v>726447183</x:v>
      </x:c>
      <x:c r="AG134" s="9" t="n">
        <x:f>MOD(AF134*16807,2147483647)</x:f>
        <x:v>953271486</x:v>
      </x:c>
      <x:c r="AH134" s="17" t="n">
        <x:f>IF('Control Room'!$B$5="Normal",'Control Room'!$B$7+'Control Room'!$D$7*SQRT(-2*LN(MAX(0.000000000001,AF134/2147483647)))*COS(2*PI()*AG134/2147483647),'Control Room'!$B$8+('Control Room'!$D$8-'Control Room'!$B$8)*AF134/2147483647)</x:f>
        <x:v>875.6364248064643</x:v>
      </x:c>
      <x:c r="AI134" s="17" t="n">
        <x:f>IF('Control Room'!$B$5="Normal",'Control Room'!$B$7,('Control Room'!$B$8+'Control Room'!$D$8)/2)+'Control Room'!$B$9*(AI133-IF('Control Room'!$B$5="Normal",'Control Room'!$B$7,('Control Room'!$B$8+'Control Room'!$D$8)/2))+SQRT(1-'Control Room'!$B$9^2)*(AH134-IF('Control Room'!$B$5="Normal",'Control Room'!$B$7,('Control Room'!$B$8+'Control Room'!$D$8)/2))</x:f>
        <x:v>965.6788169371246</x:v>
      </x:c>
      <x:c r="AJ134" s="17" t="n">
        <x:f>IF(AND($A134&gt;='Control Room'!$A$13,$A134&lt;'Control Room'!$A$13+'Control Room'!$B$13,'Process'!BQ2=1),1+('Control Room'!$C$13-1)*EXP(-0.5*(($A134-'Control Room'!$A$13-('Control Room'!$B$13-1)/2)/MAX(0.5,'Control Room'!$B$13/4))^2),1)*IF(AND($A134&gt;='Control Room'!$A$14,$A134&lt;'Control Room'!$A$14+'Control Room'!$B$14,'Process'!BQ3=1),1+('Control Room'!$C$14-1)*EXP(-0.5*(($A134-'Control Room'!$A$14-('Control Room'!$B$14-1)/2)/MAX(0.5,'Control Room'!$B$14/4))^2),1)*IF(AND($A134&gt;='Control Room'!$A$15,$A134&lt;'Control Room'!$A$15+'Control Room'!$B$15,'Process'!BQ4=1),1+('Control Room'!$C$15-1)*EXP(-0.5*(($A134-'Control Room'!$A$15-('Control Room'!$B$15-1)/2)/MAX(0.5,'Control Room'!$B$15/4))^2),1)*IF(AND($A134&gt;='Control Room'!$A$16,$A134&lt;'Control Room'!$A$16+'Control Room'!$B$16,'Process'!BQ5=1),1+('Control Room'!$C$16-1)*EXP(-0.5*(($A134-'Control Room'!$A$16-('Control Room'!$B$16-1)/2)/MAX(0.5,'Control Room'!$B$16/4))^2),1)</x:f>
        <x:v>1</x:v>
      </x:c>
      <x:c r="AK134" s="9" t="n">
        <x:f>MOD(AL133*16807,2147483647)</x:f>
        <x:v>1723516013</x:v>
      </x:c>
      <x:c r="AL134" s="9" t="n">
        <x:f>MOD(AK134*16807,2147483647)</x:f>
        <x:v>1874199755</x:v>
      </x:c>
      <x:c r="AM134" s="17" t="n">
        <x:f>IF('Control Room'!$B$5="Normal",'Control Room'!$B$7+'Control Room'!$D$7*SQRT(-2*LN(MAX(0.000000000001,AK134/2147483647)))*COS(2*PI()*AL134/2147483647),'Control Room'!$B$8+('Control Room'!$D$8-'Control Room'!$B$8)*AK134/2147483647)</x:f>
        <x:v>1041.6040956566771</x:v>
      </x:c>
      <x:c r="AN134" s="17" t="n">
        <x:f>IF('Control Room'!$B$5="Normal",'Control Room'!$B$7,('Control Room'!$B$8+'Control Room'!$D$8)/2)+'Control Room'!$B$9*(AN133-IF('Control Room'!$B$5="Normal",'Control Room'!$B$7,('Control Room'!$B$8+'Control Room'!$D$8)/2))+SQRT(1-'Control Room'!$B$9^2)*(AM134-IF('Control Room'!$B$5="Normal",'Control Room'!$B$7,('Control Room'!$B$8+'Control Room'!$D$8)/2))</x:f>
        <x:v>1073.1299036370453</x:v>
      </x:c>
      <x:c r="AO134" s="17" t="n">
        <x:f>IF(AND($A134&gt;='Control Room'!$A$13,$A134&lt;'Control Room'!$A$13+'Control Room'!$B$13,'Process'!BR2=1),1+('Control Room'!$C$13-1)*EXP(-0.5*(($A134-'Control Room'!$A$13-('Control Room'!$B$13-1)/2)/MAX(0.5,'Control Room'!$B$13/4))^2),1)*IF(AND($A134&gt;='Control Room'!$A$14,$A134&lt;'Control Room'!$A$14+'Control Room'!$B$14,'Process'!BR3=1),1+('Control Room'!$C$14-1)*EXP(-0.5*(($A134-'Control Room'!$A$14-('Control Room'!$B$14-1)/2)/MAX(0.5,'Control Room'!$B$14/4))^2),1)*IF(AND($A134&gt;='Control Room'!$A$15,$A134&lt;'Control Room'!$A$15+'Control Room'!$B$15,'Process'!BR4=1),1+('Control Room'!$C$15-1)*EXP(-0.5*(($A134-'Control Room'!$A$15-('Control Room'!$B$15-1)/2)/MAX(0.5,'Control Room'!$B$15/4))^2),1)*IF(AND($A134&gt;='Control Room'!$A$16,$A134&lt;'Control Room'!$A$16+'Control Room'!$B$16,'Process'!BR5=1),1+('Control Room'!$C$16-1)*EXP(-0.5*(($A134-'Control Room'!$A$16-('Control Room'!$B$16-1)/2)/MAX(0.5,'Control Room'!$B$16/4))^2),1)</x:f>
        <x:v>1</x:v>
      </x:c>
      <x:c r="AP134" s="9" t="n">
        <x:f>MOD(AQ133*16807,2147483647)</x:f>
        <x:v>573101196</x:v>
      </x:c>
      <x:c r="AQ134" s="9" t="n">
        <x:f>MOD(AP134*16807,2147483647)</x:f>
        <x:v>647644377</x:v>
      </x:c>
      <x:c r="AR134" s="17" t="n">
        <x:f>IF('Control Room'!$B$5="Normal",'Control Room'!$B$7+'Control Room'!$D$7*SQRT(-2*LN(MAX(0.000000000001,AP134/2147483647)))*COS(2*PI()*AQ134/2147483647),'Control Room'!$B$8+('Control Room'!$D$8-'Control Room'!$B$8)*AP134/2147483647)</x:f>
        <x:v>953.4132055670715</x:v>
      </x:c>
      <x:c r="AS134" s="17" t="n">
        <x:f>IF('Control Room'!$B$5="Normal",'Control Room'!$B$7,('Control Room'!$B$8+'Control Room'!$D$8)/2)+'Control Room'!$B$9*(AS133-IF('Control Room'!$B$5="Normal",'Control Room'!$B$7,('Control Room'!$B$8+'Control Room'!$D$8)/2))+SQRT(1-'Control Room'!$B$9^2)*(AR134-IF('Control Room'!$B$5="Normal",'Control Room'!$B$7,('Control Room'!$B$8+'Control Room'!$D$8)/2))</x:f>
        <x:v>963.0805820227367</x:v>
      </x:c>
      <x:c r="AT134" s="17" t="n">
        <x:f>IF(AND($A134&gt;='Control Room'!$A$13,$A134&lt;'Control Room'!$A$13+'Control Room'!$B$13,'Process'!BS2=1),1+('Control Room'!$C$13-1)*EXP(-0.5*(($A134-'Control Room'!$A$13-('Control Room'!$B$13-1)/2)/MAX(0.5,'Control Room'!$B$13/4))^2),1)*IF(AND($A134&gt;='Control Room'!$A$14,$A134&lt;'Control Room'!$A$14+'Control Room'!$B$14,'Process'!BS3=1),1+('Control Room'!$C$14-1)*EXP(-0.5*(($A134-'Control Room'!$A$14-('Control Room'!$B$14-1)/2)/MAX(0.5,'Control Room'!$B$14/4))^2),1)*IF(AND($A134&gt;='Control Room'!$A$15,$A134&lt;'Control Room'!$A$15+'Control Room'!$B$15,'Process'!BS4=1),1+('Control Room'!$C$15-1)*EXP(-0.5*(($A134-'Control Room'!$A$15-('Control Room'!$B$15-1)/2)/MAX(0.5,'Control Room'!$B$15/4))^2),1)*IF(AND($A134&gt;='Control Room'!$A$16,$A134&lt;'Control Room'!$A$16+'Control Room'!$B$16,'Process'!BS5=1),1+('Control Room'!$C$16-1)*EXP(-0.5*(($A134-'Control Room'!$A$16-('Control Room'!$B$16-1)/2)/MAX(0.5,'Control Room'!$B$16/4))^2),1)</x:f>
        <x:v>1</x:v>
      </x:c>
      <x:c r="AU134" s="9" t="n">
        <x:f>MOD(AV133*16807,2147483647)</x:f>
        <x:v>1570170026</x:v>
      </x:c>
      <x:c r="AV134" s="9" t="n">
        <x:f>MOD(AU134*16807,2147483647)</x:f>
        <x:v>1568572646</x:v>
      </x:c>
      <x:c r="AW134" s="17" t="n">
        <x:f>IF('Control Room'!$B$5="Normal",'Control Room'!$B$7+'Control Room'!$D$7*SQRT(-2*LN(MAX(0.000000000001,AU134/2147483647)))*COS(2*PI()*AV134/2147483647),'Control Room'!$B$8+('Control Room'!$D$8-'Control Room'!$B$8)*AU134/2147483647)</x:f>
        <x:v>991.2617208255625</x:v>
      </x:c>
      <x:c r="AX134" s="17" t="n">
        <x:f>IF('Control Room'!$B$5="Normal",'Control Room'!$B$7,('Control Room'!$B$8+'Control Room'!$D$8)/2)+'Control Room'!$B$9*(AX133-IF('Control Room'!$B$5="Normal",'Control Room'!$B$7,('Control Room'!$B$8+'Control Room'!$D$8)/2))+SQRT(1-'Control Room'!$B$9^2)*(AW134-IF('Control Room'!$B$5="Normal",'Control Room'!$B$7,('Control Room'!$B$8+'Control Room'!$D$8)/2))</x:f>
        <x:v>886.3704440442465</x:v>
      </x:c>
      <x:c r="AY134" s="17" t="n">
        <x:f>IF(AND($A134&gt;='Control Room'!$A$13,$A134&lt;'Control Room'!$A$13+'Control Room'!$B$13,'Process'!BT2=1),1+('Control Room'!$C$13-1)*EXP(-0.5*(($A134-'Control Room'!$A$13-('Control Room'!$B$13-1)/2)/MAX(0.5,'Control Room'!$B$13/4))^2),1)*IF(AND($A134&gt;='Control Room'!$A$14,$A134&lt;'Control Room'!$A$14+'Control Room'!$B$14,'Process'!BT3=1),1+('Control Room'!$C$14-1)*EXP(-0.5*(($A134-'Control Room'!$A$14-('Control Room'!$B$14-1)/2)/MAX(0.5,'Control Room'!$B$14/4))^2),1)*IF(AND($A134&gt;='Control Room'!$A$15,$A134&lt;'Control Room'!$A$15+'Control Room'!$B$15,'Process'!BT4=1),1+('Control Room'!$C$15-1)*EXP(-0.5*(($A134-'Control Room'!$A$15-('Control Room'!$B$15-1)/2)/MAX(0.5,'Control Room'!$B$15/4))^2),1)*IF(AND($A134&gt;='Control Room'!$A$16,$A134&lt;'Control Room'!$A$16+'Control Room'!$B$16,'Process'!BT5=1),1+('Control Room'!$C$16-1)*EXP(-0.5*(($A134-'Control Room'!$A$16-('Control Room'!$B$16-1)/2)/MAX(0.5,'Control Room'!$B$16/4))^2),1)</x:f>
        <x:v>1</x:v>
      </x:c>
      <x:c r="AZ134" s="9" t="n">
        <x:f>MOD(BA133*16807,2147483647)</x:f>
        <x:v>419755209</x:v>
      </x:c>
      <x:c r="BA134" s="9" t="n">
        <x:f>MOD(AZ134*16807,2147483647)</x:f>
        <x:v>342017268</x:v>
      </x:c>
      <x:c r="BB134" s="17" t="n">
        <x:f>IF('Control Room'!$B$5="Normal",'Control Room'!$B$7+'Control Room'!$D$7*SQRT(-2*LN(MAX(0.000000000001,AZ134/2147483647)))*COS(2*PI()*BA134/2147483647),'Control Room'!$B$8+('Control Room'!$D$8-'Control Room'!$B$8)*AZ134/2147483647)</x:f>
        <x:v>1087.768834367808</x:v>
      </x:c>
      <x:c r="BC134" s="17" t="n">
        <x:f>IF('Control Room'!$B$5="Normal",'Control Room'!$B$7,('Control Room'!$B$8+'Control Room'!$D$8)/2)+'Control Room'!$B$9*(BC133-IF('Control Room'!$B$5="Normal",'Control Room'!$B$7,('Control Room'!$B$8+'Control Room'!$D$8)/2))+SQRT(1-'Control Room'!$B$9^2)*(BB134-IF('Control Room'!$B$5="Normal",'Control Room'!$B$7,('Control Room'!$B$8+'Control Room'!$D$8)/2))</x:f>
        <x:v>1076.8008844505066</x:v>
      </x:c>
      <x:c r="BD134" s="17" t="n">
        <x:f>IF(AND($A134&gt;='Control Room'!$A$13,$A134&lt;'Control Room'!$A$13+'Control Room'!$B$13,'Process'!BU2=1),1+('Control Room'!$C$13-1)*EXP(-0.5*(($A134-'Control Room'!$A$13-('Control Room'!$B$13-1)/2)/MAX(0.5,'Control Room'!$B$13/4))^2),1)*IF(AND($A134&gt;='Control Room'!$A$14,$A134&lt;'Control Room'!$A$14+'Control Room'!$B$14,'Process'!BU3=1),1+('Control Room'!$C$14-1)*EXP(-0.5*(($A134-'Control Room'!$A$14-('Control Room'!$B$14-1)/2)/MAX(0.5,'Control Room'!$B$14/4))^2),1)*IF(AND($A134&gt;='Control Room'!$A$15,$A134&lt;'Control Room'!$A$15+'Control Room'!$B$15,'Process'!BU4=1),1+('Control Room'!$C$15-1)*EXP(-0.5*(($A134-'Control Room'!$A$15-('Control Room'!$B$15-1)/2)/MAX(0.5,'Control Room'!$B$15/4))^2),1)*IF(AND($A134&gt;='Control Room'!$A$16,$A134&lt;'Control Room'!$A$16+'Control Room'!$B$16,'Process'!BU5=1),1+('Control Room'!$C$16-1)*EXP(-0.5*(($A134-'Control Room'!$A$16-('Control Room'!$B$16-1)/2)/MAX(0.5,'Control Room'!$B$16/4))^2),1)</x:f>
        <x:v>1</x:v>
      </x:c>
      <x:c r="BE134" s="9" t="n">
        <x:f>MOD(BF133*16807,2147483647)</x:f>
        <x:v>1416824039</x:v>
      </x:c>
      <x:c r="BF134" s="9" t="n">
        <x:f>MOD(BE134*16807,2147483647)</x:f>
        <x:v>1262945537</x:v>
      </x:c>
      <x:c r="BG134" s="17" t="n">
        <x:f>IF('Control Room'!$B$5="Normal",'Control Room'!$B$7+'Control Room'!$D$7*SQRT(-2*LN(MAX(0.000000000001,BE134/2147483647)))*COS(2*PI()*BF134/2147483647),'Control Room'!$B$8+('Control Room'!$D$8-'Control Room'!$B$8)*BE134/2147483647)</x:f>
        <x:v>930.1781983969133</x:v>
      </x:c>
      <x:c r="BH134" s="17" t="n">
        <x:f>IF('Control Room'!$B$5="Normal",'Control Room'!$B$7,('Control Room'!$B$8+'Control Room'!$D$8)/2)+'Control Room'!$B$9*(BH133-IF('Control Room'!$B$5="Normal",'Control Room'!$B$7,('Control Room'!$B$8+'Control Room'!$D$8)/2))+SQRT(1-'Control Room'!$B$9^2)*(BG134-IF('Control Room'!$B$5="Normal",'Control Room'!$B$7,('Control Room'!$B$8+'Control Room'!$D$8)/2))</x:f>
        <x:v>1045.0102670523859</x:v>
      </x:c>
      <x:c r="BI134" s="17" t="n">
        <x:f>IF(AND($A134&gt;='Control Room'!$A$13,$A134&lt;'Control Room'!$A$13+'Control Room'!$B$13,'Process'!BV2=1),1+('Control Room'!$C$13-1)*EXP(-0.5*(($A134-'Control Room'!$A$13-('Control Room'!$B$13-1)/2)/MAX(0.5,'Control Room'!$B$13/4))^2),1)*IF(AND($A134&gt;='Control Room'!$A$14,$A134&lt;'Control Room'!$A$14+'Control Room'!$B$14,'Process'!BV3=1),1+('Control Room'!$C$14-1)*EXP(-0.5*(($A134-'Control Room'!$A$14-('Control Room'!$B$14-1)/2)/MAX(0.5,'Control Room'!$B$14/4))^2),1)*IF(AND($A134&gt;='Control Room'!$A$15,$A134&lt;'Control Room'!$A$15+'Control Room'!$B$15,'Process'!BV4=1),1+('Control Room'!$C$15-1)*EXP(-0.5*(($A134-'Control Room'!$A$15-('Control Room'!$B$15-1)/2)/MAX(0.5,'Control Room'!$B$15/4))^2),1)*IF(AND($A134&gt;='Control Room'!$A$16,$A134&lt;'Control Room'!$A$16+'Control Room'!$B$16,'Process'!BV5=1),1+('Control Room'!$C$16-1)*EXP(-0.5*(($A134-'Control Room'!$A$16-('Control Room'!$B$16-1)/2)/MAX(0.5,'Control Room'!$B$16/4))^2),1)</x:f>
        <x:v>1</x:v>
      </x:c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Z134" t="str">
        <x:f>IF('Data'!A134="","",TEXT('Data'!A134,"mm-dd"))</x:f>
      </x:c>
    </x:row>
    <x:row r="135" ht="21" customHeight="1">
      <x:c r="A135" s="15" t="n">
        <x:f>'Control Room'!$B$1+133</x:f>
        <x:v>73124</x:v>
      </x:c>
      <x:c r="B135" s="9" t="n">
        <x:f>MOD(C134*16807,2147483647)</x:f>
        <x:v>1087670599</x:v>
      </x:c>
      <x:c r="C135" s="9" t="n">
        <x:f>MOD(B135*16807,2147483647)</x:f>
        <x:v>1098954129</x:v>
      </x:c>
      <x:c r="D135" s="17" t="n">
        <x:f>IF('Control Room'!$B$5="Normal",'Control Room'!$B$7+'Control Room'!$D$7*SQRT(-2*LN(MAX(0.000000000001,B135/2147483647)))*COS(2*PI()*C135/2147483647),'Control Room'!$B$8+('Control Room'!$D$8-'Control Room'!$B$8)*B135/2147483647)</x:f>
        <x:v>895.3084158788155</x:v>
      </x:c>
      <x:c r="E135" s="17" t="n">
        <x:f>IF('Control Room'!$B$5="Normal",'Control Room'!$B$7,('Control Room'!$B$8+'Control Room'!$D$8)/2)+'Control Room'!$B$9*(E134-IF('Control Room'!$B$5="Normal",'Control Room'!$B$7,('Control Room'!$B$8+'Control Room'!$D$8)/2))+SQRT(1-'Control Room'!$B$9^2)*(D135-IF('Control Room'!$B$5="Normal",'Control Room'!$B$7,('Control Room'!$B$8+'Control Room'!$D$8)/2))</x:f>
        <x:v>897.2968805017138</x:v>
      </x:c>
      <x:c r="F135" s="17" t="n">
        <x:f>IF(AND($A135&gt;='Control Room'!$A$13,$A135&lt;'Control Room'!$A$13+'Control Room'!$B$13,'Process'!BK2=1),1+('Control Room'!$C$13-1)*EXP(-0.5*(($A135-'Control Room'!$A$13-('Control Room'!$B$13-1)/2)/MAX(0.5,'Control Room'!$B$13/4))^2),1)*IF(AND($A135&gt;='Control Room'!$A$14,$A135&lt;'Control Room'!$A$14+'Control Room'!$B$14,'Process'!BK3=1),1+('Control Room'!$C$14-1)*EXP(-0.5*(($A135-'Control Room'!$A$14-('Control Room'!$B$14-1)/2)/MAX(0.5,'Control Room'!$B$14/4))^2),1)*IF(AND($A135&gt;='Control Room'!$A$15,$A135&lt;'Control Room'!$A$15+'Control Room'!$B$15,'Process'!BK4=1),1+('Control Room'!$C$15-1)*EXP(-0.5*(($A135-'Control Room'!$A$15-('Control Room'!$B$15-1)/2)/MAX(0.5,'Control Room'!$B$15/4))^2),1)*IF(AND($A135&gt;='Control Room'!$A$16,$A135&lt;'Control Room'!$A$16+'Control Room'!$B$16,'Process'!BK5=1),1+('Control Room'!$C$16-1)*EXP(-0.5*(($A135-'Control Room'!$A$16-('Control Room'!$B$16-1)/2)/MAX(0.5,'Control Room'!$B$16/4))^2),1)</x:f>
        <x:v>1</x:v>
      </x:c>
      <x:c r="G135" s="9" t="n">
        <x:f>MOD(H134*16807,2147483647)</x:f>
        <x:v>66960106</x:v>
      </x:c>
      <x:c r="H135" s="9" t="n">
        <x:f>MOD(G135*16807,2147483647)</x:f>
        <x:v>117070514</x:v>
      </x:c>
      <x:c r="I135" s="17" t="n">
        <x:f>IF('Control Room'!$B$5="Normal",'Control Room'!$B$7+'Control Room'!$D$7*SQRT(-2*LN(MAX(0.000000000001,G135/2147483647)))*COS(2*PI()*H135/2147483647),'Control Room'!$B$8+('Control Room'!$D$8-'Control Room'!$B$8)*G135/2147483647)</x:f>
        <x:v>1223.2558360175094</x:v>
      </x:c>
      <x:c r="J135" s="17" t="n">
        <x:f>IF('Control Room'!$B$5="Normal",'Control Room'!$B$7,('Control Room'!$B$8+'Control Room'!$D$8)/2)+'Control Room'!$B$9*(J134-IF('Control Room'!$B$5="Normal",'Control Room'!$B$7,('Control Room'!$B$8+'Control Room'!$D$8)/2))+SQRT(1-'Control Room'!$B$9^2)*(I135-IF('Control Room'!$B$5="Normal",'Control Room'!$B$7,('Control Room'!$B$8+'Control Room'!$D$8)/2))</x:f>
        <x:v>1125.9456312886423</x:v>
      </x:c>
      <x:c r="K135" s="17" t="n">
        <x:f>IF(AND($A135&gt;='Control Room'!$A$13,$A135&lt;'Control Room'!$A$13+'Control Room'!$B$13,'Process'!BL2=1),1+('Control Room'!$C$13-1)*EXP(-0.5*(($A135-'Control Room'!$A$13-('Control Room'!$B$13-1)/2)/MAX(0.5,'Control Room'!$B$13/4))^2),1)*IF(AND($A135&gt;='Control Room'!$A$14,$A135&lt;'Control Room'!$A$14+'Control Room'!$B$14,'Process'!BL3=1),1+('Control Room'!$C$14-1)*EXP(-0.5*(($A135-'Control Room'!$A$14-('Control Room'!$B$14-1)/2)/MAX(0.5,'Control Room'!$B$14/4))^2),1)*IF(AND($A135&gt;='Control Room'!$A$15,$A135&lt;'Control Room'!$A$15+'Control Room'!$B$15,'Process'!BL4=1),1+('Control Room'!$C$15-1)*EXP(-0.5*(($A135-'Control Room'!$A$15-('Control Room'!$B$15-1)/2)/MAX(0.5,'Control Room'!$B$15/4))^2),1)*IF(AND($A135&gt;='Control Room'!$A$16,$A135&lt;'Control Room'!$A$16+'Control Room'!$B$16,'Process'!BL5=1),1+('Control Room'!$C$16-1)*EXP(-0.5*(($A135-'Control Room'!$A$16-('Control Room'!$B$16-1)/2)/MAX(0.5,'Control Room'!$B$16/4))^2),1)</x:f>
        <x:v>1</x:v>
      </x:c>
      <x:c r="L135" s="9" t="n">
        <x:f>MOD(M134*16807,2147483647)</x:f>
        <x:v>1193733260</x:v>
      </x:c>
      <x:c r="M135" s="9" t="n">
        <x:f>MOD(L135*16807,2147483647)</x:f>
        <x:v>1282670546</x:v>
      </x:c>
      <x:c r="N135" s="17" t="n">
        <x:f>IF('Control Room'!$B$5="Normal",'Control Room'!$B$7+'Control Room'!$D$7*SQRT(-2*LN(MAX(0.000000000001,L135/2147483647)))*COS(2*PI()*M135/2147483647),'Control Room'!$B$8+('Control Room'!$D$8-'Control Room'!$B$8)*L135/2147483647)</x:f>
        <x:v>920.1289147648839</x:v>
      </x:c>
      <x:c r="O135" s="17" t="n">
        <x:f>IF('Control Room'!$B$5="Normal",'Control Room'!$B$7,('Control Room'!$B$8+'Control Room'!$D$8)/2)+'Control Room'!$B$9*(O134-IF('Control Room'!$B$5="Normal",'Control Room'!$B$7,('Control Room'!$B$8+'Control Room'!$D$8)/2))+SQRT(1-'Control Room'!$B$9^2)*(N135-IF('Control Room'!$B$5="Normal",'Control Room'!$B$7,('Control Room'!$B$8+'Control Room'!$D$8)/2))</x:f>
        <x:v>945.2925735475301</x:v>
      </x:c>
      <x:c r="P135" s="17" t="n">
        <x:f>IF(AND($A135&gt;='Control Room'!$A$13,$A135&lt;'Control Room'!$A$13+'Control Room'!$B$13,'Process'!BM2=1),1+('Control Room'!$C$13-1)*EXP(-0.5*(($A135-'Control Room'!$A$13-('Control Room'!$B$13-1)/2)/MAX(0.5,'Control Room'!$B$13/4))^2),1)*IF(AND($A135&gt;='Control Room'!$A$14,$A135&lt;'Control Room'!$A$14+'Control Room'!$B$14,'Process'!BM3=1),1+('Control Room'!$C$14-1)*EXP(-0.5*(($A135-'Control Room'!$A$14-('Control Room'!$B$14-1)/2)/MAX(0.5,'Control Room'!$B$14/4))^2),1)*IF(AND($A135&gt;='Control Room'!$A$15,$A135&lt;'Control Room'!$A$15+'Control Room'!$B$15,'Process'!BM4=1),1+('Control Room'!$C$15-1)*EXP(-0.5*(($A135-'Control Room'!$A$15-('Control Room'!$B$15-1)/2)/MAX(0.5,'Control Room'!$B$15/4))^2),1)*IF(AND($A135&gt;='Control Room'!$A$16,$A135&lt;'Control Room'!$A$16+'Control Room'!$B$16,'Process'!BM5=1),1+('Control Room'!$C$16-1)*EXP(-0.5*(($A135-'Control Room'!$A$16-('Control Room'!$B$16-1)/2)/MAX(0.5,'Control Room'!$B$16/4))^2),1)</x:f>
        <x:v>1</x:v>
      </x:c>
      <x:c r="Q135" s="9" t="n">
        <x:f>MOD(R134*16807,2147483647)</x:f>
        <x:v>173022767</x:v>
      </x:c>
      <x:c r="R135" s="9" t="n">
        <x:f>MOD(Q135*16807,2147483647)</x:f>
        <x:v>300786931</x:v>
      </x:c>
      <x:c r="S135" s="17" t="n">
        <x:f>IF('Control Room'!$B$5="Normal",'Control Room'!$B$7+'Control Room'!$D$7*SQRT(-2*LN(MAX(0.000000000001,Q135/2147483647)))*COS(2*PI()*R135/2147483647),'Control Room'!$B$8+('Control Room'!$D$8-'Control Room'!$B$8)*Q135/2147483647)</x:f>
        <x:v>1128.692746628446</x:v>
      </x:c>
      <x:c r="T135" s="17" t="n">
        <x:f>IF('Control Room'!$B$5="Normal",'Control Room'!$B$7,('Control Room'!$B$8+'Control Room'!$D$8)/2)+'Control Room'!$B$9*(T134-IF('Control Room'!$B$5="Normal",'Control Room'!$B$7,('Control Room'!$B$8+'Control Room'!$D$8)/2))+SQRT(1-'Control Room'!$B$9^2)*(S135-IF('Control Room'!$B$5="Normal",'Control Room'!$B$7,('Control Room'!$B$8+'Control Room'!$D$8)/2))</x:f>
        <x:v>1114.2890271003687</x:v>
      </x:c>
      <x:c r="U135" s="17" t="n">
        <x:f>IF(AND($A135&gt;='Control Room'!$A$13,$A135&lt;'Control Room'!$A$13+'Control Room'!$B$13,'Process'!BN2=1),1+('Control Room'!$C$13-1)*EXP(-0.5*(($A135-'Control Room'!$A$13-('Control Room'!$B$13-1)/2)/MAX(0.5,'Control Room'!$B$13/4))^2),1)*IF(AND($A135&gt;='Control Room'!$A$14,$A135&lt;'Control Room'!$A$14+'Control Room'!$B$14,'Process'!BN3=1),1+('Control Room'!$C$14-1)*EXP(-0.5*(($A135-'Control Room'!$A$14-('Control Room'!$B$14-1)/2)/MAX(0.5,'Control Room'!$B$14/4))^2),1)*IF(AND($A135&gt;='Control Room'!$A$15,$A135&lt;'Control Room'!$A$15+'Control Room'!$B$15,'Process'!BN4=1),1+('Control Room'!$C$15-1)*EXP(-0.5*(($A135-'Control Room'!$A$15-('Control Room'!$B$15-1)/2)/MAX(0.5,'Control Room'!$B$15/4))^2),1)*IF(AND($A135&gt;='Control Room'!$A$16,$A135&lt;'Control Room'!$A$16+'Control Room'!$B$16,'Process'!BN5=1),1+('Control Room'!$C$16-1)*EXP(-0.5*(($A135-'Control Room'!$A$16-('Control Room'!$B$16-1)/2)/MAX(0.5,'Control Room'!$B$16/4))^2),1)</x:f>
        <x:v>1</x:v>
      </x:c>
      <x:c r="V135" s="9" t="n">
        <x:f>MOD(W134*16807,2147483647)</x:f>
        <x:v>1299795921</x:v>
      </x:c>
      <x:c r="W135" s="9" t="n">
        <x:f>MOD(V135*16807,2147483647)</x:f>
        <x:v>1466386963</x:v>
      </x:c>
      <x:c r="X135" s="17" t="n">
        <x:f>IF('Control Room'!$B$5="Normal",'Control Room'!$B$7+'Control Room'!$D$7*SQRT(-2*LN(MAX(0.000000000001,V135/2147483647)))*COS(2*PI()*W135/2147483647),'Control Room'!$B$8+('Control Room'!$D$8-'Control Room'!$B$8)*V135/2147483647)</x:f>
        <x:v>963.061897595134</x:v>
      </x:c>
      <x:c r="Y135" s="17" t="n">
        <x:f>IF('Control Room'!$B$5="Normal",'Control Room'!$B$7,('Control Room'!$B$8+'Control Room'!$D$8)/2)+'Control Room'!$B$9*(Y134-IF('Control Room'!$B$5="Normal",'Control Room'!$B$7,('Control Room'!$B$8+'Control Room'!$D$8)/2))+SQRT(1-'Control Room'!$B$9^2)*(X135-IF('Control Room'!$B$5="Normal",'Control Room'!$B$7,('Control Room'!$B$8+'Control Room'!$D$8)/2))</x:f>
        <x:v>857.1582643419547</x:v>
      </x:c>
      <x:c r="Z135" s="17" t="n">
        <x:f>IF(AND($A135&gt;='Control Room'!$A$13,$A135&lt;'Control Room'!$A$13+'Control Room'!$B$13,'Process'!BO2=1),1+('Control Room'!$C$13-1)*EXP(-0.5*(($A135-'Control Room'!$A$13-('Control Room'!$B$13-1)/2)/MAX(0.5,'Control Room'!$B$13/4))^2),1)*IF(AND($A135&gt;='Control Room'!$A$14,$A135&lt;'Control Room'!$A$14+'Control Room'!$B$14,'Process'!BO3=1),1+('Control Room'!$C$14-1)*EXP(-0.5*(($A135-'Control Room'!$A$14-('Control Room'!$B$14-1)/2)/MAX(0.5,'Control Room'!$B$14/4))^2),1)*IF(AND($A135&gt;='Control Room'!$A$15,$A135&lt;'Control Room'!$A$15+'Control Room'!$B$15,'Process'!BO4=1),1+('Control Room'!$C$15-1)*EXP(-0.5*(($A135-'Control Room'!$A$15-('Control Room'!$B$15-1)/2)/MAX(0.5,'Control Room'!$B$15/4))^2),1)*IF(AND($A135&gt;='Control Room'!$A$16,$A135&lt;'Control Room'!$A$16+'Control Room'!$B$16,'Process'!BO5=1),1+('Control Room'!$C$16-1)*EXP(-0.5*(($A135-'Control Room'!$A$16-('Control Room'!$B$16-1)/2)/MAX(0.5,'Control Room'!$B$16/4))^2),1)</x:f>
        <x:v>1</x:v>
      </x:c>
      <x:c r="AA135" s="9" t="n">
        <x:f>MOD(AB134*16807,2147483647)</x:f>
        <x:v>279085428</x:v>
      </x:c>
      <x:c r="AB135" s="9" t="n">
        <x:f>MOD(AA135*16807,2147483647)</x:f>
        <x:v>484503348</x:v>
      </x:c>
      <x:c r="AC135" s="17" t="n">
        <x:f>IF('Control Room'!$B$5="Normal",'Control Room'!$B$7+'Control Room'!$D$7*SQRT(-2*LN(MAX(0.000000000001,AA135/2147483647)))*COS(2*PI()*AB135/2147483647),'Control Room'!$B$8+('Control Room'!$D$8-'Control Room'!$B$8)*AA135/2147483647)</x:f>
        <x:v>1027.748609552071</x:v>
      </x:c>
      <x:c r="AD135" s="17" t="n">
        <x:f>IF('Control Room'!$B$5="Normal",'Control Room'!$B$7,('Control Room'!$B$8+'Control Room'!$D$8)/2)+'Control Room'!$B$9*(AD134-IF('Control Room'!$B$5="Normal",'Control Room'!$B$7,('Control Room'!$B$8+'Control Room'!$D$8)/2))+SQRT(1-'Control Room'!$B$9^2)*(AC135-IF('Control Room'!$B$5="Normal",'Control Room'!$B$7,('Control Room'!$B$8+'Control Room'!$D$8)/2))</x:f>
        <x:v>1024.0186457233979</x:v>
      </x:c>
      <x:c r="AE135" s="17" t="n">
        <x:f>IF(AND($A135&gt;='Control Room'!$A$13,$A135&lt;'Control Room'!$A$13+'Control Room'!$B$13,'Process'!BP2=1),1+('Control Room'!$C$13-1)*EXP(-0.5*(($A135-'Control Room'!$A$13-('Control Room'!$B$13-1)/2)/MAX(0.5,'Control Room'!$B$13/4))^2),1)*IF(AND($A135&gt;='Control Room'!$A$14,$A135&lt;'Control Room'!$A$14+'Control Room'!$B$14,'Process'!BP3=1),1+('Control Room'!$C$14-1)*EXP(-0.5*(($A135-'Control Room'!$A$14-('Control Room'!$B$14-1)/2)/MAX(0.5,'Control Room'!$B$14/4))^2),1)*IF(AND($A135&gt;='Control Room'!$A$15,$A135&lt;'Control Room'!$A$15+'Control Room'!$B$15,'Process'!BP4=1),1+('Control Room'!$C$15-1)*EXP(-0.5*(($A135-'Control Room'!$A$15-('Control Room'!$B$15-1)/2)/MAX(0.5,'Control Room'!$B$15/4))^2),1)*IF(AND($A135&gt;='Control Room'!$A$16,$A135&lt;'Control Room'!$A$16+'Control Room'!$B$16,'Process'!BP5=1),1+('Control Room'!$C$16-1)*EXP(-0.5*(($A135-'Control Room'!$A$16-('Control Room'!$B$16-1)/2)/MAX(0.5,'Control Room'!$B$16/4))^2),1)</x:f>
        <x:v>1</x:v>
      </x:c>
      <x:c r="AF135" s="9" t="n">
        <x:f>MOD(AG134*16807,2147483647)</x:f>
        <x:v>1405858582</x:v>
      </x:c>
      <x:c r="AG135" s="9" t="n">
        <x:f>MOD(AF135*16807,2147483647)</x:f>
        <x:v>1650103380</x:v>
      </x:c>
      <x:c r="AH135" s="17" t="n">
        <x:f>IF('Control Room'!$B$5="Normal",'Control Room'!$B$7+'Control Room'!$D$7*SQRT(-2*LN(MAX(0.000000000001,AF135/2147483647)))*COS(2*PI()*AG135/2147483647),'Control Room'!$B$8+('Control Room'!$D$8-'Control Room'!$B$8)*AF135/2147483647)</x:f>
        <x:v>1009.5507581318758</x:v>
      </x:c>
      <x:c r="AI135" s="17" t="n">
        <x:f>IF('Control Room'!$B$5="Normal",'Control Room'!$B$7,('Control Room'!$B$8+'Control Room'!$D$8)/2)+'Control Room'!$B$9*(AI134-IF('Control Room'!$B$5="Normal",'Control Room'!$B$7,('Control Room'!$B$8+'Control Room'!$D$8)/2))+SQRT(1-'Control Room'!$B$9^2)*(AH135-IF('Control Room'!$B$5="Normal",'Control Room'!$B$7,('Control Room'!$B$8+'Control Room'!$D$8)/2))</x:f>
        <x:v>979.2061459919697</x:v>
      </x:c>
      <x:c r="AJ135" s="17" t="n">
        <x:f>IF(AND($A135&gt;='Control Room'!$A$13,$A135&lt;'Control Room'!$A$13+'Control Room'!$B$13,'Process'!BQ2=1),1+('Control Room'!$C$13-1)*EXP(-0.5*(($A135-'Control Room'!$A$13-('Control Room'!$B$13-1)/2)/MAX(0.5,'Control Room'!$B$13/4))^2),1)*IF(AND($A135&gt;='Control Room'!$A$14,$A135&lt;'Control Room'!$A$14+'Control Room'!$B$14,'Process'!BQ3=1),1+('Control Room'!$C$14-1)*EXP(-0.5*(($A135-'Control Room'!$A$14-('Control Room'!$B$14-1)/2)/MAX(0.5,'Control Room'!$B$14/4))^2),1)*IF(AND($A135&gt;='Control Room'!$A$15,$A135&lt;'Control Room'!$A$15+'Control Room'!$B$15,'Process'!BQ4=1),1+('Control Room'!$C$15-1)*EXP(-0.5*(($A135-'Control Room'!$A$15-('Control Room'!$B$15-1)/2)/MAX(0.5,'Control Room'!$B$15/4))^2),1)*IF(AND($A135&gt;='Control Room'!$A$16,$A135&lt;'Control Room'!$A$16+'Control Room'!$B$16,'Process'!BQ5=1),1+('Control Room'!$C$16-1)*EXP(-0.5*(($A135-'Control Room'!$A$16-('Control Room'!$B$16-1)/2)/MAX(0.5,'Control Room'!$B$16/4))^2),1)</x:f>
        <x:v>1</x:v>
      </x:c>
      <x:c r="AK135" s="9" t="n">
        <x:f>MOD(AL134*16807,2147483647)</x:f>
        <x:v>385148089</x:v>
      </x:c>
      <x:c r="AL135" s="9" t="n">
        <x:f>MOD(AK135*16807,2147483647)</x:f>
        <x:v>668219765</x:v>
      </x:c>
      <x:c r="AM135" s="17" t="n">
        <x:f>IF('Control Room'!$B$5="Normal",'Control Room'!$B$7+'Control Room'!$D$7*SQRT(-2*LN(MAX(0.000000000001,AK135/2147483647)))*COS(2*PI()*AL135/2147483647),'Control Room'!$B$8+('Control Room'!$D$8-'Control Room'!$B$8)*AK135/2147483647)</x:f>
        <x:v>937.4459180285588</x:v>
      </x:c>
      <x:c r="AN135" s="17" t="n">
        <x:f>IF('Control Room'!$B$5="Normal",'Control Room'!$B$7,('Control Room'!$B$8+'Control Room'!$D$8)/2)+'Control Room'!$B$9*(AN134-IF('Control Room'!$B$5="Normal",'Control Room'!$B$7,('Control Room'!$B$8+'Control Room'!$D$8)/2))+SQRT(1-'Control Room'!$B$9^2)*(AM135-IF('Control Room'!$B$5="Normal",'Control Room'!$B$7,('Control Room'!$B$8+'Control Room'!$D$8)/2))</x:f>
        <x:v>1017.896261829192</x:v>
      </x:c>
      <x:c r="AO135" s="17" t="n">
        <x:f>IF(AND($A135&gt;='Control Room'!$A$13,$A135&lt;'Control Room'!$A$13+'Control Room'!$B$13,'Process'!BR2=1),1+('Control Room'!$C$13-1)*EXP(-0.5*(($A135-'Control Room'!$A$13-('Control Room'!$B$13-1)/2)/MAX(0.5,'Control Room'!$B$13/4))^2),1)*IF(AND($A135&gt;='Control Room'!$A$14,$A135&lt;'Control Room'!$A$14+'Control Room'!$B$14,'Process'!BR3=1),1+('Control Room'!$C$14-1)*EXP(-0.5*(($A135-'Control Room'!$A$14-('Control Room'!$B$14-1)/2)/MAX(0.5,'Control Room'!$B$14/4))^2),1)*IF(AND($A135&gt;='Control Room'!$A$15,$A135&lt;'Control Room'!$A$15+'Control Room'!$B$15,'Process'!BR4=1),1+('Control Room'!$C$15-1)*EXP(-0.5*(($A135-'Control Room'!$A$15-('Control Room'!$B$15-1)/2)/MAX(0.5,'Control Room'!$B$15/4))^2),1)*IF(AND($A135&gt;='Control Room'!$A$16,$A135&lt;'Control Room'!$A$16+'Control Room'!$B$16,'Process'!BR5=1),1+('Control Room'!$C$16-1)*EXP(-0.5*(($A135-'Control Room'!$A$16-('Control Room'!$B$16-1)/2)/MAX(0.5,'Control Room'!$B$16/4))^2),1)</x:f>
        <x:v>1</x:v>
      </x:c>
      <x:c r="AP135" s="9" t="n">
        <x:f>MOD(AQ134*16807,2147483647)</x:f>
        <x:v>1511921243</x:v>
      </x:c>
      <x:c r="AQ135" s="9" t="n">
        <x:f>MOD(AP135*16807,2147483647)</x:f>
        <x:v>1833819797</x:v>
      </x:c>
      <x:c r="AR135" s="17" t="n">
        <x:f>IF('Control Room'!$B$5="Normal",'Control Room'!$B$7+'Control Room'!$D$7*SQRT(-2*LN(MAX(0.000000000001,AP135/2147483647)))*COS(2*PI()*AQ135/2147483647),'Control Room'!$B$8+('Control Room'!$D$8-'Control Room'!$B$8)*AP135/2147483647)</x:f>
        <x:v>1045.813632809187</x:v>
      </x:c>
      <x:c r="AS135" s="17" t="n">
        <x:f>IF('Control Room'!$B$5="Normal",'Control Room'!$B$7,('Control Room'!$B$8+'Control Room'!$D$8)/2)+'Control Room'!$B$9*(AS134-IF('Control Room'!$B$5="Normal",'Control Room'!$B$7,('Control Room'!$B$8+'Control Room'!$D$8)/2))+SQRT(1-'Control Room'!$B$9^2)*(AR135-IF('Control Room'!$B$5="Normal",'Control Room'!$B$7,('Control Room'!$B$8+'Control Room'!$D$8)/2))</x:f>
        <x:v>999.8720868464414</x:v>
      </x:c>
      <x:c r="AT135" s="17" t="n">
        <x:f>IF(AND($A135&gt;='Control Room'!$A$13,$A135&lt;'Control Room'!$A$13+'Control Room'!$B$13,'Process'!BS2=1),1+('Control Room'!$C$13-1)*EXP(-0.5*(($A135-'Control Room'!$A$13-('Control Room'!$B$13-1)/2)/MAX(0.5,'Control Room'!$B$13/4))^2),1)*IF(AND($A135&gt;='Control Room'!$A$14,$A135&lt;'Control Room'!$A$14+'Control Room'!$B$14,'Process'!BS3=1),1+('Control Room'!$C$14-1)*EXP(-0.5*(($A135-'Control Room'!$A$14-('Control Room'!$B$14-1)/2)/MAX(0.5,'Control Room'!$B$14/4))^2),1)*IF(AND($A135&gt;='Control Room'!$A$15,$A135&lt;'Control Room'!$A$15+'Control Room'!$B$15,'Process'!BS4=1),1+('Control Room'!$C$15-1)*EXP(-0.5*(($A135-'Control Room'!$A$15-('Control Room'!$B$15-1)/2)/MAX(0.5,'Control Room'!$B$15/4))^2),1)*IF(AND($A135&gt;='Control Room'!$A$16,$A135&lt;'Control Room'!$A$16+'Control Room'!$B$16,'Process'!BS5=1),1+('Control Room'!$C$16-1)*EXP(-0.5*(($A135-'Control Room'!$A$16-('Control Room'!$B$16-1)/2)/MAX(0.5,'Control Room'!$B$16/4))^2),1)</x:f>
        <x:v>1</x:v>
      </x:c>
      <x:c r="AU135" s="9" t="n">
        <x:f>MOD(AV134*16807,2147483647)</x:f>
        <x:v>491210750</x:v>
      </x:c>
      <x:c r="AV135" s="9" t="n">
        <x:f>MOD(AU135*16807,2147483647)</x:f>
        <x:v>851936182</x:v>
      </x:c>
      <x:c r="AW135" s="17" t="n">
        <x:f>IF('Control Room'!$B$5="Normal",'Control Room'!$B$7+'Control Room'!$D$7*SQRT(-2*LN(MAX(0.000000000001,AU135/2147483647)))*COS(2*PI()*AV135/2147483647),'Control Room'!$B$8+('Control Room'!$D$8-'Control Room'!$B$8)*AU135/2147483647)</x:f>
        <x:v>876.8372679984137</x:v>
      </x:c>
      <x:c r="AX135" s="17" t="n">
        <x:f>IF('Control Room'!$B$5="Normal",'Control Room'!$B$7,('Control Room'!$B$8+'Control Room'!$D$8)/2)+'Control Room'!$B$9*(AX134-IF('Control Room'!$B$5="Normal",'Control Room'!$B$7,('Control Room'!$B$8+'Control Room'!$D$8)/2))+SQRT(1-'Control Room'!$B$9^2)*(AW135-IF('Control Room'!$B$5="Normal",'Control Room'!$B$7,('Control Room'!$B$8+'Control Room'!$D$8)/2))</x:f>
        <x:v>834.2962317936286</x:v>
      </x:c>
      <x:c r="AY135" s="17" t="n">
        <x:f>IF(AND($A135&gt;='Control Room'!$A$13,$A135&lt;'Control Room'!$A$13+'Control Room'!$B$13,'Process'!BT2=1),1+('Control Room'!$C$13-1)*EXP(-0.5*(($A135-'Control Room'!$A$13-('Control Room'!$B$13-1)/2)/MAX(0.5,'Control Room'!$B$13/4))^2),1)*IF(AND($A135&gt;='Control Room'!$A$14,$A135&lt;'Control Room'!$A$14+'Control Room'!$B$14,'Process'!BT3=1),1+('Control Room'!$C$14-1)*EXP(-0.5*(($A135-'Control Room'!$A$14-('Control Room'!$B$14-1)/2)/MAX(0.5,'Control Room'!$B$14/4))^2),1)*IF(AND($A135&gt;='Control Room'!$A$15,$A135&lt;'Control Room'!$A$15+'Control Room'!$B$15,'Process'!BT4=1),1+('Control Room'!$C$15-1)*EXP(-0.5*(($A135-'Control Room'!$A$15-('Control Room'!$B$15-1)/2)/MAX(0.5,'Control Room'!$B$15/4))^2),1)*IF(AND($A135&gt;='Control Room'!$A$16,$A135&lt;'Control Room'!$A$16+'Control Room'!$B$16,'Process'!BT5=1),1+('Control Room'!$C$16-1)*EXP(-0.5*(($A135-'Control Room'!$A$16-('Control Room'!$B$16-1)/2)/MAX(0.5,'Control Room'!$B$16/4))^2),1)</x:f>
        <x:v>1</x:v>
      </x:c>
      <x:c r="AZ135" s="9" t="n">
        <x:f>MOD(BA134*16807,2147483647)</x:f>
        <x:v>1617983904</x:v>
      </x:c>
      <x:c r="BA135" s="9" t="n">
        <x:f>MOD(AZ135*16807,2147483647)</x:f>
        <x:v>2017536214</x:v>
      </x:c>
      <x:c r="BB135" s="17" t="n">
        <x:f>IF('Control Room'!$B$5="Normal",'Control Room'!$B$7+'Control Room'!$D$7*SQRT(-2*LN(MAX(0.000000000001,AZ135/2147483647)))*COS(2*PI()*BA135/2147483647),'Control Room'!$B$8+('Control Room'!$D$8-'Control Room'!$B$8)*AZ135/2147483647)</x:f>
        <x:v>1062.8873050559548</x:v>
      </x:c>
      <x:c r="BC135" s="17" t="n">
        <x:f>IF('Control Room'!$B$5="Normal",'Control Room'!$B$7,('Control Room'!$B$8+'Control Room'!$D$8)/2)+'Control Room'!$B$9*(BC134-IF('Control Room'!$B$5="Normal",'Control Room'!$B$7,('Control Room'!$B$8+'Control Room'!$D$8)/2))+SQRT(1-'Control Room'!$B$9^2)*(BB135-IF('Control Room'!$B$5="Normal",'Control Room'!$B$7,('Control Room'!$B$8+'Control Room'!$D$8)/2))</x:f>
        <x:v>1099.2582770589415</x:v>
      </x:c>
      <x:c r="BD135" s="17" t="n">
        <x:f>IF(AND($A135&gt;='Control Room'!$A$13,$A135&lt;'Control Room'!$A$13+'Control Room'!$B$13,'Process'!BU2=1),1+('Control Room'!$C$13-1)*EXP(-0.5*(($A135-'Control Room'!$A$13-('Control Room'!$B$13-1)/2)/MAX(0.5,'Control Room'!$B$13/4))^2),1)*IF(AND($A135&gt;='Control Room'!$A$14,$A135&lt;'Control Room'!$A$14+'Control Room'!$B$14,'Process'!BU3=1),1+('Control Room'!$C$14-1)*EXP(-0.5*(($A135-'Control Room'!$A$14-('Control Room'!$B$14-1)/2)/MAX(0.5,'Control Room'!$B$14/4))^2),1)*IF(AND($A135&gt;='Control Room'!$A$15,$A135&lt;'Control Room'!$A$15+'Control Room'!$B$15,'Process'!BU4=1),1+('Control Room'!$C$15-1)*EXP(-0.5*(($A135-'Control Room'!$A$15-('Control Room'!$B$15-1)/2)/MAX(0.5,'Control Room'!$B$15/4))^2),1)*IF(AND($A135&gt;='Control Room'!$A$16,$A135&lt;'Control Room'!$A$16+'Control Room'!$B$16,'Process'!BU5=1),1+('Control Room'!$C$16-1)*EXP(-0.5*(($A135-'Control Room'!$A$16-('Control Room'!$B$16-1)/2)/MAX(0.5,'Control Room'!$B$16/4))^2),1)</x:f>
        <x:v>1</x:v>
      </x:c>
      <x:c r="BE135" s="9" t="n">
        <x:f>MOD(BF134*16807,2147483647)</x:f>
        <x:v>597273411</x:v>
      </x:c>
      <x:c r="BF135" s="9" t="n">
        <x:f>MOD(BE135*16807,2147483647)</x:f>
        <x:v>1035652599</x:v>
      </x:c>
      <x:c r="BG135" s="17" t="n">
        <x:f>IF('Control Room'!$B$5="Normal",'Control Room'!$B$7+'Control Room'!$D$7*SQRT(-2*LN(MAX(0.000000000001,BE135/2147483647)))*COS(2*PI()*BF135/2147483647),'Control Room'!$B$8+('Control Room'!$D$8-'Control Room'!$B$8)*BE135/2147483647)</x:f>
        <x:v>856.9113333174499</x:v>
      </x:c>
      <x:c r="BH135" s="17" t="n">
        <x:f>IF('Control Room'!$B$5="Normal",'Control Room'!$B$7,('Control Room'!$B$8+'Control Room'!$D$8)/2)+'Control Room'!$B$9*(BH134-IF('Control Room'!$B$5="Normal",'Control Room'!$B$7,('Control Room'!$B$8+'Control Room'!$D$8)/2))+SQRT(1-'Control Room'!$B$9^2)*(BG135-IF('Control Room'!$B$5="Normal",'Control Room'!$B$7,('Control Room'!$B$8+'Control Room'!$D$8)/2))</x:f>
        <x:v>945.5660520215902</x:v>
      </x:c>
      <x:c r="BI135" s="17" t="n">
        <x:f>IF(AND($A135&gt;='Control Room'!$A$13,$A135&lt;'Control Room'!$A$13+'Control Room'!$B$13,'Process'!BV2=1),1+('Control Room'!$C$13-1)*EXP(-0.5*(($A135-'Control Room'!$A$13-('Control Room'!$B$13-1)/2)/MAX(0.5,'Control Room'!$B$13/4))^2),1)*IF(AND($A135&gt;='Control Room'!$A$14,$A135&lt;'Control Room'!$A$14+'Control Room'!$B$14,'Process'!BV3=1),1+('Control Room'!$C$14-1)*EXP(-0.5*(($A135-'Control Room'!$A$14-('Control Room'!$B$14-1)/2)/MAX(0.5,'Control Room'!$B$14/4))^2),1)*IF(AND($A135&gt;='Control Room'!$A$15,$A135&lt;'Control Room'!$A$15+'Control Room'!$B$15,'Process'!BV4=1),1+('Control Room'!$C$15-1)*EXP(-0.5*(($A135-'Control Room'!$A$15-('Control Room'!$B$15-1)/2)/MAX(0.5,'Control Room'!$B$15/4))^2),1)*IF(AND($A135&gt;='Control Room'!$A$16,$A135&lt;'Control Room'!$A$16+'Control Room'!$B$16,'Process'!BV5=1),1+('Control Room'!$C$16-1)*EXP(-0.5*(($A135-'Control Room'!$A$16-('Control Room'!$B$16-1)/2)/MAX(0.5,'Control Room'!$B$16/4))^2),1)</x:f>
        <x:v>1</x:v>
      </x:c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Z135" t="str">
        <x:f>IF('Data'!A135="","",TEXT('Data'!A135,"mm-dd"))</x:f>
      </x:c>
    </x:row>
    <x:row r="136" ht="21" customHeight="1">
      <x:c r="A136" s="15" t="n">
        <x:f>'Control Room'!$B$1+134</x:f>
        <x:v>73125</x:v>
      </x:c>
      <x:c r="B136" s="9" t="n">
        <x:f>MOD(C135*16807,2147483647)</x:f>
        <x:v>1762681903</x:v>
      </x:c>
      <x:c r="C136" s="9" t="n">
        <x:f>MOD(B136*16807,2147483647)</x:f>
        <x:v>857833356</x:v>
      </x:c>
      <x:c r="D136" s="17" t="n">
        <x:f>IF('Control Room'!$B$5="Normal",'Control Room'!$B$7+'Control Room'!$D$7*SQRT(-2*LN(MAX(0.000000000001,B136/2147483647)))*COS(2*PI()*C136/2147483647),'Control Room'!$B$8+('Control Room'!$D$8-'Control Room'!$B$8)*B136/2147483647)</x:f>
        <x:v>954.356365813608</x:v>
      </x:c>
      <x:c r="E136" s="17" t="n">
        <x:f>IF('Control Room'!$B$5="Normal",'Control Room'!$B$7,('Control Room'!$B$8+'Control Room'!$D$8)/2)+'Control Room'!$B$9*(E135-IF('Control Room'!$B$5="Normal",'Control Room'!$B$7,('Control Room'!$B$8+'Control Room'!$D$8)/2))+SQRT(1-'Control Room'!$B$9^2)*(D136-IF('Control Room'!$B$5="Normal",'Control Room'!$B$7,('Control Room'!$B$8+'Control Room'!$D$8)/2))</x:f>
        <x:v>891.328715578164</x:v>
      </x:c>
      <x:c r="F136" s="17" t="n">
        <x:f>IF(AND($A136&gt;='Control Room'!$A$13,$A136&lt;'Control Room'!$A$13+'Control Room'!$B$13,'Process'!BK2=1),1+('Control Room'!$C$13-1)*EXP(-0.5*(($A136-'Control Room'!$A$13-('Control Room'!$B$13-1)/2)/MAX(0.5,'Control Room'!$B$13/4))^2),1)*IF(AND($A136&gt;='Control Room'!$A$14,$A136&lt;'Control Room'!$A$14+'Control Room'!$B$14,'Process'!BK3=1),1+('Control Room'!$C$14-1)*EXP(-0.5*(($A136-'Control Room'!$A$14-('Control Room'!$B$14-1)/2)/MAX(0.5,'Control Room'!$B$14/4))^2),1)*IF(AND($A136&gt;='Control Room'!$A$15,$A136&lt;'Control Room'!$A$15+'Control Room'!$B$15,'Process'!BK4=1),1+('Control Room'!$C$15-1)*EXP(-0.5*(($A136-'Control Room'!$A$15-('Control Room'!$B$15-1)/2)/MAX(0.5,'Control Room'!$B$15/4))^2),1)*IF(AND($A136&gt;='Control Room'!$A$16,$A136&lt;'Control Room'!$A$16+'Control Room'!$B$16,'Process'!BK5=1),1+('Control Room'!$C$16-1)*EXP(-0.5*(($A136-'Control Room'!$A$16-('Control Room'!$B$16-1)/2)/MAX(0.5,'Control Room'!$B$16/4))^2),1)</x:f>
        <x:v>1</x:v>
      </x:c>
      <x:c r="G136" s="9" t="n">
        <x:f>MOD(H135*16807,2147483647)</x:f>
        <x:v>509108146</x:v>
      </x:c>
      <x:c r="H136" s="9" t="n">
        <x:f>MOD(G136*16807,2147483647)</x:f>
        <x:v>1005760174</x:v>
      </x:c>
      <x:c r="I136" s="17" t="n">
        <x:f>IF('Control Room'!$B$5="Normal",'Control Room'!$B$7+'Control Room'!$D$7*SQRT(-2*LN(MAX(0.000000000001,G136/2147483647)))*COS(2*PI()*H136/2147483647),'Control Room'!$B$8+('Control Room'!$D$8-'Control Room'!$B$8)*G136/2147483647)</x:f>
        <x:v>850.307909479686</x:v>
      </x:c>
      <x:c r="J136" s="17" t="n">
        <x:f>IF('Control Room'!$B$5="Normal",'Control Room'!$B$7,('Control Room'!$B$8+'Control Room'!$D$8)/2)+'Control Room'!$B$9*(J135-IF('Control Room'!$B$5="Normal",'Control Room'!$B$7,('Control Room'!$B$8+'Control Room'!$D$8)/2))+SQRT(1-'Control Room'!$B$9^2)*(I136-IF('Control Room'!$B$5="Normal",'Control Room'!$B$7,('Control Room'!$B$8+'Control Room'!$D$8)/2))</x:f>
        <x:v>1004.5633487666878</x:v>
      </x:c>
      <x:c r="K136" s="17" t="n">
        <x:f>IF(AND($A136&gt;='Control Room'!$A$13,$A136&lt;'Control Room'!$A$13+'Control Room'!$B$13,'Process'!BL2=1),1+('Control Room'!$C$13-1)*EXP(-0.5*(($A136-'Control Room'!$A$13-('Control Room'!$B$13-1)/2)/MAX(0.5,'Control Room'!$B$13/4))^2),1)*IF(AND($A136&gt;='Control Room'!$A$14,$A136&lt;'Control Room'!$A$14+'Control Room'!$B$14,'Process'!BL3=1),1+('Control Room'!$C$14-1)*EXP(-0.5*(($A136-'Control Room'!$A$14-('Control Room'!$B$14-1)/2)/MAX(0.5,'Control Room'!$B$14/4))^2),1)*IF(AND($A136&gt;='Control Room'!$A$15,$A136&lt;'Control Room'!$A$15+'Control Room'!$B$15,'Process'!BL4=1),1+('Control Room'!$C$15-1)*EXP(-0.5*(($A136-'Control Room'!$A$15-('Control Room'!$B$15-1)/2)/MAX(0.5,'Control Room'!$B$15/4))^2),1)*IF(AND($A136&gt;='Control Room'!$A$16,$A136&lt;'Control Room'!$A$16+'Control Room'!$B$16,'Process'!BL5=1),1+('Control Room'!$C$16-1)*EXP(-0.5*(($A136-'Control Room'!$A$16-('Control Room'!$B$16-1)/2)/MAX(0.5,'Control Room'!$B$16/4))^2),1)</x:f>
        <x:v>1</x:v>
      </x:c>
      <x:c r="L136" s="9" t="n">
        <x:f>MOD(M135*16807,2147483647)</x:f>
        <x:v>1403018036</x:v>
      </x:c>
      <x:c r="M136" s="9" t="n">
        <x:f>MOD(L136*16807,2147483647)</x:f>
        <x:v>1153686992</x:v>
      </x:c>
      <x:c r="N136" s="17" t="n">
        <x:f>IF('Control Room'!$B$5="Normal",'Control Room'!$B$7+'Control Room'!$D$7*SQRT(-2*LN(MAX(0.000000000001,L136/2147483647)))*COS(2*PI()*M136/2147483647),'Control Room'!$B$8+('Control Room'!$D$8-'Control Room'!$B$8)*L136/2147483647)</x:f>
        <x:v>919.21996479371</x:v>
      </x:c>
      <x:c r="O136" s="17" t="n">
        <x:f>IF('Control Room'!$B$5="Normal",'Control Room'!$B$7,('Control Room'!$B$8+'Control Room'!$D$8)/2)+'Control Room'!$B$9*(O135-IF('Control Room'!$B$5="Normal",'Control Room'!$B$7,('Control Room'!$B$8+'Control Room'!$D$8)/2))+SQRT(1-'Control Room'!$B$9^2)*(N136-IF('Control Room'!$B$5="Normal",'Control Room'!$B$7,('Control Room'!$B$8+'Control Room'!$D$8)/2))</x:f>
        <x:v>906.7777162039486</x:v>
      </x:c>
      <x:c r="P136" s="17" t="n">
        <x:f>IF(AND($A136&gt;='Control Room'!$A$13,$A136&lt;'Control Room'!$A$13+'Control Room'!$B$13,'Process'!BM2=1),1+('Control Room'!$C$13-1)*EXP(-0.5*(($A136-'Control Room'!$A$13-('Control Room'!$B$13-1)/2)/MAX(0.5,'Control Room'!$B$13/4))^2),1)*IF(AND($A136&gt;='Control Room'!$A$14,$A136&lt;'Control Room'!$A$14+'Control Room'!$B$14,'Process'!BM3=1),1+('Control Room'!$C$14-1)*EXP(-0.5*(($A136-'Control Room'!$A$14-('Control Room'!$B$14-1)/2)/MAX(0.5,'Control Room'!$B$14/4))^2),1)*IF(AND($A136&gt;='Control Room'!$A$15,$A136&lt;'Control Room'!$A$15+'Control Room'!$B$15,'Process'!BM4=1),1+('Control Room'!$C$15-1)*EXP(-0.5*(($A136-'Control Room'!$A$15-('Control Room'!$B$15-1)/2)/MAX(0.5,'Control Room'!$B$15/4))^2),1)*IF(AND($A136&gt;='Control Room'!$A$16,$A136&lt;'Control Room'!$A$16+'Control Room'!$B$16,'Process'!BM5=1),1+('Control Room'!$C$16-1)*EXP(-0.5*(($A136-'Control Room'!$A$16-('Control Room'!$B$16-1)/2)/MAX(0.5,'Control Room'!$B$16/4))^2),1)</x:f>
        <x:v>1</x:v>
      </x:c>
      <x:c r="Q136" s="9" t="n">
        <x:f>MOD(R135*16807,2147483647)</x:f>
        <x:v>149444279</x:v>
      </x:c>
      <x:c r="R136" s="9" t="n">
        <x:f>MOD(Q136*16807,2147483647)</x:f>
        <x:v>1301613810</x:v>
      </x:c>
      <x:c r="S136" s="17" t="n">
        <x:f>IF('Control Room'!$B$5="Normal",'Control Room'!$B$7+'Control Room'!$D$7*SQRT(-2*LN(MAX(0.000000000001,Q136/2147483647)))*COS(2*PI()*R136/2147483647),'Control Room'!$B$8+('Control Room'!$D$8-'Control Room'!$B$8)*Q136/2147483647)</x:f>
        <x:v>836.7098700097777</x:v>
      </x:c>
      <x:c r="T136" s="17" t="n">
        <x:f>IF('Control Room'!$B$5="Normal",'Control Room'!$B$7,('Control Room'!$B$8+'Control Room'!$D$8)/2)+'Control Room'!$B$9*(T135-IF('Control Room'!$B$5="Normal",'Control Room'!$B$7,('Control Room'!$B$8+'Control Room'!$D$8)/2))+SQRT(1-'Control Room'!$B$9^2)*(S136-IF('Control Room'!$B$5="Normal",'Control Room'!$B$7,('Control Room'!$B$8+'Control Room'!$D$8)/2))</x:f>
        <x:v>986.9618229705461</x:v>
      </x:c>
      <x:c r="U136" s="17" t="n">
        <x:f>IF(AND($A136&gt;='Control Room'!$A$13,$A136&lt;'Control Room'!$A$13+'Control Room'!$B$13,'Process'!BN2=1),1+('Control Room'!$C$13-1)*EXP(-0.5*(($A136-'Control Room'!$A$13-('Control Room'!$B$13-1)/2)/MAX(0.5,'Control Room'!$B$13/4))^2),1)*IF(AND($A136&gt;='Control Room'!$A$14,$A136&lt;'Control Room'!$A$14+'Control Room'!$B$14,'Process'!BN3=1),1+('Control Room'!$C$14-1)*EXP(-0.5*(($A136-'Control Room'!$A$14-('Control Room'!$B$14-1)/2)/MAX(0.5,'Control Room'!$B$14/4))^2),1)*IF(AND($A136&gt;='Control Room'!$A$15,$A136&lt;'Control Room'!$A$15+'Control Room'!$B$15,'Process'!BN4=1),1+('Control Room'!$C$15-1)*EXP(-0.5*(($A136-'Control Room'!$A$15-('Control Room'!$B$15-1)/2)/MAX(0.5,'Control Room'!$B$15/4))^2),1)*IF(AND($A136&gt;='Control Room'!$A$16,$A136&lt;'Control Room'!$A$16+'Control Room'!$B$16,'Process'!BN5=1),1+('Control Room'!$C$16-1)*EXP(-0.5*(($A136-'Control Room'!$A$16-('Control Room'!$B$16-1)/2)/MAX(0.5,'Control Room'!$B$16/4))^2),1)</x:f>
        <x:v>1</x:v>
      </x:c>
      <x:c r="V136" s="9" t="n">
        <x:f>MOD(W135*16807,2147483647)</x:f>
        <x:v>1043354169</x:v>
      </x:c>
      <x:c r="W136" s="9" t="n">
        <x:f>MOD(V136*16807,2147483647)</x:f>
        <x:v>1449540628</x:v>
      </x:c>
      <x:c r="X136" s="17" t="n">
        <x:f>IF('Control Room'!$B$5="Normal",'Control Room'!$B$7+'Control Room'!$D$7*SQRT(-2*LN(MAX(0.000000000001,V136/2147483647)))*COS(2*PI()*W136/2147483647),'Control Room'!$B$8+('Control Room'!$D$8-'Control Room'!$B$8)*V136/2147483647)</x:f>
        <x:v>950.9028145752087</x:v>
      </x:c>
      <x:c r="Y136" s="17" t="n">
        <x:f>IF('Control Room'!$B$5="Normal",'Control Room'!$B$7,('Control Room'!$B$8+'Control Room'!$D$8)/2)+'Control Room'!$B$9*(Y135-IF('Control Room'!$B$5="Normal",'Control Room'!$B$7,('Control Room'!$B$8+'Control Room'!$D$8)/2))+SQRT(1-'Control Room'!$B$9^2)*(X136-IF('Control Room'!$B$5="Normal",'Control Room'!$B$7,('Control Room'!$B$8+'Control Room'!$D$8)/2))</x:f>
        <x:v>857.8594333584044</x:v>
      </x:c>
      <x:c r="Z136" s="17" t="n">
        <x:f>IF(AND($A136&gt;='Control Room'!$A$13,$A136&lt;'Control Room'!$A$13+'Control Room'!$B$13,'Process'!BO2=1),1+('Control Room'!$C$13-1)*EXP(-0.5*(($A136-'Control Room'!$A$13-('Control Room'!$B$13-1)/2)/MAX(0.5,'Control Room'!$B$13/4))^2),1)*IF(AND($A136&gt;='Control Room'!$A$14,$A136&lt;'Control Room'!$A$14+'Control Room'!$B$14,'Process'!BO3=1),1+('Control Room'!$C$14-1)*EXP(-0.5*(($A136-'Control Room'!$A$14-('Control Room'!$B$14-1)/2)/MAX(0.5,'Control Room'!$B$14/4))^2),1)*IF(AND($A136&gt;='Control Room'!$A$15,$A136&lt;'Control Room'!$A$15+'Control Room'!$B$15,'Process'!BO4=1),1+('Control Room'!$C$15-1)*EXP(-0.5*(($A136-'Control Room'!$A$15-('Control Room'!$B$15-1)/2)/MAX(0.5,'Control Room'!$B$15/4))^2),1)*IF(AND($A136&gt;='Control Room'!$A$16,$A136&lt;'Control Room'!$A$16+'Control Room'!$B$16,'Process'!BO5=1),1+('Control Room'!$C$16-1)*EXP(-0.5*(($A136-'Control Room'!$A$16-('Control Room'!$B$16-1)/2)/MAX(0.5,'Control Room'!$B$16/4))^2),1)</x:f>
        <x:v>1</x:v>
      </x:c>
      <x:c r="AA136" s="9" t="n">
        <x:f>MOD(AB135*16807,2147483647)</x:f>
        <x:v>1937264059</x:v>
      </x:c>
      <x:c r="AB136" s="9" t="n">
        <x:f>MOD(AA136*16807,2147483647)</x:f>
        <x:v>1597467446</x:v>
      </x:c>
      <x:c r="AC136" s="17" t="n">
        <x:f>IF('Control Room'!$B$5="Normal",'Control Room'!$B$7+'Control Room'!$D$7*SQRT(-2*LN(MAX(0.000000000001,AA136/2147483647)))*COS(2*PI()*AB136/2147483647),'Control Room'!$B$8+('Control Room'!$D$8-'Control Room'!$B$8)*AA136/2147483647)</x:f>
        <x:v>998.429161698755</x:v>
      </x:c>
      <x:c r="AD136" s="17" t="n">
        <x:f>IF('Control Room'!$B$5="Normal",'Control Room'!$B$7,('Control Room'!$B$8+'Control Room'!$D$8)/2)+'Control Room'!$B$9*(AD135-IF('Control Room'!$B$5="Normal",'Control Room'!$B$7,('Control Room'!$B$8+'Control Room'!$D$8)/2))+SQRT(1-'Control Room'!$B$9^2)*(AC136-IF('Control Room'!$B$5="Normal",'Control Room'!$B$7,('Control Room'!$B$8+'Control Room'!$D$8)/2))</x:f>
        <x:v>1017.751545235703</x:v>
      </x:c>
      <x:c r="AE136" s="17" t="n">
        <x:f>IF(AND($A136&gt;='Control Room'!$A$13,$A136&lt;'Control Room'!$A$13+'Control Room'!$B$13,'Process'!BP2=1),1+('Control Room'!$C$13-1)*EXP(-0.5*(($A136-'Control Room'!$A$13-('Control Room'!$B$13-1)/2)/MAX(0.5,'Control Room'!$B$13/4))^2),1)*IF(AND($A136&gt;='Control Room'!$A$14,$A136&lt;'Control Room'!$A$14+'Control Room'!$B$14,'Process'!BP3=1),1+('Control Room'!$C$14-1)*EXP(-0.5*(($A136-'Control Room'!$A$14-('Control Room'!$B$14-1)/2)/MAX(0.5,'Control Room'!$B$14/4))^2),1)*IF(AND($A136&gt;='Control Room'!$A$15,$A136&lt;'Control Room'!$A$15+'Control Room'!$B$15,'Process'!BP4=1),1+('Control Room'!$C$15-1)*EXP(-0.5*(($A136-'Control Room'!$A$15-('Control Room'!$B$15-1)/2)/MAX(0.5,'Control Room'!$B$15/4))^2),1)*IF(AND($A136&gt;='Control Room'!$A$16,$A136&lt;'Control Room'!$A$16+'Control Room'!$B$16,'Process'!BP5=1),1+('Control Room'!$C$16-1)*EXP(-0.5*(($A136-'Control Room'!$A$16-('Control Room'!$B$16-1)/2)/MAX(0.5,'Control Room'!$B$16/4))^2),1)</x:f>
        <x:v>1</x:v>
      </x:c>
      <x:c r="AF136" s="9" t="n">
        <x:f>MOD(AG135*16807,2147483647)</x:f>
        <x:v>683690302</x:v>
      </x:c>
      <x:c r="AG136" s="9" t="n">
        <x:f>MOD(AF136*16807,2147483647)</x:f>
        <x:v>1745394264</x:v>
      </x:c>
      <x:c r="AH136" s="17" t="n">
        <x:f>IF('Control Room'!$B$5="Normal",'Control Room'!$B$7+'Control Room'!$D$7*SQRT(-2*LN(MAX(0.000000000001,AF136/2147483647)))*COS(2*PI()*AG136/2147483647),'Control Room'!$B$8+('Control Room'!$D$8-'Control Room'!$B$8)*AF136/2147483647)</x:f>
        <x:v>1052.3166009017862</x:v>
      </x:c>
      <x:c r="AI136" s="17" t="n">
        <x:f>IF('Control Room'!$B$5="Normal",'Control Room'!$B$7,('Control Room'!$B$8+'Control Room'!$D$8)/2)+'Control Room'!$B$9*(AI135-IF('Control Room'!$B$5="Normal",'Control Room'!$B$7,('Control Room'!$B$8+'Control Room'!$D$8)/2))+SQRT(1-'Control Room'!$B$9^2)*(AH136-IF('Control Room'!$B$5="Normal",'Control Room'!$B$7,('Control Room'!$B$8+'Control Room'!$D$8)/2))</x:f>
        <x:v>1016.5194509542491</x:v>
      </x:c>
      <x:c r="AJ136" s="17" t="n">
        <x:f>IF(AND($A136&gt;='Control Room'!$A$13,$A136&lt;'Control Room'!$A$13+'Control Room'!$B$13,'Process'!BQ2=1),1+('Control Room'!$C$13-1)*EXP(-0.5*(($A136-'Control Room'!$A$13-('Control Room'!$B$13-1)/2)/MAX(0.5,'Control Room'!$B$13/4))^2),1)*IF(AND($A136&gt;='Control Room'!$A$14,$A136&lt;'Control Room'!$A$14+'Control Room'!$B$14,'Process'!BQ3=1),1+('Control Room'!$C$14-1)*EXP(-0.5*(($A136-'Control Room'!$A$14-('Control Room'!$B$14-1)/2)/MAX(0.5,'Control Room'!$B$14/4))^2),1)*IF(AND($A136&gt;='Control Room'!$A$15,$A136&lt;'Control Room'!$A$15+'Control Room'!$B$15,'Process'!BQ4=1),1+('Control Room'!$C$15-1)*EXP(-0.5*(($A136-'Control Room'!$A$15-('Control Room'!$B$15-1)/2)/MAX(0.5,'Control Room'!$B$15/4))^2),1)*IF(AND($A136&gt;='Control Room'!$A$16,$A136&lt;'Control Room'!$A$16+'Control Room'!$B$16,'Process'!BQ5=1),1+('Control Room'!$C$16-1)*EXP(-0.5*(($A136-'Control Room'!$A$16-('Control Room'!$B$16-1)/2)/MAX(0.5,'Control Room'!$B$16/4))^2),1)</x:f>
        <x:v>1</x:v>
      </x:c>
      <x:c r="AK136" s="9" t="n">
        <x:f>MOD(AL135*16807,2147483647)</x:f>
        <x:v>1577600192</x:v>
      </x:c>
      <x:c r="AL136" s="9" t="n">
        <x:f>MOD(AK136*16807,2147483647)</x:f>
        <x:v>1893321082</x:v>
      </x:c>
      <x:c r="AM136" s="17" t="n">
        <x:f>IF('Control Room'!$B$5="Normal",'Control Room'!$B$7+'Control Room'!$D$7*SQRT(-2*LN(MAX(0.000000000001,AK136/2147483647)))*COS(2*PI()*AL136/2147483647),'Control Room'!$B$8+('Control Room'!$D$8-'Control Room'!$B$8)*AK136/2147483647)</x:f>
        <x:v>1052.0227232352304</x:v>
      </x:c>
      <x:c r="AN136" s="17" t="n">
        <x:f>IF('Control Room'!$B$5="Normal",'Control Room'!$B$7,('Control Room'!$B$8+'Control Room'!$D$8)/2)+'Control Room'!$B$9*(AN135-IF('Control Room'!$B$5="Normal",'Control Room'!$B$7,('Control Room'!$B$8+'Control Room'!$D$8)/2))+SQRT(1-'Control Room'!$B$9^2)*(AM136-IF('Control Room'!$B$5="Normal",'Control Room'!$B$7,('Control Room'!$B$8+'Control Room'!$D$8)/2))</x:f>
        <x:v>1046.513838683963</x:v>
      </x:c>
      <x:c r="AO136" s="17" t="n">
        <x:f>IF(AND($A136&gt;='Control Room'!$A$13,$A136&lt;'Control Room'!$A$13+'Control Room'!$B$13,'Process'!BR2=1),1+('Control Room'!$C$13-1)*EXP(-0.5*(($A136-'Control Room'!$A$13-('Control Room'!$B$13-1)/2)/MAX(0.5,'Control Room'!$B$13/4))^2),1)*IF(AND($A136&gt;='Control Room'!$A$14,$A136&lt;'Control Room'!$A$14+'Control Room'!$B$14,'Process'!BR3=1),1+('Control Room'!$C$14-1)*EXP(-0.5*(($A136-'Control Room'!$A$14-('Control Room'!$B$14-1)/2)/MAX(0.5,'Control Room'!$B$14/4))^2),1)*IF(AND($A136&gt;='Control Room'!$A$15,$A136&lt;'Control Room'!$A$15+'Control Room'!$B$15,'Process'!BR4=1),1+('Control Room'!$C$15-1)*EXP(-0.5*(($A136-'Control Room'!$A$15-('Control Room'!$B$15-1)/2)/MAX(0.5,'Control Room'!$B$15/4))^2),1)*IF(AND($A136&gt;='Control Room'!$A$16,$A136&lt;'Control Room'!$A$16+'Control Room'!$B$16,'Process'!BR5=1),1+('Control Room'!$C$16-1)*EXP(-0.5*(($A136-'Control Room'!$A$16-('Control Room'!$B$16-1)/2)/MAX(0.5,'Control Room'!$B$16/4))^2),1)</x:f>
        <x:v>1</x:v>
      </x:c>
      <x:c r="AP136" s="9" t="n">
        <x:f>MOD(AQ135*16807,2147483647)</x:f>
        <x:v>324026435</x:v>
      </x:c>
      <x:c r="AQ136" s="9" t="n">
        <x:f>MOD(AP136*16807,2147483647)</x:f>
        <x:v>2041247900</x:v>
      </x:c>
      <x:c r="AR136" s="17" t="n">
        <x:f>IF('Control Room'!$B$5="Normal",'Control Room'!$B$7+'Control Room'!$D$7*SQRT(-2*LN(MAX(0.000000000001,AP136/2147483647)))*COS(2*PI()*AQ136/2147483647),'Control Room'!$B$8+('Control Room'!$D$8-'Control Room'!$B$8)*AP136/2147483647)</x:f>
        <x:v>1166.6491167649258</x:v>
      </x:c>
      <x:c r="AS136" s="17" t="n">
        <x:f>IF('Control Room'!$B$5="Normal",'Control Room'!$B$7,('Control Room'!$B$8+'Control Room'!$D$8)/2)+'Control Room'!$B$9*(AS135-IF('Control Room'!$B$5="Normal",'Control Room'!$B$7,('Control Room'!$B$8+'Control Room'!$D$8)/2))+SQRT(1-'Control Room'!$B$9^2)*(AR136-IF('Control Room'!$B$5="Normal",'Control Room'!$B$7,('Control Room'!$B$8+'Control Room'!$D$8)/2))</x:f>
        <x:v>1104.185831018991</x:v>
      </x:c>
      <x:c r="AT136" s="17" t="n">
        <x:f>IF(AND($A136&gt;='Control Room'!$A$13,$A136&lt;'Control Room'!$A$13+'Control Room'!$B$13,'Process'!BS2=1),1+('Control Room'!$C$13-1)*EXP(-0.5*(($A136-'Control Room'!$A$13-('Control Room'!$B$13-1)/2)/MAX(0.5,'Control Room'!$B$13/4))^2),1)*IF(AND($A136&gt;='Control Room'!$A$14,$A136&lt;'Control Room'!$A$14+'Control Room'!$B$14,'Process'!BS3=1),1+('Control Room'!$C$14-1)*EXP(-0.5*(($A136-'Control Room'!$A$14-('Control Room'!$B$14-1)/2)/MAX(0.5,'Control Room'!$B$14/4))^2),1)*IF(AND($A136&gt;='Control Room'!$A$15,$A136&lt;'Control Room'!$A$15+'Control Room'!$B$15,'Process'!BS4=1),1+('Control Room'!$C$15-1)*EXP(-0.5*(($A136-'Control Room'!$A$15-('Control Room'!$B$15-1)/2)/MAX(0.5,'Control Room'!$B$15/4))^2),1)*IF(AND($A136&gt;='Control Room'!$A$16,$A136&lt;'Control Room'!$A$16+'Control Room'!$B$16,'Process'!BS5=1),1+('Control Room'!$C$16-1)*EXP(-0.5*(($A136-'Control Room'!$A$16-('Control Room'!$B$16-1)/2)/MAX(0.5,'Control Room'!$B$16/4))^2),1)</x:f>
        <x:v>1</x:v>
      </x:c>
      <x:c r="AU136" s="9" t="n">
        <x:f>MOD(AV135*16807,2147483647)</x:f>
        <x:v>1217936325</x:v>
      </x:c>
      <x:c r="AV136" s="9" t="n">
        <x:f>MOD(AU136*16807,2147483647)</x:f>
        <x:v>41691071</x:v>
      </x:c>
      <x:c r="AW136" s="17" t="n">
        <x:f>IF('Control Room'!$B$5="Normal",'Control Room'!$B$7+'Control Room'!$D$7*SQRT(-2*LN(MAX(0.000000000001,AU136/2147483647)))*COS(2*PI()*AV136/2147483647),'Control Room'!$B$8+('Control Room'!$D$8-'Control Room'!$B$8)*AU136/2147483647)</x:f>
        <x:v>1095.1399992836855</x:v>
      </x:c>
      <x:c r="AX136" s="17" t="n">
        <x:f>IF('Control Room'!$B$5="Normal",'Control Room'!$B$7,('Control Room'!$B$8+'Control Room'!$D$8)/2)+'Control Room'!$B$9*(AX135-IF('Control Room'!$B$5="Normal",'Control Room'!$B$7,('Control Room'!$B$8+'Control Room'!$D$8)/2))+SQRT(1-'Control Room'!$B$9^2)*(AW136-IF('Control Room'!$B$5="Normal",'Control Room'!$B$7,('Control Room'!$B$8+'Control Room'!$D$8)/2))</x:f>
        <x:v>930.2877233019352</x:v>
      </x:c>
      <x:c r="AY136" s="17" t="n">
        <x:f>IF(AND($A136&gt;='Control Room'!$A$13,$A136&lt;'Control Room'!$A$13+'Control Room'!$B$13,'Process'!BT2=1),1+('Control Room'!$C$13-1)*EXP(-0.5*(($A136-'Control Room'!$A$13-('Control Room'!$B$13-1)/2)/MAX(0.5,'Control Room'!$B$13/4))^2),1)*IF(AND($A136&gt;='Control Room'!$A$14,$A136&lt;'Control Room'!$A$14+'Control Room'!$B$14,'Process'!BT3=1),1+('Control Room'!$C$14-1)*EXP(-0.5*(($A136-'Control Room'!$A$14-('Control Room'!$B$14-1)/2)/MAX(0.5,'Control Room'!$B$14/4))^2),1)*IF(AND($A136&gt;='Control Room'!$A$15,$A136&lt;'Control Room'!$A$15+'Control Room'!$B$15,'Process'!BT4=1),1+('Control Room'!$C$15-1)*EXP(-0.5*(($A136-'Control Room'!$A$15-('Control Room'!$B$15-1)/2)/MAX(0.5,'Control Room'!$B$15/4))^2),1)*IF(AND($A136&gt;='Control Room'!$A$16,$A136&lt;'Control Room'!$A$16+'Control Room'!$B$16,'Process'!BT5=1),1+('Control Room'!$C$16-1)*EXP(-0.5*(($A136-'Control Room'!$A$16-('Control Room'!$B$16-1)/2)/MAX(0.5,'Control Room'!$B$16/4))^2),1)</x:f>
        <x:v>1</x:v>
      </x:c>
      <x:c r="AZ136" s="9" t="n">
        <x:f>MOD(BA135*16807,2147483647)</x:f>
        <x:v>2111846215</x:v>
      </x:c>
      <x:c r="BA136" s="9" t="n">
        <x:f>MOD(AZ136*16807,2147483647)</x:f>
        <x:v>189617889</x:v>
      </x:c>
      <x:c r="BB136" s="17" t="n">
        <x:f>IF('Control Room'!$B$5="Normal",'Control Room'!$B$7+'Control Room'!$D$7*SQRT(-2*LN(MAX(0.000000000001,AZ136/2147483647)))*COS(2*PI()*BA136/2147483647),'Control Room'!$B$8+('Control Room'!$D$8-'Control Room'!$B$8)*AZ136/2147483647)</x:f>
        <x:v>1013.9953732851898</x:v>
      </x:c>
      <x:c r="BC136" s="17" t="n">
        <x:f>IF('Control Room'!$B$5="Normal",'Control Room'!$B$7,('Control Room'!$B$8+'Control Room'!$D$8)/2)+'Control Room'!$B$9*(BC135-IF('Control Room'!$B$5="Normal",'Control Room'!$B$7,('Control Room'!$B$8+'Control Room'!$D$8)/2))+SQRT(1-'Control Room'!$B$9^2)*(BB136-IF('Control Room'!$B$5="Normal",'Control Room'!$B$7,('Control Room'!$B$8+'Control Room'!$D$8)/2))</x:f>
        <x:v>1086.1794739970403</x:v>
      </x:c>
      <x:c r="BD136" s="17" t="n">
        <x:f>IF(AND($A136&gt;='Control Room'!$A$13,$A136&lt;'Control Room'!$A$13+'Control Room'!$B$13,'Process'!BU2=1),1+('Control Room'!$C$13-1)*EXP(-0.5*(($A136-'Control Room'!$A$13-('Control Room'!$B$13-1)/2)/MAX(0.5,'Control Room'!$B$13/4))^2),1)*IF(AND($A136&gt;='Control Room'!$A$14,$A136&lt;'Control Room'!$A$14+'Control Room'!$B$14,'Process'!BU3=1),1+('Control Room'!$C$14-1)*EXP(-0.5*(($A136-'Control Room'!$A$14-('Control Room'!$B$14-1)/2)/MAX(0.5,'Control Room'!$B$14/4))^2),1)*IF(AND($A136&gt;='Control Room'!$A$15,$A136&lt;'Control Room'!$A$15+'Control Room'!$B$15,'Process'!BU4=1),1+('Control Room'!$C$15-1)*EXP(-0.5*(($A136-'Control Room'!$A$15-('Control Room'!$B$15-1)/2)/MAX(0.5,'Control Room'!$B$15/4))^2),1)*IF(AND($A136&gt;='Control Room'!$A$16,$A136&lt;'Control Room'!$A$16+'Control Room'!$B$16,'Process'!BU5=1),1+('Control Room'!$C$16-1)*EXP(-0.5*(($A136-'Control Room'!$A$16-('Control Room'!$B$16-1)/2)/MAX(0.5,'Control Room'!$B$16/4))^2),1)</x:f>
        <x:v>1</x:v>
      </x:c>
      <x:c r="BE136" s="9" t="n">
        <x:f>MOD(BF135*16807,2147483647)</x:f>
        <x:v>858272458</x:v>
      </x:c>
      <x:c r="BF136" s="9" t="n">
        <x:f>MOD(BE136*16807,2147483647)</x:f>
        <x:v>337544707</x:v>
      </x:c>
      <x:c r="BG136" s="17" t="n">
        <x:f>IF('Control Room'!$B$5="Normal",'Control Room'!$B$7+'Control Room'!$D$7*SQRT(-2*LN(MAX(0.000000000001,BE136/2147483647)))*COS(2*PI()*BF136/2147483647),'Control Room'!$B$8+('Control Room'!$D$8-'Control Room'!$B$8)*BE136/2147483647)</x:f>
        <x:v>1067.1249004951908</x:v>
      </x:c>
      <x:c r="BH136" s="17" t="n">
        <x:f>IF('Control Room'!$B$5="Normal",'Control Room'!$B$7,('Control Room'!$B$8+'Control Room'!$D$8)/2)+'Control Room'!$B$9*(BH135-IF('Control Room'!$B$5="Normal",'Control Room'!$B$7,('Control Room'!$B$8+'Control Room'!$D$8)/2))+SQRT(1-'Control Room'!$B$9^2)*(BG136-IF('Control Room'!$B$5="Normal",'Control Room'!$B$7,('Control Room'!$B$8+'Control Room'!$D$8)/2))</x:f>
        <x:v>999.5469081783991</x:v>
      </x:c>
      <x:c r="BI136" s="17" t="n">
        <x:f>IF(AND($A136&gt;='Control Room'!$A$13,$A136&lt;'Control Room'!$A$13+'Control Room'!$B$13,'Process'!BV2=1),1+('Control Room'!$C$13-1)*EXP(-0.5*(($A136-'Control Room'!$A$13-('Control Room'!$B$13-1)/2)/MAX(0.5,'Control Room'!$B$13/4))^2),1)*IF(AND($A136&gt;='Control Room'!$A$14,$A136&lt;'Control Room'!$A$14+'Control Room'!$B$14,'Process'!BV3=1),1+('Control Room'!$C$14-1)*EXP(-0.5*(($A136-'Control Room'!$A$14-('Control Room'!$B$14-1)/2)/MAX(0.5,'Control Room'!$B$14/4))^2),1)*IF(AND($A136&gt;='Control Room'!$A$15,$A136&lt;'Control Room'!$A$15+'Control Room'!$B$15,'Process'!BV4=1),1+('Control Room'!$C$15-1)*EXP(-0.5*(($A136-'Control Room'!$A$15-('Control Room'!$B$15-1)/2)/MAX(0.5,'Control Room'!$B$15/4))^2),1)*IF(AND($A136&gt;='Control Room'!$A$16,$A136&lt;'Control Room'!$A$16+'Control Room'!$B$16,'Process'!BV5=1),1+('Control Room'!$C$16-1)*EXP(-0.5*(($A136-'Control Room'!$A$16-('Control Room'!$B$16-1)/2)/MAX(0.5,'Control Room'!$B$16/4))^2),1)</x:f>
        <x:v>1</x:v>
      </x:c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Z136" t="str">
        <x:f>IF('Data'!A136="","",TEXT('Data'!A136,"mm-dd"))</x:f>
      </x:c>
    </x:row>
    <x:row r="137" ht="21" customHeight="1">
      <x:c r="A137" s="15" t="n">
        <x:f>'Control Room'!$B$1+135</x:f>
        <x:v>73126</x:v>
      </x:c>
      <x:c r="B137" s="9" t="n">
        <x:f>MOD(C136*16807,2147483647)</x:f>
        <x:v>1547491981</x:v>
      </x:c>
      <x:c r="C137" s="9" t="n">
        <x:f>MOD(B137*16807,2147483647)</x:f>
        <x:v>523275850</x:v>
      </x:c>
      <x:c r="D137" s="17" t="n">
        <x:f>IF('Control Room'!$B$5="Normal",'Control Room'!$B$7+'Control Room'!$D$7*SQRT(-2*LN(MAX(0.000000000001,B137/2147483647)))*COS(2*PI()*C137/2147483647),'Control Room'!$B$8+('Control Room'!$D$8-'Control Room'!$B$8)*B137/2147483647)</x:f>
        <x:v>1002.8972547565817</x:v>
      </x:c>
      <x:c r="E137" s="17" t="n">
        <x:f>IF('Control Room'!$B$5="Normal",'Control Room'!$B$7,('Control Room'!$B$8+'Control Room'!$D$8)/2)+'Control Room'!$B$9*(E136-IF('Control Room'!$B$5="Normal",'Control Room'!$B$7,('Control Room'!$B$8+'Control Room'!$D$8)/2))+SQRT(1-'Control Room'!$B$9^2)*(D137-IF('Control Room'!$B$5="Normal",'Control Room'!$B$7,('Control Room'!$B$8+'Control Room'!$D$8)/2))</x:f>
        <x:v>917.0494408241468</x:v>
      </x:c>
      <x:c r="F137" s="17" t="n">
        <x:f>IF(AND($A137&gt;='Control Room'!$A$13,$A137&lt;'Control Room'!$A$13+'Control Room'!$B$13,'Process'!BK2=1),1+('Control Room'!$C$13-1)*EXP(-0.5*(($A137-'Control Room'!$A$13-('Control Room'!$B$13-1)/2)/MAX(0.5,'Control Room'!$B$13/4))^2),1)*IF(AND($A137&gt;='Control Room'!$A$14,$A137&lt;'Control Room'!$A$14+'Control Room'!$B$14,'Process'!BK3=1),1+('Control Room'!$C$14-1)*EXP(-0.5*(($A137-'Control Room'!$A$14-('Control Room'!$B$14-1)/2)/MAX(0.5,'Control Room'!$B$14/4))^2),1)*IF(AND($A137&gt;='Control Room'!$A$15,$A137&lt;'Control Room'!$A$15+'Control Room'!$B$15,'Process'!BK4=1),1+('Control Room'!$C$15-1)*EXP(-0.5*(($A137-'Control Room'!$A$15-('Control Room'!$B$15-1)/2)/MAX(0.5,'Control Room'!$B$15/4))^2),1)*IF(AND($A137&gt;='Control Room'!$A$16,$A137&lt;'Control Room'!$A$16+'Control Room'!$B$16,'Process'!BK5=1),1+('Control Room'!$C$16-1)*EXP(-0.5*(($A137-'Control Room'!$A$16-('Control Room'!$B$16-1)/2)/MAX(0.5,'Control Room'!$B$16/4))^2),1)</x:f>
        <x:v>1</x:v>
      </x:c>
      <x:c r="G137" s="9" t="n">
        <x:f>MOD(H136*16807,2147483647)</x:f>
        <x:v>967458881</x:v>
      </x:c>
      <x:c r="H137" s="9" t="n">
        <x:f>MOD(G137*16807,2147483647)</x:f>
        <x:v>1482721530</x:v>
      </x:c>
      <x:c r="I137" s="17" t="n">
        <x:f>IF('Control Room'!$B$5="Normal",'Control Room'!$B$7+'Control Room'!$D$7*SQRT(-2*LN(MAX(0.000000000001,G137/2147483647)))*COS(2*PI()*H137/2147483647),'Control Room'!$B$8+('Control Room'!$D$8-'Control Room'!$B$8)*G137/2147483647)</x:f>
        <x:v>958.456975677443</x:v>
      </x:c>
      <x:c r="J137" s="17" t="n">
        <x:f>IF('Control Room'!$B$5="Normal",'Control Room'!$B$7,('Control Room'!$B$8+'Control Room'!$D$8)/2)+'Control Room'!$B$9*(J136-IF('Control Room'!$B$5="Normal",'Control Room'!$B$7,('Control Room'!$B$8+'Control Room'!$D$8)/2))+SQRT(1-'Control Room'!$B$9^2)*(I137-IF('Control Room'!$B$5="Normal",'Control Room'!$B$7,('Control Room'!$B$8+'Control Room'!$D$8)/2))</x:f>
        <x:v>977.5626384720725</x:v>
      </x:c>
      <x:c r="K137" s="17" t="n">
        <x:f>IF(AND($A137&gt;='Control Room'!$A$13,$A137&lt;'Control Room'!$A$13+'Control Room'!$B$13,'Process'!BL2=1),1+('Control Room'!$C$13-1)*EXP(-0.5*(($A137-'Control Room'!$A$13-('Control Room'!$B$13-1)/2)/MAX(0.5,'Control Room'!$B$13/4))^2),1)*IF(AND($A137&gt;='Control Room'!$A$14,$A137&lt;'Control Room'!$A$14+'Control Room'!$B$14,'Process'!BL3=1),1+('Control Room'!$C$14-1)*EXP(-0.5*(($A137-'Control Room'!$A$14-('Control Room'!$B$14-1)/2)/MAX(0.5,'Control Room'!$B$14/4))^2),1)*IF(AND($A137&gt;='Control Room'!$A$15,$A137&lt;'Control Room'!$A$15+'Control Room'!$B$15,'Process'!BL4=1),1+('Control Room'!$C$15-1)*EXP(-0.5*(($A137-'Control Room'!$A$15-('Control Room'!$B$15-1)/2)/MAX(0.5,'Control Room'!$B$15/4))^2),1)*IF(AND($A137&gt;='Control Room'!$A$16,$A137&lt;'Control Room'!$A$16+'Control Room'!$B$16,'Process'!BL5=1),1+('Control Room'!$C$16-1)*EXP(-0.5*(($A137-'Control Room'!$A$16-('Control Room'!$B$16-1)/2)/MAX(0.5,'Control Room'!$B$16/4))^2),1)</x:f>
        <x:v>1</x:v>
      </x:c>
      <x:c r="L137" s="9" t="n">
        <x:f>MOD(M136*16807,2147483647)</x:f>
        <x:v>387425781</x:v>
      </x:c>
      <x:c r="M137" s="9" t="n">
        <x:f>MOD(L137*16807,2147483647)</x:f>
        <x:v>294683563</x:v>
      </x:c>
      <x:c r="N137" s="17" t="n">
        <x:f>IF('Control Room'!$B$5="Normal",'Control Room'!$B$7+'Control Room'!$D$7*SQRT(-2*LN(MAX(0.000000000001,L137/2147483647)))*COS(2*PI()*M137/2147483647),'Control Room'!$B$8+('Control Room'!$D$8-'Control Room'!$B$8)*L137/2147483647)</x:f>
        <x:v>1108.3939506201941</x:v>
      </x:c>
      <x:c r="O137" s="17" t="n">
        <x:f>IF('Control Room'!$B$5="Normal",'Control Room'!$B$7,('Control Room'!$B$8+'Control Room'!$D$8)/2)+'Control Room'!$B$9*(O136-IF('Control Room'!$B$5="Normal",'Control Room'!$B$7,('Control Room'!$B$8+'Control Room'!$D$8)/2))+SQRT(1-'Control Room'!$B$9^2)*(N137-IF('Control Room'!$B$5="Normal",'Control Room'!$B$7,('Control Room'!$B$8+'Control Room'!$D$8)/2))</x:f>
        <x:v>995.1173323664201</x:v>
      </x:c>
      <x:c r="P137" s="17" t="n">
        <x:f>IF(AND($A137&gt;='Control Room'!$A$13,$A137&lt;'Control Room'!$A$13+'Control Room'!$B$13,'Process'!BM2=1),1+('Control Room'!$C$13-1)*EXP(-0.5*(($A137-'Control Room'!$A$13-('Control Room'!$B$13-1)/2)/MAX(0.5,'Control Room'!$B$13/4))^2),1)*IF(AND($A137&gt;='Control Room'!$A$14,$A137&lt;'Control Room'!$A$14+'Control Room'!$B$14,'Process'!BM3=1),1+('Control Room'!$C$14-1)*EXP(-0.5*(($A137-'Control Room'!$A$14-('Control Room'!$B$14-1)/2)/MAX(0.5,'Control Room'!$B$14/4))^2),1)*IF(AND($A137&gt;='Control Room'!$A$15,$A137&lt;'Control Room'!$A$15+'Control Room'!$B$15,'Process'!BM4=1),1+('Control Room'!$C$15-1)*EXP(-0.5*(($A137-'Control Room'!$A$15-('Control Room'!$B$15-1)/2)/MAX(0.5,'Control Room'!$B$15/4))^2),1)*IF(AND($A137&gt;='Control Room'!$A$16,$A137&lt;'Control Room'!$A$16+'Control Room'!$B$16,'Process'!BM5=1),1+('Control Room'!$C$16-1)*EXP(-0.5*(($A137-'Control Room'!$A$16-('Control Room'!$B$16-1)/2)/MAX(0.5,'Control Room'!$B$16/4))^2),1)</x:f>
        <x:v>1</x:v>
      </x:c>
      <x:c r="Q137" s="9" t="n">
        <x:f>MOD(R136*16807,2147483647)</x:f>
        <x:v>1954876328</x:v>
      </x:c>
      <x:c r="R137" s="9" t="n">
        <x:f>MOD(Q137*16807,2147483647)</x:f>
        <x:v>1254129243</x:v>
      </x:c>
      <x:c r="S137" s="17" t="n">
        <x:f>IF('Control Room'!$B$5="Normal",'Control Room'!$B$7+'Control Room'!$D$7*SQRT(-2*LN(MAX(0.000000000001,Q137/2147483647)))*COS(2*PI()*R137/2147483647),'Control Room'!$B$8+('Control Room'!$D$8-'Control Room'!$B$8)*Q137/2147483647)</x:f>
        <x:v>966.29239757721</x:v>
      </x:c>
      <x:c r="T137" s="17" t="n">
        <x:f>IF('Control Room'!$B$5="Normal",'Control Room'!$B$7,('Control Room'!$B$8+'Control Room'!$D$8)/2)+'Control Room'!$B$9*(T136-IF('Control Room'!$B$5="Normal",'Control Room'!$B$7,('Control Room'!$B$8+'Control Room'!$D$8)/2))+SQRT(1-'Control Room'!$B$9^2)*(S137-IF('Control Room'!$B$5="Normal",'Control Room'!$B$7,('Control Room'!$B$8+'Control Room'!$D$8)/2))</x:f>
        <x:v>968.7366948586136</x:v>
      </x:c>
      <x:c r="U137" s="17" t="n">
        <x:f>IF(AND($A137&gt;='Control Room'!$A$13,$A137&lt;'Control Room'!$A$13+'Control Room'!$B$13,'Process'!BN2=1),1+('Control Room'!$C$13-1)*EXP(-0.5*(($A137-'Control Room'!$A$13-('Control Room'!$B$13-1)/2)/MAX(0.5,'Control Room'!$B$13/4))^2),1)*IF(AND($A137&gt;='Control Room'!$A$14,$A137&lt;'Control Room'!$A$14+'Control Room'!$B$14,'Process'!BN3=1),1+('Control Room'!$C$14-1)*EXP(-0.5*(($A137-'Control Room'!$A$14-('Control Room'!$B$14-1)/2)/MAX(0.5,'Control Room'!$B$14/4))^2),1)*IF(AND($A137&gt;='Control Room'!$A$15,$A137&lt;'Control Room'!$A$15+'Control Room'!$B$15,'Process'!BN4=1),1+('Control Room'!$C$15-1)*EXP(-0.5*(($A137-'Control Room'!$A$15-('Control Room'!$B$15-1)/2)/MAX(0.5,'Control Room'!$B$15/4))^2),1)*IF(AND($A137&gt;='Control Room'!$A$16,$A137&lt;'Control Room'!$A$16+'Control Room'!$B$16,'Process'!BN5=1),1+('Control Room'!$C$16-1)*EXP(-0.5*(($A137-'Control Room'!$A$16-('Control Room'!$B$16-1)/2)/MAX(0.5,'Control Room'!$B$16/4))^2),1)</x:f>
        <x:v>1</x:v>
      </x:c>
      <x:c r="V137" s="9" t="n">
        <x:f>MOD(W136*16807,2147483647)</x:f>
        <x:v>1374843228</x:v>
      </x:c>
      <x:c r="W137" s="9" t="n">
        <x:f>MOD(V137*16807,2147483647)</x:f>
        <x:v>66091276</x:v>
      </x:c>
      <x:c r="X137" s="17" t="n">
        <x:f>IF('Control Room'!$B$5="Normal",'Control Room'!$B$7+'Control Room'!$D$7*SQRT(-2*LN(MAX(0.000000000001,V137/2147483647)))*COS(2*PI()*W137/2147483647),'Control Room'!$B$8+('Control Room'!$D$8-'Control Room'!$B$8)*V137/2147483647)</x:f>
        <x:v>1083.4128888217954</x:v>
      </x:c>
      <x:c r="Y137" s="17" t="n">
        <x:f>IF('Control Room'!$B$5="Normal",'Control Room'!$B$7,('Control Room'!$B$8+'Control Room'!$D$8)/2)+'Control Room'!$B$9*(Y136-IF('Control Room'!$B$5="Normal",'Control Room'!$B$7,('Control Room'!$B$8+'Control Room'!$D$8)/2))+SQRT(1-'Control Room'!$B$9^2)*(X137-IF('Control Room'!$B$5="Normal",'Control Room'!$B$7,('Control Room'!$B$8+'Control Room'!$D$8)/2))</x:f>
        <x:v>941.3284350383257</x:v>
      </x:c>
      <x:c r="Z137" s="17" t="n">
        <x:f>IF(AND($A137&gt;='Control Room'!$A$13,$A137&lt;'Control Room'!$A$13+'Control Room'!$B$13,'Process'!BO2=1),1+('Control Room'!$C$13-1)*EXP(-0.5*(($A137-'Control Room'!$A$13-('Control Room'!$B$13-1)/2)/MAX(0.5,'Control Room'!$B$13/4))^2),1)*IF(AND($A137&gt;='Control Room'!$A$14,$A137&lt;'Control Room'!$A$14+'Control Room'!$B$14,'Process'!BO3=1),1+('Control Room'!$C$14-1)*EXP(-0.5*(($A137-'Control Room'!$A$14-('Control Room'!$B$14-1)/2)/MAX(0.5,'Control Room'!$B$14/4))^2),1)*IF(AND($A137&gt;='Control Room'!$A$15,$A137&lt;'Control Room'!$A$15+'Control Room'!$B$15,'Process'!BO4=1),1+('Control Room'!$C$15-1)*EXP(-0.5*(($A137-'Control Room'!$A$15-('Control Room'!$B$15-1)/2)/MAX(0.5,'Control Room'!$B$15/4))^2),1)*IF(AND($A137&gt;='Control Room'!$A$16,$A137&lt;'Control Room'!$A$16+'Control Room'!$B$16,'Process'!BO5=1),1+('Control Room'!$C$16-1)*EXP(-0.5*(($A137-'Control Room'!$A$16-('Control Room'!$B$16-1)/2)/MAX(0.5,'Control Room'!$B$16/4))^2),1)</x:f>
        <x:v>1</x:v>
      </x:c>
      <x:c r="AA137" s="9" t="n">
        <x:f>MOD(AB136*16807,2147483647)</x:f>
        <x:v>794810128</x:v>
      </x:c>
      <x:c r="AB137" s="9" t="n">
        <x:f>MOD(AA137*16807,2147483647)</x:f>
        <x:v>1025536956</x:v>
      </x:c>
      <x:c r="AC137" s="17" t="n">
        <x:f>IF('Control Room'!$B$5="Normal",'Control Room'!$B$7+'Control Room'!$D$7*SQRT(-2*LN(MAX(0.000000000001,AA137/2147483647)))*COS(2*PI()*AB137/2147483647),'Control Room'!$B$8+('Control Room'!$D$8-'Control Room'!$B$8)*AA137/2147483647)</x:f>
        <x:v>874.3664627608437</x:v>
      </x:c>
      <x:c r="AD137" s="17" t="n">
        <x:f>IF('Control Room'!$B$5="Normal",'Control Room'!$B$7,('Control Room'!$B$8+'Control Room'!$D$8)/2)+'Control Room'!$B$9*(AD136-IF('Control Room'!$B$5="Normal",'Control Room'!$B$7,('Control Room'!$B$8+'Control Room'!$D$8)/2))+SQRT(1-'Control Room'!$B$9^2)*(AC137-IF('Control Room'!$B$5="Normal",'Control Room'!$B$7,('Control Room'!$B$8+'Control Room'!$D$8)/2))</x:f>
        <x:v>935.2273114224901</x:v>
      </x:c>
      <x:c r="AE137" s="17" t="n">
        <x:f>IF(AND($A137&gt;='Control Room'!$A$13,$A137&lt;'Control Room'!$A$13+'Control Room'!$B$13,'Process'!BP2=1),1+('Control Room'!$C$13-1)*EXP(-0.5*(($A137-'Control Room'!$A$13-('Control Room'!$B$13-1)/2)/MAX(0.5,'Control Room'!$B$13/4))^2),1)*IF(AND($A137&gt;='Control Room'!$A$14,$A137&lt;'Control Room'!$A$14+'Control Room'!$B$14,'Process'!BP3=1),1+('Control Room'!$C$14-1)*EXP(-0.5*(($A137-'Control Room'!$A$14-('Control Room'!$B$14-1)/2)/MAX(0.5,'Control Room'!$B$14/4))^2),1)*IF(AND($A137&gt;='Control Room'!$A$15,$A137&lt;'Control Room'!$A$15+'Control Room'!$B$15,'Process'!BP4=1),1+('Control Room'!$C$15-1)*EXP(-0.5*(($A137-'Control Room'!$A$15-('Control Room'!$B$15-1)/2)/MAX(0.5,'Control Room'!$B$15/4))^2),1)*IF(AND($A137&gt;='Control Room'!$A$16,$A137&lt;'Control Room'!$A$16+'Control Room'!$B$16,'Process'!BP5=1),1+('Control Room'!$C$16-1)*EXP(-0.5*(($A137-'Control Room'!$A$16-('Control Room'!$B$16-1)/2)/MAX(0.5,'Control Room'!$B$16/4))^2),1)</x:f>
        <x:v>1</x:v>
      </x:c>
      <x:c r="AF137" s="9" t="n">
        <x:f>MOD(AG136*16807,2147483647)</x:f>
        <x:v>214777028</x:v>
      </x:c>
      <x:c r="AG137" s="9" t="n">
        <x:f>MOD(AF137*16807,2147483647)</x:f>
        <x:v>1984982636</x:v>
      </x:c>
      <x:c r="AH137" s="17" t="n">
        <x:f>IF('Control Room'!$B$5="Normal",'Control Room'!$B$7+'Control Room'!$D$7*SQRT(-2*LN(MAX(0.000000000001,AF137/2147483647)))*COS(2*PI()*AG137/2147483647),'Control Room'!$B$8+('Control Room'!$D$8-'Control Room'!$B$8)*AF137/2147483647)</x:f>
        <x:v>1171.7104171212761</x:v>
      </x:c>
      <x:c r="AI137" s="17" t="n">
        <x:f>IF('Control Room'!$B$5="Normal",'Control Room'!$B$7,('Control Room'!$B$8+'Control Room'!$D$8)/2)+'Control Room'!$B$9*(AI136-IF('Control Room'!$B$5="Normal",'Control Room'!$B$7,('Control Room'!$B$8+'Control Room'!$D$8)/2))+SQRT(1-'Control Room'!$B$9^2)*(AH137-IF('Control Room'!$B$5="Normal",'Control Room'!$B$7,('Control Room'!$B$8+'Control Room'!$D$8)/2))</x:f>
        <x:v>1120.3380330997113</x:v>
      </x:c>
      <x:c r="AJ137" s="17" t="n">
        <x:f>IF(AND($A137&gt;='Control Room'!$A$13,$A137&lt;'Control Room'!$A$13+'Control Room'!$B$13,'Process'!BQ2=1),1+('Control Room'!$C$13-1)*EXP(-0.5*(($A137-'Control Room'!$A$13-('Control Room'!$B$13-1)/2)/MAX(0.5,'Control Room'!$B$13/4))^2),1)*IF(AND($A137&gt;='Control Room'!$A$14,$A137&lt;'Control Room'!$A$14+'Control Room'!$B$14,'Process'!BQ3=1),1+('Control Room'!$C$14-1)*EXP(-0.5*(($A137-'Control Room'!$A$14-('Control Room'!$B$14-1)/2)/MAX(0.5,'Control Room'!$B$14/4))^2),1)*IF(AND($A137&gt;='Control Room'!$A$15,$A137&lt;'Control Room'!$A$15+'Control Room'!$B$15,'Process'!BQ4=1),1+('Control Room'!$C$15-1)*EXP(-0.5*(($A137-'Control Room'!$A$15-('Control Room'!$B$15-1)/2)/MAX(0.5,'Control Room'!$B$15/4))^2),1)*IF(AND($A137&gt;='Control Room'!$A$16,$A137&lt;'Control Room'!$A$16+'Control Room'!$B$16,'Process'!BQ5=1),1+('Control Room'!$C$16-1)*EXP(-0.5*(($A137-'Control Room'!$A$16-('Control Room'!$B$16-1)/2)/MAX(0.5,'Control Room'!$B$16/4))^2),1)</x:f>
        <x:v>1</x:v>
      </x:c>
      <x:c r="AK137" s="9" t="n">
        <x:f>MOD(AL136*16807,2147483647)</x:f>
        <x:v>1782227575</x:v>
      </x:c>
      <x:c r="AL137" s="9" t="n">
        <x:f>MOD(AK137*16807,2147483647)</x:f>
        <x:v>796944669</x:v>
      </x:c>
      <x:c r="AM137" s="17" t="n">
        <x:f>IF('Control Room'!$B$5="Normal",'Control Room'!$B$7+'Control Room'!$D$7*SQRT(-2*LN(MAX(0.000000000001,AK137/2147483647)))*COS(2*PI()*AL137/2147483647),'Control Room'!$B$8+('Control Room'!$D$8-'Control Room'!$B$8)*AK137/2147483647)</x:f>
        <x:v>962.1021731364997</x:v>
      </x:c>
      <x:c r="AN137" s="17" t="n">
        <x:f>IF('Control Room'!$B$5="Normal",'Control Room'!$B$7,('Control Room'!$B$8+'Control Room'!$D$8)/2)+'Control Room'!$B$9*(AN136-IF('Control Room'!$B$5="Normal",'Control Room'!$B$7,('Control Room'!$B$8+'Control Room'!$D$8)/2))+SQRT(1-'Control Room'!$B$9^2)*(AM137-IF('Control Room'!$B$5="Normal",'Control Room'!$B$7,('Control Room'!$B$8+'Control Room'!$D$8)/2))</x:f>
        <x:v>1012.565110501496</x:v>
      </x:c>
      <x:c r="AO137" s="17" t="n">
        <x:f>IF(AND($A137&gt;='Control Room'!$A$13,$A137&lt;'Control Room'!$A$13+'Control Room'!$B$13,'Process'!BR2=1),1+('Control Room'!$C$13-1)*EXP(-0.5*(($A137-'Control Room'!$A$13-('Control Room'!$B$13-1)/2)/MAX(0.5,'Control Room'!$B$13/4))^2),1)*IF(AND($A137&gt;='Control Room'!$A$14,$A137&lt;'Control Room'!$A$14+'Control Room'!$B$14,'Process'!BR3=1),1+('Control Room'!$C$14-1)*EXP(-0.5*(($A137-'Control Room'!$A$14-('Control Room'!$B$14-1)/2)/MAX(0.5,'Control Room'!$B$14/4))^2),1)*IF(AND($A137&gt;='Control Room'!$A$15,$A137&lt;'Control Room'!$A$15+'Control Room'!$B$15,'Process'!BR4=1),1+('Control Room'!$C$15-1)*EXP(-0.5*(($A137-'Control Room'!$A$15-('Control Room'!$B$15-1)/2)/MAX(0.5,'Control Room'!$B$15/4))^2),1)*IF(AND($A137&gt;='Control Room'!$A$16,$A137&lt;'Control Room'!$A$16+'Control Room'!$B$16,'Process'!BR5=1),1+('Control Room'!$C$16-1)*EXP(-0.5*(($A137-'Control Room'!$A$16-('Control Room'!$B$16-1)/2)/MAX(0.5,'Control Room'!$B$16/4))^2),1)</x:f>
        <x:v>1</x:v>
      </x:c>
      <x:c r="AP137" s="9" t="n">
        <x:f>MOD(AQ136*16807,2147483647)</x:f>
        <x:v>1202194475</x:v>
      </x:c>
      <x:c r="AQ137" s="9" t="n">
        <x:f>MOD(AP137*16807,2147483647)</x:f>
        <x:v>1756390349</x:v>
      </x:c>
      <x:c r="AR137" s="17" t="n">
        <x:f>IF('Control Room'!$B$5="Normal",'Control Room'!$B$7+'Control Room'!$D$7*SQRT(-2*LN(MAX(0.000000000001,AP137/2147483647)))*COS(2*PI()*AQ137/2147483647),'Control Room'!$B$8+('Control Room'!$D$8-'Control Room'!$B$8)*AP137/2147483647)</x:f>
        <x:v>1040.1069068760269</x:v>
      </x:c>
      <x:c r="AS137" s="17" t="n">
        <x:f>IF('Control Room'!$B$5="Normal",'Control Room'!$B$7,('Control Room'!$B$8+'Control Room'!$D$8)/2)+'Control Room'!$B$9*(AS136-IF('Control Room'!$B$5="Normal",'Control Room'!$B$7,('Control Room'!$B$8+'Control Room'!$D$8)/2))+SQRT(1-'Control Room'!$B$9^2)*(AR137-IF('Control Room'!$B$5="Normal",'Control Room'!$B$7,('Control Room'!$B$8+'Control Room'!$D$8)/2))</x:f>
        <x:v>1106.3630288831832</x:v>
      </x:c>
      <x:c r="AT137" s="17" t="n">
        <x:f>IF(AND($A137&gt;='Control Room'!$A$13,$A137&lt;'Control Room'!$A$13+'Control Room'!$B$13,'Process'!BS2=1),1+('Control Room'!$C$13-1)*EXP(-0.5*(($A137-'Control Room'!$A$13-('Control Room'!$B$13-1)/2)/MAX(0.5,'Control Room'!$B$13/4))^2),1)*IF(AND($A137&gt;='Control Room'!$A$14,$A137&lt;'Control Room'!$A$14+'Control Room'!$B$14,'Process'!BS3=1),1+('Control Room'!$C$14-1)*EXP(-0.5*(($A137-'Control Room'!$A$14-('Control Room'!$B$14-1)/2)/MAX(0.5,'Control Room'!$B$14/4))^2),1)*IF(AND($A137&gt;='Control Room'!$A$15,$A137&lt;'Control Room'!$A$15+'Control Room'!$B$15,'Process'!BS4=1),1+('Control Room'!$C$15-1)*EXP(-0.5*(($A137-'Control Room'!$A$15-('Control Room'!$B$15-1)/2)/MAX(0.5,'Control Room'!$B$15/4))^2),1)*IF(AND($A137&gt;='Control Room'!$A$16,$A137&lt;'Control Room'!$A$16+'Control Room'!$B$16,'Process'!BS5=1),1+('Control Room'!$C$16-1)*EXP(-0.5*(($A137-'Control Room'!$A$16-('Control Room'!$B$16-1)/2)/MAX(0.5,'Control Room'!$B$16/4))^2),1)</x:f>
        <x:v>1</x:v>
      </x:c>
      <x:c r="AU137" s="9" t="n">
        <x:f>MOD(AV136*16807,2147483647)</x:f>
        <x:v>622161375</x:v>
      </x:c>
      <x:c r="AV137" s="9" t="n">
        <x:f>MOD(AU137*16807,2147483647)</x:f>
        <x:v>568352382</x:v>
      </x:c>
      <x:c r="AW137" s="17" t="n">
        <x:f>IF('Control Room'!$B$5="Normal",'Control Room'!$B$7+'Control Room'!$D$7*SQRT(-2*LN(MAX(0.000000000001,AU137/2147483647)))*COS(2*PI()*AV137/2147483647),'Control Room'!$B$8+('Control Room'!$D$8-'Control Room'!$B$8)*AU137/2147483647)</x:f>
        <x:v>986.9695910994118</x:v>
      </x:c>
      <x:c r="AX137" s="17" t="n">
        <x:f>IF('Control Room'!$B$5="Normal",'Control Room'!$B$7,('Control Room'!$B$8+'Control Room'!$D$8)/2)+'Control Room'!$B$9*(AX136-IF('Control Room'!$B$5="Normal",'Control Room'!$B$7,('Control Room'!$B$8+'Control Room'!$D$8)/2))+SQRT(1-'Control Room'!$B$9^2)*(AW137-IF('Control Room'!$B$5="Normal",'Control Room'!$B$7,('Control Room'!$B$8+'Control Room'!$D$8)/2))</x:f>
        <x:v>937.4702612279573</x:v>
      </x:c>
      <x:c r="AY137" s="17" t="n">
        <x:f>IF(AND($A137&gt;='Control Room'!$A$13,$A137&lt;'Control Room'!$A$13+'Control Room'!$B$13,'Process'!BT2=1),1+('Control Room'!$C$13-1)*EXP(-0.5*(($A137-'Control Room'!$A$13-('Control Room'!$B$13-1)/2)/MAX(0.5,'Control Room'!$B$13/4))^2),1)*IF(AND($A137&gt;='Control Room'!$A$14,$A137&lt;'Control Room'!$A$14+'Control Room'!$B$14,'Process'!BT3=1),1+('Control Room'!$C$14-1)*EXP(-0.5*(($A137-'Control Room'!$A$14-('Control Room'!$B$14-1)/2)/MAX(0.5,'Control Room'!$B$14/4))^2),1)*IF(AND($A137&gt;='Control Room'!$A$15,$A137&lt;'Control Room'!$A$15+'Control Room'!$B$15,'Process'!BT4=1),1+('Control Room'!$C$15-1)*EXP(-0.5*(($A137-'Control Room'!$A$15-('Control Room'!$B$15-1)/2)/MAX(0.5,'Control Room'!$B$15/4))^2),1)*IF(AND($A137&gt;='Control Room'!$A$16,$A137&lt;'Control Room'!$A$16+'Control Room'!$B$16,'Process'!BT5=1),1+('Control Room'!$C$16-1)*EXP(-0.5*(($A137-'Control Room'!$A$16-('Control Room'!$B$16-1)/2)/MAX(0.5,'Control Room'!$B$16/4))^2),1)</x:f>
        <x:v>1</x:v>
      </x:c>
      <x:c r="AZ137" s="9" t="n">
        <x:f>MOD(BA136*16807,2147483647)</x:f>
        <x:v>42128275</x:v>
      </x:c>
      <x:c r="BA137" s="9" t="n">
        <x:f>MOD(AZ137*16807,2147483647)</x:f>
        <x:v>1527798062</x:v>
      </x:c>
      <x:c r="BB137" s="17" t="n">
        <x:f>IF('Control Room'!$B$5="Normal",'Control Room'!$B$7+'Control Room'!$D$7*SQRT(-2*LN(MAX(0.000000000001,AZ137/2147483647)))*COS(2*PI()*BA137/2147483647),'Control Room'!$B$8+('Control Room'!$D$8-'Control Room'!$B$8)*AZ137/2147483647)</x:f>
        <x:v>939.4482401111168</x:v>
      </x:c>
      <x:c r="BC137" s="17" t="n">
        <x:f>IF('Control Room'!$B$5="Normal",'Control Room'!$B$7,('Control Room'!$B$8+'Control Room'!$D$8)/2)+'Control Room'!$B$9*(BC136-IF('Control Room'!$B$5="Normal",'Control Room'!$B$7,('Control Room'!$B$8+'Control Room'!$D$8)/2))+SQRT(1-'Control Room'!$B$9^2)*(BB137-IF('Control Room'!$B$5="Normal",'Control Room'!$B$7,('Control Room'!$B$8+'Control Room'!$D$8)/2))</x:f>
        <x:v>1029.3279388494552</x:v>
      </x:c>
      <x:c r="BD137" s="17" t="n">
        <x:f>IF(AND($A137&gt;='Control Room'!$A$13,$A137&lt;'Control Room'!$A$13+'Control Room'!$B$13,'Process'!BU2=1),1+('Control Room'!$C$13-1)*EXP(-0.5*(($A137-'Control Room'!$A$13-('Control Room'!$B$13-1)/2)/MAX(0.5,'Control Room'!$B$13/4))^2),1)*IF(AND($A137&gt;='Control Room'!$A$14,$A137&lt;'Control Room'!$A$14+'Control Room'!$B$14,'Process'!BU3=1),1+('Control Room'!$C$14-1)*EXP(-0.5*(($A137-'Control Room'!$A$14-('Control Room'!$B$14-1)/2)/MAX(0.5,'Control Room'!$B$14/4))^2),1)*IF(AND($A137&gt;='Control Room'!$A$15,$A137&lt;'Control Room'!$A$15+'Control Room'!$B$15,'Process'!BU4=1),1+('Control Room'!$C$15-1)*EXP(-0.5*(($A137-'Control Room'!$A$15-('Control Room'!$B$15-1)/2)/MAX(0.5,'Control Room'!$B$15/4))^2),1)*IF(AND($A137&gt;='Control Room'!$A$16,$A137&lt;'Control Room'!$A$16+'Control Room'!$B$16,'Process'!BU5=1),1+('Control Room'!$C$16-1)*EXP(-0.5*(($A137-'Control Room'!$A$16-('Control Room'!$B$16-1)/2)/MAX(0.5,'Control Room'!$B$16/4))^2),1)</x:f>
        <x:v>1</x:v>
      </x:c>
      <x:c r="BE137" s="9" t="n">
        <x:f>MOD(BF136*16807,2147483647)</x:f>
        <x:v>1609578822</x:v>
      </x:c>
      <x:c r="BF137" s="9" t="n">
        <x:f>MOD(BE137*16807,2147483647)</x:f>
        <x:v>339760095</x:v>
      </x:c>
      <x:c r="BG137" s="17" t="n">
        <x:f>IF('Control Room'!$B$5="Normal",'Control Room'!$B$7+'Control Room'!$D$7*SQRT(-2*LN(MAX(0.000000000001,BE137/2147483647)))*COS(2*PI()*BF137/2147483647),'Control Room'!$B$8+('Control Room'!$D$8-'Control Room'!$B$8)*BE137/2147483647)</x:f>
        <x:v>1037.2658924845857</x:v>
      </x:c>
      <x:c r="BH137" s="17" t="n">
        <x:f>IF('Control Room'!$B$5="Normal",'Control Room'!$B$7,('Control Room'!$B$8+'Control Room'!$D$8)/2)+'Control Room'!$B$9*(BH136-IF('Control Room'!$B$5="Normal",'Control Room'!$B$7,('Control Room'!$B$8+'Control Room'!$D$8)/2))+SQRT(1-'Control Room'!$B$9^2)*(BG137-IF('Control Room'!$B$5="Normal",'Control Room'!$B$7,('Control Room'!$B$8+'Control Room'!$D$8)/2))</x:f>
        <x:v>1022.9668204627012</x:v>
      </x:c>
      <x:c r="BI137" s="17" t="n">
        <x:f>IF(AND($A137&gt;='Control Room'!$A$13,$A137&lt;'Control Room'!$A$13+'Control Room'!$B$13,'Process'!BV2=1),1+('Control Room'!$C$13-1)*EXP(-0.5*(($A137-'Control Room'!$A$13-('Control Room'!$B$13-1)/2)/MAX(0.5,'Control Room'!$B$13/4))^2),1)*IF(AND($A137&gt;='Control Room'!$A$14,$A137&lt;'Control Room'!$A$14+'Control Room'!$B$14,'Process'!BV3=1),1+('Control Room'!$C$14-1)*EXP(-0.5*(($A137-'Control Room'!$A$14-('Control Room'!$B$14-1)/2)/MAX(0.5,'Control Room'!$B$14/4))^2),1)*IF(AND($A137&gt;='Control Room'!$A$15,$A137&lt;'Control Room'!$A$15+'Control Room'!$B$15,'Process'!BV4=1),1+('Control Room'!$C$15-1)*EXP(-0.5*(($A137-'Control Room'!$A$15-('Control Room'!$B$15-1)/2)/MAX(0.5,'Control Room'!$B$15/4))^2),1)*IF(AND($A137&gt;='Control Room'!$A$16,$A137&lt;'Control Room'!$A$16+'Control Room'!$B$16,'Process'!BV5=1),1+('Control Room'!$C$16-1)*EXP(-0.5*(($A137-'Control Room'!$A$16-('Control Room'!$B$16-1)/2)/MAX(0.5,'Control Room'!$B$16/4))^2),1)</x:f>
        <x:v>1</x:v>
      </x:c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Z137" t="str">
        <x:f>IF('Data'!A137="","",TEXT('Data'!A137,"mm-dd"))</x:f>
      </x:c>
    </x:row>
    <x:row r="138" ht="21" customHeight="1">
      <x:c r="A138" s="15" t="n">
        <x:f>'Control Room'!$B$1+136</x:f>
        <x:v>73127</x:v>
      </x:c>
      <x:c r="B138" s="9" t="n">
        <x:f>MOD(C137*16807,2147483647)</x:f>
        <x:v>751676485</x:v>
      </x:c>
      <x:c r="C138" s="9" t="n">
        <x:f>MOD(B138*16807,2147483647)</x:f>
        <x:v>1927871741</x:v>
      </x:c>
      <x:c r="D138" s="17" t="n">
        <x:f>IF('Control Room'!$B$5="Normal",'Control Room'!$B$7+'Control Room'!$D$7*SQRT(-2*LN(MAX(0.000000000001,B138/2147483647)))*COS(2*PI()*C138/2147483647),'Control Room'!$B$8+('Control Room'!$D$8-'Control Room'!$B$8)*B138/2147483647)</x:f>
        <x:v>1104.3997845758063</x:v>
      </x:c>
      <x:c r="E138" s="17" t="n">
        <x:f>IF('Control Room'!$B$5="Normal",'Control Room'!$B$7,('Control Room'!$B$8+'Control Room'!$D$8)/2)+'Control Room'!$B$9*(E137-IF('Control Room'!$B$5="Normal",'Control Room'!$B$7,('Control Room'!$B$8+'Control Room'!$D$8)/2))+SQRT(1-'Control Room'!$B$9^2)*(D138-IF('Control Room'!$B$5="Normal",'Control Room'!$B$7,('Control Room'!$B$8+'Control Room'!$D$8)/2))</x:f>
        <x:v>1000.6298102845358</x:v>
      </x:c>
      <x:c r="F138" s="17" t="n">
        <x:f>IF(AND($A138&gt;='Control Room'!$A$13,$A138&lt;'Control Room'!$A$13+'Control Room'!$B$13,'Process'!BK2=1),1+('Control Room'!$C$13-1)*EXP(-0.5*(($A138-'Control Room'!$A$13-('Control Room'!$B$13-1)/2)/MAX(0.5,'Control Room'!$B$13/4))^2),1)*IF(AND($A138&gt;='Control Room'!$A$14,$A138&lt;'Control Room'!$A$14+'Control Room'!$B$14,'Process'!BK3=1),1+('Control Room'!$C$14-1)*EXP(-0.5*(($A138-'Control Room'!$A$14-('Control Room'!$B$14-1)/2)/MAX(0.5,'Control Room'!$B$14/4))^2),1)*IF(AND($A138&gt;='Control Room'!$A$15,$A138&lt;'Control Room'!$A$15+'Control Room'!$B$15,'Process'!BK4=1),1+('Control Room'!$C$15-1)*EXP(-0.5*(($A138-'Control Room'!$A$15-('Control Room'!$B$15-1)/2)/MAX(0.5,'Control Room'!$B$15/4))^2),1)*IF(AND($A138&gt;='Control Room'!$A$16,$A138&lt;'Control Room'!$A$16+'Control Room'!$B$16,'Process'!BK5=1),1+('Control Room'!$C$16-1)*EXP(-0.5*(($A138-'Control Room'!$A$16-('Control Room'!$B$16-1)/2)/MAX(0.5,'Control Room'!$B$16/4))^2),1)</x:f>
        <x:v>1</x:v>
      </x:c>
      <x:c r="G138" s="9" t="n">
        <x:f>MOD(H137*16807,2147483647)</x:f>
        <x:v>700514922</x:v>
      </x:c>
      <x:c r="H138" s="9" t="n">
        <x:f>MOD(G138*16807,2147483647)</x:f>
        <x:v>1048941200</x:v>
      </x:c>
      <x:c r="I138" s="17" t="n">
        <x:f>IF('Control Room'!$B$5="Normal",'Control Room'!$B$7+'Control Room'!$D$7*SQRT(-2*LN(MAX(0.000000000001,G138/2147483647)))*COS(2*PI()*H138/2147483647),'Control Room'!$B$8+('Control Room'!$D$8-'Control Room'!$B$8)*G138/2147483647)</x:f>
        <x:v>865.6406215249642</x:v>
      </x:c>
      <x:c r="J138" s="17" t="n">
        <x:f>IF('Control Room'!$B$5="Normal",'Control Room'!$B$7,('Control Room'!$B$8+'Control Room'!$D$8)/2)+'Control Room'!$B$9*(J137-IF('Control Room'!$B$5="Normal",'Control Room'!$B$7,('Control Room'!$B$8+'Control Room'!$D$8)/2))+SQRT(1-'Control Room'!$B$9^2)*(I138-IF('Control Room'!$B$5="Normal",'Control Room'!$B$7,('Control Room'!$B$8+'Control Room'!$D$8)/2))</x:f>
        <x:v>898.419511460019</x:v>
      </x:c>
      <x:c r="K138" s="17" t="n">
        <x:f>IF(AND($A138&gt;='Control Room'!$A$13,$A138&lt;'Control Room'!$A$13+'Control Room'!$B$13,'Process'!BL2=1),1+('Control Room'!$C$13-1)*EXP(-0.5*(($A138-'Control Room'!$A$13-('Control Room'!$B$13-1)/2)/MAX(0.5,'Control Room'!$B$13/4))^2),1)*IF(AND($A138&gt;='Control Room'!$A$14,$A138&lt;'Control Room'!$A$14+'Control Room'!$B$14,'Process'!BL3=1),1+('Control Room'!$C$14-1)*EXP(-0.5*(($A138-'Control Room'!$A$14-('Control Room'!$B$14-1)/2)/MAX(0.5,'Control Room'!$B$14/4))^2),1)*IF(AND($A138&gt;='Control Room'!$A$15,$A138&lt;'Control Room'!$A$15+'Control Room'!$B$15,'Process'!BL4=1),1+('Control Room'!$C$15-1)*EXP(-0.5*(($A138-'Control Room'!$A$15-('Control Room'!$B$15-1)/2)/MAX(0.5,'Control Room'!$B$15/4))^2),1)*IF(AND($A138&gt;='Control Room'!$A$16,$A138&lt;'Control Room'!$A$16+'Control Room'!$B$16,'Process'!BL5=1),1+('Control Room'!$C$16-1)*EXP(-0.5*(($A138-'Control Room'!$A$16-('Control Room'!$B$16-1)/2)/MAX(0.5,'Control Room'!$B$16/4))^2),1)</x:f>
        <x:v>1</x:v>
      </x:c>
      <x:c r="L138" s="9" t="n">
        <x:f>MOD(M137*16807,2147483647)</x:f>
        <x:v>649353359</x:v>
      </x:c>
      <x:c r="M138" s="9" t="n">
        <x:f>MOD(L138*16807,2147483647)</x:f>
        <x:v>170010659</x:v>
      </x:c>
      <x:c r="N138" s="17" t="n">
        <x:f>IF('Control Room'!$B$5="Normal",'Control Room'!$B$7+'Control Room'!$D$7*SQRT(-2*LN(MAX(0.000000000001,L138/2147483647)))*COS(2*PI()*M138/2147483647),'Control Room'!$B$8+('Control Room'!$D$8-'Control Room'!$B$8)*L138/2147483647)</x:f>
        <x:v>1122.3303333269773</x:v>
      </x:c>
      <x:c r="O138" s="17" t="n">
        <x:f>IF('Control Room'!$B$5="Normal",'Control Room'!$B$7,('Control Room'!$B$8+'Control Room'!$D$8)/2)+'Control Room'!$B$9*(O137-IF('Control Room'!$B$5="Normal",'Control Room'!$B$7,('Control Room'!$B$8+'Control Room'!$D$8)/2))+SQRT(1-'Control Room'!$B$9^2)*(N138-IF('Control Room'!$B$5="Normal",'Control Room'!$B$7,('Control Room'!$B$8+'Control Room'!$D$8)/2))</x:f>
        <x:v>1072.7433357687346</x:v>
      </x:c>
      <x:c r="P138" s="17" t="n">
        <x:f>IF(AND($A138&gt;='Control Room'!$A$13,$A138&lt;'Control Room'!$A$13+'Control Room'!$B$13,'Process'!BM2=1),1+('Control Room'!$C$13-1)*EXP(-0.5*(($A138-'Control Room'!$A$13-('Control Room'!$B$13-1)/2)/MAX(0.5,'Control Room'!$B$13/4))^2),1)*IF(AND($A138&gt;='Control Room'!$A$14,$A138&lt;'Control Room'!$A$14+'Control Room'!$B$14,'Process'!BM3=1),1+('Control Room'!$C$14-1)*EXP(-0.5*(($A138-'Control Room'!$A$14-('Control Room'!$B$14-1)/2)/MAX(0.5,'Control Room'!$B$14/4))^2),1)*IF(AND($A138&gt;='Control Room'!$A$15,$A138&lt;'Control Room'!$A$15+'Control Room'!$B$15,'Process'!BM4=1),1+('Control Room'!$C$15-1)*EXP(-0.5*(($A138-'Control Room'!$A$15-('Control Room'!$B$15-1)/2)/MAX(0.5,'Control Room'!$B$15/4))^2),1)*IF(AND($A138&gt;='Control Room'!$A$16,$A138&lt;'Control Room'!$A$16+'Control Room'!$B$16,'Process'!BM5=1),1+('Control Room'!$C$16-1)*EXP(-0.5*(($A138-'Control Room'!$A$16-('Control Room'!$B$16-1)/2)/MAX(0.5,'Control Room'!$B$16/4))^2),1)</x:f>
        <x:v>1</x:v>
      </x:c>
      <x:c r="Q138" s="9" t="n">
        <x:f>MOD(R137*16807,2147483647)</x:f>
        <x:v>598191796</x:v>
      </x:c>
      <x:c r="R138" s="9" t="n">
        <x:f>MOD(Q138*16807,2147483647)</x:f>
        <x:v>1438563765</x:v>
      </x:c>
      <x:c r="S138" s="17" t="n">
        <x:f>IF('Control Room'!$B$5="Normal",'Control Room'!$B$7+'Control Room'!$D$7*SQRT(-2*LN(MAX(0.000000000001,Q138/2147483647)))*COS(2*PI()*R138/2147483647),'Control Room'!$B$8+('Control Room'!$D$8-'Control Room'!$B$8)*Q138/2147483647)</x:f>
        <x:v>930.5855577048125</x:v>
      </x:c>
      <x:c r="T138" s="17" t="n">
        <x:f>IF('Control Room'!$B$5="Normal",'Control Room'!$B$7,('Control Room'!$B$8+'Control Room'!$D$8)/2)+'Control Room'!$B$9*(T137-IF('Control Room'!$B$5="Normal",'Control Room'!$B$7,('Control Room'!$B$8+'Control Room'!$D$8)/2))+SQRT(1-'Control Room'!$B$9^2)*(S138-IF('Control Room'!$B$5="Normal",'Control Room'!$B$7,('Control Room'!$B$8+'Control Room'!$D$8)/2))</x:f>
        <x:v>932.1764860335351</x:v>
      </x:c>
      <x:c r="U138" s="17" t="n">
        <x:f>IF(AND($A138&gt;='Control Room'!$A$13,$A138&lt;'Control Room'!$A$13+'Control Room'!$B$13,'Process'!BN2=1),1+('Control Room'!$C$13-1)*EXP(-0.5*(($A138-'Control Room'!$A$13-('Control Room'!$B$13-1)/2)/MAX(0.5,'Control Room'!$B$13/4))^2),1)*IF(AND($A138&gt;='Control Room'!$A$14,$A138&lt;'Control Room'!$A$14+'Control Room'!$B$14,'Process'!BN3=1),1+('Control Room'!$C$14-1)*EXP(-0.5*(($A138-'Control Room'!$A$14-('Control Room'!$B$14-1)/2)/MAX(0.5,'Control Room'!$B$14/4))^2),1)*IF(AND($A138&gt;='Control Room'!$A$15,$A138&lt;'Control Room'!$A$15+'Control Room'!$B$15,'Process'!BN4=1),1+('Control Room'!$C$15-1)*EXP(-0.5*(($A138-'Control Room'!$A$15-('Control Room'!$B$15-1)/2)/MAX(0.5,'Control Room'!$B$15/4))^2),1)*IF(AND($A138&gt;='Control Room'!$A$16,$A138&lt;'Control Room'!$A$16+'Control Room'!$B$16,'Process'!BN5=1),1+('Control Room'!$C$16-1)*EXP(-0.5*(($A138-'Control Room'!$A$16-('Control Room'!$B$16-1)/2)/MAX(0.5,'Control Room'!$B$16/4))^2),1)</x:f>
        <x:v>1</x:v>
      </x:c>
      <x:c r="V138" s="9" t="n">
        <x:f>MOD(W137*16807,2147483647)</x:f>
        <x:v>547030233</x:v>
      </x:c>
      <x:c r="W138" s="9" t="n">
        <x:f>MOD(V138*16807,2147483647)</x:f>
        <x:v>559633224</x:v>
      </x:c>
      <x:c r="X138" s="17" t="n">
        <x:f>IF('Control Room'!$B$5="Normal",'Control Room'!$B$7+'Control Room'!$D$7*SQRT(-2*LN(MAX(0.000000000001,V138/2147483647)))*COS(2*PI()*W138/2147483647),'Control Room'!$B$8+('Control Room'!$D$8-'Control Room'!$B$8)*V138/2147483647)</x:f>
        <x:v>990.0945529983372</x:v>
      </x:c>
      <x:c r="Y138" s="17" t="n">
        <x:f>IF('Control Room'!$B$5="Normal",'Control Room'!$B$7,('Control Room'!$B$8+'Control Room'!$D$8)/2)+'Control Room'!$B$9*(Y137-IF('Control Room'!$B$5="Normal",'Control Room'!$B$7,('Control Room'!$B$8+'Control Room'!$D$8)/2))+SQRT(1-'Control Room'!$B$9^2)*(X138-IF('Control Room'!$B$5="Normal",'Control Room'!$B$7,('Control Room'!$B$8+'Control Room'!$D$8)/2))</x:f>
        <x:v>948.0375535203651</x:v>
      </x:c>
      <x:c r="Z138" s="17" t="n">
        <x:f>IF(AND($A138&gt;='Control Room'!$A$13,$A138&lt;'Control Room'!$A$13+'Control Room'!$B$13,'Process'!BO2=1),1+('Control Room'!$C$13-1)*EXP(-0.5*(($A138-'Control Room'!$A$13-('Control Room'!$B$13-1)/2)/MAX(0.5,'Control Room'!$B$13/4))^2),1)*IF(AND($A138&gt;='Control Room'!$A$14,$A138&lt;'Control Room'!$A$14+'Control Room'!$B$14,'Process'!BO3=1),1+('Control Room'!$C$14-1)*EXP(-0.5*(($A138-'Control Room'!$A$14-('Control Room'!$B$14-1)/2)/MAX(0.5,'Control Room'!$B$14/4))^2),1)*IF(AND($A138&gt;='Control Room'!$A$15,$A138&lt;'Control Room'!$A$15+'Control Room'!$B$15,'Process'!BO4=1),1+('Control Room'!$C$15-1)*EXP(-0.5*(($A138-'Control Room'!$A$15-('Control Room'!$B$15-1)/2)/MAX(0.5,'Control Room'!$B$15/4))^2),1)*IF(AND($A138&gt;='Control Room'!$A$16,$A138&lt;'Control Room'!$A$16+'Control Room'!$B$16,'Process'!BO5=1),1+('Control Room'!$C$16-1)*EXP(-0.5*(($A138-'Control Room'!$A$16-('Control Room'!$B$16-1)/2)/MAX(0.5,'Control Room'!$B$16/4))^2),1)</x:f>
        <x:v>1</x:v>
      </x:c>
      <x:c r="AA138" s="9" t="n">
        <x:f>MOD(AB137*16807,2147483647)</x:f>
        <x:v>495868670</x:v>
      </x:c>
      <x:c r="AB138" s="9" t="n">
        <x:f>MOD(AA138*16807,2147483647)</x:f>
        <x:v>1828186330</x:v>
      </x:c>
      <x:c r="AC138" s="17" t="n">
        <x:f>IF('Control Room'!$B$5="Normal",'Control Room'!$B$7+'Control Room'!$D$7*SQRT(-2*LN(MAX(0.000000000001,AA138/2147483647)))*COS(2*PI()*AB138/2147483647),'Control Room'!$B$8+('Control Room'!$D$8-'Control Room'!$B$8)*AA138/2147483647)</x:f>
        <x:v>1091.6016539188086</x:v>
      </x:c>
      <x:c r="AD138" s="17" t="n">
        <x:f>IF('Control Room'!$B$5="Normal",'Control Room'!$B$7,('Control Room'!$B$8+'Control Room'!$D$8)/2)+'Control Room'!$B$9*(AD137-IF('Control Room'!$B$5="Normal",'Control Room'!$B$7,('Control Room'!$B$8+'Control Room'!$D$8)/2))+SQRT(1-'Control Room'!$B$9^2)*(AC138-IF('Control Room'!$B$5="Normal",'Control Room'!$B$7,('Control Room'!$B$8+'Control Room'!$D$8)/2))</x:f>
        <x:v>1006.7997413700518</x:v>
      </x:c>
      <x:c r="AE138" s="17" t="n">
        <x:f>IF(AND($A138&gt;='Control Room'!$A$13,$A138&lt;'Control Room'!$A$13+'Control Room'!$B$13,'Process'!BP2=1),1+('Control Room'!$C$13-1)*EXP(-0.5*(($A138-'Control Room'!$A$13-('Control Room'!$B$13-1)/2)/MAX(0.5,'Control Room'!$B$13/4))^2),1)*IF(AND($A138&gt;='Control Room'!$A$14,$A138&lt;'Control Room'!$A$14+'Control Room'!$B$14,'Process'!BP3=1),1+('Control Room'!$C$14-1)*EXP(-0.5*(($A138-'Control Room'!$A$14-('Control Room'!$B$14-1)/2)/MAX(0.5,'Control Room'!$B$14/4))^2),1)*IF(AND($A138&gt;='Control Room'!$A$15,$A138&lt;'Control Room'!$A$15+'Control Room'!$B$15,'Process'!BP4=1),1+('Control Room'!$C$15-1)*EXP(-0.5*(($A138-'Control Room'!$A$15-('Control Room'!$B$15-1)/2)/MAX(0.5,'Control Room'!$B$15/4))^2),1)*IF(AND($A138&gt;='Control Room'!$A$16,$A138&lt;'Control Room'!$A$16+'Control Room'!$B$16,'Process'!BP5=1),1+('Control Room'!$C$16-1)*EXP(-0.5*(($A138-'Control Room'!$A$16-('Control Room'!$B$16-1)/2)/MAX(0.5,'Control Room'!$B$16/4))^2),1)</x:f>
        <x:v>1</x:v>
      </x:c>
      <x:c r="AF138" s="9" t="n">
        <x:f>MOD(AG137*16807,2147483647)</x:f>
        <x:v>444707107</x:v>
      </x:c>
      <x:c r="AG138" s="9" t="n">
        <x:f>MOD(AF138*16807,2147483647)</x:f>
        <x:v>949255789</x:v>
      </x:c>
      <x:c r="AH138" s="17" t="n">
        <x:f>IF('Control Room'!$B$5="Normal",'Control Room'!$B$7+'Control Room'!$D$7*SQRT(-2*LN(MAX(0.000000000001,AF138/2147483647)))*COS(2*PI()*AG138/2147483647),'Control Room'!$B$8+('Control Room'!$D$8-'Control Room'!$B$8)*AF138/2147483647)</x:f>
        <x:v>850.7616706871308</x:v>
      </x:c>
      <x:c r="AI138" s="17" t="n">
        <x:f>IF('Control Room'!$B$5="Normal",'Control Room'!$B$7,('Control Room'!$B$8+'Control Room'!$D$8)/2)+'Control Room'!$B$9*(AI137-IF('Control Room'!$B$5="Normal",'Control Room'!$B$7,('Control Room'!$B$8+'Control Room'!$D$8)/2))+SQRT(1-'Control Room'!$B$9^2)*(AH138-IF('Control Room'!$B$5="Normal",'Control Room'!$B$7,('Control Room'!$B$8+'Control Room'!$D$8)/2))</x:f>
        <x:v>1000.473376647137</x:v>
      </x:c>
      <x:c r="AJ138" s="17" t="n">
        <x:f>IF(AND($A138&gt;='Control Room'!$A$13,$A138&lt;'Control Room'!$A$13+'Control Room'!$B$13,'Process'!BQ2=1),1+('Control Room'!$C$13-1)*EXP(-0.5*(($A138-'Control Room'!$A$13-('Control Room'!$B$13-1)/2)/MAX(0.5,'Control Room'!$B$13/4))^2),1)*IF(AND($A138&gt;='Control Room'!$A$14,$A138&lt;'Control Room'!$A$14+'Control Room'!$B$14,'Process'!BQ3=1),1+('Control Room'!$C$14-1)*EXP(-0.5*(($A138-'Control Room'!$A$14-('Control Room'!$B$14-1)/2)/MAX(0.5,'Control Room'!$B$14/4))^2),1)*IF(AND($A138&gt;='Control Room'!$A$15,$A138&lt;'Control Room'!$A$15+'Control Room'!$B$15,'Process'!BQ4=1),1+('Control Room'!$C$15-1)*EXP(-0.5*(($A138-'Control Room'!$A$15-('Control Room'!$B$15-1)/2)/MAX(0.5,'Control Room'!$B$15/4))^2),1)*IF(AND($A138&gt;='Control Room'!$A$16,$A138&lt;'Control Room'!$A$16+'Control Room'!$B$16,'Process'!BQ5=1),1+('Control Room'!$C$16-1)*EXP(-0.5*(($A138-'Control Room'!$A$16-('Control Room'!$B$16-1)/2)/MAX(0.5,'Control Room'!$B$16/4))^2),1)</x:f>
        <x:v>1</x:v>
      </x:c>
      <x:c r="AK138" s="9" t="n">
        <x:f>MOD(AL137*16807,2147483647)</x:f>
        <x:v>393545544</x:v>
      </x:c>
      <x:c r="AL138" s="9" t="n">
        <x:f>MOD(AK138*16807,2147483647)</x:f>
        <x:v>70325248</x:v>
      </x:c>
      <x:c r="AM138" s="17" t="n">
        <x:f>IF('Control Room'!$B$5="Normal",'Control Room'!$B$7+'Control Room'!$D$7*SQRT(-2*LN(MAX(0.000000000001,AK138/2147483647)))*COS(2*PI()*AL138/2147483647),'Control Room'!$B$8+('Control Room'!$D$8-'Control Room'!$B$8)*AK138/2147483647)</x:f>
        <x:v>1162.3008806187795</x:v>
      </x:c>
      <x:c r="AN138" s="17" t="n">
        <x:f>IF('Control Room'!$B$5="Normal",'Control Room'!$B$7,('Control Room'!$B$8+'Control Room'!$D$8)/2)+'Control Room'!$B$9*(AN137-IF('Control Room'!$B$5="Normal",'Control Room'!$B$7,('Control Room'!$B$8+'Control Room'!$D$8)/2))+SQRT(1-'Control Room'!$B$9^2)*(AM138-IF('Control Room'!$B$5="Normal",'Control Room'!$B$7,('Control Room'!$B$8+'Control Room'!$D$8)/2))</x:f>
        <x:v>1111.3653523681344</x:v>
      </x:c>
      <x:c r="AO138" s="17" t="n">
        <x:f>IF(AND($A138&gt;='Control Room'!$A$13,$A138&lt;'Control Room'!$A$13+'Control Room'!$B$13,'Process'!BR2=1),1+('Control Room'!$C$13-1)*EXP(-0.5*(($A138-'Control Room'!$A$13-('Control Room'!$B$13-1)/2)/MAX(0.5,'Control Room'!$B$13/4))^2),1)*IF(AND($A138&gt;='Control Room'!$A$14,$A138&lt;'Control Room'!$A$14+'Control Room'!$B$14,'Process'!BR3=1),1+('Control Room'!$C$14-1)*EXP(-0.5*(($A138-'Control Room'!$A$14-('Control Room'!$B$14-1)/2)/MAX(0.5,'Control Room'!$B$14/4))^2),1)*IF(AND($A138&gt;='Control Room'!$A$15,$A138&lt;'Control Room'!$A$15+'Control Room'!$B$15,'Process'!BR4=1),1+('Control Room'!$C$15-1)*EXP(-0.5*(($A138-'Control Room'!$A$15-('Control Room'!$B$15-1)/2)/MAX(0.5,'Control Room'!$B$15/4))^2),1)*IF(AND($A138&gt;='Control Room'!$A$16,$A138&lt;'Control Room'!$A$16+'Control Room'!$B$16,'Process'!BR5=1),1+('Control Room'!$C$16-1)*EXP(-0.5*(($A138-'Control Room'!$A$16-('Control Room'!$B$16-1)/2)/MAX(0.5,'Control Room'!$B$16/4))^2),1)</x:f>
        <x:v>1</x:v>
      </x:c>
      <x:c r="AP138" s="9" t="n">
        <x:f>MOD(AQ137*16807,2147483647)</x:f>
        <x:v>342383981</x:v>
      </x:c>
      <x:c r="AQ138" s="9" t="n">
        <x:f>MOD(AP138*16807,2147483647)</x:f>
        <x:v>1338878354</x:v>
      </x:c>
      <x:c r="AR138" s="17" t="n">
        <x:f>IF('Control Room'!$B$5="Normal",'Control Room'!$B$7+'Control Room'!$D$7*SQRT(-2*LN(MAX(0.000000000001,AP138/2147483647)))*COS(2*PI()*AQ138/2147483647),'Control Room'!$B$8+('Control Room'!$D$8-'Control Room'!$B$8)*AP138/2147483647)</x:f>
        <x:v>876.8754656646013</x:v>
      </x:c>
      <x:c r="AS138" s="17" t="n">
        <x:f>IF('Control Room'!$B$5="Normal",'Control Room'!$B$7,('Control Room'!$B$8+'Control Room'!$D$8)/2)+'Control Room'!$B$9*(AS137-IF('Control Room'!$B$5="Normal",'Control Room'!$B$7,('Control Room'!$B$8+'Control Room'!$D$8)/2))+SQRT(1-'Control Room'!$B$9^2)*(AR138-IF('Control Room'!$B$5="Normal",'Control Room'!$B$7,('Control Room'!$B$8+'Control Room'!$D$8)/2))</x:f>
        <x:v>1005.9143512849779</x:v>
      </x:c>
      <x:c r="AT138" s="17" t="n">
        <x:f>IF(AND($A138&gt;='Control Room'!$A$13,$A138&lt;'Control Room'!$A$13+'Control Room'!$B$13,'Process'!BS2=1),1+('Control Room'!$C$13-1)*EXP(-0.5*(($A138-'Control Room'!$A$13-('Control Room'!$B$13-1)/2)/MAX(0.5,'Control Room'!$B$13/4))^2),1)*IF(AND($A138&gt;='Control Room'!$A$14,$A138&lt;'Control Room'!$A$14+'Control Room'!$B$14,'Process'!BS3=1),1+('Control Room'!$C$14-1)*EXP(-0.5*(($A138-'Control Room'!$A$14-('Control Room'!$B$14-1)/2)/MAX(0.5,'Control Room'!$B$14/4))^2),1)*IF(AND($A138&gt;='Control Room'!$A$15,$A138&lt;'Control Room'!$A$15+'Control Room'!$B$15,'Process'!BS4=1),1+('Control Room'!$C$15-1)*EXP(-0.5*(($A138-'Control Room'!$A$15-('Control Room'!$B$15-1)/2)/MAX(0.5,'Control Room'!$B$15/4))^2),1)*IF(AND($A138&gt;='Control Room'!$A$16,$A138&lt;'Control Room'!$A$16+'Control Room'!$B$16,'Process'!BS5=1),1+('Control Room'!$C$16-1)*EXP(-0.5*(($A138-'Control Room'!$A$16-('Control Room'!$B$16-1)/2)/MAX(0.5,'Control Room'!$B$16/4))^2),1)</x:f>
        <x:v>1</x:v>
      </x:c>
      <x:c r="AU138" s="9" t="n">
        <x:f>MOD(AV137*16807,2147483647)</x:f>
        <x:v>291222418</x:v>
      </x:c>
      <x:c r="AV138" s="9" t="n">
        <x:f>MOD(AU138*16807,2147483647)</x:f>
        <x:v>459947813</x:v>
      </x:c>
      <x:c r="AW138" s="17" t="n">
        <x:f>IF('Control Room'!$B$5="Normal",'Control Room'!$B$7+'Control Room'!$D$7*SQRT(-2*LN(MAX(0.000000000001,AU138/2147483647)))*COS(2*PI()*AV138/2147483647),'Control Room'!$B$8+('Control Room'!$D$8-'Control Room'!$B$8)*AU138/2147483647)</x:f>
        <x:v>1040.1499975615154</x:v>
      </x:c>
      <x:c r="AX138" s="17" t="n">
        <x:f>IF('Control Room'!$B$5="Normal",'Control Room'!$B$7,('Control Room'!$B$8+'Control Room'!$D$8)/2)+'Control Room'!$B$9*(AX137-IF('Control Room'!$B$5="Normal",'Control Room'!$B$7,('Control Room'!$B$8+'Control Room'!$D$8)/2))+SQRT(1-'Control Room'!$B$9^2)*(AW138-IF('Control Room'!$B$5="Normal",'Control Room'!$B$7,('Control Room'!$B$8+'Control Room'!$D$8)/2))</x:f>
        <x:v>976.3518497143951</x:v>
      </x:c>
      <x:c r="AY138" s="17" t="n">
        <x:f>IF(AND($A138&gt;='Control Room'!$A$13,$A138&lt;'Control Room'!$A$13+'Control Room'!$B$13,'Process'!BT2=1),1+('Control Room'!$C$13-1)*EXP(-0.5*(($A138-'Control Room'!$A$13-('Control Room'!$B$13-1)/2)/MAX(0.5,'Control Room'!$B$13/4))^2),1)*IF(AND($A138&gt;='Control Room'!$A$14,$A138&lt;'Control Room'!$A$14+'Control Room'!$B$14,'Process'!BT3=1),1+('Control Room'!$C$14-1)*EXP(-0.5*(($A138-'Control Room'!$A$14-('Control Room'!$B$14-1)/2)/MAX(0.5,'Control Room'!$B$14/4))^2),1)*IF(AND($A138&gt;='Control Room'!$A$15,$A138&lt;'Control Room'!$A$15+'Control Room'!$B$15,'Process'!BT4=1),1+('Control Room'!$C$15-1)*EXP(-0.5*(($A138-'Control Room'!$A$15-('Control Room'!$B$15-1)/2)/MAX(0.5,'Control Room'!$B$15/4))^2),1)*IF(AND($A138&gt;='Control Room'!$A$16,$A138&lt;'Control Room'!$A$16+'Control Room'!$B$16,'Process'!BT5=1),1+('Control Room'!$C$16-1)*EXP(-0.5*(($A138-'Control Room'!$A$16-('Control Room'!$B$16-1)/2)/MAX(0.5,'Control Room'!$B$16/4))^2),1)</x:f>
        <x:v>1</x:v>
      </x:c>
      <x:c r="AZ138" s="9" t="n">
        <x:f>MOD(BA137*16807,2147483647)</x:f>
        <x:v>240060855</x:v>
      </x:c>
      <x:c r="BA138" s="9" t="n">
        <x:f>MOD(AZ138*16807,2147483647)</x:f>
        <x:v>1728500919</x:v>
      </x:c>
      <x:c r="BB138" s="17" t="n">
        <x:f>IF('Control Room'!$B$5="Normal",'Control Room'!$B$7+'Control Room'!$D$7*SQRT(-2*LN(MAX(0.000000000001,AZ138/2147483647)))*COS(2*PI()*BA138/2147483647),'Control Room'!$B$8+('Control Room'!$D$8-'Control Room'!$B$8)*AZ138/2147483647)</x:f>
        <x:v>1063.7043346101057</x:v>
      </x:c>
      <x:c r="BC138" s="17" t="n">
        <x:f>IF('Control Room'!$B$5="Normal",'Control Room'!$B$7,('Control Room'!$B$8+'Control Room'!$D$8)/2)+'Control Room'!$B$9*(BC137-IF('Control Room'!$B$5="Normal",'Control Room'!$B$7,('Control Room'!$B$8+'Control Room'!$D$8)/2))+SQRT(1-'Control Room'!$B$9^2)*(BB138-IF('Control Room'!$B$5="Normal",'Control Room'!$B$7,('Control Room'!$B$8+'Control Room'!$D$8)/2))</x:f>
        <x:v>1062.7406598473488</x:v>
      </x:c>
      <x:c r="BD138" s="17" t="n">
        <x:f>IF(AND($A138&gt;='Control Room'!$A$13,$A138&lt;'Control Room'!$A$13+'Control Room'!$B$13,'Process'!BU2=1),1+('Control Room'!$C$13-1)*EXP(-0.5*(($A138-'Control Room'!$A$13-('Control Room'!$B$13-1)/2)/MAX(0.5,'Control Room'!$B$13/4))^2),1)*IF(AND($A138&gt;='Control Room'!$A$14,$A138&lt;'Control Room'!$A$14+'Control Room'!$B$14,'Process'!BU3=1),1+('Control Room'!$C$14-1)*EXP(-0.5*(($A138-'Control Room'!$A$14-('Control Room'!$B$14-1)/2)/MAX(0.5,'Control Room'!$B$14/4))^2),1)*IF(AND($A138&gt;='Control Room'!$A$15,$A138&lt;'Control Room'!$A$15+'Control Room'!$B$15,'Process'!BU4=1),1+('Control Room'!$C$15-1)*EXP(-0.5*(($A138-'Control Room'!$A$15-('Control Room'!$B$15-1)/2)/MAX(0.5,'Control Room'!$B$15/4))^2),1)*IF(AND($A138&gt;='Control Room'!$A$16,$A138&lt;'Control Room'!$A$16+'Control Room'!$B$16,'Process'!BU5=1),1+('Control Room'!$C$16-1)*EXP(-0.5*(($A138-'Control Room'!$A$16-('Control Room'!$B$16-1)/2)/MAX(0.5,'Control Room'!$B$16/4))^2),1)</x:f>
        <x:v>1</x:v>
      </x:c>
      <x:c r="BE138" s="9" t="n">
        <x:f>MOD(BF137*16807,2147483647)</x:f>
        <x:v>188899292</x:v>
      </x:c>
      <x:c r="BF138" s="9" t="n">
        <x:f>MOD(BE138*16807,2147483647)</x:f>
        <x:v>849570378</x:v>
      </x:c>
      <x:c r="BG138" s="17" t="n">
        <x:f>IF('Control Room'!$B$5="Normal",'Control Room'!$B$7+'Control Room'!$D$7*SQRT(-2*LN(MAX(0.000000000001,BE138/2147483647)))*COS(2*PI()*BF138/2147483647),'Control Room'!$B$8+('Control Room'!$D$8-'Control Room'!$B$8)*BE138/2147483647)</x:f>
        <x:v>842.7328047205759</x:v>
      </x:c>
      <x:c r="BH138" s="17" t="n">
        <x:f>IF('Control Room'!$B$5="Normal",'Control Room'!$B$7,('Control Room'!$B$8+'Control Room'!$D$8)/2)+'Control Room'!$B$9*(BH137-IF('Control Room'!$B$5="Normal",'Control Room'!$B$7,('Control Room'!$B$8+'Control Room'!$D$8)/2))+SQRT(1-'Control Room'!$B$9^2)*(BG138-IF('Control Room'!$B$5="Normal",'Control Room'!$B$7,('Control Room'!$B$8+'Control Room'!$D$8)/2))</x:f>
        <x:v>919.4995309486587</x:v>
      </x:c>
      <x:c r="BI138" s="17" t="n">
        <x:f>IF(AND($A138&gt;='Control Room'!$A$13,$A138&lt;'Control Room'!$A$13+'Control Room'!$B$13,'Process'!BV2=1),1+('Control Room'!$C$13-1)*EXP(-0.5*(($A138-'Control Room'!$A$13-('Control Room'!$B$13-1)/2)/MAX(0.5,'Control Room'!$B$13/4))^2),1)*IF(AND($A138&gt;='Control Room'!$A$14,$A138&lt;'Control Room'!$A$14+'Control Room'!$B$14,'Process'!BV3=1),1+('Control Room'!$C$14-1)*EXP(-0.5*(($A138-'Control Room'!$A$14-('Control Room'!$B$14-1)/2)/MAX(0.5,'Control Room'!$B$14/4))^2),1)*IF(AND($A138&gt;='Control Room'!$A$15,$A138&lt;'Control Room'!$A$15+'Control Room'!$B$15,'Process'!BV4=1),1+('Control Room'!$C$15-1)*EXP(-0.5*(($A138-'Control Room'!$A$15-('Control Room'!$B$15-1)/2)/MAX(0.5,'Control Room'!$B$15/4))^2),1)*IF(AND($A138&gt;='Control Room'!$A$16,$A138&lt;'Control Room'!$A$16+'Control Room'!$B$16,'Process'!BV5=1),1+('Control Room'!$C$16-1)*EXP(-0.5*(($A138-'Control Room'!$A$16-('Control Room'!$B$16-1)/2)/MAX(0.5,'Control Room'!$B$16/4))^2),1)</x:f>
        <x:v>1</x:v>
      </x:c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Z138" t="str">
        <x:f>IF('Data'!A138="","",TEXT('Data'!A138,"mm-dd"))</x:f>
      </x:c>
    </x:row>
    <x:row r="139" ht="21" customHeight="1">
      <x:c r="A139" s="15" t="n">
        <x:f>'Control Room'!$B$1+137</x:f>
        <x:v>73128</x:v>
      </x:c>
      <x:c r="B139" s="9" t="n">
        <x:f>MOD(C138*16807,2147483647)</x:f>
        <x:v>507085051</x:v>
      </x:c>
      <x:c r="C139" s="9" t="n">
        <x:f>MOD(B139*16807,2147483647)</x:f>
        <x:v>1363340861</x:v>
      </x:c>
      <x:c r="D139" s="17" t="n">
        <x:f>IF('Control Room'!$B$5="Normal",'Control Room'!$B$7+'Control Room'!$D$7*SQRT(-2*LN(MAX(0.000000000001,B139/2147483647)))*COS(2*PI()*C139/2147483647),'Control Room'!$B$8+('Control Room'!$D$8-'Control Room'!$B$8)*B139/2147483647)</x:f>
        <x:v>898.7718372827389</x:v>
      </x:c>
      <x:c r="E139" s="17" t="n">
        <x:f>IF('Control Room'!$B$5="Normal",'Control Room'!$B$7,('Control Room'!$B$8+'Control Room'!$D$8)/2)+'Control Room'!$B$9*(E138-IF('Control Room'!$B$5="Normal",'Control Room'!$B$7,('Control Room'!$B$8+'Control Room'!$D$8)/2))+SQRT(1-'Control Room'!$B$9^2)*(D139-IF('Control Room'!$B$5="Normal",'Control Room'!$B$7,('Control Room'!$B$8+'Control Room'!$D$8)/2))</x:f>
        <x:v>937.1447415651088</x:v>
      </x:c>
      <x:c r="F139" s="17" t="n">
        <x:f>IF(AND($A139&gt;='Control Room'!$A$13,$A139&lt;'Control Room'!$A$13+'Control Room'!$B$13,'Process'!BK2=1),1+('Control Room'!$C$13-1)*EXP(-0.5*(($A139-'Control Room'!$A$13-('Control Room'!$B$13-1)/2)/MAX(0.5,'Control Room'!$B$13/4))^2),1)*IF(AND($A139&gt;='Control Room'!$A$14,$A139&lt;'Control Room'!$A$14+'Control Room'!$B$14,'Process'!BK3=1),1+('Control Room'!$C$14-1)*EXP(-0.5*(($A139-'Control Room'!$A$14-('Control Room'!$B$14-1)/2)/MAX(0.5,'Control Room'!$B$14/4))^2),1)*IF(AND($A139&gt;='Control Room'!$A$15,$A139&lt;'Control Room'!$A$15+'Control Room'!$B$15,'Process'!BK4=1),1+('Control Room'!$C$15-1)*EXP(-0.5*(($A139-'Control Room'!$A$15-('Control Room'!$B$15-1)/2)/MAX(0.5,'Control Room'!$B$15/4))^2),1)*IF(AND($A139&gt;='Control Room'!$A$16,$A139&lt;'Control Room'!$A$16+'Control Room'!$B$16,'Process'!BK5=1),1+('Control Room'!$C$16-1)*EXP(-0.5*(($A139-'Control Room'!$A$16-('Control Room'!$B$16-1)/2)/MAX(0.5,'Control Room'!$B$16/4))^2),1)</x:f>
        <x:v>1</x:v>
      </x:c>
      <x:c r="G139" s="9" t="n">
        <x:f>MOD(H138*16807,2147483647)</x:f>
        <x:v>861490177</x:v>
      </x:c>
      <x:c r="H139" s="9" t="n">
        <x:f>MOD(G139*16807,2147483647)</x:f>
        <x:v>730656765</x:v>
      </x:c>
      <x:c r="I139" s="17" t="n">
        <x:f>IF('Control Room'!$B$5="Normal",'Control Room'!$B$7+'Control Room'!$D$7*SQRT(-2*LN(MAX(0.000000000001,G139/2147483647)))*COS(2*PI()*H139/2147483647),'Control Room'!$B$8+('Control Room'!$D$8-'Control Room'!$B$8)*G139/2147483647)</x:f>
        <x:v>934.6668211625736</x:v>
      </x:c>
      <x:c r="J139" s="17" t="n">
        <x:f>IF('Control Room'!$B$5="Normal",'Control Room'!$B$7,('Control Room'!$B$8+'Control Room'!$D$8)/2)+'Control Room'!$B$9*(J138-IF('Control Room'!$B$5="Normal",'Control Room'!$B$7,('Control Room'!$B$8+'Control Room'!$D$8)/2))+SQRT(1-'Control Room'!$B$9^2)*(I139-IF('Control Room'!$B$5="Normal",'Control Room'!$B$7,('Control Room'!$B$8+'Control Room'!$D$8)/2))</x:f>
        <x:v>879.8830540452715</x:v>
      </x:c>
      <x:c r="K139" s="17" t="n">
        <x:f>IF(AND($A139&gt;='Control Room'!$A$13,$A139&lt;'Control Room'!$A$13+'Control Room'!$B$13,'Process'!BL2=1),1+('Control Room'!$C$13-1)*EXP(-0.5*(($A139-'Control Room'!$A$13-('Control Room'!$B$13-1)/2)/MAX(0.5,'Control Room'!$B$13/4))^2),1)*IF(AND($A139&gt;='Control Room'!$A$14,$A139&lt;'Control Room'!$A$14+'Control Room'!$B$14,'Process'!BL3=1),1+('Control Room'!$C$14-1)*EXP(-0.5*(($A139-'Control Room'!$A$14-('Control Room'!$B$14-1)/2)/MAX(0.5,'Control Room'!$B$14/4))^2),1)*IF(AND($A139&gt;='Control Room'!$A$15,$A139&lt;'Control Room'!$A$15+'Control Room'!$B$15,'Process'!BL4=1),1+('Control Room'!$C$15-1)*EXP(-0.5*(($A139-'Control Room'!$A$15-('Control Room'!$B$15-1)/2)/MAX(0.5,'Control Room'!$B$15/4))^2),1)*IF(AND($A139&gt;='Control Room'!$A$16,$A139&lt;'Control Room'!$A$16+'Control Room'!$B$16,'Process'!BL5=1),1+('Control Room'!$C$16-1)*EXP(-0.5*(($A139-'Control Room'!$A$16-('Control Room'!$B$16-1)/2)/MAX(0.5,'Control Room'!$B$16/4))^2),1)</x:f>
        <x:v>1</x:v>
      </x:c>
      <x:c r="L139" s="9" t="n">
        <x:f>MOD(M138*16807,2147483647)</x:f>
        <x:v>1215895303</x:v>
      </x:c>
      <x:c r="M139" s="9" t="n">
        <x:f>MOD(L139*16807,2147483647)</x:f>
        <x:v>97972669</x:v>
      </x:c>
      <x:c r="N139" s="17" t="n">
        <x:f>IF('Control Room'!$B$5="Normal",'Control Room'!$B$7+'Control Room'!$D$7*SQRT(-2*LN(MAX(0.000000000001,L139/2147483647)))*COS(2*PI()*M139/2147483647),'Control Room'!$B$8+('Control Room'!$D$8-'Control Room'!$B$8)*L139/2147483647)</x:f>
        <x:v>1092.0769114472519</x:v>
      </x:c>
      <x:c r="O139" s="17" t="n">
        <x:f>IF('Control Room'!$B$5="Normal",'Control Room'!$B$7,('Control Room'!$B$8+'Control Room'!$D$8)/2)+'Control Room'!$B$9*(O138-IF('Control Room'!$B$5="Normal",'Control Room'!$B$7,('Control Room'!$B$8+'Control Room'!$D$8)/2))+SQRT(1-'Control Room'!$B$9^2)*(N139-IF('Control Room'!$B$5="Normal",'Control Room'!$B$7,('Control Room'!$B$8+'Control Room'!$D$8)/2))</x:f>
        <x:v>1114.3596467852428</x:v>
      </x:c>
      <x:c r="P139" s="17" t="n">
        <x:f>IF(AND($A139&gt;='Control Room'!$A$13,$A139&lt;'Control Room'!$A$13+'Control Room'!$B$13,'Process'!BM2=1),1+('Control Room'!$C$13-1)*EXP(-0.5*(($A139-'Control Room'!$A$13-('Control Room'!$B$13-1)/2)/MAX(0.5,'Control Room'!$B$13/4))^2),1)*IF(AND($A139&gt;='Control Room'!$A$14,$A139&lt;'Control Room'!$A$14+'Control Room'!$B$14,'Process'!BM3=1),1+('Control Room'!$C$14-1)*EXP(-0.5*(($A139-'Control Room'!$A$14-('Control Room'!$B$14-1)/2)/MAX(0.5,'Control Room'!$B$14/4))^2),1)*IF(AND($A139&gt;='Control Room'!$A$15,$A139&lt;'Control Room'!$A$15+'Control Room'!$B$15,'Process'!BM4=1),1+('Control Room'!$C$15-1)*EXP(-0.5*(($A139-'Control Room'!$A$15-('Control Room'!$B$15-1)/2)/MAX(0.5,'Control Room'!$B$15/4))^2),1)*IF(AND($A139&gt;='Control Room'!$A$16,$A139&lt;'Control Room'!$A$16+'Control Room'!$B$16,'Process'!BM5=1),1+('Control Room'!$C$16-1)*EXP(-0.5*(($A139-'Control Room'!$A$16-('Control Room'!$B$16-1)/2)/MAX(0.5,'Control Room'!$B$16/4))^2),1)</x:f>
        <x:v>1</x:v>
      </x:c>
      <x:c r="Q139" s="9" t="n">
        <x:f>MOD(R138*16807,2147483647)</x:f>
        <x:v>1570300429</x:v>
      </x:c>
      <x:c r="R139" s="9" t="n">
        <x:f>MOD(Q139*16807,2147483647)</x:f>
        <x:v>1612772220</x:v>
      </x:c>
      <x:c r="S139" s="17" t="n">
        <x:f>IF('Control Room'!$B$5="Normal",'Control Room'!$B$7+'Control Room'!$D$7*SQRT(-2*LN(MAX(0.000000000001,Q139/2147483647)))*COS(2*PI()*R139/2147483647),'Control Room'!$B$8+('Control Room'!$D$8-'Control Room'!$B$8)*Q139/2147483647)</x:f>
        <x:v>1000.44993274995</x:v>
      </x:c>
      <x:c r="T139" s="17" t="n">
        <x:f>IF('Control Room'!$B$5="Normal",'Control Room'!$B$7,('Control Room'!$B$8+'Control Room'!$D$8)/2)+'Control Room'!$B$9*(T138-IF('Control Room'!$B$5="Normal",'Control Room'!$B$7,('Control Room'!$B$8+'Control Room'!$D$8)/2))+SQRT(1-'Control Room'!$B$9^2)*(S139-IF('Control Room'!$B$5="Normal",'Control Room'!$B$7,('Control Room'!$B$8+'Control Room'!$D$8)/2))</x:f>
        <x:v>947.3792178037027</x:v>
      </x:c>
      <x:c r="U139" s="17" t="n">
        <x:f>IF(AND($A139&gt;='Control Room'!$A$13,$A139&lt;'Control Room'!$A$13+'Control Room'!$B$13,'Process'!BN2=1),1+('Control Room'!$C$13-1)*EXP(-0.5*(($A139-'Control Room'!$A$13-('Control Room'!$B$13-1)/2)/MAX(0.5,'Control Room'!$B$13/4))^2),1)*IF(AND($A139&gt;='Control Room'!$A$14,$A139&lt;'Control Room'!$A$14+'Control Room'!$B$14,'Process'!BN3=1),1+('Control Room'!$C$14-1)*EXP(-0.5*(($A139-'Control Room'!$A$14-('Control Room'!$B$14-1)/2)/MAX(0.5,'Control Room'!$B$14/4))^2),1)*IF(AND($A139&gt;='Control Room'!$A$15,$A139&lt;'Control Room'!$A$15+'Control Room'!$B$15,'Process'!BN4=1),1+('Control Room'!$C$15-1)*EXP(-0.5*(($A139-'Control Room'!$A$15-('Control Room'!$B$15-1)/2)/MAX(0.5,'Control Room'!$B$15/4))^2),1)*IF(AND($A139&gt;='Control Room'!$A$16,$A139&lt;'Control Room'!$A$16+'Control Room'!$B$16,'Process'!BN5=1),1+('Control Room'!$C$16-1)*EXP(-0.5*(($A139-'Control Room'!$A$16-('Control Room'!$B$16-1)/2)/MAX(0.5,'Control Room'!$B$16/4))^2),1)</x:f>
        <x:v>1</x:v>
      </x:c>
      <x:c r="V139" s="9" t="n">
        <x:f>MOD(W138*16807,2147483647)</x:f>
        <x:v>1924705555</x:v>
      </x:c>
      <x:c r="W139" s="9" t="n">
        <x:f>MOD(V139*16807,2147483647)</x:f>
        <x:v>980088124</x:v>
      </x:c>
      <x:c r="X139" s="17" t="n">
        <x:f>IF('Control Room'!$B$5="Normal",'Control Room'!$B$7+'Control Room'!$D$7*SQRT(-2*LN(MAX(0.000000000001,V139/2147483647)))*COS(2*PI()*W139/2147483647),'Control Room'!$B$8+('Control Room'!$D$8-'Control Room'!$B$8)*V139/2147483647)</x:f>
        <x:v>959.449231144799</x:v>
      </x:c>
      <x:c r="Y139" s="17" t="n">
        <x:f>IF('Control Room'!$B$5="Normal",'Control Room'!$B$7,('Control Room'!$B$8+'Control Room'!$D$8)/2)+'Control Room'!$B$9*(Y138-IF('Control Room'!$B$5="Normal",'Control Room'!$B$7,('Control Room'!$B$8+'Control Room'!$D$8)/2))+SQRT(1-'Control Room'!$B$9^2)*(X139-IF('Control Room'!$B$5="Normal",'Control Room'!$B$7,('Control Room'!$B$8+'Control Room'!$D$8)/2))</x:f>
        <x:v>934.093451323954</x:v>
      </x:c>
      <x:c r="Z139" s="17" t="n">
        <x:f>IF(AND($A139&gt;='Control Room'!$A$13,$A139&lt;'Control Room'!$A$13+'Control Room'!$B$13,'Process'!BO2=1),1+('Control Room'!$C$13-1)*EXP(-0.5*(($A139-'Control Room'!$A$13-('Control Room'!$B$13-1)/2)/MAX(0.5,'Control Room'!$B$13/4))^2),1)*IF(AND($A139&gt;='Control Room'!$A$14,$A139&lt;'Control Room'!$A$14+'Control Room'!$B$14,'Process'!BO3=1),1+('Control Room'!$C$14-1)*EXP(-0.5*(($A139-'Control Room'!$A$14-('Control Room'!$B$14-1)/2)/MAX(0.5,'Control Room'!$B$14/4))^2),1)*IF(AND($A139&gt;='Control Room'!$A$15,$A139&lt;'Control Room'!$A$15+'Control Room'!$B$15,'Process'!BO4=1),1+('Control Room'!$C$15-1)*EXP(-0.5*(($A139-'Control Room'!$A$15-('Control Room'!$B$15-1)/2)/MAX(0.5,'Control Room'!$B$15/4))^2),1)*IF(AND($A139&gt;='Control Room'!$A$16,$A139&lt;'Control Room'!$A$16+'Control Room'!$B$16,'Process'!BO5=1),1+('Control Room'!$C$16-1)*EXP(-0.5*(($A139-'Control Room'!$A$16-('Control Room'!$B$16-1)/2)/MAX(0.5,'Control Room'!$B$16/4))^2),1)</x:f>
        <x:v>1</x:v>
      </x:c>
      <x:c r="AA139" s="9" t="n">
        <x:f>MOD(AB138*16807,2147483647)</x:f>
        <x:v>131627034</x:v>
      </x:c>
      <x:c r="AB139" s="9" t="n">
        <x:f>MOD(AA139*16807,2147483647)</x:f>
        <x:v>347404028</x:v>
      </x:c>
      <x:c r="AC139" s="17" t="n">
        <x:f>IF('Control Room'!$B$5="Normal",'Control Room'!$B$7+'Control Room'!$D$7*SQRT(-2*LN(MAX(0.000000000001,AA139/2147483647)))*COS(2*PI()*AB139/2147483647),'Control Room'!$B$8+('Control Room'!$D$8-'Control Room'!$B$8)*AA139/2147483647)</x:f>
        <x:v>1111.9512632756666</x:v>
      </x:c>
      <x:c r="AD139" s="17" t="n">
        <x:f>IF('Control Room'!$B$5="Normal",'Control Room'!$B$7,('Control Room'!$B$8+'Control Room'!$D$8)/2)+'Control Room'!$B$9*(AD138-IF('Control Room'!$B$5="Normal",'Control Room'!$B$7,('Control Room'!$B$8+'Control Room'!$D$8)/2))+SQRT(1-'Control Room'!$B$9^2)*(AC139-IF('Control Room'!$B$5="Normal",'Control Room'!$B$7,('Control Room'!$B$8+'Control Room'!$D$8)/2))</x:f>
        <x:v>1075.3606053802646</x:v>
      </x:c>
      <x:c r="AE139" s="17" t="n">
        <x:f>IF(AND($A139&gt;='Control Room'!$A$13,$A139&lt;'Control Room'!$A$13+'Control Room'!$B$13,'Process'!BP2=1),1+('Control Room'!$C$13-1)*EXP(-0.5*(($A139-'Control Room'!$A$13-('Control Room'!$B$13-1)/2)/MAX(0.5,'Control Room'!$B$13/4))^2),1)*IF(AND($A139&gt;='Control Room'!$A$14,$A139&lt;'Control Room'!$A$14+'Control Room'!$B$14,'Process'!BP3=1),1+('Control Room'!$C$14-1)*EXP(-0.5*(($A139-'Control Room'!$A$14-('Control Room'!$B$14-1)/2)/MAX(0.5,'Control Room'!$B$14/4))^2),1)*IF(AND($A139&gt;='Control Room'!$A$15,$A139&lt;'Control Room'!$A$15+'Control Room'!$B$15,'Process'!BP4=1),1+('Control Room'!$C$15-1)*EXP(-0.5*(($A139-'Control Room'!$A$15-('Control Room'!$B$15-1)/2)/MAX(0.5,'Control Room'!$B$15/4))^2),1)*IF(AND($A139&gt;='Control Room'!$A$16,$A139&lt;'Control Room'!$A$16+'Control Room'!$B$16,'Process'!BP5=1),1+('Control Room'!$C$16-1)*EXP(-0.5*(($A139-'Control Room'!$A$16-('Control Room'!$B$16-1)/2)/MAX(0.5,'Control Room'!$B$16/4))^2),1)</x:f>
        <x:v>1</x:v>
      </x:c>
      <x:c r="AF139" s="9" t="n">
        <x:f>MOD(AG138*16807,2147483647)</x:f>
        <x:v>486032160</x:v>
      </x:c>
      <x:c r="AG139" s="9" t="n">
        <x:f>MOD(AF139*16807,2147483647)</x:f>
        <x:v>1862203579</x:v>
      </x:c>
      <x:c r="AH139" s="17" t="n">
        <x:f>IF('Control Room'!$B$5="Normal",'Control Room'!$B$7+'Control Room'!$D$7*SQRT(-2*LN(MAX(0.000000000001,AF139/2147483647)))*COS(2*PI()*AG139/2147483647),'Control Room'!$B$8+('Control Room'!$D$8-'Control Room'!$B$8)*AF139/2147483647)</x:f>
        <x:v>1104.1655225363902</x:v>
      </x:c>
      <x:c r="AI139" s="17" t="n">
        <x:f>IF('Control Room'!$B$5="Normal",'Control Room'!$B$7,('Control Room'!$B$8+'Control Room'!$D$8)/2)+'Control Room'!$B$9*(AI138-IF('Control Room'!$B$5="Normal",'Control Room'!$B$7,('Control Room'!$B$8+'Control Room'!$D$8)/2))+SQRT(1-'Control Room'!$B$9^2)*(AH139-IF('Control Room'!$B$5="Normal",'Control Room'!$B$7,('Control Room'!$B$8+'Control Room'!$D$8)/2))</x:f>
        <x:v>1065.5538838413204</x:v>
      </x:c>
      <x:c r="AJ139" s="17" t="n">
        <x:f>IF(AND($A139&gt;='Control Room'!$A$13,$A139&lt;'Control Room'!$A$13+'Control Room'!$B$13,'Process'!BQ2=1),1+('Control Room'!$C$13-1)*EXP(-0.5*(($A139-'Control Room'!$A$13-('Control Room'!$B$13-1)/2)/MAX(0.5,'Control Room'!$B$13/4))^2),1)*IF(AND($A139&gt;='Control Room'!$A$14,$A139&lt;'Control Room'!$A$14+'Control Room'!$B$14,'Process'!BQ3=1),1+('Control Room'!$C$14-1)*EXP(-0.5*(($A139-'Control Room'!$A$14-('Control Room'!$B$14-1)/2)/MAX(0.5,'Control Room'!$B$14/4))^2),1)*IF(AND($A139&gt;='Control Room'!$A$15,$A139&lt;'Control Room'!$A$15+'Control Room'!$B$15,'Process'!BQ4=1),1+('Control Room'!$C$15-1)*EXP(-0.5*(($A139-'Control Room'!$A$15-('Control Room'!$B$15-1)/2)/MAX(0.5,'Control Room'!$B$15/4))^2),1)*IF(AND($A139&gt;='Control Room'!$A$16,$A139&lt;'Control Room'!$A$16+'Control Room'!$B$16,'Process'!BQ5=1),1+('Control Room'!$C$16-1)*EXP(-0.5*(($A139-'Control Room'!$A$16-('Control Room'!$B$16-1)/2)/MAX(0.5,'Control Room'!$B$16/4))^2),1)</x:f>
        <x:v>1</x:v>
      </x:c>
      <x:c r="AK139" s="9" t="n">
        <x:f>MOD(AL138*16807,2147483647)</x:f>
        <x:v>840437286</x:v>
      </x:c>
      <x:c r="AL139" s="9" t="n">
        <x:f>MOD(AK139*16807,2147483647)</x:f>
        <x:v>1229519483</x:v>
      </x:c>
      <x:c r="AM139" s="17" t="n">
        <x:f>IF('Control Room'!$B$5="Normal",'Control Room'!$B$7+'Control Room'!$D$7*SQRT(-2*LN(MAX(0.000000000001,AK139/2147483647)))*COS(2*PI()*AL139/2147483647),'Control Room'!$B$8+('Control Room'!$D$8-'Control Room'!$B$8)*AK139/2147483647)</x:f>
        <x:v>889.3056038416222</x:v>
      </x:c>
      <x:c r="AN139" s="17" t="n">
        <x:f>IF('Control Room'!$B$5="Normal",'Control Room'!$B$7,('Control Room'!$B$8+'Control Room'!$D$8)/2)+'Control Room'!$B$9*(AN138-IF('Control Room'!$B$5="Normal",'Control Room'!$B$7,('Control Room'!$B$8+'Control Room'!$D$8)/2))+SQRT(1-'Control Room'!$B$9^2)*(AM139-IF('Control Room'!$B$5="Normal",'Control Room'!$B$7,('Control Room'!$B$8+'Control Room'!$D$8)/2))</x:f>
        <x:v>1017.5946894291976</x:v>
      </x:c>
      <x:c r="AO139" s="17" t="n">
        <x:f>IF(AND($A139&gt;='Control Room'!$A$13,$A139&lt;'Control Room'!$A$13+'Control Room'!$B$13,'Process'!BR2=1),1+('Control Room'!$C$13-1)*EXP(-0.5*(($A139-'Control Room'!$A$13-('Control Room'!$B$13-1)/2)/MAX(0.5,'Control Room'!$B$13/4))^2),1)*IF(AND($A139&gt;='Control Room'!$A$14,$A139&lt;'Control Room'!$A$14+'Control Room'!$B$14,'Process'!BR3=1),1+('Control Room'!$C$14-1)*EXP(-0.5*(($A139-'Control Room'!$A$14-('Control Room'!$B$14-1)/2)/MAX(0.5,'Control Room'!$B$14/4))^2),1)*IF(AND($A139&gt;='Control Room'!$A$15,$A139&lt;'Control Room'!$A$15+'Control Room'!$B$15,'Process'!BR4=1),1+('Control Room'!$C$15-1)*EXP(-0.5*(($A139-'Control Room'!$A$15-('Control Room'!$B$15-1)/2)/MAX(0.5,'Control Room'!$B$15/4))^2),1)*IF(AND($A139&gt;='Control Room'!$A$16,$A139&lt;'Control Room'!$A$16+'Control Room'!$B$16,'Process'!BR5=1),1+('Control Room'!$C$16-1)*EXP(-0.5*(($A139-'Control Room'!$A$16-('Control Room'!$B$16-1)/2)/MAX(0.5,'Control Room'!$B$16/4))^2),1)</x:f>
        <x:v>1</x:v>
      </x:c>
      <x:c r="AP139" s="9" t="n">
        <x:f>MOD(AQ138*16807,2147483647)</x:f>
        <x:v>1194842412</x:v>
      </x:c>
      <x:c r="AQ139" s="9" t="n">
        <x:f>MOD(AP139*16807,2147483647)</x:f>
        <x:v>596835387</x:v>
      </x:c>
      <x:c r="AR139" s="17" t="n">
        <x:f>IF('Control Room'!$B$5="Normal",'Control Room'!$B$7+'Control Room'!$D$7*SQRT(-2*LN(MAX(0.000000000001,AP139/2147483647)))*COS(2*PI()*AQ139/2147483647),'Control Room'!$B$8+('Control Room'!$D$8-'Control Room'!$B$8)*AP139/2147483647)</x:f>
        <x:v>982.9892024506071</x:v>
      </x:c>
      <x:c r="AS139" s="17" t="n">
        <x:f>IF('Control Room'!$B$5="Normal",'Control Room'!$B$7,('Control Room'!$B$8+'Control Room'!$D$8)/2)+'Control Room'!$B$9*(AS138-IF('Control Room'!$B$5="Normal",'Control Room'!$B$7,('Control Room'!$B$8+'Control Room'!$D$8)/2))+SQRT(1-'Control Room'!$B$9^2)*(AR139-IF('Control Room'!$B$5="Normal",'Control Room'!$B$7,('Control Room'!$B$8+'Control Room'!$D$8)/2))</x:f>
        <x:v>993.9681853810023</x:v>
      </x:c>
      <x:c r="AT139" s="17" t="n">
        <x:f>IF(AND($A139&gt;='Control Room'!$A$13,$A139&lt;'Control Room'!$A$13+'Control Room'!$B$13,'Process'!BS2=1),1+('Control Room'!$C$13-1)*EXP(-0.5*(($A139-'Control Room'!$A$13-('Control Room'!$B$13-1)/2)/MAX(0.5,'Control Room'!$B$13/4))^2),1)*IF(AND($A139&gt;='Control Room'!$A$14,$A139&lt;'Control Room'!$A$14+'Control Room'!$B$14,'Process'!BS3=1),1+('Control Room'!$C$14-1)*EXP(-0.5*(($A139-'Control Room'!$A$14-('Control Room'!$B$14-1)/2)/MAX(0.5,'Control Room'!$B$14/4))^2),1)*IF(AND($A139&gt;='Control Room'!$A$15,$A139&lt;'Control Room'!$A$15+'Control Room'!$B$15,'Process'!BS4=1),1+('Control Room'!$C$15-1)*EXP(-0.5*(($A139-'Control Room'!$A$15-('Control Room'!$B$15-1)/2)/MAX(0.5,'Control Room'!$B$15/4))^2),1)*IF(AND($A139&gt;='Control Room'!$A$16,$A139&lt;'Control Room'!$A$16+'Control Room'!$B$16,'Process'!BS5=1),1+('Control Room'!$C$16-1)*EXP(-0.5*(($A139-'Control Room'!$A$16-('Control Room'!$B$16-1)/2)/MAX(0.5,'Control Room'!$B$16/4))^2),1)</x:f>
        <x:v>1</x:v>
      </x:c>
      <x:c r="AU139" s="9" t="n">
        <x:f>MOD(AV138*16807,2147483647)</x:f>
        <x:v>1549247538</x:v>
      </x:c>
      <x:c r="AV139" s="9" t="n">
        <x:f>MOD(AU139*16807,2147483647)</x:f>
        <x:v>2111634938</x:v>
      </x:c>
      <x:c r="AW139" s="17" t="n">
        <x:f>IF('Control Room'!$B$5="Normal",'Control Room'!$B$7+'Control Room'!$D$7*SQRT(-2*LN(MAX(0.000000000001,AU139/2147483647)))*COS(2*PI()*AV139/2147483647),'Control Room'!$B$8+('Control Room'!$D$8-'Control Room'!$B$8)*AU139/2147483647)</x:f>
        <x:v>1072.3309242796415</x:v>
      </x:c>
      <x:c r="AX139" s="17" t="n">
        <x:f>IF('Control Room'!$B$5="Normal",'Control Room'!$B$7,('Control Room'!$B$8+'Control Room'!$D$8)/2)+'Control Room'!$B$9*(AX138-IF('Control Room'!$B$5="Normal",'Control Room'!$B$7,('Control Room'!$B$8+'Control Room'!$D$8)/2))+SQRT(1-'Control Room'!$B$9^2)*(AW139-IF('Control Room'!$B$5="Normal",'Control Room'!$B$7,('Control Room'!$B$8+'Control Room'!$D$8)/2))</x:f>
        <x:v>1026.8176534119023</x:v>
      </x:c>
      <x:c r="AY139" s="17" t="n">
        <x:f>IF(AND($A139&gt;='Control Room'!$A$13,$A139&lt;'Control Room'!$A$13+'Control Room'!$B$13,'Process'!BT2=1),1+('Control Room'!$C$13-1)*EXP(-0.5*(($A139-'Control Room'!$A$13-('Control Room'!$B$13-1)/2)/MAX(0.5,'Control Room'!$B$13/4))^2),1)*IF(AND($A139&gt;='Control Room'!$A$14,$A139&lt;'Control Room'!$A$14+'Control Room'!$B$14,'Process'!BT3=1),1+('Control Room'!$C$14-1)*EXP(-0.5*(($A139-'Control Room'!$A$14-('Control Room'!$B$14-1)/2)/MAX(0.5,'Control Room'!$B$14/4))^2),1)*IF(AND($A139&gt;='Control Room'!$A$15,$A139&lt;'Control Room'!$A$15+'Control Room'!$B$15,'Process'!BT4=1),1+('Control Room'!$C$15-1)*EXP(-0.5*(($A139-'Control Room'!$A$15-('Control Room'!$B$15-1)/2)/MAX(0.5,'Control Room'!$B$15/4))^2),1)*IF(AND($A139&gt;='Control Room'!$A$16,$A139&lt;'Control Room'!$A$16+'Control Room'!$B$16,'Process'!BT5=1),1+('Control Room'!$C$16-1)*EXP(-0.5*(($A139-'Control Room'!$A$16-('Control Room'!$B$16-1)/2)/MAX(0.5,'Control Room'!$B$16/4))^2),1)</x:f>
        <x:v>1</x:v>
      </x:c>
      <x:c r="AZ139" s="9" t="n">
        <x:f>MOD(BA138*16807,2147483647)</x:f>
        <x:v>1903652664</x:v>
      </x:c>
      <x:c r="BA139" s="9" t="n">
        <x:f>MOD(AZ139*16807,2147483647)</x:f>
        <x:v>1478950842</x:v>
      </x:c>
      <x:c r="BB139" s="17" t="n">
        <x:f>IF('Control Room'!$B$5="Normal",'Control Room'!$B$7+'Control Room'!$D$7*SQRT(-2*LN(MAX(0.000000000001,AZ139/2147483647)))*COS(2*PI()*BA139/2147483647),'Control Room'!$B$8+('Control Room'!$D$8-'Control Room'!$B$8)*AZ139/2147483647)</x:f>
        <x:v>983.3962418541419</x:v>
      </x:c>
      <x:c r="BC139" s="17" t="n">
        <x:f>IF('Control Room'!$B$5="Normal",'Control Room'!$B$7,('Control Room'!$B$8+'Control Room'!$D$8)/2)+'Control Room'!$B$9*(BC138-IF('Control Room'!$B$5="Normal",'Control Room'!$B$7,('Control Room'!$B$8+'Control Room'!$D$8)/2))+SQRT(1-'Control Room'!$B$9^2)*(BB139-IF('Control Room'!$B$5="Normal",'Control Room'!$B$7,('Control Room'!$B$8+'Control Room'!$D$8)/2))</x:f>
        <x:v>1038.5474229797283</x:v>
      </x:c>
      <x:c r="BD139" s="17" t="n">
        <x:f>IF(AND($A139&gt;='Control Room'!$A$13,$A139&lt;'Control Room'!$A$13+'Control Room'!$B$13,'Process'!BU2=1),1+('Control Room'!$C$13-1)*EXP(-0.5*(($A139-'Control Room'!$A$13-('Control Room'!$B$13-1)/2)/MAX(0.5,'Control Room'!$B$13/4))^2),1)*IF(AND($A139&gt;='Control Room'!$A$14,$A139&lt;'Control Room'!$A$14+'Control Room'!$B$14,'Process'!BU3=1),1+('Control Room'!$C$14-1)*EXP(-0.5*(($A139-'Control Room'!$A$14-('Control Room'!$B$14-1)/2)/MAX(0.5,'Control Room'!$B$14/4))^2),1)*IF(AND($A139&gt;='Control Room'!$A$15,$A139&lt;'Control Room'!$A$15+'Control Room'!$B$15,'Process'!BU4=1),1+('Control Room'!$C$15-1)*EXP(-0.5*(($A139-'Control Room'!$A$15-('Control Room'!$B$15-1)/2)/MAX(0.5,'Control Room'!$B$15/4))^2),1)*IF(AND($A139&gt;='Control Room'!$A$16,$A139&lt;'Control Room'!$A$16+'Control Room'!$B$16,'Process'!BU5=1),1+('Control Room'!$C$16-1)*EXP(-0.5*(($A139-'Control Room'!$A$16-('Control Room'!$B$16-1)/2)/MAX(0.5,'Control Room'!$B$16/4))^2),1)</x:f>
        <x:v>1</x:v>
      </x:c>
      <x:c r="BE139" s="9" t="n">
        <x:f>MOD(BF138*16807,2147483647)</x:f>
        <x:v>110574143</x:v>
      </x:c>
      <x:c r="BF139" s="9" t="n">
        <x:f>MOD(BE139*16807,2147483647)</x:f>
        <x:v>846266746</x:v>
      </x:c>
      <x:c r="BG139" s="17" t="n">
        <x:f>IF('Control Room'!$B$5="Normal",'Control Room'!$B$7+'Control Room'!$D$7*SQRT(-2*LN(MAX(0.000000000001,BE139/2147483647)))*COS(2*PI()*BF139/2147483647),'Control Room'!$B$8+('Control Room'!$D$8-'Control Room'!$B$8)*BE139/2147483647)</x:f>
        <x:v>827.5712744416275</x:v>
      </x:c>
      <x:c r="BH139" s="17" t="n">
        <x:f>IF('Control Room'!$B$5="Normal",'Control Room'!$B$7,('Control Room'!$B$8+'Control Room'!$D$8)/2)+'Control Room'!$B$9*(BH138-IF('Control Room'!$B$5="Normal",'Control Room'!$B$7,('Control Room'!$B$8+'Control Room'!$D$8)/2))+SQRT(1-'Control Room'!$B$9^2)*(BG139-IF('Control Room'!$B$5="Normal",'Control Room'!$B$7,('Control Room'!$B$8+'Control Room'!$D$8)/2))</x:f>
        <x:v>829.3072700799701</x:v>
      </x:c>
      <x:c r="BI139" s="17" t="n">
        <x:f>IF(AND($A139&gt;='Control Room'!$A$13,$A139&lt;'Control Room'!$A$13+'Control Room'!$B$13,'Process'!BV2=1),1+('Control Room'!$C$13-1)*EXP(-0.5*(($A139-'Control Room'!$A$13-('Control Room'!$B$13-1)/2)/MAX(0.5,'Control Room'!$B$13/4))^2),1)*IF(AND($A139&gt;='Control Room'!$A$14,$A139&lt;'Control Room'!$A$14+'Control Room'!$B$14,'Process'!BV3=1),1+('Control Room'!$C$14-1)*EXP(-0.5*(($A139-'Control Room'!$A$14-('Control Room'!$B$14-1)/2)/MAX(0.5,'Control Room'!$B$14/4))^2),1)*IF(AND($A139&gt;='Control Room'!$A$15,$A139&lt;'Control Room'!$A$15+'Control Room'!$B$15,'Process'!BV4=1),1+('Control Room'!$C$15-1)*EXP(-0.5*(($A139-'Control Room'!$A$15-('Control Room'!$B$15-1)/2)/MAX(0.5,'Control Room'!$B$15/4))^2),1)*IF(AND($A139&gt;='Control Room'!$A$16,$A139&lt;'Control Room'!$A$16+'Control Room'!$B$16,'Process'!BV5=1),1+('Control Room'!$C$16-1)*EXP(-0.5*(($A139-'Control Room'!$A$16-('Control Room'!$B$16-1)/2)/MAX(0.5,'Control Room'!$B$16/4))^2),1)</x:f>
        <x:v>1</x:v>
      </x:c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Z139" t="str">
        <x:f>IF('Data'!A139="","",TEXT('Data'!A139,"mm-dd"))</x:f>
      </x:c>
    </x:row>
    <x:row r="140" ht="21" customHeight="1">
      <x:c r="A140" s="15" t="n">
        <x:f>'Control Room'!$B$1+138</x:f>
        <x:v>73129</x:v>
      </x:c>
      <x:c r="B140" s="9" t="n">
        <x:f>MOD(C139*16807,2147483647)</x:f>
        <x:v>19337337</x:v>
      </x:c>
      <x:c r="C140" s="9" t="n">
        <x:f>MOD(B140*16807,2147483647)</x:f>
        <x:v>732592262</x:v>
      </x:c>
      <x:c r="D140" s="17" t="n">
        <x:f>IF('Control Room'!$B$5="Normal",'Control Room'!$B$7+'Control Room'!$D$7*SQRT(-2*LN(MAX(0.000000000001,B140/2147483647)))*COS(2*PI()*C140/2147483647),'Control Room'!$B$8+('Control Room'!$D$8-'Control Room'!$B$8)*B140/2147483647)</x:f>
        <x:v>850.3227749333743</x:v>
      </x:c>
      <x:c r="E140" s="17" t="n">
        <x:f>IF('Control Room'!$B$5="Normal",'Control Room'!$B$7,('Control Room'!$B$8+'Control Room'!$D$8)/2)+'Control Room'!$B$9*(E139-IF('Control Room'!$B$5="Normal",'Control Room'!$B$7,('Control Room'!$B$8+'Control Room'!$D$8)/2))+SQRT(1-'Control Room'!$B$9^2)*(D140-IF('Control Room'!$B$5="Normal",'Control Room'!$B$7,('Control Room'!$B$8+'Control Room'!$D$8)/2))</x:f>
        <x:v>857.3079572787144</x:v>
      </x:c>
      <x:c r="F140" s="17" t="n">
        <x:f>IF(AND($A140&gt;='Control Room'!$A$13,$A140&lt;'Control Room'!$A$13+'Control Room'!$B$13,'Process'!BK2=1),1+('Control Room'!$C$13-1)*EXP(-0.5*(($A140-'Control Room'!$A$13-('Control Room'!$B$13-1)/2)/MAX(0.5,'Control Room'!$B$13/4))^2),1)*IF(AND($A140&gt;='Control Room'!$A$14,$A140&lt;'Control Room'!$A$14+'Control Room'!$B$14,'Process'!BK3=1),1+('Control Room'!$C$14-1)*EXP(-0.5*(($A140-'Control Room'!$A$14-('Control Room'!$B$14-1)/2)/MAX(0.5,'Control Room'!$B$14/4))^2),1)*IF(AND($A140&gt;='Control Room'!$A$15,$A140&lt;'Control Room'!$A$15+'Control Room'!$B$15,'Process'!BK4=1),1+('Control Room'!$C$15-1)*EXP(-0.5*(($A140-'Control Room'!$A$15-('Control Room'!$B$15-1)/2)/MAX(0.5,'Control Room'!$B$15/4))^2),1)*IF(AND($A140&gt;='Control Room'!$A$16,$A140&lt;'Control Room'!$A$16+'Control Room'!$B$16,'Process'!BK5=1),1+('Control Room'!$C$16-1)*EXP(-0.5*(($A140-'Control Room'!$A$16-('Control Room'!$B$16-1)/2)/MAX(0.5,'Control Room'!$B$16/4))^2),1)</x:f>
        <x:v>1</x:v>
      </x:c>
      <x:c r="G140" s="9" t="n">
        <x:f>MOD(H139*16807,2147483647)</x:f>
        <x:v>836755809</x:v>
      </x:c>
      <x:c r="H140" s="9" t="n">
        <x:f>MOD(G140*16807,2147483647)</x:f>
        <x:v>1631961307</x:v>
      </x:c>
      <x:c r="I140" s="17" t="n">
        <x:f>IF('Control Room'!$B$5="Normal",'Control Room'!$B$7+'Control Room'!$D$7*SQRT(-2*LN(MAX(0.000000000001,G140/2147483647)))*COS(2*PI()*H140/2147483647),'Control Room'!$B$8+('Control Room'!$D$8-'Control Room'!$B$8)*G140/2147483647)</x:f>
        <x:v>1007.7132805188569</x:v>
      </x:c>
      <x:c r="J140" s="17" t="n">
        <x:f>IF('Control Room'!$B$5="Normal",'Control Room'!$B$7,('Control Room'!$B$8+'Control Room'!$D$8)/2)+'Control Room'!$B$9*(J139-IF('Control Room'!$B$5="Normal",'Control Room'!$B$7,('Control Room'!$B$8+'Control Room'!$D$8)/2))+SQRT(1-'Control Room'!$B$9^2)*(I140-IF('Control Room'!$B$5="Normal",'Control Room'!$B$7,('Control Room'!$B$8+'Control Room'!$D$8)/2))</x:f>
        <x:v>911.135595088872</x:v>
      </x:c>
      <x:c r="K140" s="17" t="n">
        <x:f>IF(AND($A140&gt;='Control Room'!$A$13,$A140&lt;'Control Room'!$A$13+'Control Room'!$B$13,'Process'!BL2=1),1+('Control Room'!$C$13-1)*EXP(-0.5*(($A140-'Control Room'!$A$13-('Control Room'!$B$13-1)/2)/MAX(0.5,'Control Room'!$B$13/4))^2),1)*IF(AND($A140&gt;='Control Room'!$A$14,$A140&lt;'Control Room'!$A$14+'Control Room'!$B$14,'Process'!BL3=1),1+('Control Room'!$C$14-1)*EXP(-0.5*(($A140-'Control Room'!$A$14-('Control Room'!$B$14-1)/2)/MAX(0.5,'Control Room'!$B$14/4))^2),1)*IF(AND($A140&gt;='Control Room'!$A$15,$A140&lt;'Control Room'!$A$15+'Control Room'!$B$15,'Process'!BL4=1),1+('Control Room'!$C$15-1)*EXP(-0.5*(($A140-'Control Room'!$A$15-('Control Room'!$B$15-1)/2)/MAX(0.5,'Control Room'!$B$15/4))^2),1)*IF(AND($A140&gt;='Control Room'!$A$16,$A140&lt;'Control Room'!$A$16+'Control Room'!$B$16,'Process'!BL5=1),1+('Control Room'!$C$16-1)*EXP(-0.5*(($A140-'Control Room'!$A$16-('Control Room'!$B$16-1)/2)/MAX(0.5,'Control Room'!$B$16/4))^2),1)</x:f>
        <x:v>1</x:v>
      </x:c>
      <x:c r="L140" s="9" t="n">
        <x:f>MOD(M139*16807,2147483647)</x:f>
        <x:v>1654174281</x:v>
      </x:c>
      <x:c r="M140" s="9" t="n">
        <x:f>MOD(L140*16807,2147483647)</x:f>
        <x:v>383846705</x:v>
      </x:c>
      <x:c r="N140" s="17" t="n">
        <x:f>IF('Control Room'!$B$5="Normal",'Control Room'!$B$7+'Control Room'!$D$7*SQRT(-2*LN(MAX(0.000000000001,L140/2147483647)))*COS(2*PI()*M140/2147483647),'Control Room'!$B$8+('Control Room'!$D$8-'Control Room'!$B$8)*L140/2147483647)</x:f>
        <x:v>1028.1498341421807</x:v>
      </x:c>
      <x:c r="O140" s="17" t="n">
        <x:f>IF('Control Room'!$B$5="Normal",'Control Room'!$B$7,('Control Room'!$B$8+'Control Room'!$D$8)/2)+'Control Room'!$B$9*(O139-IF('Control Room'!$B$5="Normal",'Control Room'!$B$7,('Control Room'!$B$8+'Control Room'!$D$8)/2))+SQRT(1-'Control Room'!$B$9^2)*(N140-IF('Control Room'!$B$5="Normal",'Control Room'!$B$7,('Control Room'!$B$8+'Control Room'!$D$8)/2))</x:f>
        <x:v>1106.8161140179684</x:v>
      </x:c>
      <x:c r="P140" s="17" t="n">
        <x:f>IF(AND($A140&gt;='Control Room'!$A$13,$A140&lt;'Control Room'!$A$13+'Control Room'!$B$13,'Process'!BM2=1),1+('Control Room'!$C$13-1)*EXP(-0.5*(($A140-'Control Room'!$A$13-('Control Room'!$B$13-1)/2)/MAX(0.5,'Control Room'!$B$13/4))^2),1)*IF(AND($A140&gt;='Control Room'!$A$14,$A140&lt;'Control Room'!$A$14+'Control Room'!$B$14,'Process'!BM3=1),1+('Control Room'!$C$14-1)*EXP(-0.5*(($A140-'Control Room'!$A$14-('Control Room'!$B$14-1)/2)/MAX(0.5,'Control Room'!$B$14/4))^2),1)*IF(AND($A140&gt;='Control Room'!$A$15,$A140&lt;'Control Room'!$A$15+'Control Room'!$B$15,'Process'!BM4=1),1+('Control Room'!$C$15-1)*EXP(-0.5*(($A140-'Control Room'!$A$15-('Control Room'!$B$15-1)/2)/MAX(0.5,'Control Room'!$B$15/4))^2),1)*IF(AND($A140&gt;='Control Room'!$A$16,$A140&lt;'Control Room'!$A$16+'Control Room'!$B$16,'Process'!BM5=1),1+('Control Room'!$C$16-1)*EXP(-0.5*(($A140-'Control Room'!$A$16-('Control Room'!$B$16-1)/2)/MAX(0.5,'Control Room'!$B$16/4))^2),1)</x:f>
        <x:v>1</x:v>
      </x:c>
      <x:c r="Q140" s="9" t="n">
        <x:f>MOD(R139*16807,2147483647)</x:f>
        <x:v>324109106</x:v>
      </x:c>
      <x:c r="R140" s="9" t="n">
        <x:f>MOD(Q140*16807,2147483647)</x:f>
        <x:v>1283215750</x:v>
      </x:c>
      <x:c r="S140" s="17" t="n">
        <x:f>IF('Control Room'!$B$5="Normal",'Control Room'!$B$7+'Control Room'!$D$7*SQRT(-2*LN(MAX(0.000000000001,Q140/2147483647)))*COS(2*PI()*R140/2147483647),'Control Room'!$B$8+('Control Room'!$D$8-'Control Room'!$B$8)*Q140/2147483647)</x:f>
        <x:v>856.8311260853251</x:v>
      </x:c>
      <x:c r="T140" s="17" t="n">
        <x:f>IF('Control Room'!$B$5="Normal",'Control Room'!$B$7,('Control Room'!$B$8+'Control Room'!$D$8)/2)+'Control Room'!$B$9*(T139-IF('Control Room'!$B$5="Normal",'Control Room'!$B$7,('Control Room'!$B$8+'Control Room'!$D$8)/2))+SQRT(1-'Control Room'!$B$9^2)*(S140-IF('Control Room'!$B$5="Normal",'Control Room'!$B$7,('Control Room'!$B$8+'Control Room'!$D$8)/2))</x:f>
        <x:v>869.363641564888</x:v>
      </x:c>
      <x:c r="U140" s="17" t="n">
        <x:f>IF(AND($A140&gt;='Control Room'!$A$13,$A140&lt;'Control Room'!$A$13+'Control Room'!$B$13,'Process'!BN2=1),1+('Control Room'!$C$13-1)*EXP(-0.5*(($A140-'Control Room'!$A$13-('Control Room'!$B$13-1)/2)/MAX(0.5,'Control Room'!$B$13/4))^2),1)*IF(AND($A140&gt;='Control Room'!$A$14,$A140&lt;'Control Room'!$A$14+'Control Room'!$B$14,'Process'!BN3=1),1+('Control Room'!$C$14-1)*EXP(-0.5*(($A140-'Control Room'!$A$14-('Control Room'!$B$14-1)/2)/MAX(0.5,'Control Room'!$B$14/4))^2),1)*IF(AND($A140&gt;='Control Room'!$A$15,$A140&lt;'Control Room'!$A$15+'Control Room'!$B$15,'Process'!BN4=1),1+('Control Room'!$C$15-1)*EXP(-0.5*(($A140-'Control Room'!$A$15-('Control Room'!$B$15-1)/2)/MAX(0.5,'Control Room'!$B$15/4))^2),1)*IF(AND($A140&gt;='Control Room'!$A$16,$A140&lt;'Control Room'!$A$16+'Control Room'!$B$16,'Process'!BN5=1),1+('Control Room'!$C$16-1)*EXP(-0.5*(($A140-'Control Room'!$A$16-('Control Room'!$B$16-1)/2)/MAX(0.5,'Control Room'!$B$16/4))^2),1)</x:f>
        <x:v>1</x:v>
      </x:c>
      <x:c r="V140" s="9" t="n">
        <x:f>MOD(W139*16807,2147483647)</x:f>
        <x:v>1141527578</x:v>
      </x:c>
      <x:c r="W140" s="9" t="n">
        <x:f>MOD(V140*16807,2147483647)</x:f>
        <x:v>35101148</x:v>
      </x:c>
      <x:c r="X140" s="17" t="n">
        <x:f>IF('Control Room'!$B$5="Normal",'Control Room'!$B$7+'Control Room'!$D$7*SQRT(-2*LN(MAX(0.000000000001,V140/2147483647)))*COS(2*PI()*W140/2147483647),'Control Room'!$B$8+('Control Room'!$D$8-'Control Room'!$B$8)*V140/2147483647)</x:f>
        <x:v>1100.6462112467814</x:v>
      </x:c>
      <x:c r="Y140" s="17" t="n">
        <x:f>IF('Control Room'!$B$5="Normal",'Control Room'!$B$7,('Control Room'!$B$8+'Control Room'!$D$8)/2)+'Control Room'!$B$9*(Y139-IF('Control Room'!$B$5="Normal",'Control Room'!$B$7,('Control Room'!$B$8+'Control Room'!$D$8)/2))+SQRT(1-'Control Room'!$B$9^2)*(X140-IF('Control Room'!$B$5="Normal",'Control Room'!$B$7,('Control Room'!$B$8+'Control Room'!$D$8)/2))</x:f>
        <x:v>1011.5752291812111</x:v>
      </x:c>
      <x:c r="Z140" s="17" t="n">
        <x:f>IF(AND($A140&gt;='Control Room'!$A$13,$A140&lt;'Control Room'!$A$13+'Control Room'!$B$13,'Process'!BO2=1),1+('Control Room'!$C$13-1)*EXP(-0.5*(($A140-'Control Room'!$A$13-('Control Room'!$B$13-1)/2)/MAX(0.5,'Control Room'!$B$13/4))^2),1)*IF(AND($A140&gt;='Control Room'!$A$14,$A140&lt;'Control Room'!$A$14+'Control Room'!$B$14,'Process'!BO3=1),1+('Control Room'!$C$14-1)*EXP(-0.5*(($A140-'Control Room'!$A$14-('Control Room'!$B$14-1)/2)/MAX(0.5,'Control Room'!$B$14/4))^2),1)*IF(AND($A140&gt;='Control Room'!$A$15,$A140&lt;'Control Room'!$A$15+'Control Room'!$B$15,'Process'!BO4=1),1+('Control Room'!$C$15-1)*EXP(-0.5*(($A140-'Control Room'!$A$15-('Control Room'!$B$15-1)/2)/MAX(0.5,'Control Room'!$B$15/4))^2),1)*IF(AND($A140&gt;='Control Room'!$A$16,$A140&lt;'Control Room'!$A$16+'Control Room'!$B$16,'Process'!BO5=1),1+('Control Room'!$C$16-1)*EXP(-0.5*(($A140-'Control Room'!$A$16-('Control Room'!$B$16-1)/2)/MAX(0.5,'Control Room'!$B$16/4))^2),1)</x:f>
        <x:v>1</x:v>
      </x:c>
      <x:c r="AA140" s="9" t="n">
        <x:f>MOD(AB139*16807,2147483647)</x:f>
        <x:v>1958946050</x:v>
      </x:c>
      <x:c r="AB140" s="9" t="n">
        <x:f>MOD(AA140*16807,2147483647)</x:f>
        <x:v>934470193</x:v>
      </x:c>
      <x:c r="AC140" s="17" t="n">
        <x:f>IF('Control Room'!$B$5="Normal",'Control Room'!$B$7+'Control Room'!$D$7*SQRT(-2*LN(MAX(0.000000000001,AA140/2147483647)))*COS(2*PI()*AB140/2147483647),'Control Room'!$B$8+('Control Room'!$D$8-'Control Room'!$B$8)*AA140/2147483647)</x:f>
        <x:v>964.5764991652193</x:v>
      </x:c>
      <x:c r="AD140" s="17" t="n">
        <x:f>IF('Control Room'!$B$5="Normal",'Control Room'!$B$7,('Control Room'!$B$8+'Control Room'!$D$8)/2)+'Control Room'!$B$9*(AD139-IF('Control Room'!$B$5="Normal",'Control Room'!$B$7,('Control Room'!$B$8+'Control Room'!$D$8)/2))+SQRT(1-'Control Room'!$B$9^2)*(AC140-IF('Control Room'!$B$5="Normal",'Control Room'!$B$7,('Control Room'!$B$8+'Control Room'!$D$8)/2))</x:f>
        <x:v>1036.6139710640598</x:v>
      </x:c>
      <x:c r="AE140" s="17" t="n">
        <x:f>IF(AND($A140&gt;='Control Room'!$A$13,$A140&lt;'Control Room'!$A$13+'Control Room'!$B$13,'Process'!BP2=1),1+('Control Room'!$C$13-1)*EXP(-0.5*(($A140-'Control Room'!$A$13-('Control Room'!$B$13-1)/2)/MAX(0.5,'Control Room'!$B$13/4))^2),1)*IF(AND($A140&gt;='Control Room'!$A$14,$A140&lt;'Control Room'!$A$14+'Control Room'!$B$14,'Process'!BP3=1),1+('Control Room'!$C$14-1)*EXP(-0.5*(($A140-'Control Room'!$A$14-('Control Room'!$B$14-1)/2)/MAX(0.5,'Control Room'!$B$14/4))^2),1)*IF(AND($A140&gt;='Control Room'!$A$15,$A140&lt;'Control Room'!$A$15+'Control Room'!$B$15,'Process'!BP4=1),1+('Control Room'!$C$15-1)*EXP(-0.5*(($A140-'Control Room'!$A$15-('Control Room'!$B$15-1)/2)/MAX(0.5,'Control Room'!$B$15/4))^2),1)*IF(AND($A140&gt;='Control Room'!$A$16,$A140&lt;'Control Room'!$A$16+'Control Room'!$B$16,'Process'!BP5=1),1+('Control Room'!$C$16-1)*EXP(-0.5*(($A140-'Control Room'!$A$16-('Control Room'!$B$16-1)/2)/MAX(0.5,'Control Room'!$B$16/4))^2),1)</x:f>
        <x:v>1</x:v>
      </x:c>
      <x:c r="AF140" s="9" t="n">
        <x:f>MOD(AG139*16807,2147483647)</x:f>
        <x:v>628880875</x:v>
      </x:c>
      <x:c r="AG140" s="9" t="n">
        <x:f>MOD(AF140*16807,2147483647)</x:f>
        <x:v>1833839238</x:v>
      </x:c>
      <x:c r="AH140" s="17" t="n">
        <x:f>IF('Control Room'!$B$5="Normal",'Control Room'!$B$7+'Control Room'!$D$7*SQRT(-2*LN(MAX(0.000000000001,AF140/2147483647)))*COS(2*PI()*AG140/2147483647),'Control Room'!$B$8+('Control Room'!$D$8-'Control Room'!$B$8)*AF140/2147483647)</x:f>
        <x:v>1085.7125400224274</x:v>
      </x:c>
      <x:c r="AI140" s="17" t="n">
        <x:f>IF('Control Room'!$B$5="Normal",'Control Room'!$B$7,('Control Room'!$B$8+'Control Room'!$D$8)/2)+'Control Room'!$B$9*(AI139-IF('Control Room'!$B$5="Normal",'Control Room'!$B$7,('Control Room'!$B$8+'Control Room'!$D$8)/2))+SQRT(1-'Control Room'!$B$9^2)*(AH140-IF('Control Room'!$B$5="Normal",'Control Room'!$B$7,('Control Room'!$B$8+'Control Room'!$D$8)/2))</x:f>
        <x:v>1104.76918102544</x:v>
      </x:c>
      <x:c r="AJ140" s="17" t="n">
        <x:f>IF(AND($A140&gt;='Control Room'!$A$13,$A140&lt;'Control Room'!$A$13+'Control Room'!$B$13,'Process'!BQ2=1),1+('Control Room'!$C$13-1)*EXP(-0.5*(($A140-'Control Room'!$A$13-('Control Room'!$B$13-1)/2)/MAX(0.5,'Control Room'!$B$13/4))^2),1)*IF(AND($A140&gt;='Control Room'!$A$14,$A140&lt;'Control Room'!$A$14+'Control Room'!$B$14,'Process'!BQ3=1),1+('Control Room'!$C$14-1)*EXP(-0.5*(($A140-'Control Room'!$A$14-('Control Room'!$B$14-1)/2)/MAX(0.5,'Control Room'!$B$14/4))^2),1)*IF(AND($A140&gt;='Control Room'!$A$15,$A140&lt;'Control Room'!$A$15+'Control Room'!$B$15,'Process'!BQ4=1),1+('Control Room'!$C$15-1)*EXP(-0.5*(($A140-'Control Room'!$A$15-('Control Room'!$B$15-1)/2)/MAX(0.5,'Control Room'!$B$15/4))^2),1)*IF(AND($A140&gt;='Control Room'!$A$16,$A140&lt;'Control Room'!$A$16+'Control Room'!$B$16,'Process'!BQ5=1),1+('Control Room'!$C$16-1)*EXP(-0.5*(($A140-'Control Room'!$A$16-('Control Room'!$B$16-1)/2)/MAX(0.5,'Control Room'!$B$16/4))^2),1)</x:f>
        <x:v>1</x:v>
      </x:c>
      <x:c r="AK140" s="9" t="n">
        <x:f>MOD(AL139*16807,2147483647)</x:f>
        <x:v>1446299347</x:v>
      </x:c>
      <x:c r="AL140" s="9" t="n">
        <x:f>MOD(AK140*16807,2147483647)</x:f>
        <x:v>585724636</x:v>
      </x:c>
      <x:c r="AM140" s="17" t="n">
        <x:f>IF('Control Room'!$B$5="Normal",'Control Room'!$B$7+'Control Room'!$D$7*SQRT(-2*LN(MAX(0.000000000001,AK140/2147483647)))*COS(2*PI()*AL140/2147483647),'Control Room'!$B$8+('Control Room'!$D$8-'Control Room'!$B$8)*AK140/2147483647)</x:f>
        <x:v>988.6005871980635</x:v>
      </x:c>
      <x:c r="AN140" s="17" t="n">
        <x:f>IF('Control Room'!$B$5="Normal",'Control Room'!$B$7,('Control Room'!$B$8+'Control Room'!$D$8)/2)+'Control Room'!$B$9*(AN139-IF('Control Room'!$B$5="Normal",'Control Room'!$B$7,('Control Room'!$B$8+'Control Room'!$D$8)/2))+SQRT(1-'Control Room'!$B$9^2)*(AM140-IF('Control Room'!$B$5="Normal",'Control Room'!$B$7,('Control Room'!$B$8+'Control Room'!$D$8)/2))</x:f>
        <x:v>1006.590338752987</x:v>
      </x:c>
      <x:c r="AO140" s="17" t="n">
        <x:f>IF(AND($A140&gt;='Control Room'!$A$13,$A140&lt;'Control Room'!$A$13+'Control Room'!$B$13,'Process'!BR2=1),1+('Control Room'!$C$13-1)*EXP(-0.5*(($A140-'Control Room'!$A$13-('Control Room'!$B$13-1)/2)/MAX(0.5,'Control Room'!$B$13/4))^2),1)*IF(AND($A140&gt;='Control Room'!$A$14,$A140&lt;'Control Room'!$A$14+'Control Room'!$B$14,'Process'!BR3=1),1+('Control Room'!$C$14-1)*EXP(-0.5*(($A140-'Control Room'!$A$14-('Control Room'!$B$14-1)/2)/MAX(0.5,'Control Room'!$B$14/4))^2),1)*IF(AND($A140&gt;='Control Room'!$A$15,$A140&lt;'Control Room'!$A$15+'Control Room'!$B$15,'Process'!BR4=1),1+('Control Room'!$C$15-1)*EXP(-0.5*(($A140-'Control Room'!$A$15-('Control Room'!$B$15-1)/2)/MAX(0.5,'Control Room'!$B$15/4))^2),1)*IF(AND($A140&gt;='Control Room'!$A$16,$A140&lt;'Control Room'!$A$16+'Control Room'!$B$16,'Process'!BR5=1),1+('Control Room'!$C$16-1)*EXP(-0.5*(($A140-'Control Room'!$A$16-('Control Room'!$B$16-1)/2)/MAX(0.5,'Control Room'!$B$16/4))^2),1)</x:f>
        <x:v>1</x:v>
      </x:c>
      <x:c r="AP140" s="9" t="n">
        <x:f>MOD(AQ139*16807,2147483647)</x:f>
        <x:v>116234172</x:v>
      </x:c>
      <x:c r="AQ140" s="9" t="n">
        <x:f>MOD(AP140*16807,2147483647)</x:f>
        <x:v>1485093681</x:v>
      </x:c>
      <x:c r="AR140" s="17" t="n">
        <x:f>IF('Control Room'!$B$5="Normal",'Control Room'!$B$7+'Control Room'!$D$7*SQRT(-2*LN(MAX(0.000000000001,AP140/2147483647)))*COS(2*PI()*AQ140/2147483647),'Control Room'!$B$8+('Control Room'!$D$8-'Control Room'!$B$8)*AP140/2147483647)</x:f>
        <x:v>921.9563626312513</x:v>
      </x:c>
      <x:c r="AS140" s="17" t="n">
        <x:f>IF('Control Room'!$B$5="Normal",'Control Room'!$B$7,('Control Room'!$B$8+'Control Room'!$D$8)/2)+'Control Room'!$B$9*(AS139-IF('Control Room'!$B$5="Normal",'Control Room'!$B$7,('Control Room'!$B$8+'Control Room'!$D$8)/2))+SQRT(1-'Control Room'!$B$9^2)*(AR140-IF('Control Room'!$B$5="Normal",'Control Room'!$B$7,('Control Room'!$B$8+'Control Room'!$D$8)/2))</x:f>
        <x:v>946.4570751426335</x:v>
      </x:c>
      <x:c r="AT140" s="17" t="n">
        <x:f>IF(AND($A140&gt;='Control Room'!$A$13,$A140&lt;'Control Room'!$A$13+'Control Room'!$B$13,'Process'!BS2=1),1+('Control Room'!$C$13-1)*EXP(-0.5*(($A140-'Control Room'!$A$13-('Control Room'!$B$13-1)/2)/MAX(0.5,'Control Room'!$B$13/4))^2),1)*IF(AND($A140&gt;='Control Room'!$A$14,$A140&lt;'Control Room'!$A$14+'Control Room'!$B$14,'Process'!BS3=1),1+('Control Room'!$C$14-1)*EXP(-0.5*(($A140-'Control Room'!$A$14-('Control Room'!$B$14-1)/2)/MAX(0.5,'Control Room'!$B$14/4))^2),1)*IF(AND($A140&gt;='Control Room'!$A$15,$A140&lt;'Control Room'!$A$15+'Control Room'!$B$15,'Process'!BS4=1),1+('Control Room'!$C$15-1)*EXP(-0.5*(($A140-'Control Room'!$A$15-('Control Room'!$B$15-1)/2)/MAX(0.5,'Control Room'!$B$15/4))^2),1)*IF(AND($A140&gt;='Control Room'!$A$16,$A140&lt;'Control Room'!$A$16+'Control Room'!$B$16,'Process'!BS5=1),1+('Control Room'!$C$16-1)*EXP(-0.5*(($A140-'Control Room'!$A$16-('Control Room'!$B$16-1)/2)/MAX(0.5,'Control Room'!$B$16/4))^2),1)</x:f>
        <x:v>1</x:v>
      </x:c>
      <x:c r="AU140" s="9" t="n">
        <x:f>MOD(AV139*16807,2147483647)</x:f>
        <x:v>933652644</x:v>
      </x:c>
      <x:c r="AV140" s="9" t="n">
        <x:f>MOD(AU140*16807,2147483647)</x:f>
        <x:v>236979079</x:v>
      </x:c>
      <x:c r="AW140" s="17" t="n">
        <x:f>IF('Control Room'!$B$5="Normal",'Control Room'!$B$7+'Control Room'!$D$7*SQRT(-2*LN(MAX(0.000000000001,AU140/2147483647)))*COS(2*PI()*AV140/2147483647),'Control Room'!$B$8+('Control Room'!$D$8-'Control Room'!$B$8)*AU140/2147483647)</x:f>
        <x:v>1089.3408505629861</x:v>
      </x:c>
      <x:c r="AX140" s="17" t="n">
        <x:f>IF('Control Room'!$B$5="Normal",'Control Room'!$B$7,('Control Room'!$B$8+'Control Room'!$D$8)/2)+'Control Room'!$B$9*(AX139-IF('Control Room'!$B$5="Normal",'Control Room'!$B$7,('Control Room'!$B$8+'Control Room'!$D$8)/2))+SQRT(1-'Control Room'!$B$9^2)*(AW140-IF('Control Room'!$B$5="Normal",'Control Room'!$B$7,('Control Room'!$B$8+'Control Room'!$D$8)/2))</x:f>
        <x:v>1076.8254436967939</x:v>
      </x:c>
      <x:c r="AY140" s="17" t="n">
        <x:f>IF(AND($A140&gt;='Control Room'!$A$13,$A140&lt;'Control Room'!$A$13+'Control Room'!$B$13,'Process'!BT2=1),1+('Control Room'!$C$13-1)*EXP(-0.5*(($A140-'Control Room'!$A$13-('Control Room'!$B$13-1)/2)/MAX(0.5,'Control Room'!$B$13/4))^2),1)*IF(AND($A140&gt;='Control Room'!$A$14,$A140&lt;'Control Room'!$A$14+'Control Room'!$B$14,'Process'!BT3=1),1+('Control Room'!$C$14-1)*EXP(-0.5*(($A140-'Control Room'!$A$14-('Control Room'!$B$14-1)/2)/MAX(0.5,'Control Room'!$B$14/4))^2),1)*IF(AND($A140&gt;='Control Room'!$A$15,$A140&lt;'Control Room'!$A$15+'Control Room'!$B$15,'Process'!BT4=1),1+('Control Room'!$C$15-1)*EXP(-0.5*(($A140-'Control Room'!$A$15-('Control Room'!$B$15-1)/2)/MAX(0.5,'Control Room'!$B$15/4))^2),1)*IF(AND($A140&gt;='Control Room'!$A$16,$A140&lt;'Control Room'!$A$16+'Control Room'!$B$16,'Process'!BT5=1),1+('Control Room'!$C$16-1)*EXP(-0.5*(($A140-'Control Room'!$A$16-('Control Room'!$B$16-1)/2)/MAX(0.5,'Control Room'!$B$16/4))^2),1)</x:f>
        <x:v>1</x:v>
      </x:c>
      <x:c r="AZ140" s="9" t="n">
        <x:f>MOD(BA139*16807,2147483647)</x:f>
        <x:v>1751071116</x:v>
      </x:c>
      <x:c r="BA140" s="9" t="n">
        <x:f>MOD(AZ140*16807,2147483647)</x:f>
        <x:v>1136348124</x:v>
      </x:c>
      <x:c r="BB140" s="17" t="n">
        <x:f>IF('Control Room'!$B$5="Normal",'Control Room'!$B$7+'Control Room'!$D$7*SQRT(-2*LN(MAX(0.000000000001,AZ140/2147483647)))*COS(2*PI()*BA140/2147483647),'Control Room'!$B$8+('Control Room'!$D$8-'Control Room'!$B$8)*AZ140/2147483647)</x:f>
        <x:v>943.4647925411939</x:v>
      </x:c>
      <x:c r="BC140" s="17" t="n">
        <x:f>IF('Control Room'!$B$5="Normal",'Control Room'!$B$7,('Control Room'!$B$8+'Control Room'!$D$8)/2)+'Control Room'!$B$9*(BC139-IF('Control Room'!$B$5="Normal",'Control Room'!$B$7,('Control Room'!$B$8+'Control Room'!$D$8)/2))+SQRT(1-'Control Room'!$B$9^2)*(BB140-IF('Control Room'!$B$5="Normal",'Control Room'!$B$7,('Control Room'!$B$8+'Control Room'!$D$8)/2))</x:f>
        <x:v>994.688415283145</x:v>
      </x:c>
      <x:c r="BD140" s="17" t="n">
        <x:f>IF(AND($A140&gt;='Control Room'!$A$13,$A140&lt;'Control Room'!$A$13+'Control Room'!$B$13,'Process'!BU2=1),1+('Control Room'!$C$13-1)*EXP(-0.5*(($A140-'Control Room'!$A$13-('Control Room'!$B$13-1)/2)/MAX(0.5,'Control Room'!$B$13/4))^2),1)*IF(AND($A140&gt;='Control Room'!$A$14,$A140&lt;'Control Room'!$A$14+'Control Room'!$B$14,'Process'!BU3=1),1+('Control Room'!$C$14-1)*EXP(-0.5*(($A140-'Control Room'!$A$14-('Control Room'!$B$14-1)/2)/MAX(0.5,'Control Room'!$B$14/4))^2),1)*IF(AND($A140&gt;='Control Room'!$A$15,$A140&lt;'Control Room'!$A$15+'Control Room'!$B$15,'Process'!BU4=1),1+('Control Room'!$C$15-1)*EXP(-0.5*(($A140-'Control Room'!$A$15-('Control Room'!$B$15-1)/2)/MAX(0.5,'Control Room'!$B$15/4))^2),1)*IF(AND($A140&gt;='Control Room'!$A$16,$A140&lt;'Control Room'!$A$16+'Control Room'!$B$16,'Process'!BU5=1),1+('Control Room'!$C$16-1)*EXP(-0.5*(($A140-'Control Room'!$A$16-('Control Room'!$B$16-1)/2)/MAX(0.5,'Control Room'!$B$16/4))^2),1)</x:f>
        <x:v>1</x:v>
      </x:c>
      <x:c r="BE140" s="9" t="n">
        <x:f>MOD(BF139*16807,2147483647)</x:f>
        <x:v>421005941</x:v>
      </x:c>
      <x:c r="BF140" s="9" t="n">
        <x:f>MOD(BE140*16807,2147483647)</x:f>
        <x:v>2035717169</x:v>
      </x:c>
      <x:c r="BG140" s="17" t="n">
        <x:f>IF('Control Room'!$B$5="Normal",'Control Room'!$B$7+'Control Room'!$D$7*SQRT(-2*LN(MAX(0.000000000001,BE140/2147483647)))*COS(2*PI()*BF140/2147483647),'Control Room'!$B$8+('Control Room'!$D$8-'Control Room'!$B$8)*BE140/2147483647)</x:f>
        <x:v>1153.8598032738682</x:v>
      </x:c>
      <x:c r="BH140" s="17" t="n">
        <x:f>IF('Control Room'!$B$5="Normal",'Control Room'!$B$7,('Control Room'!$B$8+'Control Room'!$D$8)/2)+'Control Room'!$B$9*(BH139-IF('Control Room'!$B$5="Normal",'Control Room'!$B$7,('Control Room'!$B$8+'Control Room'!$D$8)/2))+SQRT(1-'Control Room'!$B$9^2)*(BG140-IF('Control Room'!$B$5="Normal",'Control Room'!$B$7,('Control Room'!$B$8+'Control Room'!$D$8)/2))</x:f>
        <x:v>963.1419835617675</x:v>
      </x:c>
      <x:c r="BI140" s="17" t="n">
        <x:f>IF(AND($A140&gt;='Control Room'!$A$13,$A140&lt;'Control Room'!$A$13+'Control Room'!$B$13,'Process'!BV2=1),1+('Control Room'!$C$13-1)*EXP(-0.5*(($A140-'Control Room'!$A$13-('Control Room'!$B$13-1)/2)/MAX(0.5,'Control Room'!$B$13/4))^2),1)*IF(AND($A140&gt;='Control Room'!$A$14,$A140&lt;'Control Room'!$A$14+'Control Room'!$B$14,'Process'!BV3=1),1+('Control Room'!$C$14-1)*EXP(-0.5*(($A140-'Control Room'!$A$14-('Control Room'!$B$14-1)/2)/MAX(0.5,'Control Room'!$B$14/4))^2),1)*IF(AND($A140&gt;='Control Room'!$A$15,$A140&lt;'Control Room'!$A$15+'Control Room'!$B$15,'Process'!BV4=1),1+('Control Room'!$C$15-1)*EXP(-0.5*(($A140-'Control Room'!$A$15-('Control Room'!$B$15-1)/2)/MAX(0.5,'Control Room'!$B$15/4))^2),1)*IF(AND($A140&gt;='Control Room'!$A$16,$A140&lt;'Control Room'!$A$16+'Control Room'!$B$16,'Process'!BV5=1),1+('Control Room'!$C$16-1)*EXP(-0.5*(($A140-'Control Room'!$A$16-('Control Room'!$B$16-1)/2)/MAX(0.5,'Control Room'!$B$16/4))^2),1)</x:f>
        <x:v>1</x:v>
      </x:c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Z140" t="str">
        <x:f>IF('Data'!A140="","",TEXT('Data'!A140,"mm-dd"))</x:f>
      </x:c>
    </x:row>
    <x:row r="141" ht="21" customHeight="1">
      <x:c r="A141" s="15" t="n">
        <x:f>'Control Room'!$B$1+139</x:f>
        <x:v>73130</x:v>
      </x:c>
      <x:c r="B141" s="9" t="n">
        <x:f>MOD(C140*16807,2147483647)</x:f>
        <x:v>1154399183</x:v>
      </x:c>
      <x:c r="C141" s="9" t="n">
        <x:f>MOD(B141*16807,2147483647)</x:f>
        <x:v>1619801683</x:v>
      </x:c>
      <x:c r="D141" s="17" t="n">
        <x:f>IF('Control Room'!$B$5="Normal",'Control Room'!$B$7+'Control Room'!$D$7*SQRT(-2*LN(MAX(0.000000000001,B141/2147483647)))*COS(2*PI()*C141/2147483647),'Control Room'!$B$8+('Control Room'!$D$8-'Control Room'!$B$8)*B141/2147483647)</x:f>
        <x:v>1002.695676049955</x:v>
      </x:c>
      <x:c r="E141" s="17" t="n">
        <x:f>IF('Control Room'!$B$5="Normal",'Control Room'!$B$7,('Control Room'!$B$8+'Control Room'!$D$8)/2)+'Control Room'!$B$9*(E140-IF('Control Room'!$B$5="Normal",'Control Room'!$B$7,('Control Room'!$B$8+'Control Room'!$D$8)/2))+SQRT(1-'Control Room'!$B$9^2)*(D141-IF('Control Room'!$B$5="Normal",'Control Room'!$B$7,('Control Room'!$B$8+'Control Room'!$D$8)/2))</x:f>
        <x:v>890.3871055255335</x:v>
      </x:c>
      <x:c r="F141" s="17" t="n">
        <x:f>IF(AND($A141&gt;='Control Room'!$A$13,$A141&lt;'Control Room'!$A$13+'Control Room'!$B$13,'Process'!BK2=1),1+('Control Room'!$C$13-1)*EXP(-0.5*(($A141-'Control Room'!$A$13-('Control Room'!$B$13-1)/2)/MAX(0.5,'Control Room'!$B$13/4))^2),1)*IF(AND($A141&gt;='Control Room'!$A$14,$A141&lt;'Control Room'!$A$14+'Control Room'!$B$14,'Process'!BK3=1),1+('Control Room'!$C$14-1)*EXP(-0.5*(($A141-'Control Room'!$A$14-('Control Room'!$B$14-1)/2)/MAX(0.5,'Control Room'!$B$14/4))^2),1)*IF(AND($A141&gt;='Control Room'!$A$15,$A141&lt;'Control Room'!$A$15+'Control Room'!$B$15,'Process'!BK4=1),1+('Control Room'!$C$15-1)*EXP(-0.5*(($A141-'Control Room'!$A$15-('Control Room'!$B$15-1)/2)/MAX(0.5,'Control Room'!$B$15/4))^2),1)*IF(AND($A141&gt;='Control Room'!$A$16,$A141&lt;'Control Room'!$A$16+'Control Room'!$B$16,'Process'!BK5=1),1+('Control Room'!$C$16-1)*EXP(-0.5*(($A141-'Control Room'!$A$16-('Control Room'!$B$16-1)/2)/MAX(0.5,'Control Room'!$B$16/4))^2),1)</x:f>
        <x:v>1</x:v>
      </x:c>
      <x:c r="G141" s="9" t="n">
        <x:f>MOD(H140*16807,2147483647)</x:f>
        <x:v>712547265</x:v>
      </x:c>
      <x:c r="H141" s="9" t="n">
        <x:f>MOD(G141*16807,2147483647)</x:f>
        <x:v>1413067183</x:v>
      </x:c>
      <x:c r="I141" s="17" t="n">
        <x:f>IF('Control Room'!$B$5="Normal",'Control Room'!$B$7+'Control Room'!$D$7*SQRT(-2*LN(MAX(0.000000000001,G141/2147483647)))*COS(2*PI()*H141/2147483647),'Control Room'!$B$8+('Control Room'!$D$8-'Control Room'!$B$8)*G141/2147483647)</x:f>
        <x:v>926.9622676746995</x:v>
      </x:c>
      <x:c r="J141" s="17" t="n">
        <x:f>IF('Control Room'!$B$5="Normal",'Control Room'!$B$7,('Control Room'!$B$8+'Control Room'!$D$8)/2)+'Control Room'!$B$9*(J140-IF('Control Room'!$B$5="Normal",'Control Room'!$B$7,('Control Room'!$B$8+'Control Room'!$D$8)/2))+SQRT(1-'Control Room'!$B$9^2)*(I141-IF('Control Room'!$B$5="Normal",'Control Room'!$B$7,('Control Room'!$B$8+'Control Room'!$D$8)/2))</x:f>
        <x:v>884.9802475394229</x:v>
      </x:c>
      <x:c r="K141" s="17" t="n">
        <x:f>IF(AND($A141&gt;='Control Room'!$A$13,$A141&lt;'Control Room'!$A$13+'Control Room'!$B$13,'Process'!BL2=1),1+('Control Room'!$C$13-1)*EXP(-0.5*(($A141-'Control Room'!$A$13-('Control Room'!$B$13-1)/2)/MAX(0.5,'Control Room'!$B$13/4))^2),1)*IF(AND($A141&gt;='Control Room'!$A$14,$A141&lt;'Control Room'!$A$14+'Control Room'!$B$14,'Process'!BL3=1),1+('Control Room'!$C$14-1)*EXP(-0.5*(($A141-'Control Room'!$A$14-('Control Room'!$B$14-1)/2)/MAX(0.5,'Control Room'!$B$14/4))^2),1)*IF(AND($A141&gt;='Control Room'!$A$15,$A141&lt;'Control Room'!$A$15+'Control Room'!$B$15,'Process'!BL4=1),1+('Control Room'!$C$15-1)*EXP(-0.5*(($A141-'Control Room'!$A$15-('Control Room'!$B$15-1)/2)/MAX(0.5,'Control Room'!$B$15/4))^2),1)*IF(AND($A141&gt;='Control Room'!$A$16,$A141&lt;'Control Room'!$A$16+'Control Room'!$B$16,'Process'!BL5=1),1+('Control Room'!$C$16-1)*EXP(-0.5*(($A141-'Control Room'!$A$16-('Control Room'!$B$16-1)/2)/MAX(0.5,'Control Room'!$B$16/4))^2),1)</x:f>
        <x:v>1</x:v>
      </x:c>
      <x:c r="L141" s="9" t="n">
        <x:f>MOD(M140*16807,2147483647)</x:f>
        <x:v>270695347</x:v>
      </x:c>
      <x:c r="M141" s="9" t="n">
        <x:f>MOD(L141*16807,2147483647)</x:f>
        <x:v>1206332683</x:v>
      </x:c>
      <x:c r="N141" s="17" t="n">
        <x:f>IF('Control Room'!$B$5="Normal",'Control Room'!$B$7+'Control Room'!$D$7*SQRT(-2*LN(MAX(0.000000000001,L141/2147483647)))*COS(2*PI()*M141/2147483647),'Control Room'!$B$8+('Control Room'!$D$8-'Control Room'!$B$8)*L141/2147483647)</x:f>
        <x:v>830.44152521129</x:v>
      </x:c>
      <x:c r="O141" s="17" t="n">
        <x:f>IF('Control Room'!$B$5="Normal",'Control Room'!$B$7,('Control Room'!$B$8+'Control Room'!$D$8)/2)+'Control Room'!$B$9*(O140-IF('Control Room'!$B$5="Normal",'Control Room'!$B$7,('Control Room'!$B$8+'Control Room'!$D$8)/2))+SQRT(1-'Control Room'!$B$9^2)*(N141-IF('Control Room'!$B$5="Normal",'Control Room'!$B$7,('Control Room'!$B$8+'Control Room'!$D$8)/2))</x:f>
        <x:v>977.2103490054033</x:v>
      </x:c>
      <x:c r="P141" s="17" t="n">
        <x:f>IF(AND($A141&gt;='Control Room'!$A$13,$A141&lt;'Control Room'!$A$13+'Control Room'!$B$13,'Process'!BM2=1),1+('Control Room'!$C$13-1)*EXP(-0.5*(($A141-'Control Room'!$A$13-('Control Room'!$B$13-1)/2)/MAX(0.5,'Control Room'!$B$13/4))^2),1)*IF(AND($A141&gt;='Control Room'!$A$14,$A141&lt;'Control Room'!$A$14+'Control Room'!$B$14,'Process'!BM3=1),1+('Control Room'!$C$14-1)*EXP(-0.5*(($A141-'Control Room'!$A$14-('Control Room'!$B$14-1)/2)/MAX(0.5,'Control Room'!$B$14/4))^2),1)*IF(AND($A141&gt;='Control Room'!$A$15,$A141&lt;'Control Room'!$A$15+'Control Room'!$B$15,'Process'!BM4=1),1+('Control Room'!$C$15-1)*EXP(-0.5*(($A141-'Control Room'!$A$15-('Control Room'!$B$15-1)/2)/MAX(0.5,'Control Room'!$B$15/4))^2),1)*IF(AND($A141&gt;='Control Room'!$A$16,$A141&lt;'Control Room'!$A$16+'Control Room'!$B$16,'Process'!BM5=1),1+('Control Room'!$C$16-1)*EXP(-0.5*(($A141-'Control Room'!$A$16-('Control Room'!$B$16-1)/2)/MAX(0.5,'Control Room'!$B$16/4))^2),1)</x:f>
        <x:v>1</x:v>
      </x:c>
      <x:c r="Q141" s="9" t="n">
        <x:f>MOD(R140*16807,2147483647)</x:f>
        <x:v>1976327076</x:v>
      </x:c>
      <x:c r="R141" s="9" t="n">
        <x:f>MOD(Q141*16807,2147483647)</x:f>
        <x:v>999598183</x:v>
      </x:c>
      <x:c r="S141" s="17" t="n">
        <x:f>IF('Control Room'!$B$5="Normal",'Control Room'!$B$7+'Control Room'!$D$7*SQRT(-2*LN(MAX(0.000000000001,Q141/2147483647)))*COS(2*PI()*R141/2147483647),'Control Room'!$B$8+('Control Room'!$D$8-'Control Room'!$B$8)*Q141/2147483647)</x:f>
        <x:v>964.178423890466</x:v>
      </x:c>
      <x:c r="T141" s="17" t="n">
        <x:f>IF('Control Room'!$B$5="Normal",'Control Room'!$B$7,('Control Room'!$B$8+'Control Room'!$D$8)/2)+'Control Room'!$B$9*(T140-IF('Control Room'!$B$5="Normal",'Control Room'!$B$7,('Control Room'!$B$8+'Control Room'!$D$8)/2))+SQRT(1-'Control Room'!$B$9^2)*(S141-IF('Control Room'!$B$5="Normal",'Control Room'!$B$7,('Control Room'!$B$8+'Control Room'!$D$8)/2))</x:f>
        <x:v>875.6872319361408</x:v>
      </x:c>
      <x:c r="U141" s="17" t="n">
        <x:f>IF(AND($A141&gt;='Control Room'!$A$13,$A141&lt;'Control Room'!$A$13+'Control Room'!$B$13,'Process'!BN2=1),1+('Control Room'!$C$13-1)*EXP(-0.5*(($A141-'Control Room'!$A$13-('Control Room'!$B$13-1)/2)/MAX(0.5,'Control Room'!$B$13/4))^2),1)*IF(AND($A141&gt;='Control Room'!$A$14,$A141&lt;'Control Room'!$A$14+'Control Room'!$B$14,'Process'!BN3=1),1+('Control Room'!$C$14-1)*EXP(-0.5*(($A141-'Control Room'!$A$14-('Control Room'!$B$14-1)/2)/MAX(0.5,'Control Room'!$B$14/4))^2),1)*IF(AND($A141&gt;='Control Room'!$A$15,$A141&lt;'Control Room'!$A$15+'Control Room'!$B$15,'Process'!BN4=1),1+('Control Room'!$C$15-1)*EXP(-0.5*(($A141-'Control Room'!$A$15-('Control Room'!$B$15-1)/2)/MAX(0.5,'Control Room'!$B$15/4))^2),1)*IF(AND($A141&gt;='Control Room'!$A$16,$A141&lt;'Control Room'!$A$16+'Control Room'!$B$16,'Process'!BN5=1),1+('Control Room'!$C$16-1)*EXP(-0.5*(($A141-'Control Room'!$A$16-('Control Room'!$B$16-1)/2)/MAX(0.5,'Control Room'!$B$16/4))^2),1)</x:f>
        <x:v>1</x:v>
      </x:c>
      <x:c r="V141" s="9" t="n">
        <x:f>MOD(W140*16807,2147483647)</x:f>
        <x:v>1534475158</x:v>
      </x:c>
      <x:c r="W141" s="9" t="n">
        <x:f>MOD(V141*16807,2147483647)</x:f>
        <x:v>792863683</x:v>
      </x:c>
      <x:c r="X141" s="17" t="n">
        <x:f>IF('Control Room'!$B$5="Normal",'Control Room'!$B$7+'Control Room'!$D$7*SQRT(-2*LN(MAX(0.000000000001,V141/2147483647)))*COS(2*PI()*W141/2147483647),'Control Room'!$B$8+('Control Room'!$D$8-'Control Room'!$B$8)*V141/2147483647)</x:f>
        <x:v>949.7563161306509</x:v>
      </x:c>
      <x:c r="Y141" s="17" t="n">
        <x:f>IF('Control Room'!$B$5="Normal",'Control Room'!$B$7,('Control Room'!$B$8+'Control Room'!$D$8)/2)+'Control Room'!$B$9*(Y140-IF('Control Room'!$B$5="Normal",'Control Room'!$B$7,('Control Room'!$B$8+'Control Room'!$D$8)/2))+SQRT(1-'Control Room'!$B$9^2)*(X141-IF('Control Room'!$B$5="Normal",'Control Room'!$B$7,('Control Room'!$B$8+'Control Room'!$D$8)/2))</x:f>
        <x:v>977.5872106937173</x:v>
      </x:c>
      <x:c r="Z141" s="17" t="n">
        <x:f>IF(AND($A141&gt;='Control Room'!$A$13,$A141&lt;'Control Room'!$A$13+'Control Room'!$B$13,'Process'!BO2=1),1+('Control Room'!$C$13-1)*EXP(-0.5*(($A141-'Control Room'!$A$13-('Control Room'!$B$13-1)/2)/MAX(0.5,'Control Room'!$B$13/4))^2),1)*IF(AND($A141&gt;='Control Room'!$A$14,$A141&lt;'Control Room'!$A$14+'Control Room'!$B$14,'Process'!BO3=1),1+('Control Room'!$C$14-1)*EXP(-0.5*(($A141-'Control Room'!$A$14-('Control Room'!$B$14-1)/2)/MAX(0.5,'Control Room'!$B$14/4))^2),1)*IF(AND($A141&gt;='Control Room'!$A$15,$A141&lt;'Control Room'!$A$15+'Control Room'!$B$15,'Process'!BO4=1),1+('Control Room'!$C$15-1)*EXP(-0.5*(($A141-'Control Room'!$A$15-('Control Room'!$B$15-1)/2)/MAX(0.5,'Control Room'!$B$15/4))^2),1)*IF(AND($A141&gt;='Control Room'!$A$16,$A141&lt;'Control Room'!$A$16+'Control Room'!$B$16,'Process'!BO5=1),1+('Control Room'!$C$16-1)*EXP(-0.5*(($A141-'Control Room'!$A$16-('Control Room'!$B$16-1)/2)/MAX(0.5,'Control Room'!$B$16/4))^2),1)</x:f>
        <x:v>1</x:v>
      </x:c>
      <x:c r="AA141" s="9" t="n">
        <x:f>MOD(AB140*16807,2147483647)</x:f>
        <x:v>1092623240</x:v>
      </x:c>
      <x:c r="AB141" s="9" t="n">
        <x:f>MOD(AA141*16807,2147483647)</x:f>
        <x:v>586129183</x:v>
      </x:c>
      <x:c r="AC141" s="17" t="n">
        <x:f>IF('Control Room'!$B$5="Normal",'Control Room'!$B$7+'Control Room'!$D$7*SQRT(-2*LN(MAX(0.000000000001,AA141/2147483647)))*COS(2*PI()*AB141/2147483647),'Control Room'!$B$8+('Control Room'!$D$8-'Control Room'!$B$8)*AA141/2147483647)</x:f>
        <x:v>984.9732847788673</x:v>
      </x:c>
      <x:c r="AD141" s="17" t="n">
        <x:f>IF('Control Room'!$B$5="Normal",'Control Room'!$B$7,('Control Room'!$B$8+'Control Room'!$D$8)/2)+'Control Room'!$B$9*(AD140-IF('Control Room'!$B$5="Normal",'Control Room'!$B$7,('Control Room'!$B$8+'Control Room'!$D$8)/2))+SQRT(1-'Control Room'!$B$9^2)*(AC141-IF('Control Room'!$B$5="Normal",'Control Room'!$B$7,('Control Room'!$B$8+'Control Room'!$D$8)/2))</x:f>
        <x:v>1019.1554868835757</x:v>
      </x:c>
      <x:c r="AE141" s="17" t="n">
        <x:f>IF(AND($A141&gt;='Control Room'!$A$13,$A141&lt;'Control Room'!$A$13+'Control Room'!$B$13,'Process'!BP2=1),1+('Control Room'!$C$13-1)*EXP(-0.5*(($A141-'Control Room'!$A$13-('Control Room'!$B$13-1)/2)/MAX(0.5,'Control Room'!$B$13/4))^2),1)*IF(AND($A141&gt;='Control Room'!$A$14,$A141&lt;'Control Room'!$A$14+'Control Room'!$B$14,'Process'!BP3=1),1+('Control Room'!$C$14-1)*EXP(-0.5*(($A141-'Control Room'!$A$14-('Control Room'!$B$14-1)/2)/MAX(0.5,'Control Room'!$B$14/4))^2),1)*IF(AND($A141&gt;='Control Room'!$A$15,$A141&lt;'Control Room'!$A$15+'Control Room'!$B$15,'Process'!BP4=1),1+('Control Room'!$C$15-1)*EXP(-0.5*(($A141-'Control Room'!$A$15-('Control Room'!$B$15-1)/2)/MAX(0.5,'Control Room'!$B$15/4))^2),1)*IF(AND($A141&gt;='Control Room'!$A$16,$A141&lt;'Control Room'!$A$16+'Control Room'!$B$16,'Process'!BP5=1),1+('Control Room'!$C$16-1)*EXP(-0.5*(($A141-'Control Room'!$A$16-('Control Room'!$B$16-1)/2)/MAX(0.5,'Control Room'!$B$16/4))^2),1)</x:f>
        <x:v>1</x:v>
      </x:c>
      <x:c r="AF141" s="9" t="n">
        <x:f>MOD(AG140*16807,2147483647)</x:f>
        <x:v>650771322</x:v>
      </x:c>
      <x:c r="AG141" s="9" t="n">
        <x:f>MOD(AF141*16807,2147483647)</x:f>
        <x:v>379394683</x:v>
      </x:c>
      <x:c r="AH141" s="17" t="n">
        <x:f>IF('Control Room'!$B$5="Normal",'Control Room'!$B$7+'Control Room'!$D$7*SQRT(-2*LN(MAX(0.000000000001,AF141/2147483647)))*COS(2*PI()*AG141/2147483647),'Control Room'!$B$8+('Control Room'!$D$8-'Control Room'!$B$8)*AF141/2147483647)</x:f>
        <x:v>1061.834242832358</x:v>
      </x:c>
      <x:c r="AI141" s="17" t="n">
        <x:f>IF('Control Room'!$B$5="Normal",'Control Room'!$B$7,('Control Room'!$B$8+'Control Room'!$D$8)/2)+'Control Room'!$B$9*(AI140-IF('Control Room'!$B$5="Normal",'Control Room'!$B$7,('Control Room'!$B$8+'Control Room'!$D$8)/2))+SQRT(1-'Control Room'!$B$9^2)*(AH141-IF('Control Room'!$B$5="Normal",'Control Room'!$B$7,('Control Room'!$B$8+'Control Room'!$D$8)/2))</x:f>
        <x:v>1120.4145636210148</x:v>
      </x:c>
      <x:c r="AJ141" s="17" t="n">
        <x:f>IF(AND($A141&gt;='Control Room'!$A$13,$A141&lt;'Control Room'!$A$13+'Control Room'!$B$13,'Process'!BQ2=1),1+('Control Room'!$C$13-1)*EXP(-0.5*(($A141-'Control Room'!$A$13-('Control Room'!$B$13-1)/2)/MAX(0.5,'Control Room'!$B$13/4))^2),1)*IF(AND($A141&gt;='Control Room'!$A$14,$A141&lt;'Control Room'!$A$14+'Control Room'!$B$14,'Process'!BQ3=1),1+('Control Room'!$C$14-1)*EXP(-0.5*(($A141-'Control Room'!$A$14-('Control Room'!$B$14-1)/2)/MAX(0.5,'Control Room'!$B$14/4))^2),1)*IF(AND($A141&gt;='Control Room'!$A$15,$A141&lt;'Control Room'!$A$15+'Control Room'!$B$15,'Process'!BQ4=1),1+('Control Room'!$C$15-1)*EXP(-0.5*(($A141-'Control Room'!$A$15-('Control Room'!$B$15-1)/2)/MAX(0.5,'Control Room'!$B$15/4))^2),1)*IF(AND($A141&gt;='Control Room'!$A$16,$A141&lt;'Control Room'!$A$16+'Control Room'!$B$16,'Process'!BQ5=1),1+('Control Room'!$C$16-1)*EXP(-0.5*(($A141-'Control Room'!$A$16-('Control Room'!$B$16-1)/2)/MAX(0.5,'Control Room'!$B$16/4))^2),1)</x:f>
        <x:v>1</x:v>
      </x:c>
      <x:c r="AK141" s="9" t="n">
        <x:f>MOD(AL140*16807,2147483647)</x:f>
        <x:v>208919404</x:v>
      </x:c>
      <x:c r="AL141" s="9" t="n">
        <x:f>MOD(AK141*16807,2147483647)</x:f>
        <x:v>172660183</x:v>
      </x:c>
      <x:c r="AM141" s="17" t="n">
        <x:f>IF('Control Room'!$B$5="Normal",'Control Room'!$B$7+'Control Room'!$D$7*SQRT(-2*LN(MAX(0.000000000001,AK141/2147483647)))*COS(2*PI()*AL141/2147483647),'Control Room'!$B$8+('Control Room'!$D$8-'Control Room'!$B$8)*AK141/2147483647)</x:f>
        <x:v>1170.0190689979281</x:v>
      </x:c>
      <x:c r="AN141" s="17" t="n">
        <x:f>IF('Control Room'!$B$5="Normal",'Control Room'!$B$7,('Control Room'!$B$8+'Control Room'!$D$8)/2)+'Control Room'!$B$9*(AN140-IF('Control Room'!$B$5="Normal",'Control Room'!$B$7,('Control Room'!$B$8+'Control Room'!$D$8)/2))+SQRT(1-'Control Room'!$B$9^2)*(AM141-IF('Control Room'!$B$5="Normal",'Control Room'!$B$7,('Control Room'!$B$8+'Control Room'!$D$8)/2))</x:f>
        <x:v>1111.5349145762852</x:v>
      </x:c>
      <x:c r="AO141" s="17" t="n">
        <x:f>IF(AND($A141&gt;='Control Room'!$A$13,$A141&lt;'Control Room'!$A$13+'Control Room'!$B$13,'Process'!BR2=1),1+('Control Room'!$C$13-1)*EXP(-0.5*(($A141-'Control Room'!$A$13-('Control Room'!$B$13-1)/2)/MAX(0.5,'Control Room'!$B$13/4))^2),1)*IF(AND($A141&gt;='Control Room'!$A$14,$A141&lt;'Control Room'!$A$14+'Control Room'!$B$14,'Process'!BR3=1),1+('Control Room'!$C$14-1)*EXP(-0.5*(($A141-'Control Room'!$A$14-('Control Room'!$B$14-1)/2)/MAX(0.5,'Control Room'!$B$14/4))^2),1)*IF(AND($A141&gt;='Control Room'!$A$15,$A141&lt;'Control Room'!$A$15+'Control Room'!$B$15,'Process'!BR4=1),1+('Control Room'!$C$15-1)*EXP(-0.5*(($A141-'Control Room'!$A$15-('Control Room'!$B$15-1)/2)/MAX(0.5,'Control Room'!$B$15/4))^2),1)*IF(AND($A141&gt;='Control Room'!$A$16,$A141&lt;'Control Room'!$A$16+'Control Room'!$B$16,'Process'!BR5=1),1+('Control Room'!$C$16-1)*EXP(-0.5*(($A141-'Control Room'!$A$16-('Control Room'!$B$16-1)/2)/MAX(0.5,'Control Room'!$B$16/4))^2),1)</x:f>
        <x:v>1</x:v>
      </x:c>
      <x:c r="AP141" s="9" t="n">
        <x:f>MOD(AQ140*16807,2147483647)</x:f>
        <x:v>1914551133</x:v>
      </x:c>
      <x:c r="AQ141" s="9" t="n">
        <x:f>MOD(AP141*16807,2147483647)</x:f>
        <x:v>2113409330</x:v>
      </x:c>
      <x:c r="AR141" s="17" t="n">
        <x:f>IF('Control Room'!$B$5="Normal",'Control Room'!$B$7+'Control Room'!$D$7*SQRT(-2*LN(MAX(0.000000000001,AP141/2147483647)))*COS(2*PI()*AQ141/2147483647),'Control Room'!$B$8+('Control Room'!$D$8-'Control Room'!$B$8)*AP141/2147483647)</x:f>
        <x:v>1042.9133313509958</x:v>
      </x:c>
      <x:c r="AS141" s="17" t="n">
        <x:f>IF('Control Room'!$B$5="Normal",'Control Room'!$B$7,('Control Room'!$B$8+'Control Room'!$D$8)/2)+'Control Room'!$B$9*(AS140-IF('Control Room'!$B$5="Normal",'Control Room'!$B$7,('Control Room'!$B$8+'Control Room'!$D$8)/2))+SQRT(1-'Control Room'!$B$9^2)*(AR141-IF('Control Room'!$B$5="Normal",'Control Room'!$B$7,('Control Room'!$B$8+'Control Room'!$D$8)/2))</x:f>
        <x:v>985.0908022433298</x:v>
      </x:c>
      <x:c r="AT141" s="17" t="n">
        <x:f>IF(AND($A141&gt;='Control Room'!$A$13,$A141&lt;'Control Room'!$A$13+'Control Room'!$B$13,'Process'!BS2=1),1+('Control Room'!$C$13-1)*EXP(-0.5*(($A141-'Control Room'!$A$13-('Control Room'!$B$13-1)/2)/MAX(0.5,'Control Room'!$B$13/4))^2),1)*IF(AND($A141&gt;='Control Room'!$A$14,$A141&lt;'Control Room'!$A$14+'Control Room'!$B$14,'Process'!BS3=1),1+('Control Room'!$C$14-1)*EXP(-0.5*(($A141-'Control Room'!$A$14-('Control Room'!$B$14-1)/2)/MAX(0.5,'Control Room'!$B$14/4))^2),1)*IF(AND($A141&gt;='Control Room'!$A$15,$A141&lt;'Control Room'!$A$15+'Control Room'!$B$15,'Process'!BS4=1),1+('Control Room'!$C$15-1)*EXP(-0.5*(($A141-'Control Room'!$A$15-('Control Room'!$B$15-1)/2)/MAX(0.5,'Control Room'!$B$15/4))^2),1)*IF(AND($A141&gt;='Control Room'!$A$16,$A141&lt;'Control Room'!$A$16+'Control Room'!$B$16,'Process'!BS5=1),1+('Control Room'!$C$16-1)*EXP(-0.5*(($A141-'Control Room'!$A$16-('Control Room'!$B$16-1)/2)/MAX(0.5,'Control Room'!$B$16/4))^2),1)</x:f>
        <x:v>1</x:v>
      </x:c>
      <x:c r="AU141" s="9" t="n">
        <x:f>MOD(AV140*16807,2147483647)</x:f>
        <x:v>1472699215</x:v>
      </x:c>
      <x:c r="AV141" s="9" t="n">
        <x:f>MOD(AU141*16807,2147483647)</x:f>
        <x:v>1906674830</x:v>
      </x:c>
      <x:c r="AW141" s="17" t="n">
        <x:f>IF('Control Room'!$B$5="Normal",'Control Room'!$B$7+'Control Room'!$D$7*SQRT(-2*LN(MAX(0.000000000001,AU141/2147483647)))*COS(2*PI()*AV141/2147483647),'Control Room'!$B$8+('Control Room'!$D$8-'Control Room'!$B$8)*AU141/2147483647)</x:f>
        <x:v>1059.557528005391</x:v>
      </x:c>
      <x:c r="AX141" s="17" t="n">
        <x:f>IF('Control Room'!$B$5="Normal",'Control Room'!$B$7,('Control Room'!$B$8+'Control Room'!$D$8)/2)+'Control Room'!$B$9*(AX140-IF('Control Room'!$B$5="Normal",'Control Room'!$B$7,('Control Room'!$B$8+'Control Room'!$D$8)/2))+SQRT(1-'Control Room'!$B$9^2)*(AW141-IF('Control Room'!$B$5="Normal",'Control Room'!$B$7,('Control Room'!$B$8+'Control Room'!$D$8)/2))</x:f>
        <x:v>1097.1937270069934</x:v>
      </x:c>
      <x:c r="AY141" s="17" t="n">
        <x:f>IF(AND($A141&gt;='Control Room'!$A$13,$A141&lt;'Control Room'!$A$13+'Control Room'!$B$13,'Process'!BT2=1),1+('Control Room'!$C$13-1)*EXP(-0.5*(($A141-'Control Room'!$A$13-('Control Room'!$B$13-1)/2)/MAX(0.5,'Control Room'!$B$13/4))^2),1)*IF(AND($A141&gt;='Control Room'!$A$14,$A141&lt;'Control Room'!$A$14+'Control Room'!$B$14,'Process'!BT3=1),1+('Control Room'!$C$14-1)*EXP(-0.5*(($A141-'Control Room'!$A$14-('Control Room'!$B$14-1)/2)/MAX(0.5,'Control Room'!$B$14/4))^2),1)*IF(AND($A141&gt;='Control Room'!$A$15,$A141&lt;'Control Room'!$A$15+'Control Room'!$B$15,'Process'!BT4=1),1+('Control Room'!$C$15-1)*EXP(-0.5*(($A141-'Control Room'!$A$15-('Control Room'!$B$15-1)/2)/MAX(0.5,'Control Room'!$B$15/4))^2),1)*IF(AND($A141&gt;='Control Room'!$A$16,$A141&lt;'Control Room'!$A$16+'Control Room'!$B$16,'Process'!BT5=1),1+('Control Room'!$C$16-1)*EXP(-0.5*(($A141-'Control Room'!$A$16-('Control Room'!$B$16-1)/2)/MAX(0.5,'Control Room'!$B$16/4))^2),1)</x:f>
        <x:v>1</x:v>
      </x:c>
      <x:c r="AZ141" s="9" t="n">
        <x:f>MOD(BA140*16807,2147483647)</x:f>
        <x:v>1030847297</x:v>
      </x:c>
      <x:c r="BA141" s="9" t="n">
        <x:f>MOD(AZ141*16807,2147483647)</x:f>
        <x:v>1699940330</x:v>
      </x:c>
      <x:c r="BB141" s="17" t="n">
        <x:f>IF('Control Room'!$B$5="Normal",'Control Room'!$B$7+'Control Room'!$D$7*SQRT(-2*LN(MAX(0.000000000001,AZ141/2147483647)))*COS(2*PI()*BA141/2147483647),'Control Room'!$B$8+('Control Room'!$D$8-'Control Room'!$B$8)*AZ141/2147483647)</x:f>
        <x:v>1028.1747863442383</x:v>
      </x:c>
      <x:c r="BC141" s="17" t="n">
        <x:f>IF('Control Room'!$B$5="Normal",'Control Room'!$B$7,('Control Room'!$B$8+'Control Room'!$D$8)/2)+'Control Room'!$B$9*(BC140-IF('Control Room'!$B$5="Normal",'Control Room'!$B$7,('Control Room'!$B$8+'Control Room'!$D$8)/2))+SQRT(1-'Control Room'!$B$9^2)*(BB141-IF('Control Room'!$B$5="Normal",'Control Room'!$B$7,('Control Room'!$B$8+'Control Room'!$D$8)/2))</x:f>
        <x:v>1013.4881680232061</x:v>
      </x:c>
      <x:c r="BD141" s="17" t="n">
        <x:f>IF(AND($A141&gt;='Control Room'!$A$13,$A141&lt;'Control Room'!$A$13+'Control Room'!$B$13,'Process'!BU2=1),1+('Control Room'!$C$13-1)*EXP(-0.5*(($A141-'Control Room'!$A$13-('Control Room'!$B$13-1)/2)/MAX(0.5,'Control Room'!$B$13/4))^2),1)*IF(AND($A141&gt;='Control Room'!$A$14,$A141&lt;'Control Room'!$A$14+'Control Room'!$B$14,'Process'!BU3=1),1+('Control Room'!$C$14-1)*EXP(-0.5*(($A141-'Control Room'!$A$14-('Control Room'!$B$14-1)/2)/MAX(0.5,'Control Room'!$B$14/4))^2),1)*IF(AND($A141&gt;='Control Room'!$A$15,$A141&lt;'Control Room'!$A$15+'Control Room'!$B$15,'Process'!BU4=1),1+('Control Room'!$C$15-1)*EXP(-0.5*(($A141-'Control Room'!$A$15-('Control Room'!$B$15-1)/2)/MAX(0.5,'Control Room'!$B$15/4))^2),1)*IF(AND($A141&gt;='Control Room'!$A$16,$A141&lt;'Control Room'!$A$16+'Control Room'!$B$16,'Process'!BU5=1),1+('Control Room'!$C$16-1)*EXP(-0.5*(($A141-'Control Room'!$A$16-('Control Room'!$B$16-1)/2)/MAX(0.5,'Control Room'!$B$16/4))^2),1)</x:f>
        <x:v>1</x:v>
      </x:c>
      <x:c r="BE141" s="9" t="n">
        <x:f>MOD(BF140*16807,2147483647)</x:f>
        <x:v>588995379</x:v>
      </x:c>
      <x:c r="BF141" s="9" t="n">
        <x:f>MOD(BE141*16807,2147483647)</x:f>
        <x:v>1493205830</x:v>
      </x:c>
      <x:c r="BG141" s="17" t="n">
        <x:f>IF('Control Room'!$B$5="Normal",'Control Room'!$B$7+'Control Room'!$D$7*SQRT(-2*LN(MAX(0.000000000001,BE141/2147483647)))*COS(2*PI()*BF141/2147483647),'Control Room'!$B$8+('Control Room'!$D$8-'Control Room'!$B$8)*BE141/2147483647)</x:f>
        <x:v>951.2435886143276</x:v>
      </x:c>
      <x:c r="BH141" s="17" t="n">
        <x:f>IF('Control Room'!$B$5="Normal",'Control Room'!$B$7,('Control Room'!$B$8+'Control Room'!$D$8)/2)+'Control Room'!$B$9*(BH140-IF('Control Room'!$B$5="Normal",'Control Room'!$B$7,('Control Room'!$B$8+'Control Room'!$D$8)/2))+SQRT(1-'Control Room'!$B$9^2)*(BG141-IF('Control Room'!$B$5="Normal",'Control Room'!$B$7,('Control Room'!$B$8+'Control Room'!$D$8)/2))</x:f>
        <x:v>940.7399837624032</x:v>
      </x:c>
      <x:c r="BI141" s="17" t="n">
        <x:f>IF(AND($A141&gt;='Control Room'!$A$13,$A141&lt;'Control Room'!$A$13+'Control Room'!$B$13,'Process'!BV2=1),1+('Control Room'!$C$13-1)*EXP(-0.5*(($A141-'Control Room'!$A$13-('Control Room'!$B$13-1)/2)/MAX(0.5,'Control Room'!$B$13/4))^2),1)*IF(AND($A141&gt;='Control Room'!$A$14,$A141&lt;'Control Room'!$A$14+'Control Room'!$B$14,'Process'!BV3=1),1+('Control Room'!$C$14-1)*EXP(-0.5*(($A141-'Control Room'!$A$14-('Control Room'!$B$14-1)/2)/MAX(0.5,'Control Room'!$B$14/4))^2),1)*IF(AND($A141&gt;='Control Room'!$A$15,$A141&lt;'Control Room'!$A$15+'Control Room'!$B$15,'Process'!BV4=1),1+('Control Room'!$C$15-1)*EXP(-0.5*(($A141-'Control Room'!$A$15-('Control Room'!$B$15-1)/2)/MAX(0.5,'Control Room'!$B$15/4))^2),1)*IF(AND($A141&gt;='Control Room'!$A$16,$A141&lt;'Control Room'!$A$16+'Control Room'!$B$16,'Process'!BV5=1),1+('Control Room'!$C$16-1)*EXP(-0.5*(($A141-'Control Room'!$A$16-('Control Room'!$B$16-1)/2)/MAX(0.5,'Control Room'!$B$16/4))^2),1)</x:f>
        <x:v>1</x:v>
      </x:c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Z141" t="str">
        <x:f>IF('Data'!A141="","",TEXT('Data'!A141,"mm-dd"))</x:f>
      </x:c>
    </x:row>
    <x:row r="142" ht="21" customHeight="1">
      <x:c r="A142" s="15" t="n">
        <x:f>'Control Room'!$B$1+140</x:f>
        <x:v>73131</x:v>
      </x:c>
      <x:c r="B142" s="9" t="n">
        <x:f>MOD(C141*16807,2147483647)</x:f>
        <x:v>356693162</x:v>
      </x:c>
      <x:c r="C142" s="9" t="n">
        <x:f>MOD(B142*16807,2147483647)</x:f>
        <x:v>1315114957</x:v>
      </x:c>
      <x:c r="D142" s="17" t="n">
        <x:f>IF('Control Room'!$B$5="Normal",'Control Room'!$B$7+'Control Room'!$D$7*SQRT(-2*LN(MAX(0.000000000001,B142/2147483647)))*COS(2*PI()*C142/2147483647),'Control Room'!$B$8+('Control Room'!$D$8-'Control Room'!$B$8)*B142/2147483647)</x:f>
        <x:v>870.2540443898331</x:v>
      </x:c>
      <x:c r="E142" s="17" t="n">
        <x:f>IF('Control Room'!$B$5="Normal",'Control Room'!$B$7,('Control Room'!$B$8+'Control Room'!$D$8)/2)+'Control Room'!$B$9*(E141-IF('Control Room'!$B$5="Normal",'Control Room'!$B$7,('Control Room'!$B$8+'Control Room'!$D$8)/2))+SQRT(1-'Control Room'!$B$9^2)*(D142-IF('Control Room'!$B$5="Normal",'Control Room'!$B$7,('Control Room'!$B$8+'Control Room'!$D$8)/2))</x:f>
        <x:v>833.3095812794489</x:v>
      </x:c>
      <x:c r="F142" s="17" t="n">
        <x:f>IF(AND($A142&gt;='Control Room'!$A$13,$A142&lt;'Control Room'!$A$13+'Control Room'!$B$13,'Process'!BK2=1),1+('Control Room'!$C$13-1)*EXP(-0.5*(($A142-'Control Room'!$A$13-('Control Room'!$B$13-1)/2)/MAX(0.5,'Control Room'!$B$13/4))^2),1)*IF(AND($A142&gt;='Control Room'!$A$14,$A142&lt;'Control Room'!$A$14+'Control Room'!$B$14,'Process'!BK3=1),1+('Control Room'!$C$14-1)*EXP(-0.5*(($A142-'Control Room'!$A$14-('Control Room'!$B$14-1)/2)/MAX(0.5,'Control Room'!$B$14/4))^2),1)*IF(AND($A142&gt;='Control Room'!$A$15,$A142&lt;'Control Room'!$A$15+'Control Room'!$B$15,'Process'!BK4=1),1+('Control Room'!$C$15-1)*EXP(-0.5*(($A142-'Control Room'!$A$15-('Control Room'!$B$15-1)/2)/MAX(0.5,'Control Room'!$B$15/4))^2),1)*IF(AND($A142&gt;='Control Room'!$A$16,$A142&lt;'Control Room'!$A$16+'Control Room'!$B$16,'Process'!BK5=1),1+('Control Room'!$C$16-1)*EXP(-0.5*(($A142-'Control Room'!$A$16-('Control Room'!$B$16-1)/2)/MAX(0.5,'Control Room'!$B$16/4))^2),1)</x:f>
        <x:v>1</x:v>
      </x:c>
      <x:c r="G142" s="9" t="n">
        <x:f>MOD(H141*16807,2147483647)</x:f>
        <x:v>398492508</x:v>
      </x:c>
      <x:c r="H142" s="9" t="n">
        <x:f>MOD(G142*16807,2147483647)</x:f>
        <x:v>1609570610</x:v>
      </x:c>
      <x:c r="I142" s="17" t="n">
        <x:f>IF('Control Room'!$B$5="Normal",'Control Room'!$B$7+'Control Room'!$D$7*SQRT(-2*LN(MAX(0.000000000001,G142/2147483647)))*COS(2*PI()*H142/2147483647),'Control Room'!$B$8+('Control Room'!$D$8-'Control Room'!$B$8)*G142/2147483647)</x:f>
        <x:v>999.496331667024</x:v>
      </x:c>
      <x:c r="J142" s="17" t="n">
        <x:f>IF('Control Room'!$B$5="Normal",'Control Room'!$B$7,('Control Room'!$B$8+'Control Room'!$D$8)/2)+'Control Room'!$B$9*(J141-IF('Control Room'!$B$5="Normal",'Control Room'!$B$7,('Control Room'!$B$8+'Control Room'!$D$8)/2))+SQRT(1-'Control Room'!$B$9^2)*(I142-IF('Control Room'!$B$5="Normal",'Control Room'!$B$7,('Control Room'!$B$8+'Control Room'!$D$8)/2))</x:f>
        <x:v>909.9694077561801</x:v>
      </x:c>
      <x:c r="K142" s="17" t="n">
        <x:f>IF(AND($A142&gt;='Control Room'!$A$13,$A142&lt;'Control Room'!$A$13+'Control Room'!$B$13,'Process'!BL2=1),1+('Control Room'!$C$13-1)*EXP(-0.5*(($A142-'Control Room'!$A$13-('Control Room'!$B$13-1)/2)/MAX(0.5,'Control Room'!$B$13/4))^2),1)*IF(AND($A142&gt;='Control Room'!$A$14,$A142&lt;'Control Room'!$A$14+'Control Room'!$B$14,'Process'!BL3=1),1+('Control Room'!$C$14-1)*EXP(-0.5*(($A142-'Control Room'!$A$14-('Control Room'!$B$14-1)/2)/MAX(0.5,'Control Room'!$B$14/4))^2),1)*IF(AND($A142&gt;='Control Room'!$A$15,$A142&lt;'Control Room'!$A$15+'Control Room'!$B$15,'Process'!BL4=1),1+('Control Room'!$C$15-1)*EXP(-0.5*(($A142-'Control Room'!$A$15-('Control Room'!$B$15-1)/2)/MAX(0.5,'Control Room'!$B$15/4))^2),1)*IF(AND($A142&gt;='Control Room'!$A$16,$A142&lt;'Control Room'!$A$16+'Control Room'!$B$16,'Process'!BL5=1),1+('Control Room'!$C$16-1)*EXP(-0.5*(($A142-'Control Room'!$A$16-('Control Room'!$B$16-1)/2)/MAX(0.5,'Control Room'!$B$16/4))^2),1)</x:f>
        <x:v>1</x:v>
      </x:c>
      <x:c r="L142" s="9" t="n">
        <x:f>MOD(M141*16807,2147483647)</x:f>
        <x:v>440291854</x:v>
      </x:c>
      <x:c r="M142" s="9" t="n">
        <x:f>MOD(L142*16807,2147483647)</x:f>
        <x:v>1904026263</x:v>
      </x:c>
      <x:c r="N142" s="17" t="n">
        <x:f>IF('Control Room'!$B$5="Normal",'Control Room'!$B$7+'Control Room'!$D$7*SQRT(-2*LN(MAX(0.000000000001,L142/2147483647)))*COS(2*PI()*M142/2147483647),'Control Room'!$B$8+('Control Room'!$D$8-'Control Room'!$B$8)*L142/2147483647)</x:f>
        <x:v>1121.263208247034</x:v>
      </x:c>
      <x:c r="O142" s="17" t="n">
        <x:f>IF('Control Room'!$B$5="Normal",'Control Room'!$B$7,('Control Room'!$B$8+'Control Room'!$D$8)/2)+'Control Room'!$B$9*(O141-IF('Control Room'!$B$5="Normal",'Control Room'!$B$7,('Control Room'!$B$8+'Control Room'!$D$8)/2))+SQRT(1-'Control Room'!$B$9^2)*(N142-IF('Control Room'!$B$5="Normal",'Control Room'!$B$7,('Control Room'!$B$8+'Control Room'!$D$8)/2))</x:f>
        <x:v>1058.1081037333586</x:v>
      </x:c>
      <x:c r="P142" s="17" t="n">
        <x:f>IF(AND($A142&gt;='Control Room'!$A$13,$A142&lt;'Control Room'!$A$13+'Control Room'!$B$13,'Process'!BM2=1),1+('Control Room'!$C$13-1)*EXP(-0.5*(($A142-'Control Room'!$A$13-('Control Room'!$B$13-1)/2)/MAX(0.5,'Control Room'!$B$13/4))^2),1)*IF(AND($A142&gt;='Control Room'!$A$14,$A142&lt;'Control Room'!$A$14+'Control Room'!$B$14,'Process'!BM3=1),1+('Control Room'!$C$14-1)*EXP(-0.5*(($A142-'Control Room'!$A$14-('Control Room'!$B$14-1)/2)/MAX(0.5,'Control Room'!$B$14/4))^2),1)*IF(AND($A142&gt;='Control Room'!$A$15,$A142&lt;'Control Room'!$A$15+'Control Room'!$B$15,'Process'!BM4=1),1+('Control Room'!$C$15-1)*EXP(-0.5*(($A142-'Control Room'!$A$15-('Control Room'!$B$15-1)/2)/MAX(0.5,'Control Room'!$B$15/4))^2),1)*IF(AND($A142&gt;='Control Room'!$A$16,$A142&lt;'Control Room'!$A$16+'Control Room'!$B$16,'Process'!BM5=1),1+('Control Room'!$C$16-1)*EXP(-0.5*(($A142-'Control Room'!$A$16-('Control Room'!$B$16-1)/2)/MAX(0.5,'Control Room'!$B$16/4))^2),1)</x:f>
        <x:v>1</x:v>
      </x:c>
      <x:c r="Q142" s="9" t="n">
        <x:f>MOD(R141*16807,2147483647)</x:f>
        <x:v>482091200</x:v>
      </x:c>
      <x:c r="R142" s="9" t="n">
        <x:f>MOD(Q142*16807,2147483647)</x:f>
        <x:v>50998269</x:v>
      </x:c>
      <x:c r="S142" s="17" t="n">
        <x:f>IF('Control Room'!$B$5="Normal",'Control Room'!$B$7+'Control Room'!$D$7*SQRT(-2*LN(MAX(0.000000000001,Q142/2147483647)))*COS(2*PI()*R142/2147483647),'Control Room'!$B$8+('Control Room'!$D$8-'Control Room'!$B$8)*Q142/2147483647)</x:f>
        <x:v>1153.8396540239637</x:v>
      </x:c>
      <x:c r="T142" s="17" t="n">
        <x:f>IF('Control Room'!$B$5="Normal",'Control Room'!$B$7,('Control Room'!$B$8+'Control Room'!$D$8)/2)+'Control Room'!$B$9*(T141-IF('Control Room'!$B$5="Normal",'Control Room'!$B$7,('Control Room'!$B$8+'Control Room'!$D$8)/2))+SQRT(1-'Control Room'!$B$9^2)*(S142-IF('Control Room'!$B$5="Normal",'Control Room'!$B$7,('Control Room'!$B$8+'Control Room'!$D$8)/2))</x:f>
        <x:v>999.3057448217702</x:v>
      </x:c>
      <x:c r="U142" s="17" t="n">
        <x:f>IF(AND($A142&gt;='Control Room'!$A$13,$A142&lt;'Control Room'!$A$13+'Control Room'!$B$13,'Process'!BN2=1),1+('Control Room'!$C$13-1)*EXP(-0.5*(($A142-'Control Room'!$A$13-('Control Room'!$B$13-1)/2)/MAX(0.5,'Control Room'!$B$13/4))^2),1)*IF(AND($A142&gt;='Control Room'!$A$14,$A142&lt;'Control Room'!$A$14+'Control Room'!$B$14,'Process'!BN3=1),1+('Control Room'!$C$14-1)*EXP(-0.5*(($A142-'Control Room'!$A$14-('Control Room'!$B$14-1)/2)/MAX(0.5,'Control Room'!$B$14/4))^2),1)*IF(AND($A142&gt;='Control Room'!$A$15,$A142&lt;'Control Room'!$A$15+'Control Room'!$B$15,'Process'!BN4=1),1+('Control Room'!$C$15-1)*EXP(-0.5*(($A142-'Control Room'!$A$15-('Control Room'!$B$15-1)/2)/MAX(0.5,'Control Room'!$B$15/4))^2),1)*IF(AND($A142&gt;='Control Room'!$A$16,$A142&lt;'Control Room'!$A$16+'Control Room'!$B$16,'Process'!BN5=1),1+('Control Room'!$C$16-1)*EXP(-0.5*(($A142-'Control Room'!$A$16-('Control Room'!$B$16-1)/2)/MAX(0.5,'Control Room'!$B$16/4))^2),1)</x:f>
        <x:v>1</x:v>
      </x:c>
      <x:c r="V142" s="9" t="n">
        <x:f>MOD(W141*16807,2147483647)</x:f>
        <x:v>523890546</x:v>
      </x:c>
      <x:c r="W142" s="9" t="n">
        <x:f>MOD(V142*16807,2147483647)</x:f>
        <x:v>345453922</x:v>
      </x:c>
      <x:c r="X142" s="17" t="n">
        <x:f>IF('Control Room'!$B$5="Normal",'Control Room'!$B$7+'Control Room'!$D$7*SQRT(-2*LN(MAX(0.000000000001,V142/2147483647)))*COS(2*PI()*W142/2147483647),'Control Room'!$B$8+('Control Room'!$D$8-'Control Room'!$B$8)*V142/2147483647)</x:f>
        <x:v>1080.310107410787</x:v>
      </x:c>
      <x:c r="Y142" s="17" t="n">
        <x:f>IF('Control Room'!$B$5="Normal",'Control Room'!$B$7,('Control Room'!$B$8+'Control Room'!$D$8)/2)+'Control Room'!$B$9*(Y141-IF('Control Room'!$B$5="Normal",'Control Room'!$B$7,('Control Room'!$B$8+'Control Room'!$D$8)/2))+SQRT(1-'Control Room'!$B$9^2)*(X142-IF('Control Room'!$B$5="Normal",'Control Room'!$B$7,('Control Room'!$B$8+'Control Room'!$D$8)/2))</x:f>
        <x:v>1032.7744443167928</x:v>
      </x:c>
      <x:c r="Z142" s="17" t="n">
        <x:f>IF(AND($A142&gt;='Control Room'!$A$13,$A142&lt;'Control Room'!$A$13+'Control Room'!$B$13,'Process'!BO2=1),1+('Control Room'!$C$13-1)*EXP(-0.5*(($A142-'Control Room'!$A$13-('Control Room'!$B$13-1)/2)/MAX(0.5,'Control Room'!$B$13/4))^2),1)*IF(AND($A142&gt;='Control Room'!$A$14,$A142&lt;'Control Room'!$A$14+'Control Room'!$B$14,'Process'!BO3=1),1+('Control Room'!$C$14-1)*EXP(-0.5*(($A142-'Control Room'!$A$14-('Control Room'!$B$14-1)/2)/MAX(0.5,'Control Room'!$B$14/4))^2),1)*IF(AND($A142&gt;='Control Room'!$A$15,$A142&lt;'Control Room'!$A$15+'Control Room'!$B$15,'Process'!BO4=1),1+('Control Room'!$C$15-1)*EXP(-0.5*(($A142-'Control Room'!$A$15-('Control Room'!$B$15-1)/2)/MAX(0.5,'Control Room'!$B$15/4))^2),1)*IF(AND($A142&gt;='Control Room'!$A$16,$A142&lt;'Control Room'!$A$16+'Control Room'!$B$16,'Process'!BO5=1),1+('Control Room'!$C$16-1)*EXP(-0.5*(($A142-'Control Room'!$A$16-('Control Room'!$B$16-1)/2)/MAX(0.5,'Control Room'!$B$16/4))^2),1)</x:f>
        <x:v>1</x:v>
      </x:c>
      <x:c r="AA142" s="9" t="n">
        <x:f>MOD(AB141*16807,2147483647)</x:f>
        <x:v>565689892</x:v>
      </x:c>
      <x:c r="AB142" s="9" t="n">
        <x:f>MOD(AA142*16807,2147483647)</x:f>
        <x:v>639909575</x:v>
      </x:c>
      <x:c r="AC142" s="17" t="n">
        <x:f>IF('Control Room'!$B$5="Normal",'Control Room'!$B$7+'Control Room'!$D$7*SQRT(-2*LN(MAX(0.000000000001,AA142/2147483647)))*COS(2*PI()*AB142/2147483647),'Control Room'!$B$8+('Control Room'!$D$8-'Control Room'!$B$8)*AA142/2147483647)</x:f>
        <x:v>956.3496257100934</x:v>
      </x:c>
      <x:c r="AD142" s="17" t="n">
        <x:f>IF('Control Room'!$B$5="Normal",'Control Room'!$B$7,('Control Room'!$B$8+'Control Room'!$D$8)/2)+'Control Room'!$B$9*(AD141-IF('Control Room'!$B$5="Normal",'Control Room'!$B$7,('Control Room'!$B$8+'Control Room'!$D$8)/2))+SQRT(1-'Control Room'!$B$9^2)*(AC142-IF('Control Room'!$B$5="Normal",'Control Room'!$B$7,('Control Room'!$B$8+'Control Room'!$D$8)/2))</x:f>
        <x:v>987.6257697650883</x:v>
      </x:c>
      <x:c r="AE142" s="17" t="n">
        <x:f>IF(AND($A142&gt;='Control Room'!$A$13,$A142&lt;'Control Room'!$A$13+'Control Room'!$B$13,'Process'!BP2=1),1+('Control Room'!$C$13-1)*EXP(-0.5*(($A142-'Control Room'!$A$13-('Control Room'!$B$13-1)/2)/MAX(0.5,'Control Room'!$B$13/4))^2),1)*IF(AND($A142&gt;='Control Room'!$A$14,$A142&lt;'Control Room'!$A$14+'Control Room'!$B$14,'Process'!BP3=1),1+('Control Room'!$C$14-1)*EXP(-0.5*(($A142-'Control Room'!$A$14-('Control Room'!$B$14-1)/2)/MAX(0.5,'Control Room'!$B$14/4))^2),1)*IF(AND($A142&gt;='Control Room'!$A$15,$A142&lt;'Control Room'!$A$15+'Control Room'!$B$15,'Process'!BP4=1),1+('Control Room'!$C$15-1)*EXP(-0.5*(($A142-'Control Room'!$A$15-('Control Room'!$B$15-1)/2)/MAX(0.5,'Control Room'!$B$15/4))^2),1)*IF(AND($A142&gt;='Control Room'!$A$16,$A142&lt;'Control Room'!$A$16+'Control Room'!$B$16,'Process'!BP5=1),1+('Control Room'!$C$16-1)*EXP(-0.5*(($A142-'Control Room'!$A$16-('Control Room'!$B$16-1)/2)/MAX(0.5,'Control Room'!$B$16/4))^2),1)</x:f>
        <x:v>1</x:v>
      </x:c>
      <x:c r="AF142" s="9" t="n">
        <x:f>MOD(AG141*16807,2147483647)</x:f>
        <x:v>607489238</x:v>
      </x:c>
      <x:c r="AG142" s="9" t="n">
        <x:f>MOD(AF142*16807,2147483647)</x:f>
        <x:v>934365228</x:v>
      </x:c>
      <x:c r="AH142" s="17" t="n">
        <x:f>IF('Control Room'!$B$5="Normal",'Control Room'!$B$7+'Control Room'!$D$7*SQRT(-2*LN(MAX(0.000000000001,AF142/2147483647)))*COS(2*PI()*AG142/2147483647),'Control Room'!$B$8+('Control Room'!$D$8-'Control Room'!$B$8)*AF142/2147483647)</x:f>
        <x:v>868.7036989468152</x:v>
      </x:c>
      <x:c r="AI142" s="17" t="n">
        <x:f>IF('Control Room'!$B$5="Normal",'Control Room'!$B$7,('Control Room'!$B$8+'Control Room'!$D$8)/2)+'Control Room'!$B$9*(AI141-IF('Control Room'!$B$5="Normal",'Control Room'!$B$7,('Control Room'!$B$8+'Control Room'!$D$8)/2))+SQRT(1-'Control Room'!$B$9^2)*(AH142-IF('Control Room'!$B$5="Normal",'Control Room'!$B$7,('Control Room'!$B$8+'Control Room'!$D$8)/2))</x:f>
        <x:v>1011.7608241762366</x:v>
      </x:c>
      <x:c r="AJ142" s="17" t="n">
        <x:f>IF(AND($A142&gt;='Control Room'!$A$13,$A142&lt;'Control Room'!$A$13+'Control Room'!$B$13,'Process'!BQ2=1),1+('Control Room'!$C$13-1)*EXP(-0.5*(($A142-'Control Room'!$A$13-('Control Room'!$B$13-1)/2)/MAX(0.5,'Control Room'!$B$13/4))^2),1)*IF(AND($A142&gt;='Control Room'!$A$14,$A142&lt;'Control Room'!$A$14+'Control Room'!$B$14,'Process'!BQ3=1),1+('Control Room'!$C$14-1)*EXP(-0.5*(($A142-'Control Room'!$A$14-('Control Room'!$B$14-1)/2)/MAX(0.5,'Control Room'!$B$14/4))^2),1)*IF(AND($A142&gt;='Control Room'!$A$15,$A142&lt;'Control Room'!$A$15+'Control Room'!$B$15,'Process'!BQ4=1),1+('Control Room'!$C$15-1)*EXP(-0.5*(($A142-'Control Room'!$A$15-('Control Room'!$B$15-1)/2)/MAX(0.5,'Control Room'!$B$15/4))^2),1)*IF(AND($A142&gt;='Control Room'!$A$16,$A142&lt;'Control Room'!$A$16+'Control Room'!$B$16,'Process'!BQ5=1),1+('Control Room'!$C$16-1)*EXP(-0.5*(($A142-'Control Room'!$A$16-('Control Room'!$B$16-1)/2)/MAX(0.5,'Control Room'!$B$16/4))^2),1)</x:f>
        <x:v>1</x:v>
      </x:c>
      <x:c r="AK142" s="9" t="n">
        <x:f>MOD(AL141*16807,2147483647)</x:f>
        <x:v>649288584</x:v>
      </x:c>
      <x:c r="AL142" s="9" t="n">
        <x:f>MOD(AK142*16807,2147483647)</x:f>
        <x:v>1228820881</x:v>
      </x:c>
      <x:c r="AM142" s="17" t="n">
        <x:f>IF('Control Room'!$B$5="Normal",'Control Room'!$B$7+'Control Room'!$D$7*SQRT(-2*LN(MAX(0.000000000001,AK142/2147483647)))*COS(2*PI()*AL142/2147483647),'Control Room'!$B$8+('Control Room'!$D$8-'Control Room'!$B$8)*AK142/2147483647)</x:f>
        <x:v>874.8803454607701</x:v>
      </x:c>
      <x:c r="AN142" s="17" t="n">
        <x:f>IF('Control Room'!$B$5="Normal",'Control Room'!$B$7,('Control Room'!$B$8+'Control Room'!$D$8)/2)+'Control Room'!$B$9*(AN141-IF('Control Room'!$B$5="Normal",'Control Room'!$B$7,('Control Room'!$B$8+'Control Room'!$D$8)/2))+SQRT(1-'Control Room'!$B$9^2)*(AM142-IF('Control Room'!$B$5="Normal",'Control Room'!$B$7,('Control Room'!$B$8+'Control Room'!$D$8)/2))</x:f>
        <x:v>1008.6999167742988</x:v>
      </x:c>
      <x:c r="AO142" s="17" t="n">
        <x:f>IF(AND($A142&gt;='Control Room'!$A$13,$A142&lt;'Control Room'!$A$13+'Control Room'!$B$13,'Process'!BR2=1),1+('Control Room'!$C$13-1)*EXP(-0.5*(($A142-'Control Room'!$A$13-('Control Room'!$B$13-1)/2)/MAX(0.5,'Control Room'!$B$13/4))^2),1)*IF(AND($A142&gt;='Control Room'!$A$14,$A142&lt;'Control Room'!$A$14+'Control Room'!$B$14,'Process'!BR3=1),1+('Control Room'!$C$14-1)*EXP(-0.5*(($A142-'Control Room'!$A$14-('Control Room'!$B$14-1)/2)/MAX(0.5,'Control Room'!$B$14/4))^2),1)*IF(AND($A142&gt;='Control Room'!$A$15,$A142&lt;'Control Room'!$A$15+'Control Room'!$B$15,'Process'!BR4=1),1+('Control Room'!$C$15-1)*EXP(-0.5*(($A142-'Control Room'!$A$15-('Control Room'!$B$15-1)/2)/MAX(0.5,'Control Room'!$B$15/4))^2),1)*IF(AND($A142&gt;='Control Room'!$A$16,$A142&lt;'Control Room'!$A$16+'Control Room'!$B$16,'Process'!BR5=1),1+('Control Room'!$C$16-1)*EXP(-0.5*(($A142-'Control Room'!$A$16-('Control Room'!$B$16-1)/2)/MAX(0.5,'Control Room'!$B$16/4))^2),1)</x:f>
        <x:v>1</x:v>
      </x:c>
      <x:c r="AP142" s="9" t="n">
        <x:f>MOD(AQ141*16807,2147483647)</x:f>
        <x:v>691087930</x:v>
      </x:c>
      <x:c r="AQ142" s="9" t="n">
        <x:f>MOD(AP142*16807,2147483647)</x:f>
        <x:v>1523276534</x:v>
      </x:c>
      <x:c r="AR142" s="17" t="n">
        <x:f>IF('Control Room'!$B$5="Normal",'Control Room'!$B$7+'Control Room'!$D$7*SQRT(-2*LN(MAX(0.000000000001,AP142/2147483647)))*COS(2*PI()*AQ142/2147483647),'Control Room'!$B$8+('Control Room'!$D$8-'Control Room'!$B$8)*AP142/2147483647)</x:f>
        <x:v>965.7444833049051</x:v>
      </x:c>
      <x:c r="AS142" s="17" t="n">
        <x:f>IF('Control Room'!$B$5="Normal",'Control Room'!$B$7,('Control Room'!$B$8+'Control Room'!$D$8)/2)+'Control Room'!$B$9*(AS141-IF('Control Room'!$B$5="Normal",'Control Room'!$B$7,('Control Room'!$B$8+'Control Room'!$D$8)/2))+SQRT(1-'Control Room'!$B$9^2)*(AR142-IF('Control Room'!$B$5="Normal",'Control Room'!$B$7,('Control Room'!$B$8+'Control Room'!$D$8)/2))</x:f>
        <x:v>966.9344251644105</x:v>
      </x:c>
      <x:c r="AT142" s="17" t="n">
        <x:f>IF(AND($A142&gt;='Control Room'!$A$13,$A142&lt;'Control Room'!$A$13+'Control Room'!$B$13,'Process'!BS2=1),1+('Control Room'!$C$13-1)*EXP(-0.5*(($A142-'Control Room'!$A$13-('Control Room'!$B$13-1)/2)/MAX(0.5,'Control Room'!$B$13/4))^2),1)*IF(AND($A142&gt;='Control Room'!$A$14,$A142&lt;'Control Room'!$A$14+'Control Room'!$B$14,'Process'!BS3=1),1+('Control Room'!$C$14-1)*EXP(-0.5*(($A142-'Control Room'!$A$14-('Control Room'!$B$14-1)/2)/MAX(0.5,'Control Room'!$B$14/4))^2),1)*IF(AND($A142&gt;='Control Room'!$A$15,$A142&lt;'Control Room'!$A$15+'Control Room'!$B$15,'Process'!BS4=1),1+('Control Room'!$C$15-1)*EXP(-0.5*(($A142-'Control Room'!$A$15-('Control Room'!$B$15-1)/2)/MAX(0.5,'Control Room'!$B$15/4))^2),1)*IF(AND($A142&gt;='Control Room'!$A$16,$A142&lt;'Control Room'!$A$16+'Control Room'!$B$16,'Process'!BS5=1),1+('Control Room'!$C$16-1)*EXP(-0.5*(($A142-'Control Room'!$A$16-('Control Room'!$B$16-1)/2)/MAX(0.5,'Control Room'!$B$16/4))^2),1)</x:f>
        <x:v>1</x:v>
      </x:c>
      <x:c r="AU142" s="9" t="n">
        <x:f>MOD(AV141*16807,2147483647)</x:f>
        <x:v>732887276</x:v>
      </x:c>
      <x:c r="AV142" s="9" t="n">
        <x:f>MOD(AU142*16807,2147483647)</x:f>
        <x:v>1817732187</x:v>
      </x:c>
      <x:c r="AW142" s="17" t="n">
        <x:f>IF('Control Room'!$B$5="Normal",'Control Room'!$B$7+'Control Room'!$D$7*SQRT(-2*LN(MAX(0.000000000001,AU142/2147483647)))*COS(2*PI()*AV142/2147483647),'Control Room'!$B$8+('Control Room'!$D$8-'Control Room'!$B$8)*AU142/2147483647)</x:f>
        <x:v>1075.167546559472</x:v>
      </x:c>
      <x:c r="AX142" s="17" t="n">
        <x:f>IF('Control Room'!$B$5="Normal",'Control Room'!$B$7,('Control Room'!$B$8+'Control Room'!$D$8)/2)+'Control Room'!$B$9*(AX141-IF('Control Room'!$B$5="Normal",'Control Room'!$B$7,('Control Room'!$B$8+'Control Room'!$D$8)/2))+SQRT(1-'Control Room'!$B$9^2)*(AW142-IF('Control Room'!$B$5="Normal",'Control Room'!$B$7,('Control Room'!$B$8+'Control Room'!$D$8)/2))</x:f>
        <x:v>1122.8494178114806</x:v>
      </x:c>
      <x:c r="AY142" s="17" t="n">
        <x:f>IF(AND($A142&gt;='Control Room'!$A$13,$A142&lt;'Control Room'!$A$13+'Control Room'!$B$13,'Process'!BT2=1),1+('Control Room'!$C$13-1)*EXP(-0.5*(($A142-'Control Room'!$A$13-('Control Room'!$B$13-1)/2)/MAX(0.5,'Control Room'!$B$13/4))^2),1)*IF(AND($A142&gt;='Control Room'!$A$14,$A142&lt;'Control Room'!$A$14+'Control Room'!$B$14,'Process'!BT3=1),1+('Control Room'!$C$14-1)*EXP(-0.5*(($A142-'Control Room'!$A$14-('Control Room'!$B$14-1)/2)/MAX(0.5,'Control Room'!$B$14/4))^2),1)*IF(AND($A142&gt;='Control Room'!$A$15,$A142&lt;'Control Room'!$A$15+'Control Room'!$B$15,'Process'!BT4=1),1+('Control Room'!$C$15-1)*EXP(-0.5*(($A142-'Control Room'!$A$15-('Control Room'!$B$15-1)/2)/MAX(0.5,'Control Room'!$B$15/4))^2),1)*IF(AND($A142&gt;='Control Room'!$A$16,$A142&lt;'Control Room'!$A$16+'Control Room'!$B$16,'Process'!BT5=1),1+('Control Room'!$C$16-1)*EXP(-0.5*(($A142-'Control Room'!$A$16-('Control Room'!$B$16-1)/2)/MAX(0.5,'Control Room'!$B$16/4))^2),1)</x:f>
        <x:v>1</x:v>
      </x:c>
      <x:c r="AZ142" s="9" t="n">
        <x:f>MOD(BA141*16807,2147483647)</x:f>
        <x:v>774686622</x:v>
      </x:c>
      <x:c r="BA142" s="9" t="n">
        <x:f>MOD(AZ142*16807,2147483647)</x:f>
        <x:v>2112187840</x:v>
      </x:c>
      <x:c r="BB142" s="17" t="n">
        <x:f>IF('Control Room'!$B$5="Normal",'Control Room'!$B$7+'Control Room'!$D$7*SQRT(-2*LN(MAX(0.000000000001,AZ142/2147483647)))*COS(2*PI()*BA142/2147483647),'Control Room'!$B$8+('Control Room'!$D$8-'Control Room'!$B$8)*AZ142/2147483647)</x:f>
        <x:v>1127.8353899088972</x:v>
      </x:c>
      <x:c r="BC142" s="17" t="n">
        <x:f>IF('Control Room'!$B$5="Normal",'Control Room'!$B$7,('Control Room'!$B$8+'Control Room'!$D$8)/2)+'Control Room'!$B$9*(BC141-IF('Control Room'!$B$5="Normal",'Control Room'!$B$7,('Control Room'!$B$8+'Control Room'!$D$8)/2))+SQRT(1-'Control Room'!$B$9^2)*(BB142-IF('Control Room'!$B$5="Normal",'Control Room'!$B$7,('Control Room'!$B$8+'Control Room'!$D$8)/2))</x:f>
        <x:v>1090.5175392127792</x:v>
      </x:c>
      <x:c r="BD142" s="17" t="n">
        <x:f>IF(AND($A142&gt;='Control Room'!$A$13,$A142&lt;'Control Room'!$A$13+'Control Room'!$B$13,'Process'!BU2=1),1+('Control Room'!$C$13-1)*EXP(-0.5*(($A142-'Control Room'!$A$13-('Control Room'!$B$13-1)/2)/MAX(0.5,'Control Room'!$B$13/4))^2),1)*IF(AND($A142&gt;='Control Room'!$A$14,$A142&lt;'Control Room'!$A$14+'Control Room'!$B$14,'Process'!BU3=1),1+('Control Room'!$C$14-1)*EXP(-0.5*(($A142-'Control Room'!$A$14-('Control Room'!$B$14-1)/2)/MAX(0.5,'Control Room'!$B$14/4))^2),1)*IF(AND($A142&gt;='Control Room'!$A$15,$A142&lt;'Control Room'!$A$15+'Control Room'!$B$15,'Process'!BU4=1),1+('Control Room'!$C$15-1)*EXP(-0.5*(($A142-'Control Room'!$A$15-('Control Room'!$B$15-1)/2)/MAX(0.5,'Control Room'!$B$15/4))^2),1)*IF(AND($A142&gt;='Control Room'!$A$16,$A142&lt;'Control Room'!$A$16+'Control Room'!$B$16,'Process'!BU5=1),1+('Control Room'!$C$16-1)*EXP(-0.5*(($A142-'Control Room'!$A$16-('Control Room'!$B$16-1)/2)/MAX(0.5,'Control Room'!$B$16/4))^2),1)</x:f>
        <x:v>1</x:v>
      </x:c>
      <x:c r="BE142" s="9" t="n">
        <x:f>MOD(BF141*16807,2147483647)</x:f>
        <x:v>816485968</x:v>
      </x:c>
      <x:c r="BF142" s="9" t="n">
        <x:f>MOD(BE142*16807,2147483647)</x:f>
        <x:v>259159846</x:v>
      </x:c>
      <x:c r="BG142" s="17" t="n">
        <x:f>IF('Control Room'!$B$5="Normal",'Control Room'!$B$7+'Control Room'!$D$7*SQRT(-2*LN(MAX(0.000000000001,BE142/2147483647)))*COS(2*PI()*BF142/2147483647),'Control Room'!$B$8+('Control Room'!$D$8-'Control Room'!$B$8)*BE142/2147483647)</x:f>
        <x:v>1090.873508560609</x:v>
      </x:c>
      <x:c r="BH142" s="17" t="n">
        <x:f>IF('Control Room'!$B$5="Normal",'Control Room'!$B$7,('Control Room'!$B$8+'Control Room'!$D$8)/2)+'Control Room'!$B$9*(BH141-IF('Control Room'!$B$5="Normal",'Control Room'!$B$7,('Control Room'!$B$8+'Control Room'!$D$8)/2))+SQRT(1-'Control Room'!$B$9^2)*(BG142-IF('Control Room'!$B$5="Normal",'Control Room'!$B$7,('Control Room'!$B$8+'Control Room'!$D$8)/2))</x:f>
        <x:v>1010.6439673468914</x:v>
      </x:c>
      <x:c r="BI142" s="17" t="n">
        <x:f>IF(AND($A142&gt;='Control Room'!$A$13,$A142&lt;'Control Room'!$A$13+'Control Room'!$B$13,'Process'!BV2=1),1+('Control Room'!$C$13-1)*EXP(-0.5*(($A142-'Control Room'!$A$13-('Control Room'!$B$13-1)/2)/MAX(0.5,'Control Room'!$B$13/4))^2),1)*IF(AND($A142&gt;='Control Room'!$A$14,$A142&lt;'Control Room'!$A$14+'Control Room'!$B$14,'Process'!BV3=1),1+('Control Room'!$C$14-1)*EXP(-0.5*(($A142-'Control Room'!$A$14-('Control Room'!$B$14-1)/2)/MAX(0.5,'Control Room'!$B$14/4))^2),1)*IF(AND($A142&gt;='Control Room'!$A$15,$A142&lt;'Control Room'!$A$15+'Control Room'!$B$15,'Process'!BV4=1),1+('Control Room'!$C$15-1)*EXP(-0.5*(($A142-'Control Room'!$A$15-('Control Room'!$B$15-1)/2)/MAX(0.5,'Control Room'!$B$15/4))^2),1)*IF(AND($A142&gt;='Control Room'!$A$16,$A142&lt;'Control Room'!$A$16+'Control Room'!$B$16,'Process'!BV5=1),1+('Control Room'!$C$16-1)*EXP(-0.5*(($A142-'Control Room'!$A$16-('Control Room'!$B$16-1)/2)/MAX(0.5,'Control Room'!$B$16/4))^2),1)</x:f>
        <x:v>1</x:v>
      </x:c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Z142" t="str">
        <x:f>IF('Data'!A142="","",TEXT('Data'!A142,"mm-dd"))</x:f>
      </x:c>
    </x:row>
    <x:row r="143" ht="21" customHeight="1">
      <x:c r="A143" s="15" t="n">
        <x:f>'Control Room'!$B$1+141</x:f>
        <x:v>73132</x:v>
      </x:c>
      <x:c r="B143" s="9" t="n">
        <x:f>MOD(C142*16807,2147483647)</x:f>
        <x:v>1235387375</x:v>
      </x:c>
      <x:c r="C143" s="9" t="n">
        <x:f>MOD(B143*16807,2147483647)</x:f>
        <x:v>1283712429</x:v>
      </x:c>
      <x:c r="D143" s="17" t="n">
        <x:f>IF('Control Room'!$B$5="Normal",'Control Room'!$B$7+'Control Room'!$D$7*SQRT(-2*LN(MAX(0.000000000001,B143/2147483647)))*COS(2*PI()*C143/2147483647),'Control Room'!$B$8+('Control Room'!$D$8-'Control Room'!$B$8)*B143/2147483647)</x:f>
        <x:v>922.6625847492935</x:v>
      </x:c>
      <x:c r="E143" s="17" t="n">
        <x:f>IF('Control Room'!$B$5="Normal",'Control Room'!$B$7,('Control Room'!$B$8+'Control Room'!$D$8)/2)+'Control Room'!$B$9*(E142-IF('Control Room'!$B$5="Normal",'Control Room'!$B$7,('Control Room'!$B$8+'Control Room'!$D$8)/2))+SQRT(1-'Control Room'!$B$9^2)*(D143-IF('Control Room'!$B$5="Normal",'Control Room'!$B$7,('Control Room'!$B$8+'Control Room'!$D$8)/2))</x:f>
        <x:v>821.5853032771462</x:v>
      </x:c>
      <x:c r="F143" s="17" t="n">
        <x:f>IF(AND($A143&gt;='Control Room'!$A$13,$A143&lt;'Control Room'!$A$13+'Control Room'!$B$13,'Process'!BK2=1),1+('Control Room'!$C$13-1)*EXP(-0.5*(($A143-'Control Room'!$A$13-('Control Room'!$B$13-1)/2)/MAX(0.5,'Control Room'!$B$13/4))^2),1)*IF(AND($A143&gt;='Control Room'!$A$14,$A143&lt;'Control Room'!$A$14+'Control Room'!$B$14,'Process'!BK3=1),1+('Control Room'!$C$14-1)*EXP(-0.5*(($A143-'Control Room'!$A$14-('Control Room'!$B$14-1)/2)/MAX(0.5,'Control Room'!$B$14/4))^2),1)*IF(AND($A143&gt;='Control Room'!$A$15,$A143&lt;'Control Room'!$A$15+'Control Room'!$B$15,'Process'!BK4=1),1+('Control Room'!$C$15-1)*EXP(-0.5*(($A143-'Control Room'!$A$15-('Control Room'!$B$15-1)/2)/MAX(0.5,'Control Room'!$B$15/4))^2),1)*IF(AND($A143&gt;='Control Room'!$A$16,$A143&lt;'Control Room'!$A$16+'Control Room'!$B$16,'Process'!BK5=1),1+('Control Room'!$C$16-1)*EXP(-0.5*(($A143-'Control Room'!$A$16-('Control Room'!$B$16-1)/2)/MAX(0.5,'Control Room'!$B$16/4))^2),1)</x:f>
        <x:v>1</x:v>
      </x:c>
      <x:c r="G143" s="9" t="n">
        <x:f>MOD(H142*16807,2147483647)</x:f>
        <x:v>201741011</x:v>
      </x:c>
      <x:c r="H143" s="9" t="n">
        <x:f>MOD(G143*16807,2147483647)</x:f>
        <x:v>1931976911</x:v>
      </x:c>
      <x:c r="I143" s="17" t="n">
        <x:f>IF('Control Room'!$B$5="Normal",'Control Room'!$B$7+'Control Room'!$D$7*SQRT(-2*LN(MAX(0.000000000001,G143/2147483647)))*COS(2*PI()*H143/2147483647),'Control Room'!$B$8+('Control Room'!$D$8-'Control Room'!$B$8)*G143/2147483647)</x:f>
        <x:v>1158.1011902939752</x:v>
      </x:c>
      <x:c r="J143" s="17" t="n">
        <x:f>IF('Control Room'!$B$5="Normal",'Control Room'!$B$7,('Control Room'!$B$8+'Control Room'!$D$8)/2)+'Control Room'!$B$9*(J142-IF('Control Room'!$B$5="Normal",'Control Room'!$B$7,('Control Room'!$B$8+'Control Room'!$D$8)/2))+SQRT(1-'Control Room'!$B$9^2)*(I143-IF('Control Room'!$B$5="Normal",'Control Room'!$B$7,('Control Room'!$B$8+'Control Room'!$D$8)/2))</x:f>
        <x:v>1028.7126240568582</x:v>
      </x:c>
      <x:c r="K143" s="17" t="n">
        <x:f>IF(AND($A143&gt;='Control Room'!$A$13,$A143&lt;'Control Room'!$A$13+'Control Room'!$B$13,'Process'!BL2=1),1+('Control Room'!$C$13-1)*EXP(-0.5*(($A143-'Control Room'!$A$13-('Control Room'!$B$13-1)/2)/MAX(0.5,'Control Room'!$B$13/4))^2),1)*IF(AND($A143&gt;='Control Room'!$A$14,$A143&lt;'Control Room'!$A$14+'Control Room'!$B$14,'Process'!BL3=1),1+('Control Room'!$C$14-1)*EXP(-0.5*(($A143-'Control Room'!$A$14-('Control Room'!$B$14-1)/2)/MAX(0.5,'Control Room'!$B$14/4))^2),1)*IF(AND($A143&gt;='Control Room'!$A$15,$A143&lt;'Control Room'!$A$15+'Control Room'!$B$15,'Process'!BL4=1),1+('Control Room'!$C$15-1)*EXP(-0.5*(($A143-'Control Room'!$A$15-('Control Room'!$B$15-1)/2)/MAX(0.5,'Control Room'!$B$15/4))^2),1)*IF(AND($A143&gt;='Control Room'!$A$16,$A143&lt;'Control Room'!$A$16+'Control Room'!$B$16,'Process'!BL5=1),1+('Control Room'!$C$16-1)*EXP(-0.5*(($A143-'Control Room'!$A$16-('Control Room'!$B$16-1)/2)/MAX(0.5,'Control Room'!$B$16/4))^2),1)</x:f>
        <x:v>1</x:v>
      </x:c>
      <x:c r="L143" s="9" t="n">
        <x:f>MOD(M142*16807,2147483647)</x:f>
        <x:v>1315578294</x:v>
      </x:c>
      <x:c r="M143" s="9" t="n">
        <x:f>MOD(L143*16807,2147483647)</x:f>
        <x:v>432757746</x:v>
      </x:c>
      <x:c r="N143" s="17" t="n">
        <x:f>IF('Control Room'!$B$5="Normal",'Control Room'!$B$7+'Control Room'!$D$7*SQRT(-2*LN(MAX(0.000000000001,L143/2147483647)))*COS(2*PI()*M143/2147483647),'Control Room'!$B$8+('Control Room'!$D$8-'Control Room'!$B$8)*L143/2147483647)</x:f>
        <x:v>1026.7228537175401</x:v>
      </x:c>
      <x:c r="O143" s="17" t="n">
        <x:f>IF('Control Room'!$B$5="Normal",'Control Room'!$B$7,('Control Room'!$B$8+'Control Room'!$D$8)/2)+'Control Room'!$B$9*(O142-IF('Control Room'!$B$5="Normal",'Control Room'!$B$7,('Control Room'!$B$8+'Control Room'!$D$8)/2))+SQRT(1-'Control Room'!$B$9^2)*(N143-IF('Control Room'!$B$5="Normal",'Control Room'!$B$7,('Control Room'!$B$8+'Control Room'!$D$8)/2))</x:f>
        <x:v>1062.0469353210415</x:v>
      </x:c>
      <x:c r="P143" s="17" t="n">
        <x:f>IF(AND($A143&gt;='Control Room'!$A$13,$A143&lt;'Control Room'!$A$13+'Control Room'!$B$13,'Process'!BM2=1),1+('Control Room'!$C$13-1)*EXP(-0.5*(($A143-'Control Room'!$A$13-('Control Room'!$B$13-1)/2)/MAX(0.5,'Control Room'!$B$13/4))^2),1)*IF(AND($A143&gt;='Control Room'!$A$14,$A143&lt;'Control Room'!$A$14+'Control Room'!$B$14,'Process'!BM3=1),1+('Control Room'!$C$14-1)*EXP(-0.5*(($A143-'Control Room'!$A$14-('Control Room'!$B$14-1)/2)/MAX(0.5,'Control Room'!$B$14/4))^2),1)*IF(AND($A143&gt;='Control Room'!$A$15,$A143&lt;'Control Room'!$A$15+'Control Room'!$B$15,'Process'!BM4=1),1+('Control Room'!$C$15-1)*EXP(-0.5*(($A143-'Control Room'!$A$15-('Control Room'!$B$15-1)/2)/MAX(0.5,'Control Room'!$B$15/4))^2),1)*IF(AND($A143&gt;='Control Room'!$A$16,$A143&lt;'Control Room'!$A$16+'Control Room'!$B$16,'Process'!BM5=1),1+('Control Room'!$C$16-1)*EXP(-0.5*(($A143-'Control Room'!$A$16-('Control Room'!$B$16-1)/2)/MAX(0.5,'Control Room'!$B$16/4))^2),1)</x:f>
        <x:v>1</x:v>
      </x:c>
      <x:c r="Q143" s="9" t="n">
        <x:f>MOD(R142*16807,2147483647)</x:f>
        <x:v>281931930</x:v>
      </x:c>
      <x:c r="R143" s="9" t="n">
        <x:f>MOD(Q143*16807,2147483647)</x:f>
        <x:v>1081022228</x:v>
      </x:c>
      <x:c r="S143" s="17" t="n">
        <x:f>IF('Control Room'!$B$5="Normal",'Control Room'!$B$7+'Control Room'!$D$7*SQRT(-2*LN(MAX(0.000000000001,Q143/2147483647)))*COS(2*PI()*R143/2147483647),'Control Room'!$B$8+('Control Room'!$D$8-'Control Room'!$B$8)*Q143/2147483647)</x:f>
        <x:v>818.6789120230777</x:v>
      </x:c>
      <x:c r="T143" s="17" t="n">
        <x:f>IF('Control Room'!$B$5="Normal",'Control Room'!$B$7,('Control Room'!$B$8+'Control Room'!$D$8)/2)+'Control Room'!$B$9*(T142-IF('Control Room'!$B$5="Normal",'Control Room'!$B$7,('Control Room'!$B$8+'Control Room'!$D$8)/2))+SQRT(1-'Control Room'!$B$9^2)*(S143-IF('Control Room'!$B$5="Normal",'Control Room'!$B$7,('Control Room'!$B$8+'Control Room'!$D$8)/2))</x:f>
        <x:v>885.9914586694146</x:v>
      </x:c>
      <x:c r="U143" s="17" t="n">
        <x:f>IF(AND($A143&gt;='Control Room'!$A$13,$A143&lt;'Control Room'!$A$13+'Control Room'!$B$13,'Process'!BN2=1),1+('Control Room'!$C$13-1)*EXP(-0.5*(($A143-'Control Room'!$A$13-('Control Room'!$B$13-1)/2)/MAX(0.5,'Control Room'!$B$13/4))^2),1)*IF(AND($A143&gt;='Control Room'!$A$14,$A143&lt;'Control Room'!$A$14+'Control Room'!$B$14,'Process'!BN3=1),1+('Control Room'!$C$14-1)*EXP(-0.5*(($A143-'Control Room'!$A$14-('Control Room'!$B$14-1)/2)/MAX(0.5,'Control Room'!$B$14/4))^2),1)*IF(AND($A143&gt;='Control Room'!$A$15,$A143&lt;'Control Room'!$A$15+'Control Room'!$B$15,'Process'!BN4=1),1+('Control Room'!$C$15-1)*EXP(-0.5*(($A143-'Control Room'!$A$15-('Control Room'!$B$15-1)/2)/MAX(0.5,'Control Room'!$B$15/4))^2),1)*IF(AND($A143&gt;='Control Room'!$A$16,$A143&lt;'Control Room'!$A$16+'Control Room'!$B$16,'Process'!BN5=1),1+('Control Room'!$C$16-1)*EXP(-0.5*(($A143-'Control Room'!$A$16-('Control Room'!$B$16-1)/2)/MAX(0.5,'Control Room'!$B$16/4))^2),1)</x:f>
        <x:v>1</x:v>
      </x:c>
      <x:c r="V143" s="9" t="n">
        <x:f>MOD(W142*16807,2147483647)</x:f>
        <x:v>1395769213</x:v>
      </x:c>
      <x:c r="W143" s="9" t="n">
        <x:f>MOD(V143*16807,2147483647)</x:f>
        <x:v>1729286710</x:v>
      </x:c>
      <x:c r="X143" s="17" t="n">
        <x:f>IF('Control Room'!$B$5="Normal",'Control Room'!$B$7+'Control Room'!$D$7*SQRT(-2*LN(MAX(0.000000000001,V143/2147483647)))*COS(2*PI()*W143/2147483647),'Control Room'!$B$8+('Control Room'!$D$8-'Control Room'!$B$8)*V143/2147483647)</x:f>
        <x:v>1028.4292024559286</x:v>
      </x:c>
      <x:c r="Y143" s="17" t="n">
        <x:f>IF('Control Room'!$B$5="Normal",'Control Room'!$B$7,('Control Room'!$B$8+'Control Room'!$D$8)/2)+'Control Room'!$B$9*(Y142-IF('Control Room'!$B$5="Normal",'Control Room'!$B$7,('Control Room'!$B$8+'Control Room'!$D$8)/2))+SQRT(1-'Control Room'!$B$9^2)*(X143-IF('Control Room'!$B$5="Normal",'Control Room'!$B$7,('Control Room'!$B$8+'Control Room'!$D$8)/2))</x:f>
        <x:v>1043.3544790601497</x:v>
      </x:c>
      <x:c r="Z143" s="17" t="n">
        <x:f>IF(AND($A143&gt;='Control Room'!$A$13,$A143&lt;'Control Room'!$A$13+'Control Room'!$B$13,'Process'!BO2=1),1+('Control Room'!$C$13-1)*EXP(-0.5*(($A143-'Control Room'!$A$13-('Control Room'!$B$13-1)/2)/MAX(0.5,'Control Room'!$B$13/4))^2),1)*IF(AND($A143&gt;='Control Room'!$A$14,$A143&lt;'Control Room'!$A$14+'Control Room'!$B$14,'Process'!BO3=1),1+('Control Room'!$C$14-1)*EXP(-0.5*(($A143-'Control Room'!$A$14-('Control Room'!$B$14-1)/2)/MAX(0.5,'Control Room'!$B$14/4))^2),1)*IF(AND($A143&gt;='Control Room'!$A$15,$A143&lt;'Control Room'!$A$15+'Control Room'!$B$15,'Process'!BO4=1),1+('Control Room'!$C$15-1)*EXP(-0.5*(($A143-'Control Room'!$A$15-('Control Room'!$B$15-1)/2)/MAX(0.5,'Control Room'!$B$15/4))^2),1)*IF(AND($A143&gt;='Control Room'!$A$16,$A143&lt;'Control Room'!$A$16+'Control Room'!$B$16,'Process'!BO5=1),1+('Control Room'!$C$16-1)*EXP(-0.5*(($A143-'Control Room'!$A$16-('Control Room'!$B$16-1)/2)/MAX(0.5,'Control Room'!$B$16/4))^2),1)</x:f>
        <x:v>1</x:v>
      </x:c>
      <x:c r="AA143" s="9" t="n">
        <x:f>MOD(AB142*16807,2147483647)</x:f>
        <x:v>362122849</x:v>
      </x:c>
      <x:c r="AB143" s="9" t="n">
        <x:f>MOD(AA143*16807,2147483647)</x:f>
        <x:v>230067545</x:v>
      </x:c>
      <x:c r="AC143" s="17" t="n">
        <x:f>IF('Control Room'!$B$5="Normal",'Control Room'!$B$7+'Control Room'!$D$7*SQRT(-2*LN(MAX(0.000000000001,AA143/2147483647)))*COS(2*PI()*AB143/2147483647),'Control Room'!$B$8+('Control Room'!$D$8-'Control Room'!$B$8)*AA143/2147483647)</x:f>
        <x:v>1132.7728494586086</x:v>
      </x:c>
      <x:c r="AD143" s="17" t="n">
        <x:f>IF('Control Room'!$B$5="Normal",'Control Room'!$B$7,('Control Room'!$B$8+'Control Room'!$D$8)/2)+'Control Room'!$B$9*(AD142-IF('Control Room'!$B$5="Normal",'Control Room'!$B$7,('Control Room'!$B$8+'Control Room'!$D$8)/2))+SQRT(1-'Control Room'!$B$9^2)*(AC143-IF('Control Room'!$B$5="Normal",'Control Room'!$B$7,('Control Room'!$B$8+'Control Room'!$D$8)/2))</x:f>
        <x:v>1073.4346296082997</x:v>
      </x:c>
      <x:c r="AE143" s="17" t="n">
        <x:f>IF(AND($A143&gt;='Control Room'!$A$13,$A143&lt;'Control Room'!$A$13+'Control Room'!$B$13,'Process'!BP2=1),1+('Control Room'!$C$13-1)*EXP(-0.5*(($A143-'Control Room'!$A$13-('Control Room'!$B$13-1)/2)/MAX(0.5,'Control Room'!$B$13/4))^2),1)*IF(AND($A143&gt;='Control Room'!$A$14,$A143&lt;'Control Room'!$A$14+'Control Room'!$B$14,'Process'!BP3=1),1+('Control Room'!$C$14-1)*EXP(-0.5*(($A143-'Control Room'!$A$14-('Control Room'!$B$14-1)/2)/MAX(0.5,'Control Room'!$B$14/4))^2),1)*IF(AND($A143&gt;='Control Room'!$A$15,$A143&lt;'Control Room'!$A$15+'Control Room'!$B$15,'Process'!BP4=1),1+('Control Room'!$C$15-1)*EXP(-0.5*(($A143-'Control Room'!$A$15-('Control Room'!$B$15-1)/2)/MAX(0.5,'Control Room'!$B$15/4))^2),1)*IF(AND($A143&gt;='Control Room'!$A$16,$A143&lt;'Control Room'!$A$16+'Control Room'!$B$16,'Process'!BP5=1),1+('Control Room'!$C$16-1)*EXP(-0.5*(($A143-'Control Room'!$A$16-('Control Room'!$B$16-1)/2)/MAX(0.5,'Control Room'!$B$16/4))^2),1)</x:f>
        <x:v>1</x:v>
      </x:c>
      <x:c r="AF143" s="9" t="n">
        <x:f>MOD(AG142*16807,2147483647)</x:f>
        <x:v>1475960132</x:v>
      </x:c>
      <x:c r="AG143" s="9" t="n">
        <x:f>MOD(AF143*16807,2147483647)</x:f>
        <x:v>878332027</x:v>
      </x:c>
      <x:c r="AH143" s="17" t="n">
        <x:f>IF('Control Room'!$B$5="Normal",'Control Room'!$B$7+'Control Room'!$D$7*SQRT(-2*LN(MAX(0.000000000001,AF143/2147483647)))*COS(2*PI()*AG143/2147483647),'Control Room'!$B$8+('Control Room'!$D$8-'Control Room'!$B$8)*AF143/2147483647)</x:f>
        <x:v>934.4545174418467</x:v>
      </x:c>
      <x:c r="AI143" s="17" t="n">
        <x:f>IF('Control Room'!$B$5="Normal",'Control Room'!$B$7,('Control Room'!$B$8+'Control Room'!$D$8)/2)+'Control Room'!$B$9*(AI142-IF('Control Room'!$B$5="Normal",'Control Room'!$B$7,('Control Room'!$B$8+'Control Room'!$D$8)/2))+SQRT(1-'Control Room'!$B$9^2)*(AH143-IF('Control Room'!$B$5="Normal",'Control Room'!$B$7,('Control Room'!$B$8+'Control Room'!$D$8)/2))</x:f>
        <x:v>968.1564226447687</x:v>
      </x:c>
      <x:c r="AJ143" s="17" t="n">
        <x:f>IF(AND($A143&gt;='Control Room'!$A$13,$A143&lt;'Control Room'!$A$13+'Control Room'!$B$13,'Process'!BQ2=1),1+('Control Room'!$C$13-1)*EXP(-0.5*(($A143-'Control Room'!$A$13-('Control Room'!$B$13-1)/2)/MAX(0.5,'Control Room'!$B$13/4))^2),1)*IF(AND($A143&gt;='Control Room'!$A$14,$A143&lt;'Control Room'!$A$14+'Control Room'!$B$14,'Process'!BQ3=1),1+('Control Room'!$C$14-1)*EXP(-0.5*(($A143-'Control Room'!$A$14-('Control Room'!$B$14-1)/2)/MAX(0.5,'Control Room'!$B$14/4))^2),1)*IF(AND($A143&gt;='Control Room'!$A$15,$A143&lt;'Control Room'!$A$15+'Control Room'!$B$15,'Process'!BQ4=1),1+('Control Room'!$C$15-1)*EXP(-0.5*(($A143-'Control Room'!$A$15-('Control Room'!$B$15-1)/2)/MAX(0.5,'Control Room'!$B$15/4))^2),1)*IF(AND($A143&gt;='Control Room'!$A$16,$A143&lt;'Control Room'!$A$16+'Control Room'!$B$16,'Process'!BQ5=1),1+('Control Room'!$C$16-1)*EXP(-0.5*(($A143-'Control Room'!$A$16-('Control Room'!$B$16-1)/2)/MAX(0.5,'Control Room'!$B$16/4))^2),1)</x:f>
        <x:v>1</x:v>
      </x:c>
      <x:c r="AK143" s="9" t="n">
        <x:f>MOD(AL142*16807,2147483647)</x:f>
        <x:v>442313768</x:v>
      </x:c>
      <x:c r="AL143" s="9" t="n">
        <x:f>MOD(AK143*16807,2147483647)</x:f>
        <x:v>1526596509</x:v>
      </x:c>
      <x:c r="AM143" s="17" t="n">
        <x:f>IF('Control Room'!$B$5="Normal",'Control Room'!$B$7+'Control Room'!$D$7*SQRT(-2*LN(MAX(0.000000000001,AK143/2147483647)))*COS(2*PI()*AL143/2147483647),'Control Room'!$B$8+('Control Room'!$D$8-'Control Room'!$B$8)*AK143/2147483647)</x:f>
        <x:v>961.0667152807968</x:v>
      </x:c>
      <x:c r="AN143" s="17" t="n">
        <x:f>IF('Control Room'!$B$5="Normal",'Control Room'!$B$7,('Control Room'!$B$8+'Control Room'!$D$8)/2)+'Control Room'!$B$9*(AN142-IF('Control Room'!$B$5="Normal",'Control Room'!$B$7,('Control Room'!$B$8+'Control Room'!$D$8)/2))+SQRT(1-'Control Room'!$B$9^2)*(AM143-IF('Control Room'!$B$5="Normal",'Control Room'!$B$7,('Control Room'!$B$8+'Control Room'!$D$8)/2))</x:f>
        <x:v>982.4222830983662</x:v>
      </x:c>
      <x:c r="AO143" s="17" t="n">
        <x:f>IF(AND($A143&gt;='Control Room'!$A$13,$A143&lt;'Control Room'!$A$13+'Control Room'!$B$13,'Process'!BR2=1),1+('Control Room'!$C$13-1)*EXP(-0.5*(($A143-'Control Room'!$A$13-('Control Room'!$B$13-1)/2)/MAX(0.5,'Control Room'!$B$13/4))^2),1)*IF(AND($A143&gt;='Control Room'!$A$14,$A143&lt;'Control Room'!$A$14+'Control Room'!$B$14,'Process'!BR3=1),1+('Control Room'!$C$14-1)*EXP(-0.5*(($A143-'Control Room'!$A$14-('Control Room'!$B$14-1)/2)/MAX(0.5,'Control Room'!$B$14/4))^2),1)*IF(AND($A143&gt;='Control Room'!$A$15,$A143&lt;'Control Room'!$A$15+'Control Room'!$B$15,'Process'!BR4=1),1+('Control Room'!$C$15-1)*EXP(-0.5*(($A143-'Control Room'!$A$15-('Control Room'!$B$15-1)/2)/MAX(0.5,'Control Room'!$B$15/4))^2),1)*IF(AND($A143&gt;='Control Room'!$A$16,$A143&lt;'Control Room'!$A$16+'Control Room'!$B$16,'Process'!BR5=1),1+('Control Room'!$C$16-1)*EXP(-0.5*(($A143-'Control Room'!$A$16-('Control Room'!$B$16-1)/2)/MAX(0.5,'Control Room'!$B$16/4))^2),1)</x:f>
        <x:v>1</x:v>
      </x:c>
      <x:c r="AP143" s="9" t="n">
        <x:f>MOD(AQ142*16807,2147483647)</x:f>
        <x:v>1556151051</x:v>
      </x:c>
      <x:c r="AQ143" s="9" t="n">
        <x:f>MOD(AP143*16807,2147483647)</x:f>
        <x:v>27377344</x:v>
      </x:c>
      <x:c r="AR143" s="17" t="n">
        <x:f>IF('Control Room'!$B$5="Normal",'Control Room'!$B$7+'Control Room'!$D$7*SQRT(-2*LN(MAX(0.000000000001,AP143/2147483647)))*COS(2*PI()*AQ143/2147483647),'Control Room'!$B$8+('Control Room'!$D$8-'Control Room'!$B$8)*AP143/2147483647)</x:f>
        <x:v>1072.0021507617598</x:v>
      </x:c>
      <x:c r="AS143" s="17" t="n">
        <x:f>IF('Control Room'!$B$5="Normal",'Control Room'!$B$7,('Control Room'!$B$8+'Control Room'!$D$8)/2)+'Control Room'!$B$9*(AS142-IF('Control Room'!$B$5="Normal",'Control Room'!$B$7,('Control Room'!$B$8+'Control Room'!$D$8)/2))+SQRT(1-'Control Room'!$B$9^2)*(AR143-IF('Control Room'!$B$5="Normal",'Control Room'!$B$7,('Control Room'!$B$8+'Control Room'!$D$8)/2))</x:f>
        <x:v>1019.2663225307153</x:v>
      </x:c>
      <x:c r="AT143" s="17" t="n">
        <x:f>IF(AND($A143&gt;='Control Room'!$A$13,$A143&lt;'Control Room'!$A$13+'Control Room'!$B$13,'Process'!BS2=1),1+('Control Room'!$C$13-1)*EXP(-0.5*(($A143-'Control Room'!$A$13-('Control Room'!$B$13-1)/2)/MAX(0.5,'Control Room'!$B$13/4))^2),1)*IF(AND($A143&gt;='Control Room'!$A$14,$A143&lt;'Control Room'!$A$14+'Control Room'!$B$14,'Process'!BS3=1),1+('Control Room'!$C$14-1)*EXP(-0.5*(($A143-'Control Room'!$A$14-('Control Room'!$B$14-1)/2)/MAX(0.5,'Control Room'!$B$14/4))^2),1)*IF(AND($A143&gt;='Control Room'!$A$15,$A143&lt;'Control Room'!$A$15+'Control Room'!$B$15,'Process'!BS4=1),1+('Control Room'!$C$15-1)*EXP(-0.5*(($A143-'Control Room'!$A$15-('Control Room'!$B$15-1)/2)/MAX(0.5,'Control Room'!$B$15/4))^2),1)*IF(AND($A143&gt;='Control Room'!$A$16,$A143&lt;'Control Room'!$A$16+'Control Room'!$B$16,'Process'!BS5=1),1+('Control Room'!$C$16-1)*EXP(-0.5*(($A143-'Control Room'!$A$16-('Control Room'!$B$16-1)/2)/MAX(0.5,'Control Room'!$B$16/4))^2),1)</x:f>
        <x:v>1</x:v>
      </x:c>
      <x:c r="AU143" s="9" t="n">
        <x:f>MOD(AV142*16807,2147483647)</x:f>
        <x:v>522504687</x:v>
      </x:c>
      <x:c r="AV143" s="9" t="n">
        <x:f>MOD(AU143*16807,2147483647)</x:f>
        <x:v>675641826</x:v>
      </x:c>
      <x:c r="AW143" s="17" t="n">
        <x:f>IF('Control Room'!$B$5="Normal",'Control Room'!$B$7+'Control Room'!$D$7*SQRT(-2*LN(MAX(0.000000000001,AU143/2147483647)))*COS(2*PI()*AV143/2147483647),'Control Room'!$B$8+('Control Room'!$D$8-'Control Room'!$B$8)*AU143/2147483647)</x:f>
        <x:v>940.2356008947856</x:v>
      </x:c>
      <x:c r="AX143" s="17" t="n">
        <x:f>IF('Control Room'!$B$5="Normal",'Control Room'!$B$7,('Control Room'!$B$8+'Control Room'!$D$8)/2)+'Control Room'!$B$9*(AX142-IF('Control Room'!$B$5="Normal",'Control Room'!$B$7,('Control Room'!$B$8+'Control Room'!$D$8)/2))+SQRT(1-'Control Room'!$B$9^2)*(AW143-IF('Control Room'!$B$5="Normal",'Control Room'!$B$7,('Control Room'!$B$8+'Control Room'!$D$8)/2))</x:f>
        <x:v>1058.423209273176</x:v>
      </x:c>
      <x:c r="AY143" s="17" t="n">
        <x:f>IF(AND($A143&gt;='Control Room'!$A$13,$A143&lt;'Control Room'!$A$13+'Control Room'!$B$13,'Process'!BT2=1),1+('Control Room'!$C$13-1)*EXP(-0.5*(($A143-'Control Room'!$A$13-('Control Room'!$B$13-1)/2)/MAX(0.5,'Control Room'!$B$13/4))^2),1)*IF(AND($A143&gt;='Control Room'!$A$14,$A143&lt;'Control Room'!$A$14+'Control Room'!$B$14,'Process'!BT3=1),1+('Control Room'!$C$14-1)*EXP(-0.5*(($A143-'Control Room'!$A$14-('Control Room'!$B$14-1)/2)/MAX(0.5,'Control Room'!$B$14/4))^2),1)*IF(AND($A143&gt;='Control Room'!$A$15,$A143&lt;'Control Room'!$A$15+'Control Room'!$B$15,'Process'!BT4=1),1+('Control Room'!$C$15-1)*EXP(-0.5*(($A143-'Control Room'!$A$15-('Control Room'!$B$15-1)/2)/MAX(0.5,'Control Room'!$B$15/4))^2),1)*IF(AND($A143&gt;='Control Room'!$A$16,$A143&lt;'Control Room'!$A$16+'Control Room'!$B$16,'Process'!BT5=1),1+('Control Room'!$C$16-1)*EXP(-0.5*(($A143-'Control Room'!$A$16-('Control Room'!$B$16-1)/2)/MAX(0.5,'Control Room'!$B$16/4))^2),1)</x:f>
        <x:v>1</x:v>
      </x:c>
      <x:c r="AZ143" s="9" t="n">
        <x:f>MOD(BA142*16807,2147483647)</x:f>
        <x:v>1636341970</x:v>
      </x:c>
      <x:c r="BA143" s="9" t="n">
        <x:f>MOD(AZ143*16807,2147483647)</x:f>
        <x:v>1323906308</x:v>
      </x:c>
      <x:c r="BB143" s="17" t="n">
        <x:f>IF('Control Room'!$B$5="Normal",'Control Room'!$B$7+'Control Room'!$D$7*SQRT(-2*LN(MAX(0.000000000001,AZ143/2147483647)))*COS(2*PI()*BA143/2147483647),'Control Room'!$B$8+('Control Room'!$D$8-'Control Room'!$B$8)*AZ143/2147483647)</x:f>
        <x:v>950.635885434812</x:v>
      </x:c>
      <x:c r="BC143" s="17" t="n">
        <x:f>IF('Control Room'!$B$5="Normal",'Control Room'!$B$7,('Control Room'!$B$8+'Control Room'!$D$8)/2)+'Control Room'!$B$9*(BC142-IF('Control Room'!$B$5="Normal",'Control Room'!$B$7,('Control Room'!$B$8+'Control Room'!$D$8)/2))+SQRT(1-'Control Room'!$B$9^2)*(BB143-IF('Control Room'!$B$5="Normal",'Control Room'!$B$7,('Control Room'!$B$8+'Control Room'!$D$8)/2))</x:f>
        <x:v>1039.712628969928</x:v>
      </x:c>
      <x:c r="BD143" s="17" t="n">
        <x:f>IF(AND($A143&gt;='Control Room'!$A$13,$A143&lt;'Control Room'!$A$13+'Control Room'!$B$13,'Process'!BU2=1),1+('Control Room'!$C$13-1)*EXP(-0.5*(($A143-'Control Room'!$A$13-('Control Room'!$B$13-1)/2)/MAX(0.5,'Control Room'!$B$13/4))^2),1)*IF(AND($A143&gt;='Control Room'!$A$14,$A143&lt;'Control Room'!$A$14+'Control Room'!$B$14,'Process'!BU3=1),1+('Control Room'!$C$14-1)*EXP(-0.5*(($A143-'Control Room'!$A$14-('Control Room'!$B$14-1)/2)/MAX(0.5,'Control Room'!$B$14/4))^2),1)*IF(AND($A143&gt;='Control Room'!$A$15,$A143&lt;'Control Room'!$A$15+'Control Room'!$B$15,'Process'!BU4=1),1+('Control Room'!$C$15-1)*EXP(-0.5*(($A143-'Control Room'!$A$15-('Control Room'!$B$15-1)/2)/MAX(0.5,'Control Room'!$B$15/4))^2),1)*IF(AND($A143&gt;='Control Room'!$A$16,$A143&lt;'Control Room'!$A$16+'Control Room'!$B$16,'Process'!BU5=1),1+('Control Room'!$C$16-1)*EXP(-0.5*(($A143-'Control Room'!$A$16-('Control Room'!$B$16-1)/2)/MAX(0.5,'Control Room'!$B$16/4))^2),1)</x:f>
        <x:v>1</x:v>
      </x:c>
      <x:c r="BE143" s="9" t="n">
        <x:f>MOD(BF142*16807,2147483647)</x:f>
        <x:v>602695606</x:v>
      </x:c>
      <x:c r="BF143" s="9" t="n">
        <x:f>MOD(BE143*16807,2147483647)</x:f>
        <x:v>1972170790</x:v>
      </x:c>
      <x:c r="BG143" s="17" t="n">
        <x:f>IF('Control Room'!$B$5="Normal",'Control Room'!$B$7+'Control Room'!$D$7*SQRT(-2*LN(MAX(0.000000000001,BE143/2147483647)))*COS(2*PI()*BF143/2147483647),'Control Room'!$B$8+('Control Room'!$D$8-'Control Room'!$B$8)*BE143/2147483647)</x:f>
        <x:v>1125.0086287157942</x:v>
      </x:c>
      <x:c r="BH143" s="17" t="n">
        <x:f>IF('Control Room'!$B$5="Normal",'Control Room'!$B$7,('Control Room'!$B$8+'Control Room'!$D$8)/2)+'Control Room'!$B$9*(BH142-IF('Control Room'!$B$5="Normal",'Control Room'!$B$7,('Control Room'!$B$8+'Control Room'!$D$8)/2))+SQRT(1-'Control Room'!$B$9^2)*(BG143-IF('Control Room'!$B$5="Normal",'Control Room'!$B$7,('Control Room'!$B$8+'Control Room'!$D$8)/2))</x:f>
        <x:v>1086.5301334399605</x:v>
      </x:c>
      <x:c r="BI143" s="17" t="n">
        <x:f>IF(AND($A143&gt;='Control Room'!$A$13,$A143&lt;'Control Room'!$A$13+'Control Room'!$B$13,'Process'!BV2=1),1+('Control Room'!$C$13-1)*EXP(-0.5*(($A143-'Control Room'!$A$13-('Control Room'!$B$13-1)/2)/MAX(0.5,'Control Room'!$B$13/4))^2),1)*IF(AND($A143&gt;='Control Room'!$A$14,$A143&lt;'Control Room'!$A$14+'Control Room'!$B$14,'Process'!BV3=1),1+('Control Room'!$C$14-1)*EXP(-0.5*(($A143-'Control Room'!$A$14-('Control Room'!$B$14-1)/2)/MAX(0.5,'Control Room'!$B$14/4))^2),1)*IF(AND($A143&gt;='Control Room'!$A$15,$A143&lt;'Control Room'!$A$15+'Control Room'!$B$15,'Process'!BV4=1),1+('Control Room'!$C$15-1)*EXP(-0.5*(($A143-'Control Room'!$A$15-('Control Room'!$B$15-1)/2)/MAX(0.5,'Control Room'!$B$15/4))^2),1)*IF(AND($A143&gt;='Control Room'!$A$16,$A143&lt;'Control Room'!$A$16+'Control Room'!$B$16,'Process'!BV5=1),1+('Control Room'!$C$16-1)*EXP(-0.5*(($A143-'Control Room'!$A$16-('Control Room'!$B$16-1)/2)/MAX(0.5,'Control Room'!$B$16/4))^2),1)</x:f>
        <x:v>1</x:v>
      </x:c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Z143" t="str">
        <x:f>IF('Data'!A143="","",TEXT('Data'!A143,"mm-dd"))</x:f>
      </x:c>
    </x:row>
    <x:row r="144" ht="21" customHeight="1">
      <x:c r="A144" s="15" t="n">
        <x:f>'Control Room'!$B$1+142</x:f>
        <x:v>73133</x:v>
      </x:c>
      <x:c r="B144" s="9" t="n">
        <x:f>MOD(C143*16807,2147483647)</x:f>
        <x:v>1734076441</x:v>
      </x:c>
      <x:c r="C144" s="9" t="n">
        <x:f>MOD(B144*16807,2147483647)</x:f>
        <x:v>1122170450</x:v>
      </x:c>
      <x:c r="D144" s="17" t="n">
        <x:f>IF('Control Room'!$B$5="Normal",'Control Room'!$B$7+'Control Room'!$D$7*SQRT(-2*LN(MAX(0.000000000001,B144/2147483647)))*COS(2*PI()*C144/2147483647),'Control Room'!$B$8+('Control Room'!$D$8-'Control Room'!$B$8)*B144/2147483647)</x:f>
        <x:v>941.7348177283702</x:v>
      </x:c>
      <x:c r="E144" s="17" t="n">
        <x:f>IF('Control Room'!$B$5="Normal",'Control Room'!$B$7,('Control Room'!$B$8+'Control Room'!$D$8)/2)+'Control Room'!$B$9*(E143-IF('Control Room'!$B$5="Normal",'Control Room'!$B$7,('Control Room'!$B$8+'Control Room'!$D$8)/2))+SQRT(1-'Control Room'!$B$9^2)*(D144-IF('Control Room'!$B$5="Normal",'Control Room'!$B$7,('Control Room'!$B$8+'Control Room'!$D$8)/2))</x:f>
        <x:v>824.3753791177263</x:v>
      </x:c>
      <x:c r="F144" s="17" t="n">
        <x:f>IF(AND($A144&gt;='Control Room'!$A$13,$A144&lt;'Control Room'!$A$13+'Control Room'!$B$13,'Process'!BK2=1),1+('Control Room'!$C$13-1)*EXP(-0.5*(($A144-'Control Room'!$A$13-('Control Room'!$B$13-1)/2)/MAX(0.5,'Control Room'!$B$13/4))^2),1)*IF(AND($A144&gt;='Control Room'!$A$14,$A144&lt;'Control Room'!$A$14+'Control Room'!$B$14,'Process'!BK3=1),1+('Control Room'!$C$14-1)*EXP(-0.5*(($A144-'Control Room'!$A$14-('Control Room'!$B$14-1)/2)/MAX(0.5,'Control Room'!$B$14/4))^2),1)*IF(AND($A144&gt;='Control Room'!$A$15,$A144&lt;'Control Room'!$A$15+'Control Room'!$B$15,'Process'!BK4=1),1+('Control Room'!$C$15-1)*EXP(-0.5*(($A144-'Control Room'!$A$15-('Control Room'!$B$15-1)/2)/MAX(0.5,'Control Room'!$B$15/4))^2),1)*IF(AND($A144&gt;='Control Room'!$A$16,$A144&lt;'Control Room'!$A$16+'Control Room'!$B$16,'Process'!BK5=1),1+('Control Room'!$C$16-1)*EXP(-0.5*(($A144-'Control Room'!$A$16-('Control Room'!$B$16-1)/2)/MAX(0.5,'Control Room'!$B$16/4))^2),1)</x:f>
        <x:v>1</x:v>
      </x:c>
      <x:c r="G144" s="9" t="n">
        <x:f>MOD(H143*16807,2147483647)</x:f>
        <x:v>783200537</x:v>
      </x:c>
      <x:c r="H144" s="9" t="n">
        <x:f>MOD(G144*16807,2147483647)</x:f>
        <x:v>1324152896</x:v>
      </x:c>
      <x:c r="I144" s="17" t="n">
        <x:f>IF('Control Room'!$B$5="Normal",'Control Room'!$B$7+'Control Room'!$D$7*SQRT(-2*LN(MAX(0.000000000001,G144/2147483647)))*COS(2*PI()*H144/2147483647),'Control Room'!$B$8+('Control Room'!$D$8-'Control Room'!$B$8)*G144/2147483647)</x:f>
        <x:v>904.9720755209958</x:v>
      </x:c>
      <x:c r="J144" s="17" t="n">
        <x:f>IF('Control Room'!$B$5="Normal",'Control Room'!$B$7,('Control Room'!$B$8+'Control Room'!$D$8)/2)+'Control Room'!$B$9*(J143-IF('Control Room'!$B$5="Normal",'Control Room'!$B$7,('Control Room'!$B$8+'Control Room'!$D$8)/2))+SQRT(1-'Control Room'!$B$9^2)*(I144-IF('Control Room'!$B$5="Normal",'Control Room'!$B$7,('Control Room'!$B$8+'Control Room'!$D$8)/2))</x:f>
        <x:v>962.9293183782369</x:v>
      </x:c>
      <x:c r="K144" s="17" t="n">
        <x:f>IF(AND($A144&gt;='Control Room'!$A$13,$A144&lt;'Control Room'!$A$13+'Control Room'!$B$13,'Process'!BL2=1),1+('Control Room'!$C$13-1)*EXP(-0.5*(($A144-'Control Room'!$A$13-('Control Room'!$B$13-1)/2)/MAX(0.5,'Control Room'!$B$13/4))^2),1)*IF(AND($A144&gt;='Control Room'!$A$14,$A144&lt;'Control Room'!$A$14+'Control Room'!$B$14,'Process'!BL3=1),1+('Control Room'!$C$14-1)*EXP(-0.5*(($A144-'Control Room'!$A$14-('Control Room'!$B$14-1)/2)/MAX(0.5,'Control Room'!$B$14/4))^2),1)*IF(AND($A144&gt;='Control Room'!$A$15,$A144&lt;'Control Room'!$A$15+'Control Room'!$B$15,'Process'!BL4=1),1+('Control Room'!$C$15-1)*EXP(-0.5*(($A144-'Control Room'!$A$15-('Control Room'!$B$15-1)/2)/MAX(0.5,'Control Room'!$B$15/4))^2),1)*IF(AND($A144&gt;='Control Room'!$A$16,$A144&lt;'Control Room'!$A$16+'Control Room'!$B$16,'Process'!BL5=1),1+('Control Room'!$C$16-1)*EXP(-0.5*(($A144-'Control Room'!$A$16-('Control Room'!$B$16-1)/2)/MAX(0.5,'Control Room'!$B$16/4))^2),1)</x:f>
        <x:v>1</x:v>
      </x:c>
      <x:c r="L144" s="9" t="n">
        <x:f>MOD(M143*16807,2147483647)</x:f>
        <x:v>1979808280</x:v>
      </x:c>
      <x:c r="M144" s="9" t="n">
        <x:f>MOD(L144*16807,2147483647)</x:f>
        <x:v>1526135342</x:v>
      </x:c>
      <x:c r="N144" s="17" t="n">
        <x:f>IF('Control Room'!$B$5="Normal",'Control Room'!$B$7+'Control Room'!$D$7*SQRT(-2*LN(MAX(0.000000000001,L144/2147483647)))*COS(2*PI()*M144/2147483647),'Control Room'!$B$8+('Control Room'!$D$8-'Control Room'!$B$8)*L144/2147483647)</x:f>
        <x:v>991.1212135753102</x:v>
      </x:c>
      <x:c r="O144" s="17" t="n">
        <x:f>IF('Control Room'!$B$5="Normal",'Control Room'!$B$7,('Control Room'!$B$8+'Control Room'!$D$8)/2)+'Control Room'!$B$9*(O143-IF('Control Room'!$B$5="Normal",'Control Room'!$B$7,('Control Room'!$B$8+'Control Room'!$D$8)/2))+SQRT(1-'Control Room'!$B$9^2)*(N144-IF('Control Room'!$B$5="Normal",'Control Room'!$B$7,('Control Room'!$B$8+'Control Room'!$D$8)/2))</x:f>
        <x:v>1042.8404468976682</x:v>
      </x:c>
      <x:c r="P144" s="17" t="n">
        <x:f>IF(AND($A144&gt;='Control Room'!$A$13,$A144&lt;'Control Room'!$A$13+'Control Room'!$B$13,'Process'!BM2=1),1+('Control Room'!$C$13-1)*EXP(-0.5*(($A144-'Control Room'!$A$13-('Control Room'!$B$13-1)/2)/MAX(0.5,'Control Room'!$B$13/4))^2),1)*IF(AND($A144&gt;='Control Room'!$A$14,$A144&lt;'Control Room'!$A$14+'Control Room'!$B$14,'Process'!BM3=1),1+('Control Room'!$C$14-1)*EXP(-0.5*(($A144-'Control Room'!$A$14-('Control Room'!$B$14-1)/2)/MAX(0.5,'Control Room'!$B$14/4))^2),1)*IF(AND($A144&gt;='Control Room'!$A$15,$A144&lt;'Control Room'!$A$15+'Control Room'!$B$15,'Process'!BM4=1),1+('Control Room'!$C$15-1)*EXP(-0.5*(($A144-'Control Room'!$A$15-('Control Room'!$B$15-1)/2)/MAX(0.5,'Control Room'!$B$15/4))^2),1)*IF(AND($A144&gt;='Control Room'!$A$16,$A144&lt;'Control Room'!$A$16+'Control Room'!$B$16,'Process'!BM5=1),1+('Control Room'!$C$16-1)*EXP(-0.5*(($A144-'Control Room'!$A$16-('Control Room'!$B$16-1)/2)/MAX(0.5,'Control Room'!$B$16/4))^2),1)</x:f>
        <x:v>1</x:v>
      </x:c>
      <x:c r="Q144" s="9" t="n">
        <x:f>MOD(R143*16807,2147483647)</x:f>
        <x:v>1028932376</x:v>
      </x:c>
      <x:c r="R144" s="9" t="n">
        <x:f>MOD(Q144*16807,2147483647)</x:f>
        <x:v>1728117788</x:v>
      </x:c>
      <x:c r="S144" s="17" t="n">
        <x:f>IF('Control Room'!$B$5="Normal",'Control Room'!$B$7+'Control Room'!$D$7*SQRT(-2*LN(MAX(0.000000000001,Q144/2147483647)))*COS(2*PI()*R144/2147483647),'Control Room'!$B$8+('Control Room'!$D$8-'Control Room'!$B$8)*Q144/2147483647)</x:f>
        <x:v>1036.7999386078013</x:v>
      </x:c>
      <x:c r="T144" s="17" t="n">
        <x:f>IF('Control Room'!$B$5="Normal",'Control Room'!$B$7,('Control Room'!$B$8+'Control Room'!$D$8)/2)+'Control Room'!$B$9*(T143-IF('Control Room'!$B$5="Normal",'Control Room'!$B$7,('Control Room'!$B$8+'Control Room'!$D$8)/2))+SQRT(1-'Control Room'!$B$9^2)*(S144-IF('Control Room'!$B$5="Normal",'Control Room'!$B$7,('Control Room'!$B$8+'Control Room'!$D$8)/2))</x:f>
        <x:v>934.1019854551856</x:v>
      </x:c>
      <x:c r="U144" s="17" t="n">
        <x:f>IF(AND($A144&gt;='Control Room'!$A$13,$A144&lt;'Control Room'!$A$13+'Control Room'!$B$13,'Process'!BN2=1),1+('Control Room'!$C$13-1)*EXP(-0.5*(($A144-'Control Room'!$A$13-('Control Room'!$B$13-1)/2)/MAX(0.5,'Control Room'!$B$13/4))^2),1)*IF(AND($A144&gt;='Control Room'!$A$14,$A144&lt;'Control Room'!$A$14+'Control Room'!$B$14,'Process'!BN3=1),1+('Control Room'!$C$14-1)*EXP(-0.5*(($A144-'Control Room'!$A$14-('Control Room'!$B$14-1)/2)/MAX(0.5,'Control Room'!$B$14/4))^2),1)*IF(AND($A144&gt;='Control Room'!$A$15,$A144&lt;'Control Room'!$A$15+'Control Room'!$B$15,'Process'!BN4=1),1+('Control Room'!$C$15-1)*EXP(-0.5*(($A144-'Control Room'!$A$15-('Control Room'!$B$15-1)/2)/MAX(0.5,'Control Room'!$B$15/4))^2),1)*IF(AND($A144&gt;='Control Room'!$A$16,$A144&lt;'Control Room'!$A$16+'Control Room'!$B$16,'Process'!BN5=1),1+('Control Room'!$C$16-1)*EXP(-0.5*(($A144-'Control Room'!$A$16-('Control Room'!$B$16-1)/2)/MAX(0.5,'Control Room'!$B$16/4))^2),1)</x:f>
        <x:v>1</x:v>
      </x:c>
      <x:c r="V144" s="9" t="n">
        <x:f>MOD(W143*16807,2147483647)</x:f>
        <x:v>78056472</x:v>
      </x:c>
      <x:c r="W144" s="9" t="n">
        <x:f>MOD(V144*16807,2147483647)</x:f>
        <x:v>1930100234</x:v>
      </x:c>
      <x:c r="X144" s="17" t="n">
        <x:f>IF('Control Room'!$B$5="Normal",'Control Room'!$B$7+'Control Room'!$D$7*SQRT(-2*LN(MAX(0.000000000001,V144/2147483647)))*COS(2*PI()*W144/2147483647),'Control Room'!$B$8+('Control Room'!$D$8-'Control Room'!$B$8)*V144/2147483647)</x:f>
        <x:v>1186.414427730189</x:v>
      </x:c>
      <x:c r="Y144" s="17" t="n">
        <x:f>IF('Control Room'!$B$5="Normal",'Control Room'!$B$7,('Control Room'!$B$8+'Control Room'!$D$8)/2)+'Control Room'!$B$9*(Y143-IF('Control Room'!$B$5="Normal",'Control Room'!$B$7,('Control Room'!$B$8+'Control Room'!$D$8)/2))+SQRT(1-'Control Room'!$B$9^2)*(X144-IF('Control Room'!$B$5="Normal",'Control Room'!$B$7,('Control Room'!$B$8+'Control Room'!$D$8)/2))</x:f>
        <x:v>1150.4708236333408</x:v>
      </x:c>
      <x:c r="Z144" s="17" t="n">
        <x:f>IF(AND($A144&gt;='Control Room'!$A$13,$A144&lt;'Control Room'!$A$13+'Control Room'!$B$13,'Process'!BO2=1),1+('Control Room'!$C$13-1)*EXP(-0.5*(($A144-'Control Room'!$A$13-('Control Room'!$B$13-1)/2)/MAX(0.5,'Control Room'!$B$13/4))^2),1)*IF(AND($A144&gt;='Control Room'!$A$14,$A144&lt;'Control Room'!$A$14+'Control Room'!$B$14,'Process'!BO3=1),1+('Control Room'!$C$14-1)*EXP(-0.5*(($A144-'Control Room'!$A$14-('Control Room'!$B$14-1)/2)/MAX(0.5,'Control Room'!$B$14/4))^2),1)*IF(AND($A144&gt;='Control Room'!$A$15,$A144&lt;'Control Room'!$A$15+'Control Room'!$B$15,'Process'!BO4=1),1+('Control Room'!$C$15-1)*EXP(-0.5*(($A144-'Control Room'!$A$15-('Control Room'!$B$15-1)/2)/MAX(0.5,'Control Room'!$B$15/4))^2),1)*IF(AND($A144&gt;='Control Room'!$A$16,$A144&lt;'Control Room'!$A$16+'Control Room'!$B$16,'Process'!BO5=1),1+('Control Room'!$C$16-1)*EXP(-0.5*(($A144-'Control Room'!$A$16-('Control Room'!$B$16-1)/2)/MAX(0.5,'Control Room'!$B$16/4))^2),1)</x:f>
        <x:v>1</x:v>
      </x:c>
      <x:c r="AA144" s="9" t="n">
        <x:f>MOD(AB143*16807,2147483647)</x:f>
        <x:v>1274664215</x:v>
      </x:c>
      <x:c r="AB144" s="9" t="n">
        <x:f>MOD(AA144*16807,2147483647)</x:f>
        <x:v>2132082680</x:v>
      </x:c>
      <x:c r="AC144" s="17" t="n">
        <x:f>IF('Control Room'!$B$5="Normal",'Control Room'!$B$7+'Control Room'!$D$7*SQRT(-2*LN(MAX(0.000000000001,AA144/2147483647)))*COS(2*PI()*AB144/2147483647),'Control Room'!$B$8+('Control Room'!$D$8-'Control Room'!$B$8)*AA144/2147483647)</x:f>
        <x:v>1091.8313687602533</x:v>
      </x:c>
      <x:c r="AD144" s="17" t="n">
        <x:f>IF('Control Room'!$B$5="Normal",'Control Room'!$B$7,('Control Room'!$B$8+'Control Room'!$D$8)/2)+'Control Room'!$B$9*(AD143-IF('Control Room'!$B$5="Normal",'Control Room'!$B$7,('Control Room'!$B$8+'Control Room'!$D$8)/2))+SQRT(1-'Control Room'!$B$9^2)*(AC144-IF('Control Room'!$B$5="Normal",'Control Room'!$B$7,('Control Room'!$B$8+'Control Room'!$D$8)/2))</x:f>
        <x:v>1114.7452003967953</x:v>
      </x:c>
      <x:c r="AE144" s="17" t="n">
        <x:f>IF(AND($A144&gt;='Control Room'!$A$13,$A144&lt;'Control Room'!$A$13+'Control Room'!$B$13,'Process'!BP2=1),1+('Control Room'!$C$13-1)*EXP(-0.5*(($A144-'Control Room'!$A$13-('Control Room'!$B$13-1)/2)/MAX(0.5,'Control Room'!$B$13/4))^2),1)*IF(AND($A144&gt;='Control Room'!$A$14,$A144&lt;'Control Room'!$A$14+'Control Room'!$B$14,'Process'!BP3=1),1+('Control Room'!$C$14-1)*EXP(-0.5*(($A144-'Control Room'!$A$14-('Control Room'!$B$14-1)/2)/MAX(0.5,'Control Room'!$B$14/4))^2),1)*IF(AND($A144&gt;='Control Room'!$A$15,$A144&lt;'Control Room'!$A$15+'Control Room'!$B$15,'Process'!BP4=1),1+('Control Room'!$C$15-1)*EXP(-0.5*(($A144-'Control Room'!$A$15-('Control Room'!$B$15-1)/2)/MAX(0.5,'Control Room'!$B$15/4))^2),1)*IF(AND($A144&gt;='Control Room'!$A$16,$A144&lt;'Control Room'!$A$16+'Control Room'!$B$16,'Process'!BP5=1),1+('Control Room'!$C$16-1)*EXP(-0.5*(($A144-'Control Room'!$A$16-('Control Room'!$B$16-1)/2)/MAX(0.5,'Control Room'!$B$16/4))^2),1)</x:f>
        <x:v>1</x:v>
      </x:c>
      <x:c r="AF144" s="9" t="n">
        <x:f>MOD(AG143*16807,2147483647)</x:f>
        <x:v>323788311</x:v>
      </x:c>
      <x:c r="AG144" s="9" t="n">
        <x:f>MOD(AF144*16807,2147483647)</x:f>
        <x:v>186581479</x:v>
      </x:c>
      <x:c r="AH144" s="17" t="n">
        <x:f>IF('Control Room'!$B$5="Normal",'Control Room'!$B$7+'Control Room'!$D$7*SQRT(-2*LN(MAX(0.000000000001,AF144/2147483647)))*COS(2*PI()*AG144/2147483647),'Control Room'!$B$8+('Control Room'!$D$8-'Control Room'!$B$8)*AF144/2147483647)</x:f>
        <x:v>1149.62545522352</x:v>
      </x:c>
      <x:c r="AI144" s="17" t="n">
        <x:f>IF('Control Room'!$B$5="Normal",'Control Room'!$B$7,('Control Room'!$B$8+'Control Room'!$D$8)/2)+'Control Room'!$B$9*(AI143-IF('Control Room'!$B$5="Normal",'Control Room'!$B$7,('Control Room'!$B$8+'Control Room'!$D$8)/2))+SQRT(1-'Control Room'!$B$9^2)*(AH144-IF('Control Room'!$B$5="Normal",'Control Room'!$B$7,('Control Room'!$B$8+'Control Room'!$D$8)/2))</x:f>
        <x:v>1068.7945542977372</x:v>
      </x:c>
      <x:c r="AJ144" s="17" t="n">
        <x:f>IF(AND($A144&gt;='Control Room'!$A$13,$A144&lt;'Control Room'!$A$13+'Control Room'!$B$13,'Process'!BQ2=1),1+('Control Room'!$C$13-1)*EXP(-0.5*(($A144-'Control Room'!$A$13-('Control Room'!$B$13-1)/2)/MAX(0.5,'Control Room'!$B$13/4))^2),1)*IF(AND($A144&gt;='Control Room'!$A$14,$A144&lt;'Control Room'!$A$14+'Control Room'!$B$14,'Process'!BQ3=1),1+('Control Room'!$C$14-1)*EXP(-0.5*(($A144-'Control Room'!$A$14-('Control Room'!$B$14-1)/2)/MAX(0.5,'Control Room'!$B$14/4))^2),1)*IF(AND($A144&gt;='Control Room'!$A$15,$A144&lt;'Control Room'!$A$15+'Control Room'!$B$15,'Process'!BQ4=1),1+('Control Room'!$C$15-1)*EXP(-0.5*(($A144-'Control Room'!$A$15-('Control Room'!$B$15-1)/2)/MAX(0.5,'Control Room'!$B$15/4))^2),1)*IF(AND($A144&gt;='Control Room'!$A$16,$A144&lt;'Control Room'!$A$16+'Control Room'!$B$16,'Process'!BQ5=1),1+('Control Room'!$C$16-1)*EXP(-0.5*(($A144-'Control Room'!$A$16-('Control Room'!$B$16-1)/2)/MAX(0.5,'Control Room'!$B$16/4))^2),1)</x:f>
        <x:v>1</x:v>
      </x:c>
      <x:c r="AK144" s="9" t="n">
        <x:f>MOD(AL143*16807,2147483647)</x:f>
        <x:v>1520396054</x:v>
      </x:c>
      <x:c r="AL144" s="9" t="n">
        <x:f>MOD(AK144*16807,2147483647)</x:f>
        <x:v>388563925</x:v>
      </x:c>
      <x:c r="AM144" s="17" t="n">
        <x:f>IF('Control Room'!$B$5="Normal",'Control Room'!$B$7+'Control Room'!$D$7*SQRT(-2*LN(MAX(0.000000000001,AK144/2147483647)))*COS(2*PI()*AL144/2147483647),'Control Room'!$B$8+('Control Room'!$D$8-'Control Room'!$B$8)*AK144/2147483647)</x:f>
        <x:v>1031.4462137712342</x:v>
      </x:c>
      <x:c r="AN144" s="17" t="n">
        <x:f>IF('Control Room'!$B$5="Normal",'Control Room'!$B$7,('Control Room'!$B$8+'Control Room'!$D$8)/2)+'Control Room'!$B$9*(AN143-IF('Control Room'!$B$5="Normal",'Control Room'!$B$7,('Control Room'!$B$8+'Control Room'!$D$8)/2))+SQRT(1-'Control Room'!$B$9^2)*(AM144-IF('Control Room'!$B$5="Normal",'Control Room'!$B$7,('Control Room'!$B$8+'Control Room'!$D$8)/2))</x:f>
        <x:v>1005.9677771840588</x:v>
      </x:c>
      <x:c r="AO144" s="17" t="n">
        <x:f>IF(AND($A144&gt;='Control Room'!$A$13,$A144&lt;'Control Room'!$A$13+'Control Room'!$B$13,'Process'!BR2=1),1+('Control Room'!$C$13-1)*EXP(-0.5*(($A144-'Control Room'!$A$13-('Control Room'!$B$13-1)/2)/MAX(0.5,'Control Room'!$B$13/4))^2),1)*IF(AND($A144&gt;='Control Room'!$A$14,$A144&lt;'Control Room'!$A$14+'Control Room'!$B$14,'Process'!BR3=1),1+('Control Room'!$C$14-1)*EXP(-0.5*(($A144-'Control Room'!$A$14-('Control Room'!$B$14-1)/2)/MAX(0.5,'Control Room'!$B$14/4))^2),1)*IF(AND($A144&gt;='Control Room'!$A$15,$A144&lt;'Control Room'!$A$15+'Control Room'!$B$15,'Process'!BR4=1),1+('Control Room'!$C$15-1)*EXP(-0.5*(($A144-'Control Room'!$A$15-('Control Room'!$B$15-1)/2)/MAX(0.5,'Control Room'!$B$15/4))^2),1)*IF(AND($A144&gt;='Control Room'!$A$16,$A144&lt;'Control Room'!$A$16+'Control Room'!$B$16,'Process'!BR5=1),1+('Control Room'!$C$16-1)*EXP(-0.5*(($A144-'Control Room'!$A$16-('Control Room'!$B$16-1)/2)/MAX(0.5,'Control Room'!$B$16/4))^2),1)</x:f>
        <x:v>1</x:v>
      </x:c>
      <x:c r="AP144" s="9" t="n">
        <x:f>MOD(AQ143*16807,2147483647)</x:f>
        <x:v>569520150</x:v>
      </x:c>
      <x:c r="AQ144" s="9" t="n">
        <x:f>MOD(AP144*16807,2147483647)</x:f>
        <x:v>590546371</x:v>
      </x:c>
      <x:c r="AR144" s="17" t="n">
        <x:f>IF('Control Room'!$B$5="Normal",'Control Room'!$B$7+'Control Room'!$D$7*SQRT(-2*LN(MAX(0.000000000001,AP144/2147483647)))*COS(2*PI()*AQ144/2147483647),'Control Room'!$B$8+('Control Room'!$D$8-'Control Room'!$B$8)*AP144/2147483647)</x:f>
        <x:v>977.0662922436854</x:v>
      </x:c>
      <x:c r="AS144" s="17" t="n">
        <x:f>IF('Control Room'!$B$5="Normal",'Control Room'!$B$7,('Control Room'!$B$8+'Control Room'!$D$8)/2)+'Control Room'!$B$9*(AS143-IF('Control Room'!$B$5="Normal",'Control Room'!$B$7,('Control Room'!$B$8+'Control Room'!$D$8)/2))+SQRT(1-'Control Room'!$B$9^2)*(AR144-IF('Control Room'!$B$5="Normal",'Control Room'!$B$7,('Control Room'!$B$8+'Control Room'!$D$8)/2))</x:f>
        <x:v>1000.6762870825969</x:v>
      </x:c>
      <x:c r="AT144" s="17" t="n">
        <x:f>IF(AND($A144&gt;='Control Room'!$A$13,$A144&lt;'Control Room'!$A$13+'Control Room'!$B$13,'Process'!BS2=1),1+('Control Room'!$C$13-1)*EXP(-0.5*(($A144-'Control Room'!$A$13-('Control Room'!$B$13-1)/2)/MAX(0.5,'Control Room'!$B$13/4))^2),1)*IF(AND($A144&gt;='Control Room'!$A$14,$A144&lt;'Control Room'!$A$14+'Control Room'!$B$14,'Process'!BS3=1),1+('Control Room'!$C$14-1)*EXP(-0.5*(($A144-'Control Room'!$A$14-('Control Room'!$B$14-1)/2)/MAX(0.5,'Control Room'!$B$14/4))^2),1)*IF(AND($A144&gt;='Control Room'!$A$15,$A144&lt;'Control Room'!$A$15+'Control Room'!$B$15,'Process'!BS4=1),1+('Control Room'!$C$15-1)*EXP(-0.5*(($A144-'Control Room'!$A$15-('Control Room'!$B$15-1)/2)/MAX(0.5,'Control Room'!$B$15/4))^2),1)*IF(AND($A144&gt;='Control Room'!$A$16,$A144&lt;'Control Room'!$A$16+'Control Room'!$B$16,'Process'!BS5=1),1+('Control Room'!$C$16-1)*EXP(-0.5*(($A144-'Control Room'!$A$16-('Control Room'!$B$16-1)/2)/MAX(0.5,'Control Room'!$B$16/4))^2),1)</x:f>
        <x:v>1</x:v>
      </x:c>
      <x:c r="AU144" s="9" t="n">
        <x:f>MOD(AV143*16807,2147483647)</x:f>
        <x:v>1766127893</x:v>
      </x:c>
      <x:c r="AV144" s="9" t="n">
        <x:f>MOD(AU144*16807,2147483647)</x:f>
        <x:v>792528817</x:v>
      </x:c>
      <x:c r="AW144" s="17" t="n">
        <x:f>IF('Control Room'!$B$5="Normal",'Control Room'!$B$7+'Control Room'!$D$7*SQRT(-2*LN(MAX(0.000000000001,AU144/2147483647)))*COS(2*PI()*AV144/2147483647),'Control Room'!$B$8+('Control Room'!$D$8-'Control Room'!$B$8)*AU144/2147483647)</x:f>
        <x:v>961.7205999921943</x:v>
      </x:c>
      <x:c r="AX144" s="17" t="n">
        <x:f>IF('Control Room'!$B$5="Normal",'Control Room'!$B$7,('Control Room'!$B$8+'Control Room'!$D$8)/2)+'Control Room'!$B$9*(AX143-IF('Control Room'!$B$5="Normal",'Control Room'!$B$7,('Control Room'!$B$8+'Control Room'!$D$8)/2))+SQRT(1-'Control Room'!$B$9^2)*(AW144-IF('Control Room'!$B$5="Normal",'Control Room'!$B$7,('Control Room'!$B$8+'Control Room'!$D$8)/2))</x:f>
        <x:v>1021.6156389043265</x:v>
      </x:c>
      <x:c r="AY144" s="17" t="n">
        <x:f>IF(AND($A144&gt;='Control Room'!$A$13,$A144&lt;'Control Room'!$A$13+'Control Room'!$B$13,'Process'!BT2=1),1+('Control Room'!$C$13-1)*EXP(-0.5*(($A144-'Control Room'!$A$13-('Control Room'!$B$13-1)/2)/MAX(0.5,'Control Room'!$B$13/4))^2),1)*IF(AND($A144&gt;='Control Room'!$A$14,$A144&lt;'Control Room'!$A$14+'Control Room'!$B$14,'Process'!BT3=1),1+('Control Room'!$C$14-1)*EXP(-0.5*(($A144-'Control Room'!$A$14-('Control Room'!$B$14-1)/2)/MAX(0.5,'Control Room'!$B$14/4))^2),1)*IF(AND($A144&gt;='Control Room'!$A$15,$A144&lt;'Control Room'!$A$15+'Control Room'!$B$15,'Process'!BT4=1),1+('Control Room'!$C$15-1)*EXP(-0.5*(($A144-'Control Room'!$A$15-('Control Room'!$B$15-1)/2)/MAX(0.5,'Control Room'!$B$15/4))^2),1)*IF(AND($A144&gt;='Control Room'!$A$16,$A144&lt;'Control Room'!$A$16+'Control Room'!$B$16,'Process'!BT5=1),1+('Control Room'!$C$16-1)*EXP(-0.5*(($A144-'Control Room'!$A$16-('Control Room'!$B$16-1)/2)/MAX(0.5,'Control Room'!$B$16/4))^2),1)</x:f>
        <x:v>1</x:v>
      </x:c>
      <x:c r="AZ144" s="9" t="n">
        <x:f>MOD(BA143*16807,2147483647)</x:f>
        <x:v>815251989</x:v>
      </x:c>
      <x:c r="BA144" s="9" t="n">
        <x:f>MOD(AZ144*16807,2147483647)</x:f>
        <x:v>994511263</x:v>
      </x:c>
      <x:c r="BB144" s="17" t="n">
        <x:f>IF('Control Room'!$B$5="Normal",'Control Room'!$B$7+'Control Room'!$D$7*SQRT(-2*LN(MAX(0.000000000001,AZ144/2147483647)))*COS(2*PI()*BA144/2147483647),'Control Room'!$B$8+('Control Room'!$D$8-'Control Room'!$B$8)*AZ144/2147483647)</x:f>
        <x:v>878.0885767957118</x:v>
      </x:c>
      <x:c r="BC144" s="17" t="n">
        <x:f>IF('Control Room'!$B$5="Normal",'Control Room'!$B$7,('Control Room'!$B$8+'Control Room'!$D$8)/2)+'Control Room'!$B$9*(BC143-IF('Control Room'!$B$5="Normal",'Control Room'!$B$7,('Control Room'!$B$8+'Control Room'!$D$8)/2))+SQRT(1-'Control Room'!$B$9^2)*(BB144-IF('Control Room'!$B$5="Normal",'Control Room'!$B$7,('Control Room'!$B$8+'Control Room'!$D$8)/2))</x:f>
        <x:v>954.6861794465552</x:v>
      </x:c>
      <x:c r="BD144" s="17" t="n">
        <x:f>IF(AND($A144&gt;='Control Room'!$A$13,$A144&lt;'Control Room'!$A$13+'Control Room'!$B$13,'Process'!BU2=1),1+('Control Room'!$C$13-1)*EXP(-0.5*(($A144-'Control Room'!$A$13-('Control Room'!$B$13-1)/2)/MAX(0.5,'Control Room'!$B$13/4))^2),1)*IF(AND($A144&gt;='Control Room'!$A$14,$A144&lt;'Control Room'!$A$14+'Control Room'!$B$14,'Process'!BU3=1),1+('Control Room'!$C$14-1)*EXP(-0.5*(($A144-'Control Room'!$A$14-('Control Room'!$B$14-1)/2)/MAX(0.5,'Control Room'!$B$14/4))^2),1)*IF(AND($A144&gt;='Control Room'!$A$15,$A144&lt;'Control Room'!$A$15+'Control Room'!$B$15,'Process'!BU4=1),1+('Control Room'!$C$15-1)*EXP(-0.5*(($A144-'Control Room'!$A$15-('Control Room'!$B$15-1)/2)/MAX(0.5,'Control Room'!$B$15/4))^2),1)*IF(AND($A144&gt;='Control Room'!$A$16,$A144&lt;'Control Room'!$A$16+'Control Room'!$B$16,'Process'!BU5=1),1+('Control Room'!$C$16-1)*EXP(-0.5*(($A144-'Control Room'!$A$16-('Control Room'!$B$16-1)/2)/MAX(0.5,'Control Room'!$B$16/4))^2),1)</x:f>
        <x:v>1</x:v>
      </x:c>
      <x:c r="BE144" s="9" t="n">
        <x:f>MOD(BF143*16807,2147483647)</x:f>
        <x:v>2011859732</x:v>
      </x:c>
      <x:c r="BF144" s="9" t="n">
        <x:f>MOD(BE144*16807,2147483647)</x:f>
        <x:v>1196493709</x:v>
      </x:c>
      <x:c r="BG144" s="17" t="n">
        <x:f>IF('Control Room'!$B$5="Normal",'Control Room'!$B$7+'Control Room'!$D$7*SQRT(-2*LN(MAX(0.000000000001,BE144/2147483647)))*COS(2*PI()*BF144/2147483647),'Control Room'!$B$8+('Control Room'!$D$8-'Control Room'!$B$8)*BE144/2147483647)</x:f>
        <x:v>969.5651137804178</x:v>
      </x:c>
      <x:c r="BH144" s="17" t="n">
        <x:f>IF('Control Room'!$B$5="Normal",'Control Room'!$B$7,('Control Room'!$B$8+'Control Room'!$D$8)/2)+'Control Room'!$B$9*(BH143-IF('Control Room'!$B$5="Normal",'Control Room'!$B$7,('Control Room'!$B$8+'Control Room'!$D$8)/2))+SQRT(1-'Control Room'!$B$9^2)*(BG144-IF('Control Room'!$B$5="Normal",'Control Room'!$B$7,('Control Room'!$B$8+'Control Room'!$D$8)/2))</x:f>
        <x:v>1048.4479757794888</x:v>
      </x:c>
      <x:c r="BI144" s="17" t="n">
        <x:f>IF(AND($A144&gt;='Control Room'!$A$13,$A144&lt;'Control Room'!$A$13+'Control Room'!$B$13,'Process'!BV2=1),1+('Control Room'!$C$13-1)*EXP(-0.5*(($A144-'Control Room'!$A$13-('Control Room'!$B$13-1)/2)/MAX(0.5,'Control Room'!$B$13/4))^2),1)*IF(AND($A144&gt;='Control Room'!$A$14,$A144&lt;'Control Room'!$A$14+'Control Room'!$B$14,'Process'!BV3=1),1+('Control Room'!$C$14-1)*EXP(-0.5*(($A144-'Control Room'!$A$14-('Control Room'!$B$14-1)/2)/MAX(0.5,'Control Room'!$B$14/4))^2),1)*IF(AND($A144&gt;='Control Room'!$A$15,$A144&lt;'Control Room'!$A$15+'Control Room'!$B$15,'Process'!BV4=1),1+('Control Room'!$C$15-1)*EXP(-0.5*(($A144-'Control Room'!$A$15-('Control Room'!$B$15-1)/2)/MAX(0.5,'Control Room'!$B$15/4))^2),1)*IF(AND($A144&gt;='Control Room'!$A$16,$A144&lt;'Control Room'!$A$16+'Control Room'!$B$16,'Process'!BV5=1),1+('Control Room'!$C$16-1)*EXP(-0.5*(($A144-'Control Room'!$A$16-('Control Room'!$B$16-1)/2)/MAX(0.5,'Control Room'!$B$16/4))^2),1)</x:f>
        <x:v>1</x:v>
      </x:c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Z144" t="str">
        <x:f>IF('Data'!A144="","",TEXT('Data'!A144,"mm-dd"))</x:f>
      </x:c>
    </x:row>
    <x:row r="145" ht="21" customHeight="1">
      <x:c r="A145" s="15" t="n">
        <x:f>'Control Room'!$B$1+143</x:f>
        <x:v>73134</x:v>
      </x:c>
      <x:c r="B145" s="9" t="n">
        <x:f>MOD(C144*16807,2147483647)</x:f>
        <x:v>1117365196</x:v>
      </x:c>
      <x:c r="C145" s="9" t="n">
        <x:f>MOD(B145*16807,2147483647)</x:f>
        <x:v>1959839804</x:v>
      </x:c>
      <x:c r="D145" s="17" t="n">
        <x:f>IF('Control Room'!$B$5="Normal",'Control Room'!$B$7+'Control Room'!$D$7*SQRT(-2*LN(MAX(0.000000000001,B145/2147483647)))*COS(2*PI()*C145/2147483647),'Control Room'!$B$8+('Control Room'!$D$8-'Control Room'!$B$8)*B145/2147483647)</x:f>
        <x:v>1087.7587490897617</x:v>
      </x:c>
      <x:c r="E145" s="17" t="n">
        <x:f>IF('Control Room'!$B$5="Normal",'Control Room'!$B$7,('Control Room'!$B$8+'Control Room'!$D$8)/2)+'Control Room'!$B$9*(E144-IF('Control Room'!$B$5="Normal",'Control Room'!$B$7,('Control Room'!$B$8+'Control Room'!$D$8)/2))+SQRT(1-'Control Room'!$B$9^2)*(D145-IF('Control Room'!$B$5="Normal",'Control Room'!$B$7,('Control Room'!$B$8+'Control Room'!$D$8)/2))</x:f>
        <x:v>917.9304230565033</x:v>
      </x:c>
      <x:c r="F145" s="17" t="n">
        <x:f>IF(AND($A145&gt;='Control Room'!$A$13,$A145&lt;'Control Room'!$A$13+'Control Room'!$B$13,'Process'!BK2=1),1+('Control Room'!$C$13-1)*EXP(-0.5*(($A145-'Control Room'!$A$13-('Control Room'!$B$13-1)/2)/MAX(0.5,'Control Room'!$B$13/4))^2),1)*IF(AND($A145&gt;='Control Room'!$A$14,$A145&lt;'Control Room'!$A$14+'Control Room'!$B$14,'Process'!BK3=1),1+('Control Room'!$C$14-1)*EXP(-0.5*(($A145-'Control Room'!$A$14-('Control Room'!$B$14-1)/2)/MAX(0.5,'Control Room'!$B$14/4))^2),1)*IF(AND($A145&gt;='Control Room'!$A$15,$A145&lt;'Control Room'!$A$15+'Control Room'!$B$15,'Process'!BK4=1),1+('Control Room'!$C$15-1)*EXP(-0.5*(($A145-'Control Room'!$A$15-('Control Room'!$B$15-1)/2)/MAX(0.5,'Control Room'!$B$15/4))^2),1)*IF(AND($A145&gt;='Control Room'!$A$16,$A145&lt;'Control Room'!$A$16+'Control Room'!$B$16,'Process'!BK5=1),1+('Control Room'!$C$16-1)*EXP(-0.5*(($A145-'Control Room'!$A$16-('Control Room'!$B$16-1)/2)/MAX(0.5,'Control Room'!$B$16/4))^2),1)</x:f>
        <x:v>1</x:v>
      </x:c>
      <x:c r="G145" s="9" t="n">
        <x:f>MOD(H144*16807,2147483647)</x:f>
        <x:v>664689211</x:v>
      </x:c>
      <x:c r="H145" s="9" t="n">
        <x:f>MOD(G145*16807,2147483647)</x:f>
        <x:v>221637583</x:v>
      </x:c>
      <x:c r="I145" s="17" t="n">
        <x:f>IF('Control Room'!$B$5="Normal",'Control Room'!$B$7+'Control Room'!$D$7*SQRT(-2*LN(MAX(0.000000000001,G145/2147483647)))*COS(2*PI()*H145/2147483647),'Control Room'!$B$8+('Control Room'!$D$8-'Control Room'!$B$8)*G145/2147483647)</x:f>
        <x:v>1109.8546306686835</x:v>
      </x:c>
      <x:c r="J145" s="17" t="n">
        <x:f>IF('Control Room'!$B$5="Normal",'Control Room'!$B$7,('Control Room'!$B$8+'Control Room'!$D$8)/2)+'Control Room'!$B$9*(J144-IF('Control Room'!$B$5="Normal",'Control Room'!$B$7,('Control Room'!$B$8+'Control Room'!$D$8)/2))+SQRT(1-'Control Room'!$B$9^2)*(I145-IF('Control Room'!$B$5="Normal",'Control Room'!$B$7,('Control Room'!$B$8+'Control Room'!$D$8)/2))</x:f>
        <x:v>1039.8296457130525</x:v>
      </x:c>
      <x:c r="K145" s="17" t="n">
        <x:f>IF(AND($A145&gt;='Control Room'!$A$13,$A145&lt;'Control Room'!$A$13+'Control Room'!$B$13,'Process'!BL2=1),1+('Control Room'!$C$13-1)*EXP(-0.5*(($A145-'Control Room'!$A$13-('Control Room'!$B$13-1)/2)/MAX(0.5,'Control Room'!$B$13/4))^2),1)*IF(AND($A145&gt;='Control Room'!$A$14,$A145&lt;'Control Room'!$A$14+'Control Room'!$B$14,'Process'!BL3=1),1+('Control Room'!$C$14-1)*EXP(-0.5*(($A145-'Control Room'!$A$14-('Control Room'!$B$14-1)/2)/MAX(0.5,'Control Room'!$B$14/4))^2),1)*IF(AND($A145&gt;='Control Room'!$A$15,$A145&lt;'Control Room'!$A$15+'Control Room'!$B$15,'Process'!BL4=1),1+('Control Room'!$C$15-1)*EXP(-0.5*(($A145-'Control Room'!$A$15-('Control Room'!$B$15-1)/2)/MAX(0.5,'Control Room'!$B$15/4))^2),1)*IF(AND($A145&gt;='Control Room'!$A$16,$A145&lt;'Control Room'!$A$16+'Control Room'!$B$16,'Process'!BL5=1),1+('Control Room'!$C$16-1)*EXP(-0.5*(($A145-'Control Room'!$A$16-('Control Room'!$B$16-1)/2)/MAX(0.5,'Control Room'!$B$16/4))^2),1)</x:f>
        <x:v>1</x:v>
      </x:c>
      <x:c r="L145" s="9" t="n">
        <x:f>MOD(M144*16807,2147483647)</x:f>
        <x:v>212013226</x:v>
      </x:c>
      <x:c r="M145" s="9" t="n">
        <x:f>MOD(L145*16807,2147483647)</x:f>
        <x:v>630919009</x:v>
      </x:c>
      <x:c r="N145" s="17" t="n">
        <x:f>IF('Control Room'!$B$5="Normal",'Control Room'!$B$7+'Control Room'!$D$7*SQRT(-2*LN(MAX(0.000000000001,L145/2147483647)))*COS(2*PI()*M145/2147483647),'Control Room'!$B$8+('Control Room'!$D$8-'Control Room'!$B$8)*L145/2147483647)</x:f>
        <x:v>947.3769164929105</x:v>
      </x:c>
      <x:c r="O145" s="17" t="n">
        <x:f>IF('Control Room'!$B$5="Normal",'Control Room'!$B$7,('Control Room'!$B$8+'Control Room'!$D$8)/2)+'Control Room'!$B$9*(O144-IF('Control Room'!$B$5="Normal",'Control Room'!$B$7,('Control Room'!$B$8+'Control Room'!$D$8)/2))+SQRT(1-'Control Room'!$B$9^2)*(N145-IF('Control Room'!$B$5="Normal",'Control Room'!$B$7,('Control Room'!$B$8+'Control Room'!$D$8)/2))</x:f>
        <x:v>1000.485100963907</x:v>
      </x:c>
      <x:c r="P145" s="17" t="n">
        <x:f>IF(AND($A145&gt;='Control Room'!$A$13,$A145&lt;'Control Room'!$A$13+'Control Room'!$B$13,'Process'!BM2=1),1+('Control Room'!$C$13-1)*EXP(-0.5*(($A145-'Control Room'!$A$13-('Control Room'!$B$13-1)/2)/MAX(0.5,'Control Room'!$B$13/4))^2),1)*IF(AND($A145&gt;='Control Room'!$A$14,$A145&lt;'Control Room'!$A$14+'Control Room'!$B$14,'Process'!BM3=1),1+('Control Room'!$C$14-1)*EXP(-0.5*(($A145-'Control Room'!$A$14-('Control Room'!$B$14-1)/2)/MAX(0.5,'Control Room'!$B$14/4))^2),1)*IF(AND($A145&gt;='Control Room'!$A$15,$A145&lt;'Control Room'!$A$15+'Control Room'!$B$15,'Process'!BM4=1),1+('Control Room'!$C$15-1)*EXP(-0.5*(($A145-'Control Room'!$A$15-('Control Room'!$B$15-1)/2)/MAX(0.5,'Control Room'!$B$15/4))^2),1)*IF(AND($A145&gt;='Control Room'!$A$16,$A145&lt;'Control Room'!$A$16+'Control Room'!$B$16,'Process'!BM5=1),1+('Control Room'!$C$16-1)*EXP(-0.5*(($A145-'Control Room'!$A$16-('Control Room'!$B$16-1)/2)/MAX(0.5,'Control Room'!$B$16/4))^2),1)</x:f>
        <x:v>1</x:v>
      </x:c>
      <x:c r="Q145" s="9" t="n">
        <x:f>MOD(R144*16807,2147483647)</x:f>
        <x:v>1906820888</x:v>
      </x:c>
      <x:c r="R145" s="9" t="n">
        <x:f>MOD(Q145*16807,2147483647)</x:f>
        <x:v>1040200435</x:v>
      </x:c>
      <x:c r="S145" s="17" t="n">
        <x:f>IF('Control Room'!$B$5="Normal",'Control Room'!$B$7+'Control Room'!$D$7*SQRT(-2*LN(MAX(0.000000000001,Q145/2147483647)))*COS(2*PI()*R145/2147483647),'Control Room'!$B$8+('Control Room'!$D$8-'Control Room'!$B$8)*Q145/2147483647)</x:f>
        <x:v>956.3303674730404</x:v>
      </x:c>
      <x:c r="T145" s="17" t="n">
        <x:f>IF('Control Room'!$B$5="Normal",'Control Room'!$B$7,('Control Room'!$B$8+'Control Room'!$D$8)/2)+'Control Room'!$B$9*(T144-IF('Control Room'!$B$5="Normal",'Control Room'!$B$7,('Control Room'!$B$8+'Control Room'!$D$8)/2))+SQRT(1-'Control Room'!$B$9^2)*(S145-IF('Control Room'!$B$5="Normal",'Control Room'!$B$7,('Control Room'!$B$8+'Control Room'!$D$8)/2))</x:f>
        <x:v>921.2719872407228</x:v>
      </x:c>
      <x:c r="U145" s="17" t="n">
        <x:f>IF(AND($A145&gt;='Control Room'!$A$13,$A145&lt;'Control Room'!$A$13+'Control Room'!$B$13,'Process'!BN2=1),1+('Control Room'!$C$13-1)*EXP(-0.5*(($A145-'Control Room'!$A$13-('Control Room'!$B$13-1)/2)/MAX(0.5,'Control Room'!$B$13/4))^2),1)*IF(AND($A145&gt;='Control Room'!$A$14,$A145&lt;'Control Room'!$A$14+'Control Room'!$B$14,'Process'!BN3=1),1+('Control Room'!$C$14-1)*EXP(-0.5*(($A145-'Control Room'!$A$14-('Control Room'!$B$14-1)/2)/MAX(0.5,'Control Room'!$B$14/4))^2),1)*IF(AND($A145&gt;='Control Room'!$A$15,$A145&lt;'Control Room'!$A$15+'Control Room'!$B$15,'Process'!BN4=1),1+('Control Room'!$C$15-1)*EXP(-0.5*(($A145-'Control Room'!$A$15-('Control Room'!$B$15-1)/2)/MAX(0.5,'Control Room'!$B$15/4))^2),1)*IF(AND($A145&gt;='Control Room'!$A$16,$A145&lt;'Control Room'!$A$16+'Control Room'!$B$16,'Process'!BN5=1),1+('Control Room'!$C$16-1)*EXP(-0.5*(($A145-'Control Room'!$A$16-('Control Room'!$B$16-1)/2)/MAX(0.5,'Control Room'!$B$16/4))^2),1)</x:f>
        <x:v>1</x:v>
      </x:c>
      <x:c r="V145" s="9" t="n">
        <x:f>MOD(W144*16807,2147483647)</x:f>
        <x:v>1454144903</x:v>
      </x:c>
      <x:c r="W145" s="9" t="n">
        <x:f>MOD(V145*16807,2147483647)</x:f>
        <x:v>1449481861</x:v>
      </x:c>
      <x:c r="X145" s="17" t="n">
        <x:f>IF('Control Room'!$B$5="Normal",'Control Room'!$B$7+'Control Room'!$D$7*SQRT(-2*LN(MAX(0.000000000001,V145/2147483647)))*COS(2*PI()*W145/2147483647),'Control Room'!$B$8+('Control Room'!$D$8-'Control Room'!$B$8)*V145/2147483647)</x:f>
        <x:v>963.9053718954933</x:v>
      </x:c>
      <x:c r="Y145" s="17" t="n">
        <x:f>IF('Control Room'!$B$5="Normal",'Control Room'!$B$7,('Control Room'!$B$8+'Control Room'!$D$8)/2)+'Control Room'!$B$9*(Y144-IF('Control Room'!$B$5="Normal",'Control Room'!$B$7,('Control Room'!$B$8+'Control Room'!$D$8)/2))+SQRT(1-'Control Room'!$B$9^2)*(X145-IF('Control Room'!$B$5="Normal",'Control Room'!$B$7,('Control Room'!$B$8+'Control Room'!$D$8)/2))</x:f>
        <x:v>1094.7799636048544</x:v>
      </x:c>
      <x:c r="Z145" s="17" t="n">
        <x:f>IF(AND($A145&gt;='Control Room'!$A$13,$A145&lt;'Control Room'!$A$13+'Control Room'!$B$13,'Process'!BO2=1),1+('Control Room'!$C$13-1)*EXP(-0.5*(($A145-'Control Room'!$A$13-('Control Room'!$B$13-1)/2)/MAX(0.5,'Control Room'!$B$13/4))^2),1)*IF(AND($A145&gt;='Control Room'!$A$14,$A145&lt;'Control Room'!$A$14+'Control Room'!$B$14,'Process'!BO3=1),1+('Control Room'!$C$14-1)*EXP(-0.5*(($A145-'Control Room'!$A$14-('Control Room'!$B$14-1)/2)/MAX(0.5,'Control Room'!$B$14/4))^2),1)*IF(AND($A145&gt;='Control Room'!$A$15,$A145&lt;'Control Room'!$A$15+'Control Room'!$B$15,'Process'!BO4=1),1+('Control Room'!$C$15-1)*EXP(-0.5*(($A145-'Control Room'!$A$15-('Control Room'!$B$15-1)/2)/MAX(0.5,'Control Room'!$B$15/4))^2),1)*IF(AND($A145&gt;='Control Room'!$A$16,$A145&lt;'Control Room'!$A$16+'Control Room'!$B$16,'Process'!BO5=1),1+('Control Room'!$C$16-1)*EXP(-0.5*(($A145-'Control Room'!$A$16-('Control Room'!$B$16-1)/2)/MAX(0.5,'Control Room'!$B$16/4))^2),1)</x:f>
        <x:v>1</x:v>
      </x:c>
      <x:c r="AA145" s="9" t="n">
        <x:f>MOD(AB144*16807,2147483647)</x:f>
        <x:v>1001468918</x:v>
      </x:c>
      <x:c r="AB145" s="9" t="n">
        <x:f>MOD(AA145*16807,2147483647)</x:f>
        <x:v>1858763287</x:v>
      </x:c>
      <x:c r="AC145" s="17" t="n">
        <x:f>IF('Control Room'!$B$5="Normal",'Control Room'!$B$7+'Control Room'!$D$7*SQRT(-2*LN(MAX(0.000000000001,AA145/2147483647)))*COS(2*PI()*AB145/2147483647),'Control Room'!$B$8+('Control Room'!$D$8-'Control Room'!$B$8)*AA145/2147483647)</x:f>
        <x:v>1073.8051114609675</x:v>
      </x:c>
      <x:c r="AD145" s="17" t="n">
        <x:f>IF('Control Room'!$B$5="Normal",'Control Room'!$B$7,('Control Room'!$B$8+'Control Room'!$D$8)/2)+'Control Room'!$B$9*(AD144-IF('Control Room'!$B$5="Normal",'Control Room'!$B$7,('Control Room'!$B$8+'Control Room'!$D$8)/2))+SQRT(1-'Control Room'!$B$9^2)*(AC145-IF('Control Room'!$B$5="Normal",'Control Room'!$B$7,('Control Room'!$B$8+'Control Room'!$D$8)/2))</x:f>
        <x:v>1135.686983081882</x:v>
      </x:c>
      <x:c r="AE145" s="17" t="n">
        <x:f>IF(AND($A145&gt;='Control Room'!$A$13,$A145&lt;'Control Room'!$A$13+'Control Room'!$B$13,'Process'!BP2=1),1+('Control Room'!$C$13-1)*EXP(-0.5*(($A145-'Control Room'!$A$13-('Control Room'!$B$13-1)/2)/MAX(0.5,'Control Room'!$B$13/4))^2),1)*IF(AND($A145&gt;='Control Room'!$A$14,$A145&lt;'Control Room'!$A$14+'Control Room'!$B$14,'Process'!BP3=1),1+('Control Room'!$C$14-1)*EXP(-0.5*(($A145-'Control Room'!$A$14-('Control Room'!$B$14-1)/2)/MAX(0.5,'Control Room'!$B$14/4))^2),1)*IF(AND($A145&gt;='Control Room'!$A$15,$A145&lt;'Control Room'!$A$15+'Control Room'!$B$15,'Process'!BP4=1),1+('Control Room'!$C$15-1)*EXP(-0.5*(($A145-'Control Room'!$A$15-('Control Room'!$B$15-1)/2)/MAX(0.5,'Control Room'!$B$15/4))^2),1)*IF(AND($A145&gt;='Control Room'!$A$16,$A145&lt;'Control Room'!$A$16+'Control Room'!$B$16,'Process'!BP5=1),1+('Control Room'!$C$16-1)*EXP(-0.5*(($A145-'Control Room'!$A$16-('Control Room'!$B$16-1)/2)/MAX(0.5,'Control Room'!$B$16/4))^2),1)</x:f>
        <x:v>1</x:v>
      </x:c>
      <x:c r="AF145" s="9" t="n">
        <x:f>MOD(AG144*16807,2147483647)</x:f>
        <x:v>548792933</x:v>
      </x:c>
      <x:c r="AG145" s="9" t="n">
        <x:f>MOD(AF145*16807,2147483647)</x:f>
        <x:v>120561066</x:v>
      </x:c>
      <x:c r="AH145" s="17" t="n">
        <x:f>IF('Control Room'!$B$5="Normal",'Control Room'!$B$7+'Control Room'!$D$7*SQRT(-2*LN(MAX(0.000000000001,AF145/2147483647)))*COS(2*PI()*AG145/2147483647),'Control Room'!$B$8+('Control Room'!$D$8-'Control Room'!$B$8)*AF145/2147483647)</x:f>
        <x:v>1139.5143138007832</x:v>
      </x:c>
      <x:c r="AI145" s="17" t="n">
        <x:f>IF('Control Room'!$B$5="Normal",'Control Room'!$B$7,('Control Room'!$B$8+'Control Room'!$D$8)/2)+'Control Room'!$B$9*(AI144-IF('Control Room'!$B$5="Normal",'Control Room'!$B$7,('Control Room'!$B$8+'Control Room'!$D$8)/2))+SQRT(1-'Control Room'!$B$9^2)*(AH145-IF('Control Room'!$B$5="Normal",'Control Room'!$B$7,('Control Room'!$B$8+'Control Room'!$D$8)/2))</x:f>
        <x:v>1140.964951822695</x:v>
      </x:c>
      <x:c r="AJ145" s="17" t="n">
        <x:f>IF(AND($A145&gt;='Control Room'!$A$13,$A145&lt;'Control Room'!$A$13+'Control Room'!$B$13,'Process'!BQ2=1),1+('Control Room'!$C$13-1)*EXP(-0.5*(($A145-'Control Room'!$A$13-('Control Room'!$B$13-1)/2)/MAX(0.5,'Control Room'!$B$13/4))^2),1)*IF(AND($A145&gt;='Control Room'!$A$14,$A145&lt;'Control Room'!$A$14+'Control Room'!$B$14,'Process'!BQ3=1),1+('Control Room'!$C$14-1)*EXP(-0.5*(($A145-'Control Room'!$A$14-('Control Room'!$B$14-1)/2)/MAX(0.5,'Control Room'!$B$14/4))^2),1)*IF(AND($A145&gt;='Control Room'!$A$15,$A145&lt;'Control Room'!$A$15+'Control Room'!$B$15,'Process'!BQ4=1),1+('Control Room'!$C$15-1)*EXP(-0.5*(($A145-'Control Room'!$A$15-('Control Room'!$B$15-1)/2)/MAX(0.5,'Control Room'!$B$15/4))^2),1)*IF(AND($A145&gt;='Control Room'!$A$16,$A145&lt;'Control Room'!$A$16+'Control Room'!$B$16,'Process'!BQ5=1),1+('Control Room'!$C$16-1)*EXP(-0.5*(($A145-'Control Room'!$A$16-('Control Room'!$B$16-1)/2)/MAX(0.5,'Control Room'!$B$16/4))^2),1)</x:f>
        <x:v>1</x:v>
      </x:c>
      <x:c r="AK145" s="9" t="n">
        <x:f>MOD(AL144*16807,2147483647)</x:f>
        <x:v>96116948</x:v>
      </x:c>
      <x:c r="AL145" s="9" t="n">
        <x:f>MOD(AK145*16807,2147483647)</x:f>
        <x:v>529842492</x:v>
      </x:c>
      <x:c r="AM145" s="17" t="n">
        <x:f>IF('Control Room'!$B$5="Normal",'Control Room'!$B$7+'Control Room'!$D$7*SQRT(-2*LN(MAX(0.000000000001,AK145/2147483647)))*COS(2*PI()*AL145/2147483647),'Control Room'!$B$8+('Control Room'!$D$8-'Control Room'!$B$8)*AK145/2147483647)</x:f>
        <x:v>1004.612849848825</x:v>
      </x:c>
      <x:c r="AN145" s="17" t="n">
        <x:f>IF('Control Room'!$B$5="Normal",'Control Room'!$B$7,('Control Room'!$B$8+'Control Room'!$D$8)/2)+'Control Room'!$B$9*(AN144-IF('Control Room'!$B$5="Normal",'Control Room'!$B$7,('Control Room'!$B$8+'Control Room'!$D$8)/2))+SQRT(1-'Control Room'!$B$9^2)*(AM145-IF('Control Room'!$B$5="Normal",'Control Room'!$B$7,('Control Room'!$B$8+'Control Room'!$D$8)/2))</x:f>
        <x:v>1007.541493139595</x:v>
      </x:c>
      <x:c r="AO145" s="17" t="n">
        <x:f>IF(AND($A145&gt;='Control Room'!$A$13,$A145&lt;'Control Room'!$A$13+'Control Room'!$B$13,'Process'!BR2=1),1+('Control Room'!$C$13-1)*EXP(-0.5*(($A145-'Control Room'!$A$13-('Control Room'!$B$13-1)/2)/MAX(0.5,'Control Room'!$B$13/4))^2),1)*IF(AND($A145&gt;='Control Room'!$A$14,$A145&lt;'Control Room'!$A$14+'Control Room'!$B$14,'Process'!BR3=1),1+('Control Room'!$C$14-1)*EXP(-0.5*(($A145-'Control Room'!$A$14-('Control Room'!$B$14-1)/2)/MAX(0.5,'Control Room'!$B$14/4))^2),1)*IF(AND($A145&gt;='Control Room'!$A$15,$A145&lt;'Control Room'!$A$15+'Control Room'!$B$15,'Process'!BR4=1),1+('Control Room'!$C$15-1)*EXP(-0.5*(($A145-'Control Room'!$A$15-('Control Room'!$B$15-1)/2)/MAX(0.5,'Control Room'!$B$15/4))^2),1)*IF(AND($A145&gt;='Control Room'!$A$16,$A145&lt;'Control Room'!$A$16+'Control Room'!$B$16,'Process'!BR5=1),1+('Control Room'!$C$16-1)*EXP(-0.5*(($A145-'Control Room'!$A$16-('Control Room'!$B$16-1)/2)/MAX(0.5,'Control Room'!$B$16/4))^2),1)</x:f>
        <x:v>1</x:v>
      </x:c>
      <x:c r="AP145" s="9" t="n">
        <x:f>MOD(AQ144*16807,2147483647)</x:f>
        <x:v>1790924610</x:v>
      </x:c>
      <x:c r="AQ145" s="9" t="n">
        <x:f>MOD(AP145*16807,2147483647)</x:f>
        <x:v>939123918</x:v>
      </x:c>
      <x:c r="AR145" s="17" t="n">
        <x:f>IF('Control Room'!$B$5="Normal",'Control Room'!$B$7+'Control Room'!$D$7*SQRT(-2*LN(MAX(0.000000000001,AP145/2147483647)))*COS(2*PI()*AQ145/2147483647),'Control Room'!$B$8+('Control Room'!$D$8-'Control Room'!$B$8)*AP145/2147483647)</x:f>
        <x:v>949.9184658052376</x:v>
      </x:c>
      <x:c r="AS145" s="17" t="n">
        <x:f>IF('Control Room'!$B$5="Normal",'Control Room'!$B$7,('Control Room'!$B$8+'Control Room'!$D$8)/2)+'Control Room'!$B$9*(AS144-IF('Control Room'!$B$5="Normal",'Control Room'!$B$7,('Control Room'!$B$8+'Control Room'!$D$8)/2))+SQRT(1-'Control Room'!$B$9^2)*(AR145-IF('Control Room'!$B$5="Normal",'Control Room'!$B$7,('Control Room'!$B$8+'Control Room'!$D$8)/2))</x:f>
        <x:v>969.187505801338</x:v>
      </x:c>
      <x:c r="AT145" s="17" t="n">
        <x:f>IF(AND($A145&gt;='Control Room'!$A$13,$A145&lt;'Control Room'!$A$13+'Control Room'!$B$13,'Process'!BS2=1),1+('Control Room'!$C$13-1)*EXP(-0.5*(($A145-'Control Room'!$A$13-('Control Room'!$B$13-1)/2)/MAX(0.5,'Control Room'!$B$13/4))^2),1)*IF(AND($A145&gt;='Control Room'!$A$14,$A145&lt;'Control Room'!$A$14+'Control Room'!$B$14,'Process'!BS3=1),1+('Control Room'!$C$14-1)*EXP(-0.5*(($A145-'Control Room'!$A$14-('Control Room'!$B$14-1)/2)/MAX(0.5,'Control Room'!$B$14/4))^2),1)*IF(AND($A145&gt;='Control Room'!$A$15,$A145&lt;'Control Room'!$A$15+'Control Room'!$B$15,'Process'!BS4=1),1+('Control Room'!$C$15-1)*EXP(-0.5*(($A145-'Control Room'!$A$15-('Control Room'!$B$15-1)/2)/MAX(0.5,'Control Room'!$B$15/4))^2),1)*IF(AND($A145&gt;='Control Room'!$A$16,$A145&lt;'Control Room'!$A$16+'Control Room'!$B$16,'Process'!BS5=1),1+('Control Room'!$C$16-1)*EXP(-0.5*(($A145-'Control Room'!$A$16-('Control Room'!$B$16-1)/2)/MAX(0.5,'Control Room'!$B$16/4))^2),1)</x:f>
        <x:v>1</x:v>
      </x:c>
      <x:c r="AU145" s="9" t="n">
        <x:f>MOD(AV144*16807,2147483647)</x:f>
        <x:v>1338248625</x:v>
      </x:c>
      <x:c r="AV145" s="9" t="n">
        <x:f>MOD(AU145*16807,2147483647)</x:f>
        <x:v>1348405344</x:v>
      </x:c>
      <x:c r="AW145" s="17" t="n">
        <x:f>IF('Control Room'!$B$5="Normal",'Control Room'!$B$7+'Control Room'!$D$7*SQRT(-2*LN(MAX(0.000000000001,AU145/2147483647)))*COS(2*PI()*AV145/2147483647),'Control Room'!$B$8+('Control Room'!$D$8-'Control Room'!$B$8)*AU145/2147483647)</x:f>
        <x:v>939.2448076428965</x:v>
      </x:c>
      <x:c r="AX145" s="17" t="n">
        <x:f>IF('Control Room'!$B$5="Normal",'Control Room'!$B$7,('Control Room'!$B$8+'Control Room'!$D$8)/2)+'Control Room'!$B$9*(AX144-IF('Control Room'!$B$5="Normal",'Control Room'!$B$7,('Control Room'!$B$8+'Control Room'!$D$8)/2))+SQRT(1-'Control Room'!$B$9^2)*(AW145-IF('Control Room'!$B$5="Normal",'Control Room'!$B$7,('Control Room'!$B$8+'Control Room'!$D$8)/2))</x:f>
        <x:v>978.8408436060668</x:v>
      </x:c>
      <x:c r="AY145" s="17" t="n">
        <x:f>IF(AND($A145&gt;='Control Room'!$A$13,$A145&lt;'Control Room'!$A$13+'Control Room'!$B$13,'Process'!BT2=1),1+('Control Room'!$C$13-1)*EXP(-0.5*(($A145-'Control Room'!$A$13-('Control Room'!$B$13-1)/2)/MAX(0.5,'Control Room'!$B$13/4))^2),1)*IF(AND($A145&gt;='Control Room'!$A$14,$A145&lt;'Control Room'!$A$14+'Control Room'!$B$14,'Process'!BT3=1),1+('Control Room'!$C$14-1)*EXP(-0.5*(($A145-'Control Room'!$A$14-('Control Room'!$B$14-1)/2)/MAX(0.5,'Control Room'!$B$14/4))^2),1)*IF(AND($A145&gt;='Control Room'!$A$15,$A145&lt;'Control Room'!$A$15+'Control Room'!$B$15,'Process'!BT4=1),1+('Control Room'!$C$15-1)*EXP(-0.5*(($A145-'Control Room'!$A$15-('Control Room'!$B$15-1)/2)/MAX(0.5,'Control Room'!$B$15/4))^2),1)*IF(AND($A145&gt;='Control Room'!$A$16,$A145&lt;'Control Room'!$A$16+'Control Room'!$B$16,'Process'!BT5=1),1+('Control Room'!$C$16-1)*EXP(-0.5*(($A145-'Control Room'!$A$16-('Control Room'!$B$16-1)/2)/MAX(0.5,'Control Room'!$B$16/4))^2),1)</x:f>
        <x:v>1</x:v>
      </x:c>
      <x:c r="AZ145" s="9" t="n">
        <x:f>MOD(BA144*16807,2147483647)</x:f>
        <x:v>885572640</x:v>
      </x:c>
      <x:c r="BA145" s="9" t="n">
        <x:f>MOD(AZ145*16807,2147483647)</x:f>
        <x:v>1757686770</x:v>
      </x:c>
      <x:c r="BB145" s="17" t="n">
        <x:f>IF('Control Room'!$B$5="Normal",'Control Room'!$B$7+'Control Room'!$D$7*SQRT(-2*LN(MAX(0.000000000001,AZ145/2147483647)))*COS(2*PI()*BA145/2147483647),'Control Room'!$B$8+('Control Room'!$D$8-'Control Room'!$B$8)*AZ145/2147483647)</x:f>
        <x:v>1049.9722435906945</x:v>
      </x:c>
      <x:c r="BC145" s="17" t="n">
        <x:f>IF('Control Room'!$B$5="Normal",'Control Room'!$B$7,('Control Room'!$B$8+'Control Room'!$D$8)/2)+'Control Room'!$B$9*(BC144-IF('Control Room'!$B$5="Normal",'Control Room'!$B$7,('Control Room'!$B$8+'Control Room'!$D$8)/2))+SQRT(1-'Control Room'!$B$9^2)*(BB145-IF('Control Room'!$B$5="Normal",'Control Room'!$B$7,('Control Room'!$B$8+'Control Room'!$D$8)/2))</x:f>
        <x:v>995.9268262703147</x:v>
      </x:c>
      <x:c r="BD145" s="17" t="n">
        <x:f>IF(AND($A145&gt;='Control Room'!$A$13,$A145&lt;'Control Room'!$A$13+'Control Room'!$B$13,'Process'!BU2=1),1+('Control Room'!$C$13-1)*EXP(-0.5*(($A145-'Control Room'!$A$13-('Control Room'!$B$13-1)/2)/MAX(0.5,'Control Room'!$B$13/4))^2),1)*IF(AND($A145&gt;='Control Room'!$A$14,$A145&lt;'Control Room'!$A$14+'Control Room'!$B$14,'Process'!BU3=1),1+('Control Room'!$C$14-1)*EXP(-0.5*(($A145-'Control Room'!$A$14-('Control Room'!$B$14-1)/2)/MAX(0.5,'Control Room'!$B$14/4))^2),1)*IF(AND($A145&gt;='Control Room'!$A$15,$A145&lt;'Control Room'!$A$15+'Control Room'!$B$15,'Process'!BU4=1),1+('Control Room'!$C$15-1)*EXP(-0.5*(($A145-'Control Room'!$A$15-('Control Room'!$B$15-1)/2)/MAX(0.5,'Control Room'!$B$15/4))^2),1)*IF(AND($A145&gt;='Control Room'!$A$16,$A145&lt;'Control Room'!$A$16+'Control Room'!$B$16,'Process'!BU5=1),1+('Control Room'!$C$16-1)*EXP(-0.5*(($A145-'Control Room'!$A$16-('Control Room'!$B$16-1)/2)/MAX(0.5,'Control Room'!$B$16/4))^2),1)</x:f>
        <x:v>1</x:v>
      </x:c>
      <x:c r="BE145" s="9" t="n">
        <x:f>MOD(BF144*16807,2147483647)</x:f>
        <x:v>432896655</x:v>
      </x:c>
      <x:c r="BF145" s="9" t="n">
        <x:f>MOD(BE145*16807,2147483647)</x:f>
        <x:v>19484549</x:v>
      </x:c>
      <x:c r="BG145" s="17" t="n">
        <x:f>IF('Control Room'!$B$5="Normal",'Control Room'!$B$7+'Control Room'!$D$7*SQRT(-2*LN(MAX(0.000000000001,BE145/2147483647)))*COS(2*PI()*BF145/2147483647),'Control Room'!$B$8+('Control Room'!$D$8-'Control Room'!$B$8)*BE145/2147483647)</x:f>
        <x:v>1160.8133353925484</x:v>
      </x:c>
      <x:c r="BH145" s="17" t="n">
        <x:f>IF('Control Room'!$B$5="Normal",'Control Room'!$B$7,('Control Room'!$B$8+'Control Room'!$D$8)/2)+'Control Room'!$B$9*(BH144-IF('Control Room'!$B$5="Normal",'Control Room'!$B$7,('Control Room'!$B$8+'Control Room'!$D$8)/2))+SQRT(1-'Control Room'!$B$9^2)*(BG145-IF('Control Room'!$B$5="Normal",'Control Room'!$B$7,('Control Room'!$B$8+'Control Room'!$D$8)/2))</x:f>
        <x:v>1138.4231119564138</x:v>
      </x:c>
      <x:c r="BI145" s="17" t="n">
        <x:f>IF(AND($A145&gt;='Control Room'!$A$13,$A145&lt;'Control Room'!$A$13+'Control Room'!$B$13,'Process'!BV2=1),1+('Control Room'!$C$13-1)*EXP(-0.5*(($A145-'Control Room'!$A$13-('Control Room'!$B$13-1)/2)/MAX(0.5,'Control Room'!$B$13/4))^2),1)*IF(AND($A145&gt;='Control Room'!$A$14,$A145&lt;'Control Room'!$A$14+'Control Room'!$B$14,'Process'!BV3=1),1+('Control Room'!$C$14-1)*EXP(-0.5*(($A145-'Control Room'!$A$14-('Control Room'!$B$14-1)/2)/MAX(0.5,'Control Room'!$B$14/4))^2),1)*IF(AND($A145&gt;='Control Room'!$A$15,$A145&lt;'Control Room'!$A$15+'Control Room'!$B$15,'Process'!BV4=1),1+('Control Room'!$C$15-1)*EXP(-0.5*(($A145-'Control Room'!$A$15-('Control Room'!$B$15-1)/2)/MAX(0.5,'Control Room'!$B$15/4))^2),1)*IF(AND($A145&gt;='Control Room'!$A$16,$A145&lt;'Control Room'!$A$16+'Control Room'!$B$16,'Process'!BV5=1),1+('Control Room'!$C$16-1)*EXP(-0.5*(($A145-'Control Room'!$A$16-('Control Room'!$B$16-1)/2)/MAX(0.5,'Control Room'!$B$16/4))^2),1)</x:f>
        <x:v>1</x:v>
      </x:c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Z145" t="str">
        <x:f>IF('Data'!A145="","",TEXT('Data'!A145,"mm-dd"))</x:f>
      </x:c>
    </x:row>
    <x:row r="146" ht="21" customHeight="1">
      <x:c r="A146" s="15" t="n">
        <x:f>'Control Room'!$B$1+144</x:f>
        <x:v>73135</x:v>
      </x:c>
      <x:c r="B146" s="9" t="n">
        <x:f>MOD(C145*16807,2147483647)</x:f>
        <x:v>923408142</x:v>
      </x:c>
      <x:c r="C146" s="9" t="n">
        <x:f>MOD(B146*16807,2147483647)</x:f>
        <x:v>2003809372</x:v>
      </x:c>
      <x:c r="D146" s="17" t="n">
        <x:f>IF('Control Room'!$B$5="Normal",'Control Room'!$B$7+'Control Room'!$D$7*SQRT(-2*LN(MAX(0.000000000001,B146/2147483647)))*COS(2*PI()*C146/2147483647),'Control Room'!$B$8+('Control Room'!$D$8-'Control Room'!$B$8)*B146/2147483647)</x:f>
        <x:v>1106.7494294057094</x:v>
      </x:c>
      <x:c r="E146" s="17" t="n">
        <x:f>IF('Control Room'!$B$5="Normal",'Control Room'!$B$7,('Control Room'!$B$8+'Control Room'!$D$8)/2)+'Control Room'!$B$9*(E145-IF('Control Room'!$B$5="Normal",'Control Room'!$B$7,('Control Room'!$B$8+'Control Room'!$D$8)/2))+SQRT(1-'Control Room'!$B$9^2)*(D146-IF('Control Room'!$B$5="Normal",'Control Room'!$B$7,('Control Room'!$B$8+'Control Room'!$D$8)/2))</x:f>
        <x:v>1002.7873360252365</x:v>
      </x:c>
      <x:c r="F146" s="17" t="n">
        <x:f>IF(AND($A146&gt;='Control Room'!$A$13,$A146&lt;'Control Room'!$A$13+'Control Room'!$B$13,'Process'!BK2=1),1+('Control Room'!$C$13-1)*EXP(-0.5*(($A146-'Control Room'!$A$13-('Control Room'!$B$13-1)/2)/MAX(0.5,'Control Room'!$B$13/4))^2),1)*IF(AND($A146&gt;='Control Room'!$A$14,$A146&lt;'Control Room'!$A$14+'Control Room'!$B$14,'Process'!BK3=1),1+('Control Room'!$C$14-1)*EXP(-0.5*(($A146-'Control Room'!$A$14-('Control Room'!$B$14-1)/2)/MAX(0.5,'Control Room'!$B$14/4))^2),1)*IF(AND($A146&gt;='Control Room'!$A$15,$A146&lt;'Control Room'!$A$15+'Control Room'!$B$15,'Process'!BK4=1),1+('Control Room'!$C$15-1)*EXP(-0.5*(($A146-'Control Room'!$A$15-('Control Room'!$B$15-1)/2)/MAX(0.5,'Control Room'!$B$15/4))^2),1)*IF(AND($A146&gt;='Control Room'!$A$16,$A146&lt;'Control Room'!$A$16+'Control Room'!$B$16,'Process'!BK5=1),1+('Control Room'!$C$16-1)*EXP(-0.5*(($A146-'Control Room'!$A$16-('Control Room'!$B$16-1)/2)/MAX(0.5,'Control Room'!$B$16/4))^2),1)</x:f>
        <x:v>1</x:v>
      </x:c>
      <x:c r="G146" s="9" t="n">
        <x:f>MOD(H145*16807,2147483647)</x:f>
        <x:v>1326213583</x:v>
      </x:c>
      <x:c r="H146" s="9" t="n">
        <x:f>MOD(G146*16807,2147483647)</x:f>
        <x:v>938917268</x:v>
      </x:c>
      <x:c r="I146" s="17" t="n">
        <x:f>IF('Control Room'!$B$5="Normal",'Control Room'!$B$7+'Control Room'!$D$7*SQRT(-2*LN(MAX(0.000000000001,G146/2147483647)))*COS(2*PI()*H146/2147483647),'Control Room'!$B$8+('Control Room'!$D$8-'Control Room'!$B$8)*G146/2147483647)</x:f>
        <x:v>918.4240528034856</x:v>
      </x:c>
      <x:c r="J146" s="17" t="n">
        <x:f>IF('Control Room'!$B$5="Normal",'Control Room'!$B$7,('Control Room'!$B$8+'Control Room'!$D$8)/2)+'Control Room'!$B$9*(J145-IF('Control Room'!$B$5="Normal",'Control Room'!$B$7,('Control Room'!$B$8+'Control Room'!$D$8)/2))+SQRT(1-'Control Room'!$B$9^2)*(I146-IF('Control Room'!$B$5="Normal",'Control Room'!$B$7,('Control Room'!$B$8+'Control Room'!$D$8)/2))</x:f>
        <x:v>980.0185670747169</x:v>
      </x:c>
      <x:c r="K146" s="17" t="n">
        <x:f>IF(AND($A146&gt;='Control Room'!$A$13,$A146&lt;'Control Room'!$A$13+'Control Room'!$B$13,'Process'!BL2=1),1+('Control Room'!$C$13-1)*EXP(-0.5*(($A146-'Control Room'!$A$13-('Control Room'!$B$13-1)/2)/MAX(0.5,'Control Room'!$B$13/4))^2),1)*IF(AND($A146&gt;='Control Room'!$A$14,$A146&lt;'Control Room'!$A$14+'Control Room'!$B$14,'Process'!BL3=1),1+('Control Room'!$C$14-1)*EXP(-0.5*(($A146-'Control Room'!$A$14-('Control Room'!$B$14-1)/2)/MAX(0.5,'Control Room'!$B$14/4))^2),1)*IF(AND($A146&gt;='Control Room'!$A$15,$A146&lt;'Control Room'!$A$15+'Control Room'!$B$15,'Process'!BL4=1),1+('Control Room'!$C$15-1)*EXP(-0.5*(($A146-'Control Room'!$A$15-('Control Room'!$B$15-1)/2)/MAX(0.5,'Control Room'!$B$15/4))^2),1)*IF(AND($A146&gt;='Control Room'!$A$16,$A146&lt;'Control Room'!$A$16+'Control Room'!$B$16,'Process'!BL5=1),1+('Control Room'!$C$16-1)*EXP(-0.5*(($A146-'Control Room'!$A$16-('Control Room'!$B$16-1)/2)/MAX(0.5,'Control Room'!$B$16/4))^2),1)</x:f>
        <x:v>1</x:v>
      </x:c>
      <x:c r="L146" s="9" t="n">
        <x:f>MOD(M145*16807,2147483647)</x:f>
        <x:v>1729019024</x:v>
      </x:c>
      <x:c r="M146" s="9" t="n">
        <x:f>MOD(L146*16807,2147483647)</x:f>
        <x:v>2021508811</x:v>
      </x:c>
      <x:c r="N146" s="17" t="n">
        <x:f>IF('Control Room'!$B$5="Normal",'Control Room'!$B$7+'Control Room'!$D$7*SQRT(-2*LN(MAX(0.000000000001,L146/2147483647)))*COS(2*PI()*M146/2147483647),'Control Room'!$B$8+('Control Room'!$D$8-'Control Room'!$B$8)*L146/2147483647)</x:f>
        <x:v>1055.2759760712377</x:v>
      </x:c>
      <x:c r="O146" s="17" t="n">
        <x:f>IF('Control Room'!$B$5="Normal",'Control Room'!$B$7,('Control Room'!$B$8+'Control Room'!$D$8)/2)+'Control Room'!$B$9*(O145-IF('Control Room'!$B$5="Normal",'Control Room'!$B$7,('Control Room'!$B$8+'Control Room'!$D$8)/2))+SQRT(1-'Control Room'!$B$9^2)*(N146-IF('Control Room'!$B$5="Normal",'Control Room'!$B$7,('Control Room'!$B$8+'Control Room'!$D$8)/2))</x:f>
        <x:v>1034.9689521873072</x:v>
      </x:c>
      <x:c r="P146" s="17" t="n">
        <x:f>IF(AND($A146&gt;='Control Room'!$A$13,$A146&lt;'Control Room'!$A$13+'Control Room'!$B$13,'Process'!BM2=1),1+('Control Room'!$C$13-1)*EXP(-0.5*(($A146-'Control Room'!$A$13-('Control Room'!$B$13-1)/2)/MAX(0.5,'Control Room'!$B$13/4))^2),1)*IF(AND($A146&gt;='Control Room'!$A$14,$A146&lt;'Control Room'!$A$14+'Control Room'!$B$14,'Process'!BM3=1),1+('Control Room'!$C$14-1)*EXP(-0.5*(($A146-'Control Room'!$A$14-('Control Room'!$B$14-1)/2)/MAX(0.5,'Control Room'!$B$14/4))^2),1)*IF(AND($A146&gt;='Control Room'!$A$15,$A146&lt;'Control Room'!$A$15+'Control Room'!$B$15,'Process'!BM4=1),1+('Control Room'!$C$15-1)*EXP(-0.5*(($A146-'Control Room'!$A$15-('Control Room'!$B$15-1)/2)/MAX(0.5,'Control Room'!$B$15/4))^2),1)*IF(AND($A146&gt;='Control Room'!$A$16,$A146&lt;'Control Room'!$A$16+'Control Room'!$B$16,'Process'!BM5=1),1+('Control Room'!$C$16-1)*EXP(-0.5*(($A146-'Control Room'!$A$16-('Control Room'!$B$16-1)/2)/MAX(0.5,'Control Room'!$B$16/4))^2),1)</x:f>
        <x:v>1</x:v>
      </x:c>
      <x:c r="Q146" s="9" t="n">
        <x:f>MOD(R145*16807,2147483647)</x:f>
        <x:v>2131824465</x:v>
      </x:c>
      <x:c r="R146" s="9" t="n">
        <x:f>MOD(Q146*16807,2147483647)</x:f>
        <x:v>956616707</x:v>
      </x:c>
      <x:c r="S146" s="17" t="n">
        <x:f>IF('Control Room'!$B$5="Normal",'Control Room'!$B$7+'Control Room'!$D$7*SQRT(-2*LN(MAX(0.000000000001,Q146/2147483647)))*COS(2*PI()*R146/2147483647),'Control Room'!$B$8+('Control Room'!$D$8-'Control Room'!$B$8)*Q146/2147483647)</x:f>
        <x:v>989.7445417864533</x:v>
      </x:c>
      <x:c r="T146" s="17" t="n">
        <x:f>IF('Control Room'!$B$5="Normal",'Control Room'!$B$7,('Control Room'!$B$8+'Control Room'!$D$8)/2)+'Control Room'!$B$9*(T145-IF('Control Room'!$B$5="Normal",'Control Room'!$B$7,('Control Room'!$B$8+'Control Room'!$D$8)/2))+SQRT(1-'Control Room'!$B$9^2)*(S146-IF('Control Room'!$B$5="Normal",'Control Room'!$B$7,('Control Room'!$B$8+'Control Room'!$D$8)/2))</x:f>
        <x:v>932.1744943922074</x:v>
      </x:c>
      <x:c r="U146" s="17" t="n">
        <x:f>IF(AND($A146&gt;='Control Room'!$A$13,$A146&lt;'Control Room'!$A$13+'Control Room'!$B$13,'Process'!BN2=1),1+('Control Room'!$C$13-1)*EXP(-0.5*(($A146-'Control Room'!$A$13-('Control Room'!$B$13-1)/2)/MAX(0.5,'Control Room'!$B$13/4))^2),1)*IF(AND($A146&gt;='Control Room'!$A$14,$A146&lt;'Control Room'!$A$14+'Control Room'!$B$14,'Process'!BN3=1),1+('Control Room'!$C$14-1)*EXP(-0.5*(($A146-'Control Room'!$A$14-('Control Room'!$B$14-1)/2)/MAX(0.5,'Control Room'!$B$14/4))^2),1)*IF(AND($A146&gt;='Control Room'!$A$15,$A146&lt;'Control Room'!$A$15+'Control Room'!$B$15,'Process'!BN4=1),1+('Control Room'!$C$15-1)*EXP(-0.5*(($A146-'Control Room'!$A$15-('Control Room'!$B$15-1)/2)/MAX(0.5,'Control Room'!$B$15/4))^2),1)*IF(AND($A146&gt;='Control Room'!$A$16,$A146&lt;'Control Room'!$A$16+'Control Room'!$B$16,'Process'!BN5=1),1+('Control Room'!$C$16-1)*EXP(-0.5*(($A146-'Control Room'!$A$16-('Control Room'!$B$16-1)/2)/MAX(0.5,'Control Room'!$B$16/4))^2),1)</x:f>
        <x:v>1</x:v>
      </x:c>
      <x:c r="V146" s="9" t="n">
        <x:f>MOD(W145*16807,2147483647)</x:f>
        <x:v>387146259</x:v>
      </x:c>
      <x:c r="W146" s="9" t="n">
        <x:f>MOD(V146*16807,2147483647)</x:f>
        <x:v>2039208250</x:v>
      </x:c>
      <x:c r="X146" s="17" t="n">
        <x:f>IF('Control Room'!$B$5="Normal",'Control Room'!$B$7+'Control Room'!$D$7*SQRT(-2*LN(MAX(0.000000000001,V146/2147483647)))*COS(2*PI()*W146/2147483647),'Control Room'!$B$8+('Control Room'!$D$8-'Control Room'!$B$8)*V146/2147483647)</x:f>
        <x:v>1158.307097369104</x:v>
      </x:c>
      <x:c r="Y146" s="17" t="n">
        <x:f>IF('Control Room'!$B$5="Normal",'Control Room'!$B$7,('Control Room'!$B$8+'Control Room'!$D$8)/2)+'Control Room'!$B$9*(Y145-IF('Control Room'!$B$5="Normal",'Control Room'!$B$7,('Control Room'!$B$8+'Control Room'!$D$8)/2))+SQRT(1-'Control Room'!$B$9^2)*(X146-IF('Control Room'!$B$5="Normal",'Control Room'!$B$7,('Control Room'!$B$8+'Control Room'!$D$8)/2))</x:f>
        <x:v>1172.993710048204</x:v>
      </x:c>
      <x:c r="Z146" s="17" t="n">
        <x:f>IF(AND($A146&gt;='Control Room'!$A$13,$A146&lt;'Control Room'!$A$13+'Control Room'!$B$13,'Process'!BO2=1),1+('Control Room'!$C$13-1)*EXP(-0.5*(($A146-'Control Room'!$A$13-('Control Room'!$B$13-1)/2)/MAX(0.5,'Control Room'!$B$13/4))^2),1)*IF(AND($A146&gt;='Control Room'!$A$14,$A146&lt;'Control Room'!$A$14+'Control Room'!$B$14,'Process'!BO3=1),1+('Control Room'!$C$14-1)*EXP(-0.5*(($A146-'Control Room'!$A$14-('Control Room'!$B$14-1)/2)/MAX(0.5,'Control Room'!$B$14/4))^2),1)*IF(AND($A146&gt;='Control Room'!$A$15,$A146&lt;'Control Room'!$A$15+'Control Room'!$B$15,'Process'!BO4=1),1+('Control Room'!$C$15-1)*EXP(-0.5*(($A146-'Control Room'!$A$15-('Control Room'!$B$15-1)/2)/MAX(0.5,'Control Room'!$B$15/4))^2),1)*IF(AND($A146&gt;='Control Room'!$A$16,$A146&lt;'Control Room'!$A$16+'Control Room'!$B$16,'Process'!BO5=1),1+('Control Room'!$C$16-1)*EXP(-0.5*(($A146-'Control Room'!$A$16-('Control Room'!$B$16-1)/2)/MAX(0.5,'Control Room'!$B$16/4))^2),1)</x:f>
        <x:v>1</x:v>
      </x:c>
      <x:c r="AA146" s="9" t="n">
        <x:f>MOD(AB145*16807,2147483647)</x:f>
        <x:v>789951700</x:v>
      </x:c>
      <x:c r="AB146" s="9" t="n">
        <x:f>MOD(AA146*16807,2147483647)</x:f>
        <x:v>974316146</x:v>
      </x:c>
      <x:c r="AC146" s="17" t="n">
        <x:f>IF('Control Room'!$B$5="Normal",'Control Room'!$B$7+'Control Room'!$D$7*SQRT(-2*LN(MAX(0.000000000001,AA146/2147483647)))*COS(2*PI()*AB146/2147483647),'Control Room'!$B$8+('Control Room'!$D$8-'Control Room'!$B$8)*AA146/2147483647)</x:f>
        <x:v>878.0634988575467</x:v>
      </x:c>
      <x:c r="AD146" s="17" t="n">
        <x:f>IF('Control Room'!$B$5="Normal",'Control Room'!$B$7,('Control Room'!$B$8+'Control Room'!$D$8)/2)+'Control Room'!$B$9*(AD145-IF('Control Room'!$B$5="Normal",'Control Room'!$B$7,('Control Room'!$B$8+'Control Room'!$D$8)/2))+SQRT(1-'Control Room'!$B$9^2)*(AC146-IF('Control Room'!$B$5="Normal",'Control Room'!$B$7,('Control Room'!$B$8+'Control Room'!$D$8)/2))</x:f>
        <x:v>1029.5304823939252</x:v>
      </x:c>
      <x:c r="AE146" s="17" t="n">
        <x:f>IF(AND($A146&gt;='Control Room'!$A$13,$A146&lt;'Control Room'!$A$13+'Control Room'!$B$13,'Process'!BP2=1),1+('Control Room'!$C$13-1)*EXP(-0.5*(($A146-'Control Room'!$A$13-('Control Room'!$B$13-1)/2)/MAX(0.5,'Control Room'!$B$13/4))^2),1)*IF(AND($A146&gt;='Control Room'!$A$14,$A146&lt;'Control Room'!$A$14+'Control Room'!$B$14,'Process'!BP3=1),1+('Control Room'!$C$14-1)*EXP(-0.5*(($A146-'Control Room'!$A$14-('Control Room'!$B$14-1)/2)/MAX(0.5,'Control Room'!$B$14/4))^2),1)*IF(AND($A146&gt;='Control Room'!$A$15,$A146&lt;'Control Room'!$A$15+'Control Room'!$B$15,'Process'!BP4=1),1+('Control Room'!$C$15-1)*EXP(-0.5*(($A146-'Control Room'!$A$15-('Control Room'!$B$15-1)/2)/MAX(0.5,'Control Room'!$B$15/4))^2),1)*IF(AND($A146&gt;='Control Room'!$A$16,$A146&lt;'Control Room'!$A$16+'Control Room'!$B$16,'Process'!BP5=1),1+('Control Room'!$C$16-1)*EXP(-0.5*(($A146-'Control Room'!$A$16-('Control Room'!$B$16-1)/2)/MAX(0.5,'Control Room'!$B$16/4))^2),1)</x:f>
        <x:v>1</x:v>
      </x:c>
      <x:c r="AF146" s="9" t="n">
        <x:f>MOD(AG145*16807,2147483647)</x:f>
        <x:v>1192757141</x:v>
      </x:c>
      <x:c r="AG146" s="9" t="n">
        <x:f>MOD(AF146*16807,2147483647)</x:f>
        <x:v>2056907689</x:v>
      </x:c>
      <x:c r="AH146" s="17" t="n">
        <x:f>IF('Control Room'!$B$5="Normal",'Control Room'!$B$7+'Control Room'!$D$7*SQRT(-2*LN(MAX(0.000000000001,AF146/2147483647)))*COS(2*PI()*AG146/2147483647),'Control Room'!$B$8+('Control Room'!$D$8-'Control Room'!$B$8)*AF146/2147483647)</x:f>
        <x:v>1094.1943101918032</x:v>
      </x:c>
      <x:c r="AI146" s="17" t="n">
        <x:f>IF('Control Room'!$B$5="Normal",'Control Room'!$B$7,('Control Room'!$B$8+'Control Room'!$D$8)/2)+'Control Room'!$B$9*(AI145-IF('Control Room'!$B$5="Normal",'Control Room'!$B$7,('Control Room'!$B$8+'Control Room'!$D$8)/2))+SQRT(1-'Control Room'!$B$9^2)*(AH146-IF('Control Room'!$B$5="Normal",'Control Room'!$B$7,('Control Room'!$B$8+'Control Room'!$D$8)/2))</x:f>
        <x:v>1168.897532064401</x:v>
      </x:c>
      <x:c r="AJ146" s="17" t="n">
        <x:f>IF(AND($A146&gt;='Control Room'!$A$13,$A146&lt;'Control Room'!$A$13+'Control Room'!$B$13,'Process'!BQ2=1),1+('Control Room'!$C$13-1)*EXP(-0.5*(($A146-'Control Room'!$A$13-('Control Room'!$B$13-1)/2)/MAX(0.5,'Control Room'!$B$13/4))^2),1)*IF(AND($A146&gt;='Control Room'!$A$14,$A146&lt;'Control Room'!$A$14+'Control Room'!$B$14,'Process'!BQ3=1),1+('Control Room'!$C$14-1)*EXP(-0.5*(($A146-'Control Room'!$A$14-('Control Room'!$B$14-1)/2)/MAX(0.5,'Control Room'!$B$14/4))^2),1)*IF(AND($A146&gt;='Control Room'!$A$15,$A146&lt;'Control Room'!$A$15+'Control Room'!$B$15,'Process'!BQ4=1),1+('Control Room'!$C$15-1)*EXP(-0.5*(($A146-'Control Room'!$A$15-('Control Room'!$B$15-1)/2)/MAX(0.5,'Control Room'!$B$15/4))^2),1)*IF(AND($A146&gt;='Control Room'!$A$16,$A146&lt;'Control Room'!$A$16+'Control Room'!$B$16,'Process'!BQ5=1),1+('Control Room'!$C$16-1)*EXP(-0.5*(($A146-'Control Room'!$A$16-('Control Room'!$B$16-1)/2)/MAX(0.5,'Control Room'!$B$16/4))^2),1)</x:f>
        <x:v>1</x:v>
      </x:c>
      <x:c r="AK146" s="9" t="n">
        <x:f>MOD(AL145*16807,2147483647)</x:f>
        <x:v>1595562582</x:v>
      </x:c>
      <x:c r="AL146" s="9" t="n">
        <x:f>MOD(AK146*16807,2147483647)</x:f>
        <x:v>992015585</x:v>
      </x:c>
      <x:c r="AM146" s="17" t="n">
        <x:f>IF('Control Room'!$B$5="Normal",'Control Room'!$B$7+'Control Room'!$D$7*SQRT(-2*LN(MAX(0.000000000001,AK146/2147483647)))*COS(2*PI()*AL146/2147483647),'Control Room'!$B$8+('Control Room'!$D$8-'Control Room'!$B$8)*AK146/2147483647)</x:f>
        <x:v>932.6013578655297</x:v>
      </x:c>
      <x:c r="AN146" s="17" t="n">
        <x:f>IF('Control Room'!$B$5="Normal",'Control Room'!$B$7,('Control Room'!$B$8+'Control Room'!$D$8)/2)+'Control Room'!$B$9*(AN145-IF('Control Room'!$B$5="Normal",'Control Room'!$B$7,('Control Room'!$B$8+'Control Room'!$D$8)/2))+SQRT(1-'Control Room'!$B$9^2)*(AM146-IF('Control Room'!$B$5="Normal",'Control Room'!$B$7,('Control Room'!$B$8+'Control Room'!$D$8)/2))</x:f>
        <x:v>963.7056751373664</x:v>
      </x:c>
      <x:c r="AO146" s="17" t="n">
        <x:f>IF(AND($A146&gt;='Control Room'!$A$13,$A146&lt;'Control Room'!$A$13+'Control Room'!$B$13,'Process'!BR2=1),1+('Control Room'!$C$13-1)*EXP(-0.5*(($A146-'Control Room'!$A$13-('Control Room'!$B$13-1)/2)/MAX(0.5,'Control Room'!$B$13/4))^2),1)*IF(AND($A146&gt;='Control Room'!$A$14,$A146&lt;'Control Room'!$A$14+'Control Room'!$B$14,'Process'!BR3=1),1+('Control Room'!$C$14-1)*EXP(-0.5*(($A146-'Control Room'!$A$14-('Control Room'!$B$14-1)/2)/MAX(0.5,'Control Room'!$B$14/4))^2),1)*IF(AND($A146&gt;='Control Room'!$A$15,$A146&lt;'Control Room'!$A$15+'Control Room'!$B$15,'Process'!BR4=1),1+('Control Room'!$C$15-1)*EXP(-0.5*(($A146-'Control Room'!$A$15-('Control Room'!$B$15-1)/2)/MAX(0.5,'Control Room'!$B$15/4))^2),1)*IF(AND($A146&gt;='Control Room'!$A$16,$A146&lt;'Control Room'!$A$16+'Control Room'!$B$16,'Process'!BR5=1),1+('Control Room'!$C$16-1)*EXP(-0.5*(($A146-'Control Room'!$A$16-('Control Room'!$B$16-1)/2)/MAX(0.5,'Control Room'!$B$16/4))^2),1)</x:f>
        <x:v>1</x:v>
      </x:c>
      <x:c r="AP146" s="9" t="n">
        <x:f>MOD(AQ145*16807,2147483647)</x:f>
        <x:v>1998368023</x:v>
      </x:c>
      <x:c r="AQ146" s="9" t="n">
        <x:f>MOD(AP146*16807,2147483647)</x:f>
        <x:v>2074607128</x:v>
      </x:c>
      <x:c r="AR146" s="17" t="n">
        <x:f>IF('Control Room'!$B$5="Normal",'Control Room'!$B$7+'Control Room'!$D$7*SQRT(-2*LN(MAX(0.000000000001,AP146/2147483647)))*COS(2*PI()*AQ146/2147483647),'Control Room'!$B$8+('Control Room'!$D$8-'Control Room'!$B$8)*AP146/2147483647)</x:f>
        <x:v>1033.3712601909367</x:v>
      </x:c>
      <x:c r="AS146" s="17" t="n">
        <x:f>IF('Control Room'!$B$5="Normal",'Control Room'!$B$7,('Control Room'!$B$8+'Control Room'!$D$8)/2)+'Control Room'!$B$9*(AS145-IF('Control Room'!$B$5="Normal",'Control Room'!$B$7,('Control Room'!$B$8+'Control Room'!$D$8)/2))+SQRT(1-'Control Room'!$B$9^2)*(AR146-IF('Control Room'!$B$5="Normal",'Control Room'!$B$7,('Control Room'!$B$8+'Control Room'!$D$8)/2))</x:f>
        <x:v>996.8493055051074</x:v>
      </x:c>
      <x:c r="AT146" s="17" t="n">
        <x:f>IF(AND($A146&gt;='Control Room'!$A$13,$A146&lt;'Control Room'!$A$13+'Control Room'!$B$13,'Process'!BS2=1),1+('Control Room'!$C$13-1)*EXP(-0.5*(($A146-'Control Room'!$A$13-('Control Room'!$B$13-1)/2)/MAX(0.5,'Control Room'!$B$13/4))^2),1)*IF(AND($A146&gt;='Control Room'!$A$14,$A146&lt;'Control Room'!$A$14+'Control Room'!$B$14,'Process'!BS3=1),1+('Control Room'!$C$14-1)*EXP(-0.5*(($A146-'Control Room'!$A$14-('Control Room'!$B$14-1)/2)/MAX(0.5,'Control Room'!$B$14/4))^2),1)*IF(AND($A146&gt;='Control Room'!$A$15,$A146&lt;'Control Room'!$A$15+'Control Room'!$B$15,'Process'!BS4=1),1+('Control Room'!$C$15-1)*EXP(-0.5*(($A146-'Control Room'!$A$15-('Control Room'!$B$15-1)/2)/MAX(0.5,'Control Room'!$B$15/4))^2),1)*IF(AND($A146&gt;='Control Room'!$A$16,$A146&lt;'Control Room'!$A$16+'Control Room'!$B$16,'Process'!BS5=1),1+('Control Room'!$C$16-1)*EXP(-0.5*(($A146-'Control Room'!$A$16-('Control Room'!$B$16-1)/2)/MAX(0.5,'Control Room'!$B$16/4))^2),1)</x:f>
        <x:v>1</x:v>
      </x:c>
      <x:c r="AU146" s="9" t="n">
        <x:f>MOD(AV145*16807,2147483647)</x:f>
        <x:v>253689817</x:v>
      </x:c>
      <x:c r="AV146" s="9" t="n">
        <x:f>MOD(AU146*16807,2147483647)</x:f>
        <x:v>1009715024</x:v>
      </x:c>
      <x:c r="AW146" s="17" t="n">
        <x:f>IF('Control Room'!$B$5="Normal",'Control Room'!$B$7+'Control Room'!$D$7*SQRT(-2*LN(MAX(0.000000000001,AU146/2147483647)))*COS(2*PI()*AV146/2147483647),'Control Room'!$B$8+('Control Room'!$D$8-'Control Room'!$B$8)*AU146/2147483647)</x:f>
        <x:v>817.2377030915823</x:v>
      </x:c>
      <x:c r="AX146" s="17" t="n">
        <x:f>IF('Control Room'!$B$5="Normal",'Control Room'!$B$7,('Control Room'!$B$8+'Control Room'!$D$8)/2)+'Control Room'!$B$9*(AX145-IF('Control Room'!$B$5="Normal",'Control Room'!$B$7,('Control Room'!$B$8+'Control Room'!$D$8)/2))+SQRT(1-'Control Room'!$B$9^2)*(AW146-IF('Control Room'!$B$5="Normal",'Control Room'!$B$7,('Control Room'!$B$8+'Control Room'!$D$8)/2))</x:f>
        <x:v>869.1269566966057</x:v>
      </x:c>
      <x:c r="AY146" s="17" t="n">
        <x:f>IF(AND($A146&gt;='Control Room'!$A$13,$A146&lt;'Control Room'!$A$13+'Control Room'!$B$13,'Process'!BT2=1),1+('Control Room'!$C$13-1)*EXP(-0.5*(($A146-'Control Room'!$A$13-('Control Room'!$B$13-1)/2)/MAX(0.5,'Control Room'!$B$13/4))^2),1)*IF(AND($A146&gt;='Control Room'!$A$14,$A146&lt;'Control Room'!$A$14+'Control Room'!$B$14,'Process'!BT3=1),1+('Control Room'!$C$14-1)*EXP(-0.5*(($A146-'Control Room'!$A$14-('Control Room'!$B$14-1)/2)/MAX(0.5,'Control Room'!$B$14/4))^2),1)*IF(AND($A146&gt;='Control Room'!$A$15,$A146&lt;'Control Room'!$A$15+'Control Room'!$B$15,'Process'!BT4=1),1+('Control Room'!$C$15-1)*EXP(-0.5*(($A146-'Control Room'!$A$15-('Control Room'!$B$15-1)/2)/MAX(0.5,'Control Room'!$B$15/4))^2),1)*IF(AND($A146&gt;='Control Room'!$A$16,$A146&lt;'Control Room'!$A$16+'Control Room'!$B$16,'Process'!BT5=1),1+('Control Room'!$C$16-1)*EXP(-0.5*(($A146-'Control Room'!$A$16-('Control Room'!$B$16-1)/2)/MAX(0.5,'Control Room'!$B$16/4))^2),1)</x:f>
        <x:v>1</x:v>
      </x:c>
      <x:c r="AZ146" s="9" t="n">
        <x:f>MOD(BA145*16807,2147483647)</x:f>
        <x:v>656495258</x:v>
      </x:c>
      <x:c r="BA146" s="9" t="n">
        <x:f>MOD(AZ146*16807,2147483647)</x:f>
        <x:v>2092306567</x:v>
      </x:c>
      <x:c r="BB146" s="17" t="n">
        <x:f>IF('Control Room'!$B$5="Normal",'Control Room'!$B$7+'Control Room'!$D$7*SQRT(-2*LN(MAX(0.000000000001,AZ146/2147483647)))*COS(2*PI()*BA146/2147483647),'Control Room'!$B$8+('Control Room'!$D$8-'Control Room'!$B$8)*AZ146/2147483647)</x:f>
        <x:v>1136.759509219534</x:v>
      </x:c>
      <x:c r="BC146" s="17" t="n">
        <x:f>IF('Control Room'!$B$5="Normal",'Control Room'!$B$7,('Control Room'!$B$8+'Control Room'!$D$8)/2)+'Control Room'!$B$9*(BC145-IF('Control Room'!$B$5="Normal",'Control Room'!$B$7,('Control Room'!$B$8+'Control Room'!$D$8)/2))+SQRT(1-'Control Room'!$B$9^2)*(BB146-IF('Control Room'!$B$5="Normal",'Control Room'!$B$7,('Control Room'!$B$8+'Control Room'!$D$8)/2))</x:f>
        <x:v>1082.4042236895991</x:v>
      </x:c>
      <x:c r="BD146" s="17" t="n">
        <x:f>IF(AND($A146&gt;='Control Room'!$A$13,$A146&lt;'Control Room'!$A$13+'Control Room'!$B$13,'Process'!BU2=1),1+('Control Room'!$C$13-1)*EXP(-0.5*(($A146-'Control Room'!$A$13-('Control Room'!$B$13-1)/2)/MAX(0.5,'Control Room'!$B$13/4))^2),1)*IF(AND($A146&gt;='Control Room'!$A$14,$A146&lt;'Control Room'!$A$14+'Control Room'!$B$14,'Process'!BU3=1),1+('Control Room'!$C$14-1)*EXP(-0.5*(($A146-'Control Room'!$A$14-('Control Room'!$B$14-1)/2)/MAX(0.5,'Control Room'!$B$14/4))^2),1)*IF(AND($A146&gt;='Control Room'!$A$15,$A146&lt;'Control Room'!$A$15+'Control Room'!$B$15,'Process'!BU4=1),1+('Control Room'!$C$15-1)*EXP(-0.5*(($A146-'Control Room'!$A$15-('Control Room'!$B$15-1)/2)/MAX(0.5,'Control Room'!$B$15/4))^2),1)*IF(AND($A146&gt;='Control Room'!$A$16,$A146&lt;'Control Room'!$A$16+'Control Room'!$B$16,'Process'!BU5=1),1+('Control Room'!$C$16-1)*EXP(-0.5*(($A146-'Control Room'!$A$16-('Control Room'!$B$16-1)/2)/MAX(0.5,'Control Room'!$B$16/4))^2),1)</x:f>
        <x:v>1</x:v>
      </x:c>
      <x:c r="BE146" s="9" t="n">
        <x:f>MOD(BF145*16807,2147483647)</x:f>
        <x:v>1059300699</x:v>
      </x:c>
      <x:c r="BF146" s="9" t="n">
        <x:f>MOD(BE146*16807,2147483647)</x:f>
        <x:v>1027414463</x:v>
      </x:c>
      <x:c r="BG146" s="17" t="n">
        <x:f>IF('Control Room'!$B$5="Normal",'Control Room'!$B$7+'Control Room'!$D$7*SQRT(-2*LN(MAX(0.000000000001,BE146/2147483647)))*COS(2*PI()*BF146/2147483647),'Control Room'!$B$8+('Control Room'!$D$8-'Control Room'!$B$8)*BE146/2147483647)</x:f>
        <x:v>893.9844861352798</x:v>
      </x:c>
      <x:c r="BH146" s="17" t="n">
        <x:f>IF('Control Room'!$B$5="Normal",'Control Room'!$B$7,('Control Room'!$B$8+'Control Room'!$D$8)/2)+'Control Room'!$B$9*(BH145-IF('Control Room'!$B$5="Normal",'Control Room'!$B$7,('Control Room'!$B$8+'Control Room'!$D$8)/2))+SQRT(1-'Control Room'!$B$9^2)*(BG146-IF('Control Room'!$B$5="Normal",'Control Room'!$B$7,('Control Room'!$B$8+'Control Room'!$D$8)/2))</x:f>
        <x:v>1041.6276905953127</x:v>
      </x:c>
      <x:c r="BI146" s="17" t="n">
        <x:f>IF(AND($A146&gt;='Control Room'!$A$13,$A146&lt;'Control Room'!$A$13+'Control Room'!$B$13,'Process'!BV2=1),1+('Control Room'!$C$13-1)*EXP(-0.5*(($A146-'Control Room'!$A$13-('Control Room'!$B$13-1)/2)/MAX(0.5,'Control Room'!$B$13/4))^2),1)*IF(AND($A146&gt;='Control Room'!$A$14,$A146&lt;'Control Room'!$A$14+'Control Room'!$B$14,'Process'!BV3=1),1+('Control Room'!$C$14-1)*EXP(-0.5*(($A146-'Control Room'!$A$14-('Control Room'!$B$14-1)/2)/MAX(0.5,'Control Room'!$B$14/4))^2),1)*IF(AND($A146&gt;='Control Room'!$A$15,$A146&lt;'Control Room'!$A$15+'Control Room'!$B$15,'Process'!BV4=1),1+('Control Room'!$C$15-1)*EXP(-0.5*(($A146-'Control Room'!$A$15-('Control Room'!$B$15-1)/2)/MAX(0.5,'Control Room'!$B$15/4))^2),1)*IF(AND($A146&gt;='Control Room'!$A$16,$A146&lt;'Control Room'!$A$16+'Control Room'!$B$16,'Process'!BV5=1),1+('Control Room'!$C$16-1)*EXP(-0.5*(($A146-'Control Room'!$A$16-('Control Room'!$B$16-1)/2)/MAX(0.5,'Control Room'!$B$16/4))^2),1)</x:f>
        <x:v>1</x:v>
      </x:c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Z146" t="str">
        <x:f>IF('Data'!A146="","",TEXT('Data'!A146,"mm-dd"))</x:f>
      </x:c>
    </x:row>
    <x:row r="147" ht="21" customHeight="1">
      <x:c r="A147" s="15" t="n">
        <x:f>'Control Room'!$B$1+145</x:f>
        <x:v>73136</x:v>
      </x:c>
      <x:c r="B147" s="9" t="n">
        <x:f>MOD(C146*16807,2147483647)</x:f>
        <x:v>1185562950</x:v>
      </x:c>
      <x:c r="C147" s="9" t="n">
        <x:f>MOD(B147*16807,2147483647)</x:f>
        <x:v>1403223784</x:v>
      </x:c>
      <x:c r="D147" s="17" t="n">
        <x:f>IF('Control Room'!$B$5="Normal",'Control Room'!$B$7+'Control Room'!$D$7*SQRT(-2*LN(MAX(0.000000000001,B147/2147483647)))*COS(2*PI()*C147/2147483647),'Control Room'!$B$8+('Control Room'!$D$8-'Control Room'!$B$8)*B147/2147483647)</x:f>
        <x:v>944.0590470758833</x:v>
      </x:c>
      <x:c r="E147" s="17" t="n">
        <x:f>IF('Control Room'!$B$5="Normal",'Control Room'!$B$7,('Control Room'!$B$8+'Control Room'!$D$8)/2)+'Control Room'!$B$9*(E146-IF('Control Room'!$B$5="Normal",'Control Room'!$B$7,('Control Room'!$B$8+'Control Room'!$D$8)/2))+SQRT(1-'Control Room'!$B$9^2)*(D147-IF('Control Room'!$B$5="Normal",'Control Room'!$B$7,('Control Room'!$B$8+'Control Room'!$D$8)/2))</x:f>
        <x:v>967.1674197724842</x:v>
      </x:c>
      <x:c r="F147" s="17" t="n">
        <x:f>IF(AND($A147&gt;='Control Room'!$A$13,$A147&lt;'Control Room'!$A$13+'Control Room'!$B$13,'Process'!BK2=1),1+('Control Room'!$C$13-1)*EXP(-0.5*(($A147-'Control Room'!$A$13-('Control Room'!$B$13-1)/2)/MAX(0.5,'Control Room'!$B$13/4))^2),1)*IF(AND($A147&gt;='Control Room'!$A$14,$A147&lt;'Control Room'!$A$14+'Control Room'!$B$14,'Process'!BK3=1),1+('Control Room'!$C$14-1)*EXP(-0.5*(($A147-'Control Room'!$A$14-('Control Room'!$B$14-1)/2)/MAX(0.5,'Control Room'!$B$14/4))^2),1)*IF(AND($A147&gt;='Control Room'!$A$15,$A147&lt;'Control Room'!$A$15+'Control Room'!$B$15,'Process'!BK4=1),1+('Control Room'!$C$15-1)*EXP(-0.5*(($A147-'Control Room'!$A$15-('Control Room'!$B$15-1)/2)/MAX(0.5,'Control Room'!$B$15/4))^2),1)*IF(AND($A147&gt;='Control Room'!$A$16,$A147&lt;'Control Room'!$A$16+'Control Room'!$B$16,'Process'!BK5=1),1+('Control Room'!$C$16-1)*EXP(-0.5*(($A147-'Control Room'!$A$16-('Control Room'!$B$16-1)/2)/MAX(0.5,'Control Room'!$B$16/4))^2),1)</x:f>
        <x:v>1</x:v>
      </x:c>
      <x:c r="G147" s="9" t="n">
        <x:f>MOD(H146*16807,2147483647)</x:f>
        <x:v>672685120</x:v>
      </x:c>
      <x:c r="H147" s="9" t="n">
        <x:f>MOD(G147*16807,2147483647)</x:f>
        <x:v>1464894032</x:v>
      </x:c>
      <x:c r="I147" s="17" t="n">
        <x:f>IF('Control Room'!$B$5="Normal",'Control Room'!$B$7+'Control Room'!$D$7*SQRT(-2*LN(MAX(0.000000000001,G147/2147483647)))*COS(2*PI()*H147/2147483647),'Control Room'!$B$8+('Control Room'!$D$8-'Control Room'!$B$8)*G147/2147483647)</x:f>
        <x:v>943.2900957131707</x:v>
      </x:c>
      <x:c r="J147" s="17" t="n">
        <x:f>IF('Control Room'!$B$5="Normal",'Control Room'!$B$7,('Control Room'!$B$8+'Control Room'!$D$8)/2)+'Control Room'!$B$9*(J146-IF('Control Room'!$B$5="Normal",'Control Room'!$B$7,('Control Room'!$B$8+'Control Room'!$D$8)/2))+SQRT(1-'Control Room'!$B$9^2)*(I147-IF('Control Room'!$B$5="Normal",'Control Room'!$B$7,('Control Room'!$B$8+'Control Room'!$D$8)/2))</x:f>
        <x:v>948.9265859811183</x:v>
      </x:c>
      <x:c r="K147" s="17" t="n">
        <x:f>IF(AND($A147&gt;='Control Room'!$A$13,$A147&lt;'Control Room'!$A$13+'Control Room'!$B$13,'Process'!BL2=1),1+('Control Room'!$C$13-1)*EXP(-0.5*(($A147-'Control Room'!$A$13-('Control Room'!$B$13-1)/2)/MAX(0.5,'Control Room'!$B$13/4))^2),1)*IF(AND($A147&gt;='Control Room'!$A$14,$A147&lt;'Control Room'!$A$14+'Control Room'!$B$14,'Process'!BL3=1),1+('Control Room'!$C$14-1)*EXP(-0.5*(($A147-'Control Room'!$A$14-('Control Room'!$B$14-1)/2)/MAX(0.5,'Control Room'!$B$14/4))^2),1)*IF(AND($A147&gt;='Control Room'!$A$15,$A147&lt;'Control Room'!$A$15+'Control Room'!$B$15,'Process'!BL4=1),1+('Control Room'!$C$15-1)*EXP(-0.5*(($A147-'Control Room'!$A$15-('Control Room'!$B$15-1)/2)/MAX(0.5,'Control Room'!$B$15/4))^2),1)*IF(AND($A147&gt;='Control Room'!$A$16,$A147&lt;'Control Room'!$A$16+'Control Room'!$B$16,'Process'!BL5=1),1+('Control Room'!$C$16-1)*EXP(-0.5*(($A147-'Control Room'!$A$16-('Control Room'!$B$16-1)/2)/MAX(0.5,'Control Room'!$B$16/4))^2),1)</x:f>
        <x:v>1</x:v>
      </x:c>
      <x:c r="L147" s="9" t="n">
        <x:f>MOD(M146*16807,2147483647)</x:f>
        <x:v>159807290</x:v>
      </x:c>
      <x:c r="M147" s="9" t="n">
        <x:f>MOD(L147*16807,2147483647)</x:f>
        <x:v>1526564280</x:v>
      </x:c>
      <x:c r="N147" s="17" t="n">
        <x:f>IF('Control Room'!$B$5="Normal",'Control Room'!$B$7+'Control Room'!$D$7*SQRT(-2*LN(MAX(0.000000000001,L147/2147483647)))*COS(2*PI()*M147/2147483647),'Control Room'!$B$8+('Control Room'!$D$8-'Control Room'!$B$8)*L147/2147483647)</x:f>
        <x:v>950.056638407574</x:v>
      </x:c>
      <x:c r="O147" s="17" t="n">
        <x:f>IF('Control Room'!$B$5="Normal",'Control Room'!$B$7,('Control Room'!$B$8+'Control Room'!$D$8)/2)+'Control Room'!$B$9*(O146-IF('Control Room'!$B$5="Normal",'Control Room'!$B$7,('Control Room'!$B$8+'Control Room'!$D$8)/2))+SQRT(1-'Control Room'!$B$9^2)*(N147-IF('Control Room'!$B$5="Normal",'Control Room'!$B$7,('Control Room'!$B$8+'Control Room'!$D$8)/2))</x:f>
        <x:v>996.0222501669346</x:v>
      </x:c>
      <x:c r="P147" s="17" t="n">
        <x:f>IF(AND($A147&gt;='Control Room'!$A$13,$A147&lt;'Control Room'!$A$13+'Control Room'!$B$13,'Process'!BM2=1),1+('Control Room'!$C$13-1)*EXP(-0.5*(($A147-'Control Room'!$A$13-('Control Room'!$B$13-1)/2)/MAX(0.5,'Control Room'!$B$13/4))^2),1)*IF(AND($A147&gt;='Control Room'!$A$14,$A147&lt;'Control Room'!$A$14+'Control Room'!$B$14,'Process'!BM3=1),1+('Control Room'!$C$14-1)*EXP(-0.5*(($A147-'Control Room'!$A$14-('Control Room'!$B$14-1)/2)/MAX(0.5,'Control Room'!$B$14/4))^2),1)*IF(AND($A147&gt;='Control Room'!$A$15,$A147&lt;'Control Room'!$A$15+'Control Room'!$B$15,'Process'!BM4=1),1+('Control Room'!$C$15-1)*EXP(-0.5*(($A147-'Control Room'!$A$15-('Control Room'!$B$15-1)/2)/MAX(0.5,'Control Room'!$B$15/4))^2),1)*IF(AND($A147&gt;='Control Room'!$A$16,$A147&lt;'Control Room'!$A$16+'Control Room'!$B$16,'Process'!BM5=1),1+('Control Room'!$C$16-1)*EXP(-0.5*(($A147-'Control Room'!$A$16-('Control Room'!$B$16-1)/2)/MAX(0.5,'Control Room'!$B$16/4))^2),1)</x:f>
        <x:v>1</x:v>
      </x:c>
      <x:c r="Q147" s="9" t="n">
        <x:f>MOD(R146*16807,2147483647)</x:f>
        <x:v>1794413107</x:v>
      </x:c>
      <x:c r="R147" s="9" t="n">
        <x:f>MOD(Q147*16807,2147483647)</x:f>
        <x:v>1588234528</x:v>
      </x:c>
      <x:c r="S147" s="17" t="n">
        <x:f>IF('Control Room'!$B$5="Normal",'Control Room'!$B$7+'Control Room'!$D$7*SQRT(-2*LN(MAX(0.000000000001,Q147/2147483647)))*COS(2*PI()*R147/2147483647),'Control Room'!$B$8+('Control Room'!$D$8-'Control Room'!$B$8)*Q147/2147483647)</x:f>
        <x:v>996.4706210372877</x:v>
      </x:c>
      <x:c r="T147" s="17" t="n">
        <x:f>IF('Control Room'!$B$5="Normal",'Control Room'!$B$7,('Control Room'!$B$8+'Control Room'!$D$8)/2)+'Control Room'!$B$9*(T146-IF('Control Room'!$B$5="Normal",'Control Room'!$B$7,('Control Room'!$B$8+'Control Room'!$D$8)/2))+SQRT(1-'Control Room'!$B$9^2)*(S147-IF('Control Room'!$B$5="Normal",'Control Room'!$B$7,('Control Room'!$B$8+'Control Room'!$D$8)/2))</x:f>
        <x:v>944.8874925743145</x:v>
      </x:c>
      <x:c r="U147" s="17" t="n">
        <x:f>IF(AND($A147&gt;='Control Room'!$A$13,$A147&lt;'Control Room'!$A$13+'Control Room'!$B$13,'Process'!BN2=1),1+('Control Room'!$C$13-1)*EXP(-0.5*(($A147-'Control Room'!$A$13-('Control Room'!$B$13-1)/2)/MAX(0.5,'Control Room'!$B$13/4))^2),1)*IF(AND($A147&gt;='Control Room'!$A$14,$A147&lt;'Control Room'!$A$14+'Control Room'!$B$14,'Process'!BN3=1),1+('Control Room'!$C$14-1)*EXP(-0.5*(($A147-'Control Room'!$A$14-('Control Room'!$B$14-1)/2)/MAX(0.5,'Control Room'!$B$14/4))^2),1)*IF(AND($A147&gt;='Control Room'!$A$15,$A147&lt;'Control Room'!$A$15+'Control Room'!$B$15,'Process'!BN4=1),1+('Control Room'!$C$15-1)*EXP(-0.5*(($A147-'Control Room'!$A$15-('Control Room'!$B$15-1)/2)/MAX(0.5,'Control Room'!$B$15/4))^2),1)*IF(AND($A147&gt;='Control Room'!$A$16,$A147&lt;'Control Room'!$A$16+'Control Room'!$B$16,'Process'!BN5=1),1+('Control Room'!$C$16-1)*EXP(-0.5*(($A147-'Control Room'!$A$16-('Control Room'!$B$16-1)/2)/MAX(0.5,'Control Room'!$B$16/4))^2),1)</x:f>
        <x:v>1</x:v>
      </x:c>
      <x:c r="V147" s="9" t="n">
        <x:f>MOD(W146*16807,2147483647)</x:f>
        <x:v>1281535277</x:v>
      </x:c>
      <x:c r="W147" s="9" t="n">
        <x:f>MOD(V147*16807,2147483647)</x:f>
        <x:v>1649904776</x:v>
      </x:c>
      <x:c r="X147" s="17" t="n">
        <x:f>IF('Control Room'!$B$5="Normal",'Control Room'!$B$7+'Control Room'!$D$7*SQRT(-2*LN(MAX(0.000000000001,V147/2147483647)))*COS(2*PI()*W147/2147483647),'Control Room'!$B$8+('Control Room'!$D$8-'Control Room'!$B$8)*V147/2147483647)</x:f>
        <x:v>1010.4901094244809</x:v>
      </x:c>
      <x:c r="Y147" s="17" t="n">
        <x:f>IF('Control Room'!$B$5="Normal",'Control Room'!$B$7,('Control Room'!$B$8+'Control Room'!$D$8)/2)+'Control Room'!$B$9*(Y146-IF('Control Room'!$B$5="Normal",'Control Room'!$B$7,('Control Room'!$B$8+'Control Room'!$D$8)/2))+SQRT(1-'Control Room'!$B$9^2)*(X147-IF('Control Room'!$B$5="Normal",'Control Room'!$B$7,('Control Room'!$B$8+'Control Room'!$D$8)/2))</x:f>
        <x:v>1141.499589413867</x:v>
      </x:c>
      <x:c r="Z147" s="17" t="n">
        <x:f>IF(AND($A147&gt;='Control Room'!$A$13,$A147&lt;'Control Room'!$A$13+'Control Room'!$B$13,'Process'!BO2=1),1+('Control Room'!$C$13-1)*EXP(-0.5*(($A147-'Control Room'!$A$13-('Control Room'!$B$13-1)/2)/MAX(0.5,'Control Room'!$B$13/4))^2),1)*IF(AND($A147&gt;='Control Room'!$A$14,$A147&lt;'Control Room'!$A$14+'Control Room'!$B$14,'Process'!BO3=1),1+('Control Room'!$C$14-1)*EXP(-0.5*(($A147-'Control Room'!$A$14-('Control Room'!$B$14-1)/2)/MAX(0.5,'Control Room'!$B$14/4))^2),1)*IF(AND($A147&gt;='Control Room'!$A$15,$A147&lt;'Control Room'!$A$15+'Control Room'!$B$15,'Process'!BO4=1),1+('Control Room'!$C$15-1)*EXP(-0.5*(($A147-'Control Room'!$A$15-('Control Room'!$B$15-1)/2)/MAX(0.5,'Control Room'!$B$15/4))^2),1)*IF(AND($A147&gt;='Control Room'!$A$16,$A147&lt;'Control Room'!$A$16+'Control Room'!$B$16,'Process'!BO5=1),1+('Control Room'!$C$16-1)*EXP(-0.5*(($A147-'Control Room'!$A$16-('Control Room'!$B$16-1)/2)/MAX(0.5,'Control Room'!$B$16/4))^2),1)</x:f>
        <x:v>1</x:v>
      </x:c>
      <x:c r="AA147" s="9" t="n">
        <x:f>MOD(AB146*16807,2147483647)</x:f>
        <x:v>768657447</x:v>
      </x:c>
      <x:c r="AB147" s="9" t="n">
        <x:f>MOD(AA147*16807,2147483647)</x:f>
        <x:v>1711575024</x:v>
      </x:c>
      <x:c r="AC147" s="17" t="n">
        <x:f>IF('Control Room'!$B$5="Normal",'Control Room'!$B$7+'Control Room'!$D$7*SQRT(-2*LN(MAX(0.000000000001,AA147/2147483647)))*COS(2*PI()*AB147/2147483647),'Control Room'!$B$8+('Control Room'!$D$8-'Control Room'!$B$8)*AA147/2147483647)</x:f>
        <x:v>1037.5580700738717</x:v>
      </x:c>
      <x:c r="AD147" s="17" t="n">
        <x:f>IF('Control Room'!$B$5="Normal",'Control Room'!$B$7,('Control Room'!$B$8+'Control Room'!$D$8)/2)+'Control Room'!$B$9*(AD146-IF('Control Room'!$B$5="Normal",'Control Room'!$B$7,('Control Room'!$B$8+'Control Room'!$D$8)/2))+SQRT(1-'Control Room'!$B$9^2)*(AC147-IF('Control Room'!$B$5="Normal",'Control Room'!$B$7,('Control Room'!$B$8+'Control Room'!$D$8)/2))</x:f>
        <x:v>1046.5368471006036</x:v>
      </x:c>
      <x:c r="AE147" s="17" t="n">
        <x:f>IF(AND($A147&gt;='Control Room'!$A$13,$A147&lt;'Control Room'!$A$13+'Control Room'!$B$13,'Process'!BP2=1),1+('Control Room'!$C$13-1)*EXP(-0.5*(($A147-'Control Room'!$A$13-('Control Room'!$B$13-1)/2)/MAX(0.5,'Control Room'!$B$13/4))^2),1)*IF(AND($A147&gt;='Control Room'!$A$14,$A147&lt;'Control Room'!$A$14+'Control Room'!$B$14,'Process'!BP3=1),1+('Control Room'!$C$14-1)*EXP(-0.5*(($A147-'Control Room'!$A$14-('Control Room'!$B$14-1)/2)/MAX(0.5,'Control Room'!$B$14/4))^2),1)*IF(AND($A147&gt;='Control Room'!$A$15,$A147&lt;'Control Room'!$A$15+'Control Room'!$B$15,'Process'!BP4=1),1+('Control Room'!$C$15-1)*EXP(-0.5*(($A147-'Control Room'!$A$15-('Control Room'!$B$15-1)/2)/MAX(0.5,'Control Room'!$B$15/4))^2),1)*IF(AND($A147&gt;='Control Room'!$A$16,$A147&lt;'Control Room'!$A$16+'Control Room'!$B$16,'Process'!BP5=1),1+('Control Room'!$C$16-1)*EXP(-0.5*(($A147-'Control Room'!$A$16-('Control Room'!$B$16-1)/2)/MAX(0.5,'Control Room'!$B$16/4))^2),1)</x:f>
        <x:v>1</x:v>
      </x:c>
      <x:c r="AF147" s="9" t="n">
        <x:f>MOD(AG146*16807,2147483647)</x:f>
        <x:v>255779617</x:v>
      </x:c>
      <x:c r="AG147" s="9" t="n">
        <x:f>MOD(AF147*16807,2147483647)</x:f>
        <x:v>1773245272</x:v>
      </x:c>
      <x:c r="AH147" s="17" t="n">
        <x:f>IF('Control Room'!$B$5="Normal",'Control Room'!$B$7+'Control Room'!$D$7*SQRT(-2*LN(MAX(0.000000000001,AF147/2147483647)))*COS(2*PI()*AG147/2147483647),'Control Room'!$B$8+('Control Room'!$D$8-'Control Room'!$B$8)*AF147/2147483647)</x:f>
        <x:v>1085.0470923143923</x:v>
      </x:c>
      <x:c r="AI147" s="17" t="n">
        <x:f>IF('Control Room'!$B$5="Normal",'Control Room'!$B$7,('Control Room'!$B$8+'Control Room'!$D$8)/2)+'Control Room'!$B$9*(AI146-IF('Control Room'!$B$5="Normal",'Control Room'!$B$7,('Control Room'!$B$8+'Control Room'!$D$8)/2))+SQRT(1-'Control Room'!$B$9^2)*(AH147-IF('Control Room'!$B$5="Normal",'Control Room'!$B$7,('Control Room'!$B$8+'Control Room'!$D$8)/2))</x:f>
        <x:v>1184.960803096192</x:v>
      </x:c>
      <x:c r="AJ147" s="17" t="n">
        <x:f>IF(AND($A147&gt;='Control Room'!$A$13,$A147&lt;'Control Room'!$A$13+'Control Room'!$B$13,'Process'!BQ2=1),1+('Control Room'!$C$13-1)*EXP(-0.5*(($A147-'Control Room'!$A$13-('Control Room'!$B$13-1)/2)/MAX(0.5,'Control Room'!$B$13/4))^2),1)*IF(AND($A147&gt;='Control Room'!$A$14,$A147&lt;'Control Room'!$A$14+'Control Room'!$B$14,'Process'!BQ3=1),1+('Control Room'!$C$14-1)*EXP(-0.5*(($A147-'Control Room'!$A$14-('Control Room'!$B$14-1)/2)/MAX(0.5,'Control Room'!$B$14/4))^2),1)*IF(AND($A147&gt;='Control Room'!$A$15,$A147&lt;'Control Room'!$A$15+'Control Room'!$B$15,'Process'!BQ4=1),1+('Control Room'!$C$15-1)*EXP(-0.5*(($A147-'Control Room'!$A$15-('Control Room'!$B$15-1)/2)/MAX(0.5,'Control Room'!$B$15/4))^2),1)*IF(AND($A147&gt;='Control Room'!$A$16,$A147&lt;'Control Room'!$A$16+'Control Room'!$B$16,'Process'!BQ5=1),1+('Control Room'!$C$16-1)*EXP(-0.5*(($A147-'Control Room'!$A$16-('Control Room'!$B$16-1)/2)/MAX(0.5,'Control Room'!$B$16/4))^2),1)</x:f>
        <x:v>1</x:v>
      </x:c>
      <x:c r="AK147" s="9" t="n">
        <x:f>MOD(AL146*16807,2147483647)</x:f>
        <x:v>1890385434</x:v>
      </x:c>
      <x:c r="AL147" s="9" t="n">
        <x:f>MOD(AK147*16807,2147483647)</x:f>
        <x:v>1834915520</x:v>
      </x:c>
      <x:c r="AM147" s="17" t="n">
        <x:f>IF('Control Room'!$B$5="Normal",'Control Room'!$B$7+'Control Room'!$D$7*SQRT(-2*LN(MAX(0.000000000001,AK147/2147483647)))*COS(2*PI()*AL147/2147483647),'Control Room'!$B$8+('Control Room'!$D$8-'Control Room'!$B$8)*AK147/2147483647)</x:f>
        <x:v>1027.732538946517</x:v>
      </x:c>
      <x:c r="AN147" s="17" t="n">
        <x:f>IF('Control Room'!$B$5="Normal",'Control Room'!$B$7,('Control Room'!$B$8+'Control Room'!$D$8)/2)+'Control Room'!$B$9*(AN146-IF('Control Room'!$B$5="Normal",'Control Room'!$B$7,('Control Room'!$B$8+'Control Room'!$D$8)/2))+SQRT(1-'Control Room'!$B$9^2)*(AM147-IF('Control Room'!$B$5="Normal",'Control Room'!$B$7,('Control Room'!$B$8+'Control Room'!$D$8)/2))</x:f>
        <x:v>989.0448813479351</x:v>
      </x:c>
      <x:c r="AO147" s="17" t="n">
        <x:f>IF(AND($A147&gt;='Control Room'!$A$13,$A147&lt;'Control Room'!$A$13+'Control Room'!$B$13,'Process'!BR2=1),1+('Control Room'!$C$13-1)*EXP(-0.5*(($A147-'Control Room'!$A$13-('Control Room'!$B$13-1)/2)/MAX(0.5,'Control Room'!$B$13/4))^2),1)*IF(AND($A147&gt;='Control Room'!$A$14,$A147&lt;'Control Room'!$A$14+'Control Room'!$B$14,'Process'!BR3=1),1+('Control Room'!$C$14-1)*EXP(-0.5*(($A147-'Control Room'!$A$14-('Control Room'!$B$14-1)/2)/MAX(0.5,'Control Room'!$B$14/4))^2),1)*IF(AND($A147&gt;='Control Room'!$A$15,$A147&lt;'Control Room'!$A$15+'Control Room'!$B$15,'Process'!BR4=1),1+('Control Room'!$C$15-1)*EXP(-0.5*(($A147-'Control Room'!$A$15-('Control Room'!$B$15-1)/2)/MAX(0.5,'Control Room'!$B$15/4))^2),1)*IF(AND($A147&gt;='Control Room'!$A$16,$A147&lt;'Control Room'!$A$16+'Control Room'!$B$16,'Process'!BR5=1),1+('Control Room'!$C$16-1)*EXP(-0.5*(($A147-'Control Room'!$A$16-('Control Room'!$B$16-1)/2)/MAX(0.5,'Control Room'!$B$16/4))^2),1)</x:f>
        <x:v>1</x:v>
      </x:c>
      <x:c r="AP147" s="9" t="n">
        <x:f>MOD(AQ146*16807,2147483647)</x:f>
        <x:v>1377507604</x:v>
      </x:c>
      <x:c r="AQ147" s="9" t="n">
        <x:f>MOD(AP147*16807,2147483647)</x:f>
        <x:v>1896585768</x:v>
      </x:c>
      <x:c r="AR147" s="17" t="n">
        <x:f>IF('Control Room'!$B$5="Normal",'Control Room'!$B$7+'Control Room'!$D$7*SQRT(-2*LN(MAX(0.000000000001,AP147/2147483647)))*COS(2*PI()*AQ147/2147483647),'Control Room'!$B$8+('Control Room'!$D$8-'Control Room'!$B$8)*AP147/2147483647)</x:f>
        <x:v>1062.9683836229356</x:v>
      </x:c>
      <x:c r="AS147" s="17" t="n">
        <x:f>IF('Control Room'!$B$5="Normal",'Control Room'!$B$7,('Control Room'!$B$8+'Control Room'!$D$8)/2)+'Control Room'!$B$9*(AS146-IF('Control Room'!$B$5="Normal",'Control Room'!$B$7,('Control Room'!$B$8+'Control Room'!$D$8)/2))+SQRT(1-'Control Room'!$B$9^2)*(AR147-IF('Control Room'!$B$5="Normal",'Control Room'!$B$7,('Control Room'!$B$8+'Control Room'!$D$8)/2))</x:f>
        <x:v>1036.9467827877618</x:v>
      </x:c>
      <x:c r="AT147" s="17" t="n">
        <x:f>IF(AND($A147&gt;='Control Room'!$A$13,$A147&lt;'Control Room'!$A$13+'Control Room'!$B$13,'Process'!BS2=1),1+('Control Room'!$C$13-1)*EXP(-0.5*(($A147-'Control Room'!$A$13-('Control Room'!$B$13-1)/2)/MAX(0.5,'Control Room'!$B$13/4))^2),1)*IF(AND($A147&gt;='Control Room'!$A$14,$A147&lt;'Control Room'!$A$14+'Control Room'!$B$14,'Process'!BS3=1),1+('Control Room'!$C$14-1)*EXP(-0.5*(($A147-'Control Room'!$A$14-('Control Room'!$B$14-1)/2)/MAX(0.5,'Control Room'!$B$14/4))^2),1)*IF(AND($A147&gt;='Control Room'!$A$15,$A147&lt;'Control Room'!$A$15+'Control Room'!$B$15,'Process'!BS4=1),1+('Control Room'!$C$15-1)*EXP(-0.5*(($A147-'Control Room'!$A$15-('Control Room'!$B$15-1)/2)/MAX(0.5,'Control Room'!$B$15/4))^2),1)*IF(AND($A147&gt;='Control Room'!$A$16,$A147&lt;'Control Room'!$A$16+'Control Room'!$B$16,'Process'!BS5=1),1+('Control Room'!$C$16-1)*EXP(-0.5*(($A147-'Control Room'!$A$16-('Control Room'!$B$16-1)/2)/MAX(0.5,'Control Room'!$B$16/4))^2),1)</x:f>
        <x:v>1</x:v>
      </x:c>
      <x:c r="AU147" s="9" t="n">
        <x:f>MOD(AV146*16807,2147483647)</x:f>
        <x:v>864629774</x:v>
      </x:c>
      <x:c r="AV147" s="9" t="n">
        <x:f>MOD(AU147*16807,2147483647)</x:f>
        <x:v>1958256016</x:v>
      </x:c>
      <x:c r="AW147" s="17" t="n">
        <x:f>IF('Control Room'!$B$5="Normal",'Control Room'!$B$7+'Control Room'!$D$7*SQRT(-2*LN(MAX(0.000000000001,AU147/2147483647)))*COS(2*PI()*AV147/2147483647),'Control Room'!$B$8+('Control Room'!$D$8-'Control Room'!$B$8)*AU147/2147483647)</x:f>
        <x:v>1103.2642418365976</x:v>
      </x:c>
      <x:c r="AX147" s="17" t="n">
        <x:f>IF('Control Room'!$B$5="Normal",'Control Room'!$B$7,('Control Room'!$B$8+'Control Room'!$D$8)/2)+'Control Room'!$B$9*(AX146-IF('Control Room'!$B$5="Normal",'Control Room'!$B$7,('Control Room'!$B$8+'Control Room'!$D$8)/2))+SQRT(1-'Control Room'!$B$9^2)*(AW147-IF('Control Room'!$B$5="Normal",'Control Room'!$B$7,('Control Room'!$B$8+'Control Room'!$D$8)/2))</x:f>
        <x:v>962.5396732817145</x:v>
      </x:c>
      <x:c r="AY147" s="17" t="n">
        <x:f>IF(AND($A147&gt;='Control Room'!$A$13,$A147&lt;'Control Room'!$A$13+'Control Room'!$B$13,'Process'!BT2=1),1+('Control Room'!$C$13-1)*EXP(-0.5*(($A147-'Control Room'!$A$13-('Control Room'!$B$13-1)/2)/MAX(0.5,'Control Room'!$B$13/4))^2),1)*IF(AND($A147&gt;='Control Room'!$A$14,$A147&lt;'Control Room'!$A$14+'Control Room'!$B$14,'Process'!BT3=1),1+('Control Room'!$C$14-1)*EXP(-0.5*(($A147-'Control Room'!$A$14-('Control Room'!$B$14-1)/2)/MAX(0.5,'Control Room'!$B$14/4))^2),1)*IF(AND($A147&gt;='Control Room'!$A$15,$A147&lt;'Control Room'!$A$15+'Control Room'!$B$15,'Process'!BT4=1),1+('Control Room'!$C$15-1)*EXP(-0.5*(($A147-'Control Room'!$A$15-('Control Room'!$B$15-1)/2)/MAX(0.5,'Control Room'!$B$15/4))^2),1)*IF(AND($A147&gt;='Control Room'!$A$16,$A147&lt;'Control Room'!$A$16+'Control Room'!$B$16,'Process'!BT5=1),1+('Control Room'!$C$16-1)*EXP(-0.5*(($A147-'Control Room'!$A$16-('Control Room'!$B$16-1)/2)/MAX(0.5,'Control Room'!$B$16/4))^2),1)</x:f>
        <x:v>1</x:v>
      </x:c>
      <x:c r="AZ147" s="9" t="n">
        <x:f>MOD(BA146*16807,2147483647)</x:f>
        <x:v>351751944</x:v>
      </x:c>
      <x:c r="BA147" s="9" t="n">
        <x:f>MOD(AZ147*16807,2147483647)</x:f>
        <x:v>2019926264</x:v>
      </x:c>
      <x:c r="BB147" s="17" t="n">
        <x:f>IF('Control Room'!$B$5="Normal",'Control Room'!$B$7+'Control Room'!$D$7*SQRT(-2*LN(MAX(0.000000000001,AZ147/2147483647)))*COS(2*PI()*BA147/2147483647),'Control Room'!$B$8+('Control Room'!$D$8-'Control Room'!$B$8)*AZ147/2147483647)</x:f>
        <x:v>1159.4104119062404</x:v>
      </x:c>
      <x:c r="BC147" s="17" t="n">
        <x:f>IF('Control Room'!$B$5="Normal",'Control Room'!$B$7,('Control Room'!$B$8+'Control Room'!$D$8)/2)+'Control Room'!$B$9*(BC146-IF('Control Room'!$B$5="Normal",'Control Room'!$B$7,('Control Room'!$B$8+'Control Room'!$D$8)/2))+SQRT(1-'Control Room'!$B$9^2)*(BB147-IF('Control Room'!$B$5="Normal",'Control Room'!$B$7,('Control Room'!$B$8+'Control Room'!$D$8)/2))</x:f>
        <x:v>1164.0310645490179</x:v>
      </x:c>
      <x:c r="BD147" s="17" t="n">
        <x:f>IF(AND($A147&gt;='Control Room'!$A$13,$A147&lt;'Control Room'!$A$13+'Control Room'!$B$13,'Process'!BU2=1),1+('Control Room'!$C$13-1)*EXP(-0.5*(($A147-'Control Room'!$A$13-('Control Room'!$B$13-1)/2)/MAX(0.5,'Control Room'!$B$13/4))^2),1)*IF(AND($A147&gt;='Control Room'!$A$14,$A147&lt;'Control Room'!$A$14+'Control Room'!$B$14,'Process'!BU3=1),1+('Control Room'!$C$14-1)*EXP(-0.5*(($A147-'Control Room'!$A$14-('Control Room'!$B$14-1)/2)/MAX(0.5,'Control Room'!$B$14/4))^2),1)*IF(AND($A147&gt;='Control Room'!$A$15,$A147&lt;'Control Room'!$A$15+'Control Room'!$B$15,'Process'!BU4=1),1+('Control Room'!$C$15-1)*EXP(-0.5*(($A147-'Control Room'!$A$15-('Control Room'!$B$15-1)/2)/MAX(0.5,'Control Room'!$B$15/4))^2),1)*IF(AND($A147&gt;='Control Room'!$A$16,$A147&lt;'Control Room'!$A$16+'Control Room'!$B$16,'Process'!BU5=1),1+('Control Room'!$C$16-1)*EXP(-0.5*(($A147-'Control Room'!$A$16-('Control Room'!$B$16-1)/2)/MAX(0.5,'Control Room'!$B$16/4))^2),1)</x:f>
        <x:v>1</x:v>
      </x:c>
      <x:c r="BE147" s="9" t="n">
        <x:f>MOD(BF146*16807,2147483647)</x:f>
        <x:v>1986357761</x:v>
      </x:c>
      <x:c r="BF147" s="9" t="n">
        <x:f>MOD(BE147*16807,2147483647)</x:f>
        <x:v>2081596512</x:v>
      </x:c>
      <x:c r="BG147" s="17" t="n">
        <x:f>IF('Control Room'!$B$5="Normal",'Control Room'!$B$7+'Control Room'!$D$7*SQRT(-2*LN(MAX(0.000000000001,BE147/2147483647)))*COS(2*PI()*BF147/2147483647),'Control Room'!$B$8+('Control Room'!$D$8-'Control Room'!$B$8)*BE147/2147483647)</x:f>
        <x:v>1034.8873633495525</x:v>
      </x:c>
      <x:c r="BH147" s="17" t="n">
        <x:f>IF('Control Room'!$B$5="Normal",'Control Room'!$B$7,('Control Room'!$B$8+'Control Room'!$D$8)/2)+'Control Room'!$B$9*(BH146-IF('Control Room'!$B$5="Normal",'Control Room'!$B$7,('Control Room'!$B$8+'Control Room'!$D$8)/2))+SQRT(1-'Control Room'!$B$9^2)*(BG147-IF('Control Room'!$B$5="Normal",'Control Room'!$B$7,('Control Room'!$B$8+'Control Room'!$D$8)/2))</x:f>
        <x:v>1054.301395942008</x:v>
      </x:c>
      <x:c r="BI147" s="17" t="n">
        <x:f>IF(AND($A147&gt;='Control Room'!$A$13,$A147&lt;'Control Room'!$A$13+'Control Room'!$B$13,'Process'!BV2=1),1+('Control Room'!$C$13-1)*EXP(-0.5*(($A147-'Control Room'!$A$13-('Control Room'!$B$13-1)/2)/MAX(0.5,'Control Room'!$B$13/4))^2),1)*IF(AND($A147&gt;='Control Room'!$A$14,$A147&lt;'Control Room'!$A$14+'Control Room'!$B$14,'Process'!BV3=1),1+('Control Room'!$C$14-1)*EXP(-0.5*(($A147-'Control Room'!$A$14-('Control Room'!$B$14-1)/2)/MAX(0.5,'Control Room'!$B$14/4))^2),1)*IF(AND($A147&gt;='Control Room'!$A$15,$A147&lt;'Control Room'!$A$15+'Control Room'!$B$15,'Process'!BV4=1),1+('Control Room'!$C$15-1)*EXP(-0.5*(($A147-'Control Room'!$A$15-('Control Room'!$B$15-1)/2)/MAX(0.5,'Control Room'!$B$15/4))^2),1)*IF(AND($A147&gt;='Control Room'!$A$16,$A147&lt;'Control Room'!$A$16+'Control Room'!$B$16,'Process'!BV5=1),1+('Control Room'!$C$16-1)*EXP(-0.5*(($A147-'Control Room'!$A$16-('Control Room'!$B$16-1)/2)/MAX(0.5,'Control Room'!$B$16/4))^2),1)</x:f>
        <x:v>1</x:v>
      </x:c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Z147" t="str">
        <x:f>IF('Data'!A147="","",TEXT('Data'!A147,"mm-dd"))</x:f>
      </x:c>
    </x:row>
    <x:row r="148" ht="21" customHeight="1">
      <x:c r="A148" s="15" t="n">
        <x:f>'Control Room'!$B$1+146</x:f>
        <x:v>73137</x:v>
      </x:c>
      <x:c r="B148" s="9" t="n">
        <x:f>MOD(C147*16807,2147483647)</x:f>
        <x:v>316726334</x:v>
      </x:c>
      <x:c r="C148" s="9" t="n">
        <x:f>MOD(B148*16807,2147483647)</x:f>
        <x:v>1755018272</x:v>
      </x:c>
      <x:c r="D148" s="17" t="n">
        <x:f>IF('Control Room'!$B$5="Normal",'Control Room'!$B$7+'Control Room'!$D$7*SQRT(-2*LN(MAX(0.000000000001,B148/2147483647)))*COS(2*PI()*C148/2147483647),'Control Room'!$B$8+('Control Room'!$D$8-'Control Room'!$B$8)*B148/2147483647)</x:f>
        <x:v>1072.2046215955113</x:v>
      </x:c>
      <x:c r="E148" s="17" t="n">
        <x:f>IF('Control Room'!$B$5="Normal",'Control Room'!$B$7,('Control Room'!$B$8+'Control Room'!$D$8)/2)+'Control Room'!$B$9*(E147-IF('Control Room'!$B$5="Normal",'Control Room'!$B$7,('Control Room'!$B$8+'Control Room'!$D$8)/2))+SQRT(1-'Control Room'!$B$9^2)*(D148-IF('Control Room'!$B$5="Normal",'Control Room'!$B$7,('Control Room'!$B$8+'Control Room'!$D$8)/2))</x:f>
        <x:v>1019.5747604249341</x:v>
      </x:c>
      <x:c r="F148" s="17" t="n">
        <x:f>IF(AND($A148&gt;='Control Room'!$A$13,$A148&lt;'Control Room'!$A$13+'Control Room'!$B$13,'Process'!BK2=1),1+('Control Room'!$C$13-1)*EXP(-0.5*(($A148-'Control Room'!$A$13-('Control Room'!$B$13-1)/2)/MAX(0.5,'Control Room'!$B$13/4))^2),1)*IF(AND($A148&gt;='Control Room'!$A$14,$A148&lt;'Control Room'!$A$14+'Control Room'!$B$14,'Process'!BK3=1),1+('Control Room'!$C$14-1)*EXP(-0.5*(($A148-'Control Room'!$A$14-('Control Room'!$B$14-1)/2)/MAX(0.5,'Control Room'!$B$14/4))^2),1)*IF(AND($A148&gt;='Control Room'!$A$15,$A148&lt;'Control Room'!$A$15+'Control Room'!$B$15,'Process'!BK4=1),1+('Control Room'!$C$15-1)*EXP(-0.5*(($A148-'Control Room'!$A$15-('Control Room'!$B$15-1)/2)/MAX(0.5,'Control Room'!$B$15/4))^2),1)*IF(AND($A148&gt;='Control Room'!$A$16,$A148&lt;'Control Room'!$A$16+'Control Room'!$B$16,'Process'!BK5=1),1+('Control Room'!$C$16-1)*EXP(-0.5*(($A148-'Control Room'!$A$16-('Control Room'!$B$16-1)/2)/MAX(0.5,'Control Room'!$B$16/4))^2),1)</x:f>
        <x:v>1</x:v>
      </x:c>
      <x:c r="G148" s="9" t="n">
        <x:f>MOD(H147*16807,2147483647)</x:f>
        <x:v>1721466616</x:v>
      </x:c>
      <x:c r="H148" s="9" t="n">
        <x:f>MOD(G148*16807,2147483647)</x:f>
        <x:v>1789722728</x:v>
      </x:c>
      <x:c r="I148" s="17" t="n">
        <x:f>IF('Control Room'!$B$5="Normal",'Control Room'!$B$7+'Control Room'!$D$7*SQRT(-2*LN(MAX(0.000000000001,G148/2147483647)))*COS(2*PI()*H148/2147483647),'Control Room'!$B$8+('Control Room'!$D$8-'Control Room'!$B$8)*G148/2147483647)</x:f>
        <x:v>1029.9487209183894</x:v>
      </x:c>
      <x:c r="J148" s="17" t="n">
        <x:f>IF('Control Room'!$B$5="Normal",'Control Room'!$B$7,('Control Room'!$B$8+'Control Room'!$D$8)/2)+'Control Room'!$B$9*(J147-IF('Control Room'!$B$5="Normal",'Control Room'!$B$7,('Control Room'!$B$8+'Control Room'!$D$8)/2))+SQRT(1-'Control Room'!$B$9^2)*(I148-IF('Control Room'!$B$5="Normal",'Control Room'!$B$7,('Control Room'!$B$8+'Control Room'!$D$8)/2))</x:f>
        <x:v>978.9040330831039</x:v>
      </x:c>
      <x:c r="K148" s="17" t="n">
        <x:f>IF(AND($A148&gt;='Control Room'!$A$13,$A148&lt;'Control Room'!$A$13+'Control Room'!$B$13,'Process'!BL2=1),1+('Control Room'!$C$13-1)*EXP(-0.5*(($A148-'Control Room'!$A$13-('Control Room'!$B$13-1)/2)/MAX(0.5,'Control Room'!$B$13/4))^2),1)*IF(AND($A148&gt;='Control Room'!$A$14,$A148&lt;'Control Room'!$A$14+'Control Room'!$B$14,'Process'!BL3=1),1+('Control Room'!$C$14-1)*EXP(-0.5*(($A148-'Control Room'!$A$14-('Control Room'!$B$14-1)/2)/MAX(0.5,'Control Room'!$B$14/4))^2),1)*IF(AND($A148&gt;='Control Room'!$A$15,$A148&lt;'Control Room'!$A$15+'Control Room'!$B$15,'Process'!BL4=1),1+('Control Room'!$C$15-1)*EXP(-0.5*(($A148-'Control Room'!$A$15-('Control Room'!$B$15-1)/2)/MAX(0.5,'Control Room'!$B$15/4))^2),1)*IF(AND($A148&gt;='Control Room'!$A$16,$A148&lt;'Control Room'!$A$16+'Control Room'!$B$16,'Process'!BL5=1),1+('Control Room'!$C$16-1)*EXP(-0.5*(($A148-'Control Room'!$A$16-('Control Room'!$B$16-1)/2)/MAX(0.5,'Control Room'!$B$16/4))^2),1)</x:f>
        <x:v>1</x:v>
      </x:c>
      <x:c r="L148" s="9" t="n">
        <x:f>MOD(M147*16807,2147483647)</x:f>
        <x:v>978723251</x:v>
      </x:c>
      <x:c r="M148" s="9" t="n">
        <x:f>MOD(L148*16807,2147483647)</x:f>
        <x:v>1824427184</x:v>
      </x:c>
      <x:c r="N148" s="17" t="n">
        <x:f>IF('Control Room'!$B$5="Normal",'Control Room'!$B$7+'Control Room'!$D$7*SQRT(-2*LN(MAX(0.000000000001,L148/2147483647)))*COS(2*PI()*M148/2147483647),'Control Room'!$B$8+('Control Room'!$D$8-'Control Room'!$B$8)*L148/2147483647)</x:f>
        <x:v>1066.0685850740292</x:v>
      </x:c>
      <x:c r="O148" s="17" t="n">
        <x:f>IF('Control Room'!$B$5="Normal",'Control Room'!$B$7,('Control Room'!$B$8+'Control Room'!$D$8)/2)+'Control Room'!$B$9*(O147-IF('Control Room'!$B$5="Normal",'Control Room'!$B$7,('Control Room'!$B$8+'Control Room'!$D$8)/2))+SQRT(1-'Control Room'!$B$9^2)*(N148-IF('Control Room'!$B$5="Normal",'Control Room'!$B$7,('Control Room'!$B$8+'Control Room'!$D$8)/2))</x:f>
        <x:v>1038.2417221810026</x:v>
      </x:c>
      <x:c r="P148" s="17" t="n">
        <x:f>IF(AND($A148&gt;='Control Room'!$A$13,$A148&lt;'Control Room'!$A$13+'Control Room'!$B$13,'Process'!BM2=1),1+('Control Room'!$C$13-1)*EXP(-0.5*(($A148-'Control Room'!$A$13-('Control Room'!$B$13-1)/2)/MAX(0.5,'Control Room'!$B$13/4))^2),1)*IF(AND($A148&gt;='Control Room'!$A$14,$A148&lt;'Control Room'!$A$14+'Control Room'!$B$14,'Process'!BM3=1),1+('Control Room'!$C$14-1)*EXP(-0.5*(($A148-'Control Room'!$A$14-('Control Room'!$B$14-1)/2)/MAX(0.5,'Control Room'!$B$14/4))^2),1)*IF(AND($A148&gt;='Control Room'!$A$15,$A148&lt;'Control Room'!$A$15+'Control Room'!$B$15,'Process'!BM4=1),1+('Control Room'!$C$15-1)*EXP(-0.5*(($A148-'Control Room'!$A$15-('Control Room'!$B$15-1)/2)/MAX(0.5,'Control Room'!$B$15/4))^2),1)*IF(AND($A148&gt;='Control Room'!$A$16,$A148&lt;'Control Room'!$A$16+'Control Room'!$B$16,'Process'!BM5=1),1+('Control Room'!$C$16-1)*EXP(-0.5*(($A148-'Control Room'!$A$16-('Control Room'!$B$16-1)/2)/MAX(0.5,'Control Room'!$B$16/4))^2),1)</x:f>
        <x:v>1</x:v>
      </x:c>
      <x:c r="Q148" s="9" t="n">
        <x:f>MOD(R147*16807,2147483647)</x:f>
        <x:v>235979886</x:v>
      </x:c>
      <x:c r="R148" s="9" t="n">
        <x:f>MOD(Q148*16807,2147483647)</x:f>
        <x:v>1859131640</x:v>
      </x:c>
      <x:c r="S148" s="17" t="n">
        <x:f>IF('Control Room'!$B$5="Normal",'Control Room'!$B$7+'Control Room'!$D$7*SQRT(-2*LN(MAX(0.000000000001,Q148/2147483647)))*COS(2*PI()*R148/2147483647),'Control Room'!$B$8+('Control Room'!$D$8-'Control Room'!$B$8)*Q148/2147483647)</x:f>
        <x:v>1125.727147530847</x:v>
      </x:c>
      <x:c r="T148" s="17" t="n">
        <x:f>IF('Control Room'!$B$5="Normal",'Control Room'!$B$7,('Control Room'!$B$8+'Control Room'!$D$8)/2)+'Control Room'!$B$9*(T147-IF('Control Room'!$B$5="Normal",'Control Room'!$B$7,('Control Room'!$B$8+'Control Room'!$D$8)/2))+SQRT(1-'Control Room'!$B$9^2)*(S148-IF('Control Room'!$B$5="Normal",'Control Room'!$B$7,('Control Room'!$B$8+'Control Room'!$D$8)/2))</x:f>
        <x:v>1035.6897174721526</x:v>
      </x:c>
      <x:c r="U148" s="17" t="n">
        <x:f>IF(AND($A148&gt;='Control Room'!$A$13,$A148&lt;'Control Room'!$A$13+'Control Room'!$B$13,'Process'!BN2=1),1+('Control Room'!$C$13-1)*EXP(-0.5*(($A148-'Control Room'!$A$13-('Control Room'!$B$13-1)/2)/MAX(0.5,'Control Room'!$B$13/4))^2),1)*IF(AND($A148&gt;='Control Room'!$A$14,$A148&lt;'Control Room'!$A$14+'Control Room'!$B$14,'Process'!BN3=1),1+('Control Room'!$C$14-1)*EXP(-0.5*(($A148-'Control Room'!$A$14-('Control Room'!$B$14-1)/2)/MAX(0.5,'Control Room'!$B$14/4))^2),1)*IF(AND($A148&gt;='Control Room'!$A$15,$A148&lt;'Control Room'!$A$15+'Control Room'!$B$15,'Process'!BN4=1),1+('Control Room'!$C$15-1)*EXP(-0.5*(($A148-'Control Room'!$A$15-('Control Room'!$B$15-1)/2)/MAX(0.5,'Control Room'!$B$15/4))^2),1)*IF(AND($A148&gt;='Control Room'!$A$16,$A148&lt;'Control Room'!$A$16+'Control Room'!$B$16,'Process'!BN5=1),1+('Control Room'!$C$16-1)*EXP(-0.5*(($A148-'Control Room'!$A$16-('Control Room'!$B$16-1)/2)/MAX(0.5,'Control Room'!$B$16/4))^2),1)</x:f>
        <x:v>1</x:v>
      </x:c>
      <x:c r="V148" s="9" t="n">
        <x:f>MOD(W147*16807,2147483647)</x:f>
        <x:v>1640720168</x:v>
      </x:c>
      <x:c r="W148" s="9" t="n">
        <x:f>MOD(V148*16807,2147483647)</x:f>
        <x:v>1893836096</x:v>
      </x:c>
      <x:c r="X148" s="17" t="n">
        <x:f>IF('Control Room'!$B$5="Normal",'Control Room'!$B$7+'Control Room'!$D$7*SQRT(-2*LN(MAX(0.000000000001,V148/2147483647)))*COS(2*PI()*W148/2147483647),'Control Room'!$B$8+('Control Room'!$D$8-'Control Room'!$B$8)*V148/2147483647)</x:f>
        <x:v>1048.6686218200305</x:v>
      </x:c>
      <x:c r="Y148" s="17" t="n">
        <x:f>IF('Control Room'!$B$5="Normal",'Control Room'!$B$7,('Control Room'!$B$8+'Control Room'!$D$8)/2)+'Control Room'!$B$9*(Y147-IF('Control Room'!$B$5="Normal",'Control Room'!$B$7,('Control Room'!$B$8+'Control Room'!$D$8)/2))+SQRT(1-'Control Room'!$B$9^2)*(X148-IF('Control Room'!$B$5="Normal",'Control Room'!$B$7,('Control Room'!$B$8+'Control Room'!$D$8)/2))</x:f>
        <x:v>1140.82550624688</x:v>
      </x:c>
      <x:c r="Z148" s="17" t="n">
        <x:f>IF(AND($A148&gt;='Control Room'!$A$13,$A148&lt;'Control Room'!$A$13+'Control Room'!$B$13,'Process'!BO2=1),1+('Control Room'!$C$13-1)*EXP(-0.5*(($A148-'Control Room'!$A$13-('Control Room'!$B$13-1)/2)/MAX(0.5,'Control Room'!$B$13/4))^2),1)*IF(AND($A148&gt;='Control Room'!$A$14,$A148&lt;'Control Room'!$A$14+'Control Room'!$B$14,'Process'!BO3=1),1+('Control Room'!$C$14-1)*EXP(-0.5*(($A148-'Control Room'!$A$14-('Control Room'!$B$14-1)/2)/MAX(0.5,'Control Room'!$B$14/4))^2),1)*IF(AND($A148&gt;='Control Room'!$A$15,$A148&lt;'Control Room'!$A$15+'Control Room'!$B$15,'Process'!BO4=1),1+('Control Room'!$C$15-1)*EXP(-0.5*(($A148-'Control Room'!$A$15-('Control Room'!$B$15-1)/2)/MAX(0.5,'Control Room'!$B$15/4))^2),1)*IF(AND($A148&gt;='Control Room'!$A$16,$A148&lt;'Control Room'!$A$16+'Control Room'!$B$16,'Process'!BO5=1),1+('Control Room'!$C$16-1)*EXP(-0.5*(($A148-'Control Room'!$A$16-('Control Room'!$B$16-1)/2)/MAX(0.5,'Control Room'!$B$16/4))^2),1)</x:f>
        <x:v>1</x:v>
      </x:c>
      <x:c r="AA148" s="9" t="n">
        <x:f>MOD(AB147*16807,2147483647)</x:f>
        <x:v>897976803</x:v>
      </x:c>
      <x:c r="AB148" s="9" t="n">
        <x:f>MOD(AA148*16807,2147483647)</x:f>
        <x:v>1928540552</x:v>
      </x:c>
      <x:c r="AC148" s="17" t="n">
        <x:f>IF('Control Room'!$B$5="Normal",'Control Room'!$B$7+'Control Room'!$D$7*SQRT(-2*LN(MAX(0.000000000001,AA148/2147483647)))*COS(2*PI()*AB148/2147483647),'Control Room'!$B$8+('Control Room'!$D$8-'Control Room'!$B$8)*AA148/2147483647)</x:f>
        <x:v>1095.285669152725</x:v>
      </x:c>
      <x:c r="AD148" s="17" t="n">
        <x:f>IF('Control Room'!$B$5="Normal",'Control Room'!$B$7,('Control Room'!$B$8+'Control Room'!$D$8)/2)+'Control Room'!$B$9*(AD147-IF('Control Room'!$B$5="Normal",'Control Room'!$B$7,('Control Room'!$B$8+'Control Room'!$D$8)/2))+SQRT(1-'Control Room'!$B$9^2)*(AC148-IF('Control Room'!$B$5="Normal",'Control Room'!$B$7,('Control Room'!$B$8+'Control Room'!$D$8)/2))</x:f>
        <x:v>1095.926560461211</x:v>
      </x:c>
      <x:c r="AE148" s="17" t="n">
        <x:f>IF(AND($A148&gt;='Control Room'!$A$13,$A148&lt;'Control Room'!$A$13+'Control Room'!$B$13,'Process'!BP2=1),1+('Control Room'!$C$13-1)*EXP(-0.5*(($A148-'Control Room'!$A$13-('Control Room'!$B$13-1)/2)/MAX(0.5,'Control Room'!$B$13/4))^2),1)*IF(AND($A148&gt;='Control Room'!$A$14,$A148&lt;'Control Room'!$A$14+'Control Room'!$B$14,'Process'!BP3=1),1+('Control Room'!$C$14-1)*EXP(-0.5*(($A148-'Control Room'!$A$14-('Control Room'!$B$14-1)/2)/MAX(0.5,'Control Room'!$B$14/4))^2),1)*IF(AND($A148&gt;='Control Room'!$A$15,$A148&lt;'Control Room'!$A$15+'Control Room'!$B$15,'Process'!BP4=1),1+('Control Room'!$C$15-1)*EXP(-0.5*(($A148-'Control Room'!$A$15-('Control Room'!$B$15-1)/2)/MAX(0.5,'Control Room'!$B$15/4))^2),1)*IF(AND($A148&gt;='Control Room'!$A$16,$A148&lt;'Control Room'!$A$16+'Control Room'!$B$16,'Process'!BP5=1),1+('Control Room'!$C$16-1)*EXP(-0.5*(($A148-'Control Room'!$A$16-('Control Room'!$B$16-1)/2)/MAX(0.5,'Control Room'!$B$16/4))^2),1)</x:f>
        <x:v>1</x:v>
      </x:c>
      <x:c r="AF148" s="9" t="n">
        <x:f>MOD(AG147*16807,2147483647)</x:f>
        <x:v>155233438</x:v>
      </x:c>
      <x:c r="AG148" s="9" t="n">
        <x:f>MOD(AF148*16807,2147483647)</x:f>
        <x:v>1963245008</x:v>
      </x:c>
      <x:c r="AH148" s="17" t="n">
        <x:f>IF('Control Room'!$B$5="Normal",'Control Room'!$B$7+'Control Room'!$D$7*SQRT(-2*LN(MAX(0.000000000001,AF148/2147483647)))*COS(2*PI()*AG148/2147483647),'Control Room'!$B$8+('Control Room'!$D$8-'Control Room'!$B$8)*AF148/2147483647)</x:f>
        <x:v>1177.0451124540618</x:v>
      </x:c>
      <x:c r="AI148" s="17" t="n">
        <x:f>IF('Control Room'!$B$5="Normal",'Control Room'!$B$7,('Control Room'!$B$8+'Control Room'!$D$8)/2)+'Control Room'!$B$9*(AI147-IF('Control Room'!$B$5="Normal",'Control Room'!$B$7,('Control Room'!$B$8+'Control Room'!$D$8)/2))+SQRT(1-'Control Room'!$B$9^2)*(AH148-IF('Control Room'!$B$5="Normal",'Control Room'!$B$7,('Control Room'!$B$8+'Control Room'!$D$8)/2))</x:f>
        <x:v>1255.06063082251</x:v>
      </x:c>
      <x:c r="AJ148" s="17" t="n">
        <x:f>IF(AND($A148&gt;='Control Room'!$A$13,$A148&lt;'Control Room'!$A$13+'Control Room'!$B$13,'Process'!BQ2=1),1+('Control Room'!$C$13-1)*EXP(-0.5*(($A148-'Control Room'!$A$13-('Control Room'!$B$13-1)/2)/MAX(0.5,'Control Room'!$B$13/4))^2),1)*IF(AND($A148&gt;='Control Room'!$A$14,$A148&lt;'Control Room'!$A$14+'Control Room'!$B$14,'Process'!BQ3=1),1+('Control Room'!$C$14-1)*EXP(-0.5*(($A148-'Control Room'!$A$14-('Control Room'!$B$14-1)/2)/MAX(0.5,'Control Room'!$B$14/4))^2),1)*IF(AND($A148&gt;='Control Room'!$A$15,$A148&lt;'Control Room'!$A$15+'Control Room'!$B$15,'Process'!BQ4=1),1+('Control Room'!$C$15-1)*EXP(-0.5*(($A148-'Control Room'!$A$15-('Control Room'!$B$15-1)/2)/MAX(0.5,'Control Room'!$B$15/4))^2),1)*IF(AND($A148&gt;='Control Room'!$A$16,$A148&lt;'Control Room'!$A$16+'Control Room'!$B$16,'Process'!BQ5=1),1+('Control Room'!$C$16-1)*EXP(-0.5*(($A148-'Control Room'!$A$16-('Control Room'!$B$16-1)/2)/MAX(0.5,'Control Room'!$B$16/4))^2),1)</x:f>
        <x:v>1</x:v>
      </x:c>
      <x:c r="AK148" s="9" t="n">
        <x:f>MOD(AL147*16807,2147483647)</x:f>
        <x:v>1559973720</x:v>
      </x:c>
      <x:c r="AL148" s="9" t="n">
        <x:f>MOD(AK148*16807,2147483647)</x:f>
        <x:v>1997949464</x:v>
      </x:c>
      <x:c r="AM148" s="17" t="n">
        <x:f>IF('Control Room'!$B$5="Normal",'Control Room'!$B$7+'Control Room'!$D$7*SQRT(-2*LN(MAX(0.000000000001,AK148/2147483647)))*COS(2*PI()*AL148/2147483647),'Control Room'!$B$8+('Control Room'!$D$8-'Control Room'!$B$8)*AK148/2147483647)</x:f>
        <x:v>1065.180262262009</x:v>
      </x:c>
      <x:c r="AN148" s="17" t="n">
        <x:f>IF('Control Room'!$B$5="Normal",'Control Room'!$B$7,('Control Room'!$B$8+'Control Room'!$D$8)/2)+'Control Room'!$B$9*(AN147-IF('Control Room'!$B$5="Normal",'Control Room'!$B$7,('Control Room'!$B$8+'Control Room'!$D$8)/2))+SQRT(1-'Control Room'!$B$9^2)*(AM148-IF('Control Room'!$B$5="Normal",'Control Room'!$B$7,('Control Room'!$B$8+'Control Room'!$D$8)/2))</x:f>
        <x:v>1032.2434802847026</x:v>
      </x:c>
      <x:c r="AO148" s="17" t="n">
        <x:f>IF(AND($A148&gt;='Control Room'!$A$13,$A148&lt;'Control Room'!$A$13+'Control Room'!$B$13,'Process'!BR2=1),1+('Control Room'!$C$13-1)*EXP(-0.5*(($A148-'Control Room'!$A$13-('Control Room'!$B$13-1)/2)/MAX(0.5,'Control Room'!$B$13/4))^2),1)*IF(AND($A148&gt;='Control Room'!$A$14,$A148&lt;'Control Room'!$A$14+'Control Room'!$B$14,'Process'!BR3=1),1+('Control Room'!$C$14-1)*EXP(-0.5*(($A148-'Control Room'!$A$14-('Control Room'!$B$14-1)/2)/MAX(0.5,'Control Room'!$B$14/4))^2),1)*IF(AND($A148&gt;='Control Room'!$A$15,$A148&lt;'Control Room'!$A$15+'Control Room'!$B$15,'Process'!BR4=1),1+('Control Room'!$C$15-1)*EXP(-0.5*(($A148-'Control Room'!$A$15-('Control Room'!$B$15-1)/2)/MAX(0.5,'Control Room'!$B$15/4))^2),1)*IF(AND($A148&gt;='Control Room'!$A$16,$A148&lt;'Control Room'!$A$16+'Control Room'!$B$16,'Process'!BR5=1),1+('Control Room'!$C$16-1)*EXP(-0.5*(($A148-'Control Room'!$A$16-('Control Room'!$B$16-1)/2)/MAX(0.5,'Control Room'!$B$16/4))^2),1)</x:f>
        <x:v>1</x:v>
      </x:c>
      <x:c r="AP148" s="9" t="n">
        <x:f>MOD(AQ147*16807,2147483647)</x:f>
        <x:v>817230355</x:v>
      </x:c>
      <x:c r="AQ148" s="9" t="n">
        <x:f>MOD(AP148*16807,2147483647)</x:f>
        <x:v>2032653920</x:v>
      </x:c>
      <x:c r="AR148" s="17" t="n">
        <x:f>IF('Control Room'!$B$5="Normal",'Control Room'!$B$7+'Control Room'!$D$7*SQRT(-2*LN(MAX(0.000000000001,AP148/2147483647)))*COS(2*PI()*AQ148/2147483647),'Control Room'!$B$8+('Control Room'!$D$8-'Control Room'!$B$8)*AP148/2147483647)</x:f>
        <x:v>1118.1106098195928</x:v>
      </x:c>
      <x:c r="AS148" s="17" t="n">
        <x:f>IF('Control Room'!$B$5="Normal",'Control Room'!$B$7,('Control Room'!$B$8+'Control Room'!$D$8)/2)+'Control Room'!$B$9*(AS147-IF('Control Room'!$B$5="Normal",'Control Room'!$B$7,('Control Room'!$B$8+'Control Room'!$D$8)/2))+SQRT(1-'Control Room'!$B$9^2)*(AR148-IF('Control Room'!$B$5="Normal",'Control Room'!$B$7,('Control Room'!$B$8+'Control Room'!$D$8)/2))</x:f>
        <x:v>1102.7296905721948</x:v>
      </x:c>
      <x:c r="AT148" s="17" t="n">
        <x:f>IF(AND($A148&gt;='Control Room'!$A$13,$A148&lt;'Control Room'!$A$13+'Control Room'!$B$13,'Process'!BS2=1),1+('Control Room'!$C$13-1)*EXP(-0.5*(($A148-'Control Room'!$A$13-('Control Room'!$B$13-1)/2)/MAX(0.5,'Control Room'!$B$13/4))^2),1)*IF(AND($A148&gt;='Control Room'!$A$14,$A148&lt;'Control Room'!$A$14+'Control Room'!$B$14,'Process'!BS3=1),1+('Control Room'!$C$14-1)*EXP(-0.5*(($A148-'Control Room'!$A$14-('Control Room'!$B$14-1)/2)/MAX(0.5,'Control Room'!$B$14/4))^2),1)*IF(AND($A148&gt;='Control Room'!$A$15,$A148&lt;'Control Room'!$A$15+'Control Room'!$B$15,'Process'!BS4=1),1+('Control Room'!$C$15-1)*EXP(-0.5*(($A148-'Control Room'!$A$15-('Control Room'!$B$15-1)/2)/MAX(0.5,'Control Room'!$B$15/4))^2),1)*IF(AND($A148&gt;='Control Room'!$A$16,$A148&lt;'Control Room'!$A$16+'Control Room'!$B$16,'Process'!BS5=1),1+('Control Room'!$C$16-1)*EXP(-0.5*(($A148-'Control Room'!$A$16-('Control Room'!$B$16-1)/2)/MAX(0.5,'Control Room'!$B$16/4))^2),1)</x:f>
        <x:v>1</x:v>
      </x:c>
      <x:c r="AU148" s="9" t="n">
        <x:f>MOD(AV147*16807,2147483647)</x:f>
        <x:v>74486990</x:v>
      </x:c>
      <x:c r="AV148" s="9" t="n">
        <x:f>MOD(AU148*16807,2147483647)</x:f>
        <x:v>2067358376</x:v>
      </x:c>
      <x:c r="AW148" s="17" t="n">
        <x:f>IF('Control Room'!$B$5="Normal",'Control Room'!$B$7+'Control Room'!$D$7*SQRT(-2*LN(MAX(0.000000000001,AU148/2147483647)))*COS(2*PI()*AV148/2147483647),'Control Room'!$B$8+('Control Room'!$D$8-'Control Room'!$B$8)*AU148/2147483647)</x:f>
        <x:v>1226.9730219453145</x:v>
      </x:c>
      <x:c r="AX148" s="17" t="n">
        <x:f>IF('Control Room'!$B$5="Normal",'Control Room'!$B$7,('Control Room'!$B$8+'Control Room'!$D$8)/2)+'Control Room'!$B$9*(AX147-IF('Control Room'!$B$5="Normal",'Control Room'!$B$7,('Control Room'!$B$8+'Control Room'!$D$8)/2))+SQRT(1-'Control Room'!$B$9^2)*(AW148-IF('Control Room'!$B$5="Normal",'Control Room'!$B$7,('Control Room'!$B$8+'Control Room'!$D$8)/2))</x:f>
        <x:v>1112.8160124980216</x:v>
      </x:c>
      <x:c r="AY148" s="17" t="n">
        <x:f>IF(AND($A148&gt;='Control Room'!$A$13,$A148&lt;'Control Room'!$A$13+'Control Room'!$B$13,'Process'!BT2=1),1+('Control Room'!$C$13-1)*EXP(-0.5*(($A148-'Control Room'!$A$13-('Control Room'!$B$13-1)/2)/MAX(0.5,'Control Room'!$B$13/4))^2),1)*IF(AND($A148&gt;='Control Room'!$A$14,$A148&lt;'Control Room'!$A$14+'Control Room'!$B$14,'Process'!BT3=1),1+('Control Room'!$C$14-1)*EXP(-0.5*(($A148-'Control Room'!$A$14-('Control Room'!$B$14-1)/2)/MAX(0.5,'Control Room'!$B$14/4))^2),1)*IF(AND($A148&gt;='Control Room'!$A$15,$A148&lt;'Control Room'!$A$15+'Control Room'!$B$15,'Process'!BT4=1),1+('Control Room'!$C$15-1)*EXP(-0.5*(($A148-'Control Room'!$A$15-('Control Room'!$B$15-1)/2)/MAX(0.5,'Control Room'!$B$15/4))^2),1)*IF(AND($A148&gt;='Control Room'!$A$16,$A148&lt;'Control Room'!$A$16+'Control Room'!$B$16,'Process'!BT5=1),1+('Control Room'!$C$16-1)*EXP(-0.5*(($A148-'Control Room'!$A$16-('Control Room'!$B$16-1)/2)/MAX(0.5,'Control Room'!$B$16/4))^2),1)</x:f>
        <x:v>1</x:v>
      </x:c>
      <x:c r="AZ148" s="9" t="n">
        <x:f>MOD(BA147*16807,2147483647)</x:f>
        <x:v>1479227272</x:v>
      </x:c>
      <x:c r="BA148" s="9" t="n">
        <x:f>MOD(AZ148*16807,2147483647)</x:f>
        <x:v>2102062832</x:v>
      </x:c>
      <x:c r="BB148" s="17" t="n">
        <x:f>IF('Control Room'!$B$5="Normal",'Control Room'!$B$7+'Control Room'!$D$7*SQRT(-2*LN(MAX(0.000000000001,AZ148/2147483647)))*COS(2*PI()*BA148/2147483647),'Control Room'!$B$8+('Control Room'!$D$8-'Control Room'!$B$8)*AZ148/2147483647)</x:f>
        <x:v>1077.0257055888326</x:v>
      </x:c>
      <x:c r="BC148" s="17" t="n">
        <x:f>IF('Control Room'!$B$5="Normal",'Control Room'!$B$7,('Control Room'!$B$8+'Control Room'!$D$8)/2)+'Control Room'!$B$9*(BC147-IF('Control Room'!$B$5="Normal",'Control Room'!$B$7,('Control Room'!$B$8+'Control Room'!$D$8)/2))+SQRT(1-'Control Room'!$B$9^2)*(BB148-IF('Control Room'!$B$5="Normal",'Control Room'!$B$7,('Control Room'!$B$8+'Control Room'!$D$8)/2))</x:f>
        <x:v>1176.1453389483768</x:v>
      </x:c>
      <x:c r="BD148" s="17" t="n">
        <x:f>IF(AND($A148&gt;='Control Room'!$A$13,$A148&lt;'Control Room'!$A$13+'Control Room'!$B$13,'Process'!BU2=1),1+('Control Room'!$C$13-1)*EXP(-0.5*(($A148-'Control Room'!$A$13-('Control Room'!$B$13-1)/2)/MAX(0.5,'Control Room'!$B$13/4))^2),1)*IF(AND($A148&gt;='Control Room'!$A$14,$A148&lt;'Control Room'!$A$14+'Control Room'!$B$14,'Process'!BU3=1),1+('Control Room'!$C$14-1)*EXP(-0.5*(($A148-'Control Room'!$A$14-('Control Room'!$B$14-1)/2)/MAX(0.5,'Control Room'!$B$14/4))^2),1)*IF(AND($A148&gt;='Control Room'!$A$15,$A148&lt;'Control Room'!$A$15+'Control Room'!$B$15,'Process'!BU4=1),1+('Control Room'!$C$15-1)*EXP(-0.5*(($A148-'Control Room'!$A$15-('Control Room'!$B$15-1)/2)/MAX(0.5,'Control Room'!$B$15/4))^2),1)*IF(AND($A148&gt;='Control Room'!$A$16,$A148&lt;'Control Room'!$A$16+'Control Room'!$B$16,'Process'!BU5=1),1+('Control Room'!$C$16-1)*EXP(-0.5*(($A148-'Control Room'!$A$16-('Control Room'!$B$16-1)/2)/MAX(0.5,'Control Room'!$B$16/4))^2),1)</x:f>
        <x:v>1</x:v>
      </x:c>
      <x:c r="BE148" s="9" t="n">
        <x:f>MOD(BF147*16807,2147483647)</x:f>
        <x:v>736483907</x:v>
      </x:c>
      <x:c r="BF148" s="9" t="n">
        <x:f>MOD(BE148*16807,2147483647)</x:f>
        <x:v>2136767288</x:v>
      </x:c>
      <x:c r="BG148" s="17" t="n">
        <x:f>IF('Control Room'!$B$5="Normal",'Control Room'!$B$7+'Control Room'!$D$7*SQRT(-2*LN(MAX(0.000000000001,BE148/2147483647)))*COS(2*PI()*BF148/2147483647),'Control Room'!$B$8+('Control Room'!$D$8-'Control Room'!$B$8)*BE148/2147483647)</x:f>
        <x:v>1131.604063101745</x:v>
      </x:c>
      <x:c r="BH148" s="17" t="n">
        <x:f>IF('Control Room'!$B$5="Normal",'Control Room'!$B$7,('Control Room'!$B$8+'Control Room'!$D$8)/2)+'Control Room'!$B$9*(BH147-IF('Control Room'!$B$5="Normal",'Control Room'!$B$7,('Control Room'!$B$8+'Control Room'!$D$8)/2))+SQRT(1-'Control Room'!$B$9^2)*(BG148-IF('Control Room'!$B$5="Normal",'Control Room'!$B$7,('Control Room'!$B$8+'Control Room'!$D$8)/2))</x:f>
        <x:v>1124.710215468062</x:v>
      </x:c>
      <x:c r="BI148" s="17" t="n">
        <x:f>IF(AND($A148&gt;='Control Room'!$A$13,$A148&lt;'Control Room'!$A$13+'Control Room'!$B$13,'Process'!BV2=1),1+('Control Room'!$C$13-1)*EXP(-0.5*(($A148-'Control Room'!$A$13-('Control Room'!$B$13-1)/2)/MAX(0.5,'Control Room'!$B$13/4))^2),1)*IF(AND($A148&gt;='Control Room'!$A$14,$A148&lt;'Control Room'!$A$14+'Control Room'!$B$14,'Process'!BV3=1),1+('Control Room'!$C$14-1)*EXP(-0.5*(($A148-'Control Room'!$A$14-('Control Room'!$B$14-1)/2)/MAX(0.5,'Control Room'!$B$14/4))^2),1)*IF(AND($A148&gt;='Control Room'!$A$15,$A148&lt;'Control Room'!$A$15+'Control Room'!$B$15,'Process'!BV4=1),1+('Control Room'!$C$15-1)*EXP(-0.5*(($A148-'Control Room'!$A$15-('Control Room'!$B$15-1)/2)/MAX(0.5,'Control Room'!$B$15/4))^2),1)*IF(AND($A148&gt;='Control Room'!$A$16,$A148&lt;'Control Room'!$A$16+'Control Room'!$B$16,'Process'!BV5=1),1+('Control Room'!$C$16-1)*EXP(-0.5*(($A148-'Control Room'!$A$16-('Control Room'!$B$16-1)/2)/MAX(0.5,'Control Room'!$B$16/4))^2),1)</x:f>
        <x:v>1</x:v>
      </x:c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Z148" t="str">
        <x:f>IF('Data'!A148="","",TEXT('Data'!A148,"mm-dd"))</x:f>
      </x:c>
    </x:row>
    <x:row r="149" ht="21" customHeight="1">
      <x:c r="A149" s="15" t="n">
        <x:f>'Control Room'!$B$1+147</x:f>
        <x:v>73138</x:v>
      </x:c>
      <x:c r="B149" s="9" t="n">
        <x:f>MOD(C148*16807,2147483647)</x:f>
        <x:v>904205959</x:v>
      </x:c>
      <x:c r="C149" s="9" t="n">
        <x:f>MOD(B149*16807,2147483647)</x:f>
        <x:v>1395266741</x:v>
      </x:c>
      <x:c r="D149" s="17" t="n">
        <x:f>IF('Control Room'!$B$5="Normal",'Control Room'!$B$7+'Control Room'!$D$7*SQRT(-2*LN(MAX(0.000000000001,B149/2147483647)))*COS(2*PI()*C149/2147483647),'Control Room'!$B$8+('Control Room'!$D$8-'Control Room'!$B$8)*B149/2147483647)</x:f>
        <x:v>930.2528839062705</x:v>
      </x:c>
      <x:c r="E149" s="17" t="n">
        <x:f>IF('Control Room'!$B$5="Normal",'Control Room'!$B$7,('Control Room'!$B$8+'Control Room'!$D$8)/2)+'Control Room'!$B$9*(E148-IF('Control Room'!$B$5="Normal",'Control Room'!$B$7,('Control Room'!$B$8+'Control Room'!$D$8)/2))+SQRT(1-'Control Room'!$B$9^2)*(D149-IF('Control Room'!$B$5="Normal",'Control Room'!$B$7,('Control Room'!$B$8+'Control Room'!$D$8)/2))</x:f>
        <x:v>971.6219967273307</x:v>
      </x:c>
      <x:c r="F149" s="17" t="n">
        <x:f>IF(AND($A149&gt;='Control Room'!$A$13,$A149&lt;'Control Room'!$A$13+'Control Room'!$B$13,'Process'!BK2=1),1+('Control Room'!$C$13-1)*EXP(-0.5*(($A149-'Control Room'!$A$13-('Control Room'!$B$13-1)/2)/MAX(0.5,'Control Room'!$B$13/4))^2),1)*IF(AND($A149&gt;='Control Room'!$A$14,$A149&lt;'Control Room'!$A$14+'Control Room'!$B$14,'Process'!BK3=1),1+('Control Room'!$C$14-1)*EXP(-0.5*(($A149-'Control Room'!$A$14-('Control Room'!$B$14-1)/2)/MAX(0.5,'Control Room'!$B$14/4))^2),1)*IF(AND($A149&gt;='Control Room'!$A$15,$A149&lt;'Control Room'!$A$15+'Control Room'!$B$15,'Process'!BK4=1),1+('Control Room'!$C$15-1)*EXP(-0.5*(($A149-'Control Room'!$A$15-('Control Room'!$B$15-1)/2)/MAX(0.5,'Control Room'!$B$15/4))^2),1)*IF(AND($A149&gt;='Control Room'!$A$16,$A149&lt;'Control Room'!$A$16+'Control Room'!$B$16,'Process'!BK5=1),1+('Control Room'!$C$16-1)*EXP(-0.5*(($A149-'Control Room'!$A$16-('Control Room'!$B$16-1)/2)/MAX(0.5,'Control Room'!$B$16/4))^2),1)</x:f>
        <x:v>1</x:v>
      </x:c>
      <x:c r="G149" s="9" t="n">
        <x:f>MOD(H148*16807,2147483647)</x:f>
        <x:v>66445967</x:v>
      </x:c>
      <x:c r="H149" s="9" t="n">
        <x:f>MOD(G149*16807,2147483647)</x:f>
        <x:v>65870929</x:v>
      </x:c>
      <x:c r="I149" s="17" t="n">
        <x:f>IF('Control Room'!$B$5="Normal",'Control Room'!$B$7+'Control Room'!$D$7*SQRT(-2*LN(MAX(0.000000000001,G149/2147483647)))*COS(2*PI()*H149/2147483647),'Control Room'!$B$8+('Control Room'!$D$8-'Control Room'!$B$8)*G149/2147483647)</x:f>
        <x:v>1232.8950217078595</x:v>
      </x:c>
      <x:c r="J149" s="17" t="n">
        <x:f>IF('Control Room'!$B$5="Normal",'Control Room'!$B$7,('Control Room'!$B$8+'Control Room'!$D$8)/2)+'Control Room'!$B$9*(J148-IF('Control Room'!$B$5="Normal",'Control Room'!$B$7,('Control Room'!$B$8+'Control Room'!$D$8)/2))+SQRT(1-'Control Room'!$B$9^2)*(I149-IF('Control Room'!$B$5="Normal",'Control Room'!$B$7,('Control Room'!$B$8+'Control Room'!$D$8)/2))</x:f>
        <x:v>1129.2860792757467</x:v>
      </x:c>
      <x:c r="K149" s="17" t="n">
        <x:f>IF(AND($A149&gt;='Control Room'!$A$13,$A149&lt;'Control Room'!$A$13+'Control Room'!$B$13,'Process'!BL2=1),1+('Control Room'!$C$13-1)*EXP(-0.5*(($A149-'Control Room'!$A$13-('Control Room'!$B$13-1)/2)/MAX(0.5,'Control Room'!$B$13/4))^2),1)*IF(AND($A149&gt;='Control Room'!$A$14,$A149&lt;'Control Room'!$A$14+'Control Room'!$B$14,'Process'!BL3=1),1+('Control Room'!$C$14-1)*EXP(-0.5*(($A149-'Control Room'!$A$14-('Control Room'!$B$14-1)/2)/MAX(0.5,'Control Room'!$B$14/4))^2),1)*IF(AND($A149&gt;='Control Room'!$A$15,$A149&lt;'Control Room'!$A$15+'Control Room'!$B$15,'Process'!BL4=1),1+('Control Room'!$C$15-1)*EXP(-0.5*(($A149-'Control Room'!$A$15-('Control Room'!$B$15-1)/2)/MAX(0.5,'Control Room'!$B$15/4))^2),1)*IF(AND($A149&gt;='Control Room'!$A$16,$A149&lt;'Control Room'!$A$16+'Control Room'!$B$16,'Process'!BL5=1),1+('Control Room'!$C$16-1)*EXP(-0.5*(($A149-'Control Room'!$A$16-('Control Room'!$B$16-1)/2)/MAX(0.5,'Control Room'!$B$16/4))^2),1)</x:f>
        <x:v>1</x:v>
      </x:c>
      <x:c r="L149" s="9" t="n">
        <x:f>MOD(M148*16807,2147483647)</x:f>
        <x:v>1376169622</x:v>
      </x:c>
      <x:c r="M149" s="9" t="n">
        <x:f>MOD(L149*16807,2147483647)</x:f>
        <x:v>883958764</x:v>
      </x:c>
      <x:c r="N149" s="17" t="n">
        <x:f>IF('Control Room'!$B$5="Normal",'Control Room'!$B$7+'Control Room'!$D$7*SQRT(-2*LN(MAX(0.000000000001,L149/2147483647)))*COS(2*PI()*M149/2147483647),'Control Room'!$B$8+('Control Room'!$D$8-'Control Room'!$B$8)*L149/2147483647)</x:f>
        <x:v>927.8513525706776</x:v>
      </x:c>
      <x:c r="O149" s="17" t="n">
        <x:f>IF('Control Room'!$B$5="Normal",'Control Room'!$B$7,('Control Room'!$B$8+'Control Room'!$D$8)/2)+'Control Room'!$B$9*(O148-IF('Control Room'!$B$5="Normal",'Control Room'!$B$7,('Control Room'!$B$8+'Control Room'!$D$8)/2))+SQRT(1-'Control Room'!$B$9^2)*(N149-IF('Control Room'!$B$5="Normal",'Control Room'!$B$7,('Control Room'!$B$8+'Control Room'!$D$8)/2))</x:f>
        <x:v>984.6793977852935</x:v>
      </x:c>
      <x:c r="P149" s="17" t="n">
        <x:f>IF(AND($A149&gt;='Control Room'!$A$13,$A149&lt;'Control Room'!$A$13+'Control Room'!$B$13,'Process'!BM2=1),1+('Control Room'!$C$13-1)*EXP(-0.5*(($A149-'Control Room'!$A$13-('Control Room'!$B$13-1)/2)/MAX(0.5,'Control Room'!$B$13/4))^2),1)*IF(AND($A149&gt;='Control Room'!$A$14,$A149&lt;'Control Room'!$A$14+'Control Room'!$B$14,'Process'!BM3=1),1+('Control Room'!$C$14-1)*EXP(-0.5*(($A149-'Control Room'!$A$14-('Control Room'!$B$14-1)/2)/MAX(0.5,'Control Room'!$B$14/4))^2),1)*IF(AND($A149&gt;='Control Room'!$A$15,$A149&lt;'Control Room'!$A$15+'Control Room'!$B$15,'Process'!BM4=1),1+('Control Room'!$C$15-1)*EXP(-0.5*(($A149-'Control Room'!$A$15-('Control Room'!$B$15-1)/2)/MAX(0.5,'Control Room'!$B$15/4))^2),1)*IF(AND($A149&gt;='Control Room'!$A$16,$A149&lt;'Control Room'!$A$16+'Control Room'!$B$16,'Process'!BM5=1),1+('Control Room'!$C$16-1)*EXP(-0.5*(($A149-'Control Room'!$A$16-('Control Room'!$B$16-1)/2)/MAX(0.5,'Control Room'!$B$16/4))^2),1)</x:f>
        <x:v>1</x:v>
      </x:c>
      <x:c r="Q149" s="9" t="n">
        <x:f>MOD(R148*16807,2147483647)</x:f>
        <x:v>538409630</x:v>
      </x:c>
      <x:c r="R149" s="9" t="n">
        <x:f>MOD(Q149*16807,2147483647)</x:f>
        <x:v>1702046599</x:v>
      </x:c>
      <x:c r="S149" s="17" t="n">
        <x:f>IF('Control Room'!$B$5="Normal",'Control Room'!$B$7+'Control Room'!$D$7*SQRT(-2*LN(MAX(0.000000000001,Q149/2147483647)))*COS(2*PI()*R149/2147483647),'Control Room'!$B$8+('Control Room'!$D$8-'Control Room'!$B$8)*Q149/2147483647)</x:f>
        <x:v>1039.5731779025366</x:v>
      </x:c>
      <x:c r="T149" s="17" t="n">
        <x:f>IF('Control Room'!$B$5="Normal",'Control Room'!$B$7,('Control Room'!$B$8+'Control Room'!$D$8)/2)+'Control Room'!$B$9*(T148-IF('Control Room'!$B$5="Normal",'Control Room'!$B$7,('Control Room'!$B$8+'Control Room'!$D$8)/2))+SQRT(1-'Control Room'!$B$9^2)*(S149-IF('Control Room'!$B$5="Normal",'Control Room'!$B$7,('Control Room'!$B$8+'Control Room'!$D$8)/2))</x:f>
        <x:v>1052.6020636590717</x:v>
      </x:c>
      <x:c r="U149" s="17" t="n">
        <x:f>IF(AND($A149&gt;='Control Room'!$A$13,$A149&lt;'Control Room'!$A$13+'Control Room'!$B$13,'Process'!BN2=1),1+('Control Room'!$C$13-1)*EXP(-0.5*(($A149-'Control Room'!$A$13-('Control Room'!$B$13-1)/2)/MAX(0.5,'Control Room'!$B$13/4))^2),1)*IF(AND($A149&gt;='Control Room'!$A$14,$A149&lt;'Control Room'!$A$14+'Control Room'!$B$14,'Process'!BN3=1),1+('Control Room'!$C$14-1)*EXP(-0.5*(($A149-'Control Room'!$A$14-('Control Room'!$B$14-1)/2)/MAX(0.5,'Control Room'!$B$14/4))^2),1)*IF(AND($A149&gt;='Control Room'!$A$15,$A149&lt;'Control Room'!$A$15+'Control Room'!$B$15,'Process'!BN4=1),1+('Control Room'!$C$15-1)*EXP(-0.5*(($A149-'Control Room'!$A$15-('Control Room'!$B$15-1)/2)/MAX(0.5,'Control Room'!$B$15/4))^2),1)*IF(AND($A149&gt;='Control Room'!$A$16,$A149&lt;'Control Room'!$A$16+'Control Room'!$B$16,'Process'!BN5=1),1+('Control Room'!$C$16-1)*EXP(-0.5*(($A149-'Control Room'!$A$16-('Control Room'!$B$16-1)/2)/MAX(0.5,'Control Room'!$B$16/4))^2),1)</x:f>
        <x:v>1</x:v>
      </x:c>
      <x:c r="V149" s="9" t="n">
        <x:f>MOD(W148*16807,2147483647)</x:f>
        <x:v>1848133285</x:v>
      </x:c>
      <x:c r="W149" s="9" t="n">
        <x:f>MOD(V149*16807,2147483647)</x:f>
        <x:v>372650787</x:v>
      </x:c>
      <x:c r="X149" s="17" t="n">
        <x:f>IF('Control Room'!$B$5="Normal",'Control Room'!$B$7+'Control Room'!$D$7*SQRT(-2*LN(MAX(0.000000000001,V149/2147483647)))*COS(2*PI()*W149/2147483647),'Control Room'!$B$8+('Control Room'!$D$8-'Control Room'!$B$8)*V149/2147483647)</x:f>
        <x:v>1022.7936175237968</x:v>
      </x:c>
      <x:c r="Y149" s="17" t="n">
        <x:f>IF('Control Room'!$B$5="Normal",'Control Room'!$B$7,('Control Room'!$B$8+'Control Room'!$D$8)/2)+'Control Room'!$B$9*(Y148-IF('Control Room'!$B$5="Normal",'Control Room'!$B$7,('Control Room'!$B$8+'Control Room'!$D$8)/2))+SQRT(1-'Control Room'!$B$9^2)*(X149-IF('Control Room'!$B$5="Normal",'Control Room'!$B$7,('Control Room'!$B$8+'Control Room'!$D$8)/2))</x:f>
        <x:v>1124.1076737663223</x:v>
      </x:c>
      <x:c r="Z149" s="17" t="n">
        <x:f>IF(AND($A149&gt;='Control Room'!$A$13,$A149&lt;'Control Room'!$A$13+'Control Room'!$B$13,'Process'!BO2=1),1+('Control Room'!$C$13-1)*EXP(-0.5*(($A149-'Control Room'!$A$13-('Control Room'!$B$13-1)/2)/MAX(0.5,'Control Room'!$B$13/4))^2),1)*IF(AND($A149&gt;='Control Room'!$A$14,$A149&lt;'Control Room'!$A$14+'Control Room'!$B$14,'Process'!BO3=1),1+('Control Room'!$C$14-1)*EXP(-0.5*(($A149-'Control Room'!$A$14-('Control Room'!$B$14-1)/2)/MAX(0.5,'Control Room'!$B$14/4))^2),1)*IF(AND($A149&gt;='Control Room'!$A$15,$A149&lt;'Control Room'!$A$15+'Control Room'!$B$15,'Process'!BO4=1),1+('Control Room'!$C$15-1)*EXP(-0.5*(($A149-'Control Room'!$A$15-('Control Room'!$B$15-1)/2)/MAX(0.5,'Control Room'!$B$15/4))^2),1)*IF(AND($A149&gt;='Control Room'!$A$16,$A149&lt;'Control Room'!$A$16+'Control Room'!$B$16,'Process'!BO5=1),1+('Control Room'!$C$16-1)*EXP(-0.5*(($A149-'Control Room'!$A$16-('Control Room'!$B$16-1)/2)/MAX(0.5,'Control Room'!$B$16/4))^2),1)</x:f>
        <x:v>1</x:v>
      </x:c>
      <x:c r="AA149" s="9" t="n">
        <x:f>MOD(AB148*16807,2147483647)</x:f>
        <x:v>1010373293</x:v>
      </x:c>
      <x:c r="AB149" s="9" t="n">
        <x:f>MOD(AA149*16807,2147483647)</x:f>
        <x:v>1190738622</x:v>
      </x:c>
      <x:c r="AC149" s="17" t="n">
        <x:f>IF('Control Room'!$B$5="Normal",'Control Room'!$B$7+'Control Room'!$D$7*SQRT(-2*LN(MAX(0.000000000001,AA149/2147483647)))*COS(2*PI()*AB149/2147483647),'Control Room'!$B$8+('Control Room'!$D$8-'Control Room'!$B$8)*AA149/2147483647)</x:f>
        <x:v>895.8933428810032</x:v>
      </x:c>
      <x:c r="AD149" s="17" t="n">
        <x:f>IF('Control Room'!$B$5="Normal",'Control Room'!$B$7,('Control Room'!$B$8+'Control Room'!$D$8)/2)+'Control Room'!$B$9*(AD148-IF('Control Room'!$B$5="Normal",'Control Room'!$B$7,('Control Room'!$B$8+'Control Room'!$D$8)/2))+SQRT(1-'Control Room'!$B$9^2)*(AC149-IF('Control Room'!$B$5="Normal",'Control Room'!$B$7,('Control Room'!$B$8+'Control Room'!$D$8)/2))</x:f>
        <x:v>1009.6749038754722</x:v>
      </x:c>
      <x:c r="AE149" s="17" t="n">
        <x:f>IF(AND($A149&gt;='Control Room'!$A$13,$A149&lt;'Control Room'!$A$13+'Control Room'!$B$13,'Process'!BP2=1),1+('Control Room'!$C$13-1)*EXP(-0.5*(($A149-'Control Room'!$A$13-('Control Room'!$B$13-1)/2)/MAX(0.5,'Control Room'!$B$13/4))^2),1)*IF(AND($A149&gt;='Control Room'!$A$14,$A149&lt;'Control Room'!$A$14+'Control Room'!$B$14,'Process'!BP3=1),1+('Control Room'!$C$14-1)*EXP(-0.5*(($A149-'Control Room'!$A$14-('Control Room'!$B$14-1)/2)/MAX(0.5,'Control Room'!$B$14/4))^2),1)*IF(AND($A149&gt;='Control Room'!$A$15,$A149&lt;'Control Room'!$A$15+'Control Room'!$B$15,'Process'!BP4=1),1+('Control Room'!$C$15-1)*EXP(-0.5*(($A149-'Control Room'!$A$15-('Control Room'!$B$15-1)/2)/MAX(0.5,'Control Room'!$B$15/4))^2),1)*IF(AND($A149&gt;='Control Room'!$A$16,$A149&lt;'Control Room'!$A$16+'Control Room'!$B$16,'Process'!BP5=1),1+('Control Room'!$C$16-1)*EXP(-0.5*(($A149-'Control Room'!$A$16-('Control Room'!$B$16-1)/2)/MAX(0.5,'Control Room'!$B$16/4))^2),1)</x:f>
        <x:v>1</x:v>
      </x:c>
      <x:c r="AF149" s="9" t="n">
        <x:f>MOD(AG148*16807,2147483647)</x:f>
        <x:v>172613301</x:v>
      </x:c>
      <x:c r="AG149" s="9" t="n">
        <x:f>MOD(AF149*16807,2147483647)</x:f>
        <x:v>2008826457</x:v>
      </x:c>
      <x:c r="AH149" s="17" t="n">
        <x:f>IF('Control Room'!$B$5="Normal",'Control Room'!$B$7+'Control Room'!$D$7*SQRT(-2*LN(MAX(0.000000000001,AF149/2147483647)))*COS(2*PI()*AG149/2147483647),'Control Room'!$B$8+('Control Room'!$D$8-'Control Room'!$B$8)*AF149/2147483647)</x:f>
        <x:v>1185.6861099553048</x:v>
      </x:c>
      <x:c r="AI149" s="17" t="n">
        <x:f>IF('Control Room'!$B$5="Normal",'Control Room'!$B$7,('Control Room'!$B$8+'Control Room'!$D$8)/2)+'Control Room'!$B$9*(AI148-IF('Control Room'!$B$5="Normal",'Control Room'!$B$7,('Control Room'!$B$8+'Control Room'!$D$8)/2))+SQRT(1-'Control Room'!$B$9^2)*(AH149-IF('Control Room'!$B$5="Normal",'Control Room'!$B$7,('Control Room'!$B$8+'Control Room'!$D$8)/2))</x:f>
        <x:v>1315.14585566486</x:v>
      </x:c>
      <x:c r="AJ149" s="17" t="n">
        <x:f>IF(AND($A149&gt;='Control Room'!$A$13,$A149&lt;'Control Room'!$A$13+'Control Room'!$B$13,'Process'!BQ2=1),1+('Control Room'!$C$13-1)*EXP(-0.5*(($A149-'Control Room'!$A$13-('Control Room'!$B$13-1)/2)/MAX(0.5,'Control Room'!$B$13/4))^2),1)*IF(AND($A149&gt;='Control Room'!$A$14,$A149&lt;'Control Room'!$A$14+'Control Room'!$B$14,'Process'!BQ3=1),1+('Control Room'!$C$14-1)*EXP(-0.5*(($A149-'Control Room'!$A$14-('Control Room'!$B$14-1)/2)/MAX(0.5,'Control Room'!$B$14/4))^2),1)*IF(AND($A149&gt;='Control Room'!$A$15,$A149&lt;'Control Room'!$A$15+'Control Room'!$B$15,'Process'!BQ4=1),1+('Control Room'!$C$15-1)*EXP(-0.5*(($A149-'Control Room'!$A$15-('Control Room'!$B$15-1)/2)/MAX(0.5,'Control Room'!$B$15/4))^2),1)*IF(AND($A149&gt;='Control Room'!$A$16,$A149&lt;'Control Room'!$A$16+'Control Room'!$B$16,'Process'!BQ5=1),1+('Control Room'!$C$16-1)*EXP(-0.5*(($A149-'Control Room'!$A$16-('Control Room'!$B$16-1)/2)/MAX(0.5,'Control Room'!$B$16/4))^2),1)</x:f>
        <x:v>1</x:v>
      </x:c>
      <x:c r="AK149" s="9" t="n">
        <x:f>MOD(AL148*16807,2147483647)</x:f>
        <x:v>1482336956</x:v>
      </x:c>
      <x:c r="AL149" s="9" t="n">
        <x:f>MOD(AK149*16807,2147483647)</x:f>
        <x:v>679430645</x:v>
      </x:c>
      <x:c r="AM149" s="17" t="n">
        <x:f>IF('Control Room'!$B$5="Normal",'Control Room'!$B$7+'Control Room'!$D$7*SQRT(-2*LN(MAX(0.000000000001,AK149/2147483647)))*COS(2*PI()*AL149/2147483647),'Control Room'!$B$8+('Control Room'!$D$8-'Control Room'!$B$8)*AK149/2147483647)</x:f>
        <x:v>968.6068161307716</x:v>
      </x:c>
      <x:c r="AN149" s="17" t="n">
        <x:f>IF('Control Room'!$B$5="Normal",'Control Room'!$B$7,('Control Room'!$B$8+'Control Room'!$D$8)/2)+'Control Room'!$B$9*(AN148-IF('Control Room'!$B$5="Normal",'Control Room'!$B$7,('Control Room'!$B$8+'Control Room'!$D$8)/2))+SQRT(1-'Control Room'!$B$9^2)*(AM149-IF('Control Room'!$B$5="Normal",'Control Room'!$B$7,('Control Room'!$B$8+'Control Room'!$D$8)/2))</x:f>
        <x:v>1005.5047032810334</x:v>
      </x:c>
      <x:c r="AO149" s="17" t="n">
        <x:f>IF(AND($A149&gt;='Control Room'!$A$13,$A149&lt;'Control Room'!$A$13+'Control Room'!$B$13,'Process'!BR2=1),1+('Control Room'!$C$13-1)*EXP(-0.5*(($A149-'Control Room'!$A$13-('Control Room'!$B$13-1)/2)/MAX(0.5,'Control Room'!$B$13/4))^2),1)*IF(AND($A149&gt;='Control Room'!$A$14,$A149&lt;'Control Room'!$A$14+'Control Room'!$B$14,'Process'!BR3=1),1+('Control Room'!$C$14-1)*EXP(-0.5*(($A149-'Control Room'!$A$14-('Control Room'!$B$14-1)/2)/MAX(0.5,'Control Room'!$B$14/4))^2),1)*IF(AND($A149&gt;='Control Room'!$A$15,$A149&lt;'Control Room'!$A$15+'Control Room'!$B$15,'Process'!BR4=1),1+('Control Room'!$C$15-1)*EXP(-0.5*(($A149-'Control Room'!$A$15-('Control Room'!$B$15-1)/2)/MAX(0.5,'Control Room'!$B$15/4))^2),1)*IF(AND($A149&gt;='Control Room'!$A$16,$A149&lt;'Control Room'!$A$16+'Control Room'!$B$16,'Process'!BR5=1),1+('Control Room'!$C$16-1)*EXP(-0.5*(($A149-'Control Room'!$A$16-('Control Room'!$B$16-1)/2)/MAX(0.5,'Control Room'!$B$16/4))^2),1)</x:f>
        <x:v>1</x:v>
      </x:c>
      <x:c r="AP149" s="9" t="n">
        <x:f>MOD(AQ148*16807,2147483647)</x:f>
        <x:v>644576964</x:v>
      </x:c>
      <x:c r="AQ149" s="9" t="n">
        <x:f>MOD(AP149*16807,2147483647)</x:f>
        <x:v>1497518480</x:v>
      </x:c>
      <x:c r="AR149" s="17" t="n">
        <x:f>IF('Control Room'!$B$5="Normal",'Control Room'!$B$7+'Control Room'!$D$7*SQRT(-2*LN(MAX(0.000000000001,AP149/2147483647)))*COS(2*PI()*AQ149/2147483647),'Control Room'!$B$8+('Control Room'!$D$8-'Control Room'!$B$8)*AP149/2147483647)</x:f>
        <x:v>954.6362351927731</x:v>
      </x:c>
      <x:c r="AS149" s="17" t="n">
        <x:f>IF('Control Room'!$B$5="Normal",'Control Room'!$B$7,('Control Room'!$B$8+'Control Room'!$D$8)/2)+'Control Room'!$B$9*(AS148-IF('Control Room'!$B$5="Normal",'Control Room'!$B$7,('Control Room'!$B$8+'Control Room'!$D$8)/2))+SQRT(1-'Control Room'!$B$9^2)*(AR149-IF('Control Room'!$B$5="Normal",'Control Room'!$B$7,('Control Room'!$B$8+'Control Room'!$D$8)/2))</x:f>
        <x:v>1051.7414439571849</x:v>
      </x:c>
      <x:c r="AT149" s="17" t="n">
        <x:f>IF(AND($A149&gt;='Control Room'!$A$13,$A149&lt;'Control Room'!$A$13+'Control Room'!$B$13,'Process'!BS2=1),1+('Control Room'!$C$13-1)*EXP(-0.5*(($A149-'Control Room'!$A$13-('Control Room'!$B$13-1)/2)/MAX(0.5,'Control Room'!$B$13/4))^2),1)*IF(AND($A149&gt;='Control Room'!$A$14,$A149&lt;'Control Room'!$A$14+'Control Room'!$B$14,'Process'!BS3=1),1+('Control Room'!$C$14-1)*EXP(-0.5*(($A149-'Control Room'!$A$14-('Control Room'!$B$14-1)/2)/MAX(0.5,'Control Room'!$B$14/4))^2),1)*IF(AND($A149&gt;='Control Room'!$A$15,$A149&lt;'Control Room'!$A$15+'Control Room'!$B$15,'Process'!BS4=1),1+('Control Room'!$C$15-1)*EXP(-0.5*(($A149-'Control Room'!$A$15-('Control Room'!$B$15-1)/2)/MAX(0.5,'Control Room'!$B$15/4))^2),1)*IF(AND($A149&gt;='Control Room'!$A$16,$A149&lt;'Control Room'!$A$16+'Control Room'!$B$16,'Process'!BS5=1),1+('Control Room'!$C$16-1)*EXP(-0.5*(($A149-'Control Room'!$A$16-('Control Room'!$B$16-1)/2)/MAX(0.5,'Control Room'!$B$16/4))^2),1)</x:f>
        <x:v>1</x:v>
      </x:c>
      <x:c r="AU149" s="9" t="n">
        <x:f>MOD(AV148*16807,2147483647)</x:f>
        <x:v>1954300619</x:v>
      </x:c>
      <x:c r="AV149" s="9" t="n">
        <x:f>MOD(AU149*16807,2147483647)</x:f>
        <x:v>168122668</x:v>
      </x:c>
      <x:c r="AW149" s="17" t="n">
        <x:f>IF('Control Room'!$B$5="Normal",'Control Room'!$B$7+'Control Room'!$D$7*SQRT(-2*LN(MAX(0.000000000001,AU149/2147483647)))*COS(2*PI()*AV149/2147483647),'Control Room'!$B$8+('Control Room'!$D$8-'Control Room'!$B$8)*AU149/2147483647)</x:f>
        <x:v>1034.4447273393287</x:v>
      </x:c>
      <x:c r="AX149" s="17" t="n">
        <x:f>IF('Control Room'!$B$5="Normal",'Control Room'!$B$7,('Control Room'!$B$8+'Control Room'!$D$8)/2)+'Control Room'!$B$9*(AX148-IF('Control Room'!$B$5="Normal",'Control Room'!$B$7,('Control Room'!$B$8+'Control Room'!$D$8)/2))+SQRT(1-'Control Room'!$B$9^2)*(AW149-IF('Control Room'!$B$5="Normal",'Control Room'!$B$7,('Control Room'!$B$8+'Control Room'!$D$8)/2))</x:f>
        <x:v>1109.5512944788143</x:v>
      </x:c>
      <x:c r="AY149" s="17" t="n">
        <x:f>IF(AND($A149&gt;='Control Room'!$A$13,$A149&lt;'Control Room'!$A$13+'Control Room'!$B$13,'Process'!BT2=1),1+('Control Room'!$C$13-1)*EXP(-0.5*(($A149-'Control Room'!$A$13-('Control Room'!$B$13-1)/2)/MAX(0.5,'Control Room'!$B$13/4))^2),1)*IF(AND($A149&gt;='Control Room'!$A$14,$A149&lt;'Control Room'!$A$14+'Control Room'!$B$14,'Process'!BT3=1),1+('Control Room'!$C$14-1)*EXP(-0.5*(($A149-'Control Room'!$A$14-('Control Room'!$B$14-1)/2)/MAX(0.5,'Control Room'!$B$14/4))^2),1)*IF(AND($A149&gt;='Control Room'!$A$15,$A149&lt;'Control Room'!$A$15+'Control Room'!$B$15,'Process'!BT4=1),1+('Control Room'!$C$15-1)*EXP(-0.5*(($A149-'Control Room'!$A$15-('Control Room'!$B$15-1)/2)/MAX(0.5,'Control Room'!$B$15/4))^2),1)*IF(AND($A149&gt;='Control Room'!$A$16,$A149&lt;'Control Room'!$A$16+'Control Room'!$B$16,'Process'!BT5=1),1+('Control Room'!$C$16-1)*EXP(-0.5*(($A149-'Control Room'!$A$16-('Control Room'!$B$16-1)/2)/MAX(0.5,'Control Room'!$B$16/4))^2),1)</x:f>
        <x:v>1</x:v>
      </x:c>
      <x:c r="AZ149" s="9" t="n">
        <x:f>MOD(BA148*16807,2147483647)</x:f>
        <x:v>1116540627</x:v>
      </x:c>
      <x:c r="BA149" s="9" t="n">
        <x:f>MOD(AZ149*16807,2147483647)</x:f>
        <x:v>986210503</x:v>
      </x:c>
      <x:c r="BB149" s="17" t="n">
        <x:f>IF('Control Room'!$B$5="Normal",'Control Room'!$B$7+'Control Room'!$D$7*SQRT(-2*LN(MAX(0.000000000001,AZ149/2147483647)))*COS(2*PI()*BA149/2147483647),'Control Room'!$B$8+('Control Room'!$D$8-'Control Room'!$B$8)*AZ149/2147483647)</x:f>
        <x:v>900.4213986286798</x:v>
      </x:c>
      <x:c r="BC149" s="17" t="n">
        <x:f>IF('Control Room'!$B$5="Normal",'Control Room'!$B$7,('Control Room'!$B$8+'Control Room'!$D$8)/2)+'Control Room'!$B$9*(BC148-IF('Control Room'!$B$5="Normal",'Control Room'!$B$7,('Control Room'!$B$8+'Control Room'!$D$8)/2))+SQRT(1-'Control Room'!$B$9^2)*(BB149-IF('Control Room'!$B$5="Normal",'Control Room'!$B$7,('Control Room'!$B$8+'Control Room'!$D$8)/2))</x:f>
        <x:v>1075.0791156200935</x:v>
      </x:c>
      <x:c r="BD149" s="17" t="n">
        <x:f>IF(AND($A149&gt;='Control Room'!$A$13,$A149&lt;'Control Room'!$A$13+'Control Room'!$B$13,'Process'!BU2=1),1+('Control Room'!$C$13-1)*EXP(-0.5*(($A149-'Control Room'!$A$13-('Control Room'!$B$13-1)/2)/MAX(0.5,'Control Room'!$B$13/4))^2),1)*IF(AND($A149&gt;='Control Room'!$A$14,$A149&lt;'Control Room'!$A$14+'Control Room'!$B$14,'Process'!BU3=1),1+('Control Room'!$C$14-1)*EXP(-0.5*(($A149-'Control Room'!$A$14-('Control Room'!$B$14-1)/2)/MAX(0.5,'Control Room'!$B$14/4))^2),1)*IF(AND($A149&gt;='Control Room'!$A$15,$A149&lt;'Control Room'!$A$15+'Control Room'!$B$15,'Process'!BU4=1),1+('Control Room'!$C$15-1)*EXP(-0.5*(($A149-'Control Room'!$A$15-('Control Room'!$B$15-1)/2)/MAX(0.5,'Control Room'!$B$15/4))^2),1)*IF(AND($A149&gt;='Control Room'!$A$16,$A149&lt;'Control Room'!$A$16+'Control Room'!$B$16,'Process'!BU5=1),1+('Control Room'!$C$16-1)*EXP(-0.5*(($A149-'Control Room'!$A$16-('Control Room'!$B$16-1)/2)/MAX(0.5,'Control Room'!$B$16/4))^2),1)</x:f>
        <x:v>1</x:v>
      </x:c>
      <x:c r="BE149" s="9" t="n">
        <x:f>MOD(BF148*16807,2147483647)</x:f>
        <x:v>278780635</x:v>
      </x:c>
      <x:c r="BF149" s="9" t="n">
        <x:f>MOD(BE149*16807,2147483647)</x:f>
        <x:v>1804298338</x:v>
      </x:c>
      <x:c r="BG149" s="17" t="n">
        <x:f>IF('Control Room'!$B$5="Normal",'Control Room'!$B$7+'Control Room'!$D$7*SQRT(-2*LN(MAX(0.000000000001,BE149/2147483647)))*COS(2*PI()*BF149/2147483647),'Control Room'!$B$8+('Control Room'!$D$8-'Control Room'!$B$8)*BE149/2147483647)</x:f>
        <x:v>1097.6324301439045</x:v>
      </x:c>
      <x:c r="BH149" s="17" t="n">
        <x:f>IF('Control Room'!$B$5="Normal",'Control Room'!$B$7,('Control Room'!$B$8+'Control Room'!$D$8)/2)+'Control Room'!$B$9*(BH148-IF('Control Room'!$B$5="Normal",'Control Room'!$B$7,('Control Room'!$B$8+'Control Room'!$D$8)/2))+SQRT(1-'Control Room'!$B$9^2)*(BG149-IF('Control Room'!$B$5="Normal",'Control Room'!$B$7,('Control Room'!$B$8+'Control Room'!$D$8)/2))</x:f>
        <x:v>1158.3703427400967</x:v>
      </x:c>
      <x:c r="BI149" s="17" t="n">
        <x:f>IF(AND($A149&gt;='Control Room'!$A$13,$A149&lt;'Control Room'!$A$13+'Control Room'!$B$13,'Process'!BV2=1),1+('Control Room'!$C$13-1)*EXP(-0.5*(($A149-'Control Room'!$A$13-('Control Room'!$B$13-1)/2)/MAX(0.5,'Control Room'!$B$13/4))^2),1)*IF(AND($A149&gt;='Control Room'!$A$14,$A149&lt;'Control Room'!$A$14+'Control Room'!$B$14,'Process'!BV3=1),1+('Control Room'!$C$14-1)*EXP(-0.5*(($A149-'Control Room'!$A$14-('Control Room'!$B$14-1)/2)/MAX(0.5,'Control Room'!$B$14/4))^2),1)*IF(AND($A149&gt;='Control Room'!$A$15,$A149&lt;'Control Room'!$A$15+'Control Room'!$B$15,'Process'!BV4=1),1+('Control Room'!$C$15-1)*EXP(-0.5*(($A149-'Control Room'!$A$15-('Control Room'!$B$15-1)/2)/MAX(0.5,'Control Room'!$B$15/4))^2),1)*IF(AND($A149&gt;='Control Room'!$A$16,$A149&lt;'Control Room'!$A$16+'Control Room'!$B$16,'Process'!BV5=1),1+('Control Room'!$C$16-1)*EXP(-0.5*(($A149-'Control Room'!$A$16-('Control Room'!$B$16-1)/2)/MAX(0.5,'Control Room'!$B$16/4))^2),1)</x:f>
        <x:v>1</x:v>
      </x:c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Z149" t="str">
        <x:f>IF('Data'!A149="","",TEXT('Data'!A149,"mm-dd"))</x:f>
      </x:c>
    </x:row>
    <x:row r="150" ht="21" customHeight="1">
      <x:c r="A150" s="15" t="n">
        <x:f>'Control Room'!$B$1+148</x:f>
        <x:v>73139</x:v>
      </x:c>
      <x:c r="B150" s="9" t="n">
        <x:f>MOD(C149*16807,2147483647)</x:f>
        <x:v>1874174394</x:v>
      </x:c>
      <x:c r="C150" s="9" t="n">
        <x:f>MOD(B150*16807,2147483647)</x:f>
        <x:v>2106389409</x:v>
      </x:c>
      <x:c r="D150" s="17" t="n">
        <x:f>IF('Control Room'!$B$5="Normal",'Control Room'!$B$7+'Control Room'!$D$7*SQRT(-2*LN(MAX(0.000000000001,B150/2147483647)))*COS(2*PI()*C150/2147483647),'Control Room'!$B$8+('Control Room'!$D$8-'Control Room'!$B$8)*B150/2147483647)</x:f>
        <x:v>1046.6213985325446</x:v>
      </x:c>
      <x:c r="E150" s="17" t="n">
        <x:f>IF('Control Room'!$B$5="Normal",'Control Room'!$B$7,('Control Room'!$B$8+'Control Room'!$D$8)/2)+'Control Room'!$B$9*(E149-IF('Control Room'!$B$5="Normal",'Control Room'!$B$7,('Control Room'!$B$8+'Control Room'!$D$8)/2))+SQRT(1-'Control Room'!$B$9^2)*(D150-IF('Control Room'!$B$5="Normal",'Control Room'!$B$7,('Control Room'!$B$8+'Control Room'!$D$8)/2))</x:f>
        <x:v>1007.0398735577216</x:v>
      </x:c>
      <x:c r="F150" s="17" t="n">
        <x:f>IF(AND($A150&gt;='Control Room'!$A$13,$A150&lt;'Control Room'!$A$13+'Control Room'!$B$13,'Process'!BK2=1),1+('Control Room'!$C$13-1)*EXP(-0.5*(($A150-'Control Room'!$A$13-('Control Room'!$B$13-1)/2)/MAX(0.5,'Control Room'!$B$13/4))^2),1)*IF(AND($A150&gt;='Control Room'!$A$14,$A150&lt;'Control Room'!$A$14+'Control Room'!$B$14,'Process'!BK3=1),1+('Control Room'!$C$14-1)*EXP(-0.5*(($A150-'Control Room'!$A$14-('Control Room'!$B$14-1)/2)/MAX(0.5,'Control Room'!$B$14/4))^2),1)*IF(AND($A150&gt;='Control Room'!$A$15,$A150&lt;'Control Room'!$A$15+'Control Room'!$B$15,'Process'!BK4=1),1+('Control Room'!$C$15-1)*EXP(-0.5*(($A150-'Control Room'!$A$15-('Control Room'!$B$15-1)/2)/MAX(0.5,'Control Room'!$B$15/4))^2),1)*IF(AND($A150&gt;='Control Room'!$A$16,$A150&lt;'Control Room'!$A$16+'Control Room'!$B$16,'Process'!BK5=1),1+('Control Room'!$C$16-1)*EXP(-0.5*(($A150-'Control Room'!$A$16-('Control Room'!$B$16-1)/2)/MAX(0.5,'Control Room'!$B$16/4))^2),1)</x:f>
        <x:v>1</x:v>
      </x:c>
      <x:c r="G150" s="9" t="n">
        <x:f>MOD(H149*16807,2147483647)</x:f>
        <x:v>1138625498</x:v>
      </x:c>
      <x:c r="H150" s="9" t="n">
        <x:f>MOD(G150*16807,2147483647)</x:f>
        <x:v>651966469</x:v>
      </x:c>
      <x:c r="I150" s="17" t="n">
        <x:f>IF('Control Room'!$B$5="Normal",'Control Room'!$B$7+'Control Room'!$D$7*SQRT(-2*LN(MAX(0.000000000001,G150/2147483647)))*COS(2*PI()*H150/2147483647),'Control Room'!$B$8+('Control Room'!$D$8-'Control Room'!$B$8)*G150/2147483647)</x:f>
        <x:v>966.5008484550343</x:v>
      </x:c>
      <x:c r="J150" s="17" t="n">
        <x:f>IF('Control Room'!$B$5="Normal",'Control Room'!$B$7,('Control Room'!$B$8+'Control Room'!$D$8)/2)+'Control Room'!$B$9*(J149-IF('Control Room'!$B$5="Normal",'Control Room'!$B$7,('Control Room'!$B$8+'Control Room'!$D$8)/2))+SQRT(1-'Control Room'!$B$9^2)*(I150-IF('Control Room'!$B$5="Normal",'Control Room'!$B$7,('Control Room'!$B$8+'Control Room'!$D$8)/2))</x:f>
        <x:v>1079.8800590656642</x:v>
      </x:c>
      <x:c r="K150" s="17" t="n">
        <x:f>IF(AND($A150&gt;='Control Room'!$A$13,$A150&lt;'Control Room'!$A$13+'Control Room'!$B$13,'Process'!BL2=1),1+('Control Room'!$C$13-1)*EXP(-0.5*(($A150-'Control Room'!$A$13-('Control Room'!$B$13-1)/2)/MAX(0.5,'Control Room'!$B$13/4))^2),1)*IF(AND($A150&gt;='Control Room'!$A$14,$A150&lt;'Control Room'!$A$14+'Control Room'!$B$14,'Process'!BL3=1),1+('Control Room'!$C$14-1)*EXP(-0.5*(($A150-'Control Room'!$A$14-('Control Room'!$B$14-1)/2)/MAX(0.5,'Control Room'!$B$14/4))^2),1)*IF(AND($A150&gt;='Control Room'!$A$15,$A150&lt;'Control Room'!$A$15+'Control Room'!$B$15,'Process'!BL4=1),1+('Control Room'!$C$15-1)*EXP(-0.5*(($A150-'Control Room'!$A$15-('Control Room'!$B$15-1)/2)/MAX(0.5,'Control Room'!$B$15/4))^2),1)*IF(AND($A150&gt;='Control Room'!$A$16,$A150&lt;'Control Room'!$A$16+'Control Room'!$B$16,'Process'!BL5=1),1+('Control Room'!$C$16-1)*EXP(-0.5*(($A150-'Control Room'!$A$16-('Control Room'!$B$16-1)/2)/MAX(0.5,'Control Room'!$B$16/4))^2),1)</x:f>
        <x:v>1</x:v>
      </x:c>
      <x:c r="L150" s="9" t="n">
        <x:f>MOD(M149*16807,2147483647)</x:f>
        <x:v>403076602</x:v>
      </x:c>
      <x:c r="M150" s="9" t="n">
        <x:f>MOD(L150*16807,2147483647)</x:f>
        <x:v>1345027176</x:v>
      </x:c>
      <x:c r="N150" s="17" t="n">
        <x:f>IF('Control Room'!$B$5="Normal",'Control Room'!$B$7+'Control Room'!$D$7*SQRT(-2*LN(MAX(0.000000000001,L150/2147483647)))*COS(2*PI()*M150/2147483647),'Control Room'!$B$8+('Control Room'!$D$8-'Control Room'!$B$8)*L150/2147483647)</x:f>
        <x:v>884.5672231243591</x:v>
      </x:c>
      <x:c r="O150" s="17" t="n">
        <x:f>IF('Control Room'!$B$5="Normal",'Control Room'!$B$7,('Control Room'!$B$8+'Control Room'!$D$8)/2)+'Control Room'!$B$9*(O149-IF('Control Room'!$B$5="Normal",'Control Room'!$B$7,('Control Room'!$B$8+'Control Room'!$D$8)/2))+SQRT(1-'Control Room'!$B$9^2)*(N150-IF('Control Room'!$B$5="Normal",'Control Room'!$B$7,('Control Room'!$B$8+'Control Room'!$D$8)/2))</x:f>
        <x:v>915.8144632727239</x:v>
      </x:c>
      <x:c r="P150" s="17" t="n">
        <x:f>IF(AND($A150&gt;='Control Room'!$A$13,$A150&lt;'Control Room'!$A$13+'Control Room'!$B$13,'Process'!BM2=1),1+('Control Room'!$C$13-1)*EXP(-0.5*(($A150-'Control Room'!$A$13-('Control Room'!$B$13-1)/2)/MAX(0.5,'Control Room'!$B$13/4))^2),1)*IF(AND($A150&gt;='Control Room'!$A$14,$A150&lt;'Control Room'!$A$14+'Control Room'!$B$14,'Process'!BM3=1),1+('Control Room'!$C$14-1)*EXP(-0.5*(($A150-'Control Room'!$A$14-('Control Room'!$B$14-1)/2)/MAX(0.5,'Control Room'!$B$14/4))^2),1)*IF(AND($A150&gt;='Control Room'!$A$15,$A150&lt;'Control Room'!$A$15+'Control Room'!$B$15,'Process'!BM4=1),1+('Control Room'!$C$15-1)*EXP(-0.5*(($A150-'Control Room'!$A$15-('Control Room'!$B$15-1)/2)/MAX(0.5,'Control Room'!$B$15/4))^2),1)*IF(AND($A150&gt;='Control Room'!$A$16,$A150&lt;'Control Room'!$A$16+'Control Room'!$B$16,'Process'!BM5=1),1+('Control Room'!$C$16-1)*EXP(-0.5*(($A150-'Control Room'!$A$16-('Control Room'!$B$16-1)/2)/MAX(0.5,'Control Room'!$B$16/4))^2),1)</x:f>
        <x:v>1</x:v>
      </x:c>
      <x:c r="Q150" s="9" t="n">
        <x:f>MOD(R149*16807,2147483647)</x:f>
        <x:v>1815011353</x:v>
      </x:c>
      <x:c r="R150" s="9" t="n">
        <x:f>MOD(Q150*16807,2147483647)</x:f>
        <x:v>2038087883</x:v>
      </x:c>
      <x:c r="S150" s="17" t="n">
        <x:f>IF('Control Room'!$B$5="Normal",'Control Room'!$B$7+'Control Room'!$D$7*SQRT(-2*LN(MAX(0.000000000001,Q150/2147483647)))*COS(2*PI()*R150/2147483647),'Control Room'!$B$8+('Control Room'!$D$8-'Control Room'!$B$8)*Q150/2147483647)</x:f>
        <x:v>1049.5496141572974</x:v>
      </x:c>
      <x:c r="T150" s="17" t="n">
        <x:f>IF('Control Room'!$B$5="Normal",'Control Room'!$B$7,('Control Room'!$B$8+'Control Room'!$D$8)/2)+'Control Room'!$B$9*(T149-IF('Control Room'!$B$5="Normal",'Control Room'!$B$7,('Control Room'!$B$8+'Control Room'!$D$8)/2))+SQRT(1-'Control Room'!$B$9^2)*(S150-IF('Control Room'!$B$5="Normal",'Control Room'!$B$7,('Control Room'!$B$8+'Control Room'!$D$8)/2))</x:f>
        <x:v>1072.0367431146922</x:v>
      </x:c>
      <x:c r="U150" s="17" t="n">
        <x:f>IF(AND($A150&gt;='Control Room'!$A$13,$A150&lt;'Control Room'!$A$13+'Control Room'!$B$13,'Process'!BN2=1),1+('Control Room'!$C$13-1)*EXP(-0.5*(($A150-'Control Room'!$A$13-('Control Room'!$B$13-1)/2)/MAX(0.5,'Control Room'!$B$13/4))^2),1)*IF(AND($A150&gt;='Control Room'!$A$14,$A150&lt;'Control Room'!$A$14+'Control Room'!$B$14,'Process'!BN3=1),1+('Control Room'!$C$14-1)*EXP(-0.5*(($A150-'Control Room'!$A$14-('Control Room'!$B$14-1)/2)/MAX(0.5,'Control Room'!$B$14/4))^2),1)*IF(AND($A150&gt;='Control Room'!$A$15,$A150&lt;'Control Room'!$A$15+'Control Room'!$B$15,'Process'!BN4=1),1+('Control Room'!$C$15-1)*EXP(-0.5*(($A150-'Control Room'!$A$15-('Control Room'!$B$15-1)/2)/MAX(0.5,'Control Room'!$B$15/4))^2),1)*IF(AND($A150&gt;='Control Room'!$A$16,$A150&lt;'Control Room'!$A$16+'Control Room'!$B$16,'Process'!BN5=1),1+('Control Room'!$C$16-1)*EXP(-0.5*(($A150-'Control Room'!$A$16-('Control Room'!$B$16-1)/2)/MAX(0.5,'Control Room'!$B$16/4))^2),1)</x:f>
        <x:v>1</x:v>
      </x:c>
      <x:c r="V150" s="9" t="n">
        <x:f>MOD(W149*16807,2147483647)</x:f>
        <x:v>1079462457</x:v>
      </x:c>
      <x:c r="W150" s="9" t="n">
        <x:f>MOD(V150*16807,2147483647)</x:f>
        <x:v>583664943</x:v>
      </x:c>
      <x:c r="X150" s="17" t="n">
        <x:f>IF('Control Room'!$B$5="Normal",'Control Room'!$B$7+'Control Room'!$D$7*SQRT(-2*LN(MAX(0.000000000001,V150/2147483647)))*COS(2*PI()*W150/2147483647),'Control Room'!$B$8+('Control Room'!$D$8-'Control Room'!$B$8)*V150/2147483647)</x:f>
        <x:v>985.5927195143407</x:v>
      </x:c>
      <x:c r="Y150" s="17" t="n">
        <x:f>IF('Control Room'!$B$5="Normal",'Control Room'!$B$7,('Control Room'!$B$8+'Control Room'!$D$8)/2)+'Control Room'!$B$9*(Y149-IF('Control Room'!$B$5="Normal",'Control Room'!$B$7,('Control Room'!$B$8+'Control Room'!$D$8)/2))+SQRT(1-'Control Room'!$B$9^2)*(X150-IF('Control Room'!$B$5="Normal",'Control Room'!$B$7,('Control Room'!$B$8+'Control Room'!$D$8)/2))</x:f>
        <x:v>1087.7882045589895</x:v>
      </x:c>
      <x:c r="Z150" s="17" t="n">
        <x:f>IF(AND($A150&gt;='Control Room'!$A$13,$A150&lt;'Control Room'!$A$13+'Control Room'!$B$13,'Process'!BO2=1),1+('Control Room'!$C$13-1)*EXP(-0.5*(($A150-'Control Room'!$A$13-('Control Room'!$B$13-1)/2)/MAX(0.5,'Control Room'!$B$13/4))^2),1)*IF(AND($A150&gt;='Control Room'!$A$14,$A150&lt;'Control Room'!$A$14+'Control Room'!$B$14,'Process'!BO3=1),1+('Control Room'!$C$14-1)*EXP(-0.5*(($A150-'Control Room'!$A$14-('Control Room'!$B$14-1)/2)/MAX(0.5,'Control Room'!$B$14/4))^2),1)*IF(AND($A150&gt;='Control Room'!$A$15,$A150&lt;'Control Room'!$A$15+'Control Room'!$B$15,'Process'!BO4=1),1+('Control Room'!$C$15-1)*EXP(-0.5*(($A150-'Control Room'!$A$15-('Control Room'!$B$15-1)/2)/MAX(0.5,'Control Room'!$B$15/4))^2),1)*IF(AND($A150&gt;='Control Room'!$A$16,$A150&lt;'Control Room'!$A$16+'Control Room'!$B$16,'Process'!BO5=1),1+('Control Room'!$C$16-1)*EXP(-0.5*(($A150-'Control Room'!$A$16-('Control Room'!$B$16-1)/2)/MAX(0.5,'Control Room'!$B$16/4))^2),1)</x:f>
        <x:v>1</x:v>
      </x:c>
      <x:c r="AA150" s="9" t="n">
        <x:f>MOD(AB149*16807,2147483647)</x:f>
        <x:v>343913561</x:v>
      </x:c>
      <x:c r="AB150" s="9" t="n">
        <x:f>MOD(AA150*16807,2147483647)</x:f>
        <x:v>1276725650</x:v>
      </x:c>
      <x:c r="AC150" s="17" t="n">
        <x:f>IF('Control Room'!$B$5="Normal",'Control Room'!$B$7+'Control Room'!$D$7*SQRT(-2*LN(MAX(0.000000000001,AA150/2147483647)))*COS(2*PI()*AB150/2147483647),'Control Room'!$B$8+('Control Room'!$D$8-'Control Room'!$B$8)*AA150/2147483647)</x:f>
        <x:v>857.2381836438608</x:v>
      </x:c>
      <x:c r="AD150" s="17" t="n">
        <x:f>IF('Control Room'!$B$5="Normal",'Control Room'!$B$7,('Control Room'!$B$8+'Control Room'!$D$8)/2)+'Control Room'!$B$9*(AD149-IF('Control Room'!$B$5="Normal",'Control Room'!$B$7,('Control Room'!$B$8+'Control Room'!$D$8)/2))+SQRT(1-'Control Room'!$B$9^2)*(AC150-IF('Control Room'!$B$5="Normal",'Control Room'!$B$7,('Control Room'!$B$8+'Control Room'!$D$8)/2))</x:f>
        <x:v>918.2090049819725</x:v>
      </x:c>
      <x:c r="AE150" s="17" t="n">
        <x:f>IF(AND($A150&gt;='Control Room'!$A$13,$A150&lt;'Control Room'!$A$13+'Control Room'!$B$13,'Process'!BP2=1),1+('Control Room'!$C$13-1)*EXP(-0.5*(($A150-'Control Room'!$A$13-('Control Room'!$B$13-1)/2)/MAX(0.5,'Control Room'!$B$13/4))^2),1)*IF(AND($A150&gt;='Control Room'!$A$14,$A150&lt;'Control Room'!$A$14+'Control Room'!$B$14,'Process'!BP3=1),1+('Control Room'!$C$14-1)*EXP(-0.5*(($A150-'Control Room'!$A$14-('Control Room'!$B$14-1)/2)/MAX(0.5,'Control Room'!$B$14/4))^2),1)*IF(AND($A150&gt;='Control Room'!$A$15,$A150&lt;'Control Room'!$A$15+'Control Room'!$B$15,'Process'!BP4=1),1+('Control Room'!$C$15-1)*EXP(-0.5*(($A150-'Control Room'!$A$15-('Control Room'!$B$15-1)/2)/MAX(0.5,'Control Room'!$B$15/4))^2),1)*IF(AND($A150&gt;='Control Room'!$A$16,$A150&lt;'Control Room'!$A$16+'Control Room'!$B$16,'Process'!BP5=1),1+('Control Room'!$C$16-1)*EXP(-0.5*(($A150-'Control Room'!$A$16-('Control Room'!$B$16-1)/2)/MAX(0.5,'Control Room'!$B$16/4))^2),1)</x:f>
        <x:v>1</x:v>
      </x:c>
      <x:c r="AF150" s="9" t="n">
        <x:f>MOD(AG149*16807,2147483647)</x:f>
        <x:v>1755848312</x:v>
      </x:c>
      <x:c r="AG150" s="9" t="n">
        <x:f>MOD(AF150*16807,2147483647)</x:f>
        <x:v>1969786357</x:v>
      </x:c>
      <x:c r="AH150" s="17" t="n">
        <x:f>IF('Control Room'!$B$5="Normal",'Control Room'!$B$7+'Control Room'!$D$7*SQRT(-2*LN(MAX(0.000000000001,AF150/2147483647)))*COS(2*PI()*AG150/2147483647),'Control Room'!$B$8+('Control Room'!$D$8-'Control Room'!$B$8)*AF150/2147483647)</x:f>
        <x:v>1049.5653745387426</x:v>
      </x:c>
      <x:c r="AI150" s="17" t="n">
        <x:f>IF('Control Room'!$B$5="Normal",'Control Room'!$B$7,('Control Room'!$B$8+'Control Room'!$D$8)/2)+'Control Room'!$B$9*(AI149-IF('Control Room'!$B$5="Normal",'Control Room'!$B$7,('Control Room'!$B$8+'Control Room'!$D$8)/2))+SQRT(1-'Control Room'!$B$9^2)*(AH150-IF('Control Room'!$B$5="Normal",'Control Room'!$B$7,('Control Room'!$B$8+'Control Room'!$D$8)/2))</x:f>
        <x:v>1276.8307634030464</x:v>
      </x:c>
      <x:c r="AJ150" s="17" t="n">
        <x:f>IF(AND($A150&gt;='Control Room'!$A$13,$A150&lt;'Control Room'!$A$13+'Control Room'!$B$13,'Process'!BQ2=1),1+('Control Room'!$C$13-1)*EXP(-0.5*(($A150-'Control Room'!$A$13-('Control Room'!$B$13-1)/2)/MAX(0.5,'Control Room'!$B$13/4))^2),1)*IF(AND($A150&gt;='Control Room'!$A$14,$A150&lt;'Control Room'!$A$14+'Control Room'!$B$14,'Process'!BQ3=1),1+('Control Room'!$C$14-1)*EXP(-0.5*(($A150-'Control Room'!$A$14-('Control Room'!$B$14-1)/2)/MAX(0.5,'Control Room'!$B$14/4))^2),1)*IF(AND($A150&gt;='Control Room'!$A$15,$A150&lt;'Control Room'!$A$15+'Control Room'!$B$15,'Process'!BQ4=1),1+('Control Room'!$C$15-1)*EXP(-0.5*(($A150-'Control Room'!$A$15-('Control Room'!$B$15-1)/2)/MAX(0.5,'Control Room'!$B$15/4))^2),1)*IF(AND($A150&gt;='Control Room'!$A$16,$A150&lt;'Control Room'!$A$16+'Control Room'!$B$16,'Process'!BQ5=1),1+('Control Room'!$C$16-1)*EXP(-0.5*(($A150-'Control Room'!$A$16-('Control Room'!$B$16-1)/2)/MAX(0.5,'Control Room'!$B$16/4))^2),1)</x:f>
        <x:v>1</x:v>
      </x:c>
      <x:c r="AK150" s="9" t="n">
        <x:f>MOD(AL149*16807,2147483647)</x:f>
        <x:v>1020299416</x:v>
      </x:c>
      <x:c r="AL150" s="9" t="n">
        <x:f>MOD(AK150*16807,2147483647)</x:f>
        <x:v>515363417</x:v>
      </x:c>
      <x:c r="AM150" s="17" t="n">
        <x:f>IF('Control Room'!$B$5="Normal",'Control Room'!$B$7+'Control Room'!$D$7*SQRT(-2*LN(MAX(0.000000000001,AK150/2147483647)))*COS(2*PI()*AL150/2147483647),'Control Room'!$B$8+('Control Room'!$D$8-'Control Room'!$B$8)*AK150/2147483647)</x:f>
        <x:v>1006.9048729302897</x:v>
      </x:c>
      <x:c r="AN150" s="17" t="n">
        <x:f>IF('Control Room'!$B$5="Normal",'Control Room'!$B$7,('Control Room'!$B$8+'Control Room'!$D$8)/2)+'Control Room'!$B$9*(AN149-IF('Control Room'!$B$5="Normal",'Control Room'!$B$7,('Control Room'!$B$8+'Control Room'!$D$8)/2))+SQRT(1-'Control Room'!$B$9^2)*(AM150-IF('Control Room'!$B$5="Normal",'Control Room'!$B$7,('Control Room'!$B$8+'Control Room'!$D$8)/2))</x:f>
        <x:v>1008.6145965849706</x:v>
      </x:c>
      <x:c r="AO150" s="17" t="n">
        <x:f>IF(AND($A150&gt;='Control Room'!$A$13,$A150&lt;'Control Room'!$A$13+'Control Room'!$B$13,'Process'!BR2=1),1+('Control Room'!$C$13-1)*EXP(-0.5*(($A150-'Control Room'!$A$13-('Control Room'!$B$13-1)/2)/MAX(0.5,'Control Room'!$B$13/4))^2),1)*IF(AND($A150&gt;='Control Room'!$A$14,$A150&lt;'Control Room'!$A$14+'Control Room'!$B$14,'Process'!BR3=1),1+('Control Room'!$C$14-1)*EXP(-0.5*(($A150-'Control Room'!$A$14-('Control Room'!$B$14-1)/2)/MAX(0.5,'Control Room'!$B$14/4))^2),1)*IF(AND($A150&gt;='Control Room'!$A$15,$A150&lt;'Control Room'!$A$15+'Control Room'!$B$15,'Process'!BR4=1),1+('Control Room'!$C$15-1)*EXP(-0.5*(($A150-'Control Room'!$A$15-('Control Room'!$B$15-1)/2)/MAX(0.5,'Control Room'!$B$15/4))^2),1)*IF(AND($A150&gt;='Control Room'!$A$16,$A150&lt;'Control Room'!$A$16+'Control Room'!$B$16,'Process'!BR5=1),1+('Control Room'!$C$16-1)*EXP(-0.5*(($A150-'Control Room'!$A$16-('Control Room'!$B$16-1)/2)/MAX(0.5,'Control Room'!$B$16/4))^2),1)</x:f>
        <x:v>1</x:v>
      </x:c>
      <x:c r="AP150" s="9" t="n">
        <x:f>MOD(AQ149*16807,2147483647)</x:f>
        <x:v>284750520</x:v>
      </x:c>
      <x:c r="AQ150" s="9" t="n">
        <x:f>MOD(AP150*16807,2147483647)</x:f>
        <x:v>1208424124</x:v>
      </x:c>
      <x:c r="AR150" s="17" t="n">
        <x:f>IF('Control Room'!$B$5="Normal",'Control Room'!$B$7+'Control Room'!$D$7*SQRT(-2*LN(MAX(0.000000000001,AP150/2147483647)))*COS(2*PI()*AQ150/2147483647),'Control Room'!$B$8+('Control Room'!$D$8-'Control Room'!$B$8)*AP150/2147483647)</x:f>
        <x:v>832.9483791390085</x:v>
      </x:c>
      <x:c r="AS150" s="17" t="n">
        <x:f>IF('Control Room'!$B$5="Normal",'Control Room'!$B$7,('Control Room'!$B$8+'Control Room'!$D$8)/2)+'Control Room'!$B$9*(AS149-IF('Control Room'!$B$5="Normal",'Control Room'!$B$7,('Control Room'!$B$8+'Control Room'!$D$8)/2))+SQRT(1-'Control Room'!$B$9^2)*(AR150-IF('Control Room'!$B$5="Normal",'Control Room'!$B$7,('Control Room'!$B$8+'Control Room'!$D$8)/2))</x:f>
        <x:v>935.8208441902641</x:v>
      </x:c>
      <x:c r="AT150" s="17" t="n">
        <x:f>IF(AND($A150&gt;='Control Room'!$A$13,$A150&lt;'Control Room'!$A$13+'Control Room'!$B$13,'Process'!BS2=1),1+('Control Room'!$C$13-1)*EXP(-0.5*(($A150-'Control Room'!$A$13-('Control Room'!$B$13-1)/2)/MAX(0.5,'Control Room'!$B$13/4))^2),1)*IF(AND($A150&gt;='Control Room'!$A$14,$A150&lt;'Control Room'!$A$14+'Control Room'!$B$14,'Process'!BS3=1),1+('Control Room'!$C$14-1)*EXP(-0.5*(($A150-'Control Room'!$A$14-('Control Room'!$B$14-1)/2)/MAX(0.5,'Control Room'!$B$14/4))^2),1)*IF(AND($A150&gt;='Control Room'!$A$15,$A150&lt;'Control Room'!$A$15+'Control Room'!$B$15,'Process'!BS4=1),1+('Control Room'!$C$15-1)*EXP(-0.5*(($A150-'Control Room'!$A$15-('Control Room'!$B$15-1)/2)/MAX(0.5,'Control Room'!$B$15/4))^2),1)*IF(AND($A150&gt;='Control Room'!$A$16,$A150&lt;'Control Room'!$A$16+'Control Room'!$B$16,'Process'!BS5=1),1+('Control Room'!$C$16-1)*EXP(-0.5*(($A150-'Control Room'!$A$16-('Control Room'!$B$16-1)/2)/MAX(0.5,'Control Room'!$B$16/4))^2),1)</x:f>
        <x:v>1</x:v>
      </x:c>
      <x:c r="AU150" s="9" t="n">
        <x:f>MOD(AV149*16807,2147483647)</x:f>
        <x:v>1696685271</x:v>
      </x:c>
      <x:c r="AV150" s="9" t="n">
        <x:f>MOD(AU150*16807,2147483647)</x:f>
        <x:v>1901484831</x:v>
      </x:c>
      <x:c r="AW150" s="17" t="n">
        <x:f>IF('Control Room'!$B$5="Normal",'Control Room'!$B$7+'Control Room'!$D$7*SQRT(-2*LN(MAX(0.000000000001,AU150/2147483647)))*COS(2*PI()*AV150/2147483647),'Control Room'!$B$8+('Control Room'!$D$8-'Control Room'!$B$8)*AU150/2147483647)</x:f>
        <x:v>1046.458351991764</x:v>
      </x:c>
      <x:c r="AX150" s="17" t="n">
        <x:f>IF('Control Room'!$B$5="Normal",'Control Room'!$B$7,('Control Room'!$B$8+'Control Room'!$D$8)/2)+'Control Room'!$B$9*(AX149-IF('Control Room'!$B$5="Normal",'Control Room'!$B$7,('Control Room'!$B$8+'Control Room'!$D$8)/2))+SQRT(1-'Control Room'!$B$9^2)*(AW150-IF('Control Room'!$B$5="Normal",'Control Room'!$B$7,('Control Room'!$B$8+'Control Room'!$D$8)/2))</x:f>
        <x:v>1114.5226946188482</x:v>
      </x:c>
      <x:c r="AY150" s="17" t="n">
        <x:f>IF(AND($A150&gt;='Control Room'!$A$13,$A150&lt;'Control Room'!$A$13+'Control Room'!$B$13,'Process'!BT2=1),1+('Control Room'!$C$13-1)*EXP(-0.5*(($A150-'Control Room'!$A$13-('Control Room'!$B$13-1)/2)/MAX(0.5,'Control Room'!$B$13/4))^2),1)*IF(AND($A150&gt;='Control Room'!$A$14,$A150&lt;'Control Room'!$A$14+'Control Room'!$B$14,'Process'!BT3=1),1+('Control Room'!$C$14-1)*EXP(-0.5*(($A150-'Control Room'!$A$14-('Control Room'!$B$14-1)/2)/MAX(0.5,'Control Room'!$B$14/4))^2),1)*IF(AND($A150&gt;='Control Room'!$A$15,$A150&lt;'Control Room'!$A$15+'Control Room'!$B$15,'Process'!BT4=1),1+('Control Room'!$C$15-1)*EXP(-0.5*(($A150-'Control Room'!$A$15-('Control Room'!$B$15-1)/2)/MAX(0.5,'Control Room'!$B$15/4))^2),1)*IF(AND($A150&gt;='Control Room'!$A$16,$A150&lt;'Control Room'!$A$16+'Control Room'!$B$16,'Process'!BT5=1),1+('Control Room'!$C$16-1)*EXP(-0.5*(($A150-'Control Room'!$A$16-('Control Room'!$B$16-1)/2)/MAX(0.5,'Control Room'!$B$16/4))^2),1)</x:f>
        <x:v>1</x:v>
      </x:c>
      <x:c r="AZ150" s="9" t="n">
        <x:f>MOD(BA149*16807,2147483647)</x:f>
        <x:v>961136375</x:v>
      </x:c>
      <x:c r="BA150" s="9" t="n">
        <x:f>MOD(AZ150*16807,2147483647)</x:f>
        <x:v>447061891</x:v>
      </x:c>
      <x:c r="BB150" s="17" t="n">
        <x:f>IF('Control Room'!$B$5="Normal",'Control Room'!$B$7+'Control Room'!$D$7*SQRT(-2*LN(MAX(0.000000000001,AZ150/2147483647)))*COS(2*PI()*BA150/2147483647),'Control Room'!$B$8+('Control Room'!$D$8-'Control Room'!$B$8)*AZ150/2147483647)</x:f>
        <x:v>1029.643457133202</x:v>
      </x:c>
      <x:c r="BC150" s="17" t="n">
        <x:f>IF('Control Room'!$B$5="Normal",'Control Room'!$B$7,('Control Room'!$B$8+'Control Room'!$D$8)/2)+'Control Room'!$B$9*(BC149-IF('Control Room'!$B$5="Normal",'Control Room'!$B$7,('Control Room'!$B$8+'Control Room'!$D$8)/2))+SQRT(1-'Control Room'!$B$9^2)*(BB150-IF('Control Room'!$B$5="Normal",'Control Room'!$B$7,('Control Room'!$B$8+'Control Room'!$D$8)/2))</x:f>
        <x:v>1077.1119783784027</x:v>
      </x:c>
      <x:c r="BD150" s="17" t="n">
        <x:f>IF(AND($A150&gt;='Control Room'!$A$13,$A150&lt;'Control Room'!$A$13+'Control Room'!$B$13,'Process'!BU2=1),1+('Control Room'!$C$13-1)*EXP(-0.5*(($A150-'Control Room'!$A$13-('Control Room'!$B$13-1)/2)/MAX(0.5,'Control Room'!$B$13/4))^2),1)*IF(AND($A150&gt;='Control Room'!$A$14,$A150&lt;'Control Room'!$A$14+'Control Room'!$B$14,'Process'!BU3=1),1+('Control Room'!$C$14-1)*EXP(-0.5*(($A150-'Control Room'!$A$14-('Control Room'!$B$14-1)/2)/MAX(0.5,'Control Room'!$B$14/4))^2),1)*IF(AND($A150&gt;='Control Room'!$A$15,$A150&lt;'Control Room'!$A$15+'Control Room'!$B$15,'Process'!BU4=1),1+('Control Room'!$C$15-1)*EXP(-0.5*(($A150-'Control Room'!$A$15-('Control Room'!$B$15-1)/2)/MAX(0.5,'Control Room'!$B$15/4))^2),1)*IF(AND($A150&gt;='Control Room'!$A$16,$A150&lt;'Control Room'!$A$16+'Control Room'!$B$16,'Process'!BU5=1),1+('Control Room'!$C$16-1)*EXP(-0.5*(($A150-'Control Room'!$A$16-('Control Room'!$B$16-1)/2)/MAX(0.5,'Control Room'!$B$16/4))^2),1)</x:f>
        <x:v>1</x:v>
      </x:c>
      <x:c r="BE150" s="9" t="n">
        <x:f>MOD(BF149*16807,2147483647)</x:f>
        <x:v>225587479</x:v>
      </x:c>
      <x:c r="BF150" s="9" t="n">
        <x:f>MOD(BE150*16807,2147483647)</x:f>
        <x:v>1140122598</x:v>
      </x:c>
      <x:c r="BG150" s="17" t="n">
        <x:f>IF('Control Room'!$B$5="Normal",'Control Room'!$B$7+'Control Room'!$D$7*SQRT(-2*LN(MAX(0.000000000001,BE150/2147483647)))*COS(2*PI()*BF150/2147483647),'Control Room'!$B$8+('Control Room'!$D$8-'Control Room'!$B$8)*BE150/2147483647)</x:f>
        <x:v>812.5315451728369</x:v>
      </x:c>
      <x:c r="BH150" s="17" t="n">
        <x:f>IF('Control Room'!$B$5="Normal",'Control Room'!$B$7,('Control Room'!$B$8+'Control Room'!$D$8)/2)+'Control Room'!$B$9*(BH149-IF('Control Room'!$B$5="Normal",'Control Room'!$B$7,('Control Room'!$B$8+'Control Room'!$D$8)/2))+SQRT(1-'Control Room'!$B$9^2)*(BG150-IF('Control Room'!$B$5="Normal",'Control Room'!$B$7,('Control Room'!$B$8+'Control Room'!$D$8)/2))</x:f>
        <x:v>1006.2149488064837</x:v>
      </x:c>
      <x:c r="BI150" s="17" t="n">
        <x:f>IF(AND($A150&gt;='Control Room'!$A$13,$A150&lt;'Control Room'!$A$13+'Control Room'!$B$13,'Process'!BV2=1),1+('Control Room'!$C$13-1)*EXP(-0.5*(($A150-'Control Room'!$A$13-('Control Room'!$B$13-1)/2)/MAX(0.5,'Control Room'!$B$13/4))^2),1)*IF(AND($A150&gt;='Control Room'!$A$14,$A150&lt;'Control Room'!$A$14+'Control Room'!$B$14,'Process'!BV3=1),1+('Control Room'!$C$14-1)*EXP(-0.5*(($A150-'Control Room'!$A$14-('Control Room'!$B$14-1)/2)/MAX(0.5,'Control Room'!$B$14/4))^2),1)*IF(AND($A150&gt;='Control Room'!$A$15,$A150&lt;'Control Room'!$A$15+'Control Room'!$B$15,'Process'!BV4=1),1+('Control Room'!$C$15-1)*EXP(-0.5*(($A150-'Control Room'!$A$15-('Control Room'!$B$15-1)/2)/MAX(0.5,'Control Room'!$B$15/4))^2),1)*IF(AND($A150&gt;='Control Room'!$A$16,$A150&lt;'Control Room'!$A$16+'Control Room'!$B$16,'Process'!BV5=1),1+('Control Room'!$C$16-1)*EXP(-0.5*(($A150-'Control Room'!$A$16-('Control Room'!$B$16-1)/2)/MAX(0.5,'Control Room'!$B$16/4))^2),1)</x:f>
        <x:v>1</x:v>
      </x:c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Z150" t="str">
        <x:f>IF('Data'!A150="","",TEXT('Data'!A150,"mm-dd"))</x:f>
      </x:c>
    </x:row>
    <x:row r="151" ht="21" customHeight="1">
      <x:c r="A151" s="15" t="n">
        <x:f>'Control Room'!$B$1+149</x:f>
        <x:v>73140</x:v>
      </x:c>
      <x:c r="B151" s="9" t="n">
        <x:f>MOD(C150*16807,2147483647)</x:f>
        <x:v>818876268</x:v>
      </x:c>
      <x:c r="C151" s="9" t="n">
        <x:f>MOD(B151*16807,2147483647)</x:f>
        <x:v>1778226300</x:v>
      </x:c>
      <x:c r="D151" s="17" t="n">
        <x:f>IF('Control Room'!$B$5="Normal",'Control Room'!$B$7+'Control Room'!$D$7*SQRT(-2*LN(MAX(0.000000000001,B151/2147483647)))*COS(2*PI()*C151/2147483647),'Control Room'!$B$8+('Control Room'!$D$8-'Control Room'!$B$8)*B151/2147483647)</x:f>
        <x:v>1058.8616153676721</x:v>
      </x:c>
      <x:c r="E151" s="17" t="n">
        <x:f>IF('Control Room'!$B$5="Normal",'Control Room'!$B$7,('Control Room'!$B$8+'Control Room'!$D$8)/2)+'Control Room'!$B$9*(E150-IF('Control Room'!$B$5="Normal",'Control Room'!$B$7,('Control Room'!$B$8+'Control Room'!$D$8)/2))+SQRT(1-'Control Room'!$B$9^2)*(D151-IF('Control Room'!$B$5="Normal",'Control Room'!$B$7,('Control Room'!$B$8+'Control Room'!$D$8)/2))</x:f>
        <x:v>1042.3254944263779</x:v>
      </x:c>
      <x:c r="F151" s="17" t="n">
        <x:f>IF(AND($A151&gt;='Control Room'!$A$13,$A151&lt;'Control Room'!$A$13+'Control Room'!$B$13,'Process'!BK2=1),1+('Control Room'!$C$13-1)*EXP(-0.5*(($A151-'Control Room'!$A$13-('Control Room'!$B$13-1)/2)/MAX(0.5,'Control Room'!$B$13/4))^2),1)*IF(AND($A151&gt;='Control Room'!$A$14,$A151&lt;'Control Room'!$A$14+'Control Room'!$B$14,'Process'!BK3=1),1+('Control Room'!$C$14-1)*EXP(-0.5*(($A151-'Control Room'!$A$14-('Control Room'!$B$14-1)/2)/MAX(0.5,'Control Room'!$B$14/4))^2),1)*IF(AND($A151&gt;='Control Room'!$A$15,$A151&lt;'Control Room'!$A$15+'Control Room'!$B$15,'Process'!BK4=1),1+('Control Room'!$C$15-1)*EXP(-0.5*(($A151-'Control Room'!$A$15-('Control Room'!$B$15-1)/2)/MAX(0.5,'Control Room'!$B$15/4))^2),1)*IF(AND($A151&gt;='Control Room'!$A$16,$A151&lt;'Control Room'!$A$16+'Control Room'!$B$16,'Process'!BK5=1),1+('Control Room'!$C$16-1)*EXP(-0.5*(($A151-'Control Room'!$A$16-('Control Room'!$B$16-1)/2)/MAX(0.5,'Control Room'!$B$16/4))^2),1)</x:f>
        <x:v>1</x:v>
      </x:c>
      <x:c r="G151" s="9" t="n">
        <x:f>MOD(H150*16807,2147483647)</x:f>
        <x:v>1138877489</x:v>
      </x:c>
      <x:c r="H151" s="9" t="n">
        <x:f>MOD(G151*16807,2147483647)</x:f>
        <x:v>592211912</x:v>
      </x:c>
      <x:c r="I151" s="17" t="n">
        <x:f>IF('Control Room'!$B$5="Normal",'Control Room'!$B$7+'Control Room'!$D$7*SQRT(-2*LN(MAX(0.000000000001,G151/2147483647)))*COS(2*PI()*H151/2147483647),'Control Room'!$B$8+('Control Room'!$D$8-'Control Room'!$B$8)*G151/2147483647)</x:f>
        <x:v>983.6586985993274</x:v>
      </x:c>
      <x:c r="J151" s="17" t="n">
        <x:f>IF('Control Room'!$B$5="Normal",'Control Room'!$B$7,('Control Room'!$B$8+'Control Room'!$D$8)/2)+'Control Room'!$B$9*(J150-IF('Control Room'!$B$5="Normal",'Control Room'!$B$7,('Control Room'!$B$8+'Control Room'!$D$8)/2))+SQRT(1-'Control Room'!$B$9^2)*(I151-IF('Control Room'!$B$5="Normal",'Control Room'!$B$7,('Control Room'!$B$8+'Control Room'!$D$8)/2))</x:f>
        <x:v>1052.0803944244326</x:v>
      </x:c>
      <x:c r="K151" s="17" t="n">
        <x:f>IF(AND($A151&gt;='Control Room'!$A$13,$A151&lt;'Control Room'!$A$13+'Control Room'!$B$13,'Process'!BL2=1),1+('Control Room'!$C$13-1)*EXP(-0.5*(($A151-'Control Room'!$A$13-('Control Room'!$B$13-1)/2)/MAX(0.5,'Control Room'!$B$13/4))^2),1)*IF(AND($A151&gt;='Control Room'!$A$14,$A151&lt;'Control Room'!$A$14+'Control Room'!$B$14,'Process'!BL3=1),1+('Control Room'!$C$14-1)*EXP(-0.5*(($A151-'Control Room'!$A$14-('Control Room'!$B$14-1)/2)/MAX(0.5,'Control Room'!$B$14/4))^2),1)*IF(AND($A151&gt;='Control Room'!$A$15,$A151&lt;'Control Room'!$A$15+'Control Room'!$B$15,'Process'!BL4=1),1+('Control Room'!$C$15-1)*EXP(-0.5*(($A151-'Control Room'!$A$15-('Control Room'!$B$15-1)/2)/MAX(0.5,'Control Room'!$B$15/4))^2),1)*IF(AND($A151&gt;='Control Room'!$A$16,$A151&lt;'Control Room'!$A$16+'Control Room'!$B$16,'Process'!BL5=1),1+('Control Room'!$C$16-1)*EXP(-0.5*(($A151-'Control Room'!$A$16-('Control Room'!$B$16-1)/2)/MAX(0.5,'Control Room'!$B$16/4))^2),1)</x:f>
        <x:v>1</x:v>
      </x:c>
      <x:c r="L151" s="9" t="n">
        <x:f>MOD(M150*16807,2147483647)</x:f>
        <x:v>1458878710</x:v>
      </x:c>
      <x:c r="M151" s="9" t="n">
        <x:f>MOD(L151*16807,2147483647)</x:f>
        <x:v>1553681171</x:v>
      </x:c>
      <x:c r="N151" s="17" t="n">
        <x:f>IF('Control Room'!$B$5="Normal",'Control Room'!$B$7+'Control Room'!$D$7*SQRT(-2*LN(MAX(0.000000000001,L151/2147483647)))*COS(2*PI()*M151/2147483647),'Control Room'!$B$8+('Control Room'!$D$8-'Control Room'!$B$8)*L151/2147483647)</x:f>
        <x:v>986.8780789719691</x:v>
      </x:c>
      <x:c r="O151" s="17" t="n">
        <x:f>IF('Control Room'!$B$5="Normal",'Control Room'!$B$7,('Control Room'!$B$8+'Control Room'!$D$8)/2)+'Control Room'!$B$9*(O150-IF('Control Room'!$B$5="Normal",'Control Room'!$B$7,('Control Room'!$B$8+'Control Room'!$D$8)/2))+SQRT(1-'Control Room'!$B$9^2)*(N151-IF('Control Room'!$B$5="Normal",'Control Room'!$B$7,('Control Room'!$B$8+'Control Room'!$D$8)/2))</x:f>
        <x:v>926.1238519905467</x:v>
      </x:c>
      <x:c r="P151" s="17" t="n">
        <x:f>IF(AND($A151&gt;='Control Room'!$A$13,$A151&lt;'Control Room'!$A$13+'Control Room'!$B$13,'Process'!BM2=1),1+('Control Room'!$C$13-1)*EXP(-0.5*(($A151-'Control Room'!$A$13-('Control Room'!$B$13-1)/2)/MAX(0.5,'Control Room'!$B$13/4))^2),1)*IF(AND($A151&gt;='Control Room'!$A$14,$A151&lt;'Control Room'!$A$14+'Control Room'!$B$14,'Process'!BM3=1),1+('Control Room'!$C$14-1)*EXP(-0.5*(($A151-'Control Room'!$A$14-('Control Room'!$B$14-1)/2)/MAX(0.5,'Control Room'!$B$14/4))^2),1)*IF(AND($A151&gt;='Control Room'!$A$15,$A151&lt;'Control Room'!$A$15+'Control Room'!$B$15,'Process'!BM4=1),1+('Control Room'!$C$15-1)*EXP(-0.5*(($A151-'Control Room'!$A$15-('Control Room'!$B$15-1)/2)/MAX(0.5,'Control Room'!$B$15/4))^2),1)*IF(AND($A151&gt;='Control Room'!$A$16,$A151&lt;'Control Room'!$A$16+'Control Room'!$B$16,'Process'!BM5=1),1+('Control Room'!$C$16-1)*EXP(-0.5*(($A151-'Control Room'!$A$16-('Control Room'!$B$16-1)/2)/MAX(0.5,'Control Room'!$B$16/4))^2),1)</x:f>
        <x:v>1</x:v>
      </x:c>
      <x:c r="Q151" s="9" t="n">
        <x:f>MOD(R150*16807,2147483647)</x:f>
        <x:v>1778879931</x:v>
      </x:c>
      <x:c r="R151" s="9" t="n">
        <x:f>MOD(Q151*16807,2147483647)</x:f>
        <x:v>367666783</x:v>
      </x:c>
      <x:c r="S151" s="17" t="n">
        <x:f>IF('Control Room'!$B$5="Normal",'Control Room'!$B$7+'Control Room'!$D$7*SQRT(-2*LN(MAX(0.000000000001,Q151/2147483647)))*COS(2*PI()*R151/2147483647),'Control Room'!$B$8+('Control Room'!$D$8-'Control Room'!$B$8)*Q151/2147483647)</x:f>
        <x:v>1026.240442679478</x:v>
      </x:c>
      <x:c r="T151" s="17" t="n">
        <x:f>IF('Control Room'!$B$5="Normal",'Control Room'!$B$7,('Control Room'!$B$8+'Control Room'!$D$8)/2)+'Control Room'!$B$9*(T150-IF('Control Room'!$B$5="Normal",'Control Room'!$B$7,('Control Room'!$B$8+'Control Room'!$D$8)/2))+SQRT(1-'Control Room'!$B$9^2)*(S151-IF('Control Room'!$B$5="Normal",'Control Room'!$B$7,('Control Room'!$B$8+'Control Room'!$D$8)/2))</x:f>
        <x:v>1072.6093910935897</x:v>
      </x:c>
      <x:c r="U151" s="17" t="n">
        <x:f>IF(AND($A151&gt;='Control Room'!$A$13,$A151&lt;'Control Room'!$A$13+'Control Room'!$B$13,'Process'!BN2=1),1+('Control Room'!$C$13-1)*EXP(-0.5*(($A151-'Control Room'!$A$13-('Control Room'!$B$13-1)/2)/MAX(0.5,'Control Room'!$B$13/4))^2),1)*IF(AND($A151&gt;='Control Room'!$A$14,$A151&lt;'Control Room'!$A$14+'Control Room'!$B$14,'Process'!BN3=1),1+('Control Room'!$C$14-1)*EXP(-0.5*(($A151-'Control Room'!$A$14-('Control Room'!$B$14-1)/2)/MAX(0.5,'Control Room'!$B$14/4))^2),1)*IF(AND($A151&gt;='Control Room'!$A$15,$A151&lt;'Control Room'!$A$15+'Control Room'!$B$15,'Process'!BN4=1),1+('Control Room'!$C$15-1)*EXP(-0.5*(($A151-'Control Room'!$A$15-('Control Room'!$B$15-1)/2)/MAX(0.5,'Control Room'!$B$15/4))^2),1)*IF(AND($A151&gt;='Control Room'!$A$16,$A151&lt;'Control Room'!$A$16+'Control Room'!$B$16,'Process'!BN5=1),1+('Control Room'!$C$16-1)*EXP(-0.5*(($A151-'Control Room'!$A$16-('Control Room'!$B$16-1)/2)/MAX(0.5,'Control Room'!$B$16/4))^2),1)</x:f>
        <x:v>1</x:v>
      </x:c>
      <x:c r="V151" s="9" t="n">
        <x:f>MOD(W150*16807,2147483647)</x:f>
        <x:v>2098881152</x:v>
      </x:c>
      <x:c r="W151" s="9" t="n">
        <x:f>MOD(V151*16807,2147483647)</x:f>
        <x:v>1329136042</x:v>
      </x:c>
      <x:c r="X151" s="17" t="n">
        <x:f>IF('Control Room'!$B$5="Normal",'Control Room'!$B$7+'Control Room'!$D$7*SQRT(-2*LN(MAX(0.000000000001,V151/2147483647)))*COS(2*PI()*W151/2147483647),'Control Room'!$B$8+('Control Room'!$D$8-'Control Room'!$B$8)*V151/2147483647)</x:f>
        <x:v>985.8732589515674</x:v>
      </x:c>
      <x:c r="Y151" s="17" t="n">
        <x:f>IF('Control Room'!$B$5="Normal",'Control Room'!$B$7,('Control Room'!$B$8+'Control Room'!$D$8)/2)+'Control Room'!$B$9*(Y150-IF('Control Room'!$B$5="Normal",'Control Room'!$B$7,('Control Room'!$B$8+'Control Room'!$D$8)/2))+SQRT(1-'Control Room'!$B$9^2)*(X151-IF('Control Room'!$B$5="Normal",'Control Room'!$B$7,('Control Room'!$B$8+'Control Room'!$D$8)/2))</x:f>
        <x:v>1059.6345744099233</x:v>
      </x:c>
      <x:c r="Z151" s="17" t="n">
        <x:f>IF(AND($A151&gt;='Control Room'!$A$13,$A151&lt;'Control Room'!$A$13+'Control Room'!$B$13,'Process'!BO2=1),1+('Control Room'!$C$13-1)*EXP(-0.5*(($A151-'Control Room'!$A$13-('Control Room'!$B$13-1)/2)/MAX(0.5,'Control Room'!$B$13/4))^2),1)*IF(AND($A151&gt;='Control Room'!$A$14,$A151&lt;'Control Room'!$A$14+'Control Room'!$B$14,'Process'!BO3=1),1+('Control Room'!$C$14-1)*EXP(-0.5*(($A151-'Control Room'!$A$14-('Control Room'!$B$14-1)/2)/MAX(0.5,'Control Room'!$B$14/4))^2),1)*IF(AND($A151&gt;='Control Room'!$A$15,$A151&lt;'Control Room'!$A$15+'Control Room'!$B$15,'Process'!BO4=1),1+('Control Room'!$C$15-1)*EXP(-0.5*(($A151-'Control Room'!$A$15-('Control Room'!$B$15-1)/2)/MAX(0.5,'Control Room'!$B$15/4))^2),1)*IF(AND($A151&gt;='Control Room'!$A$16,$A151&lt;'Control Room'!$A$16+'Control Room'!$B$16,'Process'!BO5=1),1+('Control Room'!$C$16-1)*EXP(-0.5*(($A151-'Control Room'!$A$16-('Control Room'!$B$16-1)/2)/MAX(0.5,'Control Room'!$B$16/4))^2),1)</x:f>
        <x:v>1</x:v>
      </x:c>
      <x:c r="AA151" s="9" t="n">
        <x:f>MOD(AB150*16807,2147483647)</x:f>
        <x:v>271398726</x:v>
      </x:c>
      <x:c r="AB151" s="9" t="n">
        <x:f>MOD(AA151*16807,2147483647)</x:f>
        <x:v>143121654</x:v>
      </x:c>
      <x:c r="AC151" s="17" t="n">
        <x:f>IF('Control Room'!$B$5="Normal",'Control Room'!$B$7+'Control Room'!$D$7*SQRT(-2*LN(MAX(0.000000000001,AA151/2147483647)))*COS(2*PI()*AB151/2147483647),'Control Room'!$B$8+('Control Room'!$D$8-'Control Room'!$B$8)*AA151/2147483647)</x:f>
        <x:v>1167.2385491068053</x:v>
      </x:c>
      <x:c r="AD151" s="17" t="n">
        <x:f>IF('Control Room'!$B$5="Normal",'Control Room'!$B$7,('Control Room'!$B$8+'Control Room'!$D$8)/2)+'Control Room'!$B$9*(AD150-IF('Control Room'!$B$5="Normal",'Control Room'!$B$7,('Control Room'!$B$8+'Control Room'!$D$8)/2))+SQRT(1-'Control Room'!$B$9^2)*(AC151-IF('Control Room'!$B$5="Normal",'Control Room'!$B$7,('Control Room'!$B$8+'Control Room'!$D$8)/2))</x:f>
        <x:v>1040.8574818490756</x:v>
      </x:c>
      <x:c r="AE151" s="17" t="n">
        <x:f>IF(AND($A151&gt;='Control Room'!$A$13,$A151&lt;'Control Room'!$A$13+'Control Room'!$B$13,'Process'!BP2=1),1+('Control Room'!$C$13-1)*EXP(-0.5*(($A151-'Control Room'!$A$13-('Control Room'!$B$13-1)/2)/MAX(0.5,'Control Room'!$B$13/4))^2),1)*IF(AND($A151&gt;='Control Room'!$A$14,$A151&lt;'Control Room'!$A$14+'Control Room'!$B$14,'Process'!BP3=1),1+('Control Room'!$C$14-1)*EXP(-0.5*(($A151-'Control Room'!$A$14-('Control Room'!$B$14-1)/2)/MAX(0.5,'Control Room'!$B$14/4))^2),1)*IF(AND($A151&gt;='Control Room'!$A$15,$A151&lt;'Control Room'!$A$15+'Control Room'!$B$15,'Process'!BP4=1),1+('Control Room'!$C$15-1)*EXP(-0.5*(($A151-'Control Room'!$A$15-('Control Room'!$B$15-1)/2)/MAX(0.5,'Control Room'!$B$15/4))^2),1)*IF(AND($A151&gt;='Control Room'!$A$16,$A151&lt;'Control Room'!$A$16+'Control Room'!$B$16,'Process'!BP5=1),1+('Control Room'!$C$16-1)*EXP(-0.5*(($A151-'Control Room'!$A$16-('Control Room'!$B$16-1)/2)/MAX(0.5,'Control Room'!$B$16/4))^2),1)</x:f>
        <x:v>1</x:v>
      </x:c>
      <x:c r="AF151" s="9" t="n">
        <x:f>MOD(AG150*16807,2147483647)</x:f>
        <x:v>591399947</x:v>
      </x:c>
      <x:c r="AG151" s="9" t="n">
        <x:f>MOD(AF151*16807,2147483647)</x:f>
        <x:v>1104590913</x:v>
      </x:c>
      <x:c r="AH151" s="17" t="n">
        <x:f>IF('Control Room'!$B$5="Normal",'Control Room'!$B$7+'Control Room'!$D$7*SQRT(-2*LN(MAX(0.000000000001,AF151/2147483647)))*COS(2*PI()*AG151/2147483647),'Control Room'!$B$8+('Control Room'!$D$8-'Control Room'!$B$8)*AF151/2147483647)</x:f>
        <x:v>856.0516302948608</x:v>
      </x:c>
      <x:c r="AI151" s="17" t="n">
        <x:f>IF('Control Room'!$B$5="Normal",'Control Room'!$B$7,('Control Room'!$B$8+'Control Room'!$D$8)/2)+'Control Room'!$B$9*(AI150-IF('Control Room'!$B$5="Normal",'Control Room'!$B$7,('Control Room'!$B$8+'Control Room'!$D$8)/2))+SQRT(1-'Control Room'!$B$9^2)*(AH151-IF('Control Room'!$B$5="Normal",'Control Room'!$B$7,('Control Room'!$B$8+'Control Room'!$D$8)/2))</x:f>
        <x:v>1125.848054635543</x:v>
      </x:c>
      <x:c r="AJ151" s="17" t="n">
        <x:f>IF(AND($A151&gt;='Control Room'!$A$13,$A151&lt;'Control Room'!$A$13+'Control Room'!$B$13,'Process'!BQ2=1),1+('Control Room'!$C$13-1)*EXP(-0.5*(($A151-'Control Room'!$A$13-('Control Room'!$B$13-1)/2)/MAX(0.5,'Control Room'!$B$13/4))^2),1)*IF(AND($A151&gt;='Control Room'!$A$14,$A151&lt;'Control Room'!$A$14+'Control Room'!$B$14,'Process'!BQ3=1),1+('Control Room'!$C$14-1)*EXP(-0.5*(($A151-'Control Room'!$A$14-('Control Room'!$B$14-1)/2)/MAX(0.5,'Control Room'!$B$14/4))^2),1)*IF(AND($A151&gt;='Control Room'!$A$15,$A151&lt;'Control Room'!$A$15+'Control Room'!$B$15,'Process'!BQ4=1),1+('Control Room'!$C$15-1)*EXP(-0.5*(($A151-'Control Room'!$A$15-('Control Room'!$B$15-1)/2)/MAX(0.5,'Control Room'!$B$15/4))^2),1)*IF(AND($A151&gt;='Control Room'!$A$16,$A151&lt;'Control Room'!$A$16+'Control Room'!$B$16,'Process'!BQ5=1),1+('Control Room'!$C$16-1)*EXP(-0.5*(($A151-'Control Room'!$A$16-('Control Room'!$B$16-1)/2)/MAX(0.5,'Control Room'!$B$16/4))^2),1)</x:f>
        <x:v>1</x:v>
      </x:c>
      <x:c r="AK151" s="9" t="n">
        <x:f>MOD(AL150*16807,2147483647)</x:f>
        <x:v>911401168</x:v>
      </x:c>
      <x:c r="AL151" s="9" t="n">
        <x:f>MOD(AK151*16807,2147483647)</x:f>
        <x:v>2066060172</x:v>
      </x:c>
      <x:c r="AM151" s="17" t="n">
        <x:f>IF('Control Room'!$B$5="Normal",'Control Room'!$B$7+'Control Room'!$D$7*SQRT(-2*LN(MAX(0.000000000001,AK151/2147483647)))*COS(2*PI()*AL151/2147483647),'Control Room'!$B$8+('Control Room'!$D$8-'Control Room'!$B$8)*AK151/2147483647)</x:f>
        <x:v>1114.504603415624</x:v>
      </x:c>
      <x:c r="AN151" s="17" t="n">
        <x:f>IF('Control Room'!$B$5="Normal",'Control Room'!$B$7,('Control Room'!$B$8+'Control Room'!$D$8)/2)+'Control Room'!$B$9*(AN150-IF('Control Room'!$B$5="Normal",'Control Room'!$B$7,('Control Room'!$B$8+'Control Room'!$D$8)/2))+SQRT(1-'Control Room'!$B$9^2)*(AM151-IF('Control Room'!$B$5="Normal",'Control Room'!$B$7,('Control Room'!$B$8+'Control Room'!$D$8)/2))</x:f>
        <x:v>1078.3740203994705</x:v>
      </x:c>
      <x:c r="AO151" s="17" t="n">
        <x:f>IF(AND($A151&gt;='Control Room'!$A$13,$A151&lt;'Control Room'!$A$13+'Control Room'!$B$13,'Process'!BR2=1),1+('Control Room'!$C$13-1)*EXP(-0.5*(($A151-'Control Room'!$A$13-('Control Room'!$B$13-1)/2)/MAX(0.5,'Control Room'!$B$13/4))^2),1)*IF(AND($A151&gt;='Control Room'!$A$14,$A151&lt;'Control Room'!$A$14+'Control Room'!$B$14,'Process'!BR3=1),1+('Control Room'!$C$14-1)*EXP(-0.5*(($A151-'Control Room'!$A$14-('Control Room'!$B$14-1)/2)/MAX(0.5,'Control Room'!$B$14/4))^2),1)*IF(AND($A151&gt;='Control Room'!$A$15,$A151&lt;'Control Room'!$A$15+'Control Room'!$B$15,'Process'!BR4=1),1+('Control Room'!$C$15-1)*EXP(-0.5*(($A151-'Control Room'!$A$15-('Control Room'!$B$15-1)/2)/MAX(0.5,'Control Room'!$B$15/4))^2),1)*IF(AND($A151&gt;='Control Room'!$A$16,$A151&lt;'Control Room'!$A$16+'Control Room'!$B$16,'Process'!BR5=1),1+('Control Room'!$C$16-1)*EXP(-0.5*(($A151-'Control Room'!$A$16-('Control Room'!$B$16-1)/2)/MAX(0.5,'Control Room'!$B$16/4))^2),1)</x:f>
        <x:v>1</x:v>
      </x:c>
      <x:c r="AP151" s="9" t="n">
        <x:f>MOD(AQ150*16807,2147483647)</x:f>
        <x:v>1231402389</x:v>
      </x:c>
      <x:c r="AQ151" s="9" t="n">
        <x:f>MOD(AP151*16807,2147483647)</x:f>
        <x:v>880045784</x:v>
      </x:c>
      <x:c r="AR151" s="17" t="n">
        <x:f>IF('Control Room'!$B$5="Normal",'Control Room'!$B$7+'Control Room'!$D$7*SQRT(-2*LN(MAX(0.000000000001,AP151/2147483647)))*COS(2*PI()*AQ151/2147483647),'Control Room'!$B$8+('Control Room'!$D$8-'Control Room'!$B$8)*AP151/2147483647)</x:f>
        <x:v>919.9206101274788</x:v>
      </x:c>
      <x:c r="AS151" s="17" t="n">
        <x:f>IF('Control Room'!$B$5="Normal",'Control Room'!$B$7,('Control Room'!$B$8+'Control Room'!$D$8)/2)+'Control Room'!$B$9*(AS150-IF('Control Room'!$B$5="Normal",'Control Room'!$B$7,('Control Room'!$B$8+'Control Room'!$D$8)/2))+SQRT(1-'Control Room'!$B$9^2)*(AR151-IF('Control Room'!$B$5="Normal",'Control Room'!$B$7,('Control Room'!$B$8+'Control Room'!$D$8)/2))</x:f>
        <x:v>899.8282168016538</x:v>
      </x:c>
      <x:c r="AT151" s="17" t="n">
        <x:f>IF(AND($A151&gt;='Control Room'!$A$13,$A151&lt;'Control Room'!$A$13+'Control Room'!$B$13,'Process'!BS2=1),1+('Control Room'!$C$13-1)*EXP(-0.5*(($A151-'Control Room'!$A$13-('Control Room'!$B$13-1)/2)/MAX(0.5,'Control Room'!$B$13/4))^2),1)*IF(AND($A151&gt;='Control Room'!$A$14,$A151&lt;'Control Room'!$A$14+'Control Room'!$B$14,'Process'!BS3=1),1+('Control Room'!$C$14-1)*EXP(-0.5*(($A151-'Control Room'!$A$14-('Control Room'!$B$14-1)/2)/MAX(0.5,'Control Room'!$B$14/4))^2),1)*IF(AND($A151&gt;='Control Room'!$A$15,$A151&lt;'Control Room'!$A$15+'Control Room'!$B$15,'Process'!BS4=1),1+('Control Room'!$C$15-1)*EXP(-0.5*(($A151-'Control Room'!$A$15-('Control Room'!$B$15-1)/2)/MAX(0.5,'Control Room'!$B$15/4))^2),1)*IF(AND($A151&gt;='Control Room'!$A$16,$A151&lt;'Control Room'!$A$16+'Control Room'!$B$16,'Process'!BS5=1),1+('Control Room'!$C$16-1)*EXP(-0.5*(($A151-'Control Room'!$A$16-('Control Room'!$B$16-1)/2)/MAX(0.5,'Control Room'!$B$16/4))^2),1)</x:f>
        <x:v>1</x:v>
      </x:c>
      <x:c r="AU151" s="9" t="n">
        <x:f>MOD(AV150*16807,2147483647)</x:f>
        <x:v>1551403610</x:v>
      </x:c>
      <x:c r="AV151" s="9" t="n">
        <x:f>MOD(AU151*16807,2147483647)</x:f>
        <x:v>1841515043</x:v>
      </x:c>
      <x:c r="AW151" s="17" t="n">
        <x:f>IF('Control Room'!$B$5="Normal",'Control Room'!$B$7+'Control Room'!$D$7*SQRT(-2*LN(MAX(0.000000000001,AU151/2147483647)))*COS(2*PI()*AV151/2147483647),'Control Room'!$B$8+('Control Room'!$D$8-'Control Room'!$B$8)*AU151/2147483647)</x:f>
        <x:v>1045.3852696995775</x:v>
      </x:c>
      <x:c r="AX151" s="17" t="n">
        <x:f>IF('Control Room'!$B$5="Normal",'Control Room'!$B$7,('Control Room'!$B$8+'Control Room'!$D$8)/2)+'Control Room'!$B$9*(AX150-IF('Control Room'!$B$5="Normal",'Control Room'!$B$7,('Control Room'!$B$8+'Control Room'!$D$8)/2))+SQRT(1-'Control Room'!$B$9^2)*(AW151-IF('Control Room'!$B$5="Normal",'Control Room'!$B$7,('Control Room'!$B$8+'Control Room'!$D$8)/2))</x:f>
        <x:v>1117.72887381291</x:v>
      </x:c>
      <x:c r="AY151" s="17" t="n">
        <x:f>IF(AND($A151&gt;='Control Room'!$A$13,$A151&lt;'Control Room'!$A$13+'Control Room'!$B$13,'Process'!BT2=1),1+('Control Room'!$C$13-1)*EXP(-0.5*(($A151-'Control Room'!$A$13-('Control Room'!$B$13-1)/2)/MAX(0.5,'Control Room'!$B$13/4))^2),1)*IF(AND($A151&gt;='Control Room'!$A$14,$A151&lt;'Control Room'!$A$14+'Control Room'!$B$14,'Process'!BT3=1),1+('Control Room'!$C$14-1)*EXP(-0.5*(($A151-'Control Room'!$A$14-('Control Room'!$B$14-1)/2)/MAX(0.5,'Control Room'!$B$14/4))^2),1)*IF(AND($A151&gt;='Control Room'!$A$15,$A151&lt;'Control Room'!$A$15+'Control Room'!$B$15,'Process'!BT4=1),1+('Control Room'!$C$15-1)*EXP(-0.5*(($A151-'Control Room'!$A$15-('Control Room'!$B$15-1)/2)/MAX(0.5,'Control Room'!$B$15/4))^2),1)*IF(AND($A151&gt;='Control Room'!$A$16,$A151&lt;'Control Room'!$A$16+'Control Room'!$B$16,'Process'!BT5=1),1+('Control Room'!$C$16-1)*EXP(-0.5*(($A151-'Control Room'!$A$16-('Control Room'!$B$16-1)/2)/MAX(0.5,'Control Room'!$B$16/4))^2),1)</x:f>
        <x:v>1</x:v>
      </x:c>
      <x:c r="AZ151" s="9" t="n">
        <x:f>MOD(BA150*16807,2147483647)</x:f>
        <x:v>1871404831</x:v>
      </x:c>
      <x:c r="BA151" s="9" t="n">
        <x:f>MOD(AZ151*16807,2147483647)</x:f>
        <x:v>655500655</x:v>
      </x:c>
      <x:c r="BB151" s="17" t="n">
        <x:f>IF('Control Room'!$B$5="Normal",'Control Room'!$B$7+'Control Room'!$D$7*SQRT(-2*LN(MAX(0.000000000001,AZ151/2147483647)))*COS(2*PI()*BA151/2147483647),'Control Room'!$B$8+('Control Room'!$D$8-'Control Room'!$B$8)*AZ151/2147483647)</x:f>
        <x:v>983.9392221138877</x:v>
      </x:c>
      <x:c r="BC151" s="17" t="n">
        <x:f>IF('Control Room'!$B$5="Normal",'Control Room'!$B$7,('Control Room'!$B$8+'Control Room'!$D$8)/2)+'Control Room'!$B$9*(BC150-IF('Control Room'!$B$5="Normal",'Control Room'!$B$7,('Control Room'!$B$8+'Control Room'!$D$8)/2))+SQRT(1-'Control Room'!$B$9^2)*(BB151-IF('Control Room'!$B$5="Normal",'Control Room'!$B$7,('Control Room'!$B$8+'Control Room'!$D$8)/2))</x:f>
        <x:v>1050.096837356944</x:v>
      </x:c>
      <x:c r="BD151" s="17" t="n">
        <x:f>IF(AND($A151&gt;='Control Room'!$A$13,$A151&lt;'Control Room'!$A$13+'Control Room'!$B$13,'Process'!BU2=1),1+('Control Room'!$C$13-1)*EXP(-0.5*(($A151-'Control Room'!$A$13-('Control Room'!$B$13-1)/2)/MAX(0.5,'Control Room'!$B$13/4))^2),1)*IF(AND($A151&gt;='Control Room'!$A$14,$A151&lt;'Control Room'!$A$14+'Control Room'!$B$14,'Process'!BU3=1),1+('Control Room'!$C$14-1)*EXP(-0.5*(($A151-'Control Room'!$A$14-('Control Room'!$B$14-1)/2)/MAX(0.5,'Control Room'!$B$14/4))^2),1)*IF(AND($A151&gt;='Control Room'!$A$15,$A151&lt;'Control Room'!$A$15+'Control Room'!$B$15,'Process'!BU4=1),1+('Control Room'!$C$15-1)*EXP(-0.5*(($A151-'Control Room'!$A$15-('Control Room'!$B$15-1)/2)/MAX(0.5,'Control Room'!$B$15/4))^2),1)*IF(AND($A151&gt;='Control Room'!$A$16,$A151&lt;'Control Room'!$A$16+'Control Room'!$B$16,'Process'!BU5=1),1+('Control Room'!$C$16-1)*EXP(-0.5*(($A151-'Control Room'!$A$16-('Control Room'!$B$16-1)/2)/MAX(0.5,'Control Room'!$B$16/4))^2),1)</x:f>
        <x:v>1</x:v>
      </x:c>
      <x:c r="BE151" s="9" t="n">
        <x:f>MOD(BF150*16807,2147483647)</x:f>
        <x:v>43922405</x:v>
      </x:c>
      <x:c r="BF151" s="9" t="n">
        <x:f>MOD(BE151*16807,2147483647)</x:f>
        <x:v>1616969914</x:v>
      </x:c>
      <x:c r="BG151" s="17" t="n">
        <x:f>IF('Control Room'!$B$5="Normal",'Control Room'!$B$7+'Control Room'!$D$7*SQRT(-2*LN(MAX(0.000000000001,BE151/2147483647)))*COS(2*PI()*BF151/2147483647),'Control Room'!$B$8+('Control Room'!$D$8-'Control Room'!$B$8)*BE151/2147483647)</x:f>
        <x:v>1004.6687529817657</x:v>
      </x:c>
      <x:c r="BH151" s="17" t="n">
        <x:f>IF('Control Room'!$B$5="Normal",'Control Room'!$B$7,('Control Room'!$B$8+'Control Room'!$D$8)/2)+'Control Room'!$B$9*(BH150-IF('Control Room'!$B$5="Normal",'Control Room'!$B$7,('Control Room'!$B$8+'Control Room'!$D$8)/2))+SQRT(1-'Control Room'!$B$9^2)*(BG151-IF('Control Room'!$B$5="Normal",'Control Room'!$B$7,('Control Room'!$B$8+'Control Room'!$D$8)/2))</x:f>
        <x:v>1007.7692700404426</x:v>
      </x:c>
      <x:c r="BI151" s="17" t="n">
        <x:f>IF(AND($A151&gt;='Control Room'!$A$13,$A151&lt;'Control Room'!$A$13+'Control Room'!$B$13,'Process'!BV2=1),1+('Control Room'!$C$13-1)*EXP(-0.5*(($A151-'Control Room'!$A$13-('Control Room'!$B$13-1)/2)/MAX(0.5,'Control Room'!$B$13/4))^2),1)*IF(AND($A151&gt;='Control Room'!$A$14,$A151&lt;'Control Room'!$A$14+'Control Room'!$B$14,'Process'!BV3=1),1+('Control Room'!$C$14-1)*EXP(-0.5*(($A151-'Control Room'!$A$14-('Control Room'!$B$14-1)/2)/MAX(0.5,'Control Room'!$B$14/4))^2),1)*IF(AND($A151&gt;='Control Room'!$A$15,$A151&lt;'Control Room'!$A$15+'Control Room'!$B$15,'Process'!BV4=1),1+('Control Room'!$C$15-1)*EXP(-0.5*(($A151-'Control Room'!$A$15-('Control Room'!$B$15-1)/2)/MAX(0.5,'Control Room'!$B$15/4))^2),1)*IF(AND($A151&gt;='Control Room'!$A$16,$A151&lt;'Control Room'!$A$16+'Control Room'!$B$16,'Process'!BV5=1),1+('Control Room'!$C$16-1)*EXP(-0.5*(($A151-'Control Room'!$A$16-('Control Room'!$B$16-1)/2)/MAX(0.5,'Control Room'!$B$16/4))^2),1)</x:f>
        <x:v>1</x:v>
      </x:c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Z151" t="str">
        <x:f>IF('Data'!A151="","",TEXT('Data'!A151,"mm-dd"))</x:f>
      </x:c>
    </x:row>
    <x:row r="152" ht="21" customHeight="1">
      <x:c r="A152" s="15" t="n">
        <x:f>'Control Room'!$B$1+150</x:f>
        <x:v>73141</x:v>
      </x:c>
      <x:c r="B152" s="9" t="n">
        <x:f>MOD(C151*16807,2147483647)</x:f>
        <x:v>119508801</x:v>
      </x:c>
      <x:c r="C152" s="9" t="n">
        <x:f>MOD(B152*16807,2147483647)</x:f>
        <x:v>687208462</x:v>
      </x:c>
      <x:c r="D152" s="17" t="n">
        <x:f>IF('Control Room'!$B$5="Normal",'Control Room'!$B$7+'Control Room'!$D$7*SQRT(-2*LN(MAX(0.000000000001,B152/2147483647)))*COS(2*PI()*C152/2147483647),'Control Room'!$B$8+('Control Room'!$D$8-'Control Room'!$B$8)*B152/2147483647)</x:f>
        <x:v>907.8856298267617</x:v>
      </x:c>
      <x:c r="E152" s="17" t="n">
        <x:f>IF('Control Room'!$B$5="Normal",'Control Room'!$B$7,('Control Room'!$B$8+'Control Room'!$D$8)/2)+'Control Room'!$B$9*(E151-IF('Control Room'!$B$5="Normal",'Control Room'!$B$7,('Control Room'!$B$8+'Control Room'!$D$8)/2))+SQRT(1-'Control Room'!$B$9^2)*(D152-IF('Control Room'!$B$5="Normal",'Control Room'!$B$7,('Control Room'!$B$8+'Control Room'!$D$8)/2))</x:f>
        <x:v>975.3705998636065</x:v>
      </x:c>
      <x:c r="F152" s="17" t="n">
        <x:f>IF(AND($A152&gt;='Control Room'!$A$13,$A152&lt;'Control Room'!$A$13+'Control Room'!$B$13,'Process'!BK2=1),1+('Control Room'!$C$13-1)*EXP(-0.5*(($A152-'Control Room'!$A$13-('Control Room'!$B$13-1)/2)/MAX(0.5,'Control Room'!$B$13/4))^2),1)*IF(AND($A152&gt;='Control Room'!$A$14,$A152&lt;'Control Room'!$A$14+'Control Room'!$B$14,'Process'!BK3=1),1+('Control Room'!$C$14-1)*EXP(-0.5*(($A152-'Control Room'!$A$14-('Control Room'!$B$14-1)/2)/MAX(0.5,'Control Room'!$B$14/4))^2),1)*IF(AND($A152&gt;='Control Room'!$A$15,$A152&lt;'Control Room'!$A$15+'Control Room'!$B$15,'Process'!BK4=1),1+('Control Room'!$C$15-1)*EXP(-0.5*(($A152-'Control Room'!$A$15-('Control Room'!$B$15-1)/2)/MAX(0.5,'Control Room'!$B$15/4))^2),1)*IF(AND($A152&gt;='Control Room'!$A$16,$A152&lt;'Control Room'!$A$16+'Control Room'!$B$16,'Process'!BK5=1),1+('Control Room'!$C$16-1)*EXP(-0.5*(($A152-'Control Room'!$A$16-('Control Room'!$B$16-1)/2)/MAX(0.5,'Control Room'!$B$16/4))^2),1)</x:f>
        <x:v>1</x:v>
      </x:c>
      <x:c r="G152" s="9" t="n">
        <x:f>MOD(H151*16807,2147483647)</x:f>
        <x:v>1866384786</x:v>
      </x:c>
      <x:c r="H152" s="9" t="n">
        <x:f>MOD(G152*16807,2147483647)</x:f>
        <x:v>35466573</x:v>
      </x:c>
      <x:c r="I152" s="17" t="n">
        <x:f>IF('Control Room'!$B$5="Normal",'Control Room'!$B$7+'Control Room'!$D$7*SQRT(-2*LN(MAX(0.000000000001,G152/2147483647)))*COS(2*PI()*H152/2147483647),'Control Room'!$B$8+('Control Room'!$D$8-'Control Room'!$B$8)*G152/2147483647)</x:f>
        <x:v>1047.4169665621685</x:v>
      </x:c>
      <x:c r="J152" s="17" t="n">
        <x:f>IF('Control Room'!$B$5="Normal",'Control Room'!$B$7,('Control Room'!$B$8+'Control Room'!$D$8)/2)+'Control Room'!$B$9*(J151-IF('Control Room'!$B$5="Normal",'Control Room'!$B$7,('Control Room'!$B$8+'Control Room'!$D$8)/2))+SQRT(1-'Control Room'!$B$9^2)*(I152-IF('Control Room'!$B$5="Normal",'Control Room'!$B$7,('Control Room'!$B$8+'Control Room'!$D$8)/2))</x:f>
        <x:v>1070.2952739363027</x:v>
      </x:c>
      <x:c r="K152" s="17" t="n">
        <x:f>IF(AND($A152&gt;='Control Room'!$A$13,$A152&lt;'Control Room'!$A$13+'Control Room'!$B$13,'Process'!BL2=1),1+('Control Room'!$C$13-1)*EXP(-0.5*(($A152-'Control Room'!$A$13-('Control Room'!$B$13-1)/2)/MAX(0.5,'Control Room'!$B$13/4))^2),1)*IF(AND($A152&gt;='Control Room'!$A$14,$A152&lt;'Control Room'!$A$14+'Control Room'!$B$14,'Process'!BL3=1),1+('Control Room'!$C$14-1)*EXP(-0.5*(($A152-'Control Room'!$A$14-('Control Room'!$B$14-1)/2)/MAX(0.5,'Control Room'!$B$14/4))^2),1)*IF(AND($A152&gt;='Control Room'!$A$15,$A152&lt;'Control Room'!$A$15+'Control Room'!$B$15,'Process'!BL4=1),1+('Control Room'!$C$15-1)*EXP(-0.5*(($A152-'Control Room'!$A$15-('Control Room'!$B$15-1)/2)/MAX(0.5,'Control Room'!$B$15/4))^2),1)*IF(AND($A152&gt;='Control Room'!$A$16,$A152&lt;'Control Room'!$A$16+'Control Room'!$B$16,'Process'!BL5=1),1+('Control Room'!$C$16-1)*EXP(-0.5*(($A152-'Control Room'!$A$16-('Control Room'!$B$16-1)/2)/MAX(0.5,'Control Room'!$B$16/4))^2),1)</x:f>
        <x:v>1</x:v>
      </x:c>
      <x:c r="L152" s="9" t="n">
        <x:f>MOD(M151*16807,2147483647)</x:f>
        <x:v>1465777124</x:v>
      </x:c>
      <x:c r="M152" s="9" t="n">
        <x:f>MOD(L152*16807,2147483647)</x:f>
        <x:v>1531208331</x:v>
      </x:c>
      <x:c r="N152" s="17" t="n">
        <x:f>IF('Control Room'!$B$5="Normal",'Control Room'!$B$7+'Control Room'!$D$7*SQRT(-2*LN(MAX(0.000000000001,L152/2147483647)))*COS(2*PI()*M152/2147483647),'Control Room'!$B$8+('Control Room'!$D$8-'Control Room'!$B$8)*L152/2147483647)</x:f>
        <x:v>981.8899589197013</x:v>
      </x:c>
      <x:c r="O152" s="17" t="n">
        <x:f>IF('Control Room'!$B$5="Normal",'Control Room'!$B$7,('Control Room'!$B$8+'Control Room'!$D$8)/2)+'Control Room'!$B$9*(O151-IF('Control Room'!$B$5="Normal",'Control Room'!$B$7,('Control Room'!$B$8+'Control Room'!$D$8)/2))+SQRT(1-'Control Room'!$B$9^2)*(N152-IF('Control Room'!$B$5="Normal",'Control Room'!$B$7,('Control Room'!$B$8+'Control Room'!$D$8)/2))</x:f>
        <x:v>931.0437118489328</x:v>
      </x:c>
      <x:c r="P152" s="17" t="n">
        <x:f>IF(AND($A152&gt;='Control Room'!$A$13,$A152&lt;'Control Room'!$A$13+'Control Room'!$B$13,'Process'!BM2=1),1+('Control Room'!$C$13-1)*EXP(-0.5*(($A152-'Control Room'!$A$13-('Control Room'!$B$13-1)/2)/MAX(0.5,'Control Room'!$B$13/4))^2),1)*IF(AND($A152&gt;='Control Room'!$A$14,$A152&lt;'Control Room'!$A$14+'Control Room'!$B$14,'Process'!BM3=1),1+('Control Room'!$C$14-1)*EXP(-0.5*(($A152-'Control Room'!$A$14-('Control Room'!$B$14-1)/2)/MAX(0.5,'Control Room'!$B$14/4))^2),1)*IF(AND($A152&gt;='Control Room'!$A$15,$A152&lt;'Control Room'!$A$15+'Control Room'!$B$15,'Process'!BM4=1),1+('Control Room'!$C$15-1)*EXP(-0.5*(($A152-'Control Room'!$A$15-('Control Room'!$B$15-1)/2)/MAX(0.5,'Control Room'!$B$15/4))^2),1)*IF(AND($A152&gt;='Control Room'!$A$16,$A152&lt;'Control Room'!$A$16+'Control Room'!$B$16,'Process'!BM5=1),1+('Control Room'!$C$16-1)*EXP(-0.5*(($A152-'Control Room'!$A$16-('Control Room'!$B$16-1)/2)/MAX(0.5,'Control Room'!$B$16/4))^2),1)</x:f>
        <x:v>1</x:v>
      </x:c>
      <x:c r="Q152" s="9" t="n">
        <x:f>MOD(R151*16807,2147483647)</x:f>
        <x:v>1065169462</x:v>
      </x:c>
      <x:c r="R152" s="9" t="n">
        <x:f>MOD(Q152*16807,2147483647)</x:f>
        <x:v>879466442</x:v>
      </x:c>
      <x:c r="S152" s="17" t="n">
        <x:f>IF('Control Room'!$B$5="Normal",'Control Room'!$B$7+'Control Room'!$D$7*SQRT(-2*LN(MAX(0.000000000001,Q152/2147483647)))*COS(2*PI()*R152/2147483647),'Control Room'!$B$8+('Control Room'!$D$8-'Control Room'!$B$8)*Q152/2147483647)</x:f>
        <x:v>910.1811270222381</x:v>
      </x:c>
      <x:c r="T152" s="17" t="n">
        <x:f>IF('Control Room'!$B$5="Normal",'Control Room'!$B$7,('Control Room'!$B$8+'Control Room'!$D$8)/2)+'Control Room'!$B$9*(T151-IF('Control Room'!$B$5="Normal",'Control Room'!$B$7,('Control Room'!$B$8+'Control Room'!$D$8)/2))+SQRT(1-'Control Room'!$B$9^2)*(S152-IF('Control Room'!$B$5="Normal",'Control Room'!$B$7,('Control Room'!$B$8+'Control Room'!$D$8)/2))</x:f>
        <x:v>1000.4285143831445</x:v>
      </x:c>
      <x:c r="U152" s="17" t="n">
        <x:f>IF(AND($A152&gt;='Control Room'!$A$13,$A152&lt;'Control Room'!$A$13+'Control Room'!$B$13,'Process'!BN2=1),1+('Control Room'!$C$13-1)*EXP(-0.5*(($A152-'Control Room'!$A$13-('Control Room'!$B$13-1)/2)/MAX(0.5,'Control Room'!$B$13/4))^2),1)*IF(AND($A152&gt;='Control Room'!$A$14,$A152&lt;'Control Room'!$A$14+'Control Room'!$B$14,'Process'!BN3=1),1+('Control Room'!$C$14-1)*EXP(-0.5*(($A152-'Control Room'!$A$14-('Control Room'!$B$14-1)/2)/MAX(0.5,'Control Room'!$B$14/4))^2),1)*IF(AND($A152&gt;='Control Room'!$A$15,$A152&lt;'Control Room'!$A$15+'Control Room'!$B$15,'Process'!BN4=1),1+('Control Room'!$C$15-1)*EXP(-0.5*(($A152-'Control Room'!$A$15-('Control Room'!$B$15-1)/2)/MAX(0.5,'Control Room'!$B$15/4))^2),1)*IF(AND($A152&gt;='Control Room'!$A$16,$A152&lt;'Control Room'!$A$16+'Control Room'!$B$16,'Process'!BN5=1),1+('Control Room'!$C$16-1)*EXP(-0.5*(($A152-'Control Room'!$A$16-('Control Room'!$B$16-1)/2)/MAX(0.5,'Control Room'!$B$16/4))^2),1)</x:f>
        <x:v>1</x:v>
      </x:c>
      <x:c r="V152" s="9" t="n">
        <x:f>MOD(W151*16807,2147483647)</x:f>
        <x:v>664561800</x:v>
      </x:c>
      <x:c r="W152" s="9" t="n">
        <x:f>MOD(V152*16807,2147483647)</x:f>
        <x:v>227724553</x:v>
      </x:c>
      <x:c r="X152" s="17" t="n">
        <x:f>IF('Control Room'!$B$5="Normal",'Control Room'!$B$7+'Control Room'!$D$7*SQRT(-2*LN(MAX(0.000000000001,V152/2147483647)))*COS(2*PI()*W152/2147483647),'Control Room'!$B$8+('Control Room'!$D$8-'Control Room'!$B$8)*V152/2147483647)</x:f>
        <x:v>1108.3635407028514</x:v>
      </x:c>
      <x:c r="Y152" s="17" t="n">
        <x:f>IF('Control Room'!$B$5="Normal",'Control Room'!$B$7,('Control Room'!$B$8+'Control Room'!$D$8)/2)+'Control Room'!$B$9*(Y151-IF('Control Room'!$B$5="Normal",'Control Room'!$B$7,('Control Room'!$B$8+'Control Room'!$D$8)/2))+SQRT(1-'Control Room'!$B$9^2)*(X152-IF('Control Room'!$B$5="Normal",'Control Room'!$B$7,('Control Room'!$B$8+'Control Room'!$D$8)/2))</x:f>
        <x:v>1114.3266518637884</x:v>
      </x:c>
      <x:c r="Z152" s="17" t="n">
        <x:f>IF(AND($A152&gt;='Control Room'!$A$13,$A152&lt;'Control Room'!$A$13+'Control Room'!$B$13,'Process'!BO2=1),1+('Control Room'!$C$13-1)*EXP(-0.5*(($A152-'Control Room'!$A$13-('Control Room'!$B$13-1)/2)/MAX(0.5,'Control Room'!$B$13/4))^2),1)*IF(AND($A152&gt;='Control Room'!$A$14,$A152&lt;'Control Room'!$A$14+'Control Room'!$B$14,'Process'!BO3=1),1+('Control Room'!$C$14-1)*EXP(-0.5*(($A152-'Control Room'!$A$14-('Control Room'!$B$14-1)/2)/MAX(0.5,'Control Room'!$B$14/4))^2),1)*IF(AND($A152&gt;='Control Room'!$A$15,$A152&lt;'Control Room'!$A$15+'Control Room'!$B$15,'Process'!BO4=1),1+('Control Room'!$C$15-1)*EXP(-0.5*(($A152-'Control Room'!$A$15-('Control Room'!$B$15-1)/2)/MAX(0.5,'Control Room'!$B$15/4))^2),1)*IF(AND($A152&gt;='Control Room'!$A$16,$A152&lt;'Control Room'!$A$16+'Control Room'!$B$16,'Process'!BO5=1),1+('Control Room'!$C$16-1)*EXP(-0.5*(($A152-'Control Room'!$A$16-('Control Room'!$B$16-1)/2)/MAX(0.5,'Control Room'!$B$16/4))^2),1)</x:f>
        <x:v>1</x:v>
      </x:c>
      <x:c r="AA152" s="9" t="n">
        <x:f>MOD(AB151*16807,2147483647)</x:f>
        <x:v>263954138</x:v>
      </x:c>
      <x:c r="AB152" s="9" t="n">
        <x:f>MOD(AA152*16807,2147483647)</x:f>
        <x:v>1723466311</x:v>
      </x:c>
      <x:c r="AC152" s="17" t="n">
        <x:f>IF('Control Room'!$B$5="Normal",'Control Room'!$B$7+'Control Room'!$D$7*SQRT(-2*LN(MAX(0.000000000001,AA152/2147483647)))*COS(2*PI()*AB152/2147483647),'Control Room'!$B$8+('Control Room'!$D$8-'Control Room'!$B$8)*AA152/2147483647)</x:f>
        <x:v>1059.7484550184797</x:v>
      </x:c>
      <x:c r="AD152" s="17" t="n">
        <x:f>IF('Control Room'!$B$5="Normal",'Control Room'!$B$7,('Control Room'!$B$8+'Control Room'!$D$8)/2)+'Control Room'!$B$9*(AD151-IF('Control Room'!$B$5="Normal",'Control Room'!$B$7,('Control Room'!$B$8+'Control Room'!$D$8)/2))+SQRT(1-'Control Room'!$B$9^2)*(AC152-IF('Control Room'!$B$5="Normal",'Control Room'!$B$7,('Control Room'!$B$8+'Control Room'!$D$8)/2))</x:f>
        <x:v>1069.2581949792113</x:v>
      </x:c>
      <x:c r="AE152" s="17" t="n">
        <x:f>IF(AND($A152&gt;='Control Room'!$A$13,$A152&lt;'Control Room'!$A$13+'Control Room'!$B$13,'Process'!BP2=1),1+('Control Room'!$C$13-1)*EXP(-0.5*(($A152-'Control Room'!$A$13-('Control Room'!$B$13-1)/2)/MAX(0.5,'Control Room'!$B$13/4))^2),1)*IF(AND($A152&gt;='Control Room'!$A$14,$A152&lt;'Control Room'!$A$14+'Control Room'!$B$14,'Process'!BP3=1),1+('Control Room'!$C$14-1)*EXP(-0.5*(($A152-'Control Room'!$A$14-('Control Room'!$B$14-1)/2)/MAX(0.5,'Control Room'!$B$14/4))^2),1)*IF(AND($A152&gt;='Control Room'!$A$15,$A152&lt;'Control Room'!$A$15+'Control Room'!$B$15,'Process'!BP4=1),1+('Control Room'!$C$15-1)*EXP(-0.5*(($A152-'Control Room'!$A$15-('Control Room'!$B$15-1)/2)/MAX(0.5,'Control Room'!$B$15/4))^2),1)*IF(AND($A152&gt;='Control Room'!$A$16,$A152&lt;'Control Room'!$A$16+'Control Room'!$B$16,'Process'!BP5=1),1+('Control Room'!$C$16-1)*EXP(-0.5*(($A152-'Control Room'!$A$16-('Control Room'!$B$16-1)/2)/MAX(0.5,'Control Room'!$B$16/4))^2),1)</x:f>
        <x:v>1</x:v>
      </x:c>
      <x:c r="AF152" s="9" t="n">
        <x:f>MOD(AG151*16807,2147483647)</x:f>
        <x:v>2010830123</x:v>
      </x:c>
      <x:c r="AG152" s="9" t="n">
        <x:f>MOD(AF152*16807,2147483647)</x:f>
        <x:v>1071724422</x:v>
      </x:c>
      <x:c r="AH152" s="17" t="n">
        <x:f>IF('Control Room'!$B$5="Normal",'Control Room'!$B$7+'Control Room'!$D$7*SQRT(-2*LN(MAX(0.000000000001,AF152/2147483647)))*COS(2*PI()*AG152/2147483647),'Control Room'!$B$8+('Control Room'!$D$8-'Control Room'!$B$8)*AF152/2147483647)</x:f>
        <x:v>967.3641494405084</x:v>
      </x:c>
      <x:c r="AI152" s="17" t="n">
        <x:f>IF('Control Room'!$B$5="Normal",'Control Room'!$B$7,('Control Room'!$B$8+'Control Room'!$D$8)/2)+'Control Room'!$B$9*(AI151-IF('Control Room'!$B$5="Normal",'Control Room'!$B$7,('Control Room'!$B$8+'Control Room'!$D$8)/2))+SQRT(1-'Control Room'!$B$9^2)*(AH152-IF('Control Room'!$B$5="Normal",'Control Room'!$B$7,('Control Room'!$B$8+'Control Room'!$D$8)/2))</x:f>
        <x:v>1077.7386359173329</x:v>
      </x:c>
      <x:c r="AJ152" s="17" t="n">
        <x:f>IF(AND($A152&gt;='Control Room'!$A$13,$A152&lt;'Control Room'!$A$13+'Control Room'!$B$13,'Process'!BQ2=1),1+('Control Room'!$C$13-1)*EXP(-0.5*(($A152-'Control Room'!$A$13-('Control Room'!$B$13-1)/2)/MAX(0.5,'Control Room'!$B$13/4))^2),1)*IF(AND($A152&gt;='Control Room'!$A$14,$A152&lt;'Control Room'!$A$14+'Control Room'!$B$14,'Process'!BQ3=1),1+('Control Room'!$C$14-1)*EXP(-0.5*(($A152-'Control Room'!$A$14-('Control Room'!$B$14-1)/2)/MAX(0.5,'Control Room'!$B$14/4))^2),1)*IF(AND($A152&gt;='Control Room'!$A$15,$A152&lt;'Control Room'!$A$15+'Control Room'!$B$15,'Process'!BQ4=1),1+('Control Room'!$C$15-1)*EXP(-0.5*(($A152-'Control Room'!$A$15-('Control Room'!$B$15-1)/2)/MAX(0.5,'Control Room'!$B$15/4))^2),1)*IF(AND($A152&gt;='Control Room'!$A$16,$A152&lt;'Control Room'!$A$16+'Control Room'!$B$16,'Process'!BQ5=1),1+('Control Room'!$C$16-1)*EXP(-0.5*(($A152-'Control Room'!$A$16-('Control Room'!$B$16-1)/2)/MAX(0.5,'Control Room'!$B$16/4))^2),1)</x:f>
        <x:v>1</x:v>
      </x:c>
      <x:c r="AK152" s="9" t="n">
        <x:f>MOD(AL151*16807,2147483647)</x:f>
        <x:v>1610222461</x:v>
      </x:c>
      <x:c r="AL152" s="9" t="n">
        <x:f>MOD(AK152*16807,2147483647)</x:f>
        <x:v>419982533</x:v>
      </x:c>
      <x:c r="AM152" s="17" t="n">
        <x:f>IF('Control Room'!$B$5="Normal",'Control Room'!$B$7+'Control Room'!$D$7*SQRT(-2*LN(MAX(0.000000000001,AK152/2147483647)))*COS(2*PI()*AL152/2147483647),'Control Room'!$B$8+('Control Room'!$D$8-'Control Room'!$B$8)*AK152/2147483647)</x:f>
        <x:v>1022.9043983451716</x:v>
      </x:c>
      <x:c r="AN152" s="17" t="n">
        <x:f>IF('Control Room'!$B$5="Normal",'Control Room'!$B$7,('Control Room'!$B$8+'Control Room'!$D$8)/2)+'Control Room'!$B$9*(AN151-IF('Control Room'!$B$5="Normal",'Control Room'!$B$7,('Control Room'!$B$8+'Control Room'!$D$8)/2))+SQRT(1-'Control Room'!$B$9^2)*(AM152-IF('Control Room'!$B$5="Normal",'Control Room'!$B$7,('Control Room'!$B$8+'Control Room'!$D$8)/2))</x:f>
        <x:v>1075.4648391738906</x:v>
      </x:c>
      <x:c r="AO152" s="17" t="n">
        <x:f>IF(AND($A152&gt;='Control Room'!$A$13,$A152&lt;'Control Room'!$A$13+'Control Room'!$B$13,'Process'!BR2=1),1+('Control Room'!$C$13-1)*EXP(-0.5*(($A152-'Control Room'!$A$13-('Control Room'!$B$13-1)/2)/MAX(0.5,'Control Room'!$B$13/4))^2),1)*IF(AND($A152&gt;='Control Room'!$A$14,$A152&lt;'Control Room'!$A$14+'Control Room'!$B$14,'Process'!BR3=1),1+('Control Room'!$C$14-1)*EXP(-0.5*(($A152-'Control Room'!$A$14-('Control Room'!$B$14-1)/2)/MAX(0.5,'Control Room'!$B$14/4))^2),1)*IF(AND($A152&gt;='Control Room'!$A$15,$A152&lt;'Control Room'!$A$15+'Control Room'!$B$15,'Process'!BR4=1),1+('Control Room'!$C$15-1)*EXP(-0.5*(($A152-'Control Room'!$A$15-('Control Room'!$B$15-1)/2)/MAX(0.5,'Control Room'!$B$15/4))^2),1)*IF(AND($A152&gt;='Control Room'!$A$16,$A152&lt;'Control Room'!$A$16+'Control Room'!$B$16,'Process'!BR5=1),1+('Control Room'!$C$16-1)*EXP(-0.5*(($A152-'Control Room'!$A$16-('Control Room'!$B$16-1)/2)/MAX(0.5,'Control Room'!$B$16/4))^2),1)</x:f>
        <x:v>1</x:v>
      </x:c>
      <x:c r="AP152" s="9" t="n">
        <x:f>MOD(AQ151*16807,2147483647)</x:f>
        <x:v>1209614799</x:v>
      </x:c>
      <x:c r="AQ152" s="9" t="n">
        <x:f>MOD(AP152*16807,2147483647)</x:f>
        <x:v>1915724291</x:v>
      </x:c>
      <x:c r="AR152" s="17" t="n">
        <x:f>IF('Control Room'!$B$5="Normal",'Control Room'!$B$7+'Control Room'!$D$7*SQRT(-2*LN(MAX(0.000000000001,AP152/2147483647)))*COS(2*PI()*AQ152/2147483647),'Control Room'!$B$8+('Control Room'!$D$8-'Control Room'!$B$8)*AP152/2147483647)</x:f>
        <x:v>1075.0969004056467</x:v>
      </x:c>
      <x:c r="AS152" s="17" t="n">
        <x:f>IF('Control Room'!$B$5="Normal",'Control Room'!$B$7,('Control Room'!$B$8+'Control Room'!$D$8)/2)+'Control Room'!$B$9*(AS151-IF('Control Room'!$B$5="Normal",'Control Room'!$B$7,('Control Room'!$B$8+'Control Room'!$D$8)/2))+SQRT(1-'Control Room'!$B$9^2)*(AR152-IF('Control Room'!$B$5="Normal",'Control Room'!$B$7,('Control Room'!$B$8+'Control Room'!$D$8)/2))</x:f>
        <x:v>968.8601109355169</x:v>
      </x:c>
      <x:c r="AT152" s="17" t="n">
        <x:f>IF(AND($A152&gt;='Control Room'!$A$13,$A152&lt;'Control Room'!$A$13+'Control Room'!$B$13,'Process'!BS2=1),1+('Control Room'!$C$13-1)*EXP(-0.5*(($A152-'Control Room'!$A$13-('Control Room'!$B$13-1)/2)/MAX(0.5,'Control Room'!$B$13/4))^2),1)*IF(AND($A152&gt;='Control Room'!$A$14,$A152&lt;'Control Room'!$A$14+'Control Room'!$B$14,'Process'!BS3=1),1+('Control Room'!$C$14-1)*EXP(-0.5*(($A152-'Control Room'!$A$14-('Control Room'!$B$14-1)/2)/MAX(0.5,'Control Room'!$B$14/4))^2),1)*IF(AND($A152&gt;='Control Room'!$A$15,$A152&lt;'Control Room'!$A$15+'Control Room'!$B$15,'Process'!BS4=1),1+('Control Room'!$C$15-1)*EXP(-0.5*(($A152-'Control Room'!$A$15-('Control Room'!$B$15-1)/2)/MAX(0.5,'Control Room'!$B$15/4))^2),1)*IF(AND($A152&gt;='Control Room'!$A$16,$A152&lt;'Control Room'!$A$16+'Control Room'!$B$16,'Process'!BS5=1),1+('Control Room'!$C$16-1)*EXP(-0.5*(($A152-'Control Room'!$A$16-('Control Room'!$B$16-1)/2)/MAX(0.5,'Control Room'!$B$16/4))^2),1)</x:f>
        <x:v>1</x:v>
      </x:c>
      <x:c r="AU152" s="9" t="n">
        <x:f>MOD(AV151*16807,2147483647)</x:f>
        <x:v>809007137</x:v>
      </x:c>
      <x:c r="AV152" s="9" t="n">
        <x:f>MOD(AU152*16807,2147483647)</x:f>
        <x:v>1263982402</x:v>
      </x:c>
      <x:c r="AW152" s="17" t="n">
        <x:f>IF('Control Room'!$B$5="Normal",'Control Room'!$B$7+'Control Room'!$D$7*SQRT(-2*LN(MAX(0.000000000001,AU152/2147483647)))*COS(2*PI()*AV152/2147483647),'Control Room'!$B$8+('Control Room'!$D$8-'Control Room'!$B$8)*AU152/2147483647)</x:f>
        <x:v>893.2249524326082</x:v>
      </x:c>
      <x:c r="AX152" s="17" t="n">
        <x:f>IF('Control Room'!$B$5="Normal",'Control Room'!$B$7,('Control Room'!$B$8+'Control Room'!$D$8)/2)+'Control Room'!$B$9*(AX151-IF('Control Room'!$B$5="Normal",'Control Room'!$B$7,('Control Room'!$B$8+'Control Room'!$D$8)/2))+SQRT(1-'Control Room'!$B$9^2)*(AW152-IF('Control Room'!$B$5="Normal",'Control Room'!$B$7,('Control Room'!$B$8+'Control Room'!$D$8)/2))</x:f>
        <x:v>1025.0108842121415</x:v>
      </x:c>
      <x:c r="AY152" s="17" t="n">
        <x:f>IF(AND($A152&gt;='Control Room'!$A$13,$A152&lt;'Control Room'!$A$13+'Control Room'!$B$13,'Process'!BT2=1),1+('Control Room'!$C$13-1)*EXP(-0.5*(($A152-'Control Room'!$A$13-('Control Room'!$B$13-1)/2)/MAX(0.5,'Control Room'!$B$13/4))^2),1)*IF(AND($A152&gt;='Control Room'!$A$14,$A152&lt;'Control Room'!$A$14+'Control Room'!$B$14,'Process'!BT3=1),1+('Control Room'!$C$14-1)*EXP(-0.5*(($A152-'Control Room'!$A$14-('Control Room'!$B$14-1)/2)/MAX(0.5,'Control Room'!$B$14/4))^2),1)*IF(AND($A152&gt;='Control Room'!$A$15,$A152&lt;'Control Room'!$A$15+'Control Room'!$B$15,'Process'!BT4=1),1+('Control Room'!$C$15-1)*EXP(-0.5*(($A152-'Control Room'!$A$15-('Control Room'!$B$15-1)/2)/MAX(0.5,'Control Room'!$B$15/4))^2),1)*IF(AND($A152&gt;='Control Room'!$A$16,$A152&lt;'Control Room'!$A$16+'Control Room'!$B$16,'Process'!BT5=1),1+('Control Room'!$C$16-1)*EXP(-0.5*(($A152-'Control Room'!$A$16-('Control Room'!$B$16-1)/2)/MAX(0.5,'Control Room'!$B$16/4))^2),1)</x:f>
        <x:v>1</x:v>
      </x:c>
      <x:c r="AZ152" s="9" t="n">
        <x:f>MOD(BA151*16807,2147483647)</x:f>
        <x:v>408399475</x:v>
      </x:c>
      <x:c r="BA152" s="9" t="n">
        <x:f>MOD(AZ152*16807,2147483647)</x:f>
        <x:v>612240513</x:v>
      </x:c>
      <x:c r="BB152" s="17" t="n">
        <x:f>IF('Control Room'!$B$5="Normal",'Control Room'!$B$7+'Control Room'!$D$7*SQRT(-2*LN(MAX(0.000000000001,AZ152/2147483647)))*COS(2*PI()*BA152/2147483647),'Control Room'!$B$8+('Control Room'!$D$8-'Control Room'!$B$8)*AZ152/2147483647)</x:f>
        <x:v>964.1320265210474</x:v>
      </x:c>
      <x:c r="BC152" s="17" t="n">
        <x:f>IF('Control Room'!$B$5="Normal",'Control Room'!$B$7,('Control Room'!$B$8+'Control Room'!$D$8)/2)+'Control Room'!$B$9*(BC151-IF('Control Room'!$B$5="Normal",'Control Room'!$B$7,('Control Room'!$B$8+'Control Room'!$D$8)/2))+SQRT(1-'Control Room'!$B$9^2)*(BB152-IF('Control Room'!$B$5="Normal",'Control Room'!$B$7,('Control Room'!$B$8+'Control Room'!$D$8)/2))</x:f>
        <x:v>1016.6300901306643</x:v>
      </x:c>
      <x:c r="BD152" s="17" t="n">
        <x:f>IF(AND($A152&gt;='Control Room'!$A$13,$A152&lt;'Control Room'!$A$13+'Control Room'!$B$13,'Process'!BU2=1),1+('Control Room'!$C$13-1)*EXP(-0.5*(($A152-'Control Room'!$A$13-('Control Room'!$B$13-1)/2)/MAX(0.5,'Control Room'!$B$13/4))^2),1)*IF(AND($A152&gt;='Control Room'!$A$14,$A152&lt;'Control Room'!$A$14+'Control Room'!$B$14,'Process'!BU3=1),1+('Control Room'!$C$14-1)*EXP(-0.5*(($A152-'Control Room'!$A$14-('Control Room'!$B$14-1)/2)/MAX(0.5,'Control Room'!$B$14/4))^2),1)*IF(AND($A152&gt;='Control Room'!$A$15,$A152&lt;'Control Room'!$A$15+'Control Room'!$B$15,'Process'!BU4=1),1+('Control Room'!$C$15-1)*EXP(-0.5*(($A152-'Control Room'!$A$15-('Control Room'!$B$15-1)/2)/MAX(0.5,'Control Room'!$B$15/4))^2),1)*IF(AND($A152&gt;='Control Room'!$A$16,$A152&lt;'Control Room'!$A$16+'Control Room'!$B$16,'Process'!BU5=1),1+('Control Room'!$C$16-1)*EXP(-0.5*(($A152-'Control Room'!$A$16-('Control Room'!$B$16-1)/2)/MAX(0.5,'Control Room'!$B$16/4))^2),1)</x:f>
        <x:v>1</x:v>
      </x:c>
      <x:c r="BE152" s="9" t="n">
        <x:f>MOD(BF151*16807,2147483647)</x:f>
        <x:v>7791813</x:v>
      </x:c>
      <x:c r="BF152" s="9" t="n">
        <x:f>MOD(BE152*16807,2147483647)</x:f>
        <x:v>2107982271</x:v>
      </x:c>
      <x:c r="BG152" s="17" t="n">
        <x:f>IF('Control Room'!$B$5="Normal",'Control Room'!$B$7+'Control Room'!$D$7*SQRT(-2*LN(MAX(0.000000000001,BE152/2147483647)))*COS(2*PI()*BF152/2147483647),'Control Room'!$B$8+('Control Room'!$D$8-'Control Room'!$B$8)*BE152/2147483647)</x:f>
        <x:v>1299.6947751358991</x:v>
      </x:c>
      <x:c r="BH152" s="17" t="n">
        <x:f>IF('Control Room'!$B$5="Normal",'Control Room'!$B$7,('Control Room'!$B$8+'Control Room'!$D$8)/2)+'Control Room'!$B$9*(BH151-IF('Control Room'!$B$5="Normal",'Control Room'!$B$7,('Control Room'!$B$8+'Control Room'!$D$8)/2))+SQRT(1-'Control Room'!$B$9^2)*(BG152-IF('Control Room'!$B$5="Normal",'Control Room'!$B$7,('Control Room'!$B$8+'Control Room'!$D$8)/2))</x:f>
        <x:v>1193.6028813304063</x:v>
      </x:c>
      <x:c r="BI152" s="17" t="n">
        <x:f>IF(AND($A152&gt;='Control Room'!$A$13,$A152&lt;'Control Room'!$A$13+'Control Room'!$B$13,'Process'!BV2=1),1+('Control Room'!$C$13-1)*EXP(-0.5*(($A152-'Control Room'!$A$13-('Control Room'!$B$13-1)/2)/MAX(0.5,'Control Room'!$B$13/4))^2),1)*IF(AND($A152&gt;='Control Room'!$A$14,$A152&lt;'Control Room'!$A$14+'Control Room'!$B$14,'Process'!BV3=1),1+('Control Room'!$C$14-1)*EXP(-0.5*(($A152-'Control Room'!$A$14-('Control Room'!$B$14-1)/2)/MAX(0.5,'Control Room'!$B$14/4))^2),1)*IF(AND($A152&gt;='Control Room'!$A$15,$A152&lt;'Control Room'!$A$15+'Control Room'!$B$15,'Process'!BV4=1),1+('Control Room'!$C$15-1)*EXP(-0.5*(($A152-'Control Room'!$A$15-('Control Room'!$B$15-1)/2)/MAX(0.5,'Control Room'!$B$15/4))^2),1)*IF(AND($A152&gt;='Control Room'!$A$16,$A152&lt;'Control Room'!$A$16+'Control Room'!$B$16,'Process'!BV5=1),1+('Control Room'!$C$16-1)*EXP(-0.5*(($A152-'Control Room'!$A$16-('Control Room'!$B$16-1)/2)/MAX(0.5,'Control Room'!$B$16/4))^2),1)</x:f>
        <x:v>1</x:v>
      </x:c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Z152" t="str">
        <x:f>IF('Data'!A152="","",TEXT('Data'!A152,"mm-dd"))</x:f>
      </x:c>
    </x:row>
    <x:row r="153" ht="21" customHeight="1">
      <x:c r="A153" s="15" t="n">
        <x:f>'Control Room'!$B$1+151</x:f>
        <x:v>73142</x:v>
      </x:c>
      <x:c r="B153" s="9" t="n">
        <x:f>MOD(C152*16807,2147483647)</x:f>
        <x:v>745567268</x:v>
      </x:c>
      <x:c r="C153" s="9" t="n">
        <x:f>MOD(B153*16807,2147483647)</x:f>
        <x:v>181993031</x:v>
      </x:c>
      <x:c r="D153" s="17" t="n">
        <x:f>IF('Control Room'!$B$5="Normal",'Control Room'!$B$7+'Control Room'!$D$7*SQRT(-2*LN(MAX(0.000000000001,B153/2147483647)))*COS(2*PI()*C153/2147483647),'Control Room'!$B$8+('Control Room'!$D$8-'Control Room'!$B$8)*B153/2147483647)</x:f>
        <x:v>1112.78765455832</x:v>
      </x:c>
      <x:c r="E153" s="17" t="n">
        <x:f>IF('Control Room'!$B$5="Normal",'Control Room'!$B$7,('Control Room'!$B$8+'Control Room'!$D$8)/2)+'Control Room'!$B$9*(E152-IF('Control Room'!$B$5="Normal",'Control Room'!$B$7,('Control Room'!$B$8+'Control Room'!$D$8)/2))+SQRT(1-'Control Room'!$B$9^2)*(D153-IF('Control Room'!$B$5="Normal",'Control Room'!$B$7,('Control Room'!$B$8+'Control Room'!$D$8)/2))</x:f>
        <x:v>1051.3692715355148</x:v>
      </x:c>
      <x:c r="F153" s="17" t="n">
        <x:f>IF(AND($A153&gt;='Control Room'!$A$13,$A153&lt;'Control Room'!$A$13+'Control Room'!$B$13,'Process'!BK2=1),1+('Control Room'!$C$13-1)*EXP(-0.5*(($A153-'Control Room'!$A$13-('Control Room'!$B$13-1)/2)/MAX(0.5,'Control Room'!$B$13/4))^2),1)*IF(AND($A153&gt;='Control Room'!$A$14,$A153&lt;'Control Room'!$A$14+'Control Room'!$B$14,'Process'!BK3=1),1+('Control Room'!$C$14-1)*EXP(-0.5*(($A153-'Control Room'!$A$14-('Control Room'!$B$14-1)/2)/MAX(0.5,'Control Room'!$B$14/4))^2),1)*IF(AND($A153&gt;='Control Room'!$A$15,$A153&lt;'Control Room'!$A$15+'Control Room'!$B$15,'Process'!BK4=1),1+('Control Room'!$C$15-1)*EXP(-0.5*(($A153-'Control Room'!$A$15-('Control Room'!$B$15-1)/2)/MAX(0.5,'Control Room'!$B$15/4))^2),1)*IF(AND($A153&gt;='Control Room'!$A$16,$A153&lt;'Control Room'!$A$16+'Control Room'!$B$16,'Process'!BK5=1),1+('Control Room'!$C$16-1)*EXP(-0.5*(($A153-'Control Room'!$A$16-('Control Room'!$B$16-1)/2)/MAX(0.5,'Control Room'!$B$16/4))^2),1)</x:f>
        <x:v>1</x:v>
      </x:c>
      <x:c r="G153" s="9" t="n">
        <x:f>MOD(H152*16807,2147483647)</x:f>
        <x:v>1233722192</x:v>
      </x:c>
      <x:c r="H153" s="9" t="n">
        <x:f>MOD(G153*16807,2147483647)</x:f>
        <x:v>1214269159</x:v>
      </x:c>
      <x:c r="I153" s="17" t="n">
        <x:f>IF('Control Room'!$B$5="Normal",'Control Room'!$B$7+'Control Room'!$D$7*SQRT(-2*LN(MAX(0.000000000001,G153/2147483647)))*COS(2*PI()*H153/2147483647),'Control Room'!$B$8+('Control Room'!$D$8-'Control Room'!$B$8)*G153/2147483647)</x:f>
        <x:v>913.1395814086693</x:v>
      </x:c>
      <x:c r="J153" s="17" t="n">
        <x:f>IF('Control Room'!$B$5="Normal",'Control Room'!$B$7,('Control Room'!$B$8+'Control Room'!$D$8)/2)+'Control Room'!$B$9*(J152-IF('Control Room'!$B$5="Normal",'Control Room'!$B$7,('Control Room'!$B$8+'Control Room'!$D$8)/2))+SQRT(1-'Control Room'!$B$9^2)*(I153-IF('Control Room'!$B$5="Normal",'Control Room'!$B$7,('Control Room'!$B$8+'Control Room'!$D$8)/2))</x:f>
        <x:v>1000.474843148257</x:v>
      </x:c>
      <x:c r="K153" s="17" t="n">
        <x:f>IF(AND($A153&gt;='Control Room'!$A$13,$A153&lt;'Control Room'!$A$13+'Control Room'!$B$13,'Process'!BL2=1),1+('Control Room'!$C$13-1)*EXP(-0.5*(($A153-'Control Room'!$A$13-('Control Room'!$B$13-1)/2)/MAX(0.5,'Control Room'!$B$13/4))^2),1)*IF(AND($A153&gt;='Control Room'!$A$14,$A153&lt;'Control Room'!$A$14+'Control Room'!$B$14,'Process'!BL3=1),1+('Control Room'!$C$14-1)*EXP(-0.5*(($A153-'Control Room'!$A$14-('Control Room'!$B$14-1)/2)/MAX(0.5,'Control Room'!$B$14/4))^2),1)*IF(AND($A153&gt;='Control Room'!$A$15,$A153&lt;'Control Room'!$A$15+'Control Room'!$B$15,'Process'!BL4=1),1+('Control Room'!$C$15-1)*EXP(-0.5*(($A153-'Control Room'!$A$15-('Control Room'!$B$15-1)/2)/MAX(0.5,'Control Room'!$B$15/4))^2),1)*IF(AND($A153&gt;='Control Room'!$A$16,$A153&lt;'Control Room'!$A$16+'Control Room'!$B$16,'Process'!BL5=1),1+('Control Room'!$C$16-1)*EXP(-0.5*(($A153-'Control Room'!$A$16-('Control Room'!$B$16-1)/2)/MAX(0.5,'Control Room'!$B$16/4))^2),1)</x:f>
        <x:v>1</x:v>
      </x:c>
      <x:c r="L153" s="9" t="n">
        <x:f>MOD(M152*16807,2147483647)</x:f>
        <x:v>1721877116</x:v>
      </x:c>
      <x:c r="M153" s="9" t="n">
        <x:f>MOD(L153*16807,2147483647)</x:f>
        <x:v>99061640</x:v>
      </x:c>
      <x:c r="N153" s="17" t="n">
        <x:f>IF('Control Room'!$B$5="Normal",'Control Room'!$B$7+'Control Room'!$D$7*SQRT(-2*LN(MAX(0.000000000001,L153/2147483647)))*COS(2*PI()*M153/2147483647),'Control Room'!$B$8+('Control Room'!$D$8-'Control Room'!$B$8)*L153/2147483647)</x:f>
        <x:v>1057.323726751337</x:v>
      </x:c>
      <x:c r="O153" s="17" t="n">
        <x:f>IF('Control Room'!$B$5="Normal",'Control Room'!$B$7,('Control Room'!$B$8+'Control Room'!$D$8)/2)+'Control Room'!$B$9*(O152-IF('Control Room'!$B$5="Normal",'Control Room'!$B$7,('Control Room'!$B$8+'Control Room'!$D$8)/2))+SQRT(1-'Control Room'!$B$9^2)*(N153-IF('Control Room'!$B$5="Normal",'Control Room'!$B$7,('Control Room'!$B$8+'Control Room'!$D$8)/2))</x:f>
        <x:v>982.0861091027807</x:v>
      </x:c>
      <x:c r="P153" s="17" t="n">
        <x:f>IF(AND($A153&gt;='Control Room'!$A$13,$A153&lt;'Control Room'!$A$13+'Control Room'!$B$13,'Process'!BM2=1),1+('Control Room'!$C$13-1)*EXP(-0.5*(($A153-'Control Room'!$A$13-('Control Room'!$B$13-1)/2)/MAX(0.5,'Control Room'!$B$13/4))^2),1)*IF(AND($A153&gt;='Control Room'!$A$14,$A153&lt;'Control Room'!$A$14+'Control Room'!$B$14,'Process'!BM3=1),1+('Control Room'!$C$14-1)*EXP(-0.5*(($A153-'Control Room'!$A$14-('Control Room'!$B$14-1)/2)/MAX(0.5,'Control Room'!$B$14/4))^2),1)*IF(AND($A153&gt;='Control Room'!$A$15,$A153&lt;'Control Room'!$A$15+'Control Room'!$B$15,'Process'!BM4=1),1+('Control Room'!$C$15-1)*EXP(-0.5*(($A153-'Control Room'!$A$15-('Control Room'!$B$15-1)/2)/MAX(0.5,'Control Room'!$B$15/4))^2),1)*IF(AND($A153&gt;='Control Room'!$A$16,$A153&lt;'Control Room'!$A$16+'Control Room'!$B$16,'Process'!BM5=1),1+('Control Room'!$C$16-1)*EXP(-0.5*(($A153-'Control Room'!$A$16-('Control Room'!$B$16-1)/2)/MAX(0.5,'Control Room'!$B$16/4))^2),1)</x:f>
        <x:v>1</x:v>
      </x:c>
      <x:c r="Q153" s="9" t="n">
        <x:f>MOD(R152*16807,2147483647)</x:f>
        <x:v>62548393</x:v>
      </x:c>
      <x:c r="R153" s="9" t="n">
        <x:f>MOD(Q153*16807,2147483647)</x:f>
        <x:v>1131337768</x:v>
      </x:c>
      <x:c r="S153" s="17" t="n">
        <x:f>IF('Control Room'!$B$5="Normal",'Control Room'!$B$7+'Control Room'!$D$7*SQRT(-2*LN(MAX(0.000000000001,Q153/2147483647)))*COS(2*PI()*R153/2147483647),'Control Room'!$B$8+('Control Room'!$D$8-'Control Room'!$B$8)*Q153/2147483647)</x:f>
        <x:v>764.0475005854807</x:v>
      </x:c>
      <x:c r="T153" s="17" t="n">
        <x:f>IF('Control Room'!$B$5="Normal",'Control Room'!$B$7,('Control Room'!$B$8+'Control Room'!$D$8)/2)+'Control Room'!$B$9*(T152-IF('Control Room'!$B$5="Normal",'Control Room'!$B$7,('Control Room'!$B$8+'Control Room'!$D$8)/2))+SQRT(1-'Control Room'!$B$9^2)*(S153-IF('Control Room'!$B$5="Normal",'Control Room'!$B$7,('Control Room'!$B$8+'Control Room'!$D$8)/2))</x:f>
        <x:v>852.6800008349348</x:v>
      </x:c>
      <x:c r="U153" s="17" t="n">
        <x:f>IF(AND($A153&gt;='Control Room'!$A$13,$A153&lt;'Control Room'!$A$13+'Control Room'!$B$13,'Process'!BN2=1),1+('Control Room'!$C$13-1)*EXP(-0.5*(($A153-'Control Room'!$A$13-('Control Room'!$B$13-1)/2)/MAX(0.5,'Control Room'!$B$13/4))^2),1)*IF(AND($A153&gt;='Control Room'!$A$14,$A153&lt;'Control Room'!$A$14+'Control Room'!$B$14,'Process'!BN3=1),1+('Control Room'!$C$14-1)*EXP(-0.5*(($A153-'Control Room'!$A$14-('Control Room'!$B$14-1)/2)/MAX(0.5,'Control Room'!$B$14/4))^2),1)*IF(AND($A153&gt;='Control Room'!$A$15,$A153&lt;'Control Room'!$A$15+'Control Room'!$B$15,'Process'!BN4=1),1+('Control Room'!$C$15-1)*EXP(-0.5*(($A153-'Control Room'!$A$15-('Control Room'!$B$15-1)/2)/MAX(0.5,'Control Room'!$B$15/4))^2),1)*IF(AND($A153&gt;='Control Room'!$A$16,$A153&lt;'Control Room'!$A$16+'Control Room'!$B$16,'Process'!BN5=1),1+('Control Room'!$C$16-1)*EXP(-0.5*(($A153-'Control Room'!$A$16-('Control Room'!$B$16-1)/2)/MAX(0.5,'Control Room'!$B$16/4))^2),1)</x:f>
        <x:v>1</x:v>
      </x:c>
      <x:c r="V153" s="9" t="n">
        <x:f>MOD(W152*16807,2147483647)</x:f>
        <x:v>550703317</x:v>
      </x:c>
      <x:c r="W153" s="9" t="n">
        <x:f>MOD(V153*16807,2147483647)</x:f>
        <x:v>16130249</x:v>
      </x:c>
      <x:c r="X153" s="17" t="n">
        <x:f>IF('Control Room'!$B$5="Normal",'Control Room'!$B$7+'Control Room'!$D$7*SQRT(-2*LN(MAX(0.000000000001,V153/2147483647)))*COS(2*PI()*W153/2147483647),'Control Room'!$B$8+('Control Room'!$D$8-'Control Room'!$B$8)*V153/2147483647)</x:f>
        <x:v>1148.313173988625</x:v>
      </x:c>
      <x:c r="Y153" s="17" t="n">
        <x:f>IF('Control Room'!$B$5="Normal",'Control Room'!$B$7,('Control Room'!$B$8+'Control Room'!$D$8)/2)+'Control Room'!$B$9*(Y152-IF('Control Room'!$B$5="Normal",'Control Room'!$B$7,('Control Room'!$B$8+'Control Room'!$D$8)/2))+SQRT(1-'Control Room'!$B$9^2)*(X153-IF('Control Room'!$B$5="Normal",'Control Room'!$B$7,('Control Room'!$B$8+'Control Room'!$D$8)/2))</x:f>
        <x:v>1181.9861343753178</x:v>
      </x:c>
      <x:c r="Z153" s="17" t="n">
        <x:f>IF(AND($A153&gt;='Control Room'!$A$13,$A153&lt;'Control Room'!$A$13+'Control Room'!$B$13,'Process'!BO2=1),1+('Control Room'!$C$13-1)*EXP(-0.5*(($A153-'Control Room'!$A$13-('Control Room'!$B$13-1)/2)/MAX(0.5,'Control Room'!$B$13/4))^2),1)*IF(AND($A153&gt;='Control Room'!$A$14,$A153&lt;'Control Room'!$A$14+'Control Room'!$B$14,'Process'!BO3=1),1+('Control Room'!$C$14-1)*EXP(-0.5*(($A153-'Control Room'!$A$14-('Control Room'!$B$14-1)/2)/MAX(0.5,'Control Room'!$B$14/4))^2),1)*IF(AND($A153&gt;='Control Room'!$A$15,$A153&lt;'Control Room'!$A$15+'Control Room'!$B$15,'Process'!BO4=1),1+('Control Room'!$C$15-1)*EXP(-0.5*(($A153-'Control Room'!$A$15-('Control Room'!$B$15-1)/2)/MAX(0.5,'Control Room'!$B$15/4))^2),1)*IF(AND($A153&gt;='Control Room'!$A$16,$A153&lt;'Control Room'!$A$16+'Control Room'!$B$16,'Process'!BO5=1),1+('Control Room'!$C$16-1)*EXP(-0.5*(($A153-'Control Room'!$A$16-('Control Room'!$B$16-1)/2)/MAX(0.5,'Control Room'!$B$16/4))^2),1)</x:f>
        <x:v>1</x:v>
      </x:c>
      <x:c r="AA153" s="9" t="n">
        <x:f>MOD(AB152*16807,2147483647)</x:f>
        <x:v>1038858241</x:v>
      </x:c>
      <x:c r="AB153" s="9" t="n">
        <x:f>MOD(AA153*16807,2147483647)</x:f>
        <x:v>1048406377</x:v>
      </x:c>
      <x:c r="AC153" s="17" t="n">
        <x:f>IF('Control Room'!$B$5="Normal",'Control Room'!$B$7+'Control Room'!$D$7*SQRT(-2*LN(MAX(0.000000000001,AA153/2147483647)))*COS(2*PI()*AB153/2147483647),'Control Room'!$B$8+('Control Room'!$D$8-'Control Room'!$B$8)*AA153/2147483647)</x:f>
        <x:v>891.8357573973753</x:v>
      </x:c>
      <x:c r="AD153" s="17" t="n">
        <x:f>IF('Control Room'!$B$5="Normal",'Control Room'!$B$7,('Control Room'!$B$8+'Control Room'!$D$8)/2)+'Control Room'!$B$9*(AD152-IF('Control Room'!$B$5="Normal",'Control Room'!$B$7,('Control Room'!$B$8+'Control Room'!$D$8)/2))+SQRT(1-'Control Room'!$B$9^2)*(AC153-IF('Control Room'!$B$5="Normal",'Control Room'!$B$7,('Control Room'!$B$8+'Control Room'!$D$8)/2))</x:f>
        <x:v>986.334424928015</x:v>
      </x:c>
      <x:c r="AE153" s="17" t="n">
        <x:f>IF(AND($A153&gt;='Control Room'!$A$13,$A153&lt;'Control Room'!$A$13+'Control Room'!$B$13,'Process'!BP2=1),1+('Control Room'!$C$13-1)*EXP(-0.5*(($A153-'Control Room'!$A$13-('Control Room'!$B$13-1)/2)/MAX(0.5,'Control Room'!$B$13/4))^2),1)*IF(AND($A153&gt;='Control Room'!$A$14,$A153&lt;'Control Room'!$A$14+'Control Room'!$B$14,'Process'!BP3=1),1+('Control Room'!$C$14-1)*EXP(-0.5*(($A153-'Control Room'!$A$14-('Control Room'!$B$14-1)/2)/MAX(0.5,'Control Room'!$B$14/4))^2),1)*IF(AND($A153&gt;='Control Room'!$A$15,$A153&lt;'Control Room'!$A$15+'Control Room'!$B$15,'Process'!BP4=1),1+('Control Room'!$C$15-1)*EXP(-0.5*(($A153-'Control Room'!$A$15-('Control Room'!$B$15-1)/2)/MAX(0.5,'Control Room'!$B$15/4))^2),1)*IF(AND($A153&gt;='Control Room'!$A$16,$A153&lt;'Control Room'!$A$16+'Control Room'!$B$16,'Process'!BP5=1),1+('Control Room'!$C$16-1)*EXP(-0.5*(($A153-'Control Room'!$A$16-('Control Room'!$B$16-1)/2)/MAX(0.5,'Control Room'!$B$16/4))^2),1)</x:f>
        <x:v>1</x:v>
      </x:c>
      <x:c r="AF153" s="9" t="n">
        <x:f>MOD(AG152*16807,2147483647)</x:f>
        <x:v>1527013165</x:v>
      </x:c>
      <x:c r="AG153" s="9" t="n">
        <x:f>MOD(AF153*16807,2147483647)</x:f>
        <x:v>2080682505</x:v>
      </x:c>
      <x:c r="AH153" s="17" t="n">
        <x:f>IF('Control Room'!$B$5="Normal",'Control Room'!$B$7+'Control Room'!$D$7*SQRT(-2*LN(MAX(0.000000000001,AF153/2147483647)))*COS(2*PI()*AG153/2147483647),'Control Room'!$B$8+('Control Room'!$D$8-'Control Room'!$B$8)*AF153/2147483647)</x:f>
        <x:v>1072.9080489451858</x:v>
      </x:c>
      <x:c r="AI153" s="17" t="n">
        <x:f>IF('Control Room'!$B$5="Normal",'Control Room'!$B$7,('Control Room'!$B$8+'Control Room'!$D$8)/2)+'Control Room'!$B$9*(AI152-IF('Control Room'!$B$5="Normal",'Control Room'!$B$7,('Control Room'!$B$8+'Control Room'!$D$8)/2))+SQRT(1-'Control Room'!$B$9^2)*(AH153-IF('Control Room'!$B$5="Normal",'Control Room'!$B$7,('Control Room'!$B$8+'Control Room'!$D$8)/2))</x:f>
        <x:v>1106.2604994428498</x:v>
      </x:c>
      <x:c r="AJ153" s="17" t="n">
        <x:f>IF(AND($A153&gt;='Control Room'!$A$13,$A153&lt;'Control Room'!$A$13+'Control Room'!$B$13,'Process'!BQ2=1),1+('Control Room'!$C$13-1)*EXP(-0.5*(($A153-'Control Room'!$A$13-('Control Room'!$B$13-1)/2)/MAX(0.5,'Control Room'!$B$13/4))^2),1)*IF(AND($A153&gt;='Control Room'!$A$14,$A153&lt;'Control Room'!$A$14+'Control Room'!$B$14,'Process'!BQ3=1),1+('Control Room'!$C$14-1)*EXP(-0.5*(($A153-'Control Room'!$A$14-('Control Room'!$B$14-1)/2)/MAX(0.5,'Control Room'!$B$14/4))^2),1)*IF(AND($A153&gt;='Control Room'!$A$15,$A153&lt;'Control Room'!$A$15+'Control Room'!$B$15,'Process'!BQ4=1),1+('Control Room'!$C$15-1)*EXP(-0.5*(($A153-'Control Room'!$A$15-('Control Room'!$B$15-1)/2)/MAX(0.5,'Control Room'!$B$15/4))^2),1)*IF(AND($A153&gt;='Control Room'!$A$16,$A153&lt;'Control Room'!$A$16+'Control Room'!$B$16,'Process'!BQ5=1),1+('Control Room'!$C$16-1)*EXP(-0.5*(($A153-'Control Room'!$A$16-('Control Room'!$B$16-1)/2)/MAX(0.5,'Control Room'!$B$16/4))^2),1)</x:f>
        <x:v>1</x:v>
      </x:c>
      <x:c r="AK153" s="9" t="n">
        <x:f>MOD(AL152*16807,2147483647)</x:f>
        <x:v>2015168089</x:v>
      </x:c>
      <x:c r="AL153" s="9" t="n">
        <x:f>MOD(AK153*16807,2147483647)</x:f>
        <x:v>965474986</x:v>
      </x:c>
      <x:c r="AM153" s="17" t="n">
        <x:f>IF('Control Room'!$B$5="Normal",'Control Room'!$B$7+'Control Room'!$D$7*SQRT(-2*LN(MAX(0.000000000001,AK153/2147483647)))*COS(2*PI()*AL153/2147483647),'Control Room'!$B$8+('Control Room'!$D$8-'Control Room'!$B$8)*AK153/2147483647)</x:f>
        <x:v>969.4998323250502</x:v>
      </x:c>
      <x:c r="AN153" s="17" t="n">
        <x:f>IF('Control Room'!$B$5="Normal",'Control Room'!$B$7,('Control Room'!$B$8+'Control Room'!$D$8)/2)+'Control Room'!$B$9*(AN152-IF('Control Room'!$B$5="Normal",'Control Room'!$B$7,('Control Room'!$B$8+'Control Room'!$D$8)/2))+SQRT(1-'Control Room'!$B$9^2)*(AM153-IF('Control Room'!$B$5="Normal",'Control Room'!$B$7,('Control Room'!$B$8+'Control Room'!$D$8)/2))</x:f>
        <x:v>1039.7761944545484</x:v>
      </x:c>
      <x:c r="AO153" s="17" t="n">
        <x:f>IF(AND($A153&gt;='Control Room'!$A$13,$A153&lt;'Control Room'!$A$13+'Control Room'!$B$13,'Process'!BR2=1),1+('Control Room'!$C$13-1)*EXP(-0.5*(($A153-'Control Room'!$A$13-('Control Room'!$B$13-1)/2)/MAX(0.5,'Control Room'!$B$13/4))^2),1)*IF(AND($A153&gt;='Control Room'!$A$14,$A153&lt;'Control Room'!$A$14+'Control Room'!$B$14,'Process'!BR3=1),1+('Control Room'!$C$14-1)*EXP(-0.5*(($A153-'Control Room'!$A$14-('Control Room'!$B$14-1)/2)/MAX(0.5,'Control Room'!$B$14/4))^2),1)*IF(AND($A153&gt;='Control Room'!$A$15,$A153&lt;'Control Room'!$A$15+'Control Room'!$B$15,'Process'!BR4=1),1+('Control Room'!$C$15-1)*EXP(-0.5*(($A153-'Control Room'!$A$15-('Control Room'!$B$15-1)/2)/MAX(0.5,'Control Room'!$B$15/4))^2),1)*IF(AND($A153&gt;='Control Room'!$A$16,$A153&lt;'Control Room'!$A$16+'Control Room'!$B$16,'Process'!BR5=1),1+('Control Room'!$C$16-1)*EXP(-0.5*(($A153-'Control Room'!$A$16-('Control Room'!$B$16-1)/2)/MAX(0.5,'Control Room'!$B$16/4))^2),1)</x:f>
        <x:v>1</x:v>
      </x:c>
      <x:c r="AP153" s="9" t="n">
        <x:f>MOD(AQ152*16807,2147483647)</x:f>
        <x:v>355839366</x:v>
      </x:c>
      <x:c r="AQ153" s="9" t="n">
        <x:f>MOD(AP153*16807,2147483647)</x:f>
        <x:v>1997751114</x:v>
      </x:c>
      <x:c r="AR153" s="17" t="n">
        <x:f>IF('Control Room'!$B$5="Normal",'Control Room'!$B$7+'Control Room'!$D$7*SQRT(-2*LN(MAX(0.000000000001,AP153/2147483647)))*COS(2*PI()*AQ153/2147483647),'Control Room'!$B$8+('Control Room'!$D$8-'Control Room'!$B$8)*AP153/2147483647)</x:f>
        <x:v>1154.5322348557659</x:v>
      </x:c>
      <x:c r="AS153" s="17" t="n">
        <x:f>IF('Control Room'!$B$5="Normal",'Control Room'!$B$7,('Control Room'!$B$8+'Control Room'!$D$8)/2)+'Control Room'!$B$9*(AS152-IF('Control Room'!$B$5="Normal",'Control Room'!$B$7,('Control Room'!$B$8+'Control Room'!$D$8)/2))+SQRT(1-'Control Room'!$B$9^2)*(AR153-IF('Control Room'!$B$5="Normal",'Control Room'!$B$7,('Control Room'!$B$8+'Control Room'!$D$8)/2))</x:f>
        <x:v>1072.4139933375359</x:v>
      </x:c>
      <x:c r="AT153" s="17" t="n">
        <x:f>IF(AND($A153&gt;='Control Room'!$A$13,$A153&lt;'Control Room'!$A$13+'Control Room'!$B$13,'Process'!BS2=1),1+('Control Room'!$C$13-1)*EXP(-0.5*(($A153-'Control Room'!$A$13-('Control Room'!$B$13-1)/2)/MAX(0.5,'Control Room'!$B$13/4))^2),1)*IF(AND($A153&gt;='Control Room'!$A$14,$A153&lt;'Control Room'!$A$14+'Control Room'!$B$14,'Process'!BS3=1),1+('Control Room'!$C$14-1)*EXP(-0.5*(($A153-'Control Room'!$A$14-('Control Room'!$B$14-1)/2)/MAX(0.5,'Control Room'!$B$14/4))^2),1)*IF(AND($A153&gt;='Control Room'!$A$15,$A153&lt;'Control Room'!$A$15+'Control Room'!$B$15,'Process'!BS4=1),1+('Control Room'!$C$15-1)*EXP(-0.5*(($A153-'Control Room'!$A$15-('Control Room'!$B$15-1)/2)/MAX(0.5,'Control Room'!$B$15/4))^2),1)*IF(AND($A153&gt;='Control Room'!$A$16,$A153&lt;'Control Room'!$A$16+'Control Room'!$B$16,'Process'!BS5=1),1+('Control Room'!$C$16-1)*EXP(-0.5*(($A153-'Control Room'!$A$16-('Control Room'!$B$16-1)/2)/MAX(0.5,'Control Room'!$B$16/4))^2),1)</x:f>
        <x:v>1</x:v>
      </x:c>
      <x:c r="AU153" s="9" t="n">
        <x:f>MOD(AV152*16807,2147483647)</x:f>
        <x:v>843994290</x:v>
      </x:c>
      <x:c r="AV153" s="9" t="n">
        <x:f>MOD(AU153*16807,2147483647)</x:f>
        <x:v>882543595</x:v>
      </x:c>
      <x:c r="AW153" s="17" t="n">
        <x:f>IF('Control Room'!$B$5="Normal",'Control Room'!$B$7+'Control Room'!$D$7*SQRT(-2*LN(MAX(0.000000000001,AU153/2147483647)))*COS(2*PI()*AV153/2147483647),'Control Room'!$B$8+('Control Room'!$D$8-'Control Room'!$B$8)*AU153/2147483647)</x:f>
        <x:v>895.7484251373867</x:v>
      </x:c>
      <x:c r="AX153" s="17" t="n">
        <x:f>IF('Control Room'!$B$5="Normal",'Control Room'!$B$7,('Control Room'!$B$8+'Control Room'!$D$8)/2)+'Control Room'!$B$9*(AX152-IF('Control Room'!$B$5="Normal",'Control Room'!$B$7,('Control Room'!$B$8+'Control Room'!$D$8)/2))+SQRT(1-'Control Room'!$B$9^2)*(AW153-IF('Control Room'!$B$5="Normal",'Control Room'!$B$7,('Control Room'!$B$8+'Control Room'!$D$8)/2))</x:f>
        <x:v>954.2699898460442</x:v>
      </x:c>
      <x:c r="AY153" s="17" t="n">
        <x:f>IF(AND($A153&gt;='Control Room'!$A$13,$A153&lt;'Control Room'!$A$13+'Control Room'!$B$13,'Process'!BT2=1),1+('Control Room'!$C$13-1)*EXP(-0.5*(($A153-'Control Room'!$A$13-('Control Room'!$B$13-1)/2)/MAX(0.5,'Control Room'!$B$13/4))^2),1)*IF(AND($A153&gt;='Control Room'!$A$14,$A153&lt;'Control Room'!$A$14+'Control Room'!$B$14,'Process'!BT3=1),1+('Control Room'!$C$14-1)*EXP(-0.5*(($A153-'Control Room'!$A$14-('Control Room'!$B$14-1)/2)/MAX(0.5,'Control Room'!$B$14/4))^2),1)*IF(AND($A153&gt;='Control Room'!$A$15,$A153&lt;'Control Room'!$A$15+'Control Room'!$B$15,'Process'!BT4=1),1+('Control Room'!$C$15-1)*EXP(-0.5*(($A153-'Control Room'!$A$15-('Control Room'!$B$15-1)/2)/MAX(0.5,'Control Room'!$B$15/4))^2),1)*IF(AND($A153&gt;='Control Room'!$A$16,$A153&lt;'Control Room'!$A$16+'Control Room'!$B$16,'Process'!BT5=1),1+('Control Room'!$C$16-1)*EXP(-0.5*(($A153-'Control Room'!$A$16-('Control Room'!$B$16-1)/2)/MAX(0.5,'Control Room'!$B$16/4))^2),1)</x:f>
        <x:v>1</x:v>
      </x:c>
      <x:c r="AZ153" s="9" t="n">
        <x:f>MOD(BA152*16807,2147483647)</x:f>
        <x:v>1332149214</x:v>
      </x:c>
      <x:c r="BA153" s="9" t="n">
        <x:f>MOD(AZ153*16807,2147483647)</x:f>
        <x:v>1914819723</x:v>
      </x:c>
      <x:c r="BB153" s="17" t="n">
        <x:f>IF('Control Room'!$B$5="Normal",'Control Room'!$B$7+'Control Room'!$D$7*SQRT(-2*LN(MAX(0.000000000001,AZ153/2147483647)))*COS(2*PI()*BA153/2147483647),'Control Room'!$B$8+('Control Room'!$D$8-'Control Room'!$B$8)*AZ153/2147483647)</x:f>
        <x:v>1068.3483119765733</x:v>
      </x:c>
      <x:c r="BC153" s="17" t="n">
        <x:f>IF('Control Room'!$B$5="Normal",'Control Room'!$B$7,('Control Room'!$B$8+'Control Room'!$D$8)/2)+'Control Room'!$B$9*(BC152-IF('Control Room'!$B$5="Normal",'Control Room'!$B$7,('Control Room'!$B$8+'Control Room'!$D$8)/2))+SQRT(1-'Control Room'!$B$9^2)*(BB153-IF('Control Room'!$B$5="Normal",'Control Room'!$B$7,('Control Room'!$B$8+'Control Room'!$D$8)/2))</x:f>
        <x:v>1055.7424437455797</x:v>
      </x:c>
      <x:c r="BD153" s="17" t="n">
        <x:f>IF(AND($A153&gt;='Control Room'!$A$13,$A153&lt;'Control Room'!$A$13+'Control Room'!$B$13,'Process'!BU2=1),1+('Control Room'!$C$13-1)*EXP(-0.5*(($A153-'Control Room'!$A$13-('Control Room'!$B$13-1)/2)/MAX(0.5,'Control Room'!$B$13/4))^2),1)*IF(AND($A153&gt;='Control Room'!$A$14,$A153&lt;'Control Room'!$A$14+'Control Room'!$B$14,'Process'!BU3=1),1+('Control Room'!$C$14-1)*EXP(-0.5*(($A153-'Control Room'!$A$14-('Control Room'!$B$14-1)/2)/MAX(0.5,'Control Room'!$B$14/4))^2),1)*IF(AND($A153&gt;='Control Room'!$A$15,$A153&lt;'Control Room'!$A$15+'Control Room'!$B$15,'Process'!BU4=1),1+('Control Room'!$C$15-1)*EXP(-0.5*(($A153-'Control Room'!$A$15-('Control Room'!$B$15-1)/2)/MAX(0.5,'Control Room'!$B$15/4))^2),1)*IF(AND($A153&gt;='Control Room'!$A$16,$A153&lt;'Control Room'!$A$16+'Control Room'!$B$16,'Process'!BU5=1),1+('Control Room'!$C$16-1)*EXP(-0.5*(($A153-'Control Room'!$A$16-('Control Room'!$B$16-1)/2)/MAX(0.5,'Control Room'!$B$16/4))^2),1)</x:f>
        <x:v>1</x:v>
      </x:c>
      <x:c r="BE153" s="9" t="n">
        <x:f>MOD(BF152*16807,2147483647)</x:f>
        <x:v>1820304138</x:v>
      </x:c>
      <x:c r="BF153" s="9" t="n">
        <x:f>MOD(BE153*16807,2147483647)</x:f>
        <x:v>799612204</x:v>
      </x:c>
      <x:c r="BG153" s="17" t="n">
        <x:f>IF('Control Room'!$B$5="Normal",'Control Room'!$B$7+'Control Room'!$D$7*SQRT(-2*LN(MAX(0.000000000001,BE153/2147483647)))*COS(2*PI()*BF153/2147483647),'Control Room'!$B$8+('Control Room'!$D$8-'Control Room'!$B$8)*BE153/2147483647)</x:f>
        <x:v>964.024020899548</x:v>
      </x:c>
      <x:c r="BH153" s="17" t="n">
        <x:f>IF('Control Room'!$B$5="Normal",'Control Room'!$B$7,('Control Room'!$B$8+'Control Room'!$D$8)/2)+'Control Room'!$B$9*(BH152-IF('Control Room'!$B$5="Normal",'Control Room'!$B$7,('Control Room'!$B$8+'Control Room'!$D$8)/2))+SQRT(1-'Control Room'!$B$9^2)*(BG153-IF('Control Room'!$B$5="Normal",'Control Room'!$B$7,('Control Room'!$B$8+'Control Room'!$D$8)/2))</x:f>
        <x:v>1128.4972167246458</x:v>
      </x:c>
      <x:c r="BI153" s="17" t="n">
        <x:f>IF(AND($A153&gt;='Control Room'!$A$13,$A153&lt;'Control Room'!$A$13+'Control Room'!$B$13,'Process'!BV2=1),1+('Control Room'!$C$13-1)*EXP(-0.5*(($A153-'Control Room'!$A$13-('Control Room'!$B$13-1)/2)/MAX(0.5,'Control Room'!$B$13/4))^2),1)*IF(AND($A153&gt;='Control Room'!$A$14,$A153&lt;'Control Room'!$A$14+'Control Room'!$B$14,'Process'!BV3=1),1+('Control Room'!$C$14-1)*EXP(-0.5*(($A153-'Control Room'!$A$14-('Control Room'!$B$14-1)/2)/MAX(0.5,'Control Room'!$B$14/4))^2),1)*IF(AND($A153&gt;='Control Room'!$A$15,$A153&lt;'Control Room'!$A$15+'Control Room'!$B$15,'Process'!BV4=1),1+('Control Room'!$C$15-1)*EXP(-0.5*(($A153-'Control Room'!$A$15-('Control Room'!$B$15-1)/2)/MAX(0.5,'Control Room'!$B$15/4))^2),1)*IF(AND($A153&gt;='Control Room'!$A$16,$A153&lt;'Control Room'!$A$16+'Control Room'!$B$16,'Process'!BV5=1),1+('Control Room'!$C$16-1)*EXP(-0.5*(($A153-'Control Room'!$A$16-('Control Room'!$B$16-1)/2)/MAX(0.5,'Control Room'!$B$16/4))^2),1)</x:f>
        <x:v>1</x:v>
      </x:c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Z153" t="str">
        <x:f>IF('Data'!A153="","",TEXT('Data'!A153,"mm-dd"))</x:f>
      </x:c>
    </x:row>
    <x:row r="154" ht="21" customHeight="1">
      <x:c r="A154" s="15" t="n">
        <x:f>'Control Room'!$B$1+152</x:f>
        <x:v>73143</x:v>
      </x:c>
      <x:c r="B154" s="9" t="n">
        <x:f>MOD(C153*16807,2147483647)</x:f>
        <x:v>740158689</x:v>
      </x:c>
      <x:c r="C154" s="9" t="n">
        <x:f>MOD(B154*16807,2147483647)</x:f>
        <x:v>1621802599</x:v>
      </x:c>
      <x:c r="D154" s="17" t="n">
        <x:f>IF('Control Room'!$B$5="Normal",'Control Room'!$B$7+'Control Room'!$D$7*SQRT(-2*LN(MAX(0.000000000001,B154/2147483647)))*COS(2*PI()*C154/2147483647),'Control Room'!$B$8+('Control Room'!$D$8-'Control Room'!$B$8)*B154/2147483647)</x:f>
        <x:v>1004.2999928826458</x:v>
      </x:c>
      <x:c r="E154" s="17" t="n">
        <x:f>IF('Control Room'!$B$5="Normal",'Control Room'!$B$7,('Control Room'!$B$8+'Control Room'!$D$8)/2)+'Control Room'!$B$9*(E153-IF('Control Room'!$B$5="Normal",'Control Room'!$B$7,('Control Room'!$B$8+'Control Room'!$D$8)/2))+SQRT(1-'Control Room'!$B$9^2)*(D154-IF('Control Room'!$B$5="Normal",'Control Room'!$B$7,('Control Room'!$B$8+'Control Room'!$D$8)/2))</x:f>
        <x:v>1042.7588792535191</x:v>
      </x:c>
      <x:c r="F154" s="17" t="n">
        <x:f>IF(AND($A154&gt;='Control Room'!$A$13,$A154&lt;'Control Room'!$A$13+'Control Room'!$B$13,'Process'!BK2=1),1+('Control Room'!$C$13-1)*EXP(-0.5*(($A154-'Control Room'!$A$13-('Control Room'!$B$13-1)/2)/MAX(0.5,'Control Room'!$B$13/4))^2),1)*IF(AND($A154&gt;='Control Room'!$A$14,$A154&lt;'Control Room'!$A$14+'Control Room'!$B$14,'Process'!BK3=1),1+('Control Room'!$C$14-1)*EXP(-0.5*(($A154-'Control Room'!$A$14-('Control Room'!$B$14-1)/2)/MAX(0.5,'Control Room'!$B$14/4))^2),1)*IF(AND($A154&gt;='Control Room'!$A$15,$A154&lt;'Control Room'!$A$15+'Control Room'!$B$15,'Process'!BK4=1),1+('Control Room'!$C$15-1)*EXP(-0.5*(($A154-'Control Room'!$A$15-('Control Room'!$B$15-1)/2)/MAX(0.5,'Control Room'!$B$15/4))^2),1)*IF(AND($A154&gt;='Control Room'!$A$16,$A154&lt;'Control Room'!$A$16+'Control Room'!$B$16,'Process'!BK5=1),1+('Control Room'!$C$16-1)*EXP(-0.5*(($A154-'Control Room'!$A$16-('Control Room'!$B$16-1)/2)/MAX(0.5,'Control Room'!$B$16/4))^2),1)</x:f>
        <x:v>1</x:v>
      </x:c>
      <x:c r="G154" s="9" t="n">
        <x:f>MOD(H153*16807,2147483647)</x:f>
        <x:v>684657872</x:v>
      </x:c>
      <x:c r="H154" s="9" t="n">
        <x:f>MOD(G154*16807,2147483647)</x:f>
        <x:v>827474078</x:v>
      </x:c>
      <x:c r="I154" s="17" t="n">
        <x:f>IF('Control Room'!$B$5="Normal",'Control Room'!$B$7+'Control Room'!$D$7*SQRT(-2*LN(MAX(0.000000000001,G154/2147483647)))*COS(2*PI()*H154/2147483647),'Control Room'!$B$8+('Control Room'!$D$8-'Control Room'!$B$8)*G154/2147483647)</x:f>
        <x:v>897.7399432104472</x:v>
      </x:c>
      <x:c r="J154" s="17" t="n">
        <x:f>IF('Control Room'!$B$5="Normal",'Control Room'!$B$7,('Control Room'!$B$8+'Control Room'!$D$8)/2)+'Control Room'!$B$9*(J153-IF('Control Room'!$B$5="Normal",'Control Room'!$B$7,('Control Room'!$B$8+'Control Room'!$D$8)/2))+SQRT(1-'Control Room'!$B$9^2)*(I154-IF('Control Room'!$B$5="Normal",'Control Room'!$B$7,('Control Room'!$B$8+'Control Room'!$D$8)/2))</x:f>
        <x:v>936.3781290278703</x:v>
      </x:c>
      <x:c r="K154" s="17" t="n">
        <x:f>IF(AND($A154&gt;='Control Room'!$A$13,$A154&lt;'Control Room'!$A$13+'Control Room'!$B$13,'Process'!BL2=1),1+('Control Room'!$C$13-1)*EXP(-0.5*(($A154-'Control Room'!$A$13-('Control Room'!$B$13-1)/2)/MAX(0.5,'Control Room'!$B$13/4))^2),1)*IF(AND($A154&gt;='Control Room'!$A$14,$A154&lt;'Control Room'!$A$14+'Control Room'!$B$14,'Process'!BL3=1),1+('Control Room'!$C$14-1)*EXP(-0.5*(($A154-'Control Room'!$A$14-('Control Room'!$B$14-1)/2)/MAX(0.5,'Control Room'!$B$14/4))^2),1)*IF(AND($A154&gt;='Control Room'!$A$15,$A154&lt;'Control Room'!$A$15+'Control Room'!$B$15,'Process'!BL4=1),1+('Control Room'!$C$15-1)*EXP(-0.5*(($A154-'Control Room'!$A$15-('Control Room'!$B$15-1)/2)/MAX(0.5,'Control Room'!$B$15/4))^2),1)*IF(AND($A154&gt;='Control Room'!$A$16,$A154&lt;'Control Room'!$A$16+'Control Room'!$B$16,'Process'!BL5=1),1+('Control Room'!$C$16-1)*EXP(-0.5*(($A154-'Control Room'!$A$16-('Control Room'!$B$16-1)/2)/MAX(0.5,'Control Room'!$B$16/4))^2),1)</x:f>
        <x:v>1</x:v>
      </x:c>
      <x:c r="L154" s="9" t="n">
        <x:f>MOD(M153*16807,2147483647)</x:f>
        <x:v>629157055</x:v>
      </x:c>
      <x:c r="M154" s="9" t="n">
        <x:f>MOD(L154*16807,2147483647)</x:f>
        <x:v>33145557</x:v>
      </x:c>
      <x:c r="N154" s="17" t="n">
        <x:f>IF('Control Room'!$B$5="Normal",'Control Room'!$B$7+'Control Room'!$D$7*SQRT(-2*LN(MAX(0.000000000001,L154/2147483647)))*COS(2*PI()*M154/2147483647),'Control Room'!$B$8+('Control Room'!$D$8-'Control Room'!$B$8)*L154/2147483647)</x:f>
        <x:v>1140.3631438523657</x:v>
      </x:c>
      <x:c r="O154" s="17" t="n">
        <x:f>IF('Control Room'!$B$5="Normal",'Control Room'!$B$7,('Control Room'!$B$8+'Control Room'!$D$8)/2)+'Control Room'!$B$9*(O153-IF('Control Room'!$B$5="Normal",'Control Room'!$B$7,('Control Room'!$B$8+'Control Room'!$D$8)/2))+SQRT(1-'Control Room'!$B$9^2)*(N154-IF('Control Room'!$B$5="Normal",'Control Room'!$B$7,('Control Room'!$B$8+'Control Room'!$D$8)/2))</x:f>
        <x:v>1073.8635450276806</x:v>
      </x:c>
      <x:c r="P154" s="17" t="n">
        <x:f>IF(AND($A154&gt;='Control Room'!$A$13,$A154&lt;'Control Room'!$A$13+'Control Room'!$B$13,'Process'!BM2=1),1+('Control Room'!$C$13-1)*EXP(-0.5*(($A154-'Control Room'!$A$13-('Control Room'!$B$13-1)/2)/MAX(0.5,'Control Room'!$B$13/4))^2),1)*IF(AND($A154&gt;='Control Room'!$A$14,$A154&lt;'Control Room'!$A$14+'Control Room'!$B$14,'Process'!BM3=1),1+('Control Room'!$C$14-1)*EXP(-0.5*(($A154-'Control Room'!$A$14-('Control Room'!$B$14-1)/2)/MAX(0.5,'Control Room'!$B$14/4))^2),1)*IF(AND($A154&gt;='Control Room'!$A$15,$A154&lt;'Control Room'!$A$15+'Control Room'!$B$15,'Process'!BM4=1),1+('Control Room'!$C$15-1)*EXP(-0.5*(($A154-'Control Room'!$A$15-('Control Room'!$B$15-1)/2)/MAX(0.5,'Control Room'!$B$15/4))^2),1)*IF(AND($A154&gt;='Control Room'!$A$16,$A154&lt;'Control Room'!$A$16+'Control Room'!$B$16,'Process'!BM5=1),1+('Control Room'!$C$16-1)*EXP(-0.5*(($A154-'Control Room'!$A$16-('Control Room'!$B$16-1)/2)/MAX(0.5,'Control Room'!$B$16/4))^2),1)</x:f>
        <x:v>1</x:v>
      </x:c>
      <x:c r="Q154" s="9" t="n">
        <x:f>MOD(R153*16807,2147483647)</x:f>
        <x:v>573656238</x:v>
      </x:c>
      <x:c r="R154" s="9" t="n">
        <x:f>MOD(Q154*16807,2147483647)</x:f>
        <x:v>1386300683</x:v>
      </x:c>
      <x:c r="S154" s="17" t="n">
        <x:f>IF('Control Room'!$B$5="Normal",'Control Room'!$B$7+'Control Room'!$D$7*SQRT(-2*LN(MAX(0.000000000001,Q154/2147483647)))*COS(2*PI()*R154/2147483647),'Control Room'!$B$8+('Control Room'!$D$8-'Control Room'!$B$8)*Q154/2147483647)</x:f>
        <x:v>910.7695492269669</x:v>
      </x:c>
      <x:c r="T154" s="17" t="n">
        <x:f>IF('Control Room'!$B$5="Normal",'Control Room'!$B$7,('Control Room'!$B$8+'Control Room'!$D$8)/2)+'Control Room'!$B$9*(T153-IF('Control Room'!$B$5="Normal",'Control Room'!$B$7,('Control Room'!$B$8+'Control Room'!$D$8)/2))+SQRT(1-'Control Room'!$B$9^2)*(S154-IF('Control Room'!$B$5="Normal",'Control Room'!$B$7,('Control Room'!$B$8+'Control Room'!$D$8)/2))</x:f>
        <x:v>829.251812542629</x:v>
      </x:c>
      <x:c r="U154" s="17" t="n">
        <x:f>IF(AND($A154&gt;='Control Room'!$A$13,$A154&lt;'Control Room'!$A$13+'Control Room'!$B$13,'Process'!BN2=1),1+('Control Room'!$C$13-1)*EXP(-0.5*(($A154-'Control Room'!$A$13-('Control Room'!$B$13-1)/2)/MAX(0.5,'Control Room'!$B$13/4))^2),1)*IF(AND($A154&gt;='Control Room'!$A$14,$A154&lt;'Control Room'!$A$14+'Control Room'!$B$14,'Process'!BN3=1),1+('Control Room'!$C$14-1)*EXP(-0.5*(($A154-'Control Room'!$A$14-('Control Room'!$B$14-1)/2)/MAX(0.5,'Control Room'!$B$14/4))^2),1)*IF(AND($A154&gt;='Control Room'!$A$15,$A154&lt;'Control Room'!$A$15+'Control Room'!$B$15,'Process'!BN4=1),1+('Control Room'!$C$15-1)*EXP(-0.5*(($A154-'Control Room'!$A$15-('Control Room'!$B$15-1)/2)/MAX(0.5,'Control Room'!$B$15/4))^2),1)*IF(AND($A154&gt;='Control Room'!$A$16,$A154&lt;'Control Room'!$A$16+'Control Room'!$B$16,'Process'!BN5=1),1+('Control Room'!$C$16-1)*EXP(-0.5*(($A154-'Control Room'!$A$16-('Control Room'!$B$16-1)/2)/MAX(0.5,'Control Room'!$B$16/4))^2),1)</x:f>
        <x:v>1</x:v>
      </x:c>
      <x:c r="V154" s="9" t="n">
        <x:f>MOD(W153*16807,2147483647)</x:f>
        <x:v>518155421</x:v>
      </x:c>
      <x:c r="W154" s="9" t="n">
        <x:f>MOD(V154*16807,2147483647)</x:f>
        <x:v>591972162</x:v>
      </x:c>
      <x:c r="X154" s="17" t="n">
        <x:f>IF('Control Room'!$B$5="Normal",'Control Room'!$B$7+'Control Room'!$D$7*SQRT(-2*LN(MAX(0.000000000001,V154/2147483647)))*COS(2*PI()*W154/2147483647),'Control Room'!$B$8+('Control Room'!$D$8-'Control Room'!$B$8)*V154/2147483647)</x:f>
        <x:v>975.6386275456254</x:v>
      </x:c>
      <x:c r="Y154" s="17" t="n">
        <x:f>IF('Control Room'!$B$5="Normal",'Control Room'!$B$7,('Control Room'!$B$8+'Control Room'!$D$8)/2)+'Control Room'!$B$9*(Y153-IF('Control Room'!$B$5="Normal",'Control Room'!$B$7,('Control Room'!$B$8+'Control Room'!$D$8)/2))+SQRT(1-'Control Room'!$B$9^2)*(X154-IF('Control Room'!$B$5="Normal",'Control Room'!$B$7,('Control Room'!$B$8+'Control Room'!$D$8)/2))</x:f>
        <x:v>1126.7043370006418</x:v>
      </x:c>
      <x:c r="Z154" s="17" t="n">
        <x:f>IF(AND($A154&gt;='Control Room'!$A$13,$A154&lt;'Control Room'!$A$13+'Control Room'!$B$13,'Process'!BO2=1),1+('Control Room'!$C$13-1)*EXP(-0.5*(($A154-'Control Room'!$A$13-('Control Room'!$B$13-1)/2)/MAX(0.5,'Control Room'!$B$13/4))^2),1)*IF(AND($A154&gt;='Control Room'!$A$14,$A154&lt;'Control Room'!$A$14+'Control Room'!$B$14,'Process'!BO3=1),1+('Control Room'!$C$14-1)*EXP(-0.5*(($A154-'Control Room'!$A$14-('Control Room'!$B$14-1)/2)/MAX(0.5,'Control Room'!$B$14/4))^2),1)*IF(AND($A154&gt;='Control Room'!$A$15,$A154&lt;'Control Room'!$A$15+'Control Room'!$B$15,'Process'!BO4=1),1+('Control Room'!$C$15-1)*EXP(-0.5*(($A154-'Control Room'!$A$15-('Control Room'!$B$15-1)/2)/MAX(0.5,'Control Room'!$B$15/4))^2),1)*IF(AND($A154&gt;='Control Room'!$A$16,$A154&lt;'Control Room'!$A$16+'Control Room'!$B$16,'Process'!BO5=1),1+('Control Room'!$C$16-1)*EXP(-0.5*(($A154-'Control Room'!$A$16-('Control Room'!$B$16-1)/2)/MAX(0.5,'Control Room'!$B$16/4))^2),1)</x:f>
        <x:v>1</x:v>
      </x:c>
      <x:c r="AA154" s="9" t="n">
        <x:f>MOD(AB153*16807,2147483647)</x:f>
        <x:v>462654604</x:v>
      </x:c>
      <x:c r="AB154" s="9" t="n">
        <x:f>MOD(AA154*16807,2147483647)</x:f>
        <x:v>1945127288</x:v>
      </x:c>
      <x:c r="AC154" s="17" t="n">
        <x:f>IF('Control Room'!$B$5="Normal",'Control Room'!$B$7+'Control Room'!$D$7*SQRT(-2*LN(MAX(0.000000000001,AA154/2147483647)))*COS(2*PI()*AB154/2147483647),'Control Room'!$B$8+('Control Room'!$D$8-'Control Room'!$B$8)*AA154/2147483647)</x:f>
        <x:v>1130.8552022884523</x:v>
      </x:c>
      <x:c r="AD154" s="17" t="n">
        <x:f>IF('Control Room'!$B$5="Normal",'Control Room'!$B$7,('Control Room'!$B$8+'Control Room'!$D$8)/2)+'Control Room'!$B$9*(AD153-IF('Control Room'!$B$5="Normal",'Control Room'!$B$7,('Control Room'!$B$8+'Control Room'!$D$8)/2))+SQRT(1-'Control Room'!$B$9^2)*(AC154-IF('Control Room'!$B$5="Normal",'Control Room'!$B$7,('Control Room'!$B$8+'Control Room'!$D$8)/2))</x:f>
        <x:v>1071.2273563214364</x:v>
      </x:c>
      <x:c r="AE154" s="17" t="n">
        <x:f>IF(AND($A154&gt;='Control Room'!$A$13,$A154&lt;'Control Room'!$A$13+'Control Room'!$B$13,'Process'!BP2=1),1+('Control Room'!$C$13-1)*EXP(-0.5*(($A154-'Control Room'!$A$13-('Control Room'!$B$13-1)/2)/MAX(0.5,'Control Room'!$B$13/4))^2),1)*IF(AND($A154&gt;='Control Room'!$A$14,$A154&lt;'Control Room'!$A$14+'Control Room'!$B$14,'Process'!BP3=1),1+('Control Room'!$C$14-1)*EXP(-0.5*(($A154-'Control Room'!$A$14-('Control Room'!$B$14-1)/2)/MAX(0.5,'Control Room'!$B$14/4))^2),1)*IF(AND($A154&gt;='Control Room'!$A$15,$A154&lt;'Control Room'!$A$15+'Control Room'!$B$15,'Process'!BP4=1),1+('Control Room'!$C$15-1)*EXP(-0.5*(($A154-'Control Room'!$A$15-('Control Room'!$B$15-1)/2)/MAX(0.5,'Control Room'!$B$15/4))^2),1)*IF(AND($A154&gt;='Control Room'!$A$16,$A154&lt;'Control Room'!$A$16+'Control Room'!$B$16,'Process'!BP5=1),1+('Control Room'!$C$16-1)*EXP(-0.5*(($A154-'Control Room'!$A$16-('Control Room'!$B$16-1)/2)/MAX(0.5,'Control Room'!$B$16/4))^2),1)</x:f>
        <x:v>1</x:v>
      </x:c>
      <x:c r="AF154" s="9" t="n">
        <x:f>MOD(AG153*16807,2147483647)</x:f>
        <x:v>407153787</x:v>
      </x:c>
      <x:c r="AG154" s="9" t="n">
        <x:f>MOD(AF154*16807,2147483647)</x:f>
        <x:v>1150798767</x:v>
      </x:c>
      <x:c r="AH154" s="17" t="n">
        <x:f>IF('Control Room'!$B$5="Normal",'Control Room'!$B$7+'Control Room'!$D$7*SQRT(-2*LN(MAX(0.000000000001,AF154/2147483647)))*COS(2*PI()*AG154/2147483647),'Control Room'!$B$8+('Control Room'!$D$8-'Control Room'!$B$8)*AF154/2147483647)</x:f>
        <x:v>840.0246708039635</x:v>
      </x:c>
      <x:c r="AI154" s="17" t="n">
        <x:f>IF('Control Room'!$B$5="Normal",'Control Room'!$B$7,('Control Room'!$B$8+'Control Room'!$D$8)/2)+'Control Room'!$B$9*(AI153-IF('Control Room'!$B$5="Normal",'Control Room'!$B$7,('Control Room'!$B$8+'Control Room'!$D$8)/2))+SQRT(1-'Control Room'!$B$9^2)*(AH154-IF('Control Room'!$B$5="Normal",'Control Room'!$B$7,('Control Room'!$B$8+'Control Room'!$D$8)/2))</x:f>
        <x:v>982.7739058272973</x:v>
      </x:c>
      <x:c r="AJ154" s="17" t="n">
        <x:f>IF(AND($A154&gt;='Control Room'!$A$13,$A154&lt;'Control Room'!$A$13+'Control Room'!$B$13,'Process'!BQ2=1),1+('Control Room'!$C$13-1)*EXP(-0.5*(($A154-'Control Room'!$A$13-('Control Room'!$B$13-1)/2)/MAX(0.5,'Control Room'!$B$13/4))^2),1)*IF(AND($A154&gt;='Control Room'!$A$14,$A154&lt;'Control Room'!$A$14+'Control Room'!$B$14,'Process'!BQ3=1),1+('Control Room'!$C$14-1)*EXP(-0.5*(($A154-'Control Room'!$A$14-('Control Room'!$B$14-1)/2)/MAX(0.5,'Control Room'!$B$14/4))^2),1)*IF(AND($A154&gt;='Control Room'!$A$15,$A154&lt;'Control Room'!$A$15+'Control Room'!$B$15,'Process'!BQ4=1),1+('Control Room'!$C$15-1)*EXP(-0.5*(($A154-'Control Room'!$A$15-('Control Room'!$B$15-1)/2)/MAX(0.5,'Control Room'!$B$15/4))^2),1)*IF(AND($A154&gt;='Control Room'!$A$16,$A154&lt;'Control Room'!$A$16+'Control Room'!$B$16,'Process'!BQ5=1),1+('Control Room'!$C$16-1)*EXP(-0.5*(($A154-'Control Room'!$A$16-('Control Room'!$B$16-1)/2)/MAX(0.5,'Control Room'!$B$16/4))^2),1)</x:f>
        <x:v>1</x:v>
      </x:c>
      <x:c r="AK154" s="9" t="n">
        <x:f>MOD(AL153*16807,2147483647)</x:f>
        <x:v>351652970</x:v>
      </x:c>
      <x:c r="AL154" s="9" t="n">
        <x:f>MOD(AK154*16807,2147483647)</x:f>
        <x:v>356470246</x:v>
      </x:c>
      <x:c r="AM154" s="17" t="n">
        <x:f>IF('Control Room'!$B$5="Normal",'Control Room'!$B$7+'Control Room'!$D$7*SQRT(-2*LN(MAX(0.000000000001,AK154/2147483647)))*COS(2*PI()*AL154/2147483647),'Control Room'!$B$8+('Control Room'!$D$8-'Control Room'!$B$8)*AK154/2147483647)</x:f>
        <x:v>1086.2298517062534</x:v>
      </x:c>
      <x:c r="AN154" s="17" t="n">
        <x:f>IF('Control Room'!$B$5="Normal",'Control Room'!$B$7,('Control Room'!$B$8+'Control Room'!$D$8)/2)+'Control Room'!$B$9*(AN153-IF('Control Room'!$B$5="Normal",'Control Room'!$B$7,('Control Room'!$B$8+'Control Room'!$D$8)/2))+SQRT(1-'Control Room'!$B$9^2)*(AM154-IF('Control Room'!$B$5="Normal",'Control Room'!$B$7,('Control Room'!$B$8+'Control Room'!$D$8)/2))</x:f>
        <x:v>1084.9863063577902</x:v>
      </x:c>
      <x:c r="AO154" s="17" t="n">
        <x:f>IF(AND($A154&gt;='Control Room'!$A$13,$A154&lt;'Control Room'!$A$13+'Control Room'!$B$13,'Process'!BR2=1),1+('Control Room'!$C$13-1)*EXP(-0.5*(($A154-'Control Room'!$A$13-('Control Room'!$B$13-1)/2)/MAX(0.5,'Control Room'!$B$13/4))^2),1)*IF(AND($A154&gt;='Control Room'!$A$14,$A154&lt;'Control Room'!$A$14+'Control Room'!$B$14,'Process'!BR3=1),1+('Control Room'!$C$14-1)*EXP(-0.5*(($A154-'Control Room'!$A$14-('Control Room'!$B$14-1)/2)/MAX(0.5,'Control Room'!$B$14/4))^2),1)*IF(AND($A154&gt;='Control Room'!$A$15,$A154&lt;'Control Room'!$A$15+'Control Room'!$B$15,'Process'!BR4=1),1+('Control Room'!$C$15-1)*EXP(-0.5*(($A154-'Control Room'!$A$15-('Control Room'!$B$15-1)/2)/MAX(0.5,'Control Room'!$B$15/4))^2),1)*IF(AND($A154&gt;='Control Room'!$A$16,$A154&lt;'Control Room'!$A$16+'Control Room'!$B$16,'Process'!BR5=1),1+('Control Room'!$C$16-1)*EXP(-0.5*(($A154-'Control Room'!$A$16-('Control Room'!$B$16-1)/2)/MAX(0.5,'Control Room'!$B$16/4))^2),1)</x:f>
        <x:v>1</x:v>
      </x:c>
      <x:c r="AP154" s="9" t="n">
        <x:f>MOD(AQ153*16807,2147483647)</x:f>
        <x:v>296152153</x:v>
      </x:c>
      <x:c r="AQ154" s="9" t="n">
        <x:f>MOD(AP154*16807,2147483647)</x:f>
        <x:v>1709625372</x:v>
      </x:c>
      <x:c r="AR154" s="17" t="n">
        <x:f>IF('Control Room'!$B$5="Normal",'Control Room'!$B$7+'Control Room'!$D$7*SQRT(-2*LN(MAX(0.000000000001,AP154/2147483647)))*COS(2*PI()*AQ154/2147483647),'Control Room'!$B$8+('Control Room'!$D$8-'Control Room'!$B$8)*AP154/2147483647)</x:f>
        <x:v>1051.176233911235</x:v>
      </x:c>
      <x:c r="AS154" s="17" t="n">
        <x:f>IF('Control Room'!$B$5="Normal",'Control Room'!$B$7,('Control Room'!$B$8+'Control Room'!$D$8)/2)+'Control Room'!$B$9*(AS153-IF('Control Room'!$B$5="Normal",'Control Room'!$B$7,('Control Room'!$B$8+'Control Room'!$D$8)/2))+SQRT(1-'Control Room'!$B$9^2)*(AR154-IF('Control Room'!$B$5="Normal",'Control Room'!$B$7,('Control Room'!$B$8+'Control Room'!$D$8)/2))</x:f>
        <x:v>1088.5079535827913</x:v>
      </x:c>
      <x:c r="AT154" s="17" t="n">
        <x:f>IF(AND($A154&gt;='Control Room'!$A$13,$A154&lt;'Control Room'!$A$13+'Control Room'!$B$13,'Process'!BS2=1),1+('Control Room'!$C$13-1)*EXP(-0.5*(($A154-'Control Room'!$A$13-('Control Room'!$B$13-1)/2)/MAX(0.5,'Control Room'!$B$13/4))^2),1)*IF(AND($A154&gt;='Control Room'!$A$14,$A154&lt;'Control Room'!$A$14+'Control Room'!$B$14,'Process'!BS3=1),1+('Control Room'!$C$14-1)*EXP(-0.5*(($A154-'Control Room'!$A$14-('Control Room'!$B$14-1)/2)/MAX(0.5,'Control Room'!$B$14/4))^2),1)*IF(AND($A154&gt;='Control Room'!$A$15,$A154&lt;'Control Room'!$A$15+'Control Room'!$B$15,'Process'!BS4=1),1+('Control Room'!$C$15-1)*EXP(-0.5*(($A154-'Control Room'!$A$15-('Control Room'!$B$15-1)/2)/MAX(0.5,'Control Room'!$B$15/4))^2),1)*IF(AND($A154&gt;='Control Room'!$A$16,$A154&lt;'Control Room'!$A$16+'Control Room'!$B$16,'Process'!BS5=1),1+('Control Room'!$C$16-1)*EXP(-0.5*(($A154-'Control Room'!$A$16-('Control Room'!$B$16-1)/2)/MAX(0.5,'Control Room'!$B$16/4))^2),1)</x:f>
        <x:v>1</x:v>
      </x:c>
      <x:c r="AU154" s="9" t="n">
        <x:f>MOD(AV153*16807,2147483647)</x:f>
        <x:v>240651336</x:v>
      </x:c>
      <x:c r="AV154" s="9" t="n">
        <x:f>MOD(AU154*16807,2147483647)</x:f>
        <x:v>915296851</x:v>
      </x:c>
      <x:c r="AW154" s="17" t="n">
        <x:f>IF('Control Room'!$B$5="Normal",'Control Room'!$B$7+'Control Room'!$D$7*SQRT(-2*LN(MAX(0.000000000001,AU154/2147483647)))*COS(2*PI()*AV154/2147483647),'Control Room'!$B$8+('Control Room'!$D$8-'Control Room'!$B$8)*AU154/2147483647)</x:f>
        <x:v>831.5737762475915</x:v>
      </x:c>
      <x:c r="AX154" s="17" t="n">
        <x:f>IF('Control Room'!$B$5="Normal",'Control Room'!$B$7,('Control Room'!$B$8+'Control Room'!$D$8)/2)+'Control Room'!$B$9*(AX153-IF('Control Room'!$B$5="Normal",'Control Room'!$B$7,('Control Room'!$B$8+'Control Room'!$D$8)/2))+SQRT(1-'Control Room'!$B$9^2)*(AW154-IF('Control Room'!$B$5="Normal",'Control Room'!$B$7,('Control Room'!$B$8+'Control Room'!$D$8)/2))</x:f>
        <x:v>858.9329116543967</x:v>
      </x:c>
      <x:c r="AY154" s="17" t="n">
        <x:f>IF(AND($A154&gt;='Control Room'!$A$13,$A154&lt;'Control Room'!$A$13+'Control Room'!$B$13,'Process'!BT2=1),1+('Control Room'!$C$13-1)*EXP(-0.5*(($A154-'Control Room'!$A$13-('Control Room'!$B$13-1)/2)/MAX(0.5,'Control Room'!$B$13/4))^2),1)*IF(AND($A154&gt;='Control Room'!$A$14,$A154&lt;'Control Room'!$A$14+'Control Room'!$B$14,'Process'!BT3=1),1+('Control Room'!$C$14-1)*EXP(-0.5*(($A154-'Control Room'!$A$14-('Control Room'!$B$14-1)/2)/MAX(0.5,'Control Room'!$B$14/4))^2),1)*IF(AND($A154&gt;='Control Room'!$A$15,$A154&lt;'Control Room'!$A$15+'Control Room'!$B$15,'Process'!BT4=1),1+('Control Room'!$C$15-1)*EXP(-0.5*(($A154-'Control Room'!$A$15-('Control Room'!$B$15-1)/2)/MAX(0.5,'Control Room'!$B$15/4))^2),1)*IF(AND($A154&gt;='Control Room'!$A$16,$A154&lt;'Control Room'!$A$16+'Control Room'!$B$16,'Process'!BT5=1),1+('Control Room'!$C$16-1)*EXP(-0.5*(($A154-'Control Room'!$A$16-('Control Room'!$B$16-1)/2)/MAX(0.5,'Control Room'!$B$16/4))^2),1)</x:f>
        <x:v>1</x:v>
      </x:c>
      <x:c r="AZ154" s="9" t="n">
        <x:f>MOD(BA153*16807,2147483647)</x:f>
        <x:v>185150519</x:v>
      </x:c>
      <x:c r="BA154" s="9" t="n">
        <x:f>MOD(AZ154*16807,2147483647)</x:f>
        <x:v>120968330</x:v>
      </x:c>
      <x:c r="BB154" s="17" t="n">
        <x:f>IF('Control Room'!$B$5="Normal",'Control Room'!$B$7+'Control Room'!$D$7*SQRT(-2*LN(MAX(0.000000000001,AZ154/2147483647)))*COS(2*PI()*BA154/2147483647),'Control Room'!$B$8+('Control Room'!$D$8-'Control Room'!$B$8)*AZ154/2147483647)</x:f>
        <x:v>1186.908624130082</x:v>
      </x:c>
      <x:c r="BC154" s="17" t="n">
        <x:f>IF('Control Room'!$B$5="Normal",'Control Room'!$B$7,('Control Room'!$B$8+'Control Room'!$D$8)/2)+'Control Room'!$B$9*(BC153-IF('Control Room'!$B$5="Normal",'Control Room'!$B$7,('Control Room'!$B$8+'Control Room'!$D$8)/2))+SQRT(1-'Control Room'!$B$9^2)*(BB154-IF('Control Room'!$B$5="Normal",'Control Room'!$B$7,('Control Room'!$B$8+'Control Room'!$D$8)/2))</x:f>
        <x:v>1160.4426940708659</x:v>
      </x:c>
      <x:c r="BD154" s="17" t="n">
        <x:f>IF(AND($A154&gt;='Control Room'!$A$13,$A154&lt;'Control Room'!$A$13+'Control Room'!$B$13,'Process'!BU2=1),1+('Control Room'!$C$13-1)*EXP(-0.5*(($A154-'Control Room'!$A$13-('Control Room'!$B$13-1)/2)/MAX(0.5,'Control Room'!$B$13/4))^2),1)*IF(AND($A154&gt;='Control Room'!$A$14,$A154&lt;'Control Room'!$A$14+'Control Room'!$B$14,'Process'!BU3=1),1+('Control Room'!$C$14-1)*EXP(-0.5*(($A154-'Control Room'!$A$14-('Control Room'!$B$14-1)/2)/MAX(0.5,'Control Room'!$B$14/4))^2),1)*IF(AND($A154&gt;='Control Room'!$A$15,$A154&lt;'Control Room'!$A$15+'Control Room'!$B$15,'Process'!BU4=1),1+('Control Room'!$C$15-1)*EXP(-0.5*(($A154-'Control Room'!$A$15-('Control Room'!$B$15-1)/2)/MAX(0.5,'Control Room'!$B$15/4))^2),1)*IF(AND($A154&gt;='Control Room'!$A$16,$A154&lt;'Control Room'!$A$16+'Control Room'!$B$16,'Process'!BU5=1),1+('Control Room'!$C$16-1)*EXP(-0.5*(($A154-'Control Room'!$A$16-('Control Room'!$B$16-1)/2)/MAX(0.5,'Control Room'!$B$16/4))^2),1)</x:f>
        <x:v>1</x:v>
      </x:c>
      <x:c r="BE154" s="9" t="n">
        <x:f>MOD(BF153*16807,2147483647)</x:f>
        <x:v>129649702</x:v>
      </x:c>
      <x:c r="BF154" s="9" t="n">
        <x:f>MOD(BE154*16807,2147483647)</x:f>
        <x:v>1474123456</x:v>
      </x:c>
      <x:c r="BG154" s="17" t="n">
        <x:f>IF('Control Room'!$B$5="Normal",'Control Room'!$B$7+'Control Room'!$D$7*SQRT(-2*LN(MAX(0.000000000001,BE154/2147483647)))*COS(2*PI()*BF154/2147483647),'Control Room'!$B$8+('Control Room'!$D$8-'Control Room'!$B$8)*BE154/2147483647)</x:f>
        <x:v>917.0839401656609</x:v>
      </x:c>
      <x:c r="BH154" s="17" t="n">
        <x:f>IF('Control Room'!$B$5="Normal",'Control Room'!$B$7,('Control Room'!$B$8+'Control Room'!$D$8)/2)+'Control Room'!$B$9*(BH153-IF('Control Room'!$B$5="Normal",'Control Room'!$B$7,('Control Room'!$B$8+'Control Room'!$D$8)/2))+SQRT(1-'Control Room'!$B$9^2)*(BG154-IF('Control Room'!$B$5="Normal",'Control Room'!$B$7,('Control Room'!$B$8+'Control Room'!$D$8)/2))</x:f>
        <x:v>1048.3406574287087</x:v>
      </x:c>
      <x:c r="BI154" s="17" t="n">
        <x:f>IF(AND($A154&gt;='Control Room'!$A$13,$A154&lt;'Control Room'!$A$13+'Control Room'!$B$13,'Process'!BV2=1),1+('Control Room'!$C$13-1)*EXP(-0.5*(($A154-'Control Room'!$A$13-('Control Room'!$B$13-1)/2)/MAX(0.5,'Control Room'!$B$13/4))^2),1)*IF(AND($A154&gt;='Control Room'!$A$14,$A154&lt;'Control Room'!$A$14+'Control Room'!$B$14,'Process'!BV3=1),1+('Control Room'!$C$14-1)*EXP(-0.5*(($A154-'Control Room'!$A$14-('Control Room'!$B$14-1)/2)/MAX(0.5,'Control Room'!$B$14/4))^2),1)*IF(AND($A154&gt;='Control Room'!$A$15,$A154&lt;'Control Room'!$A$15+'Control Room'!$B$15,'Process'!BV4=1),1+('Control Room'!$C$15-1)*EXP(-0.5*(($A154-'Control Room'!$A$15-('Control Room'!$B$15-1)/2)/MAX(0.5,'Control Room'!$B$15/4))^2),1)*IF(AND($A154&gt;='Control Room'!$A$16,$A154&lt;'Control Room'!$A$16+'Control Room'!$B$16,'Process'!BV5=1),1+('Control Room'!$C$16-1)*EXP(-0.5*(($A154-'Control Room'!$A$16-('Control Room'!$B$16-1)/2)/MAX(0.5,'Control Room'!$B$16/4))^2),1)</x:f>
        <x:v>1</x:v>
      </x:c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Z154" t="str">
        <x:f>IF('Data'!A154="","",TEXT('Data'!A154,"mm-dd"))</x:f>
      </x:c>
    </x:row>
    <x:row r="155" ht="21" customHeight="1">
      <x:c r="A155" s="15" t="n">
        <x:f>'Control Room'!$B$1+153</x:f>
        <x:v>73144</x:v>
      </x:c>
      <x:c r="B155" s="9" t="n">
        <x:f>MOD(C154*16807,2147483647)</x:f>
        <x:v>1773833669</x:v>
      </x:c>
      <x:c r="C155" s="9" t="n">
        <x:f>MOD(B155*16807,2147483647)</x:f>
        <x:v>1454487229</x:v>
      </x:c>
      <x:c r="D155" s="17" t="n">
        <x:f>IF('Control Room'!$B$5="Normal",'Control Room'!$B$7+'Control Room'!$D$7*SQRT(-2*LN(MAX(0.000000000001,B155/2147483647)))*COS(2*PI()*C155/2147483647),'Control Room'!$B$8+('Control Room'!$D$8-'Control Room'!$B$8)*B155/2147483647)</x:f>
        <x:v>975.45502581882</x:v>
      </x:c>
      <x:c r="E155" s="17" t="n">
        <x:f>IF('Control Room'!$B$5="Normal",'Control Room'!$B$7,('Control Room'!$B$8+'Control Room'!$D$8)/2)+'Control Room'!$B$9*(E154-IF('Control Room'!$B$5="Normal",'Control Room'!$B$7,('Control Room'!$B$8+'Control Room'!$D$8)/2))+SQRT(1-'Control Room'!$B$9^2)*(D155-IF('Control Room'!$B$5="Normal",'Control Room'!$B$7,('Control Room'!$B$8+'Control Room'!$D$8)/2))</x:f>
        <x:v>1017.9921838062897</x:v>
      </x:c>
      <x:c r="F155" s="17" t="n">
        <x:f>IF(AND($A155&gt;='Control Room'!$A$13,$A155&lt;'Control Room'!$A$13+'Control Room'!$B$13,'Process'!BK2=1),1+('Control Room'!$C$13-1)*EXP(-0.5*(($A155-'Control Room'!$A$13-('Control Room'!$B$13-1)/2)/MAX(0.5,'Control Room'!$B$13/4))^2),1)*IF(AND($A155&gt;='Control Room'!$A$14,$A155&lt;'Control Room'!$A$14+'Control Room'!$B$14,'Process'!BK3=1),1+('Control Room'!$C$14-1)*EXP(-0.5*(($A155-'Control Room'!$A$14-('Control Room'!$B$14-1)/2)/MAX(0.5,'Control Room'!$B$14/4))^2),1)*IF(AND($A155&gt;='Control Room'!$A$15,$A155&lt;'Control Room'!$A$15+'Control Room'!$B$15,'Process'!BK4=1),1+('Control Room'!$C$15-1)*EXP(-0.5*(($A155-'Control Room'!$A$15-('Control Room'!$B$15-1)/2)/MAX(0.5,'Control Room'!$B$15/4))^2),1)*IF(AND($A155&gt;='Control Room'!$A$16,$A155&lt;'Control Room'!$A$16+'Control Room'!$B$16,'Process'!BK5=1),1+('Control Room'!$C$16-1)*EXP(-0.5*(($A155-'Control Room'!$A$16-('Control Room'!$B$16-1)/2)/MAX(0.5,'Control Room'!$B$16/4))^2),1)</x:f>
        <x:v>1</x:v>
      </x:c>
      <x:c r="G155" s="9" t="n">
        <x:f>MOD(H154*16807,2147483647)</x:f>
        <x:v>252730974</x:v>
      </x:c>
      <x:c r="H155" s="9" t="n">
        <x:f>MOD(G155*16807,2147483647)</x:f>
        <x:v>2074309899</x:v>
      </x:c>
      <x:c r="I155" s="17" t="n">
        <x:f>IF('Control Room'!$B$5="Normal",'Control Room'!$B$7+'Control Room'!$D$7*SQRT(-2*LN(MAX(0.000000000001,G155/2147483647)))*COS(2*PI()*H155/2147483647),'Control Room'!$B$8+('Control Room'!$D$8-'Control Room'!$B$8)*G155/2147483647)</x:f>
        <x:v>1181.930874147477</x:v>
      </x:c>
      <x:c r="J155" s="17" t="n">
        <x:f>IF('Control Room'!$B$5="Normal",'Control Room'!$B$7,('Control Room'!$B$8+'Control Room'!$D$8)/2)+'Control Room'!$B$9*(J154-IF('Control Room'!$B$5="Normal",'Control Room'!$B$7,('Control Room'!$B$8+'Control Room'!$D$8)/2))+SQRT(1-'Control Room'!$B$9^2)*(I155-IF('Control Room'!$B$5="Normal",'Control Room'!$B$7,('Control Room'!$B$8+'Control Room'!$D$8)/2))</x:f>
        <x:v>1064.2235546266895</x:v>
      </x:c>
      <x:c r="K155" s="17" t="n">
        <x:f>IF(AND($A155&gt;='Control Room'!$A$13,$A155&lt;'Control Room'!$A$13+'Control Room'!$B$13,'Process'!BL2=1),1+('Control Room'!$C$13-1)*EXP(-0.5*(($A155-'Control Room'!$A$13-('Control Room'!$B$13-1)/2)/MAX(0.5,'Control Room'!$B$13/4))^2),1)*IF(AND($A155&gt;='Control Room'!$A$14,$A155&lt;'Control Room'!$A$14+'Control Room'!$B$14,'Process'!BL3=1),1+('Control Room'!$C$14-1)*EXP(-0.5*(($A155-'Control Room'!$A$14-('Control Room'!$B$14-1)/2)/MAX(0.5,'Control Room'!$B$14/4))^2),1)*IF(AND($A155&gt;='Control Room'!$A$15,$A155&lt;'Control Room'!$A$15+'Control Room'!$B$15,'Process'!BL4=1),1+('Control Room'!$C$15-1)*EXP(-0.5*(($A155-'Control Room'!$A$15-('Control Room'!$B$15-1)/2)/MAX(0.5,'Control Room'!$B$15/4))^2),1)*IF(AND($A155&gt;='Control Room'!$A$16,$A155&lt;'Control Room'!$A$16+'Control Room'!$B$16,'Process'!BL5=1),1+('Control Room'!$C$16-1)*EXP(-0.5*(($A155-'Control Room'!$A$16-('Control Room'!$B$16-1)/2)/MAX(0.5,'Control Room'!$B$16/4))^2),1)</x:f>
        <x:v>1</x:v>
      </x:c>
      <x:c r="L155" s="9" t="n">
        <x:f>MOD(M154*16807,2147483647)</x:f>
        <x:v>879111926</x:v>
      </x:c>
      <x:c r="M155" s="9" t="n">
        <x:f>MOD(L155*16807,2147483647)</x:f>
        <x:v>546648922</x:v>
      </x:c>
      <x:c r="N155" s="17" t="n">
        <x:f>IF('Control Room'!$B$5="Normal",'Control Room'!$B$7+'Control Room'!$D$7*SQRT(-2*LN(MAX(0.000000000001,L155/2147483647)))*COS(2*PI()*M155/2147483647),'Control Room'!$B$8+('Control Room'!$D$8-'Control Room'!$B$8)*L155/2147483647)</x:f>
        <x:v>996.5592075268593</x:v>
      </x:c>
      <x:c r="O155" s="17" t="n">
        <x:f>IF('Control Room'!$B$5="Normal",'Control Room'!$B$7,('Control Room'!$B$8+'Control Room'!$D$8)/2)+'Control Room'!$B$9*(O154-IF('Control Room'!$B$5="Normal",'Control Room'!$B$7,('Control Room'!$B$8+'Control Room'!$D$8)/2))+SQRT(1-'Control Room'!$B$9^2)*(N155-IF('Control Room'!$B$5="Normal",'Control Room'!$B$7,('Control Room'!$B$8+'Control Room'!$D$8)/2))</x:f>
        <x:v>1055.4603876803646</x:v>
      </x:c>
      <x:c r="P155" s="17" t="n">
        <x:f>IF(AND($A155&gt;='Control Room'!$A$13,$A155&lt;'Control Room'!$A$13+'Control Room'!$B$13,'Process'!BM2=1),1+('Control Room'!$C$13-1)*EXP(-0.5*(($A155-'Control Room'!$A$13-('Control Room'!$B$13-1)/2)/MAX(0.5,'Control Room'!$B$13/4))^2),1)*IF(AND($A155&gt;='Control Room'!$A$14,$A155&lt;'Control Room'!$A$14+'Control Room'!$B$14,'Process'!BM3=1),1+('Control Room'!$C$14-1)*EXP(-0.5*(($A155-'Control Room'!$A$14-('Control Room'!$B$14-1)/2)/MAX(0.5,'Control Room'!$B$14/4))^2),1)*IF(AND($A155&gt;='Control Room'!$A$15,$A155&lt;'Control Room'!$A$15+'Control Room'!$B$15,'Process'!BM4=1),1+('Control Room'!$C$15-1)*EXP(-0.5*(($A155-'Control Room'!$A$15-('Control Room'!$B$15-1)/2)/MAX(0.5,'Control Room'!$B$15/4))^2),1)*IF(AND($A155&gt;='Control Room'!$A$16,$A155&lt;'Control Room'!$A$16+'Control Room'!$B$16,'Process'!BM5=1),1+('Control Room'!$C$16-1)*EXP(-0.5*(($A155-'Control Room'!$A$16-('Control Room'!$B$16-1)/2)/MAX(0.5,'Control Room'!$B$16/4))^2),1)</x:f>
        <x:v>1</x:v>
      </x:c>
      <x:c r="Q155" s="9" t="n">
        <x:f>MOD(R154*16807,2147483647)</x:f>
        <x:v>1505492878</x:v>
      </x:c>
      <x:c r="R155" s="9" t="n">
        <x:f>MOD(Q155*16807,2147483647)</x:f>
        <x:v>1166471592</x:v>
      </x:c>
      <x:c r="S155" s="17" t="n">
        <x:f>IF('Control Room'!$B$5="Normal",'Control Room'!$B$7+'Control Room'!$D$7*SQRT(-2*LN(MAX(0.000000000001,Q155/2147483647)))*COS(2*PI()*R155/2147483647),'Control Room'!$B$8+('Control Room'!$D$8-'Control Room'!$B$8)*Q155/2147483647)</x:f>
        <x:v>926.9205504486481</x:v>
      </x:c>
      <x:c r="T155" s="17" t="n">
        <x:f>IF('Control Room'!$B$5="Normal",'Control Room'!$B$7,('Control Room'!$B$8+'Control Room'!$D$8)/2)+'Control Room'!$B$9*(T154-IF('Control Room'!$B$5="Normal",'Control Room'!$B$7,('Control Room'!$B$8+'Control Room'!$D$8)/2))+SQRT(1-'Control Room'!$B$9^2)*(S155-IF('Control Room'!$B$5="Normal",'Control Room'!$B$7,('Control Room'!$B$8+'Control Room'!$D$8)/2))</x:f>
        <x:v>821.084791367914</x:v>
      </x:c>
      <x:c r="U155" s="17" t="n">
        <x:f>IF(AND($A155&gt;='Control Room'!$A$13,$A155&lt;'Control Room'!$A$13+'Control Room'!$B$13,'Process'!BN2=1),1+('Control Room'!$C$13-1)*EXP(-0.5*(($A155-'Control Room'!$A$13-('Control Room'!$B$13-1)/2)/MAX(0.5,'Control Room'!$B$13/4))^2),1)*IF(AND($A155&gt;='Control Room'!$A$14,$A155&lt;'Control Room'!$A$14+'Control Room'!$B$14,'Process'!BN3=1),1+('Control Room'!$C$14-1)*EXP(-0.5*(($A155-'Control Room'!$A$14-('Control Room'!$B$14-1)/2)/MAX(0.5,'Control Room'!$B$14/4))^2),1)*IF(AND($A155&gt;='Control Room'!$A$15,$A155&lt;'Control Room'!$A$15+'Control Room'!$B$15,'Process'!BN4=1),1+('Control Room'!$C$15-1)*EXP(-0.5*(($A155-'Control Room'!$A$15-('Control Room'!$B$15-1)/2)/MAX(0.5,'Control Room'!$B$15/4))^2),1)*IF(AND($A155&gt;='Control Room'!$A$16,$A155&lt;'Control Room'!$A$16+'Control Room'!$B$16,'Process'!BN5=1),1+('Control Room'!$C$16-1)*EXP(-0.5*(($A155-'Control Room'!$A$16-('Control Room'!$B$16-1)/2)/MAX(0.5,'Control Room'!$B$16/4))^2),1)</x:f>
        <x:v>1</x:v>
      </x:c>
      <x:c r="V155" s="9" t="n">
        <x:f>MOD(W154*16807,2147483647)</x:f>
        <x:v>2131873830</x:v>
      </x:c>
      <x:c r="W155" s="9" t="n">
        <x:f>MOD(V155*16807,2147483647)</x:f>
        <x:v>1786294262</x:v>
      </x:c>
      <x:c r="X155" s="17" t="n">
        <x:f>IF('Control Room'!$B$5="Normal",'Control Room'!$B$7+'Control Room'!$D$7*SQRT(-2*LN(MAX(0.000000000001,V155/2147483647)))*COS(2*PI()*W155/2147483647),'Control Room'!$B$8+('Control Room'!$D$8-'Control Room'!$B$8)*V155/2147483647)</x:f>
        <x:v>1005.3451954717491</x:v>
      </x:c>
      <x:c r="Y155" s="17" t="n">
        <x:f>IF('Control Room'!$B$5="Normal",'Control Room'!$B$7,('Control Room'!$B$8+'Control Room'!$D$8)/2)+'Control Room'!$B$9*(Y154-IF('Control Room'!$B$5="Normal",'Control Room'!$B$7,('Control Room'!$B$8+'Control Room'!$D$8)/2))+SQRT(1-'Control Room'!$B$9^2)*(X155-IF('Control Room'!$B$5="Normal",'Control Room'!$B$7,('Control Room'!$B$8+'Control Room'!$D$8)/2))</x:f>
        <x:v>1102.17429668444</x:v>
      </x:c>
      <x:c r="Z155" s="17" t="n">
        <x:f>IF(AND($A155&gt;='Control Room'!$A$13,$A155&lt;'Control Room'!$A$13+'Control Room'!$B$13,'Process'!BO2=1),1+('Control Room'!$C$13-1)*EXP(-0.5*(($A155-'Control Room'!$A$13-('Control Room'!$B$13-1)/2)/MAX(0.5,'Control Room'!$B$13/4))^2),1)*IF(AND($A155&gt;='Control Room'!$A$14,$A155&lt;'Control Room'!$A$14+'Control Room'!$B$14,'Process'!BO3=1),1+('Control Room'!$C$14-1)*EXP(-0.5*(($A155-'Control Room'!$A$14-('Control Room'!$B$14-1)/2)/MAX(0.5,'Control Room'!$B$14/4))^2),1)*IF(AND($A155&gt;='Control Room'!$A$15,$A155&lt;'Control Room'!$A$15+'Control Room'!$B$15,'Process'!BO4=1),1+('Control Room'!$C$15-1)*EXP(-0.5*(($A155-'Control Room'!$A$15-('Control Room'!$B$15-1)/2)/MAX(0.5,'Control Room'!$B$15/4))^2),1)*IF(AND($A155&gt;='Control Room'!$A$16,$A155&lt;'Control Room'!$A$16+'Control Room'!$B$16,'Process'!BO5=1),1+('Control Room'!$C$16-1)*EXP(-0.5*(($A155-'Control Room'!$A$16-('Control Room'!$B$16-1)/2)/MAX(0.5,'Control Room'!$B$16/4))^2),1)</x:f>
        <x:v>1</x:v>
      </x:c>
      <x:c r="AA155" s="9" t="n">
        <x:f>MOD(AB154*16807,2147483647)</x:f>
        <x:v>610771135</x:v>
      </x:c>
      <x:c r="AB155" s="9" t="n">
        <x:f>MOD(AA155*16807,2147483647)</x:f>
        <x:v>258633285</x:v>
      </x:c>
      <x:c r="AC155" s="17" t="n">
        <x:f>IF('Control Room'!$B$5="Normal",'Control Room'!$B$7+'Control Room'!$D$7*SQRT(-2*LN(MAX(0.000000000001,AA155/2147483647)))*COS(2*PI()*AB155/2147483647),'Control Room'!$B$8+('Control Room'!$D$8-'Control Room'!$B$8)*AA155/2147483647)</x:f>
        <x:v>1103.7700185782924</x:v>
      </x:c>
      <x:c r="AD155" s="17" t="n">
        <x:f>IF('Control Room'!$B$5="Normal",'Control Room'!$B$7,('Control Room'!$B$8+'Control Room'!$D$8)/2)+'Control Room'!$B$9*(AD154-IF('Control Room'!$B$5="Normal",'Control Room'!$B$7,('Control Room'!$B$8+'Control Room'!$D$8)/2))+SQRT(1-'Control Room'!$B$9^2)*(AC155-IF('Control Room'!$B$5="Normal",'Control Room'!$B$7,('Control Room'!$B$8+'Control Room'!$D$8)/2))</x:f>
        <x:v>1120.4944897126352</x:v>
      </x:c>
      <x:c r="AE155" s="17" t="n">
        <x:f>IF(AND($A155&gt;='Control Room'!$A$13,$A155&lt;'Control Room'!$A$13+'Control Room'!$B$13,'Process'!BP2=1),1+('Control Room'!$C$13-1)*EXP(-0.5*(($A155-'Control Room'!$A$13-('Control Room'!$B$13-1)/2)/MAX(0.5,'Control Room'!$B$13/4))^2),1)*IF(AND($A155&gt;='Control Room'!$A$14,$A155&lt;'Control Room'!$A$14+'Control Room'!$B$14,'Process'!BP3=1),1+('Control Room'!$C$14-1)*EXP(-0.5*(($A155-'Control Room'!$A$14-('Control Room'!$B$14-1)/2)/MAX(0.5,'Control Room'!$B$14/4))^2),1)*IF(AND($A155&gt;='Control Room'!$A$15,$A155&lt;'Control Room'!$A$15+'Control Room'!$B$15,'Process'!BP4=1),1+('Control Room'!$C$15-1)*EXP(-0.5*(($A155-'Control Room'!$A$15-('Control Room'!$B$15-1)/2)/MAX(0.5,'Control Room'!$B$15/4))^2),1)*IF(AND($A155&gt;='Control Room'!$A$16,$A155&lt;'Control Room'!$A$16+'Control Room'!$B$16,'Process'!BP5=1),1+('Control Room'!$C$16-1)*EXP(-0.5*(($A155-'Control Room'!$A$16-('Control Room'!$B$16-1)/2)/MAX(0.5,'Control Room'!$B$16/4))^2),1)</x:f>
        <x:v>1</x:v>
      </x:c>
      <x:c r="AF155" s="9" t="n">
        <x:f>MOD(AG154*16807,2147483647)</x:f>
        <x:v>1237152087</x:v>
      </x:c>
      <x:c r="AG155" s="9" t="n">
        <x:f>MOD(AF155*16807,2147483647)</x:f>
        <x:v>878455955</x:v>
      </x:c>
      <x:c r="AH155" s="17" t="n">
        <x:f>IF('Control Room'!$B$5="Normal",'Control Room'!$B$7+'Control Room'!$D$7*SQRT(-2*LN(MAX(0.000000000001,AF155/2147483647)))*COS(2*PI()*AG155/2147483647),'Control Room'!$B$8+('Control Room'!$D$8-'Control Room'!$B$8)*AF155/2147483647)</x:f>
        <x:v>920.4936018838968</x:v>
      </x:c>
      <x:c r="AI155" s="17" t="n">
        <x:f>IF('Control Room'!$B$5="Normal",'Control Room'!$B$7,('Control Room'!$B$8+'Control Room'!$D$8)/2)+'Control Room'!$B$9*(AI154-IF('Control Room'!$B$5="Normal",'Control Room'!$B$7,('Control Room'!$B$8+'Control Room'!$D$8)/2))+SQRT(1-'Control Room'!$B$9^2)*(AH155-IF('Control Room'!$B$5="Normal",'Control Room'!$B$7,('Control Room'!$B$8+'Control Room'!$D$8)/2))</x:f>
        <x:v>936.8101713813319</x:v>
      </x:c>
      <x:c r="AJ155" s="17" t="n">
        <x:f>IF(AND($A155&gt;='Control Room'!$A$13,$A155&lt;'Control Room'!$A$13+'Control Room'!$B$13,'Process'!BQ2=1),1+('Control Room'!$C$13-1)*EXP(-0.5*(($A155-'Control Room'!$A$13-('Control Room'!$B$13-1)/2)/MAX(0.5,'Control Room'!$B$13/4))^2),1)*IF(AND($A155&gt;='Control Room'!$A$14,$A155&lt;'Control Room'!$A$14+'Control Room'!$B$14,'Process'!BQ3=1),1+('Control Room'!$C$14-1)*EXP(-0.5*(($A155-'Control Room'!$A$14-('Control Room'!$B$14-1)/2)/MAX(0.5,'Control Room'!$B$14/4))^2),1)*IF(AND($A155&gt;='Control Room'!$A$15,$A155&lt;'Control Room'!$A$15+'Control Room'!$B$15,'Process'!BQ4=1),1+('Control Room'!$C$15-1)*EXP(-0.5*(($A155-'Control Room'!$A$15-('Control Room'!$B$15-1)/2)/MAX(0.5,'Control Room'!$B$15/4))^2),1)*IF(AND($A155&gt;='Control Room'!$A$16,$A155&lt;'Control Room'!$A$16+'Control Room'!$B$16,'Process'!BQ5=1),1+('Control Room'!$C$16-1)*EXP(-0.5*(($A155-'Control Room'!$A$16-('Control Room'!$B$16-1)/2)/MAX(0.5,'Control Room'!$B$16/4))^2),1)</x:f>
        <x:v>1</x:v>
      </x:c>
      <x:c r="AK155" s="9" t="n">
        <x:f>MOD(AL154*16807,2147483647)</x:f>
        <x:v>1863533039</x:v>
      </x:c>
      <x:c r="AL155" s="9" t="n">
        <x:f>MOD(AK155*16807,2147483647)</x:f>
        <x:v>1498278625</x:v>
      </x:c>
      <x:c r="AM155" s="17" t="n">
        <x:f>IF('Control Room'!$B$5="Normal",'Control Room'!$B$7+'Control Room'!$D$7*SQRT(-2*LN(MAX(0.000000000001,AK155/2147483647)))*COS(2*PI()*AL155/2147483647),'Control Room'!$B$8+('Control Room'!$D$8-'Control Room'!$B$8)*AK155/2147483647)</x:f>
        <x:v>984.5280723995301</x:v>
      </x:c>
      <x:c r="AN155" s="17" t="n">
        <x:f>IF('Control Room'!$B$5="Normal",'Control Room'!$B$7,('Control Room'!$B$8+'Control Room'!$D$8)/2)+'Control Room'!$B$9*(AN154-IF('Control Room'!$B$5="Normal",'Control Room'!$B$7,('Control Room'!$B$8+'Control Room'!$D$8)/2))+SQRT(1-'Control Room'!$B$9^2)*(AM155-IF('Control Room'!$B$5="Normal",'Control Room'!$B$7,('Control Room'!$B$8+'Control Room'!$D$8)/2))</x:f>
        <x:v>1056.6073036263674</x:v>
      </x:c>
      <x:c r="AO155" s="17" t="n">
        <x:f>IF(AND($A155&gt;='Control Room'!$A$13,$A155&lt;'Control Room'!$A$13+'Control Room'!$B$13,'Process'!BR2=1),1+('Control Room'!$C$13-1)*EXP(-0.5*(($A155-'Control Room'!$A$13-('Control Room'!$B$13-1)/2)/MAX(0.5,'Control Room'!$B$13/4))^2),1)*IF(AND($A155&gt;='Control Room'!$A$14,$A155&lt;'Control Room'!$A$14+'Control Room'!$B$14,'Process'!BR3=1),1+('Control Room'!$C$14-1)*EXP(-0.5*(($A155-'Control Room'!$A$14-('Control Room'!$B$14-1)/2)/MAX(0.5,'Control Room'!$B$14/4))^2),1)*IF(AND($A155&gt;='Control Room'!$A$15,$A155&lt;'Control Room'!$A$15+'Control Room'!$B$15,'Process'!BR4=1),1+('Control Room'!$C$15-1)*EXP(-0.5*(($A155-'Control Room'!$A$15-('Control Room'!$B$15-1)/2)/MAX(0.5,'Control Room'!$B$15/4))^2),1)*IF(AND($A155&gt;='Control Room'!$A$16,$A155&lt;'Control Room'!$A$16+'Control Room'!$B$16,'Process'!BR5=1),1+('Control Room'!$C$16-1)*EXP(-0.5*(($A155-'Control Room'!$A$16-('Control Room'!$B$16-1)/2)/MAX(0.5,'Control Room'!$B$16/4))^2),1)</x:f>
        <x:v>1</x:v>
      </x:c>
      <x:c r="AP155" s="9" t="n">
        <x:f>MOD(AQ154*16807,2147483647)</x:f>
        <x:v>342430344</x:v>
      </x:c>
      <x:c r="AQ155" s="9" t="n">
        <x:f>MOD(AP155*16807,2147483647)</x:f>
        <x:v>2118101295</x:v>
      </x:c>
      <x:c r="AR155" s="17" t="n">
        <x:f>IF('Control Room'!$B$5="Normal",'Control Room'!$B$7+'Control Room'!$D$7*SQRT(-2*LN(MAX(0.000000000001,AP155/2147483647)))*COS(2*PI()*AQ155/2147483647),'Control Room'!$B$8+('Control Room'!$D$8-'Control Room'!$B$8)*AP155/2147483647)</x:f>
        <x:v>1171.8245132276993</x:v>
      </x:c>
      <x:c r="AS155" s="17" t="n">
        <x:f>IF('Control Room'!$B$5="Normal",'Control Room'!$B$7,('Control Room'!$B$8+'Control Room'!$D$8)/2)+'Control Room'!$B$9*(AS154-IF('Control Room'!$B$5="Normal",'Control Room'!$B$7,('Control Room'!$B$8+'Control Room'!$D$8)/2))+SQRT(1-'Control Room'!$B$9^2)*(AR155-IF('Control Room'!$B$5="Normal",'Control Room'!$B$7,('Control Room'!$B$8+'Control Room'!$D$8)/2))</x:f>
        <x:v>1176.560464155988</x:v>
      </x:c>
      <x:c r="AT155" s="17" t="n">
        <x:f>IF(AND($A155&gt;='Control Room'!$A$13,$A155&lt;'Control Room'!$A$13+'Control Room'!$B$13,'Process'!BS2=1),1+('Control Room'!$C$13-1)*EXP(-0.5*(($A155-'Control Room'!$A$13-('Control Room'!$B$13-1)/2)/MAX(0.5,'Control Room'!$B$13/4))^2),1)*IF(AND($A155&gt;='Control Room'!$A$14,$A155&lt;'Control Room'!$A$14+'Control Room'!$B$14,'Process'!BS3=1),1+('Control Room'!$C$14-1)*EXP(-0.5*(($A155-'Control Room'!$A$14-('Control Room'!$B$14-1)/2)/MAX(0.5,'Control Room'!$B$14/4))^2),1)*IF(AND($A155&gt;='Control Room'!$A$15,$A155&lt;'Control Room'!$A$15+'Control Room'!$B$15,'Process'!BS4=1),1+('Control Room'!$C$15-1)*EXP(-0.5*(($A155-'Control Room'!$A$15-('Control Room'!$B$15-1)/2)/MAX(0.5,'Control Room'!$B$15/4))^2),1)*IF(AND($A155&gt;='Control Room'!$A$16,$A155&lt;'Control Room'!$A$16+'Control Room'!$B$16,'Process'!BS5=1),1+('Control Room'!$C$16-1)*EXP(-0.5*(($A155-'Control Room'!$A$16-('Control Room'!$B$16-1)/2)/MAX(0.5,'Control Room'!$B$16/4))^2),1)</x:f>
        <x:v>1</x:v>
      </x:c>
      <x:c r="AU155" s="9" t="n">
        <x:f>MOD(AV154*16807,2147483647)</x:f>
        <x:v>968811296</x:v>
      </x:c>
      <x:c r="AV155" s="9" t="n">
        <x:f>MOD(AU155*16807,2147483647)</x:f>
        <x:v>590440318</x:v>
      </x:c>
      <x:c r="AW155" s="17" t="n">
        <x:f>IF('Control Room'!$B$5="Normal",'Control Room'!$B$7+'Control Room'!$D$7*SQRT(-2*LN(MAX(0.000000000001,AU155/2147483647)))*COS(2*PI()*AV155/2147483647),'Control Room'!$B$8+('Control Room'!$D$8-'Control Room'!$B$8)*AU155/2147483647)</x:f>
        <x:v>982.2745848377805</x:v>
      </x:c>
      <x:c r="AX155" s="17" t="n">
        <x:f>IF('Control Room'!$B$5="Normal",'Control Room'!$B$7,('Control Room'!$B$8+'Control Room'!$D$8)/2)+'Control Room'!$B$9*(AX154-IF('Control Room'!$B$5="Normal",'Control Room'!$B$7,('Control Room'!$B$8+'Control Room'!$D$8)/2))+SQRT(1-'Control Room'!$B$9^2)*(AW155-IF('Control Room'!$B$5="Normal",'Control Room'!$B$7,('Control Room'!$B$8+'Control Room'!$D$8)/2))</x:f>
        <x:v>878.8754694067795</x:v>
      </x:c>
      <x:c r="AY155" s="17" t="n">
        <x:f>IF(AND($A155&gt;='Control Room'!$A$13,$A155&lt;'Control Room'!$A$13+'Control Room'!$B$13,'Process'!BT2=1),1+('Control Room'!$C$13-1)*EXP(-0.5*(($A155-'Control Room'!$A$13-('Control Room'!$B$13-1)/2)/MAX(0.5,'Control Room'!$B$13/4))^2),1)*IF(AND($A155&gt;='Control Room'!$A$14,$A155&lt;'Control Room'!$A$14+'Control Room'!$B$14,'Process'!BT3=1),1+('Control Room'!$C$14-1)*EXP(-0.5*(($A155-'Control Room'!$A$14-('Control Room'!$B$14-1)/2)/MAX(0.5,'Control Room'!$B$14/4))^2),1)*IF(AND($A155&gt;='Control Room'!$A$15,$A155&lt;'Control Room'!$A$15+'Control Room'!$B$15,'Process'!BT4=1),1+('Control Room'!$C$15-1)*EXP(-0.5*(($A155-'Control Room'!$A$15-('Control Room'!$B$15-1)/2)/MAX(0.5,'Control Room'!$B$15/4))^2),1)*IF(AND($A155&gt;='Control Room'!$A$16,$A155&lt;'Control Room'!$A$16+'Control Room'!$B$16,'Process'!BT5=1),1+('Control Room'!$C$16-1)*EXP(-0.5*(($A155-'Control Room'!$A$16-('Control Room'!$B$16-1)/2)/MAX(0.5,'Control Room'!$B$16/4))^2),1)</x:f>
        <x:v>1</x:v>
      </x:c>
      <x:c r="AZ155" s="9" t="n">
        <x:f>MOD(BA154*16807,2147483647)</x:f>
        <x:v>1595192248</x:v>
      </x:c>
      <x:c r="BA155" s="9" t="n">
        <x:f>MOD(AZ155*16807,2147483647)</x:f>
        <x:v>1210262988</x:v>
      </x:c>
      <x:c r="BB155" s="17" t="n">
        <x:f>IF('Control Room'!$B$5="Normal",'Control Room'!$B$7+'Control Room'!$D$7*SQRT(-2*LN(MAX(0.000000000001,AZ155/2147483647)))*COS(2*PI()*BA155/2147483647),'Control Room'!$B$8+('Control Room'!$D$8-'Control Room'!$B$8)*AZ155/2147483647)</x:f>
        <x:v>936.0635988158162</x:v>
      </x:c>
      <x:c r="BC155" s="17" t="n">
        <x:f>IF('Control Room'!$B$5="Normal",'Control Room'!$B$7,('Control Room'!$B$8+'Control Room'!$D$8)/2)+'Control Room'!$B$9*(BC154-IF('Control Room'!$B$5="Normal",'Control Room'!$B$7,('Control Room'!$B$8+'Control Room'!$D$8)/2))+SQRT(1-'Control Room'!$B$9^2)*(BB155-IF('Control Room'!$B$5="Normal",'Control Room'!$B$7,('Control Room'!$B$8+'Control Room'!$D$8)/2))</x:f>
        <x:v>1085.1352113225857</x:v>
      </x:c>
      <x:c r="BD155" s="17" t="n">
        <x:f>IF(AND($A155&gt;='Control Room'!$A$13,$A155&lt;'Control Room'!$A$13+'Control Room'!$B$13,'Process'!BU2=1),1+('Control Room'!$C$13-1)*EXP(-0.5*(($A155-'Control Room'!$A$13-('Control Room'!$B$13-1)/2)/MAX(0.5,'Control Room'!$B$13/4))^2),1)*IF(AND($A155&gt;='Control Room'!$A$14,$A155&lt;'Control Room'!$A$14+'Control Room'!$B$14,'Process'!BU3=1),1+('Control Room'!$C$14-1)*EXP(-0.5*(($A155-'Control Room'!$A$14-('Control Room'!$B$14-1)/2)/MAX(0.5,'Control Room'!$B$14/4))^2),1)*IF(AND($A155&gt;='Control Room'!$A$15,$A155&lt;'Control Room'!$A$15+'Control Room'!$B$15,'Process'!BU4=1),1+('Control Room'!$C$15-1)*EXP(-0.5*(($A155-'Control Room'!$A$15-('Control Room'!$B$15-1)/2)/MAX(0.5,'Control Room'!$B$15/4))^2),1)*IF(AND($A155&gt;='Control Room'!$A$16,$A155&lt;'Control Room'!$A$16+'Control Room'!$B$16,'Process'!BU5=1),1+('Control Room'!$C$16-1)*EXP(-0.5*(($A155-'Control Room'!$A$16-('Control Room'!$B$16-1)/2)/MAX(0.5,'Control Room'!$B$16/4))^2),1)</x:f>
        <x:v>1</x:v>
      </x:c>
      <x:c r="BE155" s="9" t="n">
        <x:f>MOD(BF154*16807,2147483647)</x:f>
        <x:v>74089553</x:v>
      </x:c>
      <x:c r="BF155" s="9" t="n">
        <x:f>MOD(BE155*16807,2147483647)</x:f>
        <x:v>1830085658</x:v>
      </x:c>
      <x:c r="BG155" s="17" t="n">
        <x:f>IF('Control Room'!$B$5="Normal",'Control Room'!$B$7+'Control Room'!$D$7*SQRT(-2*LN(MAX(0.000000000001,BE155/2147483647)))*COS(2*PI()*BF155/2147483647),'Control Room'!$B$8+('Control Room'!$D$8-'Control Room'!$B$8)*BE155/2147483647)</x:f>
        <x:v>1139.8710185323027</x:v>
      </x:c>
      <x:c r="BH155" s="17" t="n">
        <x:f>IF('Control Room'!$B$5="Normal",'Control Room'!$B$7,('Control Room'!$B$8+'Control Room'!$D$8)/2)+'Control Room'!$B$9*(BH154-IF('Control Room'!$B$5="Normal",'Control Room'!$B$7,('Control Room'!$B$8+'Control Room'!$D$8)/2))+SQRT(1-'Control Room'!$B$9^2)*(BG155-IF('Control Room'!$B$5="Normal",'Control Room'!$B$7,('Control Room'!$B$8+'Control Room'!$D$8)/2))</x:f>
        <x:v>1125.2341307783443</x:v>
      </x:c>
      <x:c r="BI155" s="17" t="n">
        <x:f>IF(AND($A155&gt;='Control Room'!$A$13,$A155&lt;'Control Room'!$A$13+'Control Room'!$B$13,'Process'!BV2=1),1+('Control Room'!$C$13-1)*EXP(-0.5*(($A155-'Control Room'!$A$13-('Control Room'!$B$13-1)/2)/MAX(0.5,'Control Room'!$B$13/4))^2),1)*IF(AND($A155&gt;='Control Room'!$A$14,$A155&lt;'Control Room'!$A$14+'Control Room'!$B$14,'Process'!BV3=1),1+('Control Room'!$C$14-1)*EXP(-0.5*(($A155-'Control Room'!$A$14-('Control Room'!$B$14-1)/2)/MAX(0.5,'Control Room'!$B$14/4))^2),1)*IF(AND($A155&gt;='Control Room'!$A$15,$A155&lt;'Control Room'!$A$15+'Control Room'!$B$15,'Process'!BV4=1),1+('Control Room'!$C$15-1)*EXP(-0.5*(($A155-'Control Room'!$A$15-('Control Room'!$B$15-1)/2)/MAX(0.5,'Control Room'!$B$15/4))^2),1)*IF(AND($A155&gt;='Control Room'!$A$16,$A155&lt;'Control Room'!$A$16+'Control Room'!$B$16,'Process'!BV5=1),1+('Control Room'!$C$16-1)*EXP(-0.5*(($A155-'Control Room'!$A$16-('Control Room'!$B$16-1)/2)/MAX(0.5,'Control Room'!$B$16/4))^2),1)</x:f>
        <x:v>1</x:v>
      </x:c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Z155" t="str">
        <x:f>IF('Data'!A155="","",TEXT('Data'!A155,"mm-dd"))</x:f>
      </x:c>
    </x:row>
    <x:row r="156" ht="21" customHeight="1">
      <x:c r="A156" s="15" t="n">
        <x:f>'Control Room'!$B$1+154</x:f>
        <x:v>73145</x:v>
      </x:c>
      <x:c r="B156" s="9" t="n">
        <x:f>MOD(C155*16807,2147483647)</x:f>
        <x:v>760504002</x:v>
      </x:c>
      <x:c r="C156" s="9" t="n">
        <x:f>MOD(B156*16807,2147483647)</x:f>
        <x:v>2115578317</x:v>
      </x:c>
      <x:c r="D156" s="17" t="n">
        <x:f>IF('Control Room'!$B$5="Normal",'Control Room'!$B$7+'Control Room'!$D$7*SQRT(-2*LN(MAX(0.000000000001,B156/2147483647)))*COS(2*PI()*C156/2147483647),'Control Room'!$B$8+('Control Room'!$D$8-'Control Room'!$B$8)*B156/2147483647)</x:f>
        <x:v>1129.114777698151</x:v>
      </x:c>
      <x:c r="E156" s="17" t="n">
        <x:f>IF('Control Room'!$B$5="Normal",'Control Room'!$B$7,('Control Room'!$B$8+'Control Room'!$D$8)/2)+'Control Room'!$B$9*(E155-IF('Control Room'!$B$5="Normal",'Control Room'!$B$7,('Control Room'!$B$8+'Control Room'!$D$8)/2))+SQRT(1-'Control Room'!$B$9^2)*(D156-IF('Control Room'!$B$5="Normal",'Control Room'!$B$7,('Control Room'!$B$8+'Control Room'!$D$8)/2))</x:f>
        <x:v>1094.831286192416</x:v>
      </x:c>
      <x:c r="F156" s="17" t="n">
        <x:f>IF(AND($A156&gt;='Control Room'!$A$13,$A156&lt;'Control Room'!$A$13+'Control Room'!$B$13,'Process'!BK2=1),1+('Control Room'!$C$13-1)*EXP(-0.5*(($A156-'Control Room'!$A$13-('Control Room'!$B$13-1)/2)/MAX(0.5,'Control Room'!$B$13/4))^2),1)*IF(AND($A156&gt;='Control Room'!$A$14,$A156&lt;'Control Room'!$A$14+'Control Room'!$B$14,'Process'!BK3=1),1+('Control Room'!$C$14-1)*EXP(-0.5*(($A156-'Control Room'!$A$14-('Control Room'!$B$14-1)/2)/MAX(0.5,'Control Room'!$B$14/4))^2),1)*IF(AND($A156&gt;='Control Room'!$A$15,$A156&lt;'Control Room'!$A$15+'Control Room'!$B$15,'Process'!BK4=1),1+('Control Room'!$C$15-1)*EXP(-0.5*(($A156-'Control Room'!$A$15-('Control Room'!$B$15-1)/2)/MAX(0.5,'Control Room'!$B$15/4))^2),1)*IF(AND($A156&gt;='Control Room'!$A$16,$A156&lt;'Control Room'!$A$16+'Control Room'!$B$16,'Process'!BK5=1),1+('Control Room'!$C$16-1)*EXP(-0.5*(($A156-'Control Room'!$A$16-('Control Room'!$B$16-1)/2)/MAX(0.5,'Control Room'!$B$16/4))^2),1)</x:f>
        <x:v>1</x:v>
      </x:c>
      <x:c r="G156" s="9" t="n">
        <x:f>MOD(H155*16807,2147483647)</x:f>
        <x:v>676947095</x:v>
      </x:c>
      <x:c r="H156" s="9" t="n">
        <x:f>MOD(G156*16807,2147483647)</x:f>
        <x:v>81463859</x:v>
      </x:c>
      <x:c r="I156" s="17" t="n">
        <x:f>IF('Control Room'!$B$5="Normal",'Control Room'!$B$7+'Control Room'!$D$7*SQRT(-2*LN(MAX(0.000000000001,G156/2147483647)))*COS(2*PI()*H156/2147483647),'Control Room'!$B$8+('Control Room'!$D$8-'Control Room'!$B$8)*G156/2147483647)</x:f>
        <x:v>1132.8898650601602</x:v>
      </x:c>
      <x:c r="J156" s="17" t="n">
        <x:f>IF('Control Room'!$B$5="Normal",'Control Room'!$B$7,('Control Room'!$B$8+'Control Room'!$D$8)/2)+'Control Room'!$B$9*(J155-IF('Control Room'!$B$5="Normal",'Control Room'!$B$7,('Control Room'!$B$8+'Control Room'!$D$8)/2))+SQRT(1-'Control Room'!$B$9^2)*(I156-IF('Control Room'!$B$5="Normal",'Control Room'!$B$7,('Control Room'!$B$8+'Control Room'!$D$8)/2))</x:f>
        <x:v>1133.2541277666048</x:v>
      </x:c>
      <x:c r="K156" s="17" t="n">
        <x:f>IF(AND($A156&gt;='Control Room'!$A$13,$A156&lt;'Control Room'!$A$13+'Control Room'!$B$13,'Process'!BL2=1),1+('Control Room'!$C$13-1)*EXP(-0.5*(($A156-'Control Room'!$A$13-('Control Room'!$B$13-1)/2)/MAX(0.5,'Control Room'!$B$13/4))^2),1)*IF(AND($A156&gt;='Control Room'!$A$14,$A156&lt;'Control Room'!$A$14+'Control Room'!$B$14,'Process'!BL3=1),1+('Control Room'!$C$14-1)*EXP(-0.5*(($A156-'Control Room'!$A$14-('Control Room'!$B$14-1)/2)/MAX(0.5,'Control Room'!$B$14/4))^2),1)*IF(AND($A156&gt;='Control Room'!$A$15,$A156&lt;'Control Room'!$A$15+'Control Room'!$B$15,'Process'!BL4=1),1+('Control Room'!$C$15-1)*EXP(-0.5*(($A156-'Control Room'!$A$15-('Control Room'!$B$15-1)/2)/MAX(0.5,'Control Room'!$B$15/4))^2),1)*IF(AND($A156&gt;='Control Room'!$A$16,$A156&lt;'Control Room'!$A$16+'Control Room'!$B$16,'Process'!BL5=1),1+('Control Room'!$C$16-1)*EXP(-0.5*(($A156-'Control Room'!$A$16-('Control Room'!$B$16-1)/2)/MAX(0.5,'Control Room'!$B$16/4))^2),1)</x:f>
        <x:v>1</x:v>
      </x:c>
      <x:c r="L156" s="9" t="n">
        <x:f>MOD(M155*16807,2147483647)</x:f>
        <x:v>593390188</x:v>
      </x:c>
      <x:c r="M156" s="9" t="n">
        <x:f>MOD(L156*16807,2147483647)</x:f>
        <x:v>194833048</x:v>
      </x:c>
      <x:c r="N156" s="17" t="n">
        <x:f>IF('Control Room'!$B$5="Normal",'Control Room'!$B$7+'Control Room'!$D$7*SQRT(-2*LN(MAX(0.000000000001,L156/2147483647)))*COS(2*PI()*M156/2147483647),'Control Room'!$B$8+('Control Room'!$D$8-'Control Room'!$B$8)*L156/2147483647)</x:f>
        <x:v>1121.5231304424242</x:v>
      </x:c>
      <x:c r="O156" s="17" t="n">
        <x:f>IF('Control Room'!$B$5="Normal",'Control Room'!$B$7,('Control Room'!$B$8+'Control Room'!$D$8)/2)+'Control Room'!$B$9*(O155-IF('Control Room'!$B$5="Normal",'Control Room'!$B$7,('Control Room'!$B$8+'Control Room'!$D$8)/2))+SQRT(1-'Control Room'!$B$9^2)*(N156-IF('Control Room'!$B$5="Normal",'Control Room'!$B$7,('Control Room'!$B$8+'Control Room'!$D$8)/2))</x:f>
        <x:v>1119.3057878849079</x:v>
      </x:c>
      <x:c r="P156" s="17" t="n">
        <x:f>IF(AND($A156&gt;='Control Room'!$A$13,$A156&lt;'Control Room'!$A$13+'Control Room'!$B$13,'Process'!BM2=1),1+('Control Room'!$C$13-1)*EXP(-0.5*(($A156-'Control Room'!$A$13-('Control Room'!$B$13-1)/2)/MAX(0.5,'Control Room'!$B$13/4))^2),1)*IF(AND($A156&gt;='Control Room'!$A$14,$A156&lt;'Control Room'!$A$14+'Control Room'!$B$14,'Process'!BM3=1),1+('Control Room'!$C$14-1)*EXP(-0.5*(($A156-'Control Room'!$A$14-('Control Room'!$B$14-1)/2)/MAX(0.5,'Control Room'!$B$14/4))^2),1)*IF(AND($A156&gt;='Control Room'!$A$15,$A156&lt;'Control Room'!$A$15+'Control Room'!$B$15,'Process'!BM4=1),1+('Control Room'!$C$15-1)*EXP(-0.5*(($A156-'Control Room'!$A$15-('Control Room'!$B$15-1)/2)/MAX(0.5,'Control Room'!$B$15/4))^2),1)*IF(AND($A156&gt;='Control Room'!$A$16,$A156&lt;'Control Room'!$A$16+'Control Room'!$B$16,'Process'!BM5=1),1+('Control Room'!$C$16-1)*EXP(-0.5*(($A156-'Control Room'!$A$16-('Control Room'!$B$16-1)/2)/MAX(0.5,'Control Room'!$B$16/4))^2),1)</x:f>
        <x:v>1</x:v>
      </x:c>
      <x:c r="Q156" s="9" t="n">
        <x:f>MOD(R155*16807,2147483647)</x:f>
        <x:v>509833281</x:v>
      </x:c>
      <x:c r="R156" s="9" t="n">
        <x:f>MOD(Q156*16807,2147483647)</x:f>
        <x:v>308202237</x:v>
      </x:c>
      <x:c r="S156" s="17" t="n">
        <x:f>IF('Control Room'!$B$5="Normal",'Control Room'!$B$7+'Control Room'!$D$7*SQRT(-2*LN(MAX(0.000000000001,Q156/2147483647)))*COS(2*PI()*R156/2147483647),'Control Room'!$B$8+('Control Room'!$D$8-'Control Room'!$B$8)*Q156/2147483647)</x:f>
        <x:v>1094.6653571212732</x:v>
      </x:c>
      <x:c r="T156" s="17" t="n">
        <x:f>IF('Control Room'!$B$5="Normal",'Control Room'!$B$7,('Control Room'!$B$8+'Control Room'!$D$8)/2)+'Control Room'!$B$9*(T155-IF('Control Room'!$B$5="Normal",'Control Room'!$B$7,('Control Room'!$B$8+'Control Room'!$D$8)/2))+SQRT(1-'Control Room'!$B$9^2)*(S156-IF('Control Room'!$B$5="Normal",'Control Room'!$B$7,('Control Room'!$B$8+'Control Room'!$D$8)/2))</x:f>
        <x:v>919.6857784282134</x:v>
      </x:c>
      <x:c r="U156" s="17" t="n">
        <x:f>IF(AND($A156&gt;='Control Room'!$A$13,$A156&lt;'Control Room'!$A$13+'Control Room'!$B$13,'Process'!BN2=1),1+('Control Room'!$C$13-1)*EXP(-0.5*(($A156-'Control Room'!$A$13-('Control Room'!$B$13-1)/2)/MAX(0.5,'Control Room'!$B$13/4))^2),1)*IF(AND($A156&gt;='Control Room'!$A$14,$A156&lt;'Control Room'!$A$14+'Control Room'!$B$14,'Process'!BN3=1),1+('Control Room'!$C$14-1)*EXP(-0.5*(($A156-'Control Room'!$A$14-('Control Room'!$B$14-1)/2)/MAX(0.5,'Control Room'!$B$14/4))^2),1)*IF(AND($A156&gt;='Control Room'!$A$15,$A156&lt;'Control Room'!$A$15+'Control Room'!$B$15,'Process'!BN4=1),1+('Control Room'!$C$15-1)*EXP(-0.5*(($A156-'Control Room'!$A$15-('Control Room'!$B$15-1)/2)/MAX(0.5,'Control Room'!$B$15/4))^2),1)*IF(AND($A156&gt;='Control Room'!$A$16,$A156&lt;'Control Room'!$A$16+'Control Room'!$B$16,'Process'!BN5=1),1+('Control Room'!$C$16-1)*EXP(-0.5*(($A156-'Control Room'!$A$16-('Control Room'!$B$16-1)/2)/MAX(0.5,'Control Room'!$B$16/4))^2),1)</x:f>
        <x:v>1</x:v>
      </x:c>
      <x:c r="V156" s="9" t="n">
        <x:f>MOD(W155*16807,2147483647)</x:f>
        <x:v>426276374</x:v>
      </x:c>
      <x:c r="W156" s="9" t="n">
        <x:f>MOD(V156*16807,2147483647)</x:f>
        <x:v>421571426</x:v>
      </x:c>
      <x:c r="X156" s="17" t="n">
        <x:f>IF('Control Room'!$B$5="Normal",'Control Room'!$B$7+'Control Room'!$D$7*SQRT(-2*LN(MAX(0.000000000001,V156/2147483647)))*COS(2*PI()*W156/2147483647),'Control Room'!$B$8+('Control Room'!$D$8-'Control Room'!$B$8)*V156/2147483647)</x:f>
        <x:v>1053.5693335456856</x:v>
      </x:c>
      <x:c r="Y156" s="17" t="n">
        <x:f>IF('Control Room'!$B$5="Normal",'Control Room'!$B$7,('Control Room'!$B$8+'Control Room'!$D$8)/2)+'Control Room'!$B$9*(Y155-IF('Control Room'!$B$5="Normal",'Control Room'!$B$7,('Control Room'!$B$8+'Control Room'!$D$8)/2))+SQRT(1-'Control Room'!$B$9^2)*(X156-IF('Control Room'!$B$5="Normal",'Control Room'!$B$7,('Control Room'!$B$8+'Control Room'!$D$8)/2))</x:f>
        <x:v>1113.218542919305</x:v>
      </x:c>
      <x:c r="Z156" s="17" t="n">
        <x:f>IF(AND($A156&gt;='Control Room'!$A$13,$A156&lt;'Control Room'!$A$13+'Control Room'!$B$13,'Process'!BO2=1),1+('Control Room'!$C$13-1)*EXP(-0.5*(($A156-'Control Room'!$A$13-('Control Room'!$B$13-1)/2)/MAX(0.5,'Control Room'!$B$13/4))^2),1)*IF(AND($A156&gt;='Control Room'!$A$14,$A156&lt;'Control Room'!$A$14+'Control Room'!$B$14,'Process'!BO3=1),1+('Control Room'!$C$14-1)*EXP(-0.5*(($A156-'Control Room'!$A$14-('Control Room'!$B$14-1)/2)/MAX(0.5,'Control Room'!$B$14/4))^2),1)*IF(AND($A156&gt;='Control Room'!$A$15,$A156&lt;'Control Room'!$A$15+'Control Room'!$B$15,'Process'!BO4=1),1+('Control Room'!$C$15-1)*EXP(-0.5*(($A156-'Control Room'!$A$15-('Control Room'!$B$15-1)/2)/MAX(0.5,'Control Room'!$B$15/4))^2),1)*IF(AND($A156&gt;='Control Room'!$A$16,$A156&lt;'Control Room'!$A$16+'Control Room'!$B$16,'Process'!BO5=1),1+('Control Room'!$C$16-1)*EXP(-0.5*(($A156-'Control Room'!$A$16-('Control Room'!$B$16-1)/2)/MAX(0.5,'Control Room'!$B$16/4))^2),1)</x:f>
        <x:v>1</x:v>
      </x:c>
      <x:c r="AA156" s="9" t="n">
        <x:f>MOD(AB155*16807,2147483647)</x:f>
        <x:v>342719467</x:v>
      </x:c>
      <x:c r="AB156" s="9" t="n">
        <x:f>MOD(AA156*16807,2147483647)</x:f>
        <x:v>534940615</x:v>
      </x:c>
      <x:c r="AC156" s="17" t="n">
        <x:f>IF('Control Room'!$B$5="Normal",'Control Room'!$B$7+'Control Room'!$D$7*SQRT(-2*LN(MAX(0.000000000001,AA156/2147483647)))*COS(2*PI()*AB156/2147483647),'Control Room'!$B$8+('Control Room'!$D$8-'Control Room'!$B$8)*AA156/2147483647)</x:f>
        <x:v>1000.9737867452756</x:v>
      </x:c>
      <x:c r="AD156" s="17" t="n">
        <x:f>IF('Control Room'!$B$5="Normal",'Control Room'!$B$7,('Control Room'!$B$8+'Control Room'!$D$8)/2)+'Control Room'!$B$9*(AD155-IF('Control Room'!$B$5="Normal",'Control Room'!$B$7,('Control Room'!$B$8+'Control Room'!$D$8)/2))+SQRT(1-'Control Room'!$B$9^2)*(AC156-IF('Control Room'!$B$5="Normal",'Control Room'!$B$7,('Control Room'!$B$8+'Control Room'!$D$8)/2))</x:f>
        <x:v>1094.595077771943</x:v>
      </x:c>
      <x:c r="AE156" s="17" t="n">
        <x:f>IF(AND($A156&gt;='Control Room'!$A$13,$A156&lt;'Control Room'!$A$13+'Control Room'!$B$13,'Process'!BP2=1),1+('Control Room'!$C$13-1)*EXP(-0.5*(($A156-'Control Room'!$A$13-('Control Room'!$B$13-1)/2)/MAX(0.5,'Control Room'!$B$13/4))^2),1)*IF(AND($A156&gt;='Control Room'!$A$14,$A156&lt;'Control Room'!$A$14+'Control Room'!$B$14,'Process'!BP3=1),1+('Control Room'!$C$14-1)*EXP(-0.5*(($A156-'Control Room'!$A$14-('Control Room'!$B$14-1)/2)/MAX(0.5,'Control Room'!$B$14/4))^2),1)*IF(AND($A156&gt;='Control Room'!$A$15,$A156&lt;'Control Room'!$A$15+'Control Room'!$B$15,'Process'!BP4=1),1+('Control Room'!$C$15-1)*EXP(-0.5*(($A156-'Control Room'!$A$15-('Control Room'!$B$15-1)/2)/MAX(0.5,'Control Room'!$B$15/4))^2),1)*IF(AND($A156&gt;='Control Room'!$A$16,$A156&lt;'Control Room'!$A$16+'Control Room'!$B$16,'Process'!BP5=1),1+('Control Room'!$C$16-1)*EXP(-0.5*(($A156-'Control Room'!$A$16-('Control Room'!$B$16-1)/2)/MAX(0.5,'Control Room'!$B$16/4))^2),1)</x:f>
        <x:v>1</x:v>
      </x:c>
      <x:c r="AF156" s="9" t="n">
        <x:f>MOD(AG155*16807,2147483647)</x:f>
        <x:v>259162560</x:v>
      </x:c>
      <x:c r="AG156" s="9" t="n">
        <x:f>MOD(AF156*16807,2147483647)</x:f>
        <x:v>648309804</x:v>
      </x:c>
      <x:c r="AH156" s="17" t="n">
        <x:f>IF('Control Room'!$B$5="Normal",'Control Room'!$B$7+'Control Room'!$D$7*SQRT(-2*LN(MAX(0.000000000001,AF156/2147483647)))*COS(2*PI()*AG156/2147483647),'Control Room'!$B$8+('Control Room'!$D$8-'Control Room'!$B$8)*AF156/2147483647)</x:f>
        <x:v>940.7162543364701</x:v>
      </x:c>
      <x:c r="AI156" s="17" t="n">
        <x:f>IF('Control Room'!$B$5="Normal",'Control Room'!$B$7,('Control Room'!$B$8+'Control Room'!$D$8)/2)+'Control Room'!$B$9*(AI155-IF('Control Room'!$B$5="Normal",'Control Room'!$B$7,('Control Room'!$B$8+'Control Room'!$D$8)/2))+SQRT(1-'Control Room'!$B$9^2)*(AH156-IF('Control Room'!$B$5="Normal",'Control Room'!$B$7,('Control Room'!$B$8+'Control Room'!$D$8)/2))</x:f>
        <x:v>913.6133801347454</x:v>
      </x:c>
      <x:c r="AJ156" s="17" t="n">
        <x:f>IF(AND($A156&gt;='Control Room'!$A$13,$A156&lt;'Control Room'!$A$13+'Control Room'!$B$13,'Process'!BQ2=1),1+('Control Room'!$C$13-1)*EXP(-0.5*(($A156-'Control Room'!$A$13-('Control Room'!$B$13-1)/2)/MAX(0.5,'Control Room'!$B$13/4))^2),1)*IF(AND($A156&gt;='Control Room'!$A$14,$A156&lt;'Control Room'!$A$14+'Control Room'!$B$14,'Process'!BQ3=1),1+('Control Room'!$C$14-1)*EXP(-0.5*(($A156-'Control Room'!$A$14-('Control Room'!$B$14-1)/2)/MAX(0.5,'Control Room'!$B$14/4))^2),1)*IF(AND($A156&gt;='Control Room'!$A$15,$A156&lt;'Control Room'!$A$15+'Control Room'!$B$15,'Process'!BQ4=1),1+('Control Room'!$C$15-1)*EXP(-0.5*(($A156-'Control Room'!$A$15-('Control Room'!$B$15-1)/2)/MAX(0.5,'Control Room'!$B$15/4))^2),1)*IF(AND($A156&gt;='Control Room'!$A$16,$A156&lt;'Control Room'!$A$16+'Control Room'!$B$16,'Process'!BQ5=1),1+('Control Room'!$C$16-1)*EXP(-0.5*(($A156-'Control Room'!$A$16-('Control Room'!$B$16-1)/2)/MAX(0.5,'Control Room'!$B$16/4))^2),1)</x:f>
        <x:v>1</x:v>
      </x:c>
      <x:c r="AK156" s="9" t="n">
        <x:f>MOD(AL155*16807,2147483647)</x:f>
        <x:v>175605653</x:v>
      </x:c>
      <x:c r="AL156" s="9" t="n">
        <x:f>MOD(AK156*16807,2147483647)</x:f>
        <x:v>761678993</x:v>
      </x:c>
      <x:c r="AM156" s="17" t="n">
        <x:f>IF('Control Room'!$B$5="Normal",'Control Room'!$B$7+'Control Room'!$D$7*SQRT(-2*LN(MAX(0.000000000001,AK156/2147483647)))*COS(2*PI()*AL156/2147483647),'Control Room'!$B$8+('Control Room'!$D$8-'Control Room'!$B$8)*AK156/2147483647)</x:f>
        <x:v>876.8766387011311</x:v>
      </x:c>
      <x:c r="AN156" s="17" t="n">
        <x:f>IF('Control Room'!$B$5="Normal",'Control Room'!$B$7,('Control Room'!$B$8+'Control Room'!$D$8)/2)+'Control Room'!$B$9*(AN155-IF('Control Room'!$B$5="Normal",'Control Room'!$B$7,('Control Room'!$B$8+'Control Room'!$D$8)/2))+SQRT(1-'Control Room'!$B$9^2)*(AM156-IF('Control Room'!$B$5="Normal",'Control Room'!$B$7,('Control Room'!$B$8+'Control Room'!$D$8)/2))</x:f>
        <x:v>967.1056196468909</x:v>
      </x:c>
      <x:c r="AO156" s="17" t="n">
        <x:f>IF(AND($A156&gt;='Control Room'!$A$13,$A156&lt;'Control Room'!$A$13+'Control Room'!$B$13,'Process'!BR2=1),1+('Control Room'!$C$13-1)*EXP(-0.5*(($A156-'Control Room'!$A$13-('Control Room'!$B$13-1)/2)/MAX(0.5,'Control Room'!$B$13/4))^2),1)*IF(AND($A156&gt;='Control Room'!$A$14,$A156&lt;'Control Room'!$A$14+'Control Room'!$B$14,'Process'!BR3=1),1+('Control Room'!$C$14-1)*EXP(-0.5*(($A156-'Control Room'!$A$14-('Control Room'!$B$14-1)/2)/MAX(0.5,'Control Room'!$B$14/4))^2),1)*IF(AND($A156&gt;='Control Room'!$A$15,$A156&lt;'Control Room'!$A$15+'Control Room'!$B$15,'Process'!BR4=1),1+('Control Room'!$C$15-1)*EXP(-0.5*(($A156-'Control Room'!$A$15-('Control Room'!$B$15-1)/2)/MAX(0.5,'Control Room'!$B$15/4))^2),1)*IF(AND($A156&gt;='Control Room'!$A$16,$A156&lt;'Control Room'!$A$16+'Control Room'!$B$16,'Process'!BR5=1),1+('Control Room'!$C$16-1)*EXP(-0.5*(($A156-'Control Room'!$A$16-('Control Room'!$B$16-1)/2)/MAX(0.5,'Control Room'!$B$16/4))^2),1)</x:f>
        <x:v>1</x:v>
      </x:c>
      <x:c r="AP156" s="9" t="n">
        <x:f>MOD(AQ155*16807,2147483647)</x:f>
        <x:v>92048746</x:v>
      </x:c>
      <x:c r="AQ156" s="9" t="n">
        <x:f>MOD(AP156*16807,2147483647)</x:f>
        <x:v>875048182</x:v>
      </x:c>
      <x:c r="AR156" s="17" t="n">
        <x:f>IF('Control Room'!$B$5="Normal",'Control Room'!$B$7+'Control Room'!$D$7*SQRT(-2*LN(MAX(0.000000000001,AP156/2147483647)))*COS(2*PI()*AQ156/2147483647),'Control Room'!$B$8+('Control Room'!$D$8-'Control Room'!$B$8)*AP156/2147483647)</x:f>
        <x:v>811.2192493922167</x:v>
      </x:c>
      <x:c r="AS156" s="17" t="n">
        <x:f>IF('Control Room'!$B$5="Normal",'Control Room'!$B$7,('Control Room'!$B$8+'Control Room'!$D$8)/2)+'Control Room'!$B$9*(AS155-IF('Control Room'!$B$5="Normal",'Control Room'!$B$7,('Control Room'!$B$8+'Control Room'!$D$8)/2))+SQRT(1-'Control Room'!$B$9^2)*(AR156-IF('Control Room'!$B$5="Normal",'Control Room'!$B$7,('Control Room'!$B$8+'Control Room'!$D$8)/2))</x:f>
        <x:v>1019.5820356952072</x:v>
      </x:c>
      <x:c r="AT156" s="17" t="n">
        <x:f>IF(AND($A156&gt;='Control Room'!$A$13,$A156&lt;'Control Room'!$A$13+'Control Room'!$B$13,'Process'!BS2=1),1+('Control Room'!$C$13-1)*EXP(-0.5*(($A156-'Control Room'!$A$13-('Control Room'!$B$13-1)/2)/MAX(0.5,'Control Room'!$B$13/4))^2),1)*IF(AND($A156&gt;='Control Room'!$A$14,$A156&lt;'Control Room'!$A$14+'Control Room'!$B$14,'Process'!BS3=1),1+('Control Room'!$C$14-1)*EXP(-0.5*(($A156-'Control Room'!$A$14-('Control Room'!$B$14-1)/2)/MAX(0.5,'Control Room'!$B$14/4))^2),1)*IF(AND($A156&gt;='Control Room'!$A$15,$A156&lt;'Control Room'!$A$15+'Control Room'!$B$15,'Process'!BS4=1),1+('Control Room'!$C$15-1)*EXP(-0.5*(($A156-'Control Room'!$A$15-('Control Room'!$B$15-1)/2)/MAX(0.5,'Control Room'!$B$15/4))^2),1)*IF(AND($A156&gt;='Control Room'!$A$16,$A156&lt;'Control Room'!$A$16+'Control Room'!$B$16,'Process'!BS5=1),1+('Control Room'!$C$16-1)*EXP(-0.5*(($A156-'Control Room'!$A$16-('Control Room'!$B$16-1)/2)/MAX(0.5,'Control Room'!$B$16/4))^2),1)</x:f>
        <x:v>1</x:v>
      </x:c>
      <x:c r="AU156" s="9" t="n">
        <x:f>MOD(AV155*16807,2147483647)</x:f>
        <x:v>8491839</x:v>
      </x:c>
      <x:c r="AV156" s="9" t="n">
        <x:f>MOD(AU156*16807,2147483647)</x:f>
        <x:v>988417371</x:v>
      </x:c>
      <x:c r="AW156" s="17" t="n">
        <x:f>IF('Control Room'!$B$5="Normal",'Control Room'!$B$7+'Control Room'!$D$7*SQRT(-2*LN(MAX(0.000000000001,AU156/2147483647)))*COS(2*PI()*AV156/2147483647),'Control Room'!$B$8+('Control Room'!$D$8-'Control Room'!$B$8)*AU156/2147483647)</x:f>
        <x:v>709.8920956145702</x:v>
      </x:c>
      <x:c r="AX156" s="17" t="n">
        <x:f>IF('Control Room'!$B$5="Normal",'Control Room'!$B$7,('Control Room'!$B$8+'Control Room'!$D$8)/2)+'Control Room'!$B$9*(AX155-IF('Control Room'!$B$5="Normal",'Control Room'!$B$7,('Control Room'!$B$8+'Control Room'!$D$8)/2))+SQRT(1-'Control Room'!$B$9^2)*(AW156-IF('Control Room'!$B$5="Normal",'Control Room'!$B$7,('Control Room'!$B$8+'Control Room'!$D$8)/2))</x:f>
        <x:v>723.9792827563482</x:v>
      </x:c>
      <x:c r="AY156" s="17" t="n">
        <x:f>IF(AND($A156&gt;='Control Room'!$A$13,$A156&lt;'Control Room'!$A$13+'Control Room'!$B$13,'Process'!BT2=1),1+('Control Room'!$C$13-1)*EXP(-0.5*(($A156-'Control Room'!$A$13-('Control Room'!$B$13-1)/2)/MAX(0.5,'Control Room'!$B$13/4))^2),1)*IF(AND($A156&gt;='Control Room'!$A$14,$A156&lt;'Control Room'!$A$14+'Control Room'!$B$14,'Process'!BT3=1),1+('Control Room'!$C$14-1)*EXP(-0.5*(($A156-'Control Room'!$A$14-('Control Room'!$B$14-1)/2)/MAX(0.5,'Control Room'!$B$14/4))^2),1)*IF(AND($A156&gt;='Control Room'!$A$15,$A156&lt;'Control Room'!$A$15+'Control Room'!$B$15,'Process'!BT4=1),1+('Control Room'!$C$15-1)*EXP(-0.5*(($A156-'Control Room'!$A$15-('Control Room'!$B$15-1)/2)/MAX(0.5,'Control Room'!$B$15/4))^2),1)*IF(AND($A156&gt;='Control Room'!$A$16,$A156&lt;'Control Room'!$A$16+'Control Room'!$B$16,'Process'!BT5=1),1+('Control Room'!$C$16-1)*EXP(-0.5*(($A156-'Control Room'!$A$16-('Control Room'!$B$16-1)/2)/MAX(0.5,'Control Room'!$B$16/4))^2),1)</x:f>
        <x:v>1</x:v>
      </x:c>
      <x:c r="AZ156" s="9" t="n">
        <x:f>MOD(BA155*16807,2147483647)</x:f>
        <x:v>2072418579</x:v>
      </x:c>
      <x:c r="BA156" s="9" t="n">
        <x:f>MOD(AZ156*16807,2147483647)</x:f>
        <x:v>1101786560</x:v>
      </x:c>
      <x:c r="BB156" s="17" t="n">
        <x:f>IF('Control Room'!$B$5="Normal",'Control Room'!$B$7+'Control Room'!$D$7*SQRT(-2*LN(MAX(0.000000000001,AZ156/2147483647)))*COS(2*PI()*BA156/2147483647),'Control Room'!$B$8+('Control Room'!$D$8-'Control Room'!$B$8)*AZ156/2147483647)</x:f>
        <x:v>976.072381121535</x:v>
      </x:c>
      <x:c r="BC156" s="17" t="n">
        <x:f>IF('Control Room'!$B$5="Normal",'Control Room'!$B$7,('Control Room'!$B$8+'Control Room'!$D$8)/2)+'Control Room'!$B$9*(BC155-IF('Control Room'!$B$5="Normal",'Control Room'!$B$7,('Control Room'!$B$8+'Control Room'!$D$8)/2))+SQRT(1-'Control Room'!$B$9^2)*(BB156-IF('Control Room'!$B$5="Normal",'Control Room'!$B$7,('Control Room'!$B$8+'Control Room'!$D$8)/2))</x:f>
        <x:v>1051.43205112139</x:v>
      </x:c>
      <x:c r="BD156" s="17" t="n">
        <x:f>IF(AND($A156&gt;='Control Room'!$A$13,$A156&lt;'Control Room'!$A$13+'Control Room'!$B$13,'Process'!BU2=1),1+('Control Room'!$C$13-1)*EXP(-0.5*(($A156-'Control Room'!$A$13-('Control Room'!$B$13-1)/2)/MAX(0.5,'Control Room'!$B$13/4))^2),1)*IF(AND($A156&gt;='Control Room'!$A$14,$A156&lt;'Control Room'!$A$14+'Control Room'!$B$14,'Process'!BU3=1),1+('Control Room'!$C$14-1)*EXP(-0.5*(($A156-'Control Room'!$A$14-('Control Room'!$B$14-1)/2)/MAX(0.5,'Control Room'!$B$14/4))^2),1)*IF(AND($A156&gt;='Control Room'!$A$15,$A156&lt;'Control Room'!$A$15+'Control Room'!$B$15,'Process'!BU4=1),1+('Control Room'!$C$15-1)*EXP(-0.5*(($A156-'Control Room'!$A$15-('Control Room'!$B$15-1)/2)/MAX(0.5,'Control Room'!$B$15/4))^2),1)*IF(AND($A156&gt;='Control Room'!$A$16,$A156&lt;'Control Room'!$A$16+'Control Room'!$B$16,'Process'!BU5=1),1+('Control Room'!$C$16-1)*EXP(-0.5*(($A156-'Control Room'!$A$16-('Control Room'!$B$16-1)/2)/MAX(0.5,'Control Room'!$B$16/4))^2),1)</x:f>
        <x:v>1</x:v>
      </x:c>
      <x:c r="BE156" s="9" t="n">
        <x:f>MOD(BF155*16807,2147483647)</x:f>
        <x:v>1988861672</x:v>
      </x:c>
      <x:c r="BF156" s="9" t="n">
        <x:f>MOD(BE156*16807,2147483647)</x:f>
        <x:v>1215155749</x:v>
      </x:c>
      <x:c r="BG156" s="17" t="n">
        <x:f>IF('Control Room'!$B$5="Normal",'Control Room'!$B$7+'Control Room'!$D$7*SQRT(-2*LN(MAX(0.000000000001,BE156/2147483647)))*COS(2*PI()*BF156/2147483647),'Control Room'!$B$8+('Control Room'!$D$8-'Control Room'!$B$8)*BE156/2147483647)</x:f>
        <x:v>967.7175401513514</x:v>
      </x:c>
      <x:c r="BH156" s="17" t="n">
        <x:f>IF('Control Room'!$B$5="Normal",'Control Room'!$B$7,('Control Room'!$B$8+'Control Room'!$D$8)/2)+'Control Room'!$B$9*(BH155-IF('Control Room'!$B$5="Normal",'Control Room'!$B$7,('Control Room'!$B$8+'Control Room'!$D$8)/2))+SQRT(1-'Control Room'!$B$9^2)*(BG156-IF('Control Room'!$B$5="Normal",'Control Room'!$B$7,('Control Room'!$B$8+'Control Room'!$D$8)/2))</x:f>
        <x:v>1077.4809199759613</x:v>
      </x:c>
      <x:c r="BI156" s="17" t="n">
        <x:f>IF(AND($A156&gt;='Control Room'!$A$13,$A156&lt;'Control Room'!$A$13+'Control Room'!$B$13,'Process'!BV2=1),1+('Control Room'!$C$13-1)*EXP(-0.5*(($A156-'Control Room'!$A$13-('Control Room'!$B$13-1)/2)/MAX(0.5,'Control Room'!$B$13/4))^2),1)*IF(AND($A156&gt;='Control Room'!$A$14,$A156&lt;'Control Room'!$A$14+'Control Room'!$B$14,'Process'!BV3=1),1+('Control Room'!$C$14-1)*EXP(-0.5*(($A156-'Control Room'!$A$14-('Control Room'!$B$14-1)/2)/MAX(0.5,'Control Room'!$B$14/4))^2),1)*IF(AND($A156&gt;='Control Room'!$A$15,$A156&lt;'Control Room'!$A$15+'Control Room'!$B$15,'Process'!BV4=1),1+('Control Room'!$C$15-1)*EXP(-0.5*(($A156-'Control Room'!$A$15-('Control Room'!$B$15-1)/2)/MAX(0.5,'Control Room'!$B$15/4))^2),1)*IF(AND($A156&gt;='Control Room'!$A$16,$A156&lt;'Control Room'!$A$16+'Control Room'!$B$16,'Process'!BV5=1),1+('Control Room'!$C$16-1)*EXP(-0.5*(($A156-'Control Room'!$A$16-('Control Room'!$B$16-1)/2)/MAX(0.5,'Control Room'!$B$16/4))^2),1)</x:f>
        <x:v>1</x:v>
      </x:c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Z156" t="str">
        <x:f>IF('Data'!A156="","",TEXT('Data'!A156,"mm-dd"))</x:f>
      </x:c>
    </x:row>
    <x:row r="157" ht="21" customHeight="1">
      <x:c r="A157" s="15" t="n">
        <x:f>'Control Room'!$B$1+155</x:f>
        <x:v>73146</x:v>
      </x:c>
      <x:c r="B157" s="9" t="n">
        <x:f>MOD(C156*16807,2147483647)</x:f>
        <x:v>638030440</x:v>
      </x:c>
      <x:c r="C157" s="9" t="n">
        <x:f>MOD(B157*16807,2147483647)</x:f>
        <x:v>991755609</x:v>
      </x:c>
      <x:c r="D157" s="17" t="n">
        <x:f>IF('Control Room'!$B$5="Normal",'Control Room'!$B$7+'Control Room'!$D$7*SQRT(-2*LN(MAX(0.000000000001,B157/2147483647)))*COS(2*PI()*C157/2147483647),'Control Room'!$B$8+('Control Room'!$D$8-'Control Room'!$B$8)*B157/2147483647)</x:f>
        <x:v>863.7958268029104</x:v>
      </x:c>
      <x:c r="E157" s="17" t="n">
        <x:f>IF('Control Room'!$B$5="Normal",'Control Room'!$B$7,('Control Room'!$B$8+'Control Room'!$D$8)/2)+'Control Room'!$B$9*(E156-IF('Control Room'!$B$5="Normal",'Control Room'!$B$7,('Control Room'!$B$8+'Control Room'!$D$8)/2))+SQRT(1-'Control Room'!$B$9^2)*(D157-IF('Control Room'!$B$5="Normal",'Control Room'!$B$7,('Control Room'!$B$8+'Control Room'!$D$8)/2))</x:f>
        <x:v>988.7346219374997</x:v>
      </x:c>
      <x:c r="F157" s="17" t="n">
        <x:f>IF(AND($A157&gt;='Control Room'!$A$13,$A157&lt;'Control Room'!$A$13+'Control Room'!$B$13,'Process'!BK2=1),1+('Control Room'!$C$13-1)*EXP(-0.5*(($A157-'Control Room'!$A$13-('Control Room'!$B$13-1)/2)/MAX(0.5,'Control Room'!$B$13/4))^2),1)*IF(AND($A157&gt;='Control Room'!$A$14,$A157&lt;'Control Room'!$A$14+'Control Room'!$B$14,'Process'!BK3=1),1+('Control Room'!$C$14-1)*EXP(-0.5*(($A157-'Control Room'!$A$14-('Control Room'!$B$14-1)/2)/MAX(0.5,'Control Room'!$B$14/4))^2),1)*IF(AND($A157&gt;='Control Room'!$A$15,$A157&lt;'Control Room'!$A$15+'Control Room'!$B$15,'Process'!BK4=1),1+('Control Room'!$C$15-1)*EXP(-0.5*(($A157-'Control Room'!$A$15-('Control Room'!$B$15-1)/2)/MAX(0.5,'Control Room'!$B$15/4))^2),1)*IF(AND($A157&gt;='Control Room'!$A$16,$A157&lt;'Control Room'!$A$16+'Control Room'!$B$16,'Process'!BK5=1),1+('Control Room'!$C$16-1)*EXP(-0.5*(($A157-'Control Room'!$A$16-('Control Room'!$B$16-1)/2)/MAX(0.5,'Control Room'!$B$16/4))^2),1)</x:f>
        <x:v>1</x:v>
      </x:c>
      <x:c r="G157" s="9" t="n">
        <x:f>MOD(H156*16807,2147483647)</x:f>
        <x:v>1215995074</x:v>
      </x:c>
      <x:c r="H157" s="9" t="n">
        <x:f>MOD(G157*16807,2147483647)</x:f>
        <x:v>1774823866</x:v>
      </x:c>
      <x:c r="I157" s="17" t="n">
        <x:f>IF('Control Room'!$B$5="Normal",'Control Room'!$B$7+'Control Room'!$D$7*SQRT(-2*LN(MAX(0.000000000001,G157/2147483647)))*COS(2*PI()*H157/2147483647),'Control Room'!$B$8+('Control Room'!$D$8-'Control Room'!$B$8)*G157/2147483647)</x:f>
        <x:v>1044.3634891483848</x:v>
      </x:c>
      <x:c r="J157" s="17" t="n">
        <x:f>IF('Control Room'!$B$5="Normal",'Control Room'!$B$7,('Control Room'!$B$8+'Control Room'!$D$8)/2)+'Control Room'!$B$9*(J156-IF('Control Room'!$B$5="Normal",'Control Room'!$B$7,('Control Room'!$B$8+'Control Room'!$D$8)/2))+SQRT(1-'Control Room'!$B$9^2)*(I157-IF('Control Room'!$B$5="Normal",'Control Room'!$B$7,('Control Room'!$B$8+'Control Room'!$D$8)/2))</x:f>
        <x:v>1131.6999823315361</x:v>
      </x:c>
      <x:c r="K157" s="17" t="n">
        <x:f>IF(AND($A157&gt;='Control Room'!$A$13,$A157&lt;'Control Room'!$A$13+'Control Room'!$B$13,'Process'!BL2=1),1+('Control Room'!$C$13-1)*EXP(-0.5*(($A157-'Control Room'!$A$13-('Control Room'!$B$13-1)/2)/MAX(0.5,'Control Room'!$B$13/4))^2),1)*IF(AND($A157&gt;='Control Room'!$A$14,$A157&lt;'Control Room'!$A$14+'Control Room'!$B$14,'Process'!BL3=1),1+('Control Room'!$C$14-1)*EXP(-0.5*(($A157-'Control Room'!$A$14-('Control Room'!$B$14-1)/2)/MAX(0.5,'Control Room'!$B$14/4))^2),1)*IF(AND($A157&gt;='Control Room'!$A$15,$A157&lt;'Control Room'!$A$15+'Control Room'!$B$15,'Process'!BL4=1),1+('Control Room'!$C$15-1)*EXP(-0.5*(($A157-'Control Room'!$A$15-('Control Room'!$B$15-1)/2)/MAX(0.5,'Control Room'!$B$15/4))^2),1)*IF(AND($A157&gt;='Control Room'!$A$16,$A157&lt;'Control Room'!$A$16+'Control Room'!$B$16,'Process'!BL5=1),1+('Control Room'!$C$16-1)*EXP(-0.5*(($A157-'Control Room'!$A$16-('Control Room'!$B$16-1)/2)/MAX(0.5,'Control Room'!$B$16/4))^2),1)</x:f>
        <x:v>1</x:v>
      </x:c>
      <x:c r="L157" s="9" t="n">
        <x:f>MOD(M156*16807,2147483647)</x:f>
        <x:v>1793959708</x:v>
      </x:c>
      <x:c r="M157" s="9" t="n">
        <x:f>MOD(L157*16807,2147483647)</x:f>
        <x:v>410408476</x:v>
      </x:c>
      <x:c r="N157" s="17" t="n">
        <x:f>IF('Control Room'!$B$5="Normal",'Control Room'!$B$7+'Control Room'!$D$7*SQRT(-2*LN(MAX(0.000000000001,L157/2147483647)))*COS(2*PI()*M157/2147483647),'Control Room'!$B$8+('Control Room'!$D$8-'Control Room'!$B$8)*L157/2147483647)</x:f>
        <x:v>1019.5206806602832</x:v>
      </x:c>
      <x:c r="O157" s="17" t="n">
        <x:f>IF('Control Room'!$B$5="Normal",'Control Room'!$B$7,('Control Room'!$B$8+'Control Room'!$D$8)/2)+'Control Room'!$B$9*(O156-IF('Control Room'!$B$5="Normal",'Control Room'!$B$7,('Control Room'!$B$8+'Control Room'!$D$8)/2))+SQRT(1-'Control Room'!$B$9^2)*(N157-IF('Control Room'!$B$5="Normal",'Control Room'!$B$7,('Control Room'!$B$8+'Control Room'!$D$8)/2))</x:f>
        <x:v>1105.2741566045536</x:v>
      </x:c>
      <x:c r="P157" s="17" t="n">
        <x:f>IF(AND($A157&gt;='Control Room'!$A$13,$A157&lt;'Control Room'!$A$13+'Control Room'!$B$13,'Process'!BM2=1),1+('Control Room'!$C$13-1)*EXP(-0.5*(($A157-'Control Room'!$A$13-('Control Room'!$B$13-1)/2)/MAX(0.5,'Control Room'!$B$13/4))^2),1)*IF(AND($A157&gt;='Control Room'!$A$14,$A157&lt;'Control Room'!$A$14+'Control Room'!$B$14,'Process'!BM3=1),1+('Control Room'!$C$14-1)*EXP(-0.5*(($A157-'Control Room'!$A$14-('Control Room'!$B$14-1)/2)/MAX(0.5,'Control Room'!$B$14/4))^2),1)*IF(AND($A157&gt;='Control Room'!$A$15,$A157&lt;'Control Room'!$A$15+'Control Room'!$B$15,'Process'!BM4=1),1+('Control Room'!$C$15-1)*EXP(-0.5*(($A157-'Control Room'!$A$15-('Control Room'!$B$15-1)/2)/MAX(0.5,'Control Room'!$B$15/4))^2),1)*IF(AND($A157&gt;='Control Room'!$A$16,$A157&lt;'Control Room'!$A$16+'Control Room'!$B$16,'Process'!BM5=1),1+('Control Room'!$C$16-1)*EXP(-0.5*(($A157-'Control Room'!$A$16-('Control Room'!$B$16-1)/2)/MAX(0.5,'Control Room'!$B$16/4))^2),1)</x:f>
        <x:v>1</x:v>
      </x:c>
      <x:c r="Q157" s="9" t="n">
        <x:f>MOD(R156*16807,2147483647)</x:f>
        <x:v>224440695</x:v>
      </x:c>
      <x:c r="R157" s="9" t="n">
        <x:f>MOD(Q157*16807,2147483647)</x:f>
        <x:v>1193476733</x:v>
      </x:c>
      <x:c r="S157" s="17" t="n">
        <x:f>IF('Control Room'!$B$5="Normal",'Control Room'!$B$7+'Control Room'!$D$7*SQRT(-2*LN(MAX(0.000000000001,Q157/2147483647)))*COS(2*PI()*R157/2147483647),'Control Room'!$B$8+('Control Room'!$D$8-'Control Room'!$B$8)*Q157/2147483647)</x:f>
        <x:v>820.3412918768925</x:v>
      </x:c>
      <x:c r="T157" s="17" t="n">
        <x:f>IF('Control Room'!$B$5="Normal",'Control Room'!$B$7,('Control Room'!$B$8+'Control Room'!$D$8)/2)+'Control Room'!$B$9*(T156-IF('Control Room'!$B$5="Normal",'Control Room'!$B$7,('Control Room'!$B$8+'Control Room'!$D$8)/2))+SQRT(1-'Control Room'!$B$9^2)*(S157-IF('Control Room'!$B$5="Normal",'Control Room'!$B$7,('Control Room'!$B$8+'Control Room'!$D$8)/2))</x:f>
        <x:v>824.9281681392551</x:v>
      </x:c>
      <x:c r="U157" s="17" t="n">
        <x:f>IF(AND($A157&gt;='Control Room'!$A$13,$A157&lt;'Control Room'!$A$13+'Control Room'!$B$13,'Process'!BN2=1),1+('Control Room'!$C$13-1)*EXP(-0.5*(($A157-'Control Room'!$A$13-('Control Room'!$B$13-1)/2)/MAX(0.5,'Control Room'!$B$13/4))^2),1)*IF(AND($A157&gt;='Control Room'!$A$14,$A157&lt;'Control Room'!$A$14+'Control Room'!$B$14,'Process'!BN3=1),1+('Control Room'!$C$14-1)*EXP(-0.5*(($A157-'Control Room'!$A$14-('Control Room'!$B$14-1)/2)/MAX(0.5,'Control Room'!$B$14/4))^2),1)*IF(AND($A157&gt;='Control Room'!$A$15,$A157&lt;'Control Room'!$A$15+'Control Room'!$B$15,'Process'!BN4=1),1+('Control Room'!$C$15-1)*EXP(-0.5*(($A157-'Control Room'!$A$15-('Control Room'!$B$15-1)/2)/MAX(0.5,'Control Room'!$B$15/4))^2),1)*IF(AND($A157&gt;='Control Room'!$A$16,$A157&lt;'Control Room'!$A$16+'Control Room'!$B$16,'Process'!BN5=1),1+('Control Room'!$C$16-1)*EXP(-0.5*(($A157-'Control Room'!$A$16-('Control Room'!$B$16-1)/2)/MAX(0.5,'Control Room'!$B$16/4))^2),1)</x:f>
        <x:v>1</x:v>
      </x:c>
      <x:c r="V157" s="9" t="n">
        <x:f>MOD(W156*16807,2147483647)</x:f>
        <x:v>802405329</x:v>
      </x:c>
      <x:c r="W157" s="9" t="n">
        <x:f>MOD(V157*16807,2147483647)</x:f>
        <x:v>1976544990</x:v>
      </x:c>
      <x:c r="X157" s="17" t="n">
        <x:f>IF('Control Room'!$B$5="Normal",'Control Room'!$B$7+'Control Room'!$D$7*SQRT(-2*LN(MAX(0.000000000001,V157/2147483647)))*COS(2*PI()*W157/2147483647),'Control Room'!$B$8+('Control Room'!$D$8-'Control Room'!$B$8)*V157/2147483647)</x:f>
        <x:v>1110.8171166748853</x:v>
      </x:c>
      <x:c r="Y157" s="17" t="n">
        <x:f>IF('Control Room'!$B$5="Normal",'Control Room'!$B$7,('Control Room'!$B$8+'Control Room'!$D$8)/2)+'Control Room'!$B$9*(Y156-IF('Control Room'!$B$5="Normal",'Control Room'!$B$7,('Control Room'!$B$8+'Control Room'!$D$8)/2))+SQRT(1-'Control Room'!$B$9^2)*(X157-IF('Control Room'!$B$5="Normal",'Control Room'!$B$7,('Control Room'!$B$8+'Control Room'!$D$8)/2))</x:f>
        <x:v>1157.657544880169</x:v>
      </x:c>
      <x:c r="Z157" s="17" t="n">
        <x:f>IF(AND($A157&gt;='Control Room'!$A$13,$A157&lt;'Control Room'!$A$13+'Control Room'!$B$13,'Process'!BO2=1),1+('Control Room'!$C$13-1)*EXP(-0.5*(($A157-'Control Room'!$A$13-('Control Room'!$B$13-1)/2)/MAX(0.5,'Control Room'!$B$13/4))^2),1)*IF(AND($A157&gt;='Control Room'!$A$14,$A157&lt;'Control Room'!$A$14+'Control Room'!$B$14,'Process'!BO3=1),1+('Control Room'!$C$14-1)*EXP(-0.5*(($A157-'Control Room'!$A$14-('Control Room'!$B$14-1)/2)/MAX(0.5,'Control Room'!$B$14/4))^2),1)*IF(AND($A157&gt;='Control Room'!$A$15,$A157&lt;'Control Room'!$A$15+'Control Room'!$B$15,'Process'!BO4=1),1+('Control Room'!$C$15-1)*EXP(-0.5*(($A157-'Control Room'!$A$15-('Control Room'!$B$15-1)/2)/MAX(0.5,'Control Room'!$B$15/4))^2),1)*IF(AND($A157&gt;='Control Room'!$A$16,$A157&lt;'Control Room'!$A$16+'Control Room'!$B$16,'Process'!BO5=1),1+('Control Room'!$C$16-1)*EXP(-0.5*(($A157-'Control Room'!$A$16-('Control Room'!$B$16-1)/2)/MAX(0.5,'Control Room'!$B$16/4))^2),1)</x:f>
        <x:v>1</x:v>
      </x:c>
      <x:c r="AA157" s="9" t="n">
        <x:f>MOD(AB156*16807,2147483647)</x:f>
        <x:v>1380369963</x:v>
      </x:c>
      <x:c r="AB157" s="9" t="n">
        <x:f>MOD(AA157*16807,2147483647)</x:f>
        <x:v>612129600</x:v>
      </x:c>
      <x:c r="AC157" s="17" t="n">
        <x:f>IF('Control Room'!$B$5="Normal",'Control Room'!$B$7+'Control Room'!$D$7*SQRT(-2*LN(MAX(0.000000000001,AA157/2147483647)))*COS(2*PI()*AB157/2147483647),'Control Room'!$B$8+('Control Room'!$D$8-'Control Room'!$B$8)*AA157/2147483647)</x:f>
        <x:v>981.5186721838288</x:v>
      </x:c>
      <x:c r="AD157" s="17" t="n">
        <x:f>IF('Control Room'!$B$5="Normal",'Control Room'!$B$7,('Control Room'!$B$8+'Control Room'!$D$8)/2)+'Control Room'!$B$9*(AD156-IF('Control Room'!$B$5="Normal",'Control Room'!$B$7,('Control Room'!$B$8+'Control Room'!$D$8)/2))+SQRT(1-'Control Room'!$B$9^2)*(AC157-IF('Control Room'!$B$5="Normal",'Control Room'!$B$7,('Control Room'!$B$8+'Control Room'!$D$8)/2))</x:f>
        <x:v>1062.2189243253351</x:v>
      </x:c>
      <x:c r="AE157" s="17" t="n">
        <x:f>IF(AND($A157&gt;='Control Room'!$A$13,$A157&lt;'Control Room'!$A$13+'Control Room'!$B$13,'Process'!BP2=1),1+('Control Room'!$C$13-1)*EXP(-0.5*(($A157-'Control Room'!$A$13-('Control Room'!$B$13-1)/2)/MAX(0.5,'Control Room'!$B$13/4))^2),1)*IF(AND($A157&gt;='Control Room'!$A$14,$A157&lt;'Control Room'!$A$14+'Control Room'!$B$14,'Process'!BP3=1),1+('Control Room'!$C$14-1)*EXP(-0.5*(($A157-'Control Room'!$A$14-('Control Room'!$B$14-1)/2)/MAX(0.5,'Control Room'!$B$14/4))^2),1)*IF(AND($A157&gt;='Control Room'!$A$15,$A157&lt;'Control Room'!$A$15+'Control Room'!$B$15,'Process'!BP4=1),1+('Control Room'!$C$15-1)*EXP(-0.5*(($A157-'Control Room'!$A$15-('Control Room'!$B$15-1)/2)/MAX(0.5,'Control Room'!$B$15/4))^2),1)*IF(AND($A157&gt;='Control Room'!$A$16,$A157&lt;'Control Room'!$A$16+'Control Room'!$B$16,'Process'!BP5=1),1+('Control Room'!$C$16-1)*EXP(-0.5*(($A157-'Control Room'!$A$16-('Control Room'!$B$16-1)/2)/MAX(0.5,'Control Room'!$B$16/4))^2),1)</x:f>
        <x:v>1</x:v>
      </x:c>
      <x:c r="AF157" s="9" t="n">
        <x:f>MOD(AG156*16807,2147483647)</x:f>
        <x:v>1958334597</x:v>
      </x:c>
      <x:c r="AG157" s="9" t="n">
        <x:f>MOD(AF157*16807,2147483647)</x:f>
        <x:v>1395197857</x:v>
      </x:c>
      <x:c r="AH157" s="17" t="n">
        <x:f>IF('Control Room'!$B$5="Normal",'Control Room'!$B$7+'Control Room'!$D$7*SQRT(-2*LN(MAX(0.000000000001,AF157/2147483647)))*COS(2*PI()*AG157/2147483647),'Control Room'!$B$8+('Control Room'!$D$8-'Control Room'!$B$8)*AF157/2147483647)</x:f>
        <x:v>977.2222682615409</x:v>
      </x:c>
      <x:c r="AI157" s="17" t="n">
        <x:f>IF('Control Room'!$B$5="Normal",'Control Room'!$B$7,('Control Room'!$B$8+'Control Room'!$D$8)/2)+'Control Room'!$B$9*(AI156-IF('Control Room'!$B$5="Normal",'Control Room'!$B$7,('Control Room'!$B$8+'Control Room'!$D$8)/2))+SQRT(1-'Control Room'!$B$9^2)*(AH157-IF('Control Room'!$B$5="Normal",'Control Room'!$B$7,('Control Room'!$B$8+'Control Room'!$D$8)/2))</x:f>
        <x:v>918.3645986103718</x:v>
      </x:c>
      <x:c r="AJ157" s="17" t="n">
        <x:f>IF(AND($A157&gt;='Control Room'!$A$13,$A157&lt;'Control Room'!$A$13+'Control Room'!$B$13,'Process'!BQ2=1),1+('Control Room'!$C$13-1)*EXP(-0.5*(($A157-'Control Room'!$A$13-('Control Room'!$B$13-1)/2)/MAX(0.5,'Control Room'!$B$13/4))^2),1)*IF(AND($A157&gt;='Control Room'!$A$14,$A157&lt;'Control Room'!$A$14+'Control Room'!$B$14,'Process'!BQ3=1),1+('Control Room'!$C$14-1)*EXP(-0.5*(($A157-'Control Room'!$A$14-('Control Room'!$B$14-1)/2)/MAX(0.5,'Control Room'!$B$14/4))^2),1)*IF(AND($A157&gt;='Control Room'!$A$15,$A157&lt;'Control Room'!$A$15+'Control Room'!$B$15,'Process'!BQ4=1),1+('Control Room'!$C$15-1)*EXP(-0.5*(($A157-'Control Room'!$A$15-('Control Room'!$B$15-1)/2)/MAX(0.5,'Control Room'!$B$15/4))^2),1)*IF(AND($A157&gt;='Control Room'!$A$16,$A157&lt;'Control Room'!$A$16+'Control Room'!$B$16,'Process'!BQ5=1),1+('Control Room'!$C$16-1)*EXP(-0.5*(($A157-'Control Room'!$A$16-('Control Room'!$B$16-1)/2)/MAX(0.5,'Control Room'!$B$16/4))^2),1)</x:f>
        <x:v>1</x:v>
      </x:c>
      <x:c r="AK157" s="9" t="n">
        <x:f>MOD(AL156*16807,2147483647)</x:f>
        <x:v>388815584</x:v>
      </x:c>
      <x:c r="AL157" s="9" t="n">
        <x:f>MOD(AK157*16807,2147483647)</x:f>
        <x:v>30782467</x:v>
      </x:c>
      <x:c r="AM157" s="17" t="n">
        <x:f>IF('Control Room'!$B$5="Normal",'Control Room'!$B$7+'Control Room'!$D$7*SQRT(-2*LN(MAX(0.000000000001,AK157/2147483647)))*COS(2*PI()*AL157/2147483647),'Control Room'!$B$8+('Control Room'!$D$8-'Control Room'!$B$8)*AK157/2147483647)</x:f>
        <x:v>1165.7135382541217</x:v>
      </x:c>
      <x:c r="AN157" s="17" t="n">
        <x:f>IF('Control Room'!$B$5="Normal",'Control Room'!$B$7,('Control Room'!$B$8+'Control Room'!$D$8)/2)+'Control Room'!$B$9*(AN156-IF('Control Room'!$B$5="Normal",'Control Room'!$B$7,('Control Room'!$B$8+'Control Room'!$D$8)/2))+SQRT(1-'Control Room'!$B$9^2)*(AM157-IF('Control Room'!$B$5="Normal",'Control Room'!$B$7,('Control Room'!$B$8+'Control Room'!$D$8)/2))</x:f>
        <x:v>1078.042520737648</x:v>
      </x:c>
      <x:c r="AO157" s="17" t="n">
        <x:f>IF(AND($A157&gt;='Control Room'!$A$13,$A157&lt;'Control Room'!$A$13+'Control Room'!$B$13,'Process'!BR2=1),1+('Control Room'!$C$13-1)*EXP(-0.5*(($A157-'Control Room'!$A$13-('Control Room'!$B$13-1)/2)/MAX(0.5,'Control Room'!$B$13/4))^2),1)*IF(AND($A157&gt;='Control Room'!$A$14,$A157&lt;'Control Room'!$A$14+'Control Room'!$B$14,'Process'!BR3=1),1+('Control Room'!$C$14-1)*EXP(-0.5*(($A157-'Control Room'!$A$14-('Control Room'!$B$14-1)/2)/MAX(0.5,'Control Room'!$B$14/4))^2),1)*IF(AND($A157&gt;='Control Room'!$A$15,$A157&lt;'Control Room'!$A$15+'Control Room'!$B$15,'Process'!BR4=1),1+('Control Room'!$C$15-1)*EXP(-0.5*(($A157-'Control Room'!$A$15-('Control Room'!$B$15-1)/2)/MAX(0.5,'Control Room'!$B$15/4))^2),1)*IF(AND($A157&gt;='Control Room'!$A$16,$A157&lt;'Control Room'!$A$16+'Control Room'!$B$16,'Process'!BR5=1),1+('Control Room'!$C$16-1)*EXP(-0.5*(($A157-'Control Room'!$A$16-('Control Room'!$B$16-1)/2)/MAX(0.5,'Control Room'!$B$16/4))^2),1)</x:f>
        <x:v>1</x:v>
      </x:c>
      <x:c r="AP157" s="9" t="n">
        <x:f>MOD(AQ156*16807,2147483647)</x:f>
        <x:v>966780218</x:v>
      </x:c>
      <x:c r="AQ157" s="9" t="n">
        <x:f>MOD(AP157*16807,2147483647)</x:f>
        <x:v>813850724</x:v>
      </x:c>
      <x:c r="AR157" s="17" t="n">
        <x:f>IF('Control Room'!$B$5="Normal",'Control Room'!$B$7+'Control Room'!$D$7*SQRT(-2*LN(MAX(0.000000000001,AP157/2147483647)))*COS(2*PI()*AQ157/2147483647),'Control Room'!$B$8+('Control Room'!$D$8-'Control Room'!$B$8)*AP157/2147483647)</x:f>
        <x:v>917.6135019178873</x:v>
      </x:c>
      <x:c r="AS157" s="17" t="n">
        <x:f>IF('Control Room'!$B$5="Normal",'Control Room'!$B$7,('Control Room'!$B$8+'Control Room'!$D$8)/2)+'Control Room'!$B$9*(AS156-IF('Control Room'!$B$5="Normal",'Control Room'!$B$7,('Control Room'!$B$8+'Control Room'!$D$8)/2))+SQRT(1-'Control Room'!$B$9^2)*(AR157-IF('Control Room'!$B$5="Normal",'Control Room'!$B$7,('Control Room'!$B$8+'Control Room'!$D$8)/2))</x:f>
        <x:v>963.7182051216276</x:v>
      </x:c>
      <x:c r="AT157" s="17" t="n">
        <x:f>IF(AND($A157&gt;='Control Room'!$A$13,$A157&lt;'Control Room'!$A$13+'Control Room'!$B$13,'Process'!BS2=1),1+('Control Room'!$C$13-1)*EXP(-0.5*(($A157-'Control Room'!$A$13-('Control Room'!$B$13-1)/2)/MAX(0.5,'Control Room'!$B$13/4))^2),1)*IF(AND($A157&gt;='Control Room'!$A$14,$A157&lt;'Control Room'!$A$14+'Control Room'!$B$14,'Process'!BS3=1),1+('Control Room'!$C$14-1)*EXP(-0.5*(($A157-'Control Room'!$A$14-('Control Room'!$B$14-1)/2)/MAX(0.5,'Control Room'!$B$14/4))^2),1)*IF(AND($A157&gt;='Control Room'!$A$15,$A157&lt;'Control Room'!$A$15+'Control Room'!$B$15,'Process'!BS4=1),1+('Control Room'!$C$15-1)*EXP(-0.5*(($A157-'Control Room'!$A$15-('Control Room'!$B$15-1)/2)/MAX(0.5,'Control Room'!$B$15/4))^2),1)*IF(AND($A157&gt;='Control Room'!$A$16,$A157&lt;'Control Room'!$A$16+'Control Room'!$B$16,'Process'!BS5=1),1+('Control Room'!$C$16-1)*EXP(-0.5*(($A157-'Control Room'!$A$16-('Control Room'!$B$16-1)/2)/MAX(0.5,'Control Room'!$B$16/4))^2),1)</x:f>
        <x:v>1</x:v>
      </x:c>
      <x:c r="AU157" s="9" t="n">
        <x:f>MOD(AV156*16807,2147483647)</x:f>
        <x:v>1544744852</x:v>
      </x:c>
      <x:c r="AV157" s="9" t="n">
        <x:f>MOD(AU157*16807,2147483647)</x:f>
        <x:v>1596918981</x:v>
      </x:c>
      <x:c r="AW157" s="17" t="n">
        <x:f>IF('Control Room'!$B$5="Normal",'Control Room'!$B$7+'Control Room'!$D$7*SQRT(-2*LN(MAX(0.000000000001,AU157/2147483647)))*COS(2*PI()*AV157/2147483647),'Control Room'!$B$8+('Control Room'!$D$8-'Control Room'!$B$8)*AU157/2147483647)</x:f>
        <x:v>997.0738223251436</x:v>
      </x:c>
      <x:c r="AX157" s="17" t="n">
        <x:f>IF('Control Room'!$B$5="Normal",'Control Room'!$B$7,('Control Room'!$B$8+'Control Room'!$D$8)/2)+'Control Room'!$B$9*(AX156-IF('Control Room'!$B$5="Normal",'Control Room'!$B$7,('Control Room'!$B$8+'Control Room'!$D$8)/2))+SQRT(1-'Control Room'!$B$9^2)*(AW157-IF('Control Room'!$B$5="Normal",'Control Room'!$B$7,('Control Room'!$B$8+'Control Room'!$D$8)/2))</x:f>
        <x:v>782.8726985070344</x:v>
      </x:c>
      <x:c r="AY157" s="17" t="n">
        <x:f>IF(AND($A157&gt;='Control Room'!$A$13,$A157&lt;'Control Room'!$A$13+'Control Room'!$B$13,'Process'!BT2=1),1+('Control Room'!$C$13-1)*EXP(-0.5*(($A157-'Control Room'!$A$13-('Control Room'!$B$13-1)/2)/MAX(0.5,'Control Room'!$B$13/4))^2),1)*IF(AND($A157&gt;='Control Room'!$A$14,$A157&lt;'Control Room'!$A$14+'Control Room'!$B$14,'Process'!BT3=1),1+('Control Room'!$C$14-1)*EXP(-0.5*(($A157-'Control Room'!$A$14-('Control Room'!$B$14-1)/2)/MAX(0.5,'Control Room'!$B$14/4))^2),1)*IF(AND($A157&gt;='Control Room'!$A$15,$A157&lt;'Control Room'!$A$15+'Control Room'!$B$15,'Process'!BT4=1),1+('Control Room'!$C$15-1)*EXP(-0.5*(($A157-'Control Room'!$A$15-('Control Room'!$B$15-1)/2)/MAX(0.5,'Control Room'!$B$15/4))^2),1)*IF(AND($A157&gt;='Control Room'!$A$16,$A157&lt;'Control Room'!$A$16+'Control Room'!$B$16,'Process'!BT5=1),1+('Control Room'!$C$16-1)*EXP(-0.5*(($A157-'Control Room'!$A$16-('Control Room'!$B$16-1)/2)/MAX(0.5,'Control Room'!$B$16/4))^2),1)</x:f>
        <x:v>1</x:v>
      </x:c>
      <x:c r="AZ157" s="9" t="n">
        <x:f>MOD(BA156*16807,2147483647)</x:f>
        <x:v>2122709486</x:v>
      </x:c>
      <x:c r="BA157" s="9" t="n">
        <x:f>MOD(AZ157*16807,2147483647)</x:f>
        <x:v>232503591</x:v>
      </x:c>
      <x:c r="BB157" s="17" t="n">
        <x:f>IF('Control Room'!$B$5="Normal",'Control Room'!$B$7+'Control Room'!$D$7*SQRT(-2*LN(MAX(0.000000000001,AZ157/2147483647)))*COS(2*PI()*BA157/2147483647),'Control Room'!$B$8+('Control Room'!$D$8-'Control Room'!$B$8)*AZ157/2147483647)</x:f>
        <x:v>1010.6585403733916</x:v>
      </x:c>
      <x:c r="BC157" s="17" t="n">
        <x:f>IF('Control Room'!$B$5="Normal",'Control Room'!$B$7,('Control Room'!$B$8+'Control Room'!$D$8)/2)+'Control Room'!$B$9*(BC156-IF('Control Room'!$B$5="Normal",'Control Room'!$B$7,('Control Room'!$B$8+'Control Room'!$D$8)/2))+SQRT(1-'Control Room'!$B$9^2)*(BB157-IF('Control Room'!$B$5="Normal",'Control Room'!$B$7,('Control Room'!$B$8+'Control Room'!$D$8)/2))</x:f>
        <x:v>1046.7868960882847</x:v>
      </x:c>
      <x:c r="BD157" s="17" t="n">
        <x:f>IF(AND($A157&gt;='Control Room'!$A$13,$A157&lt;'Control Room'!$A$13+'Control Room'!$B$13,'Process'!BU2=1),1+('Control Room'!$C$13-1)*EXP(-0.5*(($A157-'Control Room'!$A$13-('Control Room'!$B$13-1)/2)/MAX(0.5,'Control Room'!$B$13/4))^2),1)*IF(AND($A157&gt;='Control Room'!$A$14,$A157&lt;'Control Room'!$A$14+'Control Room'!$B$14,'Process'!BU3=1),1+('Control Room'!$C$14-1)*EXP(-0.5*(($A157-'Control Room'!$A$14-('Control Room'!$B$14-1)/2)/MAX(0.5,'Control Room'!$B$14/4))^2),1)*IF(AND($A157&gt;='Control Room'!$A$15,$A157&lt;'Control Room'!$A$15+'Control Room'!$B$15,'Process'!BU4=1),1+('Control Room'!$C$15-1)*EXP(-0.5*(($A157-'Control Room'!$A$15-('Control Room'!$B$15-1)/2)/MAX(0.5,'Control Room'!$B$15/4))^2),1)*IF(AND($A157&gt;='Control Room'!$A$16,$A157&lt;'Control Room'!$A$16+'Control Room'!$B$16,'Process'!BU5=1),1+('Control Room'!$C$16-1)*EXP(-0.5*(($A157-'Control Room'!$A$16-('Control Room'!$B$16-1)/2)/MAX(0.5,'Control Room'!$B$16/4))^2),1)</x:f>
        <x:v>1</x:v>
      </x:c>
      <x:c r="BE157" s="9" t="n">
        <x:f>MOD(BF156*16807,2147483647)</x:f>
        <x:v>553190473</x:v>
      </x:c>
      <x:c r="BF157" s="9" t="n">
        <x:f>MOD(BE157*16807,2147483647)</x:f>
        <x:v>1015571848</x:v>
      </x:c>
      <x:c r="BG157" s="17" t="n">
        <x:f>IF('Control Room'!$B$5="Normal",'Control Room'!$B$7+'Control Room'!$D$7*SQRT(-2*LN(MAX(0.000000000001,BE157/2147483647)))*COS(2*PI()*BF157/2147483647),'Control Room'!$B$8+('Control Room'!$D$8-'Control Room'!$B$8)*BE157/2147483647)</x:f>
        <x:v>853.9092513665205</x:v>
      </x:c>
      <x:c r="BH157" s="17" t="n">
        <x:f>IF('Control Room'!$B$5="Normal",'Control Room'!$B$7,('Control Room'!$B$8+'Control Room'!$D$8)/2)+'Control Room'!$B$9*(BH156-IF('Control Room'!$B$5="Normal",'Control Room'!$B$7,('Control Room'!$B$8+'Control Room'!$D$8)/2))+SQRT(1-'Control Room'!$B$9^2)*(BG157-IF('Control Room'!$B$5="Normal",'Control Room'!$B$7,('Control Room'!$B$8+'Control Room'!$D$8)/2))</x:f>
        <x:v>969.014519918079</x:v>
      </x:c>
      <x:c r="BI157" s="17" t="n">
        <x:f>IF(AND($A157&gt;='Control Room'!$A$13,$A157&lt;'Control Room'!$A$13+'Control Room'!$B$13,'Process'!BV2=1),1+('Control Room'!$C$13-1)*EXP(-0.5*(($A157-'Control Room'!$A$13-('Control Room'!$B$13-1)/2)/MAX(0.5,'Control Room'!$B$13/4))^2),1)*IF(AND($A157&gt;='Control Room'!$A$14,$A157&lt;'Control Room'!$A$14+'Control Room'!$B$14,'Process'!BV3=1),1+('Control Room'!$C$14-1)*EXP(-0.5*(($A157-'Control Room'!$A$14-('Control Room'!$B$14-1)/2)/MAX(0.5,'Control Room'!$B$14/4))^2),1)*IF(AND($A157&gt;='Control Room'!$A$15,$A157&lt;'Control Room'!$A$15+'Control Room'!$B$15,'Process'!BV4=1),1+('Control Room'!$C$15-1)*EXP(-0.5*(($A157-'Control Room'!$A$15-('Control Room'!$B$15-1)/2)/MAX(0.5,'Control Room'!$B$15/4))^2),1)*IF(AND($A157&gt;='Control Room'!$A$16,$A157&lt;'Control Room'!$A$16+'Control Room'!$B$16,'Process'!BV5=1),1+('Control Room'!$C$16-1)*EXP(-0.5*(($A157-'Control Room'!$A$16-('Control Room'!$B$16-1)/2)/MAX(0.5,'Control Room'!$B$16/4))^2),1)</x:f>
        <x:v>1</x:v>
      </x:c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Z157" t="str">
        <x:f>IF('Data'!A157="","",TEXT('Data'!A157,"mm-dd"))</x:f>
      </x:c>
    </x:row>
    <x:row r="158" ht="21" customHeight="1">
      <x:c r="A158" s="15" t="n">
        <x:f>'Control Room'!$B$1+156</x:f>
        <x:v>73147</x:v>
      </x:c>
      <x:c r="B158" s="9" t="n">
        <x:f>MOD(C157*16807,2147483647)</x:f>
        <x:v>1815936096</x:v>
      </x:c>
      <x:c r="C158" s="9" t="n">
        <x:f>MOD(B158*16807,2147483647)</x:f>
        <x:v>400374308</x:v>
      </x:c>
      <x:c r="D158" s="17" t="n">
        <x:f>IF('Control Room'!$B$5="Normal",'Control Room'!$B$7+'Control Room'!$D$7*SQRT(-2*LN(MAX(0.000000000001,B158/2147483647)))*COS(2*PI()*C158/2147483647),'Control Room'!$B$8+('Control Room'!$D$8-'Control Room'!$B$8)*B158/2147483647)</x:f>
        <x:v>1020.266732328488</x:v>
      </x:c>
      <x:c r="E158" s="17" t="n">
        <x:f>IF('Control Room'!$B$5="Normal",'Control Room'!$B$7,('Control Room'!$B$8+'Control Room'!$D$8)/2)+'Control Room'!$B$9*(E157-IF('Control Room'!$B$5="Normal",'Control Room'!$B$7,('Control Room'!$B$8+'Control Room'!$D$8)/2))+SQRT(1-'Control Room'!$B$9^2)*(D158-IF('Control Room'!$B$5="Normal",'Control Room'!$B$7,('Control Room'!$B$8+'Control Room'!$D$8)/2))</x:f>
        <x:v>1003.8955110158385</x:v>
      </x:c>
      <x:c r="F158" s="17" t="n">
        <x:f>IF(AND($A158&gt;='Control Room'!$A$13,$A158&lt;'Control Room'!$A$13+'Control Room'!$B$13,'Process'!BK2=1),1+('Control Room'!$C$13-1)*EXP(-0.5*(($A158-'Control Room'!$A$13-('Control Room'!$B$13-1)/2)/MAX(0.5,'Control Room'!$B$13/4))^2),1)*IF(AND($A158&gt;='Control Room'!$A$14,$A158&lt;'Control Room'!$A$14+'Control Room'!$B$14,'Process'!BK3=1),1+('Control Room'!$C$14-1)*EXP(-0.5*(($A158-'Control Room'!$A$14-('Control Room'!$B$14-1)/2)/MAX(0.5,'Control Room'!$B$14/4))^2),1)*IF(AND($A158&gt;='Control Room'!$A$15,$A158&lt;'Control Room'!$A$15+'Control Room'!$B$15,'Process'!BK4=1),1+('Control Room'!$C$15-1)*EXP(-0.5*(($A158-'Control Room'!$A$15-('Control Room'!$B$15-1)/2)/MAX(0.5,'Control Room'!$B$15/4))^2),1)*IF(AND($A158&gt;='Control Room'!$A$16,$A158&lt;'Control Room'!$A$16+'Control Room'!$B$16,'Process'!BK5=1),1+('Control Room'!$C$16-1)*EXP(-0.5*(($A158-'Control Room'!$A$16-('Control Room'!$B$16-1)/2)/MAX(0.5,'Control Room'!$B$16/4))^2),1)</x:f>
        <x:v>1</x:v>
      </x:c>
      <x:c r="G158" s="9" t="n">
        <x:f>MOD(H157*16807,2147483647)</x:f>
        <x:v>916859032</x:v>
      </x:c>
      <x:c r="H158" s="9" t="n">
        <x:f>MOD(G158*16807,2147483647)</x:f>
        <x:v>1454583599</x:v>
      </x:c>
      <x:c r="I158" s="17" t="n">
        <x:f>IF('Control Room'!$B$5="Normal",'Control Room'!$B$7+'Control Room'!$D$7*SQRT(-2*LN(MAX(0.000000000001,G158/2147483647)))*COS(2*PI()*H158/2147483647),'Control Room'!$B$8+('Control Room'!$D$8-'Control Room'!$B$8)*G158/2147483647)</x:f>
        <x:v>948.2378979703651</x:v>
      </x:c>
      <x:c r="J158" s="17" t="n">
        <x:f>IF('Control Room'!$B$5="Normal",'Control Room'!$B$7,('Control Room'!$B$8+'Control Room'!$D$8)/2)+'Control Room'!$B$9*(J157-IF('Control Room'!$B$5="Normal",'Control Room'!$B$7,('Control Room'!$B$8+'Control Room'!$D$8)/2))+SQRT(1-'Control Room'!$B$9^2)*(I158-IF('Control Room'!$B$5="Normal",'Control Room'!$B$7,('Control Room'!$B$8+'Control Room'!$D$8)/2))</x:f>
        <x:v>1070.3343231727508</x:v>
      </x:c>
      <x:c r="K158" s="17" t="n">
        <x:f>IF(AND($A158&gt;='Control Room'!$A$13,$A158&lt;'Control Room'!$A$13+'Control Room'!$B$13,'Process'!BL2=1),1+('Control Room'!$C$13-1)*EXP(-0.5*(($A158-'Control Room'!$A$13-('Control Room'!$B$13-1)/2)/MAX(0.5,'Control Room'!$B$13/4))^2),1)*IF(AND($A158&gt;='Control Room'!$A$14,$A158&lt;'Control Room'!$A$14+'Control Room'!$B$14,'Process'!BL3=1),1+('Control Room'!$C$14-1)*EXP(-0.5*(($A158-'Control Room'!$A$14-('Control Room'!$B$14-1)/2)/MAX(0.5,'Control Room'!$B$14/4))^2),1)*IF(AND($A158&gt;='Control Room'!$A$15,$A158&lt;'Control Room'!$A$15+'Control Room'!$B$15,'Process'!BL4=1),1+('Control Room'!$C$15-1)*EXP(-0.5*(($A158-'Control Room'!$A$15-('Control Room'!$B$15-1)/2)/MAX(0.5,'Control Room'!$B$15/4))^2),1)*IF(AND($A158&gt;='Control Room'!$A$16,$A158&lt;'Control Room'!$A$16+'Control Room'!$B$16,'Process'!BL5=1),1+('Control Room'!$C$16-1)*EXP(-0.5*(($A158-'Control Room'!$A$16-('Control Room'!$B$16-1)/2)/MAX(0.5,'Control Room'!$B$16/4))^2),1)</x:f>
        <x:v>1</x:v>
      </x:c>
      <x:c r="L158" s="9" t="n">
        <x:f>MOD(M157*16807,2147483647)</x:f>
        <x:v>17781968</x:v>
      </x:c>
      <x:c r="M158" s="9" t="n">
        <x:f>MOD(L158*16807,2147483647)</x:f>
        <x:v>361309243</x:v>
      </x:c>
      <x:c r="N158" s="17" t="n">
        <x:f>IF('Control Room'!$B$5="Normal",'Control Room'!$B$7+'Control Room'!$D$7*SQRT(-2*LN(MAX(0.000000000001,L158/2147483647)))*COS(2*PI()*M158/2147483647),'Control Room'!$B$8+('Control Room'!$D$8-'Control Room'!$B$8)*L158/2147483647)</x:f>
        <x:v>1136.933959163877</x:v>
      </x:c>
      <x:c r="O158" s="17" t="n">
        <x:f>IF('Control Room'!$B$5="Normal",'Control Room'!$B$7,('Control Room'!$B$8+'Control Room'!$D$8)/2)+'Control Room'!$B$9*(O157-IF('Control Room'!$B$5="Normal",'Control Room'!$B$7,('Control Room'!$B$8+'Control Room'!$D$8)/2))+SQRT(1-'Control Room'!$B$9^2)*(N158-IF('Control Room'!$B$5="Normal",'Control Room'!$B$7,('Control Room'!$B$8+'Control Room'!$D$8)/2))</x:f>
        <x:v>1167.804308551674</x:v>
      </x:c>
      <x:c r="P158" s="17" t="n">
        <x:f>IF(AND($A158&gt;='Control Room'!$A$13,$A158&lt;'Control Room'!$A$13+'Control Room'!$B$13,'Process'!BM2=1),1+('Control Room'!$C$13-1)*EXP(-0.5*(($A158-'Control Room'!$A$13-('Control Room'!$B$13-1)/2)/MAX(0.5,'Control Room'!$B$13/4))^2),1)*IF(AND($A158&gt;='Control Room'!$A$14,$A158&lt;'Control Room'!$A$14+'Control Room'!$B$14,'Process'!BM3=1),1+('Control Room'!$C$14-1)*EXP(-0.5*(($A158-'Control Room'!$A$14-('Control Room'!$B$14-1)/2)/MAX(0.5,'Control Room'!$B$14/4))^2),1)*IF(AND($A158&gt;='Control Room'!$A$15,$A158&lt;'Control Room'!$A$15+'Control Room'!$B$15,'Process'!BM4=1),1+('Control Room'!$C$15-1)*EXP(-0.5*(($A158-'Control Room'!$A$15-('Control Room'!$B$15-1)/2)/MAX(0.5,'Control Room'!$B$15/4))^2),1)*IF(AND($A158&gt;='Control Room'!$A$16,$A158&lt;'Control Room'!$A$16+'Control Room'!$B$16,'Process'!BM5=1),1+('Control Room'!$C$16-1)*EXP(-0.5*(($A158-'Control Room'!$A$16-('Control Room'!$B$16-1)/2)/MAX(0.5,'Control Room'!$B$16/4))^2),1)</x:f>
        <x:v>1</x:v>
      </x:c>
      <x:c r="Q158" s="9" t="n">
        <x:f>MOD(R157*16807,2147483647)</x:f>
        <x:v>1266188551</x:v>
      </x:c>
      <x:c r="R158" s="9" t="n">
        <x:f>MOD(Q158*16807,2147483647)</x:f>
        <x:v>1415518534</x:v>
      </x:c>
      <x:c r="S158" s="17" t="n">
        <x:f>IF('Control Room'!$B$5="Normal",'Control Room'!$B$7+'Control Room'!$D$7*SQRT(-2*LN(MAX(0.000000000001,Q158/2147483647)))*COS(2*PI()*R158/2147483647),'Control Room'!$B$8+('Control Room'!$D$8-'Control Room'!$B$8)*Q158/2147483647)</x:f>
        <x:v>950.014918080298</x:v>
      </x:c>
      <x:c r="T158" s="17" t="n">
        <x:f>IF('Control Room'!$B$5="Normal",'Control Room'!$B$7,('Control Room'!$B$8+'Control Room'!$D$8)/2)+'Control Room'!$B$9*(T157-IF('Control Room'!$B$5="Normal",'Control Room'!$B$7,('Control Room'!$B$8+'Control Room'!$D$8)/2))+SQRT(1-'Control Room'!$B$9^2)*(S158-IF('Control Room'!$B$5="Normal",'Control Room'!$B$7,('Control Room'!$B$8+'Control Room'!$D$8)/2))</x:f>
        <x:v>832.1643308833319</x:v>
      </x:c>
      <x:c r="U158" s="17" t="n">
        <x:f>IF(AND($A158&gt;='Control Room'!$A$13,$A158&lt;'Control Room'!$A$13+'Control Room'!$B$13,'Process'!BN2=1),1+('Control Room'!$C$13-1)*EXP(-0.5*(($A158-'Control Room'!$A$13-('Control Room'!$B$13-1)/2)/MAX(0.5,'Control Room'!$B$13/4))^2),1)*IF(AND($A158&gt;='Control Room'!$A$14,$A158&lt;'Control Room'!$A$14+'Control Room'!$B$14,'Process'!BN3=1),1+('Control Room'!$C$14-1)*EXP(-0.5*(($A158-'Control Room'!$A$14-('Control Room'!$B$14-1)/2)/MAX(0.5,'Control Room'!$B$14/4))^2),1)*IF(AND($A158&gt;='Control Room'!$A$15,$A158&lt;'Control Room'!$A$15+'Control Room'!$B$15,'Process'!BN4=1),1+('Control Room'!$C$15-1)*EXP(-0.5*(($A158-'Control Room'!$A$15-('Control Room'!$B$15-1)/2)/MAX(0.5,'Control Room'!$B$15/4))^2),1)*IF(AND($A158&gt;='Control Room'!$A$16,$A158&lt;'Control Room'!$A$16+'Control Room'!$B$16,'Process'!BN5=1),1+('Control Room'!$C$16-1)*EXP(-0.5*(($A158-'Control Room'!$A$16-('Control Room'!$B$16-1)/2)/MAX(0.5,'Control Room'!$B$16/4))^2),1)</x:f>
        <x:v>1</x:v>
      </x:c>
      <x:c r="V158" s="9" t="n">
        <x:f>MOD(W157*16807,2147483647)</x:f>
        <x:v>367111487</x:v>
      </x:c>
      <x:c r="W158" s="9" t="n">
        <x:f>MOD(V158*16807,2147483647)</x:f>
        <x:v>322244178</x:v>
      </x:c>
      <x:c r="X158" s="17" t="n">
        <x:f>IF('Control Room'!$B$5="Normal",'Control Room'!$B$7+'Control Room'!$D$7*SQRT(-2*LN(MAX(0.000000000001,V158/2147483647)))*COS(2*PI()*W158/2147483647),'Control Room'!$B$8+('Control Room'!$D$8-'Control Room'!$B$8)*V158/2147483647)</x:f>
        <x:v>1099.3816611745715</x:v>
      </x:c>
      <x:c r="Y158" s="17" t="n">
        <x:f>IF('Control Room'!$B$5="Normal",'Control Room'!$B$7,('Control Room'!$B$8+'Control Room'!$D$8)/2)+'Control Room'!$B$9*(Y157-IF('Control Room'!$B$5="Normal",'Control Room'!$B$7,('Control Room'!$B$8+'Control Room'!$D$8)/2))+SQRT(1-'Control Room'!$B$9^2)*(X158-IF('Control Room'!$B$5="Normal",'Control Room'!$B$7,('Control Room'!$B$8+'Control Room'!$D$8)/2))</x:f>
        <x:v>1185.1638926255862</x:v>
      </x:c>
      <x:c r="Z158" s="17" t="n">
        <x:f>IF(AND($A158&gt;='Control Room'!$A$13,$A158&lt;'Control Room'!$A$13+'Control Room'!$B$13,'Process'!BO2=1),1+('Control Room'!$C$13-1)*EXP(-0.5*(($A158-'Control Room'!$A$13-('Control Room'!$B$13-1)/2)/MAX(0.5,'Control Room'!$B$13/4))^2),1)*IF(AND($A158&gt;='Control Room'!$A$14,$A158&lt;'Control Room'!$A$14+'Control Room'!$B$14,'Process'!BO3=1),1+('Control Room'!$C$14-1)*EXP(-0.5*(($A158-'Control Room'!$A$14-('Control Room'!$B$14-1)/2)/MAX(0.5,'Control Room'!$B$14/4))^2),1)*IF(AND($A158&gt;='Control Room'!$A$15,$A158&lt;'Control Room'!$A$15+'Control Room'!$B$15,'Process'!BO4=1),1+('Control Room'!$C$15-1)*EXP(-0.5*(($A158-'Control Room'!$A$15-('Control Room'!$B$15-1)/2)/MAX(0.5,'Control Room'!$B$15/4))^2),1)*IF(AND($A158&gt;='Control Room'!$A$16,$A158&lt;'Control Room'!$A$16+'Control Room'!$B$16,'Process'!BO5=1),1+('Control Room'!$C$16-1)*EXP(-0.5*(($A158-'Control Room'!$A$16-('Control Room'!$B$16-1)/2)/MAX(0.5,'Control Room'!$B$16/4))^2),1)</x:f>
        <x:v>1</x:v>
      </x:c>
      <x:c r="AA158" s="9" t="n">
        <x:f>MOD(AB157*16807,2147483647)</x:f>
        <x:v>1615518070</x:v>
      </x:c>
      <x:c r="AB158" s="9" t="n">
        <x:f>MOD(AA158*16807,2147483647)</x:f>
        <x:v>1376453469</x:v>
      </x:c>
      <x:c r="AC158" s="17" t="n">
        <x:f>IF('Control Room'!$B$5="Normal",'Control Room'!$B$7+'Control Room'!$D$7*SQRT(-2*LN(MAX(0.000000000001,AA158/2147483647)))*COS(2*PI()*AB158/2147483647),'Control Room'!$B$8+('Control Room'!$D$8-'Control Room'!$B$8)*AA158/2147483647)</x:f>
        <x:v>957.0320195860277</x:v>
      </x:c>
      <x:c r="AD158" s="17" t="n">
        <x:f>IF('Control Room'!$B$5="Normal",'Control Room'!$B$7,('Control Room'!$B$8+'Control Room'!$D$8)/2)+'Control Room'!$B$9*(AD157-IF('Control Room'!$B$5="Normal",'Control Room'!$B$7,('Control Room'!$B$8+'Control Room'!$D$8)/2))+SQRT(1-'Control Room'!$B$9^2)*(AC158-IF('Control Room'!$B$5="Normal",'Control Room'!$B$7,('Control Room'!$B$8+'Control Room'!$D$8)/2))</x:f>
        <x:v>1021.6422790776221</x:v>
      </x:c>
      <x:c r="AE158" s="17" t="n">
        <x:f>IF(AND($A158&gt;='Control Room'!$A$13,$A158&lt;'Control Room'!$A$13+'Control Room'!$B$13,'Process'!BP2=1),1+('Control Room'!$C$13-1)*EXP(-0.5*(($A158-'Control Room'!$A$13-('Control Room'!$B$13-1)/2)/MAX(0.5,'Control Room'!$B$13/4))^2),1)*IF(AND($A158&gt;='Control Room'!$A$14,$A158&lt;'Control Room'!$A$14+'Control Room'!$B$14,'Process'!BP3=1),1+('Control Room'!$C$14-1)*EXP(-0.5*(($A158-'Control Room'!$A$14-('Control Room'!$B$14-1)/2)/MAX(0.5,'Control Room'!$B$14/4))^2),1)*IF(AND($A158&gt;='Control Room'!$A$15,$A158&lt;'Control Room'!$A$15+'Control Room'!$B$15,'Process'!BP4=1),1+('Control Room'!$C$15-1)*EXP(-0.5*(($A158-'Control Room'!$A$15-('Control Room'!$B$15-1)/2)/MAX(0.5,'Control Room'!$B$15/4))^2),1)*IF(AND($A158&gt;='Control Room'!$A$16,$A158&lt;'Control Room'!$A$16+'Control Room'!$B$16,'Process'!BP5=1),1+('Control Room'!$C$16-1)*EXP(-0.5*(($A158-'Control Room'!$A$16-('Control Room'!$B$16-1)/2)/MAX(0.5,'Control Room'!$B$16/4))^2),1)</x:f>
        <x:v>1</x:v>
      </x:c>
      <x:c r="AF158" s="9" t="n">
        <x:f>MOD(AG157*16807,2147483647)</x:f>
        <x:v>716441006</x:v>
      </x:c>
      <x:c r="AG158" s="9" t="n">
        <x:f>MOD(AF158*16807,2147483647)</x:f>
        <x:v>283179113</x:v>
      </x:c>
      <x:c r="AH158" s="17" t="n">
        <x:f>IF('Control Room'!$B$5="Normal",'Control Room'!$B$7+'Control Room'!$D$7*SQRT(-2*LN(MAX(0.000000000001,AF158/2147483647)))*COS(2*PI()*AG158/2147483647),'Control Room'!$B$8+('Control Room'!$D$8-'Control Room'!$B$8)*AF158/2147483647)</x:f>
        <x:v>1090.1422951767331</x:v>
      </x:c>
      <x:c r="AI158" s="17" t="n">
        <x:f>IF('Control Room'!$B$5="Normal",'Control Room'!$B$7,('Control Room'!$B$8+'Control Room'!$D$8)/2)+'Control Room'!$B$9*(AI157-IF('Control Room'!$B$5="Normal",'Control Room'!$B$7,('Control Room'!$B$8+'Control Room'!$D$8)/2))+SQRT(1-'Control Room'!$B$9^2)*(AH158-IF('Control Room'!$B$5="Normal",'Control Room'!$B$7,('Control Room'!$B$8+'Control Room'!$D$8)/2))</x:f>
        <x:v>992.7335885723977</x:v>
      </x:c>
      <x:c r="AJ158" s="17" t="n">
        <x:f>IF(AND($A158&gt;='Control Room'!$A$13,$A158&lt;'Control Room'!$A$13+'Control Room'!$B$13,'Process'!BQ2=1),1+('Control Room'!$C$13-1)*EXP(-0.5*(($A158-'Control Room'!$A$13-('Control Room'!$B$13-1)/2)/MAX(0.5,'Control Room'!$B$13/4))^2),1)*IF(AND($A158&gt;='Control Room'!$A$14,$A158&lt;'Control Room'!$A$14+'Control Room'!$B$14,'Process'!BQ3=1),1+('Control Room'!$C$14-1)*EXP(-0.5*(($A158-'Control Room'!$A$14-('Control Room'!$B$14-1)/2)/MAX(0.5,'Control Room'!$B$14/4))^2),1)*IF(AND($A158&gt;='Control Room'!$A$15,$A158&lt;'Control Room'!$A$15+'Control Room'!$B$15,'Process'!BQ4=1),1+('Control Room'!$C$15-1)*EXP(-0.5*(($A158-'Control Room'!$A$15-('Control Room'!$B$15-1)/2)/MAX(0.5,'Control Room'!$B$15/4))^2),1)*IF(AND($A158&gt;='Control Room'!$A$16,$A158&lt;'Control Room'!$A$16+'Control Room'!$B$16,'Process'!BQ5=1),1+('Control Room'!$C$16-1)*EXP(-0.5*(($A158-'Control Room'!$A$16-('Control Room'!$B$16-1)/2)/MAX(0.5,'Control Room'!$B$16/4))^2),1)</x:f>
        <x:v>1</x:v>
      </x:c>
      <x:c r="AK158" s="9" t="n">
        <x:f>MOD(AL157*16807,2147483647)</x:f>
        <x:v>1964847589</x:v>
      </x:c>
      <x:c r="AL158" s="9" t="n">
        <x:f>MOD(AK158*16807,2147483647)</x:f>
        <x:v>1337388404</x:v>
      </x:c>
      <x:c r="AM158" s="17" t="n">
        <x:f>IF('Control Room'!$B$5="Normal",'Control Room'!$B$7+'Control Room'!$D$7*SQRT(-2*LN(MAX(0.000000000001,AK158/2147483647)))*COS(2*PI()*AL158/2147483647),'Control Room'!$B$8+('Control Room'!$D$8-'Control Room'!$B$8)*AK158/2147483647)</x:f>
        <x:v>972.7949053427026</x:v>
      </x:c>
      <x:c r="AN158" s="17" t="n">
        <x:f>IF('Control Room'!$B$5="Normal",'Control Room'!$B$7,('Control Room'!$B$8+'Control Room'!$D$8)/2)+'Control Room'!$B$9*(AN157-IF('Control Room'!$B$5="Normal",'Control Room'!$B$7,('Control Room'!$B$8+'Control Room'!$D$8)/2))+SQRT(1-'Control Room'!$B$9^2)*(AM158-IF('Control Room'!$B$5="Normal",'Control Room'!$B$7,('Control Room'!$B$8+'Control Room'!$D$8)/2))</x:f>
        <x:v>1043.8487752654862</x:v>
      </x:c>
      <x:c r="AO158" s="17" t="n">
        <x:f>IF(AND($A158&gt;='Control Room'!$A$13,$A158&lt;'Control Room'!$A$13+'Control Room'!$B$13,'Process'!BR2=1),1+('Control Room'!$C$13-1)*EXP(-0.5*(($A158-'Control Room'!$A$13-('Control Room'!$B$13-1)/2)/MAX(0.5,'Control Room'!$B$13/4))^2),1)*IF(AND($A158&gt;='Control Room'!$A$14,$A158&lt;'Control Room'!$A$14+'Control Room'!$B$14,'Process'!BR3=1),1+('Control Room'!$C$14-1)*EXP(-0.5*(($A158-'Control Room'!$A$14-('Control Room'!$B$14-1)/2)/MAX(0.5,'Control Room'!$B$14/4))^2),1)*IF(AND($A158&gt;='Control Room'!$A$15,$A158&lt;'Control Room'!$A$15+'Control Room'!$B$15,'Process'!BR4=1),1+('Control Room'!$C$15-1)*EXP(-0.5*(($A158-'Control Room'!$A$15-('Control Room'!$B$15-1)/2)/MAX(0.5,'Control Room'!$B$15/4))^2),1)*IF(AND($A158&gt;='Control Room'!$A$16,$A158&lt;'Control Room'!$A$16+'Control Room'!$B$16,'Process'!BR5=1),1+('Control Room'!$C$16-1)*EXP(-0.5*(($A158-'Control Room'!$A$16-('Control Room'!$B$16-1)/2)/MAX(0.5,'Control Room'!$B$16/4))^2),1)</x:f>
        <x:v>1</x:v>
      </x:c>
      <x:c r="AP158" s="9" t="n">
        <x:f>MOD(AQ157*16807,2147483647)</x:f>
        <x:v>1065770525</x:v>
      </x:c>
      <x:c r="AQ158" s="9" t="n">
        <x:f>MOD(AP158*16807,2147483647)</x:f>
        <x:v>244114048</x:v>
      </x:c>
      <x:c r="AR158" s="17" t="n">
        <x:f>IF('Control Room'!$B$5="Normal",'Control Room'!$B$7+'Control Room'!$D$7*SQRT(-2*LN(MAX(0.000000000001,AP158/2147483647)))*COS(2*PI()*AQ158/2147483647),'Control Room'!$B$8+('Control Room'!$D$8-'Control Room'!$B$8)*AP158/2147483647)</x:f>
        <x:v>1080.4970538077137</x:v>
      </x:c>
      <x:c r="AS158" s="17" t="n">
        <x:f>IF('Control Room'!$B$5="Normal",'Control Room'!$B$7,('Control Room'!$B$8+'Control Room'!$D$8)/2)+'Control Room'!$B$9*(AS157-IF('Control Room'!$B$5="Normal",'Control Room'!$B$7,('Control Room'!$B$8+'Control Room'!$D$8)/2))+SQRT(1-'Control Room'!$B$9^2)*(AR158-IF('Control Room'!$B$5="Normal",'Control Room'!$B$7,('Control Room'!$B$8+'Control Room'!$D$8)/2))</x:f>
        <x:v>1022.0736071959544</x:v>
      </x:c>
      <x:c r="AT158" s="17" t="n">
        <x:f>IF(AND($A158&gt;='Control Room'!$A$13,$A158&lt;'Control Room'!$A$13+'Control Room'!$B$13,'Process'!BS2=1),1+('Control Room'!$C$13-1)*EXP(-0.5*(($A158-'Control Room'!$A$13-('Control Room'!$B$13-1)/2)/MAX(0.5,'Control Room'!$B$13/4))^2),1)*IF(AND($A158&gt;='Control Room'!$A$14,$A158&lt;'Control Room'!$A$14+'Control Room'!$B$14,'Process'!BS3=1),1+('Control Room'!$C$14-1)*EXP(-0.5*(($A158-'Control Room'!$A$14-('Control Room'!$B$14-1)/2)/MAX(0.5,'Control Room'!$B$14/4))^2),1)*IF(AND($A158&gt;='Control Room'!$A$15,$A158&lt;'Control Room'!$A$15+'Control Room'!$B$15,'Process'!BS4=1),1+('Control Room'!$C$15-1)*EXP(-0.5*(($A158-'Control Room'!$A$15-('Control Room'!$B$15-1)/2)/MAX(0.5,'Control Room'!$B$15/4))^2),1)*IF(AND($A158&gt;='Control Room'!$A$16,$A158&lt;'Control Room'!$A$16+'Control Room'!$B$16,'Process'!BS5=1),1+('Control Room'!$C$16-1)*EXP(-0.5*(($A158-'Control Room'!$A$16-('Control Room'!$B$16-1)/2)/MAX(0.5,'Control Room'!$B$16/4))^2),1)</x:f>
        <x:v>1</x:v>
      </x:c>
      <x:c r="AU158" s="9" t="n">
        <x:f>MOD(AV157*16807,2147483647)</x:f>
        <x:v>166693461</x:v>
      </x:c>
      <x:c r="AV158" s="9" t="n">
        <x:f>MOD(AU158*16807,2147483647)</x:f>
        <x:v>1298323339</x:v>
      </x:c>
      <x:c r="AW158" s="17" t="n">
        <x:f>IF('Control Room'!$B$5="Normal",'Control Room'!$B$7+'Control Room'!$D$7*SQRT(-2*LN(MAX(0.000000000001,AU158/2147483647)))*COS(2*PI()*AV158/2147483647),'Control Room'!$B$8+('Control Room'!$D$8-'Control Room'!$B$8)*AU158/2147483647)</x:f>
        <x:v>838.8871430965257</x:v>
      </x:c>
      <x:c r="AX158" s="17" t="n">
        <x:f>IF('Control Room'!$B$5="Normal",'Control Room'!$B$7,('Control Room'!$B$8+'Control Room'!$D$8)/2)+'Control Room'!$B$9*(AX157-IF('Control Room'!$B$5="Normal",'Control Room'!$B$7,('Control Room'!$B$8+'Control Room'!$D$8)/2))+SQRT(1-'Control Room'!$B$9^2)*(AW158-IF('Control Room'!$B$5="Normal",'Control Room'!$B$7,('Control Room'!$B$8+'Control Room'!$D$8)/2))</x:f>
        <x:v>729.8195795615686</x:v>
      </x:c>
      <x:c r="AY158" s="17" t="n">
        <x:f>IF(AND($A158&gt;='Control Room'!$A$13,$A158&lt;'Control Room'!$A$13+'Control Room'!$B$13,'Process'!BT2=1),1+('Control Room'!$C$13-1)*EXP(-0.5*(($A158-'Control Room'!$A$13-('Control Room'!$B$13-1)/2)/MAX(0.5,'Control Room'!$B$13/4))^2),1)*IF(AND($A158&gt;='Control Room'!$A$14,$A158&lt;'Control Room'!$A$14+'Control Room'!$B$14,'Process'!BT3=1),1+('Control Room'!$C$14-1)*EXP(-0.5*(($A158-'Control Room'!$A$14-('Control Room'!$B$14-1)/2)/MAX(0.5,'Control Room'!$B$14/4))^2),1)*IF(AND($A158&gt;='Control Room'!$A$15,$A158&lt;'Control Room'!$A$15+'Control Room'!$B$15,'Process'!BT4=1),1+('Control Room'!$C$15-1)*EXP(-0.5*(($A158-'Control Room'!$A$15-('Control Room'!$B$15-1)/2)/MAX(0.5,'Control Room'!$B$15/4))^2),1)*IF(AND($A158&gt;='Control Room'!$A$16,$A158&lt;'Control Room'!$A$16+'Control Room'!$B$16,'Process'!BT5=1),1+('Control Room'!$C$16-1)*EXP(-0.5*(($A158-'Control Room'!$A$16-('Control Room'!$B$16-1)/2)/MAX(0.5,'Control Room'!$B$16/4))^2),1)</x:f>
        <x:v>1</x:v>
      </x:c>
      <x:c r="AZ158" s="9" t="n">
        <x:f>MOD(BA157*16807,2147483647)</x:f>
        <x:v>1415100044</x:v>
      </x:c>
      <x:c r="BA158" s="9" t="n">
        <x:f>MOD(AZ158*16807,2147483647)</x:f>
        <x:v>205048983</x:v>
      </x:c>
      <x:c r="BB158" s="17" t="n">
        <x:f>IF('Control Room'!$B$5="Normal",'Control Room'!$B$7+'Control Room'!$D$7*SQRT(-2*LN(MAX(0.000000000001,AZ158/2147483647)))*COS(2*PI()*BA158/2147483647),'Control Room'!$B$8+('Control Room'!$D$8-'Control Room'!$B$8)*AZ158/2147483647)</x:f>
        <x:v>1067.8460061895876</x:v>
      </x:c>
      <x:c r="BC158" s="17" t="n">
        <x:f>IF('Control Room'!$B$5="Normal",'Control Room'!$B$7,('Control Room'!$B$8+'Control Room'!$D$8)/2)+'Control Room'!$B$9*(BC157-IF('Control Room'!$B$5="Normal",'Control Room'!$B$7,('Control Room'!$B$8+'Control Room'!$D$8)/2))+SQRT(1-'Control Room'!$B$9^2)*(BB158-IF('Control Room'!$B$5="Normal",'Control Room'!$B$7,('Control Room'!$B$8+'Control Room'!$D$8)/2))</x:f>
        <x:v>1078.9504197213214</x:v>
      </x:c>
      <x:c r="BD158" s="17" t="n">
        <x:f>IF(AND($A158&gt;='Control Room'!$A$13,$A158&lt;'Control Room'!$A$13+'Control Room'!$B$13,'Process'!BU2=1),1+('Control Room'!$C$13-1)*EXP(-0.5*(($A158-'Control Room'!$A$13-('Control Room'!$B$13-1)/2)/MAX(0.5,'Control Room'!$B$13/4))^2),1)*IF(AND($A158&gt;='Control Room'!$A$14,$A158&lt;'Control Room'!$A$14+'Control Room'!$B$14,'Process'!BU3=1),1+('Control Room'!$C$14-1)*EXP(-0.5*(($A158-'Control Room'!$A$14-('Control Room'!$B$14-1)/2)/MAX(0.5,'Control Room'!$B$14/4))^2),1)*IF(AND($A158&gt;='Control Room'!$A$15,$A158&lt;'Control Room'!$A$15+'Control Room'!$B$15,'Process'!BU4=1),1+('Control Room'!$C$15-1)*EXP(-0.5*(($A158-'Control Room'!$A$15-('Control Room'!$B$15-1)/2)/MAX(0.5,'Control Room'!$B$15/4))^2),1)*IF(AND($A158&gt;='Control Room'!$A$16,$A158&lt;'Control Room'!$A$16+'Control Room'!$B$16,'Process'!BU5=1),1+('Control Room'!$C$16-1)*EXP(-0.5*(($A158-'Control Room'!$A$16-('Control Room'!$B$16-1)/2)/MAX(0.5,'Control Room'!$B$16/4))^2),1)</x:f>
        <x:v>1</x:v>
      </x:c>
      <x:c r="BE158" s="9" t="n">
        <x:f>MOD(BF157*16807,2147483647)</x:f>
        <x:v>516022980</x:v>
      </x:c>
      <x:c r="BF158" s="9" t="n">
        <x:f>MOD(BE158*16807,2147483647)</x:f>
        <x:v>1259258274</x:v>
      </x:c>
      <x:c r="BG158" s="17" t="n">
        <x:f>IF('Control Room'!$B$5="Normal",'Control Room'!$B$7+'Control Room'!$D$7*SQRT(-2*LN(MAX(0.000000000001,BE158/2147483647)))*COS(2*PI()*BF158/2147483647),'Control Room'!$B$8+('Control Room'!$D$8-'Control Room'!$B$8)*BE158/2147483647)</x:f>
        <x:v>869.8592969536511</x:v>
      </x:c>
      <x:c r="BH158" s="17" t="n">
        <x:f>IF('Control Room'!$B$5="Normal",'Control Room'!$B$7,('Control Room'!$B$8+'Control Room'!$D$8)/2)+'Control Room'!$B$9*(BH157-IF('Control Room'!$B$5="Normal",'Control Room'!$B$7,('Control Room'!$B$8+'Control Room'!$D$8)/2))+SQRT(1-'Control Room'!$B$9^2)*(BG158-IF('Control Room'!$B$5="Normal",'Control Room'!$B$7,('Control Room'!$B$8+'Control Room'!$D$8)/2))</x:f>
        <x:v>894.3919396469126</x:v>
      </x:c>
      <x:c r="BI158" s="17" t="n">
        <x:f>IF(AND($A158&gt;='Control Room'!$A$13,$A158&lt;'Control Room'!$A$13+'Control Room'!$B$13,'Process'!BV2=1),1+('Control Room'!$C$13-1)*EXP(-0.5*(($A158-'Control Room'!$A$13-('Control Room'!$B$13-1)/2)/MAX(0.5,'Control Room'!$B$13/4))^2),1)*IF(AND($A158&gt;='Control Room'!$A$14,$A158&lt;'Control Room'!$A$14+'Control Room'!$B$14,'Process'!BV3=1),1+('Control Room'!$C$14-1)*EXP(-0.5*(($A158-'Control Room'!$A$14-('Control Room'!$B$14-1)/2)/MAX(0.5,'Control Room'!$B$14/4))^2),1)*IF(AND($A158&gt;='Control Room'!$A$15,$A158&lt;'Control Room'!$A$15+'Control Room'!$B$15,'Process'!BV4=1),1+('Control Room'!$C$15-1)*EXP(-0.5*(($A158-'Control Room'!$A$15-('Control Room'!$B$15-1)/2)/MAX(0.5,'Control Room'!$B$15/4))^2),1)*IF(AND($A158&gt;='Control Room'!$A$16,$A158&lt;'Control Room'!$A$16+'Control Room'!$B$16,'Process'!BV5=1),1+('Control Room'!$C$16-1)*EXP(-0.5*(($A158-'Control Room'!$A$16-('Control Room'!$B$16-1)/2)/MAX(0.5,'Control Room'!$B$16/4))^2),1)</x:f>
        <x:v>1</x:v>
      </x:c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Z158" t="str">
        <x:f>IF('Data'!A158="","",TEXT('Data'!A158,"mm-dd"))</x:f>
      </x:c>
    </x:row>
    <x:row r="159" ht="21" customHeight="1">
      <x:c r="A159" s="15" t="n">
        <x:f>'Control Room'!$B$1+157</x:f>
        <x:v>73148</x:v>
      </x:c>
      <x:c r="B159" s="9" t="n">
        <x:f>MOD(C158*16807,2147483647)</x:f>
        <x:v>1024728505</x:v>
      </x:c>
      <x:c r="C159" s="9" t="n">
        <x:f>MOD(B159*16807,2147483647)</x:f>
        <x:v>1940618242</x:v>
      </x:c>
      <x:c r="D159" s="17" t="n">
        <x:f>IF('Control Room'!$B$5="Normal",'Control Room'!$B$7+'Control Room'!$D$7*SQRT(-2*LN(MAX(0.000000000001,B159/2147483647)))*COS(2*PI()*C159/2147483647),'Control Room'!$B$8+('Control Room'!$D$8-'Control Room'!$B$8)*B159/2147483647)</x:f>
        <x:v>1090.0317242526646</x:v>
      </x:c>
      <x:c r="E159" s="17" t="n">
        <x:f>IF('Control Room'!$B$5="Normal",'Control Room'!$B$7,('Control Room'!$B$8+'Control Room'!$D$8)/2)+'Control Room'!$B$9*(E158-IF('Control Room'!$B$5="Normal",'Control Room'!$B$7,('Control Room'!$B$8+'Control Room'!$D$8)/2))+SQRT(1-'Control Room'!$B$9^2)*(D159-IF('Control Room'!$B$5="Normal",'Control Room'!$B$7,('Control Room'!$B$8+'Control Room'!$D$8)/2))</x:f>
        <x:v>1059.3785072295482</x:v>
      </x:c>
      <x:c r="F159" s="17" t="n">
        <x:f>IF(AND($A159&gt;='Control Room'!$A$13,$A159&lt;'Control Room'!$A$13+'Control Room'!$B$13,'Process'!BK2=1),1+('Control Room'!$C$13-1)*EXP(-0.5*(($A159-'Control Room'!$A$13-('Control Room'!$B$13-1)/2)/MAX(0.5,'Control Room'!$B$13/4))^2),1)*IF(AND($A159&gt;='Control Room'!$A$14,$A159&lt;'Control Room'!$A$14+'Control Room'!$B$14,'Process'!BK3=1),1+('Control Room'!$C$14-1)*EXP(-0.5*(($A159-'Control Room'!$A$14-('Control Room'!$B$14-1)/2)/MAX(0.5,'Control Room'!$B$14/4))^2),1)*IF(AND($A159&gt;='Control Room'!$A$15,$A159&lt;'Control Room'!$A$15+'Control Room'!$B$15,'Process'!BK4=1),1+('Control Room'!$C$15-1)*EXP(-0.5*(($A159-'Control Room'!$A$15-('Control Room'!$B$15-1)/2)/MAX(0.5,'Control Room'!$B$15/4))^2),1)*IF(AND($A159&gt;='Control Room'!$A$16,$A159&lt;'Control Room'!$A$16+'Control Room'!$B$16,'Process'!BK5=1),1+('Control Room'!$C$16-1)*EXP(-0.5*(($A159-'Control Room'!$A$16-('Control Room'!$B$16-1)/2)/MAX(0.5,'Control Room'!$B$16/4))^2),1)</x:f>
        <x:v>1</x:v>
      </x:c>
      <x:c r="G159" s="9" t="n">
        <x:f>MOD(H158*16807,2147483647)</x:f>
        <x:v>232710945</x:v>
      </x:c>
      <x:c r="H159" s="9" t="n">
        <x:f>MOD(G159*16807,2147483647)</x:f>
        <x:v>605131428</x:v>
      </x:c>
      <x:c r="I159" s="17" t="n">
        <x:f>IF('Control Room'!$B$5="Normal",'Control Room'!$B$7+'Control Room'!$D$7*SQRT(-2*LN(MAX(0.000000000001,G159/2147483647)))*COS(2*PI()*H159/2147483647),'Control Room'!$B$8+('Control Room'!$D$8-'Control Room'!$B$8)*G159/2147483647)</x:f>
        <x:v>962.3571063342808</x:v>
      </x:c>
      <x:c r="J159" s="17" t="n">
        <x:f>IF('Control Room'!$B$5="Normal",'Control Room'!$B$7,('Control Room'!$B$8+'Control Room'!$D$8)/2)+'Control Room'!$B$9*(J158-IF('Control Room'!$B$5="Normal",'Control Room'!$B$7,('Control Room'!$B$8+'Control Room'!$D$8)/2))+SQRT(1-'Control Room'!$B$9^2)*(I159-IF('Control Room'!$B$5="Normal",'Control Room'!$B$7,('Control Room'!$B$8+'Control Room'!$D$8)/2))</x:f>
        <x:v>1031.3046203753315</x:v>
      </x:c>
      <x:c r="K159" s="17" t="n">
        <x:f>IF(AND($A159&gt;='Control Room'!$A$13,$A159&lt;'Control Room'!$A$13+'Control Room'!$B$13,'Process'!BL2=1),1+('Control Room'!$C$13-1)*EXP(-0.5*(($A159-'Control Room'!$A$13-('Control Room'!$B$13-1)/2)/MAX(0.5,'Control Room'!$B$13/4))^2),1)*IF(AND($A159&gt;='Control Room'!$A$14,$A159&lt;'Control Room'!$A$14+'Control Room'!$B$14,'Process'!BL3=1),1+('Control Room'!$C$14-1)*EXP(-0.5*(($A159-'Control Room'!$A$14-('Control Room'!$B$14-1)/2)/MAX(0.5,'Control Room'!$B$14/4))^2),1)*IF(AND($A159&gt;='Control Room'!$A$15,$A159&lt;'Control Room'!$A$15+'Control Room'!$B$15,'Process'!BL4=1),1+('Control Room'!$C$15-1)*EXP(-0.5*(($A159-'Control Room'!$A$15-('Control Room'!$B$15-1)/2)/MAX(0.5,'Control Room'!$B$15/4))^2),1)*IF(AND($A159&gt;='Control Room'!$A$16,$A159&lt;'Control Room'!$A$16+'Control Room'!$B$16,'Process'!BL5=1),1+('Control Room'!$C$16-1)*EXP(-0.5*(($A159-'Control Room'!$A$16-('Control Room'!$B$16-1)/2)/MAX(0.5,'Control Room'!$B$16/4))^2),1)</x:f>
        <x:v>1</x:v>
      </x:c>
      <x:c r="L159" s="9" t="n">
        <x:f>MOD(M158*16807,2147483647)</x:f>
        <x:v>1588177032</x:v>
      </x:c>
      <x:c r="M159" s="9" t="n">
        <x:f>MOD(L159*16807,2147483647)</x:f>
        <x:v>1417128261</x:v>
      </x:c>
      <x:c r="N159" s="17" t="n">
        <x:f>IF('Control Room'!$B$5="Normal",'Control Room'!$B$7+'Control Room'!$D$7*SQRT(-2*LN(MAX(0.000000000001,L159/2147483647)))*COS(2*PI()*M159/2147483647),'Control Room'!$B$8+('Control Room'!$D$8-'Control Room'!$B$8)*L159/2147483647)</x:f>
        <x:v>962.5028022942406</x:v>
      </x:c>
      <x:c r="O159" s="17" t="n">
        <x:f>IF('Control Room'!$B$5="Normal",'Control Room'!$B$7,('Control Room'!$B$8+'Control Room'!$D$8)/2)+'Control Room'!$B$9*(O158-IF('Control Room'!$B$5="Normal",'Control Room'!$B$7,('Control Room'!$B$8+'Control Room'!$D$8)/2))+SQRT(1-'Control Room'!$B$9^2)*(N159-IF('Control Room'!$B$5="Normal",'Control Room'!$B$7,('Control Room'!$B$8+'Control Room'!$D$8)/2))</x:f>
        <x:v>1107.4223825178904</x:v>
      </x:c>
      <x:c r="P159" s="17" t="n">
        <x:f>IF(AND($A159&gt;='Control Room'!$A$13,$A159&lt;'Control Room'!$A$13+'Control Room'!$B$13,'Process'!BM2=1),1+('Control Room'!$C$13-1)*EXP(-0.5*(($A159-'Control Room'!$A$13-('Control Room'!$B$13-1)/2)/MAX(0.5,'Control Room'!$B$13/4))^2),1)*IF(AND($A159&gt;='Control Room'!$A$14,$A159&lt;'Control Room'!$A$14+'Control Room'!$B$14,'Process'!BM3=1),1+('Control Room'!$C$14-1)*EXP(-0.5*(($A159-'Control Room'!$A$14-('Control Room'!$B$14-1)/2)/MAX(0.5,'Control Room'!$B$14/4))^2),1)*IF(AND($A159&gt;='Control Room'!$A$15,$A159&lt;'Control Room'!$A$15+'Control Room'!$B$15,'Process'!BM4=1),1+('Control Room'!$C$15-1)*EXP(-0.5*(($A159-'Control Room'!$A$15-('Control Room'!$B$15-1)/2)/MAX(0.5,'Control Room'!$B$15/4))^2),1)*IF(AND($A159&gt;='Control Room'!$A$16,$A159&lt;'Control Room'!$A$16+'Control Room'!$B$16,'Process'!BM5=1),1+('Control Room'!$C$16-1)*EXP(-0.5*(($A159-'Control Room'!$A$16-('Control Room'!$B$16-1)/2)/MAX(0.5,'Control Room'!$B$16/4))^2),1)</x:f>
        <x:v>1</x:v>
      </x:c>
      <x:c r="Q159" s="9" t="n">
        <x:f>MOD(R158*16807,2147483647)</x:f>
        <x:v>796159472</x:v>
      </x:c>
      <x:c r="R159" s="9" t="n">
        <x:f>MOD(Q159*16807,2147483647)</x:f>
        <x:v>81641447</x:v>
      </x:c>
      <x:c r="S159" s="17" t="n">
        <x:f>IF('Control Room'!$B$5="Normal",'Control Room'!$B$7+'Control Room'!$D$7*SQRT(-2*LN(MAX(0.000000000001,Q159/2147483647)))*COS(2*PI()*R159/2147483647),'Control Room'!$B$8+('Control Room'!$D$8-'Control Room'!$B$8)*Q159/2147483647)</x:f>
        <x:v>1123.1852864456328</x:v>
      </x:c>
      <x:c r="T159" s="17" t="n">
        <x:f>IF('Control Room'!$B$5="Normal",'Control Room'!$B$7,('Control Room'!$B$8+'Control Room'!$D$8)/2)+'Control Room'!$B$9*(T158-IF('Control Room'!$B$5="Normal",'Control Room'!$B$7,('Control Room'!$B$8+'Control Room'!$D$8)/2))+SQRT(1-'Control Room'!$B$9^2)*(S159-IF('Control Room'!$B$5="Normal",'Control Room'!$B$7,('Control Room'!$B$8+'Control Room'!$D$8)/2))</x:f>
        <x:v>946.1750067589138</x:v>
      </x:c>
      <x:c r="U159" s="17" t="n">
        <x:f>IF(AND($A159&gt;='Control Room'!$A$13,$A159&lt;'Control Room'!$A$13+'Control Room'!$B$13,'Process'!BN2=1),1+('Control Room'!$C$13-1)*EXP(-0.5*(($A159-'Control Room'!$A$13-('Control Room'!$B$13-1)/2)/MAX(0.5,'Control Room'!$B$13/4))^2),1)*IF(AND($A159&gt;='Control Room'!$A$14,$A159&lt;'Control Room'!$A$14+'Control Room'!$B$14,'Process'!BN3=1),1+('Control Room'!$C$14-1)*EXP(-0.5*(($A159-'Control Room'!$A$14-('Control Room'!$B$14-1)/2)/MAX(0.5,'Control Room'!$B$14/4))^2),1)*IF(AND($A159&gt;='Control Room'!$A$15,$A159&lt;'Control Room'!$A$15+'Control Room'!$B$15,'Process'!BN4=1),1+('Control Room'!$C$15-1)*EXP(-0.5*(($A159-'Control Room'!$A$15-('Control Room'!$B$15-1)/2)/MAX(0.5,'Control Room'!$B$15/4))^2),1)*IF(AND($A159&gt;='Control Room'!$A$16,$A159&lt;'Control Room'!$A$16+'Control Room'!$B$16,'Process'!BN5=1),1+('Control Room'!$C$16-1)*EXP(-0.5*(($A159-'Control Room'!$A$16-('Control Room'!$B$16-1)/2)/MAX(0.5,'Control Room'!$B$16/4))^2),1)</x:f>
        <x:v>1</x:v>
      </x:c>
      <x:c r="V159" s="9" t="n">
        <x:f>MOD(W158*16807,2147483647)</x:f>
        <x:v>4141912</x:v>
      </x:c>
      <x:c r="W159" s="9" t="n">
        <x:f>MOD(V159*16807,2147483647)</x:f>
        <x:v>893638280</x:v>
      </x:c>
      <x:c r="X159" s="17" t="n">
        <x:f>IF('Control Room'!$B$5="Normal",'Control Room'!$B$7+'Control Room'!$D$7*SQRT(-2*LN(MAX(0.000000000001,V159/2147483647)))*COS(2*PI()*W159/2147483647),'Control Room'!$B$8+('Control Room'!$D$8-'Control Room'!$B$8)*V159/2147483647)</x:f>
        <x:v>724.9479994845076</x:v>
      </x:c>
      <x:c r="Y159" s="17" t="n">
        <x:f>IF('Control Room'!$B$5="Normal",'Control Room'!$B$7,('Control Room'!$B$8+'Control Room'!$D$8)/2)+'Control Room'!$B$9*(Y158-IF('Control Room'!$B$5="Normal",'Control Room'!$B$7,('Control Room'!$B$8+'Control Room'!$D$8)/2))+SQRT(1-'Control Room'!$B$9^2)*(X159-IF('Control Room'!$B$5="Normal",'Control Room'!$B$7,('Control Room'!$B$8+'Control Room'!$D$8)/2))</x:f>
        <x:v>972.3059290718684</x:v>
      </x:c>
      <x:c r="Z159" s="17" t="n">
        <x:f>IF(AND($A159&gt;='Control Room'!$A$13,$A159&lt;'Control Room'!$A$13+'Control Room'!$B$13,'Process'!BO2=1),1+('Control Room'!$C$13-1)*EXP(-0.5*(($A159-'Control Room'!$A$13-('Control Room'!$B$13-1)/2)/MAX(0.5,'Control Room'!$B$13/4))^2),1)*IF(AND($A159&gt;='Control Room'!$A$14,$A159&lt;'Control Room'!$A$14+'Control Room'!$B$14,'Process'!BO3=1),1+('Control Room'!$C$14-1)*EXP(-0.5*(($A159-'Control Room'!$A$14-('Control Room'!$B$14-1)/2)/MAX(0.5,'Control Room'!$B$14/4))^2),1)*IF(AND($A159&gt;='Control Room'!$A$15,$A159&lt;'Control Room'!$A$15+'Control Room'!$B$15,'Process'!BO4=1),1+('Control Room'!$C$15-1)*EXP(-0.5*(($A159-'Control Room'!$A$15-('Control Room'!$B$15-1)/2)/MAX(0.5,'Control Room'!$B$15/4))^2),1)*IF(AND($A159&gt;='Control Room'!$A$16,$A159&lt;'Control Room'!$A$16+'Control Room'!$B$16,'Process'!BO5=1),1+('Control Room'!$C$16-1)*EXP(-0.5*(($A159-'Control Room'!$A$16-('Control Room'!$B$16-1)/2)/MAX(0.5,'Control Room'!$B$16/4))^2),1)</x:f>
        <x:v>1</x:v>
      </x:c>
      <x:c r="AA159" s="9" t="n">
        <x:f>MOD(AB158*16807,2147483647)</x:f>
        <x:v>1359607999</x:v>
      </x:c>
      <x:c r="AB159" s="9" t="n">
        <x:f>MOD(AA159*16807,2147483647)</x:f>
        <x:v>1705635113</x:v>
      </x:c>
      <x:c r="AC159" s="17" t="n">
        <x:f>IF('Control Room'!$B$5="Normal",'Control Room'!$B$7+'Control Room'!$D$7*SQRT(-2*LN(MAX(0.000000000001,AA159/2147483647)))*COS(2*PI()*AB159/2147483647),'Control Room'!$B$8+('Control Room'!$D$8-'Control Room'!$B$8)*AA159/2147483647)</x:f>
        <x:v>1023.6172803565788</x:v>
      </x:c>
      <x:c r="AD159" s="17" t="n">
        <x:f>IF('Control Room'!$B$5="Normal",'Control Room'!$B$7,('Control Room'!$B$8+'Control Room'!$D$8)/2)+'Control Room'!$B$9*(AD158-IF('Control Room'!$B$5="Normal",'Control Room'!$B$7,('Control Room'!$B$8+'Control Room'!$D$8)/2))+SQRT(1-'Control Room'!$B$9^2)*(AC159-IF('Control Room'!$B$5="Normal",'Control Room'!$B$7,('Control Room'!$B$8+'Control Room'!$D$8)/2))</x:f>
        <x:v>1031.6601879014058</x:v>
      </x:c>
      <x:c r="AE159" s="17" t="n">
        <x:f>IF(AND($A159&gt;='Control Room'!$A$13,$A159&lt;'Control Room'!$A$13+'Control Room'!$B$13,'Process'!BP2=1),1+('Control Room'!$C$13-1)*EXP(-0.5*(($A159-'Control Room'!$A$13-('Control Room'!$B$13-1)/2)/MAX(0.5,'Control Room'!$B$13/4))^2),1)*IF(AND($A159&gt;='Control Room'!$A$14,$A159&lt;'Control Room'!$A$14+'Control Room'!$B$14,'Process'!BP3=1),1+('Control Room'!$C$14-1)*EXP(-0.5*(($A159-'Control Room'!$A$14-('Control Room'!$B$14-1)/2)/MAX(0.5,'Control Room'!$B$14/4))^2),1)*IF(AND($A159&gt;='Control Room'!$A$15,$A159&lt;'Control Room'!$A$15+'Control Room'!$B$15,'Process'!BP4=1),1+('Control Room'!$C$15-1)*EXP(-0.5*(($A159-'Control Room'!$A$15-('Control Room'!$B$15-1)/2)/MAX(0.5,'Control Room'!$B$15/4))^2),1)*IF(AND($A159&gt;='Control Room'!$A$16,$A159&lt;'Control Room'!$A$16+'Control Room'!$B$16,'Process'!BP5=1),1+('Control Room'!$C$16-1)*EXP(-0.5*(($A159-'Control Room'!$A$16-('Control Room'!$B$16-1)/2)/MAX(0.5,'Control Room'!$B$16/4))^2),1)</x:f>
        <x:v>1</x:v>
      </x:c>
      <x:c r="AF159" s="9" t="n">
        <x:f>MOD(AG158*16807,2147483647)</x:f>
        <x:v>567590439</x:v>
      </x:c>
      <x:c r="AG159" s="9" t="n">
        <x:f>MOD(AF159*16807,2147483647)</x:f>
        <x:v>370148299</x:v>
      </x:c>
      <x:c r="AH159" s="17" t="n">
        <x:f>IF('Control Room'!$B$5="Normal",'Control Room'!$B$7+'Control Room'!$D$7*SQRT(-2*LN(MAX(0.000000000001,AF159/2147483647)))*COS(2*PI()*AG159/2147483647),'Control Room'!$B$8+('Control Room'!$D$8-'Control Room'!$B$8)*AF159/2147483647)</x:f>
        <x:v>1068.8132409824605</x:v>
      </x:c>
      <x:c r="AI159" s="17" t="n">
        <x:f>IF('Control Room'!$B$5="Normal",'Control Room'!$B$7,('Control Room'!$B$8+'Control Room'!$D$8)/2)+'Control Room'!$B$9*(AI158-IF('Control Room'!$B$5="Normal",'Control Room'!$B$7,('Control Room'!$B$8+'Control Room'!$D$8)/2))+SQRT(1-'Control Room'!$B$9^2)*(AH159-IF('Control Room'!$B$5="Normal",'Control Room'!$B$7,('Control Room'!$B$8+'Control Room'!$D$8)/2))</x:f>
        <x:v>1037.3941155774276</x:v>
      </x:c>
      <x:c r="AJ159" s="17" t="n">
        <x:f>IF(AND($A159&gt;='Control Room'!$A$13,$A159&lt;'Control Room'!$A$13+'Control Room'!$B$13,'Process'!BQ2=1),1+('Control Room'!$C$13-1)*EXP(-0.5*(($A159-'Control Room'!$A$13-('Control Room'!$B$13-1)/2)/MAX(0.5,'Control Room'!$B$13/4))^2),1)*IF(AND($A159&gt;='Control Room'!$A$14,$A159&lt;'Control Room'!$A$14+'Control Room'!$B$14,'Process'!BQ3=1),1+('Control Room'!$C$14-1)*EXP(-0.5*(($A159-'Control Room'!$A$14-('Control Room'!$B$14-1)/2)/MAX(0.5,'Control Room'!$B$14/4))^2),1)*IF(AND($A159&gt;='Control Room'!$A$15,$A159&lt;'Control Room'!$A$15+'Control Room'!$B$15,'Process'!BQ4=1),1+('Control Room'!$C$15-1)*EXP(-0.5*(($A159-'Control Room'!$A$15-('Control Room'!$B$15-1)/2)/MAX(0.5,'Control Room'!$B$15/4))^2),1)*IF(AND($A159&gt;='Control Room'!$A$16,$A159&lt;'Control Room'!$A$16+'Control Room'!$B$16,'Process'!BQ5=1),1+('Control Room'!$C$16-1)*EXP(-0.5*(($A159-'Control Room'!$A$16-('Control Room'!$B$16-1)/2)/MAX(0.5,'Control Room'!$B$16/4))^2),1)</x:f>
        <x:v>1</x:v>
      </x:c>
      <x:c r="AK159" s="9" t="n">
        <x:f>MOD(AL158*16807,2147483647)</x:f>
        <x:v>1923056526</x:v>
      </x:c>
      <x:c r="AL159" s="9" t="n">
        <x:f>MOD(AK159*16807,2147483647)</x:f>
        <x:v>1182145132</x:v>
      </x:c>
      <x:c r="AM159" s="17" t="n">
        <x:f>IF('Control Room'!$B$5="Normal",'Control Room'!$B$7+'Control Room'!$D$7*SQRT(-2*LN(MAX(0.000000000001,AK159/2147483647)))*COS(2*PI()*AL159/2147483647),'Control Room'!$B$8+('Control Room'!$D$8-'Control Room'!$B$8)*AK159/2147483647)</x:f>
        <x:v>959.822424491075</x:v>
      </x:c>
      <x:c r="AN159" s="17" t="n">
        <x:f>IF('Control Room'!$B$5="Normal",'Control Room'!$B$7,('Control Room'!$B$8+'Control Room'!$D$8)/2)+'Control Room'!$B$9*(AN158-IF('Control Room'!$B$5="Normal",'Control Room'!$B$7,('Control Room'!$B$8+'Control Room'!$D$8)/2))+SQRT(1-'Control Room'!$B$9^2)*(AM159-IF('Control Room'!$B$5="Normal",'Control Room'!$B$7,('Control Room'!$B$8+'Control Room'!$D$8)/2))</x:f>
        <x:v>1009.0597410359668</x:v>
      </x:c>
      <x:c r="AO159" s="17" t="n">
        <x:f>IF(AND($A159&gt;='Control Room'!$A$13,$A159&lt;'Control Room'!$A$13+'Control Room'!$B$13,'Process'!BR2=1),1+('Control Room'!$C$13-1)*EXP(-0.5*(($A159-'Control Room'!$A$13-('Control Room'!$B$13-1)/2)/MAX(0.5,'Control Room'!$B$13/4))^2),1)*IF(AND($A159&gt;='Control Room'!$A$14,$A159&lt;'Control Room'!$A$14+'Control Room'!$B$14,'Process'!BR3=1),1+('Control Room'!$C$14-1)*EXP(-0.5*(($A159-'Control Room'!$A$14-('Control Room'!$B$14-1)/2)/MAX(0.5,'Control Room'!$B$14/4))^2),1)*IF(AND($A159&gt;='Control Room'!$A$15,$A159&lt;'Control Room'!$A$15+'Control Room'!$B$15,'Process'!BR4=1),1+('Control Room'!$C$15-1)*EXP(-0.5*(($A159-'Control Room'!$A$15-('Control Room'!$B$15-1)/2)/MAX(0.5,'Control Room'!$B$15/4))^2),1)*IF(AND($A159&gt;='Control Room'!$A$16,$A159&lt;'Control Room'!$A$16+'Control Room'!$B$16,'Process'!BR5=1),1+('Control Room'!$C$16-1)*EXP(-0.5*(($A159-'Control Room'!$A$16-('Control Room'!$B$16-1)/2)/MAX(0.5,'Control Room'!$B$16/4))^2),1)</x:f>
        <x:v>1</x:v>
      </x:c>
      <x:c r="AP159" s="9" t="n">
        <x:f>MOD(AQ158*16807,2147483647)</x:f>
        <x:v>1131038966</x:v>
      </x:c>
      <x:c r="AQ159" s="9" t="n">
        <x:f>MOD(AP159*16807,2147483647)</x:f>
        <x:v>1994141965</x:v>
      </x:c>
      <x:c r="AR159" s="17" t="n">
        <x:f>IF('Control Room'!$B$5="Normal",'Control Room'!$B$7+'Control Room'!$D$7*SQRT(-2*LN(MAX(0.000000000001,AP159/2147483647)))*COS(2*PI()*AQ159/2147483647),'Control Room'!$B$8+('Control Room'!$D$8-'Control Room'!$B$8)*AP159/2147483647)</x:f>
        <x:v>1091.8292705154067</x:v>
      </x:c>
      <x:c r="AS159" s="17" t="n">
        <x:f>IF('Control Room'!$B$5="Normal",'Control Room'!$B$7,('Control Room'!$B$8+'Control Room'!$D$8)/2)+'Control Room'!$B$9*(AS158-IF('Control Room'!$B$5="Normal",'Control Room'!$B$7,('Control Room'!$B$8+'Control Room'!$D$8)/2))+SQRT(1-'Control Room'!$B$9^2)*(AR159-IF('Control Room'!$B$5="Normal",'Control Room'!$B$7,('Control Room'!$B$8+'Control Room'!$D$8)/2))</x:f>
        <x:v>1074.6822898765258</x:v>
      </x:c>
      <x:c r="AT159" s="17" t="n">
        <x:f>IF(AND($A159&gt;='Control Room'!$A$13,$A159&lt;'Control Room'!$A$13+'Control Room'!$B$13,'Process'!BS2=1),1+('Control Room'!$C$13-1)*EXP(-0.5*(($A159-'Control Room'!$A$13-('Control Room'!$B$13-1)/2)/MAX(0.5,'Control Room'!$B$13/4))^2),1)*IF(AND($A159&gt;='Control Room'!$A$14,$A159&lt;'Control Room'!$A$14+'Control Room'!$B$14,'Process'!BS3=1),1+('Control Room'!$C$14-1)*EXP(-0.5*(($A159-'Control Room'!$A$14-('Control Room'!$B$14-1)/2)/MAX(0.5,'Control Room'!$B$14/4))^2),1)*IF(AND($A159&gt;='Control Room'!$A$15,$A159&lt;'Control Room'!$A$15+'Control Room'!$B$15,'Process'!BS4=1),1+('Control Room'!$C$15-1)*EXP(-0.5*(($A159-'Control Room'!$A$15-('Control Room'!$B$15-1)/2)/MAX(0.5,'Control Room'!$B$15/4))^2),1)*IF(AND($A159&gt;='Control Room'!$A$16,$A159&lt;'Control Room'!$A$16+'Control Room'!$B$16,'Process'!BS5=1),1+('Control Room'!$C$16-1)*EXP(-0.5*(($A159-'Control Room'!$A$16-('Control Room'!$B$16-1)/2)/MAX(0.5,'Control Room'!$B$16/4))^2),1)</x:f>
        <x:v>1</x:v>
      </x:c>
      <x:c r="AU159" s="9" t="n">
        <x:f>MOD(AV158*16807,2147483647)</x:f>
        <x:v>339021406</x:v>
      </x:c>
      <x:c r="AV159" s="9" t="n">
        <x:f>MOD(AU159*16807,2147483647)</x:f>
        <x:v>658655151</x:v>
      </x:c>
      <x:c r="AW159" s="17" t="n">
        <x:f>IF('Control Room'!$B$5="Normal",'Control Room'!$B$7+'Control Room'!$D$7*SQRT(-2*LN(MAX(0.000000000001,AU159/2147483647)))*COS(2*PI()*AV159/2147483647),'Control Room'!$B$8+('Control Room'!$D$8-'Control Room'!$B$8)*AU159/2147483647)</x:f>
        <x:v>939.6768623140231</x:v>
      </x:c>
      <x:c r="AX159" s="17" t="n">
        <x:f>IF('Control Room'!$B$5="Normal",'Control Room'!$B$7,('Control Room'!$B$8+'Control Room'!$D$8)/2)+'Control Room'!$B$9*(AX158-IF('Control Room'!$B$5="Normal",'Control Room'!$B$7,('Control Room'!$B$8+'Control Room'!$D$8)/2))+SQRT(1-'Control Room'!$B$9^2)*(AW159-IF('Control Room'!$B$5="Normal",'Control Room'!$B$7,('Control Room'!$B$8+'Control Room'!$D$8)/2))</x:f>
        <x:v>751.5102882807856</x:v>
      </x:c>
      <x:c r="AY159" s="17" t="n">
        <x:f>IF(AND($A159&gt;='Control Room'!$A$13,$A159&lt;'Control Room'!$A$13+'Control Room'!$B$13,'Process'!BT2=1),1+('Control Room'!$C$13-1)*EXP(-0.5*(($A159-'Control Room'!$A$13-('Control Room'!$B$13-1)/2)/MAX(0.5,'Control Room'!$B$13/4))^2),1)*IF(AND($A159&gt;='Control Room'!$A$14,$A159&lt;'Control Room'!$A$14+'Control Room'!$B$14,'Process'!BT3=1),1+('Control Room'!$C$14-1)*EXP(-0.5*(($A159-'Control Room'!$A$14-('Control Room'!$B$14-1)/2)/MAX(0.5,'Control Room'!$B$14/4))^2),1)*IF(AND($A159&gt;='Control Room'!$A$15,$A159&lt;'Control Room'!$A$15+'Control Room'!$B$15,'Process'!BT4=1),1+('Control Room'!$C$15-1)*EXP(-0.5*(($A159-'Control Room'!$A$15-('Control Room'!$B$15-1)/2)/MAX(0.5,'Control Room'!$B$15/4))^2),1)*IF(AND($A159&gt;='Control Room'!$A$16,$A159&lt;'Control Room'!$A$16+'Control Room'!$B$16,'Process'!BT5=1),1+('Control Room'!$C$16-1)*EXP(-0.5*(($A159-'Control Room'!$A$16-('Control Room'!$B$16-1)/2)/MAX(0.5,'Control Room'!$B$16/4))^2),1)</x:f>
        <x:v>1</x:v>
      </x:c>
      <x:c r="AZ159" s="9" t="n">
        <x:f>MOD(BA158*16807,2147483647)</x:f>
        <x:v>1694487493</x:v>
      </x:c>
      <x:c r="BA159" s="9" t="n">
        <x:f>MOD(AZ159*16807,2147483647)</x:f>
        <x:v>1470651984</x:v>
      </x:c>
      <x:c r="BB159" s="17" t="n">
        <x:f>IF('Control Room'!$B$5="Normal",'Control Room'!$B$7+'Control Room'!$D$7*SQRT(-2*LN(MAX(0.000000000001,AZ159/2147483647)))*COS(2*PI()*BA159/2147483647),'Control Room'!$B$8+('Control Room'!$D$8-'Control Room'!$B$8)*AZ159/2147483647)</x:f>
        <x:v>975.3336535316128</x:v>
      </x:c>
      <x:c r="BC159" s="17" t="n">
        <x:f>IF('Control Room'!$B$5="Normal",'Control Room'!$B$7,('Control Room'!$B$8+'Control Room'!$D$8)/2)+'Control Room'!$B$9*(BC158-IF('Control Room'!$B$5="Normal",'Control Room'!$B$7,('Control Room'!$B$8+'Control Room'!$D$8)/2))+SQRT(1-'Control Room'!$B$9^2)*(BB159-IF('Control Room'!$B$5="Normal",'Control Room'!$B$7,('Control Room'!$B$8+'Control Room'!$D$8)/2))</x:f>
        <x:v>1046.1456330802878</x:v>
      </x:c>
      <x:c r="BD159" s="17" t="n">
        <x:f>IF(AND($A159&gt;='Control Room'!$A$13,$A159&lt;'Control Room'!$A$13+'Control Room'!$B$13,'Process'!BU2=1),1+('Control Room'!$C$13-1)*EXP(-0.5*(($A159-'Control Room'!$A$13-('Control Room'!$B$13-1)/2)/MAX(0.5,'Control Room'!$B$13/4))^2),1)*IF(AND($A159&gt;='Control Room'!$A$14,$A159&lt;'Control Room'!$A$14+'Control Room'!$B$14,'Process'!BU3=1),1+('Control Room'!$C$14-1)*EXP(-0.5*(($A159-'Control Room'!$A$14-('Control Room'!$B$14-1)/2)/MAX(0.5,'Control Room'!$B$14/4))^2),1)*IF(AND($A159&gt;='Control Room'!$A$15,$A159&lt;'Control Room'!$A$15+'Control Room'!$B$15,'Process'!BU4=1),1+('Control Room'!$C$15-1)*EXP(-0.5*(($A159-'Control Room'!$A$15-('Control Room'!$B$15-1)/2)/MAX(0.5,'Control Room'!$B$15/4))^2),1)*IF(AND($A159&gt;='Control Room'!$A$16,$A159&lt;'Control Room'!$A$16+'Control Room'!$B$16,'Process'!BU5=1),1+('Control Room'!$C$16-1)*EXP(-0.5*(($A159-'Control Room'!$A$16-('Control Room'!$B$16-1)/2)/MAX(0.5,'Control Room'!$B$16/4))^2),1)</x:f>
        <x:v>1</x:v>
      </x:c>
      <x:c r="BE159" s="9" t="n">
        <x:f>MOD(BF158*16807,2147483647)</x:f>
        <x:v>902469933</x:v>
      </x:c>
      <x:c r="BF159" s="9" t="n">
        <x:f>MOD(BE159*16807,2147483647)</x:f>
        <x:v>135165170</x:v>
      </x:c>
      <x:c r="BG159" s="17" t="n">
        <x:f>IF('Control Room'!$B$5="Normal",'Control Room'!$B$7+'Control Room'!$D$7*SQRT(-2*LN(MAX(0.000000000001,BE159/2147483647)))*COS(2*PI()*BF159/2147483647),'Control Room'!$B$8+('Control Room'!$D$8-'Control Room'!$B$8)*BE159/2147483647)</x:f>
        <x:v>1109.3606051363304</x:v>
      </x:c>
      <x:c r="BH159" s="17" t="n">
        <x:f>IF('Control Room'!$B$5="Normal",'Control Room'!$B$7,('Control Room'!$B$8+'Control Room'!$D$8)/2)+'Control Room'!$B$9*(BH158-IF('Control Room'!$B$5="Normal",'Control Room'!$B$7,('Control Room'!$B$8+'Control Room'!$D$8)/2))+SQRT(1-'Control Room'!$B$9^2)*(BG159-IF('Control Room'!$B$5="Normal",'Control Room'!$B$7,('Control Room'!$B$8+'Control Room'!$D$8)/2))</x:f>
        <x:v>986.0613392451361</x:v>
      </x:c>
      <x:c r="BI159" s="17" t="n">
        <x:f>IF(AND($A159&gt;='Control Room'!$A$13,$A159&lt;'Control Room'!$A$13+'Control Room'!$B$13,'Process'!BV2=1),1+('Control Room'!$C$13-1)*EXP(-0.5*(($A159-'Control Room'!$A$13-('Control Room'!$B$13-1)/2)/MAX(0.5,'Control Room'!$B$13/4))^2),1)*IF(AND($A159&gt;='Control Room'!$A$14,$A159&lt;'Control Room'!$A$14+'Control Room'!$B$14,'Process'!BV3=1),1+('Control Room'!$C$14-1)*EXP(-0.5*(($A159-'Control Room'!$A$14-('Control Room'!$B$14-1)/2)/MAX(0.5,'Control Room'!$B$14/4))^2),1)*IF(AND($A159&gt;='Control Room'!$A$15,$A159&lt;'Control Room'!$A$15+'Control Room'!$B$15,'Process'!BV4=1),1+('Control Room'!$C$15-1)*EXP(-0.5*(($A159-'Control Room'!$A$15-('Control Room'!$B$15-1)/2)/MAX(0.5,'Control Room'!$B$15/4))^2),1)*IF(AND($A159&gt;='Control Room'!$A$16,$A159&lt;'Control Room'!$A$16+'Control Room'!$B$16,'Process'!BV5=1),1+('Control Room'!$C$16-1)*EXP(-0.5*(($A159-'Control Room'!$A$16-('Control Room'!$B$16-1)/2)/MAX(0.5,'Control Room'!$B$16/4))^2),1)</x:f>
        <x:v>1</x:v>
      </x:c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Z159" t="str">
        <x:f>IF('Data'!A159="","",TEXT('Data'!A159,"mm-dd"))</x:f>
      </x:c>
    </x:row>
    <x:row r="160" ht="21" customHeight="1">
      <x:c r="A160" s="15" t="n">
        <x:f>'Control Room'!$B$1+158</x:f>
        <x:v>73149</x:v>
      </x:c>
      <x:c r="B160" s="9" t="n">
        <x:f>MOD(C159*16807,2147483647)</x:f>
        <x:v>2136646305</x:v>
      </x:c>
      <x:c r="C160" s="9" t="n">
        <x:f>MOD(B160*16807,2147483647)</x:f>
        <x:v>392903001</x:v>
      </x:c>
      <x:c r="D160" s="17" t="n">
        <x:f>IF('Control Room'!$B$5="Normal",'Control Room'!$B$7+'Control Room'!$D$7*SQRT(-2*LN(MAX(0.000000000001,B160/2147483647)))*COS(2*PI()*C160/2147483647),'Control Room'!$B$8+('Control Room'!$D$8-'Control Room'!$B$8)*B160/2147483647)</x:f>
        <x:v>1003.7016809077618</x:v>
      </x:c>
      <x:c r="E160" s="17" t="n">
        <x:f>IF('Control Room'!$B$5="Normal",'Control Room'!$B$7,('Control Room'!$B$8+'Control Room'!$D$8)/2)+'Control Room'!$B$9*(E159-IF('Control Room'!$B$5="Normal",'Control Room'!$B$7,('Control Room'!$B$8+'Control Room'!$D$8)/2))+SQRT(1-'Control Room'!$B$9^2)*(D160-IF('Control Room'!$B$5="Normal",'Control Room'!$B$7,('Control Room'!$B$8+'Control Room'!$D$8)/2))</x:f>
        <x:v>1048.6316717180696</x:v>
      </x:c>
      <x:c r="F160" s="17" t="n">
        <x:f>IF(AND($A160&gt;='Control Room'!$A$13,$A160&lt;'Control Room'!$A$13+'Control Room'!$B$13,'Process'!BK2=1),1+('Control Room'!$C$13-1)*EXP(-0.5*(($A160-'Control Room'!$A$13-('Control Room'!$B$13-1)/2)/MAX(0.5,'Control Room'!$B$13/4))^2),1)*IF(AND($A160&gt;='Control Room'!$A$14,$A160&lt;'Control Room'!$A$14+'Control Room'!$B$14,'Process'!BK3=1),1+('Control Room'!$C$14-1)*EXP(-0.5*(($A160-'Control Room'!$A$14-('Control Room'!$B$14-1)/2)/MAX(0.5,'Control Room'!$B$14/4))^2),1)*IF(AND($A160&gt;='Control Room'!$A$15,$A160&lt;'Control Room'!$A$15+'Control Room'!$B$15,'Process'!BK4=1),1+('Control Room'!$C$15-1)*EXP(-0.5*(($A160-'Control Room'!$A$15-('Control Room'!$B$15-1)/2)/MAX(0.5,'Control Room'!$B$15/4))^2),1)*IF(AND($A160&gt;='Control Room'!$A$16,$A160&lt;'Control Room'!$A$16+'Control Room'!$B$16,'Process'!BK5=1),1+('Control Room'!$C$16-1)*EXP(-0.5*(($A160-'Control Room'!$A$16-('Control Room'!$B$16-1)/2)/MAX(0.5,'Control Room'!$B$16/4))^2),1)</x:f>
        <x:v>1</x:v>
      </x:c>
      <x:c r="G160" s="9" t="n">
        <x:f>MOD(H159*16807,2147483647)</x:f>
        <x:v>2108841851</x:v>
      </x:c>
      <x:c r="H160" s="9" t="n">
        <x:f>MOD(G160*16807,2147483647)</x:f>
        <x:v>1234879669</x:v>
      </x:c>
      <x:c r="I160" s="17" t="n">
        <x:f>IF('Control Room'!$B$5="Normal",'Control Room'!$B$7+'Control Room'!$D$7*SQRT(-2*LN(MAX(0.000000000001,G160/2147483647)))*COS(2*PI()*H160/2147483647),'Control Room'!$B$8+('Control Room'!$D$8-'Control Room'!$B$8)*G160/2147483647)</x:f>
        <x:v>984.7200827923068</x:v>
      </x:c>
      <x:c r="J160" s="17" t="n">
        <x:f>IF('Control Room'!$B$5="Normal",'Control Room'!$B$7,('Control Room'!$B$8+'Control Room'!$D$8)/2)+'Control Room'!$B$9*(J159-IF('Control Room'!$B$5="Normal",'Control Room'!$B$7,('Control Room'!$B$8+'Control Room'!$D$8)/2))+SQRT(1-'Control Room'!$B$9^2)*(I160-IF('Control Room'!$B$5="Normal",'Control Room'!$B$7,('Control Room'!$B$8+'Control Room'!$D$8)/2))</x:f>
        <x:v>1014.8557447303026</x:v>
      </x:c>
      <x:c r="K160" s="17" t="n">
        <x:f>IF(AND($A160&gt;='Control Room'!$A$13,$A160&lt;'Control Room'!$A$13+'Control Room'!$B$13,'Process'!BL2=1),1+('Control Room'!$C$13-1)*EXP(-0.5*(($A160-'Control Room'!$A$13-('Control Room'!$B$13-1)/2)/MAX(0.5,'Control Room'!$B$13/4))^2),1)*IF(AND($A160&gt;='Control Room'!$A$14,$A160&lt;'Control Room'!$A$14+'Control Room'!$B$14,'Process'!BL3=1),1+('Control Room'!$C$14-1)*EXP(-0.5*(($A160-'Control Room'!$A$14-('Control Room'!$B$14-1)/2)/MAX(0.5,'Control Room'!$B$14/4))^2),1)*IF(AND($A160&gt;='Control Room'!$A$15,$A160&lt;'Control Room'!$A$15+'Control Room'!$B$15,'Process'!BL4=1),1+('Control Room'!$C$15-1)*EXP(-0.5*(($A160-'Control Room'!$A$15-('Control Room'!$B$15-1)/2)/MAX(0.5,'Control Room'!$B$15/4))^2),1)*IF(AND($A160&gt;='Control Room'!$A$16,$A160&lt;'Control Room'!$A$16+'Control Room'!$B$16,'Process'!BL5=1),1+('Control Room'!$C$16-1)*EXP(-0.5*(($A160-'Control Room'!$A$16-('Control Room'!$B$16-1)/2)/MAX(0.5,'Control Room'!$B$16/4))^2),1)</x:f>
        <x:v>1</x:v>
      </x:c>
      <x:c r="L160" s="9" t="n">
        <x:f>MOD(M159*16807,2147483647)</x:f>
        <x:v>2081037397</x:v>
      </x:c>
      <x:c r="M160" s="9" t="n">
        <x:f>MOD(L160*16807,2147483647)</x:f>
        <x:v>2076856337</x:v>
      </x:c>
      <x:c r="N160" s="17" t="n">
        <x:f>IF('Control Room'!$B$5="Normal",'Control Room'!$B$7+'Control Room'!$D$7*SQRT(-2*LN(MAX(0.000000000001,L160/2147483647)))*COS(2*PI()*M160/2147483647),'Control Room'!$B$8+('Control Room'!$D$8-'Control Room'!$B$8)*L160/2147483647)</x:f>
        <x:v>1022.084728066339</x:v>
      </x:c>
      <x:c r="O160" s="17" t="n">
        <x:f>IF('Control Room'!$B$5="Normal",'Control Room'!$B$7,('Control Room'!$B$8+'Control Room'!$D$8)/2)+'Control Room'!$B$9*(O159-IF('Control Room'!$B$5="Normal",'Control Room'!$B$7,('Control Room'!$B$8+'Control Room'!$D$8)/2))+SQRT(1-'Control Room'!$B$9^2)*(N160-IF('Control Room'!$B$5="Normal",'Control Room'!$B$7,('Control Room'!$B$8+'Control Room'!$D$8)/2))</x:f>
        <x:v>1097.6096287576233</x:v>
      </x:c>
      <x:c r="P160" s="17" t="n">
        <x:f>IF(AND($A160&gt;='Control Room'!$A$13,$A160&lt;'Control Room'!$A$13+'Control Room'!$B$13,'Process'!BM2=1),1+('Control Room'!$C$13-1)*EXP(-0.5*(($A160-'Control Room'!$A$13-('Control Room'!$B$13-1)/2)/MAX(0.5,'Control Room'!$B$13/4))^2),1)*IF(AND($A160&gt;='Control Room'!$A$14,$A160&lt;'Control Room'!$A$14+'Control Room'!$B$14,'Process'!BM3=1),1+('Control Room'!$C$14-1)*EXP(-0.5*(($A160-'Control Room'!$A$14-('Control Room'!$B$14-1)/2)/MAX(0.5,'Control Room'!$B$14/4))^2),1)*IF(AND($A160&gt;='Control Room'!$A$15,$A160&lt;'Control Room'!$A$15+'Control Room'!$B$15,'Process'!BM4=1),1+('Control Room'!$C$15-1)*EXP(-0.5*(($A160-'Control Room'!$A$15-('Control Room'!$B$15-1)/2)/MAX(0.5,'Control Room'!$B$15/4))^2),1)*IF(AND($A160&gt;='Control Room'!$A$16,$A160&lt;'Control Room'!$A$16+'Control Room'!$B$16,'Process'!BM5=1),1+('Control Room'!$C$16-1)*EXP(-0.5*(($A160-'Control Room'!$A$16-('Control Room'!$B$16-1)/2)/MAX(0.5,'Control Room'!$B$16/4))^2),1)</x:f>
        <x:v>1</x:v>
      </x:c>
      <x:c r="Q160" s="9" t="n">
        <x:f>MOD(R159*16807,2147483647)</x:f>
        <x:v>2053232943</x:v>
      </x:c>
      <x:c r="R160" s="9" t="n">
        <x:f>MOD(Q160*16807,2147483647)</x:f>
        <x:v>771349358</x:v>
      </x:c>
      <x:c r="S160" s="17" t="n">
        <x:f>IF('Control Room'!$B$5="Normal",'Control Room'!$B$7+'Control Room'!$D$7*SQRT(-2*LN(MAX(0.000000000001,Q160/2147483647)))*COS(2*PI()*R160/2147483647),'Control Room'!$B$8+('Control Room'!$D$8-'Control Room'!$B$8)*Q160/2147483647)</x:f>
        <x:v>982.918576137359</x:v>
      </x:c>
      <x:c r="T160" s="17" t="n">
        <x:f>IF('Control Room'!$B$5="Normal",'Control Room'!$B$7,('Control Room'!$B$8+'Control Room'!$D$8)/2)+'Control Room'!$B$9*(T159-IF('Control Room'!$B$5="Normal",'Control Room'!$B$7,('Control Room'!$B$8+'Control Room'!$D$8)/2))+SQRT(1-'Control Room'!$B$9^2)*(S160-IF('Control Room'!$B$5="Normal",'Control Room'!$B$7,('Control Room'!$B$8+'Control Room'!$D$8)/2))</x:f>
        <x:v>947.3273001507002</x:v>
      </x:c>
      <x:c r="U160" s="17" t="n">
        <x:f>IF(AND($A160&gt;='Control Room'!$A$13,$A160&lt;'Control Room'!$A$13+'Control Room'!$B$13,'Process'!BN2=1),1+('Control Room'!$C$13-1)*EXP(-0.5*(($A160-'Control Room'!$A$13-('Control Room'!$B$13-1)/2)/MAX(0.5,'Control Room'!$B$13/4))^2),1)*IF(AND($A160&gt;='Control Room'!$A$14,$A160&lt;'Control Room'!$A$14+'Control Room'!$B$14,'Process'!BN3=1),1+('Control Room'!$C$14-1)*EXP(-0.5*(($A160-'Control Room'!$A$14-('Control Room'!$B$14-1)/2)/MAX(0.5,'Control Room'!$B$14/4))^2),1)*IF(AND($A160&gt;='Control Room'!$A$15,$A160&lt;'Control Room'!$A$15+'Control Room'!$B$15,'Process'!BN4=1),1+('Control Room'!$C$15-1)*EXP(-0.5*(($A160-'Control Room'!$A$15-('Control Room'!$B$15-1)/2)/MAX(0.5,'Control Room'!$B$15/4))^2),1)*IF(AND($A160&gt;='Control Room'!$A$16,$A160&lt;'Control Room'!$A$16+'Control Room'!$B$16,'Process'!BN5=1),1+('Control Room'!$C$16-1)*EXP(-0.5*(($A160-'Control Room'!$A$16-('Control Room'!$B$16-1)/2)/MAX(0.5,'Control Room'!$B$16/4))^2),1)</x:f>
        <x:v>1</x:v>
      </x:c>
      <x:c r="V160" s="9" t="n">
        <x:f>MOD(W159*16807,2147483647)</x:f>
        <x:v>2025428489</x:v>
      </x:c>
      <x:c r="W160" s="9" t="n">
        <x:f>MOD(V160*16807,2147483647)</x:f>
        <x:v>1613326026</x:v>
      </x:c>
      <x:c r="X160" s="17" t="n">
        <x:f>IF('Control Room'!$B$5="Normal",'Control Room'!$B$7+'Control Room'!$D$7*SQRT(-2*LN(MAX(0.000000000001,V160/2147483647)))*COS(2*PI()*W160/2147483647),'Control Room'!$B$8+('Control Room'!$D$8-'Control Room'!$B$8)*V160/2147483647)</x:f>
        <x:v>1000.2444188391689</x:v>
      </x:c>
      <x:c r="Y160" s="17" t="n">
        <x:f>IF('Control Room'!$B$5="Normal",'Control Room'!$B$7,('Control Room'!$B$8+'Control Room'!$D$8)/2)+'Control Room'!$B$9*(Y159-IF('Control Room'!$B$5="Normal",'Control Room'!$B$7,('Control Room'!$B$8+'Control Room'!$D$8)/2))+SQRT(1-'Control Room'!$B$9^2)*(X160-IF('Control Room'!$B$5="Normal",'Control Room'!$B$7,('Control Room'!$B$8+'Control Room'!$D$8)/2))</x:f>
        <x:v>978.5515769784172</x:v>
      </x:c>
      <x:c r="Z160" s="17" t="n">
        <x:f>IF(AND($A160&gt;='Control Room'!$A$13,$A160&lt;'Control Room'!$A$13+'Control Room'!$B$13,'Process'!BO2=1),1+('Control Room'!$C$13-1)*EXP(-0.5*(($A160-'Control Room'!$A$13-('Control Room'!$B$13-1)/2)/MAX(0.5,'Control Room'!$B$13/4))^2),1)*IF(AND($A160&gt;='Control Room'!$A$14,$A160&lt;'Control Room'!$A$14+'Control Room'!$B$14,'Process'!BO3=1),1+('Control Room'!$C$14-1)*EXP(-0.5*(($A160-'Control Room'!$A$14-('Control Room'!$B$14-1)/2)/MAX(0.5,'Control Room'!$B$14/4))^2),1)*IF(AND($A160&gt;='Control Room'!$A$15,$A160&lt;'Control Room'!$A$15+'Control Room'!$B$15,'Process'!BO4=1),1+('Control Room'!$C$15-1)*EXP(-0.5*(($A160-'Control Room'!$A$15-('Control Room'!$B$15-1)/2)/MAX(0.5,'Control Room'!$B$15/4))^2),1)*IF(AND($A160&gt;='Control Room'!$A$16,$A160&lt;'Control Room'!$A$16+'Control Room'!$B$16,'Process'!BO5=1),1+('Control Room'!$C$16-1)*EXP(-0.5*(($A160-'Control Room'!$A$16-('Control Room'!$B$16-1)/2)/MAX(0.5,'Control Room'!$B$16/4))^2),1)</x:f>
        <x:v>1</x:v>
      </x:c>
      <x:c r="AA160" s="9" t="n">
        <x:f>MOD(AB159*16807,2147483647)</x:f>
        <x:v>1997624035</x:v>
      </x:c>
      <x:c r="AB160" s="9" t="n">
        <x:f>MOD(AA160*16807,2147483647)</x:f>
        <x:v>307819047</x:v>
      </x:c>
      <x:c r="AC160" s="17" t="n">
        <x:f>IF('Control Room'!$B$5="Normal",'Control Room'!$B$7+'Control Room'!$D$7*SQRT(-2*LN(MAX(0.000000000001,AA160/2147483647)))*COS(2*PI()*AB160/2147483647),'Control Room'!$B$8+('Control Room'!$D$8-'Control Room'!$B$8)*AA160/2147483647)</x:f>
        <x:v>1021.2625605601123</x:v>
      </x:c>
      <x:c r="AD160" s="17" t="n">
        <x:f>IF('Control Room'!$B$5="Normal",'Control Room'!$B$7,('Control Room'!$B$8+'Control Room'!$D$8)/2)+'Control Room'!$B$9*(AD159-IF('Control Room'!$B$5="Normal",'Control Room'!$B$7,('Control Room'!$B$8+'Control Room'!$D$8)/2))+SQRT(1-'Control Room'!$B$9^2)*(AC160-IF('Control Room'!$B$5="Normal",'Control Room'!$B$7,('Control Room'!$B$8+'Control Room'!$D$8)/2))</x:f>
        <x:v>1038.0006213743854</x:v>
      </x:c>
      <x:c r="AE160" s="17" t="n">
        <x:f>IF(AND($A160&gt;='Control Room'!$A$13,$A160&lt;'Control Room'!$A$13+'Control Room'!$B$13,'Process'!BP2=1),1+('Control Room'!$C$13-1)*EXP(-0.5*(($A160-'Control Room'!$A$13-('Control Room'!$B$13-1)/2)/MAX(0.5,'Control Room'!$B$13/4))^2),1)*IF(AND($A160&gt;='Control Room'!$A$14,$A160&lt;'Control Room'!$A$14+'Control Room'!$B$14,'Process'!BP3=1),1+('Control Room'!$C$14-1)*EXP(-0.5*(($A160-'Control Room'!$A$14-('Control Room'!$B$14-1)/2)/MAX(0.5,'Control Room'!$B$14/4))^2),1)*IF(AND($A160&gt;='Control Room'!$A$15,$A160&lt;'Control Room'!$A$15+'Control Room'!$B$15,'Process'!BP4=1),1+('Control Room'!$C$15-1)*EXP(-0.5*(($A160-'Control Room'!$A$15-('Control Room'!$B$15-1)/2)/MAX(0.5,'Control Room'!$B$15/4))^2),1)*IF(AND($A160&gt;='Control Room'!$A$16,$A160&lt;'Control Room'!$A$16+'Control Room'!$B$16,'Process'!BP5=1),1+('Control Room'!$C$16-1)*EXP(-0.5*(($A160-'Control Room'!$A$16-('Control Room'!$B$16-1)/2)/MAX(0.5,'Control Room'!$B$16/4))^2),1)</x:f>
        <x:v>1</x:v>
      </x:c>
      <x:c r="AF160" s="9" t="n">
        <x:f>MOD(AG159*16807,2147483647)</x:f>
        <x:v>1969819581</x:v>
      </x:c>
      <x:c r="AG160" s="9" t="n">
        <x:f>MOD(AF160*16807,2147483647)</x:f>
        <x:v>1149795715</x:v>
      </x:c>
      <x:c r="AH160" s="17" t="n">
        <x:f>IF('Control Room'!$B$5="Normal",'Control Room'!$B$7+'Control Room'!$D$7*SQRT(-2*LN(MAX(0.000000000001,AF160/2147483647)))*COS(2*PI()*AG160/2147483647),'Control Room'!$B$8+('Control Room'!$D$8-'Control Room'!$B$8)*AF160/2147483647)</x:f>
        <x:v>963.5196799188544</x:v>
      </x:c>
      <x:c r="AI160" s="17" t="n">
        <x:f>IF('Control Room'!$B$5="Normal",'Control Room'!$B$7,('Control Room'!$B$8+'Control Room'!$D$8)/2)+'Control Room'!$B$9*(AI159-IF('Control Room'!$B$5="Normal",'Control Room'!$B$7,('Control Room'!$B$8+'Control Room'!$D$8)/2))+SQRT(1-'Control Room'!$B$9^2)*(AH160-IF('Control Room'!$B$5="Normal",'Control Room'!$B$7,('Control Room'!$B$8+'Control Room'!$D$8)/2))</x:f>
        <x:v>1006.3387731835911</x:v>
      </x:c>
      <x:c r="AJ160" s="17" t="n">
        <x:f>IF(AND($A160&gt;='Control Room'!$A$13,$A160&lt;'Control Room'!$A$13+'Control Room'!$B$13,'Process'!BQ2=1),1+('Control Room'!$C$13-1)*EXP(-0.5*(($A160-'Control Room'!$A$13-('Control Room'!$B$13-1)/2)/MAX(0.5,'Control Room'!$B$13/4))^2),1)*IF(AND($A160&gt;='Control Room'!$A$14,$A160&lt;'Control Room'!$A$14+'Control Room'!$B$14,'Process'!BQ3=1),1+('Control Room'!$C$14-1)*EXP(-0.5*(($A160-'Control Room'!$A$14-('Control Room'!$B$14-1)/2)/MAX(0.5,'Control Room'!$B$14/4))^2),1)*IF(AND($A160&gt;='Control Room'!$A$15,$A160&lt;'Control Room'!$A$15+'Control Room'!$B$15,'Process'!BQ4=1),1+('Control Room'!$C$15-1)*EXP(-0.5*(($A160-'Control Room'!$A$15-('Control Room'!$B$15-1)/2)/MAX(0.5,'Control Room'!$B$15/4))^2),1)*IF(AND($A160&gt;='Control Room'!$A$16,$A160&lt;'Control Room'!$A$16+'Control Room'!$B$16,'Process'!BQ5=1),1+('Control Room'!$C$16-1)*EXP(-0.5*(($A160-'Control Room'!$A$16-('Control Room'!$B$16-1)/2)/MAX(0.5,'Control Room'!$B$16/4))^2),1)</x:f>
        <x:v>1</x:v>
      </x:c>
      <x:c r="AK160" s="9" t="n">
        <x:f>MOD(AL159*16807,2147483647)</x:f>
        <x:v>1942015127</x:v>
      </x:c>
      <x:c r="AL160" s="9" t="n">
        <x:f>MOD(AK160*16807,2147483647)</x:f>
        <x:v>1991772383</x:v>
      </x:c>
      <x:c r="AM160" s="17" t="n">
        <x:f>IF('Control Room'!$B$5="Normal",'Control Room'!$B$7+'Control Room'!$D$7*SQRT(-2*LN(MAX(0.000000000001,AK160/2147483647)))*COS(2*PI()*AL160/2147483647),'Control Room'!$B$8+('Control Room'!$D$8-'Control Room'!$B$8)*AK160/2147483647)</x:f>
        <x:v>1036.2469159613165</x:v>
      </x:c>
      <x:c r="AN160" s="17" t="n">
        <x:f>IF('Control Room'!$B$5="Normal",'Control Room'!$B$7,('Control Room'!$B$8+'Control Room'!$D$8)/2)+'Control Room'!$B$9*(AN159-IF('Control Room'!$B$5="Normal",'Control Room'!$B$7,('Control Room'!$B$8+'Control Room'!$D$8)/2))+SQRT(1-'Control Room'!$B$9^2)*(AM160-IF('Control Room'!$B$5="Normal",'Control Room'!$B$7,('Control Room'!$B$8+'Control Room'!$D$8)/2))</x:f>
        <x:v>1029.7491754582109</x:v>
      </x:c>
      <x:c r="AO160" s="17" t="n">
        <x:f>IF(AND($A160&gt;='Control Room'!$A$13,$A160&lt;'Control Room'!$A$13+'Control Room'!$B$13,'Process'!BR2=1),1+('Control Room'!$C$13-1)*EXP(-0.5*(($A160-'Control Room'!$A$13-('Control Room'!$B$13-1)/2)/MAX(0.5,'Control Room'!$B$13/4))^2),1)*IF(AND($A160&gt;='Control Room'!$A$14,$A160&lt;'Control Room'!$A$14+'Control Room'!$B$14,'Process'!BR3=1),1+('Control Room'!$C$14-1)*EXP(-0.5*(($A160-'Control Room'!$A$14-('Control Room'!$B$14-1)/2)/MAX(0.5,'Control Room'!$B$14/4))^2),1)*IF(AND($A160&gt;='Control Room'!$A$15,$A160&lt;'Control Room'!$A$15+'Control Room'!$B$15,'Process'!BR4=1),1+('Control Room'!$C$15-1)*EXP(-0.5*(($A160-'Control Room'!$A$15-('Control Room'!$B$15-1)/2)/MAX(0.5,'Control Room'!$B$15/4))^2),1)*IF(AND($A160&gt;='Control Room'!$A$16,$A160&lt;'Control Room'!$A$16+'Control Room'!$B$16,'Process'!BR5=1),1+('Control Room'!$C$16-1)*EXP(-0.5*(($A160-'Control Room'!$A$16-('Control Room'!$B$16-1)/2)/MAX(0.5,'Control Room'!$B$16/4))^2),1)</x:f>
        <x:v>1</x:v>
      </x:c>
      <x:c r="AP160" s="9" t="n">
        <x:f>MOD(AQ159*16807,2147483647)</x:f>
        <x:v>1914210673</x:v>
      </x:c>
      <x:c r="AQ160" s="9" t="n">
        <x:f>MOD(AP160*16807,2147483647)</x:f>
        <x:v>686265404</x:v>
      </x:c>
      <x:c r="AR160" s="17" t="n">
        <x:f>IF('Control Room'!$B$5="Normal",'Control Room'!$B$7+'Control Room'!$D$7*SQRT(-2*LN(MAX(0.000000000001,AP160/2147483647)))*COS(2*PI()*AQ160/2147483647),'Control Room'!$B$8+('Control Room'!$D$8-'Control Room'!$B$8)*AP160/2147483647)</x:f>
        <x:v>981.7292548178026</x:v>
      </x:c>
      <x:c r="AS160" s="17" t="n">
        <x:f>IF('Control Room'!$B$5="Normal",'Control Room'!$B$7,('Control Room'!$B$8+'Control Room'!$D$8)/2)+'Control Room'!$B$9*(AS159-IF('Control Room'!$B$5="Normal",'Control Room'!$B$7,('Control Room'!$B$8+'Control Room'!$D$8)/2))+SQRT(1-'Control Room'!$B$9^2)*(AR160-IF('Control Room'!$B$5="Normal",'Control Room'!$B$7,('Control Room'!$B$8+'Control Room'!$D$8)/2))</x:f>
        <x:v>1046.8187280652307</x:v>
      </x:c>
      <x:c r="AT160" s="17" t="n">
        <x:f>IF(AND($A160&gt;='Control Room'!$A$13,$A160&lt;'Control Room'!$A$13+'Control Room'!$B$13,'Process'!BS2=1),1+('Control Room'!$C$13-1)*EXP(-0.5*(($A160-'Control Room'!$A$13-('Control Room'!$B$13-1)/2)/MAX(0.5,'Control Room'!$B$13/4))^2),1)*IF(AND($A160&gt;='Control Room'!$A$14,$A160&lt;'Control Room'!$A$14+'Control Room'!$B$14,'Process'!BS3=1),1+('Control Room'!$C$14-1)*EXP(-0.5*(($A160-'Control Room'!$A$14-('Control Room'!$B$14-1)/2)/MAX(0.5,'Control Room'!$B$14/4))^2),1)*IF(AND($A160&gt;='Control Room'!$A$15,$A160&lt;'Control Room'!$A$15+'Control Room'!$B$15,'Process'!BS4=1),1+('Control Room'!$C$15-1)*EXP(-0.5*(($A160-'Control Room'!$A$15-('Control Room'!$B$15-1)/2)/MAX(0.5,'Control Room'!$B$15/4))^2),1)*IF(AND($A160&gt;='Control Room'!$A$16,$A160&lt;'Control Room'!$A$16+'Control Room'!$B$16,'Process'!BS5=1),1+('Control Room'!$C$16-1)*EXP(-0.5*(($A160-'Control Room'!$A$16-('Control Room'!$B$16-1)/2)/MAX(0.5,'Control Room'!$B$16/4))^2),1)</x:f>
        <x:v>1</x:v>
      </x:c>
      <x:c r="AU160" s="9" t="n">
        <x:f>MOD(AV159*16807,2147483647)</x:f>
        <x:v>1886406219</x:v>
      </x:c>
      <x:c r="AV160" s="9" t="n">
        <x:f>MOD(AU160*16807,2147483647)</x:f>
        <x:v>1528242072</x:v>
      </x:c>
      <x:c r="AW160" s="17" t="n">
        <x:f>IF('Control Room'!$B$5="Normal",'Control Room'!$B$7+'Control Room'!$D$7*SQRT(-2*LN(MAX(0.000000000001,AU160/2147483647)))*COS(2*PI()*AV160/2147483647),'Control Room'!$B$8+('Control Room'!$D$8-'Control Room'!$B$8)*AU160/2147483647)</x:f>
        <x:v>989.0627247035937</x:v>
      </x:c>
      <x:c r="AX160" s="17" t="n">
        <x:f>IF('Control Room'!$B$5="Normal",'Control Room'!$B$7,('Control Room'!$B$8+'Control Room'!$D$8)/2)+'Control Room'!$B$9*(AX159-IF('Control Room'!$B$5="Normal",'Control Room'!$B$7,('Control Room'!$B$8+'Control Room'!$D$8)/2))+SQRT(1-'Control Room'!$B$9^2)*(AW160-IF('Control Room'!$B$5="Normal",'Control Room'!$B$7,('Control Room'!$B$8+'Control Room'!$D$8)/2))</x:f>
        <x:v>799.333702040785</x:v>
      </x:c>
      <x:c r="AY160" s="17" t="n">
        <x:f>IF(AND($A160&gt;='Control Room'!$A$13,$A160&lt;'Control Room'!$A$13+'Control Room'!$B$13,'Process'!BT2=1),1+('Control Room'!$C$13-1)*EXP(-0.5*(($A160-'Control Room'!$A$13-('Control Room'!$B$13-1)/2)/MAX(0.5,'Control Room'!$B$13/4))^2),1)*IF(AND($A160&gt;='Control Room'!$A$14,$A160&lt;'Control Room'!$A$14+'Control Room'!$B$14,'Process'!BT3=1),1+('Control Room'!$C$14-1)*EXP(-0.5*(($A160-'Control Room'!$A$14-('Control Room'!$B$14-1)/2)/MAX(0.5,'Control Room'!$B$14/4))^2),1)*IF(AND($A160&gt;='Control Room'!$A$15,$A160&lt;'Control Room'!$A$15+'Control Room'!$B$15,'Process'!BT4=1),1+('Control Room'!$C$15-1)*EXP(-0.5*(($A160-'Control Room'!$A$15-('Control Room'!$B$15-1)/2)/MAX(0.5,'Control Room'!$B$15/4))^2),1)*IF(AND($A160&gt;='Control Room'!$A$16,$A160&lt;'Control Room'!$A$16+'Control Room'!$B$16,'Process'!BT5=1),1+('Control Room'!$C$16-1)*EXP(-0.5*(($A160-'Control Room'!$A$16-('Control Room'!$B$16-1)/2)/MAX(0.5,'Control Room'!$B$16/4))^2),1)</x:f>
        <x:v>1</x:v>
      </x:c>
      <x:c r="AZ160" s="9" t="n">
        <x:f>MOD(BA159*16807,2147483647)</x:f>
        <x:v>1858601765</x:v>
      </x:c>
      <x:c r="BA160" s="9" t="n">
        <x:f>MOD(AZ160*16807,2147483647)</x:f>
        <x:v>222735093</x:v>
      </x:c>
      <x:c r="BB160" s="17" t="n">
        <x:f>IF('Control Room'!$B$5="Normal",'Control Room'!$B$7+'Control Room'!$D$7*SQRT(-2*LN(MAX(0.000000000001,AZ160/2147483647)))*COS(2*PI()*BA160/2147483647),'Control Room'!$B$8+('Control Room'!$D$8-'Control Room'!$B$8)*AZ160/2147483647)</x:f>
        <x:v>1038.4636803126034</x:v>
      </x:c>
      <x:c r="BC160" s="17" t="n">
        <x:f>IF('Control Room'!$B$5="Normal",'Control Room'!$B$7,('Control Room'!$B$8+'Control Room'!$D$8)/2)+'Control Room'!$B$9*(BC159-IF('Control Room'!$B$5="Normal",'Control Room'!$B$7,('Control Room'!$B$8+'Control Room'!$D$8)/2))+SQRT(1-'Control Room'!$B$9^2)*(BB160-IF('Control Room'!$B$5="Normal",'Control Room'!$B$7,('Control Room'!$B$8+'Control Room'!$D$8)/2))</x:f>
        <x:v>1060.0633769709304</x:v>
      </x:c>
      <x:c r="BD160" s="17" t="n">
        <x:f>IF(AND($A160&gt;='Control Room'!$A$13,$A160&lt;'Control Room'!$A$13+'Control Room'!$B$13,'Process'!BU2=1),1+('Control Room'!$C$13-1)*EXP(-0.5*(($A160-'Control Room'!$A$13-('Control Room'!$B$13-1)/2)/MAX(0.5,'Control Room'!$B$13/4))^2),1)*IF(AND($A160&gt;='Control Room'!$A$14,$A160&lt;'Control Room'!$A$14+'Control Room'!$B$14,'Process'!BU3=1),1+('Control Room'!$C$14-1)*EXP(-0.5*(($A160-'Control Room'!$A$14-('Control Room'!$B$14-1)/2)/MAX(0.5,'Control Room'!$B$14/4))^2),1)*IF(AND($A160&gt;='Control Room'!$A$15,$A160&lt;'Control Room'!$A$15+'Control Room'!$B$15,'Process'!BU4=1),1+('Control Room'!$C$15-1)*EXP(-0.5*(($A160-'Control Room'!$A$15-('Control Room'!$B$15-1)/2)/MAX(0.5,'Control Room'!$B$15/4))^2),1)*IF(AND($A160&gt;='Control Room'!$A$16,$A160&lt;'Control Room'!$A$16+'Control Room'!$B$16,'Process'!BU5=1),1+('Control Room'!$C$16-1)*EXP(-0.5*(($A160-'Control Room'!$A$16-('Control Room'!$B$16-1)/2)/MAX(0.5,'Control Room'!$B$16/4))^2),1)</x:f>
        <x:v>1</x:v>
      </x:c>
      <x:c r="BE160" s="9" t="n">
        <x:f>MOD(BF159*16807,2147483647)</x:f>
        <x:v>1830797311</x:v>
      </x:c>
      <x:c r="BF160" s="9" t="n">
        <x:f>MOD(BE160*16807,2147483647)</x:f>
        <x:v>1064711761</x:v>
      </x:c>
      <x:c r="BG160" s="17" t="n">
        <x:f>IF('Control Room'!$B$5="Normal",'Control Room'!$B$7+'Control Room'!$D$7*SQRT(-2*LN(MAX(0.000000000001,BE160/2147483647)))*COS(2*PI()*BF160/2147483647),'Control Room'!$B$8+('Control Room'!$D$8-'Control Room'!$B$8)*BE160/2147483647)</x:f>
        <x:v>949.1784646006046</x:v>
      </x:c>
      <x:c r="BH160" s="17" t="n">
        <x:f>IF('Control Room'!$B$5="Normal",'Control Room'!$B$7,('Control Room'!$B$8+'Control Room'!$D$8)/2)+'Control Room'!$B$9*(BH159-IF('Control Room'!$B$5="Normal",'Control Room'!$B$7,('Control Room'!$B$8+'Control Room'!$D$8)/2))+SQRT(1-'Control Room'!$B$9^2)*(BG160-IF('Control Room'!$B$5="Normal",'Control Room'!$B$7,('Control Room'!$B$8+'Control Room'!$D$8)/2))</x:f>
        <x:v>957.3247688940079</x:v>
      </x:c>
      <x:c r="BI160" s="17" t="n">
        <x:f>IF(AND($A160&gt;='Control Room'!$A$13,$A160&lt;'Control Room'!$A$13+'Control Room'!$B$13,'Process'!BV2=1),1+('Control Room'!$C$13-1)*EXP(-0.5*(($A160-'Control Room'!$A$13-('Control Room'!$B$13-1)/2)/MAX(0.5,'Control Room'!$B$13/4))^2),1)*IF(AND($A160&gt;='Control Room'!$A$14,$A160&lt;'Control Room'!$A$14+'Control Room'!$B$14,'Process'!BV3=1),1+('Control Room'!$C$14-1)*EXP(-0.5*(($A160-'Control Room'!$A$14-('Control Room'!$B$14-1)/2)/MAX(0.5,'Control Room'!$B$14/4))^2),1)*IF(AND($A160&gt;='Control Room'!$A$15,$A160&lt;'Control Room'!$A$15+'Control Room'!$B$15,'Process'!BV4=1),1+('Control Room'!$C$15-1)*EXP(-0.5*(($A160-'Control Room'!$A$15-('Control Room'!$B$15-1)/2)/MAX(0.5,'Control Room'!$B$15/4))^2),1)*IF(AND($A160&gt;='Control Room'!$A$16,$A160&lt;'Control Room'!$A$16+'Control Room'!$B$16,'Process'!BV5=1),1+('Control Room'!$C$16-1)*EXP(-0.5*(($A160-'Control Room'!$A$16-('Control Room'!$B$16-1)/2)/MAX(0.5,'Control Room'!$B$16/4))^2),1)</x:f>
        <x:v>1</x:v>
      </x:c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Z160" t="str">
        <x:f>IF('Data'!A160="","",TEXT('Data'!A160,"mm-dd"))</x:f>
      </x:c>
    </x:row>
    <x:row r="161" ht="21" customHeight="1">
      <x:c r="A161" s="15" t="n">
        <x:f>'Control Room'!$B$1+159</x:f>
        <x:v>73150</x:v>
      </x:c>
      <x:c r="B161" s="9" t="n">
        <x:f>MOD(C160*16807,2147483647)</x:f>
        <x:v>8523282</x:v>
      </x:c>
      <x:c r="C161" s="9" t="n">
        <x:f>MOD(B161*16807,2147483647)</x:f>
        <x:v>1516879872</x:v>
      </x:c>
      <x:c r="D161" s="17" t="n">
        <x:f>IF('Control Room'!$B$5="Normal",'Control Room'!$B$7+'Control Room'!$D$7*SQRT(-2*LN(MAX(0.000000000001,B161/2147483647)))*COS(2*PI()*C161/2147483647),'Control Room'!$B$8+('Control Room'!$D$8-'Control Room'!$B$8)*B161/2147483647)</x:f>
        <x:v>918.945929207502</x:v>
      </x:c>
      <x:c r="E161" s="17" t="n">
        <x:f>IF('Control Room'!$B$5="Normal",'Control Room'!$B$7,('Control Room'!$B$8+'Control Room'!$D$8)/2)+'Control Room'!$B$9*(E160-IF('Control Room'!$B$5="Normal",'Control Room'!$B$7,('Control Room'!$B$8+'Control Room'!$D$8)/2))+SQRT(1-'Control Room'!$B$9^2)*(D161-IF('Control Room'!$B$5="Normal",'Control Room'!$B$7,('Control Room'!$B$8+'Control Room'!$D$8)/2))</x:f>
        <x:v>987.2107269210446</x:v>
      </x:c>
      <x:c r="F161" s="17" t="n">
        <x:f>IF(AND($A161&gt;='Control Room'!$A$13,$A161&lt;'Control Room'!$A$13+'Control Room'!$B$13,'Process'!BK2=1),1+('Control Room'!$C$13-1)*EXP(-0.5*(($A161-'Control Room'!$A$13-('Control Room'!$B$13-1)/2)/MAX(0.5,'Control Room'!$B$13/4))^2),1)*IF(AND($A161&gt;='Control Room'!$A$14,$A161&lt;'Control Room'!$A$14+'Control Room'!$B$14,'Process'!BK3=1),1+('Control Room'!$C$14-1)*EXP(-0.5*(($A161-'Control Room'!$A$14-('Control Room'!$B$14-1)/2)/MAX(0.5,'Control Room'!$B$14/4))^2),1)*IF(AND($A161&gt;='Control Room'!$A$15,$A161&lt;'Control Room'!$A$15+'Control Room'!$B$15,'Process'!BK4=1),1+('Control Room'!$C$15-1)*EXP(-0.5*(($A161-'Control Room'!$A$15-('Control Room'!$B$15-1)/2)/MAX(0.5,'Control Room'!$B$15/4))^2),1)*IF(AND($A161&gt;='Control Room'!$A$16,$A161&lt;'Control Room'!$A$16+'Control Room'!$B$16,'Process'!BK5=1),1+('Control Room'!$C$16-1)*EXP(-0.5*(($A161-'Control Room'!$A$16-('Control Room'!$B$16-1)/2)/MAX(0.5,'Control Room'!$B$16/4))^2),1)</x:f>
        <x:v>1</x:v>
      </x:c>
      <x:c r="G161" s="9" t="n">
        <x:f>MOD(H160*16807,2147483647)</x:f>
        <x:v>1340632275</x:v>
      </x:c>
      <x:c r="H161" s="9" t="n">
        <x:f>MOD(G161*16807,2147483647)</x:f>
        <x:v>608221601</x:v>
      </x:c>
      <x:c r="I161" s="17" t="n">
        <x:f>IF('Control Room'!$B$5="Normal",'Control Room'!$B$7+'Control Room'!$D$7*SQRT(-2*LN(MAX(0.000000000001,G161/2147483647)))*COS(2*PI()*H161/2147483647),'Control Room'!$B$8+('Control Room'!$D$8-'Control Room'!$B$8)*G161/2147483647)</x:f>
        <x:v>981.893742721159</x:v>
      </x:c>
      <x:c r="J161" s="17" t="n">
        <x:f>IF('Control Room'!$B$5="Normal",'Control Room'!$B$7,('Control Room'!$B$8+'Control Room'!$D$8)/2)+'Control Room'!$B$9*(J160-IF('Control Room'!$B$5="Normal",'Control Room'!$B$7,('Control Room'!$B$8+'Control Room'!$D$8)/2))+SQRT(1-'Control Room'!$B$9^2)*(I161-IF('Control Room'!$B$5="Normal",'Control Room'!$B$7,('Control Room'!$B$8+'Control Room'!$D$8)/2))</x:f>
        <x:v>1000.2569560113793</x:v>
      </x:c>
      <x:c r="K161" s="17" t="n">
        <x:f>IF(AND($A161&gt;='Control Room'!$A$13,$A161&lt;'Control Room'!$A$13+'Control Room'!$B$13,'Process'!BL2=1),1+('Control Room'!$C$13-1)*EXP(-0.5*(($A161-'Control Room'!$A$13-('Control Room'!$B$13-1)/2)/MAX(0.5,'Control Room'!$B$13/4))^2),1)*IF(AND($A161&gt;='Control Room'!$A$14,$A161&lt;'Control Room'!$A$14+'Control Room'!$B$14,'Process'!BL3=1),1+('Control Room'!$C$14-1)*EXP(-0.5*(($A161-'Control Room'!$A$14-('Control Room'!$B$14-1)/2)/MAX(0.5,'Control Room'!$B$14/4))^2),1)*IF(AND($A161&gt;='Control Room'!$A$15,$A161&lt;'Control Room'!$A$15+'Control Room'!$B$15,'Process'!BL4=1),1+('Control Room'!$C$15-1)*EXP(-0.5*(($A161-'Control Room'!$A$15-('Control Room'!$B$15-1)/2)/MAX(0.5,'Control Room'!$B$15/4))^2),1)*IF(AND($A161&gt;='Control Room'!$A$16,$A161&lt;'Control Room'!$A$16+'Control Room'!$B$16,'Process'!BL5=1),1+('Control Room'!$C$16-1)*EXP(-0.5*(($A161-'Control Room'!$A$16-('Control Room'!$B$16-1)/2)/MAX(0.5,'Control Room'!$B$16/4))^2),1)</x:f>
        <x:v>1</x:v>
      </x:c>
      <x:c r="L161" s="9" t="n">
        <x:f>MOD(M160*16807,2147483647)</x:f>
        <x:v>525257621</x:v>
      </x:c>
      <x:c r="M161" s="9" t="n">
        <x:f>MOD(L161*16807,2147483647)</x:f>
        <x:v>1847046977</x:v>
      </x:c>
      <x:c r="N161" s="17" t="n">
        <x:f>IF('Control Room'!$B$5="Normal",'Control Room'!$B$7+'Control Room'!$D$7*SQRT(-2*LN(MAX(0.000000000001,L161/2147483647)))*COS(2*PI()*M161/2147483647),'Control Room'!$B$8+('Control Room'!$D$8-'Control Room'!$B$8)*L161/2147483647)</x:f>
        <x:v>1096.3465917457204</x:v>
      </x:c>
      <x:c r="O161" s="17" t="n">
        <x:f>IF('Control Room'!$B$5="Normal",'Control Room'!$B$7,('Control Room'!$B$8+'Control Room'!$D$8)/2)+'Control Room'!$B$9*(O160-IF('Control Room'!$B$5="Normal",'Control Room'!$B$7,('Control Room'!$B$8+'Control Room'!$D$8)/2))+SQRT(1-'Control Room'!$B$9^2)*(N161-IF('Control Room'!$B$5="Normal",'Control Room'!$B$7,('Control Room'!$B$8+'Control Room'!$D$8)/2))</x:f>
        <x:v>1136.4272337782022</x:v>
      </x:c>
      <x:c r="P161" s="17" t="n">
        <x:f>IF(AND($A161&gt;='Control Room'!$A$13,$A161&lt;'Control Room'!$A$13+'Control Room'!$B$13,'Process'!BM2=1),1+('Control Room'!$C$13-1)*EXP(-0.5*(($A161-'Control Room'!$A$13-('Control Room'!$B$13-1)/2)/MAX(0.5,'Control Room'!$B$13/4))^2),1)*IF(AND($A161&gt;='Control Room'!$A$14,$A161&lt;'Control Room'!$A$14+'Control Room'!$B$14,'Process'!BM3=1),1+('Control Room'!$C$14-1)*EXP(-0.5*(($A161-'Control Room'!$A$14-('Control Room'!$B$14-1)/2)/MAX(0.5,'Control Room'!$B$14/4))^2),1)*IF(AND($A161&gt;='Control Room'!$A$15,$A161&lt;'Control Room'!$A$15+'Control Room'!$B$15,'Process'!BM4=1),1+('Control Room'!$C$15-1)*EXP(-0.5*(($A161-'Control Room'!$A$15-('Control Room'!$B$15-1)/2)/MAX(0.5,'Control Room'!$B$15/4))^2),1)*IF(AND($A161&gt;='Control Room'!$A$16,$A161&lt;'Control Room'!$A$16+'Control Room'!$B$16,'Process'!BM5=1),1+('Control Room'!$C$16-1)*EXP(-0.5*(($A161-'Control Room'!$A$16-('Control Room'!$B$16-1)/2)/MAX(0.5,'Control Room'!$B$16/4))^2),1)</x:f>
        <x:v>1</x:v>
      </x:c>
      <x:c r="Q161" s="9" t="n">
        <x:f>MOD(R160*16807,2147483647)</x:f>
        <x:v>1857366614</x:v>
      </x:c>
      <x:c r="R161" s="9" t="n">
        <x:f>MOD(Q161*16807,2147483647)</x:f>
        <x:v>938388706</x:v>
      </x:c>
      <x:c r="S161" s="17" t="n">
        <x:f>IF('Control Room'!$B$5="Normal",'Control Room'!$B$7+'Control Room'!$D$7*SQRT(-2*LN(MAX(0.000000000001,Q161/2147483647)))*COS(2*PI()*R161/2147483647),'Control Room'!$B$8+('Control Room'!$D$8-'Control Room'!$B$8)*Q161/2147483647)</x:f>
        <x:v>955.263537972275</x:v>
      </x:c>
      <x:c r="T161" s="17" t="n">
        <x:f>IF('Control Room'!$B$5="Normal",'Control Room'!$B$7,('Control Room'!$B$8+'Control Room'!$D$8)/2)+'Control Room'!$B$9*(T160-IF('Control Room'!$B$5="Normal",'Control Room'!$B$7,('Control Room'!$B$8+'Control Room'!$D$8)/2))+SQRT(1-'Control Room'!$B$9^2)*(S161-IF('Control Room'!$B$5="Normal",'Control Room'!$B$7,('Control Room'!$B$8+'Control Room'!$D$8)/2))</x:f>
        <x:v>930.9201326568354</x:v>
      </x:c>
      <x:c r="U161" s="17" t="n">
        <x:f>IF(AND($A161&gt;='Control Room'!$A$13,$A161&lt;'Control Room'!$A$13+'Control Room'!$B$13,'Process'!BN2=1),1+('Control Room'!$C$13-1)*EXP(-0.5*(($A161-'Control Room'!$A$13-('Control Room'!$B$13-1)/2)/MAX(0.5,'Control Room'!$B$13/4))^2),1)*IF(AND($A161&gt;='Control Room'!$A$14,$A161&lt;'Control Room'!$A$14+'Control Room'!$B$14,'Process'!BN3=1),1+('Control Room'!$C$14-1)*EXP(-0.5*(($A161-'Control Room'!$A$14-('Control Room'!$B$14-1)/2)/MAX(0.5,'Control Room'!$B$14/4))^2),1)*IF(AND($A161&gt;='Control Room'!$A$15,$A161&lt;'Control Room'!$A$15+'Control Room'!$B$15,'Process'!BN4=1),1+('Control Room'!$C$15-1)*EXP(-0.5*(($A161-'Control Room'!$A$15-('Control Room'!$B$15-1)/2)/MAX(0.5,'Control Room'!$B$15/4))^2),1)*IF(AND($A161&gt;='Control Room'!$A$16,$A161&lt;'Control Room'!$A$16+'Control Room'!$B$16,'Process'!BN5=1),1+('Control Room'!$C$16-1)*EXP(-0.5*(($A161-'Control Room'!$A$16-('Control Room'!$B$16-1)/2)/MAX(0.5,'Control Room'!$B$16/4))^2),1)</x:f>
        <x:v>1</x:v>
      </x:c>
      <x:c r="V161" s="9" t="n">
        <x:f>MOD(W160*16807,2147483647)</x:f>
        <x:v>1041991960</x:v>
      </x:c>
      <x:c r="W161" s="9" t="n">
        <x:f>MOD(V161*16807,2147483647)</x:f>
        <x:v>29730435</x:v>
      </x:c>
      <x:c r="X161" s="17" t="n">
        <x:f>IF('Control Room'!$B$5="Normal",'Control Room'!$B$7+'Control Room'!$D$7*SQRT(-2*LN(MAX(0.000000000001,V161/2147483647)))*COS(2*PI()*W161/2147483647),'Control Room'!$B$8+('Control Room'!$D$8-'Control Room'!$B$8)*V161/2147483647)</x:f>
        <x:v>1107.8276937633718</x:v>
      </x:c>
      <x:c r="Y161" s="17" t="n">
        <x:f>IF('Control Room'!$B$5="Normal",'Control Room'!$B$7,('Control Room'!$B$8+'Control Room'!$D$8)/2)+'Control Room'!$B$9*(Y160-IF('Control Room'!$B$5="Normal",'Control Room'!$B$7,('Control Room'!$B$8+'Control Room'!$D$8)/2))+SQRT(1-'Control Room'!$B$9^2)*(X161-IF('Control Room'!$B$5="Normal",'Control Room'!$B$7,('Control Room'!$B$8+'Control Room'!$D$8)/2))</x:f>
        <x:v>1050.7465918299085</x:v>
      </x:c>
      <x:c r="Z161" s="17" t="n">
        <x:f>IF(AND($A161&gt;='Control Room'!$A$13,$A161&lt;'Control Room'!$A$13+'Control Room'!$B$13,'Process'!BO2=1),1+('Control Room'!$C$13-1)*EXP(-0.5*(($A161-'Control Room'!$A$13-('Control Room'!$B$13-1)/2)/MAX(0.5,'Control Room'!$B$13/4))^2),1)*IF(AND($A161&gt;='Control Room'!$A$14,$A161&lt;'Control Room'!$A$14+'Control Room'!$B$14,'Process'!BO3=1),1+('Control Room'!$C$14-1)*EXP(-0.5*(($A161-'Control Room'!$A$14-('Control Room'!$B$14-1)/2)/MAX(0.5,'Control Room'!$B$14/4))^2),1)*IF(AND($A161&gt;='Control Room'!$A$15,$A161&lt;'Control Room'!$A$15+'Control Room'!$B$15,'Process'!BO4=1),1+('Control Room'!$C$15-1)*EXP(-0.5*(($A161-'Control Room'!$A$15-('Control Room'!$B$15-1)/2)/MAX(0.5,'Control Room'!$B$15/4))^2),1)*IF(AND($A161&gt;='Control Room'!$A$16,$A161&lt;'Control Room'!$A$16+'Control Room'!$B$16,'Process'!BO5=1),1+('Control Room'!$C$16-1)*EXP(-0.5*(($A161-'Control Room'!$A$16-('Control Room'!$B$16-1)/2)/MAX(0.5,'Control Room'!$B$16/4))^2),1)</x:f>
        <x:v>1</x:v>
      </x:c>
      <x:c r="AA161" s="9" t="n">
        <x:f>MOD(AB160*16807,2147483647)</x:f>
        <x:v>226617306</x:v>
      </x:c>
      <x:c r="AB161" s="9" t="n">
        <x:f>MOD(AA161*16807,2147483647)</x:f>
        <x:v>1268555811</x:v>
      </x:c>
      <x:c r="AC161" s="17" t="n">
        <x:f>IF('Control Room'!$B$5="Normal",'Control Room'!$B$7+'Control Room'!$D$7*SQRT(-2*LN(MAX(0.000000000001,AA161/2147483647)))*COS(2*PI()*AB161/2147483647),'Control Room'!$B$8+('Control Room'!$D$8-'Control Room'!$B$8)*AA161/2147483647)</x:f>
        <x:v>839.3078622886167</x:v>
      </x:c>
      <x:c r="AD161" s="17" t="n">
        <x:f>IF('Control Room'!$B$5="Normal",'Control Room'!$B$7,('Control Room'!$B$8+'Control Room'!$D$8)/2)+'Control Room'!$B$9*(AD160-IF('Control Room'!$B$5="Normal",'Control Room'!$B$7,('Control Room'!$B$8+'Control Room'!$D$8)/2))+SQRT(1-'Control Room'!$B$9^2)*(AC161-IF('Control Room'!$B$5="Normal",'Control Room'!$B$7,('Control Room'!$B$8+'Control Room'!$D$8)/2))</x:f>
        <x:v>929.0826368496118</x:v>
      </x:c>
      <x:c r="AE161" s="17" t="n">
        <x:f>IF(AND($A161&gt;='Control Room'!$A$13,$A161&lt;'Control Room'!$A$13+'Control Room'!$B$13,'Process'!BP2=1),1+('Control Room'!$C$13-1)*EXP(-0.5*(($A161-'Control Room'!$A$13-('Control Room'!$B$13-1)/2)/MAX(0.5,'Control Room'!$B$13/4))^2),1)*IF(AND($A161&gt;='Control Room'!$A$14,$A161&lt;'Control Room'!$A$14+'Control Room'!$B$14,'Process'!BP3=1),1+('Control Room'!$C$14-1)*EXP(-0.5*(($A161-'Control Room'!$A$14-('Control Room'!$B$14-1)/2)/MAX(0.5,'Control Room'!$B$14/4))^2),1)*IF(AND($A161&gt;='Control Room'!$A$15,$A161&lt;'Control Room'!$A$15+'Control Room'!$B$15,'Process'!BP4=1),1+('Control Room'!$C$15-1)*EXP(-0.5*(($A161-'Control Room'!$A$15-('Control Room'!$B$15-1)/2)/MAX(0.5,'Control Room'!$B$15/4))^2),1)*IF(AND($A161&gt;='Control Room'!$A$16,$A161&lt;'Control Room'!$A$16+'Control Room'!$B$16,'Process'!BP5=1),1+('Control Room'!$C$16-1)*EXP(-0.5*(($A161-'Control Room'!$A$16-('Control Room'!$B$16-1)/2)/MAX(0.5,'Control Room'!$B$16/4))^2),1)</x:f>
        <x:v>1</x:v>
      </x:c>
      <x:c r="AF161" s="9" t="n">
        <x:f>MOD(AG160*16807,2147483647)</x:f>
        <x:v>1558726299</x:v>
      </x:c>
      <x:c r="AG161" s="9" t="n">
        <x:f>MOD(AF161*16807,2147483647)</x:f>
        <x:v>359897540</x:v>
      </x:c>
      <x:c r="AH161" s="17" t="n">
        <x:f>IF('Control Room'!$B$5="Normal",'Control Room'!$B$7+'Control Room'!$D$7*SQRT(-2*LN(MAX(0.000000000001,AF161/2147483647)))*COS(2*PI()*AG161/2147483647),'Control Room'!$B$8+('Control Room'!$D$8-'Control Room'!$B$8)*AF161/2147483647)</x:f>
        <x:v>1035.6613243041907</x:v>
      </x:c>
      <x:c r="AI161" s="17" t="n">
        <x:f>IF('Control Room'!$B$5="Normal",'Control Room'!$B$7,('Control Room'!$B$8+'Control Room'!$D$8)/2)+'Control Room'!$B$9*(AI160-IF('Control Room'!$B$5="Normal",'Control Room'!$B$7,('Control Room'!$B$8+'Control Room'!$D$8)/2))+SQRT(1-'Control Room'!$B$9^2)*(AH161-IF('Control Room'!$B$5="Normal",'Control Room'!$B$7,('Control Room'!$B$8+'Control Room'!$D$8)/2))</x:f>
        <x:v>1027.2603692708255</x:v>
      </x:c>
      <x:c r="AJ161" s="17" t="n">
        <x:f>IF(AND($A161&gt;='Control Room'!$A$13,$A161&lt;'Control Room'!$A$13+'Control Room'!$B$13,'Process'!BQ2=1),1+('Control Room'!$C$13-1)*EXP(-0.5*(($A161-'Control Room'!$A$13-('Control Room'!$B$13-1)/2)/MAX(0.5,'Control Room'!$B$13/4))^2),1)*IF(AND($A161&gt;='Control Room'!$A$14,$A161&lt;'Control Room'!$A$14+'Control Room'!$B$14,'Process'!BQ3=1),1+('Control Room'!$C$14-1)*EXP(-0.5*(($A161-'Control Room'!$A$14-('Control Room'!$B$14-1)/2)/MAX(0.5,'Control Room'!$B$14/4))^2),1)*IF(AND($A161&gt;='Control Room'!$A$15,$A161&lt;'Control Room'!$A$15+'Control Room'!$B$15,'Process'!BQ4=1),1+('Control Room'!$C$15-1)*EXP(-0.5*(($A161-'Control Room'!$A$15-('Control Room'!$B$15-1)/2)/MAX(0.5,'Control Room'!$B$15/4))^2),1)*IF(AND($A161&gt;='Control Room'!$A$16,$A161&lt;'Control Room'!$A$16+'Control Room'!$B$16,'Process'!BQ5=1),1+('Control Room'!$C$16-1)*EXP(-0.5*(($A161-'Control Room'!$A$16-('Control Room'!$B$16-1)/2)/MAX(0.5,'Control Room'!$B$16/4))^2),1)</x:f>
        <x:v>1</x:v>
      </x:c>
      <x:c r="AK161" s="9" t="n">
        <x:f>MOD(AL160*16807,2147483647)</x:f>
        <x:v>743351645</x:v>
      </x:c>
      <x:c r="AL161" s="9" t="n">
        <x:f>MOD(AK161*16807,2147483647)</x:f>
        <x:v>1598722916</x:v>
      </x:c>
      <x:c r="AM161" s="17" t="n">
        <x:f>IF('Control Room'!$B$5="Normal",'Control Room'!$B$7+'Control Room'!$D$7*SQRT(-2*LN(MAX(0.000000000001,AK161/2147483647)))*COS(2*PI()*AL161/2147483647),'Control Room'!$B$8+('Control Room'!$D$8-'Control Room'!$B$8)*AK161/2147483647)</x:f>
        <x:v>995.4403776539251</x:v>
      </x:c>
      <x:c r="AN161" s="17" t="n">
        <x:f>IF('Control Room'!$B$5="Normal",'Control Room'!$B$7,('Control Room'!$B$8+'Control Room'!$D$8)/2)+'Control Room'!$B$9*(AN160-IF('Control Room'!$B$5="Normal",'Control Room'!$B$7,('Control Room'!$B$8+'Control Room'!$D$8)/2))+SQRT(1-'Control Room'!$B$9^2)*(AM161-IF('Control Room'!$B$5="Normal",'Control Room'!$B$7,('Control Room'!$B$8+'Control Room'!$D$8)/2))</x:f>
        <x:v>1020.3510386021718</x:v>
      </x:c>
      <x:c r="AO161" s="17" t="n">
        <x:f>IF(AND($A161&gt;='Control Room'!$A$13,$A161&lt;'Control Room'!$A$13+'Control Room'!$B$13,'Process'!BR2=1),1+('Control Room'!$C$13-1)*EXP(-0.5*(($A161-'Control Room'!$A$13-('Control Room'!$B$13-1)/2)/MAX(0.5,'Control Room'!$B$13/4))^2),1)*IF(AND($A161&gt;='Control Room'!$A$14,$A161&lt;'Control Room'!$A$14+'Control Room'!$B$14,'Process'!BR3=1),1+('Control Room'!$C$14-1)*EXP(-0.5*(($A161-'Control Room'!$A$14-('Control Room'!$B$14-1)/2)/MAX(0.5,'Control Room'!$B$14/4))^2),1)*IF(AND($A161&gt;='Control Room'!$A$15,$A161&lt;'Control Room'!$A$15+'Control Room'!$B$15,'Process'!BR4=1),1+('Control Room'!$C$15-1)*EXP(-0.5*(($A161-'Control Room'!$A$15-('Control Room'!$B$15-1)/2)/MAX(0.5,'Control Room'!$B$15/4))^2),1)*IF(AND($A161&gt;='Control Room'!$A$16,$A161&lt;'Control Room'!$A$16+'Control Room'!$B$16,'Process'!BR5=1),1+('Control Room'!$C$16-1)*EXP(-0.5*(($A161-'Control Room'!$A$16-('Control Room'!$B$16-1)/2)/MAX(0.5,'Control Room'!$B$16/4))^2),1)</x:f>
        <x:v>1</x:v>
      </x:c>
      <x:c r="AP161" s="9" t="n">
        <x:f>MOD(AQ160*16807,2147483647)</x:f>
        <x:v>2075460638</x:v>
      </x:c>
      <x:c r="AQ161" s="9" t="n">
        <x:f>MOD(AP161*16807,2147483647)</x:f>
        <x:v>690064645</x:v>
      </x:c>
      <x:c r="AR161" s="17" t="n">
        <x:f>IF('Control Room'!$B$5="Normal",'Control Room'!$B$7+'Control Room'!$D$7*SQRT(-2*LN(MAX(0.000000000001,AP161/2147483647)))*COS(2*PI()*AQ161/2147483647),'Control Room'!$B$8+('Control Room'!$D$8-'Control Room'!$B$8)*AP161/2147483647)</x:f>
        <x:v>989.8123930440132</x:v>
      </x:c>
      <x:c r="AS161" s="17" t="n">
        <x:f>IF('Control Room'!$B$5="Normal",'Control Room'!$B$7,('Control Room'!$B$8+'Control Room'!$D$8)/2)+'Control Room'!$B$9*(AS160-IF('Control Room'!$B$5="Normal",'Control Room'!$B$7,('Control Room'!$B$8+'Control Room'!$D$8)/2))+SQRT(1-'Control Room'!$B$9^2)*(AR161-IF('Control Room'!$B$5="Normal",'Control Room'!$B$7,('Control Room'!$B$8+'Control Room'!$D$8)/2))</x:f>
        <x:v>1030.143412162296</x:v>
      </x:c>
      <x:c r="AT161" s="17" t="n">
        <x:f>IF(AND($A161&gt;='Control Room'!$A$13,$A161&lt;'Control Room'!$A$13+'Control Room'!$B$13,'Process'!BS2=1),1+('Control Room'!$C$13-1)*EXP(-0.5*(($A161-'Control Room'!$A$13-('Control Room'!$B$13-1)/2)/MAX(0.5,'Control Room'!$B$13/4))^2),1)*IF(AND($A161&gt;='Control Room'!$A$14,$A161&lt;'Control Room'!$A$14+'Control Room'!$B$14,'Process'!BS3=1),1+('Control Room'!$C$14-1)*EXP(-0.5*(($A161-'Control Room'!$A$14-('Control Room'!$B$14-1)/2)/MAX(0.5,'Control Room'!$B$14/4))^2),1)*IF(AND($A161&gt;='Control Room'!$A$15,$A161&lt;'Control Room'!$A$15+'Control Room'!$B$15,'Process'!BS4=1),1+('Control Room'!$C$15-1)*EXP(-0.5*(($A161-'Control Room'!$A$15-('Control Room'!$B$15-1)/2)/MAX(0.5,'Control Room'!$B$15/4))^2),1)*IF(AND($A161&gt;='Control Room'!$A$16,$A161&lt;'Control Room'!$A$16+'Control Room'!$B$16,'Process'!BS5=1),1+('Control Room'!$C$16-1)*EXP(-0.5*(($A161-'Control Room'!$A$16-('Control Room'!$B$16-1)/2)/MAX(0.5,'Control Room'!$B$16/4))^2),1)</x:f>
        <x:v>1</x:v>
      </x:c>
      <x:c r="AU161" s="9" t="n">
        <x:f>MOD(AV160*16807,2147483647)</x:f>
        <x:v>1260085984</x:v>
      </x:c>
      <x:c r="AV161" s="9" t="n">
        <x:f>MOD(AU161*16807,2147483647)</x:f>
        <x:v>1928890021</x:v>
      </x:c>
      <x:c r="AW161" s="17" t="n">
        <x:f>IF('Control Room'!$B$5="Normal",'Control Room'!$B$7+'Control Room'!$D$7*SQRT(-2*LN(MAX(0.000000000001,AU161/2147483647)))*COS(2*PI()*AV161/2147483647),'Control Room'!$B$8+('Control Room'!$D$8-'Control Room'!$B$8)*AU161/2147483647)</x:f>
        <x:v>1074.5648535202765</x:v>
      </x:c>
      <x:c r="AX161" s="17" t="n">
        <x:f>IF('Control Room'!$B$5="Normal",'Control Room'!$B$7,('Control Room'!$B$8+'Control Room'!$D$8)/2)+'Control Room'!$B$9*(AX160-IF('Control Room'!$B$5="Normal",'Control Room'!$B$7,('Control Room'!$B$8+'Control Room'!$D$8)/2))+SQRT(1-'Control Room'!$B$9^2)*(AW161-IF('Control Room'!$B$5="Normal",'Control Room'!$B$7,('Control Room'!$B$8+'Control Room'!$D$8)/2))</x:f>
        <x:v>890.1414453807477</x:v>
      </x:c>
      <x:c r="AY161" s="17" t="n">
        <x:f>IF(AND($A161&gt;='Control Room'!$A$13,$A161&lt;'Control Room'!$A$13+'Control Room'!$B$13,'Process'!BT2=1),1+('Control Room'!$C$13-1)*EXP(-0.5*(($A161-'Control Room'!$A$13-('Control Room'!$B$13-1)/2)/MAX(0.5,'Control Room'!$B$13/4))^2),1)*IF(AND($A161&gt;='Control Room'!$A$14,$A161&lt;'Control Room'!$A$14+'Control Room'!$B$14,'Process'!BT3=1),1+('Control Room'!$C$14-1)*EXP(-0.5*(($A161-'Control Room'!$A$14-('Control Room'!$B$14-1)/2)/MAX(0.5,'Control Room'!$B$14/4))^2),1)*IF(AND($A161&gt;='Control Room'!$A$15,$A161&lt;'Control Room'!$A$15+'Control Room'!$B$15,'Process'!BT4=1),1+('Control Room'!$C$15-1)*EXP(-0.5*(($A161-'Control Room'!$A$15-('Control Room'!$B$15-1)/2)/MAX(0.5,'Control Room'!$B$15/4))^2),1)*IF(AND($A161&gt;='Control Room'!$A$16,$A161&lt;'Control Room'!$A$16+'Control Room'!$B$16,'Process'!BT5=1),1+('Control Room'!$C$16-1)*EXP(-0.5*(($A161-'Control Room'!$A$16-('Control Room'!$B$16-1)/2)/MAX(0.5,'Control Room'!$B$16/4))^2),1)</x:f>
        <x:v>1</x:v>
      </x:c>
      <x:c r="AZ161" s="9" t="n">
        <x:f>MOD(BA160*16807,2147483647)</x:f>
        <x:v>444711330</x:v>
      </x:c>
      <x:c r="BA161" s="9" t="n">
        <x:f>MOD(AZ161*16807,2147483647)</x:f>
        <x:v>1020231750</x:v>
      </x:c>
      <x:c r="BB161" s="17" t="n">
        <x:f>IF('Control Room'!$B$5="Normal",'Control Room'!$B$7+'Control Room'!$D$7*SQRT(-2*LN(MAX(0.000000000001,AZ161/2147483647)))*COS(2*PI()*BA161/2147483647),'Control Room'!$B$8+('Control Room'!$D$8-'Control Room'!$B$8)*AZ161/2147483647)</x:f>
        <x:v>842.2382188099458</x:v>
      </x:c>
      <x:c r="BC161" s="17" t="n">
        <x:f>IF('Control Room'!$B$5="Normal",'Control Room'!$B$7,('Control Room'!$B$8+'Control Room'!$D$8)/2)+'Control Room'!$B$9*(BC160-IF('Control Room'!$B$5="Normal",'Control Room'!$B$7,('Control Room'!$B$8+'Control Room'!$D$8)/2))+SQRT(1-'Control Room'!$B$9^2)*(BB161-IF('Control Room'!$B$5="Normal",'Control Room'!$B$7,('Control Room'!$B$8+'Control Room'!$D$8)/2))</x:f>
        <x:v>948.1253432943485</x:v>
      </x:c>
      <x:c r="BD161" s="17" t="n">
        <x:f>IF(AND($A161&gt;='Control Room'!$A$13,$A161&lt;'Control Room'!$A$13+'Control Room'!$B$13,'Process'!BU2=1),1+('Control Room'!$C$13-1)*EXP(-0.5*(($A161-'Control Room'!$A$13-('Control Room'!$B$13-1)/2)/MAX(0.5,'Control Room'!$B$13/4))^2),1)*IF(AND($A161&gt;='Control Room'!$A$14,$A161&lt;'Control Room'!$A$14+'Control Room'!$B$14,'Process'!BU3=1),1+('Control Room'!$C$14-1)*EXP(-0.5*(($A161-'Control Room'!$A$14-('Control Room'!$B$14-1)/2)/MAX(0.5,'Control Room'!$B$14/4))^2),1)*IF(AND($A161&gt;='Control Room'!$A$15,$A161&lt;'Control Room'!$A$15+'Control Room'!$B$15,'Process'!BU4=1),1+('Control Room'!$C$15-1)*EXP(-0.5*(($A161-'Control Room'!$A$15-('Control Room'!$B$15-1)/2)/MAX(0.5,'Control Room'!$B$15/4))^2),1)*IF(AND($A161&gt;='Control Room'!$A$16,$A161&lt;'Control Room'!$A$16+'Control Room'!$B$16,'Process'!BU5=1),1+('Control Room'!$C$16-1)*EXP(-0.5*(($A161-'Control Room'!$A$16-('Control Room'!$B$16-1)/2)/MAX(0.5,'Control Room'!$B$16/4))^2),1)</x:f>
        <x:v>1</x:v>
      </x:c>
      <x:c r="BE161" s="9" t="n">
        <x:f>MOD(BF160*16807,2147483647)</x:f>
        <x:v>1776820323</x:v>
      </x:c>
      <x:c r="BF161" s="9" t="n">
        <x:f>MOD(BE161*16807,2147483647)</x:f>
        <x:v>111573479</x:v>
      </x:c>
      <x:c r="BG161" s="17" t="n">
        <x:f>IF('Control Room'!$B$5="Normal",'Control Room'!$B$7+'Control Room'!$D$7*SQRT(-2*LN(MAX(0.000000000001,BE161/2147483647)))*COS(2*PI()*BF161/2147483647),'Control Room'!$B$8+('Control Room'!$D$8-'Control Room'!$B$8)*BE161/2147483647)</x:f>
        <x:v>1052.476576306992</x:v>
      </x:c>
      <x:c r="BH161" s="17" t="n">
        <x:f>IF('Control Room'!$B$5="Normal",'Control Room'!$B$7,('Control Room'!$B$8+'Control Room'!$D$8)/2)+'Control Room'!$B$9*(BH160-IF('Control Room'!$B$5="Normal",'Control Room'!$B$7,('Control Room'!$B$8+'Control Room'!$D$8)/2))+SQRT(1-'Control Room'!$B$9^2)*(BG161-IF('Control Room'!$B$5="Normal",'Control Room'!$B$7,('Control Room'!$B$8+'Control Room'!$D$8)/2))</x:f>
        <x:v>999.5520861491424</x:v>
      </x:c>
      <x:c r="BI161" s="17" t="n">
        <x:f>IF(AND($A161&gt;='Control Room'!$A$13,$A161&lt;'Control Room'!$A$13+'Control Room'!$B$13,'Process'!BV2=1),1+('Control Room'!$C$13-1)*EXP(-0.5*(($A161-'Control Room'!$A$13-('Control Room'!$B$13-1)/2)/MAX(0.5,'Control Room'!$B$13/4))^2),1)*IF(AND($A161&gt;='Control Room'!$A$14,$A161&lt;'Control Room'!$A$14+'Control Room'!$B$14,'Process'!BV3=1),1+('Control Room'!$C$14-1)*EXP(-0.5*(($A161-'Control Room'!$A$14-('Control Room'!$B$14-1)/2)/MAX(0.5,'Control Room'!$B$14/4))^2),1)*IF(AND($A161&gt;='Control Room'!$A$15,$A161&lt;'Control Room'!$A$15+'Control Room'!$B$15,'Process'!BV4=1),1+('Control Room'!$C$15-1)*EXP(-0.5*(($A161-'Control Room'!$A$15-('Control Room'!$B$15-1)/2)/MAX(0.5,'Control Room'!$B$15/4))^2),1)*IF(AND($A161&gt;='Control Room'!$A$16,$A161&lt;'Control Room'!$A$16+'Control Room'!$B$16,'Process'!BV5=1),1+('Control Room'!$C$16-1)*EXP(-0.5*(($A161-'Control Room'!$A$16-('Control Room'!$B$16-1)/2)/MAX(0.5,'Control Room'!$B$16/4))^2),1)</x:f>
        <x:v>1</x:v>
      </x:c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Z161" t="str">
        <x:f>IF('Data'!A161="","",TEXT('Data'!A161,"mm-dd"))</x:f>
      </x:c>
    </x:row>
    <x:row r="162" ht="21" customHeight="1">
      <x:c r="A162" s="15" t="n">
        <x:f>'Control Room'!$B$1+160</x:f>
        <x:v>73151</x:v>
      </x:c>
      <x:c r="B162" s="9" t="n">
        <x:f>MOD(C161*16807,2147483647)</x:f>
        <x:v>1421635167</x:v>
      </x:c>
      <x:c r="C162" s="9" t="n">
        <x:f>MOD(B162*16807,2147483647)</x:f>
        <x:v>519195247</x:v>
      </x:c>
      <x:c r="D162" s="17" t="n">
        <x:f>IF('Control Room'!$B$5="Normal",'Control Room'!$B$7+'Control Room'!$D$7*SQRT(-2*LN(MAX(0.000000000001,B162/2147483647)))*COS(2*PI()*C162/2147483647),'Control Room'!$B$8+('Control Room'!$D$8-'Control Room'!$B$8)*B162/2147483647)</x:f>
        <x:v>1004.2256727115468</x:v>
      </x:c>
      <x:c r="E162" s="17" t="n">
        <x:f>IF('Control Room'!$B$5="Normal",'Control Room'!$B$7,('Control Room'!$B$8+'Control Room'!$D$8)/2)+'Control Room'!$B$9*(E161-IF('Control Room'!$B$5="Normal",'Control Room'!$B$7,('Control Room'!$B$8+'Control Room'!$D$8)/2))+SQRT(1-'Control Room'!$B$9^2)*(D162-IF('Control Room'!$B$5="Normal",'Control Room'!$B$7,('Control Room'!$B$8+'Control Room'!$D$8)/2))</x:f>
        <x:v>992.66870641369</x:v>
      </x:c>
      <x:c r="F162" s="17" t="n">
        <x:f>IF(AND($A162&gt;='Control Room'!$A$13,$A162&lt;'Control Room'!$A$13+'Control Room'!$B$13,'Process'!BK2=1),1+('Control Room'!$C$13-1)*EXP(-0.5*(($A162-'Control Room'!$A$13-('Control Room'!$B$13-1)/2)/MAX(0.5,'Control Room'!$B$13/4))^2),1)*IF(AND($A162&gt;='Control Room'!$A$14,$A162&lt;'Control Room'!$A$14+'Control Room'!$B$14,'Process'!BK3=1),1+('Control Room'!$C$14-1)*EXP(-0.5*(($A162-'Control Room'!$A$14-('Control Room'!$B$14-1)/2)/MAX(0.5,'Control Room'!$B$14/4))^2),1)*IF(AND($A162&gt;='Control Room'!$A$15,$A162&lt;'Control Room'!$A$15+'Control Room'!$B$15,'Process'!BK4=1),1+('Control Room'!$C$15-1)*EXP(-0.5*(($A162-'Control Room'!$A$15-('Control Room'!$B$15-1)/2)/MAX(0.5,'Control Room'!$B$15/4))^2),1)*IF(AND($A162&gt;='Control Room'!$A$16,$A162&lt;'Control Room'!$A$16+'Control Room'!$B$16,'Process'!BK5=1),1+('Control Room'!$C$16-1)*EXP(-0.5*(($A162-'Control Room'!$A$16-('Control Room'!$B$16-1)/2)/MAX(0.5,'Control Room'!$B$16/4))^2),1)</x:f>
        <x:v>1</x:v>
      </x:c>
      <x:c r="G162" s="9" t="n">
        <x:f>MOD(H161*16807,2147483647)</x:f>
        <x:v>358288287</x:v>
      </x:c>
      <x:c r="H162" s="9" t="n">
        <x:f>MOD(G162*16807,2147483647)</x:f>
        <x:v>207093421</x:v>
      </x:c>
      <x:c r="I162" s="17" t="n">
        <x:f>IF('Control Room'!$B$5="Normal",'Control Room'!$B$7+'Control Room'!$D$7*SQRT(-2*LN(MAX(0.000000000001,G162/2147483647)))*COS(2*PI()*H162/2147483647),'Control Room'!$B$8+('Control Room'!$D$8-'Control Room'!$B$8)*G162/2147483647)</x:f>
        <x:v>1140.0008458013413</x:v>
      </x:c>
      <x:c r="J162" s="17" t="n">
        <x:f>IF('Control Room'!$B$5="Normal",'Control Room'!$B$7,('Control Room'!$B$8+'Control Room'!$D$8)/2)+'Control Room'!$B$9*(J161-IF('Control Room'!$B$5="Normal",'Control Room'!$B$7,('Control Room'!$B$8+'Control Room'!$D$8)/2))+SQRT(1-'Control Room'!$B$9^2)*(I162-IF('Control Room'!$B$5="Normal",'Control Room'!$B$7,('Control Room'!$B$8+'Control Room'!$D$8)/2))</x:f>
        <x:v>1087.8100869181353</x:v>
      </x:c>
      <x:c r="K162" s="17" t="n">
        <x:f>IF(AND($A162&gt;='Control Room'!$A$13,$A162&lt;'Control Room'!$A$13+'Control Room'!$B$13,'Process'!BL2=1),1+('Control Room'!$C$13-1)*EXP(-0.5*(($A162-'Control Room'!$A$13-('Control Room'!$B$13-1)/2)/MAX(0.5,'Control Room'!$B$13/4))^2),1)*IF(AND($A162&gt;='Control Room'!$A$14,$A162&lt;'Control Room'!$A$14+'Control Room'!$B$14,'Process'!BL3=1),1+('Control Room'!$C$14-1)*EXP(-0.5*(($A162-'Control Room'!$A$14-('Control Room'!$B$14-1)/2)/MAX(0.5,'Control Room'!$B$14/4))^2),1)*IF(AND($A162&gt;='Control Room'!$A$15,$A162&lt;'Control Room'!$A$15+'Control Room'!$B$15,'Process'!BL4=1),1+('Control Room'!$C$15-1)*EXP(-0.5*(($A162-'Control Room'!$A$15-('Control Room'!$B$15-1)/2)/MAX(0.5,'Control Room'!$B$15/4))^2),1)*IF(AND($A162&gt;='Control Room'!$A$16,$A162&lt;'Control Room'!$A$16+'Control Room'!$B$16,'Process'!BL5=1),1+('Control Room'!$C$16-1)*EXP(-0.5*(($A162-'Control Room'!$A$16-('Control Room'!$B$16-1)/2)/MAX(0.5,'Control Room'!$B$16/4))^2),1)</x:f>
        <x:v>1</x:v>
      </x:c>
      <x:c r="L162" s="9" t="n">
        <x:f>MOD(M161*16807,2147483647)</x:f>
        <x:v>1442425054</x:v>
      </x:c>
      <x:c r="M162" s="9" t="n">
        <x:f>MOD(L162*16807,2147483647)</x:f>
        <x:v>2042475242</x:v>
      </x:c>
      <x:c r="N162" s="17" t="n">
        <x:f>IF('Control Room'!$B$5="Normal",'Control Room'!$B$7+'Control Room'!$D$7*SQRT(-2*LN(MAX(0.000000000001,L162/2147483647)))*COS(2*PI()*M162/2147483647),'Control Room'!$B$8+('Control Room'!$D$8-'Control Room'!$B$8)*L162/2147483647)</x:f>
        <x:v>1076.5340703326508</x:v>
      </x:c>
      <x:c r="O162" s="17" t="n">
        <x:f>IF('Control Room'!$B$5="Normal",'Control Room'!$B$7,('Control Room'!$B$8+'Control Room'!$D$8)/2)+'Control Room'!$B$9*(O161-IF('Control Room'!$B$5="Normal",'Control Room'!$B$7,('Control Room'!$B$8+'Control Room'!$D$8)/2))+SQRT(1-'Control Room'!$B$9^2)*(N162-IF('Control Room'!$B$5="Normal",'Control Room'!$B$7,('Control Room'!$B$8+'Control Room'!$D$8)/2))</x:f>
        <x:v>1154.3066956755176</x:v>
      </x:c>
      <x:c r="P162" s="17" t="n">
        <x:f>IF(AND($A162&gt;='Control Room'!$A$13,$A162&lt;'Control Room'!$A$13+'Control Room'!$B$13,'Process'!BM2=1),1+('Control Room'!$C$13-1)*EXP(-0.5*(($A162-'Control Room'!$A$13-('Control Room'!$B$13-1)/2)/MAX(0.5,'Control Room'!$B$13/4))^2),1)*IF(AND($A162&gt;='Control Room'!$A$14,$A162&lt;'Control Room'!$A$14+'Control Room'!$B$14,'Process'!BM3=1),1+('Control Room'!$C$14-1)*EXP(-0.5*(($A162-'Control Room'!$A$14-('Control Room'!$B$14-1)/2)/MAX(0.5,'Control Room'!$B$14/4))^2),1)*IF(AND($A162&gt;='Control Room'!$A$15,$A162&lt;'Control Room'!$A$15+'Control Room'!$B$15,'Process'!BM4=1),1+('Control Room'!$C$15-1)*EXP(-0.5*(($A162-'Control Room'!$A$15-('Control Room'!$B$15-1)/2)/MAX(0.5,'Control Room'!$B$15/4))^2),1)*IF(AND($A162&gt;='Control Room'!$A$16,$A162&lt;'Control Room'!$A$16+'Control Room'!$B$16,'Process'!BM5=1),1+('Control Room'!$C$16-1)*EXP(-0.5*(($A162-'Control Room'!$A$16-('Control Room'!$B$16-1)/2)/MAX(0.5,'Control Room'!$B$16/4))^2),1)</x:f>
        <x:v>1</x:v>
      </x:c>
      <x:c r="Q162" s="9" t="n">
        <x:f>MOD(R161*16807,2147483647)</x:f>
        <x:v>379078174</x:v>
      </x:c>
      <x:c r="R162" s="9" t="n">
        <x:f>MOD(Q162*16807,2147483647)</x:f>
        <x:v>1730373416</x:v>
      </x:c>
      <x:c r="S162" s="17" t="n">
        <x:f>IF('Control Room'!$B$5="Normal",'Control Room'!$B$7+'Control Room'!$D$7*SQRT(-2*LN(MAX(0.000000000001,Q162/2147483647)))*COS(2*PI()*R162/2147483647),'Control Room'!$B$8+('Control Room'!$D$8-'Control Room'!$B$8)*Q162/2147483647)</x:f>
        <x:v>1057.5388648784406</x:v>
      </x:c>
      <x:c r="T162" s="17" t="n">
        <x:f>IF('Control Room'!$B$5="Normal",'Control Room'!$B$7,('Control Room'!$B$8+'Control Room'!$D$8)/2)+'Control Room'!$B$9*(T161-IF('Control Room'!$B$5="Normal",'Control Room'!$B$7,('Control Room'!$B$8+'Control Room'!$D$8)/2))+SQRT(1-'Control Room'!$B$9^2)*(S162-IF('Control Room'!$B$5="Normal",'Control Room'!$B$7,('Control Room'!$B$8+'Control Room'!$D$8)/2))</x:f>
        <x:v>982.1243463655421</x:v>
      </x:c>
      <x:c r="U162" s="17" t="n">
        <x:f>IF(AND($A162&gt;='Control Room'!$A$13,$A162&lt;'Control Room'!$A$13+'Control Room'!$B$13,'Process'!BN2=1),1+('Control Room'!$C$13-1)*EXP(-0.5*(($A162-'Control Room'!$A$13-('Control Room'!$B$13-1)/2)/MAX(0.5,'Control Room'!$B$13/4))^2),1)*IF(AND($A162&gt;='Control Room'!$A$14,$A162&lt;'Control Room'!$A$14+'Control Room'!$B$14,'Process'!BN3=1),1+('Control Room'!$C$14-1)*EXP(-0.5*(($A162-'Control Room'!$A$14-('Control Room'!$B$14-1)/2)/MAX(0.5,'Control Room'!$B$14/4))^2),1)*IF(AND($A162&gt;='Control Room'!$A$15,$A162&lt;'Control Room'!$A$15+'Control Room'!$B$15,'Process'!BN4=1),1+('Control Room'!$C$15-1)*EXP(-0.5*(($A162-'Control Room'!$A$15-('Control Room'!$B$15-1)/2)/MAX(0.5,'Control Room'!$B$15/4))^2),1)*IF(AND($A162&gt;='Control Room'!$A$16,$A162&lt;'Control Room'!$A$16+'Control Room'!$B$16,'Process'!BN5=1),1+('Control Room'!$C$16-1)*EXP(-0.5*(($A162-'Control Room'!$A$16-('Control Room'!$B$16-1)/2)/MAX(0.5,'Control Room'!$B$16/4))^2),1)</x:f>
        <x:v>1</x:v>
      </x:c>
      <x:c r="V162" s="9" t="n">
        <x:f>MOD(W161*16807,2147483647)</x:f>
        <x:v>1463214941</x:v>
      </x:c>
      <x:c r="W162" s="9" t="n">
        <x:f>MOD(V162*16807,2147483647)</x:f>
        <x:v>1418271590</x:v>
      </x:c>
      <x:c r="X162" s="17" t="n">
        <x:f>IF('Control Room'!$B$5="Normal",'Control Room'!$B$7+'Control Room'!$D$7*SQRT(-2*LN(MAX(0.000000000001,V162/2147483647)))*COS(2*PI()*W162/2147483647),'Control Room'!$B$8+('Control Room'!$D$8-'Control Room'!$B$8)*V162/2147483647)</x:f>
        <x:v>957.9386614677288</x:v>
      </x:c>
      <x:c r="Y162" s="17" t="n">
        <x:f>IF('Control Room'!$B$5="Normal",'Control Room'!$B$7,('Control Room'!$B$8+'Control Room'!$D$8)/2)+'Control Room'!$B$9*(Y161-IF('Control Room'!$B$5="Normal",'Control Room'!$B$7,('Control Room'!$B$8+'Control Room'!$D$8)/2))+SQRT(1-'Control Room'!$B$9^2)*(X162-IF('Control Room'!$B$5="Normal",'Control Room'!$B$7,('Control Room'!$B$8+'Control Room'!$D$8)/2))</x:f>
        <x:v>1013.2612176471893</x:v>
      </x:c>
      <x:c r="Z162" s="17" t="n">
        <x:f>IF(AND($A162&gt;='Control Room'!$A$13,$A162&lt;'Control Room'!$A$13+'Control Room'!$B$13,'Process'!BO2=1),1+('Control Room'!$C$13-1)*EXP(-0.5*(($A162-'Control Room'!$A$13-('Control Room'!$B$13-1)/2)/MAX(0.5,'Control Room'!$B$13/4))^2),1)*IF(AND($A162&gt;='Control Room'!$A$14,$A162&lt;'Control Room'!$A$14+'Control Room'!$B$14,'Process'!BO3=1),1+('Control Room'!$C$14-1)*EXP(-0.5*(($A162-'Control Room'!$A$14-('Control Room'!$B$14-1)/2)/MAX(0.5,'Control Room'!$B$14/4))^2),1)*IF(AND($A162&gt;='Control Room'!$A$15,$A162&lt;'Control Room'!$A$15+'Control Room'!$B$15,'Process'!BO4=1),1+('Control Room'!$C$15-1)*EXP(-0.5*(($A162-'Control Room'!$A$15-('Control Room'!$B$15-1)/2)/MAX(0.5,'Control Room'!$B$15/4))^2),1)*IF(AND($A162&gt;='Control Room'!$A$16,$A162&lt;'Control Room'!$A$16+'Control Room'!$B$16,'Process'!BO5=1),1+('Control Room'!$C$16-1)*EXP(-0.5*(($A162-'Control Room'!$A$16-('Control Room'!$B$16-1)/2)/MAX(0.5,'Control Room'!$B$16/4))^2),1)</x:f>
        <x:v>1</x:v>
      </x:c>
      <x:c r="AA162" s="9" t="n">
        <x:f>MOD(AB161*16807,2147483647)</x:f>
        <x:v>399868061</x:v>
      </x:c>
      <x:c r="AB162" s="9" t="n">
        <x:f>MOD(AA162*16807,2147483647)</x:f>
        <x:v>1106169764</x:v>
      </x:c>
      <x:c r="AC162" s="17" t="n">
        <x:f>IF('Control Room'!$B$5="Normal",'Control Room'!$B$7+'Control Room'!$D$7*SQRT(-2*LN(MAX(0.000000000001,AA162/2147483647)))*COS(2*PI()*AB162/2147483647),'Control Room'!$B$8+('Control Room'!$D$8-'Control Room'!$B$8)*AA162/2147483647)</x:f>
        <x:v>835.7244254653642</x:v>
      </x:c>
      <x:c r="AD162" s="17" t="n">
        <x:f>IF('Control Room'!$B$5="Normal",'Control Room'!$B$7,('Control Room'!$B$8+'Control Room'!$D$8)/2)+'Control Room'!$B$9*(AD161-IF('Control Room'!$B$5="Normal",'Control Room'!$B$7,('Control Room'!$B$8+'Control Room'!$D$8)/2))+SQRT(1-'Control Room'!$B$9^2)*(AC162-IF('Control Room'!$B$5="Normal",'Control Room'!$B$7,('Control Room'!$B$8+'Control Room'!$D$8)/2))</x:f>
        <x:v>841.8841675669905</x:v>
      </x:c>
      <x:c r="AE162" s="17" t="n">
        <x:f>IF(AND($A162&gt;='Control Room'!$A$13,$A162&lt;'Control Room'!$A$13+'Control Room'!$B$13,'Process'!BP2=1),1+('Control Room'!$C$13-1)*EXP(-0.5*(($A162-'Control Room'!$A$13-('Control Room'!$B$13-1)/2)/MAX(0.5,'Control Room'!$B$13/4))^2),1)*IF(AND($A162&gt;='Control Room'!$A$14,$A162&lt;'Control Room'!$A$14+'Control Room'!$B$14,'Process'!BP3=1),1+('Control Room'!$C$14-1)*EXP(-0.5*(($A162-'Control Room'!$A$14-('Control Room'!$B$14-1)/2)/MAX(0.5,'Control Room'!$B$14/4))^2),1)*IF(AND($A162&gt;='Control Room'!$A$15,$A162&lt;'Control Room'!$A$15+'Control Room'!$B$15,'Process'!BP4=1),1+('Control Room'!$C$15-1)*EXP(-0.5*(($A162-'Control Room'!$A$15-('Control Room'!$B$15-1)/2)/MAX(0.5,'Control Room'!$B$15/4))^2),1)*IF(AND($A162&gt;='Control Room'!$A$16,$A162&lt;'Control Room'!$A$16+'Control Room'!$B$16,'Process'!BP5=1),1+('Control Room'!$C$16-1)*EXP(-0.5*(($A162-'Control Room'!$A$16-('Control Room'!$B$16-1)/2)/MAX(0.5,'Control Room'!$B$16/4))^2),1)</x:f>
        <x:v>1</x:v>
      </x:c>
      <x:c r="AF162" s="9" t="n">
        <x:f>MOD(AG161*16807,2147483647)</x:f>
        <x:v>1484004828</x:v>
      </x:c>
      <x:c r="AG162" s="9" t="n">
        <x:f>MOD(AF162*16807,2147483647)</x:f>
        <x:v>794067938</x:v>
      </x:c>
      <x:c r="AH162" s="17" t="n">
        <x:f>IF('Control Room'!$B$5="Normal",'Control Room'!$B$7+'Control Room'!$D$7*SQRT(-2*LN(MAX(0.000000000001,AF162/2147483647)))*COS(2*PI()*AG162/2147483647),'Control Room'!$B$8+('Control Room'!$D$8-'Control Room'!$B$8)*AF162/2147483647)</x:f>
        <x:v>947.1165345930889</x:v>
      </x:c>
      <x:c r="AI162" s="17" t="n">
        <x:f>IF('Control Room'!$B$5="Normal",'Control Room'!$B$7,('Control Room'!$B$8+'Control Room'!$D$8)/2)+'Control Room'!$B$9*(AI161-IF('Control Room'!$B$5="Normal",'Control Room'!$B$7,('Control Room'!$B$8+'Control Room'!$D$8)/2))+SQRT(1-'Control Room'!$B$9^2)*(AH162-IF('Control Room'!$B$5="Normal",'Control Room'!$B$7,('Control Room'!$B$8+'Control Room'!$D$8)/2))</x:f>
        <x:v>988.1696987562746</x:v>
      </x:c>
      <x:c r="AJ162" s="17" t="n">
        <x:f>IF(AND($A162&gt;='Control Room'!$A$13,$A162&lt;'Control Room'!$A$13+'Control Room'!$B$13,'Process'!BQ2=1),1+('Control Room'!$C$13-1)*EXP(-0.5*(($A162-'Control Room'!$A$13-('Control Room'!$B$13-1)/2)/MAX(0.5,'Control Room'!$B$13/4))^2),1)*IF(AND($A162&gt;='Control Room'!$A$14,$A162&lt;'Control Room'!$A$14+'Control Room'!$B$14,'Process'!BQ3=1),1+('Control Room'!$C$14-1)*EXP(-0.5*(($A162-'Control Room'!$A$14-('Control Room'!$B$14-1)/2)/MAX(0.5,'Control Room'!$B$14/4))^2),1)*IF(AND($A162&gt;='Control Room'!$A$15,$A162&lt;'Control Room'!$A$15+'Control Room'!$B$15,'Process'!BQ4=1),1+('Control Room'!$C$15-1)*EXP(-0.5*(($A162-'Control Room'!$A$15-('Control Room'!$B$15-1)/2)/MAX(0.5,'Control Room'!$B$15/4))^2),1)*IF(AND($A162&gt;='Control Room'!$A$16,$A162&lt;'Control Room'!$A$16+'Control Room'!$B$16,'Process'!BQ5=1),1+('Control Room'!$C$16-1)*EXP(-0.5*(($A162-'Control Room'!$A$16-('Control Room'!$B$16-1)/2)/MAX(0.5,'Control Room'!$B$16/4))^2),1)</x:f>
        <x:v>1</x:v>
      </x:c>
      <x:c r="AK162" s="9" t="n">
        <x:f>MOD(AL161*16807,2147483647)</x:f>
        <x:v>420657948</x:v>
      </x:c>
      <x:c r="AL162" s="9" t="n">
        <x:f>MOD(AK162*16807,2147483647)</x:f>
        <x:v>481966112</x:v>
      </x:c>
      <x:c r="AM162" s="17" t="n">
        <x:f>IF('Control Room'!$B$5="Normal",'Control Room'!$B$7+'Control Room'!$D$7*SQRT(-2*LN(MAX(0.000000000001,AK162/2147483647)))*COS(2*PI()*AL162/2147483647),'Control Room'!$B$8+('Control Room'!$D$8-'Control Room'!$B$8)*AK162/2147483647)</x:f>
        <x:v>1025.993994380655</x:v>
      </x:c>
      <x:c r="AN162" s="17" t="n">
        <x:f>IF('Control Room'!$B$5="Normal",'Control Room'!$B$7,('Control Room'!$B$8+'Control Room'!$D$8)/2)+'Control Room'!$B$9*(AN161-IF('Control Room'!$B$5="Normal",'Control Room'!$B$7,('Control Room'!$B$8+'Control Room'!$D$8)/2))+SQRT(1-'Control Room'!$B$9^2)*(AM162-IF('Control Room'!$B$5="Normal",'Control Room'!$B$7,('Control Room'!$B$8+'Control Room'!$D$8)/2))</x:f>
        <x:v>1032.1403192771882</x:v>
      </x:c>
      <x:c r="AO162" s="17" t="n">
        <x:f>IF(AND($A162&gt;='Control Room'!$A$13,$A162&lt;'Control Room'!$A$13+'Control Room'!$B$13,'Process'!BR2=1),1+('Control Room'!$C$13-1)*EXP(-0.5*(($A162-'Control Room'!$A$13-('Control Room'!$B$13-1)/2)/MAX(0.5,'Control Room'!$B$13/4))^2),1)*IF(AND($A162&gt;='Control Room'!$A$14,$A162&lt;'Control Room'!$A$14+'Control Room'!$B$14,'Process'!BR3=1),1+('Control Room'!$C$14-1)*EXP(-0.5*(($A162-'Control Room'!$A$14-('Control Room'!$B$14-1)/2)/MAX(0.5,'Control Room'!$B$14/4))^2),1)*IF(AND($A162&gt;='Control Room'!$A$15,$A162&lt;'Control Room'!$A$15+'Control Room'!$B$15,'Process'!BR4=1),1+('Control Room'!$C$15-1)*EXP(-0.5*(($A162-'Control Room'!$A$15-('Control Room'!$B$15-1)/2)/MAX(0.5,'Control Room'!$B$15/4))^2),1)*IF(AND($A162&gt;='Control Room'!$A$16,$A162&lt;'Control Room'!$A$16+'Control Room'!$B$16,'Process'!BR5=1),1+('Control Room'!$C$16-1)*EXP(-0.5*(($A162-'Control Room'!$A$16-('Control Room'!$B$16-1)/2)/MAX(0.5,'Control Room'!$B$16/4))^2),1)</x:f>
        <x:v>1</x:v>
      </x:c>
      <x:c r="AP162" s="9" t="n">
        <x:f>MOD(AQ161*16807,2147483647)</x:f>
        <x:v>1504794715</x:v>
      </x:c>
      <x:c r="AQ162" s="9" t="n">
        <x:f>MOD(AP162*16807,2147483647)</x:f>
        <x:v>169864286</x:v>
      </x:c>
      <x:c r="AR162" s="17" t="n">
        <x:f>IF('Control Room'!$B$5="Normal",'Control Room'!$B$7+'Control Room'!$D$7*SQRT(-2*LN(MAX(0.000000000001,AP162/2147483647)))*COS(2*PI()*AQ162/2147483647),'Control Room'!$B$8+('Control Room'!$D$8-'Control Room'!$B$8)*AP162/2147483647)</x:f>
        <x:v>1066.7208168512425</x:v>
      </x:c>
      <x:c r="AS162" s="17" t="n">
        <x:f>IF('Control Room'!$B$5="Normal",'Control Room'!$B$7,('Control Room'!$B$8+'Control Room'!$D$8)/2)+'Control Room'!$B$9*(AS161-IF('Control Room'!$B$5="Normal",'Control Room'!$B$7,('Control Room'!$B$8+'Control Room'!$D$8)/2))+SQRT(1-'Control Room'!$B$9^2)*(AR162-IF('Control Room'!$B$5="Normal",'Control Room'!$B$7,('Control Room'!$B$8+'Control Room'!$D$8)/2))</x:f>
        <x:v>1065.2643818218703</x:v>
      </x:c>
      <x:c r="AT162" s="17" t="n">
        <x:f>IF(AND($A162&gt;='Control Room'!$A$13,$A162&lt;'Control Room'!$A$13+'Control Room'!$B$13,'Process'!BS2=1),1+('Control Room'!$C$13-1)*EXP(-0.5*(($A162-'Control Room'!$A$13-('Control Room'!$B$13-1)/2)/MAX(0.5,'Control Room'!$B$13/4))^2),1)*IF(AND($A162&gt;='Control Room'!$A$14,$A162&lt;'Control Room'!$A$14+'Control Room'!$B$14,'Process'!BS3=1),1+('Control Room'!$C$14-1)*EXP(-0.5*(($A162-'Control Room'!$A$14-('Control Room'!$B$14-1)/2)/MAX(0.5,'Control Room'!$B$14/4))^2),1)*IF(AND($A162&gt;='Control Room'!$A$15,$A162&lt;'Control Room'!$A$15+'Control Room'!$B$15,'Process'!BS4=1),1+('Control Room'!$C$15-1)*EXP(-0.5*(($A162-'Control Room'!$A$15-('Control Room'!$B$15-1)/2)/MAX(0.5,'Control Room'!$B$15/4))^2),1)*IF(AND($A162&gt;='Control Room'!$A$16,$A162&lt;'Control Room'!$A$16+'Control Room'!$B$16,'Process'!BS5=1),1+('Control Room'!$C$16-1)*EXP(-0.5*(($A162-'Control Room'!$A$16-('Control Room'!$B$16-1)/2)/MAX(0.5,'Control Room'!$B$16/4))^2),1)</x:f>
        <x:v>1</x:v>
      </x:c>
      <x:c r="AU162" s="9" t="n">
        <x:f>MOD(AV161*16807,2147483647)</x:f>
        <x:v>441447835</x:v>
      </x:c>
      <x:c r="AV162" s="9" t="n">
        <x:f>MOD(AU162*16807,2147483647)</x:f>
        <x:v>2005246107</x:v>
      </x:c>
      <x:c r="AW162" s="17" t="n">
        <x:f>IF('Control Room'!$B$5="Normal",'Control Room'!$B$7+'Control Room'!$D$7*SQRT(-2*LN(MAX(0.000000000001,AU162/2147483647)))*COS(2*PI()*AV162/2147483647),'Control Room'!$B$8+('Control Room'!$D$8-'Control Room'!$B$8)*AU162/2147483647)</x:f>
        <x:v>1146.424229443303</x:v>
      </x:c>
      <x:c r="AX162" s="17" t="n">
        <x:f>IF('Control Room'!$B$5="Normal",'Control Room'!$B$7,('Control Room'!$B$8+'Control Room'!$D$8)/2)+'Control Room'!$B$9*(AX161-IF('Control Room'!$B$5="Normal",'Control Room'!$B$7,('Control Room'!$B$8+'Control Room'!$D$8)/2))+SQRT(1-'Control Room'!$B$9^2)*(AW162-IF('Control Room'!$B$5="Normal",'Control Room'!$B$7,('Control Room'!$B$8+'Control Room'!$D$8)/2))</x:f>
        <x:v>1005.9396105192158</x:v>
      </x:c>
      <x:c r="AY162" s="17" t="n">
        <x:f>IF(AND($A162&gt;='Control Room'!$A$13,$A162&lt;'Control Room'!$A$13+'Control Room'!$B$13,'Process'!BT2=1),1+('Control Room'!$C$13-1)*EXP(-0.5*(($A162-'Control Room'!$A$13-('Control Room'!$B$13-1)/2)/MAX(0.5,'Control Room'!$B$13/4))^2),1)*IF(AND($A162&gt;='Control Room'!$A$14,$A162&lt;'Control Room'!$A$14+'Control Room'!$B$14,'Process'!BT3=1),1+('Control Room'!$C$14-1)*EXP(-0.5*(($A162-'Control Room'!$A$14-('Control Room'!$B$14-1)/2)/MAX(0.5,'Control Room'!$B$14/4))^2),1)*IF(AND($A162&gt;='Control Room'!$A$15,$A162&lt;'Control Room'!$A$15+'Control Room'!$B$15,'Process'!BT4=1),1+('Control Room'!$C$15-1)*EXP(-0.5*(($A162-'Control Room'!$A$15-('Control Room'!$B$15-1)/2)/MAX(0.5,'Control Room'!$B$15/4))^2),1)*IF(AND($A162&gt;='Control Room'!$A$16,$A162&lt;'Control Room'!$A$16+'Control Room'!$B$16,'Process'!BT5=1),1+('Control Room'!$C$16-1)*EXP(-0.5*(($A162-'Control Room'!$A$16-('Control Room'!$B$16-1)/2)/MAX(0.5,'Control Room'!$B$16/4))^2),1)</x:f>
        <x:v>1</x:v>
      </x:c>
      <x:c r="AZ162" s="9" t="n">
        <x:f>MOD(BA161*16807,2147483647)</x:f>
        <x:v>1525584602</x:v>
      </x:c>
      <x:c r="BA162" s="9" t="n">
        <x:f>MOD(AZ162*16807,2147483647)</x:f>
        <x:v>1693144281</x:v>
      </x:c>
      <x:c r="BB162" s="17" t="n">
        <x:f>IF('Control Room'!$B$5="Normal",'Control Room'!$B$7+'Control Room'!$D$7*SQRT(-2*LN(MAX(0.000000000001,AZ162/2147483647)))*COS(2*PI()*BA162/2147483647),'Control Room'!$B$8+('Control Room'!$D$8-'Control Room'!$B$8)*AZ162/2147483647)</x:f>
        <x:v>1017.7975545871536</x:v>
      </x:c>
      <x:c r="BC162" s="17" t="n">
        <x:f>IF('Control Room'!$B$5="Normal",'Control Room'!$B$7,('Control Room'!$B$8+'Control Room'!$D$8)/2)+'Control Room'!$B$9*(BC161-IF('Control Room'!$B$5="Normal",'Control Room'!$B$7,('Control Room'!$B$8+'Control Room'!$D$8)/2))+SQRT(1-'Control Room'!$B$9^2)*(BB162-IF('Control Room'!$B$5="Normal",'Control Room'!$B$7,('Control Room'!$B$8+'Control Room'!$D$8)/2))</x:f>
        <x:v>970.6751128275089</x:v>
      </x:c>
      <x:c r="BD162" s="17" t="n">
        <x:f>IF(AND($A162&gt;='Control Room'!$A$13,$A162&lt;'Control Room'!$A$13+'Control Room'!$B$13,'Process'!BU2=1),1+('Control Room'!$C$13-1)*EXP(-0.5*(($A162-'Control Room'!$A$13-('Control Room'!$B$13-1)/2)/MAX(0.5,'Control Room'!$B$13/4))^2),1)*IF(AND($A162&gt;='Control Room'!$A$14,$A162&lt;'Control Room'!$A$14+'Control Room'!$B$14,'Process'!BU3=1),1+('Control Room'!$C$14-1)*EXP(-0.5*(($A162-'Control Room'!$A$14-('Control Room'!$B$14-1)/2)/MAX(0.5,'Control Room'!$B$14/4))^2),1)*IF(AND($A162&gt;='Control Room'!$A$15,$A162&lt;'Control Room'!$A$15+'Control Room'!$B$15,'Process'!BU4=1),1+('Control Room'!$C$15-1)*EXP(-0.5*(($A162-'Control Room'!$A$15-('Control Room'!$B$15-1)/2)/MAX(0.5,'Control Room'!$B$15/4))^2),1)*IF(AND($A162&gt;='Control Room'!$A$16,$A162&lt;'Control Room'!$A$16+'Control Room'!$B$16,'Process'!BU5=1),1+('Control Room'!$C$16-1)*EXP(-0.5*(($A162-'Control Room'!$A$16-('Control Room'!$B$16-1)/2)/MAX(0.5,'Control Room'!$B$16/4))^2),1)</x:f>
        <x:v>1</x:v>
      </x:c>
      <x:c r="BE162" s="9" t="n">
        <x:f>MOD(BF161*16807,2147483647)</x:f>
        <x:v>462237722</x:v>
      </x:c>
      <x:c r="BF162" s="9" t="n">
        <x:f>MOD(BE162*16807,2147483647)</x:f>
        <x:v>1381042455</x:v>
      </x:c>
      <x:c r="BG162" s="17" t="n">
        <x:f>IF('Control Room'!$B$5="Normal",'Control Room'!$B$7+'Control Room'!$D$7*SQRT(-2*LN(MAX(0.000000000001,BE162/2147483647)))*COS(2*PI()*BF162/2147483647),'Control Room'!$B$8+('Control Room'!$D$8-'Control Room'!$B$8)*BE162/2147483647)</x:f>
        <x:v>901.8357948367751</x:v>
      </x:c>
      <x:c r="BH162" s="17" t="n">
        <x:f>IF('Control Room'!$B$5="Normal",'Control Room'!$B$7,('Control Room'!$B$8+'Control Room'!$D$8)/2)+'Control Room'!$B$9*(BH161-IF('Control Room'!$B$5="Normal",'Control Room'!$B$7,('Control Room'!$B$8+'Control Room'!$D$8)/2))+SQRT(1-'Control Room'!$B$9^2)*(BG162-IF('Control Room'!$B$5="Normal",'Control Room'!$B$7,('Control Room'!$B$8+'Control Room'!$D$8)/2))</x:f>
        <x:v>938.2214786082354</x:v>
      </x:c>
      <x:c r="BI162" s="17" t="n">
        <x:f>IF(AND($A162&gt;='Control Room'!$A$13,$A162&lt;'Control Room'!$A$13+'Control Room'!$B$13,'Process'!BV2=1),1+('Control Room'!$C$13-1)*EXP(-0.5*(($A162-'Control Room'!$A$13-('Control Room'!$B$13-1)/2)/MAX(0.5,'Control Room'!$B$13/4))^2),1)*IF(AND($A162&gt;='Control Room'!$A$14,$A162&lt;'Control Room'!$A$14+'Control Room'!$B$14,'Process'!BV3=1),1+('Control Room'!$C$14-1)*EXP(-0.5*(($A162-'Control Room'!$A$14-('Control Room'!$B$14-1)/2)/MAX(0.5,'Control Room'!$B$14/4))^2),1)*IF(AND($A162&gt;='Control Room'!$A$15,$A162&lt;'Control Room'!$A$15+'Control Room'!$B$15,'Process'!BV4=1),1+('Control Room'!$C$15-1)*EXP(-0.5*(($A162-'Control Room'!$A$15-('Control Room'!$B$15-1)/2)/MAX(0.5,'Control Room'!$B$15/4))^2),1)*IF(AND($A162&gt;='Control Room'!$A$16,$A162&lt;'Control Room'!$A$16+'Control Room'!$B$16,'Process'!BV5=1),1+('Control Room'!$C$16-1)*EXP(-0.5*(($A162-'Control Room'!$A$16-('Control Room'!$B$16-1)/2)/MAX(0.5,'Control Room'!$B$16/4))^2),1)</x:f>
        <x:v>1</x:v>
      </x:c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Z162" t="str">
        <x:f>IF('Data'!A162="","",TEXT('Data'!A162,"mm-dd"))</x:f>
      </x:c>
    </x:row>
    <x:row r="163" ht="21" customHeight="1">
      <x:c r="A163" s="15" t="n">
        <x:f>'Control Room'!$B$1+161</x:f>
        <x:v>73152</x:v>
      </x:c>
      <x:c r="B163" s="9" t="n">
        <x:f>MOD(C162*16807,2147483647)</x:f>
        <x:v>888458568</x:v>
      </x:c>
      <x:c r="C163" s="9" t="n">
        <x:f>MOD(B163*16807,2147483647)</x:f>
        <x:v>869354785</x:v>
      </x:c>
      <x:c r="D163" s="17" t="n">
        <x:f>IF('Control Room'!$B$5="Normal",'Control Room'!$B$7+'Control Room'!$D$7*SQRT(-2*LN(MAX(0.000000000001,B163/2147483647)))*COS(2*PI()*C163/2147483647),'Control Room'!$B$8+('Control Room'!$D$8-'Control Room'!$B$8)*B163/2147483647)</x:f>
        <x:v>901.1780818510912</x:v>
      </x:c>
      <x:c r="E163" s="17" t="n">
        <x:f>IF('Control Room'!$B$5="Normal",'Control Room'!$B$7,('Control Room'!$B$8+'Control Room'!$D$8)/2)+'Control Room'!$B$9*(E162-IF('Control Room'!$B$5="Normal",'Control Room'!$B$7,('Control Room'!$B$8+'Control Room'!$D$8)/2))+SQRT(1-'Control Room'!$B$9^2)*(D163-IF('Control Room'!$B$5="Normal",'Control Room'!$B$7,('Control Room'!$B$8+'Control Room'!$D$8)/2))</x:f>
        <x:v>932.4408591021245</x:v>
      </x:c>
      <x:c r="F163" s="17" t="n">
        <x:f>IF(AND($A163&gt;='Control Room'!$A$13,$A163&lt;'Control Room'!$A$13+'Control Room'!$B$13,'Process'!BK2=1),1+('Control Room'!$C$13-1)*EXP(-0.5*(($A163-'Control Room'!$A$13-('Control Room'!$B$13-1)/2)/MAX(0.5,'Control Room'!$B$13/4))^2),1)*IF(AND($A163&gt;='Control Room'!$A$14,$A163&lt;'Control Room'!$A$14+'Control Room'!$B$14,'Process'!BK3=1),1+('Control Room'!$C$14-1)*EXP(-0.5*(($A163-'Control Room'!$A$14-('Control Room'!$B$14-1)/2)/MAX(0.5,'Control Room'!$B$14/4))^2),1)*IF(AND($A163&gt;='Control Room'!$A$15,$A163&lt;'Control Room'!$A$15+'Control Room'!$B$15,'Process'!BK4=1),1+('Control Room'!$C$15-1)*EXP(-0.5*(($A163-'Control Room'!$A$15-('Control Room'!$B$15-1)/2)/MAX(0.5,'Control Room'!$B$15/4))^2),1)*IF(AND($A163&gt;='Control Room'!$A$16,$A163&lt;'Control Room'!$A$16+'Control Room'!$B$16,'Process'!BK5=1),1+('Control Room'!$C$16-1)*EXP(-0.5*(($A163-'Control Room'!$A$16-('Control Room'!$B$16-1)/2)/MAX(0.5,'Control Room'!$B$16/4))^2),1)</x:f>
        <x:v>1</x:v>
      </x:c>
      <x:c r="G163" s="9" t="n">
        <x:f>MOD(H162*16807,2147483647)</x:f>
        <x:v>1695618607</x:v>
      </x:c>
      <x:c r="H163" s="9" t="n">
        <x:f>MOD(G163*16807,2147483647)</x:f>
        <x:v>1153932159</x:v>
      </x:c>
      <x:c r="I163" s="17" t="n">
        <x:f>IF('Control Room'!$B$5="Normal",'Control Room'!$B$7+'Control Room'!$D$7*SQRT(-2*LN(MAX(0.000000000001,G163/2147483647)))*COS(2*PI()*H163/2147483647),'Control Room'!$B$8+('Control Room'!$D$8-'Control Room'!$B$8)*G163/2147483647)</x:f>
        <x:v>939.8303183831645</x:v>
      </x:c>
      <x:c r="J163" s="17" t="n">
        <x:f>IF('Control Room'!$B$5="Normal",'Control Room'!$B$7,('Control Room'!$B$8+'Control Room'!$D$8)/2)+'Control Room'!$B$9*(J162-IF('Control Room'!$B$5="Normal",'Control Room'!$B$7,('Control Room'!$B$8+'Control Room'!$D$8)/2))+SQRT(1-'Control Room'!$B$9^2)*(I163-IF('Control Room'!$B$5="Normal",'Control Room'!$B$7,('Control Room'!$B$8+'Control Room'!$D$8)/2))</x:f>
        <x:v>1030.8389136832577</x:v>
      </x:c>
      <x:c r="K163" s="17" t="n">
        <x:f>IF(AND($A163&gt;='Control Room'!$A$13,$A163&lt;'Control Room'!$A$13+'Control Room'!$B$13,'Process'!BL2=1),1+('Control Room'!$C$13-1)*EXP(-0.5*(($A163-'Control Room'!$A$13-('Control Room'!$B$13-1)/2)/MAX(0.5,'Control Room'!$B$13/4))^2),1)*IF(AND($A163&gt;='Control Room'!$A$14,$A163&lt;'Control Room'!$A$14+'Control Room'!$B$14,'Process'!BL3=1),1+('Control Room'!$C$14-1)*EXP(-0.5*(($A163-'Control Room'!$A$14-('Control Room'!$B$14-1)/2)/MAX(0.5,'Control Room'!$B$14/4))^2),1)*IF(AND($A163&gt;='Control Room'!$A$15,$A163&lt;'Control Room'!$A$15+'Control Room'!$B$15,'Process'!BL4=1),1+('Control Room'!$C$15-1)*EXP(-0.5*(($A163-'Control Room'!$A$15-('Control Room'!$B$15-1)/2)/MAX(0.5,'Control Room'!$B$15/4))^2),1)*IF(AND($A163&gt;='Control Room'!$A$16,$A163&lt;'Control Room'!$A$16+'Control Room'!$B$16,'Process'!BL5=1),1+('Control Room'!$C$16-1)*EXP(-0.5*(($A163-'Control Room'!$A$16-('Control Room'!$B$16-1)/2)/MAX(0.5,'Control Room'!$B$16/4))^2),1)</x:f>
        <x:v>1</x:v>
      </x:c>
      <x:c r="L163" s="9" t="n">
        <x:f>MOD(M162*16807,2147483647)</x:f>
        <x:v>355294999</x:v>
      </x:c>
      <x:c r="M163" s="9" t="n">
        <x:f>MOD(L163*16807,2147483647)</x:f>
        <x:v>1438509533</x:v>
      </x:c>
      <x:c r="N163" s="17" t="n">
        <x:f>IF('Control Room'!$B$5="Normal",'Control Room'!$B$7+'Control Room'!$D$7*SQRT(-2*LN(MAX(0.000000000001,L163/2147483647)))*COS(2*PI()*M163/2147483647),'Control Room'!$B$8+('Control Room'!$D$8-'Control Room'!$B$8)*L163/2147483647)</x:f>
        <x:v>917.6215306197532</x:v>
      </x:c>
      <x:c r="O163" s="17" t="n">
        <x:f>IF('Control Room'!$B$5="Normal",'Control Room'!$B$7,('Control Room'!$B$8+'Control Room'!$D$8)/2)+'Control Room'!$B$9*(O162-IF('Control Room'!$B$5="Normal",'Control Room'!$B$7,('Control Room'!$B$8+'Control Room'!$D$8)/2))+SQRT(1-'Control Room'!$B$9^2)*(N163-IF('Control Room'!$B$5="Normal",'Control Room'!$B$7,('Control Room'!$B$8+'Control Room'!$D$8)/2))</x:f>
        <x:v>1068.8084641034206</x:v>
      </x:c>
      <x:c r="P163" s="17" t="n">
        <x:f>IF(AND($A163&gt;='Control Room'!$A$13,$A163&lt;'Control Room'!$A$13+'Control Room'!$B$13,'Process'!BM2=1),1+('Control Room'!$C$13-1)*EXP(-0.5*(($A163-'Control Room'!$A$13-('Control Room'!$B$13-1)/2)/MAX(0.5,'Control Room'!$B$13/4))^2),1)*IF(AND($A163&gt;='Control Room'!$A$14,$A163&lt;'Control Room'!$A$14+'Control Room'!$B$14,'Process'!BM3=1),1+('Control Room'!$C$14-1)*EXP(-0.5*(($A163-'Control Room'!$A$14-('Control Room'!$B$14-1)/2)/MAX(0.5,'Control Room'!$B$14/4))^2),1)*IF(AND($A163&gt;='Control Room'!$A$15,$A163&lt;'Control Room'!$A$15+'Control Room'!$B$15,'Process'!BM4=1),1+('Control Room'!$C$15-1)*EXP(-0.5*(($A163-'Control Room'!$A$15-('Control Room'!$B$15-1)/2)/MAX(0.5,'Control Room'!$B$15/4))^2),1)*IF(AND($A163&gt;='Control Room'!$A$16,$A163&lt;'Control Room'!$A$16+'Control Room'!$B$16,'Process'!BM5=1),1+('Control Room'!$C$16-1)*EXP(-0.5*(($A163-'Control Room'!$A$16-('Control Room'!$B$16-1)/2)/MAX(0.5,'Control Room'!$B$16/4))^2),1)</x:f>
        <x:v>1</x:v>
      </x:c>
      <x:c r="Q163" s="9" t="n">
        <x:f>MOD(R162*16807,2147483647)</x:f>
        <x:v>1162455038</x:v>
      </x:c>
      <x:c r="R163" s="9" t="n">
        <x:f>MOD(Q163*16807,2147483647)</x:f>
        <x:v>1723086907</x:v>
      </x:c>
      <x:c r="S163" s="17" t="n">
        <x:f>IF('Control Room'!$B$5="Normal",'Control Room'!$B$7+'Control Room'!$D$7*SQRT(-2*LN(MAX(0.000000000001,Q163/2147483647)))*COS(2*PI()*R163/2147483647),'Control Room'!$B$8+('Control Room'!$D$8-'Control Room'!$B$8)*Q163/2147483647)</x:f>
        <x:v>1032.225036799808</x:v>
      </x:c>
      <x:c r="T163" s="17" t="n">
        <x:f>IF('Control Room'!$B$5="Normal",'Control Room'!$B$7,('Control Room'!$B$8+'Control Room'!$D$8)/2)+'Control Room'!$B$9*(T162-IF('Control Room'!$B$5="Normal",'Control Room'!$B$7,('Control Room'!$B$8+'Control Room'!$D$8)/2))+SQRT(1-'Control Room'!$B$9^2)*(S163-IF('Control Room'!$B$5="Normal",'Control Room'!$B$7,('Control Room'!$B$8+'Control Room'!$D$8)/2))</x:f>
        <x:v>1006.2227580286808</x:v>
      </x:c>
      <x:c r="U163" s="17" t="n">
        <x:f>IF(AND($A163&gt;='Control Room'!$A$13,$A163&lt;'Control Room'!$A$13+'Control Room'!$B$13,'Process'!BN2=1),1+('Control Room'!$C$13-1)*EXP(-0.5*(($A163-'Control Room'!$A$13-('Control Room'!$B$13-1)/2)/MAX(0.5,'Control Room'!$B$13/4))^2),1)*IF(AND($A163&gt;='Control Room'!$A$14,$A163&lt;'Control Room'!$A$14+'Control Room'!$B$14,'Process'!BN3=1),1+('Control Room'!$C$14-1)*EXP(-0.5*(($A163-'Control Room'!$A$14-('Control Room'!$B$14-1)/2)/MAX(0.5,'Control Room'!$B$14/4))^2),1)*IF(AND($A163&gt;='Control Room'!$A$15,$A163&lt;'Control Room'!$A$15+'Control Room'!$B$15,'Process'!BN4=1),1+('Control Room'!$C$15-1)*EXP(-0.5*(($A163-'Control Room'!$A$15-('Control Room'!$B$15-1)/2)/MAX(0.5,'Control Room'!$B$15/4))^2),1)*IF(AND($A163&gt;='Control Room'!$A$16,$A163&lt;'Control Room'!$A$16+'Control Room'!$B$16,'Process'!BN5=1),1+('Control Room'!$C$16-1)*EXP(-0.5*(($A163-'Control Room'!$A$16-('Control Room'!$B$16-1)/2)/MAX(0.5,'Control Room'!$B$16/4))^2),1)</x:f>
        <x:v>1</x:v>
      </x:c>
      <x:c r="V163" s="9" t="n">
        <x:f>MOD(W162*16807,2147483647)</x:f>
        <x:v>1969615077</x:v>
      </x:c>
      <x:c r="W163" s="9" t="n">
        <x:f>MOD(V163*16807,2147483647)</x:f>
        <x:v>2007664281</x:v>
      </x:c>
      <x:c r="X163" s="17" t="n">
        <x:f>IF('Control Room'!$B$5="Normal",'Control Room'!$B$7+'Control Room'!$D$7*SQRT(-2*LN(MAX(0.000000000001,V163/2147483647)))*COS(2*PI()*W163/2147483647),'Control Room'!$B$8+('Control Room'!$D$8-'Control Room'!$B$8)*V163/2147483647)</x:f>
        <x:v>1034.3368190993901</x:v>
      </x:c>
      <x:c r="Y163" s="17" t="n">
        <x:f>IF('Control Room'!$B$5="Normal",'Control Room'!$B$7,('Control Room'!$B$8+'Control Room'!$D$8)/2)+'Control Room'!$B$9*(Y162-IF('Control Room'!$B$5="Normal",'Control Room'!$B$7,('Control Room'!$B$8+'Control Room'!$D$8)/2))+SQRT(1-'Control Room'!$B$9^2)*(X163-IF('Control Room'!$B$5="Normal",'Control Room'!$B$7,('Control Room'!$B$8+'Control Room'!$D$8)/2))</x:f>
        <x:v>1031.8310277292321</x:v>
      </x:c>
      <x:c r="Z163" s="17" t="n">
        <x:f>IF(AND($A163&gt;='Control Room'!$A$13,$A163&lt;'Control Room'!$A$13+'Control Room'!$B$13,'Process'!BO2=1),1+('Control Room'!$C$13-1)*EXP(-0.5*(($A163-'Control Room'!$A$13-('Control Room'!$B$13-1)/2)/MAX(0.5,'Control Room'!$B$13/4))^2),1)*IF(AND($A163&gt;='Control Room'!$A$14,$A163&lt;'Control Room'!$A$14+'Control Room'!$B$14,'Process'!BO3=1),1+('Control Room'!$C$14-1)*EXP(-0.5*(($A163-'Control Room'!$A$14-('Control Room'!$B$14-1)/2)/MAX(0.5,'Control Room'!$B$14/4))^2),1)*IF(AND($A163&gt;='Control Room'!$A$15,$A163&lt;'Control Room'!$A$15+'Control Room'!$B$15,'Process'!BO4=1),1+('Control Room'!$C$15-1)*EXP(-0.5*(($A163-'Control Room'!$A$15-('Control Room'!$B$15-1)/2)/MAX(0.5,'Control Room'!$B$15/4))^2),1)*IF(AND($A163&gt;='Control Room'!$A$16,$A163&lt;'Control Room'!$A$16+'Control Room'!$B$16,'Process'!BO5=1),1+('Control Room'!$C$16-1)*EXP(-0.5*(($A163-'Control Room'!$A$16-('Control Room'!$B$16-1)/2)/MAX(0.5,'Control Room'!$B$16/4))^2),1)</x:f>
        <x:v>1</x:v>
      </x:c>
      <x:c r="AA163" s="9" t="n">
        <x:f>MOD(AB162*16807,2147483647)</x:f>
        <x:v>629291469</x:v>
      </x:c>
      <x:c r="AB163" s="9" t="n">
        <x:f>MOD(AA163*16807,2147483647)</x:f>
        <x:v>144758008</x:v>
      </x:c>
      <x:c r="AC163" s="17" t="n">
        <x:f>IF('Control Room'!$B$5="Normal",'Control Room'!$B$7+'Control Room'!$D$7*SQRT(-2*LN(MAX(0.000000000001,AA163/2147483647)))*COS(2*PI()*AB163/2147483647),'Control Room'!$B$8+('Control Room'!$D$8-'Control Room'!$B$8)*AA163/2147483647)</x:f>
        <x:v>1128.5536296033463</x:v>
      </x:c>
      <x:c r="AD163" s="17" t="n">
        <x:f>IF('Control Room'!$B$5="Normal",'Control Room'!$B$7,('Control Room'!$B$8+'Control Room'!$D$8)/2)+'Control Room'!$B$9*(AD162-IF('Control Room'!$B$5="Normal",'Control Room'!$B$7,('Control Room'!$B$8+'Control Room'!$D$8)/2))+SQRT(1-'Control Room'!$B$9^2)*(AC163-IF('Control Room'!$B$5="Normal",'Control Room'!$B$7,('Control Room'!$B$8+'Control Room'!$D$8)/2))</x:f>
        <x:v>957.1158785437774</x:v>
      </x:c>
      <x:c r="AE163" s="17" t="n">
        <x:f>IF(AND($A163&gt;='Control Room'!$A$13,$A163&lt;'Control Room'!$A$13+'Control Room'!$B$13,'Process'!BP2=1),1+('Control Room'!$C$13-1)*EXP(-0.5*(($A163-'Control Room'!$A$13-('Control Room'!$B$13-1)/2)/MAX(0.5,'Control Room'!$B$13/4))^2),1)*IF(AND($A163&gt;='Control Room'!$A$14,$A163&lt;'Control Room'!$A$14+'Control Room'!$B$14,'Process'!BP3=1),1+('Control Room'!$C$14-1)*EXP(-0.5*(($A163-'Control Room'!$A$14-('Control Room'!$B$14-1)/2)/MAX(0.5,'Control Room'!$B$14/4))^2),1)*IF(AND($A163&gt;='Control Room'!$A$15,$A163&lt;'Control Room'!$A$15+'Control Room'!$B$15,'Process'!BP4=1),1+('Control Room'!$C$15-1)*EXP(-0.5*(($A163-'Control Room'!$A$15-('Control Room'!$B$15-1)/2)/MAX(0.5,'Control Room'!$B$15/4))^2),1)*IF(AND($A163&gt;='Control Room'!$A$16,$A163&lt;'Control Room'!$A$16+'Control Room'!$B$16,'Process'!BP5=1),1+('Control Room'!$C$16-1)*EXP(-0.5*(($A163-'Control Room'!$A$16-('Control Room'!$B$16-1)/2)/MAX(0.5,'Control Room'!$B$16/4))^2),1)</x:f>
        <x:v>1</x:v>
      </x:c>
      <x:c r="AF163" s="9" t="n">
        <x:f>MOD(AG162*16807,2147483647)</x:f>
        <x:v>1436451508</x:v>
      </x:c>
      <x:c r="AG163" s="9" t="n">
        <x:f>MOD(AF163*16807,2147483647)</x:f>
        <x:v>429335382</x:v>
      </x:c>
      <x:c r="AH163" s="17" t="n">
        <x:f>IF('Control Room'!$B$5="Normal",'Control Room'!$B$7+'Control Room'!$D$7*SQRT(-2*LN(MAX(0.000000000001,AF163/2147483647)))*COS(2*PI()*AG163/2147483647),'Control Room'!$B$8+('Control Room'!$D$8-'Control Room'!$B$8)*AF163/2147483647)</x:f>
        <x:v>1024.977483719691</x:v>
      </x:c>
      <x:c r="AI163" s="17" t="n">
        <x:f>IF('Control Room'!$B$5="Normal",'Control Room'!$B$7,('Control Room'!$B$8+'Control Room'!$D$8)/2)+'Control Room'!$B$9*(AI162-IF('Control Room'!$B$5="Normal",'Control Room'!$B$7,('Control Room'!$B$8+'Control Room'!$D$8)/2))+SQRT(1-'Control Room'!$B$9^2)*(AH163-IF('Control Room'!$B$5="Normal",'Control Room'!$B$7,('Control Room'!$B$8+'Control Room'!$D$8)/2))</x:f>
        <x:v>1006.4027626501098</x:v>
      </x:c>
      <x:c r="AJ163" s="17" t="n">
        <x:f>IF(AND($A163&gt;='Control Room'!$A$13,$A163&lt;'Control Room'!$A$13+'Control Room'!$B$13,'Process'!BQ2=1),1+('Control Room'!$C$13-1)*EXP(-0.5*(($A163-'Control Room'!$A$13-('Control Room'!$B$13-1)/2)/MAX(0.5,'Control Room'!$B$13/4))^2),1)*IF(AND($A163&gt;='Control Room'!$A$14,$A163&lt;'Control Room'!$A$14+'Control Room'!$B$14,'Process'!BQ3=1),1+('Control Room'!$C$14-1)*EXP(-0.5*(($A163-'Control Room'!$A$14-('Control Room'!$B$14-1)/2)/MAX(0.5,'Control Room'!$B$14/4))^2),1)*IF(AND($A163&gt;='Control Room'!$A$15,$A163&lt;'Control Room'!$A$15+'Control Room'!$B$15,'Process'!BQ4=1),1+('Control Room'!$C$15-1)*EXP(-0.5*(($A163-'Control Room'!$A$15-('Control Room'!$B$15-1)/2)/MAX(0.5,'Control Room'!$B$15/4))^2),1)*IF(AND($A163&gt;='Control Room'!$A$16,$A163&lt;'Control Room'!$A$16+'Control Room'!$B$16,'Process'!BQ5=1),1+('Control Room'!$C$16-1)*EXP(-0.5*(($A163-'Control Room'!$A$16-('Control Room'!$B$16-1)/2)/MAX(0.5,'Control Room'!$B$16/4))^2),1)</x:f>
        <x:v>1</x:v>
      </x:c>
      <x:c r="AK163" s="9" t="n">
        <x:f>MOD(AL162*16807,2147483647)</x:f>
        <x:v>96127900</x:v>
      </x:c>
      <x:c r="AL163" s="9" t="n">
        <x:f>MOD(AK163*16807,2147483647)</x:f>
        <x:v>713912756</x:v>
      </x:c>
      <x:c r="AM163" s="17" t="n">
        <x:f>IF('Control Room'!$B$5="Normal",'Control Room'!$B$7+'Control Room'!$D$7*SQRT(-2*LN(MAX(0.000000000001,AK163/2147483647)))*COS(2*PI()*AL163/2147483647),'Control Room'!$B$8+('Control Room'!$D$8-'Control Room'!$B$8)*AK163/2147483647)</x:f>
        <x:v>888.9261372915316</x:v>
      </x:c>
      <x:c r="AN163" s="17" t="n">
        <x:f>IF('Control Room'!$B$5="Normal",'Control Room'!$B$7,('Control Room'!$B$8+'Control Room'!$D$8)/2)+'Control Room'!$B$9*(AN162-IF('Control Room'!$B$5="Normal",'Control Room'!$B$7,('Control Room'!$B$8+'Control Room'!$D$8)/2))+SQRT(1-'Control Room'!$B$9^2)*(AM163-IF('Control Room'!$B$5="Normal",'Control Room'!$B$7,('Control Room'!$B$8+'Control Room'!$D$8)/2))</x:f>
        <x:v>955.5617012250078</x:v>
      </x:c>
      <x:c r="AO163" s="17" t="n">
        <x:f>IF(AND($A163&gt;='Control Room'!$A$13,$A163&lt;'Control Room'!$A$13+'Control Room'!$B$13,'Process'!BR2=1),1+('Control Room'!$C$13-1)*EXP(-0.5*(($A163-'Control Room'!$A$13-('Control Room'!$B$13-1)/2)/MAX(0.5,'Control Room'!$B$13/4))^2),1)*IF(AND($A163&gt;='Control Room'!$A$14,$A163&lt;'Control Room'!$A$14+'Control Room'!$B$14,'Process'!BR3=1),1+('Control Room'!$C$14-1)*EXP(-0.5*(($A163-'Control Room'!$A$14-('Control Room'!$B$14-1)/2)/MAX(0.5,'Control Room'!$B$14/4))^2),1)*IF(AND($A163&gt;='Control Room'!$A$15,$A163&lt;'Control Room'!$A$15+'Control Room'!$B$15,'Process'!BR4=1),1+('Control Room'!$C$15-1)*EXP(-0.5*(($A163-'Control Room'!$A$15-('Control Room'!$B$15-1)/2)/MAX(0.5,'Control Room'!$B$15/4))^2),1)*IF(AND($A163&gt;='Control Room'!$A$16,$A163&lt;'Control Room'!$A$16+'Control Room'!$B$16,'Process'!BR5=1),1+('Control Room'!$C$16-1)*EXP(-0.5*(($A163-'Control Room'!$A$16-('Control Room'!$B$16-1)/2)/MAX(0.5,'Control Room'!$B$16/4))^2),1)</x:f>
        <x:v>1</x:v>
      </x:c>
      <x:c r="AP163" s="9" t="n">
        <x:f>MOD(AQ162*16807,2147483647)</x:f>
        <x:v>903287939</x:v>
      </x:c>
      <x:c r="AQ163" s="9" t="n">
        <x:f>MOD(AP163*16807,2147483647)</x:f>
        <x:v>998490130</x:v>
      </x:c>
      <x:c r="AR163" s="17" t="n">
        <x:f>IF('Control Room'!$B$5="Normal",'Control Room'!$B$7+'Control Room'!$D$7*SQRT(-2*LN(MAX(0.000000000001,AP163/2147483647)))*COS(2*PI()*AQ163/2147483647),'Control Room'!$B$8+('Control Room'!$D$8-'Control Room'!$B$8)*AP163/2147483647)</x:f>
        <x:v>884.4136915984391</x:v>
      </x:c>
      <x:c r="AS163" s="17" t="n">
        <x:f>IF('Control Room'!$B$5="Normal",'Control Room'!$B$7,('Control Room'!$B$8+'Control Room'!$D$8)/2)+'Control Room'!$B$9*(AS162-IF('Control Room'!$B$5="Normal",'Control Room'!$B$7,('Control Room'!$B$8+'Control Room'!$D$8)/2))+SQRT(1-'Control Room'!$B$9^2)*(AR163-IF('Control Room'!$B$5="Normal",'Control Room'!$B$7,('Control Room'!$B$8+'Control Room'!$D$8)/2))</x:f>
        <x:v>978.5746739375973</x:v>
      </x:c>
      <x:c r="AT163" s="17" t="n">
        <x:f>IF(AND($A163&gt;='Control Room'!$A$13,$A163&lt;'Control Room'!$A$13+'Control Room'!$B$13,'Process'!BS2=1),1+('Control Room'!$C$13-1)*EXP(-0.5*(($A163-'Control Room'!$A$13-('Control Room'!$B$13-1)/2)/MAX(0.5,'Control Room'!$B$13/4))^2),1)*IF(AND($A163&gt;='Control Room'!$A$14,$A163&lt;'Control Room'!$A$14+'Control Room'!$B$14,'Process'!BS3=1),1+('Control Room'!$C$14-1)*EXP(-0.5*(($A163-'Control Room'!$A$14-('Control Room'!$B$14-1)/2)/MAX(0.5,'Control Room'!$B$14/4))^2),1)*IF(AND($A163&gt;='Control Room'!$A$15,$A163&lt;'Control Room'!$A$15+'Control Room'!$B$15,'Process'!BS4=1),1+('Control Room'!$C$15-1)*EXP(-0.5*(($A163-'Control Room'!$A$15-('Control Room'!$B$15-1)/2)/MAX(0.5,'Control Room'!$B$15/4))^2),1)*IF(AND($A163&gt;='Control Room'!$A$16,$A163&lt;'Control Room'!$A$16+'Control Room'!$B$16,'Process'!BS5=1),1+('Control Room'!$C$16-1)*EXP(-0.5*(($A163-'Control Room'!$A$16-('Control Room'!$B$16-1)/2)/MAX(0.5,'Control Room'!$B$16/4))^2),1)</x:f>
        <x:v>1</x:v>
      </x:c>
      <x:c r="AU163" s="9" t="n">
        <x:f>MOD(AV162*16807,2147483647)</x:f>
        <x:v>1710447978</x:v>
      </x:c>
      <x:c r="AV163" s="9" t="n">
        <x:f>MOD(AU163*16807,2147483647)</x:f>
        <x:v>1283067504</x:v>
      </x:c>
      <x:c r="AW163" s="17" t="n">
        <x:f>IF('Control Room'!$B$5="Normal",'Control Room'!$B$7+'Control Room'!$D$7*SQRT(-2*LN(MAX(0.000000000001,AU163/2147483647)))*COS(2*PI()*AV163/2147483647),'Control Room'!$B$8+('Control Room'!$D$8-'Control Room'!$B$8)*AU163/2147483647)</x:f>
        <x:v>950.3214690129072</x:v>
      </x:c>
      <x:c r="AX163" s="17" t="n">
        <x:f>IF('Control Room'!$B$5="Normal",'Control Room'!$B$7,('Control Room'!$B$8+'Control Room'!$D$8)/2)+'Control Room'!$B$9*(AX162-IF('Control Room'!$B$5="Normal",'Control Room'!$B$7,('Control Room'!$B$8+'Control Room'!$D$8)/2))+SQRT(1-'Control Room'!$B$9^2)*(AW163-IF('Control Room'!$B$5="Normal",'Control Room'!$B$7,('Control Room'!$B$8+'Control Room'!$D$8)/2))</x:f>
        <x:v>973.5450892332908</x:v>
      </x:c>
      <x:c r="AY163" s="17" t="n">
        <x:f>IF(AND($A163&gt;='Control Room'!$A$13,$A163&lt;'Control Room'!$A$13+'Control Room'!$B$13,'Process'!BT2=1),1+('Control Room'!$C$13-1)*EXP(-0.5*(($A163-'Control Room'!$A$13-('Control Room'!$B$13-1)/2)/MAX(0.5,'Control Room'!$B$13/4))^2),1)*IF(AND($A163&gt;='Control Room'!$A$14,$A163&lt;'Control Room'!$A$14+'Control Room'!$B$14,'Process'!BT3=1),1+('Control Room'!$C$14-1)*EXP(-0.5*(($A163-'Control Room'!$A$14-('Control Room'!$B$14-1)/2)/MAX(0.5,'Control Room'!$B$14/4))^2),1)*IF(AND($A163&gt;='Control Room'!$A$15,$A163&lt;'Control Room'!$A$15+'Control Room'!$B$15,'Process'!BT4=1),1+('Control Room'!$C$15-1)*EXP(-0.5*(($A163-'Control Room'!$A$15-('Control Room'!$B$15-1)/2)/MAX(0.5,'Control Room'!$B$15/4))^2),1)*IF(AND($A163&gt;='Control Room'!$A$16,$A163&lt;'Control Room'!$A$16+'Control Room'!$B$16,'Process'!BT5=1),1+('Control Room'!$C$16-1)*EXP(-0.5*(($A163-'Control Room'!$A$16-('Control Room'!$B$16-1)/2)/MAX(0.5,'Control Room'!$B$16/4))^2),1)</x:f>
        <x:v>1</x:v>
      </x:c>
      <x:c r="AZ163" s="9" t="n">
        <x:f>MOD(BA162*16807,2147483647)</x:f>
        <x:v>370124370</x:v>
      </x:c>
      <x:c r="BA163" s="9" t="n">
        <x:f>MOD(AZ163*16807,2147483647)</x:f>
        <x:v>1567644878</x:v>
      </x:c>
      <x:c r="BB163" s="17" t="n">
        <x:f>IF('Control Room'!$B$5="Normal",'Control Room'!$B$7+'Control Room'!$D$7*SQRT(-2*LN(MAX(0.000000000001,AZ163/2147483647)))*COS(2*PI()*BA163/2147483647),'Control Room'!$B$8+('Control Room'!$D$8-'Control Room'!$B$8)*AZ163/2147483647)</x:f>
        <x:v>978.8386994238264</x:v>
      </x:c>
      <x:c r="BC163" s="17" t="n">
        <x:f>IF('Control Room'!$B$5="Normal",'Control Room'!$B$7,('Control Room'!$B$8+'Control Room'!$D$8)/2)+'Control Room'!$B$9*(BC162-IF('Control Room'!$B$5="Normal",'Control Room'!$B$7,('Control Room'!$B$8+'Control Room'!$D$8)/2))+SQRT(1-'Control Room'!$B$9^2)*(BB163-IF('Control Room'!$B$5="Normal",'Control Room'!$B$7,('Control Room'!$B$8+'Control Room'!$D$8)/2))</x:f>
        <x:v>963.8842796176933</x:v>
      </x:c>
      <x:c r="BD163" s="17" t="n">
        <x:f>IF(AND($A163&gt;='Control Room'!$A$13,$A163&lt;'Control Room'!$A$13+'Control Room'!$B$13,'Process'!BU2=1),1+('Control Room'!$C$13-1)*EXP(-0.5*(($A163-'Control Room'!$A$13-('Control Room'!$B$13-1)/2)/MAX(0.5,'Control Room'!$B$13/4))^2),1)*IF(AND($A163&gt;='Control Room'!$A$14,$A163&lt;'Control Room'!$A$14+'Control Room'!$B$14,'Process'!BU3=1),1+('Control Room'!$C$14-1)*EXP(-0.5*(($A163-'Control Room'!$A$14-('Control Room'!$B$14-1)/2)/MAX(0.5,'Control Room'!$B$14/4))^2),1)*IF(AND($A163&gt;='Control Room'!$A$15,$A163&lt;'Control Room'!$A$15+'Control Room'!$B$15,'Process'!BU4=1),1+('Control Room'!$C$15-1)*EXP(-0.5*(($A163-'Control Room'!$A$15-('Control Room'!$B$15-1)/2)/MAX(0.5,'Control Room'!$B$15/4))^2),1)*IF(AND($A163&gt;='Control Room'!$A$16,$A163&lt;'Control Room'!$A$16+'Control Room'!$B$16,'Process'!BU5=1),1+('Control Room'!$C$16-1)*EXP(-0.5*(($A163-'Control Room'!$A$16-('Control Room'!$B$16-1)/2)/MAX(0.5,'Control Room'!$B$16/4))^2),1)</x:f>
        <x:v>1</x:v>
      </x:c>
      <x:c r="BE163" s="9" t="n">
        <x:f>MOD(BF162*16807,2147483647)</x:f>
        <x:v>1177284409</x:v>
      </x:c>
      <x:c r="BF163" s="9" t="n">
        <x:f>MOD(BE163*16807,2147483647)</x:f>
        <x:v>1852222252</x:v>
      </x:c>
      <x:c r="BG163" s="17" t="n">
        <x:f>IF('Control Room'!$B$5="Normal",'Control Room'!$B$7+'Control Room'!$D$7*SQRT(-2*LN(MAX(0.000000000001,BE163/2147483647)))*COS(2*PI()*BF163/2147483647),'Control Room'!$B$8+('Control Room'!$D$8-'Control Room'!$B$8)*BE163/2147483647)</x:f>
        <x:v>1064.0909249080862</x:v>
      </x:c>
      <x:c r="BH163" s="17" t="n">
        <x:f>IF('Control Room'!$B$5="Normal",'Control Room'!$B$7,('Control Room'!$B$8+'Control Room'!$D$8)/2)+'Control Room'!$B$9*(BH162-IF('Control Room'!$B$5="Normal",'Control Room'!$B$7,('Control Room'!$B$8+'Control Room'!$D$8)/2))+SQRT(1-'Control Room'!$B$9^2)*(BG163-IF('Control Room'!$B$5="Normal",'Control Room'!$B$7,('Control Room'!$B$8+'Control Room'!$D$8)/2))</x:f>
        <x:v>991.9195411479408</x:v>
      </x:c>
      <x:c r="BI163" s="17" t="n">
        <x:f>IF(AND($A163&gt;='Control Room'!$A$13,$A163&lt;'Control Room'!$A$13+'Control Room'!$B$13,'Process'!BV2=1),1+('Control Room'!$C$13-1)*EXP(-0.5*(($A163-'Control Room'!$A$13-('Control Room'!$B$13-1)/2)/MAX(0.5,'Control Room'!$B$13/4))^2),1)*IF(AND($A163&gt;='Control Room'!$A$14,$A163&lt;'Control Room'!$A$14+'Control Room'!$B$14,'Process'!BV3=1),1+('Control Room'!$C$14-1)*EXP(-0.5*(($A163-'Control Room'!$A$14-('Control Room'!$B$14-1)/2)/MAX(0.5,'Control Room'!$B$14/4))^2),1)*IF(AND($A163&gt;='Control Room'!$A$15,$A163&lt;'Control Room'!$A$15+'Control Room'!$B$15,'Process'!BV4=1),1+('Control Room'!$C$15-1)*EXP(-0.5*(($A163-'Control Room'!$A$15-('Control Room'!$B$15-1)/2)/MAX(0.5,'Control Room'!$B$15/4))^2),1)*IF(AND($A163&gt;='Control Room'!$A$16,$A163&lt;'Control Room'!$A$16+'Control Room'!$B$16,'Process'!BV5=1),1+('Control Room'!$C$16-1)*EXP(-0.5*(($A163-'Control Room'!$A$16-('Control Room'!$B$16-1)/2)/MAX(0.5,'Control Room'!$B$16/4))^2),1)</x:f>
        <x:v>1</x:v>
      </x:c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Z163" t="str">
        <x:f>IF('Data'!A163="","",TEXT('Data'!A163,"mm-dd"))</x:f>
      </x:c>
    </x:row>
    <x:row r="164" ht="21" customHeight="1">
      <x:c r="A164" s="15" t="n">
        <x:f>'Control Room'!$B$1+162</x:f>
        <x:v>73153</x:v>
      </x:c>
      <x:c r="B164" s="9" t="n">
        <x:f>MOD(C163*16807,2147483647)</x:f>
        <x:v>1914620954</x:v>
      </x:c>
      <x:c r="C164" s="9" t="n">
        <x:f>MOD(B164*16807,2147483647)</x:f>
        <x:v>1139407230</x:v>
      </x:c>
      <x:c r="D164" s="17" t="n">
        <x:f>IF('Control Room'!$B$5="Normal",'Control Room'!$B$7+'Control Room'!$D$7*SQRT(-2*LN(MAX(0.000000000001,B164/2147483647)))*COS(2*PI()*C164/2147483647),'Control Room'!$B$8+('Control Room'!$D$8-'Control Room'!$B$8)*B164/2147483647)</x:f>
        <x:v>957.6727679215052</x:v>
      </x:c>
      <x:c r="E164" s="17" t="n">
        <x:f>IF('Control Room'!$B$5="Normal",'Control Room'!$B$7,('Control Room'!$B$8+'Control Room'!$D$8)/2)+'Control Room'!$B$9*(E163-IF('Control Room'!$B$5="Normal",'Control Room'!$B$7,('Control Room'!$B$8+'Control Room'!$D$8)/2))+SQRT(1-'Control Room'!$B$9^2)*(D164-IF('Control Room'!$B$5="Normal",'Control Room'!$B$7,('Control Room'!$B$8+'Control Room'!$D$8)/2))</x:f>
        <x:v>920.8163553854163</x:v>
      </x:c>
      <x:c r="F164" s="17" t="n">
        <x:f>IF(AND($A164&gt;='Control Room'!$A$13,$A164&lt;'Control Room'!$A$13+'Control Room'!$B$13,'Process'!BK2=1),1+('Control Room'!$C$13-1)*EXP(-0.5*(($A164-'Control Room'!$A$13-('Control Room'!$B$13-1)/2)/MAX(0.5,'Control Room'!$B$13/4))^2),1)*IF(AND($A164&gt;='Control Room'!$A$14,$A164&lt;'Control Room'!$A$14+'Control Room'!$B$14,'Process'!BK3=1),1+('Control Room'!$C$14-1)*EXP(-0.5*(($A164-'Control Room'!$A$14-('Control Room'!$B$14-1)/2)/MAX(0.5,'Control Room'!$B$14/4))^2),1)*IF(AND($A164&gt;='Control Room'!$A$15,$A164&lt;'Control Room'!$A$15+'Control Room'!$B$15,'Process'!BK4=1),1+('Control Room'!$C$15-1)*EXP(-0.5*(($A164-'Control Room'!$A$15-('Control Room'!$B$15-1)/2)/MAX(0.5,'Control Room'!$B$15/4))^2),1)*IF(AND($A164&gt;='Control Room'!$A$16,$A164&lt;'Control Room'!$A$16+'Control Room'!$B$16,'Process'!BK5=1),1+('Control Room'!$C$16-1)*EXP(-0.5*(($A164-'Control Room'!$A$16-('Control Room'!$B$16-1)/2)/MAX(0.5,'Control Room'!$B$16/4))^2),1)</x:f>
        <x:v>1</x:v>
      </x:c>
      <x:c r="G164" s="9" t="n">
        <x:f>MOD(H163*16807,2147483647)</x:f>
        <x:v>212980256</x:v>
      </x:c>
      <x:c r="H164" s="9" t="n">
        <x:f>MOD(G164*16807,2147483647)</x:f>
        <x:v>1851406690</x:v>
      </x:c>
      <x:c r="I164" s="17" t="n">
        <x:f>IF('Control Room'!$B$5="Normal",'Control Room'!$B$7+'Control Room'!$D$7*SQRT(-2*LN(MAX(0.000000000001,G164/2147483647)))*COS(2*PI()*H164/2147483647),'Control Room'!$B$8+('Control Room'!$D$8-'Control Room'!$B$8)*G164/2147483647)</x:f>
        <x:v>1125.3135572305096</x:v>
      </x:c>
      <x:c r="J164" s="17" t="n">
        <x:f>IF('Control Room'!$B$5="Normal",'Control Room'!$B$7,('Control Room'!$B$8+'Control Room'!$D$8)/2)+'Control Room'!$B$9*(J163-IF('Control Room'!$B$5="Normal",'Control Room'!$B$7,('Control Room'!$B$8+'Control Room'!$D$8)/2))+SQRT(1-'Control Room'!$B$9^2)*(I164-IF('Control Room'!$B$5="Normal",'Control Room'!$B$7,('Control Room'!$B$8+'Control Room'!$D$8)/2))</x:f>
        <x:v>1102.4730096000349</x:v>
      </x:c>
      <x:c r="K164" s="17" t="n">
        <x:f>IF(AND($A164&gt;='Control Room'!$A$13,$A164&lt;'Control Room'!$A$13+'Control Room'!$B$13,'Process'!BL2=1),1+('Control Room'!$C$13-1)*EXP(-0.5*(($A164-'Control Room'!$A$13-('Control Room'!$B$13-1)/2)/MAX(0.5,'Control Room'!$B$13/4))^2),1)*IF(AND($A164&gt;='Control Room'!$A$14,$A164&lt;'Control Room'!$A$14+'Control Room'!$B$14,'Process'!BL3=1),1+('Control Room'!$C$14-1)*EXP(-0.5*(($A164-'Control Room'!$A$14-('Control Room'!$B$14-1)/2)/MAX(0.5,'Control Room'!$B$14/4))^2),1)*IF(AND($A164&gt;='Control Room'!$A$15,$A164&lt;'Control Room'!$A$15+'Control Room'!$B$15,'Process'!BL4=1),1+('Control Room'!$C$15-1)*EXP(-0.5*(($A164-'Control Room'!$A$15-('Control Room'!$B$15-1)/2)/MAX(0.5,'Control Room'!$B$15/4))^2),1)*IF(AND($A164&gt;='Control Room'!$A$16,$A164&lt;'Control Room'!$A$16+'Control Room'!$B$16,'Process'!BL5=1),1+('Control Room'!$C$16-1)*EXP(-0.5*(($A164-'Control Room'!$A$16-('Control Room'!$B$16-1)/2)/MAX(0.5,'Control Room'!$B$16/4))^2),1)</x:f>
        <x:v>1</x:v>
      </x:c>
      <x:c r="L164" s="9" t="n">
        <x:f>MOD(M163*16807,2147483647)</x:f>
        <x:v>658823205</x:v>
      </x:c>
      <x:c r="M164" s="9" t="n">
        <x:f>MOD(L164*16807,2147483647)</x:f>
        <x:v>415922503</x:v>
      </x:c>
      <x:c r="N164" s="17" t="n">
        <x:f>IF('Control Room'!$B$5="Normal",'Control Room'!$B$7+'Control Room'!$D$7*SQRT(-2*LN(MAX(0.000000000001,L164/2147483647)))*COS(2*PI()*M164/2147483647),'Control Room'!$B$8+('Control Room'!$D$8-'Control Room'!$B$8)*L164/2147483647)</x:f>
        <x:v>1047.9446225334918</x:v>
      </x:c>
      <x:c r="O164" s="17" t="n">
        <x:f>IF('Control Room'!$B$5="Normal",'Control Room'!$B$7,('Control Room'!$B$8+'Control Room'!$D$8)/2)+'Control Room'!$B$9*(O163-IF('Control Room'!$B$5="Normal",'Control Room'!$B$7,('Control Room'!$B$8+'Control Room'!$D$8)/2))+SQRT(1-'Control Room'!$B$9^2)*(N164-IF('Control Room'!$B$5="Normal",'Control Room'!$B$7,('Control Room'!$B$8+'Control Room'!$D$8)/2))</x:f>
        <x:v>1083.6733645831475</x:v>
      </x:c>
      <x:c r="P164" s="17" t="n">
        <x:f>IF(AND($A164&gt;='Control Room'!$A$13,$A164&lt;'Control Room'!$A$13+'Control Room'!$B$13,'Process'!BM2=1),1+('Control Room'!$C$13-1)*EXP(-0.5*(($A164-'Control Room'!$A$13-('Control Room'!$B$13-1)/2)/MAX(0.5,'Control Room'!$B$13/4))^2),1)*IF(AND($A164&gt;='Control Room'!$A$14,$A164&lt;'Control Room'!$A$14+'Control Room'!$B$14,'Process'!BM3=1),1+('Control Room'!$C$14-1)*EXP(-0.5*(($A164-'Control Room'!$A$14-('Control Room'!$B$14-1)/2)/MAX(0.5,'Control Room'!$B$14/4))^2),1)*IF(AND($A164&gt;='Control Room'!$A$15,$A164&lt;'Control Room'!$A$15+'Control Room'!$B$15,'Process'!BM4=1),1+('Control Room'!$C$15-1)*EXP(-0.5*(($A164-'Control Room'!$A$15-('Control Room'!$B$15-1)/2)/MAX(0.5,'Control Room'!$B$15/4))^2),1)*IF(AND($A164&gt;='Control Room'!$A$16,$A164&lt;'Control Room'!$A$16+'Control Room'!$B$16,'Process'!BM5=1),1+('Control Room'!$C$16-1)*EXP(-0.5*(($A164-'Control Room'!$A$16-('Control Room'!$B$16-1)/2)/MAX(0.5,'Control Room'!$B$16/4))^2),1)</x:f>
        <x:v>1</x:v>
      </x:c>
      <x:c r="Q164" s="9" t="n">
        <x:f>MOD(R163*16807,2147483647)</x:f>
        <x:v>1104666154</x:v>
      </x:c>
      <x:c r="R164" s="9" t="n">
        <x:f>MOD(Q164*16807,2147483647)</x:f>
        <x:v>1127921963</x:v>
      </x:c>
      <x:c r="S164" s="17" t="n">
        <x:f>IF('Control Room'!$B$5="Normal",'Control Room'!$B$7+'Control Room'!$D$7*SQRT(-2*LN(MAX(0.000000000001,Q164/2147483647)))*COS(2*PI()*R164/2147483647),'Control Room'!$B$8+('Control Room'!$D$8-'Control Room'!$B$8)*Q164/2147483647)</x:f>
        <x:v>897.5273212063577</x:v>
      </x:c>
      <x:c r="T164" s="17" t="n">
        <x:f>IF('Control Room'!$B$5="Normal",'Control Room'!$B$7,('Control Room'!$B$8+'Control Room'!$D$8)/2)+'Control Room'!$B$9*(T163-IF('Control Room'!$B$5="Normal",'Control Room'!$B$7,('Control Room'!$B$8+'Control Room'!$D$8)/2))+SQRT(1-'Control Room'!$B$9^2)*(S164-IF('Control Room'!$B$5="Normal",'Control Room'!$B$7,('Control Room'!$B$8+'Control Room'!$D$8)/2))</x:f>
        <x:v>940.7284481402401</x:v>
      </x:c>
      <x:c r="U164" s="17" t="n">
        <x:f>IF(AND($A164&gt;='Control Room'!$A$13,$A164&lt;'Control Room'!$A$13+'Control Room'!$B$13,'Process'!BN2=1),1+('Control Room'!$C$13-1)*EXP(-0.5*(($A164-'Control Room'!$A$13-('Control Room'!$B$13-1)/2)/MAX(0.5,'Control Room'!$B$13/4))^2),1)*IF(AND($A164&gt;='Control Room'!$A$14,$A164&lt;'Control Room'!$A$14+'Control Room'!$B$14,'Process'!BN3=1),1+('Control Room'!$C$14-1)*EXP(-0.5*(($A164-'Control Room'!$A$14-('Control Room'!$B$14-1)/2)/MAX(0.5,'Control Room'!$B$14/4))^2),1)*IF(AND($A164&gt;='Control Room'!$A$15,$A164&lt;'Control Room'!$A$15+'Control Room'!$B$15,'Process'!BN4=1),1+('Control Room'!$C$15-1)*EXP(-0.5*(($A164-'Control Room'!$A$15-('Control Room'!$B$15-1)/2)/MAX(0.5,'Control Room'!$B$15/4))^2),1)*IF(AND($A164&gt;='Control Room'!$A$16,$A164&lt;'Control Room'!$A$16+'Control Room'!$B$16,'Process'!BN5=1),1+('Control Room'!$C$16-1)*EXP(-0.5*(($A164-'Control Room'!$A$16-('Control Room'!$B$16-1)/2)/MAX(0.5,'Control Room'!$B$16/4))^2),1)</x:f>
        <x:v>1</x:v>
      </x:c>
      <x:c r="V164" s="9" t="n">
        <x:f>MOD(W163*16807,2147483647)</x:f>
        <x:v>1550509103</x:v>
      </x:c>
      <x:c r="W164" s="9" t="n">
        <x:f>MOD(V164*16807,2147483647)</x:f>
        <x:v>1839921423</x:v>
      </x:c>
      <x:c r="X164" s="17" t="n">
        <x:f>IF('Control Room'!$B$5="Normal",'Control Room'!$B$7+'Control Room'!$D$7*SQRT(-2*LN(MAX(0.000000000001,V164/2147483647)))*COS(2*PI()*W164/2147483647),'Control Room'!$B$8+('Control Room'!$D$8-'Control Room'!$B$8)*V164/2147483647)</x:f>
        <x:v>1045.1607134318358</x:v>
      </x:c>
      <x:c r="Y164" s="17" t="n">
        <x:f>IF('Control Room'!$B$5="Normal",'Control Room'!$B$7,('Control Room'!$B$8+'Control Room'!$D$8)/2)+'Control Room'!$B$9*(Y163-IF('Control Room'!$B$5="Normal",'Control Room'!$B$7,('Control Room'!$B$8+'Control Room'!$D$8)/2))+SQRT(1-'Control Room'!$B$9^2)*(X164-IF('Control Room'!$B$5="Normal",'Control Room'!$B$7,('Control Room'!$B$8+'Control Room'!$D$8)/2))</x:f>
        <x:v>1053.0888509269419</x:v>
      </x:c>
      <x:c r="Z164" s="17" t="n">
        <x:f>IF(AND($A164&gt;='Control Room'!$A$13,$A164&lt;'Control Room'!$A$13+'Control Room'!$B$13,'Process'!BO2=1),1+('Control Room'!$C$13-1)*EXP(-0.5*(($A164-'Control Room'!$A$13-('Control Room'!$B$13-1)/2)/MAX(0.5,'Control Room'!$B$13/4))^2),1)*IF(AND($A164&gt;='Control Room'!$A$14,$A164&lt;'Control Room'!$A$14+'Control Room'!$B$14,'Process'!BO3=1),1+('Control Room'!$C$14-1)*EXP(-0.5*(($A164-'Control Room'!$A$14-('Control Room'!$B$14-1)/2)/MAX(0.5,'Control Room'!$B$14/4))^2),1)*IF(AND($A164&gt;='Control Room'!$A$15,$A164&lt;'Control Room'!$A$15+'Control Room'!$B$15,'Process'!BO4=1),1+('Control Room'!$C$15-1)*EXP(-0.5*(($A164-'Control Room'!$A$15-('Control Room'!$B$15-1)/2)/MAX(0.5,'Control Room'!$B$15/4))^2),1)*IF(AND($A164&gt;='Control Room'!$A$16,$A164&lt;'Control Room'!$A$16+'Control Room'!$B$16,'Process'!BO5=1),1+('Control Room'!$C$16-1)*EXP(-0.5*(($A164-'Control Room'!$A$16-('Control Room'!$B$16-1)/2)/MAX(0.5,'Control Room'!$B$16/4))^2),1)</x:f>
        <x:v>1</x:v>
      </x:c>
      <x:c r="AA164" s="9" t="n">
        <x:f>MOD(AB163*16807,2147483647)</x:f>
        <x:v>1996352052</x:v>
      </x:c>
      <x:c r="AB164" s="9" t="n">
        <x:f>MOD(AA164*16807,2147483647)</x:f>
        <x:v>404437236</x:v>
      </x:c>
      <x:c r="AC164" s="17" t="n">
        <x:f>IF('Control Room'!$B$5="Normal",'Control Room'!$B$7+'Control Room'!$D$7*SQRT(-2*LN(MAX(0.000000000001,AA164/2147483647)))*COS(2*PI()*AB164/2147483647),'Control Room'!$B$8+('Control Room'!$D$8-'Control Room'!$B$8)*AA164/2147483647)</x:f>
        <x:v>1012.9918568517569</x:v>
      </x:c>
      <x:c r="AD164" s="17" t="n">
        <x:f>IF('Control Room'!$B$5="Normal",'Control Room'!$B$7,('Control Room'!$B$8+'Control Room'!$D$8)/2)+'Control Room'!$B$9*(AD163-IF('Control Room'!$B$5="Normal",'Control Room'!$B$7,('Control Room'!$B$8+'Control Room'!$D$8)/2))+SQRT(1-'Control Room'!$B$9^2)*(AC164-IF('Control Room'!$B$5="Normal",'Control Room'!$B$7,('Control Room'!$B$8+'Control Room'!$D$8)/2))</x:f>
        <x:v>974.6804231293215</x:v>
      </x:c>
      <x:c r="AE164" s="17" t="n">
        <x:f>IF(AND($A164&gt;='Control Room'!$A$13,$A164&lt;'Control Room'!$A$13+'Control Room'!$B$13,'Process'!BP2=1),1+('Control Room'!$C$13-1)*EXP(-0.5*(($A164-'Control Room'!$A$13-('Control Room'!$B$13-1)/2)/MAX(0.5,'Control Room'!$B$13/4))^2),1)*IF(AND($A164&gt;='Control Room'!$A$14,$A164&lt;'Control Room'!$A$14+'Control Room'!$B$14,'Process'!BP3=1),1+('Control Room'!$C$14-1)*EXP(-0.5*(($A164-'Control Room'!$A$14-('Control Room'!$B$14-1)/2)/MAX(0.5,'Control Room'!$B$14/4))^2),1)*IF(AND($A164&gt;='Control Room'!$A$15,$A164&lt;'Control Room'!$A$15+'Control Room'!$B$15,'Process'!BP4=1),1+('Control Room'!$C$15-1)*EXP(-0.5*(($A164-'Control Room'!$A$15-('Control Room'!$B$15-1)/2)/MAX(0.5,'Control Room'!$B$15/4))^2),1)*IF(AND($A164&gt;='Control Room'!$A$16,$A164&lt;'Control Room'!$A$16+'Control Room'!$B$16,'Process'!BP5=1),1+('Control Room'!$C$16-1)*EXP(-0.5*(($A164-'Control Room'!$A$16-('Control Room'!$B$16-1)/2)/MAX(0.5,'Control Room'!$B$16/4))^2),1)</x:f>
        <x:v>1</x:v>
      </x:c>
      <x:c r="AF164" s="9" t="n">
        <x:f>MOD(AG163*16807,2147483647)</x:f>
        <x:v>294711354</x:v>
      </x:c>
      <x:c r="AG164" s="9" t="n">
        <x:f>MOD(AF164*16807,2147483647)</x:f>
        <x:v>1116436696</x:v>
      </x:c>
      <x:c r="AH164" s="17" t="n">
        <x:f>IF('Control Room'!$B$5="Normal",'Control Room'!$B$7+'Control Room'!$D$7*SQRT(-2*LN(MAX(0.000000000001,AF164/2147483647)))*COS(2*PI()*AG164/2147483647),'Control Room'!$B$8+('Control Room'!$D$8-'Control Room'!$B$8)*AF164/2147483647)</x:f>
        <x:v>822.0262812992964</x:v>
      </x:c>
      <x:c r="AI164" s="17" t="n">
        <x:f>IF('Control Room'!$B$5="Normal",'Control Room'!$B$7,('Control Room'!$B$8+'Control Room'!$D$8)/2)+'Control Room'!$B$9*(AI163-IF('Control Room'!$B$5="Normal",'Control Room'!$B$7,('Control Room'!$B$8+'Control Room'!$D$8)/2))+SQRT(1-'Control Room'!$B$9^2)*(AH164-IF('Control Room'!$B$5="Normal",'Control Room'!$B$7,('Control Room'!$B$8+'Control Room'!$D$8)/2))</x:f>
        <x:v>893.6218476939902</x:v>
      </x:c>
      <x:c r="AJ164" s="17" t="n">
        <x:f>IF(AND($A164&gt;='Control Room'!$A$13,$A164&lt;'Control Room'!$A$13+'Control Room'!$B$13,'Process'!BQ2=1),1+('Control Room'!$C$13-1)*EXP(-0.5*(($A164-'Control Room'!$A$13-('Control Room'!$B$13-1)/2)/MAX(0.5,'Control Room'!$B$13/4))^2),1)*IF(AND($A164&gt;='Control Room'!$A$14,$A164&lt;'Control Room'!$A$14+'Control Room'!$B$14,'Process'!BQ3=1),1+('Control Room'!$C$14-1)*EXP(-0.5*(($A164-'Control Room'!$A$14-('Control Room'!$B$14-1)/2)/MAX(0.5,'Control Room'!$B$14/4))^2),1)*IF(AND($A164&gt;='Control Room'!$A$15,$A164&lt;'Control Room'!$A$15+'Control Room'!$B$15,'Process'!BQ4=1),1+('Control Room'!$C$15-1)*EXP(-0.5*(($A164-'Control Room'!$A$15-('Control Room'!$B$15-1)/2)/MAX(0.5,'Control Room'!$B$15/4))^2),1)*IF(AND($A164&gt;='Control Room'!$A$16,$A164&lt;'Control Room'!$A$16+'Control Room'!$B$16,'Process'!BQ5=1),1+('Control Room'!$C$16-1)*EXP(-0.5*(($A164-'Control Room'!$A$16-('Control Room'!$B$16-1)/2)/MAX(0.5,'Control Room'!$B$16/4))^2),1)</x:f>
        <x:v>1</x:v>
      </x:c>
      <x:c r="AK164" s="9" t="n">
        <x:f>MOD(AL163*16807,2147483647)</x:f>
        <x:v>740554303</x:v>
      </x:c>
      <x:c r="AL164" s="9" t="n">
        <x:f>MOD(AK164*16807,2147483647)</x:f>
        <x:v>1828436156</x:v>
      </x:c>
      <x:c r="AM164" s="17" t="n">
        <x:f>IF('Control Room'!$B$5="Normal",'Control Room'!$B$7+'Control Room'!$D$7*SQRT(-2*LN(MAX(0.000000000001,AK164/2147483647)))*COS(2*PI()*AL164/2147483647),'Control Room'!$B$8+('Control Room'!$D$8-'Control Room'!$B$8)*AK164/2147483647)</x:f>
        <x:v>1078.1461983833697</x:v>
      </x:c>
      <x:c r="AN164" s="17" t="n">
        <x:f>IF('Control Room'!$B$5="Normal",'Control Room'!$B$7,('Control Room'!$B$8+'Control Room'!$D$8)/2)+'Control Room'!$B$9*(AN163-IF('Control Room'!$B$5="Normal",'Control Room'!$B$7,('Control Room'!$B$8+'Control Room'!$D$8)/2))+SQRT(1-'Control Room'!$B$9^2)*(AM164-IF('Control Room'!$B$5="Normal",'Control Room'!$B$7,('Control Room'!$B$8+'Control Room'!$D$8)/2))</x:f>
        <x:v>1014.2404169919276</x:v>
      </x:c>
      <x:c r="AO164" s="17" t="n">
        <x:f>IF(AND($A164&gt;='Control Room'!$A$13,$A164&lt;'Control Room'!$A$13+'Control Room'!$B$13,'Process'!BR2=1),1+('Control Room'!$C$13-1)*EXP(-0.5*(($A164-'Control Room'!$A$13-('Control Room'!$B$13-1)/2)/MAX(0.5,'Control Room'!$B$13/4))^2),1)*IF(AND($A164&gt;='Control Room'!$A$14,$A164&lt;'Control Room'!$A$14+'Control Room'!$B$14,'Process'!BR3=1),1+('Control Room'!$C$14-1)*EXP(-0.5*(($A164-'Control Room'!$A$14-('Control Room'!$B$14-1)/2)/MAX(0.5,'Control Room'!$B$14/4))^2),1)*IF(AND($A164&gt;='Control Room'!$A$15,$A164&lt;'Control Room'!$A$15+'Control Room'!$B$15,'Process'!BR4=1),1+('Control Room'!$C$15-1)*EXP(-0.5*(($A164-'Control Room'!$A$15-('Control Room'!$B$15-1)/2)/MAX(0.5,'Control Room'!$B$15/4))^2),1)*IF(AND($A164&gt;='Control Room'!$A$16,$A164&lt;'Control Room'!$A$16+'Control Room'!$B$16,'Process'!BR5=1),1+('Control Room'!$C$16-1)*EXP(-0.5*(($A164-'Control Room'!$A$16-('Control Room'!$B$16-1)/2)/MAX(0.5,'Control Room'!$B$16/4))^2),1)</x:f>
        <x:v>1</x:v>
      </x:c>
      <x:c r="AP164" s="9" t="n">
        <x:f>MOD(AQ163*16807,2147483647)</x:f>
        <x:v>1186397252</x:v>
      </x:c>
      <x:c r="AQ164" s="9" t="n">
        <x:f>MOD(AP164*16807,2147483647)</x:f>
        <x:v>392951969</x:v>
      </x:c>
      <x:c r="AR164" s="17" t="n">
        <x:f>IF('Control Room'!$B$5="Normal",'Control Room'!$B$7+'Control Room'!$D$7*SQRT(-2*LN(MAX(0.000000000001,AP164/2147483647)))*COS(2*PI()*AQ164/2147483647),'Control Room'!$B$8+('Control Room'!$D$8-'Control Room'!$B$8)*AP164/2147483647)</x:f>
        <x:v>1040.075539103246</x:v>
      </x:c>
      <x:c r="AS164" s="17" t="n">
        <x:f>IF('Control Room'!$B$5="Normal",'Control Room'!$B$7,('Control Room'!$B$8+'Control Room'!$D$8)/2)+'Control Room'!$B$9*(AS163-IF('Control Room'!$B$5="Normal",'Control Room'!$B$7,('Control Room'!$B$8+'Control Room'!$D$8)/2))+SQRT(1-'Control Room'!$B$9^2)*(AR164-IF('Control Room'!$B$5="Normal",'Control Room'!$B$7,('Control Room'!$B$8+'Control Room'!$D$8)/2))</x:f>
        <x:v>1008.3666970500938</x:v>
      </x:c>
      <x:c r="AT164" s="17" t="n">
        <x:f>IF(AND($A164&gt;='Control Room'!$A$13,$A164&lt;'Control Room'!$A$13+'Control Room'!$B$13,'Process'!BS2=1),1+('Control Room'!$C$13-1)*EXP(-0.5*(($A164-'Control Room'!$A$13-('Control Room'!$B$13-1)/2)/MAX(0.5,'Control Room'!$B$13/4))^2),1)*IF(AND($A164&gt;='Control Room'!$A$14,$A164&lt;'Control Room'!$A$14+'Control Room'!$B$14,'Process'!BS3=1),1+('Control Room'!$C$14-1)*EXP(-0.5*(($A164-'Control Room'!$A$14-('Control Room'!$B$14-1)/2)/MAX(0.5,'Control Room'!$B$14/4))^2),1)*IF(AND($A164&gt;='Control Room'!$A$15,$A164&lt;'Control Room'!$A$15+'Control Room'!$B$15,'Process'!BS4=1),1+('Control Room'!$C$15-1)*EXP(-0.5*(($A164-'Control Room'!$A$15-('Control Room'!$B$15-1)/2)/MAX(0.5,'Control Room'!$B$15/4))^2),1)*IF(AND($A164&gt;='Control Room'!$A$16,$A164&lt;'Control Room'!$A$16+'Control Room'!$B$16,'Process'!BS5=1),1+('Control Room'!$C$16-1)*EXP(-0.5*(($A164-'Control Room'!$A$16-('Control Room'!$B$16-1)/2)/MAX(0.5,'Control Room'!$B$16/4))^2),1)</x:f>
        <x:v>1</x:v>
      </x:c>
      <x:c r="AU164" s="9" t="n">
        <x:f>MOD(AV163*16807,2147483647)</x:f>
        <x:v>1632240201</x:v>
      </x:c>
      <x:c r="AV164" s="9" t="n">
        <x:f>MOD(AU164*16807,2147483647)</x:f>
        <x:v>1104951429</x:v>
      </x:c>
      <x:c r="AW164" s="17" t="n">
        <x:f>IF('Control Room'!$B$5="Normal",'Control Room'!$B$7+'Control Room'!$D$7*SQRT(-2*LN(MAX(0.000000000001,AU164/2147483647)))*COS(2*PI()*AV164/2147483647),'Control Room'!$B$8+('Control Room'!$D$8-'Control Room'!$B$8)*AU164/2147483647)</x:f>
        <x:v>933.6116988717378</x:v>
      </x:c>
      <x:c r="AX164" s="17" t="n">
        <x:f>IF('Control Room'!$B$5="Normal",'Control Room'!$B$7,('Control Room'!$B$8+'Control Room'!$D$8)/2)+'Control Room'!$B$9*(AX163-IF('Control Room'!$B$5="Normal",'Control Room'!$B$7,('Control Room'!$B$8+'Control Room'!$D$8)/2))+SQRT(1-'Control Room'!$B$9^2)*(AW164-IF('Control Room'!$B$5="Normal",'Control Room'!$B$7,('Control Room'!$B$8+'Control Room'!$D$8)/2))</x:f>
        <x:v>937.8207307941736</x:v>
      </x:c>
      <x:c r="AY164" s="17" t="n">
        <x:f>IF(AND($A164&gt;='Control Room'!$A$13,$A164&lt;'Control Room'!$A$13+'Control Room'!$B$13,'Process'!BT2=1),1+('Control Room'!$C$13-1)*EXP(-0.5*(($A164-'Control Room'!$A$13-('Control Room'!$B$13-1)/2)/MAX(0.5,'Control Room'!$B$13/4))^2),1)*IF(AND($A164&gt;='Control Room'!$A$14,$A164&lt;'Control Room'!$A$14+'Control Room'!$B$14,'Process'!BT3=1),1+('Control Room'!$C$14-1)*EXP(-0.5*(($A164-'Control Room'!$A$14-('Control Room'!$B$14-1)/2)/MAX(0.5,'Control Room'!$B$14/4))^2),1)*IF(AND($A164&gt;='Control Room'!$A$15,$A164&lt;'Control Room'!$A$15+'Control Room'!$B$15,'Process'!BT4=1),1+('Control Room'!$C$15-1)*EXP(-0.5*(($A164-'Control Room'!$A$15-('Control Room'!$B$15-1)/2)/MAX(0.5,'Control Room'!$B$15/4))^2),1)*IF(AND($A164&gt;='Control Room'!$A$16,$A164&lt;'Control Room'!$A$16+'Control Room'!$B$16,'Process'!BT5=1),1+('Control Room'!$C$16-1)*EXP(-0.5*(($A164-'Control Room'!$A$16-('Control Room'!$B$16-1)/2)/MAX(0.5,'Control Room'!$B$16/4))^2),1)</x:f>
        <x:v>1</x:v>
      </x:c>
      <x:c r="AZ164" s="9" t="n">
        <x:f>MOD(BA163*16807,2147483647)</x:f>
        <x:v>2078083150</x:v>
      </x:c>
      <x:c r="BA164" s="9" t="n">
        <x:f>MOD(AZ164*16807,2147483647)</x:f>
        <x:v>1816950889</x:v>
      </x:c>
      <x:c r="BB164" s="17" t="n">
        <x:f>IF('Control Room'!$B$5="Normal",'Control Room'!$B$7+'Control Room'!$D$7*SQRT(-2*LN(MAX(0.000000000001,AZ164/2147483647)))*COS(2*PI()*BA164/2147483647),'Control Room'!$B$8+('Control Room'!$D$8-'Control Room'!$B$8)*AZ164/2147483647)</x:f>
        <x:v>1013.096377918004</x:v>
      </x:c>
      <x:c r="BC164" s="17" t="n">
        <x:f>IF('Control Room'!$B$5="Normal",'Control Room'!$B$7,('Control Room'!$B$8+'Control Room'!$D$8)/2)+'Control Room'!$B$9*(BC163-IF('Control Room'!$B$5="Normal",'Control Room'!$B$7,('Control Room'!$B$8+'Control Room'!$D$8)/2))+SQRT(1-'Control Room'!$B$9^2)*(BB164-IF('Control Room'!$B$5="Normal",'Control Room'!$B$7,('Control Room'!$B$8+'Control Room'!$D$8)/2))</x:f>
        <x:v>980.025183109003</x:v>
      </x:c>
      <x:c r="BD164" s="17" t="n">
        <x:f>IF(AND($A164&gt;='Control Room'!$A$13,$A164&lt;'Control Room'!$A$13+'Control Room'!$B$13,'Process'!BU2=1),1+('Control Room'!$C$13-1)*EXP(-0.5*(($A164-'Control Room'!$A$13-('Control Room'!$B$13-1)/2)/MAX(0.5,'Control Room'!$B$13/4))^2),1)*IF(AND($A164&gt;='Control Room'!$A$14,$A164&lt;'Control Room'!$A$14+'Control Room'!$B$14,'Process'!BU3=1),1+('Control Room'!$C$14-1)*EXP(-0.5*(($A164-'Control Room'!$A$14-('Control Room'!$B$14-1)/2)/MAX(0.5,'Control Room'!$B$14/4))^2),1)*IF(AND($A164&gt;='Control Room'!$A$15,$A164&lt;'Control Room'!$A$15+'Control Room'!$B$15,'Process'!BU4=1),1+('Control Room'!$C$15-1)*EXP(-0.5*(($A164-'Control Room'!$A$15-('Control Room'!$B$15-1)/2)/MAX(0.5,'Control Room'!$B$15/4))^2),1)*IF(AND($A164&gt;='Control Room'!$A$16,$A164&lt;'Control Room'!$A$16+'Control Room'!$B$16,'Process'!BU5=1),1+('Control Room'!$C$16-1)*EXP(-0.5*(($A164-'Control Room'!$A$16-('Control Room'!$B$16-1)/2)/MAX(0.5,'Control Room'!$B$16/4))^2),1)</x:f>
        <x:v>1</x:v>
      </x:c>
      <x:c r="BE164" s="9" t="n">
        <x:f>MOD(BF163*16807,2147483647)</x:f>
        <x:v>376442452</x:v>
      </x:c>
      <x:c r="BF164" s="9" t="n">
        <x:f>MOD(BE164*16807,2147483647)</x:f>
        <x:v>381466702</x:v>
      </x:c>
      <x:c r="BG164" s="17" t="n">
        <x:f>IF('Control Room'!$B$5="Normal",'Control Room'!$B$7+'Control Room'!$D$7*SQRT(-2*LN(MAX(0.000000000001,BE164/2147483647)))*COS(2*PI()*BF164/2147483647),'Control Room'!$B$8+('Control Room'!$D$8-'Control Room'!$B$8)*BE164/2147483647)</x:f>
        <x:v>1073.7626607035877</x:v>
      </x:c>
      <x:c r="BH164" s="17" t="n">
        <x:f>IF('Control Room'!$B$5="Normal",'Control Room'!$B$7,('Control Room'!$B$8+'Control Room'!$D$8)/2)+'Control Room'!$B$9*(BH163-IF('Control Room'!$B$5="Normal",'Control Room'!$B$7,('Control Room'!$B$8+'Control Room'!$D$8)/2))+SQRT(1-'Control Room'!$B$9^2)*(BG164-IF('Control Room'!$B$5="Normal",'Control Room'!$B$7,('Control Room'!$B$8+'Control Room'!$D$8)/2))</x:f>
        <x:v>1039.8564040534584</x:v>
      </x:c>
      <x:c r="BI164" s="17" t="n">
        <x:f>IF(AND($A164&gt;='Control Room'!$A$13,$A164&lt;'Control Room'!$A$13+'Control Room'!$B$13,'Process'!BV2=1),1+('Control Room'!$C$13-1)*EXP(-0.5*(($A164-'Control Room'!$A$13-('Control Room'!$B$13-1)/2)/MAX(0.5,'Control Room'!$B$13/4))^2),1)*IF(AND($A164&gt;='Control Room'!$A$14,$A164&lt;'Control Room'!$A$14+'Control Room'!$B$14,'Process'!BV3=1),1+('Control Room'!$C$14-1)*EXP(-0.5*(($A164-'Control Room'!$A$14-('Control Room'!$B$14-1)/2)/MAX(0.5,'Control Room'!$B$14/4))^2),1)*IF(AND($A164&gt;='Control Room'!$A$15,$A164&lt;'Control Room'!$A$15+'Control Room'!$B$15,'Process'!BV4=1),1+('Control Room'!$C$15-1)*EXP(-0.5*(($A164-'Control Room'!$A$15-('Control Room'!$B$15-1)/2)/MAX(0.5,'Control Room'!$B$15/4))^2),1)*IF(AND($A164&gt;='Control Room'!$A$16,$A164&lt;'Control Room'!$A$16+'Control Room'!$B$16,'Process'!BV5=1),1+('Control Room'!$C$16-1)*EXP(-0.5*(($A164-'Control Room'!$A$16-('Control Room'!$B$16-1)/2)/MAX(0.5,'Control Room'!$B$16/4))^2),1)</x:f>
        <x:v>1</x:v>
      </x:c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Z164" t="str">
        <x:f>IF('Data'!A164="","",TEXT('Data'!A164,"mm-dd"))</x:f>
      </x:c>
    </x:row>
    <x:row r="165" ht="21" customHeight="1">
      <x:c r="A165" s="15" t="n">
        <x:f>'Control Room'!$B$1+163</x:f>
        <x:v>73154</x:v>
      </x:c>
      <x:c r="B165" s="9" t="n">
        <x:f>MOD(C164*16807,2147483647)</x:f>
        <x:v>905634311</x:v>
      </x:c>
      <x:c r="C165" s="9" t="n">
        <x:f>MOD(B165*16807,2147483647)</x:f>
        <x:v>1779258688</x:v>
      </x:c>
      <x:c r="D165" s="17" t="n">
        <x:f>IF('Control Room'!$B$5="Normal",'Control Room'!$B$7+'Control Room'!$D$7*SQRT(-2*LN(MAX(0.000000000001,B165/2147483647)))*COS(2*PI()*C165/2147483647),'Control Room'!$B$8+('Control Room'!$D$8-'Control Room'!$B$8)*B165/2147483647)</x:f>
        <x:v>1056.0176785758374</x:v>
      </x:c>
      <x:c r="E165" s="17" t="n">
        <x:f>IF('Control Room'!$B$5="Normal",'Control Room'!$B$7,('Control Room'!$B$8+'Control Room'!$D$8)/2)+'Control Room'!$B$9*(E164-IF('Control Room'!$B$5="Normal",'Control Room'!$B$7,('Control Room'!$B$8+'Control Room'!$D$8)/2))+SQRT(1-'Control Room'!$B$9^2)*(D165-IF('Control Room'!$B$5="Normal",'Control Room'!$B$7,('Control Room'!$B$8+'Control Room'!$D$8)/2))</x:f>
        <x:v>973.2914728688613</x:v>
      </x:c>
      <x:c r="F165" s="17" t="n">
        <x:f>IF(AND($A165&gt;='Control Room'!$A$13,$A165&lt;'Control Room'!$A$13+'Control Room'!$B$13,'Process'!BK2=1),1+('Control Room'!$C$13-1)*EXP(-0.5*(($A165-'Control Room'!$A$13-('Control Room'!$B$13-1)/2)/MAX(0.5,'Control Room'!$B$13/4))^2),1)*IF(AND($A165&gt;='Control Room'!$A$14,$A165&lt;'Control Room'!$A$14+'Control Room'!$B$14,'Process'!BK3=1),1+('Control Room'!$C$14-1)*EXP(-0.5*(($A165-'Control Room'!$A$14-('Control Room'!$B$14-1)/2)/MAX(0.5,'Control Room'!$B$14/4))^2),1)*IF(AND($A165&gt;='Control Room'!$A$15,$A165&lt;'Control Room'!$A$15+'Control Room'!$B$15,'Process'!BK4=1),1+('Control Room'!$C$15-1)*EXP(-0.5*(($A165-'Control Room'!$A$15-('Control Room'!$B$15-1)/2)/MAX(0.5,'Control Room'!$B$15/4))^2),1)*IF(AND($A165&gt;='Control Room'!$A$16,$A165&lt;'Control Room'!$A$16+'Control Room'!$B$16,'Process'!BK5=1),1+('Control Room'!$C$16-1)*EXP(-0.5*(($A165-'Control Room'!$A$16-('Control Room'!$B$16-1)/2)/MAX(0.5,'Control Room'!$B$16/4))^2),1)</x:f>
        <x:v>1</x:v>
      </x:c>
      <x:c r="G165" s="9" t="n">
        <x:f>MOD(H164*16807,2147483647)</x:f>
        <x:v>1701677447</x:v>
      </x:c>
      <x:c r="H165" s="9" t="n">
        <x:f>MOD(G165*16807,2147483647)</x:f>
        <x:v>2053124630</x:v>
      </x:c>
      <x:c r="I165" s="17" t="n">
        <x:f>IF('Control Room'!$B$5="Normal",'Control Room'!$B$7+'Control Room'!$D$7*SQRT(-2*LN(MAX(0.000000000001,G165/2147483647)))*COS(2*PI()*H165/2147483647),'Control Room'!$B$8+('Control Room'!$D$8-'Control Room'!$B$8)*G165/2147483647)</x:f>
        <x:v>1059.070906933492</x:v>
      </x:c>
      <x:c r="J165" s="17" t="n">
        <x:f>IF('Control Room'!$B$5="Normal",'Control Room'!$B$7,('Control Room'!$B$8+'Control Room'!$D$8)/2)+'Control Room'!$B$9*(J164-IF('Control Room'!$B$5="Normal",'Control Room'!$B$7,('Control Room'!$B$8+'Control Room'!$D$8)/2))+SQRT(1-'Control Room'!$B$9^2)*(I165-IF('Control Room'!$B$5="Normal",'Control Room'!$B$7,('Control Room'!$B$8+'Control Room'!$D$8)/2))</x:f>
        <x:v>1116.8943109137015</x:v>
      </x:c>
      <x:c r="K165" s="17" t="n">
        <x:f>IF(AND($A165&gt;='Control Room'!$A$13,$A165&lt;'Control Room'!$A$13+'Control Room'!$B$13,'Process'!BL2=1),1+('Control Room'!$C$13-1)*EXP(-0.5*(($A165-'Control Room'!$A$13-('Control Room'!$B$13-1)/2)/MAX(0.5,'Control Room'!$B$13/4))^2),1)*IF(AND($A165&gt;='Control Room'!$A$14,$A165&lt;'Control Room'!$A$14+'Control Room'!$B$14,'Process'!BL3=1),1+('Control Room'!$C$14-1)*EXP(-0.5*(($A165-'Control Room'!$A$14-('Control Room'!$B$14-1)/2)/MAX(0.5,'Control Room'!$B$14/4))^2),1)*IF(AND($A165&gt;='Control Room'!$A$15,$A165&lt;'Control Room'!$A$15+'Control Room'!$B$15,'Process'!BL4=1),1+('Control Room'!$C$15-1)*EXP(-0.5*(($A165-'Control Room'!$A$15-('Control Room'!$B$15-1)/2)/MAX(0.5,'Control Room'!$B$15/4))^2),1)*IF(AND($A165&gt;='Control Room'!$A$16,$A165&lt;'Control Room'!$A$16+'Control Room'!$B$16,'Process'!BL5=1),1+('Control Room'!$C$16-1)*EXP(-0.5*(($A165-'Control Room'!$A$16-('Control Room'!$B$16-1)/2)/MAX(0.5,'Control Room'!$B$16/4))^2),1)</x:f>
        <x:v>1</x:v>
      </x:c>
      <x:c r="L165" s="9" t="n">
        <x:f>MOD(M164*16807,2147483647)</x:f>
        <x:v>350236936</x:v>
      </x:c>
      <x:c r="M165" s="9" t="n">
        <x:f>MOD(L165*16807,2147483647)</x:f>
        <x:v>179506925</x:v>
      </x:c>
      <x:c r="N165" s="17" t="n">
        <x:f>IF('Control Room'!$B$5="Normal",'Control Room'!$B$7+'Control Room'!$D$7*SQRT(-2*LN(MAX(0.000000000001,L165/2147483647)))*COS(2*PI()*M165/2147483647),'Control Room'!$B$8+('Control Room'!$D$8-'Control Room'!$B$8)*L165/2147483647)</x:f>
        <x:v>1148.2981667383592</x:v>
      </x:c>
      <x:c r="O165" s="17" t="n">
        <x:f>IF('Control Room'!$B$5="Normal",'Control Room'!$B$7,('Control Room'!$B$8+'Control Room'!$D$8)/2)+'Control Room'!$B$9*(O164-IF('Control Room'!$B$5="Normal",'Control Room'!$B$7,('Control Room'!$B$8+'Control Room'!$D$8)/2))+SQRT(1-'Control Room'!$B$9^2)*(N165-IF('Control Room'!$B$5="Normal",'Control Room'!$B$7,('Control Room'!$B$8+'Control Room'!$D$8)/2))</x:f>
        <x:v>1158.0671790666418</x:v>
      </x:c>
      <x:c r="P165" s="17" t="n">
        <x:f>IF(AND($A165&gt;='Control Room'!$A$13,$A165&lt;'Control Room'!$A$13+'Control Room'!$B$13,'Process'!BM2=1),1+('Control Room'!$C$13-1)*EXP(-0.5*(($A165-'Control Room'!$A$13-('Control Room'!$B$13-1)/2)/MAX(0.5,'Control Room'!$B$13/4))^2),1)*IF(AND($A165&gt;='Control Room'!$A$14,$A165&lt;'Control Room'!$A$14+'Control Room'!$B$14,'Process'!BM3=1),1+('Control Room'!$C$14-1)*EXP(-0.5*(($A165-'Control Room'!$A$14-('Control Room'!$B$14-1)/2)/MAX(0.5,'Control Room'!$B$14/4))^2),1)*IF(AND($A165&gt;='Control Room'!$A$15,$A165&lt;'Control Room'!$A$15+'Control Room'!$B$15,'Process'!BM4=1),1+('Control Room'!$C$15-1)*EXP(-0.5*(($A165-'Control Room'!$A$15-('Control Room'!$B$15-1)/2)/MAX(0.5,'Control Room'!$B$15/4))^2),1)*IF(AND($A165&gt;='Control Room'!$A$16,$A165&lt;'Control Room'!$A$16+'Control Room'!$B$16,'Process'!BM5=1),1+('Control Room'!$C$16-1)*EXP(-0.5*(($A165-'Control Room'!$A$16-('Control Room'!$B$16-1)/2)/MAX(0.5,'Control Room'!$B$16/4))^2),1)</x:f>
        <x:v>1</x:v>
      </x:c>
      <x:c r="Q165" s="9" t="n">
        <x:f>MOD(R164*16807,2147483647)</x:f>
        <x:v>1146280072</x:v>
      </x:c>
      <x:c r="R165" s="9" t="n">
        <x:f>MOD(Q165*16807,2147483647)</x:f>
        <x:v>453372867</x:v>
      </x:c>
      <x:c r="S165" s="17" t="n">
        <x:f>IF('Control Room'!$B$5="Normal",'Control Room'!$B$7+'Control Room'!$D$7*SQRT(-2*LN(MAX(0.000000000001,Q165/2147483647)))*COS(2*PI()*R165/2147483647),'Control Room'!$B$8+('Control Room'!$D$8-'Control Room'!$B$8)*Q165/2147483647)</x:f>
        <x:v>1024.3925442892403</x:v>
      </x:c>
      <x:c r="T165" s="17" t="n">
        <x:f>IF('Control Room'!$B$5="Normal",'Control Room'!$B$7,('Control Room'!$B$8+'Control Room'!$D$8)/2)+'Control Room'!$B$9*(T164-IF('Control Room'!$B$5="Normal",'Control Room'!$B$7,('Control Room'!$B$8+'Control Room'!$D$8)/2))+SQRT(1-'Control Room'!$B$9^2)*(S165-IF('Control Room'!$B$5="Normal",'Control Room'!$B$7,('Control Room'!$B$8+'Control Room'!$D$8)/2))</x:f>
        <x:v>969.0325440571625</x:v>
      </x:c>
      <x:c r="U165" s="17" t="n">
        <x:f>IF(AND($A165&gt;='Control Room'!$A$13,$A165&lt;'Control Room'!$A$13+'Control Room'!$B$13,'Process'!BN2=1),1+('Control Room'!$C$13-1)*EXP(-0.5*(($A165-'Control Room'!$A$13-('Control Room'!$B$13-1)/2)/MAX(0.5,'Control Room'!$B$13/4))^2),1)*IF(AND($A165&gt;='Control Room'!$A$14,$A165&lt;'Control Room'!$A$14+'Control Room'!$B$14,'Process'!BN3=1),1+('Control Room'!$C$14-1)*EXP(-0.5*(($A165-'Control Room'!$A$14-('Control Room'!$B$14-1)/2)/MAX(0.5,'Control Room'!$B$14/4))^2),1)*IF(AND($A165&gt;='Control Room'!$A$15,$A165&lt;'Control Room'!$A$15+'Control Room'!$B$15,'Process'!BN4=1),1+('Control Room'!$C$15-1)*EXP(-0.5*(($A165-'Control Room'!$A$15-('Control Room'!$B$15-1)/2)/MAX(0.5,'Control Room'!$B$15/4))^2),1)*IF(AND($A165&gt;='Control Room'!$A$16,$A165&lt;'Control Room'!$A$16+'Control Room'!$B$16,'Process'!BN5=1),1+('Control Room'!$C$16-1)*EXP(-0.5*(($A165-'Control Room'!$A$16-('Control Room'!$B$16-1)/2)/MAX(0.5,'Control Room'!$B$16/4))^2),1)</x:f>
        <x:v>1</x:v>
      </x:c>
      <x:c r="V165" s="9" t="n">
        <x:f>MOD(W164*16807,2147483647)</x:f>
        <x:v>1942323208</x:v>
      </x:c>
      <x:c r="W165" s="9" t="n">
        <x:f>MOD(V165*16807,2147483647)</x:f>
        <x:v>727238809</x:v>
      </x:c>
      <x:c r="X165" s="17" t="n">
        <x:f>IF('Control Room'!$B$5="Normal",'Control Room'!$B$7+'Control Room'!$D$7*SQRT(-2*LN(MAX(0.000000000001,V165/2147483647)))*COS(2*PI()*W165/2147483647),'Control Room'!$B$8+('Control Room'!$D$8-'Control Room'!$B$8)*V165/2147483647)</x:f>
        <x:v>978.6792884880356</x:v>
      </x:c>
      <x:c r="Y165" s="17" t="n">
        <x:f>IF('Control Room'!$B$5="Normal",'Control Room'!$B$7,('Control Room'!$B$8+'Control Room'!$D$8)/2)+'Control Room'!$B$9*(Y164-IF('Control Room'!$B$5="Normal",'Control Room'!$B$7,('Control Room'!$B$8+'Control Room'!$D$8)/2))+SQRT(1-'Control Room'!$B$9^2)*(X165-IF('Control Room'!$B$5="Normal",'Control Room'!$B$7,('Control Room'!$B$8+'Control Room'!$D$8)/2))</x:f>
        <x:v>1028.0672392373435</x:v>
      </x:c>
      <x:c r="Z165" s="17" t="n">
        <x:f>IF(AND($A165&gt;='Control Room'!$A$13,$A165&lt;'Control Room'!$A$13+'Control Room'!$B$13,'Process'!BO2=1),1+('Control Room'!$C$13-1)*EXP(-0.5*(($A165-'Control Room'!$A$13-('Control Room'!$B$13-1)/2)/MAX(0.5,'Control Room'!$B$13/4))^2),1)*IF(AND($A165&gt;='Control Room'!$A$14,$A165&lt;'Control Room'!$A$14+'Control Room'!$B$14,'Process'!BO3=1),1+('Control Room'!$C$14-1)*EXP(-0.5*(($A165-'Control Room'!$A$14-('Control Room'!$B$14-1)/2)/MAX(0.5,'Control Room'!$B$14/4))^2),1)*IF(AND($A165&gt;='Control Room'!$A$15,$A165&lt;'Control Room'!$A$15+'Control Room'!$B$15,'Process'!BO4=1),1+('Control Room'!$C$15-1)*EXP(-0.5*(($A165-'Control Room'!$A$15-('Control Room'!$B$15-1)/2)/MAX(0.5,'Control Room'!$B$15/4))^2),1)*IF(AND($A165&gt;='Control Room'!$A$16,$A165&lt;'Control Room'!$A$16+'Control Room'!$B$16,'Process'!BO5=1),1+('Control Room'!$C$16-1)*EXP(-0.5*(($A165-'Control Room'!$A$16-('Control Room'!$B$16-1)/2)/MAX(0.5,'Control Room'!$B$16/4))^2),1)</x:f>
        <x:v>1</x:v>
      </x:c>
      <x:c r="AA165" s="9" t="n">
        <x:f>MOD(AB164*16807,2147483647)</x:f>
        <x:v>590882697</x:v>
      </x:c>
      <x:c r="AB165" s="9" t="n">
        <x:f>MOD(AA165*16807,2147483647)</x:f>
        <x:v>1001104751</x:v>
      </x:c>
      <x:c r="AC165" s="17" t="n">
        <x:f>IF('Control Room'!$B$5="Normal",'Control Room'!$B$7+'Control Room'!$D$7*SQRT(-2*LN(MAX(0.000000000001,AA165/2147483647)))*COS(2*PI()*AB165/2147483647),'Control Room'!$B$8+('Control Room'!$D$8-'Control Room'!$B$8)*AA165/2147483647)</x:f>
        <x:v>858.6671959013802</x:v>
      </x:c>
      <x:c r="AD165" s="17" t="n">
        <x:f>IF('Control Room'!$B$5="Normal",'Control Room'!$B$7,('Control Room'!$B$8+'Control Room'!$D$8)/2)+'Control Room'!$B$9*(AD164-IF('Control Room'!$B$5="Normal",'Control Room'!$B$7,('Control Room'!$B$8+'Control Room'!$D$8)/2))+SQRT(1-'Control Room'!$B$9^2)*(AC165-IF('Control Room'!$B$5="Normal",'Control Room'!$B$7,('Control Room'!$B$8+'Control Room'!$D$8)/2))</x:f>
        <x:v>891.8075565958233</x:v>
      </x:c>
      <x:c r="AE165" s="17" t="n">
        <x:f>IF(AND($A165&gt;='Control Room'!$A$13,$A165&lt;'Control Room'!$A$13+'Control Room'!$B$13,'Process'!BP2=1),1+('Control Room'!$C$13-1)*EXP(-0.5*(($A165-'Control Room'!$A$13-('Control Room'!$B$13-1)/2)/MAX(0.5,'Control Room'!$B$13/4))^2),1)*IF(AND($A165&gt;='Control Room'!$A$14,$A165&lt;'Control Room'!$A$14+'Control Room'!$B$14,'Process'!BP3=1),1+('Control Room'!$C$14-1)*EXP(-0.5*(($A165-'Control Room'!$A$14-('Control Room'!$B$14-1)/2)/MAX(0.5,'Control Room'!$B$14/4))^2),1)*IF(AND($A165&gt;='Control Room'!$A$15,$A165&lt;'Control Room'!$A$15+'Control Room'!$B$15,'Process'!BP4=1),1+('Control Room'!$C$15-1)*EXP(-0.5*(($A165-'Control Room'!$A$15-('Control Room'!$B$15-1)/2)/MAX(0.5,'Control Room'!$B$15/4))^2),1)*IF(AND($A165&gt;='Control Room'!$A$16,$A165&lt;'Control Room'!$A$16+'Control Room'!$B$16,'Process'!BP5=1),1+('Control Room'!$C$16-1)*EXP(-0.5*(($A165-'Control Room'!$A$16-('Control Room'!$B$16-1)/2)/MAX(0.5,'Control Room'!$B$16/4))^2),1)</x:f>
        <x:v>1</x:v>
      </x:c>
      <x:c r="AF165" s="9" t="n">
        <x:f>MOD(AG164*16807,2147483647)</x:f>
        <x:v>1386925833</x:v>
      </x:c>
      <x:c r="AG165" s="9" t="n">
        <x:f>MOD(AF165*16807,2147483647)</x:f>
        <x:v>1274970693</x:v>
      </x:c>
      <x:c r="AH165" s="17" t="n">
        <x:f>IF('Control Room'!$B$5="Normal",'Control Room'!$B$7+'Control Room'!$D$7*SQRT(-2*LN(MAX(0.000000000001,AF165/2147483647)))*COS(2*PI()*AG165/2147483647),'Control Room'!$B$8+('Control Room'!$D$8-'Control Room'!$B$8)*AF165/2147483647)</x:f>
        <x:v>930.010896142258</x:v>
      </x:c>
      <x:c r="AI165" s="17" t="n">
        <x:f>IF('Control Room'!$B$5="Normal",'Control Room'!$B$7,('Control Room'!$B$8+'Control Room'!$D$8)/2)+'Control Room'!$B$9*(AI164-IF('Control Room'!$B$5="Normal",'Control Room'!$B$7,('Control Room'!$B$8+'Control Room'!$D$8)/2))+SQRT(1-'Control Room'!$B$9^2)*(AH165-IF('Control Room'!$B$5="Normal",'Control Room'!$B$7,('Control Room'!$B$8+'Control Room'!$D$8)/2))</x:f>
        <x:v>873.2272938118641</x:v>
      </x:c>
      <x:c r="AJ165" s="17" t="n">
        <x:f>IF(AND($A165&gt;='Control Room'!$A$13,$A165&lt;'Control Room'!$A$13+'Control Room'!$B$13,'Process'!BQ2=1),1+('Control Room'!$C$13-1)*EXP(-0.5*(($A165-'Control Room'!$A$13-('Control Room'!$B$13-1)/2)/MAX(0.5,'Control Room'!$B$13/4))^2),1)*IF(AND($A165&gt;='Control Room'!$A$14,$A165&lt;'Control Room'!$A$14+'Control Room'!$B$14,'Process'!BQ3=1),1+('Control Room'!$C$14-1)*EXP(-0.5*(($A165-'Control Room'!$A$14-('Control Room'!$B$14-1)/2)/MAX(0.5,'Control Room'!$B$14/4))^2),1)*IF(AND($A165&gt;='Control Room'!$A$15,$A165&lt;'Control Room'!$A$15+'Control Room'!$B$15,'Process'!BQ4=1),1+('Control Room'!$C$15-1)*EXP(-0.5*(($A165-'Control Room'!$A$15-('Control Room'!$B$15-1)/2)/MAX(0.5,'Control Room'!$B$15/4))^2),1)*IF(AND($A165&gt;='Control Room'!$A$16,$A165&lt;'Control Room'!$A$16+'Control Room'!$B$16,'Process'!BQ5=1),1+('Control Room'!$C$16-1)*EXP(-0.5*(($A165-'Control Room'!$A$16-('Control Room'!$B$16-1)/2)/MAX(0.5,'Control Room'!$B$16/4))^2),1)</x:f>
        <x:v>1</x:v>
      </x:c>
      <x:c r="AK165" s="9" t="n">
        <x:f>MOD(AL164*16807,2147483647)</x:f>
        <x:v>35485322</x:v>
      </x:c>
      <x:c r="AL165" s="9" t="n">
        <x:f>MOD(AK165*16807,2147483647)</x:f>
        <x:v>1548836635</x:v>
      </x:c>
      <x:c r="AM165" s="17" t="n">
        <x:f>IF('Control Room'!$B$5="Normal",'Control Room'!$B$7+'Control Room'!$D$7*SQRT(-2*LN(MAX(0.000000000001,AK165/2147483647)))*COS(2*PI()*AL165/2147483647),'Control Room'!$B$8+('Control Room'!$D$8-'Control Room'!$B$8)*AK165/2147483647)</x:f>
        <x:v>953.6544610791057</x:v>
      </x:c>
      <x:c r="AN165" s="17" t="n">
        <x:f>IF('Control Room'!$B$5="Normal",'Control Room'!$B$7,('Control Room'!$B$8+'Control Room'!$D$8)/2)+'Control Room'!$B$9*(AN164-IF('Control Room'!$B$5="Normal",'Control Room'!$B$7,('Control Room'!$B$8+'Control Room'!$D$8)/2))+SQRT(1-'Control Room'!$B$9^2)*(AM165-IF('Control Room'!$B$5="Normal",'Control Room'!$B$7,('Control Room'!$B$8+'Control Room'!$D$8)/2))</x:f>
        <x:v>982.1054364369793</x:v>
      </x:c>
      <x:c r="AO165" s="17" t="n">
        <x:f>IF(AND($A165&gt;='Control Room'!$A$13,$A165&lt;'Control Room'!$A$13+'Control Room'!$B$13,'Process'!BR2=1),1+('Control Room'!$C$13-1)*EXP(-0.5*(($A165-'Control Room'!$A$13-('Control Room'!$B$13-1)/2)/MAX(0.5,'Control Room'!$B$13/4))^2),1)*IF(AND($A165&gt;='Control Room'!$A$14,$A165&lt;'Control Room'!$A$14+'Control Room'!$B$14,'Process'!BR3=1),1+('Control Room'!$C$14-1)*EXP(-0.5*(($A165-'Control Room'!$A$14-('Control Room'!$B$14-1)/2)/MAX(0.5,'Control Room'!$B$14/4))^2),1)*IF(AND($A165&gt;='Control Room'!$A$15,$A165&lt;'Control Room'!$A$15+'Control Room'!$B$15,'Process'!BR4=1),1+('Control Room'!$C$15-1)*EXP(-0.5*(($A165-'Control Room'!$A$15-('Control Room'!$B$15-1)/2)/MAX(0.5,'Control Room'!$B$15/4))^2),1)*IF(AND($A165&gt;='Control Room'!$A$16,$A165&lt;'Control Room'!$A$16+'Control Room'!$B$16,'Process'!BR5=1),1+('Control Room'!$C$16-1)*EXP(-0.5*(($A165-'Control Room'!$A$16-('Control Room'!$B$16-1)/2)/MAX(0.5,'Control Room'!$B$16/4))^2),1)</x:f>
        <x:v>1</x:v>
      </x:c>
      <x:c r="AP165" s="9" t="n">
        <x:f>MOD(AQ164*16807,2147483647)</x:f>
        <x:v>831528458</x:v>
      </x:c>
      <x:c r="AQ165" s="9" t="n">
        <x:f>MOD(AP165*16807,2147483647)</x:f>
        <x:v>1822702577</x:v>
      </x:c>
      <x:c r="AR165" s="17" t="n">
        <x:f>IF('Control Room'!$B$5="Normal",'Control Room'!$B$7+'Control Room'!$D$7*SQRT(-2*LN(MAX(0.000000000001,AP165/2147483647)))*COS(2*PI()*AQ165/2147483647),'Control Room'!$B$8+('Control Room'!$D$8-'Control Room'!$B$8)*AP165/2147483647)</x:f>
        <x:v>1072.0895913095</x:v>
      </x:c>
      <x:c r="AS165" s="17" t="n">
        <x:f>IF('Control Room'!$B$5="Normal",'Control Room'!$B$7,('Control Room'!$B$8+'Control Room'!$D$8)/2)+'Control Room'!$B$9*(AS164-IF('Control Room'!$B$5="Normal",'Control Room'!$B$7,('Control Room'!$B$8+'Control Room'!$D$8)/2))+SQRT(1-'Control Room'!$B$9^2)*(AR165-IF('Control Room'!$B$5="Normal",'Control Room'!$B$7,('Control Room'!$B$8+'Control Room'!$D$8)/2))</x:f>
        <x:v>1051.638213105007</x:v>
      </x:c>
      <x:c r="AT165" s="17" t="n">
        <x:f>IF(AND($A165&gt;='Control Room'!$A$13,$A165&lt;'Control Room'!$A$13+'Control Room'!$B$13,'Process'!BS2=1),1+('Control Room'!$C$13-1)*EXP(-0.5*(($A165-'Control Room'!$A$13-('Control Room'!$B$13-1)/2)/MAX(0.5,'Control Room'!$B$13/4))^2),1)*IF(AND($A165&gt;='Control Room'!$A$14,$A165&lt;'Control Room'!$A$14+'Control Room'!$B$14,'Process'!BS3=1),1+('Control Room'!$C$14-1)*EXP(-0.5*(($A165-'Control Room'!$A$14-('Control Room'!$B$14-1)/2)/MAX(0.5,'Control Room'!$B$14/4))^2),1)*IF(AND($A165&gt;='Control Room'!$A$15,$A165&lt;'Control Room'!$A$15+'Control Room'!$B$15,'Process'!BS4=1),1+('Control Room'!$C$15-1)*EXP(-0.5*(($A165-'Control Room'!$A$15-('Control Room'!$B$15-1)/2)/MAX(0.5,'Control Room'!$B$15/4))^2),1)*IF(AND($A165&gt;='Control Room'!$A$16,$A165&lt;'Control Room'!$A$16+'Control Room'!$B$16,'Process'!BS5=1),1+('Control Room'!$C$16-1)*EXP(-0.5*(($A165-'Control Room'!$A$16-('Control Room'!$B$16-1)/2)/MAX(0.5,'Control Room'!$B$16/4))^2),1)</x:f>
        <x:v>1</x:v>
      </x:c>
      <x:c r="AU165" s="9" t="n">
        <x:f>MOD(AV164*16807,2147483647)</x:f>
        <x:v>1627571594</x:v>
      </x:c>
      <x:c r="AV165" s="9" t="n">
        <x:f>MOD(AU165*16807,2147483647)</x:f>
        <x:v>2096568519</x:v>
      </x:c>
      <x:c r="AW165" s="17" t="n">
        <x:f>IF('Control Room'!$B$5="Normal",'Control Room'!$B$7+'Control Room'!$D$7*SQRT(-2*LN(MAX(0.000000000001,AU165/2147483647)))*COS(2*PI()*AV165/2147483647),'Control Room'!$B$8+('Control Room'!$D$8-'Control Room'!$B$8)*AU165/2147483647)</x:f>
        <x:v>1066.270966190973</x:v>
      </x:c>
      <x:c r="AX165" s="17" t="n">
        <x:f>IF('Control Room'!$B$5="Normal",'Control Room'!$B$7,('Control Room'!$B$8+'Control Room'!$D$8)/2)+'Control Room'!$B$9*(AX164-IF('Control Room'!$B$5="Normal",'Control Room'!$B$7,('Control Room'!$B$8+'Control Room'!$D$8)/2))+SQRT(1-'Control Room'!$B$9^2)*(AW165-IF('Control Room'!$B$5="Normal",'Control Room'!$B$7,('Control Room'!$B$8+'Control Room'!$D$8)/2))</x:f>
        <x:v>992.9711830272299</x:v>
      </x:c>
      <x:c r="AY165" s="17" t="n">
        <x:f>IF(AND($A165&gt;='Control Room'!$A$13,$A165&lt;'Control Room'!$A$13+'Control Room'!$B$13,'Process'!BT2=1),1+('Control Room'!$C$13-1)*EXP(-0.5*(($A165-'Control Room'!$A$13-('Control Room'!$B$13-1)/2)/MAX(0.5,'Control Room'!$B$13/4))^2),1)*IF(AND($A165&gt;='Control Room'!$A$14,$A165&lt;'Control Room'!$A$14+'Control Room'!$B$14,'Process'!BT3=1),1+('Control Room'!$C$14-1)*EXP(-0.5*(($A165-'Control Room'!$A$14-('Control Room'!$B$14-1)/2)/MAX(0.5,'Control Room'!$B$14/4))^2),1)*IF(AND($A165&gt;='Control Room'!$A$15,$A165&lt;'Control Room'!$A$15+'Control Room'!$B$15,'Process'!BT4=1),1+('Control Room'!$C$15-1)*EXP(-0.5*(($A165-'Control Room'!$A$15-('Control Room'!$B$15-1)/2)/MAX(0.5,'Control Room'!$B$15/4))^2),1)*IF(AND($A165&gt;='Control Room'!$A$16,$A165&lt;'Control Room'!$A$16+'Control Room'!$B$16,'Process'!BT5=1),1+('Control Room'!$C$16-1)*EXP(-0.5*(($A165-'Control Room'!$A$16-('Control Room'!$B$16-1)/2)/MAX(0.5,'Control Room'!$B$16/4))^2),1)</x:f>
        <x:v>1</x:v>
      </x:c>
      <x:c r="AZ165" s="9" t="n">
        <x:f>MOD(BA164*16807,2147483647)</x:f>
        <x:v>276131083</x:v>
      </x:c>
      <x:c r="BA165" s="9" t="n">
        <x:f>MOD(AZ165*16807,2147483647)</x:f>
        <x:v>222950814</x:v>
      </x:c>
      <x:c r="BB165" s="17" t="n">
        <x:f>IF('Control Room'!$B$5="Normal",'Control Room'!$B$7+'Control Room'!$D$7*SQRT(-2*LN(MAX(0.000000000001,AZ165/2147483647)))*COS(2*PI()*BA165/2147483647),'Control Room'!$B$8+('Control Room'!$D$8-'Control Room'!$B$8)*AZ165/2147483647)</x:f>
        <x:v>1144.8607748854142</x:v>
      </x:c>
      <x:c r="BC165" s="17" t="n">
        <x:f>IF('Control Room'!$B$5="Normal",'Control Room'!$B$7,('Control Room'!$B$8+'Control Room'!$D$8)/2)+'Control Room'!$B$9*(BC164-IF('Control Room'!$B$5="Normal",'Control Room'!$B$7,('Control Room'!$B$8+'Control Room'!$D$8)/2))+SQRT(1-'Control Room'!$B$9^2)*(BB165-IF('Control Room'!$B$5="Normal",'Control Room'!$B$7,('Control Room'!$B$8+'Control Room'!$D$8)/2))</x:f>
        <x:v>1075.0705481140358</x:v>
      </x:c>
      <x:c r="BD165" s="17" t="n">
        <x:f>IF(AND($A165&gt;='Control Room'!$A$13,$A165&lt;'Control Room'!$A$13+'Control Room'!$B$13,'Process'!BU2=1),1+('Control Room'!$C$13-1)*EXP(-0.5*(($A165-'Control Room'!$A$13-('Control Room'!$B$13-1)/2)/MAX(0.5,'Control Room'!$B$13/4))^2),1)*IF(AND($A165&gt;='Control Room'!$A$14,$A165&lt;'Control Room'!$A$14+'Control Room'!$B$14,'Process'!BU3=1),1+('Control Room'!$C$14-1)*EXP(-0.5*(($A165-'Control Room'!$A$14-('Control Room'!$B$14-1)/2)/MAX(0.5,'Control Room'!$B$14/4))^2),1)*IF(AND($A165&gt;='Control Room'!$A$15,$A165&lt;'Control Room'!$A$15+'Control Room'!$B$15,'Process'!BU4=1),1+('Control Room'!$C$15-1)*EXP(-0.5*(($A165-'Control Room'!$A$15-('Control Room'!$B$15-1)/2)/MAX(0.5,'Control Room'!$B$15/4))^2),1)*IF(AND($A165&gt;='Control Room'!$A$16,$A165&lt;'Control Room'!$A$16+'Control Room'!$B$16,'Process'!BU5=1),1+('Control Room'!$C$16-1)*EXP(-0.5*(($A165-'Control Room'!$A$16-('Control Room'!$B$16-1)/2)/MAX(0.5,'Control Room'!$B$16/4))^2),1)</x:f>
        <x:v>1</x:v>
      </x:c>
      <x:c r="BE165" s="9" t="n">
        <x:f>MOD(BF164*16807,2147483647)</x:f>
        <x:v>1072174219</x:v>
      </x:c>
      <x:c r="BF165" s="9" t="n">
        <x:f>MOD(BE165*16807,2147483647)</x:f>
        <x:v>496816756</x:v>
      </x:c>
      <x:c r="BG165" s="17" t="n">
        <x:f>IF('Control Room'!$B$5="Normal",'Control Room'!$B$7+'Control Room'!$D$7*SQRT(-2*LN(MAX(0.000000000001,BE165/2147483647)))*COS(2*PI()*BF165/2147483647),'Control Room'!$B$8+('Control Room'!$D$8-'Control Room'!$B$8)*BE165/2147483647)</x:f>
        <x:v>1012.403107045828</x:v>
      </x:c>
      <x:c r="BH165" s="17" t="n">
        <x:f>IF('Control Room'!$B$5="Normal",'Control Room'!$B$7,('Control Room'!$B$8+'Control Room'!$D$8)/2)+'Control Room'!$B$9*(BH164-IF('Control Room'!$B$5="Normal",'Control Room'!$B$7,('Control Room'!$B$8+'Control Room'!$D$8)/2))+SQRT(1-'Control Room'!$B$9^2)*(BG165-IF('Control Room'!$B$5="Normal",'Control Room'!$B$7,('Control Room'!$B$8+'Control Room'!$D$8)/2))</x:f>
        <x:v>1038.8496054595178</x:v>
      </x:c>
      <x:c r="BI165" s="17" t="n">
        <x:f>IF(AND($A165&gt;='Control Room'!$A$13,$A165&lt;'Control Room'!$A$13+'Control Room'!$B$13,'Process'!BV2=1),1+('Control Room'!$C$13-1)*EXP(-0.5*(($A165-'Control Room'!$A$13-('Control Room'!$B$13-1)/2)/MAX(0.5,'Control Room'!$B$13/4))^2),1)*IF(AND($A165&gt;='Control Room'!$A$14,$A165&lt;'Control Room'!$A$14+'Control Room'!$B$14,'Process'!BV3=1),1+('Control Room'!$C$14-1)*EXP(-0.5*(($A165-'Control Room'!$A$14-('Control Room'!$B$14-1)/2)/MAX(0.5,'Control Room'!$B$14/4))^2),1)*IF(AND($A165&gt;='Control Room'!$A$15,$A165&lt;'Control Room'!$A$15+'Control Room'!$B$15,'Process'!BV4=1),1+('Control Room'!$C$15-1)*EXP(-0.5*(($A165-'Control Room'!$A$15-('Control Room'!$B$15-1)/2)/MAX(0.5,'Control Room'!$B$15/4))^2),1)*IF(AND($A165&gt;='Control Room'!$A$16,$A165&lt;'Control Room'!$A$16+'Control Room'!$B$16,'Process'!BV5=1),1+('Control Room'!$C$16-1)*EXP(-0.5*(($A165-'Control Room'!$A$16-('Control Room'!$B$16-1)/2)/MAX(0.5,'Control Room'!$B$16/4))^2),1)</x:f>
        <x:v>1</x:v>
      </x:c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Z165" t="str">
        <x:f>IF('Data'!A165="","",TEXT('Data'!A165,"mm-dd"))</x:f>
      </x:c>
    </x:row>
    <x:row r="166" ht="21" customHeight="1">
      <x:c r="A166" s="15" t="n">
        <x:f>'Control Room'!$B$1+164</x:f>
        <x:v>73155</x:v>
      </x:c>
      <x:c r="B166" s="9" t="n">
        <x:f>MOD(C165*16807,2147483647)</x:f>
        <x:v>290984741</x:v>
      </x:c>
      <x:c r="C166" s="9" t="n">
        <x:f>MOD(B166*16807,2147483647)</x:f>
        <x:v>760277768</x:v>
      </x:c>
      <x:c r="D166" s="17" t="n">
        <x:f>IF('Control Room'!$B$5="Normal",'Control Room'!$B$7+'Control Room'!$D$7*SQRT(-2*LN(MAX(0.000000000001,B166/2147483647)))*COS(2*PI()*C166/2147483647),'Control Room'!$B$8+('Control Room'!$D$8-'Control Room'!$B$8)*B166/2147483647)</x:f>
        <x:v>890.5772372498566</x:v>
      </x:c>
      <x:c r="E166" s="17" t="n">
        <x:f>IF('Control Room'!$B$5="Normal",'Control Room'!$B$7,('Control Room'!$B$8+'Control Room'!$D$8)/2)+'Control Room'!$B$9*(E165-IF('Control Room'!$B$5="Normal",'Control Room'!$B$7,('Control Room'!$B$8+'Control Room'!$D$8)/2))+SQRT(1-'Control Room'!$B$9^2)*(D166-IF('Control Room'!$B$5="Normal",'Control Room'!$B$7,('Control Room'!$B$8+'Control Room'!$D$8)/2))</x:f>
        <x:v>910.6928255558114</x:v>
      </x:c>
      <x:c r="F166" s="17" t="n">
        <x:f>IF(AND($A166&gt;='Control Room'!$A$13,$A166&lt;'Control Room'!$A$13+'Control Room'!$B$13,'Process'!BK2=1),1+('Control Room'!$C$13-1)*EXP(-0.5*(($A166-'Control Room'!$A$13-('Control Room'!$B$13-1)/2)/MAX(0.5,'Control Room'!$B$13/4))^2),1)*IF(AND($A166&gt;='Control Room'!$A$14,$A166&lt;'Control Room'!$A$14+'Control Room'!$B$14,'Process'!BK3=1),1+('Control Room'!$C$14-1)*EXP(-0.5*(($A166-'Control Room'!$A$14-('Control Room'!$B$14-1)/2)/MAX(0.5,'Control Room'!$B$14/4))^2),1)*IF(AND($A166&gt;='Control Room'!$A$15,$A166&lt;'Control Room'!$A$15+'Control Room'!$B$15,'Process'!BK4=1),1+('Control Room'!$C$15-1)*EXP(-0.5*(($A166-'Control Room'!$A$15-('Control Room'!$B$15-1)/2)/MAX(0.5,'Control Room'!$B$15/4))^2),1)*IF(AND($A166&gt;='Control Room'!$A$16,$A166&lt;'Control Room'!$A$16+'Control Room'!$B$16,'Process'!BK5=1),1+('Control Room'!$C$16-1)*EXP(-0.5*(($A166-'Control Room'!$A$16-('Control Room'!$B$16-1)/2)/MAX(0.5,'Control Room'!$B$16/4))^2),1)</x:f>
        <x:v>1</x:v>
      </x:c>
      <x:c r="G166" s="9" t="n">
        <x:f>MOD(H165*16807,2147483647)</x:f>
        <x:v>1098416414</x:v>
      </x:c>
      <x:c r="H166" s="9" t="n">
        <x:f>MOD(G166*16807,2147483647)</x:f>
        <x:v>1315240486</x:v>
      </x:c>
      <x:c r="I166" s="17" t="n">
        <x:f>IF('Control Room'!$B$5="Normal",'Control Room'!$B$7+'Control Room'!$D$7*SQRT(-2*LN(MAX(0.000000000001,G166/2147483647)))*COS(2*PI()*H166/2147483647),'Control Room'!$B$8+('Control Room'!$D$8-'Control Room'!$B$8)*G166/2147483647)</x:f>
        <x:v>920.7352637542904</x:v>
      </x:c>
      <x:c r="J166" s="17" t="n">
        <x:f>IF('Control Room'!$B$5="Normal",'Control Room'!$B$7,('Control Room'!$B$8+'Control Room'!$D$8)/2)+'Control Room'!$B$9*(J165-IF('Control Room'!$B$5="Normal",'Control Room'!$B$7,('Control Room'!$B$8+'Control Room'!$D$8)/2))+SQRT(1-'Control Room'!$B$9^2)*(I166-IF('Control Room'!$B$5="Normal",'Control Room'!$B$7,('Control Room'!$B$8+'Control Room'!$D$8)/2))</x:f>
        <x:v>1041.5753143965069</x:v>
      </x:c>
      <x:c r="K166" s="17" t="n">
        <x:f>IF(AND($A166&gt;='Control Room'!$A$13,$A166&lt;'Control Room'!$A$13+'Control Room'!$B$13,'Process'!BL2=1),1+('Control Room'!$C$13-1)*EXP(-0.5*(($A166-'Control Room'!$A$13-('Control Room'!$B$13-1)/2)/MAX(0.5,'Control Room'!$B$13/4))^2),1)*IF(AND($A166&gt;='Control Room'!$A$14,$A166&lt;'Control Room'!$A$14+'Control Room'!$B$14,'Process'!BL3=1),1+('Control Room'!$C$14-1)*EXP(-0.5*(($A166-'Control Room'!$A$14-('Control Room'!$B$14-1)/2)/MAX(0.5,'Control Room'!$B$14/4))^2),1)*IF(AND($A166&gt;='Control Room'!$A$15,$A166&lt;'Control Room'!$A$15+'Control Room'!$B$15,'Process'!BL4=1),1+('Control Room'!$C$15-1)*EXP(-0.5*(($A166-'Control Room'!$A$15-('Control Room'!$B$15-1)/2)/MAX(0.5,'Control Room'!$B$15/4))^2),1)*IF(AND($A166&gt;='Control Room'!$A$16,$A166&lt;'Control Room'!$A$16+'Control Room'!$B$16,'Process'!BL5=1),1+('Control Room'!$C$16-1)*EXP(-0.5*(($A166-'Control Room'!$A$16-('Control Room'!$B$16-1)/2)/MAX(0.5,'Control Room'!$B$16/4))^2),1)</x:f>
        <x:v>1</x:v>
      </x:c>
      <x:c r="L166" s="9" t="n">
        <x:f>MOD(M165*16807,2147483647)</x:f>
        <x:v>1905848087</x:v>
      </x:c>
      <x:c r="M166" s="9" t="n">
        <x:f>MOD(L166*16807,2147483647)</x:f>
        <x:v>1870203204</x:v>
      </x:c>
      <x:c r="N166" s="17" t="n">
        <x:f>IF('Control Room'!$B$5="Normal",'Control Room'!$B$7+'Control Room'!$D$7*SQRT(-2*LN(MAX(0.000000000001,L166/2147483647)))*COS(2*PI()*M166/2147483647),'Control Room'!$B$8+('Control Room'!$D$8-'Control Room'!$B$8)*L166/2147483647)</x:f>
        <x:v>1030.2798961398444</x:v>
      </x:c>
      <x:c r="O166" s="17" t="n">
        <x:f>IF('Control Room'!$B$5="Normal",'Control Room'!$B$7,('Control Room'!$B$8+'Control Room'!$D$8)/2)+'Control Room'!$B$9*(O165-IF('Control Room'!$B$5="Normal",'Control Room'!$B$7,('Control Room'!$B$8+'Control Room'!$D$8)/2))+SQRT(1-'Control Room'!$B$9^2)*(N166-IF('Control Room'!$B$5="Normal",'Control Room'!$B$7,('Control Room'!$B$8+'Control Room'!$D$8)/2))</x:f>
        <x:v>1142.2409383589054</x:v>
      </x:c>
      <x:c r="P166" s="17" t="n">
        <x:f>IF(AND($A166&gt;='Control Room'!$A$13,$A166&lt;'Control Room'!$A$13+'Control Room'!$B$13,'Process'!BM2=1),1+('Control Room'!$C$13-1)*EXP(-0.5*(($A166-'Control Room'!$A$13-('Control Room'!$B$13-1)/2)/MAX(0.5,'Control Room'!$B$13/4))^2),1)*IF(AND($A166&gt;='Control Room'!$A$14,$A166&lt;'Control Room'!$A$14+'Control Room'!$B$14,'Process'!BM3=1),1+('Control Room'!$C$14-1)*EXP(-0.5*(($A166-'Control Room'!$A$14-('Control Room'!$B$14-1)/2)/MAX(0.5,'Control Room'!$B$14/4))^2),1)*IF(AND($A166&gt;='Control Room'!$A$15,$A166&lt;'Control Room'!$A$15+'Control Room'!$B$15,'Process'!BM4=1),1+('Control Room'!$C$15-1)*EXP(-0.5*(($A166-'Control Room'!$A$15-('Control Room'!$B$15-1)/2)/MAX(0.5,'Control Room'!$B$15/4))^2),1)*IF(AND($A166&gt;='Control Room'!$A$16,$A166&lt;'Control Room'!$A$16+'Control Room'!$B$16,'Process'!BM5=1),1+('Control Room'!$C$16-1)*EXP(-0.5*(($A166-'Control Room'!$A$16-('Control Room'!$B$16-1)/2)/MAX(0.5,'Control Room'!$B$16/4))^2),1)</x:f>
        <x:v>1</x:v>
      </x:c>
      <x:c r="Q166" s="9" t="n">
        <x:f>MOD(R165*16807,2147483647)</x:f>
        <x:v>565796113</x:v>
      </x:c>
      <x:c r="R166" s="9" t="n">
        <x:f>MOD(Q166*16807,2147483647)</x:f>
        <x:v>277682275</x:v>
      </x:c>
      <x:c r="S166" s="17" t="n">
        <x:f>IF('Control Room'!$B$5="Normal",'Control Room'!$B$7+'Control Room'!$D$7*SQRT(-2*LN(MAX(0.000000000001,Q166/2147483647)))*COS(2*PI()*R166/2147483647),'Control Room'!$B$8+('Control Room'!$D$8-'Control Room'!$B$8)*Q166/2147483647)</x:f>
        <x:v>1101.09213360063</x:v>
      </x:c>
      <x:c r="T166" s="17" t="n">
        <x:f>IF('Control Room'!$B$5="Normal",'Control Room'!$B$7,('Control Room'!$B$8+'Control Room'!$D$8)/2)+'Control Room'!$B$9*(T165-IF('Control Room'!$B$5="Normal",'Control Room'!$B$7,('Control Room'!$B$8+'Control Room'!$D$8)/2))+SQRT(1-'Control Room'!$B$9^2)*(S166-IF('Control Room'!$B$5="Normal",'Control Room'!$B$7,('Control Room'!$B$8+'Control Room'!$D$8)/2))</x:f>
        <x:v>1039.1067705869361</x:v>
      </x:c>
      <x:c r="U166" s="17" t="n">
        <x:f>IF(AND($A166&gt;='Control Room'!$A$13,$A166&lt;'Control Room'!$A$13+'Control Room'!$B$13,'Process'!BN2=1),1+('Control Room'!$C$13-1)*EXP(-0.5*(($A166-'Control Room'!$A$13-('Control Room'!$B$13-1)/2)/MAX(0.5,'Control Room'!$B$13/4))^2),1)*IF(AND($A166&gt;='Control Room'!$A$14,$A166&lt;'Control Room'!$A$14+'Control Room'!$B$14,'Process'!BN3=1),1+('Control Room'!$C$14-1)*EXP(-0.5*(($A166-'Control Room'!$A$14-('Control Room'!$B$14-1)/2)/MAX(0.5,'Control Room'!$B$14/4))^2),1)*IF(AND($A166&gt;='Control Room'!$A$15,$A166&lt;'Control Room'!$A$15+'Control Room'!$B$15,'Process'!BN4=1),1+('Control Room'!$C$15-1)*EXP(-0.5*(($A166-'Control Room'!$A$15-('Control Room'!$B$15-1)/2)/MAX(0.5,'Control Room'!$B$15/4))^2),1)*IF(AND($A166&gt;='Control Room'!$A$16,$A166&lt;'Control Room'!$A$16+'Control Room'!$B$16,'Process'!BN5=1),1+('Control Room'!$C$16-1)*EXP(-0.5*(($A166-'Control Room'!$A$16-('Control Room'!$B$16-1)/2)/MAX(0.5,'Control Room'!$B$16/4))^2),1)</x:f>
        <x:v>1</x:v>
      </x:c>
      <x:c r="V166" s="9" t="n">
        <x:f>MOD(W165*16807,2147483647)</x:f>
        <x:v>1373227786</x:v>
      </x:c>
      <x:c r="W166" s="9" t="n">
        <x:f>MOD(V166*16807,2147483647)</x:f>
        <x:v>832644993</x:v>
      </x:c>
      <x:c r="X166" s="17" t="n">
        <x:f>IF('Control Room'!$B$5="Normal",'Control Room'!$B$7+'Control Room'!$D$7*SQRT(-2*LN(MAX(0.000000000001,V166/2147483647)))*COS(2*PI()*W166/2147483647),'Control Room'!$B$8+('Control Room'!$D$8-'Control Room'!$B$8)*V166/2147483647)</x:f>
        <x:v>935.2025728842134</x:v>
      </x:c>
      <x:c r="Y166" s="17" t="n">
        <x:f>IF('Control Room'!$B$5="Normal",'Control Room'!$B$7,('Control Room'!$B$8+'Control Room'!$D$8)/2)+'Control Room'!$B$9*(Y165-IF('Control Room'!$B$5="Normal",'Control Room'!$B$7,('Control Room'!$B$8+'Control Room'!$D$8)/2))+SQRT(1-'Control Room'!$B$9^2)*(X166-IF('Control Room'!$B$5="Normal",'Control Room'!$B$7,('Control Room'!$B$8+'Control Room'!$D$8)/2))</x:f>
        <x:v>981.3435441635163</x:v>
      </x:c>
      <x:c r="Z166" s="17" t="n">
        <x:f>IF(AND($A166&gt;='Control Room'!$A$13,$A166&lt;'Control Room'!$A$13+'Control Room'!$B$13,'Process'!BO2=1),1+('Control Room'!$C$13-1)*EXP(-0.5*(($A166-'Control Room'!$A$13-('Control Room'!$B$13-1)/2)/MAX(0.5,'Control Room'!$B$13/4))^2),1)*IF(AND($A166&gt;='Control Room'!$A$14,$A166&lt;'Control Room'!$A$14+'Control Room'!$B$14,'Process'!BO3=1),1+('Control Room'!$C$14-1)*EXP(-0.5*(($A166-'Control Room'!$A$14-('Control Room'!$B$14-1)/2)/MAX(0.5,'Control Room'!$B$14/4))^2),1)*IF(AND($A166&gt;='Control Room'!$A$15,$A166&lt;'Control Room'!$A$15+'Control Room'!$B$15,'Process'!BO4=1),1+('Control Room'!$C$15-1)*EXP(-0.5*(($A166-'Control Room'!$A$15-('Control Room'!$B$15-1)/2)/MAX(0.5,'Control Room'!$B$15/4))^2),1)*IF(AND($A166&gt;='Control Room'!$A$16,$A166&lt;'Control Room'!$A$16+'Control Room'!$B$16,'Process'!BO5=1),1+('Control Room'!$C$16-1)*EXP(-0.5*(($A166-'Control Room'!$A$16-('Control Room'!$B$16-1)/2)/MAX(0.5,'Control Room'!$B$16/4))^2),1)</x:f>
        <x:v>1</x:v>
      </x:c>
      <x:c r="AA166" s="9" t="n">
        <x:f>MOD(AB165*16807,2147483647)</x:f>
        <x:v>33175812</x:v>
      </x:c>
      <x:c r="AB166" s="9" t="n">
        <x:f>MOD(AA166*16807,2147483647)</x:f>
        <x:v>1387607711</x:v>
      </x:c>
      <x:c r="AC166" s="17" t="n">
        <x:f>IF('Control Room'!$B$5="Normal",'Control Room'!$B$7+'Control Room'!$D$7*SQRT(-2*LN(MAX(0.000000000001,AA166/2147483647)))*COS(2*PI()*AB166/2147483647),'Control Room'!$B$8+('Control Room'!$D$8-'Control Room'!$B$8)*AA166/2147483647)</x:f>
        <x:v>842.1888451611227</x:v>
      </x:c>
      <x:c r="AD166" s="17" t="n">
        <x:f>IF('Control Room'!$B$5="Normal",'Control Room'!$B$7,('Control Room'!$B$8+'Control Room'!$D$8)/2)+'Control Room'!$B$9*(AD165-IF('Control Room'!$B$5="Normal",'Control Room'!$B$7,('Control Room'!$B$8+'Control Room'!$D$8)/2))+SQRT(1-'Control Room'!$B$9^2)*(AC166-IF('Control Room'!$B$5="Normal",'Control Room'!$B$7,('Control Room'!$B$8+'Control Room'!$D$8)/2))</x:f>
        <x:v>816.8549063838054</x:v>
      </x:c>
      <x:c r="AE166" s="17" t="n">
        <x:f>IF(AND($A166&gt;='Control Room'!$A$13,$A166&lt;'Control Room'!$A$13+'Control Room'!$B$13,'Process'!BP2=1),1+('Control Room'!$C$13-1)*EXP(-0.5*(($A166-'Control Room'!$A$13-('Control Room'!$B$13-1)/2)/MAX(0.5,'Control Room'!$B$13/4))^2),1)*IF(AND($A166&gt;='Control Room'!$A$14,$A166&lt;'Control Room'!$A$14+'Control Room'!$B$14,'Process'!BP3=1),1+('Control Room'!$C$14-1)*EXP(-0.5*(($A166-'Control Room'!$A$14-('Control Room'!$B$14-1)/2)/MAX(0.5,'Control Room'!$B$14/4))^2),1)*IF(AND($A166&gt;='Control Room'!$A$15,$A166&lt;'Control Room'!$A$15+'Control Room'!$B$15,'Process'!BP4=1),1+('Control Room'!$C$15-1)*EXP(-0.5*(($A166-'Control Room'!$A$15-('Control Room'!$B$15-1)/2)/MAX(0.5,'Control Room'!$B$15/4))^2),1)*IF(AND($A166&gt;='Control Room'!$A$16,$A166&lt;'Control Room'!$A$16+'Control Room'!$B$16,'Process'!BP5=1),1+('Control Room'!$C$16-1)*EXP(-0.5*(($A166-'Control Room'!$A$16-('Control Room'!$B$16-1)/2)/MAX(0.5,'Control Room'!$B$16/4))^2),1)</x:f>
        <x:v>1</x:v>
      </x:c>
      <x:c r="AF166" s="9" t="n">
        <x:f>MOD(AG165*16807,2147483647)</x:f>
        <x:v>840607485</x:v>
      </x:c>
      <x:c r="AG166" s="9" t="n">
        <x:f>MOD(AF166*16807,2147483647)</x:f>
        <x:v>1942570429</x:v>
      </x:c>
      <x:c r="AH166" s="17" t="n">
        <x:f>IF('Control Room'!$B$5="Normal",'Control Room'!$B$7+'Control Room'!$D$7*SQRT(-2*LN(MAX(0.000000000001,AF166/2147483647)))*COS(2*PI()*AG166/2147483647),'Control Room'!$B$8+('Control Room'!$D$8-'Control Room'!$B$8)*AF166/2147483647)</x:f>
        <x:v>1101.7673638828953</x:v>
      </x:c>
      <x:c r="AI166" s="17" t="n">
        <x:f>IF('Control Room'!$B$5="Normal",'Control Room'!$B$7,('Control Room'!$B$8+'Control Room'!$D$8)/2)+'Control Room'!$B$9*(AI165-IF('Control Room'!$B$5="Normal",'Control Room'!$B$7,('Control Room'!$B$8+'Control Room'!$D$8)/2))+SQRT(1-'Control Room'!$B$9^2)*(AH166-IF('Control Room'!$B$5="Normal",'Control Room'!$B$7,('Control Room'!$B$8+'Control Room'!$D$8)/2))</x:f>
        <x:v>964.8012206734008</x:v>
      </x:c>
      <x:c r="AJ166" s="17" t="n">
        <x:f>IF(AND($A166&gt;='Control Room'!$A$13,$A166&lt;'Control Room'!$A$13+'Control Room'!$B$13,'Process'!BQ2=1),1+('Control Room'!$C$13-1)*EXP(-0.5*(($A166-'Control Room'!$A$13-('Control Room'!$B$13-1)/2)/MAX(0.5,'Control Room'!$B$13/4))^2),1)*IF(AND($A166&gt;='Control Room'!$A$14,$A166&lt;'Control Room'!$A$14+'Control Room'!$B$14,'Process'!BQ3=1),1+('Control Room'!$C$14-1)*EXP(-0.5*(($A166-'Control Room'!$A$14-('Control Room'!$B$14-1)/2)/MAX(0.5,'Control Room'!$B$14/4))^2),1)*IF(AND($A166&gt;='Control Room'!$A$15,$A166&lt;'Control Room'!$A$15+'Control Room'!$B$15,'Process'!BQ4=1),1+('Control Room'!$C$15-1)*EXP(-0.5*(($A166-'Control Room'!$A$15-('Control Room'!$B$15-1)/2)/MAX(0.5,'Control Room'!$B$15/4))^2),1)*IF(AND($A166&gt;='Control Room'!$A$16,$A166&lt;'Control Room'!$A$16+'Control Room'!$B$16,'Process'!BQ5=1),1+('Control Room'!$C$16-1)*EXP(-0.5*(($A166-'Control Room'!$A$16-('Control Room'!$B$16-1)/2)/MAX(0.5,'Control Room'!$B$16/4))^2),1)</x:f>
        <x:v>1</x:v>
      </x:c>
      <x:c r="AK166" s="9" t="n">
        <x:f>MOD(AL165*16807,2147483647)</x:f>
        <x:v>1648039158</x:v>
      </x:c>
      <x:c r="AL166" s="9" t="n">
        <x:f>MOD(AK166*16807,2147483647)</x:f>
        <x:v>350049500</x:v>
      </x:c>
      <x:c r="AM166" s="17" t="n">
        <x:f>IF('Control Room'!$B$5="Normal",'Control Room'!$B$7+'Control Room'!$D$7*SQRT(-2*LN(MAX(0.000000000001,AK166/2147483647)))*COS(2*PI()*AL166/2147483647),'Control Room'!$B$8+('Control Room'!$D$8-'Control Room'!$B$8)*AK166/2147483647)</x:f>
        <x:v>1034.0387597141644</x:v>
      </x:c>
      <x:c r="AN166" s="17" t="n">
        <x:f>IF('Control Room'!$B$5="Normal",'Control Room'!$B$7,('Control Room'!$B$8+'Control Room'!$D$8)/2)+'Control Room'!$B$9*(AN165-IF('Control Room'!$B$5="Normal",'Control Room'!$B$7,('Control Room'!$B$8+'Control Room'!$D$8)/2))+SQRT(1-'Control Room'!$B$9^2)*(AM166-IF('Control Room'!$B$5="Normal",'Control Room'!$B$7,('Control Room'!$B$8+'Control Room'!$D$8)/2))</x:f>
        <x:v>1007.3429989280723</x:v>
      </x:c>
      <x:c r="AO166" s="17" t="n">
        <x:f>IF(AND($A166&gt;='Control Room'!$A$13,$A166&lt;'Control Room'!$A$13+'Control Room'!$B$13,'Process'!BR2=1),1+('Control Room'!$C$13-1)*EXP(-0.5*(($A166-'Control Room'!$A$13-('Control Room'!$B$13-1)/2)/MAX(0.5,'Control Room'!$B$13/4))^2),1)*IF(AND($A166&gt;='Control Room'!$A$14,$A166&lt;'Control Room'!$A$14+'Control Room'!$B$14,'Process'!BR3=1),1+('Control Room'!$C$14-1)*EXP(-0.5*(($A166-'Control Room'!$A$14-('Control Room'!$B$14-1)/2)/MAX(0.5,'Control Room'!$B$14/4))^2),1)*IF(AND($A166&gt;='Control Room'!$A$15,$A166&lt;'Control Room'!$A$15+'Control Room'!$B$15,'Process'!BR4=1),1+('Control Room'!$C$15-1)*EXP(-0.5*(($A166-'Control Room'!$A$15-('Control Room'!$B$15-1)/2)/MAX(0.5,'Control Room'!$B$15/4))^2),1)*IF(AND($A166&gt;='Control Room'!$A$16,$A166&lt;'Control Room'!$A$16+'Control Room'!$B$16,'Process'!BR5=1),1+('Control Room'!$C$16-1)*EXP(-0.5*(($A166-'Control Room'!$A$16-('Control Room'!$B$16-1)/2)/MAX(0.5,'Control Room'!$B$16/4))^2),1)</x:f>
        <x:v>1</x:v>
      </x:c>
      <x:c r="AP166" s="9" t="n">
        <x:f>MOD(AQ165*16807,2147483647)</x:f>
        <x:v>307987184</x:v>
      </x:c>
      <x:c r="AQ166" s="9" t="n">
        <x:f>MOD(AP166*16807,2147483647)</x:f>
        <x:v>905012218</x:v>
      </x:c>
      <x:c r="AR166" s="17" t="n">
        <x:f>IF('Control Room'!$B$5="Normal",'Control Room'!$B$7+'Control Room'!$D$7*SQRT(-2*LN(MAX(0.000000000001,AP166/2147483647)))*COS(2*PI()*AQ166/2147483647),'Control Room'!$B$8+('Control Room'!$D$8-'Control Room'!$B$8)*AP166/2147483647)</x:f>
        <x:v>843.8080063775811</x:v>
      </x:c>
      <x:c r="AS166" s="17" t="n">
        <x:f>IF('Control Room'!$B$5="Normal",'Control Room'!$B$7,('Control Room'!$B$8+'Control Room'!$D$8)/2)+'Control Room'!$B$9*(AS165-IF('Control Room'!$B$5="Normal",'Control Room'!$B$7,('Control Room'!$B$8+'Control Room'!$D$8)/2))+SQRT(1-'Control Room'!$B$9^2)*(AR166-IF('Control Room'!$B$5="Normal",'Control Room'!$B$7,('Control Room'!$B$8+'Control Room'!$D$8)/2))</x:f>
        <x:v>942.5360563799079</x:v>
      </x:c>
      <x:c r="AT166" s="17" t="n">
        <x:f>IF(AND($A166&gt;='Control Room'!$A$13,$A166&lt;'Control Room'!$A$13+'Control Room'!$B$13,'Process'!BS2=1),1+('Control Room'!$C$13-1)*EXP(-0.5*(($A166-'Control Room'!$A$13-('Control Room'!$B$13-1)/2)/MAX(0.5,'Control Room'!$B$13/4))^2),1)*IF(AND($A166&gt;='Control Room'!$A$14,$A166&lt;'Control Room'!$A$14+'Control Room'!$B$14,'Process'!BS3=1),1+('Control Room'!$C$14-1)*EXP(-0.5*(($A166-'Control Room'!$A$14-('Control Room'!$B$14-1)/2)/MAX(0.5,'Control Room'!$B$14/4))^2),1)*IF(AND($A166&gt;='Control Room'!$A$15,$A166&lt;'Control Room'!$A$15+'Control Room'!$B$15,'Process'!BS4=1),1+('Control Room'!$C$15-1)*EXP(-0.5*(($A166-'Control Room'!$A$15-('Control Room'!$B$15-1)/2)/MAX(0.5,'Control Room'!$B$15/4))^2),1)*IF(AND($A166&gt;='Control Room'!$A$16,$A166&lt;'Control Room'!$A$16+'Control Room'!$B$16,'Process'!BS5=1),1+('Control Room'!$C$16-1)*EXP(-0.5*(($A166-'Control Room'!$A$16-('Control Room'!$B$16-1)/2)/MAX(0.5,'Control Room'!$B$16/4))^2),1)</x:f>
        <x:v>1</x:v>
      </x:c>
      <x:c r="AU166" s="9" t="n">
        <x:f>MOD(AV165*16807,2147483647)</x:f>
        <x:v>1115418857</x:v>
      </x:c>
      <x:c r="AV166" s="9" t="n">
        <x:f>MOD(AU166*16807,2147483647)</x:f>
        <x:v>1459974936</x:v>
      </x:c>
      <x:c r="AW166" s="17" t="n">
        <x:f>IF('Control Room'!$B$5="Normal",'Control Room'!$B$7+'Control Room'!$D$7*SQRT(-2*LN(MAX(0.000000000001,AU166/2147483647)))*COS(2*PI()*AV166/2147483647),'Control Room'!$B$8+('Control Room'!$D$8-'Control Room'!$B$8)*AU166/2147483647)</x:f>
        <x:v>956.0527639210645</x:v>
      </x:c>
      <x:c r="AX166" s="17" t="n">
        <x:f>IF('Control Room'!$B$5="Normal",'Control Room'!$B$7,('Control Room'!$B$8+'Control Room'!$D$8)/2)+'Control Room'!$B$9*(AX165-IF('Control Room'!$B$5="Normal",'Control Room'!$B$7,('Control Room'!$B$8+'Control Room'!$D$8)/2))+SQRT(1-'Control Room'!$B$9^2)*(AW166-IF('Control Room'!$B$5="Normal",'Control Room'!$B$7,('Control Room'!$B$8+'Control Room'!$D$8)/2))</x:f>
        <x:v>967.0162427311087</x:v>
      </x:c>
      <x:c r="AY166" s="17" t="n">
        <x:f>IF(AND($A166&gt;='Control Room'!$A$13,$A166&lt;'Control Room'!$A$13+'Control Room'!$B$13,'Process'!BT2=1),1+('Control Room'!$C$13-1)*EXP(-0.5*(($A166-'Control Room'!$A$13-('Control Room'!$B$13-1)/2)/MAX(0.5,'Control Room'!$B$13/4))^2),1)*IF(AND($A166&gt;='Control Room'!$A$14,$A166&lt;'Control Room'!$A$14+'Control Room'!$B$14,'Process'!BT3=1),1+('Control Room'!$C$14-1)*EXP(-0.5*(($A166-'Control Room'!$A$14-('Control Room'!$B$14-1)/2)/MAX(0.5,'Control Room'!$B$14/4))^2),1)*IF(AND($A166&gt;='Control Room'!$A$15,$A166&lt;'Control Room'!$A$15+'Control Room'!$B$15,'Process'!BT4=1),1+('Control Room'!$C$15-1)*EXP(-0.5*(($A166-'Control Room'!$A$15-('Control Room'!$B$15-1)/2)/MAX(0.5,'Control Room'!$B$15/4))^2),1)*IF(AND($A166&gt;='Control Room'!$A$16,$A166&lt;'Control Room'!$A$16+'Control Room'!$B$16,'Process'!BT5=1),1+('Control Room'!$C$16-1)*EXP(-0.5*(($A166-'Control Room'!$A$16-('Control Room'!$B$16-1)/2)/MAX(0.5,'Control Room'!$B$16/4))^2),1)</x:f>
        <x:v>1</x:v>
      </x:c>
      <x:c r="AZ166" s="9" t="n">
        <x:f>MOD(BA165*16807,2147483647)</x:f>
        <x:v>1922850530</x:v>
      </x:c>
      <x:c r="BA166" s="9" t="n">
        <x:f>MOD(AZ166*16807,2147483647)</x:f>
        <x:v>2014937654</x:v>
      </x:c>
      <x:c r="BB166" s="17" t="n">
        <x:f>IF('Control Room'!$B$5="Normal",'Control Room'!$B$7+'Control Room'!$D$7*SQRT(-2*LN(MAX(0.000000000001,AZ166/2147483647)))*COS(2*PI()*BA166/2147483647),'Control Room'!$B$8+('Control Room'!$D$8-'Control Room'!$B$8)*AZ166/2147483647)</x:f>
        <x:v>1039.1655530317594</x:v>
      </x:c>
      <x:c r="BC166" s="17" t="n">
        <x:f>IF('Control Room'!$B$5="Normal",'Control Room'!$B$7,('Control Room'!$B$8+'Control Room'!$D$8)/2)+'Control Room'!$B$9*(BC165-IF('Control Room'!$B$5="Normal",'Control Room'!$B$7,('Control Room'!$B$8+'Control Room'!$D$8)/2))+SQRT(1-'Control Room'!$B$9^2)*(BB166-IF('Control Room'!$B$5="Normal",'Control Room'!$B$7,('Control Room'!$B$8+'Control Room'!$D$8)/2))</x:f>
        <x:v>1083.0640282662575</x:v>
      </x:c>
      <x:c r="BD166" s="17" t="n">
        <x:f>IF(AND($A166&gt;='Control Room'!$A$13,$A166&lt;'Control Room'!$A$13+'Control Room'!$B$13,'Process'!BU2=1),1+('Control Room'!$C$13-1)*EXP(-0.5*(($A166-'Control Room'!$A$13-('Control Room'!$B$13-1)/2)/MAX(0.5,'Control Room'!$B$13/4))^2),1)*IF(AND($A166&gt;='Control Room'!$A$14,$A166&lt;'Control Room'!$A$14+'Control Room'!$B$14,'Process'!BU3=1),1+('Control Room'!$C$14-1)*EXP(-0.5*(($A166-'Control Room'!$A$14-('Control Room'!$B$14-1)/2)/MAX(0.5,'Control Room'!$B$14/4))^2),1)*IF(AND($A166&gt;='Control Room'!$A$15,$A166&lt;'Control Room'!$A$15+'Control Room'!$B$15,'Process'!BU4=1),1+('Control Room'!$C$15-1)*EXP(-0.5*(($A166-'Control Room'!$A$15-('Control Room'!$B$15-1)/2)/MAX(0.5,'Control Room'!$B$15/4))^2),1)*IF(AND($A166&gt;='Control Room'!$A$16,$A166&lt;'Control Room'!$A$16+'Control Room'!$B$16,'Process'!BU5=1),1+('Control Room'!$C$16-1)*EXP(-0.5*(($A166-'Control Room'!$A$16-('Control Room'!$B$16-1)/2)/MAX(0.5,'Control Room'!$B$16/4))^2),1)</x:f>
        <x:v>1</x:v>
      </x:c>
      <x:c r="BE166" s="9" t="n">
        <x:f>MOD(BF165*16807,2147483647)</x:f>
        <x:v>582798556</x:v>
      </x:c>
      <x:c r="BF166" s="9" t="n">
        <x:f>MOD(BE166*16807,2147483647)</x:f>
        <x:v>422416725</x:v>
      </x:c>
      <x:c r="BG166" s="17" t="n">
        <x:f>IF('Control Room'!$B$5="Normal",'Control Room'!$B$7+'Control Room'!$D$7*SQRT(-2*LN(MAX(0.000000000001,BE166/2147483647)))*COS(2*PI()*BF166/2147483647),'Control Room'!$B$8+('Control Room'!$D$8-'Control Room'!$B$8)*BE166/2147483647)</x:f>
        <x:v>1047.7711234192273</x:v>
      </x:c>
      <x:c r="BH166" s="17" t="n">
        <x:f>IF('Control Room'!$B$5="Normal",'Control Room'!$B$7,('Control Room'!$B$8+'Control Room'!$D$8)/2)+'Control Room'!$B$9*(BH165-IF('Control Room'!$B$5="Normal",'Control Room'!$B$7,('Control Room'!$B$8+'Control Room'!$D$8)/2))+SQRT(1-'Control Room'!$B$9^2)*(BG166-IF('Control Room'!$B$5="Normal",'Control Room'!$B$7,('Control Room'!$B$8+'Control Room'!$D$8)/2))</x:f>
        <x:v>1060.196882649519</x:v>
      </x:c>
      <x:c r="BI166" s="17" t="n">
        <x:f>IF(AND($A166&gt;='Control Room'!$A$13,$A166&lt;'Control Room'!$A$13+'Control Room'!$B$13,'Process'!BV2=1),1+('Control Room'!$C$13-1)*EXP(-0.5*(($A166-'Control Room'!$A$13-('Control Room'!$B$13-1)/2)/MAX(0.5,'Control Room'!$B$13/4))^2),1)*IF(AND($A166&gt;='Control Room'!$A$14,$A166&lt;'Control Room'!$A$14+'Control Room'!$B$14,'Process'!BV3=1),1+('Control Room'!$C$14-1)*EXP(-0.5*(($A166-'Control Room'!$A$14-('Control Room'!$B$14-1)/2)/MAX(0.5,'Control Room'!$B$14/4))^2),1)*IF(AND($A166&gt;='Control Room'!$A$15,$A166&lt;'Control Room'!$A$15+'Control Room'!$B$15,'Process'!BV4=1),1+('Control Room'!$C$15-1)*EXP(-0.5*(($A166-'Control Room'!$A$15-('Control Room'!$B$15-1)/2)/MAX(0.5,'Control Room'!$B$15/4))^2),1)*IF(AND($A166&gt;='Control Room'!$A$16,$A166&lt;'Control Room'!$A$16+'Control Room'!$B$16,'Process'!BV5=1),1+('Control Room'!$C$16-1)*EXP(-0.5*(($A166-'Control Room'!$A$16-('Control Room'!$B$16-1)/2)/MAX(0.5,'Control Room'!$B$16/4))^2),1)</x:f>
        <x:v>1</x:v>
      </x:c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Z166" t="str">
        <x:f>IF('Data'!A166="","",TEXT('Data'!A166,"mm-dd"))</x:f>
      </x:c>
    </x:row>
    <x:row r="167" ht="21" customHeight="1">
      <x:c r="A167" s="15" t="n">
        <x:f>'Control Room'!$B$1+165</x:f>
        <x:v>73156</x:v>
      </x:c>
      <x:c r="B167" s="9" t="n">
        <x:f>MOD(C166*16807,2147483647)</x:f>
        <x:v>460747126</x:v>
      </x:c>
      <x:c r="C167" s="9" t="n">
        <x:f>MOD(B167*16807,2147483647)</x:f>
        <x:v>2098399247</x:v>
      </x:c>
      <x:c r="D167" s="17" t="n">
        <x:f>IF('Control Room'!$B$5="Normal",'Control Room'!$B$7+'Control Room'!$D$7*SQRT(-2*LN(MAX(0.000000000001,B167/2147483647)))*COS(2*PI()*C167/2147483647),'Control Room'!$B$8+('Control Room'!$D$8-'Control Room'!$B$8)*B167/2147483647)</x:f>
        <x:v>1156.2828572796236</x:v>
      </x:c>
      <x:c r="E167" s="17" t="n">
        <x:f>IF('Control Room'!$B$5="Normal",'Control Room'!$B$7,('Control Room'!$B$8+'Control Room'!$D$8)/2)+'Control Room'!$B$9*(E166-IF('Control Room'!$B$5="Normal",'Control Room'!$B$7,('Control Room'!$B$8+'Control Room'!$D$8)/2))+SQRT(1-'Control Room'!$B$9^2)*(D167-IF('Control Room'!$B$5="Normal",'Control Room'!$B$7,('Control Room'!$B$8+'Control Room'!$D$8)/2))</x:f>
        <x:v>1028.139014390766</x:v>
      </x:c>
      <x:c r="F167" s="17" t="n">
        <x:f>IF(AND($A167&gt;='Control Room'!$A$13,$A167&lt;'Control Room'!$A$13+'Control Room'!$B$13,'Process'!BK2=1),1+('Control Room'!$C$13-1)*EXP(-0.5*(($A167-'Control Room'!$A$13-('Control Room'!$B$13-1)/2)/MAX(0.5,'Control Room'!$B$13/4))^2),1)*IF(AND($A167&gt;='Control Room'!$A$14,$A167&lt;'Control Room'!$A$14+'Control Room'!$B$14,'Process'!BK3=1),1+('Control Room'!$C$14-1)*EXP(-0.5*(($A167-'Control Room'!$A$14-('Control Room'!$B$14-1)/2)/MAX(0.5,'Control Room'!$B$14/4))^2),1)*IF(AND($A167&gt;='Control Room'!$A$15,$A167&lt;'Control Room'!$A$15+'Control Room'!$B$15,'Process'!BK4=1),1+('Control Room'!$C$15-1)*EXP(-0.5*(($A167-'Control Room'!$A$15-('Control Room'!$B$15-1)/2)/MAX(0.5,'Control Room'!$B$15/4))^2),1)*IF(AND($A167&gt;='Control Room'!$A$16,$A167&lt;'Control Room'!$A$16+'Control Room'!$B$16,'Process'!BK5=1),1+('Control Room'!$C$16-1)*EXP(-0.5*(($A167-'Control Room'!$A$16-('Control Room'!$B$16-1)/2)/MAX(0.5,'Control Room'!$B$16/4))^2),1)</x:f>
        <x:v>1</x:v>
      </x:c>
      <x:c r="G167" s="9" t="n">
        <x:f>MOD(H166*16807,2147483647)</x:f>
        <x:v>1197669631</x:v>
      </x:c>
      <x:c r="H167" s="9" t="n">
        <x:f>MOD(G167*16807,2147483647)</x:f>
        <x:v>869264886</x:v>
      </x:c>
      <x:c r="I167" s="17" t="n">
        <x:f>IF('Control Room'!$B$5="Normal",'Control Room'!$B$7+'Control Room'!$D$7*SQRT(-2*LN(MAX(0.000000000001,G167/2147483647)))*COS(2*PI()*H167/2147483647),'Control Room'!$B$8+('Control Room'!$D$8-'Control Room'!$B$8)*G167/2147483647)</x:f>
        <x:v>919.6328330963688</x:v>
      </x:c>
      <x:c r="J167" s="17" t="n">
        <x:f>IF('Control Room'!$B$5="Normal",'Control Room'!$B$7,('Control Room'!$B$8+'Control Room'!$D$8)/2)+'Control Room'!$B$9*(J166-IF('Control Room'!$B$5="Normal",'Control Room'!$B$7,('Control Room'!$B$8+'Control Room'!$D$8)/2))+SQRT(1-'Control Room'!$B$9^2)*(I167-IF('Control Room'!$B$5="Normal",'Control Room'!$B$7,('Control Room'!$B$8+'Control Room'!$D$8)/2))</x:f>
        <x:v>982.1366185918874</x:v>
      </x:c>
      <x:c r="K167" s="17" t="n">
        <x:f>IF(AND($A167&gt;='Control Room'!$A$13,$A167&lt;'Control Room'!$A$13+'Control Room'!$B$13,'Process'!BL2=1),1+('Control Room'!$C$13-1)*EXP(-0.5*(($A167-'Control Room'!$A$13-('Control Room'!$B$13-1)/2)/MAX(0.5,'Control Room'!$B$13/4))^2),1)*IF(AND($A167&gt;='Control Room'!$A$14,$A167&lt;'Control Room'!$A$14+'Control Room'!$B$14,'Process'!BL3=1),1+('Control Room'!$C$14-1)*EXP(-0.5*(($A167-'Control Room'!$A$14-('Control Room'!$B$14-1)/2)/MAX(0.5,'Control Room'!$B$14/4))^2),1)*IF(AND($A167&gt;='Control Room'!$A$15,$A167&lt;'Control Room'!$A$15+'Control Room'!$B$15,'Process'!BL4=1),1+('Control Room'!$C$15-1)*EXP(-0.5*(($A167-'Control Room'!$A$15-('Control Room'!$B$15-1)/2)/MAX(0.5,'Control Room'!$B$15/4))^2),1)*IF(AND($A167&gt;='Control Room'!$A$16,$A167&lt;'Control Room'!$A$16+'Control Room'!$B$16,'Process'!BL5=1),1+('Control Room'!$C$16-1)*EXP(-0.5*(($A167-'Control Room'!$A$16-('Control Room'!$B$16-1)/2)/MAX(0.5,'Control Room'!$B$16/4))^2),1)</x:f>
        <x:v>1</x:v>
      </x:c>
      <x:c r="L167" s="9" t="n">
        <x:f>MOD(M166*16807,2147483647)</x:f>
        <x:v>1934592136</x:v>
      </x:c>
      <x:c r="M167" s="9" t="n">
        <x:f>MOD(L167*16807,2147483647)</x:f>
        <x:v>1787614172</x:v>
      </x:c>
      <x:c r="N167" s="17" t="n">
        <x:f>IF('Control Room'!$B$5="Normal",'Control Room'!$B$7+'Control Room'!$D$7*SQRT(-2*LN(MAX(0.000000000001,L167/2147483647)))*COS(2*PI()*M167/2147483647),'Control Room'!$B$8+('Control Room'!$D$8-'Control Room'!$B$8)*L167/2147483647)</x:f>
        <x:v>1020.3584988176727</x:v>
      </x:c>
      <x:c r="O167" s="17" t="n">
        <x:f>IF('Control Room'!$B$5="Normal",'Control Room'!$B$7,('Control Room'!$B$8+'Control Room'!$D$8)/2)+'Control Room'!$B$9*(O166-IF('Control Room'!$B$5="Normal",'Control Room'!$B$7,('Control Room'!$B$8+'Control Room'!$D$8)/2))+SQRT(1-'Control Room'!$B$9^2)*(N167-IF('Control Room'!$B$5="Normal",'Control Room'!$B$7,('Control Room'!$B$8+'Control Room'!$D$8)/2))</x:f>
        <x:v>1123.687863413528</x:v>
      </x:c>
      <x:c r="P167" s="17" t="n">
        <x:f>IF(AND($A167&gt;='Control Room'!$A$13,$A167&lt;'Control Room'!$A$13+'Control Room'!$B$13,'Process'!BM2=1),1+('Control Room'!$C$13-1)*EXP(-0.5*(($A167-'Control Room'!$A$13-('Control Room'!$B$13-1)/2)/MAX(0.5,'Control Room'!$B$13/4))^2),1)*IF(AND($A167&gt;='Control Room'!$A$14,$A167&lt;'Control Room'!$A$14+'Control Room'!$B$14,'Process'!BM3=1),1+('Control Room'!$C$14-1)*EXP(-0.5*(($A167-'Control Room'!$A$14-('Control Room'!$B$14-1)/2)/MAX(0.5,'Control Room'!$B$14/4))^2),1)*IF(AND($A167&gt;='Control Room'!$A$15,$A167&lt;'Control Room'!$A$15+'Control Room'!$B$15,'Process'!BM4=1),1+('Control Room'!$C$15-1)*EXP(-0.5*(($A167-'Control Room'!$A$15-('Control Room'!$B$15-1)/2)/MAX(0.5,'Control Room'!$B$15/4))^2),1)*IF(AND($A167&gt;='Control Room'!$A$16,$A167&lt;'Control Room'!$A$16+'Control Room'!$B$16,'Process'!BM5=1),1+('Control Room'!$C$16-1)*EXP(-0.5*(($A167-'Control Room'!$A$16-('Control Room'!$B$16-1)/2)/MAX(0.5,'Control Room'!$B$16/4))^2),1)</x:f>
        <x:v>1</x:v>
      </x:c>
      <x:c r="Q167" s="9" t="n">
        <x:f>MOD(R166*16807,2147483647)</x:f>
        <x:v>524030994</x:v>
      </x:c>
      <x:c r="R167" s="9" t="n">
        <x:f>MOD(Q167*16807,2147483647)</x:f>
        <x:v>558479811</x:v>
      </x:c>
      <x:c r="S167" s="17" t="n">
        <x:f>IF('Control Room'!$B$5="Normal",'Control Room'!$B$7+'Control Room'!$D$7*SQRT(-2*LN(MAX(0.000000000001,Q167/2147483647)))*COS(2*PI()*R167/2147483647),'Control Room'!$B$8+('Control Room'!$D$8-'Control Room'!$B$8)*Q167/2147483647)</x:f>
        <x:v>990.4492491849354</x:v>
      </x:c>
      <x:c r="T167" s="17" t="n">
        <x:f>IF('Control Room'!$B$5="Normal",'Control Room'!$B$7,('Control Room'!$B$8+'Control Room'!$D$8)/2)+'Control Room'!$B$9*(T166-IF('Control Room'!$B$5="Normal",'Control Room'!$B$7,('Control Room'!$B$8+'Control Room'!$D$8)/2))+SQRT(1-'Control Room'!$B$9^2)*(S167-IF('Control Room'!$B$5="Normal",'Control Room'!$B$7,('Control Room'!$B$8+'Control Room'!$D$8)/2))</x:f>
        <x:v>1024.526616855508</x:v>
      </x:c>
      <x:c r="U167" s="17" t="n">
        <x:f>IF(AND($A167&gt;='Control Room'!$A$13,$A167&lt;'Control Room'!$A$13+'Control Room'!$B$13,'Process'!BN2=1),1+('Control Room'!$C$13-1)*EXP(-0.5*(($A167-'Control Room'!$A$13-('Control Room'!$B$13-1)/2)/MAX(0.5,'Control Room'!$B$13/4))^2),1)*IF(AND($A167&gt;='Control Room'!$A$14,$A167&lt;'Control Room'!$A$14+'Control Room'!$B$14,'Process'!BN3=1),1+('Control Room'!$C$14-1)*EXP(-0.5*(($A167-'Control Room'!$A$14-('Control Room'!$B$14-1)/2)/MAX(0.5,'Control Room'!$B$14/4))^2),1)*IF(AND($A167&gt;='Control Room'!$A$15,$A167&lt;'Control Room'!$A$15+'Control Room'!$B$15,'Process'!BN4=1),1+('Control Room'!$C$15-1)*EXP(-0.5*(($A167-'Control Room'!$A$15-('Control Room'!$B$15-1)/2)/MAX(0.5,'Control Room'!$B$15/4))^2),1)*IF(AND($A167&gt;='Control Room'!$A$16,$A167&lt;'Control Room'!$A$16+'Control Room'!$B$16,'Process'!BN5=1),1+('Control Room'!$C$16-1)*EXP(-0.5*(($A167-'Control Room'!$A$16-('Control Room'!$B$16-1)/2)/MAX(0.5,'Control Room'!$B$16/4))^2),1)</x:f>
        <x:v>1</x:v>
      </x:c>
      <x:c r="V167" s="9" t="n">
        <x:f>MOD(W166*16807,2147483647)</x:f>
        <x:v>1260953499</x:v>
      </x:c>
      <x:c r="W167" s="9" t="n">
        <x:f>MOD(V167*16807,2147483647)</x:f>
        <x:v>1476829097</x:v>
      </x:c>
      <x:c r="X167" s="17" t="n">
        <x:f>IF('Control Room'!$B$5="Normal",'Control Room'!$B$7+'Control Room'!$D$7*SQRT(-2*LN(MAX(0.000000000001,V167/2147483647)))*COS(2*PI()*W167/2147483647),'Control Room'!$B$8+('Control Room'!$D$8-'Control Room'!$B$8)*V167/2147483647)</x:f>
        <x:v>964.5681521086287</x:v>
      </x:c>
      <x:c r="Y167" s="17" t="n">
        <x:f>IF('Control Room'!$B$5="Normal",'Control Room'!$B$7,('Control Room'!$B$8+'Control Room'!$D$8)/2)+'Control Room'!$B$9*(Y166-IF('Control Room'!$B$5="Normal",'Control Room'!$B$7,('Control Room'!$B$8+'Control Room'!$D$8)/2))+SQRT(1-'Control Room'!$B$9^2)*(X167-IF('Control Room'!$B$5="Normal",'Control Room'!$B$7,('Control Room'!$B$8+'Control Room'!$D$8)/2))</x:f>
        <x:v>963.2754398979807</x:v>
      </x:c>
      <x:c r="Z167" s="17" t="n">
        <x:f>IF(AND($A167&gt;='Control Room'!$A$13,$A167&lt;'Control Room'!$A$13+'Control Room'!$B$13,'Process'!BO2=1),1+('Control Room'!$C$13-1)*EXP(-0.5*(($A167-'Control Room'!$A$13-('Control Room'!$B$13-1)/2)/MAX(0.5,'Control Room'!$B$13/4))^2),1)*IF(AND($A167&gt;='Control Room'!$A$14,$A167&lt;'Control Room'!$A$14+'Control Room'!$B$14,'Process'!BO3=1),1+('Control Room'!$C$14-1)*EXP(-0.5*(($A167-'Control Room'!$A$14-('Control Room'!$B$14-1)/2)/MAX(0.5,'Control Room'!$B$14/4))^2),1)*IF(AND($A167&gt;='Control Room'!$A$15,$A167&lt;'Control Room'!$A$15+'Control Room'!$B$15,'Process'!BO4=1),1+('Control Room'!$C$15-1)*EXP(-0.5*(($A167-'Control Room'!$A$15-('Control Room'!$B$15-1)/2)/MAX(0.5,'Control Room'!$B$15/4))^2),1)*IF(AND($A167&gt;='Control Room'!$A$16,$A167&lt;'Control Room'!$A$16+'Control Room'!$B$16,'Process'!BO5=1),1+('Control Room'!$C$16-1)*EXP(-0.5*(($A167-'Control Room'!$A$16-('Control Room'!$B$16-1)/2)/MAX(0.5,'Control Room'!$B$16/4))^2),1)</x:f>
        <x:v>1</x:v>
      </x:c>
      <x:c r="AA167" s="9" t="n">
        <x:f>MOD(AB166*16807,2147483647)</x:f>
        <x:v>1997876004</x:v>
      </x:c>
      <x:c r="AB167" s="9" t="n">
        <x:f>MOD(AA167*16807,2147483647)</x:f>
        <x:v>247694736</x:v>
      </x:c>
      <x:c r="AC167" s="17" t="n">
        <x:f>IF('Control Room'!$B$5="Normal",'Control Room'!$B$7+'Control Room'!$D$7*SQRT(-2*LN(MAX(0.000000000001,AA167/2147483647)))*COS(2*PI()*AB167/2147483647),'Control Room'!$B$8+('Control Room'!$D$8-'Control Room'!$B$8)*AA167/2147483647)</x:f>
        <x:v>1025.6073134550866</x:v>
      </x:c>
      <x:c r="AD167" s="17" t="n">
        <x:f>IF('Control Room'!$B$5="Normal",'Control Room'!$B$7,('Control Room'!$B$8+'Control Room'!$D$8)/2)+'Control Room'!$B$9*(AD166-IF('Control Room'!$B$5="Normal",'Control Room'!$B$7,('Control Room'!$B$8+'Control Room'!$D$8)/2))+SQRT(1-'Control Room'!$B$9^2)*(AC167-IF('Control Room'!$B$5="Normal",'Control Room'!$B$7,('Control Room'!$B$8+'Control Room'!$D$8)/2))</x:f>
        <x:v>873.171359145231</x:v>
      </x:c>
      <x:c r="AE167" s="17" t="n">
        <x:f>IF(AND($A167&gt;='Control Room'!$A$13,$A167&lt;'Control Room'!$A$13+'Control Room'!$B$13,'Process'!BP2=1),1+('Control Room'!$C$13-1)*EXP(-0.5*(($A167-'Control Room'!$A$13-('Control Room'!$B$13-1)/2)/MAX(0.5,'Control Room'!$B$13/4))^2),1)*IF(AND($A167&gt;='Control Room'!$A$14,$A167&lt;'Control Room'!$A$14+'Control Room'!$B$14,'Process'!BP3=1),1+('Control Room'!$C$14-1)*EXP(-0.5*(($A167-'Control Room'!$A$14-('Control Room'!$B$14-1)/2)/MAX(0.5,'Control Room'!$B$14/4))^2),1)*IF(AND($A167&gt;='Control Room'!$A$15,$A167&lt;'Control Room'!$A$15+'Control Room'!$B$15,'Process'!BP4=1),1+('Control Room'!$C$15-1)*EXP(-0.5*(($A167-'Control Room'!$A$15-('Control Room'!$B$15-1)/2)/MAX(0.5,'Control Room'!$B$15/4))^2),1)*IF(AND($A167&gt;='Control Room'!$A$16,$A167&lt;'Control Room'!$A$16+'Control Room'!$B$16,'Process'!BP5=1),1+('Control Room'!$C$16-1)*EXP(-0.5*(($A167-'Control Room'!$A$16-('Control Room'!$B$16-1)/2)/MAX(0.5,'Control Room'!$B$16/4))^2),1)</x:f>
        <x:v>1</x:v>
      </x:c>
      <x:c r="AF167" s="9" t="n">
        <x:f>MOD(AG166*16807,2147483647)</x:f>
        <x:v>587314862</x:v>
      </x:c>
      <x:c r="AG167" s="9" t="n">
        <x:f>MOD(AF167*16807,2147483647)</x:f>
        <x:v>1166044022</x:v>
      </x:c>
      <x:c r="AH167" s="17" t="n">
        <x:f>IF('Control Room'!$B$5="Normal",'Control Room'!$B$7+'Control Room'!$D$7*SQRT(-2*LN(MAX(0.000000000001,AF167/2147483647)))*COS(2*PI()*AG167/2147483647),'Control Room'!$B$8+('Control Room'!$D$8-'Control Room'!$B$8)*AF167/2147483647)</x:f>
        <x:v>860.3282041740255</x:v>
      </x:c>
      <x:c r="AI167" s="17" t="n">
        <x:f>IF('Control Room'!$B$5="Normal",'Control Room'!$B$7,('Control Room'!$B$8+'Control Room'!$D$8)/2)+'Control Room'!$B$9*(AI166-IF('Control Room'!$B$5="Normal",'Control Room'!$B$7,('Control Room'!$B$8+'Control Room'!$D$8)/2))+SQRT(1-'Control Room'!$B$9^2)*(AH167-IF('Control Room'!$B$5="Normal",'Control Room'!$B$7,('Control Room'!$B$8+'Control Room'!$D$8)/2))</x:f>
        <x:v>885.1412036296225</x:v>
      </x:c>
      <x:c r="AJ167" s="17" t="n">
        <x:f>IF(AND($A167&gt;='Control Room'!$A$13,$A167&lt;'Control Room'!$A$13+'Control Room'!$B$13,'Process'!BQ2=1),1+('Control Room'!$C$13-1)*EXP(-0.5*(($A167-'Control Room'!$A$13-('Control Room'!$B$13-1)/2)/MAX(0.5,'Control Room'!$B$13/4))^2),1)*IF(AND($A167&gt;='Control Room'!$A$14,$A167&lt;'Control Room'!$A$14+'Control Room'!$B$14,'Process'!BQ3=1),1+('Control Room'!$C$14-1)*EXP(-0.5*(($A167-'Control Room'!$A$14-('Control Room'!$B$14-1)/2)/MAX(0.5,'Control Room'!$B$14/4))^2),1)*IF(AND($A167&gt;='Control Room'!$A$15,$A167&lt;'Control Room'!$A$15+'Control Room'!$B$15,'Process'!BQ4=1),1+('Control Room'!$C$15-1)*EXP(-0.5*(($A167-'Control Room'!$A$15-('Control Room'!$B$15-1)/2)/MAX(0.5,'Control Room'!$B$15/4))^2),1)*IF(AND($A167&gt;='Control Room'!$A$16,$A167&lt;'Control Room'!$A$16+'Control Room'!$B$16,'Process'!BQ5=1),1+('Control Room'!$C$16-1)*EXP(-0.5*(($A167-'Control Room'!$A$16-('Control Room'!$B$16-1)/2)/MAX(0.5,'Control Room'!$B$16/4))^2),1)</x:f>
        <x:v>1</x:v>
      </x:c>
      <x:c r="AK167" s="9" t="n">
        <x:f>MOD(AL166*16807,2147483647)</x:f>
        <x:v>1324237367</x:v>
      </x:c>
      <x:c r="AL167" s="9" t="n">
        <x:f>MOD(AK167*16807,2147483647)</x:f>
        <x:v>2084393308</x:v>
      </x:c>
      <x:c r="AM167" s="17" t="n">
        <x:f>IF('Control Room'!$B$5="Normal",'Control Room'!$B$7+'Control Room'!$D$7*SQRT(-2*LN(MAX(0.000000000001,AK167/2147483647)))*COS(2*PI()*AL167/2147483647),'Control Room'!$B$8+('Control Room'!$D$8-'Control Room'!$B$8)*AK167/2147483647)</x:f>
        <x:v>1086.9953967581553</x:v>
      </x:c>
      <x:c r="AN167" s="17" t="n">
        <x:f>IF('Control Room'!$B$5="Normal",'Control Room'!$B$7,('Control Room'!$B$8+'Control Room'!$D$8)/2)+'Control Room'!$B$9*(AN166-IF('Control Room'!$B$5="Normal",'Control Room'!$B$7,('Control Room'!$B$8+'Control Room'!$D$8)/2))+SQRT(1-'Control Room'!$B$9^2)*(AM167-IF('Control Room'!$B$5="Normal",'Control Room'!$B$7,('Control Room'!$B$8+'Control Room'!$D$8)/2))</x:f>
        <x:v>1060.1674762575763</x:v>
      </x:c>
      <x:c r="AO167" s="17" t="n">
        <x:f>IF(AND($A167&gt;='Control Room'!$A$13,$A167&lt;'Control Room'!$A$13+'Control Room'!$B$13,'Process'!BR2=1),1+('Control Room'!$C$13-1)*EXP(-0.5*(($A167-'Control Room'!$A$13-('Control Room'!$B$13-1)/2)/MAX(0.5,'Control Room'!$B$13/4))^2),1)*IF(AND($A167&gt;='Control Room'!$A$14,$A167&lt;'Control Room'!$A$14+'Control Room'!$B$14,'Process'!BR3=1),1+('Control Room'!$C$14-1)*EXP(-0.5*(($A167-'Control Room'!$A$14-('Control Room'!$B$14-1)/2)/MAX(0.5,'Control Room'!$B$14/4))^2),1)*IF(AND($A167&gt;='Control Room'!$A$15,$A167&lt;'Control Room'!$A$15+'Control Room'!$B$15,'Process'!BR4=1),1+('Control Room'!$C$15-1)*EXP(-0.5*(($A167-'Control Room'!$A$15-('Control Room'!$B$15-1)/2)/MAX(0.5,'Control Room'!$B$15/4))^2),1)*IF(AND($A167&gt;='Control Room'!$A$16,$A167&lt;'Control Room'!$A$16+'Control Room'!$B$16,'Process'!BR5=1),1+('Control Room'!$C$16-1)*EXP(-0.5*(($A167-'Control Room'!$A$16-('Control Room'!$B$16-1)/2)/MAX(0.5,'Control Room'!$B$16/4))^2),1)</x:f>
        <x:v>1</x:v>
      </x:c>
      <x:c r="AP167" s="9" t="n">
        <x:f>MOD(AQ166*16807,2147483647)</x:f>
        <x:v>2061159872</x:v>
      </x:c>
      <x:c r="AQ167" s="9" t="n">
        <x:f>MOD(AP167*16807,2147483647)</x:f>
        <x:v>855258947</x:v>
      </x:c>
      <x:c r="AR167" s="17" t="n">
        <x:f>IF('Control Room'!$B$5="Normal",'Control Room'!$B$7+'Control Room'!$D$7*SQRT(-2*LN(MAX(0.000000000001,AP167/2147483647)))*COS(2*PI()*AQ167/2147483647),'Control Room'!$B$8+('Control Room'!$D$8-'Control Room'!$B$8)*AP167/2147483647)</x:f>
        <x:v>979.3096790094627</x:v>
      </x:c>
      <x:c r="AS167" s="17" t="n">
        <x:f>IF('Control Room'!$B$5="Normal",'Control Room'!$B$7,('Control Room'!$B$8+'Control Room'!$D$8)/2)+'Control Room'!$B$9*(AS166-IF('Control Room'!$B$5="Normal",'Control Room'!$B$7,('Control Room'!$B$8+'Control Room'!$D$8)/2))+SQRT(1-'Control Room'!$B$9^2)*(AR167-IF('Control Room'!$B$5="Normal",'Control Room'!$B$7,('Control Room'!$B$8+'Control Room'!$D$8)/2))</x:f>
        <x:v>942.2305449647145</x:v>
      </x:c>
      <x:c r="AT167" s="17" t="n">
        <x:f>IF(AND($A167&gt;='Control Room'!$A$13,$A167&lt;'Control Room'!$A$13+'Control Room'!$B$13,'Process'!BS2=1),1+('Control Room'!$C$13-1)*EXP(-0.5*(($A167-'Control Room'!$A$13-('Control Room'!$B$13-1)/2)/MAX(0.5,'Control Room'!$B$13/4))^2),1)*IF(AND($A167&gt;='Control Room'!$A$14,$A167&lt;'Control Room'!$A$14+'Control Room'!$B$14,'Process'!BS3=1),1+('Control Room'!$C$14-1)*EXP(-0.5*(($A167-'Control Room'!$A$14-('Control Room'!$B$14-1)/2)/MAX(0.5,'Control Room'!$B$14/4))^2),1)*IF(AND($A167&gt;='Control Room'!$A$15,$A167&lt;'Control Room'!$A$15+'Control Room'!$B$15,'Process'!BS4=1),1+('Control Room'!$C$15-1)*EXP(-0.5*(($A167-'Control Room'!$A$15-('Control Room'!$B$15-1)/2)/MAX(0.5,'Control Room'!$B$15/4))^2),1)*IF(AND($A167&gt;='Control Room'!$A$16,$A167&lt;'Control Room'!$A$16+'Control Room'!$B$16,'Process'!BS5=1),1+('Control Room'!$C$16-1)*EXP(-0.5*(($A167-'Control Room'!$A$16-('Control Room'!$B$16-1)/2)/MAX(0.5,'Control Room'!$B$16/4))^2),1)</x:f>
        <x:v>1</x:v>
      </x:c>
      <x:c r="AU167" s="9" t="n">
        <x:f>MOD(AV166*16807,2147483647)</x:f>
        <x:v>650598730</x:v>
      </x:c>
      <x:c r="AV167" s="9" t="n">
        <x:f>MOD(AU167*16807,2147483647)</x:f>
        <x:v>1773608233</x:v>
      </x:c>
      <x:c r="AW167" s="17" t="n">
        <x:f>IF('Control Room'!$B$5="Normal",'Control Room'!$B$7+'Control Room'!$D$7*SQRT(-2*LN(MAX(0.000000000001,AU167/2147483647)))*COS(2*PI()*AV167/2147483647),'Control Room'!$B$8+('Control Room'!$D$8-'Control Room'!$B$8)*AU167/2147483647)</x:f>
        <x:v>1063.8447947851525</x:v>
      </x:c>
      <x:c r="AX167" s="17" t="n">
        <x:f>IF('Control Room'!$B$5="Normal",'Control Room'!$B$7,('Control Room'!$B$8+'Control Room'!$D$8)/2)+'Control Room'!$B$9*(AX166-IF('Control Room'!$B$5="Normal",'Control Room'!$B$7,('Control Room'!$B$8+'Control Room'!$D$8)/2))+SQRT(1-'Control Room'!$B$9^2)*(AW167-IF('Control Room'!$B$5="Normal",'Control Room'!$B$7,('Control Room'!$B$8+'Control Room'!$D$8)/2))</x:f>
        <x:v>1014.2254339750996</x:v>
      </x:c>
      <x:c r="AY167" s="17" t="n">
        <x:f>IF(AND($A167&gt;='Control Room'!$A$13,$A167&lt;'Control Room'!$A$13+'Control Room'!$B$13,'Process'!BT2=1),1+('Control Room'!$C$13-1)*EXP(-0.5*(($A167-'Control Room'!$A$13-('Control Room'!$B$13-1)/2)/MAX(0.5,'Control Room'!$B$13/4))^2),1)*IF(AND($A167&gt;='Control Room'!$A$14,$A167&lt;'Control Room'!$A$14+'Control Room'!$B$14,'Process'!BT3=1),1+('Control Room'!$C$14-1)*EXP(-0.5*(($A167-'Control Room'!$A$14-('Control Room'!$B$14-1)/2)/MAX(0.5,'Control Room'!$B$14/4))^2),1)*IF(AND($A167&gt;='Control Room'!$A$15,$A167&lt;'Control Room'!$A$15+'Control Room'!$B$15,'Process'!BT4=1),1+('Control Room'!$C$15-1)*EXP(-0.5*(($A167-'Control Room'!$A$15-('Control Room'!$B$15-1)/2)/MAX(0.5,'Control Room'!$B$15/4))^2),1)*IF(AND($A167&gt;='Control Room'!$A$16,$A167&lt;'Control Room'!$A$16+'Control Room'!$B$16,'Process'!BT5=1),1+('Control Room'!$C$16-1)*EXP(-0.5*(($A167-'Control Room'!$A$16-('Control Room'!$B$16-1)/2)/MAX(0.5,'Control Room'!$B$16/4))^2),1)</x:f>
        <x:v>1</x:v>
      </x:c>
      <x:c r="AZ167" s="9" t="n">
        <x:f>MOD(BA166*16807,2147483647)</x:f>
        <x:v>1387521235</x:v>
      </x:c>
      <x:c r="BA167" s="9" t="n">
        <x:f>MOD(AZ167*16807,2147483647)</x:f>
        <x:v>544473872</x:v>
      </x:c>
      <x:c r="BB167" s="17" t="n">
        <x:f>IF('Control Room'!$B$5="Normal",'Control Room'!$B$7+'Control Room'!$D$7*SQRT(-2*LN(MAX(0.000000000001,AZ167/2147483647)))*COS(2*PI()*BA167/2147483647),'Control Room'!$B$8+('Control Room'!$D$8-'Control Room'!$B$8)*AZ167/2147483647)</x:f>
        <x:v>998.1289528393582</x:v>
      </x:c>
      <x:c r="BC167" s="17" t="n">
        <x:f>IF('Control Room'!$B$5="Normal",'Control Room'!$B$7,('Control Room'!$B$8+'Control Room'!$D$8)/2)+'Control Room'!$B$9*(BC166-IF('Control Room'!$B$5="Normal",'Control Room'!$B$7,('Control Room'!$B$8+'Control Room'!$D$8)/2))+SQRT(1-'Control Room'!$B$9^2)*(BB167-IF('Control Room'!$B$5="Normal",'Control Room'!$B$7,('Control Room'!$B$8+'Control Room'!$D$8)/2))</x:f>
        <x:v>1063.6190790650357</x:v>
      </x:c>
      <x:c r="BD167" s="17" t="n">
        <x:f>IF(AND($A167&gt;='Control Room'!$A$13,$A167&lt;'Control Room'!$A$13+'Control Room'!$B$13,'Process'!BU2=1),1+('Control Room'!$C$13-1)*EXP(-0.5*(($A167-'Control Room'!$A$13-('Control Room'!$B$13-1)/2)/MAX(0.5,'Control Room'!$B$13/4))^2),1)*IF(AND($A167&gt;='Control Room'!$A$14,$A167&lt;'Control Room'!$A$14+'Control Room'!$B$14,'Process'!BU3=1),1+('Control Room'!$C$14-1)*EXP(-0.5*(($A167-'Control Room'!$A$14-('Control Room'!$B$14-1)/2)/MAX(0.5,'Control Room'!$B$14/4))^2),1)*IF(AND($A167&gt;='Control Room'!$A$15,$A167&lt;'Control Room'!$A$15+'Control Room'!$B$15,'Process'!BU4=1),1+('Control Room'!$C$15-1)*EXP(-0.5*(($A167-'Control Room'!$A$15-('Control Room'!$B$15-1)/2)/MAX(0.5,'Control Room'!$B$15/4))^2),1)*IF(AND($A167&gt;='Control Room'!$A$16,$A167&lt;'Control Room'!$A$16+'Control Room'!$B$16,'Process'!BU5=1),1+('Control Room'!$C$16-1)*EXP(-0.5*(($A167-'Control Room'!$A$16-('Control Room'!$B$16-1)/2)/MAX(0.5,'Control Room'!$B$16/4))^2),1)</x:f>
        <x:v>1</x:v>
      </x:c>
      <x:c r="BE167" s="9" t="n">
        <x:f>MOD(BF166*16807,2147483647)</x:f>
        <x:v>2124443740</x:v>
      </x:c>
      <x:c r="BF167" s="9" t="n">
        <x:f>MOD(BE167*16807,2147483647)</x:f>
        <x:v>1462823158</x:v>
      </x:c>
      <x:c r="BG167" s="17" t="n">
        <x:f>IF('Control Room'!$B$5="Normal",'Control Room'!$B$7+'Control Room'!$D$7*SQRT(-2*LN(MAX(0.000000000001,BE167/2147483647)))*COS(2*PI()*BF167/2147483647),'Control Room'!$B$8+('Control Room'!$D$8-'Control Room'!$B$8)*BE167/2147483647)</x:f>
        <x:v>994.4604095821635</x:v>
      </x:c>
      <x:c r="BH167" s="17" t="n">
        <x:f>IF('Control Room'!$B$5="Normal",'Control Room'!$B$7,('Control Room'!$B$8+'Control Room'!$D$8)/2)+'Control Room'!$B$9*(BH166-IF('Control Room'!$B$5="Normal",'Control Room'!$B$7,('Control Room'!$B$8+'Control Room'!$D$8)/2))+SQRT(1-'Control Room'!$B$9^2)*(BG167-IF('Control Room'!$B$5="Normal",'Control Room'!$B$7,('Control Room'!$B$8+'Control Room'!$D$8)/2))</x:f>
        <x:v>1043.4870062678208</x:v>
      </x:c>
      <x:c r="BI167" s="17" t="n">
        <x:f>IF(AND($A167&gt;='Control Room'!$A$13,$A167&lt;'Control Room'!$A$13+'Control Room'!$B$13,'Process'!BV2=1),1+('Control Room'!$C$13-1)*EXP(-0.5*(($A167-'Control Room'!$A$13-('Control Room'!$B$13-1)/2)/MAX(0.5,'Control Room'!$B$13/4))^2),1)*IF(AND($A167&gt;='Control Room'!$A$14,$A167&lt;'Control Room'!$A$14+'Control Room'!$B$14,'Process'!BV3=1),1+('Control Room'!$C$14-1)*EXP(-0.5*(($A167-'Control Room'!$A$14-('Control Room'!$B$14-1)/2)/MAX(0.5,'Control Room'!$B$14/4))^2),1)*IF(AND($A167&gt;='Control Room'!$A$15,$A167&lt;'Control Room'!$A$15+'Control Room'!$B$15,'Process'!BV4=1),1+('Control Room'!$C$15-1)*EXP(-0.5*(($A167-'Control Room'!$A$15-('Control Room'!$B$15-1)/2)/MAX(0.5,'Control Room'!$B$15/4))^2),1)*IF(AND($A167&gt;='Control Room'!$A$16,$A167&lt;'Control Room'!$A$16+'Control Room'!$B$16,'Process'!BV5=1),1+('Control Room'!$C$16-1)*EXP(-0.5*(($A167-'Control Room'!$A$16-('Control Room'!$B$16-1)/2)/MAX(0.5,'Control Room'!$B$16/4))^2),1)</x:f>
        <x:v>1</x:v>
      </x:c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Z167" t="str">
        <x:f>IF('Data'!A167="","",TEXT('Data'!A167,"mm-dd"))</x:f>
      </x:c>
    </x:row>
    <x:row r="168" ht="21" customHeight="1">
      <x:c r="A168" s="15" t="n">
        <x:f>'Control Room'!$B$1+166</x:f>
        <x:v>73157</x:v>
      </x:c>
      <x:c r="B168" s="9" t="n">
        <x:f>MOD(C167*16807,2147483647)</x:f>
        <x:v>1819693295</x:v>
      </x:c>
      <x:c r="C168" s="9" t="n">
        <x:f>MOD(B168*16807,2147483647)</x:f>
        <x:v>1270592138</x:v>
      </x:c>
      <x:c r="D168" s="17" t="n">
        <x:f>IF('Control Room'!$B$5="Normal",'Control Room'!$B$7+'Control Room'!$D$7*SQRT(-2*LN(MAX(0.000000000001,B168/2147483647)))*COS(2*PI()*C168/2147483647),'Control Room'!$B$8+('Control Room'!$D$8-'Control Room'!$B$8)*B168/2147483647)</x:f>
        <x:v>956.5571039692342</x:v>
      </x:c>
      <x:c r="E168" s="17" t="n">
        <x:f>IF('Control Room'!$B$5="Normal",'Control Room'!$B$7,('Control Room'!$B$8+'Control Room'!$D$8)/2)+'Control Room'!$B$9*(E167-IF('Control Room'!$B$5="Normal",'Control Room'!$B$7,('Control Room'!$B$8+'Control Room'!$D$8)/2))+SQRT(1-'Control Room'!$B$9^2)*(D168-IF('Control Room'!$B$5="Normal",'Control Room'!$B$7,('Control Room'!$B$8+'Control Room'!$D$8)/2))</x:f>
        <x:v>994.762756864844</x:v>
      </x:c>
      <x:c r="F168" s="17" t="n">
        <x:f>IF(AND($A168&gt;='Control Room'!$A$13,$A168&lt;'Control Room'!$A$13+'Control Room'!$B$13,'Process'!BK2=1),1+('Control Room'!$C$13-1)*EXP(-0.5*(($A168-'Control Room'!$A$13-('Control Room'!$B$13-1)/2)/MAX(0.5,'Control Room'!$B$13/4))^2),1)*IF(AND($A168&gt;='Control Room'!$A$14,$A168&lt;'Control Room'!$A$14+'Control Room'!$B$14,'Process'!BK3=1),1+('Control Room'!$C$14-1)*EXP(-0.5*(($A168-'Control Room'!$A$14-('Control Room'!$B$14-1)/2)/MAX(0.5,'Control Room'!$B$14/4))^2),1)*IF(AND($A168&gt;='Control Room'!$A$15,$A168&lt;'Control Room'!$A$15+'Control Room'!$B$15,'Process'!BK4=1),1+('Control Room'!$C$15-1)*EXP(-0.5*(($A168-'Control Room'!$A$15-('Control Room'!$B$15-1)/2)/MAX(0.5,'Control Room'!$B$15/4))^2),1)*IF(AND($A168&gt;='Control Room'!$A$16,$A168&lt;'Control Room'!$A$16+'Control Room'!$B$16,'Process'!BK5=1),1+('Control Room'!$C$16-1)*EXP(-0.5*(($A168-'Control Room'!$A$16-('Control Room'!$B$16-1)/2)/MAX(0.5,'Control Room'!$B$16/4))^2),1)</x:f>
        <x:v>1</x:v>
      </x:c>
      <x:c r="G168" s="9" t="n">
        <x:f>MOD(H167*16807,2147483647)</x:f>
        <x:v>403688461</x:v>
      </x:c>
      <x:c r="H168" s="9" t="n">
        <x:f>MOD(G168*16807,2147483647)</x:f>
        <x:v>891123154</x:v>
      </x:c>
      <x:c r="I168" s="17" t="n">
        <x:f>IF('Control Room'!$B$5="Normal",'Control Room'!$B$7+'Control Room'!$D$7*SQRT(-2*LN(MAX(0.000000000001,G168/2147483647)))*COS(2*PI()*H168/2147483647),'Control Room'!$B$8+('Control Room'!$D$8-'Control Room'!$B$8)*G168/2147483647)</x:f>
        <x:v>858.3848316896039</x:v>
      </x:c>
      <x:c r="J168" s="17" t="n">
        <x:f>IF('Control Room'!$B$5="Normal",'Control Room'!$B$7,('Control Room'!$B$8+'Control Room'!$D$8)/2)+'Control Room'!$B$9*(J167-IF('Control Room'!$B$5="Normal",'Control Room'!$B$7,('Control Room'!$B$8+'Control Room'!$D$8)/2))+SQRT(1-'Control Room'!$B$9^2)*(I168-IF('Control Room'!$B$5="Normal",'Control Room'!$B$7,('Control Room'!$B$8+'Control Room'!$D$8)/2))</x:f>
        <x:v>897.4466913174405</x:v>
      </x:c>
      <x:c r="K168" s="17" t="n">
        <x:f>IF(AND($A168&gt;='Control Room'!$A$13,$A168&lt;'Control Room'!$A$13+'Control Room'!$B$13,'Process'!BL2=1),1+('Control Room'!$C$13-1)*EXP(-0.5*(($A168-'Control Room'!$A$13-('Control Room'!$B$13-1)/2)/MAX(0.5,'Control Room'!$B$13/4))^2),1)*IF(AND($A168&gt;='Control Room'!$A$14,$A168&lt;'Control Room'!$A$14+'Control Room'!$B$14,'Process'!BL3=1),1+('Control Room'!$C$14-1)*EXP(-0.5*(($A168-'Control Room'!$A$14-('Control Room'!$B$14-1)/2)/MAX(0.5,'Control Room'!$B$14/4))^2),1)*IF(AND($A168&gt;='Control Room'!$A$15,$A168&lt;'Control Room'!$A$15+'Control Room'!$B$15,'Process'!BL4=1),1+('Control Room'!$C$15-1)*EXP(-0.5*(($A168-'Control Room'!$A$15-('Control Room'!$B$15-1)/2)/MAX(0.5,'Control Room'!$B$15/4))^2),1)*IF(AND($A168&gt;='Control Room'!$A$16,$A168&lt;'Control Room'!$A$16+'Control Room'!$B$16,'Process'!BL5=1),1+('Control Room'!$C$16-1)*EXP(-0.5*(($A168-'Control Room'!$A$16-('Control Room'!$B$16-1)/2)/MAX(0.5,'Control Room'!$B$16/4))^2),1)</x:f>
        <x:v>1</x:v>
      </x:c>
      <x:c r="L168" s="9" t="n">
        <x:f>MOD(M167*16807,2147483647)</x:f>
        <x:v>1135167274</x:v>
      </x:c>
      <x:c r="M168" s="9" t="n">
        <x:f>MOD(L168*16807,2147483647)</x:f>
        <x:v>511654170</x:v>
      </x:c>
      <x:c r="N168" s="17" t="n">
        <x:f>IF('Control Room'!$B$5="Normal",'Control Room'!$B$7+'Control Room'!$D$7*SQRT(-2*LN(MAX(0.000000000001,L168/2147483647)))*COS(2*PI()*M168/2147483647),'Control Room'!$B$8+('Control Room'!$D$8-'Control Room'!$B$8)*L168/2147483647)</x:f>
        <x:v>1007.4911448239749</x:v>
      </x:c>
      <x:c r="O168" s="17" t="n">
        <x:f>IF('Control Room'!$B$5="Normal",'Control Room'!$B$7,('Control Room'!$B$8+'Control Room'!$D$8)/2)+'Control Room'!$B$9*(O167-IF('Control Room'!$B$5="Normal",'Control Room'!$B$7,('Control Room'!$B$8+'Control Room'!$D$8)/2))+SQRT(1-'Control Room'!$B$9^2)*(N168-IF('Control Room'!$B$5="Normal",'Control Room'!$B$7,('Control Room'!$B$8+'Control Room'!$D$8)/2))</x:f>
        <x:v>1101.164338428952</x:v>
      </x:c>
      <x:c r="P168" s="17" t="n">
        <x:f>IF(AND($A168&gt;='Control Room'!$A$13,$A168&lt;'Control Room'!$A$13+'Control Room'!$B$13,'Process'!BM2=1),1+('Control Room'!$C$13-1)*EXP(-0.5*(($A168-'Control Room'!$A$13-('Control Room'!$B$13-1)/2)/MAX(0.5,'Control Room'!$B$13/4))^2),1)*IF(AND($A168&gt;='Control Room'!$A$14,$A168&lt;'Control Room'!$A$14+'Control Room'!$B$14,'Process'!BM3=1),1+('Control Room'!$C$14-1)*EXP(-0.5*(($A168-'Control Room'!$A$14-('Control Room'!$B$14-1)/2)/MAX(0.5,'Control Room'!$B$14/4))^2),1)*IF(AND($A168&gt;='Control Room'!$A$15,$A168&lt;'Control Room'!$A$15+'Control Room'!$B$15,'Process'!BM4=1),1+('Control Room'!$C$15-1)*EXP(-0.5*(($A168-'Control Room'!$A$15-('Control Room'!$B$15-1)/2)/MAX(0.5,'Control Room'!$B$15/4))^2),1)*IF(AND($A168&gt;='Control Room'!$A$16,$A168&lt;'Control Room'!$A$16+'Control Room'!$B$16,'Process'!BM5=1),1+('Control Room'!$C$16-1)*EXP(-0.5*(($A168-'Control Room'!$A$16-('Control Room'!$B$16-1)/2)/MAX(0.5,'Control Room'!$B$16/4))^2),1)</x:f>
        <x:v>1</x:v>
      </x:c>
      <x:c r="Q168" s="9" t="n">
        <x:f>MOD(R167*16807,2147483647)</x:f>
        <x:v>1866646087</x:v>
      </x:c>
      <x:c r="R168" s="9" t="n">
        <x:f>MOD(Q168*16807,2147483647)</x:f>
        <x:v>132185186</x:v>
      </x:c>
      <x:c r="S168" s="17" t="n">
        <x:f>IF('Control Room'!$B$5="Normal",'Control Room'!$B$7+'Control Room'!$D$7*SQRT(-2*LN(MAX(0.000000000001,Q168/2147483647)))*COS(2*PI()*R168/2147483647),'Control Room'!$B$8+('Control Room'!$D$8-'Control Room'!$B$8)*Q168/2147483647)</x:f>
        <x:v>1044.1301695585323</x:v>
      </x:c>
      <x:c r="T168" s="17" t="n">
        <x:f>IF('Control Room'!$B$5="Normal",'Control Room'!$B$7,('Control Room'!$B$8+'Control Room'!$D$8)/2)+'Control Room'!$B$9*(T167-IF('Control Room'!$B$5="Normal",'Control Room'!$B$7,('Control Room'!$B$8+'Control Room'!$D$8)/2))+SQRT(1-'Control Room'!$B$9^2)*(S168-IF('Control Room'!$B$5="Normal",'Control Room'!$B$7,('Control Room'!$B$8+'Control Room'!$D$8)/2))</x:f>
        <x:v>1046.7465172013626</x:v>
      </x:c>
      <x:c r="U168" s="17" t="n">
        <x:f>IF(AND($A168&gt;='Control Room'!$A$13,$A168&lt;'Control Room'!$A$13+'Control Room'!$B$13,'Process'!BN2=1),1+('Control Room'!$C$13-1)*EXP(-0.5*(($A168-'Control Room'!$A$13-('Control Room'!$B$13-1)/2)/MAX(0.5,'Control Room'!$B$13/4))^2),1)*IF(AND($A168&gt;='Control Room'!$A$14,$A168&lt;'Control Room'!$A$14+'Control Room'!$B$14,'Process'!BN3=1),1+('Control Room'!$C$14-1)*EXP(-0.5*(($A168-'Control Room'!$A$14-('Control Room'!$B$14-1)/2)/MAX(0.5,'Control Room'!$B$14/4))^2),1)*IF(AND($A168&gt;='Control Room'!$A$15,$A168&lt;'Control Room'!$A$15+'Control Room'!$B$15,'Process'!BN4=1),1+('Control Room'!$C$15-1)*EXP(-0.5*(($A168-'Control Room'!$A$15-('Control Room'!$B$15-1)/2)/MAX(0.5,'Control Room'!$B$15/4))^2),1)*IF(AND($A168&gt;='Control Room'!$A$16,$A168&lt;'Control Room'!$A$16+'Control Room'!$B$16,'Process'!BN5=1),1+('Control Room'!$C$16-1)*EXP(-0.5*(($A168-'Control Room'!$A$16-('Control Room'!$B$16-1)/2)/MAX(0.5,'Control Room'!$B$16/4))^2),1)</x:f>
        <x:v>1</x:v>
      </x:c>
      <x:c r="V168" s="9" t="n">
        <x:f>MOD(W167*16807,2147483647)</x:f>
        <x:v>450641253</x:v>
      </x:c>
      <x:c r="W168" s="9" t="n">
        <x:f>MOD(V168*16807,2147483647)</x:f>
        <x:v>1900199849</x:v>
      </x:c>
      <x:c r="X168" s="17" t="n">
        <x:f>IF('Control Room'!$B$5="Normal",'Control Room'!$B$7+'Control Room'!$D$7*SQRT(-2*LN(MAX(0.000000000001,V168/2147483647)))*COS(2*PI()*W168/2147483647),'Control Room'!$B$8+('Control Room'!$D$8-'Control Room'!$B$8)*V168/2147483647)</x:f>
        <x:v>1119.199673606011</x:v>
      </x:c>
      <x:c r="Y168" s="17" t="n">
        <x:f>IF('Control Room'!$B$5="Normal",'Control Room'!$B$7,('Control Room'!$B$8+'Control Room'!$D$8)/2)+'Control Room'!$B$9*(Y167-IF('Control Room'!$B$5="Normal",'Control Room'!$B$7,('Control Room'!$B$8+'Control Room'!$D$8)/2))+SQRT(1-'Control Room'!$B$9^2)*(X168-IF('Control Room'!$B$5="Normal",'Control Room'!$B$7,('Control Room'!$B$8+'Control Room'!$D$8)/2))</x:f>
        <x:v>1045.9475569250217</x:v>
      </x:c>
      <x:c r="Z168" s="17" t="n">
        <x:f>IF(AND($A168&gt;='Control Room'!$A$13,$A168&lt;'Control Room'!$A$13+'Control Room'!$B$13,'Process'!BO2=1),1+('Control Room'!$C$13-1)*EXP(-0.5*(($A168-'Control Room'!$A$13-('Control Room'!$B$13-1)/2)/MAX(0.5,'Control Room'!$B$13/4))^2),1)*IF(AND($A168&gt;='Control Room'!$A$14,$A168&lt;'Control Room'!$A$14+'Control Room'!$B$14,'Process'!BO3=1),1+('Control Room'!$C$14-1)*EXP(-0.5*(($A168-'Control Room'!$A$14-('Control Room'!$B$14-1)/2)/MAX(0.5,'Control Room'!$B$14/4))^2),1)*IF(AND($A168&gt;='Control Room'!$A$15,$A168&lt;'Control Room'!$A$15+'Control Room'!$B$15,'Process'!BO4=1),1+('Control Room'!$C$15-1)*EXP(-0.5*(($A168-'Control Room'!$A$15-('Control Room'!$B$15-1)/2)/MAX(0.5,'Control Room'!$B$15/4))^2),1)*IF(AND($A168&gt;='Control Room'!$A$16,$A168&lt;'Control Room'!$A$16+'Control Room'!$B$16,'Process'!BO5=1),1+('Control Room'!$C$16-1)*EXP(-0.5*(($A168-'Control Room'!$A$16-('Control Room'!$B$16-1)/2)/MAX(0.5,'Control Room'!$B$16/4))^2),1)</x:f>
        <x:v>1</x:v>
      </x:c>
      <x:c r="AA168" s="9" t="n">
        <x:f>MOD(AB167*16807,2147483647)</x:f>
        <x:v>1182120066</x:v>
      </x:c>
      <x:c r="AB168" s="9" t="n">
        <x:f>MOD(AA168*16807,2147483647)</x:f>
        <x:v>1520730865</x:v>
      </x:c>
      <x:c r="AC168" s="17" t="n">
        <x:f>IF('Control Room'!$B$5="Normal",'Control Room'!$B$7+'Control Room'!$D$7*SQRT(-2*LN(MAX(0.000000000001,AA168/2147483647)))*COS(2*PI()*AB168/2147483647),'Control Room'!$B$8+('Control Room'!$D$8-'Control Room'!$B$8)*AA168/2147483647)</x:f>
        <x:v>974.4350639413404</x:v>
      </x:c>
      <x:c r="AD168" s="17" t="n">
        <x:f>IF('Control Room'!$B$5="Normal",'Control Room'!$B$7,('Control Room'!$B$8+'Control Room'!$D$8)/2)+'Control Room'!$B$9*(AD167-IF('Control Room'!$B$5="Normal",'Control Room'!$B$7,('Control Room'!$B$8+'Control Room'!$D$8)/2))+SQRT(1-'Control Room'!$B$9^2)*(AC168-IF('Control Room'!$B$5="Normal",'Control Room'!$B$7,('Control Room'!$B$8+'Control Room'!$D$8)/2))</x:f>
        <x:v>885.0756468739532</x:v>
      </x:c>
      <x:c r="AE168" s="17" t="n">
        <x:f>IF(AND($A168&gt;='Control Room'!$A$13,$A168&lt;'Control Room'!$A$13+'Control Room'!$B$13,'Process'!BP2=1),1+('Control Room'!$C$13-1)*EXP(-0.5*(($A168-'Control Room'!$A$13-('Control Room'!$B$13-1)/2)/MAX(0.5,'Control Room'!$B$13/4))^2),1)*IF(AND($A168&gt;='Control Room'!$A$14,$A168&lt;'Control Room'!$A$14+'Control Room'!$B$14,'Process'!BP3=1),1+('Control Room'!$C$14-1)*EXP(-0.5*(($A168-'Control Room'!$A$14-('Control Room'!$B$14-1)/2)/MAX(0.5,'Control Room'!$B$14/4))^2),1)*IF(AND($A168&gt;='Control Room'!$A$15,$A168&lt;'Control Room'!$A$15+'Control Room'!$B$15,'Process'!BP4=1),1+('Control Room'!$C$15-1)*EXP(-0.5*(($A168-'Control Room'!$A$15-('Control Room'!$B$15-1)/2)/MAX(0.5,'Control Room'!$B$15/4))^2),1)*IF(AND($A168&gt;='Control Room'!$A$16,$A168&lt;'Control Room'!$A$16+'Control Room'!$B$16,'Process'!BP5=1),1+('Control Room'!$C$16-1)*EXP(-0.5*(($A168-'Control Room'!$A$16-('Control Room'!$B$16-1)/2)/MAX(0.5,'Control Room'!$B$16/4))^2),1)</x:f>
        <x:v>1</x:v>
      </x:c>
      <x:c r="AF168" s="9" t="n">
        <x:f>MOD(AG167*16807,2147483647)</x:f>
        <x:v>1913598879</x:v>
      </x:c>
      <x:c r="AG168" s="9" t="n">
        <x:f>MOD(AF168*16807,2147483647)</x:f>
        <x:v>1141261881</x:v>
      </x:c>
      <x:c r="AH168" s="17" t="n">
        <x:f>IF('Control Room'!$B$5="Normal",'Control Room'!$B$7+'Control Room'!$D$7*SQRT(-2*LN(MAX(0.000000000001,AF168/2147483647)))*COS(2*PI()*AG168/2147483647),'Control Room'!$B$8+('Control Room'!$D$8-'Control Room'!$B$8)*AF168/2147483647)</x:f>
        <x:v>957.6198320428585</x:v>
      </x:c>
      <x:c r="AI168" s="17" t="n">
        <x:f>IF('Control Room'!$B$5="Normal",'Control Room'!$B$7,('Control Room'!$B$8+'Control Room'!$D$8)/2)+'Control Room'!$B$9*(AI167-IF('Control Room'!$B$5="Normal",'Control Room'!$B$7,('Control Room'!$B$8+'Control Room'!$D$8)/2))+SQRT(1-'Control Room'!$B$9^2)*(AH168-IF('Control Room'!$B$5="Normal",'Control Room'!$B$7,('Control Room'!$B$8+'Control Room'!$D$8)/2))</x:f>
        <x:v>883.8894979284581</x:v>
      </x:c>
      <x:c r="AJ168" s="17" t="n">
        <x:f>IF(AND($A168&gt;='Control Room'!$A$13,$A168&lt;'Control Room'!$A$13+'Control Room'!$B$13,'Process'!BQ2=1),1+('Control Room'!$C$13-1)*EXP(-0.5*(($A168-'Control Room'!$A$13-('Control Room'!$B$13-1)/2)/MAX(0.5,'Control Room'!$B$13/4))^2),1)*IF(AND($A168&gt;='Control Room'!$A$14,$A168&lt;'Control Room'!$A$14+'Control Room'!$B$14,'Process'!BQ3=1),1+('Control Room'!$C$14-1)*EXP(-0.5*(($A168-'Control Room'!$A$14-('Control Room'!$B$14-1)/2)/MAX(0.5,'Control Room'!$B$14/4))^2),1)*IF(AND($A168&gt;='Control Room'!$A$15,$A168&lt;'Control Room'!$A$15+'Control Room'!$B$15,'Process'!BQ4=1),1+('Control Room'!$C$15-1)*EXP(-0.5*(($A168-'Control Room'!$A$15-('Control Room'!$B$15-1)/2)/MAX(0.5,'Control Room'!$B$15/4))^2),1)*IF(AND($A168&gt;='Control Room'!$A$16,$A168&lt;'Control Room'!$A$16+'Control Room'!$B$16,'Process'!BQ5=1),1+('Control Room'!$C$16-1)*EXP(-0.5*(($A168-'Control Room'!$A$16-('Control Room'!$B$16-1)/2)/MAX(0.5,'Control Room'!$B$16/4))^2),1)</x:f>
        <x:v>1</x:v>
      </x:c>
      <x:c r="AK168" s="9" t="n">
        <x:f>MOD(AL167*16807,2147483647)</x:f>
        <x:v>497594045</x:v>
      </x:c>
      <x:c r="AL168" s="9" t="n">
        <x:f>MOD(AK168*16807,2147483647)</x:f>
        <x:v>761792897</x:v>
      </x:c>
      <x:c r="AM168" s="17" t="n">
        <x:f>IF('Control Room'!$B$5="Normal",'Control Room'!$B$7+'Control Room'!$D$7*SQRT(-2*LN(MAX(0.000000000001,AK168/2147483647)))*COS(2*PI()*AL168/2147483647),'Control Room'!$B$8+('Control Room'!$D$8-'Control Room'!$B$8)*AK168/2147483647)</x:f>
        <x:v>905.867329728876</x:v>
      </x:c>
      <x:c r="AN168" s="17" t="n">
        <x:f>IF('Control Room'!$B$5="Normal",'Control Room'!$B$7,('Control Room'!$B$8+'Control Room'!$D$8)/2)+'Control Room'!$B$9*(AN167-IF('Control Room'!$B$5="Normal",'Control Room'!$B$7,('Control Room'!$B$8+'Control Room'!$D$8)/2))+SQRT(1-'Control Room'!$B$9^2)*(AM168-IF('Control Room'!$B$5="Normal",'Control Room'!$B$7,('Control Room'!$B$8+'Control Room'!$D$8)/2))</x:f>
        <x:v>988.0243348378093</x:v>
      </x:c>
      <x:c r="AO168" s="17" t="n">
        <x:f>IF(AND($A168&gt;='Control Room'!$A$13,$A168&lt;'Control Room'!$A$13+'Control Room'!$B$13,'Process'!BR2=1),1+('Control Room'!$C$13-1)*EXP(-0.5*(($A168-'Control Room'!$A$13-('Control Room'!$B$13-1)/2)/MAX(0.5,'Control Room'!$B$13/4))^2),1)*IF(AND($A168&gt;='Control Room'!$A$14,$A168&lt;'Control Room'!$A$14+'Control Room'!$B$14,'Process'!BR3=1),1+('Control Room'!$C$14-1)*EXP(-0.5*(($A168-'Control Room'!$A$14-('Control Room'!$B$14-1)/2)/MAX(0.5,'Control Room'!$B$14/4))^2),1)*IF(AND($A168&gt;='Control Room'!$A$15,$A168&lt;'Control Room'!$A$15+'Control Room'!$B$15,'Process'!BR4=1),1+('Control Room'!$C$15-1)*EXP(-0.5*(($A168-'Control Room'!$A$15-('Control Room'!$B$15-1)/2)/MAX(0.5,'Control Room'!$B$15/4))^2),1)*IF(AND($A168&gt;='Control Room'!$A$16,$A168&lt;'Control Room'!$A$16+'Control Room'!$B$16,'Process'!BR5=1),1+('Control Room'!$C$16-1)*EXP(-0.5*(($A168-'Control Room'!$A$16-('Control Room'!$B$16-1)/2)/MAX(0.5,'Control Room'!$B$16/4))^2),1)</x:f>
        <x:v>1</x:v>
      </x:c>
      <x:c r="AP168" s="9" t="n">
        <x:f>MOD(AQ167*16807,2147483647)</x:f>
        <x:v>1229072858</x:v>
      </x:c>
      <x:c r="AQ168" s="9" t="n">
        <x:f>MOD(AP168*16807,2147483647)</x:f>
        <x:v>382323913</x:v>
      </x:c>
      <x:c r="AR168" s="17" t="n">
        <x:f>IF('Control Room'!$B$5="Normal",'Control Room'!$B$7+'Control Room'!$D$7*SQRT(-2*LN(MAX(0.000000000001,AP168/2147483647)))*COS(2*PI()*AQ168/2147483647),'Control Room'!$B$8+('Control Room'!$D$8-'Control Room'!$B$8)*AP168/2147483647)</x:f>
        <x:v>1041.542966393547</x:v>
      </x:c>
      <x:c r="AS168" s="17" t="n">
        <x:f>IF('Control Room'!$B$5="Normal",'Control Room'!$B$7,('Control Room'!$B$8+'Control Room'!$D$8)/2)+'Control Room'!$B$9*(AS167-IF('Control Room'!$B$5="Normal",'Control Room'!$B$7,('Control Room'!$B$8+'Control Room'!$D$8)/2))+SQRT(1-'Control Room'!$B$9^2)*(AR168-IF('Control Room'!$B$5="Normal",'Control Room'!$B$7,('Control Room'!$B$8+'Control Room'!$D$8)/2))</x:f>
        <x:v>980.9365623876334</x:v>
      </x:c>
      <x:c r="AT168" s="17" t="n">
        <x:f>IF(AND($A168&gt;='Control Room'!$A$13,$A168&lt;'Control Room'!$A$13+'Control Room'!$B$13,'Process'!BS2=1),1+('Control Room'!$C$13-1)*EXP(-0.5*(($A168-'Control Room'!$A$13-('Control Room'!$B$13-1)/2)/MAX(0.5,'Control Room'!$B$13/4))^2),1)*IF(AND($A168&gt;='Control Room'!$A$14,$A168&lt;'Control Room'!$A$14+'Control Room'!$B$14,'Process'!BS3=1),1+('Control Room'!$C$14-1)*EXP(-0.5*(($A168-'Control Room'!$A$14-('Control Room'!$B$14-1)/2)/MAX(0.5,'Control Room'!$B$14/4))^2),1)*IF(AND($A168&gt;='Control Room'!$A$15,$A168&lt;'Control Room'!$A$15+'Control Room'!$B$15,'Process'!BS4=1),1+('Control Room'!$C$15-1)*EXP(-0.5*(($A168-'Control Room'!$A$15-('Control Room'!$B$15-1)/2)/MAX(0.5,'Control Room'!$B$15/4))^2),1)*IF(AND($A168&gt;='Control Room'!$A$16,$A168&lt;'Control Room'!$A$16+'Control Room'!$B$16,'Process'!BS5=1),1+('Control Room'!$C$16-1)*EXP(-0.5*(($A168-'Control Room'!$A$16-('Control Room'!$B$16-1)/2)/MAX(0.5,'Control Room'!$B$16/4))^2),1)</x:f>
        <x:v>1</x:v>
      </x:c>
      <x:c r="AU168" s="9" t="n">
        <x:f>MOD(AV167*16807,2147483647)</x:f>
        <x:v>1960551671</x:v>
      </x:c>
      <x:c r="AV168" s="9" t="n">
        <x:f>MOD(AU168*16807,2147483647)</x:f>
        <x:v>2854929</x:v>
      </x:c>
      <x:c r="AW168" s="17" t="n">
        <x:f>IF('Control Room'!$B$5="Normal",'Control Room'!$B$7+'Control Room'!$D$7*SQRT(-2*LN(MAX(0.000000000001,AU168/2147483647)))*COS(2*PI()*AV168/2147483647),'Control Room'!$B$8+('Control Room'!$D$8-'Control Room'!$B$8)*AU168/2147483647)</x:f>
        <x:v>1038.4089184781842</x:v>
      </x:c>
      <x:c r="AX168" s="17" t="n">
        <x:f>IF('Control Room'!$B$5="Normal",'Control Room'!$B$7,('Control Room'!$B$8+'Control Room'!$D$8)/2)+'Control Room'!$B$9*(AX167-IF('Control Room'!$B$5="Normal",'Control Room'!$B$7,('Control Room'!$B$8+'Control Room'!$D$8)/2))+SQRT(1-'Control Room'!$B$9^2)*(AW168-IF('Control Room'!$B$5="Normal",'Control Room'!$B$7,('Control Room'!$B$8+'Control Room'!$D$8)/2))</x:f>
        <x:v>1035.1313528347612</x:v>
      </x:c>
      <x:c r="AY168" s="17" t="n">
        <x:f>IF(AND($A168&gt;='Control Room'!$A$13,$A168&lt;'Control Room'!$A$13+'Control Room'!$B$13,'Process'!BT2=1),1+('Control Room'!$C$13-1)*EXP(-0.5*(($A168-'Control Room'!$A$13-('Control Room'!$B$13-1)/2)/MAX(0.5,'Control Room'!$B$13/4))^2),1)*IF(AND($A168&gt;='Control Room'!$A$14,$A168&lt;'Control Room'!$A$14+'Control Room'!$B$14,'Process'!BT3=1),1+('Control Room'!$C$14-1)*EXP(-0.5*(($A168-'Control Room'!$A$14-('Control Room'!$B$14-1)/2)/MAX(0.5,'Control Room'!$B$14/4))^2),1)*IF(AND($A168&gt;='Control Room'!$A$15,$A168&lt;'Control Room'!$A$15+'Control Room'!$B$15,'Process'!BT4=1),1+('Control Room'!$C$15-1)*EXP(-0.5*(($A168-'Control Room'!$A$15-('Control Room'!$B$15-1)/2)/MAX(0.5,'Control Room'!$B$15/4))^2),1)*IF(AND($A168&gt;='Control Room'!$A$16,$A168&lt;'Control Room'!$A$16+'Control Room'!$B$16,'Process'!BT5=1),1+('Control Room'!$C$16-1)*EXP(-0.5*(($A168-'Control Room'!$A$16-('Control Room'!$B$16-1)/2)/MAX(0.5,'Control Room'!$B$16/4))^2),1)</x:f>
        <x:v>1</x:v>
      </x:c>
      <x:c r="AZ168" s="9" t="n">
        <x:f>MOD(BA167*16807,2147483647)</x:f>
        <x:v>544546837</x:v>
      </x:c>
      <x:c r="BA168" s="9" t="n">
        <x:f>MOD(AZ168*16807,2147483647)</x:f>
        <x:v>1770869592</x:v>
      </x:c>
      <x:c r="BB168" s="17" t="n">
        <x:f>IF('Control Room'!$B$5="Normal",'Control Room'!$B$7+'Control Room'!$D$7*SQRT(-2*LN(MAX(0.000000000001,AZ168/2147483647)))*COS(2*PI()*BA168/2147483647),'Control Room'!$B$8+('Control Room'!$D$8-'Control Room'!$B$8)*AZ168/2147483647)</x:f>
        <x:v>1067.3728486564985</x:v>
      </x:c>
      <x:c r="BC168" s="17" t="n">
        <x:f>IF('Control Room'!$B$5="Normal",'Control Room'!$B$7,('Control Room'!$B$8+'Control Room'!$D$8)/2)+'Control Room'!$B$9*(BC167-IF('Control Room'!$B$5="Normal",'Control Room'!$B$7,('Control Room'!$B$8+'Control Room'!$D$8)/2))+SQRT(1-'Control Room'!$B$9^2)*(BB168-IF('Control Room'!$B$5="Normal",'Control Room'!$B$7,('Control Room'!$B$8+'Control Room'!$D$8)/2))</x:f>
        <x:v>1091.7834301521389</x:v>
      </x:c>
      <x:c r="BD168" s="17" t="n">
        <x:f>IF(AND($A168&gt;='Control Room'!$A$13,$A168&lt;'Control Room'!$A$13+'Control Room'!$B$13,'Process'!BU2=1),1+('Control Room'!$C$13-1)*EXP(-0.5*(($A168-'Control Room'!$A$13-('Control Room'!$B$13-1)/2)/MAX(0.5,'Control Room'!$B$13/4))^2),1)*IF(AND($A168&gt;='Control Room'!$A$14,$A168&lt;'Control Room'!$A$14+'Control Room'!$B$14,'Process'!BU3=1),1+('Control Room'!$C$14-1)*EXP(-0.5*(($A168-'Control Room'!$A$14-('Control Room'!$B$14-1)/2)/MAX(0.5,'Control Room'!$B$14/4))^2),1)*IF(AND($A168&gt;='Control Room'!$A$15,$A168&lt;'Control Room'!$A$15+'Control Room'!$B$15,'Process'!BU4=1),1+('Control Room'!$C$15-1)*EXP(-0.5*(($A168-'Control Room'!$A$15-('Control Room'!$B$15-1)/2)/MAX(0.5,'Control Room'!$B$15/4))^2),1)*IF(AND($A168&gt;='Control Room'!$A$16,$A168&lt;'Control Room'!$A$16+'Control Room'!$B$16,'Process'!BU5=1),1+('Control Room'!$C$16-1)*EXP(-0.5*(($A168-'Control Room'!$A$16-('Control Room'!$B$16-1)/2)/MAX(0.5,'Control Room'!$B$16/4))^2),1)</x:f>
        <x:v>1</x:v>
      </x:c>
      <x:c r="BE168" s="9" t="n">
        <x:f>MOD(BF167*16807,2147483647)</x:f>
        <x:v>1276025650</x:v>
      </x:c>
      <x:c r="BF168" s="9" t="n">
        <x:f>MOD(BE168*16807,2147483647)</x:f>
        <x:v>1391400608</x:v>
      </x:c>
      <x:c r="BG168" s="17" t="n">
        <x:f>IF('Control Room'!$B$5="Normal",'Control Room'!$B$7+'Control Room'!$D$7*SQRT(-2*LN(MAX(0.000000000001,BE168/2147483647)))*COS(2*PI()*BF168/2147483647),'Control Room'!$B$8+('Control Room'!$D$8-'Control Room'!$B$8)*BE168/2147483647)</x:f>
        <x:v>945.0577008815345</x:v>
      </x:c>
      <x:c r="BH168" s="17" t="n">
        <x:f>IF('Control Room'!$B$5="Normal",'Control Room'!$B$7,('Control Room'!$B$8+'Control Room'!$D$8)/2)+'Control Room'!$B$9*(BH167-IF('Control Room'!$B$5="Normal",'Control Room'!$B$7,('Control Room'!$B$8+'Control Room'!$D$8)/2))+SQRT(1-'Control Room'!$B$9^2)*(BG168-IF('Control Room'!$B$5="Normal",'Control Room'!$B$7,('Control Room'!$B$8+'Control Room'!$D$8)/2))</x:f>
        <x:v>999.5380996547414</x:v>
      </x:c>
      <x:c r="BI168" s="17" t="n">
        <x:f>IF(AND($A168&gt;='Control Room'!$A$13,$A168&lt;'Control Room'!$A$13+'Control Room'!$B$13,'Process'!BV2=1),1+('Control Room'!$C$13-1)*EXP(-0.5*(($A168-'Control Room'!$A$13-('Control Room'!$B$13-1)/2)/MAX(0.5,'Control Room'!$B$13/4))^2),1)*IF(AND($A168&gt;='Control Room'!$A$14,$A168&lt;'Control Room'!$A$14+'Control Room'!$B$14,'Process'!BV3=1),1+('Control Room'!$C$14-1)*EXP(-0.5*(($A168-'Control Room'!$A$14-('Control Room'!$B$14-1)/2)/MAX(0.5,'Control Room'!$B$14/4))^2),1)*IF(AND($A168&gt;='Control Room'!$A$15,$A168&lt;'Control Room'!$A$15+'Control Room'!$B$15,'Process'!BV4=1),1+('Control Room'!$C$15-1)*EXP(-0.5*(($A168-'Control Room'!$A$15-('Control Room'!$B$15-1)/2)/MAX(0.5,'Control Room'!$B$15/4))^2),1)*IF(AND($A168&gt;='Control Room'!$A$16,$A168&lt;'Control Room'!$A$16+'Control Room'!$B$16,'Process'!BV5=1),1+('Control Room'!$C$16-1)*EXP(-0.5*(($A168-'Control Room'!$A$16-('Control Room'!$B$16-1)/2)/MAX(0.5,'Control Room'!$B$16/4))^2),1)</x:f>
        <x:v>1</x:v>
      </x:c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Z168" t="str">
        <x:f>IF('Data'!A168="","",TEXT('Data'!A168,"mm-dd"))</x:f>
      </x:c>
    </x:row>
    <x:row r="169" ht="21" customHeight="1">
      <x:c r="A169" s="15" t="n">
        <x:f>'Control Room'!$B$1+167</x:f>
        <x:v>73158</x:v>
      </x:c>
      <x:c r="B169" s="9" t="n">
        <x:f>MOD(C168*16807,2147483647)</x:f>
        <x:v>264677598</x:v>
      </x:c>
      <x:c r="C169" s="9" t="n">
        <x:f>MOD(B169*16807,2147483647)</x:f>
        <x:v>997756649</x:v>
      </x:c>
      <x:c r="D169" s="17" t="n">
        <x:f>IF('Control Room'!$B$5="Normal",'Control Room'!$B$7+'Control Room'!$D$7*SQRT(-2*LN(MAX(0.000000000001,B169/2147483647)))*COS(2*PI()*C169/2147483647),'Control Room'!$B$8+('Control Room'!$D$8-'Control Room'!$B$8)*B169/2147483647)</x:f>
        <x:v>820.3713022326692</x:v>
      </x:c>
      <x:c r="E169" s="17" t="n">
        <x:f>IF('Control Room'!$B$5="Normal",'Control Room'!$B$7,('Control Room'!$B$8+'Control Room'!$D$8)/2)+'Control Room'!$B$9*(E168-IF('Control Room'!$B$5="Normal",'Control Room'!$B$7,('Control Room'!$B$8+'Control Room'!$D$8)/2))+SQRT(1-'Control Room'!$B$9^2)*(D169-IF('Control Room'!$B$5="Normal",'Control Room'!$B$7,('Control Room'!$B$8+'Control Room'!$D$8)/2))</x:f>
        <x:v>883.5069911856765</x:v>
      </x:c>
      <x:c r="F169" s="17" t="n">
        <x:f>IF(AND($A169&gt;='Control Room'!$A$13,$A169&lt;'Control Room'!$A$13+'Control Room'!$B$13,'Process'!BK2=1),1+('Control Room'!$C$13-1)*EXP(-0.5*(($A169-'Control Room'!$A$13-('Control Room'!$B$13-1)/2)/MAX(0.5,'Control Room'!$B$13/4))^2),1)*IF(AND($A169&gt;='Control Room'!$A$14,$A169&lt;'Control Room'!$A$14+'Control Room'!$B$14,'Process'!BK3=1),1+('Control Room'!$C$14-1)*EXP(-0.5*(($A169-'Control Room'!$A$14-('Control Room'!$B$14-1)/2)/MAX(0.5,'Control Room'!$B$14/4))^2),1)*IF(AND($A169&gt;='Control Room'!$A$15,$A169&lt;'Control Room'!$A$15+'Control Room'!$B$15,'Process'!BK4=1),1+('Control Room'!$C$15-1)*EXP(-0.5*(($A169-'Control Room'!$A$15-('Control Room'!$B$15-1)/2)/MAX(0.5,'Control Room'!$B$15/4))^2),1)*IF(AND($A169&gt;='Control Room'!$A$16,$A169&lt;'Control Room'!$A$16+'Control Room'!$B$16,'Process'!BK5=1),1+('Control Room'!$C$16-1)*EXP(-0.5*(($A169-'Control Room'!$A$16-('Control Room'!$B$16-1)/2)/MAX(0.5,'Control Room'!$B$16/4))^2),1)</x:f>
        <x:v>1</x:v>
      </x:c>
      <x:c r="G169" s="9" t="n">
        <x:f>MOD(H168*16807,2147483647)</x:f>
        <x:v>555895100</x:v>
      </x:c>
      <x:c r="H169" s="9" t="n">
        <x:f>MOD(G169*16807,2147483647)</x:f>
        <x:v>1375081250</x:v>
      </x:c>
      <x:c r="I169" s="17" t="n">
        <x:f>IF('Control Room'!$B$5="Normal",'Control Room'!$B$7+'Control Room'!$D$7*SQRT(-2*LN(MAX(0.000000000001,G169/2147483647)))*COS(2*PI()*H169/2147483647),'Control Room'!$B$8+('Control Room'!$D$8-'Control Room'!$B$8)*G169/2147483647)</x:f>
        <x:v>905.9140332862805</x:v>
      </x:c>
      <x:c r="J169" s="17" t="n">
        <x:f>IF('Control Room'!$B$5="Normal",'Control Room'!$B$7,('Control Room'!$B$8+'Control Room'!$D$8)/2)+'Control Room'!$B$9*(J168-IF('Control Room'!$B$5="Normal",'Control Room'!$B$7,('Control Room'!$B$8+'Control Room'!$D$8)/2))+SQRT(1-'Control Room'!$B$9^2)*(I169-IF('Control Room'!$B$5="Normal",'Control Room'!$B$7,('Control Room'!$B$8+'Control Room'!$D$8)/2))</x:f>
        <x:v>861.1313487139525</x:v>
      </x:c>
      <x:c r="K169" s="17" t="n">
        <x:f>IF(AND($A169&gt;='Control Room'!$A$13,$A169&lt;'Control Room'!$A$13+'Control Room'!$B$13,'Process'!BL2=1),1+('Control Room'!$C$13-1)*EXP(-0.5*(($A169-'Control Room'!$A$13-('Control Room'!$B$13-1)/2)/MAX(0.5,'Control Room'!$B$13/4))^2),1)*IF(AND($A169&gt;='Control Room'!$A$14,$A169&lt;'Control Room'!$A$14+'Control Room'!$B$14,'Process'!BL3=1),1+('Control Room'!$C$14-1)*EXP(-0.5*(($A169-'Control Room'!$A$14-('Control Room'!$B$14-1)/2)/MAX(0.5,'Control Room'!$B$14/4))^2),1)*IF(AND($A169&gt;='Control Room'!$A$15,$A169&lt;'Control Room'!$A$15+'Control Room'!$B$15,'Process'!BL4=1),1+('Control Room'!$C$15-1)*EXP(-0.5*(($A169-'Control Room'!$A$15-('Control Room'!$B$15-1)/2)/MAX(0.5,'Control Room'!$B$15/4))^2),1)*IF(AND($A169&gt;='Control Room'!$A$16,$A169&lt;'Control Room'!$A$16+'Control Room'!$B$16,'Process'!BL5=1),1+('Control Room'!$C$16-1)*EXP(-0.5*(($A169-'Control Room'!$A$16-('Control Room'!$B$16-1)/2)/MAX(0.5,'Control Room'!$B$16/4))^2),1)</x:f>
        <x:v>1</x:v>
      </x:c>
      <x:c r="L169" s="9" t="n">
        <x:f>MOD(M168*16807,2147483647)</x:f>
        <x:v>847112602</x:v>
      </x:c>
      <x:c r="M169" s="9" t="n">
        <x:f>MOD(L169*16807,2147483647)</x:f>
        <x:v>1752405851</x:v>
      </x:c>
      <x:c r="N169" s="17" t="n">
        <x:f>IF('Control Room'!$B$5="Normal",'Control Room'!$B$7+'Control Room'!$D$7*SQRT(-2*LN(MAX(0.000000000001,L169/2147483647)))*COS(2*PI()*M169/2147483647),'Control Room'!$B$8+('Control Room'!$D$8-'Control Room'!$B$8)*L169/2147483647)</x:f>
        <x:v>1049.4794657005202</x:v>
      </x:c>
      <x:c r="O169" s="17" t="n">
        <x:f>IF('Control Room'!$B$5="Normal",'Control Room'!$B$7,('Control Room'!$B$8+'Control Room'!$D$8)/2)+'Control Room'!$B$9*(O168-IF('Control Room'!$B$5="Normal",'Control Room'!$B$7,('Control Room'!$B$8+'Control Room'!$D$8)/2))+SQRT(1-'Control Room'!$B$9^2)*(N169-IF('Control Room'!$B$5="Normal",'Control Room'!$B$7,('Control Room'!$B$8+'Control Room'!$D$8)/2))</x:f>
        <x:v>1109.871419968017</x:v>
      </x:c>
      <x:c r="P169" s="17" t="n">
        <x:f>IF(AND($A169&gt;='Control Room'!$A$13,$A169&lt;'Control Room'!$A$13+'Control Room'!$B$13,'Process'!BM2=1),1+('Control Room'!$C$13-1)*EXP(-0.5*(($A169-'Control Room'!$A$13-('Control Room'!$B$13-1)/2)/MAX(0.5,'Control Room'!$B$13/4))^2),1)*IF(AND($A169&gt;='Control Room'!$A$14,$A169&lt;'Control Room'!$A$14+'Control Room'!$B$14,'Process'!BM3=1),1+('Control Room'!$C$14-1)*EXP(-0.5*(($A169-'Control Room'!$A$14-('Control Room'!$B$14-1)/2)/MAX(0.5,'Control Room'!$B$14/4))^2),1)*IF(AND($A169&gt;='Control Room'!$A$15,$A169&lt;'Control Room'!$A$15+'Control Room'!$B$15,'Process'!BM4=1),1+('Control Room'!$C$15-1)*EXP(-0.5*(($A169-'Control Room'!$A$15-('Control Room'!$B$15-1)/2)/MAX(0.5,'Control Room'!$B$15/4))^2),1)*IF(AND($A169&gt;='Control Room'!$A$16,$A169&lt;'Control Room'!$A$16+'Control Room'!$B$16,'Process'!BM5=1),1+('Control Room'!$C$16-1)*EXP(-0.5*(($A169-'Control Room'!$A$16-('Control Room'!$B$16-1)/2)/MAX(0.5,'Control Room'!$B$16/4))^2),1)</x:f>
        <x:v>1</x:v>
      </x:c>
      <x:c r="Q169" s="9" t="n">
        <x:f>MOD(R168*16807,2147483647)</x:f>
        <x:v>1138330104</x:v>
      </x:c>
      <x:c r="R169" s="9" t="n">
        <x:f>MOD(Q169*16807,2147483647)</x:f>
        <x:v>2129730452</x:v>
      </x:c>
      <x:c r="S169" s="17" t="n">
        <x:f>IF('Control Room'!$B$5="Normal",'Control Room'!$B$7+'Control Room'!$D$7*SQRT(-2*LN(MAX(0.000000000001,Q169/2147483647)))*COS(2*PI()*R169/2147483647),'Control Room'!$B$8+('Control Room'!$D$8-'Control Room'!$B$8)*Q169/2147483647)</x:f>
        <x:v>1101.2668685905603</x:v>
      </x:c>
      <x:c r="T169" s="17" t="n">
        <x:f>IF('Control Room'!$B$5="Normal",'Control Room'!$B$7,('Control Room'!$B$8+'Control Room'!$D$8)/2)+'Control Room'!$B$9*(T168-IF('Control Room'!$B$5="Normal",'Control Room'!$B$7,('Control Room'!$B$8+'Control Room'!$D$8)/2))+SQRT(1-'Control Room'!$B$9^2)*(S169-IF('Control Room'!$B$5="Normal",'Control Room'!$B$7,('Control Room'!$B$8+'Control Room'!$D$8)/2))</x:f>
        <x:v>1099.8330152164697</x:v>
      </x:c>
      <x:c r="U169" s="17" t="n">
        <x:f>IF(AND($A169&gt;='Control Room'!$A$13,$A169&lt;'Control Room'!$A$13+'Control Room'!$B$13,'Process'!BN2=1),1+('Control Room'!$C$13-1)*EXP(-0.5*(($A169-'Control Room'!$A$13-('Control Room'!$B$13-1)/2)/MAX(0.5,'Control Room'!$B$13/4))^2),1)*IF(AND($A169&gt;='Control Room'!$A$14,$A169&lt;'Control Room'!$A$14+'Control Room'!$B$14,'Process'!BN3=1),1+('Control Room'!$C$14-1)*EXP(-0.5*(($A169-'Control Room'!$A$14-('Control Room'!$B$14-1)/2)/MAX(0.5,'Control Room'!$B$14/4))^2),1)*IF(AND($A169&gt;='Control Room'!$A$15,$A169&lt;'Control Room'!$A$15+'Control Room'!$B$15,'Process'!BN4=1),1+('Control Room'!$C$15-1)*EXP(-0.5*(($A169-'Control Room'!$A$15-('Control Room'!$B$15-1)/2)/MAX(0.5,'Control Room'!$B$15/4))^2),1)*IF(AND($A169&gt;='Control Room'!$A$16,$A169&lt;'Control Room'!$A$16+'Control Room'!$B$16,'Process'!BN5=1),1+('Control Room'!$C$16-1)*EXP(-0.5*(($A169-'Control Room'!$A$16-('Control Room'!$B$16-1)/2)/MAX(0.5,'Control Room'!$B$16/4))^2),1)</x:f>
        <x:v>1</x:v>
      </x:c>
      <x:c r="V169" s="9" t="n">
        <x:f>MOD(W168*16807,2147483647)</x:f>
        <x:v>1429547606</x:v>
      </x:c>
      <x:c r="W169" s="9" t="n">
        <x:f>MOD(V169*16807,2147483647)</x:f>
        <x:v>359571406</x:v>
      </x:c>
      <x:c r="X169" s="17" t="n">
        <x:f>IF('Control Room'!$B$5="Normal",'Control Room'!$B$7+'Control Room'!$D$7*SQRT(-2*LN(MAX(0.000000000001,V169/2147483647)))*COS(2*PI()*W169/2147483647),'Control Room'!$B$8+('Control Room'!$D$8-'Control Room'!$B$8)*V169/2147483647)</x:f>
        <x:v>1040.2553503133151</x:v>
      </x:c>
      <x:c r="Y169" s="17" t="n">
        <x:f>IF('Control Room'!$B$5="Normal",'Control Room'!$B$7,('Control Room'!$B$8+'Control Room'!$D$8)/2)+'Control Room'!$B$9*(Y168-IF('Control Room'!$B$5="Normal",'Control Room'!$B$7,('Control Room'!$B$8+'Control Room'!$D$8)/2))+SQRT(1-'Control Room'!$B$9^2)*(X169-IF('Control Room'!$B$5="Normal",'Control Room'!$B$7,('Control Room'!$B$8+'Control Room'!$D$8)/2))</x:f>
        <x:v>1061.0300679519132</x:v>
      </x:c>
      <x:c r="Z169" s="17" t="n">
        <x:f>IF(AND($A169&gt;='Control Room'!$A$13,$A169&lt;'Control Room'!$A$13+'Control Room'!$B$13,'Process'!BO2=1),1+('Control Room'!$C$13-1)*EXP(-0.5*(($A169-'Control Room'!$A$13-('Control Room'!$B$13-1)/2)/MAX(0.5,'Control Room'!$B$13/4))^2),1)*IF(AND($A169&gt;='Control Room'!$A$14,$A169&lt;'Control Room'!$A$14+'Control Room'!$B$14,'Process'!BO3=1),1+('Control Room'!$C$14-1)*EXP(-0.5*(($A169-'Control Room'!$A$14-('Control Room'!$B$14-1)/2)/MAX(0.5,'Control Room'!$B$14/4))^2),1)*IF(AND($A169&gt;='Control Room'!$A$15,$A169&lt;'Control Room'!$A$15+'Control Room'!$B$15,'Process'!BO4=1),1+('Control Room'!$C$15-1)*EXP(-0.5*(($A169-'Control Room'!$A$15-('Control Room'!$B$15-1)/2)/MAX(0.5,'Control Room'!$B$15/4))^2),1)*IF(AND($A169&gt;='Control Room'!$A$16,$A169&lt;'Control Room'!$A$16+'Control Room'!$B$16,'Process'!BO5=1),1+('Control Room'!$C$16-1)*EXP(-0.5*(($A169-'Control Room'!$A$16-('Control Room'!$B$16-1)/2)/MAX(0.5,'Control Room'!$B$16/4))^2),1)</x:f>
        <x:v>1</x:v>
      </x:c>
      <x:c r="AA169" s="9" t="n">
        <x:f>MOD(AB168*16807,2147483647)</x:f>
        <x:v>1720765108</x:v>
      </x:c>
      <x:c r="AB169" s="9" t="n">
        <x:f>MOD(AA169*16807,2147483647)</x:f>
        <x:v>736896007</x:v>
      </x:c>
      <x:c r="AC169" s="17" t="n">
        <x:f>IF('Control Room'!$B$5="Normal",'Control Room'!$B$7+'Control Room'!$D$7*SQRT(-2*LN(MAX(0.000000000001,AA169/2147483647)))*COS(2*PI()*AB169/2147483647),'Control Room'!$B$8+('Control Room'!$D$8-'Control Room'!$B$8)*AA169/2147483647)</x:f>
        <x:v>966.9078307313456</x:v>
      </x:c>
      <x:c r="AD169" s="17" t="n">
        <x:f>IF('Control Room'!$B$5="Normal",'Control Room'!$B$7,('Control Room'!$B$8+'Control Room'!$D$8)/2)+'Control Room'!$B$9*(AD168-IF('Control Room'!$B$5="Normal",'Control Room'!$B$7,('Control Room'!$B$8+'Control Room'!$D$8)/2))+SQRT(1-'Control Room'!$B$9^2)*(AC169-IF('Control Room'!$B$5="Normal",'Control Room'!$B$7,('Control Room'!$B$8+'Control Room'!$D$8)/2))</x:f>
        <x:v>889.6506029632958</x:v>
      </x:c>
      <x:c r="AE169" s="17" t="n">
        <x:f>IF(AND($A169&gt;='Control Room'!$A$13,$A169&lt;'Control Room'!$A$13+'Control Room'!$B$13,'Process'!BP2=1),1+('Control Room'!$C$13-1)*EXP(-0.5*(($A169-'Control Room'!$A$13-('Control Room'!$B$13-1)/2)/MAX(0.5,'Control Room'!$B$13/4))^2),1)*IF(AND($A169&gt;='Control Room'!$A$14,$A169&lt;'Control Room'!$A$14+'Control Room'!$B$14,'Process'!BP3=1),1+('Control Room'!$C$14-1)*EXP(-0.5*(($A169-'Control Room'!$A$14-('Control Room'!$B$14-1)/2)/MAX(0.5,'Control Room'!$B$14/4))^2),1)*IF(AND($A169&gt;='Control Room'!$A$15,$A169&lt;'Control Room'!$A$15+'Control Room'!$B$15,'Process'!BP4=1),1+('Control Room'!$C$15-1)*EXP(-0.5*(($A169-'Control Room'!$A$15-('Control Room'!$B$15-1)/2)/MAX(0.5,'Control Room'!$B$15/4))^2),1)*IF(AND($A169&gt;='Control Room'!$A$16,$A169&lt;'Control Room'!$A$16+'Control Room'!$B$16,'Process'!BP5=1),1+('Control Room'!$C$16-1)*EXP(-0.5*(($A169-'Control Room'!$A$16-('Control Room'!$B$16-1)/2)/MAX(0.5,'Control Room'!$B$16/4))^2),1)</x:f>
        <x:v>1</x:v>
      </x:c>
      <x:c r="AF169" s="9" t="n">
        <x:f>MOD(AG168*16807,2147483647)</x:f>
        <x:v>2011982610</x:v>
      </x:c>
      <x:c r="AG169" s="9" t="n">
        <x:f>MOD(AF169*16807,2147483647)</x:f>
        <x:v>1114220608</x:v>
      </x:c>
      <x:c r="AH169" s="17" t="n">
        <x:f>IF('Control Room'!$B$5="Normal",'Control Room'!$B$7+'Control Room'!$D$7*SQRT(-2*LN(MAX(0.000000000001,AF169/2147483647)))*COS(2*PI()*AG169/2147483647),'Control Room'!$B$8+('Control Room'!$D$8-'Control Room'!$B$8)*AF169/2147483647)</x:f>
        <x:v>967.7337228988305</x:v>
      </x:c>
      <x:c r="AI169" s="17" t="n">
        <x:f>IF('Control Room'!$B$5="Normal",'Control Room'!$B$7,('Control Room'!$B$8+'Control Room'!$D$8)/2)+'Control Room'!$B$9*(AI168-IF('Control Room'!$B$5="Normal",'Control Room'!$B$7,('Control Room'!$B$8+'Control Room'!$D$8)/2))+SQRT(1-'Control Room'!$B$9^2)*(AH169-IF('Control Room'!$B$5="Normal",'Control Room'!$B$7,('Control Room'!$B$8+'Control Room'!$D$8)/2))</x:f>
        <x:v>889.242233184901</x:v>
      </x:c>
      <x:c r="AJ169" s="17" t="n">
        <x:f>IF(AND($A169&gt;='Control Room'!$A$13,$A169&lt;'Control Room'!$A$13+'Control Room'!$B$13,'Process'!BQ2=1),1+('Control Room'!$C$13-1)*EXP(-0.5*(($A169-'Control Room'!$A$13-('Control Room'!$B$13-1)/2)/MAX(0.5,'Control Room'!$B$13/4))^2),1)*IF(AND($A169&gt;='Control Room'!$A$14,$A169&lt;'Control Room'!$A$14+'Control Room'!$B$14,'Process'!BQ3=1),1+('Control Room'!$C$14-1)*EXP(-0.5*(($A169-'Control Room'!$A$14-('Control Room'!$B$14-1)/2)/MAX(0.5,'Control Room'!$B$14/4))^2),1)*IF(AND($A169&gt;='Control Room'!$A$15,$A169&lt;'Control Room'!$A$15+'Control Room'!$B$15,'Process'!BQ4=1),1+('Control Room'!$C$15-1)*EXP(-0.5*(($A169-'Control Room'!$A$15-('Control Room'!$B$15-1)/2)/MAX(0.5,'Control Room'!$B$15/4))^2),1)*IF(AND($A169&gt;='Control Room'!$A$16,$A169&lt;'Control Room'!$A$16+'Control Room'!$B$16,'Process'!BQ5=1),1+('Control Room'!$C$16-1)*EXP(-0.5*(($A169-'Control Room'!$A$16-('Control Room'!$B$16-1)/2)/MAX(0.5,'Control Room'!$B$16/4))^2),1)</x:f>
        <x:v>1</x:v>
      </x:c>
      <x:c r="AK169" s="9" t="n">
        <x:f>MOD(AL168*16807,2147483647)</x:f>
        <x:v>155716465</x:v>
      </x:c>
      <x:c r="AL169" s="9" t="n">
        <x:f>MOD(AK169*16807,2147483647)</x:f>
        <x:v>1491545209</x:v>
      </x:c>
      <x:c r="AM169" s="17" t="n">
        <x:f>IF('Control Room'!$B$5="Normal",'Control Room'!$B$7+'Control Room'!$D$7*SQRT(-2*LN(MAX(0.000000000001,AK169/2147483647)))*COS(2*PI()*AL169/2147483647),'Control Room'!$B$8+('Control Room'!$D$8-'Control Room'!$B$8)*AK169/2147483647)</x:f>
        <x:v>929.6176687436044</x:v>
      </x:c>
      <x:c r="AN169" s="17" t="n">
        <x:f>IF('Control Room'!$B$5="Normal",'Control Room'!$B$7,('Control Room'!$B$8+'Control Room'!$D$8)/2)+'Control Room'!$B$9*(AN168-IF('Control Room'!$B$5="Normal",'Control Room'!$B$7,('Control Room'!$B$8+'Control Room'!$D$8)/2))+SQRT(1-'Control Room'!$B$9^2)*(AM169-IF('Control Room'!$B$5="Normal",'Control Room'!$B$7,('Control Room'!$B$8+'Control Room'!$D$8)/2))</x:f>
        <x:v>946.6151601336668</x:v>
      </x:c>
      <x:c r="AO169" s="17" t="n">
        <x:f>IF(AND($A169&gt;='Control Room'!$A$13,$A169&lt;'Control Room'!$A$13+'Control Room'!$B$13,'Process'!BR2=1),1+('Control Room'!$C$13-1)*EXP(-0.5*(($A169-'Control Room'!$A$13-('Control Room'!$B$13-1)/2)/MAX(0.5,'Control Room'!$B$13/4))^2),1)*IF(AND($A169&gt;='Control Room'!$A$14,$A169&lt;'Control Room'!$A$14+'Control Room'!$B$14,'Process'!BR3=1),1+('Control Room'!$C$14-1)*EXP(-0.5*(($A169-'Control Room'!$A$14-('Control Room'!$B$14-1)/2)/MAX(0.5,'Control Room'!$B$14/4))^2),1)*IF(AND($A169&gt;='Control Room'!$A$15,$A169&lt;'Control Room'!$A$15+'Control Room'!$B$15,'Process'!BR4=1),1+('Control Room'!$C$15-1)*EXP(-0.5*(($A169-'Control Room'!$A$15-('Control Room'!$B$15-1)/2)/MAX(0.5,'Control Room'!$B$15/4))^2),1)*IF(AND($A169&gt;='Control Room'!$A$16,$A169&lt;'Control Room'!$A$16+'Control Room'!$B$16,'Process'!BR5=1),1+('Control Room'!$C$16-1)*EXP(-0.5*(($A169-'Control Room'!$A$16-('Control Room'!$B$16-1)/2)/MAX(0.5,'Control Room'!$B$16/4))^2),1)</x:f>
        <x:v>1</x:v>
      </x:c>
      <x:c r="AP169" s="9" t="n">
        <x:f>MOD(AQ168*16807,2147483647)</x:f>
        <x:v>446933967</x:v>
      </x:c>
      <x:c r="AQ169" s="9" t="n">
        <x:f>MOD(AP169*16807,2147483647)</x:f>
        <x:v>1868869810</x:v>
      </x:c>
      <x:c r="AR169" s="17" t="n">
        <x:f>IF('Control Room'!$B$5="Normal",'Control Room'!$B$7+'Control Room'!$D$7*SQRT(-2*LN(MAX(0.000000000001,AP169/2147483647)))*COS(2*PI()*AQ169/2147483647),'Control Room'!$B$8+('Control Room'!$D$8-'Control Room'!$B$8)*AP169/2147483647)</x:f>
        <x:v>1109.3493611505078</x:v>
      </x:c>
      <x:c r="AS169" s="17" t="n">
        <x:f>IF('Control Room'!$B$5="Normal",'Control Room'!$B$7,('Control Room'!$B$8+'Control Room'!$D$8)/2)+'Control Room'!$B$9*(AS168-IF('Control Room'!$B$5="Normal",'Control Room'!$B$7,('Control Room'!$B$8+'Control Room'!$D$8)/2))+SQRT(1-'Control Room'!$B$9^2)*(AR169-IF('Control Room'!$B$5="Normal",'Control Room'!$B$7,('Control Room'!$B$8+'Control Room'!$D$8)/2))</x:f>
        <x:v>1053.559108726916</x:v>
      </x:c>
      <x:c r="AT169" s="17" t="n">
        <x:f>IF(AND($A169&gt;='Control Room'!$A$13,$A169&lt;'Control Room'!$A$13+'Control Room'!$B$13,'Process'!BS2=1),1+('Control Room'!$C$13-1)*EXP(-0.5*(($A169-'Control Room'!$A$13-('Control Room'!$B$13-1)/2)/MAX(0.5,'Control Room'!$B$13/4))^2),1)*IF(AND($A169&gt;='Control Room'!$A$14,$A169&lt;'Control Room'!$A$14+'Control Room'!$B$14,'Process'!BS3=1),1+('Control Room'!$C$14-1)*EXP(-0.5*(($A169-'Control Room'!$A$14-('Control Room'!$B$14-1)/2)/MAX(0.5,'Control Room'!$B$14/4))^2),1)*IF(AND($A169&gt;='Control Room'!$A$15,$A169&lt;'Control Room'!$A$15+'Control Room'!$B$15,'Process'!BS4=1),1+('Control Room'!$C$15-1)*EXP(-0.5*(($A169-'Control Room'!$A$15-('Control Room'!$B$15-1)/2)/MAX(0.5,'Control Room'!$B$15/4))^2),1)*IF(AND($A169&gt;='Control Room'!$A$16,$A169&lt;'Control Room'!$A$16+'Control Room'!$B$16,'Process'!BS5=1),1+('Control Room'!$C$16-1)*EXP(-0.5*(($A169-'Control Room'!$A$16-('Control Room'!$B$16-1)/2)/MAX(0.5,'Control Room'!$B$16/4))^2),1)</x:f>
        <x:v>1</x:v>
      </x:c>
      <x:c r="AU169" s="9" t="n">
        <x:f>MOD(AV168*16807,2147483647)</x:f>
        <x:v>738151469</x:v>
      </x:c>
      <x:c r="AV169" s="9" t="n">
        <x:f>MOD(AU169*16807,2147483647)</x:f>
        <x:v>98710764</x:v>
      </x:c>
      <x:c r="AW169" s="17" t="n">
        <x:f>IF('Control Room'!$B$5="Normal",'Control Room'!$B$7+'Control Room'!$D$7*SQRT(-2*LN(MAX(0.000000000001,AU169/2147483647)))*COS(2*PI()*AV169/2147483647),'Control Room'!$B$8+('Control Room'!$D$8-'Control Room'!$B$8)*AU169/2147483647)</x:f>
        <x:v>1126.0820184539125</x:v>
      </x:c>
      <x:c r="AX169" s="17" t="n">
        <x:f>IF('Control Room'!$B$5="Normal",'Control Room'!$B$7,('Control Room'!$B$8+'Control Room'!$D$8)/2)+'Control Room'!$B$9*(AX168-IF('Control Room'!$B$5="Normal",'Control Room'!$B$7,('Control Room'!$B$8+'Control Room'!$D$8)/2))+SQRT(1-'Control Room'!$B$9^2)*(AW169-IF('Control Room'!$B$5="Normal",'Control Room'!$B$7,('Control Room'!$B$8+'Control Room'!$D$8)/2))</x:f>
        <x:v>1106.3019994290294</x:v>
      </x:c>
      <x:c r="AY169" s="17" t="n">
        <x:f>IF(AND($A169&gt;='Control Room'!$A$13,$A169&lt;'Control Room'!$A$13+'Control Room'!$B$13,'Process'!BT2=1),1+('Control Room'!$C$13-1)*EXP(-0.5*(($A169-'Control Room'!$A$13-('Control Room'!$B$13-1)/2)/MAX(0.5,'Control Room'!$B$13/4))^2),1)*IF(AND($A169&gt;='Control Room'!$A$14,$A169&lt;'Control Room'!$A$14+'Control Room'!$B$14,'Process'!BT3=1),1+('Control Room'!$C$14-1)*EXP(-0.5*(($A169-'Control Room'!$A$14-('Control Room'!$B$14-1)/2)/MAX(0.5,'Control Room'!$B$14/4))^2),1)*IF(AND($A169&gt;='Control Room'!$A$15,$A169&lt;'Control Room'!$A$15+'Control Room'!$B$15,'Process'!BT4=1),1+('Control Room'!$C$15-1)*EXP(-0.5*(($A169-'Control Room'!$A$15-('Control Room'!$B$15-1)/2)/MAX(0.5,'Control Room'!$B$15/4))^2),1)*IF(AND($A169&gt;='Control Room'!$A$16,$A169&lt;'Control Room'!$A$16+'Control Room'!$B$16,'Process'!BT5=1),1+('Control Room'!$C$16-1)*EXP(-0.5*(($A169-'Control Room'!$A$16-('Control Room'!$B$16-1)/2)/MAX(0.5,'Control Room'!$B$16/4))^2),1)</x:f>
        <x:v>1</x:v>
      </x:c>
      <x:c r="AZ169" s="9" t="n">
        <x:f>MOD(BA168*16807,2147483647)</x:f>
        <x:v>1029368971</x:v>
      </x:c>
      <x:c r="BA169" s="9" t="n">
        <x:f>MOD(AZ169*16807,2147483647)</x:f>
        <x:v>476035365</x:v>
      </x:c>
      <x:c r="BB169" s="17" t="n">
        <x:f>IF('Control Room'!$B$5="Normal",'Control Room'!$B$7+'Control Room'!$D$7*SQRT(-2*LN(MAX(0.000000000001,AZ169/2147483647)))*COS(2*PI()*BA169/2147483647),'Control Room'!$B$8+('Control Room'!$D$8-'Control Room'!$B$8)*AZ169/2147483647)</x:f>
        <x:v>1019.3248686506349</x:v>
      </x:c>
      <x:c r="BC169" s="17" t="n">
        <x:f>IF('Control Room'!$B$5="Normal",'Control Room'!$B$7,('Control Room'!$B$8+'Control Room'!$D$8)/2)+'Control Room'!$B$9*(BC168-IF('Control Room'!$B$5="Normal",'Control Room'!$B$7,('Control Room'!$B$8+'Control Room'!$D$8)/2))+SQRT(1-'Control Room'!$B$9^2)*(BB169-IF('Control Room'!$B$5="Normal",'Control Room'!$B$7,('Control Room'!$B$8+'Control Room'!$D$8)/2))</x:f>
        <x:v>1083.6841824287826</x:v>
      </x:c>
      <x:c r="BD169" s="17" t="n">
        <x:f>IF(AND($A169&gt;='Control Room'!$A$13,$A169&lt;'Control Room'!$A$13+'Control Room'!$B$13,'Process'!BU2=1),1+('Control Room'!$C$13-1)*EXP(-0.5*(($A169-'Control Room'!$A$13-('Control Room'!$B$13-1)/2)/MAX(0.5,'Control Room'!$B$13/4))^2),1)*IF(AND($A169&gt;='Control Room'!$A$14,$A169&lt;'Control Room'!$A$14+'Control Room'!$B$14,'Process'!BU3=1),1+('Control Room'!$C$14-1)*EXP(-0.5*(($A169-'Control Room'!$A$14-('Control Room'!$B$14-1)/2)/MAX(0.5,'Control Room'!$B$14/4))^2),1)*IF(AND($A169&gt;='Control Room'!$A$15,$A169&lt;'Control Room'!$A$15+'Control Room'!$B$15,'Process'!BU4=1),1+('Control Room'!$C$15-1)*EXP(-0.5*(($A169-'Control Room'!$A$15-('Control Room'!$B$15-1)/2)/MAX(0.5,'Control Room'!$B$15/4))^2),1)*IF(AND($A169&gt;='Control Room'!$A$16,$A169&lt;'Control Room'!$A$16+'Control Room'!$B$16,'Process'!BU5=1),1+('Control Room'!$C$16-1)*EXP(-0.5*(($A169-'Control Room'!$A$16-('Control Room'!$B$16-1)/2)/MAX(0.5,'Control Room'!$B$16/4))^2),1)</x:f>
        <x:v>1</x:v>
      </x:c>
      <x:c r="BE169" s="9" t="n">
        <x:f>MOD(BF168*16807,2147483647)</x:f>
        <x:v>1320586473</x:v>
      </x:c>
      <x:c r="BF169" s="9" t="n">
        <x:f>MOD(BE169*16807,2147483647)</x:f>
        <x:v>853359966</x:v>
      </x:c>
      <x:c r="BG169" s="17" t="n">
        <x:f>IF('Control Room'!$B$5="Normal",'Control Room'!$B$7+'Control Room'!$D$7*SQRT(-2*LN(MAX(0.000000000001,BE169/2147483647)))*COS(2*PI()*BF169/2147483647),'Control Room'!$B$8+('Control Room'!$D$8-'Control Room'!$B$8)*BE169/2147483647)</x:f>
        <x:v>929.0683228469135</x:v>
      </x:c>
      <x:c r="BH169" s="17" t="n">
        <x:f>IF('Control Room'!$B$5="Normal",'Control Room'!$B$7,('Control Room'!$B$8+'Control Room'!$D$8)/2)+'Control Room'!$B$9*(BH168-IF('Control Room'!$B$5="Normal",'Control Room'!$B$7,('Control Room'!$B$8+'Control Room'!$D$8)/2))+SQRT(1-'Control Room'!$B$9^2)*(BG169-IF('Control Room'!$B$5="Normal",'Control Room'!$B$7,('Control Room'!$B$8+'Control Room'!$D$8)/2))</x:f>
        <x:v>955.2521272826871</x:v>
      </x:c>
      <x:c r="BI169" s="17" t="n">
        <x:f>IF(AND($A169&gt;='Control Room'!$A$13,$A169&lt;'Control Room'!$A$13+'Control Room'!$B$13,'Process'!BV2=1),1+('Control Room'!$C$13-1)*EXP(-0.5*(($A169-'Control Room'!$A$13-('Control Room'!$B$13-1)/2)/MAX(0.5,'Control Room'!$B$13/4))^2),1)*IF(AND($A169&gt;='Control Room'!$A$14,$A169&lt;'Control Room'!$A$14+'Control Room'!$B$14,'Process'!BV3=1),1+('Control Room'!$C$14-1)*EXP(-0.5*(($A169-'Control Room'!$A$14-('Control Room'!$B$14-1)/2)/MAX(0.5,'Control Room'!$B$14/4))^2),1)*IF(AND($A169&gt;='Control Room'!$A$15,$A169&lt;'Control Room'!$A$15+'Control Room'!$B$15,'Process'!BV4=1),1+('Control Room'!$C$15-1)*EXP(-0.5*(($A169-'Control Room'!$A$15-('Control Room'!$B$15-1)/2)/MAX(0.5,'Control Room'!$B$15/4))^2),1)*IF(AND($A169&gt;='Control Room'!$A$16,$A169&lt;'Control Room'!$A$16+'Control Room'!$B$16,'Process'!BV5=1),1+('Control Room'!$C$16-1)*EXP(-0.5*(($A169-'Control Room'!$A$16-('Control Room'!$B$16-1)/2)/MAX(0.5,'Control Room'!$B$16/4))^2),1)</x:f>
        <x:v>1</x:v>
      </x:c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Z169" t="str">
        <x:f>IF('Data'!A169="","",TEXT('Data'!A169,"mm-dd"))</x:f>
      </x:c>
    </x:row>
    <x:row r="170" ht="21" customHeight="1">
      <x:c r="A170" s="15" t="n">
        <x:f>'Control Room'!$B$1+168</x:f>
        <x:v>73159</x:v>
      </x:c>
      <x:c r="B170" s="9" t="n">
        <x:f>MOD(C169*16807,2147483647)</x:f>
        <x:v>1743683967</x:v>
      </x:c>
      <x:c r="C170" s="9" t="n">
        <x:f>MOD(B170*16807,2147483647)</x:f>
        <x:v>1534586407</x:v>
      </x:c>
      <x:c r="D170" s="17" t="n">
        <x:f>IF('Control Room'!$B$5="Normal",'Control Room'!$B$7+'Control Room'!$D$7*SQRT(-2*LN(MAX(0.000000000001,B170/2147483647)))*COS(2*PI()*C170/2147483647),'Control Room'!$B$8+('Control Room'!$D$8-'Control Room'!$B$8)*B170/2147483647)</x:f>
        <x:v>987.1848029481497</x:v>
      </x:c>
      <x:c r="E170" s="17" t="n">
        <x:f>IF('Control Room'!$B$5="Normal",'Control Room'!$B$7,('Control Room'!$B$8+'Control Room'!$D$8)/2)+'Control Room'!$B$9*(E169-IF('Control Room'!$B$5="Normal",'Control Room'!$B$7,('Control Room'!$B$8+'Control Room'!$D$8)/2))+SQRT(1-'Control Room'!$B$9^2)*(D170-IF('Control Room'!$B$5="Normal",'Control Room'!$B$7,('Control Room'!$B$8+'Control Room'!$D$8)/2))</x:f>
        <x:v>901.1159653433614</x:v>
      </x:c>
      <x:c r="F170" s="17" t="n">
        <x:f>IF(AND($A170&gt;='Control Room'!$A$13,$A170&lt;'Control Room'!$A$13+'Control Room'!$B$13,'Process'!BK2=1),1+('Control Room'!$C$13-1)*EXP(-0.5*(($A170-'Control Room'!$A$13-('Control Room'!$B$13-1)/2)/MAX(0.5,'Control Room'!$B$13/4))^2),1)*IF(AND($A170&gt;='Control Room'!$A$14,$A170&lt;'Control Room'!$A$14+'Control Room'!$B$14,'Process'!BK3=1),1+('Control Room'!$C$14-1)*EXP(-0.5*(($A170-'Control Room'!$A$14-('Control Room'!$B$14-1)/2)/MAX(0.5,'Control Room'!$B$14/4))^2),1)*IF(AND($A170&gt;='Control Room'!$A$15,$A170&lt;'Control Room'!$A$15+'Control Room'!$B$15,'Process'!BK4=1),1+('Control Room'!$C$15-1)*EXP(-0.5*(($A170-'Control Room'!$A$15-('Control Room'!$B$15-1)/2)/MAX(0.5,'Control Room'!$B$15/4))^2),1)*IF(AND($A170&gt;='Control Room'!$A$16,$A170&lt;'Control Room'!$A$16+'Control Room'!$B$16,'Process'!BK5=1),1+('Control Room'!$C$16-1)*EXP(-0.5*(($A170-'Control Room'!$A$16-('Control Room'!$B$16-1)/2)/MAX(0.5,'Control Room'!$B$16/4))^2),1)</x:f>
        <x:v>1</x:v>
      </x:c>
      <x:c r="G170" s="9" t="n">
        <x:f>MOD(H169*16807,2147483647)</x:f>
        <x:v>1919043383</x:v>
      </x:c>
      <x:c r="H170" s="9" t="n">
        <x:f>MOD(G170*16807,2147483647)</x:f>
        <x:v>305243788</x:v>
      </x:c>
      <x:c r="I170" s="17" t="n">
        <x:f>IF('Control Room'!$B$5="Normal",'Control Room'!$B$7+'Control Room'!$D$7*SQRT(-2*LN(MAX(0.000000000001,G170/2147483647)))*COS(2*PI()*H170/2147483647),'Control Room'!$B$8+('Control Room'!$D$8-'Control Room'!$B$8)*G170/2147483647)</x:f>
        <x:v>1026.7637484130253</x:v>
      </x:c>
      <x:c r="J170" s="17" t="n">
        <x:f>IF('Control Room'!$B$5="Normal",'Control Room'!$B$7,('Control Room'!$B$8+'Control Room'!$D$8)/2)+'Control Room'!$B$9*(J169-IF('Control Room'!$B$5="Normal",'Control Room'!$B$7,('Control Room'!$B$8+'Control Room'!$D$8)/2))+SQRT(1-'Control Room'!$B$9^2)*(I170-IF('Control Room'!$B$5="Normal",'Control Room'!$B$7,('Control Room'!$B$8+'Control Room'!$D$8)/2))</x:f>
        <x:v>908.430657468566</x:v>
      </x:c>
      <x:c r="K170" s="17" t="n">
        <x:f>IF(AND($A170&gt;='Control Room'!$A$13,$A170&lt;'Control Room'!$A$13+'Control Room'!$B$13,'Process'!BL2=1),1+('Control Room'!$C$13-1)*EXP(-0.5*(($A170-'Control Room'!$A$13-('Control Room'!$B$13-1)/2)/MAX(0.5,'Control Room'!$B$13/4))^2),1)*IF(AND($A170&gt;='Control Room'!$A$14,$A170&lt;'Control Room'!$A$14+'Control Room'!$B$14,'Process'!BL3=1),1+('Control Room'!$C$14-1)*EXP(-0.5*(($A170-'Control Room'!$A$14-('Control Room'!$B$14-1)/2)/MAX(0.5,'Control Room'!$B$14/4))^2),1)*IF(AND($A170&gt;='Control Room'!$A$15,$A170&lt;'Control Room'!$A$15+'Control Room'!$B$15,'Process'!BL4=1),1+('Control Room'!$C$15-1)*EXP(-0.5*(($A170-'Control Room'!$A$15-('Control Room'!$B$15-1)/2)/MAX(0.5,'Control Room'!$B$15/4))^2),1)*IF(AND($A170&gt;='Control Room'!$A$16,$A170&lt;'Control Room'!$A$16+'Control Room'!$B$16,'Process'!BL5=1),1+('Control Room'!$C$16-1)*EXP(-0.5*(($A170-'Control Room'!$A$16-('Control Room'!$B$16-1)/2)/MAX(0.5,'Control Room'!$B$16/4))^2),1)</x:f>
        <x:v>1</x:v>
      </x:c>
      <x:c r="L170" s="9" t="n">
        <x:f>MOD(M169*16807,2147483647)</x:f>
        <x:v>2094402799</x:v>
      </x:c>
      <x:c r="M170" s="9" t="n">
        <x:f>MOD(L170*16807,2147483647)</x:f>
        <x:v>1223384816</x:v>
      </x:c>
      <x:c r="N170" s="17" t="n">
        <x:f>IF('Control Room'!$B$5="Normal",'Control Room'!$B$7+'Control Room'!$D$7*SQRT(-2*LN(MAX(0.000000000001,L170/2147483647)))*COS(2*PI()*M170/2147483647),'Control Room'!$B$8+('Control Room'!$D$8-'Control Room'!$B$8)*L170/2147483647)</x:f>
        <x:v>981.7633575725511</x:v>
      </x:c>
      <x:c r="O170" s="17" t="n">
        <x:f>IF('Control Room'!$B$5="Normal",'Control Room'!$B$7,('Control Room'!$B$8+'Control Room'!$D$8)/2)+'Control Room'!$B$9*(O169-IF('Control Room'!$B$5="Normal",'Control Room'!$B$7,('Control Room'!$B$8+'Control Room'!$D$8)/2))+SQRT(1-'Control Room'!$B$9^2)*(N170-IF('Control Room'!$B$5="Normal",'Control Room'!$B$7,('Control Room'!$B$8+'Control Room'!$D$8)/2))</x:f>
        <x:v>1074.2875903418826</x:v>
      </x:c>
      <x:c r="P170" s="17" t="n">
        <x:f>IF(AND($A170&gt;='Control Room'!$A$13,$A170&lt;'Control Room'!$A$13+'Control Room'!$B$13,'Process'!BM2=1),1+('Control Room'!$C$13-1)*EXP(-0.5*(($A170-'Control Room'!$A$13-('Control Room'!$B$13-1)/2)/MAX(0.5,'Control Room'!$B$13/4))^2),1)*IF(AND($A170&gt;='Control Room'!$A$14,$A170&lt;'Control Room'!$A$14+'Control Room'!$B$14,'Process'!BM3=1),1+('Control Room'!$C$14-1)*EXP(-0.5*(($A170-'Control Room'!$A$14-('Control Room'!$B$14-1)/2)/MAX(0.5,'Control Room'!$B$14/4))^2),1)*IF(AND($A170&gt;='Control Room'!$A$15,$A170&lt;'Control Room'!$A$15+'Control Room'!$B$15,'Process'!BM4=1),1+('Control Room'!$C$15-1)*EXP(-0.5*(($A170-'Control Room'!$A$15-('Control Room'!$B$15-1)/2)/MAX(0.5,'Control Room'!$B$15/4))^2),1)*IF(AND($A170&gt;='Control Room'!$A$16,$A170&lt;'Control Room'!$A$16+'Control Room'!$B$16,'Process'!BM5=1),1+('Control Room'!$C$16-1)*EXP(-0.5*(($A170-'Control Room'!$A$16-('Control Room'!$B$16-1)/2)/MAX(0.5,'Control Room'!$B$16/4))^2),1)</x:f>
        <x:v>1</x:v>
      </x:c>
      <x:c r="Q170" s="9" t="n">
        <x:f>MOD(R169*16807,2147483647)</x:f>
        <x:v>122278568</x:v>
      </x:c>
      <x:c r="R170" s="9" t="n">
        <x:f>MOD(Q170*16807,2147483647)</x:f>
        <x:v>2141525844</x:v>
      </x:c>
      <x:c r="S170" s="17" t="n">
        <x:f>IF('Control Room'!$B$5="Normal",'Control Room'!$B$7+'Control Room'!$D$7*SQRT(-2*LN(MAX(0.000000000001,Q170/2147483647)))*COS(2*PI()*R170/2147483647),'Control Room'!$B$8+('Control Room'!$D$8-'Control Room'!$B$8)*Q170/2147483647)</x:f>
        <x:v>1215.4322371824342</x:v>
      </x:c>
      <x:c r="T170" s="17" t="n">
        <x:f>IF('Control Room'!$B$5="Normal",'Control Room'!$B$7,('Control Room'!$B$8+'Control Room'!$D$8)/2)+'Control Room'!$B$9*(T169-IF('Control Room'!$B$5="Normal",'Control Room'!$B$7,('Control Room'!$B$8+'Control Room'!$D$8)/2))+SQRT(1-'Control Room'!$B$9^2)*(S170-IF('Control Room'!$B$5="Normal",'Control Room'!$B$7,('Control Room'!$B$8+'Control Room'!$D$8)/2))</x:f>
        <x:v>1212.682832528347</x:v>
      </x:c>
      <x:c r="U170" s="17" t="n">
        <x:f>IF(AND($A170&gt;='Control Room'!$A$13,$A170&lt;'Control Room'!$A$13+'Control Room'!$B$13,'Process'!BN2=1),1+('Control Room'!$C$13-1)*EXP(-0.5*(($A170-'Control Room'!$A$13-('Control Room'!$B$13-1)/2)/MAX(0.5,'Control Room'!$B$13/4))^2),1)*IF(AND($A170&gt;='Control Room'!$A$14,$A170&lt;'Control Room'!$A$14+'Control Room'!$B$14,'Process'!BN3=1),1+('Control Room'!$C$14-1)*EXP(-0.5*(($A170-'Control Room'!$A$14-('Control Room'!$B$14-1)/2)/MAX(0.5,'Control Room'!$B$14/4))^2),1)*IF(AND($A170&gt;='Control Room'!$A$15,$A170&lt;'Control Room'!$A$15+'Control Room'!$B$15,'Process'!BN4=1),1+('Control Room'!$C$15-1)*EXP(-0.5*(($A170-'Control Room'!$A$15-('Control Room'!$B$15-1)/2)/MAX(0.5,'Control Room'!$B$15/4))^2),1)*IF(AND($A170&gt;='Control Room'!$A$16,$A170&lt;'Control Room'!$A$16+'Control Room'!$B$16,'Process'!BN5=1),1+('Control Room'!$C$16-1)*EXP(-0.5*(($A170-'Control Room'!$A$16-('Control Room'!$B$16-1)/2)/MAX(0.5,'Control Room'!$B$16/4))^2),1)</x:f>
        <x:v>1</x:v>
      </x:c>
      <x:c r="V170" s="9" t="n">
        <x:f>MOD(W169*16807,2147483647)</x:f>
        <x:v>297637984</x:v>
      </x:c>
      <x:c r="W170" s="9" t="n">
        <x:f>MOD(V170*16807,2147483647)</x:f>
        <x:v>912183225</x:v>
      </x:c>
      <x:c r="X170" s="17" t="n">
        <x:f>IF('Control Room'!$B$5="Normal",'Control Room'!$B$7+'Control Room'!$D$7*SQRT(-2*LN(MAX(0.000000000001,V170/2147483647)))*COS(2*PI()*W170/2147483647),'Control Room'!$B$8+('Control Room'!$D$8-'Control Room'!$B$8)*V170/2147483647)</x:f>
        <x:v>840.6953598332591</x:v>
      </x:c>
      <x:c r="Y170" s="17" t="n">
        <x:f>IF('Control Room'!$B$5="Normal",'Control Room'!$B$7,('Control Room'!$B$8+'Control Room'!$D$8)/2)+'Control Room'!$B$9*(Y169-IF('Control Room'!$B$5="Normal",'Control Room'!$B$7,('Control Room'!$B$8+'Control Room'!$D$8)/2))+SQRT(1-'Control Room'!$B$9^2)*(X170-IF('Control Room'!$B$5="Normal",'Control Room'!$B$7,('Control Room'!$B$8+'Control Room'!$D$8)/2))</x:f>
        <x:v>947.9138727190885</x:v>
      </x:c>
      <x:c r="Z170" s="17" t="n">
        <x:f>IF(AND($A170&gt;='Control Room'!$A$13,$A170&lt;'Control Room'!$A$13+'Control Room'!$B$13,'Process'!BO2=1),1+('Control Room'!$C$13-1)*EXP(-0.5*(($A170-'Control Room'!$A$13-('Control Room'!$B$13-1)/2)/MAX(0.5,'Control Room'!$B$13/4))^2),1)*IF(AND($A170&gt;='Control Room'!$A$14,$A170&lt;'Control Room'!$A$14+'Control Room'!$B$14,'Process'!BO3=1),1+('Control Room'!$C$14-1)*EXP(-0.5*(($A170-'Control Room'!$A$14-('Control Room'!$B$14-1)/2)/MAX(0.5,'Control Room'!$B$14/4))^2),1)*IF(AND($A170&gt;='Control Room'!$A$15,$A170&lt;'Control Room'!$A$15+'Control Room'!$B$15,'Process'!BO4=1),1+('Control Room'!$C$15-1)*EXP(-0.5*(($A170-'Control Room'!$A$15-('Control Room'!$B$15-1)/2)/MAX(0.5,'Control Room'!$B$15/4))^2),1)*IF(AND($A170&gt;='Control Room'!$A$16,$A170&lt;'Control Room'!$A$16+'Control Room'!$B$16,'Process'!BO5=1),1+('Control Room'!$C$16-1)*EXP(-0.5*(($A170-'Control Room'!$A$16-('Control Room'!$B$16-1)/2)/MAX(0.5,'Control Room'!$B$16/4))^2),1)</x:f>
        <x:v>1</x:v>
      </x:c>
      <x:c r="AA170" s="9" t="n">
        <x:f>MOD(AB169*16807,2147483647)</x:f>
        <x:v>472997400</x:v>
      </x:c>
      <x:c r="AB170" s="9" t="n">
        <x:f>MOD(AA170*16807,2147483647)</x:f>
        <x:v>1830324253</x:v>
      </x:c>
      <x:c r="AC170" s="17" t="n">
        <x:f>IF('Control Room'!$B$5="Normal",'Control Room'!$B$7+'Control Room'!$D$7*SQRT(-2*LN(MAX(0.000000000001,AA170/2147483647)))*COS(2*PI()*AB170/2147483647),'Control Room'!$B$8+('Control Room'!$D$8-'Control Room'!$B$8)*AA170/2147483647)</x:f>
        <x:v>1093.8511606603904</x:v>
      </x:c>
      <x:c r="AD170" s="17" t="n">
        <x:f>IF('Control Room'!$B$5="Normal",'Control Room'!$B$7,('Control Room'!$B$8+'Control Room'!$D$8)/2)+'Control Room'!$B$9*(AD169-IF('Control Room'!$B$5="Normal",'Control Room'!$B$7,('Control Room'!$B$8+'Control Room'!$D$8)/2))+SQRT(1-'Control Room'!$B$9^2)*(AC170-IF('Control Room'!$B$5="Normal",'Control Room'!$B$7,('Control Room'!$B$8+'Control Room'!$D$8)/2))</x:f>
        <x:v>972.6576040071118</x:v>
      </x:c>
      <x:c r="AE170" s="17" t="n">
        <x:f>IF(AND($A170&gt;='Control Room'!$A$13,$A170&lt;'Control Room'!$A$13+'Control Room'!$B$13,'Process'!BP2=1),1+('Control Room'!$C$13-1)*EXP(-0.5*(($A170-'Control Room'!$A$13-('Control Room'!$B$13-1)/2)/MAX(0.5,'Control Room'!$B$13/4))^2),1)*IF(AND($A170&gt;='Control Room'!$A$14,$A170&lt;'Control Room'!$A$14+'Control Room'!$B$14,'Process'!BP3=1),1+('Control Room'!$C$14-1)*EXP(-0.5*(($A170-'Control Room'!$A$14-('Control Room'!$B$14-1)/2)/MAX(0.5,'Control Room'!$B$14/4))^2),1)*IF(AND($A170&gt;='Control Room'!$A$15,$A170&lt;'Control Room'!$A$15+'Control Room'!$B$15,'Process'!BP4=1),1+('Control Room'!$C$15-1)*EXP(-0.5*(($A170-'Control Room'!$A$15-('Control Room'!$B$15-1)/2)/MAX(0.5,'Control Room'!$B$15/4))^2),1)*IF(AND($A170&gt;='Control Room'!$A$16,$A170&lt;'Control Room'!$A$16+'Control Room'!$B$16,'Process'!BP5=1),1+('Control Room'!$C$16-1)*EXP(-0.5*(($A170-'Control Room'!$A$16-('Control Room'!$B$16-1)/2)/MAX(0.5,'Control Room'!$B$16/4))^2),1)</x:f>
        <x:v>1</x:v>
      </x:c>
      <x:c r="AF170" s="9" t="n">
        <x:f>MOD(AG169*16807,2147483647)</x:f>
        <x:v>648356816</x:v>
      </x:c>
      <x:c r="AG170" s="9" t="n">
        <x:f>MOD(AF170*16807,2147483647)</x:f>
        <x:v>600981634</x:v>
      </x:c>
      <x:c r="AH170" s="17" t="n">
        <x:f>IF('Control Room'!$B$5="Normal",'Control Room'!$B$7+'Control Room'!$D$7*SQRT(-2*LN(MAX(0.000000000001,AF170/2147483647)))*COS(2*PI()*AG170/2147483647),'Control Room'!$B$8+('Control Room'!$D$8-'Control Room'!$B$8)*AF170/2147483647)</x:f>
        <x:v>974.025556596396</x:v>
      </x:c>
      <x:c r="AI170" s="17" t="n">
        <x:f>IF('Control Room'!$B$5="Normal",'Control Room'!$B$7,('Control Room'!$B$8+'Control Room'!$D$8)/2)+'Control Room'!$B$9*(AI169-IF('Control Room'!$B$5="Normal",'Control Room'!$B$7,('Control Room'!$B$8+'Control Room'!$D$8)/2))+SQRT(1-'Control Room'!$B$9^2)*(AH170-IF('Control Room'!$B$5="Normal",'Control Room'!$B$7,('Control Room'!$B$8+'Control Room'!$D$8)/2))</x:f>
        <x:v>897.3546673176435</x:v>
      </x:c>
      <x:c r="AJ170" s="17" t="n">
        <x:f>IF(AND($A170&gt;='Control Room'!$A$13,$A170&lt;'Control Room'!$A$13+'Control Room'!$B$13,'Process'!BQ2=1),1+('Control Room'!$C$13-1)*EXP(-0.5*(($A170-'Control Room'!$A$13-('Control Room'!$B$13-1)/2)/MAX(0.5,'Control Room'!$B$13/4))^2),1)*IF(AND($A170&gt;='Control Room'!$A$14,$A170&lt;'Control Room'!$A$14+'Control Room'!$B$14,'Process'!BQ3=1),1+('Control Room'!$C$14-1)*EXP(-0.5*(($A170-'Control Room'!$A$14-('Control Room'!$B$14-1)/2)/MAX(0.5,'Control Room'!$B$14/4))^2),1)*IF(AND($A170&gt;='Control Room'!$A$15,$A170&lt;'Control Room'!$A$15+'Control Room'!$B$15,'Process'!BQ4=1),1+('Control Room'!$C$15-1)*EXP(-0.5*(($A170-'Control Room'!$A$15-('Control Room'!$B$15-1)/2)/MAX(0.5,'Control Room'!$B$15/4))^2),1)*IF(AND($A170&gt;='Control Room'!$A$16,$A170&lt;'Control Room'!$A$16+'Control Room'!$B$16,'Process'!BQ5=1),1+('Control Room'!$C$16-1)*EXP(-0.5*(($A170-'Control Room'!$A$16-('Control Room'!$B$16-1)/2)/MAX(0.5,'Control Room'!$B$16/4))^2),1)</x:f>
        <x:v>1</x:v>
      </x:c>
      <x:c r="AK170" s="9" t="n">
        <x:f>MOD(AL169*16807,2147483647)</x:f>
        <x:v>823716232</x:v>
      </x:c>
      <x:c r="AL170" s="9" t="n">
        <x:f>MOD(AK170*16807,2147483647)</x:f>
        <x:v>1519122662</x:v>
      </x:c>
      <x:c r="AM170" s="17" t="n">
        <x:f>IF('Control Room'!$B$5="Normal",'Control Room'!$B$7+'Control Room'!$D$7*SQRT(-2*LN(MAX(0.000000000001,AK170/2147483647)))*COS(2*PI()*AL170/2147483647),'Control Room'!$B$8+('Control Room'!$D$8-'Control Room'!$B$8)*AK170/2147483647)</x:f>
        <x:v>967.045371152851</x:v>
      </x:c>
      <x:c r="AN170" s="17" t="n">
        <x:f>IF('Control Room'!$B$5="Normal",'Control Room'!$B$7,('Control Room'!$B$8+'Control Room'!$D$8)/2)+'Control Room'!$B$9*(AN169-IF('Control Room'!$B$5="Normal",'Control Room'!$B$7,('Control Room'!$B$8+'Control Room'!$D$8)/2))+SQRT(1-'Control Room'!$B$9^2)*(AM170-IF('Control Room'!$B$5="Normal",'Control Room'!$B$7,('Control Room'!$B$8+'Control Room'!$D$8)/2))</x:f>
        <x:v>937.7374932839818</x:v>
      </x:c>
      <x:c r="AO170" s="17" t="n">
        <x:f>IF(AND($A170&gt;='Control Room'!$A$13,$A170&lt;'Control Room'!$A$13+'Control Room'!$B$13,'Process'!BR2=1),1+('Control Room'!$C$13-1)*EXP(-0.5*(($A170-'Control Room'!$A$13-('Control Room'!$B$13-1)/2)/MAX(0.5,'Control Room'!$B$13/4))^2),1)*IF(AND($A170&gt;='Control Room'!$A$14,$A170&lt;'Control Room'!$A$14+'Control Room'!$B$14,'Process'!BR3=1),1+('Control Room'!$C$14-1)*EXP(-0.5*(($A170-'Control Room'!$A$14-('Control Room'!$B$14-1)/2)/MAX(0.5,'Control Room'!$B$14/4))^2),1)*IF(AND($A170&gt;='Control Room'!$A$15,$A170&lt;'Control Room'!$A$15+'Control Room'!$B$15,'Process'!BR4=1),1+('Control Room'!$C$15-1)*EXP(-0.5*(($A170-'Control Room'!$A$15-('Control Room'!$B$15-1)/2)/MAX(0.5,'Control Room'!$B$15/4))^2),1)*IF(AND($A170&gt;='Control Room'!$A$16,$A170&lt;'Control Room'!$A$16+'Control Room'!$B$16,'Process'!BR5=1),1+('Control Room'!$C$16-1)*EXP(-0.5*(($A170-'Control Room'!$A$16-('Control Room'!$B$16-1)/2)/MAX(0.5,'Control Room'!$B$16/4))^2),1)</x:f>
        <x:v>1</x:v>
      </x:c>
      <x:c r="AP170" s="9" t="n">
        <x:f>MOD(AQ169*16807,2147483647)</x:f>
        <x:v>999075648</x:v>
      </x:c>
      <x:c r="AQ170" s="9" t="n">
        <x:f>MOD(AP170*16807,2147483647)</x:f>
        <x:v>289780043</x:v>
      </x:c>
      <x:c r="AR170" s="17" t="n">
        <x:f>IF('Control Room'!$B$5="Normal",'Control Room'!$B$7+'Control Room'!$D$7*SQRT(-2*LN(MAX(0.000000000001,AP170/2147483647)))*COS(2*PI()*AQ170/2147483647),'Control Room'!$B$8+('Control Room'!$D$8-'Control Room'!$B$8)*AP170/2147483647)</x:f>
        <x:v>1073.662265432917</x:v>
      </x:c>
      <x:c r="AS170" s="17" t="n">
        <x:f>IF('Control Room'!$B$5="Normal",'Control Room'!$B$7,('Control Room'!$B$8+'Control Room'!$D$8)/2)+'Control Room'!$B$9*(AS169-IF('Control Room'!$B$5="Normal",'Control Room'!$B$7,('Control Room'!$B$8+'Control Room'!$D$8)/2))+SQRT(1-'Control Room'!$B$9^2)*(AR170-IF('Control Room'!$B$5="Normal",'Control Room'!$B$7,('Control Room'!$B$8+'Control Room'!$D$8)/2))</x:f>
        <x:v>1087.872441461382</x:v>
      </x:c>
      <x:c r="AT170" s="17" t="n">
        <x:f>IF(AND($A170&gt;='Control Room'!$A$13,$A170&lt;'Control Room'!$A$13+'Control Room'!$B$13,'Process'!BS2=1),1+('Control Room'!$C$13-1)*EXP(-0.5*(($A170-'Control Room'!$A$13-('Control Room'!$B$13-1)/2)/MAX(0.5,'Control Room'!$B$13/4))^2),1)*IF(AND($A170&gt;='Control Room'!$A$14,$A170&lt;'Control Room'!$A$14+'Control Room'!$B$14,'Process'!BS3=1),1+('Control Room'!$C$14-1)*EXP(-0.5*(($A170-'Control Room'!$A$14-('Control Room'!$B$14-1)/2)/MAX(0.5,'Control Room'!$B$14/4))^2),1)*IF(AND($A170&gt;='Control Room'!$A$15,$A170&lt;'Control Room'!$A$15+'Control Room'!$B$15,'Process'!BS4=1),1+('Control Room'!$C$15-1)*EXP(-0.5*(($A170-'Control Room'!$A$15-('Control Room'!$B$15-1)/2)/MAX(0.5,'Control Room'!$B$15/4))^2),1)*IF(AND($A170&gt;='Control Room'!$A$16,$A170&lt;'Control Room'!$A$16+'Control Room'!$B$16,'Process'!BS5=1),1+('Control Room'!$C$16-1)*EXP(-0.5*(($A170-'Control Room'!$A$16-('Control Room'!$B$16-1)/2)/MAX(0.5,'Control Room'!$B$16/4))^2),1)</x:f>
        <x:v>1</x:v>
      </x:c>
      <x:c r="AU170" s="9" t="n">
        <x:f>MOD(AV169*16807,2147483647)</x:f>
        <x:v>1174435064</x:v>
      </x:c>
      <x:c r="AV170" s="9" t="n">
        <x:f>MOD(AU170*16807,2147483647)</x:f>
        <x:v>1207921071</x:v>
      </x:c>
      <x:c r="AW170" s="17" t="n">
        <x:f>IF('Control Room'!$B$5="Normal",'Control Room'!$B$7+'Control Room'!$D$7*SQRT(-2*LN(MAX(0.000000000001,AU170/2147483647)))*COS(2*PI()*AV170/2147483647),'Control Room'!$B$8+('Control Room'!$D$8-'Control Room'!$B$8)*AU170/2147483647)</x:f>
        <x:v>908.6444013958377</x:v>
      </x:c>
      <x:c r="AX170" s="17" t="n">
        <x:f>IF('Control Room'!$B$5="Normal",'Control Room'!$B$7,('Control Room'!$B$8+'Control Room'!$D$8)/2)+'Control Room'!$B$9*(AX169-IF('Control Room'!$B$5="Normal",'Control Room'!$B$7,('Control Room'!$B$8+'Control Room'!$D$8)/2))+SQRT(1-'Control Room'!$B$9^2)*(AW170-IF('Control Room'!$B$5="Normal",'Control Room'!$B$7,('Control Room'!$B$8+'Control Room'!$D$8)/2))</x:f>
        <x:v>1025.7470974693217</x:v>
      </x:c>
      <x:c r="AY170" s="17" t="n">
        <x:f>IF(AND($A170&gt;='Control Room'!$A$13,$A170&lt;'Control Room'!$A$13+'Control Room'!$B$13,'Process'!BT2=1),1+('Control Room'!$C$13-1)*EXP(-0.5*(($A170-'Control Room'!$A$13-('Control Room'!$B$13-1)/2)/MAX(0.5,'Control Room'!$B$13/4))^2),1)*IF(AND($A170&gt;='Control Room'!$A$14,$A170&lt;'Control Room'!$A$14+'Control Room'!$B$14,'Process'!BT3=1),1+('Control Room'!$C$14-1)*EXP(-0.5*(($A170-'Control Room'!$A$14-('Control Room'!$B$14-1)/2)/MAX(0.5,'Control Room'!$B$14/4))^2),1)*IF(AND($A170&gt;='Control Room'!$A$15,$A170&lt;'Control Room'!$A$15+'Control Room'!$B$15,'Process'!BT4=1),1+('Control Room'!$C$15-1)*EXP(-0.5*(($A170-'Control Room'!$A$15-('Control Room'!$B$15-1)/2)/MAX(0.5,'Control Room'!$B$15/4))^2),1)*IF(AND($A170&gt;='Control Room'!$A$16,$A170&lt;'Control Room'!$A$16+'Control Room'!$B$16,'Process'!BT5=1),1+('Control Room'!$C$16-1)*EXP(-0.5*(($A170-'Control Room'!$A$16-('Control Room'!$B$16-1)/2)/MAX(0.5,'Control Room'!$B$16/4))^2),1)</x:f>
        <x:v>1</x:v>
      </x:c>
      <x:c r="AZ170" s="9" t="n">
        <x:f>MOD(BA169*16807,2147483647)</x:f>
        <x:v>1349794480</x:v>
      </x:c>
      <x:c r="BA170" s="9" t="n">
        <x:f>MOD(AZ170*16807,2147483647)</x:f>
        <x:v>2126062099</x:v>
      </x:c>
      <x:c r="BB170" s="17" t="n">
        <x:f>IF('Control Room'!$B$5="Normal",'Control Room'!$B$7+'Control Room'!$D$7*SQRT(-2*LN(MAX(0.000000000001,AZ170/2147483647)))*COS(2*PI()*BA170/2147483647),'Control Room'!$B$8+('Control Room'!$D$8-'Control Room'!$B$8)*AZ170/2147483647)</x:f>
        <x:v>1086.5613554118722</x:v>
      </x:c>
      <x:c r="BC170" s="17" t="n">
        <x:f>IF('Control Room'!$B$5="Normal",'Control Room'!$B$7,('Control Room'!$B$8+'Control Room'!$D$8)/2)+'Control Room'!$B$9*(BC169-IF('Control Room'!$B$5="Normal",'Control Room'!$B$7,('Control Room'!$B$8+'Control Room'!$D$8)/2))+SQRT(1-'Control Room'!$B$9^2)*(BB170-IF('Control Room'!$B$5="Normal",'Control Room'!$B$7,('Control Room'!$B$8+'Control Room'!$D$8)/2))</x:f>
        <x:v>1119.4419852054466</x:v>
      </x:c>
      <x:c r="BD170" s="17" t="n">
        <x:f>IF(AND($A170&gt;='Control Room'!$A$13,$A170&lt;'Control Room'!$A$13+'Control Room'!$B$13,'Process'!BU2=1),1+('Control Room'!$C$13-1)*EXP(-0.5*(($A170-'Control Room'!$A$13-('Control Room'!$B$13-1)/2)/MAX(0.5,'Control Room'!$B$13/4))^2),1)*IF(AND($A170&gt;='Control Room'!$A$14,$A170&lt;'Control Room'!$A$14+'Control Room'!$B$14,'Process'!BU3=1),1+('Control Room'!$C$14-1)*EXP(-0.5*(($A170-'Control Room'!$A$14-('Control Room'!$B$14-1)/2)/MAX(0.5,'Control Room'!$B$14/4))^2),1)*IF(AND($A170&gt;='Control Room'!$A$15,$A170&lt;'Control Room'!$A$15+'Control Room'!$B$15,'Process'!BU4=1),1+('Control Room'!$C$15-1)*EXP(-0.5*(($A170-'Control Room'!$A$15-('Control Room'!$B$15-1)/2)/MAX(0.5,'Control Room'!$B$15/4))^2),1)*IF(AND($A170&gt;='Control Room'!$A$16,$A170&lt;'Control Room'!$A$16+'Control Room'!$B$16,'Process'!BU5=1),1+('Control Room'!$C$16-1)*EXP(-0.5*(($A170-'Control Room'!$A$16-('Control Room'!$B$16-1)/2)/MAX(0.5,'Control Room'!$B$16/4))^2),1)</x:f>
        <x:v>1</x:v>
      </x:c>
      <x:c r="BE170" s="9" t="n">
        <x:f>MOD(BF169*16807,2147483647)</x:f>
        <x:v>1525153896</x:v>
      </x:c>
      <x:c r="BF170" s="9" t="n">
        <x:f>MOD(BE170*16807,2147483647)</x:f>
        <x:v>896719480</x:v>
      </x:c>
      <x:c r="BG170" s="17" t="n">
        <x:f>IF('Control Room'!$B$5="Normal",'Control Room'!$B$7+'Control Room'!$D$7*SQRT(-2*LN(MAX(0.000000000001,BE170/2147483647)))*COS(2*PI()*BF170/2147483647),'Control Room'!$B$8+('Control Room'!$D$8-'Control Room'!$B$8)*BE170/2147483647)</x:f>
        <x:v>935.3097114999616</x:v>
      </x:c>
      <x:c r="BH170" s="17" t="n">
        <x:f>IF('Control Room'!$B$5="Normal",'Control Room'!$B$7,('Control Room'!$B$8+'Control Room'!$D$8)/2)+'Control Room'!$B$9*(BH169-IF('Control Room'!$B$5="Normal",'Control Room'!$B$7,('Control Room'!$B$8+'Control Room'!$D$8)/2))+SQRT(1-'Control Room'!$B$9^2)*(BG170-IF('Control Room'!$B$5="Normal",'Control Room'!$B$7,('Control Room'!$B$8+'Control Room'!$D$8)/2))</x:f>
        <x:v>924.6148019897657</x:v>
      </x:c>
      <x:c r="BI170" s="17" t="n">
        <x:f>IF(AND($A170&gt;='Control Room'!$A$13,$A170&lt;'Control Room'!$A$13+'Control Room'!$B$13,'Process'!BV2=1),1+('Control Room'!$C$13-1)*EXP(-0.5*(($A170-'Control Room'!$A$13-('Control Room'!$B$13-1)/2)/MAX(0.5,'Control Room'!$B$13/4))^2),1)*IF(AND($A170&gt;='Control Room'!$A$14,$A170&lt;'Control Room'!$A$14+'Control Room'!$B$14,'Process'!BV3=1),1+('Control Room'!$C$14-1)*EXP(-0.5*(($A170-'Control Room'!$A$14-('Control Room'!$B$14-1)/2)/MAX(0.5,'Control Room'!$B$14/4))^2),1)*IF(AND($A170&gt;='Control Room'!$A$15,$A170&lt;'Control Room'!$A$15+'Control Room'!$B$15,'Process'!BV4=1),1+('Control Room'!$C$15-1)*EXP(-0.5*(($A170-'Control Room'!$A$15-('Control Room'!$B$15-1)/2)/MAX(0.5,'Control Room'!$B$15/4))^2),1)*IF(AND($A170&gt;='Control Room'!$A$16,$A170&lt;'Control Room'!$A$16+'Control Room'!$B$16,'Process'!BV5=1),1+('Control Room'!$C$16-1)*EXP(-0.5*(($A170-'Control Room'!$A$16-('Control Room'!$B$16-1)/2)/MAX(0.5,'Control Room'!$B$16/4))^2),1)</x:f>
        <x:v>1</x:v>
      </x:c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Z170" t="str">
        <x:f>IF('Data'!A170="","",TEXT('Data'!A170,"mm-dd"))</x:f>
      </x:c>
    </x:row>
    <x:row r="171" ht="21" customHeight="1">
      <x:c r="A171" s="15" t="n">
        <x:f>'Control Room'!$B$1+169</x:f>
        <x:v>73160</x:v>
      </x:c>
      <x:c r="B171" s="9" t="n">
        <x:f>MOD(C170*16807,2147483647)</x:f>
        <x:v>515141979</x:v>
      </x:c>
      <x:c r="C171" s="9" t="n">
        <x:f>MOD(B171*16807,2147483647)</x:f>
        <x:v>1484659996</x:v>
      </x:c>
      <x:c r="D171" s="17" t="n">
        <x:f>IF('Control Room'!$B$5="Normal",'Control Room'!$B$7+'Control Room'!$D$7*SQRT(-2*LN(MAX(0.000000000001,B171/2147483647)))*COS(2*PI()*C171/2147483647),'Control Room'!$B$8+('Control Room'!$D$8-'Control Room'!$B$8)*B171/2147483647)</x:f>
        <x:v>945.2170931755973</x:v>
      </x:c>
      <x:c r="E171" s="17" t="n">
        <x:f>IF('Control Room'!$B$5="Normal",'Control Room'!$B$7,('Control Room'!$B$8+'Control Room'!$D$8)/2)+'Control Room'!$B$9*(E170-IF('Control Room'!$B$5="Normal",'Control Room'!$B$7,('Control Room'!$B$8+'Control Room'!$D$8)/2))+SQRT(1-'Control Room'!$B$9^2)*(D171-IF('Control Room'!$B$5="Normal",'Control Room'!$B$7,('Control Room'!$B$8+'Control Room'!$D$8)/2))</x:f>
        <x:v>888.5884321659587</x:v>
      </x:c>
      <x:c r="F171" s="17" t="n">
        <x:f>IF(AND($A171&gt;='Control Room'!$A$13,$A171&lt;'Control Room'!$A$13+'Control Room'!$B$13,'Process'!BK2=1),1+('Control Room'!$C$13-1)*EXP(-0.5*(($A171-'Control Room'!$A$13-('Control Room'!$B$13-1)/2)/MAX(0.5,'Control Room'!$B$13/4))^2),1)*IF(AND($A171&gt;='Control Room'!$A$14,$A171&lt;'Control Room'!$A$14+'Control Room'!$B$14,'Process'!BK3=1),1+('Control Room'!$C$14-1)*EXP(-0.5*(($A171-'Control Room'!$A$14-('Control Room'!$B$14-1)/2)/MAX(0.5,'Control Room'!$B$14/4))^2),1)*IF(AND($A171&gt;='Control Room'!$A$15,$A171&lt;'Control Room'!$A$15+'Control Room'!$B$15,'Process'!BK4=1),1+('Control Room'!$C$15-1)*EXP(-0.5*(($A171-'Control Room'!$A$15-('Control Room'!$B$15-1)/2)/MAX(0.5,'Control Room'!$B$15/4))^2),1)*IF(AND($A171&gt;='Control Room'!$A$16,$A171&lt;'Control Room'!$A$16+'Control Room'!$B$16,'Process'!BK5=1),1+('Control Room'!$C$16-1)*EXP(-0.5*(($A171-'Control Room'!$A$16-('Control Room'!$B$16-1)/2)/MAX(0.5,'Control Room'!$B$16/4))^2),1)</x:f>
        <x:v>1</x:v>
      </x:c>
      <x:c r="G171" s="9" t="n">
        <x:f>MOD(H170*16807,2147483647)</x:f>
        <x:v>2041395880</x:v>
      </x:c>
      <x:c r="H171" s="9" t="n">
        <x:f>MOD(G171*16807,2147483647)</x:f>
        <x:v>1541810688</x:v>
      </x:c>
      <x:c r="I171" s="17" t="n">
        <x:f>IF('Control Room'!$B$5="Normal",'Control Room'!$B$7+'Control Room'!$D$7*SQRT(-2*LN(MAX(0.000000000001,G171/2147483647)))*COS(2*PI()*H171/2147483647),'Control Room'!$B$8+('Control Room'!$D$8-'Control Room'!$B$8)*G171/2147483647)</x:f>
        <x:v>994.2718168505398</x:v>
      </x:c>
      <x:c r="J171" s="17" t="n">
        <x:f>IF('Control Room'!$B$5="Normal",'Control Room'!$B$7,('Control Room'!$B$8+'Control Room'!$D$8)/2)+'Control Room'!$B$9*(J170-IF('Control Room'!$B$5="Normal",'Control Room'!$B$7,('Control Room'!$B$8+'Control Room'!$D$8)/2))+SQRT(1-'Control Room'!$B$9^2)*(I171-IF('Control Room'!$B$5="Normal",'Control Room'!$B$7,('Control Room'!$B$8+'Control Room'!$D$8)/2))</x:f>
        <x:v>924.9913331587596</x:v>
      </x:c>
      <x:c r="K171" s="17" t="n">
        <x:f>IF(AND($A171&gt;='Control Room'!$A$13,$A171&lt;'Control Room'!$A$13+'Control Room'!$B$13,'Process'!BL2=1),1+('Control Room'!$C$13-1)*EXP(-0.5*(($A171-'Control Room'!$A$13-('Control Room'!$B$13-1)/2)/MAX(0.5,'Control Room'!$B$13/4))^2),1)*IF(AND($A171&gt;='Control Room'!$A$14,$A171&lt;'Control Room'!$A$14+'Control Room'!$B$14,'Process'!BL3=1),1+('Control Room'!$C$14-1)*EXP(-0.5*(($A171-'Control Room'!$A$14-('Control Room'!$B$14-1)/2)/MAX(0.5,'Control Room'!$B$14/4))^2),1)*IF(AND($A171&gt;='Control Room'!$A$15,$A171&lt;'Control Room'!$A$15+'Control Room'!$B$15,'Process'!BL4=1),1+('Control Room'!$C$15-1)*EXP(-0.5*(($A171-'Control Room'!$A$15-('Control Room'!$B$15-1)/2)/MAX(0.5,'Control Room'!$B$15/4))^2),1)*IF(AND($A171&gt;='Control Room'!$A$16,$A171&lt;'Control Room'!$A$16+'Control Room'!$B$16,'Process'!BL5=1),1+('Control Room'!$C$16-1)*EXP(-0.5*(($A171-'Control Room'!$A$16-('Control Room'!$B$16-1)/2)/MAX(0.5,'Control Room'!$B$16/4))^2),1)</x:f>
        <x:v>1</x:v>
      </x:c>
      <x:c r="L171" s="9" t="n">
        <x:f>MOD(M170*16807,2147483647)</x:f>
        <x:v>1420166134</x:v>
      </x:c>
      <x:c r="M171" s="9" t="n">
        <x:f>MOD(L171*16807,2147483647)</x:f>
        <x:v>1598961380</x:v>
      </x:c>
      <x:c r="N171" s="17" t="n">
        <x:f>IF('Control Room'!$B$5="Normal",'Control Room'!$B$7+'Control Room'!$D$7*SQRT(-2*LN(MAX(0.000000000001,L171/2147483647)))*COS(2*PI()*M171/2147483647),'Control Room'!$B$8+('Control Room'!$D$8-'Control Room'!$B$8)*L171/2147483647)</x:f>
        <x:v>997.2103506596233</x:v>
      </x:c>
      <x:c r="O171" s="17" t="n">
        <x:f>IF('Control Room'!$B$5="Normal",'Control Room'!$B$7,('Control Room'!$B$8+'Control Room'!$D$8)/2)+'Control Room'!$B$9*(O170-IF('Control Room'!$B$5="Normal",'Control Room'!$B$7,('Control Room'!$B$8+'Control Room'!$D$8)/2))+SQRT(1-'Control Room'!$B$9^2)*(N171-IF('Control Room'!$B$5="Normal",'Control Room'!$B$7,('Control Room'!$B$8+'Control Room'!$D$8)/2))</x:f>
        <x:v>1056.1986150585337</x:v>
      </x:c>
      <x:c r="P171" s="17" t="n">
        <x:f>IF(AND($A171&gt;='Control Room'!$A$13,$A171&lt;'Control Room'!$A$13+'Control Room'!$B$13,'Process'!BM2=1),1+('Control Room'!$C$13-1)*EXP(-0.5*(($A171-'Control Room'!$A$13-('Control Room'!$B$13-1)/2)/MAX(0.5,'Control Room'!$B$13/4))^2),1)*IF(AND($A171&gt;='Control Room'!$A$14,$A171&lt;'Control Room'!$A$14+'Control Room'!$B$14,'Process'!BM3=1),1+('Control Room'!$C$14-1)*EXP(-0.5*(($A171-'Control Room'!$A$14-('Control Room'!$B$14-1)/2)/MAX(0.5,'Control Room'!$B$14/4))^2),1)*IF(AND($A171&gt;='Control Room'!$A$15,$A171&lt;'Control Room'!$A$15+'Control Room'!$B$15,'Process'!BM4=1),1+('Control Room'!$C$15-1)*EXP(-0.5*(($A171-'Control Room'!$A$15-('Control Room'!$B$15-1)/2)/MAX(0.5,'Control Room'!$B$15/4))^2),1)*IF(AND($A171&gt;='Control Room'!$A$16,$A171&lt;'Control Room'!$A$16+'Control Room'!$B$16,'Process'!BM5=1),1+('Control Room'!$C$16-1)*EXP(-0.5*(($A171-'Control Room'!$A$16-('Control Room'!$B$16-1)/2)/MAX(0.5,'Control Room'!$B$16/4))^2),1)</x:f>
        <x:v>1</x:v>
      </x:c>
      <x:c r="Q171" s="9" t="n">
        <x:f>MOD(R170*16807,2147483647)</x:f>
        <x:v>798936388</x:v>
      </x:c>
      <x:c r="R171" s="9" t="n">
        <x:f>MOD(Q171*16807,2147483647)</x:f>
        <x:v>1656112072</x:v>
      </x:c>
      <x:c r="S171" s="17" t="n">
        <x:f>IF('Control Room'!$B$5="Normal",'Control Room'!$B$7+'Control Room'!$D$7*SQRT(-2*LN(MAX(0.000000000001,Q171/2147483647)))*COS(2*PI()*R171/2147483647),'Control Room'!$B$8+('Control Room'!$D$8-'Control Room'!$B$8)*Q171/2147483647)</x:f>
        <x:v>1016.7987458932487</x:v>
      </x:c>
      <x:c r="T171" s="17" t="n">
        <x:f>IF('Control Room'!$B$5="Normal",'Control Room'!$B$7,('Control Room'!$B$8+'Control Room'!$D$8)/2)+'Control Room'!$B$9*(T170-IF('Control Room'!$B$5="Normal",'Control Room'!$B$7,('Control Room'!$B$8+'Control Room'!$D$8)/2))+SQRT(1-'Control Room'!$B$9^2)*(S171-IF('Control Room'!$B$5="Normal",'Control Room'!$B$7,('Control Room'!$B$8+'Control Room'!$D$8)/2))</x:f>
        <x:v>1176.4049204110904</x:v>
      </x:c>
      <x:c r="U171" s="17" t="n">
        <x:f>IF(AND($A171&gt;='Control Room'!$A$13,$A171&lt;'Control Room'!$A$13+'Control Room'!$B$13,'Process'!BN2=1),1+('Control Room'!$C$13-1)*EXP(-0.5*(($A171-'Control Room'!$A$13-('Control Room'!$B$13-1)/2)/MAX(0.5,'Control Room'!$B$13/4))^2),1)*IF(AND($A171&gt;='Control Room'!$A$14,$A171&lt;'Control Room'!$A$14+'Control Room'!$B$14,'Process'!BN3=1),1+('Control Room'!$C$14-1)*EXP(-0.5*(($A171-'Control Room'!$A$14-('Control Room'!$B$14-1)/2)/MAX(0.5,'Control Room'!$B$14/4))^2),1)*IF(AND($A171&gt;='Control Room'!$A$15,$A171&lt;'Control Room'!$A$15+'Control Room'!$B$15,'Process'!BN4=1),1+('Control Room'!$C$15-1)*EXP(-0.5*(($A171-'Control Room'!$A$15-('Control Room'!$B$15-1)/2)/MAX(0.5,'Control Room'!$B$15/4))^2),1)*IF(AND($A171&gt;='Control Room'!$A$16,$A171&lt;'Control Room'!$A$16+'Control Room'!$B$16,'Process'!BN5=1),1+('Control Room'!$C$16-1)*EXP(-0.5*(($A171-'Control Room'!$A$16-('Control Room'!$B$16-1)/2)/MAX(0.5,'Control Room'!$B$16/4))^2),1)</x:f>
        <x:v>1</x:v>
      </x:c>
      <x:c r="V171" s="9" t="n">
        <x:f>MOD(W170*16807,2147483647)</x:f>
        <x:v>177706642</x:v>
      </x:c>
      <x:c r="W171" s="9" t="n">
        <x:f>MOD(V171*16807,2147483647)</x:f>
        <x:v>1713262764</x:v>
      </x:c>
      <x:c r="X171" s="17" t="n">
        <x:f>IF('Control Room'!$B$5="Normal",'Control Room'!$B$7+'Control Room'!$D$7*SQRT(-2*LN(MAX(0.000000000001,V171/2147483647)))*COS(2*PI()*W171/2147483647),'Control Room'!$B$8+('Control Room'!$D$8-'Control Room'!$B$8)*V171/2147483647)</x:f>
        <x:v>1059.440799192013</x:v>
      </x:c>
      <x:c r="Y171" s="17" t="n">
        <x:f>IF('Control Room'!$B$5="Normal",'Control Room'!$B$7,('Control Room'!$B$8+'Control Room'!$D$8)/2)+'Control Room'!$B$9*(Y170-IF('Control Room'!$B$5="Normal",'Control Room'!$B$7,('Control Room'!$B$8+'Control Room'!$D$8)/2))+SQRT(1-'Control Room'!$B$9^2)*(X171-IF('Control Room'!$B$5="Normal",'Control Room'!$B$7,('Control Room'!$B$8+'Control Room'!$D$8)/2))</x:f>
        <x:v>996.5696551442909</x:v>
      </x:c>
      <x:c r="Z171" s="17" t="n">
        <x:f>IF(AND($A171&gt;='Control Room'!$A$13,$A171&lt;'Control Room'!$A$13+'Control Room'!$B$13,'Process'!BO2=1),1+('Control Room'!$C$13-1)*EXP(-0.5*(($A171-'Control Room'!$A$13-('Control Room'!$B$13-1)/2)/MAX(0.5,'Control Room'!$B$13/4))^2),1)*IF(AND($A171&gt;='Control Room'!$A$14,$A171&lt;'Control Room'!$A$14+'Control Room'!$B$14,'Process'!BO3=1),1+('Control Room'!$C$14-1)*EXP(-0.5*(($A171-'Control Room'!$A$14-('Control Room'!$B$14-1)/2)/MAX(0.5,'Control Room'!$B$14/4))^2),1)*IF(AND($A171&gt;='Control Room'!$A$15,$A171&lt;'Control Room'!$A$15+'Control Room'!$B$15,'Process'!BO4=1),1+('Control Room'!$C$15-1)*EXP(-0.5*(($A171-'Control Room'!$A$15-('Control Room'!$B$15-1)/2)/MAX(0.5,'Control Room'!$B$15/4))^2),1)*IF(AND($A171&gt;='Control Room'!$A$16,$A171&lt;'Control Room'!$A$16+'Control Room'!$B$16,'Process'!BO5=1),1+('Control Room'!$C$16-1)*EXP(-0.5*(($A171-'Control Room'!$A$16-('Control Room'!$B$16-1)/2)/MAX(0.5,'Control Room'!$B$16/4))^2),1)</x:f>
        <x:v>1</x:v>
      </x:c>
      <x:c r="AA171" s="9" t="n">
        <x:f>MOD(AB170*16807,2147483647)</x:f>
        <x:v>1703960543</x:v>
      </x:c>
      <x:c r="AB171" s="9" t="n">
        <x:f>MOD(AA171*16807,2147483647)</x:f>
        <x:v>1770413456</x:v>
      </x:c>
      <x:c r="AC171" s="17" t="n">
        <x:f>IF('Control Room'!$B$5="Normal",'Control Room'!$B$7+'Control Room'!$D$7*SQRT(-2*LN(MAX(0.000000000001,AA171/2147483647)))*COS(2*PI()*AB171/2147483647),'Control Room'!$B$8+('Control Room'!$D$8-'Control Room'!$B$8)*AA171/2147483647)</x:f>
        <x:v>1027.5913542498142</x:v>
      </x:c>
      <x:c r="AD171" s="17" t="n">
        <x:f>IF('Control Room'!$B$5="Normal",'Control Room'!$B$7,('Control Room'!$B$8+'Control Room'!$D$8)/2)+'Control Room'!$B$9*(AD170-IF('Control Room'!$B$5="Normal",'Control Room'!$B$7,('Control Room'!$B$8+'Control Room'!$D$8)/2))+SQRT(1-'Control Room'!$B$9^2)*(AC171-IF('Control Room'!$B$5="Normal",'Control Room'!$B$7,('Control Room'!$B$8+'Control Room'!$D$8)/2))</x:f>
        <x:v>995.9390353754656</x:v>
      </x:c>
      <x:c r="AE171" s="17" t="n">
        <x:f>IF(AND($A171&gt;='Control Room'!$A$13,$A171&lt;'Control Room'!$A$13+'Control Room'!$B$13,'Process'!BP2=1),1+('Control Room'!$C$13-1)*EXP(-0.5*(($A171-'Control Room'!$A$13-('Control Room'!$B$13-1)/2)/MAX(0.5,'Control Room'!$B$13/4))^2),1)*IF(AND($A171&gt;='Control Room'!$A$14,$A171&lt;'Control Room'!$A$14+'Control Room'!$B$14,'Process'!BP3=1),1+('Control Room'!$C$14-1)*EXP(-0.5*(($A171-'Control Room'!$A$14-('Control Room'!$B$14-1)/2)/MAX(0.5,'Control Room'!$B$14/4))^2),1)*IF(AND($A171&gt;='Control Room'!$A$15,$A171&lt;'Control Room'!$A$15+'Control Room'!$B$15,'Process'!BP4=1),1+('Control Room'!$C$15-1)*EXP(-0.5*(($A171-'Control Room'!$A$15-('Control Room'!$B$15-1)/2)/MAX(0.5,'Control Room'!$B$15/4))^2),1)*IF(AND($A171&gt;='Control Room'!$A$16,$A171&lt;'Control Room'!$A$16+'Control Room'!$B$16,'Process'!BP5=1),1+('Control Room'!$C$16-1)*EXP(-0.5*(($A171-'Control Room'!$A$16-('Control Room'!$B$16-1)/2)/MAX(0.5,'Control Room'!$B$16/4))^2),1)</x:f>
        <x:v>1</x:v>
      </x:c>
      <x:c r="AF171" s="9" t="n">
        <x:f>MOD(AG170*16807,2147483647)</x:f>
        <x:v>1082730797</x:v>
      </x:c>
      <x:c r="AG171" s="9" t="n">
        <x:f>MOD(AF171*16807,2147483647)</x:f>
        <x:v>1827564148</x:v>
      </x:c>
      <x:c r="AH171" s="17" t="n">
        <x:f>IF('Control Room'!$B$5="Normal",'Control Room'!$B$7+'Control Room'!$D$7*SQRT(-2*LN(MAX(0.000000000001,AF171/2147483647)))*COS(2*PI()*AG171/2147483647),'Control Room'!$B$8+('Control Room'!$D$8-'Control Room'!$B$8)*AF171/2147483647)</x:f>
        <x:v>1062.4580453218664</x:v>
      </x:c>
      <x:c r="AI171" s="17" t="n">
        <x:f>IF('Control Room'!$B$5="Normal",'Control Room'!$B$7,('Control Room'!$B$8+'Control Room'!$D$8)/2)+'Control Room'!$B$9*(AI170-IF('Control Room'!$B$5="Normal",'Control Room'!$B$7,('Control Room'!$B$8+'Control Room'!$D$8)/2))+SQRT(1-'Control Room'!$B$9^2)*(AH171-IF('Control Room'!$B$5="Normal",'Control Room'!$B$7,('Control Room'!$B$8+'Control Room'!$D$8)/2))</x:f>
        <x:v>959.0216057475792</x:v>
      </x:c>
      <x:c r="AJ171" s="17" t="n">
        <x:f>IF(AND($A171&gt;='Control Room'!$A$13,$A171&lt;'Control Room'!$A$13+'Control Room'!$B$13,'Process'!BQ2=1),1+('Control Room'!$C$13-1)*EXP(-0.5*(($A171-'Control Room'!$A$13-('Control Room'!$B$13-1)/2)/MAX(0.5,'Control Room'!$B$13/4))^2),1)*IF(AND($A171&gt;='Control Room'!$A$14,$A171&lt;'Control Room'!$A$14+'Control Room'!$B$14,'Process'!BQ3=1),1+('Control Room'!$C$14-1)*EXP(-0.5*(($A171-'Control Room'!$A$14-('Control Room'!$B$14-1)/2)/MAX(0.5,'Control Room'!$B$14/4))^2),1)*IF(AND($A171&gt;='Control Room'!$A$15,$A171&lt;'Control Room'!$A$15+'Control Room'!$B$15,'Process'!BQ4=1),1+('Control Room'!$C$15-1)*EXP(-0.5*(($A171-'Control Room'!$A$15-('Control Room'!$B$15-1)/2)/MAX(0.5,'Control Room'!$B$15/4))^2),1)*IF(AND($A171&gt;='Control Room'!$A$16,$A171&lt;'Control Room'!$A$16+'Control Room'!$B$16,'Process'!BQ5=1),1+('Control Room'!$C$16-1)*EXP(-0.5*(($A171-'Control Room'!$A$16-('Control Room'!$B$16-1)/2)/MAX(0.5,'Control Room'!$B$16/4))^2),1)</x:f>
        <x:v>1</x:v>
      </x:c>
      <x:c r="AK171" s="9" t="n">
        <x:f>MOD(AL170*16807,2147483647)</x:f>
        <x:v>461501051</x:v>
      </x:c>
      <x:c r="AL171" s="9" t="n">
        <x:f>MOD(AK171*16807,2147483647)</x:f>
        <x:v>1884714840</x:v>
      </x:c>
      <x:c r="AM171" s="17" t="n">
        <x:f>IF('Control Room'!$B$5="Normal",'Control Room'!$B$7+'Control Room'!$D$7*SQRT(-2*LN(MAX(0.000000000001,AK171/2147483647)))*COS(2*PI()*AL171/2147483647),'Control Room'!$B$8+('Control Room'!$D$8-'Control Room'!$B$8)*AK171/2147483647)</x:f>
        <x:v>1113.433678747745</x:v>
      </x:c>
      <x:c r="AN171" s="17" t="n">
        <x:f>IF('Control Room'!$B$5="Normal",'Control Room'!$B$7,('Control Room'!$B$8+'Control Room'!$D$8)/2)+'Control Room'!$B$9*(AN170-IF('Control Room'!$B$5="Normal",'Control Room'!$B$7,('Control Room'!$B$8+'Control Room'!$D$8)/2))+SQRT(1-'Control Room'!$B$9^2)*(AM171-IF('Control Room'!$B$5="Normal",'Control Room'!$B$7,('Control Room'!$B$8+'Control Room'!$D$8)/2))</x:f>
        <x:v>1022.419717106625</x:v>
      </x:c>
      <x:c r="AO171" s="17" t="n">
        <x:f>IF(AND($A171&gt;='Control Room'!$A$13,$A171&lt;'Control Room'!$A$13+'Control Room'!$B$13,'Process'!BR2=1),1+('Control Room'!$C$13-1)*EXP(-0.5*(($A171-'Control Room'!$A$13-('Control Room'!$B$13-1)/2)/MAX(0.5,'Control Room'!$B$13/4))^2),1)*IF(AND($A171&gt;='Control Room'!$A$14,$A171&lt;'Control Room'!$A$14+'Control Room'!$B$14,'Process'!BR3=1),1+('Control Room'!$C$14-1)*EXP(-0.5*(($A171-'Control Room'!$A$14-('Control Room'!$B$14-1)/2)/MAX(0.5,'Control Room'!$B$14/4))^2),1)*IF(AND($A171&gt;='Control Room'!$A$15,$A171&lt;'Control Room'!$A$15+'Control Room'!$B$15,'Process'!BR4=1),1+('Control Room'!$C$15-1)*EXP(-0.5*(($A171-'Control Room'!$A$15-('Control Room'!$B$15-1)/2)/MAX(0.5,'Control Room'!$B$15/4))^2),1)*IF(AND($A171&gt;='Control Room'!$A$16,$A171&lt;'Control Room'!$A$16+'Control Room'!$B$16,'Process'!BR5=1),1+('Control Room'!$C$16-1)*EXP(-0.5*(($A171-'Control Room'!$A$16-('Control Room'!$B$16-1)/2)/MAX(0.5,'Control Room'!$B$16/4))^2),1)</x:f>
        <x:v>1</x:v>
      </x:c>
      <x:c r="AP171" s="9" t="n">
        <x:f>MOD(AQ170*16807,2147483647)</x:f>
        <x:v>1987754952</x:v>
      </x:c>
      <x:c r="AQ171" s="9" t="n">
        <x:f>MOD(AP171*16807,2147483647)</x:f>
        <x:v>1941865532</x:v>
      </x:c>
      <x:c r="AR171" s="17" t="n">
        <x:f>IF('Control Room'!$B$5="Normal",'Control Room'!$B$7+'Control Room'!$D$7*SQRT(-2*LN(MAX(0.000000000001,AP171/2147483647)))*COS(2*PI()*AQ171/2147483647),'Control Room'!$B$8+('Control Room'!$D$8-'Control Room'!$B$8)*AP171/2147483647)</x:f>
        <x:v>1029.1725686629356</x:v>
      </x:c>
      <x:c r="AS171" s="17" t="n">
        <x:f>IF('Control Room'!$B$5="Normal",'Control Room'!$B$7,('Control Room'!$B$8+'Control Room'!$D$8)/2)+'Control Room'!$B$9*(AS170-IF('Control Room'!$B$5="Normal",'Control Room'!$B$7,('Control Room'!$B$8+'Control Room'!$D$8)/2))+SQRT(1-'Control Room'!$B$9^2)*(AR171-IF('Control Room'!$B$5="Normal",'Control Room'!$B$7,('Control Room'!$B$8+'Control Room'!$D$8)/2))</x:f>
        <x:v>1086.7961001765898</x:v>
      </x:c>
      <x:c r="AT171" s="17" t="n">
        <x:f>IF(AND($A171&gt;='Control Room'!$A$13,$A171&lt;'Control Room'!$A$13+'Control Room'!$B$13,'Process'!BS2=1),1+('Control Room'!$C$13-1)*EXP(-0.5*(($A171-'Control Room'!$A$13-('Control Room'!$B$13-1)/2)/MAX(0.5,'Control Room'!$B$13/4))^2),1)*IF(AND($A171&gt;='Control Room'!$A$14,$A171&lt;'Control Room'!$A$14+'Control Room'!$B$14,'Process'!BS3=1),1+('Control Room'!$C$14-1)*EXP(-0.5*(($A171-'Control Room'!$A$14-('Control Room'!$B$14-1)/2)/MAX(0.5,'Control Room'!$B$14/4))^2),1)*IF(AND($A171&gt;='Control Room'!$A$15,$A171&lt;'Control Room'!$A$15+'Control Room'!$B$15,'Process'!BS4=1),1+('Control Room'!$C$15-1)*EXP(-0.5*(($A171-'Control Room'!$A$15-('Control Room'!$B$15-1)/2)/MAX(0.5,'Control Room'!$B$15/4))^2),1)*IF(AND($A171&gt;='Control Room'!$A$16,$A171&lt;'Control Room'!$A$16+'Control Room'!$B$16,'Process'!BS5=1),1+('Control Room'!$C$16-1)*EXP(-0.5*(($A171-'Control Room'!$A$16-('Control Room'!$B$16-1)/2)/MAX(0.5,'Control Room'!$B$16/4))^2),1)</x:f>
        <x:v>1</x:v>
      </x:c>
      <x:c r="AU171" s="9" t="n">
        <x:f>MOD(AV170*16807,2147483647)</x:f>
        <x:v>1366525206</x:v>
      </x:c>
      <x:c r="AV171" s="9" t="n">
        <x:f>MOD(AU171*16807,2147483647)</x:f>
        <x:v>1999016224</x:v>
      </x:c>
      <x:c r="AW171" s="17" t="n">
        <x:f>IF('Control Room'!$B$5="Normal",'Control Room'!$B$7+'Control Room'!$D$7*SQRT(-2*LN(MAX(0.000000000001,AU171/2147483647)))*COS(2*PI()*AV171/2147483647),'Control Room'!$B$8+('Control Room'!$D$8-'Control Room'!$B$8)*AU171/2147483647)</x:f>
        <x:v>1077.6259281939474</x:v>
      </x:c>
      <x:c r="AX171" s="17" t="n">
        <x:f>IF('Control Room'!$B$5="Normal",'Control Room'!$B$7,('Control Room'!$B$8+'Control Room'!$D$8)/2)+'Control Room'!$B$9*(AX170-IF('Control Room'!$B$5="Normal",'Control Room'!$B$7,('Control Room'!$B$8+'Control Room'!$D$8)/2))+SQRT(1-'Control Room'!$B$9^2)*(AW171-IF('Control Room'!$B$5="Normal",'Control Room'!$B$7,('Control Room'!$B$8+'Control Room'!$D$8)/2))</x:f>
        <x:v>1068.659451636266</x:v>
      </x:c>
      <x:c r="AY171" s="17" t="n">
        <x:f>IF(AND($A171&gt;='Control Room'!$A$13,$A171&lt;'Control Room'!$A$13+'Control Room'!$B$13,'Process'!BT2=1),1+('Control Room'!$C$13-1)*EXP(-0.5*(($A171-'Control Room'!$A$13-('Control Room'!$B$13-1)/2)/MAX(0.5,'Control Room'!$B$13/4))^2),1)*IF(AND($A171&gt;='Control Room'!$A$14,$A171&lt;'Control Room'!$A$14+'Control Room'!$B$14,'Process'!BT3=1),1+('Control Room'!$C$14-1)*EXP(-0.5*(($A171-'Control Room'!$A$14-('Control Room'!$B$14-1)/2)/MAX(0.5,'Control Room'!$B$14/4))^2),1)*IF(AND($A171&gt;='Control Room'!$A$15,$A171&lt;'Control Room'!$A$15+'Control Room'!$B$15,'Process'!BT4=1),1+('Control Room'!$C$15-1)*EXP(-0.5*(($A171-'Control Room'!$A$15-('Control Room'!$B$15-1)/2)/MAX(0.5,'Control Room'!$B$15/4))^2),1)*IF(AND($A171&gt;='Control Room'!$A$16,$A171&lt;'Control Room'!$A$16+'Control Room'!$B$16,'Process'!BT5=1),1+('Control Room'!$C$16-1)*EXP(-0.5*(($A171-'Control Room'!$A$16-('Control Room'!$B$16-1)/2)/MAX(0.5,'Control Room'!$B$16/4))^2),1)</x:f>
        <x:v>1</x:v>
      </x:c>
      <x:c r="AZ171" s="9" t="n">
        <x:f>MOD(BA170*16807,2147483647)</x:f>
        <x:v>745295460</x:v>
      </x:c>
      <x:c r="BA171" s="9" t="n">
        <x:f>MOD(AZ171*16807,2147483647)</x:f>
        <x:v>2056166916</x:v>
      </x:c>
      <x:c r="BB171" s="17" t="n">
        <x:f>IF('Control Room'!$B$5="Normal",'Control Room'!$B$7+'Control Room'!$D$7*SQRT(-2*LN(MAX(0.000000000001,AZ171/2147483647)))*COS(2*PI()*BA171/2147483647),'Control Room'!$B$8+('Control Room'!$D$8-'Control Room'!$B$8)*AZ171/2147483647)</x:f>
        <x:v>1126.2894809823645</x:v>
      </x:c>
      <x:c r="BC171" s="17" t="n">
        <x:f>IF('Control Room'!$B$5="Normal",'Control Room'!$B$7,('Control Room'!$B$8+'Control Room'!$D$8)/2)+'Control Room'!$B$9*(BC170-IF('Control Room'!$B$5="Normal",'Control Room'!$B$7,('Control Room'!$B$8+'Control Room'!$D$8)/2))+SQRT(1-'Control Room'!$B$9^2)*(BB171-IF('Control Room'!$B$5="Normal",'Control Room'!$B$7,('Control Room'!$B$8+'Control Room'!$D$8)/2))</x:f>
        <x:v>1172.1941184783684</x:v>
      </x:c>
      <x:c r="BD171" s="17" t="n">
        <x:f>IF(AND($A171&gt;='Control Room'!$A$13,$A171&lt;'Control Room'!$A$13+'Control Room'!$B$13,'Process'!BU2=1),1+('Control Room'!$C$13-1)*EXP(-0.5*(($A171-'Control Room'!$A$13-('Control Room'!$B$13-1)/2)/MAX(0.5,'Control Room'!$B$13/4))^2),1)*IF(AND($A171&gt;='Control Room'!$A$14,$A171&lt;'Control Room'!$A$14+'Control Room'!$B$14,'Process'!BU3=1),1+('Control Room'!$C$14-1)*EXP(-0.5*(($A171-'Control Room'!$A$14-('Control Room'!$B$14-1)/2)/MAX(0.5,'Control Room'!$B$14/4))^2),1)*IF(AND($A171&gt;='Control Room'!$A$15,$A171&lt;'Control Room'!$A$15+'Control Room'!$B$15,'Process'!BU4=1),1+('Control Room'!$C$15-1)*EXP(-0.5*(($A171-'Control Room'!$A$15-('Control Room'!$B$15-1)/2)/MAX(0.5,'Control Room'!$B$15/4))^2),1)*IF(AND($A171&gt;='Control Room'!$A$16,$A171&lt;'Control Room'!$A$16+'Control Room'!$B$16,'Process'!BU5=1),1+('Control Room'!$C$16-1)*EXP(-0.5*(($A171-'Control Room'!$A$16-('Control Room'!$B$16-1)/2)/MAX(0.5,'Control Room'!$B$16/4))^2),1)</x:f>
        <x:v>1</x:v>
      </x:c>
      <x:c r="BE171" s="9" t="n">
        <x:f>MOD(BF170*16807,2147483647)</x:f>
        <x:v>124065714</x:v>
      </x:c>
      <x:c r="BF171" s="9" t="n">
        <x:f>MOD(BE171*16807,2147483647)</x:f>
        <x:v>2113317608</x:v>
      </x:c>
      <x:c r="BG171" s="17" t="n">
        <x:f>IF('Control Room'!$B$5="Normal",'Control Room'!$B$7+'Control Room'!$D$7*SQRT(-2*LN(MAX(0.000000000001,BE171/2147483647)))*COS(2*PI()*BF171/2147483647),'Control Room'!$B$8+('Control Room'!$D$8-'Control Room'!$B$8)*BE171/2147483647)</x:f>
        <x:v>1213.8458873184422</x:v>
      </x:c>
      <x:c r="BH171" s="17" t="n">
        <x:f>IF('Control Room'!$B$5="Normal",'Control Room'!$B$7,('Control Room'!$B$8+'Control Room'!$D$8)/2)+'Control Room'!$B$9*(BH170-IF('Control Room'!$B$5="Normal",'Control Room'!$B$7,('Control Room'!$B$8+'Control Room'!$D$8)/2))+SQRT(1-'Control Room'!$B$9^2)*(BG171-IF('Control Room'!$B$5="Normal",'Control Room'!$B$7,('Control Room'!$B$8+'Control Room'!$D$8)/2))</x:f>
        <x:v>1075.019920964775</x:v>
      </x:c>
      <x:c r="BI171" s="17" t="n">
        <x:f>IF(AND($A171&gt;='Control Room'!$A$13,$A171&lt;'Control Room'!$A$13+'Control Room'!$B$13,'Process'!BV2=1),1+('Control Room'!$C$13-1)*EXP(-0.5*(($A171-'Control Room'!$A$13-('Control Room'!$B$13-1)/2)/MAX(0.5,'Control Room'!$B$13/4))^2),1)*IF(AND($A171&gt;='Control Room'!$A$14,$A171&lt;'Control Room'!$A$14+'Control Room'!$B$14,'Process'!BV3=1),1+('Control Room'!$C$14-1)*EXP(-0.5*(($A171-'Control Room'!$A$14-('Control Room'!$B$14-1)/2)/MAX(0.5,'Control Room'!$B$14/4))^2),1)*IF(AND($A171&gt;='Control Room'!$A$15,$A171&lt;'Control Room'!$A$15+'Control Room'!$B$15,'Process'!BV4=1),1+('Control Room'!$C$15-1)*EXP(-0.5*(($A171-'Control Room'!$A$15-('Control Room'!$B$15-1)/2)/MAX(0.5,'Control Room'!$B$15/4))^2),1)*IF(AND($A171&gt;='Control Room'!$A$16,$A171&lt;'Control Room'!$A$16+'Control Room'!$B$16,'Process'!BV5=1),1+('Control Room'!$C$16-1)*EXP(-0.5*(($A171-'Control Room'!$A$16-('Control Room'!$B$16-1)/2)/MAX(0.5,'Control Room'!$B$16/4))^2),1)</x:f>
        <x:v>1</x:v>
      </x:c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Z171" t="str">
        <x:f>IF('Data'!A171="","",TEXT('Data'!A171,"mm-dd"))</x:f>
      </x:c>
    </x:row>
    <x:row r="172" ht="21" customHeight="1">
      <x:c r="A172" s="15" t="n">
        <x:f>'Control Room'!$B$1+170</x:f>
        <x:v>73161</x:v>
      </x:c>
      <x:c r="B172" s="9" t="n">
        <x:f>MOD(C171*16807,2147483647)</x:f>
        <x:v>1068058279</x:v>
      </x:c>
      <x:c r="C172" s="9" t="n">
        <x:f>MOD(B172*16807,2147483647)</x:f>
        <x:v>39689880</x:v>
      </x:c>
      <x:c r="D172" s="17" t="n">
        <x:f>IF('Control Room'!$B$5="Normal",'Control Room'!$B$7+'Control Room'!$D$7*SQRT(-2*LN(MAX(0.000000000001,B172/2147483647)))*COS(2*PI()*C172/2147483647),'Control Room'!$B$8+('Control Room'!$D$8-'Control Room'!$B$8)*B172/2147483647)</x:f>
        <x:v>1105.6553902478377</x:v>
      </x:c>
      <x:c r="E172" s="17" t="n">
        <x:f>IF('Control Room'!$B$5="Normal",'Control Room'!$B$7,('Control Room'!$B$8+'Control Room'!$D$8)/2)+'Control Room'!$B$9*(E171-IF('Control Room'!$B$5="Normal",'Control Room'!$B$7,('Control Room'!$B$8+'Control Room'!$D$8)/2))+SQRT(1-'Control Room'!$B$9^2)*(D172-IF('Control Room'!$B$5="Normal",'Control Room'!$B$7,('Control Room'!$B$8+'Control Room'!$D$8)/2))</x:f>
        <x:v>979.215955838226</x:v>
      </x:c>
      <x:c r="F172" s="17" t="n">
        <x:f>IF(AND($A172&gt;='Control Room'!$A$13,$A172&lt;'Control Room'!$A$13+'Control Room'!$B$13,'Process'!BK2=1),1+('Control Room'!$C$13-1)*EXP(-0.5*(($A172-'Control Room'!$A$13-('Control Room'!$B$13-1)/2)/MAX(0.5,'Control Room'!$B$13/4))^2),1)*IF(AND($A172&gt;='Control Room'!$A$14,$A172&lt;'Control Room'!$A$14+'Control Room'!$B$14,'Process'!BK3=1),1+('Control Room'!$C$14-1)*EXP(-0.5*(($A172-'Control Room'!$A$14-('Control Room'!$B$14-1)/2)/MAX(0.5,'Control Room'!$B$14/4))^2),1)*IF(AND($A172&gt;='Control Room'!$A$15,$A172&lt;'Control Room'!$A$15+'Control Room'!$B$15,'Process'!BK4=1),1+('Control Room'!$C$15-1)*EXP(-0.5*(($A172-'Control Room'!$A$15-('Control Room'!$B$15-1)/2)/MAX(0.5,'Control Room'!$B$15/4))^2),1)*IF(AND($A172&gt;='Control Room'!$A$16,$A172&lt;'Control Room'!$A$16+'Control Room'!$B$16,'Process'!BK5=1),1+('Control Room'!$C$16-1)*EXP(-0.5*(($A172-'Control Room'!$A$16-('Control Room'!$B$16-1)/2)/MAX(0.5,'Control Room'!$B$16/4))^2),1)</x:f>
        <x:v>1</x:v>
      </x:c>
      <x:c r="G172" s="9" t="n">
        <x:f>MOD(H171*16807,2147483647)</x:f>
        <x:v>1674548514</x:v>
      </x:c>
      <x:c r="H172" s="9" t="n">
        <x:f>MOD(G172*16807,2147483647)</x:f>
        <x:v>1363680863</x:v>
      </x:c>
      <x:c r="I172" s="17" t="n">
        <x:f>IF('Control Room'!$B$5="Normal",'Control Room'!$B$7+'Control Room'!$D$7*SQRT(-2*LN(MAX(0.000000000001,G172/2147483647)))*COS(2*PI()*H172/2147483647),'Control Room'!$B$8+('Control Room'!$D$8-'Control Room'!$B$8)*G172/2147483647)</x:f>
        <x:v>958.0234538552111</x:v>
      </x:c>
      <x:c r="J172" s="17" t="n">
        <x:f>IF('Control Room'!$B$5="Normal",'Control Room'!$B$7,('Control Room'!$B$8+'Control Room'!$D$8)/2)+'Control Room'!$B$9*(J171-IF('Control Room'!$B$5="Normal",'Control Room'!$B$7,('Control Room'!$B$8+'Control Room'!$D$8)/2))+SQRT(1-'Control Room'!$B$9^2)*(I172-IF('Control Room'!$B$5="Normal",'Control Room'!$B$7,('Control Room'!$B$8+'Control Room'!$D$8)/2))</x:f>
        <x:v>915.2251772227131</x:v>
      </x:c>
      <x:c r="K172" s="17" t="n">
        <x:f>IF(AND($A172&gt;='Control Room'!$A$13,$A172&lt;'Control Room'!$A$13+'Control Room'!$B$13,'Process'!BL2=1),1+('Control Room'!$C$13-1)*EXP(-0.5*(($A172-'Control Room'!$A$13-('Control Room'!$B$13-1)/2)/MAX(0.5,'Control Room'!$B$13/4))^2),1)*IF(AND($A172&gt;='Control Room'!$A$14,$A172&lt;'Control Room'!$A$14+'Control Room'!$B$14,'Process'!BL3=1),1+('Control Room'!$C$14-1)*EXP(-0.5*(($A172-'Control Room'!$A$14-('Control Room'!$B$14-1)/2)/MAX(0.5,'Control Room'!$B$14/4))^2),1)*IF(AND($A172&gt;='Control Room'!$A$15,$A172&lt;'Control Room'!$A$15+'Control Room'!$B$15,'Process'!BL4=1),1+('Control Room'!$C$15-1)*EXP(-0.5*(($A172-'Control Room'!$A$15-('Control Room'!$B$15-1)/2)/MAX(0.5,'Control Room'!$B$15/4))^2),1)*IF(AND($A172&gt;='Control Room'!$A$16,$A172&lt;'Control Room'!$A$16+'Control Room'!$B$16,'Process'!BL5=1),1+('Control Room'!$C$16-1)*EXP(-0.5*(($A172-'Control Room'!$A$16-('Control Room'!$B$16-1)/2)/MAX(0.5,'Control Room'!$B$16/4))^2),1)</x:f>
        <x:v>1</x:v>
      </x:c>
      <x:c r="L172" s="9" t="n">
        <x:f>MOD(M171*16807,2147483647)</x:f>
        <x:v>133555102</x:v>
      </x:c>
      <x:c r="M172" s="9" t="n">
        <x:f>MOD(L172*16807,2147483647)</x:f>
        <x:v>540188199</x:v>
      </x:c>
      <x:c r="N172" s="17" t="n">
        <x:f>IF('Control Room'!$B$5="Normal",'Control Room'!$B$7+'Control Room'!$D$7*SQRT(-2*LN(MAX(0.000000000001,L172/2147483647)))*COS(2*PI()*M172/2147483647),'Control Room'!$B$8+('Control Room'!$D$8-'Control Room'!$B$8)*L172/2147483647)</x:f>
        <x:v>997.9412018577777</x:v>
      </x:c>
      <x:c r="O172" s="17" t="n">
        <x:f>IF('Control Room'!$B$5="Normal",'Control Room'!$B$7,('Control Room'!$B$8+'Control Room'!$D$8)/2)+'Control Room'!$B$9*(O171-IF('Control Room'!$B$5="Normal",'Control Room'!$B$7,('Control Room'!$B$8+'Control Room'!$D$8)/2))+SQRT(1-'Control Room'!$B$9^2)*(N172-IF('Control Room'!$B$5="Normal",'Control Room'!$B$7,('Control Room'!$B$8+'Control Room'!$D$8)/2))</x:f>
        <x:v>1042.546566045026</x:v>
      </x:c>
      <x:c r="P172" s="17" t="n">
        <x:f>IF(AND($A172&gt;='Control Room'!$A$13,$A172&lt;'Control Room'!$A$13+'Control Room'!$B$13,'Process'!BM2=1),1+('Control Room'!$C$13-1)*EXP(-0.5*(($A172-'Control Room'!$A$13-('Control Room'!$B$13-1)/2)/MAX(0.5,'Control Room'!$B$13/4))^2),1)*IF(AND($A172&gt;='Control Room'!$A$14,$A172&lt;'Control Room'!$A$14+'Control Room'!$B$14,'Process'!BM3=1),1+('Control Room'!$C$14-1)*EXP(-0.5*(($A172-'Control Room'!$A$14-('Control Room'!$B$14-1)/2)/MAX(0.5,'Control Room'!$B$14/4))^2),1)*IF(AND($A172&gt;='Control Room'!$A$15,$A172&lt;'Control Room'!$A$15+'Control Room'!$B$15,'Process'!BM4=1),1+('Control Room'!$C$15-1)*EXP(-0.5*(($A172-'Control Room'!$A$15-('Control Room'!$B$15-1)/2)/MAX(0.5,'Control Room'!$B$15/4))^2),1)*IF(AND($A172&gt;='Control Room'!$A$16,$A172&lt;'Control Room'!$A$16+'Control Room'!$B$16,'Process'!BM5=1),1+('Control Room'!$C$16-1)*EXP(-0.5*(($A172-'Control Room'!$A$16-('Control Room'!$B$16-1)/2)/MAX(0.5,'Control Room'!$B$16/4))^2),1)</x:f>
        <x:v>1</x:v>
      </x:c>
      <x:c r="Q172" s="9" t="n">
        <x:f>MOD(R171*16807,2147483647)</x:f>
        <x:v>740045337</x:v>
      </x:c>
      <x:c r="R172" s="9" t="n">
        <x:f>MOD(Q172*16807,2147483647)</x:f>
        <x:v>1864179182</x:v>
      </x:c>
      <x:c r="S172" s="17" t="n">
        <x:f>IF('Control Room'!$B$5="Normal",'Control Room'!$B$7+'Control Room'!$D$7*SQRT(-2*LN(MAX(0.000000000001,Q172/2147483647)))*COS(2*PI()*R172/2147483647),'Control Room'!$B$8+('Control Room'!$D$8-'Control Room'!$B$8)*Q172/2147483647)</x:f>
        <x:v>1088.7659072785484</x:v>
      </x:c>
      <x:c r="T172" s="17" t="n">
        <x:f>IF('Control Room'!$B$5="Normal",'Control Room'!$B$7,('Control Room'!$B$8+'Control Room'!$D$8)/2)+'Control Room'!$B$9*(T171-IF('Control Room'!$B$5="Normal",'Control Room'!$B$7,('Control Room'!$B$8+'Control Room'!$D$8)/2))+SQRT(1-'Control Room'!$B$9^2)*(S172-IF('Control Room'!$B$5="Normal",'Control Room'!$B$7,('Control Room'!$B$8+'Control Room'!$D$8)/2))</x:f>
        <x:v>1193.143724227113</x:v>
      </x:c>
      <x:c r="U172" s="17" t="n">
        <x:f>IF(AND($A172&gt;='Control Room'!$A$13,$A172&lt;'Control Room'!$A$13+'Control Room'!$B$13,'Process'!BN2=1),1+('Control Room'!$C$13-1)*EXP(-0.5*(($A172-'Control Room'!$A$13-('Control Room'!$B$13-1)/2)/MAX(0.5,'Control Room'!$B$13/4))^2),1)*IF(AND($A172&gt;='Control Room'!$A$14,$A172&lt;'Control Room'!$A$14+'Control Room'!$B$14,'Process'!BN3=1),1+('Control Room'!$C$14-1)*EXP(-0.5*(($A172-'Control Room'!$A$14-('Control Room'!$B$14-1)/2)/MAX(0.5,'Control Room'!$B$14/4))^2),1)*IF(AND($A172&gt;='Control Room'!$A$15,$A172&lt;'Control Room'!$A$15+'Control Room'!$B$15,'Process'!BN4=1),1+('Control Room'!$C$15-1)*EXP(-0.5*(($A172-'Control Room'!$A$15-('Control Room'!$B$15-1)/2)/MAX(0.5,'Control Room'!$B$15/4))^2),1)*IF(AND($A172&gt;='Control Room'!$A$16,$A172&lt;'Control Room'!$A$16+'Control Room'!$B$16,'Process'!BN5=1),1+('Control Room'!$C$16-1)*EXP(-0.5*(($A172-'Control Room'!$A$16-('Control Room'!$B$16-1)/2)/MAX(0.5,'Control Room'!$B$16/4))^2),1)</x:f>
        <x:v>1</x:v>
      </x:c>
      <x:c r="V172" s="9" t="n">
        <x:f>MOD(W171*16807,2147483647)</x:f>
        <x:v>1346535572</x:v>
      </x:c>
      <x:c r="W172" s="9" t="n">
        <x:f>MOD(V172*16807,2147483647)</x:f>
        <x:v>1040686518</x:v>
      </x:c>
      <x:c r="X172" s="17" t="n">
        <x:f>IF('Control Room'!$B$5="Normal",'Control Room'!$B$7+'Control Room'!$D$7*SQRT(-2*LN(MAX(0.000000000001,V172/2147483647)))*COS(2*PI()*W172/2147483647),'Control Room'!$B$8+('Control Room'!$D$8-'Control Room'!$B$8)*V172/2147483647)</x:f>
        <x:v>913.449253414657</x:v>
      </x:c>
      <x:c r="Y172" s="17" t="n">
        <x:f>IF('Control Room'!$B$5="Normal",'Control Room'!$B$7,('Control Room'!$B$8+'Control Room'!$D$8)/2)+'Control Room'!$B$9*(Y171-IF('Control Room'!$B$5="Normal",'Control Room'!$B$7,('Control Room'!$B$8+'Control Room'!$D$8)/2))+SQRT(1-'Control Room'!$B$9^2)*(X172-IF('Control Room'!$B$5="Normal",'Control Room'!$B$7,('Control Room'!$B$8+'Control Room'!$D$8)/2))</x:f>
        <x:v>943.162646887859</x:v>
      </x:c>
      <x:c r="Z172" s="17" t="n">
        <x:f>IF(AND($A172&gt;='Control Room'!$A$13,$A172&lt;'Control Room'!$A$13+'Control Room'!$B$13,'Process'!BO2=1),1+('Control Room'!$C$13-1)*EXP(-0.5*(($A172-'Control Room'!$A$13-('Control Room'!$B$13-1)/2)/MAX(0.5,'Control Room'!$B$13/4))^2),1)*IF(AND($A172&gt;='Control Room'!$A$14,$A172&lt;'Control Room'!$A$14+'Control Room'!$B$14,'Process'!BO3=1),1+('Control Room'!$C$14-1)*EXP(-0.5*(($A172-'Control Room'!$A$14-('Control Room'!$B$14-1)/2)/MAX(0.5,'Control Room'!$B$14/4))^2),1)*IF(AND($A172&gt;='Control Room'!$A$15,$A172&lt;'Control Room'!$A$15+'Control Room'!$B$15,'Process'!BO4=1),1+('Control Room'!$C$15-1)*EXP(-0.5*(($A172-'Control Room'!$A$15-('Control Room'!$B$15-1)/2)/MAX(0.5,'Control Room'!$B$15/4))^2),1)*IF(AND($A172&gt;='Control Room'!$A$16,$A172&lt;'Control Room'!$A$16+'Control Room'!$B$16,'Process'!BO5=1),1+('Control Room'!$C$16-1)*EXP(-0.5*(($A172-'Control Room'!$A$16-('Control Room'!$B$16-1)/2)/MAX(0.5,'Control Room'!$B$16/4))^2),1)</x:f>
        <x:v>1</x:v>
      </x:c>
      <x:c r="AA172" s="9" t="n">
        <x:f>MOD(AB171*16807,2147483647)</x:f>
        <x:v>1953025807</x:v>
      </x:c>
      <x:c r="AB172" s="9" t="n">
        <x:f>MOD(AA172*16807,2147483647)</x:f>
        <x:v>217193854</x:v>
      </x:c>
      <x:c r="AC172" s="17" t="n">
        <x:f>IF('Control Room'!$B$5="Normal",'Control Room'!$B$7+'Control Room'!$D$7*SQRT(-2*LN(MAX(0.000000000001,AA172/2147483647)))*COS(2*PI()*AB172/2147483647),'Control Room'!$B$8+('Control Room'!$D$8-'Control Room'!$B$8)*AA172/2147483647)</x:f>
        <x:v>1031.5581977587613</x:v>
      </x:c>
      <x:c r="AD172" s="17" t="n">
        <x:f>IF('Control Room'!$B$5="Normal",'Control Room'!$B$7,('Control Room'!$B$8+'Control Room'!$D$8)/2)+'Control Room'!$B$9*(AD171-IF('Control Room'!$B$5="Normal",'Control Room'!$B$7,('Control Room'!$B$8+'Control Room'!$D$8)/2))+SQRT(1-'Control Room'!$B$9^2)*(AC172-IF('Control Room'!$B$5="Normal",'Control Room'!$B$7,('Control Room'!$B$8+'Control Room'!$D$8)/2))</x:f>
        <x:v>1016.5809212454741</x:v>
      </x:c>
      <x:c r="AE172" s="17" t="n">
        <x:f>IF(AND($A172&gt;='Control Room'!$A$13,$A172&lt;'Control Room'!$A$13+'Control Room'!$B$13,'Process'!BP2=1),1+('Control Room'!$C$13-1)*EXP(-0.5*(($A172-'Control Room'!$A$13-('Control Room'!$B$13-1)/2)/MAX(0.5,'Control Room'!$B$13/4))^2),1)*IF(AND($A172&gt;='Control Room'!$A$14,$A172&lt;'Control Room'!$A$14+'Control Room'!$B$14,'Process'!BP3=1),1+('Control Room'!$C$14-1)*EXP(-0.5*(($A172-'Control Room'!$A$14-('Control Room'!$B$14-1)/2)/MAX(0.5,'Control Room'!$B$14/4))^2),1)*IF(AND($A172&gt;='Control Room'!$A$15,$A172&lt;'Control Room'!$A$15+'Control Room'!$B$15,'Process'!BP4=1),1+('Control Room'!$C$15-1)*EXP(-0.5*(($A172-'Control Room'!$A$15-('Control Room'!$B$15-1)/2)/MAX(0.5,'Control Room'!$B$15/4))^2),1)*IF(AND($A172&gt;='Control Room'!$A$16,$A172&lt;'Control Room'!$A$16+'Control Room'!$B$16,'Process'!BP5=1),1+('Control Room'!$C$16-1)*EXP(-0.5*(($A172-'Control Room'!$A$16-('Control Room'!$B$16-1)/2)/MAX(0.5,'Control Room'!$B$16/4))^2),1)</x:f>
        <x:v>1</x:v>
      </x:c>
      <x:c r="AF172" s="9" t="n">
        <x:f>MOD(AG171*16807,2147483647)</x:f>
        <x:v>412032395</x:v>
      </x:c>
      <x:c r="AG172" s="9" t="n">
        <x:f>MOD(AF172*16807,2147483647)</x:f>
        <x:v>1541184837</x:v>
      </x:c>
      <x:c r="AH172" s="17" t="n">
        <x:f>IF('Control Room'!$B$5="Normal",'Control Room'!$B$7+'Control Room'!$D$7*SQRT(-2*LN(MAX(0.000000000001,AF172/2147483647)))*COS(2*PI()*AG172/2147483647),'Control Room'!$B$8+('Control Room'!$D$8-'Control Room'!$B$8)*AF172/2147483647)</x:f>
        <x:v>967.0073186176546</x:v>
      </x:c>
      <x:c r="AI172" s="17" t="n">
        <x:f>IF('Control Room'!$B$5="Normal",'Control Room'!$B$7,('Control Room'!$B$8+'Control Room'!$D$8)/2)+'Control Room'!$B$9*(AI171-IF('Control Room'!$B$5="Normal",'Control Room'!$B$7,('Control Room'!$B$8+'Control Room'!$D$8)/2))+SQRT(1-'Control Room'!$B$9^2)*(AH172-IF('Control Room'!$B$5="Normal",'Control Room'!$B$7,('Control Room'!$B$8+'Control Room'!$D$8)/2))</x:f>
        <x:v>947.3907083658562</x:v>
      </x:c>
      <x:c r="AJ172" s="17" t="n">
        <x:f>IF(AND($A172&gt;='Control Room'!$A$13,$A172&lt;'Control Room'!$A$13+'Control Room'!$B$13,'Process'!BQ2=1),1+('Control Room'!$C$13-1)*EXP(-0.5*(($A172-'Control Room'!$A$13-('Control Room'!$B$13-1)/2)/MAX(0.5,'Control Room'!$B$13/4))^2),1)*IF(AND($A172&gt;='Control Room'!$A$14,$A172&lt;'Control Room'!$A$14+'Control Room'!$B$14,'Process'!BQ3=1),1+('Control Room'!$C$14-1)*EXP(-0.5*(($A172-'Control Room'!$A$14-('Control Room'!$B$14-1)/2)/MAX(0.5,'Control Room'!$B$14/4))^2),1)*IF(AND($A172&gt;='Control Room'!$A$15,$A172&lt;'Control Room'!$A$15+'Control Room'!$B$15,'Process'!BQ4=1),1+('Control Room'!$C$15-1)*EXP(-0.5*(($A172-'Control Room'!$A$15-('Control Room'!$B$15-1)/2)/MAX(0.5,'Control Room'!$B$15/4))^2),1)*IF(AND($A172&gt;='Control Room'!$A$16,$A172&lt;'Control Room'!$A$16+'Control Room'!$B$16,'Process'!BQ5=1),1+('Control Room'!$C$16-1)*EXP(-0.5*(($A172-'Control Room'!$A$16-('Control Room'!$B$16-1)/2)/MAX(0.5,'Control Room'!$B$16/4))^2),1)</x:f>
        <x:v>1</x:v>
      </x:c>
      <x:c r="AK172" s="9" t="n">
        <x:f>MOD(AL171*16807,2147483647)</x:f>
        <x:v>1018522630</x:v>
      </x:c>
      <x:c r="AL172" s="9" t="n">
        <x:f>MOD(AK172*16807,2147483647)</x:f>
        <x:v>717692173</x:v>
      </x:c>
      <x:c r="AM172" s="17" t="n">
        <x:f>IF('Control Room'!$B$5="Normal",'Control Room'!$B$7+'Control Room'!$D$7*SQRT(-2*LN(MAX(0.000000000001,AK172/2147483647)))*COS(2*PI()*AL172/2147483647),'Control Room'!$B$8+('Control Room'!$D$8-'Control Room'!$B$8)*AK172/2147483647)</x:f>
        <x:v>944.517261540914</x:v>
      </x:c>
      <x:c r="AN172" s="17" t="n">
        <x:f>IF('Control Room'!$B$5="Normal",'Control Room'!$B$7,('Control Room'!$B$8+'Control Room'!$D$8)/2)+'Control Room'!$B$9*(AN171-IF('Control Room'!$B$5="Normal",'Control Room'!$B$7,('Control Room'!$B$8+'Control Room'!$D$8)/2))+SQRT(1-'Control Room'!$B$9^2)*(AM172-IF('Control Room'!$B$5="Normal",'Control Room'!$B$7,('Control Room'!$B$8+'Control Room'!$D$8)/2))</x:f>
        <x:v>982.7674182411499</x:v>
      </x:c>
      <x:c r="AO172" s="17" t="n">
        <x:f>IF(AND($A172&gt;='Control Room'!$A$13,$A172&lt;'Control Room'!$A$13+'Control Room'!$B$13,'Process'!BR2=1),1+('Control Room'!$C$13-1)*EXP(-0.5*(($A172-'Control Room'!$A$13-('Control Room'!$B$13-1)/2)/MAX(0.5,'Control Room'!$B$13/4))^2),1)*IF(AND($A172&gt;='Control Room'!$A$14,$A172&lt;'Control Room'!$A$14+'Control Room'!$B$14,'Process'!BR3=1),1+('Control Room'!$C$14-1)*EXP(-0.5*(($A172-'Control Room'!$A$14-('Control Room'!$B$14-1)/2)/MAX(0.5,'Control Room'!$B$14/4))^2),1)*IF(AND($A172&gt;='Control Room'!$A$15,$A172&lt;'Control Room'!$A$15+'Control Room'!$B$15,'Process'!BR4=1),1+('Control Room'!$C$15-1)*EXP(-0.5*(($A172-'Control Room'!$A$15-('Control Room'!$B$15-1)/2)/MAX(0.5,'Control Room'!$B$15/4))^2),1)*IF(AND($A172&gt;='Control Room'!$A$16,$A172&lt;'Control Room'!$A$16+'Control Room'!$B$16,'Process'!BR5=1),1+('Control Room'!$C$16-1)*EXP(-0.5*(($A172-'Control Room'!$A$16-('Control Room'!$B$16-1)/2)/MAX(0.5,'Control Room'!$B$16/4))^2),1)</x:f>
        <x:v>1</x:v>
      </x:c>
      <x:c r="AP172" s="9" t="n">
        <x:f>MOD(AQ171*16807,2147483647)</x:f>
        <x:v>1625012865</x:v>
      </x:c>
      <x:c r="AQ172" s="9" t="n">
        <x:f>MOD(AP172*16807,2147483647)</x:f>
        <x:v>2041683156</x:v>
      </x:c>
      <x:c r="AR172" s="17" t="n">
        <x:f>IF('Control Room'!$B$5="Normal",'Control Room'!$B$7+'Control Room'!$D$7*SQRT(-2*LN(MAX(0.000000000001,AP172/2147483647)))*COS(2*PI()*AQ172/2147483647),'Control Room'!$B$8+('Control Room'!$D$8-'Control Room'!$B$8)*AP172/2147483647)</x:f>
        <x:v>1064.0088582864937</x:v>
      </x:c>
      <x:c r="AS172" s="17" t="n">
        <x:f>IF('Control Room'!$B$5="Normal",'Control Room'!$B$7,('Control Room'!$B$8+'Control Room'!$D$8)/2)+'Control Room'!$B$9*(AS171-IF('Control Room'!$B$5="Normal",'Control Room'!$B$7,('Control Room'!$B$8+'Control Room'!$D$8)/2))+SQRT(1-'Control Room'!$B$9^2)*(AR172-IF('Control Room'!$B$5="Normal",'Control Room'!$B$7,('Control Room'!$B$8+'Control Room'!$D$8)/2))</x:f>
        <x:v>1107.7563903606908</x:v>
      </x:c>
      <x:c r="AT172" s="17" t="n">
        <x:f>IF(AND($A172&gt;='Control Room'!$A$13,$A172&lt;'Control Room'!$A$13+'Control Room'!$B$13,'Process'!BS2=1),1+('Control Room'!$C$13-1)*EXP(-0.5*(($A172-'Control Room'!$A$13-('Control Room'!$B$13-1)/2)/MAX(0.5,'Control Room'!$B$13/4))^2),1)*IF(AND($A172&gt;='Control Room'!$A$14,$A172&lt;'Control Room'!$A$14+'Control Room'!$B$14,'Process'!BS3=1),1+('Control Room'!$C$14-1)*EXP(-0.5*(($A172-'Control Room'!$A$14-('Control Room'!$B$14-1)/2)/MAX(0.5,'Control Room'!$B$14/4))^2),1)*IF(AND($A172&gt;='Control Room'!$A$15,$A172&lt;'Control Room'!$A$15+'Control Room'!$B$15,'Process'!BS4=1),1+('Control Room'!$C$15-1)*EXP(-0.5*(($A172-'Control Room'!$A$15-('Control Room'!$B$15-1)/2)/MAX(0.5,'Control Room'!$B$15/4))^2),1)*IF(AND($A172&gt;='Control Room'!$A$16,$A172&lt;'Control Room'!$A$16+'Control Room'!$B$16,'Process'!BS5=1),1+('Control Room'!$C$16-1)*EXP(-0.5*(($A172-'Control Room'!$A$16-('Control Room'!$B$16-1)/2)/MAX(0.5,'Control Room'!$B$16/4))^2),1)</x:f>
        <x:v>1</x:v>
      </x:c>
      <x:c r="AU172" s="9" t="n">
        <x:f>MOD(AV171*16807,2147483647)</x:f>
        <x:v>84019453</x:v>
      </x:c>
      <x:c r="AV172" s="9" t="n">
        <x:f>MOD(AU172*16807,2147483647)</x:f>
        <x:v>1218190492</x:v>
      </x:c>
      <x:c r="AW172" s="17" t="n">
        <x:f>IF('Control Room'!$B$5="Normal",'Control Room'!$B$7+'Control Room'!$D$7*SQRT(-2*LN(MAX(0.000000000001,AU172/2147483647)))*COS(2*PI()*AV172/2147483647),'Control Room'!$B$8+('Control Room'!$D$8-'Control Room'!$B$8)*AU172/2147483647)</x:f>
        <x:v>791.0233015618132</x:v>
      </x:c>
      <x:c r="AX172" s="17" t="n">
        <x:f>IF('Control Room'!$B$5="Normal",'Control Room'!$B$7,('Control Room'!$B$8+'Control Room'!$D$8)/2)+'Control Room'!$B$9*(AX171-IF('Control Room'!$B$5="Normal",'Control Room'!$B$7,('Control Room'!$B$8+'Control Room'!$D$8)/2))+SQRT(1-'Control Room'!$B$9^2)*(AW172-IF('Control Room'!$B$5="Normal",'Control Room'!$B$7,('Control Room'!$B$8+'Control Room'!$D$8)/2))</x:f>
        <x:v>922.7810355140373</x:v>
      </x:c>
      <x:c r="AY172" s="17" t="n">
        <x:f>IF(AND($A172&gt;='Control Room'!$A$13,$A172&lt;'Control Room'!$A$13+'Control Room'!$B$13,'Process'!BT2=1),1+('Control Room'!$C$13-1)*EXP(-0.5*(($A172-'Control Room'!$A$13-('Control Room'!$B$13-1)/2)/MAX(0.5,'Control Room'!$B$13/4))^2),1)*IF(AND($A172&gt;='Control Room'!$A$14,$A172&lt;'Control Room'!$A$14+'Control Room'!$B$14,'Process'!BT3=1),1+('Control Room'!$C$14-1)*EXP(-0.5*(($A172-'Control Room'!$A$14-('Control Room'!$B$14-1)/2)/MAX(0.5,'Control Room'!$B$14/4))^2),1)*IF(AND($A172&gt;='Control Room'!$A$15,$A172&lt;'Control Room'!$A$15+'Control Room'!$B$15,'Process'!BT4=1),1+('Control Room'!$C$15-1)*EXP(-0.5*(($A172-'Control Room'!$A$15-('Control Room'!$B$15-1)/2)/MAX(0.5,'Control Room'!$B$15/4))^2),1)*IF(AND($A172&gt;='Control Room'!$A$16,$A172&lt;'Control Room'!$A$16+'Control Room'!$B$16,'Process'!BT5=1),1+('Control Room'!$C$16-1)*EXP(-0.5*(($A172-'Control Room'!$A$16-('Control Room'!$B$16-1)/2)/MAX(0.5,'Control Room'!$B$16/4))^2),1)</x:f>
        <x:v>1</x:v>
      </x:c>
      <x:c r="AZ172" s="9" t="n">
        <x:f>MOD(BA171*16807,2147483647)</x:f>
        <x:v>690509688</x:v>
      </x:c>
      <x:c r="BA172" s="9" t="n">
        <x:f>MOD(AZ172*16807,2147483647)</x:f>
        <x:v>394697828</x:v>
      </x:c>
      <x:c r="BB172" s="17" t="n">
        <x:f>IF('Control Room'!$B$5="Normal",'Control Room'!$B$7+'Control Room'!$D$7*SQRT(-2*LN(MAX(0.000000000001,AZ172/2147483647)))*COS(2*PI()*BA172/2147483647),'Control Room'!$B$8+('Control Room'!$D$8-'Control Room'!$B$8)*AZ172/2147483647)</x:f>
        <x:v>1054.7838742027277</x:v>
      </x:c>
      <x:c r="BC172" s="17" t="n">
        <x:f>IF('Control Room'!$B$5="Normal",'Control Room'!$B$7,('Control Room'!$B$8+'Control Room'!$D$8)/2)+'Control Room'!$B$9*(BC171-IF('Control Room'!$B$5="Normal",'Control Room'!$B$7,('Control Room'!$B$8+'Control Room'!$D$8)/2))+SQRT(1-'Control Room'!$B$9^2)*(BB172-IF('Control Room'!$B$5="Normal",'Control Room'!$B$7,('Control Room'!$B$8+'Control Room'!$D$8)/2))</x:f>
        <x:v>1168.5940385805284</x:v>
      </x:c>
      <x:c r="BD172" s="17" t="n">
        <x:f>IF(AND($A172&gt;='Control Room'!$A$13,$A172&lt;'Control Room'!$A$13+'Control Room'!$B$13,'Process'!BU2=1),1+('Control Room'!$C$13-1)*EXP(-0.5*(($A172-'Control Room'!$A$13-('Control Room'!$B$13-1)/2)/MAX(0.5,'Control Room'!$B$13/4))^2),1)*IF(AND($A172&gt;='Control Room'!$A$14,$A172&lt;'Control Room'!$A$14+'Control Room'!$B$14,'Process'!BU3=1),1+('Control Room'!$C$14-1)*EXP(-0.5*(($A172-'Control Room'!$A$14-('Control Room'!$B$14-1)/2)/MAX(0.5,'Control Room'!$B$14/4))^2),1)*IF(AND($A172&gt;='Control Room'!$A$15,$A172&lt;'Control Room'!$A$15+'Control Room'!$B$15,'Process'!BU4=1),1+('Control Room'!$C$15-1)*EXP(-0.5*(($A172-'Control Room'!$A$15-('Control Room'!$B$15-1)/2)/MAX(0.5,'Control Room'!$B$15/4))^2),1)*IF(AND($A172&gt;='Control Room'!$A$16,$A172&lt;'Control Room'!$A$16+'Control Room'!$B$16,'Process'!BU5=1),1+('Control Room'!$C$16-1)*EXP(-0.5*(($A172-'Control Room'!$A$16-('Control Room'!$B$16-1)/2)/MAX(0.5,'Control Room'!$B$16/4))^2),1)</x:f>
        <x:v>1</x:v>
      </x:c>
      <x:c r="BE172" s="9" t="n">
        <x:f>MOD(BF171*16807,2147483647)</x:f>
        <x:v>1296999923</x:v>
      </x:c>
      <x:c r="BF172" s="9" t="n">
        <x:f>MOD(BE172*16807,2147483647)</x:f>
        <x:v>1718688811</x:v>
      </x:c>
      <x:c r="BG172" s="17" t="n">
        <x:f>IF('Control Room'!$B$5="Normal",'Control Room'!$B$7+'Control Room'!$D$7*SQRT(-2*LN(MAX(0.000000000001,BE172/2147483647)))*COS(2*PI()*BF172/2147483647),'Control Room'!$B$8+('Control Room'!$D$8-'Control Room'!$B$8)*BE172/2147483647)</x:f>
        <x:v>1028.105747585323</x:v>
      </x:c>
      <x:c r="BH172" s="17" t="n">
        <x:f>IF('Control Room'!$B$5="Normal",'Control Room'!$B$7,('Control Room'!$B$8+'Control Room'!$D$8)/2)+'Control Room'!$B$9*(BH171-IF('Control Room'!$B$5="Normal",'Control Room'!$B$7,('Control Room'!$B$8+'Control Room'!$D$8)/2))+SQRT(1-'Control Room'!$B$9^2)*(BG172-IF('Control Room'!$B$5="Normal",'Control Room'!$B$7,('Control Room'!$B$8+'Control Room'!$D$8)/2))</x:f>
        <x:v>1076.1035394138842</x:v>
      </x:c>
      <x:c r="BI172" s="17" t="n">
        <x:f>IF(AND($A172&gt;='Control Room'!$A$13,$A172&lt;'Control Room'!$A$13+'Control Room'!$B$13,'Process'!BV2=1),1+('Control Room'!$C$13-1)*EXP(-0.5*(($A172-'Control Room'!$A$13-('Control Room'!$B$13-1)/2)/MAX(0.5,'Control Room'!$B$13/4))^2),1)*IF(AND($A172&gt;='Control Room'!$A$14,$A172&lt;'Control Room'!$A$14+'Control Room'!$B$14,'Process'!BV3=1),1+('Control Room'!$C$14-1)*EXP(-0.5*(($A172-'Control Room'!$A$14-('Control Room'!$B$14-1)/2)/MAX(0.5,'Control Room'!$B$14/4))^2),1)*IF(AND($A172&gt;='Control Room'!$A$15,$A172&lt;'Control Room'!$A$15+'Control Room'!$B$15,'Process'!BV4=1),1+('Control Room'!$C$15-1)*EXP(-0.5*(($A172-'Control Room'!$A$15-('Control Room'!$B$15-1)/2)/MAX(0.5,'Control Room'!$B$15/4))^2),1)*IF(AND($A172&gt;='Control Room'!$A$16,$A172&lt;'Control Room'!$A$16+'Control Room'!$B$16,'Process'!BV5=1),1+('Control Room'!$C$16-1)*EXP(-0.5*(($A172-'Control Room'!$A$16-('Control Room'!$B$16-1)/2)/MAX(0.5,'Control Room'!$B$16/4))^2),1)</x:f>
        <x:v>1</x:v>
      </x:c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Z172" t="str">
        <x:f>IF('Data'!A172="","",TEXT('Data'!A172,"mm-dd"))</x:f>
      </x:c>
    </x:row>
    <x:row r="173" ht="21" customHeight="1">
      <x:c r="A173" s="15" t="n">
        <x:f>'Control Room'!$B$1+171</x:f>
        <x:v>73162</x:v>
      </x:c>
      <x:c r="B173" s="9" t="n">
        <x:f>MOD(C172*16807,2147483647)</x:f>
        <x:v>1347882590</x:v>
      </x:c>
      <x:c r="C173" s="9" t="n">
        <x:f>MOD(B173*16807,2147483647)</x:f>
        <x:v>57697927</x:v>
      </x:c>
      <x:c r="D173" s="17" t="n">
        <x:f>IF('Control Room'!$B$5="Normal",'Control Room'!$B$7+'Control Room'!$D$7*SQRT(-2*LN(MAX(0.000000000001,B173/2147483647)))*COS(2*PI()*C173/2147483647),'Control Room'!$B$8+('Control Room'!$D$8-'Control Room'!$B$8)*B173/2147483647)</x:f>
        <x:v>1085.6291233056395</x:v>
      </x:c>
      <x:c r="E173" s="17" t="n">
        <x:f>IF('Control Room'!$B$5="Normal",'Control Room'!$B$7,('Control Room'!$B$8+'Control Room'!$D$8)/2)+'Control Room'!$B$9*(E172-IF('Control Room'!$B$5="Normal",'Control Room'!$B$7,('Control Room'!$B$8+'Control Room'!$D$8)/2))+SQRT(1-'Control Room'!$B$9^2)*(D173-IF('Control Room'!$B$5="Normal",'Control Room'!$B$7,('Control Room'!$B$8+'Control Room'!$D$8)/2))</x:f>
        <x:v>1037.3733967105447</x:v>
      </x:c>
      <x:c r="F173" s="17" t="n">
        <x:f>IF(AND($A173&gt;='Control Room'!$A$13,$A173&lt;'Control Room'!$A$13+'Control Room'!$B$13,'Process'!BK2=1),1+('Control Room'!$C$13-1)*EXP(-0.5*(($A173-'Control Room'!$A$13-('Control Room'!$B$13-1)/2)/MAX(0.5,'Control Room'!$B$13/4))^2),1)*IF(AND($A173&gt;='Control Room'!$A$14,$A173&lt;'Control Room'!$A$14+'Control Room'!$B$14,'Process'!BK3=1),1+('Control Room'!$C$14-1)*EXP(-0.5*(($A173-'Control Room'!$A$14-('Control Room'!$B$14-1)/2)/MAX(0.5,'Control Room'!$B$14/4))^2),1)*IF(AND($A173&gt;='Control Room'!$A$15,$A173&lt;'Control Room'!$A$15+'Control Room'!$B$15,'Process'!BK4=1),1+('Control Room'!$C$15-1)*EXP(-0.5*(($A173-'Control Room'!$A$15-('Control Room'!$B$15-1)/2)/MAX(0.5,'Control Room'!$B$15/4))^2),1)*IF(AND($A173&gt;='Control Room'!$A$16,$A173&lt;'Control Room'!$A$16+'Control Room'!$B$16,'Process'!BK5=1),1+('Control Room'!$C$16-1)*EXP(-0.5*(($A173-'Control Room'!$A$16-('Control Room'!$B$16-1)/2)/MAX(0.5,'Control Room'!$B$16/4))^2),1)</x:f>
        <x:v>1</x:v>
      </x:c>
      <x:c r="G173" s="9" t="n">
        <x:f>MOD(H172*16807,2147483647)</x:f>
        <x:v>1438783657</x:v>
      </x:c>
      <x:c r="H173" s="9" t="n">
        <x:f>MOD(G173*16807,2147483647)</x:f>
        <x:v>971057979</x:v>
      </x:c>
      <x:c r="I173" s="17" t="n">
        <x:f>IF('Control Room'!$B$5="Normal",'Control Room'!$B$7+'Control Room'!$D$7*SQRT(-2*LN(MAX(0.000000000001,G173/2147483647)))*COS(2*PI()*H173/2147483647),'Control Room'!$B$8+('Control Room'!$D$8-'Control Room'!$B$8)*G173/2147483647)</x:f>
        <x:v>923.0593611471103</x:v>
      </x:c>
      <x:c r="J173" s="17" t="n">
        <x:f>IF('Control Room'!$B$5="Normal",'Control Room'!$B$7,('Control Room'!$B$8+'Control Room'!$D$8)/2)+'Control Room'!$B$9*(J172-IF('Control Room'!$B$5="Normal",'Control Room'!$B$7,('Control Room'!$B$8+'Control Room'!$D$8)/2))+SQRT(1-'Control Room'!$B$9^2)*(I173-IF('Control Room'!$B$5="Normal",'Control Room'!$B$7,('Control Room'!$B$8+'Control Room'!$D$8)/2))</x:f>
        <x:v>885.7277626542397</x:v>
      </x:c>
      <x:c r="K173" s="17" t="n">
        <x:f>IF(AND($A173&gt;='Control Room'!$A$13,$A173&lt;'Control Room'!$A$13+'Control Room'!$B$13,'Process'!BL2=1),1+('Control Room'!$C$13-1)*EXP(-0.5*(($A173-'Control Room'!$A$13-('Control Room'!$B$13-1)/2)/MAX(0.5,'Control Room'!$B$13/4))^2),1)*IF(AND($A173&gt;='Control Room'!$A$14,$A173&lt;'Control Room'!$A$14+'Control Room'!$B$14,'Process'!BL3=1),1+('Control Room'!$C$14-1)*EXP(-0.5*(($A173-'Control Room'!$A$14-('Control Room'!$B$14-1)/2)/MAX(0.5,'Control Room'!$B$14/4))^2),1)*IF(AND($A173&gt;='Control Room'!$A$15,$A173&lt;'Control Room'!$A$15+'Control Room'!$B$15,'Process'!BL4=1),1+('Control Room'!$C$15-1)*EXP(-0.5*(($A173-'Control Room'!$A$15-('Control Room'!$B$15-1)/2)/MAX(0.5,'Control Room'!$B$15/4))^2),1)*IF(AND($A173&gt;='Control Room'!$A$16,$A173&lt;'Control Room'!$A$16+'Control Room'!$B$16,'Process'!BL5=1),1+('Control Room'!$C$16-1)*EXP(-0.5*(($A173-'Control Room'!$A$16-('Control Room'!$B$16-1)/2)/MAX(0.5,'Control Room'!$B$16/4))^2),1)</x:f>
        <x:v>1</x:v>
      </x:c>
      <x:c r="L173" s="9" t="n">
        <x:f>MOD(M172*16807,2147483647)</x:f>
        <x:v>1529684724</x:v>
      </x:c>
      <x:c r="M173" s="9" t="n">
        <x:f>MOD(L173*16807,2147483647)</x:f>
        <x:v>1884418031</x:v>
      </x:c>
      <x:c r="N173" s="17" t="n">
        <x:f>IF('Control Room'!$B$5="Normal",'Control Room'!$B$7+'Control Room'!$D$7*SQRT(-2*LN(MAX(0.000000000001,L173/2147483647)))*COS(2*PI()*M173/2147483647),'Control Room'!$B$8+('Control Room'!$D$8-'Control Room'!$B$8)*L173/2147483647)</x:f>
        <x:v>1053.2365773986448</x:v>
      </x:c>
      <x:c r="O173" s="17" t="n">
        <x:f>IF('Control Room'!$B$5="Normal",'Control Room'!$B$7,('Control Room'!$B$8+'Control Room'!$D$8)/2)+'Control Room'!$B$9*(O172-IF('Control Room'!$B$5="Normal",'Control Room'!$B$7,('Control Room'!$B$8+'Control Room'!$D$8)/2))+SQRT(1-'Control Room'!$B$9^2)*(N173-IF('Control Room'!$B$5="Normal",'Control Room'!$B$7,('Control Room'!$B$8+'Control Room'!$D$8)/2))</x:f>
        <x:v>1066.5006810406244</x:v>
      </x:c>
      <x:c r="P173" s="17" t="n">
        <x:f>IF(AND($A173&gt;='Control Room'!$A$13,$A173&lt;'Control Room'!$A$13+'Control Room'!$B$13,'Process'!BM2=1),1+('Control Room'!$C$13-1)*EXP(-0.5*(($A173-'Control Room'!$A$13-('Control Room'!$B$13-1)/2)/MAX(0.5,'Control Room'!$B$13/4))^2),1)*IF(AND($A173&gt;='Control Room'!$A$14,$A173&lt;'Control Room'!$A$14+'Control Room'!$B$14,'Process'!BM3=1),1+('Control Room'!$C$14-1)*EXP(-0.5*(($A173-'Control Room'!$A$14-('Control Room'!$B$14-1)/2)/MAX(0.5,'Control Room'!$B$14/4))^2),1)*IF(AND($A173&gt;='Control Room'!$A$15,$A173&lt;'Control Room'!$A$15+'Control Room'!$B$15,'Process'!BM4=1),1+('Control Room'!$C$15-1)*EXP(-0.5*(($A173-'Control Room'!$A$15-('Control Room'!$B$15-1)/2)/MAX(0.5,'Control Room'!$B$15/4))^2),1)*IF(AND($A173&gt;='Control Room'!$A$16,$A173&lt;'Control Room'!$A$16+'Control Room'!$B$16,'Process'!BM5=1),1+('Control Room'!$C$16-1)*EXP(-0.5*(($A173-'Control Room'!$A$16-('Control Room'!$B$16-1)/2)/MAX(0.5,'Control Room'!$B$16/4))^2),1)</x:f>
        <x:v>1</x:v>
      </x:c>
      <x:c r="Q173" s="9" t="n">
        <x:f>MOD(R172*16807,2147483647)</x:f>
        <x:v>1620585791</x:v>
      </x:c>
      <x:c r="R173" s="9" t="n">
        <x:f>MOD(Q173*16807,2147483647)</x:f>
        <x:v>650294436</x:v>
      </x:c>
      <x:c r="S173" s="17" t="n">
        <x:f>IF('Control Room'!$B$5="Normal",'Control Room'!$B$7+'Control Room'!$D$7*SQRT(-2*LN(MAX(0.000000000001,Q173/2147483647)))*COS(2*PI()*R173/2147483647),'Control Room'!$B$8+('Control Room'!$D$8-'Control Room'!$B$8)*Q173/2147483647)</x:f>
        <x:v>977.998317555468</x:v>
      </x:c>
      <x:c r="T173" s="17" t="n">
        <x:f>IF('Control Room'!$B$5="Normal",'Control Room'!$B$7,('Control Room'!$B$8+'Control Room'!$D$8)/2)+'Control Room'!$B$9*(T172-IF('Control Room'!$B$5="Normal",'Control Room'!$B$7,('Control Room'!$B$8+'Control Room'!$D$8)/2))+SQRT(1-'Control Room'!$B$9^2)*(S173-IF('Control Room'!$B$5="Normal",'Control Room'!$B$7,('Control Room'!$B$8+'Control Room'!$D$8)/2))</x:f>
        <x:v>1136.883902752324</x:v>
      </x:c>
      <x:c r="U173" s="17" t="n">
        <x:f>IF(AND($A173&gt;='Control Room'!$A$13,$A173&lt;'Control Room'!$A$13+'Control Room'!$B$13,'Process'!BN2=1),1+('Control Room'!$C$13-1)*EXP(-0.5*(($A173-'Control Room'!$A$13-('Control Room'!$B$13-1)/2)/MAX(0.5,'Control Room'!$B$13/4))^2),1)*IF(AND($A173&gt;='Control Room'!$A$14,$A173&lt;'Control Room'!$A$14+'Control Room'!$B$14,'Process'!BN3=1),1+('Control Room'!$C$14-1)*EXP(-0.5*(($A173-'Control Room'!$A$14-('Control Room'!$B$14-1)/2)/MAX(0.5,'Control Room'!$B$14/4))^2),1)*IF(AND($A173&gt;='Control Room'!$A$15,$A173&lt;'Control Room'!$A$15+'Control Room'!$B$15,'Process'!BN4=1),1+('Control Room'!$C$15-1)*EXP(-0.5*(($A173-'Control Room'!$A$15-('Control Room'!$B$15-1)/2)/MAX(0.5,'Control Room'!$B$15/4))^2),1)*IF(AND($A173&gt;='Control Room'!$A$16,$A173&lt;'Control Room'!$A$16+'Control Room'!$B$16,'Process'!BN5=1),1+('Control Room'!$C$16-1)*EXP(-0.5*(($A173-'Control Room'!$A$16-('Control Room'!$B$16-1)/2)/MAX(0.5,'Control Room'!$B$16/4))^2),1)</x:f>
        <x:v>1</x:v>
      </x:c>
      <x:c r="V173" s="9" t="n">
        <x:f>MOD(W172*16807,2147483647)</x:f>
        <x:v>1711486858</x:v>
      </x:c>
      <x:c r="W173" s="9" t="n">
        <x:f>MOD(V173*16807,2147483647)</x:f>
        <x:v>1563654488</x:v>
      </x:c>
      <x:c r="X173" s="17" t="n">
        <x:f>IF('Control Room'!$B$5="Normal",'Control Room'!$B$7+'Control Room'!$D$7*SQRT(-2*LN(MAX(0.000000000001,V173/2147483647)))*COS(2*PI()*W173/2147483647),'Control Room'!$B$8+('Control Room'!$D$8-'Control Room'!$B$8)*V173/2147483647)</x:f>
        <x:v>991.6957153672943</x:v>
      </x:c>
      <x:c r="Y173" s="17" t="n">
        <x:f>IF('Control Room'!$B$5="Normal",'Control Room'!$B$7,('Control Room'!$B$8+'Control Room'!$D$8)/2)+'Control Room'!$B$9*(Y172-IF('Control Room'!$B$5="Normal",'Control Room'!$B$7,('Control Room'!$B$8+'Control Room'!$D$8)/2))+SQRT(1-'Control Room'!$B$9^2)*(X173-IF('Control Room'!$B$5="Normal",'Control Room'!$B$7,('Control Room'!$B$8+'Control Room'!$D$8)/2))</x:f>
        <x:v>950.4702133719004</x:v>
      </x:c>
      <x:c r="Z173" s="17" t="n">
        <x:f>IF(AND($A173&gt;='Control Room'!$A$13,$A173&lt;'Control Room'!$A$13+'Control Room'!$B$13,'Process'!BO2=1),1+('Control Room'!$C$13-1)*EXP(-0.5*(($A173-'Control Room'!$A$13-('Control Room'!$B$13-1)/2)/MAX(0.5,'Control Room'!$B$13/4))^2),1)*IF(AND($A173&gt;='Control Room'!$A$14,$A173&lt;'Control Room'!$A$14+'Control Room'!$B$14,'Process'!BO3=1),1+('Control Room'!$C$14-1)*EXP(-0.5*(($A173-'Control Room'!$A$14-('Control Room'!$B$14-1)/2)/MAX(0.5,'Control Room'!$B$14/4))^2),1)*IF(AND($A173&gt;='Control Room'!$A$15,$A173&lt;'Control Room'!$A$15+'Control Room'!$B$15,'Process'!BO4=1),1+('Control Room'!$C$15-1)*EXP(-0.5*(($A173-'Control Room'!$A$15-('Control Room'!$B$15-1)/2)/MAX(0.5,'Control Room'!$B$15/4))^2),1)*IF(AND($A173&gt;='Control Room'!$A$16,$A173&lt;'Control Room'!$A$16+'Control Room'!$B$16,'Process'!BO5=1),1+('Control Room'!$C$16-1)*EXP(-0.5*(($A173-'Control Room'!$A$16-('Control Room'!$B$16-1)/2)/MAX(0.5,'Control Room'!$B$16/4))^2),1)</x:f>
        <x:v>1</x:v>
      </x:c>
      <x:c r="AA173" s="9" t="n">
        <x:f>MOD(AB172*16807,2147483647)</x:f>
        <x:v>1802387925</x:v>
      </x:c>
      <x:c r="AB173" s="9" t="n">
        <x:f>MOD(AA173*16807,2147483647)</x:f>
        <x:v>329530893</x:v>
      </x:c>
      <x:c r="AC173" s="17" t="n">
        <x:f>IF('Control Room'!$B$5="Normal",'Control Room'!$B$7+'Control Room'!$D$7*SQRT(-2*LN(MAX(0.000000000001,AA173/2147483647)))*COS(2*PI()*AB173/2147483647),'Control Room'!$B$8+('Control Room'!$D$8-'Control Room'!$B$8)*AA173/2147483647)</x:f>
        <x:v>1030.3714699243335</x:v>
      </x:c>
      <x:c r="AD173" s="17" t="n">
        <x:f>IF('Control Room'!$B$5="Normal",'Control Room'!$B$7,('Control Room'!$B$8+'Control Room'!$D$8)/2)+'Control Room'!$B$9*(AD172-IF('Control Room'!$B$5="Normal",'Control Room'!$B$7,('Control Room'!$B$8+'Control Room'!$D$8)/2))+SQRT(1-'Control Room'!$B$9^2)*(AC173-IF('Control Room'!$B$5="Normal",'Control Room'!$B$7,('Control Room'!$B$8+'Control Room'!$D$8)/2))</x:f>
        <x:v>1031.938962256737</x:v>
      </x:c>
      <x:c r="AE173" s="17" t="n">
        <x:f>IF(AND($A173&gt;='Control Room'!$A$13,$A173&lt;'Control Room'!$A$13+'Control Room'!$B$13,'Process'!BP2=1),1+('Control Room'!$C$13-1)*EXP(-0.5*(($A173-'Control Room'!$A$13-('Control Room'!$B$13-1)/2)/MAX(0.5,'Control Room'!$B$13/4))^2),1)*IF(AND($A173&gt;='Control Room'!$A$14,$A173&lt;'Control Room'!$A$14+'Control Room'!$B$14,'Process'!BP3=1),1+('Control Room'!$C$14-1)*EXP(-0.5*(($A173-'Control Room'!$A$14-('Control Room'!$B$14-1)/2)/MAX(0.5,'Control Room'!$B$14/4))^2),1)*IF(AND($A173&gt;='Control Room'!$A$15,$A173&lt;'Control Room'!$A$15+'Control Room'!$B$15,'Process'!BP4=1),1+('Control Room'!$C$15-1)*EXP(-0.5*(($A173-'Control Room'!$A$15-('Control Room'!$B$15-1)/2)/MAX(0.5,'Control Room'!$B$15/4))^2),1)*IF(AND($A173&gt;='Control Room'!$A$16,$A173&lt;'Control Room'!$A$16+'Control Room'!$B$16,'Process'!BP5=1),1+('Control Room'!$C$16-1)*EXP(-0.5*(($A173-'Control Room'!$A$16-('Control Room'!$B$16-1)/2)/MAX(0.5,'Control Room'!$B$16/4))^2),1)</x:f>
        <x:v>1</x:v>
      </x:c>
      <x:c r="AF173" s="9" t="n">
        <x:f>MOD(AG172*16807,2147483647)</x:f>
        <x:v>1893288992</x:v>
      </x:c>
      <x:c r="AG173" s="9" t="n">
        <x:f>MOD(AF173*16807,2147483647)</x:f>
        <x:v>1242890945</x:v>
      </x:c>
      <x:c r="AH173" s="17" t="n">
        <x:f>IF('Control Room'!$B$5="Normal",'Control Room'!$B$7+'Control Room'!$D$7*SQRT(-2*LN(MAX(0.000000000001,AF173/2147483647)))*COS(2*PI()*AG173/2147483647),'Control Room'!$B$8+('Control Room'!$D$8-'Control Room'!$B$8)*AF173/2147483647)</x:f>
        <x:v>960.2441999562047</x:v>
      </x:c>
      <x:c r="AI173" s="17" t="n">
        <x:f>IF('Control Room'!$B$5="Normal",'Control Room'!$B$7,('Control Room'!$B$8+'Control Room'!$D$8)/2)+'Control Room'!$B$9*(AI172-IF('Control Room'!$B$5="Normal",'Control Room'!$B$7,('Control Room'!$B$8+'Control Room'!$D$8)/2))+SQRT(1-'Control Room'!$B$9^2)*(AH173-IF('Control Room'!$B$5="Normal",'Control Room'!$B$7,('Control Room'!$B$8+'Control Room'!$D$8)/2))</x:f>
        <x:v>934.0863872997936</x:v>
      </x:c>
      <x:c r="AJ173" s="17" t="n">
        <x:f>IF(AND($A173&gt;='Control Room'!$A$13,$A173&lt;'Control Room'!$A$13+'Control Room'!$B$13,'Process'!BQ2=1),1+('Control Room'!$C$13-1)*EXP(-0.5*(($A173-'Control Room'!$A$13-('Control Room'!$B$13-1)/2)/MAX(0.5,'Control Room'!$B$13/4))^2),1)*IF(AND($A173&gt;='Control Room'!$A$14,$A173&lt;'Control Room'!$A$14+'Control Room'!$B$14,'Process'!BQ3=1),1+('Control Room'!$C$14-1)*EXP(-0.5*(($A173-'Control Room'!$A$14-('Control Room'!$B$14-1)/2)/MAX(0.5,'Control Room'!$B$14/4))^2),1)*IF(AND($A173&gt;='Control Room'!$A$15,$A173&lt;'Control Room'!$A$15+'Control Room'!$B$15,'Process'!BQ4=1),1+('Control Room'!$C$15-1)*EXP(-0.5*(($A173-'Control Room'!$A$15-('Control Room'!$B$15-1)/2)/MAX(0.5,'Control Room'!$B$15/4))^2),1)*IF(AND($A173&gt;='Control Room'!$A$16,$A173&lt;'Control Room'!$A$16+'Control Room'!$B$16,'Process'!BQ5=1),1+('Control Room'!$C$16-1)*EXP(-0.5*(($A173-'Control Room'!$A$16-('Control Room'!$B$16-1)/2)/MAX(0.5,'Control Room'!$B$16/4))^2),1)</x:f>
        <x:v>1</x:v>
      </x:c>
      <x:c r="AK173" s="9" t="n">
        <x:f>MOD(AL172*16807,2147483647)</x:f>
        <x:v>1984190059</x:v>
      </x:c>
      <x:c r="AL173" s="9" t="n">
        <x:f>MOD(AK173*16807,2147483647)</x:f>
        <x:v>8767350</x:v>
      </x:c>
      <x:c r="AM173" s="17" t="n">
        <x:f>IF('Control Room'!$B$5="Normal",'Control Room'!$B$7+'Control Room'!$D$7*SQRT(-2*LN(MAX(0.000000000001,AK173/2147483647)))*COS(2*PI()*AL173/2147483647),'Control Room'!$B$8+('Control Room'!$D$8-'Control Room'!$B$8)*AK173/2147483647)</x:f>
        <x:v>1035.7819743456087</x:v>
      </x:c>
      <x:c r="AN173" s="17" t="n">
        <x:f>IF('Control Room'!$B$5="Normal",'Control Room'!$B$7,('Control Room'!$B$8+'Control Room'!$D$8)/2)+'Control Room'!$B$9*(AN172-IF('Control Room'!$B$5="Normal",'Control Room'!$B$7,('Control Room'!$B$8+'Control Room'!$D$8)/2))+SQRT(1-'Control Room'!$B$9^2)*(AM173-IF('Control Room'!$B$5="Normal",'Control Room'!$B$7,('Control Room'!$B$8+'Control Room'!$D$8)/2))</x:f>
        <x:v>1008.9502127399904</x:v>
      </x:c>
      <x:c r="AO173" s="17" t="n">
        <x:f>IF(AND($A173&gt;='Control Room'!$A$13,$A173&lt;'Control Room'!$A$13+'Control Room'!$B$13,'Process'!BR2=1),1+('Control Room'!$C$13-1)*EXP(-0.5*(($A173-'Control Room'!$A$13-('Control Room'!$B$13-1)/2)/MAX(0.5,'Control Room'!$B$13/4))^2),1)*IF(AND($A173&gt;='Control Room'!$A$14,$A173&lt;'Control Room'!$A$14+'Control Room'!$B$14,'Process'!BR3=1),1+('Control Room'!$C$14-1)*EXP(-0.5*(($A173-'Control Room'!$A$14-('Control Room'!$B$14-1)/2)/MAX(0.5,'Control Room'!$B$14/4))^2),1)*IF(AND($A173&gt;='Control Room'!$A$15,$A173&lt;'Control Room'!$A$15+'Control Room'!$B$15,'Process'!BR4=1),1+('Control Room'!$C$15-1)*EXP(-0.5*(($A173-'Control Room'!$A$15-('Control Room'!$B$15-1)/2)/MAX(0.5,'Control Room'!$B$15/4))^2),1)*IF(AND($A173&gt;='Control Room'!$A$16,$A173&lt;'Control Room'!$A$16+'Control Room'!$B$16,'Process'!BR5=1),1+('Control Room'!$C$16-1)*EXP(-0.5*(($A173-'Control Room'!$A$16-('Control Room'!$B$16-1)/2)/MAX(0.5,'Control Room'!$B$16/4))^2),1)</x:f>
        <x:v>1</x:v>
      </x:c>
      <x:c r="AP173" s="9" t="n">
        <x:f>MOD(AQ172*16807,2147483647)</x:f>
        <x:v>2075091126</x:v>
      </x:c>
      <x:c r="AQ173" s="9" t="n">
        <x:f>MOD(AP173*16807,2147483647)</x:f>
        <x:v>922127402</x:v>
      </x:c>
      <x:c r="AR173" s="17" t="n">
        <x:f>IF('Control Room'!$B$5="Normal",'Control Room'!$B$7+'Control Room'!$D$7*SQRT(-2*LN(MAX(0.000000000001,AP173/2147483647)))*COS(2*PI()*AQ173/2147483647),'Control Room'!$B$8+('Control Room'!$D$8-'Control Room'!$B$8)*AP173/2147483647)</x:f>
        <x:v>978.7116463808114</x:v>
      </x:c>
      <x:c r="AS173" s="17" t="n">
        <x:f>IF('Control Room'!$B$5="Normal",'Control Room'!$B$7,('Control Room'!$B$8+'Control Room'!$D$8)/2)+'Control Room'!$B$9*(AS172-IF('Control Room'!$B$5="Normal",'Control Room'!$B$7,('Control Room'!$B$8+'Control Room'!$D$8)/2))+SQRT(1-'Control Room'!$B$9^2)*(AR173-IF('Control Room'!$B$5="Normal",'Control Room'!$B$7,('Control Room'!$B$8+'Control Room'!$D$8)/2))</x:f>
        <x:v>1070.7281689020797</x:v>
      </x:c>
      <x:c r="AT173" s="17" t="n">
        <x:f>IF(AND($A173&gt;='Control Room'!$A$13,$A173&lt;'Control Room'!$A$13+'Control Room'!$B$13,'Process'!BS2=1),1+('Control Room'!$C$13-1)*EXP(-0.5*(($A173-'Control Room'!$A$13-('Control Room'!$B$13-1)/2)/MAX(0.5,'Control Room'!$B$13/4))^2),1)*IF(AND($A173&gt;='Control Room'!$A$14,$A173&lt;'Control Room'!$A$14+'Control Room'!$B$14,'Process'!BS3=1),1+('Control Room'!$C$14-1)*EXP(-0.5*(($A173-'Control Room'!$A$14-('Control Room'!$B$14-1)/2)/MAX(0.5,'Control Room'!$B$14/4))^2),1)*IF(AND($A173&gt;='Control Room'!$A$15,$A173&lt;'Control Room'!$A$15+'Control Room'!$B$15,'Process'!BS4=1),1+('Control Room'!$C$15-1)*EXP(-0.5*(($A173-'Control Room'!$A$15-('Control Room'!$B$15-1)/2)/MAX(0.5,'Control Room'!$B$15/4))^2),1)*IF(AND($A173&gt;='Control Room'!$A$16,$A173&lt;'Control Room'!$A$16+'Control Room'!$B$16,'Process'!BS5=1),1+('Control Room'!$C$16-1)*EXP(-0.5*(($A173-'Control Room'!$A$16-('Control Room'!$B$16-1)/2)/MAX(0.5,'Control Room'!$B$16/4))^2),1)</x:f>
        <x:v>1</x:v>
      </x:c>
      <x:c r="AU173" s="9" t="n">
        <x:f>MOD(AV172*16807,2147483647)</x:f>
        <x:v>18508546</x:v>
      </x:c>
      <x:c r="AV173" s="9" t="n">
        <x:f>MOD(AU173*16807,2147483647)</x:f>
        <x:v>1835487454</x:v>
      </x:c>
      <x:c r="AW173" s="17" t="n">
        <x:f>IF('Control Room'!$B$5="Normal",'Control Room'!$B$7+'Control Room'!$D$7*SQRT(-2*LN(MAX(0.000000000001,AU173/2147483647)))*COS(2*PI()*AV173/2147483647),'Control Room'!$B$8+('Control Room'!$D$8-'Control Room'!$B$8)*AU173/2147483647)</x:f>
        <x:v>1169.6956101162284</x:v>
      </x:c>
      <x:c r="AX173" s="17" t="n">
        <x:f>IF('Control Room'!$B$5="Normal",'Control Room'!$B$7,('Control Room'!$B$8+'Control Room'!$D$8)/2)+'Control Room'!$B$9*(AX172-IF('Control Room'!$B$5="Normal",'Control Room'!$B$7,('Control Room'!$B$8+'Control Room'!$D$8)/2))+SQRT(1-'Control Room'!$B$9^2)*(AW173-IF('Control Room'!$B$5="Normal",'Control Room'!$B$7,('Control Room'!$B$8+'Control Room'!$D$8)/2))</x:f>
        <x:v>1045.9612441081522</x:v>
      </x:c>
      <x:c r="AY173" s="17" t="n">
        <x:f>IF(AND($A173&gt;='Control Room'!$A$13,$A173&lt;'Control Room'!$A$13+'Control Room'!$B$13,'Process'!BT2=1),1+('Control Room'!$C$13-1)*EXP(-0.5*(($A173-'Control Room'!$A$13-('Control Room'!$B$13-1)/2)/MAX(0.5,'Control Room'!$B$13/4))^2),1)*IF(AND($A173&gt;='Control Room'!$A$14,$A173&lt;'Control Room'!$A$14+'Control Room'!$B$14,'Process'!BT3=1),1+('Control Room'!$C$14-1)*EXP(-0.5*(($A173-'Control Room'!$A$14-('Control Room'!$B$14-1)/2)/MAX(0.5,'Control Room'!$B$14/4))^2),1)*IF(AND($A173&gt;='Control Room'!$A$15,$A173&lt;'Control Room'!$A$15+'Control Room'!$B$15,'Process'!BT4=1),1+('Control Room'!$C$15-1)*EXP(-0.5*(($A173-'Control Room'!$A$15-('Control Room'!$B$15-1)/2)/MAX(0.5,'Control Room'!$B$15/4))^2),1)*IF(AND($A173&gt;='Control Room'!$A$16,$A173&lt;'Control Room'!$A$16+'Control Room'!$B$16,'Process'!BT5=1),1+('Control Room'!$C$16-1)*EXP(-0.5*(($A173-'Control Room'!$A$16-('Control Room'!$B$16-1)/2)/MAX(0.5,'Control Room'!$B$16/4))^2),1)</x:f>
        <x:v>1</x:v>
      </x:c>
      <x:c r="AZ173" s="9" t="n">
        <x:f>MOD(BA172*16807,2147483647)</x:f>
        <x:v>109409613</x:v>
      </x:c>
      <x:c r="BA173" s="9" t="n">
        <x:f>MOD(AZ173*16807,2147483647)</x:f>
        <x:v>601363859</x:v>
      </x:c>
      <x:c r="BB173" s="17" t="n">
        <x:f>IF('Control Room'!$B$5="Normal",'Control Room'!$B$7+'Control Room'!$D$7*SQRT(-2*LN(MAX(0.000000000001,AZ173/2147483647)))*COS(2*PI()*BA173/2147483647),'Control Room'!$B$8+('Control Room'!$D$8-'Control Room'!$B$8)*AZ173/2147483647)</x:f>
        <x:v>958.806810239861</x:v>
      </x:c>
      <x:c r="BC173" s="17" t="n">
        <x:f>IF('Control Room'!$B$5="Normal",'Control Room'!$B$7,('Control Room'!$B$8+'Control Room'!$D$8)/2)+'Control Room'!$B$9*(BC172-IF('Control Room'!$B$5="Normal",'Control Room'!$B$7,('Control Room'!$B$8+'Control Room'!$D$8)/2))+SQRT(1-'Control Room'!$B$9^2)*(BB173-IF('Control Room'!$B$5="Normal",'Control Room'!$B$7,('Control Room'!$B$8+'Control Room'!$D$8)/2))</x:f>
        <x:v>1105.7254958292788</x:v>
      </x:c>
      <x:c r="BD173" s="17" t="n">
        <x:f>IF(AND($A173&gt;='Control Room'!$A$13,$A173&lt;'Control Room'!$A$13+'Control Room'!$B$13,'Process'!BU2=1),1+('Control Room'!$C$13-1)*EXP(-0.5*(($A173-'Control Room'!$A$13-('Control Room'!$B$13-1)/2)/MAX(0.5,'Control Room'!$B$13/4))^2),1)*IF(AND($A173&gt;='Control Room'!$A$14,$A173&lt;'Control Room'!$A$14+'Control Room'!$B$14,'Process'!BU3=1),1+('Control Room'!$C$14-1)*EXP(-0.5*(($A173-'Control Room'!$A$14-('Control Room'!$B$14-1)/2)/MAX(0.5,'Control Room'!$B$14/4))^2),1)*IF(AND($A173&gt;='Control Room'!$A$15,$A173&lt;'Control Room'!$A$15+'Control Room'!$B$15,'Process'!BU4=1),1+('Control Room'!$C$15-1)*EXP(-0.5*(($A173-'Control Room'!$A$15-('Control Room'!$B$15-1)/2)/MAX(0.5,'Control Room'!$B$15/4))^2),1)*IF(AND($A173&gt;='Control Room'!$A$16,$A173&lt;'Control Room'!$A$16+'Control Room'!$B$16,'Process'!BU5=1),1+('Control Room'!$C$16-1)*EXP(-0.5*(($A173-'Control Room'!$A$16-('Control Room'!$B$16-1)/2)/MAX(0.5,'Control Room'!$B$16/4))^2),1)</x:f>
        <x:v>1</x:v>
      </x:c>
      <x:c r="BE173" s="9" t="n">
        <x:f>MOD(BF172*16807,2147483647)</x:f>
        <x:v>200310680</x:v>
      </x:c>
      <x:c r="BF173" s="9" t="n">
        <x:f>MOD(BE173*16807,2147483647)</x:f>
        <x:v>1514723911</x:v>
      </x:c>
      <x:c r="BG173" s="17" t="n">
        <x:f>IF('Control Room'!$B$5="Normal",'Control Room'!$B$7+'Control Room'!$D$7*SQRT(-2*LN(MAX(0.000000000001,BE173/2147483647)))*COS(2*PI()*BF173/2147483647),'Control Room'!$B$8+('Control Room'!$D$8-'Control Room'!$B$8)*BE173/2147483647)</x:f>
        <x:v>945.7203263489087</x:v>
      </x:c>
      <x:c r="BH173" s="17" t="n">
        <x:f>IF('Control Room'!$B$5="Normal",'Control Room'!$B$7,('Control Room'!$B$8+'Control Room'!$D$8)/2)+'Control Room'!$B$9*(BH172-IF('Control Room'!$B$5="Normal",'Control Room'!$B$7,('Control Room'!$B$8+'Control Room'!$D$8)/2))+SQRT(1-'Control Room'!$B$9^2)*(BG173-IF('Control Room'!$B$5="Normal",'Control Room'!$B$7,('Control Room'!$B$8+'Control Room'!$D$8)/2))</x:f>
        <x:v>1025.3936529515329</x:v>
      </x:c>
      <x:c r="BI173" s="17" t="n">
        <x:f>IF(AND($A173&gt;='Control Room'!$A$13,$A173&lt;'Control Room'!$A$13+'Control Room'!$B$13,'Process'!BV2=1),1+('Control Room'!$C$13-1)*EXP(-0.5*(($A173-'Control Room'!$A$13-('Control Room'!$B$13-1)/2)/MAX(0.5,'Control Room'!$B$13/4))^2),1)*IF(AND($A173&gt;='Control Room'!$A$14,$A173&lt;'Control Room'!$A$14+'Control Room'!$B$14,'Process'!BV3=1),1+('Control Room'!$C$14-1)*EXP(-0.5*(($A173-'Control Room'!$A$14-('Control Room'!$B$14-1)/2)/MAX(0.5,'Control Room'!$B$14/4))^2),1)*IF(AND($A173&gt;='Control Room'!$A$15,$A173&lt;'Control Room'!$A$15+'Control Room'!$B$15,'Process'!BV4=1),1+('Control Room'!$C$15-1)*EXP(-0.5*(($A173-'Control Room'!$A$15-('Control Room'!$B$15-1)/2)/MAX(0.5,'Control Room'!$B$15/4))^2),1)*IF(AND($A173&gt;='Control Room'!$A$16,$A173&lt;'Control Room'!$A$16+'Control Room'!$B$16,'Process'!BV5=1),1+('Control Room'!$C$16-1)*EXP(-0.5*(($A173-'Control Room'!$A$16-('Control Room'!$B$16-1)/2)/MAX(0.5,'Control Room'!$B$16/4))^2),1)</x:f>
        <x:v>1</x:v>
      </x:c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Z173" t="str">
        <x:f>IF('Data'!A173="","",TEXT('Data'!A173,"mm-dd"))</x:f>
      </x:c>
    </x:row>
    <x:row r="174" ht="21" customHeight="1">
      <x:c r="A174" s="15" t="n">
        <x:f>'Control Room'!$B$1+172</x:f>
        <x:v>73163</x:v>
      </x:c>
      <x:c r="B174" s="9" t="n">
        <x:f>MOD(C173*16807,2147483647)</x:f>
        <x:v>1213934292</x:v>
      </x:c>
      <x:c r="C174" s="9" t="n">
        <x:f>MOD(B174*16807,2147483647)</x:f>
        <x:v>1498999144</x:v>
      </x:c>
      <x:c r="D174" s="17" t="n">
        <x:f>IF('Control Room'!$B$5="Normal",'Control Room'!$B$7+'Control Room'!$D$7*SQRT(-2*LN(MAX(0.000000000001,B174/2147483647)))*COS(2*PI()*C174/2147483647),'Control Room'!$B$8+('Control Room'!$D$8-'Control Room'!$B$8)*B174/2147483647)</x:f>
        <x:v>969.1625038668258</x:v>
      </x:c>
      <x:c r="E174" s="17" t="n">
        <x:f>IF('Control Room'!$B$5="Normal",'Control Room'!$B$7,('Control Room'!$B$8+'Control Room'!$D$8)/2)+'Control Room'!$B$9*(E173-IF('Control Room'!$B$5="Normal",'Control Room'!$B$7,('Control Room'!$B$8+'Control Room'!$D$8)/2))+SQRT(1-'Control Room'!$B$9^2)*(D174-IF('Control Room'!$B$5="Normal",'Control Room'!$B$7,('Control Room'!$B$8+'Control Room'!$D$8)/2))</x:f>
        <x:v>1009.8537760945309</x:v>
      </x:c>
      <x:c r="F174" s="17" t="n">
        <x:f>IF(AND($A174&gt;='Control Room'!$A$13,$A174&lt;'Control Room'!$A$13+'Control Room'!$B$13,'Process'!BK2=1),1+('Control Room'!$C$13-1)*EXP(-0.5*(($A174-'Control Room'!$A$13-('Control Room'!$B$13-1)/2)/MAX(0.5,'Control Room'!$B$13/4))^2),1)*IF(AND($A174&gt;='Control Room'!$A$14,$A174&lt;'Control Room'!$A$14+'Control Room'!$B$14,'Process'!BK3=1),1+('Control Room'!$C$14-1)*EXP(-0.5*(($A174-'Control Room'!$A$14-('Control Room'!$B$14-1)/2)/MAX(0.5,'Control Room'!$B$14/4))^2),1)*IF(AND($A174&gt;='Control Room'!$A$15,$A174&lt;'Control Room'!$A$15+'Control Room'!$B$15,'Process'!BK4=1),1+('Control Room'!$C$15-1)*EXP(-0.5*(($A174-'Control Room'!$A$15-('Control Room'!$B$15-1)/2)/MAX(0.5,'Control Room'!$B$15/4))^2),1)*IF(AND($A174&gt;='Control Room'!$A$16,$A174&lt;'Control Room'!$A$16+'Control Room'!$B$16,'Process'!BK5=1),1+('Control Room'!$C$16-1)*EXP(-0.5*(($A174-'Control Room'!$A$16-('Control Room'!$B$16-1)/2)/MAX(0.5,'Control Room'!$B$16/4))^2),1)</x:f>
        <x:v>1</x:v>
      </x:c>
      <x:c r="G174" s="9" t="n">
        <x:f>MOD(H173*16807,2147483647)</x:f>
        <x:v>1843219500</x:v>
      </x:c>
      <x:c r="H174" s="9" t="n">
        <x:f>MOD(G174*16807,2147483647)</x:f>
        <x:v>1538528525</x:v>
      </x:c>
      <x:c r="I174" s="17" t="n">
        <x:f>IF('Control Room'!$B$5="Normal",'Control Room'!$B$7+'Control Room'!$D$7*SQRT(-2*LN(MAX(0.000000000001,G174/2147483647)))*COS(2*PI()*H174/2147483647),'Control Room'!$B$8+('Control Room'!$D$8-'Control Room'!$B$8)*G174/2147483647)</x:f>
        <x:v>989.5849661947931</x:v>
      </x:c>
      <x:c r="J174" s="17" t="n">
        <x:f>IF('Control Room'!$B$5="Normal",'Control Room'!$B$7,('Control Room'!$B$8+'Control Room'!$D$8)/2)+'Control Room'!$B$9*(J173-IF('Control Room'!$B$5="Normal",'Control Room'!$B$7,('Control Room'!$B$8+'Control Room'!$D$8)/2))+SQRT(1-'Control Room'!$B$9^2)*(I174-IF('Control Room'!$B$5="Normal",'Control Room'!$B$7,('Control Room'!$B$8+'Control Room'!$D$8)/2))</x:f>
        <x:v>904.3501400785733</x:v>
      </x:c>
      <x:c r="K174" s="17" t="n">
        <x:f>IF(AND($A174&gt;='Control Room'!$A$13,$A174&lt;'Control Room'!$A$13+'Control Room'!$B$13,'Process'!BL2=1),1+('Control Room'!$C$13-1)*EXP(-0.5*(($A174-'Control Room'!$A$13-('Control Room'!$B$13-1)/2)/MAX(0.5,'Control Room'!$B$13/4))^2),1)*IF(AND($A174&gt;='Control Room'!$A$14,$A174&lt;'Control Room'!$A$14+'Control Room'!$B$14,'Process'!BL3=1),1+('Control Room'!$C$14-1)*EXP(-0.5*(($A174-'Control Room'!$A$14-('Control Room'!$B$14-1)/2)/MAX(0.5,'Control Room'!$B$14/4))^2),1)*IF(AND($A174&gt;='Control Room'!$A$15,$A174&lt;'Control Room'!$A$15+'Control Room'!$B$15,'Process'!BL4=1),1+('Control Room'!$C$15-1)*EXP(-0.5*(($A174-'Control Room'!$A$15-('Control Room'!$B$15-1)/2)/MAX(0.5,'Control Room'!$B$15/4))^2),1)*IF(AND($A174&gt;='Control Room'!$A$16,$A174&lt;'Control Room'!$A$16+'Control Room'!$B$16,'Process'!BL5=1),1+('Control Room'!$C$16-1)*EXP(-0.5*(($A174-'Control Room'!$A$16-('Control Room'!$B$16-1)/2)/MAX(0.5,'Control Room'!$B$16/4))^2),1)</x:f>
        <x:v>1</x:v>
      </x:c>
      <x:c r="L174" s="9" t="n">
        <x:f>MOD(M173*16807,2147483647)</x:f>
        <x:v>325021061</x:v>
      </x:c>
      <x:c r="M174" s="9" t="n">
        <x:f>MOD(L174*16807,2147483647)</x:f>
        <x:v>1578057906</x:v>
      </x:c>
      <x:c r="N174" s="17" t="n">
        <x:f>IF('Control Room'!$B$5="Normal",'Control Room'!$B$7+'Control Room'!$D$7*SQRT(-2*LN(MAX(0.000000000001,L174/2147483647)))*COS(2*PI()*M174/2147483647),'Control Room'!$B$8+('Control Room'!$D$8-'Control Room'!$B$8)*L174/2147483647)</x:f>
        <x:v>983.3664223107033</x:v>
      </x:c>
      <x:c r="O174" s="17" t="n">
        <x:f>IF('Control Room'!$B$5="Normal",'Control Room'!$B$7,('Control Room'!$B$8+'Control Room'!$D$8)/2)+'Control Room'!$B$9*(O173-IF('Control Room'!$B$5="Normal",'Control Room'!$B$7,('Control Room'!$B$8+'Control Room'!$D$8)/2))+SQRT(1-'Control Room'!$B$9^2)*(N174-IF('Control Room'!$B$5="Normal",'Control Room'!$B$7,('Control Room'!$B$8+'Control Room'!$D$8)/2))</x:f>
        <x:v>1041.461579051086</x:v>
      </x:c>
      <x:c r="P174" s="17" t="n">
        <x:f>IF(AND($A174&gt;='Control Room'!$A$13,$A174&lt;'Control Room'!$A$13+'Control Room'!$B$13,'Process'!BM2=1),1+('Control Room'!$C$13-1)*EXP(-0.5*(($A174-'Control Room'!$A$13-('Control Room'!$B$13-1)/2)/MAX(0.5,'Control Room'!$B$13/4))^2),1)*IF(AND($A174&gt;='Control Room'!$A$14,$A174&lt;'Control Room'!$A$14+'Control Room'!$B$14,'Process'!BM3=1),1+('Control Room'!$C$14-1)*EXP(-0.5*(($A174-'Control Room'!$A$14-('Control Room'!$B$14-1)/2)/MAX(0.5,'Control Room'!$B$14/4))^2),1)*IF(AND($A174&gt;='Control Room'!$A$15,$A174&lt;'Control Room'!$A$15+'Control Room'!$B$15,'Process'!BM4=1),1+('Control Room'!$C$15-1)*EXP(-0.5*(($A174-'Control Room'!$A$15-('Control Room'!$B$15-1)/2)/MAX(0.5,'Control Room'!$B$15/4))^2),1)*IF(AND($A174&gt;='Control Room'!$A$16,$A174&lt;'Control Room'!$A$16+'Control Room'!$B$16,'Process'!BM5=1),1+('Control Room'!$C$16-1)*EXP(-0.5*(($A174-'Control Room'!$A$16-('Control Room'!$B$16-1)/2)/MAX(0.5,'Control Room'!$B$16/4))^2),1)</x:f>
        <x:v>1</x:v>
      </x:c>
      <x:c r="Q174" s="9" t="n">
        <x:f>MOD(R173*16807,2147483647)</x:f>
        <x:v>954306269</x:v>
      </x:c>
      <x:c r="R174" s="9" t="n">
        <x:f>MOD(Q174*16807,2147483647)</x:f>
        <x:v>1617587287</x:v>
      </x:c>
      <x:c r="S174" s="17" t="n">
        <x:f>IF('Control Room'!$B$5="Normal",'Control Room'!$B$7+'Control Room'!$D$7*SQRT(-2*LN(MAX(0.000000000001,Q174/2147483647)))*COS(2*PI()*R174/2147483647),'Control Room'!$B$8+('Control Room'!$D$8-'Control Room'!$B$8)*Q174/2147483647)</x:f>
        <x:v>1002.3389564599481</x:v>
      </x:c>
      <x:c r="T174" s="17" t="n">
        <x:f>IF('Control Room'!$B$5="Normal",'Control Room'!$B$7,('Control Room'!$B$8+'Control Room'!$D$8)/2)+'Control Room'!$B$9*(T173-IF('Control Room'!$B$5="Normal",'Control Room'!$B$7,('Control Room'!$B$8+'Control Room'!$D$8)/2))+SQRT(1-'Control Room'!$B$9^2)*(S174-IF('Control Room'!$B$5="Normal",'Control Room'!$B$7,('Control Room'!$B$8+'Control Room'!$D$8)/2))</x:f>
        <x:v>1108.2331151833207</x:v>
      </x:c>
      <x:c r="U174" s="17" t="n">
        <x:f>IF(AND($A174&gt;='Control Room'!$A$13,$A174&lt;'Control Room'!$A$13+'Control Room'!$B$13,'Process'!BN2=1),1+('Control Room'!$C$13-1)*EXP(-0.5*(($A174-'Control Room'!$A$13-('Control Room'!$B$13-1)/2)/MAX(0.5,'Control Room'!$B$13/4))^2),1)*IF(AND($A174&gt;='Control Room'!$A$14,$A174&lt;'Control Room'!$A$14+'Control Room'!$B$14,'Process'!BN3=1),1+('Control Room'!$C$14-1)*EXP(-0.5*(($A174-'Control Room'!$A$14-('Control Room'!$B$14-1)/2)/MAX(0.5,'Control Room'!$B$14/4))^2),1)*IF(AND($A174&gt;='Control Room'!$A$15,$A174&lt;'Control Room'!$A$15+'Control Room'!$B$15,'Process'!BN4=1),1+('Control Room'!$C$15-1)*EXP(-0.5*(($A174-'Control Room'!$A$15-('Control Room'!$B$15-1)/2)/MAX(0.5,'Control Room'!$B$15/4))^2),1)*IF(AND($A174&gt;='Control Room'!$A$16,$A174&lt;'Control Room'!$A$16+'Control Room'!$B$16,'Process'!BN5=1),1+('Control Room'!$C$16-1)*EXP(-0.5*(($A174-'Control Room'!$A$16-('Control Room'!$B$16-1)/2)/MAX(0.5,'Control Room'!$B$16/4))^2),1)</x:f>
        <x:v>1</x:v>
      </x:c>
      <x:c r="V174" s="9" t="n">
        <x:f>MOD(W173*16807,2147483647)</x:f>
        <x:v>1583591477</x:v>
      </x:c>
      <x:c r="W174" s="9" t="n">
        <x:f>MOD(V174*16807,2147483647)</x:f>
        <x:v>1657116668</x:v>
      </x:c>
      <x:c r="X174" s="17" t="n">
        <x:f>IF('Control Room'!$B$5="Normal",'Control Room'!$B$7+'Control Room'!$D$7*SQRT(-2*LN(MAX(0.000000000001,V174/2147483647)))*COS(2*PI()*W174/2147483647),'Control Room'!$B$8+('Control Room'!$D$8-'Control Room'!$B$8)*V174/2147483647)</x:f>
        <x:v>1009.528450723368</x:v>
      </x:c>
      <x:c r="Y174" s="17" t="n">
        <x:f>IF('Control Room'!$B$5="Normal",'Control Room'!$B$7,('Control Room'!$B$8+'Control Room'!$D$8)/2)+'Control Room'!$B$9*(Y173-IF('Control Room'!$B$5="Normal",'Control Room'!$B$7,('Control Room'!$B$8+'Control Room'!$D$8)/2))+SQRT(1-'Control Room'!$B$9^2)*(X174-IF('Control Room'!$B$5="Normal",'Control Room'!$B$7,('Control Room'!$B$8+'Control Room'!$D$8)/2))</x:f>
        <x:v>967.3294756918428</x:v>
      </x:c>
      <x:c r="Z174" s="17" t="n">
        <x:f>IF(AND($A174&gt;='Control Room'!$A$13,$A174&lt;'Control Room'!$A$13+'Control Room'!$B$13,'Process'!BO2=1),1+('Control Room'!$C$13-1)*EXP(-0.5*(($A174-'Control Room'!$A$13-('Control Room'!$B$13-1)/2)/MAX(0.5,'Control Room'!$B$13/4))^2),1)*IF(AND($A174&gt;='Control Room'!$A$14,$A174&lt;'Control Room'!$A$14+'Control Room'!$B$14,'Process'!BO3=1),1+('Control Room'!$C$14-1)*EXP(-0.5*(($A174-'Control Room'!$A$14-('Control Room'!$B$14-1)/2)/MAX(0.5,'Control Room'!$B$14/4))^2),1)*IF(AND($A174&gt;='Control Room'!$A$15,$A174&lt;'Control Room'!$A$15+'Control Room'!$B$15,'Process'!BO4=1),1+('Control Room'!$C$15-1)*EXP(-0.5*(($A174-'Control Room'!$A$15-('Control Room'!$B$15-1)/2)/MAX(0.5,'Control Room'!$B$15/4))^2),1)*IF(AND($A174&gt;='Control Room'!$A$16,$A174&lt;'Control Room'!$A$16+'Control Room'!$B$16,'Process'!BO5=1),1+('Control Room'!$C$16-1)*EXP(-0.5*(($A174-'Control Room'!$A$16-('Control Room'!$B$16-1)/2)/MAX(0.5,'Control Room'!$B$16/4))^2),1)</x:f>
        <x:v>1</x:v>
      </x:c>
      <x:c r="AA174" s="9" t="n">
        <x:f>MOD(AB173*16807,2147483647)</x:f>
        <x:v>65393038</x:v>
      </x:c>
      <x:c r="AB174" s="9" t="n">
        <x:f>MOD(AA174*16807,2147483647)</x:f>
        <x:v>1696646049</x:v>
      </x:c>
      <x:c r="AC174" s="17" t="n">
        <x:f>IF('Control Room'!$B$5="Normal",'Control Room'!$B$7+'Control Room'!$D$7*SQRT(-2*LN(MAX(0.000000000001,AA174/2147483647)))*COS(2*PI()*AB174/2147483647),'Control Room'!$B$8+('Control Room'!$D$8-'Control Room'!$B$8)*AA174/2147483647)</x:f>
        <x:v>1059.2369364610724</x:v>
      </x:c>
      <x:c r="AD174" s="17" t="n">
        <x:f>IF('Control Room'!$B$5="Normal",'Control Room'!$B$7,('Control Room'!$B$8+'Control Room'!$D$8)/2)+'Control Room'!$B$9*(AD173-IF('Control Room'!$B$5="Normal",'Control Room'!$B$7,('Control Room'!$B$8+'Control Room'!$D$8)/2))+SQRT(1-'Control Room'!$B$9^2)*(AC174-IF('Control Room'!$B$5="Normal",'Control Room'!$B$7,('Control Room'!$B$8+'Control Room'!$D$8)/2))</x:f>
        <x:v>1061.9816518629893</x:v>
      </x:c>
      <x:c r="AE174" s="17" t="n">
        <x:f>IF(AND($A174&gt;='Control Room'!$A$13,$A174&lt;'Control Room'!$A$13+'Control Room'!$B$13,'Process'!BP2=1),1+('Control Room'!$C$13-1)*EXP(-0.5*(($A174-'Control Room'!$A$13-('Control Room'!$B$13-1)/2)/MAX(0.5,'Control Room'!$B$13/4))^2),1)*IF(AND($A174&gt;='Control Room'!$A$14,$A174&lt;'Control Room'!$A$14+'Control Room'!$B$14,'Process'!BP3=1),1+('Control Room'!$C$14-1)*EXP(-0.5*(($A174-'Control Room'!$A$14-('Control Room'!$B$14-1)/2)/MAX(0.5,'Control Room'!$B$14/4))^2),1)*IF(AND($A174&gt;='Control Room'!$A$15,$A174&lt;'Control Room'!$A$15+'Control Room'!$B$15,'Process'!BP4=1),1+('Control Room'!$C$15-1)*EXP(-0.5*(($A174-'Control Room'!$A$15-('Control Room'!$B$15-1)/2)/MAX(0.5,'Control Room'!$B$15/4))^2),1)*IF(AND($A174&gt;='Control Room'!$A$16,$A174&lt;'Control Room'!$A$16+'Control Room'!$B$16,'Process'!BP5=1),1+('Control Room'!$C$16-1)*EXP(-0.5*(($A174-'Control Room'!$A$16-('Control Room'!$B$16-1)/2)/MAX(0.5,'Control Room'!$B$16/4))^2),1)</x:f>
        <x:v>1</x:v>
      </x:c>
      <x:c r="AF174" s="9" t="n">
        <x:f>MOD(AG173*16807,2147483647)</x:f>
        <x:v>694678246</x:v>
      </x:c>
      <x:c r="AG174" s="9" t="n">
        <x:f>MOD(AF174*16807,2147483647)</x:f>
        <x:v>1736175430</x:v>
      </x:c>
      <x:c r="AH174" s="17" t="n">
        <x:f>IF('Control Room'!$B$5="Normal",'Control Room'!$B$7+'Control Room'!$D$7*SQRT(-2*LN(MAX(0.000000000001,AF174/2147483647)))*COS(2*PI()*AG174/2147483647),'Control Room'!$B$8+('Control Room'!$D$8-'Control Room'!$B$8)*AF174/2147483647)</x:f>
        <x:v>1048.5652202429499</x:v>
      </x:c>
      <x:c r="AI174" s="17" t="n">
        <x:f>IF('Control Room'!$B$5="Normal",'Control Room'!$B$7,('Control Room'!$B$8+'Control Room'!$D$8)/2)+'Control Room'!$B$9*(AI173-IF('Control Room'!$B$5="Normal",'Control Room'!$B$7,('Control Room'!$B$8+'Control Room'!$D$8)/2))+SQRT(1-'Control Room'!$B$9^2)*(AH174-IF('Control Room'!$B$5="Normal",'Control Room'!$B$7,('Control Room'!$B$8+'Control Room'!$D$8)/2))</x:f>
        <x:v>978.978502009262</x:v>
      </x:c>
      <x:c r="AJ174" s="17" t="n">
        <x:f>IF(AND($A174&gt;='Control Room'!$A$13,$A174&lt;'Control Room'!$A$13+'Control Room'!$B$13,'Process'!BQ2=1),1+('Control Room'!$C$13-1)*EXP(-0.5*(($A174-'Control Room'!$A$13-('Control Room'!$B$13-1)/2)/MAX(0.5,'Control Room'!$B$13/4))^2),1)*IF(AND($A174&gt;='Control Room'!$A$14,$A174&lt;'Control Room'!$A$14+'Control Room'!$B$14,'Process'!BQ3=1),1+('Control Room'!$C$14-1)*EXP(-0.5*(($A174-'Control Room'!$A$14-('Control Room'!$B$14-1)/2)/MAX(0.5,'Control Room'!$B$14/4))^2),1)*IF(AND($A174&gt;='Control Room'!$A$15,$A174&lt;'Control Room'!$A$15+'Control Room'!$B$15,'Process'!BQ4=1),1+('Control Room'!$C$15-1)*EXP(-0.5*(($A174-'Control Room'!$A$15-('Control Room'!$B$15-1)/2)/MAX(0.5,'Control Room'!$B$15/4))^2),1)*IF(AND($A174&gt;='Control Room'!$A$16,$A174&lt;'Control Room'!$A$16+'Control Room'!$B$16,'Process'!BQ5=1),1+('Control Room'!$C$16-1)*EXP(-0.5*(($A174-'Control Room'!$A$16-('Control Room'!$B$16-1)/2)/MAX(0.5,'Control Room'!$B$16/4))^2),1)</x:f>
        <x:v>1</x:v>
      </x:c>
      <x:c r="AK174" s="9" t="n">
        <x:f>MOD(AL173*16807,2147483647)</x:f>
        <x:v>1323963454</x:v>
      </x:c>
      <x:c r="AL174" s="9" t="n">
        <x:f>MOD(AK174*16807,2147483647)</x:f>
        <x:v>1775704811</x:v>
      </x:c>
      <x:c r="AM174" s="17" t="n">
        <x:f>IF('Control Room'!$B$5="Normal",'Control Room'!$B$7+'Control Room'!$D$7*SQRT(-2*LN(MAX(0.000000000001,AK174/2147483647)))*COS(2*PI()*AL174/2147483647),'Control Room'!$B$8+('Control Room'!$D$8-'Control Room'!$B$8)*AK174/2147483647)</x:f>
        <x:v>1041.1135818017879</x:v>
      </x:c>
      <x:c r="AN174" s="17" t="n">
        <x:f>IF('Control Room'!$B$5="Normal",'Control Room'!$B$7,('Control Room'!$B$8+'Control Room'!$D$8)/2)+'Control Room'!$B$9*(AN173-IF('Control Room'!$B$5="Normal",'Control Room'!$B$7,('Control Room'!$B$8+'Control Room'!$D$8)/2))+SQRT(1-'Control Room'!$B$9^2)*(AM174-IF('Control Room'!$B$5="Normal",'Control Room'!$B$7,('Control Room'!$B$8+'Control Room'!$D$8)/2))</x:f>
        <x:v>1032.7092031712473</x:v>
      </x:c>
      <x:c r="AO174" s="17" t="n">
        <x:f>IF(AND($A174&gt;='Control Room'!$A$13,$A174&lt;'Control Room'!$A$13+'Control Room'!$B$13,'Process'!BR2=1),1+('Control Room'!$C$13-1)*EXP(-0.5*(($A174-'Control Room'!$A$13-('Control Room'!$B$13-1)/2)/MAX(0.5,'Control Room'!$B$13/4))^2),1)*IF(AND($A174&gt;='Control Room'!$A$14,$A174&lt;'Control Room'!$A$14+'Control Room'!$B$14,'Process'!BR3=1),1+('Control Room'!$C$14-1)*EXP(-0.5*(($A174-'Control Room'!$A$14-('Control Room'!$B$14-1)/2)/MAX(0.5,'Control Room'!$B$14/4))^2),1)*IF(AND($A174&gt;='Control Room'!$A$15,$A174&lt;'Control Room'!$A$15+'Control Room'!$B$15,'Process'!BR4=1),1+('Control Room'!$C$15-1)*EXP(-0.5*(($A174-'Control Room'!$A$15-('Control Room'!$B$15-1)/2)/MAX(0.5,'Control Room'!$B$15/4))^2),1)*IF(AND($A174&gt;='Control Room'!$A$16,$A174&lt;'Control Room'!$A$16+'Control Room'!$B$16,'Process'!BR5=1),1+('Control Room'!$C$16-1)*EXP(-0.5*(($A174-'Control Room'!$A$16-('Control Room'!$B$16-1)/2)/MAX(0.5,'Control Room'!$B$16/4))^2),1)</x:f>
        <x:v>1</x:v>
      </x:c>
      <x:c r="AP174" s="9" t="n">
        <x:f>MOD(AQ173*16807,2147483647)</x:f>
        <x:v>1953248662</x:v>
      </x:c>
      <x:c r="AQ174" s="9" t="n">
        <x:f>MOD(AP174*16807,2147483647)</x:f>
        <x:v>1815234192</x:v>
      </x:c>
      <x:c r="AR174" s="17" t="n">
        <x:f>IF('Control Room'!$B$5="Normal",'Control Room'!$B$7+'Control Room'!$D$7*SQRT(-2*LN(MAX(0.000000000001,AP174/2147483647)))*COS(2*PI()*AQ174/2147483647),'Control Room'!$B$8+('Control Room'!$D$8-'Control Room'!$B$8)*AP174/2147483647)</x:f>
        <x:v>1022.085545102907</x:v>
      </x:c>
      <x:c r="AS174" s="17" t="n">
        <x:f>IF('Control Room'!$B$5="Normal",'Control Room'!$B$7,('Control Room'!$B$8+'Control Room'!$D$8)/2)+'Control Room'!$B$9*(AS173-IF('Control Room'!$B$5="Normal",'Control Room'!$B$7,('Control Room'!$B$8+'Control Room'!$D$8)/2))+SQRT(1-'Control Room'!$B$9^2)*(AR174-IF('Control Room'!$B$5="Normal",'Control Room'!$B$7,('Control Room'!$B$8+'Control Room'!$D$8)/2))</x:f>
        <x:v>1068.9886534220373</x:v>
      </x:c>
      <x:c r="AT174" s="17" t="n">
        <x:f>IF(AND($A174&gt;='Control Room'!$A$13,$A174&lt;'Control Room'!$A$13+'Control Room'!$B$13,'Process'!BS2=1),1+('Control Room'!$C$13-1)*EXP(-0.5*(($A174-'Control Room'!$A$13-('Control Room'!$B$13-1)/2)/MAX(0.5,'Control Room'!$B$13/4))^2),1)*IF(AND($A174&gt;='Control Room'!$A$14,$A174&lt;'Control Room'!$A$14+'Control Room'!$B$14,'Process'!BS3=1),1+('Control Room'!$C$14-1)*EXP(-0.5*(($A174-'Control Room'!$A$14-('Control Room'!$B$14-1)/2)/MAX(0.5,'Control Room'!$B$14/4))^2),1)*IF(AND($A174&gt;='Control Room'!$A$15,$A174&lt;'Control Room'!$A$15+'Control Room'!$B$15,'Process'!BS4=1),1+('Control Room'!$C$15-1)*EXP(-0.5*(($A174-'Control Room'!$A$15-('Control Room'!$B$15-1)/2)/MAX(0.5,'Control Room'!$B$15/4))^2),1)*IF(AND($A174&gt;='Control Room'!$A$16,$A174&lt;'Control Room'!$A$16+'Control Room'!$B$16,'Process'!BS5=1),1+('Control Room'!$C$16-1)*EXP(-0.5*(($A174-'Control Room'!$A$16-('Control Room'!$B$16-1)/2)/MAX(0.5,'Control Room'!$B$16/4))^2),1)</x:f>
        <x:v>1</x:v>
      </x:c>
      <x:c r="AU174" s="9" t="n">
        <x:f>MOD(AV173*16807,2147483647)</x:f>
        <x:v>435050223</x:v>
      </x:c>
      <x:c r="AV174" s="9" t="n">
        <x:f>MOD(AU174*16807,2147483647)</x:f>
        <x:v>1854763573</x:v>
      </x:c>
      <x:c r="AW174" s="17" t="n">
        <x:f>IF('Control Room'!$B$5="Normal",'Control Room'!$B$7+'Control Room'!$D$7*SQRT(-2*LN(MAX(0.000000000001,AU174/2147483647)))*COS(2*PI()*AV174/2147483647),'Control Room'!$B$8+('Control Room'!$D$8-'Control Room'!$B$8)*AU174/2147483647)</x:f>
        <x:v>1105.3603251457514</x:v>
      </x:c>
      <x:c r="AX174" s="17" t="n">
        <x:f>IF('Control Room'!$B$5="Normal",'Control Room'!$B$7,('Control Room'!$B$8+'Control Room'!$D$8)/2)+'Control Room'!$B$9*(AX173-IF('Control Room'!$B$5="Normal",'Control Room'!$B$7,('Control Room'!$B$8+'Control Room'!$D$8)/2))+SQRT(1-'Control Room'!$B$9^2)*(AW174-IF('Control Room'!$B$5="Normal",'Control Room'!$B$7,('Control Room'!$B$8+'Control Room'!$D$8)/2))</x:f>
        <x:v>1101.7821034569886</x:v>
      </x:c>
      <x:c r="AY174" s="17" t="n">
        <x:f>IF(AND($A174&gt;='Control Room'!$A$13,$A174&lt;'Control Room'!$A$13+'Control Room'!$B$13,'Process'!BT2=1),1+('Control Room'!$C$13-1)*EXP(-0.5*(($A174-'Control Room'!$A$13-('Control Room'!$B$13-1)/2)/MAX(0.5,'Control Room'!$B$13/4))^2),1)*IF(AND($A174&gt;='Control Room'!$A$14,$A174&lt;'Control Room'!$A$14+'Control Room'!$B$14,'Process'!BT3=1),1+('Control Room'!$C$14-1)*EXP(-0.5*(($A174-'Control Room'!$A$14-('Control Room'!$B$14-1)/2)/MAX(0.5,'Control Room'!$B$14/4))^2),1)*IF(AND($A174&gt;='Control Room'!$A$15,$A174&lt;'Control Room'!$A$15+'Control Room'!$B$15,'Process'!BT4=1),1+('Control Room'!$C$15-1)*EXP(-0.5*(($A174-'Control Room'!$A$15-('Control Room'!$B$15-1)/2)/MAX(0.5,'Control Room'!$B$15/4))^2),1)*IF(AND($A174&gt;='Control Room'!$A$16,$A174&lt;'Control Room'!$A$16+'Control Room'!$B$16,'Process'!BT5=1),1+('Control Room'!$C$16-1)*EXP(-0.5*(($A174-'Control Room'!$A$16-('Control Room'!$B$16-1)/2)/MAX(0.5,'Control Room'!$B$16/4))^2),1)</x:f>
        <x:v>1</x:v>
      </x:c>
      <x:c r="AZ174" s="9" t="n">
        <x:f>MOD(BA173*16807,2147483647)</x:f>
        <x:v>1064335431</x:v>
      </x:c>
      <x:c r="BA174" s="9" t="n">
        <x:f>MOD(AZ174*16807,2147483647)</x:f>
        <x:v>1894292954</x:v>
      </x:c>
      <x:c r="BB174" s="17" t="n">
        <x:f>IF('Control Room'!$B$5="Normal",'Control Room'!$B$7+'Control Room'!$D$7*SQRT(-2*LN(MAX(0.000000000001,AZ174/2147483647)))*COS(2*PI()*BA174/2147483647),'Control Room'!$B$8+('Control Room'!$D$8-'Control Room'!$B$8)*AZ174/2147483647)</x:f>
        <x:v>1078.6911903595499</x:v>
      </x:c>
      <x:c r="BC174" s="17" t="n">
        <x:f>IF('Control Room'!$B$5="Normal",'Control Room'!$B$7,('Control Room'!$B$8+'Control Room'!$D$8)/2)+'Control Room'!$B$9*(BC173-IF('Control Room'!$B$5="Normal",'Control Room'!$B$7,('Control Room'!$B$8+'Control Room'!$D$8)/2))+SQRT(1-'Control Room'!$B$9^2)*(BB174-IF('Control Room'!$B$5="Normal",'Control Room'!$B$7,('Control Room'!$B$8+'Control Room'!$D$8)/2))</x:f>
        <x:v>1131.709221597185</x:v>
      </x:c>
      <x:c r="BD174" s="17" t="n">
        <x:f>IF(AND($A174&gt;='Control Room'!$A$13,$A174&lt;'Control Room'!$A$13+'Control Room'!$B$13,'Process'!BU2=1),1+('Control Room'!$C$13-1)*EXP(-0.5*(($A174-'Control Room'!$A$13-('Control Room'!$B$13-1)/2)/MAX(0.5,'Control Room'!$B$13/4))^2),1)*IF(AND($A174&gt;='Control Room'!$A$14,$A174&lt;'Control Room'!$A$14+'Control Room'!$B$14,'Process'!BU3=1),1+('Control Room'!$C$14-1)*EXP(-0.5*(($A174-'Control Room'!$A$14-('Control Room'!$B$14-1)/2)/MAX(0.5,'Control Room'!$B$14/4))^2),1)*IF(AND($A174&gt;='Control Room'!$A$15,$A174&lt;'Control Room'!$A$15+'Control Room'!$B$15,'Process'!BU4=1),1+('Control Room'!$C$15-1)*EXP(-0.5*(($A174-'Control Room'!$A$15-('Control Room'!$B$15-1)/2)/MAX(0.5,'Control Room'!$B$15/4))^2),1)*IF(AND($A174&gt;='Control Room'!$A$16,$A174&lt;'Control Room'!$A$16+'Control Room'!$B$16,'Process'!BU5=1),1+('Control Room'!$C$16-1)*EXP(-0.5*(($A174-'Control Room'!$A$16-('Control Room'!$B$16-1)/2)/MAX(0.5,'Control Room'!$B$16/4))^2),1)</x:f>
        <x:v>1</x:v>
      </x:c>
      <x:c r="BE174" s="9" t="n">
        <x:f>MOD(BF173*16807,2147483647)</x:f>
        <x:v>1693620639</x:v>
      </x:c>
      <x:c r="BF174" s="9" t="n">
        <x:f>MOD(BE174*16807,2147483647)</x:f>
        <x:v>1933822335</x:v>
      </x:c>
      <x:c r="BG174" s="17" t="n">
        <x:f>IF('Control Room'!$B$5="Normal",'Control Room'!$B$7+'Control Room'!$D$7*SQRT(-2*LN(MAX(0.000000000001,BE174/2147483647)))*COS(2*PI()*BF174/2147483647),'Control Room'!$B$8+('Control Room'!$D$8-'Control Room'!$B$8)*BE174/2147483647)</x:f>
        <x:v>1050.2899791291284</x:v>
      </x:c>
      <x:c r="BH174" s="17" t="n">
        <x:f>IF('Control Room'!$B$5="Normal",'Control Room'!$B$7,('Control Room'!$B$8+'Control Room'!$D$8)/2)+'Control Room'!$B$9*(BH173-IF('Control Room'!$B$5="Normal",'Control Room'!$B$7,('Control Room'!$B$8+'Control Room'!$D$8)/2))+SQRT(1-'Control Room'!$B$9^2)*(BG174-IF('Control Room'!$B$5="Normal",'Control Room'!$B$7,('Control Room'!$B$8+'Control Room'!$D$8)/2))</x:f>
        <x:v>1051.277487994983</x:v>
      </x:c>
      <x:c r="BI174" s="17" t="n">
        <x:f>IF(AND($A174&gt;='Control Room'!$A$13,$A174&lt;'Control Room'!$A$13+'Control Room'!$B$13,'Process'!BV2=1),1+('Control Room'!$C$13-1)*EXP(-0.5*(($A174-'Control Room'!$A$13-('Control Room'!$B$13-1)/2)/MAX(0.5,'Control Room'!$B$13/4))^2),1)*IF(AND($A174&gt;='Control Room'!$A$14,$A174&lt;'Control Room'!$A$14+'Control Room'!$B$14,'Process'!BV3=1),1+('Control Room'!$C$14-1)*EXP(-0.5*(($A174-'Control Room'!$A$14-('Control Room'!$B$14-1)/2)/MAX(0.5,'Control Room'!$B$14/4))^2),1)*IF(AND($A174&gt;='Control Room'!$A$15,$A174&lt;'Control Room'!$A$15+'Control Room'!$B$15,'Process'!BV4=1),1+('Control Room'!$C$15-1)*EXP(-0.5*(($A174-'Control Room'!$A$15-('Control Room'!$B$15-1)/2)/MAX(0.5,'Control Room'!$B$15/4))^2),1)*IF(AND($A174&gt;='Control Room'!$A$16,$A174&lt;'Control Room'!$A$16+'Control Room'!$B$16,'Process'!BV5=1),1+('Control Room'!$C$16-1)*EXP(-0.5*(($A174-'Control Room'!$A$16-('Control Room'!$B$16-1)/2)/MAX(0.5,'Control Room'!$B$16/4))^2),1)</x:f>
        <x:v>1</x:v>
      </x:c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Z174" t="str">
        <x:f>IF('Data'!A174="","",TEXT('Data'!A174,"mm-dd"))</x:f>
      </x:c>
    </x:row>
    <x:row r="175" ht="21" customHeight="1">
      <x:c r="A175" s="15" t="n">
        <x:f>'Control Room'!$B$1+173</x:f>
        <x:v>73164</x:v>
      </x:c>
      <x:c r="B175" s="9" t="n">
        <x:f>MOD(C174*16807,2147483647)</x:f>
        <x:v>1547950251</x:v>
      </x:c>
      <x:c r="C175" s="9" t="n">
        <x:f>MOD(B175*16807,2147483647)</x:f>
        <x:v>1782968799</x:v>
      </x:c>
      <x:c r="D175" s="17" t="n">
        <x:f>IF('Control Room'!$B$5="Normal",'Control Room'!$B$7+'Control Room'!$D$7*SQRT(-2*LN(MAX(0.000000000001,B175/2147483647)))*COS(2*PI()*C175/2147483647),'Control Room'!$B$8+('Control Room'!$D$8-'Control Room'!$B$8)*B175/2147483647)</x:f>
        <x:v>1035.1871866233198</x:v>
      </x:c>
      <x:c r="E175" s="17" t="n">
        <x:f>IF('Control Room'!$B$5="Normal",'Control Room'!$B$7,('Control Room'!$B$8+'Control Room'!$D$8)/2)+'Control Room'!$B$9*(E174-IF('Control Room'!$B$5="Normal",'Control Room'!$B$7,('Control Room'!$B$8+'Control Room'!$D$8)/2))+SQRT(1-'Control Room'!$B$9^2)*(D175-IF('Control Room'!$B$5="Normal",'Control Room'!$B$7,('Control Room'!$B$8+'Control Room'!$D$8)/2))</x:f>
        <x:v>1029.705365893908</x:v>
      </x:c>
      <x:c r="F175" s="17" t="n">
        <x:f>IF(AND($A175&gt;='Control Room'!$A$13,$A175&lt;'Control Room'!$A$13+'Control Room'!$B$13,'Process'!BK2=1),1+('Control Room'!$C$13-1)*EXP(-0.5*(($A175-'Control Room'!$A$13-('Control Room'!$B$13-1)/2)/MAX(0.5,'Control Room'!$B$13/4))^2),1)*IF(AND($A175&gt;='Control Room'!$A$14,$A175&lt;'Control Room'!$A$14+'Control Room'!$B$14,'Process'!BK3=1),1+('Control Room'!$C$14-1)*EXP(-0.5*(($A175-'Control Room'!$A$14-('Control Room'!$B$14-1)/2)/MAX(0.5,'Control Room'!$B$14/4))^2),1)*IF(AND($A175&gt;='Control Room'!$A$15,$A175&lt;'Control Room'!$A$15+'Control Room'!$B$15,'Process'!BK4=1),1+('Control Room'!$C$15-1)*EXP(-0.5*(($A175-'Control Room'!$A$15-('Control Room'!$B$15-1)/2)/MAX(0.5,'Control Room'!$B$15/4))^2),1)*IF(AND($A175&gt;='Control Room'!$A$16,$A175&lt;'Control Room'!$A$16+'Control Room'!$B$16,'Process'!BK5=1),1+('Control Room'!$C$16-1)*EXP(-0.5*(($A175-'Control Room'!$A$16-('Control Room'!$B$16-1)/2)/MAX(0.5,'Control Room'!$B$16/4))^2),1)</x:f>
        <x:v>1</x:v>
      </x:c>
      <x:c r="G175" s="9" t="n">
        <x:f>MOD(H174*16807,2147483647)</x:f>
        <x:v>198326148</x:v>
      </x:c>
      <x:c r="H175" s="9" t="n">
        <x:f>MOD(G175*16807,2147483647)</x:f>
        <x:v>372949292</x:v>
      </x:c>
      <x:c r="I175" s="17" t="n">
        <x:f>IF('Control Room'!$B$5="Normal",'Control Room'!$B$7+'Control Room'!$D$7*SQRT(-2*LN(MAX(0.000000000001,G175/2147483647)))*COS(2*PI()*H175/2147483647),'Control Room'!$B$8+('Control Room'!$D$8-'Control Room'!$B$8)*G175/2147483647)</x:f>
        <x:v>1090.6458834776195</x:v>
      </x:c>
      <x:c r="J175" s="17" t="n">
        <x:f>IF('Control Room'!$B$5="Normal",'Control Room'!$B$7,('Control Room'!$B$8+'Control Room'!$D$8)/2)+'Control Room'!$B$9*(J174-IF('Control Room'!$B$5="Normal",'Control Room'!$B$7,('Control Room'!$B$8+'Control Room'!$D$8)/2))+SQRT(1-'Control Room'!$B$9^2)*(I175-IF('Control Room'!$B$5="Normal",'Control Room'!$B$7,('Control Room'!$B$8+'Control Room'!$D$8)/2))</x:f>
        <x:v>982.1174461597225</x:v>
      </x:c>
      <x:c r="K175" s="17" t="n">
        <x:f>IF(AND($A175&gt;='Control Room'!$A$13,$A175&lt;'Control Room'!$A$13+'Control Room'!$B$13,'Process'!BL2=1),1+('Control Room'!$C$13-1)*EXP(-0.5*(($A175-'Control Room'!$A$13-('Control Room'!$B$13-1)/2)/MAX(0.5,'Control Room'!$B$13/4))^2),1)*IF(AND($A175&gt;='Control Room'!$A$14,$A175&lt;'Control Room'!$A$14+'Control Room'!$B$14,'Process'!BL3=1),1+('Control Room'!$C$14-1)*EXP(-0.5*(($A175-'Control Room'!$A$14-('Control Room'!$B$14-1)/2)/MAX(0.5,'Control Room'!$B$14/4))^2),1)*IF(AND($A175&gt;='Control Room'!$A$15,$A175&lt;'Control Room'!$A$15+'Control Room'!$B$15,'Process'!BL4=1),1+('Control Room'!$C$15-1)*EXP(-0.5*(($A175-'Control Room'!$A$15-('Control Room'!$B$15-1)/2)/MAX(0.5,'Control Room'!$B$15/4))^2),1)*IF(AND($A175&gt;='Control Room'!$A$16,$A175&lt;'Control Room'!$A$16+'Control Room'!$B$16,'Process'!BL5=1),1+('Control Room'!$C$16-1)*EXP(-0.5*(($A175-'Control Room'!$A$16-('Control Room'!$B$16-1)/2)/MAX(0.5,'Control Room'!$B$16/4))^2),1)</x:f>
        <x:v>1</x:v>
      </x:c>
      <x:c r="L175" s="9" t="n">
        <x:f>MOD(M174*16807,2147483647)</x:f>
        <x:v>996185692</x:v>
      </x:c>
      <x:c r="M175" s="9" t="n">
        <x:f>MOD(L175*16807,2147483647)</x:f>
        <x:v>1110413432</x:v>
      </x:c>
      <x:c r="N175" s="17" t="n">
        <x:f>IF('Control Room'!$B$5="Normal",'Control Room'!$B$7+'Control Room'!$D$7*SQRT(-2*LN(MAX(0.000000000001,L175/2147483647)))*COS(2*PI()*M175/2147483647),'Control Room'!$B$8+('Control Room'!$D$8-'Control Room'!$B$8)*L175/2147483647)</x:f>
        <x:v>889.0909672935877</x:v>
      </x:c>
      <x:c r="O175" s="17" t="n">
        <x:f>IF('Control Room'!$B$5="Normal",'Control Room'!$B$7,('Control Room'!$B$8+'Control Room'!$D$8)/2)+'Control Room'!$B$9*(O174-IF('Control Room'!$B$5="Normal",'Control Room'!$B$7,('Control Room'!$B$8+'Control Room'!$D$8)/2))+SQRT(1-'Control Room'!$B$9^2)*(N175-IF('Control Room'!$B$5="Normal",'Control Room'!$B$7,('Control Room'!$B$8+'Control Room'!$D$8)/2))</x:f>
        <x:v>962.9354310872086</x:v>
      </x:c>
      <x:c r="P175" s="17" t="n">
        <x:f>IF(AND($A175&gt;='Control Room'!$A$13,$A175&lt;'Control Room'!$A$13+'Control Room'!$B$13,'Process'!BM2=1),1+('Control Room'!$C$13-1)*EXP(-0.5*(($A175-'Control Room'!$A$13-('Control Room'!$B$13-1)/2)/MAX(0.5,'Control Room'!$B$13/4))^2),1)*IF(AND($A175&gt;='Control Room'!$A$14,$A175&lt;'Control Room'!$A$14+'Control Room'!$B$14,'Process'!BM3=1),1+('Control Room'!$C$14-1)*EXP(-0.5*(($A175-'Control Room'!$A$14-('Control Room'!$B$14-1)/2)/MAX(0.5,'Control Room'!$B$14/4))^2),1)*IF(AND($A175&gt;='Control Room'!$A$15,$A175&lt;'Control Room'!$A$15+'Control Room'!$B$15,'Process'!BM4=1),1+('Control Room'!$C$15-1)*EXP(-0.5*(($A175-'Control Room'!$A$15-('Control Room'!$B$15-1)/2)/MAX(0.5,'Control Room'!$B$15/4))^2),1)*IF(AND($A175&gt;='Control Room'!$A$16,$A175&lt;'Control Room'!$A$16+'Control Room'!$B$16,'Process'!BM5=1),1+('Control Room'!$C$16-1)*EXP(-0.5*(($A175-'Control Room'!$A$16-('Control Room'!$B$16-1)/2)/MAX(0.5,'Control Room'!$B$16/4))^2),1)</x:f>
        <x:v>1</x:v>
      </x:c>
      <x:c r="Q175" s="9" t="n">
        <x:f>MOD(R174*16807,2147483647)</x:f>
        <x:v>1794045236</x:v>
      </x:c>
      <x:c r="R175" s="9" t="n">
        <x:f>MOD(Q175*16807,2147483647)</x:f>
        <x:v>1847877572</x:v>
      </x:c>
      <x:c r="S175" s="17" t="n">
        <x:f>IF('Control Room'!$B$5="Normal",'Control Room'!$B$7+'Control Room'!$D$7*SQRT(-2*LN(MAX(0.000000000001,Q175/2147483647)))*COS(2*PI()*R175/2147483647),'Control Room'!$B$8+('Control Room'!$D$8-'Control Room'!$B$8)*Q175/2147483647)</x:f>
        <x:v>1034.53062633728</x:v>
      </x:c>
      <x:c r="T175" s="17" t="n">
        <x:f>IF('Control Room'!$B$5="Normal",'Control Room'!$B$7,('Control Room'!$B$8+'Control Room'!$D$8)/2)+'Control Room'!$B$9*(T174-IF('Control Room'!$B$5="Normal",'Control Room'!$B$7,('Control Room'!$B$8+'Control Room'!$D$8)/2))+SQRT(1-'Control Room'!$B$9^2)*(S175-IF('Control Room'!$B$5="Normal",'Control Room'!$B$7,('Control Room'!$B$8+'Control Room'!$D$8)/2))</x:f>
        <x:v>1106.0303884065288</x:v>
      </x:c>
      <x:c r="U175" s="17" t="n">
        <x:f>IF(AND($A175&gt;='Control Room'!$A$13,$A175&lt;'Control Room'!$A$13+'Control Room'!$B$13,'Process'!BN2=1),1+('Control Room'!$C$13-1)*EXP(-0.5*(($A175-'Control Room'!$A$13-('Control Room'!$B$13-1)/2)/MAX(0.5,'Control Room'!$B$13/4))^2),1)*IF(AND($A175&gt;='Control Room'!$A$14,$A175&lt;'Control Room'!$A$14+'Control Room'!$B$14,'Process'!BN3=1),1+('Control Room'!$C$14-1)*EXP(-0.5*(($A175-'Control Room'!$A$14-('Control Room'!$B$14-1)/2)/MAX(0.5,'Control Room'!$B$14/4))^2),1)*IF(AND($A175&gt;='Control Room'!$A$15,$A175&lt;'Control Room'!$A$15+'Control Room'!$B$15,'Process'!BN4=1),1+('Control Room'!$C$15-1)*EXP(-0.5*(($A175-'Control Room'!$A$15-('Control Room'!$B$15-1)/2)/MAX(0.5,'Control Room'!$B$15/4))^2),1)*IF(AND($A175&gt;='Control Room'!$A$16,$A175&lt;'Control Room'!$A$16+'Control Room'!$B$16,'Process'!BN5=1),1+('Control Room'!$C$16-1)*EXP(-0.5*(($A175-'Control Room'!$A$16-('Control Room'!$B$16-1)/2)/MAX(0.5,'Control Room'!$B$16/4))^2),1)</x:f>
        <x:v>1</x:v>
      </x:c>
      <x:c r="V175" s="9" t="n">
        <x:f>MOD(W174*16807,2147483647)</x:f>
        <x:v>444421133</x:v>
      </x:c>
      <x:c r="W175" s="9" t="n">
        <x:f>MOD(V175*16807,2147483647)</x:f>
        <x:v>437858065</x:v>
      </x:c>
      <x:c r="X175" s="17" t="n">
        <x:f>IF('Control Room'!$B$5="Normal",'Control Room'!$B$7+'Control Room'!$D$7*SQRT(-2*LN(MAX(0.000000000001,V175/2147483647)))*COS(2*PI()*W175/2147483647),'Control Room'!$B$8+('Control Room'!$D$8-'Control Room'!$B$8)*V175/2147483647)</x:f>
        <x:v>1045.6337538157452</x:v>
      </x:c>
      <x:c r="Y175" s="17" t="n">
        <x:f>IF('Control Room'!$B$5="Normal",'Control Room'!$B$7,('Control Room'!$B$8+'Control Room'!$D$8)/2)+'Control Room'!$B$9*(Y174-IF('Control Room'!$B$5="Normal",'Control Room'!$B$7,('Control Room'!$B$8+'Control Room'!$D$8)/2))+SQRT(1-'Control Room'!$B$9^2)*(X175-IF('Control Room'!$B$5="Normal",'Control Room'!$B$7,('Control Room'!$B$8+'Control Room'!$D$8)/2))</x:f>
        <x:v>1003.0736593192698</x:v>
      </x:c>
      <x:c r="Z175" s="17" t="n">
        <x:f>IF(AND($A175&gt;='Control Room'!$A$13,$A175&lt;'Control Room'!$A$13+'Control Room'!$B$13,'Process'!BO2=1),1+('Control Room'!$C$13-1)*EXP(-0.5*(($A175-'Control Room'!$A$13-('Control Room'!$B$13-1)/2)/MAX(0.5,'Control Room'!$B$13/4))^2),1)*IF(AND($A175&gt;='Control Room'!$A$14,$A175&lt;'Control Room'!$A$14+'Control Room'!$B$14,'Process'!BO3=1),1+('Control Room'!$C$14-1)*EXP(-0.5*(($A175-'Control Room'!$A$14-('Control Room'!$B$14-1)/2)/MAX(0.5,'Control Room'!$B$14/4))^2),1)*IF(AND($A175&gt;='Control Room'!$A$15,$A175&lt;'Control Room'!$A$15+'Control Room'!$B$15,'Process'!BO4=1),1+('Control Room'!$C$15-1)*EXP(-0.5*(($A175-'Control Room'!$A$15-('Control Room'!$B$15-1)/2)/MAX(0.5,'Control Room'!$B$15/4))^2),1)*IF(AND($A175&gt;='Control Room'!$A$16,$A175&lt;'Control Room'!$A$16+'Control Room'!$B$16,'Process'!BO5=1),1+('Control Room'!$C$16-1)*EXP(-0.5*(($A175-'Control Room'!$A$16-('Control Room'!$B$16-1)/2)/MAX(0.5,'Control Room'!$B$16/4))^2),1)</x:f>
        <x:v>1</x:v>
      </x:c>
      <x:c r="AA175" s="9" t="n">
        <x:f>MOD(AB174*16807,2147483647)</x:f>
        <x:v>1242280677</x:v>
      </x:c>
      <x:c r="AB175" s="9" t="n">
        <x:f>MOD(AA175*16807,2147483647)</x:f>
        <x:v>1175322205</x:v>
      </x:c>
      <x:c r="AC175" s="17" t="n">
        <x:f>IF('Control Room'!$B$5="Normal",'Control Room'!$B$7+'Control Room'!$D$7*SQRT(-2*LN(MAX(0.000000000001,AA175/2147483647)))*COS(2*PI()*AB175/2147483647),'Control Room'!$B$8+('Control Room'!$D$8-'Control Room'!$B$8)*AA175/2147483647)</x:f>
        <x:v>909.9634472462934</x:v>
      </x:c>
      <x:c r="AD175" s="17" t="n">
        <x:f>IF('Control Room'!$B$5="Normal",'Control Room'!$B$7,('Control Room'!$B$8+'Control Room'!$D$8)/2)+'Control Room'!$B$9*(AD174-IF('Control Room'!$B$5="Normal",'Control Room'!$B$7,('Control Room'!$B$8+'Control Room'!$D$8)/2))+SQRT(1-'Control Room'!$B$9^2)*(AC175-IF('Control Room'!$B$5="Normal",'Control Room'!$B$7,('Control Room'!$B$8+'Control Room'!$D$8)/2))</x:f>
        <x:v>992.0026582389028</x:v>
      </x:c>
      <x:c r="AE175" s="17" t="n">
        <x:f>IF(AND($A175&gt;='Control Room'!$A$13,$A175&lt;'Control Room'!$A$13+'Control Room'!$B$13,'Process'!BP2=1),1+('Control Room'!$C$13-1)*EXP(-0.5*(($A175-'Control Room'!$A$13-('Control Room'!$B$13-1)/2)/MAX(0.5,'Control Room'!$B$13/4))^2),1)*IF(AND($A175&gt;='Control Room'!$A$14,$A175&lt;'Control Room'!$A$14+'Control Room'!$B$14,'Process'!BP3=1),1+('Control Room'!$C$14-1)*EXP(-0.5*(($A175-'Control Room'!$A$14-('Control Room'!$B$14-1)/2)/MAX(0.5,'Control Room'!$B$14/4))^2),1)*IF(AND($A175&gt;='Control Room'!$A$15,$A175&lt;'Control Room'!$A$15+'Control Room'!$B$15,'Process'!BP4=1),1+('Control Room'!$C$15-1)*EXP(-0.5*(($A175-'Control Room'!$A$15-('Control Room'!$B$15-1)/2)/MAX(0.5,'Control Room'!$B$15/4))^2),1)*IF(AND($A175&gt;='Control Room'!$A$16,$A175&lt;'Control Room'!$A$16+'Control Room'!$B$16,'Process'!BP5=1),1+('Control Room'!$C$16-1)*EXP(-0.5*(($A175-'Control Room'!$A$16-('Control Room'!$B$16-1)/2)/MAX(0.5,'Control Room'!$B$16/4))^2),1)</x:f>
        <x:v>1</x:v>
      </x:c>
      <x:c r="AF175" s="9" t="n">
        <x:f>MOD(AG174*16807,2147483647)</x:f>
        <x:v>2040140221</x:v>
      </x:c>
      <x:c r="AG175" s="9" t="n">
        <x:f>MOD(AF175*16807,2147483647)</x:f>
        <x:v>1912786345</x:v>
      </x:c>
      <x:c r="AH175" s="17" t="n">
        <x:f>IF('Control Room'!$B$5="Normal",'Control Room'!$B$7+'Control Room'!$D$7*SQRT(-2*LN(MAX(0.000000000001,AF175/2147483647)))*COS(2*PI()*AG175/2147483647),'Control Room'!$B$8+('Control Room'!$D$8-'Control Room'!$B$8)*AF175/2147483647)</x:f>
        <x:v>1022.2895254455581</x:v>
      </x:c>
      <x:c r="AI175" s="17" t="n">
        <x:f>IF('Control Room'!$B$5="Normal",'Control Room'!$B$7,('Control Room'!$B$8+'Control Room'!$D$8)/2)+'Control Room'!$B$9*(AI174-IF('Control Room'!$B$5="Normal",'Control Room'!$B$7,('Control Room'!$B$8+'Control Room'!$D$8)/2))+SQRT(1-'Control Room'!$B$9^2)*(AH175-IF('Control Room'!$B$5="Normal",'Control Room'!$B$7,('Control Room'!$B$8+'Control Room'!$D$8)/2))</x:f>
        <x:v>997.5515599653061</x:v>
      </x:c>
      <x:c r="AJ175" s="17" t="n">
        <x:f>IF(AND($A175&gt;='Control Room'!$A$13,$A175&lt;'Control Room'!$A$13+'Control Room'!$B$13,'Process'!BQ2=1),1+('Control Room'!$C$13-1)*EXP(-0.5*(($A175-'Control Room'!$A$13-('Control Room'!$B$13-1)/2)/MAX(0.5,'Control Room'!$B$13/4))^2),1)*IF(AND($A175&gt;='Control Room'!$A$14,$A175&lt;'Control Room'!$A$14+'Control Room'!$B$14,'Process'!BQ3=1),1+('Control Room'!$C$14-1)*EXP(-0.5*(($A175-'Control Room'!$A$14-('Control Room'!$B$14-1)/2)/MAX(0.5,'Control Room'!$B$14/4))^2),1)*IF(AND($A175&gt;='Control Room'!$A$15,$A175&lt;'Control Room'!$A$15+'Control Room'!$B$15,'Process'!BQ4=1),1+('Control Room'!$C$15-1)*EXP(-0.5*(($A175-'Control Room'!$A$15-('Control Room'!$B$15-1)/2)/MAX(0.5,'Control Room'!$B$15/4))^2),1)*IF(AND($A175&gt;='Control Room'!$A$16,$A175&lt;'Control Room'!$A$16+'Control Room'!$B$16,'Process'!BQ5=1),1+('Control Room'!$C$16-1)*EXP(-0.5*(($A175-'Control Room'!$A$16-('Control Room'!$B$16-1)/2)/MAX(0.5,'Control Room'!$B$16/4))^2),1)</x:f>
        <x:v>1</x:v>
      </x:c>
      <x:c r="AK175" s="9" t="n">
        <x:f>MOD(AL174*16807,2147483647)</x:f>
        <x:v>690516118</x:v>
      </x:c>
      <x:c r="AL175" s="9" t="n">
        <x:f>MOD(AK175*16807,2147483647)</x:f>
        <x:v>502766838</x:v>
      </x:c>
      <x:c r="AM175" s="17" t="n">
        <x:f>IF('Control Room'!$B$5="Normal",'Control Room'!$B$7+'Control Room'!$D$7*SQRT(-2*LN(MAX(0.000000000001,AK175/2147483647)))*COS(2*PI()*AL175/2147483647),'Control Room'!$B$8+('Control Room'!$D$8-'Control Room'!$B$8)*AK175/2147483647)</x:f>
        <x:v>1013.505686650913</x:v>
      </x:c>
      <x:c r="AN175" s="17" t="n">
        <x:f>IF('Control Room'!$B$5="Normal",'Control Room'!$B$7,('Control Room'!$B$8+'Control Room'!$D$8)/2)+'Control Room'!$B$9*(AN174-IF('Control Room'!$B$5="Normal",'Control Room'!$B$7,('Control Room'!$B$8+'Control Room'!$D$8)/2))+SQRT(1-'Control Room'!$B$9^2)*(AM175-IF('Control Room'!$B$5="Normal",'Control Room'!$B$7,('Control Room'!$B$8+'Control Room'!$D$8)/2))</x:f>
        <x:v>1033.9647605006844</x:v>
      </x:c>
      <x:c r="AO175" s="17" t="n">
        <x:f>IF(AND($A175&gt;='Control Room'!$A$13,$A175&lt;'Control Room'!$A$13+'Control Room'!$B$13,'Process'!BR2=1),1+('Control Room'!$C$13-1)*EXP(-0.5*(($A175-'Control Room'!$A$13-('Control Room'!$B$13-1)/2)/MAX(0.5,'Control Room'!$B$13/4))^2),1)*IF(AND($A175&gt;='Control Room'!$A$14,$A175&lt;'Control Room'!$A$14+'Control Room'!$B$14,'Process'!BR3=1),1+('Control Room'!$C$14-1)*EXP(-0.5*(($A175-'Control Room'!$A$14-('Control Room'!$B$14-1)/2)/MAX(0.5,'Control Room'!$B$14/4))^2),1)*IF(AND($A175&gt;='Control Room'!$A$15,$A175&lt;'Control Room'!$A$15+'Control Room'!$B$15,'Process'!BR4=1),1+('Control Room'!$C$15-1)*EXP(-0.5*(($A175-'Control Room'!$A$15-('Control Room'!$B$15-1)/2)/MAX(0.5,'Control Room'!$B$15/4))^2),1)*IF(AND($A175&gt;='Control Room'!$A$16,$A175&lt;'Control Room'!$A$16+'Control Room'!$B$16,'Process'!BR5=1),1+('Control Room'!$C$16-1)*EXP(-0.5*(($A175-'Control Room'!$A$16-('Control Room'!$B$16-1)/2)/MAX(0.5,'Control Room'!$B$16/4))^2),1)</x:f>
        <x:v>1</x:v>
      </x:c>
      <x:c r="AP175" s="9" t="n">
        <x:f>MOD(AQ174*16807,2147483647)</x:f>
        <x:v>1488375662</x:v>
      </x:c>
      <x:c r="AQ175" s="9" t="n">
        <x:f>MOD(AP175*16807,2147483647)</x:f>
        <x:v>1240230978</x:v>
      </x:c>
      <x:c r="AR175" s="17" t="n">
        <x:f>IF('Control Room'!$B$5="Normal",'Control Room'!$B$7+'Control Room'!$D$7*SQRT(-2*LN(MAX(0.000000000001,AP175/2147483647)))*COS(2*PI()*AQ175/2147483647),'Control Room'!$B$8+('Control Room'!$D$8-'Control Room'!$B$8)*AP175/2147483647)</x:f>
        <x:v>931.8983277904418</x:v>
      </x:c>
      <x:c r="AS175" s="17" t="n">
        <x:f>IF('Control Room'!$B$5="Normal",'Control Room'!$B$7,('Control Room'!$B$8+'Control Room'!$D$8)/2)+'Control Room'!$B$9*(AS174-IF('Control Room'!$B$5="Normal",'Control Room'!$B$7,('Control Room'!$B$8+'Control Room'!$D$8)/2))+SQRT(1-'Control Room'!$B$9^2)*(AR175-IF('Control Room'!$B$5="Normal",'Control Room'!$B$7,('Control Room'!$B$8+'Control Room'!$D$8)/2))</x:f>
        <x:v>1011.1945183390353</x:v>
      </x:c>
      <x:c r="AT175" s="17" t="n">
        <x:f>IF(AND($A175&gt;='Control Room'!$A$13,$A175&lt;'Control Room'!$A$13+'Control Room'!$B$13,'Process'!BS2=1),1+('Control Room'!$C$13-1)*EXP(-0.5*(($A175-'Control Room'!$A$13-('Control Room'!$B$13-1)/2)/MAX(0.5,'Control Room'!$B$13/4))^2),1)*IF(AND($A175&gt;='Control Room'!$A$14,$A175&lt;'Control Room'!$A$14+'Control Room'!$B$14,'Process'!BS3=1),1+('Control Room'!$C$14-1)*EXP(-0.5*(($A175-'Control Room'!$A$14-('Control Room'!$B$14-1)/2)/MAX(0.5,'Control Room'!$B$14/4))^2),1)*IF(AND($A175&gt;='Control Room'!$A$15,$A175&lt;'Control Room'!$A$15+'Control Room'!$B$15,'Process'!BS4=1),1+('Control Room'!$C$15-1)*EXP(-0.5*(($A175-'Control Room'!$A$15-('Control Room'!$B$15-1)/2)/MAX(0.5,'Control Room'!$B$15/4))^2),1)*IF(AND($A175&gt;='Control Room'!$A$16,$A175&lt;'Control Room'!$A$16+'Control Room'!$B$16,'Process'!BS5=1),1+('Control Room'!$C$16-1)*EXP(-0.5*(($A175-'Control Room'!$A$16-('Control Room'!$B$16-1)/2)/MAX(0.5,'Control Room'!$B$16/4))^2),1)</x:f>
        <x:v>1</x:v>
      </x:c>
      <x:c r="AU175" s="9" t="n">
        <x:f>MOD(AV174*16807,2147483647)</x:f>
        <x:v>138751559</x:v>
      </x:c>
      <x:c r="AV175" s="9" t="n">
        <x:f>MOD(AU175*16807,2147483647)</x:f>
        <x:v>1977695118</x:v>
      </x:c>
      <x:c r="AW175" s="17" t="n">
        <x:f>IF('Control Room'!$B$5="Normal",'Control Room'!$B$7+'Control Room'!$D$7*SQRT(-2*LN(MAX(0.000000000001,AU175/2147483647)))*COS(2*PI()*AV175/2147483647),'Control Room'!$B$8+('Control Room'!$D$8-'Control Room'!$B$8)*AU175/2147483647)</x:f>
        <x:v>1185.1966816097752</x:v>
      </x:c>
      <x:c r="AX175" s="17" t="n">
        <x:f>IF('Control Room'!$B$5="Normal",'Control Room'!$B$7,('Control Room'!$B$8+'Control Room'!$D$8)/2)+'Control Room'!$B$9*(AX174-IF('Control Room'!$B$5="Normal",'Control Room'!$B$7,('Control Room'!$B$8+'Control Room'!$D$8)/2))+SQRT(1-'Control Room'!$B$9^2)*(AW175-IF('Control Room'!$B$5="Normal",'Control Room'!$B$7,('Control Room'!$B$8+'Control Room'!$D$8)/2))</x:f>
        <x:v>1195.2823300876055</x:v>
      </x:c>
      <x:c r="AY175" s="17" t="n">
        <x:f>IF(AND($A175&gt;='Control Room'!$A$13,$A175&lt;'Control Room'!$A$13+'Control Room'!$B$13,'Process'!BT2=1),1+('Control Room'!$C$13-1)*EXP(-0.5*(($A175-'Control Room'!$A$13-('Control Room'!$B$13-1)/2)/MAX(0.5,'Control Room'!$B$13/4))^2),1)*IF(AND($A175&gt;='Control Room'!$A$14,$A175&lt;'Control Room'!$A$14+'Control Room'!$B$14,'Process'!BT3=1),1+('Control Room'!$C$14-1)*EXP(-0.5*(($A175-'Control Room'!$A$14-('Control Room'!$B$14-1)/2)/MAX(0.5,'Control Room'!$B$14/4))^2),1)*IF(AND($A175&gt;='Control Room'!$A$15,$A175&lt;'Control Room'!$A$15+'Control Room'!$B$15,'Process'!BT4=1),1+('Control Room'!$C$15-1)*EXP(-0.5*(($A175-'Control Room'!$A$15-('Control Room'!$B$15-1)/2)/MAX(0.5,'Control Room'!$B$15/4))^2),1)*IF(AND($A175&gt;='Control Room'!$A$16,$A175&lt;'Control Room'!$A$16+'Control Room'!$B$16,'Process'!BT5=1),1+('Control Room'!$C$16-1)*EXP(-0.5*(($A175-'Control Room'!$A$16-('Control Room'!$B$16-1)/2)/MAX(0.5,'Control Room'!$B$16/4))^2),1)</x:f>
        <x:v>1</x:v>
      </x:c>
      <x:c r="AZ175" s="9" t="n">
        <x:f>MOD(BA174*16807,2147483647)</x:f>
        <x:v>936611103</x:v>
      </x:c>
      <x:c r="BA175" s="9" t="n">
        <x:f>MOD(AZ175*16807,2147483647)</x:f>
        <x:v>567675611</x:v>
      </x:c>
      <x:c r="BB175" s="17" t="n">
        <x:f>IF('Control Room'!$B$5="Normal",'Control Room'!$B$7+'Control Room'!$D$7*SQRT(-2*LN(MAX(0.000000000001,AZ175/2147483647)))*COS(2*PI()*BA175/2147483647),'Control Room'!$B$8+('Control Room'!$D$8-'Control Room'!$B$8)*AZ175/2147483647)</x:f>
        <x:v>989.5643660536508</x:v>
      </x:c>
      <x:c r="BC175" s="17" t="n">
        <x:f>IF('Control Room'!$B$5="Normal",'Control Room'!$B$7,('Control Room'!$B$8+'Control Room'!$D$8)/2)+'Control Room'!$B$9*(BC174-IF('Control Room'!$B$5="Normal",'Control Room'!$B$7,('Control Room'!$B$8+'Control Room'!$D$8)/2))+SQRT(1-'Control Room'!$B$9^2)*(BB175-IF('Control Room'!$B$5="Normal",'Control Room'!$B$7,('Control Room'!$B$8+'Control Room'!$D$8)/2))</x:f>
        <x:v>1096.2027869077606</x:v>
      </x:c>
      <x:c r="BD175" s="17" t="n">
        <x:f>IF(AND($A175&gt;='Control Room'!$A$13,$A175&lt;'Control Room'!$A$13+'Control Room'!$B$13,'Process'!BU2=1),1+('Control Room'!$C$13-1)*EXP(-0.5*(($A175-'Control Room'!$A$13-('Control Room'!$B$13-1)/2)/MAX(0.5,'Control Room'!$B$13/4))^2),1)*IF(AND($A175&gt;='Control Room'!$A$14,$A175&lt;'Control Room'!$A$14+'Control Room'!$B$14,'Process'!BU3=1),1+('Control Room'!$C$14-1)*EXP(-0.5*(($A175-'Control Room'!$A$14-('Control Room'!$B$14-1)/2)/MAX(0.5,'Control Room'!$B$14/4))^2),1)*IF(AND($A175&gt;='Control Room'!$A$15,$A175&lt;'Control Room'!$A$15+'Control Room'!$B$15,'Process'!BU4=1),1+('Control Room'!$C$15-1)*EXP(-0.5*(($A175-'Control Room'!$A$15-('Control Room'!$B$15-1)/2)/MAX(0.5,'Control Room'!$B$15/4))^2),1)*IF(AND($A175&gt;='Control Room'!$A$16,$A175&lt;'Control Room'!$A$16+'Control Room'!$B$16,'Process'!BU5=1),1+('Control Room'!$C$16-1)*EXP(-0.5*(($A175-'Control Room'!$A$16-('Control Room'!$B$16-1)/2)/MAX(0.5,'Control Room'!$B$16/4))^2),1)</x:f>
        <x:v>1</x:v>
      </x:c>
      <x:c r="BE175" s="9" t="n">
        <x:f>MOD(BF174*16807,2147483647)</x:f>
        <x:v>1734470647</x:v>
      </x:c>
      <x:c r="BF175" s="9" t="n">
        <x:f>MOD(BE175*16807,2147483647)</x:f>
        <x:v>1305139751</x:v>
      </x:c>
      <x:c r="BG175" s="17" t="n">
        <x:f>IF('Control Room'!$B$5="Normal",'Control Room'!$B$7+'Control Room'!$D$7*SQRT(-2*LN(MAX(0.000000000001,BE175/2147483647)))*COS(2*PI()*BF175/2147483647),'Control Room'!$B$8+('Control Room'!$D$8-'Control Room'!$B$8)*BE175/2147483647)</x:f>
        <x:v>954.1507118542524</x:v>
      </x:c>
      <x:c r="BH175" s="17" t="n">
        <x:f>IF('Control Room'!$B$5="Normal",'Control Room'!$B$7,('Control Room'!$B$8+'Control Room'!$D$8)/2)+'Control Room'!$B$9*(BH174-IF('Control Room'!$B$5="Normal",'Control Room'!$B$7,('Control Room'!$B$8+'Control Room'!$D$8)/2))+SQRT(1-'Control Room'!$B$9^2)*(BG175-IF('Control Room'!$B$5="Normal",'Control Room'!$B$7,('Control Room'!$B$8+'Control Room'!$D$8)/2))</x:f>
        <x:v>1011.3048953881995</x:v>
      </x:c>
      <x:c r="BI175" s="17" t="n">
        <x:f>IF(AND($A175&gt;='Control Room'!$A$13,$A175&lt;'Control Room'!$A$13+'Control Room'!$B$13,'Process'!BV2=1),1+('Control Room'!$C$13-1)*EXP(-0.5*(($A175-'Control Room'!$A$13-('Control Room'!$B$13-1)/2)/MAX(0.5,'Control Room'!$B$13/4))^2),1)*IF(AND($A175&gt;='Control Room'!$A$14,$A175&lt;'Control Room'!$A$14+'Control Room'!$B$14,'Process'!BV3=1),1+('Control Room'!$C$14-1)*EXP(-0.5*(($A175-'Control Room'!$A$14-('Control Room'!$B$14-1)/2)/MAX(0.5,'Control Room'!$B$14/4))^2),1)*IF(AND($A175&gt;='Control Room'!$A$15,$A175&lt;'Control Room'!$A$15+'Control Room'!$B$15,'Process'!BV4=1),1+('Control Room'!$C$15-1)*EXP(-0.5*(($A175-'Control Room'!$A$15-('Control Room'!$B$15-1)/2)/MAX(0.5,'Control Room'!$B$15/4))^2),1)*IF(AND($A175&gt;='Control Room'!$A$16,$A175&lt;'Control Room'!$A$16+'Control Room'!$B$16,'Process'!BV5=1),1+('Control Room'!$C$16-1)*EXP(-0.5*(($A175-'Control Room'!$A$16-('Control Room'!$B$16-1)/2)/MAX(0.5,'Control Room'!$B$16/4))^2),1)</x:f>
        <x:v>1</x:v>
      </x:c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Z175" t="str">
        <x:f>IF('Data'!A175="","",TEXT('Data'!A175,"mm-dd"))</x:f>
      </x:c>
    </x:row>
    <x:row r="176" ht="21" customHeight="1">
      <x:c r="A176" s="15" t="n">
        <x:f>'Control Room'!$B$1+174</x:f>
        <x:v>73165</x:v>
      </x:c>
      <x:c r="B176" s="9" t="n">
        <x:f>MOD(C175*16807,2147483647)</x:f>
        <x:v>369794555</x:v>
      </x:c>
      <x:c r="C176" s="9" t="n">
        <x:f>MOD(B176*16807,2147483647)</x:f>
        <x:v>319411467</x:v>
      </x:c>
      <x:c r="D176" s="17" t="n">
        <x:f>IF('Control Room'!$B$5="Normal",'Control Room'!$B$7+'Control Room'!$D$7*SQRT(-2*LN(MAX(0.000000000001,B176/2147483647)))*COS(2*PI()*C176/2147483647),'Control Room'!$B$8+('Control Room'!$D$8-'Control Room'!$B$8)*B176/2147483647)</x:f>
        <x:v>1100.305383595872</x:v>
      </x:c>
      <x:c r="E176" s="17" t="n">
        <x:f>IF('Control Room'!$B$5="Normal",'Control Room'!$B$7,('Control Room'!$B$8+'Control Room'!$D$8)/2)+'Control Room'!$B$9*(E175-IF('Control Room'!$B$5="Normal",'Control Room'!$B$7,('Control Room'!$B$8+'Control Room'!$D$8)/2))+SQRT(1-'Control Room'!$B$9^2)*(D176-IF('Control Room'!$B$5="Normal",'Control Room'!$B$7,('Control Room'!$B$8+'Control Room'!$D$8)/2))</x:f>
        <x:v>1085.93923958407</x:v>
      </x:c>
      <x:c r="F176" s="17" t="n">
        <x:f>IF(AND($A176&gt;='Control Room'!$A$13,$A176&lt;'Control Room'!$A$13+'Control Room'!$B$13,'Process'!BK2=1),1+('Control Room'!$C$13-1)*EXP(-0.5*(($A176-'Control Room'!$A$13-('Control Room'!$B$13-1)/2)/MAX(0.5,'Control Room'!$B$13/4))^2),1)*IF(AND($A176&gt;='Control Room'!$A$14,$A176&lt;'Control Room'!$A$14+'Control Room'!$B$14,'Process'!BK3=1),1+('Control Room'!$C$14-1)*EXP(-0.5*(($A176-'Control Room'!$A$14-('Control Room'!$B$14-1)/2)/MAX(0.5,'Control Room'!$B$14/4))^2),1)*IF(AND($A176&gt;='Control Room'!$A$15,$A176&lt;'Control Room'!$A$15+'Control Room'!$B$15,'Process'!BK4=1),1+('Control Room'!$C$15-1)*EXP(-0.5*(($A176-'Control Room'!$A$15-('Control Room'!$B$15-1)/2)/MAX(0.5,'Control Room'!$B$15/4))^2),1)*IF(AND($A176&gt;='Control Room'!$A$16,$A176&lt;'Control Room'!$A$16+'Control Room'!$B$16,'Process'!BK5=1),1+('Control Room'!$C$16-1)*EXP(-0.5*(($A176-'Control Room'!$A$16-('Control Room'!$B$16-1)/2)/MAX(0.5,'Control Room'!$B$16/4))^2),1)</x:f>
        <x:v>1</x:v>
      </x:c>
      <x:c r="G176" s="9" t="n">
        <x:f>MOD(H175*16807,2147483647)</x:f>
        <x:v>1801468698</x:v>
      </x:c>
      <x:c r="H176" s="9" t="n">
        <x:f>MOD(G176*16807,2147483647)</x:f>
        <x:v>2059951880</x:v>
      </x:c>
      <x:c r="I176" s="17" t="n">
        <x:f>IF('Control Room'!$B$5="Normal",'Control Room'!$B$7+'Control Room'!$D$7*SQRT(-2*LN(MAX(0.000000000001,G176/2147483647)))*COS(2*PI()*H176/2147483647),'Control Room'!$B$8+('Control Room'!$D$8-'Control Room'!$B$8)*G176/2147483647)</x:f>
        <x:v>1051.6102089955618</x:v>
      </x:c>
      <x:c r="J176" s="17" t="n">
        <x:f>IF('Control Room'!$B$5="Normal",'Control Room'!$B$7,('Control Room'!$B$8+'Control Room'!$D$8)/2)+'Control Room'!$B$9*(J175-IF('Control Room'!$B$5="Normal",'Control Room'!$B$7,('Control Room'!$B$8+'Control Room'!$D$8)/2))+SQRT(1-'Control Room'!$B$9^2)*(I176-IF('Control Room'!$B$5="Normal",'Control Room'!$B$7,('Control Room'!$B$8+'Control Room'!$D$8)/2))</x:f>
        <x:v>1018.3482195014059</x:v>
      </x:c>
      <x:c r="K176" s="17" t="n">
        <x:f>IF(AND($A176&gt;='Control Room'!$A$13,$A176&lt;'Control Room'!$A$13+'Control Room'!$B$13,'Process'!BL2=1),1+('Control Room'!$C$13-1)*EXP(-0.5*(($A176-'Control Room'!$A$13-('Control Room'!$B$13-1)/2)/MAX(0.5,'Control Room'!$B$13/4))^2),1)*IF(AND($A176&gt;='Control Room'!$A$14,$A176&lt;'Control Room'!$A$14+'Control Room'!$B$14,'Process'!BL3=1),1+('Control Room'!$C$14-1)*EXP(-0.5*(($A176-'Control Room'!$A$14-('Control Room'!$B$14-1)/2)/MAX(0.5,'Control Room'!$B$14/4))^2),1)*IF(AND($A176&gt;='Control Room'!$A$15,$A176&lt;'Control Room'!$A$15+'Control Room'!$B$15,'Process'!BL4=1),1+('Control Room'!$C$15-1)*EXP(-0.5*(($A176-'Control Room'!$A$15-('Control Room'!$B$15-1)/2)/MAX(0.5,'Control Room'!$B$15/4))^2),1)*IF(AND($A176&gt;='Control Room'!$A$16,$A176&lt;'Control Room'!$A$16+'Control Room'!$B$16,'Process'!BL5=1),1+('Control Room'!$C$16-1)*EXP(-0.5*(($A176-'Control Room'!$A$16-('Control Room'!$B$16-1)/2)/MAX(0.5,'Control Room'!$B$16/4))^2),1)</x:f>
        <x:v>1</x:v>
      </x:c>
      <x:c r="L176" s="9" t="n">
        <x:f>MOD(M175*16807,2147483647)</x:f>
        <x:v>1085659194</x:v>
      </x:c>
      <x:c r="M176" s="9" t="n">
        <x:f>MOD(L176*16807,2147483647)</x:f>
        <x:v>1653008646</x:v>
      </x:c>
      <x:c r="N176" s="17" t="n">
        <x:f>IF('Control Room'!$B$5="Normal",'Control Room'!$B$7+'Control Room'!$D$7*SQRT(-2*LN(MAX(0.000000000001,L176/2147483647)))*COS(2*PI()*M176/2147483647),'Control Room'!$B$8+('Control Room'!$D$8-'Control Room'!$B$8)*L176/2147483647)</x:f>
        <x:v>1013.0060133021318</x:v>
      </x:c>
      <x:c r="O176" s="17" t="n">
        <x:f>IF('Control Room'!$B$5="Normal",'Control Room'!$B$7,('Control Room'!$B$8+'Control Room'!$D$8)/2)+'Control Room'!$B$9*(O175-IF('Control Room'!$B$5="Normal",'Control Room'!$B$7,('Control Room'!$B$8+'Control Room'!$D$8)/2))+SQRT(1-'Control Room'!$B$9^2)*(N176-IF('Control Room'!$B$5="Normal",'Control Room'!$B$7,('Control Room'!$B$8+'Control Room'!$D$8)/2))</x:f>
        <x:v>979.2285329298318</x:v>
      </x:c>
      <x:c r="P176" s="17" t="n">
        <x:f>IF(AND($A176&gt;='Control Room'!$A$13,$A176&lt;'Control Room'!$A$13+'Control Room'!$B$13,'Process'!BM2=1),1+('Control Room'!$C$13-1)*EXP(-0.5*(($A176-'Control Room'!$A$13-('Control Room'!$B$13-1)/2)/MAX(0.5,'Control Room'!$B$13/4))^2),1)*IF(AND($A176&gt;='Control Room'!$A$14,$A176&lt;'Control Room'!$A$14+'Control Room'!$B$14,'Process'!BM3=1),1+('Control Room'!$C$14-1)*EXP(-0.5*(($A176-'Control Room'!$A$14-('Control Room'!$B$14-1)/2)/MAX(0.5,'Control Room'!$B$14/4))^2),1)*IF(AND($A176&gt;='Control Room'!$A$15,$A176&lt;'Control Room'!$A$15+'Control Room'!$B$15,'Process'!BM4=1),1+('Control Room'!$C$15-1)*EXP(-0.5*(($A176-'Control Room'!$A$15-('Control Room'!$B$15-1)/2)/MAX(0.5,'Control Room'!$B$15/4))^2),1)*IF(AND($A176&gt;='Control Room'!$A$16,$A176&lt;'Control Room'!$A$16+'Control Room'!$B$16,'Process'!BM5=1),1+('Control Room'!$C$16-1)*EXP(-0.5*(($A176-'Control Room'!$A$16-('Control Room'!$B$16-1)/2)/MAX(0.5,'Control Room'!$B$16/4))^2),1)</x:f>
        <x:v>1</x:v>
      </x:c>
      <x:c r="Q176" s="9" t="n">
        <x:f>MOD(R175*16807,2147483647)</x:f>
        <x:v>369849690</x:v>
      </x:c>
      <x:c r="R176" s="9" t="n">
        <x:f>MOD(Q176*16807,2147483647)</x:f>
        <x:v>1246065412</x:v>
      </x:c>
      <x:c r="S176" s="17" t="n">
        <x:f>IF('Control Room'!$B$5="Normal",'Control Room'!$B$7+'Control Room'!$D$7*SQRT(-2*LN(MAX(0.000000000001,Q176/2147483647)))*COS(2*PI()*R176/2147483647),'Control Room'!$B$8+('Control Room'!$D$8-'Control Room'!$B$8)*Q176/2147483647)</x:f>
        <x:v>852.2002499604283</x:v>
      </x:c>
      <x:c r="T176" s="17" t="n">
        <x:f>IF('Control Room'!$B$5="Normal",'Control Room'!$B$7,('Control Room'!$B$8+'Control Room'!$D$8)/2)+'Control Room'!$B$9*(T175-IF('Control Room'!$B$5="Normal",'Control Room'!$B$7,('Control Room'!$B$8+'Control Room'!$D$8)/2))+SQRT(1-'Control Room'!$B$9^2)*(S176-IF('Control Room'!$B$5="Normal",'Control Room'!$B$7,('Control Room'!$B$8+'Control Room'!$D$8)/2))</x:f>
        <x:v>990.213647224786</x:v>
      </x:c>
      <x:c r="U176" s="17" t="n">
        <x:f>IF(AND($A176&gt;='Control Room'!$A$13,$A176&lt;'Control Room'!$A$13+'Control Room'!$B$13,'Process'!BN2=1),1+('Control Room'!$C$13-1)*EXP(-0.5*(($A176-'Control Room'!$A$13-('Control Room'!$B$13-1)/2)/MAX(0.5,'Control Room'!$B$13/4))^2),1)*IF(AND($A176&gt;='Control Room'!$A$14,$A176&lt;'Control Room'!$A$14+'Control Room'!$B$14,'Process'!BN3=1),1+('Control Room'!$C$14-1)*EXP(-0.5*(($A176-'Control Room'!$A$14-('Control Room'!$B$14-1)/2)/MAX(0.5,'Control Room'!$B$14/4))^2),1)*IF(AND($A176&gt;='Control Room'!$A$15,$A176&lt;'Control Room'!$A$15+'Control Room'!$B$15,'Process'!BN4=1),1+('Control Room'!$C$15-1)*EXP(-0.5*(($A176-'Control Room'!$A$15-('Control Room'!$B$15-1)/2)/MAX(0.5,'Control Room'!$B$15/4))^2),1)*IF(AND($A176&gt;='Control Room'!$A$16,$A176&lt;'Control Room'!$A$16+'Control Room'!$B$16,'Process'!BN5=1),1+('Control Room'!$C$16-1)*EXP(-0.5*(($A176-'Control Room'!$A$16-('Control Room'!$B$16-1)/2)/MAX(0.5,'Control Room'!$B$16/4))^2),1)</x:f>
        <x:v>1</x:v>
      </x:c>
      <x:c r="V176" s="9" t="n">
        <x:f>MOD(W175*16807,2147483647)</x:f>
        <x:v>1801523833</x:v>
      </x:c>
      <x:c r="W176" s="9" t="n">
        <x:f>MOD(V176*16807,2147483647)</x:f>
        <x:v>839122178</x:v>
      </x:c>
      <x:c r="X176" s="17" t="n">
        <x:f>IF('Control Room'!$B$5="Normal",'Control Room'!$B$7+'Control Room'!$D$7*SQRT(-2*LN(MAX(0.000000000001,V176/2147483647)))*COS(2*PI()*W176/2147483647),'Control Room'!$B$8+('Control Room'!$D$8-'Control Room'!$B$8)*V176/2147483647)</x:f>
        <x:v>958.7374117819877</x:v>
      </x:c>
      <x:c r="Y176" s="17" t="n">
        <x:f>IF('Control Room'!$B$5="Normal",'Control Room'!$B$7,('Control Room'!$B$8+'Control Room'!$D$8)/2)+'Control Room'!$B$9*(Y175-IF('Control Room'!$B$5="Normal",'Control Room'!$B$7,('Control Room'!$B$8+'Control Room'!$D$8)/2))+SQRT(1-'Control Room'!$B$9^2)*(X176-IF('Control Room'!$B$5="Normal",'Control Room'!$B$7,('Control Room'!$B$8+'Control Room'!$D$8)/2))</x:f>
        <x:v>976.5761718722647</x:v>
      </x:c>
      <x:c r="Z176" s="17" t="n">
        <x:f>IF(AND($A176&gt;='Control Room'!$A$13,$A176&lt;'Control Room'!$A$13+'Control Room'!$B$13,'Process'!BO2=1),1+('Control Room'!$C$13-1)*EXP(-0.5*(($A176-'Control Room'!$A$13-('Control Room'!$B$13-1)/2)/MAX(0.5,'Control Room'!$B$13/4))^2),1)*IF(AND($A176&gt;='Control Room'!$A$14,$A176&lt;'Control Room'!$A$14+'Control Room'!$B$14,'Process'!BO3=1),1+('Control Room'!$C$14-1)*EXP(-0.5*(($A176-'Control Room'!$A$14-('Control Room'!$B$14-1)/2)/MAX(0.5,'Control Room'!$B$14/4))^2),1)*IF(AND($A176&gt;='Control Room'!$A$15,$A176&lt;'Control Room'!$A$15+'Control Room'!$B$15,'Process'!BO4=1),1+('Control Room'!$C$15-1)*EXP(-0.5*(($A176-'Control Room'!$A$15-('Control Room'!$B$15-1)/2)/MAX(0.5,'Control Room'!$B$15/4))^2),1)*IF(AND($A176&gt;='Control Room'!$A$16,$A176&lt;'Control Room'!$A$16+'Control Room'!$B$16,'Process'!BO5=1),1+('Control Room'!$C$16-1)*EXP(-0.5*(($A176-'Control Room'!$A$16-('Control Room'!$B$16-1)/2)/MAX(0.5,'Control Room'!$B$16/4))^2),1)</x:f>
        <x:v>1</x:v>
      </x:c>
      <x:c r="AA176" s="9" t="n">
        <x:f>MOD(AB175*16807,2147483647)</x:f>
        <x:v>1085714329</x:v>
      </x:c>
      <x:c r="AB176" s="9" t="n">
        <x:f>MOD(AA176*16807,2147483647)</x:f>
        <x:v>432178944</x:v>
      </x:c>
      <x:c r="AC176" s="17" t="n">
        <x:f>IF('Control Room'!$B$5="Normal",'Control Room'!$B$7+'Control Room'!$D$7*SQRT(-2*LN(MAX(0.000000000001,AA176/2147483647)))*COS(2*PI()*AB176/2147483647),'Control Room'!$B$8+('Control Room'!$D$8-'Control Room'!$B$8)*AA176/2147483647)</x:f>
        <x:v>1031.6970576001008</x:v>
      </x:c>
      <x:c r="AD176" s="17" t="n">
        <x:f>IF('Control Room'!$B$5="Normal",'Control Room'!$B$7,('Control Room'!$B$8+'Control Room'!$D$8)/2)+'Control Room'!$B$9*(AD175-IF('Control Room'!$B$5="Normal",'Control Room'!$B$7,('Control Room'!$B$8+'Control Room'!$D$8)/2))+SQRT(1-'Control Room'!$B$9^2)*(AC176-IF('Control Room'!$B$5="Normal",'Control Room'!$B$7,('Control Room'!$B$8+'Control Room'!$D$8)/2))</x:f>
        <x:v>1013.597442722967</x:v>
      </x:c>
      <x:c r="AE176" s="17" t="n">
        <x:f>IF(AND($A176&gt;='Control Room'!$A$13,$A176&lt;'Control Room'!$A$13+'Control Room'!$B$13,'Process'!BP2=1),1+('Control Room'!$C$13-1)*EXP(-0.5*(($A176-'Control Room'!$A$13-('Control Room'!$B$13-1)/2)/MAX(0.5,'Control Room'!$B$13/4))^2),1)*IF(AND($A176&gt;='Control Room'!$A$14,$A176&lt;'Control Room'!$A$14+'Control Room'!$B$14,'Process'!BP3=1),1+('Control Room'!$C$14-1)*EXP(-0.5*(($A176-'Control Room'!$A$14-('Control Room'!$B$14-1)/2)/MAX(0.5,'Control Room'!$B$14/4))^2),1)*IF(AND($A176&gt;='Control Room'!$A$15,$A176&lt;'Control Room'!$A$15+'Control Room'!$B$15,'Process'!BP4=1),1+('Control Room'!$C$15-1)*EXP(-0.5*(($A176-'Control Room'!$A$15-('Control Room'!$B$15-1)/2)/MAX(0.5,'Control Room'!$B$15/4))^2),1)*IF(AND($A176&gt;='Control Room'!$A$16,$A176&lt;'Control Room'!$A$16+'Control Room'!$B$16,'Process'!BP5=1),1+('Control Room'!$C$16-1)*EXP(-0.5*(($A176-'Control Room'!$A$16-('Control Room'!$B$16-1)/2)/MAX(0.5,'Control Room'!$B$16/4))^2),1)</x:f>
        <x:v>1</x:v>
      </x:c>
      <x:c r="AF176" s="9" t="n">
        <x:f>MOD(AG175*16807,2147483647)</x:f>
        <x:v>369904825</x:v>
      </x:c>
      <x:c r="AG176" s="9" t="n">
        <x:f>MOD(AF176*16807,2147483647)</x:f>
        <x:v>25235710</x:v>
      </x:c>
      <x:c r="AH176" s="17" t="n">
        <x:f>IF('Control Room'!$B$5="Normal",'Control Room'!$B$7+'Control Room'!$D$7*SQRT(-2*LN(MAX(0.000000000001,AF176/2147483647)))*COS(2*PI()*AG176/2147483647),'Control Room'!$B$8+('Control Room'!$D$8-'Control Room'!$B$8)*AF176/2147483647)</x:f>
        <x:v>1168.3377882109016</x:v>
      </x:c>
      <x:c r="AI176" s="17" t="n">
        <x:f>IF('Control Room'!$B$5="Normal",'Control Room'!$B$7,('Control Room'!$B$8+'Control Room'!$D$8)/2)+'Control Room'!$B$9*(AI175-IF('Control Room'!$B$5="Normal",'Control Room'!$B$7,('Control Room'!$B$8+'Control Room'!$D$8)/2))+SQRT(1-'Control Room'!$B$9^2)*(AH176-IF('Control Room'!$B$5="Normal",'Control Room'!$B$7,('Control Room'!$B$8+'Control Room'!$D$8)/2))</x:f>
        <x:v>1103.432556048282</x:v>
      </x:c>
      <x:c r="AJ176" s="17" t="n">
        <x:f>IF(AND($A176&gt;='Control Room'!$A$13,$A176&lt;'Control Room'!$A$13+'Control Room'!$B$13,'Process'!BQ2=1),1+('Control Room'!$C$13-1)*EXP(-0.5*(($A176-'Control Room'!$A$13-('Control Room'!$B$13-1)/2)/MAX(0.5,'Control Room'!$B$13/4))^2),1)*IF(AND($A176&gt;='Control Room'!$A$14,$A176&lt;'Control Room'!$A$14+'Control Room'!$B$14,'Process'!BQ3=1),1+('Control Room'!$C$14-1)*EXP(-0.5*(($A176-'Control Room'!$A$14-('Control Room'!$B$14-1)/2)/MAX(0.5,'Control Room'!$B$14/4))^2),1)*IF(AND($A176&gt;='Control Room'!$A$15,$A176&lt;'Control Room'!$A$15+'Control Room'!$B$15,'Process'!BQ4=1),1+('Control Room'!$C$15-1)*EXP(-0.5*(($A176-'Control Room'!$A$15-('Control Room'!$B$15-1)/2)/MAX(0.5,'Control Room'!$B$15/4))^2),1)*IF(AND($A176&gt;='Control Room'!$A$16,$A176&lt;'Control Room'!$A$16+'Control Room'!$B$16,'Process'!BQ5=1),1+('Control Room'!$C$16-1)*EXP(-0.5*(($A176-'Control Room'!$A$16-('Control Room'!$B$16-1)/2)/MAX(0.5,'Control Room'!$B$16/4))^2),1)</x:f>
        <x:v>1</x:v>
      </x:c>
      <x:c r="AK176" s="9" t="n">
        <x:f>MOD(AL175*16807,2147483647)</x:f>
        <x:v>1801578968</x:v>
      </x:c>
      <x:c r="AL176" s="9" t="n">
        <x:f>MOD(AK176*16807,2147483647)</x:f>
        <x:v>1765776123</x:v>
      </x:c>
      <x:c r="AM176" s="17" t="n">
        <x:f>IF('Control Room'!$B$5="Normal",'Control Room'!$B$7+'Control Room'!$D$7*SQRT(-2*LN(MAX(0.000000000001,AK176/2147483647)))*COS(2*PI()*AL176/2147483647),'Control Room'!$B$8+('Control Room'!$D$8-'Control Room'!$B$8)*AK176/2147483647)</x:f>
        <x:v>1023.392588480187</x:v>
      </x:c>
      <x:c r="AN176" s="17" t="n">
        <x:f>IF('Control Room'!$B$5="Normal",'Control Room'!$B$7,('Control Room'!$B$8+'Control Room'!$D$8)/2)+'Control Room'!$B$9*(AN175-IF('Control Room'!$B$5="Normal",'Control Room'!$B$7,('Control Room'!$B$8+'Control Room'!$D$8)/2))+SQRT(1-'Control Room'!$B$9^2)*(AM176-IF('Control Room'!$B$5="Normal",'Control Room'!$B$7,('Control Room'!$B$8+'Control Room'!$D$8)/2))</x:f>
        <x:v>1041.1311158382118</x:v>
      </x:c>
      <x:c r="AO176" s="17" t="n">
        <x:f>IF(AND($A176&gt;='Control Room'!$A$13,$A176&lt;'Control Room'!$A$13+'Control Room'!$B$13,'Process'!BR2=1),1+('Control Room'!$C$13-1)*EXP(-0.5*(($A176-'Control Room'!$A$13-('Control Room'!$B$13-1)/2)/MAX(0.5,'Control Room'!$B$13/4))^2),1)*IF(AND($A176&gt;='Control Room'!$A$14,$A176&lt;'Control Room'!$A$14+'Control Room'!$B$14,'Process'!BR3=1),1+('Control Room'!$C$14-1)*EXP(-0.5*(($A176-'Control Room'!$A$14-('Control Room'!$B$14-1)/2)/MAX(0.5,'Control Room'!$B$14/4))^2),1)*IF(AND($A176&gt;='Control Room'!$A$15,$A176&lt;'Control Room'!$A$15+'Control Room'!$B$15,'Process'!BR4=1),1+('Control Room'!$C$15-1)*EXP(-0.5*(($A176-'Control Room'!$A$15-('Control Room'!$B$15-1)/2)/MAX(0.5,'Control Room'!$B$15/4))^2),1)*IF(AND($A176&gt;='Control Room'!$A$16,$A176&lt;'Control Room'!$A$16+'Control Room'!$B$16,'Process'!BR5=1),1+('Control Room'!$C$16-1)*EXP(-0.5*(($A176-'Control Room'!$A$16-('Control Room'!$B$16-1)/2)/MAX(0.5,'Control Room'!$B$16/4))^2),1)</x:f>
        <x:v>1</x:v>
      </x:c>
      <x:c r="AP176" s="9" t="n">
        <x:f>MOD(AQ175*16807,2147483647)</x:f>
        <x:v>1085769464</x:v>
      </x:c>
      <x:c r="AQ176" s="9" t="n">
        <x:f>MOD(AP176*16807,2147483647)</x:f>
        <x:v>1358832889</x:v>
      </x:c>
      <x:c r="AR176" s="17" t="n">
        <x:f>IF('Control Room'!$B$5="Normal",'Control Room'!$B$7+'Control Room'!$D$7*SQRT(-2*LN(MAX(0.000000000001,AP176/2147483647)))*COS(2*PI()*AQ176/2147483647),'Control Room'!$B$8+('Control Room'!$D$8-'Control Room'!$B$8)*AP176/2147483647)</x:f>
        <x:v>929.3834065085024</x:v>
      </x:c>
      <x:c r="AS176" s="17" t="n">
        <x:f>IF('Control Room'!$B$5="Normal",'Control Room'!$B$7,('Control Room'!$B$8+'Control Room'!$D$8)/2)+'Control Room'!$B$9*(AS175-IF('Control Room'!$B$5="Normal",'Control Room'!$B$7,('Control Room'!$B$8+'Control Room'!$D$8)/2))+SQRT(1-'Control Room'!$B$9^2)*(AR176-IF('Control Room'!$B$5="Normal",'Control Room'!$B$7,('Control Room'!$B$8+'Control Room'!$D$8)/2))</x:f>
        <x:v>964.5413067570189</x:v>
      </x:c>
      <x:c r="AT176" s="17" t="n">
        <x:f>IF(AND($A176&gt;='Control Room'!$A$13,$A176&lt;'Control Room'!$A$13+'Control Room'!$B$13,'Process'!BS2=1),1+('Control Room'!$C$13-1)*EXP(-0.5*(($A176-'Control Room'!$A$13-('Control Room'!$B$13-1)/2)/MAX(0.5,'Control Room'!$B$13/4))^2),1)*IF(AND($A176&gt;='Control Room'!$A$14,$A176&lt;'Control Room'!$A$14+'Control Room'!$B$14,'Process'!BS3=1),1+('Control Room'!$C$14-1)*EXP(-0.5*(($A176-'Control Room'!$A$14-('Control Room'!$B$14-1)/2)/MAX(0.5,'Control Room'!$B$14/4))^2),1)*IF(AND($A176&gt;='Control Room'!$A$15,$A176&lt;'Control Room'!$A$15+'Control Room'!$B$15,'Process'!BS4=1),1+('Control Room'!$C$15-1)*EXP(-0.5*(($A176-'Control Room'!$A$15-('Control Room'!$B$15-1)/2)/MAX(0.5,'Control Room'!$B$15/4))^2),1)*IF(AND($A176&gt;='Control Room'!$A$16,$A176&lt;'Control Room'!$A$16+'Control Room'!$B$16,'Process'!BS5=1),1+('Control Room'!$C$16-1)*EXP(-0.5*(($A176-'Control Room'!$A$16-('Control Room'!$B$16-1)/2)/MAX(0.5,'Control Room'!$B$16/4))^2),1)</x:f>
        <x:v>1</x:v>
      </x:c>
      <x:c r="AU176" s="9" t="n">
        <x:f>MOD(AV175*16807,2147483647)</x:f>
        <x:v>369959960</x:v>
      </x:c>
      <x:c r="AV176" s="9" t="n">
        <x:f>MOD(AU176*16807,2147483647)</x:f>
        <x:v>951889655</x:v>
      </x:c>
      <x:c r="AW176" s="17" t="n">
        <x:f>IF('Control Room'!$B$5="Normal",'Control Room'!$B$7+'Control Room'!$D$7*SQRT(-2*LN(MAX(0.000000000001,AU176/2147483647)))*COS(2*PI()*AV176/2147483647),'Control Room'!$B$8+('Control Room'!$D$8-'Control Room'!$B$8)*AU176/2147483647)</x:f>
        <x:v>841.8234702022216</x:v>
      </x:c>
      <x:c r="AX176" s="17" t="n">
        <x:f>IF('Control Room'!$B$5="Normal",'Control Room'!$B$7,('Control Room'!$B$8+'Control Room'!$D$8)/2)+'Control Room'!$B$9*(AX175-IF('Control Room'!$B$5="Normal",'Control Room'!$B$7,('Control Room'!$B$8+'Control Room'!$D$8)/2))+SQRT(1-'Control Room'!$B$9^2)*(AW176-IF('Control Room'!$B$5="Normal",'Control Room'!$B$7,('Control Room'!$B$8+'Control Room'!$D$8)/2))</x:f>
        <x:v>1053.336585543228</x:v>
      </x:c>
      <x:c r="AY176" s="17" t="n">
        <x:f>IF(AND($A176&gt;='Control Room'!$A$13,$A176&lt;'Control Room'!$A$13+'Control Room'!$B$13,'Process'!BT2=1),1+('Control Room'!$C$13-1)*EXP(-0.5*(($A176-'Control Room'!$A$13-('Control Room'!$B$13-1)/2)/MAX(0.5,'Control Room'!$B$13/4))^2),1)*IF(AND($A176&gt;='Control Room'!$A$14,$A176&lt;'Control Room'!$A$14+'Control Room'!$B$14,'Process'!BT3=1),1+('Control Room'!$C$14-1)*EXP(-0.5*(($A176-'Control Room'!$A$14-('Control Room'!$B$14-1)/2)/MAX(0.5,'Control Room'!$B$14/4))^2),1)*IF(AND($A176&gt;='Control Room'!$A$15,$A176&lt;'Control Room'!$A$15+'Control Room'!$B$15,'Process'!BT4=1),1+('Control Room'!$C$15-1)*EXP(-0.5*(($A176-'Control Room'!$A$15-('Control Room'!$B$15-1)/2)/MAX(0.5,'Control Room'!$B$15/4))^2),1)*IF(AND($A176&gt;='Control Room'!$A$16,$A176&lt;'Control Room'!$A$16+'Control Room'!$B$16,'Process'!BT5=1),1+('Control Room'!$C$16-1)*EXP(-0.5*(($A176-'Control Room'!$A$16-('Control Room'!$B$16-1)/2)/MAX(0.5,'Control Room'!$B$16/4))^2),1)</x:f>
        <x:v>1</x:v>
      </x:c>
      <x:c r="AZ176" s="9" t="n">
        <x:f>MOD(BA175*16807,2147483647)</x:f>
        <x:v>1801634103</x:v>
      </x:c>
      <x:c r="BA176" s="9" t="n">
        <x:f>MOD(AZ176*16807,2147483647)</x:f>
        <x:v>544946421</x:v>
      </x:c>
      <x:c r="BB176" s="17" t="n">
        <x:f>IF('Control Room'!$B$5="Normal",'Control Room'!$B$7+'Control Room'!$D$7*SQRT(-2*LN(MAX(0.000000000001,AZ176/2147483647)))*COS(2*PI()*BA176/2147483647),'Control Room'!$B$8+('Control Room'!$D$8-'Control Room'!$B$8)*AZ176/2147483647)</x:f>
        <x:v>998.7399070559649</x:v>
      </x:c>
      <x:c r="BC176" s="17" t="n">
        <x:f>IF('Control Room'!$B$5="Normal",'Control Room'!$B$7,('Control Room'!$B$8+'Control Room'!$D$8)/2)+'Control Room'!$B$9*(BC175-IF('Control Room'!$B$5="Normal",'Control Room'!$B$7,('Control Room'!$B$8+'Control Room'!$D$8)/2))+SQRT(1-'Control Room'!$B$9^2)*(BB176-IF('Control Room'!$B$5="Normal",'Control Room'!$B$7,('Control Room'!$B$8+'Control Room'!$D$8)/2))</x:f>
        <x:v>1074.249633438083</x:v>
      </x:c>
      <x:c r="BD176" s="17" t="n">
        <x:f>IF(AND($A176&gt;='Control Room'!$A$13,$A176&lt;'Control Room'!$A$13+'Control Room'!$B$13,'Process'!BU2=1),1+('Control Room'!$C$13-1)*EXP(-0.5*(($A176-'Control Room'!$A$13-('Control Room'!$B$13-1)/2)/MAX(0.5,'Control Room'!$B$13/4))^2),1)*IF(AND($A176&gt;='Control Room'!$A$14,$A176&lt;'Control Room'!$A$14+'Control Room'!$B$14,'Process'!BU3=1),1+('Control Room'!$C$14-1)*EXP(-0.5*(($A176-'Control Room'!$A$14-('Control Room'!$B$14-1)/2)/MAX(0.5,'Control Room'!$B$14/4))^2),1)*IF(AND($A176&gt;='Control Room'!$A$15,$A176&lt;'Control Room'!$A$15+'Control Room'!$B$15,'Process'!BU4=1),1+('Control Room'!$C$15-1)*EXP(-0.5*(($A176-'Control Room'!$A$15-('Control Room'!$B$15-1)/2)/MAX(0.5,'Control Room'!$B$15/4))^2),1)*IF(AND($A176&gt;='Control Room'!$A$16,$A176&lt;'Control Room'!$A$16+'Control Room'!$B$16,'Process'!BU5=1),1+('Control Room'!$C$16-1)*EXP(-0.5*(($A176-'Control Room'!$A$16-('Control Room'!$B$16-1)/2)/MAX(0.5,'Control Room'!$B$16/4))^2),1)</x:f>
        <x:v>1</x:v>
      </x:c>
      <x:c r="BE176" s="9" t="n">
        <x:f>MOD(BF175*16807,2147483647)</x:f>
        <x:v>1085824599</x:v>
      </x:c>
      <x:c r="BF176" s="9" t="n">
        <x:f>MOD(BE176*16807,2147483647)</x:f>
        <x:v>138003187</x:v>
      </x:c>
      <x:c r="BG176" s="17" t="n">
        <x:f>IF('Control Room'!$B$5="Normal",'Control Room'!$B$7+'Control Room'!$D$7*SQRT(-2*LN(MAX(0.000000000001,BE176/2147483647)))*COS(2*PI()*BF176/2147483647),'Control Room'!$B$8+('Control Room'!$D$8-'Control Room'!$B$8)*BE176/2147483647)</x:f>
        <x:v>1096.6557426079537</x:v>
      </x:c>
      <x:c r="BH176" s="17" t="n">
        <x:f>IF('Control Room'!$B$5="Normal",'Control Room'!$B$7,('Control Room'!$B$8+'Control Room'!$D$8)/2)+'Control Room'!$B$9*(BH175-IF('Control Room'!$B$5="Normal",'Control Room'!$B$7,('Control Room'!$B$8+'Control Room'!$D$8)/2))+SQRT(1-'Control Room'!$B$9^2)*(BG176-IF('Control Room'!$B$5="Normal",'Control Room'!$B$7,('Control Room'!$B$8+'Control Room'!$D$8)/2))</x:f>
        <x:v>1069.3030020263377</x:v>
      </x:c>
      <x:c r="BI176" s="17" t="n">
        <x:f>IF(AND($A176&gt;='Control Room'!$A$13,$A176&lt;'Control Room'!$A$13+'Control Room'!$B$13,'Process'!BV2=1),1+('Control Room'!$C$13-1)*EXP(-0.5*(($A176-'Control Room'!$A$13-('Control Room'!$B$13-1)/2)/MAX(0.5,'Control Room'!$B$13/4))^2),1)*IF(AND($A176&gt;='Control Room'!$A$14,$A176&lt;'Control Room'!$A$14+'Control Room'!$B$14,'Process'!BV3=1),1+('Control Room'!$C$14-1)*EXP(-0.5*(($A176-'Control Room'!$A$14-('Control Room'!$B$14-1)/2)/MAX(0.5,'Control Room'!$B$14/4))^2),1)*IF(AND($A176&gt;='Control Room'!$A$15,$A176&lt;'Control Room'!$A$15+'Control Room'!$B$15,'Process'!BV4=1),1+('Control Room'!$C$15-1)*EXP(-0.5*(($A176-'Control Room'!$A$15-('Control Room'!$B$15-1)/2)/MAX(0.5,'Control Room'!$B$15/4))^2),1)*IF(AND($A176&gt;='Control Room'!$A$16,$A176&lt;'Control Room'!$A$16+'Control Room'!$B$16,'Process'!BV5=1),1+('Control Room'!$C$16-1)*EXP(-0.5*(($A176-'Control Room'!$A$16-('Control Room'!$B$16-1)/2)/MAX(0.5,'Control Room'!$B$16/4))^2),1)</x:f>
        <x:v>1</x:v>
      </x:c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Z176" t="str">
        <x:f>IF('Data'!A176="","",TEXT('Data'!A176,"mm-dd"))</x:f>
      </x:c>
    </x:row>
    <x:row r="177" ht="21" customHeight="1">
      <x:c r="A177" s="15" t="n">
        <x:f>'Control Room'!$B$1+175</x:f>
        <x:v>73166</x:v>
      </x:c>
      <x:c r="B177" s="9" t="n">
        <x:f>MOD(C176*16807,2147483647)</x:f>
        <x:v>1786892016</x:v>
      </x:c>
      <x:c r="C177" s="9" t="n">
        <x:f>MOD(B177*16807,2147483647)</x:f>
        <x:v>1882793264</x:v>
      </x:c>
      <x:c r="D177" s="17" t="n">
        <x:f>IF('Control Room'!$B$5="Normal",'Control Room'!$B$7+'Control Room'!$D$7*SQRT(-2*LN(MAX(0.000000000001,B177/2147483647)))*COS(2*PI()*C177/2147483647),'Control Room'!$B$8+('Control Room'!$D$8-'Control Room'!$B$8)*B177/2147483647)</x:f>
        <x:v>1039.0071890329004</x:v>
      </x:c>
      <x:c r="E177" s="17" t="n">
        <x:f>IF('Control Room'!$B$5="Normal",'Control Room'!$B$7,('Control Room'!$B$8+'Control Room'!$D$8)/2)+'Control Room'!$B$9*(E176-IF('Control Room'!$B$5="Normal",'Control Room'!$B$7,('Control Room'!$B$8+'Control Room'!$D$8)/2))+SQRT(1-'Control Room'!$B$9^2)*(D177-IF('Control Room'!$B$5="Normal",'Control Room'!$B$7,('Control Room'!$B$8+'Control Room'!$D$8)/2))</x:f>
        <x:v>1091.442506666661</x:v>
      </x:c>
      <x:c r="F177" s="17" t="n">
        <x:f>IF(AND($A177&gt;='Control Room'!$A$13,$A177&lt;'Control Room'!$A$13+'Control Room'!$B$13,'Process'!BK2=1),1+('Control Room'!$C$13-1)*EXP(-0.5*(($A177-'Control Room'!$A$13-('Control Room'!$B$13-1)/2)/MAX(0.5,'Control Room'!$B$13/4))^2),1)*IF(AND($A177&gt;='Control Room'!$A$14,$A177&lt;'Control Room'!$A$14+'Control Room'!$B$14,'Process'!BK3=1),1+('Control Room'!$C$14-1)*EXP(-0.5*(($A177-'Control Room'!$A$14-('Control Room'!$B$14-1)/2)/MAX(0.5,'Control Room'!$B$14/4))^2),1)*IF(AND($A177&gt;='Control Room'!$A$15,$A177&lt;'Control Room'!$A$15+'Control Room'!$B$15,'Process'!BK4=1),1+('Control Room'!$C$15-1)*EXP(-0.5*(($A177-'Control Room'!$A$15-('Control Room'!$B$15-1)/2)/MAX(0.5,'Control Room'!$B$15/4))^2),1)*IF(AND($A177&gt;='Control Room'!$A$16,$A177&lt;'Control Room'!$A$16+'Control Room'!$B$16,'Process'!BK5=1),1+('Control Room'!$C$16-1)*EXP(-0.5*(($A177-'Control Room'!$A$16-('Control Room'!$B$16-1)/2)/MAX(0.5,'Control Room'!$B$16/4))^2),1)</x:f>
        <x:v>1</x:v>
      </x:c>
      <x:c r="G177" s="9" t="n">
        <x:f>MOD(H176*16807,2147483647)</x:f>
        <x:v>2027373873</x:v>
      </x:c>
      <x:c r="H177" s="9" t="n">
        <x:f>MOD(G177*16807,2147483647)</x:f>
        <x:v>2097140209</x:v>
      </x:c>
      <x:c r="I177" s="17" t="n">
        <x:f>IF('Control Room'!$B$5="Normal",'Control Room'!$B$7+'Control Room'!$D$7*SQRT(-2*LN(MAX(0.000000000001,G177/2147483647)))*COS(2*PI()*H177/2147483647),'Control Room'!$B$8+('Control Room'!$D$8-'Control Room'!$B$8)*G177/2147483647)</x:f>
        <x:v>1030.20454899337</x:v>
      </x:c>
      <x:c r="J177" s="17" t="n">
        <x:f>IF('Control Room'!$B$5="Normal",'Control Room'!$B$7,('Control Room'!$B$8+'Control Room'!$D$8)/2)+'Control Room'!$B$9*(J176-IF('Control Room'!$B$5="Normal",'Control Room'!$B$7,('Control Room'!$B$8+'Control Room'!$D$8)/2))+SQRT(1-'Control Room'!$B$9^2)*(I177-IF('Control Room'!$B$5="Normal",'Control Room'!$B$7,('Control Room'!$B$8+'Control Room'!$D$8)/2))</x:f>
        <x:v>1033.212999197328</x:v>
      </x:c>
      <x:c r="K177" s="17" t="n">
        <x:f>IF(AND($A177&gt;='Control Room'!$A$13,$A177&lt;'Control Room'!$A$13+'Control Room'!$B$13,'Process'!BL2=1),1+('Control Room'!$C$13-1)*EXP(-0.5*(($A177-'Control Room'!$A$13-('Control Room'!$B$13-1)/2)/MAX(0.5,'Control Room'!$B$13/4))^2),1)*IF(AND($A177&gt;='Control Room'!$A$14,$A177&lt;'Control Room'!$A$14+'Control Room'!$B$14,'Process'!BL3=1),1+('Control Room'!$C$14-1)*EXP(-0.5*(($A177-'Control Room'!$A$14-('Control Room'!$B$14-1)/2)/MAX(0.5,'Control Room'!$B$14/4))^2),1)*IF(AND($A177&gt;='Control Room'!$A$15,$A177&lt;'Control Room'!$A$15+'Control Room'!$B$15,'Process'!BL4=1),1+('Control Room'!$C$15-1)*EXP(-0.5*(($A177-'Control Room'!$A$15-('Control Room'!$B$15-1)/2)/MAX(0.5,'Control Room'!$B$15/4))^2),1)*IF(AND($A177&gt;='Control Room'!$A$16,$A177&lt;'Control Room'!$A$16+'Control Room'!$B$16,'Process'!BL5=1),1+('Control Room'!$C$16-1)*EXP(-0.5*(($A177-'Control Room'!$A$16-('Control Room'!$B$16-1)/2)/MAX(0.5,'Control Room'!$B$16/4))^2),1)</x:f>
        <x:v>1</x:v>
      </x:c>
      <x:c r="L177" s="9" t="n">
        <x:f>MOD(M176*16807,2147483647)</x:f>
        <x:v>120372083</x:v>
      </x:c>
      <x:c r="M177" s="9" t="n">
        <x:f>MOD(L177*16807,2147483647)</x:f>
        <x:v>164003507</x:v>
      </x:c>
      <x:c r="N177" s="17" t="n">
        <x:f>IF('Control Room'!$B$5="Normal",'Control Room'!$B$7+'Control Room'!$D$7*SQRT(-2*LN(MAX(0.000000000001,L177/2147483647)))*COS(2*PI()*M177/2147483647),'Control Room'!$B$8+('Control Room'!$D$8-'Control Room'!$B$8)*L177/2147483647)</x:f>
        <x:v>1191.6548300160828</x:v>
      </x:c>
      <x:c r="O177" s="17" t="n">
        <x:f>IF('Control Room'!$B$5="Normal",'Control Room'!$B$7,('Control Room'!$B$8+'Control Room'!$D$8)/2)+'Control Room'!$B$9*(O176-IF('Control Room'!$B$5="Normal",'Control Room'!$B$7,('Control Room'!$B$8+'Control Room'!$D$8)/2))+SQRT(1-'Control Room'!$B$9^2)*(N177-IF('Control Room'!$B$5="Normal",'Control Room'!$B$7,('Control Room'!$B$8+'Control Room'!$D$8)/2))</x:f>
        <x:v>1103.731922046729</x:v>
      </x:c>
      <x:c r="P177" s="17" t="n">
        <x:f>IF(AND($A177&gt;='Control Room'!$A$13,$A177&lt;'Control Room'!$A$13+'Control Room'!$B$13,'Process'!BM2=1),1+('Control Room'!$C$13-1)*EXP(-0.5*(($A177-'Control Room'!$A$13-('Control Room'!$B$13-1)/2)/MAX(0.5,'Control Room'!$B$13/4))^2),1)*IF(AND($A177&gt;='Control Room'!$A$14,$A177&lt;'Control Room'!$A$14+'Control Room'!$B$14,'Process'!BM3=1),1+('Control Room'!$C$14-1)*EXP(-0.5*(($A177-'Control Room'!$A$14-('Control Room'!$B$14-1)/2)/MAX(0.5,'Control Room'!$B$14/4))^2),1)*IF(AND($A177&gt;='Control Room'!$A$15,$A177&lt;'Control Room'!$A$15+'Control Room'!$B$15,'Process'!BM4=1),1+('Control Room'!$C$15-1)*EXP(-0.5*(($A177-'Control Room'!$A$15-('Control Room'!$B$15-1)/2)/MAX(0.5,'Control Room'!$B$15/4))^2),1)*IF(AND($A177&gt;='Control Room'!$A$16,$A177&lt;'Control Room'!$A$16+'Control Room'!$B$16,'Process'!BM5=1),1+('Control Room'!$C$16-1)*EXP(-0.5*(($A177-'Control Room'!$A$16-('Control Room'!$B$16-1)/2)/MAX(0.5,'Control Room'!$B$16/4))^2),1)</x:f>
        <x:v>1</x:v>
      </x:c>
      <x:c r="Q177" s="9" t="n">
        <x:f>MOD(R176*16807,2147483647)</x:f>
        <x:v>360853940</x:v>
      </x:c>
      <x:c r="R177" s="9" t="n">
        <x:f>MOD(Q177*16807,2147483647)</x:f>
        <x:v>378350452</x:v>
      </x:c>
      <x:c r="S177" s="17" t="n">
        <x:f>IF('Control Room'!$B$5="Normal",'Control Room'!$B$7+'Control Room'!$D$7*SQRT(-2*LN(MAX(0.000000000001,Q177/2147483647)))*COS(2*PI()*R177/2147483647),'Control Room'!$B$8+('Control Room'!$D$8-'Control Room'!$B$8)*Q177/2147483647)</x:f>
        <x:v>1076.0422991957585</x:v>
      </x:c>
      <x:c r="T177" s="17" t="n">
        <x:f>IF('Control Room'!$B$5="Normal",'Control Room'!$B$7,('Control Room'!$B$8+'Control Room'!$D$8)/2)+'Control Room'!$B$9*(T176-IF('Control Room'!$B$5="Normal",'Control Room'!$B$7,('Control Room'!$B$8+'Control Room'!$D$8)/2))+SQRT(1-'Control Room'!$B$9^2)*(S177-IF('Control Room'!$B$5="Normal",'Control Room'!$B$7,('Control Room'!$B$8+'Control Room'!$D$8)/2))</x:f>
        <x:v>1039.952357860865</x:v>
      </x:c>
      <x:c r="U177" s="17" t="n">
        <x:f>IF(AND($A177&gt;='Control Room'!$A$13,$A177&lt;'Control Room'!$A$13+'Control Room'!$B$13,'Process'!BN2=1),1+('Control Room'!$C$13-1)*EXP(-0.5*(($A177-'Control Room'!$A$13-('Control Room'!$B$13-1)/2)/MAX(0.5,'Control Room'!$B$13/4))^2),1)*IF(AND($A177&gt;='Control Room'!$A$14,$A177&lt;'Control Room'!$A$14+'Control Room'!$B$14,'Process'!BN3=1),1+('Control Room'!$C$14-1)*EXP(-0.5*(($A177-'Control Room'!$A$14-('Control Room'!$B$14-1)/2)/MAX(0.5,'Control Room'!$B$14/4))^2),1)*IF(AND($A177&gt;='Control Room'!$A$15,$A177&lt;'Control Room'!$A$15+'Control Room'!$B$15,'Process'!BN4=1),1+('Control Room'!$C$15-1)*EXP(-0.5*(($A177-'Control Room'!$A$15-('Control Room'!$B$15-1)/2)/MAX(0.5,'Control Room'!$B$15/4))^2),1)*IF(AND($A177&gt;='Control Room'!$A$16,$A177&lt;'Control Room'!$A$16+'Control Room'!$B$16,'Process'!BN5=1),1+('Control Room'!$C$16-1)*EXP(-0.5*(($A177-'Control Room'!$A$16-('Control Room'!$B$16-1)/2)/MAX(0.5,'Control Room'!$B$16/4))^2),1)</x:f>
        <x:v>1</x:v>
      </x:c>
      <x:c r="V177" s="9" t="n">
        <x:f>MOD(W176*16807,2147483647)</x:f>
        <x:v>601335797</x:v>
      </x:c>
      <x:c r="W177" s="9" t="n">
        <x:f>MOD(V177*16807,2147483647)</x:f>
        <x:v>592697397</x:v>
      </x:c>
      <x:c r="X177" s="17" t="n">
        <x:f>IF('Control Room'!$B$5="Normal",'Control Room'!$B$7+'Control Room'!$D$7*SQRT(-2*LN(MAX(0.000000000001,V177/2147483647)))*COS(2*PI()*W177/2147483647),'Control Room'!$B$8+('Control Room'!$D$8-'Control Room'!$B$8)*V177/2147483647)</x:f>
        <x:v>976.6486588262758</x:v>
      </x:c>
      <x:c r="Y177" s="17" t="n">
        <x:f>IF('Control Room'!$B$5="Normal",'Control Room'!$B$7,('Control Room'!$B$8+'Control Room'!$D$8)/2)+'Control Room'!$B$9*(Y176-IF('Control Room'!$B$5="Normal",'Control Room'!$B$7,('Control Room'!$B$8+'Control Room'!$D$8)/2))+SQRT(1-'Control Room'!$B$9^2)*(X177-IF('Control Room'!$B$5="Normal",'Control Room'!$B$7,('Control Room'!$B$8+'Control Room'!$D$8)/2))</x:f>
        <x:v>967.116623132076</x:v>
      </x:c>
      <x:c r="Z177" s="17" t="n">
        <x:f>IF(AND($A177&gt;='Control Room'!$A$13,$A177&lt;'Control Room'!$A$13+'Control Room'!$B$13,'Process'!BO2=1),1+('Control Room'!$C$13-1)*EXP(-0.5*(($A177-'Control Room'!$A$13-('Control Room'!$B$13-1)/2)/MAX(0.5,'Control Room'!$B$13/4))^2),1)*IF(AND($A177&gt;='Control Room'!$A$14,$A177&lt;'Control Room'!$A$14+'Control Room'!$B$14,'Process'!BO3=1),1+('Control Room'!$C$14-1)*EXP(-0.5*(($A177-'Control Room'!$A$14-('Control Room'!$B$14-1)/2)/MAX(0.5,'Control Room'!$B$14/4))^2),1)*IF(AND($A177&gt;='Control Room'!$A$15,$A177&lt;'Control Room'!$A$15+'Control Room'!$B$15,'Process'!BO4=1),1+('Control Room'!$C$15-1)*EXP(-0.5*(($A177-'Control Room'!$A$15-('Control Room'!$B$15-1)/2)/MAX(0.5,'Control Room'!$B$15/4))^2),1)*IF(AND($A177&gt;='Control Room'!$A$16,$A177&lt;'Control Room'!$A$16+'Control Room'!$B$16,'Process'!BO5=1),1+('Control Room'!$C$16-1)*EXP(-0.5*(($A177-'Control Room'!$A$16-('Control Room'!$B$16-1)/2)/MAX(0.5,'Control Room'!$B$16/4))^2),1)</x:f>
        <x:v>1</x:v>
      </x:c>
      <x:c r="AA177" s="9" t="n">
        <x:f>MOD(AB176*16807,2147483647)</x:f>
        <x:v>841817654</x:v>
      </x:c>
      <x:c r="AB177" s="9" t="n">
        <x:f>MOD(AA177*16807,2147483647)</x:f>
        <x:v>807044342</x:v>
      </x:c>
      <x:c r="AC177" s="17" t="n">
        <x:f>IF('Control Room'!$B$5="Normal",'Control Room'!$B$7+'Control Room'!$D$7*SQRT(-2*LN(MAX(0.000000000001,AA177/2147483647)))*COS(2*PI()*AB177/2147483647),'Control Room'!$B$8+('Control Room'!$D$8-'Control Room'!$B$8)*AA177/2147483647)</x:f>
        <x:v>912.463139357448</x:v>
      </x:c>
      <x:c r="AD177" s="17" t="n">
        <x:f>IF('Control Room'!$B$5="Normal",'Control Room'!$B$7,('Control Room'!$B$8+'Control Room'!$D$8)/2)+'Control Room'!$B$9*(AD176-IF('Control Room'!$B$5="Normal",'Control Room'!$B$7,('Control Room'!$B$8+'Control Room'!$D$8)/2))+SQRT(1-'Control Room'!$B$9^2)*(AC177-IF('Control Room'!$B$5="Normal",'Control Room'!$B$7,('Control Room'!$B$8+'Control Room'!$D$8)/2))</x:f>
        <x:v>955.8272312238695</x:v>
      </x:c>
      <x:c r="AE177" s="17" t="n">
        <x:f>IF(AND($A177&gt;='Control Room'!$A$13,$A177&lt;'Control Room'!$A$13+'Control Room'!$B$13,'Process'!BP2=1),1+('Control Room'!$C$13-1)*EXP(-0.5*(($A177-'Control Room'!$A$13-('Control Room'!$B$13-1)/2)/MAX(0.5,'Control Room'!$B$13/4))^2),1)*IF(AND($A177&gt;='Control Room'!$A$14,$A177&lt;'Control Room'!$A$14+'Control Room'!$B$14,'Process'!BP3=1),1+('Control Room'!$C$14-1)*EXP(-0.5*(($A177-'Control Room'!$A$14-('Control Room'!$B$14-1)/2)/MAX(0.5,'Control Room'!$B$14/4))^2),1)*IF(AND($A177&gt;='Control Room'!$A$15,$A177&lt;'Control Room'!$A$15+'Control Room'!$B$15,'Process'!BP4=1),1+('Control Room'!$C$15-1)*EXP(-0.5*(($A177-'Control Room'!$A$15-('Control Room'!$B$15-1)/2)/MAX(0.5,'Control Room'!$B$15/4))^2),1)*IF(AND($A177&gt;='Control Room'!$A$16,$A177&lt;'Control Room'!$A$16+'Control Room'!$B$16,'Process'!BP5=1),1+('Control Room'!$C$16-1)*EXP(-0.5*(($A177-'Control Room'!$A$16-('Control Room'!$B$16-1)/2)/MAX(0.5,'Control Room'!$B$16/4))^2),1)</x:f>
        <x:v>1</x:v>
      </x:c>
      <x:c r="AF177" s="9" t="n">
        <x:f>MOD(AG176*16807,2147483647)</x:f>
        <x:v>1082299511</x:v>
      </x:c>
      <x:c r="AG177" s="9" t="n">
        <x:f>MOD(AF177*16807,2147483647)</x:f>
        <x:v>1021391287</x:v>
      </x:c>
      <x:c r="AH177" s="17" t="n">
        <x:f>IF('Control Room'!$B$5="Normal",'Control Room'!$B$7+'Control Room'!$D$7*SQRT(-2*LN(MAX(0.000000000001,AF177/2147483647)))*COS(2*PI()*AG177/2147483647),'Control Room'!$B$8+('Control Room'!$D$8-'Control Room'!$B$8)*AF177/2147483647)</x:f>
        <x:v>895.8751262551541</x:v>
      </x:c>
      <x:c r="AI177" s="17" t="n">
        <x:f>IF('Control Room'!$B$5="Normal",'Control Room'!$B$7,('Control Room'!$B$8+'Control Room'!$D$8)/2)+'Control Room'!$B$9*(AI176-IF('Control Room'!$B$5="Normal",'Control Room'!$B$7,('Control Room'!$B$8+'Control Room'!$D$8)/2))+SQRT(1-'Control Room'!$B$9^2)*(AH177-IF('Control Room'!$B$5="Normal",'Control Room'!$B$7,('Control Room'!$B$8+'Control Room'!$D$8)/2))</x:f>
        <x:v>1015.5181808421191</x:v>
      </x:c>
      <x:c r="AJ177" s="17" t="n">
        <x:f>IF(AND($A177&gt;='Control Room'!$A$13,$A177&lt;'Control Room'!$A$13+'Control Room'!$B$13,'Process'!BQ2=1),1+('Control Room'!$C$13-1)*EXP(-0.5*(($A177-'Control Room'!$A$13-('Control Room'!$B$13-1)/2)/MAX(0.5,'Control Room'!$B$13/4))^2),1)*IF(AND($A177&gt;='Control Room'!$A$14,$A177&lt;'Control Room'!$A$14+'Control Room'!$B$14,'Process'!BQ3=1),1+('Control Room'!$C$14-1)*EXP(-0.5*(($A177-'Control Room'!$A$14-('Control Room'!$B$14-1)/2)/MAX(0.5,'Control Room'!$B$14/4))^2),1)*IF(AND($A177&gt;='Control Room'!$A$15,$A177&lt;'Control Room'!$A$15+'Control Room'!$B$15,'Process'!BQ4=1),1+('Control Room'!$C$15-1)*EXP(-0.5*(($A177-'Control Room'!$A$15-('Control Room'!$B$15-1)/2)/MAX(0.5,'Control Room'!$B$15/4))^2),1)*IF(AND($A177&gt;='Control Room'!$A$16,$A177&lt;'Control Room'!$A$16+'Control Room'!$B$16,'Process'!BQ5=1),1+('Control Room'!$C$16-1)*EXP(-0.5*(($A177-'Control Room'!$A$16-('Control Room'!$B$16-1)/2)/MAX(0.5,'Control Room'!$B$16/4))^2),1)</x:f>
        <x:v>1</x:v>
      </x:c>
      <x:c r="AK177" s="9" t="n">
        <x:f>MOD(AL176*16807,2147483647)</x:f>
        <x:v>1322781368</x:v>
      </x:c>
      <x:c r="AL177" s="9" t="n">
        <x:f>MOD(AK177*16807,2147483647)</x:f>
        <x:v>1235738232</x:v>
      </x:c>
      <x:c r="AM177" s="17" t="n">
        <x:f>IF('Control Room'!$B$5="Normal",'Control Room'!$B$7+'Control Room'!$D$7*SQRT(-2*LN(MAX(0.000000000001,AK177/2147483647)))*COS(2*PI()*AL177/2147483647),'Control Room'!$B$8+('Control Room'!$D$8-'Control Room'!$B$8)*AK177/2147483647)</x:f>
        <x:v>921.1676012599295</x:v>
      </x:c>
      <x:c r="AN177" s="17" t="n">
        <x:f>IF('Control Room'!$B$5="Normal",'Control Room'!$B$7,('Control Room'!$B$8+'Control Room'!$D$8)/2)+'Control Room'!$B$9*(AN176-IF('Control Room'!$B$5="Normal",'Control Room'!$B$7,('Control Room'!$B$8+'Control Room'!$D$8)/2))+SQRT(1-'Control Room'!$B$9^2)*(AM177-IF('Control Room'!$B$5="Normal",'Control Room'!$B$7,('Control Room'!$B$8+'Control Room'!$D$8)/2))</x:f>
        <x:v>982.7505701917386</x:v>
      </x:c>
      <x:c r="AO177" s="17" t="n">
        <x:f>IF(AND($A177&gt;='Control Room'!$A$13,$A177&lt;'Control Room'!$A$13+'Control Room'!$B$13,'Process'!BR2=1),1+('Control Room'!$C$13-1)*EXP(-0.5*(($A177-'Control Room'!$A$13-('Control Room'!$B$13-1)/2)/MAX(0.5,'Control Room'!$B$13/4))^2),1)*IF(AND($A177&gt;='Control Room'!$A$14,$A177&lt;'Control Room'!$A$14+'Control Room'!$B$14,'Process'!BR3=1),1+('Control Room'!$C$14-1)*EXP(-0.5*(($A177-'Control Room'!$A$14-('Control Room'!$B$14-1)/2)/MAX(0.5,'Control Room'!$B$14/4))^2),1)*IF(AND($A177&gt;='Control Room'!$A$15,$A177&lt;'Control Room'!$A$15+'Control Room'!$B$15,'Process'!BR4=1),1+('Control Room'!$C$15-1)*EXP(-0.5*(($A177-'Control Room'!$A$15-('Control Room'!$B$15-1)/2)/MAX(0.5,'Control Room'!$B$15/4))^2),1)*IF(AND($A177&gt;='Control Room'!$A$16,$A177&lt;'Control Room'!$A$16+'Control Room'!$B$16,'Process'!BR5=1),1+('Control Room'!$C$16-1)*EXP(-0.5*(($A177-'Control Room'!$A$16-('Control Room'!$B$16-1)/2)/MAX(0.5,'Control Room'!$B$16/4))^2),1)</x:f>
        <x:v>1</x:v>
      </x:c>
      <x:c r="AP177" s="9" t="n">
        <x:f>MOD(AQ176*16807,2147483647)</x:f>
        <x:v>1563263225</x:v>
      </x:c>
      <x:c r="AQ177" s="9" t="n">
        <x:f>MOD(AP177*16807,2147483647)</x:f>
        <x:v>1450085177</x:v>
      </x:c>
      <x:c r="AR177" s="17" t="n">
        <x:f>IF('Control Room'!$B$5="Normal",'Control Room'!$B$7+'Control Room'!$D$7*SQRT(-2*LN(MAX(0.000000000001,AP177/2147483647)))*COS(2*PI()*AQ177/2147483647),'Control Room'!$B$8+('Control Room'!$D$8-'Control Room'!$B$8)*AP177/2147483647)</x:f>
        <x:v>967.5393555056612</x:v>
      </x:c>
      <x:c r="AS177" s="17" t="n">
        <x:f>IF('Control Room'!$B$5="Normal",'Control Room'!$B$7,('Control Room'!$B$8+'Control Room'!$D$8)/2)+'Control Room'!$B$9*(AS176-IF('Control Room'!$B$5="Normal",'Control Room'!$B$7,('Control Room'!$B$8+'Control Room'!$D$8)/2))+SQRT(1-'Control Room'!$B$9^2)*(AR177-IF('Control Room'!$B$5="Normal",'Control Room'!$B$7,('Control Room'!$B$8+'Control Room'!$D$8)/2))</x:f>
        <x:v>952.0290129383656</x:v>
      </x:c>
      <x:c r="AT177" s="17" t="n">
        <x:f>IF(AND($A177&gt;='Control Room'!$A$13,$A177&lt;'Control Room'!$A$13+'Control Room'!$B$13,'Process'!BS2=1),1+('Control Room'!$C$13-1)*EXP(-0.5*(($A177-'Control Room'!$A$13-('Control Room'!$B$13-1)/2)/MAX(0.5,'Control Room'!$B$13/4))^2),1)*IF(AND($A177&gt;='Control Room'!$A$14,$A177&lt;'Control Room'!$A$14+'Control Room'!$B$14,'Process'!BS3=1),1+('Control Room'!$C$14-1)*EXP(-0.5*(($A177-'Control Room'!$A$14-('Control Room'!$B$14-1)/2)/MAX(0.5,'Control Room'!$B$14/4))^2),1)*IF(AND($A177&gt;='Control Room'!$A$15,$A177&lt;'Control Room'!$A$15+'Control Room'!$B$15,'Process'!BS4=1),1+('Control Room'!$C$15-1)*EXP(-0.5*(($A177-'Control Room'!$A$15-('Control Room'!$B$15-1)/2)/MAX(0.5,'Control Room'!$B$15/4))^2),1)*IF(AND($A177&gt;='Control Room'!$A$16,$A177&lt;'Control Room'!$A$16+'Control Room'!$B$16,'Process'!BS5=1),1+('Control Room'!$C$16-1)*EXP(-0.5*(($A177-'Control Room'!$A$16-('Control Room'!$B$16-1)/2)/MAX(0.5,'Control Room'!$B$16/4))^2),1)</x:f>
        <x:v>1</x:v>
      </x:c>
      <x:c r="AU177" s="9" t="n">
        <x:f>MOD(AV176*16807,2147483647)</x:f>
        <x:v>1803745082</x:v>
      </x:c>
      <x:c r="AV177" s="9" t="n">
        <x:f>MOD(AU177*16807,2147483647)</x:f>
        <x:v>1664432122</x:v>
      </x:c>
      <x:c r="AW177" s="17" t="n">
        <x:f>IF('Control Room'!$B$5="Normal",'Control Room'!$B$7+'Control Room'!$D$7*SQRT(-2*LN(MAX(0.000000000001,AU177/2147483647)))*COS(2*PI()*AV177/2147483647),'Control Room'!$B$8+('Control Room'!$D$8-'Control Room'!$B$8)*AU177/2147483647)</x:f>
        <x:v>1008.3360947685685</x:v>
      </x:c>
      <x:c r="AX177" s="17" t="n">
        <x:f>IF('Control Room'!$B$5="Normal",'Control Room'!$B$7,('Control Room'!$B$8+'Control Room'!$D$8)/2)+'Control Room'!$B$9*(AX176-IF('Control Room'!$B$5="Normal",'Control Room'!$B$7,('Control Room'!$B$8+'Control Room'!$D$8)/2))+SQRT(1-'Control Room'!$B$9^2)*(AW177-IF('Control Room'!$B$5="Normal",'Control Room'!$B$7,('Control Room'!$B$8+'Control Room'!$D$8)/2))</x:f>
        <x:v>1046.8190940557042</x:v>
      </x:c>
      <x:c r="AY177" s="17" t="n">
        <x:f>IF(AND($A177&gt;='Control Room'!$A$13,$A177&lt;'Control Room'!$A$13+'Control Room'!$B$13,'Process'!BT2=1),1+('Control Room'!$C$13-1)*EXP(-0.5*(($A177-'Control Room'!$A$13-('Control Room'!$B$13-1)/2)/MAX(0.5,'Control Room'!$B$13/4))^2),1)*IF(AND($A177&gt;='Control Room'!$A$14,$A177&lt;'Control Room'!$A$14+'Control Room'!$B$14,'Process'!BT3=1),1+('Control Room'!$C$14-1)*EXP(-0.5*(($A177-'Control Room'!$A$14-('Control Room'!$B$14-1)/2)/MAX(0.5,'Control Room'!$B$14/4))^2),1)*IF(AND($A177&gt;='Control Room'!$A$15,$A177&lt;'Control Room'!$A$15+'Control Room'!$B$15,'Process'!BT4=1),1+('Control Room'!$C$15-1)*EXP(-0.5*(($A177-'Control Room'!$A$15-('Control Room'!$B$15-1)/2)/MAX(0.5,'Control Room'!$B$15/4))^2),1)*IF(AND($A177&gt;='Control Room'!$A$16,$A177&lt;'Control Room'!$A$16+'Control Room'!$B$16,'Process'!BT5=1),1+('Control Room'!$C$16-1)*EXP(-0.5*(($A177-'Control Room'!$A$16-('Control Room'!$B$16-1)/2)/MAX(0.5,'Control Room'!$B$16/4))^2),1)</x:f>
        <x:v>1</x:v>
      </x:c>
      <x:c r="AZ177" s="9" t="n">
        <x:f>MOD(BA176*16807,2147483647)</x:f>
        <x:v>2044226939</x:v>
      </x:c>
      <x:c r="BA177" s="9" t="n">
        <x:f>MOD(AZ177*16807,2147483647)</x:f>
        <x:v>1878779067</x:v>
      </x:c>
      <x:c r="BB177" s="17" t="n">
        <x:f>IF('Control Room'!$B$5="Normal",'Control Room'!$B$7+'Control Room'!$D$7*SQRT(-2*LN(MAX(0.000000000001,AZ177/2147483647)))*COS(2*PI()*BA177/2147483647),'Control Room'!$B$8+('Control Room'!$D$8-'Control Room'!$B$8)*AZ177/2147483647)</x:f>
        <x:v>1019.9628569853544</x:v>
      </x:c>
      <x:c r="BC177" s="17" t="n">
        <x:f>IF('Control Room'!$B$5="Normal",'Control Room'!$B$7,('Control Room'!$B$8+'Control Room'!$D$8)/2)+'Control Room'!$B$9*(BC176-IF('Control Room'!$B$5="Normal",'Control Room'!$B$7,('Control Room'!$B$8+'Control Room'!$D$8)/2))+SQRT(1-'Control Room'!$B$9^2)*(BB177-IF('Control Room'!$B$5="Normal",'Control Room'!$B$7,('Control Room'!$B$8+'Control Room'!$D$8)/2))</x:f>
        <x:v>1070.407061021785</x:v>
      </x:c>
      <x:c r="BD177" s="17" t="n">
        <x:f>IF(AND($A177&gt;='Control Room'!$A$13,$A177&lt;'Control Room'!$A$13+'Control Room'!$B$13,'Process'!BU2=1),1+('Control Room'!$C$13-1)*EXP(-0.5*(($A177-'Control Room'!$A$13-('Control Room'!$B$13-1)/2)/MAX(0.5,'Control Room'!$B$13/4))^2),1)*IF(AND($A177&gt;='Control Room'!$A$14,$A177&lt;'Control Room'!$A$14+'Control Room'!$B$14,'Process'!BU3=1),1+('Control Room'!$C$14-1)*EXP(-0.5*(($A177-'Control Room'!$A$14-('Control Room'!$B$14-1)/2)/MAX(0.5,'Control Room'!$B$14/4))^2),1)*IF(AND($A177&gt;='Control Room'!$A$15,$A177&lt;'Control Room'!$A$15+'Control Room'!$B$15,'Process'!BU4=1),1+('Control Room'!$C$15-1)*EXP(-0.5*(($A177-'Control Room'!$A$15-('Control Room'!$B$15-1)/2)/MAX(0.5,'Control Room'!$B$15/4))^2),1)*IF(AND($A177&gt;='Control Room'!$A$16,$A177&lt;'Control Room'!$A$16+'Control Room'!$B$16,'Process'!BU5=1),1+('Control Room'!$C$16-1)*EXP(-0.5*(($A177-'Control Room'!$A$16-('Control Room'!$B$16-1)/2)/MAX(0.5,'Control Room'!$B$16/4))^2),1)</x:f>
        <x:v>1</x:v>
      </x:c>
      <x:c r="BE177" s="9" t="n">
        <x:f>MOD(BF176*16807,2147483647)</x:f>
        <x:v>137225149</x:v>
      </x:c>
      <x:c r="BF177" s="9" t="n">
        <x:f>MOD(BE177*16807,2147483647)</x:f>
        <x:v>2093126012</x:v>
      </x:c>
      <x:c r="BG177" s="17" t="n">
        <x:f>IF('Control Room'!$B$5="Normal",'Control Room'!$B$7+'Control Room'!$D$7*SQRT(-2*LN(MAX(0.000000000001,BE177/2147483647)))*COS(2*PI()*BF177/2147483647),'Control Room'!$B$8+('Control Room'!$D$8-'Control Room'!$B$8)*BE177/2147483647)</x:f>
        <x:v>1208.421179499675</x:v>
      </x:c>
      <x:c r="BH177" s="17" t="n">
        <x:f>IF('Control Room'!$B$5="Normal",'Control Room'!$B$7,('Control Room'!$B$8+'Control Room'!$D$8)/2)+'Control Room'!$B$9*(BH176-IF('Control Room'!$B$5="Normal",'Control Room'!$B$7,('Control Room'!$B$8+'Control Room'!$D$8)/2))+SQRT(1-'Control Room'!$B$9^2)*(BG177-IF('Control Room'!$B$5="Normal",'Control Room'!$B$7,('Control Room'!$B$8+'Control Room'!$D$8)/2))</x:f>
        <x:v>1184.482045971497</x:v>
      </x:c>
      <x:c r="BI177" s="17" t="n">
        <x:f>IF(AND($A177&gt;='Control Room'!$A$13,$A177&lt;'Control Room'!$A$13+'Control Room'!$B$13,'Process'!BV2=1),1+('Control Room'!$C$13-1)*EXP(-0.5*(($A177-'Control Room'!$A$13-('Control Room'!$B$13-1)/2)/MAX(0.5,'Control Room'!$B$13/4))^2),1)*IF(AND($A177&gt;='Control Room'!$A$14,$A177&lt;'Control Room'!$A$14+'Control Room'!$B$14,'Process'!BV3=1),1+('Control Room'!$C$14-1)*EXP(-0.5*(($A177-'Control Room'!$A$14-('Control Room'!$B$14-1)/2)/MAX(0.5,'Control Room'!$B$14/4))^2),1)*IF(AND($A177&gt;='Control Room'!$A$15,$A177&lt;'Control Room'!$A$15+'Control Room'!$B$15,'Process'!BV4=1),1+('Control Room'!$C$15-1)*EXP(-0.5*(($A177-'Control Room'!$A$15-('Control Room'!$B$15-1)/2)/MAX(0.5,'Control Room'!$B$15/4))^2),1)*IF(AND($A177&gt;='Control Room'!$A$16,$A177&lt;'Control Room'!$A$16+'Control Room'!$B$16,'Process'!BV5=1),1+('Control Room'!$C$16-1)*EXP(-0.5*(($A177-'Control Room'!$A$16-('Control Room'!$B$16-1)/2)/MAX(0.5,'Control Room'!$B$16/4))^2),1)</x:f>
        <x:v>1</x:v>
      </x:c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Z177" t="str">
        <x:f>IF('Data'!A177="","",TEXT('Data'!A177,"mm-dd"))</x:f>
      </x:c>
    </x:row>
    <x:row r="178" ht="21" customHeight="1">
      <x:c r="A178" s="15" t="n">
        <x:f>'Control Room'!$B$1+176</x:f>
        <x:v>73167</x:v>
      </x:c>
      <x:c r="B178" s="9" t="n">
        <x:f>MOD(C177*16807,2147483647)</x:f>
        <x:v>934849503</x:v>
      </x:c>
      <x:c r="C178" s="9" t="n">
        <x:f>MOD(B178*16807,2147483647)</x:f>
        <x:v>1025235469</x:v>
      </x:c>
      <x:c r="D178" s="17" t="n">
        <x:f>IF('Control Room'!$B$5="Normal",'Control Room'!$B$7+'Control Room'!$D$7*SQRT(-2*LN(MAX(0.000000000001,B178/2147483647)))*COS(2*PI()*C178/2147483647),'Control Room'!$B$8+('Control Room'!$D$8-'Control Room'!$B$8)*B178/2147483647)</x:f>
        <x:v>885.0937586978118</x:v>
      </x:c>
      <x:c r="E178" s="17" t="n">
        <x:f>IF('Control Room'!$B$5="Normal",'Control Room'!$B$7,('Control Room'!$B$8+'Control Room'!$D$8)/2)+'Control Room'!$B$9*(E177-IF('Control Room'!$B$5="Normal",'Control Room'!$B$7,('Control Room'!$B$8+'Control Room'!$D$8)/2))+SQRT(1-'Control Room'!$B$9^2)*(D178-IF('Control Room'!$B$5="Normal",'Control Room'!$B$7,('Control Room'!$B$8+'Control Room'!$D$8)/2))</x:f>
        <x:v>999.4191833753897</x:v>
      </x:c>
      <x:c r="F178" s="17" t="n">
        <x:f>IF(AND($A178&gt;='Control Room'!$A$13,$A178&lt;'Control Room'!$A$13+'Control Room'!$B$13,'Process'!BK2=1),1+('Control Room'!$C$13-1)*EXP(-0.5*(($A178-'Control Room'!$A$13-('Control Room'!$B$13-1)/2)/MAX(0.5,'Control Room'!$B$13/4))^2),1)*IF(AND($A178&gt;='Control Room'!$A$14,$A178&lt;'Control Room'!$A$14+'Control Room'!$B$14,'Process'!BK3=1),1+('Control Room'!$C$14-1)*EXP(-0.5*(($A178-'Control Room'!$A$14-('Control Room'!$B$14-1)/2)/MAX(0.5,'Control Room'!$B$14/4))^2),1)*IF(AND($A178&gt;='Control Room'!$A$15,$A178&lt;'Control Room'!$A$15+'Control Room'!$B$15,'Process'!BK4=1),1+('Control Room'!$C$15-1)*EXP(-0.5*(($A178-'Control Room'!$A$15-('Control Room'!$B$15-1)/2)/MAX(0.5,'Control Room'!$B$15/4))^2),1)*IF(AND($A178&gt;='Control Room'!$A$16,$A178&lt;'Control Room'!$A$16+'Control Room'!$B$16,'Process'!BK5=1),1+('Control Room'!$C$16-1)*EXP(-0.5*(($A178-'Control Room'!$A$16-('Control Room'!$B$16-1)/2)/MAX(0.5,'Control Room'!$B$16/4))^2),1)</x:f>
        <x:v>1</x:v>
      </x:c>
      <x:c r="G178" s="9" t="n">
        <x:f>MOD(H177*16807,2147483647)</x:f>
        <x:v>2133878099</x:v>
      </x:c>
      <x:c r="H178" s="9" t="n">
        <x:f>MOD(G178*16807,2147483647)</x:f>
        <x:v>1112304993</x:v>
      </x:c>
      <x:c r="I178" s="17" t="n">
        <x:f>IF('Control Room'!$B$5="Normal",'Control Room'!$B$7+'Control Room'!$D$7*SQRT(-2*LN(MAX(0.000000000001,G178/2147483647)))*COS(2*PI()*H178/2147483647),'Control Room'!$B$8+('Control Room'!$D$8-'Control Room'!$B$8)*G178/2147483647)</x:f>
        <x:v>989.917458572384</x:v>
      </x:c>
      <x:c r="J178" s="17" t="n">
        <x:f>IF('Control Room'!$B$5="Normal",'Control Room'!$B$7,('Control Room'!$B$8+'Control Room'!$D$8)/2)+'Control Room'!$B$9*(J177-IF('Control Room'!$B$5="Normal",'Control Room'!$B$7,('Control Room'!$B$8+'Control Room'!$D$8)/2))+SQRT(1-'Control Room'!$B$9^2)*(I178-IF('Control Room'!$B$5="Normal",'Control Room'!$B$7,('Control Room'!$B$8+'Control Room'!$D$8)/2))</x:f>
        <x:v>1019.5966915006019</x:v>
      </x:c>
      <x:c r="K178" s="17" t="n">
        <x:f>IF(AND($A178&gt;='Control Room'!$A$13,$A178&lt;'Control Room'!$A$13+'Control Room'!$B$13,'Process'!BL2=1),1+('Control Room'!$C$13-1)*EXP(-0.5*(($A178-'Control Room'!$A$13-('Control Room'!$B$13-1)/2)/MAX(0.5,'Control Room'!$B$13/4))^2),1)*IF(AND($A178&gt;='Control Room'!$A$14,$A178&lt;'Control Room'!$A$14+'Control Room'!$B$14,'Process'!BL3=1),1+('Control Room'!$C$14-1)*EXP(-0.5*(($A178-'Control Room'!$A$14-('Control Room'!$B$14-1)/2)/MAX(0.5,'Control Room'!$B$14/4))^2),1)*IF(AND($A178&gt;='Control Room'!$A$15,$A178&lt;'Control Room'!$A$15+'Control Room'!$B$15,'Process'!BL4=1),1+('Control Room'!$C$15-1)*EXP(-0.5*(($A178-'Control Room'!$A$15-('Control Room'!$B$15-1)/2)/MAX(0.5,'Control Room'!$B$15/4))^2),1)*IF(AND($A178&gt;='Control Room'!$A$16,$A178&lt;'Control Room'!$A$16+'Control Room'!$B$16,'Process'!BL5=1),1+('Control Room'!$C$16-1)*EXP(-0.5*(($A178-'Control Room'!$A$16-('Control Room'!$B$16-1)/2)/MAX(0.5,'Control Room'!$B$16/4))^2),1)</x:f>
        <x:v>1</x:v>
      </x:c>
      <x:c r="L178" s="9" t="n">
        <x:f>MOD(M177*16807,2147483647)</x:f>
        <x:v>1185423048</x:v>
      </x:c>
      <x:c r="M178" s="9" t="n">
        <x:f>MOD(L178*16807,2147483647)</x:f>
        <x:v>1199374517</x:v>
      </x:c>
      <x:c r="N178" s="17" t="n">
        <x:f>IF('Control Room'!$B$5="Normal",'Control Room'!$B$7+'Control Room'!$D$7*SQRT(-2*LN(MAX(0.000000000001,L178/2147483647)))*COS(2*PI()*M178/2147483647),'Control Room'!$B$8+('Control Room'!$D$8-'Control Room'!$B$8)*L178/2147483647)</x:f>
        <x:v>908.4418012536433</x:v>
      </x:c>
      <x:c r="O178" s="17" t="n">
        <x:f>IF('Control Room'!$B$5="Normal",'Control Room'!$B$7,('Control Room'!$B$8+'Control Room'!$D$8)/2)+'Control Room'!$B$9*(O177-IF('Control Room'!$B$5="Normal",'Control Room'!$B$7,('Control Room'!$B$8+'Control Room'!$D$8)/2))+SQRT(1-'Control Room'!$B$9^2)*(N178-IF('Control Room'!$B$5="Normal",'Control Room'!$B$7,('Control Room'!$B$8+'Control Room'!$D$8)/2))</x:f>
        <x:v>1023.615654092632</x:v>
      </x:c>
      <x:c r="P178" s="17" t="n">
        <x:f>IF(AND($A178&gt;='Control Room'!$A$13,$A178&lt;'Control Room'!$A$13+'Control Room'!$B$13,'Process'!BM2=1),1+('Control Room'!$C$13-1)*EXP(-0.5*(($A178-'Control Room'!$A$13-('Control Room'!$B$13-1)/2)/MAX(0.5,'Control Room'!$B$13/4))^2),1)*IF(AND($A178&gt;='Control Room'!$A$14,$A178&lt;'Control Room'!$A$14+'Control Room'!$B$14,'Process'!BM3=1),1+('Control Room'!$C$14-1)*EXP(-0.5*(($A178-'Control Room'!$A$14-('Control Room'!$B$14-1)/2)/MAX(0.5,'Control Room'!$B$14/4))^2),1)*IF(AND($A178&gt;='Control Room'!$A$15,$A178&lt;'Control Room'!$A$15+'Control Room'!$B$15,'Process'!BM4=1),1+('Control Room'!$C$15-1)*EXP(-0.5*(($A178-'Control Room'!$A$15-('Control Room'!$B$15-1)/2)/MAX(0.5,'Control Room'!$B$15/4))^2),1)*IF(AND($A178&gt;='Control Room'!$A$16,$A178&lt;'Control Room'!$A$16+'Control Room'!$B$16,'Process'!BM5=1),1+('Control Room'!$C$16-1)*EXP(-0.5*(($A178-'Control Room'!$A$16-('Control Room'!$B$16-1)/2)/MAX(0.5,'Control Room'!$B$16/4))^2),1)</x:f>
        <x:v>1</x:v>
      </x:c>
      <x:c r="Q178" s="9" t="n">
        <x:f>MOD(R177*16807,2147483647)</x:f>
        <x:v>236967997</x:v>
      </x:c>
      <x:c r="R178" s="9" t="n">
        <x:f>MOD(Q178*16807,2147483647)</x:f>
        <x:v>1286444041</x:v>
      </x:c>
      <x:c r="S178" s="17" t="n">
        <x:f>IF('Control Room'!$B$5="Normal",'Control Room'!$B$7+'Control Room'!$D$7*SQRT(-2*LN(MAX(0.000000000001,Q178/2147483647)))*COS(2*PI()*R178/2147483647),'Control Room'!$B$8+('Control Room'!$D$8-'Control Room'!$B$8)*Q178/2147483647)</x:f>
        <x:v>846.4638670777634</x:v>
      </x:c>
      <x:c r="T178" s="17" t="n">
        <x:f>IF('Control Room'!$B$5="Normal",'Control Room'!$B$7,('Control Room'!$B$8+'Control Room'!$D$8)/2)+'Control Room'!$B$9*(T177-IF('Control Room'!$B$5="Normal",'Control Room'!$B$7,('Control Room'!$B$8+'Control Room'!$D$8)/2))+SQRT(1-'Control Room'!$B$9^2)*(S178-IF('Control Room'!$B$5="Normal",'Control Room'!$B$7,('Control Room'!$B$8+'Control Room'!$D$8)/2))</x:f>
        <x:v>935.0830725073876</x:v>
      </x:c>
      <x:c r="U178" s="17" t="n">
        <x:f>IF(AND($A178&gt;='Control Room'!$A$13,$A178&lt;'Control Room'!$A$13+'Control Room'!$B$13,'Process'!BN2=1),1+('Control Room'!$C$13-1)*EXP(-0.5*(($A178-'Control Room'!$A$13-('Control Room'!$B$13-1)/2)/MAX(0.5,'Control Room'!$B$13/4))^2),1)*IF(AND($A178&gt;='Control Room'!$A$14,$A178&lt;'Control Room'!$A$14+'Control Room'!$B$14,'Process'!BN3=1),1+('Control Room'!$C$14-1)*EXP(-0.5*(($A178-'Control Room'!$A$14-('Control Room'!$B$14-1)/2)/MAX(0.5,'Control Room'!$B$14/4))^2),1)*IF(AND($A178&gt;='Control Room'!$A$15,$A178&lt;'Control Room'!$A$15+'Control Room'!$B$15,'Process'!BN4=1),1+('Control Room'!$C$15-1)*EXP(-0.5*(($A178-'Control Room'!$A$15-('Control Room'!$B$15-1)/2)/MAX(0.5,'Control Room'!$B$15/4))^2),1)*IF(AND($A178&gt;='Control Room'!$A$16,$A178&lt;'Control Room'!$A$16+'Control Room'!$B$16,'Process'!BN5=1),1+('Control Room'!$C$16-1)*EXP(-0.5*(($A178-'Control Room'!$A$16-('Control Room'!$B$16-1)/2)/MAX(0.5,'Control Room'!$B$16/4))^2),1)</x:f>
        <x:v>1</x:v>
      </x:c>
      <x:c r="V178" s="9" t="n">
        <x:f>MOD(W177*16807,2147483647)</x:f>
        <x:v>1435996593</x:v>
      </x:c>
      <x:c r="W178" s="9" t="n">
        <x:f>MOD(V178*16807,2147483647)</x:f>
        <x:v>1373513565</x:v>
      </x:c>
      <x:c r="X178" s="17" t="n">
        <x:f>IF('Control Room'!$B$5="Normal",'Control Room'!$B$7+'Control Room'!$D$7*SQRT(-2*LN(MAX(0.000000000001,V178/2147483647)))*COS(2*PI()*W178/2147483647),'Control Room'!$B$8+('Control Room'!$D$8-'Control Room'!$B$8)*V178/2147483647)</x:f>
        <x:v>948.3729643449079</x:v>
      </x:c>
      <x:c r="Y178" s="17" t="n">
        <x:f>IF('Control Room'!$B$5="Normal",'Control Room'!$B$7,('Control Room'!$B$8+'Control Room'!$D$8)/2)+'Control Room'!$B$9*(Y177-IF('Control Room'!$B$5="Normal",'Control Room'!$B$7,('Control Room'!$B$8+'Control Room'!$D$8)/2))+SQRT(1-'Control Room'!$B$9^2)*(X178-IF('Control Room'!$B$5="Normal",'Control Room'!$B$7,('Control Room'!$B$8+'Control Room'!$D$8)/2))</x:f>
        <x:v>942.0438247673758</x:v>
      </x:c>
      <x:c r="Z178" s="17" t="n">
        <x:f>IF(AND($A178&gt;='Control Room'!$A$13,$A178&lt;'Control Room'!$A$13+'Control Room'!$B$13,'Process'!BO2=1),1+('Control Room'!$C$13-1)*EXP(-0.5*(($A178-'Control Room'!$A$13-('Control Room'!$B$13-1)/2)/MAX(0.5,'Control Room'!$B$13/4))^2),1)*IF(AND($A178&gt;='Control Room'!$A$14,$A178&lt;'Control Room'!$A$14+'Control Room'!$B$14,'Process'!BO3=1),1+('Control Room'!$C$14-1)*EXP(-0.5*(($A178-'Control Room'!$A$14-('Control Room'!$B$14-1)/2)/MAX(0.5,'Control Room'!$B$14/4))^2),1)*IF(AND($A178&gt;='Control Room'!$A$15,$A178&lt;'Control Room'!$A$15+'Control Room'!$B$15,'Process'!BO4=1),1+('Control Room'!$C$15-1)*EXP(-0.5*(($A178-'Control Room'!$A$15-('Control Room'!$B$15-1)/2)/MAX(0.5,'Control Room'!$B$15/4))^2),1)*IF(AND($A178&gt;='Control Room'!$A$16,$A178&lt;'Control Room'!$A$16+'Control Room'!$B$16,'Process'!BO5=1),1+('Control Room'!$C$16-1)*EXP(-0.5*(($A178-'Control Room'!$A$16-('Control Room'!$B$16-1)/2)/MAX(0.5,'Control Room'!$B$16/4))^2),1)</x:f>
        <x:v>1</x:v>
      </x:c>
      <x:c r="AA178" s="9" t="n">
        <x:f>MOD(AB177*16807,2147483647)</x:f>
        <x:v>487541542</x:v>
      </x:c>
      <x:c r="AB178" s="9" t="n">
        <x:f>MOD(AA178*16807,2147483647)</x:f>
        <x:v>1460583089</x:v>
      </x:c>
      <x:c r="AC178" s="17" t="n">
        <x:f>IF('Control Room'!$B$5="Normal",'Control Room'!$B$7+'Control Room'!$D$7*SQRT(-2*LN(MAX(0.000000000001,AA178/2147483647)))*COS(2*PI()*AB178/2147483647),'Control Room'!$B$8+('Control Room'!$D$8-'Control Room'!$B$8)*AA178/2147483647)</x:f>
        <x:v>934.1326937702943</x:v>
      </x:c>
      <x:c r="AD178" s="17" t="n">
        <x:f>IF('Control Room'!$B$5="Normal",'Control Room'!$B$7,('Control Room'!$B$8+'Control Room'!$D$8)/2)+'Control Room'!$B$9*(AD177-IF('Control Room'!$B$5="Normal",'Control Room'!$B$7,('Control Room'!$B$8+'Control Room'!$D$8)/2))+SQRT(1-'Control Room'!$B$9^2)*(AC178-IF('Control Room'!$B$5="Normal",'Control Room'!$B$7,('Control Room'!$B$8+'Control Room'!$D$8)/2))</x:f>
        <x:v>924.326829481181</x:v>
      </x:c>
      <x:c r="AE178" s="17" t="n">
        <x:f>IF(AND($A178&gt;='Control Room'!$A$13,$A178&lt;'Control Room'!$A$13+'Control Room'!$B$13,'Process'!BP2=1),1+('Control Room'!$C$13-1)*EXP(-0.5*(($A178-'Control Room'!$A$13-('Control Room'!$B$13-1)/2)/MAX(0.5,'Control Room'!$B$13/4))^2),1)*IF(AND($A178&gt;='Control Room'!$A$14,$A178&lt;'Control Room'!$A$14+'Control Room'!$B$14,'Process'!BP3=1),1+('Control Room'!$C$14-1)*EXP(-0.5*(($A178-'Control Room'!$A$14-('Control Room'!$B$14-1)/2)/MAX(0.5,'Control Room'!$B$14/4))^2),1)*IF(AND($A178&gt;='Control Room'!$A$15,$A178&lt;'Control Room'!$A$15+'Control Room'!$B$15,'Process'!BP4=1),1+('Control Room'!$C$15-1)*EXP(-0.5*(($A178-'Control Room'!$A$15-('Control Room'!$B$15-1)/2)/MAX(0.5,'Control Room'!$B$15/4))^2),1)*IF(AND($A178&gt;='Control Room'!$A$16,$A178&lt;'Control Room'!$A$16+'Control Room'!$B$16,'Process'!BP5=1),1+('Control Room'!$C$16-1)*EXP(-0.5*(($A178-'Control Room'!$A$16-('Control Room'!$B$16-1)/2)/MAX(0.5,'Control Room'!$B$16/4))^2),1)</x:f>
        <x:v>1</x:v>
      </x:c>
      <x:c r="AF178" s="9" t="n">
        <x:f>MOD(AG177*16807,2147483647)</x:f>
        <x:v>1686570138</x:v>
      </x:c>
      <x:c r="AG178" s="9" t="n">
        <x:f>MOD(AF178*16807,2147483647)</x:f>
        <x:v>1547652613</x:v>
      </x:c>
      <x:c r="AH178" s="17" t="n">
        <x:f>IF('Control Room'!$B$5="Normal",'Control Room'!$B$7+'Control Room'!$D$7*SQRT(-2*LN(MAX(0.000000000001,AF178/2147483647)))*COS(2*PI()*AG178/2147483647),'Control Room'!$B$8+('Control Room'!$D$8-'Control Room'!$B$8)*AF178/2147483647)</x:f>
        <x:v>988.540587077686</x:v>
      </x:c>
      <x:c r="AI178" s="17" t="n">
        <x:f>IF('Control Room'!$B$5="Normal",'Control Room'!$B$7,('Control Room'!$B$8+'Control Room'!$D$8)/2)+'Control Room'!$B$9*(AI177-IF('Control Room'!$B$5="Normal",'Control Room'!$B$7,('Control Room'!$B$8+'Control Room'!$D$8)/2))+SQRT(1-'Control Room'!$B$9^2)*(AH178-IF('Control Room'!$B$5="Normal",'Control Room'!$B$7,('Control Room'!$B$8+'Control Room'!$D$8)/2))</x:f>
        <x:v>1004.9331152089028</x:v>
      </x:c>
      <x:c r="AJ178" s="17" t="n">
        <x:f>IF(AND($A178&gt;='Control Room'!$A$13,$A178&lt;'Control Room'!$A$13+'Control Room'!$B$13,'Process'!BQ2=1),1+('Control Room'!$C$13-1)*EXP(-0.5*(($A178-'Control Room'!$A$13-('Control Room'!$B$13-1)/2)/MAX(0.5,'Control Room'!$B$13/4))^2),1)*IF(AND($A178&gt;='Control Room'!$A$14,$A178&lt;'Control Room'!$A$14+'Control Room'!$B$14,'Process'!BQ3=1),1+('Control Room'!$C$14-1)*EXP(-0.5*(($A178-'Control Room'!$A$14-('Control Room'!$B$14-1)/2)/MAX(0.5,'Control Room'!$B$14/4))^2),1)*IF(AND($A178&gt;='Control Room'!$A$15,$A178&lt;'Control Room'!$A$15+'Control Room'!$B$15,'Process'!BQ4=1),1+('Control Room'!$C$15-1)*EXP(-0.5*(($A178-'Control Room'!$A$15-('Control Room'!$B$15-1)/2)/MAX(0.5,'Control Room'!$B$15/4))^2),1)*IF(AND($A178&gt;='Control Room'!$A$16,$A178&lt;'Control Room'!$A$16+'Control Room'!$B$16,'Process'!BQ5=1),1+('Control Room'!$C$16-1)*EXP(-0.5*(($A178-'Control Room'!$A$16-('Control Room'!$B$16-1)/2)/MAX(0.5,'Control Room'!$B$16/4))^2),1)</x:f>
        <x:v>1</x:v>
      </x:c>
      <x:c r="AK178" s="9" t="n">
        <x:f>MOD(AL177*16807,2147483647)</x:f>
        <x:v>738115087</x:v>
      </x:c>
      <x:c r="AL178" s="9" t="n">
        <x:f>MOD(AK178*16807,2147483647)</x:f>
        <x:v>1634722137</x:v>
      </x:c>
      <x:c r="AM178" s="17" t="n">
        <x:f>IF('Control Room'!$B$5="Normal",'Control Room'!$B$7+'Control Room'!$D$7*SQRT(-2*LN(MAX(0.000000000001,AK178/2147483647)))*COS(2*PI()*AL178/2147483647),'Control Room'!$B$8+('Control Room'!$D$8-'Control Room'!$B$8)*AK178/2147483647)</x:f>
        <x:v>1009.2706383572558</x:v>
      </x:c>
      <x:c r="AN178" s="17" t="n">
        <x:f>IF('Control Room'!$B$5="Normal",'Control Room'!$B$7,('Control Room'!$B$8+'Control Room'!$D$8)/2)+'Control Room'!$B$9*(AN177-IF('Control Room'!$B$5="Normal",'Control Room'!$B$7,('Control Room'!$B$8+'Control Room'!$D$8)/2))+SQRT(1-'Control Room'!$B$9^2)*(AM178-IF('Control Room'!$B$5="Normal",'Control Room'!$B$7,('Control Room'!$B$8+'Control Room'!$D$8)/2))</x:f>
        <x:v>992.346820314177</x:v>
      </x:c>
      <x:c r="AO178" s="17" t="n">
        <x:f>IF(AND($A178&gt;='Control Room'!$A$13,$A178&lt;'Control Room'!$A$13+'Control Room'!$B$13,'Process'!BR2=1),1+('Control Room'!$C$13-1)*EXP(-0.5*(($A178-'Control Room'!$A$13-('Control Room'!$B$13-1)/2)/MAX(0.5,'Control Room'!$B$13/4))^2),1)*IF(AND($A178&gt;='Control Room'!$A$14,$A178&lt;'Control Room'!$A$14+'Control Room'!$B$14,'Process'!BR3=1),1+('Control Room'!$C$14-1)*EXP(-0.5*(($A178-'Control Room'!$A$14-('Control Room'!$B$14-1)/2)/MAX(0.5,'Control Room'!$B$14/4))^2),1)*IF(AND($A178&gt;='Control Room'!$A$15,$A178&lt;'Control Room'!$A$15+'Control Room'!$B$15,'Process'!BR4=1),1+('Control Room'!$C$15-1)*EXP(-0.5*(($A178-'Control Room'!$A$15-('Control Room'!$B$15-1)/2)/MAX(0.5,'Control Room'!$B$15/4))^2),1)*IF(AND($A178&gt;='Control Room'!$A$16,$A178&lt;'Control Room'!$A$16+'Control Room'!$B$16,'Process'!BR5=1),1+('Control Room'!$C$16-1)*EXP(-0.5*(($A178-'Control Room'!$A$16-('Control Room'!$B$16-1)/2)/MAX(0.5,'Control Room'!$B$16/4))^2),1)</x:f>
        <x:v>1</x:v>
      </x:c>
      <x:c r="AP178" s="9" t="n">
        <x:f>MOD(AQ177*16807,2147483647)</x:f>
        <x:v>1937143683</x:v>
      </x:c>
      <x:c r="AQ178" s="9" t="n">
        <x:f>MOD(AP178*16807,2147483647)</x:f>
        <x:v>1721791661</x:v>
      </x:c>
      <x:c r="AR178" s="17" t="n">
        <x:f>IF('Control Room'!$B$5="Normal",'Control Room'!$B$7+'Control Room'!$D$7*SQRT(-2*LN(MAX(0.000000000001,AP178/2147483647)))*COS(2*PI()*AQ178/2147483647),'Control Room'!$B$8+('Control Room'!$D$8-'Control Room'!$B$8)*AP178/2147483647)</x:f>
        <x:v>1013.0597697689731</x:v>
      </x:c>
      <x:c r="AS178" s="17" t="n">
        <x:f>IF('Control Room'!$B$5="Normal",'Control Room'!$B$7,('Control Room'!$B$8+'Control Room'!$D$8)/2)+'Control Room'!$B$9*(AS177-IF('Control Room'!$B$5="Normal",'Control Room'!$B$7,('Control Room'!$B$8+'Control Room'!$D$8)/2))+SQRT(1-'Control Room'!$B$9^2)*(AR178-IF('Control Room'!$B$5="Normal",'Control Room'!$B$7,('Control Room'!$B$8+'Control Room'!$D$8)/2))</x:f>
        <x:v>970.7551664694224</x:v>
      </x:c>
      <x:c r="AT178" s="17" t="n">
        <x:f>IF(AND($A178&gt;='Control Room'!$A$13,$A178&lt;'Control Room'!$A$13+'Control Room'!$B$13,'Process'!BS2=1),1+('Control Room'!$C$13-1)*EXP(-0.5*(($A178-'Control Room'!$A$13-('Control Room'!$B$13-1)/2)/MAX(0.5,'Control Room'!$B$13/4))^2),1)*IF(AND($A178&gt;='Control Room'!$A$14,$A178&lt;'Control Room'!$A$14+'Control Room'!$B$14,'Process'!BS3=1),1+('Control Room'!$C$14-1)*EXP(-0.5*(($A178-'Control Room'!$A$14-('Control Room'!$B$14-1)/2)/MAX(0.5,'Control Room'!$B$14/4))^2),1)*IF(AND($A178&gt;='Control Room'!$A$15,$A178&lt;'Control Room'!$A$15+'Control Room'!$B$15,'Process'!BS4=1),1+('Control Room'!$C$15-1)*EXP(-0.5*(($A178-'Control Room'!$A$15-('Control Room'!$B$15-1)/2)/MAX(0.5,'Control Room'!$B$15/4))^2),1)*IF(AND($A178&gt;='Control Room'!$A$16,$A178&lt;'Control Room'!$A$16+'Control Room'!$B$16,'Process'!BS5=1),1+('Control Room'!$C$16-1)*EXP(-0.5*(($A178-'Control Room'!$A$16-('Control Room'!$B$16-1)/2)/MAX(0.5,'Control Room'!$B$16/4))^2),1)</x:f>
        <x:v>1</x:v>
      </x:c>
      <x:c r="AU178" s="9" t="n">
        <x:f>MOD(AV177*16807,2147483647)</x:f>
        <x:v>988688632</x:v>
      </x:c>
      <x:c r="AV178" s="9" t="n">
        <x:f>MOD(AU178*16807,2147483647)</x:f>
        <x:v>1808861185</x:v>
      </x:c>
      <x:c r="AW178" s="17" t="n">
        <x:f>IF('Control Room'!$B$5="Normal",'Control Room'!$B$7+'Control Room'!$D$7*SQRT(-2*LN(MAX(0.000000000001,AU178/2147483647)))*COS(2*PI()*AV178/2147483647),'Control Room'!$B$8+('Control Room'!$D$8-'Control Room'!$B$8)*AU178/2147483647)</x:f>
        <x:v>1061.4362101018432</x:v>
      </x:c>
      <x:c r="AX178" s="17" t="n">
        <x:f>IF('Control Room'!$B$5="Normal",'Control Room'!$B$7,('Control Room'!$B$8+'Control Room'!$D$8)/2)+'Control Room'!$B$9*(AX177-IF('Control Room'!$B$5="Normal",'Control Room'!$B$7,('Control Room'!$B$8+'Control Room'!$D$8)/2))+SQRT(1-'Control Room'!$B$9^2)*(AW178-IF('Control Room'!$B$5="Normal",'Control Room'!$B$7,('Control Room'!$B$8+'Control Room'!$D$8)/2))</x:f>
        <x:v>1074.9644150560084</x:v>
      </x:c>
      <x:c r="AY178" s="17" t="n">
        <x:f>IF(AND($A178&gt;='Control Room'!$A$13,$A178&lt;'Control Room'!$A$13+'Control Room'!$B$13,'Process'!BT2=1),1+('Control Room'!$C$13-1)*EXP(-0.5*(($A178-'Control Room'!$A$13-('Control Room'!$B$13-1)/2)/MAX(0.5,'Control Room'!$B$13/4))^2),1)*IF(AND($A178&gt;='Control Room'!$A$14,$A178&lt;'Control Room'!$A$14+'Control Room'!$B$14,'Process'!BT3=1),1+('Control Room'!$C$14-1)*EXP(-0.5*(($A178-'Control Room'!$A$14-('Control Room'!$B$14-1)/2)/MAX(0.5,'Control Room'!$B$14/4))^2),1)*IF(AND($A178&gt;='Control Room'!$A$15,$A178&lt;'Control Room'!$A$15+'Control Room'!$B$15,'Process'!BT4=1),1+('Control Room'!$C$15-1)*EXP(-0.5*(($A178-'Control Room'!$A$15-('Control Room'!$B$15-1)/2)/MAX(0.5,'Control Room'!$B$15/4))^2),1)*IF(AND($A178&gt;='Control Room'!$A$16,$A178&lt;'Control Room'!$A$16+'Control Room'!$B$16,'Process'!BT5=1),1+('Control Room'!$C$16-1)*EXP(-0.5*(($A178-'Control Room'!$A$16-('Control Room'!$B$16-1)/2)/MAX(0.5,'Control Room'!$B$16/4))^2),1)</x:f>
        <x:v>1</x:v>
      </x:c>
      <x:c r="AZ178" s="9" t="n">
        <x:f>MOD(BA177*16807,2147483647)</x:f>
        <x:v>40233581</x:v>
      </x:c>
      <x:c r="BA178" s="9" t="n">
        <x:f>MOD(AZ178*16807,2147483647)</x:f>
        <x:v>1895930709</x:v>
      </x:c>
      <x:c r="BB178" s="17" t="n">
        <x:f>IF('Control Room'!$B$5="Normal",'Control Room'!$B$7+'Control Room'!$D$7*SQRT(-2*LN(MAX(0.000000000001,AZ178/2147483647)))*COS(2*PI()*BA178/2147483647),'Control Room'!$B$8+('Control Room'!$D$8-'Control Room'!$B$8)*AZ178/2147483647)</x:f>
        <x:v>1188.1331002366662</x:v>
      </x:c>
      <x:c r="BC178" s="17" t="n">
        <x:f>IF('Control Room'!$B$5="Normal",'Control Room'!$B$7,('Control Room'!$B$8+'Control Room'!$D$8)/2)+'Control Room'!$B$9*(BC177-IF('Control Room'!$B$5="Normal",'Control Room'!$B$7,('Control Room'!$B$8+'Control Room'!$D$8)/2))+SQRT(1-'Control Room'!$B$9^2)*(BB178-IF('Control Room'!$B$5="Normal",'Control Room'!$B$7,('Control Room'!$B$8+'Control Room'!$D$8)/2))</x:f>
        <x:v>1172.6473476090498</x:v>
      </x:c>
      <x:c r="BD178" s="17" t="n">
        <x:f>IF(AND($A178&gt;='Control Room'!$A$13,$A178&lt;'Control Room'!$A$13+'Control Room'!$B$13,'Process'!BU2=1),1+('Control Room'!$C$13-1)*EXP(-0.5*(($A178-'Control Room'!$A$13-('Control Room'!$B$13-1)/2)/MAX(0.5,'Control Room'!$B$13/4))^2),1)*IF(AND($A178&gt;='Control Room'!$A$14,$A178&lt;'Control Room'!$A$14+'Control Room'!$B$14,'Process'!BU3=1),1+('Control Room'!$C$14-1)*EXP(-0.5*(($A178-'Control Room'!$A$14-('Control Room'!$B$14-1)/2)/MAX(0.5,'Control Room'!$B$14/4))^2),1)*IF(AND($A178&gt;='Control Room'!$A$15,$A178&lt;'Control Room'!$A$15+'Control Room'!$B$15,'Process'!BU4=1),1+('Control Room'!$C$15-1)*EXP(-0.5*(($A178-'Control Room'!$A$15-('Control Room'!$B$15-1)/2)/MAX(0.5,'Control Room'!$B$15/4))^2),1)*IF(AND($A178&gt;='Control Room'!$A$16,$A178&lt;'Control Room'!$A$16+'Control Room'!$B$16,'Process'!BU5=1),1+('Control Room'!$C$16-1)*EXP(-0.5*(($A178-'Control Room'!$A$16-('Control Room'!$B$16-1)/2)/MAX(0.5,'Control Room'!$B$16/4))^2),1)</x:f>
        <x:v>1</x:v>
      </x:c>
      <x:c r="BE178" s="9" t="n">
        <x:f>MOD(BF177*16807,2147483647)</x:f>
        <x:v>1239262177</x:v>
      </x:c>
      <x:c r="BF178" s="9" t="n">
        <x:f>MOD(BE178*16807,2147483647)</x:f>
        <x:v>1983000233</x:v>
      </x:c>
      <x:c r="BG178" s="17" t="n">
        <x:f>IF('Control Room'!$B$5="Normal",'Control Room'!$B$7+'Control Room'!$D$7*SQRT(-2*LN(MAX(0.000000000001,BE178/2147483647)))*COS(2*PI()*BF178/2147483647),'Control Room'!$B$8+('Control Room'!$D$8-'Control Room'!$B$8)*BE178/2147483647)</x:f>
        <x:v>1083.6546213679203</x:v>
      </x:c>
      <x:c r="BH178" s="17" t="n">
        <x:f>IF('Control Room'!$B$5="Normal",'Control Room'!$B$7,('Control Room'!$B$8+'Control Room'!$D$8)/2)+'Control Room'!$B$9*(BH177-IF('Control Room'!$B$5="Normal",'Control Room'!$B$7,('Control Room'!$B$8+'Control Room'!$D$8)/2))+SQRT(1-'Control Room'!$B$9^2)*(BG178-IF('Control Room'!$B$5="Normal",'Control Room'!$B$7,('Control Room'!$B$8+'Control Room'!$D$8)/2))</x:f>
        <x:v>1196.2453441517425</x:v>
      </x:c>
      <x:c r="BI178" s="17" t="n">
        <x:f>IF(AND($A178&gt;='Control Room'!$A$13,$A178&lt;'Control Room'!$A$13+'Control Room'!$B$13,'Process'!BV2=1),1+('Control Room'!$C$13-1)*EXP(-0.5*(($A178-'Control Room'!$A$13-('Control Room'!$B$13-1)/2)/MAX(0.5,'Control Room'!$B$13/4))^2),1)*IF(AND($A178&gt;='Control Room'!$A$14,$A178&lt;'Control Room'!$A$14+'Control Room'!$B$14,'Process'!BV3=1),1+('Control Room'!$C$14-1)*EXP(-0.5*(($A178-'Control Room'!$A$14-('Control Room'!$B$14-1)/2)/MAX(0.5,'Control Room'!$B$14/4))^2),1)*IF(AND($A178&gt;='Control Room'!$A$15,$A178&lt;'Control Room'!$A$15+'Control Room'!$B$15,'Process'!BV4=1),1+('Control Room'!$C$15-1)*EXP(-0.5*(($A178-'Control Room'!$A$15-('Control Room'!$B$15-1)/2)/MAX(0.5,'Control Room'!$B$15/4))^2),1)*IF(AND($A178&gt;='Control Room'!$A$16,$A178&lt;'Control Room'!$A$16+'Control Room'!$B$16,'Process'!BV5=1),1+('Control Room'!$C$16-1)*EXP(-0.5*(($A178-'Control Room'!$A$16-('Control Room'!$B$16-1)/2)/MAX(0.5,'Control Room'!$B$16/4))^2),1)</x:f>
        <x:v>1</x:v>
      </x:c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Z178" t="str">
        <x:f>IF('Data'!A178="","",TEXT('Data'!A178,"mm-dd"))</x:f>
      </x:c>
    </x:row>
    <x:row r="179" ht="21" customHeight="1">
      <x:c r="A179" s="15" t="n">
        <x:f>'Control Room'!$B$1+177</x:f>
        <x:v>73168</x:v>
      </x:c>
      <x:c r="B179" s="9" t="n">
        <x:f>MOD(C178*16807,2147483647)</x:f>
        <x:v>1871227602</x:v>
      </x:c>
      <x:c r="C179" s="9" t="n">
        <x:f>MOD(B179*16807,2147483647)</x:f>
        <x:v>1971780146</x:v>
      </x:c>
      <x:c r="D179" s="17" t="n">
        <x:f>IF('Control Room'!$B$5="Normal",'Control Room'!$B$7+'Control Room'!$D$7*SQRT(-2*LN(MAX(0.000000000001,B179/2147483647)))*COS(2*PI()*C179/2147483647),'Control Room'!$B$8+('Control Room'!$D$8-'Control Room'!$B$8)*B179/2147483647)</x:f>
        <x:v>1041.1262453443417</x:v>
      </x:c>
      <x:c r="E179" s="17" t="n">
        <x:f>IF('Control Room'!$B$5="Normal",'Control Room'!$B$7,('Control Room'!$B$8+'Control Room'!$D$8)/2)+'Control Room'!$B$9*(E178-IF('Control Room'!$B$5="Normal",'Control Room'!$B$7,('Control Room'!$B$8+'Control Room'!$D$8)/2))+SQRT(1-'Control Room'!$B$9^2)*(D179-IF('Control Room'!$B$5="Normal",'Control Room'!$B$7,('Control Room'!$B$8+'Control Room'!$D$8)/2))</x:f>
        <x:v>1025.2829248523622</x:v>
      </x:c>
      <x:c r="F179" s="17" t="n">
        <x:f>IF(AND($A179&gt;='Control Room'!$A$13,$A179&lt;'Control Room'!$A$13+'Control Room'!$B$13,'Process'!BK2=1),1+('Control Room'!$C$13-1)*EXP(-0.5*(($A179-'Control Room'!$A$13-('Control Room'!$B$13-1)/2)/MAX(0.5,'Control Room'!$B$13/4))^2),1)*IF(AND($A179&gt;='Control Room'!$A$14,$A179&lt;'Control Room'!$A$14+'Control Room'!$B$14,'Process'!BK3=1),1+('Control Room'!$C$14-1)*EXP(-0.5*(($A179-'Control Room'!$A$14-('Control Room'!$B$14-1)/2)/MAX(0.5,'Control Room'!$B$14/4))^2),1)*IF(AND($A179&gt;='Control Room'!$A$15,$A179&lt;'Control Room'!$A$15+'Control Room'!$B$15,'Process'!BK4=1),1+('Control Room'!$C$15-1)*EXP(-0.5*(($A179-'Control Room'!$A$15-('Control Room'!$B$15-1)/2)/MAX(0.5,'Control Room'!$B$15/4))^2),1)*IF(AND($A179&gt;='Control Room'!$A$16,$A179&lt;'Control Room'!$A$16+'Control Room'!$B$16,'Process'!BK5=1),1+('Control Room'!$C$16-1)*EXP(-0.5*(($A179-'Control Room'!$A$16-('Control Room'!$B$16-1)/2)/MAX(0.5,'Control Room'!$B$16/4))^2),1)</x:f>
        <x:v>1</x:v>
      </x:c>
      <x:c r="G179" s="9" t="n">
        <x:f>MOD(H178*16807,2147483647)</x:f>
        <x:v>664870216</x:v>
      </x:c>
      <x:c r="H179" s="9" t="n">
        <x:f>MOD(G179*16807,2147483647)</x:f>
        <x:v>1116304971</x:v>
      </x:c>
      <x:c r="I179" s="17" t="n">
        <x:f>IF('Control Room'!$B$5="Normal",'Control Room'!$B$7+'Control Room'!$D$7*SQRT(-2*LN(MAX(0.000000000001,G179/2147483647)))*COS(2*PI()*H179/2147483647),'Control Room'!$B$8+('Control Room'!$D$8-'Control Room'!$B$8)*G179/2147483647)</x:f>
        <x:v>863.2490954101075</x:v>
      </x:c>
      <x:c r="J179" s="17" t="n">
        <x:f>IF('Control Room'!$B$5="Normal",'Control Room'!$B$7,('Control Room'!$B$8+'Control Room'!$D$8)/2)+'Control Room'!$B$9*(J178-IF('Control Room'!$B$5="Normal",'Control Room'!$B$7,('Control Room'!$B$8+'Control Room'!$D$8)/2))+SQRT(1-'Control Room'!$B$9^2)*(I179-IF('Control Room'!$B$5="Normal",'Control Room'!$B$7,('Control Room'!$B$8+'Control Room'!$D$8)/2))</x:f>
        <x:v>929.70950477267</x:v>
      </x:c>
      <x:c r="K179" s="17" t="n">
        <x:f>IF(AND($A179&gt;='Control Room'!$A$13,$A179&lt;'Control Room'!$A$13+'Control Room'!$B$13,'Process'!BL2=1),1+('Control Room'!$C$13-1)*EXP(-0.5*(($A179-'Control Room'!$A$13-('Control Room'!$B$13-1)/2)/MAX(0.5,'Control Room'!$B$13/4))^2),1)*IF(AND($A179&gt;='Control Room'!$A$14,$A179&lt;'Control Room'!$A$14+'Control Room'!$B$14,'Process'!BL3=1),1+('Control Room'!$C$14-1)*EXP(-0.5*(($A179-'Control Room'!$A$14-('Control Room'!$B$14-1)/2)/MAX(0.5,'Control Room'!$B$14/4))^2),1)*IF(AND($A179&gt;='Control Room'!$A$15,$A179&lt;'Control Room'!$A$15+'Control Room'!$B$15,'Process'!BL4=1),1+('Control Room'!$C$15-1)*EXP(-0.5*(($A179-'Control Room'!$A$15-('Control Room'!$B$15-1)/2)/MAX(0.5,'Control Room'!$B$15/4))^2),1)*IF(AND($A179&gt;='Control Room'!$A$16,$A179&lt;'Control Room'!$A$16+'Control Room'!$B$16,'Process'!BL5=1),1+('Control Room'!$C$16-1)*EXP(-0.5*(($A179-'Control Room'!$A$16-('Control Room'!$B$16-1)/2)/MAX(0.5,'Control Room'!$B$16/4))^2),1)</x:f>
        <x:v>1</x:v>
      </x:c>
      <x:c r="L179" s="9" t="n">
        <x:f>MOD(M178*16807,2147483647)</x:f>
        <x:v>1605996477</x:v>
      </x:c>
      <x:c r="M179" s="9" t="n">
        <x:f>MOD(L179*16807,2147483647)</x:f>
        <x:v>260829796</x:v>
      </x:c>
      <x:c r="N179" s="17" t="n">
        <x:f>IF('Control Room'!$B$5="Normal",'Control Room'!$B$7+'Control Room'!$D$7*SQRT(-2*LN(MAX(0.000000000001,L179/2147483647)))*COS(2*PI()*M179/2147483647),'Control Room'!$B$8+('Control Room'!$D$8-'Control Room'!$B$8)*L179/2147483647)</x:f>
        <x:v>1049.5800632574837</x:v>
      </x:c>
      <x:c r="O179" s="17" t="n">
        <x:f>IF('Control Room'!$B$5="Normal",'Control Room'!$B$7,('Control Room'!$B$8+'Control Room'!$D$8)/2)+'Control Room'!$B$9*(O178-IF('Control Room'!$B$5="Normal",'Control Room'!$B$7,('Control Room'!$B$8+'Control Room'!$D$8)/2))+SQRT(1-'Control Room'!$B$9^2)*(N179-IF('Control Room'!$B$5="Normal",'Control Room'!$B$7,('Control Room'!$B$8+'Control Room'!$D$8)/2))</x:f>
        <x:v>1049.4463980759822</x:v>
      </x:c>
      <x:c r="P179" s="17" t="n">
        <x:f>IF(AND($A179&gt;='Control Room'!$A$13,$A179&lt;'Control Room'!$A$13+'Control Room'!$B$13,'Process'!BM2=1),1+('Control Room'!$C$13-1)*EXP(-0.5*(($A179-'Control Room'!$A$13-('Control Room'!$B$13-1)/2)/MAX(0.5,'Control Room'!$B$13/4))^2),1)*IF(AND($A179&gt;='Control Room'!$A$14,$A179&lt;'Control Room'!$A$14+'Control Room'!$B$14,'Process'!BM3=1),1+('Control Room'!$C$14-1)*EXP(-0.5*(($A179-'Control Room'!$A$14-('Control Room'!$B$14-1)/2)/MAX(0.5,'Control Room'!$B$14/4))^2),1)*IF(AND($A179&gt;='Control Room'!$A$15,$A179&lt;'Control Room'!$A$15+'Control Room'!$B$15,'Process'!BM4=1),1+('Control Room'!$C$15-1)*EXP(-0.5*(($A179-'Control Room'!$A$15-('Control Room'!$B$15-1)/2)/MAX(0.5,'Control Room'!$B$15/4))^2),1)*IF(AND($A179&gt;='Control Room'!$A$16,$A179&lt;'Control Room'!$A$16+'Control Room'!$B$16,'Process'!BM5=1),1+('Control Room'!$C$16-1)*EXP(-0.5*(($A179-'Control Room'!$A$16-('Control Room'!$B$16-1)/2)/MAX(0.5,'Control Room'!$B$16/4))^2),1)</x:f>
        <x:v>1</x:v>
      </x:c>
      <x:c r="Q179" s="9" t="n">
        <x:f>MOD(R178*16807,2147483647)</x:f>
        <x:v>399639091</x:v>
      </x:c>
      <x:c r="R179" s="9" t="n">
        <x:f>MOD(Q179*16807,2147483647)</x:f>
        <x:v>1552838268</x:v>
      </x:c>
      <x:c r="S179" s="17" t="n">
        <x:f>IF('Control Room'!$B$5="Normal",'Control Room'!$B$7+'Control Room'!$D$7*SQRT(-2*LN(MAX(0.000000000001,Q179/2147483647)))*COS(2*PI()*R179/2147483647),'Control Room'!$B$8+('Control Room'!$D$8-'Control Room'!$B$8)*Q179/2147483647)</x:f>
        <x:v>972.233547715293</x:v>
      </x:c>
      <x:c r="T179" s="17" t="n">
        <x:f>IF('Control Room'!$B$5="Normal",'Control Room'!$B$7,('Control Room'!$B$8+'Control Room'!$D$8)/2)+'Control Room'!$B$9*(T178-IF('Control Room'!$B$5="Normal",'Control Room'!$B$7,('Control Room'!$B$8+'Control Room'!$D$8)/2))+SQRT(1-'Control Room'!$B$9^2)*(S179-IF('Control Room'!$B$5="Normal",'Control Room'!$B$7,('Control Room'!$B$8+'Control Room'!$D$8)/2))</x:f>
        <x:v>931.9891195426861</x:v>
      </x:c>
      <x:c r="U179" s="17" t="n">
        <x:f>IF(AND($A179&gt;='Control Room'!$A$13,$A179&lt;'Control Room'!$A$13+'Control Room'!$B$13,'Process'!BN2=1),1+('Control Room'!$C$13-1)*EXP(-0.5*(($A179-'Control Room'!$A$13-('Control Room'!$B$13-1)/2)/MAX(0.5,'Control Room'!$B$13/4))^2),1)*IF(AND($A179&gt;='Control Room'!$A$14,$A179&lt;'Control Room'!$A$14+'Control Room'!$B$14,'Process'!BN3=1),1+('Control Room'!$C$14-1)*EXP(-0.5*(($A179-'Control Room'!$A$14-('Control Room'!$B$14-1)/2)/MAX(0.5,'Control Room'!$B$14/4))^2),1)*IF(AND($A179&gt;='Control Room'!$A$15,$A179&lt;'Control Room'!$A$15+'Control Room'!$B$15,'Process'!BN4=1),1+('Control Room'!$C$15-1)*EXP(-0.5*(($A179-'Control Room'!$A$15-('Control Room'!$B$15-1)/2)/MAX(0.5,'Control Room'!$B$15/4))^2),1)*IF(AND($A179&gt;='Control Room'!$A$16,$A179&lt;'Control Room'!$A$16+'Control Room'!$B$16,'Process'!BN5=1),1+('Control Room'!$C$16-1)*EXP(-0.5*(($A179-'Control Room'!$A$16-('Control Room'!$B$16-1)/2)/MAX(0.5,'Control Room'!$B$16/4))^2),1)</x:f>
        <x:v>1</x:v>
      </x:c>
      <x:c r="V179" s="9" t="n">
        <x:f>MOD(W178*16807,2147483647)</x:f>
        <x:v>1340765352</x:v>
      </x:c>
      <x:c r="W179" s="9" t="n">
        <x:f>MOD(V179*16807,2147483647)</x:f>
        <x:v>697363093</x:v>
      </x:c>
      <x:c r="X179" s="17" t="n">
        <x:f>IF('Control Room'!$B$5="Normal",'Control Room'!$B$7+'Control Room'!$D$7*SQRT(-2*LN(MAX(0.000000000001,V179/2147483647)))*COS(2*PI()*W179/2147483647),'Control Room'!$B$8+('Control Room'!$D$8-'Control Room'!$B$8)*V179/2147483647)</x:f>
        <x:v>960.4707604432989</x:v>
      </x:c>
      <x:c r="Y179" s="17" t="n">
        <x:f>IF('Control Room'!$B$5="Normal",'Control Room'!$B$7,('Control Room'!$B$8+'Control Room'!$D$8)/2)+'Control Room'!$B$9*(Y178-IF('Control Room'!$B$5="Normal",'Control Room'!$B$7,('Control Room'!$B$8+'Control Room'!$D$8)/2))+SQRT(1-'Control Room'!$B$9^2)*(X179-IF('Control Room'!$B$5="Normal",'Control Room'!$B$7,('Control Room'!$B$8+'Control Room'!$D$8)/2))</x:f>
        <x:v>930.0575950044584</x:v>
      </x:c>
      <x:c r="Z179" s="17" t="n">
        <x:f>IF(AND($A179&gt;='Control Room'!$A$13,$A179&lt;'Control Room'!$A$13+'Control Room'!$B$13,'Process'!BO2=1),1+('Control Room'!$C$13-1)*EXP(-0.5*(($A179-'Control Room'!$A$13-('Control Room'!$B$13-1)/2)/MAX(0.5,'Control Room'!$B$13/4))^2),1)*IF(AND($A179&gt;='Control Room'!$A$14,$A179&lt;'Control Room'!$A$14+'Control Room'!$B$14,'Process'!BO3=1),1+('Control Room'!$C$14-1)*EXP(-0.5*(($A179-'Control Room'!$A$14-('Control Room'!$B$14-1)/2)/MAX(0.5,'Control Room'!$B$14/4))^2),1)*IF(AND($A179&gt;='Control Room'!$A$15,$A179&lt;'Control Room'!$A$15+'Control Room'!$B$15,'Process'!BO4=1),1+('Control Room'!$C$15-1)*EXP(-0.5*(($A179-'Control Room'!$A$15-('Control Room'!$B$15-1)/2)/MAX(0.5,'Control Room'!$B$15/4))^2),1)*IF(AND($A179&gt;='Control Room'!$A$16,$A179&lt;'Control Room'!$A$16+'Control Room'!$B$16,'Process'!BO5=1),1+('Control Room'!$C$16-1)*EXP(-0.5*(($A179-'Control Room'!$A$16-('Control Room'!$B$16-1)/2)/MAX(0.5,'Control Room'!$B$16/4))^2),1)</x:f>
        <x:v>1</x:v>
      </x:c>
      <x:c r="AA179" s="9" t="n">
        <x:f>MOD(AB178*16807,2147483647)</x:f>
        <x:v>134407966</x:v>
      </x:c>
      <x:c r="AB179" s="9" t="n">
        <x:f>MOD(AA179*16807,2147483647)</x:f>
        <x:v>1989371565</x:v>
      </x:c>
      <x:c r="AC179" s="17" t="n">
        <x:f>IF('Control Room'!$B$5="Normal",'Control Room'!$B$7+'Control Room'!$D$7*SQRT(-2*LN(MAX(0.000000000001,AA179/2147483647)))*COS(2*PI()*AB179/2147483647),'Control Room'!$B$8+('Control Room'!$D$8-'Control Room'!$B$8)*AA179/2147483647)</x:f>
        <x:v>1189.6091451940842</x:v>
      </x:c>
      <x:c r="AD179" s="17" t="n">
        <x:f>IF('Control Room'!$B$5="Normal",'Control Room'!$B$7,('Control Room'!$B$8+'Control Room'!$D$8)/2)+'Control Room'!$B$9*(AD178-IF('Control Room'!$B$5="Normal",'Control Room'!$B$7,('Control Room'!$B$8+'Control Room'!$D$8)/2))+SQRT(1-'Control Room'!$B$9^2)*(AC179-IF('Control Room'!$B$5="Normal",'Control Room'!$B$7,('Control Room'!$B$8+'Control Room'!$D$8)/2))</x:f>
        <x:v>1059.6284457033064</x:v>
      </x:c>
      <x:c r="AE179" s="17" t="n">
        <x:f>IF(AND($A179&gt;='Control Room'!$A$13,$A179&lt;'Control Room'!$A$13+'Control Room'!$B$13,'Process'!BP2=1),1+('Control Room'!$C$13-1)*EXP(-0.5*(($A179-'Control Room'!$A$13-('Control Room'!$B$13-1)/2)/MAX(0.5,'Control Room'!$B$13/4))^2),1)*IF(AND($A179&gt;='Control Room'!$A$14,$A179&lt;'Control Room'!$A$14+'Control Room'!$B$14,'Process'!BP3=1),1+('Control Room'!$C$14-1)*EXP(-0.5*(($A179-'Control Room'!$A$14-('Control Room'!$B$14-1)/2)/MAX(0.5,'Control Room'!$B$14/4))^2),1)*IF(AND($A179&gt;='Control Room'!$A$15,$A179&lt;'Control Room'!$A$15+'Control Room'!$B$15,'Process'!BP4=1),1+('Control Room'!$C$15-1)*EXP(-0.5*(($A179-'Control Room'!$A$15-('Control Room'!$B$15-1)/2)/MAX(0.5,'Control Room'!$B$15/4))^2),1)*IF(AND($A179&gt;='Control Room'!$A$16,$A179&lt;'Control Room'!$A$16+'Control Room'!$B$16,'Process'!BP5=1),1+('Control Room'!$C$16-1)*EXP(-0.5*(($A179-'Control Room'!$A$16-('Control Room'!$B$16-1)/2)/MAX(0.5,'Control Room'!$B$16/4))^2),1)</x:f>
        <x:v>1</x:v>
      </x:c>
      <x:c r="AF179" s="9" t="n">
        <x:f>MOD(AG178*16807,2147483647)</x:f>
        <x:v>1075534227</x:v>
      </x:c>
      <x:c r="AG179" s="9" t="n">
        <x:f>MOD(AF179*16807,2147483647)</x:f>
        <x:v>1133896390</x:v>
      </x:c>
      <x:c r="AH179" s="17" t="n">
        <x:f>IF('Control Room'!$B$5="Normal",'Control Room'!$B$7+'Control Room'!$D$7*SQRT(-2*LN(MAX(0.000000000001,AF179/2147483647)))*COS(2*PI()*AG179/2147483647),'Control Room'!$B$8+('Control Room'!$D$8-'Control Room'!$B$8)*AF179/2147483647)</x:f>
        <x:v>895.7957254810883</x:v>
      </x:c>
      <x:c r="AI179" s="17" t="n">
        <x:f>IF('Control Room'!$B$5="Normal",'Control Room'!$B$7,('Control Room'!$B$8+'Control Room'!$D$8)/2)+'Control Room'!$B$9*(AI178-IF('Control Room'!$B$5="Normal",'Control Room'!$B$7,('Control Room'!$B$8+'Control Room'!$D$8)/2))+SQRT(1-'Control Room'!$B$9^2)*(AH179-IF('Control Room'!$B$5="Normal",'Control Room'!$B$7,('Control Room'!$B$8+'Control Room'!$D$8)/2))</x:f>
        <x:v>938.6389296096063</x:v>
      </x:c>
      <x:c r="AJ179" s="17" t="n">
        <x:f>IF(AND($A179&gt;='Control Room'!$A$13,$A179&lt;'Control Room'!$A$13+'Control Room'!$B$13,'Process'!BQ2=1),1+('Control Room'!$C$13-1)*EXP(-0.5*(($A179-'Control Room'!$A$13-('Control Room'!$B$13-1)/2)/MAX(0.5,'Control Room'!$B$13/4))^2),1)*IF(AND($A179&gt;='Control Room'!$A$14,$A179&lt;'Control Room'!$A$14+'Control Room'!$B$14,'Process'!BQ3=1),1+('Control Room'!$C$14-1)*EXP(-0.5*(($A179-'Control Room'!$A$14-('Control Room'!$B$14-1)/2)/MAX(0.5,'Control Room'!$B$14/4))^2),1)*IF(AND($A179&gt;='Control Room'!$A$15,$A179&lt;'Control Room'!$A$15+'Control Room'!$B$15,'Process'!BQ4=1),1+('Control Room'!$C$15-1)*EXP(-0.5*(($A179-'Control Room'!$A$15-('Control Room'!$B$15-1)/2)/MAX(0.5,'Control Room'!$B$15/4))^2),1)*IF(AND($A179&gt;='Control Room'!$A$16,$A179&lt;'Control Room'!$A$16+'Control Room'!$B$16,'Process'!BQ5=1),1+('Control Room'!$C$16-1)*EXP(-0.5*(($A179-'Control Room'!$A$16-('Control Room'!$B$16-1)/2)/MAX(0.5,'Control Room'!$B$16/4))^2),1)</x:f>
        <x:v>1</x:v>
      </x:c>
      <x:c r="AK179" s="9" t="n">
        <x:f>MOD(AL178*16807,2147483647)</x:f>
        <x:v>2016660488</x:v>
      </x:c>
      <x:c r="AL179" s="9" t="n">
        <x:f>MOD(AK179*16807,2147483647)</x:f>
        <x:v>278421215</x:v>
      </x:c>
      <x:c r="AM179" s="17" t="n">
        <x:f>IF('Control Room'!$B$5="Normal",'Control Room'!$B$7+'Control Room'!$D$7*SQRT(-2*LN(MAX(0.000000000001,AK179/2147483647)))*COS(2*PI()*AL179/2147483647),'Control Room'!$B$8+('Control Room'!$D$8-'Control Room'!$B$8)*AK179/2147483647)</x:f>
        <x:v>1021.894831665972</x:v>
      </x:c>
      <x:c r="AN179" s="17" t="n">
        <x:f>IF('Control Room'!$B$5="Normal",'Control Room'!$B$7,('Control Room'!$B$8+'Control Room'!$D$8)/2)+'Control Room'!$B$9*(AN178-IF('Control Room'!$B$5="Normal",'Control Room'!$B$7,('Control Room'!$B$8+'Control Room'!$D$8)/2))+SQRT(1-'Control Room'!$B$9^2)*(AM179-IF('Control Room'!$B$5="Normal",'Control Room'!$B$7,('Control Room'!$B$8+'Control Room'!$D$8)/2))</x:f>
        <x:v>1007.7318569616164</x:v>
      </x:c>
      <x:c r="AO179" s="17" t="n">
        <x:f>IF(AND($A179&gt;='Control Room'!$A$13,$A179&lt;'Control Room'!$A$13+'Control Room'!$B$13,'Process'!BR2=1),1+('Control Room'!$C$13-1)*EXP(-0.5*(($A179-'Control Room'!$A$13-('Control Room'!$B$13-1)/2)/MAX(0.5,'Control Room'!$B$13/4))^2),1)*IF(AND($A179&gt;='Control Room'!$A$14,$A179&lt;'Control Room'!$A$14+'Control Room'!$B$14,'Process'!BR3=1),1+('Control Room'!$C$14-1)*EXP(-0.5*(($A179-'Control Room'!$A$14-('Control Room'!$B$14-1)/2)/MAX(0.5,'Control Room'!$B$14/4))^2),1)*IF(AND($A179&gt;='Control Room'!$A$15,$A179&lt;'Control Room'!$A$15+'Control Room'!$B$15,'Process'!BR4=1),1+('Control Room'!$C$15-1)*EXP(-0.5*(($A179-'Control Room'!$A$15-('Control Room'!$B$15-1)/2)/MAX(0.5,'Control Room'!$B$15/4))^2),1)*IF(AND($A179&gt;='Control Room'!$A$16,$A179&lt;'Control Room'!$A$16+'Control Room'!$B$16,'Process'!BR5=1),1+('Control Room'!$C$16-1)*EXP(-0.5*(($A179-'Control Room'!$A$16-('Control Room'!$B$16-1)/2)/MAX(0.5,'Control Room'!$B$16/4))^2),1)</x:f>
        <x:v>1</x:v>
      </x:c>
      <x:c r="AP179" s="9" t="n">
        <x:f>MOD(AQ178*16807,2147483647)</x:f>
        <x:v>810303102</x:v>
      </x:c>
      <x:c r="AQ179" s="9" t="n">
        <x:f>MOD(AP179*16807,2147483647)</x:f>
        <x:v>1570429687</x:v>
      </x:c>
      <x:c r="AR179" s="17" t="n">
        <x:f>IF('Control Room'!$B$5="Normal",'Control Room'!$B$7+'Control Room'!$D$7*SQRT(-2*LN(MAX(0.000000000001,AP179/2147483647)))*COS(2*PI()*AQ179/2147483647),'Control Room'!$B$8+('Control Room'!$D$8-'Control Room'!$B$8)*AP179/2147483647)</x:f>
        <x:v>985.2608528385811</x:v>
      </x:c>
      <x:c r="AS179" s="17" t="n">
        <x:f>IF('Control Room'!$B$5="Normal",'Control Room'!$B$7,('Control Room'!$B$8+'Control Room'!$D$8)/2)+'Control Room'!$B$9*(AS178-IF('Control Room'!$B$5="Normal",'Control Room'!$B$7,('Control Room'!$B$8+'Control Room'!$D$8)/2))+SQRT(1-'Control Room'!$B$9^2)*(AR179-IF('Control Room'!$B$5="Normal",'Control Room'!$B$7,('Control Room'!$B$8+'Control Room'!$D$8)/2))</x:f>
        <x:v>967.9655735003755</x:v>
      </x:c>
      <x:c r="AT179" s="17" t="n">
        <x:f>IF(AND($A179&gt;='Control Room'!$A$13,$A179&lt;'Control Room'!$A$13+'Control Room'!$B$13,'Process'!BS2=1),1+('Control Room'!$C$13-1)*EXP(-0.5*(($A179-'Control Room'!$A$13-('Control Room'!$B$13-1)/2)/MAX(0.5,'Control Room'!$B$13/4))^2),1)*IF(AND($A179&gt;='Control Room'!$A$14,$A179&lt;'Control Room'!$A$14+'Control Room'!$B$14,'Process'!BS3=1),1+('Control Room'!$C$14-1)*EXP(-0.5*(($A179-'Control Room'!$A$14-('Control Room'!$B$14-1)/2)/MAX(0.5,'Control Room'!$B$14/4))^2),1)*IF(AND($A179&gt;='Control Room'!$A$15,$A179&lt;'Control Room'!$A$15+'Control Room'!$B$15,'Process'!BS4=1),1+('Control Room'!$C$15-1)*EXP(-0.5*(($A179-'Control Room'!$A$15-('Control Room'!$B$15-1)/2)/MAX(0.5,'Control Room'!$B$15/4))^2),1)*IF(AND($A179&gt;='Control Room'!$A$16,$A179&lt;'Control Room'!$A$16+'Control Room'!$B$16,'Process'!BS5=1),1+('Control Room'!$C$16-1)*EXP(-0.5*(($A179-'Control Room'!$A$16-('Control Room'!$B$16-1)/2)/MAX(0.5,'Control Room'!$B$16/4))^2),1)</x:f>
        <x:v>1</x:v>
      </x:c>
      <x:c r="AU179" s="9" t="n">
        <x:f>MOD(AV178*16807,2147483647)</x:f>
        <x:v>1751429363</x:v>
      </x:c>
      <x:c r="AV179" s="9" t="n">
        <x:f>MOD(AU179*16807,2147483647)</x:f>
        <x:v>714954512</x:v>
      </x:c>
      <x:c r="AW179" s="17" t="n">
        <x:f>IF('Control Room'!$B$5="Normal",'Control Room'!$B$7+'Control Room'!$D$7*SQRT(-2*LN(MAX(0.000000000001,AU179/2147483647)))*COS(2*PI()*AV179/2147483647),'Control Room'!$B$8+('Control Room'!$D$8-'Control Room'!$B$8)*AU179/2147483647)</x:f>
        <x:v>971.3931210945943</x:v>
      </x:c>
      <x:c r="AX179" s="17" t="n">
        <x:f>IF('Control Room'!$B$5="Normal",'Control Room'!$B$7,('Control Room'!$B$8+'Control Room'!$D$8)/2)+'Control Room'!$B$9*(AX178-IF('Control Room'!$B$5="Normal",'Control Room'!$B$7,('Control Room'!$B$8+'Control Room'!$D$8)/2))+SQRT(1-'Control Room'!$B$9^2)*(AW179-IF('Control Room'!$B$5="Normal",'Control Room'!$B$7,('Control Room'!$B$8+'Control Room'!$D$8)/2))</x:f>
        <x:v>1040.5706449684524</x:v>
      </x:c>
      <x:c r="AY179" s="17" t="n">
        <x:f>IF(AND($A179&gt;='Control Room'!$A$13,$A179&lt;'Control Room'!$A$13+'Control Room'!$B$13,'Process'!BT2=1),1+('Control Room'!$C$13-1)*EXP(-0.5*(($A179-'Control Room'!$A$13-('Control Room'!$B$13-1)/2)/MAX(0.5,'Control Room'!$B$13/4))^2),1)*IF(AND($A179&gt;='Control Room'!$A$14,$A179&lt;'Control Room'!$A$14+'Control Room'!$B$14,'Process'!BT3=1),1+('Control Room'!$C$14-1)*EXP(-0.5*(($A179-'Control Room'!$A$14-('Control Room'!$B$14-1)/2)/MAX(0.5,'Control Room'!$B$14/4))^2),1)*IF(AND($A179&gt;='Control Room'!$A$15,$A179&lt;'Control Room'!$A$15+'Control Room'!$B$15,'Process'!BT4=1),1+('Control Room'!$C$15-1)*EXP(-0.5*(($A179-'Control Room'!$A$15-('Control Room'!$B$15-1)/2)/MAX(0.5,'Control Room'!$B$15/4))^2),1)*IF(AND($A179&gt;='Control Room'!$A$16,$A179&lt;'Control Room'!$A$16+'Control Room'!$B$16,'Process'!BT5=1),1+('Control Room'!$C$16-1)*EXP(-0.5*(($A179-'Control Room'!$A$16-('Control Room'!$B$16-1)/2)/MAX(0.5,'Control Room'!$B$16/4))^2),1)</x:f>
        <x:v>1</x:v>
      </x:c>
      <x:c r="AZ179" s="9" t="n">
        <x:f>MOD(BA178*16807,2147483647)</x:f>
        <x:v>545071977</x:v>
      </x:c>
      <x:c r="BA179" s="9" t="n">
        <x:f>MOD(AZ179*16807,2147483647)</x:f>
        <x:v>2006962984</x:v>
      </x:c>
      <x:c r="BB179" s="17" t="n">
        <x:f>IF('Control Room'!$B$5="Normal",'Control Room'!$B$7+'Control Room'!$D$7*SQRT(-2*LN(MAX(0.000000000001,AZ179/2147483647)))*COS(2*PI()*BA179/2147483647),'Control Room'!$B$8+('Control Room'!$D$8-'Control Room'!$B$8)*AZ179/2147483647)</x:f>
        <x:v>1136.6181620119494</x:v>
      </x:c>
      <x:c r="BC179" s="17" t="n">
        <x:f>IF('Control Room'!$B$5="Normal",'Control Room'!$B$7,('Control Room'!$B$8+'Control Room'!$D$8)/2)+'Control Room'!$B$9*(BC178-IF('Control Room'!$B$5="Normal",'Control Room'!$B$7,('Control Room'!$B$8+'Control Room'!$D$8)/2))+SQRT(1-'Control Room'!$B$9^2)*(BB179-IF('Control Room'!$B$5="Normal",'Control Room'!$B$7,('Control Room'!$B$8+'Control Room'!$D$8)/2))</x:f>
        <x:v>1220.157778146961</x:v>
      </x:c>
      <x:c r="BD179" s="17" t="n">
        <x:f>IF(AND($A179&gt;='Control Room'!$A$13,$A179&lt;'Control Room'!$A$13+'Control Room'!$B$13,'Process'!BU2=1),1+('Control Room'!$C$13-1)*EXP(-0.5*(($A179-'Control Room'!$A$13-('Control Room'!$B$13-1)/2)/MAX(0.5,'Control Room'!$B$13/4))^2),1)*IF(AND($A179&gt;='Control Room'!$A$14,$A179&lt;'Control Room'!$A$14+'Control Room'!$B$14,'Process'!BU3=1),1+('Control Room'!$C$14-1)*EXP(-0.5*(($A179-'Control Room'!$A$14-('Control Room'!$B$14-1)/2)/MAX(0.5,'Control Room'!$B$14/4))^2),1)*IF(AND($A179&gt;='Control Room'!$A$15,$A179&lt;'Control Room'!$A$15+'Control Room'!$B$15,'Process'!BU4=1),1+('Control Room'!$C$15-1)*EXP(-0.5*(($A179-'Control Room'!$A$15-('Control Room'!$B$15-1)/2)/MAX(0.5,'Control Room'!$B$15/4))^2),1)*IF(AND($A179&gt;='Control Room'!$A$16,$A179&lt;'Control Room'!$A$16+'Control Room'!$B$16,'Process'!BU5=1),1+('Control Room'!$C$16-1)*EXP(-0.5*(($A179-'Control Room'!$A$16-('Control Room'!$B$16-1)/2)/MAX(0.5,'Control Room'!$B$16/4))^2),1)</x:f>
        <x:v>1</x:v>
      </x:c>
      <x:c r="BE179" s="9" t="n">
        <x:f>MOD(BF178*16807,2147483647)</x:f>
        <x:v>1486198238</x:v>
      </x:c>
      <x:c r="BF179" s="9" t="n">
        <x:f>MOD(BE179*16807,2147483647)</x:f>
        <x:v>1151487809</x:v>
      </x:c>
      <x:c r="BG179" s="17" t="n">
        <x:f>IF('Control Room'!$B$5="Normal",'Control Room'!$B$7+'Control Room'!$D$7*SQRT(-2*LN(MAX(0.000000000001,BE179/2147483647)))*COS(2*PI()*BF179/2147483647),'Control Room'!$B$8+('Control Room'!$D$8-'Control Room'!$B$8)*BE179/2147483647)</x:f>
        <x:v>924.7698901207474</x:v>
      </x:c>
      <x:c r="BH179" s="17" t="n">
        <x:f>IF('Control Room'!$B$5="Normal",'Control Room'!$B$7,('Control Room'!$B$8+'Control Room'!$D$8)/2)+'Control Room'!$B$9*(BH178-IF('Control Room'!$B$5="Normal",'Control Room'!$B$7,('Control Room'!$B$8+'Control Room'!$D$8)/2))+SQRT(1-'Control Room'!$B$9^2)*(BG179-IF('Control Room'!$B$5="Normal",'Control Room'!$B$7,('Control Room'!$B$8+'Control Room'!$D$8)/2))</x:f>
        <x:v>1105.993906848494</x:v>
      </x:c>
      <x:c r="BI179" s="17" t="n">
        <x:f>IF(AND($A179&gt;='Control Room'!$A$13,$A179&lt;'Control Room'!$A$13+'Control Room'!$B$13,'Process'!BV2=1),1+('Control Room'!$C$13-1)*EXP(-0.5*(($A179-'Control Room'!$A$13-('Control Room'!$B$13-1)/2)/MAX(0.5,'Control Room'!$B$13/4))^2),1)*IF(AND($A179&gt;='Control Room'!$A$14,$A179&lt;'Control Room'!$A$14+'Control Room'!$B$14,'Process'!BV3=1),1+('Control Room'!$C$14-1)*EXP(-0.5*(($A179-'Control Room'!$A$14-('Control Room'!$B$14-1)/2)/MAX(0.5,'Control Room'!$B$14/4))^2),1)*IF(AND($A179&gt;='Control Room'!$A$15,$A179&lt;'Control Room'!$A$15+'Control Room'!$B$15,'Process'!BV4=1),1+('Control Room'!$C$15-1)*EXP(-0.5*(($A179-'Control Room'!$A$15-('Control Room'!$B$15-1)/2)/MAX(0.5,'Control Room'!$B$15/4))^2),1)*IF(AND($A179&gt;='Control Room'!$A$16,$A179&lt;'Control Room'!$A$16+'Control Room'!$B$16,'Process'!BV5=1),1+('Control Room'!$C$16-1)*EXP(-0.5*(($A179-'Control Room'!$A$16-('Control Room'!$B$16-1)/2)/MAX(0.5,'Control Room'!$B$16/4))^2),1)</x:f>
        <x:v>1</x:v>
      </x:c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Z179" t="str">
        <x:f>IF('Data'!A179="","",TEXT('Data'!A179,"mm-dd"))</x:f>
      </x:c>
    </x:row>
    <x:row r="180" ht="21" customHeight="1">
      <x:c r="A180" s="15" t="n">
        <x:f>'Control Room'!$B$1+178</x:f>
        <x:v>73169</x:v>
      </x:c>
      <x:c r="B180" s="9" t="n">
        <x:f>MOD(C179*16807,2147483647)</x:f>
        <x:v>1888756965</x:v>
      </x:c>
      <x:c r="C180" s="9" t="n">
        <x:f>MOD(B180*16807,2147483647)</x:f>
        <x:v>235040801</x:v>
      </x:c>
      <x:c r="D180" s="17" t="n">
        <x:f>IF('Control Room'!$B$5="Normal",'Control Room'!$B$7+'Control Room'!$D$7*SQRT(-2*LN(MAX(0.000000000001,B180/2147483647)))*COS(2*PI()*C180/2147483647),'Control Room'!$B$8+('Control Room'!$D$8-'Control Room'!$B$8)*B180/2147483647)</x:f>
        <x:v>1035.2388076386103</x:v>
      </x:c>
      <x:c r="E180" s="17" t="n">
        <x:f>IF('Control Room'!$B$5="Normal",'Control Room'!$B$7,('Control Room'!$B$8+'Control Room'!$D$8)/2)+'Control Room'!$B$9*(E179-IF('Control Room'!$B$5="Normal",'Control Room'!$B$7,('Control Room'!$B$8+'Control Room'!$D$8)/2))+SQRT(1-'Control Room'!$B$9^2)*(D180-IF('Control Room'!$B$5="Normal",'Control Room'!$B$7,('Control Room'!$B$8+'Control Room'!$D$8)/2))</x:f>
        <x:v>1041.7724052988713</x:v>
      </x:c>
      <x:c r="F180" s="17" t="n">
        <x:f>IF(AND($A180&gt;='Control Room'!$A$13,$A180&lt;'Control Room'!$A$13+'Control Room'!$B$13,'Process'!BK2=1),1+('Control Room'!$C$13-1)*EXP(-0.5*(($A180-'Control Room'!$A$13-('Control Room'!$B$13-1)/2)/MAX(0.5,'Control Room'!$B$13/4))^2),1)*IF(AND($A180&gt;='Control Room'!$A$14,$A180&lt;'Control Room'!$A$14+'Control Room'!$B$14,'Process'!BK3=1),1+('Control Room'!$C$14-1)*EXP(-0.5*(($A180-'Control Room'!$A$14-('Control Room'!$B$14-1)/2)/MAX(0.5,'Control Room'!$B$14/4))^2),1)*IF(AND($A180&gt;='Control Room'!$A$15,$A180&lt;'Control Room'!$A$15+'Control Room'!$B$15,'Process'!BK4=1),1+('Control Room'!$C$15-1)*EXP(-0.5*(($A180-'Control Room'!$A$15-('Control Room'!$B$15-1)/2)/MAX(0.5,'Control Room'!$B$15/4))^2),1)*IF(AND($A180&gt;='Control Room'!$A$16,$A180&lt;'Control Room'!$A$16+'Control Room'!$B$16,'Process'!BK5=1),1+('Control Room'!$C$16-1)*EXP(-0.5*(($A180-'Control Room'!$A$16-('Control Room'!$B$16-1)/2)/MAX(0.5,'Control Room'!$B$16/4))^2),1)</x:f>
        <x:v>1</x:v>
      </x:c>
      <x:c r="G180" s="9" t="n">
        <x:f>MOD(H179*16807,2147483647)</x:f>
        <x:v>1320507405</x:v>
      </x:c>
      <x:c r="H180" s="9" t="n">
        <x:f>MOD(G180*16807,2147483647)</x:f>
        <x:v>1671947737</x:v>
      </x:c>
      <x:c r="I180" s="17" t="n">
        <x:f>IF('Control Room'!$B$5="Normal",'Control Room'!$B$7+'Control Room'!$D$7*SQRT(-2*LN(MAX(0.000000000001,G180/2147483647)))*COS(2*PI()*H180/2147483647),'Control Room'!$B$8+('Control Room'!$D$8-'Control Room'!$B$8)*G180/2147483647)</x:f>
        <x:v>1015.8425782393726</x:v>
      </x:c>
      <x:c r="J180" s="17" t="n">
        <x:f>IF('Control Room'!$B$5="Normal",'Control Room'!$B$7,('Control Room'!$B$8+'Control Room'!$D$8)/2)+'Control Room'!$B$9*(J179-IF('Control Room'!$B$5="Normal",'Control Room'!$B$7,('Control Room'!$B$8+'Control Room'!$D$8)/2))+SQRT(1-'Control Room'!$B$9^2)*(I180-IF('Control Room'!$B$5="Normal",'Control Room'!$B$7,('Control Room'!$B$8+'Control Room'!$D$8)/2))</x:f>
        <x:v>955.0873746320258</x:v>
      </x:c>
      <x:c r="K180" s="17" t="n">
        <x:f>IF(AND($A180&gt;='Control Room'!$A$13,$A180&lt;'Control Room'!$A$13+'Control Room'!$B$13,'Process'!BL2=1),1+('Control Room'!$C$13-1)*EXP(-0.5*(($A180-'Control Room'!$A$13-('Control Room'!$B$13-1)/2)/MAX(0.5,'Control Room'!$B$13/4))^2),1)*IF(AND($A180&gt;='Control Room'!$A$14,$A180&lt;'Control Room'!$A$14+'Control Room'!$B$14,'Process'!BL3=1),1+('Control Room'!$C$14-1)*EXP(-0.5*(($A180-'Control Room'!$A$14-('Control Room'!$B$14-1)/2)/MAX(0.5,'Control Room'!$B$14/4))^2),1)*IF(AND($A180&gt;='Control Room'!$A$15,$A180&lt;'Control Room'!$A$15+'Control Room'!$B$15,'Process'!BL4=1),1+('Control Room'!$C$15-1)*EXP(-0.5*(($A180-'Control Room'!$A$15-('Control Room'!$B$15-1)/2)/MAX(0.5,'Control Room'!$B$15/4))^2),1)*IF(AND($A180&gt;='Control Room'!$A$16,$A180&lt;'Control Room'!$A$16+'Control Room'!$B$16,'Process'!BL5=1),1+('Control Room'!$C$16-1)*EXP(-0.5*(($A180-'Control Room'!$A$16-('Control Room'!$B$16-1)/2)/MAX(0.5,'Control Room'!$B$16/4))^2),1)</x:f>
        <x:v>1</x:v>
      </x:c>
      <x:c r="L180" s="9" t="n">
        <x:f>MOD(M179*16807,2147483647)</x:f>
        <x:v>752257845</x:v>
      </x:c>
      <x:c r="M180" s="9" t="n">
        <x:f>MOD(L180*16807,2147483647)</x:f>
        <x:v>961371026</x:v>
      </x:c>
      <x:c r="N180" s="17" t="n">
        <x:f>IF('Control Room'!$B$5="Normal",'Control Room'!$B$7+'Control Room'!$D$7*SQRT(-2*LN(MAX(0.000000000001,L180/2147483647)))*COS(2*PI()*M180/2147483647),'Control Room'!$B$8+('Control Room'!$D$8-'Control Room'!$B$8)*L180/2147483647)</x:f>
        <x:v>876.62375344284</x:v>
      </x:c>
      <x:c r="O180" s="17" t="n">
        <x:f>IF('Control Room'!$B$5="Normal",'Control Room'!$B$7,('Control Room'!$B$8+'Control Room'!$D$8)/2)+'Control Room'!$B$9*(O179-IF('Control Room'!$B$5="Normal",'Control Room'!$B$7,('Control Room'!$B$8+'Control Room'!$D$8)/2))+SQRT(1-'Control Room'!$B$9^2)*(N180-IF('Control Room'!$B$5="Normal",'Control Room'!$B$7,('Control Room'!$B$8+'Control Room'!$D$8)/2))</x:f>
        <x:v>961.361862903588</x:v>
      </x:c>
      <x:c r="P180" s="17" t="n">
        <x:f>IF(AND($A180&gt;='Control Room'!$A$13,$A180&lt;'Control Room'!$A$13+'Control Room'!$B$13,'Process'!BM2=1),1+('Control Room'!$C$13-1)*EXP(-0.5*(($A180-'Control Room'!$A$13-('Control Room'!$B$13-1)/2)/MAX(0.5,'Control Room'!$B$13/4))^2),1)*IF(AND($A180&gt;='Control Room'!$A$14,$A180&lt;'Control Room'!$A$14+'Control Room'!$B$14,'Process'!BM3=1),1+('Control Room'!$C$14-1)*EXP(-0.5*(($A180-'Control Room'!$A$14-('Control Room'!$B$14-1)/2)/MAX(0.5,'Control Room'!$B$14/4))^2),1)*IF(AND($A180&gt;='Control Room'!$A$15,$A180&lt;'Control Room'!$A$15+'Control Room'!$B$15,'Process'!BM4=1),1+('Control Room'!$C$15-1)*EXP(-0.5*(($A180-'Control Room'!$A$15-('Control Room'!$B$15-1)/2)/MAX(0.5,'Control Room'!$B$15/4))^2),1)*IF(AND($A180&gt;='Control Room'!$A$16,$A180&lt;'Control Room'!$A$16+'Control Room'!$B$16,'Process'!BM5=1),1+('Control Room'!$C$16-1)*EXP(-0.5*(($A180-'Control Room'!$A$16-('Control Room'!$B$16-1)/2)/MAX(0.5,'Control Room'!$B$16/4))^2),1)</x:f>
        <x:v>1</x:v>
      </x:c>
      <x:c r="Q180" s="9" t="n">
        <x:f>MOD(R179*16807,2147483647)</x:f>
        <x:v>184008285</x:v>
      </x:c>
      <x:c r="R180" s="9" t="n">
        <x:f>MOD(Q180*16807,2147483647)</x:f>
        <x:v>250794315</x:v>
      </x:c>
      <x:c r="S180" s="17" t="n">
        <x:f>IF('Control Room'!$B$5="Normal",'Control Room'!$B$7+'Control Room'!$D$7*SQRT(-2*LN(MAX(0.000000000001,Q180/2147483647)))*COS(2*PI()*R180/2147483647),'Control Room'!$B$8+('Control Room'!$D$8-'Control Room'!$B$8)*Q180/2147483647)</x:f>
        <x:v>1148.1659397431067</x:v>
      </x:c>
      <x:c r="T180" s="17" t="n">
        <x:f>IF('Control Room'!$B$5="Normal",'Control Room'!$B$7,('Control Room'!$B$8+'Control Room'!$D$8)/2)+'Control Room'!$B$9*(T179-IF('Control Room'!$B$5="Normal",'Control Room'!$B$7,('Control Room'!$B$8+'Control Room'!$D$8)/2))+SQRT(1-'Control Room'!$B$9^2)*(S180-IF('Control Room'!$B$5="Normal",'Control Room'!$B$7,('Control Room'!$B$8+'Control Room'!$D$8)/2))</x:f>
        <x:v>1039.67072299027</x:v>
      </x:c>
      <x:c r="U180" s="17" t="n">
        <x:f>IF(AND($A180&gt;='Control Room'!$A$13,$A180&lt;'Control Room'!$A$13+'Control Room'!$B$13,'Process'!BN2=1),1+('Control Room'!$C$13-1)*EXP(-0.5*(($A180-'Control Room'!$A$13-('Control Room'!$B$13-1)/2)/MAX(0.5,'Control Room'!$B$13/4))^2),1)*IF(AND($A180&gt;='Control Room'!$A$14,$A180&lt;'Control Room'!$A$14+'Control Room'!$B$14,'Process'!BN3=1),1+('Control Room'!$C$14-1)*EXP(-0.5*(($A180-'Control Room'!$A$14-('Control Room'!$B$14-1)/2)/MAX(0.5,'Control Room'!$B$14/4))^2),1)*IF(AND($A180&gt;='Control Room'!$A$15,$A180&lt;'Control Room'!$A$15+'Control Room'!$B$15,'Process'!BN4=1),1+('Control Room'!$C$15-1)*EXP(-0.5*(($A180-'Control Room'!$A$15-('Control Room'!$B$15-1)/2)/MAX(0.5,'Control Room'!$B$15/4))^2),1)*IF(AND($A180&gt;='Control Room'!$A$16,$A180&lt;'Control Room'!$A$16+'Control Room'!$B$16,'Process'!BN5=1),1+('Control Room'!$C$16-1)*EXP(-0.5*(($A180-'Control Room'!$A$16-('Control Room'!$B$16-1)/2)/MAX(0.5,'Control Room'!$B$16/4))^2),1)</x:f>
        <x:v>1</x:v>
      </x:c>
      <x:c r="V180" s="9" t="n">
        <x:f>MOD(W179*16807,2147483647)</x:f>
        <x:v>1763242372</x:v>
      </x:c>
      <x:c r="W180" s="9" t="n">
        <x:f>MOD(V180*16807,2147483647)</x:f>
        <x:v>1687701251</x:v>
      </x:c>
      <x:c r="X180" s="17" t="n">
        <x:f>IF('Control Room'!$B$5="Normal",'Control Room'!$B$7+'Control Room'!$D$7*SQRT(-2*LN(MAX(0.000000000001,V180/2147483647)))*COS(2*PI()*W180/2147483647),'Control Room'!$B$8+('Control Room'!$D$8-'Control Room'!$B$8)*V180/2147483647)</x:f>
        <x:v>1012.6385920071486</x:v>
      </x:c>
      <x:c r="Y180" s="17" t="n">
        <x:f>IF('Control Room'!$B$5="Normal",'Control Room'!$B$7,('Control Room'!$B$8+'Control Room'!$D$8)/2)+'Control Room'!$B$9*(Y179-IF('Control Room'!$B$5="Normal",'Control Room'!$B$7,('Control Room'!$B$8+'Control Room'!$D$8)/2))+SQRT(1-'Control Room'!$B$9^2)*(X180-IF('Control Room'!$B$5="Normal",'Control Room'!$B$7,('Control Room'!$B$8+'Control Room'!$D$8)/2))</x:f>
        <x:v>953.3538960659206</x:v>
      </x:c>
      <x:c r="Z180" s="17" t="n">
        <x:f>IF(AND($A180&gt;='Control Room'!$A$13,$A180&lt;'Control Room'!$A$13+'Control Room'!$B$13,'Process'!BO2=1),1+('Control Room'!$C$13-1)*EXP(-0.5*(($A180-'Control Room'!$A$13-('Control Room'!$B$13-1)/2)/MAX(0.5,'Control Room'!$B$13/4))^2),1)*IF(AND($A180&gt;='Control Room'!$A$14,$A180&lt;'Control Room'!$A$14+'Control Room'!$B$14,'Process'!BO3=1),1+('Control Room'!$C$14-1)*EXP(-0.5*(($A180-'Control Room'!$A$14-('Control Room'!$B$14-1)/2)/MAX(0.5,'Control Room'!$B$14/4))^2),1)*IF(AND($A180&gt;='Control Room'!$A$15,$A180&lt;'Control Room'!$A$15+'Control Room'!$B$15,'Process'!BO4=1),1+('Control Room'!$C$15-1)*EXP(-0.5*(($A180-'Control Room'!$A$15-('Control Room'!$B$15-1)/2)/MAX(0.5,'Control Room'!$B$15/4))^2),1)*IF(AND($A180&gt;='Control Room'!$A$16,$A180&lt;'Control Room'!$A$16+'Control Room'!$B$16,'Process'!BO5=1),1+('Control Room'!$C$16-1)*EXP(-0.5*(($A180-'Control Room'!$A$16-('Control Room'!$B$16-1)/2)/MAX(0.5,'Control Room'!$B$16/4))^2),1)</x:f>
        <x:v>1</x:v>
      </x:c>
      <x:c r="AA180" s="9" t="n">
        <x:f>MOD(AB179*16807,2147483647)</x:f>
        <x:v>1194992812</x:v>
      </x:c>
      <x:c r="AB180" s="9" t="n">
        <x:f>MOD(AA180*16807,2147483647)</x:f>
        <x:v>977124540</x:v>
      </x:c>
      <x:c r="AC180" s="17" t="n">
        <x:f>IF('Control Room'!$B$5="Normal",'Control Room'!$B$7+'Control Room'!$D$7*SQRT(-2*LN(MAX(0.000000000001,AA180/2147483647)))*COS(2*PI()*AB180/2147483647),'Control Room'!$B$8+('Control Room'!$D$8-'Control Room'!$B$8)*AA180/2147483647)</x:f>
        <x:v>906.4216039258529</x:v>
      </x:c>
      <x:c r="AD180" s="17" t="n">
        <x:f>IF('Control Room'!$B$5="Normal",'Control Room'!$B$7,('Control Room'!$B$8+'Control Room'!$D$8)/2)+'Control Room'!$B$9*(AD179-IF('Control Room'!$B$5="Normal",'Control Room'!$B$7,('Control Room'!$B$8+'Control Room'!$D$8)/2))+SQRT(1-'Control Room'!$B$9^2)*(AC180-IF('Control Room'!$B$5="Normal",'Control Room'!$B$7,('Control Room'!$B$8+'Control Room'!$D$8)/2))</x:f>
        <x:v>987.9507444430226</x:v>
      </x:c>
      <x:c r="AE180" s="17" t="n">
        <x:f>IF(AND($A180&gt;='Control Room'!$A$13,$A180&lt;'Control Room'!$A$13+'Control Room'!$B$13,'Process'!BP2=1),1+('Control Room'!$C$13-1)*EXP(-0.5*(($A180-'Control Room'!$A$13-('Control Room'!$B$13-1)/2)/MAX(0.5,'Control Room'!$B$13/4))^2),1)*IF(AND($A180&gt;='Control Room'!$A$14,$A180&lt;'Control Room'!$A$14+'Control Room'!$B$14,'Process'!BP3=1),1+('Control Room'!$C$14-1)*EXP(-0.5*(($A180-'Control Room'!$A$14-('Control Room'!$B$14-1)/2)/MAX(0.5,'Control Room'!$B$14/4))^2),1)*IF(AND($A180&gt;='Control Room'!$A$15,$A180&lt;'Control Room'!$A$15+'Control Room'!$B$15,'Process'!BP4=1),1+('Control Room'!$C$15-1)*EXP(-0.5*(($A180-'Control Room'!$A$15-('Control Room'!$B$15-1)/2)/MAX(0.5,'Control Room'!$B$15/4))^2),1)*IF(AND($A180&gt;='Control Room'!$A$16,$A180&lt;'Control Room'!$A$16+'Control Room'!$B$16,'Process'!BP5=1),1+('Control Room'!$C$16-1)*EXP(-0.5*(($A180-'Control Room'!$A$16-('Control Room'!$B$16-1)/2)/MAX(0.5,'Control Room'!$B$16/4))^2),1)</x:f>
        <x:v>1</x:v>
      </x:c>
      <x:c r="AF180" s="9" t="n">
        <x:f>MOD(AG179*16807,2147483647)</x:f>
        <x:v>626743252</x:v>
      </x:c>
      <x:c r="AG180" s="9" t="n">
        <x:f>MOD(AF180*16807,2147483647)</x:f>
        <x:v>266547829</x:v>
      </x:c>
      <x:c r="AH180" s="17" t="n">
        <x:f>IF('Control Room'!$B$5="Normal",'Control Room'!$B$7+'Control Room'!$D$7*SQRT(-2*LN(MAX(0.000000000001,AF180/2147483647)))*COS(2*PI()*AG180/2147483647),'Control Room'!$B$8+('Control Room'!$D$8-'Control Room'!$B$8)*AF180/2147483647)</x:f>
        <x:v>1100.426363148124</x:v>
      </x:c>
      <x:c r="AI180" s="17" t="n">
        <x:f>IF('Control Room'!$B$5="Normal",'Control Room'!$B$7,('Control Room'!$B$8+'Control Room'!$D$8)/2)+'Control Room'!$B$9*(AI179-IF('Control Room'!$B$5="Normal",'Control Room'!$B$7,('Control Room'!$B$8+'Control Room'!$D$8)/2))+SQRT(1-'Control Room'!$B$9^2)*(AH180-IF('Control Room'!$B$5="Normal",'Control Room'!$B$7,('Control Room'!$B$8+'Control Room'!$D$8)/2))</x:f>
        <x:v>1014.9831258077131</x:v>
      </x:c>
      <x:c r="AJ180" s="17" t="n">
        <x:f>IF(AND($A180&gt;='Control Room'!$A$13,$A180&lt;'Control Room'!$A$13+'Control Room'!$B$13,'Process'!BQ2=1),1+('Control Room'!$C$13-1)*EXP(-0.5*(($A180-'Control Room'!$A$13-('Control Room'!$B$13-1)/2)/MAX(0.5,'Control Room'!$B$13/4))^2),1)*IF(AND($A180&gt;='Control Room'!$A$14,$A180&lt;'Control Room'!$A$14+'Control Room'!$B$14,'Process'!BQ3=1),1+('Control Room'!$C$14-1)*EXP(-0.5*(($A180-'Control Room'!$A$14-('Control Room'!$B$14-1)/2)/MAX(0.5,'Control Room'!$B$14/4))^2),1)*IF(AND($A180&gt;='Control Room'!$A$15,$A180&lt;'Control Room'!$A$15+'Control Room'!$B$15,'Process'!BQ4=1),1+('Control Room'!$C$15-1)*EXP(-0.5*(($A180-'Control Room'!$A$15-('Control Room'!$B$15-1)/2)/MAX(0.5,'Control Room'!$B$15/4))^2),1)*IF(AND($A180&gt;='Control Room'!$A$16,$A180&lt;'Control Room'!$A$16+'Control Room'!$B$16,'Process'!BQ5=1),1+('Control Room'!$C$16-1)*EXP(-0.5*(($A180-'Control Room'!$A$16-('Control Room'!$B$16-1)/2)/MAX(0.5,'Control Room'!$B$16/4))^2),1)</x:f>
        <x:v>1</x:v>
      </x:c>
      <x:c r="AK180" s="9" t="n">
        <x:f>MOD(AL179*16807,2147483647)</x:f>
        <x:v>58493692</x:v>
      </x:c>
      <x:c r="AL180" s="9" t="n">
        <x:f>MOD(AK180*16807,2147483647)</x:f>
        <x:v>1703454765</x:v>
      </x:c>
      <x:c r="AM180" s="17" t="n">
        <x:f>IF('Control Room'!$B$5="Normal",'Control Room'!$B$7+'Control Room'!$D$7*SQRT(-2*LN(MAX(0.000000000001,AK180/2147483647)))*COS(2*PI()*AL180/2147483647),'Control Room'!$B$8+('Control Room'!$D$8-'Control Room'!$B$8)*AK180/2147483647)</x:f>
        <x:v>1064.824338714326</x:v>
      </x:c>
      <x:c r="AN180" s="17" t="n">
        <x:f>IF('Control Room'!$B$5="Normal",'Control Room'!$B$7,('Control Room'!$B$8+'Control Room'!$D$8)/2)+'Control Room'!$B$9*(AN179-IF('Control Room'!$B$5="Normal",'Control Room'!$B$7,('Control Room'!$B$8+'Control Room'!$D$8)/2))+SQRT(1-'Control Room'!$B$9^2)*(AM180-IF('Control Room'!$B$5="Normal",'Control Room'!$B$7,('Control Room'!$B$8+'Control Room'!$D$8)/2))</x:f>
        <x:v>1046.5965915987242</x:v>
      </x:c>
      <x:c r="AO180" s="17" t="n">
        <x:f>IF(AND($A180&gt;='Control Room'!$A$13,$A180&lt;'Control Room'!$A$13+'Control Room'!$B$13,'Process'!BR2=1),1+('Control Room'!$C$13-1)*EXP(-0.5*(($A180-'Control Room'!$A$13-('Control Room'!$B$13-1)/2)/MAX(0.5,'Control Room'!$B$13/4))^2),1)*IF(AND($A180&gt;='Control Room'!$A$14,$A180&lt;'Control Room'!$A$14+'Control Room'!$B$14,'Process'!BR3=1),1+('Control Room'!$C$14-1)*EXP(-0.5*(($A180-'Control Room'!$A$14-('Control Room'!$B$14-1)/2)/MAX(0.5,'Control Room'!$B$14/4))^2),1)*IF(AND($A180&gt;='Control Room'!$A$15,$A180&lt;'Control Room'!$A$15+'Control Room'!$B$15,'Process'!BR4=1),1+('Control Room'!$C$15-1)*EXP(-0.5*(($A180-'Control Room'!$A$15-('Control Room'!$B$15-1)/2)/MAX(0.5,'Control Room'!$B$15/4))^2),1)*IF(AND($A180&gt;='Control Room'!$A$16,$A180&lt;'Control Room'!$A$16+'Control Room'!$B$16,'Process'!BR5=1),1+('Control Room'!$C$16-1)*EXP(-0.5*(($A180-'Control Room'!$A$16-('Control Room'!$B$16-1)/2)/MAX(0.5,'Control Room'!$B$16/4))^2),1)</x:f>
        <x:v>1</x:v>
      </x:c>
      <x:c r="AP180" s="9" t="n">
        <x:f>MOD(AQ179*16807,2147483647)</x:f>
        <x:v>1637727779</x:v>
      </x:c>
      <x:c r="AQ180" s="9" t="n">
        <x:f>MOD(AP180*16807,2147483647)</x:f>
        <x:v>992878054</x:v>
      </x:c>
      <x:c r="AR180" s="17" t="n">
        <x:f>IF('Control Room'!$B$5="Normal",'Control Room'!$B$7+'Control Room'!$D$7*SQRT(-2*LN(MAX(0.000000000001,AP180/2147483647)))*COS(2*PI()*AQ180/2147483647),'Control Room'!$B$8+('Control Room'!$D$8-'Control Room'!$B$8)*AP180/2147483647)</x:f>
        <x:v>935.5887999307247</x:v>
      </x:c>
      <x:c r="AS180" s="17" t="n">
        <x:f>IF('Control Room'!$B$5="Normal",'Control Room'!$B$7,('Control Room'!$B$8+'Control Room'!$D$8)/2)+'Control Room'!$B$9*(AS179-IF('Control Room'!$B$5="Normal",'Control Room'!$B$7,('Control Room'!$B$8+'Control Room'!$D$8)/2))+SQRT(1-'Control Room'!$B$9^2)*(AR180-IF('Control Room'!$B$5="Normal",'Control Room'!$B$7,('Control Room'!$B$8+'Control Room'!$D$8)/2))</x:f>
        <x:v>934.7059378620969</x:v>
      </x:c>
      <x:c r="AT180" s="17" t="n">
        <x:f>IF(AND($A180&gt;='Control Room'!$A$13,$A180&lt;'Control Room'!$A$13+'Control Room'!$B$13,'Process'!BS2=1),1+('Control Room'!$C$13-1)*EXP(-0.5*(($A180-'Control Room'!$A$13-('Control Room'!$B$13-1)/2)/MAX(0.5,'Control Room'!$B$13/4))^2),1)*IF(AND($A180&gt;='Control Room'!$A$14,$A180&lt;'Control Room'!$A$14+'Control Room'!$B$14,'Process'!BS3=1),1+('Control Room'!$C$14-1)*EXP(-0.5*(($A180-'Control Room'!$A$14-('Control Room'!$B$14-1)/2)/MAX(0.5,'Control Room'!$B$14/4))^2),1)*IF(AND($A180&gt;='Control Room'!$A$15,$A180&lt;'Control Room'!$A$15+'Control Room'!$B$15,'Process'!BS4=1),1+('Control Room'!$C$15-1)*EXP(-0.5*(($A180-'Control Room'!$A$15-('Control Room'!$B$15-1)/2)/MAX(0.5,'Control Room'!$B$15/4))^2),1)*IF(AND($A180&gt;='Control Room'!$A$16,$A180&lt;'Control Room'!$A$16+'Control Room'!$B$16,'Process'!BS5=1),1+('Control Room'!$C$16-1)*EXP(-0.5*(($A180-'Control Room'!$A$16-('Control Room'!$B$16-1)/2)/MAX(0.5,'Control Room'!$B$16/4))^2),1)</x:f>
        <x:v>1</x:v>
      </x:c>
      <x:c r="AU180" s="9" t="n">
        <x:f>MOD(AV179*16807,2147483647)</x:f>
        <x:v>1069478219</x:v>
      </x:c>
      <x:c r="AV180" s="9" t="n">
        <x:f>MOD(AU180*16807,2147483647)</x:f>
        <x:v>282301343</x:v>
      </x:c>
      <x:c r="AW180" s="17" t="n">
        <x:f>IF('Control Room'!$B$5="Normal",'Control Room'!$B$7+'Control Room'!$D$7*SQRT(-2*LN(MAX(0.000000000001,AU180/2147483647)))*COS(2*PI()*AV180/2147483647),'Control Room'!$B$8+('Control Room'!$D$8-'Control Room'!$B$8)*AU180/2147483647)</x:f>
        <x:v>1072.0350961249499</x:v>
      </x:c>
      <x:c r="AX180" s="17" t="n">
        <x:f>IF('Control Room'!$B$5="Normal",'Control Room'!$B$7,('Control Room'!$B$8+'Control Room'!$D$8)/2)+'Control Room'!$B$9*(AX179-IF('Control Room'!$B$5="Normal",'Control Room'!$B$7,('Control Room'!$B$8+'Control Room'!$D$8)/2))+SQRT(1-'Control Room'!$B$9^2)*(AW180-IF('Control Room'!$B$5="Normal",'Control Room'!$B$7,('Control Room'!$B$8+'Control Room'!$D$8)/2))</x:f>
        <x:v>1076.7231905112299</x:v>
      </x:c>
      <x:c r="AY180" s="17" t="n">
        <x:f>IF(AND($A180&gt;='Control Room'!$A$13,$A180&lt;'Control Room'!$A$13+'Control Room'!$B$13,'Process'!BT2=1),1+('Control Room'!$C$13-1)*EXP(-0.5*(($A180-'Control Room'!$A$13-('Control Room'!$B$13-1)/2)/MAX(0.5,'Control Room'!$B$13/4))^2),1)*IF(AND($A180&gt;='Control Room'!$A$14,$A180&lt;'Control Room'!$A$14+'Control Room'!$B$14,'Process'!BT3=1),1+('Control Room'!$C$14-1)*EXP(-0.5*(($A180-'Control Room'!$A$14-('Control Room'!$B$14-1)/2)/MAX(0.5,'Control Room'!$B$14/4))^2),1)*IF(AND($A180&gt;='Control Room'!$A$15,$A180&lt;'Control Room'!$A$15+'Control Room'!$B$15,'Process'!BT4=1),1+('Control Room'!$C$15-1)*EXP(-0.5*(($A180-'Control Room'!$A$15-('Control Room'!$B$15-1)/2)/MAX(0.5,'Control Room'!$B$15/4))^2),1)*IF(AND($A180&gt;='Control Room'!$A$16,$A180&lt;'Control Room'!$A$16+'Control Room'!$B$16,'Process'!BT5=1),1+('Control Room'!$C$16-1)*EXP(-0.5*(($A180-'Control Room'!$A$16-('Control Room'!$B$16-1)/2)/MAX(0.5,'Control Room'!$B$16/4))^2),1)</x:f>
        <x:v>1</x:v>
      </x:c>
      <x:c r="AZ180" s="9" t="n">
        <x:f>MOD(BA179*16807,2147483647)</x:f>
        <x:v>501228659</x:v>
      </x:c>
      <x:c r="BA180" s="9" t="n">
        <x:f>MOD(AZ180*16807,2147483647)</x:f>
        <x:v>1719208279</x:v>
      </x:c>
      <x:c r="BB180" s="17" t="n">
        <x:f>IF('Control Room'!$B$5="Normal",'Control Room'!$B$7+'Control Room'!$D$7*SQRT(-2*LN(MAX(0.000000000001,AZ180/2147483647)))*COS(2*PI()*BA180/2147483647),'Control Room'!$B$8+('Control Room'!$D$8-'Control Room'!$B$8)*AZ180/2147483647)</x:f>
        <x:v>1047.9642229782305</x:v>
      </x:c>
      <x:c r="BC180" s="17" t="n">
        <x:f>IF('Control Room'!$B$5="Normal",'Control Room'!$B$7,('Control Room'!$B$8+'Control Room'!$D$8)/2)+'Control Room'!$B$9*(BC179-IF('Control Room'!$B$5="Normal",'Control Room'!$B$7,('Control Room'!$B$8+'Control Room'!$D$8)/2))+SQRT(1-'Control Room'!$B$9^2)*(BB180-IF('Control Room'!$B$5="Normal",'Control Room'!$B$7,('Control Room'!$B$8+'Control Room'!$D$8)/2))</x:f>
        <x:v>1201.7380950938893</x:v>
      </x:c>
      <x:c r="BD180" s="17" t="n">
        <x:f>IF(AND($A180&gt;='Control Room'!$A$13,$A180&lt;'Control Room'!$A$13+'Control Room'!$B$13,'Process'!BU2=1),1+('Control Room'!$C$13-1)*EXP(-0.5*(($A180-'Control Room'!$A$13-('Control Room'!$B$13-1)/2)/MAX(0.5,'Control Room'!$B$13/4))^2),1)*IF(AND($A180&gt;='Control Room'!$A$14,$A180&lt;'Control Room'!$A$14+'Control Room'!$B$14,'Process'!BU3=1),1+('Control Room'!$C$14-1)*EXP(-0.5*(($A180-'Control Room'!$A$14-('Control Room'!$B$14-1)/2)/MAX(0.5,'Control Room'!$B$14/4))^2),1)*IF(AND($A180&gt;='Control Room'!$A$15,$A180&lt;'Control Room'!$A$15+'Control Room'!$B$15,'Process'!BU4=1),1+('Control Room'!$C$15-1)*EXP(-0.5*(($A180-'Control Room'!$A$15-('Control Room'!$B$15-1)/2)/MAX(0.5,'Control Room'!$B$15/4))^2),1)*IF(AND($A180&gt;='Control Room'!$A$16,$A180&lt;'Control Room'!$A$16+'Control Room'!$B$16,'Process'!BU5=1),1+('Control Room'!$C$16-1)*EXP(-0.5*(($A180-'Control Room'!$A$16-('Control Room'!$B$16-1)/2)/MAX(0.5,'Control Room'!$B$16/4))^2),1)</x:f>
        <x:v>1</x:v>
      </x:c>
      <x:c r="BE180" s="9" t="n">
        <x:f>MOD(BF179*16807,2147483647)</x:f>
        <x:v>2080462746</x:v>
      </x:c>
      <x:c r="BF180" s="9" t="n">
        <x:f>MOD(BE180*16807,2147483647)</x:f>
        <x:v>1008631568</x:v>
      </x:c>
      <x:c r="BG180" s="17" t="n">
        <x:f>IF('Control Room'!$B$5="Normal",'Control Room'!$B$7+'Control Room'!$D$7*SQRT(-2*LN(MAX(0.000000000001,BE180/2147483647)))*COS(2*PI()*BF180/2147483647),'Control Room'!$B$8+('Control Room'!$D$8-'Control Room'!$B$8)*BE180/2147483647)</x:f>
        <x:v>977.7462876180721</x:v>
      </x:c>
      <x:c r="BH180" s="17" t="n">
        <x:f>IF('Control Room'!$B$5="Normal",'Control Room'!$B$7,('Control Room'!$B$8+'Control Room'!$D$8)/2)+'Control Room'!$B$9*(BH179-IF('Control Room'!$B$5="Normal",'Control Room'!$B$7,('Control Room'!$B$8+'Control Room'!$D$8)/2))+SQRT(1-'Control Room'!$B$9^2)*(BG180-IF('Control Room'!$B$5="Normal",'Control Room'!$B$7,('Control Room'!$B$8+'Control Room'!$D$8)/2))</x:f>
        <x:v>1068.749330025293</x:v>
      </x:c>
      <x:c r="BI180" s="17" t="n">
        <x:f>IF(AND($A180&gt;='Control Room'!$A$13,$A180&lt;'Control Room'!$A$13+'Control Room'!$B$13,'Process'!BV2=1),1+('Control Room'!$C$13-1)*EXP(-0.5*(($A180-'Control Room'!$A$13-('Control Room'!$B$13-1)/2)/MAX(0.5,'Control Room'!$B$13/4))^2),1)*IF(AND($A180&gt;='Control Room'!$A$14,$A180&lt;'Control Room'!$A$14+'Control Room'!$B$14,'Process'!BV3=1),1+('Control Room'!$C$14-1)*EXP(-0.5*(($A180-'Control Room'!$A$14-('Control Room'!$B$14-1)/2)/MAX(0.5,'Control Room'!$B$14/4))^2),1)*IF(AND($A180&gt;='Control Room'!$A$15,$A180&lt;'Control Room'!$A$15+'Control Room'!$B$15,'Process'!BV4=1),1+('Control Room'!$C$15-1)*EXP(-0.5*(($A180-'Control Room'!$A$15-('Control Room'!$B$15-1)/2)/MAX(0.5,'Control Room'!$B$15/4))^2),1)*IF(AND($A180&gt;='Control Room'!$A$16,$A180&lt;'Control Room'!$A$16+'Control Room'!$B$16,'Process'!BV5=1),1+('Control Room'!$C$16-1)*EXP(-0.5*(($A180-'Control Room'!$A$16-('Control Room'!$B$16-1)/2)/MAX(0.5,'Control Room'!$B$16/4))^2),1)</x:f>
        <x:v>1</x:v>
      </x:c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Z180" t="str">
        <x:f>IF('Data'!A180="","",TEXT('Data'!A180,"mm-dd"))</x:f>
      </x:c>
    </x:row>
    <x:row r="181" ht="21" customHeight="1">
      <x:c r="A181" s="15" t="n">
        <x:f>'Control Room'!$B$1+179</x:f>
        <x:v>73170</x:v>
      </x:c>
      <x:c r="B181" s="9" t="n">
        <x:f>MOD(C180*16807,2147483647)</x:f>
        <x:v>1108315574</x:v>
      </x:c>
      <x:c r="C181" s="9" t="n">
        <x:f>MOD(B181*16807,2147483647)</x:f>
        <x:v>186698140</x:v>
      </x:c>
      <x:c r="D181" s="17" t="n">
        <x:f>IF('Control Room'!$B$5="Normal",'Control Room'!$B$7+'Control Room'!$D$7*SQRT(-2*LN(MAX(0.000000000001,B181/2147483647)))*COS(2*PI()*C181/2147483647),'Control Room'!$B$8+('Control Room'!$D$8-'Control Room'!$B$8)*B181/2147483647)</x:f>
        <x:v>1088.4523679539366</x:v>
      </x:c>
      <x:c r="E181" s="17" t="n">
        <x:f>IF('Control Room'!$B$5="Normal",'Control Room'!$B$7,('Control Room'!$B$8+'Control Room'!$D$8)/2)+'Control Room'!$B$9*(E180-IF('Control Room'!$B$5="Normal",'Control Room'!$B$7,('Control Room'!$B$8+'Control Room'!$D$8)/2))+SQRT(1-'Control Room'!$B$9^2)*(D181-IF('Control Room'!$B$5="Normal",'Control Room'!$B$7,('Control Room'!$B$8+'Control Room'!$D$8)/2))</x:f>
        <x:v>1087.934155953442</x:v>
      </x:c>
      <x:c r="F181" s="17" t="n">
        <x:f>IF(AND($A181&gt;='Control Room'!$A$13,$A181&lt;'Control Room'!$A$13+'Control Room'!$B$13,'Process'!BK2=1),1+('Control Room'!$C$13-1)*EXP(-0.5*(($A181-'Control Room'!$A$13-('Control Room'!$B$13-1)/2)/MAX(0.5,'Control Room'!$B$13/4))^2),1)*IF(AND($A181&gt;='Control Room'!$A$14,$A181&lt;'Control Room'!$A$14+'Control Room'!$B$14,'Process'!BK3=1),1+('Control Room'!$C$14-1)*EXP(-0.5*(($A181-'Control Room'!$A$14-('Control Room'!$B$14-1)/2)/MAX(0.5,'Control Room'!$B$14/4))^2),1)*IF(AND($A181&gt;='Control Room'!$A$15,$A181&lt;'Control Room'!$A$15+'Control Room'!$B$15,'Process'!BK4=1),1+('Control Room'!$C$15-1)*EXP(-0.5*(($A181-'Control Room'!$A$15-('Control Room'!$B$15-1)/2)/MAX(0.5,'Control Room'!$B$15/4))^2),1)*IF(AND($A181&gt;='Control Room'!$A$16,$A181&lt;'Control Room'!$A$16+'Control Room'!$B$16,'Process'!BK5=1),1+('Control Room'!$C$16-1)*EXP(-0.5*(($A181-'Control Room'!$A$16-('Control Room'!$B$16-1)/2)/MAX(0.5,'Control Room'!$B$16/4))^2),1)</x:f>
        <x:v>1</x:v>
      </x:c>
      <x:c r="G181" s="9" t="n">
        <x:f>MOD(H180*16807,2147483647)</x:f>
        <x:v>602094764</x:v>
      </x:c>
      <x:c r="H181" s="9" t="n">
        <x:f>MOD(G181*16807,2147483647)</x:f>
        <x:v>463753884</x:v>
      </x:c>
      <x:c r="I181" s="17" t="n">
        <x:f>IF('Control Room'!$B$5="Normal",'Control Room'!$B$7+'Control Room'!$D$7*SQRT(-2*LN(MAX(0.000000000001,G181/2147483647)))*COS(2*PI()*H181/2147483647),'Control Room'!$B$8+('Control Room'!$D$8-'Control Room'!$B$8)*G181/2147483647)</x:f>
        <x:v>1030.471229118964</x:v>
      </x:c>
      <x:c r="J181" s="17" t="n">
        <x:f>IF('Control Room'!$B$5="Normal",'Control Room'!$B$7,('Control Room'!$B$8+'Control Room'!$D$8)/2)+'Control Room'!$B$9*(J180-IF('Control Room'!$B$5="Normal",'Control Room'!$B$7,('Control Room'!$B$8+'Control Room'!$D$8)/2))+SQRT(1-'Control Room'!$B$9^2)*(I181-IF('Control Room'!$B$5="Normal",'Control Room'!$B$7,('Control Room'!$B$8+'Control Room'!$D$8)/2))</x:f>
        <x:v>984.0364231585689</x:v>
      </x:c>
      <x:c r="K181" s="17" t="n">
        <x:f>IF(AND($A181&gt;='Control Room'!$A$13,$A181&lt;'Control Room'!$A$13+'Control Room'!$B$13,'Process'!BL2=1),1+('Control Room'!$C$13-1)*EXP(-0.5*(($A181-'Control Room'!$A$13-('Control Room'!$B$13-1)/2)/MAX(0.5,'Control Room'!$B$13/4))^2),1)*IF(AND($A181&gt;='Control Room'!$A$14,$A181&lt;'Control Room'!$A$14+'Control Room'!$B$14,'Process'!BL3=1),1+('Control Room'!$C$14-1)*EXP(-0.5*(($A181-'Control Room'!$A$14-('Control Room'!$B$14-1)/2)/MAX(0.5,'Control Room'!$B$14/4))^2),1)*IF(AND($A181&gt;='Control Room'!$A$15,$A181&lt;'Control Room'!$A$15+'Control Room'!$B$15,'Process'!BL4=1),1+('Control Room'!$C$15-1)*EXP(-0.5*(($A181-'Control Room'!$A$15-('Control Room'!$B$15-1)/2)/MAX(0.5,'Control Room'!$B$15/4))^2),1)*IF(AND($A181&gt;='Control Room'!$A$16,$A181&lt;'Control Room'!$A$16+'Control Room'!$B$16,'Process'!BL5=1),1+('Control Room'!$C$16-1)*EXP(-0.5*(($A181-'Control Room'!$A$16-('Control Room'!$B$16-1)/2)/MAX(0.5,'Control Room'!$B$16/4))^2),1)</x:f>
        <x:v>1</x:v>
      </x:c>
      <x:c r="L181" s="9" t="n">
        <x:f>MOD(M180*16807,2147483647)</x:f>
        <x:v>95873954</x:v>
      </x:c>
      <x:c r="M181" s="9" t="n">
        <x:f>MOD(L181*16807,2147483647)</x:f>
        <x:v>740809628</x:v>
      </x:c>
      <x:c r="N181" s="17" t="n">
        <x:f>IF('Control Room'!$B$5="Normal",'Control Room'!$B$7+'Control Room'!$D$7*SQRT(-2*LN(MAX(0.000000000001,L181/2147483647)))*COS(2*PI()*M181/2147483647),'Control Room'!$B$8+('Control Room'!$D$8-'Control Room'!$B$8)*L181/2147483647)</x:f>
        <x:v>873.8942865063211</x:v>
      </x:c>
      <x:c r="O181" s="17" t="n">
        <x:f>IF('Control Room'!$B$5="Normal",'Control Room'!$B$7,('Control Room'!$B$8+'Control Room'!$D$8)/2)+'Control Room'!$B$9*(O180-IF('Control Room'!$B$5="Normal",'Control Room'!$B$7,('Control Room'!$B$8+'Control Room'!$D$8)/2))+SQRT(1-'Control Room'!$B$9^2)*(N181-IF('Control Room'!$B$5="Normal",'Control Room'!$B$7,('Control Room'!$B$8+'Control Room'!$D$8)/2))</x:f>
        <x:v>890.9478809764164</x:v>
      </x:c>
      <x:c r="P181" s="17" t="n">
        <x:f>IF(AND($A181&gt;='Control Room'!$A$13,$A181&lt;'Control Room'!$A$13+'Control Room'!$B$13,'Process'!BM2=1),1+('Control Room'!$C$13-1)*EXP(-0.5*(($A181-'Control Room'!$A$13-('Control Room'!$B$13-1)/2)/MAX(0.5,'Control Room'!$B$13/4))^2),1)*IF(AND($A181&gt;='Control Room'!$A$14,$A181&lt;'Control Room'!$A$14+'Control Room'!$B$14,'Process'!BM3=1),1+('Control Room'!$C$14-1)*EXP(-0.5*(($A181-'Control Room'!$A$14-('Control Room'!$B$14-1)/2)/MAX(0.5,'Control Room'!$B$14/4))^2),1)*IF(AND($A181&gt;='Control Room'!$A$15,$A181&lt;'Control Room'!$A$15+'Control Room'!$B$15,'Process'!BM4=1),1+('Control Room'!$C$15-1)*EXP(-0.5*(($A181-'Control Room'!$A$15-('Control Room'!$B$15-1)/2)/MAX(0.5,'Control Room'!$B$15/4))^2),1)*IF(AND($A181&gt;='Control Room'!$A$16,$A181&lt;'Control Room'!$A$16+'Control Room'!$B$16,'Process'!BM5=1),1+('Control Room'!$C$16-1)*EXP(-0.5*(($A181-'Control Room'!$A$16-('Control Room'!$B$16-1)/2)/MAX(0.5,'Control Room'!$B$16/4))^2),1)</x:f>
        <x:v>1</x:v>
      </x:c>
      <x:c r="Q181" s="9" t="n">
        <x:f>MOD(R180*16807,2147483647)</x:f>
        <x:v>1737136791</x:v>
      </x:c>
      <x:c r="R181" s="9" t="n">
        <x:f>MOD(Q181*16807,2147483647)</x:f>
        <x:v>1017865372</x:v>
      </x:c>
      <x:c r="S181" s="17" t="n">
        <x:f>IF('Control Room'!$B$5="Normal",'Control Room'!$B$7+'Control Room'!$D$7*SQRT(-2*LN(MAX(0.000000000001,Q181/2147483647)))*COS(2*PI()*R181/2147483647),'Control Room'!$B$8+('Control Room'!$D$8-'Control Room'!$B$8)*Q181/2147483647)</x:f>
        <x:v>942.1696871029003</x:v>
      </x:c>
      <x:c r="T181" s="17" t="n">
        <x:f>IF('Control Room'!$B$5="Normal",'Control Room'!$B$7,('Control Room'!$B$8+'Control Room'!$D$8)/2)+'Control Room'!$B$9*(T180-IF('Control Room'!$B$5="Normal",'Control Room'!$B$7,('Control Room'!$B$8+'Control Room'!$D$8)/2))+SQRT(1-'Control Room'!$B$9^2)*(S181-IF('Control Room'!$B$5="Normal",'Control Room'!$B$7,('Control Room'!$B$8+'Control Room'!$D$8)/2))</x:f>
        <x:v>994.7541388397603</x:v>
      </x:c>
      <x:c r="U181" s="17" t="n">
        <x:f>IF(AND($A181&gt;='Control Room'!$A$13,$A181&lt;'Control Room'!$A$13+'Control Room'!$B$13,'Process'!BN2=1),1+('Control Room'!$C$13-1)*EXP(-0.5*(($A181-'Control Room'!$A$13-('Control Room'!$B$13-1)/2)/MAX(0.5,'Control Room'!$B$13/4))^2),1)*IF(AND($A181&gt;='Control Room'!$A$14,$A181&lt;'Control Room'!$A$14+'Control Room'!$B$14,'Process'!BN3=1),1+('Control Room'!$C$14-1)*EXP(-0.5*(($A181-'Control Room'!$A$14-('Control Room'!$B$14-1)/2)/MAX(0.5,'Control Room'!$B$14/4))^2),1)*IF(AND($A181&gt;='Control Room'!$A$15,$A181&lt;'Control Room'!$A$15+'Control Room'!$B$15,'Process'!BN4=1),1+('Control Room'!$C$15-1)*EXP(-0.5*(($A181-'Control Room'!$A$15-('Control Room'!$B$15-1)/2)/MAX(0.5,'Control Room'!$B$15/4))^2),1)*IF(AND($A181&gt;='Control Room'!$A$16,$A181&lt;'Control Room'!$A$16+'Control Room'!$B$16,'Process'!BN5=1),1+('Control Room'!$C$16-1)*EXP(-0.5*(($A181-'Control Room'!$A$16-('Control Room'!$B$16-1)/2)/MAX(0.5,'Control Room'!$B$16/4))^2),1)</x:f>
        <x:v>1</x:v>
      </x:c>
      <x:c r="V181" s="9" t="n">
        <x:f>MOD(W180*16807,2147483647)</x:f>
        <x:v>1230915981</x:v>
      </x:c>
      <x:c r="W181" s="9" t="n">
        <x:f>MOD(V181*16807,2147483647)</x:f>
        <x:v>1294921116</x:v>
      </x:c>
      <x:c r="X181" s="17" t="n">
        <x:f>IF('Control Room'!$B$5="Normal",'Control Room'!$B$7+'Control Room'!$D$7*SQRT(-2*LN(MAX(0.000000000001,V181/2147483647)))*COS(2*PI()*W181/2147483647),'Control Room'!$B$8+('Control Room'!$D$8-'Control Room'!$B$8)*V181/2147483647)</x:f>
        <x:v>924.2457409721724</x:v>
      </x:c>
      <x:c r="Y181" s="17" t="n">
        <x:f>IF('Control Room'!$B$5="Normal",'Control Room'!$B$7,('Control Room'!$B$8+'Control Room'!$D$8)/2)+'Control Room'!$B$9*(Y180-IF('Control Room'!$B$5="Normal",'Control Room'!$B$7,('Control Room'!$B$8+'Control Room'!$D$8)/2))+SQRT(1-'Control Room'!$B$9^2)*(X181-IF('Control Room'!$B$5="Normal",'Control Room'!$B$7,('Control Room'!$B$8+'Control Room'!$D$8)/2))</x:f>
        <x:v>916.2105755421536</x:v>
      </x:c>
      <x:c r="Z181" s="17" t="n">
        <x:f>IF(AND($A181&gt;='Control Room'!$A$13,$A181&lt;'Control Room'!$A$13+'Control Room'!$B$13,'Process'!BO2=1),1+('Control Room'!$C$13-1)*EXP(-0.5*(($A181-'Control Room'!$A$13-('Control Room'!$B$13-1)/2)/MAX(0.5,'Control Room'!$B$13/4))^2),1)*IF(AND($A181&gt;='Control Room'!$A$14,$A181&lt;'Control Room'!$A$14+'Control Room'!$B$14,'Process'!BO3=1),1+('Control Room'!$C$14-1)*EXP(-0.5*(($A181-'Control Room'!$A$14-('Control Room'!$B$14-1)/2)/MAX(0.5,'Control Room'!$B$14/4))^2),1)*IF(AND($A181&gt;='Control Room'!$A$15,$A181&lt;'Control Room'!$A$15+'Control Room'!$B$15,'Process'!BO4=1),1+('Control Room'!$C$15-1)*EXP(-0.5*(($A181-'Control Room'!$A$15-('Control Room'!$B$15-1)/2)/MAX(0.5,'Control Room'!$B$15/4))^2),1)*IF(AND($A181&gt;='Control Room'!$A$16,$A181&lt;'Control Room'!$A$16+'Control Room'!$B$16,'Process'!BO5=1),1+('Control Room'!$C$16-1)*EXP(-0.5*(($A181-'Control Room'!$A$16-('Control Room'!$B$16-1)/2)/MAX(0.5,'Control Room'!$B$16/4))^2),1)</x:f>
        <x:v>1</x:v>
      </x:c>
      <x:c r="AA181" s="9" t="n">
        <x:f>MOD(AB180*16807,2147483647)</x:f>
        <x:v>724695171</x:v>
      </x:c>
      <x:c r="AB181" s="9" t="n">
        <x:f>MOD(AA181*16807,2147483647)</x:f>
        <x:v>1571976860</x:v>
      </x:c>
      <x:c r="AC181" s="17" t="n">
        <x:f>IF('Control Room'!$B$5="Normal",'Control Room'!$B$7+'Control Room'!$D$7*SQRT(-2*LN(MAX(0.000000000001,AA181/2147483647)))*COS(2*PI()*AB181/2147483647),'Control Room'!$B$8+('Control Room'!$D$8-'Control Room'!$B$8)*AA181/2147483647)</x:f>
        <x:v>985.0359895148476</x:v>
      </x:c>
      <x:c r="AD181" s="17" t="n">
        <x:f>IF('Control Room'!$B$5="Normal",'Control Room'!$B$7,('Control Room'!$B$8+'Control Room'!$D$8)/2)+'Control Room'!$B$9*(AD180-IF('Control Room'!$B$5="Normal",'Control Room'!$B$7,('Control Room'!$B$8+'Control Room'!$D$8)/2))+SQRT(1-'Control Room'!$B$9^2)*(AC181-IF('Control Room'!$B$5="Normal",'Control Room'!$B$7,('Control Room'!$B$8+'Control Room'!$D$8)/2))</x:f>
        <x:v>981.2374094583669</x:v>
      </x:c>
      <x:c r="AE181" s="17" t="n">
        <x:f>IF(AND($A181&gt;='Control Room'!$A$13,$A181&lt;'Control Room'!$A$13+'Control Room'!$B$13,'Process'!BP2=1),1+('Control Room'!$C$13-1)*EXP(-0.5*(($A181-'Control Room'!$A$13-('Control Room'!$B$13-1)/2)/MAX(0.5,'Control Room'!$B$13/4))^2),1)*IF(AND($A181&gt;='Control Room'!$A$14,$A181&lt;'Control Room'!$A$14+'Control Room'!$B$14,'Process'!BP3=1),1+('Control Room'!$C$14-1)*EXP(-0.5*(($A181-'Control Room'!$A$14-('Control Room'!$B$14-1)/2)/MAX(0.5,'Control Room'!$B$14/4))^2),1)*IF(AND($A181&gt;='Control Room'!$A$15,$A181&lt;'Control Room'!$A$15+'Control Room'!$B$15,'Process'!BP4=1),1+('Control Room'!$C$15-1)*EXP(-0.5*(($A181-'Control Room'!$A$15-('Control Room'!$B$15-1)/2)/MAX(0.5,'Control Room'!$B$15/4))^2),1)*IF(AND($A181&gt;='Control Room'!$A$16,$A181&lt;'Control Room'!$A$16+'Control Room'!$B$16,'Process'!BP5=1),1+('Control Room'!$C$16-1)*EXP(-0.5*(($A181-'Control Room'!$A$16-('Control Room'!$B$16-1)/2)/MAX(0.5,'Control Room'!$B$16/4))^2),1)</x:f>
        <x:v>1</x:v>
      </x:c>
      <x:c r="AF181" s="9" t="n">
        <x:f>MOD(AG180*16807,2147483647)</x:f>
        <x:v>218474361</x:v>
      </x:c>
      <x:c r="AG181" s="9" t="n">
        <x:f>MOD(AF181*16807,2147483647)</x:f>
        <x:v>1849032604</x:v>
      </x:c>
      <x:c r="AH181" s="17" t="n">
        <x:f>IF('Control Room'!$B$5="Normal",'Control Room'!$B$7+'Control Room'!$D$7*SQRT(-2*LN(MAX(0.000000000001,AF181/2147483647)))*COS(2*PI()*AG181/2147483647),'Control Room'!$B$8+('Control Room'!$D$8-'Control Room'!$B$8)*AF181/2147483647)</x:f>
        <x:v>1123.599729835169</x:v>
      </x:c>
      <x:c r="AI181" s="17" t="n">
        <x:f>IF('Control Room'!$B$5="Normal",'Control Room'!$B$7,('Control Room'!$B$8+'Control Room'!$D$8)/2)+'Control Room'!$B$9*(AI180-IF('Control Room'!$B$5="Normal",'Control Room'!$B$7,('Control Room'!$B$8+'Control Room'!$D$8)/2))+SQRT(1-'Control Room'!$B$9^2)*(AH181-IF('Control Room'!$B$5="Normal",'Control Room'!$B$7,('Control Room'!$B$8+'Control Room'!$D$8)/2))</x:f>
        <x:v>1089.0330169827687</x:v>
      </x:c>
      <x:c r="AJ181" s="17" t="n">
        <x:f>IF(AND($A181&gt;='Control Room'!$A$13,$A181&lt;'Control Room'!$A$13+'Control Room'!$B$13,'Process'!BQ2=1),1+('Control Room'!$C$13-1)*EXP(-0.5*(($A181-'Control Room'!$A$13-('Control Room'!$B$13-1)/2)/MAX(0.5,'Control Room'!$B$13/4))^2),1)*IF(AND($A181&gt;='Control Room'!$A$14,$A181&lt;'Control Room'!$A$14+'Control Room'!$B$14,'Process'!BQ3=1),1+('Control Room'!$C$14-1)*EXP(-0.5*(($A181-'Control Room'!$A$14-('Control Room'!$B$14-1)/2)/MAX(0.5,'Control Room'!$B$14/4))^2),1)*IF(AND($A181&gt;='Control Room'!$A$15,$A181&lt;'Control Room'!$A$15+'Control Room'!$B$15,'Process'!BQ4=1),1+('Control Room'!$C$15-1)*EXP(-0.5*(($A181-'Control Room'!$A$15-('Control Room'!$B$15-1)/2)/MAX(0.5,'Control Room'!$B$15/4))^2),1)*IF(AND($A181&gt;='Control Room'!$A$16,$A181&lt;'Control Room'!$A$16+'Control Room'!$B$16,'Process'!BQ5=1),1+('Control Room'!$C$16-1)*EXP(-0.5*(($A181-'Control Room'!$A$16-('Control Room'!$B$16-1)/2)/MAX(0.5,'Control Room'!$B$16/4))^2),1)</x:f>
        <x:v>1</x:v>
      </x:c>
      <x:c r="AK181" s="9" t="n">
        <x:f>MOD(AL180*16807,2147483647)</x:f>
        <x:v>1859737198</x:v>
      </x:c>
      <x:c r="AL181" s="9" t="n">
        <x:f>MOD(AK181*16807,2147483647)</x:f>
        <x:v>2126088348</x:v>
      </x:c>
      <x:c r="AM181" s="17" t="n">
        <x:f>IF('Control Room'!$B$5="Normal",'Control Room'!$B$7+'Control Room'!$D$7*SQRT(-2*LN(MAX(0.000000000001,AK181/2147483647)))*COS(2*PI()*AL181/2147483647),'Control Room'!$B$8+('Control Room'!$D$8-'Control Room'!$B$8)*AK181/2147483647)</x:f>
        <x:v>1048.1812906732916</x:v>
      </x:c>
      <x:c r="AN181" s="17" t="n">
        <x:f>IF('Control Room'!$B$5="Normal",'Control Room'!$B$7,('Control Room'!$B$8+'Control Room'!$D$8)/2)+'Control Room'!$B$9*(AN180-IF('Control Room'!$B$5="Normal",'Control Room'!$B$7,('Control Room'!$B$8+'Control Room'!$D$8)/2))+SQRT(1-'Control Room'!$B$9^2)*(AM181-IF('Control Room'!$B$5="Normal",'Control Room'!$B$7,('Control Room'!$B$8+'Control Room'!$D$8)/2))</x:f>
        <x:v>1066.4962061029605</x:v>
      </x:c>
      <x:c r="AO181" s="17" t="n">
        <x:f>IF(AND($A181&gt;='Control Room'!$A$13,$A181&lt;'Control Room'!$A$13+'Control Room'!$B$13,'Process'!BR2=1),1+('Control Room'!$C$13-1)*EXP(-0.5*(($A181-'Control Room'!$A$13-('Control Room'!$B$13-1)/2)/MAX(0.5,'Control Room'!$B$13/4))^2),1)*IF(AND($A181&gt;='Control Room'!$A$14,$A181&lt;'Control Room'!$A$14+'Control Room'!$B$14,'Process'!BR3=1),1+('Control Room'!$C$14-1)*EXP(-0.5*(($A181-'Control Room'!$A$14-('Control Room'!$B$14-1)/2)/MAX(0.5,'Control Room'!$B$14/4))^2),1)*IF(AND($A181&gt;='Control Room'!$A$15,$A181&lt;'Control Room'!$A$15+'Control Room'!$B$15,'Process'!BR4=1),1+('Control Room'!$C$15-1)*EXP(-0.5*(($A181-'Control Room'!$A$15-('Control Room'!$B$15-1)/2)/MAX(0.5,'Control Room'!$B$15/4))^2),1)*IF(AND($A181&gt;='Control Room'!$A$16,$A181&lt;'Control Room'!$A$16+'Control Room'!$B$16,'Process'!BR5=1),1+('Control Room'!$C$16-1)*EXP(-0.5*(($A181-'Control Room'!$A$16-('Control Room'!$B$16-1)/2)/MAX(0.5,'Control Room'!$B$16/4))^2),1)</x:f>
        <x:v>1</x:v>
      </x:c>
      <x:c r="AP181" s="9" t="n">
        <x:f>MOD(AQ180*16807,2147483647)</x:f>
        <x:v>1353516388</x:v>
      </x:c>
      <x:c r="AQ181" s="9" t="n">
        <x:f>MOD(AP181*16807,2147483647)</x:f>
        <x:v>255660445</x:v>
      </x:c>
      <x:c r="AR181" s="17" t="n">
        <x:f>IF('Control Room'!$B$5="Normal",'Control Room'!$B$7+'Control Room'!$D$7*SQRT(-2*LN(MAX(0.000000000001,AP181/2147483647)))*COS(2*PI()*AQ181/2147483647),'Control Room'!$B$8+('Control Room'!$D$8-'Control Room'!$B$8)*AP181/2147483647)</x:f>
        <x:v>1063.3886935375422</x:v>
      </x:c>
      <x:c r="AS181" s="17" t="n">
        <x:f>IF('Control Room'!$B$5="Normal",'Control Room'!$B$7,('Control Room'!$B$8+'Control Room'!$D$8)/2)+'Control Room'!$B$9*(AS180-IF('Control Room'!$B$5="Normal",'Control Room'!$B$7,('Control Room'!$B$8+'Control Room'!$D$8)/2))+SQRT(1-'Control Room'!$B$9^2)*(AR181-IF('Control Room'!$B$5="Normal",'Control Room'!$B$7,('Control Room'!$B$8+'Control Room'!$D$8)/2))</x:f>
        <x:v>988.7379773602578</x:v>
      </x:c>
      <x:c r="AT181" s="17" t="n">
        <x:f>IF(AND($A181&gt;='Control Room'!$A$13,$A181&lt;'Control Room'!$A$13+'Control Room'!$B$13,'Process'!BS2=1),1+('Control Room'!$C$13-1)*EXP(-0.5*(($A181-'Control Room'!$A$13-('Control Room'!$B$13-1)/2)/MAX(0.5,'Control Room'!$B$13/4))^2),1)*IF(AND($A181&gt;='Control Room'!$A$14,$A181&lt;'Control Room'!$A$14+'Control Room'!$B$14,'Process'!BS3=1),1+('Control Room'!$C$14-1)*EXP(-0.5*(($A181-'Control Room'!$A$14-('Control Room'!$B$14-1)/2)/MAX(0.5,'Control Room'!$B$14/4))^2),1)*IF(AND($A181&gt;='Control Room'!$A$15,$A181&lt;'Control Room'!$A$15+'Control Room'!$B$15,'Process'!BS4=1),1+('Control Room'!$C$15-1)*EXP(-0.5*(($A181-'Control Room'!$A$15-('Control Room'!$B$15-1)/2)/MAX(0.5,'Control Room'!$B$15/4))^2),1)*IF(AND($A181&gt;='Control Room'!$A$16,$A181&lt;'Control Room'!$A$16+'Control Room'!$B$16,'Process'!BS5=1),1+('Control Room'!$C$16-1)*EXP(-0.5*(($A181-'Control Room'!$A$16-('Control Room'!$B$16-1)/2)/MAX(0.5,'Control Room'!$B$16/4))^2),1)</x:f>
        <x:v>1</x:v>
      </x:c>
      <x:c r="AU181" s="9" t="n">
        <x:f>MOD(AV180*16807,2147483647)</x:f>
        <x:v>847295578</x:v>
      </x:c>
      <x:c r="AV181" s="9" t="n">
        <x:f>MOD(AU181*16807,2147483647)</x:f>
        <x:v>532716189</x:v>
      </x:c>
      <x:c r="AW181" s="17" t="n">
        <x:f>IF('Control Room'!$B$5="Normal",'Control Room'!$B$7+'Control Room'!$D$7*SQRT(-2*LN(MAX(0.000000000001,AU181/2147483647)))*COS(2*PI()*AV181/2147483647),'Control Room'!$B$8+('Control Room'!$D$8-'Control Room'!$B$8)*AU181/2147483647)</x:f>
        <x:v>1001.4920415076688</x:v>
      </x:c>
      <x:c r="AX181" s="17" t="n">
        <x:f>IF('Control Room'!$B$5="Normal",'Control Room'!$B$7,('Control Room'!$B$8+'Control Room'!$D$8)/2)+'Control Room'!$B$9*(AX180-IF('Control Room'!$B$5="Normal",'Control Room'!$B$7,('Control Room'!$B$8+'Control Room'!$D$8)/2))+SQRT(1-'Control Room'!$B$9^2)*(AW181-IF('Control Room'!$B$5="Normal",'Control Room'!$B$7,('Control Room'!$B$8+'Control Room'!$D$8)/2))</x:f>
        <x:v>1060.7777776081268</x:v>
      </x:c>
      <x:c r="AY181" s="17" t="n">
        <x:f>IF(AND($A181&gt;='Control Room'!$A$13,$A181&lt;'Control Room'!$A$13+'Control Room'!$B$13,'Process'!BT2=1),1+('Control Room'!$C$13-1)*EXP(-0.5*(($A181-'Control Room'!$A$13-('Control Room'!$B$13-1)/2)/MAX(0.5,'Control Room'!$B$13/4))^2),1)*IF(AND($A181&gt;='Control Room'!$A$14,$A181&lt;'Control Room'!$A$14+'Control Room'!$B$14,'Process'!BT3=1),1+('Control Room'!$C$14-1)*EXP(-0.5*(($A181-'Control Room'!$A$14-('Control Room'!$B$14-1)/2)/MAX(0.5,'Control Room'!$B$14/4))^2),1)*IF(AND($A181&gt;='Control Room'!$A$15,$A181&lt;'Control Room'!$A$15+'Control Room'!$B$15,'Process'!BT4=1),1+('Control Room'!$C$15-1)*EXP(-0.5*(($A181-'Control Room'!$A$15-('Control Room'!$B$15-1)/2)/MAX(0.5,'Control Room'!$B$15/4))^2),1)*IF(AND($A181&gt;='Control Room'!$A$16,$A181&lt;'Control Room'!$A$16+'Control Room'!$B$16,'Process'!BT5=1),1+('Control Room'!$C$16-1)*EXP(-0.5*(($A181-'Control Room'!$A$16-('Control Room'!$B$16-1)/2)/MAX(0.5,'Control Room'!$B$16/4))^2),1)</x:f>
        <x:v>1</x:v>
      </x:c>
      <x:c r="AZ181" s="9" t="n">
        <x:f>MOD(BA180*16807,2147483647)</x:f>
        <x:v>341074768</x:v>
      </x:c>
      <x:c r="BA181" s="9" t="n">
        <x:f>MOD(AZ181*16807,2147483647)</x:f>
        <x:v>809771933</x:v>
      </x:c>
      <x:c r="BB181" s="17" t="n">
        <x:f>IF('Control Room'!$B$5="Normal",'Control Room'!$B$7+'Control Room'!$D$7*SQRT(-2*LN(MAX(0.000000000001,AZ181/2147483647)))*COS(2*PI()*BA181/2147483647),'Control Room'!$B$8+('Control Room'!$D$8-'Control Room'!$B$8)*AZ181/2147483647)</x:f>
        <x:v>876.3351319203524</x:v>
      </x:c>
      <x:c r="BC181" s="17" t="n">
        <x:f>IF('Control Room'!$B$5="Normal",'Control Room'!$B$7,('Control Room'!$B$8+'Control Room'!$D$8)/2)+'Control Room'!$B$9*(BC180-IF('Control Room'!$B$5="Normal",'Control Room'!$B$7,('Control Room'!$B$8+'Control Room'!$D$8)/2))+SQRT(1-'Control Room'!$B$9^2)*(BB181-IF('Control Room'!$B$5="Normal",'Control Room'!$B$7,('Control Room'!$B$8+'Control Room'!$D$8)/2))</x:f>
        <x:v>1079.968773141516</x:v>
      </x:c>
      <x:c r="BD181" s="17" t="n">
        <x:f>IF(AND($A181&gt;='Control Room'!$A$13,$A181&lt;'Control Room'!$A$13+'Control Room'!$B$13,'Process'!BU2=1),1+('Control Room'!$C$13-1)*EXP(-0.5*(($A181-'Control Room'!$A$13-('Control Room'!$B$13-1)/2)/MAX(0.5,'Control Room'!$B$13/4))^2),1)*IF(AND($A181&gt;='Control Room'!$A$14,$A181&lt;'Control Room'!$A$14+'Control Room'!$B$14,'Process'!BU3=1),1+('Control Room'!$C$14-1)*EXP(-0.5*(($A181-'Control Room'!$A$14-('Control Room'!$B$14-1)/2)/MAX(0.5,'Control Room'!$B$14/4))^2),1)*IF(AND($A181&gt;='Control Room'!$A$15,$A181&lt;'Control Room'!$A$15+'Control Room'!$B$15,'Process'!BU4=1),1+('Control Room'!$C$15-1)*EXP(-0.5*(($A181-'Control Room'!$A$15-('Control Room'!$B$15-1)/2)/MAX(0.5,'Control Room'!$B$15/4))^2),1)*IF(AND($A181&gt;='Control Room'!$A$16,$A181&lt;'Control Room'!$A$16+'Control Room'!$B$16,'Process'!BU5=1),1+('Control Room'!$C$16-1)*EXP(-0.5*(($A181-'Control Room'!$A$16-('Control Room'!$B$16-1)/2)/MAX(0.5,'Control Room'!$B$16/4))^2),1)</x:f>
        <x:v>1</x:v>
      </x:c>
      <x:c r="BE181" s="9" t="n">
        <x:f>MOD(BF180*16807,2147483647)</x:f>
        <x:v>1982337605</x:v>
      </x:c>
      <x:c r="BF181" s="9" t="n">
        <x:f>MOD(BE181*16807,2147483647)</x:f>
        <x:v>1086827677</x:v>
      </x:c>
      <x:c r="BG181" s="17" t="n">
        <x:f>IF('Control Room'!$B$5="Normal",'Control Room'!$B$7+'Control Room'!$D$7*SQRT(-2*LN(MAX(0.000000000001,BE181/2147483647)))*COS(2*PI()*BF181/2147483647),'Control Room'!$B$8+('Control Room'!$D$8-'Control Room'!$B$8)*BE181/2147483647)</x:f>
        <x:v>964.0218858618472</x:v>
      </x:c>
      <x:c r="BH181" s="17" t="n">
        <x:f>IF('Control Room'!$B$5="Normal",'Control Room'!$B$7,('Control Room'!$B$8+'Control Room'!$D$8)/2)+'Control Room'!$B$9*(BH180-IF('Control Room'!$B$5="Normal",'Control Room'!$B$7,('Control Room'!$B$8+'Control Room'!$D$8)/2))+SQRT(1-'Control Room'!$B$9^2)*(BG181-IF('Control Room'!$B$5="Normal",'Control Room'!$B$7,('Control Room'!$B$8+'Control Room'!$D$8)/2))</x:f>
        <x:v>1031.110110643803</x:v>
      </x:c>
      <x:c r="BI181" s="17" t="n">
        <x:f>IF(AND($A181&gt;='Control Room'!$A$13,$A181&lt;'Control Room'!$A$13+'Control Room'!$B$13,'Process'!BV2=1),1+('Control Room'!$C$13-1)*EXP(-0.5*(($A181-'Control Room'!$A$13-('Control Room'!$B$13-1)/2)/MAX(0.5,'Control Room'!$B$13/4))^2),1)*IF(AND($A181&gt;='Control Room'!$A$14,$A181&lt;'Control Room'!$A$14+'Control Room'!$B$14,'Process'!BV3=1),1+('Control Room'!$C$14-1)*EXP(-0.5*(($A181-'Control Room'!$A$14-('Control Room'!$B$14-1)/2)/MAX(0.5,'Control Room'!$B$14/4))^2),1)*IF(AND($A181&gt;='Control Room'!$A$15,$A181&lt;'Control Room'!$A$15+'Control Room'!$B$15,'Process'!BV4=1),1+('Control Room'!$C$15-1)*EXP(-0.5*(($A181-'Control Room'!$A$15-('Control Room'!$B$15-1)/2)/MAX(0.5,'Control Room'!$B$15/4))^2),1)*IF(AND($A181&gt;='Control Room'!$A$16,$A181&lt;'Control Room'!$A$16+'Control Room'!$B$16,'Process'!BV5=1),1+('Control Room'!$C$16-1)*EXP(-0.5*(($A181-'Control Room'!$A$16-('Control Room'!$B$16-1)/2)/MAX(0.5,'Control Room'!$B$16/4))^2),1)</x:f>
        <x:v>1</x:v>
      </x:c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Z181" t="str">
        <x:f>IF('Data'!A181="","",TEXT('Data'!A181,"mm-dd"))</x:f>
      </x:c>
    </x:row>
    <x:row r="182" ht="21" customHeight="1">
      <x:c r="A182" s="15" t="n">
        <x:f>'Control Room'!$B$1+180</x:f>
        <x:v>73171</x:v>
      </x:c>
      <x:c r="B182" s="9" t="n">
        <x:f>MOD(C181*16807,2147483647)</x:f>
        <x:v>362030713</x:v>
      </x:c>
      <x:c r="C182" s="9" t="n">
        <x:f>MOD(B182*16807,2147483647)</x:f>
        <x:v>829021440</x:v>
      </x:c>
      <x:c r="D182" s="17" t="n">
        <x:f>IF('Control Room'!$B$5="Normal",'Control Room'!$B$7+'Control Room'!$D$7*SQRT(-2*LN(MAX(0.000000000001,B182/2147483647)))*COS(2*PI()*C182/2147483647),'Control Room'!$B$8+('Control Room'!$D$8-'Control Room'!$B$8)*B182/2147483647)</x:f>
        <x:v>871.8774452883955</x:v>
      </x:c>
      <x:c r="E182" s="17" t="n">
        <x:f>IF('Control Room'!$B$5="Normal",'Control Room'!$B$7,('Control Room'!$B$8+'Control Room'!$D$8)/2)+'Control Room'!$B$9*(E181-IF('Control Room'!$B$5="Normal",'Control Room'!$B$7,('Control Room'!$B$8+'Control Room'!$D$8)/2))+SQRT(1-'Control Room'!$B$9^2)*(D182-IF('Control Room'!$B$5="Normal",'Control Room'!$B$7,('Control Room'!$B$8+'Control Room'!$D$8)/2))</x:f>
        <x:v>988.412171638363</x:v>
      </x:c>
      <x:c r="F182" s="17" t="n">
        <x:f>IF(AND($A182&gt;='Control Room'!$A$13,$A182&lt;'Control Room'!$A$13+'Control Room'!$B$13,'Process'!BK2=1),1+('Control Room'!$C$13-1)*EXP(-0.5*(($A182-'Control Room'!$A$13-('Control Room'!$B$13-1)/2)/MAX(0.5,'Control Room'!$B$13/4))^2),1)*IF(AND($A182&gt;='Control Room'!$A$14,$A182&lt;'Control Room'!$A$14+'Control Room'!$B$14,'Process'!BK3=1),1+('Control Room'!$C$14-1)*EXP(-0.5*(($A182-'Control Room'!$A$14-('Control Room'!$B$14-1)/2)/MAX(0.5,'Control Room'!$B$14/4))^2),1)*IF(AND($A182&gt;='Control Room'!$A$15,$A182&lt;'Control Room'!$A$15+'Control Room'!$B$15,'Process'!BK4=1),1+('Control Room'!$C$15-1)*EXP(-0.5*(($A182-'Control Room'!$A$15-('Control Room'!$B$15-1)/2)/MAX(0.5,'Control Room'!$B$15/4))^2),1)*IF(AND($A182&gt;='Control Room'!$A$16,$A182&lt;'Control Room'!$A$16+'Control Room'!$B$16,'Process'!BK5=1),1+('Control Room'!$C$16-1)*EXP(-0.5*(($A182-'Control Room'!$A$16-('Control Room'!$B$16-1)/2)/MAX(0.5,'Control Room'!$B$16/4))^2),1)</x:f>
        <x:v>1</x:v>
      </x:c>
      <x:c r="G182" s="9" t="n">
        <x:f>MOD(H181*16807,2147483647)</x:f>
        <x:v>1093373425</x:v>
      </x:c>
      <x:c r="H182" s="9" t="n">
        <x:f>MOD(G182*16807,2147483647)</x:f>
        <x:v>309586596</x:v>
      </x:c>
      <x:c r="I182" s="17" t="n">
        <x:f>IF('Control Room'!$B$5="Normal",'Control Room'!$B$7+'Control Room'!$D$7*SQRT(-2*LN(MAX(0.000000000001,G182/2147483647)))*COS(2*PI()*H182/2147483647),'Control Room'!$B$8+('Control Room'!$D$8-'Control Room'!$B$8)*G182/2147483647)</x:f>
        <x:v>1064.5273231282108</x:v>
      </x:c>
      <x:c r="J182" s="17" t="n">
        <x:f>IF('Control Room'!$B$5="Normal",'Control Room'!$B$7,('Control Room'!$B$8+'Control Room'!$D$8)/2)+'Control Room'!$B$9*(J181-IF('Control Room'!$B$5="Normal",'Control Room'!$B$7,('Control Room'!$B$8+'Control Room'!$D$8)/2))+SQRT(1-'Control Room'!$B$9^2)*(I182-IF('Control Room'!$B$5="Normal",'Control Room'!$B$7,('Control Room'!$B$8+'Control Room'!$D$8)/2))</x:f>
        <x:v>1027.9282869632514</x:v>
      </x:c>
      <x:c r="K182" s="17" t="n">
        <x:f>IF(AND($A182&gt;='Control Room'!$A$13,$A182&lt;'Control Room'!$A$13+'Control Room'!$B$13,'Process'!BL2=1),1+('Control Room'!$C$13-1)*EXP(-0.5*(($A182-'Control Room'!$A$13-('Control Room'!$B$13-1)/2)/MAX(0.5,'Control Room'!$B$13/4))^2),1)*IF(AND($A182&gt;='Control Room'!$A$14,$A182&lt;'Control Room'!$A$14+'Control Room'!$B$14,'Process'!BL3=1),1+('Control Room'!$C$14-1)*EXP(-0.5*(($A182-'Control Room'!$A$14-('Control Room'!$B$14-1)/2)/MAX(0.5,'Control Room'!$B$14/4))^2),1)*IF(AND($A182&gt;='Control Room'!$A$15,$A182&lt;'Control Room'!$A$15+'Control Room'!$B$15,'Process'!BL4=1),1+('Control Room'!$C$15-1)*EXP(-0.5*(($A182-'Control Room'!$A$15-('Control Room'!$B$15-1)/2)/MAX(0.5,'Control Room'!$B$15/4))^2),1)*IF(AND($A182&gt;='Control Room'!$A$16,$A182&lt;'Control Room'!$A$16+'Control Room'!$B$16,'Process'!BL5=1),1+('Control Room'!$C$16-1)*EXP(-0.5*(($A182-'Control Room'!$A$16-('Control Room'!$B$16-1)/2)/MAX(0.5,'Control Room'!$B$16/4))^2),1)</x:f>
        <x:v>1</x:v>
      </x:c>
      <x:c r="L182" s="9" t="n">
        <x:f>MOD(M181*16807,2147483647)</x:f>
        <x:v>1824716137</x:v>
      </x:c>
      <x:c r="M182" s="9" t="n">
        <x:f>MOD(L182*16807,2147483647)</x:f>
        <x:v>1937635399</x:v>
      </x:c>
      <x:c r="N182" s="17" t="n">
        <x:f>IF('Control Room'!$B$5="Normal",'Control Room'!$B$7+'Control Room'!$D$7*SQRT(-2*LN(MAX(0.000000000001,L182/2147483647)))*COS(2*PI()*M182/2147483647),'Control Room'!$B$8+('Control Room'!$D$8-'Control Room'!$B$8)*L182/2147483647)</x:f>
        <x:v>1041.9850676721564</x:v>
      </x:c>
      <x:c r="O182" s="17" t="n">
        <x:f>IF('Control Room'!$B$5="Normal",'Control Room'!$B$7,('Control Room'!$B$8+'Control Room'!$D$8)/2)+'Control Room'!$B$9*(O181-IF('Control Room'!$B$5="Normal",'Control Room'!$B$7,('Control Room'!$B$8+'Control Room'!$D$8)/2))+SQRT(1-'Control Room'!$B$9^2)*(N182-IF('Control Room'!$B$5="Normal",'Control Room'!$B$7,('Control Room'!$B$8+'Control Room'!$D$8)/2))</x:f>
        <x:v>941.2127423999779</x:v>
      </x:c>
      <x:c r="P182" s="17" t="n">
        <x:f>IF(AND($A182&gt;='Control Room'!$A$13,$A182&lt;'Control Room'!$A$13+'Control Room'!$B$13,'Process'!BM2=1),1+('Control Room'!$C$13-1)*EXP(-0.5*(($A182-'Control Room'!$A$13-('Control Room'!$B$13-1)/2)/MAX(0.5,'Control Room'!$B$13/4))^2),1)*IF(AND($A182&gt;='Control Room'!$A$14,$A182&lt;'Control Room'!$A$14+'Control Room'!$B$14,'Process'!BM3=1),1+('Control Room'!$C$14-1)*EXP(-0.5*(($A182-'Control Room'!$A$14-('Control Room'!$B$14-1)/2)/MAX(0.5,'Control Room'!$B$14/4))^2),1)*IF(AND($A182&gt;='Control Room'!$A$15,$A182&lt;'Control Room'!$A$15+'Control Room'!$B$15,'Process'!BM4=1),1+('Control Room'!$C$15-1)*EXP(-0.5*(($A182-'Control Room'!$A$15-('Control Room'!$B$15-1)/2)/MAX(0.5,'Control Room'!$B$15/4))^2),1)*IF(AND($A182&gt;='Control Room'!$A$16,$A182&lt;'Control Room'!$A$16+'Control Room'!$B$16,'Process'!BM5=1),1+('Control Room'!$C$16-1)*EXP(-0.5*(($A182-'Control Room'!$A$16-('Control Room'!$B$16-1)/2)/MAX(0.5,'Control Room'!$B$16/4))^2),1)</x:f>
        <x:v>1</x:v>
      </x:c>
      <x:c r="Q182" s="9" t="n">
        <x:f>MOD(R181*16807,2147483647)</x:f>
        <x:v>408575202</x:v>
      </x:c>
      <x:c r="R182" s="9" t="n">
        <x:f>MOD(Q182*16807,2147483647)</x:f>
        <x:v>1418200555</x:v>
      </x:c>
      <x:c r="S182" s="17" t="n">
        <x:f>IF('Control Room'!$B$5="Normal",'Control Room'!$B$7+'Control Room'!$D$7*SQRT(-2*LN(MAX(0.000000000001,Q182/2147483647)))*COS(2*PI()*R182/2147483647),'Control Room'!$B$8+('Control Room'!$D$8-'Control Room'!$B$8)*Q182/2147483647)</x:f>
        <x:v>912.4966092607654</x:v>
      </x:c>
      <x:c r="T182" s="17" t="n">
        <x:f>IF('Control Room'!$B$5="Normal",'Control Room'!$B$7,('Control Room'!$B$8+'Control Room'!$D$8)/2)+'Control Room'!$B$9*(T181-IF('Control Room'!$B$5="Normal",'Control Room'!$B$7,('Control Room'!$B$8+'Control Room'!$D$8)/2))+SQRT(1-'Control Room'!$B$9^2)*(S182-IF('Control Room'!$B$5="Normal",'Control Room'!$B$7,('Control Room'!$B$8+'Control Room'!$D$8)/2))</x:f>
        <x:v>941.150398974796</x:v>
      </x:c>
      <x:c r="U182" s="17" t="n">
        <x:f>IF(AND($A182&gt;='Control Room'!$A$13,$A182&lt;'Control Room'!$A$13+'Control Room'!$B$13,'Process'!BN2=1),1+('Control Room'!$C$13-1)*EXP(-0.5*(($A182-'Control Room'!$A$13-('Control Room'!$B$13-1)/2)/MAX(0.5,'Control Room'!$B$13/4))^2),1)*IF(AND($A182&gt;='Control Room'!$A$14,$A182&lt;'Control Room'!$A$14+'Control Room'!$B$14,'Process'!BN3=1),1+('Control Room'!$C$14-1)*EXP(-0.5*(($A182-'Control Room'!$A$14-('Control Room'!$B$14-1)/2)/MAX(0.5,'Control Room'!$B$14/4))^2),1)*IF(AND($A182&gt;='Control Room'!$A$15,$A182&lt;'Control Room'!$A$15+'Control Room'!$B$15,'Process'!BN4=1),1+('Control Room'!$C$15-1)*EXP(-0.5*(($A182-'Control Room'!$A$15-('Control Room'!$B$15-1)/2)/MAX(0.5,'Control Room'!$B$15/4))^2),1)*IF(AND($A182&gt;='Control Room'!$A$16,$A182&lt;'Control Room'!$A$16+'Control Room'!$B$16,'Process'!BN5=1),1+('Control Room'!$C$16-1)*EXP(-0.5*(($A182-'Control Room'!$A$16-('Control Room'!$B$16-1)/2)/MAX(0.5,'Control Room'!$B$16/4))^2),1)</x:f>
        <x:v>1</x:v>
      </x:c>
      <x:c r="V182" s="9" t="n">
        <x:f>MOD(W181*16807,2147483647)</x:f>
        <x:v>1139917914</x:v>
      </x:c>
      <x:c r="W182" s="9" t="n">
        <x:f>MOD(V182*16807,2147483647)</x:f>
        <x:v>898765711</x:v>
      </x:c>
      <x:c r="X182" s="17" t="n">
        <x:f>IF('Control Room'!$B$5="Normal",'Control Room'!$B$7+'Control Room'!$D$7*SQRT(-2*LN(MAX(0.000000000001,V182/2147483647)))*COS(2*PI()*W182/2147483647),'Control Room'!$B$8+('Control Room'!$D$8-'Control Room'!$B$8)*V182/2147483647)</x:f>
        <x:v>911.694425202563</x:v>
      </x:c>
      <x:c r="Y182" s="17" t="n">
        <x:f>IF('Control Room'!$B$5="Normal",'Control Room'!$B$7,('Control Room'!$B$8+'Control Room'!$D$8)/2)+'Control Room'!$B$9*(Y181-IF('Control Room'!$B$5="Normal",'Control Room'!$B$7,('Control Room'!$B$8+'Control Room'!$D$8)/2))+SQRT(1-'Control Room'!$B$9^2)*(X182-IF('Control Room'!$B$5="Normal",'Control Room'!$B$7,('Control Room'!$B$8+'Control Room'!$D$8)/2))</x:f>
        <x:v>879.3844292526734</x:v>
      </x:c>
      <x:c r="Z182" s="17" t="n">
        <x:f>IF(AND($A182&gt;='Control Room'!$A$13,$A182&lt;'Control Room'!$A$13+'Control Room'!$B$13,'Process'!BO2=1),1+('Control Room'!$C$13-1)*EXP(-0.5*(($A182-'Control Room'!$A$13-('Control Room'!$B$13-1)/2)/MAX(0.5,'Control Room'!$B$13/4))^2),1)*IF(AND($A182&gt;='Control Room'!$A$14,$A182&lt;'Control Room'!$A$14+'Control Room'!$B$14,'Process'!BO3=1),1+('Control Room'!$C$14-1)*EXP(-0.5*(($A182-'Control Room'!$A$14-('Control Room'!$B$14-1)/2)/MAX(0.5,'Control Room'!$B$14/4))^2),1)*IF(AND($A182&gt;='Control Room'!$A$15,$A182&lt;'Control Room'!$A$15+'Control Room'!$B$15,'Process'!BO4=1),1+('Control Room'!$C$15-1)*EXP(-0.5*(($A182-'Control Room'!$A$15-('Control Room'!$B$15-1)/2)/MAX(0.5,'Control Room'!$B$15/4))^2),1)*IF(AND($A182&gt;='Control Room'!$A$16,$A182&lt;'Control Room'!$A$16+'Control Room'!$B$16,'Process'!BO5=1),1+('Control Room'!$C$16-1)*EXP(-0.5*(($A182-'Control Room'!$A$16-('Control Room'!$B$16-1)/2)/MAX(0.5,'Control Room'!$B$16/4))^2),1)</x:f>
        <x:v>1</x:v>
      </x:c>
      <x:c r="AA182" s="9" t="n">
        <x:f>MOD(AB181*16807,2147483647)</x:f>
        <x:v>1871260626</x:v>
      </x:c>
      <x:c r="AB182" s="9" t="n">
        <x:f>MOD(AA182*16807,2147483647)</x:f>
        <x:v>379330867</x:v>
      </x:c>
      <x:c r="AC182" s="17" t="n">
        <x:f>IF('Control Room'!$B$5="Normal",'Control Room'!$B$7+'Control Room'!$D$7*SQRT(-2*LN(MAX(0.000000000001,AA182/2147483647)))*COS(2*PI()*AB182/2147483647),'Control Room'!$B$8+('Control Room'!$D$8-'Control Room'!$B$8)*AA182/2147483647)</x:f>
        <x:v>1021.0064149822201</x:v>
      </x:c>
      <x:c r="AD182" s="17" t="n">
        <x:f>IF('Control Room'!$B$5="Normal",'Control Room'!$B$7,('Control Room'!$B$8+'Control Room'!$D$8)/2)+'Control Room'!$B$9*(AD181-IF('Control Room'!$B$5="Normal",'Control Room'!$B$7,('Control Room'!$B$8+'Control Room'!$D$8)/2))+SQRT(1-'Control Room'!$B$9^2)*(AC182-IF('Control Room'!$B$5="Normal",'Control Room'!$B$7,('Control Room'!$B$8+'Control Room'!$D$8)/2))</x:f>
        <x:v>998.5105635335975</x:v>
      </x:c>
      <x:c r="AE182" s="17" t="n">
        <x:f>IF(AND($A182&gt;='Control Room'!$A$13,$A182&lt;'Control Room'!$A$13+'Control Room'!$B$13,'Process'!BP2=1),1+('Control Room'!$C$13-1)*EXP(-0.5*(($A182-'Control Room'!$A$13-('Control Room'!$B$13-1)/2)/MAX(0.5,'Control Room'!$B$13/4))^2),1)*IF(AND($A182&gt;='Control Room'!$A$14,$A182&lt;'Control Room'!$A$14+'Control Room'!$B$14,'Process'!BP3=1),1+('Control Room'!$C$14-1)*EXP(-0.5*(($A182-'Control Room'!$A$14-('Control Room'!$B$14-1)/2)/MAX(0.5,'Control Room'!$B$14/4))^2),1)*IF(AND($A182&gt;='Control Room'!$A$15,$A182&lt;'Control Room'!$A$15+'Control Room'!$B$15,'Process'!BP4=1),1+('Control Room'!$C$15-1)*EXP(-0.5*(($A182-'Control Room'!$A$15-('Control Room'!$B$15-1)/2)/MAX(0.5,'Control Room'!$B$15/4))^2),1)*IF(AND($A182&gt;='Control Room'!$A$16,$A182&lt;'Control Room'!$A$16+'Control Room'!$B$16,'Process'!BP5=1),1+('Control Room'!$C$16-1)*EXP(-0.5*(($A182-'Control Room'!$A$16-('Control Room'!$B$16-1)/2)/MAX(0.5,'Control Room'!$B$16/4))^2),1)</x:f>
        <x:v>1</x:v>
      </x:c>
      <x:c r="AF182" s="9" t="n">
        <x:f>MOD(AG181*16807,2147483647)</x:f>
        <x:v>455119691</x:v>
      </x:c>
      <x:c r="AG182" s="9" t="n">
        <x:f>MOD(AF182*16807,2147483647)</x:f>
        <x:v>2007379670</x:v>
      </x:c>
      <x:c r="AH182" s="17" t="n">
        <x:f>IF('Control Room'!$B$5="Normal",'Control Room'!$B$7+'Control Room'!$D$7*SQRT(-2*LN(MAX(0.000000000001,AF182/2147483647)))*COS(2*PI()*AG182/2147483647),'Control Room'!$B$8+('Control Room'!$D$8-'Control Room'!$B$8)*AF182/2147483647)</x:f>
        <x:v>1145.4030887729832</x:v>
      </x:c>
      <x:c r="AI182" s="17" t="n">
        <x:f>IF('Control Room'!$B$5="Normal",'Control Room'!$B$7,('Control Room'!$B$8+'Control Room'!$D$8)/2)+'Control Room'!$B$9*(AI181-IF('Control Room'!$B$5="Normal",'Control Room'!$B$7,('Control Room'!$B$8+'Control Room'!$D$8)/2))+SQRT(1-'Control Room'!$B$9^2)*(AH182-IF('Control Room'!$B$5="Normal",'Control Room'!$B$7,('Control Room'!$B$8+'Control Room'!$D$8)/2))</x:f>
        <x:v>1160.43602745651</x:v>
      </x:c>
      <x:c r="AJ182" s="17" t="n">
        <x:f>IF(AND($A182&gt;='Control Room'!$A$13,$A182&lt;'Control Room'!$A$13+'Control Room'!$B$13,'Process'!BQ2=1),1+('Control Room'!$C$13-1)*EXP(-0.5*(($A182-'Control Room'!$A$13-('Control Room'!$B$13-1)/2)/MAX(0.5,'Control Room'!$B$13/4))^2),1)*IF(AND($A182&gt;='Control Room'!$A$14,$A182&lt;'Control Room'!$A$14+'Control Room'!$B$14,'Process'!BQ3=1),1+('Control Room'!$C$14-1)*EXP(-0.5*(($A182-'Control Room'!$A$14-('Control Room'!$B$14-1)/2)/MAX(0.5,'Control Room'!$B$14/4))^2),1)*IF(AND($A182&gt;='Control Room'!$A$15,$A182&lt;'Control Room'!$A$15+'Control Room'!$B$15,'Process'!BQ4=1),1+('Control Room'!$C$15-1)*EXP(-0.5*(($A182-'Control Room'!$A$15-('Control Room'!$B$15-1)/2)/MAX(0.5,'Control Room'!$B$15/4))^2),1)*IF(AND($A182&gt;='Control Room'!$A$16,$A182&lt;'Control Room'!$A$16+'Control Room'!$B$16,'Process'!BQ5=1),1+('Control Room'!$C$16-1)*EXP(-0.5*(($A182-'Control Room'!$A$16-('Control Room'!$B$16-1)/2)/MAX(0.5,'Control Room'!$B$16/4))^2),1)</x:f>
        <x:v>1</x:v>
      </x:c>
      <x:c r="AK182" s="9" t="n">
        <x:f>MOD(AL181*16807,2147483647)</x:f>
        <x:v>1186462403</x:v>
      </x:c>
      <x:c r="AL182" s="9" t="n">
        <x:f>MOD(AK182*16807,2147483647)</x:f>
        <x:v>1487944826</x:v>
      </x:c>
      <x:c r="AM182" s="17" t="n">
        <x:f>IF('Control Room'!$B$5="Normal",'Control Room'!$B$7+'Control Room'!$D$7*SQRT(-2*LN(MAX(0.000000000001,AK182/2147483647)))*COS(2*PI()*AL182/2147483647),'Control Room'!$B$8+('Control Room'!$D$8-'Control Room'!$B$8)*AK182/2147483647)</x:f>
        <x:v>965.5635006610223</x:v>
      </x:c>
      <x:c r="AN182" s="17" t="n">
        <x:f>IF('Control Room'!$B$5="Normal",'Control Room'!$B$7,('Control Room'!$B$8+'Control Room'!$D$8)/2)+'Control Room'!$B$9*(AN181-IF('Control Room'!$B$5="Normal",'Control Room'!$B$7,('Control Room'!$B$8+'Control Room'!$D$8)/2))+SQRT(1-'Control Room'!$B$9^2)*(AM182-IF('Control Room'!$B$5="Normal",'Control Room'!$B$7,('Control Room'!$B$8+'Control Room'!$D$8)/2))</x:f>
        <x:v>1030.3173849440116</x:v>
      </x:c>
      <x:c r="AO182" s="17" t="n">
        <x:f>IF(AND($A182&gt;='Control Room'!$A$13,$A182&lt;'Control Room'!$A$13+'Control Room'!$B$13,'Process'!BR2=1),1+('Control Room'!$C$13-1)*EXP(-0.5*(($A182-'Control Room'!$A$13-('Control Room'!$B$13-1)/2)/MAX(0.5,'Control Room'!$B$13/4))^2),1)*IF(AND($A182&gt;='Control Room'!$A$14,$A182&lt;'Control Room'!$A$14+'Control Room'!$B$14,'Process'!BR3=1),1+('Control Room'!$C$14-1)*EXP(-0.5*(($A182-'Control Room'!$A$14-('Control Room'!$B$14-1)/2)/MAX(0.5,'Control Room'!$B$14/4))^2),1)*IF(AND($A182&gt;='Control Room'!$A$15,$A182&lt;'Control Room'!$A$15+'Control Room'!$B$15,'Process'!BR4=1),1+('Control Room'!$C$15-1)*EXP(-0.5*(($A182-'Control Room'!$A$15-('Control Room'!$B$15-1)/2)/MAX(0.5,'Control Room'!$B$15/4))^2),1)*IF(AND($A182&gt;='Control Room'!$A$16,$A182&lt;'Control Room'!$A$16+'Control Room'!$B$16,'Process'!BR5=1),1+('Control Room'!$C$16-1)*EXP(-0.5*(($A182-'Control Room'!$A$16-('Control Room'!$B$16-1)/2)/MAX(0.5,'Control Room'!$B$16/4))^2),1)</x:f>
        <x:v>1</x:v>
      </x:c>
      <x:c r="AP182" s="9" t="n">
        <x:f>MOD(AQ181*16807,2147483647)</x:f>
        <x:v>1917805115</x:v>
      </x:c>
      <x:c r="AQ182" s="9" t="n">
        <x:f>MOD(AP182*16807,2147483647)</x:f>
        <x:v>968509982</x:v>
      </x:c>
      <x:c r="AR182" s="17" t="n">
        <x:f>IF('Control Room'!$B$5="Normal",'Control Room'!$B$7+'Control Room'!$D$7*SQRT(-2*LN(MAX(0.000000000001,AP182/2147483647)))*COS(2*PI()*AQ182/2147483647),'Control Room'!$B$8+('Control Room'!$D$8-'Control Room'!$B$8)*AP182/2147483647)</x:f>
        <x:v>959.2056725444916</x:v>
      </x:c>
      <x:c r="AS182" s="17" t="n">
        <x:f>IF('Control Room'!$B$5="Normal",'Control Room'!$B$7,('Control Room'!$B$8+'Control Room'!$D$8)/2)+'Control Room'!$B$9*(AS181-IF('Control Room'!$B$5="Normal",'Control Room'!$B$7,('Control Room'!$B$8+'Control Room'!$D$8)/2))+SQRT(1-'Control Room'!$B$9^2)*(AR182-IF('Control Room'!$B$5="Normal",'Control Room'!$B$7,('Control Room'!$B$8+'Control Room'!$D$8)/2))</x:f>
        <x:v>965.6873679365672</x:v>
      </x:c>
      <x:c r="AT182" s="17" t="n">
        <x:f>IF(AND($A182&gt;='Control Room'!$A$13,$A182&lt;'Control Room'!$A$13+'Control Room'!$B$13,'Process'!BS2=1),1+('Control Room'!$C$13-1)*EXP(-0.5*(($A182-'Control Room'!$A$13-('Control Room'!$B$13-1)/2)/MAX(0.5,'Control Room'!$B$13/4))^2),1)*IF(AND($A182&gt;='Control Room'!$A$14,$A182&lt;'Control Room'!$A$14+'Control Room'!$B$14,'Process'!BS3=1),1+('Control Room'!$C$14-1)*EXP(-0.5*(($A182-'Control Room'!$A$14-('Control Room'!$B$14-1)/2)/MAX(0.5,'Control Room'!$B$14/4))^2),1)*IF(AND($A182&gt;='Control Room'!$A$15,$A182&lt;'Control Room'!$A$15+'Control Room'!$B$15,'Process'!BS4=1),1+('Control Room'!$C$15-1)*EXP(-0.5*(($A182-'Control Room'!$A$15-('Control Room'!$B$15-1)/2)/MAX(0.5,'Control Room'!$B$15/4))^2),1)*IF(AND($A182&gt;='Control Room'!$A$16,$A182&lt;'Control Room'!$A$16+'Control Room'!$B$16,'Process'!BS5=1),1+('Control Room'!$C$16-1)*EXP(-0.5*(($A182-'Control Room'!$A$16-('Control Room'!$B$16-1)/2)/MAX(0.5,'Control Room'!$B$16/4))^2),1)</x:f>
        <x:v>1</x:v>
      </x:c>
      <x:c r="AU182" s="9" t="n">
        <x:f>MOD(AV181*16807,2147483647)</x:f>
        <x:v>501664180</x:v>
      </x:c>
      <x:c r="AV182" s="9" t="n">
        <x:f>MOD(AU182*16807,2147483647)</x:f>
        <x:v>449075138</x:v>
      </x:c>
      <x:c r="AW182" s="17" t="n">
        <x:f>IF('Control Room'!$B$5="Normal",'Control Room'!$B$7+'Control Room'!$D$7*SQRT(-2*LN(MAX(0.000000000001,AU182/2147483647)))*COS(2*PI()*AV182/2147483647),'Control Room'!$B$8+('Control Room'!$D$8-'Control Room'!$B$8)*AU182/2147483647)</x:f>
        <x:v>1038.993721453008</x:v>
      </x:c>
      <x:c r="AX182" s="17" t="n">
        <x:f>IF('Control Room'!$B$5="Normal",'Control Room'!$B$7,('Control Room'!$B$8+'Control Room'!$D$8)/2)+'Control Room'!$B$9*(AX181-IF('Control Room'!$B$5="Normal",'Control Room'!$B$7,('Control Room'!$B$8+'Control Room'!$D$8)/2))+SQRT(1-'Control Room'!$B$9^2)*(AW182-IF('Control Room'!$B$5="Normal",'Control Room'!$B$7,('Control Room'!$B$8+'Control Room'!$D$8)/2))</x:f>
        <x:v>1071.8081385898272</x:v>
      </x:c>
      <x:c r="AY182" s="17" t="n">
        <x:f>IF(AND($A182&gt;='Control Room'!$A$13,$A182&lt;'Control Room'!$A$13+'Control Room'!$B$13,'Process'!BT2=1),1+('Control Room'!$C$13-1)*EXP(-0.5*(($A182-'Control Room'!$A$13-('Control Room'!$B$13-1)/2)/MAX(0.5,'Control Room'!$B$13/4))^2),1)*IF(AND($A182&gt;='Control Room'!$A$14,$A182&lt;'Control Room'!$A$14+'Control Room'!$B$14,'Process'!BT3=1),1+('Control Room'!$C$14-1)*EXP(-0.5*(($A182-'Control Room'!$A$14-('Control Room'!$B$14-1)/2)/MAX(0.5,'Control Room'!$B$14/4))^2),1)*IF(AND($A182&gt;='Control Room'!$A$15,$A182&lt;'Control Room'!$A$15+'Control Room'!$B$15,'Process'!BT4=1),1+('Control Room'!$C$15-1)*EXP(-0.5*(($A182-'Control Room'!$A$15-('Control Room'!$B$15-1)/2)/MAX(0.5,'Control Room'!$B$15/4))^2),1)*IF(AND($A182&gt;='Control Room'!$A$16,$A182&lt;'Control Room'!$A$16+'Control Room'!$B$16,'Process'!BT5=1),1+('Control Room'!$C$16-1)*EXP(-0.5*(($A182-'Control Room'!$A$16-('Control Room'!$B$16-1)/2)/MAX(0.5,'Control Room'!$B$16/4))^2),1)</x:f>
        <x:v>1</x:v>
      </x:c>
      <x:c r="AZ182" s="9" t="n">
        <x:f>MOD(BA181*16807,2147483647)</x:f>
        <x:v>1233006892</x:v>
      </x:c>
      <x:c r="BA182" s="9" t="n">
        <x:f>MOD(AZ182*16807,2147483647)</x:f>
        <x:v>2077123941</x:v>
      </x:c>
      <x:c r="BB182" s="17" t="n">
        <x:f>IF('Control Room'!$B$5="Normal",'Control Room'!$B$7+'Control Room'!$D$7*SQRT(-2*LN(MAX(0.000000000001,AZ182/2147483647)))*COS(2*PI()*BA182/2147483647),'Control Room'!$B$8+('Control Room'!$D$8-'Control Room'!$B$8)*AZ182/2147483647)</x:f>
        <x:v>1092.8054734571674</x:v>
      </x:c>
      <x:c r="BC182" s="17" t="n">
        <x:f>IF('Control Room'!$B$5="Normal",'Control Room'!$B$7,('Control Room'!$B$8+'Control Room'!$D$8)/2)+'Control Room'!$B$9*(BC181-IF('Control Room'!$B$5="Normal",'Control Room'!$B$7,('Control Room'!$B$8+'Control Room'!$D$8)/2))+SQRT(1-'Control Room'!$B$9^2)*(BB182-IF('Control Room'!$B$5="Normal",'Control Room'!$B$7,('Control Room'!$B$8+'Control Room'!$D$8)/2))</x:f>
        <x:v>1120.4514071164133</x:v>
      </x:c>
      <x:c r="BD182" s="17" t="n">
        <x:f>IF(AND($A182&gt;='Control Room'!$A$13,$A182&lt;'Control Room'!$A$13+'Control Room'!$B$13,'Process'!BU2=1),1+('Control Room'!$C$13-1)*EXP(-0.5*(($A182-'Control Room'!$A$13-('Control Room'!$B$13-1)/2)/MAX(0.5,'Control Room'!$B$13/4))^2),1)*IF(AND($A182&gt;='Control Room'!$A$14,$A182&lt;'Control Room'!$A$14+'Control Room'!$B$14,'Process'!BU3=1),1+('Control Room'!$C$14-1)*EXP(-0.5*(($A182-'Control Room'!$A$14-('Control Room'!$B$14-1)/2)/MAX(0.5,'Control Room'!$B$14/4))^2),1)*IF(AND($A182&gt;='Control Room'!$A$15,$A182&lt;'Control Room'!$A$15+'Control Room'!$B$15,'Process'!BU4=1),1+('Control Room'!$C$15-1)*EXP(-0.5*(($A182-'Control Room'!$A$15-('Control Room'!$B$15-1)/2)/MAX(0.5,'Control Room'!$B$15/4))^2),1)*IF(AND($A182&gt;='Control Room'!$A$16,$A182&lt;'Control Room'!$A$16+'Control Room'!$B$16,'Process'!BU5=1),1+('Control Room'!$C$16-1)*EXP(-0.5*(($A182-'Control Room'!$A$16-('Control Room'!$B$16-1)/2)/MAX(0.5,'Control Room'!$B$16/4))^2),1)</x:f>
        <x:v>1</x:v>
      </x:c>
      <x:c r="BE182" s="9" t="n">
        <x:f>MOD(BF181*16807,2147483647)</x:f>
        <x:v>1964349604</x:v>
      </x:c>
      <x:c r="BF182" s="9" t="n">
        <x:f>MOD(BE182*16807,2147483647)</x:f>
        <x:v>1557689097</x:v>
      </x:c>
      <x:c r="BG182" s="17" t="n">
        <x:f>IF('Control Room'!$B$5="Normal",'Control Room'!$B$7+'Control Room'!$D$7*SQRT(-2*LN(MAX(0.000000000001,BE182/2147483647)))*COS(2*PI()*BF182/2147483647),'Control Room'!$B$8+('Control Room'!$D$8-'Control Room'!$B$8)*BE182/2147483647)</x:f>
        <x:v>994.139350080323</x:v>
      </x:c>
      <x:c r="BH182" s="17" t="n">
        <x:f>IF('Control Room'!$B$5="Normal",'Control Room'!$B$7,('Control Room'!$B$8+'Control Room'!$D$8)/2)+'Control Room'!$B$9*(BH181-IF('Control Room'!$B$5="Normal",'Control Room'!$B$7,('Control Room'!$B$8+'Control Room'!$D$8)/2))+SQRT(1-'Control Room'!$B$9^2)*(BG182-IF('Control Room'!$B$5="Normal",'Control Room'!$B$7,('Control Room'!$B$8+'Control Room'!$D$8)/2))</x:f>
        <x:v>1020.598411644372</x:v>
      </x:c>
      <x:c r="BI182" s="17" t="n">
        <x:f>IF(AND($A182&gt;='Control Room'!$A$13,$A182&lt;'Control Room'!$A$13+'Control Room'!$B$13,'Process'!BV2=1),1+('Control Room'!$C$13-1)*EXP(-0.5*(($A182-'Control Room'!$A$13-('Control Room'!$B$13-1)/2)/MAX(0.5,'Control Room'!$B$13/4))^2),1)*IF(AND($A182&gt;='Control Room'!$A$14,$A182&lt;'Control Room'!$A$14+'Control Room'!$B$14,'Process'!BV3=1),1+('Control Room'!$C$14-1)*EXP(-0.5*(($A182-'Control Room'!$A$14-('Control Room'!$B$14-1)/2)/MAX(0.5,'Control Room'!$B$14/4))^2),1)*IF(AND($A182&gt;='Control Room'!$A$15,$A182&lt;'Control Room'!$A$15+'Control Room'!$B$15,'Process'!BV4=1),1+('Control Room'!$C$15-1)*EXP(-0.5*(($A182-'Control Room'!$A$15-('Control Room'!$B$15-1)/2)/MAX(0.5,'Control Room'!$B$15/4))^2),1)*IF(AND($A182&gt;='Control Room'!$A$16,$A182&lt;'Control Room'!$A$16+'Control Room'!$B$16,'Process'!BV5=1),1+('Control Room'!$C$16-1)*EXP(-0.5*(($A182-'Control Room'!$A$16-('Control Room'!$B$16-1)/2)/MAX(0.5,'Control Room'!$B$16/4))^2),1)</x:f>
        <x:v>1</x:v>
      </x:c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Z182" t="str">
        <x:f>IF('Data'!A182="","",TEXT('Data'!A182,"mm-dd"))</x:f>
      </x:c>
    </x:row>
    <x:row r="183" ht="21" customHeight="1">
      <x:c r="A183" s="15" t="n">
        <x:f>'Control Room'!$B$1+181</x:f>
        <x:v>73172</x:v>
      </x:c>
      <x:c r="B183" s="9" t="n">
        <x:f>MOD(C182*16807,2147483647)</x:f>
        <x:v>489440344</x:v>
      </x:c>
      <x:c r="C183" s="9" t="n">
        <x:f>MOD(B183*16807,2147483647)</x:f>
        <x:v>1161493598</x:v>
      </x:c>
      <x:c r="D183" s="17" t="n">
        <x:f>IF('Control Room'!$B$5="Normal",'Control Room'!$B$7+'Control Room'!$D$7*SQRT(-2*LN(MAX(0.000000000001,B183/2147483647)))*COS(2*PI()*C183/2147483647),'Control Room'!$B$8+('Control Room'!$D$8-'Control Room'!$B$8)*B183/2147483647)</x:f>
        <x:v>850.2949581533301</x:v>
      </x:c>
      <x:c r="E183" s="17" t="n">
        <x:f>IF('Control Room'!$B$5="Normal",'Control Room'!$B$7,('Control Room'!$B$8+'Control Room'!$D$8)/2)+'Control Room'!$B$9*(E182-IF('Control Room'!$B$5="Normal",'Control Room'!$B$7,('Control Room'!$B$8+'Control Room'!$D$8)/2))+SQRT(1-'Control Room'!$B$9^2)*(D183-IF('Control Room'!$B$5="Normal",'Control Room'!$B$7,('Control Room'!$B$8+'Control Room'!$D$8)/2))</x:f>
        <x:v>897.2791455647589</x:v>
      </x:c>
      <x:c r="F183" s="17" t="n">
        <x:f>IF(AND($A183&gt;='Control Room'!$A$13,$A183&lt;'Control Room'!$A$13+'Control Room'!$B$13,'Process'!BK2=1),1+('Control Room'!$C$13-1)*EXP(-0.5*(($A183-'Control Room'!$A$13-('Control Room'!$B$13-1)/2)/MAX(0.5,'Control Room'!$B$13/4))^2),1)*IF(AND($A183&gt;='Control Room'!$A$14,$A183&lt;'Control Room'!$A$14+'Control Room'!$B$14,'Process'!BK3=1),1+('Control Room'!$C$14-1)*EXP(-0.5*(($A183-'Control Room'!$A$14-('Control Room'!$B$14-1)/2)/MAX(0.5,'Control Room'!$B$14/4))^2),1)*IF(AND($A183&gt;='Control Room'!$A$15,$A183&lt;'Control Room'!$A$15+'Control Room'!$B$15,'Process'!BK4=1),1+('Control Room'!$C$15-1)*EXP(-0.5*(($A183-'Control Room'!$A$15-('Control Room'!$B$15-1)/2)/MAX(0.5,'Control Room'!$B$15/4))^2),1)*IF(AND($A183&gt;='Control Room'!$A$16,$A183&lt;'Control Room'!$A$16+'Control Room'!$B$16,'Process'!BK5=1),1+('Control Room'!$C$16-1)*EXP(-0.5*(($A183-'Control Room'!$A$16-('Control Room'!$B$16-1)/2)/MAX(0.5,'Control Room'!$B$16/4))^2),1)</x:f>
        <x:v>1</x:v>
      </x:c>
      <x:c r="G183" s="9" t="n">
        <x:f>MOD(H182*16807,2147483647)</x:f>
        <x:v>2016525938</x:v>
      </x:c>
      <x:c r="H183" s="9" t="n">
        <x:f>MOD(G183*16807,2147483647)</x:f>
        <x:v>164523012</x:v>
      </x:c>
      <x:c r="I183" s="17" t="n">
        <x:f>IF('Control Room'!$B$5="Normal",'Control Room'!$B$7+'Control Room'!$D$7*SQRT(-2*LN(MAX(0.000000000001,G183/2147483647)))*COS(2*PI()*H183/2147483647),'Control Room'!$B$8+('Control Room'!$D$8-'Control Room'!$B$8)*G183/2147483647)</x:f>
        <x:v>1028.2986200948867</x:v>
      </x:c>
      <x:c r="J183" s="17" t="n">
        <x:f>IF('Control Room'!$B$5="Normal",'Control Room'!$B$7,('Control Room'!$B$8+'Control Room'!$D$8)/2)+'Control Room'!$B$9*(J182-IF('Control Room'!$B$5="Normal",'Control Room'!$B$7,('Control Room'!$B$8+'Control Room'!$D$8)/2))+SQRT(1-'Control Room'!$B$9^2)*(I183-IF('Control Room'!$B$5="Normal",'Control Room'!$B$7,('Control Room'!$B$8+'Control Room'!$D$8)/2))</x:f>
        <x:v>1039.4927605579724</x:v>
      </x:c>
      <x:c r="K183" s="17" t="n">
        <x:f>IF(AND($A183&gt;='Control Room'!$A$13,$A183&lt;'Control Room'!$A$13+'Control Room'!$B$13,'Process'!BL2=1),1+('Control Room'!$C$13-1)*EXP(-0.5*(($A183-'Control Room'!$A$13-('Control Room'!$B$13-1)/2)/MAX(0.5,'Control Room'!$B$13/4))^2),1)*IF(AND($A183&gt;='Control Room'!$A$14,$A183&lt;'Control Room'!$A$14+'Control Room'!$B$14,'Process'!BL3=1),1+('Control Room'!$C$14-1)*EXP(-0.5*(($A183-'Control Room'!$A$14-('Control Room'!$B$14-1)/2)/MAX(0.5,'Control Room'!$B$14/4))^2),1)*IF(AND($A183&gt;='Control Room'!$A$15,$A183&lt;'Control Room'!$A$15+'Control Room'!$B$15,'Process'!BL4=1),1+('Control Room'!$C$15-1)*EXP(-0.5*(($A183-'Control Room'!$A$15-('Control Room'!$B$15-1)/2)/MAX(0.5,'Control Room'!$B$15/4))^2),1)*IF(AND($A183&gt;='Control Room'!$A$16,$A183&lt;'Control Room'!$A$16+'Control Room'!$B$16,'Process'!BL5=1),1+('Control Room'!$C$16-1)*EXP(-0.5*(($A183-'Control Room'!$A$16-('Control Room'!$B$16-1)/2)/MAX(0.5,'Control Room'!$B$16/4))^2),1)</x:f>
        <x:v>1</x:v>
      </x:c>
      <x:c r="L183" s="9" t="n">
        <x:f>MOD(M182*16807,2147483647)</x:f>
        <x:v>1396127885</x:v>
      </x:c>
      <x:c r="M183" s="9" t="n">
        <x:f>MOD(L183*16807,2147483647)</x:f>
        <x:v>1315036073</x:v>
      </x:c>
      <x:c r="N183" s="17" t="n">
        <x:f>IF('Control Room'!$B$5="Normal",'Control Room'!$B$7+'Control Room'!$D$7*SQRT(-2*LN(MAX(0.000000000001,L183/2147483647)))*COS(2*PI()*M183/2147483647),'Control Room'!$B$8+('Control Room'!$D$8-'Control Room'!$B$8)*L183/2147483647)</x:f>
        <x:v>936.4435194165821</x:v>
      </x:c>
      <x:c r="O183" s="17" t="n">
        <x:f>IF('Control Room'!$B$5="Normal",'Control Room'!$B$7,('Control Room'!$B$8+'Control Room'!$D$8)/2)+'Control Room'!$B$9*(O182-IF('Control Room'!$B$5="Normal",'Control Room'!$B$7,('Control Room'!$B$8+'Control Room'!$D$8)/2))+SQRT(1-'Control Room'!$B$9^2)*(N183-IF('Control Room'!$B$5="Normal",'Control Room'!$B$7,('Control Room'!$B$8+'Control Room'!$D$8)/2))</x:f>
        <x:v>914.373595548156</x:v>
      </x:c>
      <x:c r="P183" s="17" t="n">
        <x:f>IF(AND($A183&gt;='Control Room'!$A$13,$A183&lt;'Control Room'!$A$13+'Control Room'!$B$13,'Process'!BM2=1),1+('Control Room'!$C$13-1)*EXP(-0.5*(($A183-'Control Room'!$A$13-('Control Room'!$B$13-1)/2)/MAX(0.5,'Control Room'!$B$13/4))^2),1)*IF(AND($A183&gt;='Control Room'!$A$14,$A183&lt;'Control Room'!$A$14+'Control Room'!$B$14,'Process'!BM3=1),1+('Control Room'!$C$14-1)*EXP(-0.5*(($A183-'Control Room'!$A$14-('Control Room'!$B$14-1)/2)/MAX(0.5,'Control Room'!$B$14/4))^2),1)*IF(AND($A183&gt;='Control Room'!$A$15,$A183&lt;'Control Room'!$A$15+'Control Room'!$B$15,'Process'!BM4=1),1+('Control Room'!$C$15-1)*EXP(-0.5*(($A183-'Control Room'!$A$15-('Control Room'!$B$15-1)/2)/MAX(0.5,'Control Room'!$B$15/4))^2),1)*IF(AND($A183&gt;='Control Room'!$A$16,$A183&lt;'Control Room'!$A$16+'Control Room'!$B$16,'Process'!BM5=1),1+('Control Room'!$C$16-1)*EXP(-0.5*(($A183-'Control Room'!$A$16-('Control Room'!$B$16-1)/2)/MAX(0.5,'Control Room'!$B$16/4))^2),1)</x:f>
        <x:v>1</x:v>
      </x:c>
      <x:c r="Q183" s="9" t="n">
        <x:f>MOD(R182*16807,2147483647)</x:f>
        <x:v>775729832</x:v>
      </x:c>
      <x:c r="R183" s="9" t="n">
        <x:f>MOD(Q183*16807,2147483647)</x:f>
        <x:v>318065487</x:v>
      </x:c>
      <x:c r="S183" s="17" t="n">
        <x:f>IF('Control Room'!$B$5="Normal",'Control Room'!$B$7+'Control Room'!$D$7*SQRT(-2*LN(MAX(0.000000000001,Q183/2147483647)))*COS(2*PI()*R183/2147483647),'Control Room'!$B$8+('Control Room'!$D$8-'Control Room'!$B$8)*Q183/2147483647)</x:f>
        <x:v>1076.7203962123713</x:v>
      </x:c>
      <x:c r="T183" s="17" t="n">
        <x:f>IF('Control Room'!$B$5="Normal",'Control Room'!$B$7,('Control Room'!$B$8+'Control Room'!$D$8)/2)+'Control Room'!$B$9*(T182-IF('Control Room'!$B$5="Normal",'Control Room'!$B$7,('Control Room'!$B$8+'Control Room'!$D$8)/2))+SQRT(1-'Control Room'!$B$9^2)*(S183-IF('Control Room'!$B$5="Normal",'Control Room'!$B$7,('Control Room'!$B$8+'Control Room'!$D$8)/2))</x:f>
        <x:v>1002.1073634472967</x:v>
      </x:c>
      <x:c r="U183" s="17" t="n">
        <x:f>IF(AND($A183&gt;='Control Room'!$A$13,$A183&lt;'Control Room'!$A$13+'Control Room'!$B$13,'Process'!BN2=1),1+('Control Room'!$C$13-1)*EXP(-0.5*(($A183-'Control Room'!$A$13-('Control Room'!$B$13-1)/2)/MAX(0.5,'Control Room'!$B$13/4))^2),1)*IF(AND($A183&gt;='Control Room'!$A$14,$A183&lt;'Control Room'!$A$14+'Control Room'!$B$14,'Process'!BN3=1),1+('Control Room'!$C$14-1)*EXP(-0.5*(($A183-'Control Room'!$A$14-('Control Room'!$B$14-1)/2)/MAX(0.5,'Control Room'!$B$14/4))^2),1)*IF(AND($A183&gt;='Control Room'!$A$15,$A183&lt;'Control Room'!$A$15+'Control Room'!$B$15,'Process'!BN4=1),1+('Control Room'!$C$15-1)*EXP(-0.5*(($A183-'Control Room'!$A$15-('Control Room'!$B$15-1)/2)/MAX(0.5,'Control Room'!$B$15/4))^2),1)*IF(AND($A183&gt;='Control Room'!$A$16,$A183&lt;'Control Room'!$A$16+'Control Room'!$B$16,'Process'!BN5=1),1+('Control Room'!$C$16-1)*EXP(-0.5*(($A183-'Control Room'!$A$16-('Control Room'!$B$16-1)/2)/MAX(0.5,'Control Room'!$B$16/4))^2),1)</x:f>
        <x:v>1</x:v>
      </x:c>
      <x:c r="V183" s="9" t="n">
        <x:f>MOD(W182*16807,2147483647)</x:f>
        <x:v>155331779</x:v>
      </x:c>
      <x:c r="W183" s="9" t="n">
        <x:f>MOD(V183*16807,2147483647)</x:f>
        <x:v>1468578548</x:v>
      </x:c>
      <x:c r="X183" s="17" t="n">
        <x:f>IF('Control Room'!$B$5="Normal",'Control Room'!$B$7+'Control Room'!$D$7*SQRT(-2*LN(MAX(0.000000000001,V183/2147483647)))*COS(2*PI()*W183/2147483647),'Control Room'!$B$8+('Control Room'!$D$8-'Control Room'!$B$8)*V183/2147483647)</x:f>
        <x:v>916.7249011889144</x:v>
      </x:c>
      <x:c r="Y183" s="17" t="n">
        <x:f>IF('Control Room'!$B$5="Normal",'Control Room'!$B$7,('Control Room'!$B$8+'Control Room'!$D$8)/2)+'Control Room'!$B$9*(Y182-IF('Control Room'!$B$5="Normal",'Control Room'!$B$7,('Control Room'!$B$8+'Control Room'!$D$8)/2))+SQRT(1-'Control Room'!$B$9^2)*(X183-IF('Control Room'!$B$5="Normal",'Control Room'!$B$7,('Control Room'!$B$8+'Control Room'!$D$8)/2))</x:f>
        <x:v>853.8080039642355</x:v>
      </x:c>
      <x:c r="Z183" s="17" t="n">
        <x:f>IF(AND($A183&gt;='Control Room'!$A$13,$A183&lt;'Control Room'!$A$13+'Control Room'!$B$13,'Process'!BO2=1),1+('Control Room'!$C$13-1)*EXP(-0.5*(($A183-'Control Room'!$A$13-('Control Room'!$B$13-1)/2)/MAX(0.5,'Control Room'!$B$13/4))^2),1)*IF(AND($A183&gt;='Control Room'!$A$14,$A183&lt;'Control Room'!$A$14+'Control Room'!$B$14,'Process'!BO3=1),1+('Control Room'!$C$14-1)*EXP(-0.5*(($A183-'Control Room'!$A$14-('Control Room'!$B$14-1)/2)/MAX(0.5,'Control Room'!$B$14/4))^2),1)*IF(AND($A183&gt;='Control Room'!$A$15,$A183&lt;'Control Room'!$A$15+'Control Room'!$B$15,'Process'!BO4=1),1+('Control Room'!$C$15-1)*EXP(-0.5*(($A183-'Control Room'!$A$15-('Control Room'!$B$15-1)/2)/MAX(0.5,'Control Room'!$B$15/4))^2),1)*IF(AND($A183&gt;='Control Room'!$A$16,$A183&lt;'Control Room'!$A$16+'Control Room'!$B$16,'Process'!BO5=1),1+('Control Room'!$C$16-1)*EXP(-0.5*(($A183-'Control Room'!$A$16-('Control Room'!$B$16-1)/2)/MAX(0.5,'Control Room'!$B$16/4))^2),1)</x:f>
        <x:v>1</x:v>
      </x:c>
      <x:c r="AA183" s="9" t="n">
        <x:f>MOD(AB182*16807,2147483647)</x:f>
        <x:v>1682417373</x:v>
      </x:c>
      <x:c r="AB183" s="9" t="n">
        <x:f>MOD(AA183*16807,2147483647)</x:f>
        <x:v>471607962</x:v>
      </x:c>
      <x:c r="AC183" s="17" t="n">
        <x:f>IF('Control Room'!$B$5="Normal",'Control Room'!$B$7+'Control Room'!$D$7*SQRT(-2*LN(MAX(0.000000000001,AA183/2147483647)))*COS(2*PI()*AB183/2147483647),'Control Room'!$B$8+('Control Room'!$D$8-'Control Room'!$B$8)*AA183/2147483647)</x:f>
        <x:v>1011.9339622683049</x:v>
      </x:c>
      <x:c r="AD183" s="17" t="n">
        <x:f>IF('Control Room'!$B$5="Normal",'Control Room'!$B$7,('Control Room'!$B$8+'Control Room'!$D$8)/2)+'Control Room'!$B$9*(AD182-IF('Control Room'!$B$5="Normal",'Control Room'!$B$7,('Control Room'!$B$8+'Control Room'!$D$8)/2))+SQRT(1-'Control Room'!$B$9^2)*(AC183-IF('Control Room'!$B$5="Normal",'Control Room'!$B$7,('Control Room'!$B$8+'Control Room'!$D$8)/2))</x:f>
        <x:v>1006.3062686632055</x:v>
      </x:c>
      <x:c r="AE183" s="17" t="n">
        <x:f>IF(AND($A183&gt;='Control Room'!$A$13,$A183&lt;'Control Room'!$A$13+'Control Room'!$B$13,'Process'!BP2=1),1+('Control Room'!$C$13-1)*EXP(-0.5*(($A183-'Control Room'!$A$13-('Control Room'!$B$13-1)/2)/MAX(0.5,'Control Room'!$B$13/4))^2),1)*IF(AND($A183&gt;='Control Room'!$A$14,$A183&lt;'Control Room'!$A$14+'Control Room'!$B$14,'Process'!BP3=1),1+('Control Room'!$C$14-1)*EXP(-0.5*(($A183-'Control Room'!$A$14-('Control Room'!$B$14-1)/2)/MAX(0.5,'Control Room'!$B$14/4))^2),1)*IF(AND($A183&gt;='Control Room'!$A$15,$A183&lt;'Control Room'!$A$15+'Control Room'!$B$15,'Process'!BP4=1),1+('Control Room'!$C$15-1)*EXP(-0.5*(($A183-'Control Room'!$A$15-('Control Room'!$B$15-1)/2)/MAX(0.5,'Control Room'!$B$15/4))^2),1)*IF(AND($A183&gt;='Control Room'!$A$16,$A183&lt;'Control Room'!$A$16+'Control Room'!$B$16,'Process'!BP5=1),1+('Control Room'!$C$16-1)*EXP(-0.5*(($A183-'Control Room'!$A$16-('Control Room'!$B$16-1)/2)/MAX(0.5,'Control Room'!$B$16/4))^2),1)</x:f>
        <x:v>1</x:v>
      </x:c>
      <x:c r="AF183" s="9" t="n">
        <x:f>MOD(AG182*16807,2147483647)</x:f>
        <x:v>1062019320</x:v>
      </x:c>
      <x:c r="AG183" s="9" t="n">
        <x:f>MOD(AF183*16807,2147483647)</x:f>
        <x:v>1622121023</x:v>
      </x:c>
      <x:c r="AH183" s="17" t="n">
        <x:f>IF('Control Room'!$B$5="Normal",'Control Room'!$B$7+'Control Room'!$D$7*SQRT(-2*LN(MAX(0.000000000001,AF183/2147483647)))*COS(2*PI()*AG183/2147483647),'Control Room'!$B$8+('Control Room'!$D$8-'Control Room'!$B$8)*AF183/2147483647)</x:f>
        <x:v>1003.5955135340397</x:v>
      </x:c>
      <x:c r="AI183" s="17" t="n">
        <x:f>IF('Control Room'!$B$5="Normal",'Control Room'!$B$7,('Control Room'!$B$8+'Control Room'!$D$8)/2)+'Control Room'!$B$9*(AI182-IF('Control Room'!$B$5="Normal",'Control Room'!$B$7,('Control Room'!$B$8+'Control Room'!$D$8)/2))+SQRT(1-'Control Room'!$B$9^2)*(AH183-IF('Control Room'!$B$5="Normal",'Control Room'!$B$7,('Control Room'!$B$8+'Control Room'!$D$8)/2))</x:f>
        <x:v>1127.3901001275813</x:v>
      </x:c>
      <x:c r="AJ183" s="17" t="n">
        <x:f>IF(AND($A183&gt;='Control Room'!$A$13,$A183&lt;'Control Room'!$A$13+'Control Room'!$B$13,'Process'!BQ2=1),1+('Control Room'!$C$13-1)*EXP(-0.5*(($A183-'Control Room'!$A$13-('Control Room'!$B$13-1)/2)/MAX(0.5,'Control Room'!$B$13/4))^2),1)*IF(AND($A183&gt;='Control Room'!$A$14,$A183&lt;'Control Room'!$A$14+'Control Room'!$B$14,'Process'!BQ3=1),1+('Control Room'!$C$14-1)*EXP(-0.5*(($A183-'Control Room'!$A$14-('Control Room'!$B$14-1)/2)/MAX(0.5,'Control Room'!$B$14/4))^2),1)*IF(AND($A183&gt;='Control Room'!$A$15,$A183&lt;'Control Room'!$A$15+'Control Room'!$B$15,'Process'!BQ4=1),1+('Control Room'!$C$15-1)*EXP(-0.5*(($A183-'Control Room'!$A$15-('Control Room'!$B$15-1)/2)/MAX(0.5,'Control Room'!$B$15/4))^2),1)*IF(AND($A183&gt;='Control Room'!$A$16,$A183&lt;'Control Room'!$A$16+'Control Room'!$B$16,'Process'!BQ5=1),1+('Control Room'!$C$16-1)*EXP(-0.5*(($A183-'Control Room'!$A$16-('Control Room'!$B$16-1)/2)/MAX(0.5,'Control Room'!$B$16/4))^2),1)</x:f>
        <x:v>1</x:v>
      </x:c>
      <x:c r="AK183" s="9" t="n">
        <x:f>MOD(AL182*16807,2147483647)</x:f>
        <x:v>441621267</x:v>
      </x:c>
      <x:c r="AL183" s="9" t="n">
        <x:f>MOD(AK183*16807,2147483647)</x:f>
        <x:v>625150437</x:v>
      </x:c>
      <x:c r="AM183" s="17" t="n">
        <x:f>IF('Control Room'!$B$5="Normal",'Control Room'!$B$7+'Control Room'!$D$7*SQRT(-2*LN(MAX(0.000000000001,AK183/2147483647)))*COS(2*PI()*AL183/2147483647),'Control Room'!$B$8+('Control Room'!$D$8-'Control Room'!$B$8)*AK183/2147483647)</x:f>
        <x:v>959.113870024143</x:v>
      </x:c>
      <x:c r="AN183" s="17" t="n">
        <x:f>IF('Control Room'!$B$5="Normal",'Control Room'!$B$7,('Control Room'!$B$8+'Control Room'!$D$8)/2)+'Control Room'!$B$9*(AN182-IF('Control Room'!$B$5="Normal",'Control Room'!$B$7,('Control Room'!$B$8+'Control Room'!$D$8)/2))+SQRT(1-'Control Room'!$B$9^2)*(AM183-IF('Control Room'!$B$5="Normal",'Control Room'!$B$7,('Control Room'!$B$8+'Control Room'!$D$8)/2))</x:f>
        <x:v>998.0618577153377</x:v>
      </x:c>
      <x:c r="AO183" s="17" t="n">
        <x:f>IF(AND($A183&gt;='Control Room'!$A$13,$A183&lt;'Control Room'!$A$13+'Control Room'!$B$13,'Process'!BR2=1),1+('Control Room'!$C$13-1)*EXP(-0.5*(($A183-'Control Room'!$A$13-('Control Room'!$B$13-1)/2)/MAX(0.5,'Control Room'!$B$13/4))^2),1)*IF(AND($A183&gt;='Control Room'!$A$14,$A183&lt;'Control Room'!$A$14+'Control Room'!$B$14,'Process'!BR3=1),1+('Control Room'!$C$14-1)*EXP(-0.5*(($A183-'Control Room'!$A$14-('Control Room'!$B$14-1)/2)/MAX(0.5,'Control Room'!$B$14/4))^2),1)*IF(AND($A183&gt;='Control Room'!$A$15,$A183&lt;'Control Room'!$A$15+'Control Room'!$B$15,'Process'!BR4=1),1+('Control Room'!$C$15-1)*EXP(-0.5*(($A183-'Control Room'!$A$15-('Control Room'!$B$15-1)/2)/MAX(0.5,'Control Room'!$B$15/4))^2),1)*IF(AND($A183&gt;='Control Room'!$A$16,$A183&lt;'Control Room'!$A$16+'Control Room'!$B$16,'Process'!BR5=1),1+('Control Room'!$C$16-1)*EXP(-0.5*(($A183-'Control Room'!$A$16-('Control Room'!$B$16-1)/2)/MAX(0.5,'Control Room'!$B$16/4))^2),1)</x:f>
        <x:v>1</x:v>
      </x:c>
      <x:c r="AP183" s="9" t="n">
        <x:f>MOD(AQ182*16807,2147483647)</x:f>
        <x:v>1968706861</x:v>
      </x:c>
      <x:c r="AQ183" s="9" t="n">
        <x:f>MOD(AP183*16807,2147483647)</x:f>
        <x:v>1775663498</x:v>
      </x:c>
      <x:c r="AR183" s="17" t="n">
        <x:f>IF('Control Room'!$B$5="Normal",'Control Room'!$B$7+'Control Room'!$D$7*SQRT(-2*LN(MAX(0.000000000001,AP183/2147483647)))*COS(2*PI()*AQ183/2147483647),'Control Room'!$B$8+('Control Room'!$D$8-'Control Room'!$B$8)*AP183/2147483647)</x:f>
        <x:v>1017.4249484302684</x:v>
      </x:c>
      <x:c r="AS183" s="17" t="n">
        <x:f>IF('Control Room'!$B$5="Normal",'Control Room'!$B$7,('Control Room'!$B$8+'Control Room'!$D$8)/2)+'Control Room'!$B$9*(AS182-IF('Control Room'!$B$5="Normal",'Control Room'!$B$7,('Control Room'!$B$8+'Control Room'!$D$8)/2))+SQRT(1-'Control Room'!$B$9^2)*(AR183-IF('Control Room'!$B$5="Normal",'Control Room'!$B$7,('Control Room'!$B$8+'Control Room'!$D$8)/2))</x:f>
        <x:v>984.1403227487127</x:v>
      </x:c>
      <x:c r="AT183" s="17" t="n">
        <x:f>IF(AND($A183&gt;='Control Room'!$A$13,$A183&lt;'Control Room'!$A$13+'Control Room'!$B$13,'Process'!BS2=1),1+('Control Room'!$C$13-1)*EXP(-0.5*(($A183-'Control Room'!$A$13-('Control Room'!$B$13-1)/2)/MAX(0.5,'Control Room'!$B$13/4))^2),1)*IF(AND($A183&gt;='Control Room'!$A$14,$A183&lt;'Control Room'!$A$14+'Control Room'!$B$14,'Process'!BS3=1),1+('Control Room'!$C$14-1)*EXP(-0.5*(($A183-'Control Room'!$A$14-('Control Room'!$B$14-1)/2)/MAX(0.5,'Control Room'!$B$14/4))^2),1)*IF(AND($A183&gt;='Control Room'!$A$15,$A183&lt;'Control Room'!$A$15+'Control Room'!$B$15,'Process'!BS4=1),1+('Control Room'!$C$15-1)*EXP(-0.5*(($A183-'Control Room'!$A$15-('Control Room'!$B$15-1)/2)/MAX(0.5,'Control Room'!$B$15/4))^2),1)*IF(AND($A183&gt;='Control Room'!$A$16,$A183&lt;'Control Room'!$A$16+'Control Room'!$B$16,'Process'!BS5=1),1+('Control Room'!$C$16-1)*EXP(-0.5*(($A183-'Control Room'!$A$16-('Control Room'!$B$16-1)/2)/MAX(0.5,'Control Room'!$B$16/4))^2),1)</x:f>
        <x:v>1</x:v>
      </x:c>
      <x:c r="AU183" s="9" t="n">
        <x:f>MOD(AV182*16807,2147483647)</x:f>
        <x:v>1348308808</x:v>
      </x:c>
      <x:c r="AV183" s="9" t="n">
        <x:f>MOD(AU183*16807,2147483647)</x:f>
        <x:v>778692912</x:v>
      </x:c>
      <x:c r="AW183" s="17" t="n">
        <x:f>IF('Control Room'!$B$5="Normal",'Control Room'!$B$7+'Control Room'!$D$7*SQRT(-2*LN(MAX(0.000000000001,AU183/2147483647)))*COS(2*PI()*AV183/2147483647),'Control Room'!$B$8+('Control Room'!$D$8-'Control Room'!$B$8)*AU183/2147483647)</x:f>
        <x:v>943.5611031867777</x:v>
      </x:c>
      <x:c r="AX183" s="17" t="n">
        <x:f>IF('Control Room'!$B$5="Normal",'Control Room'!$B$7,('Control Room'!$B$8+'Control Room'!$D$8)/2)+'Control Room'!$B$9*(AX182-IF('Control Room'!$B$5="Normal",'Control Room'!$B$7,('Control Room'!$B$8+'Control Room'!$D$8)/2))+SQRT(1-'Control Room'!$B$9^2)*(AW183-IF('Control Room'!$B$5="Normal",'Control Room'!$B$7,('Control Room'!$B$8+'Control Room'!$D$8)/2))</x:f>
        <x:v>1020.6920426879976</x:v>
      </x:c>
      <x:c r="AY183" s="17" t="n">
        <x:f>IF(AND($A183&gt;='Control Room'!$A$13,$A183&lt;'Control Room'!$A$13+'Control Room'!$B$13,'Process'!BT2=1),1+('Control Room'!$C$13-1)*EXP(-0.5*(($A183-'Control Room'!$A$13-('Control Room'!$B$13-1)/2)/MAX(0.5,'Control Room'!$B$13/4))^2),1)*IF(AND($A183&gt;='Control Room'!$A$14,$A183&lt;'Control Room'!$A$14+'Control Room'!$B$14,'Process'!BT3=1),1+('Control Room'!$C$14-1)*EXP(-0.5*(($A183-'Control Room'!$A$14-('Control Room'!$B$14-1)/2)/MAX(0.5,'Control Room'!$B$14/4))^2),1)*IF(AND($A183&gt;='Control Room'!$A$15,$A183&lt;'Control Room'!$A$15+'Control Room'!$B$15,'Process'!BT4=1),1+('Control Room'!$C$15-1)*EXP(-0.5*(($A183-'Control Room'!$A$15-('Control Room'!$B$15-1)/2)/MAX(0.5,'Control Room'!$B$15/4))^2),1)*IF(AND($A183&gt;='Control Room'!$A$16,$A183&lt;'Control Room'!$A$16+'Control Room'!$B$16,'Process'!BT5=1),1+('Control Room'!$C$16-1)*EXP(-0.5*(($A183-'Control Room'!$A$16-('Control Room'!$B$16-1)/2)/MAX(0.5,'Control Room'!$B$16/4))^2),1)</x:f>
        <x:v>1</x:v>
      </x:c>
      <x:c r="AZ183" s="9" t="n">
        <x:f>MOD(BA182*16807,2147483647)</x:f>
        <x:v>727910755</x:v>
      </x:c>
      <x:c r="BA183" s="9" t="n">
        <x:f>MOD(AZ183*16807,2147483647)</x:f>
        <x:v>1929205973</x:v>
      </x:c>
      <x:c r="BB183" s="17" t="n">
        <x:f>IF('Control Room'!$B$5="Normal",'Control Room'!$B$7+'Control Room'!$D$7*SQRT(-2*LN(MAX(0.000000000001,AZ183/2147483647)))*COS(2*PI()*BA183/2147483647),'Control Room'!$B$8+('Control Room'!$D$8-'Control Room'!$B$8)*AZ183/2147483647)</x:f>
        <x:v>1106.2942080511282</x:v>
      </x:c>
      <x:c r="BC183" s="17" t="n">
        <x:f>IF('Control Room'!$B$5="Normal",'Control Room'!$B$7,('Control Room'!$B$8+'Control Room'!$D$8)/2)+'Control Room'!$B$9*(BC182-IF('Control Room'!$B$5="Normal",'Control Room'!$B$7,('Control Room'!$B$8+'Control Room'!$D$8)/2))+SQRT(1-'Control Room'!$B$9^2)*(BB183-IF('Control Room'!$B$5="Normal",'Control Room'!$B$7,('Control Room'!$B$8+'Control Room'!$D$8)/2))</x:f>
        <x:v>1160.4688353939857</x:v>
      </x:c>
      <x:c r="BD183" s="17" t="n">
        <x:f>IF(AND($A183&gt;='Control Room'!$A$13,$A183&lt;'Control Room'!$A$13+'Control Room'!$B$13,'Process'!BU2=1),1+('Control Room'!$C$13-1)*EXP(-0.5*(($A183-'Control Room'!$A$13-('Control Room'!$B$13-1)/2)/MAX(0.5,'Control Room'!$B$13/4))^2),1)*IF(AND($A183&gt;='Control Room'!$A$14,$A183&lt;'Control Room'!$A$14+'Control Room'!$B$14,'Process'!BU3=1),1+('Control Room'!$C$14-1)*EXP(-0.5*(($A183-'Control Room'!$A$14-('Control Room'!$B$14-1)/2)/MAX(0.5,'Control Room'!$B$14/4))^2),1)*IF(AND($A183&gt;='Control Room'!$A$15,$A183&lt;'Control Room'!$A$15+'Control Room'!$B$15,'Process'!BU4=1),1+('Control Room'!$C$15-1)*EXP(-0.5*(($A183-'Control Room'!$A$15-('Control Room'!$B$15-1)/2)/MAX(0.5,'Control Room'!$B$15/4))^2),1)*IF(AND($A183&gt;='Control Room'!$A$16,$A183&lt;'Control Room'!$A$16+'Control Room'!$B$16,'Process'!BU5=1),1+('Control Room'!$C$16-1)*EXP(-0.5*(($A183-'Control Room'!$A$16-('Control Room'!$B$16-1)/2)/MAX(0.5,'Control Room'!$B$16/4))^2),1)</x:f>
        <x:v>1</x:v>
      </x:c>
      <x:c r="BE183" s="9" t="n">
        <x:f>MOD(BF182*16807,2147483647)</x:f>
        <x:v>107512702</x:v>
      </x:c>
      <x:c r="BF183" s="9" t="n">
        <x:f>MOD(BE183*16807,2147483647)</x:f>
        <x:v>932235387</x:v>
      </x:c>
      <x:c r="BG183" s="17" t="n">
        <x:f>IF('Control Room'!$B$5="Normal",'Control Room'!$B$7+'Control Room'!$D$7*SQRT(-2*LN(MAX(0.000000000001,BE183/2147483647)))*COS(2*PI()*BF183/2147483647),'Control Room'!$B$8+('Control Room'!$D$8-'Control Room'!$B$8)*BE183/2147483647)</x:f>
        <x:v>798.3592897633846</x:v>
      </x:c>
      <x:c r="BH183" s="17" t="n">
        <x:f>IF('Control Room'!$B$5="Normal",'Control Room'!$B$7,('Control Room'!$B$8+'Control Room'!$D$8)/2)+'Control Room'!$B$9*(BH182-IF('Control Room'!$B$5="Normal",'Control Room'!$B$7,('Control Room'!$B$8+'Control Room'!$D$8)/2))+SQRT(1-'Control Room'!$B$9^2)*(BG183-IF('Control Room'!$B$5="Normal",'Control Room'!$B$7,('Control Room'!$B$8+'Control Room'!$D$8)/2))</x:f>
        <x:v>889.8841354510164</x:v>
      </x:c>
      <x:c r="BI183" s="17" t="n">
        <x:f>IF(AND($A183&gt;='Control Room'!$A$13,$A183&lt;'Control Room'!$A$13+'Control Room'!$B$13,'Process'!BV2=1),1+('Control Room'!$C$13-1)*EXP(-0.5*(($A183-'Control Room'!$A$13-('Control Room'!$B$13-1)/2)/MAX(0.5,'Control Room'!$B$13/4))^2),1)*IF(AND($A183&gt;='Control Room'!$A$14,$A183&lt;'Control Room'!$A$14+'Control Room'!$B$14,'Process'!BV3=1),1+('Control Room'!$C$14-1)*EXP(-0.5*(($A183-'Control Room'!$A$14-('Control Room'!$B$14-1)/2)/MAX(0.5,'Control Room'!$B$14/4))^2),1)*IF(AND($A183&gt;='Control Room'!$A$15,$A183&lt;'Control Room'!$A$15+'Control Room'!$B$15,'Process'!BV4=1),1+('Control Room'!$C$15-1)*EXP(-0.5*(($A183-'Control Room'!$A$15-('Control Room'!$B$15-1)/2)/MAX(0.5,'Control Room'!$B$15/4))^2),1)*IF(AND($A183&gt;='Control Room'!$A$16,$A183&lt;'Control Room'!$A$16+'Control Room'!$B$16,'Process'!BV5=1),1+('Control Room'!$C$16-1)*EXP(-0.5*(($A183-'Control Room'!$A$16-('Control Room'!$B$16-1)/2)/MAX(0.5,'Control Room'!$B$16/4))^2),1)</x:f>
        <x:v>1</x:v>
      </x:c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Z183" t="str">
        <x:f>IF('Data'!A183="","",TEXT('Data'!A183,"mm-dd"))</x:f>
      </x:c>
    </x:row>
    <x:row r="184" ht="21" customHeight="1">
      <x:c r="A184" s="15" t="n">
        <x:f>'Control Room'!$B$1+182</x:f>
        <x:v>73173</x:v>
      </x:c>
      <x:c r="B184" s="9" t="n">
        <x:f>MOD(C183*16807,2147483647)</x:f>
        <x:v>596550356</x:v>
      </x:c>
      <x:c r="C184" s="9" t="n">
        <x:f>MOD(B184*16807,2147483647)</x:f>
        <x:v>1768169096</x:v>
      </x:c>
      <x:c r="D184" s="17" t="n">
        <x:f>IF('Control Room'!$B$5="Normal",'Control Room'!$B$7+'Control Room'!$D$7*SQRT(-2*LN(MAX(0.000000000001,B184/2147483647)))*COS(2*PI()*C184/2147483647),'Control Room'!$B$8+('Control Room'!$D$8-'Control Room'!$B$8)*B184/2147483647)</x:f>
        <x:v>1064.077701004569</x:v>
      </x:c>
      <x:c r="E184" s="17" t="n">
        <x:f>IF('Control Room'!$B$5="Normal",'Control Room'!$B$7,('Control Room'!$B$8+'Control Room'!$D$8)/2)+'Control Room'!$B$9*(E183-IF('Control Room'!$B$5="Normal",'Control Room'!$B$7,('Control Room'!$B$8+'Control Room'!$D$8)/2))+SQRT(1-'Control Room'!$B$9^2)*(D184-IF('Control Room'!$B$5="Normal",'Control Room'!$B$7,('Control Room'!$B$8+'Control Room'!$D$8)/2))</x:f>
        <x:v>959.9762461261143</x:v>
      </x:c>
      <x:c r="F184" s="17" t="n">
        <x:f>IF(AND($A184&gt;='Control Room'!$A$13,$A184&lt;'Control Room'!$A$13+'Control Room'!$B$13,'Process'!BK2=1),1+('Control Room'!$C$13-1)*EXP(-0.5*(($A184-'Control Room'!$A$13-('Control Room'!$B$13-1)/2)/MAX(0.5,'Control Room'!$B$13/4))^2),1)*IF(AND($A184&gt;='Control Room'!$A$14,$A184&lt;'Control Room'!$A$14+'Control Room'!$B$14,'Process'!BK3=1),1+('Control Room'!$C$14-1)*EXP(-0.5*(($A184-'Control Room'!$A$14-('Control Room'!$B$14-1)/2)/MAX(0.5,'Control Room'!$B$14/4))^2),1)*IF(AND($A184&gt;='Control Room'!$A$15,$A184&lt;'Control Room'!$A$15+'Control Room'!$B$15,'Process'!BK4=1),1+('Control Room'!$C$15-1)*EXP(-0.5*(($A184-'Control Room'!$A$15-('Control Room'!$B$15-1)/2)/MAX(0.5,'Control Room'!$B$15/4))^2),1)*IF(AND($A184&gt;='Control Room'!$A$16,$A184&lt;'Control Room'!$A$16+'Control Room'!$B$16,'Process'!BK5=1),1+('Control Room'!$C$16-1)*EXP(-0.5*(($A184-'Control Room'!$A$16-('Control Room'!$B$16-1)/2)/MAX(0.5,'Control Room'!$B$16/4))^2),1)</x:f>
        <x:v>1</x:v>
      </x:c>
      <x:c r="G184" s="9" t="n">
        <x:f>MOD(H183*16807,2147483647)</x:f>
        <x:v>1326808995</x:v>
      </x:c>
      <x:c r="H184" s="9" t="n">
        <x:f>MOD(G184*16807,2147483647)</x:f>
        <x:v>208588517</x:v>
      </x:c>
      <x:c r="I184" s="17" t="n">
        <x:f>IF('Control Room'!$B$5="Normal",'Control Room'!$B$7+'Control Room'!$D$7*SQRT(-2*LN(MAX(0.000000000001,G184/2147483647)))*COS(2*PI()*H184/2147483647),'Control Room'!$B$8+('Control Room'!$D$8-'Control Room'!$B$8)*G184/2147483647)</x:f>
        <x:v>1072.3772739717945</x:v>
      </x:c>
      <x:c r="J184" s="17" t="n">
        <x:f>IF('Control Room'!$B$5="Normal",'Control Room'!$B$7,('Control Room'!$B$8+'Control Room'!$D$8)/2)+'Control Room'!$B$9*(J183-IF('Control Room'!$B$5="Normal",'Control Room'!$B$7,('Control Room'!$B$8+'Control Room'!$D$8)/2))+SQRT(1-'Control Room'!$B$9^2)*(I184-IF('Control Room'!$B$5="Normal",'Control Room'!$B$7,('Control Room'!$B$8+'Control Room'!$D$8)/2))</x:f>
        <x:v>1076.0965685577166</x:v>
      </x:c>
      <x:c r="K184" s="17" t="n">
        <x:f>IF(AND($A184&gt;='Control Room'!$A$13,$A184&lt;'Control Room'!$A$13+'Control Room'!$B$13,'Process'!BL2=1),1+('Control Room'!$C$13-1)*EXP(-0.5*(($A184-'Control Room'!$A$13-('Control Room'!$B$13-1)/2)/MAX(0.5,'Control Room'!$B$13/4))^2),1)*IF(AND($A184&gt;='Control Room'!$A$14,$A184&lt;'Control Room'!$A$14+'Control Room'!$B$14,'Process'!BL3=1),1+('Control Room'!$C$14-1)*EXP(-0.5*(($A184-'Control Room'!$A$14-('Control Room'!$B$14-1)/2)/MAX(0.5,'Control Room'!$B$14/4))^2),1)*IF(AND($A184&gt;='Control Room'!$A$15,$A184&lt;'Control Room'!$A$15+'Control Room'!$B$15,'Process'!BL4=1),1+('Control Room'!$C$15-1)*EXP(-0.5*(($A184-'Control Room'!$A$15-('Control Room'!$B$15-1)/2)/MAX(0.5,'Control Room'!$B$15/4))^2),1)*IF(AND($A184&gt;='Control Room'!$A$16,$A184&lt;'Control Room'!$A$16+'Control Room'!$B$16,'Process'!BL5=1),1+('Control Room'!$C$16-1)*EXP(-0.5*(($A184-'Control Room'!$A$16-('Control Room'!$B$16-1)/2)/MAX(0.5,'Control Room'!$B$16/4))^2),1)</x:f>
        <x:v>1</x:v>
      </x:c>
      <x:c r="L184" s="9" t="n">
        <x:f>MOD(M183*16807,2147483647)</x:f>
        <x:v>2057067634</x:v>
      </x:c>
      <x:c r="M184" s="9" t="n">
        <x:f>MOD(L184*16807,2147483647)</x:f>
        <x:v>796491585</x:v>
      </x:c>
      <x:c r="N184" s="17" t="n">
        <x:f>IF('Control Room'!$B$5="Normal",'Control Room'!$B$7+'Control Room'!$D$7*SQRT(-2*LN(MAX(0.000000000001,L184/2147483647)))*COS(2*PI()*M184/2147483647),'Control Room'!$B$8+('Control Room'!$D$8-'Control Room'!$B$8)*L184/2147483647)</x:f>
        <x:v>981.821453964874</x:v>
      </x:c>
      <x:c r="O184" s="17" t="n">
        <x:f>IF('Control Room'!$B$5="Normal",'Control Room'!$B$7,('Control Room'!$B$8+'Control Room'!$D$8)/2)+'Control Room'!$B$9*(O183-IF('Control Room'!$B$5="Normal",'Control Room'!$B$7,('Control Room'!$B$8+'Control Room'!$D$8)/2))+SQRT(1-'Control Room'!$B$9^2)*(N184-IF('Control Room'!$B$5="Normal",'Control Room'!$B$7,('Control Room'!$B$8+'Control Room'!$D$8)/2))</x:f>
        <x:v>921.8356428265374</x:v>
      </x:c>
      <x:c r="P184" s="17" t="n">
        <x:f>IF(AND($A184&gt;='Control Room'!$A$13,$A184&lt;'Control Room'!$A$13+'Control Room'!$B$13,'Process'!BM2=1),1+('Control Room'!$C$13-1)*EXP(-0.5*(($A184-'Control Room'!$A$13-('Control Room'!$B$13-1)/2)/MAX(0.5,'Control Room'!$B$13/4))^2),1)*IF(AND($A184&gt;='Control Room'!$A$14,$A184&lt;'Control Room'!$A$14+'Control Room'!$B$14,'Process'!BM3=1),1+('Control Room'!$C$14-1)*EXP(-0.5*(($A184-'Control Room'!$A$14-('Control Room'!$B$14-1)/2)/MAX(0.5,'Control Room'!$B$14/4))^2),1)*IF(AND($A184&gt;='Control Room'!$A$15,$A184&lt;'Control Room'!$A$15+'Control Room'!$B$15,'Process'!BM4=1),1+('Control Room'!$C$15-1)*EXP(-0.5*(($A184-'Control Room'!$A$15-('Control Room'!$B$15-1)/2)/MAX(0.5,'Control Room'!$B$15/4))^2),1)*IF(AND($A184&gt;='Control Room'!$A$16,$A184&lt;'Control Room'!$A$16+'Control Room'!$B$16,'Process'!BM5=1),1+('Control Room'!$C$16-1)*EXP(-0.5*(($A184-'Control Room'!$A$16-('Control Room'!$B$16-1)/2)/MAX(0.5,'Control Room'!$B$16/4))^2),1)</x:f>
        <x:v>1</x:v>
      </x:c>
      <x:c r="Q184" s="9" t="n">
        <x:f>MOD(R183*16807,2147483647)</x:f>
        <x:v>639842626</x:v>
      </x:c>
      <x:c r="R184" s="9" t="n">
        <x:f>MOD(Q184*16807,2147483647)</x:f>
        <x:v>1384394653</x:v>
      </x:c>
      <x:c r="S184" s="17" t="n">
        <x:f>IF('Control Room'!$B$5="Normal",'Control Room'!$B$7+'Control Room'!$D$7*SQRT(-2*LN(MAX(0.000000000001,Q184/2147483647)))*COS(2*PI()*R184/2147483647),'Control Room'!$B$8+('Control Room'!$D$8-'Control Room'!$B$8)*Q184/2147483647)</x:f>
        <x:v>913.922303174409</x:v>
      </x:c>
      <x:c r="T184" s="17" t="n">
        <x:f>IF('Control Room'!$B$5="Normal",'Control Room'!$B$7,('Control Room'!$B$8+'Control Room'!$D$8)/2)+'Control Room'!$B$9*(T183-IF('Control Room'!$B$5="Normal",'Control Room'!$B$7,('Control Room'!$B$8+'Control Room'!$D$8)/2))+SQRT(1-'Control Room'!$B$9^2)*(S184-IF('Control Room'!$B$5="Normal",'Control Room'!$B$7,('Control Room'!$B$8+'Control Room'!$D$8)/2))</x:f>
        <x:v>947.7780842129052</x:v>
      </x:c>
      <x:c r="U184" s="17" t="n">
        <x:f>IF(AND($A184&gt;='Control Room'!$A$13,$A184&lt;'Control Room'!$A$13+'Control Room'!$B$13,'Process'!BN2=1),1+('Control Room'!$C$13-1)*EXP(-0.5*(($A184-'Control Room'!$A$13-('Control Room'!$B$13-1)/2)/MAX(0.5,'Control Room'!$B$13/4))^2),1)*IF(AND($A184&gt;='Control Room'!$A$14,$A184&lt;'Control Room'!$A$14+'Control Room'!$B$14,'Process'!BN3=1),1+('Control Room'!$C$14-1)*EXP(-0.5*(($A184-'Control Room'!$A$14-('Control Room'!$B$14-1)/2)/MAX(0.5,'Control Room'!$B$14/4))^2),1)*IF(AND($A184&gt;='Control Room'!$A$15,$A184&lt;'Control Room'!$A$15+'Control Room'!$B$15,'Process'!BN4=1),1+('Control Room'!$C$15-1)*EXP(-0.5*(($A184-'Control Room'!$A$15-('Control Room'!$B$15-1)/2)/MAX(0.5,'Control Room'!$B$15/4))^2),1)*IF(AND($A184&gt;='Control Room'!$A$16,$A184&lt;'Control Room'!$A$16+'Control Room'!$B$16,'Process'!BN5=1),1+('Control Room'!$C$16-1)*EXP(-0.5*(($A184-'Control Room'!$A$16-('Control Room'!$B$16-1)/2)/MAX(0.5,'Control Room'!$B$16/4))^2),1)</x:f>
        <x:v>1</x:v>
      </x:c>
      <x:c r="V184" s="9" t="n">
        <x:f>MOD(W183*16807,2147483647)</x:f>
        <x:v>1370101265</x:v>
      </x:c>
      <x:c r="W184" s="9" t="n">
        <x:f>MOD(V184*16807,2147483647)</x:f>
        <x:v>1972297721</x:v>
      </x:c>
      <x:c r="X184" s="17" t="n">
        <x:f>IF('Control Room'!$B$5="Normal",'Control Room'!$B$7+'Control Room'!$D$7*SQRT(-2*LN(MAX(0.000000000001,V184/2147483647)))*COS(2*PI()*W184/2147483647),'Control Room'!$B$8+('Control Room'!$D$8-'Control Room'!$B$8)*V184/2147483647)</x:f>
        <x:v>1074.3604406005754</x:v>
      </x:c>
      <x:c r="Y184" s="17" t="n">
        <x:f>IF('Control Room'!$B$5="Normal",'Control Room'!$B$7,('Control Room'!$B$8+'Control Room'!$D$8)/2)+'Control Room'!$B$9*(Y183-IF('Control Room'!$B$5="Normal",'Control Room'!$B$7,('Control Room'!$B$8+'Control Room'!$D$8)/2))+SQRT(1-'Control Room'!$B$9^2)*(X184-IF('Control Room'!$B$5="Normal",'Control Room'!$B$7,('Control Room'!$B$8+'Control Room'!$D$8)/2))</x:f>
        <x:v>932.5034834635162</x:v>
      </x:c>
      <x:c r="Z184" s="17" t="n">
        <x:f>IF(AND($A184&gt;='Control Room'!$A$13,$A184&lt;'Control Room'!$A$13+'Control Room'!$B$13,'Process'!BO2=1),1+('Control Room'!$C$13-1)*EXP(-0.5*(($A184-'Control Room'!$A$13-('Control Room'!$B$13-1)/2)/MAX(0.5,'Control Room'!$B$13/4))^2),1)*IF(AND($A184&gt;='Control Room'!$A$14,$A184&lt;'Control Room'!$A$14+'Control Room'!$B$14,'Process'!BO3=1),1+('Control Room'!$C$14-1)*EXP(-0.5*(($A184-'Control Room'!$A$14-('Control Room'!$B$14-1)/2)/MAX(0.5,'Control Room'!$B$14/4))^2),1)*IF(AND($A184&gt;='Control Room'!$A$15,$A184&lt;'Control Room'!$A$15+'Control Room'!$B$15,'Process'!BO4=1),1+('Control Room'!$C$15-1)*EXP(-0.5*(($A184-'Control Room'!$A$15-('Control Room'!$B$15-1)/2)/MAX(0.5,'Control Room'!$B$15/4))^2),1)*IF(AND($A184&gt;='Control Room'!$A$16,$A184&lt;'Control Room'!$A$16+'Control Room'!$B$16,'Process'!BO5=1),1+('Control Room'!$C$16-1)*EXP(-0.5*(($A184-'Control Room'!$A$16-('Control Room'!$B$16-1)/2)/MAX(0.5,'Control Room'!$B$16/4))^2),1)</x:f>
        <x:v>1</x:v>
      </x:c>
      <x:c r="AA184" s="9" t="n">
        <x:f>MOD(AB183*16807,2147483647)</x:f>
        <x:v>2100359904</x:v>
      </x:c>
      <x:c r="AB184" s="9" t="n">
        <x:f>MOD(AA184*16807,2147483647)</x:f>
        <x:v>412717142</x:v>
      </x:c>
      <x:c r="AC184" s="17" t="n">
        <x:f>IF('Control Room'!$B$5="Normal",'Control Room'!$B$7+'Control Room'!$D$7*SQRT(-2*LN(MAX(0.000000000001,AA184/2147483647)))*COS(2*PI()*AB184/2147483647),'Control Room'!$B$8+('Control Room'!$D$8-'Control Room'!$B$8)*AA184/2147483647)</x:f>
        <x:v>1006.7364874617178</x:v>
      </x:c>
      <x:c r="AD184" s="17" t="n">
        <x:f>IF('Control Room'!$B$5="Normal",'Control Room'!$B$7,('Control Room'!$B$8+'Control Room'!$D$8)/2)+'Control Room'!$B$9*(AD183-IF('Control Room'!$B$5="Normal",'Control Room'!$B$7,('Control Room'!$B$8+'Control Room'!$D$8)/2))+SQRT(1-'Control Room'!$B$9^2)*(AC184-IF('Control Room'!$B$5="Normal",'Control Room'!$B$7,('Control Room'!$B$8+'Control Room'!$D$8)/2))</x:f>
        <x:v>1009.1344454063965</x:v>
      </x:c>
      <x:c r="AE184" s="17" t="n">
        <x:f>IF(AND($A184&gt;='Control Room'!$A$13,$A184&lt;'Control Room'!$A$13+'Control Room'!$B$13,'Process'!BP2=1),1+('Control Room'!$C$13-1)*EXP(-0.5*(($A184-'Control Room'!$A$13-('Control Room'!$B$13-1)/2)/MAX(0.5,'Control Room'!$B$13/4))^2),1)*IF(AND($A184&gt;='Control Room'!$A$14,$A184&lt;'Control Room'!$A$14+'Control Room'!$B$14,'Process'!BP3=1),1+('Control Room'!$C$14-1)*EXP(-0.5*(($A184-'Control Room'!$A$14-('Control Room'!$B$14-1)/2)/MAX(0.5,'Control Room'!$B$14/4))^2),1)*IF(AND($A184&gt;='Control Room'!$A$15,$A184&lt;'Control Room'!$A$15+'Control Room'!$B$15,'Process'!BP4=1),1+('Control Room'!$C$15-1)*EXP(-0.5*(($A184-'Control Room'!$A$15-('Control Room'!$B$15-1)/2)/MAX(0.5,'Control Room'!$B$15/4))^2),1)*IF(AND($A184&gt;='Control Room'!$A$16,$A184&lt;'Control Room'!$A$16+'Control Room'!$B$16,'Process'!BP5=1),1+('Control Room'!$C$16-1)*EXP(-0.5*(($A184-'Control Room'!$A$16-('Control Room'!$B$16-1)/2)/MAX(0.5,'Control Room'!$B$16/4))^2),1)</x:f>
        <x:v>1</x:v>
      </x:c>
      <x:c r="AF184" s="9" t="n">
        <x:f>MOD(AG183*16807,2147483647)</x:f>
        <x:v>683134896</x:v>
      </x:c>
      <x:c r="AG184" s="9" t="n">
        <x:f>MOD(AF184*16807,2147483647)</x:f>
        <x:v>1000620210</x:v>
      </x:c>
      <x:c r="AH184" s="17" t="n">
        <x:f>IF('Control Room'!$B$5="Normal",'Control Room'!$B$7+'Control Room'!$D$7*SQRT(-2*LN(MAX(0.000000000001,AF184/2147483647)))*COS(2*PI()*AG184/2147483647),'Control Room'!$B$8+('Control Room'!$D$8-'Control Room'!$B$8)*AF184/2147483647)</x:f>
        <x:v>866.8894052531151</x:v>
      </x:c>
      <x:c r="AI184" s="17" t="n">
        <x:f>IF('Control Room'!$B$5="Normal",'Control Room'!$B$7,('Control Room'!$B$8+'Control Room'!$D$8)/2)+'Control Room'!$B$9*(AI183-IF('Control Room'!$B$5="Normal",'Control Room'!$B$7,('Control Room'!$B$8+'Control Room'!$D$8)/2))+SQRT(1-'Control Room'!$B$9^2)*(AH184-IF('Control Room'!$B$5="Normal",'Control Room'!$B$7,('Control Room'!$B$8+'Control Room'!$D$8)/2))</x:f>
        <x:v>1016.0663948256673</x:v>
      </x:c>
      <x:c r="AJ184" s="17" t="n">
        <x:f>IF(AND($A184&gt;='Control Room'!$A$13,$A184&lt;'Control Room'!$A$13+'Control Room'!$B$13,'Process'!BQ2=1),1+('Control Room'!$C$13-1)*EXP(-0.5*(($A184-'Control Room'!$A$13-('Control Room'!$B$13-1)/2)/MAX(0.5,'Control Room'!$B$13/4))^2),1)*IF(AND($A184&gt;='Control Room'!$A$14,$A184&lt;'Control Room'!$A$14+'Control Room'!$B$14,'Process'!BQ3=1),1+('Control Room'!$C$14-1)*EXP(-0.5*(($A184-'Control Room'!$A$14-('Control Room'!$B$14-1)/2)/MAX(0.5,'Control Room'!$B$14/4))^2),1)*IF(AND($A184&gt;='Control Room'!$A$15,$A184&lt;'Control Room'!$A$15+'Control Room'!$B$15,'Process'!BQ4=1),1+('Control Room'!$C$15-1)*EXP(-0.5*(($A184-'Control Room'!$A$15-('Control Room'!$B$15-1)/2)/MAX(0.5,'Control Room'!$B$15/4))^2),1)*IF(AND($A184&gt;='Control Room'!$A$16,$A184&lt;'Control Room'!$A$16+'Control Room'!$B$16,'Process'!BQ5=1),1+('Control Room'!$C$16-1)*EXP(-0.5*(($A184-'Control Room'!$A$16-('Control Room'!$B$16-1)/2)/MAX(0.5,'Control Room'!$B$16/4))^2),1)</x:f>
        <x:v>1</x:v>
      </x:c>
      <x:c r="AK184" s="9" t="n">
        <x:f>MOD(AL183*16807,2147483647)</x:f>
        <x:v>1413393535</x:v>
      </x:c>
      <x:c r="AL184" s="9" t="n">
        <x:f>MOD(AK184*16807,2147483647)</x:f>
        <x:v>1588523278</x:v>
      </x:c>
      <x:c r="AM184" s="17" t="n">
        <x:f>IF('Control Room'!$B$5="Normal",'Control Room'!$B$7+'Control Room'!$D$7*SQRT(-2*LN(MAX(0.000000000001,AK184/2147483647)))*COS(2*PI()*AL184/2147483647),'Control Room'!$B$8+('Control Room'!$D$8-'Control Room'!$B$8)*AK184/2147483647)</x:f>
        <x:v>994.6833783728109</x:v>
      </x:c>
      <x:c r="AN184" s="17" t="n">
        <x:f>IF('Control Room'!$B$5="Normal",'Control Room'!$B$7,('Control Room'!$B$8+'Control Room'!$D$8)/2)+'Control Room'!$B$9*(AN183-IF('Control Room'!$B$5="Normal",'Control Room'!$B$7,('Control Room'!$B$8+'Control Room'!$D$8)/2))+SQRT(1-'Control Room'!$B$9^2)*(AM184-IF('Control Room'!$B$5="Normal",'Control Room'!$B$7,('Control Room'!$B$8+'Control Room'!$D$8)/2))</x:f>
        <x:v>995.1612161205827</x:v>
      </x:c>
      <x:c r="AO184" s="17" t="n">
        <x:f>IF(AND($A184&gt;='Control Room'!$A$13,$A184&lt;'Control Room'!$A$13+'Control Room'!$B$13,'Process'!BR2=1),1+('Control Room'!$C$13-1)*EXP(-0.5*(($A184-'Control Room'!$A$13-('Control Room'!$B$13-1)/2)/MAX(0.5,'Control Room'!$B$13/4))^2),1)*IF(AND($A184&gt;='Control Room'!$A$14,$A184&lt;'Control Room'!$A$14+'Control Room'!$B$14,'Process'!BR3=1),1+('Control Room'!$C$14-1)*EXP(-0.5*(($A184-'Control Room'!$A$14-('Control Room'!$B$14-1)/2)/MAX(0.5,'Control Room'!$B$14/4))^2),1)*IF(AND($A184&gt;='Control Room'!$A$15,$A184&lt;'Control Room'!$A$15+'Control Room'!$B$15,'Process'!BR4=1),1+('Control Room'!$C$15-1)*EXP(-0.5*(($A184-'Control Room'!$A$15-('Control Room'!$B$15-1)/2)/MAX(0.5,'Control Room'!$B$15/4))^2),1)*IF(AND($A184&gt;='Control Room'!$A$16,$A184&lt;'Control Room'!$A$16+'Control Room'!$B$16,'Process'!BR5=1),1+('Control Room'!$C$16-1)*EXP(-0.5*(($A184-'Control Room'!$A$16-('Control Room'!$B$16-1)/2)/MAX(0.5,'Control Room'!$B$16/4))^2),1)</x:f>
        <x:v>1</x:v>
      </x:c>
      <x:c r="AP184" s="9" t="n">
        <x:f>MOD(AQ183*16807,2147483647)</x:f>
        <x:v>2143652174</x:v>
      </x:c>
      <x:c r="AQ184" s="9" t="n">
        <x:f>MOD(AP184*16807,2147483647)</x:f>
        <x:v>28942699</x:v>
      </x:c>
      <x:c r="AR184" s="17" t="n">
        <x:f>IF('Control Room'!$B$5="Normal",'Control Room'!$B$7+'Control Room'!$D$7*SQRT(-2*LN(MAX(0.000000000001,AP184/2147483647)))*COS(2*PI()*AQ184/2147483647),'Control Room'!$B$8+('Control Room'!$D$8-'Control Room'!$B$8)*AP184/2147483647)</x:f>
        <x:v>1005.3593274839046</x:v>
      </x:c>
      <x:c r="AS184" s="17" t="n">
        <x:f>IF('Control Room'!$B$5="Normal",'Control Room'!$B$7,('Control Room'!$B$8+'Control Room'!$D$8)/2)+'Control Room'!$B$9*(AS183-IF('Control Room'!$B$5="Normal",'Control Room'!$B$7,('Control Room'!$B$8+'Control Room'!$D$8)/2))+SQRT(1-'Control Room'!$B$9^2)*(AR184-IF('Control Room'!$B$5="Normal",'Control Room'!$B$7,('Control Room'!$B$8+'Control Room'!$D$8)/2))</x:f>
        <x:v>990.9832090916321</x:v>
      </x:c>
      <x:c r="AT184" s="17" t="n">
        <x:f>IF(AND($A184&gt;='Control Room'!$A$13,$A184&lt;'Control Room'!$A$13+'Control Room'!$B$13,'Process'!BS2=1),1+('Control Room'!$C$13-1)*EXP(-0.5*(($A184-'Control Room'!$A$13-('Control Room'!$B$13-1)/2)/MAX(0.5,'Control Room'!$B$13/4))^2),1)*IF(AND($A184&gt;='Control Room'!$A$14,$A184&lt;'Control Room'!$A$14+'Control Room'!$B$14,'Process'!BS3=1),1+('Control Room'!$C$14-1)*EXP(-0.5*(($A184-'Control Room'!$A$14-('Control Room'!$B$14-1)/2)/MAX(0.5,'Control Room'!$B$14/4))^2),1)*IF(AND($A184&gt;='Control Room'!$A$15,$A184&lt;'Control Room'!$A$15+'Control Room'!$B$15,'Process'!BS4=1),1+('Control Room'!$C$15-1)*EXP(-0.5*(($A184-'Control Room'!$A$15-('Control Room'!$B$15-1)/2)/MAX(0.5,'Control Room'!$B$15/4))^2),1)*IF(AND($A184&gt;='Control Room'!$A$16,$A184&lt;'Control Room'!$A$16+'Control Room'!$B$16,'Process'!BS5=1),1+('Control Room'!$C$16-1)*EXP(-0.5*(($A184-'Control Room'!$A$16-('Control Room'!$B$16-1)/2)/MAX(0.5,'Control Room'!$B$16/4))^2),1)</x:f>
        <x:v>1</x:v>
      </x:c>
      <x:c r="AU184" s="9" t="n">
        <x:f>MOD(AV183*16807,2147483647)</x:f>
        <x:v>726427166</x:v>
      </x:c>
      <x:c r="AV184" s="9" t="n">
        <x:f>MOD(AU184*16807,2147483647)</x:f>
        <x:v>616845767</x:v>
      </x:c>
      <x:c r="AW184" s="17" t="n">
        <x:f>IF('Control Room'!$B$5="Normal",'Control Room'!$B$7+'Control Room'!$D$7*SQRT(-2*LN(MAX(0.000000000001,AU184/2147483647)))*COS(2*PI()*AV184/2147483647),'Control Room'!$B$8+('Control Room'!$D$8-'Control Room'!$B$8)*AU184/2147483647)</x:f>
        <x:v>969.2752792082745</x:v>
      </x:c>
      <x:c r="AX184" s="17" t="n">
        <x:f>IF('Control Room'!$B$5="Normal",'Control Room'!$B$7,('Control Room'!$B$8+'Control Room'!$D$8)/2)+'Control Room'!$B$9*(AX183-IF('Control Room'!$B$5="Normal",'Control Room'!$B$7,('Control Room'!$B$8+'Control Room'!$D$8)/2))+SQRT(1-'Control Room'!$B$9^2)*(AW184-IF('Control Room'!$B$5="Normal",'Control Room'!$B$7,('Control Room'!$B$8+'Control Room'!$D$8)/2))</x:f>
        <x:v>996.9128924552942</x:v>
      </x:c>
      <x:c r="AY184" s="17" t="n">
        <x:f>IF(AND($A184&gt;='Control Room'!$A$13,$A184&lt;'Control Room'!$A$13+'Control Room'!$B$13,'Process'!BT2=1),1+('Control Room'!$C$13-1)*EXP(-0.5*(($A184-'Control Room'!$A$13-('Control Room'!$B$13-1)/2)/MAX(0.5,'Control Room'!$B$13/4))^2),1)*IF(AND($A184&gt;='Control Room'!$A$14,$A184&lt;'Control Room'!$A$14+'Control Room'!$B$14,'Process'!BT3=1),1+('Control Room'!$C$14-1)*EXP(-0.5*(($A184-'Control Room'!$A$14-('Control Room'!$B$14-1)/2)/MAX(0.5,'Control Room'!$B$14/4))^2),1)*IF(AND($A184&gt;='Control Room'!$A$15,$A184&lt;'Control Room'!$A$15+'Control Room'!$B$15,'Process'!BT4=1),1+('Control Room'!$C$15-1)*EXP(-0.5*(($A184-'Control Room'!$A$15-('Control Room'!$B$15-1)/2)/MAX(0.5,'Control Room'!$B$15/4))^2),1)*IF(AND($A184&gt;='Control Room'!$A$16,$A184&lt;'Control Room'!$A$16+'Control Room'!$B$16,'Process'!BT5=1),1+('Control Room'!$C$16-1)*EXP(-0.5*(($A184-'Control Room'!$A$16-('Control Room'!$B$16-1)/2)/MAX(0.5,'Control Room'!$B$16/4))^2),1)</x:f>
        <x:v>1</x:v>
      </x:c>
      <x:c r="AZ184" s="9" t="n">
        <x:f>MOD(BA183*16807,2147483647)</x:f>
        <x:v>1456685805</x:v>
      </x:c>
      <x:c r="BA184" s="9" t="n">
        <x:f>MOD(AZ184*16807,2147483647)</x:f>
        <x:v>1204748835</x:v>
      </x:c>
      <x:c r="BB184" s="17" t="n">
        <x:f>IF('Control Room'!$B$5="Normal",'Control Room'!$B$7+'Control Room'!$D$7*SQRT(-2*LN(MAX(0.000000000001,AZ184/2147483647)))*COS(2*PI()*BA184/2147483647),'Control Room'!$B$8+('Control Room'!$D$8-'Control Room'!$B$8)*AZ184/2147483647)</x:f>
        <x:v>926.4588210330768</x:v>
      </x:c>
      <x:c r="BC184" s="17" t="n">
        <x:f>IF('Control Room'!$B$5="Normal",'Control Room'!$B$7,('Control Room'!$B$8+'Control Room'!$D$8)/2)+'Control Room'!$B$9*(BC183-IF('Control Room'!$B$5="Normal",'Control Room'!$B$7,('Control Room'!$B$8+'Control Room'!$D$8)/2))+SQRT(1-'Control Room'!$B$9^2)*(BB184-IF('Control Room'!$B$5="Normal",'Control Room'!$B$7,('Control Room'!$B$8+'Control Room'!$D$8)/2))</x:f>
        <x:v>1079.145128382749</x:v>
      </x:c>
      <x:c r="BD184" s="17" t="n">
        <x:f>IF(AND($A184&gt;='Control Room'!$A$13,$A184&lt;'Control Room'!$A$13+'Control Room'!$B$13,'Process'!BU2=1),1+('Control Room'!$C$13-1)*EXP(-0.5*(($A184-'Control Room'!$A$13-('Control Room'!$B$13-1)/2)/MAX(0.5,'Control Room'!$B$13/4))^2),1)*IF(AND($A184&gt;='Control Room'!$A$14,$A184&lt;'Control Room'!$A$14+'Control Room'!$B$14,'Process'!BU3=1),1+('Control Room'!$C$14-1)*EXP(-0.5*(($A184-'Control Room'!$A$14-('Control Room'!$B$14-1)/2)/MAX(0.5,'Control Room'!$B$14/4))^2),1)*IF(AND($A184&gt;='Control Room'!$A$15,$A184&lt;'Control Room'!$A$15+'Control Room'!$B$15,'Process'!BU4=1),1+('Control Room'!$C$15-1)*EXP(-0.5*(($A184-'Control Room'!$A$15-('Control Room'!$B$15-1)/2)/MAX(0.5,'Control Room'!$B$15/4))^2),1)*IF(AND($A184&gt;='Control Room'!$A$16,$A184&lt;'Control Room'!$A$16+'Control Room'!$B$16,'Process'!BU5=1),1+('Control Room'!$C$16-1)*EXP(-0.5*(($A184-'Control Room'!$A$16-('Control Room'!$B$16-1)/2)/MAX(0.5,'Control Room'!$B$16/4))^2),1)</x:f>
        <x:v>1</x:v>
      </x:c>
      <x:c r="BE184" s="9" t="n">
        <x:f>MOD(BF183*16807,2147483647)</x:f>
        <x:v>39460797</x:v>
      </x:c>
      <x:c r="BF184" s="9" t="n">
        <x:f>MOD(BE184*16807,2147483647)</x:f>
        <x:v>1792651903</x:v>
      </x:c>
      <x:c r="BG184" s="17" t="n">
        <x:f>IF('Control Room'!$B$5="Normal",'Control Room'!$B$7+'Control Room'!$D$7*SQRT(-2*LN(MAX(0.000000000001,BE184/2147483647)))*COS(2*PI()*BF184/2147483647),'Control Room'!$B$8+('Control Room'!$D$8-'Control Room'!$B$8)*BE184/2147483647)</x:f>
        <x:v>1129.2094591148211</x:v>
      </x:c>
      <x:c r="BH184" s="17" t="n">
        <x:f>IF('Control Room'!$B$5="Normal",'Control Room'!$B$7,('Control Room'!$B$8+'Control Room'!$D$8)/2)+'Control Room'!$B$9*(BH183-IF('Control Room'!$B$5="Normal",'Control Room'!$B$7,('Control Room'!$B$8+'Control Room'!$D$8)/2))+SQRT(1-'Control Room'!$B$9^2)*(BG184-IF('Control Room'!$B$5="Normal",'Control Room'!$B$7,('Control Room'!$B$8+'Control Room'!$D$8)/2))</x:f>
        <x:v>994.9662581662006</x:v>
      </x:c>
      <x:c r="BI184" s="17" t="n">
        <x:f>IF(AND($A184&gt;='Control Room'!$A$13,$A184&lt;'Control Room'!$A$13+'Control Room'!$B$13,'Process'!BV2=1),1+('Control Room'!$C$13-1)*EXP(-0.5*(($A184-'Control Room'!$A$13-('Control Room'!$B$13-1)/2)/MAX(0.5,'Control Room'!$B$13/4))^2),1)*IF(AND($A184&gt;='Control Room'!$A$14,$A184&lt;'Control Room'!$A$14+'Control Room'!$B$14,'Process'!BV3=1),1+('Control Room'!$C$14-1)*EXP(-0.5*(($A184-'Control Room'!$A$14-('Control Room'!$B$14-1)/2)/MAX(0.5,'Control Room'!$B$14/4))^2),1)*IF(AND($A184&gt;='Control Room'!$A$15,$A184&lt;'Control Room'!$A$15+'Control Room'!$B$15,'Process'!BV4=1),1+('Control Room'!$C$15-1)*EXP(-0.5*(($A184-'Control Room'!$A$15-('Control Room'!$B$15-1)/2)/MAX(0.5,'Control Room'!$B$15/4))^2),1)*IF(AND($A184&gt;='Control Room'!$A$16,$A184&lt;'Control Room'!$A$16+'Control Room'!$B$16,'Process'!BV5=1),1+('Control Room'!$C$16-1)*EXP(-0.5*(($A184-'Control Room'!$A$16-('Control Room'!$B$16-1)/2)/MAX(0.5,'Control Room'!$B$16/4))^2),1)</x:f>
        <x:v>1</x:v>
      </x:c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Z184" t="str">
        <x:f>IF('Data'!A184="","",TEXT('Data'!A184,"mm-dd"))</x:f>
      </x:c>
    </x:row>
    <x:row r="185" ht="21" customHeight="1">
      <x:c r="A185" s="15" t="n">
        <x:f>'Control Room'!$B$1+183</x:f>
        <x:v>73174</x:v>
      </x:c>
      <x:c r="B185" s="9" t="n">
        <x:f>MOD(C184*16807,2147483647)</x:f>
        <x:v>739289286</x:v>
      </x:c>
      <x:c r="C185" s="9" t="n">
        <x:f>MOD(B185*16807,2147483647)</x:f>
        <x:v>2042131907</x:v>
      </x:c>
      <x:c r="D185" s="17" t="n">
        <x:f>IF('Control Room'!$B$5="Normal",'Control Room'!$B$7+'Control Room'!$D$7*SQRT(-2*LN(MAX(0.000000000001,B185/2147483647)))*COS(2*PI()*C185/2147483647),'Control Room'!$B$8+('Control Room'!$D$8-'Control Room'!$B$8)*B185/2147483647)</x:f>
        <x:v>1125.2399593973832</x:v>
      </x:c>
      <x:c r="E185" s="17" t="n">
        <x:f>IF('Control Room'!$B$5="Normal",'Control Room'!$B$7,('Control Room'!$B$8+'Control Room'!$D$8)/2)+'Control Room'!$B$9*(E184-IF('Control Room'!$B$5="Normal",'Control Room'!$B$7,('Control Room'!$B$8+'Control Room'!$D$8)/2))+SQRT(1-'Control Room'!$B$9^2)*(D185-IF('Control Room'!$B$5="Normal",'Control Room'!$B$7,('Control Room'!$B$8+'Control Room'!$D$8)/2))</x:f>
        <x:v>1047.1540728892262</x:v>
      </x:c>
      <x:c r="F185" s="17" t="n">
        <x:f>IF(AND($A185&gt;='Control Room'!$A$13,$A185&lt;'Control Room'!$A$13+'Control Room'!$B$13,'Process'!BK2=1),1+('Control Room'!$C$13-1)*EXP(-0.5*(($A185-'Control Room'!$A$13-('Control Room'!$B$13-1)/2)/MAX(0.5,'Control Room'!$B$13/4))^2),1)*IF(AND($A185&gt;='Control Room'!$A$14,$A185&lt;'Control Room'!$A$14+'Control Room'!$B$14,'Process'!BK3=1),1+('Control Room'!$C$14-1)*EXP(-0.5*(($A185-'Control Room'!$A$14-('Control Room'!$B$14-1)/2)/MAX(0.5,'Control Room'!$B$14/4))^2),1)*IF(AND($A185&gt;='Control Room'!$A$15,$A185&lt;'Control Room'!$A$15+'Control Room'!$B$15,'Process'!BK4=1),1+('Control Room'!$C$15-1)*EXP(-0.5*(($A185-'Control Room'!$A$15-('Control Room'!$B$15-1)/2)/MAX(0.5,'Control Room'!$B$15/4))^2),1)*IF(AND($A185&gt;='Control Room'!$A$16,$A185&lt;'Control Room'!$A$16+'Control Room'!$B$16,'Process'!BK5=1),1+('Control Room'!$C$16-1)*EXP(-0.5*(($A185-'Control Room'!$A$16-('Control Room'!$B$16-1)/2)/MAX(0.5,'Control Room'!$B$16/4))^2),1)</x:f>
        <x:v>1</x:v>
      </x:c>
      <x:c r="G185" s="9" t="n">
        <x:f>MOD(H184*16807,2147483647)</x:f>
        <x:v>1053893315</x:v>
      </x:c>
      <x:c r="H185" s="9" t="n">
        <x:f>MOD(G185*16807,2147483647)</x:f>
        <x:v>339824749</x:v>
      </x:c>
      <x:c r="I185" s="17" t="n">
        <x:f>IF('Control Room'!$B$5="Normal",'Control Room'!$B$7+'Control Room'!$D$7*SQRT(-2*LN(MAX(0.000000000001,G185/2147483647)))*COS(2*PI()*H185/2147483647),'Control Room'!$B$8+('Control Room'!$D$8-'Control Room'!$B$8)*G185/2147483647)</x:f>
        <x:v>1058.536307440064</x:v>
      </x:c>
      <x:c r="J185" s="17" t="n">
        <x:f>IF('Control Room'!$B$5="Normal",'Control Room'!$B$7,('Control Room'!$B$8+'Control Room'!$D$8)/2)+'Control Room'!$B$9*(J184-IF('Control Room'!$B$5="Normal",'Control Room'!$B$7,('Control Room'!$B$8+'Control Room'!$D$8)/2))+SQRT(1-'Control Room'!$B$9^2)*(I185-IF('Control Room'!$B$5="Normal",'Control Room'!$B$7,('Control Room'!$B$8+'Control Room'!$D$8)/2))</x:f>
        <x:v>1095.986145489572</x:v>
      </x:c>
      <x:c r="K185" s="17" t="n">
        <x:f>IF(AND($A185&gt;='Control Room'!$A$13,$A185&lt;'Control Room'!$A$13+'Control Room'!$B$13,'Process'!BL2=1),1+('Control Room'!$C$13-1)*EXP(-0.5*(($A185-'Control Room'!$A$13-('Control Room'!$B$13-1)/2)/MAX(0.5,'Control Room'!$B$13/4))^2),1)*IF(AND($A185&gt;='Control Room'!$A$14,$A185&lt;'Control Room'!$A$14+'Control Room'!$B$14,'Process'!BL3=1),1+('Control Room'!$C$14-1)*EXP(-0.5*(($A185-'Control Room'!$A$14-('Control Room'!$B$14-1)/2)/MAX(0.5,'Control Room'!$B$14/4))^2),1)*IF(AND($A185&gt;='Control Room'!$A$15,$A185&lt;'Control Room'!$A$15+'Control Room'!$B$15,'Process'!BL4=1),1+('Control Room'!$C$15-1)*EXP(-0.5*(($A185-'Control Room'!$A$15-('Control Room'!$B$15-1)/2)/MAX(0.5,'Control Room'!$B$15/4))^2),1)*IF(AND($A185&gt;='Control Room'!$A$16,$A185&lt;'Control Room'!$A$16+'Control Room'!$B$16,'Process'!BL5=1),1+('Control Room'!$C$16-1)*EXP(-0.5*(($A185-'Control Room'!$A$16-('Control Room'!$B$16-1)/2)/MAX(0.5,'Control Room'!$B$16/4))^2),1)</x:f>
        <x:v>1</x:v>
      </x:c>
      <x:c r="L185" s="9" t="n">
        <x:f>MOD(M184*16807,2147483647)</x:f>
        <x:v>1368497344</x:v>
      </x:c>
      <x:c r="M185" s="9" t="n">
        <x:f>MOD(L185*16807,2147483647)</x:f>
        <x:v>785001238</x:v>
      </x:c>
      <x:c r="N185" s="17" t="n">
        <x:f>IF('Control Room'!$B$5="Normal",'Control Room'!$B$7+'Control Room'!$D$7*SQRT(-2*LN(MAX(0.000000000001,L185/2147483647)))*COS(2*PI()*M185/2147483647),'Control Room'!$B$8+('Control Room'!$D$8-'Control Room'!$B$8)*L185/2147483647)</x:f>
        <x:v>943.2806120892743</x:v>
      </x:c>
      <x:c r="O185" s="17" t="n">
        <x:f>IF('Control Room'!$B$5="Normal",'Control Room'!$B$7,('Control Room'!$B$8+'Control Room'!$D$8)/2)+'Control Room'!$B$9*(O184-IF('Control Room'!$B$5="Normal",'Control Room'!$B$7,('Control Room'!$B$8+'Control Room'!$D$8)/2))+SQRT(1-'Control Room'!$B$9^2)*(N185-IF('Control Room'!$B$5="Normal",'Control Room'!$B$7,('Control Room'!$B$8+'Control Room'!$D$8)/2))</x:f>
        <x:v>903.5379704099865</x:v>
      </x:c>
      <x:c r="P185" s="17" t="n">
        <x:f>IF(AND($A185&gt;='Control Room'!$A$13,$A185&lt;'Control Room'!$A$13+'Control Room'!$B$13,'Process'!BM2=1),1+('Control Room'!$C$13-1)*EXP(-0.5*(($A185-'Control Room'!$A$13-('Control Room'!$B$13-1)/2)/MAX(0.5,'Control Room'!$B$13/4))^2),1)*IF(AND($A185&gt;='Control Room'!$A$14,$A185&lt;'Control Room'!$A$14+'Control Room'!$B$14,'Process'!BM3=1),1+('Control Room'!$C$14-1)*EXP(-0.5*(($A185-'Control Room'!$A$14-('Control Room'!$B$14-1)/2)/MAX(0.5,'Control Room'!$B$14/4))^2),1)*IF(AND($A185&gt;='Control Room'!$A$15,$A185&lt;'Control Room'!$A$15+'Control Room'!$B$15,'Process'!BM4=1),1+('Control Room'!$C$15-1)*EXP(-0.5*(($A185-'Control Room'!$A$15-('Control Room'!$B$15-1)/2)/MAX(0.5,'Control Room'!$B$15/4))^2),1)*IF(AND($A185&gt;='Control Room'!$A$16,$A185&lt;'Control Room'!$A$16+'Control Room'!$B$16,'Process'!BM5=1),1+('Control Room'!$C$16-1)*EXP(-0.5*(($A185-'Control Room'!$A$16-('Control Room'!$B$16-1)/2)/MAX(0.5,'Control Room'!$B$16/4))^2),1)</x:f>
        <x:v>1</x:v>
      </x:c>
      <x:c r="Q185" s="9" t="n">
        <x:f>MOD(R184*16807,2147483647)</x:f>
        <x:v>1683101373</x:v>
      </x:c>
      <x:c r="R185" s="9" t="n">
        <x:f>MOD(Q185*16807,2147483647)</x:f>
        <x:v>1230177727</x:v>
      </x:c>
      <x:c r="S185" s="17" t="n">
        <x:f>IF('Control Room'!$B$5="Normal",'Control Room'!$B$7+'Control Room'!$D$7*SQRT(-2*LN(MAX(0.000000000001,Q185/2147483647)))*COS(2*PI()*R185/2147483647),'Control Room'!$B$8+('Control Room'!$D$8-'Control Room'!$B$8)*Q185/2147483647)</x:f>
        <x:v>943.6396004810676</x:v>
      </x:c>
      <x:c r="T185" s="17" t="n">
        <x:f>IF('Control Room'!$B$5="Normal",'Control Room'!$B$7,('Control Room'!$B$8+'Control Room'!$D$8)/2)+'Control Room'!$B$9*(T184-IF('Control Room'!$B$5="Normal",'Control Room'!$B$7,('Control Room'!$B$8+'Control Room'!$D$8)/2))+SQRT(1-'Control Room'!$B$9^2)*(S185-IF('Control Room'!$B$5="Normal",'Control Room'!$B$7,('Control Room'!$B$8+'Control Room'!$D$8)/2))</x:f>
        <x:v>923.9977222726608</x:v>
      </x:c>
      <x:c r="U185" s="17" t="n">
        <x:f>IF(AND($A185&gt;='Control Room'!$A$13,$A185&lt;'Control Room'!$A$13+'Control Room'!$B$13,'Process'!BN2=1),1+('Control Room'!$C$13-1)*EXP(-0.5*(($A185-'Control Room'!$A$13-('Control Room'!$B$13-1)/2)/MAX(0.5,'Control Room'!$B$13/4))^2),1)*IF(AND($A185&gt;='Control Room'!$A$14,$A185&lt;'Control Room'!$A$14+'Control Room'!$B$14,'Process'!BN3=1),1+('Control Room'!$C$14-1)*EXP(-0.5*(($A185-'Control Room'!$A$14-('Control Room'!$B$14-1)/2)/MAX(0.5,'Control Room'!$B$14/4))^2),1)*IF(AND($A185&gt;='Control Room'!$A$15,$A185&lt;'Control Room'!$A$15+'Control Room'!$B$15,'Process'!BN4=1),1+('Control Room'!$C$15-1)*EXP(-0.5*(($A185-'Control Room'!$A$15-('Control Room'!$B$15-1)/2)/MAX(0.5,'Control Room'!$B$15/4))^2),1)*IF(AND($A185&gt;='Control Room'!$A$16,$A185&lt;'Control Room'!$A$16+'Control Room'!$B$16,'Process'!BN5=1),1+('Control Room'!$C$16-1)*EXP(-0.5*(($A185-'Control Room'!$A$16-('Control Room'!$B$16-1)/2)/MAX(0.5,'Control Room'!$B$16/4))^2),1)</x:f>
        <x:v>1</x:v>
      </x:c>
      <x:c r="V185" s="9" t="n">
        <x:f>MOD(W184*16807,2147483647)</x:f>
        <x:v>1997705402</x:v>
      </x:c>
      <x:c r="W185" s="9" t="n">
        <x:f>MOD(V185*16807,2147483647)</x:f>
        <x:v>1675354216</x:v>
      </x:c>
      <x:c r="X185" s="17" t="n">
        <x:f>IF('Control Room'!$B$5="Normal",'Control Room'!$B$7+'Control Room'!$D$7*SQRT(-2*LN(MAX(0.000000000001,V185/2147483647)))*COS(2*PI()*W185/2147483647),'Control Room'!$B$8+('Control Room'!$D$8-'Control Room'!$B$8)*V185/2147483647)</x:f>
        <x:v>1006.4439419376188</x:v>
      </x:c>
      <x:c r="Y185" s="17" t="n">
        <x:f>IF('Control Room'!$B$5="Normal",'Control Room'!$B$7,('Control Room'!$B$8+'Control Room'!$D$8)/2)+'Control Room'!$B$9*(Y184-IF('Control Room'!$B$5="Normal",'Control Room'!$B$7,('Control Room'!$B$8+'Control Room'!$D$8)/2))+SQRT(1-'Control Room'!$B$9^2)*(X185-IF('Control Room'!$B$5="Normal",'Control Room'!$B$7,('Control Room'!$B$8+'Control Room'!$D$8)/2))</x:f>
        <x:v>951.3852039547785</x:v>
      </x:c>
      <x:c r="Z185" s="17" t="n">
        <x:f>IF(AND($A185&gt;='Control Room'!$A$13,$A185&lt;'Control Room'!$A$13+'Control Room'!$B$13,'Process'!BO2=1),1+('Control Room'!$C$13-1)*EXP(-0.5*(($A185-'Control Room'!$A$13-('Control Room'!$B$13-1)/2)/MAX(0.5,'Control Room'!$B$13/4))^2),1)*IF(AND($A185&gt;='Control Room'!$A$14,$A185&lt;'Control Room'!$A$14+'Control Room'!$B$14,'Process'!BO3=1),1+('Control Room'!$C$14-1)*EXP(-0.5*(($A185-'Control Room'!$A$14-('Control Room'!$B$14-1)/2)/MAX(0.5,'Control Room'!$B$14/4))^2),1)*IF(AND($A185&gt;='Control Room'!$A$15,$A185&lt;'Control Room'!$A$15+'Control Room'!$B$15,'Process'!BO4=1),1+('Control Room'!$C$15-1)*EXP(-0.5*(($A185-'Control Room'!$A$15-('Control Room'!$B$15-1)/2)/MAX(0.5,'Control Room'!$B$15/4))^2),1)*IF(AND($A185&gt;='Control Room'!$A$16,$A185&lt;'Control Room'!$A$16+'Control Room'!$B$16,'Process'!BO5=1),1+('Control Room'!$C$16-1)*EXP(-0.5*(($A185-'Control Room'!$A$16-('Control Room'!$B$16-1)/2)/MAX(0.5,'Control Room'!$B$16/4))^2),1)</x:f>
        <x:v>1</x:v>
      </x:c>
      <x:c r="AA185" s="9" t="n">
        <x:f>MOD(AB184*16807,2147483647)</x:f>
        <x:v>164825784</x:v>
      </x:c>
      <x:c r="AB185" s="9" t="n">
        <x:f>MOD(AA185*16807,2147483647)</x:f>
        <x:v>2120530705</x:v>
      </x:c>
      <x:c r="AC185" s="17" t="n">
        <x:f>IF('Control Room'!$B$5="Normal",'Control Room'!$B$7+'Control Room'!$D$7*SQRT(-2*LN(MAX(0.000000000001,AA185/2147483647)))*COS(2*PI()*AB185/2147483647),'Control Room'!$B$8+('Control Room'!$D$8-'Control Room'!$B$8)*AA185/2147483647)</x:f>
        <x:v>1203.2976752965317</x:v>
      </x:c>
      <x:c r="AD185" s="17" t="n">
        <x:f>IF('Control Room'!$B$5="Normal",'Control Room'!$B$7,('Control Room'!$B$8+'Control Room'!$D$8)/2)+'Control Room'!$B$9*(AD184-IF('Control Room'!$B$5="Normal",'Control Room'!$B$7,('Control Room'!$B$8+'Control Room'!$D$8)/2))+SQRT(1-'Control Room'!$B$9^2)*(AC185-IF('Control Room'!$B$5="Normal",'Control Room'!$B$7,('Control Room'!$B$8+'Control Room'!$D$8)/2))</x:f>
        <x:v>1134.3443878383043</x:v>
      </x:c>
      <x:c r="AE185" s="17" t="n">
        <x:f>IF(AND($A185&gt;='Control Room'!$A$13,$A185&lt;'Control Room'!$A$13+'Control Room'!$B$13,'Process'!BP2=1),1+('Control Room'!$C$13-1)*EXP(-0.5*(($A185-'Control Room'!$A$13-('Control Room'!$B$13-1)/2)/MAX(0.5,'Control Room'!$B$13/4))^2),1)*IF(AND($A185&gt;='Control Room'!$A$14,$A185&lt;'Control Room'!$A$14+'Control Room'!$B$14,'Process'!BP3=1),1+('Control Room'!$C$14-1)*EXP(-0.5*(($A185-'Control Room'!$A$14-('Control Room'!$B$14-1)/2)/MAX(0.5,'Control Room'!$B$14/4))^2),1)*IF(AND($A185&gt;='Control Room'!$A$15,$A185&lt;'Control Room'!$A$15+'Control Room'!$B$15,'Process'!BP4=1),1+('Control Room'!$C$15-1)*EXP(-0.5*(($A185-'Control Room'!$A$15-('Control Room'!$B$15-1)/2)/MAX(0.5,'Control Room'!$B$15/4))^2),1)*IF(AND($A185&gt;='Control Room'!$A$16,$A185&lt;'Control Room'!$A$16+'Control Room'!$B$16,'Process'!BP5=1),1+('Control Room'!$C$16-1)*EXP(-0.5*(($A185-'Control Room'!$A$16-('Control Room'!$B$16-1)/2)/MAX(0.5,'Control Room'!$B$16/4))^2),1)</x:f>
        <x:v>1</x:v>
      </x:c>
      <x:c r="AF185" s="9" t="n">
        <x:f>MOD(AG184*16807,2147483647)</x:f>
        <x:v>479429813</x:v>
      </x:c>
      <x:c r="AG185" s="9" t="n">
        <x:f>MOD(AF185*16807,2147483647)</x:f>
        <x:v>418223547</x:v>
      </x:c>
      <x:c r="AH185" s="17" t="n">
        <x:f>IF('Control Room'!$B$5="Normal",'Control Room'!$B$7+'Control Room'!$D$7*SQRT(-2*LN(MAX(0.000000000001,AF185/2147483647)))*COS(2*PI()*AG185/2147483647),'Control Room'!$B$8+('Control Room'!$D$8-'Control Room'!$B$8)*AF185/2147483647)</x:f>
        <x:v>1053.0242191901968</x:v>
      </x:c>
      <x:c r="AI185" s="17" t="n">
        <x:f>IF('Control Room'!$B$5="Normal",'Control Room'!$B$7,('Control Room'!$B$8+'Control Room'!$D$8)/2)+'Control Room'!$B$9*(AI184-IF('Control Room'!$B$5="Normal",'Control Room'!$B$7,('Control Room'!$B$8+'Control Room'!$D$8)/2))+SQRT(1-'Control Room'!$B$9^2)*(AH185-IF('Control Room'!$B$5="Normal",'Control Room'!$B$7,('Control Room'!$B$8+'Control Room'!$D$8)/2))</x:f>
        <x:v>1045.713258073072</x:v>
      </x:c>
      <x:c r="AJ185" s="17" t="n">
        <x:f>IF(AND($A185&gt;='Control Room'!$A$13,$A185&lt;'Control Room'!$A$13+'Control Room'!$B$13,'Process'!BQ2=1),1+('Control Room'!$C$13-1)*EXP(-0.5*(($A185-'Control Room'!$A$13-('Control Room'!$B$13-1)/2)/MAX(0.5,'Control Room'!$B$13/4))^2),1)*IF(AND($A185&gt;='Control Room'!$A$14,$A185&lt;'Control Room'!$A$14+'Control Room'!$B$14,'Process'!BQ3=1),1+('Control Room'!$C$14-1)*EXP(-0.5*(($A185-'Control Room'!$A$14-('Control Room'!$B$14-1)/2)/MAX(0.5,'Control Room'!$B$14/4))^2),1)*IF(AND($A185&gt;='Control Room'!$A$15,$A185&lt;'Control Room'!$A$15+'Control Room'!$B$15,'Process'!BQ4=1),1+('Control Room'!$C$15-1)*EXP(-0.5*(($A185-'Control Room'!$A$15-('Control Room'!$B$15-1)/2)/MAX(0.5,'Control Room'!$B$15/4))^2),1)*IF(AND($A185&gt;='Control Room'!$A$16,$A185&lt;'Control Room'!$A$16+'Control Room'!$B$16,'Process'!BQ5=1),1+('Control Room'!$C$16-1)*EXP(-0.5*(($A185-'Control Room'!$A$16-('Control Room'!$B$16-1)/2)/MAX(0.5,'Control Room'!$B$16/4))^2),1)</x:f>
        <x:v>1</x:v>
      </x:c>
      <x:c r="AK185" s="9" t="n">
        <x:f>MOD(AL184*16807,2147483647)</x:f>
        <x:v>794033842</x:v>
      </x:c>
      <x:c r="AL185" s="9" t="n">
        <x:f>MOD(AK185*16807,2147483647)</x:f>
        <x:v>863400036</x:v>
      </x:c>
      <x:c r="AM185" s="17" t="n">
        <x:f>IF('Control Room'!$B$5="Normal",'Control Room'!$B$7+'Control Room'!$D$7*SQRT(-2*LN(MAX(0.000000000001,AK185/2147483647)))*COS(2*PI()*AL185/2147483647),'Control Room'!$B$8+('Control Room'!$D$8-'Control Room'!$B$8)*AK185/2147483647)</x:f>
        <x:v>896.3369765498194</x:v>
      </x:c>
      <x:c r="AN185" s="17" t="n">
        <x:f>IF('Control Room'!$B$5="Normal",'Control Room'!$B$7,('Control Room'!$B$8+'Control Room'!$D$8)/2)+'Control Room'!$B$9*(AN184-IF('Control Room'!$B$5="Normal",'Control Room'!$B$7,('Control Room'!$B$8+'Control Room'!$D$8)/2))+SQRT(1-'Control Room'!$B$9^2)*(AM185-IF('Control Room'!$B$5="Normal",'Control Room'!$B$7,('Control Room'!$B$8+'Control Room'!$D$8)/2))</x:f>
        <x:v>931.3555521513977</x:v>
      </x:c>
      <x:c r="AO185" s="17" t="n">
        <x:f>IF(AND($A185&gt;='Control Room'!$A$13,$A185&lt;'Control Room'!$A$13+'Control Room'!$B$13,'Process'!BR2=1),1+('Control Room'!$C$13-1)*EXP(-0.5*(($A185-'Control Room'!$A$13-('Control Room'!$B$13-1)/2)/MAX(0.5,'Control Room'!$B$13/4))^2),1)*IF(AND($A185&gt;='Control Room'!$A$14,$A185&lt;'Control Room'!$A$14+'Control Room'!$B$14,'Process'!BR3=1),1+('Control Room'!$C$14-1)*EXP(-0.5*(($A185-'Control Room'!$A$14-('Control Room'!$B$14-1)/2)/MAX(0.5,'Control Room'!$B$14/4))^2),1)*IF(AND($A185&gt;='Control Room'!$A$15,$A185&lt;'Control Room'!$A$15+'Control Room'!$B$15,'Process'!BR4=1),1+('Control Room'!$C$15-1)*EXP(-0.5*(($A185-'Control Room'!$A$15-('Control Room'!$B$15-1)/2)/MAX(0.5,'Control Room'!$B$15/4))^2),1)*IF(AND($A185&gt;='Control Room'!$A$16,$A185&lt;'Control Room'!$A$16+'Control Room'!$B$16,'Process'!BR5=1),1+('Control Room'!$C$16-1)*EXP(-0.5*(($A185-'Control Room'!$A$16-('Control Room'!$B$16-1)/2)/MAX(0.5,'Control Room'!$B$16/4))^2),1)</x:f>
        <x:v>1</x:v>
      </x:c>
      <x:c r="AP185" s="9" t="n">
        <x:f>MOD(AQ184*16807,2147483647)</x:f>
        <x:v>1108637871</x:v>
      </x:c>
      <x:c r="AQ185" s="9" t="n">
        <x:f>MOD(AP185*16807,2147483647)</x:f>
        <x:v>1308576525</x:v>
      </x:c>
      <x:c r="AR185" s="17" t="n">
        <x:f>IF('Control Room'!$B$5="Normal",'Control Room'!$B$7+'Control Room'!$D$7*SQRT(-2*LN(MAX(0.000000000001,AP185/2147483647)))*COS(2*PI()*AQ185/2147483647),'Control Room'!$B$8+('Control Room'!$D$8-'Control Room'!$B$8)*AP185/2147483647)</x:f>
        <x:v>919.9896844723675</x:v>
      </x:c>
      <x:c r="AS185" s="17" t="n">
        <x:f>IF('Control Room'!$B$5="Normal",'Control Room'!$B$7,('Control Room'!$B$8+'Control Room'!$D$8)/2)+'Control Room'!$B$9*(AS184-IF('Control Room'!$B$5="Normal",'Control Room'!$B$7,('Control Room'!$B$8+'Control Room'!$D$8)/2))+SQRT(1-'Control Room'!$B$9^2)*(AR185-IF('Control Room'!$B$5="Normal",'Control Room'!$B$7,('Control Room'!$B$8+'Control Room'!$D$8)/2))</x:f>
        <x:v>942.8980867346872</x:v>
      </x:c>
      <x:c r="AT185" s="17" t="n">
        <x:f>IF(AND($A185&gt;='Control Room'!$A$13,$A185&lt;'Control Room'!$A$13+'Control Room'!$B$13,'Process'!BS2=1),1+('Control Room'!$C$13-1)*EXP(-0.5*(($A185-'Control Room'!$A$13-('Control Room'!$B$13-1)/2)/MAX(0.5,'Control Room'!$B$13/4))^2),1)*IF(AND($A185&gt;='Control Room'!$A$14,$A185&lt;'Control Room'!$A$14+'Control Room'!$B$14,'Process'!BS3=1),1+('Control Room'!$C$14-1)*EXP(-0.5*(($A185-'Control Room'!$A$14-('Control Room'!$B$14-1)/2)/MAX(0.5,'Control Room'!$B$14/4))^2),1)*IF(AND($A185&gt;='Control Room'!$A$15,$A185&lt;'Control Room'!$A$15+'Control Room'!$B$15,'Process'!BS4=1),1+('Control Room'!$C$15-1)*EXP(-0.5*(($A185-'Control Room'!$A$15-('Control Room'!$B$15-1)/2)/MAX(0.5,'Control Room'!$B$15/4))^2),1)*IF(AND($A185&gt;='Control Room'!$A$16,$A185&lt;'Control Room'!$A$16+'Control Room'!$B$16,'Process'!BS5=1),1+('Control Room'!$C$16-1)*EXP(-0.5*(($A185-'Control Room'!$A$16-('Control Room'!$B$16-1)/2)/MAX(0.5,'Control Room'!$B$16/4))^2),1)</x:f>
        <x:v>1</x:v>
      </x:c>
      <x:c r="AU185" s="9" t="n">
        <x:f>MOD(AV184*16807,2147483647)</x:f>
        <x:v>1423241900</x:v>
      </x:c>
      <x:c r="AV185" s="9" t="n">
        <x:f>MOD(AU185*16807,2147483647)</x:f>
        <x:v>1753753014</x:v>
      </x:c>
      <x:c r="AW185" s="17" t="n">
        <x:f>IF('Control Room'!$B$5="Normal",'Control Room'!$B$7+'Control Room'!$D$7*SQRT(-2*LN(MAX(0.000000000001,AU185/2147483647)))*COS(2*PI()*AV185/2147483647),'Control Room'!$B$8+('Control Room'!$D$8-'Control Room'!$B$8)*AU185/2147483647)</x:f>
        <x:v>1033.197803242389</x:v>
      </x:c>
      <x:c r="AX185" s="17" t="n">
        <x:f>IF('Control Room'!$B$5="Normal",'Control Room'!$B$7,('Control Room'!$B$8+'Control Room'!$D$8)/2)+'Control Room'!$B$9*(AX184-IF('Control Room'!$B$5="Normal",'Control Room'!$B$7,('Control Room'!$B$8+'Control Room'!$D$8)/2))+SQRT(1-'Control Room'!$B$9^2)*(AW185-IF('Control Room'!$B$5="Normal",'Control Room'!$B$7,('Control Room'!$B$8+'Control Room'!$D$8)/2))</x:f>
        <x:v>1018.3665612902507</x:v>
      </x:c>
      <x:c r="AY185" s="17" t="n">
        <x:f>IF(AND($A185&gt;='Control Room'!$A$13,$A185&lt;'Control Room'!$A$13+'Control Room'!$B$13,'Process'!BT2=1),1+('Control Room'!$C$13-1)*EXP(-0.5*(($A185-'Control Room'!$A$13-('Control Room'!$B$13-1)/2)/MAX(0.5,'Control Room'!$B$13/4))^2),1)*IF(AND($A185&gt;='Control Room'!$A$14,$A185&lt;'Control Room'!$A$14+'Control Room'!$B$14,'Process'!BT3=1),1+('Control Room'!$C$14-1)*EXP(-0.5*(($A185-'Control Room'!$A$14-('Control Room'!$B$14-1)/2)/MAX(0.5,'Control Room'!$B$14/4))^2),1)*IF(AND($A185&gt;='Control Room'!$A$15,$A185&lt;'Control Room'!$A$15+'Control Room'!$B$15,'Process'!BT4=1),1+('Control Room'!$C$15-1)*EXP(-0.5*(($A185-'Control Room'!$A$15-('Control Room'!$B$15-1)/2)/MAX(0.5,'Control Room'!$B$15/4))^2),1)*IF(AND($A185&gt;='Control Room'!$A$16,$A185&lt;'Control Room'!$A$16+'Control Room'!$B$16,'Process'!BT5=1),1+('Control Room'!$C$16-1)*EXP(-0.5*(($A185-'Control Room'!$A$16-('Control Room'!$B$16-1)/2)/MAX(0.5,'Control Room'!$B$16/4))^2),1)</x:f>
        <x:v>1</x:v>
      </x:c>
      <x:c r="AZ185" s="9" t="n">
        <x:f>MOD(BA184*16807,2147483647)</x:f>
        <x:v>1737845929</x:v>
      </x:c>
      <x:c r="BA185" s="9" t="n">
        <x:f>MOD(AZ185*16807,2147483647)</x:f>
        <x:v>51445856</x:v>
      </x:c>
      <x:c r="BB185" s="17" t="n">
        <x:f>IF('Control Room'!$B$5="Normal",'Control Room'!$B$7+'Control Room'!$D$7*SQRT(-2*LN(MAX(0.000000000001,AZ185/2147483647)))*COS(2*PI()*BA185/2147483647),'Control Room'!$B$8+('Control Room'!$D$8-'Control Room'!$B$8)*AZ185/2147483647)</x:f>
        <x:v>1057.893320708685</x:v>
      </x:c>
      <x:c r="BC185" s="17" t="n">
        <x:f>IF('Control Room'!$B$5="Normal",'Control Room'!$B$7,('Control Room'!$B$8+'Control Room'!$D$8)/2)+'Control Room'!$B$9*(BC184-IF('Control Room'!$B$5="Normal",'Control Room'!$B$7,('Control Room'!$B$8+'Control Room'!$D$8)/2))+SQRT(1-'Control Room'!$B$9^2)*(BB185-IF('Control Room'!$B$5="Normal",'Control Room'!$B$7,('Control Room'!$B$8+'Control Room'!$D$8)/2))</x:f>
        <x:v>1097.961654228899</x:v>
      </x:c>
      <x:c r="BD185" s="17" t="n">
        <x:f>IF(AND($A185&gt;='Control Room'!$A$13,$A185&lt;'Control Room'!$A$13+'Control Room'!$B$13,'Process'!BU2=1),1+('Control Room'!$C$13-1)*EXP(-0.5*(($A185-'Control Room'!$A$13-('Control Room'!$B$13-1)/2)/MAX(0.5,'Control Room'!$B$13/4))^2),1)*IF(AND($A185&gt;='Control Room'!$A$14,$A185&lt;'Control Room'!$A$14+'Control Room'!$B$14,'Process'!BU3=1),1+('Control Room'!$C$14-1)*EXP(-0.5*(($A185-'Control Room'!$A$14-('Control Room'!$B$14-1)/2)/MAX(0.5,'Control Room'!$B$14/4))^2),1)*IF(AND($A185&gt;='Control Room'!$A$15,$A185&lt;'Control Room'!$A$15+'Control Room'!$B$15,'Process'!BU4=1),1+('Control Room'!$C$15-1)*EXP(-0.5*(($A185-'Control Room'!$A$15-('Control Room'!$B$15-1)/2)/MAX(0.5,'Control Room'!$B$15/4))^2),1)*IF(AND($A185&gt;='Control Room'!$A$16,$A185&lt;'Control Room'!$A$16+'Control Room'!$B$16,'Process'!BU5=1),1+('Control Room'!$C$16-1)*EXP(-0.5*(($A185-'Control Room'!$A$16-('Control Room'!$B$16-1)/2)/MAX(0.5,'Control Room'!$B$16/4))^2),1)</x:f>
        <x:v>1</x:v>
      </x:c>
      <x:c r="BE185" s="9" t="n">
        <x:f>MOD(BF184*16807,2147483647)</x:f>
        <x:v>2052449958</x:v>
      </x:c>
      <x:c r="BF185" s="9" t="n">
        <x:f>MOD(BE185*16807,2147483647)</x:f>
        <x:v>496622345</x:v>
      </x:c>
      <x:c r="BG185" s="17" t="n">
        <x:f>IF('Control Room'!$B$5="Normal",'Control Room'!$B$7+'Control Room'!$D$7*SQRT(-2*LN(MAX(0.000000000001,BE185/2147483647)))*COS(2*PI()*BF185/2147483647),'Control Room'!$B$8+('Control Room'!$D$8-'Control Room'!$B$8)*BE185/2147483647)</x:f>
        <x:v>1003.1814371182834</x:v>
      </x:c>
      <x:c r="BH185" s="17" t="n">
        <x:f>IF('Control Room'!$B$5="Normal",'Control Room'!$B$7,('Control Room'!$B$8+'Control Room'!$D$8)/2)+'Control Room'!$B$9*(BH184-IF('Control Room'!$B$5="Normal",'Control Room'!$B$7,('Control Room'!$B$8+'Control Room'!$D$8)/2))+SQRT(1-'Control Room'!$B$9^2)*(BG185-IF('Control Room'!$B$5="Normal",'Control Room'!$B$7,('Control Room'!$B$8+'Control Room'!$D$8)/2))</x:f>
        <x:v>998.0645595429762</x:v>
      </x:c>
      <x:c r="BI185" s="17" t="n">
        <x:f>IF(AND($A185&gt;='Control Room'!$A$13,$A185&lt;'Control Room'!$A$13+'Control Room'!$B$13,'Process'!BV2=1),1+('Control Room'!$C$13-1)*EXP(-0.5*(($A185-'Control Room'!$A$13-('Control Room'!$B$13-1)/2)/MAX(0.5,'Control Room'!$B$13/4))^2),1)*IF(AND($A185&gt;='Control Room'!$A$14,$A185&lt;'Control Room'!$A$14+'Control Room'!$B$14,'Process'!BV3=1),1+('Control Room'!$C$14-1)*EXP(-0.5*(($A185-'Control Room'!$A$14-('Control Room'!$B$14-1)/2)/MAX(0.5,'Control Room'!$B$14/4))^2),1)*IF(AND($A185&gt;='Control Room'!$A$15,$A185&lt;'Control Room'!$A$15+'Control Room'!$B$15,'Process'!BV4=1),1+('Control Room'!$C$15-1)*EXP(-0.5*(($A185-'Control Room'!$A$15-('Control Room'!$B$15-1)/2)/MAX(0.5,'Control Room'!$B$15/4))^2),1)*IF(AND($A185&gt;='Control Room'!$A$16,$A185&lt;'Control Room'!$A$16+'Control Room'!$B$16,'Process'!BV5=1),1+('Control Room'!$C$16-1)*EXP(-0.5*(($A185-'Control Room'!$A$16-('Control Room'!$B$16-1)/2)/MAX(0.5,'Control Room'!$B$16/4))^2),1)</x:f>
        <x:v>1</x:v>
      </x:c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Z185" t="str">
        <x:f>IF('Data'!A185="","",TEXT('Data'!A185,"mm-dd"))</x:f>
      </x:c>
    </x:row>
    <x:row r="186" ht="21" customHeight="1">
      <x:c r="A186" s="15" t="n">
        <x:f>'Control Room'!$B$1+184</x:f>
        <x:v>73175</x:v>
      </x:c>
      <x:c r="B186" s="9" t="n">
        <x:f>MOD(C185*16807,2147483647)</x:f>
        <x:v>1027314595</x:v>
      </x:c>
      <x:c r="C186" s="9" t="n">
        <x:f>MOD(B186*16807,2147483647)</x:f>
        <x:v>307876285</x:v>
      </x:c>
      <x:c r="D186" s="17" t="n">
        <x:f>IF('Control Room'!$B$5="Normal",'Control Room'!$B$7+'Control Room'!$D$7*SQRT(-2*LN(MAX(0.000000000001,B186/2147483647)))*COS(2*PI()*C186/2147483647),'Control Room'!$B$8+('Control Room'!$D$8-'Control Room'!$B$8)*B186/2147483647)</x:f>
        <x:v>1067.8697328067972</x:v>
      </x:c>
      <x:c r="E186" s="17" t="n">
        <x:f>IF('Control Room'!$B$5="Normal",'Control Room'!$B$7,('Control Room'!$B$8+'Control Room'!$D$8)/2)+'Control Room'!$B$9*(E185-IF('Control Room'!$B$5="Normal",'Control Room'!$B$7,('Control Room'!$B$8+'Control Room'!$D$8)/2))+SQRT(1-'Control Room'!$B$9^2)*(D186-IF('Control Room'!$B$5="Normal",'Control Room'!$B$7,('Control Room'!$B$8+'Control Room'!$D$8)/2))</x:f>
        <x:v>1079.2516652570393</x:v>
      </x:c>
      <x:c r="F186" s="17" t="n">
        <x:f>IF(AND($A186&gt;='Control Room'!$A$13,$A186&lt;'Control Room'!$A$13+'Control Room'!$B$13,'Process'!BK2=1),1+('Control Room'!$C$13-1)*EXP(-0.5*(($A186-'Control Room'!$A$13-('Control Room'!$B$13-1)/2)/MAX(0.5,'Control Room'!$B$13/4))^2),1)*IF(AND($A186&gt;='Control Room'!$A$14,$A186&lt;'Control Room'!$A$14+'Control Room'!$B$14,'Process'!BK3=1),1+('Control Room'!$C$14-1)*EXP(-0.5*(($A186-'Control Room'!$A$14-('Control Room'!$B$14-1)/2)/MAX(0.5,'Control Room'!$B$14/4))^2),1)*IF(AND($A186&gt;='Control Room'!$A$15,$A186&lt;'Control Room'!$A$15+'Control Room'!$B$15,'Process'!BK4=1),1+('Control Room'!$C$15-1)*EXP(-0.5*(($A186-'Control Room'!$A$15-('Control Room'!$B$15-1)/2)/MAX(0.5,'Control Room'!$B$15/4))^2),1)*IF(AND($A186&gt;='Control Room'!$A$16,$A186&lt;'Control Room'!$A$16+'Control Room'!$B$16,'Process'!BK5=1),1+('Control Room'!$C$16-1)*EXP(-0.5*(($A186-'Control Room'!$A$16-('Control Room'!$B$16-1)/2)/MAX(0.5,'Control Room'!$B$16/4))^2),1)</x:f>
        <x:v>1</x:v>
      </x:c>
      <x:c r="G186" s="9" t="n">
        <x:f>MOD(H185*16807,2147483647)</x:f>
        <x:v>1275539070</x:v>
      </x:c>
      <x:c r="H186" s="9" t="n">
        <x:f>MOD(G186*16807,2147483647)</x:f>
        <x:v>1803385136</x:v>
      </x:c>
      <x:c r="I186" s="17" t="n">
        <x:f>IF('Control Room'!$B$5="Normal",'Control Room'!$B$7+'Control Room'!$D$7*SQRT(-2*LN(MAX(0.000000000001,G186/2147483647)))*COS(2*PI()*H186/2147483647),'Control Room'!$B$8+('Control Room'!$D$8-'Control Room'!$B$8)*G186/2147483647)</x:f>
        <x:v>1049.109522828515</x:v>
      </x:c>
      <x:c r="J186" s="17" t="n">
        <x:f>IF('Control Room'!$B$5="Normal",'Control Room'!$B$7,('Control Room'!$B$8+'Control Room'!$D$8)/2)+'Control Room'!$B$9*(J185-IF('Control Room'!$B$5="Normal",'Control Room'!$B$7,('Control Room'!$B$8+'Control Room'!$D$8)/2))+SQRT(1-'Control Room'!$B$9^2)*(I186-IF('Control Room'!$B$5="Normal",'Control Room'!$B$7,('Control Room'!$B$8+'Control Room'!$D$8)/2))</x:f>
        <x:v>1105.6009268046914</x:v>
      </x:c>
      <x:c r="K186" s="17" t="n">
        <x:f>IF(AND($A186&gt;='Control Room'!$A$13,$A186&lt;'Control Room'!$A$13+'Control Room'!$B$13,'Process'!BL2=1),1+('Control Room'!$C$13-1)*EXP(-0.5*(($A186-'Control Room'!$A$13-('Control Room'!$B$13-1)/2)/MAX(0.5,'Control Room'!$B$13/4))^2),1)*IF(AND($A186&gt;='Control Room'!$A$14,$A186&lt;'Control Room'!$A$14+'Control Room'!$B$14,'Process'!BL3=1),1+('Control Room'!$C$14-1)*EXP(-0.5*(($A186-'Control Room'!$A$14-('Control Room'!$B$14-1)/2)/MAX(0.5,'Control Room'!$B$14/4))^2),1)*IF(AND($A186&gt;='Control Room'!$A$15,$A186&lt;'Control Room'!$A$15+'Control Room'!$B$15,'Process'!BL4=1),1+('Control Room'!$C$15-1)*EXP(-0.5*(($A186-'Control Room'!$A$15-('Control Room'!$B$15-1)/2)/MAX(0.5,'Control Room'!$B$15/4))^2),1)*IF(AND($A186&gt;='Control Room'!$A$16,$A186&lt;'Control Room'!$A$16+'Control Room'!$B$16,'Process'!BL5=1),1+('Control Room'!$C$16-1)*EXP(-0.5*(($A186-'Control Room'!$A$16-('Control Room'!$B$16-1)/2)/MAX(0.5,'Control Room'!$B$16/4))^2),1)</x:f>
        <x:v>1</x:v>
      </x:c>
      <x:c r="L186" s="9" t="n">
        <x:f>MOD(M185*16807,2147483647)</x:f>
        <x:v>1523763545</x:v>
      </x:c>
      <x:c r="M186" s="9" t="n">
        <x:f>MOD(L186*16807,2147483647)</x:f>
        <x:v>1151410340</x:v>
      </x:c>
      <x:c r="N186" s="17" t="n">
        <x:f>IF('Control Room'!$B$5="Normal",'Control Room'!$B$7+'Control Room'!$D$7*SQRT(-2*LN(MAX(0.000000000001,L186/2147483647)))*COS(2*PI()*M186/2147483647),'Control Room'!$B$8+('Control Room'!$D$8-'Control Room'!$B$8)*L186/2147483647)</x:f>
        <x:v>927.3618212718143</x:v>
      </x:c>
      <x:c r="O186" s="17" t="n">
        <x:f>IF('Control Room'!$B$5="Normal",'Control Room'!$B$7,('Control Room'!$B$8+'Control Room'!$D$8)/2)+'Control Room'!$B$9*(O185-IF('Control Room'!$B$5="Normal",'Control Room'!$B$7,('Control Room'!$B$8+'Control Room'!$D$8)/2))+SQRT(1-'Control Room'!$B$9^2)*(N186-IF('Control Room'!$B$5="Normal",'Control Room'!$B$7,('Control Room'!$B$8+'Control Room'!$D$8)/2))</x:f>
        <x:v>879.3041327456662</x:v>
      </x:c>
      <x:c r="P186" s="17" t="n">
        <x:f>IF(AND($A186&gt;='Control Room'!$A$13,$A186&lt;'Control Room'!$A$13+'Control Room'!$B$13,'Process'!BM2=1),1+('Control Room'!$C$13-1)*EXP(-0.5*(($A186-'Control Room'!$A$13-('Control Room'!$B$13-1)/2)/MAX(0.5,'Control Room'!$B$13/4))^2),1)*IF(AND($A186&gt;='Control Room'!$A$14,$A186&lt;'Control Room'!$A$14+'Control Room'!$B$14,'Process'!BM3=1),1+('Control Room'!$C$14-1)*EXP(-0.5*(($A186-'Control Room'!$A$14-('Control Room'!$B$14-1)/2)/MAX(0.5,'Control Room'!$B$14/4))^2),1)*IF(AND($A186&gt;='Control Room'!$A$15,$A186&lt;'Control Room'!$A$15+'Control Room'!$B$15,'Process'!BM4=1),1+('Control Room'!$C$15-1)*EXP(-0.5*(($A186-'Control Room'!$A$15-('Control Room'!$B$15-1)/2)/MAX(0.5,'Control Room'!$B$15/4))^2),1)*IF(AND($A186&gt;='Control Room'!$A$16,$A186&lt;'Control Room'!$A$16+'Control Room'!$B$16,'Process'!BM5=1),1+('Control Room'!$C$16-1)*EXP(-0.5*(($A186-'Control Room'!$A$16-('Control Room'!$B$16-1)/2)/MAX(0.5,'Control Room'!$B$16/4))^2),1)</x:f>
        <x:v>1</x:v>
      </x:c>
      <x:c r="Q186" s="9" t="n">
        <x:f>MOD(R185*16807,2147483647)</x:f>
        <x:v>1771988020</x:v>
      </x:c>
      <x:c r="R186" s="9" t="n">
        <x:f>MOD(Q186*16807,2147483647)</x:f>
        <x:v>499435544</x:v>
      </x:c>
      <x:c r="S186" s="17" t="n">
        <x:f>IF('Control Room'!$B$5="Normal",'Control Room'!$B$7+'Control Room'!$D$7*SQRT(-2*LN(MAX(0.000000000001,Q186/2147483647)))*COS(2*PI()*R186/2147483647),'Control Room'!$B$8+('Control Room'!$D$8-'Control Room'!$B$8)*Q186/2147483647)</x:f>
        <x:v>1006.0994626983562</x:v>
      </x:c>
      <x:c r="T186" s="17" t="n">
        <x:f>IF('Control Room'!$B$5="Normal",'Control Room'!$B$7,('Control Room'!$B$8+'Control Room'!$D$8)/2)+'Control Room'!$B$9*(T185-IF('Control Room'!$B$5="Normal",'Control Room'!$B$7,('Control Room'!$B$8+'Control Room'!$D$8)/2))+SQRT(1-'Control Room'!$B$9^2)*(S186-IF('Control Room'!$B$5="Normal",'Control Room'!$B$7,('Control Room'!$B$8+'Control Room'!$D$8)/2))</x:f>
        <x:v>944.5351421750215</x:v>
      </x:c>
      <x:c r="U186" s="17" t="n">
        <x:f>IF(AND($A186&gt;='Control Room'!$A$13,$A186&lt;'Control Room'!$A$13+'Control Room'!$B$13,'Process'!BN2=1),1+('Control Room'!$C$13-1)*EXP(-0.5*(($A186-'Control Room'!$A$13-('Control Room'!$B$13-1)/2)/MAX(0.5,'Control Room'!$B$13/4))^2),1)*IF(AND($A186&gt;='Control Room'!$A$14,$A186&lt;'Control Room'!$A$14+'Control Room'!$B$14,'Process'!BN3=1),1+('Control Room'!$C$14-1)*EXP(-0.5*(($A186-'Control Room'!$A$14-('Control Room'!$B$14-1)/2)/MAX(0.5,'Control Room'!$B$14/4))^2),1)*IF(AND($A186&gt;='Control Room'!$A$15,$A186&lt;'Control Room'!$A$15+'Control Room'!$B$15,'Process'!BN4=1),1+('Control Room'!$C$15-1)*EXP(-0.5*(($A186-'Control Room'!$A$15-('Control Room'!$B$15-1)/2)/MAX(0.5,'Control Room'!$B$15/4))^2),1)*IF(AND($A186&gt;='Control Room'!$A$16,$A186&lt;'Control Room'!$A$16+'Control Room'!$B$16,'Process'!BN5=1),1+('Control Room'!$C$16-1)*EXP(-0.5*(($A186-'Control Room'!$A$16-('Control Room'!$B$16-1)/2)/MAX(0.5,'Control Room'!$B$16/4))^2),1)</x:f>
        <x:v>1</x:v>
      </x:c>
      <x:c r="V186" s="9" t="n">
        <x:f>MOD(W185*16807,2147483647)</x:f>
        <x:v>2020212495</x:v>
      </x:c>
      <x:c r="W186" s="9" t="n">
        <x:f>MOD(V186*16807,2147483647)</x:f>
        <x:v>1994944395</x:v>
      </x:c>
      <x:c r="X186" s="17" t="n">
        <x:f>IF('Control Room'!$B$5="Normal",'Control Room'!$B$7+'Control Room'!$D$7*SQRT(-2*LN(MAX(0.000000000001,V186/2147483647)))*COS(2*PI()*W186/2147483647),'Control Room'!$B$8+('Control Room'!$D$8-'Control Room'!$B$8)*V186/2147483647)</x:f>
        <x:v>1028.3783241225906</x:v>
      </x:c>
      <x:c r="Y186" s="17" t="n">
        <x:f>IF('Control Room'!$B$5="Normal",'Control Room'!$B$7,('Control Room'!$B$8+'Control Room'!$D$8)/2)+'Control Room'!$B$9*(Y185-IF('Control Room'!$B$5="Normal",'Control Room'!$B$7,('Control Room'!$B$8+'Control Room'!$D$8)/2))+SQRT(1-'Control Room'!$B$9^2)*(X186-IF('Control Room'!$B$5="Normal",'Control Room'!$B$7,('Control Room'!$B$8+'Control Room'!$D$8)/2))</x:f>
        <x:v>979.8390329590749</x:v>
      </x:c>
      <x:c r="Z186" s="17" t="n">
        <x:f>IF(AND($A186&gt;='Control Room'!$A$13,$A186&lt;'Control Room'!$A$13+'Control Room'!$B$13,'Process'!BO2=1),1+('Control Room'!$C$13-1)*EXP(-0.5*(($A186-'Control Room'!$A$13-('Control Room'!$B$13-1)/2)/MAX(0.5,'Control Room'!$B$13/4))^2),1)*IF(AND($A186&gt;='Control Room'!$A$14,$A186&lt;'Control Room'!$A$14+'Control Room'!$B$14,'Process'!BO3=1),1+('Control Room'!$C$14-1)*EXP(-0.5*(($A186-'Control Room'!$A$14-('Control Room'!$B$14-1)/2)/MAX(0.5,'Control Room'!$B$14/4))^2),1)*IF(AND($A186&gt;='Control Room'!$A$15,$A186&lt;'Control Room'!$A$15+'Control Room'!$B$15,'Process'!BO4=1),1+('Control Room'!$C$15-1)*EXP(-0.5*(($A186-'Control Room'!$A$15-('Control Room'!$B$15-1)/2)/MAX(0.5,'Control Room'!$B$15/4))^2),1)*IF(AND($A186&gt;='Control Room'!$A$16,$A186&lt;'Control Room'!$A$16+'Control Room'!$B$16,'Process'!BO5=1),1+('Control Room'!$C$16-1)*EXP(-0.5*(($A186-'Control Room'!$A$16-('Control Room'!$B$16-1)/2)/MAX(0.5,'Control Room'!$B$16/4))^2),1)</x:f>
        <x:v>1</x:v>
      </x:c>
      <x:c r="AA186" s="9" t="n">
        <x:f>MOD(AB185*16807,2147483647)</x:f>
        <x:v>120953323</x:v>
      </x:c>
      <x:c r="AB186" s="9" t="n">
        <x:f>MOD(AA186*16807,2147483647)</x:f>
        <x:v>1342969599</x:v>
      </x:c>
      <x:c r="AC186" s="17" t="n">
        <x:f>IF('Control Room'!$B$5="Normal",'Control Room'!$B$7+'Control Room'!$D$7*SQRT(-2*LN(MAX(0.000000000001,AA186/2147483647)))*COS(2*PI()*AB186/2147483647),'Control Room'!$B$8+('Control Room'!$D$8-'Control Room'!$B$8)*AA186/2147483647)</x:f>
        <x:v>847.7081360178765</x:v>
      </x:c>
      <x:c r="AD186" s="17" t="n">
        <x:f>IF('Control Room'!$B$5="Normal",'Control Room'!$B$7,('Control Room'!$B$8+'Control Room'!$D$8)/2)+'Control Room'!$B$9*(AD185-IF('Control Room'!$B$5="Normal",'Control Room'!$B$7,('Control Room'!$B$8+'Control Room'!$D$8)/2))+SQRT(1-'Control Room'!$B$9^2)*(AC186-IF('Control Room'!$B$5="Normal",'Control Room'!$B$7,('Control Room'!$B$8+'Control Room'!$D$8)/2))</x:f>
        <x:v>1009.4874939022781</x:v>
      </x:c>
      <x:c r="AE186" s="17" t="n">
        <x:f>IF(AND($A186&gt;='Control Room'!$A$13,$A186&lt;'Control Room'!$A$13+'Control Room'!$B$13,'Process'!BP2=1),1+('Control Room'!$C$13-1)*EXP(-0.5*(($A186-'Control Room'!$A$13-('Control Room'!$B$13-1)/2)/MAX(0.5,'Control Room'!$B$13/4))^2),1)*IF(AND($A186&gt;='Control Room'!$A$14,$A186&lt;'Control Room'!$A$14+'Control Room'!$B$14,'Process'!BP3=1),1+('Control Room'!$C$14-1)*EXP(-0.5*(($A186-'Control Room'!$A$14-('Control Room'!$B$14-1)/2)/MAX(0.5,'Control Room'!$B$14/4))^2),1)*IF(AND($A186&gt;='Control Room'!$A$15,$A186&lt;'Control Room'!$A$15+'Control Room'!$B$15,'Process'!BP4=1),1+('Control Room'!$C$15-1)*EXP(-0.5*(($A186-'Control Room'!$A$15-('Control Room'!$B$15-1)/2)/MAX(0.5,'Control Room'!$B$15/4))^2),1)*IF(AND($A186&gt;='Control Room'!$A$16,$A186&lt;'Control Room'!$A$16+'Control Room'!$B$16,'Process'!BP5=1),1+('Control Room'!$C$16-1)*EXP(-0.5*(($A186-'Control Room'!$A$16-('Control Room'!$B$16-1)/2)/MAX(0.5,'Control Room'!$B$16/4))^2),1)</x:f>
        <x:v>1</x:v>
      </x:c>
      <x:c r="AF186" s="9" t="n">
        <x:f>MOD(AG185*16807,2147483647)</x:f>
        <x:v>369177798</x:v>
      </x:c>
      <x:c r="AG186" s="9" t="n">
        <x:f>MOD(AF186*16807,2147483647)</x:f>
        <x:v>690994803</x:v>
      </x:c>
      <x:c r="AH186" s="17" t="n">
        <x:f>IF('Control Room'!$B$5="Normal",'Control Room'!$B$7+'Control Room'!$D$7*SQRT(-2*LN(MAX(0.000000000001,AF186/2147483647)))*COS(2*PI()*AG186/2147483647),'Control Room'!$B$8+('Control Room'!$D$8-'Control Room'!$B$8)*AF186/2147483647)</x:f>
        <x:v>926.3946558895863</x:v>
      </x:c>
      <x:c r="AI186" s="17" t="n">
        <x:f>IF('Control Room'!$B$5="Normal",'Control Room'!$B$7,('Control Room'!$B$8+'Control Room'!$D$8)/2)+'Control Room'!$B$9*(AI185-IF('Control Room'!$B$5="Normal",'Control Room'!$B$7,('Control Room'!$B$8+'Control Room'!$D$8)/2))+SQRT(1-'Control Room'!$B$9^2)*(AH186-IF('Control Room'!$B$5="Normal",'Control Room'!$B$7,('Control Room'!$B$8+'Control Room'!$D$8)/2))</x:f>
        <x:v>989.5956248401342</x:v>
      </x:c>
      <x:c r="AJ186" s="17" t="n">
        <x:f>IF(AND($A186&gt;='Control Room'!$A$13,$A186&lt;'Control Room'!$A$13+'Control Room'!$B$13,'Process'!BQ2=1),1+('Control Room'!$C$13-1)*EXP(-0.5*(($A186-'Control Room'!$A$13-('Control Room'!$B$13-1)/2)/MAX(0.5,'Control Room'!$B$13/4))^2),1)*IF(AND($A186&gt;='Control Room'!$A$14,$A186&lt;'Control Room'!$A$14+'Control Room'!$B$14,'Process'!BQ3=1),1+('Control Room'!$C$14-1)*EXP(-0.5*(($A186-'Control Room'!$A$14-('Control Room'!$B$14-1)/2)/MAX(0.5,'Control Room'!$B$14/4))^2),1)*IF(AND($A186&gt;='Control Room'!$A$15,$A186&lt;'Control Room'!$A$15+'Control Room'!$B$15,'Process'!BQ4=1),1+('Control Room'!$C$15-1)*EXP(-0.5*(($A186-'Control Room'!$A$15-('Control Room'!$B$15-1)/2)/MAX(0.5,'Control Room'!$B$15/4))^2),1)*IF(AND($A186&gt;='Control Room'!$A$16,$A186&lt;'Control Room'!$A$16+'Control Room'!$B$16,'Process'!BQ5=1),1+('Control Room'!$C$16-1)*EXP(-0.5*(($A186-'Control Room'!$A$16-('Control Room'!$B$16-1)/2)/MAX(0.5,'Control Room'!$B$16/4))^2),1)</x:f>
        <x:v>1</x:v>
      </x:c>
      <x:c r="AK186" s="9" t="n">
        <x:f>MOD(AL185*16807,2147483647)</x:f>
        <x:v>617402273</x:v>
      </x:c>
      <x:c r="AL186" s="9" t="n">
        <x:f>MOD(AK186*16807,2147483647)</x:f>
        <x:v>39020007</x:v>
      </x:c>
      <x:c r="AM186" s="17" t="n">
        <x:f>IF('Control Room'!$B$5="Normal",'Control Room'!$B$7+'Control Room'!$D$7*SQRT(-2*LN(MAX(0.000000000001,AK186/2147483647)))*COS(2*PI()*AL186/2147483647),'Control Room'!$B$8+('Control Room'!$D$8-'Control Room'!$B$8)*AK186/2147483647)</x:f>
        <x:v>1141.1798267410022</x:v>
      </x:c>
      <x:c r="AN186" s="17" t="n">
        <x:f>IF('Control Room'!$B$5="Normal",'Control Room'!$B$7,('Control Room'!$B$8+'Control Room'!$D$8)/2)+'Control Room'!$B$9*(AN185-IF('Control Room'!$B$5="Normal",'Control Room'!$B$7,('Control Room'!$B$8+'Control Room'!$D$8)/2))+SQRT(1-'Control Room'!$B$9^2)*(AM186-IF('Control Room'!$B$5="Normal",'Control Room'!$B$7,('Control Room'!$B$8+'Control Room'!$D$8)/2))</x:f>
        <x:v>1034.804774026652</x:v>
      </x:c>
      <x:c r="AO186" s="17" t="n">
        <x:f>IF(AND($A186&gt;='Control Room'!$A$13,$A186&lt;'Control Room'!$A$13+'Control Room'!$B$13,'Process'!BR2=1),1+('Control Room'!$C$13-1)*EXP(-0.5*(($A186-'Control Room'!$A$13-('Control Room'!$B$13-1)/2)/MAX(0.5,'Control Room'!$B$13/4))^2),1)*IF(AND($A186&gt;='Control Room'!$A$14,$A186&lt;'Control Room'!$A$14+'Control Room'!$B$14,'Process'!BR3=1),1+('Control Room'!$C$14-1)*EXP(-0.5*(($A186-'Control Room'!$A$14-('Control Room'!$B$14-1)/2)/MAX(0.5,'Control Room'!$B$14/4))^2),1)*IF(AND($A186&gt;='Control Room'!$A$15,$A186&lt;'Control Room'!$A$15+'Control Room'!$B$15,'Process'!BR4=1),1+('Control Room'!$C$15-1)*EXP(-0.5*(($A186-'Control Room'!$A$15-('Control Room'!$B$15-1)/2)/MAX(0.5,'Control Room'!$B$15/4))^2),1)*IF(AND($A186&gt;='Control Room'!$A$16,$A186&lt;'Control Room'!$A$16+'Control Room'!$B$16,'Process'!BR5=1),1+('Control Room'!$C$16-1)*EXP(-0.5*(($A186-'Control Room'!$A$16-('Control Room'!$B$16-1)/2)/MAX(0.5,'Control Room'!$B$16/4))^2),1)</x:f>
        <x:v>1</x:v>
      </x:c>
      <x:c r="AP186" s="9" t="n">
        <x:f>MOD(AQ185*16807,2147483647)</x:f>
        <x:v>865626748</x:v>
      </x:c>
      <x:c r="AQ186" s="9" t="n">
        <x:f>MOD(AP186*16807,2147483647)</x:f>
        <x:v>1534528858</x:v>
      </x:c>
      <x:c r="AR186" s="17" t="n">
        <x:f>IF('Control Room'!$B$5="Normal",'Control Room'!$B$7+'Control Room'!$D$7*SQRT(-2*LN(MAX(0.000000000001,AP186/2147483647)))*COS(2*PI()*AQ186/2147483647),'Control Room'!$B$8+('Control Room'!$D$8-'Control Room'!$B$8)*AP186/2147483647)</x:f>
        <x:v>973.2149011295717</x:v>
      </x:c>
      <x:c r="AS186" s="17" t="n">
        <x:f>IF('Control Room'!$B$5="Normal",'Control Room'!$B$7,('Control Room'!$B$8+'Control Room'!$D$8)/2)+'Control Room'!$B$9*(AS185-IF('Control Room'!$B$5="Normal",'Control Room'!$B$7,('Control Room'!$B$8+'Control Room'!$D$8)/2))+SQRT(1-'Control Room'!$B$9^2)*(AR186-IF('Control Room'!$B$5="Normal",'Control Room'!$B$7,('Control Room'!$B$8+'Control Room'!$D$8)/2))</x:f>
        <x:v>938.6989415025181</x:v>
      </x:c>
      <x:c r="AT186" s="17" t="n">
        <x:f>IF(AND($A186&gt;='Control Room'!$A$13,$A186&lt;'Control Room'!$A$13+'Control Room'!$B$13,'Process'!BS2=1),1+('Control Room'!$C$13-1)*EXP(-0.5*(($A186-'Control Room'!$A$13-('Control Room'!$B$13-1)/2)/MAX(0.5,'Control Room'!$B$13/4))^2),1)*IF(AND($A186&gt;='Control Room'!$A$14,$A186&lt;'Control Room'!$A$14+'Control Room'!$B$14,'Process'!BS3=1),1+('Control Room'!$C$14-1)*EXP(-0.5*(($A186-'Control Room'!$A$14-('Control Room'!$B$14-1)/2)/MAX(0.5,'Control Room'!$B$14/4))^2),1)*IF(AND($A186&gt;='Control Room'!$A$15,$A186&lt;'Control Room'!$A$15+'Control Room'!$B$15,'Process'!BS4=1),1+('Control Room'!$C$15-1)*EXP(-0.5*(($A186-'Control Room'!$A$15-('Control Room'!$B$15-1)/2)/MAX(0.5,'Control Room'!$B$15/4))^2),1)*IF(AND($A186&gt;='Control Room'!$A$16,$A186&lt;'Control Room'!$A$16+'Control Room'!$B$16,'Process'!BS5=1),1+('Control Room'!$C$16-1)*EXP(-0.5*(($A186-'Control Room'!$A$16-('Control Room'!$B$16-1)/2)/MAX(0.5,'Control Room'!$B$16/4))^2),1)</x:f>
        <x:v>1</x:v>
      </x:c>
      <x:c r="AU186" s="9" t="n">
        <x:f>MOD(AV185*16807,2147483647)</x:f>
        <x:v>1113851223</x:v>
      </x:c>
      <x:c r="AV186" s="9" t="n">
        <x:f>MOD(AU186*16807,2147483647)</x:f>
        <x:v>882554062</x:v>
      </x:c>
      <x:c r="AW186" s="17" t="n">
        <x:f>IF('Control Room'!$B$5="Normal",'Control Room'!$B$7+'Control Room'!$D$7*SQRT(-2*LN(MAX(0.000000000001,AU186/2147483647)))*COS(2*PI()*AV186/2147483647),'Control Room'!$B$8+('Control Room'!$D$8-'Control Room'!$B$8)*AU186/2147483647)</x:f>
        <x:v>912.5926827988902</x:v>
      </x:c>
      <x:c r="AX186" s="17" t="n">
        <x:f>IF('Control Room'!$B$5="Normal",'Control Room'!$B$7,('Control Room'!$B$8+'Control Room'!$D$8)/2)+'Control Room'!$B$9*(AX185-IF('Control Room'!$B$5="Normal",'Control Room'!$B$7,('Control Room'!$B$8+'Control Room'!$D$8)/2))+SQRT(1-'Control Room'!$B$9^2)*(AW186-IF('Control Room'!$B$5="Normal",'Control Room'!$B$7,('Control Room'!$B$8+'Control Room'!$D$8)/2))</x:f>
        <x:v>959.6282093381636</x:v>
      </x:c>
      <x:c r="AY186" s="17" t="n">
        <x:f>IF(AND($A186&gt;='Control Room'!$A$13,$A186&lt;'Control Room'!$A$13+'Control Room'!$B$13,'Process'!BT2=1),1+('Control Room'!$C$13-1)*EXP(-0.5*(($A186-'Control Room'!$A$13-('Control Room'!$B$13-1)/2)/MAX(0.5,'Control Room'!$B$13/4))^2),1)*IF(AND($A186&gt;='Control Room'!$A$14,$A186&lt;'Control Room'!$A$14+'Control Room'!$B$14,'Process'!BT3=1),1+('Control Room'!$C$14-1)*EXP(-0.5*(($A186-'Control Room'!$A$14-('Control Room'!$B$14-1)/2)/MAX(0.5,'Control Room'!$B$14/4))^2),1)*IF(AND($A186&gt;='Control Room'!$A$15,$A186&lt;'Control Room'!$A$15+'Control Room'!$B$15,'Process'!BT4=1),1+('Control Room'!$C$15-1)*EXP(-0.5*(($A186-'Control Room'!$A$15-('Control Room'!$B$15-1)/2)/MAX(0.5,'Control Room'!$B$15/4))^2),1)*IF(AND($A186&gt;='Control Room'!$A$16,$A186&lt;'Control Room'!$A$16+'Control Room'!$B$16,'Process'!BT5=1),1+('Control Room'!$C$16-1)*EXP(-0.5*(($A186-'Control Room'!$A$16-('Control Room'!$B$16-1)/2)/MAX(0.5,'Control Room'!$B$16/4))^2),1)</x:f>
        <x:v>1</x:v>
      </x:c>
      <x:c r="AZ186" s="9" t="n">
        <x:f>MOD(BA185*16807,2147483647)</x:f>
        <x:v>1362075698</x:v>
      </x:c>
      <x:c r="BA186" s="9" t="n">
        <x:f>MOD(AZ186*16807,2147483647)</x:f>
        <x:v>230579266</x:v>
      </x:c>
      <x:c r="BB186" s="17" t="n">
        <x:f>IF('Control Room'!$B$5="Normal",'Control Room'!$B$7+'Control Room'!$D$7*SQRT(-2*LN(MAX(0.000000000001,AZ186/2147483647)))*COS(2*PI()*BA186/2147483647),'Control Room'!$B$8+('Control Room'!$D$8-'Control Room'!$B$8)*AZ186/2147483647)</x:f>
        <x:v>1067.0678295908883</x:v>
      </x:c>
      <x:c r="BC186" s="17" t="n">
        <x:f>IF('Control Room'!$B$5="Normal",'Control Room'!$B$7,('Control Room'!$B$8+'Control Room'!$D$8)/2)+'Control Room'!$B$9*(BC185-IF('Control Room'!$B$5="Normal",'Control Room'!$B$7,('Control Room'!$B$8+'Control Room'!$D$8)/2))+SQRT(1-'Control Room'!$B$9^2)*(BB186-IF('Control Room'!$B$5="Normal",'Control Room'!$B$7,('Control Room'!$B$8+'Control Room'!$D$8)/2))</x:f>
        <x:v>1118.3797640973487</x:v>
      </x:c>
      <x:c r="BD186" s="17" t="n">
        <x:f>IF(AND($A186&gt;='Control Room'!$A$13,$A186&lt;'Control Room'!$A$13+'Control Room'!$B$13,'Process'!BU2=1),1+('Control Room'!$C$13-1)*EXP(-0.5*(($A186-'Control Room'!$A$13-('Control Room'!$B$13-1)/2)/MAX(0.5,'Control Room'!$B$13/4))^2),1)*IF(AND($A186&gt;='Control Room'!$A$14,$A186&lt;'Control Room'!$A$14+'Control Room'!$B$14,'Process'!BU3=1),1+('Control Room'!$C$14-1)*EXP(-0.5*(($A186-'Control Room'!$A$14-('Control Room'!$B$14-1)/2)/MAX(0.5,'Control Room'!$B$14/4))^2),1)*IF(AND($A186&gt;='Control Room'!$A$15,$A186&lt;'Control Room'!$A$15+'Control Room'!$B$15,'Process'!BU4=1),1+('Control Room'!$C$15-1)*EXP(-0.5*(($A186-'Control Room'!$A$15-('Control Room'!$B$15-1)/2)/MAX(0.5,'Control Room'!$B$15/4))^2),1)*IF(AND($A186&gt;='Control Room'!$A$16,$A186&lt;'Control Room'!$A$16+'Control Room'!$B$16,'Process'!BU5=1),1+('Control Room'!$C$16-1)*EXP(-0.5*(($A186-'Control Room'!$A$16-('Control Room'!$B$16-1)/2)/MAX(0.5,'Control Room'!$B$16/4))^2),1)</x:f>
        <x:v>1</x:v>
      </x:c>
      <x:c r="BE186" s="9" t="n">
        <x:f>MOD(BF185*16807,2147483647)</x:f>
        <x:v>1610300173</x:v>
      </x:c>
      <x:c r="BF186" s="9" t="n">
        <x:f>MOD(BE186*16807,2147483647)</x:f>
        <x:v>1726088117</x:v>
      </x:c>
      <x:c r="BG186" s="17" t="n">
        <x:f>IF('Control Room'!$B$5="Normal",'Control Room'!$B$7+'Control Room'!$D$7*SQRT(-2*LN(MAX(0.000000000001,BE186/2147483647)))*COS(2*PI()*BF186/2147483647),'Control Room'!$B$8+('Control Room'!$D$8-'Control Room'!$B$8)*BE186/2147483647)</x:f>
        <x:v>1022.6363076258156</x:v>
      </x:c>
      <x:c r="BH186" s="17" t="n">
        <x:f>IF('Control Room'!$B$5="Normal",'Control Room'!$B$7,('Control Room'!$B$8+'Control Room'!$D$8)/2)+'Control Room'!$B$9*(BH185-IF('Control Room'!$B$5="Normal",'Control Room'!$B$7,('Control Room'!$B$8+'Control Room'!$D$8)/2))+SQRT(1-'Control Room'!$B$9^2)*(BG186-IF('Control Room'!$B$5="Normal",'Control Room'!$B$7,('Control Room'!$B$8+'Control Room'!$D$8)/2))</x:f>
        <x:v>1012.6556940257892</x:v>
      </x:c>
      <x:c r="BI186" s="17" t="n">
        <x:f>IF(AND($A186&gt;='Control Room'!$A$13,$A186&lt;'Control Room'!$A$13+'Control Room'!$B$13,'Process'!BV2=1),1+('Control Room'!$C$13-1)*EXP(-0.5*(($A186-'Control Room'!$A$13-('Control Room'!$B$13-1)/2)/MAX(0.5,'Control Room'!$B$13/4))^2),1)*IF(AND($A186&gt;='Control Room'!$A$14,$A186&lt;'Control Room'!$A$14+'Control Room'!$B$14,'Process'!BV3=1),1+('Control Room'!$C$14-1)*EXP(-0.5*(($A186-'Control Room'!$A$14-('Control Room'!$B$14-1)/2)/MAX(0.5,'Control Room'!$B$14/4))^2),1)*IF(AND($A186&gt;='Control Room'!$A$15,$A186&lt;'Control Room'!$A$15+'Control Room'!$B$15,'Process'!BV4=1),1+('Control Room'!$C$15-1)*EXP(-0.5*(($A186-'Control Room'!$A$15-('Control Room'!$B$15-1)/2)/MAX(0.5,'Control Room'!$B$15/4))^2),1)*IF(AND($A186&gt;='Control Room'!$A$16,$A186&lt;'Control Room'!$A$16+'Control Room'!$B$16,'Process'!BV5=1),1+('Control Room'!$C$16-1)*EXP(-0.5*(($A186-'Control Room'!$A$16-('Control Room'!$B$16-1)/2)/MAX(0.5,'Control Room'!$B$16/4))^2),1)</x:f>
        <x:v>1</x:v>
      </x:c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Z186" t="str">
        <x:f>IF('Data'!A186="","",TEXT('Data'!A186,"mm-dd"))</x:f>
      </x:c>
    </x:row>
    <x:row r="187" ht="21" customHeight="1">
      <x:c r="A187" s="15" t="n">
        <x:f>'Control Room'!$B$1+185</x:f>
        <x:v>73176</x:v>
      </x:c>
      <x:c r="B187" s="9" t="n">
        <x:f>MOD(C186*16807,2147483647)</x:f>
        <x:v>1188616372</x:v>
      </x:c>
      <x:c r="C187" s="9" t="n">
        <x:f>MOD(B187*16807,2147483647)</x:f>
        <x:v>1182479810</x:v>
      </x:c>
      <x:c r="D187" s="17" t="n">
        <x:f>IF('Control Room'!$B$5="Normal",'Control Room'!$B$7+'Control Room'!$D$7*SQRT(-2*LN(MAX(0.000000000001,B187/2147483647)))*COS(2*PI()*C187/2147483647),'Control Room'!$B$8+('Control Room'!$D$8-'Control Room'!$B$8)*B187/2147483647)</x:f>
        <x:v>907.0227229358493</x:v>
      </x:c>
      <x:c r="E187" s="17" t="n">
        <x:f>IF('Control Room'!$B$5="Normal",'Control Room'!$B$7,('Control Room'!$B$8+'Control Room'!$D$8)/2)+'Control Room'!$B$9*(E186-IF('Control Room'!$B$5="Normal",'Control Room'!$B$7,('Control Room'!$B$8+'Control Room'!$D$8)/2))+SQRT(1-'Control Room'!$B$9^2)*(D187-IF('Control Room'!$B$5="Normal",'Control Room'!$B$7,('Control Room'!$B$8+'Control Room'!$D$8)/2))</x:f>
        <x:v>1003.6330236567978</x:v>
      </x:c>
      <x:c r="F187" s="17" t="n">
        <x:f>IF(AND($A187&gt;='Control Room'!$A$13,$A187&lt;'Control Room'!$A$13+'Control Room'!$B$13,'Process'!BK2=1),1+('Control Room'!$C$13-1)*EXP(-0.5*(($A187-'Control Room'!$A$13-('Control Room'!$B$13-1)/2)/MAX(0.5,'Control Room'!$B$13/4))^2),1)*IF(AND($A187&gt;='Control Room'!$A$14,$A187&lt;'Control Room'!$A$14+'Control Room'!$B$14,'Process'!BK3=1),1+('Control Room'!$C$14-1)*EXP(-0.5*(($A187-'Control Room'!$A$14-('Control Room'!$B$14-1)/2)/MAX(0.5,'Control Room'!$B$14/4))^2),1)*IF(AND($A187&gt;='Control Room'!$A$15,$A187&lt;'Control Room'!$A$15+'Control Room'!$B$15,'Process'!BK4=1),1+('Control Room'!$C$15-1)*EXP(-0.5*(($A187-'Control Room'!$A$15-('Control Room'!$B$15-1)/2)/MAX(0.5,'Control Room'!$B$15/4))^2),1)*IF(AND($A187&gt;='Control Room'!$A$16,$A187&lt;'Control Room'!$A$16+'Control Room'!$B$16,'Process'!BK5=1),1+('Control Room'!$C$16-1)*EXP(-0.5*(($A187-'Control Room'!$A$16-('Control Room'!$B$16-1)/2)/MAX(0.5,'Control Room'!$B$16/4))^2),1)</x:f>
        <x:v>1</x:v>
      </x:c>
      <x:c r="G187" s="9" t="n">
        <x:f>MOD(H186*16807,2147483647)</x:f>
        <x:v>2057270641</x:v>
      </x:c>
      <x:c r="H187" s="9" t="n">
        <x:f>MOD(G187*16807,2147483647)</x:f>
        <x:v>2060946587</x:v>
      </x:c>
      <x:c r="I187" s="17" t="n">
        <x:f>IF('Control Room'!$B$5="Normal",'Control Room'!$B$7+'Control Room'!$D$7*SQRT(-2*LN(MAX(0.000000000001,G187/2147483647)))*COS(2*PI()*H187/2147483647),'Control Room'!$B$8+('Control Room'!$D$8-'Control Room'!$B$8)*G187/2147483647)</x:f>
        <x:v>1025.5269041998915</x:v>
      </x:c>
      <x:c r="J187" s="17" t="n">
        <x:f>IF('Control Room'!$B$5="Normal",'Control Room'!$B$7,('Control Room'!$B$8+'Control Room'!$D$8)/2)+'Control Room'!$B$9*(J186-IF('Control Room'!$B$5="Normal",'Control Room'!$B$7,('Control Room'!$B$8+'Control Room'!$D$8)/2))+SQRT(1-'Control Room'!$B$9^2)*(I187-IF('Control Room'!$B$5="Normal",'Control Room'!$B$7,('Control Room'!$B$8+'Control Room'!$D$8)/2))</x:f>
        <x:v>1098.3429366088942</x:v>
      </x:c>
      <x:c r="K187" s="17" t="n">
        <x:f>IF(AND($A187&gt;='Control Room'!$A$13,$A187&lt;'Control Room'!$A$13+'Control Room'!$B$13,'Process'!BL2=1),1+('Control Room'!$C$13-1)*EXP(-0.5*(($A187-'Control Room'!$A$13-('Control Room'!$B$13-1)/2)/MAX(0.5,'Control Room'!$B$13/4))^2),1)*IF(AND($A187&gt;='Control Room'!$A$14,$A187&lt;'Control Room'!$A$14+'Control Room'!$B$14,'Process'!BL3=1),1+('Control Room'!$C$14-1)*EXP(-0.5*(($A187-'Control Room'!$A$14-('Control Room'!$B$14-1)/2)/MAX(0.5,'Control Room'!$B$14/4))^2),1)*IF(AND($A187&gt;='Control Room'!$A$15,$A187&lt;'Control Room'!$A$15+'Control Room'!$B$15,'Process'!BL4=1),1+('Control Room'!$C$15-1)*EXP(-0.5*(($A187-'Control Room'!$A$15-('Control Room'!$B$15-1)/2)/MAX(0.5,'Control Room'!$B$15/4))^2),1)*IF(AND($A187&gt;='Control Room'!$A$16,$A187&lt;'Control Room'!$A$16+'Control Room'!$B$16,'Process'!BL5=1),1+('Control Room'!$C$16-1)*EXP(-0.5*(($A187-'Control Room'!$A$16-('Control Room'!$B$16-1)/2)/MAX(0.5,'Control Room'!$B$16/4))^2),1)</x:f>
        <x:v>1</x:v>
      </x:c>
      <x:c r="L187" s="9" t="n">
        <x:f>MOD(M186*16807,2147483647)</x:f>
        <x:v>778441263</x:v>
      </x:c>
      <x:c r="M187" s="9" t="n">
        <x:f>MOD(L187*16807,2147483647)</x:f>
        <x:v>791929717</x:v>
      </x:c>
      <x:c r="N187" s="17" t="n">
        <x:f>IF('Control Room'!$B$5="Normal",'Control Room'!$B$7+'Control Room'!$D$7*SQRT(-2*LN(MAX(0.000000000001,L187/2147483647)))*COS(2*PI()*M187/2147483647),'Control Room'!$B$8+('Control Room'!$D$8-'Control Room'!$B$8)*L187/2147483647)</x:f>
        <x:v>912.9551294458213</x:v>
      </x:c>
      <x:c r="O187" s="17" t="n">
        <x:f>IF('Control Room'!$B$5="Normal",'Control Room'!$B$7,('Control Room'!$B$8+'Control Room'!$D$8)/2)+'Control Room'!$B$9*(O186-IF('Control Room'!$B$5="Normal",'Control Room'!$B$7,('Control Room'!$B$8+'Control Room'!$D$8)/2))+SQRT(1-'Control Room'!$B$9^2)*(N187-IF('Control Room'!$B$5="Normal",'Control Room'!$B$7,('Control Room'!$B$8+'Control Room'!$D$8)/2))</x:f>
        <x:v>851.3863267599139</x:v>
      </x:c>
      <x:c r="P187" s="17" t="n">
        <x:f>IF(AND($A187&gt;='Control Room'!$A$13,$A187&lt;'Control Room'!$A$13+'Control Room'!$B$13,'Process'!BM2=1),1+('Control Room'!$C$13-1)*EXP(-0.5*(($A187-'Control Room'!$A$13-('Control Room'!$B$13-1)/2)/MAX(0.5,'Control Room'!$B$13/4))^2),1)*IF(AND($A187&gt;='Control Room'!$A$14,$A187&lt;'Control Room'!$A$14+'Control Room'!$B$14,'Process'!BM3=1),1+('Control Room'!$C$14-1)*EXP(-0.5*(($A187-'Control Room'!$A$14-('Control Room'!$B$14-1)/2)/MAX(0.5,'Control Room'!$B$14/4))^2),1)*IF(AND($A187&gt;='Control Room'!$A$15,$A187&lt;'Control Room'!$A$15+'Control Room'!$B$15,'Process'!BM4=1),1+('Control Room'!$C$15-1)*EXP(-0.5*(($A187-'Control Room'!$A$15-('Control Room'!$B$15-1)/2)/MAX(0.5,'Control Room'!$B$15/4))^2),1)*IF(AND($A187&gt;='Control Room'!$A$16,$A187&lt;'Control Room'!$A$16+'Control Room'!$B$16,'Process'!BM5=1),1+('Control Room'!$C$16-1)*EXP(-0.5*(($A187-'Control Room'!$A$16-('Control Room'!$B$16-1)/2)/MAX(0.5,'Control Room'!$B$16/4))^2),1)</x:f>
        <x:v>1</x:v>
      </x:c>
      <x:c r="Q187" s="9" t="n">
        <x:f>MOD(R186*16807,2147483647)</x:f>
        <x:v>1647095532</x:v>
      </x:c>
      <x:c r="R187" s="9" t="n">
        <x:f>MOD(Q187*16807,2147483647)</x:f>
        <x:v>1670396494</x:v>
      </x:c>
      <x:c r="S187" s="17" t="n">
        <x:f>IF('Control Room'!$B$5="Normal",'Control Room'!$B$7+'Control Room'!$D$7*SQRT(-2*LN(MAX(0.000000000001,Q187/2147483647)))*COS(2*PI()*R187/2147483647),'Control Room'!$B$8+('Control Room'!$D$8-'Control Room'!$B$8)*Q187/2147483647)</x:f>
        <x:v>1011.4085067504694</x:v>
      </x:c>
      <x:c r="T187" s="17" t="n">
        <x:f>IF('Control Room'!$B$5="Normal",'Control Room'!$B$7,('Control Room'!$B$8+'Control Room'!$D$8)/2)+'Control Room'!$B$9*(T186-IF('Control Room'!$B$5="Normal",'Control Room'!$B$7,('Control Room'!$B$8+'Control Room'!$D$8)/2))+SQRT(1-'Control Room'!$B$9^2)*(S187-IF('Control Room'!$B$5="Normal",'Control Room'!$B$7,('Control Room'!$B$8+'Control Room'!$D$8)/2))</x:f>
        <x:v>963.8766207049961</x:v>
      </x:c>
      <x:c r="U187" s="17" t="n">
        <x:f>IF(AND($A187&gt;='Control Room'!$A$13,$A187&lt;'Control Room'!$A$13+'Control Room'!$B$13,'Process'!BN2=1),1+('Control Room'!$C$13-1)*EXP(-0.5*(($A187-'Control Room'!$A$13-('Control Room'!$B$13-1)/2)/MAX(0.5,'Control Room'!$B$13/4))^2),1)*IF(AND($A187&gt;='Control Room'!$A$14,$A187&lt;'Control Room'!$A$14+'Control Room'!$B$14,'Process'!BN3=1),1+('Control Room'!$C$14-1)*EXP(-0.5*(($A187-'Control Room'!$A$14-('Control Room'!$B$14-1)/2)/MAX(0.5,'Control Room'!$B$14/4))^2),1)*IF(AND($A187&gt;='Control Room'!$A$15,$A187&lt;'Control Room'!$A$15+'Control Room'!$B$15,'Process'!BN4=1),1+('Control Room'!$C$15-1)*EXP(-0.5*(($A187-'Control Room'!$A$15-('Control Room'!$B$15-1)/2)/MAX(0.5,'Control Room'!$B$15/4))^2),1)*IF(AND($A187&gt;='Control Room'!$A$16,$A187&lt;'Control Room'!$A$16+'Control Room'!$B$16,'Process'!BN5=1),1+('Control Room'!$C$16-1)*EXP(-0.5*(($A187-'Control Room'!$A$16-('Control Room'!$B$16-1)/2)/MAX(0.5,'Control Room'!$B$16/4))^2),1)</x:f>
        <x:v>1</x:v>
      </x:c>
      <x:c r="V187" s="9" t="n">
        <x:f>MOD(W186*16807,2147483647)</x:f>
        <x:v>368266154</x:v>
      </x:c>
      <x:c r="W187" s="9" t="n">
        <x:f>MOD(V187*16807,2147483647)</x:f>
        <x:v>401379624</x:v>
      </x:c>
      <x:c r="X187" s="17" t="n">
        <x:f>IF('Control Room'!$B$5="Normal",'Control Room'!$B$7+'Control Room'!$D$7*SQRT(-2*LN(MAX(0.000000000001,V187/2147483647)))*COS(2*PI()*W187/2147483647),'Control Room'!$B$8+('Control Room'!$D$8-'Control Room'!$B$8)*V187/2147483647)</x:f>
        <x:v>1065.258944328621</x:v>
      </x:c>
      <x:c r="Y187" s="17" t="n">
        <x:f>IF('Control Room'!$B$5="Normal",'Control Room'!$B$7,('Control Room'!$B$8+'Control Room'!$D$8)/2)+'Control Room'!$B$9*(Y186-IF('Control Room'!$B$5="Normal",'Control Room'!$B$7,('Control Room'!$B$8+'Control Room'!$D$8)/2))+SQRT(1-'Control Room'!$B$9^2)*(X187-IF('Control Room'!$B$5="Normal",'Control Room'!$B$7,('Control Room'!$B$8+'Control Room'!$D$8)/2))</x:f>
        <x:v>1025.1121561667878</x:v>
      </x:c>
      <x:c r="Z187" s="17" t="n">
        <x:f>IF(AND($A187&gt;='Control Room'!$A$13,$A187&lt;'Control Room'!$A$13+'Control Room'!$B$13,'Process'!BO2=1),1+('Control Room'!$C$13-1)*EXP(-0.5*(($A187-'Control Room'!$A$13-('Control Room'!$B$13-1)/2)/MAX(0.5,'Control Room'!$B$13/4))^2),1)*IF(AND($A187&gt;='Control Room'!$A$14,$A187&lt;'Control Room'!$A$14+'Control Room'!$B$14,'Process'!BO3=1),1+('Control Room'!$C$14-1)*EXP(-0.5*(($A187-'Control Room'!$A$14-('Control Room'!$B$14-1)/2)/MAX(0.5,'Control Room'!$B$14/4))^2),1)*IF(AND($A187&gt;='Control Room'!$A$15,$A187&lt;'Control Room'!$A$15+'Control Room'!$B$15,'Process'!BO4=1),1+('Control Room'!$C$15-1)*EXP(-0.5*(($A187-'Control Room'!$A$15-('Control Room'!$B$15-1)/2)/MAX(0.5,'Control Room'!$B$15/4))^2),1)*IF(AND($A187&gt;='Control Room'!$A$16,$A187&lt;'Control Room'!$A$16+'Control Room'!$B$16,'Process'!BO5=1),1+('Control Room'!$C$16-1)*EXP(-0.5*(($A187-'Control Room'!$A$16-('Control Room'!$B$16-1)/2)/MAX(0.5,'Control Room'!$B$16/4))^2),1)</x:f>
        <x:v>1</x:v>
      </x:c>
      <x:c r="AA187" s="9" t="n">
        <x:f>MOD(AB186*16807,2147483647)</x:f>
        <x:v>1236920423</x:v>
      </x:c>
      <x:c r="AB187" s="9" t="n">
        <x:f>MOD(AA187*16807,2147483647)</x:f>
        <x:v>1279846401</x:v>
      </x:c>
      <x:c r="AC187" s="17" t="n">
        <x:f>IF('Control Room'!$B$5="Normal",'Control Room'!$B$7+'Control Room'!$D$7*SQRT(-2*LN(MAX(0.000000000001,AA187/2147483647)))*COS(2*PI()*AB187/2147483647),'Control Room'!$B$8+('Control Room'!$D$8-'Control Room'!$B$8)*AA187/2147483647)</x:f>
        <x:v>922.1379381440283</x:v>
      </x:c>
      <x:c r="AD187" s="17" t="n">
        <x:f>IF('Control Room'!$B$5="Normal",'Control Room'!$B$7,('Control Room'!$B$8+'Control Room'!$D$8)/2)+'Control Room'!$B$9*(AD186-IF('Control Room'!$B$5="Normal",'Control Room'!$B$7,('Control Room'!$B$8+'Control Room'!$D$8)/2))+SQRT(1-'Control Room'!$B$9^2)*(AC187-IF('Control Room'!$B$5="Normal",'Control Room'!$B$7,('Control Room'!$B$8+'Control Room'!$D$8)/2))</x:f>
        <x:v>958.6757620253479</x:v>
      </x:c>
      <x:c r="AE187" s="17" t="n">
        <x:f>IF(AND($A187&gt;='Control Room'!$A$13,$A187&lt;'Control Room'!$A$13+'Control Room'!$B$13,'Process'!BP2=1),1+('Control Room'!$C$13-1)*EXP(-0.5*(($A187-'Control Room'!$A$13-('Control Room'!$B$13-1)/2)/MAX(0.5,'Control Room'!$B$13/4))^2),1)*IF(AND($A187&gt;='Control Room'!$A$14,$A187&lt;'Control Room'!$A$14+'Control Room'!$B$14,'Process'!BP3=1),1+('Control Room'!$C$14-1)*EXP(-0.5*(($A187-'Control Room'!$A$14-('Control Room'!$B$14-1)/2)/MAX(0.5,'Control Room'!$B$14/4))^2),1)*IF(AND($A187&gt;='Control Room'!$A$15,$A187&lt;'Control Room'!$A$15+'Control Room'!$B$15,'Process'!BP4=1),1+('Control Room'!$C$15-1)*EXP(-0.5*(($A187-'Control Room'!$A$15-('Control Room'!$B$15-1)/2)/MAX(0.5,'Control Room'!$B$15/4))^2),1)*IF(AND($A187&gt;='Control Room'!$A$16,$A187&lt;'Control Room'!$A$16+'Control Room'!$B$16,'Process'!BP5=1),1+('Control Room'!$C$16-1)*EXP(-0.5*(($A187-'Control Room'!$A$16-('Control Room'!$B$16-1)/2)/MAX(0.5,'Control Room'!$B$16/4))^2),1)</x:f>
        <x:v>1</x:v>
      </x:c>
      <x:c r="AF187" s="9" t="n">
        <x:f>MOD(AG186*16807,2147483647)</x:f>
        <x:v>2105574692</x:v>
      </x:c>
      <x:c r="AG187" s="9" t="n">
        <x:f>MOD(AF187*16807,2147483647)</x:f>
        <x:v>10829531</x:v>
      </x:c>
      <x:c r="AH187" s="17" t="n">
        <x:f>IF('Control Room'!$B$5="Normal",'Control Room'!$B$7+'Control Room'!$D$7*SQRT(-2*LN(MAX(0.000000000001,AF187/2147483647)))*COS(2*PI()*AG187/2147483647),'Control Room'!$B$8+('Control Room'!$D$8-'Control Room'!$B$8)*AF187/2147483647)</x:f>
        <x:v>1017.8592918517725</x:v>
      </x:c>
      <x:c r="AI187" s="17" t="n">
        <x:f>IF('Control Room'!$B$5="Normal",'Control Room'!$B$7,('Control Room'!$B$8+'Control Room'!$D$8)/2)+'Control Room'!$B$9*(AI186-IF('Control Room'!$B$5="Normal",'Control Room'!$B$7,('Control Room'!$B$8+'Control Room'!$D$8)/2))+SQRT(1-'Control Room'!$B$9^2)*(AH187-IF('Control Room'!$B$5="Normal",'Control Room'!$B$7,('Control Room'!$B$8+'Control Room'!$D$8)/2))</x:f>
        <x:v>1003.0605663486637</x:v>
      </x:c>
      <x:c r="AJ187" s="17" t="n">
        <x:f>IF(AND($A187&gt;='Control Room'!$A$13,$A187&lt;'Control Room'!$A$13+'Control Room'!$B$13,'Process'!BQ2=1),1+('Control Room'!$C$13-1)*EXP(-0.5*(($A187-'Control Room'!$A$13-('Control Room'!$B$13-1)/2)/MAX(0.5,'Control Room'!$B$13/4))^2),1)*IF(AND($A187&gt;='Control Room'!$A$14,$A187&lt;'Control Room'!$A$14+'Control Room'!$B$14,'Process'!BQ3=1),1+('Control Room'!$C$14-1)*EXP(-0.5*(($A187-'Control Room'!$A$14-('Control Room'!$B$14-1)/2)/MAX(0.5,'Control Room'!$B$14/4))^2),1)*IF(AND($A187&gt;='Control Room'!$A$15,$A187&lt;'Control Room'!$A$15+'Control Room'!$B$15,'Process'!BQ4=1),1+('Control Room'!$C$15-1)*EXP(-0.5*(($A187-'Control Room'!$A$15-('Control Room'!$B$15-1)/2)/MAX(0.5,'Control Room'!$B$15/4))^2),1)*IF(AND($A187&gt;='Control Room'!$A$16,$A187&lt;'Control Room'!$A$16+'Control Room'!$B$16,'Process'!BQ5=1),1+('Control Room'!$C$16-1)*EXP(-0.5*(($A187-'Control Room'!$A$16-('Control Room'!$B$16-1)/2)/MAX(0.5,'Control Room'!$B$16/4))^2),1)</x:f>
        <x:v>1</x:v>
      </x:c>
      <x:c r="AK187" s="9" t="n">
        <x:f>MOD(AL186*16807,2147483647)</x:f>
        <x:v>826745314</x:v>
      </x:c>
      <x:c r="AL187" s="9" t="n">
        <x:f>MOD(AK187*16807,2147483647)</x:f>
        <x:v>889296308</x:v>
      </x:c>
      <x:c r="AM187" s="17" t="n">
        <x:f>IF('Control Room'!$B$5="Normal",'Control Room'!$B$7+'Control Room'!$D$7*SQRT(-2*LN(MAX(0.000000000001,AK187/2147483647)))*COS(2*PI()*AL187/2147483647),'Control Room'!$B$8+('Control Room'!$D$8-'Control Room'!$B$8)*AK187/2147483647)</x:f>
        <x:v>893.3190100485986</x:v>
      </x:c>
      <x:c r="AN187" s="17" t="n">
        <x:f>IF('Control Room'!$B$5="Normal",'Control Room'!$B$7,('Control Room'!$B$8+'Control Room'!$D$8)/2)+'Control Room'!$B$9*(AN186-IF('Control Room'!$B$5="Normal",'Control Room'!$B$7,('Control Room'!$B$8+'Control Room'!$D$8)/2))+SQRT(1-'Control Room'!$B$9^2)*(AM187-IF('Control Room'!$B$5="Normal",'Control Room'!$B$7,('Control Room'!$B$8+'Control Room'!$D$8)/2))</x:f>
        <x:v>960.388945708072</x:v>
      </x:c>
      <x:c r="AO187" s="17" t="n">
        <x:f>IF(AND($A187&gt;='Control Room'!$A$13,$A187&lt;'Control Room'!$A$13+'Control Room'!$B$13,'Process'!BR2=1),1+('Control Room'!$C$13-1)*EXP(-0.5*(($A187-'Control Room'!$A$13-('Control Room'!$B$13-1)/2)/MAX(0.5,'Control Room'!$B$13/4))^2),1)*IF(AND($A187&gt;='Control Room'!$A$14,$A187&lt;'Control Room'!$A$14+'Control Room'!$B$14,'Process'!BR3=1),1+('Control Room'!$C$14-1)*EXP(-0.5*(($A187-'Control Room'!$A$14-('Control Room'!$B$14-1)/2)/MAX(0.5,'Control Room'!$B$14/4))^2),1)*IF(AND($A187&gt;='Control Room'!$A$15,$A187&lt;'Control Room'!$A$15+'Control Room'!$B$15,'Process'!BR4=1),1+('Control Room'!$C$15-1)*EXP(-0.5*(($A187-'Control Room'!$A$15-('Control Room'!$B$15-1)/2)/MAX(0.5,'Control Room'!$B$15/4))^2),1)*IF(AND($A187&gt;='Control Room'!$A$16,$A187&lt;'Control Room'!$A$16+'Control Room'!$B$16,'Process'!BR5=1),1+('Control Room'!$C$16-1)*EXP(-0.5*(($A187-'Control Room'!$A$16-('Control Room'!$B$16-1)/2)/MAX(0.5,'Control Room'!$B$16/4))^2),1)</x:f>
        <x:v>1</x:v>
      </x:c>
      <x:c r="AP187" s="9" t="n">
        <x:f>MOD(AQ186*16807,2147483647)</x:f>
        <x:v>1695399583</x:v>
      </x:c>
      <x:c r="AQ187" s="9" t="n">
        <x:f>MOD(AP187*16807,2147483647)</x:f>
        <x:v>1767763085</x:v>
      </x:c>
      <x:c r="AR187" s="17" t="n">
        <x:f>IF('Control Room'!$B$5="Normal",'Control Room'!$B$7+'Control Room'!$D$7*SQRT(-2*LN(MAX(0.000000000001,AP187/2147483647)))*COS(2*PI()*AQ187/2147483647),'Control Room'!$B$8+('Control Room'!$D$8-'Control Room'!$B$8)*AP187/2147483647)</x:f>
        <x:v>1027.4609028064335</x:v>
      </x:c>
      <x:c r="AS187" s="17" t="n">
        <x:f>IF('Control Room'!$B$5="Normal",'Control Room'!$B$7,('Control Room'!$B$8+'Control Room'!$D$8)/2)+'Control Room'!$B$9*(AS186-IF('Control Room'!$B$5="Normal",'Control Room'!$B$7,('Control Room'!$B$8+'Control Room'!$D$8)/2))+SQRT(1-'Control Room'!$B$9^2)*(AR187-IF('Control Room'!$B$5="Normal",'Control Room'!$B$7,('Control Room'!$B$8+'Control Room'!$D$8)/2))</x:f>
        <x:v>969.3696447810579</x:v>
      </x:c>
      <x:c r="AT187" s="17" t="n">
        <x:f>IF(AND($A187&gt;='Control Room'!$A$13,$A187&lt;'Control Room'!$A$13+'Control Room'!$B$13,'Process'!BS2=1),1+('Control Room'!$C$13-1)*EXP(-0.5*(($A187-'Control Room'!$A$13-('Control Room'!$B$13-1)/2)/MAX(0.5,'Control Room'!$B$13/4))^2),1)*IF(AND($A187&gt;='Control Room'!$A$14,$A187&lt;'Control Room'!$A$14+'Control Room'!$B$14,'Process'!BS3=1),1+('Control Room'!$C$14-1)*EXP(-0.5*(($A187-'Control Room'!$A$14-('Control Room'!$B$14-1)/2)/MAX(0.5,'Control Room'!$B$14/4))^2),1)*IF(AND($A187&gt;='Control Room'!$A$15,$A187&lt;'Control Room'!$A$15+'Control Room'!$B$15,'Process'!BS4=1),1+('Control Room'!$C$15-1)*EXP(-0.5*(($A187-'Control Room'!$A$15-('Control Room'!$B$15-1)/2)/MAX(0.5,'Control Room'!$B$15/4))^2),1)*IF(AND($A187&gt;='Control Room'!$A$16,$A187&lt;'Control Room'!$A$16+'Control Room'!$B$16,'Process'!BS5=1),1+('Control Room'!$C$16-1)*EXP(-0.5*(($A187-'Control Room'!$A$16-('Control Room'!$B$16-1)/2)/MAX(0.5,'Control Room'!$B$16/4))^2),1)</x:f>
        <x:v>1</x:v>
      </x:c>
      <x:c r="AU187" s="9" t="n">
        <x:f>MOD(AV186*16807,2147483647)</x:f>
        <x:v>416570205</x:v>
      </x:c>
      <x:c r="AV187" s="9" t="n">
        <x:f>MOD(AU187*16807,2147483647)</x:f>
        <x:v>498746215</x:v>
      </x:c>
      <x:c r="AW187" s="17" t="n">
        <x:f>IF('Control Room'!$B$5="Normal",'Control Room'!$B$7+'Control Room'!$D$7*SQRT(-2*LN(MAX(0.000000000001,AU187/2147483647)))*COS(2*PI()*AV187/2147483647),'Control Room'!$B$8+('Control Room'!$D$8-'Control Room'!$B$8)*AU187/2147483647)</x:f>
        <x:v>1018.1440584604757</x:v>
      </x:c>
      <x:c r="AX187" s="17" t="n">
        <x:f>IF('Control Room'!$B$5="Normal",'Control Room'!$B$7,('Control Room'!$B$8+'Control Room'!$D$8)/2)+'Control Room'!$B$9*(AX186-IF('Control Room'!$B$5="Normal",'Control Room'!$B$7,('Control Room'!$B$8+'Control Room'!$D$8)/2))+SQRT(1-'Control Room'!$B$9^2)*(AW187-IF('Control Room'!$B$5="Normal",'Control Room'!$B$7,('Control Room'!$B$8+'Control Room'!$D$8)/2))</x:f>
        <x:v>979.864183367092</x:v>
      </x:c>
      <x:c r="AY187" s="17" t="n">
        <x:f>IF(AND($A187&gt;='Control Room'!$A$13,$A187&lt;'Control Room'!$A$13+'Control Room'!$B$13,'Process'!BT2=1),1+('Control Room'!$C$13-1)*EXP(-0.5*(($A187-'Control Room'!$A$13-('Control Room'!$B$13-1)/2)/MAX(0.5,'Control Room'!$B$13/4))^2),1)*IF(AND($A187&gt;='Control Room'!$A$14,$A187&lt;'Control Room'!$A$14+'Control Room'!$B$14,'Process'!BT3=1),1+('Control Room'!$C$14-1)*EXP(-0.5*(($A187-'Control Room'!$A$14-('Control Room'!$B$14-1)/2)/MAX(0.5,'Control Room'!$B$14/4))^2),1)*IF(AND($A187&gt;='Control Room'!$A$15,$A187&lt;'Control Room'!$A$15+'Control Room'!$B$15,'Process'!BT4=1),1+('Control Room'!$C$15-1)*EXP(-0.5*(($A187-'Control Room'!$A$15-('Control Room'!$B$15-1)/2)/MAX(0.5,'Control Room'!$B$15/4))^2),1)*IF(AND($A187&gt;='Control Room'!$A$16,$A187&lt;'Control Room'!$A$16+'Control Room'!$B$16,'Process'!BT5=1),1+('Control Room'!$C$16-1)*EXP(-0.5*(($A187-'Control Room'!$A$16-('Control Room'!$B$16-1)/2)/MAX(0.5,'Control Room'!$B$16/4))^2),1)</x:f>
        <x:v>1</x:v>
      </x:c>
      <x:c r="AZ187" s="9" t="n">
        <x:f>MOD(BA186*16807,2147483647)</x:f>
        <x:v>1285224474</x:v>
      </x:c>
      <x:c r="BA187" s="9" t="n">
        <x:f>MOD(AZ187*16807,2147483647)</x:f>
        <x:v>1377212992</x:v>
      </x:c>
      <x:c r="BB187" s="17" t="n">
        <x:f>IF('Control Room'!$B$5="Normal",'Control Room'!$B$7+'Control Room'!$D$7*SQRT(-2*LN(MAX(0.000000000001,AZ187/2147483647)))*COS(2*PI()*BA187/2147483647),'Control Room'!$B$8+('Control Room'!$D$8-'Control Room'!$B$8)*AZ187/2147483647)</x:f>
        <x:v>942.4527131251298</x:v>
      </x:c>
      <x:c r="BC187" s="17" t="n">
        <x:f>IF('Control Room'!$B$5="Normal",'Control Room'!$B$7,('Control Room'!$B$8+'Control Room'!$D$8)/2)+'Control Room'!$B$9*(BC186-IF('Control Room'!$B$5="Normal",'Control Room'!$B$7,('Control Room'!$B$8+'Control Room'!$D$8)/2))+SQRT(1-'Control Room'!$B$9^2)*(BB187-IF('Control Room'!$B$5="Normal",'Control Room'!$B$7,('Control Room'!$B$8+'Control Room'!$D$8)/2))</x:f>
        <x:v>1056.3243027898898</x:v>
      </x:c>
      <x:c r="BD187" s="17" t="n">
        <x:f>IF(AND($A187&gt;='Control Room'!$A$13,$A187&lt;'Control Room'!$A$13+'Control Room'!$B$13,'Process'!BU2=1),1+('Control Room'!$C$13-1)*EXP(-0.5*(($A187-'Control Room'!$A$13-('Control Room'!$B$13-1)/2)/MAX(0.5,'Control Room'!$B$13/4))^2),1)*IF(AND($A187&gt;='Control Room'!$A$14,$A187&lt;'Control Room'!$A$14+'Control Room'!$B$14,'Process'!BU3=1),1+('Control Room'!$C$14-1)*EXP(-0.5*(($A187-'Control Room'!$A$14-('Control Room'!$B$14-1)/2)/MAX(0.5,'Control Room'!$B$14/4))^2),1)*IF(AND($A187&gt;='Control Room'!$A$15,$A187&lt;'Control Room'!$A$15+'Control Room'!$B$15,'Process'!BU4=1),1+('Control Room'!$C$15-1)*EXP(-0.5*(($A187-'Control Room'!$A$15-('Control Room'!$B$15-1)/2)/MAX(0.5,'Control Room'!$B$15/4))^2),1)*IF(AND($A187&gt;='Control Room'!$A$16,$A187&lt;'Control Room'!$A$16+'Control Room'!$B$16,'Process'!BU5=1),1+('Control Room'!$C$16-1)*EXP(-0.5*(($A187-'Control Room'!$A$16-('Control Room'!$B$16-1)/2)/MAX(0.5,'Control Room'!$B$16/4))^2),1)</x:f>
        <x:v>1</x:v>
      </x:c>
      <x:c r="BE187" s="9" t="n">
        <x:f>MOD(BF186*16807,2147483647)</x:f>
        <x:v>6395096</x:v>
      </x:c>
      <x:c r="BF187" s="9" t="n">
        <x:f>MOD(BE187*16807,2147483647)</x:f>
        <x:v>108196122</x:v>
      </x:c>
      <x:c r="BG187" s="17" t="n">
        <x:f>IF('Control Room'!$B$5="Normal",'Control Room'!$B$7+'Control Room'!$D$7*SQRT(-2*LN(MAX(0.000000000001,BE187/2147483647)))*COS(2*PI()*BF187/2147483647),'Control Room'!$B$8+('Control Room'!$D$8-'Control Room'!$B$8)*BE187/2147483647)</x:f>
        <x:v>1291.7122901214145</x:v>
      </x:c>
      <x:c r="BH187" s="17" t="n">
        <x:f>IF('Control Room'!$B$5="Normal",'Control Room'!$B$7,('Control Room'!$B$8+'Control Room'!$D$8)/2)+'Control Room'!$B$9*(BH186-IF('Control Room'!$B$5="Normal",'Control Room'!$B$7,('Control Room'!$B$8+'Control Room'!$D$8)/2))+SQRT(1-'Control Room'!$B$9^2)*(BG187-IF('Control Room'!$B$5="Normal",'Control Room'!$B$7,('Control Room'!$B$8+'Control Room'!$D$8)/2))</x:f>
        <x:v>1192.4190164470062</x:v>
      </x:c>
      <x:c r="BI187" s="17" t="n">
        <x:f>IF(AND($A187&gt;='Control Room'!$A$13,$A187&lt;'Control Room'!$A$13+'Control Room'!$B$13,'Process'!BV2=1),1+('Control Room'!$C$13-1)*EXP(-0.5*(($A187-'Control Room'!$A$13-('Control Room'!$B$13-1)/2)/MAX(0.5,'Control Room'!$B$13/4))^2),1)*IF(AND($A187&gt;='Control Room'!$A$14,$A187&lt;'Control Room'!$A$14+'Control Room'!$B$14,'Process'!BV3=1),1+('Control Room'!$C$14-1)*EXP(-0.5*(($A187-'Control Room'!$A$14-('Control Room'!$B$14-1)/2)/MAX(0.5,'Control Room'!$B$14/4))^2),1)*IF(AND($A187&gt;='Control Room'!$A$15,$A187&lt;'Control Room'!$A$15+'Control Room'!$B$15,'Process'!BV4=1),1+('Control Room'!$C$15-1)*EXP(-0.5*(($A187-'Control Room'!$A$15-('Control Room'!$B$15-1)/2)/MAX(0.5,'Control Room'!$B$15/4))^2),1)*IF(AND($A187&gt;='Control Room'!$A$16,$A187&lt;'Control Room'!$A$16+'Control Room'!$B$16,'Process'!BV5=1),1+('Control Room'!$C$16-1)*EXP(-0.5*(($A187-'Control Room'!$A$16-('Control Room'!$B$16-1)/2)/MAX(0.5,'Control Room'!$B$16/4))^2),1)</x:f>
        <x:v>1</x:v>
      </x:c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Z187" t="str">
        <x:f>IF('Data'!A187="","",TEXT('Data'!A187,"mm-dd"))</x:f>
      </x:c>
    </x:row>
    <x:row r="188" ht="21" customHeight="1">
      <x:c r="A188" s="15" t="n">
        <x:f>'Control Room'!$B$1+186</x:f>
        <x:v>73177</x:v>
      </x:c>
      <x:c r="B188" s="9" t="n">
        <x:f>MOD(C187*16807,2147483647)</x:f>
        <x:v>1124497332</x:v>
      </x:c>
      <x:c r="C188" s="9" t="n">
        <x:f>MOD(B188*16807,2147483647)</x:f>
        <x:v>1570565324</x:v>
      </x:c>
      <x:c r="D188" s="17" t="n">
        <x:f>IF('Control Room'!$B$5="Normal",'Control Room'!$B$7+'Control Room'!$D$7*SQRT(-2*LN(MAX(0.000000000001,B188/2147483647)))*COS(2*PI()*C188/2147483647),'Control Room'!$B$8+('Control Room'!$D$8-'Control Room'!$B$8)*B188/2147483647)</x:f>
        <x:v>988.0318597039671</x:v>
      </x:c>
      <x:c r="E188" s="17" t="n">
        <x:f>IF('Control Room'!$B$5="Normal",'Control Room'!$B$7,('Control Room'!$B$8+'Control Room'!$D$8)/2)+'Control Room'!$B$9*(E187-IF('Control Room'!$B$5="Normal",'Control Room'!$B$7,('Control Room'!$B$8+'Control Room'!$D$8)/2))+SQRT(1-'Control Room'!$B$9^2)*(D188-IF('Control Room'!$B$5="Normal",'Control Room'!$B$7,('Control Room'!$B$8+'Control Room'!$D$8)/2))</x:f>
        <x:v>995.3443414357256</x:v>
      </x:c>
      <x:c r="F188" s="17" t="n">
        <x:f>IF(AND($A188&gt;='Control Room'!$A$13,$A188&lt;'Control Room'!$A$13+'Control Room'!$B$13,'Process'!BK2=1),1+('Control Room'!$C$13-1)*EXP(-0.5*(($A188-'Control Room'!$A$13-('Control Room'!$B$13-1)/2)/MAX(0.5,'Control Room'!$B$13/4))^2),1)*IF(AND($A188&gt;='Control Room'!$A$14,$A188&lt;'Control Room'!$A$14+'Control Room'!$B$14,'Process'!BK3=1),1+('Control Room'!$C$14-1)*EXP(-0.5*(($A188-'Control Room'!$A$14-('Control Room'!$B$14-1)/2)/MAX(0.5,'Control Room'!$B$14/4))^2),1)*IF(AND($A188&gt;='Control Room'!$A$15,$A188&lt;'Control Room'!$A$15+'Control Room'!$B$15,'Process'!BK4=1),1+('Control Room'!$C$15-1)*EXP(-0.5*(($A188-'Control Room'!$A$15-('Control Room'!$B$15-1)/2)/MAX(0.5,'Control Room'!$B$15/4))^2),1)*IF(AND($A188&gt;='Control Room'!$A$16,$A188&lt;'Control Room'!$A$16+'Control Room'!$B$16,'Process'!BK5=1),1+('Control Room'!$C$16-1)*EXP(-0.5*(($A188-'Control Room'!$A$16-('Control Room'!$B$16-1)/2)/MAX(0.5,'Control Room'!$B$16/4))^2),1)</x:f>
        <x:v>1</x:v>
      </x:c>
      <x:c r="G188" s="9" t="n">
        <x:f>MOD(H187*16807,2147483647)</x:f>
        <x:v>1565545246</x:v>
      </x:c>
      <x:c r="H188" s="9" t="n">
        <x:f>MOD(G188*16807,2147483647)</x:f>
        <x:v>1149306478</x:v>
      </x:c>
      <x:c r="I188" s="17" t="n">
        <x:f>IF('Control Room'!$B$5="Normal",'Control Room'!$B$7+'Control Room'!$D$7*SQRT(-2*LN(MAX(0.000000000001,G188/2147483647)))*COS(2*PI()*H188/2147483647),'Control Room'!$B$8+('Control Room'!$D$8-'Control Room'!$B$8)*G188/2147483647)</x:f>
        <x:v>930.1860623829302</x:v>
      </x:c>
      <x:c r="J188" s="17" t="n">
        <x:f>IF('Control Room'!$B$5="Normal",'Control Room'!$B$7,('Control Room'!$B$8+'Control Room'!$D$8)/2)+'Control Room'!$B$9*(J187-IF('Control Room'!$B$5="Normal",'Control Room'!$B$7,('Control Room'!$B$8+'Control Room'!$D$8)/2))+SQRT(1-'Control Room'!$B$9^2)*(I188-IF('Control Room'!$B$5="Normal",'Control Room'!$B$7,('Control Room'!$B$8+'Control Room'!$D$8)/2))</x:f>
        <x:v>1033.0193586104265</x:v>
      </x:c>
      <x:c r="K188" s="17" t="n">
        <x:f>IF(AND($A188&gt;='Control Room'!$A$13,$A188&lt;'Control Room'!$A$13+'Control Room'!$B$13,'Process'!BL2=1),1+('Control Room'!$C$13-1)*EXP(-0.5*(($A188-'Control Room'!$A$13-('Control Room'!$B$13-1)/2)/MAX(0.5,'Control Room'!$B$13/4))^2),1)*IF(AND($A188&gt;='Control Room'!$A$14,$A188&lt;'Control Room'!$A$14+'Control Room'!$B$14,'Process'!BL3=1),1+('Control Room'!$C$14-1)*EXP(-0.5*(($A188-'Control Room'!$A$14-('Control Room'!$B$14-1)/2)/MAX(0.5,'Control Room'!$B$14/4))^2),1)*IF(AND($A188&gt;='Control Room'!$A$15,$A188&lt;'Control Room'!$A$15+'Control Room'!$B$15,'Process'!BL4=1),1+('Control Room'!$C$15-1)*EXP(-0.5*(($A188-'Control Room'!$A$15-('Control Room'!$B$15-1)/2)/MAX(0.5,'Control Room'!$B$15/4))^2),1)*IF(AND($A188&gt;='Control Room'!$A$16,$A188&lt;'Control Room'!$A$16+'Control Room'!$B$16,'Process'!BL5=1),1+('Control Room'!$C$16-1)*EXP(-0.5*(($A188-'Control Room'!$A$16-('Control Room'!$B$16-1)/2)/MAX(0.5,'Control Room'!$B$16/4))^2),1)</x:f>
        <x:v>1</x:v>
      </x:c>
      <x:c r="L188" s="9" t="n">
        <x:f>MOD(M187*16807,2147483647)</x:f>
        <x:v>2006593160</x:v>
      </x:c>
      <x:c r="M188" s="9" t="n">
        <x:f>MOD(L188*16807,2147483647)</x:f>
        <x:v>728047632</x:v>
      </x:c>
      <x:c r="N188" s="17" t="n">
        <x:f>IF('Control Room'!$B$5="Normal",'Control Room'!$B$7+'Control Room'!$D$7*SQRT(-2*LN(MAX(0.000000000001,L188/2147483647)))*COS(2*PI()*M188/2147483647),'Control Room'!$B$8+('Control Room'!$D$8-'Control Room'!$B$8)*L188/2147483647)</x:f>
        <x:v>982.4063155154987</x:v>
      </x:c>
      <x:c r="O188" s="17" t="n">
        <x:f>IF('Control Room'!$B$5="Normal",'Control Room'!$B$7,('Control Room'!$B$8+'Control Room'!$D$8)/2)+'Control Room'!$B$9*(O187-IF('Control Room'!$B$5="Normal",'Control Room'!$B$7,('Control Room'!$B$8+'Control Room'!$D$8)/2))+SQRT(1-'Control Room'!$B$9^2)*(N188-IF('Control Room'!$B$5="Normal",'Control Room'!$B$7,('Control Room'!$B$8+'Control Room'!$D$8)/2))</x:f>
        <x:v>873.0715675485495</x:v>
      </x:c>
      <x:c r="P188" s="17" t="n">
        <x:f>IF(AND($A188&gt;='Control Room'!$A$13,$A188&lt;'Control Room'!$A$13+'Control Room'!$B$13,'Process'!BM2=1),1+('Control Room'!$C$13-1)*EXP(-0.5*(($A188-'Control Room'!$A$13-('Control Room'!$B$13-1)/2)/MAX(0.5,'Control Room'!$B$13/4))^2),1)*IF(AND($A188&gt;='Control Room'!$A$14,$A188&lt;'Control Room'!$A$14+'Control Room'!$B$14,'Process'!BM3=1),1+('Control Room'!$C$14-1)*EXP(-0.5*(($A188-'Control Room'!$A$14-('Control Room'!$B$14-1)/2)/MAX(0.5,'Control Room'!$B$14/4))^2),1)*IF(AND($A188&gt;='Control Room'!$A$15,$A188&lt;'Control Room'!$A$15+'Control Room'!$B$15,'Process'!BM4=1),1+('Control Room'!$C$15-1)*EXP(-0.5*(($A188-'Control Room'!$A$15-('Control Room'!$B$15-1)/2)/MAX(0.5,'Control Room'!$B$15/4))^2),1)*IF(AND($A188&gt;='Control Room'!$A$16,$A188&lt;'Control Room'!$A$16+'Control Room'!$B$16,'Process'!BM5=1),1+('Control Room'!$C$16-1)*EXP(-0.5*(($A188-'Control Room'!$A$16-('Control Room'!$B$16-1)/2)/MAX(0.5,'Control Room'!$B$16/4))^2),1)</x:f>
        <x:v>1</x:v>
      </x:c>
      <x:c r="Q188" s="9" t="n">
        <x:f>MOD(R187*16807,2147483647)</x:f>
        <x:v>300157427</x:v>
      </x:c>
      <x:c r="R188" s="9" t="n">
        <x:f>MOD(Q188*16807,2147483647)</x:f>
        <x:v>306788786</x:v>
      </x:c>
      <x:c r="S188" s="17" t="n">
        <x:f>IF('Control Room'!$B$5="Normal",'Control Room'!$B$7+'Control Room'!$D$7*SQRT(-2*LN(MAX(0.000000000001,Q188/2147483647)))*COS(2*PI()*R188/2147483647),'Control Room'!$B$8+('Control Room'!$D$8-'Control Room'!$B$8)*Q188/2147483647)</x:f>
        <x:v>1111.3172957560507</x:v>
      </x:c>
      <x:c r="T188" s="17" t="n">
        <x:f>IF('Control Room'!$B$5="Normal",'Control Room'!$B$7,('Control Room'!$B$8+'Control Room'!$D$8)/2)+'Control Room'!$B$9*(T187-IF('Control Room'!$B$5="Normal",'Control Room'!$B$7,('Control Room'!$B$8+'Control Room'!$D$8)/2))+SQRT(1-'Control Room'!$B$9^2)*(S188-IF('Control Room'!$B$5="Normal",'Control Room'!$B$7,('Control Room'!$B$8+'Control Room'!$D$8)/2))</x:f>
        <x:v>1041.483847375276</x:v>
      </x:c>
      <x:c r="U188" s="17" t="n">
        <x:f>IF(AND($A188&gt;='Control Room'!$A$13,$A188&lt;'Control Room'!$A$13+'Control Room'!$B$13,'Process'!BN2=1),1+('Control Room'!$C$13-1)*EXP(-0.5*(($A188-'Control Room'!$A$13-('Control Room'!$B$13-1)/2)/MAX(0.5,'Control Room'!$B$13/4))^2),1)*IF(AND($A188&gt;='Control Room'!$A$14,$A188&lt;'Control Room'!$A$14+'Control Room'!$B$14,'Process'!BN3=1),1+('Control Room'!$C$14-1)*EXP(-0.5*(($A188-'Control Room'!$A$14-('Control Room'!$B$14-1)/2)/MAX(0.5,'Control Room'!$B$14/4))^2),1)*IF(AND($A188&gt;='Control Room'!$A$15,$A188&lt;'Control Room'!$A$15+'Control Room'!$B$15,'Process'!BN4=1),1+('Control Room'!$C$15-1)*EXP(-0.5*(($A188-'Control Room'!$A$15-('Control Room'!$B$15-1)/2)/MAX(0.5,'Control Room'!$B$15/4))^2),1)*IF(AND($A188&gt;='Control Room'!$A$16,$A188&lt;'Control Room'!$A$16+'Control Room'!$B$16,'Process'!BN5=1),1+('Control Room'!$C$16-1)*EXP(-0.5*(($A188-'Control Room'!$A$16-('Control Room'!$B$16-1)/2)/MAX(0.5,'Control Room'!$B$16/4))^2),1)</x:f>
        <x:v>1</x:v>
      </x:c>
      <x:c r="V188" s="9" t="n">
        <x:f>MOD(W187*16807,2147483647)</x:f>
        <x:v>741205341</x:v>
      </x:c>
      <x:c r="W188" s="9" t="n">
        <x:f>MOD(V188*16807,2147483647)</x:f>
        <x:v>2033013587</x:v>
      </x:c>
      <x:c r="X188" s="17" t="n">
        <x:f>IF('Control Room'!$B$5="Normal",'Control Room'!$B$7+'Control Room'!$D$7*SQRT(-2*LN(MAX(0.000000000001,V188/2147483647)))*COS(2*PI()*W188/2147483647),'Control Room'!$B$8+('Control Room'!$D$8-'Control Room'!$B$8)*V188/2147483647)</x:f>
        <x:v>1123.980955213014</x:v>
      </x:c>
      <x:c r="Y188" s="17" t="n">
        <x:f>IF('Control Room'!$B$5="Normal",'Control Room'!$B$7,('Control Room'!$B$8+'Control Room'!$D$8)/2)+'Control Room'!$B$9*(Y187-IF('Control Room'!$B$5="Normal",'Control Room'!$B$7,('Control Room'!$B$8+'Control Room'!$D$8)/2))+SQRT(1-'Control Room'!$B$9^2)*(X188-IF('Control Room'!$B$5="Normal",'Control Room'!$B$7,('Control Room'!$B$8+'Control Room'!$D$8)/2))</x:f>
        <x:v>1097.1722236944759</x:v>
      </x:c>
      <x:c r="Z188" s="17" t="n">
        <x:f>IF(AND($A188&gt;='Control Room'!$A$13,$A188&lt;'Control Room'!$A$13+'Control Room'!$B$13,'Process'!BO2=1),1+('Control Room'!$C$13-1)*EXP(-0.5*(($A188-'Control Room'!$A$13-('Control Room'!$B$13-1)/2)/MAX(0.5,'Control Room'!$B$13/4))^2),1)*IF(AND($A188&gt;='Control Room'!$A$14,$A188&lt;'Control Room'!$A$14+'Control Room'!$B$14,'Process'!BO3=1),1+('Control Room'!$C$14-1)*EXP(-0.5*(($A188-'Control Room'!$A$14-('Control Room'!$B$14-1)/2)/MAX(0.5,'Control Room'!$B$14/4))^2),1)*IF(AND($A188&gt;='Control Room'!$A$15,$A188&lt;'Control Room'!$A$15+'Control Room'!$B$15,'Process'!BO4=1),1+('Control Room'!$C$15-1)*EXP(-0.5*(($A188-'Control Room'!$A$15-('Control Room'!$B$15-1)/2)/MAX(0.5,'Control Room'!$B$15/4))^2),1)*IF(AND($A188&gt;='Control Room'!$A$16,$A188&lt;'Control Room'!$A$16+'Control Room'!$B$16,'Process'!BO5=1),1+('Control Room'!$C$16-1)*EXP(-0.5*(($A188-'Control Room'!$A$16-('Control Room'!$B$16-1)/2)/MAX(0.5,'Control Room'!$B$16/4))^2),1)</x:f>
        <x:v>1</x:v>
      </x:c>
      <x:c r="AA188" s="9" t="n">
        <x:f>MOD(AB187*16807,2147483647)</x:f>
        <x:v>1182253255</x:v>
      </x:c>
      <x:c r="AB188" s="9" t="n">
        <x:f>MOD(AA188*16807,2147483647)</x:f>
        <x:v>1611754741</x:v>
      </x:c>
      <x:c r="AC188" s="17" t="n">
        <x:f>IF('Control Room'!$B$5="Normal",'Control Room'!$B$7+'Control Room'!$D$7*SQRT(-2*LN(MAX(0.000000000001,AA188/2147483647)))*COS(2*PI()*AB188/2147483647),'Control Room'!$B$8+('Control Room'!$D$8-'Control Room'!$B$8)*AA188/2147483647)</x:f>
        <x:v>1000.328561402128</x:v>
      </x:c>
      <x:c r="AD188" s="17" t="n">
        <x:f>IF('Control Room'!$B$5="Normal",'Control Room'!$B$7,('Control Room'!$B$8+'Control Room'!$D$8)/2)+'Control Room'!$B$9*(AD187-IF('Control Room'!$B$5="Normal",'Control Room'!$B$7,('Control Room'!$B$8+'Control Room'!$D$8)/2))+SQRT(1-'Control Room'!$B$9^2)*(AC188-IF('Control Room'!$B$5="Normal",'Control Room'!$B$7,('Control Room'!$B$8+'Control Room'!$D$8)/2))</x:f>
        <x:v>967.9727013742769</x:v>
      </x:c>
      <x:c r="AE188" s="17" t="n">
        <x:f>IF(AND($A188&gt;='Control Room'!$A$13,$A188&lt;'Control Room'!$A$13+'Control Room'!$B$13,'Process'!BP2=1),1+('Control Room'!$C$13-1)*EXP(-0.5*(($A188-'Control Room'!$A$13-('Control Room'!$B$13-1)/2)/MAX(0.5,'Control Room'!$B$13/4))^2),1)*IF(AND($A188&gt;='Control Room'!$A$14,$A188&lt;'Control Room'!$A$14+'Control Room'!$B$14,'Process'!BP3=1),1+('Control Room'!$C$14-1)*EXP(-0.5*(($A188-'Control Room'!$A$14-('Control Room'!$B$14-1)/2)/MAX(0.5,'Control Room'!$B$14/4))^2),1)*IF(AND($A188&gt;='Control Room'!$A$15,$A188&lt;'Control Room'!$A$15+'Control Room'!$B$15,'Process'!BP4=1),1+('Control Room'!$C$15-1)*EXP(-0.5*(($A188-'Control Room'!$A$15-('Control Room'!$B$15-1)/2)/MAX(0.5,'Control Room'!$B$15/4))^2),1)*IF(AND($A188&gt;='Control Room'!$A$16,$A188&lt;'Control Room'!$A$16+'Control Room'!$B$16,'Process'!BP5=1),1+('Control Room'!$C$16-1)*EXP(-0.5*(($A188-'Control Room'!$A$16-('Control Room'!$B$16-1)/2)/MAX(0.5,'Control Room'!$B$16/4))^2),1)</x:f>
        <x:v>1</x:v>
      </x:c>
      <x:c r="AF188" s="9" t="n">
        <x:f>MOD(AG187*16807,2147483647)</x:f>
        <x:v>1623301169</x:v>
      </x:c>
      <x:c r="AG188" s="9" t="n">
        <x:f>MOD(AF188*16807,2147483647)</x:f>
        <x:v>1190495895</x:v>
      </x:c>
      <x:c r="AH188" s="17" t="n">
        <x:f>IF('Control Room'!$B$5="Normal",'Control Room'!$B$7+'Control Room'!$D$7*SQRT(-2*LN(MAX(0.000000000001,AF188/2147483647)))*COS(2*PI()*AG188/2147483647),'Control Room'!$B$8+('Control Room'!$D$8-'Control Room'!$B$8)*AF188/2147483647)</x:f>
        <x:v>936.5604313193771</x:v>
      </x:c>
      <x:c r="AI188" s="17" t="n">
        <x:f>IF('Control Room'!$B$5="Normal",'Control Room'!$B$7,('Control Room'!$B$8+'Control Room'!$D$8)/2)+'Control Room'!$B$9*(AI187-IF('Control Room'!$B$5="Normal",'Control Room'!$B$7,('Control Room'!$B$8+'Control Room'!$D$8)/2))+SQRT(1-'Control Room'!$B$9^2)*(AH188-IF('Control Room'!$B$5="Normal",'Control Room'!$B$7,('Control Room'!$B$8+'Control Room'!$D$8)/2))</x:f>
        <x:v>962.6880593018294</x:v>
      </x:c>
      <x:c r="AJ188" s="17" t="n">
        <x:f>IF(AND($A188&gt;='Control Room'!$A$13,$A188&lt;'Control Room'!$A$13+'Control Room'!$B$13,'Process'!BQ2=1),1+('Control Room'!$C$13-1)*EXP(-0.5*(($A188-'Control Room'!$A$13-('Control Room'!$B$13-1)/2)/MAX(0.5,'Control Room'!$B$13/4))^2),1)*IF(AND($A188&gt;='Control Room'!$A$14,$A188&lt;'Control Room'!$A$14+'Control Room'!$B$14,'Process'!BQ3=1),1+('Control Room'!$C$14-1)*EXP(-0.5*(($A188-'Control Room'!$A$14-('Control Room'!$B$14-1)/2)/MAX(0.5,'Control Room'!$B$14/4))^2),1)*IF(AND($A188&gt;='Control Room'!$A$15,$A188&lt;'Control Room'!$A$15+'Control Room'!$B$15,'Process'!BQ4=1),1+('Control Room'!$C$15-1)*EXP(-0.5*(($A188-'Control Room'!$A$15-('Control Room'!$B$15-1)/2)/MAX(0.5,'Control Room'!$B$15/4))^2),1)*IF(AND($A188&gt;='Control Room'!$A$16,$A188&lt;'Control Room'!$A$16+'Control Room'!$B$16,'Process'!BQ5=1),1+('Control Room'!$C$16-1)*EXP(-0.5*(($A188-'Control Room'!$A$16-('Control Room'!$B$16-1)/2)/MAX(0.5,'Control Room'!$B$16/4))^2),1)</x:f>
        <x:v>1</x:v>
      </x:c>
      <x:c r="AK188" s="9" t="n">
        <x:f>MOD(AL187*16807,2147483647)</x:f>
        <x:v>2064349083</x:v>
      </x:c>
      <x:c r="AL188" s="9" t="n">
        <x:f>MOD(AK188*16807,2147483647)</x:f>
        <x:v>769237049</x:v>
      </x:c>
      <x:c r="AM188" s="17" t="n">
        <x:f>IF('Control Room'!$B$5="Normal",'Control Room'!$B$7+'Control Room'!$D$7*SQRT(-2*LN(MAX(0.000000000001,AK188/2147483647)))*COS(2*PI()*AL188/2147483647),'Control Room'!$B$8+('Control Room'!$D$8-'Control Room'!$B$8)*AK188/2147483647)</x:f>
        <x:v>984.1002132509311</x:v>
      </x:c>
      <x:c r="AN188" s="17" t="n">
        <x:f>IF('Control Room'!$B$5="Normal",'Control Room'!$B$7,('Control Room'!$B$8+'Control Room'!$D$8)/2)+'Control Room'!$B$9*(AN187-IF('Control Room'!$B$5="Normal",'Control Room'!$B$7,('Control Room'!$B$8+'Control Room'!$D$8)/2))+SQRT(1-'Control Room'!$B$9^2)*(AM188-IF('Control Room'!$B$5="Normal",'Control Room'!$B$7,('Control Room'!$B$8+'Control Room'!$D$8)/2))</x:f>
        <x:v>959.1536168295652</x:v>
      </x:c>
      <x:c r="AO188" s="17" t="n">
        <x:f>IF(AND($A188&gt;='Control Room'!$A$13,$A188&lt;'Control Room'!$A$13+'Control Room'!$B$13,'Process'!BR2=1),1+('Control Room'!$C$13-1)*EXP(-0.5*(($A188-'Control Room'!$A$13-('Control Room'!$B$13-1)/2)/MAX(0.5,'Control Room'!$B$13/4))^2),1)*IF(AND($A188&gt;='Control Room'!$A$14,$A188&lt;'Control Room'!$A$14+'Control Room'!$B$14,'Process'!BR3=1),1+('Control Room'!$C$14-1)*EXP(-0.5*(($A188-'Control Room'!$A$14-('Control Room'!$B$14-1)/2)/MAX(0.5,'Control Room'!$B$14/4))^2),1)*IF(AND($A188&gt;='Control Room'!$A$15,$A188&lt;'Control Room'!$A$15+'Control Room'!$B$15,'Process'!BR4=1),1+('Control Room'!$C$15-1)*EXP(-0.5*(($A188-'Control Room'!$A$15-('Control Room'!$B$15-1)/2)/MAX(0.5,'Control Room'!$B$15/4))^2),1)*IF(AND($A188&gt;='Control Room'!$A$16,$A188&lt;'Control Room'!$A$16+'Control Room'!$B$16,'Process'!BR5=1),1+('Control Room'!$C$16-1)*EXP(-0.5*(($A188-'Control Room'!$A$16-('Control Room'!$B$16-1)/2)/MAX(0.5,'Control Room'!$B$16/4))^2),1)</x:f>
        <x:v>1</x:v>
      </x:c>
      <x:c r="AP188" s="9" t="n">
        <x:f>MOD(AQ187*16807,2147483647)</x:f>
        <x:v>357913350</x:v>
      </x:c>
      <x:c r="AQ188" s="9" t="n">
        <x:f>MOD(AP188*16807,2147483647)</x:f>
        <x:v>347978203</x:v>
      </x:c>
      <x:c r="AR188" s="17" t="n">
        <x:f>IF('Control Room'!$B$5="Normal",'Control Room'!$B$7+'Control Room'!$D$7*SQRT(-2*LN(MAX(0.000000000001,AP188/2147483647)))*COS(2*PI()*AQ188/2147483647),'Control Room'!$B$8+('Control Room'!$D$8-'Control Room'!$B$8)*AP188/2147483647)</x:f>
        <x:v>1089.4384944529384</x:v>
      </x:c>
      <x:c r="AS188" s="17" t="n">
        <x:f>IF('Control Room'!$B$5="Normal",'Control Room'!$B$7,('Control Room'!$B$8+'Control Room'!$D$8)/2)+'Control Room'!$B$9*(AS187-IF('Control Room'!$B$5="Normal",'Control Room'!$B$7,('Control Room'!$B$8+'Control Room'!$D$8)/2))+SQRT(1-'Control Room'!$B$9^2)*(AR188-IF('Control Room'!$B$5="Normal",'Control Room'!$B$7,('Control Room'!$B$8+'Control Room'!$D$8)/2))</x:f>
        <x:v>1032.0771005107238</x:v>
      </x:c>
      <x:c r="AT188" s="17" t="n">
        <x:f>IF(AND($A188&gt;='Control Room'!$A$13,$A188&lt;'Control Room'!$A$13+'Control Room'!$B$13,'Process'!BS2=1),1+('Control Room'!$C$13-1)*EXP(-0.5*(($A188-'Control Room'!$A$13-('Control Room'!$B$13-1)/2)/MAX(0.5,'Control Room'!$B$13/4))^2),1)*IF(AND($A188&gt;='Control Room'!$A$14,$A188&lt;'Control Room'!$A$14+'Control Room'!$B$14,'Process'!BS3=1),1+('Control Room'!$C$14-1)*EXP(-0.5*(($A188-'Control Room'!$A$14-('Control Room'!$B$14-1)/2)/MAX(0.5,'Control Room'!$B$14/4))^2),1)*IF(AND($A188&gt;='Control Room'!$A$15,$A188&lt;'Control Room'!$A$15+'Control Room'!$B$15,'Process'!BS4=1),1+('Control Room'!$C$15-1)*EXP(-0.5*(($A188-'Control Room'!$A$15-('Control Room'!$B$15-1)/2)/MAX(0.5,'Control Room'!$B$15/4))^2),1)*IF(AND($A188&gt;='Control Room'!$A$16,$A188&lt;'Control Room'!$A$16+'Control Room'!$B$16,'Process'!BS5=1),1+('Control Room'!$C$16-1)*EXP(-0.5*(($A188-'Control Room'!$A$16-('Control Room'!$B$16-1)/2)/MAX(0.5,'Control Room'!$B$16/4))^2),1)</x:f>
        <x:v>1</x:v>
      </x:c>
      <x:c r="AU188" s="9" t="n">
        <x:f>MOD(AV187*16807,2147483647)</x:f>
        <x:v>798961264</x:v>
      </x:c>
      <x:c r="AV188" s="9" t="n">
        <x:f>MOD(AU188*16807,2147483647)</x:f>
        <x:v>2074203004</x:v>
      </x:c>
      <x:c r="AW188" s="17" t="n">
        <x:f>IF('Control Room'!$B$5="Normal",'Control Room'!$B$7+'Control Room'!$D$7*SQRT(-2*LN(MAX(0.000000000001,AU188/2147483647)))*COS(2*PI()*AV188/2147483647),'Control Room'!$B$8+('Control Room'!$D$8-'Control Room'!$B$8)*AU188/2147483647)</x:f>
        <x:v>1123.6626877120307</x:v>
      </x:c>
      <x:c r="AX188" s="17" t="n">
        <x:f>IF('Control Room'!$B$5="Normal",'Control Room'!$B$7,('Control Room'!$B$8+'Control Room'!$D$8)/2)+'Control Room'!$B$9*(AX187-IF('Control Room'!$B$5="Normal",'Control Room'!$B$7,('Control Room'!$B$8+'Control Room'!$D$8)/2))+SQRT(1-'Control Room'!$B$9^2)*(AW188-IF('Control Room'!$B$5="Normal",'Control Room'!$B$7,('Control Room'!$B$8+'Control Room'!$D$8)/2))</x:f>
        <x:v>1061.679639628662</x:v>
      </x:c>
      <x:c r="AY188" s="17" t="n">
        <x:f>IF(AND($A188&gt;='Control Room'!$A$13,$A188&lt;'Control Room'!$A$13+'Control Room'!$B$13,'Process'!BT2=1),1+('Control Room'!$C$13-1)*EXP(-0.5*(($A188-'Control Room'!$A$13-('Control Room'!$B$13-1)/2)/MAX(0.5,'Control Room'!$B$13/4))^2),1)*IF(AND($A188&gt;='Control Room'!$A$14,$A188&lt;'Control Room'!$A$14+'Control Room'!$B$14,'Process'!BT3=1),1+('Control Room'!$C$14-1)*EXP(-0.5*(($A188-'Control Room'!$A$14-('Control Room'!$B$14-1)/2)/MAX(0.5,'Control Room'!$B$14/4))^2),1)*IF(AND($A188&gt;='Control Room'!$A$15,$A188&lt;'Control Room'!$A$15+'Control Room'!$B$15,'Process'!BT4=1),1+('Control Room'!$C$15-1)*EXP(-0.5*(($A188-'Control Room'!$A$15-('Control Room'!$B$15-1)/2)/MAX(0.5,'Control Room'!$B$15/4))^2),1)*IF(AND($A188&gt;='Control Room'!$A$16,$A188&lt;'Control Room'!$A$16+'Control Room'!$B$16,'Process'!BT5=1),1+('Control Room'!$C$16-1)*EXP(-0.5*(($A188-'Control Room'!$A$16-('Control Room'!$B$16-1)/2)/MAX(0.5,'Control Room'!$B$16/4))^2),1)</x:f>
        <x:v>1</x:v>
      </x:c>
      <x:c r="AZ188" s="9" t="n">
        <x:f>MOD(BA187*16807,2147483647)</x:f>
        <x:v>1240009178</x:v>
      </x:c>
      <x:c r="BA188" s="9" t="n">
        <x:f>MOD(AZ188*16807,2147483647)</x:f>
        <x:v>1652944158</x:v>
      </x:c>
      <x:c r="BB188" s="17" t="n">
        <x:f>IF('Control Room'!$B$5="Normal",'Control Room'!$B$7+'Control Room'!$D$7*SQRT(-2*LN(MAX(0.000000000001,AZ188/2147483647)))*COS(2*PI()*BA188/2147483647),'Control Room'!$B$8+('Control Room'!$D$8-'Control Room'!$B$8)*AZ188/2147483647)</x:f>
        <x:v>1011.6524169739744</x:v>
      </x:c>
      <x:c r="BC188" s="17" t="n">
        <x:f>IF('Control Room'!$B$5="Normal",'Control Room'!$B$7,('Control Room'!$B$8+'Control Room'!$D$8)/2)+'Control Room'!$B$9*(BC187-IF('Control Room'!$B$5="Normal",'Control Room'!$B$7,('Control Room'!$B$8+'Control Room'!$D$8)/2))+SQRT(1-'Control Room'!$B$9^2)*(BB188-IF('Control Room'!$B$5="Normal",'Control Room'!$B$7,('Control Room'!$B$8+'Control Room'!$D$8)/2))</x:f>
        <x:v>1051.2248000056902</x:v>
      </x:c>
      <x:c r="BD188" s="17" t="n">
        <x:f>IF(AND($A188&gt;='Control Room'!$A$13,$A188&lt;'Control Room'!$A$13+'Control Room'!$B$13,'Process'!BU2=1),1+('Control Room'!$C$13-1)*EXP(-0.5*(($A188-'Control Room'!$A$13-('Control Room'!$B$13-1)/2)/MAX(0.5,'Control Room'!$B$13/4))^2),1)*IF(AND($A188&gt;='Control Room'!$A$14,$A188&lt;'Control Room'!$A$14+'Control Room'!$B$14,'Process'!BU3=1),1+('Control Room'!$C$14-1)*EXP(-0.5*(($A188-'Control Room'!$A$14-('Control Room'!$B$14-1)/2)/MAX(0.5,'Control Room'!$B$14/4))^2),1)*IF(AND($A188&gt;='Control Room'!$A$15,$A188&lt;'Control Room'!$A$15+'Control Room'!$B$15,'Process'!BU4=1),1+('Control Room'!$C$15-1)*EXP(-0.5*(($A188-'Control Room'!$A$15-('Control Room'!$B$15-1)/2)/MAX(0.5,'Control Room'!$B$15/4))^2),1)*IF(AND($A188&gt;='Control Room'!$A$16,$A188&lt;'Control Room'!$A$16+'Control Room'!$B$16,'Process'!BU5=1),1+('Control Room'!$C$16-1)*EXP(-0.5*(($A188-'Control Room'!$A$16-('Control Room'!$B$16-1)/2)/MAX(0.5,'Control Room'!$B$16/4))^2),1)</x:f>
        <x:v>1</x:v>
      </x:c>
      <x:c r="BE188" s="9" t="n">
        <x:f>MOD(BF187*16807,2147483647)</x:f>
        <x:v>1681057092</x:v>
      </x:c>
      <x:c r="BF188" s="9" t="n">
        <x:f>MOD(BE188*16807,2147483647)</x:f>
        <x:v>1231685312</x:v>
      </x:c>
      <x:c r="BG188" s="17" t="n">
        <x:f>IF('Control Room'!$B$5="Normal",'Control Room'!$B$7+'Control Room'!$D$7*SQRT(-2*LN(MAX(0.000000000001,BE188/2147483647)))*COS(2*PI()*BF188/2147483647),'Control Room'!$B$8+('Control Room'!$D$8-'Control Room'!$B$8)*BE188/2147483647)</x:f>
        <x:v>943.6225316724119</x:v>
      </x:c>
      <x:c r="BH188" s="17" t="n">
        <x:f>IF('Control Room'!$B$5="Normal",'Control Room'!$B$7,('Control Room'!$B$8+'Control Room'!$D$8)/2)+'Control Room'!$B$9*(BH187-IF('Control Room'!$B$5="Normal",'Control Room'!$B$7,('Control Room'!$B$8+'Control Room'!$D$8)/2))+SQRT(1-'Control Room'!$B$9^2)*(BG188-IF('Control Room'!$B$5="Normal",'Control Room'!$B$7,('Control Room'!$B$8+'Control Room'!$D$8)/2))</x:f>
        <x:v>1114.8069681044765</x:v>
      </x:c>
      <x:c r="BI188" s="17" t="n">
        <x:f>IF(AND($A188&gt;='Control Room'!$A$13,$A188&lt;'Control Room'!$A$13+'Control Room'!$B$13,'Process'!BV2=1),1+('Control Room'!$C$13-1)*EXP(-0.5*(($A188-'Control Room'!$A$13-('Control Room'!$B$13-1)/2)/MAX(0.5,'Control Room'!$B$13/4))^2),1)*IF(AND($A188&gt;='Control Room'!$A$14,$A188&lt;'Control Room'!$A$14+'Control Room'!$B$14,'Process'!BV3=1),1+('Control Room'!$C$14-1)*EXP(-0.5*(($A188-'Control Room'!$A$14-('Control Room'!$B$14-1)/2)/MAX(0.5,'Control Room'!$B$14/4))^2),1)*IF(AND($A188&gt;='Control Room'!$A$15,$A188&lt;'Control Room'!$A$15+'Control Room'!$B$15,'Process'!BV4=1),1+('Control Room'!$C$15-1)*EXP(-0.5*(($A188-'Control Room'!$A$15-('Control Room'!$B$15-1)/2)/MAX(0.5,'Control Room'!$B$15/4))^2),1)*IF(AND($A188&gt;='Control Room'!$A$16,$A188&lt;'Control Room'!$A$16+'Control Room'!$B$16,'Process'!BV5=1),1+('Control Room'!$C$16-1)*EXP(-0.5*(($A188-'Control Room'!$A$16-('Control Room'!$B$16-1)/2)/MAX(0.5,'Control Room'!$B$16/4))^2),1)</x:f>
        <x:v>1</x:v>
      </x:c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Z188" t="str">
        <x:f>IF('Data'!A188="","",TEXT('Data'!A188,"mm-dd"))</x:f>
      </x:c>
    </x:row>
    <x:row r="189" ht="21" customHeight="1">
      <x:c r="A189" s="15" t="n">
        <x:f>'Control Room'!$B$1+187</x:f>
        <x:v>73178</x:v>
      </x:c>
      <x:c r="B189" s="9" t="n">
        <x:f>MOD(C188*16807,2147483647)</x:f>
        <x:v>1769895191</x:v>
      </x:c>
      <x:c r="C189" s="9" t="n">
        <x:f>MOD(B189*16807,2147483647)</x:f>
        <x:v>1832480540</x:v>
      </x:c>
      <x:c r="D189" s="17" t="n">
        <x:f>IF('Control Room'!$B$5="Normal",'Control Room'!$B$7+'Control Room'!$D$7*SQRT(-2*LN(MAX(0.000000000001,B189/2147483647)))*COS(2*PI()*C189/2147483647),'Control Room'!$B$8+('Control Room'!$D$8-'Control Room'!$B$8)*B189/2147483647)</x:f>
        <x:v>1033.8346553352949</x:v>
      </x:c>
      <x:c r="E189" s="17" t="n">
        <x:f>IF('Control Room'!$B$5="Normal",'Control Room'!$B$7,('Control Room'!$B$8+'Control Room'!$D$8)/2)+'Control Room'!$B$9*(E188-IF('Control Room'!$B$5="Normal",'Control Room'!$B$7,('Control Room'!$B$8+'Control Room'!$D$8)/2))+SQRT(1-'Control Room'!$B$9^2)*(D189-IF('Control Room'!$B$5="Normal",'Control Room'!$B$7,('Control Room'!$B$8+'Control Room'!$D$8)/2))</x:f>
        <x:v>1017.5416204881034</x:v>
      </x:c>
      <x:c r="F189" s="17" t="n">
        <x:f>IF(AND($A189&gt;='Control Room'!$A$13,$A189&lt;'Control Room'!$A$13+'Control Room'!$B$13,'Process'!BK2=1),1+('Control Room'!$C$13-1)*EXP(-0.5*(($A189-'Control Room'!$A$13-('Control Room'!$B$13-1)/2)/MAX(0.5,'Control Room'!$B$13/4))^2),1)*IF(AND($A189&gt;='Control Room'!$A$14,$A189&lt;'Control Room'!$A$14+'Control Room'!$B$14,'Process'!BK3=1),1+('Control Room'!$C$14-1)*EXP(-0.5*(($A189-'Control Room'!$A$14-('Control Room'!$B$14-1)/2)/MAX(0.5,'Control Room'!$B$14/4))^2),1)*IF(AND($A189&gt;='Control Room'!$A$15,$A189&lt;'Control Room'!$A$15+'Control Room'!$B$15,'Process'!BK4=1),1+('Control Room'!$C$15-1)*EXP(-0.5*(($A189-'Control Room'!$A$15-('Control Room'!$B$15-1)/2)/MAX(0.5,'Control Room'!$B$15/4))^2),1)*IF(AND($A189&gt;='Control Room'!$A$16,$A189&lt;'Control Room'!$A$16+'Control Room'!$B$16,'Process'!BK5=1),1+('Control Room'!$C$16-1)*EXP(-0.5*(($A189-'Control Room'!$A$16-('Control Room'!$B$16-1)/2)/MAX(0.5,'Control Room'!$B$16/4))^2),1)</x:f>
        <x:v>1</x:v>
      </x:c>
      <x:c r="G189" s="9" t="n">
        <x:f>MOD(H188*16807,2147483647)</x:f>
        <x:v>1926054628</x:v>
      </x:c>
      <x:c r="H189" s="9" t="n">
        <x:f>MOD(G189*16807,2147483647)</x:f>
        <x:v>31637918</x:v>
      </x:c>
      <x:c r="I189" s="17" t="n">
        <x:f>IF('Control Room'!$B$5="Normal",'Control Room'!$B$7+'Control Room'!$D$7*SQRT(-2*LN(MAX(0.000000000001,G189/2147483647)))*COS(2*PI()*H189/2147483647),'Control Room'!$B$8+('Control Room'!$D$8-'Control Room'!$B$8)*G189/2147483647)</x:f>
        <x:v>1041.8075467868675</x:v>
      </x:c>
      <x:c r="J189" s="17" t="n">
        <x:f>IF('Control Room'!$B$5="Normal",'Control Room'!$B$7,('Control Room'!$B$8+'Control Room'!$D$8)/2)+'Control Room'!$B$9*(J188-IF('Control Room'!$B$5="Normal",'Control Room'!$B$7,('Control Room'!$B$8+'Control Room'!$D$8)/2))+SQRT(1-'Control Room'!$B$9^2)*(I189-IF('Control Room'!$B$5="Normal",'Control Room'!$B$7,('Control Room'!$B$8+'Control Room'!$D$8)/2))</x:f>
        <x:v>1051.917406021205</x:v>
      </x:c>
      <x:c r="K189" s="17" t="n">
        <x:f>IF(AND($A189&gt;='Control Room'!$A$13,$A189&lt;'Control Room'!$A$13+'Control Room'!$B$13,'Process'!BL2=1),1+('Control Room'!$C$13-1)*EXP(-0.5*(($A189-'Control Room'!$A$13-('Control Room'!$B$13-1)/2)/MAX(0.5,'Control Room'!$B$13/4))^2),1)*IF(AND($A189&gt;='Control Room'!$A$14,$A189&lt;'Control Room'!$A$14+'Control Room'!$B$14,'Process'!BL3=1),1+('Control Room'!$C$14-1)*EXP(-0.5*(($A189-'Control Room'!$A$14-('Control Room'!$B$14-1)/2)/MAX(0.5,'Control Room'!$B$14/4))^2),1)*IF(AND($A189&gt;='Control Room'!$A$15,$A189&lt;'Control Room'!$A$15+'Control Room'!$B$15,'Process'!BL4=1),1+('Control Room'!$C$15-1)*EXP(-0.5*(($A189-'Control Room'!$A$15-('Control Room'!$B$15-1)/2)/MAX(0.5,'Control Room'!$B$15/4))^2),1)*IF(AND($A189&gt;='Control Room'!$A$16,$A189&lt;'Control Room'!$A$16+'Control Room'!$B$16,'Process'!BL5=1),1+('Control Room'!$C$16-1)*EXP(-0.5*(($A189-'Control Room'!$A$16-('Control Room'!$B$16-1)/2)/MAX(0.5,'Control Room'!$B$16/4))^2),1)</x:f>
        <x:v>1</x:v>
      </x:c>
      <x:c r="L189" s="9" t="n">
        <x:f>MOD(M188*16807,2147483647)</x:f>
        <x:v>2082214065</x:v>
      </x:c>
      <x:c r="M189" s="9" t="n">
        <x:f>MOD(L189*16807,2147483647)</x:f>
        <x:v>378278943</x:v>
      </x:c>
      <x:c r="N189" s="17" t="n">
        <x:f>IF('Control Room'!$B$5="Normal",'Control Room'!$B$7+'Control Room'!$D$7*SQRT(-2*LN(MAX(0.000000000001,L189/2147483647)))*COS(2*PI()*M189/2147483647),'Control Room'!$B$8+('Control Room'!$D$8-'Control Room'!$B$8)*L189/2147483647)</x:f>
        <x:v>1010.007456018627</x:v>
      </x:c>
      <x:c r="O189" s="17" t="n">
        <x:f>IF('Control Room'!$B$5="Normal",'Control Room'!$B$7,('Control Room'!$B$8+'Control Room'!$D$8)/2)+'Control Room'!$B$9*(O188-IF('Control Room'!$B$5="Normal",'Control Room'!$B$7,('Control Room'!$B$8+'Control Room'!$D$8)/2))+SQRT(1-'Control Room'!$B$9^2)*(N189-IF('Control Room'!$B$5="Normal",'Control Room'!$B$7,('Control Room'!$B$8+'Control Room'!$D$8)/2))</x:f>
        <x:v>907.2582836504454</x:v>
      </x:c>
      <x:c r="P189" s="17" t="n">
        <x:f>IF(AND($A189&gt;='Control Room'!$A$13,$A189&lt;'Control Room'!$A$13+'Control Room'!$B$13,'Process'!BM2=1),1+('Control Room'!$C$13-1)*EXP(-0.5*(($A189-'Control Room'!$A$13-('Control Room'!$B$13-1)/2)/MAX(0.5,'Control Room'!$B$13/4))^2),1)*IF(AND($A189&gt;='Control Room'!$A$14,$A189&lt;'Control Room'!$A$14+'Control Room'!$B$14,'Process'!BM3=1),1+('Control Room'!$C$14-1)*EXP(-0.5*(($A189-'Control Room'!$A$14-('Control Room'!$B$14-1)/2)/MAX(0.5,'Control Room'!$B$14/4))^2),1)*IF(AND($A189&gt;='Control Room'!$A$15,$A189&lt;'Control Room'!$A$15+'Control Room'!$B$15,'Process'!BM4=1),1+('Control Room'!$C$15-1)*EXP(-0.5*(($A189-'Control Room'!$A$15-('Control Room'!$B$15-1)/2)/MAX(0.5,'Control Room'!$B$15/4))^2),1)*IF(AND($A189&gt;='Control Room'!$A$16,$A189&lt;'Control Room'!$A$16+'Control Room'!$B$16,'Process'!BM5=1),1+('Control Room'!$C$16-1)*EXP(-0.5*(($A189-'Control Room'!$A$16-('Control Room'!$B$16-1)/2)/MAX(0.5,'Control Room'!$B$16/4))^2),1)</x:f>
        <x:v>1</x:v>
      </x:c>
      <x:c r="Q189" s="9" t="n">
        <x:f>MOD(R188*16807,2147483647)</x:f>
        <x:v>90889855</x:v>
      </x:c>
      <x:c r="R189" s="9" t="n">
        <x:f>MOD(Q189*16807,2147483647)</x:f>
        <x:v>724919968</x:v>
      </x:c>
      <x:c r="S189" s="17" t="n">
        <x:f>IF('Control Room'!$B$5="Normal",'Control Room'!$B$7+'Control Room'!$D$7*SQRT(-2*LN(MAX(0.000000000001,Q189/2147483647)))*COS(2*PI()*R189/2147483647),'Control Room'!$B$8+('Control Room'!$D$8-'Control Room'!$B$8)*Q189/2147483647)</x:f>
        <x:v>881.6549215094012</x:v>
      </x:c>
      <x:c r="T189" s="17" t="n">
        <x:f>IF('Control Room'!$B$5="Normal",'Control Room'!$B$7,('Control Room'!$B$8+'Control Room'!$D$8)/2)+'Control Room'!$B$9*(T188-IF('Control Room'!$B$5="Normal",'Control Room'!$B$7,('Control Room'!$B$8+'Control Room'!$D$8)/2))+SQRT(1-'Control Room'!$B$9^2)*(S189-IF('Control Room'!$B$5="Normal",'Control Room'!$B$7,('Control Room'!$B$8+'Control Room'!$D$8)/2))</x:f>
        <x:v>958.2994752640109</x:v>
      </x:c>
      <x:c r="U189" s="17" t="n">
        <x:f>IF(AND($A189&gt;='Control Room'!$A$13,$A189&lt;'Control Room'!$A$13+'Control Room'!$B$13,'Process'!BN2=1),1+('Control Room'!$C$13-1)*EXP(-0.5*(($A189-'Control Room'!$A$13-('Control Room'!$B$13-1)/2)/MAX(0.5,'Control Room'!$B$13/4))^2),1)*IF(AND($A189&gt;='Control Room'!$A$14,$A189&lt;'Control Room'!$A$14+'Control Room'!$B$14,'Process'!BN3=1),1+('Control Room'!$C$14-1)*EXP(-0.5*(($A189-'Control Room'!$A$14-('Control Room'!$B$14-1)/2)/MAX(0.5,'Control Room'!$B$14/4))^2),1)*IF(AND($A189&gt;='Control Room'!$A$15,$A189&lt;'Control Room'!$A$15+'Control Room'!$B$15,'Process'!BN4=1),1+('Control Room'!$C$15-1)*EXP(-0.5*(($A189-'Control Room'!$A$15-('Control Room'!$B$15-1)/2)/MAX(0.5,'Control Room'!$B$15/4))^2),1)*IF(AND($A189&gt;='Control Room'!$A$16,$A189&lt;'Control Room'!$A$16+'Control Room'!$B$16,'Process'!BN5=1),1+('Control Room'!$C$16-1)*EXP(-0.5*(($A189-'Control Room'!$A$16-('Control Room'!$B$16-1)/2)/MAX(0.5,'Control Room'!$B$16/4))^2),1)</x:f>
        <x:v>1</x:v>
      </x:c>
      <x:c r="V189" s="9" t="n">
        <x:f>MOD(W188*16807,2147483647)</x:f>
        <x:v>247049292</x:v>
      </x:c>
      <x:c r="W189" s="9" t="n">
        <x:f>MOD(V189*16807,2147483647)</x:f>
        <x:v>1071560993</x:v>
      </x:c>
      <x:c r="X189" s="17" t="n">
        <x:f>IF('Control Room'!$B$5="Normal",'Control Room'!$B$7+'Control Room'!$D$7*SQRT(-2*LN(MAX(0.000000000001,V189/2147483647)))*COS(2*PI()*W189/2147483647),'Control Room'!$B$8+('Control Room'!$D$8-'Control Room'!$B$8)*V189/2147483647)</x:f>
        <x:v>812.8356521321215</x:v>
      </x:c>
      <x:c r="Y189" s="17" t="n">
        <x:f>IF('Control Room'!$B$5="Normal",'Control Room'!$B$7,('Control Room'!$B$8+'Control Room'!$D$8)/2)+'Control Room'!$B$9*(Y188-IF('Control Room'!$B$5="Normal",'Control Room'!$B$7,('Control Room'!$B$8+'Control Room'!$D$8)/2))+SQRT(1-'Control Room'!$B$9^2)*(X189-IF('Control Room'!$B$5="Normal",'Control Room'!$B$7,('Control Room'!$B$8+'Control Room'!$D$8)/2))</x:f>
        <x:v>958.6707198560501</x:v>
      </x:c>
      <x:c r="Z189" s="17" t="n">
        <x:f>IF(AND($A189&gt;='Control Room'!$A$13,$A189&lt;'Control Room'!$A$13+'Control Room'!$B$13,'Process'!BO2=1),1+('Control Room'!$C$13-1)*EXP(-0.5*(($A189-'Control Room'!$A$13-('Control Room'!$B$13-1)/2)/MAX(0.5,'Control Room'!$B$13/4))^2),1)*IF(AND($A189&gt;='Control Room'!$A$14,$A189&lt;'Control Room'!$A$14+'Control Room'!$B$14,'Process'!BO3=1),1+('Control Room'!$C$14-1)*EXP(-0.5*(($A189-'Control Room'!$A$14-('Control Room'!$B$14-1)/2)/MAX(0.5,'Control Room'!$B$14/4))^2),1)*IF(AND($A189&gt;='Control Room'!$A$15,$A189&lt;'Control Room'!$A$15+'Control Room'!$B$15,'Process'!BO4=1),1+('Control Room'!$C$15-1)*EXP(-0.5*(($A189-'Control Room'!$A$15-('Control Room'!$B$15-1)/2)/MAX(0.5,'Control Room'!$B$15/4))^2),1)*IF(AND($A189&gt;='Control Room'!$A$16,$A189&lt;'Control Room'!$A$16+'Control Room'!$B$16,'Process'!BO5=1),1+('Control Room'!$C$16-1)*EXP(-0.5*(($A189-'Control Room'!$A$16-('Control Room'!$B$16-1)/2)/MAX(0.5,'Control Room'!$B$16/4))^2),1)</x:f>
        <x:v>1</x:v>
      </x:c>
      <x:c r="AA189" s="9" t="n">
        <x:f>MOD(AB188*16807,2147483647)</x:f>
        <x:v>403208729</x:v>
      </x:c>
      <x:c r="AB189" s="9" t="n">
        <x:f>MOD(AA189*16807,2147483647)</x:f>
        <x:v>1418202018</x:v>
      </x:c>
      <x:c r="AC189" s="17" t="n">
        <x:f>IF('Control Room'!$B$5="Normal",'Control Room'!$B$7+'Control Room'!$D$7*SQRT(-2*LN(MAX(0.000000000001,AA189/2147483647)))*COS(2*PI()*AB189/2147483647),'Control Room'!$B$8+('Control Room'!$D$8-'Control Room'!$B$8)*AA189/2147483647)</x:f>
        <x:v>912.1492907610661</x:v>
      </x:c>
      <x:c r="AD189" s="17" t="n">
        <x:f>IF('Control Room'!$B$5="Normal",'Control Room'!$B$7,('Control Room'!$B$8+'Control Room'!$D$8)/2)+'Control Room'!$B$9*(AD188-IF('Control Room'!$B$5="Normal",'Control Room'!$B$7,('Control Room'!$B$8+'Control Room'!$D$8)/2))+SQRT(1-'Control Room'!$B$9^2)*(AC189-IF('Control Room'!$B$5="Normal",'Control Room'!$B$7,('Control Room'!$B$8+'Control Room'!$D$8)/2))</x:f>
        <x:v>920.0435329498134</x:v>
      </x:c>
      <x:c r="AE189" s="17" t="n">
        <x:f>IF(AND($A189&gt;='Control Room'!$A$13,$A189&lt;'Control Room'!$A$13+'Control Room'!$B$13,'Process'!BP2=1),1+('Control Room'!$C$13-1)*EXP(-0.5*(($A189-'Control Room'!$A$13-('Control Room'!$B$13-1)/2)/MAX(0.5,'Control Room'!$B$13/4))^2),1)*IF(AND($A189&gt;='Control Room'!$A$14,$A189&lt;'Control Room'!$A$14+'Control Room'!$B$14,'Process'!BP3=1),1+('Control Room'!$C$14-1)*EXP(-0.5*(($A189-'Control Room'!$A$14-('Control Room'!$B$14-1)/2)/MAX(0.5,'Control Room'!$B$14/4))^2),1)*IF(AND($A189&gt;='Control Room'!$A$15,$A189&lt;'Control Room'!$A$15+'Control Room'!$B$15,'Process'!BP4=1),1+('Control Room'!$C$15-1)*EXP(-0.5*(($A189-'Control Room'!$A$15-('Control Room'!$B$15-1)/2)/MAX(0.5,'Control Room'!$B$15/4))^2),1)*IF(AND($A189&gt;='Control Room'!$A$16,$A189&lt;'Control Room'!$A$16+'Control Room'!$B$16,'Process'!BP5=1),1+('Control Room'!$C$16-1)*EXP(-0.5*(($A189-'Control Room'!$A$16-('Control Room'!$B$16-1)/2)/MAX(0.5,'Control Room'!$B$16/4))^2),1)</x:f>
        <x:v>1</x:v>
      </x:c>
      <x:c r="AF189" s="9" t="n">
        <x:f>MOD(AG188*16807,2147483647)</x:f>
        <x:v>559368166</x:v>
      </x:c>
      <x:c r="AG189" s="9" t="n">
        <x:f>MOD(AF189*16807,2147483647)</x:f>
        <x:v>1764843043</x:v>
      </x:c>
      <x:c r="AH189" s="17" t="n">
        <x:f>IF('Control Room'!$B$5="Normal",'Control Room'!$B$7+'Control Room'!$D$7*SQRT(-2*LN(MAX(0.000000000001,AF189/2147483647)))*COS(2*PI()*AG189/2147483647),'Control Room'!$B$8+('Control Room'!$D$8-'Control Room'!$B$8)*AF189/2147483647)</x:f>
        <x:v>1064.377970885354</x:v>
      </x:c>
      <x:c r="AI189" s="17" t="n">
        <x:f>IF('Control Room'!$B$5="Normal",'Control Room'!$B$7,('Control Room'!$B$8+'Control Room'!$D$8)/2)+'Control Room'!$B$9*(AI188-IF('Control Room'!$B$5="Normal",'Control Room'!$B$7,('Control Room'!$B$8+'Control Room'!$D$8)/2))+SQRT(1-'Control Room'!$B$9^2)*(AH189-IF('Control Room'!$B$5="Normal",'Control Room'!$B$7,('Control Room'!$B$8+'Control Room'!$D$8)/2))</x:f>
        <x:v>1011.1831015810618</x:v>
      </x:c>
      <x:c r="AJ189" s="17" t="n">
        <x:f>IF(AND($A189&gt;='Control Room'!$A$13,$A189&lt;'Control Room'!$A$13+'Control Room'!$B$13,'Process'!BQ2=1),1+('Control Room'!$C$13-1)*EXP(-0.5*(($A189-'Control Room'!$A$13-('Control Room'!$B$13-1)/2)/MAX(0.5,'Control Room'!$B$13/4))^2),1)*IF(AND($A189&gt;='Control Room'!$A$14,$A189&lt;'Control Room'!$A$14+'Control Room'!$B$14,'Process'!BQ3=1),1+('Control Room'!$C$14-1)*EXP(-0.5*(($A189-'Control Room'!$A$14-('Control Room'!$B$14-1)/2)/MAX(0.5,'Control Room'!$B$14/4))^2),1)*IF(AND($A189&gt;='Control Room'!$A$15,$A189&lt;'Control Room'!$A$15+'Control Room'!$B$15,'Process'!BQ4=1),1+('Control Room'!$C$15-1)*EXP(-0.5*(($A189-'Control Room'!$A$15-('Control Room'!$B$15-1)/2)/MAX(0.5,'Control Room'!$B$15/4))^2),1)*IF(AND($A189&gt;='Control Room'!$A$16,$A189&lt;'Control Room'!$A$16+'Control Room'!$B$16,'Process'!BQ5=1),1+('Control Room'!$C$16-1)*EXP(-0.5*(($A189-'Control Room'!$A$16-('Control Room'!$B$16-1)/2)/MAX(0.5,'Control Room'!$B$16/4))^2),1)</x:f>
        <x:v>1</x:v>
      </x:c>
      <x:c r="AK189" s="9" t="n">
        <x:f>MOD(AL188*16807,2147483647)</x:f>
        <x:v>715527603</x:v>
      </x:c>
      <x:c r="AL189" s="9" t="n">
        <x:f>MOD(AK189*16807,2147483647)</x:f>
        <x:v>2111484068</x:v>
      </x:c>
      <x:c r="AM189" s="17" t="n">
        <x:f>IF('Control Room'!$B$5="Normal",'Control Room'!$B$7+'Control Room'!$D$7*SQRT(-2*LN(MAX(0.000000000001,AK189/2147483647)))*COS(2*PI()*AL189/2147483647),'Control Room'!$B$8+('Control Room'!$D$8-'Control Room'!$B$8)*AK189/2147483647)</x:f>
        <x:v>1132.6933359884924</x:v>
      </x:c>
      <x:c r="AN189" s="17" t="n">
        <x:f>IF('Control Room'!$B$5="Normal",'Control Room'!$B$7,('Control Room'!$B$8+'Control Room'!$D$8)/2)+'Control Room'!$B$9*(AN188-IF('Control Room'!$B$5="Normal",'Control Room'!$B$7,('Control Room'!$B$8+'Control Room'!$D$8)/2))+SQRT(1-'Control Room'!$B$9^2)*(AM189-IF('Control Room'!$B$5="Normal",'Control Room'!$B$7,('Control Room'!$B$8+'Control Room'!$D$8)/2))</x:f>
        <x:v>1051.1765924179151</x:v>
      </x:c>
      <x:c r="AO189" s="17" t="n">
        <x:f>IF(AND($A189&gt;='Control Room'!$A$13,$A189&lt;'Control Room'!$A$13+'Control Room'!$B$13,'Process'!BR2=1),1+('Control Room'!$C$13-1)*EXP(-0.5*(($A189-'Control Room'!$A$13-('Control Room'!$B$13-1)/2)/MAX(0.5,'Control Room'!$B$13/4))^2),1)*IF(AND($A189&gt;='Control Room'!$A$14,$A189&lt;'Control Room'!$A$14+'Control Room'!$B$14,'Process'!BR3=1),1+('Control Room'!$C$14-1)*EXP(-0.5*(($A189-'Control Room'!$A$14-('Control Room'!$B$14-1)/2)/MAX(0.5,'Control Room'!$B$14/4))^2),1)*IF(AND($A189&gt;='Control Room'!$A$15,$A189&lt;'Control Room'!$A$15+'Control Room'!$B$15,'Process'!BR4=1),1+('Control Room'!$C$15-1)*EXP(-0.5*(($A189-'Control Room'!$A$15-('Control Room'!$B$15-1)/2)/MAX(0.5,'Control Room'!$B$15/4))^2),1)*IF(AND($A189&gt;='Control Room'!$A$16,$A189&lt;'Control Room'!$A$16+'Control Room'!$B$16,'Process'!BR5=1),1+('Control Room'!$C$16-1)*EXP(-0.5*(($A189-'Control Room'!$A$16-('Control Room'!$B$16-1)/2)/MAX(0.5,'Control Room'!$B$16/4))^2),1)</x:f>
        <x:v>1</x:v>
      </x:c>
      <x:c r="AP189" s="9" t="n">
        <x:f>MOD(AQ188*16807,2147483647)</x:f>
        <x:v>871687040</x:v>
      </x:c>
      <x:c r="AQ189" s="9" t="n">
        <x:f>MOD(AP189*16807,2147483647)</x:f>
        <x:v>310641446</x:v>
      </x:c>
      <x:c r="AR189" s="17" t="n">
        <x:f>IF('Control Room'!$B$5="Normal",'Control Room'!$B$7+'Control Room'!$D$7*SQRT(-2*LN(MAX(0.000000000001,AP189/2147483647)))*COS(2*PI()*AQ189/2147483647),'Control Room'!$B$8+('Control Room'!$D$8-'Control Room'!$B$8)*AP189/2147483647)</x:f>
        <x:v>1074.2813525436832</x:v>
      </x:c>
      <x:c r="AS189" s="17" t="n">
        <x:f>IF('Control Room'!$B$5="Normal",'Control Room'!$B$7,('Control Room'!$B$8+'Control Room'!$D$8)/2)+'Control Room'!$B$9*(AS188-IF('Control Room'!$B$5="Normal",'Control Room'!$B$7,('Control Room'!$B$8+'Control Room'!$D$8)/2))+SQRT(1-'Control Room'!$B$9^2)*(AR189-IF('Control Room'!$B$5="Normal",'Control Room'!$B$7,('Control Room'!$B$8+'Control Room'!$D$8)/2))</x:f>
        <x:v>1071.5038870839808</x:v>
      </x:c>
      <x:c r="AT189" s="17" t="n">
        <x:f>IF(AND($A189&gt;='Control Room'!$A$13,$A189&lt;'Control Room'!$A$13+'Control Room'!$B$13,'Process'!BS2=1),1+('Control Room'!$C$13-1)*EXP(-0.5*(($A189-'Control Room'!$A$13-('Control Room'!$B$13-1)/2)/MAX(0.5,'Control Room'!$B$13/4))^2),1)*IF(AND($A189&gt;='Control Room'!$A$14,$A189&lt;'Control Room'!$A$14+'Control Room'!$B$14,'Process'!BS3=1),1+('Control Room'!$C$14-1)*EXP(-0.5*(($A189-'Control Room'!$A$14-('Control Room'!$B$14-1)/2)/MAX(0.5,'Control Room'!$B$14/4))^2),1)*IF(AND($A189&gt;='Control Room'!$A$15,$A189&lt;'Control Room'!$A$15+'Control Room'!$B$15,'Process'!BS4=1),1+('Control Room'!$C$15-1)*EXP(-0.5*(($A189-'Control Room'!$A$15-('Control Room'!$B$15-1)/2)/MAX(0.5,'Control Room'!$B$15/4))^2),1)*IF(AND($A189&gt;='Control Room'!$A$16,$A189&lt;'Control Room'!$A$16+'Control Room'!$B$16,'Process'!BS5=1),1+('Control Room'!$C$16-1)*EXP(-0.5*(($A189-'Control Room'!$A$16-('Control Room'!$B$16-1)/2)/MAX(0.5,'Control Room'!$B$16/4))^2),1)</x:f>
        <x:v>1</x:v>
      </x:c>
      <x:c r="AU189" s="9" t="n">
        <x:f>MOD(AV188*16807,2147483647)</x:f>
        <x:v>1027846477</x:v>
      </x:c>
      <x:c r="AV189" s="9" t="n">
        <x:f>MOD(AU189*16807,2147483647)</x:f>
        <x:v>657282471</x:v>
      </x:c>
      <x:c r="AW189" s="17" t="n">
        <x:f>IF('Control Room'!$B$5="Normal",'Control Room'!$B$7+'Control Room'!$D$7*SQRT(-2*LN(MAX(0.000000000001,AU189/2147483647)))*COS(2*PI()*AV189/2147483647),'Control Room'!$B$8+('Control Room'!$D$8-'Control Room'!$B$8)*AU189/2147483647)</x:f>
        <x:v>962.300276879132</x:v>
      </x:c>
      <x:c r="AX189" s="17" t="n">
        <x:f>IF('Control Room'!$B$5="Normal",'Control Room'!$B$7,('Control Room'!$B$8+'Control Room'!$D$8)/2)+'Control Room'!$B$9*(AX188-IF('Control Room'!$B$5="Normal",'Control Room'!$B$7,('Control Room'!$B$8+'Control Room'!$D$8)/2))+SQRT(1-'Control Room'!$B$9^2)*(AW189-IF('Control Room'!$B$5="Normal",'Control Room'!$B$7,('Control Room'!$B$8+'Control Room'!$D$8)/2))</x:f>
        <x:v>1024.5184045021247</x:v>
      </x:c>
      <x:c r="AY189" s="17" t="n">
        <x:f>IF(AND($A189&gt;='Control Room'!$A$13,$A189&lt;'Control Room'!$A$13+'Control Room'!$B$13,'Process'!BT2=1),1+('Control Room'!$C$13-1)*EXP(-0.5*(($A189-'Control Room'!$A$13-('Control Room'!$B$13-1)/2)/MAX(0.5,'Control Room'!$B$13/4))^2),1)*IF(AND($A189&gt;='Control Room'!$A$14,$A189&lt;'Control Room'!$A$14+'Control Room'!$B$14,'Process'!BT3=1),1+('Control Room'!$C$14-1)*EXP(-0.5*(($A189-'Control Room'!$A$14-('Control Room'!$B$14-1)/2)/MAX(0.5,'Control Room'!$B$14/4))^2),1)*IF(AND($A189&gt;='Control Room'!$A$15,$A189&lt;'Control Room'!$A$15+'Control Room'!$B$15,'Process'!BT4=1),1+('Control Room'!$C$15-1)*EXP(-0.5*(($A189-'Control Room'!$A$15-('Control Room'!$B$15-1)/2)/MAX(0.5,'Control Room'!$B$15/4))^2),1)*IF(AND($A189&gt;='Control Room'!$A$16,$A189&lt;'Control Room'!$A$16+'Control Room'!$B$16,'Process'!BT5=1),1+('Control Room'!$C$16-1)*EXP(-0.5*(($A189-'Control Room'!$A$16-('Control Room'!$B$16-1)/2)/MAX(0.5,'Control Room'!$B$16/4))^2),1)</x:f>
        <x:v>1</x:v>
      </x:c>
      <x:c r="AZ189" s="9" t="n">
        <x:f>MOD(BA188*16807,2147483647)</x:f>
        <x:v>1184005914</x:v>
      </x:c>
      <x:c r="BA189" s="9" t="n">
        <x:f>MOD(AZ189*16807,2147483647)</x:f>
        <x:v>1003923496</x:v>
      </x:c>
      <x:c r="BB189" s="17" t="n">
        <x:f>IF('Control Room'!$B$5="Normal",'Control Room'!$B$7+'Control Room'!$D$7*SQRT(-2*LN(MAX(0.000000000001,AZ189/2147483647)))*COS(2*PI()*BA189/2147483647),'Control Room'!$B$8+('Control Room'!$D$8-'Control Room'!$B$8)*AZ189/2147483647)</x:f>
        <x:v>903.8311625700453</x:v>
      </x:c>
      <x:c r="BC189" s="17" t="n">
        <x:f>IF('Control Room'!$B$5="Normal",'Control Room'!$B$7,('Control Room'!$B$8+'Control Room'!$D$8)/2)+'Control Room'!$B$9*(BC188-IF('Control Room'!$B$5="Normal",'Control Room'!$B$7,('Control Room'!$B$8+'Control Room'!$D$8)/2))+SQRT(1-'Control Room'!$B$9^2)*(BB189-IF('Control Room'!$B$5="Normal",'Control Room'!$B$7,('Control Room'!$B$8+'Control Room'!$D$8)/2))</x:f>
        <x:v>979.7748556664933</x:v>
      </x:c>
      <x:c r="BD189" s="17" t="n">
        <x:f>IF(AND($A189&gt;='Control Room'!$A$13,$A189&lt;'Control Room'!$A$13+'Control Room'!$B$13,'Process'!BU2=1),1+('Control Room'!$C$13-1)*EXP(-0.5*(($A189-'Control Room'!$A$13-('Control Room'!$B$13-1)/2)/MAX(0.5,'Control Room'!$B$13/4))^2),1)*IF(AND($A189&gt;='Control Room'!$A$14,$A189&lt;'Control Room'!$A$14+'Control Room'!$B$14,'Process'!BU3=1),1+('Control Room'!$C$14-1)*EXP(-0.5*(($A189-'Control Room'!$A$14-('Control Room'!$B$14-1)/2)/MAX(0.5,'Control Room'!$B$14/4))^2),1)*IF(AND($A189&gt;='Control Room'!$A$15,$A189&lt;'Control Room'!$A$15+'Control Room'!$B$15,'Process'!BU4=1),1+('Control Room'!$C$15-1)*EXP(-0.5*(($A189-'Control Room'!$A$15-('Control Room'!$B$15-1)/2)/MAX(0.5,'Control Room'!$B$15/4))^2),1)*IF(AND($A189&gt;='Control Room'!$A$16,$A189&lt;'Control Room'!$A$16+'Control Room'!$B$16,'Process'!BU5=1),1+('Control Room'!$C$16-1)*EXP(-0.5*(($A189-'Control Room'!$A$16-('Control Room'!$B$16-1)/2)/MAX(0.5,'Control Room'!$B$16/4))^2),1)</x:f>
        <x:v>1</x:v>
      </x:c>
      <x:c r="BE189" s="9" t="n">
        <x:f>MOD(BF188*16807,2147483647)</x:f>
        <x:v>1340165351</x:v>
      </x:c>
      <x:c r="BF189" s="9" t="n">
        <x:f>MOD(BE189*16807,2147483647)</x:f>
        <x:v>1350564521</x:v>
      </x:c>
      <x:c r="BG189" s="17" t="n">
        <x:f>IF('Control Room'!$B$5="Normal",'Control Room'!$B$7+'Control Room'!$D$7*SQRT(-2*LN(MAX(0.000000000001,BE189/2147483647)))*COS(2*PI()*BF189/2147483647),'Control Room'!$B$8+('Control Room'!$D$8-'Control Room'!$B$8)*BE189/2147483647)</x:f>
        <x:v>939.7354778306834</x:v>
      </x:c>
      <x:c r="BH189" s="17" t="n">
        <x:f>IF('Control Room'!$B$5="Normal",'Control Room'!$B$7,('Control Room'!$B$8+'Control Room'!$D$8)/2)+'Control Room'!$B$9*(BH188-IF('Control Room'!$B$5="Normal",'Control Room'!$B$7,('Control Room'!$B$8+'Control Room'!$D$8)/2))+SQRT(1-'Control Room'!$B$9^2)*(BG189-IF('Control Room'!$B$5="Normal",'Control Room'!$B$7,('Control Room'!$B$8+'Control Room'!$D$8)/2))</x:f>
        <x:v>1051.8371317337755</x:v>
      </x:c>
      <x:c r="BI189" s="17" t="n">
        <x:f>IF(AND($A189&gt;='Control Room'!$A$13,$A189&lt;'Control Room'!$A$13+'Control Room'!$B$13,'Process'!BV2=1),1+('Control Room'!$C$13-1)*EXP(-0.5*(($A189-'Control Room'!$A$13-('Control Room'!$B$13-1)/2)/MAX(0.5,'Control Room'!$B$13/4))^2),1)*IF(AND($A189&gt;='Control Room'!$A$14,$A189&lt;'Control Room'!$A$14+'Control Room'!$B$14,'Process'!BV3=1),1+('Control Room'!$C$14-1)*EXP(-0.5*(($A189-'Control Room'!$A$14-('Control Room'!$B$14-1)/2)/MAX(0.5,'Control Room'!$B$14/4))^2),1)*IF(AND($A189&gt;='Control Room'!$A$15,$A189&lt;'Control Room'!$A$15+'Control Room'!$B$15,'Process'!BV4=1),1+('Control Room'!$C$15-1)*EXP(-0.5*(($A189-'Control Room'!$A$15-('Control Room'!$B$15-1)/2)/MAX(0.5,'Control Room'!$B$15/4))^2),1)*IF(AND($A189&gt;='Control Room'!$A$16,$A189&lt;'Control Room'!$A$16+'Control Room'!$B$16,'Process'!BV5=1),1+('Control Room'!$C$16-1)*EXP(-0.5*(($A189-'Control Room'!$A$16-('Control Room'!$B$16-1)/2)/MAX(0.5,'Control Room'!$B$16/4))^2),1)</x:f>
        <x:v>1</x:v>
      </x:c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Z189" t="str">
        <x:f>IF('Data'!A189="","",TEXT('Data'!A189,"mm-dd"))</x:f>
      </x:c>
    </x:row>
    <x:row r="190" ht="21" customHeight="1">
      <x:c r="A190" s="15" t="n">
        <x:f>'Control Room'!$B$1+188</x:f>
        <x:v>73179</x:v>
      </x:c>
      <x:c r="B190" s="9" t="n">
        <x:f>MOD(C189*16807,2147483647)</x:f>
        <x:v>1437454153</x:v>
      </x:c>
      <x:c r="C190" s="9" t="n">
        <x:f>MOD(B190*16807,2147483647)</x:f>
        <x:v>100920721</x:v>
      </x:c>
      <x:c r="D190" s="17" t="n">
        <x:f>IF('Control Room'!$B$5="Normal",'Control Room'!$B$7+'Control Room'!$D$7*SQRT(-2*LN(MAX(0.000000000001,B190/2147483647)))*COS(2*PI()*C190/2147483647),'Control Room'!$B$8+('Control Room'!$D$8-'Control Room'!$B$8)*B190/2147483647)</x:f>
        <x:v>1077.1514727310598</x:v>
      </x:c>
      <x:c r="E190" s="17" t="n">
        <x:f>IF('Control Room'!$B$5="Normal",'Control Room'!$B$7,('Control Room'!$B$8+'Control Room'!$D$8)/2)+'Control Room'!$B$9*(E189-IF('Control Room'!$B$5="Normal",'Control Room'!$B$7,('Control Room'!$B$8+'Control Room'!$D$8)/2))+SQRT(1-'Control Room'!$B$9^2)*(D190-IF('Control Room'!$B$5="Normal",'Control Room'!$B$7,('Control Room'!$B$8+'Control Room'!$D$8)/2))</x:f>
        <x:v>1061.9622750819892</x:v>
      </x:c>
      <x:c r="F190" s="17" t="n">
        <x:f>IF(AND($A190&gt;='Control Room'!$A$13,$A190&lt;'Control Room'!$A$13+'Control Room'!$B$13,'Process'!BK2=1),1+('Control Room'!$C$13-1)*EXP(-0.5*(($A190-'Control Room'!$A$13-('Control Room'!$B$13-1)/2)/MAX(0.5,'Control Room'!$B$13/4))^2),1)*IF(AND($A190&gt;='Control Room'!$A$14,$A190&lt;'Control Room'!$A$14+'Control Room'!$B$14,'Process'!BK3=1),1+('Control Room'!$C$14-1)*EXP(-0.5*(($A190-'Control Room'!$A$14-('Control Room'!$B$14-1)/2)/MAX(0.5,'Control Room'!$B$14/4))^2),1)*IF(AND($A190&gt;='Control Room'!$A$15,$A190&lt;'Control Room'!$A$15+'Control Room'!$B$15,'Process'!BK4=1),1+('Control Room'!$C$15-1)*EXP(-0.5*(($A190-'Control Room'!$A$15-('Control Room'!$B$15-1)/2)/MAX(0.5,'Control Room'!$B$15/4))^2),1)*IF(AND($A190&gt;='Control Room'!$A$16,$A190&lt;'Control Room'!$A$16+'Control Room'!$B$16,'Process'!BK5=1),1+('Control Room'!$C$16-1)*EXP(-0.5*(($A190-'Control Room'!$A$16-('Control Room'!$B$16-1)/2)/MAX(0.5,'Control Room'!$B$16/4))^2),1)</x:f>
        <x:v>1</x:v>
      </x:c>
      <x:c r="G190" s="9" t="n">
        <x:f>MOD(H189*16807,2147483647)</x:f>
        <x:v>1310027017</x:v>
      </x:c>
      <x:c r="H190" s="9" t="n">
        <x:f>MOD(G190*16807,2147483647)</x:f>
        <x:v>1621725675</x:v>
      </x:c>
      <x:c r="I190" s="17" t="n">
        <x:f>IF('Control Room'!$B$5="Normal",'Control Room'!$B$7+'Control Room'!$D$7*SQRT(-2*LN(MAX(0.000000000001,G190/2147483647)))*COS(2*PI()*H190/2147483647),'Control Room'!$B$8+('Control Room'!$D$8-'Control Room'!$B$8)*G190/2147483647)</x:f>
        <x:v>1002.9089271416298</x:v>
      </x:c>
      <x:c r="J190" s="17" t="n">
        <x:f>IF('Control Room'!$B$5="Normal",'Control Room'!$B$7,('Control Room'!$B$8+'Control Room'!$D$8)/2)+'Control Room'!$B$9*(J189-IF('Control Room'!$B$5="Normal",'Control Room'!$B$7,('Control Room'!$B$8+'Control Room'!$D$8)/2))+SQRT(1-'Control Room'!$B$9^2)*(I190-IF('Control Room'!$B$5="Normal",'Control Room'!$B$7,('Control Room'!$B$8+'Control Room'!$D$8)/2))</x:f>
        <x:v>1042.31592370916</x:v>
      </x:c>
      <x:c r="K190" s="17" t="n">
        <x:f>IF(AND($A190&gt;='Control Room'!$A$13,$A190&lt;'Control Room'!$A$13+'Control Room'!$B$13,'Process'!BL2=1),1+('Control Room'!$C$13-1)*EXP(-0.5*(($A190-'Control Room'!$A$13-('Control Room'!$B$13-1)/2)/MAX(0.5,'Control Room'!$B$13/4))^2),1)*IF(AND($A190&gt;='Control Room'!$A$14,$A190&lt;'Control Room'!$A$14+'Control Room'!$B$14,'Process'!BL3=1),1+('Control Room'!$C$14-1)*EXP(-0.5*(($A190-'Control Room'!$A$14-('Control Room'!$B$14-1)/2)/MAX(0.5,'Control Room'!$B$14/4))^2),1)*IF(AND($A190&gt;='Control Room'!$A$15,$A190&lt;'Control Room'!$A$15+'Control Room'!$B$15,'Process'!BL4=1),1+('Control Room'!$C$15-1)*EXP(-0.5*(($A190-'Control Room'!$A$15-('Control Room'!$B$15-1)/2)/MAX(0.5,'Control Room'!$B$15/4))^2),1)*IF(AND($A190&gt;='Control Room'!$A$16,$A190&lt;'Control Room'!$A$16+'Control Room'!$B$16,'Process'!BL5=1),1+('Control Room'!$C$16-1)*EXP(-0.5*(($A190-'Control Room'!$A$16-('Control Room'!$B$16-1)/2)/MAX(0.5,'Control Room'!$B$16/4))^2),1)</x:f>
        <x:v>1</x:v>
      </x:c>
      <x:c r="L190" s="9" t="n">
        <x:f>MOD(M189*16807,2147483647)</x:f>
        <x:v>1182599881</x:v>
      </x:c>
      <x:c r="M190" s="9" t="n">
        <x:f>MOD(L190*16807,2147483647)</x:f>
        <x:v>995046982</x:v>
      </x:c>
      <x:c r="N190" s="17" t="n">
        <x:f>IF('Control Room'!$B$5="Normal",'Control Room'!$B$7+'Control Room'!$D$7*SQRT(-2*LN(MAX(0.000000000001,L190/2147483647)))*COS(2*PI()*M190/2147483647),'Control Room'!$B$8+('Control Room'!$D$8-'Control Room'!$B$8)*L190/2147483647)</x:f>
        <x:v>904.285593860972</x:v>
      </x:c>
      <x:c r="O190" s="17" t="n">
        <x:f>IF('Control Room'!$B$5="Normal",'Control Room'!$B$7,('Control Room'!$B$8+'Control Room'!$D$8)/2)+'Control Room'!$B$9*(O189-IF('Control Room'!$B$5="Normal",'Control Room'!$B$7,('Control Room'!$B$8+'Control Room'!$D$8)/2))+SQRT(1-'Control Room'!$B$9^2)*(N190-IF('Control Room'!$B$5="Normal",'Control Room'!$B$7,('Control Room'!$B$8+'Control Room'!$D$8)/2))</x:f>
        <x:v>867.7653467017332</x:v>
      </x:c>
      <x:c r="P190" s="17" t="n">
        <x:f>IF(AND($A190&gt;='Control Room'!$A$13,$A190&lt;'Control Room'!$A$13+'Control Room'!$B$13,'Process'!BM2=1),1+('Control Room'!$C$13-1)*EXP(-0.5*(($A190-'Control Room'!$A$13-('Control Room'!$B$13-1)/2)/MAX(0.5,'Control Room'!$B$13/4))^2),1)*IF(AND($A190&gt;='Control Room'!$A$14,$A190&lt;'Control Room'!$A$14+'Control Room'!$B$14,'Process'!BM3=1),1+('Control Room'!$C$14-1)*EXP(-0.5*(($A190-'Control Room'!$A$14-('Control Room'!$B$14-1)/2)/MAX(0.5,'Control Room'!$B$14/4))^2),1)*IF(AND($A190&gt;='Control Room'!$A$15,$A190&lt;'Control Room'!$A$15+'Control Room'!$B$15,'Process'!BM4=1),1+('Control Room'!$C$15-1)*EXP(-0.5*(($A190-'Control Room'!$A$15-('Control Room'!$B$15-1)/2)/MAX(0.5,'Control Room'!$B$15/4))^2),1)*IF(AND($A190&gt;='Control Room'!$A$16,$A190&lt;'Control Room'!$A$16+'Control Room'!$B$16,'Process'!BM5=1),1+('Control Room'!$C$16-1)*EXP(-0.5*(($A190-'Control Room'!$A$16-('Control Room'!$B$16-1)/2)/MAX(0.5,'Control Room'!$B$16/4))^2),1)</x:f>
        <x:v>1</x:v>
      </x:c>
      <x:c r="Q190" s="9" t="n">
        <x:f>MOD(R189*16807,2147483647)</x:f>
        <x:v>1055172745</x:v>
      </x:c>
      <x:c r="R190" s="9" t="n">
        <x:f>MOD(Q190*16807,2147483647)</x:f>
        <x:v>368368289</x:v>
      </x:c>
      <x:c r="S190" s="17" t="n">
        <x:f>IF('Control Room'!$B$5="Normal",'Control Room'!$B$7+'Control Room'!$D$7*SQRT(-2*LN(MAX(0.000000000001,Q190/2147483647)))*COS(2*PI()*R190/2147483647),'Control Room'!$B$8+('Control Room'!$D$8-'Control Room'!$B$8)*Q190/2147483647)</x:f>
        <x:v>1050.7792602199063</x:v>
      </x:c>
      <x:c r="T190" s="17" t="n">
        <x:f>IF('Control Room'!$B$5="Normal",'Control Room'!$B$7,('Control Room'!$B$8+'Control Room'!$D$8)/2)+'Control Room'!$B$9*(T189-IF('Control Room'!$B$5="Normal",'Control Room'!$B$7,('Control Room'!$B$8+'Control Room'!$D$8)/2))+SQRT(1-'Control Room'!$B$9^2)*(S190-IF('Control Room'!$B$5="Normal",'Control Room'!$B$7,('Control Room'!$B$8+'Control Room'!$D$8)/2))</x:f>
        <x:v>999.2502114818566</x:v>
      </x:c>
      <x:c r="U190" s="17" t="n">
        <x:f>IF(AND($A190&gt;='Control Room'!$A$13,$A190&lt;'Control Room'!$A$13+'Control Room'!$B$13,'Process'!BN2=1),1+('Control Room'!$C$13-1)*EXP(-0.5*(($A190-'Control Room'!$A$13-('Control Room'!$B$13-1)/2)/MAX(0.5,'Control Room'!$B$13/4))^2),1)*IF(AND($A190&gt;='Control Room'!$A$14,$A190&lt;'Control Room'!$A$14+'Control Room'!$B$14,'Process'!BN3=1),1+('Control Room'!$C$14-1)*EXP(-0.5*(($A190-'Control Room'!$A$14-('Control Room'!$B$14-1)/2)/MAX(0.5,'Control Room'!$B$14/4))^2),1)*IF(AND($A190&gt;='Control Room'!$A$15,$A190&lt;'Control Room'!$A$15+'Control Room'!$B$15,'Process'!BN4=1),1+('Control Room'!$C$15-1)*EXP(-0.5*(($A190-'Control Room'!$A$15-('Control Room'!$B$15-1)/2)/MAX(0.5,'Control Room'!$B$15/4))^2),1)*IF(AND($A190&gt;='Control Room'!$A$16,$A190&lt;'Control Room'!$A$16+'Control Room'!$B$16,'Process'!BN5=1),1+('Control Room'!$C$16-1)*EXP(-0.5*(($A190-'Control Room'!$A$16-('Control Room'!$B$16-1)/2)/MAX(0.5,'Control Room'!$B$16/4))^2),1)</x:f>
        <x:v>1</x:v>
      </x:c>
      <x:c r="V190" s="9" t="n">
        <x:f>MOD(W189*16807,2147483647)</x:f>
        <x:v>927745609</x:v>
      </x:c>
      <x:c r="W190" s="9" t="n">
        <x:f>MOD(V190*16807,2147483647)</x:f>
        <x:v>1889173243</x:v>
      </x:c>
      <x:c r="X190" s="17" t="n">
        <x:f>IF('Control Room'!$B$5="Normal",'Control Room'!$B$7+'Control Room'!$D$7*SQRT(-2*LN(MAX(0.000000000001,V190/2147483647)))*COS(2*PI()*W190/2147483647),'Control Room'!$B$8+('Control Room'!$D$8-'Control Room'!$B$8)*V190/2147483647)</x:f>
        <x:v>1084.8577498693012</x:v>
      </x:c>
      <x:c r="Y190" s="17" t="n">
        <x:f>IF('Control Room'!$B$5="Normal",'Control Room'!$B$7,('Control Room'!$B$8+'Control Room'!$D$8)/2)+'Control Room'!$B$9*(Y189-IF('Control Room'!$B$5="Normal",'Control Room'!$B$7,('Control Room'!$B$8+'Control Room'!$D$8)/2))+SQRT(1-'Control Room'!$B$9^2)*(X190-IF('Control Room'!$B$5="Normal",'Control Room'!$B$7,('Control Room'!$B$8+'Control Room'!$D$8)/2))</x:f>
        <x:v>1020.865402950431</x:v>
      </x:c>
      <x:c r="Z190" s="17" t="n">
        <x:f>IF(AND($A190&gt;='Control Room'!$A$13,$A190&lt;'Control Room'!$A$13+'Control Room'!$B$13,'Process'!BO2=1),1+('Control Room'!$C$13-1)*EXP(-0.5*(($A190-'Control Room'!$A$13-('Control Room'!$B$13-1)/2)/MAX(0.5,'Control Room'!$B$13/4))^2),1)*IF(AND($A190&gt;='Control Room'!$A$14,$A190&lt;'Control Room'!$A$14+'Control Room'!$B$14,'Process'!BO3=1),1+('Control Room'!$C$14-1)*EXP(-0.5*(($A190-'Control Room'!$A$14-('Control Room'!$B$14-1)/2)/MAX(0.5,'Control Room'!$B$14/4))^2),1)*IF(AND($A190&gt;='Control Room'!$A$15,$A190&lt;'Control Room'!$A$15+'Control Room'!$B$15,'Process'!BO4=1),1+('Control Room'!$C$15-1)*EXP(-0.5*(($A190-'Control Room'!$A$15-('Control Room'!$B$15-1)/2)/MAX(0.5,'Control Room'!$B$15/4))^2),1)*IF(AND($A190&gt;='Control Room'!$A$16,$A190&lt;'Control Room'!$A$16+'Control Room'!$B$16,'Process'!BO5=1),1+('Control Room'!$C$16-1)*EXP(-0.5*(($A190-'Control Room'!$A$16-('Control Room'!$B$16-1)/2)/MAX(0.5,'Control Room'!$B$16/4))^2),1)</x:f>
        <x:v>1</x:v>
      </x:c>
      <x:c r="AA190" s="9" t="n">
        <x:f>MOD(AB189*16807,2147483647)</x:f>
        <x:v>800318473</x:v>
      </x:c>
      <x:c r="AB190" s="9" t="n">
        <x:f>MOD(AA190*16807,2147483647)</x:f>
        <x:v>1262494550</x:v>
      </x:c>
      <x:c r="AC190" s="17" t="n">
        <x:f>IF('Control Room'!$B$5="Normal",'Control Room'!$B$7+'Control Room'!$D$7*SQRT(-2*LN(MAX(0.000000000001,AA190/2147483647)))*COS(2*PI()*AB190/2147483647),'Control Room'!$B$8+('Control Room'!$D$8-'Control Room'!$B$8)*AA190/2147483647)</x:f>
        <x:v>892.3462665945391</x:v>
      </x:c>
      <x:c r="AD190" s="17" t="n">
        <x:f>IF('Control Room'!$B$5="Normal",'Control Room'!$B$7,('Control Room'!$B$8+'Control Room'!$D$8)/2)+'Control Room'!$B$9*(AD189-IF('Control Room'!$B$5="Normal",'Control Room'!$B$7,('Control Room'!$B$8+'Control Room'!$D$8)/2))+SQRT(1-'Control Room'!$B$9^2)*(AC190-IF('Control Room'!$B$5="Normal",'Control Room'!$B$7,('Control Room'!$B$8+'Control Room'!$D$8)/2))</x:f>
        <x:v>870.2664547423203</x:v>
      </x:c>
      <x:c r="AE190" s="17" t="n">
        <x:f>IF(AND($A190&gt;='Control Room'!$A$13,$A190&lt;'Control Room'!$A$13+'Control Room'!$B$13,'Process'!BP2=1),1+('Control Room'!$C$13-1)*EXP(-0.5*(($A190-'Control Room'!$A$13-('Control Room'!$B$13-1)/2)/MAX(0.5,'Control Room'!$B$13/4))^2),1)*IF(AND($A190&gt;='Control Room'!$A$14,$A190&lt;'Control Room'!$A$14+'Control Room'!$B$14,'Process'!BP3=1),1+('Control Room'!$C$14-1)*EXP(-0.5*(($A190-'Control Room'!$A$14-('Control Room'!$B$14-1)/2)/MAX(0.5,'Control Room'!$B$14/4))^2),1)*IF(AND($A190&gt;='Control Room'!$A$15,$A190&lt;'Control Room'!$A$15+'Control Room'!$B$15,'Process'!BP4=1),1+('Control Room'!$C$15-1)*EXP(-0.5*(($A190-'Control Room'!$A$15-('Control Room'!$B$15-1)/2)/MAX(0.5,'Control Room'!$B$15/4))^2),1)*IF(AND($A190&gt;='Control Room'!$A$16,$A190&lt;'Control Room'!$A$16+'Control Room'!$B$16,'Process'!BP5=1),1+('Control Room'!$C$16-1)*EXP(-0.5*(($A190-'Control Room'!$A$16-('Control Room'!$B$16-1)/2)/MAX(0.5,'Control Room'!$B$16/4))^2),1)</x:f>
        <x:v>1</x:v>
      </x:c>
      <x:c r="AF190" s="9" t="n">
        <x:f>MOD(AG189*16807,2147483647)</x:f>
        <x:v>672891337</x:v>
      </x:c>
      <x:c r="AG190" s="9" t="n">
        <x:f>MOD(AF190*16807,2147483647)</x:f>
        <x:v>635815857</x:v>
      </x:c>
      <x:c r="AH190" s="17" t="n">
        <x:f>IF('Control Room'!$B$5="Normal",'Control Room'!$B$7+'Control Room'!$D$7*SQRT(-2*LN(MAX(0.000000000001,AF190/2147483647)))*COS(2*PI()*AG190/2147483647),'Control Room'!$B$8+('Control Room'!$D$8-'Control Room'!$B$8)*AF190/2147483647)</x:f>
        <x:v>960.8587713318732</x:v>
      </x:c>
      <x:c r="AI190" s="17" t="n">
        <x:f>IF('Control Room'!$B$5="Normal",'Control Room'!$B$7,('Control Room'!$B$8+'Control Room'!$D$8)/2)+'Control Room'!$B$9*(AI189-IF('Control Room'!$B$5="Normal",'Control Room'!$B$7,('Control Room'!$B$8+'Control Room'!$D$8)/2))+SQRT(1-'Control Room'!$B$9^2)*(AH190-IF('Control Room'!$B$5="Normal",'Control Room'!$B$7,('Control Room'!$B$8+'Control Room'!$D$8)/2))</x:f>
        <x:v>984.2290401843682</x:v>
      </x:c>
      <x:c r="AJ190" s="17" t="n">
        <x:f>IF(AND($A190&gt;='Control Room'!$A$13,$A190&lt;'Control Room'!$A$13+'Control Room'!$B$13,'Process'!BQ2=1),1+('Control Room'!$C$13-1)*EXP(-0.5*(($A190-'Control Room'!$A$13-('Control Room'!$B$13-1)/2)/MAX(0.5,'Control Room'!$B$13/4))^2),1)*IF(AND($A190&gt;='Control Room'!$A$14,$A190&lt;'Control Room'!$A$14+'Control Room'!$B$14,'Process'!BQ3=1),1+('Control Room'!$C$14-1)*EXP(-0.5*(($A190-'Control Room'!$A$14-('Control Room'!$B$14-1)/2)/MAX(0.5,'Control Room'!$B$14/4))^2),1)*IF(AND($A190&gt;='Control Room'!$A$15,$A190&lt;'Control Room'!$A$15+'Control Room'!$B$15,'Process'!BQ4=1),1+('Control Room'!$C$15-1)*EXP(-0.5*(($A190-'Control Room'!$A$15-('Control Room'!$B$15-1)/2)/MAX(0.5,'Control Room'!$B$15/4))^2),1)*IF(AND($A190&gt;='Control Room'!$A$16,$A190&lt;'Control Room'!$A$16+'Control Room'!$B$16,'Process'!BQ5=1),1+('Control Room'!$C$16-1)*EXP(-0.5*(($A190-'Control Room'!$A$16-('Control Room'!$B$16-1)/2)/MAX(0.5,'Control Room'!$B$16/4))^2),1)</x:f>
        <x:v>1</x:v>
      </x:c>
      <x:c r="AK190" s="9" t="n">
        <x:f>MOD(AL189*16807,2147483647)</x:f>
        <x:v>545464201</x:v>
      </x:c>
      <x:c r="AL190" s="9" t="n">
        <x:f>MOD(AK190*16807,2147483647)</x:f>
        <x:v>9137164</x:v>
      </x:c>
      <x:c r="AM190" s="17" t="n">
        <x:f>IF('Control Room'!$B$5="Normal",'Control Room'!$B$7+'Control Room'!$D$7*SQRT(-2*LN(MAX(0.000000000001,AK190/2147483647)))*COS(2*PI()*AL190/2147483647),'Control Room'!$B$8+('Control Room'!$D$8-'Control Room'!$B$8)*AK190/2147483647)</x:f>
        <x:v>1148.9458214268445</x:v>
      </x:c>
      <x:c r="AN190" s="17" t="n">
        <x:f>IF('Control Room'!$B$5="Normal",'Control Room'!$B$7,('Control Room'!$B$8+'Control Room'!$D$8)/2)+'Control Room'!$B$9*(AN189-IF('Control Room'!$B$5="Normal",'Control Room'!$B$7,('Control Room'!$B$8+'Control Room'!$D$8)/2))+SQRT(1-'Control Room'!$B$9^2)*(AM190-IF('Control Room'!$B$5="Normal",'Control Room'!$B$7,('Control Room'!$B$8+'Control Room'!$D$8)/2))</x:f>
        <x:v>1133.124985813887</x:v>
      </x:c>
      <x:c r="AO190" s="17" t="n">
        <x:f>IF(AND($A190&gt;='Control Room'!$A$13,$A190&lt;'Control Room'!$A$13+'Control Room'!$B$13,'Process'!BR2=1),1+('Control Room'!$C$13-1)*EXP(-0.5*(($A190-'Control Room'!$A$13-('Control Room'!$B$13-1)/2)/MAX(0.5,'Control Room'!$B$13/4))^2),1)*IF(AND($A190&gt;='Control Room'!$A$14,$A190&lt;'Control Room'!$A$14+'Control Room'!$B$14,'Process'!BR3=1),1+('Control Room'!$C$14-1)*EXP(-0.5*(($A190-'Control Room'!$A$14-('Control Room'!$B$14-1)/2)/MAX(0.5,'Control Room'!$B$14/4))^2),1)*IF(AND($A190&gt;='Control Room'!$A$15,$A190&lt;'Control Room'!$A$15+'Control Room'!$B$15,'Process'!BR4=1),1+('Control Room'!$C$15-1)*EXP(-0.5*(($A190-'Control Room'!$A$15-('Control Room'!$B$15-1)/2)/MAX(0.5,'Control Room'!$B$15/4))^2),1)*IF(AND($A190&gt;='Control Room'!$A$16,$A190&lt;'Control Room'!$A$16+'Control Room'!$B$16,'Process'!BR5=1),1+('Control Room'!$C$16-1)*EXP(-0.5*(($A190-'Control Room'!$A$16-('Control Room'!$B$16-1)/2)/MAX(0.5,'Control Room'!$B$16/4))^2),1)</x:f>
        <x:v>1</x:v>
      </x:c>
      <x:c r="AP190" s="9" t="n">
        <x:f>MOD(AQ189*16807,2147483647)</x:f>
        <x:v>418037065</x:v>
      </x:c>
      <x:c r="AQ190" s="9" t="n">
        <x:f>MOD(AP190*16807,2147483647)</x:f>
        <x:v>1529942118</x:v>
      </x:c>
      <x:c r="AR190" s="17" t="n">
        <x:f>IF('Control Room'!$B$5="Normal",'Control Room'!$B$7+'Control Room'!$D$7*SQRT(-2*LN(MAX(0.000000000001,AP190/2147483647)))*COS(2*PI()*AQ190/2147483647),'Control Room'!$B$8+('Control Room'!$D$8-'Control Room'!$B$8)*AP190/2147483647)</x:f>
        <x:v>961.9251166380956</x:v>
      </x:c>
      <x:c r="AS190" s="17" t="n">
        <x:f>IF('Control Room'!$B$5="Normal",'Control Room'!$B$7,('Control Room'!$B$8+'Control Room'!$D$8)/2)+'Control Room'!$B$9*(AS189-IF('Control Room'!$B$5="Normal",'Control Room'!$B$7,('Control Room'!$B$8+'Control Room'!$D$8)/2))+SQRT(1-'Control Room'!$B$9^2)*(AR190-IF('Control Room'!$B$5="Normal",'Control Room'!$B$7,('Control Room'!$B$8+'Control Room'!$D$8)/2))</x:f>
        <x:v>1031.946549924008</x:v>
      </x:c>
      <x:c r="AT190" s="17" t="n">
        <x:f>IF(AND($A190&gt;='Control Room'!$A$13,$A190&lt;'Control Room'!$A$13+'Control Room'!$B$13,'Process'!BS2=1),1+('Control Room'!$C$13-1)*EXP(-0.5*(($A190-'Control Room'!$A$13-('Control Room'!$B$13-1)/2)/MAX(0.5,'Control Room'!$B$13/4))^2),1)*IF(AND($A190&gt;='Control Room'!$A$14,$A190&lt;'Control Room'!$A$14+'Control Room'!$B$14,'Process'!BS3=1),1+('Control Room'!$C$14-1)*EXP(-0.5*(($A190-'Control Room'!$A$14-('Control Room'!$B$14-1)/2)/MAX(0.5,'Control Room'!$B$14/4))^2),1)*IF(AND($A190&gt;='Control Room'!$A$15,$A190&lt;'Control Room'!$A$15+'Control Room'!$B$15,'Process'!BS4=1),1+('Control Room'!$C$15-1)*EXP(-0.5*(($A190-'Control Room'!$A$15-('Control Room'!$B$15-1)/2)/MAX(0.5,'Control Room'!$B$15/4))^2),1)*IF(AND($A190&gt;='Control Room'!$A$16,$A190&lt;'Control Room'!$A$16+'Control Room'!$B$16,'Process'!BS5=1),1+('Control Room'!$C$16-1)*EXP(-0.5*(($A190-'Control Room'!$A$16-('Control Room'!$B$16-1)/2)/MAX(0.5,'Control Room'!$B$16/4))^2),1)</x:f>
        <x:v>1</x:v>
      </x:c>
      <x:c r="AU190" s="9" t="n">
        <x:f>MOD(AV189*16807,2147483647)</x:f>
        <x:v>290609929</x:v>
      </x:c>
      <x:c r="AV190" s="9" t="n">
        <x:f>MOD(AU190*16807,2147483647)</x:f>
        <x:v>903263425</x:v>
      </x:c>
      <x:c r="AW190" s="17" t="n">
        <x:f>IF('Control Room'!$B$5="Normal",'Control Room'!$B$7+'Control Room'!$D$7*SQRT(-2*LN(MAX(0.000000000001,AU190/2147483647)))*COS(2*PI()*AV190/2147483647),'Control Room'!$B$8+('Control Room'!$D$8-'Control Room'!$B$8)*AU190/2147483647)</x:f>
        <x:v>841.9282250693274</x:v>
      </x:c>
      <x:c r="AX190" s="17" t="n">
        <x:f>IF('Control Room'!$B$5="Normal",'Control Room'!$B$7,('Control Room'!$B$8+'Control Room'!$D$8)/2)+'Control Room'!$B$9*(AX189-IF('Control Room'!$B$5="Normal",'Control Room'!$B$7,('Control Room'!$B$8+'Control Room'!$D$8)/2))+SQRT(1-'Control Room'!$B$9^2)*(AW190-IF('Control Room'!$B$5="Normal",'Control Room'!$B$7,('Control Room'!$B$8+'Control Room'!$D$8)/2))</x:f>
        <x:v>920.2062770363677</x:v>
      </x:c>
      <x:c r="AY190" s="17" t="n">
        <x:f>IF(AND($A190&gt;='Control Room'!$A$13,$A190&lt;'Control Room'!$A$13+'Control Room'!$B$13,'Process'!BT2=1),1+('Control Room'!$C$13-1)*EXP(-0.5*(($A190-'Control Room'!$A$13-('Control Room'!$B$13-1)/2)/MAX(0.5,'Control Room'!$B$13/4))^2),1)*IF(AND($A190&gt;='Control Room'!$A$14,$A190&lt;'Control Room'!$A$14+'Control Room'!$B$14,'Process'!BT3=1),1+('Control Room'!$C$14-1)*EXP(-0.5*(($A190-'Control Room'!$A$14-('Control Room'!$B$14-1)/2)/MAX(0.5,'Control Room'!$B$14/4))^2),1)*IF(AND($A190&gt;='Control Room'!$A$15,$A190&lt;'Control Room'!$A$15+'Control Room'!$B$15,'Process'!BT4=1),1+('Control Room'!$C$15-1)*EXP(-0.5*(($A190-'Control Room'!$A$15-('Control Room'!$B$15-1)/2)/MAX(0.5,'Control Room'!$B$15/4))^2),1)*IF(AND($A190&gt;='Control Room'!$A$16,$A190&lt;'Control Room'!$A$16+'Control Room'!$B$16,'Process'!BT5=1),1+('Control Room'!$C$16-1)*EXP(-0.5*(($A190-'Control Room'!$A$16-('Control Room'!$B$16-1)/2)/MAX(0.5,'Control Room'!$B$16/4))^2),1)</x:f>
        <x:v>1</x:v>
      </x:c>
      <x:c r="AZ190" s="9" t="n">
        <x:f>MOD(BA189*16807,2147483647)</x:f>
        <x:v>163182793</x:v>
      </x:c>
      <x:c r="BA190" s="9" t="n">
        <x:f>MOD(AZ190*16807,2147483647)</x:f>
        <x:v>276584732</x:v>
      </x:c>
      <x:c r="BB190" s="17" t="n">
        <x:f>IF('Control Room'!$B$5="Normal",'Control Room'!$B$7+'Control Room'!$D$7*SQRT(-2*LN(MAX(0.000000000001,AZ190/2147483647)))*COS(2*PI()*BA190/2147483647),'Control Room'!$B$8+('Control Room'!$D$8-'Control Room'!$B$8)*AZ190/2147483647)</x:f>
        <x:v>1140.9967085070468</x:v>
      </x:c>
      <x:c r="BC190" s="17" t="n">
        <x:f>IF('Control Room'!$B$5="Normal",'Control Room'!$B$7,('Control Room'!$B$8+'Control Room'!$D$8)/2)+'Control Room'!$B$9*(BC189-IF('Control Room'!$B$5="Normal",'Control Room'!$B$7,('Control Room'!$B$8+'Control Room'!$D$8)/2))+SQRT(1-'Control Room'!$B$9^2)*(BB190-IF('Control Room'!$B$5="Normal",'Control Room'!$B$7,('Control Room'!$B$8+'Control Room'!$D$8)/2))</x:f>
        <x:v>1072.4572391289985</x:v>
      </x:c>
      <x:c r="BD190" s="17" t="n">
        <x:f>IF(AND($A190&gt;='Control Room'!$A$13,$A190&lt;'Control Room'!$A$13+'Control Room'!$B$13,'Process'!BU2=1),1+('Control Room'!$C$13-1)*EXP(-0.5*(($A190-'Control Room'!$A$13-('Control Room'!$B$13-1)/2)/MAX(0.5,'Control Room'!$B$13/4))^2),1)*IF(AND($A190&gt;='Control Room'!$A$14,$A190&lt;'Control Room'!$A$14+'Control Room'!$B$14,'Process'!BU3=1),1+('Control Room'!$C$14-1)*EXP(-0.5*(($A190-'Control Room'!$A$14-('Control Room'!$B$14-1)/2)/MAX(0.5,'Control Room'!$B$14/4))^2),1)*IF(AND($A190&gt;='Control Room'!$A$15,$A190&lt;'Control Room'!$A$15+'Control Room'!$B$15,'Process'!BU4=1),1+('Control Room'!$C$15-1)*EXP(-0.5*(($A190-'Control Room'!$A$15-('Control Room'!$B$15-1)/2)/MAX(0.5,'Control Room'!$B$15/4))^2),1)*IF(AND($A190&gt;='Control Room'!$A$16,$A190&lt;'Control Room'!$A$16+'Control Room'!$B$16,'Process'!BU5=1),1+('Control Room'!$C$16-1)*EXP(-0.5*(($A190-'Control Room'!$A$16-('Control Room'!$B$16-1)/2)/MAX(0.5,'Control Room'!$B$16/4))^2),1)</x:f>
        <x:v>1</x:v>
      </x:c>
      <x:c r="BE190" s="9" t="n">
        <x:f>MOD(BF189*16807,2147483647)</x:f>
        <x:v>35755657</x:v>
      </x:c>
      <x:c r="BF190" s="9" t="n">
        <x:f>MOD(BE190*16807,2147483647)</x:f>
        <x:v>1797389686</x:v>
      </x:c>
      <x:c r="BG190" s="17" t="n">
        <x:f>IF('Control Room'!$B$5="Normal",'Control Room'!$B$7+'Control Room'!$D$7*SQRT(-2*LN(MAX(0.000000000001,BE190/2147483647)))*COS(2*PI()*BF190/2147483647),'Control Room'!$B$8+('Control Room'!$D$8-'Control Room'!$B$8)*BE190/2147483647)</x:f>
        <x:v>1133.8567855699253</x:v>
      </x:c>
      <x:c r="BH190" s="17" t="n">
        <x:f>IF('Control Room'!$B$5="Normal",'Control Room'!$B$7,('Control Room'!$B$8+'Control Room'!$D$8)/2)+'Control Room'!$B$9*(BH189-IF('Control Room'!$B$5="Normal",'Control Room'!$B$7,('Control Room'!$B$8+'Control Room'!$D$8)/2))+SQRT(1-'Control Room'!$B$9^2)*(BG190-IF('Control Room'!$B$5="Normal",'Control Room'!$B$7,('Control Room'!$B$8+'Control Room'!$D$8)/2))</x:f>
        <x:v>1124.1977969566997</x:v>
      </x:c>
      <x:c r="BI190" s="17" t="n">
        <x:f>IF(AND($A190&gt;='Control Room'!$A$13,$A190&lt;'Control Room'!$A$13+'Control Room'!$B$13,'Process'!BV2=1),1+('Control Room'!$C$13-1)*EXP(-0.5*(($A190-'Control Room'!$A$13-('Control Room'!$B$13-1)/2)/MAX(0.5,'Control Room'!$B$13/4))^2),1)*IF(AND($A190&gt;='Control Room'!$A$14,$A190&lt;'Control Room'!$A$14+'Control Room'!$B$14,'Process'!BV3=1),1+('Control Room'!$C$14-1)*EXP(-0.5*(($A190-'Control Room'!$A$14-('Control Room'!$B$14-1)/2)/MAX(0.5,'Control Room'!$B$14/4))^2),1)*IF(AND($A190&gt;='Control Room'!$A$15,$A190&lt;'Control Room'!$A$15+'Control Room'!$B$15,'Process'!BV4=1),1+('Control Room'!$C$15-1)*EXP(-0.5*(($A190-'Control Room'!$A$15-('Control Room'!$B$15-1)/2)/MAX(0.5,'Control Room'!$B$15/4))^2),1)*IF(AND($A190&gt;='Control Room'!$A$16,$A190&lt;'Control Room'!$A$16+'Control Room'!$B$16,'Process'!BV5=1),1+('Control Room'!$C$16-1)*EXP(-0.5*(($A190-'Control Room'!$A$16-('Control Room'!$B$16-1)/2)/MAX(0.5,'Control Room'!$B$16/4))^2),1)</x:f>
        <x:v>1</x:v>
      </x:c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Z190" t="str">
        <x:f>IF('Data'!A190="","",TEXT('Data'!A190,"mm-dd"))</x:f>
      </x:c>
    </x:row>
    <x:row r="191" ht="21" customHeight="1">
      <x:c r="A191" s="15" t="n">
        <x:f>'Control Room'!$B$1+189</x:f>
        <x:v>73180</x:v>
      </x:c>
      <x:c r="B191" s="9" t="n">
        <x:f>MOD(C190*16807,2147483647)</x:f>
        <x:v>1809960364</x:v>
      </x:c>
      <x:c r="C191" s="9" t="n">
        <x:f>MOD(B191*16807,2147483647)</x:f>
        <x:v>897977993</x:v>
      </x:c>
      <x:c r="D191" s="17" t="n">
        <x:f>IF('Control Room'!$B$5="Normal",'Control Room'!$B$7+'Control Room'!$D$7*SQRT(-2*LN(MAX(0.000000000001,B191/2147483647)))*COS(2*PI()*C191/2147483647),'Control Room'!$B$8+('Control Room'!$D$8-'Control Room'!$B$8)*B191/2147483647)</x:f>
        <x:v>954.1759804433694</x:v>
      </x:c>
      <x:c r="E191" s="17" t="n">
        <x:f>IF('Control Room'!$B$5="Normal",'Control Room'!$B$7,('Control Room'!$B$8+'Control Room'!$D$8)/2)+'Control Room'!$B$9*(E190-IF('Control Room'!$B$5="Normal",'Control Room'!$B$7,('Control Room'!$B$8+'Control Room'!$D$8)/2))+SQRT(1-'Control Room'!$B$9^2)*(D191-IF('Control Room'!$B$5="Normal",'Control Room'!$B$7,('Control Room'!$B$8+'Control Room'!$D$8)/2))</x:f>
        <x:v>1019.6548418814788</x:v>
      </x:c>
      <x:c r="F191" s="17" t="n">
        <x:f>IF(AND($A191&gt;='Control Room'!$A$13,$A191&lt;'Control Room'!$A$13+'Control Room'!$B$13,'Process'!BK2=1),1+('Control Room'!$C$13-1)*EXP(-0.5*(($A191-'Control Room'!$A$13-('Control Room'!$B$13-1)/2)/MAX(0.5,'Control Room'!$B$13/4))^2),1)*IF(AND($A191&gt;='Control Room'!$A$14,$A191&lt;'Control Room'!$A$14+'Control Room'!$B$14,'Process'!BK3=1),1+('Control Room'!$C$14-1)*EXP(-0.5*(($A191-'Control Room'!$A$14-('Control Room'!$B$14-1)/2)/MAX(0.5,'Control Room'!$B$14/4))^2),1)*IF(AND($A191&gt;='Control Room'!$A$15,$A191&lt;'Control Room'!$A$15+'Control Room'!$B$15,'Process'!BK4=1),1+('Control Room'!$C$15-1)*EXP(-0.5*(($A191-'Control Room'!$A$15-('Control Room'!$B$15-1)/2)/MAX(0.5,'Control Room'!$B$15/4))^2),1)*IF(AND($A191&gt;='Control Room'!$A$16,$A191&lt;'Control Room'!$A$16+'Control Room'!$B$16,'Process'!BK5=1),1+('Control Room'!$C$16-1)*EXP(-0.5*(($A191-'Control Room'!$A$16-('Control Room'!$B$16-1)/2)/MAX(0.5,'Control Room'!$B$16/4))^2),1)</x:f>
        <x:v>1</x:v>
      </x:c>
      <x:c r="G191" s="9" t="n">
        <x:f>MOD(H190*16807,2147483647)</x:f>
        <x:v>480972001</x:v>
      </x:c>
      <x:c r="H191" s="9" t="n">
        <x:f>MOD(G191*16807,2147483647)</x:f>
        <x:v>567973499</x:v>
      </x:c>
      <x:c r="I191" s="17" t="n">
        <x:f>IF('Control Room'!$B$5="Normal",'Control Room'!$B$7+'Control Room'!$D$7*SQRT(-2*LN(MAX(0.000000000001,G191/2147483647)))*COS(2*PI()*H191/2147483647),'Control Room'!$B$8+('Control Room'!$D$8-'Control Room'!$B$8)*G191/2147483647)</x:f>
        <x:v>985.8516592189168</x:v>
      </x:c>
      <x:c r="J191" s="17" t="n">
        <x:f>IF('Control Room'!$B$5="Normal",'Control Room'!$B$7,('Control Room'!$B$8+'Control Room'!$D$8)/2)+'Control Room'!$B$9*(J190-IF('Control Room'!$B$5="Normal",'Control Room'!$B$7,('Control Room'!$B$8+'Control Room'!$D$8)/2))+SQRT(1-'Control Room'!$B$9^2)*(I191-IF('Control Room'!$B$5="Normal",'Control Room'!$B$7,('Control Room'!$B$8+'Control Room'!$D$8)/2))</x:f>
        <x:v>1024.1526786768582</x:v>
      </x:c>
      <x:c r="K191" s="17" t="n">
        <x:f>IF(AND($A191&gt;='Control Room'!$A$13,$A191&lt;'Control Room'!$A$13+'Control Room'!$B$13,'Process'!BL2=1),1+('Control Room'!$C$13-1)*EXP(-0.5*(($A191-'Control Room'!$A$13-('Control Room'!$B$13-1)/2)/MAX(0.5,'Control Room'!$B$13/4))^2),1)*IF(AND($A191&gt;='Control Room'!$A$14,$A191&lt;'Control Room'!$A$14+'Control Room'!$B$14,'Process'!BL3=1),1+('Control Room'!$C$14-1)*EXP(-0.5*(($A191-'Control Room'!$A$14-('Control Room'!$B$14-1)/2)/MAX(0.5,'Control Room'!$B$14/4))^2),1)*IF(AND($A191&gt;='Control Room'!$A$15,$A191&lt;'Control Room'!$A$15+'Control Room'!$B$15,'Process'!BL4=1),1+('Control Room'!$C$15-1)*EXP(-0.5*(($A191-'Control Room'!$A$15-('Control Room'!$B$15-1)/2)/MAX(0.5,'Control Room'!$B$15/4))^2),1)*IF(AND($A191&gt;='Control Room'!$A$16,$A191&lt;'Control Room'!$A$16+'Control Room'!$B$16,'Process'!BL5=1),1+('Control Room'!$C$16-1)*EXP(-0.5*(($A191-'Control Room'!$A$16-('Control Room'!$B$16-1)/2)/MAX(0.5,'Control Room'!$B$16/4))^2),1)</x:f>
        <x:v>1</x:v>
      </x:c>
      <x:c r="L191" s="9" t="n">
        <x:f>MOD(M190*16807,2147483647)</x:f>
        <x:v>1299467285</x:v>
      </x:c>
      <x:c r="M191" s="9" t="n">
        <x:f>MOD(L191*16807,2147483647)</x:f>
        <x:v>237969005</x:v>
      </x:c>
      <x:c r="N191" s="17" t="n">
        <x:f>IF('Control Room'!$B$5="Normal",'Control Room'!$B$7+'Control Room'!$D$7*SQRT(-2*LN(MAX(0.000000000001,L191/2147483647)))*COS(2*PI()*M191/2147483647),'Control Room'!$B$8+('Control Room'!$D$8-'Control Room'!$B$8)*L191/2147483647)</x:f>
        <x:v>1069.2138118533892</x:v>
      </x:c>
      <x:c r="O191" s="17" t="n">
        <x:f>IF('Control Room'!$B$5="Normal",'Control Room'!$B$7,('Control Room'!$B$8+'Control Room'!$D$8)/2)+'Control Room'!$B$9*(O190-IF('Control Room'!$B$5="Normal",'Control Room'!$B$7,('Control Room'!$B$8+'Control Room'!$D$8)/2))+SQRT(1-'Control Room'!$B$9^2)*(N191-IF('Control Room'!$B$5="Normal",'Control Room'!$B$7,('Control Room'!$B$8+'Control Room'!$D$8)/2))</x:f>
        <x:v>940.169555963196</x:v>
      </x:c>
      <x:c r="P191" s="17" t="n">
        <x:f>IF(AND($A191&gt;='Control Room'!$A$13,$A191&lt;'Control Room'!$A$13+'Control Room'!$B$13,'Process'!BM2=1),1+('Control Room'!$C$13-1)*EXP(-0.5*(($A191-'Control Room'!$A$13-('Control Room'!$B$13-1)/2)/MAX(0.5,'Control Room'!$B$13/4))^2),1)*IF(AND($A191&gt;='Control Room'!$A$14,$A191&lt;'Control Room'!$A$14+'Control Room'!$B$14,'Process'!BM3=1),1+('Control Room'!$C$14-1)*EXP(-0.5*(($A191-'Control Room'!$A$14-('Control Room'!$B$14-1)/2)/MAX(0.5,'Control Room'!$B$14/4))^2),1)*IF(AND($A191&gt;='Control Room'!$A$15,$A191&lt;'Control Room'!$A$15+'Control Room'!$B$15,'Process'!BM4=1),1+('Control Room'!$C$15-1)*EXP(-0.5*(($A191-'Control Room'!$A$15-('Control Room'!$B$15-1)/2)/MAX(0.5,'Control Room'!$B$15/4))^2),1)*IF(AND($A191&gt;='Control Room'!$A$16,$A191&lt;'Control Room'!$A$16+'Control Room'!$B$16,'Process'!BM5=1),1+('Control Room'!$C$16-1)*EXP(-0.5*(($A191-'Control Room'!$A$16-('Control Room'!$B$16-1)/2)/MAX(0.5,'Control Room'!$B$16/4))^2),1)</x:f>
        <x:v>1</x:v>
      </x:c>
      <x:c r="Q191" s="9" t="n">
        <x:f>MOD(R190*16807,2147483647)</x:f>
        <x:v>2117962569</x:v>
      </x:c>
      <x:c r="R191" s="9" t="n">
        <x:f>MOD(Q191*16807,2147483647)</x:f>
        <x:v>2055448158</x:v>
      </x:c>
      <x:c r="S191" s="17" t="n">
        <x:f>IF('Control Room'!$B$5="Normal",'Control Room'!$B$7+'Control Room'!$D$7*SQRT(-2*LN(MAX(0.000000000001,Q191/2147483647)))*COS(2*PI()*R191/2147483647),'Control Room'!$B$8+('Control Room'!$D$8-'Control Room'!$B$8)*Q191/2147483647)</x:f>
        <x:v>1014.4351060348386</x:v>
      </x:c>
      <x:c r="T191" s="17" t="n">
        <x:f>IF('Control Room'!$B$5="Normal",'Control Room'!$B$7,('Control Room'!$B$8+'Control Room'!$D$8)/2)+'Control Room'!$B$9*(T190-IF('Control Room'!$B$5="Normal",'Control Room'!$B$7,('Control Room'!$B$8+'Control Room'!$D$8)/2))+SQRT(1-'Control Room'!$B$9^2)*(S191-IF('Control Room'!$B$5="Normal",'Control Room'!$B$7,('Control Room'!$B$8+'Control Room'!$D$8)/2))</x:f>
        <x:v>1008.4483585932292</x:v>
      </x:c>
      <x:c r="U191" s="17" t="n">
        <x:f>IF(AND($A191&gt;='Control Room'!$A$13,$A191&lt;'Control Room'!$A$13+'Control Room'!$B$13,'Process'!BN2=1),1+('Control Room'!$C$13-1)*EXP(-0.5*(($A191-'Control Room'!$A$13-('Control Room'!$B$13-1)/2)/MAX(0.5,'Control Room'!$B$13/4))^2),1)*IF(AND($A191&gt;='Control Room'!$A$14,$A191&lt;'Control Room'!$A$14+'Control Room'!$B$14,'Process'!BN3=1),1+('Control Room'!$C$14-1)*EXP(-0.5*(($A191-'Control Room'!$A$14-('Control Room'!$B$14-1)/2)/MAX(0.5,'Control Room'!$B$14/4))^2),1)*IF(AND($A191&gt;='Control Room'!$A$15,$A191&lt;'Control Room'!$A$15+'Control Room'!$B$15,'Process'!BN4=1),1+('Control Room'!$C$15-1)*EXP(-0.5*(($A191-'Control Room'!$A$15-('Control Room'!$B$15-1)/2)/MAX(0.5,'Control Room'!$B$15/4))^2),1)*IF(AND($A191&gt;='Control Room'!$A$16,$A191&lt;'Control Room'!$A$16+'Control Room'!$B$16,'Process'!BN5=1),1+('Control Room'!$C$16-1)*EXP(-0.5*(($A191-'Control Room'!$A$16-('Control Room'!$B$16-1)/2)/MAX(0.5,'Control Room'!$B$16/4))^2),1)</x:f>
        <x:v>1</x:v>
      </x:c>
      <x:c r="V191" s="9" t="n">
        <x:f>MOD(W190*16807,2147483647)</x:f>
        <x:v>788974206</x:v>
      </x:c>
      <x:c r="W191" s="9" t="n">
        <x:f>MOD(V191*16807,2147483647)</x:f>
        <x:v>1725443664</x:v>
      </x:c>
      <x:c r="X191" s="17" t="n">
        <x:f>IF('Control Room'!$B$5="Normal",'Control Room'!$B$7+'Control Room'!$D$7*SQRT(-2*LN(MAX(0.000000000001,V191/2147483647)))*COS(2*PI()*W191/2147483647),'Control Room'!$B$8+('Control Room'!$D$8-'Control Room'!$B$8)*V191/2147483647)</x:f>
        <x:v>1041.9904937993003</x:v>
      </x:c>
      <x:c r="Y191" s="17" t="n">
        <x:f>IF('Control Room'!$B$5="Normal",'Control Room'!$B$7,('Control Room'!$B$8+'Control Room'!$D$8)/2)+'Control Room'!$B$9*(Y190-IF('Control Room'!$B$5="Normal",'Control Room'!$B$7,('Control Room'!$B$8+'Control Room'!$D$8)/2))+SQRT(1-'Control Room'!$B$9^2)*(X191-IF('Control Room'!$B$5="Normal",'Control Room'!$B$7,('Control Room'!$B$8+'Control Room'!$D$8)/2))</x:f>
        <x:v>1042.5518050989156</x:v>
      </x:c>
      <x:c r="Z191" s="17" t="n">
        <x:f>IF(AND($A191&gt;='Control Room'!$A$13,$A191&lt;'Control Room'!$A$13+'Control Room'!$B$13,'Process'!BO2=1),1+('Control Room'!$C$13-1)*EXP(-0.5*(($A191-'Control Room'!$A$13-('Control Room'!$B$13-1)/2)/MAX(0.5,'Control Room'!$B$13/4))^2),1)*IF(AND($A191&gt;='Control Room'!$A$14,$A191&lt;'Control Room'!$A$14+'Control Room'!$B$14,'Process'!BO3=1),1+('Control Room'!$C$14-1)*EXP(-0.5*(($A191-'Control Room'!$A$14-('Control Room'!$B$14-1)/2)/MAX(0.5,'Control Room'!$B$14/4))^2),1)*IF(AND($A191&gt;='Control Room'!$A$15,$A191&lt;'Control Room'!$A$15+'Control Room'!$B$15,'Process'!BO4=1),1+('Control Room'!$C$15-1)*EXP(-0.5*(($A191-'Control Room'!$A$15-('Control Room'!$B$15-1)/2)/MAX(0.5,'Control Room'!$B$15/4))^2),1)*IF(AND($A191&gt;='Control Room'!$A$16,$A191&lt;'Control Room'!$A$16+'Control Room'!$B$16,'Process'!BO5=1),1+('Control Room'!$C$16-1)*EXP(-0.5*(($A191-'Control Room'!$A$16-('Control Room'!$B$16-1)/2)/MAX(0.5,'Control Room'!$B$16/4))^2),1)</x:f>
        <x:v>1</x:v>
      </x:c>
      <x:c r="AA191" s="9" t="n">
        <x:f>MOD(AB190*16807,2147483647)</x:f>
        <x:v>1607469490</x:v>
      </x:c>
      <x:c r="AB191" s="9" t="n">
        <x:f>MOD(AA191*16807,2147483647)</x:f>
        <x:v>1395439170</x:v>
      </x:c>
      <x:c r="AC191" s="17" t="n">
        <x:f>IF('Control Room'!$B$5="Normal",'Control Room'!$B$7+'Control Room'!$D$7*SQRT(-2*LN(MAX(0.000000000001,AA191/2147483647)))*COS(2*PI()*AB191/2147483647),'Control Room'!$B$8+('Control Room'!$D$8-'Control Room'!$B$8)*AA191/2147483647)</x:f>
        <x:v>959.6684594538705</x:v>
      </x:c>
      <x:c r="AD191" s="17" t="n">
        <x:f>IF('Control Room'!$B$5="Normal",'Control Room'!$B$7,('Control Room'!$B$8+'Control Room'!$D$8)/2)+'Control Room'!$B$9*(AD190-IF('Control Room'!$B$5="Normal",'Control Room'!$B$7,('Control Room'!$B$8+'Control Room'!$D$8)/2))+SQRT(1-'Control Room'!$B$9^2)*(AC191-IF('Control Room'!$B$5="Normal",'Control Room'!$B$7,('Control Room'!$B$8+'Control Room'!$D$8)/2))</x:f>
        <x:v>873.56918286176</x:v>
      </x:c>
      <x:c r="AE191" s="17" t="n">
        <x:f>IF(AND($A191&gt;='Control Room'!$A$13,$A191&lt;'Control Room'!$A$13+'Control Room'!$B$13,'Process'!BP2=1),1+('Control Room'!$C$13-1)*EXP(-0.5*(($A191-'Control Room'!$A$13-('Control Room'!$B$13-1)/2)/MAX(0.5,'Control Room'!$B$13/4))^2),1)*IF(AND($A191&gt;='Control Room'!$A$14,$A191&lt;'Control Room'!$A$14+'Control Room'!$B$14,'Process'!BP3=1),1+('Control Room'!$C$14-1)*EXP(-0.5*(($A191-'Control Room'!$A$14-('Control Room'!$B$14-1)/2)/MAX(0.5,'Control Room'!$B$14/4))^2),1)*IF(AND($A191&gt;='Control Room'!$A$15,$A191&lt;'Control Room'!$A$15+'Control Room'!$B$15,'Process'!BP4=1),1+('Control Room'!$C$15-1)*EXP(-0.5*(($A191-'Control Room'!$A$15-('Control Room'!$B$15-1)/2)/MAX(0.5,'Control Room'!$B$15/4))^2),1)*IF(AND($A191&gt;='Control Room'!$A$16,$A191&lt;'Control Room'!$A$16+'Control Room'!$B$16,'Process'!BP5=1),1+('Control Room'!$C$16-1)*EXP(-0.5*(($A191-'Control Room'!$A$16-('Control Room'!$B$16-1)/2)/MAX(0.5,'Control Room'!$B$16/4))^2),1)</x:f>
        <x:v>1</x:v>
      </x:c>
      <x:c r="AF191" s="9" t="n">
        <x:f>MOD(AG190*16807,2147483647)</x:f>
        <x:v>278481127</x:v>
      </x:c>
      <x:c r="AG191" s="9" t="n">
        <x:f>MOD(AF191*16807,2147483647)</x:f>
        <x:v>1065434676</x:v>
      </x:c>
      <x:c r="AH191" s="17" t="n">
        <x:f>IF('Control Room'!$B$5="Normal",'Control Room'!$B$7+'Control Room'!$D$7*SQRT(-2*LN(MAX(0.000000000001,AF191/2147483647)))*COS(2*PI()*AG191/2147483647),'Control Room'!$B$8+('Control Room'!$D$8-'Control Room'!$B$8)*AF191/2147483647)</x:f>
        <x:v>818.1422995668586</x:v>
      </x:c>
      <x:c r="AI191" s="17" t="n">
        <x:f>IF('Control Room'!$B$5="Normal",'Control Room'!$B$7,('Control Room'!$B$8+'Control Room'!$D$8)/2)+'Control Room'!$B$9*(AI190-IF('Control Room'!$B$5="Normal",'Control Room'!$B$7,('Control Room'!$B$8+'Control Room'!$D$8)/2))+SQRT(1-'Control Room'!$B$9^2)*(AH191-IF('Control Room'!$B$5="Normal",'Control Room'!$B$7,('Control Room'!$B$8+'Control Room'!$D$8)/2))</x:f>
        <x:v>873.8958279702426</x:v>
      </x:c>
      <x:c r="AJ191" s="17" t="n">
        <x:f>IF(AND($A191&gt;='Control Room'!$A$13,$A191&lt;'Control Room'!$A$13+'Control Room'!$B$13,'Process'!BQ2=1),1+('Control Room'!$C$13-1)*EXP(-0.5*(($A191-'Control Room'!$A$13-('Control Room'!$B$13-1)/2)/MAX(0.5,'Control Room'!$B$13/4))^2),1)*IF(AND($A191&gt;='Control Room'!$A$14,$A191&lt;'Control Room'!$A$14+'Control Room'!$B$14,'Process'!BQ3=1),1+('Control Room'!$C$14-1)*EXP(-0.5*(($A191-'Control Room'!$A$14-('Control Room'!$B$14-1)/2)/MAX(0.5,'Control Room'!$B$14/4))^2),1)*IF(AND($A191&gt;='Control Room'!$A$15,$A191&lt;'Control Room'!$A$15+'Control Room'!$B$15,'Process'!BQ4=1),1+('Control Room'!$C$15-1)*EXP(-0.5*(($A191-'Control Room'!$A$15-('Control Room'!$B$15-1)/2)/MAX(0.5,'Control Room'!$B$15/4))^2),1)*IF(AND($A191&gt;='Control Room'!$A$16,$A191&lt;'Control Room'!$A$16+'Control Room'!$B$16,'Process'!BQ5=1),1+('Control Room'!$C$16-1)*EXP(-0.5*(($A191-'Control Room'!$A$16-('Control Room'!$B$16-1)/2)/MAX(0.5,'Control Room'!$B$16/4))^2),1)</x:f>
        <x:v>1</x:v>
      </x:c>
      <x:c r="AK191" s="9" t="n">
        <x:f>MOD(AL190*16807,2147483647)</x:f>
        <x:v>1096976411</x:v>
      </x:c>
      <x:c r="AL191" s="9" t="n">
        <x:f>MOD(AK191*16807,2147483647)</x:f>
        <x:v>735430182</x:v>
      </x:c>
      <x:c r="AM191" s="17" t="n">
        <x:f>IF('Control Room'!$B$5="Normal",'Control Room'!$B$7+'Control Room'!$D$7*SQRT(-2*LN(MAX(0.000000000001,AK191/2147483647)))*COS(2*PI()*AL191/2147483647),'Control Room'!$B$8+('Control Room'!$D$8-'Control Room'!$B$8)*AK191/2147483647)</x:f>
        <x:v>942.7483938915452</x:v>
      </x:c>
      <x:c r="AN191" s="17" t="n">
        <x:f>IF('Control Room'!$B$5="Normal",'Control Room'!$B$7,('Control Room'!$B$8+'Control Room'!$D$8)/2)+'Control Room'!$B$9*(AN190-IF('Control Room'!$B$5="Normal",'Control Room'!$B$7,('Control Room'!$B$8+'Control Room'!$D$8)/2))+SQRT(1-'Control Room'!$B$9^2)*(AM191-IF('Control Room'!$B$5="Normal",'Control Room'!$B$7,('Control Room'!$B$8+'Control Room'!$D$8)/2))</x:f>
        <x:v>1068.0106066950627</x:v>
      </x:c>
      <x:c r="AO191" s="17" t="n">
        <x:f>IF(AND($A191&gt;='Control Room'!$A$13,$A191&lt;'Control Room'!$A$13+'Control Room'!$B$13,'Process'!BR2=1),1+('Control Room'!$C$13-1)*EXP(-0.5*(($A191-'Control Room'!$A$13-('Control Room'!$B$13-1)/2)/MAX(0.5,'Control Room'!$B$13/4))^2),1)*IF(AND($A191&gt;='Control Room'!$A$14,$A191&lt;'Control Room'!$A$14+'Control Room'!$B$14,'Process'!BR3=1),1+('Control Room'!$C$14-1)*EXP(-0.5*(($A191-'Control Room'!$A$14-('Control Room'!$B$14-1)/2)/MAX(0.5,'Control Room'!$B$14/4))^2),1)*IF(AND($A191&gt;='Control Room'!$A$15,$A191&lt;'Control Room'!$A$15+'Control Room'!$B$15,'Process'!BR4=1),1+('Control Room'!$C$15-1)*EXP(-0.5*(($A191-'Control Room'!$A$15-('Control Room'!$B$15-1)/2)/MAX(0.5,'Control Room'!$B$15/4))^2),1)*IF(AND($A191&gt;='Control Room'!$A$16,$A191&lt;'Control Room'!$A$16+'Control Room'!$B$16,'Process'!BR5=1),1+('Control Room'!$C$16-1)*EXP(-0.5*(($A191-'Control Room'!$A$16-('Control Room'!$B$16-1)/2)/MAX(0.5,'Control Room'!$B$16/4))^2),1)</x:f>
        <x:v>1</x:v>
      </x:c>
      <x:c r="AP191" s="9" t="n">
        <x:f>MOD(AQ190*16807,2147483647)</x:f>
        <x:v>1915471695</x:v>
      </x:c>
      <x:c r="AQ191" s="9" t="n">
        <x:f>MOD(AP191*16807,2147483647)</x:f>
        <x:v>405425688</x:v>
      </x:c>
      <x:c r="AR191" s="17" t="n">
        <x:f>IF('Control Room'!$B$5="Normal",'Control Room'!$B$7+'Control Room'!$D$7*SQRT(-2*LN(MAX(0.000000000001,AP191/2147483647)))*COS(2*PI()*AQ191/2147483647),'Control Room'!$B$8+('Control Room'!$D$8-'Control Room'!$B$8)*AP191/2147483647)</x:f>
        <x:v>1016.1465100247939</x:v>
      </x:c>
      <x:c r="AS191" s="17" t="n">
        <x:f>IF('Control Room'!$B$5="Normal",'Control Room'!$B$7,('Control Room'!$B$8+'Control Room'!$D$8)/2)+'Control Room'!$B$9*(AS190-IF('Control Room'!$B$5="Normal",'Control Room'!$B$7,('Control Room'!$B$8+'Control Room'!$D$8)/2))+SQRT(1-'Control Room'!$B$9^2)*(AR191-IF('Control Room'!$B$5="Normal",'Control Room'!$B$7,('Control Room'!$B$8+'Control Room'!$D$8)/2))</x:f>
        <x:v>1035.022464135005</x:v>
      </x:c>
      <x:c r="AT191" s="17" t="n">
        <x:f>IF(AND($A191&gt;='Control Room'!$A$13,$A191&lt;'Control Room'!$A$13+'Control Room'!$B$13,'Process'!BS2=1),1+('Control Room'!$C$13-1)*EXP(-0.5*(($A191-'Control Room'!$A$13-('Control Room'!$B$13-1)/2)/MAX(0.5,'Control Room'!$B$13/4))^2),1)*IF(AND($A191&gt;='Control Room'!$A$14,$A191&lt;'Control Room'!$A$14+'Control Room'!$B$14,'Process'!BS3=1),1+('Control Room'!$C$14-1)*EXP(-0.5*(($A191-'Control Room'!$A$14-('Control Room'!$B$14-1)/2)/MAX(0.5,'Control Room'!$B$14/4))^2),1)*IF(AND($A191&gt;='Control Room'!$A$15,$A191&lt;'Control Room'!$A$15+'Control Room'!$B$15,'Process'!BS4=1),1+('Control Room'!$C$15-1)*EXP(-0.5*(($A191-'Control Room'!$A$15-('Control Room'!$B$15-1)/2)/MAX(0.5,'Control Room'!$B$15/4))^2),1)*IF(AND($A191&gt;='Control Room'!$A$16,$A191&lt;'Control Room'!$A$16+'Control Room'!$B$16,'Process'!BS5=1),1+('Control Room'!$C$16-1)*EXP(-0.5*(($A191-'Control Room'!$A$16-('Control Room'!$B$16-1)/2)/MAX(0.5,'Control Room'!$B$16/4))^2),1)</x:f>
        <x:v>1</x:v>
      </x:c>
      <x:c r="AU191" s="9" t="n">
        <x:f>MOD(AV190*16807,2147483647)</x:f>
        <x:v>586483332</x:v>
      </x:c>
      <x:c r="AV191" s="9" t="n">
        <x:f>MOD(AU191*16807,2147483647)</x:f>
        <x:v>75421194</x:v>
      </x:c>
      <x:c r="AW191" s="17" t="n">
        <x:f>IF('Control Room'!$B$5="Normal",'Control Room'!$B$7+'Control Room'!$D$7*SQRT(-2*LN(MAX(0.000000000001,AU191/2147483647)))*COS(2*PI()*AV191/2147483647),'Control Room'!$B$8+('Control Room'!$D$8-'Control Room'!$B$8)*AU191/2147483647)</x:f>
        <x:v>1141.4876175551021</x:v>
      </x:c>
      <x:c r="AX191" s="17" t="n">
        <x:f>IF('Control Room'!$B$5="Normal",'Control Room'!$B$7,('Control Room'!$B$8+'Control Room'!$D$8)/2)+'Control Room'!$B$9*(AX190-IF('Control Room'!$B$5="Normal",'Control Room'!$B$7,('Control Room'!$B$8+'Control Room'!$D$8)/2))+SQRT(1-'Control Room'!$B$9^2)*(AW191-IF('Control Room'!$B$5="Normal",'Control Room'!$B$7,('Control Room'!$B$8+'Control Room'!$D$8)/2))</x:f>
        <x:v>1026.3009486229548</x:v>
      </x:c>
      <x:c r="AY191" s="17" t="n">
        <x:f>IF(AND($A191&gt;='Control Room'!$A$13,$A191&lt;'Control Room'!$A$13+'Control Room'!$B$13,'Process'!BT2=1),1+('Control Room'!$C$13-1)*EXP(-0.5*(($A191-'Control Room'!$A$13-('Control Room'!$B$13-1)/2)/MAX(0.5,'Control Room'!$B$13/4))^2),1)*IF(AND($A191&gt;='Control Room'!$A$14,$A191&lt;'Control Room'!$A$14+'Control Room'!$B$14,'Process'!BT3=1),1+('Control Room'!$C$14-1)*EXP(-0.5*(($A191-'Control Room'!$A$14-('Control Room'!$B$14-1)/2)/MAX(0.5,'Control Room'!$B$14/4))^2),1)*IF(AND($A191&gt;='Control Room'!$A$15,$A191&lt;'Control Room'!$A$15+'Control Room'!$B$15,'Process'!BT4=1),1+('Control Room'!$C$15-1)*EXP(-0.5*(($A191-'Control Room'!$A$15-('Control Room'!$B$15-1)/2)/MAX(0.5,'Control Room'!$B$15/4))^2),1)*IF(AND($A191&gt;='Control Room'!$A$16,$A191&lt;'Control Room'!$A$16+'Control Room'!$B$16,'Process'!BT5=1),1+('Control Room'!$C$16-1)*EXP(-0.5*(($A191-'Control Room'!$A$16-('Control Room'!$B$16-1)/2)/MAX(0.5,'Control Room'!$B$16/4))^2),1)</x:f>
        <x:v>1</x:v>
      </x:c>
      <x:c r="AZ191" s="9" t="n">
        <x:f>MOD(BA190*16807,2147483647)</x:f>
        <x:v>1404978616</x:v>
      </x:c>
      <x:c r="BA191" s="9" t="n">
        <x:f>MOD(AZ191*16807,2147483647)</x:f>
        <x:v>1892900347</x:v>
      </x:c>
      <x:c r="BB191" s="17" t="n">
        <x:f>IF('Control Room'!$B$5="Normal",'Control Room'!$B$7+'Control Room'!$D$7*SQRT(-2*LN(MAX(0.000000000001,AZ191/2147483647)))*COS(2*PI()*BA191/2147483647),'Control Room'!$B$8+('Control Room'!$D$8-'Control Room'!$B$8)*AZ191/2147483647)</x:f>
        <x:v>1060.9498714227152</x:v>
      </x:c>
      <x:c r="BC191" s="17" t="n">
        <x:f>IF('Control Room'!$B$5="Normal",'Control Room'!$B$7,('Control Room'!$B$8+'Control Room'!$D$8)/2)+'Control Room'!$B$9*(BC190-IF('Control Room'!$B$5="Normal",'Control Room'!$B$7,('Control Room'!$B$8+'Control Room'!$D$8)/2))+SQRT(1-'Control Room'!$B$9^2)*(BB191-IF('Control Room'!$B$5="Normal",'Control Room'!$B$7,('Control Room'!$B$8+'Control Room'!$D$8)/2))</x:f>
        <x:v>1094.657827430969</x:v>
      </x:c>
      <x:c r="BD191" s="17" t="n">
        <x:f>IF(AND($A191&gt;='Control Room'!$A$13,$A191&lt;'Control Room'!$A$13+'Control Room'!$B$13,'Process'!BU2=1),1+('Control Room'!$C$13-1)*EXP(-0.5*(($A191-'Control Room'!$A$13-('Control Room'!$B$13-1)/2)/MAX(0.5,'Control Room'!$B$13/4))^2),1)*IF(AND($A191&gt;='Control Room'!$A$14,$A191&lt;'Control Room'!$A$14+'Control Room'!$B$14,'Process'!BU3=1),1+('Control Room'!$C$14-1)*EXP(-0.5*(($A191-'Control Room'!$A$14-('Control Room'!$B$14-1)/2)/MAX(0.5,'Control Room'!$B$14/4))^2),1)*IF(AND($A191&gt;='Control Room'!$A$15,$A191&lt;'Control Room'!$A$15+'Control Room'!$B$15,'Process'!BU4=1),1+('Control Room'!$C$15-1)*EXP(-0.5*(($A191-'Control Room'!$A$15-('Control Room'!$B$15-1)/2)/MAX(0.5,'Control Room'!$B$15/4))^2),1)*IF(AND($A191&gt;='Control Room'!$A$16,$A191&lt;'Control Room'!$A$16+'Control Room'!$B$16,'Process'!BU5=1),1+('Control Room'!$C$16-1)*EXP(-0.5*(($A191-'Control Room'!$A$16-('Control Room'!$B$16-1)/2)/MAX(0.5,'Control Room'!$B$16/4))^2),1)</x:f>
        <x:v>1</x:v>
      </x:c>
      <x:c r="BE191" s="9" t="n">
        <x:f>MOD(BF190*16807,2147483647)</x:f>
        <x:v>75990253</x:v>
      </x:c>
      <x:c r="BF191" s="9" t="n">
        <x:f>MOD(BE191*16807,2147483647)</x:f>
        <x:v>1562895853</x:v>
      </x:c>
      <x:c r="BG191" s="17" t="n">
        <x:f>IF('Control Room'!$B$5="Normal",'Control Room'!$B$7+'Control Room'!$D$7*SQRT(-2*LN(MAX(0.000000000001,BE191/2147483647)))*COS(2*PI()*BF191/2147483647),'Control Room'!$B$8+('Control Room'!$D$8-'Control Room'!$B$8)*BE191/2147483647)</x:f>
        <x:v>967.6231122322454</x:v>
      </x:c>
      <x:c r="BH191" s="17" t="n">
        <x:f>IF('Control Room'!$B$5="Normal",'Control Room'!$B$7,('Control Room'!$B$8+'Control Room'!$D$8)/2)+'Control Room'!$B$9*(BH190-IF('Control Room'!$B$5="Normal",'Control Room'!$B$7,('Control Room'!$B$8+'Control Room'!$D$8)/2))+SQRT(1-'Control Room'!$B$9^2)*(BG191-IF('Control Room'!$B$5="Normal",'Control Room'!$B$7,('Control Room'!$B$8+'Control Room'!$D$8)/2))</x:f>
        <x:v>1076.613488537763</x:v>
      </x:c>
      <x:c r="BI191" s="17" t="n">
        <x:f>IF(AND($A191&gt;='Control Room'!$A$13,$A191&lt;'Control Room'!$A$13+'Control Room'!$B$13,'Process'!BV2=1),1+('Control Room'!$C$13-1)*EXP(-0.5*(($A191-'Control Room'!$A$13-('Control Room'!$B$13-1)/2)/MAX(0.5,'Control Room'!$B$13/4))^2),1)*IF(AND($A191&gt;='Control Room'!$A$14,$A191&lt;'Control Room'!$A$14+'Control Room'!$B$14,'Process'!BV3=1),1+('Control Room'!$C$14-1)*EXP(-0.5*(($A191-'Control Room'!$A$14-('Control Room'!$B$14-1)/2)/MAX(0.5,'Control Room'!$B$14/4))^2),1)*IF(AND($A191&gt;='Control Room'!$A$15,$A191&lt;'Control Room'!$A$15+'Control Room'!$B$15,'Process'!BV4=1),1+('Control Room'!$C$15-1)*EXP(-0.5*(($A191-'Control Room'!$A$15-('Control Room'!$B$15-1)/2)/MAX(0.5,'Control Room'!$B$15/4))^2),1)*IF(AND($A191&gt;='Control Room'!$A$16,$A191&lt;'Control Room'!$A$16+'Control Room'!$B$16,'Process'!BV5=1),1+('Control Room'!$C$16-1)*EXP(-0.5*(($A191-'Control Room'!$A$16-('Control Room'!$B$16-1)/2)/MAX(0.5,'Control Room'!$B$16/4))^2),1)</x:f>
        <x:v>1</x:v>
      </x:c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Z191" t="str">
        <x:f>IF('Data'!A191="","",TEXT('Data'!A191,"mm-dd"))</x:f>
      </x:c>
    </x:row>
    <x:row r="192" ht="21" customHeight="1">
      <x:c r="A192" s="15" t="n">
        <x:f>'Control Room'!$B$1+190</x:f>
        <x:v>73181</x:v>
      </x:c>
      <x:c r="B192" s="9" t="n">
        <x:f>MOD(C191*16807,2147483647)</x:f>
        <x:v>1948540882</x:v>
      </x:c>
      <x:c r="C192" s="9" t="n">
        <x:f>MOD(B192*16807,2147483647)</x:f>
        <x:v>987024</x:v>
      </x:c>
      <x:c r="D192" s="17" t="n">
        <x:f>IF('Control Room'!$B$5="Normal",'Control Room'!$B$7+'Control Room'!$D$7*SQRT(-2*LN(MAX(0.000000000001,B192/2147483647)))*COS(2*PI()*C192/2147483647),'Control Room'!$B$8+('Control Room'!$D$8-'Control Room'!$B$8)*B192/2147483647)</x:f>
        <x:v>1039.684820548427</x:v>
      </x:c>
      <x:c r="E192" s="17" t="n">
        <x:f>IF('Control Room'!$B$5="Normal",'Control Room'!$B$7,('Control Room'!$B$8+'Control Room'!$D$8)/2)+'Control Room'!$B$9*(E191-IF('Control Room'!$B$5="Normal",'Control Room'!$B$7,('Control Room'!$B$8+'Control Room'!$D$8)/2))+SQRT(1-'Control Room'!$B$9^2)*(D192-IF('Control Room'!$B$5="Normal",'Control Room'!$B$7,('Control Room'!$B$8+'Control Room'!$D$8)/2))</x:f>
        <x:v>1040.1647243790203</x:v>
      </x:c>
      <x:c r="F192" s="17" t="n">
        <x:f>IF(AND($A192&gt;='Control Room'!$A$13,$A192&lt;'Control Room'!$A$13+'Control Room'!$B$13,'Process'!BK2=1),1+('Control Room'!$C$13-1)*EXP(-0.5*(($A192-'Control Room'!$A$13-('Control Room'!$B$13-1)/2)/MAX(0.5,'Control Room'!$B$13/4))^2),1)*IF(AND($A192&gt;='Control Room'!$A$14,$A192&lt;'Control Room'!$A$14+'Control Room'!$B$14,'Process'!BK3=1),1+('Control Room'!$C$14-1)*EXP(-0.5*(($A192-'Control Room'!$A$14-('Control Room'!$B$14-1)/2)/MAX(0.5,'Control Room'!$B$14/4))^2),1)*IF(AND($A192&gt;='Control Room'!$A$15,$A192&lt;'Control Room'!$A$15+'Control Room'!$B$15,'Process'!BK4=1),1+('Control Room'!$C$15-1)*EXP(-0.5*(($A192-'Control Room'!$A$15-('Control Room'!$B$15-1)/2)/MAX(0.5,'Control Room'!$B$15/4))^2),1)*IF(AND($A192&gt;='Control Room'!$A$16,$A192&lt;'Control Room'!$A$16+'Control Room'!$B$16,'Process'!BK5=1),1+('Control Room'!$C$16-1)*EXP(-0.5*(($A192-'Control Room'!$A$16-('Control Room'!$B$16-1)/2)/MAX(0.5,'Control Room'!$B$16/4))^2),1)</x:f>
        <x:v>1</x:v>
      </x:c>
      <x:c r="G192" s="9" t="n">
        <x:f>MOD(H191*16807,2147483647)</x:f>
        <x:v>365786778</x:v>
      </x:c>
      <x:c r="H192" s="9" t="n">
        <x:f>MOD(G192*16807,2147483647)</x:f>
        <x:v>1680180132</x:v>
      </x:c>
      <x:c r="I192" s="17" t="n">
        <x:f>IF('Control Room'!$B$5="Normal",'Control Room'!$B$7+'Control Room'!$D$7*SQRT(-2*LN(MAX(0.000000000001,G192/2147483647)))*COS(2*PI()*H192/2147483647),'Control Room'!$B$8+('Control Room'!$D$8-'Control Room'!$B$8)*G192/2147483647)</x:f>
        <x:v>1034.2292309248476</x:v>
      </x:c>
      <x:c r="J192" s="17" t="n">
        <x:f>IF('Control Room'!$B$5="Normal",'Control Room'!$B$7,('Control Room'!$B$8+'Control Room'!$D$8)/2)+'Control Room'!$B$9*(J191-IF('Control Room'!$B$5="Normal",'Control Room'!$B$7,('Control Room'!$B$8+'Control Room'!$D$8)/2))+SQRT(1-'Control Room'!$B$9^2)*(I192-IF('Control Room'!$B$5="Normal",'Control Room'!$B$7,('Control Room'!$B$8+'Control Room'!$D$8)/2))</x:f>
        <x:v>1040.2590408568085</x:v>
      </x:c>
      <x:c r="K192" s="17" t="n">
        <x:f>IF(AND($A192&gt;='Control Room'!$A$13,$A192&lt;'Control Room'!$A$13+'Control Room'!$B$13,'Process'!BL2=1),1+('Control Room'!$C$13-1)*EXP(-0.5*(($A192-'Control Room'!$A$13-('Control Room'!$B$13-1)/2)/MAX(0.5,'Control Room'!$B$13/4))^2),1)*IF(AND($A192&gt;='Control Room'!$A$14,$A192&lt;'Control Room'!$A$14+'Control Room'!$B$14,'Process'!BL3=1),1+('Control Room'!$C$14-1)*EXP(-0.5*(($A192-'Control Room'!$A$14-('Control Room'!$B$14-1)/2)/MAX(0.5,'Control Room'!$B$14/4))^2),1)*IF(AND($A192&gt;='Control Room'!$A$15,$A192&lt;'Control Room'!$A$15+'Control Room'!$B$15,'Process'!BL4=1),1+('Control Room'!$C$15-1)*EXP(-0.5*(($A192-'Control Room'!$A$15-('Control Room'!$B$15-1)/2)/MAX(0.5,'Control Room'!$B$15/4))^2),1)*IF(AND($A192&gt;='Control Room'!$A$16,$A192&lt;'Control Room'!$A$16+'Control Room'!$B$16,'Process'!BL5=1),1+('Control Room'!$C$16-1)*EXP(-0.5*(($A192-'Control Room'!$A$16-('Control Room'!$B$16-1)/2)/MAX(0.5,'Control Room'!$B$16/4))^2),1)</x:f>
        <x:v>1</x:v>
      </x:c>
      <x:c r="L192" s="9" t="n">
        <x:f>MOD(M191*16807,2147483647)</x:f>
        <x:v>930516321</x:v>
      </x:c>
      <x:c r="M192" s="9" t="n">
        <x:f>MOD(L192*16807,2147483647)</x:f>
        <x:v>1211889593</x:v>
      </x:c>
      <x:c r="N192" s="17" t="n">
        <x:f>IF('Control Room'!$B$5="Normal",'Control Room'!$B$7+'Control Room'!$D$7*SQRT(-2*LN(MAX(0.000000000001,L192/2147483647)))*COS(2*PI()*M192/2147483647),'Control Room'!$B$8+('Control Room'!$D$8-'Control Room'!$B$8)*L192/2147483647)</x:f>
        <x:v>892.982480360539</x:v>
      </x:c>
      <x:c r="O192" s="17" t="n">
        <x:f>IF('Control Room'!$B$5="Normal",'Control Room'!$B$7,('Control Room'!$B$8+'Control Room'!$D$8)/2)+'Control Room'!$B$9*(O191-IF('Control Room'!$B$5="Normal",'Control Room'!$B$7,('Control Room'!$B$8+'Control Room'!$D$8)/2))+SQRT(1-'Control Room'!$B$9^2)*(N192-IF('Control Room'!$B$5="Normal",'Control Room'!$B$7,('Control Room'!$B$8+'Control Room'!$D$8)/2))</x:f>
        <x:v>886.362882233974</x:v>
      </x:c>
      <x:c r="P192" s="17" t="n">
        <x:f>IF(AND($A192&gt;='Control Room'!$A$13,$A192&lt;'Control Room'!$A$13+'Control Room'!$B$13,'Process'!BM2=1),1+('Control Room'!$C$13-1)*EXP(-0.5*(($A192-'Control Room'!$A$13-('Control Room'!$B$13-1)/2)/MAX(0.5,'Control Room'!$B$13/4))^2),1)*IF(AND($A192&gt;='Control Room'!$A$14,$A192&lt;'Control Room'!$A$14+'Control Room'!$B$14,'Process'!BM3=1),1+('Control Room'!$C$14-1)*EXP(-0.5*(($A192-'Control Room'!$A$14-('Control Room'!$B$14-1)/2)/MAX(0.5,'Control Room'!$B$14/4))^2),1)*IF(AND($A192&gt;='Control Room'!$A$15,$A192&lt;'Control Room'!$A$15+'Control Room'!$B$15,'Process'!BM4=1),1+('Control Room'!$C$15-1)*EXP(-0.5*(($A192-'Control Room'!$A$15-('Control Room'!$B$15-1)/2)/MAX(0.5,'Control Room'!$B$15/4))^2),1)*IF(AND($A192&gt;='Control Room'!$A$16,$A192&lt;'Control Room'!$A$16+'Control Room'!$B$16,'Process'!BM5=1),1+('Control Room'!$C$16-1)*EXP(-0.5*(($A192-'Control Room'!$A$16-('Control Room'!$B$16-1)/2)/MAX(0.5,'Control Room'!$B$16/4))^2),1)</x:f>
        <x:v>1</x:v>
      </x:c>
      <x:c r="Q192" s="9" t="n">
        <x:f>MOD(R191*16807,2147483647)</x:f>
        <x:v>1495245864</x:v>
      </x:c>
      <x:c r="R192" s="9" t="n">
        <x:f>MOD(Q192*16807,2147483647)</x:f>
        <x:v>743599054</x:v>
      </x:c>
      <x:c r="S192" s="17" t="n">
        <x:f>IF('Control Room'!$B$5="Normal",'Control Room'!$B$7+'Control Room'!$D$7*SQRT(-2*LN(MAX(0.000000000001,Q192/2147483647)))*COS(2*PI()*R192/2147483647),'Control Room'!$B$8+('Control Room'!$D$8-'Control Room'!$B$8)*Q192/2147483647)</x:f>
        <x:v>956.45347080302</x:v>
      </x:c>
      <x:c r="T192" s="17" t="n">
        <x:f>IF('Control Room'!$B$5="Normal",'Control Room'!$B$7,('Control Room'!$B$8+'Control Room'!$D$8)/2)+'Control Room'!$B$9*(T191-IF('Control Room'!$B$5="Normal",'Control Room'!$B$7,('Control Room'!$B$8+'Control Room'!$D$8)/2))+SQRT(1-'Control Room'!$B$9^2)*(S192-IF('Control Room'!$B$5="Normal",'Control Room'!$B$7,('Control Room'!$B$8+'Control Room'!$D$8)/2))</x:f>
        <x:v>979.3391938303891</x:v>
      </x:c>
      <x:c r="U192" s="17" t="n">
        <x:f>IF(AND($A192&gt;='Control Room'!$A$13,$A192&lt;'Control Room'!$A$13+'Control Room'!$B$13,'Process'!BN2=1),1+('Control Room'!$C$13-1)*EXP(-0.5*(($A192-'Control Room'!$A$13-('Control Room'!$B$13-1)/2)/MAX(0.5,'Control Room'!$B$13/4))^2),1)*IF(AND($A192&gt;='Control Room'!$A$14,$A192&lt;'Control Room'!$A$14+'Control Room'!$B$14,'Process'!BN3=1),1+('Control Room'!$C$14-1)*EXP(-0.5*(($A192-'Control Room'!$A$14-('Control Room'!$B$14-1)/2)/MAX(0.5,'Control Room'!$B$14/4))^2),1)*IF(AND($A192&gt;='Control Room'!$A$15,$A192&lt;'Control Room'!$A$15+'Control Room'!$B$15,'Process'!BN4=1),1+('Control Room'!$C$15-1)*EXP(-0.5*(($A192-'Control Room'!$A$15-('Control Room'!$B$15-1)/2)/MAX(0.5,'Control Room'!$B$15/4))^2),1)*IF(AND($A192&gt;='Control Room'!$A$16,$A192&lt;'Control Room'!$A$16+'Control Room'!$B$16,'Process'!BN5=1),1+('Control Room'!$C$16-1)*EXP(-0.5*(($A192-'Control Room'!$A$16-('Control Room'!$B$16-1)/2)/MAX(0.5,'Control Room'!$B$16/4))^2),1)</x:f>
        <x:v>1</x:v>
      </x:c>
      <x:c r="V192" s="9" t="n">
        <x:f>MOD(W191*16807,2147483647)</x:f>
        <x:v>2059975407</x:v>
      </x:c>
      <x:c r="W192" s="9" t="n">
        <x:f>MOD(V192*16807,2147483647)</x:f>
        <x:v>275308515</x:v>
      </x:c>
      <x:c r="X192" s="17" t="n">
        <x:f>IF('Control Room'!$B$5="Normal",'Control Room'!$B$7+'Control Room'!$D$7*SQRT(-2*LN(MAX(0.000000000001,V192/2147483647)))*COS(2*PI()*W192/2147483647),'Control Room'!$B$8+('Control Room'!$D$8-'Control Room'!$B$8)*V192/2147483647)</x:f>
        <x:v>1017.9842321998035</x:v>
      </x:c>
      <x:c r="Y192" s="17" t="n">
        <x:f>IF('Control Room'!$B$5="Normal",'Control Room'!$B$7,('Control Room'!$B$8+'Control Room'!$D$8)/2)+'Control Room'!$B$9*(Y191-IF('Control Room'!$B$5="Normal",'Control Room'!$B$7,('Control Room'!$B$8+'Control Room'!$D$8)/2))+SQRT(1-'Control Room'!$B$9^2)*(X192-IF('Control Room'!$B$5="Normal",'Control Room'!$B$7,('Control Room'!$B$8+'Control Room'!$D$8)/2))</x:f>
        <x:v>1044.4445720607687</x:v>
      </x:c>
      <x:c r="Z192" s="17" t="n">
        <x:f>IF(AND($A192&gt;='Control Room'!$A$13,$A192&lt;'Control Room'!$A$13+'Control Room'!$B$13,'Process'!BO2=1),1+('Control Room'!$C$13-1)*EXP(-0.5*(($A192-'Control Room'!$A$13-('Control Room'!$B$13-1)/2)/MAX(0.5,'Control Room'!$B$13/4))^2),1)*IF(AND($A192&gt;='Control Room'!$A$14,$A192&lt;'Control Room'!$A$14+'Control Room'!$B$14,'Process'!BO3=1),1+('Control Room'!$C$14-1)*EXP(-0.5*(($A192-'Control Room'!$A$14-('Control Room'!$B$14-1)/2)/MAX(0.5,'Control Room'!$B$14/4))^2),1)*IF(AND($A192&gt;='Control Room'!$A$15,$A192&lt;'Control Room'!$A$15+'Control Room'!$B$15,'Process'!BO4=1),1+('Control Room'!$C$15-1)*EXP(-0.5*(($A192-'Control Room'!$A$15-('Control Room'!$B$15-1)/2)/MAX(0.5,'Control Room'!$B$15/4))^2),1)*IF(AND($A192&gt;='Control Room'!$A$16,$A192&lt;'Control Room'!$A$16+'Control Room'!$B$16,'Process'!BO5=1),1+('Control Room'!$C$16-1)*EXP(-0.5*(($A192-'Control Room'!$A$16-('Control Room'!$B$16-1)/2)/MAX(0.5,'Control Room'!$B$16/4))^2),1)</x:f>
        <x:v>1</x:v>
      </x:c>
      <x:c r="AA192" s="9" t="n">
        <x:f>MOD(AB191*16807,2147483647)</x:f>
        <x:v>477221303</x:v>
      </x:c>
      <x:c r="AB192" s="9" t="n">
        <x:f>MOD(AA192*16807,2147483647)</x:f>
        <x:v>1954501623</x:v>
      </x:c>
      <x:c r="AC192" s="17" t="n">
        <x:f>IF('Control Room'!$B$5="Normal",'Control Room'!$B$7+'Control Room'!$D$7*SQRT(-2*LN(MAX(0.000000000001,AA192/2147483647)))*COS(2*PI()*AB192/2147483647),'Control Room'!$B$8+('Control Room'!$D$8-'Control Room'!$B$8)*AA192/2147483647)</x:f>
        <x:v>1131.867501523476</x:v>
      </x:c>
      <x:c r="AD192" s="17" t="n">
        <x:f>IF('Control Room'!$B$5="Normal",'Control Room'!$B$7,('Control Room'!$B$8+'Control Room'!$D$8)/2)+'Control Room'!$B$9*(AD191-IF('Control Room'!$B$5="Normal",'Control Room'!$B$7,('Control Room'!$B$8+'Control Room'!$D$8)/2))+SQRT(1-'Control Room'!$B$9^2)*(AC192-IF('Control Room'!$B$5="Normal",'Control Room'!$B$7,('Control Room'!$B$8+'Control Room'!$D$8)/2))</x:f>
        <x:v>983.9039436329583</x:v>
      </x:c>
      <x:c r="AE192" s="17" t="n">
        <x:f>IF(AND($A192&gt;='Control Room'!$A$13,$A192&lt;'Control Room'!$A$13+'Control Room'!$B$13,'Process'!BP2=1),1+('Control Room'!$C$13-1)*EXP(-0.5*(($A192-'Control Room'!$A$13-('Control Room'!$B$13-1)/2)/MAX(0.5,'Control Room'!$B$13/4))^2),1)*IF(AND($A192&gt;='Control Room'!$A$14,$A192&lt;'Control Room'!$A$14+'Control Room'!$B$14,'Process'!BP3=1),1+('Control Room'!$C$14-1)*EXP(-0.5*(($A192-'Control Room'!$A$14-('Control Room'!$B$14-1)/2)/MAX(0.5,'Control Room'!$B$14/4))^2),1)*IF(AND($A192&gt;='Control Room'!$A$15,$A192&lt;'Control Room'!$A$15+'Control Room'!$B$15,'Process'!BP4=1),1+('Control Room'!$C$15-1)*EXP(-0.5*(($A192-'Control Room'!$A$15-('Control Room'!$B$15-1)/2)/MAX(0.5,'Control Room'!$B$15/4))^2),1)*IF(AND($A192&gt;='Control Room'!$A$16,$A192&lt;'Control Room'!$A$16+'Control Room'!$B$16,'Process'!BP5=1),1+('Control Room'!$C$16-1)*EXP(-0.5*(($A192-'Control Room'!$A$16-('Control Room'!$B$16-1)/2)/MAX(0.5,'Control Room'!$B$16/4))^2),1)</x:f>
        <x:v>1</x:v>
      </x:c>
      <x:c r="AF192" s="9" t="n">
        <x:f>MOD(AG191*16807,2147483647)</x:f>
        <x:v>1041950846</x:v>
      </x:c>
      <x:c r="AG192" s="9" t="n">
        <x:f>MOD(AF192*16807,2147483647)</x:f>
        <x:v>1486211084</x:v>
      </x:c>
      <x:c r="AH192" s="17" t="n">
        <x:f>IF('Control Room'!$B$5="Normal",'Control Room'!$B$7+'Control Room'!$D$7*SQRT(-2*LN(MAX(0.000000000001,AF192/2147483647)))*COS(2*PI()*AG192/2147483647),'Control Room'!$B$8+('Control Room'!$D$8-'Control Room'!$B$8)*AF192/2147483647)</x:f>
        <x:v>961.4671182519822</x:v>
      </x:c>
      <x:c r="AI192" s="17" t="n">
        <x:f>IF('Control Room'!$B$5="Normal",'Control Room'!$B$7,('Control Room'!$B$8+'Control Room'!$D$8)/2)+'Control Room'!$B$9*(AI191-IF('Control Room'!$B$5="Normal",'Control Room'!$B$7,('Control Room'!$B$8+'Control Room'!$D$8)/2))+SQRT(1-'Control Room'!$B$9^2)*(AH192-IF('Control Room'!$B$5="Normal",'Control Room'!$B$7,('Control Room'!$B$8+'Control Room'!$D$8)/2))</x:f>
        <x:v>877.5256578078694</x:v>
      </x:c>
      <x:c r="AJ192" s="17" t="n">
        <x:f>IF(AND($A192&gt;='Control Room'!$A$13,$A192&lt;'Control Room'!$A$13+'Control Room'!$B$13,'Process'!BQ2=1),1+('Control Room'!$C$13-1)*EXP(-0.5*(($A192-'Control Room'!$A$13-('Control Room'!$B$13-1)/2)/MAX(0.5,'Control Room'!$B$13/4))^2),1)*IF(AND($A192&gt;='Control Room'!$A$14,$A192&lt;'Control Room'!$A$14+'Control Room'!$B$14,'Process'!BQ3=1),1+('Control Room'!$C$14-1)*EXP(-0.5*(($A192-'Control Room'!$A$14-('Control Room'!$B$14-1)/2)/MAX(0.5,'Control Room'!$B$14/4))^2),1)*IF(AND($A192&gt;='Control Room'!$A$15,$A192&lt;'Control Room'!$A$15+'Control Room'!$B$15,'Process'!BQ4=1),1+('Control Room'!$C$15-1)*EXP(-0.5*(($A192-'Control Room'!$A$15-('Control Room'!$B$15-1)/2)/MAX(0.5,'Control Room'!$B$15/4))^2),1)*IF(AND($A192&gt;='Control Room'!$A$16,$A192&lt;'Control Room'!$A$16+'Control Room'!$B$16,'Process'!BQ5=1),1+('Control Room'!$C$16-1)*EXP(-0.5*(($A192-'Control Room'!$A$16-('Control Room'!$B$16-1)/2)/MAX(0.5,'Control Room'!$B$16/4))^2),1)</x:f>
        <x:v>1</x:v>
      </x:c>
      <x:c r="AK192" s="9" t="n">
        <x:f>MOD(AL191*16807,2147483647)</x:f>
        <x:v>1606680389</x:v>
      </x:c>
      <x:c r="AL192" s="9" t="n">
        <x:f>MOD(AK192*16807,2147483647)</x:f>
        <x:v>1017920545</x:v>
      </x:c>
      <x:c r="AM192" s="17" t="n">
        <x:f>IF('Control Room'!$B$5="Normal",'Control Room'!$B$7+'Control Room'!$D$7*SQRT(-2*LN(MAX(0.000000000001,AK192/2147483647)))*COS(2*PI()*AL192/2147483647),'Control Room'!$B$8+('Control Room'!$D$8-'Control Room'!$B$8)*AK192/2147483647)</x:f>
        <x:v>932.3554219002381</x:v>
      </x:c>
      <x:c r="AN192" s="17" t="n">
        <x:f>IF('Control Room'!$B$5="Normal",'Control Room'!$B$7,('Control Room'!$B$8+'Control Room'!$D$8)/2)+'Control Room'!$B$9*(AN191-IF('Control Room'!$B$5="Normal",'Control Room'!$B$7,('Control Room'!$B$8+'Control Room'!$D$8)/2))+SQRT(1-'Control Room'!$B$9^2)*(AM192-IF('Control Room'!$B$5="Normal",'Control Room'!$B$7,('Control Room'!$B$8+'Control Room'!$D$8)/2))</x:f>
        <x:v>1010.7176820218239</x:v>
      </x:c>
      <x:c r="AO192" s="17" t="n">
        <x:f>IF(AND($A192&gt;='Control Room'!$A$13,$A192&lt;'Control Room'!$A$13+'Control Room'!$B$13,'Process'!BR2=1),1+('Control Room'!$C$13-1)*EXP(-0.5*(($A192-'Control Room'!$A$13-('Control Room'!$B$13-1)/2)/MAX(0.5,'Control Room'!$B$13/4))^2),1)*IF(AND($A192&gt;='Control Room'!$A$14,$A192&lt;'Control Room'!$A$14+'Control Room'!$B$14,'Process'!BR3=1),1+('Control Room'!$C$14-1)*EXP(-0.5*(($A192-'Control Room'!$A$14-('Control Room'!$B$14-1)/2)/MAX(0.5,'Control Room'!$B$14/4))^2),1)*IF(AND($A192&gt;='Control Room'!$A$15,$A192&lt;'Control Room'!$A$15+'Control Room'!$B$15,'Process'!BR4=1),1+('Control Room'!$C$15-1)*EXP(-0.5*(($A192-'Control Room'!$A$15-('Control Room'!$B$15-1)/2)/MAX(0.5,'Control Room'!$B$15/4))^2),1)*IF(AND($A192&gt;='Control Room'!$A$16,$A192&lt;'Control Room'!$A$16+'Control Room'!$B$16,'Process'!BR5=1),1+('Control Room'!$C$16-1)*EXP(-0.5*(($A192-'Control Room'!$A$16-('Control Room'!$B$16-1)/2)/MAX(0.5,'Control Room'!$B$16/4))^2),1)</x:f>
        <x:v>1</x:v>
      </x:c>
      <x:c r="AP192" s="9" t="n">
        <x:f>MOD(AQ191*16807,2147483647)</x:f>
        <x:v>23926285</x:v>
      </x:c>
      <x:c r="AQ192" s="9" t="n">
        <x:f>MOD(AP192*16807,2147483647)</x:f>
        <x:v>549630006</x:v>
      </x:c>
      <x:c r="AR192" s="17" t="n">
        <x:f>IF('Control Room'!$B$5="Normal",'Control Room'!$B$7+'Control Room'!$D$7*SQRT(-2*LN(MAX(0.000000000001,AP192/2147483647)))*COS(2*PI()*AQ192/2147483647),'Control Room'!$B$8+('Control Room'!$D$8-'Control Room'!$B$8)*AP192/2147483647)</x:f>
        <x:v>989.9262419784164</x:v>
      </x:c>
      <x:c r="AS192" s="17" t="n">
        <x:f>IF('Control Room'!$B$5="Normal",'Control Room'!$B$7,('Control Room'!$B$8+'Control Room'!$D$8)/2)+'Control Room'!$B$9*(AS191-IF('Control Room'!$B$5="Normal",'Control Room'!$B$7,('Control Room'!$B$8+'Control Room'!$D$8)/2))+SQRT(1-'Control Room'!$B$9^2)*(AR192-IF('Control Room'!$B$5="Normal",'Control Room'!$B$7,('Control Room'!$B$8+'Control Room'!$D$8)/2))</x:f>
        <x:v>1021.0135706275474</x:v>
      </x:c>
      <x:c r="AT192" s="17" t="n">
        <x:f>IF(AND($A192&gt;='Control Room'!$A$13,$A192&lt;'Control Room'!$A$13+'Control Room'!$B$13,'Process'!BS2=1),1+('Control Room'!$C$13-1)*EXP(-0.5*(($A192-'Control Room'!$A$13-('Control Room'!$B$13-1)/2)/MAX(0.5,'Control Room'!$B$13/4))^2),1)*IF(AND($A192&gt;='Control Room'!$A$14,$A192&lt;'Control Room'!$A$14+'Control Room'!$B$14,'Process'!BS3=1),1+('Control Room'!$C$14-1)*EXP(-0.5*(($A192-'Control Room'!$A$14-('Control Room'!$B$14-1)/2)/MAX(0.5,'Control Room'!$B$14/4))^2),1)*IF(AND($A192&gt;='Control Room'!$A$15,$A192&lt;'Control Room'!$A$15+'Control Room'!$B$15,'Process'!BS4=1),1+('Control Room'!$C$15-1)*EXP(-0.5*(($A192-'Control Room'!$A$15-('Control Room'!$B$15-1)/2)/MAX(0.5,'Control Room'!$B$15/4))^2),1)*IF(AND($A192&gt;='Control Room'!$A$16,$A192&lt;'Control Room'!$A$16+'Control Room'!$B$16,'Process'!BS5=1),1+('Control Room'!$C$16-1)*EXP(-0.5*(($A192-'Control Room'!$A$16-('Control Room'!$B$16-1)/2)/MAX(0.5,'Control Room'!$B$16/4))^2),1)</x:f>
        <x:v>1</x:v>
      </x:c>
      <x:c r="AU192" s="9" t="n">
        <x:f>MOD(AV191*16807,2147483647)</x:f>
        <x:v>588655828</x:v>
      </x:c>
      <x:c r="AV192" s="9" t="n">
        <x:f>MOD(AU192*16807,2147483647)</x:f>
        <x:v>81339467</x:v>
      </x:c>
      <x:c r="AW192" s="17" t="n">
        <x:f>IF('Control Room'!$B$5="Normal",'Control Room'!$B$7+'Control Room'!$D$7*SQRT(-2*LN(MAX(0.000000000001,AU192/2147483647)))*COS(2*PI()*AV192/2147483647),'Control Room'!$B$8+('Control Room'!$D$8-'Control Room'!$B$8)*AU192/2147483647)</x:f>
        <x:v>1140.7159829807774</x:v>
      </x:c>
      <x:c r="AX192" s="17" t="n">
        <x:f>IF('Control Room'!$B$5="Normal",'Control Room'!$B$7,('Control Room'!$B$8+'Control Room'!$D$8)/2)+'Control Room'!$B$9*(AX191-IF('Control Room'!$B$5="Normal",'Control Room'!$B$7,('Control Room'!$B$8+'Control Room'!$D$8)/2))+SQRT(1-'Control Room'!$B$9^2)*(AW192-IF('Control Room'!$B$5="Normal",'Control Room'!$B$7,('Control Room'!$B$8+'Control Room'!$D$8)/2))</x:f>
        <x:v>1108.5719193516738</x:v>
      </x:c>
      <x:c r="AY192" s="17" t="n">
        <x:f>IF(AND($A192&gt;='Control Room'!$A$13,$A192&lt;'Control Room'!$A$13+'Control Room'!$B$13,'Process'!BT2=1),1+('Control Room'!$C$13-1)*EXP(-0.5*(($A192-'Control Room'!$A$13-('Control Room'!$B$13-1)/2)/MAX(0.5,'Control Room'!$B$13/4))^2),1)*IF(AND($A192&gt;='Control Room'!$A$14,$A192&lt;'Control Room'!$A$14+'Control Room'!$B$14,'Process'!BT3=1),1+('Control Room'!$C$14-1)*EXP(-0.5*(($A192-'Control Room'!$A$14-('Control Room'!$B$14-1)/2)/MAX(0.5,'Control Room'!$B$14/4))^2),1)*IF(AND($A192&gt;='Control Room'!$A$15,$A192&lt;'Control Room'!$A$15+'Control Room'!$B$15,'Process'!BT4=1),1+('Control Room'!$C$15-1)*EXP(-0.5*(($A192-'Control Room'!$A$15-('Control Room'!$B$15-1)/2)/MAX(0.5,'Control Room'!$B$15/4))^2),1)*IF(AND($A192&gt;='Control Room'!$A$16,$A192&lt;'Control Room'!$A$16+'Control Room'!$B$16,'Process'!BT5=1),1+('Control Room'!$C$16-1)*EXP(-0.5*(($A192-'Control Room'!$A$16-('Control Room'!$B$16-1)/2)/MAX(0.5,'Control Room'!$B$16/4))^2),1)</x:f>
        <x:v>1</x:v>
      </x:c>
      <x:c r="AZ192" s="9" t="n">
        <x:f>MOD(BA191*16807,2147483647)</x:f>
        <x:v>1153385371</x:v>
      </x:c>
      <x:c r="BA192" s="9" t="n">
        <x:f>MOD(AZ192*16807,2147483647)</x:f>
        <x:v>1760532575</x:v>
      </x:c>
      <x:c r="BB192" s="17" t="n">
        <x:f>IF('Control Room'!$B$5="Normal",'Control Room'!$B$7+'Control Room'!$D$7*SQRT(-2*LN(MAX(0.000000000001,AZ192/2147483647)))*COS(2*PI()*BA192/2147483647),'Control Room'!$B$8+('Control Room'!$D$8-'Control Room'!$B$8)*AZ192/2147483647)</x:f>
        <x:v>1042.6190014028248</x:v>
      </x:c>
      <x:c r="BC192" s="17" t="n">
        <x:f>IF('Control Room'!$B$5="Normal",'Control Room'!$B$7,('Control Room'!$B$8+'Control Room'!$D$8)/2)+'Control Room'!$B$9*(BC191-IF('Control Room'!$B$5="Normal",'Control Room'!$B$7,('Control Room'!$B$8+'Control Room'!$D$8)/2))+SQRT(1-'Control Room'!$B$9^2)*(BB192-IF('Control Room'!$B$5="Normal",'Control Room'!$B$7,('Control Room'!$B$8+'Control Room'!$D$8)/2))</x:f>
        <x:v>1100.5032033763428</x:v>
      </x:c>
      <x:c r="BD192" s="17" t="n">
        <x:f>IF(AND($A192&gt;='Control Room'!$A$13,$A192&lt;'Control Room'!$A$13+'Control Room'!$B$13,'Process'!BU2=1),1+('Control Room'!$C$13-1)*EXP(-0.5*(($A192-'Control Room'!$A$13-('Control Room'!$B$13-1)/2)/MAX(0.5,'Control Room'!$B$13/4))^2),1)*IF(AND($A192&gt;='Control Room'!$A$14,$A192&lt;'Control Room'!$A$14+'Control Room'!$B$14,'Process'!BU3=1),1+('Control Room'!$C$14-1)*EXP(-0.5*(($A192-'Control Room'!$A$14-('Control Room'!$B$14-1)/2)/MAX(0.5,'Control Room'!$B$14/4))^2),1)*IF(AND($A192&gt;='Control Room'!$A$15,$A192&lt;'Control Room'!$A$15+'Control Room'!$B$15,'Process'!BU4=1),1+('Control Room'!$C$15-1)*EXP(-0.5*(($A192-'Control Room'!$A$15-('Control Room'!$B$15-1)/2)/MAX(0.5,'Control Room'!$B$15/4))^2),1)*IF(AND($A192&gt;='Control Room'!$A$16,$A192&lt;'Control Room'!$A$16+'Control Room'!$B$16,'Process'!BU5=1),1+('Control Room'!$C$16-1)*EXP(-0.5*(($A192-'Control Room'!$A$16-('Control Room'!$B$16-1)/2)/MAX(0.5,'Control Room'!$B$16/4))^2),1)</x:f>
        <x:v>1</x:v>
      </x:c>
      <x:c r="BE192" s="9" t="n">
        <x:f>MOD(BF191*16807,2147483647)</x:f>
        <x:v>1718114914</x:v>
      </x:c>
      <x:c r="BF192" s="9" t="n">
        <x:f>MOD(BE192*16807,2147483647)</x:f>
        <x:v>1292242036</x:v>
      </x:c>
      <x:c r="BG192" s="17" t="n">
        <x:f>IF('Control Room'!$B$5="Normal",'Control Room'!$B$7+'Control Room'!$D$7*SQRT(-2*LN(MAX(0.000000000001,BE192/2147483647)))*COS(2*PI()*BF192/2147483647),'Control Room'!$B$8+('Control Room'!$D$8-'Control Room'!$B$8)*BE192/2147483647)</x:f>
        <x:v>951.7573767245708</x:v>
      </x:c>
      <x:c r="BH192" s="17" t="n">
        <x:f>IF('Control Room'!$B$5="Normal",'Control Room'!$B$7,('Control Room'!$B$8+'Control Room'!$D$8)/2)+'Control Room'!$B$9*(BH191-IF('Control Room'!$B$5="Normal",'Control Room'!$B$7,('Control Room'!$B$8+'Control Room'!$D$8)/2))+SQRT(1-'Control Room'!$B$9^2)*(BG192-IF('Control Room'!$B$5="Normal",'Control Room'!$B$7,('Control Room'!$B$8+'Control Room'!$D$8)/2))</x:f>
        <x:v>1029.5692757175486</x:v>
      </x:c>
      <x:c r="BI192" s="17" t="n">
        <x:f>IF(AND($A192&gt;='Control Room'!$A$13,$A192&lt;'Control Room'!$A$13+'Control Room'!$B$13,'Process'!BV2=1),1+('Control Room'!$C$13-1)*EXP(-0.5*(($A192-'Control Room'!$A$13-('Control Room'!$B$13-1)/2)/MAX(0.5,'Control Room'!$B$13/4))^2),1)*IF(AND($A192&gt;='Control Room'!$A$14,$A192&lt;'Control Room'!$A$14+'Control Room'!$B$14,'Process'!BV3=1),1+('Control Room'!$C$14-1)*EXP(-0.5*(($A192-'Control Room'!$A$14-('Control Room'!$B$14-1)/2)/MAX(0.5,'Control Room'!$B$14/4))^2),1)*IF(AND($A192&gt;='Control Room'!$A$15,$A192&lt;'Control Room'!$A$15+'Control Room'!$B$15,'Process'!BV4=1),1+('Control Room'!$C$15-1)*EXP(-0.5*(($A192-'Control Room'!$A$15-('Control Room'!$B$15-1)/2)/MAX(0.5,'Control Room'!$B$15/4))^2),1)*IF(AND($A192&gt;='Control Room'!$A$16,$A192&lt;'Control Room'!$A$16+'Control Room'!$B$16,'Process'!BV5=1),1+('Control Room'!$C$16-1)*EXP(-0.5*(($A192-'Control Room'!$A$16-('Control Room'!$B$16-1)/2)/MAX(0.5,'Control Room'!$B$16/4))^2),1)</x:f>
        <x:v>1</x:v>
      </x:c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Z192" t="str">
        <x:f>IF('Data'!A192="","",TEXT('Data'!A192,"mm-dd"))</x:f>
      </x:c>
    </x:row>
    <x:row r="193" ht="21" customHeight="1">
      <x:c r="A193" s="15" t="n">
        <x:f>'Control Room'!$B$1+191</x:f>
        <x:v>73182</x:v>
      </x:c>
      <x:c r="B193" s="9" t="n">
        <x:f>MOD(C192*16807,2147483647)</x:f>
        <x:v>1556526839</x:v>
      </x:c>
      <x:c r="C193" s="9" t="n">
        <x:f>MOD(B193*16807,2147483647)</x:f>
        <x:v>2048278966</x:v>
      </x:c>
      <x:c r="D193" s="17" t="n">
        <x:f>IF('Control Room'!$B$5="Normal",'Control Room'!$B$7+'Control Room'!$D$7*SQRT(-2*LN(MAX(0.000000000001,B193/2147483647)))*COS(2*PI()*C193/2147483647),'Control Room'!$B$8+('Control Room'!$D$8-'Control Room'!$B$8)*B193/2147483647)</x:f>
        <x:v>1069.1863089927576</x:v>
      </x:c>
      <x:c r="E193" s="17" t="n">
        <x:f>IF('Control Room'!$B$5="Normal",'Control Room'!$B$7,('Control Room'!$B$8+'Control Room'!$D$8)/2)+'Control Room'!$B$9*(E192-IF('Control Room'!$B$5="Normal",'Control Room'!$B$7,('Control Room'!$B$8+'Control Room'!$D$8)/2))+SQRT(1-'Control Room'!$B$9^2)*(D193-IF('Control Room'!$B$5="Normal",'Control Room'!$B$7,('Control Room'!$B$8+'Control Room'!$D$8)/2))</x:f>
        <x:v>1074.6238598247235</x:v>
      </x:c>
      <x:c r="F193" s="17" t="n">
        <x:f>IF(AND($A193&gt;='Control Room'!$A$13,$A193&lt;'Control Room'!$A$13+'Control Room'!$B$13,'Process'!BK2=1),1+('Control Room'!$C$13-1)*EXP(-0.5*(($A193-'Control Room'!$A$13-('Control Room'!$B$13-1)/2)/MAX(0.5,'Control Room'!$B$13/4))^2),1)*IF(AND($A193&gt;='Control Room'!$A$14,$A193&lt;'Control Room'!$A$14+'Control Room'!$B$14,'Process'!BK3=1),1+('Control Room'!$C$14-1)*EXP(-0.5*(($A193-'Control Room'!$A$14-('Control Room'!$B$14-1)/2)/MAX(0.5,'Control Room'!$B$14/4))^2),1)*IF(AND($A193&gt;='Control Room'!$A$15,$A193&lt;'Control Room'!$A$15+'Control Room'!$B$15,'Process'!BK4=1),1+('Control Room'!$C$15-1)*EXP(-0.5*(($A193-'Control Room'!$A$15-('Control Room'!$B$15-1)/2)/MAX(0.5,'Control Room'!$B$15/4))^2),1)*IF(AND($A193&gt;='Control Room'!$A$16,$A193&lt;'Control Room'!$A$16+'Control Room'!$B$16,'Process'!BK5=1),1+('Control Room'!$C$16-1)*EXP(-0.5*(($A193-'Control Room'!$A$16-('Control Room'!$B$16-1)/2)/MAX(0.5,'Control Room'!$B$16/4))^2),1)</x:f>
        <x:v>1</x:v>
      </x:c>
      <x:c r="G193" s="9" t="n">
        <x:f>MOD(H192*16807,2147483647)</x:f>
        <x:v>1525004121</x:v>
      </x:c>
      <x:c r="H193" s="9" t="n">
        <x:f>MOD(G193*16807,2147483647)</x:f>
        <x:v>526934702</x:v>
      </x:c>
      <x:c r="I193" s="17" t="n">
        <x:f>IF('Control Room'!$B$5="Normal",'Control Room'!$B$7+'Control Room'!$D$7*SQRT(-2*LN(MAX(0.000000000001,G193/2147483647)))*COS(2*PI()*H193/2147483647),'Control Room'!$B$8+('Control Room'!$D$8-'Control Room'!$B$8)*G193/2147483647)</x:f>
        <x:v>1002.1645633969215</x:v>
      </x:c>
      <x:c r="J193" s="17" t="n">
        <x:f>IF('Control Room'!$B$5="Normal",'Control Room'!$B$7,('Control Room'!$B$8+'Control Room'!$D$8)/2)+'Control Room'!$B$9*(J192-IF('Control Room'!$B$5="Normal",'Control Room'!$B$7,('Control Room'!$B$8+'Control Room'!$D$8)/2))+SQRT(1-'Control Room'!$B$9^2)*(I193-IF('Control Room'!$B$5="Normal",'Control Room'!$B$7,('Control Room'!$B$8+'Control Room'!$D$8)/2))</x:f>
        <x:v>1032.7565912986126</x:v>
      </x:c>
      <x:c r="K193" s="17" t="n">
        <x:f>IF(AND($A193&gt;='Control Room'!$A$13,$A193&lt;'Control Room'!$A$13+'Control Room'!$B$13,'Process'!BL2=1),1+('Control Room'!$C$13-1)*EXP(-0.5*(($A193-'Control Room'!$A$13-('Control Room'!$B$13-1)/2)/MAX(0.5,'Control Room'!$B$13/4))^2),1)*IF(AND($A193&gt;='Control Room'!$A$14,$A193&lt;'Control Room'!$A$14+'Control Room'!$B$14,'Process'!BL3=1),1+('Control Room'!$C$14-1)*EXP(-0.5*(($A193-'Control Room'!$A$14-('Control Room'!$B$14-1)/2)/MAX(0.5,'Control Room'!$B$14/4))^2),1)*IF(AND($A193&gt;='Control Room'!$A$15,$A193&lt;'Control Room'!$A$15+'Control Room'!$B$15,'Process'!BL4=1),1+('Control Room'!$C$15-1)*EXP(-0.5*(($A193-'Control Room'!$A$15-('Control Room'!$B$15-1)/2)/MAX(0.5,'Control Room'!$B$15/4))^2),1)*IF(AND($A193&gt;='Control Room'!$A$16,$A193&lt;'Control Room'!$A$16+'Control Room'!$B$16,'Process'!BL5=1),1+('Control Room'!$C$16-1)*EXP(-0.5*(($A193-'Control Room'!$A$16-('Control Room'!$B$16-1)/2)/MAX(0.5,'Control Room'!$B$16/4))^2),1)</x:f>
        <x:v>1</x:v>
      </x:c>
      <x:c r="L193" s="9" t="n">
        <x:f>MOD(M192*16807,2147483647)</x:f>
        <x:v>1493481403</x:v>
      </x:c>
      <x:c r="M193" s="9" t="n">
        <x:f>MOD(L193*16807,2147483647)</x:f>
        <x:v>1153074085</x:v>
      </x:c>
      <x:c r="N193" s="17" t="n">
        <x:f>IF('Control Room'!$B$5="Normal",'Control Room'!$B$7+'Control Room'!$D$7*SQRT(-2*LN(MAX(0.000000000001,L193/2147483647)))*COS(2*PI()*M193/2147483647),'Control Room'!$B$8+('Control Room'!$D$8-'Control Room'!$B$8)*L193/2147483647)</x:f>
        <x:v>925.3522297707027</x:v>
      </x:c>
      <x:c r="O193" s="17" t="n">
        <x:f>IF('Control Room'!$B$5="Normal",'Control Room'!$B$7,('Control Room'!$B$8+'Control Room'!$D$8)/2)+'Control Room'!$B$9*(O192-IF('Control Room'!$B$5="Normal",'Control Room'!$B$7,('Control Room'!$B$8+'Control Room'!$D$8)/2))+SQRT(1-'Control Room'!$B$9^2)*(N193-IF('Control Room'!$B$5="Normal",'Control Room'!$B$7,('Control Room'!$B$8+'Control Room'!$D$8)/2))</x:f>
        <x:v>864.6500027757003</x:v>
      </x:c>
      <x:c r="P193" s="17" t="n">
        <x:f>IF(AND($A193&gt;='Control Room'!$A$13,$A193&lt;'Control Room'!$A$13+'Control Room'!$B$13,'Process'!BM2=1),1+('Control Room'!$C$13-1)*EXP(-0.5*(($A193-'Control Room'!$A$13-('Control Room'!$B$13-1)/2)/MAX(0.5,'Control Room'!$B$13/4))^2),1)*IF(AND($A193&gt;='Control Room'!$A$14,$A193&lt;'Control Room'!$A$14+'Control Room'!$B$14,'Process'!BM3=1),1+('Control Room'!$C$14-1)*EXP(-0.5*(($A193-'Control Room'!$A$14-('Control Room'!$B$14-1)/2)/MAX(0.5,'Control Room'!$B$14/4))^2),1)*IF(AND($A193&gt;='Control Room'!$A$15,$A193&lt;'Control Room'!$A$15+'Control Room'!$B$15,'Process'!BM4=1),1+('Control Room'!$C$15-1)*EXP(-0.5*(($A193-'Control Room'!$A$15-('Control Room'!$B$15-1)/2)/MAX(0.5,'Control Room'!$B$15/4))^2),1)*IF(AND($A193&gt;='Control Room'!$A$16,$A193&lt;'Control Room'!$A$16+'Control Room'!$B$16,'Process'!BM5=1),1+('Control Room'!$C$16-1)*EXP(-0.5*(($A193-'Control Room'!$A$16-('Control Room'!$B$16-1)/2)/MAX(0.5,'Control Room'!$B$16/4))^2),1)</x:f>
        <x:v>1</x:v>
      </x:c>
      <x:c r="Q193" s="9" t="n">
        <x:f>MOD(R192*16807,2147483647)</x:f>
        <x:v>1461958685</x:v>
      </x:c>
      <x:c r="R193" s="9" t="n">
        <x:f>MOD(Q193*16807,2147483647)</x:f>
        <x:v>1779213468</x:v>
      </x:c>
      <x:c r="S193" s="17" t="n">
        <x:f>IF('Control Room'!$B$5="Normal",'Control Room'!$B$7+'Control Room'!$D$7*SQRT(-2*LN(MAX(0.000000000001,Q193/2147483647)))*COS(2*PI()*R193/2147483647),'Control Room'!$B$8+('Control Room'!$D$8-'Control Room'!$B$8)*Q193/2147483647)</x:f>
        <x:v>1037.3738092086564</x:v>
      </x:c>
      <x:c r="T193" s="17" t="n">
        <x:f>IF('Control Room'!$B$5="Normal",'Control Room'!$B$7,('Control Room'!$B$8+'Control Room'!$D$8)/2)+'Control Room'!$B$9*(T192-IF('Control Room'!$B$5="Normal",'Control Room'!$B$7,('Control Room'!$B$8+'Control Room'!$D$8)/2))+SQRT(1-'Control Room'!$B$9^2)*(S193-IF('Control Room'!$B$5="Normal",'Control Room'!$B$7,('Control Room'!$B$8+'Control Room'!$D$8)/2))</x:f>
        <x:v>1007.2723353463826</x:v>
      </x:c>
      <x:c r="U193" s="17" t="n">
        <x:f>IF(AND($A193&gt;='Control Room'!$A$13,$A193&lt;'Control Room'!$A$13+'Control Room'!$B$13,'Process'!BN2=1),1+('Control Room'!$C$13-1)*EXP(-0.5*(($A193-'Control Room'!$A$13-('Control Room'!$B$13-1)/2)/MAX(0.5,'Control Room'!$B$13/4))^2),1)*IF(AND($A193&gt;='Control Room'!$A$14,$A193&lt;'Control Room'!$A$14+'Control Room'!$B$14,'Process'!BN3=1),1+('Control Room'!$C$14-1)*EXP(-0.5*(($A193-'Control Room'!$A$14-('Control Room'!$B$14-1)/2)/MAX(0.5,'Control Room'!$B$14/4))^2),1)*IF(AND($A193&gt;='Control Room'!$A$15,$A193&lt;'Control Room'!$A$15+'Control Room'!$B$15,'Process'!BN4=1),1+('Control Room'!$C$15-1)*EXP(-0.5*(($A193-'Control Room'!$A$15-('Control Room'!$B$15-1)/2)/MAX(0.5,'Control Room'!$B$15/4))^2),1)*IF(AND($A193&gt;='Control Room'!$A$16,$A193&lt;'Control Room'!$A$16+'Control Room'!$B$16,'Process'!BN5=1),1+('Control Room'!$C$16-1)*EXP(-0.5*(($A193-'Control Room'!$A$16-('Control Room'!$B$16-1)/2)/MAX(0.5,'Control Room'!$B$16/4))^2),1)</x:f>
        <x:v>1</x:v>
      </x:c>
      <x:c r="V193" s="9" t="n">
        <x:f>MOD(W192*16807,2147483647)</x:f>
        <x:v>1430435967</x:v>
      </x:c>
      <x:c r="W193" s="9" t="n">
        <x:f>MOD(V193*16807,2147483647)</x:f>
        <x:v>257869204</x:v>
      </x:c>
      <x:c r="X193" s="17" t="n">
        <x:f>IF('Control Room'!$B$5="Normal",'Control Room'!$B$7+'Control Room'!$D$7*SQRT(-2*LN(MAX(0.000000000001,V193/2147483647)))*COS(2*PI()*W193/2147483647),'Control Room'!$B$8+('Control Room'!$D$8-'Control Room'!$B$8)*V193/2147483647)</x:f>
        <x:v>1059.1146004128977</x:v>
      </x:c>
      <x:c r="Y193" s="17" t="n">
        <x:f>IF('Control Room'!$B$5="Normal",'Control Room'!$B$7,('Control Room'!$B$8+'Control Room'!$D$8)/2)+'Control Room'!$B$9*(Y192-IF('Control Room'!$B$5="Normal",'Control Room'!$B$7,('Control Room'!$B$8+'Control Room'!$D$8)/2))+SQRT(1-'Control Room'!$B$9^2)*(X193-IF('Control Room'!$B$5="Normal",'Control Room'!$B$7,('Control Room'!$B$8+'Control Room'!$D$8)/2))</x:f>
        <x:v>1071.6594721173763</x:v>
      </x:c>
      <x:c r="Z193" s="17" t="n">
        <x:f>IF(AND($A193&gt;='Control Room'!$A$13,$A193&lt;'Control Room'!$A$13+'Control Room'!$B$13,'Process'!BO2=1),1+('Control Room'!$C$13-1)*EXP(-0.5*(($A193-'Control Room'!$A$13-('Control Room'!$B$13-1)/2)/MAX(0.5,'Control Room'!$B$13/4))^2),1)*IF(AND($A193&gt;='Control Room'!$A$14,$A193&lt;'Control Room'!$A$14+'Control Room'!$B$14,'Process'!BO3=1),1+('Control Room'!$C$14-1)*EXP(-0.5*(($A193-'Control Room'!$A$14-('Control Room'!$B$14-1)/2)/MAX(0.5,'Control Room'!$B$14/4))^2),1)*IF(AND($A193&gt;='Control Room'!$A$15,$A193&lt;'Control Room'!$A$15+'Control Room'!$B$15,'Process'!BO4=1),1+('Control Room'!$C$15-1)*EXP(-0.5*(($A193-'Control Room'!$A$15-('Control Room'!$B$15-1)/2)/MAX(0.5,'Control Room'!$B$15/4))^2),1)*IF(AND($A193&gt;='Control Room'!$A$16,$A193&lt;'Control Room'!$A$16+'Control Room'!$B$16,'Process'!BO5=1),1+('Control Room'!$C$16-1)*EXP(-0.5*(($A193-'Control Room'!$A$16-('Control Room'!$B$16-1)/2)/MAX(0.5,'Control Room'!$B$16/4))^2),1)</x:f>
        <x:v>1</x:v>
      </x:c>
      <x:c r="AA193" s="9" t="n">
        <x:f>MOD(AB192*16807,2147483647)</x:f>
        <x:v>1398913249</x:v>
      </x:c>
      <x:c r="AB193" s="9" t="n">
        <x:f>MOD(AA193*16807,2147483647)</x:f>
        <x:v>884008587</x:v>
      </x:c>
      <x:c r="AC193" s="17" t="n">
        <x:f>IF('Control Room'!$B$5="Normal",'Control Room'!$B$7+'Control Room'!$D$7*SQRT(-2*LN(MAX(0.000000000001,AA193/2147483647)))*COS(2*PI()*AB193/2147483647),'Control Room'!$B$8+('Control Room'!$D$8-'Control Room'!$B$8)*AA193/2147483647)</x:f>
        <x:v>929.1862455356372</x:v>
      </x:c>
      <x:c r="AD193" s="17" t="n">
        <x:f>IF('Control Room'!$B$5="Normal",'Control Room'!$B$7,('Control Room'!$B$8+'Control Room'!$D$8)/2)+'Control Room'!$B$9*(AD192-IF('Control Room'!$B$5="Normal",'Control Room'!$B$7,('Control Room'!$B$8+'Control Room'!$D$8)/2))+SQRT(1-'Control Room'!$B$9^2)*(AC193-IF('Control Room'!$B$5="Normal",'Control Room'!$B$7,('Control Room'!$B$8+'Control Room'!$D$8)/2))</x:f>
        <x:v>943.131279188522</x:v>
      </x:c>
      <x:c r="AE193" s="17" t="n">
        <x:f>IF(AND($A193&gt;='Control Room'!$A$13,$A193&lt;'Control Room'!$A$13+'Control Room'!$B$13,'Process'!BP2=1),1+('Control Room'!$C$13-1)*EXP(-0.5*(($A193-'Control Room'!$A$13-('Control Room'!$B$13-1)/2)/MAX(0.5,'Control Room'!$B$13/4))^2),1)*IF(AND($A193&gt;='Control Room'!$A$14,$A193&lt;'Control Room'!$A$14+'Control Room'!$B$14,'Process'!BP3=1),1+('Control Room'!$C$14-1)*EXP(-0.5*(($A193-'Control Room'!$A$14-('Control Room'!$B$14-1)/2)/MAX(0.5,'Control Room'!$B$14/4))^2),1)*IF(AND($A193&gt;='Control Room'!$A$15,$A193&lt;'Control Room'!$A$15+'Control Room'!$B$15,'Process'!BP4=1),1+('Control Room'!$C$15-1)*EXP(-0.5*(($A193-'Control Room'!$A$15-('Control Room'!$B$15-1)/2)/MAX(0.5,'Control Room'!$B$15/4))^2),1)*IF(AND($A193&gt;='Control Room'!$A$16,$A193&lt;'Control Room'!$A$16+'Control Room'!$B$16,'Process'!BP5=1),1+('Control Room'!$C$16-1)*EXP(-0.5*(($A193-'Control Room'!$A$16-('Control Room'!$B$16-1)/2)/MAX(0.5,'Control Room'!$B$16/4))^2),1)</x:f>
        <x:v>1</x:v>
      </x:c>
      <x:c r="AF193" s="9" t="n">
        <x:f>MOD(AG192*16807,2147483647)</x:f>
        <x:v>1367390531</x:v>
      </x:c>
      <x:c r="AG193" s="9" t="n">
        <x:f>MOD(AF193*16807,2147483647)</x:f>
        <x:v>1510147970</x:v>
      </x:c>
      <x:c r="AH193" s="17" t="n">
        <x:f>IF('Control Room'!$B$5="Normal",'Control Room'!$B$7+'Control Room'!$D$7*SQRT(-2*LN(MAX(0.000000000001,AF193/2147483647)))*COS(2*PI()*AG193/2147483647),'Control Room'!$B$8+('Control Room'!$D$8-'Control Room'!$B$8)*AF193/2147483647)</x:f>
        <x:v>975.2242773647126</x:v>
      </x:c>
      <x:c r="AI193" s="17" t="n">
        <x:f>IF('Control Room'!$B$5="Normal",'Control Room'!$B$7,('Control Room'!$B$8+'Control Room'!$D$8)/2)+'Control Room'!$B$9*(AI192-IF('Control Room'!$B$5="Normal",'Control Room'!$B$7,('Control Room'!$B$8+'Control Room'!$D$8)/2))+SQRT(1-'Control Room'!$B$9^2)*(AH193-IF('Control Room'!$B$5="Normal",'Control Room'!$B$7,('Control Room'!$B$8+'Control Room'!$D$8)/2))</x:f>
        <x:v>888.9658734232416</x:v>
      </x:c>
      <x:c r="AJ193" s="17" t="n">
        <x:f>IF(AND($A193&gt;='Control Room'!$A$13,$A193&lt;'Control Room'!$A$13+'Control Room'!$B$13,'Process'!BQ2=1),1+('Control Room'!$C$13-1)*EXP(-0.5*(($A193-'Control Room'!$A$13-('Control Room'!$B$13-1)/2)/MAX(0.5,'Control Room'!$B$13/4))^2),1)*IF(AND($A193&gt;='Control Room'!$A$14,$A193&lt;'Control Room'!$A$14+'Control Room'!$B$14,'Process'!BQ3=1),1+('Control Room'!$C$14-1)*EXP(-0.5*(($A193-'Control Room'!$A$14-('Control Room'!$B$14-1)/2)/MAX(0.5,'Control Room'!$B$14/4))^2),1)*IF(AND($A193&gt;='Control Room'!$A$15,$A193&lt;'Control Room'!$A$15+'Control Room'!$B$15,'Process'!BQ4=1),1+('Control Room'!$C$15-1)*EXP(-0.5*(($A193-'Control Room'!$A$15-('Control Room'!$B$15-1)/2)/MAX(0.5,'Control Room'!$B$15/4))^2),1)*IF(AND($A193&gt;='Control Room'!$A$16,$A193&lt;'Control Room'!$A$16+'Control Room'!$B$16,'Process'!BQ5=1),1+('Control Room'!$C$16-1)*EXP(-0.5*(($A193-'Control Room'!$A$16-('Control Room'!$B$16-1)/2)/MAX(0.5,'Control Room'!$B$16/4))^2),1)</x:f>
        <x:v>1</x:v>
      </x:c>
      <x:c r="AK193" s="9" t="n">
        <x:f>MOD(AL192*16807,2147483647)</x:f>
        <x:v>1335867813</x:v>
      </x:c>
      <x:c r="AL193" s="9" t="n">
        <x:f>MOD(AK193*16807,2147483647)</x:f>
        <x:v>2136287353</x:v>
      </x:c>
      <x:c r="AM193" s="17" t="n">
        <x:f>IF('Control Room'!$B$5="Normal",'Control Room'!$B$7+'Control Room'!$D$7*SQRT(-2*LN(MAX(0.000000000001,AK193/2147483647)))*COS(2*PI()*AL193/2147483647),'Control Room'!$B$8+('Control Room'!$D$8-'Control Room'!$B$8)*AK193/2147483647)</x:f>
        <x:v>1087.6478377995682</x:v>
      </x:c>
      <x:c r="AN193" s="17" t="n">
        <x:f>IF('Control Room'!$B$5="Normal",'Control Room'!$B$7,('Control Room'!$B$8+'Control Room'!$D$8)/2)+'Control Room'!$B$9*(AN192-IF('Control Room'!$B$5="Normal",'Control Room'!$B$7,('Control Room'!$B$8+'Control Room'!$D$8)/2))+SQRT(1-'Control Room'!$B$9^2)*(AM193-IF('Control Room'!$B$5="Normal",'Control Room'!$B$7,('Control Room'!$B$8+'Control Room'!$D$8)/2))</x:f>
        <x:v>1063.2080133084376</x:v>
      </x:c>
      <x:c r="AO193" s="17" t="n">
        <x:f>IF(AND($A193&gt;='Control Room'!$A$13,$A193&lt;'Control Room'!$A$13+'Control Room'!$B$13,'Process'!BR2=1),1+('Control Room'!$C$13-1)*EXP(-0.5*(($A193-'Control Room'!$A$13-('Control Room'!$B$13-1)/2)/MAX(0.5,'Control Room'!$B$13/4))^2),1)*IF(AND($A193&gt;='Control Room'!$A$14,$A193&lt;'Control Room'!$A$14+'Control Room'!$B$14,'Process'!BR3=1),1+('Control Room'!$C$14-1)*EXP(-0.5*(($A193-'Control Room'!$A$14-('Control Room'!$B$14-1)/2)/MAX(0.5,'Control Room'!$B$14/4))^2),1)*IF(AND($A193&gt;='Control Room'!$A$15,$A193&lt;'Control Room'!$A$15+'Control Room'!$B$15,'Process'!BR4=1),1+('Control Room'!$C$15-1)*EXP(-0.5*(($A193-'Control Room'!$A$15-('Control Room'!$B$15-1)/2)/MAX(0.5,'Control Room'!$B$15/4))^2),1)*IF(AND($A193&gt;='Control Room'!$A$16,$A193&lt;'Control Room'!$A$16+'Control Room'!$B$16,'Process'!BR5=1),1+('Control Room'!$C$16-1)*EXP(-0.5*(($A193-'Control Room'!$A$16-('Control Room'!$B$16-1)/2)/MAX(0.5,'Control Room'!$B$16/4))^2),1)</x:f>
        <x:v>1</x:v>
      </x:c>
      <x:c r="AP193" s="9" t="n">
        <x:f>MOD(AQ192*16807,2147483647)</x:f>
        <x:v>1304345095</x:v>
      </x:c>
      <x:c r="AQ193" s="9" t="n">
        <x:f>MOD(AP193*16807,2147483647)</x:f>
        <x:v>614943089</x:v>
      </x:c>
      <x:c r="AR193" s="17" t="n">
        <x:f>IF('Control Room'!$B$5="Normal",'Control Room'!$B$7+'Control Room'!$D$7*SQRT(-2*LN(MAX(0.000000000001,AP193/2147483647)))*COS(2*PI()*AQ193/2147483647),'Control Room'!$B$8+('Control Room'!$D$8-'Control Room'!$B$8)*AP193/2147483647)</x:f>
        <x:v>979.648582902858</x:v>
      </x:c>
      <x:c r="AS193" s="17" t="n">
        <x:f>IF('Control Room'!$B$5="Normal",'Control Room'!$B$7,('Control Room'!$B$8+'Control Room'!$D$8)/2)+'Control Room'!$B$9*(AS192-IF('Control Room'!$B$5="Normal",'Control Room'!$B$7,('Control Room'!$B$8+'Control Room'!$D$8)/2))+SQRT(1-'Control Room'!$B$9^2)*(AR193-IF('Control Room'!$B$5="Normal",'Control Room'!$B$7,('Control Room'!$B$8+'Control Room'!$D$8)/2))</x:f>
        <x:v>1003.6550851915365</x:v>
      </x:c>
      <x:c r="AT193" s="17" t="n">
        <x:f>IF(AND($A193&gt;='Control Room'!$A$13,$A193&lt;'Control Room'!$A$13+'Control Room'!$B$13,'Process'!BS2=1),1+('Control Room'!$C$13-1)*EXP(-0.5*(($A193-'Control Room'!$A$13-('Control Room'!$B$13-1)/2)/MAX(0.5,'Control Room'!$B$13/4))^2),1)*IF(AND($A193&gt;='Control Room'!$A$14,$A193&lt;'Control Room'!$A$14+'Control Room'!$B$14,'Process'!BS3=1),1+('Control Room'!$C$14-1)*EXP(-0.5*(($A193-'Control Room'!$A$14-('Control Room'!$B$14-1)/2)/MAX(0.5,'Control Room'!$B$14/4))^2),1)*IF(AND($A193&gt;='Control Room'!$A$15,$A193&lt;'Control Room'!$A$15+'Control Room'!$B$15,'Process'!BS4=1),1+('Control Room'!$C$15-1)*EXP(-0.5*(($A193-'Control Room'!$A$15-('Control Room'!$B$15-1)/2)/MAX(0.5,'Control Room'!$B$15/4))^2),1)*IF(AND($A193&gt;='Control Room'!$A$16,$A193&lt;'Control Room'!$A$16+'Control Room'!$B$16,'Process'!BS5=1),1+('Control Room'!$C$16-1)*EXP(-0.5*(($A193-'Control Room'!$A$16-('Control Room'!$B$16-1)/2)/MAX(0.5,'Control Room'!$B$16/4))^2),1)</x:f>
        <x:v>1</x:v>
      </x:c>
      <x:c r="AU193" s="9" t="n">
        <x:f>MOD(AV192*16807,2147483647)</x:f>
        <x:v>1272822377</x:v>
      </x:c>
      <x:c r="AV193" s="9" t="n">
        <x:f>MOD(AU193*16807,2147483647)</x:f>
        <x:v>1241082472</x:v>
      </x:c>
      <x:c r="AW193" s="17" t="n">
        <x:f>IF('Control Room'!$B$5="Normal",'Control Room'!$B$7+'Control Room'!$D$7*SQRT(-2*LN(MAX(0.000000000001,AU193/2147483647)))*COS(2*PI()*AV193/2147483647),'Control Room'!$B$8+('Control Room'!$D$8-'Control Room'!$B$8)*AU193/2147483647)</x:f>
        <x:v>918.7626586885501</x:v>
      </x:c>
      <x:c r="AX193" s="17" t="n">
        <x:f>IF('Control Room'!$B$5="Normal",'Control Room'!$B$7,('Control Room'!$B$8+'Control Room'!$D$8)/2)+'Control Room'!$B$9*(AX192-IF('Control Room'!$B$5="Normal",'Control Room'!$B$7,('Control Room'!$B$8+'Control Room'!$D$8)/2))+SQRT(1-'Control Room'!$B$9^2)*(AW193-IF('Control Room'!$B$5="Normal",'Control Room'!$B$7,('Control Room'!$B$8+'Control Room'!$D$8)/2))</x:f>
        <x:v>1033.8494331389963</x:v>
      </x:c>
      <x:c r="AY193" s="17" t="n">
        <x:f>IF(AND($A193&gt;='Control Room'!$A$13,$A193&lt;'Control Room'!$A$13+'Control Room'!$B$13,'Process'!BT2=1),1+('Control Room'!$C$13-1)*EXP(-0.5*(($A193-'Control Room'!$A$13-('Control Room'!$B$13-1)/2)/MAX(0.5,'Control Room'!$B$13/4))^2),1)*IF(AND($A193&gt;='Control Room'!$A$14,$A193&lt;'Control Room'!$A$14+'Control Room'!$B$14,'Process'!BT3=1),1+('Control Room'!$C$14-1)*EXP(-0.5*(($A193-'Control Room'!$A$14-('Control Room'!$B$14-1)/2)/MAX(0.5,'Control Room'!$B$14/4))^2),1)*IF(AND($A193&gt;='Control Room'!$A$15,$A193&lt;'Control Room'!$A$15+'Control Room'!$B$15,'Process'!BT4=1),1+('Control Room'!$C$15-1)*EXP(-0.5*(($A193-'Control Room'!$A$15-('Control Room'!$B$15-1)/2)/MAX(0.5,'Control Room'!$B$15/4))^2),1)*IF(AND($A193&gt;='Control Room'!$A$16,$A193&lt;'Control Room'!$A$16+'Control Room'!$B$16,'Process'!BT5=1),1+('Control Room'!$C$16-1)*EXP(-0.5*(($A193-'Control Room'!$A$16-('Control Room'!$B$16-1)/2)/MAX(0.5,'Control Room'!$B$16/4))^2),1)</x:f>
        <x:v>1</x:v>
      </x:c>
      <x:c r="AZ193" s="9" t="n">
        <x:f>MOD(BA192*16807,2147483647)</x:f>
        <x:v>1241299659</x:v>
      </x:c>
      <x:c r="BA193" s="9" t="n">
        <x:f>MOD(AZ193*16807,2147483647)</x:f>
        <x:v>1867221855</x:v>
      </x:c>
      <x:c r="BB193" s="17" t="n">
        <x:f>IF('Control Room'!$B$5="Normal",'Control Room'!$B$7+'Control Room'!$D$7*SQRT(-2*LN(MAX(0.000000000001,AZ193/2147483647)))*COS(2*PI()*BA193/2147483647),'Control Room'!$B$8+('Control Room'!$D$8-'Control Room'!$B$8)*AZ193/2147483647)</x:f>
        <x:v>1064.2876522956803</x:v>
      </x:c>
      <x:c r="BC193" s="17" t="n">
        <x:f>IF('Control Room'!$B$5="Normal",'Control Room'!$B$7,('Control Room'!$B$8+'Control Room'!$D$8)/2)+'Control Room'!$B$9*(BC192-IF('Control Room'!$B$5="Normal",'Control Room'!$B$7,('Control Room'!$B$8+'Control Room'!$D$8)/2))+SQRT(1-'Control Room'!$B$9^2)*(BB193-IF('Control Room'!$B$5="Normal",'Control Room'!$B$7,('Control Room'!$B$8+'Control Room'!$D$8)/2))</x:f>
        <x:v>1118.6223944360413</x:v>
      </x:c>
      <x:c r="BD193" s="17" t="n">
        <x:f>IF(AND($A193&gt;='Control Room'!$A$13,$A193&lt;'Control Room'!$A$13+'Control Room'!$B$13,'Process'!BU2=1),1+('Control Room'!$C$13-1)*EXP(-0.5*(($A193-'Control Room'!$A$13-('Control Room'!$B$13-1)/2)/MAX(0.5,'Control Room'!$B$13/4))^2),1)*IF(AND($A193&gt;='Control Room'!$A$14,$A193&lt;'Control Room'!$A$14+'Control Room'!$B$14,'Process'!BU3=1),1+('Control Room'!$C$14-1)*EXP(-0.5*(($A193-'Control Room'!$A$14-('Control Room'!$B$14-1)/2)/MAX(0.5,'Control Room'!$B$14/4))^2),1)*IF(AND($A193&gt;='Control Room'!$A$15,$A193&lt;'Control Room'!$A$15+'Control Room'!$B$15,'Process'!BU4=1),1+('Control Room'!$C$15-1)*EXP(-0.5*(($A193-'Control Room'!$A$15-('Control Room'!$B$15-1)/2)/MAX(0.5,'Control Room'!$B$15/4))^2),1)*IF(AND($A193&gt;='Control Room'!$A$16,$A193&lt;'Control Room'!$A$16+'Control Room'!$B$16,'Process'!BU5=1),1+('Control Room'!$C$16-1)*EXP(-0.5*(($A193-'Control Room'!$A$16-('Control Room'!$B$16-1)/2)/MAX(0.5,'Control Room'!$B$16/4))^2),1)</x:f>
        <x:v>1</x:v>
      </x:c>
      <x:c r="BE193" s="9" t="n">
        <x:f>MOD(BF192*16807,2147483647)</x:f>
        <x:v>1209776941</x:v>
      </x:c>
      <x:c r="BF193" s="9" t="n">
        <x:f>MOD(BE193*16807,2147483647)</x:f>
        <x:v>345877591</x:v>
      </x:c>
      <x:c r="BG193" s="17" t="n">
        <x:f>IF('Control Room'!$B$5="Normal",'Control Room'!$B$7+'Control Room'!$D$7*SQRT(-2*LN(MAX(0.000000000001,BE193/2147483647)))*COS(2*PI()*BF193/2147483647),'Control Room'!$B$8+('Control Room'!$D$8-'Control Room'!$B$8)*BE193/2147483647)</x:f>
        <x:v>1051.1193973595668</x:v>
      </x:c>
      <x:c r="BH193" s="17" t="n">
        <x:f>IF('Control Room'!$B$5="Normal",'Control Room'!$B$7,('Control Room'!$B$8+'Control Room'!$D$8)/2)+'Control Room'!$B$9*(BH192-IF('Control Room'!$B$5="Normal",'Control Room'!$B$7,('Control Room'!$B$8+'Control Room'!$D$8)/2))+SQRT(1-'Control Room'!$B$9^2)*(BG193-IF('Control Room'!$B$5="Normal",'Control Room'!$B$7,('Control Room'!$B$8+'Control Room'!$D$8)/2))</x:f>
        <x:v>1055.0535066895275</x:v>
      </x:c>
      <x:c r="BI193" s="17" t="n">
        <x:f>IF(AND($A193&gt;='Control Room'!$A$13,$A193&lt;'Control Room'!$A$13+'Control Room'!$B$13,'Process'!BV2=1),1+('Control Room'!$C$13-1)*EXP(-0.5*(($A193-'Control Room'!$A$13-('Control Room'!$B$13-1)/2)/MAX(0.5,'Control Room'!$B$13/4))^2),1)*IF(AND($A193&gt;='Control Room'!$A$14,$A193&lt;'Control Room'!$A$14+'Control Room'!$B$14,'Process'!BV3=1),1+('Control Room'!$C$14-1)*EXP(-0.5*(($A193-'Control Room'!$A$14-('Control Room'!$B$14-1)/2)/MAX(0.5,'Control Room'!$B$14/4))^2),1)*IF(AND($A193&gt;='Control Room'!$A$15,$A193&lt;'Control Room'!$A$15+'Control Room'!$B$15,'Process'!BV4=1),1+('Control Room'!$C$15-1)*EXP(-0.5*(($A193-'Control Room'!$A$15-('Control Room'!$B$15-1)/2)/MAX(0.5,'Control Room'!$B$15/4))^2),1)*IF(AND($A193&gt;='Control Room'!$A$16,$A193&lt;'Control Room'!$A$16+'Control Room'!$B$16,'Process'!BV5=1),1+('Control Room'!$C$16-1)*EXP(-0.5*(($A193-'Control Room'!$A$16-('Control Room'!$B$16-1)/2)/MAX(0.5,'Control Room'!$B$16/4))^2),1)</x:f>
        <x:v>1</x:v>
      </x:c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Z193" t="str">
        <x:f>IF('Data'!A193="","",TEXT('Data'!A193,"mm-dd"))</x:f>
      </x:c>
    </x:row>
    <x:row r="194" ht="21" customHeight="1">
      <x:c r="A194" s="15" t="n">
        <x:f>'Control Room'!$B$1+192</x:f>
        <x:v>73183</x:v>
      </x:c>
      <x:c r="B194" s="9" t="n">
        <x:f>MOD(C193*16807,2147483647)</x:f>
        <x:v>1261720152</x:v>
      </x:c>
      <x:c r="C194" s="9" t="n">
        <x:f>MOD(B194*16807,2147483647)</x:f>
        <x:v>1477064186</x:v>
      </x:c>
      <x:c r="D194" s="17" t="n">
        <x:f>IF('Control Room'!$B$5="Normal",'Control Room'!$B$7+'Control Room'!$D$7*SQRT(-2*LN(MAX(0.000000000001,B194/2147483647)))*COS(2*PI()*C194/2147483647),'Control Room'!$B$8+('Control Room'!$D$8-'Control Room'!$B$8)*B194/2147483647)</x:f>
        <x:v>964.647405874384</x:v>
      </x:c>
      <x:c r="E194" s="17" t="n">
        <x:f>IF('Control Room'!$B$5="Normal",'Control Room'!$B$7,('Control Room'!$B$8+'Control Room'!$D$8)/2)+'Control Room'!$B$9*(E193-IF('Control Room'!$B$5="Normal",'Control Room'!$B$7,('Control Room'!$B$8+'Control Room'!$D$8)/2))+SQRT(1-'Control Room'!$B$9^2)*(D194-IF('Control Room'!$B$5="Normal",'Control Room'!$B$7,('Control Room'!$B$8+'Control Room'!$D$8)/2))</x:f>
        <x:v>1036.0836814967302</x:v>
      </x:c>
      <x:c r="F194" s="17" t="n">
        <x:f>IF(AND($A194&gt;='Control Room'!$A$13,$A194&lt;'Control Room'!$A$13+'Control Room'!$B$13,'Process'!BK2=1),1+('Control Room'!$C$13-1)*EXP(-0.5*(($A194-'Control Room'!$A$13-('Control Room'!$B$13-1)/2)/MAX(0.5,'Control Room'!$B$13/4))^2),1)*IF(AND($A194&gt;='Control Room'!$A$14,$A194&lt;'Control Room'!$A$14+'Control Room'!$B$14,'Process'!BK3=1),1+('Control Room'!$C$14-1)*EXP(-0.5*(($A194-'Control Room'!$A$14-('Control Room'!$B$14-1)/2)/MAX(0.5,'Control Room'!$B$14/4))^2),1)*IF(AND($A194&gt;='Control Room'!$A$15,$A194&lt;'Control Room'!$A$15+'Control Room'!$B$15,'Process'!BK4=1),1+('Control Room'!$C$15-1)*EXP(-0.5*(($A194-'Control Room'!$A$15-('Control Room'!$B$15-1)/2)/MAX(0.5,'Control Room'!$B$15/4))^2),1)*IF(AND($A194&gt;='Control Room'!$A$16,$A194&lt;'Control Room'!$A$16+'Control Room'!$B$16,'Process'!BK5=1),1+('Control Room'!$C$16-1)*EXP(-0.5*(($A194-'Control Room'!$A$16-('Control Room'!$B$16-1)/2)/MAX(0.5,'Control Room'!$B$16/4))^2),1)</x:f>
        <x:v>1</x:v>
      </x:c>
      <x:c r="G194" s="9" t="n">
        <x:f>MOD(H193*16807,2147483647)</x:f>
        <x:v>2116459933</x:v>
      </x:c>
      <x:c r="H194" s="9" t="n">
        <x:f>MOD(G194*16807,2147483647)</x:f>
        <x:v>422965023</x:v>
      </x:c>
      <x:c r="I194" s="17" t="n">
        <x:f>IF('Control Room'!$B$5="Normal",'Control Room'!$B$7+'Control Room'!$D$7*SQRT(-2*LN(MAX(0.000000000001,G194/2147483647)))*COS(2*PI()*H194/2147483647),'Control Room'!$B$8+('Control Room'!$D$8-'Control Room'!$B$8)*G194/2147483647)</x:f>
        <x:v>1005.0227813979632</x:v>
      </x:c>
      <x:c r="J194" s="17" t="n">
        <x:f>IF('Control Room'!$B$5="Normal",'Control Room'!$B$7,('Control Room'!$B$8+'Control Room'!$D$8)/2)+'Control Room'!$B$9*(J193-IF('Control Room'!$B$5="Normal",'Control Room'!$B$7,('Control Room'!$B$8+'Control Room'!$D$8)/2))+SQRT(1-'Control Room'!$B$9^2)*(I194-IF('Control Room'!$B$5="Normal",'Control Room'!$B$7,('Control Room'!$B$8+'Control Room'!$D$8)/2))</x:f>
        <x:v>1028.6932949144934</x:v>
      </x:c>
      <x:c r="K194" s="17" t="n">
        <x:f>IF(AND($A194&gt;='Control Room'!$A$13,$A194&lt;'Control Room'!$A$13+'Control Room'!$B$13,'Process'!BL2=1),1+('Control Room'!$C$13-1)*EXP(-0.5*(($A194-'Control Room'!$A$13-('Control Room'!$B$13-1)/2)/MAX(0.5,'Control Room'!$B$13/4))^2),1)*IF(AND($A194&gt;='Control Room'!$A$14,$A194&lt;'Control Room'!$A$14+'Control Room'!$B$14,'Process'!BL3=1),1+('Control Room'!$C$14-1)*EXP(-0.5*(($A194-'Control Room'!$A$14-('Control Room'!$B$14-1)/2)/MAX(0.5,'Control Room'!$B$14/4))^2),1)*IF(AND($A194&gt;='Control Room'!$A$15,$A194&lt;'Control Room'!$A$15+'Control Room'!$B$15,'Process'!BL4=1),1+('Control Room'!$C$15-1)*EXP(-0.5*(($A194-'Control Room'!$A$15-('Control Room'!$B$15-1)/2)/MAX(0.5,'Control Room'!$B$15/4))^2),1)*IF(AND($A194&gt;='Control Room'!$A$16,$A194&lt;'Control Room'!$A$16+'Control Room'!$B$16,'Process'!BL5=1),1+('Control Room'!$C$16-1)*EXP(-0.5*(($A194-'Control Room'!$A$16-('Control Room'!$B$16-1)/2)/MAX(0.5,'Control Room'!$B$16/4))^2),1)</x:f>
        <x:v>1</x:v>
      </x:c>
      <x:c r="L194" s="9" t="n">
        <x:f>MOD(M193*16807,2147483647)</x:f>
        <x:v>823716067</x:v>
      </x:c>
      <x:c r="M194" s="9" t="n">
        <x:f>MOD(L194*16807,2147483647)</x:f>
        <x:v>1516349507</x:v>
      </x:c>
      <x:c r="N194" s="17" t="n">
        <x:f>IF('Control Room'!$B$5="Normal",'Control Room'!$B$7+'Control Room'!$D$7*SQRT(-2*LN(MAX(0.000000000001,L194/2147483647)))*COS(2*PI()*M194/2147483647),'Control Room'!$B$8+('Control Room'!$D$8-'Control Room'!$B$8)*L194/2147483647)</x:f>
        <x:v>966.0715487897659</x:v>
      </x:c>
      <x:c r="O194" s="17" t="n">
        <x:f>IF('Control Room'!$B$5="Normal",'Control Room'!$B$7,('Control Room'!$B$8+'Control Room'!$D$8)/2)+'Control Room'!$B$9*(O193-IF('Control Room'!$B$5="Normal",'Control Room'!$B$7,('Control Room'!$B$8+'Control Room'!$D$8)/2))+SQRT(1-'Control Room'!$B$9^2)*(N194-IF('Control Room'!$B$5="Normal",'Control Room'!$B$7,('Control Room'!$B$8+'Control Room'!$D$8)/2))</x:f>
        <x:v>873.1952724597847</x:v>
      </x:c>
      <x:c r="P194" s="17" t="n">
        <x:f>IF(AND($A194&gt;='Control Room'!$A$13,$A194&lt;'Control Room'!$A$13+'Control Room'!$B$13,'Process'!BM2=1),1+('Control Room'!$C$13-1)*EXP(-0.5*(($A194-'Control Room'!$A$13-('Control Room'!$B$13-1)/2)/MAX(0.5,'Control Room'!$B$13/4))^2),1)*IF(AND($A194&gt;='Control Room'!$A$14,$A194&lt;'Control Room'!$A$14+'Control Room'!$B$14,'Process'!BM3=1),1+('Control Room'!$C$14-1)*EXP(-0.5*(($A194-'Control Room'!$A$14-('Control Room'!$B$14-1)/2)/MAX(0.5,'Control Room'!$B$14/4))^2),1)*IF(AND($A194&gt;='Control Room'!$A$15,$A194&lt;'Control Room'!$A$15+'Control Room'!$B$15,'Process'!BM4=1),1+('Control Room'!$C$15-1)*EXP(-0.5*(($A194-'Control Room'!$A$15-('Control Room'!$B$15-1)/2)/MAX(0.5,'Control Room'!$B$15/4))^2),1)*IF(AND($A194&gt;='Control Room'!$A$16,$A194&lt;'Control Room'!$A$16+'Control Room'!$B$16,'Process'!BM5=1),1+('Control Room'!$C$16-1)*EXP(-0.5*(($A194-'Control Room'!$A$16-('Control Room'!$B$16-1)/2)/MAX(0.5,'Control Room'!$B$16/4))^2),1)</x:f>
        <x:v>1</x:v>
      </x:c>
      <x:c r="Q194" s="9" t="n">
        <x:f>MOD(R193*16807,2147483647)</x:f>
        <x:v>1678455848</x:v>
      </x:c>
      <x:c r="R194" s="9" t="n">
        <x:f>MOD(Q194*16807,2147483647)</x:f>
        <x:v>462250344</x:v>
      </x:c>
      <x:c r="S194" s="17" t="n">
        <x:f>IF('Control Room'!$B$5="Normal",'Control Room'!$B$7+'Control Room'!$D$7*SQRT(-2*LN(MAX(0.000000000001,Q194/2147483647)))*COS(2*PI()*R194/2147483647),'Control Room'!$B$8+('Control Room'!$D$8-'Control Room'!$B$8)*Q194/2147483647)</x:f>
        <x:v>1013.6851801065983</x:v>
      </x:c>
      <x:c r="T194" s="17" t="n">
        <x:f>IF('Control Room'!$B$5="Normal",'Control Room'!$B$7,('Control Room'!$B$8+'Control Room'!$D$8)/2)+'Control Room'!$B$9*(T193-IF('Control Room'!$B$5="Normal",'Control Room'!$B$7,('Control Room'!$B$8+'Control Room'!$D$8)/2))+SQRT(1-'Control Room'!$B$9^2)*(S194-IF('Control Room'!$B$5="Normal",'Control Room'!$B$7,('Control Room'!$B$8+'Control Room'!$D$8)/2))</x:f>
        <x:v>1014.2363269247345</x:v>
      </x:c>
      <x:c r="U194" s="17" t="n">
        <x:f>IF(AND($A194&gt;='Control Room'!$A$13,$A194&lt;'Control Room'!$A$13+'Control Room'!$B$13,'Process'!BN2=1),1+('Control Room'!$C$13-1)*EXP(-0.5*(($A194-'Control Room'!$A$13-('Control Room'!$B$13-1)/2)/MAX(0.5,'Control Room'!$B$13/4))^2),1)*IF(AND($A194&gt;='Control Room'!$A$14,$A194&lt;'Control Room'!$A$14+'Control Room'!$B$14,'Process'!BN3=1),1+('Control Room'!$C$14-1)*EXP(-0.5*(($A194-'Control Room'!$A$14-('Control Room'!$B$14-1)/2)/MAX(0.5,'Control Room'!$B$14/4))^2),1)*IF(AND($A194&gt;='Control Room'!$A$15,$A194&lt;'Control Room'!$A$15+'Control Room'!$B$15,'Process'!BN4=1),1+('Control Room'!$C$15-1)*EXP(-0.5*(($A194-'Control Room'!$A$15-('Control Room'!$B$15-1)/2)/MAX(0.5,'Control Room'!$B$15/4))^2),1)*IF(AND($A194&gt;='Control Room'!$A$16,$A194&lt;'Control Room'!$A$16+'Control Room'!$B$16,'Process'!BN5=1),1+('Control Room'!$C$16-1)*EXP(-0.5*(($A194-'Control Room'!$A$16-('Control Room'!$B$16-1)/2)/MAX(0.5,'Control Room'!$B$16/4))^2),1)</x:f>
        <x:v>1</x:v>
      </x:c>
      <x:c r="V194" s="9" t="n">
        <x:f>MOD(W193*16807,2147483647)</x:f>
        <x:v>385711982</x:v>
      </x:c>
      <x:c r="W194" s="9" t="n">
        <x:f>MOD(V194*16807,2147483647)</x:f>
        <x:v>1555634828</x:v>
      </x:c>
      <x:c r="X194" s="17" t="n">
        <x:f>IF('Control Room'!$B$5="Normal",'Control Room'!$B$7+'Control Room'!$D$7*SQRT(-2*LN(MAX(0.000000000001,V194/2147483647)))*COS(2*PI()*W194/2147483647),'Control Room'!$B$8+('Control Room'!$D$8-'Control Room'!$B$8)*V194/2147483647)</x:f>
        <x:v>973.2883049789198</x:v>
      </x:c>
      <x:c r="Y194" s="17" t="n">
        <x:f>IF('Control Room'!$B$5="Normal",'Control Room'!$B$7,('Control Room'!$B$8+'Control Room'!$D$8)/2)+'Control Room'!$B$9*(Y193-IF('Control Room'!$B$5="Normal",'Control Room'!$B$7,('Control Room'!$B$8+'Control Room'!$D$8)/2))+SQRT(1-'Control Room'!$B$9^2)*(X194-IF('Control Room'!$B$5="Normal",'Control Room'!$B$7,('Control Room'!$B$8+'Control Room'!$D$8)/2))</x:f>
        <x:v>1039.1787567261779</x:v>
      </x:c>
      <x:c r="Z194" s="17" t="n">
        <x:f>IF(AND($A194&gt;='Control Room'!$A$13,$A194&lt;'Control Room'!$A$13+'Control Room'!$B$13,'Process'!BO2=1),1+('Control Room'!$C$13-1)*EXP(-0.5*(($A194-'Control Room'!$A$13-('Control Room'!$B$13-1)/2)/MAX(0.5,'Control Room'!$B$13/4))^2),1)*IF(AND($A194&gt;='Control Room'!$A$14,$A194&lt;'Control Room'!$A$14+'Control Room'!$B$14,'Process'!BO3=1),1+('Control Room'!$C$14-1)*EXP(-0.5*(($A194-'Control Room'!$A$14-('Control Room'!$B$14-1)/2)/MAX(0.5,'Control Room'!$B$14/4))^2),1)*IF(AND($A194&gt;='Control Room'!$A$15,$A194&lt;'Control Room'!$A$15+'Control Room'!$B$15,'Process'!BO4=1),1+('Control Room'!$C$15-1)*EXP(-0.5*(($A194-'Control Room'!$A$15-('Control Room'!$B$15-1)/2)/MAX(0.5,'Control Room'!$B$15/4))^2),1)*IF(AND($A194&gt;='Control Room'!$A$16,$A194&lt;'Control Room'!$A$16+'Control Room'!$B$16,'Process'!BO5=1),1+('Control Room'!$C$16-1)*EXP(-0.5*(($A194-'Control Room'!$A$16-('Control Room'!$B$16-1)/2)/MAX(0.5,'Control Room'!$B$16/4))^2),1)</x:f>
        <x:v>1</x:v>
      </x:c>
      <x:c r="AA194" s="9" t="n">
        <x:f>MOD(AB193*16807,2147483647)</x:f>
        <x:v>1240451763</x:v>
      </x:c>
      <x:c r="AB194" s="9" t="n">
        <x:f>MOD(AA194*16807,2147483647)</x:f>
        <x:v>501535665</x:v>
      </x:c>
      <x:c r="AC194" s="17" t="n">
        <x:f>IF('Control Room'!$B$5="Normal",'Control Room'!$B$7+'Control Room'!$D$7*SQRT(-2*LN(MAX(0.000000000001,AA194/2147483647)))*COS(2*PI()*AB194/2147483647),'Control Room'!$B$8+('Control Room'!$D$8-'Control Room'!$B$8)*AA194/2147483647)</x:f>
        <x:v>1009.7309919393196</x:v>
      </x:c>
      <x:c r="AD194" s="17" t="n">
        <x:f>IF('Control Room'!$B$5="Normal",'Control Room'!$B$7,('Control Room'!$B$8+'Control Room'!$D$8)/2)+'Control Room'!$B$9*(AD193-IF('Control Room'!$B$5="Normal",'Control Room'!$B$7,('Control Room'!$B$8+'Control Room'!$D$8)/2))+SQRT(1-'Control Room'!$B$9^2)*(AC194-IF('Control Room'!$B$5="Normal",'Control Room'!$B$7,('Control Room'!$B$8+'Control Room'!$D$8)/2))</x:f>
        <x:v>961.7318531724677</x:v>
      </x:c>
      <x:c r="AE194" s="17" t="n">
        <x:f>IF(AND($A194&gt;='Control Room'!$A$13,$A194&lt;'Control Room'!$A$13+'Control Room'!$B$13,'Process'!BP2=1),1+('Control Room'!$C$13-1)*EXP(-0.5*(($A194-'Control Room'!$A$13-('Control Room'!$B$13-1)/2)/MAX(0.5,'Control Room'!$B$13/4))^2),1)*IF(AND($A194&gt;='Control Room'!$A$14,$A194&lt;'Control Room'!$A$14+'Control Room'!$B$14,'Process'!BP3=1),1+('Control Room'!$C$14-1)*EXP(-0.5*(($A194-'Control Room'!$A$14-('Control Room'!$B$14-1)/2)/MAX(0.5,'Control Room'!$B$14/4))^2),1)*IF(AND($A194&gt;='Control Room'!$A$15,$A194&lt;'Control Room'!$A$15+'Control Room'!$B$15,'Process'!BP4=1),1+('Control Room'!$C$15-1)*EXP(-0.5*(($A194-'Control Room'!$A$15-('Control Room'!$B$15-1)/2)/MAX(0.5,'Control Room'!$B$15/4))^2),1)*IF(AND($A194&gt;='Control Room'!$A$16,$A194&lt;'Control Room'!$A$16+'Control Room'!$B$16,'Process'!BP5=1),1+('Control Room'!$C$16-1)*EXP(-0.5*(($A194-'Control Room'!$A$16-('Control Room'!$B$16-1)/2)/MAX(0.5,'Control Room'!$B$16/4))^2),1)</x:f>
        <x:v>1</x:v>
      </x:c>
      <x:c r="AF194" s="9" t="n">
        <x:f>MOD(AG193*16807,2147483647)</x:f>
        <x:v>2095191544</x:v>
      </x:c>
      <x:c r="AG194" s="9" t="n">
        <x:f>MOD(AF194*16807,2147483647)</x:f>
        <x:v>1594920149</x:v>
      </x:c>
      <x:c r="AH194" s="17" t="n">
        <x:f>IF('Control Room'!$B$5="Normal",'Control Room'!$B$7+'Control Room'!$D$7*SQRT(-2*LN(MAX(0.000000000001,AF194/2147483647)))*COS(2*PI()*AG194/2147483647),'Control Room'!$B$8+('Control Room'!$D$8-'Control Room'!$B$8)*AF194/2147483647)</x:f>
        <x:v>999.0827798409425</x:v>
      </x:c>
      <x:c r="AI194" s="17" t="n">
        <x:f>IF('Control Room'!$B$5="Normal",'Control Room'!$B$7,('Control Room'!$B$8+'Control Room'!$D$8)/2)+'Control Room'!$B$9*(AI193-IF('Control Room'!$B$5="Normal",'Control Room'!$B$7,('Control Room'!$B$8+'Control Room'!$D$8)/2))+SQRT(1-'Control Room'!$B$9^2)*(AH194-IF('Control Room'!$B$5="Normal",'Control Room'!$B$7,('Control Room'!$B$8+'Control Room'!$D$8)/2))</x:f>
        <x:v>912.8194036848665</x:v>
      </x:c>
      <x:c r="AJ194" s="17" t="n">
        <x:f>IF(AND($A194&gt;='Control Room'!$A$13,$A194&lt;'Control Room'!$A$13+'Control Room'!$B$13,'Process'!BQ2=1),1+('Control Room'!$C$13-1)*EXP(-0.5*(($A194-'Control Room'!$A$13-('Control Room'!$B$13-1)/2)/MAX(0.5,'Control Room'!$B$13/4))^2),1)*IF(AND($A194&gt;='Control Room'!$A$14,$A194&lt;'Control Room'!$A$14+'Control Room'!$B$14,'Process'!BQ3=1),1+('Control Room'!$C$14-1)*EXP(-0.5*(($A194-'Control Room'!$A$14-('Control Room'!$B$14-1)/2)/MAX(0.5,'Control Room'!$B$14/4))^2),1)*IF(AND($A194&gt;='Control Room'!$A$15,$A194&lt;'Control Room'!$A$15+'Control Room'!$B$15,'Process'!BQ4=1),1+('Control Room'!$C$15-1)*EXP(-0.5*(($A194-'Control Room'!$A$15-('Control Room'!$B$15-1)/2)/MAX(0.5,'Control Room'!$B$15/4))^2),1)*IF(AND($A194&gt;='Control Room'!$A$16,$A194&lt;'Control Room'!$A$16+'Control Room'!$B$16,'Process'!BQ5=1),1+('Control Room'!$C$16-1)*EXP(-0.5*(($A194-'Control Room'!$A$16-('Control Room'!$B$16-1)/2)/MAX(0.5,'Control Room'!$B$16/4))^2),1)</x:f>
        <x:v>1</x:v>
      </x:c>
      <x:c r="AK194" s="9" t="n">
        <x:f>MOD(AL193*16807,2147483647)</x:f>
        <x:v>802447678</x:v>
      </x:c>
      <x:c r="AL194" s="9" t="n">
        <x:f>MOD(AK194*16807,2147483647)</x:f>
        <x:v>540820986</x:v>
      </x:c>
      <x:c r="AM194" s="17" t="n">
        <x:f>IF('Control Room'!$B$5="Normal",'Control Room'!$B$7+'Control Room'!$D$7*SQRT(-2*LN(MAX(0.000000000001,AK194/2147483647)))*COS(2*PI()*AL194/2147483647),'Control Room'!$B$8+('Control Room'!$D$8-'Control Room'!$B$8)*AK194/2147483647)</x:f>
        <x:v>998.5405618998111</x:v>
      </x:c>
      <x:c r="AN194" s="17" t="n">
        <x:f>IF('Control Room'!$B$5="Normal",'Control Room'!$B$7,('Control Room'!$B$8+'Control Room'!$D$8)/2)+'Control Room'!$B$9*(AN193-IF('Control Room'!$B$5="Normal",'Control Room'!$B$7,('Control Room'!$B$8+'Control Room'!$D$8)/2))+SQRT(1-'Control Room'!$B$9^2)*(AM194-IF('Control Room'!$B$5="Normal",'Control Room'!$B$7,('Control Room'!$B$8+'Control Room'!$D$8)/2))</x:f>
        <x:v>1048.3889639156976</x:v>
      </x:c>
      <x:c r="AO194" s="17" t="n">
        <x:f>IF(AND($A194&gt;='Control Room'!$A$13,$A194&lt;'Control Room'!$A$13+'Control Room'!$B$13,'Process'!BR2=1),1+('Control Room'!$C$13-1)*EXP(-0.5*(($A194-'Control Room'!$A$13-('Control Room'!$B$13-1)/2)/MAX(0.5,'Control Room'!$B$13/4))^2),1)*IF(AND($A194&gt;='Control Room'!$A$14,$A194&lt;'Control Room'!$A$14+'Control Room'!$B$14,'Process'!BR3=1),1+('Control Room'!$C$14-1)*EXP(-0.5*(($A194-'Control Room'!$A$14-('Control Room'!$B$14-1)/2)/MAX(0.5,'Control Room'!$B$14/4))^2),1)*IF(AND($A194&gt;='Control Room'!$A$15,$A194&lt;'Control Room'!$A$15+'Control Room'!$B$15,'Process'!BR4=1),1+('Control Room'!$C$15-1)*EXP(-0.5*(($A194-'Control Room'!$A$15-('Control Room'!$B$15-1)/2)/MAX(0.5,'Control Room'!$B$15/4))^2),1)*IF(AND($A194&gt;='Control Room'!$A$16,$A194&lt;'Control Room'!$A$16+'Control Room'!$B$16,'Process'!BR5=1),1+('Control Room'!$C$16-1)*EXP(-0.5*(($A194-'Control Room'!$A$16-('Control Room'!$B$16-1)/2)/MAX(0.5,'Control Room'!$B$16/4))^2),1)</x:f>
        <x:v>1</x:v>
      </x:c>
      <x:c r="AP194" s="9" t="n">
        <x:f>MOD(AQ193*16807,2147483647)</x:f>
        <x:v>1657187459</x:v>
      </x:c>
      <x:c r="AQ194" s="9" t="n">
        <x:f>MOD(AP194*16807,2147483647)</x:f>
        <x:v>1634205470</x:v>
      </x:c>
      <x:c r="AR194" s="17" t="n">
        <x:f>IF('Control Room'!$B$5="Normal",'Control Room'!$B$7+'Control Room'!$D$7*SQRT(-2*LN(MAX(0.000000000001,AP194/2147483647)))*COS(2*PI()*AQ194/2147483647),'Control Room'!$B$8+('Control Room'!$D$8-'Control Room'!$B$8)*AP194/2147483647)</x:f>
        <x:v>1004.4692773862995</x:v>
      </x:c>
      <x:c r="AS194" s="17" t="n">
        <x:f>IF('Control Room'!$B$5="Normal",'Control Room'!$B$7,('Control Room'!$B$8+'Control Room'!$D$8)/2)+'Control Room'!$B$9*(AS193-IF('Control Room'!$B$5="Normal",'Control Room'!$B$7,('Control Room'!$B$8+'Control Room'!$D$8)/2))+SQRT(1-'Control Room'!$B$9^2)*(AR194-IF('Control Room'!$B$5="Normal",'Control Room'!$B$7,('Control Room'!$B$8+'Control Room'!$D$8)/2))</x:f>
        <x:v>1005.6477486796208</x:v>
      </x:c>
      <x:c r="AT194" s="17" t="n">
        <x:f>IF(AND($A194&gt;='Control Room'!$A$13,$A194&lt;'Control Room'!$A$13+'Control Room'!$B$13,'Process'!BS2=1),1+('Control Room'!$C$13-1)*EXP(-0.5*(($A194-'Control Room'!$A$13-('Control Room'!$B$13-1)/2)/MAX(0.5,'Control Room'!$B$13/4))^2),1)*IF(AND($A194&gt;='Control Room'!$A$14,$A194&lt;'Control Room'!$A$14+'Control Room'!$B$14,'Process'!BS3=1),1+('Control Room'!$C$14-1)*EXP(-0.5*(($A194-'Control Room'!$A$14-('Control Room'!$B$14-1)/2)/MAX(0.5,'Control Room'!$B$14/4))^2),1)*IF(AND($A194&gt;='Control Room'!$A$15,$A194&lt;'Control Room'!$A$15+'Control Room'!$B$15,'Process'!BS4=1),1+('Control Room'!$C$15-1)*EXP(-0.5*(($A194-'Control Room'!$A$15-('Control Room'!$B$15-1)/2)/MAX(0.5,'Control Room'!$B$15/4))^2),1)*IF(AND($A194&gt;='Control Room'!$A$16,$A194&lt;'Control Room'!$A$16+'Control Room'!$B$16,'Process'!BS5=1),1+('Control Room'!$C$16-1)*EXP(-0.5*(($A194-'Control Room'!$A$16-('Control Room'!$B$16-1)/2)/MAX(0.5,'Control Room'!$B$16/4))^2),1)</x:f>
        <x:v>1</x:v>
      </x:c>
      <x:c r="AU194" s="9" t="n">
        <x:f>MOD(AV193*16807,2147483647)</x:f>
        <x:v>364443593</x:v>
      </x:c>
      <x:c r="AV194" s="9" t="n">
        <x:f>MOD(AU194*16807,2147483647)</x:f>
        <x:v>580106307</x:v>
      </x:c>
      <x:c r="AW194" s="17" t="n">
        <x:f>IF('Control Room'!$B$5="Normal",'Control Room'!$B$7+'Control Room'!$D$7*SQRT(-2*LN(MAX(0.000000000001,AU194/2147483647)))*COS(2*PI()*AV194/2147483647),'Control Room'!$B$8+('Control Room'!$D$8-'Control Room'!$B$8)*AU194/2147483647)</x:f>
        <x:v>978.6141894655426</x:v>
      </x:c>
      <x:c r="AX194" s="17" t="n">
        <x:f>IF('Control Room'!$B$5="Normal",'Control Room'!$B$7,('Control Room'!$B$8+'Control Room'!$D$8)/2)+'Control Room'!$B$9*(AX193-IF('Control Room'!$B$5="Normal",'Control Room'!$B$7,('Control Room'!$B$8+'Control Room'!$D$8)/2))+SQRT(1-'Control Room'!$B$9^2)*(AW194-IF('Control Room'!$B$5="Normal",'Control Room'!$B$7,('Control Room'!$B$8+'Control Room'!$D$8)/2))</x:f>
        <x:v>1013.0197557280961</x:v>
      </x:c>
      <x:c r="AY194" s="17" t="n">
        <x:f>IF(AND($A194&gt;='Control Room'!$A$13,$A194&lt;'Control Room'!$A$13+'Control Room'!$B$13,'Process'!BT2=1),1+('Control Room'!$C$13-1)*EXP(-0.5*(($A194-'Control Room'!$A$13-('Control Room'!$B$13-1)/2)/MAX(0.5,'Control Room'!$B$13/4))^2),1)*IF(AND($A194&gt;='Control Room'!$A$14,$A194&lt;'Control Room'!$A$14+'Control Room'!$B$14,'Process'!BT3=1),1+('Control Room'!$C$14-1)*EXP(-0.5*(($A194-'Control Room'!$A$14-('Control Room'!$B$14-1)/2)/MAX(0.5,'Control Room'!$B$14/4))^2),1)*IF(AND($A194&gt;='Control Room'!$A$15,$A194&lt;'Control Room'!$A$15+'Control Room'!$B$15,'Process'!BT4=1),1+('Control Room'!$C$15-1)*EXP(-0.5*(($A194-'Control Room'!$A$15-('Control Room'!$B$15-1)/2)/MAX(0.5,'Control Room'!$B$15/4))^2),1)*IF(AND($A194&gt;='Control Room'!$A$16,$A194&lt;'Control Room'!$A$16+'Control Room'!$B$16,'Process'!BT5=1),1+('Control Room'!$C$16-1)*EXP(-0.5*(($A194-'Control Room'!$A$16-('Control Room'!$B$16-1)/2)/MAX(0.5,'Control Room'!$B$16/4))^2),1)</x:f>
        <x:v>1</x:v>
      </x:c>
      <x:c r="AZ194" s="9" t="n">
        <x:f>MOD(BA193*16807,2147483647)</x:f>
        <x:v>1219183374</x:v>
      </x:c>
      <x:c r="BA194" s="9" t="n">
        <x:f>MOD(AZ194*16807,2147483647)</x:f>
        <x:v>1673490791</x:v>
      </x:c>
      <x:c r="BB194" s="17" t="n">
        <x:f>IF('Control Room'!$B$5="Normal",'Control Room'!$B$7+'Control Room'!$D$7*SQRT(-2*LN(MAX(0.000000000001,AZ194/2147483647)))*COS(2*PI()*BA194/2147483647),'Control Room'!$B$8+('Control Room'!$D$8-'Control Room'!$B$8)*AZ194/2147483647)</x:f>
        <x:v>1017.5188889908154</x:v>
      </x:c>
      <x:c r="BC194" s="17" t="n">
        <x:f>IF('Control Room'!$B$5="Normal",'Control Room'!$B$7,('Control Room'!$B$8+'Control Room'!$D$8)/2)+'Control Room'!$B$9*(BC193-IF('Control Room'!$B$5="Normal",'Control Room'!$B$7,('Control Room'!$B$8+'Control Room'!$D$8)/2))+SQRT(1-'Control Room'!$B$9^2)*(BB194-IF('Control Room'!$B$5="Normal",'Control Room'!$B$7,('Control Room'!$B$8+'Control Room'!$D$8)/2))</x:f>
        <x:v>1103.488429496616</x:v>
      </x:c>
      <x:c r="BD194" s="17" t="n">
        <x:f>IF(AND($A194&gt;='Control Room'!$A$13,$A194&lt;'Control Room'!$A$13+'Control Room'!$B$13,'Process'!BU2=1),1+('Control Room'!$C$13-1)*EXP(-0.5*(($A194-'Control Room'!$A$13-('Control Room'!$B$13-1)/2)/MAX(0.5,'Control Room'!$B$13/4))^2),1)*IF(AND($A194&gt;='Control Room'!$A$14,$A194&lt;'Control Room'!$A$14+'Control Room'!$B$14,'Process'!BU3=1),1+('Control Room'!$C$14-1)*EXP(-0.5*(($A194-'Control Room'!$A$14-('Control Room'!$B$14-1)/2)/MAX(0.5,'Control Room'!$B$14/4))^2),1)*IF(AND($A194&gt;='Control Room'!$A$15,$A194&lt;'Control Room'!$A$15+'Control Room'!$B$15,'Process'!BU4=1),1+('Control Room'!$C$15-1)*EXP(-0.5*(($A194-'Control Room'!$A$15-('Control Room'!$B$15-1)/2)/MAX(0.5,'Control Room'!$B$15/4))^2),1)*IF(AND($A194&gt;='Control Room'!$A$16,$A194&lt;'Control Room'!$A$16+'Control Room'!$B$16,'Process'!BU5=1),1+('Control Room'!$C$16-1)*EXP(-0.5*(($A194-'Control Room'!$A$16-('Control Room'!$B$16-1)/2)/MAX(0.5,'Control Room'!$B$16/4))^2),1)</x:f>
        <x:v>1</x:v>
      </x:c>
      <x:c r="BE194" s="9" t="n">
        <x:f>MOD(BF193*16807,2147483647)</x:f>
        <x:v>2073923155</x:v>
      </x:c>
      <x:c r="BF194" s="9" t="n">
        <x:f>MOD(BE194*16807,2147483647)</x:f>
        <x:v>619391628</x:v>
      </x:c>
      <x:c r="BG194" s="17" t="n">
        <x:f>IF('Control Room'!$B$5="Normal",'Control Room'!$B$7+'Control Room'!$D$7*SQRT(-2*LN(MAX(0.000000000001,BE194/2147483647)))*COS(2*PI()*BF194/2147483647),'Control Room'!$B$8+('Control Room'!$D$8-'Control Room'!$B$8)*BE194/2147483647)</x:f>
        <x:v>994.318363067255</x:v>
      </x:c>
      <x:c r="BH194" s="17" t="n">
        <x:f>IF('Control Room'!$B$5="Normal",'Control Room'!$B$7,('Control Room'!$B$8+'Control Room'!$D$8)/2)+'Control Room'!$B$9*(BH193-IF('Control Room'!$B$5="Normal",'Control Room'!$B$7,('Control Room'!$B$8+'Control Room'!$D$8)/2))+SQRT(1-'Control Room'!$B$9^2)*(BG194-IF('Control Room'!$B$5="Normal",'Control Room'!$B$7,('Control Room'!$B$8+'Control Room'!$D$8)/2))</x:f>
        <x:v>1039.3862832199786</x:v>
      </x:c>
      <x:c r="BI194" s="17" t="n">
        <x:f>IF(AND($A194&gt;='Control Room'!$A$13,$A194&lt;'Control Room'!$A$13+'Control Room'!$B$13,'Process'!BV2=1),1+('Control Room'!$C$13-1)*EXP(-0.5*(($A194-'Control Room'!$A$13-('Control Room'!$B$13-1)/2)/MAX(0.5,'Control Room'!$B$13/4))^2),1)*IF(AND($A194&gt;='Control Room'!$A$14,$A194&lt;'Control Room'!$A$14+'Control Room'!$B$14,'Process'!BV3=1),1+('Control Room'!$C$14-1)*EXP(-0.5*(($A194-'Control Room'!$A$14-('Control Room'!$B$14-1)/2)/MAX(0.5,'Control Room'!$B$14/4))^2),1)*IF(AND($A194&gt;='Control Room'!$A$15,$A194&lt;'Control Room'!$A$15+'Control Room'!$B$15,'Process'!BV4=1),1+('Control Room'!$C$15-1)*EXP(-0.5*(($A194-'Control Room'!$A$15-('Control Room'!$B$15-1)/2)/MAX(0.5,'Control Room'!$B$15/4))^2),1)*IF(AND($A194&gt;='Control Room'!$A$16,$A194&lt;'Control Room'!$A$16+'Control Room'!$B$16,'Process'!BV5=1),1+('Control Room'!$C$16-1)*EXP(-0.5*(($A194-'Control Room'!$A$16-('Control Room'!$B$16-1)/2)/MAX(0.5,'Control Room'!$B$16/4))^2),1)</x:f>
        <x:v>1</x:v>
      </x:c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Z194" t="str">
        <x:f>IF('Data'!A194="","",TEXT('Data'!A194,"mm-dd"))</x:f>
      </x:c>
    </x:row>
    <x:row r="195" ht="21" customHeight="1">
      <x:c r="A195" s="15" t="n">
        <x:f>'Control Room'!$B$1+193</x:f>
        <x:v>73184</x:v>
      </x:c>
      <x:c r="B195" s="9" t="n">
        <x:f>MOD(C194*16807,2147483647)</x:f>
        <x:v>106814782</x:v>
      </x:c>
      <x:c r="C195" s="9" t="n">
        <x:f>MOD(B195*16807,2147483647)</x:f>
        <x:v>2087195829</x:v>
      </x:c>
      <x:c r="D195" s="17" t="n">
        <x:f>IF('Control Room'!$B$5="Normal",'Control Room'!$B$7+'Control Room'!$D$7*SQRT(-2*LN(MAX(0.000000000001,B195/2147483647)))*COS(2*PI()*C195/2147483647),'Control Room'!$B$8+('Control Room'!$D$8-'Control Room'!$B$8)*B195/2147483647)</x:f>
        <x:v>1217.067897641132</x:v>
      </x:c>
      <x:c r="E195" s="17" t="n">
        <x:f>IF('Control Room'!$B$5="Normal",'Control Room'!$B$7,('Control Room'!$B$8+'Control Room'!$D$8)/2)+'Control Room'!$B$9*(E194-IF('Control Room'!$B$5="Normal",'Control Room'!$B$7,('Control Room'!$B$8+'Control Room'!$D$8)/2))+SQRT(1-'Control Room'!$B$9^2)*(D195-IF('Control Room'!$B$5="Normal",'Control Room'!$B$7,('Control Room'!$B$8+'Control Room'!$D$8)/2))</x:f>
        <x:v>1163.9819150336775</x:v>
      </x:c>
      <x:c r="F195" s="17" t="n">
        <x:f>IF(AND($A195&gt;='Control Room'!$A$13,$A195&lt;'Control Room'!$A$13+'Control Room'!$B$13,'Process'!BK2=1),1+('Control Room'!$C$13-1)*EXP(-0.5*(($A195-'Control Room'!$A$13-('Control Room'!$B$13-1)/2)/MAX(0.5,'Control Room'!$B$13/4))^2),1)*IF(AND($A195&gt;='Control Room'!$A$14,$A195&lt;'Control Room'!$A$14+'Control Room'!$B$14,'Process'!BK3=1),1+('Control Room'!$C$14-1)*EXP(-0.5*(($A195-'Control Room'!$A$14-('Control Room'!$B$14-1)/2)/MAX(0.5,'Control Room'!$B$14/4))^2),1)*IF(AND($A195&gt;='Control Room'!$A$15,$A195&lt;'Control Room'!$A$15+'Control Room'!$B$15,'Process'!BK4=1),1+('Control Room'!$C$15-1)*EXP(-0.5*(($A195-'Control Room'!$A$15-('Control Room'!$B$15-1)/2)/MAX(0.5,'Control Room'!$B$15/4))^2),1)*IF(AND($A195&gt;='Control Room'!$A$16,$A195&lt;'Control Room'!$A$16+'Control Room'!$B$16,'Process'!BK5=1),1+('Control Room'!$C$16-1)*EXP(-0.5*(($A195-'Control Room'!$A$16-('Control Room'!$B$16-1)/2)/MAX(0.5,'Control Room'!$B$16/4))^2),1)</x:f>
        <x:v>1</x:v>
      </x:c>
      <x:c r="G195" s="9" t="n">
        <x:f>MOD(H194*16807,2147483647)</x:f>
        <x:v>602269991</x:v>
      </x:c>
      <x:c r="H195" s="9" t="n">
        <x:f>MOD(G195*16807,2147483647)</x:f>
        <x:v>1261310426</x:v>
      </x:c>
      <x:c r="I195" s="17" t="n">
        <x:f>IF('Control Room'!$B$5="Normal",'Control Room'!$B$7+'Control Room'!$D$7*SQRT(-2*LN(MAX(0.000000000001,G195/2147483647)))*COS(2*PI()*H195/2147483647),'Control Room'!$B$8+('Control Room'!$D$8-'Control Room'!$B$8)*G195/2147483647)</x:f>
        <x:v>877.5618603519741</x:v>
      </x:c>
      <x:c r="J195" s="17" t="n">
        <x:f>IF('Control Room'!$B$5="Normal",'Control Room'!$B$7,('Control Room'!$B$8+'Control Room'!$D$8)/2)+'Control Room'!$B$9*(J194-IF('Control Room'!$B$5="Normal",'Control Room'!$B$7,('Control Room'!$B$8+'Control Room'!$D$8)/2))+SQRT(1-'Control Room'!$B$9^2)*(I195-IF('Control Room'!$B$5="Normal",'Control Room'!$B$7,('Control Room'!$B$8+'Control Room'!$D$8)/2))</x:f>
        <x:v>945.7614905231983</x:v>
      </x:c>
      <x:c r="K195" s="17" t="n">
        <x:f>IF(AND($A195&gt;='Control Room'!$A$13,$A195&lt;'Control Room'!$A$13+'Control Room'!$B$13,'Process'!BL2=1),1+('Control Room'!$C$13-1)*EXP(-0.5*(($A195-'Control Room'!$A$13-('Control Room'!$B$13-1)/2)/MAX(0.5,'Control Room'!$B$13/4))^2),1)*IF(AND($A195&gt;='Control Room'!$A$14,$A195&lt;'Control Room'!$A$14+'Control Room'!$B$14,'Process'!BL3=1),1+('Control Room'!$C$14-1)*EXP(-0.5*(($A195-'Control Room'!$A$14-('Control Room'!$B$14-1)/2)/MAX(0.5,'Control Room'!$B$14/4))^2),1)*IF(AND($A195&gt;='Control Room'!$A$15,$A195&lt;'Control Room'!$A$15+'Control Room'!$B$15,'Process'!BL4=1),1+('Control Room'!$C$15-1)*EXP(-0.5*(($A195-'Control Room'!$A$15-('Control Room'!$B$15-1)/2)/MAX(0.5,'Control Room'!$B$15/4))^2),1)*IF(AND($A195&gt;='Control Room'!$A$16,$A195&lt;'Control Room'!$A$16+'Control Room'!$B$16,'Process'!BL5=1),1+('Control Room'!$C$16-1)*EXP(-0.5*(($A195-'Control Room'!$A$16-('Control Room'!$B$16-1)/2)/MAX(0.5,'Control Room'!$B$16/4))^2),1)</x:f>
        <x:v>1</x:v>
      </x:c>
      <x:c r="L195" s="9" t="n">
        <x:f>MOD(M194*16807,2147483647)</x:f>
        <x:v>1097725200</x:v>
      </x:c>
      <x:c r="M195" s="9" t="n">
        <x:f>MOD(L195*16807,2147483647)</x:f>
        <x:v>435425023</x:v>
      </x:c>
      <x:c r="N195" s="17" t="n">
        <x:f>IF('Control Room'!$B$5="Normal",'Control Room'!$B$7+'Control Room'!$D$7*SQRT(-2*LN(MAX(0.000000000001,L195/2147483647)))*COS(2*PI()*M195/2147483647),'Control Room'!$B$8+('Control Room'!$D$8-'Control Room'!$B$8)*L195/2147483647)</x:f>
        <x:v>1030.494811794832</x:v>
      </x:c>
      <x:c r="O195" s="17" t="n">
        <x:f>IF('Control Room'!$B$5="Normal",'Control Room'!$B$7,('Control Room'!$B$8+'Control Room'!$D$8)/2)+'Control Room'!$B$9*(O194-IF('Control Room'!$B$5="Normal",'Control Room'!$B$7,('Control Room'!$B$8+'Control Room'!$D$8)/2))+SQRT(1-'Control Room'!$B$9^2)*(N195-IF('Control Room'!$B$5="Normal",'Control Room'!$B$7,('Control Room'!$B$8+'Control Room'!$D$8)/2))</x:f>
        <x:v>920.1753410196618</x:v>
      </x:c>
      <x:c r="P195" s="17" t="n">
        <x:f>IF(AND($A195&gt;='Control Room'!$A$13,$A195&lt;'Control Room'!$A$13+'Control Room'!$B$13,'Process'!BM2=1),1+('Control Room'!$C$13-1)*EXP(-0.5*(($A195-'Control Room'!$A$13-('Control Room'!$B$13-1)/2)/MAX(0.5,'Control Room'!$B$13/4))^2),1)*IF(AND($A195&gt;='Control Room'!$A$14,$A195&lt;'Control Room'!$A$14+'Control Room'!$B$14,'Process'!BM3=1),1+('Control Room'!$C$14-1)*EXP(-0.5*(($A195-'Control Room'!$A$14-('Control Room'!$B$14-1)/2)/MAX(0.5,'Control Room'!$B$14/4))^2),1)*IF(AND($A195&gt;='Control Room'!$A$15,$A195&lt;'Control Room'!$A$15+'Control Room'!$B$15,'Process'!BM4=1),1+('Control Room'!$C$15-1)*EXP(-0.5*(($A195-'Control Room'!$A$15-('Control Room'!$B$15-1)/2)/MAX(0.5,'Control Room'!$B$15/4))^2),1)*IF(AND($A195&gt;='Control Room'!$A$16,$A195&lt;'Control Room'!$A$16+'Control Room'!$B$16,'Process'!BM5=1),1+('Control Room'!$C$16-1)*EXP(-0.5*(($A195-'Control Room'!$A$16-('Control Room'!$B$16-1)/2)/MAX(0.5,'Control Room'!$B$16/4))^2),1)</x:f>
        <x:v>1</x:v>
      </x:c>
      <x:c r="Q195" s="9" t="n">
        <x:f>MOD(R194*16807,2147483647)</x:f>
        <x:v>1593180409</x:v>
      </x:c>
      <x:c r="R195" s="9" t="n">
        <x:f>MOD(Q195*16807,2147483647)</x:f>
        <x:v>1757023267</x:v>
      </x:c>
      <x:c r="S195" s="17" t="n">
        <x:f>IF('Control Room'!$B$5="Normal",'Control Room'!$B$7+'Control Room'!$D$7*SQRT(-2*LN(MAX(0.000000000001,Q195/2147483647)))*COS(2*PI()*R195/2147483647),'Control Room'!$B$8+('Control Room'!$D$8-'Control Room'!$B$8)*Q195/2147483647)</x:f>
        <x:v>1028.8891164812085</x:v>
      </x:c>
      <x:c r="T195" s="17" t="n">
        <x:f>IF('Control Room'!$B$5="Normal",'Control Room'!$B$7,('Control Room'!$B$8+'Control Room'!$D$8)/2)+'Control Room'!$B$9*(T194-IF('Control Room'!$B$5="Normal",'Control Room'!$B$7,('Control Room'!$B$8+'Control Room'!$D$8)/2))+SQRT(1-'Control Room'!$B$9^2)*(S195-IF('Control Room'!$B$5="Normal",'Control Room'!$B$7,('Control Room'!$B$8+'Control Room'!$D$8)/2))</x:f>
        <x:v>1029.1825522695135</x:v>
      </x:c>
      <x:c r="U195" s="17" t="n">
        <x:f>IF(AND($A195&gt;='Control Room'!$A$13,$A195&lt;'Control Room'!$A$13+'Control Room'!$B$13,'Process'!BN2=1),1+('Control Room'!$C$13-1)*EXP(-0.5*(($A195-'Control Room'!$A$13-('Control Room'!$B$13-1)/2)/MAX(0.5,'Control Room'!$B$13/4))^2),1)*IF(AND($A195&gt;='Control Room'!$A$14,$A195&lt;'Control Room'!$A$14+'Control Room'!$B$14,'Process'!BN3=1),1+('Control Room'!$C$14-1)*EXP(-0.5*(($A195-'Control Room'!$A$14-('Control Room'!$B$14-1)/2)/MAX(0.5,'Control Room'!$B$14/4))^2),1)*IF(AND($A195&gt;='Control Room'!$A$15,$A195&lt;'Control Room'!$A$15+'Control Room'!$B$15,'Process'!BN4=1),1+('Control Room'!$C$15-1)*EXP(-0.5*(($A195-'Control Room'!$A$15-('Control Room'!$B$15-1)/2)/MAX(0.5,'Control Room'!$B$15/4))^2),1)*IF(AND($A195&gt;='Control Room'!$A$16,$A195&lt;'Control Room'!$A$16+'Control Room'!$B$16,'Process'!BN5=1),1+('Control Room'!$C$16-1)*EXP(-0.5*(($A195-'Control Room'!$A$16-('Control Room'!$B$16-1)/2)/MAX(0.5,'Control Room'!$B$16/4))^2),1)</x:f>
        <x:v>1</x:v>
      </x:c>
      <x:c r="V195" s="9" t="n">
        <x:f>MOD(W194*16807,2147483647)</x:f>
        <x:v>2088635618</x:v>
      </x:c>
      <x:c r="W195" s="9" t="n">
        <x:f>MOD(V195*16807,2147483647)</x:f>
        <x:v>931137864</x:v>
      </x:c>
      <x:c r="X195" s="17" t="n">
        <x:f>IF('Control Room'!$B$5="Normal",'Control Room'!$B$7+'Control Room'!$D$7*SQRT(-2*LN(MAX(0.000000000001,V195/2147483647)))*COS(2*PI()*W195/2147483647),'Control Room'!$B$8+('Control Room'!$D$8-'Control Room'!$B$8)*V195/2147483647)</x:f>
        <x:v>980.6038498957207</x:v>
      </x:c>
      <x:c r="Y195" s="17" t="n">
        <x:f>IF('Control Room'!$B$5="Normal",'Control Room'!$B$7,('Control Room'!$B$8+'Control Room'!$D$8)/2)+'Control Room'!$B$9*(Y194-IF('Control Room'!$B$5="Normal",'Control Room'!$B$7,('Control Room'!$B$8+'Control Room'!$D$8)/2))+SQRT(1-'Control Room'!$B$9^2)*(X195-IF('Control Room'!$B$5="Normal",'Control Room'!$B$7,('Control Room'!$B$8+'Control Room'!$D$8)/2))</x:f>
        <x:v>1018.4217168628936</x:v>
      </x:c>
      <x:c r="Z195" s="17" t="n">
        <x:f>IF(AND($A195&gt;='Control Room'!$A$13,$A195&lt;'Control Room'!$A$13+'Control Room'!$B$13,'Process'!BO2=1),1+('Control Room'!$C$13-1)*EXP(-0.5*(($A195-'Control Room'!$A$13-('Control Room'!$B$13-1)/2)/MAX(0.5,'Control Room'!$B$13/4))^2),1)*IF(AND($A195&gt;='Control Room'!$A$14,$A195&lt;'Control Room'!$A$14+'Control Room'!$B$14,'Process'!BO3=1),1+('Control Room'!$C$14-1)*EXP(-0.5*(($A195-'Control Room'!$A$14-('Control Room'!$B$14-1)/2)/MAX(0.5,'Control Room'!$B$14/4))^2),1)*IF(AND($A195&gt;='Control Room'!$A$15,$A195&lt;'Control Room'!$A$15+'Control Room'!$B$15,'Process'!BO4=1),1+('Control Room'!$C$15-1)*EXP(-0.5*(($A195-'Control Room'!$A$15-('Control Room'!$B$15-1)/2)/MAX(0.5,'Control Room'!$B$15/4))^2),1)*IF(AND($A195&gt;='Control Room'!$A$16,$A195&lt;'Control Room'!$A$16+'Control Room'!$B$16,'Process'!BO5=1),1+('Control Room'!$C$16-1)*EXP(-0.5*(($A195-'Control Room'!$A$16-('Control Room'!$B$16-1)/2)/MAX(0.5,'Control Room'!$B$16/4))^2),1)</x:f>
        <x:v>1</x:v>
      </x:c>
      <x:c r="AA195" s="9" t="n">
        <x:f>MOD(AB194*16807,2147483647)</x:f>
        <x:v>436607180</x:v>
      </x:c>
      <x:c r="AB195" s="9" t="n">
        <x:f>MOD(AA195*16807,2147483647)</x:f>
        <x:v>105252461</x:v>
      </x:c>
      <x:c r="AC195" s="17" t="n">
        <x:f>IF('Control Room'!$B$5="Normal",'Control Room'!$B$7+'Control Room'!$D$7*SQRT(-2*LN(MAX(0.000000000001,AA195/2147483647)))*COS(2*PI()*AB195/2147483647),'Control Room'!$B$8+('Control Room'!$D$8-'Control Room'!$B$8)*AA195/2147483647)</x:f>
        <x:v>1153.0879278340358</x:v>
      </x:c>
      <x:c r="AD195" s="17" t="n">
        <x:f>IF('Control Room'!$B$5="Normal",'Control Room'!$B$7,('Control Room'!$B$8+'Control Room'!$D$8)/2)+'Control Room'!$B$9*(AD194-IF('Control Room'!$B$5="Normal",'Control Room'!$B$7,('Control Room'!$B$8+'Control Room'!$D$8)/2))+SQRT(1-'Control Room'!$B$9^2)*(AC195-IF('Control Room'!$B$5="Normal",'Control Room'!$B$7,('Control Room'!$B$8+'Control Room'!$D$8)/2))</x:f>
        <x:v>1065.9501345363963</x:v>
      </x:c>
      <x:c r="AE195" s="17" t="n">
        <x:f>IF(AND($A195&gt;='Control Room'!$A$13,$A195&lt;'Control Room'!$A$13+'Control Room'!$B$13,'Process'!BP2=1),1+('Control Room'!$C$13-1)*EXP(-0.5*(($A195-'Control Room'!$A$13-('Control Room'!$B$13-1)/2)/MAX(0.5,'Control Room'!$B$13/4))^2),1)*IF(AND($A195&gt;='Control Room'!$A$14,$A195&lt;'Control Room'!$A$14+'Control Room'!$B$14,'Process'!BP3=1),1+('Control Room'!$C$14-1)*EXP(-0.5*(($A195-'Control Room'!$A$14-('Control Room'!$B$14-1)/2)/MAX(0.5,'Control Room'!$B$14/4))^2),1)*IF(AND($A195&gt;='Control Room'!$A$15,$A195&lt;'Control Room'!$A$15+'Control Room'!$B$15,'Process'!BP4=1),1+('Control Room'!$C$15-1)*EXP(-0.5*(($A195-'Control Room'!$A$15-('Control Room'!$B$15-1)/2)/MAX(0.5,'Control Room'!$B$15/4))^2),1)*IF(AND($A195&gt;='Control Room'!$A$16,$A195&lt;'Control Room'!$A$16+'Control Room'!$B$16,'Process'!BP5=1),1+('Control Room'!$C$16-1)*EXP(-0.5*(($A195-'Control Room'!$A$16-('Control Room'!$B$16-1)/2)/MAX(0.5,'Control Room'!$B$16/4))^2),1)</x:f>
        <x:v>1</x:v>
      </x:c>
      <x:c r="AF195" s="9" t="n">
        <x:f>MOD(AG194*16807,2147483647)</x:f>
        <x:v>932062389</x:v>
      </x:c>
      <x:c r="AG195" s="9" t="n">
        <x:f>MOD(AF195*16807,2147483647)</x:f>
        <x:v>1426850705</x:v>
      </x:c>
      <x:c r="AH195" s="17" t="n">
        <x:f>IF('Control Room'!$B$5="Normal",'Control Room'!$B$7+'Control Room'!$D$7*SQRT(-2*LN(MAX(0.000000000001,AF195/2147483647)))*COS(2*PI()*AG195/2147483647),'Control Room'!$B$8+('Control Room'!$D$8-'Control Room'!$B$8)*AF195/2147483647)</x:f>
        <x:v>940.4493255053112</x:v>
      </x:c>
      <x:c r="AI195" s="17" t="n">
        <x:f>IF('Control Room'!$B$5="Normal",'Control Room'!$B$7,('Control Room'!$B$8+'Control Room'!$D$8)/2)+'Control Room'!$B$9*(AI194-IF('Control Room'!$B$5="Normal",'Control Room'!$B$7,('Control Room'!$B$8+'Control Room'!$D$8)/2))+SQRT(1-'Control Room'!$B$9^2)*(AH195-IF('Control Room'!$B$5="Normal",'Control Room'!$B$7,('Control Room'!$B$8+'Control Room'!$D$8)/2))</x:f>
        <x:v>894.7335427372975</x:v>
      </x:c>
      <x:c r="AJ195" s="17" t="n">
        <x:f>IF(AND($A195&gt;='Control Room'!$A$13,$A195&lt;'Control Room'!$A$13+'Control Room'!$B$13,'Process'!BQ2=1),1+('Control Room'!$C$13-1)*EXP(-0.5*(($A195-'Control Room'!$A$13-('Control Room'!$B$13-1)/2)/MAX(0.5,'Control Room'!$B$13/4))^2),1)*IF(AND($A195&gt;='Control Room'!$A$14,$A195&lt;'Control Room'!$A$14+'Control Room'!$B$14,'Process'!BQ3=1),1+('Control Room'!$C$14-1)*EXP(-0.5*(($A195-'Control Room'!$A$14-('Control Room'!$B$14-1)/2)/MAX(0.5,'Control Room'!$B$14/4))^2),1)*IF(AND($A195&gt;='Control Room'!$A$15,$A195&lt;'Control Room'!$A$15+'Control Room'!$B$15,'Process'!BQ4=1),1+('Control Room'!$C$15-1)*EXP(-0.5*(($A195-'Control Room'!$A$15-('Control Room'!$B$15-1)/2)/MAX(0.5,'Control Room'!$B$15/4))^2),1)*IF(AND($A195&gt;='Control Room'!$A$16,$A195&lt;'Control Room'!$A$16+'Control Room'!$B$16,'Process'!BQ5=1),1+('Control Room'!$C$16-1)*EXP(-0.5*(($A195-'Control Room'!$A$16-('Control Room'!$B$16-1)/2)/MAX(0.5,'Control Room'!$B$16/4))^2),1)</x:f>
        <x:v>1</x:v>
      </x:c>
      <x:c r="AK195" s="9" t="n">
        <x:f>MOD(AL194*16807,2147483647)</x:f>
        <x:v>1427517598</x:v>
      </x:c>
      <x:c r="AL195" s="9" t="n">
        <x:f>MOD(AK195*16807,2147483647)</x:f>
        <x:v>600965302</x:v>
      </x:c>
      <x:c r="AM195" s="17" t="n">
        <x:f>IF('Control Room'!$B$5="Normal",'Control Room'!$B$7+'Control Room'!$D$7*SQRT(-2*LN(MAX(0.000000000001,AK195/2147483647)))*COS(2*PI()*AL195/2147483647),'Control Room'!$B$8+('Control Room'!$D$8-'Control Room'!$B$8)*AK195/2147483647)</x:f>
        <x:v>984.8364630120244</x:v>
      </x:c>
      <x:c r="AN195" s="17" t="n">
        <x:f>IF('Control Room'!$B$5="Normal",'Control Room'!$B$7,('Control Room'!$B$8+'Control Room'!$D$8)/2)+'Control Room'!$B$9*(AN194-IF('Control Room'!$B$5="Normal",'Control Room'!$B$7,('Control Room'!$B$8+'Control Room'!$D$8)/2))+SQRT(1-'Control Room'!$B$9^2)*(AM195-IF('Control Room'!$B$5="Normal",'Control Room'!$B$7,('Control Room'!$B$8+'Control Room'!$D$8)/2))</x:f>
        <x:v>1028.2543610491089</x:v>
      </x:c>
      <x:c r="AO195" s="17" t="n">
        <x:f>IF(AND($A195&gt;='Control Room'!$A$13,$A195&lt;'Control Room'!$A$13+'Control Room'!$B$13,'Process'!BR2=1),1+('Control Room'!$C$13-1)*EXP(-0.5*(($A195-'Control Room'!$A$13-('Control Room'!$B$13-1)/2)/MAX(0.5,'Control Room'!$B$13/4))^2),1)*IF(AND($A195&gt;='Control Room'!$A$14,$A195&lt;'Control Room'!$A$14+'Control Room'!$B$14,'Process'!BR3=1),1+('Control Room'!$C$14-1)*EXP(-0.5*(($A195-'Control Room'!$A$14-('Control Room'!$B$14-1)/2)/MAX(0.5,'Control Room'!$B$14/4))^2),1)*IF(AND($A195&gt;='Control Room'!$A$15,$A195&lt;'Control Room'!$A$15+'Control Room'!$B$15,'Process'!BR4=1),1+('Control Room'!$C$15-1)*EXP(-0.5*(($A195-'Control Room'!$A$15-('Control Room'!$B$15-1)/2)/MAX(0.5,'Control Room'!$B$15/4))^2),1)*IF(AND($A195&gt;='Control Room'!$A$16,$A195&lt;'Control Room'!$A$16+'Control Room'!$B$16,'Process'!BR5=1),1+('Control Room'!$C$16-1)*EXP(-0.5*(($A195-'Control Room'!$A$16-('Control Room'!$B$16-1)/2)/MAX(0.5,'Control Room'!$B$16/4))^2),1)</x:f>
        <x:v>1</x:v>
      </x:c>
      <x:c r="AP195" s="9" t="n">
        <x:f>MOD(AQ194*16807,2147483647)</x:f>
        <x:v>1922972807</x:v>
      </x:c>
      <x:c r="AQ195" s="9" t="n">
        <x:f>MOD(AP195*16807,2147483647)</x:f>
        <x:v>1922563546</x:v>
      </x:c>
      <x:c r="AR195" s="17" t="n">
        <x:f>IF('Control Room'!$B$5="Normal",'Control Room'!$B$7+'Control Room'!$D$7*SQRT(-2*LN(MAX(0.000000000001,AP195/2147483647)))*COS(2*PI()*AQ195/2147483647),'Control Room'!$B$8+('Control Room'!$D$8-'Control Room'!$B$8)*AP195/2147483647)</x:f>
        <x:v>1033.462547678713</x:v>
      </x:c>
      <x:c r="AS195" s="17" t="n">
        <x:f>IF('Control Room'!$B$5="Normal",'Control Room'!$B$7,('Control Room'!$B$8+'Control Room'!$D$8)/2)+'Control Room'!$B$9*(AS194-IF('Control Room'!$B$5="Normal",'Control Room'!$B$7,('Control Room'!$B$8+'Control Room'!$D$8)/2))+SQRT(1-'Control Room'!$B$9^2)*(AR195-IF('Control Room'!$B$5="Normal",'Control Room'!$B$7,('Control Room'!$B$8+'Control Room'!$D$8)/2))</x:f>
        <x:v>1025.3454207898924</x:v>
      </x:c>
      <x:c r="AT195" s="17" t="n">
        <x:f>IF(AND($A195&gt;='Control Room'!$A$13,$A195&lt;'Control Room'!$A$13+'Control Room'!$B$13,'Process'!BS2=1),1+('Control Room'!$C$13-1)*EXP(-0.5*(($A195-'Control Room'!$A$13-('Control Room'!$B$13-1)/2)/MAX(0.5,'Control Room'!$B$13/4))^2),1)*IF(AND($A195&gt;='Control Room'!$A$14,$A195&lt;'Control Room'!$A$14+'Control Room'!$B$14,'Process'!BS3=1),1+('Control Room'!$C$14-1)*EXP(-0.5*(($A195-'Control Room'!$A$14-('Control Room'!$B$14-1)/2)/MAX(0.5,'Control Room'!$B$14/4))^2),1)*IF(AND($A195&gt;='Control Room'!$A$15,$A195&lt;'Control Room'!$A$15+'Control Room'!$B$15,'Process'!BS4=1),1+('Control Room'!$C$15-1)*EXP(-0.5*(($A195-'Control Room'!$A$15-('Control Room'!$B$15-1)/2)/MAX(0.5,'Control Room'!$B$15/4))^2),1)*IF(AND($A195&gt;='Control Room'!$A$16,$A195&lt;'Control Room'!$A$16+'Control Room'!$B$16,'Process'!BS5=1),1+('Control Room'!$C$16-1)*EXP(-0.5*(($A195-'Control Room'!$A$16-('Control Room'!$B$16-1)/2)/MAX(0.5,'Control Room'!$B$16/4))^2),1)</x:f>
        <x:v>1</x:v>
      </x:c>
      <x:c r="AU195" s="9" t="n">
        <x:f>MOD(AV194*16807,2147483647)</x:f>
        <x:v>270944369</x:v>
      </x:c>
      <x:c r="AV195" s="9" t="n">
        <x:f>MOD(AU195*16807,2147483647)</x:f>
        <x:v>1096678143</x:v>
      </x:c>
      <x:c r="AW195" s="17" t="n">
        <x:f>IF('Control Room'!$B$5="Normal",'Control Room'!$B$7+'Control Room'!$D$7*SQRT(-2*LN(MAX(0.000000000001,AU195/2147483647)))*COS(2*PI()*AV195/2147483647),'Control Room'!$B$8+('Control Room'!$D$8-'Control Room'!$B$8)*AU195/2147483647)</x:f>
        <x:v>817.2831669916502</x:v>
      </x:c>
      <x:c r="AX195" s="17" t="n">
        <x:f>IF('Control Room'!$B$5="Normal",'Control Room'!$B$7,('Control Room'!$B$8+'Control Room'!$D$8)/2)+'Control Room'!$B$9*(AX194-IF('Control Room'!$B$5="Normal",'Control Room'!$B$7,('Control Room'!$B$8+'Control Room'!$D$8)/2))+SQRT(1-'Control Room'!$B$9^2)*(AW195-IF('Control Room'!$B$5="Normal",'Control Room'!$B$7,('Control Room'!$B$8+'Control Room'!$D$8)/2))</x:f>
        <x:v>895.8149585290726</x:v>
      </x:c>
      <x:c r="AY195" s="17" t="n">
        <x:f>IF(AND($A195&gt;='Control Room'!$A$13,$A195&lt;'Control Room'!$A$13+'Control Room'!$B$13,'Process'!BT2=1),1+('Control Room'!$C$13-1)*EXP(-0.5*(($A195-'Control Room'!$A$13-('Control Room'!$B$13-1)/2)/MAX(0.5,'Control Room'!$B$13/4))^2),1)*IF(AND($A195&gt;='Control Room'!$A$14,$A195&lt;'Control Room'!$A$14+'Control Room'!$B$14,'Process'!BT3=1),1+('Control Room'!$C$14-1)*EXP(-0.5*(($A195-'Control Room'!$A$14-('Control Room'!$B$14-1)/2)/MAX(0.5,'Control Room'!$B$14/4))^2),1)*IF(AND($A195&gt;='Control Room'!$A$15,$A195&lt;'Control Room'!$A$15+'Control Room'!$B$15,'Process'!BT4=1),1+('Control Room'!$C$15-1)*EXP(-0.5*(($A195-'Control Room'!$A$15-('Control Room'!$B$15-1)/2)/MAX(0.5,'Control Room'!$B$15/4))^2),1)*IF(AND($A195&gt;='Control Room'!$A$16,$A195&lt;'Control Room'!$A$16+'Control Room'!$B$16,'Process'!BT5=1),1+('Control Room'!$C$16-1)*EXP(-0.5*(($A195-'Control Room'!$A$16-('Control Room'!$B$16-1)/2)/MAX(0.5,'Control Room'!$B$16/4))^2),1)</x:f>
        <x:v>1</x:v>
      </x:c>
      <x:c r="AZ195" s="9" t="n">
        <x:f>MOD(BA194*16807,2147483647)</x:f>
        <x:v>766399578</x:v>
      </x:c>
      <x:c r="BA195" s="9" t="n">
        <x:f>MOD(AZ195*16807,2147483647)</x:f>
        <x:v>270792740</x:v>
      </x:c>
      <x:c r="BB195" s="17" t="n">
        <x:f>IF('Control Room'!$B$5="Normal",'Control Room'!$B$7+'Control Room'!$D$7*SQRT(-2*LN(MAX(0.000000000001,AZ195/2147483647)))*COS(2*PI()*BA195/2147483647),'Control Room'!$B$8+('Control Room'!$D$8-'Control Room'!$B$8)*AZ195/2147483647)</x:f>
        <x:v>1090.7232201386962</x:v>
      </x:c>
      <x:c r="BC195" s="17" t="n">
        <x:f>IF('Control Room'!$B$5="Normal",'Control Room'!$B$7,('Control Room'!$B$8+'Control Room'!$D$8)/2)+'Control Room'!$B$9*(BC194-IF('Control Room'!$B$5="Normal",'Control Room'!$B$7,('Control Room'!$B$8+'Control Room'!$D$8)/2))+SQRT(1-'Control Room'!$B$9^2)*(BB195-IF('Control Room'!$B$5="Normal",'Control Room'!$B$7,('Control Room'!$B$8+'Control Room'!$D$8)/2))</x:f>
        <x:v>1137.49370760397</x:v>
      </x:c>
      <x:c r="BD195" s="17" t="n">
        <x:f>IF(AND($A195&gt;='Control Room'!$A$13,$A195&lt;'Control Room'!$A$13+'Control Room'!$B$13,'Process'!BU2=1),1+('Control Room'!$C$13-1)*EXP(-0.5*(($A195-'Control Room'!$A$13-('Control Room'!$B$13-1)/2)/MAX(0.5,'Control Room'!$B$13/4))^2),1)*IF(AND($A195&gt;='Control Room'!$A$14,$A195&lt;'Control Room'!$A$14+'Control Room'!$B$14,'Process'!BU3=1),1+('Control Room'!$C$14-1)*EXP(-0.5*(($A195-'Control Room'!$A$14-('Control Room'!$B$14-1)/2)/MAX(0.5,'Control Room'!$B$14/4))^2),1)*IF(AND($A195&gt;='Control Room'!$A$15,$A195&lt;'Control Room'!$A$15+'Control Room'!$B$15,'Process'!BU4=1),1+('Control Room'!$C$15-1)*EXP(-0.5*(($A195-'Control Room'!$A$15-('Control Room'!$B$15-1)/2)/MAX(0.5,'Control Room'!$B$15/4))^2),1)*IF(AND($A195&gt;='Control Room'!$A$16,$A195&lt;'Control Room'!$A$16+'Control Room'!$B$16,'Process'!BU5=1),1+('Control Room'!$C$16-1)*EXP(-0.5*(($A195-'Control Room'!$A$16-('Control Room'!$B$16-1)/2)/MAX(0.5,'Control Room'!$B$16/4))^2),1)</x:f>
        <x:v>1</x:v>
      </x:c>
      <x:c r="BE195" s="9" t="n">
        <x:f>MOD(BF194*16807,2147483647)</x:f>
        <x:v>1261854787</x:v>
      </x:c>
      <x:c r="BF195" s="9" t="n">
        <x:f>MOD(BE195*16807,2147483647)</x:f>
        <x:v>1592390984</x:v>
      </x:c>
      <x:c r="BG195" s="17" t="n">
        <x:f>IF('Control Room'!$B$5="Normal",'Control Room'!$B$7+'Control Room'!$D$7*SQRT(-2*LN(MAX(0.000000000001,BE195/2147483647)))*COS(2*PI()*BF195/2147483647),'Control Room'!$B$8+('Control Room'!$D$8-'Control Room'!$B$8)*BE195/2147483647)</x:f>
        <x:v>995.0542638603147</x:v>
      </x:c>
      <x:c r="BH195" s="17" t="n">
        <x:f>IF('Control Room'!$B$5="Normal",'Control Room'!$B$7,('Control Room'!$B$8+'Control Room'!$D$8)/2)+'Control Room'!$B$9*(BH194-IF('Control Room'!$B$5="Normal",'Control Room'!$B$7,('Control Room'!$B$8+'Control Room'!$D$8)/2))+SQRT(1-'Control Room'!$B$9^2)*(BG195-IF('Control Room'!$B$5="Normal",'Control Room'!$B$7,('Control Room'!$B$8+'Control Room'!$D$8)/2))</x:f>
        <x:v>1027.6263605542802</x:v>
      </x:c>
      <x:c r="BI195" s="17" t="n">
        <x:f>IF(AND($A195&gt;='Control Room'!$A$13,$A195&lt;'Control Room'!$A$13+'Control Room'!$B$13,'Process'!BV2=1),1+('Control Room'!$C$13-1)*EXP(-0.5*(($A195-'Control Room'!$A$13-('Control Room'!$B$13-1)/2)/MAX(0.5,'Control Room'!$B$13/4))^2),1)*IF(AND($A195&gt;='Control Room'!$A$14,$A195&lt;'Control Room'!$A$14+'Control Room'!$B$14,'Process'!BV3=1),1+('Control Room'!$C$14-1)*EXP(-0.5*(($A195-'Control Room'!$A$14-('Control Room'!$B$14-1)/2)/MAX(0.5,'Control Room'!$B$14/4))^2),1)*IF(AND($A195&gt;='Control Room'!$A$15,$A195&lt;'Control Room'!$A$15+'Control Room'!$B$15,'Process'!BV4=1),1+('Control Room'!$C$15-1)*EXP(-0.5*(($A195-'Control Room'!$A$15-('Control Room'!$B$15-1)/2)/MAX(0.5,'Control Room'!$B$15/4))^2),1)*IF(AND($A195&gt;='Control Room'!$A$16,$A195&lt;'Control Room'!$A$16+'Control Room'!$B$16,'Process'!BV5=1),1+('Control Room'!$C$16-1)*EXP(-0.5*(($A195-'Control Room'!$A$16-('Control Room'!$B$16-1)/2)/MAX(0.5,'Control Room'!$B$16/4))^2),1)</x:f>
        <x:v>1</x:v>
      </x:c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Z195" t="str">
        <x:f>IF('Data'!A195="","",TEXT('Data'!A195,"mm-dd"))</x:f>
      </x:c>
    </x:row>
    <x:row r="196" ht="21" customHeight="1">
      <x:c r="A196" s="15" t="n">
        <x:f>'Control Room'!$B$1+194</x:f>
        <x:v>73185</x:v>
      </x:c>
      <x:c r="B196" s="9" t="n">
        <x:f>MOD(C195*16807,2147483647)</x:f>
        <x:v>354924258</x:v>
      </x:c>
      <x:c r="C196" s="9" t="n">
        <x:f>MOD(B196*16807,2147483647)</x:f>
        <x:v>1649916487</x:v>
      </x:c>
      <x:c r="D196" s="17" t="n">
        <x:f>IF('Control Room'!$B$5="Normal",'Control Room'!$B$7+'Control Room'!$D$7*SQRT(-2*LN(MAX(0.000000000001,B196/2147483647)))*COS(2*PI()*C196/2147483647),'Control Room'!$B$8+('Control Room'!$D$8-'Control Room'!$B$8)*B196/2147483647)</x:f>
        <x:v>1019.5946703280484</x:v>
      </x:c>
      <x:c r="E196" s="17" t="n">
        <x:f>IF('Control Room'!$B$5="Normal",'Control Room'!$B$7,('Control Room'!$B$8+'Control Room'!$D$8)/2)+'Control Room'!$B$9*(E195-IF('Control Room'!$B$5="Normal",'Control Room'!$B$7,('Control Room'!$B$8+'Control Room'!$D$8)/2))+SQRT(1-'Control Room'!$B$9^2)*(D196-IF('Control Room'!$B$5="Normal",'Control Room'!$B$7,('Control Room'!$B$8+'Control Room'!$D$8)/2))</x:f>
        <x:v>1140.1678369989204</x:v>
      </x:c>
      <x:c r="F196" s="17" t="n">
        <x:f>IF(AND($A196&gt;='Control Room'!$A$13,$A196&lt;'Control Room'!$A$13+'Control Room'!$B$13,'Process'!BK2=1),1+('Control Room'!$C$13-1)*EXP(-0.5*(($A196-'Control Room'!$A$13-('Control Room'!$B$13-1)/2)/MAX(0.5,'Control Room'!$B$13/4))^2),1)*IF(AND($A196&gt;='Control Room'!$A$14,$A196&lt;'Control Room'!$A$14+'Control Room'!$B$14,'Process'!BK3=1),1+('Control Room'!$C$14-1)*EXP(-0.5*(($A196-'Control Room'!$A$14-('Control Room'!$B$14-1)/2)/MAX(0.5,'Control Room'!$B$14/4))^2),1)*IF(AND($A196&gt;='Control Room'!$A$15,$A196&lt;'Control Room'!$A$15+'Control Room'!$B$15,'Process'!BK4=1),1+('Control Room'!$C$15-1)*EXP(-0.5*(($A196-'Control Room'!$A$15-('Control Room'!$B$15-1)/2)/MAX(0.5,'Control Room'!$B$15/4))^2),1)*IF(AND($A196&gt;='Control Room'!$A$16,$A196&lt;'Control Room'!$A$16+'Control Room'!$B$16,'Process'!BK5=1),1+('Control Room'!$C$16-1)*EXP(-0.5*(($A196-'Control Room'!$A$16-('Control Room'!$B$16-1)/2)/MAX(0.5,'Control Room'!$B$16/4))^2),1)</x:f>
        <x:v>1</x:v>
      </x:c>
      <x:c r="G196" s="9" t="n">
        <x:f>MOD(H195*16807,2147483647)</x:f>
        <x:v>1033250245</x:v>
      </x:c>
      <x:c r="H196" s="9" t="n">
        <x:f>MOD(G196*16807,2147483647)</x:f>
        <x:v>1284098073</x:v>
      </x:c>
      <x:c r="I196" s="17" t="n">
        <x:f>IF('Control Room'!$B$5="Normal",'Control Room'!$B$7+'Control Room'!$D$7*SQRT(-2*LN(MAX(0.000000000001,G196/2147483647)))*COS(2*PI()*H196/2147483647),'Control Room'!$B$8+('Control Room'!$D$8-'Control Room'!$B$8)*G196/2147483647)</x:f>
        <x:v>911.110883264999</x:v>
      </x:c>
      <x:c r="J196" s="17" t="n">
        <x:f>IF('Control Room'!$B$5="Normal",'Control Room'!$B$7,('Control Room'!$B$8+'Control Room'!$D$8)/2)+'Control Room'!$B$9*(J195-IF('Control Room'!$B$5="Normal",'Control Room'!$B$7,('Control Room'!$B$8+'Control Room'!$D$8)/2))+SQRT(1-'Control Room'!$B$9^2)*(I196-IF('Control Room'!$B$5="Normal",'Control Room'!$B$7,('Control Room'!$B$8+'Control Room'!$D$8)/2))</x:f>
        <x:v>902.0689743478671</x:v>
      </x:c>
      <x:c r="K196" s="17" t="n">
        <x:f>IF(AND($A196&gt;='Control Room'!$A$13,$A196&lt;'Control Room'!$A$13+'Control Room'!$B$13,'Process'!BL2=1),1+('Control Room'!$C$13-1)*EXP(-0.5*(($A196-'Control Room'!$A$13-('Control Room'!$B$13-1)/2)/MAX(0.5,'Control Room'!$B$13/4))^2),1)*IF(AND($A196&gt;='Control Room'!$A$14,$A196&lt;'Control Room'!$A$14+'Control Room'!$B$14,'Process'!BL3=1),1+('Control Room'!$C$14-1)*EXP(-0.5*(($A196-'Control Room'!$A$14-('Control Room'!$B$14-1)/2)/MAX(0.5,'Control Room'!$B$14/4))^2),1)*IF(AND($A196&gt;='Control Room'!$A$15,$A196&lt;'Control Room'!$A$15+'Control Room'!$B$15,'Process'!BL4=1),1+('Control Room'!$C$15-1)*EXP(-0.5*(($A196-'Control Room'!$A$15-('Control Room'!$B$15-1)/2)/MAX(0.5,'Control Room'!$B$15/4))^2),1)*IF(AND($A196&gt;='Control Room'!$A$16,$A196&lt;'Control Room'!$A$16+'Control Room'!$B$16,'Process'!BL5=1),1+('Control Room'!$C$16-1)*EXP(-0.5*(($A196-'Control Room'!$A$16-('Control Room'!$B$16-1)/2)/MAX(0.5,'Control Room'!$B$16/4))^2),1)</x:f>
        <x:v>1</x:v>
      </x:c>
      <x:c r="L196" s="9" t="n">
        <x:f>MOD(M195*16807,2147483647)</x:f>
        <x:v>1711576232</x:v>
      </x:c>
      <x:c r="M196" s="9" t="n">
        <x:f>MOD(L196*16807,2147483647)</x:f>
        <x:v>918279659</x:v>
      </x:c>
      <x:c r="N196" s="17" t="n">
        <x:f>IF('Control Room'!$B$5="Normal",'Control Room'!$B$7+'Control Room'!$D$7*SQRT(-2*LN(MAX(0.000000000001,L196/2147483647)))*COS(2*PI()*M196/2147483647),'Control Room'!$B$8+('Control Room'!$D$8-'Control Room'!$B$8)*L196/2147483647)</x:f>
        <x:v>945.5383818237158</x:v>
      </x:c>
      <x:c r="O196" s="17" t="n">
        <x:f>IF('Control Room'!$B$5="Normal",'Control Room'!$B$7,('Control Room'!$B$8+'Control Room'!$D$8)/2)+'Control Room'!$B$9*(O195-IF('Control Room'!$B$5="Normal",'Control Room'!$B$7,('Control Room'!$B$8+'Control Room'!$D$8)/2))+SQRT(1-'Control Room'!$B$9^2)*(N196-IF('Control Room'!$B$5="Normal",'Control Room'!$B$7,('Control Room'!$B$8+'Control Room'!$D$8)/2))</x:f>
        <x:v>903.65580104751</x:v>
      </x:c>
      <x:c r="P196" s="17" t="n">
        <x:f>IF(AND($A196&gt;='Control Room'!$A$13,$A196&lt;'Control Room'!$A$13+'Control Room'!$B$13,'Process'!BM2=1),1+('Control Room'!$C$13-1)*EXP(-0.5*(($A196-'Control Room'!$A$13-('Control Room'!$B$13-1)/2)/MAX(0.5,'Control Room'!$B$13/4))^2),1)*IF(AND($A196&gt;='Control Room'!$A$14,$A196&lt;'Control Room'!$A$14+'Control Room'!$B$14,'Process'!BM3=1),1+('Control Room'!$C$14-1)*EXP(-0.5*(($A196-'Control Room'!$A$14-('Control Room'!$B$14-1)/2)/MAX(0.5,'Control Room'!$B$14/4))^2),1)*IF(AND($A196&gt;='Control Room'!$A$15,$A196&lt;'Control Room'!$A$15+'Control Room'!$B$15,'Process'!BM4=1),1+('Control Room'!$C$15-1)*EXP(-0.5*(($A196-'Control Room'!$A$15-('Control Room'!$B$15-1)/2)/MAX(0.5,'Control Room'!$B$15/4))^2),1)*IF(AND($A196&gt;='Control Room'!$A$16,$A196&lt;'Control Room'!$A$16+'Control Room'!$B$16,'Process'!BM5=1),1+('Control Room'!$C$16-1)*EXP(-0.5*(($A196-'Control Room'!$A$16-('Control Room'!$B$16-1)/2)/MAX(0.5,'Control Room'!$B$16/4))^2),1)</x:f>
        <x:v>1</x:v>
      </x:c>
      <x:c r="Q196" s="9" t="n">
        <x:f>MOD(R195*16807,2147483647)</x:f>
        <x:v>242418572</x:v>
      </x:c>
      <x:c r="R196" s="9" t="n">
        <x:f>MOD(Q196*16807,2147483647)</x:f>
        <x:v>552461245</x:v>
      </x:c>
      <x:c r="S196" s="17" t="n">
        <x:f>IF('Control Room'!$B$5="Normal",'Control Room'!$B$7+'Control Room'!$D$7*SQRT(-2*LN(MAX(0.000000000001,Q196/2147483647)))*COS(2*PI()*R196/2147483647),'Control Room'!$B$8+('Control Room'!$D$8-'Control Room'!$B$8)*Q196/2147483647)</x:f>
        <x:v>991.4280709147677</x:v>
      </x:c>
      <x:c r="T196" s="17" t="n">
        <x:f>IF('Control Room'!$B$5="Normal",'Control Room'!$B$7,('Control Room'!$B$8+'Control Room'!$D$8)/2)+'Control Room'!$B$9*(T195-IF('Control Room'!$B$5="Normal",'Control Room'!$B$7,('Control Room'!$B$8+'Control Room'!$D$8)/2))+SQRT(1-'Control Room'!$B$9^2)*(S196-IF('Control Room'!$B$5="Normal",'Control Room'!$B$7,('Control Room'!$B$8+'Control Room'!$D$8)/2))</x:f>
        <x:v>1017.3982531541945</x:v>
      </x:c>
      <x:c r="U196" s="17" t="n">
        <x:f>IF(AND($A196&gt;='Control Room'!$A$13,$A196&lt;'Control Room'!$A$13+'Control Room'!$B$13,'Process'!BN2=1),1+('Control Room'!$C$13-1)*EXP(-0.5*(($A196-'Control Room'!$A$13-('Control Room'!$B$13-1)/2)/MAX(0.5,'Control Room'!$B$13/4))^2),1)*IF(AND($A196&gt;='Control Room'!$A$14,$A196&lt;'Control Room'!$A$14+'Control Room'!$B$14,'Process'!BN3=1),1+('Control Room'!$C$14-1)*EXP(-0.5*(($A196-'Control Room'!$A$14-('Control Room'!$B$14-1)/2)/MAX(0.5,'Control Room'!$B$14/4))^2),1)*IF(AND($A196&gt;='Control Room'!$A$15,$A196&lt;'Control Room'!$A$15+'Control Room'!$B$15,'Process'!BN4=1),1+('Control Room'!$C$15-1)*EXP(-0.5*(($A196-'Control Room'!$A$15-('Control Room'!$B$15-1)/2)/MAX(0.5,'Control Room'!$B$15/4))^2),1)*IF(AND($A196&gt;='Control Room'!$A$16,$A196&lt;'Control Room'!$A$16+'Control Room'!$B$16,'Process'!BN5=1),1+('Control Room'!$C$16-1)*EXP(-0.5*(($A196-'Control Room'!$A$16-('Control Room'!$B$16-1)/2)/MAX(0.5,'Control Room'!$B$16/4))^2),1)</x:f>
        <x:v>1</x:v>
      </x:c>
      <x:c r="V196" s="9" t="n">
        <x:f>MOD(W195*16807,2147483647)</x:f>
        <x:v>920744559</x:v>
      </x:c>
      <x:c r="W196" s="9" t="n">
        <x:f>MOD(V196*16807,2147483647)</x:f>
        <x:v>186642831</x:v>
      </x:c>
      <x:c r="X196" s="17" t="n">
        <x:f>IF('Control Room'!$B$5="Normal",'Control Room'!$B$7+'Control Room'!$D$7*SQRT(-2*LN(MAX(0.000000000001,V196/2147483647)))*COS(2*PI()*W196/2147483647),'Control Room'!$B$8+('Control Room'!$D$8-'Control Room'!$B$8)*V196/2147483647)</x:f>
        <x:v>1100.0944780003808</x:v>
      </x:c>
      <x:c r="Y196" s="17" t="n">
        <x:f>IF('Control Room'!$B$5="Normal",'Control Room'!$B$7,('Control Room'!$B$8+'Control Room'!$D$8)/2)+'Control Room'!$B$9*(Y195-IF('Control Room'!$B$5="Normal",'Control Room'!$B$7,('Control Room'!$B$8+'Control Room'!$D$8)/2))+SQRT(1-'Control Room'!$B$9^2)*(X196-IF('Control Room'!$B$5="Normal",'Control Room'!$B$7,('Control Room'!$B$8+'Control Room'!$D$8)/2))</x:f>
        <x:v>1077.0060129388564</x:v>
      </x:c>
      <x:c r="Z196" s="17" t="n">
        <x:f>IF(AND($A196&gt;='Control Room'!$A$13,$A196&lt;'Control Room'!$A$13+'Control Room'!$B$13,'Process'!BO2=1),1+('Control Room'!$C$13-1)*EXP(-0.5*(($A196-'Control Room'!$A$13-('Control Room'!$B$13-1)/2)/MAX(0.5,'Control Room'!$B$13/4))^2),1)*IF(AND($A196&gt;='Control Room'!$A$14,$A196&lt;'Control Room'!$A$14+'Control Room'!$B$14,'Process'!BO3=1),1+('Control Room'!$C$14-1)*EXP(-0.5*(($A196-'Control Room'!$A$14-('Control Room'!$B$14-1)/2)/MAX(0.5,'Control Room'!$B$14/4))^2),1)*IF(AND($A196&gt;='Control Room'!$A$15,$A196&lt;'Control Room'!$A$15+'Control Room'!$B$15,'Process'!BO4=1),1+('Control Room'!$C$15-1)*EXP(-0.5*(($A196-'Control Room'!$A$15-('Control Room'!$B$15-1)/2)/MAX(0.5,'Control Room'!$B$15/4))^2),1)*IF(AND($A196&gt;='Control Room'!$A$16,$A196&lt;'Control Room'!$A$16+'Control Room'!$B$16,'Process'!BO5=1),1+('Control Room'!$C$16-1)*EXP(-0.5*(($A196-'Control Room'!$A$16-('Control Room'!$B$16-1)/2)/MAX(0.5,'Control Room'!$B$16/4))^2),1)</x:f>
        <x:v>1</x:v>
      </x:c>
      <x:c r="AA196" s="9" t="n">
        <x:f>MOD(AB195*16807,2147483647)</x:f>
        <x:v>1599070546</x:v>
      </x:c>
      <x:c r="AB196" s="9" t="n">
        <x:f>MOD(AA196*16807,2147483647)</x:f>
        <x:v>1968308064</x:v>
      </x:c>
      <x:c r="AC196" s="17" t="n">
        <x:f>IF('Control Room'!$B$5="Normal",'Control Room'!$B$7+'Control Room'!$D$7*SQRT(-2*LN(MAX(0.000000000001,AA196/2147483647)))*COS(2*PI()*AB196/2147483647),'Control Room'!$B$8+('Control Room'!$D$8-'Control Room'!$B$8)*AA196/2147483647)</x:f>
        <x:v>1059.8337241658523</x:v>
      </x:c>
      <x:c r="AD196" s="17" t="n">
        <x:f>IF('Control Room'!$B$5="Normal",'Control Room'!$B$7,('Control Room'!$B$8+'Control Room'!$D$8)/2)+'Control Room'!$B$9*(AD195-IF('Control Room'!$B$5="Normal",'Control Room'!$B$7,('Control Room'!$B$8+'Control Room'!$D$8)/2))+SQRT(1-'Control Room'!$B$9^2)*(AC196-IF('Control Room'!$B$5="Normal",'Control Room'!$B$7,('Control Room'!$B$8+'Control Room'!$D$8)/2))</x:f>
        <x:v>1088.8838237609139</x:v>
      </x:c>
      <x:c r="AE196" s="17" t="n">
        <x:f>IF(AND($A196&gt;='Control Room'!$A$13,$A196&lt;'Control Room'!$A$13+'Control Room'!$B$13,'Process'!BP2=1),1+('Control Room'!$C$13-1)*EXP(-0.5*(($A196-'Control Room'!$A$13-('Control Room'!$B$13-1)/2)/MAX(0.5,'Control Room'!$B$13/4))^2),1)*IF(AND($A196&gt;='Control Room'!$A$14,$A196&lt;'Control Room'!$A$14+'Control Room'!$B$14,'Process'!BP3=1),1+('Control Room'!$C$14-1)*EXP(-0.5*(($A196-'Control Room'!$A$14-('Control Room'!$B$14-1)/2)/MAX(0.5,'Control Room'!$B$14/4))^2),1)*IF(AND($A196&gt;='Control Room'!$A$15,$A196&lt;'Control Room'!$A$15+'Control Room'!$B$15,'Process'!BP4=1),1+('Control Room'!$C$15-1)*EXP(-0.5*(($A196-'Control Room'!$A$15-('Control Room'!$B$15-1)/2)/MAX(0.5,'Control Room'!$B$15/4))^2),1)*IF(AND($A196&gt;='Control Room'!$A$16,$A196&lt;'Control Room'!$A$16+'Control Room'!$B$16,'Process'!BP5=1),1+('Control Room'!$C$16-1)*EXP(-0.5*(($A196-'Control Room'!$A$16-('Control Room'!$B$16-1)/2)/MAX(0.5,'Control Room'!$B$16/4))^2),1)</x:f>
        <x:v>1</x:v>
      </x:c>
      <x:c r="AF196" s="9" t="n">
        <x:f>MOD(AG195*16807,2147483647)</x:f>
        <x:v>129912886</x:v>
      </x:c>
      <x:c r="AG196" s="9" t="n">
        <x:f>MOD(AF196*16807,2147483647)</x:f>
        <x:v>1602489650</x:v>
      </x:c>
      <x:c r="AH196" s="17" t="n">
        <x:f>IF('Control Room'!$B$5="Normal",'Control Room'!$B$7+'Control Room'!$D$7*SQRT(-2*LN(MAX(0.000000000001,AF196/2147483647)))*COS(2*PI()*AG196/2147483647),'Control Room'!$B$8+('Control Room'!$D$8-'Control Room'!$B$8)*AF196/2147483647)</x:f>
        <x:v>994.9339599993093</x:v>
      </x:c>
      <x:c r="AI196" s="17" t="n">
        <x:f>IF('Control Room'!$B$5="Normal",'Control Room'!$B$7,('Control Room'!$B$8+'Control Room'!$D$8)/2)+'Control Room'!$B$9*(AI195-IF('Control Room'!$B$5="Normal",'Control Room'!$B$7,('Control Room'!$B$8+'Control Room'!$D$8)/2))+SQRT(1-'Control Room'!$B$9^2)*(AH196-IF('Control Room'!$B$5="Normal",'Control Room'!$B$7,('Control Room'!$B$8+'Control Room'!$D$8)/2))</x:f>
        <x:v>914.7219392861304</x:v>
      </x:c>
      <x:c r="AJ196" s="17" t="n">
        <x:f>IF(AND($A196&gt;='Control Room'!$A$13,$A196&lt;'Control Room'!$A$13+'Control Room'!$B$13,'Process'!BQ2=1),1+('Control Room'!$C$13-1)*EXP(-0.5*(($A196-'Control Room'!$A$13-('Control Room'!$B$13-1)/2)/MAX(0.5,'Control Room'!$B$13/4))^2),1)*IF(AND($A196&gt;='Control Room'!$A$14,$A196&lt;'Control Room'!$A$14+'Control Room'!$B$14,'Process'!BQ3=1),1+('Control Room'!$C$14-1)*EXP(-0.5*(($A196-'Control Room'!$A$14-('Control Room'!$B$14-1)/2)/MAX(0.5,'Control Room'!$B$14/4))^2),1)*IF(AND($A196&gt;='Control Room'!$A$15,$A196&lt;'Control Room'!$A$15+'Control Room'!$B$15,'Process'!BQ4=1),1+('Control Room'!$C$15-1)*EXP(-0.5*(($A196-'Control Room'!$A$15-('Control Room'!$B$15-1)/2)/MAX(0.5,'Control Room'!$B$15/4))^2),1)*IF(AND($A196&gt;='Control Room'!$A$16,$A196&lt;'Control Room'!$A$16+'Control Room'!$B$16,'Process'!BQ5=1),1+('Control Room'!$C$16-1)*EXP(-0.5*(($A196-'Control Room'!$A$16-('Control Room'!$B$16-1)/2)/MAX(0.5,'Control Room'!$B$16/4))^2),1)</x:f>
        <x:v>1</x:v>
      </x:c>
      <x:c r="AK196" s="9" t="n">
        <x:f>MOD(AL195*16807,2147483647)</x:f>
        <x:v>808238873</x:v>
      </x:c>
      <x:c r="AL196" s="9" t="n">
        <x:f>MOD(AK196*16807,2147483647)</x:f>
        <x:v>1236671236</x:v>
      </x:c>
      <x:c r="AM196" s="17" t="n">
        <x:f>IF('Control Room'!$B$5="Normal",'Control Room'!$B$7+'Control Room'!$D$7*SQRT(-2*LN(MAX(0.000000000001,AK196/2147483647)))*COS(2*PI()*AL196/2147483647),'Control Room'!$B$8+('Control Room'!$D$8-'Control Room'!$B$8)*AK196/2147483647)</x:f>
        <x:v>888.2078838804764</x:v>
      </x:c>
      <x:c r="AN196" s="17" t="n">
        <x:f>IF('Control Room'!$B$5="Normal",'Control Room'!$B$7,('Control Room'!$B$8+'Control Room'!$D$8)/2)+'Control Room'!$B$9*(AN195-IF('Control Room'!$B$5="Normal",'Control Room'!$B$7,('Control Room'!$B$8+'Control Room'!$D$8)/2))+SQRT(1-'Control Room'!$B$9^2)*(AM196-IF('Control Room'!$B$5="Normal",'Control Room'!$B$7,('Control Room'!$B$8+'Control Room'!$D$8)/2))</x:f>
        <x:v>952.0811855366884</x:v>
      </x:c>
      <x:c r="AO196" s="17" t="n">
        <x:f>IF(AND($A196&gt;='Control Room'!$A$13,$A196&lt;'Control Room'!$A$13+'Control Room'!$B$13,'Process'!BR2=1),1+('Control Room'!$C$13-1)*EXP(-0.5*(($A196-'Control Room'!$A$13-('Control Room'!$B$13-1)/2)/MAX(0.5,'Control Room'!$B$13/4))^2),1)*IF(AND($A196&gt;='Control Room'!$A$14,$A196&lt;'Control Room'!$A$14+'Control Room'!$B$14,'Process'!BR3=1),1+('Control Room'!$C$14-1)*EXP(-0.5*(($A196-'Control Room'!$A$14-('Control Room'!$B$14-1)/2)/MAX(0.5,'Control Room'!$B$14/4))^2),1)*IF(AND($A196&gt;='Control Room'!$A$15,$A196&lt;'Control Room'!$A$15+'Control Room'!$B$15,'Process'!BR4=1),1+('Control Room'!$C$15-1)*EXP(-0.5*(($A196-'Control Room'!$A$15-('Control Room'!$B$15-1)/2)/MAX(0.5,'Control Room'!$B$15/4))^2),1)*IF(AND($A196&gt;='Control Room'!$A$16,$A196&lt;'Control Room'!$A$16+'Control Room'!$B$16,'Process'!BR5=1),1+('Control Room'!$C$16-1)*EXP(-0.5*(($A196-'Control Room'!$A$16-('Control Room'!$B$16-1)/2)/MAX(0.5,'Control Room'!$B$16/4))^2),1)</x:f>
        <x:v>1</x:v>
      </x:c>
      <x:c r="AP196" s="9" t="n">
        <x:f>MOD(AQ195*16807,2147483647)</x:f>
        <x:v>1486564860</x:v>
      </x:c>
      <x:c r="AQ196" s="9" t="n">
        <x:f>MOD(AP196*16807,2147483647)</x:f>
        <x:v>870852822</x:v>
      </x:c>
      <x:c r="AR196" s="17" t="n">
        <x:f>IF('Control Room'!$B$5="Normal",'Control Room'!$B$7+'Control Room'!$D$7*SQRT(-2*LN(MAX(0.000000000001,AP196/2147483647)))*COS(2*PI()*AQ196/2147483647),'Control Room'!$B$8+('Control Room'!$D$8-'Control Room'!$B$8)*AP196/2147483647)</x:f>
        <x:v>936.0127255463044</x:v>
      </x:c>
      <x:c r="AS196" s="17" t="n">
        <x:f>IF('Control Room'!$B$5="Normal",'Control Room'!$B$7,('Control Room'!$B$8+'Control Room'!$D$8)/2)+'Control Room'!$B$9*(AS195-IF('Control Room'!$B$5="Normal",'Control Room'!$B$7,('Control Room'!$B$8+'Control Room'!$D$8)/2))+SQRT(1-'Control Room'!$B$9^2)*(AR196-IF('Control Room'!$B$5="Normal",'Control Room'!$B$7,('Control Room'!$B$8+'Control Room'!$D$8)/2))</x:f>
        <x:v>979.7275027135615</x:v>
      </x:c>
      <x:c r="AT196" s="17" t="n">
        <x:f>IF(AND($A196&gt;='Control Room'!$A$13,$A196&lt;'Control Room'!$A$13+'Control Room'!$B$13,'Process'!BS2=1),1+('Control Room'!$C$13-1)*EXP(-0.5*(($A196-'Control Room'!$A$13-('Control Room'!$B$13-1)/2)/MAX(0.5,'Control Room'!$B$13/4))^2),1)*IF(AND($A196&gt;='Control Room'!$A$14,$A196&lt;'Control Room'!$A$14+'Control Room'!$B$14,'Process'!BS3=1),1+('Control Room'!$C$14-1)*EXP(-0.5*(($A196-'Control Room'!$A$14-('Control Room'!$B$14-1)/2)/MAX(0.5,'Control Room'!$B$14/4))^2),1)*IF(AND($A196&gt;='Control Room'!$A$15,$A196&lt;'Control Room'!$A$15+'Control Room'!$B$15,'Process'!BS4=1),1+('Control Room'!$C$15-1)*EXP(-0.5*(($A196-'Control Room'!$A$15-('Control Room'!$B$15-1)/2)/MAX(0.5,'Control Room'!$B$15/4))^2),1)*IF(AND($A196&gt;='Control Room'!$A$16,$A196&lt;'Control Room'!$A$16+'Control Room'!$B$16,'Process'!BS5=1),1+('Control Room'!$C$16-1)*EXP(-0.5*(($A196-'Control Room'!$A$16-('Control Room'!$B$16-1)/2)/MAX(0.5,'Control Room'!$B$16/4))^2),1)</x:f>
        <x:v>1</x:v>
      </x:c>
      <x:c r="AU196" s="9" t="n">
        <x:f>MOD(AV195*16807,2147483647)</x:f>
        <x:v>17407200</x:v>
      </x:c>
      <x:c r="AV196" s="9" t="n">
        <x:f>MOD(AU196*16807,2147483647)</x:f>
        <x:v>505034408</x:v>
      </x:c>
      <x:c r="AW196" s="17" t="n">
        <x:f>IF('Control Room'!$B$5="Normal",'Control Room'!$B$7+'Control Room'!$D$7*SQRT(-2*LN(MAX(0.000000000001,AU196/2147483647)))*COS(2*PI()*AV196/2147483647),'Control Room'!$B$8+('Control Room'!$D$8-'Control Room'!$B$8)*AU196/2147483647)</x:f>
        <x:v>1025.9782797496432</x:v>
      </x:c>
      <x:c r="AX196" s="17" t="n">
        <x:f>IF('Control Room'!$B$5="Normal",'Control Room'!$B$7,('Control Room'!$B$8+'Control Room'!$D$8)/2)+'Control Room'!$B$9*(AX195-IF('Control Room'!$B$5="Normal",'Control Room'!$B$7,('Control Room'!$B$8+'Control Room'!$D$8)/2))+SQRT(1-'Control Room'!$B$9^2)*(AW196-IF('Control Room'!$B$5="Normal",'Control Room'!$B$7,('Control Room'!$B$8+'Control Room'!$D$8)/2))</x:f>
        <x:v>934.9923429260153</x:v>
      </x:c>
      <x:c r="AY196" s="17" t="n">
        <x:f>IF(AND($A196&gt;='Control Room'!$A$13,$A196&lt;'Control Room'!$A$13+'Control Room'!$B$13,'Process'!BT2=1),1+('Control Room'!$C$13-1)*EXP(-0.5*(($A196-'Control Room'!$A$13-('Control Room'!$B$13-1)/2)/MAX(0.5,'Control Room'!$B$13/4))^2),1)*IF(AND($A196&gt;='Control Room'!$A$14,$A196&lt;'Control Room'!$A$14+'Control Room'!$B$14,'Process'!BT3=1),1+('Control Room'!$C$14-1)*EXP(-0.5*(($A196-'Control Room'!$A$14-('Control Room'!$B$14-1)/2)/MAX(0.5,'Control Room'!$B$14/4))^2),1)*IF(AND($A196&gt;='Control Room'!$A$15,$A196&lt;'Control Room'!$A$15+'Control Room'!$B$15,'Process'!BT4=1),1+('Control Room'!$C$15-1)*EXP(-0.5*(($A196-'Control Room'!$A$15-('Control Room'!$B$15-1)/2)/MAX(0.5,'Control Room'!$B$15/4))^2),1)*IF(AND($A196&gt;='Control Room'!$A$16,$A196&lt;'Control Room'!$A$16+'Control Room'!$B$16,'Process'!BT5=1),1+('Control Room'!$C$16-1)*EXP(-0.5*(($A196-'Control Room'!$A$16-('Control Room'!$B$16-1)/2)/MAX(0.5,'Control Room'!$B$16/4))^2),1)</x:f>
        <x:v>1</x:v>
      </x:c>
      <x:c r="AZ196" s="9" t="n">
        <x:f>MOD(BA195*16807,2147483647)</x:f>
        <x:v>695733187</x:v>
      </x:c>
      <x:c r="BA196" s="9" t="n">
        <x:f>MOD(AZ196*16807,2147483647)</x:f>
        <x:v>139215994</x:v>
      </x:c>
      <x:c r="BB196" s="17" t="n">
        <x:f>IF('Control Room'!$B$5="Normal",'Control Room'!$B$7+'Control Room'!$D$7*SQRT(-2*LN(MAX(0.000000000001,AZ196/2147483647)))*COS(2*PI()*BA196/2147483647),'Control Room'!$B$8+('Control Room'!$D$8-'Control Room'!$B$8)*AZ196/2147483647)</x:f>
        <x:v>1124.0697685394687</x:v>
      </x:c>
      <x:c r="BC196" s="17" t="n">
        <x:f>IF('Control Room'!$B$5="Normal",'Control Room'!$B$7,('Control Room'!$B$8+'Control Room'!$D$8)/2)+'Control Room'!$B$9*(BC195-IF('Control Room'!$B$5="Normal",'Control Room'!$B$7,('Control Room'!$B$8+'Control Room'!$D$8)/2))+SQRT(1-'Control Room'!$B$9^2)*(BB196-IF('Control Room'!$B$5="Normal",'Control Room'!$B$7,('Control Room'!$B$8+'Control Room'!$D$8)/2))</x:f>
        <x:v>1184.8854113757334</x:v>
      </x:c>
      <x:c r="BD196" s="17" t="n">
        <x:f>IF(AND($A196&gt;='Control Room'!$A$13,$A196&lt;'Control Room'!$A$13+'Control Room'!$B$13,'Process'!BU2=1),1+('Control Room'!$C$13-1)*EXP(-0.5*(($A196-'Control Room'!$A$13-('Control Room'!$B$13-1)/2)/MAX(0.5,'Control Room'!$B$13/4))^2),1)*IF(AND($A196&gt;='Control Room'!$A$14,$A196&lt;'Control Room'!$A$14+'Control Room'!$B$14,'Process'!BU3=1),1+('Control Room'!$C$14-1)*EXP(-0.5*(($A196-'Control Room'!$A$14-('Control Room'!$B$14-1)/2)/MAX(0.5,'Control Room'!$B$14/4))^2),1)*IF(AND($A196&gt;='Control Room'!$A$15,$A196&lt;'Control Room'!$A$15+'Control Room'!$B$15,'Process'!BU4=1),1+('Control Room'!$C$15-1)*EXP(-0.5*(($A196-'Control Room'!$A$15-('Control Room'!$B$15-1)/2)/MAX(0.5,'Control Room'!$B$15/4))^2),1)*IF(AND($A196&gt;='Control Room'!$A$16,$A196&lt;'Control Room'!$A$16+'Control Room'!$B$16,'Process'!BU5=1),1+('Control Room'!$C$16-1)*EXP(-0.5*(($A196-'Control Room'!$A$16-('Control Room'!$B$16-1)/2)/MAX(0.5,'Control Room'!$B$16/4))^2),1)</x:f>
        <x:v>1</x:v>
      </x:c>
      <x:c r="BE196" s="9" t="n">
        <x:f>MOD(BF195*16807,2147483647)</x:f>
        <x:v>1374059174</x:v>
      </x:c>
      <x:c r="BF196" s="9" t="n">
        <x:f>MOD(BE196*16807,2147483647)</x:f>
        <x:v>1920881227</x:v>
      </x:c>
      <x:c r="BG196" s="17" t="n">
        <x:f>IF('Control Room'!$B$5="Normal",'Control Room'!$B$7+'Control Room'!$D$7*SQRT(-2*LN(MAX(0.000000000001,BE196/2147483647)))*COS(2*PI()*BF196/2147483647),'Control Room'!$B$8+('Control Room'!$D$8-'Control Room'!$B$8)*BE196/2147483647)</x:f>
        <x:v>1067.0331449688092</x:v>
      </x:c>
      <x:c r="BH196" s="17" t="n">
        <x:f>IF('Control Room'!$B$5="Normal",'Control Room'!$B$7,('Control Room'!$B$8+'Control Room'!$D$8)/2)+'Control Room'!$B$9*(BH195-IF('Control Room'!$B$5="Normal",'Control Room'!$B$7,('Control Room'!$B$8+'Control Room'!$D$8)/2))+SQRT(1-'Control Room'!$B$9^2)*(BG196-IF('Control Room'!$B$5="Normal",'Control Room'!$B$7,('Control Room'!$B$8+'Control Room'!$D$8)/2))</x:f>
        <x:v>1063.496530105202</x:v>
      </x:c>
      <x:c r="BI196" s="17" t="n">
        <x:f>IF(AND($A196&gt;='Control Room'!$A$13,$A196&lt;'Control Room'!$A$13+'Control Room'!$B$13,'Process'!BV2=1),1+('Control Room'!$C$13-1)*EXP(-0.5*(($A196-'Control Room'!$A$13-('Control Room'!$B$13-1)/2)/MAX(0.5,'Control Room'!$B$13/4))^2),1)*IF(AND($A196&gt;='Control Room'!$A$14,$A196&lt;'Control Room'!$A$14+'Control Room'!$B$14,'Process'!BV3=1),1+('Control Room'!$C$14-1)*EXP(-0.5*(($A196-'Control Room'!$A$14-('Control Room'!$B$14-1)/2)/MAX(0.5,'Control Room'!$B$14/4))^2),1)*IF(AND($A196&gt;='Control Room'!$A$15,$A196&lt;'Control Room'!$A$15+'Control Room'!$B$15,'Process'!BV4=1),1+('Control Room'!$C$15-1)*EXP(-0.5*(($A196-'Control Room'!$A$15-('Control Room'!$B$15-1)/2)/MAX(0.5,'Control Room'!$B$15/4))^2),1)*IF(AND($A196&gt;='Control Room'!$A$16,$A196&lt;'Control Room'!$A$16+'Control Room'!$B$16,'Process'!BV5=1),1+('Control Room'!$C$16-1)*EXP(-0.5*(($A196-'Control Room'!$A$16-('Control Room'!$B$16-1)/2)/MAX(0.5,'Control Room'!$B$16/4))^2),1)</x:f>
        <x:v>1</x:v>
      </x:c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Z196" t="str">
        <x:f>IF('Data'!A196="","",TEXT('Data'!A196,"mm-dd"))</x:f>
      </x:c>
    </x:row>
    <x:row r="197" ht="21" customHeight="1">
      <x:c r="A197" s="15" t="n">
        <x:f>'Control Room'!$B$1+195</x:f>
        <x:v>73186</x:v>
      </x:c>
      <x:c r="B197" s="9" t="n">
        <x:f>MOD(C196*16807,2147483647)</x:f>
        <x:v>1837546945</x:v>
      </x:c>
      <x:c r="C197" s="9" t="n">
        <x:f>MOD(B197*16807,2147483647)</x:f>
        <x:v>689177108</x:v>
      </x:c>
      <x:c r="D197" s="17" t="n">
        <x:f>IF('Control Room'!$B$5="Normal",'Control Room'!$B$7+'Control Room'!$D$7*SQRT(-2*LN(MAX(0.000000000001,B197/2147483647)))*COS(2*PI()*C197/2147483647),'Control Room'!$B$8+('Control Room'!$D$8-'Control Room'!$B$8)*B197/2147483647)</x:f>
        <x:v>978.3414341215274</x:v>
      </x:c>
      <x:c r="E197" s="17" t="n">
        <x:f>IF('Control Room'!$B$5="Normal",'Control Room'!$B$7,('Control Room'!$B$8+'Control Room'!$D$8)/2)+'Control Room'!$B$9*(E196-IF('Control Room'!$B$5="Normal",'Control Room'!$B$7,('Control Room'!$B$8+'Control Room'!$D$8)/2))+SQRT(1-'Control Room'!$B$9^2)*(D197-IF('Control Room'!$B$5="Normal",'Control Room'!$B$7,('Control Room'!$B$8+'Control Room'!$D$8)/2))</x:f>
        <x:v>1095.777426032249</x:v>
      </x:c>
      <x:c r="F197" s="17" t="n">
        <x:f>IF(AND($A197&gt;='Control Room'!$A$13,$A197&lt;'Control Room'!$A$13+'Control Room'!$B$13,'Process'!BK2=1),1+('Control Room'!$C$13-1)*EXP(-0.5*(($A197-'Control Room'!$A$13-('Control Room'!$B$13-1)/2)/MAX(0.5,'Control Room'!$B$13/4))^2),1)*IF(AND($A197&gt;='Control Room'!$A$14,$A197&lt;'Control Room'!$A$14+'Control Room'!$B$14,'Process'!BK3=1),1+('Control Room'!$C$14-1)*EXP(-0.5*(($A197-'Control Room'!$A$14-('Control Room'!$B$14-1)/2)/MAX(0.5,'Control Room'!$B$14/4))^2),1)*IF(AND($A197&gt;='Control Room'!$A$15,$A197&lt;'Control Room'!$A$15+'Control Room'!$B$15,'Process'!BK4=1),1+('Control Room'!$C$15-1)*EXP(-0.5*(($A197-'Control Room'!$A$15-('Control Room'!$B$15-1)/2)/MAX(0.5,'Control Room'!$B$15/4))^2),1)*IF(AND($A197&gt;='Control Room'!$A$16,$A197&lt;'Control Room'!$A$16+'Control Room'!$B$16,'Process'!BK5=1),1+('Control Room'!$C$16-1)*EXP(-0.5*(($A197-'Control Room'!$A$16-('Control Room'!$B$16-1)/2)/MAX(0.5,'Control Room'!$B$16/4))^2),1)</x:f>
        <x:v>1</x:v>
      </x:c>
      <x:c r="G197" s="9" t="n">
        <x:f>MOD(H196*16807,2147483647)</x:f>
        <x:v>1773144208</x:v>
      </x:c>
      <x:c r="H197" s="9" t="n">
        <x:f>MOD(G197*16807,2147483647)</x:f>
        <x:v>604134437</x:v>
      </x:c>
      <x:c r="I197" s="17" t="n">
        <x:f>IF('Control Room'!$B$5="Normal",'Control Room'!$B$7+'Control Room'!$D$7*SQRT(-2*LN(MAX(0.000000000001,G197/2147483647)))*COS(2*PI()*H197/2147483647),'Control Room'!$B$8+('Control Room'!$D$8-'Control Room'!$B$8)*G197/2147483647)</x:f>
        <x:v>989.1078773516979</x:v>
      </x:c>
      <x:c r="J197" s="17" t="n">
        <x:f>IF('Control Room'!$B$5="Normal",'Control Room'!$B$7,('Control Room'!$B$8+'Control Room'!$D$8)/2)+'Control Room'!$B$9*(J196-IF('Control Room'!$B$5="Normal",'Control Room'!$B$7,('Control Room'!$B$8+'Control Room'!$D$8)/2))+SQRT(1-'Control Room'!$B$9^2)*(I197-IF('Control Room'!$B$5="Normal",'Control Room'!$B$7,('Control Room'!$B$8+'Control Room'!$D$8)/2))</x:f>
        <x:v>916.7977327752899</x:v>
      </x:c>
      <x:c r="K197" s="17" t="n">
        <x:f>IF(AND($A197&gt;='Control Room'!$A$13,$A197&lt;'Control Room'!$A$13+'Control Room'!$B$13,'Process'!BL2=1),1+('Control Room'!$C$13-1)*EXP(-0.5*(($A197-'Control Room'!$A$13-('Control Room'!$B$13-1)/2)/MAX(0.5,'Control Room'!$B$13/4))^2),1)*IF(AND($A197&gt;='Control Room'!$A$14,$A197&lt;'Control Room'!$A$14+'Control Room'!$B$14,'Process'!BL3=1),1+('Control Room'!$C$14-1)*EXP(-0.5*(($A197-'Control Room'!$A$14-('Control Room'!$B$14-1)/2)/MAX(0.5,'Control Room'!$B$14/4))^2),1)*IF(AND($A197&gt;='Control Room'!$A$15,$A197&lt;'Control Room'!$A$15+'Control Room'!$B$15,'Process'!BL4=1),1+('Control Room'!$C$15-1)*EXP(-0.5*(($A197-'Control Room'!$A$15-('Control Room'!$B$15-1)/2)/MAX(0.5,'Control Room'!$B$15/4))^2),1)*IF(AND($A197&gt;='Control Room'!$A$16,$A197&lt;'Control Room'!$A$16+'Control Room'!$B$16,'Process'!BL5=1),1+('Control Room'!$C$16-1)*EXP(-0.5*(($A197-'Control Room'!$A$16-('Control Room'!$B$16-1)/2)/MAX(0.5,'Control Room'!$B$16/4))^2),1)</x:f>
        <x:v>1</x:v>
      </x:c>
      <x:c r="L197" s="9" t="n">
        <x:f>MOD(M196*16807,2147483647)</x:f>
        <x:v>1708741471</x:v>
      </x:c>
      <x:c r="M197" s="9" t="n">
        <x:f>MOD(L197*16807,2147483647)</x:f>
        <x:v>519091766</x:v>
      </x:c>
      <x:c r="N197" s="17" t="n">
        <x:f>IF('Control Room'!$B$5="Normal",'Control Room'!$B$7+'Control Room'!$D$7*SQRT(-2*LN(MAX(0.000000000001,L197/2147483647)))*COS(2*PI()*M197/2147483647),'Control Room'!$B$8+('Control Room'!$D$8-'Control Room'!$B$8)*L197/2147483647)</x:f>
        <x:v>1003.1637582474847</x:v>
      </x:c>
      <x:c r="O197" s="17" t="n">
        <x:f>IF('Control Room'!$B$5="Normal",'Control Room'!$B$7,('Control Room'!$B$8+'Control Room'!$D$8)/2)+'Control Room'!$B$9*(O196-IF('Control Room'!$B$5="Normal",'Control Room'!$B$7,('Control Room'!$B$8+'Control Room'!$D$8)/2))+SQRT(1-'Control Room'!$B$9^2)*(N197-IF('Control Room'!$B$5="Normal",'Control Room'!$B$7,('Control Room'!$B$8+'Control Room'!$D$8)/2))</x:f>
        <x:v>926.8313399152231</x:v>
      </x:c>
      <x:c r="P197" s="17" t="n">
        <x:f>IF(AND($A197&gt;='Control Room'!$A$13,$A197&lt;'Control Room'!$A$13+'Control Room'!$B$13,'Process'!BM2=1),1+('Control Room'!$C$13-1)*EXP(-0.5*(($A197-'Control Room'!$A$13-('Control Room'!$B$13-1)/2)/MAX(0.5,'Control Room'!$B$13/4))^2),1)*IF(AND($A197&gt;='Control Room'!$A$14,$A197&lt;'Control Room'!$A$14+'Control Room'!$B$14,'Process'!BM3=1),1+('Control Room'!$C$14-1)*EXP(-0.5*(($A197-'Control Room'!$A$14-('Control Room'!$B$14-1)/2)/MAX(0.5,'Control Room'!$B$14/4))^2),1)*IF(AND($A197&gt;='Control Room'!$A$15,$A197&lt;'Control Room'!$A$15+'Control Room'!$B$15,'Process'!BM4=1),1+('Control Room'!$C$15-1)*EXP(-0.5*(($A197-'Control Room'!$A$15-('Control Room'!$B$15-1)/2)/MAX(0.5,'Control Room'!$B$15/4))^2),1)*IF(AND($A197&gt;='Control Room'!$A$16,$A197&lt;'Control Room'!$A$16+'Control Room'!$B$16,'Process'!BM5=1),1+('Control Room'!$C$16-1)*EXP(-0.5*(($A197-'Control Room'!$A$16-('Control Room'!$B$16-1)/2)/MAX(0.5,'Control Room'!$B$16/4))^2),1)</x:f>
        <x:v>1</x:v>
      </x:c>
      <x:c r="Q197" s="9" t="n">
        <x:f>MOD(R196*16807,2147483647)</x:f>
        <x:v>1644338734</x:v>
      </x:c>
      <x:c r="R197" s="9" t="n">
        <x:f>MOD(Q197*16807,2147483647)</x:f>
        <x:v>434049095</x:v>
      </x:c>
      <x:c r="S197" s="17" t="n">
        <x:f>IF('Control Room'!$B$5="Normal",'Control Room'!$B$7+'Control Room'!$D$7*SQRT(-2*LN(MAX(0.000000000001,Q197/2147483647)))*COS(2*PI()*R197/2147483647),'Control Room'!$B$8+('Control Room'!$D$8-'Control Room'!$B$8)*Q197/2147483647)</x:f>
        <x:v>1019.4869466261085</x:v>
      </x:c>
      <x:c r="T197" s="17" t="n">
        <x:f>IF('Control Room'!$B$5="Normal",'Control Room'!$B$7,('Control Room'!$B$8+'Control Room'!$D$8)/2)+'Control Room'!$B$9*(T196-IF('Control Room'!$B$5="Normal",'Control Room'!$B$7,('Control Room'!$B$8+'Control Room'!$D$8)/2))+SQRT(1-'Control Room'!$B$9^2)*(S197-IF('Control Room'!$B$5="Normal",'Control Room'!$B$7,('Control Room'!$B$8+'Control Room'!$D$8)/2))</x:f>
        <x:v>1025.7651694470896</x:v>
      </x:c>
      <x:c r="U197" s="17" t="n">
        <x:f>IF(AND($A197&gt;='Control Room'!$A$13,$A197&lt;'Control Room'!$A$13+'Control Room'!$B$13,'Process'!BN2=1),1+('Control Room'!$C$13-1)*EXP(-0.5*(($A197-'Control Room'!$A$13-('Control Room'!$B$13-1)/2)/MAX(0.5,'Control Room'!$B$13/4))^2),1)*IF(AND($A197&gt;='Control Room'!$A$14,$A197&lt;'Control Room'!$A$14+'Control Room'!$B$14,'Process'!BN3=1),1+('Control Room'!$C$14-1)*EXP(-0.5*(($A197-'Control Room'!$A$14-('Control Room'!$B$14-1)/2)/MAX(0.5,'Control Room'!$B$14/4))^2),1)*IF(AND($A197&gt;='Control Room'!$A$15,$A197&lt;'Control Room'!$A$15+'Control Room'!$B$15,'Process'!BN4=1),1+('Control Room'!$C$15-1)*EXP(-0.5*(($A197-'Control Room'!$A$15-('Control Room'!$B$15-1)/2)/MAX(0.5,'Control Room'!$B$15/4))^2),1)*IF(AND($A197&gt;='Control Room'!$A$16,$A197&lt;'Control Room'!$A$16+'Control Room'!$B$16,'Process'!BN5=1),1+('Control Room'!$C$16-1)*EXP(-0.5*(($A197-'Control Room'!$A$16-('Control Room'!$B$16-1)/2)/MAX(0.5,'Control Room'!$B$16/4))^2),1)</x:f>
        <x:v>1</x:v>
      </x:c>
      <x:c r="V197" s="9" t="n">
        <x:f>MOD(W196*16807,2147483647)</x:f>
        <x:v>1579935997</x:v>
      </x:c>
      <x:c r="W197" s="9" t="n">
        <x:f>MOD(V197*16807,2147483647)</x:f>
        <x:v>349006424</x:v>
      </x:c>
      <x:c r="X197" s="17" t="n">
        <x:f>IF('Control Room'!$B$5="Normal",'Control Room'!$B$7+'Control Room'!$D$7*SQRT(-2*LN(MAX(0.000000000001,V197/2147483647)))*COS(2*PI()*W197/2147483647),'Control Room'!$B$8+('Control Room'!$D$8-'Control Room'!$B$8)*V197/2147483647)</x:f>
        <x:v>1036.8354688478</x:v>
      </x:c>
      <x:c r="Y197" s="17" t="n">
        <x:f>IF('Control Room'!$B$5="Normal",'Control Room'!$B$7,('Control Room'!$B$8+'Control Room'!$D$8)/2)+'Control Room'!$B$9*(Y196-IF('Control Room'!$B$5="Normal",'Control Room'!$B$7,('Control Room'!$B$8+'Control Room'!$D$8)/2))+SQRT(1-'Control Room'!$B$9^2)*(X197-IF('Control Room'!$B$5="Normal",'Control Room'!$B$7,('Control Room'!$B$8+'Control Room'!$D$8)/2))</x:f>
        <x:v>1083.115571881665</x:v>
      </x:c>
      <x:c r="Z197" s="17" t="n">
        <x:f>IF(AND($A197&gt;='Control Room'!$A$13,$A197&lt;'Control Room'!$A$13+'Control Room'!$B$13,'Process'!BO2=1),1+('Control Room'!$C$13-1)*EXP(-0.5*(($A197-'Control Room'!$A$13-('Control Room'!$B$13-1)/2)/MAX(0.5,'Control Room'!$B$13/4))^2),1)*IF(AND($A197&gt;='Control Room'!$A$14,$A197&lt;'Control Room'!$A$14+'Control Room'!$B$14,'Process'!BO3=1),1+('Control Room'!$C$14-1)*EXP(-0.5*(($A197-'Control Room'!$A$14-('Control Room'!$B$14-1)/2)/MAX(0.5,'Control Room'!$B$14/4))^2),1)*IF(AND($A197&gt;='Control Room'!$A$15,$A197&lt;'Control Room'!$A$15+'Control Room'!$B$15,'Process'!BO4=1),1+('Control Room'!$C$15-1)*EXP(-0.5*(($A197-'Control Room'!$A$15-('Control Room'!$B$15-1)/2)/MAX(0.5,'Control Room'!$B$15/4))^2),1)*IF(AND($A197&gt;='Control Room'!$A$16,$A197&lt;'Control Room'!$A$16+'Control Room'!$B$16,'Process'!BO5=1),1+('Control Room'!$C$16-1)*EXP(-0.5*(($A197-'Control Room'!$A$16-('Control Room'!$B$16-1)/2)/MAX(0.5,'Control Room'!$B$16/4))^2),1)</x:f>
        <x:v>1</x:v>
      </x:c>
      <x:c r="AA197" s="9" t="n">
        <x:f>MOD(AB196*16807,2147483647)</x:f>
        <x:v>1515533260</x:v>
      </x:c>
      <x:c r="AB197" s="9" t="n">
        <x:f>MOD(AA197*16807,2147483647)</x:f>
        <x:v>263963753</x:v>
      </x:c>
      <x:c r="AC197" s="17" t="n">
        <x:f>IF('Control Room'!$B$5="Normal",'Control Room'!$B$7+'Control Room'!$D$7*SQRT(-2*LN(MAX(0.000000000001,AA197/2147483647)))*COS(2*PI()*AB197/2147483647),'Control Room'!$B$8+('Control Room'!$D$8-'Control Room'!$B$8)*AA197/2147483647)</x:f>
        <x:v>1053.8233337478998</x:v>
      </x:c>
      <x:c r="AD197" s="17" t="n">
        <x:f>IF('Control Room'!$B$5="Normal",'Control Room'!$B$7,('Control Room'!$B$8+'Control Room'!$D$8)/2)+'Control Room'!$B$9*(AD196-IF('Control Room'!$B$5="Normal",'Control Room'!$B$7,('Control Room'!$B$8+'Control Room'!$D$8)/2))+SQRT(1-'Control Room'!$B$9^2)*(AC197-IF('Control Room'!$B$5="Normal",'Control Room'!$B$7,('Control Room'!$B$8+'Control Room'!$D$8)/2))</x:f>
        <x:v>1103.0109221620235</x:v>
      </x:c>
      <x:c r="AE197" s="17" t="n">
        <x:f>IF(AND($A197&gt;='Control Room'!$A$13,$A197&lt;'Control Room'!$A$13+'Control Room'!$B$13,'Process'!BP2=1),1+('Control Room'!$C$13-1)*EXP(-0.5*(($A197-'Control Room'!$A$13-('Control Room'!$B$13-1)/2)/MAX(0.5,'Control Room'!$B$13/4))^2),1)*IF(AND($A197&gt;='Control Room'!$A$14,$A197&lt;'Control Room'!$A$14+'Control Room'!$B$14,'Process'!BP3=1),1+('Control Room'!$C$14-1)*EXP(-0.5*(($A197-'Control Room'!$A$14-('Control Room'!$B$14-1)/2)/MAX(0.5,'Control Room'!$B$14/4))^2),1)*IF(AND($A197&gt;='Control Room'!$A$15,$A197&lt;'Control Room'!$A$15+'Control Room'!$B$15,'Process'!BP4=1),1+('Control Room'!$C$15-1)*EXP(-0.5*(($A197-'Control Room'!$A$15-('Control Room'!$B$15-1)/2)/MAX(0.5,'Control Room'!$B$15/4))^2),1)*IF(AND($A197&gt;='Control Room'!$A$16,$A197&lt;'Control Room'!$A$16+'Control Room'!$B$16,'Process'!BP5=1),1+('Control Room'!$C$16-1)*EXP(-0.5*(($A197-'Control Room'!$A$16-('Control Room'!$B$16-1)/2)/MAX(0.5,'Control Room'!$B$16/4))^2),1)</x:f>
        <x:v>1</x:v>
      </x:c>
      <x:c r="AF197" s="9" t="n">
        <x:f>MOD(AG196*16807,2147483647)</x:f>
        <x:v>1451130523</x:v>
      </x:c>
      <x:c r="AG197" s="9" t="n">
        <x:f>MOD(AF197*16807,2147483647)</x:f>
        <x:v>178921082</x:v>
      </x:c>
      <x:c r="AH197" s="17" t="n">
        <x:f>IF('Control Room'!$B$5="Normal",'Control Room'!$B$7+'Control Room'!$D$7*SQRT(-2*LN(MAX(0.000000000001,AF197/2147483647)))*COS(2*PI()*AG197/2147483647),'Control Room'!$B$8+('Control Room'!$D$8-'Control Room'!$B$8)*AF197/2147483647)</x:f>
        <x:v>1069.013161708782</x:v>
      </x:c>
      <x:c r="AI197" s="17" t="n">
        <x:f>IF('Control Room'!$B$5="Normal",'Control Room'!$B$7,('Control Room'!$B$8+'Control Room'!$D$8)/2)+'Control Room'!$B$9*(AI196-IF('Control Room'!$B$5="Normal",'Control Room'!$B$7,('Control Room'!$B$8+'Control Room'!$D$8)/2))+SQRT(1-'Control Room'!$B$9^2)*(AH197-IF('Control Room'!$B$5="Normal",'Control Room'!$B$7,('Control Room'!$B$8+'Control Room'!$D$8)/2))</x:f>
        <x:v>976.6701354290724</x:v>
      </x:c>
      <x:c r="AJ197" s="17" t="n">
        <x:f>IF(AND($A197&gt;='Control Room'!$A$13,$A197&lt;'Control Room'!$A$13+'Control Room'!$B$13,'Process'!BQ2=1),1+('Control Room'!$C$13-1)*EXP(-0.5*(($A197-'Control Room'!$A$13-('Control Room'!$B$13-1)/2)/MAX(0.5,'Control Room'!$B$13/4))^2),1)*IF(AND($A197&gt;='Control Room'!$A$14,$A197&lt;'Control Room'!$A$14+'Control Room'!$B$14,'Process'!BQ3=1),1+('Control Room'!$C$14-1)*EXP(-0.5*(($A197-'Control Room'!$A$14-('Control Room'!$B$14-1)/2)/MAX(0.5,'Control Room'!$B$14/4))^2),1)*IF(AND($A197&gt;='Control Room'!$A$15,$A197&lt;'Control Room'!$A$15+'Control Room'!$B$15,'Process'!BQ4=1),1+('Control Room'!$C$15-1)*EXP(-0.5*(($A197-'Control Room'!$A$15-('Control Room'!$B$15-1)/2)/MAX(0.5,'Control Room'!$B$15/4))^2),1)*IF(AND($A197&gt;='Control Room'!$A$16,$A197&lt;'Control Room'!$A$16+'Control Room'!$B$16,'Process'!BQ5=1),1+('Control Room'!$C$16-1)*EXP(-0.5*(($A197-'Control Room'!$A$16-('Control Room'!$B$16-1)/2)/MAX(0.5,'Control Room'!$B$16/4))^2),1)</x:f>
        <x:v>1</x:v>
      </x:c>
      <x:c r="AK197" s="9" t="n">
        <x:f>MOD(AL196*16807,2147483647)</x:f>
        <x:v>1386727786</x:v>
      </x:c>
      <x:c r="AL197" s="9" t="n">
        <x:f>MOD(AK197*16807,2147483647)</x:f>
        <x:v>93878411</x:v>
      </x:c>
      <x:c r="AM197" s="17" t="n">
        <x:f>IF('Control Room'!$B$5="Normal",'Control Room'!$B$7+'Control Room'!$D$7*SQRT(-2*LN(MAX(0.000000000001,AK197/2147483647)))*COS(2*PI()*AL197/2147483647),'Control Room'!$B$8+('Control Room'!$D$8-'Control Room'!$B$8)*AK197/2147483647)</x:f>
        <x:v>1081.017543296191</x:v>
      </x:c>
      <x:c r="AN197" s="17" t="n">
        <x:f>IF('Control Room'!$B$5="Normal",'Control Room'!$B$7,('Control Room'!$B$8+'Control Room'!$D$8)/2)+'Control Room'!$B$9*(AN196-IF('Control Room'!$B$5="Normal",'Control Room'!$B$7,('Control Room'!$B$8+'Control Room'!$D$8)/2))+SQRT(1-'Control Room'!$B$9^2)*(AM197-IF('Control Room'!$B$5="Normal",'Control Room'!$B$7,('Control Room'!$B$8+'Control Room'!$D$8)/2))</x:f>
        <x:v>1013.3224435787841</x:v>
      </x:c>
      <x:c r="AO197" s="17" t="n">
        <x:f>IF(AND($A197&gt;='Control Room'!$A$13,$A197&lt;'Control Room'!$A$13+'Control Room'!$B$13,'Process'!BR2=1),1+('Control Room'!$C$13-1)*EXP(-0.5*(($A197-'Control Room'!$A$13-('Control Room'!$B$13-1)/2)/MAX(0.5,'Control Room'!$B$13/4))^2),1)*IF(AND($A197&gt;='Control Room'!$A$14,$A197&lt;'Control Room'!$A$14+'Control Room'!$B$14,'Process'!BR3=1),1+('Control Room'!$C$14-1)*EXP(-0.5*(($A197-'Control Room'!$A$14-('Control Room'!$B$14-1)/2)/MAX(0.5,'Control Room'!$B$14/4))^2),1)*IF(AND($A197&gt;='Control Room'!$A$15,$A197&lt;'Control Room'!$A$15+'Control Room'!$B$15,'Process'!BR4=1),1+('Control Room'!$C$15-1)*EXP(-0.5*(($A197-'Control Room'!$A$15-('Control Room'!$B$15-1)/2)/MAX(0.5,'Control Room'!$B$15/4))^2),1)*IF(AND($A197&gt;='Control Room'!$A$16,$A197&lt;'Control Room'!$A$16+'Control Room'!$B$16,'Process'!BR5=1),1+('Control Room'!$C$16-1)*EXP(-0.5*(($A197-'Control Room'!$A$16-('Control Room'!$B$16-1)/2)/MAX(0.5,'Control Room'!$B$16/4))^2),1)</x:f>
        <x:v>1</x:v>
      </x:c>
      <x:c r="AP197" s="9" t="n">
        <x:f>MOD(AQ196*16807,2147483647)</x:f>
        <x:v>1322325049</x:v>
      </x:c>
      <x:c r="AQ197" s="9" t="n">
        <x:f>MOD(AP197*16807,2147483647)</x:f>
        <x:v>8835740</x:v>
      </x:c>
      <x:c r="AR197" s="17" t="n">
        <x:f>IF('Control Room'!$B$5="Normal",'Control Room'!$B$7+'Control Room'!$D$7*SQRT(-2*LN(MAX(0.000000000001,AP197/2147483647)))*COS(2*PI()*AQ197/2147483647),'Control Room'!$B$8+('Control Room'!$D$8-'Control Room'!$B$8)*AP197/2147483647)</x:f>
        <x:v>1088.6014389044285</x:v>
      </x:c>
      <x:c r="AS197" s="17" t="n">
        <x:f>IF('Control Room'!$B$5="Normal",'Control Room'!$B$7,('Control Room'!$B$8+'Control Room'!$D$8)/2)+'Control Room'!$B$9*(AS196-IF('Control Room'!$B$5="Normal",'Control Room'!$B$7,('Control Room'!$B$8+'Control Room'!$D$8)/2))+SQRT(1-'Control Room'!$B$9^2)*(AR197-IF('Control Room'!$B$5="Normal",'Control Room'!$B$7,('Control Room'!$B$8+'Control Room'!$D$8)/2))</x:f>
        <x:v>1039.632417483834</x:v>
      </x:c>
      <x:c r="AT197" s="17" t="n">
        <x:f>IF(AND($A197&gt;='Control Room'!$A$13,$A197&lt;'Control Room'!$A$13+'Control Room'!$B$13,'Process'!BS2=1),1+('Control Room'!$C$13-1)*EXP(-0.5*(($A197-'Control Room'!$A$13-('Control Room'!$B$13-1)/2)/MAX(0.5,'Control Room'!$B$13/4))^2),1)*IF(AND($A197&gt;='Control Room'!$A$14,$A197&lt;'Control Room'!$A$14+'Control Room'!$B$14,'Process'!BS3=1),1+('Control Room'!$C$14-1)*EXP(-0.5*(($A197-'Control Room'!$A$14-('Control Room'!$B$14-1)/2)/MAX(0.5,'Control Room'!$B$14/4))^2),1)*IF(AND($A197&gt;='Control Room'!$A$15,$A197&lt;'Control Room'!$A$15+'Control Room'!$B$15,'Process'!BS4=1),1+('Control Room'!$C$15-1)*EXP(-0.5*(($A197-'Control Room'!$A$15-('Control Room'!$B$15-1)/2)/MAX(0.5,'Control Room'!$B$15/4))^2),1)*IF(AND($A197&gt;='Control Room'!$A$16,$A197&lt;'Control Room'!$A$16+'Control Room'!$B$16,'Process'!BS5=1),1+('Control Room'!$C$16-1)*EXP(-0.5*(($A197-'Control Room'!$A$16-('Control Room'!$B$16-1)/2)/MAX(0.5,'Control Room'!$B$16/4))^2),1)</x:f>
        <x:v>1</x:v>
      </x:c>
      <x:c r="AU197" s="9" t="n">
        <x:f>MOD(AV196*16807,2147483647)</x:f>
        <x:v>1257922312</x:v>
      </x:c>
      <x:c r="AV197" s="9" t="n">
        <x:f>MOD(AU197*16807,2147483647)</x:f>
        <x:v>2071276716</x:v>
      </x:c>
      <x:c r="AW197" s="17" t="n">
        <x:f>IF('Control Room'!$B$5="Normal",'Control Room'!$B$7+'Control Room'!$D$7*SQRT(-2*LN(MAX(0.000000000001,AU197/2147483647)))*COS(2*PI()*AV197/2147483647),'Control Room'!$B$8+('Control Room'!$D$8-'Control Room'!$B$8)*AU197/2147483647)</x:f>
        <x:v>1090.7781642933994</x:v>
      </x:c>
      <x:c r="AX197" s="17" t="n">
        <x:f>IF('Control Room'!$B$5="Normal",'Control Room'!$B$7,('Control Room'!$B$8+'Control Room'!$D$8)/2)+'Control Room'!$B$9*(AX196-IF('Control Room'!$B$5="Normal",'Control Room'!$B$7,('Control Room'!$B$8+'Control Room'!$D$8)/2))+SQRT(1-'Control Room'!$B$9^2)*(AW197-IF('Control Room'!$B$5="Normal",'Control Room'!$B$7,('Control Room'!$B$8+'Control Room'!$D$8)/2))</x:f>
        <x:v>1006.1011430053226</x:v>
      </x:c>
      <x:c r="AY197" s="17" t="n">
        <x:f>IF(AND($A197&gt;='Control Room'!$A$13,$A197&lt;'Control Room'!$A$13+'Control Room'!$B$13,'Process'!BT2=1),1+('Control Room'!$C$13-1)*EXP(-0.5*(($A197-'Control Room'!$A$13-('Control Room'!$B$13-1)/2)/MAX(0.5,'Control Room'!$B$13/4))^2),1)*IF(AND($A197&gt;='Control Room'!$A$14,$A197&lt;'Control Room'!$A$14+'Control Room'!$B$14,'Process'!BT3=1),1+('Control Room'!$C$14-1)*EXP(-0.5*(($A197-'Control Room'!$A$14-('Control Room'!$B$14-1)/2)/MAX(0.5,'Control Room'!$B$14/4))^2),1)*IF(AND($A197&gt;='Control Room'!$A$15,$A197&lt;'Control Room'!$A$15+'Control Room'!$B$15,'Process'!BT4=1),1+('Control Room'!$C$15-1)*EXP(-0.5*(($A197-'Control Room'!$A$15-('Control Room'!$B$15-1)/2)/MAX(0.5,'Control Room'!$B$15/4))^2),1)*IF(AND($A197&gt;='Control Room'!$A$16,$A197&lt;'Control Room'!$A$16+'Control Room'!$B$16,'Process'!BT5=1),1+('Control Room'!$C$16-1)*EXP(-0.5*(($A197-'Control Room'!$A$16-('Control Room'!$B$16-1)/2)/MAX(0.5,'Control Room'!$B$16/4))^2),1)</x:f>
        <x:v>1</x:v>
      </x:c>
      <x:c r="AZ197" s="9" t="n">
        <x:f>MOD(BA196*16807,2147483647)</x:f>
        <x:v>1193519575</x:v>
      </x:c>
      <x:c r="BA197" s="9" t="n">
        <x:f>MOD(AZ197*16807,2147483647)</x:f>
        <x:v>1986234045</x:v>
      </x:c>
      <x:c r="BB197" s="17" t="n">
        <x:f>IF('Control Room'!$B$5="Normal",'Control Room'!$B$7+'Control Room'!$D$7*SQRT(-2*LN(MAX(0.000000000001,AZ197/2147483647)))*COS(2*PI()*BA197/2147483647),'Control Room'!$B$8+('Control Room'!$D$8-'Control Room'!$B$8)*AZ197/2147483647)</x:f>
        <x:v>1086.8919856828504</x:v>
      </x:c>
      <x:c r="BC197" s="17" t="n">
        <x:f>IF('Control Room'!$B$5="Normal",'Control Room'!$B$7,('Control Room'!$B$8+'Control Room'!$D$8)/2)+'Control Room'!$B$9*(BC196-IF('Control Room'!$B$5="Normal",'Control Room'!$B$7,('Control Room'!$B$8+'Control Room'!$D$8)/2))+SQRT(1-'Control Room'!$B$9^2)*(BB197-IF('Control Room'!$B$5="Normal",'Control Room'!$B$7,('Control Room'!$B$8+'Control Room'!$D$8)/2))</x:f>
        <x:v>1198.5858454343172</x:v>
      </x:c>
      <x:c r="BD197" s="17" t="n">
        <x:f>IF(AND($A197&gt;='Control Room'!$A$13,$A197&lt;'Control Room'!$A$13+'Control Room'!$B$13,'Process'!BU2=1),1+('Control Room'!$C$13-1)*EXP(-0.5*(($A197-'Control Room'!$A$13-('Control Room'!$B$13-1)/2)/MAX(0.5,'Control Room'!$B$13/4))^2),1)*IF(AND($A197&gt;='Control Room'!$A$14,$A197&lt;'Control Room'!$A$14+'Control Room'!$B$14,'Process'!BU3=1),1+('Control Room'!$C$14-1)*EXP(-0.5*(($A197-'Control Room'!$A$14-('Control Room'!$B$14-1)/2)/MAX(0.5,'Control Room'!$B$14/4))^2),1)*IF(AND($A197&gt;='Control Room'!$A$15,$A197&lt;'Control Room'!$A$15+'Control Room'!$B$15,'Process'!BU4=1),1+('Control Room'!$C$15-1)*EXP(-0.5*(($A197-'Control Room'!$A$15-('Control Room'!$B$15-1)/2)/MAX(0.5,'Control Room'!$B$15/4))^2),1)*IF(AND($A197&gt;='Control Room'!$A$16,$A197&lt;'Control Room'!$A$16+'Control Room'!$B$16,'Process'!BU5=1),1+('Control Room'!$C$16-1)*EXP(-0.5*(($A197-'Control Room'!$A$16-('Control Room'!$B$16-1)/2)/MAX(0.5,'Control Room'!$B$16/4))^2),1)</x:f>
        <x:v>1</x:v>
      </x:c>
      <x:c r="BE197" s="9" t="n">
        <x:f>MOD(BF196*16807,2147483647)</x:f>
        <x:v>1129116838</x:v>
      </x:c>
      <x:c r="BF197" s="9" t="n">
        <x:f>MOD(BE197*16807,2147483647)</x:f>
        <x:v>1901191374</x:v>
      </x:c>
      <x:c r="BG197" s="17" t="n">
        <x:f>IF('Control Room'!$B$5="Normal",'Control Room'!$B$7+'Control Room'!$D$7*SQRT(-2*LN(MAX(0.000000000001,BE197/2147483647)))*COS(2*PI()*BF197/2147483647),'Control Room'!$B$8+('Control Room'!$D$8-'Control Room'!$B$8)*BE197/2147483647)</x:f>
        <x:v>1076.6811928438776</x:v>
      </x:c>
      <x:c r="BH197" s="17" t="n">
        <x:f>IF('Control Room'!$B$5="Normal",'Control Room'!$B$7,('Control Room'!$B$8+'Control Room'!$D$8)/2)+'Control Room'!$B$9*(BH196-IF('Control Room'!$B$5="Normal",'Control Room'!$B$7,('Control Room'!$B$8+'Control Room'!$D$8)/2))+SQRT(1-'Control Room'!$B$9^2)*(BG197-IF('Control Room'!$B$5="Normal",'Control Room'!$B$7,('Control Room'!$B$8+'Control Room'!$D$8)/2))</x:f>
        <x:v>1097.5128130641347</x:v>
      </x:c>
      <x:c r="BI197" s="17" t="n">
        <x:f>IF(AND($A197&gt;='Control Room'!$A$13,$A197&lt;'Control Room'!$A$13+'Control Room'!$B$13,'Process'!BV2=1),1+('Control Room'!$C$13-1)*EXP(-0.5*(($A197-'Control Room'!$A$13-('Control Room'!$B$13-1)/2)/MAX(0.5,'Control Room'!$B$13/4))^2),1)*IF(AND($A197&gt;='Control Room'!$A$14,$A197&lt;'Control Room'!$A$14+'Control Room'!$B$14,'Process'!BV3=1),1+('Control Room'!$C$14-1)*EXP(-0.5*(($A197-'Control Room'!$A$14-('Control Room'!$B$14-1)/2)/MAX(0.5,'Control Room'!$B$14/4))^2),1)*IF(AND($A197&gt;='Control Room'!$A$15,$A197&lt;'Control Room'!$A$15+'Control Room'!$B$15,'Process'!BV4=1),1+('Control Room'!$C$15-1)*EXP(-0.5*(($A197-'Control Room'!$A$15-('Control Room'!$B$15-1)/2)/MAX(0.5,'Control Room'!$B$15/4))^2),1)*IF(AND($A197&gt;='Control Room'!$A$16,$A197&lt;'Control Room'!$A$16+'Control Room'!$B$16,'Process'!BV5=1),1+('Control Room'!$C$16-1)*EXP(-0.5*(($A197-'Control Room'!$A$16-('Control Room'!$B$16-1)/2)/MAX(0.5,'Control Room'!$B$16/4))^2),1)</x:f>
        <x:v>1</x:v>
      </x:c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Z197" t="str">
        <x:f>IF('Data'!A197="","",TEXT('Data'!A197,"mm-dd"))</x:f>
      </x:c>
    </x:row>
    <x:row r="198" ht="21" customHeight="1">
      <x:c r="A198" s="15" t="n">
        <x:f>'Control Room'!$B$1+196</x:f>
        <x:v>73187</x:v>
      </x:c>
      <x:c r="B198" s="9" t="n">
        <x:f>MOD(C197*16807,2147483647)</x:f>
        <x:v>1620345885</x:v>
      </x:c>
      <x:c r="C198" s="9" t="n">
        <x:f>MOD(B198*16807,2147483647)</x:f>
        <x:v>913161588</x:v>
      </x:c>
      <x:c r="D198" s="17" t="n">
        <x:f>IF('Control Room'!$B$5="Normal",'Control Room'!$B$7+'Control Room'!$D$7*SQRT(-2*LN(MAX(0.000000000001,B198/2147483647)))*COS(2*PI()*C198/2147483647),'Control Room'!$B$8+('Control Room'!$D$8-'Control Room'!$B$8)*B198/2147483647)</x:f>
        <x:v>939.7704436887103</x:v>
      </x:c>
      <x:c r="E198" s="17" t="n">
        <x:f>IF('Control Room'!$B$5="Normal",'Control Room'!$B$7,('Control Room'!$B$8+'Control Room'!$D$8)/2)+'Control Room'!$B$9*(E197-IF('Control Room'!$B$5="Normal",'Control Room'!$B$7,('Control Room'!$B$8+'Control Room'!$D$8)/2))+SQRT(1-'Control Room'!$B$9^2)*(D198-IF('Control Room'!$B$5="Normal",'Control Room'!$B$7,('Control Room'!$B$8+'Control Room'!$D$8)/2))</x:f>
        <x:v>1037.015969835077</x:v>
      </x:c>
      <x:c r="F198" s="17" t="n">
        <x:f>IF(AND($A198&gt;='Control Room'!$A$13,$A198&lt;'Control Room'!$A$13+'Control Room'!$B$13,'Process'!BK2=1),1+('Control Room'!$C$13-1)*EXP(-0.5*(($A198-'Control Room'!$A$13-('Control Room'!$B$13-1)/2)/MAX(0.5,'Control Room'!$B$13/4))^2),1)*IF(AND($A198&gt;='Control Room'!$A$14,$A198&lt;'Control Room'!$A$14+'Control Room'!$B$14,'Process'!BK3=1),1+('Control Room'!$C$14-1)*EXP(-0.5*(($A198-'Control Room'!$A$14-('Control Room'!$B$14-1)/2)/MAX(0.5,'Control Room'!$B$14/4))^2),1)*IF(AND($A198&gt;='Control Room'!$A$15,$A198&lt;'Control Room'!$A$15+'Control Room'!$B$15,'Process'!BK4=1),1+('Control Room'!$C$15-1)*EXP(-0.5*(($A198-'Control Room'!$A$15-('Control Room'!$B$15-1)/2)/MAX(0.5,'Control Room'!$B$15/4))^2),1)*IF(AND($A198&gt;='Control Room'!$A$16,$A198&lt;'Control Room'!$A$16+'Control Room'!$B$16,'Process'!BK5=1),1+('Control Room'!$C$16-1)*EXP(-0.5*(($A198-'Control Room'!$A$16-('Control Room'!$B$16-1)/2)/MAX(0.5,'Control Room'!$B$16/4))^2),1)</x:f>
        <x:v>1</x:v>
      </x:c>
      <x:c r="G198" s="9" t="n">
        <x:f>MOD(H197*16807,2147483647)</x:f>
        <x:v>384799643</x:v>
      </x:c>
      <x:c r="H198" s="9" t="n">
        <x:f>MOD(G198*16807,2147483647)</x:f>
        <x:v>1254338784</x:v>
      </x:c>
      <x:c r="I198" s="17" t="n">
        <x:f>IF('Control Room'!$B$5="Normal",'Control Room'!$B$7+'Control Room'!$D$7*SQRT(-2*LN(MAX(0.000000000001,G198/2147483647)))*COS(2*PI()*H198/2147483647),'Control Room'!$B$8+('Control Room'!$D$8-'Control Room'!$B$8)*G198/2147483647)</x:f>
        <x:v>855.8688507303789</x:v>
      </x:c>
      <x:c r="J198" s="17" t="n">
        <x:f>IF('Control Room'!$B$5="Normal",'Control Room'!$B$7,('Control Room'!$B$8+'Control Room'!$D$8)/2)+'Control Room'!$B$9*(J197-IF('Control Room'!$B$5="Normal",'Control Room'!$B$7,('Control Room'!$B$8+'Control Room'!$D$8)/2))+SQRT(1-'Control Room'!$B$9^2)*(I198-IF('Control Room'!$B$5="Normal",'Control Room'!$B$7,('Control Room'!$B$8+'Control Room'!$D$8)/2))</x:f>
        <x:v>844.9079110388828</x:v>
      </x:c>
      <x:c r="K198" s="17" t="n">
        <x:f>IF(AND($A198&gt;='Control Room'!$A$13,$A198&lt;'Control Room'!$A$13+'Control Room'!$B$13,'Process'!BL2=1),1+('Control Room'!$C$13-1)*EXP(-0.5*(($A198-'Control Room'!$A$13-('Control Room'!$B$13-1)/2)/MAX(0.5,'Control Room'!$B$13/4))^2),1)*IF(AND($A198&gt;='Control Room'!$A$14,$A198&lt;'Control Room'!$A$14+'Control Room'!$B$14,'Process'!BL3=1),1+('Control Room'!$C$14-1)*EXP(-0.5*(($A198-'Control Room'!$A$14-('Control Room'!$B$14-1)/2)/MAX(0.5,'Control Room'!$B$14/4))^2),1)*IF(AND($A198&gt;='Control Room'!$A$15,$A198&lt;'Control Room'!$A$15+'Control Room'!$B$15,'Process'!BL4=1),1+('Control Room'!$C$15-1)*EXP(-0.5*(($A198-'Control Room'!$A$15-('Control Room'!$B$15-1)/2)/MAX(0.5,'Control Room'!$B$15/4))^2),1)*IF(AND($A198&gt;='Control Room'!$A$16,$A198&lt;'Control Room'!$A$16+'Control Room'!$B$16,'Process'!BL5=1),1+('Control Room'!$C$16-1)*EXP(-0.5*(($A198-'Control Room'!$A$16-('Control Room'!$B$16-1)/2)/MAX(0.5,'Control Room'!$B$16/4))^2),1)</x:f>
        <x:v>1</x:v>
      </x:c>
      <x:c r="L198" s="9" t="n">
        <x:f>MOD(M197*16807,2147483647)</x:f>
        <x:v>1296737048</x:v>
      </x:c>
      <x:c r="M198" s="9" t="n">
        <x:f>MOD(L198*16807,2147483647)</x:f>
        <x:v>1595515980</x:v>
      </x:c>
      <x:c r="N198" s="17" t="n">
        <x:f>IF('Control Room'!$B$5="Normal",'Control Room'!$B$7+'Control Room'!$D$7*SQRT(-2*LN(MAX(0.000000000001,L198/2147483647)))*COS(2*PI()*M198/2147483647),'Control Room'!$B$8+('Control Room'!$D$8-'Control Room'!$B$8)*L198/2147483647)</x:f>
        <x:v>996.0083075821619</x:v>
      </x:c>
      <x:c r="O198" s="17" t="n">
        <x:f>IF('Control Room'!$B$5="Normal",'Control Room'!$B$7,('Control Room'!$B$8+'Control Room'!$D$8)/2)+'Control Room'!$B$9*(O197-IF('Control Room'!$B$5="Normal",'Control Room'!$B$7,('Control Room'!$B$8+'Control Room'!$D$8)/2))+SQRT(1-'Control Room'!$B$9^2)*(N198-IF('Control Room'!$B$5="Normal",'Control Room'!$B$7,('Control Room'!$B$8+'Control Room'!$D$8)/2))</x:f>
        <x:v>940.4305257930549</x:v>
      </x:c>
      <x:c r="P198" s="17" t="n">
        <x:f>IF(AND($A198&gt;='Control Room'!$A$13,$A198&lt;'Control Room'!$A$13+'Control Room'!$B$13,'Process'!BM2=1),1+('Control Room'!$C$13-1)*EXP(-0.5*(($A198-'Control Room'!$A$13-('Control Room'!$B$13-1)/2)/MAX(0.5,'Control Room'!$B$13/4))^2),1)*IF(AND($A198&gt;='Control Room'!$A$14,$A198&lt;'Control Room'!$A$14+'Control Room'!$B$14,'Process'!BM3=1),1+('Control Room'!$C$14-1)*EXP(-0.5*(($A198-'Control Room'!$A$14-('Control Room'!$B$14-1)/2)/MAX(0.5,'Control Room'!$B$14/4))^2),1)*IF(AND($A198&gt;='Control Room'!$A$15,$A198&lt;'Control Room'!$A$15+'Control Room'!$B$15,'Process'!BM4=1),1+('Control Room'!$C$15-1)*EXP(-0.5*(($A198-'Control Room'!$A$15-('Control Room'!$B$15-1)/2)/MAX(0.5,'Control Room'!$B$15/4))^2),1)*IF(AND($A198&gt;='Control Room'!$A$16,$A198&lt;'Control Room'!$A$16+'Control Room'!$B$16,'Process'!BM5=1),1+('Control Room'!$C$16-1)*EXP(-0.5*(($A198-'Control Room'!$A$16-('Control Room'!$B$16-1)/2)/MAX(0.5,'Control Room'!$B$16/4))^2),1)</x:f>
        <x:v>1</x:v>
      </x:c>
      <x:c r="Q198" s="9" t="n">
        <x:f>MOD(R197*16807,2147483647)</x:f>
        <x:v>61190806</x:v>
      </x:c>
      <x:c r="R198" s="9" t="n">
        <x:f>MOD(Q198*16807,2147483647)</x:f>
        <x:v>1936693176</x:v>
      </x:c>
      <x:c r="S198" s="17" t="n">
        <x:f>IF('Control Room'!$B$5="Normal",'Control Room'!$B$7+'Control Room'!$D$7*SQRT(-2*LN(MAX(0.000000000001,Q198/2147483647)))*COS(2*PI()*R198/2147483647),'Control Room'!$B$8+('Control Room'!$D$8-'Control Room'!$B$8)*Q198/2147483647)</x:f>
        <x:v>1195.853422927886</x:v>
      </x:c>
      <x:c r="T198" s="17" t="n">
        <x:f>IF('Control Room'!$B$5="Normal",'Control Room'!$B$7,('Control Room'!$B$8+'Control Room'!$D$8)/2)+'Control Room'!$B$9*(T197-IF('Control Room'!$B$5="Normal",'Control Room'!$B$7,('Control Room'!$B$8+'Control Room'!$D$8)/2))+SQRT(1-'Control Room'!$B$9^2)*(S198-IF('Control Room'!$B$5="Normal",'Control Room'!$B$7,('Control Room'!$B$8+'Control Room'!$D$8)/2))</x:f>
        <x:v>1142.6578919615458</x:v>
      </x:c>
      <x:c r="U198" s="17" t="n">
        <x:f>IF(AND($A198&gt;='Control Room'!$A$13,$A198&lt;'Control Room'!$A$13+'Control Room'!$B$13,'Process'!BN2=1),1+('Control Room'!$C$13-1)*EXP(-0.5*(($A198-'Control Room'!$A$13-('Control Room'!$B$13-1)/2)/MAX(0.5,'Control Room'!$B$13/4))^2),1)*IF(AND($A198&gt;='Control Room'!$A$14,$A198&lt;'Control Room'!$A$14+'Control Room'!$B$14,'Process'!BN3=1),1+('Control Room'!$C$14-1)*EXP(-0.5*(($A198-'Control Room'!$A$14-('Control Room'!$B$14-1)/2)/MAX(0.5,'Control Room'!$B$14/4))^2),1)*IF(AND($A198&gt;='Control Room'!$A$15,$A198&lt;'Control Room'!$A$15+'Control Room'!$B$15,'Process'!BN4=1),1+('Control Room'!$C$15-1)*EXP(-0.5*(($A198-'Control Room'!$A$15-('Control Room'!$B$15-1)/2)/MAX(0.5,'Control Room'!$B$15/4))^2),1)*IF(AND($A198&gt;='Control Room'!$A$16,$A198&lt;'Control Room'!$A$16+'Control Room'!$B$16,'Process'!BN5=1),1+('Control Room'!$C$16-1)*EXP(-0.5*(($A198-'Control Room'!$A$16-('Control Room'!$B$16-1)/2)/MAX(0.5,'Control Room'!$B$16/4))^2),1)</x:f>
        <x:v>1</x:v>
      </x:c>
      <x:c r="V198" s="9" t="n">
        <x:f>MOD(W197*16807,2147483647)</x:f>
        <x:v>973128211</x:v>
      </x:c>
      <x:c r="W198" s="9" t="n">
        <x:f>MOD(V198*16807,2147483647)</x:f>
        <x:v>130386725</x:v>
      </x:c>
      <x:c r="X198" s="17" t="n">
        <x:f>IF('Control Room'!$B$5="Normal",'Control Room'!$B$7+'Control Room'!$D$7*SQRT(-2*LN(MAX(0.000000000001,V198/2147483647)))*COS(2*PI()*W198/2147483647),'Control Room'!$B$8+('Control Room'!$D$8-'Control Room'!$B$8)*V198/2147483647)</x:f>
        <x:v>1105.0975887276402</x:v>
      </x:c>
      <x:c r="Y198" s="17" t="n">
        <x:f>IF('Control Room'!$B$5="Normal",'Control Room'!$B$7,('Control Room'!$B$8+'Control Room'!$D$8)/2)+'Control Room'!$B$9*(Y197-IF('Control Room'!$B$5="Normal",'Control Room'!$B$7,('Control Room'!$B$8+'Control Room'!$D$8)/2))+SQRT(1-'Control Room'!$B$9^2)*(X198-IF('Control Room'!$B$5="Normal",'Control Room'!$B$7,('Control Room'!$B$8+'Control Room'!$D$8)/2))</x:f>
        <x:v>1130.5980640523226</x:v>
      </x:c>
      <x:c r="Z198" s="17" t="n">
        <x:f>IF(AND($A198&gt;='Control Room'!$A$13,$A198&lt;'Control Room'!$A$13+'Control Room'!$B$13,'Process'!BO2=1),1+('Control Room'!$C$13-1)*EXP(-0.5*(($A198-'Control Room'!$A$13-('Control Room'!$B$13-1)/2)/MAX(0.5,'Control Room'!$B$13/4))^2),1)*IF(AND($A198&gt;='Control Room'!$A$14,$A198&lt;'Control Room'!$A$14+'Control Room'!$B$14,'Process'!BO3=1),1+('Control Room'!$C$14-1)*EXP(-0.5*(($A198-'Control Room'!$A$14-('Control Room'!$B$14-1)/2)/MAX(0.5,'Control Room'!$B$14/4))^2),1)*IF(AND($A198&gt;='Control Room'!$A$15,$A198&lt;'Control Room'!$A$15+'Control Room'!$B$15,'Process'!BO4=1),1+('Control Room'!$C$15-1)*EXP(-0.5*(($A198-'Control Room'!$A$15-('Control Room'!$B$15-1)/2)/MAX(0.5,'Control Room'!$B$15/4))^2),1)*IF(AND($A198&gt;='Control Room'!$A$16,$A198&lt;'Control Room'!$A$16+'Control Room'!$B$16,'Process'!BO5=1),1+('Control Room'!$C$16-1)*EXP(-0.5*(($A198-'Control Room'!$A$16-('Control Room'!$B$16-1)/2)/MAX(0.5,'Control Room'!$B$16/4))^2),1)</x:f>
        <x:v>1</x:v>
      </x:c>
      <x:c r="AA198" s="9" t="n">
        <x:f>MOD(AB197*16807,2147483647)</x:f>
        <x:v>1885065616</x:v>
      </x:c>
      <x:c r="AB198" s="9" t="n">
        <x:f>MOD(AA198*16807,2147483647)</x:f>
        <x:v>471563921</x:v>
      </x:c>
      <x:c r="AC198" s="17" t="n">
        <x:f>IF('Control Room'!$B$5="Normal",'Control Room'!$B$7+'Control Room'!$D$7*SQRT(-2*LN(MAX(0.000000000001,AA198/2147483647)))*COS(2*PI()*AB198/2147483647),'Control Room'!$B$8+('Control Room'!$D$8-'Control Room'!$B$8)*AA198/2147483647)</x:f>
        <x:v>1008.7267053022347</x:v>
      </x:c>
      <x:c r="AD198" s="17" t="n">
        <x:f>IF('Control Room'!$B$5="Normal",'Control Room'!$B$7,('Control Room'!$B$8+'Control Room'!$D$8)/2)+'Control Room'!$B$9*(AD197-IF('Control Room'!$B$5="Normal",'Control Room'!$B$7,('Control Room'!$B$8+'Control Room'!$D$8)/2))+SQRT(1-'Control Room'!$B$9^2)*(AC198-IF('Control Room'!$B$5="Normal",'Control Room'!$B$7,('Control Room'!$B$8+'Control Room'!$D$8)/2))</x:f>
        <x:v>1085.8095126882413</x:v>
      </x:c>
      <x:c r="AE198" s="17" t="n">
        <x:f>IF(AND($A198&gt;='Control Room'!$A$13,$A198&lt;'Control Room'!$A$13+'Control Room'!$B$13,'Process'!BP2=1),1+('Control Room'!$C$13-1)*EXP(-0.5*(($A198-'Control Room'!$A$13-('Control Room'!$B$13-1)/2)/MAX(0.5,'Control Room'!$B$13/4))^2),1)*IF(AND($A198&gt;='Control Room'!$A$14,$A198&lt;'Control Room'!$A$14+'Control Room'!$B$14,'Process'!BP3=1),1+('Control Room'!$C$14-1)*EXP(-0.5*(($A198-'Control Room'!$A$14-('Control Room'!$B$14-1)/2)/MAX(0.5,'Control Room'!$B$14/4))^2),1)*IF(AND($A198&gt;='Control Room'!$A$15,$A198&lt;'Control Room'!$A$15+'Control Room'!$B$15,'Process'!BP4=1),1+('Control Room'!$C$15-1)*EXP(-0.5*(($A198-'Control Room'!$A$15-('Control Room'!$B$15-1)/2)/MAX(0.5,'Control Room'!$B$15/4))^2),1)*IF(AND($A198&gt;='Control Room'!$A$16,$A198&lt;'Control Room'!$A$16+'Control Room'!$B$16,'Process'!BP5=1),1+('Control Room'!$C$16-1)*EXP(-0.5*(($A198-'Control Room'!$A$16-('Control Room'!$B$16-1)/2)/MAX(0.5,'Control Room'!$B$16/4))^2),1)</x:f>
        <x:v>1</x:v>
      </x:c>
      <x:c r="AF198" s="9" t="n">
        <x:f>MOD(AG197*16807,2147483647)</x:f>
        <x:v>649519374</x:v>
      </x:c>
      <x:c r="AG198" s="9" t="n">
        <x:f>MOD(AF198*16807,2147483647)</x:f>
        <x:v>812741117</x:v>
      </x:c>
      <x:c r="AH198" s="17" t="n">
        <x:f>IF('Control Room'!$B$5="Normal",'Control Room'!$B$7+'Control Room'!$D$7*SQRT(-2*LN(MAX(0.000000000001,AF198/2147483647)))*COS(2*PI()*AG198/2147483647),'Control Room'!$B$8+('Control Room'!$D$8-'Control Room'!$B$8)*AF198/2147483647)</x:f>
        <x:v>899.464402613195</x:v>
      </x:c>
      <x:c r="AI198" s="17" t="n">
        <x:f>IF('Control Room'!$B$5="Normal",'Control Room'!$B$7,('Control Room'!$B$8+'Control Room'!$D$8)/2)+'Control Room'!$B$9*(AI197-IF('Control Room'!$B$5="Normal",'Control Room'!$B$7,('Control Room'!$B$8+'Control Room'!$D$8)/2))+SQRT(1-'Control Room'!$B$9^2)*(AH198-IF('Control Room'!$B$5="Normal",'Control Room'!$B$7,('Control Room'!$B$8+'Control Room'!$D$8)/2))</x:f>
        <x:v>918.8895883736748</x:v>
      </x:c>
      <x:c r="AJ198" s="17" t="n">
        <x:f>IF(AND($A198&gt;='Control Room'!$A$13,$A198&lt;'Control Room'!$A$13+'Control Room'!$B$13,'Process'!BQ2=1),1+('Control Room'!$C$13-1)*EXP(-0.5*(($A198-'Control Room'!$A$13-('Control Room'!$B$13-1)/2)/MAX(0.5,'Control Room'!$B$13/4))^2),1)*IF(AND($A198&gt;='Control Room'!$A$14,$A198&lt;'Control Room'!$A$14+'Control Room'!$B$14,'Process'!BQ3=1),1+('Control Room'!$C$14-1)*EXP(-0.5*(($A198-'Control Room'!$A$14-('Control Room'!$B$14-1)/2)/MAX(0.5,'Control Room'!$B$14/4))^2),1)*IF(AND($A198&gt;='Control Room'!$A$15,$A198&lt;'Control Room'!$A$15+'Control Room'!$B$15,'Process'!BQ4=1),1+('Control Room'!$C$15-1)*EXP(-0.5*(($A198-'Control Room'!$A$15-('Control Room'!$B$15-1)/2)/MAX(0.5,'Control Room'!$B$15/4))^2),1)*IF(AND($A198&gt;='Control Room'!$A$16,$A198&lt;'Control Room'!$A$16+'Control Room'!$B$16,'Process'!BQ5=1),1+('Control Room'!$C$16-1)*EXP(-0.5*(($A198-'Control Room'!$A$16-('Control Room'!$B$16-1)/2)/MAX(0.5,'Control Room'!$B$16/4))^2),1)</x:f>
        <x:v>1</x:v>
      </x:c>
      <x:c r="AK198" s="9" t="n">
        <x:f>MOD(AL197*16807,2147483647)</x:f>
        <x:v>1561456779</x:v>
      </x:c>
      <x:c r="AL198" s="9" t="n">
        <x:f>MOD(AK198*16807,2147483647)</x:f>
        <x:v>1153918313</x:v>
      </x:c>
      <x:c r="AM198" s="17" t="n">
        <x:f>IF('Control Room'!$B$5="Normal",'Control Room'!$B$7+'Control Room'!$D$7*SQRT(-2*LN(MAX(0.000000000001,AK198/2147483647)))*COS(2*PI()*AL198/2147483647),'Control Room'!$B$8+('Control Room'!$D$8-'Control Room'!$B$8)*AK198/2147483647)</x:f>
        <x:v>930.1168387562035</x:v>
      </x:c>
      <x:c r="AN198" s="17" t="n">
        <x:f>IF('Control Room'!$B$5="Normal",'Control Room'!$B$7,('Control Room'!$B$8+'Control Room'!$D$8)/2)+'Control Room'!$B$9*(AN197-IF('Control Room'!$B$5="Normal",'Control Room'!$B$7,('Control Room'!$B$8+'Control Room'!$D$8)/2))+SQRT(1-'Control Room'!$B$9^2)*(AM198-IF('Control Room'!$B$5="Normal",'Control Room'!$B$7,('Control Room'!$B$8+'Control Room'!$D$8)/2))</x:f>
        <x:v>966.660055319458</x:v>
      </x:c>
      <x:c r="AO198" s="17" t="n">
        <x:f>IF(AND($A198&gt;='Control Room'!$A$13,$A198&lt;'Control Room'!$A$13+'Control Room'!$B$13,'Process'!BR2=1),1+('Control Room'!$C$13-1)*EXP(-0.5*(($A198-'Control Room'!$A$13-('Control Room'!$B$13-1)/2)/MAX(0.5,'Control Room'!$B$13/4))^2),1)*IF(AND($A198&gt;='Control Room'!$A$14,$A198&lt;'Control Room'!$A$14+'Control Room'!$B$14,'Process'!BR3=1),1+('Control Room'!$C$14-1)*EXP(-0.5*(($A198-'Control Room'!$A$14-('Control Room'!$B$14-1)/2)/MAX(0.5,'Control Room'!$B$14/4))^2),1)*IF(AND($A198&gt;='Control Room'!$A$15,$A198&lt;'Control Room'!$A$15+'Control Room'!$B$15,'Process'!BR4=1),1+('Control Room'!$C$15-1)*EXP(-0.5*(($A198-'Control Room'!$A$15-('Control Room'!$B$15-1)/2)/MAX(0.5,'Control Room'!$B$15/4))^2),1)*IF(AND($A198&gt;='Control Room'!$A$16,$A198&lt;'Control Room'!$A$16+'Control Room'!$B$16,'Process'!BR5=1),1+('Control Room'!$C$16-1)*EXP(-0.5*(($A198-'Control Room'!$A$16-('Control Room'!$B$16-1)/2)/MAX(0.5,'Control Room'!$B$16/4))^2),1)</x:f>
        <x:v>1</x:v>
      </x:c>
      <x:c r="AP198" s="9" t="n">
        <x:f>MOD(AQ197*16807,2147483647)</x:f>
        <x:v>325910537</x:v>
      </x:c>
      <x:c r="AQ198" s="9" t="n">
        <x:f>MOD(AP198*16807,2147483647)</x:f>
        <x:v>1495095509</x:v>
      </x:c>
      <x:c r="AR198" s="17" t="n">
        <x:f>IF('Control Room'!$B$5="Normal",'Control Room'!$B$7+'Control Room'!$D$7*SQRT(-2*LN(MAX(0.000000000001,AP198/2147483647)))*COS(2*PI()*AQ198/2147483647),'Control Room'!$B$8+('Control Room'!$D$8-'Control Room'!$B$8)*AP198/2147483647)</x:f>
        <x:v>942.0492373304919</x:v>
      </x:c>
      <x:c r="AS198" s="17" t="n">
        <x:f>IF('Control Room'!$B$5="Normal",'Control Room'!$B$7,('Control Room'!$B$8+'Control Room'!$D$8)/2)+'Control Room'!$B$9*(AS197-IF('Control Room'!$B$5="Normal",'Control Room'!$B$7,('Control Room'!$B$8+'Control Room'!$D$8)/2))+SQRT(1-'Control Room'!$B$9^2)*(AR198-IF('Control Room'!$B$5="Normal",'Control Room'!$B$7,('Control Room'!$B$8+'Control Room'!$D$8)/2))</x:f>
        <x:v>994.648885544715</x:v>
      </x:c>
      <x:c r="AT198" s="17" t="n">
        <x:f>IF(AND($A198&gt;='Control Room'!$A$13,$A198&lt;'Control Room'!$A$13+'Control Room'!$B$13,'Process'!BS2=1),1+('Control Room'!$C$13-1)*EXP(-0.5*(($A198-'Control Room'!$A$13-('Control Room'!$B$13-1)/2)/MAX(0.5,'Control Room'!$B$13/4))^2),1)*IF(AND($A198&gt;='Control Room'!$A$14,$A198&lt;'Control Room'!$A$14+'Control Room'!$B$14,'Process'!BS3=1),1+('Control Room'!$C$14-1)*EXP(-0.5*(($A198-'Control Room'!$A$14-('Control Room'!$B$14-1)/2)/MAX(0.5,'Control Room'!$B$14/4))^2),1)*IF(AND($A198&gt;='Control Room'!$A$15,$A198&lt;'Control Room'!$A$15+'Control Room'!$B$15,'Process'!BS4=1),1+('Control Room'!$C$15-1)*EXP(-0.5*(($A198-'Control Room'!$A$15-('Control Room'!$B$15-1)/2)/MAX(0.5,'Control Room'!$B$15/4))^2),1)*IF(AND($A198&gt;='Control Room'!$A$16,$A198&lt;'Control Room'!$A$16+'Control Room'!$B$16,'Process'!BS5=1),1+('Control Room'!$C$16-1)*EXP(-0.5*(($A198-'Control Room'!$A$16-('Control Room'!$B$16-1)/2)/MAX(0.5,'Control Room'!$B$16/4))^2),1)</x:f>
        <x:v>1</x:v>
      </x:c>
      <x:c r="AU198" s="9" t="n">
        <x:f>MOD(AV197*16807,2147483647)</x:f>
        <x:v>1237847942</x:v>
      </x:c>
      <x:c r="AV198" s="9" t="n">
        <x:f>MOD(AU198*16807,2147483647)</x:f>
        <x:v>1836272705</x:v>
      </x:c>
      <x:c r="AW198" s="17" t="n">
        <x:f>IF('Control Room'!$B$5="Normal",'Control Room'!$B$7+'Control Room'!$D$7*SQRT(-2*LN(MAX(0.000000000001,AU198/2147483647)))*COS(2*PI()*AV198/2147483647),'Control Room'!$B$8+('Control Room'!$D$8-'Control Room'!$B$8)*AU198/2147483647)</x:f>
        <x:v>1057.9405405330147</x:v>
      </x:c>
      <x:c r="AX198" s="17" t="n">
        <x:f>IF('Control Room'!$B$5="Normal",'Control Room'!$B$7,('Control Room'!$B$8+'Control Room'!$D$8)/2)+'Control Room'!$B$9*(AX197-IF('Control Room'!$B$5="Normal",'Control Room'!$B$7,('Control Room'!$B$8+'Control Room'!$D$8)/2))+SQRT(1-'Control Room'!$B$9^2)*(AW198-IF('Control Room'!$B$5="Normal",'Control Room'!$B$7,('Control Room'!$B$8+'Control Room'!$D$8)/2))</x:f>
        <x:v>1041.0168948332214</x:v>
      </x:c>
      <x:c r="AY198" s="17" t="n">
        <x:f>IF(AND($A198&gt;='Control Room'!$A$13,$A198&lt;'Control Room'!$A$13+'Control Room'!$B$13,'Process'!BT2=1),1+('Control Room'!$C$13-1)*EXP(-0.5*(($A198-'Control Room'!$A$13-('Control Room'!$B$13-1)/2)/MAX(0.5,'Control Room'!$B$13/4))^2),1)*IF(AND($A198&gt;='Control Room'!$A$14,$A198&lt;'Control Room'!$A$14+'Control Room'!$B$14,'Process'!BT3=1),1+('Control Room'!$C$14-1)*EXP(-0.5*(($A198-'Control Room'!$A$14-('Control Room'!$B$14-1)/2)/MAX(0.5,'Control Room'!$B$14/4))^2),1)*IF(AND($A198&gt;='Control Room'!$A$15,$A198&lt;'Control Room'!$A$15+'Control Room'!$B$15,'Process'!BT4=1),1+('Control Room'!$C$15-1)*EXP(-0.5*(($A198-'Control Room'!$A$15-('Control Room'!$B$15-1)/2)/MAX(0.5,'Control Room'!$B$15/4))^2),1)*IF(AND($A198&gt;='Control Room'!$A$16,$A198&lt;'Control Room'!$A$16+'Control Room'!$B$16,'Process'!BT5=1),1+('Control Room'!$C$16-1)*EXP(-0.5*(($A198-'Control Room'!$A$16-('Control Room'!$B$16-1)/2)/MAX(0.5,'Control Room'!$B$16/4))^2),1)</x:f>
        <x:v>1</x:v>
      </x:c>
      <x:c r="AZ198" s="9" t="n">
        <x:f>MOD(BA197*16807,2147483647)</x:f>
        <x:v>2301700</x:v>
      </x:c>
      <x:c r="BA198" s="9" t="n">
        <x:f>MOD(AZ198*16807,2147483647)</x:f>
        <x:v>29966254</x:v>
      </x:c>
      <x:c r="BB198" s="17" t="n">
        <x:f>IF('Control Room'!$B$5="Normal",'Control Room'!$B$7+'Control Room'!$D$7*SQRT(-2*LN(MAX(0.000000000001,AZ198/2147483647)))*COS(2*PI()*BA198/2147483647),'Control Room'!$B$8+('Control Room'!$D$8-'Control Room'!$B$8)*AZ198/2147483647)</x:f>
        <x:v>1331.5610464413583</x:v>
      </x:c>
      <x:c r="BC198" s="17" t="n">
        <x:f>IF('Control Room'!$B$5="Normal",'Control Room'!$B$7,('Control Room'!$B$8+'Control Room'!$D$8)/2)+'Control Room'!$B$9*(BC197-IF('Control Room'!$B$5="Normal",'Control Room'!$B$7,('Control Room'!$B$8+'Control Room'!$D$8)/2))+SQRT(1-'Control Room'!$B$9^2)*(BB198-IF('Control Room'!$B$5="Normal",'Control Room'!$B$7,('Control Room'!$B$8+'Control Room'!$D$8)/2))</x:f>
        <x:v>1362.3810699045334</x:v>
      </x:c>
      <x:c r="BD198" s="17" t="n">
        <x:f>IF(AND($A198&gt;='Control Room'!$A$13,$A198&lt;'Control Room'!$A$13+'Control Room'!$B$13,'Process'!BU2=1),1+('Control Room'!$C$13-1)*EXP(-0.5*(($A198-'Control Room'!$A$13-('Control Room'!$B$13-1)/2)/MAX(0.5,'Control Room'!$B$13/4))^2),1)*IF(AND($A198&gt;='Control Room'!$A$14,$A198&lt;'Control Room'!$A$14+'Control Room'!$B$14,'Process'!BU3=1),1+('Control Room'!$C$14-1)*EXP(-0.5*(($A198-'Control Room'!$A$14-('Control Room'!$B$14-1)/2)/MAX(0.5,'Control Room'!$B$14/4))^2),1)*IF(AND($A198&gt;='Control Room'!$A$15,$A198&lt;'Control Room'!$A$15+'Control Room'!$B$15,'Process'!BU4=1),1+('Control Room'!$C$15-1)*EXP(-0.5*(($A198-'Control Room'!$A$15-('Control Room'!$B$15-1)/2)/MAX(0.5,'Control Room'!$B$15/4))^2),1)*IF(AND($A198&gt;='Control Room'!$A$16,$A198&lt;'Control Room'!$A$16+'Control Room'!$B$16,'Process'!BU5=1),1+('Control Room'!$C$16-1)*EXP(-0.5*(($A198-'Control Room'!$A$16-('Control Room'!$B$16-1)/2)/MAX(0.5,'Control Room'!$B$16/4))^2),1)</x:f>
        <x:v>1</x:v>
      </x:c>
      <x:c r="BE198" s="9" t="n">
        <x:f>MOD(BF197*16807,2147483647)</x:f>
        <x:v>914239105</x:v>
      </x:c>
      <x:c r="BF198" s="9" t="n">
        <x:f>MOD(BE198*16807,2147483647)</x:f>
        <x:v>371143450</x:v>
      </x:c>
      <x:c r="BG198" s="17" t="n">
        <x:f>IF('Control Room'!$B$5="Normal",'Control Room'!$B$7+'Control Room'!$D$7*SQRT(-2*LN(MAX(0.000000000001,BE198/2147483647)))*COS(2*PI()*BF198/2147483647),'Control Room'!$B$8+('Control Room'!$D$8-'Control Room'!$B$8)*BE198/2147483647)</x:f>
        <x:v>1054.8235042696858</x:v>
      </x:c>
      <x:c r="BH198" s="17" t="n">
        <x:f>IF('Control Room'!$B$5="Normal",'Control Room'!$B$7,('Control Room'!$B$8+'Control Room'!$D$8)/2)+'Control Room'!$B$9*(BH197-IF('Control Room'!$B$5="Normal",'Control Room'!$B$7,('Control Room'!$B$8+'Control Room'!$D$8)/2))+SQRT(1-'Control Room'!$B$9^2)*(BG198-IF('Control Room'!$B$5="Normal",'Control Room'!$B$7,('Control Room'!$B$8+'Control Room'!$D$8)/2))</x:f>
        <x:v>1110.3674200414623</x:v>
      </x:c>
      <x:c r="BI198" s="17" t="n">
        <x:f>IF(AND($A198&gt;='Control Room'!$A$13,$A198&lt;'Control Room'!$A$13+'Control Room'!$B$13,'Process'!BV2=1),1+('Control Room'!$C$13-1)*EXP(-0.5*(($A198-'Control Room'!$A$13-('Control Room'!$B$13-1)/2)/MAX(0.5,'Control Room'!$B$13/4))^2),1)*IF(AND($A198&gt;='Control Room'!$A$14,$A198&lt;'Control Room'!$A$14+'Control Room'!$B$14,'Process'!BV3=1),1+('Control Room'!$C$14-1)*EXP(-0.5*(($A198-'Control Room'!$A$14-('Control Room'!$B$14-1)/2)/MAX(0.5,'Control Room'!$B$14/4))^2),1)*IF(AND($A198&gt;='Control Room'!$A$15,$A198&lt;'Control Room'!$A$15+'Control Room'!$B$15,'Process'!BV4=1),1+('Control Room'!$C$15-1)*EXP(-0.5*(($A198-'Control Room'!$A$15-('Control Room'!$B$15-1)/2)/MAX(0.5,'Control Room'!$B$15/4))^2),1)*IF(AND($A198&gt;='Control Room'!$A$16,$A198&lt;'Control Room'!$A$16+'Control Room'!$B$16,'Process'!BV5=1),1+('Control Room'!$C$16-1)*EXP(-0.5*(($A198-'Control Room'!$A$16-('Control Room'!$B$16-1)/2)/MAX(0.5,'Control Room'!$B$16/4))^2),1)</x:f>
        <x:v>1</x:v>
      </x:c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Z198" t="str">
        <x:f>IF('Data'!A198="","",TEXT('Data'!A198,"mm-dd"))</x:f>
      </x:c>
    </x:row>
    <x:row r="199" ht="21" customHeight="1">
      <x:c r="A199" s="15" t="n">
        <x:f>'Control Room'!$B$1+197</x:f>
        <x:v>73188</x:v>
      </x:c>
      <x:c r="B199" s="9" t="n">
        <x:f>MOD(C198*16807,2147483647)</x:f>
        <x:v>1588668054</x:v>
      </x:c>
      <x:c r="C199" s="9" t="n">
        <x:f>MOD(B199*16807,2147483647)</x:f>
        <x:v>1079800427</x:v>
      </x:c>
      <x:c r="D199" s="17" t="n">
        <x:f>IF('Control Room'!$B$5="Normal",'Control Room'!$B$7+'Control Room'!$D$7*SQRT(-2*LN(MAX(0.000000000001,B199/2147483647)))*COS(2*PI()*C199/2147483647),'Control Room'!$B$8+('Control Room'!$D$8-'Control Room'!$B$8)*B199/2147483647)</x:f>
        <x:v>930.1347097104032</x:v>
      </x:c>
      <x:c r="E199" s="17" t="n">
        <x:f>IF('Control Room'!$B$5="Normal",'Control Room'!$B$7,('Control Room'!$B$8+'Control Room'!$D$8)/2)+'Control Room'!$B$9*(E198-IF('Control Room'!$B$5="Normal",'Control Room'!$B$7,('Control Room'!$B$8+'Control Room'!$D$8)/2))+SQRT(1-'Control Room'!$B$9^2)*(D199-IF('Control Room'!$B$5="Normal",'Control Room'!$B$7,('Control Room'!$B$8+'Control Room'!$D$8)/2))</x:f>
        <x:v>985.1521890763983</x:v>
      </x:c>
      <x:c r="F199" s="17" t="n">
        <x:f>IF(AND($A199&gt;='Control Room'!$A$13,$A199&lt;'Control Room'!$A$13+'Control Room'!$B$13,'Process'!BK2=1),1+('Control Room'!$C$13-1)*EXP(-0.5*(($A199-'Control Room'!$A$13-('Control Room'!$B$13-1)/2)/MAX(0.5,'Control Room'!$B$13/4))^2),1)*IF(AND($A199&gt;='Control Room'!$A$14,$A199&lt;'Control Room'!$A$14+'Control Room'!$B$14,'Process'!BK3=1),1+('Control Room'!$C$14-1)*EXP(-0.5*(($A199-'Control Room'!$A$14-('Control Room'!$B$14-1)/2)/MAX(0.5,'Control Room'!$B$14/4))^2),1)*IF(AND($A199&gt;='Control Room'!$A$15,$A199&lt;'Control Room'!$A$15+'Control Room'!$B$15,'Process'!BK4=1),1+('Control Room'!$C$15-1)*EXP(-0.5*(($A199-'Control Room'!$A$15-('Control Room'!$B$15-1)/2)/MAX(0.5,'Control Room'!$B$15/4))^2),1)*IF(AND($A199&gt;='Control Room'!$A$16,$A199&lt;'Control Room'!$A$16+'Control Room'!$B$16,'Process'!BK5=1),1+('Control Room'!$C$16-1)*EXP(-0.5*(($A199-'Control Room'!$A$16-('Control Room'!$B$16-1)/2)/MAX(0.5,'Control Room'!$B$16/4))^2),1)</x:f>
        <x:v>1</x:v>
      </x:c>
      <x:c r="G199" s="9" t="n">
        <x:f>MOD(H198*16807,2147483647)</x:f>
        <x:v>1972463736</x:v>
      </x:c>
      <x:c r="H199" s="9" t="n">
        <x:f>MOD(G199*16807,2147483647)</x:f>
        <x:v>492952213</x:v>
      </x:c>
      <x:c r="I199" s="17" t="n">
        <x:f>IF('Control Room'!$B$5="Normal",'Control Room'!$B$7+'Control Room'!$D$7*SQRT(-2*LN(MAX(0.000000000001,G199/2147483647)))*COS(2*PI()*H199/2147483647),'Control Room'!$B$8+('Control Room'!$D$8-'Control Room'!$B$8)*G199/2147483647)</x:f>
        <x:v>1004.7555938703139</x:v>
      </x:c>
      <x:c r="J199" s="17" t="n">
        <x:f>IF('Control Room'!$B$5="Normal",'Control Room'!$B$7,('Control Room'!$B$8+'Control Room'!$D$8)/2)+'Control Room'!$B$9*(J198-IF('Control Room'!$B$5="Normal",'Control Room'!$B$7,('Control Room'!$B$8+'Control Room'!$D$8)/2))+SQRT(1-'Control Room'!$B$9^2)*(I199-IF('Control Room'!$B$5="Normal",'Control Room'!$B$7,('Control Room'!$B$8+'Control Room'!$D$8)/2))</x:f>
        <x:v>882.0041238307351</x:v>
      </x:c>
      <x:c r="K199" s="17" t="n">
        <x:f>IF(AND($A199&gt;='Control Room'!$A$13,$A199&lt;'Control Room'!$A$13+'Control Room'!$B$13,'Process'!BL2=1),1+('Control Room'!$C$13-1)*EXP(-0.5*(($A199-'Control Room'!$A$13-('Control Room'!$B$13-1)/2)/MAX(0.5,'Control Room'!$B$13/4))^2),1)*IF(AND($A199&gt;='Control Room'!$A$14,$A199&lt;'Control Room'!$A$14+'Control Room'!$B$14,'Process'!BL3=1),1+('Control Room'!$C$14-1)*EXP(-0.5*(($A199-'Control Room'!$A$14-('Control Room'!$B$14-1)/2)/MAX(0.5,'Control Room'!$B$14/4))^2),1)*IF(AND($A199&gt;='Control Room'!$A$15,$A199&lt;'Control Room'!$A$15+'Control Room'!$B$15,'Process'!BL4=1),1+('Control Room'!$C$15-1)*EXP(-0.5*(($A199-'Control Room'!$A$15-('Control Room'!$B$15-1)/2)/MAX(0.5,'Control Room'!$B$15/4))^2),1)*IF(AND($A199&gt;='Control Room'!$A$16,$A199&lt;'Control Room'!$A$16+'Control Room'!$B$16,'Process'!BL5=1),1+('Control Room'!$C$16-1)*EXP(-0.5*(($A199-'Control Room'!$A$16-('Control Room'!$B$16-1)/2)/MAX(0.5,'Control Room'!$B$16/4))^2),1)</x:f>
        <x:v>1</x:v>
      </x:c>
      <x:c r="L199" s="9" t="n">
        <x:f>MOD(M198*16807,2147483647)</x:f>
        <x:v>208775771</x:v>
      </x:c>
      <x:c r="M199" s="9" t="n">
        <x:f>MOD(L199*16807,2147483647)</x:f>
        <x:v>2053587646</x:v>
      </x:c>
      <x:c r="N199" s="17" t="n">
        <x:f>IF('Control Room'!$B$5="Normal",'Control Room'!$B$7+'Control Room'!$D$7*SQRT(-2*LN(MAX(0.000000000001,L199/2147483647)))*COS(2*PI()*M199/2147483647),'Control Room'!$B$8+('Control Room'!$D$8-'Control Room'!$B$8)*L199/2147483647)</x:f>
        <x:v>1187.0294269267865</x:v>
      </x:c>
      <x:c r="O199" s="17" t="n">
        <x:f>IF('Control Room'!$B$5="Normal",'Control Room'!$B$7,('Control Room'!$B$8+'Control Room'!$D$8)/2)+'Control Room'!$B$9*(O198-IF('Control Room'!$B$5="Normal",'Control Room'!$B$7,('Control Room'!$B$8+'Control Room'!$D$8)/2))+SQRT(1-'Control Room'!$B$9^2)*(N199-IF('Control Room'!$B$5="Normal",'Control Room'!$B$7,('Control Room'!$B$8+'Control Room'!$D$8)/2))</x:f>
        <x:v>1070.5749939832945</x:v>
      </x:c>
      <x:c r="P199" s="17" t="n">
        <x:f>IF(AND($A199&gt;='Control Room'!$A$13,$A199&lt;'Control Room'!$A$13+'Control Room'!$B$13,'Process'!BM2=1),1+('Control Room'!$C$13-1)*EXP(-0.5*(($A199-'Control Room'!$A$13-('Control Room'!$B$13-1)/2)/MAX(0.5,'Control Room'!$B$13/4))^2),1)*IF(AND($A199&gt;='Control Room'!$A$14,$A199&lt;'Control Room'!$A$14+'Control Room'!$B$14,'Process'!BM3=1),1+('Control Room'!$C$14-1)*EXP(-0.5*(($A199-'Control Room'!$A$14-('Control Room'!$B$14-1)/2)/MAX(0.5,'Control Room'!$B$14/4))^2),1)*IF(AND($A199&gt;='Control Room'!$A$15,$A199&lt;'Control Room'!$A$15+'Control Room'!$B$15,'Process'!BM4=1),1+('Control Room'!$C$15-1)*EXP(-0.5*(($A199-'Control Room'!$A$15-('Control Room'!$B$15-1)/2)/MAX(0.5,'Control Room'!$B$15/4))^2),1)*IF(AND($A199&gt;='Control Room'!$A$16,$A199&lt;'Control Room'!$A$16+'Control Room'!$B$16,'Process'!BM5=1),1+('Control Room'!$C$16-1)*EXP(-0.5*(($A199-'Control Room'!$A$16-('Control Room'!$B$16-1)/2)/MAX(0.5,'Control Room'!$B$16/4))^2),1)</x:f>
        <x:v>1</x:v>
      </x:c>
      <x:c r="Q199" s="9" t="n">
        <x:f>MOD(R198*16807,2147483647)</x:f>
        <x:v>592571453</x:v>
      </x:c>
      <x:c r="R199" s="9" t="n">
        <x:f>MOD(Q199*16807,2147483647)</x:f>
        <x:v>1466739432</x:v>
      </x:c>
      <x:c r="S199" s="17" t="n">
        <x:f>IF('Control Room'!$B$5="Normal",'Control Room'!$B$7+'Control Room'!$D$7*SQRT(-2*LN(MAX(0.000000000001,Q199/2147483647)))*COS(2*PI()*R199/2147483647),'Control Room'!$B$8+('Control Room'!$D$8-'Control Room'!$B$8)*Q199/2147483647)</x:f>
        <x:v>940.9836638361477</x:v>
      </x:c>
      <x:c r="T199" s="17" t="n">
        <x:f>IF('Control Room'!$B$5="Normal",'Control Room'!$B$7,('Control Room'!$B$8+'Control Room'!$D$8)/2)+'Control Room'!$B$9*(T198-IF('Control Room'!$B$5="Normal",'Control Room'!$B$7,('Control Room'!$B$8+'Control Room'!$D$8)/2))+SQRT(1-'Control Room'!$B$9^2)*(S199-IF('Control Room'!$B$5="Normal",'Control Room'!$B$7,('Control Room'!$B$8+'Control Room'!$D$8)/2))</x:f>
        <x:v>1074.341941574029</x:v>
      </x:c>
      <x:c r="U199" s="17" t="n">
        <x:f>IF(AND($A199&gt;='Control Room'!$A$13,$A199&lt;'Control Room'!$A$13+'Control Room'!$B$13,'Process'!BN2=1),1+('Control Room'!$C$13-1)*EXP(-0.5*(($A199-'Control Room'!$A$13-('Control Room'!$B$13-1)/2)/MAX(0.5,'Control Room'!$B$13/4))^2),1)*IF(AND($A199&gt;='Control Room'!$A$14,$A199&lt;'Control Room'!$A$14+'Control Room'!$B$14,'Process'!BN3=1),1+('Control Room'!$C$14-1)*EXP(-0.5*(($A199-'Control Room'!$A$14-('Control Room'!$B$14-1)/2)/MAX(0.5,'Control Room'!$B$14/4))^2),1)*IF(AND($A199&gt;='Control Room'!$A$15,$A199&lt;'Control Room'!$A$15+'Control Room'!$B$15,'Process'!BN4=1),1+('Control Room'!$C$15-1)*EXP(-0.5*(($A199-'Control Room'!$A$15-('Control Room'!$B$15-1)/2)/MAX(0.5,'Control Room'!$B$15/4))^2),1)*IF(AND($A199&gt;='Control Room'!$A$16,$A199&lt;'Control Room'!$A$16+'Control Room'!$B$16,'Process'!BN5=1),1+('Control Room'!$C$16-1)*EXP(-0.5*(($A199-'Control Room'!$A$16-('Control Room'!$B$16-1)/2)/MAX(0.5,'Control Room'!$B$16/4))^2),1)</x:f>
        <x:v>1</x:v>
      </x:c>
      <x:c r="V199" s="9" t="n">
        <x:f>MOD(W198*16807,2147483647)</x:f>
        <x:v>976367135</x:v>
      </x:c>
      <x:c r="W199" s="9" t="n">
        <x:f>MOD(V199*16807,2147483647)</x:f>
        <x:v>879891218</x:v>
      </x:c>
      <x:c r="X199" s="17" t="n">
        <x:f>IF('Control Room'!$B$5="Normal",'Control Room'!$B$7+'Control Room'!$D$7*SQRT(-2*LN(MAX(0.000000000001,V199/2147483647)))*COS(2*PI()*W199/2147483647),'Control Room'!$B$8+('Control Room'!$D$8-'Control Room'!$B$8)*V199/2147483647)</x:f>
        <x:v>904.6931017408032</x:v>
      </x:c>
      <x:c r="Y199" s="17" t="n">
        <x:f>IF('Control Room'!$B$5="Normal",'Control Room'!$B$7,('Control Room'!$B$8+'Control Room'!$D$8)/2)+'Control Room'!$B$9*(Y198-IF('Control Room'!$B$5="Normal",'Control Room'!$B$7,('Control Room'!$B$8+'Control Room'!$D$8)/2))+SQRT(1-'Control Room'!$B$9^2)*(X199-IF('Control Room'!$B$5="Normal",'Control Room'!$B$7,('Control Room'!$B$8+'Control Room'!$D$8)/2))</x:f>
        <x:v>1042.2253854981432</x:v>
      </x:c>
      <x:c r="Z199" s="17" t="n">
        <x:f>IF(AND($A199&gt;='Control Room'!$A$13,$A199&lt;'Control Room'!$A$13+'Control Room'!$B$13,'Process'!BO2=1),1+('Control Room'!$C$13-1)*EXP(-0.5*(($A199-'Control Room'!$A$13-('Control Room'!$B$13-1)/2)/MAX(0.5,'Control Room'!$B$13/4))^2),1)*IF(AND($A199&gt;='Control Room'!$A$14,$A199&lt;'Control Room'!$A$14+'Control Room'!$B$14,'Process'!BO3=1),1+('Control Room'!$C$14-1)*EXP(-0.5*(($A199-'Control Room'!$A$14-('Control Room'!$B$14-1)/2)/MAX(0.5,'Control Room'!$B$14/4))^2),1)*IF(AND($A199&gt;='Control Room'!$A$15,$A199&lt;'Control Room'!$A$15+'Control Room'!$B$15,'Process'!BO4=1),1+('Control Room'!$C$15-1)*EXP(-0.5*(($A199-'Control Room'!$A$15-('Control Room'!$B$15-1)/2)/MAX(0.5,'Control Room'!$B$15/4))^2),1)*IF(AND($A199&gt;='Control Room'!$A$16,$A199&lt;'Control Room'!$A$16+'Control Room'!$B$16,'Process'!BO5=1),1+('Control Room'!$C$16-1)*EXP(-0.5*(($A199-'Control Room'!$A$16-('Control Room'!$B$16-1)/2)/MAX(0.5,'Control Room'!$B$16/4))^2),1)</x:f>
        <x:v>1</x:v>
      </x:c>
      <x:c r="AA199" s="9" t="n">
        <x:f>MOD(AB198*16807,2147483647)</x:f>
        <x:v>1360162817</x:v>
      </x:c>
      <x:c r="AB199" s="9" t="n">
        <x:f>MOD(AA199*16807,2147483647)</x:f>
        <x:v>293043004</x:v>
      </x:c>
      <x:c r="AC199" s="17" t="n">
        <x:f>IF('Control Room'!$B$5="Normal",'Control Room'!$B$7+'Control Room'!$D$7*SQRT(-2*LN(MAX(0.000000000001,AA199/2147483647)))*COS(2*PI()*AB199/2147483647),'Control Room'!$B$8+('Control Room'!$D$8-'Control Room'!$B$8)*AA199/2147483647)</x:f>
        <x:v>1056.2883496119</x:v>
      </x:c>
      <x:c r="AD199" s="17" t="n">
        <x:f>IF('Control Room'!$B$5="Normal",'Control Room'!$B$7,('Control Room'!$B$8+'Control Room'!$D$8)/2)+'Control Room'!$B$9*(AD198-IF('Control Room'!$B$5="Normal",'Control Room'!$B$7,('Control Room'!$B$8+'Control Room'!$D$8)/2))+SQRT(1-'Control Room'!$B$9^2)*(AC199-IF('Control Room'!$B$5="Normal",'Control Room'!$B$7,('Control Room'!$B$8+'Control Room'!$D$8)/2))</x:f>
        <x:v>1102.1555159544353</x:v>
      </x:c>
      <x:c r="AE199" s="17" t="n">
        <x:f>IF(AND($A199&gt;='Control Room'!$A$13,$A199&lt;'Control Room'!$A$13+'Control Room'!$B$13,'Process'!BP2=1),1+('Control Room'!$C$13-1)*EXP(-0.5*(($A199-'Control Room'!$A$13-('Control Room'!$B$13-1)/2)/MAX(0.5,'Control Room'!$B$13/4))^2),1)*IF(AND($A199&gt;='Control Room'!$A$14,$A199&lt;'Control Room'!$A$14+'Control Room'!$B$14,'Process'!BP3=1),1+('Control Room'!$C$14-1)*EXP(-0.5*(($A199-'Control Room'!$A$14-('Control Room'!$B$14-1)/2)/MAX(0.5,'Control Room'!$B$14/4))^2),1)*IF(AND($A199&gt;='Control Room'!$A$15,$A199&lt;'Control Room'!$A$15+'Control Room'!$B$15,'Process'!BP4=1),1+('Control Room'!$C$15-1)*EXP(-0.5*(($A199-'Control Room'!$A$15-('Control Room'!$B$15-1)/2)/MAX(0.5,'Control Room'!$B$15/4))^2),1)*IF(AND($A199&gt;='Control Room'!$A$16,$A199&lt;'Control Room'!$A$16+'Control Room'!$B$16,'Process'!BP5=1),1+('Control Room'!$C$16-1)*EXP(-0.5*(($A199-'Control Room'!$A$16-('Control Room'!$B$16-1)/2)/MAX(0.5,'Control Room'!$B$16/4))^2),1)</x:f>
        <x:v>1</x:v>
      </x:c>
      <x:c r="AF199" s="9" t="n">
        <x:f>MOD(AG198*16807,2147483647)</x:f>
        <x:v>1743958499</x:v>
      </x:c>
      <x:c r="AG199" s="9" t="n">
        <x:f>MOD(AF199*16807,2147483647)</x:f>
        <x:v>1853678437</x:v>
      </x:c>
      <x:c r="AH199" s="17" t="n">
        <x:f>IF('Control Room'!$B$5="Normal",'Control Room'!$B$7+'Control Room'!$D$7*SQRT(-2*LN(MAX(0.000000000001,AF199/2147483647)))*COS(2*PI()*AG199/2147483647),'Control Room'!$B$8+('Control Room'!$D$8-'Control Room'!$B$8)*AF199/2147483647)</x:f>
        <x:v>1037.9019903251196</x:v>
      </x:c>
      <x:c r="AI199" s="17" t="n">
        <x:f>IF('Control Room'!$B$5="Normal",'Control Room'!$B$7,('Control Room'!$B$8+'Control Room'!$D$8)/2)+'Control Room'!$B$9*(AI198-IF('Control Room'!$B$5="Normal",'Control Room'!$B$7,('Control Room'!$B$8+'Control Room'!$D$8)/2))+SQRT(1-'Control Room'!$B$9^2)*(AH199-IF('Control Room'!$B$5="Normal",'Control Room'!$B$7,('Control Room'!$B$8+'Control Room'!$D$8)/2))</x:f>
        <x:v>960.4521680124498</x:v>
      </x:c>
      <x:c r="AJ199" s="17" t="n">
        <x:f>IF(AND($A199&gt;='Control Room'!$A$13,$A199&lt;'Control Room'!$A$13+'Control Room'!$B$13,'Process'!BQ2=1),1+('Control Room'!$C$13-1)*EXP(-0.5*(($A199-'Control Room'!$A$13-('Control Room'!$B$13-1)/2)/MAX(0.5,'Control Room'!$B$13/4))^2),1)*IF(AND($A199&gt;='Control Room'!$A$14,$A199&lt;'Control Room'!$A$14+'Control Room'!$B$14,'Process'!BQ3=1),1+('Control Room'!$C$14-1)*EXP(-0.5*(($A199-'Control Room'!$A$14-('Control Room'!$B$14-1)/2)/MAX(0.5,'Control Room'!$B$14/4))^2),1)*IF(AND($A199&gt;='Control Room'!$A$15,$A199&lt;'Control Room'!$A$15+'Control Room'!$B$15,'Process'!BQ4=1),1+('Control Room'!$C$15-1)*EXP(-0.5*(($A199-'Control Room'!$A$15-('Control Room'!$B$15-1)/2)/MAX(0.5,'Control Room'!$B$15/4))^2),1)*IF(AND($A199&gt;='Control Room'!$A$16,$A199&lt;'Control Room'!$A$16+'Control Room'!$B$16,'Process'!BQ5=1),1+('Control Room'!$C$16-1)*EXP(-0.5*(($A199-'Control Room'!$A$16-('Control Room'!$B$16-1)/2)/MAX(0.5,'Control Room'!$B$16/4))^2),1)</x:f>
        <x:v>1</x:v>
      </x:c>
      <x:c r="AK199" s="9" t="n">
        <x:f>MOD(AL198*16807,2147483647)</x:f>
        <x:v>2127754181</x:v>
      </x:c>
      <x:c r="AL199" s="9" t="n">
        <x:f>MOD(AK199*16807,2147483647)</x:f>
        <x:v>1266830223</x:v>
      </x:c>
      <x:c r="AM199" s="17" t="n">
        <x:f>IF('Control Room'!$B$5="Normal",'Control Room'!$B$7+'Control Room'!$D$7*SQRT(-2*LN(MAX(0.000000000001,AK199/2147483647)))*COS(2*PI()*AL199/2147483647),'Control Room'!$B$8+('Control Room'!$D$8-'Control Room'!$B$8)*AK199/2147483647)</x:f>
        <x:v>989.6721023994357</x:v>
      </x:c>
      <x:c r="AN199" s="17" t="n">
        <x:f>IF('Control Room'!$B$5="Normal",'Control Room'!$B$7,('Control Room'!$B$8+'Control Room'!$D$8)/2)+'Control Room'!$B$9*(AN198-IF('Control Room'!$B$5="Normal",'Control Room'!$B$7,('Control Room'!$B$8+'Control Room'!$D$8)/2))+SQRT(1-'Control Room'!$B$9^2)*(AM199-IF('Control Room'!$B$5="Normal",'Control Room'!$B$7,('Control Room'!$B$8+'Control Room'!$D$8)/2))</x:f>
        <x:v>967.5318564092269</x:v>
      </x:c>
      <x:c r="AO199" s="17" t="n">
        <x:f>IF(AND($A199&gt;='Control Room'!$A$13,$A199&lt;'Control Room'!$A$13+'Control Room'!$B$13,'Process'!BR2=1),1+('Control Room'!$C$13-1)*EXP(-0.5*(($A199-'Control Room'!$A$13-('Control Room'!$B$13-1)/2)/MAX(0.5,'Control Room'!$B$13/4))^2),1)*IF(AND($A199&gt;='Control Room'!$A$14,$A199&lt;'Control Room'!$A$14+'Control Room'!$B$14,'Process'!BR3=1),1+('Control Room'!$C$14-1)*EXP(-0.5*(($A199-'Control Room'!$A$14-('Control Room'!$B$14-1)/2)/MAX(0.5,'Control Room'!$B$14/4))^2),1)*IF(AND($A199&gt;='Control Room'!$A$15,$A199&lt;'Control Room'!$A$15+'Control Room'!$B$15,'Process'!BR4=1),1+('Control Room'!$C$15-1)*EXP(-0.5*(($A199-'Control Room'!$A$15-('Control Room'!$B$15-1)/2)/MAX(0.5,'Control Room'!$B$15/4))^2),1)*IF(AND($A199&gt;='Control Room'!$A$16,$A199&lt;'Control Room'!$A$16+'Control Room'!$B$16,'Process'!BR5=1),1+('Control Room'!$C$16-1)*EXP(-0.5*(($A199-'Control Room'!$A$16-('Control Room'!$B$16-1)/2)/MAX(0.5,'Control Room'!$B$16/4))^2),1)</x:f>
        <x:v>1</x:v>
      </x:c>
      <x:c r="AP199" s="9" t="n">
        <x:f>MOD(AQ198*16807,2147483647)</x:f>
        <x:v>364066216</x:v>
      </x:c>
      <x:c r="AQ199" s="9" t="n">
        <x:f>MOD(AP199*16807,2147483647)</x:f>
        <x:v>679982009</x:v>
      </x:c>
      <x:c r="AR199" s="17" t="n">
        <x:f>IF('Control Room'!$B$5="Normal",'Control Room'!$B$7+'Control Room'!$D$7*SQRT(-2*LN(MAX(0.000000000001,AP199/2147483647)))*COS(2*PI()*AQ199/2147483647),'Control Room'!$B$8+('Control Room'!$D$8-'Control Room'!$B$8)*AP199/2147483647)</x:f>
        <x:v>931.0586541565202</x:v>
      </x:c>
      <x:c r="AS199" s="17" t="n">
        <x:f>IF('Control Room'!$B$5="Normal",'Control Room'!$B$7,('Control Room'!$B$8+'Control Room'!$D$8)/2)+'Control Room'!$B$9*(AS198-IF('Control Room'!$B$5="Normal",'Control Room'!$B$7,('Control Room'!$B$8+'Control Room'!$D$8)/2))+SQRT(1-'Control Room'!$B$9^2)*(AR199-IF('Control Room'!$B$5="Normal",'Control Room'!$B$7,('Control Room'!$B$8+'Control Room'!$D$8)/2))</x:f>
        <x:v>952.6840488362651</x:v>
      </x:c>
      <x:c r="AT199" s="17" t="n">
        <x:f>IF(AND($A199&gt;='Control Room'!$A$13,$A199&lt;'Control Room'!$A$13+'Control Room'!$B$13,'Process'!BS2=1),1+('Control Room'!$C$13-1)*EXP(-0.5*(($A199-'Control Room'!$A$13-('Control Room'!$B$13-1)/2)/MAX(0.5,'Control Room'!$B$13/4))^2),1)*IF(AND($A199&gt;='Control Room'!$A$14,$A199&lt;'Control Room'!$A$14+'Control Room'!$B$14,'Process'!BS3=1),1+('Control Room'!$C$14-1)*EXP(-0.5*(($A199-'Control Room'!$A$14-('Control Room'!$B$14-1)/2)/MAX(0.5,'Control Room'!$B$14/4))^2),1)*IF(AND($A199&gt;='Control Room'!$A$15,$A199&lt;'Control Room'!$A$15+'Control Room'!$B$15,'Process'!BS4=1),1+('Control Room'!$C$15-1)*EXP(-0.5*(($A199-'Control Room'!$A$15-('Control Room'!$B$15-1)/2)/MAX(0.5,'Control Room'!$B$15/4))^2),1)*IF(AND($A199&gt;='Control Room'!$A$16,$A199&lt;'Control Room'!$A$16+'Control Room'!$B$16,'Process'!BS5=1),1+('Control Room'!$C$16-1)*EXP(-0.5*(($A199-'Control Room'!$A$16-('Control Room'!$B$16-1)/2)/MAX(0.5,'Control Room'!$B$16/4))^2),1)</x:f>
        <x:v>1</x:v>
      </x:c>
      <x:c r="AU199" s="9" t="n">
        <x:f>MOD(AV198*16807,2147483647)</x:f>
        <x:v>747861898</x:v>
      </x:c>
      <x:c r="AV199" s="9" t="n">
        <x:f>MOD(AU199*16807,2147483647)</x:f>
        <x:v>93133795</x:v>
      </x:c>
      <x:c r="AW199" s="17" t="n">
        <x:f>IF('Control Room'!$B$5="Normal",'Control Room'!$B$7+'Control Room'!$D$7*SQRT(-2*LN(MAX(0.000000000001,AU199/2147483647)))*COS(2*PI()*AV199/2147483647),'Control Room'!$B$8+('Control Room'!$D$8-'Control Room'!$B$8)*AU199/2147483647)</x:f>
        <x:v>1125.8989380617513</x:v>
      </x:c>
      <x:c r="AX199" s="17" t="n">
        <x:f>IF('Control Room'!$B$5="Normal",'Control Room'!$B$7,('Control Room'!$B$8+'Control Room'!$D$8)/2)+'Control Room'!$B$9*(AX198-IF('Control Room'!$B$5="Normal",'Control Room'!$B$7,('Control Room'!$B$8+'Control Room'!$D$8)/2))+SQRT(1-'Control Room'!$B$9^2)*(AW199-IF('Control Room'!$B$5="Normal",'Control Room'!$B$7,('Control Room'!$B$8+'Control Room'!$D$8)/2))</x:f>
        <x:v>1110.7781542290195</x:v>
      </x:c>
      <x:c r="AY199" s="17" t="n">
        <x:f>IF(AND($A199&gt;='Control Room'!$A$13,$A199&lt;'Control Room'!$A$13+'Control Room'!$B$13,'Process'!BT2=1),1+('Control Room'!$C$13-1)*EXP(-0.5*(($A199-'Control Room'!$A$13-('Control Room'!$B$13-1)/2)/MAX(0.5,'Control Room'!$B$13/4))^2),1)*IF(AND($A199&gt;='Control Room'!$A$14,$A199&lt;'Control Room'!$A$14+'Control Room'!$B$14,'Process'!BT3=1),1+('Control Room'!$C$14-1)*EXP(-0.5*(($A199-'Control Room'!$A$14-('Control Room'!$B$14-1)/2)/MAX(0.5,'Control Room'!$B$14/4))^2),1)*IF(AND($A199&gt;='Control Room'!$A$15,$A199&lt;'Control Room'!$A$15+'Control Room'!$B$15,'Process'!BT4=1),1+('Control Room'!$C$15-1)*EXP(-0.5*(($A199-'Control Room'!$A$15-('Control Room'!$B$15-1)/2)/MAX(0.5,'Control Room'!$B$15/4))^2),1)*IF(AND($A199&gt;='Control Room'!$A$16,$A199&lt;'Control Room'!$A$16+'Control Room'!$B$16,'Process'!BT5=1),1+('Control Room'!$C$16-1)*EXP(-0.5*(($A199-'Control Room'!$A$16-('Control Room'!$B$16-1)/2)/MAX(0.5,'Control Room'!$B$16/4))^2),1)</x:f>
        <x:v>1</x:v>
      </x:c>
      <x:c r="AZ199" s="9" t="n">
        <x:f>MOD(BA198*16807,2147483647)</x:f>
        <x:v>1131657580</x:v>
      </x:c>
      <x:c r="BA199" s="9" t="n">
        <x:f>MOD(AZ199*16807,2147483647)</x:f>
        <x:v>1653769228</x:v>
      </x:c>
      <x:c r="BB199" s="17" t="n">
        <x:f>IF('Control Room'!$B$5="Normal",'Control Room'!$B$7+'Control Room'!$D$7*SQRT(-2*LN(MAX(0.000000000001,AZ199/2147483647)))*COS(2*PI()*BA199/2147483647),'Control Room'!$B$8+('Control Room'!$D$8-'Control Room'!$B$8)*AZ199/2147483647)</x:f>
        <x:v>1012.8291229933141</x:v>
      </x:c>
      <x:c r="BC199" s="17" t="n">
        <x:f>IF('Control Room'!$B$5="Normal",'Control Room'!$B$7,('Control Room'!$B$8+'Control Room'!$D$8)/2)+'Control Room'!$B$9*(BC198-IF('Control Room'!$B$5="Normal",'Control Room'!$B$7,('Control Room'!$B$8+'Control Room'!$D$8)/2))+SQRT(1-'Control Room'!$B$9^2)*(BB199-IF('Control Room'!$B$5="Normal",'Control Room'!$B$7,('Control Room'!$B$8+'Control Room'!$D$8)/2))</x:f>
        <x:v>1290.685436875882</x:v>
      </x:c>
      <x:c r="BD199" s="17" t="n">
        <x:f>IF(AND($A199&gt;='Control Room'!$A$13,$A199&lt;'Control Room'!$A$13+'Control Room'!$B$13,'Process'!BU2=1),1+('Control Room'!$C$13-1)*EXP(-0.5*(($A199-'Control Room'!$A$13-('Control Room'!$B$13-1)/2)/MAX(0.5,'Control Room'!$B$13/4))^2),1)*IF(AND($A199&gt;='Control Room'!$A$14,$A199&lt;'Control Room'!$A$14+'Control Room'!$B$14,'Process'!BU3=1),1+('Control Room'!$C$14-1)*EXP(-0.5*(($A199-'Control Room'!$A$14-('Control Room'!$B$14-1)/2)/MAX(0.5,'Control Room'!$B$14/4))^2),1)*IF(AND($A199&gt;='Control Room'!$A$15,$A199&lt;'Control Room'!$A$15+'Control Room'!$B$15,'Process'!BU4=1),1+('Control Room'!$C$15-1)*EXP(-0.5*(($A199-'Control Room'!$A$15-('Control Room'!$B$15-1)/2)/MAX(0.5,'Control Room'!$B$15/4))^2),1)*IF(AND($A199&gt;='Control Room'!$A$16,$A199&lt;'Control Room'!$A$16+'Control Room'!$B$16,'Process'!BU5=1),1+('Control Room'!$C$16-1)*EXP(-0.5*(($A199-'Control Room'!$A$16-('Control Room'!$B$16-1)/2)/MAX(0.5,'Control Room'!$B$16/4))^2),1)</x:f>
        <x:v>1</x:v>
      </x:c>
      <x:c r="BE199" s="9" t="n">
        <x:f>MOD(BF198*16807,2147483647)</x:f>
        <x:v>1515453262</x:v>
      </x:c>
      <x:c r="BF199" s="9" t="n">
        <x:f>MOD(BE199*16807,2147483647)</x:f>
        <x:v>1066921014</x:v>
      </x:c>
      <x:c r="BG199" s="17" t="n">
        <x:f>IF('Control Room'!$B$5="Normal",'Control Room'!$B$7+'Control Room'!$D$7*SQRT(-2*LN(MAX(0.000000000001,BE199/2147483647)))*COS(2*PI()*BF199/2147483647),'Control Room'!$B$8+('Control Room'!$D$8-'Control Room'!$B$8)*BE199/2147483647)</x:f>
        <x:v>924.8682314330313</x:v>
      </x:c>
      <x:c r="BH199" s="17" t="n">
        <x:f>IF('Control Room'!$B$5="Normal",'Control Room'!$B$7,('Control Room'!$B$8+'Control Room'!$D$8)/2)+'Control Room'!$B$9*(BH198-IF('Control Room'!$B$5="Normal",'Control Room'!$B$7,('Control Room'!$B$8+'Control Room'!$D$8)/2))+SQRT(1-'Control Room'!$B$9^2)*(BG199-IF('Control Room'!$B$5="Normal",'Control Room'!$B$7,('Control Room'!$B$8+'Control Room'!$D$8)/2))</x:f>
        <x:v>1039.0706660210712</x:v>
      </x:c>
      <x:c r="BI199" s="17" t="n">
        <x:f>IF(AND($A199&gt;='Control Room'!$A$13,$A199&lt;'Control Room'!$A$13+'Control Room'!$B$13,'Process'!BV2=1),1+('Control Room'!$C$13-1)*EXP(-0.5*(($A199-'Control Room'!$A$13-('Control Room'!$B$13-1)/2)/MAX(0.5,'Control Room'!$B$13/4))^2),1)*IF(AND($A199&gt;='Control Room'!$A$14,$A199&lt;'Control Room'!$A$14+'Control Room'!$B$14,'Process'!BV3=1),1+('Control Room'!$C$14-1)*EXP(-0.5*(($A199-'Control Room'!$A$14-('Control Room'!$B$14-1)/2)/MAX(0.5,'Control Room'!$B$14/4))^2),1)*IF(AND($A199&gt;='Control Room'!$A$15,$A199&lt;'Control Room'!$A$15+'Control Room'!$B$15,'Process'!BV4=1),1+('Control Room'!$C$15-1)*EXP(-0.5*(($A199-'Control Room'!$A$15-('Control Room'!$B$15-1)/2)/MAX(0.5,'Control Room'!$B$15/4))^2),1)*IF(AND($A199&gt;='Control Room'!$A$16,$A199&lt;'Control Room'!$A$16+'Control Room'!$B$16,'Process'!BV5=1),1+('Control Room'!$C$16-1)*EXP(-0.5*(($A199-'Control Room'!$A$16-('Control Room'!$B$16-1)/2)/MAX(0.5,'Control Room'!$B$16/4))^2),1)</x:f>
        <x:v>1</x:v>
      </x:c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Z199" t="str">
        <x:f>IF('Data'!A199="","",TEXT('Data'!A199,"mm-dd"))</x:f>
      </x:c>
    </x:row>
    <x:row r="200" ht="21" customHeight="1">
      <x:c r="A200" s="15" t="n">
        <x:f>'Control Room'!$B$1+198</x:f>
        <x:v>73189</x:v>
      </x:c>
      <x:c r="B200" s="9" t="n">
        <x:f>MOD(C199*16807,2147483647)</x:f>
        <x:v>1968959439</x:v>
      </x:c>
      <x:c r="C200" s="9" t="n">
        <x:f>MOD(B200*16807,2147483647)</x:f>
        <x:v>1725774650</x:v>
      </x:c>
      <x:c r="D200" s="17" t="n">
        <x:f>IF('Control Room'!$B$5="Normal",'Control Room'!$B$7+'Control Room'!$D$7*SQRT(-2*LN(MAX(0.000000000001,B200/2147483647)))*COS(2*PI()*C200/2147483647),'Control Room'!$B$8+('Control Room'!$D$8-'Control Room'!$B$8)*B200/2147483647)</x:f>
        <x:v>1012.396700244865</x:v>
      </x:c>
      <x:c r="E200" s="17" t="n">
        <x:f>IF('Control Room'!$B$5="Normal",'Control Room'!$B$7,('Control Room'!$B$8+'Control Room'!$D$8)/2)+'Control Room'!$B$9*(E199-IF('Control Room'!$B$5="Normal",'Control Room'!$B$7,('Control Room'!$B$8+'Control Room'!$D$8)/2))+SQRT(1-'Control Room'!$B$9^2)*(D200-IF('Control Room'!$B$5="Normal",'Control Room'!$B$7,('Control Room'!$B$8+'Control Room'!$D$8)/2))</x:f>
        <x:v>996.1763085326187</x:v>
      </x:c>
      <x:c r="F200" s="17" t="n">
        <x:f>IF(AND($A200&gt;='Control Room'!$A$13,$A200&lt;'Control Room'!$A$13+'Control Room'!$B$13,'Process'!BK2=1),1+('Control Room'!$C$13-1)*EXP(-0.5*(($A200-'Control Room'!$A$13-('Control Room'!$B$13-1)/2)/MAX(0.5,'Control Room'!$B$13/4))^2),1)*IF(AND($A200&gt;='Control Room'!$A$14,$A200&lt;'Control Room'!$A$14+'Control Room'!$B$14,'Process'!BK3=1),1+('Control Room'!$C$14-1)*EXP(-0.5*(($A200-'Control Room'!$A$14-('Control Room'!$B$14-1)/2)/MAX(0.5,'Control Room'!$B$14/4))^2),1)*IF(AND($A200&gt;='Control Room'!$A$15,$A200&lt;'Control Room'!$A$15+'Control Room'!$B$15,'Process'!BK4=1),1+('Control Room'!$C$15-1)*EXP(-0.5*(($A200-'Control Room'!$A$15-('Control Room'!$B$15-1)/2)/MAX(0.5,'Control Room'!$B$15/4))^2),1)*IF(AND($A200&gt;='Control Room'!$A$16,$A200&lt;'Control Room'!$A$16+'Control Room'!$B$16,'Process'!BK5=1),1+('Control Room'!$C$16-1)*EXP(-0.5*(($A200-'Control Room'!$A$16-('Control Room'!$B$16-1)/2)/MAX(0.5,'Control Room'!$B$16/4))^2),1)</x:f>
        <x:v>1</x:v>
      </x:c>
      <x:c r="G200" s="9" t="n">
        <x:f>MOD(H199*16807,2147483647)</x:f>
        <x:v>55933765</x:v>
      </x:c>
      <x:c r="H200" s="9" t="n">
        <x:f>MOD(G200*16807,2147483647)</x:f>
        <x:v>1628434616</x:v>
      </x:c>
      <x:c r="I200" s="17" t="n">
        <x:f>IF('Control Room'!$B$5="Normal",'Control Room'!$B$7+'Control Room'!$D$7*SQRT(-2*LN(MAX(0.000000000001,G200/2147483647)))*COS(2*PI()*H200/2147483647),'Control Room'!$B$8+('Control Room'!$D$8-'Control Room'!$B$8)*G200/2147483647)</x:f>
        <x:v>1012.670236396032</x:v>
      </x:c>
      <x:c r="J200" s="17" t="n">
        <x:f>IF('Control Room'!$B$5="Normal",'Control Room'!$B$7,('Control Room'!$B$8+'Control Room'!$D$8)/2)+'Control Room'!$B$9*(J199-IF('Control Room'!$B$5="Normal",'Control Room'!$B$7,('Control Room'!$B$8+'Control Room'!$D$8)/2))+SQRT(1-'Control Room'!$B$9^2)*(I200-IF('Control Room'!$B$5="Normal",'Control Room'!$B$7,('Control Room'!$B$8+'Control Room'!$D$8)/2))</x:f>
        <x:v>915.8919909607091</x:v>
      </x:c>
      <x:c r="K200" s="17" t="n">
        <x:f>IF(AND($A200&gt;='Control Room'!$A$13,$A200&lt;'Control Room'!$A$13+'Control Room'!$B$13,'Process'!BL2=1),1+('Control Room'!$C$13-1)*EXP(-0.5*(($A200-'Control Room'!$A$13-('Control Room'!$B$13-1)/2)/MAX(0.5,'Control Room'!$B$13/4))^2),1)*IF(AND($A200&gt;='Control Room'!$A$14,$A200&lt;'Control Room'!$A$14+'Control Room'!$B$14,'Process'!BL3=1),1+('Control Room'!$C$14-1)*EXP(-0.5*(($A200-'Control Room'!$A$14-('Control Room'!$B$14-1)/2)/MAX(0.5,'Control Room'!$B$14/4))^2),1)*IF(AND($A200&gt;='Control Room'!$A$15,$A200&lt;'Control Room'!$A$15+'Control Room'!$B$15,'Process'!BL4=1),1+('Control Room'!$C$15-1)*EXP(-0.5*(($A200-'Control Room'!$A$15-('Control Room'!$B$15-1)/2)/MAX(0.5,'Control Room'!$B$15/4))^2),1)*IF(AND($A200&gt;='Control Room'!$A$16,$A200&lt;'Control Room'!$A$16+'Control Room'!$B$16,'Process'!BL5=1),1+('Control Room'!$C$16-1)*EXP(-0.5*(($A200-'Control Room'!$A$16-('Control Room'!$B$16-1)/2)/MAX(0.5,'Control Room'!$B$16/4))^2),1)</x:f>
        <x:v>1</x:v>
      </x:c>
      <x:c r="L200" s="9" t="n">
        <x:f>MOD(M199*16807,2147483647)</x:f>
        <x:v>290391738</x:v>
      </x:c>
      <x:c r="M200" s="9" t="n">
        <x:f>MOD(L200*16807,2147483647)</x:f>
        <x:v>1531094582</x:v>
      </x:c>
      <x:c r="N200" s="17" t="n">
        <x:f>IF('Control Room'!$B$5="Normal",'Control Room'!$B$7+'Control Room'!$D$7*SQRT(-2*LN(MAX(0.000000000001,L200/2147483647)))*COS(2*PI()*M200/2147483647),'Control Room'!$B$8+('Control Room'!$D$8-'Control Room'!$B$8)*L200/2147483647)</x:f>
        <x:v>958.489990580185</x:v>
      </x:c>
      <x:c r="O200" s="17" t="n">
        <x:f>IF('Control Room'!$B$5="Normal",'Control Room'!$B$7,('Control Room'!$B$8+'Control Room'!$D$8)/2)+'Control Room'!$B$9*(O199-IF('Control Room'!$B$5="Normal",'Control Room'!$B$7,('Control Room'!$B$8+'Control Room'!$D$8)/2))+SQRT(1-'Control Room'!$B$9^2)*(N200-IF('Control Room'!$B$5="Normal",'Control Room'!$B$7,('Control Room'!$B$8+'Control Room'!$D$8)/2))</x:f>
        <x:v>1029.0723817908147</x:v>
      </x:c>
      <x:c r="P200" s="17" t="n">
        <x:f>IF(AND($A200&gt;='Control Room'!$A$13,$A200&lt;'Control Room'!$A$13+'Control Room'!$B$13,'Process'!BM2=1),1+('Control Room'!$C$13-1)*EXP(-0.5*(($A200-'Control Room'!$A$13-('Control Room'!$B$13-1)/2)/MAX(0.5,'Control Room'!$B$13/4))^2),1)*IF(AND($A200&gt;='Control Room'!$A$14,$A200&lt;'Control Room'!$A$14+'Control Room'!$B$14,'Process'!BM3=1),1+('Control Room'!$C$14-1)*EXP(-0.5*(($A200-'Control Room'!$A$14-('Control Room'!$B$14-1)/2)/MAX(0.5,'Control Room'!$B$14/4))^2),1)*IF(AND($A200&gt;='Control Room'!$A$15,$A200&lt;'Control Room'!$A$15+'Control Room'!$B$15,'Process'!BM4=1),1+('Control Room'!$C$15-1)*EXP(-0.5*(($A200-'Control Room'!$A$15-('Control Room'!$B$15-1)/2)/MAX(0.5,'Control Room'!$B$15/4))^2),1)*IF(AND($A200&gt;='Control Room'!$A$16,$A200&lt;'Control Room'!$A$16+'Control Room'!$B$16,'Process'!BM5=1),1+('Control Room'!$C$16-1)*EXP(-0.5*(($A200-'Control Room'!$A$16-('Control Room'!$B$16-1)/2)/MAX(0.5,'Control Room'!$B$16/4))^2),1)</x:f>
        <x:v>1</x:v>
      </x:c>
      <x:c r="Q200" s="9" t="n">
        <x:f>MOD(R199*16807,2147483647)</x:f>
        <x:v>524849711</x:v>
      </x:c>
      <x:c r="R200" s="9" t="n">
        <x:f>MOD(Q200*16807,2147483647)</x:f>
        <x:v>1433754548</x:v>
      </x:c>
      <x:c r="S200" s="17" t="n">
        <x:f>IF('Control Room'!$B$5="Normal",'Control Room'!$B$7+'Control Room'!$D$7*SQRT(-2*LN(MAX(0.000000000001,Q200/2147483647)))*COS(2*PI()*R200/2147483647),'Control Room'!$B$8+('Control Room'!$D$8-'Control Room'!$B$8)*Q200/2147483647)</x:f>
        <x:v>925.2654142805999</x:v>
      </x:c>
      <x:c r="T200" s="17" t="n">
        <x:f>IF('Control Room'!$B$5="Normal",'Control Room'!$B$7,('Control Room'!$B$8+'Control Room'!$D$8)/2)+'Control Room'!$B$9*(T199-IF('Control Room'!$B$5="Normal",'Control Room'!$B$7,('Control Room'!$B$8+'Control Room'!$D$8)/2))+SQRT(1-'Control Room'!$B$9^2)*(S200-IF('Control Room'!$B$5="Normal",'Control Room'!$B$7,('Control Room'!$B$8+'Control Room'!$D$8)/2))</x:f>
        <x:v>1011.219341705749</x:v>
      </x:c>
      <x:c r="U200" s="17" t="n">
        <x:f>IF(AND($A200&gt;='Control Room'!$A$13,$A200&lt;'Control Room'!$A$13+'Control Room'!$B$13,'Process'!BN2=1),1+('Control Room'!$C$13-1)*EXP(-0.5*(($A200-'Control Room'!$A$13-('Control Room'!$B$13-1)/2)/MAX(0.5,'Control Room'!$B$13/4))^2),1)*IF(AND($A200&gt;='Control Room'!$A$14,$A200&lt;'Control Room'!$A$14+'Control Room'!$B$14,'Process'!BN3=1),1+('Control Room'!$C$14-1)*EXP(-0.5*(($A200-'Control Room'!$A$14-('Control Room'!$B$14-1)/2)/MAX(0.5,'Control Room'!$B$14/4))^2),1)*IF(AND($A200&gt;='Control Room'!$A$15,$A200&lt;'Control Room'!$A$15+'Control Room'!$B$15,'Process'!BN4=1),1+('Control Room'!$C$15-1)*EXP(-0.5*(($A200-'Control Room'!$A$15-('Control Room'!$B$15-1)/2)/MAX(0.5,'Control Room'!$B$15/4))^2),1)*IF(AND($A200&gt;='Control Room'!$A$16,$A200&lt;'Control Room'!$A$16+'Control Room'!$B$16,'Process'!BN5=1),1+('Control Room'!$C$16-1)*EXP(-0.5*(($A200-'Control Room'!$A$16-('Control Room'!$B$16-1)/2)/MAX(0.5,'Control Room'!$B$16/4))^2),1)</x:f>
        <x:v>1</x:v>
      </x:c>
      <x:c r="V200" s="9" t="n">
        <x:f>MOD(W199*16807,2147483647)</x:f>
        <x:v>759307684</x:v>
      </x:c>
      <x:c r="W200" s="9" t="n">
        <x:f>MOD(V200*16807,2147483647)</x:f>
        <x:v>1336414514</x:v>
      </x:c>
      <x:c r="X200" s="17" t="n">
        <x:f>IF('Control Room'!$B$5="Normal",'Control Room'!$B$7+'Control Room'!$D$7*SQRT(-2*LN(MAX(0.000000000001,V200/2147483647)))*COS(2*PI()*W200/2147483647),'Control Room'!$B$8+('Control Room'!$D$8-'Control Room'!$B$8)*V200/2147483647)</x:f>
        <x:v>906.6991641467732</x:v>
      </x:c>
      <x:c r="Y200" s="17" t="n">
        <x:f>IF('Control Room'!$B$5="Normal",'Control Room'!$B$7,('Control Room'!$B$8+'Control Room'!$D$8)/2)+'Control Room'!$B$9*(Y199-IF('Control Room'!$B$5="Normal",'Control Room'!$B$7,('Control Room'!$B$8+'Control Room'!$D$8)/2))+SQRT(1-'Control Room'!$B$9^2)*(X200-IF('Control Room'!$B$5="Normal",'Control Room'!$B$7,('Control Room'!$B$8+'Control Room'!$D$8)/2))</x:f>
        <x:v>974.550048983117</x:v>
      </x:c>
      <x:c r="Z200" s="17" t="n">
        <x:f>IF(AND($A200&gt;='Control Room'!$A$13,$A200&lt;'Control Room'!$A$13+'Control Room'!$B$13,'Process'!BO2=1),1+('Control Room'!$C$13-1)*EXP(-0.5*(($A200-'Control Room'!$A$13-('Control Room'!$B$13-1)/2)/MAX(0.5,'Control Room'!$B$13/4))^2),1)*IF(AND($A200&gt;='Control Room'!$A$14,$A200&lt;'Control Room'!$A$14+'Control Room'!$B$14,'Process'!BO3=1),1+('Control Room'!$C$14-1)*EXP(-0.5*(($A200-'Control Room'!$A$14-('Control Room'!$B$14-1)/2)/MAX(0.5,'Control Room'!$B$14/4))^2),1)*IF(AND($A200&gt;='Control Room'!$A$15,$A200&lt;'Control Room'!$A$15+'Control Room'!$B$15,'Process'!BO4=1),1+('Control Room'!$C$15-1)*EXP(-0.5*(($A200-'Control Room'!$A$15-('Control Room'!$B$15-1)/2)/MAX(0.5,'Control Room'!$B$15/4))^2),1)*IF(AND($A200&gt;='Control Room'!$A$16,$A200&lt;'Control Room'!$A$16+'Control Room'!$B$16,'Process'!BO5=1),1+('Control Room'!$C$16-1)*EXP(-0.5*(($A200-'Control Room'!$A$16-('Control Room'!$B$16-1)/2)/MAX(0.5,'Control Room'!$B$16/4))^2),1)</x:f>
        <x:v>1</x:v>
      </x:c>
      <x:c r="AA200" s="9" t="n">
        <x:f>MOD(AB199*16807,2147483647)</x:f>
        <x:v>993765657</x:v>
      </x:c>
      <x:c r="AB200" s="9" t="n">
        <x:f>MOD(AA200*16807,2147483647)</x:f>
        <x:v>1239074480</x:v>
      </x:c>
      <x:c r="AC200" s="17" t="n">
        <x:f>IF('Control Room'!$B$5="Normal",'Control Room'!$B$7+'Control Room'!$D$7*SQRT(-2*LN(MAX(0.000000000001,AA200/2147483647)))*COS(2*PI()*AB200/2147483647),'Control Room'!$B$8+('Control Room'!$D$8-'Control Room'!$B$8)*AA200/2147483647)</x:f>
        <x:v>901.0921853866256</x:v>
      </x:c>
      <x:c r="AD200" s="17" t="n">
        <x:f>IF('Control Room'!$B$5="Normal",'Control Room'!$B$7,('Control Room'!$B$8+'Control Room'!$D$8)/2)+'Control Room'!$B$9*(AD199-IF('Control Room'!$B$5="Normal",'Control Room'!$B$7,('Control Room'!$B$8+'Control Room'!$D$8)/2))+SQRT(1-'Control Room'!$B$9^2)*(AC200-IF('Control Room'!$B$5="Normal",'Control Room'!$B$7,('Control Room'!$B$8+'Control Room'!$D$8)/2))</x:f>
        <x:v>1017.786818296128</x:v>
      </x:c>
      <x:c r="AE200" s="17" t="n">
        <x:f>IF(AND($A200&gt;='Control Room'!$A$13,$A200&lt;'Control Room'!$A$13+'Control Room'!$B$13,'Process'!BP2=1),1+('Control Room'!$C$13-1)*EXP(-0.5*(($A200-'Control Room'!$A$13-('Control Room'!$B$13-1)/2)/MAX(0.5,'Control Room'!$B$13/4))^2),1)*IF(AND($A200&gt;='Control Room'!$A$14,$A200&lt;'Control Room'!$A$14+'Control Room'!$B$14,'Process'!BP3=1),1+('Control Room'!$C$14-1)*EXP(-0.5*(($A200-'Control Room'!$A$14-('Control Room'!$B$14-1)/2)/MAX(0.5,'Control Room'!$B$14/4))^2),1)*IF(AND($A200&gt;='Control Room'!$A$15,$A200&lt;'Control Room'!$A$15+'Control Room'!$B$15,'Process'!BP4=1),1+('Control Room'!$C$15-1)*EXP(-0.5*(($A200-'Control Room'!$A$15-('Control Room'!$B$15-1)/2)/MAX(0.5,'Control Room'!$B$15/4))^2),1)*IF(AND($A200&gt;='Control Room'!$A$16,$A200&lt;'Control Room'!$A$16+'Control Room'!$B$16,'Process'!BP5=1),1+('Control Room'!$C$16-1)*EXP(-0.5*(($A200-'Control Room'!$A$16-('Control Room'!$B$16-1)/2)/MAX(0.5,'Control Room'!$B$16/4))^2),1)</x:f>
        <x:v>1</x:v>
      </x:c>
      <x:c r="AF200" s="9" t="n">
        <x:f>MOD(AG199*16807,2147483647)</x:f>
        <x:v>1228223630</x:v>
      </x:c>
      <x:c r="AG200" s="9" t="n">
        <x:f>MOD(AF200*16807,2147483647)</x:f>
        <x:v>1141734446</x:v>
      </x:c>
      <x:c r="AH200" s="17" t="n">
        <x:f>IF('Control Room'!$B$5="Normal",'Control Room'!$B$7+'Control Room'!$D$7*SQRT(-2*LN(MAX(0.000000000001,AF200/2147483647)))*COS(2*PI()*AG200/2147483647),'Control Room'!$B$8+('Control Room'!$D$8-'Control Room'!$B$8)*AF200/2147483647)</x:f>
        <x:v>906.7375716720287</x:v>
      </x:c>
      <x:c r="AI200" s="17" t="n">
        <x:f>IF('Control Room'!$B$5="Normal",'Control Room'!$B$7,('Control Room'!$B$8+'Control Room'!$D$8)/2)+'Control Room'!$B$9*(AI199-IF('Control Room'!$B$5="Normal",'Control Room'!$B$7,('Control Room'!$B$8+'Control Room'!$D$8)/2))+SQRT(1-'Control Room'!$B$9^2)*(AH200-IF('Control Room'!$B$5="Normal",'Control Room'!$B$7,('Control Room'!$B$8+'Control Room'!$D$8)/2))</x:f>
        <x:v>910.7909739867603</x:v>
      </x:c>
      <x:c r="AJ200" s="17" t="n">
        <x:f>IF(AND($A200&gt;='Control Room'!$A$13,$A200&lt;'Control Room'!$A$13+'Control Room'!$B$13,'Process'!BQ2=1),1+('Control Room'!$C$13-1)*EXP(-0.5*(($A200-'Control Room'!$A$13-('Control Room'!$B$13-1)/2)/MAX(0.5,'Control Room'!$B$13/4))^2),1)*IF(AND($A200&gt;='Control Room'!$A$14,$A200&lt;'Control Room'!$A$14+'Control Room'!$B$14,'Process'!BQ3=1),1+('Control Room'!$C$14-1)*EXP(-0.5*(($A200-'Control Room'!$A$14-('Control Room'!$B$14-1)/2)/MAX(0.5,'Control Room'!$B$14/4))^2),1)*IF(AND($A200&gt;='Control Room'!$A$15,$A200&lt;'Control Room'!$A$15+'Control Room'!$B$15,'Process'!BQ4=1),1+('Control Room'!$C$15-1)*EXP(-0.5*(($A200-'Control Room'!$A$15-('Control Room'!$B$15-1)/2)/MAX(0.5,'Control Room'!$B$15/4))^2),1)*IF(AND($A200&gt;='Control Room'!$A$16,$A200&lt;'Control Room'!$A$16+'Control Room'!$B$16,'Process'!BQ5=1),1+('Control Room'!$C$16-1)*EXP(-0.5*(($A200-'Control Room'!$A$16-('Control Room'!$B$16-1)/2)/MAX(0.5,'Control Room'!$B$16/4))^2),1)</x:f>
        <x:v>1</x:v>
      </x:c>
      <x:c r="AK200" s="9" t="n">
        <x:f>MOD(AL199*16807,2147483647)</x:f>
        <x:v>1462681603</x:v>
      </x:c>
      <x:c r="AL200" s="9" t="n">
        <x:f>MOD(AK200*16807,2147483647)</x:f>
        <x:v>1044394412</x:v>
      </x:c>
      <x:c r="AM200" s="17" t="n">
        <x:f>IF('Control Room'!$B$5="Normal",'Control Room'!$B$7+'Control Room'!$D$7*SQRT(-2*LN(MAX(0.000000000001,AK200/2147483647)))*COS(2*PI()*AL200/2147483647),'Control Room'!$B$8+('Control Room'!$D$8-'Control Room'!$B$8)*AK200/2147483647)</x:f>
        <x:v>921.4159437427509</x:v>
      </x:c>
      <x:c r="AN200" s="17" t="n">
        <x:f>IF('Control Room'!$B$5="Normal",'Control Room'!$B$7,('Control Room'!$B$8+'Control Room'!$D$8)/2)+'Control Room'!$B$9*(AN199-IF('Control Room'!$B$5="Normal",'Control Room'!$B$7,('Control Room'!$B$8+'Control Room'!$D$8)/2))+SQRT(1-'Control Room'!$B$9^2)*(AM200-IF('Control Room'!$B$5="Normal",'Control Room'!$B$7,('Control Room'!$B$8+'Control Room'!$D$8)/2))</x:f>
        <x:v>925.4985554753077</x:v>
      </x:c>
      <x:c r="AO200" s="17" t="n">
        <x:f>IF(AND($A200&gt;='Control Room'!$A$13,$A200&lt;'Control Room'!$A$13+'Control Room'!$B$13,'Process'!BR2=1),1+('Control Room'!$C$13-1)*EXP(-0.5*(($A200-'Control Room'!$A$13-('Control Room'!$B$13-1)/2)/MAX(0.5,'Control Room'!$B$13/4))^2),1)*IF(AND($A200&gt;='Control Room'!$A$14,$A200&lt;'Control Room'!$A$14+'Control Room'!$B$14,'Process'!BR3=1),1+('Control Room'!$C$14-1)*EXP(-0.5*(($A200-'Control Room'!$A$14-('Control Room'!$B$14-1)/2)/MAX(0.5,'Control Room'!$B$14/4))^2),1)*IF(AND($A200&gt;='Control Room'!$A$15,$A200&lt;'Control Room'!$A$15+'Control Room'!$B$15,'Process'!BR4=1),1+('Control Room'!$C$15-1)*EXP(-0.5*(($A200-'Control Room'!$A$15-('Control Room'!$B$15-1)/2)/MAX(0.5,'Control Room'!$B$15/4))^2),1)*IF(AND($A200&gt;='Control Room'!$A$16,$A200&lt;'Control Room'!$A$16+'Control Room'!$B$16,'Process'!BR5=1),1+('Control Room'!$C$16-1)*EXP(-0.5*(($A200-'Control Room'!$A$16-('Control Room'!$B$16-1)/2)/MAX(0.5,'Control Room'!$B$16/4))^2),1)</x:f>
        <x:v>1</x:v>
      </x:c>
      <x:c r="AP200" s="9" t="n">
        <x:f>MOD(AQ199*16807,2147483647)</x:f>
        <x:v>1697139576</x:v>
      </x:c>
      <x:c r="AQ200" s="9" t="n">
        <x:f>MOD(AP200*16807,2147483647)</x:f>
        <x:v>947054378</x:v>
      </x:c>
      <x:c r="AR200" s="17" t="n">
        <x:f>IF('Control Room'!$B$5="Normal",'Control Room'!$B$7+'Control Room'!$D$7*SQRT(-2*LN(MAX(0.000000000001,AP200/2147483647)))*COS(2*PI()*AQ200/2147483647),'Control Room'!$B$8+('Control Room'!$D$8-'Control Room'!$B$8)*AP200/2147483647)</x:f>
        <x:v>942.4463398737372</x:v>
      </x:c>
      <x:c r="AS200" s="17" t="n">
        <x:f>IF('Control Room'!$B$5="Normal",'Control Room'!$B$7,('Control Room'!$B$8+'Control Room'!$D$8)/2)+'Control Room'!$B$9*(AS199-IF('Control Room'!$B$5="Normal",'Control Room'!$B$7,('Control Room'!$B$8+'Control Room'!$D$8)/2))+SQRT(1-'Control Room'!$B$9^2)*(AR200-IF('Control Room'!$B$5="Normal",'Control Room'!$B$7,('Control Room'!$B$8+'Control Room'!$D$8)/2))</x:f>
        <x:v>927.0776566360863</x:v>
      </x:c>
      <x:c r="AT200" s="17" t="n">
        <x:f>IF(AND($A200&gt;='Control Room'!$A$13,$A200&lt;'Control Room'!$A$13+'Control Room'!$B$13,'Process'!BS2=1),1+('Control Room'!$C$13-1)*EXP(-0.5*(($A200-'Control Room'!$A$13-('Control Room'!$B$13-1)/2)/MAX(0.5,'Control Room'!$B$13/4))^2),1)*IF(AND($A200&gt;='Control Room'!$A$14,$A200&lt;'Control Room'!$A$14+'Control Room'!$B$14,'Process'!BS3=1),1+('Control Room'!$C$14-1)*EXP(-0.5*(($A200-'Control Room'!$A$14-('Control Room'!$B$14-1)/2)/MAX(0.5,'Control Room'!$B$14/4))^2),1)*IF(AND($A200&gt;='Control Room'!$A$15,$A200&lt;'Control Room'!$A$15+'Control Room'!$B$15,'Process'!BS4=1),1+('Control Room'!$C$15-1)*EXP(-0.5*(($A200-'Control Room'!$A$15-('Control Room'!$B$15-1)/2)/MAX(0.5,'Control Room'!$B$15/4))^2),1)*IF(AND($A200&gt;='Control Room'!$A$16,$A200&lt;'Control Room'!$A$16+'Control Room'!$B$16,'Process'!BS5=1),1+('Control Room'!$C$16-1)*EXP(-0.5*(($A200-'Control Room'!$A$16-('Control Room'!$B$16-1)/2)/MAX(0.5,'Control Room'!$B$16/4))^2),1)</x:f>
        <x:v>1</x:v>
      </x:c>
      <x:c r="AU200" s="9" t="n">
        <x:f>MOD(AV199*16807,2147483647)</x:f>
        <x:v>1931597549</x:v>
      </x:c>
      <x:c r="AV200" s="9" t="n">
        <x:f>MOD(AU200*16807,2147483647)</x:f>
        <x:v>849714344</x:v>
      </x:c>
      <x:c r="AW200" s="17" t="n">
        <x:f>IF('Control Room'!$B$5="Normal",'Control Room'!$B$7+'Control Room'!$D$7*SQRT(-2*LN(MAX(0.000000000001,AU200/2147483647)))*COS(2*PI()*AV200/2147483647),'Control Room'!$B$8+('Control Room'!$D$8-'Control Room'!$B$8)*AU200/2147483647)</x:f>
        <x:v>967.156456918111</x:v>
      </x:c>
      <x:c r="AX200" s="17" t="n">
        <x:f>IF('Control Room'!$B$5="Normal",'Control Room'!$B$7,('Control Room'!$B$8+'Control Room'!$D$8)/2)+'Control Room'!$B$9*(AX199-IF('Control Room'!$B$5="Normal",'Control Room'!$B$7,('Control Room'!$B$8+'Control Room'!$D$8)/2))+SQRT(1-'Control Room'!$B$9^2)*(AW200-IF('Control Room'!$B$5="Normal",'Control Room'!$B$7,('Control Room'!$B$8+'Control Room'!$D$8)/2))</x:f>
        <x:v>1065.854143874541</x:v>
      </x:c>
      <x:c r="AY200" s="17" t="n">
        <x:f>IF(AND($A200&gt;='Control Room'!$A$13,$A200&lt;'Control Room'!$A$13+'Control Room'!$B$13,'Process'!BT2=1),1+('Control Room'!$C$13-1)*EXP(-0.5*(($A200-'Control Room'!$A$13-('Control Room'!$B$13-1)/2)/MAX(0.5,'Control Room'!$B$13/4))^2),1)*IF(AND($A200&gt;='Control Room'!$A$14,$A200&lt;'Control Room'!$A$14+'Control Room'!$B$14,'Process'!BT3=1),1+('Control Room'!$C$14-1)*EXP(-0.5*(($A200-'Control Room'!$A$14-('Control Room'!$B$14-1)/2)/MAX(0.5,'Control Room'!$B$14/4))^2),1)*IF(AND($A200&gt;='Control Room'!$A$15,$A200&lt;'Control Room'!$A$15+'Control Room'!$B$15,'Process'!BT4=1),1+('Control Room'!$C$15-1)*EXP(-0.5*(($A200-'Control Room'!$A$15-('Control Room'!$B$15-1)/2)/MAX(0.5,'Control Room'!$B$15/4))^2),1)*IF(AND($A200&gt;='Control Room'!$A$16,$A200&lt;'Control Room'!$A$16+'Control Room'!$B$16,'Process'!BT5=1),1+('Control Room'!$C$16-1)*EXP(-0.5*(($A200-'Control Room'!$A$16-('Control Room'!$B$16-1)/2)/MAX(0.5,'Control Room'!$B$16/4))^2),1)</x:f>
        <x:v>1</x:v>
      </x:c>
      <x:c r="AZ200" s="9" t="n">
        <x:f>MOD(BA199*16807,2147483647)</x:f>
        <x:v>18571875</x:v>
      </x:c>
      <x:c r="BA200" s="9" t="n">
        <x:f>MOD(AZ200*16807,2147483647)</x:f>
        <x:v>752374310</x:v>
      </x:c>
      <x:c r="BB200" s="17" t="n">
        <x:f>IF('Control Room'!$B$5="Normal",'Control Room'!$B$7+'Control Room'!$D$7*SQRT(-2*LN(MAX(0.000000000001,AZ200/2147483647)))*COS(2*PI()*BA200/2147483647),'Control Room'!$B$8+('Control Room'!$D$8-'Control Room'!$B$8)*AZ200/2147483647)</x:f>
        <x:v>836.4468570878066</x:v>
      </x:c>
      <x:c r="BC200" s="17" t="n">
        <x:f>IF('Control Room'!$B$5="Normal",'Control Room'!$B$7,('Control Room'!$B$8+'Control Room'!$D$8)/2)+'Control Room'!$B$9*(BC199-IF('Control Room'!$B$5="Normal",'Control Room'!$B$7,('Control Room'!$B$8+'Control Room'!$D$8)/2))+SQRT(1-'Control Room'!$B$9^2)*(BB200-IF('Control Room'!$B$5="Normal",'Control Room'!$B$7,('Control Room'!$B$8+'Control Room'!$D$8)/2))</x:f>
        <x:v>1124.3864344969895</x:v>
      </x:c>
      <x:c r="BD200" s="17" t="n">
        <x:f>IF(AND($A200&gt;='Control Room'!$A$13,$A200&lt;'Control Room'!$A$13+'Control Room'!$B$13,'Process'!BU2=1),1+('Control Room'!$C$13-1)*EXP(-0.5*(($A200-'Control Room'!$A$13-('Control Room'!$B$13-1)/2)/MAX(0.5,'Control Room'!$B$13/4))^2),1)*IF(AND($A200&gt;='Control Room'!$A$14,$A200&lt;'Control Room'!$A$14+'Control Room'!$B$14,'Process'!BU3=1),1+('Control Room'!$C$14-1)*EXP(-0.5*(($A200-'Control Room'!$A$14-('Control Room'!$B$14-1)/2)/MAX(0.5,'Control Room'!$B$14/4))^2),1)*IF(AND($A200&gt;='Control Room'!$A$15,$A200&lt;'Control Room'!$A$15+'Control Room'!$B$15,'Process'!BU4=1),1+('Control Room'!$C$15-1)*EXP(-0.5*(($A200-'Control Room'!$A$15-('Control Room'!$B$15-1)/2)/MAX(0.5,'Control Room'!$B$15/4))^2),1)*IF(AND($A200&gt;='Control Room'!$A$16,$A200&lt;'Control Room'!$A$16+'Control Room'!$B$16,'Process'!BU5=1),1+('Control Room'!$C$16-1)*EXP(-0.5*(($A200-'Control Room'!$A$16-('Control Room'!$B$16-1)/2)/MAX(0.5,'Control Room'!$B$16/4))^2),1)</x:f>
        <x:v>1</x:v>
      </x:c>
      <x:c r="BE200" s="9" t="n">
        <x:f>MOD(BF199*16807,2147483647)</x:f>
        <x:v>253029848</x:v>
      </x:c>
      <x:c r="BF200" s="9" t="n">
        <x:f>MOD(BE200*16807,2147483647)</x:f>
        <x:v>655034276</x:v>
      </x:c>
      <x:c r="BG200" s="17" t="n">
        <x:f>IF('Control Room'!$B$5="Normal",'Control Room'!$B$7+'Control Room'!$D$7*SQRT(-2*LN(MAX(0.000000000001,BE200/2147483647)))*COS(2*PI()*BF200/2147483647),'Control Room'!$B$8+('Control Room'!$D$8-'Control Room'!$B$8)*BE200/2147483647)</x:f>
        <x:v>936.9241471763582</x:v>
      </x:c>
      <x:c r="BH200" s="17" t="n">
        <x:f>IF('Control Room'!$B$5="Normal",'Control Room'!$B$7,('Control Room'!$B$8+'Control Room'!$D$8)/2)+'Control Room'!$B$9*(BH199-IF('Control Room'!$B$5="Normal",'Control Room'!$B$7,('Control Room'!$B$8+'Control Room'!$D$8)/2))+SQRT(1-'Control Room'!$B$9^2)*(BG200-IF('Control Room'!$B$5="Normal",'Control Room'!$B$7,('Control Room'!$B$8+'Control Room'!$D$8)/2))</x:f>
        <x:v>991.0035429784818</x:v>
      </x:c>
      <x:c r="BI200" s="17" t="n">
        <x:f>IF(AND($A200&gt;='Control Room'!$A$13,$A200&lt;'Control Room'!$A$13+'Control Room'!$B$13,'Process'!BV2=1),1+('Control Room'!$C$13-1)*EXP(-0.5*(($A200-'Control Room'!$A$13-('Control Room'!$B$13-1)/2)/MAX(0.5,'Control Room'!$B$13/4))^2),1)*IF(AND($A200&gt;='Control Room'!$A$14,$A200&lt;'Control Room'!$A$14+'Control Room'!$B$14,'Process'!BV3=1),1+('Control Room'!$C$14-1)*EXP(-0.5*(($A200-'Control Room'!$A$14-('Control Room'!$B$14-1)/2)/MAX(0.5,'Control Room'!$B$14/4))^2),1)*IF(AND($A200&gt;='Control Room'!$A$15,$A200&lt;'Control Room'!$A$15+'Control Room'!$B$15,'Process'!BV4=1),1+('Control Room'!$C$15-1)*EXP(-0.5*(($A200-'Control Room'!$A$15-('Control Room'!$B$15-1)/2)/MAX(0.5,'Control Room'!$B$15/4))^2),1)*IF(AND($A200&gt;='Control Room'!$A$16,$A200&lt;'Control Room'!$A$16+'Control Room'!$B$16,'Process'!BV5=1),1+('Control Room'!$C$16-1)*EXP(-0.5*(($A200-'Control Room'!$A$16-('Control Room'!$B$16-1)/2)/MAX(0.5,'Control Room'!$B$16/4))^2),1)</x:f>
        <x:v>1</x:v>
      </x:c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Z200" t="str">
        <x:f>IF('Data'!A200="","",TEXT('Data'!A200,"mm-dd"))</x:f>
      </x:c>
    </x:row>
    <x:row r="201" ht="21" customHeight="1">
      <x:c r="A201" s="15" t="n">
        <x:f>'Control Room'!$B$1+199</x:f>
        <x:v>73190</x:v>
      </x:c>
      <x:c r="B201" s="9" t="n">
        <x:f>MOD(C200*16807,2147483647)</x:f>
        <x:v>1180406168</x:v>
      </x:c>
      <x:c r="C201" s="9" t="n">
        <x:f>MOD(B201*16807,2147483647)</x:f>
        <x:v>632534590</x:v>
      </x:c>
      <x:c r="D201" s="17" t="n">
        <x:f>IF('Control Room'!$B$5="Normal",'Control Room'!$B$7+'Control Room'!$D$7*SQRT(-2*LN(MAX(0.000000000001,B201/2147483647)))*COS(2*PI()*C201/2147483647),'Control Room'!$B$8+('Control Room'!$D$8-'Control Room'!$B$8)*B201/2147483647)</x:f>
        <x:v>972.7993820737026</x:v>
      </x:c>
      <x:c r="E201" s="17" t="n">
        <x:f>IF('Control Room'!$B$5="Normal",'Control Room'!$B$7,('Control Room'!$B$8+'Control Room'!$D$8)/2)+'Control Room'!$B$9*(E200-IF('Control Room'!$B$5="Normal",'Control Room'!$B$7,('Control Room'!$B$8+'Control Room'!$D$8)/2))+SQRT(1-'Control Room'!$B$9^2)*(D201-IF('Control Room'!$B$5="Normal",'Control Room'!$B$7,('Control Room'!$B$8+'Control Room'!$D$8)/2))</x:f>
        <x:v>979.9959311921124</x:v>
      </x:c>
      <x:c r="F201" s="17" t="n">
        <x:f>IF(AND($A201&gt;='Control Room'!$A$13,$A201&lt;'Control Room'!$A$13+'Control Room'!$B$13,'Process'!BK2=1),1+('Control Room'!$C$13-1)*EXP(-0.5*(($A201-'Control Room'!$A$13-('Control Room'!$B$13-1)/2)/MAX(0.5,'Control Room'!$B$13/4))^2),1)*IF(AND($A201&gt;='Control Room'!$A$14,$A201&lt;'Control Room'!$A$14+'Control Room'!$B$14,'Process'!BK3=1),1+('Control Room'!$C$14-1)*EXP(-0.5*(($A201-'Control Room'!$A$14-('Control Room'!$B$14-1)/2)/MAX(0.5,'Control Room'!$B$14/4))^2),1)*IF(AND($A201&gt;='Control Room'!$A$15,$A201&lt;'Control Room'!$A$15+'Control Room'!$B$15,'Process'!BK4=1),1+('Control Room'!$C$15-1)*EXP(-0.5*(($A201-'Control Room'!$A$15-('Control Room'!$B$15-1)/2)/MAX(0.5,'Control Room'!$B$15/4))^2),1)*IF(AND($A201&gt;='Control Room'!$A$16,$A201&lt;'Control Room'!$A$16+'Control Room'!$B$16,'Process'!BK5=1),1+('Control Room'!$C$16-1)*EXP(-0.5*(($A201-'Control Room'!$A$16-('Control Room'!$B$16-1)/2)/MAX(0.5,'Control Room'!$B$16/4))^2),1)</x:f>
        <x:v>1</x:v>
      </x:c>
      <x:c r="G201" s="9" t="n">
        <x:f>MOD(H200*16807,2147483647)</x:f>
        <x:v>1568993744</x:v>
      </x:c>
      <x:c r="H201" s="9" t="n">
        <x:f>MOD(G201*16807,2147483647)</x:f>
        <x:v>1126153895</x:v>
      </x:c>
      <x:c r="I201" s="17" t="n">
        <x:f>IF('Control Room'!$B$5="Normal",'Control Room'!$B$7+'Control Room'!$D$7*SQRT(-2*LN(MAX(0.000000000001,G201/2147483647)))*COS(2*PI()*H201/2147483647),'Control Room'!$B$8+('Control Room'!$D$8-'Control Room'!$B$8)*G201/2147483647)</x:f>
        <x:v>929.5306119606954</x:v>
      </x:c>
      <x:c r="J201" s="17" t="n">
        <x:f>IF('Control Room'!$B$5="Normal",'Control Room'!$B$7,('Control Room'!$B$8+'Control Room'!$D$8)/2)+'Control Room'!$B$9*(J200-IF('Control Room'!$B$5="Normal",'Control Room'!$B$7,('Control Room'!$B$8+'Control Room'!$D$8)/2))+SQRT(1-'Control Room'!$B$9^2)*(I201-IF('Control Room'!$B$5="Normal",'Control Room'!$B$7,('Control Room'!$B$8+'Control Room'!$D$8)/2))</x:f>
        <x:v>890.2974535582393</x:v>
      </x:c>
      <x:c r="K201" s="17" t="n">
        <x:f>IF(AND($A201&gt;='Control Room'!$A$13,$A201&lt;'Control Room'!$A$13+'Control Room'!$B$13,'Process'!BL2=1),1+('Control Room'!$C$13-1)*EXP(-0.5*(($A201-'Control Room'!$A$13-('Control Room'!$B$13-1)/2)/MAX(0.5,'Control Room'!$B$13/4))^2),1)*IF(AND($A201&gt;='Control Room'!$A$14,$A201&lt;'Control Room'!$A$14+'Control Room'!$B$14,'Process'!BL3=1),1+('Control Room'!$C$14-1)*EXP(-0.5*(($A201-'Control Room'!$A$14-('Control Room'!$B$14-1)/2)/MAX(0.5,'Control Room'!$B$14/4))^2),1)*IF(AND($A201&gt;='Control Room'!$A$15,$A201&lt;'Control Room'!$A$15+'Control Room'!$B$15,'Process'!BL4=1),1+('Control Room'!$C$15-1)*EXP(-0.5*(($A201-'Control Room'!$A$15-('Control Room'!$B$15-1)/2)/MAX(0.5,'Control Room'!$B$15/4))^2),1)*IF(AND($A201&gt;='Control Room'!$A$16,$A201&lt;'Control Room'!$A$16+'Control Room'!$B$16,'Process'!BL5=1),1+('Control Room'!$C$16-1)*EXP(-0.5*(($A201-'Control Room'!$A$16-('Control Room'!$B$16-1)/2)/MAX(0.5,'Control Room'!$B$16/4))^2),1)</x:f>
        <x:v>1</x:v>
      </x:c>
      <x:c r="L201" s="9" t="n">
        <x:f>MOD(M200*16807,2147483647)</x:f>
        <x:v>1957581320</x:v>
      </x:c>
      <x:c r="M201" s="9" t="n">
        <x:f>MOD(L201*16807,2147483647)</x:f>
        <x:v>1619773200</x:v>
      </x:c>
      <x:c r="N201" s="17" t="n">
        <x:f>IF('Control Room'!$B$5="Normal",'Control Room'!$B$7+'Control Room'!$D$7*SQRT(-2*LN(MAX(0.000000000001,L201/2147483647)))*COS(2*PI()*M201/2147483647),'Control Room'!$B$8+('Control Room'!$D$8-'Control Room'!$B$8)*L201/2147483647)</x:f>
        <x:v>1001.0378825003675</x:v>
      </x:c>
      <x:c r="O201" s="17" t="n">
        <x:f>IF('Control Room'!$B$5="Normal",'Control Room'!$B$7,('Control Room'!$B$8+'Control Room'!$D$8)/2)+'Control Room'!$B$9*(O200-IF('Control Room'!$B$5="Normal",'Control Room'!$B$7,('Control Room'!$B$8+'Control Room'!$D$8)/2))+SQRT(1-'Control Room'!$B$9^2)*(N201-IF('Control Room'!$B$5="Normal",'Control Room'!$B$7,('Control Room'!$B$8+'Control Room'!$D$8)/2))</x:f>
        <x:v>1023.3259434033868</x:v>
      </x:c>
      <x:c r="P201" s="17" t="n">
        <x:f>IF(AND($A201&gt;='Control Room'!$A$13,$A201&lt;'Control Room'!$A$13+'Control Room'!$B$13,'Process'!BM2=1),1+('Control Room'!$C$13-1)*EXP(-0.5*(($A201-'Control Room'!$A$13-('Control Room'!$B$13-1)/2)/MAX(0.5,'Control Room'!$B$13/4))^2),1)*IF(AND($A201&gt;='Control Room'!$A$14,$A201&lt;'Control Room'!$A$14+'Control Room'!$B$14,'Process'!BM3=1),1+('Control Room'!$C$14-1)*EXP(-0.5*(($A201-'Control Room'!$A$14-('Control Room'!$B$14-1)/2)/MAX(0.5,'Control Room'!$B$14/4))^2),1)*IF(AND($A201&gt;='Control Room'!$A$15,$A201&lt;'Control Room'!$A$15+'Control Room'!$B$15,'Process'!BM4=1),1+('Control Room'!$C$15-1)*EXP(-0.5*(($A201-'Control Room'!$A$15-('Control Room'!$B$15-1)/2)/MAX(0.5,'Control Room'!$B$15/4))^2),1)*IF(AND($A201&gt;='Control Room'!$A$16,$A201&lt;'Control Room'!$A$16+'Control Room'!$B$16,'Process'!BM5=1),1+('Control Room'!$C$16-1)*EXP(-0.5*(($A201-'Control Room'!$A$16-('Control Room'!$B$16-1)/2)/MAX(0.5,'Control Room'!$B$16/4))^2),1)</x:f>
        <x:v>1</x:v>
      </x:c>
      <x:c r="Q201" s="9" t="n">
        <x:f>MOD(R200*16807,2147483647)</x:f>
        <x:v>198685249</x:v>
      </x:c>
      <x:c r="R201" s="9" t="n">
        <x:f>MOD(Q201*16807,2147483647)</x:f>
        <x:v>2113392505</x:v>
      </x:c>
      <x:c r="S201" s="17" t="n">
        <x:f>IF('Control Room'!$B$5="Normal",'Control Room'!$B$7+'Control Room'!$D$7*SQRT(-2*LN(MAX(0.000000000001,Q201/2147483647)))*COS(2*PI()*R201/2147483647),'Control Room'!$B$8+('Control Room'!$D$8-'Control Room'!$B$8)*Q201/2147483647)</x:f>
        <x:v>1195.3943925456338</x:v>
      </x:c>
      <x:c r="T201" s="17" t="n">
        <x:f>IF('Control Room'!$B$5="Normal",'Control Room'!$B$7,('Control Room'!$B$8+'Control Room'!$D$8)/2)+'Control Room'!$B$9*(T200-IF('Control Room'!$B$5="Normal",'Control Room'!$B$7,('Control Room'!$B$8+'Control Room'!$D$8)/2))+SQRT(1-'Control Room'!$B$9^2)*(S201-IF('Control Room'!$B$5="Normal",'Control Room'!$B$7,('Control Room'!$B$8+'Control Room'!$D$8)/2))</x:f>
        <x:v>1131.024894513835</x:v>
      </x:c>
      <x:c r="U201" s="17" t="n">
        <x:f>IF(AND($A201&gt;='Control Room'!$A$13,$A201&lt;'Control Room'!$A$13+'Control Room'!$B$13,'Process'!BN2=1),1+('Control Room'!$C$13-1)*EXP(-0.5*(($A201-'Control Room'!$A$13-('Control Room'!$B$13-1)/2)/MAX(0.5,'Control Room'!$B$13/4))^2),1)*IF(AND($A201&gt;='Control Room'!$A$14,$A201&lt;'Control Room'!$A$14+'Control Room'!$B$14,'Process'!BN3=1),1+('Control Room'!$C$14-1)*EXP(-0.5*(($A201-'Control Room'!$A$14-('Control Room'!$B$14-1)/2)/MAX(0.5,'Control Room'!$B$14/4))^2),1)*IF(AND($A201&gt;='Control Room'!$A$15,$A201&lt;'Control Room'!$A$15+'Control Room'!$B$15,'Process'!BN4=1),1+('Control Room'!$C$15-1)*EXP(-0.5*(($A201-'Control Room'!$A$15-('Control Room'!$B$15-1)/2)/MAX(0.5,'Control Room'!$B$15/4))^2),1)*IF(AND($A201&gt;='Control Room'!$A$16,$A201&lt;'Control Room'!$A$16+'Control Room'!$B$16,'Process'!BN5=1),1+('Control Room'!$C$16-1)*EXP(-0.5*(($A201-'Control Room'!$A$16-('Control Room'!$B$16-1)/2)/MAX(0.5,'Control Room'!$B$16/4))^2),1)</x:f>
        <x:v>1</x:v>
      </x:c>
      <x:c r="V201" s="9" t="n">
        <x:f>MOD(W200*16807,2147483647)</x:f>
        <x:v>587272825</x:v>
      </x:c>
      <x:c r="W201" s="9" t="n">
        <x:f>MOD(V201*16807,2147483647)</x:f>
        <x:v>459528163</x:v>
      </x:c>
      <x:c r="X201" s="17" t="n">
        <x:f>IF('Control Room'!$B$5="Normal",'Control Room'!$B$7+'Control Room'!$D$7*SQRT(-2*LN(MAX(0.000000000001,V201/2147483647)))*COS(2*PI()*W201/2147483647),'Control Room'!$B$8+('Control Room'!$D$8-'Control Room'!$B$8)*V201/2147483647)</x:f>
        <x:v>1032.5170344638236</x:v>
      </x:c>
      <x:c r="Y201" s="17" t="n">
        <x:f>IF('Control Room'!$B$5="Normal",'Control Room'!$B$7,('Control Room'!$B$8+'Control Room'!$D$8)/2)+'Control Room'!$B$9*(Y200-IF('Control Room'!$B$5="Normal",'Control Room'!$B$7,('Control Room'!$B$8+'Control Room'!$D$8)/2))+SQRT(1-'Control Room'!$B$9^2)*(X201-IF('Control Room'!$B$5="Normal",'Control Room'!$B$7,('Control Room'!$B$8+'Control Room'!$D$8)/2))</x:f>
        <x:v>1000.4975322266328</x:v>
      </x:c>
      <x:c r="Z201" s="17" t="n">
        <x:f>IF(AND($A201&gt;='Control Room'!$A$13,$A201&lt;'Control Room'!$A$13+'Control Room'!$B$13,'Process'!BO2=1),1+('Control Room'!$C$13-1)*EXP(-0.5*(($A201-'Control Room'!$A$13-('Control Room'!$B$13-1)/2)/MAX(0.5,'Control Room'!$B$13/4))^2),1)*IF(AND($A201&gt;='Control Room'!$A$14,$A201&lt;'Control Room'!$A$14+'Control Room'!$B$14,'Process'!BO3=1),1+('Control Room'!$C$14-1)*EXP(-0.5*(($A201-'Control Room'!$A$14-('Control Room'!$B$14-1)/2)/MAX(0.5,'Control Room'!$B$14/4))^2),1)*IF(AND($A201&gt;='Control Room'!$A$15,$A201&lt;'Control Room'!$A$15+'Control Room'!$B$15,'Process'!BO4=1),1+('Control Room'!$C$15-1)*EXP(-0.5*(($A201-'Control Room'!$A$15-('Control Room'!$B$15-1)/2)/MAX(0.5,'Control Room'!$B$15/4))^2),1)*IF(AND($A201&gt;='Control Room'!$A$16,$A201&lt;'Control Room'!$A$16+'Control Room'!$B$16,'Process'!BO5=1),1+('Control Room'!$C$16-1)*EXP(-0.5*(($A201-'Control Room'!$A$16-('Control Room'!$B$16-1)/2)/MAX(0.5,'Control Room'!$B$16/4))^2),1)</x:f>
        <x:v>1</x:v>
      </x:c>
      <x:c r="AA201" s="9" t="n">
        <x:f>MOD(AB200*16807,2147483647)</x:f>
        <x:v>975860401</x:v>
      </x:c>
      <x:c r="AB201" s="9" t="n">
        <x:f>MOD(AA201*16807,2147483647)</x:f>
        <x:v>953147468</x:v>
      </x:c>
      <x:c r="AC201" s="17" t="n">
        <x:f>IF('Control Room'!$B$5="Normal",'Control Room'!$B$7+'Control Room'!$D$7*SQRT(-2*LN(MAX(0.000000000001,AA201/2147483647)))*COS(2*PI()*AB201/2147483647),'Control Room'!$B$8+('Control Room'!$D$8-'Control Room'!$B$8)*AA201/2147483647)</x:f>
        <x:v>893.9261794872722</x:v>
      </x:c>
      <x:c r="AD201" s="17" t="n">
        <x:f>IF('Control Room'!$B$5="Normal",'Control Room'!$B$7,('Control Room'!$B$8+'Control Room'!$D$8)/2)+'Control Room'!$B$9*(AD200-IF('Control Room'!$B$5="Normal",'Control Room'!$B$7,('Control Room'!$B$8+'Control Room'!$D$8)/2))+SQRT(1-'Control Room'!$B$9^2)*(AC201-IF('Control Room'!$B$5="Normal",'Control Room'!$B$7,('Control Room'!$B$8+'Control Room'!$D$8)/2))</x:f>
        <x:v>947.4948944344432</x:v>
      </x:c>
      <x:c r="AE201" s="17" t="n">
        <x:f>IF(AND($A201&gt;='Control Room'!$A$13,$A201&lt;'Control Room'!$A$13+'Control Room'!$B$13,'Process'!BP2=1),1+('Control Room'!$C$13-1)*EXP(-0.5*(($A201-'Control Room'!$A$13-('Control Room'!$B$13-1)/2)/MAX(0.5,'Control Room'!$B$13/4))^2),1)*IF(AND($A201&gt;='Control Room'!$A$14,$A201&lt;'Control Room'!$A$14+'Control Room'!$B$14,'Process'!BP3=1),1+('Control Room'!$C$14-1)*EXP(-0.5*(($A201-'Control Room'!$A$14-('Control Room'!$B$14-1)/2)/MAX(0.5,'Control Room'!$B$14/4))^2),1)*IF(AND($A201&gt;='Control Room'!$A$15,$A201&lt;'Control Room'!$A$15+'Control Room'!$B$15,'Process'!BP4=1),1+('Control Room'!$C$15-1)*EXP(-0.5*(($A201-'Control Room'!$A$15-('Control Room'!$B$15-1)/2)/MAX(0.5,'Control Room'!$B$15/4))^2),1)*IF(AND($A201&gt;='Control Room'!$A$16,$A201&lt;'Control Room'!$A$16+'Control Room'!$B$16,'Process'!BP5=1),1+('Control Room'!$C$16-1)*EXP(-0.5*(($A201-'Control Room'!$A$16-('Control Room'!$B$16-1)/2)/MAX(0.5,'Control Room'!$B$16/4))^2),1)</x:f>
        <x:v>1</x:v>
      </x:c>
      <x:c r="AF201" s="9" t="n">
        <x:f>MOD(AG200*16807,2147483647)</x:f>
        <x:v>1364447977</x:v>
      </x:c>
      <x:c r="AG201" s="9" t="n">
        <x:f>MOD(AF201*16807,2147483647)</x:f>
        <x:v>1446766773</x:v>
      </x:c>
      <x:c r="AH201" s="17" t="n">
        <x:f>IF('Control Room'!$B$5="Normal",'Control Room'!$B$7+'Control Room'!$D$7*SQRT(-2*LN(MAX(0.000000000001,AF201/2147483647)))*COS(2*PI()*AG201/2147483647),'Control Room'!$B$8+('Control Room'!$D$8-'Control Room'!$B$8)*AF201/2147483647)</x:f>
        <x:v>960.46418449258</x:v>
      </x:c>
      <x:c r="AI201" s="17" t="n">
        <x:f>IF('Control Room'!$B$5="Normal",'Control Room'!$B$7,('Control Room'!$B$8+'Control Room'!$D$8)/2)+'Control Room'!$B$9*(AI200-IF('Control Room'!$B$5="Normal",'Control Room'!$B$7,('Control Room'!$B$8+'Control Room'!$D$8)/2))+SQRT(1-'Control Room'!$B$9^2)*(AH201-IF('Control Room'!$B$5="Normal",'Control Room'!$B$7,('Control Room'!$B$8+'Control Room'!$D$8)/2))</x:f>
        <x:v>905.6762563003342</x:v>
      </x:c>
      <x:c r="AJ201" s="17" t="n">
        <x:f>IF(AND($A201&gt;='Control Room'!$A$13,$A201&lt;'Control Room'!$A$13+'Control Room'!$B$13,'Process'!BQ2=1),1+('Control Room'!$C$13-1)*EXP(-0.5*(($A201-'Control Room'!$A$13-('Control Room'!$B$13-1)/2)/MAX(0.5,'Control Room'!$B$13/4))^2),1)*IF(AND($A201&gt;='Control Room'!$A$14,$A201&lt;'Control Room'!$A$14+'Control Room'!$B$14,'Process'!BQ3=1),1+('Control Room'!$C$14-1)*EXP(-0.5*(($A201-'Control Room'!$A$14-('Control Room'!$B$14-1)/2)/MAX(0.5,'Control Room'!$B$14/4))^2),1)*IF(AND($A201&gt;='Control Room'!$A$15,$A201&lt;'Control Room'!$A$15+'Control Room'!$B$15,'Process'!BQ4=1),1+('Control Room'!$C$15-1)*EXP(-0.5*(($A201-'Control Room'!$A$15-('Control Room'!$B$15-1)/2)/MAX(0.5,'Control Room'!$B$15/4))^2),1)*IF(AND($A201&gt;='Control Room'!$A$16,$A201&lt;'Control Room'!$A$16+'Control Room'!$B$16,'Process'!BQ5=1),1+('Control Room'!$C$16-1)*EXP(-0.5*(($A201-'Control Room'!$A$16-('Control Room'!$B$16-1)/2)/MAX(0.5,'Control Room'!$B$16/4))^2),1)</x:f>
        <x:v>1</x:v>
      </x:c>
      <x:c r="AK201" s="9" t="n">
        <x:f>MOD(AL200*16807,2147483647)</x:f>
        <x:v>1753035553</x:v>
      </x:c>
      <x:c r="AL201" s="9" t="n">
        <x:f>MOD(AK201*16807,2147483647)</x:f>
        <x:v>1940386078</x:v>
      </x:c>
      <x:c r="AM201" s="17" t="n">
        <x:f>IF('Control Room'!$B$5="Normal",'Control Room'!$B$7+'Control Room'!$D$7*SQRT(-2*LN(MAX(0.000000000001,AK201/2147483647)))*COS(2*PI()*AL201/2147483647),'Control Room'!$B$8+('Control Room'!$D$8-'Control Room'!$B$8)*AK201/2147483647)</x:f>
        <x:v>1047.1309433159618</x:v>
      </x:c>
      <x:c r="AN201" s="17" t="n">
        <x:f>IF('Control Room'!$B$5="Normal",'Control Room'!$B$7,('Control Room'!$B$8+'Control Room'!$D$8)/2)+'Control Room'!$B$9*(AN200-IF('Control Room'!$B$5="Normal",'Control Room'!$B$7,('Control Room'!$B$8+'Control Room'!$D$8)/2))+SQRT(1-'Control Room'!$B$9^2)*(AM201-IF('Control Room'!$B$5="Normal",'Control Room'!$B$7,('Control Room'!$B$8+'Control Room'!$D$8)/2))</x:f>
        <x:v>971.3824520680139</x:v>
      </x:c>
      <x:c r="AO201" s="17" t="n">
        <x:f>IF(AND($A201&gt;='Control Room'!$A$13,$A201&lt;'Control Room'!$A$13+'Control Room'!$B$13,'Process'!BR2=1),1+('Control Room'!$C$13-1)*EXP(-0.5*(($A201-'Control Room'!$A$13-('Control Room'!$B$13-1)/2)/MAX(0.5,'Control Room'!$B$13/4))^2),1)*IF(AND($A201&gt;='Control Room'!$A$14,$A201&lt;'Control Room'!$A$14+'Control Room'!$B$14,'Process'!BR3=1),1+('Control Room'!$C$14-1)*EXP(-0.5*(($A201-'Control Room'!$A$14-('Control Room'!$B$14-1)/2)/MAX(0.5,'Control Room'!$B$14/4))^2),1)*IF(AND($A201&gt;='Control Room'!$A$15,$A201&lt;'Control Room'!$A$15+'Control Room'!$B$15,'Process'!BR4=1),1+('Control Room'!$C$15-1)*EXP(-0.5*(($A201-'Control Room'!$A$15-('Control Room'!$B$15-1)/2)/MAX(0.5,'Control Room'!$B$15/4))^2),1)*IF(AND($A201&gt;='Control Room'!$A$16,$A201&lt;'Control Room'!$A$16+'Control Room'!$B$16,'Process'!BR5=1),1+('Control Room'!$C$16-1)*EXP(-0.5*(($A201-'Control Room'!$A$16-('Control Room'!$B$16-1)/2)/MAX(0.5,'Control Room'!$B$16/4))^2),1)</x:f>
        <x:v>1</x:v>
      </x:c>
      <x:c r="AP201" s="9" t="n">
        <x:f>MOD(AQ200*16807,2147483647)</x:f>
        <x:v>2141623129</x:v>
      </x:c>
      <x:c r="AQ201" s="9" t="n">
        <x:f>MOD(AP201*16807,2147483647)</x:f>
        <x:v>286521736</x:v>
      </x:c>
      <x:c r="AR201" s="17" t="n">
        <x:f>IF('Control Room'!$B$5="Normal",'Control Room'!$B$7+'Control Room'!$D$7*SQRT(-2*LN(MAX(0.000000000001,AP201/2147483647)))*COS(2*PI()*AQ201/2147483647),'Control Room'!$B$8+('Control Room'!$D$8-'Control Room'!$B$8)*AP201/2147483647)</x:f>
        <x:v>1004.4493749117632</x:v>
      </x:c>
      <x:c r="AS201" s="17" t="n">
        <x:f>IF('Control Room'!$B$5="Normal",'Control Room'!$B$7,('Control Room'!$B$8+'Control Room'!$D$8)/2)+'Control Room'!$B$9*(AS200-IF('Control Room'!$B$5="Normal",'Control Room'!$B$7,('Control Room'!$B$8+'Control Room'!$D$8)/2))+SQRT(1-'Control Room'!$B$9^2)*(AR201-IF('Control Room'!$B$5="Normal",'Control Room'!$B$7,('Control Room'!$B$8+'Control Room'!$D$8)/2))</x:f>
        <x:v>945.9048998455293</x:v>
      </x:c>
      <x:c r="AT201" s="17" t="n">
        <x:f>IF(AND($A201&gt;='Control Room'!$A$13,$A201&lt;'Control Room'!$A$13+'Control Room'!$B$13,'Process'!BS2=1),1+('Control Room'!$C$13-1)*EXP(-0.5*(($A201-'Control Room'!$A$13-('Control Room'!$B$13-1)/2)/MAX(0.5,'Control Room'!$B$13/4))^2),1)*IF(AND($A201&gt;='Control Room'!$A$14,$A201&lt;'Control Room'!$A$14+'Control Room'!$B$14,'Process'!BS3=1),1+('Control Room'!$C$14-1)*EXP(-0.5*(($A201-'Control Room'!$A$14-('Control Room'!$B$14-1)/2)/MAX(0.5,'Control Room'!$B$14/4))^2),1)*IF(AND($A201&gt;='Control Room'!$A$15,$A201&lt;'Control Room'!$A$15+'Control Room'!$B$15,'Process'!BS4=1),1+('Control Room'!$C$15-1)*EXP(-0.5*(($A201-'Control Room'!$A$15-('Control Room'!$B$15-1)/2)/MAX(0.5,'Control Room'!$B$15/4))^2),1)*IF(AND($A201&gt;='Control Room'!$A$16,$A201&lt;'Control Room'!$A$16+'Control Room'!$B$16,'Process'!BS5=1),1+('Control Room'!$C$16-1)*EXP(-0.5*(($A201-'Control Room'!$A$16-('Control Room'!$B$16-1)/2)/MAX(0.5,'Control Room'!$B$16/4))^2),1)</x:f>
        <x:v>1</x:v>
      </x:c>
      <x:c r="AU201" s="9" t="n">
        <x:f>MOD(AV200*16807,2147483647)</x:f>
        <x:v>382727058</x:v>
      </x:c>
      <x:c r="AV201" s="9" t="n">
        <x:f>MOD(AU201*16807,2147483647)</x:f>
        <x:v>780141041</x:v>
      </x:c>
      <x:c r="AW201" s="17" t="n">
        <x:f>IF('Control Room'!$B$5="Normal",'Control Room'!$B$7+'Control Room'!$D$7*SQRT(-2*LN(MAX(0.000000000001,AU201/2147483647)))*COS(2*PI()*AV201/2147483647),'Control Room'!$B$8+('Control Room'!$D$8-'Control Room'!$B$8)*AU201/2147483647)</x:f>
        <x:v>890.8190392426927</x:v>
      </x:c>
      <x:c r="AX201" s="17" t="n">
        <x:f>IF('Control Room'!$B$5="Normal",'Control Room'!$B$7,('Control Room'!$B$8+'Control Room'!$D$8)/2)+'Control Room'!$B$9*(AX200-IF('Control Room'!$B$5="Normal",'Control Room'!$B$7,('Control Room'!$B$8+'Control Room'!$D$8)/2))+SQRT(1-'Control Room'!$B$9^2)*(AW201-IF('Control Room'!$B$5="Normal",'Control Room'!$B$7,('Control Room'!$B$8+'Control Room'!$D$8)/2))</x:f>
        <x:v>983.0430236737755</x:v>
      </x:c>
      <x:c r="AY201" s="17" t="n">
        <x:f>IF(AND($A201&gt;='Control Room'!$A$13,$A201&lt;'Control Room'!$A$13+'Control Room'!$B$13,'Process'!BT2=1),1+('Control Room'!$C$13-1)*EXP(-0.5*(($A201-'Control Room'!$A$13-('Control Room'!$B$13-1)/2)/MAX(0.5,'Control Room'!$B$13/4))^2),1)*IF(AND($A201&gt;='Control Room'!$A$14,$A201&lt;'Control Room'!$A$14+'Control Room'!$B$14,'Process'!BT3=1),1+('Control Room'!$C$14-1)*EXP(-0.5*(($A201-'Control Room'!$A$14-('Control Room'!$B$14-1)/2)/MAX(0.5,'Control Room'!$B$14/4))^2),1)*IF(AND($A201&gt;='Control Room'!$A$15,$A201&lt;'Control Room'!$A$15+'Control Room'!$B$15,'Process'!BT4=1),1+('Control Room'!$C$15-1)*EXP(-0.5*(($A201-'Control Room'!$A$15-('Control Room'!$B$15-1)/2)/MAX(0.5,'Control Room'!$B$15/4))^2),1)*IF(AND($A201&gt;='Control Room'!$A$16,$A201&lt;'Control Room'!$A$16+'Control Room'!$B$16,'Process'!BT5=1),1+('Control Room'!$C$16-1)*EXP(-0.5*(($A201-'Control Room'!$A$16-('Control Room'!$B$16-1)/2)/MAX(0.5,'Control Room'!$B$16/4))^2),1)</x:f>
        <x:v>1</x:v>
      </x:c>
      <x:c r="AZ201" s="9" t="n">
        <x:f>MOD(BA200*16807,2147483647)</x:f>
        <x:v>771314634</x:v>
      </x:c>
      <x:c r="BA201" s="9" t="n">
        <x:f>MOD(AZ201*16807,2147483647)</x:f>
        <x:v>1273760346</x:v>
      </x:c>
      <x:c r="BB201" s="17" t="n">
        <x:f>IF('Control Room'!$B$5="Normal",'Control Room'!$B$7+'Control Room'!$D$7*SQRT(-2*LN(MAX(0.000000000001,AZ201/2147483647)))*COS(2*PI()*BA201/2147483647),'Control Room'!$B$8+('Control Room'!$D$8-'Control Room'!$B$8)*AZ201/2147483647)</x:f>
        <x:v>892.6380298948781</x:v>
      </x:c>
      <x:c r="BC201" s="17" t="n">
        <x:f>IF('Control Room'!$B$5="Normal",'Control Room'!$B$7,('Control Room'!$B$8+'Control Room'!$D$8)/2)+'Control Room'!$B$9*(BC200-IF('Control Room'!$B$5="Normal",'Control Room'!$B$7,('Control Room'!$B$8+'Control Room'!$D$8)/2))+SQRT(1-'Control Room'!$B$9^2)*(BB201-IF('Control Room'!$B$5="Normal",'Control Room'!$B$7,('Control Room'!$B$8+'Control Room'!$D$8)/2))</x:f>
        <x:v>1029.8364974453739</x:v>
      </x:c>
      <x:c r="BD201" s="17" t="n">
        <x:f>IF(AND($A201&gt;='Control Room'!$A$13,$A201&lt;'Control Room'!$A$13+'Control Room'!$B$13,'Process'!BU2=1),1+('Control Room'!$C$13-1)*EXP(-0.5*(($A201-'Control Room'!$A$13-('Control Room'!$B$13-1)/2)/MAX(0.5,'Control Room'!$B$13/4))^2),1)*IF(AND($A201&gt;='Control Room'!$A$14,$A201&lt;'Control Room'!$A$14+'Control Room'!$B$14,'Process'!BU3=1),1+('Control Room'!$C$14-1)*EXP(-0.5*(($A201-'Control Room'!$A$14-('Control Room'!$B$14-1)/2)/MAX(0.5,'Control Room'!$B$14/4))^2),1)*IF(AND($A201&gt;='Control Room'!$A$15,$A201&lt;'Control Room'!$A$15+'Control Room'!$B$15,'Process'!BU4=1),1+('Control Room'!$C$15-1)*EXP(-0.5*(($A201-'Control Room'!$A$15-('Control Room'!$B$15-1)/2)/MAX(0.5,'Control Room'!$B$15/4))^2),1)*IF(AND($A201&gt;='Control Room'!$A$16,$A201&lt;'Control Room'!$A$16+'Control Room'!$B$16,'Process'!BU5=1),1+('Control Room'!$C$16-1)*EXP(-0.5*(($A201-'Control Room'!$A$16-('Control Room'!$B$16-1)/2)/MAX(0.5,'Control Room'!$B$16/4))^2),1)</x:f>
        <x:v>1</x:v>
      </x:c>
      <x:c r="BE201" s="9" t="n">
        <x:f>MOD(BF200*16807,2147483647)</x:f>
        <x:v>1159902210</x:v>
      </x:c>
      <x:c r="BF201" s="9" t="n">
        <x:f>MOD(BE201*16807,2147483647)</x:f>
        <x:v>1767379651</x:v>
      </x:c>
      <x:c r="BG201" s="17" t="n">
        <x:f>IF('Control Room'!$B$5="Normal",'Control Room'!$B$7+'Control Room'!$D$7*SQRT(-2*LN(MAX(0.000000000001,BE201/2147483647)))*COS(2*PI()*BF201/2147483647),'Control Room'!$B$8+('Control Room'!$D$8-'Control Room'!$B$8)*BE201/2147483647)</x:f>
        <x:v>1044.2285140153838</x:v>
      </x:c>
      <x:c r="BH201" s="17" t="n">
        <x:f>IF('Control Room'!$B$5="Normal",'Control Room'!$B$7,('Control Room'!$B$8+'Control Room'!$D$8)/2)+'Control Room'!$B$9*(BH200-IF('Control Room'!$B$5="Normal",'Control Room'!$B$7,('Control Room'!$B$8+'Control Room'!$D$8)/2))+SQRT(1-'Control Room'!$B$9^2)*(BG201-IF('Control Room'!$B$5="Normal",'Control Room'!$B$7,('Control Room'!$B$8+'Control Room'!$D$8)/2))</x:f>
        <x:v>1020.660061523684</x:v>
      </x:c>
      <x:c r="BI201" s="17" t="n">
        <x:f>IF(AND($A201&gt;='Control Room'!$A$13,$A201&lt;'Control Room'!$A$13+'Control Room'!$B$13,'Process'!BV2=1),1+('Control Room'!$C$13-1)*EXP(-0.5*(($A201-'Control Room'!$A$13-('Control Room'!$B$13-1)/2)/MAX(0.5,'Control Room'!$B$13/4))^2),1)*IF(AND($A201&gt;='Control Room'!$A$14,$A201&lt;'Control Room'!$A$14+'Control Room'!$B$14,'Process'!BV3=1),1+('Control Room'!$C$14-1)*EXP(-0.5*(($A201-'Control Room'!$A$14-('Control Room'!$B$14-1)/2)/MAX(0.5,'Control Room'!$B$14/4))^2),1)*IF(AND($A201&gt;='Control Room'!$A$15,$A201&lt;'Control Room'!$A$15+'Control Room'!$B$15,'Process'!BV4=1),1+('Control Room'!$C$15-1)*EXP(-0.5*(($A201-'Control Room'!$A$15-('Control Room'!$B$15-1)/2)/MAX(0.5,'Control Room'!$B$15/4))^2),1)*IF(AND($A201&gt;='Control Room'!$A$16,$A201&lt;'Control Room'!$A$16+'Control Room'!$B$16,'Process'!BV5=1),1+('Control Room'!$C$16-1)*EXP(-0.5*(($A201-'Control Room'!$A$16-('Control Room'!$B$16-1)/2)/MAX(0.5,'Control Room'!$B$16/4))^2),1)</x:f>
        <x:v>1</x:v>
      </x:c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Z201" t="str">
        <x:f>IF('Data'!A201="","",TEXT('Data'!A201,"mm-dd"))</x:f>
      </x:c>
    </x:row>
    <x:row r="202" ht="21" customHeight="1">
      <x:c r="A202" s="15" t="n">
        <x:f>'Control Room'!$B$1+200</x:f>
        <x:v>73191</x:v>
      </x:c>
      <x:c r="B202" s="9" t="n">
        <x:f>MOD(C201*16807,2147483647)</x:f>
        <x:v>964801480</x:v>
      </x:c>
      <x:c r="C202" s="9" t="n">
        <x:f>MOD(B202*16807,2147483647)</x:f>
        <x:v>1916939510</x:v>
      </x:c>
      <x:c r="D202" s="17" t="n">
        <x:f>IF('Control Room'!$B$5="Normal",'Control Room'!$B$7+'Control Room'!$D$7*SQRT(-2*LN(MAX(0.000000000001,B202/2147483647)))*COS(2*PI()*C202/2147483647),'Control Room'!$B$8+('Control Room'!$D$8-'Control Room'!$B$8)*B202/2147483647)</x:f>
        <x:v>1088.9175581590607</x:v>
      </x:c>
      <x:c r="E202" s="17" t="n">
        <x:f>IF('Control Room'!$B$5="Normal",'Control Room'!$B$7,('Control Room'!$B$8+'Control Room'!$D$8)/2)+'Control Room'!$B$9*(E201-IF('Control Room'!$B$5="Normal",'Control Room'!$B$7,('Control Room'!$B$8+'Control Room'!$D$8)/2))+SQRT(1-'Control Room'!$B$9^2)*(D202-IF('Control Room'!$B$5="Normal",'Control Room'!$B$7,('Control Room'!$B$8+'Control Room'!$D$8)/2))</x:f>
        <x:v>1040.0396126505975</x:v>
      </x:c>
      <x:c r="F202" s="17" t="n">
        <x:f>IF(AND($A202&gt;='Control Room'!$A$13,$A202&lt;'Control Room'!$A$13+'Control Room'!$B$13,'Process'!BK2=1),1+('Control Room'!$C$13-1)*EXP(-0.5*(($A202-'Control Room'!$A$13-('Control Room'!$B$13-1)/2)/MAX(0.5,'Control Room'!$B$13/4))^2),1)*IF(AND($A202&gt;='Control Room'!$A$14,$A202&lt;'Control Room'!$A$14+'Control Room'!$B$14,'Process'!BK3=1),1+('Control Room'!$C$14-1)*EXP(-0.5*(($A202-'Control Room'!$A$14-('Control Room'!$B$14-1)/2)/MAX(0.5,'Control Room'!$B$14/4))^2),1)*IF(AND($A202&gt;='Control Room'!$A$15,$A202&lt;'Control Room'!$A$15+'Control Room'!$B$15,'Process'!BK4=1),1+('Control Room'!$C$15-1)*EXP(-0.5*(($A202-'Control Room'!$A$15-('Control Room'!$B$15-1)/2)/MAX(0.5,'Control Room'!$B$15/4))^2),1)*IF(AND($A202&gt;='Control Room'!$A$16,$A202&lt;'Control Room'!$A$16+'Control Room'!$B$16,'Process'!BK5=1),1+('Control Room'!$C$16-1)*EXP(-0.5*(($A202-'Control Room'!$A$16-('Control Room'!$B$16-1)/2)/MAX(0.5,'Control Room'!$B$16/4))^2),1)</x:f>
        <x:v>1</x:v>
      </x:c>
      <x:c r="G202" s="9" t="n">
        <x:f>MOD(H201*16807,2147483647)</x:f>
        <x:v>1495132254</x:v>
      </x:c>
      <x:c r="H202" s="9" t="n">
        <x:f>MOD(G202*16807,2147483647)</x:f>
        <x:v>981639431</x:v>
      </x:c>
      <x:c r="I202" s="17" t="n">
        <x:f>IF('Control Room'!$B$5="Normal",'Control Room'!$B$7+'Control Room'!$D$7*SQRT(-2*LN(MAX(0.000000000001,G202/2147483647)))*COS(2*PI()*H202/2147483647),'Control Room'!$B$8+('Control Room'!$D$8-'Control Room'!$B$8)*G202/2147483647)</x:f>
        <x:v>926.1759792884569</x:v>
      </x:c>
      <x:c r="J202" s="17" t="n">
        <x:f>IF('Control Room'!$B$5="Normal",'Control Room'!$B$7,('Control Room'!$B$8+'Control Room'!$D$8)/2)+'Control Room'!$B$9*(J201-IF('Control Room'!$B$5="Normal",'Control Room'!$B$7,('Control Room'!$B$8+'Control Room'!$D$8)/2))+SQRT(1-'Control Room'!$B$9^2)*(I202-IF('Control Room'!$B$5="Normal",'Control Room'!$B$7,('Control Room'!$B$8+'Control Room'!$D$8)/2))</x:f>
        <x:v>868.2344539814118</x:v>
      </x:c>
      <x:c r="K202" s="17" t="n">
        <x:f>IF(AND($A202&gt;='Control Room'!$A$13,$A202&lt;'Control Room'!$A$13+'Control Room'!$B$13,'Process'!BL2=1),1+('Control Room'!$C$13-1)*EXP(-0.5*(($A202-'Control Room'!$A$13-('Control Room'!$B$13-1)/2)/MAX(0.5,'Control Room'!$B$13/4))^2),1)*IF(AND($A202&gt;='Control Room'!$A$14,$A202&lt;'Control Room'!$A$14+'Control Room'!$B$14,'Process'!BL3=1),1+('Control Room'!$C$14-1)*EXP(-0.5*(($A202-'Control Room'!$A$14-('Control Room'!$B$14-1)/2)/MAX(0.5,'Control Room'!$B$14/4))^2),1)*IF(AND($A202&gt;='Control Room'!$A$15,$A202&lt;'Control Room'!$A$15+'Control Room'!$B$15,'Process'!BL4=1),1+('Control Room'!$C$15-1)*EXP(-0.5*(($A202-'Control Room'!$A$15-('Control Room'!$B$15-1)/2)/MAX(0.5,'Control Room'!$B$15/4))^2),1)*IF(AND($A202&gt;='Control Room'!$A$16,$A202&lt;'Control Room'!$A$16+'Control Room'!$B$16,'Process'!BL5=1),1+('Control Room'!$C$16-1)*EXP(-0.5*(($A202-'Control Room'!$A$16-('Control Room'!$B$16-1)/2)/MAX(0.5,'Control Room'!$B$16/4))^2),1)</x:f>
        <x:v>1</x:v>
      </x:c>
      <x:c r="L202" s="9" t="n">
        <x:f>MOD(M201*16807,2147483647)</x:f>
        <x:v>2025463028</x:v>
      </x:c>
      <x:c r="M202" s="9" t="n">
        <x:f>MOD(L202*16807,2147483647)</x:f>
        <x:v>46339352</x:v>
      </x:c>
      <x:c r="N202" s="17" t="n">
        <x:f>IF('Control Room'!$B$5="Normal",'Control Room'!$B$7+'Control Room'!$D$7*SQRT(-2*LN(MAX(0.000000000001,L202/2147483647)))*COS(2*PI()*M202/2147483647),'Control Room'!$B$8+('Control Room'!$D$8-'Control Room'!$B$8)*L202/2147483647)</x:f>
        <x:v>1030.501813093162</x:v>
      </x:c>
      <x:c r="O202" s="17" t="n">
        <x:f>IF('Control Room'!$B$5="Normal",'Control Room'!$B$7,('Control Room'!$B$8+'Control Room'!$D$8)/2)+'Control Room'!$B$9*(O201-IF('Control Room'!$B$5="Normal",'Control Room'!$B$7,('Control Room'!$B$8+'Control Room'!$D$8)/2))+SQRT(1-'Control Room'!$B$9^2)*(N202-IF('Control Room'!$B$5="Normal",'Control Room'!$B$7,('Control Room'!$B$8+'Control Room'!$D$8)/2))</x:f>
        <x:v>1037.2816456247367</x:v>
      </x:c>
      <x:c r="P202" s="17" t="n">
        <x:f>IF(AND($A202&gt;='Control Room'!$A$13,$A202&lt;'Control Room'!$A$13+'Control Room'!$B$13,'Process'!BM2=1),1+('Control Room'!$C$13-1)*EXP(-0.5*(($A202-'Control Room'!$A$13-('Control Room'!$B$13-1)/2)/MAX(0.5,'Control Room'!$B$13/4))^2),1)*IF(AND($A202&gt;='Control Room'!$A$14,$A202&lt;'Control Room'!$A$14+'Control Room'!$B$14,'Process'!BM3=1),1+('Control Room'!$C$14-1)*EXP(-0.5*(($A202-'Control Room'!$A$14-('Control Room'!$B$14-1)/2)/MAX(0.5,'Control Room'!$B$14/4))^2),1)*IF(AND($A202&gt;='Control Room'!$A$15,$A202&lt;'Control Room'!$A$15+'Control Room'!$B$15,'Process'!BM4=1),1+('Control Room'!$C$15-1)*EXP(-0.5*(($A202-'Control Room'!$A$15-('Control Room'!$B$15-1)/2)/MAX(0.5,'Control Room'!$B$15/4))^2),1)*IF(AND($A202&gt;='Control Room'!$A$16,$A202&lt;'Control Room'!$A$16+'Control Room'!$B$16,'Process'!BM5=1),1+('Control Room'!$C$16-1)*EXP(-0.5*(($A202-'Control Room'!$A$16-('Control Room'!$B$16-1)/2)/MAX(0.5,'Control Room'!$B$16/4))^2),1)</x:f>
        <x:v>1</x:v>
      </x:c>
      <x:c r="Q202" s="9" t="n">
        <x:f>MOD(R201*16807,2147483647)</x:f>
        <x:v>408310155</x:v>
      </x:c>
      <x:c r="R202" s="9" t="n">
        <x:f>MOD(Q202*16807,2147483647)</x:f>
        <x:v>1258522920</x:v>
      </x:c>
      <x:c r="S202" s="17" t="n">
        <x:f>IF('Control Room'!$B$5="Normal",'Control Room'!$B$7+'Control Room'!$D$7*SQRT(-2*LN(MAX(0.000000000001,Q202/2147483647)))*COS(2*PI()*R202/2147483647),'Control Room'!$B$8+('Control Room'!$D$8-'Control Room'!$B$8)*Q202/2147483647)</x:f>
        <x:v>859.3991012159333</x:v>
      </x:c>
      <x:c r="T202" s="17" t="n">
        <x:f>IF('Control Room'!$B$5="Normal",'Control Room'!$B$7,('Control Room'!$B$8+'Control Room'!$D$8)/2)+'Control Room'!$B$9*(T201-IF('Control Room'!$B$5="Normal",'Control Room'!$B$7,('Control Room'!$B$8+'Control Room'!$D$8)/2))+SQRT(1-'Control Room'!$B$9^2)*(S202-IF('Control Room'!$B$5="Normal",'Control Room'!$B$7,('Control Room'!$B$8+'Control Room'!$D$8)/2))</x:f>
        <x:v>1014.2142556276959</x:v>
      </x:c>
      <x:c r="U202" s="17" t="n">
        <x:f>IF(AND($A202&gt;='Control Room'!$A$13,$A202&lt;'Control Room'!$A$13+'Control Room'!$B$13,'Process'!BN2=1),1+('Control Room'!$C$13-1)*EXP(-0.5*(($A202-'Control Room'!$A$13-('Control Room'!$B$13-1)/2)/MAX(0.5,'Control Room'!$B$13/4))^2),1)*IF(AND($A202&gt;='Control Room'!$A$14,$A202&lt;'Control Room'!$A$14+'Control Room'!$B$14,'Process'!BN3=1),1+('Control Room'!$C$14-1)*EXP(-0.5*(($A202-'Control Room'!$A$14-('Control Room'!$B$14-1)/2)/MAX(0.5,'Control Room'!$B$14/4))^2),1)*IF(AND($A202&gt;='Control Room'!$A$15,$A202&lt;'Control Room'!$A$15+'Control Room'!$B$15,'Process'!BN4=1),1+('Control Room'!$C$15-1)*EXP(-0.5*(($A202-'Control Room'!$A$15-('Control Room'!$B$15-1)/2)/MAX(0.5,'Control Room'!$B$15/4))^2),1)*IF(AND($A202&gt;='Control Room'!$A$16,$A202&lt;'Control Room'!$A$16+'Control Room'!$B$16,'Process'!BN5=1),1+('Control Room'!$C$16-1)*EXP(-0.5*(($A202-'Control Room'!$A$16-('Control Room'!$B$16-1)/2)/MAX(0.5,'Control Room'!$B$16/4))^2),1)</x:f>
        <x:v>1</x:v>
      </x:c>
      <x:c r="V202" s="9" t="n">
        <x:f>MOD(W201*16807,2147483647)</x:f>
        <x:v>938640929</x:v>
      </x:c>
      <x:c r="W202" s="9" t="n">
        <x:f>MOD(V202*16807,2147483647)</x:f>
        <x:v>323222841</x:v>
      </x:c>
      <x:c r="X202" s="17" t="n">
        <x:f>IF('Control Room'!$B$5="Normal",'Control Room'!$B$7+'Control Room'!$D$7*SQRT(-2*LN(MAX(0.000000000001,V202/2147483647)))*COS(2*PI()*W202/2147483647),'Control Room'!$B$8+('Control Room'!$D$8-'Control Room'!$B$8)*V202/2147483647)</x:f>
        <x:v>1067.7579959695138</x:v>
      </x:c>
      <x:c r="Y202" s="17" t="n">
        <x:f>IF('Control Room'!$B$5="Normal",'Control Room'!$B$7,('Control Room'!$B$8+'Control Room'!$D$8)/2)+'Control Room'!$B$9*(Y201-IF('Control Room'!$B$5="Normal",'Control Room'!$B$7,('Control Room'!$B$8+'Control Room'!$D$8)/2))+SQRT(1-'Control Room'!$B$9^2)*(X202-IF('Control Room'!$B$5="Normal",'Control Room'!$B$7,('Control Room'!$B$8+'Control Room'!$D$8)/2))</x:f>
        <x:v>1042.789640916498</x:v>
      </x:c>
      <x:c r="Z202" s="17" t="n">
        <x:f>IF(AND($A202&gt;='Control Room'!$A$13,$A202&lt;'Control Room'!$A$13+'Control Room'!$B$13,'Process'!BO2=1),1+('Control Room'!$C$13-1)*EXP(-0.5*(($A202-'Control Room'!$A$13-('Control Room'!$B$13-1)/2)/MAX(0.5,'Control Room'!$B$13/4))^2),1)*IF(AND($A202&gt;='Control Room'!$A$14,$A202&lt;'Control Room'!$A$14+'Control Room'!$B$14,'Process'!BO3=1),1+('Control Room'!$C$14-1)*EXP(-0.5*(($A202-'Control Room'!$A$14-('Control Room'!$B$14-1)/2)/MAX(0.5,'Control Room'!$B$14/4))^2),1)*IF(AND($A202&gt;='Control Room'!$A$15,$A202&lt;'Control Room'!$A$15+'Control Room'!$B$15,'Process'!BO4=1),1+('Control Room'!$C$15-1)*EXP(-0.5*(($A202-'Control Room'!$A$15-('Control Room'!$B$15-1)/2)/MAX(0.5,'Control Room'!$B$15/4))^2),1)*IF(AND($A202&gt;='Control Room'!$A$16,$A202&lt;'Control Room'!$A$16+'Control Room'!$B$16,'Process'!BO5=1),1+('Control Room'!$C$16-1)*EXP(-0.5*(($A202-'Control Room'!$A$16-('Control Room'!$B$16-1)/2)/MAX(0.5,'Control Room'!$B$16/4))^2),1)</x:f>
        <x:v>1</x:v>
      </x:c>
      <x:c r="AA202" s="9" t="n">
        <x:f>MOD(AB201*16807,2147483647)</x:f>
        <x:v>1468971703</x:v>
      </x:c>
      <x:c r="AB202" s="9" t="n">
        <x:f>MOD(AA202*16807,2147483647)</x:f>
        <x:v>1535406409</x:v>
      </x:c>
      <x:c r="AC202" s="17" t="n">
        <x:f>IF('Control Room'!$B$5="Normal",'Control Room'!$B$7+'Control Room'!$D$7*SQRT(-2*LN(MAX(0.000000000001,AA202/2147483647)))*COS(2*PI()*AB202/2147483647),'Control Room'!$B$8+('Control Room'!$D$8-'Control Room'!$B$8)*AA202/2147483647)</x:f>
        <x:v>982.8804873317637</x:v>
      </x:c>
      <x:c r="AD202" s="17" t="n">
        <x:f>IF('Control Room'!$B$5="Normal",'Control Room'!$B$7,('Control Room'!$B$8+'Control Room'!$D$8)/2)+'Control Room'!$B$9*(AD201-IF('Control Room'!$B$5="Normal",'Control Room'!$B$7,('Control Room'!$B$8+'Control Room'!$D$8)/2))+SQRT(1-'Control Room'!$B$9^2)*(AC202-IF('Control Room'!$B$5="Normal",'Control Room'!$B$7,('Control Room'!$B$8+'Control Room'!$D$8)/2))</x:f>
        <x:v>948.3329773433634</x:v>
      </x:c>
      <x:c r="AE202" s="17" t="n">
        <x:f>IF(AND($A202&gt;='Control Room'!$A$13,$A202&lt;'Control Room'!$A$13+'Control Room'!$B$13,'Process'!BP2=1),1+('Control Room'!$C$13-1)*EXP(-0.5*(($A202-'Control Room'!$A$13-('Control Room'!$B$13-1)/2)/MAX(0.5,'Control Room'!$B$13/4))^2),1)*IF(AND($A202&gt;='Control Room'!$A$14,$A202&lt;'Control Room'!$A$14+'Control Room'!$B$14,'Process'!BP3=1),1+('Control Room'!$C$14-1)*EXP(-0.5*(($A202-'Control Room'!$A$14-('Control Room'!$B$14-1)/2)/MAX(0.5,'Control Room'!$B$14/4))^2),1)*IF(AND($A202&gt;='Control Room'!$A$15,$A202&lt;'Control Room'!$A$15+'Control Room'!$B$15,'Process'!BP4=1),1+('Control Room'!$C$15-1)*EXP(-0.5*(($A202-'Control Room'!$A$15-('Control Room'!$B$15-1)/2)/MAX(0.5,'Control Room'!$B$15/4))^2),1)*IF(AND($A202&gt;='Control Room'!$A$16,$A202&lt;'Control Room'!$A$16+'Control Room'!$B$16,'Process'!BP5=1),1+('Control Room'!$C$16-1)*EXP(-0.5*(($A202-'Control Room'!$A$16-('Control Room'!$B$16-1)/2)/MAX(0.5,'Control Room'!$B$16/4))^2),1)</x:f>
        <x:v>1</x:v>
      </x:c>
      <x:c r="AF202" s="9" t="n">
        <x:f>MOD(AG201*16807,2147483647)</x:f>
        <x:v>1999302477</x:v>
      </x:c>
      <x:c r="AG202" s="9" t="n">
        <x:f>MOD(AF202*16807,2147483647)</x:f>
        <x:v>600106330</x:v>
      </x:c>
      <x:c r="AH202" s="17" t="n">
        <x:f>IF('Control Room'!$B$5="Normal",'Control Room'!$B$7+'Control Room'!$D$7*SQRT(-2*LN(MAX(0.000000000001,AF202/2147483647)))*COS(2*PI()*AG202/2147483647),'Control Room'!$B$8+('Control Room'!$D$8-'Control Room'!$B$8)*AF202/2147483647)</x:f>
        <x:v>993.73911812694</x:v>
      </x:c>
      <x:c r="AI202" s="17" t="n">
        <x:f>IF('Control Room'!$B$5="Normal",'Control Room'!$B$7,('Control Room'!$B$8+'Control Room'!$D$8)/2)+'Control Room'!$B$9*(AI201-IF('Control Room'!$B$5="Normal",'Control Room'!$B$7,('Control Room'!$B$8+'Control Room'!$D$8)/2))+SQRT(1-'Control Room'!$B$9^2)*(AH202-IF('Control Room'!$B$5="Normal",'Control Room'!$B$7,('Control Room'!$B$8+'Control Room'!$D$8)/2))</x:f>
        <x:v>922.5095482992365</x:v>
      </x:c>
      <x:c r="AJ202" s="17" t="n">
        <x:f>IF(AND($A202&gt;='Control Room'!$A$13,$A202&lt;'Control Room'!$A$13+'Control Room'!$B$13,'Process'!BQ2=1),1+('Control Room'!$C$13-1)*EXP(-0.5*(($A202-'Control Room'!$A$13-('Control Room'!$B$13-1)/2)/MAX(0.5,'Control Room'!$B$13/4))^2),1)*IF(AND($A202&gt;='Control Room'!$A$14,$A202&lt;'Control Room'!$A$14+'Control Room'!$B$14,'Process'!BQ3=1),1+('Control Room'!$C$14-1)*EXP(-0.5*(($A202-'Control Room'!$A$14-('Control Room'!$B$14-1)/2)/MAX(0.5,'Control Room'!$B$14/4))^2),1)*IF(AND($A202&gt;='Control Room'!$A$15,$A202&lt;'Control Room'!$A$15+'Control Room'!$B$15,'Process'!BQ4=1),1+('Control Room'!$C$15-1)*EXP(-0.5*(($A202-'Control Room'!$A$15-('Control Room'!$B$15-1)/2)/MAX(0.5,'Control Room'!$B$15/4))^2),1)*IF(AND($A202&gt;='Control Room'!$A$16,$A202&lt;'Control Room'!$A$16+'Control Room'!$B$16,'Process'!BQ5=1),1+('Control Room'!$C$16-1)*EXP(-0.5*(($A202-'Control Room'!$A$16-('Control Room'!$B$16-1)/2)/MAX(0.5,'Control Room'!$B$16/4))^2),1)</x:f>
        <x:v>1</x:v>
      </x:c>
      <x:c r="AK202" s="9" t="n">
        <x:f>MOD(AL201*16807,2147483647)</x:f>
        <x:v>382149604</x:v>
      </x:c>
      <x:c r="AL202" s="9" t="n">
        <x:f>MOD(AK202*16807,2147483647)</x:f>
        <x:v>1812289898</x:v>
      </x:c>
      <x:c r="AM202" s="17" t="n">
        <x:f>IF('Control Room'!$B$5="Normal",'Control Room'!$B$7+'Control Room'!$D$7*SQRT(-2*LN(MAX(0.000000000001,AK202/2147483647)))*COS(2*PI()*AL202/2147483647),'Control Room'!$B$8+('Control Room'!$D$8-'Control Room'!$B$8)*AK202/2147483647)</x:f>
        <x:v>1093.0492739045005</x:v>
      </x:c>
      <x:c r="AN202" s="17" t="n">
        <x:f>IF('Control Room'!$B$5="Normal",'Control Room'!$B$7,('Control Room'!$B$8+'Control Room'!$D$8)/2)+'Control Room'!$B$9*(AN201-IF('Control Room'!$B$5="Normal",'Control Room'!$B$7,('Control Room'!$B$8+'Control Room'!$D$8)/2))+SQRT(1-'Control Room'!$B$9^2)*(AM202-IF('Control Room'!$B$5="Normal",'Control Room'!$B$7,('Control Room'!$B$8+'Control Room'!$D$8)/2))</x:f>
        <x:v>1035.9066420044992</x:v>
      </x:c>
      <x:c r="AO202" s="17" t="n">
        <x:f>IF(AND($A202&gt;='Control Room'!$A$13,$A202&lt;'Control Room'!$A$13+'Control Room'!$B$13,'Process'!BR2=1),1+('Control Room'!$C$13-1)*EXP(-0.5*(($A202-'Control Room'!$A$13-('Control Room'!$B$13-1)/2)/MAX(0.5,'Control Room'!$B$13/4))^2),1)*IF(AND($A202&gt;='Control Room'!$A$14,$A202&lt;'Control Room'!$A$14+'Control Room'!$B$14,'Process'!BR3=1),1+('Control Room'!$C$14-1)*EXP(-0.5*(($A202-'Control Room'!$A$14-('Control Room'!$B$14-1)/2)/MAX(0.5,'Control Room'!$B$14/4))^2),1)*IF(AND($A202&gt;='Control Room'!$A$15,$A202&lt;'Control Room'!$A$15+'Control Room'!$B$15,'Process'!BR4=1),1+('Control Room'!$C$15-1)*EXP(-0.5*(($A202-'Control Room'!$A$15-('Control Room'!$B$15-1)/2)/MAX(0.5,'Control Room'!$B$15/4))^2),1)*IF(AND($A202&gt;='Control Room'!$A$16,$A202&lt;'Control Room'!$A$16+'Control Room'!$B$16,'Process'!BR5=1),1+('Control Room'!$C$16-1)*EXP(-0.5*(($A202-'Control Room'!$A$16-('Control Room'!$B$16-1)/2)/MAX(0.5,'Control Room'!$B$16/4))^2),1)</x:f>
        <x:v>1</x:v>
      </x:c>
      <x:c r="AP202" s="9" t="n">
        <x:f>MOD(AQ201*16807,2147483647)</x:f>
        <x:v>912480378</x:v>
      </x:c>
      <x:c r="AQ202" s="9" t="n">
        <x:f>MOD(AP202*16807,2147483647)</x:f>
        <x:v>876989819</x:v>
      </x:c>
      <x:c r="AR202" s="17" t="n">
        <x:f>IF('Control Room'!$B$5="Normal",'Control Room'!$B$7+'Control Room'!$D$7*SQRT(-2*LN(MAX(0.000000000001,AP202/2147483647)))*COS(2*PI()*AQ202/2147483647),'Control Room'!$B$8+('Control Room'!$D$8-'Control Room'!$B$8)*AP202/2147483647)</x:f>
        <x:v>901.2266525995686</x:v>
      </x:c>
      <x:c r="AS202" s="17" t="n">
        <x:f>IF('Control Room'!$B$5="Normal",'Control Room'!$B$7,('Control Room'!$B$8+'Control Room'!$D$8)/2)+'Control Room'!$B$9*(AS201-IF('Control Room'!$B$5="Normal",'Control Room'!$B$7,('Control Room'!$B$8+'Control Room'!$D$8)/2))+SQRT(1-'Control Room'!$B$9^2)*(AR202-IF('Control Room'!$B$5="Normal",'Control Room'!$B$7,('Control Room'!$B$8+'Control Room'!$D$8)/2))</x:f>
        <x:v>895.9954845583304</x:v>
      </x:c>
      <x:c r="AT202" s="17" t="n">
        <x:f>IF(AND($A202&gt;='Control Room'!$A$13,$A202&lt;'Control Room'!$A$13+'Control Room'!$B$13,'Process'!BS2=1),1+('Control Room'!$C$13-1)*EXP(-0.5*(($A202-'Control Room'!$A$13-('Control Room'!$B$13-1)/2)/MAX(0.5,'Control Room'!$B$13/4))^2),1)*IF(AND($A202&gt;='Control Room'!$A$14,$A202&lt;'Control Room'!$A$14+'Control Room'!$B$14,'Process'!BS3=1),1+('Control Room'!$C$14-1)*EXP(-0.5*(($A202-'Control Room'!$A$14-('Control Room'!$B$14-1)/2)/MAX(0.5,'Control Room'!$B$14/4))^2),1)*IF(AND($A202&gt;='Control Room'!$A$15,$A202&lt;'Control Room'!$A$15+'Control Room'!$B$15,'Process'!BS4=1),1+('Control Room'!$C$15-1)*EXP(-0.5*(($A202-'Control Room'!$A$15-('Control Room'!$B$15-1)/2)/MAX(0.5,'Control Room'!$B$15/4))^2),1)*IF(AND($A202&gt;='Control Room'!$A$16,$A202&lt;'Control Room'!$A$16+'Control Room'!$B$16,'Process'!BS5=1),1+('Control Room'!$C$16-1)*EXP(-0.5*(($A202-'Control Room'!$A$16-('Control Room'!$B$16-1)/2)/MAX(0.5,'Control Room'!$B$16/4))^2),1)</x:f>
        <x:v>1</x:v>
      </x:c>
      <x:c r="AU202" s="9" t="n">
        <x:f>MOD(AV201*16807,2147483647)</x:f>
        <x:v>1442811152</x:v>
      </x:c>
      <x:c r="AV202" s="9" t="n">
        <x:f>MOD(AU202*16807,2147483647)</x:f>
        <x:v>2089173387</x:v>
      </x:c>
      <x:c r="AW202" s="17" t="n">
        <x:f>IF('Control Room'!$B$5="Normal",'Control Room'!$B$7+'Control Room'!$D$7*SQRT(-2*LN(MAX(0.000000000001,AU202/2147483647)))*COS(2*PI()*AV202/2147483647),'Control Room'!$B$8+('Control Room'!$D$8-'Control Room'!$B$8)*AU202/2147483647)</x:f>
        <x:v>1079.1017043296292</x:v>
      </x:c>
      <x:c r="AX202" s="17" t="n">
        <x:f>IF('Control Room'!$B$5="Normal",'Control Room'!$B$7,('Control Room'!$B$8+'Control Room'!$D$8)/2)+'Control Room'!$B$9*(AX201-IF('Control Room'!$B$5="Normal",'Control Room'!$B$7,('Control Room'!$B$8+'Control Room'!$D$8)/2))+SQRT(1-'Control Room'!$B$9^2)*(AW202-IF('Control Room'!$B$5="Normal",'Control Room'!$B$7,('Control Room'!$B$8+'Control Room'!$D$8)/2))</x:f>
        <x:v>1036.2737845485324</x:v>
      </x:c>
      <x:c r="AY202" s="17" t="n">
        <x:f>IF(AND($A202&gt;='Control Room'!$A$13,$A202&lt;'Control Room'!$A$13+'Control Room'!$B$13,'Process'!BT2=1),1+('Control Room'!$C$13-1)*EXP(-0.5*(($A202-'Control Room'!$A$13-('Control Room'!$B$13-1)/2)/MAX(0.5,'Control Room'!$B$13/4))^2),1)*IF(AND($A202&gt;='Control Room'!$A$14,$A202&lt;'Control Room'!$A$14+'Control Room'!$B$14,'Process'!BT3=1),1+('Control Room'!$C$14-1)*EXP(-0.5*(($A202-'Control Room'!$A$14-('Control Room'!$B$14-1)/2)/MAX(0.5,'Control Room'!$B$14/4))^2),1)*IF(AND($A202&gt;='Control Room'!$A$15,$A202&lt;'Control Room'!$A$15+'Control Room'!$B$15,'Process'!BT4=1),1+('Control Room'!$C$15-1)*EXP(-0.5*(($A202-'Control Room'!$A$15-('Control Room'!$B$15-1)/2)/MAX(0.5,'Control Room'!$B$15/4))^2),1)*IF(AND($A202&gt;='Control Room'!$A$16,$A202&lt;'Control Room'!$A$16+'Control Room'!$B$16,'Process'!BT5=1),1+('Control Room'!$C$16-1)*EXP(-0.5*(($A202-'Control Room'!$A$16-('Control Room'!$B$16-1)/2)/MAX(0.5,'Control Room'!$B$16/4))^2),1)</x:f>
        <x:v>1</x:v>
      </x:c>
      <x:c r="AZ202" s="9" t="n">
        <x:f>MOD(BA201*16807,2147483647)</x:f>
        <x:v>1973141926</x:v>
      </x:c>
      <x:c r="BA202" s="9" t="n">
        <x:f>MOD(AZ202*16807,2147483647)</x:f>
        <x:v>1153873308</x:v>
      </x:c>
      <x:c r="BB202" s="17" t="n">
        <x:f>IF('Control Room'!$B$5="Normal",'Control Room'!$B$7+'Control Room'!$D$7*SQRT(-2*LN(MAX(0.000000000001,AZ202/2147483647)))*COS(2*PI()*BA202/2147483647),'Control Room'!$B$8+('Control Room'!$D$8-'Control Room'!$B$8)*AZ202/2147483647)</x:f>
        <x:v>963.9774681834115</x:v>
      </x:c>
      <x:c r="BC202" s="17" t="n">
        <x:f>IF('Control Room'!$B$5="Normal",'Control Room'!$B$7,('Control Room'!$B$8+'Control Room'!$D$8)/2)+'Control Room'!$B$9*(BC201-IF('Control Room'!$B$5="Normal",'Control Room'!$B$7,('Control Room'!$B$8+'Control Room'!$D$8)/2))+SQRT(1-'Control Room'!$B$9^2)*(BB202-IF('Control Room'!$B$5="Normal",'Control Room'!$B$7,('Control Room'!$B$8+'Control Room'!$D$8)/2))</x:f>
        <x:v>1000.7303055582465</x:v>
      </x:c>
      <x:c r="BD202" s="17" t="n">
        <x:f>IF(AND($A202&gt;='Control Room'!$A$13,$A202&lt;'Control Room'!$A$13+'Control Room'!$B$13,'Process'!BU2=1),1+('Control Room'!$C$13-1)*EXP(-0.5*(($A202-'Control Room'!$A$13-('Control Room'!$B$13-1)/2)/MAX(0.5,'Control Room'!$B$13/4))^2),1)*IF(AND($A202&gt;='Control Room'!$A$14,$A202&lt;'Control Room'!$A$14+'Control Room'!$B$14,'Process'!BU3=1),1+('Control Room'!$C$14-1)*EXP(-0.5*(($A202-'Control Room'!$A$14-('Control Room'!$B$14-1)/2)/MAX(0.5,'Control Room'!$B$14/4))^2),1)*IF(AND($A202&gt;='Control Room'!$A$15,$A202&lt;'Control Room'!$A$15+'Control Room'!$B$15,'Process'!BU4=1),1+('Control Room'!$C$15-1)*EXP(-0.5*(($A202-'Control Room'!$A$15-('Control Room'!$B$15-1)/2)/MAX(0.5,'Control Room'!$B$15/4))^2),1)*IF(AND($A202&gt;='Control Room'!$A$16,$A202&lt;'Control Room'!$A$16+'Control Room'!$B$16,'Process'!BU5=1),1+('Control Room'!$C$16-1)*EXP(-0.5*(($A202-'Control Room'!$A$16-('Control Room'!$B$16-1)/2)/MAX(0.5,'Control Room'!$B$16/4))^2),1)</x:f>
        <x:v>1</x:v>
      </x:c>
      <x:c r="BE202" s="9" t="n">
        <x:f>MOD(BF201*16807,2147483647)</x:f>
        <x:v>355989053</x:v>
      </x:c>
      <x:c r="BF202" s="9" t="n">
        <x:f>MOD(BE202*16807,2147483647)</x:f>
        <x:v>218573229</x:v>
      </x:c>
      <x:c r="BG202" s="17" t="n">
        <x:f>IF('Control Room'!$B$5="Normal",'Control Room'!$B$7+'Control Room'!$D$7*SQRT(-2*LN(MAX(0.000000000001,BE202/2147483647)))*COS(2*PI()*BF202/2147483647),'Control Room'!$B$8+('Control Room'!$D$8-'Control Room'!$B$8)*BE202/2147483647)</x:f>
        <x:v>1136.9098439896127</x:v>
      </x:c>
      <x:c r="BH202" s="17" t="n">
        <x:f>IF('Control Room'!$B$5="Normal",'Control Room'!$B$7,('Control Room'!$B$8+'Control Room'!$D$8)/2)+'Control Room'!$B$9*(BH201-IF('Control Room'!$B$5="Normal",'Control Room'!$B$7,('Control Room'!$B$8+'Control Room'!$D$8)/2))+SQRT(1-'Control Room'!$B$9^2)*(BG202-IF('Control Room'!$B$5="Normal",'Control Room'!$B$7,('Control Room'!$B$8+'Control Room'!$D$8)/2))</x:f>
        <x:v>1101.7902236065672</x:v>
      </x:c>
      <x:c r="BI202" s="17" t="n">
        <x:f>IF(AND($A202&gt;='Control Room'!$A$13,$A202&lt;'Control Room'!$A$13+'Control Room'!$B$13,'Process'!BV2=1),1+('Control Room'!$C$13-1)*EXP(-0.5*(($A202-'Control Room'!$A$13-('Control Room'!$B$13-1)/2)/MAX(0.5,'Control Room'!$B$13/4))^2),1)*IF(AND($A202&gt;='Control Room'!$A$14,$A202&lt;'Control Room'!$A$14+'Control Room'!$B$14,'Process'!BV3=1),1+('Control Room'!$C$14-1)*EXP(-0.5*(($A202-'Control Room'!$A$14-('Control Room'!$B$14-1)/2)/MAX(0.5,'Control Room'!$B$14/4))^2),1)*IF(AND($A202&gt;='Control Room'!$A$15,$A202&lt;'Control Room'!$A$15+'Control Room'!$B$15,'Process'!BV4=1),1+('Control Room'!$C$15-1)*EXP(-0.5*(($A202-'Control Room'!$A$15-('Control Room'!$B$15-1)/2)/MAX(0.5,'Control Room'!$B$15/4))^2),1)*IF(AND($A202&gt;='Control Room'!$A$16,$A202&lt;'Control Room'!$A$16+'Control Room'!$B$16,'Process'!BV5=1),1+('Control Room'!$C$16-1)*EXP(-0.5*(($A202-'Control Room'!$A$16-('Control Room'!$B$16-1)/2)/MAX(0.5,'Control Room'!$B$16/4))^2),1)</x:f>
        <x:v>1</x:v>
      </x:c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Z202" t="str">
        <x:f>IF('Data'!A202="","",TEXT('Data'!A202,"mm-dd"))</x:f>
      </x:c>
    </x:row>
    <x:row r="203" ht="21" customHeight="1">
      <x:c r="A203" s="15" t="n">
        <x:f>'Control Room'!$B$1+201</x:f>
        <x:v>73192</x:v>
      </x:c>
      <x:c r="B203" s="9" t="n">
        <x:f>MOD(C202*16807,2147483647)</x:f>
        <x:v>1452672276</x:v>
      </x:c>
      <x:c r="C203" s="9" t="n">
        <x:f>MOD(B203*16807,2147483647)</x:f>
        <x:v>321359989</x:v>
      </x:c>
      <x:c r="D203" s="17" t="n">
        <x:f>IF('Control Room'!$B$5="Normal",'Control Room'!$B$7+'Control Room'!$D$7*SQRT(-2*LN(MAX(0.000000000001,B203/2147483647)))*COS(2*PI()*C203/2147483647),'Control Room'!$B$8+('Control Room'!$D$8-'Control Room'!$B$8)*B203/2147483647)</x:f>
        <x:v>1046.9175253416333</x:v>
      </x:c>
      <x:c r="E203" s="17" t="n">
        <x:f>IF('Control Room'!$B$5="Normal",'Control Room'!$B$7,('Control Room'!$B$8+'Control Room'!$D$8)/2)+'Control Room'!$B$9*(E202-IF('Control Room'!$B$5="Normal",'Control Room'!$B$7,('Control Room'!$B$8+'Control Room'!$D$8)/2))+SQRT(1-'Control Room'!$B$9^2)*(D203-IF('Control Room'!$B$5="Normal",'Control Room'!$B$7,('Control Room'!$B$8+'Control Room'!$D$8)/2))</x:f>
        <x:v>1060.5909240685098</x:v>
      </x:c>
      <x:c r="F203" s="17" t="n">
        <x:f>IF(AND($A203&gt;='Control Room'!$A$13,$A203&lt;'Control Room'!$A$13+'Control Room'!$B$13,'Process'!BK2=1),1+('Control Room'!$C$13-1)*EXP(-0.5*(($A203-'Control Room'!$A$13-('Control Room'!$B$13-1)/2)/MAX(0.5,'Control Room'!$B$13/4))^2),1)*IF(AND($A203&gt;='Control Room'!$A$14,$A203&lt;'Control Room'!$A$14+'Control Room'!$B$14,'Process'!BK3=1),1+('Control Room'!$C$14-1)*EXP(-0.5*(($A203-'Control Room'!$A$14-('Control Room'!$B$14-1)/2)/MAX(0.5,'Control Room'!$B$14/4))^2),1)*IF(AND($A203&gt;='Control Room'!$A$15,$A203&lt;'Control Room'!$A$15+'Control Room'!$B$15,'Process'!BK4=1),1+('Control Room'!$C$15-1)*EXP(-0.5*(($A203-'Control Room'!$A$15-('Control Room'!$B$15-1)/2)/MAX(0.5,'Control Room'!$B$15/4))^2),1)*IF(AND($A203&gt;='Control Room'!$A$16,$A203&lt;'Control Room'!$A$16+'Control Room'!$B$16,'Process'!BK5=1),1+('Control Room'!$C$16-1)*EXP(-0.5*(($A203-'Control Room'!$A$16-('Control Room'!$B$16-1)/2)/MAX(0.5,'Control Room'!$B$16/4))^2),1)</x:f>
        <x:v>1</x:v>
      </x:c>
      <x:c r="G203" s="9" t="n">
        <x:f>MOD(H202*16807,2147483647)</x:f>
        <x:v>1444540563</x:v>
      </x:c>
      <x:c r="H203" s="9" t="n">
        <x:f>MOD(G203*16807,2147483647)</x:f>
        <x:v>1090613006</x:v>
      </x:c>
      <x:c r="I203" s="17" t="n">
        <x:f>IF('Control Room'!$B$5="Normal",'Control Room'!$B$7+'Control Room'!$D$7*SQRT(-2*LN(MAX(0.000000000001,G203/2147483647)))*COS(2*PI()*H203/2147483647),'Control Room'!$B$8+('Control Room'!$D$8-'Control Room'!$B$8)*G203/2147483647)</x:f>
        <x:v>919.9515812921936</x:v>
      </x:c>
      <x:c r="J203" s="17" t="n">
        <x:f>IF('Control Room'!$B$5="Normal",'Control Room'!$B$7,('Control Room'!$B$8+'Control Room'!$D$8)/2)+'Control Room'!$B$9*(J202-IF('Control Room'!$B$5="Normal",'Control Room'!$B$7,('Control Room'!$B$8+'Control Room'!$D$8)/2))+SQRT(1-'Control Room'!$B$9^2)*(I203-IF('Control Room'!$B$5="Normal",'Control Room'!$B$7,('Control Room'!$B$8+'Control Room'!$D$8)/2))</x:f>
        <x:v>847.1302135591486</x:v>
      </x:c>
      <x:c r="K203" s="17" t="n">
        <x:f>IF(AND($A203&gt;='Control Room'!$A$13,$A203&lt;'Control Room'!$A$13+'Control Room'!$B$13,'Process'!BL2=1),1+('Control Room'!$C$13-1)*EXP(-0.5*(($A203-'Control Room'!$A$13-('Control Room'!$B$13-1)/2)/MAX(0.5,'Control Room'!$B$13/4))^2),1)*IF(AND($A203&gt;='Control Room'!$A$14,$A203&lt;'Control Room'!$A$14+'Control Room'!$B$14,'Process'!BL3=1),1+('Control Room'!$C$14-1)*EXP(-0.5*(($A203-'Control Room'!$A$14-('Control Room'!$B$14-1)/2)/MAX(0.5,'Control Room'!$B$14/4))^2),1)*IF(AND($A203&gt;='Control Room'!$A$15,$A203&lt;'Control Room'!$A$15+'Control Room'!$B$15,'Process'!BL4=1),1+('Control Room'!$C$15-1)*EXP(-0.5*(($A203-'Control Room'!$A$15-('Control Room'!$B$15-1)/2)/MAX(0.5,'Control Room'!$B$15/4))^2),1)*IF(AND($A203&gt;='Control Room'!$A$16,$A203&lt;'Control Room'!$A$16+'Control Room'!$B$16,'Process'!BL5=1),1+('Control Room'!$C$16-1)*EXP(-0.5*(($A203-'Control Room'!$A$16-('Control Room'!$B$16-1)/2)/MAX(0.5,'Control Room'!$B$16/4))^2),1)</x:f>
        <x:v>1</x:v>
      </x:c>
      <x:c r="L203" s="9" t="n">
        <x:f>MOD(M202*16807,2147483647)</x:f>
        <x:v>1436408850</x:v>
      </x:c>
      <x:c r="M203" s="9" t="n">
        <x:f>MOD(L203*16807,2147483647)</x:f>
        <x:v>1859866023</x:v>
      </x:c>
      <x:c r="N203" s="17" t="n">
        <x:f>IF('Control Room'!$B$5="Normal",'Control Room'!$B$7+'Control Room'!$D$7*SQRT(-2*LN(MAX(0.000000000001,L203/2147483647)))*COS(2*PI()*M203/2147483647),'Control Room'!$B$8+('Control Room'!$D$8-'Control Room'!$B$8)*L203/2147483647)</x:f>
        <x:v>1053.7824247324334</x:v>
      </x:c>
      <x:c r="O203" s="17" t="n">
        <x:f>IF('Control Room'!$B$5="Normal",'Control Room'!$B$7,('Control Room'!$B$8+'Control Room'!$D$8)/2)+'Control Room'!$B$9*(O202-IF('Control Room'!$B$5="Normal",'Control Room'!$B$7,('Control Room'!$B$8+'Control Room'!$D$8)/2))+SQRT(1-'Control Room'!$B$9^2)*(N203-IF('Control Room'!$B$5="Normal",'Control Room'!$B$7,('Control Room'!$B$8+'Control Room'!$D$8)/2))</x:f>
        <x:v>1062.735623191993</x:v>
      </x:c>
      <x:c r="P203" s="17" t="n">
        <x:f>IF(AND($A203&gt;='Control Room'!$A$13,$A203&lt;'Control Room'!$A$13+'Control Room'!$B$13,'Process'!BM2=1),1+('Control Room'!$C$13-1)*EXP(-0.5*(($A203-'Control Room'!$A$13-('Control Room'!$B$13-1)/2)/MAX(0.5,'Control Room'!$B$13/4))^2),1)*IF(AND($A203&gt;='Control Room'!$A$14,$A203&lt;'Control Room'!$A$14+'Control Room'!$B$14,'Process'!BM3=1),1+('Control Room'!$C$14-1)*EXP(-0.5*(($A203-'Control Room'!$A$14-('Control Room'!$B$14-1)/2)/MAX(0.5,'Control Room'!$B$14/4))^2),1)*IF(AND($A203&gt;='Control Room'!$A$15,$A203&lt;'Control Room'!$A$15+'Control Room'!$B$15,'Process'!BM4=1),1+('Control Room'!$C$15-1)*EXP(-0.5*(($A203-'Control Room'!$A$15-('Control Room'!$B$15-1)/2)/MAX(0.5,'Control Room'!$B$15/4))^2),1)*IF(AND($A203&gt;='Control Room'!$A$16,$A203&lt;'Control Room'!$A$16+'Control Room'!$B$16,'Process'!BM5=1),1+('Control Room'!$C$16-1)*EXP(-0.5*(($A203-'Control Room'!$A$16-('Control Room'!$B$16-1)/2)/MAX(0.5,'Control Room'!$B$16/4))^2),1)</x:f>
        <x:v>1</x:v>
      </x:c>
      <x:c r="Q203" s="9" t="n">
        <x:f>MOD(R202*16807,2147483647)</x:f>
        <x:v>1428277137</x:v>
      </x:c>
      <x:c r="R203" s="9" t="n">
        <x:f>MOD(Q203*16807,2147483647)</x:f>
        <x:v>481635393</x:v>
      </x:c>
      <x:c r="S203" s="17" t="n">
        <x:f>IF('Control Room'!$B$5="Normal",'Control Room'!$B$7+'Control Room'!$D$7*SQRT(-2*LN(MAX(0.000000000001,Q203/2147483647)))*COS(2*PI()*R203/2147483647),'Control Room'!$B$8+('Control Room'!$D$8-'Control Room'!$B$8)*Q203/2147483647)</x:f>
        <x:v>1013.0789314460341</x:v>
      </x:c>
      <x:c r="T203" s="17" t="n">
        <x:f>IF('Control Room'!$B$5="Normal",'Control Room'!$B$7,('Control Room'!$B$8+'Control Room'!$D$8)/2)+'Control Room'!$B$9*(T202-IF('Control Room'!$B$5="Normal",'Control Room'!$B$7,('Control Room'!$B$8+'Control Room'!$D$8)/2))+SQRT(1-'Control Room'!$B$9^2)*(S203-IF('Control Room'!$B$5="Normal",'Control Room'!$B$7,('Control Room'!$B$8+'Control Room'!$D$8)/2))</x:f>
        <x:v>1019.2716467520565</x:v>
      </x:c>
      <x:c r="U203" s="17" t="n">
        <x:f>IF(AND($A203&gt;='Control Room'!$A$13,$A203&lt;'Control Room'!$A$13+'Control Room'!$B$13,'Process'!BN2=1),1+('Control Room'!$C$13-1)*EXP(-0.5*(($A203-'Control Room'!$A$13-('Control Room'!$B$13-1)/2)/MAX(0.5,'Control Room'!$B$13/4))^2),1)*IF(AND($A203&gt;='Control Room'!$A$14,$A203&lt;'Control Room'!$A$14+'Control Room'!$B$14,'Process'!BN3=1),1+('Control Room'!$C$14-1)*EXP(-0.5*(($A203-'Control Room'!$A$14-('Control Room'!$B$14-1)/2)/MAX(0.5,'Control Room'!$B$14/4))^2),1)*IF(AND($A203&gt;='Control Room'!$A$15,$A203&lt;'Control Room'!$A$15+'Control Room'!$B$15,'Process'!BN4=1),1+('Control Room'!$C$15-1)*EXP(-0.5*(($A203-'Control Room'!$A$15-('Control Room'!$B$15-1)/2)/MAX(0.5,'Control Room'!$B$15/4))^2),1)*IF(AND($A203&gt;='Control Room'!$A$16,$A203&lt;'Control Room'!$A$16+'Control Room'!$B$16,'Process'!BN5=1),1+('Control Room'!$C$16-1)*EXP(-0.5*(($A203-'Control Room'!$A$16-('Control Room'!$B$16-1)/2)/MAX(0.5,'Control Room'!$B$16/4))^2),1)</x:f>
        <x:v>1</x:v>
      </x:c>
      <x:c r="V203" s="9" t="n">
        <x:f>MOD(W202*16807,2147483647)</x:f>
        <x:v>1420145424</x:v>
      </x:c>
      <x:c r="W203" s="9" t="n">
        <x:f>MOD(V203*16807,2147483647)</x:f>
        <x:v>1250888410</x:v>
      </x:c>
      <x:c r="X203" s="17" t="n">
        <x:f>IF('Control Room'!$B$5="Normal",'Control Room'!$B$7+'Control Room'!$D$7*SQRT(-2*LN(MAX(0.000000000001,V203/2147483647)))*COS(2*PI()*W203/2147483647),'Control Room'!$B$8+('Control Room'!$D$8-'Control Room'!$B$8)*V203/2147483647)</x:f>
        <x:v>928.9006527637847</x:v>
      </x:c>
      <x:c r="Y203" s="17" t="n">
        <x:f>IF('Control Room'!$B$5="Normal",'Control Room'!$B$7,('Control Room'!$B$8+'Control Room'!$D$8)/2)+'Control Room'!$B$9*(Y202-IF('Control Room'!$B$5="Normal",'Control Room'!$B$7,('Control Room'!$B$8+'Control Room'!$D$8)/2))+SQRT(1-'Control Room'!$B$9^2)*(X203-IF('Control Room'!$B$5="Normal",'Control Room'!$B$7,('Control Room'!$B$8+'Control Room'!$D$8)/2))</x:f>
        <x:v>988.8834049637436</x:v>
      </x:c>
      <x:c r="Z203" s="17" t="n">
        <x:f>IF(AND($A203&gt;='Control Room'!$A$13,$A203&lt;'Control Room'!$A$13+'Control Room'!$B$13,'Process'!BO2=1),1+('Control Room'!$C$13-1)*EXP(-0.5*(($A203-'Control Room'!$A$13-('Control Room'!$B$13-1)/2)/MAX(0.5,'Control Room'!$B$13/4))^2),1)*IF(AND($A203&gt;='Control Room'!$A$14,$A203&lt;'Control Room'!$A$14+'Control Room'!$B$14,'Process'!BO3=1),1+('Control Room'!$C$14-1)*EXP(-0.5*(($A203-'Control Room'!$A$14-('Control Room'!$B$14-1)/2)/MAX(0.5,'Control Room'!$B$14/4))^2),1)*IF(AND($A203&gt;='Control Room'!$A$15,$A203&lt;'Control Room'!$A$15+'Control Room'!$B$15,'Process'!BO4=1),1+('Control Room'!$C$15-1)*EXP(-0.5*(($A203-'Control Room'!$A$15-('Control Room'!$B$15-1)/2)/MAX(0.5,'Control Room'!$B$15/4))^2),1)*IF(AND($A203&gt;='Control Room'!$A$16,$A203&lt;'Control Room'!$A$16+'Control Room'!$B$16,'Process'!BO5=1),1+('Control Room'!$C$16-1)*EXP(-0.5*(($A203-'Control Room'!$A$16-('Control Room'!$B$16-1)/2)/MAX(0.5,'Control Room'!$B$16/4))^2),1)</x:f>
        <x:v>1</x:v>
      </x:c>
      <x:c r="AA203" s="9" t="n">
        <x:f>MOD(AB202*16807,2147483647)</x:f>
        <x:v>1412013711</x:v>
      </x:c>
      <x:c r="AB203" s="9" t="n">
        <x:f>MOD(AA203*16807,2147483647)</x:f>
        <x:v>2020141427</x:v>
      </x:c>
      <x:c r="AC203" s="17" t="n">
        <x:f>IF('Control Room'!$B$5="Normal",'Control Room'!$B$7+'Control Room'!$D$7*SQRT(-2*LN(MAX(0.000000000001,AA203/2147483647)))*COS(2*PI()*AB203/2147483647),'Control Room'!$B$8+('Control Room'!$D$8-'Control Room'!$B$8)*AA203/2147483647)</x:f>
        <x:v>1076.7611160438748</x:v>
      </x:c>
      <x:c r="AD203" s="17" t="n">
        <x:f>IF('Control Room'!$B$5="Normal",'Control Room'!$B$7,('Control Room'!$B$8+'Control Room'!$D$8)/2)+'Control Room'!$B$9*(AD202-IF('Control Room'!$B$5="Normal",'Control Room'!$B$7,('Control Room'!$B$8+'Control Room'!$D$8)/2))+SQRT(1-'Control Room'!$B$9^2)*(AC203-IF('Control Room'!$B$5="Normal",'Control Room'!$B$7,('Control Room'!$B$8+'Control Room'!$D$8)/2))</x:f>
        <x:v>1007.7352562111432</x:v>
      </x:c>
      <x:c r="AE203" s="17" t="n">
        <x:f>IF(AND($A203&gt;='Control Room'!$A$13,$A203&lt;'Control Room'!$A$13+'Control Room'!$B$13,'Process'!BP2=1),1+('Control Room'!$C$13-1)*EXP(-0.5*(($A203-'Control Room'!$A$13-('Control Room'!$B$13-1)/2)/MAX(0.5,'Control Room'!$B$13/4))^2),1)*IF(AND($A203&gt;='Control Room'!$A$14,$A203&lt;'Control Room'!$A$14+'Control Room'!$B$14,'Process'!BP3=1),1+('Control Room'!$C$14-1)*EXP(-0.5*(($A203-'Control Room'!$A$14-('Control Room'!$B$14-1)/2)/MAX(0.5,'Control Room'!$B$14/4))^2),1)*IF(AND($A203&gt;='Control Room'!$A$15,$A203&lt;'Control Room'!$A$15+'Control Room'!$B$15,'Process'!BP4=1),1+('Control Room'!$C$15-1)*EXP(-0.5*(($A203-'Control Room'!$A$15-('Control Room'!$B$15-1)/2)/MAX(0.5,'Control Room'!$B$15/4))^2),1)*IF(AND($A203&gt;='Control Room'!$A$16,$A203&lt;'Control Room'!$A$16+'Control Room'!$B$16,'Process'!BP5=1),1+('Control Room'!$C$16-1)*EXP(-0.5*(($A203-'Control Room'!$A$16-('Control Room'!$B$16-1)/2)/MAX(0.5,'Control Room'!$B$16/4))^2),1)</x:f>
        <x:v>1</x:v>
      </x:c>
      <x:c r="AF203" s="9" t="n">
        <x:f>MOD(AG202*16807,2147483647)</x:f>
        <x:v>1403881998</x:v>
      </x:c>
      <x:c r="AG203" s="9" t="n">
        <x:f>MOD(AF203*16807,2147483647)</x:f>
        <x:v>641910797</x:v>
      </x:c>
      <x:c r="AH203" s="17" t="n">
        <x:f>IF('Control Room'!$B$5="Normal",'Control Room'!$B$7+'Control Room'!$D$7*SQRT(-2*LN(MAX(0.000000000001,AF203/2147483647)))*COS(2*PI()*AG203/2147483647),'Control Room'!$B$8+('Control Room'!$D$8-'Control Room'!$B$8)*AF203/2147483647)</x:f>
        <x:v>974.8969613053208</x:v>
      </x:c>
      <x:c r="AI203" s="17" t="n">
        <x:f>IF('Control Room'!$B$5="Normal",'Control Room'!$B$7,('Control Room'!$B$8+'Control Room'!$D$8)/2)+'Control Room'!$B$9*(AI202-IF('Control Room'!$B$5="Normal",'Control Room'!$B$7,('Control Room'!$B$8+'Control Room'!$D$8)/2))+SQRT(1-'Control Room'!$B$9^2)*(AH203-IF('Control Room'!$B$5="Normal",'Control Room'!$B$7,('Control Room'!$B$8+'Control Room'!$D$8)/2))</x:f>
        <x:v>923.8484803219746</x:v>
      </x:c>
      <x:c r="AJ203" s="17" t="n">
        <x:f>IF(AND($A203&gt;='Control Room'!$A$13,$A203&lt;'Control Room'!$A$13+'Control Room'!$B$13,'Process'!BQ2=1),1+('Control Room'!$C$13-1)*EXP(-0.5*(($A203-'Control Room'!$A$13-('Control Room'!$B$13-1)/2)/MAX(0.5,'Control Room'!$B$13/4))^2),1)*IF(AND($A203&gt;='Control Room'!$A$14,$A203&lt;'Control Room'!$A$14+'Control Room'!$B$14,'Process'!BQ3=1),1+('Control Room'!$C$14-1)*EXP(-0.5*(($A203-'Control Room'!$A$14-('Control Room'!$B$14-1)/2)/MAX(0.5,'Control Room'!$B$14/4))^2),1)*IF(AND($A203&gt;='Control Room'!$A$15,$A203&lt;'Control Room'!$A$15+'Control Room'!$B$15,'Process'!BQ4=1),1+('Control Room'!$C$15-1)*EXP(-0.5*(($A203-'Control Room'!$A$15-('Control Room'!$B$15-1)/2)/MAX(0.5,'Control Room'!$B$15/4))^2),1)*IF(AND($A203&gt;='Control Room'!$A$16,$A203&lt;'Control Room'!$A$16+'Control Room'!$B$16,'Process'!BQ5=1),1+('Control Room'!$C$16-1)*EXP(-0.5*(($A203-'Control Room'!$A$16-('Control Room'!$B$16-1)/2)/MAX(0.5,'Control Room'!$B$16/4))^2),1)</x:f>
        <x:v>1</x:v>
      </x:c>
      <x:c r="AK203" s="9" t="n">
        <x:f>MOD(AL202*16807,2147483647)</x:f>
        <x:v>1395750285</x:v>
      </x:c>
      <x:c r="AL203" s="9" t="n">
        <x:f>MOD(AK203*16807,2147483647)</x:f>
        <x:v>1411163814</x:v>
      </x:c>
      <x:c r="AM203" s="17" t="n">
        <x:f>IF('Control Room'!$B$5="Normal",'Control Room'!$B$7+'Control Room'!$D$7*SQRT(-2*LN(MAX(0.000000000001,AK203/2147483647)))*COS(2*PI()*AL203/2147483647),'Control Room'!$B$8+('Control Room'!$D$8-'Control Room'!$B$8)*AK203/2147483647)</x:f>
        <x:v>953.9664154641157</x:v>
      </x:c>
      <x:c r="AN203" s="17" t="n">
        <x:f>IF('Control Room'!$B$5="Normal",'Control Room'!$B$7,('Control Room'!$B$8+'Control Room'!$D$8)/2)+'Control Room'!$B$9*(AN202-IF('Control Room'!$B$5="Normal",'Control Room'!$B$7,('Control Room'!$B$8+'Control Room'!$D$8)/2))+SQRT(1-'Control Room'!$B$9^2)*(AM203-IF('Control Room'!$B$5="Normal",'Control Room'!$B$7,('Control Room'!$B$8+'Control Room'!$D$8)/2))</x:f>
        <x:v>999.2003066101914</x:v>
      </x:c>
      <x:c r="AO203" s="17" t="n">
        <x:f>IF(AND($A203&gt;='Control Room'!$A$13,$A203&lt;'Control Room'!$A$13+'Control Room'!$B$13,'Process'!BR2=1),1+('Control Room'!$C$13-1)*EXP(-0.5*(($A203-'Control Room'!$A$13-('Control Room'!$B$13-1)/2)/MAX(0.5,'Control Room'!$B$13/4))^2),1)*IF(AND($A203&gt;='Control Room'!$A$14,$A203&lt;'Control Room'!$A$14+'Control Room'!$B$14,'Process'!BR3=1),1+('Control Room'!$C$14-1)*EXP(-0.5*(($A203-'Control Room'!$A$14-('Control Room'!$B$14-1)/2)/MAX(0.5,'Control Room'!$B$14/4))^2),1)*IF(AND($A203&gt;='Control Room'!$A$15,$A203&lt;'Control Room'!$A$15+'Control Room'!$B$15,'Process'!BR4=1),1+('Control Room'!$C$15-1)*EXP(-0.5*(($A203-'Control Room'!$A$15-('Control Room'!$B$15-1)/2)/MAX(0.5,'Control Room'!$B$15/4))^2),1)*IF(AND($A203&gt;='Control Room'!$A$16,$A203&lt;'Control Room'!$A$16+'Control Room'!$B$16,'Process'!BR5=1),1+('Control Room'!$C$16-1)*EXP(-0.5*(($A203-'Control Room'!$A$16-('Control Room'!$B$16-1)/2)/MAX(0.5,'Control Room'!$B$16/4))^2),1)</x:f>
        <x:v>1</x:v>
      </x:c>
      <x:c r="AP203" s="9" t="n">
        <x:f>MOD(AQ202*16807,2147483647)</x:f>
        <x:v>1387618572</x:v>
      </x:c>
      <x:c r="AQ203" s="9" t="n">
        <x:f>MOD(AP203*16807,2147483647)</x:f>
        <x:v>32933184</x:v>
      </x:c>
      <x:c r="AR203" s="17" t="n">
        <x:f>IF('Control Room'!$B$5="Normal",'Control Room'!$B$7+'Control Room'!$D$7*SQRT(-2*LN(MAX(0.000000000001,AP203/2147483647)))*COS(2*PI()*AQ203/2147483647),'Control Room'!$B$8+('Control Room'!$D$8-'Control Room'!$B$8)*AP203/2147483647)</x:f>
        <x:v>1083.7208596576495</x:v>
      </x:c>
      <x:c r="AS203" s="17" t="n">
        <x:f>IF('Control Room'!$B$5="Normal",'Control Room'!$B$7,('Control Room'!$B$8+'Control Room'!$D$8)/2)+'Control Room'!$B$9*(AS202-IF('Control Room'!$B$5="Normal",'Control Room'!$B$7,('Control Room'!$B$8+'Control Room'!$D$8)/2))+SQRT(1-'Control Room'!$B$9^2)*(AR203-IF('Control Room'!$B$5="Normal",'Control Room'!$B$7,('Control Room'!$B$8+'Control Room'!$D$8)/2))</x:f>
        <x:v>971.2672768142199</x:v>
      </x:c>
      <x:c r="AT203" s="17" t="n">
        <x:f>IF(AND($A203&gt;='Control Room'!$A$13,$A203&lt;'Control Room'!$A$13+'Control Room'!$B$13,'Process'!BS2=1),1+('Control Room'!$C$13-1)*EXP(-0.5*(($A203-'Control Room'!$A$13-('Control Room'!$B$13-1)/2)/MAX(0.5,'Control Room'!$B$13/4))^2),1)*IF(AND($A203&gt;='Control Room'!$A$14,$A203&lt;'Control Room'!$A$14+'Control Room'!$B$14,'Process'!BS3=1),1+('Control Room'!$C$14-1)*EXP(-0.5*(($A203-'Control Room'!$A$14-('Control Room'!$B$14-1)/2)/MAX(0.5,'Control Room'!$B$14/4))^2),1)*IF(AND($A203&gt;='Control Room'!$A$15,$A203&lt;'Control Room'!$A$15+'Control Room'!$B$15,'Process'!BS4=1),1+('Control Room'!$C$15-1)*EXP(-0.5*(($A203-'Control Room'!$A$15-('Control Room'!$B$15-1)/2)/MAX(0.5,'Control Room'!$B$15/4))^2),1)*IF(AND($A203&gt;='Control Room'!$A$16,$A203&lt;'Control Room'!$A$16+'Control Room'!$B$16,'Process'!BS5=1),1+('Control Room'!$C$16-1)*EXP(-0.5*(($A203-'Control Room'!$A$16-('Control Room'!$B$16-1)/2)/MAX(0.5,'Control Room'!$B$16/4))^2),1)</x:f>
        <x:v>1</x:v>
      </x:c>
      <x:c r="AU203" s="9" t="n">
        <x:f>MOD(AV202*16807,2147483647)</x:f>
        <x:v>1379486859</x:v>
      </x:c>
      <x:c r="AV203" s="9" t="n">
        <x:f>MOD(AU203*16807,2147483647)</x:f>
        <x:v>802186201</x:v>
      </x:c>
      <x:c r="AW203" s="17" t="n">
        <x:f>IF('Control Room'!$B$5="Normal",'Control Room'!$B$7+'Control Room'!$D$7*SQRT(-2*LN(MAX(0.000000000001,AU203/2147483647)))*COS(2*PI()*AV203/2147483647),'Control Room'!$B$8+('Control Room'!$D$8-'Control Room'!$B$8)*AU203/2147483647)</x:f>
        <x:v>940.6747187077069</x:v>
      </x:c>
      <x:c r="AX203" s="17" t="n">
        <x:f>IF('Control Room'!$B$5="Normal",'Control Room'!$B$7,('Control Room'!$B$8+'Control Room'!$D$8)/2)+'Control Room'!$B$9*(AX202-IF('Control Room'!$B$5="Normal",'Control Room'!$B$7,('Control Room'!$B$8+'Control Room'!$D$8)/2))+SQRT(1-'Control Room'!$B$9^2)*(AW203-IF('Control Room'!$B$5="Normal",'Control Room'!$B$7,('Control Room'!$B$8+'Control Room'!$D$8)/2))</x:f>
        <x:v>991.1690062595854</x:v>
      </x:c>
      <x:c r="AY203" s="17" t="n">
        <x:f>IF(AND($A203&gt;='Control Room'!$A$13,$A203&lt;'Control Room'!$A$13+'Control Room'!$B$13,'Process'!BT2=1),1+('Control Room'!$C$13-1)*EXP(-0.5*(($A203-'Control Room'!$A$13-('Control Room'!$B$13-1)/2)/MAX(0.5,'Control Room'!$B$13/4))^2),1)*IF(AND($A203&gt;='Control Room'!$A$14,$A203&lt;'Control Room'!$A$14+'Control Room'!$B$14,'Process'!BT3=1),1+('Control Room'!$C$14-1)*EXP(-0.5*(($A203-'Control Room'!$A$14-('Control Room'!$B$14-1)/2)/MAX(0.5,'Control Room'!$B$14/4))^2),1)*IF(AND($A203&gt;='Control Room'!$A$15,$A203&lt;'Control Room'!$A$15+'Control Room'!$B$15,'Process'!BT4=1),1+('Control Room'!$C$15-1)*EXP(-0.5*(($A203-'Control Room'!$A$15-('Control Room'!$B$15-1)/2)/MAX(0.5,'Control Room'!$B$15/4))^2),1)*IF(AND($A203&gt;='Control Room'!$A$16,$A203&lt;'Control Room'!$A$16+'Control Room'!$B$16,'Process'!BT5=1),1+('Control Room'!$C$16-1)*EXP(-0.5*(($A203-'Control Room'!$A$16-('Control Room'!$B$16-1)/2)/MAX(0.5,'Control Room'!$B$16/4))^2),1)</x:f>
        <x:v>1</x:v>
      </x:c>
      <x:c r="AZ203" s="9" t="n">
        <x:f>MOD(BA202*16807,2147483647)</x:f>
        <x:v>1371355146</x:v>
      </x:c>
      <x:c r="BA203" s="9" t="n">
        <x:f>MOD(AZ203*16807,2147483647)</x:f>
        <x:v>1571439218</x:v>
      </x:c>
      <x:c r="BB203" s="17" t="n">
        <x:f>IF('Control Room'!$B$5="Normal",'Control Room'!$B$7+'Control Room'!$D$7*SQRT(-2*LN(MAX(0.000000000001,AZ203/2147483647)))*COS(2*PI()*BA203/2147483647),'Control Room'!$B$8+('Control Room'!$D$8-'Control Room'!$B$8)*AZ203/2147483647)</x:f>
        <x:v>990.2517033138249</x:v>
      </x:c>
      <x:c r="BC203" s="17" t="n">
        <x:f>IF('Control Room'!$B$5="Normal",'Control Room'!$B$7,('Control Room'!$B$8+'Control Room'!$D$8)/2)+'Control Room'!$B$9*(BC202-IF('Control Room'!$B$5="Normal",'Control Room'!$B$7,('Control Room'!$B$8+'Control Room'!$D$8)/2))+SQRT(1-'Control Room'!$B$9^2)*(BB203-IF('Control Room'!$B$5="Normal",'Control Room'!$B$7,('Control Room'!$B$8+'Control Room'!$D$8)/2))</x:f>
        <x:v>994.4693539739364</x:v>
      </x:c>
      <x:c r="BD203" s="17" t="n">
        <x:f>IF(AND($A203&gt;='Control Room'!$A$13,$A203&lt;'Control Room'!$A$13+'Control Room'!$B$13,'Process'!BU2=1),1+('Control Room'!$C$13-1)*EXP(-0.5*(($A203-'Control Room'!$A$13-('Control Room'!$B$13-1)/2)/MAX(0.5,'Control Room'!$B$13/4))^2),1)*IF(AND($A203&gt;='Control Room'!$A$14,$A203&lt;'Control Room'!$A$14+'Control Room'!$B$14,'Process'!BU3=1),1+('Control Room'!$C$14-1)*EXP(-0.5*(($A203-'Control Room'!$A$14-('Control Room'!$B$14-1)/2)/MAX(0.5,'Control Room'!$B$14/4))^2),1)*IF(AND($A203&gt;='Control Room'!$A$15,$A203&lt;'Control Room'!$A$15+'Control Room'!$B$15,'Process'!BU4=1),1+('Control Room'!$C$15-1)*EXP(-0.5*(($A203-'Control Room'!$A$15-('Control Room'!$B$15-1)/2)/MAX(0.5,'Control Room'!$B$15/4))^2),1)*IF(AND($A203&gt;='Control Room'!$A$16,$A203&lt;'Control Room'!$A$16+'Control Room'!$B$16,'Process'!BU5=1),1+('Control Room'!$C$16-1)*EXP(-0.5*(($A203-'Control Room'!$A$16-('Control Room'!$B$16-1)/2)/MAX(0.5,'Control Room'!$B$16/4))^2),1)</x:f>
        <x:v>1</x:v>
      </x:c>
      <x:c r="BE203" s="9" t="n">
        <x:f>MOD(BF202*16807,2147483647)</x:f>
        <x:v>1363223433</x:v>
      </x:c>
      <x:c r="BF203" s="9" t="n">
        <x:f>MOD(BE203*16807,2147483647)</x:f>
        <x:v>193208588</x:v>
      </x:c>
      <x:c r="BG203" s="17" t="n">
        <x:f>IF('Control Room'!$B$5="Normal",'Control Room'!$B$7+'Control Room'!$D$7*SQRT(-2*LN(MAX(0.000000000001,BE203/2147483647)))*COS(2*PI()*BF203/2147483647),'Control Room'!$B$8+('Control Room'!$D$8-'Control Room'!$B$8)*BE203/2147483647)</x:f>
        <x:v>1072.4538613016696</x:v>
      </x:c>
      <x:c r="BH203" s="17" t="n">
        <x:f>IF('Control Room'!$B$5="Normal",'Control Room'!$B$7,('Control Room'!$B$8+'Control Room'!$D$8)/2)+'Control Room'!$B$9*(BH202-IF('Control Room'!$B$5="Normal",'Control Room'!$B$7,('Control Room'!$B$8+'Control Room'!$D$8)/2))+SQRT(1-'Control Room'!$B$9^2)*(BG203-IF('Control Room'!$B$5="Normal",'Control Room'!$B$7,('Control Room'!$B$8+'Control Room'!$D$8)/2))</x:f>
        <x:v>1124.7365165176798</x:v>
      </x:c>
      <x:c r="BI203" s="17" t="n">
        <x:f>IF(AND($A203&gt;='Control Room'!$A$13,$A203&lt;'Control Room'!$A$13+'Control Room'!$B$13,'Process'!BV2=1),1+('Control Room'!$C$13-1)*EXP(-0.5*(($A203-'Control Room'!$A$13-('Control Room'!$B$13-1)/2)/MAX(0.5,'Control Room'!$B$13/4))^2),1)*IF(AND($A203&gt;='Control Room'!$A$14,$A203&lt;'Control Room'!$A$14+'Control Room'!$B$14,'Process'!BV3=1),1+('Control Room'!$C$14-1)*EXP(-0.5*(($A203-'Control Room'!$A$14-('Control Room'!$B$14-1)/2)/MAX(0.5,'Control Room'!$B$14/4))^2),1)*IF(AND($A203&gt;='Control Room'!$A$15,$A203&lt;'Control Room'!$A$15+'Control Room'!$B$15,'Process'!BV4=1),1+('Control Room'!$C$15-1)*EXP(-0.5*(($A203-'Control Room'!$A$15-('Control Room'!$B$15-1)/2)/MAX(0.5,'Control Room'!$B$15/4))^2),1)*IF(AND($A203&gt;='Control Room'!$A$16,$A203&lt;'Control Room'!$A$16+'Control Room'!$B$16,'Process'!BV5=1),1+('Control Room'!$C$16-1)*EXP(-0.5*(($A203-'Control Room'!$A$16-('Control Room'!$B$16-1)/2)/MAX(0.5,'Control Room'!$B$16/4))^2),1)</x:f>
        <x:v>1</x:v>
      </x:c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Z203" t="str">
        <x:f>IF('Data'!A203="","",TEXT('Data'!A203,"mm-dd"))</x:f>
      </x:c>
    </x:row>
    <x:row r="204" ht="21" customHeight="1">
      <x:c r="A204" s="15" t="n">
        <x:f>'Control Room'!$B$1+202</x:f>
        <x:v>73193</x:v>
      </x:c>
      <x:c r="B204" s="9" t="n">
        <x:f>MOD(C203*16807,2147483647)</x:f>
        <x:v>175962918</x:v>
      </x:c>
      <x:c r="C204" s="9" t="n">
        <x:f>MOD(B204*16807,2147483647)</x:f>
        <x:v>323780907</x:v>
      </x:c>
      <x:c r="D204" s="17" t="n">
        <x:f>IF('Control Room'!$B$5="Normal",'Control Room'!$B$7+'Control Room'!$D$7*SQRT(-2*LN(MAX(0.000000000001,B204/2147483647)))*COS(2*PI()*C204/2147483647),'Control Room'!$B$8+('Control Room'!$D$8-'Control Room'!$B$8)*B204/2147483647)</x:f>
        <x:v>1117.5399275305367</x:v>
      </x:c>
      <x:c r="E204" s="17" t="n">
        <x:f>IF('Control Room'!$B$5="Normal",'Control Room'!$B$7,('Control Room'!$B$8+'Control Room'!$D$8)/2)+'Control Room'!$B$9*(E203-IF('Control Room'!$B$5="Normal",'Control Room'!$B$7,('Control Room'!$B$8+'Control Room'!$D$8)/2))+SQRT(1-'Control Room'!$B$9^2)*(D204-IF('Control Room'!$B$5="Normal",'Control Room'!$B$7,('Control Room'!$B$8+'Control Room'!$D$8)/2))</x:f>
        <x:v>1120.814999485749</x:v>
      </x:c>
      <x:c r="F204" s="17" t="n">
        <x:f>IF(AND($A204&gt;='Control Room'!$A$13,$A204&lt;'Control Room'!$A$13+'Control Room'!$B$13,'Process'!BK2=1),1+('Control Room'!$C$13-1)*EXP(-0.5*(($A204-'Control Room'!$A$13-('Control Room'!$B$13-1)/2)/MAX(0.5,'Control Room'!$B$13/4))^2),1)*IF(AND($A204&gt;='Control Room'!$A$14,$A204&lt;'Control Room'!$A$14+'Control Room'!$B$14,'Process'!BK3=1),1+('Control Room'!$C$14-1)*EXP(-0.5*(($A204-'Control Room'!$A$14-('Control Room'!$B$14-1)/2)/MAX(0.5,'Control Room'!$B$14/4))^2),1)*IF(AND($A204&gt;='Control Room'!$A$15,$A204&lt;'Control Room'!$A$15+'Control Room'!$B$15,'Process'!BK4=1),1+('Control Room'!$C$15-1)*EXP(-0.5*(($A204-'Control Room'!$A$15-('Control Room'!$B$15-1)/2)/MAX(0.5,'Control Room'!$B$15/4))^2),1)*IF(AND($A204&gt;='Control Room'!$A$16,$A204&lt;'Control Room'!$A$16+'Control Room'!$B$16,'Process'!BK5=1),1+('Control Room'!$C$16-1)*EXP(-0.5*(($A204-'Control Room'!$A$16-('Control Room'!$B$16-1)/2)/MAX(0.5,'Control Room'!$B$16/4))^2),1)</x:f>
        <x:v>1</x:v>
      </x:c>
      <x:c r="G204" s="9" t="n">
        <x:f>MOD(H203*16807,2147483647)</x:f>
        <x:v>1159864697</x:v>
      </x:c>
      <x:c r="H204" s="9" t="n">
        <x:f>MOD(G204*16807,2147483647)</x:f>
        <x:v>1136898660</x:v>
      </x:c>
      <x:c r="I204" s="17" t="n">
        <x:f>IF('Control Room'!$B$5="Normal",'Control Room'!$B$7+'Control Room'!$D$7*SQRT(-2*LN(MAX(0.000000000001,G204/2147483647)))*COS(2*PI()*H204/2147483647),'Control Room'!$B$8+('Control Room'!$D$8-'Control Room'!$B$8)*G204/2147483647)</x:f>
        <x:v>901.8052594891722</x:v>
      </x:c>
      <x:c r="J204" s="17" t="n">
        <x:f>IF('Control Room'!$B$5="Normal",'Control Room'!$B$7,('Control Room'!$B$8+'Control Room'!$D$8)/2)+'Control Room'!$B$9*(J203-IF('Control Room'!$B$5="Normal",'Control Room'!$B$7,('Control Room'!$B$8+'Control Room'!$D$8)/2))+SQRT(1-'Control Room'!$B$9^2)*(I204-IF('Control Room'!$B$5="Normal",'Control Room'!$B$7,('Control Room'!$B$8+'Control Room'!$D$8)/2))</x:f>
        <x:v>819.3133095930609</x:v>
      </x:c>
      <x:c r="K204" s="17" t="n">
        <x:f>IF(AND($A204&gt;='Control Room'!$A$13,$A204&lt;'Control Room'!$A$13+'Control Room'!$B$13,'Process'!BL2=1),1+('Control Room'!$C$13-1)*EXP(-0.5*(($A204-'Control Room'!$A$13-('Control Room'!$B$13-1)/2)/MAX(0.5,'Control Room'!$B$13/4))^2),1)*IF(AND($A204&gt;='Control Room'!$A$14,$A204&lt;'Control Room'!$A$14+'Control Room'!$B$14,'Process'!BL3=1),1+('Control Room'!$C$14-1)*EXP(-0.5*(($A204-'Control Room'!$A$14-('Control Room'!$B$14-1)/2)/MAX(0.5,'Control Room'!$B$14/4))^2),1)*IF(AND($A204&gt;='Control Room'!$A$15,$A204&lt;'Control Room'!$A$15+'Control Room'!$B$15,'Process'!BL4=1),1+('Control Room'!$C$15-1)*EXP(-0.5*(($A204-'Control Room'!$A$15-('Control Room'!$B$15-1)/2)/MAX(0.5,'Control Room'!$B$15/4))^2),1)*IF(AND($A204&gt;='Control Room'!$A$16,$A204&lt;'Control Room'!$A$16+'Control Room'!$B$16,'Process'!BL5=1),1+('Control Room'!$C$16-1)*EXP(-0.5*(($A204-'Control Room'!$A$16-('Control Room'!$B$16-1)/2)/MAX(0.5,'Control Room'!$B$16/4))^2),1)</x:f>
        <x:v>1</x:v>
      </x:c>
      <x:c r="L204" s="9" t="n">
        <x:f>MOD(M203*16807,2147483647)</x:f>
        <x:v>2143766476</x:v>
      </x:c>
      <x:c r="M204" s="9" t="n">
        <x:f>MOD(L204*16807,2147483647)</x:f>
        <x:v>1950016413</x:v>
      </x:c>
      <x:c r="N204" s="17" t="n">
        <x:f>IF('Control Room'!$B$5="Normal",'Control Room'!$B$7+'Control Room'!$D$7*SQRT(-2*LN(MAX(0.000000000001,L204/2147483647)))*COS(2*PI()*M204/2147483647),'Control Room'!$B$8+('Control Room'!$D$8-'Control Room'!$B$8)*L204/2147483647)</x:f>
        <x:v>1004.4378251503023</x:v>
      </x:c>
      <x:c r="O204" s="17" t="n">
        <x:f>IF('Control Room'!$B$5="Normal",'Control Room'!$B$7,('Control Room'!$B$8+'Control Room'!$D$8)/2)+'Control Room'!$B$9*(O203-IF('Control Room'!$B$5="Normal",'Control Room'!$B$7,('Control Room'!$B$8+'Control Room'!$D$8)/2))+SQRT(1-'Control Room'!$B$9^2)*(N204-IF('Control Room'!$B$5="Normal",'Control Room'!$B$7,('Control Room'!$B$8+'Control Room'!$D$8)/2))</x:f>
        <x:v>1051.710886155024</x:v>
      </x:c>
      <x:c r="P204" s="17" t="n">
        <x:f>IF(AND($A204&gt;='Control Room'!$A$13,$A204&lt;'Control Room'!$A$13+'Control Room'!$B$13,'Process'!BM2=1),1+('Control Room'!$C$13-1)*EXP(-0.5*(($A204-'Control Room'!$A$13-('Control Room'!$B$13-1)/2)/MAX(0.5,'Control Room'!$B$13/4))^2),1)*IF(AND($A204&gt;='Control Room'!$A$14,$A204&lt;'Control Room'!$A$14+'Control Room'!$B$14,'Process'!BM3=1),1+('Control Room'!$C$14-1)*EXP(-0.5*(($A204-'Control Room'!$A$14-('Control Room'!$B$14-1)/2)/MAX(0.5,'Control Room'!$B$14/4))^2),1)*IF(AND($A204&gt;='Control Room'!$A$15,$A204&lt;'Control Room'!$A$15+'Control Room'!$B$15,'Process'!BM4=1),1+('Control Room'!$C$15-1)*EXP(-0.5*(($A204-'Control Room'!$A$15-('Control Room'!$B$15-1)/2)/MAX(0.5,'Control Room'!$B$15/4))^2),1)*IF(AND($A204&gt;='Control Room'!$A$16,$A204&lt;'Control Room'!$A$16+'Control Room'!$B$16,'Process'!BM5=1),1+('Control Room'!$C$16-1)*EXP(-0.5*(($A204-'Control Room'!$A$16-('Control Room'!$B$16-1)/2)/MAX(0.5,'Control Room'!$B$16/4))^2),1)</x:f>
        <x:v>1</x:v>
      </x:c>
      <x:c r="Q204" s="9" t="n">
        <x:f>MOD(R203*16807,2147483647)</x:f>
        <x:v>980184608</x:v>
      </x:c>
      <x:c r="R204" s="9" t="n">
        <x:f>MOD(Q204*16807,2147483647)</x:f>
        <x:v>615650519</x:v>
      </x:c>
      <x:c r="S204" s="17" t="n">
        <x:f>IF('Control Room'!$B$5="Normal",'Control Room'!$B$7+'Control Room'!$D$7*SQRT(-2*LN(MAX(0.000000000001,Q204/2147483647)))*COS(2*PI()*R204/2147483647),'Control Room'!$B$8+('Control Room'!$D$8-'Control Room'!$B$8)*Q204/2147483647)</x:f>
        <x:v>974.2478732155992</x:v>
      </x:c>
      <x:c r="T204" s="17" t="n">
        <x:f>IF('Control Room'!$B$5="Normal",'Control Room'!$B$7,('Control Room'!$B$8+'Control Room'!$D$8)/2)+'Control Room'!$B$9*(T203-IF('Control Room'!$B$5="Normal",'Control Room'!$B$7,('Control Room'!$B$8+'Control Room'!$D$8)/2))+SQRT(1-'Control Room'!$B$9^2)*(S204-IF('Control Room'!$B$5="Normal",'Control Room'!$B$7,('Control Room'!$B$8+'Control Room'!$D$8)/2))</x:f>
        <x:v>998.9167310859187</x:v>
      </x:c>
      <x:c r="U204" s="17" t="n">
        <x:f>IF(AND($A204&gt;='Control Room'!$A$13,$A204&lt;'Control Room'!$A$13+'Control Room'!$B$13,'Process'!BN2=1),1+('Control Room'!$C$13-1)*EXP(-0.5*(($A204-'Control Room'!$A$13-('Control Room'!$B$13-1)/2)/MAX(0.5,'Control Room'!$B$13/4))^2),1)*IF(AND($A204&gt;='Control Room'!$A$14,$A204&lt;'Control Room'!$A$14+'Control Room'!$B$14,'Process'!BN3=1),1+('Control Room'!$C$14-1)*EXP(-0.5*(($A204-'Control Room'!$A$14-('Control Room'!$B$14-1)/2)/MAX(0.5,'Control Room'!$B$14/4))^2),1)*IF(AND($A204&gt;='Control Room'!$A$15,$A204&lt;'Control Room'!$A$15+'Control Room'!$B$15,'Process'!BN4=1),1+('Control Room'!$C$15-1)*EXP(-0.5*(($A204-'Control Room'!$A$15-('Control Room'!$B$15-1)/2)/MAX(0.5,'Control Room'!$B$15/4))^2),1)*IF(AND($A204&gt;='Control Room'!$A$16,$A204&lt;'Control Room'!$A$16+'Control Room'!$B$16,'Process'!BN5=1),1+('Control Room'!$C$16-1)*EXP(-0.5*(($A204-'Control Room'!$A$16-('Control Room'!$B$16-1)/2)/MAX(0.5,'Control Room'!$B$16/4))^2),1)</x:f>
        <x:v>1</x:v>
      </x:c>
      <x:c r="V204" s="9" t="n">
        <x:f>MOD(W203*16807,2147483647)</x:f>
        <x:v>1964086387</x:v>
      </x:c>
      <x:c r="W204" s="9" t="n">
        <x:f>MOD(V204*16807,2147483647)</x:f>
        <x:v>1428768272</x:v>
      </x:c>
      <x:c r="X204" s="17" t="n">
        <x:f>IF('Control Room'!$B$5="Normal",'Control Room'!$B$7+'Control Room'!$D$7*SQRT(-2*LN(MAX(0.000000000001,V204/2147483647)))*COS(2*PI()*W204/2147483647),'Control Room'!$B$8+('Control Room'!$D$8-'Control Room'!$B$8)*V204/2147483647)</x:f>
        <x:v>980.7081965169629</x:v>
      </x:c>
      <x:c r="Y204" s="17" t="n">
        <x:f>IF('Control Room'!$B$5="Normal",'Control Room'!$B$7,('Control Room'!$B$8+'Control Room'!$D$8)/2)+'Control Room'!$B$9*(Y203-IF('Control Room'!$B$5="Normal",'Control Room'!$B$7,('Control Room'!$B$8+'Control Room'!$D$8)/2))+SQRT(1-'Control Room'!$B$9^2)*(X204-IF('Control Room'!$B$5="Normal",'Control Room'!$B$7,('Control Room'!$B$8+'Control Room'!$D$8)/2))</x:f>
        <x:v>979.2566404661115</x:v>
      </x:c>
      <x:c r="Z204" s="17" t="n">
        <x:f>IF(AND($A204&gt;='Control Room'!$A$13,$A204&lt;'Control Room'!$A$13+'Control Room'!$B$13,'Process'!BO2=1),1+('Control Room'!$C$13-1)*EXP(-0.5*(($A204-'Control Room'!$A$13-('Control Room'!$B$13-1)/2)/MAX(0.5,'Control Room'!$B$13/4))^2),1)*IF(AND($A204&gt;='Control Room'!$A$14,$A204&lt;'Control Room'!$A$14+'Control Room'!$B$14,'Process'!BO3=1),1+('Control Room'!$C$14-1)*EXP(-0.5*(($A204-'Control Room'!$A$14-('Control Room'!$B$14-1)/2)/MAX(0.5,'Control Room'!$B$14/4))^2),1)*IF(AND($A204&gt;='Control Room'!$A$15,$A204&lt;'Control Room'!$A$15+'Control Room'!$B$15,'Process'!BO4=1),1+('Control Room'!$C$15-1)*EXP(-0.5*(($A204-'Control Room'!$A$15-('Control Room'!$B$15-1)/2)/MAX(0.5,'Control Room'!$B$15/4))^2),1)*IF(AND($A204&gt;='Control Room'!$A$16,$A204&lt;'Control Room'!$A$16+'Control Room'!$B$16,'Process'!BO5=1),1+('Control Room'!$C$16-1)*EXP(-0.5*(($A204-'Control Room'!$A$16-('Control Room'!$B$16-1)/2)/MAX(0.5,'Control Room'!$B$16/4))^2),1)</x:f>
        <x:v>1</x:v>
      </x:c>
      <x:c r="AA204" s="9" t="n">
        <x:f>MOD(AB203*16807,2147483647)</x:f>
        <x:v>800504519</x:v>
      </x:c>
      <x:c r="AB204" s="9" t="n">
        <x:f>MOD(AA204*16807,2147483647)</x:f>
        <x:v>94402378</x:v>
      </x:c>
      <x:c r="AC204" s="17" t="n">
        <x:f>IF('Control Room'!$B$5="Normal",'Control Room'!$B$7+'Control Room'!$D$7*SQRT(-2*LN(MAX(0.000000000001,AA204/2147483647)))*COS(2*PI()*AB204/2147483647),'Control Room'!$B$8+('Control Room'!$D$8-'Control Room'!$B$8)*AA204/2147483647)</x:f>
        <x:v>1121.6446818872214</x:v>
      </x:c>
      <x:c r="AD204" s="17" t="n">
        <x:f>IF('Control Room'!$B$5="Normal",'Control Room'!$B$7,('Control Room'!$B$8+'Control Room'!$D$8)/2)+'Control Room'!$B$9*(AD203-IF('Control Room'!$B$5="Normal",'Control Room'!$B$7,('Control Room'!$B$8+'Control Room'!$D$8)/2))+SQRT(1-'Control Room'!$B$9^2)*(AC204-IF('Control Room'!$B$5="Normal",'Control Room'!$B$7,('Control Room'!$B$8+'Control Room'!$D$8)/2))</x:f>
        <x:v>1082.1562497429527</x:v>
      </x:c>
      <x:c r="AE204" s="17" t="n">
        <x:f>IF(AND($A204&gt;='Control Room'!$A$13,$A204&lt;'Control Room'!$A$13+'Control Room'!$B$13,'Process'!BP2=1),1+('Control Room'!$C$13-1)*EXP(-0.5*(($A204-'Control Room'!$A$13-('Control Room'!$B$13-1)/2)/MAX(0.5,'Control Room'!$B$13/4))^2),1)*IF(AND($A204&gt;='Control Room'!$A$14,$A204&lt;'Control Room'!$A$14+'Control Room'!$B$14,'Process'!BP3=1),1+('Control Room'!$C$14-1)*EXP(-0.5*(($A204-'Control Room'!$A$14-('Control Room'!$B$14-1)/2)/MAX(0.5,'Control Room'!$B$14/4))^2),1)*IF(AND($A204&gt;='Control Room'!$A$15,$A204&lt;'Control Room'!$A$15+'Control Room'!$B$15,'Process'!BP4=1),1+('Control Room'!$C$15-1)*EXP(-0.5*(($A204-'Control Room'!$A$15-('Control Room'!$B$15-1)/2)/MAX(0.5,'Control Room'!$B$15/4))^2),1)*IF(AND($A204&gt;='Control Room'!$A$16,$A204&lt;'Control Room'!$A$16+'Control Room'!$B$16,'Process'!BP5=1),1+('Control Room'!$C$16-1)*EXP(-0.5*(($A204-'Control Room'!$A$16-('Control Room'!$B$16-1)/2)/MAX(0.5,'Control Room'!$B$16/4))^2),1)</x:f>
        <x:v>1</x:v>
      </x:c>
      <x:c r="AF204" s="9" t="n">
        <x:f>MOD(AG203*16807,2147483647)</x:f>
        <x:v>1784406298</x:v>
      </x:c>
      <x:c r="AG204" s="9" t="n">
        <x:f>MOD(AF204*16807,2147483647)</x:f>
        <x:v>907520131</x:v>
      </x:c>
      <x:c r="AH204" s="17" t="n">
        <x:f>IF('Control Room'!$B$5="Normal",'Control Room'!$B$7+'Control Room'!$D$7*SQRT(-2*LN(MAX(0.000000000001,AF204/2147483647)))*COS(2*PI()*AG204/2147483647),'Control Room'!$B$8+('Control Room'!$D$8-'Control Room'!$B$8)*AF204/2147483647)</x:f>
        <x:v>951.57517696096</x:v>
      </x:c>
      <x:c r="AI204" s="17" t="n">
        <x:f>IF('Control Room'!$B$5="Normal",'Control Room'!$B$7,('Control Room'!$B$8+'Control Room'!$D$8)/2)+'Control Room'!$B$9*(AI203-IF('Control Room'!$B$5="Normal",'Control Room'!$B$7,('Control Room'!$B$8+'Control Room'!$D$8)/2))+SQRT(1-'Control Room'!$B$9^2)*(AH204-IF('Control Room'!$B$5="Normal",'Control Room'!$B$7,('Control Room'!$B$8+'Control Room'!$D$8)/2))</x:f>
        <x:v>910.2985524297309</x:v>
      </x:c>
      <x:c r="AJ204" s="17" t="n">
        <x:f>IF(AND($A204&gt;='Control Room'!$A$13,$A204&lt;'Control Room'!$A$13+'Control Room'!$B$13,'Process'!BQ2=1),1+('Control Room'!$C$13-1)*EXP(-0.5*(($A204-'Control Room'!$A$13-('Control Room'!$B$13-1)/2)/MAX(0.5,'Control Room'!$B$13/4))^2),1)*IF(AND($A204&gt;='Control Room'!$A$14,$A204&lt;'Control Room'!$A$14+'Control Room'!$B$14,'Process'!BQ3=1),1+('Control Room'!$C$14-1)*EXP(-0.5*(($A204-'Control Room'!$A$14-('Control Room'!$B$14-1)/2)/MAX(0.5,'Control Room'!$B$14/4))^2),1)*IF(AND($A204&gt;='Control Room'!$A$15,$A204&lt;'Control Room'!$A$15+'Control Room'!$B$15,'Process'!BQ4=1),1+('Control Room'!$C$15-1)*EXP(-0.5*(($A204-'Control Room'!$A$15-('Control Room'!$B$15-1)/2)/MAX(0.5,'Control Room'!$B$15/4))^2),1)*IF(AND($A204&gt;='Control Room'!$A$16,$A204&lt;'Control Room'!$A$16+'Control Room'!$B$16,'Process'!BQ5=1),1+('Control Room'!$C$16-1)*EXP(-0.5*(($A204-'Control Room'!$A$16-('Control Room'!$B$16-1)/2)/MAX(0.5,'Control Room'!$B$16/4))^2),1)</x:f>
        <x:v>1</x:v>
      </x:c>
      <x:c r="AK204" s="9" t="n">
        <x:f>MOD(AL203*16807,2147483647)</x:f>
        <x:v>620824430</x:v>
      </x:c>
      <x:c r="AL204" s="9" t="n">
        <x:f>MOD(AK204*16807,2147483647)</x:f>
        <x:v>1720637884</x:v>
      </x:c>
      <x:c r="AM204" s="17" t="n">
        <x:f>IF('Control Room'!$B$5="Normal",'Control Room'!$B$7+'Control Room'!$D$7*SQRT(-2*LN(MAX(0.000000000001,AK204/2147483647)))*COS(2*PI()*AL204/2147483647),'Control Room'!$B$8+('Control Room'!$D$8-'Control Room'!$B$8)*AK204/2147483647)</x:f>
        <x:v>1044.8599691868433</x:v>
      </x:c>
      <x:c r="AN204" s="17" t="n">
        <x:f>IF('Control Room'!$B$5="Normal",'Control Room'!$B$7,('Control Room'!$B$8+'Control Room'!$D$8)/2)+'Control Room'!$B$9*(AN203-IF('Control Room'!$B$5="Normal",'Control Room'!$B$7,('Control Room'!$B$8+'Control Room'!$D$8)/2))+SQRT(1-'Control Room'!$B$9^2)*(AM204-IF('Control Room'!$B$5="Normal",'Control Room'!$B$7,('Control Room'!$B$8+'Control Room'!$D$8)/2))</x:f>
        <x:v>1027.4486888666545</x:v>
      </x:c>
      <x:c r="AO204" s="17" t="n">
        <x:f>IF(AND($A204&gt;='Control Room'!$A$13,$A204&lt;'Control Room'!$A$13+'Control Room'!$B$13,'Process'!BR2=1),1+('Control Room'!$C$13-1)*EXP(-0.5*(($A204-'Control Room'!$A$13-('Control Room'!$B$13-1)/2)/MAX(0.5,'Control Room'!$B$13/4))^2),1)*IF(AND($A204&gt;='Control Room'!$A$14,$A204&lt;'Control Room'!$A$14+'Control Room'!$B$14,'Process'!BR3=1),1+('Control Room'!$C$14-1)*EXP(-0.5*(($A204-'Control Room'!$A$14-('Control Room'!$B$14-1)/2)/MAX(0.5,'Control Room'!$B$14/4))^2),1)*IF(AND($A204&gt;='Control Room'!$A$15,$A204&lt;'Control Room'!$A$15+'Control Room'!$B$15,'Process'!BR4=1),1+('Control Room'!$C$15-1)*EXP(-0.5*(($A204-'Control Room'!$A$15-('Control Room'!$B$15-1)/2)/MAX(0.5,'Control Room'!$B$15/4))^2),1)*IF(AND($A204&gt;='Control Room'!$A$16,$A204&lt;'Control Room'!$A$16+'Control Room'!$B$16,'Process'!BR5=1),1+('Control Room'!$C$16-1)*EXP(-0.5*(($A204-'Control Room'!$A$16-('Control Room'!$B$16-1)/2)/MAX(0.5,'Control Room'!$B$16/4))^2),1)</x:f>
        <x:v>1</x:v>
      </x:c>
      <x:c r="AP204" s="9" t="n">
        <x:f>MOD(AQ203*16807,2147483647)</x:f>
        <x:v>1604726209</x:v>
      </x:c>
      <x:c r="AQ204" s="9" t="n">
        <x:f>MOD(AP204*16807,2147483647)</x:f>
        <x:v>386271990</x:v>
      </x:c>
      <x:c r="AR204" s="17" t="n">
        <x:f>IF('Control Room'!$B$5="Normal",'Control Room'!$B$7+'Control Room'!$D$7*SQRT(-2*LN(MAX(0.000000000001,AP204/2147483647)))*COS(2*PI()*AQ204/2147483647),'Control Room'!$B$8+('Control Room'!$D$8-'Control Room'!$B$8)*AP204/2147483647)</x:f>
        <x:v>1029.30129260293</x:v>
      </x:c>
      <x:c r="AS204" s="17" t="n">
        <x:f>IF('Control Room'!$B$5="Normal",'Control Room'!$B$7,('Control Room'!$B$8+'Control Room'!$D$8)/2)+'Control Room'!$B$9*(AS203-IF('Control Room'!$B$5="Normal",'Control Room'!$B$7,('Control Room'!$B$8+'Control Room'!$D$8)/2))+SQRT(1-'Control Room'!$B$9^2)*(AR204-IF('Control Room'!$B$5="Normal",'Control Room'!$B$7,('Control Room'!$B$8+'Control Room'!$D$8)/2))</x:f>
        <x:v>995.9246245563986</x:v>
      </x:c>
      <x:c r="AT204" s="17" t="n">
        <x:f>IF(AND($A204&gt;='Control Room'!$A$13,$A204&lt;'Control Room'!$A$13+'Control Room'!$B$13,'Process'!BS2=1),1+('Control Room'!$C$13-1)*EXP(-0.5*(($A204-'Control Room'!$A$13-('Control Room'!$B$13-1)/2)/MAX(0.5,'Control Room'!$B$13/4))^2),1)*IF(AND($A204&gt;='Control Room'!$A$14,$A204&lt;'Control Room'!$A$14+'Control Room'!$B$14,'Process'!BS3=1),1+('Control Room'!$C$14-1)*EXP(-0.5*(($A204-'Control Room'!$A$14-('Control Room'!$B$14-1)/2)/MAX(0.5,'Control Room'!$B$14/4))^2),1)*IF(AND($A204&gt;='Control Room'!$A$15,$A204&lt;'Control Room'!$A$15+'Control Room'!$B$15,'Process'!BS4=1),1+('Control Room'!$C$15-1)*EXP(-0.5*(($A204-'Control Room'!$A$15-('Control Room'!$B$15-1)/2)/MAX(0.5,'Control Room'!$B$15/4))^2),1)*IF(AND($A204&gt;='Control Room'!$A$16,$A204&lt;'Control Room'!$A$16+'Control Room'!$B$16,'Process'!BS5=1),1+('Control Room'!$C$16-1)*EXP(-0.5*(($A204-'Control Room'!$A$16-('Control Room'!$B$16-1)/2)/MAX(0.5,'Control Room'!$B$16/4))^2),1)</x:f>
        <x:v>1</x:v>
      </x:c>
      <x:c r="AU204" s="9" t="n">
        <x:f>MOD(AV203*16807,2147483647)</x:f>
        <x:v>441144341</x:v>
      </x:c>
      <x:c r="AV204" s="9" t="n">
        <x:f>MOD(AU204*16807,2147483647)</x:f>
        <x:v>1199389743</x:v>
      </x:c>
      <x:c r="AW204" s="17" t="n">
        <x:f>IF('Control Room'!$B$5="Normal",'Control Room'!$B$7+'Control Room'!$D$7*SQRT(-2*LN(MAX(0.000000000001,AU204/2147483647)))*COS(2*PI()*AV204/2147483647),'Control Room'!$B$8+('Control Room'!$D$8-'Control Room'!$B$8)*AU204/2147483647)</x:f>
        <x:v>850.5757481283674</x:v>
      </x:c>
      <x:c r="AX204" s="17" t="n">
        <x:f>IF('Control Room'!$B$5="Normal",'Control Room'!$B$7,('Control Room'!$B$8+'Control Room'!$D$8)/2)+'Control Room'!$B$9*(AX203-IF('Control Room'!$B$5="Normal",'Control Room'!$B$7,('Control Room'!$B$8+'Control Room'!$D$8)/2))+SQRT(1-'Control Room'!$B$9^2)*(AW204-IF('Control Room'!$B$5="Normal",'Control Room'!$B$7,('Control Room'!$B$8+'Control Room'!$D$8)/2))</x:f>
        <x:v>899.6051891833954</x:v>
      </x:c>
      <x:c r="AY204" s="17" t="n">
        <x:f>IF(AND($A204&gt;='Control Room'!$A$13,$A204&lt;'Control Room'!$A$13+'Control Room'!$B$13,'Process'!BT2=1),1+('Control Room'!$C$13-1)*EXP(-0.5*(($A204-'Control Room'!$A$13-('Control Room'!$B$13-1)/2)/MAX(0.5,'Control Room'!$B$13/4))^2),1)*IF(AND($A204&gt;='Control Room'!$A$14,$A204&lt;'Control Room'!$A$14+'Control Room'!$B$14,'Process'!BT3=1),1+('Control Room'!$C$14-1)*EXP(-0.5*(($A204-'Control Room'!$A$14-('Control Room'!$B$14-1)/2)/MAX(0.5,'Control Room'!$B$14/4))^2),1)*IF(AND($A204&gt;='Control Room'!$A$15,$A204&lt;'Control Room'!$A$15+'Control Room'!$B$15,'Process'!BT4=1),1+('Control Room'!$C$15-1)*EXP(-0.5*(($A204-'Control Room'!$A$15-('Control Room'!$B$15-1)/2)/MAX(0.5,'Control Room'!$B$15/4))^2),1)*IF(AND($A204&gt;='Control Room'!$A$16,$A204&lt;'Control Room'!$A$16+'Control Room'!$B$16,'Process'!BT5=1),1+('Control Room'!$C$16-1)*EXP(-0.5*(($A204-'Control Room'!$A$16-('Control Room'!$B$16-1)/2)/MAX(0.5,'Control Room'!$B$16/4))^2),1)</x:f>
        <x:v>1</x:v>
      </x:c>
      <x:c r="AZ204" s="9" t="n">
        <x:f>MOD(BA203*16807,2147483647)</x:f>
        <x:v>1425046120</x:v>
      </x:c>
      <x:c r="BA204" s="9" t="n">
        <x:f>MOD(AZ204*16807,2147483647)</x:f>
        <x:v>2012507496</x:v>
      </x:c>
      <x:c r="BB204" s="17" t="n">
        <x:f>IF('Control Room'!$B$5="Normal",'Control Room'!$B$7+'Control Room'!$D$7*SQRT(-2*LN(MAX(0.000000000001,AZ204/2147483647)))*COS(2*PI()*BA204/2147483647),'Control Room'!$B$8+('Control Room'!$D$8-'Control Room'!$B$8)*AZ204/2147483647)</x:f>
        <x:v>1075.2338652927504</x:v>
      </x:c>
      <x:c r="BC204" s="17" t="n">
        <x:f>IF('Control Room'!$B$5="Normal",'Control Room'!$B$7,('Control Room'!$B$8+'Control Room'!$D$8)/2)+'Control Room'!$B$9*(BC203-IF('Control Room'!$B$5="Normal",'Control Room'!$B$7,('Control Room'!$B$8+'Control Room'!$D$8)/2))+SQRT(1-'Control Room'!$B$9^2)*(BB204-IF('Control Room'!$B$5="Normal",'Control Room'!$B$7,('Control Room'!$B$8+'Control Room'!$D$8)/2))</x:f>
        <x:v>1042.7659077503686</x:v>
      </x:c>
      <x:c r="BD204" s="17" t="n">
        <x:f>IF(AND($A204&gt;='Control Room'!$A$13,$A204&lt;'Control Room'!$A$13+'Control Room'!$B$13,'Process'!BU2=1),1+('Control Room'!$C$13-1)*EXP(-0.5*(($A204-'Control Room'!$A$13-('Control Room'!$B$13-1)/2)/MAX(0.5,'Control Room'!$B$13/4))^2),1)*IF(AND($A204&gt;='Control Room'!$A$14,$A204&lt;'Control Room'!$A$14+'Control Room'!$B$14,'Process'!BU3=1),1+('Control Room'!$C$14-1)*EXP(-0.5*(($A204-'Control Room'!$A$14-('Control Room'!$B$14-1)/2)/MAX(0.5,'Control Room'!$B$14/4))^2),1)*IF(AND($A204&gt;='Control Room'!$A$15,$A204&lt;'Control Room'!$A$15+'Control Room'!$B$15,'Process'!BU4=1),1+('Control Room'!$C$15-1)*EXP(-0.5*(($A204-'Control Room'!$A$15-('Control Room'!$B$15-1)/2)/MAX(0.5,'Control Room'!$B$15/4))^2),1)*IF(AND($A204&gt;='Control Room'!$A$16,$A204&lt;'Control Room'!$A$16+'Control Room'!$B$16,'Process'!BU5=1),1+('Control Room'!$C$16-1)*EXP(-0.5*(($A204-'Control Room'!$A$16-('Control Room'!$B$16-1)/2)/MAX(0.5,'Control Room'!$B$16/4))^2),1)</x:f>
        <x:v>1</x:v>
      </x:c>
      <x:c r="BE204" s="9" t="n">
        <x:f>MOD(BF203*16807,2147483647)</x:f>
        <x:v>261464252</x:v>
      </x:c>
      <x:c r="BF204" s="9" t="n">
        <x:f>MOD(BE204*16807,2147483647)</x:f>
        <x:v>678141602</x:v>
      </x:c>
      <x:c r="BG204" s="17" t="n">
        <x:f>IF('Control Room'!$B$5="Normal",'Control Room'!$B$7+'Control Room'!$D$7*SQRT(-2*LN(MAX(0.000000000001,BE204/2147483647)))*COS(2*PI()*BF204/2147483647),'Control Room'!$B$8+('Control Room'!$D$8-'Control Room'!$B$8)*BE204/2147483647)</x:f>
        <x:v>925.8133059066604</x:v>
      </x:c>
      <x:c r="BH204" s="17" t="n">
        <x:f>IF('Control Room'!$B$5="Normal",'Control Room'!$B$7,('Control Room'!$B$8+'Control Room'!$D$8)/2)+'Control Room'!$B$9*(BH203-IF('Control Room'!$B$5="Normal",'Control Room'!$B$7,('Control Room'!$B$8+'Control Room'!$D$8)/2))+SQRT(1-'Control Room'!$B$9^2)*(BG204-IF('Control Room'!$B$5="Normal",'Control Room'!$B$7,('Control Room'!$B$8+'Control Room'!$D$8)/2))</x:f>
        <x:v>1050.869969517215</x:v>
      </x:c>
      <x:c r="BI204" s="17" t="n">
        <x:f>IF(AND($A204&gt;='Control Room'!$A$13,$A204&lt;'Control Room'!$A$13+'Control Room'!$B$13,'Process'!BV2=1),1+('Control Room'!$C$13-1)*EXP(-0.5*(($A204-'Control Room'!$A$13-('Control Room'!$B$13-1)/2)/MAX(0.5,'Control Room'!$B$13/4))^2),1)*IF(AND($A204&gt;='Control Room'!$A$14,$A204&lt;'Control Room'!$A$14+'Control Room'!$B$14,'Process'!BV3=1),1+('Control Room'!$C$14-1)*EXP(-0.5*(($A204-'Control Room'!$A$14-('Control Room'!$B$14-1)/2)/MAX(0.5,'Control Room'!$B$14/4))^2),1)*IF(AND($A204&gt;='Control Room'!$A$15,$A204&lt;'Control Room'!$A$15+'Control Room'!$B$15,'Process'!BV4=1),1+('Control Room'!$C$15-1)*EXP(-0.5*(($A204-'Control Room'!$A$15-('Control Room'!$B$15-1)/2)/MAX(0.5,'Control Room'!$B$15/4))^2),1)*IF(AND($A204&gt;='Control Room'!$A$16,$A204&lt;'Control Room'!$A$16+'Control Room'!$B$16,'Process'!BV5=1),1+('Control Room'!$C$16-1)*EXP(-0.5*(($A204-'Control Room'!$A$16-('Control Room'!$B$16-1)/2)/MAX(0.5,'Control Room'!$B$16/4))^2),1)</x:f>
        <x:v>1</x:v>
      </x:c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Z204" t="str">
        <x:f>IF('Data'!A204="","",TEXT('Data'!A204,"mm-dd"))</x:f>
      </x:c>
    </x:row>
    <x:row r="205" ht="21" customHeight="1">
      <x:c r="A205" s="15" t="n">
        <x:f>'Control Room'!$B$1+203</x:f>
        <x:v>73194</x:v>
      </x:c>
      <x:c r="B205" s="9" t="n">
        <x:f>MOD(C204*16807,2147483647)</x:f>
        <x:v>62142451</x:v>
      </x:c>
      <x:c r="C205" s="9" t="n">
        <x:f>MOD(B205*16807,2147483647)</x:f>
        <x:v>751121515</x:v>
      </x:c>
      <x:c r="D205" s="17" t="n">
        <x:f>IF('Control Room'!$B$5="Normal",'Control Room'!$B$7+'Control Room'!$D$7*SQRT(-2*LN(MAX(0.000000000001,B205/2147483647)))*COS(2*PI()*C205/2147483647),'Control Room'!$B$8+('Control Room'!$D$8-'Control Room'!$B$8)*B205/2147483647)</x:f>
        <x:v>859.4707410312236</x:v>
      </x:c>
      <x:c r="E205" s="17" t="n">
        <x:f>IF('Control Room'!$B$5="Normal",'Control Room'!$B$7,('Control Room'!$B$8+'Control Room'!$D$8)/2)+'Control Room'!$B$9*(E204-IF('Control Room'!$B$5="Normal",'Control Room'!$B$7,('Control Room'!$B$8+'Control Room'!$D$8)/2))+SQRT(1-'Control Room'!$B$9^2)*(D205-IF('Control Room'!$B$5="Normal",'Control Room'!$B$7,('Control Room'!$B$8+'Control Room'!$D$8)/2))</x:f>
        <x:v>1006.2953682345759</x:v>
      </x:c>
      <x:c r="F205" s="17" t="n">
        <x:f>IF(AND($A205&gt;='Control Room'!$A$13,$A205&lt;'Control Room'!$A$13+'Control Room'!$B$13,'Process'!BK2=1),1+('Control Room'!$C$13-1)*EXP(-0.5*(($A205-'Control Room'!$A$13-('Control Room'!$B$13-1)/2)/MAX(0.5,'Control Room'!$B$13/4))^2),1)*IF(AND($A205&gt;='Control Room'!$A$14,$A205&lt;'Control Room'!$A$14+'Control Room'!$B$14,'Process'!BK3=1),1+('Control Room'!$C$14-1)*EXP(-0.5*(($A205-'Control Room'!$A$14-('Control Room'!$B$14-1)/2)/MAX(0.5,'Control Room'!$B$14/4))^2),1)*IF(AND($A205&gt;='Control Room'!$A$15,$A205&lt;'Control Room'!$A$15+'Control Room'!$B$15,'Process'!BK4=1),1+('Control Room'!$C$15-1)*EXP(-0.5*(($A205-'Control Room'!$A$15-('Control Room'!$B$15-1)/2)/MAX(0.5,'Control Room'!$B$15/4))^2),1)*IF(AND($A205&gt;='Control Room'!$A$16,$A205&lt;'Control Room'!$A$16+'Control Room'!$B$16,'Process'!BK5=1),1+('Control Room'!$C$16-1)*EXP(-0.5*(($A205-'Control Room'!$A$16-('Control Room'!$B$16-1)/2)/MAX(0.5,'Control Room'!$B$16/4))^2),1)</x:f>
        <x:v>1</x:v>
      </x:c>
      <x:c r="G205" s="9" t="n">
        <x:f>MOD(H204*16807,2147483647)</x:f>
        <x:v>1693771261</x:v>
      </x:c>
      <x:c r="H205" s="9" t="n">
        <x:f>MOD(G205*16807,2147483647)</x:f>
        <x:v>170358995</x:v>
      </x:c>
      <x:c r="I205" s="17" t="n">
        <x:f>IF('Control Room'!$B$5="Normal",'Control Room'!$B$7+'Control Room'!$D$7*SQRT(-2*LN(MAX(0.000000000001,G205/2147483647)))*COS(2*PI()*H205/2147483647),'Control Room'!$B$8+('Control Room'!$D$8-'Control Room'!$B$8)*G205/2147483647)</x:f>
        <x:v>1054.462687984629</x:v>
      </x:c>
      <x:c r="J205" s="17" t="n">
        <x:f>IF('Control Room'!$B$5="Normal",'Control Room'!$B$7,('Control Room'!$B$8+'Control Room'!$D$8)/2)+'Control Room'!$B$9*(J204-IF('Control Room'!$B$5="Normal",'Control Room'!$B$7,('Control Room'!$B$8+'Control Room'!$D$8)/2))+SQRT(1-'Control Room'!$B$9^2)*(I205-IF('Control Room'!$B$5="Normal",'Control Room'!$B$7,('Control Room'!$B$8+'Control Room'!$D$8)/2))</x:f>
        <x:v>893.1460158945597</x:v>
      </x:c>
      <x:c r="K205" s="17" t="n">
        <x:f>IF(AND($A205&gt;='Control Room'!$A$13,$A205&lt;'Control Room'!$A$13+'Control Room'!$B$13,'Process'!BL2=1),1+('Control Room'!$C$13-1)*EXP(-0.5*(($A205-'Control Room'!$A$13-('Control Room'!$B$13-1)/2)/MAX(0.5,'Control Room'!$B$13/4))^2),1)*IF(AND($A205&gt;='Control Room'!$A$14,$A205&lt;'Control Room'!$A$14+'Control Room'!$B$14,'Process'!BL3=1),1+('Control Room'!$C$14-1)*EXP(-0.5*(($A205-'Control Room'!$A$14-('Control Room'!$B$14-1)/2)/MAX(0.5,'Control Room'!$B$14/4))^2),1)*IF(AND($A205&gt;='Control Room'!$A$15,$A205&lt;'Control Room'!$A$15+'Control Room'!$B$15,'Process'!BL4=1),1+('Control Room'!$C$15-1)*EXP(-0.5*(($A205-'Control Room'!$A$15-('Control Room'!$B$15-1)/2)/MAX(0.5,'Control Room'!$B$15/4))^2),1)*IF(AND($A205&gt;='Control Room'!$A$16,$A205&lt;'Control Room'!$A$16+'Control Room'!$B$16,'Process'!BL5=1),1+('Control Room'!$C$16-1)*EXP(-0.5*(($A205-'Control Room'!$A$16-('Control Room'!$B$16-1)/2)/MAX(0.5,'Control Room'!$B$16/4))^2),1)</x:f>
        <x:v>1</x:v>
      </x:c>
      <x:c r="L205" s="9" t="n">
        <x:f>MOD(M204*16807,2147483647)</x:f>
        <x:v>1177916424</x:v>
      </x:c>
      <x:c r="M205" s="9" t="n">
        <x:f>MOD(L205*16807,2147483647)</x:f>
        <x:v>1737080122</x:v>
      </x:c>
      <x:c r="N205" s="17" t="n">
        <x:f>IF('Control Room'!$B$5="Normal",'Control Room'!$B$7+'Control Room'!$D$7*SQRT(-2*LN(MAX(0.000000000001,L205/2147483647)))*COS(2*PI()*M205/2147483647),'Control Room'!$B$8+('Control Room'!$D$8-'Control Room'!$B$8)*L205/2147483647)</x:f>
        <x:v>1035.6701143049872</x:v>
      </x:c>
      <x:c r="O205" s="17" t="n">
        <x:f>IF('Control Room'!$B$5="Normal",'Control Room'!$B$7,('Control Room'!$B$8+'Control Room'!$D$8)/2)+'Control Room'!$B$9*(O204-IF('Control Room'!$B$5="Normal",'Control Room'!$B$7,('Control Room'!$B$8+'Control Room'!$D$8)/2))+SQRT(1-'Control Room'!$B$9^2)*(N205-IF('Control Room'!$B$5="Normal",'Control Room'!$B$7,('Control Room'!$B$8+'Control Room'!$D$8)/2))</x:f>
        <x:v>1062.6561179909686</x:v>
      </x:c>
      <x:c r="P205" s="17" t="n">
        <x:f>IF(AND($A205&gt;='Control Room'!$A$13,$A205&lt;'Control Room'!$A$13+'Control Room'!$B$13,'Process'!BM2=1),1+('Control Room'!$C$13-1)*EXP(-0.5*(($A205-'Control Room'!$A$13-('Control Room'!$B$13-1)/2)/MAX(0.5,'Control Room'!$B$13/4))^2),1)*IF(AND($A205&gt;='Control Room'!$A$14,$A205&lt;'Control Room'!$A$14+'Control Room'!$B$14,'Process'!BM3=1),1+('Control Room'!$C$14-1)*EXP(-0.5*(($A205-'Control Room'!$A$14-('Control Room'!$B$14-1)/2)/MAX(0.5,'Control Room'!$B$14/4))^2),1)*IF(AND($A205&gt;='Control Room'!$A$15,$A205&lt;'Control Room'!$A$15+'Control Room'!$B$15,'Process'!BM4=1),1+('Control Room'!$C$15-1)*EXP(-0.5*(($A205-'Control Room'!$A$15-('Control Room'!$B$15-1)/2)/MAX(0.5,'Control Room'!$B$15/4))^2),1)*IF(AND($A205&gt;='Control Room'!$A$16,$A205&lt;'Control Room'!$A$16+'Control Room'!$B$16,'Process'!BM5=1),1+('Control Room'!$C$16-1)*EXP(-0.5*(($A205-'Control Room'!$A$16-('Control Room'!$B$16-1)/2)/MAX(0.5,'Control Room'!$B$16/4))^2),1)</x:f>
        <x:v>1</x:v>
      </x:c>
      <x:c r="Q205" s="9" t="n">
        <x:f>MOD(R204*16807,2147483647)</x:f>
        <x:v>662061587</x:v>
      </x:c>
      <x:c r="R205" s="9" t="n">
        <x:f>MOD(Q205*16807,2147483647)</x:f>
        <x:v>1156317602</x:v>
      </x:c>
      <x:c r="S205" s="17" t="n">
        <x:f>IF('Control Room'!$B$5="Normal",'Control Room'!$B$7+'Control Room'!$D$7*SQRT(-2*LN(MAX(0.000000000001,Q205/2147483647)))*COS(2*PI()*R205/2147483647),'Control Room'!$B$8+('Control Room'!$D$8-'Control Room'!$B$8)*Q205/2147483647)</x:f>
        <x:v>865.943287144341</x:v>
      </x:c>
      <x:c r="T205" s="17" t="n">
        <x:f>IF('Control Room'!$B$5="Normal",'Control Room'!$B$7,('Control Room'!$B$8+'Control Room'!$D$8)/2)+'Control Room'!$B$9*(T204-IF('Control Room'!$B$5="Normal",'Control Room'!$B$7,('Control Room'!$B$8+'Control Room'!$D$8)/2))+SQRT(1-'Control Room'!$B$9^2)*(S205-IF('Control Room'!$B$5="Normal",'Control Room'!$B$7,('Control Room'!$B$8+'Control Room'!$D$8)/2))</x:f>
        <x:v>915.2651056429827</x:v>
      </x:c>
      <x:c r="U205" s="17" t="n">
        <x:f>IF(AND($A205&gt;='Control Room'!$A$13,$A205&lt;'Control Room'!$A$13+'Control Room'!$B$13,'Process'!BN2=1),1+('Control Room'!$C$13-1)*EXP(-0.5*(($A205-'Control Room'!$A$13-('Control Room'!$B$13-1)/2)/MAX(0.5,'Control Room'!$B$13/4))^2),1)*IF(AND($A205&gt;='Control Room'!$A$14,$A205&lt;'Control Room'!$A$14+'Control Room'!$B$14,'Process'!BN3=1),1+('Control Room'!$C$14-1)*EXP(-0.5*(($A205-'Control Room'!$A$14-('Control Room'!$B$14-1)/2)/MAX(0.5,'Control Room'!$B$14/4))^2),1)*IF(AND($A205&gt;='Control Room'!$A$15,$A205&lt;'Control Room'!$A$15+'Control Room'!$B$15,'Process'!BN4=1),1+('Control Room'!$C$15-1)*EXP(-0.5*(($A205-'Control Room'!$A$15-('Control Room'!$B$15-1)/2)/MAX(0.5,'Control Room'!$B$15/4))^2),1)*IF(AND($A205&gt;='Control Room'!$A$16,$A205&lt;'Control Room'!$A$16+'Control Room'!$B$16,'Process'!BN5=1),1+('Control Room'!$C$16-1)*EXP(-0.5*(($A205-'Control Room'!$A$16-('Control Room'!$B$16-1)/2)/MAX(0.5,'Control Room'!$B$16/4))^2),1)</x:f>
        <x:v>1</x:v>
      </x:c>
      <x:c r="V205" s="9" t="n">
        <x:f>MOD(W204*16807,2147483647)</x:f>
        <x:v>146206750</x:v>
      </x:c>
      <x:c r="W205" s="9" t="n">
        <x:f>MOD(V205*16807,2147483647)</x:f>
        <x:v>575555082</x:v>
      </x:c>
      <x:c r="X205" s="17" t="n">
        <x:f>IF('Control Room'!$B$5="Normal",'Control Room'!$B$7+'Control Room'!$D$7*SQRT(-2*LN(MAX(0.000000000001,V205/2147483647)))*COS(2*PI()*W205/2147483647),'Control Room'!$B$8+('Control Room'!$D$8-'Control Room'!$B$8)*V205/2147483647)</x:f>
        <x:v>976.4359775572719</x:v>
      </x:c>
      <x:c r="Y205" s="17" t="n">
        <x:f>IF('Control Room'!$B$5="Normal",'Control Room'!$B$7,('Control Room'!$B$8+'Control Room'!$D$8)/2)+'Control Room'!$B$9*(Y204-IF('Control Room'!$B$5="Normal",'Control Room'!$B$7,('Control Room'!$B$8+'Control Room'!$D$8)/2))+SQRT(1-'Control Room'!$B$9^2)*(X205-IF('Control Room'!$B$5="Normal",'Control Room'!$B$7,('Control Room'!$B$8+'Control Room'!$D$8)/2))</x:f>
        <x:v>969.0742970541464</x:v>
      </x:c>
      <x:c r="Z205" s="17" t="n">
        <x:f>IF(AND($A205&gt;='Control Room'!$A$13,$A205&lt;'Control Room'!$A$13+'Control Room'!$B$13,'Process'!BO2=1),1+('Control Room'!$C$13-1)*EXP(-0.5*(($A205-'Control Room'!$A$13-('Control Room'!$B$13-1)/2)/MAX(0.5,'Control Room'!$B$13/4))^2),1)*IF(AND($A205&gt;='Control Room'!$A$14,$A205&lt;'Control Room'!$A$14+'Control Room'!$B$14,'Process'!BO3=1),1+('Control Room'!$C$14-1)*EXP(-0.5*(($A205-'Control Room'!$A$14-('Control Room'!$B$14-1)/2)/MAX(0.5,'Control Room'!$B$14/4))^2),1)*IF(AND($A205&gt;='Control Room'!$A$15,$A205&lt;'Control Room'!$A$15+'Control Room'!$B$15,'Process'!BO4=1),1+('Control Room'!$C$15-1)*EXP(-0.5*(($A205-'Control Room'!$A$15-('Control Room'!$B$15-1)/2)/MAX(0.5,'Control Room'!$B$15/4))^2),1)*IF(AND($A205&gt;='Control Room'!$A$16,$A205&lt;'Control Room'!$A$16+'Control Room'!$B$16,'Process'!BO5=1),1+('Control Room'!$C$16-1)*EXP(-0.5*(($A205-'Control Room'!$A$16-('Control Room'!$B$16-1)/2)/MAX(0.5,'Control Room'!$B$16/4))^2),1)</x:f>
        <x:v>1</x:v>
      </x:c>
      <x:c r="AA205" s="9" t="n">
        <x:f>MOD(AB204*16807,2147483647)</x:f>
        <x:v>1777835560</x:v>
      </x:c>
      <x:c r="AB205" s="9" t="n">
        <x:f>MOD(AA205*16807,2147483647)</x:f>
        <x:v>2142276209</x:v>
      </x:c>
      <x:c r="AC205" s="17" t="n">
        <x:f>IF('Control Room'!$B$5="Normal",'Control Room'!$B$7+'Control Room'!$D$7*SQRT(-2*LN(MAX(0.000000000001,AA205/2147483647)))*COS(2*PI()*AB205/2147483647),'Control Room'!$B$8+('Control Room'!$D$8-'Control Room'!$B$8)*AA205/2147483647)</x:f>
        <x:v>1055.3124895388157</x:v>
      </x:c>
      <x:c r="AD205" s="17" t="n">
        <x:f>IF('Control Room'!$B$5="Normal",'Control Room'!$B$7,('Control Room'!$B$8+'Control Room'!$D$8)/2)+'Control Room'!$B$9*(AD204-IF('Control Room'!$B$5="Normal",'Control Room'!$B$7,('Control Room'!$B$8+'Control Room'!$D$8)/2))+SQRT(1-'Control Room'!$B$9^2)*(AC205-IF('Control Room'!$B$5="Normal",'Control Room'!$B$7,('Control Room'!$B$8+'Control Room'!$D$8)/2))</x:f>
        <x:v>1098.6952976149541</x:v>
      </x:c>
      <x:c r="AE205" s="17" t="n">
        <x:f>IF(AND($A205&gt;='Control Room'!$A$13,$A205&lt;'Control Room'!$A$13+'Control Room'!$B$13,'Process'!BP2=1),1+('Control Room'!$C$13-1)*EXP(-0.5*(($A205-'Control Room'!$A$13-('Control Room'!$B$13-1)/2)/MAX(0.5,'Control Room'!$B$13/4))^2),1)*IF(AND($A205&gt;='Control Room'!$A$14,$A205&lt;'Control Room'!$A$14+'Control Room'!$B$14,'Process'!BP3=1),1+('Control Room'!$C$14-1)*EXP(-0.5*(($A205-'Control Room'!$A$14-('Control Room'!$B$14-1)/2)/MAX(0.5,'Control Room'!$B$14/4))^2),1)*IF(AND($A205&gt;='Control Room'!$A$15,$A205&lt;'Control Room'!$A$15+'Control Room'!$B$15,'Process'!BP4=1),1+('Control Room'!$C$15-1)*EXP(-0.5*(($A205-'Control Room'!$A$15-('Control Room'!$B$15-1)/2)/MAX(0.5,'Control Room'!$B$15/4))^2),1)*IF(AND($A205&gt;='Control Room'!$A$16,$A205&lt;'Control Room'!$A$16+'Control Room'!$B$16,'Process'!BP5=1),1+('Control Room'!$C$16-1)*EXP(-0.5*(($A205-'Control Room'!$A$16-('Control Room'!$B$16-1)/2)/MAX(0.5,'Control Room'!$B$16/4))^2),1)</x:f>
        <x:v>1</x:v>
      </x:c>
      <x:c r="AF205" s="9" t="n">
        <x:f>MOD(AG204*16807,2147483647)</x:f>
        <x:v>1261980723</x:v>
      </x:c>
      <x:c r="AG205" s="9" t="n">
        <x:f>MOD(AF205*16807,2147483647)</x:f>
        <x:v>1561513689</x:v>
      </x:c>
      <x:c r="AH205" s="17" t="n">
        <x:f>IF('Control Room'!$B$5="Normal",'Control Room'!$B$7+'Control Room'!$D$7*SQRT(-2*LN(MAX(0.000000000001,AF205/2147483647)))*COS(2*PI()*AG205/2147483647),'Control Room'!$B$8+('Control Room'!$D$8-'Control Room'!$B$8)*AF205/2147483647)</x:f>
        <x:v>986.714310496008</x:v>
      </x:c>
      <x:c r="AI205" s="17" t="n">
        <x:f>IF('Control Room'!$B$5="Normal",'Control Room'!$B$7,('Control Room'!$B$8+'Control Room'!$D$8)/2)+'Control Room'!$B$9*(AI204-IF('Control Room'!$B$5="Normal",'Control Room'!$B$7,('Control Room'!$B$8+'Control Room'!$D$8)/2))+SQRT(1-'Control Room'!$B$9^2)*(AH205-IF('Control Room'!$B$5="Normal",'Control Room'!$B$7,('Control Room'!$B$8+'Control Room'!$D$8)/2))</x:f>
        <x:v>921.7189585757352</x:v>
      </x:c>
      <x:c r="AJ205" s="17" t="n">
        <x:f>IF(AND($A205&gt;='Control Room'!$A$13,$A205&lt;'Control Room'!$A$13+'Control Room'!$B$13,'Process'!BQ2=1),1+('Control Room'!$C$13-1)*EXP(-0.5*(($A205-'Control Room'!$A$13-('Control Room'!$B$13-1)/2)/MAX(0.5,'Control Room'!$B$13/4))^2),1)*IF(AND($A205&gt;='Control Room'!$A$14,$A205&lt;'Control Room'!$A$14+'Control Room'!$B$14,'Process'!BQ3=1),1+('Control Room'!$C$14-1)*EXP(-0.5*(($A205-'Control Room'!$A$14-('Control Room'!$B$14-1)/2)/MAX(0.5,'Control Room'!$B$14/4))^2),1)*IF(AND($A205&gt;='Control Room'!$A$15,$A205&lt;'Control Room'!$A$15+'Control Room'!$B$15,'Process'!BQ4=1),1+('Control Room'!$C$15-1)*EXP(-0.5*(($A205-'Control Room'!$A$15-('Control Room'!$B$15-1)/2)/MAX(0.5,'Control Room'!$B$15/4))^2),1)*IF(AND($A205&gt;='Control Room'!$A$16,$A205&lt;'Control Room'!$A$16+'Control Room'!$B$16,'Process'!BQ5=1),1+('Control Room'!$C$16-1)*EXP(-0.5*(($A205-'Control Room'!$A$16-('Control Room'!$B$16-1)/2)/MAX(0.5,'Control Room'!$B$16/4))^2),1)</x:f>
        <x:v>1</x:v>
      </x:c>
      <x:c r="AK205" s="9" t="n">
        <x:f>MOD(AL204*16807,2147483647)</x:f>
        <x:v>746125886</x:v>
      </x:c>
      <x:c r="AL205" s="9" t="n">
        <x:f>MOD(AK205*16807,2147483647)</x:f>
        <x:v>980751169</x:v>
      </x:c>
      <x:c r="AM205" s="17" t="n">
        <x:f>IF('Control Room'!$B$5="Normal",'Control Room'!$B$7+'Control Room'!$D$7*SQRT(-2*LN(MAX(0.000000000001,AK205/2147483647)))*COS(2*PI()*AL205/2147483647),'Control Room'!$B$8+('Control Room'!$D$8-'Control Room'!$B$8)*AK205/2147483647)</x:f>
        <x:v>873.9477090985928</x:v>
      </x:c>
      <x:c r="AN205" s="17" t="n">
        <x:f>IF('Control Room'!$B$5="Normal",'Control Room'!$B$7,('Control Room'!$B$8+'Control Room'!$D$8)/2)+'Control Room'!$B$9*(AN204-IF('Control Room'!$B$5="Normal",'Control Room'!$B$7,('Control Room'!$B$8+'Control Room'!$D$8)/2))+SQRT(1-'Control Room'!$B$9^2)*(AM205-IF('Control Room'!$B$5="Normal",'Control Room'!$B$7,('Control Room'!$B$8+'Control Room'!$D$8)/2))</x:f>
        <x:v>942.5290359914306</x:v>
      </x:c>
      <x:c r="AO205" s="17" t="n">
        <x:f>IF(AND($A205&gt;='Control Room'!$A$13,$A205&lt;'Control Room'!$A$13+'Control Room'!$B$13,'Process'!BR2=1),1+('Control Room'!$C$13-1)*EXP(-0.5*(($A205-'Control Room'!$A$13-('Control Room'!$B$13-1)/2)/MAX(0.5,'Control Room'!$B$13/4))^2),1)*IF(AND($A205&gt;='Control Room'!$A$14,$A205&lt;'Control Room'!$A$14+'Control Room'!$B$14,'Process'!BR3=1),1+('Control Room'!$C$14-1)*EXP(-0.5*(($A205-'Control Room'!$A$14-('Control Room'!$B$14-1)/2)/MAX(0.5,'Control Room'!$B$14/4))^2),1)*IF(AND($A205&gt;='Control Room'!$A$15,$A205&lt;'Control Room'!$A$15+'Control Room'!$B$15,'Process'!BR4=1),1+('Control Room'!$C$15-1)*EXP(-0.5*(($A205-'Control Room'!$A$15-('Control Room'!$B$15-1)/2)/MAX(0.5,'Control Room'!$B$15/4))^2),1)*IF(AND($A205&gt;='Control Room'!$A$16,$A205&lt;'Control Room'!$A$16+'Control Room'!$B$16,'Process'!BR5=1),1+('Control Room'!$C$16-1)*EXP(-0.5*(($A205-'Control Room'!$A$16-('Control Room'!$B$16-1)/2)/MAX(0.5,'Control Room'!$B$16/4))^2),1)</x:f>
        <x:v>1</x:v>
      </x:c>
      <x:c r="AP205" s="9" t="n">
        <x:f>MOD(AQ204*16807,2147483647)</x:f>
        <x:v>230271049</x:v>
      </x:c>
      <x:c r="AQ205" s="9" t="n">
        <x:f>MOD(AP205*16807,2147483647)</x:f>
        <x:v>399988649</x:v>
      </x:c>
      <x:c r="AR205" s="17" t="n">
        <x:f>IF('Control Room'!$B$5="Normal",'Control Room'!$B$7+'Control Room'!$D$7*SQRT(-2*LN(MAX(0.000000000001,AP205/2147483647)))*COS(2*PI()*AQ205/2147483647),'Control Room'!$B$8+('Control Room'!$D$8-'Control Room'!$B$8)*AP205/2147483647)</x:f>
        <x:v>1074.1492089926783</x:v>
      </x:c>
      <x:c r="AS205" s="17" t="n">
        <x:f>IF('Control Room'!$B$5="Normal",'Control Room'!$B$7,('Control Room'!$B$8+'Control Room'!$D$8)/2)+'Control Room'!$B$9*(AS204-IF('Control Room'!$B$5="Normal",'Control Room'!$B$7,('Control Room'!$B$8+'Control Room'!$D$8)/2))+SQRT(1-'Control Room'!$B$9^2)*(AR205-IF('Control Room'!$B$5="Normal",'Control Room'!$B$7,('Control Room'!$B$8+'Control Room'!$D$8)/2))</x:f>
        <x:v>1043.2222631124962</x:v>
      </x:c>
      <x:c r="AT205" s="17" t="n">
        <x:f>IF(AND($A205&gt;='Control Room'!$A$13,$A205&lt;'Control Room'!$A$13+'Control Room'!$B$13,'Process'!BS2=1),1+('Control Room'!$C$13-1)*EXP(-0.5*(($A205-'Control Room'!$A$13-('Control Room'!$B$13-1)/2)/MAX(0.5,'Control Room'!$B$13/4))^2),1)*IF(AND($A205&gt;='Control Room'!$A$14,$A205&lt;'Control Room'!$A$14+'Control Room'!$B$14,'Process'!BS3=1),1+('Control Room'!$C$14-1)*EXP(-0.5*(($A205-'Control Room'!$A$14-('Control Room'!$B$14-1)/2)/MAX(0.5,'Control Room'!$B$14/4))^2),1)*IF(AND($A205&gt;='Control Room'!$A$15,$A205&lt;'Control Room'!$A$15+'Control Room'!$B$15,'Process'!BS4=1),1+('Control Room'!$C$15-1)*EXP(-0.5*(($A205-'Control Room'!$A$15-('Control Room'!$B$15-1)/2)/MAX(0.5,'Control Room'!$B$15/4))^2),1)*IF(AND($A205&gt;='Control Room'!$A$16,$A205&lt;'Control Room'!$A$16+'Control Room'!$B$16,'Process'!BS5=1),1+('Control Room'!$C$16-1)*EXP(-0.5*(($A205-'Control Room'!$A$16-('Control Room'!$B$16-1)/2)/MAX(0.5,'Control Room'!$B$16/4))^2),1)</x:f>
        <x:v>1</x:v>
      </x:c>
      <x:c r="AU205" s="9" t="n">
        <x:f>MOD(AV204*16807,2147483647)</x:f>
        <x:v>1861899859</x:v>
      </x:c>
      <x:c r="AV205" s="9" t="n">
        <x:f>MOD(AU205*16807,2147483647)</x:f>
        <x:v>1966709776</x:v>
      </x:c>
      <x:c r="AW205" s="17" t="n">
        <x:f>IF('Control Room'!$B$5="Normal",'Control Room'!$B$7+'Control Room'!$D$7*SQRT(-2*LN(MAX(0.000000000001,AU205/2147483647)))*COS(2*PI()*AV205/2147483647),'Control Room'!$B$8+('Control Room'!$D$8-'Control Room'!$B$8)*AU205/2147483647)</x:f>
        <x:v>1041.5105068942091</x:v>
      </x:c>
      <x:c r="AX205" s="17" t="n">
        <x:f>IF('Control Room'!$B$5="Normal",'Control Room'!$B$7,('Control Room'!$B$8+'Control Room'!$D$8)/2)+'Control Room'!$B$9*(AX204-IF('Control Room'!$B$5="Normal",'Control Room'!$B$7,('Control Room'!$B$8+'Control Room'!$D$8)/2))+SQRT(1-'Control Room'!$B$9^2)*(AW205-IF('Control Room'!$B$5="Normal",'Control Room'!$B$7,('Control Room'!$B$8+'Control Room'!$D$8)/2))</x:f>
        <x:v>947.668472388488</x:v>
      </x:c>
      <x:c r="AY205" s="17" t="n">
        <x:f>IF(AND($A205&gt;='Control Room'!$A$13,$A205&lt;'Control Room'!$A$13+'Control Room'!$B$13,'Process'!BT2=1),1+('Control Room'!$C$13-1)*EXP(-0.5*(($A205-'Control Room'!$A$13-('Control Room'!$B$13-1)/2)/MAX(0.5,'Control Room'!$B$13/4))^2),1)*IF(AND($A205&gt;='Control Room'!$A$14,$A205&lt;'Control Room'!$A$14+'Control Room'!$B$14,'Process'!BT3=1),1+('Control Room'!$C$14-1)*EXP(-0.5*(($A205-'Control Room'!$A$14-('Control Room'!$B$14-1)/2)/MAX(0.5,'Control Room'!$B$14/4))^2),1)*IF(AND($A205&gt;='Control Room'!$A$15,$A205&lt;'Control Room'!$A$15+'Control Room'!$B$15,'Process'!BT4=1),1+('Control Room'!$C$15-1)*EXP(-0.5*(($A205-'Control Room'!$A$15-('Control Room'!$B$15-1)/2)/MAX(0.5,'Control Room'!$B$15/4))^2),1)*IF(AND($A205&gt;='Control Room'!$A$16,$A205&lt;'Control Room'!$A$16+'Control Room'!$B$16,'Process'!BT5=1),1+('Control Room'!$C$16-1)*EXP(-0.5*(($A205-'Control Room'!$A$16-('Control Room'!$B$16-1)/2)/MAX(0.5,'Control Room'!$B$16/4))^2),1)</x:f>
        <x:v>1</x:v>
      </x:c>
      <x:c r="AZ205" s="9" t="n">
        <x:f>MOD(BA204*16807,2147483647)</x:f>
        <x:v>1346045022</x:v>
      </x:c>
      <x:c r="BA205" s="9" t="n">
        <x:f>MOD(AZ205*16807,2147483647)</x:f>
        <x:v>1385947256</x:v>
      </x:c>
      <x:c r="BB205" s="17" t="n">
        <x:f>IF('Control Room'!$B$5="Normal",'Control Room'!$B$7+'Control Room'!$D$7*SQRT(-2*LN(MAX(0.000000000001,AZ205/2147483647)))*COS(2*PI()*BA205/2147483647),'Control Room'!$B$8+('Control Room'!$D$8-'Control Room'!$B$8)*AZ205/2147483647)</x:f>
        <x:v>946.8476987153964</x:v>
      </x:c>
      <x:c r="BC205" s="17" t="n">
        <x:f>IF('Control Room'!$B$5="Normal",'Control Room'!$B$7,('Control Room'!$B$8+'Control Room'!$D$8)/2)+'Control Room'!$B$9*(BC204-IF('Control Room'!$B$5="Normal",'Control Room'!$B$7,('Control Room'!$B$8+'Control Room'!$D$8)/2))+SQRT(1-'Control Room'!$B$9^2)*(BB205-IF('Control Room'!$B$5="Normal",'Control Room'!$B$7,('Control Room'!$B$8+'Control Room'!$D$8)/2))</x:f>
        <x:v>1000.0957867854604</x:v>
      </x:c>
      <x:c r="BD205" s="17" t="n">
        <x:f>IF(AND($A205&gt;='Control Room'!$A$13,$A205&lt;'Control Room'!$A$13+'Control Room'!$B$13,'Process'!BU2=1),1+('Control Room'!$C$13-1)*EXP(-0.5*(($A205-'Control Room'!$A$13-('Control Room'!$B$13-1)/2)/MAX(0.5,'Control Room'!$B$13/4))^2),1)*IF(AND($A205&gt;='Control Room'!$A$14,$A205&lt;'Control Room'!$A$14+'Control Room'!$B$14,'Process'!BU3=1),1+('Control Room'!$C$14-1)*EXP(-0.5*(($A205-'Control Room'!$A$14-('Control Room'!$B$14-1)/2)/MAX(0.5,'Control Room'!$B$14/4))^2),1)*IF(AND($A205&gt;='Control Room'!$A$15,$A205&lt;'Control Room'!$A$15+'Control Room'!$B$15,'Process'!BU4=1),1+('Control Room'!$C$15-1)*EXP(-0.5*(($A205-'Control Room'!$A$15-('Control Room'!$B$15-1)/2)/MAX(0.5,'Control Room'!$B$15/4))^2),1)*IF(AND($A205&gt;='Control Room'!$A$16,$A205&lt;'Control Room'!$A$16+'Control Room'!$B$16,'Process'!BU5=1),1+('Control Room'!$C$16-1)*EXP(-0.5*(($A205-'Control Room'!$A$16-('Control Room'!$B$16-1)/2)/MAX(0.5,'Control Room'!$B$16/4))^2),1)</x:f>
        <x:v>1</x:v>
      </x:c>
      <x:c r="BE205" s="9" t="n">
        <x:f>MOD(BF204*16807,2147483647)</x:f>
        <x:v>830190185</x:v>
      </x:c>
      <x:c r="BF205" s="9" t="n">
        <x:f>MOD(BE205*16807,2147483647)</x:f>
        <x:v>805184736</x:v>
      </x:c>
      <x:c r="BG205" s="17" t="n">
        <x:f>IF('Control Room'!$B$5="Normal",'Control Room'!$B$7+'Control Room'!$D$7*SQRT(-2*LN(MAX(0.000000000001,BE205/2147483647)))*COS(2*PI()*BF205/2147483647),'Control Room'!$B$8+('Control Room'!$D$8-'Control Room'!$B$8)*BE205/2147483647)</x:f>
        <x:v>912.2917430592273</x:v>
      </x:c>
      <x:c r="BH205" s="17" t="n">
        <x:f>IF('Control Room'!$B$5="Normal",'Control Room'!$B$7,('Control Room'!$B$8+'Control Room'!$D$8)/2)+'Control Room'!$B$9*(BH204-IF('Control Room'!$B$5="Normal",'Control Room'!$B$7,('Control Room'!$B$8+'Control Room'!$D$8)/2))+SQRT(1-'Control Room'!$B$9^2)*(BG205-IF('Control Room'!$B$5="Normal",'Control Room'!$B$7,('Control Room'!$B$8+'Control Room'!$D$8)/2))</x:f>
        <x:v>984.7925458312004</x:v>
      </x:c>
      <x:c r="BI205" s="17" t="n">
        <x:f>IF(AND($A205&gt;='Control Room'!$A$13,$A205&lt;'Control Room'!$A$13+'Control Room'!$B$13,'Process'!BV2=1),1+('Control Room'!$C$13-1)*EXP(-0.5*(($A205-'Control Room'!$A$13-('Control Room'!$B$13-1)/2)/MAX(0.5,'Control Room'!$B$13/4))^2),1)*IF(AND($A205&gt;='Control Room'!$A$14,$A205&lt;'Control Room'!$A$14+'Control Room'!$B$14,'Process'!BV3=1),1+('Control Room'!$C$14-1)*EXP(-0.5*(($A205-'Control Room'!$A$14-('Control Room'!$B$14-1)/2)/MAX(0.5,'Control Room'!$B$14/4))^2),1)*IF(AND($A205&gt;='Control Room'!$A$15,$A205&lt;'Control Room'!$A$15+'Control Room'!$B$15,'Process'!BV4=1),1+('Control Room'!$C$15-1)*EXP(-0.5*(($A205-'Control Room'!$A$15-('Control Room'!$B$15-1)/2)/MAX(0.5,'Control Room'!$B$15/4))^2),1)*IF(AND($A205&gt;='Control Room'!$A$16,$A205&lt;'Control Room'!$A$16+'Control Room'!$B$16,'Process'!BV5=1),1+('Control Room'!$C$16-1)*EXP(-0.5*(($A205-'Control Room'!$A$16-('Control Room'!$B$16-1)/2)/MAX(0.5,'Control Room'!$B$16/4))^2),1)</x:f>
        <x:v>1</x:v>
      </x:c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Z205" t="str">
        <x:f>IF('Data'!A205="","",TEXT('Data'!A205,"mm-dd"))</x:f>
      </x:c>
    </x:row>
    <x:row r="206" ht="21" customHeight="1">
      <x:c r="A206" s="15" t="n">
        <x:f>'Control Room'!$B$1+204</x:f>
        <x:v>73195</x:v>
      </x:c>
      <x:c r="B206" s="9" t="n">
        <x:f>MOD(C205*16807,2147483647)</x:f>
        <x:v>1190425539</x:v>
      </x:c>
      <x:c r="C206" s="9" t="n">
        <x:f>MOD(B206*16807,2147483647)</x:f>
        <x:v>1524378521</x:v>
      </x:c>
      <x:c r="D206" s="17" t="n">
        <x:f>IF('Control Room'!$B$5="Normal",'Control Room'!$B$7+'Control Room'!$D$7*SQRT(-2*LN(MAX(0.000000000001,B206/2147483647)))*COS(2*PI()*C206/2147483647),'Control Room'!$B$8+('Control Room'!$D$8-'Control Room'!$B$8)*B206/2147483647)</x:f>
        <x:v>975.5943520870517</x:v>
      </x:c>
      <x:c r="E206" s="17" t="n">
        <x:f>IF('Control Room'!$B$5="Normal",'Control Room'!$B$7,('Control Room'!$B$8+'Control Room'!$D$8)/2)+'Control Room'!$B$9*(E205-IF('Control Room'!$B$5="Normal",'Control Room'!$B$7,('Control Room'!$B$8+'Control Room'!$D$8)/2))+SQRT(1-'Control Room'!$B$9^2)*(D206-IF('Control Room'!$B$5="Normal",'Control Room'!$B$7,('Control Room'!$B$8+'Control Room'!$D$8)/2))</x:f>
        <x:v>989.6378327359198</x:v>
      </x:c>
      <x:c r="F206" s="17" t="n">
        <x:f>IF(AND($A206&gt;='Control Room'!$A$13,$A206&lt;'Control Room'!$A$13+'Control Room'!$B$13,'Process'!BK2=1),1+('Control Room'!$C$13-1)*EXP(-0.5*(($A206-'Control Room'!$A$13-('Control Room'!$B$13-1)/2)/MAX(0.5,'Control Room'!$B$13/4))^2),1)*IF(AND($A206&gt;='Control Room'!$A$14,$A206&lt;'Control Room'!$A$14+'Control Room'!$B$14,'Process'!BK3=1),1+('Control Room'!$C$14-1)*EXP(-0.5*(($A206-'Control Room'!$A$14-('Control Room'!$B$14-1)/2)/MAX(0.5,'Control Room'!$B$14/4))^2),1)*IF(AND($A206&gt;='Control Room'!$A$15,$A206&lt;'Control Room'!$A$15+'Control Room'!$B$15,'Process'!BK4=1),1+('Control Room'!$C$15-1)*EXP(-0.5*(($A206-'Control Room'!$A$15-('Control Room'!$B$15-1)/2)/MAX(0.5,'Control Room'!$B$15/4))^2),1)*IF(AND($A206&gt;='Control Room'!$A$16,$A206&lt;'Control Room'!$A$16+'Control Room'!$B$16,'Process'!BK5=1),1+('Control Room'!$C$16-1)*EXP(-0.5*(($A206-'Control Room'!$A$16-('Control Room'!$B$16-1)/2)/MAX(0.5,'Control Room'!$B$16/4))^2),1)</x:f>
        <x:v>1</x:v>
      </x:c>
      <x:c r="G206" s="9" t="n">
        <x:f>MOD(H205*16807,2147483647)</x:f>
        <x:v>627927514</x:v>
      </x:c>
      <x:c r="H206" s="9" t="n">
        <x:f>MOD(G206*16807,2147483647)</x:f>
        <x:v>843086440</x:v>
      </x:c>
      <x:c r="I206" s="17" t="n">
        <x:f>IF('Control Room'!$B$5="Normal",'Control Room'!$B$7+'Control Room'!$D$7*SQRT(-2*LN(MAX(0.000000000001,G206/2147483647)))*COS(2*PI()*H206/2147483647),'Control Room'!$B$8+('Control Room'!$D$8-'Control Room'!$B$8)*G206/2147483647)</x:f>
        <x:v>889.8001482517129</x:v>
      </x:c>
      <x:c r="J206" s="17" t="n">
        <x:f>IF('Control Room'!$B$5="Normal",'Control Room'!$B$7,('Control Room'!$B$8+'Control Room'!$D$8)/2)+'Control Room'!$B$9*(J205-IF('Control Room'!$B$5="Normal",'Control Room'!$B$7,('Control Room'!$B$8+'Control Room'!$D$8)/2))+SQRT(1-'Control Room'!$B$9^2)*(I206-IF('Control Room'!$B$5="Normal",'Control Room'!$B$7,('Control Room'!$B$8+'Control Room'!$D$8)/2))</x:f>
        <x:v>847.6930827403512</x:v>
      </x:c>
      <x:c r="K206" s="17" t="n">
        <x:f>IF(AND($A206&gt;='Control Room'!$A$13,$A206&lt;'Control Room'!$A$13+'Control Room'!$B$13,'Process'!BL2=1),1+('Control Room'!$C$13-1)*EXP(-0.5*(($A206-'Control Room'!$A$13-('Control Room'!$B$13-1)/2)/MAX(0.5,'Control Room'!$B$13/4))^2),1)*IF(AND($A206&gt;='Control Room'!$A$14,$A206&lt;'Control Room'!$A$14+'Control Room'!$B$14,'Process'!BL3=1),1+('Control Room'!$C$14-1)*EXP(-0.5*(($A206-'Control Room'!$A$14-('Control Room'!$B$14-1)/2)/MAX(0.5,'Control Room'!$B$14/4))^2),1)*IF(AND($A206&gt;='Control Room'!$A$15,$A206&lt;'Control Room'!$A$15+'Control Room'!$B$15,'Process'!BL4=1),1+('Control Room'!$C$15-1)*EXP(-0.5*(($A206-'Control Room'!$A$15-('Control Room'!$B$15-1)/2)/MAX(0.5,'Control Room'!$B$15/4))^2),1)*IF(AND($A206&gt;='Control Room'!$A$16,$A206&lt;'Control Room'!$A$16+'Control Room'!$B$16,'Process'!BL5=1),1+('Control Room'!$C$16-1)*EXP(-0.5*(($A206-'Control Room'!$A$16-('Control Room'!$B$16-1)/2)/MAX(0.5,'Control Room'!$B$16/4))^2),1)</x:f>
        <x:v>1</x:v>
      </x:c>
      <x:c r="L206" s="9" t="n">
        <x:f>MOD(M205*16807,2147483647)</x:f>
        <x:v>65429489</x:v>
      </x:c>
      <x:c r="M206" s="9" t="n">
        <x:f>MOD(L206*16807,2147483647)</x:f>
        <x:v>161794359</x:v>
      </x:c>
      <x:c r="N206" s="17" t="n">
        <x:f>IF('Control Room'!$B$5="Normal",'Control Room'!$B$7+'Control Room'!$D$7*SQRT(-2*LN(MAX(0.000000000001,L206/2147483647)))*COS(2*PI()*M206/2147483647),'Control Room'!$B$8+('Control Room'!$D$8-'Control Room'!$B$8)*L206/2147483647)</x:f>
        <x:v>1211.6617290589581</x:v>
      </x:c>
      <x:c r="O206" s="17" t="n">
        <x:f>IF('Control Room'!$B$5="Normal",'Control Room'!$B$7,('Control Room'!$B$8+'Control Room'!$D$8)/2)+'Control Room'!$B$9*(O205-IF('Control Room'!$B$5="Normal",'Control Room'!$B$7,('Control Room'!$B$8+'Control Room'!$D$8)/2))+SQRT(1-'Control Room'!$B$9^2)*(N206-IF('Control Room'!$B$5="Normal",'Control Room'!$B$7,('Control Room'!$B$8+'Control Room'!$D$8)/2))</x:f>
        <x:v>1181.3253459518423</x:v>
      </x:c>
      <x:c r="P206" s="17" t="n">
        <x:f>IF(AND($A206&gt;='Control Room'!$A$13,$A206&lt;'Control Room'!$A$13+'Control Room'!$B$13,'Process'!BM2=1),1+('Control Room'!$C$13-1)*EXP(-0.5*(($A206-'Control Room'!$A$13-('Control Room'!$B$13-1)/2)/MAX(0.5,'Control Room'!$B$13/4))^2),1)*IF(AND($A206&gt;='Control Room'!$A$14,$A206&lt;'Control Room'!$A$14+'Control Room'!$B$14,'Process'!BM3=1),1+('Control Room'!$C$14-1)*EXP(-0.5*(($A206-'Control Room'!$A$14-('Control Room'!$B$14-1)/2)/MAX(0.5,'Control Room'!$B$14/4))^2),1)*IF(AND($A206&gt;='Control Room'!$A$15,$A206&lt;'Control Room'!$A$15+'Control Room'!$B$15,'Process'!BM4=1),1+('Control Room'!$C$15-1)*EXP(-0.5*(($A206-'Control Room'!$A$15-('Control Room'!$B$15-1)/2)/MAX(0.5,'Control Room'!$B$15/4))^2),1)*IF(AND($A206&gt;='Control Room'!$A$16,$A206&lt;'Control Room'!$A$16+'Control Room'!$B$16,'Process'!BM5=1),1+('Control Room'!$C$16-1)*EXP(-0.5*(($A206-'Control Room'!$A$16-('Control Room'!$B$16-1)/2)/MAX(0.5,'Control Room'!$B$16/4))^2),1)</x:f>
        <x:v>1</x:v>
      </x:c>
      <x:c r="Q206" s="9" t="n">
        <x:f>MOD(R205*16807,2147483647)</x:f>
        <x:v>1650415111</x:v>
      </x:c>
      <x:c r="R206" s="9" t="n">
        <x:f>MOD(Q206*16807,2147483647)</x:f>
        <x:v>1627985925</x:v>
      </x:c>
      <x:c r="S206" s="17" t="n">
        <x:f>IF('Control Room'!$B$5="Normal",'Control Room'!$B$7+'Control Room'!$D$7*SQRT(-2*LN(MAX(0.000000000001,Q206/2147483647)))*COS(2*PI()*R206/2147483647),'Control Room'!$B$8+('Control Room'!$D$8-'Control Room'!$B$8)*Q206/2147483647)</x:f>
        <x:v>1003.3181854692707</x:v>
      </x:c>
      <x:c r="T206" s="17" t="n">
        <x:f>IF('Control Room'!$B$5="Normal",'Control Room'!$B$7,('Control Room'!$B$8+'Control Room'!$D$8)/2)+'Control Room'!$B$9*(T205-IF('Control Room'!$B$5="Normal",'Control Room'!$B$7,('Control Room'!$B$8+'Control Room'!$D$8)/2))+SQRT(1-'Control Room'!$B$9^2)*(S206-IF('Control Room'!$B$5="Normal",'Control Room'!$B$7,('Control Room'!$B$8+'Control Room'!$D$8)/2))</x:f>
        <x:v>935.9832348914719</x:v>
      </x:c>
      <x:c r="U206" s="17" t="n">
        <x:f>IF(AND($A206&gt;='Control Room'!$A$13,$A206&lt;'Control Room'!$A$13+'Control Room'!$B$13,'Process'!BN2=1),1+('Control Room'!$C$13-1)*EXP(-0.5*(($A206-'Control Room'!$A$13-('Control Room'!$B$13-1)/2)/MAX(0.5,'Control Room'!$B$13/4))^2),1)*IF(AND($A206&gt;='Control Room'!$A$14,$A206&lt;'Control Room'!$A$14+'Control Room'!$B$14,'Process'!BN3=1),1+('Control Room'!$C$14-1)*EXP(-0.5*(($A206-'Control Room'!$A$14-('Control Room'!$B$14-1)/2)/MAX(0.5,'Control Room'!$B$14/4))^2),1)*IF(AND($A206&gt;='Control Room'!$A$15,$A206&lt;'Control Room'!$A$15+'Control Room'!$B$15,'Process'!BN4=1),1+('Control Room'!$C$15-1)*EXP(-0.5*(($A206-'Control Room'!$A$15-('Control Room'!$B$15-1)/2)/MAX(0.5,'Control Room'!$B$15/4))^2),1)*IF(AND($A206&gt;='Control Room'!$A$16,$A206&lt;'Control Room'!$A$16+'Control Room'!$B$16,'Process'!BN5=1),1+('Control Room'!$C$16-1)*EXP(-0.5*(($A206-'Control Room'!$A$16-('Control Room'!$B$16-1)/2)/MAX(0.5,'Control Room'!$B$16/4))^2),1)</x:f>
        <x:v>1</x:v>
      </x:c>
      <x:c r="V206" s="9" t="n">
        <x:f>MOD(W205*16807,2147483647)</x:f>
        <x:v>1087917086</x:v>
      </x:c>
      <x:c r="W206" s="9" t="n">
        <x:f>MOD(V206*16807,2147483647)</x:f>
        <x:v>946693844</x:v>
      </x:c>
      <x:c r="X206" s="17" t="n">
        <x:f>IF('Control Room'!$B$5="Normal",'Control Room'!$B$7+'Control Room'!$D$7*SQRT(-2*LN(MAX(0.000000000001,V206/2147483647)))*COS(2*PI()*W206/2147483647),'Control Room'!$B$8+('Control Room'!$D$8-'Control Room'!$B$8)*V206/2147483647)</x:f>
        <x:v>902.2087914008871</x:v>
      </x:c>
      <x:c r="Y206" s="17" t="n">
        <x:f>IF('Control Room'!$B$5="Normal",'Control Room'!$B$7,('Control Room'!$B$8+'Control Room'!$D$8)/2)+'Control Room'!$B$9*(Y205-IF('Control Room'!$B$5="Normal",'Control Room'!$B$7,('Control Room'!$B$8+'Control Room'!$D$8)/2))+SQRT(1-'Control Room'!$B$9^2)*(X206-IF('Control Room'!$B$5="Normal",'Control Room'!$B$7,('Control Room'!$B$8+'Control Room'!$D$8)/2))</x:f>
        <x:v>914.6822167227099</x:v>
      </x:c>
      <x:c r="Z206" s="17" t="n">
        <x:f>IF(AND($A206&gt;='Control Room'!$A$13,$A206&lt;'Control Room'!$A$13+'Control Room'!$B$13,'Process'!BO2=1),1+('Control Room'!$C$13-1)*EXP(-0.5*(($A206-'Control Room'!$A$13-('Control Room'!$B$13-1)/2)/MAX(0.5,'Control Room'!$B$13/4))^2),1)*IF(AND($A206&gt;='Control Room'!$A$14,$A206&lt;'Control Room'!$A$14+'Control Room'!$B$14,'Process'!BO3=1),1+('Control Room'!$C$14-1)*EXP(-0.5*(($A206-'Control Room'!$A$14-('Control Room'!$B$14-1)/2)/MAX(0.5,'Control Room'!$B$14/4))^2),1)*IF(AND($A206&gt;='Control Room'!$A$15,$A206&lt;'Control Room'!$A$15+'Control Room'!$B$15,'Process'!BO4=1),1+('Control Room'!$C$15-1)*EXP(-0.5*(($A206-'Control Room'!$A$15-('Control Room'!$B$15-1)/2)/MAX(0.5,'Control Room'!$B$15/4))^2),1)*IF(AND($A206&gt;='Control Room'!$A$16,$A206&lt;'Control Room'!$A$16+'Control Room'!$B$16,'Process'!BO5=1),1+('Control Room'!$C$16-1)*EXP(-0.5*(($A206-'Control Room'!$A$16-('Control Room'!$B$16-1)/2)/MAX(0.5,'Control Room'!$B$16/4))^2),1)</x:f>
        <x:v>1</x:v>
      </x:c>
      <x:c r="AA206" s="9" t="n">
        <x:f>MOD(AB205*16807,2147483647)</x:f>
        <x:v>525419061</x:v>
      </x:c>
      <x:c r="AB206" s="9" t="n">
        <x:f>MOD(AA206*16807,2147483647)</x:f>
        <x:v>265401763</x:v>
      </x:c>
      <x:c r="AC206" s="17" t="n">
        <x:f>IF('Control Room'!$B$5="Normal",'Control Room'!$B$7+'Control Room'!$D$7*SQRT(-2*LN(MAX(0.000000000001,AA206/2147483647)))*COS(2*PI()*AB206/2147483647),'Control Room'!$B$8+('Control Room'!$D$8-'Control Room'!$B$8)*AA206/2147483647)</x:f>
        <x:v>1107.731431454481</x:v>
      </x:c>
      <x:c r="AD206" s="17" t="n">
        <x:f>IF('Control Room'!$B$5="Normal",'Control Room'!$B$7,('Control Room'!$B$8+'Control Room'!$D$8)/2)+'Control Room'!$B$9*(AD205-IF('Control Room'!$B$5="Normal",'Control Room'!$B$7,('Control Room'!$B$8+'Control Room'!$D$8)/2))+SQRT(1-'Control Room'!$B$9^2)*(AC206-IF('Control Room'!$B$5="Normal",'Control Room'!$B$7,('Control Room'!$B$8+'Control Room'!$D$8)/2))</x:f>
        <x:v>1144.3984549455442</x:v>
      </x:c>
      <x:c r="AE206" s="17" t="n">
        <x:f>IF(AND($A206&gt;='Control Room'!$A$13,$A206&lt;'Control Room'!$A$13+'Control Room'!$B$13,'Process'!BP2=1),1+('Control Room'!$C$13-1)*EXP(-0.5*(($A206-'Control Room'!$A$13-('Control Room'!$B$13-1)/2)/MAX(0.5,'Control Room'!$B$13/4))^2),1)*IF(AND($A206&gt;='Control Room'!$A$14,$A206&lt;'Control Room'!$A$14+'Control Room'!$B$14,'Process'!BP3=1),1+('Control Room'!$C$14-1)*EXP(-0.5*(($A206-'Control Room'!$A$14-('Control Room'!$B$14-1)/2)/MAX(0.5,'Control Room'!$B$14/4))^2),1)*IF(AND($A206&gt;='Control Room'!$A$15,$A206&lt;'Control Room'!$A$15+'Control Room'!$B$15,'Process'!BP4=1),1+('Control Room'!$C$15-1)*EXP(-0.5*(($A206-'Control Room'!$A$15-('Control Room'!$B$15-1)/2)/MAX(0.5,'Control Room'!$B$15/4))^2),1)*IF(AND($A206&gt;='Control Room'!$A$16,$A206&lt;'Control Room'!$A$16+'Control Room'!$B$16,'Process'!BP5=1),1+('Control Room'!$C$16-1)*EXP(-0.5*(($A206-'Control Room'!$A$16-('Control Room'!$B$16-1)/2)/MAX(0.5,'Control Room'!$B$16/4))^2),1)</x:f>
        <x:v>1</x:v>
      </x:c>
      <x:c r="AF206" s="9" t="n">
        <x:f>MOD(AG205*16807,2147483647)</x:f>
        <x:v>2110404683</x:v>
      </x:c>
      <x:c r="AG206" s="9" t="n">
        <x:f>MOD(AF206*16807,2147483647)</x:f>
        <x:v>1731593329</x:v>
      </x:c>
      <x:c r="AH206" s="17" t="n">
        <x:f>IF('Control Room'!$B$5="Normal",'Control Room'!$B$7+'Control Room'!$D$7*SQRT(-2*LN(MAX(0.000000000001,AF206/2147483647)))*COS(2*PI()*AG206/2147483647),'Control Room'!$B$8+('Control Room'!$D$8-'Control Room'!$B$8)*AF206/2147483647)</x:f>
        <x:v>1005.8224140154865</x:v>
      </x:c>
      <x:c r="AI206" s="17" t="n">
        <x:f>IF('Control Room'!$B$5="Normal",'Control Room'!$B$7,('Control Room'!$B$8+'Control Room'!$D$8)/2)+'Control Room'!$B$9*(AI205-IF('Control Room'!$B$5="Normal",'Control Room'!$B$7,('Control Room'!$B$8+'Control Room'!$D$8)/2))+SQRT(1-'Control Room'!$B$9^2)*(AH206-IF('Control Room'!$B$5="Normal",'Control Room'!$B$7,('Control Room'!$B$8+'Control Room'!$D$8)/2))</x:f>
        <x:v>942.5843351013305</x:v>
      </x:c>
      <x:c r="AJ206" s="17" t="n">
        <x:f>IF(AND($A206&gt;='Control Room'!$A$13,$A206&lt;'Control Room'!$A$13+'Control Room'!$B$13,'Process'!BQ2=1),1+('Control Room'!$C$13-1)*EXP(-0.5*(($A206-'Control Room'!$A$13-('Control Room'!$B$13-1)/2)/MAX(0.5,'Control Room'!$B$13/4))^2),1)*IF(AND($A206&gt;='Control Room'!$A$14,$A206&lt;'Control Room'!$A$14+'Control Room'!$B$14,'Process'!BQ3=1),1+('Control Room'!$C$14-1)*EXP(-0.5*(($A206-'Control Room'!$A$14-('Control Room'!$B$14-1)/2)/MAX(0.5,'Control Room'!$B$14/4))^2),1)*IF(AND($A206&gt;='Control Room'!$A$15,$A206&lt;'Control Room'!$A$15+'Control Room'!$B$15,'Process'!BQ4=1),1+('Control Room'!$C$15-1)*EXP(-0.5*(($A206-'Control Room'!$A$15-('Control Room'!$B$15-1)/2)/MAX(0.5,'Control Room'!$B$15/4))^2),1)*IF(AND($A206&gt;='Control Room'!$A$16,$A206&lt;'Control Room'!$A$16+'Control Room'!$B$16,'Process'!BQ5=1),1+('Control Room'!$C$16-1)*EXP(-0.5*(($A206-'Control Room'!$A$16-('Control Room'!$B$16-1)/2)/MAX(0.5,'Control Room'!$B$16/4))^2),1)</x:f>
        <x:v>1</x:v>
      </x:c>
      <x:c r="AK206" s="9" t="n">
        <x:f>MOD(AL205*16807,2147483647)</x:f>
        <x:v>1547906658</x:v>
      </x:c>
      <x:c r="AL206" s="9" t="n">
        <x:f>MOD(AK206*16807,2147483647)</x:f>
        <x:v>1050301248</x:v>
      </x:c>
      <x:c r="AM206" s="17" t="n">
        <x:f>IF('Control Room'!$B$5="Normal",'Control Room'!$B$7+'Control Room'!$D$7*SQRT(-2*LN(MAX(0.000000000001,AK206/2147483647)))*COS(2*PI()*AL206/2147483647),'Control Room'!$B$8+('Control Room'!$D$8-'Control Room'!$B$8)*AK206/2147483647)</x:f>
        <x:v>927.3442147160421</x:v>
      </x:c>
      <x:c r="AN206" s="17" t="n">
        <x:f>IF('Control Room'!$B$5="Normal",'Control Room'!$B$7,('Control Room'!$B$8+'Control Room'!$D$8)/2)+'Control Room'!$B$9*(AN205-IF('Control Room'!$B$5="Normal",'Control Room'!$B$7,('Control Room'!$B$8+'Control Room'!$D$8)/2))+SQRT(1-'Control Room'!$B$9^2)*(AM206-IF('Control Room'!$B$5="Normal",'Control Room'!$B$7,('Control Room'!$B$8+'Control Room'!$D$8)/2))</x:f>
        <x:v>909.7061460772802</x:v>
      </x:c>
      <x:c r="AO206" s="17" t="n">
        <x:f>IF(AND($A206&gt;='Control Room'!$A$13,$A206&lt;'Control Room'!$A$13+'Control Room'!$B$13,'Process'!BR2=1),1+('Control Room'!$C$13-1)*EXP(-0.5*(($A206-'Control Room'!$A$13-('Control Room'!$B$13-1)/2)/MAX(0.5,'Control Room'!$B$13/4))^2),1)*IF(AND($A206&gt;='Control Room'!$A$14,$A206&lt;'Control Room'!$A$14+'Control Room'!$B$14,'Process'!BR3=1),1+('Control Room'!$C$14-1)*EXP(-0.5*(($A206-'Control Room'!$A$14-('Control Room'!$B$14-1)/2)/MAX(0.5,'Control Room'!$B$14/4))^2),1)*IF(AND($A206&gt;='Control Room'!$A$15,$A206&lt;'Control Room'!$A$15+'Control Room'!$B$15,'Process'!BR4=1),1+('Control Room'!$C$15-1)*EXP(-0.5*(($A206-'Control Room'!$A$15-('Control Room'!$B$15-1)/2)/MAX(0.5,'Control Room'!$B$15/4))^2),1)*IF(AND($A206&gt;='Control Room'!$A$16,$A206&lt;'Control Room'!$A$16+'Control Room'!$B$16,'Process'!BR5=1),1+('Control Room'!$C$16-1)*EXP(-0.5*(($A206-'Control Room'!$A$16-('Control Room'!$B$16-1)/2)/MAX(0.5,'Control Room'!$B$16/4))^2),1)</x:f>
        <x:v>1</x:v>
      </x:c>
      <x:c r="AP206" s="9" t="n">
        <x:f>MOD(AQ205*16807,2147483647)</x:f>
        <x:v>985408633</x:v>
      </x:c>
      <x:c r="AQ206" s="9" t="n">
        <x:f>MOD(AP206*16807,2147483647)</x:f>
        <x:v>369009167</x:v>
      </x:c>
      <x:c r="AR206" s="17" t="n">
        <x:f>IF('Control Room'!$B$5="Normal",'Control Room'!$B$7+'Control Room'!$D$7*SQRT(-2*LN(MAX(0.000000000001,AP206/2147483647)))*COS(2*PI()*AQ206/2147483647),'Control Room'!$B$8+('Control Room'!$D$8-'Control Room'!$B$8)*AP206/2147483647)</x:f>
        <x:v>1052.981529182518</x:v>
      </x:c>
      <x:c r="AS206" s="17" t="n">
        <x:f>IF('Control Room'!$B$5="Normal",'Control Room'!$B$7,('Control Room'!$B$8+'Control Room'!$D$8)/2)+'Control Room'!$B$9*(AS205-IF('Control Room'!$B$5="Normal",'Control Room'!$B$7,('Control Room'!$B$8+'Control Room'!$D$8)/2))+SQRT(1-'Control Room'!$B$9^2)*(AR206-IF('Control Room'!$B$5="Normal",'Control Room'!$B$7,('Control Room'!$B$8+'Control Room'!$D$8)/2))</x:f>
        <x:v>1066.8681208045455</x:v>
      </x:c>
      <x:c r="AT206" s="17" t="n">
        <x:f>IF(AND($A206&gt;='Control Room'!$A$13,$A206&lt;'Control Room'!$A$13+'Control Room'!$B$13,'Process'!BS2=1),1+('Control Room'!$C$13-1)*EXP(-0.5*(($A206-'Control Room'!$A$13-('Control Room'!$B$13-1)/2)/MAX(0.5,'Control Room'!$B$13/4))^2),1)*IF(AND($A206&gt;='Control Room'!$A$14,$A206&lt;'Control Room'!$A$14+'Control Room'!$B$14,'Process'!BS3=1),1+('Control Room'!$C$14-1)*EXP(-0.5*(($A206-'Control Room'!$A$14-('Control Room'!$B$14-1)/2)/MAX(0.5,'Control Room'!$B$14/4))^2),1)*IF(AND($A206&gt;='Control Room'!$A$15,$A206&lt;'Control Room'!$A$15+'Control Room'!$B$15,'Process'!BS4=1),1+('Control Room'!$C$15-1)*EXP(-0.5*(($A206-'Control Room'!$A$15-('Control Room'!$B$15-1)/2)/MAX(0.5,'Control Room'!$B$15/4))^2),1)*IF(AND($A206&gt;='Control Room'!$A$16,$A206&lt;'Control Room'!$A$16+'Control Room'!$B$16,'Process'!BS5=1),1+('Control Room'!$C$16-1)*EXP(-0.5*(($A206-'Control Room'!$A$16-('Control Room'!$B$16-1)/2)/MAX(0.5,'Control Room'!$B$16/4))^2),1)</x:f>
        <x:v>1</x:v>
      </x:c>
      <x:c r="AU206" s="9" t="n">
        <x:f>MOD(AV205*16807,2147483647)</x:f>
        <x:v>422910608</x:v>
      </x:c>
      <x:c r="AV206" s="9" t="n">
        <x:f>MOD(AU206*16807,2147483647)</x:f>
        <x:v>1835200733</x:v>
      </x:c>
      <x:c r="AW206" s="17" t="n">
        <x:f>IF('Control Room'!$B$5="Normal",'Control Room'!$B$7+'Control Room'!$D$7*SQRT(-2*LN(MAX(0.000000000001,AU206/2147483647)))*COS(2*PI()*AV206/2147483647),'Control Room'!$B$8+('Control Room'!$D$8-'Control Room'!$B$8)*AU206/2147483647)</x:f>
        <x:v>1099.103632414801</x:v>
      </x:c>
      <x:c r="AX206" s="17" t="n">
        <x:f>IF('Control Room'!$B$5="Normal",'Control Room'!$B$7,('Control Room'!$B$8+'Control Room'!$D$8)/2)+'Control Room'!$B$9*(AX205-IF('Control Room'!$B$5="Normal",'Control Room'!$B$7,('Control Room'!$B$8+'Control Room'!$D$8)/2))+SQRT(1-'Control Room'!$B$9^2)*(AW206-IF('Control Room'!$B$5="Normal",'Control Room'!$B$7,('Control Room'!$B$8+'Control Room'!$D$8)/2))</x:f>
        <x:v>1021.1984313799393</x:v>
      </x:c>
      <x:c r="AY206" s="17" t="n">
        <x:f>IF(AND($A206&gt;='Control Room'!$A$13,$A206&lt;'Control Room'!$A$13+'Control Room'!$B$13,'Process'!BT2=1),1+('Control Room'!$C$13-1)*EXP(-0.5*(($A206-'Control Room'!$A$13-('Control Room'!$B$13-1)/2)/MAX(0.5,'Control Room'!$B$13/4))^2),1)*IF(AND($A206&gt;='Control Room'!$A$14,$A206&lt;'Control Room'!$A$14+'Control Room'!$B$14,'Process'!BT3=1),1+('Control Room'!$C$14-1)*EXP(-0.5*(($A206-'Control Room'!$A$14-('Control Room'!$B$14-1)/2)/MAX(0.5,'Control Room'!$B$14/4))^2),1)*IF(AND($A206&gt;='Control Room'!$A$15,$A206&lt;'Control Room'!$A$15+'Control Room'!$B$15,'Process'!BT4=1),1+('Control Room'!$C$15-1)*EXP(-0.5*(($A206-'Control Room'!$A$15-('Control Room'!$B$15-1)/2)/MAX(0.5,'Control Room'!$B$15/4))^2),1)*IF(AND($A206&gt;='Control Room'!$A$16,$A206&lt;'Control Room'!$A$16+'Control Room'!$B$16,'Process'!BT5=1),1+('Control Room'!$C$16-1)*EXP(-0.5*(($A206-'Control Room'!$A$16-('Control Room'!$B$16-1)/2)/MAX(0.5,'Control Room'!$B$16/4))^2),1)</x:f>
        <x:v>1</x:v>
      </x:c>
      <x:c r="AZ206" s="9" t="n">
        <x:f>MOD(BA205*16807,2147483647)</x:f>
        <x:v>2007896230</x:v>
      </x:c>
      <x:c r="BA206" s="9" t="n">
        <x:f>MOD(AZ206*16807,2147483647)</x:f>
        <x:v>1153908652</x:v>
      </x:c>
      <x:c r="BB206" s="17" t="n">
        <x:f>IF('Control Room'!$B$5="Normal",'Control Room'!$B$7+'Control Room'!$D$7*SQRT(-2*LN(MAX(0.000000000001,AZ206/2147483647)))*COS(2*PI()*BA206/2147483647),'Control Room'!$B$8+('Control Room'!$D$8-'Control Room'!$B$8)*AZ206/2147483647)</x:f>
        <x:v>967.9067106383321</x:v>
      </x:c>
      <x:c r="BC206" s="17" t="n">
        <x:f>IF('Control Room'!$B$5="Normal",'Control Room'!$B$7,('Control Room'!$B$8+'Control Room'!$D$8)/2)+'Control Room'!$B$9*(BC205-IF('Control Room'!$B$5="Normal",'Control Room'!$B$7,('Control Room'!$B$8+'Control Room'!$D$8)/2))+SQRT(1-'Control Room'!$B$9^2)*(BB206-IF('Control Room'!$B$5="Normal",'Control Room'!$B$7,('Control Room'!$B$8+'Control Room'!$D$8)/2))</x:f>
        <x:v>979.9913906768965</x:v>
      </x:c>
      <x:c r="BD206" s="17" t="n">
        <x:f>IF(AND($A206&gt;='Control Room'!$A$13,$A206&lt;'Control Room'!$A$13+'Control Room'!$B$13,'Process'!BU2=1),1+('Control Room'!$C$13-1)*EXP(-0.5*(($A206-'Control Room'!$A$13-('Control Room'!$B$13-1)/2)/MAX(0.5,'Control Room'!$B$13/4))^2),1)*IF(AND($A206&gt;='Control Room'!$A$14,$A206&lt;'Control Room'!$A$14+'Control Room'!$B$14,'Process'!BU3=1),1+('Control Room'!$C$14-1)*EXP(-0.5*(($A206-'Control Room'!$A$14-('Control Room'!$B$14-1)/2)/MAX(0.5,'Control Room'!$B$14/4))^2),1)*IF(AND($A206&gt;='Control Room'!$A$15,$A206&lt;'Control Room'!$A$15+'Control Room'!$B$15,'Process'!BU4=1),1+('Control Room'!$C$15-1)*EXP(-0.5*(($A206-'Control Room'!$A$15-('Control Room'!$B$15-1)/2)/MAX(0.5,'Control Room'!$B$15/4))^2),1)*IF(AND($A206&gt;='Control Room'!$A$16,$A206&lt;'Control Room'!$A$16+'Control Room'!$B$16,'Process'!BU5=1),1+('Control Room'!$C$16-1)*EXP(-0.5*(($A206-'Control Room'!$A$16-('Control Room'!$B$16-1)/2)/MAX(0.5,'Control Room'!$B$16/4))^2),1)</x:f>
        <x:v>1</x:v>
      </x:c>
      <x:c r="BE206" s="9" t="n">
        <x:f>MOD(BF205*16807,2147483647)</x:f>
        <x:v>1445398205</x:v>
      </x:c>
      <x:c r="BF206" s="9" t="n">
        <x:f>MOD(BE206*16807,2147483647)</x:f>
        <x:v>472616571</x:v>
      </x:c>
      <x:c r="BG206" s="17" t="n">
        <x:f>IF('Control Room'!$B$5="Normal",'Control Room'!$B$7+'Control Room'!$D$7*SQRT(-2*LN(MAX(0.000000000001,BE206/2147483647)))*COS(2*PI()*BF206/2147483647),'Control Room'!$B$8+('Control Room'!$D$8-'Control Room'!$B$8)*BE206/2147483647)</x:f>
        <x:v>1014.9674570252001</x:v>
      </x:c>
      <x:c r="BH206" s="17" t="n">
        <x:f>IF('Control Room'!$B$5="Normal",'Control Room'!$B$7,('Control Room'!$B$8+'Control Room'!$D$8)/2)+'Control Room'!$B$9*(BH205-IF('Control Room'!$B$5="Normal",'Control Room'!$B$7,('Control Room'!$B$8+'Control Room'!$D$8)/2))+SQRT(1-'Control Room'!$B$9^2)*(BG206-IF('Control Room'!$B$5="Normal",'Control Room'!$B$7,('Control Room'!$B$8+'Control Room'!$D$8)/2))</x:f>
        <x:v>997.5045137296829</x:v>
      </x:c>
      <x:c r="BI206" s="17" t="n">
        <x:f>IF(AND($A206&gt;='Control Room'!$A$13,$A206&lt;'Control Room'!$A$13+'Control Room'!$B$13,'Process'!BV2=1),1+('Control Room'!$C$13-1)*EXP(-0.5*(($A206-'Control Room'!$A$13-('Control Room'!$B$13-1)/2)/MAX(0.5,'Control Room'!$B$13/4))^2),1)*IF(AND($A206&gt;='Control Room'!$A$14,$A206&lt;'Control Room'!$A$14+'Control Room'!$B$14,'Process'!BV3=1),1+('Control Room'!$C$14-1)*EXP(-0.5*(($A206-'Control Room'!$A$14-('Control Room'!$B$14-1)/2)/MAX(0.5,'Control Room'!$B$14/4))^2),1)*IF(AND($A206&gt;='Control Room'!$A$15,$A206&lt;'Control Room'!$A$15+'Control Room'!$B$15,'Process'!BV4=1),1+('Control Room'!$C$15-1)*EXP(-0.5*(($A206-'Control Room'!$A$15-('Control Room'!$B$15-1)/2)/MAX(0.5,'Control Room'!$B$15/4))^2),1)*IF(AND($A206&gt;='Control Room'!$A$16,$A206&lt;'Control Room'!$A$16+'Control Room'!$B$16,'Process'!BV5=1),1+('Control Room'!$C$16-1)*EXP(-0.5*(($A206-'Control Room'!$A$16-('Control Room'!$B$16-1)/2)/MAX(0.5,'Control Room'!$B$16/4))^2),1)</x:f>
        <x:v>1</x:v>
      </x:c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Z206" t="str">
        <x:f>IF('Data'!A206="","",TEXT('Data'!A206,"mm-dd"))</x:f>
      </x:c>
    </x:row>
    <x:row r="207" ht="21" customHeight="1">
      <x:c r="A207" s="15" t="n">
        <x:f>'Control Room'!$B$1+205</x:f>
        <x:v>73196</x:v>
      </x:c>
      <x:c r="B207" s="9" t="n">
        <x:f>MOD(C206*16807,2147483647)</x:f>
        <x:v>749893737</x:v>
      </x:c>
      <x:c r="C207" s="9" t="n">
        <x:f>MOD(B207*16807,2147483647)</x:f>
        <x:v>2029997163</x:v>
      </x:c>
      <x:c r="D207" s="17" t="n">
        <x:f>IF('Control Room'!$B$5="Normal",'Control Room'!$B$7+'Control Room'!$D$7*SQRT(-2*LN(MAX(0.000000000001,B207/2147483647)))*COS(2*PI()*C207/2147483647),'Control Room'!$B$8+('Control Room'!$D$8-'Control Room'!$B$8)*B207/2147483647)</x:f>
        <x:v>1122.9164470941323</x:v>
      </x:c>
      <x:c r="E207" s="17" t="n">
        <x:f>IF('Control Room'!$B$5="Normal",'Control Room'!$B$7,('Control Room'!$B$8+'Control Room'!$D$8)/2)+'Control Room'!$B$9*(E206-IF('Control Room'!$B$5="Normal",'Control Room'!$B$7,('Control Room'!$B$8+'Control Room'!$D$8)/2))+SQRT(1-'Control Room'!$B$9^2)*(D207-IF('Control Room'!$B$5="Normal",'Control Room'!$B$7,('Control Room'!$B$8+'Control Room'!$D$8)/2))</x:f>
        <x:v>1068.8361040452369</x:v>
      </x:c>
      <x:c r="F207" s="17" t="n">
        <x:f>IF(AND($A207&gt;='Control Room'!$A$13,$A207&lt;'Control Room'!$A$13+'Control Room'!$B$13,'Process'!BK2=1),1+('Control Room'!$C$13-1)*EXP(-0.5*(($A207-'Control Room'!$A$13-('Control Room'!$B$13-1)/2)/MAX(0.5,'Control Room'!$B$13/4))^2),1)*IF(AND($A207&gt;='Control Room'!$A$14,$A207&lt;'Control Room'!$A$14+'Control Room'!$B$14,'Process'!BK3=1),1+('Control Room'!$C$14-1)*EXP(-0.5*(($A207-'Control Room'!$A$14-('Control Room'!$B$14-1)/2)/MAX(0.5,'Control Room'!$B$14/4))^2),1)*IF(AND($A207&gt;='Control Room'!$A$15,$A207&lt;'Control Room'!$A$15+'Control Room'!$B$15,'Process'!BK4=1),1+('Control Room'!$C$15-1)*EXP(-0.5*(($A207-'Control Room'!$A$15-('Control Room'!$B$15-1)/2)/MAX(0.5,'Control Room'!$B$15/4))^2),1)*IF(AND($A207&gt;='Control Room'!$A$16,$A207&lt;'Control Room'!$A$16+'Control Room'!$B$16,'Process'!BK5=1),1+('Control Room'!$C$16-1)*EXP(-0.5*(($A207-'Control Room'!$A$16-('Control Room'!$B$16-1)/2)/MAX(0.5,'Control Room'!$B$16/4))^2),1)</x:f>
        <x:v>1</x:v>
      </x:c>
      <x:c r="G207" s="9" t="n">
        <x:f>MOD(H206*16807,2147483647)</x:f>
        <x:v>656694174</x:v>
      </x:c>
      <x:c r="H207" s="9" t="n">
        <x:f>MOD(G207*16807,2147483647)</x:f>
        <x:v>1140520485</x:v>
      </x:c>
      <x:c r="I207" s="17" t="n">
        <x:f>IF('Control Room'!$B$5="Normal",'Control Room'!$B$7+'Control Room'!$D$7*SQRT(-2*LN(MAX(0.000000000001,G207/2147483647)))*COS(2*PI()*H207/2147483647),'Control Room'!$B$8+('Control Room'!$D$8-'Control Room'!$B$8)*G207/2147483647)</x:f>
        <x:v>864.0925138348938</x:v>
      </x:c>
      <x:c r="J207" s="17" t="n">
        <x:f>IF('Control Room'!$B$5="Normal",'Control Room'!$B$7,('Control Room'!$B$8+'Control Room'!$D$8)/2)+'Control Room'!$B$9*(J206-IF('Control Room'!$B$5="Normal",'Control Room'!$B$7,('Control Room'!$B$8+'Control Room'!$D$8)/2))+SQRT(1-'Control Room'!$B$9^2)*(I207-IF('Control Room'!$B$5="Normal",'Control Room'!$B$7,('Control Room'!$B$8+'Control Room'!$D$8)/2))</x:f>
        <x:v>796.1524839115402</x:v>
      </x:c>
      <x:c r="K207" s="17" t="n">
        <x:f>IF(AND($A207&gt;='Control Room'!$A$13,$A207&lt;'Control Room'!$A$13+'Control Room'!$B$13,'Process'!BL2=1),1+('Control Room'!$C$13-1)*EXP(-0.5*(($A207-'Control Room'!$A$13-('Control Room'!$B$13-1)/2)/MAX(0.5,'Control Room'!$B$13/4))^2),1)*IF(AND($A207&gt;='Control Room'!$A$14,$A207&lt;'Control Room'!$A$14+'Control Room'!$B$14,'Process'!BL3=1),1+('Control Room'!$C$14-1)*EXP(-0.5*(($A207-'Control Room'!$A$14-('Control Room'!$B$14-1)/2)/MAX(0.5,'Control Room'!$B$14/4))^2),1)*IF(AND($A207&gt;='Control Room'!$A$15,$A207&lt;'Control Room'!$A$15+'Control Room'!$B$15,'Process'!BL4=1),1+('Control Room'!$C$15-1)*EXP(-0.5*(($A207-'Control Room'!$A$15-('Control Room'!$B$15-1)/2)/MAX(0.5,'Control Room'!$B$15/4))^2),1)*IF(AND($A207&gt;='Control Room'!$A$16,$A207&lt;'Control Room'!$A$16+'Control Room'!$B$16,'Process'!BL5=1),1+('Control Room'!$C$16-1)*EXP(-0.5*(($A207-'Control Room'!$A$16-('Control Room'!$B$16-1)/2)/MAX(0.5,'Control Room'!$B$16/4))^2),1)</x:f>
        <x:v>1</x:v>
      </x:c>
      <x:c r="L207" s="9" t="n">
        <x:f>MOD(M206*16807,2147483647)</x:f>
        <x:v>563494611</x:v>
      </x:c>
      <x:c r="M207" s="9" t="n">
        <x:f>MOD(L207*16807,2147483647)</x:f>
        <x:v>251043807</x:v>
      </x:c>
      <x:c r="N207" s="17" t="n">
        <x:f>IF('Control Room'!$B$5="Normal",'Control Room'!$B$7+'Control Room'!$D$7*SQRT(-2*LN(MAX(0.000000000001,L207/2147483647)))*COS(2*PI()*M207/2147483647),'Control Room'!$B$8+('Control Room'!$D$8-'Control Room'!$B$8)*L207/2147483647)</x:f>
        <x:v>1109.2607844711024</x:v>
      </x:c>
      <x:c r="O207" s="17" t="n">
        <x:f>IF('Control Room'!$B$5="Normal",'Control Room'!$B$7,('Control Room'!$B$8+'Control Room'!$D$8)/2)+'Control Room'!$B$9*(O206-IF('Control Room'!$B$5="Normal",'Control Room'!$B$7,('Control Room'!$B$8+'Control Room'!$D$8)/2))+SQRT(1-'Control Room'!$B$9^2)*(N207-IF('Control Room'!$B$5="Normal",'Control Room'!$B$7,('Control Room'!$B$8+'Control Room'!$D$8)/2))</x:f>
        <x:v>1209.806930435619</x:v>
      </x:c>
      <x:c r="P207" s="17" t="n">
        <x:f>IF(AND($A207&gt;='Control Room'!$A$13,$A207&lt;'Control Room'!$A$13+'Control Room'!$B$13,'Process'!BM2=1),1+('Control Room'!$C$13-1)*EXP(-0.5*(($A207-'Control Room'!$A$13-('Control Room'!$B$13-1)/2)/MAX(0.5,'Control Room'!$B$13/4))^2),1)*IF(AND($A207&gt;='Control Room'!$A$14,$A207&lt;'Control Room'!$A$14+'Control Room'!$B$14,'Process'!BM3=1),1+('Control Room'!$C$14-1)*EXP(-0.5*(($A207-'Control Room'!$A$14-('Control Room'!$B$14-1)/2)/MAX(0.5,'Control Room'!$B$14/4))^2),1)*IF(AND($A207&gt;='Control Room'!$A$15,$A207&lt;'Control Room'!$A$15+'Control Room'!$B$15,'Process'!BM4=1),1+('Control Room'!$C$15-1)*EXP(-0.5*(($A207-'Control Room'!$A$15-('Control Room'!$B$15-1)/2)/MAX(0.5,'Control Room'!$B$15/4))^2),1)*IF(AND($A207&gt;='Control Room'!$A$16,$A207&lt;'Control Room'!$A$16+'Control Room'!$B$16,'Process'!BM5=1),1+('Control Room'!$C$16-1)*EXP(-0.5*(($A207-'Control Room'!$A$16-('Control Room'!$B$16-1)/2)/MAX(0.5,'Control Room'!$B$16/4))^2),1)</x:f>
        <x:v>1</x:v>
      </x:c>
      <x:c r="Q207" s="9" t="n">
        <x:f>MOD(R206*16807,2147483647)</x:f>
        <x:v>470295048</x:v>
      </x:c>
      <x:c r="R207" s="9" t="n">
        <x:f>MOD(Q207*16807,2147483647)</x:f>
        <x:v>1509050776</x:v>
      </x:c>
      <x:c r="S207" s="17" t="n">
        <x:f>IF('Control Room'!$B$5="Normal",'Control Room'!$B$7+'Control Room'!$D$7*SQRT(-2*LN(MAX(0.000000000001,Q207/2147483647)))*COS(2*PI()*R207/2147483647),'Control Room'!$B$8+('Control Room'!$D$8-'Control Room'!$B$8)*Q207/2147483647)</x:f>
        <x:v>954.0735269204038</x:v>
      </x:c>
      <x:c r="T207" s="17" t="n">
        <x:f>IF('Control Room'!$B$5="Normal",'Control Room'!$B$7,('Control Room'!$B$8+'Control Room'!$D$8)/2)+'Control Room'!$B$9*(T206-IF('Control Room'!$B$5="Normal",'Control Room'!$B$7,('Control Room'!$B$8+'Control Room'!$D$8)/2))+SQRT(1-'Control Room'!$B$9^2)*(S207-IF('Control Room'!$B$5="Normal",'Control Room'!$B$7,('Control Room'!$B$8+'Control Room'!$D$8)/2))</x:f>
        <x:v>921.3270772170778</x:v>
      </x:c>
      <x:c r="U207" s="17" t="n">
        <x:f>IF(AND($A207&gt;='Control Room'!$A$13,$A207&lt;'Control Room'!$A$13+'Control Room'!$B$13,'Process'!BN2=1),1+('Control Room'!$C$13-1)*EXP(-0.5*(($A207-'Control Room'!$A$13-('Control Room'!$B$13-1)/2)/MAX(0.5,'Control Room'!$B$13/4))^2),1)*IF(AND($A207&gt;='Control Room'!$A$14,$A207&lt;'Control Room'!$A$14+'Control Room'!$B$14,'Process'!BN3=1),1+('Control Room'!$C$14-1)*EXP(-0.5*(($A207-'Control Room'!$A$14-('Control Room'!$B$14-1)/2)/MAX(0.5,'Control Room'!$B$14/4))^2),1)*IF(AND($A207&gt;='Control Room'!$A$15,$A207&lt;'Control Room'!$A$15+'Control Room'!$B$15,'Process'!BN4=1),1+('Control Room'!$C$15-1)*EXP(-0.5*(($A207-'Control Room'!$A$15-('Control Room'!$B$15-1)/2)/MAX(0.5,'Control Room'!$B$15/4))^2),1)*IF(AND($A207&gt;='Control Room'!$A$16,$A207&lt;'Control Room'!$A$16+'Control Room'!$B$16,'Process'!BN5=1),1+('Control Room'!$C$16-1)*EXP(-0.5*(($A207-'Control Room'!$A$16-('Control Room'!$B$16-1)/2)/MAX(0.5,'Control Room'!$B$16/4))^2),1)</x:f>
        <x:v>1</x:v>
      </x:c>
      <x:c r="V207" s="9" t="n">
        <x:f>MOD(W206*16807,2147483647)</x:f>
        <x:v>377095485</x:v>
      </x:c>
      <x:c r="W207" s="9" t="n">
        <x:f>MOD(V207*16807,2147483647)</x:f>
        <x:v>619574098</x:v>
      </x:c>
      <x:c r="X207" s="17" t="n">
        <x:f>IF('Control Room'!$B$5="Normal",'Control Room'!$B$7+'Control Room'!$D$7*SQRT(-2*LN(MAX(0.000000000001,V207/2147483647)))*COS(2*PI()*W207/2147483647),'Control Room'!$B$8+('Control Room'!$D$8-'Control Room'!$B$8)*V207/2147483647)</x:f>
        <x:v>959.7744310309023</x:v>
      </x:c>
      <x:c r="Y207" s="17" t="n">
        <x:f>IF('Control Room'!$B$5="Normal",'Control Room'!$B$7,('Control Room'!$B$8+'Control Room'!$D$8)/2)+'Control Room'!$B$9*(Y206-IF('Control Room'!$B$5="Normal",'Control Room'!$B$7,('Control Room'!$B$8+'Control Room'!$D$8)/2))+SQRT(1-'Control Room'!$B$9^2)*(X207-IF('Control Room'!$B$5="Normal",'Control Room'!$B$7,('Control Room'!$B$8+'Control Room'!$D$8)/2))</x:f>
        <x:v>908.2797920484247</x:v>
      </x:c>
      <x:c r="Z207" s="17" t="n">
        <x:f>IF(AND($A207&gt;='Control Room'!$A$13,$A207&lt;'Control Room'!$A$13+'Control Room'!$B$13,'Process'!BO2=1),1+('Control Room'!$C$13-1)*EXP(-0.5*(($A207-'Control Room'!$A$13-('Control Room'!$B$13-1)/2)/MAX(0.5,'Control Room'!$B$13/4))^2),1)*IF(AND($A207&gt;='Control Room'!$A$14,$A207&lt;'Control Room'!$A$14+'Control Room'!$B$14,'Process'!BO3=1),1+('Control Room'!$C$14-1)*EXP(-0.5*(($A207-'Control Room'!$A$14-('Control Room'!$B$14-1)/2)/MAX(0.5,'Control Room'!$B$14/4))^2),1)*IF(AND($A207&gt;='Control Room'!$A$15,$A207&lt;'Control Room'!$A$15+'Control Room'!$B$15,'Process'!BO4=1),1+('Control Room'!$C$15-1)*EXP(-0.5*(($A207-'Control Room'!$A$15-('Control Room'!$B$15-1)/2)/MAX(0.5,'Control Room'!$B$15/4))^2),1)*IF(AND($A207&gt;='Control Room'!$A$16,$A207&lt;'Control Room'!$A$16+'Control Room'!$B$16,'Process'!BO5=1),1+('Control Room'!$C$16-1)*EXP(-0.5*(($A207-'Control Room'!$A$16-('Control Room'!$B$16-1)/2)/MAX(0.5,'Control Room'!$B$16/4))^2),1)</x:f>
        <x:v>1</x:v>
      </x:c>
      <x:c r="AA207" s="9" t="n">
        <x:f>MOD(AB206*16807,2147483647)</x:f>
        <x:v>283895922</x:v>
      </x:c>
      <x:c r="AB207" s="9" t="n">
        <x:f>MOD(AA207*16807,2147483647)</x:f>
        <x:v>1877581067</x:v>
      </x:c>
      <x:c r="AC207" s="17" t="n">
        <x:f>IF('Control Room'!$B$5="Normal",'Control Room'!$B$7+'Control Room'!$D$7*SQRT(-2*LN(MAX(0.000000000001,AA207/2147483647)))*COS(2*PI()*AB207/2147483647),'Control Room'!$B$8+('Control Room'!$D$8-'Control Room'!$B$8)*AA207/2147483647)</x:f>
        <x:v>1127.4723164914735</x:v>
      </x:c>
      <x:c r="AD207" s="17" t="n">
        <x:f>IF('Control Room'!$B$5="Normal",'Control Room'!$B$7,('Control Room'!$B$8+'Control Room'!$D$8)/2)+'Control Room'!$B$9*(AD206-IF('Control Room'!$B$5="Normal",'Control Room'!$B$7,('Control Room'!$B$8+'Control Room'!$D$8)/2))+SQRT(1-'Control Room'!$B$9^2)*(AC207-IF('Control Room'!$B$5="Normal",'Control Room'!$B$7,('Control Room'!$B$8+'Control Room'!$D$8)/2))</x:f>
        <x:v>1192.4003591055425</x:v>
      </x:c>
      <x:c r="AE207" s="17" t="n">
        <x:f>IF(AND($A207&gt;='Control Room'!$A$13,$A207&lt;'Control Room'!$A$13+'Control Room'!$B$13,'Process'!BP2=1),1+('Control Room'!$C$13-1)*EXP(-0.5*(($A207-'Control Room'!$A$13-('Control Room'!$B$13-1)/2)/MAX(0.5,'Control Room'!$B$13/4))^2),1)*IF(AND($A207&gt;='Control Room'!$A$14,$A207&lt;'Control Room'!$A$14+'Control Room'!$B$14,'Process'!BP3=1),1+('Control Room'!$C$14-1)*EXP(-0.5*(($A207-'Control Room'!$A$14-('Control Room'!$B$14-1)/2)/MAX(0.5,'Control Room'!$B$14/4))^2),1)*IF(AND($A207&gt;='Control Room'!$A$15,$A207&lt;'Control Room'!$A$15+'Control Room'!$B$15,'Process'!BP4=1),1+('Control Room'!$C$15-1)*EXP(-0.5*(($A207-'Control Room'!$A$15-('Control Room'!$B$15-1)/2)/MAX(0.5,'Control Room'!$B$15/4))^2),1)*IF(AND($A207&gt;='Control Room'!$A$16,$A207&lt;'Control Room'!$A$16+'Control Room'!$B$16,'Process'!BP5=1),1+('Control Room'!$C$16-1)*EXP(-0.5*(($A207-'Control Room'!$A$16-('Control Room'!$B$16-1)/2)/MAX(0.5,'Control Room'!$B$16/4))^2),1)</x:f>
        <x:v>1</x:v>
      </x:c>
      <x:c r="AF207" s="9" t="n">
        <x:f>MOD(AG206*16807,2147483647)</x:f>
        <x:v>190696359</x:v>
      </x:c>
      <x:c r="AG207" s="9" t="n">
        <x:f>MOD(AF207*16807,2147483647)</x:f>
        <x:v>988104389</x:v>
      </x:c>
      <x:c r="AH207" s="17" t="n">
        <x:f>IF('Control Room'!$B$5="Normal",'Control Room'!$B$7+'Control Room'!$D$7*SQRT(-2*LN(MAX(0.000000000001,AF207/2147483647)))*COS(2*PI()*AG207/2147483647),'Control Room'!$B$8+('Control Room'!$D$8-'Control Room'!$B$8)*AF207/2147483647)</x:f>
        <x:v>808.1285842742626</x:v>
      </x:c>
      <x:c r="AI207" s="17" t="n">
        <x:f>IF('Control Room'!$B$5="Normal",'Control Room'!$B$7,('Control Room'!$B$8+'Control Room'!$D$8)/2)+'Control Room'!$B$9*(AI206-IF('Control Room'!$B$5="Normal",'Control Room'!$B$7,('Control Room'!$B$8+'Control Room'!$D$8)/2))+SQRT(1-'Control Room'!$B$9^2)*(AH207-IF('Control Room'!$B$5="Normal",'Control Room'!$B$7,('Control Room'!$B$8+'Control Room'!$D$8)/2))</x:f>
        <x:v>835.146580117475</x:v>
      </x:c>
      <x:c r="AJ207" s="17" t="n">
        <x:f>IF(AND($A207&gt;='Control Room'!$A$13,$A207&lt;'Control Room'!$A$13+'Control Room'!$B$13,'Process'!BQ2=1),1+('Control Room'!$C$13-1)*EXP(-0.5*(($A207-'Control Room'!$A$13-('Control Room'!$B$13-1)/2)/MAX(0.5,'Control Room'!$B$13/4))^2),1)*IF(AND($A207&gt;='Control Room'!$A$14,$A207&lt;'Control Room'!$A$14+'Control Room'!$B$14,'Process'!BQ3=1),1+('Control Room'!$C$14-1)*EXP(-0.5*(($A207-'Control Room'!$A$14-('Control Room'!$B$14-1)/2)/MAX(0.5,'Control Room'!$B$14/4))^2),1)*IF(AND($A207&gt;='Control Room'!$A$15,$A207&lt;'Control Room'!$A$15+'Control Room'!$B$15,'Process'!BQ4=1),1+('Control Room'!$C$15-1)*EXP(-0.5*(($A207-'Control Room'!$A$15-('Control Room'!$B$15-1)/2)/MAX(0.5,'Control Room'!$B$15/4))^2),1)*IF(AND($A207&gt;='Control Room'!$A$16,$A207&lt;'Control Room'!$A$16+'Control Room'!$B$16,'Process'!BQ5=1),1+('Control Room'!$C$16-1)*EXP(-0.5*(($A207-'Control Room'!$A$16-('Control Room'!$B$16-1)/2)/MAX(0.5,'Control Room'!$B$16/4))^2),1)</x:f>
        <x:v>1</x:v>
      </x:c>
      <x:c r="AK207" s="9" t="n">
        <x:f>MOD(AL206*16807,2147483647)</x:f>
        <x:v>97496796</x:v>
      </x:c>
      <x:c r="AL207" s="9" t="n">
        <x:f>MOD(AK207*16807,2147483647)</x:f>
        <x:v>98627711</x:v>
      </x:c>
      <x:c r="AM207" s="17" t="n">
        <x:f>IF('Control Room'!$B$5="Normal",'Control Room'!$B$7+'Control Room'!$D$7*SQRT(-2*LN(MAX(0.000000000001,AK207/2147483647)))*COS(2*PI()*AL207/2147483647),'Control Room'!$B$8+('Control Room'!$D$8-'Control Room'!$B$8)*AK207/2147483647)</x:f>
        <x:v>1214.5629170053403</x:v>
      </x:c>
      <x:c r="AN207" s="17" t="n">
        <x:f>IF('Control Room'!$B$5="Normal",'Control Room'!$B$7,('Control Room'!$B$8+'Control Room'!$D$8)/2)+'Control Room'!$B$9*(AN206-IF('Control Room'!$B$5="Normal",'Control Room'!$B$7,('Control Room'!$B$8+'Control Room'!$D$8)/2))+SQRT(1-'Control Room'!$B$9^2)*(AM207-IF('Control Room'!$B$5="Normal",'Control Room'!$B$7,('Control Room'!$B$8+'Control Room'!$D$8)/2))</x:f>
        <x:v>1063.8398718419458</x:v>
      </x:c>
      <x:c r="AO207" s="17" t="n">
        <x:f>IF(AND($A207&gt;='Control Room'!$A$13,$A207&lt;'Control Room'!$A$13+'Control Room'!$B$13,'Process'!BR2=1),1+('Control Room'!$C$13-1)*EXP(-0.5*(($A207-'Control Room'!$A$13-('Control Room'!$B$13-1)/2)/MAX(0.5,'Control Room'!$B$13/4))^2),1)*IF(AND($A207&gt;='Control Room'!$A$14,$A207&lt;'Control Room'!$A$14+'Control Room'!$B$14,'Process'!BR3=1),1+('Control Room'!$C$14-1)*EXP(-0.5*(($A207-'Control Room'!$A$14-('Control Room'!$B$14-1)/2)/MAX(0.5,'Control Room'!$B$14/4))^2),1)*IF(AND($A207&gt;='Control Room'!$A$15,$A207&lt;'Control Room'!$A$15+'Control Room'!$B$15,'Process'!BR4=1),1+('Control Room'!$C$15-1)*EXP(-0.5*(($A207-'Control Room'!$A$15-('Control Room'!$B$15-1)/2)/MAX(0.5,'Control Room'!$B$15/4))^2),1)*IF(AND($A207&gt;='Control Room'!$A$16,$A207&lt;'Control Room'!$A$16+'Control Room'!$B$16,'Process'!BR5=1),1+('Control Room'!$C$16-1)*EXP(-0.5*(($A207-'Control Room'!$A$16-('Control Room'!$B$16-1)/2)/MAX(0.5,'Control Room'!$B$16/4))^2),1)</x:f>
        <x:v>1</x:v>
      </x:c>
      <x:c r="AP207" s="9" t="n">
        <x:f>MOD(AQ206*16807,2147483647)</x:f>
        <x:v>4297233</x:v>
      </x:c>
      <x:c r="AQ207" s="9" t="n">
        <x:f>MOD(AP207*16807,2147483647)</x:f>
        <x:v>1356634680</x:v>
      </x:c>
      <x:c r="AR207" s="17" t="n">
        <x:f>IF('Control Room'!$B$5="Normal",'Control Room'!$B$7+'Control Room'!$D$7*SQRT(-2*LN(MAX(0.000000000001,AP207/2147483647)))*COS(2*PI()*AQ207/2147483647),'Control Room'!$B$8+('Control Room'!$D$8-'Control Room'!$B$8)*AP207/2147483647)</x:f>
        <x:v>785.3354431677458</x:v>
      </x:c>
      <x:c r="AS207" s="17" t="n">
        <x:f>IF('Control Room'!$B$5="Normal",'Control Room'!$B$7,('Control Room'!$B$8+'Control Room'!$D$8)/2)+'Control Room'!$B$9*(AS206-IF('Control Room'!$B$5="Normal",'Control Room'!$B$7,('Control Room'!$B$8+'Control Room'!$D$8)/2))+SQRT(1-'Control Room'!$B$9^2)*(AR207-IF('Control Room'!$B$5="Normal",'Control Room'!$B$7,('Control Room'!$B$8+'Control Room'!$D$8)/2))</x:f>
        <x:v>917.8244522044006</x:v>
      </x:c>
      <x:c r="AT207" s="17" t="n">
        <x:f>IF(AND($A207&gt;='Control Room'!$A$13,$A207&lt;'Control Room'!$A$13+'Control Room'!$B$13,'Process'!BS2=1),1+('Control Room'!$C$13-1)*EXP(-0.5*(($A207-'Control Room'!$A$13-('Control Room'!$B$13-1)/2)/MAX(0.5,'Control Room'!$B$13/4))^2),1)*IF(AND($A207&gt;='Control Room'!$A$14,$A207&lt;'Control Room'!$A$14+'Control Room'!$B$14,'Process'!BS3=1),1+('Control Room'!$C$14-1)*EXP(-0.5*(($A207-'Control Room'!$A$14-('Control Room'!$B$14-1)/2)/MAX(0.5,'Control Room'!$B$14/4))^2),1)*IF(AND($A207&gt;='Control Room'!$A$15,$A207&lt;'Control Room'!$A$15+'Control Room'!$B$15,'Process'!BS4=1),1+('Control Room'!$C$15-1)*EXP(-0.5*(($A207-'Control Room'!$A$15-('Control Room'!$B$15-1)/2)/MAX(0.5,'Control Room'!$B$15/4))^2),1)*IF(AND($A207&gt;='Control Room'!$A$16,$A207&lt;'Control Room'!$A$16+'Control Room'!$B$16,'Process'!BS5=1),1+('Control Room'!$C$16-1)*EXP(-0.5*(($A207-'Control Room'!$A$16-('Control Room'!$B$16-1)/2)/MAX(0.5,'Control Room'!$B$16/4))^2),1)</x:f>
        <x:v>1</x:v>
      </x:c>
      <x:c r="AU207" s="9" t="n">
        <x:f>MOD(AV206*16807,2147483647)</x:f>
        <x:v>2058581317</x:v>
      </x:c>
      <x:c r="AV207" s="9" t="n">
        <x:f>MOD(AU207*16807,2147483647)</x:f>
        <x:v>467158002</x:v>
      </x:c>
      <x:c r="AW207" s="17" t="n">
        <x:f>IF('Control Room'!$B$5="Normal",'Control Room'!$B$7+'Control Room'!$D$7*SQRT(-2*LN(MAX(0.000000000001,AU207/2147483647)))*COS(2*PI()*AV207/2147483647),'Control Room'!$B$8+('Control Room'!$D$8-'Control Room'!$B$8)*AU207/2147483647)</x:f>
        <x:v>1005.3011625426929</x:v>
      </x:c>
      <x:c r="AX207" s="17" t="n">
        <x:f>IF('Control Room'!$B$5="Normal",'Control Room'!$B$7,('Control Room'!$B$8+'Control Room'!$D$8)/2)+'Control Room'!$B$9*(AX206-IF('Control Room'!$B$5="Normal",'Control Room'!$B$7,('Control Room'!$B$8+'Control Room'!$D$8)/2))+SQRT(1-'Control Room'!$B$9^2)*(AW207-IF('Control Room'!$B$5="Normal",'Control Room'!$B$7,('Control Room'!$B$8+'Control Room'!$D$8)/2))</x:f>
        <x:v>1019.8521353953521</x:v>
      </x:c>
      <x:c r="AY207" s="17" t="n">
        <x:f>IF(AND($A207&gt;='Control Room'!$A$13,$A207&lt;'Control Room'!$A$13+'Control Room'!$B$13,'Process'!BT2=1),1+('Control Room'!$C$13-1)*EXP(-0.5*(($A207-'Control Room'!$A$13-('Control Room'!$B$13-1)/2)/MAX(0.5,'Control Room'!$B$13/4))^2),1)*IF(AND($A207&gt;='Control Room'!$A$14,$A207&lt;'Control Room'!$A$14+'Control Room'!$B$14,'Process'!BT3=1),1+('Control Room'!$C$14-1)*EXP(-0.5*(($A207-'Control Room'!$A$14-('Control Room'!$B$14-1)/2)/MAX(0.5,'Control Room'!$B$14/4))^2),1)*IF(AND($A207&gt;='Control Room'!$A$15,$A207&lt;'Control Room'!$A$15+'Control Room'!$B$15,'Process'!BT4=1),1+('Control Room'!$C$15-1)*EXP(-0.5*(($A207-'Control Room'!$A$15-('Control Room'!$B$15-1)/2)/MAX(0.5,'Control Room'!$B$15/4))^2),1)*IF(AND($A207&gt;='Control Room'!$A$16,$A207&lt;'Control Room'!$A$16+'Control Room'!$B$16,'Process'!BT5=1),1+('Control Room'!$C$16-1)*EXP(-0.5*(($A207-'Control Room'!$A$16-('Control Room'!$B$16-1)/2)/MAX(0.5,'Control Room'!$B$16/4))^2),1)</x:f>
        <x:v>1</x:v>
      </x:c>
      <x:c r="AZ207" s="9" t="n">
        <x:f>MOD(BA206*16807,2147483647)</x:f>
        <x:v>1965381754</x:v>
      </x:c>
      <x:c r="BA207" s="9" t="n">
        <x:f>MOD(AZ207*16807,2147483647)</x:f>
        <x:v>1725164971</x:v>
      </x:c>
      <x:c r="BB207" s="17" t="n">
        <x:f>IF('Control Room'!$B$5="Normal",'Control Room'!$B$7+'Control Room'!$D$7*SQRT(-2*LN(MAX(0.000000000001,AZ207/2147483647)))*COS(2*PI()*BA207/2147483647),'Control Room'!$B$8+('Control Room'!$D$8-'Control Room'!$B$8)*AZ207/2147483647)</x:f>
        <x:v>1012.4621072043971</x:v>
      </x:c>
      <x:c r="BC207" s="17" t="n">
        <x:f>IF('Control Room'!$B$5="Normal",'Control Room'!$B$7,('Control Room'!$B$8+'Control Room'!$D$8)/2)+'Control Room'!$B$9*(BC206-IF('Control Room'!$B$5="Normal",'Control Room'!$B$7,('Control Room'!$B$8+'Control Room'!$D$8)/2))+SQRT(1-'Control Room'!$B$9^2)*(BB207-IF('Control Room'!$B$5="Normal",'Control Room'!$B$7,('Control Room'!$B$8+'Control Room'!$D$8)/2))</x:f>
        <x:v>992.191816116348</x:v>
      </x:c>
      <x:c r="BD207" s="17" t="n">
        <x:f>IF(AND($A207&gt;='Control Room'!$A$13,$A207&lt;'Control Room'!$A$13+'Control Room'!$B$13,'Process'!BU2=1),1+('Control Room'!$C$13-1)*EXP(-0.5*(($A207-'Control Room'!$A$13-('Control Room'!$B$13-1)/2)/MAX(0.5,'Control Room'!$B$13/4))^2),1)*IF(AND($A207&gt;='Control Room'!$A$14,$A207&lt;'Control Room'!$A$14+'Control Room'!$B$14,'Process'!BU3=1),1+('Control Room'!$C$14-1)*EXP(-0.5*(($A207-'Control Room'!$A$14-('Control Room'!$B$14-1)/2)/MAX(0.5,'Control Room'!$B$14/4))^2),1)*IF(AND($A207&gt;='Control Room'!$A$15,$A207&lt;'Control Room'!$A$15+'Control Room'!$B$15,'Process'!BU4=1),1+('Control Room'!$C$15-1)*EXP(-0.5*(($A207-'Control Room'!$A$15-('Control Room'!$B$15-1)/2)/MAX(0.5,'Control Room'!$B$15/4))^2),1)*IF(AND($A207&gt;='Control Room'!$A$16,$A207&lt;'Control Room'!$A$16+'Control Room'!$B$16,'Process'!BU5=1),1+('Control Room'!$C$16-1)*EXP(-0.5*(($A207-'Control Room'!$A$16-('Control Room'!$B$16-1)/2)/MAX(0.5,'Control Room'!$B$16/4))^2),1)</x:f>
        <x:v>1</x:v>
      </x:c>
      <x:c r="BE207" s="9" t="n">
        <x:f>MOD(BF206*16807,2147483647)</x:f>
        <x:v>1872182191</x:v>
      </x:c>
      <x:c r="BF207" s="9" t="n">
        <x:f>MOD(BE207*16807,2147483647)</x:f>
        <x:v>835688293</x:v>
      </x:c>
      <x:c r="BG207" s="17" t="n">
        <x:f>IF('Control Room'!$B$5="Normal",'Control Room'!$B$7+'Control Room'!$D$7*SQRT(-2*LN(MAX(0.000000000001,BE207/2147483647)))*COS(2*PI()*BF207/2147483647),'Control Room'!$B$8+('Control Room'!$D$8-'Control Room'!$B$8)*BE207/2147483647)</x:f>
        <x:v>963.8367414526131</x:v>
      </x:c>
      <x:c r="BH207" s="17" t="n">
        <x:f>IF('Control Room'!$B$5="Normal",'Control Room'!$B$7,('Control Room'!$B$8+'Control Room'!$D$8)/2)+'Control Room'!$B$9*(BH206-IF('Control Room'!$B$5="Normal",'Control Room'!$B$7,('Control Room'!$B$8+'Control Room'!$D$8)/2))+SQRT(1-'Control Room'!$B$9^2)*(BG207-IF('Control Room'!$B$5="Normal",'Control Room'!$B$7,('Control Room'!$B$8+'Control Room'!$D$8)/2))</x:f>
        <x:v>975.4232943548177</x:v>
      </x:c>
      <x:c r="BI207" s="17" t="n">
        <x:f>IF(AND($A207&gt;='Control Room'!$A$13,$A207&lt;'Control Room'!$A$13+'Control Room'!$B$13,'Process'!BV2=1),1+('Control Room'!$C$13-1)*EXP(-0.5*(($A207-'Control Room'!$A$13-('Control Room'!$B$13-1)/2)/MAX(0.5,'Control Room'!$B$13/4))^2),1)*IF(AND($A207&gt;='Control Room'!$A$14,$A207&lt;'Control Room'!$A$14+'Control Room'!$B$14,'Process'!BV3=1),1+('Control Room'!$C$14-1)*EXP(-0.5*(($A207-'Control Room'!$A$14-('Control Room'!$B$14-1)/2)/MAX(0.5,'Control Room'!$B$14/4))^2),1)*IF(AND($A207&gt;='Control Room'!$A$15,$A207&lt;'Control Room'!$A$15+'Control Room'!$B$15,'Process'!BV4=1),1+('Control Room'!$C$15-1)*EXP(-0.5*(($A207-'Control Room'!$A$15-('Control Room'!$B$15-1)/2)/MAX(0.5,'Control Room'!$B$15/4))^2),1)*IF(AND($A207&gt;='Control Room'!$A$16,$A207&lt;'Control Room'!$A$16+'Control Room'!$B$16,'Process'!BV5=1),1+('Control Room'!$C$16-1)*EXP(-0.5*(($A207-'Control Room'!$A$16-('Control Room'!$B$16-1)/2)/MAX(0.5,'Control Room'!$B$16/4))^2),1)</x:f>
        <x:v>1</x:v>
      </x:c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Z207" t="str">
        <x:f>IF('Data'!A207="","",TEXT('Data'!A207,"mm-dd"))</x:f>
      </x:c>
    </x:row>
    <x:row r="208" ht="21" customHeight="1">
      <x:c r="A208" s="15" t="n">
        <x:f>'Control Room'!$B$1+206</x:f>
        <x:v>73197</x:v>
      </x:c>
      <x:c r="B208" s="9" t="n">
        <x:f>MOD(C207*16807,2147483647)</x:f>
        <x:v>1089618652</x:v>
      </x:c>
      <x:c r="C208" s="9" t="n">
        <x:f>MOD(B208*16807,2147483647)</x:f>
        <x:v>1627626195</x:v>
      </x:c>
      <x:c r="D208" s="17" t="n">
        <x:f>IF('Control Room'!$B$5="Normal",'Control Room'!$B$7+'Control Room'!$D$7*SQRT(-2*LN(MAX(0.000000000001,B208/2147483647)))*COS(2*PI()*C208/2147483647),'Control Room'!$B$8+('Control Room'!$D$8-'Control Room'!$B$8)*B208/2147483647)</x:f>
        <x:v>1005.2165788504868</x:v>
      </x:c>
      <x:c r="E208" s="17" t="n">
        <x:f>IF('Control Room'!$B$5="Normal",'Control Room'!$B$7,('Control Room'!$B$8+'Control Room'!$D$8)/2)+'Control Room'!$B$9*(E207-IF('Control Room'!$B$5="Normal",'Control Room'!$B$7,('Control Room'!$B$8+'Control Room'!$D$8)/2))+SQRT(1-'Control Room'!$B$9^2)*(D208-IF('Control Room'!$B$5="Normal",'Control Room'!$B$7,('Control Room'!$B$8+'Control Room'!$D$8)/2))</x:f>
        <x:v>1056.956589332493</x:v>
      </x:c>
      <x:c r="F208" s="17" t="n">
        <x:f>IF(AND($A208&gt;='Control Room'!$A$13,$A208&lt;'Control Room'!$A$13+'Control Room'!$B$13,'Process'!BK2=1),1+('Control Room'!$C$13-1)*EXP(-0.5*(($A208-'Control Room'!$A$13-('Control Room'!$B$13-1)/2)/MAX(0.5,'Control Room'!$B$13/4))^2),1)*IF(AND($A208&gt;='Control Room'!$A$14,$A208&lt;'Control Room'!$A$14+'Control Room'!$B$14,'Process'!BK3=1),1+('Control Room'!$C$14-1)*EXP(-0.5*(($A208-'Control Room'!$A$14-('Control Room'!$B$14-1)/2)/MAX(0.5,'Control Room'!$B$14/4))^2),1)*IF(AND($A208&gt;='Control Room'!$A$15,$A208&lt;'Control Room'!$A$15+'Control Room'!$B$15,'Process'!BK4=1),1+('Control Room'!$C$15-1)*EXP(-0.5*(($A208-'Control Room'!$A$15-('Control Room'!$B$15-1)/2)/MAX(0.5,'Control Room'!$B$15/4))^2),1)*IF(AND($A208&gt;='Control Room'!$A$16,$A208&lt;'Control Room'!$A$16+'Control Room'!$B$16,'Process'!BK5=1),1+('Control Room'!$C$16-1)*EXP(-0.5*(($A208-'Control Room'!$A$16-('Control Room'!$B$16-1)/2)/MAX(0.5,'Control Room'!$B$16/4))^2),1)</x:f>
        <x:v>1</x:v>
      </x:c>
      <x:c r="G208" s="9" t="n">
        <x:f>MOD(H207*16807,2147483647)</x:f>
        <x:v>288758273</x:v>
      </x:c>
      <x:c r="H208" s="9" t="n">
        <x:f>MOD(G208*16807,2147483647)</x:f>
        <x:v>1994735738</x:v>
      </x:c>
      <x:c r="I208" s="17" t="n">
        <x:f>IF('Control Room'!$B$5="Normal",'Control Room'!$B$7+'Control Room'!$D$7*SQRT(-2*LN(MAX(0.000000000001,G208/2147483647)))*COS(2*PI()*H208/2147483647),'Control Room'!$B$8+('Control Room'!$D$8-'Control Room'!$B$8)*G208/2147483647)</x:f>
        <x:v>1162.5832390390233</x:v>
      </x:c>
      <x:c r="J208" s="17" t="n">
        <x:f>IF('Control Room'!$B$5="Normal",'Control Room'!$B$7,('Control Room'!$B$8+'Control Room'!$D$8)/2)+'Control Room'!$B$9*(J207-IF('Control Room'!$B$5="Normal",'Control Room'!$B$7,('Control Room'!$B$8+'Control Room'!$D$8)/2))+SQRT(1-'Control Room'!$B$9^2)*(I208-IF('Control Room'!$B$5="Normal",'Control Room'!$B$7,('Control Room'!$B$8+'Control Room'!$D$8)/2))</x:f>
        <x:v>942.740197742931</x:v>
      </x:c>
      <x:c r="K208" s="17" t="n">
        <x:f>IF(AND($A208&gt;='Control Room'!$A$13,$A208&lt;'Control Room'!$A$13+'Control Room'!$B$13,'Process'!BL2=1),1+('Control Room'!$C$13-1)*EXP(-0.5*(($A208-'Control Room'!$A$13-('Control Room'!$B$13-1)/2)/MAX(0.5,'Control Room'!$B$13/4))^2),1)*IF(AND($A208&gt;='Control Room'!$A$14,$A208&lt;'Control Room'!$A$14+'Control Room'!$B$14,'Process'!BL3=1),1+('Control Room'!$C$14-1)*EXP(-0.5*(($A208-'Control Room'!$A$14-('Control Room'!$B$14-1)/2)/MAX(0.5,'Control Room'!$B$14/4))^2),1)*IF(AND($A208&gt;='Control Room'!$A$15,$A208&lt;'Control Room'!$A$15+'Control Room'!$B$15,'Process'!BL4=1),1+('Control Room'!$C$15-1)*EXP(-0.5*(($A208-'Control Room'!$A$15-('Control Room'!$B$15-1)/2)/MAX(0.5,'Control Room'!$B$15/4))^2),1)*IF(AND($A208&gt;='Control Room'!$A$16,$A208&lt;'Control Room'!$A$16+'Control Room'!$B$16,'Process'!BL5=1),1+('Control Room'!$C$16-1)*EXP(-0.5*(($A208-'Control Room'!$A$16-('Control Room'!$B$16-1)/2)/MAX(0.5,'Control Room'!$B$16/4))^2),1)</x:f>
        <x:v>1</x:v>
      </x:c>
      <x:c r="L208" s="9" t="n">
        <x:f>MOD(M207*16807,2147483647)</x:f>
        <x:v>1635381541</x:v>
      </x:c>
      <x:c r="M208" s="9" t="n">
        <x:f>MOD(L208*16807,2147483647)</x:f>
        <x:v>214361634</x:v>
      </x:c>
      <x:c r="N208" s="17" t="n">
        <x:f>IF('Control Room'!$B$5="Normal",'Control Room'!$B$7+'Control Room'!$D$7*SQRT(-2*LN(MAX(0.000000000001,L208/2147483647)))*COS(2*PI()*M208/2147483647),'Control Room'!$B$8+('Control Room'!$D$8-'Control Room'!$B$8)*L208/2147483647)</x:f>
        <x:v>1053.788786778484</x:v>
      </x:c>
      <x:c r="O208" s="17" t="n">
        <x:f>IF('Control Room'!$B$5="Normal",'Control Room'!$B$7,('Control Room'!$B$8+'Control Room'!$D$8)/2)+'Control Room'!$B$9*(O207-IF('Control Room'!$B$5="Normal",'Control Room'!$B$7,('Control Room'!$B$8+'Control Room'!$D$8)/2))+SQRT(1-'Control Room'!$B$9^2)*(N208-IF('Control Room'!$B$5="Normal",'Control Room'!$B$7,('Control Room'!$B$8+'Control Room'!$D$8)/2))</x:f>
        <x:v>1197.3093265825662</x:v>
      </x:c>
      <x:c r="P208" s="17" t="n">
        <x:f>IF(AND($A208&gt;='Control Room'!$A$13,$A208&lt;'Control Room'!$A$13+'Control Room'!$B$13,'Process'!BM2=1),1+('Control Room'!$C$13-1)*EXP(-0.5*(($A208-'Control Room'!$A$13-('Control Room'!$B$13-1)/2)/MAX(0.5,'Control Room'!$B$13/4))^2),1)*IF(AND($A208&gt;='Control Room'!$A$14,$A208&lt;'Control Room'!$A$14+'Control Room'!$B$14,'Process'!BM3=1),1+('Control Room'!$C$14-1)*EXP(-0.5*(($A208-'Control Room'!$A$14-('Control Room'!$B$14-1)/2)/MAX(0.5,'Control Room'!$B$14/4))^2),1)*IF(AND($A208&gt;='Control Room'!$A$15,$A208&lt;'Control Room'!$A$15+'Control Room'!$B$15,'Process'!BM4=1),1+('Control Room'!$C$15-1)*EXP(-0.5*(($A208-'Control Room'!$A$15-('Control Room'!$B$15-1)/2)/MAX(0.5,'Control Room'!$B$15/4))^2),1)*IF(AND($A208&gt;='Control Room'!$A$16,$A208&lt;'Control Room'!$A$16+'Control Room'!$B$16,'Process'!BM5=1),1+('Control Room'!$C$16-1)*EXP(-0.5*(($A208-'Control Room'!$A$16-('Control Room'!$B$16-1)/2)/MAX(0.5,'Control Room'!$B$16/4))^2),1)</x:f>
        <x:v>1</x:v>
      </x:c>
      <x:c r="Q208" s="9" t="n">
        <x:f>MOD(R207*16807,2147483647)</x:f>
        <x:v>834521162</x:v>
      </x:c>
      <x:c r="R208" s="9" t="n">
        <x:f>MOD(Q208*16807,2147483647)</x:f>
        <x:v>581471177</x:v>
      </x:c>
      <x:c r="S208" s="17" t="n">
        <x:f>IF('Control Room'!$B$5="Normal",'Control Room'!$B$7+'Control Room'!$D$7*SQRT(-2*LN(MAX(0.000000000001,Q208/2147483647)))*COS(2*PI()*R208/2147483647),'Control Room'!$B$8+('Control Room'!$D$8-'Control Room'!$B$8)*Q208/2147483647)</x:f>
        <x:v>983.8982842560223</x:v>
      </x:c>
      <x:c r="T208" s="17" t="n">
        <x:f>IF('Control Room'!$B$5="Normal",'Control Room'!$B$7,('Control Room'!$B$8+'Control Room'!$D$8)/2)+'Control Room'!$B$9*(T207-IF('Control Room'!$B$5="Normal",'Control Room'!$B$7,('Control Room'!$B$8+'Control Room'!$D$8)/2))+SQRT(1-'Control Room'!$B$9^2)*(S208-IF('Control Room'!$B$5="Normal",'Control Room'!$B$7,('Control Room'!$B$8+'Control Room'!$D$8)/2))</x:f>
        <x:v>928.558996378316</x:v>
      </x:c>
      <x:c r="U208" s="17" t="n">
        <x:f>IF(AND($A208&gt;='Control Room'!$A$13,$A208&lt;'Control Room'!$A$13+'Control Room'!$B$13,'Process'!BN2=1),1+('Control Room'!$C$13-1)*EXP(-0.5*(($A208-'Control Room'!$A$13-('Control Room'!$B$13-1)/2)/MAX(0.5,'Control Room'!$B$13/4))^2),1)*IF(AND($A208&gt;='Control Room'!$A$14,$A208&lt;'Control Room'!$A$14+'Control Room'!$B$14,'Process'!BN3=1),1+('Control Room'!$C$14-1)*EXP(-0.5*(($A208-'Control Room'!$A$14-('Control Room'!$B$14-1)/2)/MAX(0.5,'Control Room'!$B$14/4))^2),1)*IF(AND($A208&gt;='Control Room'!$A$15,$A208&lt;'Control Room'!$A$15+'Control Room'!$B$15,'Process'!BN4=1),1+('Control Room'!$C$15-1)*EXP(-0.5*(($A208-'Control Room'!$A$15-('Control Room'!$B$15-1)/2)/MAX(0.5,'Control Room'!$B$15/4))^2),1)*IF(AND($A208&gt;='Control Room'!$A$16,$A208&lt;'Control Room'!$A$16+'Control Room'!$B$16,'Process'!BN5=1),1+('Control Room'!$C$16-1)*EXP(-0.5*(($A208-'Control Room'!$A$16-('Control Room'!$B$16-1)/2)/MAX(0.5,'Control Room'!$B$16/4))^2),1)</x:f>
        <x:v>1</x:v>
      </x:c>
      <x:c r="V208" s="9" t="n">
        <x:f>MOD(W207*16807,2147483647)</x:f>
        <x:v>33660783</x:v>
      </x:c>
      <x:c r="W208" s="9" t="n">
        <x:f>MOD(V208*16807,2147483647)</x:f>
        <x:v>948580720</x:v>
      </x:c>
      <x:c r="X208" s="17" t="n">
        <x:f>IF('Control Room'!$B$5="Normal",'Control Room'!$B$7+'Control Room'!$D$7*SQRT(-2*LN(MAX(0.000000000001,V208/2147483647)))*COS(2*PI()*W208/2147483647),'Control Room'!$B$8+('Control Room'!$D$8-'Control Room'!$B$8)*V208/2147483647)</x:f>
        <x:v>757.7379753683188</x:v>
      </x:c>
      <x:c r="Y208" s="17" t="n">
        <x:f>IF('Control Room'!$B$5="Normal",'Control Room'!$B$7,('Control Room'!$B$8+'Control Room'!$D$8)/2)+'Control Room'!$B$9*(Y207-IF('Control Room'!$B$5="Normal",'Control Room'!$B$7,('Control Room'!$B$8+'Control Room'!$D$8)/2))+SQRT(1-'Control Room'!$B$9^2)*(X208-IF('Control Room'!$B$5="Normal",'Control Room'!$B$7,('Control Room'!$B$8+'Control Room'!$D$8)/2))</x:f>
        <x:v>776.8556257906032</x:v>
      </x:c>
      <x:c r="Z208" s="17" t="n">
        <x:f>IF(AND($A208&gt;='Control Room'!$A$13,$A208&lt;'Control Room'!$A$13+'Control Room'!$B$13,'Process'!BO2=1),1+('Control Room'!$C$13-1)*EXP(-0.5*(($A208-'Control Room'!$A$13-('Control Room'!$B$13-1)/2)/MAX(0.5,'Control Room'!$B$13/4))^2),1)*IF(AND($A208&gt;='Control Room'!$A$14,$A208&lt;'Control Room'!$A$14+'Control Room'!$B$14,'Process'!BO3=1),1+('Control Room'!$C$14-1)*EXP(-0.5*(($A208-'Control Room'!$A$14-('Control Room'!$B$14-1)/2)/MAX(0.5,'Control Room'!$B$14/4))^2),1)*IF(AND($A208&gt;='Control Room'!$A$15,$A208&lt;'Control Room'!$A$15+'Control Room'!$B$15,'Process'!BO4=1),1+('Control Room'!$C$15-1)*EXP(-0.5*(($A208-'Control Room'!$A$15-('Control Room'!$B$15-1)/2)/MAX(0.5,'Control Room'!$B$15/4))^2),1)*IF(AND($A208&gt;='Control Room'!$A$16,$A208&lt;'Control Room'!$A$16+'Control Room'!$B$16,'Process'!BO5=1),1+('Control Room'!$C$16-1)*EXP(-0.5*(($A208-'Control Room'!$A$16-('Control Room'!$B$16-1)/2)/MAX(0.5,'Control Room'!$B$16/4))^2),1)</x:f>
        <x:v>1</x:v>
      </x:c>
      <x:c r="AA208" s="9" t="n">
        <x:f>MOD(AB207*16807,2147483647)</x:f>
        <x:v>1380284051</x:v>
      </x:c>
      <x:c r="AB208" s="9" t="n">
        <x:f>MOD(AA208*16807,2147483647)</x:f>
        <x:v>1315690263</x:v>
      </x:c>
      <x:c r="AC208" s="17" t="n">
        <x:f>IF('Control Room'!$B$5="Normal",'Control Room'!$B$7+'Control Room'!$D$7*SQRT(-2*LN(MAX(0.000000000001,AA208/2147483647)))*COS(2*PI()*AB208/2147483647),'Control Room'!$B$8+('Control Room'!$D$8-'Control Room'!$B$8)*AA208/2147483647)</x:f>
        <x:v>935.7119162193153</x:v>
      </x:c>
      <x:c r="AD208" s="17" t="n">
        <x:f>IF('Control Room'!$B$5="Normal",'Control Room'!$B$7,('Control Room'!$B$8+'Control Room'!$D$8)/2)+'Control Room'!$B$9*(AD207-IF('Control Room'!$B$5="Normal",'Control Room'!$B$7,('Control Room'!$B$8+'Control Room'!$D$8)/2))+SQRT(1-'Control Room'!$B$9^2)*(AC208-IF('Control Room'!$B$5="Normal",'Control Room'!$B$7,('Control Room'!$B$8+'Control Room'!$D$8)/2))</x:f>
        <x:v>1109.842114285353</x:v>
      </x:c>
      <x:c r="AE208" s="17" t="n">
        <x:f>IF(AND($A208&gt;='Control Room'!$A$13,$A208&lt;'Control Room'!$A$13+'Control Room'!$B$13,'Process'!BP2=1),1+('Control Room'!$C$13-1)*EXP(-0.5*(($A208-'Control Room'!$A$13-('Control Room'!$B$13-1)/2)/MAX(0.5,'Control Room'!$B$13/4))^2),1)*IF(AND($A208&gt;='Control Room'!$A$14,$A208&lt;'Control Room'!$A$14+'Control Room'!$B$14,'Process'!BP3=1),1+('Control Room'!$C$14-1)*EXP(-0.5*(($A208-'Control Room'!$A$14-('Control Room'!$B$14-1)/2)/MAX(0.5,'Control Room'!$B$14/4))^2),1)*IF(AND($A208&gt;='Control Room'!$A$15,$A208&lt;'Control Room'!$A$15+'Control Room'!$B$15,'Process'!BP4=1),1+('Control Room'!$C$15-1)*EXP(-0.5*(($A208-'Control Room'!$A$15-('Control Room'!$B$15-1)/2)/MAX(0.5,'Control Room'!$B$15/4))^2),1)*IF(AND($A208&gt;='Control Room'!$A$16,$A208&lt;'Control Room'!$A$16+'Control Room'!$B$16,'Process'!BP5=1),1+('Control Room'!$C$16-1)*EXP(-0.5*(($A208-'Control Room'!$A$16-('Control Room'!$B$16-1)/2)/MAX(0.5,'Control Room'!$B$16/4))^2),1)</x:f>
        <x:v>1</x:v>
      </x:c>
      <x:c r="AF208" s="9" t="n">
        <x:f>MOD(AG207*16807,2147483647)</x:f>
        <x:v>579423672</x:v>
      </x:c>
      <x:c r="AG208" s="9" t="n">
        <x:f>MOD(AF208*16807,2147483647)</x:f>
        <x:v>1682799806</x:v>
      </x:c>
      <x:c r="AH208" s="17" t="n">
        <x:f>IF('Control Room'!$B$5="Normal",'Control Room'!$B$7+'Control Room'!$D$7*SQRT(-2*LN(MAX(0.000000000001,AF208/2147483647)))*COS(2*PI()*AG208/2147483647),'Control Room'!$B$8+('Control Room'!$D$8-'Control Room'!$B$8)*AF208/2147483647)</x:f>
        <x:v>1030.5402003880806</x:v>
      </x:c>
      <x:c r="AI208" s="17" t="n">
        <x:f>IF('Control Room'!$B$5="Normal",'Control Room'!$B$7,('Control Room'!$B$8+'Control Room'!$D$8)/2)+'Control Room'!$B$9*(AI207-IF('Control Room'!$B$5="Normal",'Control Room'!$B$7,('Control Room'!$B$8+'Control Room'!$D$8)/2))+SQRT(1-'Control Room'!$B$9^2)*(AH208-IF('Control Room'!$B$5="Normal",'Control Room'!$B$7,('Control Room'!$B$8+'Control Room'!$D$8)/2))</x:f>
        <x:v>890.5257642444793</x:v>
      </x:c>
      <x:c r="AJ208" s="17" t="n">
        <x:f>IF(AND($A208&gt;='Control Room'!$A$13,$A208&lt;'Control Room'!$A$13+'Control Room'!$B$13,'Process'!BQ2=1),1+('Control Room'!$C$13-1)*EXP(-0.5*(($A208-'Control Room'!$A$13-('Control Room'!$B$13-1)/2)/MAX(0.5,'Control Room'!$B$13/4))^2),1)*IF(AND($A208&gt;='Control Room'!$A$14,$A208&lt;'Control Room'!$A$14+'Control Room'!$B$14,'Process'!BQ3=1),1+('Control Room'!$C$14-1)*EXP(-0.5*(($A208-'Control Room'!$A$14-('Control Room'!$B$14-1)/2)/MAX(0.5,'Control Room'!$B$14/4))^2),1)*IF(AND($A208&gt;='Control Room'!$A$15,$A208&lt;'Control Room'!$A$15+'Control Room'!$B$15,'Process'!BQ4=1),1+('Control Room'!$C$15-1)*EXP(-0.5*(($A208-'Control Room'!$A$15-('Control Room'!$B$15-1)/2)/MAX(0.5,'Control Room'!$B$15/4))^2),1)*IF(AND($A208&gt;='Control Room'!$A$16,$A208&lt;'Control Room'!$A$16+'Control Room'!$B$16,'Process'!BQ5=1),1+('Control Room'!$C$16-1)*EXP(-0.5*(($A208-'Control Room'!$A$16-('Control Room'!$B$16-1)/2)/MAX(0.5,'Control Room'!$B$16/4))^2),1)</x:f>
        <x:v>1</x:v>
      </x:c>
      <x:c r="AK208" s="9" t="n">
        <x:f>MOD(AL207*16807,2147483647)</x:f>
        <x:v>1926046940</x:v>
      </x:c>
      <x:c r="AL208" s="9" t="n">
        <x:f>MOD(AK208*16807,2147483647)</x:f>
        <x:v>2049909349</x:v>
      </x:c>
      <x:c r="AM208" s="17" t="n">
        <x:f>IF('Control Room'!$B$5="Normal",'Control Room'!$B$7+'Control Room'!$D$7*SQRT(-2*LN(MAX(0.000000000001,AK208/2147483647)))*COS(2*PI()*AL208/2147483647),'Control Room'!$B$8+('Control Room'!$D$8-'Control Room'!$B$8)*AK208/2147483647)</x:f>
        <x:v>1040.288600486007</x:v>
      </x:c>
      <x:c r="AN208" s="17" t="n">
        <x:f>IF('Control Room'!$B$5="Normal",'Control Room'!$B$7,('Control Room'!$B$8+'Control Room'!$D$8)/2)+'Control Room'!$B$9*(AN207-IF('Control Room'!$B$5="Normal",'Control Room'!$B$7,('Control Room'!$B$8+'Control Room'!$D$8)/2))+SQRT(1-'Control Room'!$B$9^2)*(AM208-IF('Control Room'!$B$5="Normal",'Control Room'!$B$7,('Control Room'!$B$8+'Control Room'!$D$8)/2))</x:f>
        <x:v>1075.0068808640178</x:v>
      </x:c>
      <x:c r="AO208" s="17" t="n">
        <x:f>IF(AND($A208&gt;='Control Room'!$A$13,$A208&lt;'Control Room'!$A$13+'Control Room'!$B$13,'Process'!BR2=1),1+('Control Room'!$C$13-1)*EXP(-0.5*(($A208-'Control Room'!$A$13-('Control Room'!$B$13-1)/2)/MAX(0.5,'Control Room'!$B$13/4))^2),1)*IF(AND($A208&gt;='Control Room'!$A$14,$A208&lt;'Control Room'!$A$14+'Control Room'!$B$14,'Process'!BR3=1),1+('Control Room'!$C$14-1)*EXP(-0.5*(($A208-'Control Room'!$A$14-('Control Room'!$B$14-1)/2)/MAX(0.5,'Control Room'!$B$14/4))^2),1)*IF(AND($A208&gt;='Control Room'!$A$15,$A208&lt;'Control Room'!$A$15+'Control Room'!$B$15,'Process'!BR4=1),1+('Control Room'!$C$15-1)*EXP(-0.5*(($A208-'Control Room'!$A$15-('Control Room'!$B$15-1)/2)/MAX(0.5,'Control Room'!$B$15/4))^2),1)*IF(AND($A208&gt;='Control Room'!$A$16,$A208&lt;'Control Room'!$A$16+'Control Room'!$B$16,'Process'!BR5=1),1+('Control Room'!$C$16-1)*EXP(-0.5*(($A208-'Control Room'!$A$16-('Control Room'!$B$16-1)/2)/MAX(0.5,'Control Room'!$B$16/4))^2),1)</x:f>
        <x:v>1</x:v>
      </x:c>
      <x:c r="AP208" s="9" t="n">
        <x:f>MOD(AQ207*16807,2147483647)</x:f>
        <x:v>1125186561</x:v>
      </x:c>
      <x:c r="AQ208" s="9" t="n">
        <x:f>MOD(AP208*16807,2147483647)</x:f>
        <x:v>269535245</x:v>
      </x:c>
      <x:c r="AR208" s="17" t="n">
        <x:f>IF('Control Room'!$B$5="Normal",'Control Room'!$B$7+'Control Room'!$D$7*SQRT(-2*LN(MAX(0.000000000001,AP208/2147483647)))*COS(2*PI()*AQ208/2147483647),'Control Room'!$B$8+('Control Room'!$D$8-'Control Room'!$B$8)*AP208/2147483647)</x:f>
        <x:v>1072.122986529553</x:v>
      </x:c>
      <x:c r="AS208" s="17" t="n">
        <x:f>IF('Control Room'!$B$5="Normal",'Control Room'!$B$7,('Control Room'!$B$8+'Control Room'!$D$8)/2)+'Control Room'!$B$9*(AS207-IF('Control Room'!$B$5="Normal",'Control Room'!$B$7,('Control Room'!$B$8+'Control Room'!$D$8)/2))+SQRT(1-'Control Room'!$B$9^2)*(AR208-IF('Control Room'!$B$5="Normal",'Control Room'!$B$7,('Control Room'!$B$8+'Control Room'!$D$8)/2))</x:f>
        <x:v>981.0361601699373</x:v>
      </x:c>
      <x:c r="AT208" s="17" t="n">
        <x:f>IF(AND($A208&gt;='Control Room'!$A$13,$A208&lt;'Control Room'!$A$13+'Control Room'!$B$13,'Process'!BS2=1),1+('Control Room'!$C$13-1)*EXP(-0.5*(($A208-'Control Room'!$A$13-('Control Room'!$B$13-1)/2)/MAX(0.5,'Control Room'!$B$13/4))^2),1)*IF(AND($A208&gt;='Control Room'!$A$14,$A208&lt;'Control Room'!$A$14+'Control Room'!$B$14,'Process'!BS3=1),1+('Control Room'!$C$14-1)*EXP(-0.5*(($A208-'Control Room'!$A$14-('Control Room'!$B$14-1)/2)/MAX(0.5,'Control Room'!$B$14/4))^2),1)*IF(AND($A208&gt;='Control Room'!$A$15,$A208&lt;'Control Room'!$A$15+'Control Room'!$B$15,'Process'!BS4=1),1+('Control Room'!$C$15-1)*EXP(-0.5*(($A208-'Control Room'!$A$15-('Control Room'!$B$15-1)/2)/MAX(0.5,'Control Room'!$B$15/4))^2),1)*IF(AND($A208&gt;='Control Room'!$A$16,$A208&lt;'Control Room'!$A$16+'Control Room'!$B$16,'Process'!BS5=1),1+('Control Room'!$C$16-1)*EXP(-0.5*(($A208-'Control Room'!$A$16-('Control Room'!$B$16-1)/2)/MAX(0.5,'Control Room'!$B$16/4))^2),1)</x:f>
        <x:v>1</x:v>
      </x:c>
      <x:c r="AU208" s="9" t="n">
        <x:f>MOD(AV207*16807,2147483647)</x:f>
        <x:v>324326182</x:v>
      </x:c>
      <x:c r="AV208" s="9" t="n">
        <x:f>MOD(AU208*16807,2147483647)</x:f>
        <x:v>636644788</x:v>
      </x:c>
      <x:c r="AW208" s="17" t="n">
        <x:f>IF('Control Room'!$B$5="Normal",'Control Room'!$B$7+'Control Room'!$D$7*SQRT(-2*LN(MAX(0.000000000001,AU208/2147483647)))*COS(2*PI()*AV208/2147483647),'Control Room'!$B$8+('Control Room'!$D$8-'Control Room'!$B$8)*AU208/2147483647)</x:f>
        <x:v>949.6378745119849</x:v>
      </x:c>
      <x:c r="AX208" s="17" t="n">
        <x:f>IF('Control Room'!$B$5="Normal",'Control Room'!$B$7,('Control Room'!$B$8+'Control Room'!$D$8)/2)+'Control Room'!$B$9*(AX207-IF('Control Room'!$B$5="Normal",'Control Room'!$B$7,('Control Room'!$B$8+'Control Room'!$D$8)/2))+SQRT(1-'Control Room'!$B$9^2)*(AW208-IF('Control Room'!$B$5="Normal",'Control Room'!$B$7,('Control Room'!$B$8+'Control Room'!$D$8)/2))</x:f>
        <x:v>983.9690792021946</x:v>
      </x:c>
      <x:c r="AY208" s="17" t="n">
        <x:f>IF(AND($A208&gt;='Control Room'!$A$13,$A208&lt;'Control Room'!$A$13+'Control Room'!$B$13,'Process'!BT2=1),1+('Control Room'!$C$13-1)*EXP(-0.5*(($A208-'Control Room'!$A$13-('Control Room'!$B$13-1)/2)/MAX(0.5,'Control Room'!$B$13/4))^2),1)*IF(AND($A208&gt;='Control Room'!$A$14,$A208&lt;'Control Room'!$A$14+'Control Room'!$B$14,'Process'!BT3=1),1+('Control Room'!$C$14-1)*EXP(-0.5*(($A208-'Control Room'!$A$14-('Control Room'!$B$14-1)/2)/MAX(0.5,'Control Room'!$B$14/4))^2),1)*IF(AND($A208&gt;='Control Room'!$A$15,$A208&lt;'Control Room'!$A$15+'Control Room'!$B$15,'Process'!BT4=1),1+('Control Room'!$C$15-1)*EXP(-0.5*(($A208-'Control Room'!$A$15-('Control Room'!$B$15-1)/2)/MAX(0.5,'Control Room'!$B$15/4))^2),1)*IF(AND($A208&gt;='Control Room'!$A$16,$A208&lt;'Control Room'!$A$16+'Control Room'!$B$16,'Process'!BT5=1),1+('Control Room'!$C$16-1)*EXP(-0.5*(($A208-'Control Room'!$A$16-('Control Room'!$B$16-1)/2)/MAX(0.5,'Control Room'!$B$16/4))^2),1)</x:f>
        <x:v>1</x:v>
      </x:c>
      <x:c r="AZ208" s="9" t="n">
        <x:f>MOD(BA207*16807,2147483647)</x:f>
        <x:v>1670949450</x:v>
      </x:c>
      <x:c r="BA208" s="9" t="n">
        <x:f>MOD(AZ208*16807,2147483647)</x:f>
        <x:v>1003754331</x:v>
      </x:c>
      <x:c r="BB208" s="17" t="n">
        <x:f>IF('Control Room'!$B$5="Normal",'Control Room'!$B$7+'Control Room'!$D$7*SQRT(-2*LN(MAX(0.000000000001,AZ208/2147483647)))*COS(2*PI()*BA208/2147483647),'Control Room'!$B$8+('Control Room'!$D$8-'Control Room'!$B$8)*AZ208/2147483647)</x:f>
        <x:v>937.5773378976671</x:v>
      </x:c>
      <x:c r="BC208" s="17" t="n">
        <x:f>IF('Control Room'!$B$5="Normal",'Control Room'!$B$7,('Control Room'!$B$8+'Control Room'!$D$8)/2)+'Control Room'!$B$9*(BC207-IF('Control Room'!$B$5="Normal",'Control Room'!$B$7,('Control Room'!$B$8+'Control Room'!$D$8)/2))+SQRT(1-'Control Room'!$B$9^2)*(BB208-IF('Control Room'!$B$5="Normal",'Control Room'!$B$7,('Control Room'!$B$8+'Control Room'!$D$8)/2))</x:f>
        <x:v>954.8467934248536</x:v>
      </x:c>
      <x:c r="BD208" s="17" t="n">
        <x:f>IF(AND($A208&gt;='Control Room'!$A$13,$A208&lt;'Control Room'!$A$13+'Control Room'!$B$13,'Process'!BU2=1),1+('Control Room'!$C$13-1)*EXP(-0.5*(($A208-'Control Room'!$A$13-('Control Room'!$B$13-1)/2)/MAX(0.5,'Control Room'!$B$13/4))^2),1)*IF(AND($A208&gt;='Control Room'!$A$14,$A208&lt;'Control Room'!$A$14+'Control Room'!$B$14,'Process'!BU3=1),1+('Control Room'!$C$14-1)*EXP(-0.5*(($A208-'Control Room'!$A$14-('Control Room'!$B$14-1)/2)/MAX(0.5,'Control Room'!$B$14/4))^2),1)*IF(AND($A208&gt;='Control Room'!$A$15,$A208&lt;'Control Room'!$A$15+'Control Room'!$B$15,'Process'!BU4=1),1+('Control Room'!$C$15-1)*EXP(-0.5*(($A208-'Control Room'!$A$15-('Control Room'!$B$15-1)/2)/MAX(0.5,'Control Room'!$B$15/4))^2),1)*IF(AND($A208&gt;='Control Room'!$A$16,$A208&lt;'Control Room'!$A$16+'Control Room'!$B$16,'Process'!BU5=1),1+('Control Room'!$C$16-1)*EXP(-0.5*(($A208-'Control Room'!$A$16-('Control Room'!$B$16-1)/2)/MAX(0.5,'Control Room'!$B$16/4))^2),1)</x:f>
        <x:v>1</x:v>
      </x:c>
      <x:c r="BE208" s="9" t="n">
        <x:f>MOD(BF207*16807,2147483647)</x:f>
        <x:v>870089071</x:v>
      </x:c>
      <x:c r="BF208" s="9" t="n">
        <x:f>MOD(BE208*16807,2147483647)</x:f>
        <x:v>1370863874</x:v>
      </x:c>
      <x:c r="BG208" s="17" t="n">
        <x:f>IF('Control Room'!$B$5="Normal",'Control Room'!$B$7+'Control Room'!$D$7*SQRT(-2*LN(MAX(0.000000000001,BE208/2147483647)))*COS(2*PI()*BF208/2147483647),'Control Room'!$B$8+('Control Room'!$D$8-'Control Room'!$B$8)*BE208/2147483647)</x:f>
        <x:v>921.927430933914</x:v>
      </x:c>
      <x:c r="BH208" s="17" t="n">
        <x:f>IF('Control Room'!$B$5="Normal",'Control Room'!$B$7,('Control Room'!$B$8+'Control Room'!$D$8)/2)+'Control Room'!$B$9*(BH207-IF('Control Room'!$B$5="Normal",'Control Room'!$B$7,('Control Room'!$B$8+'Control Room'!$D$8)/2))+SQRT(1-'Control Room'!$B$9^2)*(BG208-IF('Control Room'!$B$5="Normal",'Control Room'!$B$7,('Control Room'!$B$8+'Control Room'!$D$8)/2))</x:f>
        <x:v>931.9739552787139</x:v>
      </x:c>
      <x:c r="BI208" s="17" t="n">
        <x:f>IF(AND($A208&gt;='Control Room'!$A$13,$A208&lt;'Control Room'!$A$13+'Control Room'!$B$13,'Process'!BV2=1),1+('Control Room'!$C$13-1)*EXP(-0.5*(($A208-'Control Room'!$A$13-('Control Room'!$B$13-1)/2)/MAX(0.5,'Control Room'!$B$13/4))^2),1)*IF(AND($A208&gt;='Control Room'!$A$14,$A208&lt;'Control Room'!$A$14+'Control Room'!$B$14,'Process'!BV3=1),1+('Control Room'!$C$14-1)*EXP(-0.5*(($A208-'Control Room'!$A$14-('Control Room'!$B$14-1)/2)/MAX(0.5,'Control Room'!$B$14/4))^2),1)*IF(AND($A208&gt;='Control Room'!$A$15,$A208&lt;'Control Room'!$A$15+'Control Room'!$B$15,'Process'!BV4=1),1+('Control Room'!$C$15-1)*EXP(-0.5*(($A208-'Control Room'!$A$15-('Control Room'!$B$15-1)/2)/MAX(0.5,'Control Room'!$B$15/4))^2),1)*IF(AND($A208&gt;='Control Room'!$A$16,$A208&lt;'Control Room'!$A$16+'Control Room'!$B$16,'Process'!BV5=1),1+('Control Room'!$C$16-1)*EXP(-0.5*(($A208-'Control Room'!$A$16-('Control Room'!$B$16-1)/2)/MAX(0.5,'Control Room'!$B$16/4))^2),1)</x:f>
        <x:v>1</x:v>
      </x:c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Z208" t="str">
        <x:f>IF('Data'!A208="","",TEXT('Data'!A208,"mm-dd"))</x:f>
      </x:c>
    </x:row>
    <x:row r="209" ht="21" customHeight="1">
      <x:c r="A209" s="15" t="n">
        <x:f>'Control Room'!$B$1+207</x:f>
        <x:v>73198</x:v>
      </x:c>
      <x:c r="B209" s="9" t="n">
        <x:f>MOD(C208*16807,2147483647)</x:f>
        <x:v>866763879</x:v>
      </x:c>
      <x:c r="C209" s="9" t="n">
        <x:f>MOD(B209*16807,2147483647)</x:f>
        <x:v>1318936752</x:v>
      </x:c>
      <x:c r="D209" s="17" t="n">
        <x:f>IF('Control Room'!$B$5="Normal",'Control Room'!$B$7+'Control Room'!$D$7*SQRT(-2*LN(MAX(0.000000000001,B209/2147483647)))*COS(2*PI()*C209/2147483647),'Control Room'!$B$8+('Control Room'!$D$8-'Control Room'!$B$8)*B209/2147483647)</x:f>
        <x:v>908.6470029686261</x:v>
      </x:c>
      <x:c r="E209" s="17" t="n">
        <x:f>IF('Control Room'!$B$5="Normal",'Control Room'!$B$7,('Control Room'!$B$8+'Control Room'!$D$8)/2)+'Control Room'!$B$9*(E208-IF('Control Room'!$B$5="Normal",'Control Room'!$B$7,('Control Room'!$B$8+'Control Room'!$D$8)/2))+SQRT(1-'Control Room'!$B$9^2)*(D209-IF('Control Room'!$B$5="Normal",'Control Room'!$B$7,('Control Room'!$B$8+'Control Room'!$D$8)/2))</x:f>
        <x:v>987.2593056049782</x:v>
      </x:c>
      <x:c r="F209" s="17" t="n">
        <x:f>IF(AND($A209&gt;='Control Room'!$A$13,$A209&lt;'Control Room'!$A$13+'Control Room'!$B$13,'Process'!BK2=1),1+('Control Room'!$C$13-1)*EXP(-0.5*(($A209-'Control Room'!$A$13-('Control Room'!$B$13-1)/2)/MAX(0.5,'Control Room'!$B$13/4))^2),1)*IF(AND($A209&gt;='Control Room'!$A$14,$A209&lt;'Control Room'!$A$14+'Control Room'!$B$14,'Process'!BK3=1),1+('Control Room'!$C$14-1)*EXP(-0.5*(($A209-'Control Room'!$A$14-('Control Room'!$B$14-1)/2)/MAX(0.5,'Control Room'!$B$14/4))^2),1)*IF(AND($A209&gt;='Control Room'!$A$15,$A209&lt;'Control Room'!$A$15+'Control Room'!$B$15,'Process'!BK4=1),1+('Control Room'!$C$15-1)*EXP(-0.5*(($A209-'Control Room'!$A$15-('Control Room'!$B$15-1)/2)/MAX(0.5,'Control Room'!$B$15/4))^2),1)*IF(AND($A209&gt;='Control Room'!$A$16,$A209&lt;'Control Room'!$A$16+'Control Room'!$B$16,'Process'!BK5=1),1+('Control Room'!$C$16-1)*EXP(-0.5*(($A209-'Control Room'!$A$16-('Control Room'!$B$16-1)/2)/MAX(0.5,'Control Room'!$B$16/4))^2),1)</x:f>
        <x:v>1</x:v>
      </x:c>
      <x:c r="G209" s="9" t="n">
        <x:f>MOD(H208*16807,2147483647)</x:f>
        <x:v>1156335249</x:v>
      </x:c>
      <x:c r="H209" s="9" t="n">
        <x:f>MOD(G209*16807,2147483647)</x:f>
        <x:v>1947008240</x:v>
      </x:c>
      <x:c r="I209" s="17" t="n">
        <x:f>IF('Control Room'!$B$5="Normal",'Control Room'!$B$7+'Control Room'!$D$7*SQRT(-2*LN(MAX(0.000000000001,G209/2147483647)))*COS(2*PI()*H209/2147483647),'Control Room'!$B$8+('Control Room'!$D$8-'Control Room'!$B$8)*G209/2147483647)</x:f>
        <x:v>1083.4035135034403</x:v>
      </x:c>
      <x:c r="J209" s="17" t="n">
        <x:f>IF('Control Room'!$B$5="Normal",'Control Room'!$B$7,('Control Room'!$B$8+'Control Room'!$D$8)/2)+'Control Room'!$B$9*(J208-IF('Control Room'!$B$5="Normal",'Control Room'!$B$7,('Control Room'!$B$8+'Control Room'!$D$8)/2))+SQRT(1-'Control Room'!$B$9^2)*(I209-IF('Control Room'!$B$5="Normal",'Control Room'!$B$7,('Control Room'!$B$8+'Control Room'!$D$8)/2))</x:f>
        <x:v>1007.5295643760935</x:v>
      </x:c>
      <x:c r="K209" s="17" t="n">
        <x:f>IF(AND($A209&gt;='Control Room'!$A$13,$A209&lt;'Control Room'!$A$13+'Control Room'!$B$13,'Process'!BL2=1),1+('Control Room'!$C$13-1)*EXP(-0.5*(($A209-'Control Room'!$A$13-('Control Room'!$B$13-1)/2)/MAX(0.5,'Control Room'!$B$13/4))^2),1)*IF(AND($A209&gt;='Control Room'!$A$14,$A209&lt;'Control Room'!$A$14+'Control Room'!$B$14,'Process'!BL3=1),1+('Control Room'!$C$14-1)*EXP(-0.5*(($A209-'Control Room'!$A$14-('Control Room'!$B$14-1)/2)/MAX(0.5,'Control Room'!$B$14/4))^2),1)*IF(AND($A209&gt;='Control Room'!$A$15,$A209&lt;'Control Room'!$A$15+'Control Room'!$B$15,'Process'!BL4=1),1+('Control Room'!$C$15-1)*EXP(-0.5*(($A209-'Control Room'!$A$15-('Control Room'!$B$15-1)/2)/MAX(0.5,'Control Room'!$B$15/4))^2),1)*IF(AND($A209&gt;='Control Room'!$A$16,$A209&lt;'Control Room'!$A$16+'Control Room'!$B$16,'Process'!BL5=1),1+('Control Room'!$C$16-1)*EXP(-0.5*(($A209-'Control Room'!$A$16-('Control Room'!$B$16-1)/2)/MAX(0.5,'Control Room'!$B$16/4))^2),1)</x:f>
        <x:v>1</x:v>
      </x:c>
      <x:c r="L209" s="9" t="n">
        <x:f>MOD(M208*16807,2147483647)</x:f>
        <x:v>1445906619</x:v>
      </x:c>
      <x:c r="M209" s="9" t="n">
        <x:f>MOD(L209*16807,2147483647)</x:f>
        <x:v>427596081</x:v>
      </x:c>
      <x:c r="N209" s="17" t="n">
        <x:f>IF('Control Room'!$B$5="Normal",'Control Room'!$B$7+'Control Room'!$D$7*SQRT(-2*LN(MAX(0.000000000001,L209/2147483647)))*COS(2*PI()*M209/2147483647),'Control Room'!$B$8+('Control Room'!$D$8-'Control Room'!$B$8)*L209/2147483647)</x:f>
        <x:v>1025.1599384597844</x:v>
      </x:c>
      <x:c r="O209" s="17" t="n">
        <x:f>IF('Control Room'!$B$5="Normal",'Control Room'!$B$7,('Control Room'!$B$8+'Control Room'!$D$8)/2)+'Control Room'!$B$9*(O208-IF('Control Room'!$B$5="Normal",'Control Room'!$B$7,('Control Room'!$B$8+'Control Room'!$D$8)/2))+SQRT(1-'Control Room'!$B$9^2)*(N209-IF('Control Room'!$B$5="Normal",'Control Room'!$B$7,('Control Room'!$B$8+'Control Room'!$D$8)/2))</x:f>
        <x:v>1169.645848793179</x:v>
      </x:c>
      <x:c r="P209" s="17" t="n">
        <x:f>IF(AND($A209&gt;='Control Room'!$A$13,$A209&lt;'Control Room'!$A$13+'Control Room'!$B$13,'Process'!BM2=1),1+('Control Room'!$C$13-1)*EXP(-0.5*(($A209-'Control Room'!$A$13-('Control Room'!$B$13-1)/2)/MAX(0.5,'Control Room'!$B$13/4))^2),1)*IF(AND($A209&gt;='Control Room'!$A$14,$A209&lt;'Control Room'!$A$14+'Control Room'!$B$14,'Process'!BM3=1),1+('Control Room'!$C$14-1)*EXP(-0.5*(($A209-'Control Room'!$A$14-('Control Room'!$B$14-1)/2)/MAX(0.5,'Control Room'!$B$14/4))^2),1)*IF(AND($A209&gt;='Control Room'!$A$15,$A209&lt;'Control Room'!$A$15+'Control Room'!$B$15,'Process'!BM4=1),1+('Control Room'!$C$15-1)*EXP(-0.5*(($A209-'Control Room'!$A$15-('Control Room'!$B$15-1)/2)/MAX(0.5,'Control Room'!$B$15/4))^2),1)*IF(AND($A209&gt;='Control Room'!$A$16,$A209&lt;'Control Room'!$A$16+'Control Room'!$B$16,'Process'!BM5=1),1+('Control Room'!$C$16-1)*EXP(-0.5*(($A209-'Control Room'!$A$16-('Control Room'!$B$16-1)/2)/MAX(0.5,'Control Room'!$B$16/4))^2),1)</x:f>
        <x:v>1</x:v>
      </x:c>
      <x:c r="Q209" s="9" t="n">
        <x:f>MOD(R208*16807,2147483647)</x:f>
        <x:v>1735477989</x:v>
      </x:c>
      <x:c r="R209" s="9" t="n">
        <x:f>MOD(Q209*16807,2147483647)</x:f>
        <x:v>1055667569</x:v>
      </x:c>
      <x:c r="S209" s="17" t="n">
        <x:f>IF('Control Room'!$B$5="Normal",'Control Room'!$B$7+'Control Room'!$D$7*SQRT(-2*LN(MAX(0.000000000001,Q209/2147483647)))*COS(2*PI()*R209/2147483647),'Control Room'!$B$8+('Control Room'!$D$8-'Control Room'!$B$8)*Q209/2147483647)</x:f>
        <x:v>941.3383976582319</x:v>
      </x:c>
      <x:c r="T209" s="17" t="n">
        <x:f>IF('Control Room'!$B$5="Normal",'Control Room'!$B$7,('Control Room'!$B$8+'Control Room'!$D$8)/2)+'Control Room'!$B$9*(T208-IF('Control Room'!$B$5="Normal",'Control Room'!$B$7,('Control Room'!$B$8+'Control Room'!$D$8)/2))+SQRT(1-'Control Room'!$B$9^2)*(S209-IF('Control Room'!$B$5="Normal",'Control Room'!$B$7,('Control Room'!$B$8+'Control Room'!$D$8)/2))</x:f>
        <x:v>907.5667881778528</x:v>
      </x:c>
      <x:c r="U209" s="17" t="n">
        <x:f>IF(AND($A209&gt;='Control Room'!$A$13,$A209&lt;'Control Room'!$A$13+'Control Room'!$B$13,'Process'!BN2=1),1+('Control Room'!$C$13-1)*EXP(-0.5*(($A209-'Control Room'!$A$13-('Control Room'!$B$13-1)/2)/MAX(0.5,'Control Room'!$B$13/4))^2),1)*IF(AND($A209&gt;='Control Room'!$A$14,$A209&lt;'Control Room'!$A$14+'Control Room'!$B$14,'Process'!BN3=1),1+('Control Room'!$C$14-1)*EXP(-0.5*(($A209-'Control Room'!$A$14-('Control Room'!$B$14-1)/2)/MAX(0.5,'Control Room'!$B$14/4))^2),1)*IF(AND($A209&gt;='Control Room'!$A$15,$A209&lt;'Control Room'!$A$15+'Control Room'!$B$15,'Process'!BN4=1),1+('Control Room'!$C$15-1)*EXP(-0.5*(($A209-'Control Room'!$A$15-('Control Room'!$B$15-1)/2)/MAX(0.5,'Control Room'!$B$15/4))^2),1)*IF(AND($A209&gt;='Control Room'!$A$16,$A209&lt;'Control Room'!$A$16+'Control Room'!$B$16,'Process'!BN5=1),1+('Control Room'!$C$16-1)*EXP(-0.5*(($A209-'Control Room'!$A$16-('Control Room'!$B$16-1)/2)/MAX(0.5,'Control Room'!$B$16/4))^2),1)</x:f>
        <x:v>1</x:v>
      </x:c>
      <x:c r="V209" s="9" t="n">
        <x:f>MOD(W208*16807,2147483647)</x:f>
        <x:v>2025049359</x:v>
      </x:c>
      <x:c r="W209" s="9" t="n">
        <x:f>MOD(V209*16807,2147483647)</x:f>
        <x:v>1683739057</x:v>
      </x:c>
      <x:c r="X209" s="17" t="n">
        <x:f>IF('Control Room'!$B$5="Normal",'Control Room'!$B$7+'Control Room'!$D$7*SQRT(-2*LN(MAX(0.000000000001,V209/2147483647)))*COS(2*PI()*W209/2147483647),'Control Room'!$B$8+('Control Room'!$D$8-'Control Room'!$B$8)*V209/2147483647)</x:f>
        <x:v>1006.5477441340485</x:v>
      </x:c>
      <x:c r="Y209" s="17" t="n">
        <x:f>IF('Control Room'!$B$5="Normal",'Control Room'!$B$7,('Control Room'!$B$8+'Control Room'!$D$8)/2)+'Control Room'!$B$9*(Y208-IF('Control Room'!$B$5="Normal",'Control Room'!$B$7,('Control Room'!$B$8+'Control Room'!$D$8)/2))+SQRT(1-'Control Room'!$B$9^2)*(X209-IF('Control Room'!$B$5="Normal",'Control Room'!$B$7,('Control Room'!$B$8+'Control Room'!$D$8)/2))</x:f>
        <x:v>830.0448322579284</x:v>
      </x:c>
      <x:c r="Z209" s="17" t="n">
        <x:f>IF(AND($A209&gt;='Control Room'!$A$13,$A209&lt;'Control Room'!$A$13+'Control Room'!$B$13,'Process'!BO2=1),1+('Control Room'!$C$13-1)*EXP(-0.5*(($A209-'Control Room'!$A$13-('Control Room'!$B$13-1)/2)/MAX(0.5,'Control Room'!$B$13/4))^2),1)*IF(AND($A209&gt;='Control Room'!$A$14,$A209&lt;'Control Room'!$A$14+'Control Room'!$B$14,'Process'!BO3=1),1+('Control Room'!$C$14-1)*EXP(-0.5*(($A209-'Control Room'!$A$14-('Control Room'!$B$14-1)/2)/MAX(0.5,'Control Room'!$B$14/4))^2),1)*IF(AND($A209&gt;='Control Room'!$A$15,$A209&lt;'Control Room'!$A$15+'Control Room'!$B$15,'Process'!BO4=1),1+('Control Room'!$C$15-1)*EXP(-0.5*(($A209-'Control Room'!$A$15-('Control Room'!$B$15-1)/2)/MAX(0.5,'Control Room'!$B$15/4))^2),1)*IF(AND($A209&gt;='Control Room'!$A$16,$A209&lt;'Control Room'!$A$16+'Control Room'!$B$16,'Process'!BO5=1),1+('Control Room'!$C$16-1)*EXP(-0.5*(($A209-'Control Room'!$A$16-('Control Room'!$B$16-1)/2)/MAX(0.5,'Control Room'!$B$16/4))^2),1)</x:f>
        <x:v>1</x:v>
      </x:c>
      <x:c r="AA209" s="9" t="n">
        <x:f>MOD(AB208*16807,2147483647)</x:f>
        <x:v>167137082</x:v>
      </x:c>
      <x:c r="AB209" s="9" t="n">
        <x:f>MOD(AA209*16807,2147483647)</x:f>
        <x:v>164326898</x:v>
      </x:c>
      <x:c r="AC209" s="17" t="n">
        <x:f>IF('Control Room'!$B$5="Normal",'Control Room'!$B$7+'Control Room'!$D$7*SQRT(-2*LN(MAX(0.000000000001,AA209/2147483647)))*COS(2*PI()*AB209/2147483647),'Control Room'!$B$8+('Control Room'!$D$8-'Control Room'!$B$8)*AA209/2147483647)</x:f>
        <x:v>1180.3203183295213</x:v>
      </x:c>
      <x:c r="AD209" s="17" t="n">
        <x:f>IF('Control Room'!$B$5="Normal",'Control Room'!$B$7,('Control Room'!$B$8+'Control Room'!$D$8)/2)+'Control Room'!$B$9*(AD208-IF('Control Room'!$B$5="Normal",'Control Room'!$B$7,('Control Room'!$B$8+'Control Room'!$D$8)/2))+SQRT(1-'Control Room'!$B$9^2)*(AC209-IF('Control Room'!$B$5="Normal",'Control Room'!$B$7,('Control Room'!$B$8+'Control Room'!$D$8)/2))</x:f>
        <x:v>1198.517610290679</x:v>
      </x:c>
      <x:c r="AE209" s="17" t="n">
        <x:f>IF(AND($A209&gt;='Control Room'!$A$13,$A209&lt;'Control Room'!$A$13+'Control Room'!$B$13,'Process'!BP2=1),1+('Control Room'!$C$13-1)*EXP(-0.5*(($A209-'Control Room'!$A$13-('Control Room'!$B$13-1)/2)/MAX(0.5,'Control Room'!$B$13/4))^2),1)*IF(AND($A209&gt;='Control Room'!$A$14,$A209&lt;'Control Room'!$A$14+'Control Room'!$B$14,'Process'!BP3=1),1+('Control Room'!$C$14-1)*EXP(-0.5*(($A209-'Control Room'!$A$14-('Control Room'!$B$14-1)/2)/MAX(0.5,'Control Room'!$B$14/4))^2),1)*IF(AND($A209&gt;='Control Room'!$A$15,$A209&lt;'Control Room'!$A$15+'Control Room'!$B$15,'Process'!BP4=1),1+('Control Room'!$C$15-1)*EXP(-0.5*(($A209-'Control Room'!$A$15-('Control Room'!$B$15-1)/2)/MAX(0.5,'Control Room'!$B$15/4))^2),1)*IF(AND($A209&gt;='Control Room'!$A$16,$A209&lt;'Control Room'!$A$16+'Control Room'!$B$16,'Process'!BP5=1),1+('Control Room'!$C$16-1)*EXP(-0.5*(($A209-'Control Room'!$A$16-('Control Room'!$B$16-1)/2)/MAX(0.5,'Control Room'!$B$16/4))^2),1)</x:f>
        <x:v>1</x:v>
      </x:c>
      <x:c r="AF209" s="9" t="n">
        <x:f>MOD(AG208*16807,2147483647)</x:f>
        <x:v>456708452</x:v>
      </x:c>
      <x:c r="AG209" s="9" t="n">
        <x:f>MOD(AF209*16807,2147483647)</x:f>
        <x:v>792398386</x:v>
      </x:c>
      <x:c r="AH209" s="17" t="n">
        <x:f>IF('Control Room'!$B$5="Normal",'Control Room'!$B$7+'Control Room'!$D$7*SQRT(-2*LN(MAX(0.000000000001,AF209/2147483647)))*COS(2*PI()*AG209/2147483647),'Control Room'!$B$8+('Control Room'!$D$8-'Control Room'!$B$8)*AF209/2147483647)</x:f>
        <x:v>892.3308091558503</x:v>
      </x:c>
      <x:c r="AI209" s="17" t="n">
        <x:f>IF('Control Room'!$B$5="Normal",'Control Room'!$B$7,('Control Room'!$B$8+'Control Room'!$D$8)/2)+'Control Room'!$B$9*(AI208-IF('Control Room'!$B$5="Normal",'Control Room'!$B$7,('Control Room'!$B$8+'Control Room'!$D$8)/2))+SQRT(1-'Control Room'!$B$9^2)*(AH209-IF('Control Room'!$B$5="Normal",'Control Room'!$B$7,('Control Room'!$B$8+'Control Room'!$D$8)/2))</x:f>
        <x:v>847.232922203691</x:v>
      </x:c>
      <x:c r="AJ209" s="17" t="n">
        <x:f>IF(AND($A209&gt;='Control Room'!$A$13,$A209&lt;'Control Room'!$A$13+'Control Room'!$B$13,'Process'!BQ2=1),1+('Control Room'!$C$13-1)*EXP(-0.5*(($A209-'Control Room'!$A$13-('Control Room'!$B$13-1)/2)/MAX(0.5,'Control Room'!$B$13/4))^2),1)*IF(AND($A209&gt;='Control Room'!$A$14,$A209&lt;'Control Room'!$A$14+'Control Room'!$B$14,'Process'!BQ3=1),1+('Control Room'!$C$14-1)*EXP(-0.5*(($A209-'Control Room'!$A$14-('Control Room'!$B$14-1)/2)/MAX(0.5,'Control Room'!$B$14/4))^2),1)*IF(AND($A209&gt;='Control Room'!$A$15,$A209&lt;'Control Room'!$A$15+'Control Room'!$B$15,'Process'!BQ4=1),1+('Control Room'!$C$15-1)*EXP(-0.5*(($A209-'Control Room'!$A$15-('Control Room'!$B$15-1)/2)/MAX(0.5,'Control Room'!$B$15/4))^2),1)*IF(AND($A209&gt;='Control Room'!$A$16,$A209&lt;'Control Room'!$A$16+'Control Room'!$B$16,'Process'!BQ5=1),1+('Control Room'!$C$16-1)*EXP(-0.5*(($A209-'Control Room'!$A$16-('Control Room'!$B$16-1)/2)/MAX(0.5,'Control Room'!$B$16/4))^2),1)</x:f>
        <x:v>1</x:v>
      </x:c>
      <x:c r="AK209" s="9" t="n">
        <x:f>MOD(AL208*16807,2147483647)</x:f>
        <x:v>746279822</x:v>
      </x:c>
      <x:c r="AL209" s="9" t="n">
        <x:f>MOD(AK209*16807,2147483647)</x:f>
        <x:v>1420469874</x:v>
      </x:c>
      <x:c r="AM209" s="17" t="n">
        <x:f>IF('Control Room'!$B$5="Normal",'Control Room'!$B$7+'Control Room'!$D$7*SQRT(-2*LN(MAX(0.000000000001,AK209/2147483647)))*COS(2*PI()*AL209/2147483647),'Control Room'!$B$8+('Control Room'!$D$8-'Control Room'!$B$8)*AK209/2147483647)</x:f>
        <x:v>930.9001739850597</x:v>
      </x:c>
      <x:c r="AN209" s="17" t="n">
        <x:f>IF('Control Room'!$B$5="Normal",'Control Room'!$B$7,('Control Room'!$B$8+'Control Room'!$D$8)/2)+'Control Room'!$B$9*(AN208-IF('Control Room'!$B$5="Normal",'Control Room'!$B$7,('Control Room'!$B$8+'Control Room'!$D$8)/2))+SQRT(1-'Control Room'!$B$9^2)*(AM209-IF('Control Room'!$B$5="Normal",'Control Room'!$B$7,('Control Room'!$B$8+'Control Room'!$D$8)/2))</x:f>
        <x:v>1015.2641115406642</x:v>
      </x:c>
      <x:c r="AO209" s="17" t="n">
        <x:f>IF(AND($A209&gt;='Control Room'!$A$13,$A209&lt;'Control Room'!$A$13+'Control Room'!$B$13,'Process'!BR2=1),1+('Control Room'!$C$13-1)*EXP(-0.5*(($A209-'Control Room'!$A$13-('Control Room'!$B$13-1)/2)/MAX(0.5,'Control Room'!$B$13/4))^2),1)*IF(AND($A209&gt;='Control Room'!$A$14,$A209&lt;'Control Room'!$A$14+'Control Room'!$B$14,'Process'!BR3=1),1+('Control Room'!$C$14-1)*EXP(-0.5*(($A209-'Control Room'!$A$14-('Control Room'!$B$14-1)/2)/MAX(0.5,'Control Room'!$B$14/4))^2),1)*IF(AND($A209&gt;='Control Room'!$A$15,$A209&lt;'Control Room'!$A$15+'Control Room'!$B$15,'Process'!BR4=1),1+('Control Room'!$C$15-1)*EXP(-0.5*(($A209-'Control Room'!$A$15-('Control Room'!$B$15-1)/2)/MAX(0.5,'Control Room'!$B$15/4))^2),1)*IF(AND($A209&gt;='Control Room'!$A$16,$A209&lt;'Control Room'!$A$16+'Control Room'!$B$16,'Process'!BR5=1),1+('Control Room'!$C$16-1)*EXP(-0.5*(($A209-'Control Room'!$A$16-('Control Room'!$B$16-1)/2)/MAX(0.5,'Control Room'!$B$16/4))^2),1)</x:f>
        <x:v>1</x:v>
      </x:c>
      <x:c r="AP209" s="9" t="n">
        <x:f>MOD(AQ208*16807,2147483647)</x:f>
        <x:v>1035851192</x:v>
      </x:c>
      <x:c r="AQ209" s="9" t="n">
        <x:f>MOD(AP209*16807,2147483647)</x:f>
        <x:v>2048541362</x:v>
      </x:c>
      <x:c r="AR209" s="17" t="n">
        <x:f>IF('Control Room'!$B$5="Normal",'Control Room'!$B$7+'Control Room'!$D$7*SQRT(-2*LN(MAX(0.000000000001,AP209/2147483647)))*COS(2*PI()*AQ209/2147483647),'Control Room'!$B$8+('Control Room'!$D$8-'Control Room'!$B$8)*AP209/2147483647)</x:f>
        <x:v>1104.1562462871168</x:v>
      </x:c>
      <x:c r="AS209" s="17" t="n">
        <x:f>IF('Control Room'!$B$5="Normal",'Control Room'!$B$7,('Control Room'!$B$8+'Control Room'!$D$8)/2)+'Control Room'!$B$9*(AS208-IF('Control Room'!$B$5="Normal",'Control Room'!$B$7,('Control Room'!$B$8+'Control Room'!$D$8)/2))+SQRT(1-'Control Room'!$B$9^2)*(AR209-IF('Control Room'!$B$5="Normal",'Control Room'!$B$7,('Control Room'!$B$8+'Control Room'!$D$8)/2))</x:f>
        <x:v>1050.3870501023437</x:v>
      </x:c>
      <x:c r="AT209" s="17" t="n">
        <x:f>IF(AND($A209&gt;='Control Room'!$A$13,$A209&lt;'Control Room'!$A$13+'Control Room'!$B$13,'Process'!BS2=1),1+('Control Room'!$C$13-1)*EXP(-0.5*(($A209-'Control Room'!$A$13-('Control Room'!$B$13-1)/2)/MAX(0.5,'Control Room'!$B$13/4))^2),1)*IF(AND($A209&gt;='Control Room'!$A$14,$A209&lt;'Control Room'!$A$14+'Control Room'!$B$14,'Process'!BS3=1),1+('Control Room'!$C$14-1)*EXP(-0.5*(($A209-'Control Room'!$A$14-('Control Room'!$B$14-1)/2)/MAX(0.5,'Control Room'!$B$14/4))^2),1)*IF(AND($A209&gt;='Control Room'!$A$15,$A209&lt;'Control Room'!$A$15+'Control Room'!$B$15,'Process'!BS4=1),1+('Control Room'!$C$15-1)*EXP(-0.5*(($A209-'Control Room'!$A$15-('Control Room'!$B$15-1)/2)/MAX(0.5,'Control Room'!$B$15/4))^2),1)*IF(AND($A209&gt;='Control Room'!$A$16,$A209&lt;'Control Room'!$A$16+'Control Room'!$B$16,'Process'!BS5=1),1+('Control Room'!$C$16-1)*EXP(-0.5*(($A209-'Control Room'!$A$16-('Control Room'!$B$16-1)/2)/MAX(0.5,'Control Room'!$B$16/4))^2),1)</x:f>
        <x:v>1</x:v>
      </x:c>
      <x:c r="AU209" s="9" t="n">
        <x:f>MOD(AV208*16807,2147483647)</x:f>
        <x:v>1325422562</x:v>
      </x:c>
      <x:c r="AV209" s="9" t="n">
        <x:f>MOD(AU209*16807,2147483647)</x:f>
        <x:v>529129203</x:v>
      </x:c>
      <x:c r="AW209" s="17" t="n">
        <x:f>IF('Control Room'!$B$5="Normal",'Control Room'!$B$7+'Control Room'!$D$7*SQRT(-2*LN(MAX(0.000000000001,AU209/2147483647)))*COS(2*PI()*AV209/2147483647),'Control Room'!$B$8+('Control Room'!$D$8-'Control Room'!$B$8)*AU209/2147483647)</x:f>
        <x:v>1002.0025589421269</x:v>
      </x:c>
      <x:c r="AX209" s="17" t="n">
        <x:f>IF('Control Room'!$B$5="Normal",'Control Room'!$B$7,('Control Room'!$B$8+'Control Room'!$D$8)/2)+'Control Room'!$B$9*(AX208-IF('Control Room'!$B$5="Normal",'Control Room'!$B$7,('Control Room'!$B$8+'Control Room'!$D$8)/2))+SQRT(1-'Control Room'!$B$9^2)*(AW209-IF('Control Room'!$B$5="Normal",'Control Room'!$B$7,('Control Room'!$B$8+'Control Room'!$D$8)/2))</x:f>
        <x:v>988.7490421390451</x:v>
      </x:c>
      <x:c r="AY209" s="17" t="n">
        <x:f>IF(AND($A209&gt;='Control Room'!$A$13,$A209&lt;'Control Room'!$A$13+'Control Room'!$B$13,'Process'!BT2=1),1+('Control Room'!$C$13-1)*EXP(-0.5*(($A209-'Control Room'!$A$13-('Control Room'!$B$13-1)/2)/MAX(0.5,'Control Room'!$B$13/4))^2),1)*IF(AND($A209&gt;='Control Room'!$A$14,$A209&lt;'Control Room'!$A$14+'Control Room'!$B$14,'Process'!BT3=1),1+('Control Room'!$C$14-1)*EXP(-0.5*(($A209-'Control Room'!$A$14-('Control Room'!$B$14-1)/2)/MAX(0.5,'Control Room'!$B$14/4))^2),1)*IF(AND($A209&gt;='Control Room'!$A$15,$A209&lt;'Control Room'!$A$15+'Control Room'!$B$15,'Process'!BT4=1),1+('Control Room'!$C$15-1)*EXP(-0.5*(($A209-'Control Room'!$A$15-('Control Room'!$B$15-1)/2)/MAX(0.5,'Control Room'!$B$15/4))^2),1)*IF(AND($A209&gt;='Control Room'!$A$16,$A209&lt;'Control Room'!$A$16+'Control Room'!$B$16,'Process'!BT5=1),1+('Control Room'!$C$16-1)*EXP(-0.5*(($A209-'Control Room'!$A$16-('Control Room'!$B$16-1)/2)/MAX(0.5,'Control Room'!$B$16/4))^2),1)</x:f>
        <x:v>1</x:v>
      </x:c>
      <x:c r="AZ209" s="9" t="n">
        <x:f>MOD(BA208*16807,2147483647)</x:f>
        <x:v>1614993932</x:v>
      </x:c>
      <x:c r="BA209" s="9" t="n">
        <x:f>MOD(AZ209*16807,2147483647)</x:f>
        <x:v>1157200691</x:v>
      </x:c>
      <x:c r="BB209" s="17" t="n">
        <x:f>IF('Control Room'!$B$5="Normal",'Control Room'!$B$7+'Control Room'!$D$7*SQRT(-2*LN(MAX(0.000000000001,AZ209/2147483647)))*COS(2*PI()*BA209/2147483647),'Control Room'!$B$8+('Control Room'!$D$8-'Control Room'!$B$8)*AZ209/2147483647)</x:f>
        <x:v>934.0712201392787</x:v>
      </x:c>
      <x:c r="BC209" s="17" t="n">
        <x:f>IF('Control Room'!$B$5="Normal",'Control Room'!$B$7,('Control Room'!$B$8+'Control Room'!$D$8)/2)+'Control Room'!$B$9*(BC208-IF('Control Room'!$B$5="Normal",'Control Room'!$B$7,('Control Room'!$B$8+'Control Room'!$D$8)/2))+SQRT(1-'Control Room'!$B$9^2)*(BB209-IF('Control Room'!$B$5="Normal",'Control Room'!$B$7,('Control Room'!$B$8+'Control Room'!$D$8)/2))</x:f>
        <x:v>923.5236190590149</x:v>
      </x:c>
      <x:c r="BD209" s="17" t="n">
        <x:f>IF(AND($A209&gt;='Control Room'!$A$13,$A209&lt;'Control Room'!$A$13+'Control Room'!$B$13,'Process'!BU2=1),1+('Control Room'!$C$13-1)*EXP(-0.5*(($A209-'Control Room'!$A$13-('Control Room'!$B$13-1)/2)/MAX(0.5,'Control Room'!$B$13/4))^2),1)*IF(AND($A209&gt;='Control Room'!$A$14,$A209&lt;'Control Room'!$A$14+'Control Room'!$B$14,'Process'!BU3=1),1+('Control Room'!$C$14-1)*EXP(-0.5*(($A209-'Control Room'!$A$14-('Control Room'!$B$14-1)/2)/MAX(0.5,'Control Room'!$B$14/4))^2),1)*IF(AND($A209&gt;='Control Room'!$A$15,$A209&lt;'Control Room'!$A$15+'Control Room'!$B$15,'Process'!BU4=1),1+('Control Room'!$C$15-1)*EXP(-0.5*(($A209-'Control Room'!$A$15-('Control Room'!$B$15-1)/2)/MAX(0.5,'Control Room'!$B$15/4))^2),1)*IF(AND($A209&gt;='Control Room'!$A$16,$A209&lt;'Control Room'!$A$16+'Control Room'!$B$16,'Process'!BU5=1),1+('Control Room'!$C$16-1)*EXP(-0.5*(($A209-'Control Room'!$A$16-('Control Room'!$B$16-1)/2)/MAX(0.5,'Control Room'!$B$16/4))^2),1)</x:f>
        <x:v>1</x:v>
      </x:c>
      <x:c r="BE209" s="9" t="n">
        <x:f>MOD(BF208*16807,2147483647)</x:f>
        <x:v>1904565302</x:v>
      </x:c>
      <x:c r="BF209" s="9" t="n">
        <x:f>MOD(BE209*16807,2147483647)</x:f>
        <x:v>1785272179</x:v>
      </x:c>
      <x:c r="BG209" s="17" t="n">
        <x:f>IF('Control Room'!$B$5="Normal",'Control Room'!$B$7+'Control Room'!$D$7*SQRT(-2*LN(MAX(0.000000000001,BE209/2147483647)))*COS(2*PI()*BF209/2147483647),'Control Room'!$B$8+('Control Room'!$D$8-'Control Room'!$B$8)*BE209/2147483647)</x:f>
        <x:v>1021.5674203516272</x:v>
      </x:c>
      <x:c r="BH209" s="17" t="n">
        <x:f>IF('Control Room'!$B$5="Normal",'Control Room'!$B$7,('Control Room'!$B$8+'Control Room'!$D$8)/2)+'Control Room'!$B$9*(BH208-IF('Control Room'!$B$5="Normal",'Control Room'!$B$7,('Control Room'!$B$8+'Control Room'!$D$8)/2))+SQRT(1-'Control Room'!$B$9^2)*(BG209-IF('Control Room'!$B$5="Normal",'Control Room'!$B$7,('Control Room'!$B$8+'Control Room'!$D$8)/2))</x:f>
        <x:v>960.4361349408235</x:v>
      </x:c>
      <x:c r="BI209" s="17" t="n">
        <x:f>IF(AND($A209&gt;='Control Room'!$A$13,$A209&lt;'Control Room'!$A$13+'Control Room'!$B$13,'Process'!BV2=1),1+('Control Room'!$C$13-1)*EXP(-0.5*(($A209-'Control Room'!$A$13-('Control Room'!$B$13-1)/2)/MAX(0.5,'Control Room'!$B$13/4))^2),1)*IF(AND($A209&gt;='Control Room'!$A$14,$A209&lt;'Control Room'!$A$14+'Control Room'!$B$14,'Process'!BV3=1),1+('Control Room'!$C$14-1)*EXP(-0.5*(($A209-'Control Room'!$A$14-('Control Room'!$B$14-1)/2)/MAX(0.5,'Control Room'!$B$14/4))^2),1)*IF(AND($A209&gt;='Control Room'!$A$15,$A209&lt;'Control Room'!$A$15+'Control Room'!$B$15,'Process'!BV4=1),1+('Control Room'!$C$15-1)*EXP(-0.5*(($A209-'Control Room'!$A$15-('Control Room'!$B$15-1)/2)/MAX(0.5,'Control Room'!$B$15/4))^2),1)*IF(AND($A209&gt;='Control Room'!$A$16,$A209&lt;'Control Room'!$A$16+'Control Room'!$B$16,'Process'!BV5=1),1+('Control Room'!$C$16-1)*EXP(-0.5*(($A209-'Control Room'!$A$16-('Control Room'!$B$16-1)/2)/MAX(0.5,'Control Room'!$B$16/4))^2),1)</x:f>
        <x:v>1</x:v>
      </x:c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Z209" t="str">
        <x:f>IF('Data'!A209="","",TEXT('Data'!A209,"mm-dd"))</x:f>
      </x:c>
    </x:row>
    <x:row r="210" ht="21" customHeight="1">
      <x:c r="A210" s="15" t="n">
        <x:f>'Control Room'!$B$1+208</x:f>
        <x:v>73199</x:v>
      </x:c>
      <x:c r="B210" s="9" t="n">
        <x:f>MOD(C209*16807,2147483647)</x:f>
        <x:v>1043786530</x:v>
      </x:c>
      <x:c r="C210" s="9" t="n">
        <x:f>MOD(B210*16807,2147483647)</x:f>
        <x:v>126297367</x:v>
      </x:c>
      <x:c r="D210" s="17" t="n">
        <x:f>IF('Control Room'!$B$5="Normal",'Control Room'!$B$7+'Control Room'!$D$7*SQRT(-2*LN(MAX(0.000000000001,B210/2147483647)))*COS(2*PI()*C210/2147483647),'Control Room'!$B$8+('Control Room'!$D$8-'Control Room'!$B$8)*B210/2147483647)</x:f>
        <x:v>1100.8106599658802</x:v>
      </x:c>
      <x:c r="E210" s="17" t="n">
        <x:f>IF('Control Room'!$B$5="Normal",'Control Room'!$B$7,('Control Room'!$B$8+'Control Room'!$D$8)/2)+'Control Room'!$B$9*(E209-IF('Control Room'!$B$5="Normal",'Control Room'!$B$7,('Control Room'!$B$8+'Control Room'!$D$8)/2))+SQRT(1-'Control Room'!$B$9^2)*(D210-IF('Control Room'!$B$5="Normal",'Control Room'!$B$7,('Control Room'!$B$8+'Control Room'!$D$8)/2))</x:f>
        <x:v>1053.1475041599067</x:v>
      </x:c>
      <x:c r="F210" s="17" t="n">
        <x:f>IF(AND($A210&gt;='Control Room'!$A$13,$A210&lt;'Control Room'!$A$13+'Control Room'!$B$13,'Process'!BK2=1),1+('Control Room'!$C$13-1)*EXP(-0.5*(($A210-'Control Room'!$A$13-('Control Room'!$B$13-1)/2)/MAX(0.5,'Control Room'!$B$13/4))^2),1)*IF(AND($A210&gt;='Control Room'!$A$14,$A210&lt;'Control Room'!$A$14+'Control Room'!$B$14,'Process'!BK3=1),1+('Control Room'!$C$14-1)*EXP(-0.5*(($A210-'Control Room'!$A$14-('Control Room'!$B$14-1)/2)/MAX(0.5,'Control Room'!$B$14/4))^2),1)*IF(AND($A210&gt;='Control Room'!$A$15,$A210&lt;'Control Room'!$A$15+'Control Room'!$B$15,'Process'!BK4=1),1+('Control Room'!$C$15-1)*EXP(-0.5*(($A210-'Control Room'!$A$15-('Control Room'!$B$15-1)/2)/MAX(0.5,'Control Room'!$B$15/4))^2),1)*IF(AND($A210&gt;='Control Room'!$A$16,$A210&lt;'Control Room'!$A$16+'Control Room'!$B$16,'Process'!BK5=1),1+('Control Room'!$C$16-1)*EXP(-0.5*(($A210-'Control Room'!$A$16-('Control Room'!$B$16-1)/2)/MAX(0.5,'Control Room'!$B$16/4))^2),1)</x:f>
        <x:v>1</x:v>
      </x:c>
      <x:c r="G210" s="9" t="n">
        <x:f>MOD(H209*16807,2147483647)</x:f>
        <x:v>11676694</x:v>
      </x:c>
      <x:c r="H210" s="9" t="n">
        <x:f>MOD(G210*16807,2147483647)</x:f>
        <x:v>829184181</x:v>
      </x:c>
      <x:c r="I210" s="17" t="n">
        <x:f>IF('Control Room'!$B$5="Normal",'Control Room'!$B$7+'Control Room'!$D$7*SQRT(-2*LN(MAX(0.000000000001,G210/2147483647)))*COS(2*PI()*H210/2147483647),'Control Room'!$B$8+('Control Room'!$D$8-'Control Room'!$B$8)*G210/2147483647)</x:f>
        <x:v>780.638417537659</x:v>
      </x:c>
      <x:c r="J210" s="17" t="n">
        <x:f>IF('Control Room'!$B$5="Normal",'Control Room'!$B$7,('Control Room'!$B$8+'Control Room'!$D$8)/2)+'Control Room'!$B$9*(J209-IF('Control Room'!$B$5="Normal",'Control Room'!$B$7,('Control Room'!$B$8+'Control Room'!$D$8)/2))+SQRT(1-'Control Room'!$B$9^2)*(I210-IF('Control Room'!$B$5="Normal",'Control Room'!$B$7,('Control Room'!$B$8+'Control Room'!$D$8)/2))</x:f>
        <x:v>868.6010757747001</x:v>
      </x:c>
      <x:c r="K210" s="17" t="n">
        <x:f>IF(AND($A210&gt;='Control Room'!$A$13,$A210&lt;'Control Room'!$A$13+'Control Room'!$B$13,'Process'!BL2=1),1+('Control Room'!$C$13-1)*EXP(-0.5*(($A210-'Control Room'!$A$13-('Control Room'!$B$13-1)/2)/MAX(0.5,'Control Room'!$B$13/4))^2),1)*IF(AND($A210&gt;='Control Room'!$A$14,$A210&lt;'Control Room'!$A$14+'Control Room'!$B$14,'Process'!BL3=1),1+('Control Room'!$C$14-1)*EXP(-0.5*(($A210-'Control Room'!$A$14-('Control Room'!$B$14-1)/2)/MAX(0.5,'Control Room'!$B$14/4))^2),1)*IF(AND($A210&gt;='Control Room'!$A$15,$A210&lt;'Control Room'!$A$15+'Control Room'!$B$15,'Process'!BL4=1),1+('Control Room'!$C$15-1)*EXP(-0.5*(($A210-'Control Room'!$A$15-('Control Room'!$B$15-1)/2)/MAX(0.5,'Control Room'!$B$15/4))^2),1)*IF(AND($A210&gt;='Control Room'!$A$16,$A210&lt;'Control Room'!$A$16+'Control Room'!$B$16,'Process'!BL5=1),1+('Control Room'!$C$16-1)*EXP(-0.5*(($A210-'Control Room'!$A$16-('Control Room'!$B$16-1)/2)/MAX(0.5,'Control Room'!$B$16/4))^2),1)</x:f>
        <x:v>1</x:v>
      </x:c>
      <x:c r="L210" s="9" t="n">
        <x:f>MOD(M209*16807,2147483647)</x:f>
        <x:v>1127050505</x:v>
      </x:c>
      <x:c r="M210" s="9" t="n">
        <x:f>MOD(L210*16807,2147483647)</x:f>
        <x:v>1532070995</x:v>
      </x:c>
      <x:c r="N210" s="17" t="n">
        <x:f>IF('Control Room'!$B$5="Normal",'Control Room'!$B$7+'Control Room'!$D$7*SQRT(-2*LN(MAX(0.000000000001,L210/2147483647)))*COS(2*PI()*M210/2147483647),'Control Room'!$B$8+('Control Room'!$D$8-'Control Room'!$B$8)*L210/2147483647)</x:f>
        <x:v>976.7214847262904</x:v>
      </x:c>
      <x:c r="O210" s="17" t="n">
        <x:f>IF('Control Room'!$B$5="Normal",'Control Room'!$B$7,('Control Room'!$B$8+'Control Room'!$D$8)/2)+'Control Room'!$B$9*(O209-IF('Control Room'!$B$5="Normal",'Control Room'!$B$7,('Control Room'!$B$8+'Control Room'!$D$8)/2))+SQRT(1-'Control Room'!$B$9^2)*(N210-IF('Control Room'!$B$5="Normal",'Control Room'!$B$7,('Control Room'!$B$8+'Control Room'!$D$8)/2))</x:f>
        <x:v>1117.7565440866988</x:v>
      </x:c>
      <x:c r="P210" s="17" t="n">
        <x:f>IF(AND($A210&gt;='Control Room'!$A$13,$A210&lt;'Control Room'!$A$13+'Control Room'!$B$13,'Process'!BM2=1),1+('Control Room'!$C$13-1)*EXP(-0.5*(($A210-'Control Room'!$A$13-('Control Room'!$B$13-1)/2)/MAX(0.5,'Control Room'!$B$13/4))^2),1)*IF(AND($A210&gt;='Control Room'!$A$14,$A210&lt;'Control Room'!$A$14+'Control Room'!$B$14,'Process'!BM3=1),1+('Control Room'!$C$14-1)*EXP(-0.5*(($A210-'Control Room'!$A$14-('Control Room'!$B$14-1)/2)/MAX(0.5,'Control Room'!$B$14/4))^2),1)*IF(AND($A210&gt;='Control Room'!$A$15,$A210&lt;'Control Room'!$A$15+'Control Room'!$B$15,'Process'!BM4=1),1+('Control Room'!$C$15-1)*EXP(-0.5*(($A210-'Control Room'!$A$15-('Control Room'!$B$15-1)/2)/MAX(0.5,'Control Room'!$B$15/4))^2),1)*IF(AND($A210&gt;='Control Room'!$A$16,$A210&lt;'Control Room'!$A$16+'Control Room'!$B$16,'Process'!BM5=1),1+('Control Room'!$C$16-1)*EXP(-0.5*(($A210-'Control Room'!$A$16-('Control Room'!$B$16-1)/2)/MAX(0.5,'Control Room'!$B$16/4))^2),1)</x:f>
        <x:v>1</x:v>
      </x:c>
      <x:c r="Q210" s="9" t="n">
        <x:f>MOD(R209*16807,2147483647)</x:f>
        <x:v>94940669</x:v>
      </x:c>
      <x:c r="R210" s="9" t="n">
        <x:f>MOD(Q210*16807,2147483647)</x:f>
        <x:v>87474162</x:v>
      </x:c>
      <x:c r="S210" s="17" t="n">
        <x:f>IF('Control Room'!$B$5="Normal",'Control Room'!$B$7+'Control Room'!$D$7*SQRT(-2*LN(MAX(0.000000000001,Q210/2147483647)))*COS(2*PI()*R210/2147483647),'Control Room'!$B$8+('Control Room'!$D$8-'Control Room'!$B$8)*Q210/2147483647)</x:f>
        <x:v>1217.4550353430004</x:v>
      </x:c>
      <x:c r="T210" s="17" t="n">
        <x:f>IF('Control Room'!$B$5="Normal",'Control Room'!$B$7,('Control Room'!$B$8+'Control Room'!$D$8)/2)+'Control Room'!$B$9*(T209-IF('Control Room'!$B$5="Normal",'Control Room'!$B$7,('Control Room'!$B$8+'Control Room'!$D$8)/2))+SQRT(1-'Control Room'!$B$9^2)*(S210-IF('Control Room'!$B$5="Normal",'Control Room'!$B$7,('Control Room'!$B$8+'Control Room'!$D$8)/2))</x:f>
        <x:v>1063.9810010878355</x:v>
      </x:c>
      <x:c r="U210" s="17" t="n">
        <x:f>IF(AND($A210&gt;='Control Room'!$A$13,$A210&lt;'Control Room'!$A$13+'Control Room'!$B$13,'Process'!BN2=1),1+('Control Room'!$C$13-1)*EXP(-0.5*(($A210-'Control Room'!$A$13-('Control Room'!$B$13-1)/2)/MAX(0.5,'Control Room'!$B$13/4))^2),1)*IF(AND($A210&gt;='Control Room'!$A$14,$A210&lt;'Control Room'!$A$14+'Control Room'!$B$14,'Process'!BN3=1),1+('Control Room'!$C$14-1)*EXP(-0.5*(($A210-'Control Room'!$A$14-('Control Room'!$B$14-1)/2)/MAX(0.5,'Control Room'!$B$14/4))^2),1)*IF(AND($A210&gt;='Control Room'!$A$15,$A210&lt;'Control Room'!$A$15+'Control Room'!$B$15,'Process'!BN4=1),1+('Control Room'!$C$15-1)*EXP(-0.5*(($A210-'Control Room'!$A$15-('Control Room'!$B$15-1)/2)/MAX(0.5,'Control Room'!$B$15/4))^2),1)*IF(AND($A210&gt;='Control Room'!$A$16,$A210&lt;'Control Room'!$A$16+'Control Room'!$B$16,'Process'!BN5=1),1+('Control Room'!$C$16-1)*EXP(-0.5*(($A210-'Control Room'!$A$16-('Control Room'!$B$16-1)/2)/MAX(0.5,'Control Room'!$B$16/4))^2),1)</x:f>
        <x:v>1</x:v>
      </x:c>
      <x:c r="V210" s="9" t="n">
        <x:f>MOD(W209*16807,2147483647)</x:f>
        <x:v>1210314480</x:v>
      </x:c>
      <x:c r="W210" s="9" t="n">
        <x:f>MOD(V210*16807,2147483647)</x:f>
        <x:v>790360976</x:v>
      </x:c>
      <x:c r="X210" s="17" t="n">
        <x:f>IF('Control Room'!$B$5="Normal",'Control Room'!$B$7+'Control Room'!$D$7*SQRT(-2*LN(MAX(0.000000000001,V210/2147483647)))*COS(2*PI()*W210/2147483647),'Control Room'!$B$8+('Control Room'!$D$8-'Control Room'!$B$8)*V210/2147483647)</x:f>
        <x:v>934.8924805723601</x:v>
      </x:c>
      <x:c r="Y210" s="17" t="n">
        <x:f>IF('Control Room'!$B$5="Normal",'Control Room'!$B$7,('Control Room'!$B$8+'Control Room'!$D$8)/2)+'Control Room'!$B$9*(Y209-IF('Control Room'!$B$5="Normal",'Control Room'!$B$7,('Control Room'!$B$8+'Control Room'!$D$8)/2))+SQRT(1-'Control Room'!$B$9^2)*(X210-IF('Control Room'!$B$5="Normal",'Control Room'!$B$7,('Control Room'!$B$8+'Control Room'!$D$8)/2))</x:f>
        <x:v>826.6920173034011</x:v>
      </x:c>
      <x:c r="Z210" s="17" t="n">
        <x:f>IF(AND($A210&gt;='Control Room'!$A$13,$A210&lt;'Control Room'!$A$13+'Control Room'!$B$13,'Process'!BO2=1),1+('Control Room'!$C$13-1)*EXP(-0.5*(($A210-'Control Room'!$A$13-('Control Room'!$B$13-1)/2)/MAX(0.5,'Control Room'!$B$13/4))^2),1)*IF(AND($A210&gt;='Control Room'!$A$14,$A210&lt;'Control Room'!$A$14+'Control Room'!$B$14,'Process'!BO3=1),1+('Control Room'!$C$14-1)*EXP(-0.5*(($A210-'Control Room'!$A$14-('Control Room'!$B$14-1)/2)/MAX(0.5,'Control Room'!$B$14/4))^2),1)*IF(AND($A210&gt;='Control Room'!$A$15,$A210&lt;'Control Room'!$A$15+'Control Room'!$B$15,'Process'!BO4=1),1+('Control Room'!$C$15-1)*EXP(-0.5*(($A210-'Control Room'!$A$15-('Control Room'!$B$15-1)/2)/MAX(0.5,'Control Room'!$B$15/4))^2),1)*IF(AND($A210&gt;='Control Room'!$A$16,$A210&lt;'Control Room'!$A$16+'Control Room'!$B$16,'Process'!BO5=1),1+('Control Room'!$C$16-1)*EXP(-0.5*(($A210-'Control Room'!$A$16-('Control Room'!$B$16-1)/2)/MAX(0.5,'Control Room'!$B$16/4))^2),1)</x:f>
        <x:v>1</x:v>
      </x:c>
      <x:c r="AA210" s="9" t="n">
        <x:f>MOD(AB209*16807,2147483647)</x:f>
        <x:v>178204644</x:v>
      </x:c>
      <x:c r="AB210" s="9" t="n">
        <x:f>MOD(AA210*16807,2147483647)</x:f>
        <x:v>1493247790</x:v>
      </x:c>
      <x:c r="AC210" s="17" t="n">
        <x:f>IF('Control Room'!$B$5="Normal",'Control Room'!$B$7+'Control Room'!$D$7*SQRT(-2*LN(MAX(0.000000000001,AA210/2147483647)))*COS(2*PI()*AB210/2147483647),'Control Room'!$B$8+('Control Room'!$D$8-'Control Room'!$B$8)*AA210/2147483647)</x:f>
        <x:v>932.3917250046263</x:v>
      </x:c>
      <x:c r="AD210" s="17" t="n">
        <x:f>IF('Control Room'!$B$5="Normal",'Control Room'!$B$7,('Control Room'!$B$8+'Control Room'!$D$8)/2)+'Control Room'!$B$9*(AD209-IF('Control Room'!$B$5="Normal",'Control Room'!$B$7,('Control Room'!$B$8+'Control Room'!$D$8)/2))+SQRT(1-'Control Room'!$B$9^2)*(AC210-IF('Control Room'!$B$5="Normal",'Control Room'!$B$7,('Control Room'!$B$8+'Control Room'!$D$8)/2))</x:f>
        <x:v>1112.5358625654212</x:v>
      </x:c>
      <x:c r="AE210" s="17" t="n">
        <x:f>IF(AND($A210&gt;='Control Room'!$A$13,$A210&lt;'Control Room'!$A$13+'Control Room'!$B$13,'Process'!BP2=1),1+('Control Room'!$C$13-1)*EXP(-0.5*(($A210-'Control Room'!$A$13-('Control Room'!$B$13-1)/2)/MAX(0.5,'Control Room'!$B$13/4))^2),1)*IF(AND($A210&gt;='Control Room'!$A$14,$A210&lt;'Control Room'!$A$14+'Control Room'!$B$14,'Process'!BP3=1),1+('Control Room'!$C$14-1)*EXP(-0.5*(($A210-'Control Room'!$A$14-('Control Room'!$B$14-1)/2)/MAX(0.5,'Control Room'!$B$14/4))^2),1)*IF(AND($A210&gt;='Control Room'!$A$15,$A210&lt;'Control Room'!$A$15+'Control Room'!$B$15,'Process'!BP4=1),1+('Control Room'!$C$15-1)*EXP(-0.5*(($A210-'Control Room'!$A$15-('Control Room'!$B$15-1)/2)/MAX(0.5,'Control Room'!$B$15/4))^2),1)*IF(AND($A210&gt;='Control Room'!$A$16,$A210&lt;'Control Room'!$A$16+'Control Room'!$B$16,'Process'!BP5=1),1+('Control Room'!$C$16-1)*EXP(-0.5*(($A210-'Control Room'!$A$16-('Control Room'!$B$16-1)/2)/MAX(0.5,'Control Room'!$B$16/4))^2),1)</x:f>
        <x:v>1</x:v>
      </x:c>
      <x:c r="AF210" s="9" t="n">
        <x:f>MOD(AG209*16807,2147483647)</x:f>
        <x:v>1293578455</x:v>
      </x:c>
      <x:c r="AG210" s="9" t="n">
        <x:f>MOD(AF210*16807,2147483647)</x:f>
        <x:v>48650957</x:v>
      </x:c>
      <x:c r="AH210" s="17" t="n">
        <x:f>IF('Control Room'!$B$5="Normal",'Control Room'!$B$7+'Control Room'!$D$7*SQRT(-2*LN(MAX(0.000000000001,AF210/2147483647)))*COS(2*PI()*AG210/2147483647),'Control Room'!$B$8+('Control Room'!$D$8-'Control Room'!$B$8)*AF210/2147483647)</x:f>
        <x:v>1089.7009789503086</x:v>
      </x:c>
      <x:c r="AI210" s="17" t="n">
        <x:f>IF('Control Room'!$B$5="Normal",'Control Room'!$B$7,('Control Room'!$B$8+'Control Room'!$D$8)/2)+'Control Room'!$B$9*(AI209-IF('Control Room'!$B$5="Normal",'Control Room'!$B$7,('Control Room'!$B$8+'Control Room'!$D$8)/2))+SQRT(1-'Control Room'!$B$9^2)*(AH210-IF('Control Room'!$B$5="Normal",'Control Room'!$B$7,('Control Room'!$B$8+'Control Room'!$D$8)/2))</x:f>
        <x:v>936.9747143215445</x:v>
      </x:c>
      <x:c r="AJ210" s="17" t="n">
        <x:f>IF(AND($A210&gt;='Control Room'!$A$13,$A210&lt;'Control Room'!$A$13+'Control Room'!$B$13,'Process'!BQ2=1),1+('Control Room'!$C$13-1)*EXP(-0.5*(($A210-'Control Room'!$A$13-('Control Room'!$B$13-1)/2)/MAX(0.5,'Control Room'!$B$13/4))^2),1)*IF(AND($A210&gt;='Control Room'!$A$14,$A210&lt;'Control Room'!$A$14+'Control Room'!$B$14,'Process'!BQ3=1),1+('Control Room'!$C$14-1)*EXP(-0.5*(($A210-'Control Room'!$A$14-('Control Room'!$B$14-1)/2)/MAX(0.5,'Control Room'!$B$14/4))^2),1)*IF(AND($A210&gt;='Control Room'!$A$15,$A210&lt;'Control Room'!$A$15+'Control Room'!$B$15,'Process'!BQ4=1),1+('Control Room'!$C$15-1)*EXP(-0.5*(($A210-'Control Room'!$A$15-('Control Room'!$B$15-1)/2)/MAX(0.5,'Control Room'!$B$15/4))^2),1)*IF(AND($A210&gt;='Control Room'!$A$16,$A210&lt;'Control Room'!$A$16+'Control Room'!$B$16,'Process'!BQ5=1),1+('Control Room'!$C$16-1)*EXP(-0.5*(($A210-'Control Room'!$A$16-('Control Room'!$B$16-1)/2)/MAX(0.5,'Control Room'!$B$16/4))^2),1)</x:f>
        <x:v>1</x:v>
      </x:c>
      <x:c r="AK210" s="9" t="n">
        <x:f>MOD(AL209*16807,2147483647)</x:f>
        <x:v>261468619</x:v>
      </x:c>
      <x:c r="AL210" s="9" t="n">
        <x:f>MOD(AK210*16807,2147483647)</x:f>
        <x:v>751537771</x:v>
      </x:c>
      <x:c r="AM210" s="17" t="n">
        <x:f>IF('Control Room'!$B$5="Normal",'Control Room'!$B$7+'Control Room'!$D$7*SQRT(-2*LN(MAX(0.000000000001,AK210/2147483647)))*COS(2*PI()*AL210/2147483647),'Control Room'!$B$8+('Control Room'!$D$8-'Control Room'!$B$8)*AK210/2147483647)</x:f>
        <x:v>891.4735111964401</x:v>
      </x:c>
      <x:c r="AN210" s="17" t="n">
        <x:f>IF('Control Room'!$B$5="Normal",'Control Room'!$B$7,('Control Room'!$B$8+'Control Room'!$D$8)/2)+'Control Room'!$B$9*(AN209-IF('Control Room'!$B$5="Normal",'Control Room'!$B$7,('Control Room'!$B$8+'Control Room'!$D$8)/2))+SQRT(1-'Control Room'!$B$9^2)*(AM210-IF('Control Room'!$B$5="Normal",'Control Room'!$B$7,('Control Room'!$B$8+'Control Room'!$D$8)/2))</x:f>
        <x:v>943.9923535944198</x:v>
      </x:c>
      <x:c r="AO210" s="17" t="n">
        <x:f>IF(AND($A210&gt;='Control Room'!$A$13,$A210&lt;'Control Room'!$A$13+'Control Room'!$B$13,'Process'!BR2=1),1+('Control Room'!$C$13-1)*EXP(-0.5*(($A210-'Control Room'!$A$13-('Control Room'!$B$13-1)/2)/MAX(0.5,'Control Room'!$B$13/4))^2),1)*IF(AND($A210&gt;='Control Room'!$A$14,$A210&lt;'Control Room'!$A$14+'Control Room'!$B$14,'Process'!BR3=1),1+('Control Room'!$C$14-1)*EXP(-0.5*(($A210-'Control Room'!$A$14-('Control Room'!$B$14-1)/2)/MAX(0.5,'Control Room'!$B$14/4))^2),1)*IF(AND($A210&gt;='Control Room'!$A$15,$A210&lt;'Control Room'!$A$15+'Control Room'!$B$15,'Process'!BR4=1),1+('Control Room'!$C$15-1)*EXP(-0.5*(($A210-'Control Room'!$A$15-('Control Room'!$B$15-1)/2)/MAX(0.5,'Control Room'!$B$15/4))^2),1)*IF(AND($A210&gt;='Control Room'!$A$16,$A210&lt;'Control Room'!$A$16+'Control Room'!$B$16,'Process'!BR5=1),1+('Control Room'!$C$16-1)*EXP(-0.5*(($A210-'Control Room'!$A$16-('Control Room'!$B$16-1)/2)/MAX(0.5,'Control Room'!$B$16/4))^2),1)</x:f>
        <x:v>1</x:v>
      </x:c>
      <x:c r="AP210" s="9" t="n">
        <x:f>MOD(AQ209*16807,2147483647)</x:f>
        <x:v>1376842430</x:v>
      </x:c>
      <x:c r="AQ210" s="9" t="n">
        <x:f>MOD(AP210*16807,2147483647)</x:f>
        <x:v>1454424585</x:v>
      </x:c>
      <x:c r="AR210" s="17" t="n">
        <x:f>IF('Control Room'!$B$5="Normal",'Control Room'!$B$7+'Control Room'!$D$7*SQRT(-2*LN(MAX(0.000000000001,AP210/2147483647)))*COS(2*PI()*AQ210/2147483647),'Control Room'!$B$8+('Control Room'!$D$8-'Control Room'!$B$8)*AP210/2147483647)</x:f>
        <x:v>962.5569649271961</x:v>
      </x:c>
      <x:c r="AS210" s="17" t="n">
        <x:f>IF('Control Room'!$B$5="Normal",'Control Room'!$B$7,('Control Room'!$B$8+'Control Room'!$D$8)/2)+'Control Room'!$B$9*(AS209-IF('Control Room'!$B$5="Normal",'Control Room'!$B$7,('Control Room'!$B$8+'Control Room'!$D$8)/2))+SQRT(1-'Control Room'!$B$9^2)*(AR210-IF('Control Room'!$B$5="Normal",'Control Room'!$B$7,('Control Room'!$B$8+'Control Room'!$D$8)/2))</x:f>
        <x:v>1015.8708147935344</x:v>
      </x:c>
      <x:c r="AT210" s="17" t="n">
        <x:f>IF(AND($A210&gt;='Control Room'!$A$13,$A210&lt;'Control Room'!$A$13+'Control Room'!$B$13,'Process'!BS2=1),1+('Control Room'!$C$13-1)*EXP(-0.5*(($A210-'Control Room'!$A$13-('Control Room'!$B$13-1)/2)/MAX(0.5,'Control Room'!$B$13/4))^2),1)*IF(AND($A210&gt;='Control Room'!$A$14,$A210&lt;'Control Room'!$A$14+'Control Room'!$B$14,'Process'!BS3=1),1+('Control Room'!$C$14-1)*EXP(-0.5*(($A210-'Control Room'!$A$14-('Control Room'!$B$14-1)/2)/MAX(0.5,'Control Room'!$B$14/4))^2),1)*IF(AND($A210&gt;='Control Room'!$A$15,$A210&lt;'Control Room'!$A$15+'Control Room'!$B$15,'Process'!BS4=1),1+('Control Room'!$C$15-1)*EXP(-0.5*(($A210-'Control Room'!$A$15-('Control Room'!$B$15-1)/2)/MAX(0.5,'Control Room'!$B$15/4))^2),1)*IF(AND($A210&gt;='Control Room'!$A$16,$A210&lt;'Control Room'!$A$16+'Control Room'!$B$16,'Process'!BS5=1),1+('Control Room'!$C$16-1)*EXP(-0.5*(($A210-'Control Room'!$A$16-('Control Room'!$B$16-1)/2)/MAX(0.5,'Control Room'!$B$16/4))^2),1)</x:f>
        <x:v>1</x:v>
      </x:c>
      <x:c r="AU210" s="9" t="n">
        <x:f>MOD(AV209*16807,2147483647)</x:f>
        <x:v>344732594</x:v>
      </x:c>
      <x:c r="AV210" s="9" t="n">
        <x:f>MOD(AU210*16807,2147483647)</x:f>
        <x:v>9827752</x:v>
      </x:c>
      <x:c r="AW210" s="17" t="n">
        <x:f>IF('Control Room'!$B$5="Normal",'Control Room'!$B$7+'Control Room'!$D$7*SQRT(-2*LN(MAX(0.000000000001,AU210/2147483647)))*COS(2*PI()*AV210/2147483647),'Control Room'!$B$8+('Control Room'!$D$8-'Control Room'!$B$8)*AU210/2147483647)</x:f>
        <x:v>1172.0752434121341</x:v>
      </x:c>
      <x:c r="AX210" s="17" t="n">
        <x:f>IF('Control Room'!$B$5="Normal",'Control Room'!$B$7,('Control Room'!$B$8+'Control Room'!$D$8)/2)+'Control Room'!$B$9*(AX209-IF('Control Room'!$B$5="Normal",'Control Room'!$B$7,('Control Room'!$B$8+'Control Room'!$D$8)/2))+SQRT(1-'Control Room'!$B$9^2)*(AW210-IF('Control Room'!$B$5="Normal",'Control Room'!$B$7,('Control Room'!$B$8+'Control Room'!$D$8)/2))</x:f>
        <x:v>1098.9054150427983</x:v>
      </x:c>
      <x:c r="AY210" s="17" t="n">
        <x:f>IF(AND($A210&gt;='Control Room'!$A$13,$A210&lt;'Control Room'!$A$13+'Control Room'!$B$13,'Process'!BT2=1),1+('Control Room'!$C$13-1)*EXP(-0.5*(($A210-'Control Room'!$A$13-('Control Room'!$B$13-1)/2)/MAX(0.5,'Control Room'!$B$13/4))^2),1)*IF(AND($A210&gt;='Control Room'!$A$14,$A210&lt;'Control Room'!$A$14+'Control Room'!$B$14,'Process'!BT3=1),1+('Control Room'!$C$14-1)*EXP(-0.5*(($A210-'Control Room'!$A$14-('Control Room'!$B$14-1)/2)/MAX(0.5,'Control Room'!$B$14/4))^2),1)*IF(AND($A210&gt;='Control Room'!$A$15,$A210&lt;'Control Room'!$A$15+'Control Room'!$B$15,'Process'!BT4=1),1+('Control Room'!$C$15-1)*EXP(-0.5*(($A210-'Control Room'!$A$15-('Control Room'!$B$15-1)/2)/MAX(0.5,'Control Room'!$B$15/4))^2),1)*IF(AND($A210&gt;='Control Room'!$A$16,$A210&lt;'Control Room'!$A$16+'Control Room'!$B$16,'Process'!BT5=1),1+('Control Room'!$C$16-1)*EXP(-0.5*(($A210-'Control Room'!$A$16-('Control Room'!$B$16-1)/2)/MAX(0.5,'Control Room'!$B$16/4))^2),1)</x:f>
        <x:v>1</x:v>
      </x:c>
      <x:c r="AZ210" s="9" t="n">
        <x:f>MOD(BA209*16807,2147483647)</x:f>
        <x:v>1460106405</x:v>
      </x:c>
      <x:c r="BA210" s="9" t="n">
        <x:f>MOD(AZ210*16807,2147483647)</x:f>
        <x:v>712714566</x:v>
      </x:c>
      <x:c r="BB210" s="17" t="n">
        <x:f>IF('Control Room'!$B$5="Normal",'Control Room'!$B$7+'Control Room'!$D$7*SQRT(-2*LN(MAX(0.000000000001,AZ210/2147483647)))*COS(2*PI()*BA210/2147483647),'Control Room'!$B$8+('Control Room'!$D$8-'Control Room'!$B$8)*AZ210/2147483647)</x:f>
        <x:v>961.0975722210851</x:v>
      </x:c>
      <x:c r="BC210" s="17" t="n">
        <x:f>IF('Control Room'!$B$5="Normal",'Control Room'!$B$7,('Control Room'!$B$8+'Control Room'!$D$8)/2)+'Control Room'!$B$9*(BC209-IF('Control Room'!$B$5="Normal",'Control Room'!$B$7,('Control Room'!$B$8+'Control Room'!$D$8)/2))+SQRT(1-'Control Room'!$B$9^2)*(BB210-IF('Control Room'!$B$5="Normal",'Control Room'!$B$7,('Control Room'!$B$8+'Control Room'!$D$8)/2))</x:f>
        <x:v>916.0040805215383</x:v>
      </x:c>
      <x:c r="BD210" s="17" t="n">
        <x:f>IF(AND($A210&gt;='Control Room'!$A$13,$A210&lt;'Control Room'!$A$13+'Control Room'!$B$13,'Process'!BU2=1),1+('Control Room'!$C$13-1)*EXP(-0.5*(($A210-'Control Room'!$A$13-('Control Room'!$B$13-1)/2)/MAX(0.5,'Control Room'!$B$13/4))^2),1)*IF(AND($A210&gt;='Control Room'!$A$14,$A210&lt;'Control Room'!$A$14+'Control Room'!$B$14,'Process'!BU3=1),1+('Control Room'!$C$14-1)*EXP(-0.5*(($A210-'Control Room'!$A$14-('Control Room'!$B$14-1)/2)/MAX(0.5,'Control Room'!$B$14/4))^2),1)*IF(AND($A210&gt;='Control Room'!$A$15,$A210&lt;'Control Room'!$A$15+'Control Room'!$B$15,'Process'!BU4=1),1+('Control Room'!$C$15-1)*EXP(-0.5*(($A210-'Control Room'!$A$15-('Control Room'!$B$15-1)/2)/MAX(0.5,'Control Room'!$B$15/4))^2),1)*IF(AND($A210&gt;='Control Room'!$A$16,$A210&lt;'Control Room'!$A$16+'Control Room'!$B$16,'Process'!BU5=1),1+('Control Room'!$C$16-1)*EXP(-0.5*(($A210-'Control Room'!$A$16-('Control Room'!$B$16-1)/2)/MAX(0.5,'Control Room'!$B$16/4))^2),1)</x:f>
        <x:v>1</x:v>
      </x:c>
      <x:c r="BE210" s="9" t="n">
        <x:f>MOD(BF209*16807,2147483647)</x:f>
        <x:v>427996569</x:v>
      </x:c>
      <x:c r="BF210" s="9" t="n">
        <x:f>MOD(BE210*16807,2147483647)</x:f>
        <x:v>1415601380</x:v>
      </x:c>
      <x:c r="BG210" s="17" t="n">
        <x:f>IF('Control Room'!$B$5="Normal",'Control Room'!$B$7+'Control Room'!$D$7*SQRT(-2*LN(MAX(0.000000000001,BE210/2147483647)))*COS(2*PI()*BF210/2147483647),'Control Room'!$B$8+('Control Room'!$D$8-'Control Room'!$B$8)*BE210/2147483647)</x:f>
        <x:v>912.692660402736</x:v>
      </x:c>
      <x:c r="BH210" s="17" t="n">
        <x:f>IF('Control Room'!$B$5="Normal",'Control Room'!$B$7,('Control Room'!$B$8+'Control Room'!$D$8)/2)+'Control Room'!$B$9*(BH209-IF('Control Room'!$B$5="Normal",'Control Room'!$B$7,('Control Room'!$B$8+'Control Room'!$D$8)/2))+SQRT(1-'Control Room'!$B$9^2)*(BG210-IF('Control Room'!$B$5="Normal",'Control Room'!$B$7,('Control Room'!$B$8+'Control Room'!$D$8)/2))</x:f>
        <x:v>914.5050407219446</x:v>
      </x:c>
      <x:c r="BI210" s="17" t="n">
        <x:f>IF(AND($A210&gt;='Control Room'!$A$13,$A210&lt;'Control Room'!$A$13+'Control Room'!$B$13,'Process'!BV2=1),1+('Control Room'!$C$13-1)*EXP(-0.5*(($A210-'Control Room'!$A$13-('Control Room'!$B$13-1)/2)/MAX(0.5,'Control Room'!$B$13/4))^2),1)*IF(AND($A210&gt;='Control Room'!$A$14,$A210&lt;'Control Room'!$A$14+'Control Room'!$B$14,'Process'!BV3=1),1+('Control Room'!$C$14-1)*EXP(-0.5*(($A210-'Control Room'!$A$14-('Control Room'!$B$14-1)/2)/MAX(0.5,'Control Room'!$B$14/4))^2),1)*IF(AND($A210&gt;='Control Room'!$A$15,$A210&lt;'Control Room'!$A$15+'Control Room'!$B$15,'Process'!BV4=1),1+('Control Room'!$C$15-1)*EXP(-0.5*(($A210-'Control Room'!$A$15-('Control Room'!$B$15-1)/2)/MAX(0.5,'Control Room'!$B$15/4))^2),1)*IF(AND($A210&gt;='Control Room'!$A$16,$A210&lt;'Control Room'!$A$16+'Control Room'!$B$16,'Process'!BV5=1),1+('Control Room'!$C$16-1)*EXP(-0.5*(($A210-'Control Room'!$A$16-('Control Room'!$B$16-1)/2)/MAX(0.5,'Control Room'!$B$16/4))^2),1)</x:f>
        <x:v>1</x:v>
      </x:c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Z210" t="str">
        <x:f>IF('Data'!A210="","",TEXT('Data'!A210,"mm-dd"))</x:f>
      </x:c>
    </x:row>
    <x:row r="211" ht="21" customHeight="1">
      <x:c r="A211" s="15" t="n">
        <x:f>'Control Room'!$B$1+209</x:f>
        <x:v>73200</x:v>
      </x:c>
      <x:c r="B211" s="9" t="n">
        <x:f>MOD(C210*16807,2147483647)</x:f>
        <x:v>966003933</x:v>
      </x:c>
      <x:c r="C211" s="9" t="n">
        <x:f>MOD(B211*16807,2147483647)</x:f>
        <x:v>651730611</x:v>
      </x:c>
      <x:c r="D211" s="17" t="n">
        <x:f>IF('Control Room'!$B$5="Normal",'Control Room'!$B$7+'Control Room'!$D$7*SQRT(-2*LN(MAX(0.000000000001,B211/2147483647)))*COS(2*PI()*C211/2147483647),'Control Room'!$B$8+('Control Room'!$D$8-'Control Room'!$B$8)*B211/2147483647)</x:f>
        <x:v>962.4844385359816</x:v>
      </x:c>
      <x:c r="E211" s="17" t="n">
        <x:f>IF('Control Room'!$B$5="Normal",'Control Room'!$B$7,('Control Room'!$B$8+'Control Room'!$D$8)/2)+'Control Room'!$B$9*(E210-IF('Control Room'!$B$5="Normal",'Control Room'!$B$7,('Control Room'!$B$8+'Control Room'!$D$8)/2))+SQRT(1-'Control Room'!$B$9^2)*(D211-IF('Control Room'!$B$5="Normal",'Control Room'!$B$7,('Control Room'!$B$8+'Control Room'!$D$8)/2))</x:f>
        <x:v>1017.9785834285954</x:v>
      </x:c>
      <x:c r="F211" s="17" t="n">
        <x:f>IF(AND($A211&gt;='Control Room'!$A$13,$A211&lt;'Control Room'!$A$13+'Control Room'!$B$13,'Process'!BK2=1),1+('Control Room'!$C$13-1)*EXP(-0.5*(($A211-'Control Room'!$A$13-('Control Room'!$B$13-1)/2)/MAX(0.5,'Control Room'!$B$13/4))^2),1)*IF(AND($A211&gt;='Control Room'!$A$14,$A211&lt;'Control Room'!$A$14+'Control Room'!$B$14,'Process'!BK3=1),1+('Control Room'!$C$14-1)*EXP(-0.5*(($A211-'Control Room'!$A$14-('Control Room'!$B$14-1)/2)/MAX(0.5,'Control Room'!$B$14/4))^2),1)*IF(AND($A211&gt;='Control Room'!$A$15,$A211&lt;'Control Room'!$A$15+'Control Room'!$B$15,'Process'!BK4=1),1+('Control Room'!$C$15-1)*EXP(-0.5*(($A211-'Control Room'!$A$15-('Control Room'!$B$15-1)/2)/MAX(0.5,'Control Room'!$B$15/4))^2),1)*IF(AND($A211&gt;='Control Room'!$A$16,$A211&lt;'Control Room'!$A$16+'Control Room'!$B$16,'Process'!BK5=1),1+('Control Room'!$C$16-1)*EXP(-0.5*(($A211-'Control Room'!$A$16-('Control Room'!$B$16-1)/2)/MAX(0.5,'Control Room'!$B$16/4))^2),1)</x:f>
        <x:v>1</x:v>
      </x:c>
      <x:c r="G211" s="9" t="n">
        <x:f>MOD(H210*16807,2147483647)</x:f>
        <x:v>1077144684</x:v>
      </x:c>
      <x:c r="H211" s="9" t="n">
        <x:f>MOD(G211*16807,2147483647)</x:f>
        <x:v>283559778</x:v>
      </x:c>
      <x:c r="I211" s="17" t="n">
        <x:f>IF('Control Room'!$B$5="Normal",'Control Room'!$B$7+'Control Room'!$D$7*SQRT(-2*LN(MAX(0.000000000001,G211/2147483647)))*COS(2*PI()*H211/2147483647),'Control Room'!$B$8+('Control Room'!$D$8-'Control Room'!$B$8)*G211/2147483647)</x:f>
        <x:v>1071.378423018121</x:v>
      </x:c>
      <x:c r="J211" s="17" t="n">
        <x:f>IF('Control Room'!$B$5="Normal",'Control Room'!$B$7,('Control Room'!$B$8+'Control Room'!$D$8)/2)+'Control Room'!$B$9*(J210-IF('Control Room'!$B$5="Normal",'Control Room'!$B$7,('Control Room'!$B$8+'Control Room'!$D$8)/2))+SQRT(1-'Control Room'!$B$9^2)*(I211-IF('Control Room'!$B$5="Normal",'Control Room'!$B$7,('Control Room'!$B$8+'Control Room'!$D$8)/2))</x:f>
        <x:v>942.1759939625296</x:v>
      </x:c>
      <x:c r="K211" s="17" t="n">
        <x:f>IF(AND($A211&gt;='Control Room'!$A$13,$A211&lt;'Control Room'!$A$13+'Control Room'!$B$13,'Process'!BL2=1),1+('Control Room'!$C$13-1)*EXP(-0.5*(($A211-'Control Room'!$A$13-('Control Room'!$B$13-1)/2)/MAX(0.5,'Control Room'!$B$13/4))^2),1)*IF(AND($A211&gt;='Control Room'!$A$14,$A211&lt;'Control Room'!$A$14+'Control Room'!$B$14,'Process'!BL3=1),1+('Control Room'!$C$14-1)*EXP(-0.5*(($A211-'Control Room'!$A$14-('Control Room'!$B$14-1)/2)/MAX(0.5,'Control Room'!$B$14/4))^2),1)*IF(AND($A211&gt;='Control Room'!$A$15,$A211&lt;'Control Room'!$A$15+'Control Room'!$B$15,'Process'!BL4=1),1+('Control Room'!$C$15-1)*EXP(-0.5*(($A211-'Control Room'!$A$15-('Control Room'!$B$15-1)/2)/MAX(0.5,'Control Room'!$B$15/4))^2),1)*IF(AND($A211&gt;='Control Room'!$A$16,$A211&lt;'Control Room'!$A$16+'Control Room'!$B$16,'Process'!BL5=1),1+('Control Room'!$C$16-1)*EXP(-0.5*(($A211-'Control Room'!$A$16-('Control Room'!$B$16-1)/2)/MAX(0.5,'Control Room'!$B$16/4))^2),1)</x:f>
        <x:v>1</x:v>
      </x:c>
      <x:c r="L211" s="9" t="n">
        <x:f>MOD(M210*16807,2147483647)</x:f>
        <x:v>1188285435</x:v>
      </x:c>
      <x:c r="M211" s="9" t="n">
        <x:f>MOD(L211*16807,2147483647)</x:f>
        <x:v>2062872592</x:v>
      </x:c>
      <x:c r="N211" s="17" t="n">
        <x:f>IF('Control Room'!$B$5="Normal",'Control Room'!$B$7+'Control Room'!$D$7*SQRT(-2*LN(MAX(0.000000000001,L211/2147483647)))*COS(2*PI()*M211/2147483647),'Control Room'!$B$8+('Control Room'!$D$8-'Control Room'!$B$8)*L211/2147483647)</x:f>
        <x:v>1094.9278254892463</x:v>
      </x:c>
      <x:c r="O211" s="17" t="n">
        <x:f>IF('Control Room'!$B$5="Normal",'Control Room'!$B$7,('Control Room'!$B$8+'Control Room'!$D$8)/2)+'Control Room'!$B$9*(O210-IF('Control Room'!$B$5="Normal",'Control Room'!$B$7,('Control Room'!$B$8+'Control Room'!$D$8)/2))+SQRT(1-'Control Room'!$B$9^2)*(N211-IF('Control Room'!$B$5="Normal",'Control Room'!$B$7,('Control Room'!$B$8+'Control Room'!$D$8)/2))</x:f>
        <x:v>1151.2539928765864</x:v>
      </x:c>
      <x:c r="P211" s="17" t="n">
        <x:f>IF(AND($A211&gt;='Control Room'!$A$13,$A211&lt;'Control Room'!$A$13+'Control Room'!$B$13,'Process'!BM2=1),1+('Control Room'!$C$13-1)*EXP(-0.5*(($A211-'Control Room'!$A$13-('Control Room'!$B$13-1)/2)/MAX(0.5,'Control Room'!$B$13/4))^2),1)*IF(AND($A211&gt;='Control Room'!$A$14,$A211&lt;'Control Room'!$A$14+'Control Room'!$B$14,'Process'!BM3=1),1+('Control Room'!$C$14-1)*EXP(-0.5*(($A211-'Control Room'!$A$14-('Control Room'!$B$14-1)/2)/MAX(0.5,'Control Room'!$B$14/4))^2),1)*IF(AND($A211&gt;='Control Room'!$A$15,$A211&lt;'Control Room'!$A$15+'Control Room'!$B$15,'Process'!BM4=1),1+('Control Room'!$C$15-1)*EXP(-0.5*(($A211-'Control Room'!$A$15-('Control Room'!$B$15-1)/2)/MAX(0.5,'Control Room'!$B$15/4))^2),1)*IF(AND($A211&gt;='Control Room'!$A$16,$A211&lt;'Control Room'!$A$16+'Control Room'!$B$16,'Process'!BM5=1),1+('Control Room'!$C$16-1)*EXP(-0.5*(($A211-'Control Room'!$A$16-('Control Room'!$B$16-1)/2)/MAX(0.5,'Control Room'!$B$16/4))^2),1)</x:f>
        <x:v>1</x:v>
      </x:c>
      <x:c r="Q211" s="9" t="n">
        <x:f>MOD(R210*16807,2147483647)</x:f>
        <x:v>1299426186</x:v>
      </x:c>
      <x:c r="R211" s="9" t="n">
        <x:f>MOD(Q211*16807,2147483647)</x:f>
        <x:v>1694701759</x:v>
      </x:c>
      <x:c r="S211" s="17" t="n">
        <x:f>IF('Control Room'!$B$5="Normal",'Control Room'!$B$7+'Control Room'!$D$7*SQRT(-2*LN(MAX(0.000000000001,Q211/2147483647)))*COS(2*PI()*R211/2147483647),'Control Room'!$B$8+('Control Room'!$D$8-'Control Room'!$B$8)*Q211/2147483647)</x:f>
        <x:v>1021.9720273437491</x:v>
      </x:c>
      <x:c r="T211" s="17" t="n">
        <x:f>IF('Control Room'!$B$5="Normal",'Control Room'!$B$7,('Control Room'!$B$8+'Control Room'!$D$8)/2)+'Control Room'!$B$9*(T210-IF('Control Room'!$B$5="Normal",'Control Room'!$B$7,('Control Room'!$B$8+'Control Room'!$D$8)/2))+SQRT(1-'Control Room'!$B$9^2)*(S211-IF('Control Room'!$B$5="Normal",'Control Room'!$B$7,('Control Room'!$B$8+'Control Room'!$D$8)/2))</x:f>
        <x:v>1063.6548254387835</x:v>
      </x:c>
      <x:c r="U211" s="17" t="n">
        <x:f>IF(AND($A211&gt;='Control Room'!$A$13,$A211&lt;'Control Room'!$A$13+'Control Room'!$B$13,'Process'!BN2=1),1+('Control Room'!$C$13-1)*EXP(-0.5*(($A211-'Control Room'!$A$13-('Control Room'!$B$13-1)/2)/MAX(0.5,'Control Room'!$B$13/4))^2),1)*IF(AND($A211&gt;='Control Room'!$A$14,$A211&lt;'Control Room'!$A$14+'Control Room'!$B$14,'Process'!BN3=1),1+('Control Room'!$C$14-1)*EXP(-0.5*(($A211-'Control Room'!$A$14-('Control Room'!$B$14-1)/2)/MAX(0.5,'Control Room'!$B$14/4))^2),1)*IF(AND($A211&gt;='Control Room'!$A$15,$A211&lt;'Control Room'!$A$15+'Control Room'!$B$15,'Process'!BN4=1),1+('Control Room'!$C$15-1)*EXP(-0.5*(($A211-'Control Room'!$A$15-('Control Room'!$B$15-1)/2)/MAX(0.5,'Control Room'!$B$15/4))^2),1)*IF(AND($A211&gt;='Control Room'!$A$16,$A211&lt;'Control Room'!$A$16+'Control Room'!$B$16,'Process'!BN5=1),1+('Control Room'!$C$16-1)*EXP(-0.5*(($A211-'Control Room'!$A$16-('Control Room'!$B$16-1)/2)/MAX(0.5,'Control Room'!$B$16/4))^2),1)</x:f>
        <x:v>1</x:v>
      </x:c>
      <x:c r="V211" s="9" t="n">
        <x:f>MOD(W210*16807,2147483647)</x:f>
        <x:v>1410566937</x:v>
      </x:c>
      <x:c r="W211" s="9" t="n">
        <x:f>MOD(V211*16807,2147483647)</x:f>
        <x:v>1326530926</x:v>
      </x:c>
      <x:c r="X211" s="17" t="n">
        <x:f>IF('Control Room'!$B$5="Normal",'Control Room'!$B$7+'Control Room'!$D$7*SQRT(-2*LN(MAX(0.000000000001,V211/2147483647)))*COS(2*PI()*W211/2147483647),'Control Room'!$B$8+('Control Room'!$D$8-'Control Room'!$B$8)*V211/2147483647)</x:f>
        <x:v>939.0431307886222</x:v>
      </x:c>
      <x:c r="Y211" s="17" t="n">
        <x:f>IF('Control Room'!$B$5="Normal",'Control Room'!$B$7,('Control Room'!$B$8+'Control Room'!$D$8)/2)+'Control Room'!$B$9*(Y210-IF('Control Room'!$B$5="Normal",'Control Room'!$B$7,('Control Room'!$B$8+'Control Room'!$D$8)/2))+SQRT(1-'Control Room'!$B$9^2)*(X211-IF('Control Room'!$B$5="Normal",'Control Room'!$B$7,('Control Room'!$B$8+'Control Room'!$D$8)/2))</x:f>
        <x:v>826.6742135135152</x:v>
      </x:c>
      <x:c r="Z211" s="17" t="n">
        <x:f>IF(AND($A211&gt;='Control Room'!$A$13,$A211&lt;'Control Room'!$A$13+'Control Room'!$B$13,'Process'!BO2=1),1+('Control Room'!$C$13-1)*EXP(-0.5*(($A211-'Control Room'!$A$13-('Control Room'!$B$13-1)/2)/MAX(0.5,'Control Room'!$B$13/4))^2),1)*IF(AND($A211&gt;='Control Room'!$A$14,$A211&lt;'Control Room'!$A$14+'Control Room'!$B$14,'Process'!BO3=1),1+('Control Room'!$C$14-1)*EXP(-0.5*(($A211-'Control Room'!$A$14-('Control Room'!$B$14-1)/2)/MAX(0.5,'Control Room'!$B$14/4))^2),1)*IF(AND($A211&gt;='Control Room'!$A$15,$A211&lt;'Control Room'!$A$15+'Control Room'!$B$15,'Process'!BO4=1),1+('Control Room'!$C$15-1)*EXP(-0.5*(($A211-'Control Room'!$A$15-('Control Room'!$B$15-1)/2)/MAX(0.5,'Control Room'!$B$15/4))^2),1)*IF(AND($A211&gt;='Control Room'!$A$16,$A211&lt;'Control Room'!$A$16+'Control Room'!$B$16,'Process'!BO5=1),1+('Control Room'!$C$16-1)*EXP(-0.5*(($A211-'Control Room'!$A$16-('Control Room'!$B$16-1)/2)/MAX(0.5,'Control Room'!$B$16/4))^2),1)</x:f>
        <x:v>1</x:v>
      </x:c>
      <x:c r="AA211" s="9" t="n">
        <x:f>MOD(AB210*16807,2147483647)</x:f>
        <x:v>1521707688</x:v>
      </x:c>
      <x:c r="AB211" s="9" t="n">
        <x:f>MOD(AA211*16807,2147483647)</x:f>
        <x:v>958360093</x:v>
      </x:c>
      <x:c r="AC211" s="17" t="n">
        <x:f>IF('Control Room'!$B$5="Normal",'Control Room'!$B$7+'Control Room'!$D$7*SQRT(-2*LN(MAX(0.000000000001,AA211/2147483647)))*COS(2*PI()*AB211/2147483647),'Control Room'!$B$8+('Control Room'!$D$8-'Control Room'!$B$8)*AA211/2147483647)</x:f>
        <x:v>929.5149567943126</x:v>
      </x:c>
      <x:c r="AD211" s="17" t="n">
        <x:f>IF('Control Room'!$B$5="Normal",'Control Room'!$B$7,('Control Room'!$B$8+'Control Room'!$D$8)/2)+'Control Room'!$B$9*(AD210-IF('Control Room'!$B$5="Normal",'Control Room'!$B$7,('Control Room'!$B$8+'Control Room'!$D$8)/2))+SQRT(1-'Control Room'!$B$9^2)*(AC211-IF('Control Room'!$B$5="Normal",'Control Room'!$B$7,('Control Room'!$B$8+'Control Room'!$D$8)/2))</x:f>
        <x:v>1043.6698767275059</x:v>
      </x:c>
      <x:c r="AE211" s="17" t="n">
        <x:f>IF(AND($A211&gt;='Control Room'!$A$13,$A211&lt;'Control Room'!$A$13+'Control Room'!$B$13,'Process'!BP2=1),1+('Control Room'!$C$13-1)*EXP(-0.5*(($A211-'Control Room'!$A$13-('Control Room'!$B$13-1)/2)/MAX(0.5,'Control Room'!$B$13/4))^2),1)*IF(AND($A211&gt;='Control Room'!$A$14,$A211&lt;'Control Room'!$A$14+'Control Room'!$B$14,'Process'!BP3=1),1+('Control Room'!$C$14-1)*EXP(-0.5*(($A211-'Control Room'!$A$14-('Control Room'!$B$14-1)/2)/MAX(0.5,'Control Room'!$B$14/4))^2),1)*IF(AND($A211&gt;='Control Room'!$A$15,$A211&lt;'Control Room'!$A$15+'Control Room'!$B$15,'Process'!BP4=1),1+('Control Room'!$C$15-1)*EXP(-0.5*(($A211-'Control Room'!$A$15-('Control Room'!$B$15-1)/2)/MAX(0.5,'Control Room'!$B$15/4))^2),1)*IF(AND($A211&gt;='Control Room'!$A$16,$A211&lt;'Control Room'!$A$16+'Control Room'!$B$16,'Process'!BP5=1),1+('Control Room'!$C$16-1)*EXP(-0.5*(($A211-'Control Room'!$A$16-('Control Room'!$B$16-1)/2)/MAX(0.5,'Control Room'!$B$16/4))^2),1)</x:f>
        <x:v>1</x:v>
      </x:c>
      <x:c r="AF211" s="9" t="n">
        <x:f>MOD(AG210*16807,2147483647)</x:f>
        <x:v>1632848439</x:v>
      </x:c>
      <x:c r="AG211" s="9" t="n">
        <x:f>MOD(AF211*16807,2147483647)</x:f>
        <x:v>590189260</x:v>
      </x:c>
      <x:c r="AH211" s="17" t="n">
        <x:f>IF('Control Room'!$B$5="Normal",'Control Room'!$B$7+'Control Room'!$D$7*SQRT(-2*LN(MAX(0.000000000001,AF211/2147483647)))*COS(2*PI()*AG211/2147483647),'Control Room'!$B$8+('Control Room'!$D$8-'Control Room'!$B$8)*AF211/2147483647)</x:f>
        <x:v>989.6492132985387</x:v>
      </x:c>
      <x:c r="AI211" s="17" t="n">
        <x:f>IF('Control Room'!$B$5="Normal",'Control Room'!$B$7,('Control Room'!$B$8+'Control Room'!$D$8)/2)+'Control Room'!$B$9*(AI210-IF('Control Room'!$B$5="Normal",'Control Room'!$B$7,('Control Room'!$B$8+'Control Room'!$D$8)/2))+SQRT(1-'Control Room'!$B$9^2)*(AH211-IF('Control Room'!$B$5="Normal",'Control Room'!$B$7,('Control Room'!$B$8+'Control Room'!$D$8)/2))</x:f>
        <x:v>944.3629669004216</x:v>
      </x:c>
      <x:c r="AJ211" s="17" t="n">
        <x:f>IF(AND($A211&gt;='Control Room'!$A$13,$A211&lt;'Control Room'!$A$13+'Control Room'!$B$13,'Process'!BQ2=1),1+('Control Room'!$C$13-1)*EXP(-0.5*(($A211-'Control Room'!$A$13-('Control Room'!$B$13-1)/2)/MAX(0.5,'Control Room'!$B$13/4))^2),1)*IF(AND($A211&gt;='Control Room'!$A$14,$A211&lt;'Control Room'!$A$14+'Control Room'!$B$14,'Process'!BQ3=1),1+('Control Room'!$C$14-1)*EXP(-0.5*(($A211-'Control Room'!$A$14-('Control Room'!$B$14-1)/2)/MAX(0.5,'Control Room'!$B$14/4))^2),1)*IF(AND($A211&gt;='Control Room'!$A$15,$A211&lt;'Control Room'!$A$15+'Control Room'!$B$15,'Process'!BQ4=1),1+('Control Room'!$C$15-1)*EXP(-0.5*(($A211-'Control Room'!$A$15-('Control Room'!$B$15-1)/2)/MAX(0.5,'Control Room'!$B$15/4))^2),1)*IF(AND($A211&gt;='Control Room'!$A$16,$A211&lt;'Control Room'!$A$16+'Control Room'!$B$16,'Process'!BQ5=1),1+('Control Room'!$C$16-1)*EXP(-0.5*(($A211-'Control Room'!$A$16-('Control Room'!$B$16-1)/2)/MAX(0.5,'Control Room'!$B$16/4))^2),1)</x:f>
        <x:v>1</x:v>
      </x:c>
      <x:c r="AK211" s="9" t="n">
        <x:f>MOD(AL210*16807,2147483647)</x:f>
        <x:v>1743989190</x:v>
      </x:c>
      <x:c r="AL211" s="9" t="n">
        <x:f>MOD(AK211*16807,2147483647)</x:f>
        <x:v>222018427</x:v>
      </x:c>
      <x:c r="AM211" s="17" t="n">
        <x:f>IF('Control Room'!$B$5="Normal",'Control Room'!$B$7+'Control Room'!$D$7*SQRT(-2*LN(MAX(0.000000000001,AK211/2147483647)))*COS(2*PI()*AL211/2147483647),'Control Room'!$B$8+('Control Room'!$D$8-'Control Room'!$B$8)*AK211/2147483647)</x:f>
        <x:v>1046.2392052762457</x:v>
      </x:c>
      <x:c r="AN211" s="17" t="n">
        <x:f>IF('Control Room'!$B$5="Normal",'Control Room'!$B$7,('Control Room'!$B$8+'Control Room'!$D$8)/2)+'Control Room'!$B$9*(AN210-IF('Control Room'!$B$5="Normal",'Control Room'!$B$7,('Control Room'!$B$8+'Control Room'!$D$8)/2))+SQRT(1-'Control Room'!$B$9^2)*(AM211-IF('Control Room'!$B$5="Normal",'Control Room'!$B$7,('Control Room'!$B$8+'Control Room'!$D$8)/2))</x:f>
        <x:v>985.2495832039136</x:v>
      </x:c>
      <x:c r="AO211" s="17" t="n">
        <x:f>IF(AND($A211&gt;='Control Room'!$A$13,$A211&lt;'Control Room'!$A$13+'Control Room'!$B$13,'Process'!BR2=1),1+('Control Room'!$C$13-1)*EXP(-0.5*(($A211-'Control Room'!$A$13-('Control Room'!$B$13-1)/2)/MAX(0.5,'Control Room'!$B$13/4))^2),1)*IF(AND($A211&gt;='Control Room'!$A$14,$A211&lt;'Control Room'!$A$14+'Control Room'!$B$14,'Process'!BR3=1),1+('Control Room'!$C$14-1)*EXP(-0.5*(($A211-'Control Room'!$A$14-('Control Room'!$B$14-1)/2)/MAX(0.5,'Control Room'!$B$14/4))^2),1)*IF(AND($A211&gt;='Control Room'!$A$15,$A211&lt;'Control Room'!$A$15+'Control Room'!$B$15,'Process'!BR4=1),1+('Control Room'!$C$15-1)*EXP(-0.5*(($A211-'Control Room'!$A$15-('Control Room'!$B$15-1)/2)/MAX(0.5,'Control Room'!$B$15/4))^2),1)*IF(AND($A211&gt;='Control Room'!$A$16,$A211&lt;'Control Room'!$A$16+'Control Room'!$B$16,'Process'!BR5=1),1+('Control Room'!$C$16-1)*EXP(-0.5*(($A211-'Control Room'!$A$16-('Control Room'!$B$16-1)/2)/MAX(0.5,'Control Room'!$B$16/4))^2),1)</x:f>
        <x:v>1</x:v>
      </x:c>
      <x:c r="AP211" s="9" t="n">
        <x:f>MOD(AQ210*16807,2147483647)</x:f>
        <x:v>1855129941</x:v>
      </x:c>
      <x:c r="AQ211" s="9" t="n">
        <x:f>MOD(AP211*16807,2147483647)</x:f>
        <x:v>2001331241</x:v>
      </x:c>
      <x:c r="AR211" s="17" t="n">
        <x:f>IF('Control Room'!$B$5="Normal",'Control Room'!$B$7+'Control Room'!$D$7*SQRT(-2*LN(MAX(0.000000000001,AP211/2147483647)))*COS(2*PI()*AQ211/2147483647),'Control Room'!$B$8+('Control Room'!$D$8-'Control Room'!$B$8)*AP211/2147483647)</x:f>
        <x:v>1044.3059950484108</x:v>
      </x:c>
      <x:c r="AS211" s="17" t="n">
        <x:f>IF('Control Room'!$B$5="Normal",'Control Room'!$B$7,('Control Room'!$B$8+'Control Room'!$D$8)/2)+'Control Room'!$B$9*(AS210-IF('Control Room'!$B$5="Normal",'Control Room'!$B$7,('Control Room'!$B$8+'Control Room'!$D$8)/2))+SQRT(1-'Control Room'!$B$9^2)*(AR211-IF('Control Room'!$B$5="Normal",'Control Room'!$B$7,('Control Room'!$B$8+'Control Room'!$D$8)/2))</x:f>
        <x:v>1040.105019582608</x:v>
      </x:c>
      <x:c r="AT211" s="17" t="n">
        <x:f>IF(AND($A211&gt;='Control Room'!$A$13,$A211&lt;'Control Room'!$A$13+'Control Room'!$B$13,'Process'!BS2=1),1+('Control Room'!$C$13-1)*EXP(-0.5*(($A211-'Control Room'!$A$13-('Control Room'!$B$13-1)/2)/MAX(0.5,'Control Room'!$B$13/4))^2),1)*IF(AND($A211&gt;='Control Room'!$A$14,$A211&lt;'Control Room'!$A$14+'Control Room'!$B$14,'Process'!BS3=1),1+('Control Room'!$C$14-1)*EXP(-0.5*(($A211-'Control Room'!$A$14-('Control Room'!$B$14-1)/2)/MAX(0.5,'Control Room'!$B$14/4))^2),1)*IF(AND($A211&gt;='Control Room'!$A$15,$A211&lt;'Control Room'!$A$15+'Control Room'!$B$15,'Process'!BS4=1),1+('Control Room'!$C$15-1)*EXP(-0.5*(($A211-'Control Room'!$A$15-('Control Room'!$B$15-1)/2)/MAX(0.5,'Control Room'!$B$15/4))^2),1)*IF(AND($A211&gt;='Control Room'!$A$16,$A211&lt;'Control Room'!$A$16+'Control Room'!$B$16,'Process'!BS5=1),1+('Control Room'!$C$16-1)*EXP(-0.5*(($A211-'Control Room'!$A$16-('Control Room'!$B$16-1)/2)/MAX(0.5,'Control Room'!$B$16/4))^2),1)</x:f>
        <x:v>1</x:v>
      </x:c>
      <x:c r="AU211" s="9" t="n">
        <x:f>MOD(AV210*16807,2147483647)</x:f>
        <x:v>1966270692</x:v>
      </x:c>
      <x:c r="AV211" s="9" t="n">
        <x:f>MOD(AU211*16807,2147483647)</x:f>
        <x:v>1633160408</x:v>
      </x:c>
      <x:c r="AW211" s="17" t="n">
        <x:f>IF('Control Room'!$B$5="Normal",'Control Room'!$B$7+'Control Room'!$D$7*SQRT(-2*LN(MAX(0.000000000001,AU211/2147483647)))*COS(2*PI()*AV211/2147483647),'Control Room'!$B$8+('Control Room'!$D$8-'Control Room'!$B$8)*AU211/2147483647)</x:f>
        <x:v>1002.4912951554265</x:v>
      </x:c>
      <x:c r="AX211" s="17" t="n">
        <x:f>IF('Control Room'!$B$5="Normal",'Control Room'!$B$7,('Control Room'!$B$8+'Control Room'!$D$8)/2)+'Control Room'!$B$9*(AX210-IF('Control Room'!$B$5="Normal",'Control Room'!$B$7,('Control Room'!$B$8+'Control Room'!$D$8)/2))+SQRT(1-'Control Room'!$B$9^2)*(AW211-IF('Control Room'!$B$5="Normal",'Control Room'!$B$7,('Control Room'!$B$8+'Control Room'!$D$8)/2))</x:f>
        <x:v>1078.705225204693</x:v>
      </x:c>
      <x:c r="AY211" s="17" t="n">
        <x:f>IF(AND($A211&gt;='Control Room'!$A$13,$A211&lt;'Control Room'!$A$13+'Control Room'!$B$13,'Process'!BT2=1),1+('Control Room'!$C$13-1)*EXP(-0.5*(($A211-'Control Room'!$A$13-('Control Room'!$B$13-1)/2)/MAX(0.5,'Control Room'!$B$13/4))^2),1)*IF(AND($A211&gt;='Control Room'!$A$14,$A211&lt;'Control Room'!$A$14+'Control Room'!$B$14,'Process'!BT3=1),1+('Control Room'!$C$14-1)*EXP(-0.5*(($A211-'Control Room'!$A$14-('Control Room'!$B$14-1)/2)/MAX(0.5,'Control Room'!$B$14/4))^2),1)*IF(AND($A211&gt;='Control Room'!$A$15,$A211&lt;'Control Room'!$A$15+'Control Room'!$B$15,'Process'!BT4=1),1+('Control Room'!$C$15-1)*EXP(-0.5*(($A211-'Control Room'!$A$15-('Control Room'!$B$15-1)/2)/MAX(0.5,'Control Room'!$B$15/4))^2),1)*IF(AND($A211&gt;='Control Room'!$A$16,$A211&lt;'Control Room'!$A$16+'Control Room'!$B$16,'Process'!BT5=1),1+('Control Room'!$C$16-1)*EXP(-0.5*(($A211-'Control Room'!$A$16-('Control Room'!$B$16-1)/2)/MAX(0.5,'Control Room'!$B$16/4))^2),1)</x:f>
        <x:v>1</x:v>
      </x:c>
      <x:c r="AZ211" s="9" t="n">
        <x:f>MOD(BA210*16807,2147483647)</x:f>
        <x:v>2077411443</x:v>
      </x:c>
      <x:c r="BA211" s="9" t="n">
        <x:f>MOD(AZ211*16807,2147483647)</x:f>
        <x:v>1264989575</x:v>
      </x:c>
      <x:c r="BB211" s="17" t="n">
        <x:f>IF('Control Room'!$B$5="Normal",'Control Room'!$B$7+'Control Room'!$D$7*SQRT(-2*LN(MAX(0.000000000001,AZ211/2147483647)))*COS(2*PI()*BA211/2147483647),'Control Room'!$B$8+('Control Room'!$D$8-'Control Room'!$B$8)*AZ211/2147483647)</x:f>
        <x:v>980.3532193060871</x:v>
      </x:c>
      <x:c r="BC211" s="17" t="n">
        <x:f>IF('Control Room'!$B$5="Normal",'Control Room'!$B$7,('Control Room'!$B$8+'Control Room'!$D$8)/2)+'Control Room'!$B$9*(BC210-IF('Control Room'!$B$5="Normal",'Control Room'!$B$7,('Control Room'!$B$8+'Control Room'!$D$8)/2))+SQRT(1-'Control Room'!$B$9^2)*(BB211-IF('Control Room'!$B$5="Normal",'Control Room'!$B$7,('Control Room'!$B$8+'Control Room'!$D$8)/2))</x:f>
        <x:v>922.1886299347287</x:v>
      </x:c>
      <x:c r="BD211" s="17" t="n">
        <x:f>IF(AND($A211&gt;='Control Room'!$A$13,$A211&lt;'Control Room'!$A$13+'Control Room'!$B$13,'Process'!BU2=1),1+('Control Room'!$C$13-1)*EXP(-0.5*(($A211-'Control Room'!$A$13-('Control Room'!$B$13-1)/2)/MAX(0.5,'Control Room'!$B$13/4))^2),1)*IF(AND($A211&gt;='Control Room'!$A$14,$A211&lt;'Control Room'!$A$14+'Control Room'!$B$14,'Process'!BU3=1),1+('Control Room'!$C$14-1)*EXP(-0.5*(($A211-'Control Room'!$A$14-('Control Room'!$B$14-1)/2)/MAX(0.5,'Control Room'!$B$14/4))^2),1)*IF(AND($A211&gt;='Control Room'!$A$15,$A211&lt;'Control Room'!$A$15+'Control Room'!$B$15,'Process'!BU4=1),1+('Control Room'!$C$15-1)*EXP(-0.5*(($A211-'Control Room'!$A$15-('Control Room'!$B$15-1)/2)/MAX(0.5,'Control Room'!$B$15/4))^2),1)*IF(AND($A211&gt;='Control Room'!$A$16,$A211&lt;'Control Room'!$A$16+'Control Room'!$B$16,'Process'!BU5=1),1+('Control Room'!$C$16-1)*EXP(-0.5*(($A211-'Control Room'!$A$16-('Control Room'!$B$16-1)/2)/MAX(0.5,'Control Room'!$B$16/4))^2),1)</x:f>
        <x:v>1</x:v>
      </x:c>
      <x:c r="BE211" s="9" t="n">
        <x:f>MOD(BF210*16807,2147483647)</x:f>
        <x:v>41068547</x:v>
      </x:c>
      <x:c r="BF211" s="9" t="n">
        <x:f>MOD(BE211*16807,2147483647)</x:f>
        <x:v>896818742</x:v>
      </x:c>
      <x:c r="BG211" s="17" t="n">
        <x:f>IF('Control Room'!$B$5="Normal",'Control Room'!$B$7+'Control Room'!$D$7*SQRT(-2*LN(MAX(0.000000000001,BE211/2147483647)))*COS(2*PI()*BF211/2147483647),'Control Room'!$B$8+('Control Room'!$D$8-'Control Room'!$B$8)*BE211/2147483647)</x:f>
        <x:v>779.9899143421867</x:v>
      </x:c>
      <x:c r="BH211" s="17" t="n">
        <x:f>IF('Control Room'!$B$5="Normal",'Control Room'!$B$7,('Control Room'!$B$8+'Control Room'!$D$8)/2)+'Control Room'!$B$9*(BH210-IF('Control Room'!$B$5="Normal",'Control Room'!$B$7,('Control Room'!$B$8+'Control Room'!$D$8)/2))+SQRT(1-'Control Room'!$B$9^2)*(BG211-IF('Control Room'!$B$5="Normal",'Control Room'!$B$7,('Control Room'!$B$8+'Control Room'!$D$8)/2))</x:f>
        <x:v>795.6361273100474</x:v>
      </x:c>
      <x:c r="BI211" s="17" t="n">
        <x:f>IF(AND($A211&gt;='Control Room'!$A$13,$A211&lt;'Control Room'!$A$13+'Control Room'!$B$13,'Process'!BV2=1),1+('Control Room'!$C$13-1)*EXP(-0.5*(($A211-'Control Room'!$A$13-('Control Room'!$B$13-1)/2)/MAX(0.5,'Control Room'!$B$13/4))^2),1)*IF(AND($A211&gt;='Control Room'!$A$14,$A211&lt;'Control Room'!$A$14+'Control Room'!$B$14,'Process'!BV3=1),1+('Control Room'!$C$14-1)*EXP(-0.5*(($A211-'Control Room'!$A$14-('Control Room'!$B$14-1)/2)/MAX(0.5,'Control Room'!$B$14/4))^2),1)*IF(AND($A211&gt;='Control Room'!$A$15,$A211&lt;'Control Room'!$A$15+'Control Room'!$B$15,'Process'!BV4=1),1+('Control Room'!$C$15-1)*EXP(-0.5*(($A211-'Control Room'!$A$15-('Control Room'!$B$15-1)/2)/MAX(0.5,'Control Room'!$B$15/4))^2),1)*IF(AND($A211&gt;='Control Room'!$A$16,$A211&lt;'Control Room'!$A$16+'Control Room'!$B$16,'Process'!BV5=1),1+('Control Room'!$C$16-1)*EXP(-0.5*(($A211-'Control Room'!$A$16-('Control Room'!$B$16-1)/2)/MAX(0.5,'Control Room'!$B$16/4))^2),1)</x:f>
        <x:v>1</x:v>
      </x:c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Z211" t="str">
        <x:f>IF('Data'!A211="","",TEXT('Data'!A211,"mm-dd"))</x:f>
      </x:c>
    </x:row>
    <x:row r="212" ht="21" customHeight="1">
      <x:c r="A212" s="15" t="n">
        <x:f>'Control Room'!$B$1+210</x:f>
        <x:v>73201</x:v>
      </x:c>
      <x:c r="B212" s="9" t="n">
        <x:f>MOD(C211*16807,2147483647)</x:f>
        <x:v>1469779377</x:v>
      </x:c>
      <x:c r="C212" s="9" t="n">
        <x:f>MOD(B212*16807,2147483647)</x:f>
        <x:v>77597798</x:v>
      </x:c>
      <x:c r="D212" s="17" t="n">
        <x:f>IF('Control Room'!$B$5="Normal",'Control Room'!$B$7+'Control Room'!$D$7*SQRT(-2*LN(MAX(0.000000000001,B212/2147483647)))*COS(2*PI()*C212/2147483647),'Control Room'!$B$8+('Control Room'!$D$8-'Control Room'!$B$8)*B212/2147483647)</x:f>
        <x:v>1076.3646023257104</x:v>
      </x:c>
      <x:c r="E212" s="17" t="n">
        <x:f>IF('Control Room'!$B$5="Normal",'Control Room'!$B$7,('Control Room'!$B$8+'Control Room'!$D$8)/2)+'Control Room'!$B$9*(E211-IF('Control Room'!$B$5="Normal",'Control Room'!$B$7,('Control Room'!$B$8+'Control Room'!$D$8)/2))+SQRT(1-'Control Room'!$B$9^2)*(D212-IF('Control Room'!$B$5="Normal",'Control Room'!$B$7,('Control Room'!$B$8+'Control Room'!$D$8)/2))</x:f>
        <x:v>1061.810698795822</x:v>
      </x:c>
      <x:c r="F212" s="17" t="n">
        <x:f>IF(AND($A212&gt;='Control Room'!$A$13,$A212&lt;'Control Room'!$A$13+'Control Room'!$B$13,'Process'!BK2=1),1+('Control Room'!$C$13-1)*EXP(-0.5*(($A212-'Control Room'!$A$13-('Control Room'!$B$13-1)/2)/MAX(0.5,'Control Room'!$B$13/4))^2),1)*IF(AND($A212&gt;='Control Room'!$A$14,$A212&lt;'Control Room'!$A$14+'Control Room'!$B$14,'Process'!BK3=1),1+('Control Room'!$C$14-1)*EXP(-0.5*(($A212-'Control Room'!$A$14-('Control Room'!$B$14-1)/2)/MAX(0.5,'Control Room'!$B$14/4))^2),1)*IF(AND($A212&gt;='Control Room'!$A$15,$A212&lt;'Control Room'!$A$15+'Control Room'!$B$15,'Process'!BK4=1),1+('Control Room'!$C$15-1)*EXP(-0.5*(($A212-'Control Room'!$A$15-('Control Room'!$B$15-1)/2)/MAX(0.5,'Control Room'!$B$15/4))^2),1)*IF(AND($A212&gt;='Control Room'!$A$16,$A212&lt;'Control Room'!$A$16+'Control Room'!$B$16,'Process'!BK5=1),1+('Control Room'!$C$16-1)*EXP(-0.5*(($A212-'Control Room'!$A$16-('Control Room'!$B$16-1)/2)/MAX(0.5,'Control Room'!$B$16/4))^2),1)</x:f>
        <x:v>1</x:v>
      </x:c>
      <x:c r="G212" s="9" t="n">
        <x:f>MOD(H211*16807,2147483647)</x:f>
        <x:v>522976153</x:v>
      </x:c>
      <x:c r="H212" s="9" t="n">
        <x:f>MOD(G212*16807,2147483647)</x:f>
        <x:v>9636300</x:v>
      </x:c>
      <x:c r="I212" s="17" t="n">
        <x:f>IF('Control Room'!$B$5="Normal",'Control Room'!$B$7+'Control Room'!$D$7*SQRT(-2*LN(MAX(0.000000000001,G212/2147483647)))*COS(2*PI()*H212/2147483647),'Control Room'!$B$8+('Control Room'!$D$8-'Control Room'!$B$8)*G212/2147483647)</x:f>
        <x:v>1151.210373205684</x:v>
      </x:c>
      <x:c r="J212" s="17" t="n">
        <x:f>IF('Control Room'!$B$5="Normal",'Control Room'!$B$7,('Control Room'!$B$8+'Control Room'!$D$8)/2)+'Control Room'!$B$9*(J211-IF('Control Room'!$B$5="Normal",'Control Room'!$B$7,('Control Room'!$B$8+'Control Room'!$D$8)/2))+SQRT(1-'Control Room'!$B$9^2)*(I212-IF('Control Room'!$B$5="Normal",'Control Room'!$B$7,('Control Room'!$B$8+'Control Room'!$D$8)/2))</x:f>
        <x:v>1049.5216291300192</x:v>
      </x:c>
      <x:c r="K212" s="17" t="n">
        <x:f>IF(AND($A212&gt;='Control Room'!$A$13,$A212&lt;'Control Room'!$A$13+'Control Room'!$B$13,'Process'!BL2=1),1+('Control Room'!$C$13-1)*EXP(-0.5*(($A212-'Control Room'!$A$13-('Control Room'!$B$13-1)/2)/MAX(0.5,'Control Room'!$B$13/4))^2),1)*IF(AND($A212&gt;='Control Room'!$A$14,$A212&lt;'Control Room'!$A$14+'Control Room'!$B$14,'Process'!BL3=1),1+('Control Room'!$C$14-1)*EXP(-0.5*(($A212-'Control Room'!$A$14-('Control Room'!$B$14-1)/2)/MAX(0.5,'Control Room'!$B$14/4))^2),1)*IF(AND($A212&gt;='Control Room'!$A$15,$A212&lt;'Control Room'!$A$15+'Control Room'!$B$15,'Process'!BL4=1),1+('Control Room'!$C$15-1)*EXP(-0.5*(($A212-'Control Room'!$A$15-('Control Room'!$B$15-1)/2)/MAX(0.5,'Control Room'!$B$15/4))^2),1)*IF(AND($A212&gt;='Control Room'!$A$16,$A212&lt;'Control Room'!$A$16+'Control Room'!$B$16,'Process'!BL5=1),1+('Control Room'!$C$16-1)*EXP(-0.5*(($A212-'Control Room'!$A$16-('Control Room'!$B$16-1)/2)/MAX(0.5,'Control Room'!$B$16/4))^2),1)</x:f>
        <x:v>1</x:v>
      </x:c>
      <x:c r="L212" s="9" t="n">
        <x:f>MOD(M211*16807,2147483647)</x:f>
        <x:v>1723656576</x:v>
      </x:c>
      <x:c r="M212" s="9" t="n">
        <x:f>MOD(L212*16807,2147483647)</x:f>
        <x:v>2089158449</x:v>
      </x:c>
      <x:c r="N212" s="17" t="n">
        <x:f>IF('Control Room'!$B$5="Normal",'Control Room'!$B$7+'Control Room'!$D$7*SQRT(-2*LN(MAX(0.000000000001,L212/2147483647)))*COS(2*PI()*M212/2147483647),'Control Room'!$B$8+('Control Room'!$D$8-'Control Room'!$B$8)*L212/2147483647)</x:f>
        <x:v>1058.81187141703</x:v>
      </x:c>
      <x:c r="O212" s="17" t="n">
        <x:f>IF('Control Room'!$B$5="Normal",'Control Room'!$B$7,('Control Room'!$B$8+'Control Room'!$D$8)/2)+'Control Room'!$B$9*(O211-IF('Control Room'!$B$5="Normal",'Control Room'!$B$7,('Control Room'!$B$8+'Control Room'!$D$8)/2))+SQRT(1-'Control Room'!$B$9^2)*(N212-IF('Control Room'!$B$5="Normal",'Control Room'!$B$7,('Control Room'!$B$8+'Control Room'!$D$8)/2))</x:f>
        <x:v>1154.7813787498408</x:v>
      </x:c>
      <x:c r="P212" s="17" t="n">
        <x:f>IF(AND($A212&gt;='Control Room'!$A$13,$A212&lt;'Control Room'!$A$13+'Control Room'!$B$13,'Process'!BM2=1),1+('Control Room'!$C$13-1)*EXP(-0.5*(($A212-'Control Room'!$A$13-('Control Room'!$B$13-1)/2)/MAX(0.5,'Control Room'!$B$13/4))^2),1)*IF(AND($A212&gt;='Control Room'!$A$14,$A212&lt;'Control Room'!$A$14+'Control Room'!$B$14,'Process'!BM3=1),1+('Control Room'!$C$14-1)*EXP(-0.5*(($A212-'Control Room'!$A$14-('Control Room'!$B$14-1)/2)/MAX(0.5,'Control Room'!$B$14/4))^2),1)*IF(AND($A212&gt;='Control Room'!$A$15,$A212&lt;'Control Room'!$A$15+'Control Room'!$B$15,'Process'!BM4=1),1+('Control Room'!$C$15-1)*EXP(-0.5*(($A212-'Control Room'!$A$15-('Control Room'!$B$15-1)/2)/MAX(0.5,'Control Room'!$B$15/4))^2),1)*IF(AND($A212&gt;='Control Room'!$A$16,$A212&lt;'Control Room'!$A$16+'Control Room'!$B$16,'Process'!BM5=1),1+('Control Room'!$C$16-1)*EXP(-0.5*(($A212-'Control Room'!$A$16-('Control Room'!$B$16-1)/2)/MAX(0.5,'Control Room'!$B$16/4))^2),1)</x:f>
        <x:v>1</x:v>
      </x:c>
      <x:c r="Q212" s="9" t="n">
        <x:f>MOD(R211*16807,2147483647)</x:f>
        <x:v>776853352</x:v>
      </x:c>
      <x:c r="R212" s="9" t="n">
        <x:f>MOD(Q212*16807,2147483647)</x:f>
        <x:v>2021196951</x:v>
      </x:c>
      <x:c r="S212" s="17" t="n">
        <x:f>IF('Control Room'!$B$5="Normal",'Control Room'!$B$7+'Control Room'!$D$7*SQRT(-2*LN(MAX(0.000000000001,Q212/2147483647)))*COS(2*PI()*R212/2147483647),'Control Room'!$B$8+('Control Room'!$D$8-'Control Room'!$B$8)*Q212/2147483647)</x:f>
        <x:v>1119.682026057903</x:v>
      </x:c>
      <x:c r="T212" s="17" t="n">
        <x:f>IF('Control Room'!$B$5="Normal",'Control Room'!$B$7,('Control Room'!$B$8+'Control Room'!$D$8)/2)+'Control Room'!$B$9*(T211-IF('Control Room'!$B$5="Normal",'Control Room'!$B$7,('Control Room'!$B$8+'Control Room'!$D$8)/2))+SQRT(1-'Control Room'!$B$9^2)*(S212-IF('Control Room'!$B$5="Normal",'Control Room'!$B$7,('Control Room'!$B$8+'Control Room'!$D$8)/2))</x:f>
        <x:v>1124.5453239297146</x:v>
      </x:c>
      <x:c r="U212" s="17" t="n">
        <x:f>IF(AND($A212&gt;='Control Room'!$A$13,$A212&lt;'Control Room'!$A$13+'Control Room'!$B$13,'Process'!BN2=1),1+('Control Room'!$C$13-1)*EXP(-0.5*(($A212-'Control Room'!$A$13-('Control Room'!$B$13-1)/2)/MAX(0.5,'Control Room'!$B$13/4))^2),1)*IF(AND($A212&gt;='Control Room'!$A$14,$A212&lt;'Control Room'!$A$14+'Control Room'!$B$14,'Process'!BN3=1),1+('Control Room'!$C$14-1)*EXP(-0.5*(($A212-'Control Room'!$A$14-('Control Room'!$B$14-1)/2)/MAX(0.5,'Control Room'!$B$14/4))^2),1)*IF(AND($A212&gt;='Control Room'!$A$15,$A212&lt;'Control Room'!$A$15+'Control Room'!$B$15,'Process'!BN4=1),1+('Control Room'!$C$15-1)*EXP(-0.5*(($A212-'Control Room'!$A$15-('Control Room'!$B$15-1)/2)/MAX(0.5,'Control Room'!$B$15/4))^2),1)*IF(AND($A212&gt;='Control Room'!$A$16,$A212&lt;'Control Room'!$A$16+'Control Room'!$B$16,'Process'!BN5=1),1+('Control Room'!$C$16-1)*EXP(-0.5*(($A212-'Control Room'!$A$16-('Control Room'!$B$16-1)/2)/MAX(0.5,'Control Room'!$B$16/4))^2),1)</x:f>
        <x:v>1</x:v>
      </x:c>
      <x:c r="V212" s="9" t="n">
        <x:f>MOD(W211*16807,2147483647)</x:f>
        <x:v>1977533775</x:v>
      </x:c>
      <x:c r="W212" s="9" t="n">
        <x:f>MOD(V212*16807,2147483647)</x:f>
        <x:v>1953235453</x:v>
      </x:c>
      <x:c r="X212" s="17" t="n">
        <x:f>IF('Control Room'!$B$5="Normal",'Control Room'!$B$7+'Control Room'!$D$7*SQRT(-2*LN(MAX(0.000000000001,V212/2147483647)))*COS(2*PI()*W212/2147483647),'Control Room'!$B$8+('Control Room'!$D$8-'Control Room'!$B$8)*V212/2147483647)</x:f>
        <x:v>1030.80106226646</x:v>
      </x:c>
      <x:c r="Y212" s="17" t="n">
        <x:f>IF('Control Room'!$B$5="Normal",'Control Room'!$B$7,('Control Room'!$B$8+'Control Room'!$D$8)/2)+'Control Room'!$B$9*(Y211-IF('Control Room'!$B$5="Normal",'Control Room'!$B$7,('Control Room'!$B$8+'Control Room'!$D$8)/2))+SQRT(1-'Control Room'!$B$9^2)*(X212-IF('Control Room'!$B$5="Normal",'Control Room'!$B$7,('Control Room'!$B$8+'Control Room'!$D$8)/2))</x:f>
        <x:v>884.0805603128343</x:v>
      </x:c>
      <x:c r="Z212" s="17" t="n">
        <x:f>IF(AND($A212&gt;='Control Room'!$A$13,$A212&lt;'Control Room'!$A$13+'Control Room'!$B$13,'Process'!BO2=1),1+('Control Room'!$C$13-1)*EXP(-0.5*(($A212-'Control Room'!$A$13-('Control Room'!$B$13-1)/2)/MAX(0.5,'Control Room'!$B$13/4))^2),1)*IF(AND($A212&gt;='Control Room'!$A$14,$A212&lt;'Control Room'!$A$14+'Control Room'!$B$14,'Process'!BO3=1),1+('Control Room'!$C$14-1)*EXP(-0.5*(($A212-'Control Room'!$A$14-('Control Room'!$B$14-1)/2)/MAX(0.5,'Control Room'!$B$14/4))^2),1)*IF(AND($A212&gt;='Control Room'!$A$15,$A212&lt;'Control Room'!$A$15+'Control Room'!$B$15,'Process'!BO4=1),1+('Control Room'!$C$15-1)*EXP(-0.5*(($A212-'Control Room'!$A$15-('Control Room'!$B$15-1)/2)/MAX(0.5,'Control Room'!$B$15/4))^2),1)*IF(AND($A212&gt;='Control Room'!$A$16,$A212&lt;'Control Room'!$A$16+'Control Room'!$B$16,'Process'!BO5=1),1+('Control Room'!$C$16-1)*EXP(-0.5*(($A212-'Control Room'!$A$16-('Control Room'!$B$16-1)/2)/MAX(0.5,'Control Room'!$B$16/4))^2),1)</x:f>
        <x:v>1</x:v>
      </x:c>
      <x:c r="AA212" s="9" t="n">
        <x:f>MOD(AB211*16807,2147483647)</x:f>
        <x:v>1030730551</x:v>
      </x:c>
      <x:c r="AB212" s="9" t="n">
        <x:f>MOD(AA212*16807,2147483647)</x:f>
        <x:v>1885273955</x:v>
      </x:c>
      <x:c r="AC212" s="17" t="n">
        <x:f>IF('Control Room'!$B$5="Normal",'Control Room'!$B$7+'Control Room'!$D$7*SQRT(-2*LN(MAX(0.000000000001,AA212/2147483647)))*COS(2*PI()*AB212/2147483647),'Control Room'!$B$8+('Control Room'!$D$8-'Control Room'!$B$8)*AA212/2147483647)</x:f>
        <x:v>1078.4996347314159</x:v>
      </x:c>
      <x:c r="AD212" s="17" t="n">
        <x:f>IF('Control Room'!$B$5="Normal",'Control Room'!$B$7,('Control Room'!$B$8+'Control Room'!$D$8)/2)+'Control Room'!$B$9*(AD211-IF('Control Room'!$B$5="Normal",'Control Room'!$B$7,('Control Room'!$B$8+'Control Room'!$D$8)/2))+SQRT(1-'Control Room'!$B$9^2)*(AC212-IF('Control Room'!$B$5="Normal",'Control Room'!$B$7,('Control Room'!$B$8+'Control Room'!$D$8)/2))</x:f>
        <x:v>1083.1859671099462</x:v>
      </x:c>
      <x:c r="AE212" s="17" t="n">
        <x:f>IF(AND($A212&gt;='Control Room'!$A$13,$A212&lt;'Control Room'!$A$13+'Control Room'!$B$13,'Process'!BP2=1),1+('Control Room'!$C$13-1)*EXP(-0.5*(($A212-'Control Room'!$A$13-('Control Room'!$B$13-1)/2)/MAX(0.5,'Control Room'!$B$13/4))^2),1)*IF(AND($A212&gt;='Control Room'!$A$14,$A212&lt;'Control Room'!$A$14+'Control Room'!$B$14,'Process'!BP3=1),1+('Control Room'!$C$14-1)*EXP(-0.5*(($A212-'Control Room'!$A$14-('Control Room'!$B$14-1)/2)/MAX(0.5,'Control Room'!$B$14/4))^2),1)*IF(AND($A212&gt;='Control Room'!$A$15,$A212&lt;'Control Room'!$A$15+'Control Room'!$B$15,'Process'!BP4=1),1+('Control Room'!$C$15-1)*EXP(-0.5*(($A212-'Control Room'!$A$15-('Control Room'!$B$15-1)/2)/MAX(0.5,'Control Room'!$B$15/4))^2),1)*IF(AND($A212&gt;='Control Room'!$A$16,$A212&lt;'Control Room'!$A$16+'Control Room'!$B$16,'Process'!BP5=1),1+('Control Room'!$C$16-1)*EXP(-0.5*(($A212-'Control Room'!$A$16-('Control Room'!$B$16-1)/2)/MAX(0.5,'Control Room'!$B$16/4))^2),1)</x:f>
        <x:v>1</x:v>
      </x:c>
      <x:c r="AF212" s="9" t="n">
        <x:f>MOD(AG211*16807,2147483647)</x:f>
        <x:v>83927327</x:v>
      </x:c>
      <x:c r="AG212" s="9" t="n">
        <x:f>MOD(AF212*16807,2147483647)</x:f>
        <x:v>1817312457</x:v>
      </x:c>
      <x:c r="AH212" s="17" t="n">
        <x:f>IF('Control Room'!$B$5="Normal",'Control Room'!$B$7+'Control Room'!$D$7*SQRT(-2*LN(MAX(0.000000000001,AF212/2147483647)))*COS(2*PI()*AG212/2147483647),'Control Room'!$B$8+('Control Room'!$D$8-'Control Room'!$B$8)*AF212/2147483647)</x:f>
        <x:v>1130.3036573016925</x:v>
      </x:c>
      <x:c r="AI212" s="17" t="n">
        <x:f>IF('Control Room'!$B$5="Normal",'Control Room'!$B$7,('Control Room'!$B$8+'Control Room'!$D$8)/2)+'Control Room'!$B$9*(AI211-IF('Control Room'!$B$5="Normal",'Control Room'!$B$7,('Control Room'!$B$8+'Control Room'!$D$8)/2))+SQRT(1-'Control Room'!$B$9^2)*(AH212-IF('Control Room'!$B$5="Normal",'Control Room'!$B$7,('Control Room'!$B$8+'Control Room'!$D$8)/2))</x:f>
        <x:v>1038.1444735062125</x:v>
      </x:c>
      <x:c r="AJ212" s="17" t="n">
        <x:f>IF(AND($A212&gt;='Control Room'!$A$13,$A212&lt;'Control Room'!$A$13+'Control Room'!$B$13,'Process'!BQ2=1),1+('Control Room'!$C$13-1)*EXP(-0.5*(($A212-'Control Room'!$A$13-('Control Room'!$B$13-1)/2)/MAX(0.5,'Control Room'!$B$13/4))^2),1)*IF(AND($A212&gt;='Control Room'!$A$14,$A212&lt;'Control Room'!$A$14+'Control Room'!$B$14,'Process'!BQ3=1),1+('Control Room'!$C$14-1)*EXP(-0.5*(($A212-'Control Room'!$A$14-('Control Room'!$B$14-1)/2)/MAX(0.5,'Control Room'!$B$14/4))^2),1)*IF(AND($A212&gt;='Control Room'!$A$15,$A212&lt;'Control Room'!$A$15+'Control Room'!$B$15,'Process'!BQ4=1),1+('Control Room'!$C$15-1)*EXP(-0.5*(($A212-'Control Room'!$A$15-('Control Room'!$B$15-1)/2)/MAX(0.5,'Control Room'!$B$15/4))^2),1)*IF(AND($A212&gt;='Control Room'!$A$16,$A212&lt;'Control Room'!$A$16+'Control Room'!$B$16,'Process'!BQ5=1),1+('Control Room'!$C$16-1)*EXP(-0.5*(($A212-'Control Room'!$A$16-('Control Room'!$B$16-1)/2)/MAX(0.5,'Control Room'!$B$16/4))^2),1)</x:f>
        <x:v>1</x:v>
      </x:c>
      <x:c r="AK212" s="9" t="n">
        <x:f>MOD(AL211*16807,2147483647)</x:f>
        <x:v>1284607750</x:v>
      </x:c>
      <x:c r="AL212" s="9" t="n">
        <x:f>MOD(AK212*16807,2147483647)</x:f>
        <x:v>1749350959</x:v>
      </x:c>
      <x:c r="AM212" s="17" t="n">
        <x:f>IF('Control Room'!$B$5="Normal",'Control Room'!$B$7+'Control Room'!$D$7*SQRT(-2*LN(MAX(0.000000000001,AK212/2147483647)))*COS(2*PI()*AL212/2147483647),'Control Room'!$B$8+('Control Room'!$D$8-'Control Room'!$B$8)*AK212/2147483647)</x:f>
        <x:v>1036.0268230334764</x:v>
      </x:c>
      <x:c r="AN212" s="17" t="n">
        <x:f>IF('Control Room'!$B$5="Normal",'Control Room'!$B$7,('Control Room'!$B$8+'Control Room'!$D$8)/2)+'Control Room'!$B$9*(AN211-IF('Control Room'!$B$5="Normal",'Control Room'!$B$7,('Control Room'!$B$8+'Control Room'!$D$8)/2))+SQRT(1-'Control Room'!$B$9^2)*(AM212-IF('Control Room'!$B$5="Normal",'Control Room'!$B$7,('Control Room'!$B$8+'Control Room'!$D$8)/2))</x:f>
        <x:v>1011.0395227038157</x:v>
      </x:c>
      <x:c r="AO212" s="17" t="n">
        <x:f>IF(AND($A212&gt;='Control Room'!$A$13,$A212&lt;'Control Room'!$A$13+'Control Room'!$B$13,'Process'!BR2=1),1+('Control Room'!$C$13-1)*EXP(-0.5*(($A212-'Control Room'!$A$13-('Control Room'!$B$13-1)/2)/MAX(0.5,'Control Room'!$B$13/4))^2),1)*IF(AND($A212&gt;='Control Room'!$A$14,$A212&lt;'Control Room'!$A$14+'Control Room'!$B$14,'Process'!BR3=1),1+('Control Room'!$C$14-1)*EXP(-0.5*(($A212-'Control Room'!$A$14-('Control Room'!$B$14-1)/2)/MAX(0.5,'Control Room'!$B$14/4))^2),1)*IF(AND($A212&gt;='Control Room'!$A$15,$A212&lt;'Control Room'!$A$15+'Control Room'!$B$15,'Process'!BR4=1),1+('Control Room'!$C$15-1)*EXP(-0.5*(($A212-'Control Room'!$A$15-('Control Room'!$B$15-1)/2)/MAX(0.5,'Control Room'!$B$15/4))^2),1)*IF(AND($A212&gt;='Control Room'!$A$16,$A212&lt;'Control Room'!$A$16+'Control Room'!$B$16,'Process'!BR5=1),1+('Control Room'!$C$16-1)*EXP(-0.5*(($A212-'Control Room'!$A$16-('Control Room'!$B$16-1)/2)/MAX(0.5,'Control Room'!$B$16/4))^2),1)</x:f>
        <x:v>1</x:v>
      </x:c>
      <x:c r="AP212" s="9" t="n">
        <x:f>MOD(AQ211*16807,2147483647)</x:f>
        <x:v>337804526</x:v>
      </x:c>
      <x:c r="AQ212" s="9" t="n">
        <x:f>MOD(AP212*16807,2147483647)</x:f>
        <x:v>1681389461</x:v>
      </x:c>
      <x:c r="AR212" s="17" t="n">
        <x:f>IF('Control Room'!$B$5="Normal",'Control Room'!$B$7+'Control Room'!$D$7*SQRT(-2*LN(MAX(0.000000000001,AP212/2147483647)))*COS(2*PI()*AQ212/2147483647),'Control Room'!$B$8+('Control Room'!$D$8-'Control Room'!$B$8)*AP212/2147483647)</x:f>
        <x:v>1035.5898935144605</x:v>
      </x:c>
      <x:c r="AS212" s="17" t="n">
        <x:f>IF('Control Room'!$B$5="Normal",'Control Room'!$B$7,('Control Room'!$B$8+'Control Room'!$D$8)/2)+'Control Room'!$B$9*(AS211-IF('Control Room'!$B$5="Normal",'Control Room'!$B$7,('Control Room'!$B$8+'Control Room'!$D$8)/2))+SQRT(1-'Control Room'!$B$9^2)*(AR212-IF('Control Room'!$B$5="Normal",'Control Room'!$B$7,('Control Room'!$B$8+'Control Room'!$D$8)/2))</x:f>
        <x:v>1053.5533415371851</x:v>
      </x:c>
      <x:c r="AT212" s="17" t="n">
        <x:f>IF(AND($A212&gt;='Control Room'!$A$13,$A212&lt;'Control Room'!$A$13+'Control Room'!$B$13,'Process'!BS2=1),1+('Control Room'!$C$13-1)*EXP(-0.5*(($A212-'Control Room'!$A$13-('Control Room'!$B$13-1)/2)/MAX(0.5,'Control Room'!$B$13/4))^2),1)*IF(AND($A212&gt;='Control Room'!$A$14,$A212&lt;'Control Room'!$A$14+'Control Room'!$B$14,'Process'!BS3=1),1+('Control Room'!$C$14-1)*EXP(-0.5*(($A212-'Control Room'!$A$14-('Control Room'!$B$14-1)/2)/MAX(0.5,'Control Room'!$B$14/4))^2),1)*IF(AND($A212&gt;='Control Room'!$A$15,$A212&lt;'Control Room'!$A$15+'Control Room'!$B$15,'Process'!BS4=1),1+('Control Room'!$C$15-1)*EXP(-0.5*(($A212-'Control Room'!$A$15-('Control Room'!$B$15-1)/2)/MAX(0.5,'Control Room'!$B$15/4))^2),1)*IF(AND($A212&gt;='Control Room'!$A$16,$A212&lt;'Control Room'!$A$16+'Control Room'!$B$16,'Process'!BS5=1),1+('Control Room'!$C$16-1)*EXP(-0.5*(($A212-'Control Room'!$A$16-('Control Room'!$B$16-1)/2)/MAX(0.5,'Control Room'!$B$16/4))^2),1)</x:f>
        <x:v>1</x:v>
      </x:c>
      <x:c r="AU212" s="9" t="n">
        <x:f>MOD(AV211*16807,2147483647)</x:f>
        <x:v>1538484949</x:v>
      </x:c>
      <x:c r="AV212" s="9" t="n">
        <x:f>MOD(AU212*16807,2147483647)</x:f>
        <x:v>1613427963</x:v>
      </x:c>
      <x:c r="AW212" s="17" t="n">
        <x:f>IF('Control Room'!$B$5="Normal",'Control Room'!$B$7+'Control Room'!$D$7*SQRT(-2*LN(MAX(0.000000000001,AU212/2147483647)))*COS(2*PI()*AV212/2147483647),'Control Room'!$B$8+('Control Room'!$D$8-'Control Room'!$B$8)*AU212/2147483647)</x:f>
        <x:v>1000.6054289156789</x:v>
      </x:c>
      <x:c r="AX212" s="17" t="n">
        <x:f>IF('Control Room'!$B$5="Normal",'Control Room'!$B$7,('Control Room'!$B$8+'Control Room'!$D$8)/2)+'Control Room'!$B$9*(AX211-IF('Control Room'!$B$5="Normal",'Control Room'!$B$7,('Control Room'!$B$8+'Control Room'!$D$8)/2))+SQRT(1-'Control Room'!$B$9^2)*(AW212-IF('Control Room'!$B$5="Normal",'Control Room'!$B$7,('Control Room'!$B$8+'Control Room'!$D$8)/2))</x:f>
        <x:v>1061.768940672207</x:v>
      </x:c>
      <x:c r="AY212" s="17" t="n">
        <x:f>IF(AND($A212&gt;='Control Room'!$A$13,$A212&lt;'Control Room'!$A$13+'Control Room'!$B$13,'Process'!BT2=1),1+('Control Room'!$C$13-1)*EXP(-0.5*(($A212-'Control Room'!$A$13-('Control Room'!$B$13-1)/2)/MAX(0.5,'Control Room'!$B$13/4))^2),1)*IF(AND($A212&gt;='Control Room'!$A$14,$A212&lt;'Control Room'!$A$14+'Control Room'!$B$14,'Process'!BT3=1),1+('Control Room'!$C$14-1)*EXP(-0.5*(($A212-'Control Room'!$A$14-('Control Room'!$B$14-1)/2)/MAX(0.5,'Control Room'!$B$14/4))^2),1)*IF(AND($A212&gt;='Control Room'!$A$15,$A212&lt;'Control Room'!$A$15+'Control Room'!$B$15,'Process'!BT4=1),1+('Control Room'!$C$15-1)*EXP(-0.5*(($A212-'Control Room'!$A$15-('Control Room'!$B$15-1)/2)/MAX(0.5,'Control Room'!$B$15/4))^2),1)*IF(AND($A212&gt;='Control Room'!$A$16,$A212&lt;'Control Room'!$A$16+'Control Room'!$B$16,'Process'!BT5=1),1+('Control Room'!$C$16-1)*EXP(-0.5*(($A212-'Control Room'!$A$16-('Control Room'!$B$16-1)/2)/MAX(0.5,'Control Room'!$B$16/4))^2),1)</x:f>
        <x:v>1</x:v>
      </x:c>
      <x:c r="AZ212" s="9" t="n">
        <x:f>MOD(BA211*16807,2147483647)</x:f>
        <x:v>591681725</x:v>
      </x:c>
      <x:c r="BA212" s="9" t="n">
        <x:f>MOD(AZ212*16807,2147483647)</x:f>
        <x:v>1545466465</x:v>
      </x:c>
      <x:c r="BB212" s="17" t="n">
        <x:f>IF('Control Room'!$B$5="Normal",'Control Room'!$B$7+'Control Room'!$D$7*SQRT(-2*LN(MAX(0.000000000001,AZ212/2147483647)))*COS(2*PI()*BA212/2147483647),'Control Room'!$B$8+('Control Room'!$D$8-'Control Room'!$B$8)*AZ212/2147483647)</x:f>
        <x:v>972.6218178454633</x:v>
      </x:c>
      <x:c r="BC212" s="17" t="n">
        <x:f>IF('Control Room'!$B$5="Normal",'Control Room'!$B$7,('Control Room'!$B$8+'Control Room'!$D$8)/2)+'Control Room'!$B$9*(BC211-IF('Control Room'!$B$5="Normal",'Control Room'!$B$7,('Control Room'!$B$8+'Control Room'!$D$8)/2))+SQRT(1-'Control Room'!$B$9^2)*(BB212-IF('Control Room'!$B$5="Normal",'Control Room'!$B$7,('Control Room'!$B$8+'Control Room'!$D$8)/2))</x:f>
        <x:v>922.1744258293269</x:v>
      </x:c>
      <x:c r="BD212" s="17" t="n">
        <x:f>IF(AND($A212&gt;='Control Room'!$A$13,$A212&lt;'Control Room'!$A$13+'Control Room'!$B$13,'Process'!BU2=1),1+('Control Room'!$C$13-1)*EXP(-0.5*(($A212-'Control Room'!$A$13-('Control Room'!$B$13-1)/2)/MAX(0.5,'Control Room'!$B$13/4))^2),1)*IF(AND($A212&gt;='Control Room'!$A$14,$A212&lt;'Control Room'!$A$14+'Control Room'!$B$14,'Process'!BU3=1),1+('Control Room'!$C$14-1)*EXP(-0.5*(($A212-'Control Room'!$A$14-('Control Room'!$B$14-1)/2)/MAX(0.5,'Control Room'!$B$14/4))^2),1)*IF(AND($A212&gt;='Control Room'!$A$15,$A212&lt;'Control Room'!$A$15+'Control Room'!$B$15,'Process'!BU4=1),1+('Control Room'!$C$15-1)*EXP(-0.5*(($A212-'Control Room'!$A$15-('Control Room'!$B$15-1)/2)/MAX(0.5,'Control Room'!$B$15/4))^2),1)*IF(AND($A212&gt;='Control Room'!$A$16,$A212&lt;'Control Room'!$A$16+'Control Room'!$B$16,'Process'!BU5=1),1+('Control Room'!$C$16-1)*EXP(-0.5*(($A212-'Control Room'!$A$16-('Control Room'!$B$16-1)/2)/MAX(0.5,'Control Room'!$B$16/4))^2),1)</x:f>
        <x:v>1</x:v>
      </x:c>
      <x:c r="BE212" s="9" t="n">
        <x:f>MOD(BF211*16807,2147483647)</x:f>
        <x:v>1792362148</x:v>
      </x:c>
      <x:c r="BF212" s="9" t="n">
        <x:f>MOD(BE212*16807,2147483647)</x:f>
        <x:v>1477504967</x:v>
      </x:c>
      <x:c r="BG212" s="17" t="n">
        <x:f>IF('Control Room'!$B$5="Normal",'Control Room'!$B$7+'Control Room'!$D$7*SQRT(-2*LN(MAX(0.000000000001,BE212/2147483647)))*COS(2*PI()*BF212/2147483647),'Control Room'!$B$8+('Control Room'!$D$8-'Control Room'!$B$8)*BE212/2147483647)</x:f>
        <x:v>979.4538494917078</x:v>
      </x:c>
      <x:c r="BH212" s="17" t="n">
        <x:f>IF('Control Room'!$B$5="Normal",'Control Room'!$B$7,('Control Room'!$B$8+'Control Room'!$D$8)/2)+'Control Room'!$B$9*(BH211-IF('Control Room'!$B$5="Normal",'Control Room'!$B$7,('Control Room'!$B$8+'Control Room'!$D$8)/2))+SQRT(1-'Control Room'!$B$9^2)*(BG212-IF('Control Room'!$B$5="Normal",'Control Room'!$B$7,('Control Room'!$B$8+'Control Room'!$D$8)/2))</x:f>
        <x:v>827.7388192245195</x:v>
      </x:c>
      <x:c r="BI212" s="17" t="n">
        <x:f>IF(AND($A212&gt;='Control Room'!$A$13,$A212&lt;'Control Room'!$A$13+'Control Room'!$B$13,'Process'!BV2=1),1+('Control Room'!$C$13-1)*EXP(-0.5*(($A212-'Control Room'!$A$13-('Control Room'!$B$13-1)/2)/MAX(0.5,'Control Room'!$B$13/4))^2),1)*IF(AND($A212&gt;='Control Room'!$A$14,$A212&lt;'Control Room'!$A$14+'Control Room'!$B$14,'Process'!BV3=1),1+('Control Room'!$C$14-1)*EXP(-0.5*(($A212-'Control Room'!$A$14-('Control Room'!$B$14-1)/2)/MAX(0.5,'Control Room'!$B$14/4))^2),1)*IF(AND($A212&gt;='Control Room'!$A$15,$A212&lt;'Control Room'!$A$15+'Control Room'!$B$15,'Process'!BV4=1),1+('Control Room'!$C$15-1)*EXP(-0.5*(($A212-'Control Room'!$A$15-('Control Room'!$B$15-1)/2)/MAX(0.5,'Control Room'!$B$15/4))^2),1)*IF(AND($A212&gt;='Control Room'!$A$16,$A212&lt;'Control Room'!$A$16+'Control Room'!$B$16,'Process'!BV5=1),1+('Control Room'!$C$16-1)*EXP(-0.5*(($A212-'Control Room'!$A$16-('Control Room'!$B$16-1)/2)/MAX(0.5,'Control Room'!$B$16/4))^2),1)</x:f>
        <x:v>1</x:v>
      </x:c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Z212" t="str">
        <x:f>IF('Data'!A212="","",TEXT('Data'!A212,"mm-dd"))</x:f>
      </x:c>
    </x:row>
    <x:row r="213" ht="21" customHeight="1">
      <x:c r="A213" s="15" t="n">
        <x:f>'Control Room'!$B$1+211</x:f>
        <x:v>73202</x:v>
      </x:c>
      <x:c r="B213" s="9" t="n">
        <x:f>MOD(C212*16807,2147483647)</x:f>
        <x:v>663617257</x:v>
      </x:c>
      <x:c r="C213" s="9" t="n">
        <x:f>MOD(B213*16807,2147483647)</x:f>
        <x:v>1532659528</x:v>
      </x:c>
      <x:c r="D213" s="17" t="n">
        <x:f>IF('Control Room'!$B$5="Normal",'Control Room'!$B$7+'Control Room'!$D$7*SQRT(-2*LN(MAX(0.000000000001,B213/2147483647)))*COS(2*PI()*C213/2147483647),'Control Room'!$B$8+('Control Room'!$D$8-'Control Room'!$B$8)*B213/2147483647)</x:f>
        <x:v>968.8134194251196</x:v>
      </x:c>
      <x:c r="E213" s="17" t="n">
        <x:f>IF('Control Room'!$B$5="Normal",'Control Room'!$B$7,('Control Room'!$B$8+'Control Room'!$D$8)/2)+'Control Room'!$B$9*(E212-IF('Control Room'!$B$5="Normal",'Control Room'!$B$7,('Control Room'!$B$8+'Control Room'!$D$8)/2))+SQRT(1-'Control Room'!$B$9^2)*(D213-IF('Control Room'!$B$5="Normal",'Control Room'!$B$7,('Control Room'!$B$8+'Control Room'!$D$8)/2))</x:f>
        <x:v>1028.696421828811</x:v>
      </x:c>
      <x:c r="F213" s="17" t="n">
        <x:f>IF(AND($A213&gt;='Control Room'!$A$13,$A213&lt;'Control Room'!$A$13+'Control Room'!$B$13,'Process'!BK2=1),1+('Control Room'!$C$13-1)*EXP(-0.5*(($A213-'Control Room'!$A$13-('Control Room'!$B$13-1)/2)/MAX(0.5,'Control Room'!$B$13/4))^2),1)*IF(AND($A213&gt;='Control Room'!$A$14,$A213&lt;'Control Room'!$A$14+'Control Room'!$B$14,'Process'!BK3=1),1+('Control Room'!$C$14-1)*EXP(-0.5*(($A213-'Control Room'!$A$14-('Control Room'!$B$14-1)/2)/MAX(0.5,'Control Room'!$B$14/4))^2),1)*IF(AND($A213&gt;='Control Room'!$A$15,$A213&lt;'Control Room'!$A$15+'Control Room'!$B$15,'Process'!BK4=1),1+('Control Room'!$C$15-1)*EXP(-0.5*(($A213-'Control Room'!$A$15-('Control Room'!$B$15-1)/2)/MAX(0.5,'Control Room'!$B$15/4))^2),1)*IF(AND($A213&gt;='Control Room'!$A$16,$A213&lt;'Control Room'!$A$16+'Control Room'!$B$16,'Process'!BK5=1),1+('Control Room'!$C$16-1)*EXP(-0.5*(($A213-'Control Room'!$A$16-('Control Room'!$B$16-1)/2)/MAX(0.5,'Control Room'!$B$16/4))^2),1)</x:f>
        <x:v>1</x:v>
      </x:c>
      <x:c r="G213" s="9" t="n">
        <x:f>MOD(H212*16807,2147483647)</x:f>
        <x:v>896020575</x:v>
      </x:c>
      <x:c r="H213" s="9" t="n">
        <x:f>MOD(G213*16807,2147483647)</x:f>
        <x:v>1262471261</x:v>
      </x:c>
      <x:c r="I213" s="17" t="n">
        <x:f>IF('Control Room'!$B$5="Normal",'Control Room'!$B$7+'Control Room'!$D$7*SQRT(-2*LN(MAX(0.000000000001,G213/2147483647)))*COS(2*PI()*H213/2147483647),'Control Room'!$B$8+('Control Room'!$D$8-'Control Room'!$B$8)*G213/2147483647)</x:f>
        <x:v>898.6888625572021</x:v>
      </x:c>
      <x:c r="J213" s="17" t="n">
        <x:f>IF('Control Room'!$B$5="Normal",'Control Room'!$B$7,('Control Room'!$B$8+'Control Room'!$D$8)/2)+'Control Room'!$B$9*(J212-IF('Control Room'!$B$5="Normal",'Control Room'!$B$7,('Control Room'!$B$8+'Control Room'!$D$8)/2))+SQRT(1-'Control Room'!$B$9^2)*(I213-IF('Control Room'!$B$5="Normal",'Control Room'!$B$7,('Control Room'!$B$8+'Control Room'!$D$8)/2))</x:f>
        <x:v>975.2284363811744</x:v>
      </x:c>
      <x:c r="K213" s="17" t="n">
        <x:f>IF(AND($A213&gt;='Control Room'!$A$13,$A213&lt;'Control Room'!$A$13+'Control Room'!$B$13,'Process'!BL2=1),1+('Control Room'!$C$13-1)*EXP(-0.5*(($A213-'Control Room'!$A$13-('Control Room'!$B$13-1)/2)/MAX(0.5,'Control Room'!$B$13/4))^2),1)*IF(AND($A213&gt;='Control Room'!$A$14,$A213&lt;'Control Room'!$A$14+'Control Room'!$B$14,'Process'!BL3=1),1+('Control Room'!$C$14-1)*EXP(-0.5*(($A213-'Control Room'!$A$14-('Control Room'!$B$14-1)/2)/MAX(0.5,'Control Room'!$B$14/4))^2),1)*IF(AND($A213&gt;='Control Room'!$A$15,$A213&lt;'Control Room'!$A$15+'Control Room'!$B$15,'Process'!BL4=1),1+('Control Room'!$C$15-1)*EXP(-0.5*(($A213-'Control Room'!$A$15-('Control Room'!$B$15-1)/2)/MAX(0.5,'Control Room'!$B$15/4))^2),1)*IF(AND($A213&gt;='Control Room'!$A$16,$A213&lt;'Control Room'!$A$16+'Control Room'!$B$16,'Process'!BL5=1),1+('Control Room'!$C$16-1)*EXP(-0.5*(($A213-'Control Room'!$A$16-('Control Room'!$B$16-1)/2)/MAX(0.5,'Control Room'!$B$16/4))^2),1)</x:f>
        <x:v>1</x:v>
      </x:c>
      <x:c r="L213" s="9" t="n">
        <x:f>MOD(M212*16807,2147483647)</x:f>
        <x:v>1128423893</x:v>
      </x:c>
      <x:c r="M213" s="9" t="n">
        <x:f>MOD(L213*16807,2147483647)</x:f>
        <x:v>992282994</x:v>
      </x:c>
      <x:c r="N213" s="17" t="n">
        <x:f>IF('Control Room'!$B$5="Normal",'Control Room'!$B$7+'Control Room'!$D$7*SQRT(-2*LN(MAX(0.000000000001,L213/2147483647)))*COS(2*PI()*M213/2147483647),'Control Room'!$B$8+('Control Room'!$D$8-'Control Room'!$B$8)*L213/2147483647)</x:f>
        <x:v>900.7866822501489</x:v>
      </x:c>
      <x:c r="O213" s="17" t="n">
        <x:f>IF('Control Room'!$B$5="Normal",'Control Room'!$B$7,('Control Room'!$B$8+'Control Room'!$D$8)/2)+'Control Room'!$B$9*(O212-IF('Control Room'!$B$5="Normal",'Control Room'!$B$7,('Control Room'!$B$8+'Control Room'!$D$8)/2))+SQRT(1-'Control Room'!$B$9^2)*(N213-IF('Control Room'!$B$5="Normal",'Control Room'!$B$7,('Control Room'!$B$8+'Control Room'!$D$8)/2))</x:f>
        <x:v>1058.643813672309</x:v>
      </x:c>
      <x:c r="P213" s="17" t="n">
        <x:f>IF(AND($A213&gt;='Control Room'!$A$13,$A213&lt;'Control Room'!$A$13+'Control Room'!$B$13,'Process'!BM2=1),1+('Control Room'!$C$13-1)*EXP(-0.5*(($A213-'Control Room'!$A$13-('Control Room'!$B$13-1)/2)/MAX(0.5,'Control Room'!$B$13/4))^2),1)*IF(AND($A213&gt;='Control Room'!$A$14,$A213&lt;'Control Room'!$A$14+'Control Room'!$B$14,'Process'!BM3=1),1+('Control Room'!$C$14-1)*EXP(-0.5*(($A213-'Control Room'!$A$14-('Control Room'!$B$14-1)/2)/MAX(0.5,'Control Room'!$B$14/4))^2),1)*IF(AND($A213&gt;='Control Room'!$A$15,$A213&lt;'Control Room'!$A$15+'Control Room'!$B$15,'Process'!BM4=1),1+('Control Room'!$C$15-1)*EXP(-0.5*(($A213-'Control Room'!$A$15-('Control Room'!$B$15-1)/2)/MAX(0.5,'Control Room'!$B$15/4))^2),1)*IF(AND($A213&gt;='Control Room'!$A$16,$A213&lt;'Control Room'!$A$16+'Control Room'!$B$16,'Process'!BM5=1),1+('Control Room'!$C$16-1)*EXP(-0.5*(($A213-'Control Room'!$A$16-('Control Room'!$B$16-1)/2)/MAX(0.5,'Control Room'!$B$16/4))^2),1)</x:f>
        <x:v>1</x:v>
      </x:c>
      <x:c r="Q213" s="9" t="n">
        <x:f>MOD(R212*16807,2147483647)</x:f>
        <x:v>1360827211</x:v>
      </x:c>
      <x:c r="R213" s="9" t="n">
        <x:f>MOD(Q213*16807,2147483647)</x:f>
        <x:v>722094727</x:v>
      </x:c>
      <x:c r="S213" s="17" t="n">
        <x:f>IF('Control Room'!$B$5="Normal",'Control Room'!$B$7+'Control Room'!$D$7*SQRT(-2*LN(MAX(0.000000000001,Q213/2147483647)))*COS(2*PI()*R213/2147483647),'Control Room'!$B$8+('Control Room'!$D$8-'Control Room'!$B$8)*Q213/2147483647)</x:f>
        <x:v>955.658172450218</x:v>
      </x:c>
      <x:c r="T213" s="17" t="n">
        <x:f>IF('Control Room'!$B$5="Normal",'Control Room'!$B$7,('Control Room'!$B$8+'Control Room'!$D$8)/2)+'Control Room'!$B$9*(T212-IF('Control Room'!$B$5="Normal",'Control Room'!$B$7,('Control Room'!$B$8+'Control Room'!$D$8)/2))+SQRT(1-'Control Room'!$B$9^2)*(S213-IF('Control Room'!$B$5="Normal",'Control Room'!$B$7,('Control Room'!$B$8+'Control Room'!$D$8)/2))</x:f>
        <x:v>1069.3971453762367</x:v>
      </x:c>
      <x:c r="U213" s="17" t="n">
        <x:f>IF(AND($A213&gt;='Control Room'!$A$13,$A213&lt;'Control Room'!$A$13+'Control Room'!$B$13,'Process'!BN2=1),1+('Control Room'!$C$13-1)*EXP(-0.5*(($A213-'Control Room'!$A$13-('Control Room'!$B$13-1)/2)/MAX(0.5,'Control Room'!$B$13/4))^2),1)*IF(AND($A213&gt;='Control Room'!$A$14,$A213&lt;'Control Room'!$A$14+'Control Room'!$B$14,'Process'!BN3=1),1+('Control Room'!$C$14-1)*EXP(-0.5*(($A213-'Control Room'!$A$14-('Control Room'!$B$14-1)/2)/MAX(0.5,'Control Room'!$B$14/4))^2),1)*IF(AND($A213&gt;='Control Room'!$A$15,$A213&lt;'Control Room'!$A$15+'Control Room'!$B$15,'Process'!BN4=1),1+('Control Room'!$C$15-1)*EXP(-0.5*(($A213-'Control Room'!$A$15-('Control Room'!$B$15-1)/2)/MAX(0.5,'Control Room'!$B$15/4))^2),1)*IF(AND($A213&gt;='Control Room'!$A$16,$A213&lt;'Control Room'!$A$16+'Control Room'!$B$16,'Process'!BN5=1),1+('Control Room'!$C$16-1)*EXP(-0.5*(($A213-'Control Room'!$A$16-('Control Room'!$B$16-1)/2)/MAX(0.5,'Control Room'!$B$16/4))^2),1)</x:f>
        <x:v>1</x:v>
      </x:c>
      <x:c r="V213" s="9" t="n">
        <x:f>MOD(W212*16807,2147483647)</x:f>
        <x:v>1593230529</x:v>
      </x:c>
      <x:c r="W213" s="9" t="n">
        <x:f>MOD(V213*16807,2147483647)</x:f>
        <x:v>451906460</x:v>
      </x:c>
      <x:c r="X213" s="17" t="n">
        <x:f>IF('Control Room'!$B$5="Normal",'Control Room'!$B$7+'Control Room'!$D$7*SQRT(-2*LN(MAX(0.000000000001,V213/2147483647)))*COS(2*PI()*W213/2147483647),'Control Room'!$B$8+('Control Room'!$D$8-'Control Room'!$B$8)*V213/2147483647)</x:f>
        <x:v>1017.1103392679294</x:v>
      </x:c>
      <x:c r="Y213" s="17" t="n">
        <x:f>IF('Control Room'!$B$5="Normal",'Control Room'!$B$7,('Control Room'!$B$8+'Control Room'!$D$8)/2)+'Control Room'!$B$9*(Y212-IF('Control Room'!$B$5="Normal",'Control Room'!$B$7,('Control Room'!$B$8+'Control Room'!$D$8)/2))+SQRT(1-'Control Room'!$B$9^2)*(X213-IF('Control Room'!$B$5="Normal",'Control Room'!$B$7,('Control Room'!$B$8+'Control Room'!$D$8)/2))</x:f>
        <x:v>920.2901368335284</x:v>
      </x:c>
      <x:c r="Z213" s="17" t="n">
        <x:f>IF(AND($A213&gt;='Control Room'!$A$13,$A213&lt;'Control Room'!$A$13+'Control Room'!$B$13,'Process'!BO2=1),1+('Control Room'!$C$13-1)*EXP(-0.5*(($A213-'Control Room'!$A$13-('Control Room'!$B$13-1)/2)/MAX(0.5,'Control Room'!$B$13/4))^2),1)*IF(AND($A213&gt;='Control Room'!$A$14,$A213&lt;'Control Room'!$A$14+'Control Room'!$B$14,'Process'!BO3=1),1+('Control Room'!$C$14-1)*EXP(-0.5*(($A213-'Control Room'!$A$14-('Control Room'!$B$14-1)/2)/MAX(0.5,'Control Room'!$B$14/4))^2),1)*IF(AND($A213&gt;='Control Room'!$A$15,$A213&lt;'Control Room'!$A$15+'Control Room'!$B$15,'Process'!BO4=1),1+('Control Room'!$C$15-1)*EXP(-0.5*(($A213-'Control Room'!$A$15-('Control Room'!$B$15-1)/2)/MAX(0.5,'Control Room'!$B$15/4))^2),1)*IF(AND($A213&gt;='Control Room'!$A$16,$A213&lt;'Control Room'!$A$16+'Control Room'!$B$16,'Process'!BO5=1),1+('Control Room'!$C$16-1)*EXP(-0.5*(($A213-'Control Room'!$A$16-('Control Room'!$B$16-1)/2)/MAX(0.5,'Control Room'!$B$16/4))^2),1)</x:f>
        <x:v>1</x:v>
      </x:c>
      <x:c r="AA213" s="9" t="n">
        <x:f>MOD(AB212*16807,2147483647)</x:f>
        <x:v>1825633847</x:v>
      </x:c>
      <x:c r="AB213" s="9" t="n">
        <x:f>MOD(AA213*16807,2147483647)</x:f>
        <x:v>181718193</x:v>
      </x:c>
      <x:c r="AC213" s="17" t="n">
        <x:f>IF('Control Room'!$B$5="Normal",'Control Room'!$B$7+'Control Room'!$D$7*SQRT(-2*LN(MAX(0.000000000001,AA213/2147483647)))*COS(2*PI()*AB213/2147483647),'Control Room'!$B$8+('Control Room'!$D$8-'Control Room'!$B$8)*AA213/2147483647)</x:f>
        <x:v>1044.2074776485656</x:v>
      </x:c>
      <x:c r="AD213" s="17" t="n">
        <x:f>IF('Control Room'!$B$5="Normal",'Control Room'!$B$7,('Control Room'!$B$8+'Control Room'!$D$8)/2)+'Control Room'!$B$9*(AD212-IF('Control Room'!$B$5="Normal",'Control Room'!$B$7,('Control Room'!$B$8+'Control Room'!$D$8)/2))+SQRT(1-'Control Room'!$B$9^2)*(AC213-IF('Control Room'!$B$5="Normal",'Control Room'!$B$7,('Control Room'!$B$8+'Control Room'!$D$8)/2))</x:f>
        <x:v>1092.549188218825</x:v>
      </x:c>
      <x:c r="AE213" s="17" t="n">
        <x:f>IF(AND($A213&gt;='Control Room'!$A$13,$A213&lt;'Control Room'!$A$13+'Control Room'!$B$13,'Process'!BP2=1),1+('Control Room'!$C$13-1)*EXP(-0.5*(($A213-'Control Room'!$A$13-('Control Room'!$B$13-1)/2)/MAX(0.5,'Control Room'!$B$13/4))^2),1)*IF(AND($A213&gt;='Control Room'!$A$14,$A213&lt;'Control Room'!$A$14+'Control Room'!$B$14,'Process'!BP3=1),1+('Control Room'!$C$14-1)*EXP(-0.5*(($A213-'Control Room'!$A$14-('Control Room'!$B$14-1)/2)/MAX(0.5,'Control Room'!$B$14/4))^2),1)*IF(AND($A213&gt;='Control Room'!$A$15,$A213&lt;'Control Room'!$A$15+'Control Room'!$B$15,'Process'!BP4=1),1+('Control Room'!$C$15-1)*EXP(-0.5*(($A213-'Control Room'!$A$15-('Control Room'!$B$15-1)/2)/MAX(0.5,'Control Room'!$B$15/4))^2),1)*IF(AND($A213&gt;='Control Room'!$A$16,$A213&lt;'Control Room'!$A$16+'Control Room'!$B$16,'Process'!BP5=1),1+('Control Room'!$C$16-1)*EXP(-0.5*(($A213-'Control Room'!$A$16-('Control Room'!$B$16-1)/2)/MAX(0.5,'Control Room'!$B$16/4))^2),1)</x:f>
        <x:v>1</x:v>
      </x:c>
      <x:c r="AF213" s="9" t="n">
        <x:f>MOD(AG212*16807,2147483647)</x:f>
        <x:v>2058037165</x:v>
      </x:c>
      <x:c r="AG213" s="9" t="n">
        <x:f>MOD(AF213*16807,2147483647)</x:f>
        <x:v>2059013573</x:v>
      </x:c>
      <x:c r="AH213" s="17" t="n">
        <x:f>IF('Control Room'!$B$5="Normal",'Control Room'!$B$7+'Control Room'!$D$7*SQRT(-2*LN(MAX(0.000000000001,AF213/2147483647)))*COS(2*PI()*AG213/2147483647),'Control Room'!$B$8+('Control Room'!$D$8-'Control Room'!$B$8)*AF213/2147483647)</x:f>
        <x:v>1025.378274271152</x:v>
      </x:c>
      <x:c r="AI213" s="17" t="n">
        <x:f>IF('Control Room'!$B$5="Normal",'Control Room'!$B$7,('Control Room'!$B$8+'Control Room'!$D$8)/2)+'Control Room'!$B$9*(AI212-IF('Control Room'!$B$5="Normal",'Control Room'!$B$7,('Control Room'!$B$8+'Control Room'!$D$8)/2))+SQRT(1-'Control Room'!$B$9^2)*(AH213-IF('Control Room'!$B$5="Normal",'Control Room'!$B$7,('Control Room'!$B$8+'Control Room'!$D$8)/2))</x:f>
        <x:v>1045.633893471525</x:v>
      </x:c>
      <x:c r="AJ213" s="17" t="n">
        <x:f>IF(AND($A213&gt;='Control Room'!$A$13,$A213&lt;'Control Room'!$A$13+'Control Room'!$B$13,'Process'!BQ2=1),1+('Control Room'!$C$13-1)*EXP(-0.5*(($A213-'Control Room'!$A$13-('Control Room'!$B$13-1)/2)/MAX(0.5,'Control Room'!$B$13/4))^2),1)*IF(AND($A213&gt;='Control Room'!$A$14,$A213&lt;'Control Room'!$A$14+'Control Room'!$B$14,'Process'!BQ3=1),1+('Control Room'!$C$14-1)*EXP(-0.5*(($A213-'Control Room'!$A$14-('Control Room'!$B$14-1)/2)/MAX(0.5,'Control Room'!$B$14/4))^2),1)*IF(AND($A213&gt;='Control Room'!$A$15,$A213&lt;'Control Room'!$A$15+'Control Room'!$B$15,'Process'!BQ4=1),1+('Control Room'!$C$15-1)*EXP(-0.5*(($A213-'Control Room'!$A$15-('Control Room'!$B$15-1)/2)/MAX(0.5,'Control Room'!$B$15/4))^2),1)*IF(AND($A213&gt;='Control Room'!$A$16,$A213&lt;'Control Room'!$A$16+'Control Room'!$B$16,'Process'!BQ5=1),1+('Control Room'!$C$16-1)*EXP(-0.5*(($A213-'Control Room'!$A$16-('Control Room'!$B$16-1)/2)/MAX(0.5,'Control Room'!$B$16/4))^2),1)</x:f>
        <x:v>1</x:v>
      </x:c>
      <x:c r="AK213" s="9" t="n">
        <x:f>MOD(AL212*16807,2147483647)</x:f>
        <x:v>142956836</x:v>
      </x:c>
      <x:c r="AL213" s="9" t="n">
        <x:f>MOD(AK213*16807,2147483647)</x:f>
        <x:v>1788825306</x:v>
      </x:c>
      <x:c r="AM213" s="17" t="n">
        <x:f>IF('Control Room'!$B$5="Normal",'Control Room'!$B$7+'Control Room'!$D$7*SQRT(-2*LN(MAX(0.000000000001,AK213/2147483647)))*COS(2*PI()*AL213/2147483647),'Control Room'!$B$8+('Control Room'!$D$8-'Control Room'!$B$8)*AK213/2147483647)</x:f>
        <x:v>1104.3591119103587</x:v>
      </x:c>
      <x:c r="AN213" s="17" t="n">
        <x:f>IF('Control Room'!$B$5="Normal",'Control Room'!$B$7,('Control Room'!$B$8+'Control Room'!$D$8)/2)+'Control Room'!$B$9*(AN212-IF('Control Room'!$B$5="Normal",'Control Room'!$B$7,('Control Room'!$B$8+'Control Room'!$D$8)/2))+SQRT(1-'Control Room'!$B$9^2)*(AM213-IF('Control Room'!$B$5="Normal",'Control Room'!$B$7,('Control Room'!$B$8+'Control Room'!$D$8)/2))</x:f>
        <x:v>1073.9166220298653</x:v>
      </x:c>
      <x:c r="AO213" s="17" t="n">
        <x:f>IF(AND($A213&gt;='Control Room'!$A$13,$A213&lt;'Control Room'!$A$13+'Control Room'!$B$13,'Process'!BR2=1),1+('Control Room'!$C$13-1)*EXP(-0.5*(($A213-'Control Room'!$A$13-('Control Room'!$B$13-1)/2)/MAX(0.5,'Control Room'!$B$13/4))^2),1)*IF(AND($A213&gt;='Control Room'!$A$14,$A213&lt;'Control Room'!$A$14+'Control Room'!$B$14,'Process'!BR3=1),1+('Control Room'!$C$14-1)*EXP(-0.5*(($A213-'Control Room'!$A$14-('Control Room'!$B$14-1)/2)/MAX(0.5,'Control Room'!$B$14/4))^2),1)*IF(AND($A213&gt;='Control Room'!$A$15,$A213&lt;'Control Room'!$A$15+'Control Room'!$B$15,'Process'!BR4=1),1+('Control Room'!$C$15-1)*EXP(-0.5*(($A213-'Control Room'!$A$15-('Control Room'!$B$15-1)/2)/MAX(0.5,'Control Room'!$B$15/4))^2),1)*IF(AND($A213&gt;='Control Room'!$A$16,$A213&lt;'Control Room'!$A$16+'Control Room'!$B$16,'Process'!BR5=1),1+('Control Room'!$C$16-1)*EXP(-0.5*(($A213-'Control Room'!$A$16-('Control Room'!$B$16-1)/2)/MAX(0.5,'Control Room'!$B$16/4))^2),1)</x:f>
        <x:v>1</x:v>
      </x:c>
      <x:c r="AP213" s="9" t="n">
        <x:f>MOD(AQ212*16807,2147483647)</x:f>
        <x:v>375360154</x:v>
      </x:c>
      <x:c r="AQ213" s="9" t="n">
        <x:f>MOD(AP213*16807,2147483647)</x:f>
        <x:v>1518637039</x:v>
      </x:c>
      <x:c r="AR213" s="17" t="n">
        <x:f>IF('Control Room'!$B$5="Normal",'Control Room'!$B$7+'Control Room'!$D$7*SQRT(-2*LN(MAX(0.000000000001,AP213/2147483647)))*COS(2*PI()*AQ213/2147483647),'Control Room'!$B$8+('Control Room'!$D$8-'Control Room'!$B$8)*AP213/2147483647)</x:f>
        <x:v>955.3090061036881</x:v>
      </x:c>
      <x:c r="AS213" s="17" t="n">
        <x:f>IF('Control Room'!$B$5="Normal",'Control Room'!$B$7,('Control Room'!$B$8+'Control Room'!$D$8)/2)+'Control Room'!$B$9*(AS212-IF('Control Room'!$B$5="Normal",'Control Room'!$B$7,('Control Room'!$B$8+'Control Room'!$D$8)/2))+SQRT(1-'Control Room'!$B$9^2)*(AR213-IF('Control Room'!$B$5="Normal",'Control Room'!$B$7,('Control Room'!$B$8+'Control Room'!$D$8)/2))</x:f>
        <x:v>1013.8048979634667</x:v>
      </x:c>
      <x:c r="AT213" s="17" t="n">
        <x:f>IF(AND($A213&gt;='Control Room'!$A$13,$A213&lt;'Control Room'!$A$13+'Control Room'!$B$13,'Process'!BS2=1),1+('Control Room'!$C$13-1)*EXP(-0.5*(($A213-'Control Room'!$A$13-('Control Room'!$B$13-1)/2)/MAX(0.5,'Control Room'!$B$13/4))^2),1)*IF(AND($A213&gt;='Control Room'!$A$14,$A213&lt;'Control Room'!$A$14+'Control Room'!$B$14,'Process'!BS3=1),1+('Control Room'!$C$14-1)*EXP(-0.5*(($A213-'Control Room'!$A$14-('Control Room'!$B$14-1)/2)/MAX(0.5,'Control Room'!$B$14/4))^2),1)*IF(AND($A213&gt;='Control Room'!$A$15,$A213&lt;'Control Room'!$A$15+'Control Room'!$B$15,'Process'!BS4=1),1+('Control Room'!$C$15-1)*EXP(-0.5*(($A213-'Control Room'!$A$15-('Control Room'!$B$15-1)/2)/MAX(0.5,'Control Room'!$B$15/4))^2),1)*IF(AND($A213&gt;='Control Room'!$A$16,$A213&lt;'Control Room'!$A$16+'Control Room'!$B$16,'Process'!BS5=1),1+('Control Room'!$C$16-1)*EXP(-0.5*(($A213-'Control Room'!$A$16-('Control Room'!$B$16-1)/2)/MAX(0.5,'Control Room'!$B$16/4))^2),1)</x:f>
        <x:v>1</x:v>
      </x:c>
      <x:c r="AU213" s="9" t="n">
        <x:f>MOD(AV212*16807,2147483647)</x:f>
        <x:v>607763472</x:v>
      </x:c>
      <x:c r="AV213" s="9" t="n">
        <x:f>MOD(AU213*16807,2147483647)</x:f>
        <x:v>1248448772</x:v>
      </x:c>
      <x:c r="AW213" s="17" t="n">
        <x:f>IF('Control Room'!$B$5="Normal",'Control Room'!$B$7+'Control Room'!$D$7*SQRT(-2*LN(MAX(0.000000000001,AU213/2147483647)))*COS(2*PI()*AV213/2147483647),'Control Room'!$B$8+('Control Room'!$D$8-'Control Room'!$B$8)*AU213/2147483647)</x:f>
        <x:v>875.2797455531418</x:v>
      </x:c>
      <x:c r="AX213" s="17" t="n">
        <x:f>IF('Control Room'!$B$5="Normal",'Control Room'!$B$7,('Control Room'!$B$8+'Control Room'!$D$8)/2)+'Control Room'!$B$9*(AX212-IF('Control Room'!$B$5="Normal",'Control Room'!$B$7,('Control Room'!$B$8+'Control Room'!$D$8)/2))+SQRT(1-'Control Room'!$B$9^2)*(AW213-IF('Control Room'!$B$5="Normal",'Control Room'!$B$7,('Control Room'!$B$8+'Control Room'!$D$8)/2))</x:f>
        <x:v>970.1323935247683</x:v>
      </x:c>
      <x:c r="AY213" s="17" t="n">
        <x:f>IF(AND($A213&gt;='Control Room'!$A$13,$A213&lt;'Control Room'!$A$13+'Control Room'!$B$13,'Process'!BT2=1),1+('Control Room'!$C$13-1)*EXP(-0.5*(($A213-'Control Room'!$A$13-('Control Room'!$B$13-1)/2)/MAX(0.5,'Control Room'!$B$13/4))^2),1)*IF(AND($A213&gt;='Control Room'!$A$14,$A213&lt;'Control Room'!$A$14+'Control Room'!$B$14,'Process'!BT3=1),1+('Control Room'!$C$14-1)*EXP(-0.5*(($A213-'Control Room'!$A$14-('Control Room'!$B$14-1)/2)/MAX(0.5,'Control Room'!$B$14/4))^2),1)*IF(AND($A213&gt;='Control Room'!$A$15,$A213&lt;'Control Room'!$A$15+'Control Room'!$B$15,'Process'!BT4=1),1+('Control Room'!$C$15-1)*EXP(-0.5*(($A213-'Control Room'!$A$15-('Control Room'!$B$15-1)/2)/MAX(0.5,'Control Room'!$B$15/4))^2),1)*IF(AND($A213&gt;='Control Room'!$A$16,$A213&lt;'Control Room'!$A$16+'Control Room'!$B$16,'Process'!BT5=1),1+('Control Room'!$C$16-1)*EXP(-0.5*(($A213-'Control Room'!$A$16-('Control Room'!$B$16-1)/2)/MAX(0.5,'Control Room'!$B$16/4))^2),1)</x:f>
        <x:v>1</x:v>
      </x:c>
      <x:c r="AZ213" s="9" t="n">
        <x:f>MOD(BA212*16807,2147483647)</x:f>
        <x:v>840166790</x:v>
      </x:c>
      <x:c r="BA213" s="9" t="n">
        <x:f>MOD(AZ213*16807,2147483647)</x:f>
        <x:v>978260505</x:v>
      </x:c>
      <x:c r="BB213" s="17" t="n">
        <x:f>IF('Control Room'!$B$5="Normal",'Control Room'!$B$7+'Control Room'!$D$7*SQRT(-2*LN(MAX(0.000000000001,AZ213/2147483647)))*COS(2*PI()*BA213/2147483647),'Control Room'!$B$8+('Control Room'!$D$8-'Control Room'!$B$8)*AZ213/2147483647)</x:f>
        <x:v>881.4800710573205</x:v>
      </x:c>
      <x:c r="BC213" s="17" t="n">
        <x:f>IF('Control Room'!$B$5="Normal",'Control Room'!$B$7,('Control Room'!$B$8+'Control Room'!$D$8)/2)+'Control Room'!$B$9*(BC212-IF('Control Room'!$B$5="Normal",'Control Room'!$B$7,('Control Room'!$B$8+'Control Room'!$D$8)/2))+SQRT(1-'Control Room'!$B$9^2)*(BB213-IF('Control Room'!$B$5="Normal",'Control Room'!$B$7,('Control Room'!$B$8+'Control Room'!$D$8)/2))</x:f>
        <x:v>865.1287086272648</x:v>
      </x:c>
      <x:c r="BD213" s="17" t="n">
        <x:f>IF(AND($A213&gt;='Control Room'!$A$13,$A213&lt;'Control Room'!$A$13+'Control Room'!$B$13,'Process'!BU2=1),1+('Control Room'!$C$13-1)*EXP(-0.5*(($A213-'Control Room'!$A$13-('Control Room'!$B$13-1)/2)/MAX(0.5,'Control Room'!$B$13/4))^2),1)*IF(AND($A213&gt;='Control Room'!$A$14,$A213&lt;'Control Room'!$A$14+'Control Room'!$B$14,'Process'!BU3=1),1+('Control Room'!$C$14-1)*EXP(-0.5*(($A213-'Control Room'!$A$14-('Control Room'!$B$14-1)/2)/MAX(0.5,'Control Room'!$B$14/4))^2),1)*IF(AND($A213&gt;='Control Room'!$A$15,$A213&lt;'Control Room'!$A$15+'Control Room'!$B$15,'Process'!BU4=1),1+('Control Room'!$C$15-1)*EXP(-0.5*(($A213-'Control Room'!$A$15-('Control Room'!$B$15-1)/2)/MAX(0.5,'Control Room'!$B$15/4))^2),1)*IF(AND($A213&gt;='Control Room'!$A$16,$A213&lt;'Control Room'!$A$16+'Control Room'!$B$16,'Process'!BU5=1),1+('Control Room'!$C$16-1)*EXP(-0.5*(($A213-'Control Room'!$A$16-('Control Room'!$B$16-1)/2)/MAX(0.5,'Control Room'!$B$16/4))^2),1)</x:f>
        <x:v>1</x:v>
      </x:c>
      <x:c r="BE213" s="9" t="n">
        <x:f>MOD(BF212*16807,2147483647)</x:f>
        <x:v>1072570108</x:v>
      </x:c>
      <x:c r="BF213" s="9" t="n">
        <x:f>MOD(BE213*16807,2147483647)</x:f>
        <x:v>708072238</x:v>
      </x:c>
      <x:c r="BG213" s="17" t="n">
        <x:f>IF('Control Room'!$B$5="Normal",'Control Room'!$B$7+'Control Room'!$D$7*SQRT(-2*LN(MAX(0.000000000001,BE213/2147483647)))*COS(2*PI()*BF213/2147483647),'Control Room'!$B$8+('Control Room'!$D$8-'Control Room'!$B$8)*BE213/2147483647)</x:f>
        <x:v>949.0723696419177</x:v>
      </x:c>
      <x:c r="BH213" s="17" t="n">
        <x:f>IF('Control Room'!$B$5="Normal",'Control Room'!$B$7,('Control Room'!$B$8+'Control Room'!$D$8)/2)+'Control Room'!$B$9*(BH212-IF('Control Room'!$B$5="Normal",'Control Room'!$B$7,('Control Room'!$B$8+'Control Room'!$D$8)/2))+SQRT(1-'Control Room'!$B$9^2)*(BG213-IF('Control Room'!$B$5="Normal",'Control Room'!$B$7,('Control Room'!$B$8+'Control Room'!$D$8)/2))</x:f>
        <x:v>833.766811226254</x:v>
      </x:c>
      <x:c r="BI213" s="17" t="n">
        <x:f>IF(AND($A213&gt;='Control Room'!$A$13,$A213&lt;'Control Room'!$A$13+'Control Room'!$B$13,'Process'!BV2=1),1+('Control Room'!$C$13-1)*EXP(-0.5*(($A213-'Control Room'!$A$13-('Control Room'!$B$13-1)/2)/MAX(0.5,'Control Room'!$B$13/4))^2),1)*IF(AND($A213&gt;='Control Room'!$A$14,$A213&lt;'Control Room'!$A$14+'Control Room'!$B$14,'Process'!BV3=1),1+('Control Room'!$C$14-1)*EXP(-0.5*(($A213-'Control Room'!$A$14-('Control Room'!$B$14-1)/2)/MAX(0.5,'Control Room'!$B$14/4))^2),1)*IF(AND($A213&gt;='Control Room'!$A$15,$A213&lt;'Control Room'!$A$15+'Control Room'!$B$15,'Process'!BV4=1),1+('Control Room'!$C$15-1)*EXP(-0.5*(($A213-'Control Room'!$A$15-('Control Room'!$B$15-1)/2)/MAX(0.5,'Control Room'!$B$15/4))^2),1)*IF(AND($A213&gt;='Control Room'!$A$16,$A213&lt;'Control Room'!$A$16+'Control Room'!$B$16,'Process'!BV5=1),1+('Control Room'!$C$16-1)*EXP(-0.5*(($A213-'Control Room'!$A$16-('Control Room'!$B$16-1)/2)/MAX(0.5,'Control Room'!$B$16/4))^2),1)</x:f>
        <x:v>1</x:v>
      </x:c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Z213" t="str">
        <x:f>IF('Data'!A213="","",TEXT('Data'!A213,"mm-dd"))</x:f>
      </x:c>
    </x:row>
    <x:row r="214" ht="21" customHeight="1">
      <x:c r="A214" s="15" t="n">
        <x:f>'Control Room'!$B$1+212</x:f>
        <x:v>73203</x:v>
      </x:c>
      <x:c r="B214" s="9" t="n">
        <x:f>MOD(C213*16807,2147483647)</x:f>
        <x:v>342341331</x:v>
      </x:c>
      <x:c r="C214" s="9" t="n">
        <x:f>MOD(B214*16807,2147483647)</x:f>
        <x:v>622059804</x:v>
      </x:c>
      <x:c r="D214" s="17" t="n">
        <x:f>IF('Control Room'!$B$5="Normal",'Control Room'!$B$7+'Control Room'!$D$7*SQRT(-2*LN(MAX(0.000000000001,B214/2147483647)))*COS(2*PI()*C214/2147483647),'Control Room'!$B$8+('Control Room'!$D$8-'Control Room'!$B$8)*B214/2147483647)</x:f>
        <x:v>957.4549003204696</x:v>
      </x:c>
      <x:c r="E214" s="17" t="n">
        <x:f>IF('Control Room'!$B$5="Normal",'Control Room'!$B$7,('Control Room'!$B$8+'Control Room'!$D$8)/2)+'Control Room'!$B$9*(E213-IF('Control Room'!$B$5="Normal",'Control Room'!$B$7,('Control Room'!$B$8+'Control Room'!$D$8)/2))+SQRT(1-'Control Room'!$B$9^2)*(D214-IF('Control Room'!$B$5="Normal",'Control Room'!$B$7,('Control Room'!$B$8+'Control Room'!$D$8)/2))</x:f>
        <x:v>995.7593572307643</x:v>
      </x:c>
      <x:c r="F214" s="17" t="n">
        <x:f>IF(AND($A214&gt;='Control Room'!$A$13,$A214&lt;'Control Room'!$A$13+'Control Room'!$B$13,'Process'!BK2=1),1+('Control Room'!$C$13-1)*EXP(-0.5*(($A214-'Control Room'!$A$13-('Control Room'!$B$13-1)/2)/MAX(0.5,'Control Room'!$B$13/4))^2),1)*IF(AND($A214&gt;='Control Room'!$A$14,$A214&lt;'Control Room'!$A$14+'Control Room'!$B$14,'Process'!BK3=1),1+('Control Room'!$C$14-1)*EXP(-0.5*(($A214-'Control Room'!$A$14-('Control Room'!$B$14-1)/2)/MAX(0.5,'Control Room'!$B$14/4))^2),1)*IF(AND($A214&gt;='Control Room'!$A$15,$A214&lt;'Control Room'!$A$15+'Control Room'!$B$15,'Process'!BK4=1),1+('Control Room'!$C$15-1)*EXP(-0.5*(($A214-'Control Room'!$A$15-('Control Room'!$B$15-1)/2)/MAX(0.5,'Control Room'!$B$15/4))^2),1)*IF(AND($A214&gt;='Control Room'!$A$16,$A214&lt;'Control Room'!$A$16+'Control Room'!$B$16,'Process'!BK5=1),1+('Control Room'!$C$16-1)*EXP(-0.5*(($A214-'Control Room'!$A$16-('Control Room'!$B$16-1)/2)/MAX(0.5,'Control Room'!$B$16/4))^2),1)</x:f>
        <x:v>1</x:v>
      </x:c>
      <x:c r="G214" s="9" t="n">
        <x:f>MOD(H213*16807,2147483647)</x:f>
        <x:v>1216051267</x:v>
      </x:c>
      <x:c r="H214" s="9" t="n">
        <x:f>MOD(G214*16807,2147483647)</x:f>
        <x:v>571775970</x:v>
      </x:c>
      <x:c r="I214" s="17" t="n">
        <x:f>IF('Control Room'!$B$5="Normal",'Control Room'!$B$7+'Control Room'!$D$7*SQRT(-2*LN(MAX(0.000000000001,G214/2147483647)))*COS(2*PI()*H214/2147483647),'Control Room'!$B$8+('Control Room'!$D$8-'Control Room'!$B$8)*G214/2147483647)</x:f>
        <x:v>990.2146212161398</x:v>
      </x:c>
      <x:c r="J214" s="17" t="n">
        <x:f>IF('Control Room'!$B$5="Normal",'Control Room'!$B$7,('Control Room'!$B$8+'Control Room'!$D$8)/2)+'Control Room'!$B$9*(J213-IF('Control Room'!$B$5="Normal",'Control Room'!$B$7,('Control Room'!$B$8+'Control Room'!$D$8)/2))+SQRT(1-'Control Room'!$B$9^2)*(I214-IF('Control Room'!$B$5="Normal",'Control Room'!$B$7,('Control Room'!$B$8+'Control Room'!$D$8)/2))</x:f>
        <x:v>974.554690798757</x:v>
      </x:c>
      <x:c r="K214" s="17" t="n">
        <x:f>IF(AND($A214&gt;='Control Room'!$A$13,$A214&lt;'Control Room'!$A$13+'Control Room'!$B$13,'Process'!BL2=1),1+('Control Room'!$C$13-1)*EXP(-0.5*(($A214-'Control Room'!$A$13-('Control Room'!$B$13-1)/2)/MAX(0.5,'Control Room'!$B$13/4))^2),1)*IF(AND($A214&gt;='Control Room'!$A$14,$A214&lt;'Control Room'!$A$14+'Control Room'!$B$14,'Process'!BL3=1),1+('Control Room'!$C$14-1)*EXP(-0.5*(($A214-'Control Room'!$A$14-('Control Room'!$B$14-1)/2)/MAX(0.5,'Control Room'!$B$14/4))^2),1)*IF(AND($A214&gt;='Control Room'!$A$15,$A214&lt;'Control Room'!$A$15+'Control Room'!$B$15,'Process'!BL4=1),1+('Control Room'!$C$15-1)*EXP(-0.5*(($A214-'Control Room'!$A$15-('Control Room'!$B$15-1)/2)/MAX(0.5,'Control Room'!$B$15/4))^2),1)*IF(AND($A214&gt;='Control Room'!$A$16,$A214&lt;'Control Room'!$A$16+'Control Room'!$B$16,'Process'!BL5=1),1+('Control Room'!$C$16-1)*EXP(-0.5*(($A214-'Control Room'!$A$16-('Control Room'!$B$16-1)/2)/MAX(0.5,'Control Room'!$B$16/4))^2),1)</x:f>
        <x:v>1</x:v>
      </x:c>
      <x:c r="L214" s="9" t="n">
        <x:f>MOD(M213*16807,2147483647)</x:f>
        <x:v>2089761203</x:v>
      </x:c>
      <x:c r="M214" s="9" t="n">
        <x:f>MOD(L214*16807,2147483647)</x:f>
        <x:v>521492136</x:v>
      </x:c>
      <x:c r="N214" s="17" t="n">
        <x:f>IF('Control Room'!$B$5="Normal",'Control Room'!$B$7+'Control Room'!$D$7*SQRT(-2*LN(MAX(0.000000000001,L214/2147483647)))*COS(2*PI()*M214/2147483647),'Control Room'!$B$8+('Control Room'!$D$8-'Control Room'!$B$8)*L214/2147483647)</x:f>
        <x:v>1000.9450215764634</x:v>
      </x:c>
      <x:c r="O214" s="17" t="n">
        <x:f>IF('Control Room'!$B$5="Normal",'Control Room'!$B$7,('Control Room'!$B$8+'Control Room'!$D$8)/2)+'Control Room'!$B$9*(O213-IF('Control Room'!$B$5="Normal",'Control Room'!$B$7,('Control Room'!$B$8+'Control Room'!$D$8)/2))+SQRT(1-'Control Room'!$B$9^2)*(N214-IF('Control Room'!$B$5="Normal",'Control Room'!$B$7,('Control Room'!$B$8+'Control Room'!$D$8)/2))</x:f>
        <x:v>1046.3335498071326</x:v>
      </x:c>
      <x:c r="P214" s="17" t="n">
        <x:f>IF(AND($A214&gt;='Control Room'!$A$13,$A214&lt;'Control Room'!$A$13+'Control Room'!$B$13,'Process'!BM2=1),1+('Control Room'!$C$13-1)*EXP(-0.5*(($A214-'Control Room'!$A$13-('Control Room'!$B$13-1)/2)/MAX(0.5,'Control Room'!$B$13/4))^2),1)*IF(AND($A214&gt;='Control Room'!$A$14,$A214&lt;'Control Room'!$A$14+'Control Room'!$B$14,'Process'!BM3=1),1+('Control Room'!$C$14-1)*EXP(-0.5*(($A214-'Control Room'!$A$14-('Control Room'!$B$14-1)/2)/MAX(0.5,'Control Room'!$B$14/4))^2),1)*IF(AND($A214&gt;='Control Room'!$A$15,$A214&lt;'Control Room'!$A$15+'Control Room'!$B$15,'Process'!BM4=1),1+('Control Room'!$C$15-1)*EXP(-0.5*(($A214-'Control Room'!$A$15-('Control Room'!$B$15-1)/2)/MAX(0.5,'Control Room'!$B$15/4))^2),1)*IF(AND($A214&gt;='Control Room'!$A$16,$A214&lt;'Control Room'!$A$16+'Control Room'!$B$16,'Process'!BM5=1),1+('Control Room'!$C$16-1)*EXP(-0.5*(($A214-'Control Room'!$A$16-('Control Room'!$B$16-1)/2)/MAX(0.5,'Control Room'!$B$16/4))^2),1)</x:f>
        <x:v>1</x:v>
      </x:c>
      <x:c r="Q214" s="9" t="n">
        <x:f>MOD(R213*16807,2147483647)</x:f>
        <x:v>815987492</x:v>
      </x:c>
      <x:c r="R214" s="9" t="n">
        <x:f>MOD(Q214*16807,2147483647)</x:f>
        <x:v>471208302</x:v>
      </x:c>
      <x:c r="S214" s="17" t="n">
        <x:f>IF('Control Room'!$B$5="Normal",'Control Room'!$B$7+'Control Room'!$D$7*SQRT(-2*LN(MAX(0.000000000001,Q214/2147483647)))*COS(2*PI()*R214/2147483647),'Control Room'!$B$8+('Control Room'!$D$8-'Control Room'!$B$8)*Q214/2147483647)</x:f>
        <x:v>1023.906202542428</x:v>
      </x:c>
      <x:c r="T214" s="17" t="n">
        <x:f>IF('Control Room'!$B$5="Normal",'Control Room'!$B$7,('Control Room'!$B$8+'Control Room'!$D$8)/2)+'Control Room'!$B$9*(T213-IF('Control Room'!$B$5="Normal",'Control Room'!$B$7,('Control Room'!$B$8+'Control Room'!$D$8)/2))+SQRT(1-'Control Room'!$B$9^2)*(S214-IF('Control Room'!$B$5="Normal",'Control Room'!$B$7,('Control Room'!$B$8+'Control Room'!$D$8)/2))</x:f>
        <x:v>1069.0897851993368</x:v>
      </x:c>
      <x:c r="U214" s="17" t="n">
        <x:f>IF(AND($A214&gt;='Control Room'!$A$13,$A214&lt;'Control Room'!$A$13+'Control Room'!$B$13,'Process'!BN2=1),1+('Control Room'!$C$13-1)*EXP(-0.5*(($A214-'Control Room'!$A$13-('Control Room'!$B$13-1)/2)/MAX(0.5,'Control Room'!$B$13/4))^2),1)*IF(AND($A214&gt;='Control Room'!$A$14,$A214&lt;'Control Room'!$A$14+'Control Room'!$B$14,'Process'!BN3=1),1+('Control Room'!$C$14-1)*EXP(-0.5*(($A214-'Control Room'!$A$14-('Control Room'!$B$14-1)/2)/MAX(0.5,'Control Room'!$B$14/4))^2),1)*IF(AND($A214&gt;='Control Room'!$A$15,$A214&lt;'Control Room'!$A$15+'Control Room'!$B$15,'Process'!BN4=1),1+('Control Room'!$C$15-1)*EXP(-0.5*(($A214-'Control Room'!$A$15-('Control Room'!$B$15-1)/2)/MAX(0.5,'Control Room'!$B$15/4))^2),1)*IF(AND($A214&gt;='Control Room'!$A$16,$A214&lt;'Control Room'!$A$16+'Control Room'!$B$16,'Process'!BN5=1),1+('Control Room'!$C$16-1)*EXP(-0.5*(($A214-'Control Room'!$A$16-('Control Room'!$B$16-1)/2)/MAX(0.5,'Control Room'!$B$16/4))^2),1)</x:f>
        <x:v>1</x:v>
      </x:c>
      <x:c r="V214" s="9" t="n">
        <x:f>MOD(W213*16807,2147483647)</x:f>
        <x:v>1689697428</x:v>
      </x:c>
      <x:c r="W214" s="9" t="n">
        <x:f>MOD(V214*16807,2147483647)</x:f>
        <x:v>420924468</x:v>
      </x:c>
      <x:c r="X214" s="17" t="n">
        <x:f>IF('Control Room'!$B$5="Normal",'Control Room'!$B$7+'Control Room'!$D$7*SQRT(-2*LN(MAX(0.000000000001,V214/2147483647)))*COS(2*PI()*W214/2147483647),'Control Room'!$B$8+('Control Room'!$D$8-'Control Room'!$B$8)*V214/2147483647)</x:f>
        <x:v>1020.7386051858285</x:v>
      </x:c>
      <x:c r="Y214" s="17" t="n">
        <x:f>IF('Control Room'!$B$5="Normal",'Control Room'!$B$7,('Control Room'!$B$8+'Control Room'!$D$8)/2)+'Control Room'!$B$9*(Y213-IF('Control Room'!$B$5="Normal",'Control Room'!$B$7,('Control Room'!$B$8+'Control Room'!$D$8)/2))+SQRT(1-'Control Room'!$B$9^2)*(X214-IF('Control Room'!$B$5="Normal",'Control Room'!$B$7,('Control Room'!$B$8+'Control Room'!$D$8)/2))</x:f>
        <x:v>950.8041010020236</x:v>
      </x:c>
      <x:c r="Z214" s="17" t="n">
        <x:f>IF(AND($A214&gt;='Control Room'!$A$13,$A214&lt;'Control Room'!$A$13+'Control Room'!$B$13,'Process'!BO2=1),1+('Control Room'!$C$13-1)*EXP(-0.5*(($A214-'Control Room'!$A$13-('Control Room'!$B$13-1)/2)/MAX(0.5,'Control Room'!$B$13/4))^2),1)*IF(AND($A214&gt;='Control Room'!$A$14,$A214&lt;'Control Room'!$A$14+'Control Room'!$B$14,'Process'!BO3=1),1+('Control Room'!$C$14-1)*EXP(-0.5*(($A214-'Control Room'!$A$14-('Control Room'!$B$14-1)/2)/MAX(0.5,'Control Room'!$B$14/4))^2),1)*IF(AND($A214&gt;='Control Room'!$A$15,$A214&lt;'Control Room'!$A$15+'Control Room'!$B$15,'Process'!BO4=1),1+('Control Room'!$C$15-1)*EXP(-0.5*(($A214-'Control Room'!$A$15-('Control Room'!$B$15-1)/2)/MAX(0.5,'Control Room'!$B$15/4))^2),1)*IF(AND($A214&gt;='Control Room'!$A$16,$A214&lt;'Control Room'!$A$16+'Control Room'!$B$16,'Process'!BO5=1),1+('Control Room'!$C$16-1)*EXP(-0.5*(($A214-'Control Room'!$A$16-('Control Room'!$B$16-1)/2)/MAX(0.5,'Control Room'!$B$16/4))^2),1)</x:f>
        <x:v>1</x:v>
      </x:c>
      <x:c r="AA214" s="9" t="n">
        <x:f>MOD(AB213*16807,2147483647)</x:f>
        <x:v>415923717</x:v>
      </x:c>
      <x:c r="AB214" s="9" t="n">
        <x:f>MOD(AA214*16807,2147483647)</x:f>
        <x:v>370640634</x:v>
      </x:c>
      <x:c r="AC214" s="17" t="n">
        <x:f>IF('Control Room'!$B$5="Normal",'Control Room'!$B$7+'Control Room'!$D$7*SQRT(-2*LN(MAX(0.000000000001,AA214/2147483647)))*COS(2*PI()*AB214/2147483647),'Control Room'!$B$8+('Control Room'!$D$8-'Control Room'!$B$8)*AA214/2147483647)</x:f>
        <x:v>1076.222940106519</x:v>
      </x:c>
      <x:c r="AD214" s="17" t="n">
        <x:f>IF('Control Room'!$B$5="Normal",'Control Room'!$B$7,('Control Room'!$B$8+'Control Room'!$D$8)/2)+'Control Room'!$B$9*(AD213-IF('Control Room'!$B$5="Normal",'Control Room'!$B$7,('Control Room'!$B$8+'Control Room'!$D$8)/2))+SQRT(1-'Control Room'!$B$9^2)*(AC214-IF('Control Room'!$B$5="Normal",'Control Room'!$B$7,('Control Room'!$B$8+'Control Room'!$D$8)/2))</x:f>
        <x:v>1119.8871212175395</x:v>
      </x:c>
      <x:c r="AE214" s="17" t="n">
        <x:f>IF(AND($A214&gt;='Control Room'!$A$13,$A214&lt;'Control Room'!$A$13+'Control Room'!$B$13,'Process'!BP2=1),1+('Control Room'!$C$13-1)*EXP(-0.5*(($A214-'Control Room'!$A$13-('Control Room'!$B$13-1)/2)/MAX(0.5,'Control Room'!$B$13/4))^2),1)*IF(AND($A214&gt;='Control Room'!$A$14,$A214&lt;'Control Room'!$A$14+'Control Room'!$B$14,'Process'!BP3=1),1+('Control Room'!$C$14-1)*EXP(-0.5*(($A214-'Control Room'!$A$14-('Control Room'!$B$14-1)/2)/MAX(0.5,'Control Room'!$B$14/4))^2),1)*IF(AND($A214&gt;='Control Room'!$A$15,$A214&lt;'Control Room'!$A$15+'Control Room'!$B$15,'Process'!BP4=1),1+('Control Room'!$C$15-1)*EXP(-0.5*(($A214-'Control Room'!$A$15-('Control Room'!$B$15-1)/2)/MAX(0.5,'Control Room'!$B$15/4))^2),1)*IF(AND($A214&gt;='Control Room'!$A$16,$A214&lt;'Control Room'!$A$16+'Control Room'!$B$16,'Process'!BP5=1),1+('Control Room'!$C$16-1)*EXP(-0.5*(($A214-'Control Room'!$A$16-('Control Room'!$B$16-1)/2)/MAX(0.5,'Control Room'!$B$16/4))^2),1)</x:f>
        <x:v>1</x:v>
      </x:c>
      <x:c r="AF214" s="9" t="n">
        <x:f>MOD(AG213*16807,2147483647)</x:f>
        <x:v>1289633653</x:v>
      </x:c>
      <x:c r="AG214" s="9" t="n">
        <x:f>MOD(AF214*16807,2147483647)</x:f>
        <x:v>320356800</x:v>
      </x:c>
      <x:c r="AH214" s="17" t="n">
        <x:f>IF('Control Room'!$B$5="Normal",'Control Room'!$B$7+'Control Room'!$D$7*SQRT(-2*LN(MAX(0.000000000001,AF214/2147483647)))*COS(2*PI()*AG214/2147483647),'Control Room'!$B$8+('Control Room'!$D$8-'Control Room'!$B$8)*AF214/2147483647)</x:f>
        <x:v>1053.803013585098</x:v>
      </x:c>
      <x:c r="AI214" s="17" t="n">
        <x:f>IF('Control Room'!$B$5="Normal",'Control Room'!$B$7,('Control Room'!$B$8+'Control Room'!$D$8)/2)+'Control Room'!$B$9*(AI213-IF('Control Room'!$B$5="Normal",'Control Room'!$B$7,('Control Room'!$B$8+'Control Room'!$D$8)/2))+SQRT(1-'Control Room'!$B$9^2)*(AH214-IF('Control Room'!$B$5="Normal",'Control Room'!$B$7,('Control Room'!$B$8+'Control Room'!$D$8)/2))</x:f>
        <x:v>1069.2632605946997</x:v>
      </x:c>
      <x:c r="AJ214" s="17" t="n">
        <x:f>IF(AND($A214&gt;='Control Room'!$A$13,$A214&lt;'Control Room'!$A$13+'Control Room'!$B$13,'Process'!BQ2=1),1+('Control Room'!$C$13-1)*EXP(-0.5*(($A214-'Control Room'!$A$13-('Control Room'!$B$13-1)/2)/MAX(0.5,'Control Room'!$B$13/4))^2),1)*IF(AND($A214&gt;='Control Room'!$A$14,$A214&lt;'Control Room'!$A$14+'Control Room'!$B$14,'Process'!BQ3=1),1+('Control Room'!$C$14-1)*EXP(-0.5*(($A214-'Control Room'!$A$14-('Control Room'!$B$14-1)/2)/MAX(0.5,'Control Room'!$B$14/4))^2),1)*IF(AND($A214&gt;='Control Room'!$A$15,$A214&lt;'Control Room'!$A$15+'Control Room'!$B$15,'Process'!BQ4=1),1+('Control Room'!$C$15-1)*EXP(-0.5*(($A214-'Control Room'!$A$15-('Control Room'!$B$15-1)/2)/MAX(0.5,'Control Room'!$B$15/4))^2),1)*IF(AND($A214&gt;='Control Room'!$A$16,$A214&lt;'Control Room'!$A$16+'Control Room'!$B$16,'Process'!BQ5=1),1+('Control Room'!$C$16-1)*EXP(-0.5*(($A214-'Control Room'!$A$16-('Control Room'!$B$16-1)/2)/MAX(0.5,'Control Room'!$B$16/4))^2),1)</x:f>
        <x:v>1</x:v>
      </x:c>
      <x:c r="AK214" s="9" t="n">
        <x:f>MOD(AL213*16807,2147483647)</x:f>
        <x:v>15859942</x:v>
      </x:c>
      <x:c r="AL214" s="9" t="n">
        <x:f>MOD(AK214*16807,2147483647)</x:f>
        <x:v>270072966</x:v>
      </x:c>
      <x:c r="AM214" s="17" t="n">
        <x:f>IF('Control Room'!$B$5="Normal",'Control Room'!$B$7+'Control Room'!$D$7*SQRT(-2*LN(MAX(0.000000000001,AK214/2147483647)))*COS(2*PI()*AL214/2147483647),'Control Room'!$B$8+('Control Room'!$D$8-'Control Room'!$B$8)*AK214/2147483647)</x:f>
        <x:v>1198.4336615300087</x:v>
      </x:c>
      <x:c r="AN214" s="17" t="n">
        <x:f>IF('Control Room'!$B$5="Normal",'Control Room'!$B$7,('Control Room'!$B$8+'Control Room'!$D$8)/2)+'Control Room'!$B$9*(AN213-IF('Control Room'!$B$5="Normal",'Control Room'!$B$7,('Control Room'!$B$8+'Control Room'!$D$8)/2))+SQRT(1-'Control Room'!$B$9^2)*(AM214-IF('Control Room'!$B$5="Normal",'Control Room'!$B$7,('Control Room'!$B$8+'Control Room'!$D$8)/2))</x:f>
        <x:v>1181.8306854342582</x:v>
      </x:c>
      <x:c r="AO214" s="17" t="n">
        <x:f>IF(AND($A214&gt;='Control Room'!$A$13,$A214&lt;'Control Room'!$A$13+'Control Room'!$B$13,'Process'!BR2=1),1+('Control Room'!$C$13-1)*EXP(-0.5*(($A214-'Control Room'!$A$13-('Control Room'!$B$13-1)/2)/MAX(0.5,'Control Room'!$B$13/4))^2),1)*IF(AND($A214&gt;='Control Room'!$A$14,$A214&lt;'Control Room'!$A$14+'Control Room'!$B$14,'Process'!BR3=1),1+('Control Room'!$C$14-1)*EXP(-0.5*(($A214-'Control Room'!$A$14-('Control Room'!$B$14-1)/2)/MAX(0.5,'Control Room'!$B$14/4))^2),1)*IF(AND($A214&gt;='Control Room'!$A$15,$A214&lt;'Control Room'!$A$15+'Control Room'!$B$15,'Process'!BR4=1),1+('Control Room'!$C$15-1)*EXP(-0.5*(($A214-'Control Room'!$A$15-('Control Room'!$B$15-1)/2)/MAX(0.5,'Control Room'!$B$15/4))^2),1)*IF(AND($A214&gt;='Control Room'!$A$16,$A214&lt;'Control Room'!$A$16+'Control Room'!$B$16,'Process'!BR5=1),1+('Control Room'!$C$16-1)*EXP(-0.5*(($A214-'Control Room'!$A$16-('Control Room'!$B$16-1)/2)/MAX(0.5,'Control Room'!$B$16/4))^2),1)</x:f>
        <x:v>1</x:v>
      </x:c>
      <x:c r="AP214" s="9" t="n">
        <x:f>MOD(AQ213*16807,2147483647)</x:f>
        <x:v>889569878</x:v>
      </x:c>
      <x:c r="AQ214" s="9" t="n">
        <x:f>MOD(AP214*16807,2147483647)</x:f>
        <x:v>219789132</x:v>
      </x:c>
      <x:c r="AR214" s="17" t="n">
        <x:f>IF('Control Room'!$B$5="Normal",'Control Room'!$B$7+'Control Room'!$D$7*SQRT(-2*LN(MAX(0.000000000001,AP214/2147483647)))*COS(2*PI()*AQ214/2147483647),'Control Room'!$B$8+('Control Room'!$D$8-'Control Room'!$B$8)*AP214/2147483647)</x:f>
        <x:v>1095.6211936139373</x:v>
      </x:c>
      <x:c r="AS214" s="17" t="n">
        <x:f>IF('Control Room'!$B$5="Normal",'Control Room'!$B$7,('Control Room'!$B$8+'Control Room'!$D$8)/2)+'Control Room'!$B$9*(AS213-IF('Control Room'!$B$5="Normal",'Control Room'!$B$7,('Control Room'!$B$8+'Control Room'!$D$8)/2))+SQRT(1-'Control Room'!$B$9^2)*(AR214-IF('Control Room'!$B$5="Normal",'Control Room'!$B$7,('Control Room'!$B$8+'Control Room'!$D$8)/2))</x:f>
        <x:v>1070.6056044684788</x:v>
      </x:c>
      <x:c r="AT214" s="17" t="n">
        <x:f>IF(AND($A214&gt;='Control Room'!$A$13,$A214&lt;'Control Room'!$A$13+'Control Room'!$B$13,'Process'!BS2=1),1+('Control Room'!$C$13-1)*EXP(-0.5*(($A214-'Control Room'!$A$13-('Control Room'!$B$13-1)/2)/MAX(0.5,'Control Room'!$B$13/4))^2),1)*IF(AND($A214&gt;='Control Room'!$A$14,$A214&lt;'Control Room'!$A$14+'Control Room'!$B$14,'Process'!BS3=1),1+('Control Room'!$C$14-1)*EXP(-0.5*(($A214-'Control Room'!$A$14-('Control Room'!$B$14-1)/2)/MAX(0.5,'Control Room'!$B$14/4))^2),1)*IF(AND($A214&gt;='Control Room'!$A$15,$A214&lt;'Control Room'!$A$15+'Control Room'!$B$15,'Process'!BS4=1),1+('Control Room'!$C$15-1)*EXP(-0.5*(($A214-'Control Room'!$A$15-('Control Room'!$B$15-1)/2)/MAX(0.5,'Control Room'!$B$15/4))^2),1)*IF(AND($A214&gt;='Control Room'!$A$16,$A214&lt;'Control Room'!$A$16+'Control Room'!$B$16,'Process'!BS5=1),1+('Control Room'!$C$16-1)*EXP(-0.5*(($A214-'Control Room'!$A$16-('Control Room'!$B$16-1)/2)/MAX(0.5,'Control Room'!$B$16/4))^2),1)</x:f>
        <x:v>1</x:v>
      </x:c>
      <x:c r="AU214" s="9" t="n">
        <x:f>MOD(AV213*16807,2147483647)</x:f>
        <x:v>1763279814</x:v>
      </x:c>
      <x:c r="AV214" s="9" t="n">
        <x:f>MOD(AU214*16807,2147483647)</x:f>
        <x:v>169505298</x:v>
      </x:c>
      <x:c r="AW214" s="17" t="n">
        <x:f>IF('Control Room'!$B$5="Normal",'Control Room'!$B$7+'Control Room'!$D$7*SQRT(-2*LN(MAX(0.000000000001,AU214/2147483647)))*COS(2*PI()*AV214/2147483647),'Control Room'!$B$8+('Control Room'!$D$8-'Control Room'!$B$8)*AU214/2147483647)</x:f>
        <x:v>1049.7015138395764</x:v>
      </x:c>
      <x:c r="AX214" s="17" t="n">
        <x:f>IF('Control Room'!$B$5="Normal",'Control Room'!$B$7,('Control Room'!$B$8+'Control Room'!$D$8)/2)+'Control Room'!$B$9*(AX213-IF('Control Room'!$B$5="Normal",'Control Room'!$B$7,('Control Room'!$B$8+'Control Room'!$D$8)/2))+SQRT(1-'Control Room'!$B$9^2)*(AW214-IF('Control Room'!$B$5="Normal",'Control Room'!$B$7,('Control Room'!$B$8+'Control Room'!$D$8)/2))</x:f>
        <x:v>1007.8054561192716</x:v>
      </x:c>
      <x:c r="AY214" s="17" t="n">
        <x:f>IF(AND($A214&gt;='Control Room'!$A$13,$A214&lt;'Control Room'!$A$13+'Control Room'!$B$13,'Process'!BT2=1),1+('Control Room'!$C$13-1)*EXP(-0.5*(($A214-'Control Room'!$A$13-('Control Room'!$B$13-1)/2)/MAX(0.5,'Control Room'!$B$13/4))^2),1)*IF(AND($A214&gt;='Control Room'!$A$14,$A214&lt;'Control Room'!$A$14+'Control Room'!$B$14,'Process'!BT3=1),1+('Control Room'!$C$14-1)*EXP(-0.5*(($A214-'Control Room'!$A$14-('Control Room'!$B$14-1)/2)/MAX(0.5,'Control Room'!$B$14/4))^2),1)*IF(AND($A214&gt;='Control Room'!$A$15,$A214&lt;'Control Room'!$A$15+'Control Room'!$B$15,'Process'!BT4=1),1+('Control Room'!$C$15-1)*EXP(-0.5*(($A214-'Control Room'!$A$15-('Control Room'!$B$15-1)/2)/MAX(0.5,'Control Room'!$B$15/4))^2),1)*IF(AND($A214&gt;='Control Room'!$A$16,$A214&lt;'Control Room'!$A$16+'Control Room'!$B$16,'Process'!BT5=1),1+('Control Room'!$C$16-1)*EXP(-0.5*(($A214-'Control Room'!$A$16-('Control Room'!$B$16-1)/2)/MAX(0.5,'Control Room'!$B$16/4))^2),1)</x:f>
        <x:v>1</x:v>
      </x:c>
      <x:c r="AZ214" s="9" t="n">
        <x:f>MOD(BA213*16807,2147483647)</x:f>
        <x:v>489506103</x:v>
      </x:c>
      <x:c r="BA214" s="9" t="n">
        <x:f>MOD(AZ214*16807,2147483647)</x:f>
        <x:v>119221464</x:v>
      </x:c>
      <x:c r="BB214" s="17" t="n">
        <x:f>IF('Control Room'!$B$5="Normal",'Control Room'!$B$7+'Control Room'!$D$7*SQRT(-2*LN(MAX(0.000000000001,AZ214/2147483647)))*COS(2*PI()*BA214/2147483647),'Control Room'!$B$8+('Control Room'!$D$8-'Control Room'!$B$8)*AZ214/2147483647)</x:f>
        <x:v>1145.4505019740595</x:v>
      </x:c>
      <x:c r="BC214" s="17" t="n">
        <x:f>IF('Control Room'!$B$5="Normal",'Control Room'!$B$7,('Control Room'!$B$8+'Control Room'!$D$8)/2)+'Control Room'!$B$9*(BC213-IF('Control Room'!$B$5="Normal",'Control Room'!$B$7,('Control Room'!$B$8+'Control Room'!$D$8)/2))+SQRT(1-'Control Room'!$B$9^2)*(BB214-IF('Control Room'!$B$5="Normal",'Control Room'!$B$7,('Control Room'!$B$8+'Control Room'!$D$8)/2))</x:f>
        <x:v>985.8203371491381</x:v>
      </x:c>
      <x:c r="BD214" s="17" t="n">
        <x:f>IF(AND($A214&gt;='Control Room'!$A$13,$A214&lt;'Control Room'!$A$13+'Control Room'!$B$13,'Process'!BU2=1),1+('Control Room'!$C$13-1)*EXP(-0.5*(($A214-'Control Room'!$A$13-('Control Room'!$B$13-1)/2)/MAX(0.5,'Control Room'!$B$13/4))^2),1)*IF(AND($A214&gt;='Control Room'!$A$14,$A214&lt;'Control Room'!$A$14+'Control Room'!$B$14,'Process'!BU3=1),1+('Control Room'!$C$14-1)*EXP(-0.5*(($A214-'Control Room'!$A$14-('Control Room'!$B$14-1)/2)/MAX(0.5,'Control Room'!$B$14/4))^2),1)*IF(AND($A214&gt;='Control Room'!$A$15,$A214&lt;'Control Room'!$A$15+'Control Room'!$B$15,'Process'!BU4=1),1+('Control Room'!$C$15-1)*EXP(-0.5*(($A214-'Control Room'!$A$15-('Control Room'!$B$15-1)/2)/MAX(0.5,'Control Room'!$B$15/4))^2),1)*IF(AND($A214&gt;='Control Room'!$A$16,$A214&lt;'Control Room'!$A$16+'Control Room'!$B$16,'Process'!BU5=1),1+('Control Room'!$C$16-1)*EXP(-0.5*(($A214-'Control Room'!$A$16-('Control Room'!$B$16-1)/2)/MAX(0.5,'Control Room'!$B$16/4))^2),1)</x:f>
        <x:v>1</x:v>
      </x:c>
      <x:c r="BE214" s="9" t="n">
        <x:f>MOD(BF213*16807,2147483647)</x:f>
        <x:v>1363216039</x:v>
      </x:c>
      <x:c r="BF214" s="9" t="n">
        <x:f>MOD(BE214*16807,2147483647)</x:f>
        <x:v>68937630</x:v>
      </x:c>
      <x:c r="BG214" s="17" t="n">
        <x:f>IF('Control Room'!$B$5="Normal",'Control Room'!$B$7+'Control Room'!$D$7*SQRT(-2*LN(MAX(0.000000000001,BE214/2147483647)))*COS(2*PI()*BF214/2147483647),'Control Room'!$B$8+('Control Room'!$D$8-'Control Room'!$B$8)*BE214/2147483647)</x:f>
        <x:v>1084.0631893718817</x:v>
      </x:c>
      <x:c r="BH214" s="17" t="n">
        <x:f>IF('Control Room'!$B$5="Normal",'Control Room'!$B$7,('Control Room'!$B$8+'Control Room'!$D$8)/2)+'Control Room'!$B$9*(BH213-IF('Control Room'!$B$5="Normal",'Control Room'!$B$7,('Control Room'!$B$8+'Control Room'!$D$8)/2))+SQRT(1-'Control Room'!$B$9^2)*(BG214-IF('Control Room'!$B$5="Normal",'Control Room'!$B$7,('Control Room'!$B$8+'Control Room'!$D$8)/2))</x:f>
        <x:v>922.9431345373614</x:v>
      </x:c>
      <x:c r="BI214" s="17" t="n">
        <x:f>IF(AND($A214&gt;='Control Room'!$A$13,$A214&lt;'Control Room'!$A$13+'Control Room'!$B$13,'Process'!BV2=1),1+('Control Room'!$C$13-1)*EXP(-0.5*(($A214-'Control Room'!$A$13-('Control Room'!$B$13-1)/2)/MAX(0.5,'Control Room'!$B$13/4))^2),1)*IF(AND($A214&gt;='Control Room'!$A$14,$A214&lt;'Control Room'!$A$14+'Control Room'!$B$14,'Process'!BV3=1),1+('Control Room'!$C$14-1)*EXP(-0.5*(($A214-'Control Room'!$A$14-('Control Room'!$B$14-1)/2)/MAX(0.5,'Control Room'!$B$14/4))^2),1)*IF(AND($A214&gt;='Control Room'!$A$15,$A214&lt;'Control Room'!$A$15+'Control Room'!$B$15,'Process'!BV4=1),1+('Control Room'!$C$15-1)*EXP(-0.5*(($A214-'Control Room'!$A$15-('Control Room'!$B$15-1)/2)/MAX(0.5,'Control Room'!$B$15/4))^2),1)*IF(AND($A214&gt;='Control Room'!$A$16,$A214&lt;'Control Room'!$A$16+'Control Room'!$B$16,'Process'!BV5=1),1+('Control Room'!$C$16-1)*EXP(-0.5*(($A214-'Control Room'!$A$16-('Control Room'!$B$16-1)/2)/MAX(0.5,'Control Room'!$B$16/4))^2),1)</x:f>
        <x:v>1</x:v>
      </x:c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Z214" t="str">
        <x:f>IF('Data'!A214="","",TEXT('Data'!A214,"mm-dd"))</x:f>
      </x:c>
    </x:row>
    <x:row r="215" ht="21" customHeight="1">
      <x:c r="A215" s="15" t="n">
        <x:f>'Control Room'!$B$1+213</x:f>
        <x:v>73204</x:v>
      </x:c>
      <x:c r="B215" s="9" t="n">
        <x:f>MOD(C214*16807,2147483647)</x:f>
        <x:v>1008732232</x:v>
      </x:c>
      <x:c r="C215" s="9" t="n">
        <x:f>MOD(B215*16807,2147483647)</x:f>
        <x:v>1526713806</x:v>
      </x:c>
      <x:c r="D215" s="17" t="n">
        <x:f>IF('Control Room'!$B$5="Normal",'Control Room'!$B$7+'Control Room'!$D$7*SQRT(-2*LN(MAX(0.000000000001,B215/2147483647)))*COS(2*PI()*C215/2147483647),'Control Room'!$B$8+('Control Room'!$D$8-'Control Room'!$B$8)*B215/2147483647)</x:f>
        <x:v>973.113132473769</x:v>
      </x:c>
      <x:c r="E215" s="17" t="n">
        <x:f>IF('Control Room'!$B$5="Normal",'Control Room'!$B$7,('Control Room'!$B$8+'Control Room'!$D$8)/2)+'Control Room'!$B$9*(E214-IF('Control Room'!$B$5="Normal",'Control Room'!$B$7,('Control Room'!$B$8+'Control Room'!$D$8)/2))+SQRT(1-'Control Room'!$B$9^2)*(D215-IF('Control Room'!$B$5="Normal",'Control Room'!$B$7,('Control Room'!$B$8+'Control Room'!$D$8)/2))</x:f>
        <x:v>979.8670477495011</x:v>
      </x:c>
      <x:c r="F215" s="17" t="n">
        <x:f>IF(AND($A215&gt;='Control Room'!$A$13,$A215&lt;'Control Room'!$A$13+'Control Room'!$B$13,'Process'!BK2=1),1+('Control Room'!$C$13-1)*EXP(-0.5*(($A215-'Control Room'!$A$13-('Control Room'!$B$13-1)/2)/MAX(0.5,'Control Room'!$B$13/4))^2),1)*IF(AND($A215&gt;='Control Room'!$A$14,$A215&lt;'Control Room'!$A$14+'Control Room'!$B$14,'Process'!BK3=1),1+('Control Room'!$C$14-1)*EXP(-0.5*(($A215-'Control Room'!$A$14-('Control Room'!$B$14-1)/2)/MAX(0.5,'Control Room'!$B$14/4))^2),1)*IF(AND($A215&gt;='Control Room'!$A$15,$A215&lt;'Control Room'!$A$15+'Control Room'!$B$15,'Process'!BK4=1),1+('Control Room'!$C$15-1)*EXP(-0.5*(($A215-'Control Room'!$A$15-('Control Room'!$B$15-1)/2)/MAX(0.5,'Control Room'!$B$15/4))^2),1)*IF(AND($A215&gt;='Control Room'!$A$16,$A215&lt;'Control Room'!$A$16+'Control Room'!$B$16,'Process'!BK5=1),1+('Control Room'!$C$16-1)*EXP(-0.5*(($A215-'Control Room'!$A$16-('Control Room'!$B$16-1)/2)/MAX(0.5,'Control Room'!$B$16/4))^2),1)</x:f>
        <x:v>1</x:v>
      </x:c>
      <x:c r="G215" s="9" t="n">
        <x:f>MOD(H214*16807,2147483647)</x:f>
        <x:v>1996891112</x:v>
      </x:c>
      <x:c r="H215" s="9" t="n">
        <x:f>MOD(G215*16807,2147483647)</x:f>
        <x:v>874484068</x:v>
      </x:c>
      <x:c r="I215" s="17" t="n">
        <x:f>IF('Control Room'!$B$5="Normal",'Control Room'!$B$7+'Control Room'!$D$7*SQRT(-2*LN(MAX(0.000000000001,G215/2147483647)))*COS(2*PI()*H215/2147483647),'Control Room'!$B$8+('Control Room'!$D$8-'Control Room'!$B$8)*G215/2147483647)</x:f>
        <x:v>971.3495290020846</x:v>
      </x:c>
      <x:c r="J215" s="17" t="n">
        <x:f>IF('Control Room'!$B$5="Normal",'Control Room'!$B$7,('Control Room'!$B$8+'Control Room'!$D$8)/2)+'Control Room'!$B$9*(J214-IF('Control Room'!$B$5="Normal",'Control Room'!$B$7,('Control Room'!$B$8+'Control Room'!$D$8)/2))+SQRT(1-'Control Room'!$B$9^2)*(I215-IF('Control Room'!$B$5="Normal",'Control Room'!$B$7,('Control Room'!$B$8+'Control Room'!$D$8)/2))</x:f>
        <x:v>962.2237810093362</x:v>
      </x:c>
      <x:c r="K215" s="17" t="n">
        <x:f>IF(AND($A215&gt;='Control Room'!$A$13,$A215&lt;'Control Room'!$A$13+'Control Room'!$B$13,'Process'!BL2=1),1+('Control Room'!$C$13-1)*EXP(-0.5*(($A215-'Control Room'!$A$13-('Control Room'!$B$13-1)/2)/MAX(0.5,'Control Room'!$B$13/4))^2),1)*IF(AND($A215&gt;='Control Room'!$A$14,$A215&lt;'Control Room'!$A$14+'Control Room'!$B$14,'Process'!BL3=1),1+('Control Room'!$C$14-1)*EXP(-0.5*(($A215-'Control Room'!$A$14-('Control Room'!$B$14-1)/2)/MAX(0.5,'Control Room'!$B$14/4))^2),1)*IF(AND($A215&gt;='Control Room'!$A$15,$A215&lt;'Control Room'!$A$15+'Control Room'!$B$15,'Process'!BL4=1),1+('Control Room'!$C$15-1)*EXP(-0.5*(($A215-'Control Room'!$A$15-('Control Room'!$B$15-1)/2)/MAX(0.5,'Control Room'!$B$15/4))^2),1)*IF(AND($A215&gt;='Control Room'!$A$16,$A215&lt;'Control Room'!$A$16+'Control Room'!$B$16,'Process'!BL5=1),1+('Control Room'!$C$16-1)*EXP(-0.5*(($A215-'Control Room'!$A$16-('Control Room'!$B$16-1)/2)/MAX(0.5,'Control Room'!$B$16/4))^2),1)</x:f>
        <x:v>1</x:v>
      </x:c>
      <x:c r="L215" s="9" t="n">
        <x:f>MOD(M214*16807,2147483647)</x:f>
        <x:v>837566345</x:v>
      </x:c>
      <x:c r="M215" s="9" t="n">
        <x:f>MOD(L215*16807,2147483647)</x:f>
        <x:v>222254330</x:v>
      </x:c>
      <x:c r="N215" s="17" t="n">
        <x:f>IF('Control Room'!$B$5="Normal",'Control Room'!$B$7+'Control Room'!$D$7*SQRT(-2*LN(MAX(0.000000000001,L215/2147483647)))*COS(2*PI()*M215/2147483647),'Control Room'!$B$8+('Control Room'!$D$8-'Control Room'!$B$8)*L215/2147483647)</x:f>
        <x:v>1098.298288826059</x:v>
      </x:c>
      <x:c r="O215" s="17" t="n">
        <x:f>IF('Control Room'!$B$5="Normal",'Control Room'!$B$7,('Control Room'!$B$8+'Control Room'!$D$8)/2)+'Control Room'!$B$9*(O214-IF('Control Room'!$B$5="Normal",'Control Room'!$B$7,('Control Room'!$B$8+'Control Room'!$D$8)/2))+SQRT(1-'Control Room'!$B$9^2)*(N215-IF('Control Room'!$B$5="Normal",'Control Room'!$B$7,('Control Room'!$B$8+'Control Room'!$D$8)/2))</x:f>
        <x:v>1097.6532242470075</x:v>
      </x:c>
      <x:c r="P215" s="17" t="n">
        <x:f>IF(AND($A215&gt;='Control Room'!$A$13,$A215&lt;'Control Room'!$A$13+'Control Room'!$B$13,'Process'!BM2=1),1+('Control Room'!$C$13-1)*EXP(-0.5*(($A215-'Control Room'!$A$13-('Control Room'!$B$13-1)/2)/MAX(0.5,'Control Room'!$B$13/4))^2),1)*IF(AND($A215&gt;='Control Room'!$A$14,$A215&lt;'Control Room'!$A$14+'Control Room'!$B$14,'Process'!BM3=1),1+('Control Room'!$C$14-1)*EXP(-0.5*(($A215-'Control Room'!$A$14-('Control Room'!$B$14-1)/2)/MAX(0.5,'Control Room'!$B$14/4))^2),1)*IF(AND($A215&gt;='Control Room'!$A$15,$A215&lt;'Control Room'!$A$15+'Control Room'!$B$15,'Process'!BM4=1),1+('Control Room'!$C$15-1)*EXP(-0.5*(($A215-'Control Room'!$A$15-('Control Room'!$B$15-1)/2)/MAX(0.5,'Control Room'!$B$15/4))^2),1)*IF(AND($A215&gt;='Control Room'!$A$16,$A215&lt;'Control Room'!$A$16+'Control Room'!$B$16,'Process'!BM5=1),1+('Control Room'!$C$16-1)*EXP(-0.5*(($A215-'Control Room'!$A$16-('Control Room'!$B$16-1)/2)/MAX(0.5,'Control Room'!$B$16/4))^2),1)</x:f>
        <x:v>1</x:v>
      </x:c>
      <x:c r="Q215" s="9" t="n">
        <x:f>MOD(R214*16807,2147483647)</x:f>
        <x:v>1825725225</x:v>
      </x:c>
      <x:c r="R215" s="9" t="n">
        <x:f>MOD(Q215*16807,2147483647)</x:f>
        <x:v>1717508239</x:v>
      </x:c>
      <x:c r="S215" s="17" t="n">
        <x:f>IF('Control Room'!$B$5="Normal",'Control Room'!$B$7+'Control Room'!$D$7*SQRT(-2*LN(MAX(0.000000000001,Q215/2147483647)))*COS(2*PI()*R215/2147483647),'Control Room'!$B$8+('Control Room'!$D$8-'Control Room'!$B$8)*Q215/2147483647)</x:f>
        <x:v>1015.7778825581091</x:v>
      </x:c>
      <x:c r="T215" s="17" t="n">
        <x:f>IF('Control Room'!$B$5="Normal",'Control Room'!$B$7,('Control Room'!$B$8+'Control Room'!$D$8)/2)+'Control Room'!$B$9*(T214-IF('Control Room'!$B$5="Normal",'Control Room'!$B$7,('Control Room'!$B$8+'Control Room'!$D$8)/2))+SQRT(1-'Control Room'!$B$9^2)*(S215-IF('Control Room'!$B$5="Normal",'Control Room'!$B$7,('Control Room'!$B$8+'Control Room'!$D$8)/2))</x:f>
        <x:v>1063.7635081328542</x:v>
      </x:c>
      <x:c r="U215" s="17" t="n">
        <x:f>IF(AND($A215&gt;='Control Room'!$A$13,$A215&lt;'Control Room'!$A$13+'Control Room'!$B$13,'Process'!BN2=1),1+('Control Room'!$C$13-1)*EXP(-0.5*(($A215-'Control Room'!$A$13-('Control Room'!$B$13-1)/2)/MAX(0.5,'Control Room'!$B$13/4))^2),1)*IF(AND($A215&gt;='Control Room'!$A$14,$A215&lt;'Control Room'!$A$14+'Control Room'!$B$14,'Process'!BN3=1),1+('Control Room'!$C$14-1)*EXP(-0.5*(($A215-'Control Room'!$A$14-('Control Room'!$B$14-1)/2)/MAX(0.5,'Control Room'!$B$14/4))^2),1)*IF(AND($A215&gt;='Control Room'!$A$15,$A215&lt;'Control Room'!$A$15+'Control Room'!$B$15,'Process'!BN4=1),1+('Control Room'!$C$15-1)*EXP(-0.5*(($A215-'Control Room'!$A$15-('Control Room'!$B$15-1)/2)/MAX(0.5,'Control Room'!$B$15/4))^2),1)*IF(AND($A215&gt;='Control Room'!$A$16,$A215&lt;'Control Room'!$A$16+'Control Room'!$B$16,'Process'!BN5=1),1+('Control Room'!$C$16-1)*EXP(-0.5*(($A215-'Control Room'!$A$16-('Control Room'!$B$16-1)/2)/MAX(0.5,'Control Room'!$B$16/4))^2),1)</x:f>
        <x:v>1</x:v>
      </x:c>
      <x:c r="V215" s="9" t="n">
        <x:f>MOD(W214*16807,2147483647)</x:f>
        <x:v>666400458</x:v>
      </x:c>
      <x:c r="W215" s="9" t="n">
        <x:f>MOD(V215*16807,2147483647)</x:f>
        <x:v>1065278501</x:v>
      </x:c>
      <x:c r="X215" s="17" t="n">
        <x:f>IF('Control Room'!$B$5="Normal",'Control Room'!$B$7+'Control Room'!$D$7*SQRT(-2*LN(MAX(0.000000000001,V215/2147483647)))*COS(2*PI()*W215/2147483647),'Control Room'!$B$8+('Control Room'!$D$8-'Control Room'!$B$8)*V215/2147483647)</x:f>
        <x:v>862.3591951827636</x:v>
      </x:c>
      <x:c r="Y215" s="17" t="n">
        <x:f>IF('Control Room'!$B$5="Normal",'Control Room'!$B$7,('Control Room'!$B$8+'Control Room'!$D$8)/2)+'Control Room'!$B$9*(Y214-IF('Control Room'!$B$5="Normal",'Control Room'!$B$7,('Control Room'!$B$8+'Control Room'!$D$8)/2))+SQRT(1-'Control Room'!$B$9^2)*(X215-IF('Control Room'!$B$5="Normal",'Control Room'!$B$7,('Control Room'!$B$8+'Control Room'!$D$8)/2))</x:f>
        <x:v>875.4944028521043</x:v>
      </x:c>
      <x:c r="Z215" s="17" t="n">
        <x:f>IF(AND($A215&gt;='Control Room'!$A$13,$A215&lt;'Control Room'!$A$13+'Control Room'!$B$13,'Process'!BO2=1),1+('Control Room'!$C$13-1)*EXP(-0.5*(($A215-'Control Room'!$A$13-('Control Room'!$B$13-1)/2)/MAX(0.5,'Control Room'!$B$13/4))^2),1)*IF(AND($A215&gt;='Control Room'!$A$14,$A215&lt;'Control Room'!$A$14+'Control Room'!$B$14,'Process'!BO3=1),1+('Control Room'!$C$14-1)*EXP(-0.5*(($A215-'Control Room'!$A$14-('Control Room'!$B$14-1)/2)/MAX(0.5,'Control Room'!$B$14/4))^2),1)*IF(AND($A215&gt;='Control Room'!$A$15,$A215&lt;'Control Room'!$A$15+'Control Room'!$B$15,'Process'!BO4=1),1+('Control Room'!$C$15-1)*EXP(-0.5*(($A215-'Control Room'!$A$15-('Control Room'!$B$15-1)/2)/MAX(0.5,'Control Room'!$B$15/4))^2),1)*IF(AND($A215&gt;='Control Room'!$A$16,$A215&lt;'Control Room'!$A$16+'Control Room'!$B$16,'Process'!BO5=1),1+('Control Room'!$C$16-1)*EXP(-0.5*(($A215-'Control Room'!$A$16-('Control Room'!$B$16-1)/2)/MAX(0.5,'Control Room'!$B$16/4))^2),1)</x:f>
        <x:v>1</x:v>
      </x:c>
      <x:c r="AA215" s="9" t="n">
        <x:f>MOD(AB214*16807,2147483647)</x:f>
        <x:v>1654559338</x:v>
      </x:c>
      <x:c r="AB215" s="9" t="n">
        <x:f>MOD(AA215*16807,2147483647)</x:f>
        <x:v>413048763</x:v>
      </x:c>
      <x:c r="AC215" s="17" t="n">
        <x:f>IF('Control Room'!$B$5="Normal",'Control Room'!$B$7+'Control Room'!$D$7*SQRT(-2*LN(MAX(0.000000000001,AA215/2147483647)))*COS(2*PI()*AB215/2147483647),'Control Room'!$B$8+('Control Room'!$D$8-'Control Room'!$B$8)*AA215/2147483647)</x:f>
        <x:v>1023.0348819559931</x:v>
      </x:c>
      <x:c r="AD215" s="17" t="n">
        <x:f>IF('Control Room'!$B$5="Normal",'Control Room'!$B$7,('Control Room'!$B$8+'Control Room'!$D$8)/2)+'Control Room'!$B$9*(AD214-IF('Control Room'!$B$5="Normal",'Control Room'!$B$7,('Control Room'!$B$8+'Control Room'!$D$8)/2))+SQRT(1-'Control Room'!$B$9^2)*(AC215-IF('Control Room'!$B$5="Normal",'Control Room'!$B$7,('Control Room'!$B$8+'Control Room'!$D$8)/2))</x:f>
        <x:v>1107.9267117825348</x:v>
      </x:c>
      <x:c r="AE215" s="17" t="n">
        <x:f>IF(AND($A215&gt;='Control Room'!$A$13,$A215&lt;'Control Room'!$A$13+'Control Room'!$B$13,'Process'!BP2=1),1+('Control Room'!$C$13-1)*EXP(-0.5*(($A215-'Control Room'!$A$13-('Control Room'!$B$13-1)/2)/MAX(0.5,'Control Room'!$B$13/4))^2),1)*IF(AND($A215&gt;='Control Room'!$A$14,$A215&lt;'Control Room'!$A$14+'Control Room'!$B$14,'Process'!BP3=1),1+('Control Room'!$C$14-1)*EXP(-0.5*(($A215-'Control Room'!$A$14-('Control Room'!$B$14-1)/2)/MAX(0.5,'Control Room'!$B$14/4))^2),1)*IF(AND($A215&gt;='Control Room'!$A$15,$A215&lt;'Control Room'!$A$15+'Control Room'!$B$15,'Process'!BP4=1),1+('Control Room'!$C$15-1)*EXP(-0.5*(($A215-'Control Room'!$A$15-('Control Room'!$B$15-1)/2)/MAX(0.5,'Control Room'!$B$15/4))^2),1)*IF(AND($A215&gt;='Control Room'!$A$16,$A215&lt;'Control Room'!$A$16+'Control Room'!$B$16,'Process'!BP5=1),1+('Control Room'!$C$16-1)*EXP(-0.5*(($A215-'Control Room'!$A$16-('Control Room'!$B$16-1)/2)/MAX(0.5,'Control Room'!$B$16/4))^2),1)</x:f>
        <x:v>1</x:v>
      </x:c>
      <x:c r="AF215" s="9" t="n">
        <x:f>MOD(AG214*16807,2147483647)</x:f>
        <x:v>495234571</x:v>
      </x:c>
      <x:c r="AG215" s="9" t="n">
        <x:f>MOD(AF215*16807,2147483647)</x:f>
        <x:v>1908302672</x:v>
      </x:c>
      <x:c r="AH215" s="17" t="n">
        <x:f>IF('Control Room'!$B$5="Normal",'Control Room'!$B$7+'Control Room'!$D$7*SQRT(-2*LN(MAX(0.000000000001,AF215/2147483647)))*COS(2*PI()*AG215/2147483647),'Control Room'!$B$8+('Control Room'!$D$8-'Control Room'!$B$8)*AF215/2147483647)</x:f>
        <x:v>1117.9285587917316</x:v>
      </x:c>
      <x:c r="AI215" s="17" t="n">
        <x:f>IF('Control Room'!$B$5="Normal",'Control Room'!$B$7,('Control Room'!$B$8+'Control Room'!$D$8)/2)+'Control Room'!$B$9*(AI214-IF('Control Room'!$B$5="Normal",'Control Room'!$B$7,('Control Room'!$B$8+'Control Room'!$D$8)/2))+SQRT(1-'Control Room'!$B$9^2)*(AH215-IF('Control Room'!$B$5="Normal",'Control Room'!$B$7,('Control Room'!$B$8+'Control Room'!$D$8)/2))</x:f>
        <x:v>1127.8226194578888</x:v>
      </x:c>
      <x:c r="AJ215" s="17" t="n">
        <x:f>IF(AND($A215&gt;='Control Room'!$A$13,$A215&lt;'Control Room'!$A$13+'Control Room'!$B$13,'Process'!BQ2=1),1+('Control Room'!$C$13-1)*EXP(-0.5*(($A215-'Control Room'!$A$13-('Control Room'!$B$13-1)/2)/MAX(0.5,'Control Room'!$B$13/4))^2),1)*IF(AND($A215&gt;='Control Room'!$A$14,$A215&lt;'Control Room'!$A$14+'Control Room'!$B$14,'Process'!BQ3=1),1+('Control Room'!$C$14-1)*EXP(-0.5*(($A215-'Control Room'!$A$14-('Control Room'!$B$14-1)/2)/MAX(0.5,'Control Room'!$B$14/4))^2),1)*IF(AND($A215&gt;='Control Room'!$A$15,$A215&lt;'Control Room'!$A$15+'Control Room'!$B$15,'Process'!BQ4=1),1+('Control Room'!$C$15-1)*EXP(-0.5*(($A215-'Control Room'!$A$15-('Control Room'!$B$15-1)/2)/MAX(0.5,'Control Room'!$B$15/4))^2),1)*IF(AND($A215&gt;='Control Room'!$A$16,$A215&lt;'Control Room'!$A$16+'Control Room'!$B$16,'Process'!BQ5=1),1+('Control Room'!$C$16-1)*EXP(-0.5*(($A215-'Control Room'!$A$16-('Control Room'!$B$16-1)/2)/MAX(0.5,'Control Room'!$B$16/4))^2),1)</x:f>
        <x:v>1</x:v>
      </x:c>
      <x:c r="AK215" s="9" t="n">
        <x:f>MOD(AL214*16807,2147483647)</x:f>
        <x:v>1483393451</x:v>
      </x:c>
      <x:c r="AL215" s="9" t="n">
        <x:f>MOD(AK215*16807,2147483647)</x:f>
        <x:v>1256072934</x:v>
      </x:c>
      <x:c r="AM215" s="17" t="n">
        <x:f>IF('Control Room'!$B$5="Normal",'Control Room'!$B$7+'Control Room'!$D$7*SQRT(-2*LN(MAX(0.000000000001,AK215/2147483647)))*COS(2*PI()*AL215/2147483647),'Control Room'!$B$8+('Control Room'!$D$8-'Control Room'!$B$8)*AK215/2147483647)</x:f>
        <x:v>933.3401327140343</x:v>
      </x:c>
      <x:c r="AN215" s="17" t="n">
        <x:f>IF('Control Room'!$B$5="Normal",'Control Room'!$B$7,('Control Room'!$B$8+'Control Room'!$D$8)/2)+'Control Room'!$B$9*(AN214-IF('Control Room'!$B$5="Normal",'Control Room'!$B$7,('Control Room'!$B$8+'Control Room'!$D$8)/2))+SQRT(1-'Control Room'!$B$9^2)*(AM215-IF('Control Room'!$B$5="Normal",'Control Room'!$B$7,('Control Room'!$B$8+'Control Room'!$D$8)/2))</x:f>
        <x:v>1100.1135552927726</x:v>
      </x:c>
      <x:c r="AO215" s="17" t="n">
        <x:f>IF(AND($A215&gt;='Control Room'!$A$13,$A215&lt;'Control Room'!$A$13+'Control Room'!$B$13,'Process'!BR2=1),1+('Control Room'!$C$13-1)*EXP(-0.5*(($A215-'Control Room'!$A$13-('Control Room'!$B$13-1)/2)/MAX(0.5,'Control Room'!$B$13/4))^2),1)*IF(AND($A215&gt;='Control Room'!$A$14,$A215&lt;'Control Room'!$A$14+'Control Room'!$B$14,'Process'!BR3=1),1+('Control Room'!$C$14-1)*EXP(-0.5*(($A215-'Control Room'!$A$14-('Control Room'!$B$14-1)/2)/MAX(0.5,'Control Room'!$B$14/4))^2),1)*IF(AND($A215&gt;='Control Room'!$A$15,$A215&lt;'Control Room'!$A$15+'Control Room'!$B$15,'Process'!BR4=1),1+('Control Room'!$C$15-1)*EXP(-0.5*(($A215-'Control Room'!$A$15-('Control Room'!$B$15-1)/2)/MAX(0.5,'Control Room'!$B$15/4))^2),1)*IF(AND($A215&gt;='Control Room'!$A$16,$A215&lt;'Control Room'!$A$16+'Control Room'!$B$16,'Process'!BR5=1),1+('Control Room'!$C$16-1)*EXP(-0.5*(($A215-'Control Room'!$A$16-('Control Room'!$B$16-1)/2)/MAX(0.5,'Control Room'!$B$16/4))^2),1)</x:f>
        <x:v>1</x:v>
      </x:c>
      <x:c r="AP215" s="9" t="n">
        <x:f>MOD(AQ214*16807,2147483647)</x:f>
        <x:v>324068684</x:v>
      </x:c>
      <x:c r="AQ215" s="9" t="n">
        <x:f>MOD(AP215*16807,2147483647)</x:f>
        <x:v>603843196</x:v>
      </x:c>
      <x:c r="AR215" s="17" t="n">
        <x:f>IF('Control Room'!$B$5="Normal",'Control Room'!$B$7+'Control Room'!$D$7*SQRT(-2*LN(MAX(0.000000000001,AP215/2147483647)))*COS(2*PI()*AQ215/2147483647),'Control Room'!$B$8+('Control Room'!$D$8-'Control Room'!$B$8)*AP215/2147483647)</x:f>
        <x:v>965.9217969655069</x:v>
      </x:c>
      <x:c r="AS215" s="17" t="n">
        <x:f>IF('Control Room'!$B$5="Normal",'Control Room'!$B$7,('Control Room'!$B$8+'Control Room'!$D$8)/2)+'Control Room'!$B$9*(AS214-IF('Control Room'!$B$5="Normal",'Control Room'!$B$7,('Control Room'!$B$8+'Control Room'!$D$8)/2))+SQRT(1-'Control Room'!$B$9^2)*(AR215-IF('Control Room'!$B$5="Normal",'Control Room'!$B$7,('Control Room'!$B$8+'Control Room'!$D$8)/2))</x:f>
        <x:v>1033.7469301563635</x:v>
      </x:c>
      <x:c r="AT215" s="17" t="n">
        <x:f>IF(AND($A215&gt;='Control Room'!$A$13,$A215&lt;'Control Room'!$A$13+'Control Room'!$B$13,'Process'!BS2=1),1+('Control Room'!$C$13-1)*EXP(-0.5*(($A215-'Control Room'!$A$13-('Control Room'!$B$13-1)/2)/MAX(0.5,'Control Room'!$B$13/4))^2),1)*IF(AND($A215&gt;='Control Room'!$A$14,$A215&lt;'Control Room'!$A$14+'Control Room'!$B$14,'Process'!BS3=1),1+('Control Room'!$C$14-1)*EXP(-0.5*(($A215-'Control Room'!$A$14-('Control Room'!$B$14-1)/2)/MAX(0.5,'Control Room'!$B$14/4))^2),1)*IF(AND($A215&gt;='Control Room'!$A$15,$A215&lt;'Control Room'!$A$15+'Control Room'!$B$15,'Process'!BS4=1),1+('Control Room'!$C$15-1)*EXP(-0.5*(($A215-'Control Room'!$A$15-('Control Room'!$B$15-1)/2)/MAX(0.5,'Control Room'!$B$15/4))^2),1)*IF(AND($A215&gt;='Control Room'!$A$16,$A215&lt;'Control Room'!$A$16+'Control Room'!$B$16,'Process'!BS5=1),1+('Control Room'!$C$16-1)*EXP(-0.5*(($A215-'Control Room'!$A$16-('Control Room'!$B$16-1)/2)/MAX(0.5,'Control Room'!$B$16/4))^2),1)</x:f>
        <x:v>1</x:v>
      </x:c>
      <x:c r="AU215" s="9" t="n">
        <x:f>MOD(AV214*16807,2147483647)</x:f>
        <x:v>1312227564</x:v>
      </x:c>
      <x:c r="AV215" s="9" t="n">
        <x:f>MOD(AU215*16807,2147483647)</x:f>
        <x:v>2099097105</x:v>
      </x:c>
      <x:c r="AW215" s="17" t="n">
        <x:f>IF('Control Room'!$B$5="Normal",'Control Room'!$B$7+'Control Room'!$D$7*SQRT(-2*LN(MAX(0.000000000001,AU215/2147483647)))*COS(2*PI()*AV215/2147483647),'Control Room'!$B$8+('Control Room'!$D$8-'Control Room'!$B$8)*AU215/2147483647)</x:f>
        <x:v>1088.435167785277</x:v>
      </x:c>
      <x:c r="AX215" s="17" t="n">
        <x:f>IF('Control Room'!$B$5="Normal",'Control Room'!$B$7,('Control Room'!$B$8+'Control Room'!$D$8)/2)+'Control Room'!$B$9*(AX214-IF('Control Room'!$B$5="Normal",'Control Room'!$B$7,('Control Room'!$B$8+'Control Room'!$D$8)/2))+SQRT(1-'Control Room'!$B$9^2)*(AW215-IF('Control Room'!$B$5="Normal",'Control Room'!$B$7,('Control Room'!$B$8+'Control Room'!$D$8)/2))</x:f>
        <x:v>1061.4291720801718</x:v>
      </x:c>
      <x:c r="AY215" s="17" t="n">
        <x:f>IF(AND($A215&gt;='Control Room'!$A$13,$A215&lt;'Control Room'!$A$13+'Control Room'!$B$13,'Process'!BT2=1),1+('Control Room'!$C$13-1)*EXP(-0.5*(($A215-'Control Room'!$A$13-('Control Room'!$B$13-1)/2)/MAX(0.5,'Control Room'!$B$13/4))^2),1)*IF(AND($A215&gt;='Control Room'!$A$14,$A215&lt;'Control Room'!$A$14+'Control Room'!$B$14,'Process'!BT3=1),1+('Control Room'!$C$14-1)*EXP(-0.5*(($A215-'Control Room'!$A$14-('Control Room'!$B$14-1)/2)/MAX(0.5,'Control Room'!$B$14/4))^2),1)*IF(AND($A215&gt;='Control Room'!$A$15,$A215&lt;'Control Room'!$A$15+'Control Room'!$B$15,'Process'!BT4=1),1+('Control Room'!$C$15-1)*EXP(-0.5*(($A215-'Control Room'!$A$15-('Control Room'!$B$15-1)/2)/MAX(0.5,'Control Room'!$B$15/4))^2),1)*IF(AND($A215&gt;='Control Room'!$A$16,$A215&lt;'Control Room'!$A$16+'Control Room'!$B$16,'Process'!BT5=1),1+('Control Room'!$C$16-1)*EXP(-0.5*(($A215-'Control Room'!$A$16-('Control Room'!$B$16-1)/2)/MAX(0.5,'Control Room'!$B$16/4))^2),1)</x:f>
        <x:v>1</x:v>
      </x:c>
      <x:c r="AZ215" s="9" t="n">
        <x:f>MOD(BA214*16807,2147483647)</x:f>
        <x:v>152902797</x:v>
      </x:c>
      <x:c r="BA215" s="9" t="n">
        <x:f>MOD(AZ215*16807,2147483647)</x:f>
        <x:v>1446867367</x:v>
      </x:c>
      <x:c r="BB215" s="17" t="n">
        <x:f>IF('Control Room'!$B$5="Normal",'Control Room'!$B$7+'Control Room'!$D$7*SQRT(-2*LN(MAX(0.000000000001,AZ215/2147483647)))*COS(2*PI()*BA215/2147483647),'Control Room'!$B$8+('Control Room'!$D$8-'Control Room'!$B$8)*AZ215/2147483647)</x:f>
        <x:v>904.6280684208381</x:v>
      </x:c>
      <x:c r="BC215" s="17" t="n">
        <x:f>IF('Control Room'!$B$5="Normal",'Control Room'!$B$7,('Control Room'!$B$8+'Control Room'!$D$8)/2)+'Control Room'!$B$9*(BC214-IF('Control Room'!$B$5="Normal",'Control Room'!$B$7,('Control Room'!$B$8+'Control Room'!$D$8)/2))+SQRT(1-'Control Room'!$B$9^2)*(BB215-IF('Control Room'!$B$5="Normal",'Control Room'!$B$7,('Control Room'!$B$8+'Control Room'!$D$8)/2))</x:f>
        <x:v>929.2580619943051</x:v>
      </x:c>
      <x:c r="BD215" s="17" t="n">
        <x:f>IF(AND($A215&gt;='Control Room'!$A$13,$A215&lt;'Control Room'!$A$13+'Control Room'!$B$13,'Process'!BU2=1),1+('Control Room'!$C$13-1)*EXP(-0.5*(($A215-'Control Room'!$A$13-('Control Room'!$B$13-1)/2)/MAX(0.5,'Control Room'!$B$13/4))^2),1)*IF(AND($A215&gt;='Control Room'!$A$14,$A215&lt;'Control Room'!$A$14+'Control Room'!$B$14,'Process'!BU3=1),1+('Control Room'!$C$14-1)*EXP(-0.5*(($A215-'Control Room'!$A$14-('Control Room'!$B$14-1)/2)/MAX(0.5,'Control Room'!$B$14/4))^2),1)*IF(AND($A215&gt;='Control Room'!$A$15,$A215&lt;'Control Room'!$A$15+'Control Room'!$B$15,'Process'!BU4=1),1+('Control Room'!$C$15-1)*EXP(-0.5*(($A215-'Control Room'!$A$15-('Control Room'!$B$15-1)/2)/MAX(0.5,'Control Room'!$B$15/4))^2),1)*IF(AND($A215&gt;='Control Room'!$A$16,$A215&lt;'Control Room'!$A$16+'Control Room'!$B$16,'Process'!BU5=1),1+('Control Room'!$C$16-1)*EXP(-0.5*(($A215-'Control Room'!$A$16-('Control Room'!$B$16-1)/2)/MAX(0.5,'Control Room'!$B$16/4))^2),1)</x:f>
        <x:v>1</x:v>
      </x:c>
      <x:c r="BE215" s="9" t="n">
        <x:f>MOD(BF214*16807,2147483647)</x:f>
        <x:v>1141061677</x:v>
      </x:c>
      <x:c r="BF215" s="9" t="n">
        <x:f>MOD(BE215*16807,2147483647)</x:f>
        <x:v>794637629</x:v>
      </x:c>
      <x:c r="BG215" s="17" t="n">
        <x:f>IF('Control Room'!$B$5="Normal",'Control Room'!$B$7+'Control Room'!$D$7*SQRT(-2*LN(MAX(0.000000000001,BE215/2147483647)))*COS(2*PI()*BF215/2147483647),'Control Room'!$B$8+('Control Room'!$D$8-'Control Room'!$B$8)*BE215/2147483647)</x:f>
        <x:v>930.7007913652365</x:v>
      </x:c>
      <x:c r="BH215" s="17" t="n">
        <x:f>IF('Control Room'!$B$5="Normal",'Control Room'!$B$7,('Control Room'!$B$8+'Control Room'!$D$8)/2)+'Control Room'!$B$9*(BH214-IF('Control Room'!$B$5="Normal",'Control Room'!$B$7,('Control Room'!$B$8+'Control Room'!$D$8)/2))+SQRT(1-'Control Room'!$B$9^2)*(BG215-IF('Control Room'!$B$5="Normal",'Control Room'!$B$7,('Control Room'!$B$8+'Control Room'!$D$8)/2))</x:f>
        <x:v>896.5296198469617</x:v>
      </x:c>
      <x:c r="BI215" s="17" t="n">
        <x:f>IF(AND($A215&gt;='Control Room'!$A$13,$A215&lt;'Control Room'!$A$13+'Control Room'!$B$13,'Process'!BV2=1),1+('Control Room'!$C$13-1)*EXP(-0.5*(($A215-'Control Room'!$A$13-('Control Room'!$B$13-1)/2)/MAX(0.5,'Control Room'!$B$13/4))^2),1)*IF(AND($A215&gt;='Control Room'!$A$14,$A215&lt;'Control Room'!$A$14+'Control Room'!$B$14,'Process'!BV3=1),1+('Control Room'!$C$14-1)*EXP(-0.5*(($A215-'Control Room'!$A$14-('Control Room'!$B$14-1)/2)/MAX(0.5,'Control Room'!$B$14/4))^2),1)*IF(AND($A215&gt;='Control Room'!$A$15,$A215&lt;'Control Room'!$A$15+'Control Room'!$B$15,'Process'!BV4=1),1+('Control Room'!$C$15-1)*EXP(-0.5*(($A215-'Control Room'!$A$15-('Control Room'!$B$15-1)/2)/MAX(0.5,'Control Room'!$B$15/4))^2),1)*IF(AND($A215&gt;='Control Room'!$A$16,$A215&lt;'Control Room'!$A$16+'Control Room'!$B$16,'Process'!BV5=1),1+('Control Room'!$C$16-1)*EXP(-0.5*(($A215-'Control Room'!$A$16-('Control Room'!$B$16-1)/2)/MAX(0.5,'Control Room'!$B$16/4))^2),1)</x:f>
        <x:v>1</x:v>
      </x:c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Z215" t="str">
        <x:f>IF('Data'!A215="","",TEXT('Data'!A215,"mm-dd"))</x:f>
      </x:c>
    </x:row>
    <x:row r="216" ht="21" customHeight="1">
      <x:c r="A216" s="15" t="n">
        <x:f>'Control Room'!$B$1+214</x:f>
        <x:v>73205</x:v>
      </x:c>
      <x:c r="B216" s="9" t="n">
        <x:f>MOD(C215*16807,2147483647)</x:f>
        <x:v>1344323086</x:v>
      </x:c>
      <x:c r="C216" s="9" t="n">
        <x:f>MOD(B216*16807,2147483647)</x:f>
        <x:v>362656315</x:v>
      </x:c>
      <x:c r="D216" s="17" t="n">
        <x:f>IF('Control Room'!$B$5="Normal",'Control Room'!$B$7+'Control Room'!$D$7*SQRT(-2*LN(MAX(0.000000000001,B216/2147483647)))*COS(2*PI()*C216/2147483647),'Control Room'!$B$8+('Control Room'!$D$8-'Control Room'!$B$8)*B216/2147483647)</x:f>
        <x:v>1042.5041647153018</x:v>
      </x:c>
      <x:c r="E216" s="17" t="n">
        <x:f>IF('Control Room'!$B$5="Normal",'Control Room'!$B$7,('Control Room'!$B$8+'Control Room'!$D$8)/2)+'Control Room'!$B$9*(E215-IF('Control Room'!$B$5="Normal",'Control Room'!$B$7,('Control Room'!$B$8+'Control Room'!$D$8)/2))+SQRT(1-'Control Room'!$B$9^2)*(D216-IF('Control Room'!$B$5="Normal",'Control Room'!$B$7,('Control Room'!$B$8+'Control Room'!$D$8)/2))</x:f>
        <x:v>1010.8945327783033</x:v>
      </x:c>
      <x:c r="F216" s="17" t="n">
        <x:f>IF(AND($A216&gt;='Control Room'!$A$13,$A216&lt;'Control Room'!$A$13+'Control Room'!$B$13,'Process'!BK2=1),1+('Control Room'!$C$13-1)*EXP(-0.5*(($A216-'Control Room'!$A$13-('Control Room'!$B$13-1)/2)/MAX(0.5,'Control Room'!$B$13/4))^2),1)*IF(AND($A216&gt;='Control Room'!$A$14,$A216&lt;'Control Room'!$A$14+'Control Room'!$B$14,'Process'!BK3=1),1+('Control Room'!$C$14-1)*EXP(-0.5*(($A216-'Control Room'!$A$14-('Control Room'!$B$14-1)/2)/MAX(0.5,'Control Room'!$B$14/4))^2),1)*IF(AND($A216&gt;='Control Room'!$A$15,$A216&lt;'Control Room'!$A$15+'Control Room'!$B$15,'Process'!BK4=1),1+('Control Room'!$C$15-1)*EXP(-0.5*(($A216-'Control Room'!$A$15-('Control Room'!$B$15-1)/2)/MAX(0.5,'Control Room'!$B$15/4))^2),1)*IF(AND($A216&gt;='Control Room'!$A$16,$A216&lt;'Control Room'!$A$16+'Control Room'!$B$16,'Process'!BK5=1),1+('Control Room'!$C$16-1)*EXP(-0.5*(($A216-'Control Room'!$A$16-('Control Room'!$B$16-1)/2)/MAX(0.5,'Control Room'!$B$16/4))^2),1)</x:f>
        <x:v>1</x:v>
      </x:c>
      <x:c r="G216" s="9" t="n">
        <x:f>MOD(H215*16807,2147483647)</x:f>
        <x:v>75650808</x:v>
      </x:c>
      <x:c r="H216" s="9" t="n">
        <x:f>MOD(G216*16807,2147483647)</x:f>
        <x:v>152811032</x:v>
      </x:c>
      <x:c r="I216" s="17" t="n">
        <x:f>IF('Control Room'!$B$5="Normal",'Control Room'!$B$7+'Control Room'!$D$7*SQRT(-2*LN(MAX(0.000000000001,G216/2147483647)))*COS(2*PI()*H216/2147483647),'Control Room'!$B$8+('Control Room'!$D$8-'Control Room'!$B$8)*G216/2147483647)</x:f>
        <x:v>1209.932592630361</x:v>
      </x:c>
      <x:c r="J216" s="17" t="n">
        <x:f>IF('Control Room'!$B$5="Normal",'Control Room'!$B$7,('Control Room'!$B$8+'Control Room'!$D$8)/2)+'Control Room'!$B$9*(J215-IF('Control Room'!$B$5="Normal",'Control Room'!$B$7,('Control Room'!$B$8+'Control Room'!$D$8)/2))+SQRT(1-'Control Room'!$B$9^2)*(I216-IF('Control Room'!$B$5="Normal",'Control Room'!$B$7,('Control Room'!$B$8+'Control Room'!$D$8)/2))</x:f>
        <x:v>1101.906064952438</x:v>
      </x:c>
      <x:c r="K216" s="17" t="n">
        <x:f>IF(AND($A216&gt;='Control Room'!$A$13,$A216&lt;'Control Room'!$A$13+'Control Room'!$B$13,'Process'!BL2=1),1+('Control Room'!$C$13-1)*EXP(-0.5*(($A216-'Control Room'!$A$13-('Control Room'!$B$13-1)/2)/MAX(0.5,'Control Room'!$B$13/4))^2),1)*IF(AND($A216&gt;='Control Room'!$A$14,$A216&lt;'Control Room'!$A$14+'Control Room'!$B$14,'Process'!BL3=1),1+('Control Room'!$C$14-1)*EXP(-0.5*(($A216-'Control Room'!$A$14-('Control Room'!$B$14-1)/2)/MAX(0.5,'Control Room'!$B$14/4))^2),1)*IF(AND($A216&gt;='Control Room'!$A$15,$A216&lt;'Control Room'!$A$15+'Control Room'!$B$15,'Process'!BL4=1),1+('Control Room'!$C$15-1)*EXP(-0.5*(($A216-'Control Room'!$A$15-('Control Room'!$B$15-1)/2)/MAX(0.5,'Control Room'!$B$15/4))^2),1)*IF(AND($A216&gt;='Control Room'!$A$16,$A216&lt;'Control Room'!$A$16+'Control Room'!$B$16,'Process'!BL5=1),1+('Control Room'!$C$16-1)*EXP(-0.5*(($A216-'Control Room'!$A$16-('Control Room'!$B$16-1)/2)/MAX(0.5,'Control Room'!$B$16/4))^2),1)</x:f>
        <x:v>1</x:v>
      </x:c>
      <x:c r="L216" s="9" t="n">
        <x:f>MOD(M215*16807,2147483647)</x:f>
        <x:v>954462177</x:v>
      </x:c>
      <x:c r="M216" s="9" t="n">
        <x:f>MOD(L216*16807,2147483647)</x:f>
        <x:v>2090449396</x:v>
      </x:c>
      <x:c r="N216" s="17" t="n">
        <x:f>IF('Control Room'!$B$5="Normal",'Control Room'!$B$7+'Control Room'!$D$7*SQRT(-2*LN(MAX(0.000000000001,L216/2147483647)))*COS(2*PI()*M216/2147483647),'Control Room'!$B$8+('Control Room'!$D$8-'Control Room'!$B$8)*L216/2147483647)</x:f>
        <x:v>1113.023085147263</x:v>
      </x:c>
      <x:c r="O216" s="17" t="n">
        <x:f>IF('Control Room'!$B$5="Normal",'Control Room'!$B$7,('Control Room'!$B$8+'Control Room'!$D$8)/2)+'Control Room'!$B$9*(O215-IF('Control Room'!$B$5="Normal",'Control Room'!$B$7,('Control Room'!$B$8+'Control Room'!$D$8)/2))+SQRT(1-'Control Room'!$B$9^2)*(N216-IF('Control Room'!$B$5="Normal",'Control Room'!$B$7,('Control Room'!$B$8+'Control Room'!$D$8)/2))</x:f>
        <x:v>1146.8970461940703</x:v>
      </x:c>
      <x:c r="P216" s="17" t="n">
        <x:f>IF(AND($A216&gt;='Control Room'!$A$13,$A216&lt;'Control Room'!$A$13+'Control Room'!$B$13,'Process'!BM2=1),1+('Control Room'!$C$13-1)*EXP(-0.5*(($A216-'Control Room'!$A$13-('Control Room'!$B$13-1)/2)/MAX(0.5,'Control Room'!$B$13/4))^2),1)*IF(AND($A216&gt;='Control Room'!$A$14,$A216&lt;'Control Room'!$A$14+'Control Room'!$B$14,'Process'!BM3=1),1+('Control Room'!$C$14-1)*EXP(-0.5*(($A216-'Control Room'!$A$14-('Control Room'!$B$14-1)/2)/MAX(0.5,'Control Room'!$B$14/4))^2),1)*IF(AND($A216&gt;='Control Room'!$A$15,$A216&lt;'Control Room'!$A$15+'Control Room'!$B$15,'Process'!BM4=1),1+('Control Room'!$C$15-1)*EXP(-0.5*(($A216-'Control Room'!$A$15-('Control Room'!$B$15-1)/2)/MAX(0.5,'Control Room'!$B$15/4))^2),1)*IF(AND($A216&gt;='Control Room'!$A$16,$A216&lt;'Control Room'!$A$16+'Control Room'!$B$16,'Process'!BM5=1),1+('Control Room'!$C$16-1)*EXP(-0.5*(($A216-'Control Room'!$A$16-('Control Room'!$B$16-1)/2)/MAX(0.5,'Control Room'!$B$16/4))^2),1)</x:f>
        <x:v>1</x:v>
      </x:c>
      <x:c r="Q216" s="9" t="n">
        <x:f>MOD(R215*16807,2147483647)</x:f>
        <x:v>1833273546</x:v>
      </x:c>
      <x:c r="R216" s="9" t="n">
        <x:f>MOD(Q216*16807,2147483647)</x:f>
        <x:v>1880604113</x:v>
      </x:c>
      <x:c r="S216" s="17" t="n">
        <x:f>IF('Control Room'!$B$5="Normal",'Control Room'!$B$7+'Control Room'!$D$7*SQRT(-2*LN(MAX(0.000000000001,Q216/2147483647)))*COS(2*PI()*R216/2147483647),'Control Room'!$B$8+('Control Room'!$D$8-'Control Room'!$B$8)*Q216/2147483647)</x:f>
        <x:v>1035.9587857002475</x:v>
      </x:c>
      <x:c r="T216" s="17" t="n">
        <x:f>IF('Control Room'!$B$5="Normal",'Control Room'!$B$7,('Control Room'!$B$8+'Control Room'!$D$8)/2)+'Control Room'!$B$9*(T215-IF('Control Room'!$B$5="Normal",'Control Room'!$B$7,('Control Room'!$B$8+'Control Room'!$D$8)/2))+SQRT(1-'Control Room'!$B$9^2)*(S216-IF('Control Room'!$B$5="Normal",'Control Room'!$B$7,('Control Room'!$B$8+'Control Room'!$D$8)/2))</x:f>
        <x:v>1072.2378077790754</x:v>
      </x:c>
      <x:c r="U216" s="17" t="n">
        <x:f>IF(AND($A216&gt;='Control Room'!$A$13,$A216&lt;'Control Room'!$A$13+'Control Room'!$B$13,'Process'!BN2=1),1+('Control Room'!$C$13-1)*EXP(-0.5*(($A216-'Control Room'!$A$13-('Control Room'!$B$13-1)/2)/MAX(0.5,'Control Room'!$B$13/4))^2),1)*IF(AND($A216&gt;='Control Room'!$A$14,$A216&lt;'Control Room'!$A$14+'Control Room'!$B$14,'Process'!BN3=1),1+('Control Room'!$C$14-1)*EXP(-0.5*(($A216-'Control Room'!$A$14-('Control Room'!$B$14-1)/2)/MAX(0.5,'Control Room'!$B$14/4))^2),1)*IF(AND($A216&gt;='Control Room'!$A$15,$A216&lt;'Control Room'!$A$15+'Control Room'!$B$15,'Process'!BN4=1),1+('Control Room'!$C$15-1)*EXP(-0.5*(($A216-'Control Room'!$A$15-('Control Room'!$B$15-1)/2)/MAX(0.5,'Control Room'!$B$15/4))^2),1)*IF(AND($A216&gt;='Control Room'!$A$16,$A216&lt;'Control Room'!$A$16+'Control Room'!$B$16,'Process'!BN5=1),1+('Control Room'!$C$16-1)*EXP(-0.5*(($A216-'Control Room'!$A$16-('Control Room'!$B$16-1)/2)/MAX(0.5,'Control Room'!$B$16/4))^2),1)</x:f>
        <x:v>1</x:v>
      </x:c>
      <x:c r="V216" s="9" t="n">
        <x:f>MOD(W215*16807,2147483647)</x:f>
        <x:v>564601268</x:v>
      </x:c>
      <x:c r="W216" s="9" t="n">
        <x:f>MOD(V216*16807,2147483647)</x:f>
        <x:v>1670758830</x:v>
      </x:c>
      <x:c r="X216" s="17" t="n">
        <x:f>IF('Control Room'!$B$5="Normal",'Control Room'!$B$7+'Control Room'!$D$7*SQRT(-2*LN(MAX(0.000000000001,V216/2147483647)))*COS(2*PI()*W216/2147483647),'Control Room'!$B$8+('Control Room'!$D$8-'Control Room'!$B$8)*V216/2147483647)</x:f>
        <x:v>1025.7551035261026</x:v>
      </x:c>
      <x:c r="Y216" s="17" t="n">
        <x:f>IF('Control Room'!$B$5="Normal",'Control Room'!$B$7,('Control Room'!$B$8+'Control Room'!$D$8)/2)+'Control Room'!$B$9*(Y215-IF('Control Room'!$B$5="Normal",'Control Room'!$B$7,('Control Room'!$B$8+'Control Room'!$D$8)/2))+SQRT(1-'Control Room'!$B$9^2)*(X216-IF('Control Room'!$B$5="Normal",'Control Room'!$B$7,('Control Room'!$B$8+'Control Room'!$D$8)/2))</x:f>
        <x:v>919.0026503893018</x:v>
      </x:c>
      <x:c r="Z216" s="17" t="n">
        <x:f>IF(AND($A216&gt;='Control Room'!$A$13,$A216&lt;'Control Room'!$A$13+'Control Room'!$B$13,'Process'!BO2=1),1+('Control Room'!$C$13-1)*EXP(-0.5*(($A216-'Control Room'!$A$13-('Control Room'!$B$13-1)/2)/MAX(0.5,'Control Room'!$B$13/4))^2),1)*IF(AND($A216&gt;='Control Room'!$A$14,$A216&lt;'Control Room'!$A$14+'Control Room'!$B$14,'Process'!BO3=1),1+('Control Room'!$C$14-1)*EXP(-0.5*(($A216-'Control Room'!$A$14-('Control Room'!$B$14-1)/2)/MAX(0.5,'Control Room'!$B$14/4))^2),1)*IF(AND($A216&gt;='Control Room'!$A$15,$A216&lt;'Control Room'!$A$15+'Control Room'!$B$15,'Process'!BO4=1),1+('Control Room'!$C$15-1)*EXP(-0.5*(($A216-'Control Room'!$A$15-('Control Room'!$B$15-1)/2)/MAX(0.5,'Control Room'!$B$15/4))^2),1)*IF(AND($A216&gt;='Control Room'!$A$16,$A216&lt;'Control Room'!$A$16+'Control Room'!$B$16,'Process'!BO5=1),1+('Control Room'!$C$16-1)*EXP(-0.5*(($A216-'Control Room'!$A$16-('Control Room'!$B$16-1)/2)/MAX(0.5,'Control Room'!$B$16/4))^2),1)</x:f>
        <x:v>1</x:v>
      </x:c>
      <x:c r="AA216" s="9" t="n">
        <x:f>MOD(AB215*16807,2147483647)</x:f>
        <x:v>1443412637</x:v>
      </x:c>
      <x:c r="AB216" s="9" t="n">
        <x:f>MOD(AA216*16807,2147483647)</x:f>
        <x:v>1460913547</x:v>
      </x:c>
      <x:c r="AC216" s="17" t="n">
        <x:f>IF('Control Room'!$B$5="Normal",'Control Room'!$B$7+'Control Room'!$D$7*SQRT(-2*LN(MAX(0.000000000001,AA216/2147483647)))*COS(2*PI()*AB216/2147483647),'Control Room'!$B$8+('Control Room'!$D$8-'Control Room'!$B$8)*AA216/2147483647)</x:f>
        <x:v>965.9746056060857</x:v>
      </x:c>
      <x:c r="AD216" s="17" t="n">
        <x:f>IF('Control Room'!$B$5="Normal",'Control Room'!$B$7,('Control Room'!$B$8+'Control Room'!$D$8)/2)+'Control Room'!$B$9*(AD215-IF('Control Room'!$B$5="Normal",'Control Room'!$B$7,('Control Room'!$B$8+'Control Room'!$D$8)/2))+SQRT(1-'Control Room'!$B$9^2)*(AC216-IF('Control Room'!$B$5="Normal",'Control Room'!$B$7,('Control Room'!$B$8+'Control Room'!$D$8)/2))</x:f>
        <x:v>1062.8904404267576</x:v>
      </x:c>
      <x:c r="AE216" s="17" t="n">
        <x:f>IF(AND($A216&gt;='Control Room'!$A$13,$A216&lt;'Control Room'!$A$13+'Control Room'!$B$13,'Process'!BP2=1),1+('Control Room'!$C$13-1)*EXP(-0.5*(($A216-'Control Room'!$A$13-('Control Room'!$B$13-1)/2)/MAX(0.5,'Control Room'!$B$13/4))^2),1)*IF(AND($A216&gt;='Control Room'!$A$14,$A216&lt;'Control Room'!$A$14+'Control Room'!$B$14,'Process'!BP3=1),1+('Control Room'!$C$14-1)*EXP(-0.5*(($A216-'Control Room'!$A$14-('Control Room'!$B$14-1)/2)/MAX(0.5,'Control Room'!$B$14/4))^2),1)*IF(AND($A216&gt;='Control Room'!$A$15,$A216&lt;'Control Room'!$A$15+'Control Room'!$B$15,'Process'!BP4=1),1+('Control Room'!$C$15-1)*EXP(-0.5*(($A216-'Control Room'!$A$15-('Control Room'!$B$15-1)/2)/MAX(0.5,'Control Room'!$B$15/4))^2),1)*IF(AND($A216&gt;='Control Room'!$A$16,$A216&lt;'Control Room'!$A$16+'Control Room'!$B$16,'Process'!BP5=1),1+('Control Room'!$C$16-1)*EXP(-0.5*(($A216-'Control Room'!$A$16-('Control Room'!$B$16-1)/2)/MAX(0.5,'Control Room'!$B$16/4))^2),1)</x:f>
        <x:v>1</x:v>
      </x:c>
      <x:c r="AF216" s="9" t="n">
        <x:f>MOD(AG215*16807,2147483647)</x:f>
        <x:v>174740359</x:v>
      </x:c>
      <x:c r="AG216" s="9" t="n">
        <x:f>MOD(AF216*16807,2147483647)</x:f>
        <x:v>1251068264</x:v>
      </x:c>
      <x:c r="AH216" s="17" t="n">
        <x:f>IF('Control Room'!$B$5="Normal",'Control Room'!$B$7+'Control Room'!$D$7*SQRT(-2*LN(MAX(0.000000000001,AF216/2147483647)))*COS(2*PI()*AG216/2147483647),'Control Room'!$B$8+('Control Room'!$D$8-'Control Room'!$B$8)*AF216/2147483647)</x:f>
        <x:v>824.9320998928168</x:v>
      </x:c>
      <x:c r="AI216" s="17" t="n">
        <x:f>IF('Control Room'!$B$5="Normal",'Control Room'!$B$7,('Control Room'!$B$8+'Control Room'!$D$8)/2)+'Control Room'!$B$9*(AI215-IF('Control Room'!$B$5="Normal",'Control Room'!$B$7,('Control Room'!$B$8+'Control Room'!$D$8)/2))+SQRT(1-'Control Room'!$B$9^2)*(AH216-IF('Control Room'!$B$5="Normal",'Control Room'!$B$7,('Control Room'!$B$8+'Control Room'!$D$8)/2))</x:f>
        <x:v>990.1477377509533</x:v>
      </x:c>
      <x:c r="AJ216" s="17" t="n">
        <x:f>IF(AND($A216&gt;='Control Room'!$A$13,$A216&lt;'Control Room'!$A$13+'Control Room'!$B$13,'Process'!BQ2=1),1+('Control Room'!$C$13-1)*EXP(-0.5*(($A216-'Control Room'!$A$13-('Control Room'!$B$13-1)/2)/MAX(0.5,'Control Room'!$B$13/4))^2),1)*IF(AND($A216&gt;='Control Room'!$A$14,$A216&lt;'Control Room'!$A$14+'Control Room'!$B$14,'Process'!BQ3=1),1+('Control Room'!$C$14-1)*EXP(-0.5*(($A216-'Control Room'!$A$14-('Control Room'!$B$14-1)/2)/MAX(0.5,'Control Room'!$B$14/4))^2),1)*IF(AND($A216&gt;='Control Room'!$A$15,$A216&lt;'Control Room'!$A$15+'Control Room'!$B$15,'Process'!BQ4=1),1+('Control Room'!$C$15-1)*EXP(-0.5*(($A216-'Control Room'!$A$15-('Control Room'!$B$15-1)/2)/MAX(0.5,'Control Room'!$B$15/4))^2),1)*IF(AND($A216&gt;='Control Room'!$A$16,$A216&lt;'Control Room'!$A$16+'Control Room'!$B$16,'Process'!BQ5=1),1+('Control Room'!$C$16-1)*EXP(-0.5*(($A216-'Control Room'!$A$16-('Control Room'!$B$16-1)/2)/MAX(0.5,'Control Room'!$B$16/4))^2),1)</x:f>
        <x:v>1</x:v>
      </x:c>
      <x:c r="AK216" s="9" t="n">
        <x:f>MOD(AL215*16807,2147483647)</x:f>
        <x:v>1053551728</x:v>
      </x:c>
      <x:c r="AL216" s="9" t="n">
        <x:f>MOD(AK216*16807,2147483647)</x:f>
        <x:v>1041222981</x:v>
      </x:c>
      <x:c r="AM216" s="17" t="n">
        <x:f>IF('Control Room'!$B$5="Normal",'Control Room'!$B$7+'Control Room'!$D$7*SQRT(-2*LN(MAX(0.000000000001,AK216/2147483647)))*COS(2*PI()*AL216/2147483647),'Control Room'!$B$8+('Control Room'!$D$8-'Control Room'!$B$8)*AK216/2147483647)</x:f>
        <x:v>893.0776851307447</x:v>
      </x:c>
      <x:c r="AN216" s="17" t="n">
        <x:f>IF('Control Room'!$B$5="Normal",'Control Room'!$B$7,('Control Room'!$B$8+'Control Room'!$D$8)/2)+'Control Room'!$B$9*(AN215-IF('Control Room'!$B$5="Normal",'Control Room'!$B$7,('Control Room'!$B$8+'Control Room'!$D$8)/2))+SQRT(1-'Control Room'!$B$9^2)*(AM216-IF('Control Room'!$B$5="Normal",'Control Room'!$B$7,('Control Room'!$B$8+'Control Room'!$D$8)/2))</x:f>
        <x:v>1011.1787789058628</x:v>
      </x:c>
      <x:c r="AO216" s="17" t="n">
        <x:f>IF(AND($A216&gt;='Control Room'!$A$13,$A216&lt;'Control Room'!$A$13+'Control Room'!$B$13,'Process'!BR2=1),1+('Control Room'!$C$13-1)*EXP(-0.5*(($A216-'Control Room'!$A$13-('Control Room'!$B$13-1)/2)/MAX(0.5,'Control Room'!$B$13/4))^2),1)*IF(AND($A216&gt;='Control Room'!$A$14,$A216&lt;'Control Room'!$A$14+'Control Room'!$B$14,'Process'!BR3=1),1+('Control Room'!$C$14-1)*EXP(-0.5*(($A216-'Control Room'!$A$14-('Control Room'!$B$14-1)/2)/MAX(0.5,'Control Room'!$B$14/4))^2),1)*IF(AND($A216&gt;='Control Room'!$A$15,$A216&lt;'Control Room'!$A$15+'Control Room'!$B$15,'Process'!BR4=1),1+('Control Room'!$C$15-1)*EXP(-0.5*(($A216-'Control Room'!$A$15-('Control Room'!$B$15-1)/2)/MAX(0.5,'Control Room'!$B$15/4))^2),1)*IF(AND($A216&gt;='Control Room'!$A$16,$A216&lt;'Control Room'!$A$16+'Control Room'!$B$16,'Process'!BR5=1),1+('Control Room'!$C$16-1)*EXP(-0.5*(($A216-'Control Room'!$A$16-('Control Room'!$B$16-1)/2)/MAX(0.5,'Control Room'!$B$16/4))^2),1)</x:f>
        <x:v>1</x:v>
      </x:c>
      <x:c r="AP216" s="9" t="n">
        <x:f>MOD(AQ215*16807,2147483647)</x:f>
        <x:v>1932363097</x:v>
      </x:c>
      <x:c r="AQ216" s="9" t="n">
        <x:f>MOD(AP216*16807,2147483647)</x:f>
        <x:v>831377698</x:v>
      </x:c>
      <x:c r="AR216" s="17" t="n">
        <x:f>IF('Control Room'!$B$5="Normal",'Control Room'!$B$7+'Control Room'!$D$7*SQRT(-2*LN(MAX(0.000000000001,AP216/2147483647)))*COS(2*PI()*AQ216/2147483647),'Control Room'!$B$8+('Control Room'!$D$8-'Control Room'!$B$8)*AP216/2147483647)</x:f>
        <x:v>968.6167039798817</x:v>
      </x:c>
      <x:c r="AS216" s="17" t="n">
        <x:f>IF('Control Room'!$B$5="Normal",'Control Room'!$B$7,('Control Room'!$B$8+'Control Room'!$D$8)/2)+'Control Room'!$B$9*(AS215-IF('Control Room'!$B$5="Normal",'Control Room'!$B$7,('Control Room'!$B$8+'Control Room'!$D$8)/2))+SQRT(1-'Control Room'!$B$9^2)*(AR216-IF('Control Room'!$B$5="Normal",'Control Room'!$B$7,('Control Room'!$B$8+'Control Room'!$D$8)/2))</x:f>
        <x:v>1006.6835817943385</x:v>
      </x:c>
      <x:c r="AT216" s="17" t="n">
        <x:f>IF(AND($A216&gt;='Control Room'!$A$13,$A216&lt;'Control Room'!$A$13+'Control Room'!$B$13,'Process'!BS2=1),1+('Control Room'!$C$13-1)*EXP(-0.5*(($A216-'Control Room'!$A$13-('Control Room'!$B$13-1)/2)/MAX(0.5,'Control Room'!$B$13/4))^2),1)*IF(AND($A216&gt;='Control Room'!$A$14,$A216&lt;'Control Room'!$A$14+'Control Room'!$B$14,'Process'!BS3=1),1+('Control Room'!$C$14-1)*EXP(-0.5*(($A216-'Control Room'!$A$14-('Control Room'!$B$14-1)/2)/MAX(0.5,'Control Room'!$B$14/4))^2),1)*IF(AND($A216&gt;='Control Room'!$A$15,$A216&lt;'Control Room'!$A$15+'Control Room'!$B$15,'Process'!BS4=1),1+('Control Room'!$C$15-1)*EXP(-0.5*(($A216-'Control Room'!$A$15-('Control Room'!$B$15-1)/2)/MAX(0.5,'Control Room'!$B$15/4))^2),1)*IF(AND($A216&gt;='Control Room'!$A$16,$A216&lt;'Control Room'!$A$16+'Control Room'!$B$16,'Process'!BS5=1),1+('Control Room'!$C$16-1)*EXP(-0.5*(($A216-'Control Room'!$A$16-('Control Room'!$B$16-1)/2)/MAX(0.5,'Control Room'!$B$16/4))^2),1)</x:f>
        <x:v>1</x:v>
      </x:c>
      <x:c r="AU216" s="9" t="n">
        <x:f>MOD(AV215*16807,2147483647)</x:f>
        <x:v>663690819</x:v>
      </x:c>
      <x:c r="AV216" s="9" t="n">
        <x:f>MOD(AU216*16807,2147483647)</x:f>
        <x:v>621532415</x:v>
      </x:c>
      <x:c r="AW216" s="17" t="n">
        <x:f>IF('Control Room'!$B$5="Normal",'Control Room'!$B$7+'Control Room'!$D$7*SQRT(-2*LN(MAX(0.000000000001,AU216/2147483647)))*COS(2*PI()*AV216/2147483647),'Control Room'!$B$8+('Control Room'!$D$8-'Control Room'!$B$8)*AU216/2147483647)</x:f>
        <x:v>966.1841159128488</x:v>
      </x:c>
      <x:c r="AX216" s="17" t="n">
        <x:f>IF('Control Room'!$B$5="Normal",'Control Room'!$B$7,('Control Room'!$B$8+'Control Room'!$D$8)/2)+'Control Room'!$B$9*(AX215-IF('Control Room'!$B$5="Normal",'Control Room'!$B$7,('Control Room'!$B$8+'Control Room'!$D$8)/2))+SQRT(1-'Control Room'!$B$9^2)*(AW216-IF('Control Room'!$B$5="Normal",'Control Room'!$B$7,('Control Room'!$B$8+'Control Room'!$D$8)/2))</x:f>
        <x:v>1026.753466716835</x:v>
      </x:c>
      <x:c r="AY216" s="17" t="n">
        <x:f>IF(AND($A216&gt;='Control Room'!$A$13,$A216&lt;'Control Room'!$A$13+'Control Room'!$B$13,'Process'!BT2=1),1+('Control Room'!$C$13-1)*EXP(-0.5*(($A216-'Control Room'!$A$13-('Control Room'!$B$13-1)/2)/MAX(0.5,'Control Room'!$B$13/4))^2),1)*IF(AND($A216&gt;='Control Room'!$A$14,$A216&lt;'Control Room'!$A$14+'Control Room'!$B$14,'Process'!BT3=1),1+('Control Room'!$C$14-1)*EXP(-0.5*(($A216-'Control Room'!$A$14-('Control Room'!$B$14-1)/2)/MAX(0.5,'Control Room'!$B$14/4))^2),1)*IF(AND($A216&gt;='Control Room'!$A$15,$A216&lt;'Control Room'!$A$15+'Control Room'!$B$15,'Process'!BT4=1),1+('Control Room'!$C$15-1)*EXP(-0.5*(($A216-'Control Room'!$A$15-('Control Room'!$B$15-1)/2)/MAX(0.5,'Control Room'!$B$15/4))^2),1)*IF(AND($A216&gt;='Control Room'!$A$16,$A216&lt;'Control Room'!$A$16+'Control Room'!$B$16,'Process'!BT5=1),1+('Control Room'!$C$16-1)*EXP(-0.5*(($A216-'Control Room'!$A$16-('Control Room'!$B$16-1)/2)/MAX(0.5,'Control Room'!$B$16/4))^2),1)</x:f>
        <x:v>1</x:v>
      </x:c>
      <x:c r="AZ216" s="9" t="n">
        <x:f>MOD(BA215*16807,2147483647)</x:f>
        <x:v>1542502188</x:v>
      </x:c>
      <x:c r="BA216" s="9" t="n">
        <x:f>MOD(AZ216*16807,2147483647)</x:f>
        <x:v>411687132</x:v>
      </x:c>
      <x:c r="BB216" s="17" t="n">
        <x:f>IF('Control Room'!$B$5="Normal",'Control Room'!$B$7+'Control Room'!$D$7*SQRT(-2*LN(MAX(0.000000000001,AZ216/2147483647)))*COS(2*PI()*BA216/2147483647),'Control Room'!$B$8+('Control Room'!$D$8-'Control Room'!$B$8)*AZ216/2147483647)</x:f>
        <x:v>1026.2206794650901</x:v>
      </x:c>
      <x:c r="BC216" s="17" t="n">
        <x:f>IF('Control Room'!$B$5="Normal",'Control Room'!$B$7,('Control Room'!$B$8+'Control Room'!$D$8)/2)+'Control Room'!$B$9*(BC215-IF('Control Room'!$B$5="Normal",'Control Room'!$B$7,('Control Room'!$B$8+'Control Room'!$D$8)/2))+SQRT(1-'Control Room'!$B$9^2)*(BB216-IF('Control Room'!$B$5="Normal",'Control Room'!$B$7,('Control Room'!$B$8+'Control Room'!$D$8)/2))</x:f>
        <x:v>961.2296524049952</x:v>
      </x:c>
      <x:c r="BD216" s="17" t="n">
        <x:f>IF(AND($A216&gt;='Control Room'!$A$13,$A216&lt;'Control Room'!$A$13+'Control Room'!$B$13,'Process'!BU2=1),1+('Control Room'!$C$13-1)*EXP(-0.5*(($A216-'Control Room'!$A$13-('Control Room'!$B$13-1)/2)/MAX(0.5,'Control Room'!$B$13/4))^2),1)*IF(AND($A216&gt;='Control Room'!$A$14,$A216&lt;'Control Room'!$A$14+'Control Room'!$B$14,'Process'!BU3=1),1+('Control Room'!$C$14-1)*EXP(-0.5*(($A216-'Control Room'!$A$14-('Control Room'!$B$14-1)/2)/MAX(0.5,'Control Room'!$B$14/4))^2),1)*IF(AND($A216&gt;='Control Room'!$A$15,$A216&lt;'Control Room'!$A$15+'Control Room'!$B$15,'Process'!BU4=1),1+('Control Room'!$C$15-1)*EXP(-0.5*(($A216-'Control Room'!$A$15-('Control Room'!$B$15-1)/2)/MAX(0.5,'Control Room'!$B$15/4))^2),1)*IF(AND($A216&gt;='Control Room'!$A$16,$A216&lt;'Control Room'!$A$16+'Control Room'!$B$16,'Process'!BU5=1),1+('Control Room'!$C$16-1)*EXP(-0.5*(($A216-'Control Room'!$A$16-('Control Room'!$B$16-1)/2)/MAX(0.5,'Control Room'!$B$16/4))^2),1)</x:f>
        <x:v>1</x:v>
      </x:c>
      <x:c r="BE216" s="9" t="n">
        <x:f>MOD(BF215*16807,2147483647)</x:f>
        <x:v>273829910</x:v>
      </x:c>
      <x:c r="BF216" s="9" t="n">
        <x:f>MOD(BE216*16807,2147483647)</x:f>
        <x:v>201841849</x:v>
      </x:c>
      <x:c r="BG216" s="17" t="n">
        <x:f>IF('Control Room'!$B$5="Normal",'Control Room'!$B$7+'Control Room'!$D$7*SQRT(-2*LN(MAX(0.000000000001,BE216/2147483647)))*COS(2*PI()*BF216/2147483647),'Control Room'!$B$8+('Control Room'!$D$8-'Control Room'!$B$8)*BE216/2147483647)</x:f>
        <x:v>1151.7229692501307</x:v>
      </x:c>
      <x:c r="BH216" s="17" t="n">
        <x:f>IF('Control Room'!$B$5="Normal",'Control Room'!$B$7,('Control Room'!$B$8+'Control Room'!$D$8)/2)+'Control Room'!$B$9*(BH215-IF('Control Room'!$B$5="Normal",'Control Room'!$B$7,('Control Room'!$B$8+'Control Room'!$D$8)/2))+SQRT(1-'Control Room'!$B$9^2)*(BG216-IF('Control Room'!$B$5="Normal",'Control Room'!$B$7,('Control Room'!$B$8+'Control Room'!$D$8)/2))</x:f>
        <x:v>1014.2382294233904</x:v>
      </x:c>
      <x:c r="BI216" s="17" t="n">
        <x:f>IF(AND($A216&gt;='Control Room'!$A$13,$A216&lt;'Control Room'!$A$13+'Control Room'!$B$13,'Process'!BV2=1),1+('Control Room'!$C$13-1)*EXP(-0.5*(($A216-'Control Room'!$A$13-('Control Room'!$B$13-1)/2)/MAX(0.5,'Control Room'!$B$13/4))^2),1)*IF(AND($A216&gt;='Control Room'!$A$14,$A216&lt;'Control Room'!$A$14+'Control Room'!$B$14,'Process'!BV3=1),1+('Control Room'!$C$14-1)*EXP(-0.5*(($A216-'Control Room'!$A$14-('Control Room'!$B$14-1)/2)/MAX(0.5,'Control Room'!$B$14/4))^2),1)*IF(AND($A216&gt;='Control Room'!$A$15,$A216&lt;'Control Room'!$A$15+'Control Room'!$B$15,'Process'!BV4=1),1+('Control Room'!$C$15-1)*EXP(-0.5*(($A216-'Control Room'!$A$15-('Control Room'!$B$15-1)/2)/MAX(0.5,'Control Room'!$B$15/4))^2),1)*IF(AND($A216&gt;='Control Room'!$A$16,$A216&lt;'Control Room'!$A$16+'Control Room'!$B$16,'Process'!BV5=1),1+('Control Room'!$C$16-1)*EXP(-0.5*(($A216-'Control Room'!$A$16-('Control Room'!$B$16-1)/2)/MAX(0.5,'Control Room'!$B$16/4))^2),1)</x:f>
        <x:v>1</x:v>
      </x:c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Z216" t="str">
        <x:f>IF('Data'!A216="","",TEXT('Data'!A216,"mm-dd"))</x:f>
      </x:c>
    </x:row>
    <x:row r="217" ht="21" customHeight="1">
      <x:c r="A217" s="15" t="n">
        <x:f>'Control Room'!$B$1+215</x:f>
        <x:v>73206</x:v>
      </x:c>
      <x:c r="B217" s="9" t="n">
        <x:f>MOD(C216*16807,2147483647)</x:f>
        <x:v>606096019</x:v>
      </x:c>
      <x:c r="C217" s="9" t="n">
        <x:f>MOD(B217*16807,2147483647)</x:f>
        <x:v>1140853612</x:v>
      </x:c>
      <x:c r="D217" s="17" t="n">
        <x:f>IF('Control Room'!$B$5="Normal",'Control Room'!$B$7+'Control Room'!$D$7*SQRT(-2*LN(MAX(0.000000000001,B217/2147483647)))*COS(2*PI()*C217/2147483647),'Control Room'!$B$8+('Control Room'!$D$8-'Control Room'!$B$8)*B217/2147483647)</x:f>
        <x:v>859.5963791715877</x:v>
      </x:c>
      <x:c r="E217" s="17" t="n">
        <x:f>IF('Control Room'!$B$5="Normal",'Control Room'!$B$7,('Control Room'!$B$8+'Control Room'!$D$8)/2)+'Control Room'!$B$9*(E216-IF('Control Room'!$B$5="Normal",'Control Room'!$B$7,('Control Room'!$B$8+'Control Room'!$D$8)/2))+SQRT(1-'Control Room'!$B$9^2)*(D217-IF('Control Room'!$B$5="Normal",'Control Room'!$B$7,('Control Room'!$B$8+'Control Room'!$D$8)/2))</x:f>
        <x:v>920.636025977171</x:v>
      </x:c>
      <x:c r="F217" s="17" t="n">
        <x:f>IF(AND($A217&gt;='Control Room'!$A$13,$A217&lt;'Control Room'!$A$13+'Control Room'!$B$13,'Process'!BK2=1),1+('Control Room'!$C$13-1)*EXP(-0.5*(($A217-'Control Room'!$A$13-('Control Room'!$B$13-1)/2)/MAX(0.5,'Control Room'!$B$13/4))^2),1)*IF(AND($A217&gt;='Control Room'!$A$14,$A217&lt;'Control Room'!$A$14+'Control Room'!$B$14,'Process'!BK3=1),1+('Control Room'!$C$14-1)*EXP(-0.5*(($A217-'Control Room'!$A$14-('Control Room'!$B$14-1)/2)/MAX(0.5,'Control Room'!$B$14/4))^2),1)*IF(AND($A217&gt;='Control Room'!$A$15,$A217&lt;'Control Room'!$A$15+'Control Room'!$B$15,'Process'!BK4=1),1+('Control Room'!$C$15-1)*EXP(-0.5*(($A217-'Control Room'!$A$15-('Control Room'!$B$15-1)/2)/MAX(0.5,'Control Room'!$B$15/4))^2),1)*IF(AND($A217&gt;='Control Room'!$A$16,$A217&lt;'Control Room'!$A$16+'Control Room'!$B$16,'Process'!BK5=1),1+('Control Room'!$C$16-1)*EXP(-0.5*(($A217-'Control Room'!$A$16-('Control Room'!$B$16-1)/2)/MAX(0.5,'Control Room'!$B$16/4))^2),1)</x:f>
        <x:v>1</x:v>
      </x:c>
      <x:c r="G217" s="9" t="n">
        <x:f>MOD(H216*16807,2147483647)</x:f>
        <x:v>2052056659</x:v>
      </x:c>
      <x:c r="H217" s="9" t="n">
        <x:f>MOD(G217*16807,2147483647)</x:f>
        <x:v>328896993</x:v>
      </x:c>
      <x:c r="I217" s="17" t="n">
        <x:f>IF('Control Room'!$B$5="Normal",'Control Room'!$B$7+'Control Room'!$D$7*SQRT(-2*LN(MAX(0.000000000001,G217/2147483647)))*COS(2*PI()*H217/2147483647),'Control Room'!$B$8+('Control Room'!$D$8-'Control Room'!$B$8)*G217/2147483647)</x:f>
        <x:v>1015.5118545151545</x:v>
      </x:c>
      <x:c r="J217" s="17" t="n">
        <x:f>IF('Control Room'!$B$5="Normal",'Control Room'!$B$7,('Control Room'!$B$8+'Control Room'!$D$8)/2)+'Control Room'!$B$9*(J216-IF('Control Room'!$B$5="Normal",'Control Room'!$B$7,('Control Room'!$B$8+'Control Room'!$D$8)/2))+SQRT(1-'Control Room'!$B$9^2)*(I217-IF('Control Room'!$B$5="Normal",'Control Room'!$B$7,('Control Room'!$B$8+'Control Room'!$D$8)/2))</x:f>
        <x:v>1089.1937314408729</x:v>
      </x:c>
      <x:c r="K217" s="17" t="n">
        <x:f>IF(AND($A217&gt;='Control Room'!$A$13,$A217&lt;'Control Room'!$A$13+'Control Room'!$B$13,'Process'!BL2=1),1+('Control Room'!$C$13-1)*EXP(-0.5*(($A217-'Control Room'!$A$13-('Control Room'!$B$13-1)/2)/MAX(0.5,'Control Room'!$B$13/4))^2),1)*IF(AND($A217&gt;='Control Room'!$A$14,$A217&lt;'Control Room'!$A$14+'Control Room'!$B$14,'Process'!BL3=1),1+('Control Room'!$C$14-1)*EXP(-0.5*(($A217-'Control Room'!$A$14-('Control Room'!$B$14-1)/2)/MAX(0.5,'Control Room'!$B$14/4))^2),1)*IF(AND($A217&gt;='Control Room'!$A$15,$A217&lt;'Control Room'!$A$15+'Control Room'!$B$15,'Process'!BL4=1),1+('Control Room'!$C$15-1)*EXP(-0.5*(($A217-'Control Room'!$A$15-('Control Room'!$B$15-1)/2)/MAX(0.5,'Control Room'!$B$15/4))^2),1)*IF(AND($A217&gt;='Control Room'!$A$16,$A217&lt;'Control Room'!$A$16+'Control Room'!$B$16,'Process'!BL5=1),1+('Control Room'!$C$16-1)*EXP(-0.5*(($A217-'Control Room'!$A$16-('Control Room'!$B$16-1)/2)/MAX(0.5,'Control Room'!$B$16/4))^2),1)</x:f>
        <x:v>1</x:v>
      </x:c>
      <x:c r="L217" s="9" t="n">
        <x:f>MOD(M216*16807,2147483647)</x:f>
        <x:v>1350533652</x:v>
      </x:c>
      <x:c r="M217" s="9" t="n">
        <x:f>MOD(L217*16807,2147483647)</x:f>
        <x:v>1664424021</x:v>
      </x:c>
      <x:c r="N217" s="17" t="n">
        <x:f>IF('Control Room'!$B$5="Normal",'Control Room'!$B$7+'Control Room'!$D$7*SQRT(-2*LN(MAX(0.000000000001,L217/2147483647)))*COS(2*PI()*M217/2147483647),'Control Room'!$B$8+('Control Room'!$D$8-'Control Room'!$B$8)*L217/2147483647)</x:f>
        <x:v>1013.5909276514462</x:v>
      </x:c>
      <x:c r="O217" s="17" t="n">
        <x:f>IF('Control Room'!$B$5="Normal",'Control Room'!$B$7,('Control Room'!$B$8+'Control Room'!$D$8)/2)+'Control Room'!$B$9*(O216-IF('Control Room'!$B$5="Normal",'Control Room'!$B$7,('Control Room'!$B$8+'Control Room'!$D$8)/2))+SQRT(1-'Control Room'!$B$9^2)*(N217-IF('Control Room'!$B$5="Normal",'Control Room'!$B$7,('Control Room'!$B$8+'Control Room'!$D$8)/2))</x:f>
        <x:v>1123.0846201303632</x:v>
      </x:c>
      <x:c r="P217" s="17" t="n">
        <x:f>IF(AND($A217&gt;='Control Room'!$A$13,$A217&lt;'Control Room'!$A$13+'Control Room'!$B$13,'Process'!BM2=1),1+('Control Room'!$C$13-1)*EXP(-0.5*(($A217-'Control Room'!$A$13-('Control Room'!$B$13-1)/2)/MAX(0.5,'Control Room'!$B$13/4))^2),1)*IF(AND($A217&gt;='Control Room'!$A$14,$A217&lt;'Control Room'!$A$14+'Control Room'!$B$14,'Process'!BM3=1),1+('Control Room'!$C$14-1)*EXP(-0.5*(($A217-'Control Room'!$A$14-('Control Room'!$B$14-1)/2)/MAX(0.5,'Control Room'!$B$14/4))^2),1)*IF(AND($A217&gt;='Control Room'!$A$15,$A217&lt;'Control Room'!$A$15+'Control Room'!$B$15,'Process'!BM4=1),1+('Control Room'!$C$15-1)*EXP(-0.5*(($A217-'Control Room'!$A$15-('Control Room'!$B$15-1)/2)/MAX(0.5,'Control Room'!$B$15/4))^2),1)*IF(AND($A217&gt;='Control Room'!$A$16,$A217&lt;'Control Room'!$A$16+'Control Room'!$B$16,'Process'!BM5=1),1+('Control Room'!$C$16-1)*EXP(-0.5*(($A217-'Control Room'!$A$16-('Control Room'!$B$16-1)/2)/MAX(0.5,'Control Room'!$B$16/4))^2),1)</x:f>
        <x:v>1</x:v>
      </x:c>
      <x:c r="Q217" s="9" t="n">
        <x:f>MOD(R216*16807,2147483647)</x:f>
        <x:v>649010645</x:v>
      </x:c>
      <x:c r="R217" s="9" t="n">
        <x:f>MOD(Q217*16807,2147483647)</x:f>
        <x:v>852467402</x:v>
      </x:c>
      <x:c r="S217" s="17" t="n">
        <x:f>IF('Control Room'!$B$5="Normal",'Control Room'!$B$7+'Control Room'!$D$7*SQRT(-2*LN(MAX(0.000000000001,Q217/2147483647)))*COS(2*PI()*R217/2147483647),'Control Room'!$B$8+('Control Room'!$D$8-'Control Room'!$B$8)*Q217/2147483647)</x:f>
        <x:v>888.9436914095365</x:v>
      </x:c>
      <x:c r="T217" s="17" t="n">
        <x:f>IF('Control Room'!$B$5="Normal",'Control Room'!$B$7,('Control Room'!$B$8+'Control Room'!$D$8)/2)+'Control Room'!$B$9*(T216-IF('Control Room'!$B$5="Normal",'Control Room'!$B$7,('Control Room'!$B$8+'Control Room'!$D$8)/2))+SQRT(1-'Control Room'!$B$9^2)*(S217-IF('Control Room'!$B$5="Normal",'Control Room'!$B$7,('Control Room'!$B$8+'Control Room'!$D$8)/2))</x:f>
        <x:v>986.8487272639117</x:v>
      </x:c>
      <x:c r="U217" s="17" t="n">
        <x:f>IF(AND($A217&gt;='Control Room'!$A$13,$A217&lt;'Control Room'!$A$13+'Control Room'!$B$13,'Process'!BN2=1),1+('Control Room'!$C$13-1)*EXP(-0.5*(($A217-'Control Room'!$A$13-('Control Room'!$B$13-1)/2)/MAX(0.5,'Control Room'!$B$13/4))^2),1)*IF(AND($A217&gt;='Control Room'!$A$14,$A217&lt;'Control Room'!$A$14+'Control Room'!$B$14,'Process'!BN3=1),1+('Control Room'!$C$14-1)*EXP(-0.5*(($A217-'Control Room'!$A$14-('Control Room'!$B$14-1)/2)/MAX(0.5,'Control Room'!$B$14/4))^2),1)*IF(AND($A217&gt;='Control Room'!$A$15,$A217&lt;'Control Room'!$A$15+'Control Room'!$B$15,'Process'!BN4=1),1+('Control Room'!$C$15-1)*EXP(-0.5*(($A217-'Control Room'!$A$15-('Control Room'!$B$15-1)/2)/MAX(0.5,'Control Room'!$B$15/4))^2),1)*IF(AND($A217&gt;='Control Room'!$A$16,$A217&lt;'Control Room'!$A$16+'Control Room'!$B$16,'Process'!BN5=1),1+('Control Room'!$C$16-1)*EXP(-0.5*(($A217-'Control Room'!$A$16-('Control Room'!$B$16-1)/2)/MAX(0.5,'Control Room'!$B$16/4))^2),1)</x:f>
        <x:v>1</x:v>
      </x:c>
      <x:c r="V217" s="9" t="n">
        <x:f>MOD(W216*16807,2147483647)</x:f>
        <x:v>2094971285</x:v>
      </x:c>
      <x:c r="W217" s="9" t="n">
        <x:f>MOD(V217*16807,2147483647)</x:f>
        <x:v>40510783</x:v>
      </x:c>
      <x:c r="X217" s="17" t="n">
        <x:f>IF('Control Room'!$B$5="Normal",'Control Room'!$B$7+'Control Room'!$D$7*SQRT(-2*LN(MAX(0.000000000001,V217/2147483647)))*COS(2*PI()*W217/2147483647),'Control Room'!$B$8+('Control Room'!$D$8-'Control Room'!$B$8)*V217/2147483647)</x:f>
        <x:v>1019.8860217900535</x:v>
      </x:c>
      <x:c r="Y217" s="17" t="n">
        <x:f>IF('Control Room'!$B$5="Normal",'Control Room'!$B$7,('Control Room'!$B$8+'Control Room'!$D$8)/2)+'Control Room'!$B$9*(Y216-IF('Control Room'!$B$5="Normal",'Control Room'!$B$7,('Control Room'!$B$8+'Control Room'!$D$8)/2))+SQRT(1-'Control Room'!$B$9^2)*(X217-IF('Control Room'!$B$5="Normal",'Control Room'!$B$7,('Control Room'!$B$8+'Control Room'!$D$8)/2))</x:f>
        <x:v>949.2663323525711</x:v>
      </x:c>
      <x:c r="Z217" s="17" t="n">
        <x:f>IF(AND($A217&gt;='Control Room'!$A$13,$A217&lt;'Control Room'!$A$13+'Control Room'!$B$13,'Process'!BO2=1),1+('Control Room'!$C$13-1)*EXP(-0.5*(($A217-'Control Room'!$A$13-('Control Room'!$B$13-1)/2)/MAX(0.5,'Control Room'!$B$13/4))^2),1)*IF(AND($A217&gt;='Control Room'!$A$14,$A217&lt;'Control Room'!$A$14+'Control Room'!$B$14,'Process'!BO3=1),1+('Control Room'!$C$14-1)*EXP(-0.5*(($A217-'Control Room'!$A$14-('Control Room'!$B$14-1)/2)/MAX(0.5,'Control Room'!$B$14/4))^2),1)*IF(AND($A217&gt;='Control Room'!$A$15,$A217&lt;'Control Room'!$A$15+'Control Room'!$B$15,'Process'!BO4=1),1+('Control Room'!$C$15-1)*EXP(-0.5*(($A217-'Control Room'!$A$15-('Control Room'!$B$15-1)/2)/MAX(0.5,'Control Room'!$B$15/4))^2),1)*IF(AND($A217&gt;='Control Room'!$A$16,$A217&lt;'Control Room'!$A$16+'Control Room'!$B$16,'Process'!BO5=1),1+('Control Room'!$C$16-1)*EXP(-0.5*(($A217-'Control Room'!$A$16-('Control Room'!$B$16-1)/2)/MAX(0.5,'Control Room'!$B$16/4))^2),1)</x:f>
        <x:v>1</x:v>
      </x:c>
      <x:c r="AA217" s="9" t="n">
        <x:f>MOD(AB216*16807,2147483647)</x:f>
        <x:v>1393448278</x:v>
      </x:c>
      <x:c r="AB217" s="9" t="n">
        <x:f>MOD(AA217*16807,2147483647)</x:f>
        <x:v>1376037811</x:v>
      </x:c>
      <x:c r="AC217" s="17" t="n">
        <x:f>IF('Control Room'!$B$5="Normal",'Control Room'!$B$7+'Control Room'!$D$7*SQRT(-2*LN(MAX(0.000000000001,AA217/2147483647)))*COS(2*PI()*AB217/2147483647),'Control Room'!$B$8+('Control Room'!$D$8-'Control Room'!$B$8)*AA217/2147483647)</x:f>
        <x:v>946.955244428251</x:v>
      </x:c>
      <x:c r="AD217" s="17" t="n">
        <x:f>IF('Control Room'!$B$5="Normal",'Control Room'!$B$7,('Control Room'!$B$8+'Control Room'!$D$8)/2)+'Control Room'!$B$9*(AD216-IF('Control Room'!$B$5="Normal",'Control Room'!$B$7,('Control Room'!$B$8+'Control Room'!$D$8)/2))+SQRT(1-'Control Room'!$B$9^2)*(AC217-IF('Control Room'!$B$5="Normal",'Control Room'!$B$7,('Control Room'!$B$8+'Control Room'!$D$8)/2))</x:f>
        <x:v>1015.8602221769546</x:v>
      </x:c>
      <x:c r="AE217" s="17" t="n">
        <x:f>IF(AND($A217&gt;='Control Room'!$A$13,$A217&lt;'Control Room'!$A$13+'Control Room'!$B$13,'Process'!BP2=1),1+('Control Room'!$C$13-1)*EXP(-0.5*(($A217-'Control Room'!$A$13-('Control Room'!$B$13-1)/2)/MAX(0.5,'Control Room'!$B$13/4))^2),1)*IF(AND($A217&gt;='Control Room'!$A$14,$A217&lt;'Control Room'!$A$14+'Control Room'!$B$14,'Process'!BP3=1),1+('Control Room'!$C$14-1)*EXP(-0.5*(($A217-'Control Room'!$A$14-('Control Room'!$B$14-1)/2)/MAX(0.5,'Control Room'!$B$14/4))^2),1)*IF(AND($A217&gt;='Control Room'!$A$15,$A217&lt;'Control Room'!$A$15+'Control Room'!$B$15,'Process'!BP4=1),1+('Control Room'!$C$15-1)*EXP(-0.5*(($A217-'Control Room'!$A$15-('Control Room'!$B$15-1)/2)/MAX(0.5,'Control Room'!$B$15/4))^2),1)*IF(AND($A217&gt;='Control Room'!$A$16,$A217&lt;'Control Room'!$A$16+'Control Room'!$B$16,'Process'!BP5=1),1+('Control Room'!$C$16-1)*EXP(-0.5*(($A217-'Control Room'!$A$16-('Control Room'!$B$16-1)/2)/MAX(0.5,'Control Room'!$B$16/4))^2),1)</x:f>
        <x:v>1</x:v>
      </x:c>
      <x:c r="AF217" s="9" t="n">
        <x:f>MOD(AG216*16807,2147483647)</x:f>
        <x:v>691925271</x:v>
      </x:c>
      <x:c r="AG217" s="9" t="n">
        <x:f>MOD(AF217*16807,2147483647)</x:f>
        <x:v>564081192</x:v>
      </x:c>
      <x:c r="AH217" s="17" t="n">
        <x:f>IF('Control Room'!$B$5="Normal",'Control Room'!$B$7+'Control Room'!$D$7*SQRT(-2*LN(MAX(0.000000000001,AF217/2147483647)))*COS(2*PI()*AG217/2147483647),'Control Room'!$B$8+('Control Room'!$D$8-'Control Room'!$B$8)*AF217/2147483647)</x:f>
        <x:v>989.2275382017566</x:v>
      </x:c>
      <x:c r="AI217" s="17" t="n">
        <x:f>IF('Control Room'!$B$5="Normal",'Control Room'!$B$7,('Control Room'!$B$8+'Control Room'!$D$8)/2)+'Control Room'!$B$9*(AI216-IF('Control Room'!$B$5="Normal",'Control Room'!$B$7,('Control Room'!$B$8+'Control Room'!$D$8)/2))+SQRT(1-'Control Room'!$B$9^2)*(AH217-IF('Control Room'!$B$5="Normal",'Control Room'!$B$7,('Control Room'!$B$8+'Control Room'!$D$8)/2))</x:f>
        <x:v>985.5740495382781</x:v>
      </x:c>
      <x:c r="AJ217" s="17" t="n">
        <x:f>IF(AND($A217&gt;='Control Room'!$A$13,$A217&lt;'Control Room'!$A$13+'Control Room'!$B$13,'Process'!BQ2=1),1+('Control Room'!$C$13-1)*EXP(-0.5*(($A217-'Control Room'!$A$13-('Control Room'!$B$13-1)/2)/MAX(0.5,'Control Room'!$B$13/4))^2),1)*IF(AND($A217&gt;='Control Room'!$A$14,$A217&lt;'Control Room'!$A$14+'Control Room'!$B$14,'Process'!BQ3=1),1+('Control Room'!$C$14-1)*EXP(-0.5*(($A217-'Control Room'!$A$14-('Control Room'!$B$14-1)/2)/MAX(0.5,'Control Room'!$B$14/4))^2),1)*IF(AND($A217&gt;='Control Room'!$A$15,$A217&lt;'Control Room'!$A$15+'Control Room'!$B$15,'Process'!BQ4=1),1+('Control Room'!$C$15-1)*EXP(-0.5*(($A217-'Control Room'!$A$15-('Control Room'!$B$15-1)/2)/MAX(0.5,'Control Room'!$B$15/4))^2),1)*IF(AND($A217&gt;='Control Room'!$A$16,$A217&lt;'Control Room'!$A$16+'Control Room'!$B$16,'Process'!BQ5=1),1+('Control Room'!$C$16-1)*EXP(-0.5*(($A217-'Control Room'!$A$16-('Control Room'!$B$16-1)/2)/MAX(0.5,'Control Room'!$B$16/4))^2),1)</x:f>
        <x:v>1</x:v>
      </x:c>
      <x:c r="AK217" s="9" t="n">
        <x:f>MOD(AL216*16807,2147483647)</x:f>
        <x:v>2137885911</x:v>
      </x:c>
      <x:c r="AL217" s="9" t="n">
        <x:f>MOD(AK217*16807,2147483647)</x:f>
        <x:v>1899608220</x:v>
      </x:c>
      <x:c r="AM217" s="17" t="n">
        <x:f>IF('Control Room'!$B$5="Normal",'Control Room'!$B$7+'Control Room'!$D$7*SQRT(-2*LN(MAX(0.000000000001,AK217/2147483647)))*COS(2*PI()*AL217/2147483647),'Control Room'!$B$8+('Control Room'!$D$8-'Control Room'!$B$8)*AK217/2147483647)</x:f>
        <x:v>1006.3747200901898</x:v>
      </x:c>
      <x:c r="AN217" s="17" t="n">
        <x:f>IF('Control Room'!$B$5="Normal",'Control Room'!$B$7,('Control Room'!$B$8+'Control Room'!$D$8)/2)+'Control Room'!$B$9*(AN216-IF('Control Room'!$B$5="Normal",'Control Room'!$B$7,('Control Room'!$B$8+'Control Room'!$D$8)/2))+SQRT(1-'Control Room'!$B$9^2)*(AM217-IF('Control Room'!$B$5="Normal",'Control Room'!$B$7,('Control Room'!$B$8+'Control Room'!$D$8)/2))</x:f>
        <x:v>1012.7086167857743</x:v>
      </x:c>
      <x:c r="AO217" s="17" t="n">
        <x:f>IF(AND($A217&gt;='Control Room'!$A$13,$A217&lt;'Control Room'!$A$13+'Control Room'!$B$13,'Process'!BR2=1),1+('Control Room'!$C$13-1)*EXP(-0.5*(($A217-'Control Room'!$A$13-('Control Room'!$B$13-1)/2)/MAX(0.5,'Control Room'!$B$13/4))^2),1)*IF(AND($A217&gt;='Control Room'!$A$14,$A217&lt;'Control Room'!$A$14+'Control Room'!$B$14,'Process'!BR3=1),1+('Control Room'!$C$14-1)*EXP(-0.5*(($A217-'Control Room'!$A$14-('Control Room'!$B$14-1)/2)/MAX(0.5,'Control Room'!$B$14/4))^2),1)*IF(AND($A217&gt;='Control Room'!$A$15,$A217&lt;'Control Room'!$A$15+'Control Room'!$B$15,'Process'!BR4=1),1+('Control Room'!$C$15-1)*EXP(-0.5*(($A217-'Control Room'!$A$15-('Control Room'!$B$15-1)/2)/MAX(0.5,'Control Room'!$B$15/4))^2),1)*IF(AND($A217&gt;='Control Room'!$A$16,$A217&lt;'Control Room'!$A$16+'Control Room'!$B$16,'Process'!BR5=1),1+('Control Room'!$C$16-1)*EXP(-0.5*(($A217-'Control Room'!$A$16-('Control Room'!$B$16-1)/2)/MAX(0.5,'Control Room'!$B$16/4))^2),1)</x:f>
        <x:v>1</x:v>
      </x:c>
      <x:c r="AP217" s="9" t="n">
        <x:f>MOD(AQ216*16807,2147483647)</x:f>
        <x:v>1436362904</x:v>
      </x:c>
      <x:c r="AQ217" s="9" t="n">
        <x:f>MOD(AP217*16807,2147483647)</x:f>
        <x:v>1087651601</x:v>
      </x:c>
      <x:c r="AR217" s="17" t="n">
        <x:f>IF('Control Room'!$B$5="Normal",'Control Room'!$B$7+'Control Room'!$D$7*SQRT(-2*LN(MAX(0.000000000001,AP217/2147483647)))*COS(2*PI()*AQ217/2147483647),'Control Room'!$B$8+('Control Room'!$D$8-'Control Room'!$B$8)*AP217/2147483647)</x:f>
        <x:v>919.3490688413631</x:v>
      </x:c>
      <x:c r="AS217" s="17" t="n">
        <x:f>IF('Control Room'!$B$5="Normal",'Control Room'!$B$7,('Control Room'!$B$8+'Control Room'!$D$8)/2)+'Control Room'!$B$9*(AS216-IF('Control Room'!$B$5="Normal",'Control Room'!$B$7,('Control Room'!$B$8+'Control Room'!$D$8)/2))+SQRT(1-'Control Room'!$B$9^2)*(AR217-IF('Control Room'!$B$5="Normal",'Control Room'!$B$7,('Control Room'!$B$8+'Control Room'!$D$8)/2))</x:f>
        <x:v>954.7434933046402</x:v>
      </x:c>
      <x:c r="AT217" s="17" t="n">
        <x:f>IF(AND($A217&gt;='Control Room'!$A$13,$A217&lt;'Control Room'!$A$13+'Control Room'!$B$13,'Process'!BS2=1),1+('Control Room'!$C$13-1)*EXP(-0.5*(($A217-'Control Room'!$A$13-('Control Room'!$B$13-1)/2)/MAX(0.5,'Control Room'!$B$13/4))^2),1)*IF(AND($A217&gt;='Control Room'!$A$14,$A217&lt;'Control Room'!$A$14+'Control Room'!$B$14,'Process'!BS3=1),1+('Control Room'!$C$14-1)*EXP(-0.5*(($A217-'Control Room'!$A$14-('Control Room'!$B$14-1)/2)/MAX(0.5,'Control Room'!$B$14/4))^2),1)*IF(AND($A217&gt;='Control Room'!$A$15,$A217&lt;'Control Room'!$A$15+'Control Room'!$B$15,'Process'!BS4=1),1+('Control Room'!$C$15-1)*EXP(-0.5*(($A217-'Control Room'!$A$15-('Control Room'!$B$15-1)/2)/MAX(0.5,'Control Room'!$B$15/4))^2),1)*IF(AND($A217&gt;='Control Room'!$A$16,$A217&lt;'Control Room'!$A$16+'Control Room'!$B$16,'Process'!BS5=1),1+('Control Room'!$C$16-1)*EXP(-0.5*(($A217-'Control Room'!$A$16-('Control Room'!$B$16-1)/2)/MAX(0.5,'Control Room'!$B$16/4))^2),1)</x:f>
        <x:v>1</x:v>
      </x:c>
      <x:c r="AU217" s="9" t="n">
        <x:f>MOD(AV216*16807,2147483647)</x:f>
        <x:v>734839897</x:v>
      </x:c>
      <x:c r="AV217" s="9" t="n">
        <x:f>MOD(AU217*16807,2147483647)</x:f>
        <x:v>275694982</x:v>
      </x:c>
      <x:c r="AW217" s="17" t="n">
        <x:f>IF('Control Room'!$B$5="Normal",'Control Room'!$B$7+'Control Room'!$D$7*SQRT(-2*LN(MAX(0.000000000001,AU217/2147483647)))*COS(2*PI()*AV217/2147483647),'Control Room'!$B$8+('Control Room'!$D$8-'Control Room'!$B$8)*AU217/2147483647)</x:f>
        <x:v>1091.2005651194652</x:v>
      </x:c>
      <x:c r="AX217" s="17" t="n">
        <x:f>IF('Control Room'!$B$5="Normal",'Control Room'!$B$7,('Control Room'!$B$8+'Control Room'!$D$8)/2)+'Control Room'!$B$9*(AX216-IF('Control Room'!$B$5="Normal",'Control Room'!$B$7,('Control Room'!$B$8+'Control Room'!$D$8)/2))+SQRT(1-'Control Room'!$B$9^2)*(AW217-IF('Control Room'!$B$5="Normal",'Control Room'!$B$7,('Control Room'!$B$8+'Control Room'!$D$8)/2))</x:f>
        <x:v>1077.9391493457624</x:v>
      </x:c>
      <x:c r="AY217" s="17" t="n">
        <x:f>IF(AND($A217&gt;='Control Room'!$A$13,$A217&lt;'Control Room'!$A$13+'Control Room'!$B$13,'Process'!BT2=1),1+('Control Room'!$C$13-1)*EXP(-0.5*(($A217-'Control Room'!$A$13-('Control Room'!$B$13-1)/2)/MAX(0.5,'Control Room'!$B$13/4))^2),1)*IF(AND($A217&gt;='Control Room'!$A$14,$A217&lt;'Control Room'!$A$14+'Control Room'!$B$14,'Process'!BT3=1),1+('Control Room'!$C$14-1)*EXP(-0.5*(($A217-'Control Room'!$A$14-('Control Room'!$B$14-1)/2)/MAX(0.5,'Control Room'!$B$14/4))^2),1)*IF(AND($A217&gt;='Control Room'!$A$15,$A217&lt;'Control Room'!$A$15+'Control Room'!$B$15,'Process'!BT4=1),1+('Control Room'!$C$15-1)*EXP(-0.5*(($A217-'Control Room'!$A$15-('Control Room'!$B$15-1)/2)/MAX(0.5,'Control Room'!$B$15/4))^2),1)*IF(AND($A217&gt;='Control Room'!$A$16,$A217&lt;'Control Room'!$A$16+'Control Room'!$B$16,'Process'!BT5=1),1+('Control Room'!$C$16-1)*EXP(-0.5*(($A217-'Control Room'!$A$16-('Control Room'!$B$16-1)/2)/MAX(0.5,'Control Room'!$B$16/4))^2),1)</x:f>
        <x:v>1</x:v>
      </x:c>
      <x:c r="AZ217" s="9" t="n">
        <x:f>MOD(BA216*16807,2147483647)</x:f>
        <x:v>33316890</x:v>
      </x:c>
      <x:c r="BA217" s="9" t="n">
        <x:f>MOD(AZ217*16807,2147483647)</x:f>
        <x:v>1611222010</x:v>
      </x:c>
      <x:c r="BB217" s="17" t="n">
        <x:f>IF('Control Room'!$B$5="Normal",'Control Room'!$B$7+'Control Room'!$D$7*SQRT(-2*LN(MAX(0.000000000001,AZ217/2147483647)))*COS(2*PI()*BA217/2147483647),'Control Room'!$B$8+('Control Room'!$D$8-'Control Room'!$B$8)*AZ217/2147483647)</x:f>
        <x:v>1000.4631049733254</x:v>
      </x:c>
      <x:c r="BC217" s="17" t="n">
        <x:f>IF('Control Room'!$B$5="Normal",'Control Room'!$B$7,('Control Room'!$B$8+'Control Room'!$D$8)/2)+'Control Room'!$B$9*(BC216-IF('Control Room'!$B$5="Normal",'Control Room'!$B$7,('Control Room'!$B$8+'Control Room'!$D$8)/2))+SQRT(1-'Control Room'!$B$9^2)*(BB217-IF('Control Room'!$B$5="Normal",'Control Room'!$B$7,('Control Room'!$B$8+'Control Room'!$D$8)/2))</x:f>
        <x:v>970.0489304809822</x:v>
      </x:c>
      <x:c r="BD217" s="17" t="n">
        <x:f>IF(AND($A217&gt;='Control Room'!$A$13,$A217&lt;'Control Room'!$A$13+'Control Room'!$B$13,'Process'!BU2=1),1+('Control Room'!$C$13-1)*EXP(-0.5*(($A217-'Control Room'!$A$13-('Control Room'!$B$13-1)/2)/MAX(0.5,'Control Room'!$B$13/4))^2),1)*IF(AND($A217&gt;='Control Room'!$A$14,$A217&lt;'Control Room'!$A$14+'Control Room'!$B$14,'Process'!BU3=1),1+('Control Room'!$C$14-1)*EXP(-0.5*(($A217-'Control Room'!$A$14-('Control Room'!$B$14-1)/2)/MAX(0.5,'Control Room'!$B$14/4))^2),1)*IF(AND($A217&gt;='Control Room'!$A$15,$A217&lt;'Control Room'!$A$15+'Control Room'!$B$15,'Process'!BU4=1),1+('Control Room'!$C$15-1)*EXP(-0.5*(($A217-'Control Room'!$A$15-('Control Room'!$B$15-1)/2)/MAX(0.5,'Control Room'!$B$15/4))^2),1)*IF(AND($A217&gt;='Control Room'!$A$16,$A217&lt;'Control Room'!$A$16+'Control Room'!$B$16,'Process'!BU5=1),1+('Control Room'!$C$16-1)*EXP(-0.5*(($A217-'Control Room'!$A$16-('Control Room'!$B$16-1)/2)/MAX(0.5,'Control Room'!$B$16/4))^2),1)</x:f>
        <x:v>1</x:v>
      </x:c>
      <x:c r="BE217" s="9" t="n">
        <x:f>MOD(BF216*16807,2147483647)</x:f>
        <x:v>1479277530</x:v>
      </x:c>
      <x:c r="BF217" s="9" t="n">
        <x:f>MOD(BE217*16807,2147483647)</x:f>
        <x:v>799265391</x:v>
      </x:c>
      <x:c r="BG217" s="17" t="n">
        <x:f>IF('Control Room'!$B$5="Normal",'Control Room'!$B$7+'Control Room'!$D$7*SQRT(-2*LN(MAX(0.000000000001,BE217/2147483647)))*COS(2*PI()*BF217/2147483647),'Control Room'!$B$8+('Control Room'!$D$8-'Control Room'!$B$8)*BE217/2147483647)</x:f>
        <x:v>946.0323124417777</x:v>
      </x:c>
      <x:c r="BH217" s="17" t="n">
        <x:f>IF('Control Room'!$B$5="Normal",'Control Room'!$B$7,('Control Room'!$B$8+'Control Room'!$D$8)/2)+'Control Room'!$B$9*(BH216-IF('Control Room'!$B$5="Normal",'Control Room'!$B$7,('Control Room'!$B$8+'Control Room'!$D$8)/2))+SQRT(1-'Control Room'!$B$9^2)*(BG217-IF('Control Room'!$B$5="Normal",'Control Room'!$B$7,('Control Room'!$B$8+'Control Room'!$D$8)/2))</x:f>
        <x:v>977.3339456644826</x:v>
      </x:c>
      <x:c r="BI217" s="17" t="n">
        <x:f>IF(AND($A217&gt;='Control Room'!$A$13,$A217&lt;'Control Room'!$A$13+'Control Room'!$B$13,'Process'!BV2=1),1+('Control Room'!$C$13-1)*EXP(-0.5*(($A217-'Control Room'!$A$13-('Control Room'!$B$13-1)/2)/MAX(0.5,'Control Room'!$B$13/4))^2),1)*IF(AND($A217&gt;='Control Room'!$A$14,$A217&lt;'Control Room'!$A$14+'Control Room'!$B$14,'Process'!BV3=1),1+('Control Room'!$C$14-1)*EXP(-0.5*(($A217-'Control Room'!$A$14-('Control Room'!$B$14-1)/2)/MAX(0.5,'Control Room'!$B$14/4))^2),1)*IF(AND($A217&gt;='Control Room'!$A$15,$A217&lt;'Control Room'!$A$15+'Control Room'!$B$15,'Process'!BV4=1),1+('Control Room'!$C$15-1)*EXP(-0.5*(($A217-'Control Room'!$A$15-('Control Room'!$B$15-1)/2)/MAX(0.5,'Control Room'!$B$15/4))^2),1)*IF(AND($A217&gt;='Control Room'!$A$16,$A217&lt;'Control Room'!$A$16+'Control Room'!$B$16,'Process'!BV5=1),1+('Control Room'!$C$16-1)*EXP(-0.5*(($A217-'Control Room'!$A$16-('Control Room'!$B$16-1)/2)/MAX(0.5,'Control Room'!$B$16/4))^2),1)</x:f>
        <x:v>1</x:v>
      </x:c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Z217" t="str">
        <x:f>IF('Data'!A217="","",TEXT('Data'!A217,"mm-dd"))</x:f>
      </x:c>
    </x:row>
    <x:row r="218" ht="21" customHeight="1">
      <x:c r="A218" s="15" t="n">
        <x:f>'Control Room'!$B$1+216</x:f>
        <x:v>73207</x:v>
      </x:c>
      <x:c r="B218" s="9" t="n">
        <x:f>MOD(C217*16807,2147483647)</x:f>
        <x:v>1592656468</x:v>
      </x:c>
      <x:c r="C218" s="9" t="n">
        <x:f>MOD(B218*16807,2147483647)</x:f>
        <x:v>1541081468</x:v>
      </x:c>
      <x:c r="D218" s="17" t="n">
        <x:f>IF('Control Room'!$B$5="Normal",'Control Room'!$B$7+'Control Room'!$D$7*SQRT(-2*LN(MAX(0.000000000001,B218/2147483647)))*COS(2*PI()*C218/2147483647),'Control Room'!$B$8+('Control Room'!$D$8-'Control Room'!$B$8)*B218/2147483647)</x:f>
        <x:v>985.9412725790576</x:v>
      </x:c>
      <x:c r="E218" s="17" t="n">
        <x:f>IF('Control Room'!$B$5="Normal",'Control Room'!$B$7,('Control Room'!$B$8+'Control Room'!$D$8)/2)+'Control Room'!$B$9*(E217-IF('Control Room'!$B$5="Normal",'Control Room'!$B$7,('Control Room'!$B$8+'Control Room'!$D$8)/2))+SQRT(1-'Control Room'!$B$9^2)*(D218-IF('Control Room'!$B$5="Normal",'Control Room'!$B$7,('Control Room'!$B$8+'Control Room'!$D$8)/2))</x:f>
        <x:v>929.2984366508535</x:v>
      </x:c>
      <x:c r="F218" s="17" t="n">
        <x:f>IF(AND($A218&gt;='Control Room'!$A$13,$A218&lt;'Control Room'!$A$13+'Control Room'!$B$13,'Process'!BK2=1),1+('Control Room'!$C$13-1)*EXP(-0.5*(($A218-'Control Room'!$A$13-('Control Room'!$B$13-1)/2)/MAX(0.5,'Control Room'!$B$13/4))^2),1)*IF(AND($A218&gt;='Control Room'!$A$14,$A218&lt;'Control Room'!$A$14+'Control Room'!$B$14,'Process'!BK3=1),1+('Control Room'!$C$14-1)*EXP(-0.5*(($A218-'Control Room'!$A$14-('Control Room'!$B$14-1)/2)/MAX(0.5,'Control Room'!$B$14/4))^2),1)*IF(AND($A218&gt;='Control Room'!$A$15,$A218&lt;'Control Room'!$A$15+'Control Room'!$B$15,'Process'!BK4=1),1+('Control Room'!$C$15-1)*EXP(-0.5*(($A218-'Control Room'!$A$15-('Control Room'!$B$15-1)/2)/MAX(0.5,'Control Room'!$B$15/4))^2),1)*IF(AND($A218&gt;='Control Room'!$A$16,$A218&lt;'Control Room'!$A$16+'Control Room'!$B$16,'Process'!BK5=1),1+('Control Room'!$C$16-1)*EXP(-0.5*(($A218-'Control Room'!$A$16-('Control Room'!$B$16-1)/2)/MAX(0.5,'Control Room'!$B$16/4))^2),1)</x:f>
        <x:v>1</x:v>
      </x:c>
      <x:c r="G218" s="9" t="n">
        <x:f>MOD(H217*16807,2147483647)</x:f>
        <x:v>148853973</x:v>
      </x:c>
      <x:c r="H218" s="9" t="n">
        <x:f>MOD(G218*16807,2147483647)</x:f>
        <x:v>2117759103</x:v>
      </x:c>
      <x:c r="I218" s="17" t="n">
        <x:f>IF('Control Room'!$B$5="Normal",'Control Room'!$B$7+'Control Room'!$D$7*SQRT(-2*LN(MAX(0.000000000001,G218/2147483647)))*COS(2*PI()*H218/2147483647),'Control Room'!$B$8+('Control Room'!$D$8-'Control Room'!$B$8)*G218/2147483647)</x:f>
        <x:v>1207.1544731584272</x:v>
      </x:c>
      <x:c r="J218" s="17" t="n">
        <x:f>IF('Control Room'!$B$5="Normal",'Control Room'!$B$7,('Control Room'!$B$8+'Control Room'!$D$8)/2)+'Control Room'!$B$9*(J217-IF('Control Room'!$B$5="Normal",'Control Room'!$B$7,('Control Room'!$B$8+'Control Room'!$D$8)/2))+SQRT(1-'Control Room'!$B$9^2)*(I218-IF('Control Room'!$B$5="Normal",'Control Room'!$B$7,('Control Room'!$B$8+'Control Room'!$D$8)/2))</x:f>
        <x:v>1199.2041360363714</x:v>
      </x:c>
      <x:c r="K218" s="17" t="n">
        <x:f>IF(AND($A218&gt;='Control Room'!$A$13,$A218&lt;'Control Room'!$A$13+'Control Room'!$B$13,'Process'!BL2=1),1+('Control Room'!$C$13-1)*EXP(-0.5*(($A218-'Control Room'!$A$13-('Control Room'!$B$13-1)/2)/MAX(0.5,'Control Room'!$B$13/4))^2),1)*IF(AND($A218&gt;='Control Room'!$A$14,$A218&lt;'Control Room'!$A$14+'Control Room'!$B$14,'Process'!BL3=1),1+('Control Room'!$C$14-1)*EXP(-0.5*(($A218-'Control Room'!$A$14-('Control Room'!$B$14-1)/2)/MAX(0.5,'Control Room'!$B$14/4))^2),1)*IF(AND($A218&gt;='Control Room'!$A$15,$A218&lt;'Control Room'!$A$15+'Control Room'!$B$15,'Process'!BL4=1),1+('Control Room'!$C$15-1)*EXP(-0.5*(($A218-'Control Room'!$A$15-('Control Room'!$B$15-1)/2)/MAX(0.5,'Control Room'!$B$15/4))^2),1)*IF(AND($A218&gt;='Control Room'!$A$16,$A218&lt;'Control Room'!$A$16+'Control Room'!$B$16,'Process'!BL5=1),1+('Control Room'!$C$16-1)*EXP(-0.5*(($A218-'Control Room'!$A$16-('Control Room'!$B$16-1)/2)/MAX(0.5,'Control Room'!$B$16/4))^2),1)</x:f>
        <x:v>1</x:v>
      </x:c>
      <x:c r="L218" s="9" t="n">
        <x:f>MOD(M217*16807,2147483647)</x:f>
        <x:v>852535125</x:v>
      </x:c>
      <x:c r="M218" s="9" t="n">
        <x:f>MOD(L218*16807,2147483647)</x:f>
        <x:v>546953091</x:v>
      </x:c>
      <x:c r="N218" s="17" t="n">
        <x:f>IF('Control Room'!$B$5="Normal",'Control Room'!$B$7+'Control Room'!$D$7*SQRT(-2*LN(MAX(0.000000000001,L218/2147483647)))*COS(2*PI()*M218/2147483647),'Control Room'!$B$8+('Control Room'!$D$8-'Control Room'!$B$8)*L218/2147483647)</x:f>
        <x:v>996.3917488325876</x:v>
      </x:c>
      <x:c r="O218" s="17" t="n">
        <x:f>IF('Control Room'!$B$5="Normal",'Control Room'!$B$7,('Control Room'!$B$8+'Control Room'!$D$8)/2)+'Control Room'!$B$9*(O217-IF('Control Room'!$B$5="Normal",'Control Room'!$B$7,('Control Room'!$B$8+'Control Room'!$D$8)/2))+SQRT(1-'Control Room'!$B$9^2)*(N218-IF('Control Room'!$B$5="Normal",'Control Room'!$B$7,('Control Room'!$B$8+'Control Room'!$D$8)/2))</x:f>
        <x:v>1093.7480340401596</x:v>
      </x:c>
      <x:c r="P218" s="17" t="n">
        <x:f>IF(AND($A218&gt;='Control Room'!$A$13,$A218&lt;'Control Room'!$A$13+'Control Room'!$B$13,'Process'!BM2=1),1+('Control Room'!$C$13-1)*EXP(-0.5*(($A218-'Control Room'!$A$13-('Control Room'!$B$13-1)/2)/MAX(0.5,'Control Room'!$B$13/4))^2),1)*IF(AND($A218&gt;='Control Room'!$A$14,$A218&lt;'Control Room'!$A$14+'Control Room'!$B$14,'Process'!BM3=1),1+('Control Room'!$C$14-1)*EXP(-0.5*(($A218-'Control Room'!$A$14-('Control Room'!$B$14-1)/2)/MAX(0.5,'Control Room'!$B$14/4))^2),1)*IF(AND($A218&gt;='Control Room'!$A$15,$A218&lt;'Control Room'!$A$15+'Control Room'!$B$15,'Process'!BM4=1),1+('Control Room'!$C$15-1)*EXP(-0.5*(($A218-'Control Room'!$A$15-('Control Room'!$B$15-1)/2)/MAX(0.5,'Control Room'!$B$15/4))^2),1)*IF(AND($A218&gt;='Control Room'!$A$16,$A218&lt;'Control Room'!$A$16+'Control Room'!$B$16,'Process'!BM5=1),1+('Control Room'!$C$16-1)*EXP(-0.5*(($A218-'Control Room'!$A$16-('Control Room'!$B$16-1)/2)/MAX(0.5,'Control Room'!$B$16/4))^2),1)</x:f>
        <x:v>1</x:v>
      </x:c>
      <x:c r="Q218" s="9" t="n">
        <x:f>MOD(R217*16807,2147483647)</x:f>
        <x:v>1556216277</x:v>
      </x:c>
      <x:c r="R218" s="9" t="n">
        <x:f>MOD(Q218*16807,2147483647)</x:f>
        <x:v>1123630726</x:v>
      </x:c>
      <x:c r="S218" s="17" t="n">
        <x:f>IF('Control Room'!$B$5="Normal",'Control Room'!$B$7+'Control Room'!$D$7*SQRT(-2*LN(MAX(0.000000000001,Q218/2147483647)))*COS(2*PI()*R218/2147483647),'Control Room'!$B$8+('Control Room'!$D$8-'Control Room'!$B$8)*Q218/2147483647)</x:f>
        <x:v>928.5390392474272</x:v>
      </x:c>
      <x:c r="T218" s="17" t="n">
        <x:f>IF('Control Room'!$B$5="Normal",'Control Room'!$B$7,('Control Room'!$B$8+'Control Room'!$D$8)/2)+'Control Room'!$B$9*(T217-IF('Control Room'!$B$5="Normal",'Control Room'!$B$7,('Control Room'!$B$8+'Control Room'!$D$8)/2))+SQRT(1-'Control Room'!$B$9^2)*(S218-IF('Control Room'!$B$5="Normal",'Control Room'!$B$7,('Control Room'!$B$8+'Control Room'!$D$8)/2))</x:f>
        <x:v>945.0232019842452</x:v>
      </x:c>
      <x:c r="U218" s="17" t="n">
        <x:f>IF(AND($A218&gt;='Control Room'!$A$13,$A218&lt;'Control Room'!$A$13+'Control Room'!$B$13,'Process'!BN2=1),1+('Control Room'!$C$13-1)*EXP(-0.5*(($A218-'Control Room'!$A$13-('Control Room'!$B$13-1)/2)/MAX(0.5,'Control Room'!$B$13/4))^2),1)*IF(AND($A218&gt;='Control Room'!$A$14,$A218&lt;'Control Room'!$A$14+'Control Room'!$B$14,'Process'!BN3=1),1+('Control Room'!$C$14-1)*EXP(-0.5*(($A218-'Control Room'!$A$14-('Control Room'!$B$14-1)/2)/MAX(0.5,'Control Room'!$B$14/4))^2),1)*IF(AND($A218&gt;='Control Room'!$A$15,$A218&lt;'Control Room'!$A$15+'Control Room'!$B$15,'Process'!BN4=1),1+('Control Room'!$C$15-1)*EXP(-0.5*(($A218-'Control Room'!$A$15-('Control Room'!$B$15-1)/2)/MAX(0.5,'Control Room'!$B$15/4))^2),1)*IF(AND($A218&gt;='Control Room'!$A$16,$A218&lt;'Control Room'!$A$16+'Control Room'!$B$16,'Process'!BN5=1),1+('Control Room'!$C$16-1)*EXP(-0.5*(($A218-'Control Room'!$A$16-('Control Room'!$B$16-1)/2)/MAX(0.5,'Control Room'!$B$16/4))^2),1)</x:f>
        <x:v>1</x:v>
      </x:c>
      <x:c r="V218" s="9" t="n">
        <x:f>MOD(W217*16807,2147483647)</x:f>
        <x:v>112413782</x:v>
      </x:c>
      <x:c r="W218" s="9" t="n">
        <x:f>MOD(V218*16807,2147483647)</x:f>
        <x:v>1700308361</x:v>
      </x:c>
      <x:c r="X218" s="17" t="n">
        <x:f>IF('Control Room'!$B$5="Normal",'Control Room'!$B$7+'Control Room'!$D$7*SQRT(-2*LN(MAX(0.000000000001,V218/2147483647)))*COS(2*PI()*W218/2147483647),'Control Room'!$B$8+('Control Room'!$D$8-'Control Room'!$B$8)*V218/2147483647)</x:f>
        <x:v>1056.7130842766144</x:v>
      </x:c>
      <x:c r="Y218" s="17" t="n">
        <x:f>IF('Control Room'!$B$5="Normal",'Control Room'!$B$7,('Control Room'!$B$8+'Control Room'!$D$8)/2)+'Control Room'!$B$9*(Y217-IF('Control Room'!$B$5="Normal",'Control Room'!$B$7,('Control Room'!$B$8+'Control Room'!$D$8)/2))+SQRT(1-'Control Room'!$B$9^2)*(X218-IF('Control Room'!$B$5="Normal",'Control Room'!$B$7,('Control Room'!$B$8+'Control Room'!$D$8)/2))</x:f>
        <x:v>995.9176255446282</x:v>
      </x:c>
      <x:c r="Z218" s="17" t="n">
        <x:f>IF(AND($A218&gt;='Control Room'!$A$13,$A218&lt;'Control Room'!$A$13+'Control Room'!$B$13,'Process'!BO2=1),1+('Control Room'!$C$13-1)*EXP(-0.5*(($A218-'Control Room'!$A$13-('Control Room'!$B$13-1)/2)/MAX(0.5,'Control Room'!$B$13/4))^2),1)*IF(AND($A218&gt;='Control Room'!$A$14,$A218&lt;'Control Room'!$A$14+'Control Room'!$B$14,'Process'!BO3=1),1+('Control Room'!$C$14-1)*EXP(-0.5*(($A218-'Control Room'!$A$14-('Control Room'!$B$14-1)/2)/MAX(0.5,'Control Room'!$B$14/4))^2),1)*IF(AND($A218&gt;='Control Room'!$A$15,$A218&lt;'Control Room'!$A$15+'Control Room'!$B$15,'Process'!BO4=1),1+('Control Room'!$C$15-1)*EXP(-0.5*(($A218-'Control Room'!$A$15-('Control Room'!$B$15-1)/2)/MAX(0.5,'Control Room'!$B$15/4))^2),1)*IF(AND($A218&gt;='Control Room'!$A$16,$A218&lt;'Control Room'!$A$16+'Control Room'!$B$16,'Process'!BO5=1),1+('Control Room'!$C$16-1)*EXP(-0.5*(($A218-'Control Room'!$A$16-('Control Room'!$B$16-1)/2)/MAX(0.5,'Control Room'!$B$16/4))^2),1)</x:f>
        <x:v>1</x:v>
      </x:c>
      <x:c r="AA218" s="9" t="n">
        <x:f>MOD(AB217*16807,2147483647)</x:f>
        <x:v>816094934</x:v>
      </x:c>
      <x:c r="AB218" s="9" t="n">
        <x:f>MOD(AA218*16807,2147483647)</x:f>
        <x:v>129502349</x:v>
      </x:c>
      <x:c r="AC218" s="17" t="n">
        <x:f>IF('Control Room'!$B$5="Normal",'Control Room'!$B$7+'Control Room'!$D$7*SQRT(-2*LN(MAX(0.000000000001,AA218/2147483647)))*COS(2*PI()*AB218/2147483647),'Control Room'!$B$8+('Control Room'!$D$8-'Control Room'!$B$8)*AA218/2147483647)</x:f>
        <x:v>1116.315271489012</x:v>
      </x:c>
      <x:c r="AD218" s="17" t="n">
        <x:f>IF('Control Room'!$B$5="Normal",'Control Room'!$B$7,('Control Room'!$B$8+'Control Room'!$D$8)/2)+'Control Room'!$B$9*(AD217-IF('Control Room'!$B$5="Normal",'Control Room'!$B$7,('Control Room'!$B$8+'Control Room'!$D$8)/2))+SQRT(1-'Control Room'!$B$9^2)*(AC218-IF('Control Room'!$B$5="Normal",'Control Room'!$B$7,('Control Room'!$B$8+'Control Room'!$D$8)/2))</x:f>
        <x:v>1085.1586873479926</x:v>
      </x:c>
      <x:c r="AE218" s="17" t="n">
        <x:f>IF(AND($A218&gt;='Control Room'!$A$13,$A218&lt;'Control Room'!$A$13+'Control Room'!$B$13,'Process'!BP2=1),1+('Control Room'!$C$13-1)*EXP(-0.5*(($A218-'Control Room'!$A$13-('Control Room'!$B$13-1)/2)/MAX(0.5,'Control Room'!$B$13/4))^2),1)*IF(AND($A218&gt;='Control Room'!$A$14,$A218&lt;'Control Room'!$A$14+'Control Room'!$B$14,'Process'!BP3=1),1+('Control Room'!$C$14-1)*EXP(-0.5*(($A218-'Control Room'!$A$14-('Control Room'!$B$14-1)/2)/MAX(0.5,'Control Room'!$B$14/4))^2),1)*IF(AND($A218&gt;='Control Room'!$A$15,$A218&lt;'Control Room'!$A$15+'Control Room'!$B$15,'Process'!BP4=1),1+('Control Room'!$C$15-1)*EXP(-0.5*(($A218-'Control Room'!$A$15-('Control Room'!$B$15-1)/2)/MAX(0.5,'Control Room'!$B$15/4))^2),1)*IF(AND($A218&gt;='Control Room'!$A$16,$A218&lt;'Control Room'!$A$16+'Control Room'!$B$16,'Process'!BP5=1),1+('Control Room'!$C$16-1)*EXP(-0.5*(($A218-'Control Room'!$A$16-('Control Room'!$B$16-1)/2)/MAX(0.5,'Control Room'!$B$16/4))^2),1)</x:f>
        <x:v>1</x:v>
      </x:c>
      <x:c r="AF218" s="9" t="n">
        <x:f>MOD(AG217*16807,2147483647)</x:f>
        <x:v>1519776086</x:v>
      </x:c>
      <x:c r="AG218" s="9" t="n">
        <x:f>MOD(AF218*16807,2147483647)</x:f>
        <x:v>706179984</x:v>
      </x:c>
      <x:c r="AH218" s="17" t="n">
        <x:f>IF('Control Room'!$B$5="Normal",'Control Room'!$B$7+'Control Room'!$D$7*SQRT(-2*LN(MAX(0.000000000001,AF218/2147483647)))*COS(2*PI()*AG218/2147483647),'Control Room'!$B$8+('Control Room'!$D$8-'Control Room'!$B$8)*AF218/2147483647)</x:f>
        <x:v>964.424667808491</x:v>
      </x:c>
      <x:c r="AI218" s="17" t="n">
        <x:f>IF('Control Room'!$B$5="Normal",'Control Room'!$B$7,('Control Room'!$B$8+'Control Room'!$D$8)/2)+'Control Room'!$B$9*(AI217-IF('Control Room'!$B$5="Normal",'Control Room'!$B$7,('Control Room'!$B$8+'Control Room'!$D$8)/2))+SQRT(1-'Control Room'!$B$9^2)*(AH218-IF('Control Room'!$B$5="Normal",'Control Room'!$B$7,('Control Room'!$B$8+'Control Room'!$D$8)/2))</x:f>
        <x:v>966.4854445547044</x:v>
      </x:c>
      <x:c r="AJ218" s="17" t="n">
        <x:f>IF(AND($A218&gt;='Control Room'!$A$13,$A218&lt;'Control Room'!$A$13+'Control Room'!$B$13,'Process'!BQ2=1),1+('Control Room'!$C$13-1)*EXP(-0.5*(($A218-'Control Room'!$A$13-('Control Room'!$B$13-1)/2)/MAX(0.5,'Control Room'!$B$13/4))^2),1)*IF(AND($A218&gt;='Control Room'!$A$14,$A218&lt;'Control Room'!$A$14+'Control Room'!$B$14,'Process'!BQ3=1),1+('Control Room'!$C$14-1)*EXP(-0.5*(($A218-'Control Room'!$A$14-('Control Room'!$B$14-1)/2)/MAX(0.5,'Control Room'!$B$14/4))^2),1)*IF(AND($A218&gt;='Control Room'!$A$15,$A218&lt;'Control Room'!$A$15+'Control Room'!$B$15,'Process'!BQ4=1),1+('Control Room'!$C$15-1)*EXP(-0.5*(($A218-'Control Room'!$A$15-('Control Room'!$B$15-1)/2)/MAX(0.5,'Control Room'!$B$15/4))^2),1)*IF(AND($A218&gt;='Control Room'!$A$16,$A218&lt;'Control Room'!$A$16+'Control Room'!$B$16,'Process'!BQ5=1),1+('Control Room'!$C$16-1)*EXP(-0.5*(($A218-'Control Room'!$A$16-('Control Room'!$B$16-1)/2)/MAX(0.5,'Control Room'!$B$16/4))^2),1)</x:f>
        <x:v>1</x:v>
      </x:c>
      <x:c r="AK218" s="9" t="n">
        <x:f>MOD(AL217*16807,2147483647)</x:f>
        <x:v>75973591</x:v>
      </x:c>
      <x:c r="AL218" s="9" t="n">
        <x:f>MOD(AK218*16807,2147483647)</x:f>
        <x:v>1282857619</x:v>
      </x:c>
      <x:c r="AM218" s="17" t="n">
        <x:f>IF('Control Room'!$B$5="Normal",'Control Room'!$B$7+'Control Room'!$D$7*SQRT(-2*LN(MAX(0.000000000001,AK218/2147483647)))*COS(2*PI()*AL218/2147483647),'Control Room'!$B$8+('Control Room'!$D$8-'Control Room'!$B$8)*AK218/2147483647)</x:f>
        <x:v>809.5384678768992</x:v>
      </x:c>
      <x:c r="AN218" s="17" t="n">
        <x:f>IF('Control Room'!$B$5="Normal",'Control Room'!$B$7,('Control Room'!$B$8+'Control Room'!$D$8)/2)+'Control Room'!$B$9*(AN217-IF('Control Room'!$B$5="Normal",'Control Room'!$B$7,('Control Room'!$B$8+'Control Room'!$D$8)/2))+SQRT(1-'Control Room'!$B$9^2)*(AM218-IF('Control Room'!$B$5="Normal",'Control Room'!$B$7,('Control Room'!$B$8+'Control Room'!$D$8)/2))</x:f>
        <x:v>890.7257961068357</x:v>
      </x:c>
      <x:c r="AO218" s="17" t="n">
        <x:f>IF(AND($A218&gt;='Control Room'!$A$13,$A218&lt;'Control Room'!$A$13+'Control Room'!$B$13,'Process'!BR2=1),1+('Control Room'!$C$13-1)*EXP(-0.5*(($A218-'Control Room'!$A$13-('Control Room'!$B$13-1)/2)/MAX(0.5,'Control Room'!$B$13/4))^2),1)*IF(AND($A218&gt;='Control Room'!$A$14,$A218&lt;'Control Room'!$A$14+'Control Room'!$B$14,'Process'!BR3=1),1+('Control Room'!$C$14-1)*EXP(-0.5*(($A218-'Control Room'!$A$14-('Control Room'!$B$14-1)/2)/MAX(0.5,'Control Room'!$B$14/4))^2),1)*IF(AND($A218&gt;='Control Room'!$A$15,$A218&lt;'Control Room'!$A$15+'Control Room'!$B$15,'Process'!BR4=1),1+('Control Room'!$C$15-1)*EXP(-0.5*(($A218-'Control Room'!$A$15-('Control Room'!$B$15-1)/2)/MAX(0.5,'Control Room'!$B$15/4))^2),1)*IF(AND($A218&gt;='Control Room'!$A$16,$A218&lt;'Control Room'!$A$16+'Control Room'!$B$16,'Process'!BR5=1),1+('Control Room'!$C$16-1)*EXP(-0.5*(($A218-'Control Room'!$A$16-('Control Room'!$B$16-1)/2)/MAX(0.5,'Control Room'!$B$16/4))^2),1)</x:f>
        <x:v>1</x:v>
      </x:c>
      <x:c r="AP218" s="9" t="n">
        <x:f>MOD(AQ217*16807,2147483647)</x:f>
        <x:v>779654743</x:v>
      </x:c>
      <x:c r="AQ218" s="9" t="n">
        <x:f>MOD(AP218*16807,2147483647)</x:f>
        <x:v>1859535254</x:v>
      </x:c>
      <x:c r="AR218" s="17" t="n">
        <x:f>IF('Control Room'!$B$5="Normal",'Control Room'!$B$7+'Control Room'!$D$7*SQRT(-2*LN(MAX(0.000000000001,AP218/2147483647)))*COS(2*PI()*AQ218/2147483647),'Control Room'!$B$8+('Control Room'!$D$8-'Control Room'!$B$8)*AP218/2147483647)</x:f>
        <x:v>1085.2752470450414</x:v>
      </x:c>
      <x:c r="AS218" s="17" t="n">
        <x:f>IF('Control Room'!$B$5="Normal",'Control Room'!$B$7,('Control Room'!$B$8+'Control Room'!$D$8)/2)+'Control Room'!$B$9*(AS217-IF('Control Room'!$B$5="Normal",'Control Room'!$B$7,('Control Room'!$B$8+'Control Room'!$D$8)/2))+SQRT(1-'Control Room'!$B$9^2)*(AR218-IF('Control Room'!$B$5="Normal",'Control Room'!$B$7,('Control Room'!$B$8+'Control Room'!$D$8)/2))</x:f>
        <x:v>1018.0634274200149</x:v>
      </x:c>
      <x:c r="AT218" s="17" t="n">
        <x:f>IF(AND($A218&gt;='Control Room'!$A$13,$A218&lt;'Control Room'!$A$13+'Control Room'!$B$13,'Process'!BS2=1),1+('Control Room'!$C$13-1)*EXP(-0.5*(($A218-'Control Room'!$A$13-('Control Room'!$B$13-1)/2)/MAX(0.5,'Control Room'!$B$13/4))^2),1)*IF(AND($A218&gt;='Control Room'!$A$14,$A218&lt;'Control Room'!$A$14+'Control Room'!$B$14,'Process'!BS3=1),1+('Control Room'!$C$14-1)*EXP(-0.5*(($A218-'Control Room'!$A$14-('Control Room'!$B$14-1)/2)/MAX(0.5,'Control Room'!$B$14/4))^2),1)*IF(AND($A218&gt;='Control Room'!$A$15,$A218&lt;'Control Room'!$A$15+'Control Room'!$B$15,'Process'!BS4=1),1+('Control Room'!$C$15-1)*EXP(-0.5*(($A218-'Control Room'!$A$15-('Control Room'!$B$15-1)/2)/MAX(0.5,'Control Room'!$B$15/4))^2),1)*IF(AND($A218&gt;='Control Room'!$A$16,$A218&lt;'Control Room'!$A$16+'Control Room'!$B$16,'Process'!BS5=1),1+('Control Room'!$C$16-1)*EXP(-0.5*(($A218-'Control Room'!$A$16-('Control Room'!$B$16-1)/2)/MAX(0.5,'Control Room'!$B$16/4))^2),1)</x:f>
        <x:v>1</x:v>
      </x:c>
      <x:c r="AU218" s="9" t="n">
        <x:f>MOD(AV217*16807,2147483647)</x:f>
        <x:v>1483335895</x:v>
      </x:c>
      <x:c r="AV218" s="9" t="n">
        <x:f>MOD(AU218*16807,2147483647)</x:f>
        <x:v>288729242</x:v>
      </x:c>
      <x:c r="AW218" s="17" t="n">
        <x:f>IF('Control Room'!$B$5="Normal",'Control Room'!$B$7+'Control Room'!$D$7*SQRT(-2*LN(MAX(0.000000000001,AU218/2147483647)))*COS(2*PI()*AV218/2147483647),'Control Room'!$B$8+('Control Room'!$D$8-'Control Room'!$B$8)*AU218/2147483647)</x:f>
        <x:v>1051.3999750703204</x:v>
      </x:c>
      <x:c r="AX218" s="17" t="n">
        <x:f>IF('Control Room'!$B$5="Normal",'Control Room'!$B$7,('Control Room'!$B$8+'Control Room'!$D$8)/2)+'Control Room'!$B$9*(AX217-IF('Control Room'!$B$5="Normal",'Control Room'!$B$7,('Control Room'!$B$8+'Control Room'!$D$8)/2))+SQRT(1-'Control Room'!$B$9^2)*(AW218-IF('Control Room'!$B$5="Normal",'Control Room'!$B$7,('Control Room'!$B$8+'Control Room'!$D$8)/2))</x:f>
        <x:v>1092.957587902977</x:v>
      </x:c>
      <x:c r="AY218" s="17" t="n">
        <x:f>IF(AND($A218&gt;='Control Room'!$A$13,$A218&lt;'Control Room'!$A$13+'Control Room'!$B$13,'Process'!BT2=1),1+('Control Room'!$C$13-1)*EXP(-0.5*(($A218-'Control Room'!$A$13-('Control Room'!$B$13-1)/2)/MAX(0.5,'Control Room'!$B$13/4))^2),1)*IF(AND($A218&gt;='Control Room'!$A$14,$A218&lt;'Control Room'!$A$14+'Control Room'!$B$14,'Process'!BT3=1),1+('Control Room'!$C$14-1)*EXP(-0.5*(($A218-'Control Room'!$A$14-('Control Room'!$B$14-1)/2)/MAX(0.5,'Control Room'!$B$14/4))^2),1)*IF(AND($A218&gt;='Control Room'!$A$15,$A218&lt;'Control Room'!$A$15+'Control Room'!$B$15,'Process'!BT4=1),1+('Control Room'!$C$15-1)*EXP(-0.5*(($A218-'Control Room'!$A$15-('Control Room'!$B$15-1)/2)/MAX(0.5,'Control Room'!$B$15/4))^2),1)*IF(AND($A218&gt;='Control Room'!$A$16,$A218&lt;'Control Room'!$A$16+'Control Room'!$B$16,'Process'!BT5=1),1+('Control Room'!$C$16-1)*EXP(-0.5*(($A218-'Control Room'!$A$16-('Control Room'!$B$16-1)/2)/MAX(0.5,'Control Room'!$B$16/4))^2),1)</x:f>
        <x:v>1</x:v>
      </x:c>
      <x:c r="AZ218" s="9" t="n">
        <x:f>MOD(BA217*16807,2147483647)</x:f>
        <x:v>39533400</x:v>
      </x:c>
      <x:c r="BA218" s="9" t="n">
        <x:f>MOD(AZ218*16807,2147483647)</x:f>
        <x:v>865406877</x:v>
      </x:c>
      <x:c r="BB218" s="17" t="n">
        <x:f>IF('Control Room'!$B$5="Normal",'Control Room'!$B$7+'Control Room'!$D$7*SQRT(-2*LN(MAX(0.000000000001,AZ218/2147483647)))*COS(2*PI()*BA218/2147483647),'Control Room'!$B$8+('Control Room'!$D$8-'Control Room'!$B$8)*AZ218/2147483647)</x:f>
        <x:v>791.4195844226008</x:v>
      </x:c>
      <x:c r="BC218" s="17" t="n">
        <x:f>IF('Control Room'!$B$5="Normal",'Control Room'!$B$7,('Control Room'!$B$8+'Control Room'!$D$8)/2)+'Control Room'!$B$9*(BC217-IF('Control Room'!$B$5="Normal",'Control Room'!$B$7,('Control Room'!$B$8+'Control Room'!$D$8)/2))+SQRT(1-'Control Room'!$B$9^2)*(BB218-IF('Control Room'!$B$5="Normal",'Control Room'!$B$7,('Control Room'!$B$8+'Control Room'!$D$8)/2))</x:f>
        <x:v>846.1128147089012</x:v>
      </x:c>
      <x:c r="BD218" s="17" t="n">
        <x:f>IF(AND($A218&gt;='Control Room'!$A$13,$A218&lt;'Control Room'!$A$13+'Control Room'!$B$13,'Process'!BU2=1),1+('Control Room'!$C$13-1)*EXP(-0.5*(($A218-'Control Room'!$A$13-('Control Room'!$B$13-1)/2)/MAX(0.5,'Control Room'!$B$13/4))^2),1)*IF(AND($A218&gt;='Control Room'!$A$14,$A218&lt;'Control Room'!$A$14+'Control Room'!$B$14,'Process'!BU3=1),1+('Control Room'!$C$14-1)*EXP(-0.5*(($A218-'Control Room'!$A$14-('Control Room'!$B$14-1)/2)/MAX(0.5,'Control Room'!$B$14/4))^2),1)*IF(AND($A218&gt;='Control Room'!$A$15,$A218&lt;'Control Room'!$A$15+'Control Room'!$B$15,'Process'!BU4=1),1+('Control Room'!$C$15-1)*EXP(-0.5*(($A218-'Control Room'!$A$15-('Control Room'!$B$15-1)/2)/MAX(0.5,'Control Room'!$B$15/4))^2),1)*IF(AND($A218&gt;='Control Room'!$A$16,$A218&lt;'Control Room'!$A$16+'Control Room'!$B$16,'Process'!BU5=1),1+('Control Room'!$C$16-1)*EXP(-0.5*(($A218-'Control Room'!$A$16-('Control Room'!$B$16-1)/2)/MAX(0.5,'Control Room'!$B$16/4))^2),1)</x:f>
        <x:v>1</x:v>
      </x:c>
      <x:c r="BE218" s="9" t="n">
        <x:f>MOD(BF217*16807,2147483647)</x:f>
        <x:v>743214552</x:v>
      </x:c>
      <x:c r="BF218" s="9" t="n">
        <x:f>MOD(BE218*16807,2147483647)</x:f>
        <x:v>1442084512</x:v>
      </x:c>
      <x:c r="BG218" s="17" t="n">
        <x:f>IF('Control Room'!$B$5="Normal",'Control Room'!$B$7+'Control Room'!$D$7*SQRT(-2*LN(MAX(0.000000000001,BE218/2147483647)))*COS(2*PI()*BF218/2147483647),'Control Room'!$B$8+('Control Room'!$D$8-'Control Room'!$B$8)*BE218/2147483647)</x:f>
        <x:v>937.9405199536835</x:v>
      </x:c>
      <x:c r="BH218" s="17" t="n">
        <x:f>IF('Control Room'!$B$5="Normal",'Control Room'!$B$7,('Control Room'!$B$8+'Control Room'!$D$8)/2)+'Control Room'!$B$9*(BH217-IF('Control Room'!$B$5="Normal",'Control Room'!$B$7,('Control Room'!$B$8+'Control Room'!$D$8)/2))+SQRT(1-'Control Room'!$B$9^2)*(BG218-IF('Control Room'!$B$5="Normal",'Control Room'!$B$7,('Control Room'!$B$8+'Control Room'!$D$8)/2))</x:f>
        <x:v>943.4849263628647</x:v>
      </x:c>
      <x:c r="BI218" s="17" t="n">
        <x:f>IF(AND($A218&gt;='Control Room'!$A$13,$A218&lt;'Control Room'!$A$13+'Control Room'!$B$13,'Process'!BV2=1),1+('Control Room'!$C$13-1)*EXP(-0.5*(($A218-'Control Room'!$A$13-('Control Room'!$B$13-1)/2)/MAX(0.5,'Control Room'!$B$13/4))^2),1)*IF(AND($A218&gt;='Control Room'!$A$14,$A218&lt;'Control Room'!$A$14+'Control Room'!$B$14,'Process'!BV3=1),1+('Control Room'!$C$14-1)*EXP(-0.5*(($A218-'Control Room'!$A$14-('Control Room'!$B$14-1)/2)/MAX(0.5,'Control Room'!$B$14/4))^2),1)*IF(AND($A218&gt;='Control Room'!$A$15,$A218&lt;'Control Room'!$A$15+'Control Room'!$B$15,'Process'!BV4=1),1+('Control Room'!$C$15-1)*EXP(-0.5*(($A218-'Control Room'!$A$15-('Control Room'!$B$15-1)/2)/MAX(0.5,'Control Room'!$B$15/4))^2),1)*IF(AND($A218&gt;='Control Room'!$A$16,$A218&lt;'Control Room'!$A$16+'Control Room'!$B$16,'Process'!BV5=1),1+('Control Room'!$C$16-1)*EXP(-0.5*(($A218-'Control Room'!$A$16-('Control Room'!$B$16-1)/2)/MAX(0.5,'Control Room'!$B$16/4))^2),1)</x:f>
        <x:v>1</x:v>
      </x:c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Z218" t="str">
        <x:f>IF('Data'!A218="","",TEXT('Data'!A218,"mm-dd"))</x:f>
      </x:c>
    </x:row>
    <x:row r="219" ht="21" customHeight="1">
      <x:c r="A219" s="15" t="n">
        <x:f>'Control Room'!$B$1+217</x:f>
        <x:v>73208</x:v>
      </x:c>
      <x:c r="B219" s="9" t="n">
        <x:f>MOD(C218*16807,2147483647)</x:f>
        <x:v>155966209</x:v>
      </x:c>
      <x:c r="C219" s="9" t="n">
        <x:f>MOD(B219*16807,2147483647)</x:f>
        <x:v>1394025323</x:v>
      </x:c>
      <x:c r="D219" s="17" t="n">
        <x:f>IF('Control Room'!$B$5="Normal",'Control Room'!$B$7+'Control Room'!$D$7*SQRT(-2*LN(MAX(0.000000000001,B219/2147483647)))*COS(2*PI()*C219/2147483647),'Control Room'!$B$8+('Control Room'!$D$8-'Control Room'!$B$8)*B219/2147483647)</x:f>
        <x:v>877.9536001150744</x:v>
      </x:c>
      <x:c r="E219" s="17" t="n">
        <x:f>IF('Control Room'!$B$5="Normal",'Control Room'!$B$7,('Control Room'!$B$8+'Control Room'!$D$8)/2)+'Control Room'!$B$9*(E218-IF('Control Room'!$B$5="Normal",'Control Room'!$B$7,('Control Room'!$B$8+'Control Room'!$D$8)/2))+SQRT(1-'Control Room'!$B$9^2)*(D219-IF('Control Room'!$B$5="Normal",'Control Room'!$B$7,('Control Room'!$B$8+'Control Room'!$D$8)/2))</x:f>
        <x:v>868.478643796082</x:v>
      </x:c>
      <x:c r="F219" s="17" t="n">
        <x:f>IF(AND($A219&gt;='Control Room'!$A$13,$A219&lt;'Control Room'!$A$13+'Control Room'!$B$13,'Process'!BK2=1),1+('Control Room'!$C$13-1)*EXP(-0.5*(($A219-'Control Room'!$A$13-('Control Room'!$B$13-1)/2)/MAX(0.5,'Control Room'!$B$13/4))^2),1)*IF(AND($A219&gt;='Control Room'!$A$14,$A219&lt;'Control Room'!$A$14+'Control Room'!$B$14,'Process'!BK3=1),1+('Control Room'!$C$14-1)*EXP(-0.5*(($A219-'Control Room'!$A$14-('Control Room'!$B$14-1)/2)/MAX(0.5,'Control Room'!$B$14/4))^2),1)*IF(AND($A219&gt;='Control Room'!$A$15,$A219&lt;'Control Room'!$A$15+'Control Room'!$B$15,'Process'!BK4=1),1+('Control Room'!$C$15-1)*EXP(-0.5*(($A219-'Control Room'!$A$15-('Control Room'!$B$15-1)/2)/MAX(0.5,'Control Room'!$B$15/4))^2),1)*IF(AND($A219&gt;='Control Room'!$A$16,$A219&lt;'Control Room'!$A$16+'Control Room'!$B$16,'Process'!BK5=1),1+('Control Room'!$C$16-1)*EXP(-0.5*(($A219-'Control Room'!$A$16-('Control Room'!$B$16-1)/2)/MAX(0.5,'Control Room'!$B$16/4))^2),1)</x:f>
        <x:v>1</x:v>
      </x:c>
      <x:c r="G219" s="9" t="n">
        <x:f>MOD(H218*16807,2147483647)</x:f>
        <x:v>783278743</x:v>
      </x:c>
      <x:c r="H219" s="9" t="n">
        <x:f>MOD(G219*16807,2147483647)</x:f>
        <x:v>491077491</x:v>
      </x:c>
      <x:c r="I219" s="17" t="n">
        <x:f>IF('Control Room'!$B$5="Normal",'Control Room'!$B$7+'Control Room'!$D$7*SQRT(-2*LN(MAX(0.000000000001,G219/2147483647)))*COS(2*PI()*H219/2147483647),'Control Room'!$B$8+('Control Room'!$D$8-'Control Room'!$B$8)*G219/2147483647)</x:f>
        <x:v>1017.0750519507443</x:v>
      </x:c>
      <x:c r="J219" s="17" t="n">
        <x:f>IF('Control Room'!$B$5="Normal",'Control Room'!$B$7,('Control Room'!$B$8+'Control Room'!$D$8)/2)+'Control Room'!$B$9*(J218-IF('Control Room'!$B$5="Normal",'Control Room'!$B$7,('Control Room'!$B$8+'Control Room'!$D$8)/2))+SQRT(1-'Control Room'!$B$9^2)*(I219-IF('Control Room'!$B$5="Normal",'Control Room'!$B$7,('Control Room'!$B$8+'Control Room'!$D$8)/2))</x:f>
        <x:v>1166.0644438176928</x:v>
      </x:c>
      <x:c r="K219" s="17" t="n">
        <x:f>IF(AND($A219&gt;='Control Room'!$A$13,$A219&lt;'Control Room'!$A$13+'Control Room'!$B$13,'Process'!BL2=1),1+('Control Room'!$C$13-1)*EXP(-0.5*(($A219-'Control Room'!$A$13-('Control Room'!$B$13-1)/2)/MAX(0.5,'Control Room'!$B$13/4))^2),1)*IF(AND($A219&gt;='Control Room'!$A$14,$A219&lt;'Control Room'!$A$14+'Control Room'!$B$14,'Process'!BL3=1),1+('Control Room'!$C$14-1)*EXP(-0.5*(($A219-'Control Room'!$A$14-('Control Room'!$B$14-1)/2)/MAX(0.5,'Control Room'!$B$14/4))^2),1)*IF(AND($A219&gt;='Control Room'!$A$15,$A219&lt;'Control Room'!$A$15+'Control Room'!$B$15,'Process'!BL4=1),1+('Control Room'!$C$15-1)*EXP(-0.5*(($A219-'Control Room'!$A$15-('Control Room'!$B$15-1)/2)/MAX(0.5,'Control Room'!$B$15/4))^2),1)*IF(AND($A219&gt;='Control Room'!$A$16,$A219&lt;'Control Room'!$A$16+'Control Room'!$B$16,'Process'!BL5=1),1+('Control Room'!$C$16-1)*EXP(-0.5*(($A219-'Control Room'!$A$16-('Control Room'!$B$16-1)/2)/MAX(0.5,'Control Room'!$B$16/4))^2),1)</x:f>
        <x:v>1</x:v>
      </x:c>
      <x:c r="L219" s="9" t="n">
        <x:f>MOD(M218*16807,2147483647)</x:f>
        <x:v>1410591277</x:v>
      </x:c>
      <x:c r="M219" s="9" t="n">
        <x:f>MOD(L219*16807,2147483647)</x:f>
        <x:v>1735613306</x:v>
      </x:c>
      <x:c r="N219" s="17" t="n">
        <x:f>IF('Control Room'!$B$5="Normal",'Control Room'!$B$7+'Control Room'!$D$7*SQRT(-2*LN(MAX(0.000000000001,L219/2147483647)))*COS(2*PI()*M219/2147483647),'Control Room'!$B$8+('Control Room'!$D$8-'Control Room'!$B$8)*L219/2147483647)</x:f>
        <x:v>1029.509886403276</x:v>
      </x:c>
      <x:c r="O219" s="17" t="n">
        <x:f>IF('Control Room'!$B$5="Normal",'Control Room'!$B$7,('Control Room'!$B$8+'Control Room'!$D$8)/2)+'Control Room'!$B$9*(O218-IF('Control Room'!$B$5="Normal",'Control Room'!$B$7,('Control Room'!$B$8+'Control Room'!$D$8)/2))+SQRT(1-'Control Room'!$B$9^2)*(N219-IF('Control Room'!$B$5="Normal",'Control Room'!$B$7,('Control Room'!$B$8+'Control Room'!$D$8)/2))</x:f>
        <x:v>1091.590148919612</x:v>
      </x:c>
      <x:c r="P219" s="17" t="n">
        <x:f>IF(AND($A219&gt;='Control Room'!$A$13,$A219&lt;'Control Room'!$A$13+'Control Room'!$B$13,'Process'!BM2=1),1+('Control Room'!$C$13-1)*EXP(-0.5*(($A219-'Control Room'!$A$13-('Control Room'!$B$13-1)/2)/MAX(0.5,'Control Room'!$B$13/4))^2),1)*IF(AND($A219&gt;='Control Room'!$A$14,$A219&lt;'Control Room'!$A$14+'Control Room'!$B$14,'Process'!BM3=1),1+('Control Room'!$C$14-1)*EXP(-0.5*(($A219-'Control Room'!$A$14-('Control Room'!$B$14-1)/2)/MAX(0.5,'Control Room'!$B$14/4))^2),1)*IF(AND($A219&gt;='Control Room'!$A$15,$A219&lt;'Control Room'!$A$15+'Control Room'!$B$15,'Process'!BM4=1),1+('Control Room'!$C$15-1)*EXP(-0.5*(($A219-'Control Room'!$A$15-('Control Room'!$B$15-1)/2)/MAX(0.5,'Control Room'!$B$15/4))^2),1)*IF(AND($A219&gt;='Control Room'!$A$16,$A219&lt;'Control Room'!$A$16+'Control Room'!$B$16,'Process'!BM5=1),1+('Control Room'!$C$16-1)*EXP(-0.5*(($A219-'Control Room'!$A$16-('Control Room'!$B$16-1)/2)/MAX(0.5,'Control Room'!$B$16/4))^2),1)</x:f>
        <x:v>1</x:v>
      </x:c>
      <x:c r="Q219" s="9" t="n">
        <x:f>MOD(R218*16807,2147483647)</x:f>
        <x:v>2037903811</x:v>
      </x:c>
      <x:c r="R219" s="9" t="n">
        <x:f>MOD(Q219*16807,2147483647)</x:f>
        <x:v>832665474</x:v>
      </x:c>
      <x:c r="S219" s="17" t="n">
        <x:f>IF('Control Room'!$B$5="Normal",'Control Room'!$B$7+'Control Room'!$D$7*SQRT(-2*LN(MAX(0.000000000001,Q219/2147483647)))*COS(2*PI()*R219/2147483647),'Control Room'!$B$8+('Control Room'!$D$8-'Control Room'!$B$8)*Q219/2147483647)</x:f>
        <x:v>977.8219272825432</x:v>
      </x:c>
      <x:c r="T219" s="17" t="n">
        <x:f>IF('Control Room'!$B$5="Normal",'Control Room'!$B$7,('Control Room'!$B$8+'Control Room'!$D$8)/2)+'Control Room'!$B$9*(T218-IF('Control Room'!$B$5="Normal",'Control Room'!$B$7,('Control Room'!$B$8+'Control Room'!$D$8)/2))+SQRT(1-'Control Room'!$B$9^2)*(S219-IF('Control Room'!$B$5="Normal",'Control Room'!$B$7,('Control Room'!$B$8+'Control Room'!$D$8)/2))</x:f>
        <x:v>943.2395139836422</x:v>
      </x:c>
      <x:c r="U219" s="17" t="n">
        <x:f>IF(AND($A219&gt;='Control Room'!$A$13,$A219&lt;'Control Room'!$A$13+'Control Room'!$B$13,'Process'!BN2=1),1+('Control Room'!$C$13-1)*EXP(-0.5*(($A219-'Control Room'!$A$13-('Control Room'!$B$13-1)/2)/MAX(0.5,'Control Room'!$B$13/4))^2),1)*IF(AND($A219&gt;='Control Room'!$A$14,$A219&lt;'Control Room'!$A$14+'Control Room'!$B$14,'Process'!BN3=1),1+('Control Room'!$C$14-1)*EXP(-0.5*(($A219-'Control Room'!$A$14-('Control Room'!$B$14-1)/2)/MAX(0.5,'Control Room'!$B$14/4))^2),1)*IF(AND($A219&gt;='Control Room'!$A$15,$A219&lt;'Control Room'!$A$15+'Control Room'!$B$15,'Process'!BN4=1),1+('Control Room'!$C$15-1)*EXP(-0.5*(($A219-'Control Room'!$A$15-('Control Room'!$B$15-1)/2)/MAX(0.5,'Control Room'!$B$15/4))^2),1)*IF(AND($A219&gt;='Control Room'!$A$16,$A219&lt;'Control Room'!$A$16+'Control Room'!$B$16,'Process'!BN5=1),1+('Control Room'!$C$16-1)*EXP(-0.5*(($A219-'Control Room'!$A$16-('Control Room'!$B$16-1)/2)/MAX(0.5,'Control Room'!$B$16/4))^2),1)</x:f>
        <x:v>1</x:v>
      </x:c>
      <x:c r="V219" s="9" t="n">
        <x:f>MOD(W218*16807,2147483647)</x:f>
        <x:v>517732698</x:v>
      </x:c>
      <x:c r="W219" s="9" t="n">
        <x:f>MOD(V219*16807,2147483647)</x:f>
        <x:v>2077201289</x:v>
      </x:c>
      <x:c r="X219" s="17" t="n">
        <x:f>IF('Control Room'!$B$5="Normal",'Control Room'!$B$7+'Control Room'!$D$7*SQRT(-2*LN(MAX(0.000000000001,V219/2147483647)))*COS(2*PI()*W219/2147483647),'Control Room'!$B$8+('Control Room'!$D$8-'Control Room'!$B$8)*V219/2147483647)</x:f>
        <x:v>1148.6107335785905</x:v>
      </x:c>
      <x:c r="Y219" s="17" t="n">
        <x:f>IF('Control Room'!$B$5="Normal",'Control Room'!$B$7,('Control Room'!$B$8+'Control Room'!$D$8)/2)+'Control Room'!$B$9*(Y218-IF('Control Room'!$B$5="Normal",'Control Room'!$B$7,('Control Room'!$B$8+'Control Room'!$D$8)/2))+SQRT(1-'Control Room'!$B$9^2)*(X219-IF('Control Room'!$B$5="Normal",'Control Room'!$B$7,('Control Room'!$B$8+'Control Room'!$D$8)/2))</x:f>
        <x:v>1089.8133005419336</x:v>
      </x:c>
      <x:c r="Z219" s="17" t="n">
        <x:f>IF(AND($A219&gt;='Control Room'!$A$13,$A219&lt;'Control Room'!$A$13+'Control Room'!$B$13,'Process'!BO2=1),1+('Control Room'!$C$13-1)*EXP(-0.5*(($A219-'Control Room'!$A$13-('Control Room'!$B$13-1)/2)/MAX(0.5,'Control Room'!$B$13/4))^2),1)*IF(AND($A219&gt;='Control Room'!$A$14,$A219&lt;'Control Room'!$A$14+'Control Room'!$B$14,'Process'!BO3=1),1+('Control Room'!$C$14-1)*EXP(-0.5*(($A219-'Control Room'!$A$14-('Control Room'!$B$14-1)/2)/MAX(0.5,'Control Room'!$B$14/4))^2),1)*IF(AND($A219&gt;='Control Room'!$A$15,$A219&lt;'Control Room'!$A$15+'Control Room'!$B$15,'Process'!BO4=1),1+('Control Room'!$C$15-1)*EXP(-0.5*(($A219-'Control Room'!$A$15-('Control Room'!$B$15-1)/2)/MAX(0.5,'Control Room'!$B$15/4))^2),1)*IF(AND($A219&gt;='Control Room'!$A$16,$A219&lt;'Control Room'!$A$16+'Control Room'!$B$16,'Process'!BO5=1),1+('Control Room'!$C$16-1)*EXP(-0.5*(($A219-'Control Room'!$A$16-('Control Room'!$B$16-1)/2)/MAX(0.5,'Control Room'!$B$16/4))^2),1)</x:f>
        <x:v>1</x:v>
      </x:c>
      <x:c r="AA219" s="9" t="n">
        <x:f>MOD(AB218*16807,2147483647)</x:f>
        <x:v>1145045232</x:v>
      </x:c>
      <x:c r="AB219" s="9" t="n">
        <x:f>MOD(AA219*16807,2147483647)</x:f>
        <x:v>1174253457</x:v>
      </x:c>
      <x:c r="AC219" s="17" t="n">
        <x:f>IF('Control Room'!$B$5="Normal",'Control Room'!$B$7+'Control Room'!$D$7*SQRT(-2*LN(MAX(0.000000000001,AA219/2147483647)))*COS(2*PI()*AB219/2147483647),'Control Room'!$B$8+('Control Room'!$D$8-'Control Room'!$B$8)*AA219/2147483647)</x:f>
        <x:v>903.4004245595514</x:v>
      </x:c>
      <x:c r="AD219" s="17" t="n">
        <x:f>IF('Control Room'!$B$5="Normal",'Control Room'!$B$7,('Control Room'!$B$8+'Control Room'!$D$8)/2)+'Control Room'!$B$9*(AD218-IF('Control Room'!$B$5="Normal",'Control Room'!$B$7,('Control Room'!$B$8+'Control Room'!$D$8)/2))+SQRT(1-'Control Room'!$B$9^2)*(AC219-IF('Control Room'!$B$5="Normal",'Control Room'!$B$7,('Control Room'!$B$8+'Control Room'!$D$8)/2))</x:f>
        <x:v>1005.9737407706698</x:v>
      </x:c>
      <x:c r="AE219" s="17" t="n">
        <x:f>IF(AND($A219&gt;='Control Room'!$A$13,$A219&lt;'Control Room'!$A$13+'Control Room'!$B$13,'Process'!BP2=1),1+('Control Room'!$C$13-1)*EXP(-0.5*(($A219-'Control Room'!$A$13-('Control Room'!$B$13-1)/2)/MAX(0.5,'Control Room'!$B$13/4))^2),1)*IF(AND($A219&gt;='Control Room'!$A$14,$A219&lt;'Control Room'!$A$14+'Control Room'!$B$14,'Process'!BP3=1),1+('Control Room'!$C$14-1)*EXP(-0.5*(($A219-'Control Room'!$A$14-('Control Room'!$B$14-1)/2)/MAX(0.5,'Control Room'!$B$14/4))^2),1)*IF(AND($A219&gt;='Control Room'!$A$15,$A219&lt;'Control Room'!$A$15+'Control Room'!$B$15,'Process'!BP4=1),1+('Control Room'!$C$15-1)*EXP(-0.5*(($A219-'Control Room'!$A$15-('Control Room'!$B$15-1)/2)/MAX(0.5,'Control Room'!$B$15/4))^2),1)*IF(AND($A219&gt;='Control Room'!$A$16,$A219&lt;'Control Room'!$A$16+'Control Room'!$B$16,'Process'!BP5=1),1+('Control Room'!$C$16-1)*EXP(-0.5*(($A219-'Control Room'!$A$16-('Control Room'!$B$16-1)/2)/MAX(0.5,'Control Room'!$B$16/4))^2),1)</x:f>
        <x:v>1</x:v>
      </x:c>
      <x:c r="AF219" s="9" t="n">
        <x:f>MOD(AG218*16807,2147483647)</x:f>
        <x:v>1772357766</x:v>
      </x:c>
      <x:c r="AG219" s="9" t="n">
        <x:f>MOD(AF219*16807,2147483647)</x:f>
        <x:v>271305625</x:v>
      </x:c>
      <x:c r="AH219" s="17" t="n">
        <x:f>IF('Control Room'!$B$5="Normal",'Control Room'!$B$7+'Control Room'!$D$7*SQRT(-2*LN(MAX(0.000000000001,AF219/2147483647)))*COS(2*PI()*AG219/2147483647),'Control Room'!$B$8+('Control Room'!$D$8-'Control Room'!$B$8)*AF219/2147483647)</x:f>
        <x:v>1039.1020450411272</x:v>
      </x:c>
      <x:c r="AI219" s="17" t="n">
        <x:f>IF('Control Room'!$B$5="Normal",'Control Room'!$B$7,('Control Room'!$B$8+'Control Room'!$D$8)/2)+'Control Room'!$B$9*(AI218-IF('Control Room'!$B$5="Normal",'Control Room'!$B$7,('Control Room'!$B$8+'Control Room'!$D$8)/2))+SQRT(1-'Control Room'!$B$9^2)*(AH219-IF('Control Room'!$B$5="Normal",'Control Room'!$B$7,('Control Room'!$B$8+'Control Room'!$D$8)/2))</x:f>
        <x:v>998.3279054904733</x:v>
      </x:c>
      <x:c r="AJ219" s="17" t="n">
        <x:f>IF(AND($A219&gt;='Control Room'!$A$13,$A219&lt;'Control Room'!$A$13+'Control Room'!$B$13,'Process'!BQ2=1),1+('Control Room'!$C$13-1)*EXP(-0.5*(($A219-'Control Room'!$A$13-('Control Room'!$B$13-1)/2)/MAX(0.5,'Control Room'!$B$13/4))^2),1)*IF(AND($A219&gt;='Control Room'!$A$14,$A219&lt;'Control Room'!$A$14+'Control Room'!$B$14,'Process'!BQ3=1),1+('Control Room'!$C$14-1)*EXP(-0.5*(($A219-'Control Room'!$A$14-('Control Room'!$B$14-1)/2)/MAX(0.5,'Control Room'!$B$14/4))^2),1)*IF(AND($A219&gt;='Control Room'!$A$15,$A219&lt;'Control Room'!$A$15+'Control Room'!$B$15,'Process'!BQ4=1),1+('Control Room'!$C$15-1)*EXP(-0.5*(($A219-'Control Room'!$A$15-('Control Room'!$B$15-1)/2)/MAX(0.5,'Control Room'!$B$15/4))^2),1)*IF(AND($A219&gt;='Control Room'!$A$16,$A219&lt;'Control Room'!$A$16+'Control Room'!$B$16,'Process'!BQ5=1),1+('Control Room'!$C$16-1)*EXP(-0.5*(($A219-'Control Room'!$A$16-('Control Room'!$B$16-1)/2)/MAX(0.5,'Control Room'!$B$16/4))^2),1)</x:f>
        <x:v>1</x:v>
      </x:c>
      <x:c r="AK219" s="9" t="n">
        <x:f>MOD(AL218*16807,2147483647)</x:f>
        <x:v>252186653</x:v>
      </x:c>
      <x:c r="AL219" s="9" t="n">
        <x:f>MOD(AK219*16807,2147483647)</x:f>
        <x:v>1515841440</x:v>
      </x:c>
      <x:c r="AM219" s="17" t="n">
        <x:f>IF('Control Room'!$B$5="Normal",'Control Room'!$B$7+'Control Room'!$D$7*SQRT(-2*LN(MAX(0.000000000001,AK219/2147483647)))*COS(2*PI()*AL219/2147483647),'Control Room'!$B$8+('Control Room'!$D$8-'Control Room'!$B$8)*AK219/2147483647)</x:f>
        <x:v>949.0079417221963</x:v>
      </x:c>
      <x:c r="AN219" s="17" t="n">
        <x:f>IF('Control Room'!$B$5="Normal",'Control Room'!$B$7,('Control Room'!$B$8+'Control Room'!$D$8)/2)+'Control Room'!$B$9*(AN218-IF('Control Room'!$B$5="Normal",'Control Room'!$B$7,('Control Room'!$B$8+'Control Room'!$D$8)/2))+SQRT(1-'Control Room'!$B$9^2)*(AM219-IF('Control Room'!$B$5="Normal",'Control Room'!$B$7,('Control Room'!$B$8+'Control Room'!$D$8)/2))</x:f>
        <x:v>882.8563355221767</x:v>
      </x:c>
      <x:c r="AO219" s="17" t="n">
        <x:f>IF(AND($A219&gt;='Control Room'!$A$13,$A219&lt;'Control Room'!$A$13+'Control Room'!$B$13,'Process'!BR2=1),1+('Control Room'!$C$13-1)*EXP(-0.5*(($A219-'Control Room'!$A$13-('Control Room'!$B$13-1)/2)/MAX(0.5,'Control Room'!$B$13/4))^2),1)*IF(AND($A219&gt;='Control Room'!$A$14,$A219&lt;'Control Room'!$A$14+'Control Room'!$B$14,'Process'!BR3=1),1+('Control Room'!$C$14-1)*EXP(-0.5*(($A219-'Control Room'!$A$14-('Control Room'!$B$14-1)/2)/MAX(0.5,'Control Room'!$B$14/4))^2),1)*IF(AND($A219&gt;='Control Room'!$A$15,$A219&lt;'Control Room'!$A$15+'Control Room'!$B$15,'Process'!BR4=1),1+('Control Room'!$C$15-1)*EXP(-0.5*(($A219-'Control Room'!$A$15-('Control Room'!$B$15-1)/2)/MAX(0.5,'Control Room'!$B$15/4))^2),1)*IF(AND($A219&gt;='Control Room'!$A$16,$A219&lt;'Control Room'!$A$16+'Control Room'!$B$16,'Process'!BR5=1),1+('Control Room'!$C$16-1)*EXP(-0.5*(($A219-'Control Room'!$A$16-('Control Room'!$B$16-1)/2)/MAX(0.5,'Control Room'!$B$16/4))^2),1)</x:f>
        <x:v>1</x:v>
      </x:c>
      <x:c r="AP219" s="9" t="n">
        <x:f>MOD(AQ218*16807,2147483647)</x:f>
        <x:v>879499187</x:v>
      </x:c>
      <x:c r="AQ219" s="9" t="n">
        <x:f>MOD(AP219*16807,2147483647)</x:f>
        <x:v>612893608</x:v>
      </x:c>
      <x:c r="AR219" s="17" t="n">
        <x:f>IF('Control Room'!$B$5="Normal",'Control Room'!$B$7+'Control Room'!$D$7*SQRT(-2*LN(MAX(0.000000000001,AP219/2147483647)))*COS(2*PI()*AQ219/2147483647),'Control Room'!$B$8+('Control Room'!$D$8-'Control Room'!$B$8)*AP219/2147483647)</x:f>
        <x:v>973.471276738342</x:v>
      </x:c>
      <x:c r="AS219" s="17" t="n">
        <x:f>IF('Control Room'!$B$5="Normal",'Control Room'!$B$7,('Control Room'!$B$8+'Control Room'!$D$8)/2)+'Control Room'!$B$9*(AS218-IF('Control Room'!$B$5="Normal",'Control Room'!$B$7,('Control Room'!$B$8+'Control Room'!$D$8)/2))+SQRT(1-'Control Room'!$B$9^2)*(AR219-IF('Control Room'!$B$5="Normal",'Control Room'!$B$7,('Control Room'!$B$8+'Control Room'!$D$8)/2))</x:f>
        <x:v>997.4883418409023</x:v>
      </x:c>
      <x:c r="AT219" s="17" t="n">
        <x:f>IF(AND($A219&gt;='Control Room'!$A$13,$A219&lt;'Control Room'!$A$13+'Control Room'!$B$13,'Process'!BS2=1),1+('Control Room'!$C$13-1)*EXP(-0.5*(($A219-'Control Room'!$A$13-('Control Room'!$B$13-1)/2)/MAX(0.5,'Control Room'!$B$13/4))^2),1)*IF(AND($A219&gt;='Control Room'!$A$14,$A219&lt;'Control Room'!$A$14+'Control Room'!$B$14,'Process'!BS3=1),1+('Control Room'!$C$14-1)*EXP(-0.5*(($A219-'Control Room'!$A$14-('Control Room'!$B$14-1)/2)/MAX(0.5,'Control Room'!$B$14/4))^2),1)*IF(AND($A219&gt;='Control Room'!$A$15,$A219&lt;'Control Room'!$A$15+'Control Room'!$B$15,'Process'!BS4=1),1+('Control Room'!$C$15-1)*EXP(-0.5*(($A219-'Control Room'!$A$15-('Control Room'!$B$15-1)/2)/MAX(0.5,'Control Room'!$B$15/4))^2),1)*IF(AND($A219&gt;='Control Room'!$A$16,$A219&lt;'Control Room'!$A$16+'Control Room'!$B$16,'Process'!BS5=1),1+('Control Room'!$C$16-1)*EXP(-0.5*(($A219-'Control Room'!$A$16-('Control Room'!$B$16-1)/2)/MAX(0.5,'Control Room'!$B$16/4))^2),1)</x:f>
        <x:v>1</x:v>
      </x:c>
      <x:c r="AU219" s="9" t="n">
        <x:f>MOD(AV218*16807,2147483647)</x:f>
        <x:v>1506811721</x:v>
      </x:c>
      <x:c r="AV219" s="9" t="n">
        <x:f>MOD(AU219*16807,2147483647)</x:f>
        <x:v>1857429423</x:v>
      </x:c>
      <x:c r="AW219" s="17" t="n">
        <x:f>IF('Control Room'!$B$5="Normal",'Control Room'!$B$7+'Control Room'!$D$7*SQRT(-2*LN(MAX(0.000000000001,AU219/2147483647)))*COS(2*PI()*AV219/2147483647),'Control Room'!$B$8+('Control Room'!$D$8-'Control Room'!$B$8)*AU219/2147483647)</x:f>
        <x:v>1050.0774657658633</x:v>
      </x:c>
      <x:c r="AX219" s="17" t="n">
        <x:f>IF('Control Room'!$B$5="Normal",'Control Room'!$B$7,('Control Room'!$B$8+'Control Room'!$D$8)/2)+'Control Room'!$B$9*(AX218-IF('Control Room'!$B$5="Normal",'Control Room'!$B$7,('Control Room'!$B$8+'Control Room'!$D$8)/2))+SQRT(1-'Control Room'!$B$9^2)*(AW219-IF('Control Room'!$B$5="Normal",'Control Room'!$B$7,('Control Room'!$B$8+'Control Room'!$D$8)/2))</x:f>
        <x:v>1103.8443707479507</x:v>
      </x:c>
      <x:c r="AY219" s="17" t="n">
        <x:f>IF(AND($A219&gt;='Control Room'!$A$13,$A219&lt;'Control Room'!$A$13+'Control Room'!$B$13,'Process'!BT2=1),1+('Control Room'!$C$13-1)*EXP(-0.5*(($A219-'Control Room'!$A$13-('Control Room'!$B$13-1)/2)/MAX(0.5,'Control Room'!$B$13/4))^2),1)*IF(AND($A219&gt;='Control Room'!$A$14,$A219&lt;'Control Room'!$A$14+'Control Room'!$B$14,'Process'!BT3=1),1+('Control Room'!$C$14-1)*EXP(-0.5*(($A219-'Control Room'!$A$14-('Control Room'!$B$14-1)/2)/MAX(0.5,'Control Room'!$B$14/4))^2),1)*IF(AND($A219&gt;='Control Room'!$A$15,$A219&lt;'Control Room'!$A$15+'Control Room'!$B$15,'Process'!BT4=1),1+('Control Room'!$C$15-1)*EXP(-0.5*(($A219-'Control Room'!$A$15-('Control Room'!$B$15-1)/2)/MAX(0.5,'Control Room'!$B$15/4))^2),1)*IF(AND($A219&gt;='Control Room'!$A$16,$A219&lt;'Control Room'!$A$16+'Control Room'!$B$16,'Process'!BT5=1),1+('Control Room'!$C$16-1)*EXP(-0.5*(($A219-'Control Room'!$A$16-('Control Room'!$B$16-1)/2)/MAX(0.5,'Control Room'!$B$16/4))^2),1)</x:f>
        <x:v>1</x:v>
      </x:c>
      <x:c r="AZ219" s="9" t="n">
        <x:f>MOD(BA218*16807,2147483647)</x:f>
        <x:v>2134124255</x:v>
      </x:c>
      <x:c r="BA219" s="9" t="n">
        <x:f>MOD(AZ219*16807,2147483647)</x:f>
        <x:v>954481591</x:v>
      </x:c>
      <x:c r="BB219" s="17" t="n">
        <x:f>IF('Control Room'!$B$5="Normal",'Control Room'!$B$7+'Control Room'!$D$7*SQRT(-2*LN(MAX(0.000000000001,AZ219/2147483647)))*COS(2*PI()*BA219/2147483647),'Control Room'!$B$8+('Control Room'!$D$8-'Control Room'!$B$8)*AZ219/2147483647)</x:f>
        <x:v>990.5513564983171</x:v>
      </x:c>
      <x:c r="BC219" s="17" t="n">
        <x:f>IF('Control Room'!$B$5="Normal",'Control Room'!$B$7,('Control Room'!$B$8+'Control Room'!$D$8)/2)+'Control Room'!$B$9*(BC218-IF('Control Room'!$B$5="Normal",'Control Room'!$B$7,('Control Room'!$B$8+'Control Room'!$D$8)/2))+SQRT(1-'Control Room'!$B$9^2)*(BB219-IF('Control Room'!$B$5="Normal",'Control Room'!$B$7,('Control Room'!$B$8+'Control Room'!$D$8)/2))</x:f>
        <x:v>874.0552279355732</x:v>
      </x:c>
      <x:c r="BD219" s="17" t="n">
        <x:f>IF(AND($A219&gt;='Control Room'!$A$13,$A219&lt;'Control Room'!$A$13+'Control Room'!$B$13,'Process'!BU2=1),1+('Control Room'!$C$13-1)*EXP(-0.5*(($A219-'Control Room'!$A$13-('Control Room'!$B$13-1)/2)/MAX(0.5,'Control Room'!$B$13/4))^2),1)*IF(AND($A219&gt;='Control Room'!$A$14,$A219&lt;'Control Room'!$A$14+'Control Room'!$B$14,'Process'!BU3=1),1+('Control Room'!$C$14-1)*EXP(-0.5*(($A219-'Control Room'!$A$14-('Control Room'!$B$14-1)/2)/MAX(0.5,'Control Room'!$B$14/4))^2),1)*IF(AND($A219&gt;='Control Room'!$A$15,$A219&lt;'Control Room'!$A$15+'Control Room'!$B$15,'Process'!BU4=1),1+('Control Room'!$C$15-1)*EXP(-0.5*(($A219-'Control Room'!$A$15-('Control Room'!$B$15-1)/2)/MAX(0.5,'Control Room'!$B$15/4))^2),1)*IF(AND($A219&gt;='Control Room'!$A$16,$A219&lt;'Control Room'!$A$16+'Control Room'!$B$16,'Process'!BU5=1),1+('Control Room'!$C$16-1)*EXP(-0.5*(($A219-'Control Room'!$A$16-('Control Room'!$B$16-1)/2)/MAX(0.5,'Control Room'!$B$16/4))^2),1)</x:f>
        <x:v>1</x:v>
      </x:c>
      <x:c r="BE219" s="9" t="n">
        <x:f>MOD(BF218*16807,2147483647)</x:f>
        <x:v>613953142</x:v>
      </x:c>
      <x:c r="BF219" s="9" t="n">
        <x:f>MOD(BE219*16807,2147483647)</x:f>
        <x:v>51533759</x:v>
      </x:c>
      <x:c r="BG219" s="17" t="n">
        <x:f>IF('Control Room'!$B$5="Normal",'Control Room'!$B$7+'Control Room'!$D$7*SQRT(-2*LN(MAX(0.000000000001,BE219/2147483647)))*COS(2*PI()*BF219/2147483647),'Control Room'!$B$8+('Control Room'!$D$8-'Control Room'!$B$8)*BE219/2147483647)</x:f>
        <x:v>1140.807983436102</x:v>
      </x:c>
      <x:c r="BH219" s="17" t="n">
        <x:f>IF('Control Room'!$B$5="Normal",'Control Room'!$B$7,('Control Room'!$B$8+'Control Room'!$D$8)/2)+'Control Room'!$B$9*(BH218-IF('Control Room'!$B$5="Normal",'Control Room'!$B$7,('Control Room'!$B$8+'Control Room'!$D$8)/2))+SQRT(1-'Control Room'!$B$9^2)*(BG219-IF('Control Room'!$B$5="Normal",'Control Room'!$B$7,('Control Room'!$B$8+'Control Room'!$D$8)/2))</x:f>
        <x:v>1044.032993989014</x:v>
      </x:c>
      <x:c r="BI219" s="17" t="n">
        <x:f>IF(AND($A219&gt;='Control Room'!$A$13,$A219&lt;'Control Room'!$A$13+'Control Room'!$B$13,'Process'!BV2=1),1+('Control Room'!$C$13-1)*EXP(-0.5*(($A219-'Control Room'!$A$13-('Control Room'!$B$13-1)/2)/MAX(0.5,'Control Room'!$B$13/4))^2),1)*IF(AND($A219&gt;='Control Room'!$A$14,$A219&lt;'Control Room'!$A$14+'Control Room'!$B$14,'Process'!BV3=1),1+('Control Room'!$C$14-1)*EXP(-0.5*(($A219-'Control Room'!$A$14-('Control Room'!$B$14-1)/2)/MAX(0.5,'Control Room'!$B$14/4))^2),1)*IF(AND($A219&gt;='Control Room'!$A$15,$A219&lt;'Control Room'!$A$15+'Control Room'!$B$15,'Process'!BV4=1),1+('Control Room'!$C$15-1)*EXP(-0.5*(($A219-'Control Room'!$A$15-('Control Room'!$B$15-1)/2)/MAX(0.5,'Control Room'!$B$15/4))^2),1)*IF(AND($A219&gt;='Control Room'!$A$16,$A219&lt;'Control Room'!$A$16+'Control Room'!$B$16,'Process'!BV5=1),1+('Control Room'!$C$16-1)*EXP(-0.5*(($A219-'Control Room'!$A$16-('Control Room'!$B$16-1)/2)/MAX(0.5,'Control Room'!$B$16/4))^2),1)</x:f>
        <x:v>1</x:v>
      </x:c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Z219" t="str">
        <x:f>IF('Data'!A219="","",TEXT('Data'!A219,"mm-dd"))</x:f>
      </x:c>
    </x:row>
    <x:row r="220" ht="21" customHeight="1">
      <x:c r="A220" s="15" t="n">
        <x:f>'Control Room'!$B$1+218</x:f>
        <x:v>73209</x:v>
      </x:c>
      <x:c r="B220" s="9" t="n">
        <x:f>MOD(C219*16807,2147483647)</x:f>
        <x:v>337014891</x:v>
      </x:c>
      <x:c r="C220" s="9" t="n">
        <x:f>MOD(B220*16807,2147483647)</x:f>
        <x:v>1294895898</x:v>
      </x:c>
      <x:c r="D220" s="17" t="n">
        <x:f>IF('Control Room'!$B$5="Normal",'Control Room'!$B$7+'Control Room'!$D$7*SQRT(-2*LN(MAX(0.000000000001,B220/2147483647)))*COS(2*PI()*C220/2147483647),'Control Room'!$B$8+('Control Room'!$D$8-'Control Room'!$B$8)*B220/2147483647)</x:f>
        <x:v>861.8039979441514</x:v>
      </x:c>
      <x:c r="E220" s="17" t="n">
        <x:f>IF('Control Room'!$B$5="Normal",'Control Room'!$B$7,('Control Room'!$B$8+'Control Room'!$D$8)/2)+'Control Room'!$B$9*(E219-IF('Control Room'!$B$5="Normal",'Control Room'!$B$7,('Control Room'!$B$8+'Control Room'!$D$8)/2))+SQRT(1-'Control Room'!$B$9^2)*(D220-IF('Control Room'!$B$5="Normal",'Control Room'!$B$7,('Control Room'!$B$8+'Control Room'!$D$8)/2))</x:f>
        <x:v>810.93311517338</x:v>
      </x:c>
      <x:c r="F220" s="17" t="n">
        <x:f>IF(AND($A220&gt;='Control Room'!$A$13,$A220&lt;'Control Room'!$A$13+'Control Room'!$B$13,'Process'!BK2=1),1+('Control Room'!$C$13-1)*EXP(-0.5*(($A220-'Control Room'!$A$13-('Control Room'!$B$13-1)/2)/MAX(0.5,'Control Room'!$B$13/4))^2),1)*IF(AND($A220&gt;='Control Room'!$A$14,$A220&lt;'Control Room'!$A$14+'Control Room'!$B$14,'Process'!BK3=1),1+('Control Room'!$C$14-1)*EXP(-0.5*(($A220-'Control Room'!$A$14-('Control Room'!$B$14-1)/2)/MAX(0.5,'Control Room'!$B$14/4))^2),1)*IF(AND($A220&gt;='Control Room'!$A$15,$A220&lt;'Control Room'!$A$15+'Control Room'!$B$15,'Process'!BK4=1),1+('Control Room'!$C$15-1)*EXP(-0.5*(($A220-'Control Room'!$A$15-('Control Room'!$B$15-1)/2)/MAX(0.5,'Control Room'!$B$15/4))^2),1)*IF(AND($A220&gt;='Control Room'!$A$16,$A220&lt;'Control Room'!$A$16+'Control Room'!$B$16,'Process'!BK5=1),1+('Control Room'!$C$16-1)*EXP(-0.5*(($A220-'Control Room'!$A$16-('Control Room'!$B$16-1)/2)/MAX(0.5,'Control Room'!$B$16/4))^2),1)</x:f>
        <x:v>1</x:v>
      </x:c>
      <x:c r="G220" s="9" t="n">
        <x:f>MOD(H219*16807,2147483647)</x:f>
        <x:v>759735816</x:v>
      </x:c>
      <x:c r="H220" s="9" t="n">
        <x:f>MOD(G220*16807,2147483647)</x:f>
        <x:v>2089578097</x:v>
      </x:c>
      <x:c r="I220" s="17" t="n">
        <x:f>IF('Control Room'!$B$5="Normal",'Control Room'!$B$7+'Control Room'!$D$7*SQRT(-2*LN(MAX(0.000000000001,G220/2147483647)))*COS(2*PI()*H220/2147483647),'Control Room'!$B$8+('Control Room'!$D$8-'Control Room'!$B$8)*G220/2147483647)</x:f>
        <x:v>1127.8848955387489</x:v>
      </x:c>
      <x:c r="J220" s="17" t="n">
        <x:f>IF('Control Room'!$B$5="Normal",'Control Room'!$B$7,('Control Room'!$B$8+'Control Room'!$D$8)/2)+'Control Room'!$B$9*(J219-IF('Control Room'!$B$5="Normal",'Control Room'!$B$7,('Control Room'!$B$8+'Control Room'!$D$8)/2))+SQRT(1-'Control Room'!$B$9^2)*(I220-IF('Control Room'!$B$5="Normal",'Control Room'!$B$7,('Control Room'!$B$8+'Control Room'!$D$8)/2))</x:f>
        <x:v>1209.558013941462</x:v>
      </x:c>
      <x:c r="K220" s="17" t="n">
        <x:f>IF(AND($A220&gt;='Control Room'!$A$13,$A220&lt;'Control Room'!$A$13+'Control Room'!$B$13,'Process'!BL2=1),1+('Control Room'!$C$13-1)*EXP(-0.5*(($A220-'Control Room'!$A$13-('Control Room'!$B$13-1)/2)/MAX(0.5,'Control Room'!$B$13/4))^2),1)*IF(AND($A220&gt;='Control Room'!$A$14,$A220&lt;'Control Room'!$A$14+'Control Room'!$B$14,'Process'!BL3=1),1+('Control Room'!$C$14-1)*EXP(-0.5*(($A220-'Control Room'!$A$14-('Control Room'!$B$14-1)/2)/MAX(0.5,'Control Room'!$B$14/4))^2),1)*IF(AND($A220&gt;='Control Room'!$A$15,$A220&lt;'Control Room'!$A$15+'Control Room'!$B$15,'Process'!BL4=1),1+('Control Room'!$C$15-1)*EXP(-0.5*(($A220-'Control Room'!$A$15-('Control Room'!$B$15-1)/2)/MAX(0.5,'Control Room'!$B$15/4))^2),1)*IF(AND($A220&gt;='Control Room'!$A$16,$A220&lt;'Control Room'!$A$16+'Control Room'!$B$16,'Process'!BL5=1),1+('Control Room'!$C$16-1)*EXP(-0.5*(($A220-'Control Room'!$A$16-('Control Room'!$B$16-1)/2)/MAX(0.5,'Control Room'!$B$16/4))^2),1)</x:f>
        <x:v>1</x:v>
      </x:c>
      <x:c r="L220" s="9" t="n">
        <x:f>MOD(M219*16807,2147483647)</x:f>
        <x:v>1182456741</x:v>
      </x:c>
      <x:c r="M220" s="9" t="n">
        <x:f>MOD(L220*16807,2147483647)</x:f>
        <x:v>736776649</x:v>
      </x:c>
      <x:c r="N220" s="17" t="n">
        <x:f>IF('Control Room'!$B$5="Normal",'Control Room'!$B$7+'Control Room'!$D$7*SQRT(-2*LN(MAX(0.000000000001,L220/2147483647)))*COS(2*PI()*M220/2147483647),'Control Room'!$B$8+('Control Room'!$D$8-'Control Room'!$B$8)*L220/2147483647)</x:f>
        <x:v>945.7173353198559</x:v>
      </x:c>
      <x:c r="O220" s="17" t="n">
        <x:f>IF('Control Room'!$B$5="Normal",'Control Room'!$B$7,('Control Room'!$B$8+'Control Room'!$D$8)/2)+'Control Room'!$B$9*(O219-IF('Control Room'!$B$5="Normal",'Control Room'!$B$7,('Control Room'!$B$8+'Control Room'!$D$8)/2))+SQRT(1-'Control Room'!$B$9^2)*(N220-IF('Control Room'!$B$5="Normal",'Control Room'!$B$7,('Control Room'!$B$8+'Control Room'!$D$8)/2))</x:f>
        <x:v>1037.4713366412939</x:v>
      </x:c>
      <x:c r="P220" s="17" t="n">
        <x:f>IF(AND($A220&gt;='Control Room'!$A$13,$A220&lt;'Control Room'!$A$13+'Control Room'!$B$13,'Process'!BM2=1),1+('Control Room'!$C$13-1)*EXP(-0.5*(($A220-'Control Room'!$A$13-('Control Room'!$B$13-1)/2)/MAX(0.5,'Control Room'!$B$13/4))^2),1)*IF(AND($A220&gt;='Control Room'!$A$14,$A220&lt;'Control Room'!$A$14+'Control Room'!$B$14,'Process'!BM3=1),1+('Control Room'!$C$14-1)*EXP(-0.5*(($A220-'Control Room'!$A$14-('Control Room'!$B$14-1)/2)/MAX(0.5,'Control Room'!$B$14/4))^2),1)*IF(AND($A220&gt;='Control Room'!$A$15,$A220&lt;'Control Room'!$A$15+'Control Room'!$B$15,'Process'!BM4=1),1+('Control Room'!$C$15-1)*EXP(-0.5*(($A220-'Control Room'!$A$15-('Control Room'!$B$15-1)/2)/MAX(0.5,'Control Room'!$B$15/4))^2),1)*IF(AND($A220&gt;='Control Room'!$A$16,$A220&lt;'Control Room'!$A$16+'Control Room'!$B$16,'Process'!BM5=1),1+('Control Room'!$C$16-1)*EXP(-0.5*(($A220-'Control Room'!$A$16-('Control Room'!$B$16-1)/2)/MAX(0.5,'Control Room'!$B$16/4))^2),1)</x:f>
        <x:v>1</x:v>
      </x:c>
      <x:c r="Q220" s="9" t="n">
        <x:f>MOD(R219*16807,2147483647)</x:f>
        <x:v>1605177666</x:v>
      </x:c>
      <x:c r="R220" s="9" t="n">
        <x:f>MOD(Q220*16807,2147483647)</x:f>
        <x:v>1531458848</x:v>
      </x:c>
      <x:c r="S220" s="17" t="n">
        <x:f>IF('Control Room'!$B$5="Normal",'Control Room'!$B$7+'Control Room'!$D$7*SQRT(-2*LN(MAX(0.000000000001,Q220/2147483647)))*COS(2*PI()*R220/2147483647),'Control Room'!$B$8+('Control Room'!$D$8-'Control Room'!$B$8)*Q220/2147483647)</x:f>
        <x:v>984.2390066479418</x:v>
      </x:c>
      <x:c r="T220" s="17" t="n">
        <x:f>IF('Control Room'!$B$5="Normal",'Control Room'!$B$7,('Control Room'!$B$8+'Control Room'!$D$8)/2)+'Control Room'!$B$9*(T219-IF('Control Room'!$B$5="Normal",'Control Room'!$B$7,('Control Room'!$B$8+'Control Room'!$D$8)/2))+SQRT(1-'Control Room'!$B$9^2)*(S220-IF('Control Room'!$B$5="Normal",'Control Room'!$B$7,('Control Room'!$B$8+'Control Room'!$D$8)/2))</x:f>
        <x:v>945.8639141490218</x:v>
      </x:c>
      <x:c r="U220" s="17" t="n">
        <x:f>IF(AND($A220&gt;='Control Room'!$A$13,$A220&lt;'Control Room'!$A$13+'Control Room'!$B$13,'Process'!BN2=1),1+('Control Room'!$C$13-1)*EXP(-0.5*(($A220-'Control Room'!$A$13-('Control Room'!$B$13-1)/2)/MAX(0.5,'Control Room'!$B$13/4))^2),1)*IF(AND($A220&gt;='Control Room'!$A$14,$A220&lt;'Control Room'!$A$14+'Control Room'!$B$14,'Process'!BN3=1),1+('Control Room'!$C$14-1)*EXP(-0.5*(($A220-'Control Room'!$A$14-('Control Room'!$B$14-1)/2)/MAX(0.5,'Control Room'!$B$14/4))^2),1)*IF(AND($A220&gt;='Control Room'!$A$15,$A220&lt;'Control Room'!$A$15+'Control Room'!$B$15,'Process'!BN4=1),1+('Control Room'!$C$15-1)*EXP(-0.5*(($A220-'Control Room'!$A$15-('Control Room'!$B$15-1)/2)/MAX(0.5,'Control Room'!$B$15/4))^2),1)*IF(AND($A220&gt;='Control Room'!$A$16,$A220&lt;'Control Room'!$A$16+'Control Room'!$B$16,'Process'!BN5=1),1+('Control Room'!$C$16-1)*EXP(-0.5*(($A220-'Control Room'!$A$16-('Control Room'!$B$16-1)/2)/MAX(0.5,'Control Room'!$B$16/4))^2),1)</x:f>
        <x:v>1</x:v>
      </x:c>
      <x:c r="V220" s="9" t="n">
        <x:f>MOD(W219*16807,2147483647)</x:f>
        <x:v>2027898591</x:v>
      </x:c>
      <x:c r="W220" s="9" t="n">
        <x:f>MOD(V220*16807,2147483647)</x:f>
        <x:v>178657400</x:v>
      </x:c>
      <x:c r="X220" s="17" t="n">
        <x:f>IF('Control Room'!$B$5="Normal",'Control Room'!$B$7+'Control Room'!$D$7*SQRT(-2*LN(MAX(0.000000000001,V220/2147483647)))*COS(2*PI()*W220/2147483647),'Control Room'!$B$8+('Control Room'!$D$8-'Control Room'!$B$8)*V220/2147483647)</x:f>
        <x:v>1026.3980846681707</x:v>
      </x:c>
      <x:c r="Y220" s="17" t="n">
        <x:f>IF('Control Room'!$B$5="Normal",'Control Room'!$B$7,('Control Room'!$B$8+'Control Room'!$D$8)/2)+'Control Room'!$B$9*(Y219-IF('Control Room'!$B$5="Normal",'Control Room'!$B$7,('Control Room'!$B$8+'Control Room'!$D$8)/2))+SQRT(1-'Control Room'!$B$9^2)*(X220-IF('Control Room'!$B$5="Normal",'Control Room'!$B$7,('Control Room'!$B$8+'Control Room'!$D$8)/2))</x:f>
        <x:v>1086.5737550138901</x:v>
      </x:c>
      <x:c r="Z220" s="17" t="n">
        <x:f>IF(AND($A220&gt;='Control Room'!$A$13,$A220&lt;'Control Room'!$A$13+'Control Room'!$B$13,'Process'!BO2=1),1+('Control Room'!$C$13-1)*EXP(-0.5*(($A220-'Control Room'!$A$13-('Control Room'!$B$13-1)/2)/MAX(0.5,'Control Room'!$B$13/4))^2),1)*IF(AND($A220&gt;='Control Room'!$A$14,$A220&lt;'Control Room'!$A$14+'Control Room'!$B$14,'Process'!BO3=1),1+('Control Room'!$C$14-1)*EXP(-0.5*(($A220-'Control Room'!$A$14-('Control Room'!$B$14-1)/2)/MAX(0.5,'Control Room'!$B$14/4))^2),1)*IF(AND($A220&gt;='Control Room'!$A$15,$A220&lt;'Control Room'!$A$15+'Control Room'!$B$15,'Process'!BO4=1),1+('Control Room'!$C$15-1)*EXP(-0.5*(($A220-'Control Room'!$A$15-('Control Room'!$B$15-1)/2)/MAX(0.5,'Control Room'!$B$15/4))^2),1)*IF(AND($A220&gt;='Control Room'!$A$16,$A220&lt;'Control Room'!$A$16+'Control Room'!$B$16,'Process'!BO5=1),1+('Control Room'!$C$16-1)*EXP(-0.5*(($A220-'Control Room'!$A$16-('Control Room'!$B$16-1)/2)/MAX(0.5,'Control Room'!$B$16/4))^2),1)</x:f>
        <x:v>1</x:v>
      </x:c>
      <x:c r="AA220" s="9" t="n">
        <x:f>MOD(AB219*16807,2147483647)</x:f>
        <x:v>303135869</x:v>
      </x:c>
      <x:c r="AB220" s="9" t="n">
        <x:f>MOD(AA220*16807,2147483647)</x:f>
        <x:v>973339599</x:v>
      </x:c>
      <x:c r="AC220" s="17" t="n">
        <x:f>IF('Control Room'!$B$5="Normal",'Control Room'!$B$7+'Control Room'!$D$7*SQRT(-2*LN(MAX(0.000000000001,AA220/2147483647)))*COS(2*PI()*AB220/2147483647),'Control Room'!$B$8+('Control Room'!$D$8-'Control Room'!$B$8)*AA220/2147483647)</x:f>
        <x:v>829.5351309824586</x:v>
      </x:c>
      <x:c r="AD220" s="17" t="n">
        <x:f>IF('Control Room'!$B$5="Normal",'Control Room'!$B$7,('Control Room'!$B$8+'Control Room'!$D$8)/2)+'Control Room'!$B$9*(AD219-IF('Control Room'!$B$5="Normal",'Control Room'!$B$7,('Control Room'!$B$8+'Control Room'!$D$8)/2))+SQRT(1-'Control Room'!$B$9^2)*(AC220-IF('Control Room'!$B$5="Normal",'Control Room'!$B$7,('Control Room'!$B$8+'Control Room'!$D$8)/2))</x:f>
        <x:v>897.9860949326028</x:v>
      </x:c>
      <x:c r="AE220" s="17" t="n">
        <x:f>IF(AND($A220&gt;='Control Room'!$A$13,$A220&lt;'Control Room'!$A$13+'Control Room'!$B$13,'Process'!BP2=1),1+('Control Room'!$C$13-1)*EXP(-0.5*(($A220-'Control Room'!$A$13-('Control Room'!$B$13-1)/2)/MAX(0.5,'Control Room'!$B$13/4))^2),1)*IF(AND($A220&gt;='Control Room'!$A$14,$A220&lt;'Control Room'!$A$14+'Control Room'!$B$14,'Process'!BP3=1),1+('Control Room'!$C$14-1)*EXP(-0.5*(($A220-'Control Room'!$A$14-('Control Room'!$B$14-1)/2)/MAX(0.5,'Control Room'!$B$14/4))^2),1)*IF(AND($A220&gt;='Control Room'!$A$15,$A220&lt;'Control Room'!$A$15+'Control Room'!$B$15,'Process'!BP4=1),1+('Control Room'!$C$15-1)*EXP(-0.5*(($A220-'Control Room'!$A$15-('Control Room'!$B$15-1)/2)/MAX(0.5,'Control Room'!$B$15/4))^2),1)*IF(AND($A220&gt;='Control Room'!$A$16,$A220&lt;'Control Room'!$A$16+'Control Room'!$B$16,'Process'!BP5=1),1+('Control Room'!$C$16-1)*EXP(-0.5*(($A220-'Control Room'!$A$16-('Control Room'!$B$16-1)/2)/MAX(0.5,'Control Room'!$B$16/4))^2),1)</x:f>
        <x:v>1</x:v>
      </x:c>
      <x:c r="AF220" s="9" t="n">
        <x:f>MOD(AG219*16807,2147483647)</x:f>
        <x:v>725856794</x:v>
      </x:c>
      <x:c r="AG220" s="9" t="n">
        <x:f>MOD(AF220*16807,2147483647)</x:f>
        <x:v>1768021798</x:v>
      </x:c>
      <x:c r="AH220" s="17" t="n">
        <x:f>IF('Control Room'!$B$5="Normal",'Control Room'!$B$7+'Control Room'!$D$7*SQRT(-2*LN(MAX(0.000000000001,AF220/2147483647)))*COS(2*PI()*AG220/2147483647),'Control Room'!$B$8+('Control Room'!$D$8-'Control Room'!$B$8)*AF220/2147483647)</x:f>
        <x:v>1058.9154110676743</x:v>
      </x:c>
      <x:c r="AI220" s="17" t="n">
        <x:f>IF('Control Room'!$B$5="Normal",'Control Room'!$B$7,('Control Room'!$B$8+'Control Room'!$D$8)/2)+'Control Room'!$B$9*(AI219-IF('Control Room'!$B$5="Normal",'Control Room'!$B$7,('Control Room'!$B$8+'Control Room'!$D$8)/2))+SQRT(1-'Control Room'!$B$9^2)*(AH220-IF('Control Room'!$B$5="Normal",'Control Room'!$B$7,('Control Room'!$B$8+'Control Room'!$D$8)/2))</x:f>
        <x:v>1035.5638235809206</x:v>
      </x:c>
      <x:c r="AJ220" s="17" t="n">
        <x:f>IF(AND($A220&gt;='Control Room'!$A$13,$A220&lt;'Control Room'!$A$13+'Control Room'!$B$13,'Process'!BQ2=1),1+('Control Room'!$C$13-1)*EXP(-0.5*(($A220-'Control Room'!$A$13-('Control Room'!$B$13-1)/2)/MAX(0.5,'Control Room'!$B$13/4))^2),1)*IF(AND($A220&gt;='Control Room'!$A$14,$A220&lt;'Control Room'!$A$14+'Control Room'!$B$14,'Process'!BQ3=1),1+('Control Room'!$C$14-1)*EXP(-0.5*(($A220-'Control Room'!$A$14-('Control Room'!$B$14-1)/2)/MAX(0.5,'Control Room'!$B$14/4))^2),1)*IF(AND($A220&gt;='Control Room'!$A$15,$A220&lt;'Control Room'!$A$15+'Control Room'!$B$15,'Process'!BQ4=1),1+('Control Room'!$C$15-1)*EXP(-0.5*(($A220-'Control Room'!$A$15-('Control Room'!$B$15-1)/2)/MAX(0.5,'Control Room'!$B$15/4))^2),1)*IF(AND($A220&gt;='Control Room'!$A$16,$A220&lt;'Control Room'!$A$16+'Control Room'!$B$16,'Process'!BQ5=1),1+('Control Room'!$C$16-1)*EXP(-0.5*(($A220-'Control Room'!$A$16-('Control Room'!$B$16-1)/2)/MAX(0.5,'Control Room'!$B$16/4))^2),1)</x:f>
        <x:v>1</x:v>
      </x:c>
      <x:c r="AK220" s="9" t="n">
        <x:f>MOD(AL219*16807,2147483647)</x:f>
        <x:v>1148577719</x:v>
      </x:c>
      <x:c r="AL220" s="9" t="n">
        <x:f>MOD(AK220*16807,2147483647)</x:f>
        <x:v>415220350</x:v>
      </x:c>
      <x:c r="AM220" s="17" t="n">
        <x:f>IF('Control Room'!$B$5="Normal",'Control Room'!$B$7+'Control Room'!$D$7*SQRT(-2*LN(MAX(0.000000000001,AK220/2147483647)))*COS(2*PI()*AL220/2147483647),'Control Room'!$B$8+('Control Room'!$D$8-'Control Room'!$B$8)*AK220/2147483647)</x:f>
        <x:v>1035.084956767648</x:v>
      </x:c>
      <x:c r="AN220" s="17" t="n">
        <x:f>IF('Control Room'!$B$5="Normal",'Control Room'!$B$7,('Control Room'!$B$8+'Control Room'!$D$8)/2)+'Control Room'!$B$9*(AN219-IF('Control Room'!$B$5="Normal",'Control Room'!$B$7,('Control Room'!$B$8+'Control Room'!$D$8)/2))+SQRT(1-'Control Room'!$B$9^2)*(AM220-IF('Control Room'!$B$5="Normal",'Control Room'!$B$7,('Control Room'!$B$8+'Control Room'!$D$8)/2))</x:f>
        <x:v>930.5833888980848</x:v>
      </x:c>
      <x:c r="AO220" s="17" t="n">
        <x:f>IF(AND($A220&gt;='Control Room'!$A$13,$A220&lt;'Control Room'!$A$13+'Control Room'!$B$13,'Process'!BR2=1),1+('Control Room'!$C$13-1)*EXP(-0.5*(($A220-'Control Room'!$A$13-('Control Room'!$B$13-1)/2)/MAX(0.5,'Control Room'!$B$13/4))^2),1)*IF(AND($A220&gt;='Control Room'!$A$14,$A220&lt;'Control Room'!$A$14+'Control Room'!$B$14,'Process'!BR3=1),1+('Control Room'!$C$14-1)*EXP(-0.5*(($A220-'Control Room'!$A$14-('Control Room'!$B$14-1)/2)/MAX(0.5,'Control Room'!$B$14/4))^2),1)*IF(AND($A220&gt;='Control Room'!$A$15,$A220&lt;'Control Room'!$A$15+'Control Room'!$B$15,'Process'!BR4=1),1+('Control Room'!$C$15-1)*EXP(-0.5*(($A220-'Control Room'!$A$15-('Control Room'!$B$15-1)/2)/MAX(0.5,'Control Room'!$B$15/4))^2),1)*IF(AND($A220&gt;='Control Room'!$A$16,$A220&lt;'Control Room'!$A$16+'Control Room'!$B$16,'Process'!BR5=1),1+('Control Room'!$C$16-1)*EXP(-0.5*(($A220-'Control Room'!$A$16-('Control Room'!$B$16-1)/2)/MAX(0.5,'Control Room'!$B$16/4))^2),1)</x:f>
        <x:v>1</x:v>
      </x:c>
      <x:c r="AP220" s="9" t="n">
        <x:f>MOD(AQ219*16807,2147483647)</x:f>
        <x:v>1571298644</x:v>
      </x:c>
      <x:c r="AQ220" s="9" t="n">
        <x:f>MOD(AP220*16807,2147483647)</x:f>
        <x:v>1209902549</x:v>
      </x:c>
      <x:c r="AR220" s="17" t="n">
        <x:f>IF('Control Room'!$B$5="Normal",'Control Room'!$B$7+'Control Room'!$D$7*SQRT(-2*LN(MAX(0.000000000001,AP220/2147483647)))*COS(2*PI()*AQ220/2147483647),'Control Room'!$B$8+('Control Room'!$D$8-'Control Room'!$B$8)*AP220/2147483647)</x:f>
        <x:v>934.431760323854</x:v>
      </x:c>
      <x:c r="AS220" s="17" t="n">
        <x:f>IF('Control Room'!$B$5="Normal",'Control Room'!$B$7,('Control Room'!$B$8+'Control Room'!$D$8)/2)+'Control Room'!$B$9*(AS219-IF('Control Room'!$B$5="Normal",'Control Room'!$B$7,('Control Room'!$B$8+'Control Room'!$D$8)/2))+SQRT(1-'Control Room'!$B$9^2)*(AR220-IF('Control Room'!$B$5="Normal",'Control Room'!$B$7,('Control Room'!$B$8+'Control Room'!$D$8)/2))</x:f>
        <x:v>957.0096454849728</x:v>
      </x:c>
      <x:c r="AT220" s="17" t="n">
        <x:f>IF(AND($A220&gt;='Control Room'!$A$13,$A220&lt;'Control Room'!$A$13+'Control Room'!$B$13,'Process'!BS2=1),1+('Control Room'!$C$13-1)*EXP(-0.5*(($A220-'Control Room'!$A$13-('Control Room'!$B$13-1)/2)/MAX(0.5,'Control Room'!$B$13/4))^2),1)*IF(AND($A220&gt;='Control Room'!$A$14,$A220&lt;'Control Room'!$A$14+'Control Room'!$B$14,'Process'!BS3=1),1+('Control Room'!$C$14-1)*EXP(-0.5*(($A220-'Control Room'!$A$14-('Control Room'!$B$14-1)/2)/MAX(0.5,'Control Room'!$B$14/4))^2),1)*IF(AND($A220&gt;='Control Room'!$A$15,$A220&lt;'Control Room'!$A$15+'Control Room'!$B$15,'Process'!BS4=1),1+('Control Room'!$C$15-1)*EXP(-0.5*(($A220-'Control Room'!$A$15-('Control Room'!$B$15-1)/2)/MAX(0.5,'Control Room'!$B$15/4))^2),1)*IF(AND($A220&gt;='Control Room'!$A$16,$A220&lt;'Control Room'!$A$16+'Control Room'!$B$16,'Process'!BS5=1),1+('Control Room'!$C$16-1)*EXP(-0.5*(($A220-'Control Room'!$A$16-('Control Room'!$B$16-1)/2)/MAX(0.5,'Control Room'!$B$16/4))^2),1)</x:f>
        <x:v>1</x:v>
      </x:c>
      <x:c r="AU220" s="9" t="n">
        <x:f>MOD(AV219*16807,2147483647)</x:f>
        <x:v>1994019569</x:v>
      </x:c>
      <x:c r="AV220" s="9" t="n">
        <x:f>MOD(AU220*16807,2147483647)</x:f>
        <x:v>2004584748</x:v>
      </x:c>
      <x:c r="AW220" s="17" t="n">
        <x:f>IF('Control Room'!$B$5="Normal",'Control Room'!$B$7+'Control Room'!$D$7*SQRT(-2*LN(MAX(0.000000000001,AU220/2147483647)))*COS(2*PI()*AV220/2147483647),'Control Room'!$B$8+('Control Room'!$D$8-'Control Room'!$B$8)*AU220/2147483647)</x:f>
        <x:v>1031.6721241980065</x:v>
      </x:c>
      <x:c r="AX220" s="17" t="n">
        <x:f>IF('Control Room'!$B$5="Normal",'Control Room'!$B$7,('Control Room'!$B$8+'Control Room'!$D$8)/2)+'Control Room'!$B$9*(AX219-IF('Control Room'!$B$5="Normal",'Control Room'!$B$7,('Control Room'!$B$8+'Control Room'!$D$8)/2))+SQRT(1-'Control Room'!$B$9^2)*(AW220-IF('Control Room'!$B$5="Normal",'Control Room'!$B$7,('Control Room'!$B$8+'Control Room'!$D$8)/2))</x:f>
        <x:v>1100.8183756677824</x:v>
      </x:c>
      <x:c r="AY220" s="17" t="n">
        <x:f>IF(AND($A220&gt;='Control Room'!$A$13,$A220&lt;'Control Room'!$A$13+'Control Room'!$B$13,'Process'!BT2=1),1+('Control Room'!$C$13-1)*EXP(-0.5*(($A220-'Control Room'!$A$13-('Control Room'!$B$13-1)/2)/MAX(0.5,'Control Room'!$B$13/4))^2),1)*IF(AND($A220&gt;='Control Room'!$A$14,$A220&lt;'Control Room'!$A$14+'Control Room'!$B$14,'Process'!BT3=1),1+('Control Room'!$C$14-1)*EXP(-0.5*(($A220-'Control Room'!$A$14-('Control Room'!$B$14-1)/2)/MAX(0.5,'Control Room'!$B$14/4))^2),1)*IF(AND($A220&gt;='Control Room'!$A$15,$A220&lt;'Control Room'!$A$15+'Control Room'!$B$15,'Process'!BT4=1),1+('Control Room'!$C$15-1)*EXP(-0.5*(($A220-'Control Room'!$A$15-('Control Room'!$B$15-1)/2)/MAX(0.5,'Control Room'!$B$15/4))^2),1)*IF(AND($A220&gt;='Control Room'!$A$16,$A220&lt;'Control Room'!$A$16+'Control Room'!$B$16,'Process'!BT5=1),1+('Control Room'!$C$16-1)*EXP(-0.5*(($A220-'Control Room'!$A$16-('Control Room'!$B$16-1)/2)/MAX(0.5,'Control Room'!$B$16/4))^2),1)</x:f>
        <x:v>1</x:v>
      </x:c>
      <x:c r="AZ220" s="9" t="n">
        <x:f>MOD(BA219*16807,2147483647)</x:f>
        <x:v>269256847</x:v>
      </x:c>
      <x:c r="BA220" s="9" t="n">
        <x:f>MOD(AZ220*16807,2147483647)</x:f>
        <x:v>651783300</x:v>
      </x:c>
      <x:c r="BB220" s="17" t="n">
        <x:f>IF('Control Room'!$B$5="Normal",'Control Room'!$B$7+'Control Room'!$D$7*SQRT(-2*LN(MAX(0.000000000001,AZ220/2147483647)))*COS(2*PI()*BA220/2147483647),'Control Room'!$B$8+('Control Room'!$D$8-'Control Room'!$B$8)*AZ220/2147483647)</x:f>
        <x:v>939.4916588623296</x:v>
      </x:c>
      <x:c r="BC220" s="17" t="n">
        <x:f>IF('Control Room'!$B$5="Normal",'Control Room'!$B$7,('Control Room'!$B$8+'Control Room'!$D$8)/2)+'Control Room'!$B$9*(BC219-IF('Control Room'!$B$5="Normal",'Control Room'!$B$7,('Control Room'!$B$8+'Control Room'!$D$8)/2))+SQRT(1-'Control Room'!$B$9^2)*(BB220-IF('Control Room'!$B$5="Normal",'Control Room'!$B$7,('Control Room'!$B$8+'Control Room'!$D$8)/2))</x:f>
        <x:v>863.8981974865384</x:v>
      </x:c>
      <x:c r="BD220" s="17" t="n">
        <x:f>IF(AND($A220&gt;='Control Room'!$A$13,$A220&lt;'Control Room'!$A$13+'Control Room'!$B$13,'Process'!BU2=1),1+('Control Room'!$C$13-1)*EXP(-0.5*(($A220-'Control Room'!$A$13-('Control Room'!$B$13-1)/2)/MAX(0.5,'Control Room'!$B$13/4))^2),1)*IF(AND($A220&gt;='Control Room'!$A$14,$A220&lt;'Control Room'!$A$14+'Control Room'!$B$14,'Process'!BU3=1),1+('Control Room'!$C$14-1)*EXP(-0.5*(($A220-'Control Room'!$A$14-('Control Room'!$B$14-1)/2)/MAX(0.5,'Control Room'!$B$14/4))^2),1)*IF(AND($A220&gt;='Control Room'!$A$15,$A220&lt;'Control Room'!$A$15+'Control Room'!$B$15,'Process'!BU4=1),1+('Control Room'!$C$15-1)*EXP(-0.5*(($A220-'Control Room'!$A$15-('Control Room'!$B$15-1)/2)/MAX(0.5,'Control Room'!$B$15/4))^2),1)*IF(AND($A220&gt;='Control Room'!$A$16,$A220&lt;'Control Room'!$A$16+'Control Room'!$B$16,'Process'!BU5=1),1+('Control Room'!$C$16-1)*EXP(-0.5*(($A220-'Control Room'!$A$16-('Control Room'!$B$16-1)/2)/MAX(0.5,'Control Room'!$B$16/4))^2),1)</x:f>
        <x:v>1</x:v>
      </x:c>
      <x:c r="BE220" s="9" t="n">
        <x:f>MOD(BF219*16807,2147483647)</x:f>
        <x:v>691977772</x:v>
      </x:c>
      <x:c r="BF220" s="9" t="n">
        <x:f>MOD(BE220*16807,2147483647)</x:f>
        <x:v>1446465499</x:v>
      </x:c>
      <x:c r="BG220" s="17" t="n">
        <x:f>IF('Control Room'!$B$5="Normal",'Control Room'!$B$7+'Control Room'!$D$7*SQRT(-2*LN(MAX(0.000000000001,BE220/2147483647)))*COS(2*PI()*BF220/2147483647),'Control Room'!$B$8+('Control Room'!$D$8-'Control Room'!$B$8)*BE220/2147483647)</x:f>
        <x:v>937.4202191083833</x:v>
      </x:c>
      <x:c r="BH220" s="17" t="n">
        <x:f>IF('Control Room'!$B$5="Normal",'Control Room'!$B$7,('Control Room'!$B$8+'Control Room'!$D$8)/2)+'Control Room'!$B$9*(BH219-IF('Control Room'!$B$5="Normal",'Control Room'!$B$7,('Control Room'!$B$8+'Control Room'!$D$8)/2))+SQRT(1-'Control Room'!$B$9^2)*(BG220-IF('Control Room'!$B$5="Normal",'Control Room'!$B$7,('Control Room'!$B$8+'Control Room'!$D$8)/2))</x:f>
        <x:v>995.1845904459525</x:v>
      </x:c>
      <x:c r="BI220" s="17" t="n">
        <x:f>IF(AND($A220&gt;='Control Room'!$A$13,$A220&lt;'Control Room'!$A$13+'Control Room'!$B$13,'Process'!BV2=1),1+('Control Room'!$C$13-1)*EXP(-0.5*(($A220-'Control Room'!$A$13-('Control Room'!$B$13-1)/2)/MAX(0.5,'Control Room'!$B$13/4))^2),1)*IF(AND($A220&gt;='Control Room'!$A$14,$A220&lt;'Control Room'!$A$14+'Control Room'!$B$14,'Process'!BV3=1),1+('Control Room'!$C$14-1)*EXP(-0.5*(($A220-'Control Room'!$A$14-('Control Room'!$B$14-1)/2)/MAX(0.5,'Control Room'!$B$14/4))^2),1)*IF(AND($A220&gt;='Control Room'!$A$15,$A220&lt;'Control Room'!$A$15+'Control Room'!$B$15,'Process'!BV4=1),1+('Control Room'!$C$15-1)*EXP(-0.5*(($A220-'Control Room'!$A$15-('Control Room'!$B$15-1)/2)/MAX(0.5,'Control Room'!$B$15/4))^2),1)*IF(AND($A220&gt;='Control Room'!$A$16,$A220&lt;'Control Room'!$A$16+'Control Room'!$B$16,'Process'!BV5=1),1+('Control Room'!$C$16-1)*EXP(-0.5*(($A220-'Control Room'!$A$16-('Control Room'!$B$16-1)/2)/MAX(0.5,'Control Room'!$B$16/4))^2),1)</x:f>
        <x:v>1</x:v>
      </x:c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Z220" t="str">
        <x:f>IF('Data'!A220="","",TEXT('Data'!A220,"mm-dd"))</x:f>
      </x:c>
    </x:row>
    <x:row r="221" ht="21" customHeight="1">
      <x:c r="A221" s="15" t="n">
        <x:f>'Control Room'!$B$1+219</x:f>
        <x:v>73210</x:v>
      </x:c>
      <x:c r="B221" s="9" t="n">
        <x:f>MOD(C220*16807,2147483647)</x:f>
        <x:v>716078988</x:v>
      </x:c>
      <x:c r="C221" s="9" t="n">
        <x:f>MOD(B221*16807,2147483647)</x:f>
        <x:v>641193528</x:v>
      </x:c>
      <x:c r="D221" s="17" t="n">
        <x:f>IF('Control Room'!$B$5="Normal",'Control Room'!$B$7+'Control Room'!$D$7*SQRT(-2*LN(MAX(0.000000000001,B221/2147483647)))*COS(2*PI()*C221/2147483647),'Control Room'!$B$8+('Control Room'!$D$8-'Control Room'!$B$8)*B221/2147483647)</x:f>
        <x:v>959.915706583246</x:v>
      </x:c>
      <x:c r="E221" s="17" t="n">
        <x:f>IF('Control Room'!$B$5="Normal",'Control Room'!$B$7,('Control Room'!$B$8+'Control Room'!$D$8)/2)+'Control Room'!$B$9*(E220-IF('Control Room'!$B$5="Normal",'Control Room'!$B$7,('Control Room'!$B$8+'Control Room'!$D$8)/2))+SQRT(1-'Control Room'!$B$9^2)*(D221-IF('Control Room'!$B$5="Normal",'Control Room'!$B$7,('Control Room'!$B$8+'Control Room'!$D$8)/2))</x:f>
        <x:v>827.4439001864171</x:v>
      </x:c>
      <x:c r="F221" s="17" t="n">
        <x:f>IF(AND($A221&gt;='Control Room'!$A$13,$A221&lt;'Control Room'!$A$13+'Control Room'!$B$13,'Process'!BK2=1),1+('Control Room'!$C$13-1)*EXP(-0.5*(($A221-'Control Room'!$A$13-('Control Room'!$B$13-1)/2)/MAX(0.5,'Control Room'!$B$13/4))^2),1)*IF(AND($A221&gt;='Control Room'!$A$14,$A221&lt;'Control Room'!$A$14+'Control Room'!$B$14,'Process'!BK3=1),1+('Control Room'!$C$14-1)*EXP(-0.5*(($A221-'Control Room'!$A$14-('Control Room'!$B$14-1)/2)/MAX(0.5,'Control Room'!$B$14/4))^2),1)*IF(AND($A221&gt;='Control Room'!$A$15,$A221&lt;'Control Room'!$A$15+'Control Room'!$B$15,'Process'!BK4=1),1+('Control Room'!$C$15-1)*EXP(-0.5*(($A221-'Control Room'!$A$15-('Control Room'!$B$15-1)/2)/MAX(0.5,'Control Room'!$B$15/4))^2),1)*IF(AND($A221&gt;='Control Room'!$A$16,$A221&lt;'Control Room'!$A$16+'Control Room'!$B$16,'Process'!BK5=1),1+('Control Room'!$C$16-1)*EXP(-0.5*(($A221-'Control Room'!$A$16-('Control Room'!$B$16-1)/2)/MAX(0.5,'Control Room'!$B$16/4))^2),1)</x:f>
        <x:v>1</x:v>
      </x:c>
      <x:c r="G221" s="9" t="n">
        <x:f>MOD(H220*16807,2147483647)</x:f>
        <x:v>1738996888</x:v>
      </x:c>
      <x:c r="H221" s="9" t="n">
        <x:f>MOD(G221*16807,2147483647)</x:f>
        <x:v>68260946</x:v>
      </x:c>
      <x:c r="I221" s="17" t="n">
        <x:f>IF('Control Room'!$B$5="Normal",'Control Room'!$B$7+'Control Room'!$D$7*SQRT(-2*LN(MAX(0.000000000001,G221/2147483647)))*COS(2*PI()*H221/2147483647),'Control Room'!$B$8+('Control Room'!$D$8-'Control Room'!$B$8)*G221/2147483647)</x:f>
        <x:v>1057.3016185748033</x:v>
      </x:c>
      <x:c r="J221" s="17" t="n">
        <x:f>IF('Control Room'!$B$5="Normal",'Control Room'!$B$7,('Control Room'!$B$8+'Control Room'!$D$8)/2)+'Control Room'!$B$9*(J220-IF('Control Room'!$B$5="Normal",'Control Room'!$B$7,('Control Room'!$B$8+'Control Room'!$D$8)/2))+SQRT(1-'Control Room'!$B$9^2)*(I221-IF('Control Room'!$B$5="Normal",'Control Room'!$B$7,('Control Room'!$B$8+'Control Room'!$D$8)/2))</x:f>
        <x:v>1199.3134298909893</x:v>
      </x:c>
      <x:c r="K221" s="17" t="n">
        <x:f>IF(AND($A221&gt;='Control Room'!$A$13,$A221&lt;'Control Room'!$A$13+'Control Room'!$B$13,'Process'!BL2=1),1+('Control Room'!$C$13-1)*EXP(-0.5*(($A221-'Control Room'!$A$13-('Control Room'!$B$13-1)/2)/MAX(0.5,'Control Room'!$B$13/4))^2),1)*IF(AND($A221&gt;='Control Room'!$A$14,$A221&lt;'Control Room'!$A$14+'Control Room'!$B$14,'Process'!BL3=1),1+('Control Room'!$C$14-1)*EXP(-0.5*(($A221-'Control Room'!$A$14-('Control Room'!$B$14-1)/2)/MAX(0.5,'Control Room'!$B$14/4))^2),1)*IF(AND($A221&gt;='Control Room'!$A$15,$A221&lt;'Control Room'!$A$15+'Control Room'!$B$15,'Process'!BL4=1),1+('Control Room'!$C$15-1)*EXP(-0.5*(($A221-'Control Room'!$A$15-('Control Room'!$B$15-1)/2)/MAX(0.5,'Control Room'!$B$15/4))^2),1)*IF(AND($A221&gt;='Control Room'!$A$16,$A221&lt;'Control Room'!$A$16+'Control Room'!$B$16,'Process'!BL5=1),1+('Control Room'!$C$16-1)*EXP(-0.5*(($A221-'Control Room'!$A$16-('Control Room'!$B$16-1)/2)/MAX(0.5,'Control Room'!$B$16/4))^2),1)</x:f>
        <x:v>1</x:v>
      </x:c>
      <x:c r="L221" s="9" t="n">
        <x:f>MOD(M220*16807,2147483647)</x:f>
        <x:v>614431141</x:v>
      </x:c>
      <x:c r="M221" s="9" t="n">
        <x:f>MOD(L221*16807,2147483647)</x:f>
        <x:v>1642812011</x:v>
      </x:c>
      <x:c r="N221" s="17" t="n">
        <x:f>IF('Control Room'!$B$5="Normal",'Control Room'!$B$7+'Control Room'!$D$7*SQRT(-2*LN(MAX(0.000000000001,L221/2147483647)))*COS(2*PI()*M221/2147483647),'Control Room'!$B$8+('Control Room'!$D$8-'Control Room'!$B$8)*L221/2147483647)</x:f>
        <x:v>1013.3937223207968</x:v>
      </x:c>
      <x:c r="O221" s="17" t="n">
        <x:f>IF('Control Room'!$B$5="Normal",'Control Room'!$B$7,('Control Room'!$B$8+'Control Room'!$D$8)/2)+'Control Room'!$B$9*(O220-IF('Control Room'!$B$5="Normal",'Control Room'!$B$7,('Control Room'!$B$8+'Control Room'!$D$8)/2))+SQRT(1-'Control Room'!$B$9^2)*(N221-IF('Control Room'!$B$5="Normal",'Control Room'!$B$7,('Control Room'!$B$8+'Control Room'!$D$8)/2))</x:f>
        <x:v>1037.609159623248</x:v>
      </x:c>
      <x:c r="P221" s="17" t="n">
        <x:f>IF(AND($A221&gt;='Control Room'!$A$13,$A221&lt;'Control Room'!$A$13+'Control Room'!$B$13,'Process'!BM2=1),1+('Control Room'!$C$13-1)*EXP(-0.5*(($A221-'Control Room'!$A$13-('Control Room'!$B$13-1)/2)/MAX(0.5,'Control Room'!$B$13/4))^2),1)*IF(AND($A221&gt;='Control Room'!$A$14,$A221&lt;'Control Room'!$A$14+'Control Room'!$B$14,'Process'!BM3=1),1+('Control Room'!$C$14-1)*EXP(-0.5*(($A221-'Control Room'!$A$14-('Control Room'!$B$14-1)/2)/MAX(0.5,'Control Room'!$B$14/4))^2),1)*IF(AND($A221&gt;='Control Room'!$A$15,$A221&lt;'Control Room'!$A$15+'Control Room'!$B$15,'Process'!BM4=1),1+('Control Room'!$C$15-1)*EXP(-0.5*(($A221-'Control Room'!$A$15-('Control Room'!$B$15-1)/2)/MAX(0.5,'Control Room'!$B$15/4))^2),1)*IF(AND($A221&gt;='Control Room'!$A$16,$A221&lt;'Control Room'!$A$16+'Control Room'!$B$16,'Process'!BM5=1),1+('Control Room'!$C$16-1)*EXP(-0.5*(($A221-'Control Room'!$A$16-('Control Room'!$B$16-1)/2)/MAX(0.5,'Control Room'!$B$16/4))^2),1)</x:f>
        <x:v>1</x:v>
      </x:c>
      <x:c r="Q221" s="9" t="n">
        <x:f>MOD(R220*16807,2147483647)</x:f>
        <x:v>1637349041</x:v>
      </x:c>
      <x:c r="R221" s="9" t="n">
        <x:f>MOD(Q221*16807,2147483647)</x:f>
        <x:v>1069879429</x:v>
      </x:c>
      <x:c r="S221" s="17" t="n">
        <x:f>IF('Control Room'!$B$5="Normal",'Control Room'!$B$7+'Control Room'!$D$7*SQRT(-2*LN(MAX(0.000000000001,Q221/2147483647)))*COS(2*PI()*R221/2147483647),'Control Room'!$B$8+('Control Room'!$D$8-'Control Room'!$B$8)*Q221/2147483647)</x:f>
        <x:v>933.7189710571571</x:v>
      </x:c>
      <x:c r="T221" s="17" t="n">
        <x:f>IF('Control Room'!$B$5="Normal",'Control Room'!$B$7,('Control Room'!$B$8+'Control Room'!$D$8)/2)+'Control Room'!$B$9*(T220-IF('Control Room'!$B$5="Normal",'Control Room'!$B$7,('Control Room'!$B$8+'Control Room'!$D$8)/2))+SQRT(1-'Control Room'!$B$9^2)*(S221-IF('Control Room'!$B$5="Normal",'Control Room'!$B$7,('Control Room'!$B$8+'Control Room'!$D$8)/2))</x:f>
        <x:v>916.2965429644889</x:v>
      </x:c>
      <x:c r="U221" s="17" t="n">
        <x:f>IF(AND($A221&gt;='Control Room'!$A$13,$A221&lt;'Control Room'!$A$13+'Control Room'!$B$13,'Process'!BN2=1),1+('Control Room'!$C$13-1)*EXP(-0.5*(($A221-'Control Room'!$A$13-('Control Room'!$B$13-1)/2)/MAX(0.5,'Control Room'!$B$13/4))^2),1)*IF(AND($A221&gt;='Control Room'!$A$14,$A221&lt;'Control Room'!$A$14+'Control Room'!$B$14,'Process'!BN3=1),1+('Control Room'!$C$14-1)*EXP(-0.5*(($A221-'Control Room'!$A$14-('Control Room'!$B$14-1)/2)/MAX(0.5,'Control Room'!$B$14/4))^2),1)*IF(AND($A221&gt;='Control Room'!$A$15,$A221&lt;'Control Room'!$A$15+'Control Room'!$B$15,'Process'!BN4=1),1+('Control Room'!$C$15-1)*EXP(-0.5*(($A221-'Control Room'!$A$15-('Control Room'!$B$15-1)/2)/MAX(0.5,'Control Room'!$B$15/4))^2),1)*IF(AND($A221&gt;='Control Room'!$A$16,$A221&lt;'Control Room'!$A$16+'Control Room'!$B$16,'Process'!BN5=1),1+('Control Room'!$C$16-1)*EXP(-0.5*(($A221-'Control Room'!$A$16-('Control Room'!$B$16-1)/2)/MAX(0.5,'Control Room'!$B$16/4))^2),1)</x:f>
        <x:v>1</x:v>
      </x:c>
      <x:c r="V221" s="9" t="n">
        <x:f>MOD(W220*16807,2147483647)</x:f>
        <x:v>512783294</x:v>
      </x:c>
      <x:c r="W221" s="9" t="n">
        <x:f>MOD(V221*16807,2147483647)</x:f>
        <x:v>496946847</x:v>
      </x:c>
      <x:c r="X221" s="17" t="n">
        <x:f>IF('Control Room'!$B$5="Normal",'Control Room'!$B$7+'Control Room'!$D$7*SQRT(-2*LN(MAX(0.000000000001,V221/2147483647)))*COS(2*PI()*W221/2147483647),'Control Room'!$B$8+('Control Room'!$D$8-'Control Room'!$B$8)*V221/2147483647)</x:f>
        <x:v>1017.7523479852479</x:v>
      </x:c>
      <x:c r="Y221" s="17" t="n">
        <x:f>IF('Control Room'!$B$5="Normal",'Control Room'!$B$7,('Control Room'!$B$8+'Control Room'!$D$8)/2)+'Control Room'!$B$9*(Y220-IF('Control Room'!$B$5="Normal",'Control Room'!$B$7,('Control Room'!$B$8+'Control Room'!$D$8)/2))+SQRT(1-'Control Room'!$B$9^2)*(X221-IF('Control Room'!$B$5="Normal",'Control Room'!$B$7,('Control Room'!$B$8+'Control Room'!$D$8)/2))</x:f>
        <x:v>1078.6365846033864</x:v>
      </x:c>
      <x:c r="Z221" s="17" t="n">
        <x:f>IF(AND($A221&gt;='Control Room'!$A$13,$A221&lt;'Control Room'!$A$13+'Control Room'!$B$13,'Process'!BO2=1),1+('Control Room'!$C$13-1)*EXP(-0.5*(($A221-'Control Room'!$A$13-('Control Room'!$B$13-1)/2)/MAX(0.5,'Control Room'!$B$13/4))^2),1)*IF(AND($A221&gt;='Control Room'!$A$14,$A221&lt;'Control Room'!$A$14+'Control Room'!$B$14,'Process'!BO3=1),1+('Control Room'!$C$14-1)*EXP(-0.5*(($A221-'Control Room'!$A$14-('Control Room'!$B$14-1)/2)/MAX(0.5,'Control Room'!$B$14/4))^2),1)*IF(AND($A221&gt;='Control Room'!$A$15,$A221&lt;'Control Room'!$A$15+'Control Room'!$B$15,'Process'!BO4=1),1+('Control Room'!$C$15-1)*EXP(-0.5*(($A221-'Control Room'!$A$15-('Control Room'!$B$15-1)/2)/MAX(0.5,'Control Room'!$B$15/4))^2),1)*IF(AND($A221&gt;='Control Room'!$A$16,$A221&lt;'Control Room'!$A$16+'Control Room'!$B$16,'Process'!BO5=1),1+('Control Room'!$C$16-1)*EXP(-0.5*(($A221-'Control Room'!$A$16-('Control Room'!$B$16-1)/2)/MAX(0.5,'Control Room'!$B$16/4))^2),1)</x:f>
        <x:v>1</x:v>
      </x:c>
      <x:c r="AA221" s="9" t="n">
        <x:f>MOD(AB220*16807,2147483647)</x:f>
        <x:v>1535701194</x:v>
      </x:c>
      <x:c r="AB221" s="9" t="n">
        <x:f>MOD(AA221*16807,2147483647)</x:f>
        <x:v>2071497912</x:v>
      </x:c>
      <x:c r="AC221" s="17" t="n">
        <x:f>IF('Control Room'!$B$5="Normal",'Control Room'!$B$7+'Control Room'!$D$7*SQRT(-2*LN(MAX(0.000000000001,AA221/2147483647)))*COS(2*PI()*AB221/2147483647),'Control Room'!$B$8+('Control Room'!$D$8-'Control Room'!$B$8)*AA221/2147483647)</x:f>
        <x:v>1071.8882678112586</x:v>
      </x:c>
      <x:c r="AD221" s="17" t="n">
        <x:f>IF('Control Room'!$B$5="Normal",'Control Room'!$B$7,('Control Room'!$B$8+'Control Room'!$D$8)/2)+'Control Room'!$B$9*(AD220-IF('Control Room'!$B$5="Normal",'Control Room'!$B$7,('Control Room'!$B$8+'Control Room'!$D$8)/2))+SQRT(1-'Control Room'!$B$9^2)*(AC221-IF('Control Room'!$B$5="Normal",'Control Room'!$B$7,('Control Room'!$B$8+'Control Room'!$D$8)/2))</x:f>
        <x:v>965.4153593325008</x:v>
      </x:c>
      <x:c r="AE221" s="17" t="n">
        <x:f>IF(AND($A221&gt;='Control Room'!$A$13,$A221&lt;'Control Room'!$A$13+'Control Room'!$B$13,'Process'!BP2=1),1+('Control Room'!$C$13-1)*EXP(-0.5*(($A221-'Control Room'!$A$13-('Control Room'!$B$13-1)/2)/MAX(0.5,'Control Room'!$B$13/4))^2),1)*IF(AND($A221&gt;='Control Room'!$A$14,$A221&lt;'Control Room'!$A$14+'Control Room'!$B$14,'Process'!BP3=1),1+('Control Room'!$C$14-1)*EXP(-0.5*(($A221-'Control Room'!$A$14-('Control Room'!$B$14-1)/2)/MAX(0.5,'Control Room'!$B$14/4))^2),1)*IF(AND($A221&gt;='Control Room'!$A$15,$A221&lt;'Control Room'!$A$15+'Control Room'!$B$15,'Process'!BP4=1),1+('Control Room'!$C$15-1)*EXP(-0.5*(($A221-'Control Room'!$A$15-('Control Room'!$B$15-1)/2)/MAX(0.5,'Control Room'!$B$15/4))^2),1)*IF(AND($A221&gt;='Control Room'!$A$16,$A221&lt;'Control Room'!$A$16+'Control Room'!$B$16,'Process'!BP5=1),1+('Control Room'!$C$16-1)*EXP(-0.5*(($A221-'Control Room'!$A$16-('Control Room'!$B$16-1)/2)/MAX(0.5,'Control Room'!$B$16/4))^2),1)</x:f>
        <x:v>1</x:v>
      </x:c>
      <x:c r="AF221" s="9" t="n">
        <x:f>MOD(AG220*16807,2147483647)</x:f>
        <x:v>411135447</x:v>
      </x:c>
      <x:c r="AG221" s="9" t="n">
        <x:f>MOD(AF221*16807,2147483647)</x:f>
        <x:v>1498565330</x:v>
      </x:c>
      <x:c r="AH221" s="17" t="n">
        <x:f>IF('Control Room'!$B$5="Normal",'Control Room'!$B$7+'Control Room'!$D$7*SQRT(-2*LN(MAX(0.000000000001,AF221/2147483647)))*COS(2*PI()*AG221/2147483647),'Control Room'!$B$8+('Control Room'!$D$8-'Control Room'!$B$8)*AF221/2147483647)</x:f>
        <x:v>947.3066952227913</x:v>
      </x:c>
      <x:c r="AI221" s="17" t="n">
        <x:f>IF('Control Room'!$B$5="Normal",'Control Room'!$B$7,('Control Room'!$B$8+'Control Room'!$D$8)/2)+'Control Room'!$B$9*(AI220-IF('Control Room'!$B$5="Normal",'Control Room'!$B$7,('Control Room'!$B$8+'Control Room'!$D$8)/2))+SQRT(1-'Control Room'!$B$9^2)*(AH221-IF('Control Room'!$B$5="Normal",'Control Room'!$B$7,('Control Room'!$B$8+'Control Room'!$D$8)/2))</x:f>
        <x:v>994.7653917445642</x:v>
      </x:c>
      <x:c r="AJ221" s="17" t="n">
        <x:f>IF(AND($A221&gt;='Control Room'!$A$13,$A221&lt;'Control Room'!$A$13+'Control Room'!$B$13,'Process'!BQ2=1),1+('Control Room'!$C$13-1)*EXP(-0.5*(($A221-'Control Room'!$A$13-('Control Room'!$B$13-1)/2)/MAX(0.5,'Control Room'!$B$13/4))^2),1)*IF(AND($A221&gt;='Control Room'!$A$14,$A221&lt;'Control Room'!$A$14+'Control Room'!$B$14,'Process'!BQ3=1),1+('Control Room'!$C$14-1)*EXP(-0.5*(($A221-'Control Room'!$A$14-('Control Room'!$B$14-1)/2)/MAX(0.5,'Control Room'!$B$14/4))^2),1)*IF(AND($A221&gt;='Control Room'!$A$15,$A221&lt;'Control Room'!$A$15+'Control Room'!$B$15,'Process'!BQ4=1),1+('Control Room'!$C$15-1)*EXP(-0.5*(($A221-'Control Room'!$A$15-('Control Room'!$B$15-1)/2)/MAX(0.5,'Control Room'!$B$15/4))^2),1)*IF(AND($A221&gt;='Control Room'!$A$16,$A221&lt;'Control Room'!$A$16+'Control Room'!$B$16,'Process'!BQ5=1),1+('Control Room'!$C$16-1)*EXP(-0.5*(($A221-'Control Room'!$A$16-('Control Room'!$B$16-1)/2)/MAX(0.5,'Control Room'!$B$16/4))^2),1)</x:f>
        <x:v>1</x:v>
      </x:c>
      <x:c r="AK221" s="9" t="n">
        <x:f>MOD(AL220*16807,2147483647)</x:f>
        <x:v>1434053347</x:v>
      </x:c>
      <x:c r="AL221" s="9" t="n">
        <x:f>MOD(AK221*16807,2147483647)</x:f>
        <x:v>925632748</x:v>
      </x:c>
      <x:c r="AM221" s="17" t="n">
        <x:f>IF('Control Room'!$B$5="Normal",'Control Room'!$B$7+'Control Room'!$D$7*SQRT(-2*LN(MAX(0.000000000001,AK221/2147483647)))*COS(2*PI()*AL221/2147483647),'Control Room'!$B$8+('Control Room'!$D$8-'Control Room'!$B$8)*AK221/2147483647)</x:f>
        <x:v>926.5967958394308</x:v>
      </x:c>
      <x:c r="AN221" s="17" t="n">
        <x:f>IF('Control Room'!$B$5="Normal",'Control Room'!$B$7,('Control Room'!$B$8+'Control Room'!$D$8)/2)+'Control Room'!$B$9*(AN220-IF('Control Room'!$B$5="Normal",'Control Room'!$B$7,('Control Room'!$B$8+'Control Room'!$D$8)/2))+SQRT(1-'Control Room'!$B$9^2)*(AM221-IF('Control Room'!$B$5="Normal",'Control Room'!$B$7,('Control Room'!$B$8+'Control Room'!$D$8)/2))</x:f>
        <x:v>899.920821923195</x:v>
      </x:c>
      <x:c r="AO221" s="17" t="n">
        <x:f>IF(AND($A221&gt;='Control Room'!$A$13,$A221&lt;'Control Room'!$A$13+'Control Room'!$B$13,'Process'!BR2=1),1+('Control Room'!$C$13-1)*EXP(-0.5*(($A221-'Control Room'!$A$13-('Control Room'!$B$13-1)/2)/MAX(0.5,'Control Room'!$B$13/4))^2),1)*IF(AND($A221&gt;='Control Room'!$A$14,$A221&lt;'Control Room'!$A$14+'Control Room'!$B$14,'Process'!BR3=1),1+('Control Room'!$C$14-1)*EXP(-0.5*(($A221-'Control Room'!$A$14-('Control Room'!$B$14-1)/2)/MAX(0.5,'Control Room'!$B$14/4))^2),1)*IF(AND($A221&gt;='Control Room'!$A$15,$A221&lt;'Control Room'!$A$15+'Control Room'!$B$15,'Process'!BR4=1),1+('Control Room'!$C$15-1)*EXP(-0.5*(($A221-'Control Room'!$A$15-('Control Room'!$B$15-1)/2)/MAX(0.5,'Control Room'!$B$15/4))^2),1)*IF(AND($A221&gt;='Control Room'!$A$16,$A221&lt;'Control Room'!$A$16+'Control Room'!$B$16,'Process'!BR5=1),1+('Control Room'!$C$16-1)*EXP(-0.5*(($A221-'Control Room'!$A$16-('Control Room'!$B$16-1)/2)/MAX(0.5,'Control Room'!$B$16/4))^2),1)</x:f>
        <x:v>1</x:v>
      </x:c>
      <x:c r="AP221" s="9" t="n">
        <x:f>MOD(AQ220*16807,2147483647)</x:f>
        <x:v>309487600</x:v>
      </x:c>
      <x:c r="AQ221" s="9" t="n">
        <x:f>MOD(AP221*16807,2147483647)</x:f>
        <x:v>352700166</x:v>
      </x:c>
      <x:c r="AR221" s="17" t="n">
        <x:f>IF('Control Room'!$B$5="Normal",'Control Room'!$B$7+'Control Room'!$D$7*SQRT(-2*LN(MAX(0.000000000001,AP221/2147483647)))*COS(2*PI()*AQ221/2147483647),'Control Room'!$B$8+('Control Room'!$D$8-'Control Room'!$B$8)*AP221/2147483647)</x:f>
        <x:v>1090.9041185474202</x:v>
      </x:c>
      <x:c r="AS221" s="17" t="n">
        <x:f>IF('Control Room'!$B$5="Normal",'Control Room'!$B$7,('Control Room'!$B$8+'Control Room'!$D$8)/2)+'Control Room'!$B$9*(AS220-IF('Control Room'!$B$5="Normal",'Control Room'!$B$7,('Control Room'!$B$8+'Control Room'!$D$8)/2))+SQRT(1-'Control Room'!$B$9^2)*(AR221-IF('Control Room'!$B$5="Normal",'Control Room'!$B$7,('Control Room'!$B$8+'Control Room'!$D$8)/2))</x:f>
        <x:v>1023.3534585931624</x:v>
      </x:c>
      <x:c r="AT221" s="17" t="n">
        <x:f>IF(AND($A221&gt;='Control Room'!$A$13,$A221&lt;'Control Room'!$A$13+'Control Room'!$B$13,'Process'!BS2=1),1+('Control Room'!$C$13-1)*EXP(-0.5*(($A221-'Control Room'!$A$13-('Control Room'!$B$13-1)/2)/MAX(0.5,'Control Room'!$B$13/4))^2),1)*IF(AND($A221&gt;='Control Room'!$A$14,$A221&lt;'Control Room'!$A$14+'Control Room'!$B$14,'Process'!BS3=1),1+('Control Room'!$C$14-1)*EXP(-0.5*(($A221-'Control Room'!$A$14-('Control Room'!$B$14-1)/2)/MAX(0.5,'Control Room'!$B$14/4))^2),1)*IF(AND($A221&gt;='Control Room'!$A$15,$A221&lt;'Control Room'!$A$15+'Control Room'!$B$15,'Process'!BS4=1),1+('Control Room'!$C$15-1)*EXP(-0.5*(($A221-'Control Room'!$A$15-('Control Room'!$B$15-1)/2)/MAX(0.5,'Control Room'!$B$15/4))^2),1)*IF(AND($A221&gt;='Control Room'!$A$16,$A221&lt;'Control Room'!$A$16+'Control Room'!$B$16,'Process'!BS5=1),1+('Control Room'!$C$16-1)*EXP(-0.5*(($A221-'Control Room'!$A$16-('Control Room'!$B$16-1)/2)/MAX(0.5,'Control Room'!$B$16/4))^2),1)</x:f>
        <x:v>1</x:v>
      </x:c>
      <x:c r="AU221" s="9" t="n">
        <x:f>MOD(AV220*16807,2147483647)</x:f>
        <x:v>1332405500</x:v>
      </x:c>
      <x:c r="AV221" s="9" t="n">
        <x:f>MOD(AU221*16807,2147483647)</x:f>
        <x:v>1927251231</x:v>
      </x:c>
      <x:c r="AW221" s="17" t="n">
        <x:f>IF('Control Room'!$B$5="Normal",'Control Room'!$B$7+'Control Room'!$D$7*SQRT(-2*LN(MAX(0.000000000001,AU221/2147483647)))*COS(2*PI()*AV221/2147483647),'Control Room'!$B$8+('Control Room'!$D$8-'Control Room'!$B$8)*AU221/2147483647)</x:f>
        <x:v>1070.3018613160914</x:v>
      </x:c>
      <x:c r="AX221" s="17" t="n">
        <x:f>IF('Control Room'!$B$5="Normal",'Control Room'!$B$7,('Control Room'!$B$8+'Control Room'!$D$8)/2)+'Control Room'!$B$9*(AX220-IF('Control Room'!$B$5="Normal",'Control Room'!$B$7,('Control Room'!$B$8+'Control Room'!$D$8)/2))+SQRT(1-'Control Room'!$B$9^2)*(AW221-IF('Control Room'!$B$5="Normal",'Control Room'!$B$7,('Control Room'!$B$8+'Control Room'!$D$8)/2))</x:f>
        <x:v>1122.6317976205687</x:v>
      </x:c>
      <x:c r="AY221" s="17" t="n">
        <x:f>IF(AND($A221&gt;='Control Room'!$A$13,$A221&lt;'Control Room'!$A$13+'Control Room'!$B$13,'Process'!BT2=1),1+('Control Room'!$C$13-1)*EXP(-0.5*(($A221-'Control Room'!$A$13-('Control Room'!$B$13-1)/2)/MAX(0.5,'Control Room'!$B$13/4))^2),1)*IF(AND($A221&gt;='Control Room'!$A$14,$A221&lt;'Control Room'!$A$14+'Control Room'!$B$14,'Process'!BT3=1),1+('Control Room'!$C$14-1)*EXP(-0.5*(($A221-'Control Room'!$A$14-('Control Room'!$B$14-1)/2)/MAX(0.5,'Control Room'!$B$14/4))^2),1)*IF(AND($A221&gt;='Control Room'!$A$15,$A221&lt;'Control Room'!$A$15+'Control Room'!$B$15,'Process'!BT4=1),1+('Control Room'!$C$15-1)*EXP(-0.5*(($A221-'Control Room'!$A$15-('Control Room'!$B$15-1)/2)/MAX(0.5,'Control Room'!$B$15/4))^2),1)*IF(AND($A221&gt;='Control Room'!$A$16,$A221&lt;'Control Room'!$A$16+'Control Room'!$B$16,'Process'!BT5=1),1+('Control Room'!$C$16-1)*EXP(-0.5*(($A221-'Control Room'!$A$16-('Control Room'!$B$16-1)/2)/MAX(0.5,'Control Room'!$B$16/4))^2),1)</x:f>
        <x:v>1</x:v>
      </x:c>
      <x:c r="AZ221" s="9" t="n">
        <x:f>MOD(BA220*16807,2147483647)</x:f>
        <x:v>207839753</x:v>
      </x:c>
      <x:c r="BA221" s="9" t="n">
        <x:f>MOD(AZ221*16807,2147483647)</x:f>
        <x:v>1354318649</x:v>
      </x:c>
      <x:c r="BB221" s="17" t="n">
        <x:f>IF('Control Room'!$B$5="Normal",'Control Room'!$B$7+'Control Room'!$D$7*SQRT(-2*LN(MAX(0.000000000001,AZ221/2147483647)))*COS(2*PI()*BA221/2147483647),'Control Room'!$B$8+('Control Room'!$D$8-'Control Room'!$B$8)*AZ221/2147483647)</x:f>
        <x:v>867.4367360453302</x:v>
      </x:c>
      <x:c r="BC221" s="17" t="n">
        <x:f>IF('Control Room'!$B$5="Normal",'Control Room'!$B$7,('Control Room'!$B$8+'Control Room'!$D$8)/2)+'Control Room'!$B$9*(BC220-IF('Control Room'!$B$5="Normal",'Control Room'!$B$7,('Control Room'!$B$8+'Control Room'!$D$8)/2))+SQRT(1-'Control Room'!$B$9^2)*(BB221-IF('Control Room'!$B$5="Normal",'Control Room'!$B$7,('Control Room'!$B$8+'Control Room'!$D$8)/2))</x:f>
        <x:v>810.8852191627415</x:v>
      </x:c>
      <x:c r="BD221" s="17" t="n">
        <x:f>IF(AND($A221&gt;='Control Room'!$A$13,$A221&lt;'Control Room'!$A$13+'Control Room'!$B$13,'Process'!BU2=1),1+('Control Room'!$C$13-1)*EXP(-0.5*(($A221-'Control Room'!$A$13-('Control Room'!$B$13-1)/2)/MAX(0.5,'Control Room'!$B$13/4))^2),1)*IF(AND($A221&gt;='Control Room'!$A$14,$A221&lt;'Control Room'!$A$14+'Control Room'!$B$14,'Process'!BU3=1),1+('Control Room'!$C$14-1)*EXP(-0.5*(($A221-'Control Room'!$A$14-('Control Room'!$B$14-1)/2)/MAX(0.5,'Control Room'!$B$14/4))^2),1)*IF(AND($A221&gt;='Control Room'!$A$15,$A221&lt;'Control Room'!$A$15+'Control Room'!$B$15,'Process'!BU4=1),1+('Control Room'!$C$15-1)*EXP(-0.5*(($A221-'Control Room'!$A$15-('Control Room'!$B$15-1)/2)/MAX(0.5,'Control Room'!$B$15/4))^2),1)*IF(AND($A221&gt;='Control Room'!$A$16,$A221&lt;'Control Room'!$A$16+'Control Room'!$B$16,'Process'!BU5=1),1+('Control Room'!$C$16-1)*EXP(-0.5*(($A221-'Control Room'!$A$16-('Control Room'!$B$16-1)/2)/MAX(0.5,'Control Room'!$B$16/4))^2),1)</x:f>
        <x:v>1</x:v>
      </x:c>
      <x:c r="BE221" s="9" t="n">
        <x:f>MOD(BF220*16807,2147483647)</x:f>
        <x:v>1230757653</x:v>
      </x:c>
      <x:c r="BF221" s="9" t="n">
        <x:f>MOD(BE221*16807,2147483647)</x:f>
        <x:v>781386067</x:v>
      </x:c>
      <x:c r="BG221" s="17" t="n">
        <x:f>IF('Control Room'!$B$5="Normal",'Control Room'!$B$7+'Control Room'!$D$7*SQRT(-2*LN(MAX(0.000000000001,BE221/2147483647)))*COS(2*PI()*BF221/2147483647),'Control Room'!$B$8+('Control Room'!$D$8-'Control Room'!$B$8)*BE221/2147483647)</x:f>
        <x:v>937.7110106482398</x:v>
      </x:c>
      <x:c r="BH221" s="17" t="n">
        <x:f>IF('Control Room'!$B$5="Normal",'Control Room'!$B$7,('Control Room'!$B$8+'Control Room'!$D$8)/2)+'Control Room'!$B$9*(BH220-IF('Control Room'!$B$5="Normal",'Control Room'!$B$7,('Control Room'!$B$8+'Control Room'!$D$8)/2))+SQRT(1-'Control Room'!$B$9^2)*(BG221-IF('Control Room'!$B$5="Normal",'Control Room'!$B$7,('Control Room'!$B$8+'Control Room'!$D$8)/2))</x:f>
        <x:v>957.2648070708183</x:v>
      </x:c>
      <x:c r="BI221" s="17" t="n">
        <x:f>IF(AND($A221&gt;='Control Room'!$A$13,$A221&lt;'Control Room'!$A$13+'Control Room'!$B$13,'Process'!BV2=1),1+('Control Room'!$C$13-1)*EXP(-0.5*(($A221-'Control Room'!$A$13-('Control Room'!$B$13-1)/2)/MAX(0.5,'Control Room'!$B$13/4))^2),1)*IF(AND($A221&gt;='Control Room'!$A$14,$A221&lt;'Control Room'!$A$14+'Control Room'!$B$14,'Process'!BV3=1),1+('Control Room'!$C$14-1)*EXP(-0.5*(($A221-'Control Room'!$A$14-('Control Room'!$B$14-1)/2)/MAX(0.5,'Control Room'!$B$14/4))^2),1)*IF(AND($A221&gt;='Control Room'!$A$15,$A221&lt;'Control Room'!$A$15+'Control Room'!$B$15,'Process'!BV4=1),1+('Control Room'!$C$15-1)*EXP(-0.5*(($A221-'Control Room'!$A$15-('Control Room'!$B$15-1)/2)/MAX(0.5,'Control Room'!$B$15/4))^2),1)*IF(AND($A221&gt;='Control Room'!$A$16,$A221&lt;'Control Room'!$A$16+'Control Room'!$B$16,'Process'!BV5=1),1+('Control Room'!$C$16-1)*EXP(-0.5*(($A221-'Control Room'!$A$16-('Control Room'!$B$16-1)/2)/MAX(0.5,'Control Room'!$B$16/4))^2),1)</x:f>
        <x:v>1</x:v>
      </x:c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Z221" t="str">
        <x:f>IF('Data'!A221="","",TEXT('Data'!A221,"mm-dd"))</x:f>
      </x:c>
    </x:row>
    <x:row r="222" ht="21" customHeight="1">
      <x:c r="A222" s="15" t="n">
        <x:f>'Control Room'!$B$1+220</x:f>
        <x:v>73211</x:v>
      </x:c>
      <x:c r="B222" s="9" t="n">
        <x:f>MOD(C221*16807,2147483647)</x:f>
        <x:v>466684450</x:v>
      </x:c>
      <x:c r="C222" s="9" t="n">
        <x:f>MOD(B222*16807,2147483647)</x:f>
        <x:v>955272306</x:v>
      </x:c>
      <x:c r="D222" s="17" t="n">
        <x:f>IF('Control Room'!$B$5="Normal",'Control Room'!$B$7+'Control Room'!$D$7*SQRT(-2*LN(MAX(0.000000000001,B222/2147483647)))*COS(2*PI()*C222/2147483647),'Control Room'!$B$8+('Control Room'!$D$8-'Control Room'!$B$8)*B222/2147483647)</x:f>
        <x:v>852.1020725714943</x:v>
      </x:c>
      <x:c r="E222" s="17" t="n">
        <x:f>IF('Control Room'!$B$5="Normal",'Control Room'!$B$7,('Control Room'!$B$8+'Control Room'!$D$8)/2)+'Control Room'!$B$9*(E221-IF('Control Room'!$B$5="Normal",'Control Room'!$B$7,('Control Room'!$B$8+'Control Room'!$D$8)/2))+SQRT(1-'Control Room'!$B$9^2)*(D222-IF('Control Room'!$B$5="Normal",'Control Room'!$B$7,('Control Room'!$B$8+'Control Room'!$D$8)/2))</x:f>
        <x:v>772.854749014377</x:v>
      </x:c>
      <x:c r="F222" s="17" t="n">
        <x:f>IF(AND($A222&gt;='Control Room'!$A$13,$A222&lt;'Control Room'!$A$13+'Control Room'!$B$13,'Process'!BK2=1),1+('Control Room'!$C$13-1)*EXP(-0.5*(($A222-'Control Room'!$A$13-('Control Room'!$B$13-1)/2)/MAX(0.5,'Control Room'!$B$13/4))^2),1)*IF(AND($A222&gt;='Control Room'!$A$14,$A222&lt;'Control Room'!$A$14+'Control Room'!$B$14,'Process'!BK3=1),1+('Control Room'!$C$14-1)*EXP(-0.5*(($A222-'Control Room'!$A$14-('Control Room'!$B$14-1)/2)/MAX(0.5,'Control Room'!$B$14/4))^2),1)*IF(AND($A222&gt;='Control Room'!$A$15,$A222&lt;'Control Room'!$A$15+'Control Room'!$B$15,'Process'!BK4=1),1+('Control Room'!$C$15-1)*EXP(-0.5*(($A222-'Control Room'!$A$15-('Control Room'!$B$15-1)/2)/MAX(0.5,'Control Room'!$B$15/4))^2),1)*IF(AND($A222&gt;='Control Room'!$A$16,$A222&lt;'Control Room'!$A$16+'Control Room'!$B$16,'Process'!BK5=1),1+('Control Room'!$C$16-1)*EXP(-0.5*(($A222-'Control Room'!$A$16-('Control Room'!$B$16-1)/2)/MAX(0.5,'Control Room'!$B$16/4))^2),1)</x:f>
        <x:v>1</x:v>
      </x:c>
      <x:c r="G222" s="9" t="n">
        <x:f>MOD(H221*16807,2147483647)</x:f>
        <x:v>505451924</x:v>
      </x:c>
      <x:c r="H222" s="9" t="n">
        <x:f>MOD(G222*16807,2147483647)</x:f>
        <x:v>1832662783</x:v>
      </x:c>
      <x:c r="I222" s="17" t="n">
        <x:f>IF('Control Room'!$B$5="Normal",'Control Room'!$B$7+'Control Room'!$D$7*SQRT(-2*LN(MAX(0.000000000001,G222/2147483647)))*COS(2*PI()*H222/2147483647),'Control Room'!$B$8+('Control Room'!$D$8-'Control Room'!$B$8)*G222/2147483647)</x:f>
        <x:v>1092.605988693827</x:v>
      </x:c>
      <x:c r="J222" s="17" t="n">
        <x:f>IF('Control Room'!$B$5="Normal",'Control Room'!$B$7,('Control Room'!$B$8+'Control Room'!$D$8)/2)+'Control Room'!$B$9*(J221-IF('Control Room'!$B$5="Normal",'Control Room'!$B$7,('Control Room'!$B$8+'Control Room'!$D$8)/2))+SQRT(1-'Control Room'!$B$9^2)*(I222-IF('Control Room'!$B$5="Normal",'Control Room'!$B$7,('Control Room'!$B$8+'Control Room'!$D$8)/2))</x:f>
        <x:v>1213.4154059027717</x:v>
      </x:c>
      <x:c r="K222" s="17" t="n">
        <x:f>IF(AND($A222&gt;='Control Room'!$A$13,$A222&lt;'Control Room'!$A$13+'Control Room'!$B$13,'Process'!BL2=1),1+('Control Room'!$C$13-1)*EXP(-0.5*(($A222-'Control Room'!$A$13-('Control Room'!$B$13-1)/2)/MAX(0.5,'Control Room'!$B$13/4))^2),1)*IF(AND($A222&gt;='Control Room'!$A$14,$A222&lt;'Control Room'!$A$14+'Control Room'!$B$14,'Process'!BL3=1),1+('Control Room'!$C$14-1)*EXP(-0.5*(($A222-'Control Room'!$A$14-('Control Room'!$B$14-1)/2)/MAX(0.5,'Control Room'!$B$14/4))^2),1)*IF(AND($A222&gt;='Control Room'!$A$15,$A222&lt;'Control Room'!$A$15+'Control Room'!$B$15,'Process'!BL4=1),1+('Control Room'!$C$15-1)*EXP(-0.5*(($A222-'Control Room'!$A$15-('Control Room'!$B$15-1)/2)/MAX(0.5,'Control Room'!$B$15/4))^2),1)*IF(AND($A222&gt;='Control Room'!$A$16,$A222&lt;'Control Room'!$A$16+'Control Room'!$B$16,'Process'!BL5=1),1+('Control Room'!$C$16-1)*EXP(-0.5*(($A222-'Control Room'!$A$16-('Control Room'!$B$16-1)/2)/MAX(0.5,'Control Room'!$B$16/4))^2),1)</x:f>
        <x:v>1</x:v>
      </x:c>
      <x:c r="L222" s="9" t="n">
        <x:f>MOD(M221*16807,2147483647)</x:f>
        <x:v>544219398</x:v>
      </x:c>
      <x:c r="M222" s="9" t="n">
        <x:f>MOD(L222*16807,2147483647)</x:f>
        <x:v>562569613</x:v>
      </x:c>
      <x:c r="N222" s="17" t="n">
        <x:f>IF('Control Room'!$B$5="Normal",'Control Room'!$B$7+'Control Room'!$D$7*SQRT(-2*LN(MAX(0.000000000001,L222/2147483647)))*COS(2*PI()*M222/2147483647),'Control Room'!$B$8+('Control Room'!$D$8-'Control Room'!$B$8)*L222/2147483647)</x:f>
        <x:v>988.7979594948603</x:v>
      </x:c>
      <x:c r="O222" s="17" t="n">
        <x:f>IF('Control Room'!$B$5="Normal",'Control Room'!$B$7,('Control Room'!$B$8+'Control Room'!$D$8)/2)+'Control Room'!$B$9*(O221-IF('Control Room'!$B$5="Normal",'Control Room'!$B$7,('Control Room'!$B$8+'Control Room'!$D$8)/2))+SQRT(1-'Control Room'!$B$9^2)*(N222-IF('Control Room'!$B$5="Normal",'Control Room'!$B$7,('Control Room'!$B$8+'Control Room'!$D$8)/2))</x:f>
        <x:v>1022.3251370442905</x:v>
      </x:c>
      <x:c r="P222" s="17" t="n">
        <x:f>IF(AND($A222&gt;='Control Room'!$A$13,$A222&lt;'Control Room'!$A$13+'Control Room'!$B$13,'Process'!BM2=1),1+('Control Room'!$C$13-1)*EXP(-0.5*(($A222-'Control Room'!$A$13-('Control Room'!$B$13-1)/2)/MAX(0.5,'Control Room'!$B$13/4))^2),1)*IF(AND($A222&gt;='Control Room'!$A$14,$A222&lt;'Control Room'!$A$14+'Control Room'!$B$14,'Process'!BM3=1),1+('Control Room'!$C$14-1)*EXP(-0.5*(($A222-'Control Room'!$A$14-('Control Room'!$B$14-1)/2)/MAX(0.5,'Control Room'!$B$14/4))^2),1)*IF(AND($A222&gt;='Control Room'!$A$15,$A222&lt;'Control Room'!$A$15+'Control Room'!$B$15,'Process'!BM4=1),1+('Control Room'!$C$15-1)*EXP(-0.5*(($A222-'Control Room'!$A$15-('Control Room'!$B$15-1)/2)/MAX(0.5,'Control Room'!$B$15/4))^2),1)*IF(AND($A222&gt;='Control Room'!$A$16,$A222&lt;'Control Room'!$A$16+'Control Room'!$B$16,'Process'!BM5=1),1+('Control Room'!$C$16-1)*EXP(-0.5*(($A222-'Control Room'!$A$16-('Control Room'!$B$16-1)/2)/MAX(0.5,'Control Room'!$B$16/4))^2),1)</x:f>
        <x:v>1</x:v>
      </x:c>
      <x:c r="Q222" s="9" t="n">
        <x:f>MOD(R221*16807,2147483647)</x:f>
        <x:v>582986872</x:v>
      </x:c>
      <x:c r="R222" s="9" t="n">
        <x:f>MOD(Q222*16807,2147483647)</x:f>
        <x:v>1439960090</x:v>
      </x:c>
      <x:c r="S222" s="17" t="n">
        <x:f>IF('Control Room'!$B$5="Normal",'Control Room'!$B$7+'Control Room'!$D$7*SQRT(-2*LN(MAX(0.000000000001,Q222/2147483647)))*COS(2*PI()*R222/2147483647),'Control Room'!$B$8+('Control Room'!$D$8-'Control Room'!$B$8)*Q222/2147483647)</x:f>
        <x:v>930.4105976505152</x:v>
      </x:c>
      <x:c r="T222" s="17" t="n">
        <x:f>IF('Control Room'!$B$5="Normal",'Control Room'!$B$7,('Control Room'!$B$8+'Control Room'!$D$8)/2)+'Control Room'!$B$9*(T221-IF('Control Room'!$B$5="Normal",'Control Room'!$B$7,('Control Room'!$B$8+'Control Room'!$D$8)/2))+SQRT(1-'Control Room'!$B$9^2)*(S222-IF('Control Room'!$B$5="Normal",'Control Room'!$B$7,('Control Room'!$B$8+'Control Room'!$D$8)/2))</x:f>
        <x:v>891.1636811383901</x:v>
      </x:c>
      <x:c r="U222" s="17" t="n">
        <x:f>IF(AND($A222&gt;='Control Room'!$A$13,$A222&lt;'Control Room'!$A$13+'Control Room'!$B$13,'Process'!BN2=1),1+('Control Room'!$C$13-1)*EXP(-0.5*(($A222-'Control Room'!$A$13-('Control Room'!$B$13-1)/2)/MAX(0.5,'Control Room'!$B$13/4))^2),1)*IF(AND($A222&gt;='Control Room'!$A$14,$A222&lt;'Control Room'!$A$14+'Control Room'!$B$14,'Process'!BN3=1),1+('Control Room'!$C$14-1)*EXP(-0.5*(($A222-'Control Room'!$A$14-('Control Room'!$B$14-1)/2)/MAX(0.5,'Control Room'!$B$14/4))^2),1)*IF(AND($A222&gt;='Control Room'!$A$15,$A222&lt;'Control Room'!$A$15+'Control Room'!$B$15,'Process'!BN4=1),1+('Control Room'!$C$15-1)*EXP(-0.5*(($A222-'Control Room'!$A$15-('Control Room'!$B$15-1)/2)/MAX(0.5,'Control Room'!$B$15/4))^2),1)*IF(AND($A222&gt;='Control Room'!$A$16,$A222&lt;'Control Room'!$A$16+'Control Room'!$B$16,'Process'!BN5=1),1+('Control Room'!$C$16-1)*EXP(-0.5*(($A222-'Control Room'!$A$16-('Control Room'!$B$16-1)/2)/MAX(0.5,'Control Room'!$B$16/4))^2),1)</x:f>
        <x:v>1</x:v>
      </x:c>
      <x:c r="V222" s="9" t="n">
        <x:f>MOD(W221*16807,2147483647)</x:f>
        <x:v>621754346</x:v>
      </x:c>
      <x:c r="W222" s="9" t="n">
        <x:f>MOD(V222*16807,2147483647)</x:f>
        <x:v>169866920</x:v>
      </x:c>
      <x:c r="X222" s="17" t="n">
        <x:f>IF('Control Room'!$B$5="Normal",'Control Room'!$B$7+'Control Room'!$D$7*SQRT(-2*LN(MAX(0.000000000001,V222/2147483647)))*COS(2*PI()*W222/2147483647),'Control Room'!$B$8+('Control Room'!$D$8-'Control Room'!$B$8)*V222/2147483647)</x:f>
        <x:v>1124.5599879930264</x:v>
      </x:c>
      <x:c r="Y222" s="17" t="n">
        <x:f>IF('Control Room'!$B$5="Normal",'Control Room'!$B$7,('Control Room'!$B$8+'Control Room'!$D$8)/2)+'Control Room'!$B$9*(Y221-IF('Control Room'!$B$5="Normal",'Control Room'!$B$7,('Control Room'!$B$8+'Control Room'!$D$8)/2))+SQRT(1-'Control Room'!$B$9^2)*(X222-IF('Control Room'!$B$5="Normal",'Control Room'!$B$7,('Control Room'!$B$8+'Control Room'!$D$8)/2))</x:f>
        <x:v>1139.2836247266232</x:v>
      </x:c>
      <x:c r="Z222" s="17" t="n">
        <x:f>IF(AND($A222&gt;='Control Room'!$A$13,$A222&lt;'Control Room'!$A$13+'Control Room'!$B$13,'Process'!BO2=1),1+('Control Room'!$C$13-1)*EXP(-0.5*(($A222-'Control Room'!$A$13-('Control Room'!$B$13-1)/2)/MAX(0.5,'Control Room'!$B$13/4))^2),1)*IF(AND($A222&gt;='Control Room'!$A$14,$A222&lt;'Control Room'!$A$14+'Control Room'!$B$14,'Process'!BO3=1),1+('Control Room'!$C$14-1)*EXP(-0.5*(($A222-'Control Room'!$A$14-('Control Room'!$B$14-1)/2)/MAX(0.5,'Control Room'!$B$14/4))^2),1)*IF(AND($A222&gt;='Control Room'!$A$15,$A222&lt;'Control Room'!$A$15+'Control Room'!$B$15,'Process'!BO4=1),1+('Control Room'!$C$15-1)*EXP(-0.5*(($A222-'Control Room'!$A$15-('Control Room'!$B$15-1)/2)/MAX(0.5,'Control Room'!$B$15/4))^2),1)*IF(AND($A222&gt;='Control Room'!$A$16,$A222&lt;'Control Room'!$A$16+'Control Room'!$B$16,'Process'!BO5=1),1+('Control Room'!$C$16-1)*EXP(-0.5*(($A222-'Control Room'!$A$16-('Control Room'!$B$16-1)/2)/MAX(0.5,'Control Room'!$B$16/4))^2),1)</x:f>
        <x:v>1</x:v>
      </x:c>
      <x:c r="AA222" s="9" t="n">
        <x:f>MOD(AB221*16807,2147483647)</x:f>
        <x:v>660521820</x:v>
      </x:c>
      <x:c r="AB222" s="9" t="n">
        <x:f>MOD(AA222*16807,2147483647)</x:f>
        <x:v>1047257397</x:v>
      </x:c>
      <x:c r="AC222" s="17" t="n">
        <x:f>IF('Control Room'!$B$5="Normal",'Control Room'!$B$7+'Control Room'!$D$7*SQRT(-2*LN(MAX(0.000000000001,AA222/2147483647)))*COS(2*PI()*AB222/2147483647),'Control Room'!$B$8+('Control Room'!$D$8-'Control Room'!$B$8)*AA222/2147483647)</x:f>
        <x:v>862.2114090070833</x:v>
      </x:c>
      <x:c r="AD222" s="17" t="n">
        <x:f>IF('Control Room'!$B$5="Normal",'Control Room'!$B$7,('Control Room'!$B$8+'Control Room'!$D$8)/2)+'Control Room'!$B$9*(AD221-IF('Control Room'!$B$5="Normal",'Control Room'!$B$7,('Control Room'!$B$8+'Control Room'!$D$8)/2))+SQRT(1-'Control Room'!$B$9^2)*(AC222-IF('Control Room'!$B$5="Normal",'Control Room'!$B$7,('Control Room'!$B$8+'Control Room'!$D$8)/2))</x:f>
        <x:v>886.7987027887</x:v>
      </x:c>
      <x:c r="AE222" s="17" t="n">
        <x:f>IF(AND($A222&gt;='Control Room'!$A$13,$A222&lt;'Control Room'!$A$13+'Control Room'!$B$13,'Process'!BP2=1),1+('Control Room'!$C$13-1)*EXP(-0.5*(($A222-'Control Room'!$A$13-('Control Room'!$B$13-1)/2)/MAX(0.5,'Control Room'!$B$13/4))^2),1)*IF(AND($A222&gt;='Control Room'!$A$14,$A222&lt;'Control Room'!$A$14+'Control Room'!$B$14,'Process'!BP3=1),1+('Control Room'!$C$14-1)*EXP(-0.5*(($A222-'Control Room'!$A$14-('Control Room'!$B$14-1)/2)/MAX(0.5,'Control Room'!$B$14/4))^2),1)*IF(AND($A222&gt;='Control Room'!$A$15,$A222&lt;'Control Room'!$A$15+'Control Room'!$B$15,'Process'!BP4=1),1+('Control Room'!$C$15-1)*EXP(-0.5*(($A222-'Control Room'!$A$15-('Control Room'!$B$15-1)/2)/MAX(0.5,'Control Room'!$B$15/4))^2),1)*IF(AND($A222&gt;='Control Room'!$A$16,$A222&lt;'Control Room'!$A$16+'Control Room'!$B$16,'Process'!BP5=1),1+('Control Room'!$C$16-1)*EXP(-0.5*(($A222-'Control Room'!$A$16-('Control Room'!$B$16-1)/2)/MAX(0.5,'Control Room'!$B$16/4))^2),1)</x:f>
        <x:v>1</x:v>
      </x:c>
      <x:c r="AF222" s="9" t="n">
        <x:f>MOD(AG221*16807,2147483647)</x:f>
        <x:v>699289294</x:v>
      </x:c>
      <x:c r="AG222" s="9" t="n">
        <x:f>MOD(AF222*16807,2147483647)</x:f>
        <x:v>1924647874</x:v>
      </x:c>
      <x:c r="AH222" s="17" t="n">
        <x:f>IF('Control Room'!$B$5="Normal",'Control Room'!$B$7+'Control Room'!$D$7*SQRT(-2*LN(MAX(0.000000000001,AF222/2147483647)))*COS(2*PI()*AG222/2147483647),'Control Room'!$B$8+('Control Room'!$D$8-'Control Room'!$B$8)*AF222/2147483647)</x:f>
        <x:v>1107.1654862703344</x:v>
      </x:c>
      <x:c r="AI222" s="17" t="n">
        <x:f>IF('Control Room'!$B$5="Normal",'Control Room'!$B$7,('Control Room'!$B$8+'Control Room'!$D$8)/2)+'Control Room'!$B$9*(AI221-IF('Control Room'!$B$5="Normal",'Control Room'!$B$7,('Control Room'!$B$8+'Control Room'!$D$8)/2))+SQRT(1-'Control Room'!$B$9^2)*(AH222-IF('Control Room'!$B$5="Normal",'Control Room'!$B$7,('Control Room'!$B$8+'Control Room'!$D$8)/2))</x:f>
        <x:v>1062.9789714644182</x:v>
      </x:c>
      <x:c r="AJ222" s="17" t="n">
        <x:f>IF(AND($A222&gt;='Control Room'!$A$13,$A222&lt;'Control Room'!$A$13+'Control Room'!$B$13,'Process'!BQ2=1),1+('Control Room'!$C$13-1)*EXP(-0.5*(($A222-'Control Room'!$A$13-('Control Room'!$B$13-1)/2)/MAX(0.5,'Control Room'!$B$13/4))^2),1)*IF(AND($A222&gt;='Control Room'!$A$14,$A222&lt;'Control Room'!$A$14+'Control Room'!$B$14,'Process'!BQ3=1),1+('Control Room'!$C$14-1)*EXP(-0.5*(($A222-'Control Room'!$A$14-('Control Room'!$B$14-1)/2)/MAX(0.5,'Control Room'!$B$14/4))^2),1)*IF(AND($A222&gt;='Control Room'!$A$15,$A222&lt;'Control Room'!$A$15+'Control Room'!$B$15,'Process'!BQ4=1),1+('Control Room'!$C$15-1)*EXP(-0.5*(($A222-'Control Room'!$A$15-('Control Room'!$B$15-1)/2)/MAX(0.5,'Control Room'!$B$15/4))^2),1)*IF(AND($A222&gt;='Control Room'!$A$16,$A222&lt;'Control Room'!$A$16+'Control Room'!$B$16,'Process'!BQ5=1),1+('Control Room'!$C$16-1)*EXP(-0.5*(($A222-'Control Room'!$A$16-('Control Room'!$B$16-1)/2)/MAX(0.5,'Control Room'!$B$16/4))^2),1)</x:f>
        <x:v>1</x:v>
      </x:c>
      <x:c r="AK222" s="9" t="n">
        <x:f>MOD(AL221*16807,2147483647)</x:f>
        <x:v>738056768</x:v>
      </x:c>
      <x:c r="AL222" s="9" t="n">
        <x:f>MOD(AK222*16807,2147483647)</x:f>
        <x:v>654554704</x:v>
      </x:c>
      <x:c r="AM222" s="17" t="n">
        <x:f>IF('Control Room'!$B$5="Normal",'Control Room'!$B$7+'Control Room'!$D$7*SQRT(-2*LN(MAX(0.000000000001,AK222/2147483647)))*COS(2*PI()*AL222/2147483647),'Control Room'!$B$8+('Control Room'!$D$8-'Control Room'!$B$8)*AK222/2147483647)</x:f>
        <x:v>955.5982159648286</x:v>
      </x:c>
      <x:c r="AN222" s="17" t="n">
        <x:f>IF('Control Room'!$B$5="Normal",'Control Room'!$B$7,('Control Room'!$B$8+'Control Room'!$D$8)/2)+'Control Room'!$B$9*(AN221-IF('Control Room'!$B$5="Normal",'Control Room'!$B$7,('Control Room'!$B$8+'Control Room'!$D$8)/2))+SQRT(1-'Control Room'!$B$9^2)*(AM222-IF('Control Room'!$B$5="Normal",'Control Room'!$B$7,('Control Room'!$B$8+'Control Room'!$D$8)/2))</x:f>
        <x:v>894.15251427087</x:v>
      </x:c>
      <x:c r="AO222" s="17" t="n">
        <x:f>IF(AND($A222&gt;='Control Room'!$A$13,$A222&lt;'Control Room'!$A$13+'Control Room'!$B$13,'Process'!BR2=1),1+('Control Room'!$C$13-1)*EXP(-0.5*(($A222-'Control Room'!$A$13-('Control Room'!$B$13-1)/2)/MAX(0.5,'Control Room'!$B$13/4))^2),1)*IF(AND($A222&gt;='Control Room'!$A$14,$A222&lt;'Control Room'!$A$14+'Control Room'!$B$14,'Process'!BR3=1),1+('Control Room'!$C$14-1)*EXP(-0.5*(($A222-'Control Room'!$A$14-('Control Room'!$B$14-1)/2)/MAX(0.5,'Control Room'!$B$14/4))^2),1)*IF(AND($A222&gt;='Control Room'!$A$15,$A222&lt;'Control Room'!$A$15+'Control Room'!$B$15,'Process'!BR4=1),1+('Control Room'!$C$15-1)*EXP(-0.5*(($A222-'Control Room'!$A$15-('Control Room'!$B$15-1)/2)/MAX(0.5,'Control Room'!$B$15/4))^2),1)*IF(AND($A222&gt;='Control Room'!$A$16,$A222&lt;'Control Room'!$A$16+'Control Room'!$B$16,'Process'!BR5=1),1+('Control Room'!$C$16-1)*EXP(-0.5*(($A222-'Control Room'!$A$16-('Control Room'!$B$16-1)/2)/MAX(0.5,'Control Room'!$B$16/4))^2),1)</x:f>
        <x:v>1</x:v>
      </x:c>
      <x:c r="AP222" s="9" t="n">
        <x:f>MOD(AQ221*16807,2147483647)</x:f>
        <x:v>776824242</x:v>
      </x:c>
      <x:c r="AQ222" s="9" t="n">
        <x:f>MOD(AP222*16807,2147483647)</x:f>
        <x:v>1531945181</x:v>
      </x:c>
      <x:c r="AR222" s="17" t="n">
        <x:f>IF('Control Room'!$B$5="Normal",'Control Room'!$B$7+'Control Room'!$D$7*SQRT(-2*LN(MAX(0.000000000001,AP222/2147483647)))*COS(2*PI()*AQ222/2147483647),'Control Room'!$B$8+('Control Room'!$D$8-'Control Room'!$B$8)*AP222/2147483647)</x:f>
        <x:v>970.7188862442031</x:v>
      </x:c>
      <x:c r="AS222" s="17" t="n">
        <x:f>IF('Control Room'!$B$5="Normal",'Control Room'!$B$7,('Control Room'!$B$8+'Control Room'!$D$8)/2)+'Control Room'!$B$9*(AS221-IF('Control Room'!$B$5="Normal",'Control Room'!$B$7,('Control Room'!$B$8+'Control Room'!$D$8)/2))+SQRT(1-'Control Room'!$B$9^2)*(AR222-IF('Control Room'!$B$5="Normal",'Control Room'!$B$7,('Control Room'!$B$8+'Control Room'!$D$8)/2))</x:f>
        <x:v>999.8921765705093</x:v>
      </x:c>
      <x:c r="AT222" s="17" t="n">
        <x:f>IF(AND($A222&gt;='Control Room'!$A$13,$A222&lt;'Control Room'!$A$13+'Control Room'!$B$13,'Process'!BS2=1),1+('Control Room'!$C$13-1)*EXP(-0.5*(($A222-'Control Room'!$A$13-('Control Room'!$B$13-1)/2)/MAX(0.5,'Control Room'!$B$13/4))^2),1)*IF(AND($A222&gt;='Control Room'!$A$14,$A222&lt;'Control Room'!$A$14+'Control Room'!$B$14,'Process'!BS3=1),1+('Control Room'!$C$14-1)*EXP(-0.5*(($A222-'Control Room'!$A$14-('Control Room'!$B$14-1)/2)/MAX(0.5,'Control Room'!$B$14/4))^2),1)*IF(AND($A222&gt;='Control Room'!$A$15,$A222&lt;'Control Room'!$A$15+'Control Room'!$B$15,'Process'!BS4=1),1+('Control Room'!$C$15-1)*EXP(-0.5*(($A222-'Control Room'!$A$15-('Control Room'!$B$15-1)/2)/MAX(0.5,'Control Room'!$B$15/4))^2),1)*IF(AND($A222&gt;='Control Room'!$A$16,$A222&lt;'Control Room'!$A$16+'Control Room'!$B$16,'Process'!BS5=1),1+('Control Room'!$C$16-1)*EXP(-0.5*(($A222-'Control Room'!$A$16-('Control Room'!$B$16-1)/2)/MAX(0.5,'Control Room'!$B$16/4))^2),1)</x:f>
        <x:v>1</x:v>
      </x:c>
      <x:c r="AU222" s="9" t="n">
        <x:f>MOD(AV221*16807,2147483647)</x:f>
        <x:v>815591716</x:v>
      </x:c>
      <x:c r="AV222" s="9" t="n">
        <x:f>MOD(AU222*16807,2147483647)</x:f>
        <x:v>261852011</x:v>
      </x:c>
      <x:c r="AW222" s="17" t="n">
        <x:f>IF('Control Room'!$B$5="Normal",'Control Room'!$B$7+'Control Room'!$D$7*SQRT(-2*LN(MAX(0.000000000001,AU222/2147483647)))*COS(2*PI()*AV222/2147483647),'Control Room'!$B$8+('Control Room'!$D$8-'Control Room'!$B$8)*AU222/2147483647)</x:f>
        <x:v>1090.2438236950522</x:v>
      </x:c>
      <x:c r="AX222" s="17" t="n">
        <x:f>IF('Control Room'!$B$5="Normal",'Control Room'!$B$7,('Control Room'!$B$8+'Control Room'!$D$8)/2)+'Control Room'!$B$9*(AX221-IF('Control Room'!$B$5="Normal",'Control Room'!$B$7,('Control Room'!$B$8+'Control Room'!$D$8)/2))+SQRT(1-'Control Room'!$B$9^2)*(AW222-IF('Control Room'!$B$5="Normal",'Control Room'!$B$7,('Control Room'!$B$8+'Control Room'!$D$8)/2))</x:f>
        <x:v>1152.1255382671907</x:v>
      </x:c>
      <x:c r="AY222" s="17" t="n">
        <x:f>IF(AND($A222&gt;='Control Room'!$A$13,$A222&lt;'Control Room'!$A$13+'Control Room'!$B$13,'Process'!BT2=1),1+('Control Room'!$C$13-1)*EXP(-0.5*(($A222-'Control Room'!$A$13-('Control Room'!$B$13-1)/2)/MAX(0.5,'Control Room'!$B$13/4))^2),1)*IF(AND($A222&gt;='Control Room'!$A$14,$A222&lt;'Control Room'!$A$14+'Control Room'!$B$14,'Process'!BT3=1),1+('Control Room'!$C$14-1)*EXP(-0.5*(($A222-'Control Room'!$A$14-('Control Room'!$B$14-1)/2)/MAX(0.5,'Control Room'!$B$14/4))^2),1)*IF(AND($A222&gt;='Control Room'!$A$15,$A222&lt;'Control Room'!$A$15+'Control Room'!$B$15,'Process'!BT4=1),1+('Control Room'!$C$15-1)*EXP(-0.5*(($A222-'Control Room'!$A$15-('Control Room'!$B$15-1)/2)/MAX(0.5,'Control Room'!$B$15/4))^2),1)*IF(AND($A222&gt;='Control Room'!$A$16,$A222&lt;'Control Room'!$A$16+'Control Room'!$B$16,'Process'!BT5=1),1+('Control Room'!$C$16-1)*EXP(-0.5*(($A222-'Control Room'!$A$16-('Control Room'!$B$16-1)/2)/MAX(0.5,'Control Room'!$B$16/4))^2),1)</x:f>
        <x:v>1</x:v>
      </x:c>
      <x:c r="AZ222" s="9" t="n">
        <x:f>MOD(BA221*16807,2147483647)</x:f>
        <x:v>854359190</x:v>
      </x:c>
      <x:c r="BA222" s="9" t="n">
        <x:f>MOD(AZ222*16807,2147483647)</x:f>
        <x:v>1139242488</x:v>
      </x:c>
      <x:c r="BB222" s="17" t="n">
        <x:f>IF('Control Room'!$B$5="Normal",'Control Room'!$B$7+'Control Room'!$D$7*SQRT(-2*LN(MAX(0.000000000001,AZ222/2147483647)))*COS(2*PI()*BA222/2147483647),'Control Room'!$B$8+('Control Room'!$D$8-'Control Room'!$B$8)*AZ222/2147483647)</x:f>
        <x:v>880.0423907074288</x:v>
      </x:c>
      <x:c r="BC222" s="17" t="n">
        <x:f>IF('Control Room'!$B$5="Normal",'Control Room'!$B$7,('Control Room'!$B$8+'Control Room'!$D$8)/2)+'Control Room'!$B$9*(BC221-IF('Control Room'!$B$5="Normal",'Control Room'!$B$7,('Control Room'!$B$8+'Control Room'!$D$8)/2))+SQRT(1-'Control Room'!$B$9^2)*(BB222-IF('Control Room'!$B$5="Normal",'Control Room'!$B$7,('Control Room'!$B$8+'Control Room'!$D$8)/2))</x:f>
        <x:v>777.4234565168488</x:v>
      </x:c>
      <x:c r="BD222" s="17" t="n">
        <x:f>IF(AND($A222&gt;='Control Room'!$A$13,$A222&lt;'Control Room'!$A$13+'Control Room'!$B$13,'Process'!BU2=1),1+('Control Room'!$C$13-1)*EXP(-0.5*(($A222-'Control Room'!$A$13-('Control Room'!$B$13-1)/2)/MAX(0.5,'Control Room'!$B$13/4))^2),1)*IF(AND($A222&gt;='Control Room'!$A$14,$A222&lt;'Control Room'!$A$14+'Control Room'!$B$14,'Process'!BU3=1),1+('Control Room'!$C$14-1)*EXP(-0.5*(($A222-'Control Room'!$A$14-('Control Room'!$B$14-1)/2)/MAX(0.5,'Control Room'!$B$14/4))^2),1)*IF(AND($A222&gt;='Control Room'!$A$15,$A222&lt;'Control Room'!$A$15+'Control Room'!$B$15,'Process'!BU4=1),1+('Control Room'!$C$15-1)*EXP(-0.5*(($A222-'Control Room'!$A$15-('Control Room'!$B$15-1)/2)/MAX(0.5,'Control Room'!$B$15/4))^2),1)*IF(AND($A222&gt;='Control Room'!$A$16,$A222&lt;'Control Room'!$A$16+'Control Room'!$B$16,'Process'!BU5=1),1+('Control Room'!$C$16-1)*EXP(-0.5*(($A222-'Control Room'!$A$16-('Control Room'!$B$16-1)/2)/MAX(0.5,'Control Room'!$B$16/4))^2),1)</x:f>
        <x:v>1</x:v>
      </x:c>
      <x:c r="BE222" s="9" t="n">
        <x:f>MOD(BF221*16807,2147483647)</x:f>
        <x:v>893126664</x:v>
      </x:c>
      <x:c r="BF222" s="9" t="n">
        <x:f>MOD(BE222*16807,2147483647)</x:f>
        <x:v>2016632965</x:v>
      </x:c>
      <x:c r="BG222" s="17" t="n">
        <x:f>IF('Control Room'!$B$5="Normal",'Control Room'!$B$7+'Control Room'!$D$7*SQRT(-2*LN(MAX(0.000000000001,BE222/2147483647)))*COS(2*PI()*BF222/2147483647),'Control Room'!$B$8+('Control Room'!$D$8-'Control Room'!$B$8)*BE222/2147483647)</x:f>
        <x:v>1110.5860438719455</x:v>
      </x:c>
      <x:c r="BH222" s="17" t="n">
        <x:f>IF('Control Room'!$B$5="Normal",'Control Room'!$B$7,('Control Room'!$B$8+'Control Room'!$D$8)/2)+'Control Room'!$B$9*(BH221-IF('Control Room'!$B$5="Normal",'Control Room'!$B$7,('Control Room'!$B$8+'Control Room'!$D$8)/2))+SQRT(1-'Control Room'!$B$9^2)*(BG222-IF('Control Room'!$B$5="Normal",'Control Room'!$B$7,('Control Room'!$B$8+'Control Room'!$D$8)/2))</x:f>
        <x:v>1035.8690302920534</x:v>
      </x:c>
      <x:c r="BI222" s="17" t="n">
        <x:f>IF(AND($A222&gt;='Control Room'!$A$13,$A222&lt;'Control Room'!$A$13+'Control Room'!$B$13,'Process'!BV2=1),1+('Control Room'!$C$13-1)*EXP(-0.5*(($A222-'Control Room'!$A$13-('Control Room'!$B$13-1)/2)/MAX(0.5,'Control Room'!$B$13/4))^2),1)*IF(AND($A222&gt;='Control Room'!$A$14,$A222&lt;'Control Room'!$A$14+'Control Room'!$B$14,'Process'!BV3=1),1+('Control Room'!$C$14-1)*EXP(-0.5*(($A222-'Control Room'!$A$14-('Control Room'!$B$14-1)/2)/MAX(0.5,'Control Room'!$B$14/4))^2),1)*IF(AND($A222&gt;='Control Room'!$A$15,$A222&lt;'Control Room'!$A$15+'Control Room'!$B$15,'Process'!BV4=1),1+('Control Room'!$C$15-1)*EXP(-0.5*(($A222-'Control Room'!$A$15-('Control Room'!$B$15-1)/2)/MAX(0.5,'Control Room'!$B$15/4))^2),1)*IF(AND($A222&gt;='Control Room'!$A$16,$A222&lt;'Control Room'!$A$16+'Control Room'!$B$16,'Process'!BV5=1),1+('Control Room'!$C$16-1)*EXP(-0.5*(($A222-'Control Room'!$A$16-('Control Room'!$B$16-1)/2)/MAX(0.5,'Control Room'!$B$16/4))^2),1)</x:f>
        <x:v>1</x:v>
      </x:c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Z222" t="str">
        <x:f>IF('Data'!A222="","",TEXT('Data'!A222,"mm-dd"))</x:f>
      </x:c>
    </x:row>
    <x:row r="223" ht="21" customHeight="1">
      <x:c r="A223" s="15" t="n">
        <x:f>'Control Room'!$B$1+221</x:f>
        <x:v>73212</x:v>
      </x:c>
      <x:c r="B223" s="9" t="n">
        <x:f>MOD(C222*16807,2147483647)</x:f>
        <x:v>673901970</x:v>
      </x:c>
      <x:c r="C223" s="9" t="n">
        <x:f>MOD(B223*16807,2147483647)</x:f>
        <x:v>441655512</x:v>
      </x:c>
      <x:c r="D223" s="17" t="n">
        <x:f>IF('Control Room'!$B$5="Normal",'Control Room'!$B$7+'Control Room'!$D$7*SQRT(-2*LN(MAX(0.000000000001,B223/2147483647)))*COS(2*PI()*C223/2147483647),'Control Room'!$B$8+('Control Room'!$D$8-'Control Room'!$B$8)*B223/2147483647)</x:f>
        <x:v>1037.680629637847</x:v>
      </x:c>
      <x:c r="E223" s="17" t="n">
        <x:f>IF('Control Room'!$B$5="Normal",'Control Room'!$B$7,('Control Room'!$B$8+'Control Room'!$D$8)/2)+'Control Room'!$B$9*(E222-IF('Control Room'!$B$5="Normal",'Control Room'!$B$7,('Control Room'!$B$8+'Control Room'!$D$8)/2))+SQRT(1-'Control Room'!$B$9^2)*(D223-IF('Control Room'!$B$5="Normal",'Control Room'!$B$7,('Control Room'!$B$8+'Control Room'!$D$8)/2))</x:f>
        <x:v>846.4064703289225</x:v>
      </x:c>
      <x:c r="F223" s="17" t="n">
        <x:f>IF(AND($A223&gt;='Control Room'!$A$13,$A223&lt;'Control Room'!$A$13+'Control Room'!$B$13,'Process'!BK2=1),1+('Control Room'!$C$13-1)*EXP(-0.5*(($A223-'Control Room'!$A$13-('Control Room'!$B$13-1)/2)/MAX(0.5,'Control Room'!$B$13/4))^2),1)*IF(AND($A223&gt;='Control Room'!$A$14,$A223&lt;'Control Room'!$A$14+'Control Room'!$B$14,'Process'!BK3=1),1+('Control Room'!$C$14-1)*EXP(-0.5*(($A223-'Control Room'!$A$14-('Control Room'!$B$14-1)/2)/MAX(0.5,'Control Room'!$B$14/4))^2),1)*IF(AND($A223&gt;='Control Room'!$A$15,$A223&lt;'Control Room'!$A$15+'Control Room'!$B$15,'Process'!BK4=1),1+('Control Room'!$C$15-1)*EXP(-0.5*(($A223-'Control Room'!$A$15-('Control Room'!$B$15-1)/2)/MAX(0.5,'Control Room'!$B$15/4))^2),1)*IF(AND($A223&gt;='Control Room'!$A$16,$A223&lt;'Control Room'!$A$16+'Control Room'!$B$16,'Process'!BK5=1),1+('Control Room'!$C$16-1)*EXP(-0.5*(($A223-'Control Room'!$A$16-('Control Room'!$B$16-1)/2)/MAX(0.5,'Control Room'!$B$16/4))^2),1)</x:f>
        <x:v>1</x:v>
      </x:c>
      <x:c r="G223" s="9" t="n">
        <x:f>MOD(H222*16807,2147483647)</x:f>
        <x:v>205444960</x:v>
      </x:c>
      <x:c r="H223" s="9" t="n">
        <x:f>MOD(G223*16807,2147483647)</x:f>
        <x:v>1907221991</x:v>
      </x:c>
      <x:c r="I223" s="17" t="n">
        <x:f>IF('Control Room'!$B$5="Normal",'Control Room'!$B$7+'Control Room'!$D$7*SQRT(-2*LN(MAX(0.000000000001,G223/2147483647)))*COS(2*PI()*H223/2147483647),'Control Room'!$B$8+('Control Room'!$D$8-'Control Room'!$B$8)*G223/2147483647)</x:f>
        <x:v>1148.7599046676162</x:v>
      </x:c>
      <x:c r="J223" s="17" t="n">
        <x:f>IF('Control Room'!$B$5="Normal",'Control Room'!$B$7,('Control Room'!$B$8+'Control Room'!$D$8)/2)+'Control Room'!$B$9*(J222-IF('Control Room'!$B$5="Normal",'Control Room'!$B$7,('Control Room'!$B$8+'Control Room'!$D$8)/2))+SQRT(1-'Control Room'!$B$9^2)*(I223-IF('Control Room'!$B$5="Normal",'Control Room'!$B$7,('Control Room'!$B$8+'Control Room'!$D$8)/2))</x:f>
        <x:v>1259.554917432862</x:v>
      </x:c>
      <x:c r="K223" s="17" t="n">
        <x:f>IF(AND($A223&gt;='Control Room'!$A$13,$A223&lt;'Control Room'!$A$13+'Control Room'!$B$13,'Process'!BL2=1),1+('Control Room'!$C$13-1)*EXP(-0.5*(($A223-'Control Room'!$A$13-('Control Room'!$B$13-1)/2)/MAX(0.5,'Control Room'!$B$13/4))^2),1)*IF(AND($A223&gt;='Control Room'!$A$14,$A223&lt;'Control Room'!$A$14+'Control Room'!$B$14,'Process'!BL3=1),1+('Control Room'!$C$14-1)*EXP(-0.5*(($A223-'Control Room'!$A$14-('Control Room'!$B$14-1)/2)/MAX(0.5,'Control Room'!$B$14/4))^2),1)*IF(AND($A223&gt;='Control Room'!$A$15,$A223&lt;'Control Room'!$A$15+'Control Room'!$B$15,'Process'!BL4=1),1+('Control Room'!$C$15-1)*EXP(-0.5*(($A223-'Control Room'!$A$15-('Control Room'!$B$15-1)/2)/MAX(0.5,'Control Room'!$B$15/4))^2),1)*IF(AND($A223&gt;='Control Room'!$A$16,$A223&lt;'Control Room'!$A$16+'Control Room'!$B$16,'Process'!BL5=1),1+('Control Room'!$C$16-1)*EXP(-0.5*(($A223-'Control Room'!$A$16-('Control Room'!$B$16-1)/2)/MAX(0.5,'Control Room'!$B$16/4))^2),1)</x:f>
        <x:v>1</x:v>
      </x:c>
      <x:c r="L223" s="9" t="n">
        <x:f>MOD(M222*16807,2147483647)</x:f>
        <x:v>1884471597</x:v>
      </x:c>
      <x:c r="M223" s="9" t="n">
        <x:f>MOD(L223*16807,2147483647)</x:f>
        <x:v>1225304823</x:v>
      </x:c>
      <x:c r="N223" s="17" t="n">
        <x:f>IF('Control Room'!$B$5="Normal",'Control Room'!$B$7+'Control Room'!$D$7*SQRT(-2*LN(MAX(0.000000000001,L223/2147483647)))*COS(2*PI()*M223/2147483647),'Control Room'!$B$8+('Control Room'!$D$8-'Control Room'!$B$8)*L223/2147483647)</x:f>
        <x:v>958.4441463835097</x:v>
      </x:c>
      <x:c r="O223" s="17" t="n">
        <x:f>IF('Control Room'!$B$5="Normal",'Control Room'!$B$7,('Control Room'!$B$8+'Control Room'!$D$8)/2)+'Control Room'!$B$9*(O222-IF('Control Room'!$B$5="Normal",'Control Room'!$B$7,('Control Room'!$B$8+'Control Room'!$D$8)/2))+SQRT(1-'Control Room'!$B$9^2)*(N223-IF('Control Room'!$B$5="Normal",'Control Room'!$B$7,('Control Room'!$B$8+'Control Room'!$D$8)/2))</x:f>
        <x:v>991.4088050192815</x:v>
      </x:c>
      <x:c r="P223" s="17" t="n">
        <x:f>IF(AND($A223&gt;='Control Room'!$A$13,$A223&lt;'Control Room'!$A$13+'Control Room'!$B$13,'Process'!BM2=1),1+('Control Room'!$C$13-1)*EXP(-0.5*(($A223-'Control Room'!$A$13-('Control Room'!$B$13-1)/2)/MAX(0.5,'Control Room'!$B$13/4))^2),1)*IF(AND($A223&gt;='Control Room'!$A$14,$A223&lt;'Control Room'!$A$14+'Control Room'!$B$14,'Process'!BM3=1),1+('Control Room'!$C$14-1)*EXP(-0.5*(($A223-'Control Room'!$A$14-('Control Room'!$B$14-1)/2)/MAX(0.5,'Control Room'!$B$14/4))^2),1)*IF(AND($A223&gt;='Control Room'!$A$15,$A223&lt;'Control Room'!$A$15+'Control Room'!$B$15,'Process'!BM4=1),1+('Control Room'!$C$15-1)*EXP(-0.5*(($A223-'Control Room'!$A$15-('Control Room'!$B$15-1)/2)/MAX(0.5,'Control Room'!$B$15/4))^2),1)*IF(AND($A223&gt;='Control Room'!$A$16,$A223&lt;'Control Room'!$A$16+'Control Room'!$B$16,'Process'!BM5=1),1+('Control Room'!$C$16-1)*EXP(-0.5*(($A223-'Control Room'!$A$16-('Control Room'!$B$16-1)/2)/MAX(0.5,'Control Room'!$B$16/4))^2),1)</x:f>
        <x:v>1</x:v>
      </x:c>
      <x:c r="Q223" s="9" t="n">
        <x:f>MOD(R222*16807,2147483647)</x:f>
        <x:v>1416014587</x:v>
      </x:c>
      <x:c r="R223" s="9" t="n">
        <x:f>MOD(Q223*16807,2147483647)</x:f>
        <x:v>543387655</x:v>
      </x:c>
      <x:c r="S223" s="17" t="n">
        <x:f>IF('Control Room'!$B$5="Normal",'Control Room'!$B$7+'Control Room'!$D$7*SQRT(-2*LN(MAX(0.000000000001,Q223/2147483647)))*COS(2*PI()*R223/2147483647),'Control Room'!$B$8+('Control Room'!$D$8-'Control Room'!$B$8)*Q223/2147483647)</x:f>
        <x:v>998.4339937861952</x:v>
      </x:c>
      <x:c r="T223" s="17" t="n">
        <x:f>IF('Control Room'!$B$5="Normal",'Control Room'!$B$7,('Control Room'!$B$8+'Control Room'!$D$8)/2)+'Control Room'!$B$9*(T222-IF('Control Room'!$B$5="Normal",'Control Room'!$B$7,('Control Room'!$B$8+'Control Room'!$D$8)/2))+SQRT(1-'Control Room'!$B$9^2)*(S223-IF('Control Room'!$B$5="Normal",'Control Room'!$B$7,('Control Room'!$B$8+'Control Room'!$D$8)/2))</x:f>
        <x:v>914.1276966807263</x:v>
      </x:c>
      <x:c r="U223" s="17" t="n">
        <x:f>IF(AND($A223&gt;='Control Room'!$A$13,$A223&lt;'Control Room'!$A$13+'Control Room'!$B$13,'Process'!BN2=1),1+('Control Room'!$C$13-1)*EXP(-0.5*(($A223-'Control Room'!$A$13-('Control Room'!$B$13-1)/2)/MAX(0.5,'Control Room'!$B$13/4))^2),1)*IF(AND($A223&gt;='Control Room'!$A$14,$A223&lt;'Control Room'!$A$14+'Control Room'!$B$14,'Process'!BN3=1),1+('Control Room'!$C$14-1)*EXP(-0.5*(($A223-'Control Room'!$A$14-('Control Room'!$B$14-1)/2)/MAX(0.5,'Control Room'!$B$14/4))^2),1)*IF(AND($A223&gt;='Control Room'!$A$15,$A223&lt;'Control Room'!$A$15+'Control Room'!$B$15,'Process'!BN4=1),1+('Control Room'!$C$15-1)*EXP(-0.5*(($A223-'Control Room'!$A$15-('Control Room'!$B$15-1)/2)/MAX(0.5,'Control Room'!$B$15/4))^2),1)*IF(AND($A223&gt;='Control Room'!$A$16,$A223&lt;'Control Room'!$A$16+'Control Room'!$B$16,'Process'!BN5=1),1+('Control Room'!$C$16-1)*EXP(-0.5*(($A223-'Control Room'!$A$16-('Control Room'!$B$16-1)/2)/MAX(0.5,'Control Room'!$B$16/4))^2),1)</x:f>
        <x:v>1</x:v>
      </x:c>
      <x:c r="V223" s="9" t="n">
        <x:f>MOD(W222*16807,2147483647)</x:f>
        <x:v>947557577</x:v>
      </x:c>
      <x:c r="W223" s="9" t="n">
        <x:f>MOD(V223*16807,2147483647)</x:f>
        <x:v>2008954134</x:v>
      </x:c>
      <x:c r="X223" s="17" t="n">
        <x:f>IF('Control Room'!$B$5="Normal",'Control Room'!$B$7+'Control Room'!$D$7*SQRT(-2*LN(MAX(0.000000000001,V223/2147483647)))*COS(2*PI()*W223/2147483647),'Control Room'!$B$8+('Control Room'!$D$8-'Control Room'!$B$8)*V223/2147483647)</x:f>
        <x:v>1105.799367017954</x:v>
      </x:c>
      <x:c r="Y223" s="17" t="n">
        <x:f>IF('Control Room'!$B$5="Normal",'Control Room'!$B$7,('Control Room'!$B$8+'Control Room'!$D$8)/2)+'Control Room'!$B$9*(Y222-IF('Control Room'!$B$5="Normal",'Control Room'!$B$7,('Control Room'!$B$8+'Control Room'!$D$8)/2))+SQRT(1-'Control Room'!$B$9^2)*(X223-IF('Control Room'!$B$5="Normal",'Control Room'!$B$7,('Control Room'!$B$8+'Control Room'!$D$8)/2))</x:f>
        <x:v>1174.8483037487586</x:v>
      </x:c>
      <x:c r="Z223" s="17" t="n">
        <x:f>IF(AND($A223&gt;='Control Room'!$A$13,$A223&lt;'Control Room'!$A$13+'Control Room'!$B$13,'Process'!BO2=1),1+('Control Room'!$C$13-1)*EXP(-0.5*(($A223-'Control Room'!$A$13-('Control Room'!$B$13-1)/2)/MAX(0.5,'Control Room'!$B$13/4))^2),1)*IF(AND($A223&gt;='Control Room'!$A$14,$A223&lt;'Control Room'!$A$14+'Control Room'!$B$14,'Process'!BO3=1),1+('Control Room'!$C$14-1)*EXP(-0.5*(($A223-'Control Room'!$A$14-('Control Room'!$B$14-1)/2)/MAX(0.5,'Control Room'!$B$14/4))^2),1)*IF(AND($A223&gt;='Control Room'!$A$15,$A223&lt;'Control Room'!$A$15+'Control Room'!$B$15,'Process'!BO4=1),1+('Control Room'!$C$15-1)*EXP(-0.5*(($A223-'Control Room'!$A$15-('Control Room'!$B$15-1)/2)/MAX(0.5,'Control Room'!$B$15/4))^2),1)*IF(AND($A223&gt;='Control Room'!$A$16,$A223&lt;'Control Room'!$A$16+'Control Room'!$B$16,'Process'!BO5=1),1+('Control Room'!$C$16-1)*EXP(-0.5*(($A223-'Control Room'!$A$16-('Control Room'!$B$16-1)/2)/MAX(0.5,'Control Room'!$B$16/4))^2),1)</x:f>
        <x:v>1</x:v>
      </x:c>
      <x:c r="AA223" s="9" t="n">
        <x:f>MOD(AB222*16807,2147483647)</x:f>
        <x:v>479100567</x:v>
      </x:c>
      <x:c r="AB223" s="9" t="n">
        <x:f>MOD(AA223*16807,2147483647)</x:f>
        <x:v>1327036966</x:v>
      </x:c>
      <x:c r="AC223" s="17" t="n">
        <x:f>IF('Control Room'!$B$5="Normal",'Control Room'!$B$7+'Control Room'!$D$7*SQRT(-2*LN(MAX(0.000000000001,AA223/2147483647)))*COS(2*PI()*AB223/2147483647),'Control Room'!$B$8+('Control Room'!$D$8-'Control Room'!$B$8)*AA223/2147483647)</x:f>
        <x:v>884.9944207686076</x:v>
      </x:c>
      <x:c r="AD223" s="17" t="n">
        <x:f>IF('Control Room'!$B$5="Normal",'Control Room'!$B$7,('Control Room'!$B$8+'Control Room'!$D$8)/2)+'Control Room'!$B$9*(AD222-IF('Control Room'!$B$5="Normal",'Control Room'!$B$7,('Control Room'!$B$8+'Control Room'!$D$8)/2))+SQRT(1-'Control Room'!$B$9^2)*(AC223-IF('Control Room'!$B$5="Normal",'Control Room'!$B$7,('Control Room'!$B$8+'Control Room'!$D$8)/2))</x:f>
        <x:v>839.7348527095321</x:v>
      </x:c>
      <x:c r="AE223" s="17" t="n">
        <x:f>IF(AND($A223&gt;='Control Room'!$A$13,$A223&lt;'Control Room'!$A$13+'Control Room'!$B$13,'Process'!BP2=1),1+('Control Room'!$C$13-1)*EXP(-0.5*(($A223-'Control Room'!$A$13-('Control Room'!$B$13-1)/2)/MAX(0.5,'Control Room'!$B$13/4))^2),1)*IF(AND($A223&gt;='Control Room'!$A$14,$A223&lt;'Control Room'!$A$14+'Control Room'!$B$14,'Process'!BP3=1),1+('Control Room'!$C$14-1)*EXP(-0.5*(($A223-'Control Room'!$A$14-('Control Room'!$B$14-1)/2)/MAX(0.5,'Control Room'!$B$14/4))^2),1)*IF(AND($A223&gt;='Control Room'!$A$15,$A223&lt;'Control Room'!$A$15+'Control Room'!$B$15,'Process'!BP4=1),1+('Control Room'!$C$15-1)*EXP(-0.5*(($A223-'Control Room'!$A$15-('Control Room'!$B$15-1)/2)/MAX(0.5,'Control Room'!$B$15/4))^2),1)*IF(AND($A223&gt;='Control Room'!$A$16,$A223&lt;'Control Room'!$A$16+'Control Room'!$B$16,'Process'!BP5=1),1+('Control Room'!$C$16-1)*EXP(-0.5*(($A223-'Control Room'!$A$16-('Control Room'!$B$16-1)/2)/MAX(0.5,'Control Room'!$B$16/4))^2),1)</x:f>
        <x:v>1</x:v>
      </x:c>
      <x:c r="AF223" s="9" t="n">
        <x:f>MOD(AG222*16807,2147483647)</x:f>
        <x:v>10643557</x:v>
      </x:c>
      <x:c r="AG223" s="9" t="n">
        <x:f>MOD(AF223*16807,2147483647)</x:f>
        <x:v>645119798</x:v>
      </x:c>
      <x:c r="AH223" s="17" t="n">
        <x:f>IF('Control Room'!$B$5="Normal",'Control Room'!$B$7+'Control Room'!$D$7*SQRT(-2*LN(MAX(0.000000000001,AF223/2147483647)))*COS(2*PI()*AG223/2147483647),'Control Room'!$B$8+('Control Room'!$D$8-'Control Room'!$B$8)*AF223/2147483647)</x:f>
        <x:v>908.6782312148302</x:v>
      </x:c>
      <x:c r="AI223" s="17" t="n">
        <x:f>IF('Control Room'!$B$5="Normal",'Control Room'!$B$7,('Control Room'!$B$8+'Control Room'!$D$8)/2)+'Control Room'!$B$9*(AI222-IF('Control Room'!$B$5="Normal",'Control Room'!$B$7,('Control Room'!$B$8+'Control Room'!$D$8)/2))+SQRT(1-'Control Room'!$B$9^2)*(AH223-IF('Control Room'!$B$5="Normal",'Control Room'!$B$7,('Control Room'!$B$8+'Control Room'!$D$8)/2))</x:f>
        <x:v>991.9763056646091</x:v>
      </x:c>
      <x:c r="AJ223" s="17" t="n">
        <x:f>IF(AND($A223&gt;='Control Room'!$A$13,$A223&lt;'Control Room'!$A$13+'Control Room'!$B$13,'Process'!BQ2=1),1+('Control Room'!$C$13-1)*EXP(-0.5*(($A223-'Control Room'!$A$13-('Control Room'!$B$13-1)/2)/MAX(0.5,'Control Room'!$B$13/4))^2),1)*IF(AND($A223&gt;='Control Room'!$A$14,$A223&lt;'Control Room'!$A$14+'Control Room'!$B$14,'Process'!BQ3=1),1+('Control Room'!$C$14-1)*EXP(-0.5*(($A223-'Control Room'!$A$14-('Control Room'!$B$14-1)/2)/MAX(0.5,'Control Room'!$B$14/4))^2),1)*IF(AND($A223&gt;='Control Room'!$A$15,$A223&lt;'Control Room'!$A$15+'Control Room'!$B$15,'Process'!BQ4=1),1+('Control Room'!$C$15-1)*EXP(-0.5*(($A223-'Control Room'!$A$15-('Control Room'!$B$15-1)/2)/MAX(0.5,'Control Room'!$B$15/4))^2),1)*IF(AND($A223&gt;='Control Room'!$A$16,$A223&lt;'Control Room'!$A$16+'Control Room'!$B$16,'Process'!BQ5=1),1+('Control Room'!$C$16-1)*EXP(-0.5*(($A223-'Control Room'!$A$16-('Control Room'!$B$16-1)/2)/MAX(0.5,'Control Room'!$B$16/4))^2),1)</x:f>
        <x:v>1</x:v>
      </x:c>
      <x:c r="AK223" s="9" t="n">
        <x:f>MOD(AL222*16807,2147483647)</x:f>
        <x:v>1689670194</x:v>
      </x:c>
      <x:c r="AL223" s="9" t="n">
        <x:f>MOD(AK223*16807,2147483647)</x:f>
        <x:v>2110686277</x:v>
      </x:c>
      <x:c r="AM223" s="17" t="n">
        <x:f>IF('Control Room'!$B$5="Normal",'Control Room'!$B$7+'Control Room'!$D$7*SQRT(-2*LN(MAX(0.000000000001,AK223/2147483647)))*COS(2*PI()*AL223/2147483647),'Control Room'!$B$8+('Control Room'!$D$8-'Control Room'!$B$8)*AK223/2147483647)</x:f>
        <x:v>1061.962231243755</x:v>
      </x:c>
      <x:c r="AN223" s="17" t="n">
        <x:f>IF('Control Room'!$B$5="Normal",'Control Room'!$B$7,('Control Room'!$B$8+'Control Room'!$D$8)/2)+'Control Room'!$B$9*(AN222-IF('Control Room'!$B$5="Normal",'Control Room'!$B$7,('Control Room'!$B$8+'Control Room'!$D$8)/2))+SQRT(1-'Control Room'!$B$9^2)*(AM223-IF('Control Room'!$B$5="Normal",'Control Room'!$B$7,('Control Room'!$B$8+'Control Room'!$D$8)/2))</x:f>
        <x:v>956.2136560783173</x:v>
      </x:c>
      <x:c r="AO223" s="17" t="n">
        <x:f>IF(AND($A223&gt;='Control Room'!$A$13,$A223&lt;'Control Room'!$A$13+'Control Room'!$B$13,'Process'!BR2=1),1+('Control Room'!$C$13-1)*EXP(-0.5*(($A223-'Control Room'!$A$13-('Control Room'!$B$13-1)/2)/MAX(0.5,'Control Room'!$B$13/4))^2),1)*IF(AND($A223&gt;='Control Room'!$A$14,$A223&lt;'Control Room'!$A$14+'Control Room'!$B$14,'Process'!BR3=1),1+('Control Room'!$C$14-1)*EXP(-0.5*(($A223-'Control Room'!$A$14-('Control Room'!$B$14-1)/2)/MAX(0.5,'Control Room'!$B$14/4))^2),1)*IF(AND($A223&gt;='Control Room'!$A$15,$A223&lt;'Control Room'!$A$15+'Control Room'!$B$15,'Process'!BR4=1),1+('Control Room'!$C$15-1)*EXP(-0.5*(($A223-'Control Room'!$A$15-('Control Room'!$B$15-1)/2)/MAX(0.5,'Control Room'!$B$15/4))^2),1)*IF(AND($A223&gt;='Control Room'!$A$16,$A223&lt;'Control Room'!$A$16+'Control Room'!$B$16,'Process'!BR5=1),1+('Control Room'!$C$16-1)*EXP(-0.5*(($A223-'Control Room'!$A$16-('Control Room'!$B$16-1)/2)/MAX(0.5,'Control Room'!$B$16/4))^2),1)</x:f>
        <x:v>1</x:v>
      </x:c>
      <x:c r="AP223" s="9" t="n">
        <x:f>MOD(AQ222*16807,2147483647)</x:f>
        <x:v>1221213184</x:v>
      </x:c>
      <x:c r="AQ223" s="9" t="n">
        <x:f>MOD(AP223*16807,2147483647)</x:f>
        <x:v>1428769109</x:v>
      </x:c>
      <x:c r="AR223" s="17" t="n">
        <x:f>IF('Control Room'!$B$5="Normal",'Control Room'!$B$7+'Control Room'!$D$7*SQRT(-2*LN(MAX(0.000000000001,AP223/2147483647)))*COS(2*PI()*AQ223/2147483647),'Control Room'!$B$8+('Control Room'!$D$8-'Control Room'!$B$8)*AP223/2147483647)</x:f>
        <x:v>951.4898281916336</x:v>
      </x:c>
      <x:c r="AS223" s="17" t="n">
        <x:f>IF('Control Room'!$B$5="Normal",'Control Room'!$B$7,('Control Room'!$B$8+'Control Room'!$D$8)/2)+'Control Room'!$B$9*(AS222-IF('Control Room'!$B$5="Normal",'Control Room'!$B$7,('Control Room'!$B$8+'Control Room'!$D$8)/2))+SQRT(1-'Control Room'!$B$9^2)*(AR223-IF('Control Room'!$B$5="Normal",'Control Room'!$B$7,('Control Room'!$B$8+'Control Room'!$D$8)/2))</x:f>
        <x:v>969.559225992208</x:v>
      </x:c>
      <x:c r="AT223" s="17" t="n">
        <x:f>IF(AND($A223&gt;='Control Room'!$A$13,$A223&lt;'Control Room'!$A$13+'Control Room'!$B$13,'Process'!BS2=1),1+('Control Room'!$C$13-1)*EXP(-0.5*(($A223-'Control Room'!$A$13-('Control Room'!$B$13-1)/2)/MAX(0.5,'Control Room'!$B$13/4))^2),1)*IF(AND($A223&gt;='Control Room'!$A$14,$A223&lt;'Control Room'!$A$14+'Control Room'!$B$14,'Process'!BS3=1),1+('Control Room'!$C$14-1)*EXP(-0.5*(($A223-'Control Room'!$A$14-('Control Room'!$B$14-1)/2)/MAX(0.5,'Control Room'!$B$14/4))^2),1)*IF(AND($A223&gt;='Control Room'!$A$15,$A223&lt;'Control Room'!$A$15+'Control Room'!$B$15,'Process'!BS4=1),1+('Control Room'!$C$15-1)*EXP(-0.5*(($A223-'Control Room'!$A$15-('Control Room'!$B$15-1)/2)/MAX(0.5,'Control Room'!$B$15/4))^2),1)*IF(AND($A223&gt;='Control Room'!$A$16,$A223&lt;'Control Room'!$A$16+'Control Room'!$B$16,'Process'!BS5=1),1+('Control Room'!$C$16-1)*EXP(-0.5*(($A223-'Control Room'!$A$16-('Control Room'!$B$16-1)/2)/MAX(0.5,'Control Room'!$B$16/4))^2),1)</x:f>
        <x:v>1</x:v>
      </x:c>
      <x:c r="AU223" s="9" t="n">
        <x:f>MOD(AV222*16807,2147483647)</x:f>
        <x:v>752756174</x:v>
      </x:c>
      <x:c r="AV223" s="9" t="n">
        <x:f>MOD(AU223*16807,2147483647)</x:f>
        <x:v>746851941</x:v>
      </x:c>
      <x:c r="AW223" s="17" t="n">
        <x:f>IF('Control Room'!$B$5="Normal",'Control Room'!$B$7+'Control Room'!$D$7*SQRT(-2*LN(MAX(0.000000000001,AU223/2147483647)))*COS(2*PI()*AV223/2147483647),'Control Room'!$B$8+('Control Room'!$D$8-'Control Room'!$B$8)*AU223/2147483647)</x:f>
        <x:v>924.8793101257378</x:v>
      </x:c>
      <x:c r="AX223" s="17" t="n">
        <x:f>IF('Control Room'!$B$5="Normal",'Control Room'!$B$7,('Control Room'!$B$8+'Control Room'!$D$8)/2)+'Control Room'!$B$9*(AX222-IF('Control Room'!$B$5="Normal",'Control Room'!$B$7,('Control Room'!$B$8+'Control Room'!$D$8)/2))+SQRT(1-'Control Room'!$B$9^2)*(AW223-IF('Control Room'!$B$5="Normal",'Control Room'!$B$7,('Control Room'!$B$8+'Control Room'!$D$8)/2))</x:f>
        <x:v>1071.6489310560758</x:v>
      </x:c>
      <x:c r="AY223" s="17" t="n">
        <x:f>IF(AND($A223&gt;='Control Room'!$A$13,$A223&lt;'Control Room'!$A$13+'Control Room'!$B$13,'Process'!BT2=1),1+('Control Room'!$C$13-1)*EXP(-0.5*(($A223-'Control Room'!$A$13-('Control Room'!$B$13-1)/2)/MAX(0.5,'Control Room'!$B$13/4))^2),1)*IF(AND($A223&gt;='Control Room'!$A$14,$A223&lt;'Control Room'!$A$14+'Control Room'!$B$14,'Process'!BT3=1),1+('Control Room'!$C$14-1)*EXP(-0.5*(($A223-'Control Room'!$A$14-('Control Room'!$B$14-1)/2)/MAX(0.5,'Control Room'!$B$14/4))^2),1)*IF(AND($A223&gt;='Control Room'!$A$15,$A223&lt;'Control Room'!$A$15+'Control Room'!$B$15,'Process'!BT4=1),1+('Control Room'!$C$15-1)*EXP(-0.5*(($A223-'Control Room'!$A$15-('Control Room'!$B$15-1)/2)/MAX(0.5,'Control Room'!$B$15/4))^2),1)*IF(AND($A223&gt;='Control Room'!$A$16,$A223&lt;'Control Room'!$A$16+'Control Room'!$B$16,'Process'!BT5=1),1+('Control Room'!$C$16-1)*EXP(-0.5*(($A223-'Control Room'!$A$16-('Control Room'!$B$16-1)/2)/MAX(0.5,'Control Room'!$B$16/4))^2),1)</x:f>
        <x:v>1</x:v>
      </x:c>
      <x:c r="AZ223" s="9" t="n">
        <x:f>MOD(BA222*16807,2147483647)</x:f>
        <x:v>284299164</x:v>
      </x:c>
      <x:c r="BA223" s="9" t="n">
        <x:f>MOD(AZ223*16807,2147483647)</x:f>
        <x:v>64934773</x:v>
      </x:c>
      <x:c r="BB223" s="17" t="n">
        <x:f>IF('Control Room'!$B$5="Normal",'Control Room'!$B$7+'Control Room'!$D$7*SQRT(-2*LN(MAX(0.000000000001,AZ223/2147483647)))*COS(2*PI()*BA223/2147483647),'Control Room'!$B$8+('Control Room'!$D$8-'Control Room'!$B$8)*AZ223/2147483647)</x:f>
        <x:v>1177.731777452566</x:v>
      </x:c>
      <x:c r="BC223" s="17" t="n">
        <x:f>IF('Control Room'!$B$5="Normal",'Control Room'!$B$7,('Control Room'!$B$8+'Control Room'!$D$8)/2)+'Control Room'!$B$9*(BC222-IF('Control Room'!$B$5="Normal",'Control Room'!$B$7,('Control Room'!$B$8+'Control Room'!$D$8)/2))+SQRT(1-'Control Room'!$B$9^2)*(BB223-IF('Control Room'!$B$5="Normal",'Control Room'!$B$7,('Control Room'!$B$8+'Control Room'!$D$8)/2))</x:f>
        <x:v>937.6112013795889</x:v>
      </x:c>
      <x:c r="BD223" s="17" t="n">
        <x:f>IF(AND($A223&gt;='Control Room'!$A$13,$A223&lt;'Control Room'!$A$13+'Control Room'!$B$13,'Process'!BU2=1),1+('Control Room'!$C$13-1)*EXP(-0.5*(($A223-'Control Room'!$A$13-('Control Room'!$B$13-1)/2)/MAX(0.5,'Control Room'!$B$13/4))^2),1)*IF(AND($A223&gt;='Control Room'!$A$14,$A223&lt;'Control Room'!$A$14+'Control Room'!$B$14,'Process'!BU3=1),1+('Control Room'!$C$14-1)*EXP(-0.5*(($A223-'Control Room'!$A$14-('Control Room'!$B$14-1)/2)/MAX(0.5,'Control Room'!$B$14/4))^2),1)*IF(AND($A223&gt;='Control Room'!$A$15,$A223&lt;'Control Room'!$A$15+'Control Room'!$B$15,'Process'!BU4=1),1+('Control Room'!$C$15-1)*EXP(-0.5*(($A223-'Control Room'!$A$15-('Control Room'!$B$15-1)/2)/MAX(0.5,'Control Room'!$B$15/4))^2),1)*IF(AND($A223&gt;='Control Room'!$A$16,$A223&lt;'Control Room'!$A$16+'Control Room'!$B$16,'Process'!BU5=1),1+('Control Room'!$C$16-1)*EXP(-0.5*(($A223-'Control Room'!$A$16-('Control Room'!$B$16-1)/2)/MAX(0.5,'Control Room'!$B$16/4))^2),1)</x:f>
        <x:v>1</x:v>
      </x:c>
      <x:c r="BE223" s="9" t="n">
        <x:f>MOD(BF222*16807,2147483647)</x:f>
        <x:v>1963325801</x:v>
      </x:c>
      <x:c r="BF223" s="9" t="n">
        <x:f>MOD(BE223*16807,2147483647)</x:f>
        <x:v>1530501252</x:v>
      </x:c>
      <x:c r="BG223" s="17" t="n">
        <x:f>IF('Control Room'!$B$5="Normal",'Control Room'!$B$7+'Control Room'!$D$7*SQRT(-2*LN(MAX(0.000000000001,BE223/2147483647)))*COS(2*PI()*BF223/2147483647),'Control Room'!$B$8+('Control Room'!$D$8-'Control Room'!$B$8)*BE223/2147483647)</x:f>
        <x:v>991.1486379410023</x:v>
      </x:c>
      <x:c r="BH223" s="17" t="n">
        <x:f>IF('Control Room'!$B$5="Normal",'Control Room'!$B$7,('Control Room'!$B$8+'Control Room'!$D$8)/2)+'Control Room'!$B$9*(BH222-IF('Control Room'!$B$5="Normal",'Control Room'!$B$7,('Control Room'!$B$8+'Control Room'!$D$8)/2))+SQRT(1-'Control Room'!$B$9^2)*(BG223-IF('Control Room'!$B$5="Normal",'Control Room'!$B$7,('Control Room'!$B$8+'Control Room'!$D$8)/2))</x:f>
        <x:v>1022.4388425812888</x:v>
      </x:c>
      <x:c r="BI223" s="17" t="n">
        <x:f>IF(AND($A223&gt;='Control Room'!$A$13,$A223&lt;'Control Room'!$A$13+'Control Room'!$B$13,'Process'!BV2=1),1+('Control Room'!$C$13-1)*EXP(-0.5*(($A223-'Control Room'!$A$13-('Control Room'!$B$13-1)/2)/MAX(0.5,'Control Room'!$B$13/4))^2),1)*IF(AND($A223&gt;='Control Room'!$A$14,$A223&lt;'Control Room'!$A$14+'Control Room'!$B$14,'Process'!BV3=1),1+('Control Room'!$C$14-1)*EXP(-0.5*(($A223-'Control Room'!$A$14-('Control Room'!$B$14-1)/2)/MAX(0.5,'Control Room'!$B$14/4))^2),1)*IF(AND($A223&gt;='Control Room'!$A$15,$A223&lt;'Control Room'!$A$15+'Control Room'!$B$15,'Process'!BV4=1),1+('Control Room'!$C$15-1)*EXP(-0.5*(($A223-'Control Room'!$A$15-('Control Room'!$B$15-1)/2)/MAX(0.5,'Control Room'!$B$15/4))^2),1)*IF(AND($A223&gt;='Control Room'!$A$16,$A223&lt;'Control Room'!$A$16+'Control Room'!$B$16,'Process'!BV5=1),1+('Control Room'!$C$16-1)*EXP(-0.5*(($A223-'Control Room'!$A$16-('Control Room'!$B$16-1)/2)/MAX(0.5,'Control Room'!$B$16/4))^2),1)</x:f>
        <x:v>1</x:v>
      </x:c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Z223" t="str">
        <x:f>IF('Data'!A223="","",TEXT('Data'!A223,"mm-dd"))</x:f>
      </x:c>
    </x:row>
    <x:row r="224" ht="21" customHeight="1">
      <x:c r="A224" s="15" t="n">
        <x:f>'Control Room'!$B$1+222</x:f>
        <x:v>73213</x:v>
      </x:c>
      <x:c r="B224" s="9" t="n">
        <x:f>MOD(C223*16807,2147483647)</x:f>
        <x:v>1200706152</x:v>
      </x:c>
      <x:c r="C224" s="9" t="n">
        <x:f>MOD(B224*16807,2147483647)</x:f>
        <x:v>364465805</x:v>
      </x:c>
      <x:c r="D224" s="17" t="n">
        <x:f>IF('Control Room'!$B$5="Normal",'Control Room'!$B$7+'Control Room'!$D$7*SQRT(-2*LN(MAX(0.000000000001,B224/2147483647)))*COS(2*PI()*C224/2147483647),'Control Room'!$B$8+('Control Room'!$D$8-'Control Room'!$B$8)*B224/2147483647)</x:f>
        <x:v>1046.904430468739</x:v>
      </x:c>
      <x:c r="E224" s="17" t="n">
        <x:f>IF('Control Room'!$B$5="Normal",'Control Room'!$B$7,('Control Room'!$B$8+'Control Room'!$D$8)/2)+'Control Room'!$B$9*(E223-IF('Control Room'!$B$5="Normal",'Control Room'!$B$7,('Control Room'!$B$8+'Control Room'!$D$8)/2))+SQRT(1-'Control Room'!$B$9^2)*(D224-IF('Control Room'!$B$5="Normal",'Control Room'!$B$7,('Control Room'!$B$8+'Control Room'!$D$8)/2))</x:f>
        <x:v>909.5488785544094</x:v>
      </x:c>
      <x:c r="F224" s="17" t="n">
        <x:f>IF(AND($A224&gt;='Control Room'!$A$13,$A224&lt;'Control Room'!$A$13+'Control Room'!$B$13,'Process'!BK2=1),1+('Control Room'!$C$13-1)*EXP(-0.5*(($A224-'Control Room'!$A$13-('Control Room'!$B$13-1)/2)/MAX(0.5,'Control Room'!$B$13/4))^2),1)*IF(AND($A224&gt;='Control Room'!$A$14,$A224&lt;'Control Room'!$A$14+'Control Room'!$B$14,'Process'!BK3=1),1+('Control Room'!$C$14-1)*EXP(-0.5*(($A224-'Control Room'!$A$14-('Control Room'!$B$14-1)/2)/MAX(0.5,'Control Room'!$B$14/4))^2),1)*IF(AND($A224&gt;='Control Room'!$A$15,$A224&lt;'Control Room'!$A$15+'Control Room'!$B$15,'Process'!BK4=1),1+('Control Room'!$C$15-1)*EXP(-0.5*(($A224-'Control Room'!$A$15-('Control Room'!$B$15-1)/2)/MAX(0.5,'Control Room'!$B$15/4))^2),1)*IF(AND($A224&gt;='Control Room'!$A$16,$A224&lt;'Control Room'!$A$16+'Control Room'!$B$16,'Process'!BK5=1),1+('Control Room'!$C$16-1)*EXP(-0.5*(($A224-'Control Room'!$A$16-('Control Room'!$B$16-1)/2)/MAX(0.5,'Control Room'!$B$16/4))^2),1)</x:f>
        <x:v>1</x:v>
      </x:c>
      <x:c r="G224" s="9" t="n">
        <x:f>MOD(H223*16807,2147483647)</x:f>
        <x:v>1339087615</x:v>
      </x:c>
      <x:c r="H224" s="9" t="n">
        <x:f>MOD(G224*16807,2147483647)</x:f>
        <x:v>416924745</x:v>
      </x:c>
      <x:c r="I224" s="17" t="n">
        <x:f>IF('Control Room'!$B$5="Normal",'Control Room'!$B$7+'Control Room'!$D$7*SQRT(-2*LN(MAX(0.000000000001,G224/2147483647)))*COS(2*PI()*H224/2147483647),'Control Room'!$B$8+('Control Room'!$D$8-'Control Room'!$B$8)*G224/2147483647)</x:f>
        <x:v>1030.0714996727108</x:v>
      </x:c>
      <x:c r="J224" s="17" t="n">
        <x:f>IF('Control Room'!$B$5="Normal",'Control Room'!$B$7,('Control Room'!$B$8+'Control Room'!$D$8)/2)+'Control Room'!$B$9*(J223-IF('Control Room'!$B$5="Normal",'Control Room'!$B$7,('Control Room'!$B$8+'Control Room'!$D$8)/2))+SQRT(1-'Control Room'!$B$9^2)*(I224-IF('Control Room'!$B$5="Normal",'Control Room'!$B$7,('Control Room'!$B$8+'Control Room'!$D$8)/2))</x:f>
        <x:v>1221.270964044659</x:v>
      </x:c>
      <x:c r="K224" s="17" t="n">
        <x:f>IF(AND($A224&gt;='Control Room'!$A$13,$A224&lt;'Control Room'!$A$13+'Control Room'!$B$13,'Process'!BL2=1),1+('Control Room'!$C$13-1)*EXP(-0.5*(($A224-'Control Room'!$A$13-('Control Room'!$B$13-1)/2)/MAX(0.5,'Control Room'!$B$13/4))^2),1)*IF(AND($A224&gt;='Control Room'!$A$14,$A224&lt;'Control Room'!$A$14+'Control Room'!$B$14,'Process'!BL3=1),1+('Control Room'!$C$14-1)*EXP(-0.5*(($A224-'Control Room'!$A$14-('Control Room'!$B$14-1)/2)/MAX(0.5,'Control Room'!$B$14/4))^2),1)*IF(AND($A224&gt;='Control Room'!$A$15,$A224&lt;'Control Room'!$A$15+'Control Room'!$B$15,'Process'!BL4=1),1+('Control Room'!$C$15-1)*EXP(-0.5*(($A224-'Control Room'!$A$15-('Control Room'!$B$15-1)/2)/MAX(0.5,'Control Room'!$B$15/4))^2),1)*IF(AND($A224&gt;='Control Room'!$A$16,$A224&lt;'Control Room'!$A$16+'Control Room'!$B$16,'Process'!BL5=1),1+('Control Room'!$C$16-1)*EXP(-0.5*(($A224-'Control Room'!$A$16-('Control Room'!$B$16-1)/2)/MAX(0.5,'Control Room'!$B$16/4))^2),1)</x:f>
        <x:v>1</x:v>
      </x:c>
      <x:c r="L224" s="9" t="n">
        <x:f>MOD(M223*16807,2147483647)</x:f>
        <x:v>1477469078</x:v>
      </x:c>
      <x:c r="M224" s="9" t="n">
        <x:f>MOD(L224*16807,2147483647)</x:f>
        <x:v>469383685</x:v>
      </x:c>
      <x:c r="N224" s="17" t="n">
        <x:f>IF('Control Room'!$B$5="Normal",'Control Room'!$B$7+'Control Room'!$D$7*SQRT(-2*LN(MAX(0.000000000001,L224/2147483647)))*COS(2*PI()*M224/2147483647),'Control Room'!$B$8+('Control Room'!$D$8-'Control Room'!$B$8)*L224/2147483647)</x:f>
        <x:v>1015.2693122732837</x:v>
      </x:c>
      <x:c r="O224" s="17" t="n">
        <x:f>IF('Control Room'!$B$5="Normal",'Control Room'!$B$7,('Control Room'!$B$8+'Control Room'!$D$8)/2)+'Control Room'!$B$9*(O223-IF('Control Room'!$B$5="Normal",'Control Room'!$B$7,('Control Room'!$B$8+'Control Room'!$D$8)/2))+SQRT(1-'Control Room'!$B$9^2)*(N224-IF('Control Room'!$B$5="Normal",'Control Room'!$B$7,('Control Room'!$B$8+'Control Room'!$D$8)/2))</x:f>
        <x:v>1002.854090726796</x:v>
      </x:c>
      <x:c r="P224" s="17" t="n">
        <x:f>IF(AND($A224&gt;='Control Room'!$A$13,$A224&lt;'Control Room'!$A$13+'Control Room'!$B$13,'Process'!BM2=1),1+('Control Room'!$C$13-1)*EXP(-0.5*(($A224-'Control Room'!$A$13-('Control Room'!$B$13-1)/2)/MAX(0.5,'Control Room'!$B$13/4))^2),1)*IF(AND($A224&gt;='Control Room'!$A$14,$A224&lt;'Control Room'!$A$14+'Control Room'!$B$14,'Process'!BM3=1),1+('Control Room'!$C$14-1)*EXP(-0.5*(($A224-'Control Room'!$A$14-('Control Room'!$B$14-1)/2)/MAX(0.5,'Control Room'!$B$14/4))^2),1)*IF(AND($A224&gt;='Control Room'!$A$15,$A224&lt;'Control Room'!$A$15+'Control Room'!$B$15,'Process'!BM4=1),1+('Control Room'!$C$15-1)*EXP(-0.5*(($A224-'Control Room'!$A$15-('Control Room'!$B$15-1)/2)/MAX(0.5,'Control Room'!$B$15/4))^2),1)*IF(AND($A224&gt;='Control Room'!$A$16,$A224&lt;'Control Room'!$A$16+'Control Room'!$B$16,'Process'!BM5=1),1+('Control Room'!$C$16-1)*EXP(-0.5*(($A224-'Control Room'!$A$16-('Control Room'!$B$16-1)/2)/MAX(0.5,'Control Room'!$B$16/4))^2),1)</x:f>
        <x:v>1</x:v>
      </x:c>
      <x:c r="Q224" s="9" t="n">
        <x:f>MOD(R223*16807,2147483647)</x:f>
        <x:v>1615850541</x:v>
      </x:c>
      <x:c r="R224" s="9" t="n">
        <x:f>MOD(Q224*16807,2147483647)</x:f>
        <x:v>521842625</x:v>
      </x:c>
      <x:c r="S224" s="17" t="n">
        <x:f>IF('Control Room'!$B$5="Normal",'Control Room'!$B$7+'Control Room'!$D$7*SQRT(-2*LN(MAX(0.000000000001,Q224/2147483647)))*COS(2*PI()*R224/2147483647),'Control Room'!$B$8+('Control Room'!$D$8-'Control Room'!$B$8)*Q224/2147483647)</x:f>
        <x:v>1002.983793552484</x:v>
      </x:c>
      <x:c r="T224" s="17" t="n">
        <x:f>IF('Control Room'!$B$5="Normal",'Control Room'!$B$7,('Control Room'!$B$8+'Control Room'!$D$8)/2)+'Control Room'!$B$9*(T223-IF('Control Room'!$B$5="Normal",'Control Room'!$B$7,('Control Room'!$B$8+'Control Room'!$D$8)/2))+SQRT(1-'Control Room'!$B$9^2)*(S224-IF('Control Room'!$B$5="Normal",'Control Room'!$B$7,('Control Room'!$B$8+'Control Room'!$D$8)/2))</x:f>
        <x:v>934.8868002897776</x:v>
      </x:c>
      <x:c r="U224" s="17" t="n">
        <x:f>IF(AND($A224&gt;='Control Room'!$A$13,$A224&lt;'Control Room'!$A$13+'Control Room'!$B$13,'Process'!BN2=1),1+('Control Room'!$C$13-1)*EXP(-0.5*(($A224-'Control Room'!$A$13-('Control Room'!$B$13-1)/2)/MAX(0.5,'Control Room'!$B$13/4))^2),1)*IF(AND($A224&gt;='Control Room'!$A$14,$A224&lt;'Control Room'!$A$14+'Control Room'!$B$14,'Process'!BN3=1),1+('Control Room'!$C$14-1)*EXP(-0.5*(($A224-'Control Room'!$A$14-('Control Room'!$B$14-1)/2)/MAX(0.5,'Control Room'!$B$14/4))^2),1)*IF(AND($A224&gt;='Control Room'!$A$15,$A224&lt;'Control Room'!$A$15+'Control Room'!$B$15,'Process'!BN4=1),1+('Control Room'!$C$15-1)*EXP(-0.5*(($A224-'Control Room'!$A$15-('Control Room'!$B$15-1)/2)/MAX(0.5,'Control Room'!$B$15/4))^2),1)*IF(AND($A224&gt;='Control Room'!$A$16,$A224&lt;'Control Room'!$A$16+'Control Room'!$B$16,'Process'!BN5=1),1+('Control Room'!$C$16-1)*EXP(-0.5*(($A224-'Control Room'!$A$16-('Control Room'!$B$16-1)/2)/MAX(0.5,'Control Room'!$B$16/4))^2),1)</x:f>
        <x:v>1</x:v>
      </x:c>
      <x:c r="V224" s="9" t="n">
        <x:f>MOD(W223*16807,2147483647)</x:f>
        <x:v>1754232004</x:v>
      </x:c>
      <x:c r="W224" s="9" t="n">
        <x:f>MOD(V224*16807,2147483647)</x:f>
        <x:v>574301565</x:v>
      </x:c>
      <x:c r="X224" s="17" t="n">
        <x:f>IF('Control Room'!$B$5="Normal",'Control Room'!$B$7+'Control Room'!$D$7*SQRT(-2*LN(MAX(0.000000000001,V224/2147483647)))*COS(2*PI()*W224/2147483647),'Control Room'!$B$8+('Control Room'!$D$8-'Control Room'!$B$8)*V224/2147483647)</x:f>
        <x:v>993.7435576018634</x:v>
      </x:c>
      <x:c r="Y224" s="17" t="n">
        <x:f>IF('Control Room'!$B$5="Normal",'Control Room'!$B$7,('Control Room'!$B$8+'Control Room'!$D$8)/2)+'Control Room'!$B$9*(Y223-IF('Control Room'!$B$5="Normal",'Control Room'!$B$7,('Control Room'!$B$8+'Control Room'!$D$8)/2))+SQRT(1-'Control Room'!$B$9^2)*(X224-IF('Control Room'!$B$5="Normal",'Control Room'!$B$7,('Control Room'!$B$8+'Control Room'!$D$8)/2))</x:f>
        <x:v>1132.466523441467</x:v>
      </x:c>
      <x:c r="Z224" s="17" t="n">
        <x:f>IF(AND($A224&gt;='Control Room'!$A$13,$A224&lt;'Control Room'!$A$13+'Control Room'!$B$13,'Process'!BO2=1),1+('Control Room'!$C$13-1)*EXP(-0.5*(($A224-'Control Room'!$A$13-('Control Room'!$B$13-1)/2)/MAX(0.5,'Control Room'!$B$13/4))^2),1)*IF(AND($A224&gt;='Control Room'!$A$14,$A224&lt;'Control Room'!$A$14+'Control Room'!$B$14,'Process'!BO3=1),1+('Control Room'!$C$14-1)*EXP(-0.5*(($A224-'Control Room'!$A$14-('Control Room'!$B$14-1)/2)/MAX(0.5,'Control Room'!$B$14/4))^2),1)*IF(AND($A224&gt;='Control Room'!$A$15,$A224&lt;'Control Room'!$A$15+'Control Room'!$B$15,'Process'!BO4=1),1+('Control Room'!$C$15-1)*EXP(-0.5*(($A224-'Control Room'!$A$15-('Control Room'!$B$15-1)/2)/MAX(0.5,'Control Room'!$B$15/4))^2),1)*IF(AND($A224&gt;='Control Room'!$A$16,$A224&lt;'Control Room'!$A$16+'Control Room'!$B$16,'Process'!BO5=1),1+('Control Room'!$C$16-1)*EXP(-0.5*(($A224-'Control Room'!$A$16-('Control Room'!$B$16-1)/2)/MAX(0.5,'Control Room'!$B$16/4))^2),1)</x:f>
        <x:v>1</x:v>
      </x:c>
      <x:c r="AA224" s="9" t="n">
        <x:f>MOD(AB223*16807,2147483647)</x:f>
        <x:v>1892613467</x:v>
      </x:c>
      <x:c r="AB224" s="9" t="n">
        <x:f>MOD(AA224*16807,2147483647)</x:f>
        <x:v>626760505</x:v>
      </x:c>
      <x:c r="AC224" s="17" t="n">
        <x:f>IF('Control Room'!$B$5="Normal",'Control Room'!$B$7+'Control Room'!$D$7*SQRT(-2*LN(MAX(0.000000000001,AA224/2147483647)))*COS(2*PI()*AB224/2147483647),'Control Room'!$B$8+('Control Room'!$D$8-'Control Room'!$B$8)*AA224/2147483647)</x:f>
        <x:v>988.238416495567</x:v>
      </x:c>
      <x:c r="AD224" s="17" t="n">
        <x:f>IF('Control Room'!$B$5="Normal",'Control Room'!$B$7,('Control Room'!$B$8+'Control Room'!$D$8)/2)+'Control Room'!$B$9*(AD223-IF('Control Room'!$B$5="Normal",'Control Room'!$B$7,('Control Room'!$B$8+'Control Room'!$D$8)/2))+SQRT(1-'Control Room'!$B$9^2)*(AC224-IF('Control Room'!$B$5="Normal",'Control Room'!$B$7,('Control Room'!$B$8+'Control Room'!$D$8)/2))</x:f>
        <x:v>867.6330271054957</x:v>
      </x:c>
      <x:c r="AE224" s="17" t="n">
        <x:f>IF(AND($A224&gt;='Control Room'!$A$13,$A224&lt;'Control Room'!$A$13+'Control Room'!$B$13,'Process'!BP2=1),1+('Control Room'!$C$13-1)*EXP(-0.5*(($A224-'Control Room'!$A$13-('Control Room'!$B$13-1)/2)/MAX(0.5,'Control Room'!$B$13/4))^2),1)*IF(AND($A224&gt;='Control Room'!$A$14,$A224&lt;'Control Room'!$A$14+'Control Room'!$B$14,'Process'!BP3=1),1+('Control Room'!$C$14-1)*EXP(-0.5*(($A224-'Control Room'!$A$14-('Control Room'!$B$14-1)/2)/MAX(0.5,'Control Room'!$B$14/4))^2),1)*IF(AND($A224&gt;='Control Room'!$A$15,$A224&lt;'Control Room'!$A$15+'Control Room'!$B$15,'Process'!BP4=1),1+('Control Room'!$C$15-1)*EXP(-0.5*(($A224-'Control Room'!$A$15-('Control Room'!$B$15-1)/2)/MAX(0.5,'Control Room'!$B$15/4))^2),1)*IF(AND($A224&gt;='Control Room'!$A$16,$A224&lt;'Control Room'!$A$16+'Control Room'!$B$16,'Process'!BP5=1),1+('Control Room'!$C$16-1)*EXP(-0.5*(($A224-'Control Room'!$A$16-('Control Room'!$B$16-1)/2)/MAX(0.5,'Control Room'!$B$16/4))^2),1)</x:f>
        <x:v>1</x:v>
      </x:c>
      <x:c r="AF224" s="9" t="n">
        <x:f>MOD(AG223*16807,2147483647)</x:f>
        <x:v>2030994930</x:v>
      </x:c>
      <x:c r="AG224" s="9" t="n">
        <x:f>MOD(AF224*16807,2147483647)</x:f>
        <x:v>679219445</x:v>
      </x:c>
      <x:c r="AH224" s="17" t="n">
        <x:f>IF('Control Room'!$B$5="Normal",'Control Room'!$B$7+'Control Room'!$D$7*SQRT(-2*LN(MAX(0.000000000001,AF224/2147483647)))*COS(2*PI()*AG224/2147483647),'Control Room'!$B$8+('Control Room'!$D$8-'Control Room'!$B$8)*AF224/2147483647)</x:f>
        <x:v>987.8399442459248</x:v>
      </x:c>
      <x:c r="AI224" s="17" t="n">
        <x:f>IF('Control Room'!$B$5="Normal",'Control Room'!$B$7,('Control Room'!$B$8+'Control Room'!$D$8)/2)+'Control Room'!$B$9*(AI223-IF('Control Room'!$B$5="Normal",'Control Room'!$B$7,('Control Room'!$B$8+'Control Room'!$D$8)/2))+SQRT(1-'Control Room'!$B$9^2)*(AH224-IF('Control Room'!$B$5="Normal",'Control Room'!$B$7,('Control Room'!$B$8+'Control Room'!$D$8)/2))</x:f>
        <x:v>986.1320046397774</x:v>
      </x:c>
      <x:c r="AJ224" s="17" t="n">
        <x:f>IF(AND($A224&gt;='Control Room'!$A$13,$A224&lt;'Control Room'!$A$13+'Control Room'!$B$13,'Process'!BQ2=1),1+('Control Room'!$C$13-1)*EXP(-0.5*(($A224-'Control Room'!$A$13-('Control Room'!$B$13-1)/2)/MAX(0.5,'Control Room'!$B$13/4))^2),1)*IF(AND($A224&gt;='Control Room'!$A$14,$A224&lt;'Control Room'!$A$14+'Control Room'!$B$14,'Process'!BQ3=1),1+('Control Room'!$C$14-1)*EXP(-0.5*(($A224-'Control Room'!$A$14-('Control Room'!$B$14-1)/2)/MAX(0.5,'Control Room'!$B$14/4))^2),1)*IF(AND($A224&gt;='Control Room'!$A$15,$A224&lt;'Control Room'!$A$15+'Control Room'!$B$15,'Process'!BQ4=1),1+('Control Room'!$C$15-1)*EXP(-0.5*(($A224-'Control Room'!$A$15-('Control Room'!$B$15-1)/2)/MAX(0.5,'Control Room'!$B$15/4))^2),1)*IF(AND($A224&gt;='Control Room'!$A$16,$A224&lt;'Control Room'!$A$16+'Control Room'!$B$16,'Process'!BQ5=1),1+('Control Room'!$C$16-1)*EXP(-0.5*(($A224-'Control Room'!$A$16-('Control Room'!$B$16-1)/2)/MAX(0.5,'Control Room'!$B$16/4))^2),1)</x:f>
        <x:v>1</x:v>
      </x:c>
      <x:c r="AK224" s="9" t="n">
        <x:f>MOD(AL223*16807,2147483647)</x:f>
        <x:v>21892746</x:v>
      </x:c>
      <x:c r="AL224" s="9" t="n">
        <x:f>MOD(AK224*16807,2147483647)</x:f>
        <x:v>731678385</x:v>
      </x:c>
      <x:c r="AM224" s="17" t="n">
        <x:f>IF('Control Room'!$B$5="Normal",'Control Room'!$B$7+'Control Room'!$D$7*SQRT(-2*LN(MAX(0.000000000001,AK224/2147483647)))*COS(2*PI()*AL224/2147483647),'Control Room'!$B$8+('Control Room'!$D$8-'Control Room'!$B$8)*AK224/2147483647)</x:f>
        <x:v>852.9211362978446</x:v>
      </x:c>
      <x:c r="AN224" s="17" t="n">
        <x:f>IF('Control Room'!$B$5="Normal",'Control Room'!$B$7,('Control Room'!$B$8+'Control Room'!$D$8)/2)+'Control Room'!$B$9*(AN223-IF('Control Room'!$B$5="Normal",'Control Room'!$B$7,('Control Room'!$B$8+'Control Room'!$D$8)/2))+SQRT(1-'Control Room'!$B$9^2)*(AM224-IF('Control Room'!$B$5="Normal",'Control Room'!$B$7,('Control Room'!$B$8+'Control Room'!$D$8)/2))</x:f>
        <x:v>873.8077119105767</x:v>
      </x:c>
      <x:c r="AO224" s="17" t="n">
        <x:f>IF(AND($A224&gt;='Control Room'!$A$13,$A224&lt;'Control Room'!$A$13+'Control Room'!$B$13,'Process'!BR2=1),1+('Control Room'!$C$13-1)*EXP(-0.5*(($A224-'Control Room'!$A$13-('Control Room'!$B$13-1)/2)/MAX(0.5,'Control Room'!$B$13/4))^2),1)*IF(AND($A224&gt;='Control Room'!$A$14,$A224&lt;'Control Room'!$A$14+'Control Room'!$B$14,'Process'!BR3=1),1+('Control Room'!$C$14-1)*EXP(-0.5*(($A224-'Control Room'!$A$14-('Control Room'!$B$14-1)/2)/MAX(0.5,'Control Room'!$B$14/4))^2),1)*IF(AND($A224&gt;='Control Room'!$A$15,$A224&lt;'Control Room'!$A$15+'Control Room'!$B$15,'Process'!BR4=1),1+('Control Room'!$C$15-1)*EXP(-0.5*(($A224-'Control Room'!$A$15-('Control Room'!$B$15-1)/2)/MAX(0.5,'Control Room'!$B$15/4))^2),1)*IF(AND($A224&gt;='Control Room'!$A$16,$A224&lt;'Control Room'!$A$16+'Control Room'!$B$16,'Process'!BR5=1),1+('Control Room'!$C$16-1)*EXP(-0.5*(($A224-'Control Room'!$A$16-('Control Room'!$B$16-1)/2)/MAX(0.5,'Control Room'!$B$16/4))^2),1)</x:f>
        <x:v>1</x:v>
      </x:c>
      <x:c r="AP224" s="9" t="n">
        <x:f>MOD(AQ223*16807,2147483647)</x:f>
        <x:v>160274209</x:v>
      </x:c>
      <x:c r="AQ224" s="9" t="n">
        <x:f>MOD(AP224*16807,2147483647)</x:f>
        <x:v>784137325</x:v>
      </x:c>
      <x:c r="AR224" s="17" t="n">
        <x:f>IF('Control Room'!$B$5="Normal",'Control Room'!$B$7+'Control Room'!$D$7*SQRT(-2*LN(MAX(0.000000000001,AP224/2147483647)))*COS(2*PI()*AQ224/2147483647),'Control Room'!$B$8+('Control Room'!$D$8-'Control Room'!$B$8)*AP224/2147483647)</x:f>
        <x:v>864.266600428222</x:v>
      </x:c>
      <x:c r="AS224" s="17" t="n">
        <x:f>IF('Control Room'!$B$5="Normal",'Control Room'!$B$7,('Control Room'!$B$8+'Control Room'!$D$8)/2)+'Control Room'!$B$9*(AS223-IF('Control Room'!$B$5="Normal",'Control Room'!$B$7,('Control Room'!$B$8+'Control Room'!$D$8)/2))+SQRT(1-'Control Room'!$B$9^2)*(AR224-IF('Control Room'!$B$5="Normal",'Control Room'!$B$7,('Control Room'!$B$8+'Control Room'!$D$8)/2))</x:f>
        <x:v>891.3170154717355</x:v>
      </x:c>
      <x:c r="AT224" s="17" t="n">
        <x:f>IF(AND($A224&gt;='Control Room'!$A$13,$A224&lt;'Control Room'!$A$13+'Control Room'!$B$13,'Process'!BS2=1),1+('Control Room'!$C$13-1)*EXP(-0.5*(($A224-'Control Room'!$A$13-('Control Room'!$B$13-1)/2)/MAX(0.5,'Control Room'!$B$13/4))^2),1)*IF(AND($A224&gt;='Control Room'!$A$14,$A224&lt;'Control Room'!$A$14+'Control Room'!$B$14,'Process'!BS3=1),1+('Control Room'!$C$14-1)*EXP(-0.5*(($A224-'Control Room'!$A$14-('Control Room'!$B$14-1)/2)/MAX(0.5,'Control Room'!$B$14/4))^2),1)*IF(AND($A224&gt;='Control Room'!$A$15,$A224&lt;'Control Room'!$A$15+'Control Room'!$B$15,'Process'!BS4=1),1+('Control Room'!$C$15-1)*EXP(-0.5*(($A224-'Control Room'!$A$15-('Control Room'!$B$15-1)/2)/MAX(0.5,'Control Room'!$B$15/4))^2),1)*IF(AND($A224&gt;='Control Room'!$A$16,$A224&lt;'Control Room'!$A$16+'Control Room'!$B$16,'Process'!BS5=1),1+('Control Room'!$C$16-1)*EXP(-0.5*(($A224-'Control Room'!$A$16-('Control Room'!$B$16-1)/2)/MAX(0.5,'Control Room'!$B$16/4))^2),1)</x:f>
        <x:v>1</x:v>
      </x:c>
      <x:c r="AU224" s="9" t="n">
        <x:f>MOD(AV223*16807,2147483647)</x:f>
        <x:v>298655672</x:v>
      </x:c>
      <x:c r="AV224" s="9" t="n">
        <x:f>MOD(AU224*16807,2147483647)</x:f>
        <x:v>836596265</x:v>
      </x:c>
      <x:c r="AW224" s="17" t="n">
        <x:f>IF('Control Room'!$B$5="Normal",'Control Room'!$B$7+'Control Room'!$D$7*SQRT(-2*LN(MAX(0.000000000001,AU224/2147483647)))*COS(2*PI()*AV224/2147483647),'Control Room'!$B$8+('Control Room'!$D$8-'Control Room'!$B$8)*AU224/2147483647)</x:f>
        <x:v>862.5633445925778</x:v>
      </x:c>
      <x:c r="AX224" s="17" t="n">
        <x:f>IF('Control Room'!$B$5="Normal",'Control Room'!$B$7,('Control Room'!$B$8+'Control Room'!$D$8)/2)+'Control Room'!$B$9*(AX223-IF('Control Room'!$B$5="Normal",'Control Room'!$B$7,('Control Room'!$B$8+'Control Room'!$D$8)/2))+SQRT(1-'Control Room'!$B$9^2)*(AW224-IF('Control Room'!$B$5="Normal",'Control Room'!$B$7,('Control Room'!$B$8+'Control Room'!$D$8)/2))</x:f>
        <x:v>969.8811228126987</x:v>
      </x:c>
      <x:c r="AY224" s="17" t="n">
        <x:f>IF(AND($A224&gt;='Control Room'!$A$13,$A224&lt;'Control Room'!$A$13+'Control Room'!$B$13,'Process'!BT2=1),1+('Control Room'!$C$13-1)*EXP(-0.5*(($A224-'Control Room'!$A$13-('Control Room'!$B$13-1)/2)/MAX(0.5,'Control Room'!$B$13/4))^2),1)*IF(AND($A224&gt;='Control Room'!$A$14,$A224&lt;'Control Room'!$A$14+'Control Room'!$B$14,'Process'!BT3=1),1+('Control Room'!$C$14-1)*EXP(-0.5*(($A224-'Control Room'!$A$14-('Control Room'!$B$14-1)/2)/MAX(0.5,'Control Room'!$B$14/4))^2),1)*IF(AND($A224&gt;='Control Room'!$A$15,$A224&lt;'Control Room'!$A$15+'Control Room'!$B$15,'Process'!BT4=1),1+('Control Room'!$C$15-1)*EXP(-0.5*(($A224-'Control Room'!$A$15-('Control Room'!$B$15-1)/2)/MAX(0.5,'Control Room'!$B$15/4))^2),1)*IF(AND($A224&gt;='Control Room'!$A$16,$A224&lt;'Control Room'!$A$16+'Control Room'!$B$16,'Process'!BT5=1),1+('Control Room'!$C$16-1)*EXP(-0.5*(($A224-'Control Room'!$A$16-('Control Room'!$B$16-1)/2)/MAX(0.5,'Control Room'!$B$16/4))^2),1)</x:f>
        <x:v>1</x:v>
      </x:c>
      <x:c r="AZ224" s="9" t="n">
        <x:f>MOD(BA223*16807,2147483647)</x:f>
        <x:v>437037135</x:v>
      </x:c>
      <x:c r="BA224" s="9" t="n">
        <x:f>MOD(AZ224*16807,2147483647)</x:f>
        <x:v>889055205</x:v>
      </x:c>
      <x:c r="BB224" s="17" t="n">
        <x:f>IF('Control Room'!$B$5="Normal",'Control Room'!$B$7+'Control Room'!$D$7*SQRT(-2*LN(MAX(0.000000000001,AZ224/2147483647)))*COS(2*PI()*BA224/2147483647),'Control Room'!$B$8+('Control Room'!$D$8-'Control Room'!$B$8)*AZ224/2147483647)</x:f>
        <x:v>862.2857180830885</x:v>
      </x:c>
      <x:c r="BC224" s="17" t="n">
        <x:f>IF('Control Room'!$B$5="Normal",'Control Room'!$B$7,('Control Room'!$B$8+'Control Room'!$D$8)/2)+'Control Room'!$B$9*(BC223-IF('Control Room'!$B$5="Normal",'Control Room'!$B$7,('Control Room'!$B$8+'Control Room'!$D$8)/2))+SQRT(1-'Control Room'!$B$9^2)*(BB224-IF('Control Room'!$B$5="Normal",'Control Room'!$B$7,('Control Room'!$B$8+'Control Room'!$D$8)/2))</x:f>
        <x:v>865.1579606828886</x:v>
      </x:c>
      <x:c r="BD224" s="17" t="n">
        <x:f>IF(AND($A224&gt;='Control Room'!$A$13,$A224&lt;'Control Room'!$A$13+'Control Room'!$B$13,'Process'!BU2=1),1+('Control Room'!$C$13-1)*EXP(-0.5*(($A224-'Control Room'!$A$13-('Control Room'!$B$13-1)/2)/MAX(0.5,'Control Room'!$B$13/4))^2),1)*IF(AND($A224&gt;='Control Room'!$A$14,$A224&lt;'Control Room'!$A$14+'Control Room'!$B$14,'Process'!BU3=1),1+('Control Room'!$C$14-1)*EXP(-0.5*(($A224-'Control Room'!$A$14-('Control Room'!$B$14-1)/2)/MAX(0.5,'Control Room'!$B$14/4))^2),1)*IF(AND($A224&gt;='Control Room'!$A$15,$A224&lt;'Control Room'!$A$15+'Control Room'!$B$15,'Process'!BU4=1),1+('Control Room'!$C$15-1)*EXP(-0.5*(($A224-'Control Room'!$A$15-('Control Room'!$B$15-1)/2)/MAX(0.5,'Control Room'!$B$15/4))^2),1)*IF(AND($A224&gt;='Control Room'!$A$16,$A224&lt;'Control Room'!$A$16+'Control Room'!$B$16,'Process'!BU5=1),1+('Control Room'!$C$16-1)*EXP(-0.5*(($A224-'Control Room'!$A$16-('Control Room'!$B$16-1)/2)/MAX(0.5,'Control Room'!$B$16/4))^2),1)</x:f>
        <x:v>1</x:v>
      </x:c>
      <x:c r="BE224" s="9" t="n">
        <x:f>MOD(BF223*16807,2147483647)</x:f>
        <x:v>575418598</x:v>
      </x:c>
      <x:c r="BF224" s="9" t="n">
        <x:f>MOD(BE224*16807,2147483647)</x:f>
        <x:v>941514145</x:v>
      </x:c>
      <x:c r="BG224" s="17" t="n">
        <x:f>IF('Control Room'!$B$5="Normal",'Control Room'!$B$7+'Control Room'!$D$7*SQRT(-2*LN(MAX(0.000000000001,BE224/2147483647)))*COS(2*PI()*BF224/2147483647),'Control Room'!$B$8+('Control Room'!$D$8-'Control Room'!$B$8)*BE224/2147483647)</x:f>
        <x:v>864.7313944951129</x:v>
      </x:c>
      <x:c r="BH224" s="17" t="n">
        <x:f>IF('Control Room'!$B$5="Normal",'Control Room'!$B$7,('Control Room'!$B$8+'Control Room'!$D$8)/2)+'Control Room'!$B$9*(BH223-IF('Control Room'!$B$5="Normal",'Control Room'!$B$7,('Control Room'!$B$8+'Control Room'!$D$8)/2))+SQRT(1-'Control Room'!$B$9^2)*(BG224-IF('Control Room'!$B$5="Normal",'Control Room'!$B$7,('Control Room'!$B$8+'Control Room'!$D$8)/2))</x:f>
        <x:v>932.8539750164548</x:v>
      </x:c>
      <x:c r="BI224" s="17" t="n">
        <x:f>IF(AND($A224&gt;='Control Room'!$A$13,$A224&lt;'Control Room'!$A$13+'Control Room'!$B$13,'Process'!BV2=1),1+('Control Room'!$C$13-1)*EXP(-0.5*(($A224-'Control Room'!$A$13-('Control Room'!$B$13-1)/2)/MAX(0.5,'Control Room'!$B$13/4))^2),1)*IF(AND($A224&gt;='Control Room'!$A$14,$A224&lt;'Control Room'!$A$14+'Control Room'!$B$14,'Process'!BV3=1),1+('Control Room'!$C$14-1)*EXP(-0.5*(($A224-'Control Room'!$A$14-('Control Room'!$B$14-1)/2)/MAX(0.5,'Control Room'!$B$14/4))^2),1)*IF(AND($A224&gt;='Control Room'!$A$15,$A224&lt;'Control Room'!$A$15+'Control Room'!$B$15,'Process'!BV4=1),1+('Control Room'!$C$15-1)*EXP(-0.5*(($A224-'Control Room'!$A$15-('Control Room'!$B$15-1)/2)/MAX(0.5,'Control Room'!$B$15/4))^2),1)*IF(AND($A224&gt;='Control Room'!$A$16,$A224&lt;'Control Room'!$A$16+'Control Room'!$B$16,'Process'!BV5=1),1+('Control Room'!$C$16-1)*EXP(-0.5*(($A224-'Control Room'!$A$16-('Control Room'!$B$16-1)/2)/MAX(0.5,'Control Room'!$B$16/4))^2),1)</x:f>
        <x:v>1</x:v>
      </x:c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Z224" t="str">
        <x:f>IF('Data'!A224="","",TEXT('Data'!A224,"mm-dd"))</x:f>
      </x:c>
    </x:row>
    <x:row r="225" ht="21" customHeight="1">
      <x:c r="A225" s="15" t="n">
        <x:f>'Control Room'!$B$1+223</x:f>
        <x:v>73214</x:v>
      </x:c>
      <x:c r="B225" s="9" t="n">
        <x:f>MOD(C224*16807,2147483647)</x:f>
        <x:v>953423391</x:v>
      </x:c>
      <x:c r="C225" s="9" t="n">
        <x:f>MOD(B225*16807,2147483647)</x:f>
        <x:v>1811442270</x:v>
      </x:c>
      <x:c r="D225" s="17" t="n">
        <x:f>IF('Control Room'!$B$5="Normal",'Control Room'!$B$7+'Control Room'!$D$7*SQRT(-2*LN(MAX(0.000000000001,B225/2147483647)))*COS(2*PI()*C225/2147483647),'Control Room'!$B$8+('Control Room'!$D$8-'Control Room'!$B$8)*B225/2147483647)</x:f>
        <x:v>1063.5807820186997</x:v>
      </x:c>
      <x:c r="E225" s="17" t="n">
        <x:f>IF('Control Room'!$B$5="Normal",'Control Room'!$B$7,('Control Room'!$B$8+'Control Room'!$D$8)/2)+'Control Room'!$B$9*(E224-IF('Control Room'!$B$5="Normal",'Control Room'!$B$7,('Control Room'!$B$8+'Control Room'!$D$8)/2))+SQRT(1-'Control Room'!$B$9^2)*(D225-IF('Control Room'!$B$5="Normal",'Control Room'!$B$7,('Control Room'!$B$8+'Control Room'!$D$8)/2))</x:f>
        <x:v>969.2356761366234</x:v>
      </x:c>
      <x:c r="F225" s="17" t="n">
        <x:f>IF(AND($A225&gt;='Control Room'!$A$13,$A225&lt;'Control Room'!$A$13+'Control Room'!$B$13,'Process'!BK2=1),1+('Control Room'!$C$13-1)*EXP(-0.5*(($A225-'Control Room'!$A$13-('Control Room'!$B$13-1)/2)/MAX(0.5,'Control Room'!$B$13/4))^2),1)*IF(AND($A225&gt;='Control Room'!$A$14,$A225&lt;'Control Room'!$A$14+'Control Room'!$B$14,'Process'!BK3=1),1+('Control Room'!$C$14-1)*EXP(-0.5*(($A225-'Control Room'!$A$14-('Control Room'!$B$14-1)/2)/MAX(0.5,'Control Room'!$B$14/4))^2),1)*IF(AND($A225&gt;='Control Room'!$A$15,$A225&lt;'Control Room'!$A$15+'Control Room'!$B$15,'Process'!BK4=1),1+('Control Room'!$C$15-1)*EXP(-0.5*(($A225-'Control Room'!$A$15-('Control Room'!$B$15-1)/2)/MAX(0.5,'Control Room'!$B$15/4))^2),1)*IF(AND($A225&gt;='Control Room'!$A$16,$A225&lt;'Control Room'!$A$16+'Control Room'!$B$16,'Process'!BK5=1),1+('Control Room'!$C$16-1)*EXP(-0.5*(($A225-'Control Room'!$A$16-('Control Room'!$B$16-1)/2)/MAX(0.5,'Control Room'!$B$16/4))^2),1)</x:f>
        <x:v>1</x:v>
      </x:c>
      <x:c r="G225" s="9" t="n">
        <x:f>MOD(H224*16807,2147483647)</x:f>
        <x:v>15049054</x:v>
      </x:c>
      <x:c r="H225" s="9" t="n">
        <x:f>MOD(G225*16807,2147483647)</x:f>
        <x:v>1673863879</x:v>
      </x:c>
      <x:c r="I225" s="17" t="n">
        <x:f>IF('Control Room'!$B$5="Normal",'Control Room'!$B$7+'Control Room'!$D$7*SQRT(-2*LN(MAX(0.000000000001,G225/2147483647)))*COS(2*PI()*H225/2147483647),'Control Room'!$B$8+('Control Room'!$D$8-'Control Room'!$B$8)*G225/2147483647)</x:f>
        <x:v>1052.1635563776206</x:v>
      </x:c>
      <x:c r="J225" s="17" t="n">
        <x:f>IF('Control Room'!$B$5="Normal",'Control Room'!$B$7,('Control Room'!$B$8+'Control Room'!$D$8)/2)+'Control Room'!$B$9*(J224-IF('Control Room'!$B$5="Normal",'Control Room'!$B$7,('Control Room'!$B$8+'Control Room'!$D$8)/2))+SQRT(1-'Control Room'!$B$9^2)*(I225-IF('Control Room'!$B$5="Normal",'Control Room'!$B$7,('Control Room'!$B$8+'Control Room'!$D$8)/2))</x:f>
        <x:v>1205.2342369074113</x:v>
      </x:c>
      <x:c r="K225" s="17" t="n">
        <x:f>IF(AND($A225&gt;='Control Room'!$A$13,$A225&lt;'Control Room'!$A$13+'Control Room'!$B$13,'Process'!BL2=1),1+('Control Room'!$C$13-1)*EXP(-0.5*(($A225-'Control Room'!$A$13-('Control Room'!$B$13-1)/2)/MAX(0.5,'Control Room'!$B$13/4))^2),1)*IF(AND($A225&gt;='Control Room'!$A$14,$A225&lt;'Control Room'!$A$14+'Control Room'!$B$14,'Process'!BL3=1),1+('Control Room'!$C$14-1)*EXP(-0.5*(($A225-'Control Room'!$A$14-('Control Room'!$B$14-1)/2)/MAX(0.5,'Control Room'!$B$14/4))^2),1)*IF(AND($A225&gt;='Control Room'!$A$15,$A225&lt;'Control Room'!$A$15+'Control Room'!$B$15,'Process'!BL4=1),1+('Control Room'!$C$15-1)*EXP(-0.5*(($A225-'Control Room'!$A$15-('Control Room'!$B$15-1)/2)/MAX(0.5,'Control Room'!$B$15/4))^2),1)*IF(AND($A225&gt;='Control Room'!$A$16,$A225&lt;'Control Room'!$A$16+'Control Room'!$B$16,'Process'!BL5=1),1+('Control Room'!$C$16-1)*EXP(-0.5*(($A225-'Control Room'!$A$16-('Control Room'!$B$16-1)/2)/MAX(0.5,'Control Room'!$B$16/4))^2),1)</x:f>
        <x:v>1</x:v>
      </x:c>
      <x:c r="L225" s="9" t="n">
        <x:f>MOD(M224*16807,2147483647)</x:f>
        <x:v>1224158364</x:v>
      </x:c>
      <x:c r="M225" s="9" t="n">
        <x:f>MOD(L225*16807,2147483647)</x:f>
        <x:v>1536285488</x:v>
      </x:c>
      <x:c r="N225" s="17" t="n">
        <x:f>IF('Control Room'!$B$5="Normal",'Control Room'!$B$7+'Control Room'!$D$7*SQRT(-2*LN(MAX(0.000000000001,L225/2147483647)))*COS(2*PI()*M225/2147483647),'Control Room'!$B$8+('Control Room'!$D$8-'Control Room'!$B$8)*L225/2147483647)</x:f>
        <x:v>979.4121108863583</x:v>
      </x:c>
      <x:c r="O225" s="17" t="n">
        <x:f>IF('Control Room'!$B$5="Normal",'Control Room'!$B$7,('Control Room'!$B$8+'Control Room'!$D$8)/2)+'Control Room'!$B$9*(O224-IF('Control Room'!$B$5="Normal",'Control Room'!$B$7,('Control Room'!$B$8+'Control Room'!$D$8)/2))+SQRT(1-'Control Room'!$B$9^2)*(N225-IF('Control Room'!$B$5="Normal",'Control Room'!$B$7,('Control Room'!$B$8+'Control Room'!$D$8)/2))</x:f>
        <x:v>989.3427115254175</x:v>
      </x:c>
      <x:c r="P225" s="17" t="n">
        <x:f>IF(AND($A225&gt;='Control Room'!$A$13,$A225&lt;'Control Room'!$A$13+'Control Room'!$B$13,'Process'!BM2=1),1+('Control Room'!$C$13-1)*EXP(-0.5*(($A225-'Control Room'!$A$13-('Control Room'!$B$13-1)/2)/MAX(0.5,'Control Room'!$B$13/4))^2),1)*IF(AND($A225&gt;='Control Room'!$A$14,$A225&lt;'Control Room'!$A$14+'Control Room'!$B$14,'Process'!BM3=1),1+('Control Room'!$C$14-1)*EXP(-0.5*(($A225-'Control Room'!$A$14-('Control Room'!$B$14-1)/2)/MAX(0.5,'Control Room'!$B$14/4))^2),1)*IF(AND($A225&gt;='Control Room'!$A$15,$A225&lt;'Control Room'!$A$15+'Control Room'!$B$15,'Process'!BM4=1),1+('Control Room'!$C$15-1)*EXP(-0.5*(($A225-'Control Room'!$A$15-('Control Room'!$B$15-1)/2)/MAX(0.5,'Control Room'!$B$15/4))^2),1)*IF(AND($A225&gt;='Control Room'!$A$16,$A225&lt;'Control Room'!$A$16+'Control Room'!$B$16,'Process'!BM5=1),1+('Control Room'!$C$16-1)*EXP(-0.5*(($A225-'Control Room'!$A$16-('Control Room'!$B$16-1)/2)/MAX(0.5,'Control Room'!$B$16/4))^2),1)</x:f>
        <x:v>1</x:v>
      </x:c>
      <x:c r="Q225" s="9" t="n">
        <x:f>MOD(R224*16807,2147483647)</x:f>
        <x:v>285784027</x:v>
      </x:c>
      <x:c r="R225" s="9" t="n">
        <x:f>MOD(Q225*16807,2147483647)</x:f>
        <x:v>1398707097</x:v>
      </x:c>
      <x:c r="S225" s="17" t="n">
        <x:f>IF('Control Room'!$B$5="Normal",'Control Room'!$B$7+'Control Room'!$D$7*SQRT(-2*LN(MAX(0.000000000001,Q225/2147483647)))*COS(2*PI()*R225/2147483647),'Control Room'!$B$8+('Control Room'!$D$8-'Control Room'!$B$8)*Q225/2147483647)</x:f>
        <x:v>894.9747458486409</x:v>
      </x:c>
      <x:c r="T225" s="17" t="n">
        <x:f>IF('Control Room'!$B$5="Normal",'Control Room'!$B$7,('Control Room'!$B$8+'Control Room'!$D$8)/2)+'Control Room'!$B$9*(T224-IF('Control Room'!$B$5="Normal",'Control Room'!$B$7,('Control Room'!$B$8+'Control Room'!$D$8)/2))+SQRT(1-'Control Room'!$B$9^2)*(S225-IF('Control Room'!$B$5="Normal",'Control Room'!$B$7,('Control Room'!$B$8+'Control Room'!$D$8)/2))</x:f>
        <x:v>883.4890517373849</x:v>
      </x:c>
      <x:c r="U225" s="17" t="n">
        <x:f>IF(AND($A225&gt;='Control Room'!$A$13,$A225&lt;'Control Room'!$A$13+'Control Room'!$B$13,'Process'!BN2=1),1+('Control Room'!$C$13-1)*EXP(-0.5*(($A225-'Control Room'!$A$13-('Control Room'!$B$13-1)/2)/MAX(0.5,'Control Room'!$B$13/4))^2),1)*IF(AND($A225&gt;='Control Room'!$A$14,$A225&lt;'Control Room'!$A$14+'Control Room'!$B$14,'Process'!BN3=1),1+('Control Room'!$C$14-1)*EXP(-0.5*(($A225-'Control Room'!$A$14-('Control Room'!$B$14-1)/2)/MAX(0.5,'Control Room'!$B$14/4))^2),1)*IF(AND($A225&gt;='Control Room'!$A$15,$A225&lt;'Control Room'!$A$15+'Control Room'!$B$15,'Process'!BN4=1),1+('Control Room'!$C$15-1)*EXP(-0.5*(($A225-'Control Room'!$A$15-('Control Room'!$B$15-1)/2)/MAX(0.5,'Control Room'!$B$15/4))^2),1)*IF(AND($A225&gt;='Control Room'!$A$16,$A225&lt;'Control Room'!$A$16+'Control Room'!$B$16,'Process'!BN5=1),1+('Control Room'!$C$16-1)*EXP(-0.5*(($A225-'Control Room'!$A$16-('Control Room'!$B$16-1)/2)/MAX(0.5,'Control Room'!$B$16/4))^2),1)</x:f>
        <x:v>1</x:v>
      </x:c>
      <x:c r="V225" s="9" t="n">
        <x:f>MOD(W224*16807,2147483647)</x:f>
        <x:v>1494893337</x:v>
      </x:c>
      <x:c r="W225" s="9" t="n">
        <x:f>MOD(V225*16807,2147483647)</x:f>
        <x:v>1261128706</x:v>
      </x:c>
      <x:c r="X225" s="17" t="n">
        <x:f>IF('Control Room'!$B$5="Normal",'Control Room'!$B$7+'Control Room'!$D$7*SQRT(-2*LN(MAX(0.000000000001,V225/2147483647)))*COS(2*PI()*W225/2147483647),'Control Room'!$B$8+('Control Room'!$D$8-'Control Room'!$B$8)*V225/2147483647)</x:f>
        <x:v>934.6229600834954</x:v>
      </x:c>
      <x:c r="Y225" s="17" t="n">
        <x:f>IF('Control Room'!$B$5="Normal",'Control Room'!$B$7,('Control Room'!$B$8+'Control Room'!$D$8)/2)+'Control Room'!$B$9*(Y224-IF('Control Room'!$B$5="Normal",'Control Room'!$B$7,('Control Room'!$B$8+'Control Room'!$D$8)/2))+SQRT(1-'Control Room'!$B$9^2)*(X225-IF('Control Room'!$B$5="Normal",'Control Room'!$B$7,('Control Room'!$B$8+'Control Room'!$D$8)/2))</x:f>
        <x:v>1062.412276026057</x:v>
      </x:c>
      <x:c r="Z225" s="17" t="n">
        <x:f>IF(AND($A225&gt;='Control Room'!$A$13,$A225&lt;'Control Room'!$A$13+'Control Room'!$B$13,'Process'!BO2=1),1+('Control Room'!$C$13-1)*EXP(-0.5*(($A225-'Control Room'!$A$13-('Control Room'!$B$13-1)/2)/MAX(0.5,'Control Room'!$B$13/4))^2),1)*IF(AND($A225&gt;='Control Room'!$A$14,$A225&lt;'Control Room'!$A$14+'Control Room'!$B$14,'Process'!BO3=1),1+('Control Room'!$C$14-1)*EXP(-0.5*(($A225-'Control Room'!$A$14-('Control Room'!$B$14-1)/2)/MAX(0.5,'Control Room'!$B$14/4))^2),1)*IF(AND($A225&gt;='Control Room'!$A$15,$A225&lt;'Control Room'!$A$15+'Control Room'!$B$15,'Process'!BO4=1),1+('Control Room'!$C$15-1)*EXP(-0.5*(($A225-'Control Room'!$A$15-('Control Room'!$B$15-1)/2)/MAX(0.5,'Control Room'!$B$15/4))^2),1)*IF(AND($A225&gt;='Control Room'!$A$16,$A225&lt;'Control Room'!$A$16+'Control Room'!$B$16,'Process'!BO5=1),1+('Control Room'!$C$16-1)*EXP(-0.5*(($A225-'Control Room'!$A$16-('Control Room'!$B$16-1)/2)/MAX(0.5,'Control Room'!$B$16/4))^2),1)</x:f>
        <x:v>1</x:v>
      </x:c>
      <x:c r="AA225" s="9" t="n">
        <x:f>MOD(AB224*16807,2147483647)</x:f>
        <x:v>556519000</x:v>
      </x:c>
      <x:c r="AB225" s="9" t="n">
        <x:f>MOD(AA225*16807,2147483647)</x:f>
        <x:v>1123550315</x:v>
      </x:c>
      <x:c r="AC225" s="17" t="n">
        <x:f>IF('Control Room'!$B$5="Normal",'Control Room'!$B$7+'Control Room'!$D$7*SQRT(-2*LN(MAX(0.000000000001,AA225/2147483647)))*COS(2*PI()*AB225/2147483647),'Control Room'!$B$8+('Control Room'!$D$8-'Control Room'!$B$8)*AA225/2147483647)</x:f>
        <x:v>853.6634940280518</x:v>
      </x:c>
      <x:c r="AD225" s="17" t="n">
        <x:f>IF('Control Room'!$B$5="Normal",'Control Room'!$B$7,('Control Room'!$B$8+'Control Room'!$D$8)/2)+'Control Room'!$B$9*(AD224-IF('Control Room'!$B$5="Normal",'Control Room'!$B$7,('Control Room'!$B$8+'Control Room'!$D$8)/2))+SQRT(1-'Control Room'!$B$9^2)*(AC225-IF('Control Room'!$B$5="Normal",'Control Room'!$B$7,('Control Room'!$B$8+'Control Room'!$D$8)/2))</x:f>
        <x:v>805.1793735713148</x:v>
      </x:c>
      <x:c r="AE225" s="17" t="n">
        <x:f>IF(AND($A225&gt;='Control Room'!$A$13,$A225&lt;'Control Room'!$A$13+'Control Room'!$B$13,'Process'!BP2=1),1+('Control Room'!$C$13-1)*EXP(-0.5*(($A225-'Control Room'!$A$13-('Control Room'!$B$13-1)/2)/MAX(0.5,'Control Room'!$B$13/4))^2),1)*IF(AND($A225&gt;='Control Room'!$A$14,$A225&lt;'Control Room'!$A$14+'Control Room'!$B$14,'Process'!BP3=1),1+('Control Room'!$C$14-1)*EXP(-0.5*(($A225-'Control Room'!$A$14-('Control Room'!$B$14-1)/2)/MAX(0.5,'Control Room'!$B$14/4))^2),1)*IF(AND($A225&gt;='Control Room'!$A$15,$A225&lt;'Control Room'!$A$15+'Control Room'!$B$15,'Process'!BP4=1),1+('Control Room'!$C$15-1)*EXP(-0.5*(($A225-'Control Room'!$A$15-('Control Room'!$B$15-1)/2)/MAX(0.5,'Control Room'!$B$15/4))^2),1)*IF(AND($A225&gt;='Control Room'!$A$16,$A225&lt;'Control Room'!$A$16+'Control Room'!$B$16,'Process'!BP5=1),1+('Control Room'!$C$16-1)*EXP(-0.5*(($A225-'Control Room'!$A$16-('Control Room'!$B$16-1)/2)/MAX(0.5,'Control Room'!$B$16/4))^2),1)</x:f>
        <x:v>1</x:v>
      </x:c>
      <x:c r="AF225" s="9" t="n">
        <x:f>MOD(AG224*16807,2147483647)</x:f>
        <x:v>1765628310</x:v>
      </x:c>
      <x:c r="AG225" s="9" t="n">
        <x:f>MOD(AF225*16807,2147483647)</x:f>
        <x:v>985971924</x:v>
      </x:c>
      <x:c r="AH225" s="17" t="n">
        <x:f>IF('Control Room'!$B$5="Normal",'Control Room'!$B$7+'Control Room'!$D$7*SQRT(-2*LN(MAX(0.000000000001,AF225/2147483647)))*COS(2*PI()*AG225/2147483647),'Control Room'!$B$8+('Control Room'!$D$8-'Control Room'!$B$8)*AF225/2147483647)</x:f>
        <x:v>945.5280871195774</x:v>
      </x:c>
      <x:c r="AI225" s="17" t="n">
        <x:f>IF('Control Room'!$B$5="Normal",'Control Room'!$B$7,('Control Room'!$B$8+'Control Room'!$D$8)/2)+'Control Room'!$B$9*(AI224-IF('Control Room'!$B$5="Normal",'Control Room'!$B$7,('Control Room'!$B$8+'Control Room'!$D$8)/2))+SQRT(1-'Control Room'!$B$9^2)*(AH225-IF('Control Room'!$B$5="Normal",'Control Room'!$B$7,('Control Room'!$B$8+'Control Room'!$D$8)/2))</x:f>
        <x:v>955.0955564562488</x:v>
      </x:c>
      <x:c r="AJ225" s="17" t="n">
        <x:f>IF(AND($A225&gt;='Control Room'!$A$13,$A225&lt;'Control Room'!$A$13+'Control Room'!$B$13,'Process'!BQ2=1),1+('Control Room'!$C$13-1)*EXP(-0.5*(($A225-'Control Room'!$A$13-('Control Room'!$B$13-1)/2)/MAX(0.5,'Control Room'!$B$13/4))^2),1)*IF(AND($A225&gt;='Control Room'!$A$14,$A225&lt;'Control Room'!$A$14+'Control Room'!$B$14,'Process'!BQ3=1),1+('Control Room'!$C$14-1)*EXP(-0.5*(($A225-'Control Room'!$A$14-('Control Room'!$B$14-1)/2)/MAX(0.5,'Control Room'!$B$14/4))^2),1)*IF(AND($A225&gt;='Control Room'!$A$15,$A225&lt;'Control Room'!$A$15+'Control Room'!$B$15,'Process'!BQ4=1),1+('Control Room'!$C$15-1)*EXP(-0.5*(($A225-'Control Room'!$A$15-('Control Room'!$B$15-1)/2)/MAX(0.5,'Control Room'!$B$15/4))^2),1)*IF(AND($A225&gt;='Control Room'!$A$16,$A225&lt;'Control Room'!$A$16+'Control Room'!$B$16,'Process'!BQ5=1),1+('Control Room'!$C$16-1)*EXP(-0.5*(($A225-'Control Room'!$A$16-('Control Room'!$B$16-1)/2)/MAX(0.5,'Control Room'!$B$16/4))^2),1)</x:f>
        <x:v>1</x:v>
      </x:c>
      <x:c r="AK225" s="9" t="n">
        <x:f>MOD(AL224*16807,2147483647)</x:f>
        <x:v>827253973</x:v>
      </x:c>
      <x:c r="AL225" s="9" t="n">
        <x:f>MOD(AK225*16807,2147483647)</x:f>
        <x:v>848393533</x:v>
      </x:c>
      <x:c r="AM225" s="17" t="n">
        <x:f>IF('Control Room'!$B$5="Normal",'Control Room'!$B$7+'Control Room'!$D$7*SQRT(-2*LN(MAX(0.000000000001,AK225/2147483647)))*COS(2*PI()*AL225/2147483647),'Control Room'!$B$8+('Control Room'!$D$8-'Control Room'!$B$8)*AK225/2147483647)</x:f>
        <x:v>901.7424652366037</x:v>
      </x:c>
      <x:c r="AN225" s="17" t="n">
        <x:f>IF('Control Room'!$B$5="Normal",'Control Room'!$B$7,('Control Room'!$B$8+'Control Room'!$D$8)/2)+'Control Room'!$B$9*(AN224-IF('Control Room'!$B$5="Normal",'Control Room'!$B$7,('Control Room'!$B$8+'Control Room'!$D$8)/2))+SQRT(1-'Control Room'!$B$9^2)*(AM225-IF('Control Room'!$B$5="Normal",'Control Room'!$B$7,('Control Room'!$B$8+'Control Room'!$D$8)/2))</x:f>
        <x:v>840.0824629503277</x:v>
      </x:c>
      <x:c r="AO225" s="17" t="n">
        <x:f>IF(AND($A225&gt;='Control Room'!$A$13,$A225&lt;'Control Room'!$A$13+'Control Room'!$B$13,'Process'!BR2=1),1+('Control Room'!$C$13-1)*EXP(-0.5*(($A225-'Control Room'!$A$13-('Control Room'!$B$13-1)/2)/MAX(0.5,'Control Room'!$B$13/4))^2),1)*IF(AND($A225&gt;='Control Room'!$A$14,$A225&lt;'Control Room'!$A$14+'Control Room'!$B$14,'Process'!BR3=1),1+('Control Room'!$C$14-1)*EXP(-0.5*(($A225-'Control Room'!$A$14-('Control Room'!$B$14-1)/2)/MAX(0.5,'Control Room'!$B$14/4))^2),1)*IF(AND($A225&gt;='Control Room'!$A$15,$A225&lt;'Control Room'!$A$15+'Control Room'!$B$15,'Process'!BR4=1),1+('Control Room'!$C$15-1)*EXP(-0.5*(($A225-'Control Room'!$A$15-('Control Room'!$B$15-1)/2)/MAX(0.5,'Control Room'!$B$15/4))^2),1)*IF(AND($A225&gt;='Control Room'!$A$16,$A225&lt;'Control Room'!$A$16+'Control Room'!$B$16,'Process'!BR5=1),1+('Control Room'!$C$16-1)*EXP(-0.5*(($A225-'Control Room'!$A$16-('Control Room'!$B$16-1)/2)/MAX(0.5,'Control Room'!$B$16/4))^2),1)</x:f>
        <x:v>1</x:v>
      </x:c>
      <x:c r="AP225" s="9" t="n">
        <x:f>MOD(AQ224*16807,2147483647)</x:f>
        <x:v>2036363283</x:v>
      </x:c>
      <x:c r="AQ225" s="9" t="n">
        <x:f>MOD(AP225*16807,2147483647)</x:f>
        <x:v>710815142</x:v>
      </x:c>
      <x:c r="AR225" s="17" t="n">
        <x:f>IF('Control Room'!$B$5="Normal",'Control Room'!$B$7+'Control Room'!$D$7*SQRT(-2*LN(MAX(0.000000000001,AP225/2147483647)))*COS(2*PI()*AQ225/2147483647),'Control Room'!$B$8+('Control Room'!$D$8-'Control Room'!$B$8)*AP225/2147483647)</x:f>
        <x:v>985.7051354859732</x:v>
      </x:c>
      <x:c r="AS225" s="17" t="n">
        <x:f>IF('Control Room'!$B$5="Normal",'Control Room'!$B$7,('Control Room'!$B$8+'Control Room'!$D$8)/2)+'Control Room'!$B$9*(AS224-IF('Control Room'!$B$5="Normal",'Control Room'!$B$7,('Control Room'!$B$8+'Control Room'!$D$8)/2))+SQRT(1-'Control Room'!$B$9^2)*(AR225-IF('Control Room'!$B$5="Normal",'Control Room'!$B$7,('Control Room'!$B$8+'Control Room'!$D$8)/2))</x:f>
        <x:v>906.2818387012928</x:v>
      </x:c>
      <x:c r="AT225" s="17" t="n">
        <x:f>IF(AND($A225&gt;='Control Room'!$A$13,$A225&lt;'Control Room'!$A$13+'Control Room'!$B$13,'Process'!BS2=1),1+('Control Room'!$C$13-1)*EXP(-0.5*(($A225-'Control Room'!$A$13-('Control Room'!$B$13-1)/2)/MAX(0.5,'Control Room'!$B$13/4))^2),1)*IF(AND($A225&gt;='Control Room'!$A$14,$A225&lt;'Control Room'!$A$14+'Control Room'!$B$14,'Process'!BS3=1),1+('Control Room'!$C$14-1)*EXP(-0.5*(($A225-'Control Room'!$A$14-('Control Room'!$B$14-1)/2)/MAX(0.5,'Control Room'!$B$14/4))^2),1)*IF(AND($A225&gt;='Control Room'!$A$15,$A225&lt;'Control Room'!$A$15+'Control Room'!$B$15,'Process'!BS4=1),1+('Control Room'!$C$15-1)*EXP(-0.5*(($A225-'Control Room'!$A$15-('Control Room'!$B$15-1)/2)/MAX(0.5,'Control Room'!$B$15/4))^2),1)*IF(AND($A225&gt;='Control Room'!$A$16,$A225&lt;'Control Room'!$A$16+'Control Room'!$B$16,'Process'!BS5=1),1+('Control Room'!$C$16-1)*EXP(-0.5*(($A225-'Control Room'!$A$16-('Control Room'!$B$16-1)/2)/MAX(0.5,'Control Room'!$B$16/4))^2),1)</x:f>
        <x:v>1</x:v>
      </x:c>
      <x:c r="AU225" s="9" t="n">
        <x:f>MOD(AV224*16807,2147483647)</x:f>
        <x:v>1097988946</x:v>
      </x:c>
      <x:c r="AV225" s="9" t="n">
        <x:f>MOD(AU225*16807,2147483647)</x:f>
        <x:v>573236751</x:v>
      </x:c>
      <x:c r="AW225" s="17" t="n">
        <x:f>IF('Control Room'!$B$5="Normal",'Control Room'!$B$7+'Control Room'!$D$7*SQRT(-2*LN(MAX(0.000000000001,AU225/2147483647)))*COS(2*PI()*AV225/2147483647),'Control Room'!$B$8+('Control Room'!$D$8-'Control Room'!$B$8)*AU225/2147483647)</x:f>
        <x:v>988.9290922327656</x:v>
      </x:c>
      <x:c r="AX225" s="17" t="n">
        <x:f>IF('Control Room'!$B$5="Normal",'Control Room'!$B$7,('Control Room'!$B$8+'Control Room'!$D$8)/2)+'Control Room'!$B$9*(AX224-IF('Control Room'!$B$5="Normal",'Control Room'!$B$7,('Control Room'!$B$8+'Control Room'!$D$8)/2))+SQRT(1-'Control Room'!$B$9^2)*(AW225-IF('Control Room'!$B$5="Normal",'Control Room'!$B$7,('Control Room'!$B$8+'Control Room'!$D$8)/2))</x:f>
        <x:v>969.5793285130429</x:v>
      </x:c>
      <x:c r="AY225" s="17" t="n">
        <x:f>IF(AND($A225&gt;='Control Room'!$A$13,$A225&lt;'Control Room'!$A$13+'Control Room'!$B$13,'Process'!BT2=1),1+('Control Room'!$C$13-1)*EXP(-0.5*(($A225-'Control Room'!$A$13-('Control Room'!$B$13-1)/2)/MAX(0.5,'Control Room'!$B$13/4))^2),1)*IF(AND($A225&gt;='Control Room'!$A$14,$A225&lt;'Control Room'!$A$14+'Control Room'!$B$14,'Process'!BT3=1),1+('Control Room'!$C$14-1)*EXP(-0.5*(($A225-'Control Room'!$A$14-('Control Room'!$B$14-1)/2)/MAX(0.5,'Control Room'!$B$14/4))^2),1)*IF(AND($A225&gt;='Control Room'!$A$15,$A225&lt;'Control Room'!$A$15+'Control Room'!$B$15,'Process'!BT4=1),1+('Control Room'!$C$15-1)*EXP(-0.5*(($A225-'Control Room'!$A$15-('Control Room'!$B$15-1)/2)/MAX(0.5,'Control Room'!$B$15/4))^2),1)*IF(AND($A225&gt;='Control Room'!$A$16,$A225&lt;'Control Room'!$A$16+'Control Room'!$B$16,'Process'!BT5=1),1+('Control Room'!$C$16-1)*EXP(-0.5*(($A225-'Control Room'!$A$16-('Control Room'!$B$16-1)/2)/MAX(0.5,'Control Room'!$B$16/4))^2),1)</x:f>
        <x:v>1</x:v>
      </x:c>
      <x:c r="AZ225" s="9" t="n">
        <x:f>MOD(BA224*16807,2147483647)</x:f>
        <x:v>159614609</x:v>
      </x:c>
      <x:c r="BA225" s="9" t="n">
        <x:f>MOD(AZ225*16807,2147483647)</x:f>
        <x:v>435658360</x:v>
      </x:c>
      <x:c r="BB225" s="17" t="n">
        <x:f>IF('Control Room'!$B$5="Normal",'Control Room'!$B$7+'Control Room'!$D$7*SQRT(-2*LN(MAX(0.000000000001,AZ225/2147483647)))*COS(2*PI()*BA225/2147483647),'Control Room'!$B$8+('Control Room'!$D$8-'Control Room'!$B$8)*AZ225/2147483647)</x:f>
        <x:v>1059.8829369852951</x:v>
      </x:c>
      <x:c r="BC225" s="17" t="n">
        <x:f>IF('Control Room'!$B$5="Normal",'Control Room'!$B$7,('Control Room'!$B$8+'Control Room'!$D$8)/2)+'Control Room'!$B$9*(BC224-IF('Control Room'!$B$5="Normal",'Control Room'!$B$7,('Control Room'!$B$8+'Control Room'!$D$8)/2))+SQRT(1-'Control Room'!$B$9^2)*(BB225-IF('Control Room'!$B$5="Normal",'Control Room'!$B$7,('Control Room'!$B$8+'Control Room'!$D$8)/2))</x:f>
        <x:v>932.2967245294059</x:v>
      </x:c>
      <x:c r="BD225" s="17" t="n">
        <x:f>IF(AND($A225&gt;='Control Room'!$A$13,$A225&lt;'Control Room'!$A$13+'Control Room'!$B$13,'Process'!BU2=1),1+('Control Room'!$C$13-1)*EXP(-0.5*(($A225-'Control Room'!$A$13-('Control Room'!$B$13-1)/2)/MAX(0.5,'Control Room'!$B$13/4))^2),1)*IF(AND($A225&gt;='Control Room'!$A$14,$A225&lt;'Control Room'!$A$14+'Control Room'!$B$14,'Process'!BU3=1),1+('Control Room'!$C$14-1)*EXP(-0.5*(($A225-'Control Room'!$A$14-('Control Room'!$B$14-1)/2)/MAX(0.5,'Control Room'!$B$14/4))^2),1)*IF(AND($A225&gt;='Control Room'!$A$15,$A225&lt;'Control Room'!$A$15+'Control Room'!$B$15,'Process'!BU4=1),1+('Control Room'!$C$15-1)*EXP(-0.5*(($A225-'Control Room'!$A$15-('Control Room'!$B$15-1)/2)/MAX(0.5,'Control Room'!$B$15/4))^2),1)*IF(AND($A225&gt;='Control Room'!$A$16,$A225&lt;'Control Room'!$A$16+'Control Room'!$B$16,'Process'!BU5=1),1+('Control Room'!$C$16-1)*EXP(-0.5*(($A225-'Control Room'!$A$16-('Control Room'!$B$16-1)/2)/MAX(0.5,'Control Room'!$B$16/4))^2),1)</x:f>
        <x:v>1</x:v>
      </x:c>
      <x:c r="BE225" s="9" t="n">
        <x:f>MOD(BF224*16807,2147483647)</x:f>
        <x:v>1368723919</x:v>
      </x:c>
      <x:c r="BF225" s="9" t="n">
        <x:f>MOD(BE225*16807,2147483647)</x:f>
        <x:v>298079969</x:v>
      </x:c>
      <x:c r="BG225" s="17" t="n">
        <x:f>IF('Control Room'!$B$5="Normal",'Control Room'!$B$7+'Control Room'!$D$7*SQRT(-2*LN(MAX(0.000000000001,BE225/2147483647)))*COS(2*PI()*BF225/2147483647),'Control Room'!$B$8+('Control Room'!$D$8-'Control Room'!$B$8)*BE225/2147483647)</x:f>
        <x:v>1054.942415962073</x:v>
      </x:c>
      <x:c r="BH225" s="17" t="n">
        <x:f>IF('Control Room'!$B$5="Normal",'Control Room'!$B$7,('Control Room'!$B$8+'Control Room'!$D$8)/2)+'Control Room'!$B$9*(BH224-IF('Control Room'!$B$5="Normal",'Control Room'!$B$7,('Control Room'!$B$8+'Control Room'!$D$8)/2))+SQRT(1-'Control Room'!$B$9^2)*(BG225-IF('Control Room'!$B$5="Normal",'Control Room'!$B$7,('Control Room'!$B$8+'Control Room'!$D$8)/2))</x:f>
        <x:v>982.0079388653296</x:v>
      </x:c>
      <x:c r="BI225" s="17" t="n">
        <x:f>IF(AND($A225&gt;='Control Room'!$A$13,$A225&lt;'Control Room'!$A$13+'Control Room'!$B$13,'Process'!BV2=1),1+('Control Room'!$C$13-1)*EXP(-0.5*(($A225-'Control Room'!$A$13-('Control Room'!$B$13-1)/2)/MAX(0.5,'Control Room'!$B$13/4))^2),1)*IF(AND($A225&gt;='Control Room'!$A$14,$A225&lt;'Control Room'!$A$14+'Control Room'!$B$14,'Process'!BV3=1),1+('Control Room'!$C$14-1)*EXP(-0.5*(($A225-'Control Room'!$A$14-('Control Room'!$B$14-1)/2)/MAX(0.5,'Control Room'!$B$14/4))^2),1)*IF(AND($A225&gt;='Control Room'!$A$15,$A225&lt;'Control Room'!$A$15+'Control Room'!$B$15,'Process'!BV4=1),1+('Control Room'!$C$15-1)*EXP(-0.5*(($A225-'Control Room'!$A$15-('Control Room'!$B$15-1)/2)/MAX(0.5,'Control Room'!$B$15/4))^2),1)*IF(AND($A225&gt;='Control Room'!$A$16,$A225&lt;'Control Room'!$A$16+'Control Room'!$B$16,'Process'!BV5=1),1+('Control Room'!$C$16-1)*EXP(-0.5*(($A225-'Control Room'!$A$16-('Control Room'!$B$16-1)/2)/MAX(0.5,'Control Room'!$B$16/4))^2),1)</x:f>
        <x:v>1</x:v>
      </x:c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Z225" t="str">
        <x:f>IF('Data'!A225="","",TEXT('Data'!A225,"mm-dd"))</x:f>
      </x:c>
    </x:row>
    <x:row r="226" ht="21" customHeight="1">
      <x:c r="A226" s="15" t="n">
        <x:f>'Control Room'!$B$1+224</x:f>
        <x:v>73215</x:v>
      </x:c>
      <x:c r="B226" s="9" t="n">
        <x:f>MOD(C225*16807,2147483647)</x:f>
        <x:v>34568371</x:v>
      </x:c>
      <x:c r="C226" s="9" t="n">
        <x:f>MOD(B226*16807,2147483647)</x:f>
        <x:v>1170026707</x:v>
      </x:c>
      <x:c r="D226" s="17" t="n">
        <x:f>IF('Control Room'!$B$5="Normal",'Control Room'!$B$7+'Control Room'!$D$7*SQRT(-2*LN(MAX(0.000000000001,B226/2147483647)))*COS(2*PI()*C226/2147483647),'Control Room'!$B$8+('Control Room'!$D$8-'Control Room'!$B$8)*B226/2147483647)</x:f>
        <x:v>751.5610916713667</x:v>
      </x:c>
      <x:c r="E226" s="17" t="n">
        <x:f>IF('Control Room'!$B$5="Normal",'Control Room'!$B$7,('Control Room'!$B$8+'Control Room'!$D$8)/2)+'Control Room'!$B$9*(E225-IF('Control Room'!$B$5="Normal",'Control Room'!$B$7,('Control Room'!$B$8+'Control Room'!$D$8)/2))+SQRT(1-'Control Room'!$B$9^2)*(D226-IF('Control Room'!$B$5="Normal",'Control Room'!$B$7,('Control Room'!$B$8+'Control Room'!$D$8)/2))</x:f>
        <x:v>820.5358481021863</x:v>
      </x:c>
      <x:c r="F226" s="17" t="n">
        <x:f>IF(AND($A226&gt;='Control Room'!$A$13,$A226&lt;'Control Room'!$A$13+'Control Room'!$B$13,'Process'!BK2=1),1+('Control Room'!$C$13-1)*EXP(-0.5*(($A226-'Control Room'!$A$13-('Control Room'!$B$13-1)/2)/MAX(0.5,'Control Room'!$B$13/4))^2),1)*IF(AND($A226&gt;='Control Room'!$A$14,$A226&lt;'Control Room'!$A$14+'Control Room'!$B$14,'Process'!BK3=1),1+('Control Room'!$C$14-1)*EXP(-0.5*(($A226-'Control Room'!$A$14-('Control Room'!$B$14-1)/2)/MAX(0.5,'Control Room'!$B$14/4))^2),1)*IF(AND($A226&gt;='Control Room'!$A$15,$A226&lt;'Control Room'!$A$15+'Control Room'!$B$15,'Process'!BK4=1),1+('Control Room'!$C$15-1)*EXP(-0.5*(($A226-'Control Room'!$A$15-('Control Room'!$B$15-1)/2)/MAX(0.5,'Control Room'!$B$15/4))^2),1)*IF(AND($A226&gt;='Control Room'!$A$16,$A226&lt;'Control Room'!$A$16+'Control Room'!$B$16,'Process'!BK5=1),1+('Control Room'!$C$16-1)*EXP(-0.5*(($A226-'Control Room'!$A$16-('Control Room'!$B$16-1)/2)/MAX(0.5,'Control Room'!$B$16/4))^2),1)</x:f>
        <x:v>1</x:v>
      </x:c>
      <x:c r="G226" s="9" t="n">
        <x:f>MOD(H225*16807,2147483647)</x:f>
        <x:v>594438653</x:v>
      </x:c>
      <x:c r="H226" s="9" t="n">
        <x:f>MOD(G226*16807,2147483647)</x:f>
        <x:v>636515127</x:v>
      </x:c>
      <x:c r="I226" s="17" t="n">
        <x:f>IF('Control Room'!$B$5="Normal",'Control Room'!$B$7+'Control Room'!$D$7*SQRT(-2*LN(MAX(0.000000000001,G226/2147483647)))*COS(2*PI()*H226/2147483647),'Control Room'!$B$8+('Control Room'!$D$8-'Control Room'!$B$8)*G226/2147483647)</x:f>
        <x:v>958.5384280340511</x:v>
      </x:c>
      <x:c r="J226" s="17" t="n">
        <x:f>IF('Control Room'!$B$5="Normal",'Control Room'!$B$7,('Control Room'!$B$8+'Control Room'!$D$8)/2)+'Control Room'!$B$9*(J225-IF('Control Room'!$B$5="Normal",'Control Room'!$B$7,('Control Room'!$B$8+'Control Room'!$D$8)/2))+SQRT(1-'Control Room'!$B$9^2)*(I226-IF('Control Room'!$B$5="Normal",'Control Room'!$B$7,('Control Room'!$B$8+'Control Room'!$D$8)/2))</x:f>
        <x:v>1134.13690243796</x:v>
      </x:c>
      <x:c r="K226" s="17" t="n">
        <x:f>IF(AND($A226&gt;='Control Room'!$A$13,$A226&lt;'Control Room'!$A$13+'Control Room'!$B$13,'Process'!BL2=1),1+('Control Room'!$C$13-1)*EXP(-0.5*(($A226-'Control Room'!$A$13-('Control Room'!$B$13-1)/2)/MAX(0.5,'Control Room'!$B$13/4))^2),1)*IF(AND($A226&gt;='Control Room'!$A$14,$A226&lt;'Control Room'!$A$14+'Control Room'!$B$14,'Process'!BL3=1),1+('Control Room'!$C$14-1)*EXP(-0.5*(($A226-'Control Room'!$A$14-('Control Room'!$B$14-1)/2)/MAX(0.5,'Control Room'!$B$14/4))^2),1)*IF(AND($A226&gt;='Control Room'!$A$15,$A226&lt;'Control Room'!$A$15+'Control Room'!$B$15,'Process'!BL4=1),1+('Control Room'!$C$15-1)*EXP(-0.5*(($A226-'Control Room'!$A$15-('Control Room'!$B$15-1)/2)/MAX(0.5,'Control Room'!$B$15/4))^2),1)*IF(AND($A226&gt;='Control Room'!$A$16,$A226&lt;'Control Room'!$A$16+'Control Room'!$B$16,'Process'!BL5=1),1+('Control Room'!$C$16-1)*EXP(-0.5*(($A226-'Control Room'!$A$16-('Control Room'!$B$16-1)/2)/MAX(0.5,'Control Room'!$B$16/4))^2),1)</x:f>
        <x:v>1</x:v>
      </x:c>
      <x:c r="L226" s="9" t="n">
        <x:f>MOD(M225*16807,2147483647)</x:f>
        <x:v>1154308935</x:v>
      </x:c>
      <x:c r="M226" s="9" t="n">
        <x:f>MOD(L226*16807,2147483647)</x:f>
        <x:v>103003547</x:v>
      </x:c>
      <x:c r="N226" s="17" t="n">
        <x:f>IF('Control Room'!$B$5="Normal",'Control Room'!$B$7+'Control Room'!$D$7*SQRT(-2*LN(MAX(0.000000000001,L226/2147483647)))*COS(2*PI()*M226/2147483647),'Control Room'!$B$8+('Control Room'!$D$8-'Control Room'!$B$8)*L226/2147483647)</x:f>
        <x:v>1095.7642145312852</x:v>
      </x:c>
      <x:c r="O226" s="17" t="n">
        <x:f>IF('Control Room'!$B$5="Normal",'Control Room'!$B$7,('Control Room'!$B$8+'Control Room'!$D$8)/2)+'Control Room'!$B$9*(O225-IF('Control Room'!$B$5="Normal",'Control Room'!$B$7,('Control Room'!$B$8+'Control Room'!$D$8)/2))+SQRT(1-'Control Room'!$B$9^2)*(N226-IF('Control Room'!$B$5="Normal",'Control Room'!$B$7,('Control Room'!$B$8+'Control Room'!$D$8)/2))</x:f>
        <x:v>1051.614598606934</x:v>
      </x:c>
      <x:c r="P226" s="17" t="n">
        <x:f>IF(AND($A226&gt;='Control Room'!$A$13,$A226&lt;'Control Room'!$A$13+'Control Room'!$B$13,'Process'!BM2=1),1+('Control Room'!$C$13-1)*EXP(-0.5*(($A226-'Control Room'!$A$13-('Control Room'!$B$13-1)/2)/MAX(0.5,'Control Room'!$B$13/4))^2),1)*IF(AND($A226&gt;='Control Room'!$A$14,$A226&lt;'Control Room'!$A$14+'Control Room'!$B$14,'Process'!BM3=1),1+('Control Room'!$C$14-1)*EXP(-0.5*(($A226-'Control Room'!$A$14-('Control Room'!$B$14-1)/2)/MAX(0.5,'Control Room'!$B$14/4))^2),1)*IF(AND($A226&gt;='Control Room'!$A$15,$A226&lt;'Control Room'!$A$15+'Control Room'!$B$15,'Process'!BM4=1),1+('Control Room'!$C$15-1)*EXP(-0.5*(($A226-'Control Room'!$A$15-('Control Room'!$B$15-1)/2)/MAX(0.5,'Control Room'!$B$15/4))^2),1)*IF(AND($A226&gt;='Control Room'!$A$16,$A226&lt;'Control Room'!$A$16+'Control Room'!$B$16,'Process'!BM5=1),1+('Control Room'!$C$16-1)*EXP(-0.5*(($A226-'Control Room'!$A$16-('Control Room'!$B$16-1)/2)/MAX(0.5,'Control Room'!$B$16/4))^2),1)</x:f>
        <x:v>1</x:v>
      </x:c>
      <x:c r="Q226" s="9" t="n">
        <x:f>MOD(R225*16807,2147483647)</x:f>
        <x:v>1714179217</x:v>
      </x:c>
      <x:c r="R226" s="9" t="n">
        <x:f>MOD(Q226*16807,2147483647)</x:f>
        <x:v>1716975614</x:v>
      </x:c>
      <x:c r="S226" s="17" t="n">
        <x:f>IF('Control Room'!$B$5="Normal",'Control Room'!$B$7+'Control Room'!$D$7*SQRT(-2*LN(MAX(0.000000000001,Q226/2147483647)))*COS(2*PI()*R226/2147483647),'Control Room'!$B$8+('Control Room'!$D$8-'Control Room'!$B$8)*Q226/2147483647)</x:f>
        <x:v>1018.5014435837448</x:v>
      </x:c>
      <x:c r="T226" s="17" t="n">
        <x:f>IF('Control Room'!$B$5="Normal",'Control Room'!$B$7,('Control Room'!$B$8+'Control Room'!$D$8)/2)+'Control Room'!$B$9*(T225-IF('Control Room'!$B$5="Normal",'Control Room'!$B$7,('Control Room'!$B$8+'Control Room'!$D$8)/2))+SQRT(1-'Control Room'!$B$9^2)*(S226-IF('Control Room'!$B$5="Normal",'Control Room'!$B$7,('Control Room'!$B$8+'Control Room'!$D$8)/2))</x:f>
        <x:v>920.6992847271943</x:v>
      </x:c>
      <x:c r="U226" s="17" t="n">
        <x:f>IF(AND($A226&gt;='Control Room'!$A$13,$A226&lt;'Control Room'!$A$13+'Control Room'!$B$13,'Process'!BN2=1),1+('Control Room'!$C$13-1)*EXP(-0.5*(($A226-'Control Room'!$A$13-('Control Room'!$B$13-1)/2)/MAX(0.5,'Control Room'!$B$13/4))^2),1)*IF(AND($A226&gt;='Control Room'!$A$14,$A226&lt;'Control Room'!$A$14+'Control Room'!$B$14,'Process'!BN3=1),1+('Control Room'!$C$14-1)*EXP(-0.5*(($A226-'Control Room'!$A$14-('Control Room'!$B$14-1)/2)/MAX(0.5,'Control Room'!$B$14/4))^2),1)*IF(AND($A226&gt;='Control Room'!$A$15,$A226&lt;'Control Room'!$A$15+'Control Room'!$B$15,'Process'!BN4=1),1+('Control Room'!$C$15-1)*EXP(-0.5*(($A226-'Control Room'!$A$15-('Control Room'!$B$15-1)/2)/MAX(0.5,'Control Room'!$B$15/4))^2),1)*IF(AND($A226&gt;='Control Room'!$A$16,$A226&lt;'Control Room'!$A$16+'Control Room'!$B$16,'Process'!BN5=1),1+('Control Room'!$C$16-1)*EXP(-0.5*(($A226-'Control Room'!$A$16-('Control Room'!$B$16-1)/2)/MAX(0.5,'Control Room'!$B$16/4))^2),1)</x:f>
        <x:v>1</x:v>
      </x:c>
      <x:c r="V226" s="9" t="n">
        <x:f>MOD(W225*16807,2147483647)</x:f>
        <x:v>126565852</x:v>
      </x:c>
      <x:c r="W226" s="9" t="n">
        <x:f>MOD(V226*16807,2147483647)</x:f>
        <x:v>1183464034</x:v>
      </x:c>
      <x:c r="X226" s="17" t="n">
        <x:f>IF('Control Room'!$B$5="Normal",'Control Room'!$B$7+'Control Room'!$D$7*SQRT(-2*LN(MAX(0.000000000001,V226/2147483647)))*COS(2*PI()*W226/2147483647),'Control Room'!$B$8+('Control Room'!$D$8-'Control Room'!$B$8)*V226/2147483647)</x:f>
        <x:v>796.7759110838836</x:v>
      </x:c>
      <x:c r="Y226" s="17" t="n">
        <x:f>IF('Control Room'!$B$5="Normal",'Control Room'!$B$7,('Control Room'!$B$8+'Control Room'!$D$8)/2)+'Control Room'!$B$9*(Y225-IF('Control Room'!$B$5="Normal",'Control Room'!$B$7,('Control Room'!$B$8+'Control Room'!$D$8)/2))+SQRT(1-'Control Room'!$B$9^2)*(X226-IF('Control Room'!$B$5="Normal",'Control Room'!$B$7,('Control Room'!$B$8+'Control Room'!$D$8)/2))</x:f>
        <x:v>921.5081037283743</x:v>
      </x:c>
      <x:c r="Z226" s="17" t="n">
        <x:f>IF(AND($A226&gt;='Control Room'!$A$13,$A226&lt;'Control Room'!$A$13+'Control Room'!$B$13,'Process'!BO2=1),1+('Control Room'!$C$13-1)*EXP(-0.5*(($A226-'Control Room'!$A$13-('Control Room'!$B$13-1)/2)/MAX(0.5,'Control Room'!$B$13/4))^2),1)*IF(AND($A226&gt;='Control Room'!$A$14,$A226&lt;'Control Room'!$A$14+'Control Room'!$B$14,'Process'!BO3=1),1+('Control Room'!$C$14-1)*EXP(-0.5*(($A226-'Control Room'!$A$14-('Control Room'!$B$14-1)/2)/MAX(0.5,'Control Room'!$B$14/4))^2),1)*IF(AND($A226&gt;='Control Room'!$A$15,$A226&lt;'Control Room'!$A$15+'Control Room'!$B$15,'Process'!BO4=1),1+('Control Room'!$C$15-1)*EXP(-0.5*(($A226-'Control Room'!$A$15-('Control Room'!$B$15-1)/2)/MAX(0.5,'Control Room'!$B$15/4))^2),1)*IF(AND($A226&gt;='Control Room'!$A$16,$A226&lt;'Control Room'!$A$16+'Control Room'!$B$16,'Process'!BO5=1),1+('Control Room'!$C$16-1)*EXP(-0.5*(($A226-'Control Room'!$A$16-('Control Room'!$B$16-1)/2)/MAX(0.5,'Control Room'!$B$16/4))^2),1)</x:f>
        <x:v>1</x:v>
      </x:c>
      <x:c r="AA226" s="9" t="n">
        <x:f>MOD(AB225*16807,2147483647)</x:f>
        <x:v>686436134</x:v>
      </x:c>
      <x:c r="AB226" s="9" t="n">
        <x:f>MOD(AA226*16807,2147483647)</x:f>
        <x:v>649952454</x:v>
      </x:c>
      <x:c r="AC226" s="17" t="n">
        <x:f>IF('Control Room'!$B$5="Normal",'Control Room'!$B$7+'Control Room'!$D$7*SQRT(-2*LN(MAX(0.000000000001,AA226/2147483647)))*COS(2*PI()*AB226/2147483647),'Control Room'!$B$8+('Control Room'!$D$8-'Control Room'!$B$8)*AA226/2147483647)</x:f>
        <x:v>955.8427854640873</x:v>
      </x:c>
      <x:c r="AD226" s="17" t="n">
        <x:f>IF('Control Room'!$B$5="Normal",'Control Room'!$B$7,('Control Room'!$B$8+'Control Room'!$D$8)/2)+'Control Room'!$B$9*(AD225-IF('Control Room'!$B$5="Normal",'Control Room'!$B$7,('Control Room'!$B$8+'Control Room'!$D$8)/2))+SQRT(1-'Control Room'!$B$9^2)*(AC226-IF('Control Room'!$B$5="Normal",'Control Room'!$B$7,('Control Room'!$B$8+'Control Room'!$D$8)/2))</x:f>
        <x:v>820.4072311387612</x:v>
      </x:c>
      <x:c r="AE226" s="17" t="n">
        <x:f>IF(AND($A226&gt;='Control Room'!$A$13,$A226&lt;'Control Room'!$A$13+'Control Room'!$B$13,'Process'!BP2=1),1+('Control Room'!$C$13-1)*EXP(-0.5*(($A226-'Control Room'!$A$13-('Control Room'!$B$13-1)/2)/MAX(0.5,'Control Room'!$B$13/4))^2),1)*IF(AND($A226&gt;='Control Room'!$A$14,$A226&lt;'Control Room'!$A$14+'Control Room'!$B$14,'Process'!BP3=1),1+('Control Room'!$C$14-1)*EXP(-0.5*(($A226-'Control Room'!$A$14-('Control Room'!$B$14-1)/2)/MAX(0.5,'Control Room'!$B$14/4))^2),1)*IF(AND($A226&gt;='Control Room'!$A$15,$A226&lt;'Control Room'!$A$15+'Control Room'!$B$15,'Process'!BP4=1),1+('Control Room'!$C$15-1)*EXP(-0.5*(($A226-'Control Room'!$A$15-('Control Room'!$B$15-1)/2)/MAX(0.5,'Control Room'!$B$15/4))^2),1)*IF(AND($A226&gt;='Control Room'!$A$16,$A226&lt;'Control Room'!$A$16+'Control Room'!$B$16,'Process'!BP5=1),1+('Control Room'!$C$16-1)*EXP(-0.5*(($A226-'Control Room'!$A$16-('Control Room'!$B$16-1)/2)/MAX(0.5,'Control Room'!$B$16/4))^2),1)</x:f>
        <x:v>1</x:v>
      </x:c>
      <x:c r="AF226" s="9" t="n">
        <x:f>MOD(AG225*16807,2147483647)</x:f>
        <x:v>1246306416</x:v>
      </x:c>
      <x:c r="AG226" s="9" t="n">
        <x:f>MOD(AF226*16807,2147483647)</x:f>
        <x:v>116440874</x:v>
      </x:c>
      <x:c r="AH226" s="17" t="n">
        <x:f>IF('Control Room'!$B$5="Normal",'Control Room'!$B$7+'Control Room'!$D$7*SQRT(-2*LN(MAX(0.000000000001,AF226/2147483647)))*COS(2*PI()*AG226/2147483647),'Control Room'!$B$8+('Control Room'!$D$8-'Control Room'!$B$8)*AF226/2147483647)</x:f>
        <x:v>1088.4901406216277</x:v>
      </x:c>
      <x:c r="AI226" s="17" t="n">
        <x:f>IF('Control Room'!$B$5="Normal",'Control Room'!$B$7,('Control Room'!$B$8+'Control Room'!$D$8)/2)+'Control Room'!$B$9*(AI225-IF('Control Room'!$B$5="Normal",'Control Room'!$B$7,('Control Room'!$B$8+'Control Room'!$D$8)/2))+SQRT(1-'Control Room'!$B$9^2)*(AH226-IF('Control Room'!$B$5="Normal",'Control Room'!$B$7,('Control Room'!$B$8+'Control Room'!$D$8)/2))</x:f>
        <x:v>1020.3498512178226</x:v>
      </x:c>
      <x:c r="AJ226" s="17" t="n">
        <x:f>IF(AND($A226&gt;='Control Room'!$A$13,$A226&lt;'Control Room'!$A$13+'Control Room'!$B$13,'Process'!BQ2=1),1+('Control Room'!$C$13-1)*EXP(-0.5*(($A226-'Control Room'!$A$13-('Control Room'!$B$13-1)/2)/MAX(0.5,'Control Room'!$B$13/4))^2),1)*IF(AND($A226&gt;='Control Room'!$A$14,$A226&lt;'Control Room'!$A$14+'Control Room'!$B$14,'Process'!BQ3=1),1+('Control Room'!$C$14-1)*EXP(-0.5*(($A226-'Control Room'!$A$14-('Control Room'!$B$14-1)/2)/MAX(0.5,'Control Room'!$B$14/4))^2),1)*IF(AND($A226&gt;='Control Room'!$A$15,$A226&lt;'Control Room'!$A$15+'Control Room'!$B$15,'Process'!BQ4=1),1+('Control Room'!$C$15-1)*EXP(-0.5*(($A226-'Control Room'!$A$15-('Control Room'!$B$15-1)/2)/MAX(0.5,'Control Room'!$B$15/4))^2),1)*IF(AND($A226&gt;='Control Room'!$A$16,$A226&lt;'Control Room'!$A$16+'Control Room'!$B$16,'Process'!BQ5=1),1+('Control Room'!$C$16-1)*EXP(-0.5*(($A226-'Control Room'!$A$16-('Control Room'!$B$16-1)/2)/MAX(0.5,'Control Room'!$B$16/4))^2),1)</x:f>
        <x:v>1</x:v>
      </x:c>
      <x:c r="AK226" s="9" t="n">
        <x:f>MOD(AL225*16807,2147483647)</x:f>
        <x:v>1806176698</x:v>
      </x:c>
      <x:c r="AL226" s="9" t="n">
        <x:f>MOD(AK226*16807,2147483647)</x:f>
        <x:v>1730412941</x:v>
      </x:c>
      <x:c r="AM226" s="17" t="n">
        <x:f>IF('Control Room'!$B$5="Normal",'Control Room'!$B$7+'Control Room'!$D$7*SQRT(-2*LN(MAX(0.000000000001,AK226/2147483647)))*COS(2*PI()*AL226/2147483647),'Control Room'!$B$8+('Control Room'!$D$8-'Control Room'!$B$8)*AK226/2147483647)</x:f>
        <x:v>1018.1829531998566</x:v>
      </x:c>
      <x:c r="AN226" s="17" t="n">
        <x:f>IF('Control Room'!$B$5="Normal",'Control Room'!$B$7,('Control Room'!$B$8+'Control Room'!$D$8)/2)+'Control Room'!$B$9*(AN225-IF('Control Room'!$B$5="Normal",'Control Room'!$B$7,('Control Room'!$B$8+'Control Room'!$D$8)/2))+SQRT(1-'Control Room'!$B$9^2)*(AM226-IF('Control Room'!$B$5="Normal",'Control Room'!$B$7,('Control Room'!$B$8+'Control Room'!$D$8)/2))</x:f>
        <x:v>886.6428407156825</x:v>
      </x:c>
      <x:c r="AO226" s="17" t="n">
        <x:f>IF(AND($A226&gt;='Control Room'!$A$13,$A226&lt;'Control Room'!$A$13+'Control Room'!$B$13,'Process'!BR2=1),1+('Control Room'!$C$13-1)*EXP(-0.5*(($A226-'Control Room'!$A$13-('Control Room'!$B$13-1)/2)/MAX(0.5,'Control Room'!$B$13/4))^2),1)*IF(AND($A226&gt;='Control Room'!$A$14,$A226&lt;'Control Room'!$A$14+'Control Room'!$B$14,'Process'!BR3=1),1+('Control Room'!$C$14-1)*EXP(-0.5*(($A226-'Control Room'!$A$14-('Control Room'!$B$14-1)/2)/MAX(0.5,'Control Room'!$B$14/4))^2),1)*IF(AND($A226&gt;='Control Room'!$A$15,$A226&lt;'Control Room'!$A$15+'Control Room'!$B$15,'Process'!BR4=1),1+('Control Room'!$C$15-1)*EXP(-0.5*(($A226-'Control Room'!$A$15-('Control Room'!$B$15-1)/2)/MAX(0.5,'Control Room'!$B$15/4))^2),1)*IF(AND($A226&gt;='Control Room'!$A$16,$A226&lt;'Control Room'!$A$16+'Control Room'!$B$16,'Process'!BR5=1),1+('Control Room'!$C$16-1)*EXP(-0.5*(($A226-'Control Room'!$A$16-('Control Room'!$B$16-1)/2)/MAX(0.5,'Control Room'!$B$16/4))^2),1)</x:f>
        <x:v>1</x:v>
      </x:c>
      <x:c r="AP226" s="9" t="n">
        <x:f>MOD(AQ225*16807,2147483647)</x:f>
        <x:v>218563333</x:v>
      </x:c>
      <x:c r="AQ226" s="9" t="n">
        <x:f>MOD(AP226*16807,2147483647)</x:f>
        <x:v>1196901361</x:v>
      </x:c>
      <x:c r="AR226" s="17" t="n">
        <x:f>IF('Control Room'!$B$5="Normal",'Control Room'!$B$7+'Control Room'!$D$7*SQRT(-2*LN(MAX(0.000000000001,AP226/2147483647)))*COS(2*PI()*AQ226/2147483647),'Control Room'!$B$8+('Control Room'!$D$8-'Control Room'!$B$8)*AP226/2147483647)</x:f>
        <x:v>819.9596052240736</x:v>
      </x:c>
      <x:c r="AS226" s="17" t="n">
        <x:f>IF('Control Room'!$B$5="Normal",'Control Room'!$B$7,('Control Room'!$B$8+'Control Room'!$D$8)/2)+'Control Room'!$B$9*(AS225-IF('Control Room'!$B$5="Normal",'Control Room'!$B$7,('Control Room'!$B$8+'Control Room'!$D$8)/2))+SQRT(1-'Control Room'!$B$9^2)*(AR226-IF('Control Room'!$B$5="Normal",'Control Room'!$B$7,('Control Room'!$B$8+'Control Room'!$D$8)/2))</x:f>
        <x:v>814.2342434641992</x:v>
      </x:c>
      <x:c r="AT226" s="17" t="n">
        <x:f>IF(AND($A226&gt;='Control Room'!$A$13,$A226&lt;'Control Room'!$A$13+'Control Room'!$B$13,'Process'!BS2=1),1+('Control Room'!$C$13-1)*EXP(-0.5*(($A226-'Control Room'!$A$13-('Control Room'!$B$13-1)/2)/MAX(0.5,'Control Room'!$B$13/4))^2),1)*IF(AND($A226&gt;='Control Room'!$A$14,$A226&lt;'Control Room'!$A$14+'Control Room'!$B$14,'Process'!BS3=1),1+('Control Room'!$C$14-1)*EXP(-0.5*(($A226-'Control Room'!$A$14-('Control Room'!$B$14-1)/2)/MAX(0.5,'Control Room'!$B$14/4))^2),1)*IF(AND($A226&gt;='Control Room'!$A$15,$A226&lt;'Control Room'!$A$15+'Control Room'!$B$15,'Process'!BS4=1),1+('Control Room'!$C$15-1)*EXP(-0.5*(($A226-'Control Room'!$A$15-('Control Room'!$B$15-1)/2)/MAX(0.5,'Control Room'!$B$15/4))^2),1)*IF(AND($A226&gt;='Control Room'!$A$16,$A226&lt;'Control Room'!$A$16+'Control Room'!$B$16,'Process'!BS5=1),1+('Control Room'!$C$16-1)*EXP(-0.5*(($A226-'Control Room'!$A$16-('Control Room'!$B$16-1)/2)/MAX(0.5,'Control Room'!$B$16/4))^2),1)</x:f>
        <x:v>1</x:v>
      </x:c>
      <x:c r="AU226" s="9" t="n">
        <x:f>MOD(AV225*16807,2147483647)</x:f>
        <x:v>778433615</x:v>
      </x:c>
      <x:c r="AV226" s="9" t="n">
        <x:f>MOD(AU226*16807,2147483647)</x:f>
        <x:v>663389781</x:v>
      </x:c>
      <x:c r="AW226" s="17" t="n">
        <x:f>IF('Control Room'!$B$5="Normal",'Control Room'!$B$7+'Control Room'!$D$7*SQRT(-2*LN(MAX(0.000000000001,AU226/2147483647)))*COS(2*PI()*AV226/2147483647),'Control Room'!$B$8+('Control Room'!$D$8-'Control Room'!$B$8)*AU226/2147483647)</x:f>
        <x:v>953.6145136523953</x:v>
      </x:c>
      <x:c r="AX226" s="17" t="n">
        <x:f>IF('Control Room'!$B$5="Normal",'Control Room'!$B$7,('Control Room'!$B$8+'Control Room'!$D$8)/2)+'Control Room'!$B$9*(AX225-IF('Control Room'!$B$5="Normal",'Control Room'!$B$7,('Control Room'!$B$8+'Control Room'!$D$8)/2))+SQRT(1-'Control Room'!$B$9^2)*(AW226-IF('Control Room'!$B$5="Normal",'Control Room'!$B$7,('Control Room'!$B$8+'Control Room'!$D$8)/2))</x:f>
        <x:v>947.2447891421814</x:v>
      </x:c>
      <x:c r="AY226" s="17" t="n">
        <x:f>IF(AND($A226&gt;='Control Room'!$A$13,$A226&lt;'Control Room'!$A$13+'Control Room'!$B$13,'Process'!BT2=1),1+('Control Room'!$C$13-1)*EXP(-0.5*(($A226-'Control Room'!$A$13-('Control Room'!$B$13-1)/2)/MAX(0.5,'Control Room'!$B$13/4))^2),1)*IF(AND($A226&gt;='Control Room'!$A$14,$A226&lt;'Control Room'!$A$14+'Control Room'!$B$14,'Process'!BT3=1),1+('Control Room'!$C$14-1)*EXP(-0.5*(($A226-'Control Room'!$A$14-('Control Room'!$B$14-1)/2)/MAX(0.5,'Control Room'!$B$14/4))^2),1)*IF(AND($A226&gt;='Control Room'!$A$15,$A226&lt;'Control Room'!$A$15+'Control Room'!$B$15,'Process'!BT4=1),1+('Control Room'!$C$15-1)*EXP(-0.5*(($A226-'Control Room'!$A$15-('Control Room'!$B$15-1)/2)/MAX(0.5,'Control Room'!$B$15/4))^2),1)*IF(AND($A226&gt;='Control Room'!$A$16,$A226&lt;'Control Room'!$A$16+'Control Room'!$B$16,'Process'!BT5=1),1+('Control Room'!$C$16-1)*EXP(-0.5*(($A226-'Control Room'!$A$16-('Control Room'!$B$16-1)/2)/MAX(0.5,'Control Room'!$B$16/4))^2),1)</x:f>
        <x:v>1</x:v>
      </x:c>
      <x:c r="AZ226" s="9" t="n">
        <x:f>MOD(BA225*16807,2147483647)</x:f>
        <x:v>1338303897</x:v>
      </x:c>
      <x:c r="BA226" s="9" t="n">
        <x:f>MOD(AZ226*16807,2147483647)</x:f>
        <x:v>129878201</x:v>
      </x:c>
      <x:c r="BB226" s="17" t="n">
        <x:f>IF('Control Room'!$B$5="Normal",'Control Room'!$B$7+'Control Room'!$D$7*SQRT(-2*LN(MAX(0.000000000001,AZ226/2147483647)))*COS(2*PI()*BA226/2147483647),'Control Room'!$B$8+('Control Room'!$D$8-'Control Room'!$B$8)*AZ226/2147483647)</x:f>
        <x:v>1081.2826345923272</x:v>
      </x:c>
      <x:c r="BC226" s="17" t="n">
        <x:f>IF('Control Room'!$B$5="Normal",'Control Room'!$B$7,('Control Room'!$B$8+'Control Room'!$D$8)/2)+'Control Room'!$B$9*(BC225-IF('Control Room'!$B$5="Normal",'Control Room'!$B$7,('Control Room'!$B$8+'Control Room'!$D$8)/2))+SQRT(1-'Control Room'!$B$9^2)*(BB226-IF('Control Room'!$B$5="Normal",'Control Room'!$B$7,('Control Room'!$B$8+'Control Room'!$D$8)/2))</x:f>
        <x:v>998.0564526955355</x:v>
      </x:c>
      <x:c r="BD226" s="17" t="n">
        <x:f>IF(AND($A226&gt;='Control Room'!$A$13,$A226&lt;'Control Room'!$A$13+'Control Room'!$B$13,'Process'!BU2=1),1+('Control Room'!$C$13-1)*EXP(-0.5*(($A226-'Control Room'!$A$13-('Control Room'!$B$13-1)/2)/MAX(0.5,'Control Room'!$B$13/4))^2),1)*IF(AND($A226&gt;='Control Room'!$A$14,$A226&lt;'Control Room'!$A$14+'Control Room'!$B$14,'Process'!BU3=1),1+('Control Room'!$C$14-1)*EXP(-0.5*(($A226-'Control Room'!$A$14-('Control Room'!$B$14-1)/2)/MAX(0.5,'Control Room'!$B$14/4))^2),1)*IF(AND($A226&gt;='Control Room'!$A$15,$A226&lt;'Control Room'!$A$15+'Control Room'!$B$15,'Process'!BU4=1),1+('Control Room'!$C$15-1)*EXP(-0.5*(($A226-'Control Room'!$A$15-('Control Room'!$B$15-1)/2)/MAX(0.5,'Control Room'!$B$15/4))^2),1)*IF(AND($A226&gt;='Control Room'!$A$16,$A226&lt;'Control Room'!$A$16+'Control Room'!$B$16,'Process'!BU5=1),1+('Control Room'!$C$16-1)*EXP(-0.5*(($A226-'Control Room'!$A$16-('Control Room'!$B$16-1)/2)/MAX(0.5,'Control Room'!$B$16/4))^2),1)</x:f>
        <x:v>1</x:v>
      </x:c>
      <x:c r="BE226" s="9" t="n">
        <x:f>MOD(BF225*16807,2147483647)</x:f>
        <x:v>1898174179</x:v>
      </x:c>
      <x:c r="BF226" s="9" t="n">
        <x:f>MOD(BE226*16807,2147483647)</x:f>
        <x:v>1743850268</x:v>
      </x:c>
      <x:c r="BG226" s="17" t="n">
        <x:f>IF('Control Room'!$B$5="Normal",'Control Room'!$B$7+'Control Room'!$D$7*SQRT(-2*LN(MAX(0.000000000001,BE226/2147483647)))*COS(2*PI()*BF226/2147483647),'Control Room'!$B$8+('Control Room'!$D$8-'Control Room'!$B$8)*BE226/2147483647)</x:f>
        <x:v>1016.9919463118705</x:v>
      </x:c>
      <x:c r="BH226" s="17" t="n">
        <x:f>IF('Control Room'!$B$5="Normal",'Control Room'!$B$7,('Control Room'!$B$8+'Control Room'!$D$8)/2)+'Control Room'!$B$9*(BH225-IF('Control Room'!$B$5="Normal",'Control Room'!$B$7,('Control Room'!$B$8+'Control Room'!$D$8)/2))+SQRT(1-'Control Room'!$B$9^2)*(BG226-IF('Control Room'!$B$5="Normal",'Control Room'!$B$7,('Control Room'!$B$8+'Control Room'!$D$8)/2))</x:f>
        <x:v>996.5994042179846</x:v>
      </x:c>
      <x:c r="BI226" s="17" t="n">
        <x:f>IF(AND($A226&gt;='Control Room'!$A$13,$A226&lt;'Control Room'!$A$13+'Control Room'!$B$13,'Process'!BV2=1),1+('Control Room'!$C$13-1)*EXP(-0.5*(($A226-'Control Room'!$A$13-('Control Room'!$B$13-1)/2)/MAX(0.5,'Control Room'!$B$13/4))^2),1)*IF(AND($A226&gt;='Control Room'!$A$14,$A226&lt;'Control Room'!$A$14+'Control Room'!$B$14,'Process'!BV3=1),1+('Control Room'!$C$14-1)*EXP(-0.5*(($A226-'Control Room'!$A$14-('Control Room'!$B$14-1)/2)/MAX(0.5,'Control Room'!$B$14/4))^2),1)*IF(AND($A226&gt;='Control Room'!$A$15,$A226&lt;'Control Room'!$A$15+'Control Room'!$B$15,'Process'!BV4=1),1+('Control Room'!$C$15-1)*EXP(-0.5*(($A226-'Control Room'!$A$15-('Control Room'!$B$15-1)/2)/MAX(0.5,'Control Room'!$B$15/4))^2),1)*IF(AND($A226&gt;='Control Room'!$A$16,$A226&lt;'Control Room'!$A$16+'Control Room'!$B$16,'Process'!BV5=1),1+('Control Room'!$C$16-1)*EXP(-0.5*(($A226-'Control Room'!$A$16-('Control Room'!$B$16-1)/2)/MAX(0.5,'Control Room'!$B$16/4))^2),1)</x:f>
        <x:v>1</x:v>
      </x:c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Z226" t="str">
        <x:f>IF('Data'!A226="","",TEXT('Data'!A226,"mm-dd"))</x:f>
      </x:c>
    </x:row>
    <x:row r="227" ht="21" customHeight="1">
      <x:c r="A227" s="15" t="n">
        <x:f>'Control Room'!$B$1+225</x:f>
        <x:v>73216</x:v>
      </x:c>
      <x:c r="B227" s="9" t="n">
        <x:f>MOD(C226*16807,2147483647)</x:f>
        <x:v>131108970</x:v>
      </x:c>
      <x:c r="C227" s="9" t="n">
        <x:f>MOD(B227*16807,2147483647)</x:f>
        <x:v>230236968</x:v>
      </x:c>
      <x:c r="D227" s="17" t="n">
        <x:f>IF('Control Room'!$B$5="Normal",'Control Room'!$B$7+'Control Room'!$D$7*SQRT(-2*LN(MAX(0.000000000001,B227/2147483647)))*COS(2*PI()*C227/2147483647),'Control Room'!$B$8+('Control Room'!$D$8-'Control Room'!$B$8)*B227/2147483647)</x:f>
        <x:v>1166.337264562268</x:v>
      </x:c>
      <x:c r="E227" s="17" t="n">
        <x:f>IF('Control Room'!$B$5="Normal",'Control Room'!$B$7,('Control Room'!$B$8+'Control Room'!$D$8)/2)+'Control Room'!$B$9*(E226-IF('Control Room'!$B$5="Normal",'Control Room'!$B$7,('Control Room'!$B$8+'Control Room'!$D$8)/2))+SQRT(1-'Control Room'!$B$9^2)*(D227-IF('Control Room'!$B$5="Normal",'Control Room'!$B$7,('Control Room'!$B$8+'Control Room'!$D$8)/2))</x:f>
        <x:v>964.1084140786883</x:v>
      </x:c>
      <x:c r="F227" s="17" t="n">
        <x:f>IF(AND($A227&gt;='Control Room'!$A$13,$A227&lt;'Control Room'!$A$13+'Control Room'!$B$13,'Process'!BK2=1),1+('Control Room'!$C$13-1)*EXP(-0.5*(($A227-'Control Room'!$A$13-('Control Room'!$B$13-1)/2)/MAX(0.5,'Control Room'!$B$13/4))^2),1)*IF(AND($A227&gt;='Control Room'!$A$14,$A227&lt;'Control Room'!$A$14+'Control Room'!$B$14,'Process'!BK3=1),1+('Control Room'!$C$14-1)*EXP(-0.5*(($A227-'Control Room'!$A$14-('Control Room'!$B$14-1)/2)/MAX(0.5,'Control Room'!$B$14/4))^2),1)*IF(AND($A227&gt;='Control Room'!$A$15,$A227&lt;'Control Room'!$A$15+'Control Room'!$B$15,'Process'!BK4=1),1+('Control Room'!$C$15-1)*EXP(-0.5*(($A227-'Control Room'!$A$15-('Control Room'!$B$15-1)/2)/MAX(0.5,'Control Room'!$B$15/4))^2),1)*IF(AND($A227&gt;='Control Room'!$A$16,$A227&lt;'Control Room'!$A$16+'Control Room'!$B$16,'Process'!BK5=1),1+('Control Room'!$C$16-1)*EXP(-0.5*(($A227-'Control Room'!$A$16-('Control Room'!$B$16-1)/2)/MAX(0.5,'Control Room'!$B$16/4))^2),1)</x:f>
        <x:v>1</x:v>
      </x:c>
      <x:c r="G227" s="9" t="n">
        <x:f>MOD(H226*16807,2147483647)</x:f>
        <x:v>1293693782</x:v>
      </x:c>
      <x:c r="H227" s="9" t="n">
        <x:f>MOD(G227*16807,2147483647)</x:f>
        <x:v>1986951846</x:v>
      </x:c>
      <x:c r="I227" s="17" t="n">
        <x:f>IF('Control Room'!$B$5="Normal",'Control Room'!$B$7+'Control Room'!$D$7*SQRT(-2*LN(MAX(0.000000000001,G227/2147483647)))*COS(2*PI()*H227/2147483647),'Control Room'!$B$8+('Control Room'!$D$8-'Control Room'!$B$8)*G227/2147483647)</x:f>
        <x:v>1080.7972909423079</x:v>
      </x:c>
      <x:c r="J227" s="17" t="n">
        <x:f>IF('Control Room'!$B$5="Normal",'Control Room'!$B$7,('Control Room'!$B$8+'Control Room'!$D$8)/2)+'Control Room'!$B$9*(J226-IF('Control Room'!$B$5="Normal",'Control Room'!$B$7,('Control Room'!$B$8+'Control Room'!$D$8)/2))+SQRT(1-'Control Room'!$B$9^2)*(I227-IF('Control Room'!$B$5="Normal",'Control Room'!$B$7,('Control Room'!$B$8+'Control Room'!$D$8)/2))</x:f>
        <x:v>1155.1880733508308</x:v>
      </x:c>
      <x:c r="K227" s="17" t="n">
        <x:f>IF(AND($A227&gt;='Control Room'!$A$13,$A227&lt;'Control Room'!$A$13+'Control Room'!$B$13,'Process'!BL2=1),1+('Control Room'!$C$13-1)*EXP(-0.5*(($A227-'Control Room'!$A$13-('Control Room'!$B$13-1)/2)/MAX(0.5,'Control Room'!$B$13/4))^2),1)*IF(AND($A227&gt;='Control Room'!$A$14,$A227&lt;'Control Room'!$A$14+'Control Room'!$B$14,'Process'!BL3=1),1+('Control Room'!$C$14-1)*EXP(-0.5*(($A227-'Control Room'!$A$14-('Control Room'!$B$14-1)/2)/MAX(0.5,'Control Room'!$B$14/4))^2),1)*IF(AND($A227&gt;='Control Room'!$A$15,$A227&lt;'Control Room'!$A$15+'Control Room'!$B$15,'Process'!BL4=1),1+('Control Room'!$C$15-1)*EXP(-0.5*(($A227-'Control Room'!$A$15-('Control Room'!$B$15-1)/2)/MAX(0.5,'Control Room'!$B$15/4))^2),1)*IF(AND($A227&gt;='Control Room'!$A$16,$A227&lt;'Control Room'!$A$16+'Control Room'!$B$16,'Process'!BL5=1),1+('Control Room'!$C$16-1)*EXP(-0.5*(($A227-'Control Room'!$A$16-('Control Room'!$B$16-1)/2)/MAX(0.5,'Control Room'!$B$16/4))^2),1)</x:f>
        <x:v>1</x:v>
      </x:c>
      <x:c r="L227" s="9" t="n">
        <x:f>MOD(M226*16807,2147483647)</x:f>
        <x:v>308794947</x:v>
      </x:c>
      <x:c r="M227" s="9" t="n">
        <x:f>MOD(L227*16807,2147483647)</x:f>
        <x:v>1596183077</x:v>
      </x:c>
      <x:c r="N227" s="17" t="n">
        <x:f>IF('Control Room'!$B$5="Normal",'Control Room'!$B$7+'Control Room'!$D$7*SQRT(-2*LN(MAX(0.000000000001,L227/2147483647)))*COS(2*PI()*M227/2147483647),'Control Room'!$B$8+('Control Room'!$D$8-'Control Room'!$B$8)*L227/2147483647)</x:f>
        <x:v>992.5189013528078</x:v>
      </x:c>
      <x:c r="O227" s="17" t="n">
        <x:f>IF('Control Room'!$B$5="Normal",'Control Room'!$B$7,('Control Room'!$B$8+'Control Room'!$D$8)/2)+'Control Room'!$B$9*(O226-IF('Control Room'!$B$5="Normal",'Control Room'!$B$7,('Control Room'!$B$8+'Control Room'!$D$8)/2))+SQRT(1-'Control Room'!$B$9^2)*(N227-IF('Control Room'!$B$5="Normal",'Control Room'!$B$7,('Control Room'!$B$8+'Control Room'!$D$8)/2))</x:f>
        <x:v>1035.5778686386318</x:v>
      </x:c>
      <x:c r="P227" s="17" t="n">
        <x:f>IF(AND($A227&gt;='Control Room'!$A$13,$A227&lt;'Control Room'!$A$13+'Control Room'!$B$13,'Process'!BM2=1),1+('Control Room'!$C$13-1)*EXP(-0.5*(($A227-'Control Room'!$A$13-('Control Room'!$B$13-1)/2)/MAX(0.5,'Control Room'!$B$13/4))^2),1)*IF(AND($A227&gt;='Control Room'!$A$14,$A227&lt;'Control Room'!$A$14+'Control Room'!$B$14,'Process'!BM3=1),1+('Control Room'!$C$14-1)*EXP(-0.5*(($A227-'Control Room'!$A$14-('Control Room'!$B$14-1)/2)/MAX(0.5,'Control Room'!$B$14/4))^2),1)*IF(AND($A227&gt;='Control Room'!$A$15,$A227&lt;'Control Room'!$A$15+'Control Room'!$B$15,'Process'!BM4=1),1+('Control Room'!$C$15-1)*EXP(-0.5*(($A227-'Control Room'!$A$15-('Control Room'!$B$15-1)/2)/MAX(0.5,'Control Room'!$B$15/4))^2),1)*IF(AND($A227&gt;='Control Room'!$A$16,$A227&lt;'Control Room'!$A$16+'Control Room'!$B$16,'Process'!BM5=1),1+('Control Room'!$C$16-1)*EXP(-0.5*(($A227-'Control Room'!$A$16-('Control Room'!$B$16-1)/2)/MAX(0.5,'Control Room'!$B$16/4))^2),1)</x:f>
        <x:v>1</x:v>
      </x:c>
      <x:c r="Q227" s="9" t="n">
        <x:f>MOD(R226*16807,2147483647)</x:f>
        <x:v>1471379759</x:v>
      </x:c>
      <x:c r="R227" s="9" t="n">
        <x:f>MOD(Q227*16807,2147483647)</x:f>
        <x:v>1205414308</x:v>
      </x:c>
      <x:c r="S227" s="17" t="n">
        <x:f>IF('Control Room'!$B$5="Normal",'Control Room'!$B$7+'Control Room'!$D$7*SQRT(-2*LN(MAX(0.000000000001,Q227/2147483647)))*COS(2*PI()*R227/2147483647),'Control Room'!$B$8+('Control Room'!$D$8-'Control Room'!$B$8)*Q227/2147483647)</x:f>
        <x:v>927.473025289757</x:v>
      </x:c>
      <x:c r="T227" s="17" t="n">
        <x:f>IF('Control Room'!$B$5="Normal",'Control Room'!$B$7,('Control Room'!$B$8+'Control Room'!$D$8)/2)+'Control Room'!$B$9*(T226-IF('Control Room'!$B$5="Normal",'Control Room'!$B$7,('Control Room'!$B$8+'Control Room'!$D$8)/2))+SQRT(1-'Control Room'!$B$9^2)*(S227-IF('Control Room'!$B$5="Normal",'Control Room'!$B$7,('Control Room'!$B$8+'Control Room'!$D$8)/2))</x:f>
        <x:v>892.7595471093786</x:v>
      </x:c>
      <x:c r="U227" s="17" t="n">
        <x:f>IF(AND($A227&gt;='Control Room'!$A$13,$A227&lt;'Control Room'!$A$13+'Control Room'!$B$13,'Process'!BN2=1),1+('Control Room'!$C$13-1)*EXP(-0.5*(($A227-'Control Room'!$A$13-('Control Room'!$B$13-1)/2)/MAX(0.5,'Control Room'!$B$13/4))^2),1)*IF(AND($A227&gt;='Control Room'!$A$14,$A227&lt;'Control Room'!$A$14+'Control Room'!$B$14,'Process'!BN3=1),1+('Control Room'!$C$14-1)*EXP(-0.5*(($A227-'Control Room'!$A$14-('Control Room'!$B$14-1)/2)/MAX(0.5,'Control Room'!$B$14/4))^2),1)*IF(AND($A227&gt;='Control Room'!$A$15,$A227&lt;'Control Room'!$A$15+'Control Room'!$B$15,'Process'!BN4=1),1+('Control Room'!$C$15-1)*EXP(-0.5*(($A227-'Control Room'!$A$15-('Control Room'!$B$15-1)/2)/MAX(0.5,'Control Room'!$B$15/4))^2),1)*IF(AND($A227&gt;='Control Room'!$A$16,$A227&lt;'Control Room'!$A$16+'Control Room'!$B$16,'Process'!BN5=1),1+('Control Room'!$C$16-1)*EXP(-0.5*(($A227-'Control Room'!$A$16-('Control Room'!$B$16-1)/2)/MAX(0.5,'Control Room'!$B$16/4))^2),1)</x:f>
        <x:v>1</x:v>
      </x:c>
      <x:c r="V227" s="9" t="n">
        <x:f>MOD(W226*16807,2147483647)</x:f>
        <x:v>486480924</x:v>
      </x:c>
      <x:c r="W227" s="9" t="n">
        <x:f>MOD(V227*16807,2147483647)</x:f>
        <x:v>814645539</x:v>
      </x:c>
      <x:c r="X227" s="17" t="n">
        <x:f>IF('Control Room'!$B$5="Normal",'Control Room'!$B$7+'Control Room'!$D$7*SQRT(-2*LN(MAX(0.000000000001,V227/2147483647)))*COS(2*PI()*W227/2147483647),'Control Room'!$B$8+('Control Room'!$D$8-'Control Room'!$B$8)*V227/2147483647)</x:f>
        <x:v>887.3754760790657</x:v>
      </x:c>
      <x:c r="Y227" s="17" t="n">
        <x:f>IF('Control Room'!$B$5="Normal",'Control Room'!$B$7,('Control Room'!$B$8+'Control Room'!$D$8)/2)+'Control Room'!$B$9*(Y226-IF('Control Room'!$B$5="Normal",'Control Room'!$B$7,('Control Room'!$B$8+'Control Room'!$D$8)/2))+SQRT(1-'Control Room'!$B$9^2)*(X227-IF('Control Room'!$B$5="Normal",'Control Room'!$B$7,('Control Room'!$B$8+'Control Room'!$D$8)/2))</x:f>
        <x:v>868.2982010771934</x:v>
      </x:c>
      <x:c r="Z227" s="17" t="n">
        <x:f>IF(AND($A227&gt;='Control Room'!$A$13,$A227&lt;'Control Room'!$A$13+'Control Room'!$B$13,'Process'!BO2=1),1+('Control Room'!$C$13-1)*EXP(-0.5*(($A227-'Control Room'!$A$13-('Control Room'!$B$13-1)/2)/MAX(0.5,'Control Room'!$B$13/4))^2),1)*IF(AND($A227&gt;='Control Room'!$A$14,$A227&lt;'Control Room'!$A$14+'Control Room'!$B$14,'Process'!BO3=1),1+('Control Room'!$C$14-1)*EXP(-0.5*(($A227-'Control Room'!$A$14-('Control Room'!$B$14-1)/2)/MAX(0.5,'Control Room'!$B$14/4))^2),1)*IF(AND($A227&gt;='Control Room'!$A$15,$A227&lt;'Control Room'!$A$15+'Control Room'!$B$15,'Process'!BO4=1),1+('Control Room'!$C$15-1)*EXP(-0.5*(($A227-'Control Room'!$A$15-('Control Room'!$B$15-1)/2)/MAX(0.5,'Control Room'!$B$15/4))^2),1)*IF(AND($A227&gt;='Control Room'!$A$16,$A227&lt;'Control Room'!$A$16+'Control Room'!$B$16,'Process'!BO5=1),1+('Control Room'!$C$16-1)*EXP(-0.5*(($A227-'Control Room'!$A$16-('Control Room'!$B$16-1)/2)/MAX(0.5,'Control Room'!$B$16/4))^2),1)</x:f>
        <x:v>1</x:v>
      </x:c>
      <x:c r="AA227" s="9" t="n">
        <x:f>MOD(AB226*16807,2147483647)</x:f>
        <x:v>1649065736</x:v>
      </x:c>
      <x:c r="AB227" s="9" t="n">
        <x:f>MOD(AA227*16807,2147483647)</x:f>
        <x:v>423876770</x:v>
      </x:c>
      <x:c r="AC227" s="17" t="n">
        <x:f>IF('Control Room'!$B$5="Normal",'Control Room'!$B$7+'Control Room'!$D$7*SQRT(-2*LN(MAX(0.000000000001,AA227/2147483647)))*COS(2*PI()*AB227/2147483647),'Control Room'!$B$8+('Control Room'!$D$8-'Control Room'!$B$8)*AA227/2147483647)</x:f>
        <x:v>1021.2323165267316</x:v>
      </x:c>
      <x:c r="AD227" s="17" t="n">
        <x:f>IF('Control Room'!$B$5="Normal",'Control Room'!$B$7,('Control Room'!$B$8+'Control Room'!$D$8)/2)+'Control Room'!$B$9*(AD226-IF('Control Room'!$B$5="Normal",'Control Room'!$B$7,('Control Room'!$B$8+'Control Room'!$D$8)/2))+SQRT(1-'Control Room'!$B$9^2)*(AC227-IF('Control Room'!$B$5="Normal",'Control Room'!$B$7,('Control Room'!$B$8+'Control Room'!$D$8)/2))</x:f>
        <x:v>873.2043890030158</x:v>
      </x:c>
      <x:c r="AE227" s="17" t="n">
        <x:f>IF(AND($A227&gt;='Control Room'!$A$13,$A227&lt;'Control Room'!$A$13+'Control Room'!$B$13,'Process'!BP2=1),1+('Control Room'!$C$13-1)*EXP(-0.5*(($A227-'Control Room'!$A$13-('Control Room'!$B$13-1)/2)/MAX(0.5,'Control Room'!$B$13/4))^2),1)*IF(AND($A227&gt;='Control Room'!$A$14,$A227&lt;'Control Room'!$A$14+'Control Room'!$B$14,'Process'!BP3=1),1+('Control Room'!$C$14-1)*EXP(-0.5*(($A227-'Control Room'!$A$14-('Control Room'!$B$14-1)/2)/MAX(0.5,'Control Room'!$B$14/4))^2),1)*IF(AND($A227&gt;='Control Room'!$A$15,$A227&lt;'Control Room'!$A$15+'Control Room'!$B$15,'Process'!BP4=1),1+('Control Room'!$C$15-1)*EXP(-0.5*(($A227-'Control Room'!$A$15-('Control Room'!$B$15-1)/2)/MAX(0.5,'Control Room'!$B$15/4))^2),1)*IF(AND($A227&gt;='Control Room'!$A$16,$A227&lt;'Control Room'!$A$16+'Control Room'!$B$16,'Process'!BP5=1),1+('Control Room'!$C$16-1)*EXP(-0.5*(($A227-'Control Room'!$A$16-('Control Room'!$B$16-1)/2)/MAX(0.5,'Control Room'!$B$16/4))^2),1)</x:f>
        <x:v>1</x:v>
      </x:c>
      <x:c r="AF227" s="9" t="n">
        <x:f>MOD(AG226*16807,2147483647)</x:f>
        <x:v>664166901</x:v>
      </x:c>
      <x:c r="AG227" s="9" t="n">
        <x:f>MOD(AF227*16807,2147483647)</x:f>
        <x:v>33108001</x:v>
      </x:c>
      <x:c r="AH227" s="17" t="n">
        <x:f>IF('Control Room'!$B$5="Normal",'Control Room'!$B$7+'Control Room'!$D$7*SQRT(-2*LN(MAX(0.000000000001,AF227/2147483647)))*COS(2*PI()*AG227/2147483647),'Control Room'!$B$8+('Control Room'!$D$8-'Control Room'!$B$8)*AF227/2147483647)</x:f>
        <x:v>1137.2339894243762</x:v>
      </x:c>
      <x:c r="AI227" s="17" t="n">
        <x:f>IF('Control Room'!$B$5="Normal",'Control Room'!$B$7,('Control Room'!$B$8+'Control Room'!$D$8)/2)+'Control Room'!$B$9*(AI226-IF('Control Room'!$B$5="Normal",'Control Room'!$B$7,('Control Room'!$B$8+'Control Room'!$D$8)/2))+SQRT(1-'Control Room'!$B$9^2)*(AH227-IF('Control Room'!$B$5="Normal",'Control Room'!$B$7,('Control Room'!$B$8+'Control Room'!$D$8)/2))</x:f>
        <x:v>1101.7511031405902</x:v>
      </x:c>
      <x:c r="AJ227" s="17" t="n">
        <x:f>IF(AND($A227&gt;='Control Room'!$A$13,$A227&lt;'Control Room'!$A$13+'Control Room'!$B$13,'Process'!BQ2=1),1+('Control Room'!$C$13-1)*EXP(-0.5*(($A227-'Control Room'!$A$13-('Control Room'!$B$13-1)/2)/MAX(0.5,'Control Room'!$B$13/4))^2),1)*IF(AND($A227&gt;='Control Room'!$A$14,$A227&lt;'Control Room'!$A$14+'Control Room'!$B$14,'Process'!BQ3=1),1+('Control Room'!$C$14-1)*EXP(-0.5*(($A227-'Control Room'!$A$14-('Control Room'!$B$14-1)/2)/MAX(0.5,'Control Room'!$B$14/4))^2),1)*IF(AND($A227&gt;='Control Room'!$A$15,$A227&lt;'Control Room'!$A$15+'Control Room'!$B$15,'Process'!BQ4=1),1+('Control Room'!$C$15-1)*EXP(-0.5*(($A227-'Control Room'!$A$15-('Control Room'!$B$15-1)/2)/MAX(0.5,'Control Room'!$B$15/4))^2),1)*IF(AND($A227&gt;='Control Room'!$A$16,$A227&lt;'Control Room'!$A$16+'Control Room'!$B$16,'Process'!BQ5=1),1+('Control Room'!$C$16-1)*EXP(-0.5*(($A227-'Control Room'!$A$16-('Control Room'!$B$16-1)/2)/MAX(0.5,'Control Room'!$B$16/4))^2),1)</x:f>
        <x:v>1</x:v>
      </x:c>
      <x:c r="AK227" s="9" t="n">
        <x:f>MOD(AL226*16807,2147483647)</x:f>
        <x:v>1826751713</x:v>
      </x:c>
      <x:c r="AL227" s="9" t="n">
        <x:f>MOD(AK227*16807,2147483647)</x:f>
        <x:v>1789822879</x:v>
      </x:c>
      <x:c r="AM227" s="17" t="n">
        <x:f>IF('Control Room'!$B$5="Normal",'Control Room'!$B$7+'Control Room'!$D$7*SQRT(-2*LN(MAX(0.000000000001,AK227/2147483647)))*COS(2*PI()*AL227/2147483647),'Control Room'!$B$8+('Control Room'!$D$8-'Control Room'!$B$8)*AK227/2147483647)</x:f>
        <x:v>1025.6280937186395</x:v>
      </x:c>
      <x:c r="AN227" s="17" t="n">
        <x:f>IF('Control Room'!$B$5="Normal",'Control Room'!$B$7,('Control Room'!$B$8+'Control Room'!$D$8)/2)+'Control Room'!$B$9*(AN226-IF('Control Room'!$B$5="Normal",'Control Room'!$B$7,('Control Room'!$B$8+'Control Room'!$D$8)/2))+SQRT(1-'Control Room'!$B$9^2)*(AM227-IF('Control Room'!$B$5="Normal",'Control Room'!$B$7,('Control Room'!$B$8+'Control Room'!$D$8)/2))</x:f>
        <x:v>927.6189517873197</x:v>
      </x:c>
      <x:c r="AO227" s="17" t="n">
        <x:f>IF(AND($A227&gt;='Control Room'!$A$13,$A227&lt;'Control Room'!$A$13+'Control Room'!$B$13,'Process'!BR2=1),1+('Control Room'!$C$13-1)*EXP(-0.5*(($A227-'Control Room'!$A$13-('Control Room'!$B$13-1)/2)/MAX(0.5,'Control Room'!$B$13/4))^2),1)*IF(AND($A227&gt;='Control Room'!$A$14,$A227&lt;'Control Room'!$A$14+'Control Room'!$B$14,'Process'!BR3=1),1+('Control Room'!$C$14-1)*EXP(-0.5*(($A227-'Control Room'!$A$14-('Control Room'!$B$14-1)/2)/MAX(0.5,'Control Room'!$B$14/4))^2),1)*IF(AND($A227&gt;='Control Room'!$A$15,$A227&lt;'Control Room'!$A$15+'Control Room'!$B$15,'Process'!BR4=1),1+('Control Room'!$C$15-1)*EXP(-0.5*(($A227-'Control Room'!$A$15-('Control Room'!$B$15-1)/2)/MAX(0.5,'Control Room'!$B$15/4))^2),1)*IF(AND($A227&gt;='Control Room'!$A$16,$A227&lt;'Control Room'!$A$16+'Control Room'!$B$16,'Process'!BR5=1),1+('Control Room'!$C$16-1)*EXP(-0.5*(($A227-'Control Room'!$A$16-('Control Room'!$B$16-1)/2)/MAX(0.5,'Control Room'!$B$16/4))^2),1)</x:f>
        <x:v>1</x:v>
      </x:c>
      <x:c r="AP227" s="9" t="n">
        <x:f>MOD(AQ226*16807,2147483647)</x:f>
        <x:v>841852878</x:v>
      </x:c>
      <x:c r="AQ227" s="9" t="n">
        <x:f>MOD(AP227*16807,2147483647)</x:f>
        <x:v>1399054110</x:v>
      </x:c>
      <x:c r="AR227" s="17" t="n">
        <x:f>IF('Control Room'!$B$5="Normal",'Control Room'!$B$7+'Control Room'!$D$7*SQRT(-2*LN(MAX(0.000000000001,AP227/2147483647)))*COS(2*PI()*AQ227/2147483647),'Control Room'!$B$8+('Control Room'!$D$8-'Control Room'!$B$8)*AP227/2147483647)</x:f>
        <x:v>928.5365659735193</x:v>
      </x:c>
      <x:c r="AS227" s="17" t="n">
        <x:f>IF('Control Room'!$B$5="Normal",'Control Room'!$B$7,('Control Room'!$B$8+'Control Room'!$D$8)/2)+'Control Room'!$B$9*(AS226-IF('Control Room'!$B$5="Normal",'Control Room'!$B$7,('Control Room'!$B$8+'Control Room'!$D$8)/2))+SQRT(1-'Control Room'!$B$9^2)*(AR227-IF('Control Room'!$B$5="Normal",'Control Room'!$B$7,('Control Room'!$B$8+'Control Room'!$D$8)/2))</x:f>
        <x:v>810.3823568963256</x:v>
      </x:c>
      <x:c r="AT227" s="17" t="n">
        <x:f>IF(AND($A227&gt;='Control Room'!$A$13,$A227&lt;'Control Room'!$A$13+'Control Room'!$B$13,'Process'!BS2=1),1+('Control Room'!$C$13-1)*EXP(-0.5*(($A227-'Control Room'!$A$13-('Control Room'!$B$13-1)/2)/MAX(0.5,'Control Room'!$B$13/4))^2),1)*IF(AND($A227&gt;='Control Room'!$A$14,$A227&lt;'Control Room'!$A$14+'Control Room'!$B$14,'Process'!BS3=1),1+('Control Room'!$C$14-1)*EXP(-0.5*(($A227-'Control Room'!$A$14-('Control Room'!$B$14-1)/2)/MAX(0.5,'Control Room'!$B$14/4))^2),1)*IF(AND($A227&gt;='Control Room'!$A$15,$A227&lt;'Control Room'!$A$15+'Control Room'!$B$15,'Process'!BS4=1),1+('Control Room'!$C$15-1)*EXP(-0.5*(($A227-'Control Room'!$A$15-('Control Room'!$B$15-1)/2)/MAX(0.5,'Control Room'!$B$15/4))^2),1)*IF(AND($A227&gt;='Control Room'!$A$16,$A227&lt;'Control Room'!$A$16+'Control Room'!$B$16,'Process'!BS5=1),1+('Control Room'!$C$16-1)*EXP(-0.5*(($A227-'Control Room'!$A$16-('Control Room'!$B$16-1)/2)/MAX(0.5,'Control Room'!$B$16/4))^2),1)</x:f>
        <x:v>1</x:v>
      </x:c>
      <x:c r="AU227" s="9" t="n">
        <x:f>MOD(AV226*16807,2147483647)</x:f>
        <x:v>2004437690</x:v>
      </x:c>
      <x:c r="AV227" s="9" t="n">
        <x:f>MOD(AU227*16807,2147483647)</x:f>
        <x:v>1008285341</x:v>
      </x:c>
      <x:c r="AW227" s="17" t="n">
        <x:f>IF('Control Room'!$B$5="Normal",'Control Room'!$B$7+'Control Room'!$D$7*SQRT(-2*LN(MAX(0.000000000001,AU227/2147483647)))*COS(2*PI()*AV227/2147483647),'Control Room'!$B$8+('Control Room'!$D$8-'Control Room'!$B$8)*AU227/2147483647)</x:f>
        <x:v>967.1936424613123</x:v>
      </x:c>
      <x:c r="AX227" s="17" t="n">
        <x:f>IF('Control Room'!$B$5="Normal",'Control Room'!$B$7,('Control Room'!$B$8+'Control Room'!$D$8)/2)+'Control Room'!$B$9*(AX226-IF('Control Room'!$B$5="Normal",'Control Room'!$B$7,('Control Room'!$B$8+'Control Room'!$D$8)/2))+SQRT(1-'Control Room'!$B$9^2)*(AW227-IF('Control Room'!$B$5="Normal",'Control Room'!$B$7,('Control Room'!$B$8+'Control Room'!$D$8)/2))</x:f>
        <x:v>938.3213890579553</x:v>
      </x:c>
      <x:c r="AY227" s="17" t="n">
        <x:f>IF(AND($A227&gt;='Control Room'!$A$13,$A227&lt;'Control Room'!$A$13+'Control Room'!$B$13,'Process'!BT2=1),1+('Control Room'!$C$13-1)*EXP(-0.5*(($A227-'Control Room'!$A$13-('Control Room'!$B$13-1)/2)/MAX(0.5,'Control Room'!$B$13/4))^2),1)*IF(AND($A227&gt;='Control Room'!$A$14,$A227&lt;'Control Room'!$A$14+'Control Room'!$B$14,'Process'!BT3=1),1+('Control Room'!$C$14-1)*EXP(-0.5*(($A227-'Control Room'!$A$14-('Control Room'!$B$14-1)/2)/MAX(0.5,'Control Room'!$B$14/4))^2),1)*IF(AND($A227&gt;='Control Room'!$A$15,$A227&lt;'Control Room'!$A$15+'Control Room'!$B$15,'Process'!BT4=1),1+('Control Room'!$C$15-1)*EXP(-0.5*(($A227-'Control Room'!$A$15-('Control Room'!$B$15-1)/2)/MAX(0.5,'Control Room'!$B$15/4))^2),1)*IF(AND($A227&gt;='Control Room'!$A$16,$A227&lt;'Control Room'!$A$16+'Control Room'!$B$16,'Process'!BT5=1),1+('Control Room'!$C$16-1)*EXP(-0.5*(($A227-'Control Room'!$A$16-('Control Room'!$B$16-1)/2)/MAX(0.5,'Control Room'!$B$16/4))^2),1)</x:f>
        <x:v>1</x:v>
      </x:c>
      <x:c r="AZ227" s="9" t="n">
        <x:f>MOD(BA226*16807,2147483647)</x:f>
        <x:v>1019538855</x:v>
      </x:c>
      <x:c r="BA227" s="9" t="n">
        <x:f>MOD(AZ227*16807,2147483647)</x:f>
        <x:v>617516572</x:v>
      </x:c>
      <x:c r="BB227" s="17" t="n">
        <x:f>IF('Control Room'!$B$5="Normal",'Control Room'!$B$7+'Control Room'!$D$7*SQRT(-2*LN(MAX(0.000000000001,AZ227/2147483647)))*COS(2*PI()*BA227/2147483647),'Control Room'!$B$8+('Control Room'!$D$8-'Control Room'!$B$8)*AZ227/2147483647)</x:f>
        <x:v>974.3189016532633</x:v>
      </x:c>
      <x:c r="BC227" s="17" t="n">
        <x:f>IF('Control Room'!$B$5="Normal",'Control Room'!$B$7,('Control Room'!$B$8+'Control Room'!$D$8)/2)+'Control Room'!$B$9*(BC226-IF('Control Room'!$B$5="Normal",'Control Room'!$B$7,('Control Room'!$B$8+'Control Room'!$D$8)/2))+SQRT(1-'Control Room'!$B$9^2)*(BB227-IF('Control Room'!$B$5="Normal",'Control Room'!$B$7,('Control Room'!$B$8+'Control Room'!$D$8)/2))</x:f>
        <x:v>982.413327863026</x:v>
      </x:c>
      <x:c r="BD227" s="17" t="n">
        <x:f>IF(AND($A227&gt;='Control Room'!$A$13,$A227&lt;'Control Room'!$A$13+'Control Room'!$B$13,'Process'!BU2=1),1+('Control Room'!$C$13-1)*EXP(-0.5*(($A227-'Control Room'!$A$13-('Control Room'!$B$13-1)/2)/MAX(0.5,'Control Room'!$B$13/4))^2),1)*IF(AND($A227&gt;='Control Room'!$A$14,$A227&lt;'Control Room'!$A$14+'Control Room'!$B$14,'Process'!BU3=1),1+('Control Room'!$C$14-1)*EXP(-0.5*(($A227-'Control Room'!$A$14-('Control Room'!$B$14-1)/2)/MAX(0.5,'Control Room'!$B$14/4))^2),1)*IF(AND($A227&gt;='Control Room'!$A$15,$A227&lt;'Control Room'!$A$15+'Control Room'!$B$15,'Process'!BU4=1),1+('Control Room'!$C$15-1)*EXP(-0.5*(($A227-'Control Room'!$A$15-('Control Room'!$B$15-1)/2)/MAX(0.5,'Control Room'!$B$15/4))^2),1)*IF(AND($A227&gt;='Control Room'!$A$16,$A227&lt;'Control Room'!$A$16+'Control Room'!$B$16,'Process'!BU5=1),1+('Control Room'!$C$16-1)*EXP(-0.5*(($A227-'Control Room'!$A$16-('Control Room'!$B$16-1)/2)/MAX(0.5,'Control Room'!$B$16/4))^2),1)</x:f>
        <x:v>1</x:v>
      </x:c>
      <x:c r="BE227" s="9" t="n">
        <x:f>MOD(BF226*16807,2147483647)</x:f>
        <x:v>34640020</x:v>
      </x:c>
      <x:c r="BF227" s="9" t="n">
        <x:f>MOD(BE227*16807,2147483647)</x:f>
        <x:v>226747803</x:v>
      </x:c>
      <x:c r="BG227" s="17" t="n">
        <x:f>IF('Control Room'!$B$5="Normal",'Control Room'!$B$7+'Control Room'!$D$7*SQRT(-2*LN(MAX(0.000000000001,BE227/2147483647)))*COS(2*PI()*BF227/2147483647),'Control Room'!$B$8+('Control Room'!$D$8-'Control Room'!$B$8)*BE227/2147483647)</x:f>
        <x:v>1203.7232646765294</x:v>
      </x:c>
      <x:c r="BH227" s="17" t="n">
        <x:f>IF('Control Room'!$B$5="Normal",'Control Room'!$B$7,('Control Room'!$B$8+'Control Room'!$D$8)/2)+'Control Room'!$B$9*(BH226-IF('Control Room'!$B$5="Normal",'Control Room'!$B$7,('Control Room'!$B$8+'Control Room'!$D$8)/2))+SQRT(1-'Control Room'!$B$9^2)*(BG227-IF('Control Room'!$B$5="Normal",'Control Room'!$B$7,('Control Room'!$B$8+'Control Room'!$D$8)/2))</x:f>
        <x:v>1124.8333808266734</x:v>
      </x:c>
      <x:c r="BI227" s="17" t="n">
        <x:f>IF(AND($A227&gt;='Control Room'!$A$13,$A227&lt;'Control Room'!$A$13+'Control Room'!$B$13,'Process'!BV2=1),1+('Control Room'!$C$13-1)*EXP(-0.5*(($A227-'Control Room'!$A$13-('Control Room'!$B$13-1)/2)/MAX(0.5,'Control Room'!$B$13/4))^2),1)*IF(AND($A227&gt;='Control Room'!$A$14,$A227&lt;'Control Room'!$A$14+'Control Room'!$B$14,'Process'!BV3=1),1+('Control Room'!$C$14-1)*EXP(-0.5*(($A227-'Control Room'!$A$14-('Control Room'!$B$14-1)/2)/MAX(0.5,'Control Room'!$B$14/4))^2),1)*IF(AND($A227&gt;='Control Room'!$A$15,$A227&lt;'Control Room'!$A$15+'Control Room'!$B$15,'Process'!BV4=1),1+('Control Room'!$C$15-1)*EXP(-0.5*(($A227-'Control Room'!$A$15-('Control Room'!$B$15-1)/2)/MAX(0.5,'Control Room'!$B$15/4))^2),1)*IF(AND($A227&gt;='Control Room'!$A$16,$A227&lt;'Control Room'!$A$16+'Control Room'!$B$16,'Process'!BV5=1),1+('Control Room'!$C$16-1)*EXP(-0.5*(($A227-'Control Room'!$A$16-('Control Room'!$B$16-1)/2)/MAX(0.5,'Control Room'!$B$16/4))^2),1)</x:f>
        <x:v>1</x:v>
      </x:c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Z227" t="str">
        <x:f>IF('Data'!A227="","",TEXT('Data'!A227,"mm-dd"))</x:f>
      </x:c>
    </x:row>
    <x:row r="228" ht="21" customHeight="1">
      <x:c r="A228" s="15" t="n">
        <x:f>'Control Room'!$B$1+226</x:f>
        <x:v>73217</x:v>
      </x:c>
      <x:c r="B228" s="9" t="n">
        <x:f>MOD(C227*16807,2147483647)</x:f>
        <x:v>1974672929</x:v>
      </x:c>
      <x:c r="C228" s="9" t="n">
        <x:f>MOD(B228*16807,2147483647)</x:f>
        <x:v>1115636965</x:v>
      </x:c>
      <x:c r="D228" s="17" t="n">
        <x:f>IF('Control Room'!$B$5="Normal",'Control Room'!$B$7+'Control Room'!$D$7*SQRT(-2*LN(MAX(0.000000000001,B228/2147483647)))*COS(2*PI()*C228/2147483647),'Control Room'!$B$8+('Control Room'!$D$8-'Control Room'!$B$8)*B228/2147483647)</x:f>
        <x:v>963.4108794275255</x:v>
      </x:c>
      <x:c r="E228" s="17" t="n">
        <x:f>IF('Control Room'!$B$5="Normal",'Control Room'!$B$7,('Control Room'!$B$8+'Control Room'!$D$8)/2)+'Control Room'!$B$9*(E227-IF('Control Room'!$B$5="Normal",'Control Room'!$B$7,('Control Room'!$B$8+'Control Room'!$D$8)/2))+SQRT(1-'Control Room'!$B$9^2)*(D228-IF('Control Room'!$B$5="Normal",'Control Room'!$B$7,('Control Room'!$B$8+'Control Room'!$D$8)/2))</x:f>
        <x:v>949.1078408959999</x:v>
      </x:c>
      <x:c r="F228" s="17" t="n">
        <x:f>IF(AND($A228&gt;='Control Room'!$A$13,$A228&lt;'Control Room'!$A$13+'Control Room'!$B$13,'Process'!BK2=1),1+('Control Room'!$C$13-1)*EXP(-0.5*(($A228-'Control Room'!$A$13-('Control Room'!$B$13-1)/2)/MAX(0.5,'Control Room'!$B$13/4))^2),1)*IF(AND($A228&gt;='Control Room'!$A$14,$A228&lt;'Control Room'!$A$14+'Control Room'!$B$14,'Process'!BK3=1),1+('Control Room'!$C$14-1)*EXP(-0.5*(($A228-'Control Room'!$A$14-('Control Room'!$B$14-1)/2)/MAX(0.5,'Control Room'!$B$14/4))^2),1)*IF(AND($A228&gt;='Control Room'!$A$15,$A228&lt;'Control Room'!$A$15+'Control Room'!$B$15,'Process'!BK4=1),1+('Control Room'!$C$15-1)*EXP(-0.5*(($A228-'Control Room'!$A$15-('Control Room'!$B$15-1)/2)/MAX(0.5,'Control Room'!$B$15/4))^2),1)*IF(AND($A228&gt;='Control Room'!$A$16,$A228&lt;'Control Room'!$A$16+'Control Room'!$B$16,'Process'!BK5=1),1+('Control Room'!$C$16-1)*EXP(-0.5*(($A228-'Control Room'!$A$16-('Control Room'!$B$16-1)/2)/MAX(0.5,'Control Room'!$B$16/4))^2),1)</x:f>
        <x:v>1</x:v>
      </x:c>
      <x:c r="G228" s="9" t="n">
        <x:f>MOD(H227*16807,2147483647)</x:f>
        <x:v>1328964872</x:v>
      </x:c>
      <x:c r="H228" s="9" t="n">
        <x:f>MOD(G228*16807,2147483647)</x:f>
        <x:v>2082674904</x:v>
      </x:c>
      <x:c r="I228" s="17" t="n">
        <x:f>IF('Control Room'!$B$5="Normal",'Control Room'!$B$7+'Control Room'!$D$7*SQRT(-2*LN(MAX(0.000000000001,G228/2147483647)))*COS(2*PI()*H228/2147483647),'Control Room'!$B$8+('Control Room'!$D$8-'Control Room'!$B$8)*G228/2147483647)</x:f>
        <x:v>1086.5917159200108</x:v>
      </x:c>
      <x:c r="J228" s="17" t="n">
        <x:f>IF('Control Room'!$B$5="Normal",'Control Room'!$B$7,('Control Room'!$B$8+'Control Room'!$D$8)/2)+'Control Room'!$B$9*(J227-IF('Control Room'!$B$5="Normal",'Control Room'!$B$7,('Control Room'!$B$8+'Control Room'!$D$8)/2))+SQRT(1-'Control Room'!$B$9^2)*(I228-IF('Control Room'!$B$5="Normal",'Control Room'!$B$7,('Control Room'!$B$8+'Control Room'!$D$8)/2))</x:f>
        <x:v>1175.2340191086687</x:v>
      </x:c>
      <x:c r="K228" s="17" t="n">
        <x:f>IF(AND($A228&gt;='Control Room'!$A$13,$A228&lt;'Control Room'!$A$13+'Control Room'!$B$13,'Process'!BL2=1),1+('Control Room'!$C$13-1)*EXP(-0.5*(($A228-'Control Room'!$A$13-('Control Room'!$B$13-1)/2)/MAX(0.5,'Control Room'!$B$13/4))^2),1)*IF(AND($A228&gt;='Control Room'!$A$14,$A228&lt;'Control Room'!$A$14+'Control Room'!$B$14,'Process'!BL3=1),1+('Control Room'!$C$14-1)*EXP(-0.5*(($A228-'Control Room'!$A$14-('Control Room'!$B$14-1)/2)/MAX(0.5,'Control Room'!$B$14/4))^2),1)*IF(AND($A228&gt;='Control Room'!$A$15,$A228&lt;'Control Room'!$A$15+'Control Room'!$B$15,'Process'!BL4=1),1+('Control Room'!$C$15-1)*EXP(-0.5*(($A228-'Control Room'!$A$15-('Control Room'!$B$15-1)/2)/MAX(0.5,'Control Room'!$B$15/4))^2),1)*IF(AND($A228&gt;='Control Room'!$A$16,$A228&lt;'Control Room'!$A$16+'Control Room'!$B$16,'Process'!BL5=1),1+('Control Room'!$C$16-1)*EXP(-0.5*(($A228-'Control Room'!$A$16-('Control Room'!$B$16-1)/2)/MAX(0.5,'Control Room'!$B$16/4))^2),1)</x:f>
        <x:v>1</x:v>
      </x:c>
      <x:c r="L228" s="9" t="n">
        <x:f>MOD(M227*16807,2147483647)</x:f>
        <x:v>683256815</x:v>
      </x:c>
      <x:c r="M228" s="9" t="n">
        <x:f>MOD(L228*16807,2147483647)</x:f>
        <x:v>902229196</x:v>
      </x:c>
      <x:c r="N228" s="17" t="n">
        <x:f>IF('Control Room'!$B$5="Normal",'Control Room'!$B$7+'Control Room'!$D$7*SQRT(-2*LN(MAX(0.000000000001,L228/2147483647)))*COS(2*PI()*M228/2147483647),'Control Room'!$B$8+('Control Room'!$D$8-'Control Room'!$B$8)*L228/2147483647)</x:f>
        <x:v>880.5873388618166</x:v>
      </x:c>
      <x:c r="O228" s="17" t="n">
        <x:f>IF('Control Room'!$B$5="Normal",'Control Room'!$B$7,('Control Room'!$B$8+'Control Room'!$D$8)/2)+'Control Room'!$B$9*(O227-IF('Control Room'!$B$5="Normal",'Control Room'!$B$7,('Control Room'!$B$8+'Control Room'!$D$8)/2))+SQRT(1-'Control Room'!$B$9^2)*(N228-IF('Control Room'!$B$5="Normal",'Control Room'!$B$7,('Control Room'!$B$8+'Control Room'!$D$8)/2))</x:f>
        <x:v>953.0247404991894</x:v>
      </x:c>
      <x:c r="P228" s="17" t="n">
        <x:f>IF(AND($A228&gt;='Control Room'!$A$13,$A228&lt;'Control Room'!$A$13+'Control Room'!$B$13,'Process'!BM2=1),1+('Control Room'!$C$13-1)*EXP(-0.5*(($A228-'Control Room'!$A$13-('Control Room'!$B$13-1)/2)/MAX(0.5,'Control Room'!$B$13/4))^2),1)*IF(AND($A228&gt;='Control Room'!$A$14,$A228&lt;'Control Room'!$A$14+'Control Room'!$B$14,'Process'!BM3=1),1+('Control Room'!$C$14-1)*EXP(-0.5*(($A228-'Control Room'!$A$14-('Control Room'!$B$14-1)/2)/MAX(0.5,'Control Room'!$B$14/4))^2),1)*IF(AND($A228&gt;='Control Room'!$A$15,$A228&lt;'Control Room'!$A$15+'Control Room'!$B$15,'Process'!BM4=1),1+('Control Room'!$C$15-1)*EXP(-0.5*(($A228-'Control Room'!$A$15-('Control Room'!$B$15-1)/2)/MAX(0.5,'Control Room'!$B$15/4))^2),1)*IF(AND($A228&gt;='Control Room'!$A$16,$A228&lt;'Control Room'!$A$16+'Control Room'!$B$16,'Process'!BM5=1),1+('Control Room'!$C$16-1)*EXP(-0.5*(($A228-'Control Room'!$A$16-('Control Room'!$B$16-1)/2)/MAX(0.5,'Control Room'!$B$16/4))^2),1)</x:f>
        <x:v>1</x:v>
      </x:c>
      <x:c r="Q228" s="9" t="n">
        <x:f>MOD(R227*16807,2147483647)</x:f>
        <x:v>37548758</x:v>
      </x:c>
      <x:c r="R228" s="9" t="n">
        <x:f>MOD(Q228*16807,2147483647)</x:f>
        <x:v>1869267135</x:v>
      </x:c>
      <x:c r="S228" s="17" t="n">
        <x:f>IF('Control Room'!$B$5="Normal",'Control Room'!$B$7+'Control Room'!$D$7*SQRT(-2*LN(MAX(0.000000000001,Q228/2147483647)))*COS(2*PI()*R228/2147483647),'Control Room'!$B$8+('Control Room'!$D$8-'Control Room'!$B$8)*Q228/2147483647)</x:f>
        <x:v>1175.7868338363944</x:v>
      </x:c>
      <x:c r="T228" s="17" t="n">
        <x:f>IF('Control Room'!$B$5="Normal",'Control Room'!$B$7,('Control Room'!$B$8+'Control Room'!$D$8)/2)+'Control Room'!$B$9*(T227-IF('Control Room'!$B$5="Normal",'Control Room'!$B$7,('Control Room'!$B$8+'Control Room'!$D$8)/2))+SQRT(1-'Control Room'!$B$9^2)*(S228-IF('Control Room'!$B$5="Normal",'Control Room'!$B$7,('Control Room'!$B$8+'Control Room'!$D$8)/2))</x:f>
        <x:v>1026.3562461710978</x:v>
      </x:c>
      <x:c r="U228" s="17" t="n">
        <x:f>IF(AND($A228&gt;='Control Room'!$A$13,$A228&lt;'Control Room'!$A$13+'Control Room'!$B$13,'Process'!BN2=1),1+('Control Room'!$C$13-1)*EXP(-0.5*(($A228-'Control Room'!$A$13-('Control Room'!$B$13-1)/2)/MAX(0.5,'Control Room'!$B$13/4))^2),1)*IF(AND($A228&gt;='Control Room'!$A$14,$A228&lt;'Control Room'!$A$14+'Control Room'!$B$14,'Process'!BN3=1),1+('Control Room'!$C$14-1)*EXP(-0.5*(($A228-'Control Room'!$A$14-('Control Room'!$B$14-1)/2)/MAX(0.5,'Control Room'!$B$14/4))^2),1)*IF(AND($A228&gt;='Control Room'!$A$15,$A228&lt;'Control Room'!$A$15+'Control Room'!$B$15,'Process'!BN4=1),1+('Control Room'!$C$15-1)*EXP(-0.5*(($A228-'Control Room'!$A$15-('Control Room'!$B$15-1)/2)/MAX(0.5,'Control Room'!$B$15/4))^2),1)*IF(AND($A228&gt;='Control Room'!$A$16,$A228&lt;'Control Room'!$A$16+'Control Room'!$B$16,'Process'!BN5=1),1+('Control Room'!$C$16-1)*EXP(-0.5*(($A228-'Control Room'!$A$16-('Control Room'!$B$16-1)/2)/MAX(0.5,'Control Room'!$B$16/4))^2),1)</x:f>
        <x:v>1</x:v>
      </x:c>
      <x:c r="V228" s="9" t="n">
        <x:f>MOD(W227*16807,2147483647)</x:f>
        <x:v>1539324348</x:v>
      </x:c>
      <x:c r="W228" s="9" t="n">
        <x:f>MOD(V228*16807,2147483647)</x:f>
        <x:v>688821427</x:v>
      </x:c>
      <x:c r="X228" s="17" t="n">
        <x:f>IF('Control Room'!$B$5="Normal",'Control Room'!$B$7+'Control Room'!$D$7*SQRT(-2*LN(MAX(0.000000000001,V228/2147483647)))*COS(2*PI()*W228/2147483647),'Control Room'!$B$8+('Control Room'!$D$8-'Control Room'!$B$8)*V228/2147483647)</x:f>
        <x:v>968.4136694570133</x:v>
      </x:c>
      <x:c r="Y228" s="17" t="n">
        <x:f>IF('Control Room'!$B$5="Normal",'Control Room'!$B$7,('Control Room'!$B$8+'Control Room'!$D$8)/2)+'Control Room'!$B$9*(Y227-IF('Control Room'!$B$5="Normal",'Control Room'!$B$7,('Control Room'!$B$8+'Control Room'!$D$8)/2))+SQRT(1-'Control Room'!$B$9^2)*(X228-IF('Control Room'!$B$5="Normal",'Control Room'!$B$7,('Control Room'!$B$8+'Control Room'!$D$8)/2))</x:f>
        <x:v>877.5065182675629</x:v>
      </x:c>
      <x:c r="Z228" s="17" t="n">
        <x:f>IF(AND($A228&gt;='Control Room'!$A$13,$A228&lt;'Control Room'!$A$13+'Control Room'!$B$13,'Process'!BO2=1),1+('Control Room'!$C$13-1)*EXP(-0.5*(($A228-'Control Room'!$A$13-('Control Room'!$B$13-1)/2)/MAX(0.5,'Control Room'!$B$13/4))^2),1)*IF(AND($A228&gt;='Control Room'!$A$14,$A228&lt;'Control Room'!$A$14+'Control Room'!$B$14,'Process'!BO3=1),1+('Control Room'!$C$14-1)*EXP(-0.5*(($A228-'Control Room'!$A$14-('Control Room'!$B$14-1)/2)/MAX(0.5,'Control Room'!$B$14/4))^2),1)*IF(AND($A228&gt;='Control Room'!$A$15,$A228&lt;'Control Room'!$A$15+'Control Room'!$B$15,'Process'!BO4=1),1+('Control Room'!$C$15-1)*EXP(-0.5*(($A228-'Control Room'!$A$15-('Control Room'!$B$15-1)/2)/MAX(0.5,'Control Room'!$B$15/4))^2),1)*IF(AND($A228&gt;='Control Room'!$A$16,$A228&lt;'Control Room'!$A$16+'Control Room'!$B$16,'Process'!BO5=1),1+('Control Room'!$C$16-1)*EXP(-0.5*(($A228-'Control Room'!$A$16-('Control Room'!$B$16-1)/2)/MAX(0.5,'Control Room'!$B$16/4))^2),1)</x:f>
        <x:v>1</x:v>
      </x:c>
      <x:c r="AA228" s="9" t="n">
        <x:f>MOD(AB227*16807,2147483647)</x:f>
        <x:v>893616291</x:v>
      </x:c>
      <x:c r="AB228" s="9" t="n">
        <x:f>MOD(AA228*16807,2147483647)</x:f>
        <x:v>1655859366</x:v>
      </x:c>
      <x:c r="AC228" s="17" t="n">
        <x:f>IF('Control Room'!$B$5="Normal",'Control Room'!$B$7+'Control Room'!$D$7*SQRT(-2*LN(MAX(0.000000000001,AA228/2147483647)))*COS(2*PI()*AB228/2147483647),'Control Room'!$B$8+('Control Room'!$D$8-'Control Room'!$B$8)*AA228/2147483647)</x:f>
        <x:v>1015.7314475822988</x:v>
      </x:c>
      <x:c r="AD228" s="17" t="n">
        <x:f>IF('Control Room'!$B$5="Normal",'Control Room'!$B$7,('Control Room'!$B$8+'Control Room'!$D$8)/2)+'Control Room'!$B$9*(AD227-IF('Control Room'!$B$5="Normal",'Control Room'!$B$7,('Control Room'!$B$8+'Control Room'!$D$8)/2))+SQRT(1-'Control Room'!$B$9^2)*(AC228-IF('Control Room'!$B$5="Normal",'Control Room'!$B$7,('Control Room'!$B$8+'Control Room'!$D$8)/2))</x:f>
        <x:v>910.9438410431338</x:v>
      </x:c>
      <x:c r="AE228" s="17" t="n">
        <x:f>IF(AND($A228&gt;='Control Room'!$A$13,$A228&lt;'Control Room'!$A$13+'Control Room'!$B$13,'Process'!BP2=1),1+('Control Room'!$C$13-1)*EXP(-0.5*(($A228-'Control Room'!$A$13-('Control Room'!$B$13-1)/2)/MAX(0.5,'Control Room'!$B$13/4))^2),1)*IF(AND($A228&gt;='Control Room'!$A$14,$A228&lt;'Control Room'!$A$14+'Control Room'!$B$14,'Process'!BP3=1),1+('Control Room'!$C$14-1)*EXP(-0.5*(($A228-'Control Room'!$A$14-('Control Room'!$B$14-1)/2)/MAX(0.5,'Control Room'!$B$14/4))^2),1)*IF(AND($A228&gt;='Control Room'!$A$15,$A228&lt;'Control Room'!$A$15+'Control Room'!$B$15,'Process'!BP4=1),1+('Control Room'!$C$15-1)*EXP(-0.5*(($A228-'Control Room'!$A$15-('Control Room'!$B$15-1)/2)/MAX(0.5,'Control Room'!$B$15/4))^2),1)*IF(AND($A228&gt;='Control Room'!$A$16,$A228&lt;'Control Room'!$A$16+'Control Room'!$B$16,'Process'!BP5=1),1+('Control Room'!$C$16-1)*EXP(-0.5*(($A228-'Control Room'!$A$16-('Control Room'!$B$16-1)/2)/MAX(0.5,'Control Room'!$B$16/4))^2),1)</x:f>
        <x:v>1</x:v>
      </x:c>
      <x:c r="AF228" s="9" t="n">
        <x:f>MOD(AG227*16807,2147483647)</x:f>
        <x:v>247908234</x:v>
      </x:c>
      <x:c r="AG228" s="9" t="n">
        <x:f>MOD(AF228*16807,2147483647)</x:f>
        <x:v>475413658</x:v>
      </x:c>
      <x:c r="AH228" s="17" t="n">
        <x:f>IF('Control Room'!$B$5="Normal",'Control Room'!$B$7+'Control Room'!$D$7*SQRT(-2*LN(MAX(0.000000000001,AF228/2147483647)))*COS(2*PI()*AG228/2147483647),'Control Room'!$B$8+('Control Room'!$D$8-'Control Room'!$B$8)*AF228/2147483647)</x:f>
        <x:v>1033.4474833378626</x:v>
      </x:c>
      <x:c r="AI228" s="17" t="n">
        <x:f>IF('Control Room'!$B$5="Normal",'Control Room'!$B$7,('Control Room'!$B$8+'Control Room'!$D$8)/2)+'Control Room'!$B$9*(AI227-IF('Control Room'!$B$5="Normal",'Control Room'!$B$7,('Control Room'!$B$8+'Control Room'!$D$8)/2))+SQRT(1-'Control Room'!$B$9^2)*(AH228-IF('Control Room'!$B$5="Normal",'Control Room'!$B$7,('Control Room'!$B$8+'Control Room'!$D$8)/2))</x:f>
        <x:v>1100.2966103135543</x:v>
      </x:c>
      <x:c r="AJ228" s="17" t="n">
        <x:f>IF(AND($A228&gt;='Control Room'!$A$13,$A228&lt;'Control Room'!$A$13+'Control Room'!$B$13,'Process'!BQ2=1),1+('Control Room'!$C$13-1)*EXP(-0.5*(($A228-'Control Room'!$A$13-('Control Room'!$B$13-1)/2)/MAX(0.5,'Control Room'!$B$13/4))^2),1)*IF(AND($A228&gt;='Control Room'!$A$14,$A228&lt;'Control Room'!$A$14+'Control Room'!$B$14,'Process'!BQ3=1),1+('Control Room'!$C$14-1)*EXP(-0.5*(($A228-'Control Room'!$A$14-('Control Room'!$B$14-1)/2)/MAX(0.5,'Control Room'!$B$14/4))^2),1)*IF(AND($A228&gt;='Control Room'!$A$15,$A228&lt;'Control Room'!$A$15+'Control Room'!$B$15,'Process'!BQ4=1),1+('Control Room'!$C$15-1)*EXP(-0.5*(($A228-'Control Room'!$A$15-('Control Room'!$B$15-1)/2)/MAX(0.5,'Control Room'!$B$15/4))^2),1)*IF(AND($A228&gt;='Control Room'!$A$16,$A228&lt;'Control Room'!$A$16+'Control Room'!$B$16,'Process'!BQ5=1),1+('Control Room'!$C$16-1)*EXP(-0.5*(($A228-'Control Room'!$A$16-('Control Room'!$B$16-1)/2)/MAX(0.5,'Control Room'!$B$16/4))^2),1)</x:f>
        <x:v>1</x:v>
      </x:c>
      <x:c r="AK228" s="9" t="n">
        <x:f>MOD(AL227*16807,2147483647)</x:f>
        <x:v>1749683824</x:v>
      </x:c>
      <x:c r="AL228" s="9" t="n">
        <x:f>MOD(AK228*16807,2147483647)</x:f>
        <x:v>1442451597</x:v>
      </x:c>
      <x:c r="AM228" s="17" t="n">
        <x:f>IF('Control Room'!$B$5="Normal",'Control Room'!$B$7+'Control Room'!$D$7*SQRT(-2*LN(MAX(0.000000000001,AK228/2147483647)))*COS(2*PI()*AL228/2147483647),'Control Room'!$B$8+('Control Room'!$D$8-'Control Room'!$B$8)*AK228/2147483647)</x:f>
        <x:v>972.7856563970031</x:v>
      </x:c>
      <x:c r="AN228" s="17" t="n">
        <x:f>IF('Control Room'!$B$5="Normal",'Control Room'!$B$7,('Control Room'!$B$8+'Control Room'!$D$8)/2)+'Control Room'!$B$9*(AN227-IF('Control Room'!$B$5="Normal",'Control Room'!$B$7,('Control Room'!$B$8+'Control Room'!$D$8)/2))+SQRT(1-'Control Room'!$B$9^2)*(AM228-IF('Control Room'!$B$5="Normal",'Control Room'!$B$7,('Control Room'!$B$8+'Control Room'!$D$8)/2))</x:f>
        <x:v>926.5126036834863</x:v>
      </x:c>
      <x:c r="AO228" s="17" t="n">
        <x:f>IF(AND($A228&gt;='Control Room'!$A$13,$A228&lt;'Control Room'!$A$13+'Control Room'!$B$13,'Process'!BR2=1),1+('Control Room'!$C$13-1)*EXP(-0.5*(($A228-'Control Room'!$A$13-('Control Room'!$B$13-1)/2)/MAX(0.5,'Control Room'!$B$13/4))^2),1)*IF(AND($A228&gt;='Control Room'!$A$14,$A228&lt;'Control Room'!$A$14+'Control Room'!$B$14,'Process'!BR3=1),1+('Control Room'!$C$14-1)*EXP(-0.5*(($A228-'Control Room'!$A$14-('Control Room'!$B$14-1)/2)/MAX(0.5,'Control Room'!$B$14/4))^2),1)*IF(AND($A228&gt;='Control Room'!$A$15,$A228&lt;'Control Room'!$A$15+'Control Room'!$B$15,'Process'!BR4=1),1+('Control Room'!$C$15-1)*EXP(-0.5*(($A228-'Control Room'!$A$15-('Control Room'!$B$15-1)/2)/MAX(0.5,'Control Room'!$B$15/4))^2),1)*IF(AND($A228&gt;='Control Room'!$A$16,$A228&lt;'Control Room'!$A$16+'Control Room'!$B$16,'Process'!BR5=1),1+('Control Room'!$C$16-1)*EXP(-0.5*(($A228-'Control Room'!$A$16-('Control Room'!$B$16-1)/2)/MAX(0.5,'Control Room'!$B$16/4))^2),1)</x:f>
        <x:v>1</x:v>
      </x:c>
      <x:c r="AP228" s="9" t="n">
        <x:f>MOD(AQ227*16807,2147483647)</x:f>
        <x:v>1103975767</x:v>
      </x:c>
      <x:c r="AQ228" s="9" t="n">
        <x:f>MOD(AP228*16807,2147483647)</x:f>
        <x:v>262005889</x:v>
      </x:c>
      <x:c r="AR228" s="17" t="n">
        <x:f>IF('Control Room'!$B$5="Normal",'Control Room'!$B$7+'Control Room'!$D$7*SQRT(-2*LN(MAX(0.000000000001,AP228/2147483647)))*COS(2*PI()*AQ228/2147483647),'Control Room'!$B$8+('Control Room'!$D$8-'Control Room'!$B$8)*AP228/2147483647)</x:f>
        <x:v>1074.781653689569</x:v>
      </x:c>
      <x:c r="AS228" s="17" t="n">
        <x:f>IF('Control Room'!$B$5="Normal",'Control Room'!$B$7,('Control Room'!$B$8+'Control Room'!$D$8)/2)+'Control Room'!$B$9*(AS227-IF('Control Room'!$B$5="Normal",'Control Room'!$B$7,('Control Room'!$B$8+'Control Room'!$D$8)/2))+SQRT(1-'Control Room'!$B$9^2)*(AR228-IF('Control Room'!$B$5="Normal",'Control Room'!$B$7,('Control Room'!$B$8+'Control Room'!$D$8)/2))</x:f>
        <x:v>898.8950652726197</x:v>
      </x:c>
      <x:c r="AT228" s="17" t="n">
        <x:f>IF(AND($A228&gt;='Control Room'!$A$13,$A228&lt;'Control Room'!$A$13+'Control Room'!$B$13,'Process'!BS2=1),1+('Control Room'!$C$13-1)*EXP(-0.5*(($A228-'Control Room'!$A$13-('Control Room'!$B$13-1)/2)/MAX(0.5,'Control Room'!$B$13/4))^2),1)*IF(AND($A228&gt;='Control Room'!$A$14,$A228&lt;'Control Room'!$A$14+'Control Room'!$B$14,'Process'!BS3=1),1+('Control Room'!$C$14-1)*EXP(-0.5*(($A228-'Control Room'!$A$14-('Control Room'!$B$14-1)/2)/MAX(0.5,'Control Room'!$B$14/4))^2),1)*IF(AND($A228&gt;='Control Room'!$A$15,$A228&lt;'Control Room'!$A$15+'Control Room'!$B$15,'Process'!BS4=1),1+('Control Room'!$C$15-1)*EXP(-0.5*(($A228-'Control Room'!$A$15-('Control Room'!$B$15-1)/2)/MAX(0.5,'Control Room'!$B$15/4))^2),1)*IF(AND($A228&gt;='Control Room'!$A$16,$A228&lt;'Control Room'!$A$16+'Control Room'!$B$16,'Process'!BS5=1),1+('Control Room'!$C$16-1)*EXP(-0.5*(($A228-'Control Room'!$A$16-('Control Room'!$B$16-1)/2)/MAX(0.5,'Control Room'!$B$16/4))^2),1)</x:f>
        <x:v>1</x:v>
      </x:c>
      <x:c r="AU228" s="9" t="n">
        <x:f>MOD(AV227*16807,2147483647)</x:f>
        <x:v>458267710</x:v>
      </x:c>
      <x:c r="AV228" s="9" t="n">
        <x:f>MOD(AU228*16807,2147483647)</x:f>
        <x:v>1229043828</x:v>
      </x:c>
      <x:c r="AW228" s="17" t="n">
        <x:f>IF('Control Room'!$B$5="Normal",'Control Room'!$B$7+'Control Room'!$D$7*SQRT(-2*LN(MAX(0.000000000001,AU228/2147483647)))*COS(2*PI()*AV228/2147483647),'Control Room'!$B$8+('Control Room'!$D$8-'Control Room'!$B$8)*AU228/2147483647)</x:f>
        <x:v>857.8660727113343</x:v>
      </x:c>
      <x:c r="AX228" s="17" t="n">
        <x:f>IF('Control Room'!$B$5="Normal",'Control Room'!$B$7,('Control Room'!$B$8+'Control Room'!$D$8)/2)+'Control Room'!$B$9*(AX227-IF('Control Room'!$B$5="Normal",'Control Room'!$B$7,('Control Room'!$B$8+'Control Room'!$D$8)/2))+SQRT(1-'Control Room'!$B$9^2)*(AW228-IF('Control Room'!$B$5="Normal",'Control Room'!$B$7,('Control Room'!$B$8+'Control Room'!$D$8)/2))</x:f>
        <x:v>862.9461835397275</x:v>
      </x:c>
      <x:c r="AY228" s="17" t="n">
        <x:f>IF(AND($A228&gt;='Control Room'!$A$13,$A228&lt;'Control Room'!$A$13+'Control Room'!$B$13,'Process'!BT2=1),1+('Control Room'!$C$13-1)*EXP(-0.5*(($A228-'Control Room'!$A$13-('Control Room'!$B$13-1)/2)/MAX(0.5,'Control Room'!$B$13/4))^2),1)*IF(AND($A228&gt;='Control Room'!$A$14,$A228&lt;'Control Room'!$A$14+'Control Room'!$B$14,'Process'!BT3=1),1+('Control Room'!$C$14-1)*EXP(-0.5*(($A228-'Control Room'!$A$14-('Control Room'!$B$14-1)/2)/MAX(0.5,'Control Room'!$B$14/4))^2),1)*IF(AND($A228&gt;='Control Room'!$A$15,$A228&lt;'Control Room'!$A$15+'Control Room'!$B$15,'Process'!BT4=1),1+('Control Room'!$C$15-1)*EXP(-0.5*(($A228-'Control Room'!$A$15-('Control Room'!$B$15-1)/2)/MAX(0.5,'Control Room'!$B$15/4))^2),1)*IF(AND($A228&gt;='Control Room'!$A$16,$A228&lt;'Control Room'!$A$16+'Control Room'!$B$16,'Process'!BT5=1),1+('Control Room'!$C$16-1)*EXP(-0.5*(($A228-'Control Room'!$A$16-('Control Room'!$B$16-1)/2)/MAX(0.5,'Control Room'!$B$16/4))^2),1)</x:f>
        <x:v>1</x:v>
      </x:c>
      <x:c r="AZ228" s="9" t="n">
        <x:f>MOD(BA227*16807,2147483647)</x:f>
        <x:v>1960043300</x:v>
      </x:c>
      <x:c r="BA228" s="9" t="n">
        <x:f>MOD(AZ228*16807,2147483647)</x:f>
        <x:v>48598120</x:v>
      </x:c>
      <x:c r="BB228" s="17" t="n">
        <x:f>IF('Control Room'!$B$5="Normal",'Control Room'!$B$7+'Control Room'!$D$7*SQRT(-2*LN(MAX(0.000000000001,AZ228/2147483647)))*COS(2*PI()*BA228/2147483647),'Control Room'!$B$8+('Control Room'!$D$8-'Control Room'!$B$8)*AZ228/2147483647)</x:f>
        <x:v>1038.0767204380948</x:v>
      </x:c>
      <x:c r="BC228" s="17" t="n">
        <x:f>IF('Control Room'!$B$5="Normal",'Control Room'!$B$7,('Control Room'!$B$8+'Control Room'!$D$8)/2)+'Control Room'!$B$9*(BC227-IF('Control Room'!$B$5="Normal",'Control Room'!$B$7,('Control Room'!$B$8+'Control Room'!$D$8)/2))+SQRT(1-'Control Room'!$B$9^2)*(BB228-IF('Control Room'!$B$5="Normal",'Control Room'!$B$7,('Control Room'!$B$8+'Control Room'!$D$8)/2))</x:f>
        <x:v>1010.1100273393026</x:v>
      </x:c>
      <x:c r="BD228" s="17" t="n">
        <x:f>IF(AND($A228&gt;='Control Room'!$A$13,$A228&lt;'Control Room'!$A$13+'Control Room'!$B$13,'Process'!BU2=1),1+('Control Room'!$C$13-1)*EXP(-0.5*(($A228-'Control Room'!$A$13-('Control Room'!$B$13-1)/2)/MAX(0.5,'Control Room'!$B$13/4))^2),1)*IF(AND($A228&gt;='Control Room'!$A$14,$A228&lt;'Control Room'!$A$14+'Control Room'!$B$14,'Process'!BU3=1),1+('Control Room'!$C$14-1)*EXP(-0.5*(($A228-'Control Room'!$A$14-('Control Room'!$B$14-1)/2)/MAX(0.5,'Control Room'!$B$14/4))^2),1)*IF(AND($A228&gt;='Control Room'!$A$15,$A228&lt;'Control Room'!$A$15+'Control Room'!$B$15,'Process'!BU4=1),1+('Control Room'!$C$15-1)*EXP(-0.5*(($A228-'Control Room'!$A$15-('Control Room'!$B$15-1)/2)/MAX(0.5,'Control Room'!$B$15/4))^2),1)*IF(AND($A228&gt;='Control Room'!$A$16,$A228&lt;'Control Room'!$A$16+'Control Room'!$B$16,'Process'!BU5=1),1+('Control Room'!$C$16-1)*EXP(-0.5*(($A228-'Control Room'!$A$16-('Control Room'!$B$16-1)/2)/MAX(0.5,'Control Room'!$B$16/4))^2),1)</x:f>
        <x:v>1</x:v>
      </x:c>
      <x:c r="BE228" s="9" t="n">
        <x:f>MOD(BF227*16807,2147483647)</x:f>
        <x:v>1314335243</x:v>
      </x:c>
      <x:c r="BF228" s="9" t="n">
        <x:f>MOD(BE228*16807,2147483647)</x:f>
        <x:v>1015636059</x:v>
      </x:c>
      <x:c r="BG228" s="17" t="n">
        <x:f>IF('Control Room'!$B$5="Normal",'Control Room'!$B$7+'Control Room'!$D$7*SQRT(-2*LN(MAX(0.000000000001,BE228/2147483647)))*COS(2*PI()*BF228/2147483647),'Control Room'!$B$8+('Control Room'!$D$8-'Control Room'!$B$8)*BE228/2147483647)</x:f>
        <x:v>912.1025063657681</x:v>
      </x:c>
      <x:c r="BH228" s="17" t="n">
        <x:f>IF('Control Room'!$B$5="Normal",'Control Room'!$B$7,('Control Room'!$B$8+'Control Room'!$D$8)/2)+'Control Room'!$B$9*(BH227-IF('Control Room'!$B$5="Normal",'Control Room'!$B$7,('Control Room'!$B$8+'Control Room'!$D$8)/2))+SQRT(1-'Control Room'!$B$9^2)*(BG228-IF('Control Room'!$B$5="Normal",'Control Room'!$B$7,('Control Room'!$B$8+'Control Room'!$D$8)/2))</x:f>
        <x:v>1042.3655862065357</x:v>
      </x:c>
      <x:c r="BI228" s="17" t="n">
        <x:f>IF(AND($A228&gt;='Control Room'!$A$13,$A228&lt;'Control Room'!$A$13+'Control Room'!$B$13,'Process'!BV2=1),1+('Control Room'!$C$13-1)*EXP(-0.5*(($A228-'Control Room'!$A$13-('Control Room'!$B$13-1)/2)/MAX(0.5,'Control Room'!$B$13/4))^2),1)*IF(AND($A228&gt;='Control Room'!$A$14,$A228&lt;'Control Room'!$A$14+'Control Room'!$B$14,'Process'!BV3=1),1+('Control Room'!$C$14-1)*EXP(-0.5*(($A228-'Control Room'!$A$14-('Control Room'!$B$14-1)/2)/MAX(0.5,'Control Room'!$B$14/4))^2),1)*IF(AND($A228&gt;='Control Room'!$A$15,$A228&lt;'Control Room'!$A$15+'Control Room'!$B$15,'Process'!BV4=1),1+('Control Room'!$C$15-1)*EXP(-0.5*(($A228-'Control Room'!$A$15-('Control Room'!$B$15-1)/2)/MAX(0.5,'Control Room'!$B$15/4))^2),1)*IF(AND($A228&gt;='Control Room'!$A$16,$A228&lt;'Control Room'!$A$16+'Control Room'!$B$16,'Process'!BV5=1),1+('Control Room'!$C$16-1)*EXP(-0.5*(($A228-'Control Room'!$A$16-('Control Room'!$B$16-1)/2)/MAX(0.5,'Control Room'!$B$16/4))^2),1)</x:f>
        <x:v>1</x:v>
      </x:c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Z228" t="str">
        <x:f>IF('Data'!A228="","",TEXT('Data'!A228,"mm-dd"))</x:f>
      </x:c>
    </x:row>
    <x:row r="229" ht="21" customHeight="1">
      <x:c r="A229" s="15" t="n">
        <x:f>'Control Room'!$B$1+227</x:f>
        <x:v>73218</x:v>
      </x:c>
      <x:c r="B229" s="9" t="n">
        <x:f>MOD(C228*16807,2147483647)</x:f>
        <x:v>830748798</x:v>
      </x:c>
      <x:c r="C229" s="9" t="n">
        <x:f>MOD(B229*16807,2147483647)</x:f>
        <x:v>1603858839</x:v>
      </x:c>
      <x:c r="D229" s="17" t="n">
        <x:f>IF('Control Room'!$B$5="Normal",'Control Room'!$B$7+'Control Room'!$D$7*SQRT(-2*LN(MAX(0.000000000001,B229/2147483647)))*COS(2*PI()*C229/2147483647),'Control Room'!$B$8+('Control Room'!$D$8-'Control Room'!$B$8)*B229/2147483647)</x:f>
        <x:v>997.549061188629</x:v>
      </x:c>
      <x:c r="E229" s="17" t="n">
        <x:f>IF('Control Room'!$B$5="Normal",'Control Room'!$B$7,('Control Room'!$B$8+'Control Room'!$D$8)/2)+'Control Room'!$B$9*(E228-IF('Control Room'!$B$5="Normal",'Control Room'!$B$7,('Control Room'!$B$8+'Control Room'!$D$8)/2))+SQRT(1-'Control Room'!$B$9^2)*(D229-IF('Control Room'!$B$5="Normal",'Control Room'!$B$7,('Control Room'!$B$8+'Control Room'!$D$8)/2))</x:f>
        <x:v>958.7703686009347</x:v>
      </x:c>
      <x:c r="F229" s="17" t="n">
        <x:f>IF(AND($A229&gt;='Control Room'!$A$13,$A229&lt;'Control Room'!$A$13+'Control Room'!$B$13,'Process'!BK2=1),1+('Control Room'!$C$13-1)*EXP(-0.5*(($A229-'Control Room'!$A$13-('Control Room'!$B$13-1)/2)/MAX(0.5,'Control Room'!$B$13/4))^2),1)*IF(AND($A229&gt;='Control Room'!$A$14,$A229&lt;'Control Room'!$A$14+'Control Room'!$B$14,'Process'!BK3=1),1+('Control Room'!$C$14-1)*EXP(-0.5*(($A229-'Control Room'!$A$14-('Control Room'!$B$14-1)/2)/MAX(0.5,'Control Room'!$B$14/4))^2),1)*IF(AND($A229&gt;='Control Room'!$A$15,$A229&lt;'Control Room'!$A$15+'Control Room'!$B$15,'Process'!BK4=1),1+('Control Room'!$C$15-1)*EXP(-0.5*(($A229-'Control Room'!$A$15-('Control Room'!$B$15-1)/2)/MAX(0.5,'Control Room'!$B$15/4))^2),1)*IF(AND($A229&gt;='Control Room'!$A$16,$A229&lt;'Control Room'!$A$16+'Control Room'!$B$16,'Process'!BK5=1),1+('Control Room'!$C$16-1)*EXP(-0.5*(($A229-'Control Room'!$A$16-('Control Room'!$B$16-1)/2)/MAX(0.5,'Control Room'!$B$16/4))^2),1)</x:f>
        <x:v>1</x:v>
      </x:c>
      <x:c r="G229" s="9" t="n">
        <x:f>MOD(H228*16807,2147483647)</x:f>
        <x:v>1681149075</x:v>
      </x:c>
      <x:c r="H229" s="9" t="n">
        <x:f>MOD(G229*16807,2147483647)</x:f>
        <x:v>630159946</x:v>
      </x:c>
      <x:c r="I229" s="17" t="n">
        <x:f>IF('Control Room'!$B$5="Normal",'Control Room'!$B$7+'Control Room'!$D$7*SQRT(-2*LN(MAX(0.000000000001,G229/2147483647)))*COS(2*PI()*H229/2147483647),'Control Room'!$B$8+('Control Room'!$D$8-'Control Room'!$B$8)*G229/2147483647)</x:f>
        <x:v>983.0232379179232</x:v>
      </x:c>
      <x:c r="J229" s="17" t="n">
        <x:f>IF('Control Room'!$B$5="Normal",'Control Room'!$B$7,('Control Room'!$B$8+'Control Room'!$D$8)/2)+'Control Room'!$B$9*(J228-IF('Control Room'!$B$5="Normal",'Control Room'!$B$7,('Control Room'!$B$8+'Control Room'!$D$8)/2))+SQRT(1-'Control Room'!$B$9^2)*(I229-IF('Control Room'!$B$5="Normal",'Control Room'!$B$7,('Control Room'!$B$8+'Control Room'!$D$8)/2))</x:f>
        <x:v>1126.058824981673</x:v>
      </x:c>
      <x:c r="K229" s="17" t="n">
        <x:f>IF(AND($A229&gt;='Control Room'!$A$13,$A229&lt;'Control Room'!$A$13+'Control Room'!$B$13,'Process'!BL2=1),1+('Control Room'!$C$13-1)*EXP(-0.5*(($A229-'Control Room'!$A$13-('Control Room'!$B$13-1)/2)/MAX(0.5,'Control Room'!$B$13/4))^2),1)*IF(AND($A229&gt;='Control Room'!$A$14,$A229&lt;'Control Room'!$A$14+'Control Room'!$B$14,'Process'!BL3=1),1+('Control Room'!$C$14-1)*EXP(-0.5*(($A229-'Control Room'!$A$14-('Control Room'!$B$14-1)/2)/MAX(0.5,'Control Room'!$B$14/4))^2),1)*IF(AND($A229&gt;='Control Room'!$A$15,$A229&lt;'Control Room'!$A$15+'Control Room'!$B$15,'Process'!BL4=1),1+('Control Room'!$C$15-1)*EXP(-0.5*(($A229-'Control Room'!$A$15-('Control Room'!$B$15-1)/2)/MAX(0.5,'Control Room'!$B$15/4))^2),1)*IF(AND($A229&gt;='Control Room'!$A$16,$A229&lt;'Control Room'!$A$16+'Control Room'!$B$16,'Process'!BL5=1),1+('Control Room'!$C$16-1)*EXP(-0.5*(($A229-'Control Room'!$A$16-('Control Room'!$B$16-1)/2)/MAX(0.5,'Control Room'!$B$16/4))^2),1)</x:f>
        <x:v>1</x:v>
      </x:c>
      <x:c r="L229" s="9" t="n">
        <x:f>MOD(M228*16807,2147483647)</x:f>
        <x:v>384065705</x:v>
      </x:c>
      <x:c r="M229" s="9" t="n">
        <x:f>MOD(L229*16807,2147483647)</x:f>
        <x:v>1803944700</x:v>
      </x:c>
      <x:c r="N229" s="17" t="n">
        <x:f>IF('Control Room'!$B$5="Normal",'Control Room'!$B$7+'Control Room'!$D$7*SQRT(-2*LN(MAX(0.000000000001,L229/2147483647)))*COS(2*PI()*M229/2147483647),'Control Room'!$B$8+('Control Room'!$D$8-'Control Room'!$B$8)*L229/2147483647)</x:f>
        <x:v>1089.4992570957822</x:v>
      </x:c>
      <x:c r="O229" s="17" t="n">
        <x:f>IF('Control Room'!$B$5="Normal",'Control Room'!$B$7,('Control Room'!$B$8+'Control Room'!$D$8)/2)+'Control Room'!$B$9*(O228-IF('Control Room'!$B$5="Normal",'Control Room'!$B$7,('Control Room'!$B$8+'Control Room'!$D$8)/2))+SQRT(1-'Control Room'!$B$9^2)*(N229-IF('Control Room'!$B$5="Normal",'Control Room'!$B$7,('Control Room'!$B$8+'Control Room'!$D$8)/2))</x:f>
        <x:v>1019.3660991879675</x:v>
      </x:c>
      <x:c r="P229" s="17" t="n">
        <x:f>IF(AND($A229&gt;='Control Room'!$A$13,$A229&lt;'Control Room'!$A$13+'Control Room'!$B$13,'Process'!BM2=1),1+('Control Room'!$C$13-1)*EXP(-0.5*(($A229-'Control Room'!$A$13-('Control Room'!$B$13-1)/2)/MAX(0.5,'Control Room'!$B$13/4))^2),1)*IF(AND($A229&gt;='Control Room'!$A$14,$A229&lt;'Control Room'!$A$14+'Control Room'!$B$14,'Process'!BM3=1),1+('Control Room'!$C$14-1)*EXP(-0.5*(($A229-'Control Room'!$A$14-('Control Room'!$B$14-1)/2)/MAX(0.5,'Control Room'!$B$14/4))^2),1)*IF(AND($A229&gt;='Control Room'!$A$15,$A229&lt;'Control Room'!$A$15+'Control Room'!$B$15,'Process'!BM4=1),1+('Control Room'!$C$15-1)*EXP(-0.5*(($A229-'Control Room'!$A$15-('Control Room'!$B$15-1)/2)/MAX(0.5,'Control Room'!$B$15/4))^2),1)*IF(AND($A229&gt;='Control Room'!$A$16,$A229&lt;'Control Room'!$A$16+'Control Room'!$B$16,'Process'!BM5=1),1+('Control Room'!$C$16-1)*EXP(-0.5*(($A229-'Control Room'!$A$16-('Control Room'!$B$16-1)/2)/MAX(0.5,'Control Room'!$B$16/4))^2),1)</x:f>
        <x:v>1</x:v>
      </x:c>
      <x:c r="Q229" s="9" t="n">
        <x:f>MOD(R228*16807,2147483647)</x:f>
        <x:v>1234465982</x:v>
      </x:c>
      <x:c r="R229" s="9" t="n">
        <x:f>MOD(Q229*16807,2147483647)</x:f>
        <x:v>830245807</x:v>
      </x:c>
      <x:c r="S229" s="17" t="n">
        <x:f>IF('Control Room'!$B$5="Normal",'Control Room'!$B$7+'Control Room'!$D$7*SQRT(-2*LN(MAX(0.000000000001,Q229/2147483647)))*COS(2*PI()*R229/2147483647),'Control Room'!$B$8+('Control Room'!$D$8-'Control Room'!$B$8)*Q229/2147483647)</x:f>
        <x:v>928.3286171050928</x:v>
      </x:c>
      <x:c r="T229" s="17" t="n">
        <x:f>IF('Control Room'!$B$5="Normal",'Control Room'!$B$7,('Control Room'!$B$8+'Control Room'!$D$8)/2)+'Control Room'!$B$9*(T228-IF('Control Room'!$B$5="Normal",'Control Room'!$B$7,('Control Room'!$B$8+'Control Room'!$D$8)/2))+SQRT(1-'Control Room'!$B$9^2)*(S229-IF('Control Room'!$B$5="Normal",'Control Room'!$B$7,('Control Room'!$B$8+'Control Room'!$D$8)/2))</x:f>
        <x:v>975.7073888659095</x:v>
      </x:c>
      <x:c r="U229" s="17" t="n">
        <x:f>IF(AND($A229&gt;='Control Room'!$A$13,$A229&lt;'Control Room'!$A$13+'Control Room'!$B$13,'Process'!BN2=1),1+('Control Room'!$C$13-1)*EXP(-0.5*(($A229-'Control Room'!$A$13-('Control Room'!$B$13-1)/2)/MAX(0.5,'Control Room'!$B$13/4))^2),1)*IF(AND($A229&gt;='Control Room'!$A$14,$A229&lt;'Control Room'!$A$14+'Control Room'!$B$14,'Process'!BN3=1),1+('Control Room'!$C$14-1)*EXP(-0.5*(($A229-'Control Room'!$A$14-('Control Room'!$B$14-1)/2)/MAX(0.5,'Control Room'!$B$14/4))^2),1)*IF(AND($A229&gt;='Control Room'!$A$15,$A229&lt;'Control Room'!$A$15+'Control Room'!$B$15,'Process'!BN4=1),1+('Control Room'!$C$15-1)*EXP(-0.5*(($A229-'Control Room'!$A$15-('Control Room'!$B$15-1)/2)/MAX(0.5,'Control Room'!$B$15/4))^2),1)*IF(AND($A229&gt;='Control Room'!$A$16,$A229&lt;'Control Room'!$A$16+'Control Room'!$B$16,'Process'!BN5=1),1+('Control Room'!$C$16-1)*EXP(-0.5*(($A229-'Control Room'!$A$16-('Control Room'!$B$16-1)/2)/MAX(0.5,'Control Room'!$B$16/4))^2),1)</x:f>
        <x:v>1</x:v>
      </x:c>
      <x:c r="V229" s="9" t="n">
        <x:f>MOD(W228*16807,2147483647)</x:f>
        <x:v>2084866259</x:v>
      </x:c>
      <x:c r="W229" s="9" t="n">
        <x:f>MOD(V229*16807,2147483647)</x:f>
        <x:v>2004030561</x:v>
      </x:c>
      <x:c r="X229" s="17" t="n">
        <x:f>IF('Control Room'!$B$5="Normal",'Control Room'!$B$7+'Control Room'!$D$7*SQRT(-2*LN(MAX(0.000000000001,V229/2147483647)))*COS(2*PI()*W229/2147483647),'Control Room'!$B$8+('Control Room'!$D$8-'Control Room'!$B$8)*V229/2147483647)</x:f>
        <x:v>1019.994583597304</x:v>
      </x:c>
      <x:c r="Y229" s="17" t="n">
        <x:f>IF('Control Room'!$B$5="Normal",'Control Room'!$B$7,('Control Room'!$B$8+'Control Room'!$D$8)/2)+'Control Room'!$B$9*(Y228-IF('Control Room'!$B$5="Normal",'Control Room'!$B$7,('Control Room'!$B$8+'Control Room'!$D$8)/2))+SQRT(1-'Control Room'!$B$9^2)*(X229-IF('Control Room'!$B$5="Normal",'Control Room'!$B$7,('Control Room'!$B$8+'Control Room'!$D$8)/2))</x:f>
        <x:v>916.9672850525826</x:v>
      </x:c>
      <x:c r="Z229" s="17" t="n">
        <x:f>IF(AND($A229&gt;='Control Room'!$A$13,$A229&lt;'Control Room'!$A$13+'Control Room'!$B$13,'Process'!BO2=1),1+('Control Room'!$C$13-1)*EXP(-0.5*(($A229-'Control Room'!$A$13-('Control Room'!$B$13-1)/2)/MAX(0.5,'Control Room'!$B$13/4))^2),1)*IF(AND($A229&gt;='Control Room'!$A$14,$A229&lt;'Control Room'!$A$14+'Control Room'!$B$14,'Process'!BO3=1),1+('Control Room'!$C$14-1)*EXP(-0.5*(($A229-'Control Room'!$A$14-('Control Room'!$B$14-1)/2)/MAX(0.5,'Control Room'!$B$14/4))^2),1)*IF(AND($A229&gt;='Control Room'!$A$15,$A229&lt;'Control Room'!$A$15+'Control Room'!$B$15,'Process'!BO4=1),1+('Control Room'!$C$15-1)*EXP(-0.5*(($A229-'Control Room'!$A$15-('Control Room'!$B$15-1)/2)/MAX(0.5,'Control Room'!$B$15/4))^2),1)*IF(AND($A229&gt;='Control Room'!$A$16,$A229&lt;'Control Room'!$A$16+'Control Room'!$B$16,'Process'!BO5=1),1+('Control Room'!$C$16-1)*EXP(-0.5*(($A229-'Control Room'!$A$16-('Control Room'!$B$16-1)/2)/MAX(0.5,'Control Room'!$B$16/4))^2),1)</x:f>
        <x:v>1</x:v>
      </x:c>
      <x:c r="AA229" s="9" t="n">
        <x:f>MOD(AB228*16807,2147483647)</x:f>
        <x:v>787782889</x:v>
      </x:c>
      <x:c r="AB229" s="9" t="n">
        <x:f>MOD(AA229*16807,2147483647)</x:f>
        <x:v>1030331668</x:v>
      </x:c>
      <x:c r="AC229" s="17" t="n">
        <x:f>IF('Control Room'!$B$5="Normal",'Control Room'!$B$7+'Control Room'!$D$7*SQRT(-2*LN(MAX(0.000000000001,AA229/2147483647)))*COS(2*PI()*AB229/2147483647),'Control Room'!$B$8+('Control Room'!$D$8-'Control Room'!$B$8)*AA229/2147483647)</x:f>
        <x:v>873.5675289716199</x:v>
      </x:c>
      <x:c r="AD229" s="17" t="n">
        <x:f>IF('Control Room'!$B$5="Normal",'Control Room'!$B$7,('Control Room'!$B$8+'Control Room'!$D$8)/2)+'Control Room'!$B$9*(AD228-IF('Control Room'!$B$5="Normal",'Control Room'!$B$7,('Control Room'!$B$8+'Control Room'!$D$8)/2))+SQRT(1-'Control Room'!$B$9^2)*(AC229-IF('Control Room'!$B$5="Normal",'Control Room'!$B$7,('Control Room'!$B$8+'Control Room'!$D$8)/2))</x:f>
        <x:v>851.4173457540381</x:v>
      </x:c>
      <x:c r="AE229" s="17" t="n">
        <x:f>IF(AND($A229&gt;='Control Room'!$A$13,$A229&lt;'Control Room'!$A$13+'Control Room'!$B$13,'Process'!BP2=1),1+('Control Room'!$C$13-1)*EXP(-0.5*(($A229-'Control Room'!$A$13-('Control Room'!$B$13-1)/2)/MAX(0.5,'Control Room'!$B$13/4))^2),1)*IF(AND($A229&gt;='Control Room'!$A$14,$A229&lt;'Control Room'!$A$14+'Control Room'!$B$14,'Process'!BP3=1),1+('Control Room'!$C$14-1)*EXP(-0.5*(($A229-'Control Room'!$A$14-('Control Room'!$B$14-1)/2)/MAX(0.5,'Control Room'!$B$14/4))^2),1)*IF(AND($A229&gt;='Control Room'!$A$15,$A229&lt;'Control Room'!$A$15+'Control Room'!$B$15,'Process'!BP4=1),1+('Control Room'!$C$15-1)*EXP(-0.5*(($A229-'Control Room'!$A$15-('Control Room'!$B$15-1)/2)/MAX(0.5,'Control Room'!$B$15/4))^2),1)*IF(AND($A229&gt;='Control Room'!$A$16,$A229&lt;'Control Room'!$A$16+'Control Room'!$B$16,'Process'!BP5=1),1+('Control Room'!$C$16-1)*EXP(-0.5*(($A229-'Control Room'!$A$16-('Control Room'!$B$16-1)/2)/MAX(0.5,'Control Room'!$B$16/4))^2),1)</x:f>
        <x:v>1</x:v>
      </x:c>
      <x:c r="AF229" s="9" t="n">
        <x:f>MOD(AG228*16807,2147483647)</x:f>
        <x:v>1638183166</x:v>
      </x:c>
      <x:c r="AG229" s="9" t="n">
        <x:f>MOD(AF229*16807,2147483647)</x:f>
        <x:v>56632775</x:v>
      </x:c>
      <x:c r="AH229" s="17" t="n">
        <x:f>IF('Control Room'!$B$5="Normal",'Control Room'!$B$7+'Control Room'!$D$7*SQRT(-2*LN(MAX(0.000000000001,AF229/2147483647)))*COS(2*PI()*AG229/2147483647),'Control Room'!$B$8+('Control Room'!$D$8-'Control Room'!$B$8)*AF229/2147483647)</x:f>
        <x:v>1065.3159675169002</x:v>
      </x:c>
      <x:c r="AI229" s="17" t="n">
        <x:f>IF('Control Room'!$B$5="Normal",'Control Room'!$B$7,('Control Room'!$B$8+'Control Room'!$D$8)/2)+'Control Room'!$B$9*(AI228-IF('Control Room'!$B$5="Normal",'Control Room'!$B$7,('Control Room'!$B$8+'Control Room'!$D$8)/2))+SQRT(1-'Control Room'!$B$9^2)*(AH229-IF('Control Room'!$B$5="Normal",'Control Room'!$B$7,('Control Room'!$B$8+'Control Room'!$D$8)/2))</x:f>
        <x:v>1119.1047504463231</x:v>
      </x:c>
      <x:c r="AJ229" s="17" t="n">
        <x:f>IF(AND($A229&gt;='Control Room'!$A$13,$A229&lt;'Control Room'!$A$13+'Control Room'!$B$13,'Process'!BQ2=1),1+('Control Room'!$C$13-1)*EXP(-0.5*(($A229-'Control Room'!$A$13-('Control Room'!$B$13-1)/2)/MAX(0.5,'Control Room'!$B$13/4))^2),1)*IF(AND($A229&gt;='Control Room'!$A$14,$A229&lt;'Control Room'!$A$14+'Control Room'!$B$14,'Process'!BQ3=1),1+('Control Room'!$C$14-1)*EXP(-0.5*(($A229-'Control Room'!$A$14-('Control Room'!$B$14-1)/2)/MAX(0.5,'Control Room'!$B$14/4))^2),1)*IF(AND($A229&gt;='Control Room'!$A$15,$A229&lt;'Control Room'!$A$15+'Control Room'!$B$15,'Process'!BQ4=1),1+('Control Room'!$C$15-1)*EXP(-0.5*(($A229-'Control Room'!$A$15-('Control Room'!$B$15-1)/2)/MAX(0.5,'Control Room'!$B$15/4))^2),1)*IF(AND($A229&gt;='Control Room'!$A$16,$A229&lt;'Control Room'!$A$16+'Control Room'!$B$16,'Process'!BQ5=1),1+('Control Room'!$C$16-1)*EXP(-0.5*(($A229-'Control Room'!$A$16-('Control Room'!$B$16-1)/2)/MAX(0.5,'Control Room'!$B$16/4))^2),1)</x:f>
        <x:v>1</x:v>
      </x:c>
      <x:c r="AK229" s="9" t="n">
        <x:f>MOD(AL228*16807,2147483647)</x:f>
        <x:v>341099796</x:v>
      </x:c>
      <x:c r="AL229" s="9" t="n">
        <x:f>MOD(AK229*16807,2147483647)</x:f>
        <x:v>1230417529</x:v>
      </x:c>
      <x:c r="AM229" s="17" t="n">
        <x:f>IF('Control Room'!$B$5="Normal",'Control Room'!$B$7+'Control Room'!$D$7*SQRT(-2*LN(MAX(0.000000000001,AK229/2147483647)))*COS(2*PI()*AL229/2147483647),'Control Room'!$B$8+('Control Room'!$D$8-'Control Room'!$B$8)*AK229/2147483647)</x:f>
        <x:v>845.1799025087143</x:v>
      </x:c>
      <x:c r="AN229" s="17" t="n">
        <x:f>IF('Control Room'!$B$5="Normal",'Control Room'!$B$7,('Control Room'!$B$8+'Control Room'!$D$8)/2)+'Control Room'!$B$9*(AN228-IF('Control Room'!$B$5="Normal",'Control Room'!$B$7,('Control Room'!$B$8+'Control Room'!$D$8)/2))+SQRT(1-'Control Room'!$B$9^2)*(AM229-IF('Control Room'!$B$5="Normal",'Control Room'!$B$7,('Control Room'!$B$8+'Control Room'!$D$8)/2))</x:f>
        <x:v>845.796585525165</x:v>
      </x:c>
      <x:c r="AO229" s="17" t="n">
        <x:f>IF(AND($A229&gt;='Control Room'!$A$13,$A229&lt;'Control Room'!$A$13+'Control Room'!$B$13,'Process'!BR2=1),1+('Control Room'!$C$13-1)*EXP(-0.5*(($A229-'Control Room'!$A$13-('Control Room'!$B$13-1)/2)/MAX(0.5,'Control Room'!$B$13/4))^2),1)*IF(AND($A229&gt;='Control Room'!$A$14,$A229&lt;'Control Room'!$A$14+'Control Room'!$B$14,'Process'!BR3=1),1+('Control Room'!$C$14-1)*EXP(-0.5*(($A229-'Control Room'!$A$14-('Control Room'!$B$14-1)/2)/MAX(0.5,'Control Room'!$B$14/4))^2),1)*IF(AND($A229&gt;='Control Room'!$A$15,$A229&lt;'Control Room'!$A$15+'Control Room'!$B$15,'Process'!BR4=1),1+('Control Room'!$C$15-1)*EXP(-0.5*(($A229-'Control Room'!$A$15-('Control Room'!$B$15-1)/2)/MAX(0.5,'Control Room'!$B$15/4))^2),1)*IF(AND($A229&gt;='Control Room'!$A$16,$A229&lt;'Control Room'!$A$16+'Control Room'!$B$16,'Process'!BR5=1),1+('Control Room'!$C$16-1)*EXP(-0.5*(($A229-'Control Room'!$A$16-('Control Room'!$B$16-1)/2)/MAX(0.5,'Control Room'!$B$16/4))^2),1)</x:f>
        <x:v>1</x:v>
      </x:c>
      <x:c r="AP229" s="9" t="n">
        <x:f>MOD(AQ228*16807,2147483647)</x:f>
        <x:v>1191500073</x:v>
      </x:c>
      <x:c r="AQ229" s="9" t="n">
        <x:f>MOD(AP229*16807,2147483647)</x:f>
        <x:v>256718636</x:v>
      </x:c>
      <x:c r="AR229" s="17" t="n">
        <x:f>IF('Control Room'!$B$5="Normal",'Control Room'!$B$7+'Control Room'!$D$7*SQRT(-2*LN(MAX(0.000000000001,AP229/2147483647)))*COS(2*PI()*AQ229/2147483647),'Control Room'!$B$8+('Control Room'!$D$8-'Control Room'!$B$8)*AP229/2147483647)</x:f>
        <x:v>1071.403607776632</x:v>
      </x:c>
      <x:c r="AS229" s="17" t="n">
        <x:f>IF('Control Room'!$B$5="Normal",'Control Room'!$B$7,('Control Room'!$B$8+'Control Room'!$D$8)/2)+'Control Room'!$B$9*(AS228-IF('Control Room'!$B$5="Normal",'Control Room'!$B$7,('Control Room'!$B$8+'Control Room'!$D$8)/2))+SQRT(1-'Control Room'!$B$9^2)*(AR229-IF('Control Room'!$B$5="Normal",'Control Room'!$B$7,('Control Room'!$B$8+'Control Room'!$D$8)/2))</x:f>
        <x:v>965.8210658768451</x:v>
      </x:c>
      <x:c r="AT229" s="17" t="n">
        <x:f>IF(AND($A229&gt;='Control Room'!$A$13,$A229&lt;'Control Room'!$A$13+'Control Room'!$B$13,'Process'!BS2=1),1+('Control Room'!$C$13-1)*EXP(-0.5*(($A229-'Control Room'!$A$13-('Control Room'!$B$13-1)/2)/MAX(0.5,'Control Room'!$B$13/4))^2),1)*IF(AND($A229&gt;='Control Room'!$A$14,$A229&lt;'Control Room'!$A$14+'Control Room'!$B$14,'Process'!BS3=1),1+('Control Room'!$C$14-1)*EXP(-0.5*(($A229-'Control Room'!$A$14-('Control Room'!$B$14-1)/2)/MAX(0.5,'Control Room'!$B$14/4))^2),1)*IF(AND($A229&gt;='Control Room'!$A$15,$A229&lt;'Control Room'!$A$15+'Control Room'!$B$15,'Process'!BS4=1),1+('Control Room'!$C$15-1)*EXP(-0.5*(($A229-'Control Room'!$A$15-('Control Room'!$B$15-1)/2)/MAX(0.5,'Control Room'!$B$15/4))^2),1)*IF(AND($A229&gt;='Control Room'!$A$16,$A229&lt;'Control Room'!$A$16+'Control Room'!$B$16,'Process'!BS5=1),1+('Control Room'!$C$16-1)*EXP(-0.5*(($A229-'Control Room'!$A$16-('Control Room'!$B$16-1)/2)/MAX(0.5,'Control Room'!$B$16/4))^2),1)</x:f>
        <x:v>1</x:v>
      </x:c>
      <x:c r="AU229" s="9" t="n">
        <x:f>MOD(AV228*16807,2147483647)</x:f>
        <x:v>2041900350</x:v>
      </x:c>
      <x:c r="AV229" s="9" t="n">
        <x:f>MOD(AU229*16807,2147483647)</x:f>
        <x:v>1430503390</x:v>
      </x:c>
      <x:c r="AW229" s="17" t="n">
        <x:f>IF('Control Room'!$B$5="Normal",'Control Room'!$B$7+'Control Room'!$D$7*SQRT(-2*LN(MAX(0.000000000001,AU229/2147483647)))*COS(2*PI()*AV229/2147483647),'Control Room'!$B$8+('Control Room'!$D$8-'Control Room'!$B$8)*AU229/2147483647)</x:f>
        <x:v>985.6273312522778</x:v>
      </x:c>
      <x:c r="AX229" s="17" t="n">
        <x:f>IF('Control Room'!$B$5="Normal",'Control Room'!$B$7,('Control Room'!$B$8+'Control Room'!$D$8)/2)+'Control Room'!$B$9*(AX228-IF('Control Room'!$B$5="Normal",'Control Room'!$B$7,('Control Room'!$B$8+'Control Room'!$D$8)/2))+SQRT(1-'Control Room'!$B$9^2)*(AW229-IF('Control Room'!$B$5="Normal",'Control Room'!$B$7,('Control Room'!$B$8+'Control Room'!$D$8)/2))</x:f>
        <x:v>884.1039014987864</x:v>
      </x:c>
      <x:c r="AY229" s="17" t="n">
        <x:f>IF(AND($A229&gt;='Control Room'!$A$13,$A229&lt;'Control Room'!$A$13+'Control Room'!$B$13,'Process'!BT2=1),1+('Control Room'!$C$13-1)*EXP(-0.5*(($A229-'Control Room'!$A$13-('Control Room'!$B$13-1)/2)/MAX(0.5,'Control Room'!$B$13/4))^2),1)*IF(AND($A229&gt;='Control Room'!$A$14,$A229&lt;'Control Room'!$A$14+'Control Room'!$B$14,'Process'!BT3=1),1+('Control Room'!$C$14-1)*EXP(-0.5*(($A229-'Control Room'!$A$14-('Control Room'!$B$14-1)/2)/MAX(0.5,'Control Room'!$B$14/4))^2),1)*IF(AND($A229&gt;='Control Room'!$A$15,$A229&lt;'Control Room'!$A$15+'Control Room'!$B$15,'Process'!BT4=1),1+('Control Room'!$C$15-1)*EXP(-0.5*(($A229-'Control Room'!$A$15-('Control Room'!$B$15-1)/2)/MAX(0.5,'Control Room'!$B$15/4))^2),1)*IF(AND($A229&gt;='Control Room'!$A$16,$A229&lt;'Control Room'!$A$16+'Control Room'!$B$16,'Process'!BT5=1),1+('Control Room'!$C$16-1)*EXP(-0.5*(($A229-'Control Room'!$A$16-('Control Room'!$B$16-1)/2)/MAX(0.5,'Control Room'!$B$16/4))^2),1)</x:f>
        <x:v>1</x:v>
      </x:c>
      <x:c r="AZ229" s="9" t="n">
        <x:f>MOD(BA228*16807,2147483647)</x:f>
        <x:v>744816980</x:v>
      </x:c>
      <x:c r="BA229" s="9" t="n">
        <x:f>MOD(AZ229*16807,2147483647)</x:f>
        <x:v>456804497</x:v>
      </x:c>
      <x:c r="BB229" s="17" t="n">
        <x:f>IF('Control Room'!$B$5="Normal",'Control Room'!$B$7+'Control Room'!$D$7*SQRT(-2*LN(MAX(0.000000000001,AZ229/2147483647)))*COS(2*PI()*BA229/2147483647),'Control Room'!$B$8+('Control Room'!$D$8-'Control Room'!$B$8)*AZ229/2147483647)</x:f>
        <x:v>1030.4024526803296</x:v>
      </x:c>
      <x:c r="BC229" s="17" t="n">
        <x:f>IF('Control Room'!$B$5="Normal",'Control Room'!$B$7,('Control Room'!$B$8+'Control Room'!$D$8)/2)+'Control Room'!$B$9*(BC228-IF('Control Room'!$B$5="Normal",'Control Room'!$B$7,('Control Room'!$B$8+'Control Room'!$D$8)/2))+SQRT(1-'Control Room'!$B$9^2)*(BB229-IF('Control Room'!$B$5="Normal",'Control Room'!$B$7,('Control Room'!$B$8+'Control Room'!$D$8)/2))</x:f>
        <x:v>1026.9110533839093</x:v>
      </x:c>
      <x:c r="BD229" s="17" t="n">
        <x:f>IF(AND($A229&gt;='Control Room'!$A$13,$A229&lt;'Control Room'!$A$13+'Control Room'!$B$13,'Process'!BU2=1),1+('Control Room'!$C$13-1)*EXP(-0.5*(($A229-'Control Room'!$A$13-('Control Room'!$B$13-1)/2)/MAX(0.5,'Control Room'!$B$13/4))^2),1)*IF(AND($A229&gt;='Control Room'!$A$14,$A229&lt;'Control Room'!$A$14+'Control Room'!$B$14,'Process'!BU3=1),1+('Control Room'!$C$14-1)*EXP(-0.5*(($A229-'Control Room'!$A$14-('Control Room'!$B$14-1)/2)/MAX(0.5,'Control Room'!$B$14/4))^2),1)*IF(AND($A229&gt;='Control Room'!$A$15,$A229&lt;'Control Room'!$A$15+'Control Room'!$B$15,'Process'!BU4=1),1+('Control Room'!$C$15-1)*EXP(-0.5*(($A229-'Control Room'!$A$15-('Control Room'!$B$15-1)/2)/MAX(0.5,'Control Room'!$B$15/4))^2),1)*IF(AND($A229&gt;='Control Room'!$A$16,$A229&lt;'Control Room'!$A$16+'Control Room'!$B$16,'Process'!BU5=1),1+('Control Room'!$C$16-1)*EXP(-0.5*(($A229-'Control Room'!$A$16-('Control Room'!$B$16-1)/2)/MAX(0.5,'Control Room'!$B$16/4))^2),1)</x:f>
        <x:v>1</x:v>
      </x:c>
      <x:c r="BE229" s="9" t="n">
        <x:f>MOD(BF228*16807,2147483647)</x:f>
        <x:v>1595217257</x:v>
      </x:c>
      <x:c r="BF229" s="9" t="n">
        <x:f>MOD(BE229*16807,2147483647)</x:f>
        <x:v>1630589251</x:v>
      </x:c>
      <x:c r="BG229" s="17" t="n">
        <x:f>IF('Control Room'!$B$5="Normal",'Control Room'!$B$7+'Control Room'!$D$7*SQRT(-2*LN(MAX(0.000000000001,BE229/2147483647)))*COS(2*PI()*BF229/2147483647),'Control Room'!$B$8+('Control Room'!$D$8-'Control Room'!$B$8)*BE229/2147483647)</x:f>
        <x:v>1004.0538510035178</x:v>
      </x:c>
      <x:c r="BH229" s="17" t="n">
        <x:f>IF('Control Room'!$B$5="Normal",'Control Room'!$B$7,('Control Room'!$B$8+'Control Room'!$D$8)/2)+'Control Room'!$B$9*(BH228-IF('Control Room'!$B$5="Normal",'Control Room'!$B$7,('Control Room'!$B$8+'Control Room'!$D$8)/2))+SQRT(1-'Control Room'!$B$9^2)*(BG229-IF('Control Room'!$B$5="Normal",'Control Room'!$B$7,('Control Room'!$B$8+'Control Room'!$D$8)/2))</x:f>
        <x:v>1035.5819741514474</x:v>
      </x:c>
      <x:c r="BI229" s="17" t="n">
        <x:f>IF(AND($A229&gt;='Control Room'!$A$13,$A229&lt;'Control Room'!$A$13+'Control Room'!$B$13,'Process'!BV2=1),1+('Control Room'!$C$13-1)*EXP(-0.5*(($A229-'Control Room'!$A$13-('Control Room'!$B$13-1)/2)/MAX(0.5,'Control Room'!$B$13/4))^2),1)*IF(AND($A229&gt;='Control Room'!$A$14,$A229&lt;'Control Room'!$A$14+'Control Room'!$B$14,'Process'!BV3=1),1+('Control Room'!$C$14-1)*EXP(-0.5*(($A229-'Control Room'!$A$14-('Control Room'!$B$14-1)/2)/MAX(0.5,'Control Room'!$B$14/4))^2),1)*IF(AND($A229&gt;='Control Room'!$A$15,$A229&lt;'Control Room'!$A$15+'Control Room'!$B$15,'Process'!BV4=1),1+('Control Room'!$C$15-1)*EXP(-0.5*(($A229-'Control Room'!$A$15-('Control Room'!$B$15-1)/2)/MAX(0.5,'Control Room'!$B$15/4))^2),1)*IF(AND($A229&gt;='Control Room'!$A$16,$A229&lt;'Control Room'!$A$16+'Control Room'!$B$16,'Process'!BV5=1),1+('Control Room'!$C$16-1)*EXP(-0.5*(($A229-'Control Room'!$A$16-('Control Room'!$B$16-1)/2)/MAX(0.5,'Control Room'!$B$16/4))^2),1)</x:f>
        <x:v>1</x:v>
      </x:c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Z229" t="str">
        <x:f>IF('Data'!A229="","",TEXT('Data'!A229,"mm-dd"))</x:f>
      </x:c>
    </x:row>
    <x:row r="230" ht="21" customHeight="1">
      <x:c r="A230" s="15" t="n">
        <x:f>'Control Room'!$B$1+228</x:f>
        <x:v>73219</x:v>
      </x:c>
      <x:c r="B230" s="9" t="n">
        <x:f>MOD(C229*16807,2147483647)</x:f>
        <x:v>840769929</x:v>
      </x:c>
      <x:c r="C230" s="9" t="n">
        <x:f>MOD(B230*16807,2147483647)</x:f>
        <x:v>377799443</x:v>
      </x:c>
      <x:c r="D230" s="17" t="n">
        <x:f>IF('Control Room'!$B$5="Normal",'Control Room'!$B$7+'Control Room'!$D$7*SQRT(-2*LN(MAX(0.000000000001,B230/2147483647)))*COS(2*PI()*C230/2147483647),'Control Room'!$B$8+('Control Room'!$D$8-'Control Room'!$B$8)*B230/2147483647)</x:f>
        <x:v>1055.3153752720946</x:v>
      </x:c>
      <x:c r="E230" s="17" t="n">
        <x:f>IF('Control Room'!$B$5="Normal",'Control Room'!$B$7,('Control Room'!$B$8+'Control Room'!$D$8)/2)+'Control Room'!$B$9*(E229-IF('Control Room'!$B$5="Normal",'Control Room'!$B$7,('Control Room'!$B$8+'Control Room'!$D$8)/2))+SQRT(1-'Control Room'!$B$9^2)*(D230-IF('Control Room'!$B$5="Normal",'Control Room'!$B$7,('Control Room'!$B$8+'Control Room'!$D$8)/2))</x:f>
        <x:v>1002.4561161569487</x:v>
      </x:c>
      <x:c r="F230" s="17" t="n">
        <x:f>IF(AND($A230&gt;='Control Room'!$A$13,$A230&lt;'Control Room'!$A$13+'Control Room'!$B$13,'Process'!BK2=1),1+('Control Room'!$C$13-1)*EXP(-0.5*(($A230-'Control Room'!$A$13-('Control Room'!$B$13-1)/2)/MAX(0.5,'Control Room'!$B$13/4))^2),1)*IF(AND($A230&gt;='Control Room'!$A$14,$A230&lt;'Control Room'!$A$14+'Control Room'!$B$14,'Process'!BK3=1),1+('Control Room'!$C$14-1)*EXP(-0.5*(($A230-'Control Room'!$A$14-('Control Room'!$B$14-1)/2)/MAX(0.5,'Control Room'!$B$14/4))^2),1)*IF(AND($A230&gt;='Control Room'!$A$15,$A230&lt;'Control Room'!$A$15+'Control Room'!$B$15,'Process'!BK4=1),1+('Control Room'!$C$15-1)*EXP(-0.5*(($A230-'Control Room'!$A$15-('Control Room'!$B$15-1)/2)/MAX(0.5,'Control Room'!$B$15/4))^2),1)*IF(AND($A230&gt;='Control Room'!$A$16,$A230&lt;'Control Room'!$A$16+'Control Room'!$B$16,'Process'!BK5=1),1+('Control Room'!$C$16-1)*EXP(-0.5*(($A230-'Control Room'!$A$16-('Control Room'!$B$16-1)/2)/MAX(0.5,'Control Room'!$B$16/4))^2),1)</x:f>
        <x:v>1</x:v>
      </x:c>
      <x:c r="G230" s="9" t="n">
        <x:f>MOD(H229*16807,2147483647)</x:f>
        <x:v>1856349065</x:v>
      </x:c>
      <x:c r="H230" s="9" t="n">
        <x:f>MOD(G230*16807,2147483647)</x:f>
        <x:v>1016311839</x:v>
      </x:c>
      <x:c r="I230" s="17" t="n">
        <x:f>IF('Control Room'!$B$5="Normal",'Control Room'!$B$7+'Control Room'!$D$7*SQRT(-2*LN(MAX(0.000000000001,G230/2147483647)))*COS(2*PI()*H230/2147483647),'Control Room'!$B$8+('Control Room'!$D$8-'Control Room'!$B$8)*G230/2147483647)</x:f>
        <x:v>952.1033703586265</x:v>
      </x:c>
      <x:c r="J230" s="17" t="n">
        <x:f>IF('Control Room'!$B$5="Normal",'Control Room'!$B$7,('Control Room'!$B$8+'Control Room'!$D$8)/2)+'Control Room'!$B$9*(J229-IF('Control Room'!$B$5="Normal",'Control Room'!$B$7,('Control Room'!$B$8+'Control Room'!$D$8)/2))+SQRT(1-'Control Room'!$B$9^2)*(I230-IF('Control Room'!$B$5="Normal",'Control Room'!$B$7,('Control Room'!$B$8+'Control Room'!$D$8)/2))</x:f>
        <x:v>1068.3531538719255</x:v>
      </x:c>
      <x:c r="K230" s="17" t="n">
        <x:f>IF(AND($A230&gt;='Control Room'!$A$13,$A230&lt;'Control Room'!$A$13+'Control Room'!$B$13,'Process'!BL2=1),1+('Control Room'!$C$13-1)*EXP(-0.5*(($A230-'Control Room'!$A$13-('Control Room'!$B$13-1)/2)/MAX(0.5,'Control Room'!$B$13/4))^2),1)*IF(AND($A230&gt;='Control Room'!$A$14,$A230&lt;'Control Room'!$A$14+'Control Room'!$B$14,'Process'!BL3=1),1+('Control Room'!$C$14-1)*EXP(-0.5*(($A230-'Control Room'!$A$14-('Control Room'!$B$14-1)/2)/MAX(0.5,'Control Room'!$B$14/4))^2),1)*IF(AND($A230&gt;='Control Room'!$A$15,$A230&lt;'Control Room'!$A$15+'Control Room'!$B$15,'Process'!BL4=1),1+('Control Room'!$C$15-1)*EXP(-0.5*(($A230-'Control Room'!$A$15-('Control Room'!$B$15-1)/2)/MAX(0.5,'Control Room'!$B$15/4))^2),1)*IF(AND($A230&gt;='Control Room'!$A$16,$A230&lt;'Control Room'!$A$16+'Control Room'!$B$16,'Process'!BL5=1),1+('Control Room'!$C$16-1)*EXP(-0.5*(($A230-'Control Room'!$A$16-('Control Room'!$B$16-1)/2)/MAX(0.5,'Control Room'!$B$16/4))^2),1)</x:f>
        <x:v>1</x:v>
      </x:c>
      <x:c r="L230" s="9" t="n">
        <x:f>MOD(M229*16807,2147483647)</x:f>
        <x:v>724444554</x:v>
      </x:c>
      <x:c r="M230" s="9" t="n">
        <x:f>MOD(L230*16807,2147483647)</x:f>
        <x:v>1654824235</x:v>
      </x:c>
      <x:c r="N230" s="17" t="n">
        <x:f>IF('Control Room'!$B$5="Normal",'Control Room'!$B$7+'Control Room'!$D$7*SQRT(-2*LN(MAX(0.000000000001,L230/2147483647)))*COS(2*PI()*M230/2147483647),'Control Room'!$B$8+('Control Room'!$D$8-'Control Room'!$B$8)*L230/2147483647)</x:f>
        <x:v>1017.1149297309149</x:v>
      </x:c>
      <x:c r="O230" s="17" t="n">
        <x:f>IF('Control Room'!$B$5="Normal",'Control Room'!$B$7,('Control Room'!$B$8+'Control Room'!$D$8)/2)+'Control Room'!$B$9*(O229-IF('Control Room'!$B$5="Normal",'Control Room'!$B$7,('Control Room'!$B$8+'Control Room'!$D$8)/2))+SQRT(1-'Control Room'!$B$9^2)*(N230-IF('Control Room'!$B$5="Normal",'Control Room'!$B$7,('Control Room'!$B$8+'Control Room'!$D$8)/2))</x:f>
        <x:v>1025.8157297738278</x:v>
      </x:c>
      <x:c r="P230" s="17" t="n">
        <x:f>IF(AND($A230&gt;='Control Room'!$A$13,$A230&lt;'Control Room'!$A$13+'Control Room'!$B$13,'Process'!BM2=1),1+('Control Room'!$C$13-1)*EXP(-0.5*(($A230-'Control Room'!$A$13-('Control Room'!$B$13-1)/2)/MAX(0.5,'Control Room'!$B$13/4))^2),1)*IF(AND($A230&gt;='Control Room'!$A$14,$A230&lt;'Control Room'!$A$14+'Control Room'!$B$14,'Process'!BM3=1),1+('Control Room'!$C$14-1)*EXP(-0.5*(($A230-'Control Room'!$A$14-('Control Room'!$B$14-1)/2)/MAX(0.5,'Control Room'!$B$14/4))^2),1)*IF(AND($A230&gt;='Control Room'!$A$15,$A230&lt;'Control Room'!$A$15+'Control Room'!$B$15,'Process'!BM4=1),1+('Control Room'!$C$15-1)*EXP(-0.5*(($A230-'Control Room'!$A$15-('Control Room'!$B$15-1)/2)/MAX(0.5,'Control Room'!$B$15/4))^2),1)*IF(AND($A230&gt;='Control Room'!$A$16,$A230&lt;'Control Room'!$A$16+'Control Room'!$B$16,'Process'!BM5=1),1+('Control Room'!$C$16-1)*EXP(-0.5*(($A230-'Control Room'!$A$16-('Control Room'!$B$16-1)/2)/MAX(0.5,'Control Room'!$B$16/4))^2),1)</x:f>
        <x:v>1</x:v>
      </x:c>
      <x:c r="Q230" s="9" t="n">
        <x:f>MOD(R229*16807,2147483647)</x:f>
        <x:v>1740023690</x:v>
      </x:c>
      <x:c r="R230" s="9" t="n">
        <x:f>MOD(Q230*16807,2147483647)</x:f>
        <x:v>145852984</x:v>
      </x:c>
      <x:c r="S230" s="17" t="n">
        <x:f>IF('Control Room'!$B$5="Normal",'Control Room'!$B$7+'Control Room'!$D$7*SQRT(-2*LN(MAX(0.000000000001,Q230/2147483647)))*COS(2*PI()*R230/2147483647),'Control Room'!$B$8+('Control Room'!$D$8-'Control Room'!$B$8)*Q230/2147483647)</x:f>
        <x:v>1053.1461741248445</x:v>
      </x:c>
      <x:c r="T230" s="17" t="n">
        <x:f>IF('Control Room'!$B$5="Normal",'Control Room'!$B$7,('Control Room'!$B$8+'Control Room'!$D$8)/2)+'Control Room'!$B$9*(T229-IF('Control Room'!$B$5="Normal",'Control Room'!$B$7,('Control Room'!$B$8+'Control Room'!$D$8)/2))+SQRT(1-'Control Room'!$B$9^2)*(S230-IF('Control Room'!$B$5="Normal",'Control Room'!$B$7,('Control Room'!$B$8+'Control Room'!$D$8)/2))</x:f>
        <x:v>1014.3095503241808</x:v>
      </x:c>
      <x:c r="U230" s="17" t="n">
        <x:f>IF(AND($A230&gt;='Control Room'!$A$13,$A230&lt;'Control Room'!$A$13+'Control Room'!$B$13,'Process'!BN2=1),1+('Control Room'!$C$13-1)*EXP(-0.5*(($A230-'Control Room'!$A$13-('Control Room'!$B$13-1)/2)/MAX(0.5,'Control Room'!$B$13/4))^2),1)*IF(AND($A230&gt;='Control Room'!$A$14,$A230&lt;'Control Room'!$A$14+'Control Room'!$B$14,'Process'!BN3=1),1+('Control Room'!$C$14-1)*EXP(-0.5*(($A230-'Control Room'!$A$14-('Control Room'!$B$14-1)/2)/MAX(0.5,'Control Room'!$B$14/4))^2),1)*IF(AND($A230&gt;='Control Room'!$A$15,$A230&lt;'Control Room'!$A$15+'Control Room'!$B$15,'Process'!BN4=1),1+('Control Room'!$C$15-1)*EXP(-0.5*(($A230-'Control Room'!$A$15-('Control Room'!$B$15-1)/2)/MAX(0.5,'Control Room'!$B$15/4))^2),1)*IF(AND($A230&gt;='Control Room'!$A$16,$A230&lt;'Control Room'!$A$16+'Control Room'!$B$16,'Process'!BN5=1),1+('Control Room'!$C$16-1)*EXP(-0.5*(($A230-'Control Room'!$A$16-('Control Room'!$B$16-1)/2)/MAX(0.5,'Control Room'!$B$16/4))^2),1)</x:f>
        <x:v>1</x:v>
      </x:c>
      <x:c r="V230" s="9" t="n">
        <x:f>MOD(W229*16807,2147483647)</x:f>
        <x:v>608119179</x:v>
      </x:c>
      <x:c r="W230" s="9" t="n">
        <x:f>MOD(V230*16807,2147483647)</x:f>
        <x:v>784365380</x:v>
      </x:c>
      <x:c r="X230" s="17" t="n">
        <x:f>IF('Control Room'!$B$5="Normal",'Control Room'!$B$7+'Control Room'!$D$7*SQRT(-2*LN(MAX(0.000000000001,V230/2147483647)))*COS(2*PI()*W230/2147483647),'Control Room'!$B$8+('Control Room'!$D$8-'Control Room'!$B$8)*V230/2147483647)</x:f>
        <x:v>905.2875969209188</x:v>
      </x:c>
      <x:c r="Y230" s="17" t="n">
        <x:f>IF('Control Room'!$B$5="Normal",'Control Room'!$B$7,('Control Room'!$B$8+'Control Room'!$D$8)/2)+'Control Room'!$B$9*(Y229-IF('Control Room'!$B$5="Normal",'Control Room'!$B$7,('Control Room'!$B$8+'Control Room'!$D$8)/2))+SQRT(1-'Control Room'!$B$9^2)*(X230-IF('Control Room'!$B$5="Normal",'Control Room'!$B$7,('Control Room'!$B$8+'Control Room'!$D$8)/2))</x:f>
        <x:v>875.9654007831666</x:v>
      </x:c>
      <x:c r="Z230" s="17" t="n">
        <x:f>IF(AND($A230&gt;='Control Room'!$A$13,$A230&lt;'Control Room'!$A$13+'Control Room'!$B$13,'Process'!BO2=1),1+('Control Room'!$C$13-1)*EXP(-0.5*(($A230-'Control Room'!$A$13-('Control Room'!$B$13-1)/2)/MAX(0.5,'Control Room'!$B$13/4))^2),1)*IF(AND($A230&gt;='Control Room'!$A$14,$A230&lt;'Control Room'!$A$14+'Control Room'!$B$14,'Process'!BO3=1),1+('Control Room'!$C$14-1)*EXP(-0.5*(($A230-'Control Room'!$A$14-('Control Room'!$B$14-1)/2)/MAX(0.5,'Control Room'!$B$14/4))^2),1)*IF(AND($A230&gt;='Control Room'!$A$15,$A230&lt;'Control Room'!$A$15+'Control Room'!$B$15,'Process'!BO4=1),1+('Control Room'!$C$15-1)*EXP(-0.5*(($A230-'Control Room'!$A$15-('Control Room'!$B$15-1)/2)/MAX(0.5,'Control Room'!$B$15/4))^2),1)*IF(AND($A230&gt;='Control Room'!$A$16,$A230&lt;'Control Room'!$A$16+'Control Room'!$B$16,'Process'!BO5=1),1+('Control Room'!$C$16-1)*EXP(-0.5*(($A230-'Control Room'!$A$16-('Control Room'!$B$16-1)/2)/MAX(0.5,'Control Room'!$B$16/4))^2),1)</x:f>
        <x:v>1</x:v>
      </x:c>
      <x:c r="AA230" s="9" t="n">
        <x:f>MOD(AB229*16807,2147483647)</x:f>
        <x:v>1623698315</x:v>
      </x:c>
      <x:c r="AB230" s="9" t="n">
        <x:f>MOD(AA230*16807,2147483647)</x:f>
        <x:v>1422877776</x:v>
      </x:c>
      <x:c r="AC230" s="17" t="n">
        <x:f>IF('Control Room'!$B$5="Normal",'Control Room'!$B$7+'Control Room'!$D$7*SQRT(-2*LN(MAX(0.000000000001,AA230/2147483647)))*COS(2*PI()*AB230/2147483647),'Control Room'!$B$8+('Control Room'!$D$8-'Control Room'!$B$8)*AA230/2147483647)</x:f>
        <x:v>964.8640863708363</x:v>
      </x:c>
      <x:c r="AD230" s="17" t="n">
        <x:f>IF('Control Room'!$B$5="Normal",'Control Room'!$B$7,('Control Room'!$B$8+'Control Room'!$D$8)/2)+'Control Room'!$B$9*(AD229-IF('Control Room'!$B$5="Normal",'Control Room'!$B$7,('Control Room'!$B$8+'Control Room'!$D$8)/2))+SQRT(1-'Control Room'!$B$9^2)*(AC230-IF('Control Room'!$B$5="Normal",'Control Room'!$B$7,('Control Room'!$B$8+'Control Room'!$D$8)/2))</x:f>
        <x:v>862.1181947373343</x:v>
      </x:c>
      <x:c r="AE230" s="17" t="n">
        <x:f>IF(AND($A230&gt;='Control Room'!$A$13,$A230&lt;'Control Room'!$A$13+'Control Room'!$B$13,'Process'!BP2=1),1+('Control Room'!$C$13-1)*EXP(-0.5*(($A230-'Control Room'!$A$13-('Control Room'!$B$13-1)/2)/MAX(0.5,'Control Room'!$B$13/4))^2),1)*IF(AND($A230&gt;='Control Room'!$A$14,$A230&lt;'Control Room'!$A$14+'Control Room'!$B$14,'Process'!BP3=1),1+('Control Room'!$C$14-1)*EXP(-0.5*(($A230-'Control Room'!$A$14-('Control Room'!$B$14-1)/2)/MAX(0.5,'Control Room'!$B$14/4))^2),1)*IF(AND($A230&gt;='Control Room'!$A$15,$A230&lt;'Control Room'!$A$15+'Control Room'!$B$15,'Process'!BP4=1),1+('Control Room'!$C$15-1)*EXP(-0.5*(($A230-'Control Room'!$A$15-('Control Room'!$B$15-1)/2)/MAX(0.5,'Control Room'!$B$15/4))^2),1)*IF(AND($A230&gt;='Control Room'!$A$16,$A230&lt;'Control Room'!$A$16+'Control Room'!$B$16,'Process'!BP5=1),1+('Control Room'!$C$16-1)*EXP(-0.5*(($A230-'Control Room'!$A$16-('Control Room'!$B$16-1)/2)/MAX(0.5,'Control Room'!$B$16/4))^2),1)</x:f>
        <x:v>1</x:v>
      </x:c>
      <x:c r="AF230" s="9" t="n">
        <x:f>MOD(AG229*16807,2147483647)</x:f>
        <x:v>491793804</x:v>
      </x:c>
      <x:c r="AG230" s="9" t="n">
        <x:f>MOD(AF230*16807,2147483647)</x:f>
        <x:v>2061390172</x:v>
      </x:c>
      <x:c r="AH230" s="17" t="n">
        <x:f>IF('Control Room'!$B$5="Normal",'Control Room'!$B$7+'Control Room'!$D$7*SQRT(-2*LN(MAX(0.000000000001,AF230/2147483647)))*COS(2*PI()*AG230/2147483647),'Control Room'!$B$8+('Control Room'!$D$8-'Control Room'!$B$8)*AF230/2147483647)</x:f>
        <x:v>1149.650664572107</x:v>
      </x:c>
      <x:c r="AI230" s="17" t="n">
        <x:f>IF('Control Room'!$B$5="Normal",'Control Room'!$B$7,('Control Room'!$B$8+'Control Room'!$D$8)/2)+'Control Room'!$B$9*(AI229-IF('Control Room'!$B$5="Normal",'Control Room'!$B$7,('Control Room'!$B$8+'Control Room'!$D$8)/2))+SQRT(1-'Control Room'!$B$9^2)*(AH230-IF('Control Room'!$B$5="Normal",'Control Room'!$B$7,('Control Room'!$B$8+'Control Room'!$D$8)/2))</x:f>
        <x:v>1186.550025476854</x:v>
      </x:c>
      <x:c r="AJ230" s="17" t="n">
        <x:f>IF(AND($A230&gt;='Control Room'!$A$13,$A230&lt;'Control Room'!$A$13+'Control Room'!$B$13,'Process'!BQ2=1),1+('Control Room'!$C$13-1)*EXP(-0.5*(($A230-'Control Room'!$A$13-('Control Room'!$B$13-1)/2)/MAX(0.5,'Control Room'!$B$13/4))^2),1)*IF(AND($A230&gt;='Control Room'!$A$14,$A230&lt;'Control Room'!$A$14+'Control Room'!$B$14,'Process'!BQ3=1),1+('Control Room'!$C$14-1)*EXP(-0.5*(($A230-'Control Room'!$A$14-('Control Room'!$B$14-1)/2)/MAX(0.5,'Control Room'!$B$14/4))^2),1)*IF(AND($A230&gt;='Control Room'!$A$15,$A230&lt;'Control Room'!$A$15+'Control Room'!$B$15,'Process'!BQ4=1),1+('Control Room'!$C$15-1)*EXP(-0.5*(($A230-'Control Room'!$A$15-('Control Room'!$B$15-1)/2)/MAX(0.5,'Control Room'!$B$15/4))^2),1)*IF(AND($A230&gt;='Control Room'!$A$16,$A230&lt;'Control Room'!$A$16+'Control Room'!$B$16,'Process'!BQ5=1),1+('Control Room'!$C$16-1)*EXP(-0.5*(($A230-'Control Room'!$A$16-('Control Room'!$B$16-1)/2)/MAX(0.5,'Control Room'!$B$16/4))^2),1)</x:f>
        <x:v>1</x:v>
      </x:c>
      <x:c r="AK230" s="9" t="n">
        <x:f>MOD(AL229*16807,2147483647)</x:f>
        <x:v>1507372940</x:v>
      </x:c>
      <x:c r="AL230" s="9" t="n">
        <x:f>MOD(AK230*16807,2147483647)</x:f>
        <x:v>552418921</x:v>
      </x:c>
      <x:c r="AM230" s="17" t="n">
        <x:f>IF('Control Room'!$B$5="Normal",'Control Room'!$B$7+'Control Room'!$D$7*SQRT(-2*LN(MAX(0.000000000001,AK230/2147483647)))*COS(2*PI()*AL230/2147483647),'Control Room'!$B$8+('Control Room'!$D$8-'Control Room'!$B$8)*AK230/2147483647)</x:f>
        <x:v>996.5565783463373</x:v>
      </x:c>
      <x:c r="AN230" s="17" t="n">
        <x:f>IF('Control Room'!$B$5="Normal",'Control Room'!$B$7,('Control Room'!$B$8+'Control Room'!$D$8)/2)+'Control Room'!$B$9*(AN229-IF('Control Room'!$B$5="Normal",'Control Room'!$B$7,('Control Room'!$B$8+'Control Room'!$D$8)/2))+SQRT(1-'Control Room'!$B$9^2)*(AM230-IF('Control Room'!$B$5="Normal",'Control Room'!$B$7,('Control Room'!$B$8+'Control Room'!$D$8)/2))</x:f>
        <x:v>877.5665139810935</x:v>
      </x:c>
      <x:c r="AO230" s="17" t="n">
        <x:f>IF(AND($A230&gt;='Control Room'!$A$13,$A230&lt;'Control Room'!$A$13+'Control Room'!$B$13,'Process'!BR2=1),1+('Control Room'!$C$13-1)*EXP(-0.5*(($A230-'Control Room'!$A$13-('Control Room'!$B$13-1)/2)/MAX(0.5,'Control Room'!$B$13/4))^2),1)*IF(AND($A230&gt;='Control Room'!$A$14,$A230&lt;'Control Room'!$A$14+'Control Room'!$B$14,'Process'!BR3=1),1+('Control Room'!$C$14-1)*EXP(-0.5*(($A230-'Control Room'!$A$14-('Control Room'!$B$14-1)/2)/MAX(0.5,'Control Room'!$B$14/4))^2),1)*IF(AND($A230&gt;='Control Room'!$A$15,$A230&lt;'Control Room'!$A$15+'Control Room'!$B$15,'Process'!BR4=1),1+('Control Room'!$C$15-1)*EXP(-0.5*(($A230-'Control Room'!$A$15-('Control Room'!$B$15-1)/2)/MAX(0.5,'Control Room'!$B$15/4))^2),1)*IF(AND($A230&gt;='Control Room'!$A$16,$A230&lt;'Control Room'!$A$16+'Control Room'!$B$16,'Process'!BR5=1),1+('Control Room'!$C$16-1)*EXP(-0.5*(($A230-'Control Room'!$A$16-('Control Room'!$B$16-1)/2)/MAX(0.5,'Control Room'!$B$16/4))^2),1)</x:f>
        <x:v>1</x:v>
      </x:c>
      <x:c r="AP230" s="9" t="n">
        <x:f>MOD(AQ229*16807,2147483647)</x:f>
        <x:v>375468429</x:v>
      </x:c>
      <x:c r="AQ230" s="9" t="n">
        <x:f>MOD(AP230*16807,2147483647)</x:f>
        <x:v>1190931317</x:v>
      </x:c>
      <x:c r="AR230" s="17" t="n">
        <x:f>IF('Control Room'!$B$5="Normal",'Control Room'!$B$7+'Control Room'!$D$7*SQRT(-2*LN(MAX(0.000000000001,AP230/2147483647)))*COS(2*PI()*AQ230/2147483647),'Control Room'!$B$8+('Control Room'!$D$8-'Control Room'!$B$8)*AP230/2147483647)</x:f>
        <x:v>841.7039209113618</x:v>
      </x:c>
      <x:c r="AS230" s="17" t="n">
        <x:f>IF('Control Room'!$B$5="Normal",'Control Room'!$B$7,('Control Room'!$B$8+'Control Room'!$D$8)/2)+'Control Room'!$B$9*(AS229-IF('Control Room'!$B$5="Normal",'Control Room'!$B$7,('Control Room'!$B$8+'Control Room'!$D$8)/2))+SQRT(1-'Control Room'!$B$9^2)*(AR230-IF('Control Room'!$B$5="Normal",'Control Room'!$B$7,('Control Room'!$B$8+'Control Room'!$D$8)/2))</x:f>
        <x:v>874.2819879617152</x:v>
      </x:c>
      <x:c r="AT230" s="17" t="n">
        <x:f>IF(AND($A230&gt;='Control Room'!$A$13,$A230&lt;'Control Room'!$A$13+'Control Room'!$B$13,'Process'!BS2=1),1+('Control Room'!$C$13-1)*EXP(-0.5*(($A230-'Control Room'!$A$13-('Control Room'!$B$13-1)/2)/MAX(0.5,'Control Room'!$B$13/4))^2),1)*IF(AND($A230&gt;='Control Room'!$A$14,$A230&lt;'Control Room'!$A$14+'Control Room'!$B$14,'Process'!BS3=1),1+('Control Room'!$C$14-1)*EXP(-0.5*(($A230-'Control Room'!$A$14-('Control Room'!$B$14-1)/2)/MAX(0.5,'Control Room'!$B$14/4))^2),1)*IF(AND($A230&gt;='Control Room'!$A$15,$A230&lt;'Control Room'!$A$15+'Control Room'!$B$15,'Process'!BS4=1),1+('Control Room'!$C$15-1)*EXP(-0.5*(($A230-'Control Room'!$A$15-('Control Room'!$B$15-1)/2)/MAX(0.5,'Control Room'!$B$15/4))^2),1)*IF(AND($A230&gt;='Control Room'!$A$16,$A230&lt;'Control Room'!$A$16+'Control Room'!$B$16,'Process'!BS5=1),1+('Control Room'!$C$16-1)*EXP(-0.5*(($A230-'Control Room'!$A$16-('Control Room'!$B$16-1)/2)/MAX(0.5,'Control Room'!$B$16/4))^2),1)</x:f>
        <x:v>1</x:v>
      </x:c>
      <x:c r="AU230" s="9" t="n">
        <x:f>MOD(AV229*16807,2147483647)</x:f>
        <x:v>1391047565</x:v>
      </x:c>
      <x:c r="AV230" s="9" t="n">
        <x:f>MOD(AU230*16807,2147483647)</x:f>
        <x:v>1829443713</x:v>
      </x:c>
      <x:c r="AW230" s="17" t="n">
        <x:f>IF('Control Room'!$B$5="Normal",'Control Room'!$B$7+'Control Room'!$D$7*SQRT(-2*LN(MAX(0.000000000001,AU230/2147483647)))*COS(2*PI()*AV230/2147483647),'Control Room'!$B$8+('Control Room'!$D$8-'Control Room'!$B$8)*AU230/2147483647)</x:f>
        <x:v>1050.1063121507286</x:v>
      </x:c>
      <x:c r="AX230" s="17" t="n">
        <x:f>IF('Control Room'!$B$5="Normal",'Control Room'!$B$7,('Control Room'!$B$8+'Control Room'!$D$8)/2)+'Control Room'!$B$9*(AX229-IF('Control Room'!$B$5="Normal",'Control Room'!$B$7,('Control Room'!$B$8+'Control Room'!$D$8)/2))+SQRT(1-'Control Room'!$B$9^2)*(AW230-IF('Control Room'!$B$5="Normal",'Control Room'!$B$7,('Control Room'!$B$8+'Control Room'!$D$8)/2))</x:f>
        <x:v>940.9565468293806</x:v>
      </x:c>
      <x:c r="AY230" s="17" t="n">
        <x:f>IF(AND($A230&gt;='Control Room'!$A$13,$A230&lt;'Control Room'!$A$13+'Control Room'!$B$13,'Process'!BT2=1),1+('Control Room'!$C$13-1)*EXP(-0.5*(($A230-'Control Room'!$A$13-('Control Room'!$B$13-1)/2)/MAX(0.5,'Control Room'!$B$13/4))^2),1)*IF(AND($A230&gt;='Control Room'!$A$14,$A230&lt;'Control Room'!$A$14+'Control Room'!$B$14,'Process'!BT3=1),1+('Control Room'!$C$14-1)*EXP(-0.5*(($A230-'Control Room'!$A$14-('Control Room'!$B$14-1)/2)/MAX(0.5,'Control Room'!$B$14/4))^2),1)*IF(AND($A230&gt;='Control Room'!$A$15,$A230&lt;'Control Room'!$A$15+'Control Room'!$B$15,'Process'!BT4=1),1+('Control Room'!$C$15-1)*EXP(-0.5*(($A230-'Control Room'!$A$15-('Control Room'!$B$15-1)/2)/MAX(0.5,'Control Room'!$B$15/4))^2),1)*IF(AND($A230&gt;='Control Room'!$A$16,$A230&lt;'Control Room'!$A$16+'Control Room'!$B$16,'Process'!BT5=1),1+('Control Room'!$C$16-1)*EXP(-0.5*(($A230-'Control Room'!$A$16-('Control Room'!$B$16-1)/2)/MAX(0.5,'Control Room'!$B$16/4))^2),1)</x:f>
        <x:v>1</x:v>
      </x:c>
      <x:c r="AZ230" s="9" t="n">
        <x:f>MOD(BA229*16807,2147483647)</x:f>
        <x:v>259143054</x:v>
      </x:c>
      <x:c r="BA230" s="9" t="n">
        <x:f>MOD(AZ230*16807,2147483647)</x:f>
        <x:v>320472462</x:v>
      </x:c>
      <x:c r="BB230" s="17" t="n">
        <x:f>IF('Control Room'!$B$5="Normal",'Control Room'!$B$7+'Control Room'!$D$7*SQRT(-2*LN(MAX(0.000000000001,AZ230/2147483647)))*COS(2*PI()*BA230/2147483647),'Control Room'!$B$8+('Control Room'!$D$8-'Control Room'!$B$8)*AZ230/2147483647)</x:f>
        <x:v>1109.5138338336023</x:v>
      </x:c>
      <x:c r="BC230" s="17" t="n">
        <x:f>IF('Control Room'!$B$5="Normal",'Control Room'!$B$7,('Control Room'!$B$8+'Control Room'!$D$8)/2)+'Control Room'!$B$9*(BC229-IF('Control Room'!$B$5="Normal",'Control Room'!$B$7,('Control Room'!$B$8+'Control Room'!$D$8)/2))+SQRT(1-'Control Room'!$B$9^2)*(BB230-IF('Control Room'!$B$5="Normal",'Control Room'!$B$7,('Control Room'!$B$8+'Control Room'!$D$8)/2))</x:f>
        <x:v>1089.5221353396857</x:v>
      </x:c>
      <x:c r="BD230" s="17" t="n">
        <x:f>IF(AND($A230&gt;='Control Room'!$A$13,$A230&lt;'Control Room'!$A$13+'Control Room'!$B$13,'Process'!BU2=1),1+('Control Room'!$C$13-1)*EXP(-0.5*(($A230-'Control Room'!$A$13-('Control Room'!$B$13-1)/2)/MAX(0.5,'Control Room'!$B$13/4))^2),1)*IF(AND($A230&gt;='Control Room'!$A$14,$A230&lt;'Control Room'!$A$14+'Control Room'!$B$14,'Process'!BU3=1),1+('Control Room'!$C$14-1)*EXP(-0.5*(($A230-'Control Room'!$A$14-('Control Room'!$B$14-1)/2)/MAX(0.5,'Control Room'!$B$14/4))^2),1)*IF(AND($A230&gt;='Control Room'!$A$15,$A230&lt;'Control Room'!$A$15+'Control Room'!$B$15,'Process'!BU4=1),1+('Control Room'!$C$15-1)*EXP(-0.5*(($A230-'Control Room'!$A$15-('Control Room'!$B$15-1)/2)/MAX(0.5,'Control Room'!$B$15/4))^2),1)*IF(AND($A230&gt;='Control Room'!$A$16,$A230&lt;'Control Room'!$A$16+'Control Room'!$B$16,'Process'!BU5=1),1+('Control Room'!$C$16-1)*EXP(-0.5*(($A230-'Control Room'!$A$16-('Control Room'!$B$16-1)/2)/MAX(0.5,'Control Room'!$B$16/4))^2),1)</x:f>
        <x:v>1</x:v>
      </x:c>
      <x:c r="BE230" s="9" t="n">
        <x:f>MOD(BF229*16807,2147483647)</x:f>
        <x:v>1274722190</x:v>
      </x:c>
      <x:c r="BF230" s="9" t="n">
        <x:f>MOD(BE230*16807,2147483647)</x:f>
        <x:v>958984858</x:v>
      </x:c>
      <x:c r="BG230" s="17" t="n">
        <x:f>IF('Control Room'!$B$5="Normal",'Control Room'!$B$7+'Control Room'!$D$7*SQRT(-2*LN(MAX(0.000000000001,BE230/2147483647)))*COS(2*PI()*BF230/2147483647),'Control Room'!$B$8+('Control Room'!$D$8-'Control Room'!$B$8)*BE230/2147483647)</x:f>
        <x:v>913.2121665138189</x:v>
      </x:c>
      <x:c r="BH230" s="17" t="n">
        <x:f>IF('Control Room'!$B$5="Normal",'Control Room'!$B$7,('Control Room'!$B$8+'Control Room'!$D$8)/2)+'Control Room'!$B$9*(BH229-IF('Control Room'!$B$5="Normal",'Control Room'!$B$7,('Control Room'!$B$8+'Control Room'!$D$8)/2))+SQRT(1-'Control Room'!$B$9^2)*(BG230-IF('Control Room'!$B$5="Normal",'Control Room'!$B$7,('Control Room'!$B$8+'Control Room'!$D$8)/2))</x:f>
        <x:v>973.4438915878857</x:v>
      </x:c>
      <x:c r="BI230" s="17" t="n">
        <x:f>IF(AND($A230&gt;='Control Room'!$A$13,$A230&lt;'Control Room'!$A$13+'Control Room'!$B$13,'Process'!BV2=1),1+('Control Room'!$C$13-1)*EXP(-0.5*(($A230-'Control Room'!$A$13-('Control Room'!$B$13-1)/2)/MAX(0.5,'Control Room'!$B$13/4))^2),1)*IF(AND($A230&gt;='Control Room'!$A$14,$A230&lt;'Control Room'!$A$14+'Control Room'!$B$14,'Process'!BV3=1),1+('Control Room'!$C$14-1)*EXP(-0.5*(($A230-'Control Room'!$A$14-('Control Room'!$B$14-1)/2)/MAX(0.5,'Control Room'!$B$14/4))^2),1)*IF(AND($A230&gt;='Control Room'!$A$15,$A230&lt;'Control Room'!$A$15+'Control Room'!$B$15,'Process'!BV4=1),1+('Control Room'!$C$15-1)*EXP(-0.5*(($A230-'Control Room'!$A$15-('Control Room'!$B$15-1)/2)/MAX(0.5,'Control Room'!$B$15/4))^2),1)*IF(AND($A230&gt;='Control Room'!$A$16,$A230&lt;'Control Room'!$A$16+'Control Room'!$B$16,'Process'!BV5=1),1+('Control Room'!$C$16-1)*EXP(-0.5*(($A230-'Control Room'!$A$16-('Control Room'!$B$16-1)/2)/MAX(0.5,'Control Room'!$B$16/4))^2),1)</x:f>
        <x:v>1</x:v>
      </x:c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Z230" t="str">
        <x:f>IF('Data'!A230="","",TEXT('Data'!A230,"mm-dd"))</x:f>
      </x:c>
    </x:row>
    <x:row r="231" ht="21" customHeight="1">
      <x:c r="A231" s="15" t="n">
        <x:f>'Control Room'!$B$1+229</x:f>
        <x:v>73220</x:v>
      </x:c>
      <x:c r="B231" s="9" t="n">
        <x:f>MOD(C230*16807,2147483647)</x:f>
        <x:v>1713577969</x:v>
      </x:c>
      <x:c r="C231" s="9" t="n">
        <x:f>MOD(B231*16807,2147483647)</x:f>
        <x:v>201735066</x:v>
      </x:c>
      <x:c r="D231" s="17" t="n">
        <x:f>IF('Control Room'!$B$5="Normal",'Control Room'!$B$7+'Control Room'!$D$7*SQRT(-2*LN(MAX(0.000000000001,B231/2147483647)))*COS(2*PI()*C231/2147483647),'Control Room'!$B$8+('Control Room'!$D$8-'Control Room'!$B$8)*B231/2147483647)</x:f>
        <x:v>1050.2383196929284</x:v>
      </x:c>
      <x:c r="E231" s="17" t="n">
        <x:f>IF('Control Room'!$B$5="Normal",'Control Room'!$B$7,('Control Room'!$B$8+'Control Room'!$D$8)/2)+'Control Room'!$B$9*(E230-IF('Control Room'!$B$5="Normal",'Control Room'!$B$7,('Control Room'!$B$8+'Control Room'!$D$8)/2))+SQRT(1-'Control Room'!$B$9^2)*(D231-IF('Control Room'!$B$5="Normal",'Control Room'!$B$7,('Control Room'!$B$8+'Control Room'!$D$8)/2))</x:f>
        <x:v>1033.3538818783343</x:v>
      </x:c>
      <x:c r="F231" s="17" t="n">
        <x:f>IF(AND($A231&gt;='Control Room'!$A$13,$A231&lt;'Control Room'!$A$13+'Control Room'!$B$13,'Process'!BK2=1),1+('Control Room'!$C$13-1)*EXP(-0.5*(($A231-'Control Room'!$A$13-('Control Room'!$B$13-1)/2)/MAX(0.5,'Control Room'!$B$13/4))^2),1)*IF(AND($A231&gt;='Control Room'!$A$14,$A231&lt;'Control Room'!$A$14+'Control Room'!$B$14,'Process'!BK3=1),1+('Control Room'!$C$14-1)*EXP(-0.5*(($A231-'Control Room'!$A$14-('Control Room'!$B$14-1)/2)/MAX(0.5,'Control Room'!$B$14/4))^2),1)*IF(AND($A231&gt;='Control Room'!$A$15,$A231&lt;'Control Room'!$A$15+'Control Room'!$B$15,'Process'!BK4=1),1+('Control Room'!$C$15-1)*EXP(-0.5*(($A231-'Control Room'!$A$15-('Control Room'!$B$15-1)/2)/MAX(0.5,'Control Room'!$B$15/4))^2),1)*IF(AND($A231&gt;='Control Room'!$A$16,$A231&lt;'Control Room'!$A$16+'Control Room'!$B$16,'Process'!BK5=1),1+('Control Room'!$C$16-1)*EXP(-0.5*(($A231-'Control Room'!$A$16-('Control Room'!$B$16-1)/2)/MAX(0.5,'Control Room'!$B$16/4))^2),1)</x:f>
        <x:v>1</x:v>
      </x:c>
      <x:c r="G231" s="9" t="n">
        <x:f>MOD(H230*16807,2147483647)</x:f>
        <x:v>68149835</x:v>
      </x:c>
      <x:c r="H231" s="9" t="n">
        <x:f>MOD(G231*16807,2147483647)</x:f>
        <x:v>785492994</x:v>
      </x:c>
      <x:c r="I231" s="17" t="n">
        <x:f>IF('Control Room'!$B$5="Normal",'Control Room'!$B$7+'Control Room'!$D$7*SQRT(-2*LN(MAX(0.000000000001,G231/2147483647)))*COS(2*PI()*H231/2147483647),'Control Room'!$B$8+('Control Room'!$D$8-'Control Room'!$B$8)*G231/2147483647)</x:f>
        <x:v>842.7908035216949</x:v>
      </x:c>
      <x:c r="J231" s="17" t="n">
        <x:f>IF('Control Room'!$B$5="Normal",'Control Room'!$B$7,('Control Room'!$B$8+'Control Room'!$D$8)/2)+'Control Room'!$B$9*(J230-IF('Control Room'!$B$5="Normal",'Control Room'!$B$7,('Control Room'!$B$8+'Control Room'!$D$8)/2))+SQRT(1-'Control Room'!$B$9^2)*(I231-IF('Control Room'!$B$5="Normal",'Control Room'!$B$7,('Control Room'!$B$8+'Control Room'!$D$8)/2))</x:f>
        <x:v>954.9371654694239</x:v>
      </x:c>
      <x:c r="K231" s="17" t="n">
        <x:f>IF(AND($A231&gt;='Control Room'!$A$13,$A231&lt;'Control Room'!$A$13+'Control Room'!$B$13,'Process'!BL2=1),1+('Control Room'!$C$13-1)*EXP(-0.5*(($A231-'Control Room'!$A$13-('Control Room'!$B$13-1)/2)/MAX(0.5,'Control Room'!$B$13/4))^2),1)*IF(AND($A231&gt;='Control Room'!$A$14,$A231&lt;'Control Room'!$A$14+'Control Room'!$B$14,'Process'!BL3=1),1+('Control Room'!$C$14-1)*EXP(-0.5*(($A231-'Control Room'!$A$14-('Control Room'!$B$14-1)/2)/MAX(0.5,'Control Room'!$B$14/4))^2),1)*IF(AND($A231&gt;='Control Room'!$A$15,$A231&lt;'Control Room'!$A$15+'Control Room'!$B$15,'Process'!BL4=1),1+('Control Room'!$C$15-1)*EXP(-0.5*(($A231-'Control Room'!$A$15-('Control Room'!$B$15-1)/2)/MAX(0.5,'Control Room'!$B$15/4))^2),1)*IF(AND($A231&gt;='Control Room'!$A$16,$A231&lt;'Control Room'!$A$16+'Control Room'!$B$16,'Process'!BL5=1),1+('Control Room'!$C$16-1)*EXP(-0.5*(($A231-'Control Room'!$A$16-('Control Room'!$B$16-1)/2)/MAX(0.5,'Control Room'!$B$16/4))^2),1)</x:f>
        <x:v>1</x:v>
      </x:c>
      <x:c r="L231" s="9" t="n">
        <x:f>MOD(M230*16807,2147483647)</x:f>
        <x:v>570205348</x:v>
      </x:c>
      <x:c r="M231" s="9" t="n">
        <x:f>MOD(L231*16807,2147483647)</x:f>
        <x:v>1369250922</x:v>
      </x:c>
      <x:c r="N231" s="17" t="n">
        <x:f>IF('Control Room'!$B$5="Normal",'Control Room'!$B$7+'Control Room'!$D$7*SQRT(-2*LN(MAX(0.000000000001,L231/2147483647)))*COS(2*PI()*M231/2147483647),'Control Room'!$B$8+('Control Room'!$D$8-'Control Room'!$B$8)*L231/2147483647)</x:f>
        <x:v>904.8869285230021</x:v>
      </x:c>
      <x:c r="O231" s="17" t="n">
        <x:f>IF('Control Room'!$B$5="Normal",'Control Room'!$B$7,('Control Room'!$B$8+'Control Room'!$D$8)/2)+'Control Room'!$B$9*(O230-IF('Control Room'!$B$5="Normal",'Control Room'!$B$7,('Control Room'!$B$8+'Control Room'!$D$8)/2))+SQRT(1-'Control Room'!$B$9^2)*(N231-IF('Control Room'!$B$5="Normal",'Control Room'!$B$7,('Control Room'!$B$8+'Control Room'!$D$8)/2))</x:f>
        <x:v>960.6164575904598</x:v>
      </x:c>
      <x:c r="P231" s="17" t="n">
        <x:f>IF(AND($A231&gt;='Control Room'!$A$13,$A231&lt;'Control Room'!$A$13+'Control Room'!$B$13,'Process'!BM2=1),1+('Control Room'!$C$13-1)*EXP(-0.5*(($A231-'Control Room'!$A$13-('Control Room'!$B$13-1)/2)/MAX(0.5,'Control Room'!$B$13/4))^2),1)*IF(AND($A231&gt;='Control Room'!$A$14,$A231&lt;'Control Room'!$A$14+'Control Room'!$B$14,'Process'!BM3=1),1+('Control Room'!$C$14-1)*EXP(-0.5*(($A231-'Control Room'!$A$14-('Control Room'!$B$14-1)/2)/MAX(0.5,'Control Room'!$B$14/4))^2),1)*IF(AND($A231&gt;='Control Room'!$A$15,$A231&lt;'Control Room'!$A$15+'Control Room'!$B$15,'Process'!BM4=1),1+('Control Room'!$C$15-1)*EXP(-0.5*(($A231-'Control Room'!$A$15-('Control Room'!$B$15-1)/2)/MAX(0.5,'Control Room'!$B$15/4))^2),1)*IF(AND($A231&gt;='Control Room'!$A$16,$A231&lt;'Control Room'!$A$16+'Control Room'!$B$16,'Process'!BM5=1),1+('Control Room'!$C$16-1)*EXP(-0.5*(($A231-'Control Room'!$A$16-('Control Room'!$B$16-1)/2)/MAX(0.5,'Control Room'!$B$16/4))^2),1)</x:f>
        <x:v>1</x:v>
      </x:c>
      <x:c r="Q231" s="9" t="n">
        <x:f>MOD(R230*16807,2147483647)</x:f>
        <x:v>1072260861</x:v>
      </x:c>
      <x:c r="R231" s="9" t="n">
        <x:f>MOD(Q231*16807,2147483647)</x:f>
        <x:v>1953008850</x:v>
      </x:c>
      <x:c r="S231" s="17" t="n">
        <x:f>IF('Control Room'!$B$5="Normal",'Control Room'!$B$7+'Control Room'!$D$7*SQRT(-2*LN(MAX(0.000000000001,Q231/2147483647)))*COS(2*PI()*R231/2147483647),'Control Room'!$B$8+('Control Room'!$D$8-'Control Room'!$B$8)*Q231/2147483647)</x:f>
        <x:v>1089.3595315512569</x:v>
      </x:c>
      <x:c r="T231" s="17" t="n">
        <x:f>IF('Control Room'!$B$5="Normal",'Control Room'!$B$7,('Control Room'!$B$8+'Control Room'!$D$8)/2)+'Control Room'!$B$9*(T230-IF('Control Room'!$B$5="Normal",'Control Room'!$B$7,('Control Room'!$B$8+'Control Room'!$D$8)/2))+SQRT(1-'Control Room'!$B$9^2)*(S231-IF('Control Room'!$B$5="Normal",'Control Room'!$B$7,('Control Room'!$B$8+'Control Room'!$D$8)/2))</x:f>
        <x:v>1067.0808134681301</x:v>
      </x:c>
      <x:c r="U231" s="17" t="n">
        <x:f>IF(AND($A231&gt;='Control Room'!$A$13,$A231&lt;'Control Room'!$A$13+'Control Room'!$B$13,'Process'!BN2=1),1+('Control Room'!$C$13-1)*EXP(-0.5*(($A231-'Control Room'!$A$13-('Control Room'!$B$13-1)/2)/MAX(0.5,'Control Room'!$B$13/4))^2),1)*IF(AND($A231&gt;='Control Room'!$A$14,$A231&lt;'Control Room'!$A$14+'Control Room'!$B$14,'Process'!BN3=1),1+('Control Room'!$C$14-1)*EXP(-0.5*(($A231-'Control Room'!$A$14-('Control Room'!$B$14-1)/2)/MAX(0.5,'Control Room'!$B$14/4))^2),1)*IF(AND($A231&gt;='Control Room'!$A$15,$A231&lt;'Control Room'!$A$15+'Control Room'!$B$15,'Process'!BN4=1),1+('Control Room'!$C$15-1)*EXP(-0.5*(($A231-'Control Room'!$A$15-('Control Room'!$B$15-1)/2)/MAX(0.5,'Control Room'!$B$15/4))^2),1)*IF(AND($A231&gt;='Control Room'!$A$16,$A231&lt;'Control Room'!$A$16+'Control Room'!$B$16,'Process'!BN5=1),1+('Control Room'!$C$16-1)*EXP(-0.5*(($A231-'Control Room'!$A$16-('Control Room'!$B$16-1)/2)/MAX(0.5,'Control Room'!$B$16/4))^2),1)</x:f>
        <x:v>1</x:v>
      </x:c>
      <x:c r="V231" s="9" t="n">
        <x:f>MOD(W230*16807,2147483647)</x:f>
        <x:v>1574316374</x:v>
      </x:c>
      <x:c r="W231" s="9" t="n">
        <x:f>MOD(V231*16807,2147483647)</x:f>
        <x:v>389283131</x:v>
      </x:c>
      <x:c r="X231" s="17" t="n">
        <x:f>IF('Control Room'!$B$5="Normal",'Control Room'!$B$7+'Control Room'!$D$7*SQRT(-2*LN(MAX(0.000000000001,V231/2147483647)))*COS(2*PI()*W231/2147483647),'Control Room'!$B$8+('Control Room'!$D$8-'Control Room'!$B$8)*V231/2147483647)</x:f>
        <x:v>1029.68177565734</x:v>
      </x:c>
      <x:c r="Y231" s="17" t="n">
        <x:f>IF('Control Room'!$B$5="Normal",'Control Room'!$B$7,('Control Room'!$B$8+'Control Room'!$D$8)/2)+'Control Room'!$B$9*(Y230-IF('Control Room'!$B$5="Normal",'Control Room'!$B$7,('Control Room'!$B$8+'Control Room'!$D$8)/2))+SQRT(1-'Control Room'!$B$9^2)*(X231-IF('Control Room'!$B$5="Normal",'Control Room'!$B$7,('Control Room'!$B$8+'Control Room'!$D$8)/2))</x:f>
        <x:v>921.8272597530078</x:v>
      </x:c>
      <x:c r="Z231" s="17" t="n">
        <x:f>IF(AND($A231&gt;='Control Room'!$A$13,$A231&lt;'Control Room'!$A$13+'Control Room'!$B$13,'Process'!BO2=1),1+('Control Room'!$C$13-1)*EXP(-0.5*(($A231-'Control Room'!$A$13-('Control Room'!$B$13-1)/2)/MAX(0.5,'Control Room'!$B$13/4))^2),1)*IF(AND($A231&gt;='Control Room'!$A$14,$A231&lt;'Control Room'!$A$14+'Control Room'!$B$14,'Process'!BO3=1),1+('Control Room'!$C$14-1)*EXP(-0.5*(($A231-'Control Room'!$A$14-('Control Room'!$B$14-1)/2)/MAX(0.5,'Control Room'!$B$14/4))^2),1)*IF(AND($A231&gt;='Control Room'!$A$15,$A231&lt;'Control Room'!$A$15+'Control Room'!$B$15,'Process'!BO4=1),1+('Control Room'!$C$15-1)*EXP(-0.5*(($A231-'Control Room'!$A$15-('Control Room'!$B$15-1)/2)/MAX(0.5,'Control Room'!$B$15/4))^2),1)*IF(AND($A231&gt;='Control Room'!$A$16,$A231&lt;'Control Room'!$A$16+'Control Room'!$B$16,'Process'!BO5=1),1+('Control Room'!$C$16-1)*EXP(-0.5*(($A231-'Control Room'!$A$16-('Control Room'!$B$16-1)/2)/MAX(0.5,'Control Room'!$B$16/4))^2),1)</x:f>
        <x:v>1</x:v>
      </x:c>
      <x:c r="AA231" s="9" t="n">
        <x:f>MOD(AB230*16807,2147483647)</x:f>
        <x:v>2076371887</x:v>
      </x:c>
      <x:c r="AB231" s="9" t="n">
        <x:f>MOD(AA231*16807,2147483647)</x:f>
        <x:v>973041059</x:v>
      </x:c>
      <x:c r="AC231" s="17" t="n">
        <x:f>IF('Control Room'!$B$5="Normal",'Control Room'!$B$7+'Control Room'!$D$7*SQRT(-2*LN(MAX(0.000000000001,AA231/2147483647)))*COS(2*PI()*AB231/2147483647),'Control Room'!$B$8+('Control Room'!$D$8-'Control Room'!$B$8)*AA231/2147483647)</x:f>
        <x:v>977.6498920458541</x:v>
      </x:c>
      <x:c r="AD231" s="17" t="n">
        <x:f>IF('Control Room'!$B$5="Normal",'Control Room'!$B$7,('Control Room'!$B$8+'Control Room'!$D$8)/2)+'Control Room'!$B$9*(AD230-IF('Control Room'!$B$5="Normal",'Control Room'!$B$7,('Control Room'!$B$8+'Control Room'!$D$8)/2))+SQRT(1-'Control Room'!$B$9^2)*(AC231-IF('Control Room'!$B$5="Normal",'Control Room'!$B$7,('Control Room'!$B$8+'Control Room'!$D$8)/2))</x:f>
        <x:v>878.465952204265</x:v>
      </x:c>
      <x:c r="AE231" s="17" t="n">
        <x:f>IF(AND($A231&gt;='Control Room'!$A$13,$A231&lt;'Control Room'!$A$13+'Control Room'!$B$13,'Process'!BP2=1),1+('Control Room'!$C$13-1)*EXP(-0.5*(($A231-'Control Room'!$A$13-('Control Room'!$B$13-1)/2)/MAX(0.5,'Control Room'!$B$13/4))^2),1)*IF(AND($A231&gt;='Control Room'!$A$14,$A231&lt;'Control Room'!$A$14+'Control Room'!$B$14,'Process'!BP3=1),1+('Control Room'!$C$14-1)*EXP(-0.5*(($A231-'Control Room'!$A$14-('Control Room'!$B$14-1)/2)/MAX(0.5,'Control Room'!$B$14/4))^2),1)*IF(AND($A231&gt;='Control Room'!$A$15,$A231&lt;'Control Room'!$A$15+'Control Room'!$B$15,'Process'!BP4=1),1+('Control Room'!$C$15-1)*EXP(-0.5*(($A231-'Control Room'!$A$15-('Control Room'!$B$15-1)/2)/MAX(0.5,'Control Room'!$B$15/4))^2),1)*IF(AND($A231&gt;='Control Room'!$A$16,$A231&lt;'Control Room'!$A$16+'Control Room'!$B$16,'Process'!BP5=1),1+('Control Room'!$C$16-1)*EXP(-0.5*(($A231-'Control Room'!$A$16-('Control Room'!$B$16-1)/2)/MAX(0.5,'Control Room'!$B$16/4))^2),1)</x:f>
        <x:v>1</x:v>
      </x:c>
      <x:c r="AF231" s="9" t="n">
        <x:f>MOD(AG230*16807,2147483647)</x:f>
        <x:v>430943753</x:v>
      </x:c>
      <x:c r="AG231" s="9" t="n">
        <x:f>MOD(AF231*16807,2147483647)</x:f>
        <x:v>1556798987</x:v>
      </x:c>
      <x:c r="AH231" s="17" t="n">
        <x:f>IF('Control Room'!$B$5="Normal",'Control Room'!$B$7+'Control Room'!$D$7*SQRT(-2*LN(MAX(0.000000000001,AF231/2147483647)))*COS(2*PI()*AG231/2147483647),'Control Room'!$B$8+('Control Room'!$D$8-'Control Room'!$B$8)*AF231/2147483647)</x:f>
        <x:v>974.7077360954391</x:v>
      </x:c>
      <x:c r="AI231" s="17" t="n">
        <x:f>IF('Control Room'!$B$5="Normal",'Control Room'!$B$7,('Control Room'!$B$8+'Control Room'!$D$8)/2)+'Control Room'!$B$9*(AI230-IF('Control Room'!$B$5="Normal",'Control Room'!$B$7,('Control Room'!$B$8+'Control Room'!$D$8)/2))+SQRT(1-'Control Room'!$B$9^2)*(AH231-IF('Control Room'!$B$5="Normal",'Control Room'!$B$7,('Control Room'!$B$8+'Control Room'!$D$8)/2))</x:f>
        <x:v>1129.6816392606613</x:v>
      </x:c>
      <x:c r="AJ231" s="17" t="n">
        <x:f>IF(AND($A231&gt;='Control Room'!$A$13,$A231&lt;'Control Room'!$A$13+'Control Room'!$B$13,'Process'!BQ2=1),1+('Control Room'!$C$13-1)*EXP(-0.5*(($A231-'Control Room'!$A$13-('Control Room'!$B$13-1)/2)/MAX(0.5,'Control Room'!$B$13/4))^2),1)*IF(AND($A231&gt;='Control Room'!$A$14,$A231&lt;'Control Room'!$A$14+'Control Room'!$B$14,'Process'!BQ3=1),1+('Control Room'!$C$14-1)*EXP(-0.5*(($A231-'Control Room'!$A$14-('Control Room'!$B$14-1)/2)/MAX(0.5,'Control Room'!$B$14/4))^2),1)*IF(AND($A231&gt;='Control Room'!$A$15,$A231&lt;'Control Room'!$A$15+'Control Room'!$B$15,'Process'!BQ4=1),1+('Control Room'!$C$15-1)*EXP(-0.5*(($A231-'Control Room'!$A$15-('Control Room'!$B$15-1)/2)/MAX(0.5,'Control Room'!$B$15/4))^2),1)*IF(AND($A231&gt;='Control Room'!$A$16,$A231&lt;'Control Room'!$A$16+'Control Room'!$B$16,'Process'!BQ5=1),1+('Control Room'!$C$16-1)*EXP(-0.5*(($A231-'Control Room'!$A$16-('Control Room'!$B$16-1)/2)/MAX(0.5,'Control Room'!$B$16/4))^2),1)</x:f>
        <x:v>1</x:v>
      </x:c>
      <x:c r="AK231" s="9" t="n">
        <x:f>MOD(AL230*16807,2147483647)</x:f>
        <x:v>932999266</x:v>
      </x:c>
      <x:c r="AL231" s="9" t="n">
        <x:f>MOD(AK231*16807,2147483647)</x:f>
        <x:v>2140556915</x:v>
      </x:c>
      <x:c r="AM231" s="17" t="n">
        <x:f>IF('Control Room'!$B$5="Normal",'Control Room'!$B$7+'Control Room'!$D$7*SQRT(-2*LN(MAX(0.000000000001,AK231/2147483647)))*COS(2*PI()*AL231/2147483647),'Control Room'!$B$8+('Control Room'!$D$8-'Control Room'!$B$8)*AK231/2147483647)</x:f>
        <x:v>1116.1875437828346</x:v>
      </x:c>
      <x:c r="AN231" s="17" t="n">
        <x:f>IF('Control Room'!$B$5="Normal",'Control Room'!$B$7,('Control Room'!$B$8+'Control Room'!$D$8)/2)+'Control Room'!$B$9*(AN230-IF('Control Room'!$B$5="Normal",'Control Room'!$B$7,('Control Room'!$B$8+'Control Room'!$D$8)/2))+SQRT(1-'Control Room'!$B$9^2)*(AM231-IF('Control Room'!$B$5="Normal",'Control Room'!$B$7,('Control Room'!$B$8+'Control Room'!$D$8)/2))</x:f>
        <x:v>977.2096655733394</x:v>
      </x:c>
      <x:c r="AO231" s="17" t="n">
        <x:f>IF(AND($A231&gt;='Control Room'!$A$13,$A231&lt;'Control Room'!$A$13+'Control Room'!$B$13,'Process'!BR2=1),1+('Control Room'!$C$13-1)*EXP(-0.5*(($A231-'Control Room'!$A$13-('Control Room'!$B$13-1)/2)/MAX(0.5,'Control Room'!$B$13/4))^2),1)*IF(AND($A231&gt;='Control Room'!$A$14,$A231&lt;'Control Room'!$A$14+'Control Room'!$B$14,'Process'!BR3=1),1+('Control Room'!$C$14-1)*EXP(-0.5*(($A231-'Control Room'!$A$14-('Control Room'!$B$14-1)/2)/MAX(0.5,'Control Room'!$B$14/4))^2),1)*IF(AND($A231&gt;='Control Room'!$A$15,$A231&lt;'Control Room'!$A$15+'Control Room'!$B$15,'Process'!BR4=1),1+('Control Room'!$C$15-1)*EXP(-0.5*(($A231-'Control Room'!$A$15-('Control Room'!$B$15-1)/2)/MAX(0.5,'Control Room'!$B$15/4))^2),1)*IF(AND($A231&gt;='Control Room'!$A$16,$A231&lt;'Control Room'!$A$16+'Control Room'!$B$16,'Process'!BR5=1),1+('Control Room'!$C$16-1)*EXP(-0.5*(($A231-'Control Room'!$A$16-('Control Room'!$B$16-1)/2)/MAX(0.5,'Control Room'!$B$16/4))^2),1)</x:f>
        <x:v>1</x:v>
      </x:c>
      <x:c r="AP231" s="9" t="n">
        <x:f>MOD(AQ230*16807,2147483647)</x:f>
        <x:v>1435054779</x:v>
      </x:c>
      <x:c r="AQ231" s="9" t="n">
        <x:f>MOD(AP231*16807,2147483647)</x:f>
        <x:v>576831196</x:v>
      </x:c>
      <x:c r="AR231" s="17" t="n">
        <x:f>IF('Control Room'!$B$5="Normal",'Control Room'!$B$7+'Control Room'!$D$7*SQRT(-2*LN(MAX(0.000000000001,AP231/2147483647)))*COS(2*PI()*AQ231/2147483647),'Control Room'!$B$8+('Control Room'!$D$8-'Control Room'!$B$8)*AP231/2147483647)</x:f>
        <x:v>990.5735273481891</x:v>
      </x:c>
      <x:c r="AS231" s="17" t="n">
        <x:f>IF('Control Room'!$B$5="Normal",'Control Room'!$B$7,('Control Room'!$B$8+'Control Room'!$D$8)/2)+'Control Room'!$B$9*(AS230-IF('Control Room'!$B$5="Normal",'Control Room'!$B$7,('Control Room'!$B$8+'Control Room'!$D$8)/2))+SQRT(1-'Control Room'!$B$9^2)*(AR231-IF('Control Room'!$B$5="Normal",'Control Room'!$B$7,('Control Room'!$B$8+'Control Room'!$D$8)/2))</x:f>
        <x:v>896.0410571364234</x:v>
      </x:c>
      <x:c r="AT231" s="17" t="n">
        <x:f>IF(AND($A231&gt;='Control Room'!$A$13,$A231&lt;'Control Room'!$A$13+'Control Room'!$B$13,'Process'!BS2=1),1+('Control Room'!$C$13-1)*EXP(-0.5*(($A231-'Control Room'!$A$13-('Control Room'!$B$13-1)/2)/MAX(0.5,'Control Room'!$B$13/4))^2),1)*IF(AND($A231&gt;='Control Room'!$A$14,$A231&lt;'Control Room'!$A$14+'Control Room'!$B$14,'Process'!BS3=1),1+('Control Room'!$C$14-1)*EXP(-0.5*(($A231-'Control Room'!$A$14-('Control Room'!$B$14-1)/2)/MAX(0.5,'Control Room'!$B$14/4))^2),1)*IF(AND($A231&gt;='Control Room'!$A$15,$A231&lt;'Control Room'!$A$15+'Control Room'!$B$15,'Process'!BS4=1),1+('Control Room'!$C$15-1)*EXP(-0.5*(($A231-'Control Room'!$A$15-('Control Room'!$B$15-1)/2)/MAX(0.5,'Control Room'!$B$15/4))^2),1)*IF(AND($A231&gt;='Control Room'!$A$16,$A231&lt;'Control Room'!$A$16+'Control Room'!$B$16,'Process'!BS5=1),1+('Control Room'!$C$16-1)*EXP(-0.5*(($A231-'Control Room'!$A$16-('Control Room'!$B$16-1)/2)/MAX(0.5,'Control Room'!$B$16/4))^2),1)</x:f>
        <x:v>1</x:v>
      </x:c>
      <x:c r="AU231" s="9" t="n">
        <x:f>MOD(AV230*16807,2147483647)</x:f>
        <x:v>1937110292</x:v>
      </x:c>
      <x:c r="AV231" s="9" t="n">
        <x:f>MOD(AU231*16807,2147483647)</x:f>
        <x:v>1160589124</x:v>
      </x:c>
      <x:c r="AW231" s="17" t="n">
        <x:f>IF('Control Room'!$B$5="Normal",'Control Room'!$B$7+'Control Room'!$D$7*SQRT(-2*LN(MAX(0.000000000001,AU231/2147483647)))*COS(2*PI()*AV231/2147483647),'Control Room'!$B$8+('Control Room'!$D$8-'Control Room'!$B$8)*AU231/2147483647)</x:f>
        <x:v>960.4440777431792</x:v>
      </x:c>
      <x:c r="AX231" s="17" t="n">
        <x:f>IF('Control Room'!$B$5="Normal",'Control Room'!$B$7,('Control Room'!$B$8+'Control Room'!$D$8)/2)+'Control Room'!$B$9*(AX230-IF('Control Room'!$B$5="Normal",'Control Room'!$B$7,('Control Room'!$B$8+'Control Room'!$D$8)/2))+SQRT(1-'Control Room'!$B$9^2)*(AW231-IF('Control Room'!$B$5="Normal",'Control Room'!$B$7,('Control Room'!$B$8+'Control Room'!$D$8)/2))</x:f>
        <x:v>929.1928207257121</x:v>
      </x:c>
      <x:c r="AY231" s="17" t="n">
        <x:f>IF(AND($A231&gt;='Control Room'!$A$13,$A231&lt;'Control Room'!$A$13+'Control Room'!$B$13,'Process'!BT2=1),1+('Control Room'!$C$13-1)*EXP(-0.5*(($A231-'Control Room'!$A$13-('Control Room'!$B$13-1)/2)/MAX(0.5,'Control Room'!$B$13/4))^2),1)*IF(AND($A231&gt;='Control Room'!$A$14,$A231&lt;'Control Room'!$A$14+'Control Room'!$B$14,'Process'!BT3=1),1+('Control Room'!$C$14-1)*EXP(-0.5*(($A231-'Control Room'!$A$14-('Control Room'!$B$14-1)/2)/MAX(0.5,'Control Room'!$B$14/4))^2),1)*IF(AND($A231&gt;='Control Room'!$A$15,$A231&lt;'Control Room'!$A$15+'Control Room'!$B$15,'Process'!BT4=1),1+('Control Room'!$C$15-1)*EXP(-0.5*(($A231-'Control Room'!$A$15-('Control Room'!$B$15-1)/2)/MAX(0.5,'Control Room'!$B$15/4))^2),1)*IF(AND($A231&gt;='Control Room'!$A$16,$A231&lt;'Control Room'!$A$16+'Control Room'!$B$16,'Process'!BT5=1),1+('Control Room'!$C$16-1)*EXP(-0.5*(($A231-'Control Room'!$A$16-('Control Room'!$B$16-1)/2)/MAX(0.5,'Control Room'!$B$16/4))^2),1)</x:f>
        <x:v>1</x:v>
      </x:c>
      <x:c r="AZ231" s="9" t="n">
        <x:f>MOD(BA230*16807,2147483647)</x:f>
        <x:v>291682158</x:v>
      </x:c>
      <x:c r="BA231" s="9" t="n">
        <x:f>MOD(AZ231*16807,2147483647)</x:f>
        <x:v>1744347052</x:v>
      </x:c>
      <x:c r="BB231" s="17" t="n">
        <x:f>IF('Control Room'!$B$5="Normal",'Control Room'!$B$7+'Control Room'!$D$7*SQRT(-2*LN(MAX(0.000000000001,AZ231/2147483647)))*COS(2*PI()*BA231/2147483647),'Control Room'!$B$8+('Control Room'!$D$8-'Control Room'!$B$8)*AZ231/2147483647)</x:f>
        <x:v>1068.5857112317951</x:v>
      </x:c>
      <x:c r="BC231" s="17" t="n">
        <x:f>IF('Control Room'!$B$5="Normal",'Control Room'!$B$7,('Control Room'!$B$8+'Control Room'!$D$8)/2)+'Control Room'!$B$9*(BC230-IF('Control Room'!$B$5="Normal",'Control Room'!$B$7,('Control Room'!$B$8+'Control Room'!$D$8)/2))+SQRT(1-'Control Room'!$B$9^2)*(BB231-IF('Control Room'!$B$5="Normal",'Control Room'!$B$7,('Control Room'!$B$8+'Control Room'!$D$8)/2))</x:f>
        <x:v>1112.7467985991461</x:v>
      </x:c>
      <x:c r="BD231" s="17" t="n">
        <x:f>IF(AND($A231&gt;='Control Room'!$A$13,$A231&lt;'Control Room'!$A$13+'Control Room'!$B$13,'Process'!BU2=1),1+('Control Room'!$C$13-1)*EXP(-0.5*(($A231-'Control Room'!$A$13-('Control Room'!$B$13-1)/2)/MAX(0.5,'Control Room'!$B$13/4))^2),1)*IF(AND($A231&gt;='Control Room'!$A$14,$A231&lt;'Control Room'!$A$14+'Control Room'!$B$14,'Process'!BU3=1),1+('Control Room'!$C$14-1)*EXP(-0.5*(($A231-'Control Room'!$A$14-('Control Room'!$B$14-1)/2)/MAX(0.5,'Control Room'!$B$14/4))^2),1)*IF(AND($A231&gt;='Control Room'!$A$15,$A231&lt;'Control Room'!$A$15+'Control Room'!$B$15,'Process'!BU4=1),1+('Control Room'!$C$15-1)*EXP(-0.5*(($A231-'Control Room'!$A$15-('Control Room'!$B$15-1)/2)/MAX(0.5,'Control Room'!$B$15/4))^2),1)*IF(AND($A231&gt;='Control Room'!$A$16,$A231&lt;'Control Room'!$A$16+'Control Room'!$B$16,'Process'!BU5=1),1+('Control Room'!$C$16-1)*EXP(-0.5*(($A231-'Control Room'!$A$16-('Control Room'!$B$16-1)/2)/MAX(0.5,'Control Room'!$B$16/4))^2),1)</x:f>
        <x:v>1</x:v>
      </x:c>
      <x:c r="BE231" s="9" t="n">
        <x:f>MOD(BF230*16807,2147483647)</x:f>
        <x:v>793737671</x:v>
      </x:c>
      <x:c r="BF231" s="9" t="n">
        <x:f>MOD(BE231*16807,2147483647)</x:f>
        <x:v>180621333</x:v>
      </x:c>
      <x:c r="BG231" s="17" t="n">
        <x:f>IF('Control Room'!$B$5="Normal",'Control Room'!$B$7+'Control Room'!$D$7*SQRT(-2*LN(MAX(0.000000000001,BE231/2147483647)))*COS(2*PI()*BF231/2147483647),'Control Room'!$B$8+('Control Room'!$D$8-'Control Room'!$B$8)*BE231/2147483647)</x:f>
        <x:v>1109.6571696512676</x:v>
      </x:c>
      <x:c r="BH231" s="17" t="n">
        <x:f>IF('Control Room'!$B$5="Normal",'Control Room'!$B$7,('Control Room'!$B$8+'Control Room'!$D$8)/2)+'Control Room'!$B$9*(BH230-IF('Control Room'!$B$5="Normal",'Control Room'!$B$7,('Control Room'!$B$8+'Control Room'!$D$8)/2))+SQRT(1-'Control Room'!$B$9^2)*(BG231-IF('Control Room'!$B$5="Normal",'Control Room'!$B$7,('Control Room'!$B$8+'Control Room'!$D$8)/2))</x:f>
        <x:v>1047.9074457570885</x:v>
      </x:c>
      <x:c r="BI231" s="17" t="n">
        <x:f>IF(AND($A231&gt;='Control Room'!$A$13,$A231&lt;'Control Room'!$A$13+'Control Room'!$B$13,'Process'!BV2=1),1+('Control Room'!$C$13-1)*EXP(-0.5*(($A231-'Control Room'!$A$13-('Control Room'!$B$13-1)/2)/MAX(0.5,'Control Room'!$B$13/4))^2),1)*IF(AND($A231&gt;='Control Room'!$A$14,$A231&lt;'Control Room'!$A$14+'Control Room'!$B$14,'Process'!BV3=1),1+('Control Room'!$C$14-1)*EXP(-0.5*(($A231-'Control Room'!$A$14-('Control Room'!$B$14-1)/2)/MAX(0.5,'Control Room'!$B$14/4))^2),1)*IF(AND($A231&gt;='Control Room'!$A$15,$A231&lt;'Control Room'!$A$15+'Control Room'!$B$15,'Process'!BV4=1),1+('Control Room'!$C$15-1)*EXP(-0.5*(($A231-'Control Room'!$A$15-('Control Room'!$B$15-1)/2)/MAX(0.5,'Control Room'!$B$15/4))^2),1)*IF(AND($A231&gt;='Control Room'!$A$16,$A231&lt;'Control Room'!$A$16+'Control Room'!$B$16,'Process'!BV5=1),1+('Control Room'!$C$16-1)*EXP(-0.5*(($A231-'Control Room'!$A$16-('Control Room'!$B$16-1)/2)/MAX(0.5,'Control Room'!$B$16/4))^2),1)</x:f>
        <x:v>1</x:v>
      </x:c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Z231" t="str">
        <x:f>IF('Data'!A231="","",TEXT('Data'!A231,"mm-dd"))</x:f>
      </x:c>
    </x:row>
    <x:row r="232" ht="21" customHeight="1">
      <x:c r="A232" s="15" t="n">
        <x:f>'Control Room'!$B$1+230</x:f>
        <x:v>73221</x:v>
      </x:c>
      <x:c r="B232" s="9" t="n">
        <x:f>MOD(C231*16807,2147483647)</x:f>
        <x:v>1832059296</x:v>
      </x:c>
      <x:c r="C232" s="9" t="n">
        <x:f>MOD(B232*16807,2147483647)</x:f>
        <x:v>800057186</x:v>
      </x:c>
      <x:c r="D232" s="17" t="n">
        <x:f>IF('Control Room'!$B$5="Normal",'Control Room'!$B$7+'Control Room'!$D$7*SQRT(-2*LN(MAX(0.000000000001,B232/2147483647)))*COS(2*PI()*C232/2147483647),'Control Room'!$B$8+('Control Room'!$D$8-'Control Room'!$B$8)*B232/2147483647)</x:f>
        <x:v>964.6840422138854</x:v>
      </x:c>
      <x:c r="E232" s="17" t="n">
        <x:f>IF('Control Room'!$B$5="Normal",'Control Room'!$B$7,('Control Room'!$B$8+'Control Room'!$D$8)/2)+'Control Room'!$B$9*(E231-IF('Control Room'!$B$5="Normal",'Control Room'!$B$7,('Control Room'!$B$8+'Control Room'!$D$8)/2))+SQRT(1-'Control Room'!$B$9^2)*(D232-IF('Control Room'!$B$5="Normal",'Control Room'!$B$7,('Control Room'!$B$8+'Control Room'!$D$8)/2))</x:f>
        <x:v>1003.9160249692706</x:v>
      </x:c>
      <x:c r="F232" s="17" t="n">
        <x:f>IF(AND($A232&gt;='Control Room'!$A$13,$A232&lt;'Control Room'!$A$13+'Control Room'!$B$13,'Process'!BK2=1),1+('Control Room'!$C$13-1)*EXP(-0.5*(($A232-'Control Room'!$A$13-('Control Room'!$B$13-1)/2)/MAX(0.5,'Control Room'!$B$13/4))^2),1)*IF(AND($A232&gt;='Control Room'!$A$14,$A232&lt;'Control Room'!$A$14+'Control Room'!$B$14,'Process'!BK3=1),1+('Control Room'!$C$14-1)*EXP(-0.5*(($A232-'Control Room'!$A$14-('Control Room'!$B$14-1)/2)/MAX(0.5,'Control Room'!$B$14/4))^2),1)*IF(AND($A232&gt;='Control Room'!$A$15,$A232&lt;'Control Room'!$A$15+'Control Room'!$B$15,'Process'!BK4=1),1+('Control Room'!$C$15-1)*EXP(-0.5*(($A232-'Control Room'!$A$15-('Control Room'!$B$15-1)/2)/MAX(0.5,'Control Room'!$B$15/4))^2),1)*IF(AND($A232&gt;='Control Room'!$A$16,$A232&lt;'Control Room'!$A$16+'Control Room'!$B$16,'Process'!BK5=1),1+('Control Room'!$C$16-1)*EXP(-0.5*(($A232-'Control Room'!$A$16-('Control Room'!$B$16-1)/2)/MAX(0.5,'Control Room'!$B$16/4))^2),1)</x:f>
        <x:v>1</x:v>
      </x:c>
      <x:c r="G232" s="9" t="n">
        <x:f>MOD(H231*16807,2147483647)</x:f>
        <x:v>1198772049</x:v>
      </x:c>
      <x:c r="H232" s="9" t="n">
        <x:f>MOD(G232*16807,2147483647)</x:f>
        <x:v>70251389</x:v>
      </x:c>
      <x:c r="I232" s="17" t="n">
        <x:f>IF('Control Room'!$B$5="Normal",'Control Room'!$B$7+'Control Room'!$D$7*SQRT(-2*LN(MAX(0.000000000001,G232/2147483647)))*COS(2*PI()*H232/2147483647),'Control Room'!$B$8+('Control Room'!$D$8-'Control Room'!$B$8)*G232/2147483647)</x:f>
        <x:v>1095.1375513288683</x:v>
      </x:c>
      <x:c r="J232" s="17" t="n">
        <x:f>IF('Control Room'!$B$5="Normal",'Control Room'!$B$7,('Control Room'!$B$8+'Control Room'!$D$8)/2)+'Control Room'!$B$9*(J231-IF('Control Room'!$B$5="Normal",'Control Room'!$B$7,('Control Room'!$B$8+'Control Room'!$D$8)/2))+SQRT(1-'Control Room'!$B$9^2)*(I232-IF('Control Room'!$B$5="Normal",'Control Room'!$B$7,('Control Room'!$B$8+'Control Room'!$D$8)/2))</x:f>
        <x:v>1024.38611968908</x:v>
      </x:c>
      <x:c r="K232" s="17" t="n">
        <x:f>IF(AND($A232&gt;='Control Room'!$A$13,$A232&lt;'Control Room'!$A$13+'Control Room'!$B$13,'Process'!BL2=1),1+('Control Room'!$C$13-1)*EXP(-0.5*(($A232-'Control Room'!$A$13-('Control Room'!$B$13-1)/2)/MAX(0.5,'Control Room'!$B$13/4))^2),1)*IF(AND($A232&gt;='Control Room'!$A$14,$A232&lt;'Control Room'!$A$14+'Control Room'!$B$14,'Process'!BL3=1),1+('Control Room'!$C$14-1)*EXP(-0.5*(($A232-'Control Room'!$A$14-('Control Room'!$B$14-1)/2)/MAX(0.5,'Control Room'!$B$14/4))^2),1)*IF(AND($A232&gt;='Control Room'!$A$15,$A232&lt;'Control Room'!$A$15+'Control Room'!$B$15,'Process'!BL4=1),1+('Control Room'!$C$15-1)*EXP(-0.5*(($A232-'Control Room'!$A$15-('Control Room'!$B$15-1)/2)/MAX(0.5,'Control Room'!$B$15/4))^2),1)*IF(AND($A232&gt;='Control Room'!$A$16,$A232&lt;'Control Room'!$A$16+'Control Room'!$B$16,'Process'!BL5=1),1+('Control Room'!$C$16-1)*EXP(-0.5*(($A232-'Control Room'!$A$16-('Control Room'!$B$16-1)/2)/MAX(0.5,'Control Room'!$B$16/4))^2),1)</x:f>
        <x:v>1</x:v>
      </x:c>
      <x:c r="L232" s="9" t="n">
        <x:f>MOD(M231*16807,2147483647)</x:f>
        <x:v>565484802</x:v>
      </x:c>
      <x:c r="M232" s="9" t="n">
        <x:f>MOD(L232*16807,2147483647)</x:f>
        <x:v>1487929239</x:v>
      </x:c>
      <x:c r="N232" s="17" t="n">
        <x:f>IF('Control Room'!$B$5="Normal",'Control Room'!$B$7+'Control Room'!$D$7*SQRT(-2*LN(MAX(0.000000000001,L232/2147483647)))*COS(2*PI()*M232/2147483647),'Control Room'!$B$8+('Control Room'!$D$8-'Control Room'!$B$8)*L232/2147483647)</x:f>
        <x:v>948.3506375676748</x:v>
      </x:c>
      <x:c r="O232" s="17" t="n">
        <x:f>IF('Control Room'!$B$5="Normal",'Control Room'!$B$7,('Control Room'!$B$8+'Control Room'!$D$8)/2)+'Control Room'!$B$9*(O231-IF('Control Room'!$B$5="Normal",'Control Room'!$B$7,('Control Room'!$B$8+'Control Room'!$D$8)/2))+SQRT(1-'Control Room'!$B$9^2)*(N232-IF('Control Room'!$B$5="Normal",'Control Room'!$B$7,('Control Room'!$B$8+'Control Room'!$D$8)/2))</x:f>
        <x:v>936.9597240051116</x:v>
      </x:c>
      <x:c r="P232" s="17" t="n">
        <x:f>IF(AND($A232&gt;='Control Room'!$A$13,$A232&lt;'Control Room'!$A$13+'Control Room'!$B$13,'Process'!BM2=1),1+('Control Room'!$C$13-1)*EXP(-0.5*(($A232-'Control Room'!$A$13-('Control Room'!$B$13-1)/2)/MAX(0.5,'Control Room'!$B$13/4))^2),1)*IF(AND($A232&gt;='Control Room'!$A$14,$A232&lt;'Control Room'!$A$14+'Control Room'!$B$14,'Process'!BM3=1),1+('Control Room'!$C$14-1)*EXP(-0.5*(($A232-'Control Room'!$A$14-('Control Room'!$B$14-1)/2)/MAX(0.5,'Control Room'!$B$14/4))^2),1)*IF(AND($A232&gt;='Control Room'!$A$15,$A232&lt;'Control Room'!$A$15+'Control Room'!$B$15,'Process'!BM4=1),1+('Control Room'!$C$15-1)*EXP(-0.5*(($A232-'Control Room'!$A$15-('Control Room'!$B$15-1)/2)/MAX(0.5,'Control Room'!$B$15/4))^2),1)*IF(AND($A232&gt;='Control Room'!$A$16,$A232&lt;'Control Room'!$A$16+'Control Room'!$B$16,'Process'!BM5=1),1+('Control Room'!$C$16-1)*EXP(-0.5*(($A232-'Control Room'!$A$16-('Control Room'!$B$16-1)/2)/MAX(0.5,'Control Room'!$B$16/4))^2),1)</x:f>
        <x:v>1</x:v>
      </x:c>
      <x:c r="Q232" s="9" t="n">
        <x:f>MOD(R231*16807,2147483647)</x:f>
        <x:v>2079681202</x:v>
      </x:c>
      <x:c r="R232" s="9" t="n">
        <x:f>MOD(Q232*16807,2147483647)</x:f>
        <x:v>758123442</x:v>
      </x:c>
      <x:c r="S232" s="17" t="n">
        <x:f>IF('Control Room'!$B$5="Normal",'Control Room'!$B$7+'Control Room'!$D$7*SQRT(-2*LN(MAX(0.000000000001,Q232/2147483647)))*COS(2*PI()*R232/2147483647),'Control Room'!$B$8+('Control Room'!$D$8-'Control Room'!$B$8)*Q232/2147483647)</x:f>
        <x:v>986.2513668999926</x:v>
      </x:c>
      <x:c r="T232" s="17" t="n">
        <x:f>IF('Control Room'!$B$5="Normal",'Control Room'!$B$7,('Control Room'!$B$8+'Control Room'!$D$8)/2)+'Control Room'!$B$9*(T231-IF('Control Room'!$B$5="Normal",'Control Room'!$B$7,('Control Room'!$B$8+'Control Room'!$D$8)/2))+SQRT(1-'Control Room'!$B$9^2)*(S232-IF('Control Room'!$B$5="Normal",'Control Room'!$B$7,('Control Room'!$B$8+'Control Room'!$D$8)/2))</x:f>
        <x:v>1043.7194215672152</x:v>
      </x:c>
      <x:c r="U232" s="17" t="n">
        <x:f>IF(AND($A232&gt;='Control Room'!$A$13,$A232&lt;'Control Room'!$A$13+'Control Room'!$B$13,'Process'!BN2=1),1+('Control Room'!$C$13-1)*EXP(-0.5*(($A232-'Control Room'!$A$13-('Control Room'!$B$13-1)/2)/MAX(0.5,'Control Room'!$B$13/4))^2),1)*IF(AND($A232&gt;='Control Room'!$A$14,$A232&lt;'Control Room'!$A$14+'Control Room'!$B$14,'Process'!BN3=1),1+('Control Room'!$C$14-1)*EXP(-0.5*(($A232-'Control Room'!$A$14-('Control Room'!$B$14-1)/2)/MAX(0.5,'Control Room'!$B$14/4))^2),1)*IF(AND($A232&gt;='Control Room'!$A$15,$A232&lt;'Control Room'!$A$15+'Control Room'!$B$15,'Process'!BN4=1),1+('Control Room'!$C$15-1)*EXP(-0.5*(($A232-'Control Room'!$A$15-('Control Room'!$B$15-1)/2)/MAX(0.5,'Control Room'!$B$15/4))^2),1)*IF(AND($A232&gt;='Control Room'!$A$16,$A232&lt;'Control Room'!$A$16+'Control Room'!$B$16,'Process'!BN5=1),1+('Control Room'!$C$16-1)*EXP(-0.5*(($A232-'Control Room'!$A$16-('Control Room'!$B$16-1)/2)/MAX(0.5,'Control Room'!$B$16/4))^2),1)</x:f>
        <x:v>1</x:v>
      </x:c>
      <x:c r="V232" s="9" t="n">
        <x:f>MOD(W231*16807,2147483647)</x:f>
        <x:v>1446393955</x:v>
      </x:c>
      <x:c r="W232" s="9" t="n">
        <x:f>MOD(V232*16807,2147483647)</x:f>
        <x:v>28317645</x:v>
      </x:c>
      <x:c r="X232" s="17" t="n">
        <x:f>IF('Control Room'!$B$5="Normal",'Control Room'!$B$7+'Control Room'!$D$7*SQRT(-2*LN(MAX(0.000000000001,V232/2147483647)))*COS(2*PI()*W232/2147483647),'Control Room'!$B$8+('Control Room'!$D$8-'Control Room'!$B$8)*V232/2147483647)</x:f>
        <x:v>1079.74186779109</x:v>
      </x:c>
      <x:c r="Y232" s="17" t="n">
        <x:f>IF('Control Room'!$B$5="Normal",'Control Room'!$B$7,('Control Room'!$B$8+'Control Room'!$D$8)/2)+'Control Room'!$B$9*(Y231-IF('Control Room'!$B$5="Normal",'Control Room'!$B$7,('Control Room'!$B$8+'Control Room'!$D$8)/2))+SQRT(1-'Control Room'!$B$9^2)*(X232-IF('Control Room'!$B$5="Normal",'Control Room'!$B$7,('Control Room'!$B$8+'Control Room'!$D$8)/2))</x:f>
        <x:v>988.9260898700543</x:v>
      </x:c>
      <x:c r="Z232" s="17" t="n">
        <x:f>IF(AND($A232&gt;='Control Room'!$A$13,$A232&lt;'Control Room'!$A$13+'Control Room'!$B$13,'Process'!BO2=1),1+('Control Room'!$C$13-1)*EXP(-0.5*(($A232-'Control Room'!$A$13-('Control Room'!$B$13-1)/2)/MAX(0.5,'Control Room'!$B$13/4))^2),1)*IF(AND($A232&gt;='Control Room'!$A$14,$A232&lt;'Control Room'!$A$14+'Control Room'!$B$14,'Process'!BO3=1),1+('Control Room'!$C$14-1)*EXP(-0.5*(($A232-'Control Room'!$A$14-('Control Room'!$B$14-1)/2)/MAX(0.5,'Control Room'!$B$14/4))^2),1)*IF(AND($A232&gt;='Control Room'!$A$15,$A232&lt;'Control Room'!$A$15+'Control Room'!$B$15,'Process'!BO4=1),1+('Control Room'!$C$15-1)*EXP(-0.5*(($A232-'Control Room'!$A$15-('Control Room'!$B$15-1)/2)/MAX(0.5,'Control Room'!$B$15/4))^2),1)*IF(AND($A232&gt;='Control Room'!$A$16,$A232&lt;'Control Room'!$A$16+'Control Room'!$B$16,'Process'!BO5=1),1+('Control Room'!$C$16-1)*EXP(-0.5*(($A232-'Control Room'!$A$16-('Control Room'!$B$16-1)/2)/MAX(0.5,'Control Room'!$B$16/4))^2),1)</x:f>
        <x:v>1</x:v>
      </x:c>
      <x:c r="AA232" s="9" t="n">
        <x:f>MOD(AB231*16807,2147483647)</x:f>
        <x:v>813106708</x:v>
      </x:c>
      <x:c r="AB232" s="9" t="n">
        <x:f>MOD(AA232*16807,2147483647)</x:f>
        <x:v>1445995495</x:v>
      </x:c>
      <x:c r="AC232" s="17" t="n">
        <x:f>IF('Control Room'!$B$5="Normal",'Control Room'!$B$7+'Control Room'!$D$7*SQRT(-2*LN(MAX(0.000000000001,AA232/2147483647)))*COS(2*PI()*AB232/2147483647),'Control Room'!$B$8+('Control Room'!$D$8-'Control Room'!$B$8)*AA232/2147483647)</x:f>
        <x:v>941.8952289976066</x:v>
      </x:c>
      <x:c r="AD232" s="17" t="n">
        <x:f>IF('Control Room'!$B$5="Normal",'Control Room'!$B$7,('Control Room'!$B$8+'Control Room'!$D$8)/2)+'Control Room'!$B$9*(AD231-IF('Control Room'!$B$5="Normal",'Control Room'!$B$7,('Control Room'!$B$8+'Control Room'!$D$8)/2))+SQRT(1-'Control Room'!$B$9^2)*(AC232-IF('Control Room'!$B$5="Normal",'Control Room'!$B$7,('Control Room'!$B$8+'Control Room'!$D$8)/2))</x:f>
        <x:v>868.8426673669637</x:v>
      </x:c>
      <x:c r="AE232" s="17" t="n">
        <x:f>IF(AND($A232&gt;='Control Room'!$A$13,$A232&lt;'Control Room'!$A$13+'Control Room'!$B$13,'Process'!BP2=1),1+('Control Room'!$C$13-1)*EXP(-0.5*(($A232-'Control Room'!$A$13-('Control Room'!$B$13-1)/2)/MAX(0.5,'Control Room'!$B$13/4))^2),1)*IF(AND($A232&gt;='Control Room'!$A$14,$A232&lt;'Control Room'!$A$14+'Control Room'!$B$14,'Process'!BP3=1),1+('Control Room'!$C$14-1)*EXP(-0.5*(($A232-'Control Room'!$A$14-('Control Room'!$B$14-1)/2)/MAX(0.5,'Control Room'!$B$14/4))^2),1)*IF(AND($A232&gt;='Control Room'!$A$15,$A232&lt;'Control Room'!$A$15+'Control Room'!$B$15,'Process'!BP4=1),1+('Control Room'!$C$15-1)*EXP(-0.5*(($A232-'Control Room'!$A$15-('Control Room'!$B$15-1)/2)/MAX(0.5,'Control Room'!$B$15/4))^2),1)*IF(AND($A232&gt;='Control Room'!$A$16,$A232&lt;'Control Room'!$A$16+'Control Room'!$B$16,'Process'!BP5=1),1+('Control Room'!$C$16-1)*EXP(-0.5*(($A232-'Control Room'!$A$16-('Control Room'!$B$16-1)/2)/MAX(0.5,'Control Room'!$B$16/4))^2),1)</x:f>
        <x:v>1</x:v>
      </x:c>
      <x:c r="AF232" s="9" t="n">
        <x:f>MOD(AG231*16807,2147483647)</x:f>
        <x:v>179819461</x:v>
      </x:c>
      <x:c r="AG232" s="9" t="n">
        <x:f>MOD(AF232*16807,2147483647)</x:f>
        <x:v>716189698</x:v>
      </x:c>
      <x:c r="AH232" s="17" t="n">
        <x:f>IF('Control Room'!$B$5="Normal",'Control Room'!$B$7+'Control Room'!$D$7*SQRT(-2*LN(MAX(0.000000000001,AF232/2147483647)))*COS(2*PI()*AG232/2147483647),'Control Room'!$B$8+('Control Room'!$D$8-'Control Room'!$B$8)*AF232/2147483647)</x:f>
        <x:v>899.5945398628886</x:v>
      </x:c>
      <x:c r="AI232" s="17" t="n">
        <x:f>IF('Control Room'!$B$5="Normal",'Control Room'!$B$7,('Control Room'!$B$8+'Control Room'!$D$8)/2)+'Control Room'!$B$9*(AI231-IF('Control Room'!$B$5="Normal",'Control Room'!$B$7,('Control Room'!$B$8+'Control Room'!$D$8)/2))+SQRT(1-'Control Room'!$B$9^2)*(AH232-IF('Control Room'!$B$5="Normal",'Control Room'!$B$7,('Control Room'!$B$8+'Control Room'!$D$8)/2))</x:f>
        <x:v>1038.3199985871659</x:v>
      </x:c>
      <x:c r="AJ232" s="17" t="n">
        <x:f>IF(AND($A232&gt;='Control Room'!$A$13,$A232&lt;'Control Room'!$A$13+'Control Room'!$B$13,'Process'!BQ2=1),1+('Control Room'!$C$13-1)*EXP(-0.5*(($A232-'Control Room'!$A$13-('Control Room'!$B$13-1)/2)/MAX(0.5,'Control Room'!$B$13/4))^2),1)*IF(AND($A232&gt;='Control Room'!$A$14,$A232&lt;'Control Room'!$A$14+'Control Room'!$B$14,'Process'!BQ3=1),1+('Control Room'!$C$14-1)*EXP(-0.5*(($A232-'Control Room'!$A$14-('Control Room'!$B$14-1)/2)/MAX(0.5,'Control Room'!$B$14/4))^2),1)*IF(AND($A232&gt;='Control Room'!$A$15,$A232&lt;'Control Room'!$A$15+'Control Room'!$B$15,'Process'!BQ4=1),1+('Control Room'!$C$15-1)*EXP(-0.5*(($A232-'Control Room'!$A$15-('Control Room'!$B$15-1)/2)/MAX(0.5,'Control Room'!$B$15/4))^2),1)*IF(AND($A232&gt;='Control Room'!$A$16,$A232&lt;'Control Room'!$A$16+'Control Room'!$B$16,'Process'!BQ5=1),1+('Control Room'!$C$16-1)*EXP(-0.5*(($A232-'Control Room'!$A$16-('Control Room'!$B$16-1)/2)/MAX(0.5,'Control Room'!$B$16/4))^2),1)</x:f>
        <x:v>1</x:v>
      </x:c>
      <x:c r="AK232" s="9" t="n">
        <x:f>MOD(AL231*16807,2147483647)</x:f>
        <x:v>1694015861</x:v>
      </x:c>
      <x:c r="AL232" s="9" t="n">
        <x:f>MOD(AK232*16807,2147483647)</x:f>
        <x:v>2133867548</x:v>
      </x:c>
      <x:c r="AM232" s="17" t="n">
        <x:f>IF('Control Room'!$B$5="Normal",'Control Room'!$B$7+'Control Room'!$D$7*SQRT(-2*LN(MAX(0.000000000001,AK232/2147483647)))*COS(2*PI()*AL232/2147483647),'Control Room'!$B$8+('Control Room'!$D$8-'Control Room'!$B$8)*AK232/2147483647)</x:f>
        <x:v>1061.9391674249766</x:v>
      </x:c>
      <x:c r="AN232" s="17" t="n">
        <x:f>IF('Control Room'!$B$5="Normal",'Control Room'!$B$7,('Control Room'!$B$8+'Control Room'!$D$8)/2)+'Control Room'!$B$9*(AN231-IF('Control Room'!$B$5="Normal",'Control Room'!$B$7,('Control Room'!$B$8+'Control Room'!$D$8)/2))+SQRT(1-'Control Room'!$B$9^2)*(AM232-IF('Control Room'!$B$5="Normal",'Control Room'!$B$7,('Control Room'!$B$8+'Control Room'!$D$8)/2))</x:f>
        <x:v>1020.9838012289399</x:v>
      </x:c>
      <x:c r="AO232" s="17" t="n">
        <x:f>IF(AND($A232&gt;='Control Room'!$A$13,$A232&lt;'Control Room'!$A$13+'Control Room'!$B$13,'Process'!BR2=1),1+('Control Room'!$C$13-1)*EXP(-0.5*(($A232-'Control Room'!$A$13-('Control Room'!$B$13-1)/2)/MAX(0.5,'Control Room'!$B$13/4))^2),1)*IF(AND($A232&gt;='Control Room'!$A$14,$A232&lt;'Control Room'!$A$14+'Control Room'!$B$14,'Process'!BR3=1),1+('Control Room'!$C$14-1)*EXP(-0.5*(($A232-'Control Room'!$A$14-('Control Room'!$B$14-1)/2)/MAX(0.5,'Control Room'!$B$14/4))^2),1)*IF(AND($A232&gt;='Control Room'!$A$15,$A232&lt;'Control Room'!$A$15+'Control Room'!$B$15,'Process'!BR4=1),1+('Control Room'!$C$15-1)*EXP(-0.5*(($A232-'Control Room'!$A$15-('Control Room'!$B$15-1)/2)/MAX(0.5,'Control Room'!$B$15/4))^2),1)*IF(AND($A232&gt;='Control Room'!$A$16,$A232&lt;'Control Room'!$A$16+'Control Room'!$B$16,'Process'!BR5=1),1+('Control Room'!$C$16-1)*EXP(-0.5*(($A232-'Control Room'!$A$16-('Control Room'!$B$16-1)/2)/MAX(0.5,'Control Room'!$B$16/4))^2),1)</x:f>
        <x:v>1</x:v>
      </x:c>
      <x:c r="AP232" s="9" t="n">
        <x:f>MOD(AQ231*16807,2147483647)</x:f>
        <x:v>1060728614</x:v>
      </x:c>
      <x:c r="AQ232" s="9" t="n">
        <x:f>MOD(AP232*16807,2147483647)</x:f>
        <x:v>1404061751</x:v>
      </x:c>
      <x:c r="AR232" s="17" t="n">
        <x:f>IF('Control Room'!$B$5="Normal",'Control Room'!$B$7+'Control Room'!$D$7*SQRT(-2*LN(MAX(0.000000000001,AP232/2147483647)))*COS(2*PI()*AQ232/2147483647),'Control Room'!$B$8+('Control Room'!$D$8-'Control Room'!$B$8)*AP232/2147483647)</x:f>
        <x:v>939.2607741171498</x:v>
      </x:c>
      <x:c r="AS232" s="17" t="n">
        <x:f>IF('Control Room'!$B$5="Normal",'Control Room'!$B$7,('Control Room'!$B$8+'Control Room'!$D$8)/2)+'Control Room'!$B$9*(AS231-IF('Control Room'!$B$5="Normal",'Control Room'!$B$7,('Control Room'!$B$8+'Control Room'!$D$8)/2))+SQRT(1-'Control Room'!$B$9^2)*(AR232-IF('Control Room'!$B$5="Normal",'Control Room'!$B$7,('Control Room'!$B$8+'Control Room'!$D$8)/2))</x:f>
        <x:v>880.9026613195992</x:v>
      </x:c>
      <x:c r="AT232" s="17" t="n">
        <x:f>IF(AND($A232&gt;='Control Room'!$A$13,$A232&lt;'Control Room'!$A$13+'Control Room'!$B$13,'Process'!BS2=1),1+('Control Room'!$C$13-1)*EXP(-0.5*(($A232-'Control Room'!$A$13-('Control Room'!$B$13-1)/2)/MAX(0.5,'Control Room'!$B$13/4))^2),1)*IF(AND($A232&gt;='Control Room'!$A$14,$A232&lt;'Control Room'!$A$14+'Control Room'!$B$14,'Process'!BS3=1),1+('Control Room'!$C$14-1)*EXP(-0.5*(($A232-'Control Room'!$A$14-('Control Room'!$B$14-1)/2)/MAX(0.5,'Control Room'!$B$14/4))^2),1)*IF(AND($A232&gt;='Control Room'!$A$15,$A232&lt;'Control Room'!$A$15+'Control Room'!$B$15,'Process'!BS4=1),1+('Control Room'!$C$15-1)*EXP(-0.5*(($A232-'Control Room'!$A$15-('Control Room'!$B$15-1)/2)/MAX(0.5,'Control Room'!$B$15/4))^2),1)*IF(AND($A232&gt;='Control Room'!$A$16,$A232&lt;'Control Room'!$A$16+'Control Room'!$B$16,'Process'!BS5=1),1+('Control Room'!$C$16-1)*EXP(-0.5*(($A232-'Control Room'!$A$16-('Control Room'!$B$16-1)/2)/MAX(0.5,'Control Room'!$B$16/4))^2),1)</x:f>
        <x:v>1</x:v>
      </x:c>
      <x:c r="AU232" s="9" t="n">
        <x:f>MOD(AV231*16807,2147483647)</x:f>
        <x:v>427441367</x:v>
      </x:c>
      <x:c r="AV232" s="9" t="n">
        <x:f>MOD(AU232*16807,2147483647)</x:f>
        <x:v>674255954</x:v>
      </x:c>
      <x:c r="AW232" s="17" t="n">
        <x:f>IF('Control Room'!$B$5="Normal",'Control Room'!$B$7+'Control Room'!$D$7*SQRT(-2*LN(MAX(0.000000000001,AU232/2147483647)))*COS(2*PI()*AV232/2147483647),'Control Room'!$B$8+('Control Room'!$D$8-'Control Room'!$B$8)*AU232/2147483647)</x:f>
        <x:v>936.7338553685056</x:v>
      </x:c>
      <x:c r="AX232" s="17" t="n">
        <x:f>IF('Control Room'!$B$5="Normal",'Control Room'!$B$7,('Control Room'!$B$8+'Control Room'!$D$8)/2)+'Control Room'!$B$9*(AX231-IF('Control Room'!$B$5="Normal",'Control Room'!$B$7,('Control Room'!$B$8+'Control Room'!$D$8)/2))+SQRT(1-'Control Room'!$B$9^2)*(AW232-IF('Control Room'!$B$5="Normal",'Control Room'!$B$7,('Control Room'!$B$8+'Control Room'!$D$8)/2))</x:f>
        <x:v>905.179742933087</x:v>
      </x:c>
      <x:c r="AY232" s="17" t="n">
        <x:f>IF(AND($A232&gt;='Control Room'!$A$13,$A232&lt;'Control Room'!$A$13+'Control Room'!$B$13,'Process'!BT2=1),1+('Control Room'!$C$13-1)*EXP(-0.5*(($A232-'Control Room'!$A$13-('Control Room'!$B$13-1)/2)/MAX(0.5,'Control Room'!$B$13/4))^2),1)*IF(AND($A232&gt;='Control Room'!$A$14,$A232&lt;'Control Room'!$A$14+'Control Room'!$B$14,'Process'!BT3=1),1+('Control Room'!$C$14-1)*EXP(-0.5*(($A232-'Control Room'!$A$14-('Control Room'!$B$14-1)/2)/MAX(0.5,'Control Room'!$B$14/4))^2),1)*IF(AND($A232&gt;='Control Room'!$A$15,$A232&lt;'Control Room'!$A$15+'Control Room'!$B$15,'Process'!BT4=1),1+('Control Room'!$C$15-1)*EXP(-0.5*(($A232-'Control Room'!$A$15-('Control Room'!$B$15-1)/2)/MAX(0.5,'Control Room'!$B$15/4))^2),1)*IF(AND($A232&gt;='Control Room'!$A$16,$A232&lt;'Control Room'!$A$16+'Control Room'!$B$16,'Process'!BT5=1),1+('Control Room'!$C$16-1)*EXP(-0.5*(($A232-'Control Room'!$A$16-('Control Room'!$B$16-1)/2)/MAX(0.5,'Control Room'!$B$16/4))^2),1)</x:f>
        <x:v>1</x:v>
      </x:c>
      <x:c r="AZ232" s="9" t="n">
        <x:f>MOD(BA231*16807,2147483647)</x:f>
        <x:v>1941637767</x:v>
      </x:c>
      <x:c r="BA232" s="9" t="n">
        <x:f>MOD(AZ232*16807,2147483647)</x:f>
        <x:v>2091933804</x:v>
      </x:c>
      <x:c r="BB232" s="17" t="n">
        <x:f>IF('Control Room'!$B$5="Normal",'Control Room'!$B$7+'Control Room'!$D$7*SQRT(-2*LN(MAX(0.000000000001,AZ232/2147483647)))*COS(2*PI()*BA232/2147483647),'Control Room'!$B$8+('Control Room'!$D$8-'Control Room'!$B$8)*AZ232/2147483647)</x:f>
        <x:v>1039.870404437682</x:v>
      </x:c>
      <x:c r="BC232" s="17" t="n">
        <x:f>IF('Control Room'!$B$5="Normal",'Control Room'!$B$7,('Control Room'!$B$8+'Control Room'!$D$8)/2)+'Control Room'!$B$9*(BC231-IF('Control Room'!$B$5="Normal",'Control Room'!$B$7,('Control Room'!$B$8+'Control Room'!$D$8)/2))+SQRT(1-'Control Room'!$B$9^2)*(BB232-IF('Control Room'!$B$5="Normal",'Control Room'!$B$7,('Control Room'!$B$8+'Control Room'!$D$8)/2))</x:f>
        <x:v>1112.892585214804</x:v>
      </x:c>
      <x:c r="BD232" s="17" t="n">
        <x:f>IF(AND($A232&gt;='Control Room'!$A$13,$A232&lt;'Control Room'!$A$13+'Control Room'!$B$13,'Process'!BU2=1),1+('Control Room'!$C$13-1)*EXP(-0.5*(($A232-'Control Room'!$A$13-('Control Room'!$B$13-1)/2)/MAX(0.5,'Control Room'!$B$13/4))^2),1)*IF(AND($A232&gt;='Control Room'!$A$14,$A232&lt;'Control Room'!$A$14+'Control Room'!$B$14,'Process'!BU3=1),1+('Control Room'!$C$14-1)*EXP(-0.5*(($A232-'Control Room'!$A$14-('Control Room'!$B$14-1)/2)/MAX(0.5,'Control Room'!$B$14/4))^2),1)*IF(AND($A232&gt;='Control Room'!$A$15,$A232&lt;'Control Room'!$A$15+'Control Room'!$B$15,'Process'!BU4=1),1+('Control Room'!$C$15-1)*EXP(-0.5*(($A232-'Control Room'!$A$15-('Control Room'!$B$15-1)/2)/MAX(0.5,'Control Room'!$B$15/4))^2),1)*IF(AND($A232&gt;='Control Room'!$A$16,$A232&lt;'Control Room'!$A$16+'Control Room'!$B$16,'Process'!BU5=1),1+('Control Room'!$C$16-1)*EXP(-0.5*(($A232-'Control Room'!$A$16-('Control Room'!$B$16-1)/2)/MAX(0.5,'Control Room'!$B$16/4))^2),1)</x:f>
        <x:v>1</x:v>
      </x:c>
      <x:c r="BE232" s="9" t="n">
        <x:f>MOD(BF231*16807,2147483647)</x:f>
        <x:v>1308350520</x:v>
      </x:c>
      <x:c r="BF232" s="9" t="n">
        <x:f>MOD(BE232*16807,2147483647)</x:f>
        <x:v>1362128007</x:v>
      </x:c>
      <x:c r="BG232" s="17" t="n">
        <x:f>IF('Control Room'!$B$5="Normal",'Control Room'!$B$7+'Control Room'!$D$7*SQRT(-2*LN(MAX(0.000000000001,BE232/2147483647)))*COS(2*PI()*BF232/2147483647),'Control Room'!$B$8+('Control Room'!$D$8-'Control Room'!$B$8)*BE232/2147483647)</x:f>
        <x:v>940.4494935087351</x:v>
      </x:c>
      <x:c r="BH232" s="17" t="n">
        <x:f>IF('Control Room'!$B$5="Normal",'Control Room'!$B$7,('Control Room'!$B$8+'Control Room'!$D$8)/2)+'Control Room'!$B$9*(BH231-IF('Control Room'!$B$5="Normal",'Control Room'!$B$7,('Control Room'!$B$8+'Control Room'!$D$8)/2))+SQRT(1-'Control Room'!$B$9^2)*(BG232-IF('Control Room'!$B$5="Normal",'Control Room'!$B$7,('Control Room'!$B$8+'Control Room'!$D$8)/2))</x:f>
        <x:v>1000.1023206867316</x:v>
      </x:c>
      <x:c r="BI232" s="17" t="n">
        <x:f>IF(AND($A232&gt;='Control Room'!$A$13,$A232&lt;'Control Room'!$A$13+'Control Room'!$B$13,'Process'!BV2=1),1+('Control Room'!$C$13-1)*EXP(-0.5*(($A232-'Control Room'!$A$13-('Control Room'!$B$13-1)/2)/MAX(0.5,'Control Room'!$B$13/4))^2),1)*IF(AND($A232&gt;='Control Room'!$A$14,$A232&lt;'Control Room'!$A$14+'Control Room'!$B$14,'Process'!BV3=1),1+('Control Room'!$C$14-1)*EXP(-0.5*(($A232-'Control Room'!$A$14-('Control Room'!$B$14-1)/2)/MAX(0.5,'Control Room'!$B$14/4))^2),1)*IF(AND($A232&gt;='Control Room'!$A$15,$A232&lt;'Control Room'!$A$15+'Control Room'!$B$15,'Process'!BV4=1),1+('Control Room'!$C$15-1)*EXP(-0.5*(($A232-'Control Room'!$A$15-('Control Room'!$B$15-1)/2)/MAX(0.5,'Control Room'!$B$15/4))^2),1)*IF(AND($A232&gt;='Control Room'!$A$16,$A232&lt;'Control Room'!$A$16+'Control Room'!$B$16,'Process'!BV5=1),1+('Control Room'!$C$16-1)*EXP(-0.5*(($A232-'Control Room'!$A$16-('Control Room'!$B$16-1)/2)/MAX(0.5,'Control Room'!$B$16/4))^2),1)</x:f>
        <x:v>1</x:v>
      </x:c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Z232" t="str">
        <x:f>IF('Data'!A232="","",TEXT('Data'!A232,"mm-dd"))</x:f>
      </x:c>
    </x:row>
    <x:row r="233" ht="21" customHeight="1">
      <x:c r="A233" s="15" t="n">
        <x:f>'Control Room'!$B$1+231</x:f>
        <x:v>73222</x:v>
      </x:c>
      <x:c r="B233" s="9" t="n">
        <x:f>MOD(C232*16807,2147483647)</x:f>
        <x:v>1166011235</x:v>
      </x:c>
      <x:c r="C233" s="9" t="n">
        <x:f>MOD(B233*16807,2147483647)</x:f>
        <x:v>1362547770</x:v>
      </x:c>
      <x:c r="D233" s="17" t="n">
        <x:f>IF('Control Room'!$B$5="Normal",'Control Room'!$B$7+'Control Room'!$D$7*SQRT(-2*LN(MAX(0.000000000001,B233/2147483647)))*COS(2*PI()*C233/2147483647),'Control Room'!$B$8+('Control Room'!$D$8-'Control Room'!$B$8)*B233/2147483647)</x:f>
        <x:v>933.9812709658676</x:v>
      </x:c>
      <x:c r="E233" s="17" t="n">
        <x:f>IF('Control Room'!$B$5="Normal",'Control Room'!$B$7,('Control Room'!$B$8+'Control Room'!$D$8)/2)+'Control Room'!$B$9*(E232-IF('Control Room'!$B$5="Normal",'Control Room'!$B$7,('Control Room'!$B$8+'Control Room'!$D$8)/2))+SQRT(1-'Control Room'!$B$9^2)*(D233-IF('Control Room'!$B$5="Normal",'Control Room'!$B$7,('Control Room'!$B$8+'Control Room'!$D$8)/2))</x:f>
        <x:v>961.7413313136484</x:v>
      </x:c>
      <x:c r="F233" s="17" t="n">
        <x:f>IF(AND($A233&gt;='Control Room'!$A$13,$A233&lt;'Control Room'!$A$13+'Control Room'!$B$13,'Process'!BK2=1),1+('Control Room'!$C$13-1)*EXP(-0.5*(($A233-'Control Room'!$A$13-('Control Room'!$B$13-1)/2)/MAX(0.5,'Control Room'!$B$13/4))^2),1)*IF(AND($A233&gt;='Control Room'!$A$14,$A233&lt;'Control Room'!$A$14+'Control Room'!$B$14,'Process'!BK3=1),1+('Control Room'!$C$14-1)*EXP(-0.5*(($A233-'Control Room'!$A$14-('Control Room'!$B$14-1)/2)/MAX(0.5,'Control Room'!$B$14/4))^2),1)*IF(AND($A233&gt;='Control Room'!$A$15,$A233&lt;'Control Room'!$A$15+'Control Room'!$B$15,'Process'!BK4=1),1+('Control Room'!$C$15-1)*EXP(-0.5*(($A233-'Control Room'!$A$15-('Control Room'!$B$15-1)/2)/MAX(0.5,'Control Room'!$B$15/4))^2),1)*IF(AND($A233&gt;='Control Room'!$A$16,$A233&lt;'Control Room'!$A$16+'Control Room'!$B$16,'Process'!BK5=1),1+('Control Room'!$C$16-1)*EXP(-0.5*(($A233-'Control Room'!$A$16-('Control Room'!$B$16-1)/2)/MAX(0.5,'Control Room'!$B$16/4))^2),1)</x:f>
        <x:v>1</x:v>
      </x:c>
      <x:c r="G233" s="9" t="n">
        <x:f>MOD(H232*16807,2147483647)</x:f>
        <x:v>1746572720</x:v>
      </x:c>
      <x:c r="H233" s="9" t="n">
        <x:f>MOD(G233*16807,2147483647)</x:f>
        <x:v>693734197</x:v>
      </x:c>
      <x:c r="I233" s="17" t="n">
        <x:f>IF('Control Room'!$B$5="Normal",'Control Room'!$B$7+'Control Room'!$D$7*SQRT(-2*LN(MAX(0.000000000001,G233/2147483647)))*COS(2*PI()*H233/2147483647),'Control Room'!$B$8+('Control Room'!$D$8-'Control Room'!$B$8)*G233/2147483647)</x:f>
        <x:v>974.368016308201</x:v>
      </x:c>
      <x:c r="J233" s="17" t="n">
        <x:f>IF('Control Room'!$B$5="Normal",'Control Room'!$B$7,('Control Room'!$B$8+'Control Room'!$D$8)/2)+'Control Room'!$B$9*(J232-IF('Control Room'!$B$5="Normal",'Control Room'!$B$7,('Control Room'!$B$8+'Control Room'!$D$8)/2))+SQRT(1-'Control Room'!$B$9^2)*(I233-IF('Control Room'!$B$5="Normal",'Control Room'!$B$7,('Control Room'!$B$8+'Control Room'!$D$8)/2))</x:f>
        <x:v>1002.9812030628823</x:v>
      </x:c>
      <x:c r="K233" s="17" t="n">
        <x:f>IF(AND($A233&gt;='Control Room'!$A$13,$A233&lt;'Control Room'!$A$13+'Control Room'!$B$13,'Process'!BL2=1),1+('Control Room'!$C$13-1)*EXP(-0.5*(($A233-'Control Room'!$A$13-('Control Room'!$B$13-1)/2)/MAX(0.5,'Control Room'!$B$13/4))^2),1)*IF(AND($A233&gt;='Control Room'!$A$14,$A233&lt;'Control Room'!$A$14+'Control Room'!$B$14,'Process'!BL3=1),1+('Control Room'!$C$14-1)*EXP(-0.5*(($A233-'Control Room'!$A$14-('Control Room'!$B$14-1)/2)/MAX(0.5,'Control Room'!$B$14/4))^2),1)*IF(AND($A233&gt;='Control Room'!$A$15,$A233&lt;'Control Room'!$A$15+'Control Room'!$B$15,'Process'!BL4=1),1+('Control Room'!$C$15-1)*EXP(-0.5*(($A233-'Control Room'!$A$15-('Control Room'!$B$15-1)/2)/MAX(0.5,'Control Room'!$B$15/4))^2),1)*IF(AND($A233&gt;='Control Room'!$A$16,$A233&lt;'Control Room'!$A$16+'Control Room'!$B$16,'Process'!BL5=1),1+('Control Room'!$C$16-1)*EXP(-0.5*(($A233-'Control Room'!$A$16-('Control Room'!$B$16-1)/2)/MAX(0.5,'Control Room'!$B$16/4))^2),1)</x:f>
        <x:v>1</x:v>
      </x:c>
      <x:c r="L233" s="9" t="n">
        <x:f>MOD(M232*16807,2147483647)</x:f>
        <x:v>179650558</x:v>
      </x:c>
      <x:c r="M233" s="9" t="n">
        <x:f>MOD(L233*16807,2147483647)</x:f>
        <x:v>24920624</x:v>
      </x:c>
      <x:c r="N233" s="17" t="n">
        <x:f>IF('Control Room'!$B$5="Normal",'Control Room'!$B$7+'Control Room'!$D$7*SQRT(-2*LN(MAX(0.000000000001,L233/2147483647)))*COS(2*PI()*M233/2147483647),'Control Room'!$B$8+('Control Room'!$D$8-'Control Room'!$B$8)*L233/2147483647)</x:f>
        <x:v>1199.9487924098955</x:v>
      </x:c>
      <x:c r="O233" s="17" t="n">
        <x:f>IF('Control Room'!$B$5="Normal",'Control Room'!$B$7,('Control Room'!$B$8+'Control Room'!$D$8)/2)+'Control Room'!$B$9*(O232-IF('Control Room'!$B$5="Normal",'Control Room'!$B$7,('Control Room'!$B$8+'Control Room'!$D$8)/2))+SQRT(1-'Control Room'!$B$9^2)*(N233-IF('Control Room'!$B$5="Normal",'Control Room'!$B$7,('Control Room'!$B$8+'Control Room'!$D$8)/2))</x:f>
        <x:v>1075.9524428404404</x:v>
      </x:c>
      <x:c r="P233" s="17" t="n">
        <x:f>IF(AND($A233&gt;='Control Room'!$A$13,$A233&lt;'Control Room'!$A$13+'Control Room'!$B$13,'Process'!BM2=1),1+('Control Room'!$C$13-1)*EXP(-0.5*(($A233-'Control Room'!$A$13-('Control Room'!$B$13-1)/2)/MAX(0.5,'Control Room'!$B$13/4))^2),1)*IF(AND($A233&gt;='Control Room'!$A$14,$A233&lt;'Control Room'!$A$14+'Control Room'!$B$14,'Process'!BM3=1),1+('Control Room'!$C$14-1)*EXP(-0.5*(($A233-'Control Room'!$A$14-('Control Room'!$B$14-1)/2)/MAX(0.5,'Control Room'!$B$14/4))^2),1)*IF(AND($A233&gt;='Control Room'!$A$15,$A233&lt;'Control Room'!$A$15+'Control Room'!$B$15,'Process'!BM4=1),1+('Control Room'!$C$15-1)*EXP(-0.5*(($A233-'Control Room'!$A$15-('Control Room'!$B$15-1)/2)/MAX(0.5,'Control Room'!$B$15/4))^2),1)*IF(AND($A233&gt;='Control Room'!$A$16,$A233&lt;'Control Room'!$A$16+'Control Room'!$B$16,'Process'!BM5=1),1+('Control Room'!$C$16-1)*EXP(-0.5*(($A233-'Control Room'!$A$16-('Control Room'!$B$16-1)/2)/MAX(0.5,'Control Room'!$B$16/4))^2),1)</x:f>
        <x:v>1</x:v>
      </x:c>
      <x:c r="Q233" s="9" t="n">
        <x:f>MOD(R232*16807,2147483647)</x:f>
        <x:v>760212043</x:v>
      </x:c>
      <x:c r="R233" s="9" t="n">
        <x:f>MOD(Q233*16807,2147483647)</x:f>
        <x:v>1503590698</x:v>
      </x:c>
      <x:c r="S233" s="17" t="n">
        <x:f>IF('Control Room'!$B$5="Normal",'Control Room'!$B$7+'Control Room'!$D$7*SQRT(-2*LN(MAX(0.000000000001,Q233/2147483647)))*COS(2*PI()*R233/2147483647),'Control Room'!$B$8+('Control Room'!$D$8-'Control Room'!$B$8)*Q233/2147483647)</x:f>
        <x:v>960.0465697459723</x:v>
      </x:c>
      <x:c r="T233" s="17" t="n">
        <x:f>IF('Control Room'!$B$5="Normal",'Control Room'!$B$7,('Control Room'!$B$8+'Control Room'!$D$8)/2)+'Control Room'!$B$9*(T232-IF('Control Room'!$B$5="Normal",'Control Room'!$B$7,('Control Room'!$B$8+'Control Room'!$D$8)/2))+SQRT(1-'Control Room'!$B$9^2)*(S233-IF('Control Room'!$B$5="Normal",'Control Room'!$B$7,('Control Room'!$B$8+'Control Room'!$D$8)/2))</x:f>
        <x:v>1009.0991106599649</x:v>
      </x:c>
      <x:c r="U233" s="17" t="n">
        <x:f>IF(AND($A233&gt;='Control Room'!$A$13,$A233&lt;'Control Room'!$A$13+'Control Room'!$B$13,'Process'!BN2=1),1+('Control Room'!$C$13-1)*EXP(-0.5*(($A233-'Control Room'!$A$13-('Control Room'!$B$13-1)/2)/MAX(0.5,'Control Room'!$B$13/4))^2),1)*IF(AND($A233&gt;='Control Room'!$A$14,$A233&lt;'Control Room'!$A$14+'Control Room'!$B$14,'Process'!BN3=1),1+('Control Room'!$C$14-1)*EXP(-0.5*(($A233-'Control Room'!$A$14-('Control Room'!$B$14-1)/2)/MAX(0.5,'Control Room'!$B$14/4))^2),1)*IF(AND($A233&gt;='Control Room'!$A$15,$A233&lt;'Control Room'!$A$15+'Control Room'!$B$15,'Process'!BN4=1),1+('Control Room'!$C$15-1)*EXP(-0.5*(($A233-'Control Room'!$A$15-('Control Room'!$B$15-1)/2)/MAX(0.5,'Control Room'!$B$15/4))^2),1)*IF(AND($A233&gt;='Control Room'!$A$16,$A233&lt;'Control Room'!$A$16+'Control Room'!$B$16,'Process'!BN5=1),1+('Control Room'!$C$16-1)*EXP(-0.5*(($A233-'Control Room'!$A$16-('Control Room'!$B$16-1)/2)/MAX(0.5,'Control Room'!$B$16/4))^2),1)</x:f>
        <x:v>1</x:v>
      </x:c>
      <x:c r="V233" s="9" t="n">
        <x:f>MOD(W232*16807,2147483647)</x:f>
        <x:v>1340773528</x:v>
      </x:c>
      <x:c r="W233" s="9" t="n">
        <x:f>MOD(V233*16807,2147483647)</x:f>
        <x:v>834777125</x:v>
      </x:c>
      <x:c r="X233" s="17" t="n">
        <x:f>IF('Control Room'!$B$5="Normal",'Control Room'!$B$7+'Control Room'!$D$7*SQRT(-2*LN(MAX(0.000000000001,V233/2147483647)))*COS(2*PI()*W233/2147483647),'Control Room'!$B$8+('Control Room'!$D$8-'Control Room'!$B$8)*V233/2147483647)</x:f>
        <x:v>933.1401093856176</x:v>
      </x:c>
      <x:c r="Y233" s="17" t="n">
        <x:f>IF('Control Room'!$B$5="Normal",'Control Room'!$B$7,('Control Room'!$B$8+'Control Room'!$D$8)/2)+'Control Room'!$B$9*(Y232-IF('Control Room'!$B$5="Normal",'Control Room'!$B$7,('Control Room'!$B$8+'Control Room'!$D$8)/2))+SQRT(1-'Control Room'!$B$9^2)*(X233-IF('Control Room'!$B$5="Normal",'Control Room'!$B$7,('Control Room'!$B$8+'Control Room'!$D$8)/2))</x:f>
        <x:v>949.5228002514708</x:v>
      </x:c>
      <x:c r="Z233" s="17" t="n">
        <x:f>IF(AND($A233&gt;='Control Room'!$A$13,$A233&lt;'Control Room'!$A$13+'Control Room'!$B$13,'Process'!BO2=1),1+('Control Room'!$C$13-1)*EXP(-0.5*(($A233-'Control Room'!$A$13-('Control Room'!$B$13-1)/2)/MAX(0.5,'Control Room'!$B$13/4))^2),1)*IF(AND($A233&gt;='Control Room'!$A$14,$A233&lt;'Control Room'!$A$14+'Control Room'!$B$14,'Process'!BO3=1),1+('Control Room'!$C$14-1)*EXP(-0.5*(($A233-'Control Room'!$A$14-('Control Room'!$B$14-1)/2)/MAX(0.5,'Control Room'!$B$14/4))^2),1)*IF(AND($A233&gt;='Control Room'!$A$15,$A233&lt;'Control Room'!$A$15+'Control Room'!$B$15,'Process'!BO4=1),1+('Control Room'!$C$15-1)*EXP(-0.5*(($A233-'Control Room'!$A$15-('Control Room'!$B$15-1)/2)/MAX(0.5,'Control Room'!$B$15/4))^2),1)*IF(AND($A233&gt;='Control Room'!$A$16,$A233&lt;'Control Room'!$A$16+'Control Room'!$B$16,'Process'!BO5=1),1+('Control Room'!$C$16-1)*EXP(-0.5*(($A233-'Control Room'!$A$16-('Control Room'!$B$16-1)/2)/MAX(0.5,'Control Room'!$B$16/4))^2),1)</x:f>
        <x:v>1</x:v>
      </x:c>
      <x:c r="AA233" s="9" t="n">
        <x:f>MOD(AB232*16807,2147483647)</x:f>
        <x:v>1921335013</x:v>
      </x:c>
      <x:c r="AB233" s="9" t="n">
        <x:f>MOD(AA233*16807,2147483647)</x:f>
        <x:v>165963552</x:v>
      </x:c>
      <x:c r="AC233" s="17" t="n">
        <x:f>IF('Control Room'!$B$5="Normal",'Control Room'!$B$7+'Control Room'!$D$7*SQRT(-2*LN(MAX(0.000000000001,AA233/2147483647)))*COS(2*PI()*AB233/2147483647),'Control Room'!$B$8+('Control Room'!$D$8-'Control Room'!$B$8)*AA233/2147483647)</x:f>
        <x:v>1037.5499728630245</x:v>
      </x:c>
      <x:c r="AD233" s="17" t="n">
        <x:f>IF('Control Room'!$B$5="Normal",'Control Room'!$B$7,('Control Room'!$B$8+'Control Room'!$D$8)/2)+'Control Room'!$B$9*(AD232-IF('Control Room'!$B$5="Normal",'Control Room'!$B$7,('Control Room'!$B$8+'Control Room'!$D$8)/2))+SQRT(1-'Control Room'!$B$9^2)*(AC233-IF('Control Room'!$B$5="Normal",'Control Room'!$B$7,('Control Room'!$B$8+'Control Room'!$D$8)/2))</x:f>
        <x:v>921.1952843109058</x:v>
      </x:c>
      <x:c r="AE233" s="17" t="n">
        <x:f>IF(AND($A233&gt;='Control Room'!$A$13,$A233&lt;'Control Room'!$A$13+'Control Room'!$B$13,'Process'!BP2=1),1+('Control Room'!$C$13-1)*EXP(-0.5*(($A233-'Control Room'!$A$13-('Control Room'!$B$13-1)/2)/MAX(0.5,'Control Room'!$B$13/4))^2),1)*IF(AND($A233&gt;='Control Room'!$A$14,$A233&lt;'Control Room'!$A$14+'Control Room'!$B$14,'Process'!BP3=1),1+('Control Room'!$C$14-1)*EXP(-0.5*(($A233-'Control Room'!$A$14-('Control Room'!$B$14-1)/2)/MAX(0.5,'Control Room'!$B$14/4))^2),1)*IF(AND($A233&gt;='Control Room'!$A$15,$A233&lt;'Control Room'!$A$15+'Control Room'!$B$15,'Process'!BP4=1),1+('Control Room'!$C$15-1)*EXP(-0.5*(($A233-'Control Room'!$A$15-('Control Room'!$B$15-1)/2)/MAX(0.5,'Control Room'!$B$15/4))^2),1)*IF(AND($A233&gt;='Control Room'!$A$16,$A233&lt;'Control Room'!$A$16+'Control Room'!$B$16,'Process'!BP5=1),1+('Control Room'!$C$16-1)*EXP(-0.5*(($A233-'Control Room'!$A$16-('Control Room'!$B$16-1)/2)/MAX(0.5,'Control Room'!$B$16/4))^2),1)</x:f>
        <x:v>1</x:v>
      </x:c>
      <x:c r="AF233" s="9" t="n">
        <x:f>MOD(AG232*16807,2147483647)</x:f>
        <x:v>354412851</x:v>
      </x:c>
      <x:c r="AG233" s="9" t="n">
        <x:f>MOD(AF233*16807,2147483647)</x:f>
        <x:v>1644633626</x:v>
      </x:c>
      <x:c r="AH233" s="17" t="n">
        <x:f>IF('Control Room'!$B$5="Normal",'Control Room'!$B$7+'Control Room'!$D$7*SQRT(-2*LN(MAX(0.000000000001,AF233/2147483647)))*COS(2*PI()*AG233/2147483647),'Control Room'!$B$8+('Control Room'!$D$8-'Control Room'!$B$8)*AF233/2147483647)</x:f>
        <x:v>1016.9771078630323</x:v>
      </x:c>
      <x:c r="AI233" s="17" t="n">
        <x:f>IF('Control Room'!$B$5="Normal",'Control Room'!$B$7,('Control Room'!$B$8+'Control Room'!$D$8)/2)+'Control Room'!$B$9*(AI232-IF('Control Room'!$B$5="Normal",'Control Room'!$B$7,('Control Room'!$B$8+'Control Room'!$D$8)/2))+SQRT(1-'Control Room'!$B$9^2)*(AH233-IF('Control Room'!$B$5="Normal",'Control Room'!$B$7,('Control Room'!$B$8+'Control Room'!$D$8)/2))</x:f>
        <x:v>1040.513525203716</x:v>
      </x:c>
      <x:c r="AJ233" s="17" t="n">
        <x:f>IF(AND($A233&gt;='Control Room'!$A$13,$A233&lt;'Control Room'!$A$13+'Control Room'!$B$13,'Process'!BQ2=1),1+('Control Room'!$C$13-1)*EXP(-0.5*(($A233-'Control Room'!$A$13-('Control Room'!$B$13-1)/2)/MAX(0.5,'Control Room'!$B$13/4))^2),1)*IF(AND($A233&gt;='Control Room'!$A$14,$A233&lt;'Control Room'!$A$14+'Control Room'!$B$14,'Process'!BQ3=1),1+('Control Room'!$C$14-1)*EXP(-0.5*(($A233-'Control Room'!$A$14-('Control Room'!$B$14-1)/2)/MAX(0.5,'Control Room'!$B$14/4))^2),1)*IF(AND($A233&gt;='Control Room'!$A$15,$A233&lt;'Control Room'!$A$15+'Control Room'!$B$15,'Process'!BQ4=1),1+('Control Room'!$C$15-1)*EXP(-0.5*(($A233-'Control Room'!$A$15-('Control Room'!$B$15-1)/2)/MAX(0.5,'Control Room'!$B$15/4))^2),1)*IF(AND($A233&gt;='Control Room'!$A$16,$A233&lt;'Control Room'!$A$16+'Control Room'!$B$16,'Process'!BQ5=1),1+('Control Room'!$C$16-1)*EXP(-0.5*(($A233-'Control Room'!$A$16-('Control Room'!$B$16-1)/2)/MAX(0.5,'Control Room'!$B$16/4))^2),1)</x:f>
        <x:v>1</x:v>
      </x:c>
      <x:c r="AK233" s="9" t="n">
        <x:f>MOD(AL232*16807,2147483647)</x:f>
        <x:v>934974336</x:v>
      </x:c>
      <x:c r="AL233" s="9" t="n">
        <x:f>MOD(AK233*16807,2147483647)</x:f>
        <x:v>975820053</x:v>
      </x:c>
      <x:c r="AM233" s="17" t="n">
        <x:f>IF('Control Room'!$B$5="Normal",'Control Room'!$B$7+'Control Room'!$D$7*SQRT(-2*LN(MAX(0.000000000001,AK233/2147483647)))*COS(2*PI()*AL233/2147483647),'Control Room'!$B$8+('Control Room'!$D$8-'Control Room'!$B$8)*AK233/2147483647)</x:f>
        <x:v>888.6670789890385</x:v>
      </x:c>
      <x:c r="AN233" s="17" t="n">
        <x:f>IF('Control Room'!$B$5="Normal",'Control Room'!$B$7,('Control Room'!$B$8+'Control Room'!$D$8)/2)+'Control Room'!$B$9*(AN232-IF('Control Room'!$B$5="Normal",'Control Room'!$B$7,('Control Room'!$B$8+'Control Room'!$D$8)/2))+SQRT(1-'Control Room'!$B$9^2)*(AM233-IF('Control Room'!$B$5="Normal",'Control Room'!$B$7,('Control Room'!$B$8+'Control Room'!$D$8)/2))</x:f>
        <x:v>946.6975037687718</x:v>
      </x:c>
      <x:c r="AO233" s="17" t="n">
        <x:f>IF(AND($A233&gt;='Control Room'!$A$13,$A233&lt;'Control Room'!$A$13+'Control Room'!$B$13,'Process'!BR2=1),1+('Control Room'!$C$13-1)*EXP(-0.5*(($A233-'Control Room'!$A$13-('Control Room'!$B$13-1)/2)/MAX(0.5,'Control Room'!$B$13/4))^2),1)*IF(AND($A233&gt;='Control Room'!$A$14,$A233&lt;'Control Room'!$A$14+'Control Room'!$B$14,'Process'!BR3=1),1+('Control Room'!$C$14-1)*EXP(-0.5*(($A233-'Control Room'!$A$14-('Control Room'!$B$14-1)/2)/MAX(0.5,'Control Room'!$B$14/4))^2),1)*IF(AND($A233&gt;='Control Room'!$A$15,$A233&lt;'Control Room'!$A$15+'Control Room'!$B$15,'Process'!BR4=1),1+('Control Room'!$C$15-1)*EXP(-0.5*(($A233-'Control Room'!$A$15-('Control Room'!$B$15-1)/2)/MAX(0.5,'Control Room'!$B$15/4))^2),1)*IF(AND($A233&gt;='Control Room'!$A$16,$A233&lt;'Control Room'!$A$16+'Control Room'!$B$16,'Process'!BR5=1),1+('Control Room'!$C$16-1)*EXP(-0.5*(($A233-'Control Room'!$A$16-('Control Room'!$B$16-1)/2)/MAX(0.5,'Control Room'!$B$16/4))^2),1)</x:f>
        <x:v>1</x:v>
      </x:c>
      <x:c r="AP233" s="9" t="n">
        <x:f>MOD(AQ232*16807,2147483647)</x:f>
        <x:v>1515535821</x:v>
      </x:c>
      <x:c r="AQ233" s="9" t="n">
        <x:f>MOD(AP233*16807,2147483647)</x:f>
        <x:v>307006480</x:v>
      </x:c>
      <x:c r="AR233" s="17" t="n">
        <x:f>IF('Control Room'!$B$5="Normal",'Control Room'!$B$7+'Control Room'!$D$7*SQRT(-2*LN(MAX(0.000000000001,AP233/2147483647)))*COS(2*PI()*AQ233/2147483647),'Control Room'!$B$8+('Control Room'!$D$8-'Control Room'!$B$8)*AP233/2147483647)</x:f>
        <x:v>1046.8112019546109</x:v>
      </x:c>
      <x:c r="AS233" s="17" t="n">
        <x:f>IF('Control Room'!$B$5="Normal",'Control Room'!$B$7,('Control Room'!$B$8+'Control Room'!$D$8)/2)+'Control Room'!$B$9*(AS232-IF('Control Room'!$B$5="Normal",'Control Room'!$B$7,('Control Room'!$B$8+'Control Room'!$D$8)/2))+SQRT(1-'Control Room'!$B$9^2)*(AR233-IF('Control Room'!$B$5="Normal",'Control Room'!$B$7,('Control Room'!$B$8+'Control Room'!$D$8)/2))</x:f>
        <x:v>936.3975670328857</x:v>
      </x:c>
      <x:c r="AT233" s="17" t="n">
        <x:f>IF(AND($A233&gt;='Control Room'!$A$13,$A233&lt;'Control Room'!$A$13+'Control Room'!$B$13,'Process'!BS2=1),1+('Control Room'!$C$13-1)*EXP(-0.5*(($A233-'Control Room'!$A$13-('Control Room'!$B$13-1)/2)/MAX(0.5,'Control Room'!$B$13/4))^2),1)*IF(AND($A233&gt;='Control Room'!$A$14,$A233&lt;'Control Room'!$A$14+'Control Room'!$B$14,'Process'!BS3=1),1+('Control Room'!$C$14-1)*EXP(-0.5*(($A233-'Control Room'!$A$14-('Control Room'!$B$14-1)/2)/MAX(0.5,'Control Room'!$B$14/4))^2),1)*IF(AND($A233&gt;='Control Room'!$A$15,$A233&lt;'Control Room'!$A$15+'Control Room'!$B$15,'Process'!BS4=1),1+('Control Room'!$C$15-1)*EXP(-0.5*(($A233-'Control Room'!$A$15-('Control Room'!$B$15-1)/2)/MAX(0.5,'Control Room'!$B$15/4))^2),1)*IF(AND($A233&gt;='Control Room'!$A$16,$A233&lt;'Control Room'!$A$16+'Control Room'!$B$16,'Process'!BS5=1),1+('Control Room'!$C$16-1)*EXP(-0.5*(($A233-'Control Room'!$A$16-('Control Room'!$B$16-1)/2)/MAX(0.5,'Control Room'!$B$16/4))^2),1)</x:f>
        <x:v>1</x:v>
      </x:c>
      <x:c r="AU233" s="9" t="n">
        <x:f>MOD(AV232*16807,2147483647)</x:f>
        <x:v>2096097306</x:v>
      </x:c>
      <x:c r="AV233" s="9" t="n">
        <x:f>MOD(AU233*16807,2147483647)</x:f>
        <x:v>1785676554</x:v>
      </x:c>
      <x:c r="AW233" s="17" t="n">
        <x:f>IF('Control Room'!$B$5="Normal",'Control Room'!$B$7+'Control Room'!$D$7*SQRT(-2*LN(MAX(0.000000000001,AU233/2147483647)))*COS(2*PI()*AV233/2147483647),'Control Room'!$B$8+('Control Room'!$D$8-'Control Room'!$B$8)*AU233/2147483647)</x:f>
        <x:v>1009.7079646897045</x:v>
      </x:c>
      <x:c r="AX233" s="17" t="n">
        <x:f>IF('Control Room'!$B$5="Normal",'Control Room'!$B$7,('Control Room'!$B$8+'Control Room'!$D$8)/2)+'Control Room'!$B$9*(AX232-IF('Control Room'!$B$5="Normal",'Control Room'!$B$7,('Control Room'!$B$8+'Control Room'!$D$8)/2))+SQRT(1-'Control Room'!$B$9^2)*(AW233-IF('Control Room'!$B$5="Normal",'Control Room'!$B$7,('Control Room'!$B$8+'Control Room'!$D$8)/2))</x:f>
        <x:v>932.1152449121582</x:v>
      </x:c>
      <x:c r="AY233" s="17" t="n">
        <x:f>IF(AND($A233&gt;='Control Room'!$A$13,$A233&lt;'Control Room'!$A$13+'Control Room'!$B$13,'Process'!BT2=1),1+('Control Room'!$C$13-1)*EXP(-0.5*(($A233-'Control Room'!$A$13-('Control Room'!$B$13-1)/2)/MAX(0.5,'Control Room'!$B$13/4))^2),1)*IF(AND($A233&gt;='Control Room'!$A$14,$A233&lt;'Control Room'!$A$14+'Control Room'!$B$14,'Process'!BT3=1),1+('Control Room'!$C$14-1)*EXP(-0.5*(($A233-'Control Room'!$A$14-('Control Room'!$B$14-1)/2)/MAX(0.5,'Control Room'!$B$14/4))^2),1)*IF(AND($A233&gt;='Control Room'!$A$15,$A233&lt;'Control Room'!$A$15+'Control Room'!$B$15,'Process'!BT4=1),1+('Control Room'!$C$15-1)*EXP(-0.5*(($A233-'Control Room'!$A$15-('Control Room'!$B$15-1)/2)/MAX(0.5,'Control Room'!$B$15/4))^2),1)*IF(AND($A233&gt;='Control Room'!$A$16,$A233&lt;'Control Room'!$A$16+'Control Room'!$B$16,'Process'!BT5=1),1+('Control Room'!$C$16-1)*EXP(-0.5*(($A233-'Control Room'!$A$16-('Control Room'!$B$16-1)/2)/MAX(0.5,'Control Room'!$B$16/4))^2),1)</x:f>
        <x:v>1</x:v>
      </x:c>
      <x:c r="AZ233" s="9" t="n">
        <x:f>MOD(BA232*16807,2147483647)</x:f>
        <x:v>529175144</x:v>
      </x:c>
      <x:c r="BA233" s="9" t="n">
        <x:f>MOD(AZ233*16807,2147483647)</x:f>
        <x:v>1116862981</x:v>
      </x:c>
      <x:c r="BB233" s="17" t="n">
        <x:f>IF('Control Room'!$B$5="Normal",'Control Room'!$B$7+'Control Room'!$D$7*SQRT(-2*LN(MAX(0.000000000001,AZ233/2147483647)))*COS(2*PI()*BA233/2147483647),'Control Room'!$B$8+('Control Room'!$D$8-'Control Room'!$B$8)*AZ233/2147483647)</x:f>
        <x:v>850.5591173030264</x:v>
      </x:c>
      <x:c r="BC233" s="17" t="n">
        <x:f>IF('Control Room'!$B$5="Normal",'Control Room'!$B$7,('Control Room'!$B$8+'Control Room'!$D$8)/2)+'Control Room'!$B$9*(BC232-IF('Control Room'!$B$5="Normal",'Control Room'!$B$7,('Control Room'!$B$8+'Control Room'!$D$8)/2))+SQRT(1-'Control Room'!$B$9^2)*(BB233-IF('Control Room'!$B$5="Normal",'Control Room'!$B$7,('Control Room'!$B$8+'Control Room'!$D$8)/2))</x:f>
        <x:v>994.5391735386684</x:v>
      </x:c>
      <x:c r="BD233" s="17" t="n">
        <x:f>IF(AND($A233&gt;='Control Room'!$A$13,$A233&lt;'Control Room'!$A$13+'Control Room'!$B$13,'Process'!BU2=1),1+('Control Room'!$C$13-1)*EXP(-0.5*(($A233-'Control Room'!$A$13-('Control Room'!$B$13-1)/2)/MAX(0.5,'Control Room'!$B$13/4))^2),1)*IF(AND($A233&gt;='Control Room'!$A$14,$A233&lt;'Control Room'!$A$14+'Control Room'!$B$14,'Process'!BU3=1),1+('Control Room'!$C$14-1)*EXP(-0.5*(($A233-'Control Room'!$A$14-('Control Room'!$B$14-1)/2)/MAX(0.5,'Control Room'!$B$14/4))^2),1)*IF(AND($A233&gt;='Control Room'!$A$15,$A233&lt;'Control Room'!$A$15+'Control Room'!$B$15,'Process'!BU4=1),1+('Control Room'!$C$15-1)*EXP(-0.5*(($A233-'Control Room'!$A$15-('Control Room'!$B$15-1)/2)/MAX(0.5,'Control Room'!$B$15/4))^2),1)*IF(AND($A233&gt;='Control Room'!$A$16,$A233&lt;'Control Room'!$A$16+'Control Room'!$B$16,'Process'!BU5=1),1+('Control Room'!$C$16-1)*EXP(-0.5*(($A233-'Control Room'!$A$16-('Control Room'!$B$16-1)/2)/MAX(0.5,'Control Room'!$B$16/4))^2),1)</x:f>
        <x:v>1</x:v>
      </x:c>
      <x:c r="BE233" s="9" t="n">
        <x:f>MOD(BF232*16807,2147483647)</x:f>
        <x:v>1109736629</x:v>
      </x:c>
      <x:c r="BF233" s="9" t="n">
        <x:f>MOD(BE233*16807,2147483647)</x:f>
        <x:v>448049408</x:v>
      </x:c>
      <x:c r="BG233" s="17" t="n">
        <x:f>IF('Control Room'!$B$5="Normal",'Control Room'!$B$7+'Control Room'!$D$7*SQRT(-2*LN(MAX(0.000000000001,BE233/2147483647)))*COS(2*PI()*BF233/2147483647),'Control Room'!$B$8+('Control Room'!$D$8-'Control Room'!$B$8)*BE233/2147483647)</x:f>
        <x:v>1026.5739046937413</x:v>
      </x:c>
      <x:c r="BH233" s="17" t="n">
        <x:f>IF('Control Room'!$B$5="Normal",'Control Room'!$B$7,('Control Room'!$B$8+'Control Room'!$D$8)/2)+'Control Room'!$B$9*(BH232-IF('Control Room'!$B$5="Normal",'Control Room'!$B$7,('Control Room'!$B$8+'Control Room'!$D$8)/2))+SQRT(1-'Control Room'!$B$9^2)*(BG233-IF('Control Room'!$B$5="Normal",'Control Room'!$B$7,('Control Room'!$B$8+'Control Room'!$D$8)/2))</x:f>
        <x:v>1016.7092152969657</x:v>
      </x:c>
      <x:c r="BI233" s="17" t="n">
        <x:f>IF(AND($A233&gt;='Control Room'!$A$13,$A233&lt;'Control Room'!$A$13+'Control Room'!$B$13,'Process'!BV2=1),1+('Control Room'!$C$13-1)*EXP(-0.5*(($A233-'Control Room'!$A$13-('Control Room'!$B$13-1)/2)/MAX(0.5,'Control Room'!$B$13/4))^2),1)*IF(AND($A233&gt;='Control Room'!$A$14,$A233&lt;'Control Room'!$A$14+'Control Room'!$B$14,'Process'!BV3=1),1+('Control Room'!$C$14-1)*EXP(-0.5*(($A233-'Control Room'!$A$14-('Control Room'!$B$14-1)/2)/MAX(0.5,'Control Room'!$B$14/4))^2),1)*IF(AND($A233&gt;='Control Room'!$A$15,$A233&lt;'Control Room'!$A$15+'Control Room'!$B$15,'Process'!BV4=1),1+('Control Room'!$C$15-1)*EXP(-0.5*(($A233-'Control Room'!$A$15-('Control Room'!$B$15-1)/2)/MAX(0.5,'Control Room'!$B$15/4))^2),1)*IF(AND($A233&gt;='Control Room'!$A$16,$A233&lt;'Control Room'!$A$16+'Control Room'!$B$16,'Process'!BV5=1),1+('Control Room'!$C$16-1)*EXP(-0.5*(($A233-'Control Room'!$A$16-('Control Room'!$B$16-1)/2)/MAX(0.5,'Control Room'!$B$16/4))^2),1)</x:f>
        <x:v>1</x:v>
      </x:c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Z233" t="str">
        <x:f>IF('Data'!A233="","",TEXT('Data'!A233,"mm-dd"))</x:f>
      </x:c>
    </x:row>
    <x:row r="234" ht="21" customHeight="1">
      <x:c r="A234" s="15" t="n">
        <x:f>'Control Room'!$B$1+232</x:f>
        <x:v>73223</x:v>
      </x:c>
      <x:c r="B234" s="9" t="n">
        <x:f>MOD(C233*16807,2147483647)</x:f>
        <x:v>1722242429</x:v>
      </x:c>
      <x:c r="C234" s="9" t="n">
        <x:f>MOD(B234*16807,2147483647)</x:f>
        <x:v>1943909937</x:v>
      </x:c>
      <x:c r="D234" s="17" t="n">
        <x:f>IF('Control Room'!$B$5="Normal",'Control Room'!$B$7+'Control Room'!$D$7*SQRT(-2*LN(MAX(0.000000000001,B234/2147483647)))*COS(2*PI()*C234/2147483647),'Control Room'!$B$8+('Control Room'!$D$8-'Control Room'!$B$8)*B234/2147483647)</x:f>
        <x:v>1049.4941213371496</x:v>
      </x:c>
      <x:c r="E234" s="17" t="n">
        <x:f>IF('Control Room'!$B$5="Normal",'Control Room'!$B$7,('Control Room'!$B$8+'Control Room'!$D$8)/2)+'Control Room'!$B$9*(E233-IF('Control Room'!$B$5="Normal",'Control Room'!$B$7,('Control Room'!$B$8+'Control Room'!$D$8)/2))+SQRT(1-'Control Room'!$B$9^2)*(D234-IF('Control Room'!$B$5="Normal",'Control Room'!$B$7,('Control Room'!$B$8+'Control Room'!$D$8)/2))</x:f>
        <x:v>1001.1306456152457</x:v>
      </x:c>
      <x:c r="F234" s="17" t="n">
        <x:f>IF(AND($A234&gt;='Control Room'!$A$13,$A234&lt;'Control Room'!$A$13+'Control Room'!$B$13,'Process'!BK2=1),1+('Control Room'!$C$13-1)*EXP(-0.5*(($A234-'Control Room'!$A$13-('Control Room'!$B$13-1)/2)/MAX(0.5,'Control Room'!$B$13/4))^2),1)*IF(AND($A234&gt;='Control Room'!$A$14,$A234&lt;'Control Room'!$A$14+'Control Room'!$B$14,'Process'!BK3=1),1+('Control Room'!$C$14-1)*EXP(-0.5*(($A234-'Control Room'!$A$14-('Control Room'!$B$14-1)/2)/MAX(0.5,'Control Room'!$B$14/4))^2),1)*IF(AND($A234&gt;='Control Room'!$A$15,$A234&lt;'Control Room'!$A$15+'Control Room'!$B$15,'Process'!BK4=1),1+('Control Room'!$C$15-1)*EXP(-0.5*(($A234-'Control Room'!$A$15-('Control Room'!$B$15-1)/2)/MAX(0.5,'Control Room'!$B$15/4))^2),1)*IF(AND($A234&gt;='Control Room'!$A$16,$A234&lt;'Control Room'!$A$16+'Control Room'!$B$16,'Process'!BK5=1),1+('Control Room'!$C$16-1)*EXP(-0.5*(($A234-'Control Room'!$A$16-('Control Room'!$B$16-1)/2)/MAX(0.5,'Control Room'!$B$16/4))^2),1)</x:f>
        <x:v>1</x:v>
      </x:c>
      <x:c r="G234" s="9" t="n">
        <x:f>MOD(H233*16807,2147483647)</x:f>
        <x:v>901929416</x:v>
      </x:c>
      <x:c r="H234" s="9" t="n">
        <x:f>MOD(G234*16807,2147483647)</x:f>
        <x:v>1788114186</x:v>
      </x:c>
      <x:c r="I234" s="17" t="n">
        <x:f>IF('Control Room'!$B$5="Normal",'Control Room'!$B$7+'Control Room'!$D$7*SQRT(-2*LN(MAX(0.000000000001,G234/2147483647)))*COS(2*PI()*H234/2147483647),'Control Room'!$B$8+('Control Room'!$D$8-'Control Room'!$B$8)*G234/2147483647)</x:f>
        <x:v>1058.8365172662834</x:v>
      </x:c>
      <x:c r="J234" s="17" t="n">
        <x:f>IF('Control Room'!$B$5="Normal",'Control Room'!$B$7,('Control Room'!$B$8+'Control Room'!$D$8)/2)+'Control Room'!$B$9*(J233-IF('Control Room'!$B$5="Normal",'Control Room'!$B$7,('Control Room'!$B$8+'Control Room'!$D$8)/2))+SQRT(1-'Control Room'!$B$9^2)*(I234-IF('Control Room'!$B$5="Normal",'Control Room'!$B$7,('Control Room'!$B$8+'Control Room'!$D$8)/2))</x:f>
        <x:v>1039.1440255627165</x:v>
      </x:c>
      <x:c r="K234" s="17" t="n">
        <x:f>IF(AND($A234&gt;='Control Room'!$A$13,$A234&lt;'Control Room'!$A$13+'Control Room'!$B$13,'Process'!BL2=1),1+('Control Room'!$C$13-1)*EXP(-0.5*(($A234-'Control Room'!$A$13-('Control Room'!$B$13-1)/2)/MAX(0.5,'Control Room'!$B$13/4))^2),1)*IF(AND($A234&gt;='Control Room'!$A$14,$A234&lt;'Control Room'!$A$14+'Control Room'!$B$14,'Process'!BL3=1),1+('Control Room'!$C$14-1)*EXP(-0.5*(($A234-'Control Room'!$A$14-('Control Room'!$B$14-1)/2)/MAX(0.5,'Control Room'!$B$14/4))^2),1)*IF(AND($A234&gt;='Control Room'!$A$15,$A234&lt;'Control Room'!$A$15+'Control Room'!$B$15,'Process'!BL4=1),1+('Control Room'!$C$15-1)*EXP(-0.5*(($A234-'Control Room'!$A$15-('Control Room'!$B$15-1)/2)/MAX(0.5,'Control Room'!$B$15/4))^2),1)*IF(AND($A234&gt;='Control Room'!$A$16,$A234&lt;'Control Room'!$A$16+'Control Room'!$B$16,'Process'!BL5=1),1+('Control Room'!$C$16-1)*EXP(-0.5*(($A234-'Control Room'!$A$16-('Control Room'!$B$16-1)/2)/MAX(0.5,'Control Room'!$B$16/4))^2),1)</x:f>
        <x:v>1</x:v>
      </x:c>
      <x:c r="L234" s="9" t="n">
        <x:f>MOD(M233*16807,2147483647)</x:f>
        <x:v>81616403</x:v>
      </x:c>
      <x:c r="M234" s="9" t="n">
        <x:f>MOD(L234*16807,2147483647)</x:f>
        <x:v>1632318435</x:v>
      </x:c>
      <x:c r="N234" s="17" t="n">
        <x:f>IF('Control Room'!$B$5="Normal",'Control Room'!$B$7+'Control Room'!$D$7*SQRT(-2*LN(MAX(0.000000000001,L234/2147483647)))*COS(2*PI()*M234/2147483647),'Control Room'!$B$8+('Control Room'!$D$8-'Control Room'!$B$8)*L234/2147483647)</x:f>
        <x:v>1014.6071218996492</x:v>
      </x:c>
      <x:c r="O234" s="17" t="n">
        <x:f>IF('Control Room'!$B$5="Normal",'Control Room'!$B$7,('Control Room'!$B$8+'Control Room'!$D$8)/2)+'Control Room'!$B$9*(O233-IF('Control Room'!$B$5="Normal",'Control Room'!$B$7,('Control Room'!$B$8+'Control Room'!$D$8)/2))+SQRT(1-'Control Room'!$B$9^2)*(N234-IF('Control Room'!$B$5="Normal",'Control Room'!$B$7,('Control Room'!$B$8+'Control Room'!$D$8)/2))</x:f>
        <x:v>1068.3837430571866</x:v>
      </x:c>
      <x:c r="P234" s="17" t="n">
        <x:f>IF(AND($A234&gt;='Control Room'!$A$13,$A234&lt;'Control Room'!$A$13+'Control Room'!$B$13,'Process'!BM2=1),1+('Control Room'!$C$13-1)*EXP(-0.5*(($A234-'Control Room'!$A$13-('Control Room'!$B$13-1)/2)/MAX(0.5,'Control Room'!$B$13/4))^2),1)*IF(AND($A234&gt;='Control Room'!$A$14,$A234&lt;'Control Room'!$A$14+'Control Room'!$B$14,'Process'!BM3=1),1+('Control Room'!$C$14-1)*EXP(-0.5*(($A234-'Control Room'!$A$14-('Control Room'!$B$14-1)/2)/MAX(0.5,'Control Room'!$B$14/4))^2),1)*IF(AND($A234&gt;='Control Room'!$A$15,$A234&lt;'Control Room'!$A$15+'Control Room'!$B$15,'Process'!BM4=1),1+('Control Room'!$C$15-1)*EXP(-0.5*(($A234-'Control Room'!$A$15-('Control Room'!$B$15-1)/2)/MAX(0.5,'Control Room'!$B$15/4))^2),1)*IF(AND($A234&gt;='Control Room'!$A$16,$A234&lt;'Control Room'!$A$16+'Control Room'!$B$16,'Process'!BM5=1),1+('Control Room'!$C$16-1)*EXP(-0.5*(($A234-'Control Room'!$A$16-('Control Room'!$B$16-1)/2)/MAX(0.5,'Control Room'!$B$16/4))^2),1)</x:f>
        <x:v>1</x:v>
      </x:c>
      <x:c r="Q234" s="9" t="n">
        <x:f>MOD(R233*16807,2147483647)</x:f>
        <x:v>1408787037</x:v>
      </x:c>
      <x:c r="R234" s="9" t="n">
        <x:f>MOD(Q234*16807,2147483647)</x:f>
        <x:v>1476522684</x:v>
      </x:c>
      <x:c r="S234" s="17" t="n">
        <x:f>IF('Control Room'!$B$5="Normal",'Control Room'!$B$7+'Control Room'!$D$7*SQRT(-2*LN(MAX(0.000000000001,Q234/2147483647)))*COS(2*PI()*R234/2147483647),'Control Room'!$B$8+('Control Room'!$D$8-'Control Room'!$B$8)*Q234/2147483647)</x:f>
        <x:v>968.4035023664266</x:v>
      </x:c>
      <x:c r="T234" s="17" t="n">
        <x:f>IF('Control Room'!$B$5="Normal",'Control Room'!$B$7,('Control Room'!$B$8+'Control Room'!$D$8)/2)+'Control Room'!$B$9*(T233-IF('Control Room'!$B$5="Normal",'Control Room'!$B$7,('Control Room'!$B$8+'Control Room'!$D$8)/2))+SQRT(1-'Control Room'!$B$9^2)*(S234-IF('Control Room'!$B$5="Normal",'Control Room'!$B$7,('Control Room'!$B$8+'Control Room'!$D$8)/2))</x:f>
        <x:v>987.3248653851197</x:v>
      </x:c>
      <x:c r="U234" s="17" t="n">
        <x:f>IF(AND($A234&gt;='Control Room'!$A$13,$A234&lt;'Control Room'!$A$13+'Control Room'!$B$13,'Process'!BN2=1),1+('Control Room'!$C$13-1)*EXP(-0.5*(($A234-'Control Room'!$A$13-('Control Room'!$B$13-1)/2)/MAX(0.5,'Control Room'!$B$13/4))^2),1)*IF(AND($A234&gt;='Control Room'!$A$14,$A234&lt;'Control Room'!$A$14+'Control Room'!$B$14,'Process'!BN3=1),1+('Control Room'!$C$14-1)*EXP(-0.5*(($A234-'Control Room'!$A$14-('Control Room'!$B$14-1)/2)/MAX(0.5,'Control Room'!$B$14/4))^2),1)*IF(AND($A234&gt;='Control Room'!$A$15,$A234&lt;'Control Room'!$A$15+'Control Room'!$B$15,'Process'!BN4=1),1+('Control Room'!$C$15-1)*EXP(-0.5*(($A234-'Control Room'!$A$15-('Control Room'!$B$15-1)/2)/MAX(0.5,'Control Room'!$B$15/4))^2),1)*IF(AND($A234&gt;='Control Room'!$A$16,$A234&lt;'Control Room'!$A$16+'Control Room'!$B$16,'Process'!BN5=1),1+('Control Room'!$C$16-1)*EXP(-0.5*(($A234-'Control Room'!$A$16-('Control Room'!$B$16-1)/2)/MAX(0.5,'Control Room'!$B$16/4))^2),1)</x:f>
        <x:v>1</x:v>
      </x:c>
      <x:c r="V234" s="9" t="n">
        <x:f>MOD(W233*16807,2147483647)</x:f>
        <x:v>588474024</x:v>
      </x:c>
      <x:c r="W234" s="9" t="n">
        <x:f>MOD(V234*16807,2147483647)</x:f>
        <x:v>1320726933</x:v>
      </x:c>
      <x:c r="X234" s="17" t="n">
        <x:f>IF('Control Room'!$B$5="Normal",'Control Room'!$B$7+'Control Room'!$D$7*SQRT(-2*LN(MAX(0.000000000001,V234/2147483647)))*COS(2*PI()*W234/2147483647),'Control Room'!$B$8+('Control Room'!$D$8-'Control Room'!$B$8)*V234/2147483647)</x:f>
        <x:v>891.3799741815561</x:v>
      </x:c>
      <x:c r="Y234" s="17" t="n">
        <x:f>IF('Control Room'!$B$5="Normal",'Control Room'!$B$7,('Control Room'!$B$8+'Control Room'!$D$8)/2)+'Control Room'!$B$9*(Y233-IF('Control Room'!$B$5="Normal",'Control Room'!$B$7,('Control Room'!$B$8+'Control Room'!$D$8)/2))+SQRT(1-'Control Room'!$B$9^2)*(X234-IF('Control Room'!$B$5="Normal",'Control Room'!$B$7,('Control Room'!$B$8+'Control Room'!$D$8)/2))</x:f>
        <x:v>892.6555972411444</x:v>
      </x:c>
      <x:c r="Z234" s="17" t="n">
        <x:f>IF(AND($A234&gt;='Control Room'!$A$13,$A234&lt;'Control Room'!$A$13+'Control Room'!$B$13,'Process'!BO2=1),1+('Control Room'!$C$13-1)*EXP(-0.5*(($A234-'Control Room'!$A$13-('Control Room'!$B$13-1)/2)/MAX(0.5,'Control Room'!$B$13/4))^2),1)*IF(AND($A234&gt;='Control Room'!$A$14,$A234&lt;'Control Room'!$A$14+'Control Room'!$B$14,'Process'!BO3=1),1+('Control Room'!$C$14-1)*EXP(-0.5*(($A234-'Control Room'!$A$14-('Control Room'!$B$14-1)/2)/MAX(0.5,'Control Room'!$B$14/4))^2),1)*IF(AND($A234&gt;='Control Room'!$A$15,$A234&lt;'Control Room'!$A$15+'Control Room'!$B$15,'Process'!BO4=1),1+('Control Room'!$C$15-1)*EXP(-0.5*(($A234-'Control Room'!$A$15-('Control Room'!$B$15-1)/2)/MAX(0.5,'Control Room'!$B$15/4))^2),1)*IF(AND($A234&gt;='Control Room'!$A$16,$A234&lt;'Control Room'!$A$16+'Control Room'!$B$16,'Process'!BO5=1),1+('Control Room'!$C$16-1)*EXP(-0.5*(($A234-'Control Room'!$A$16-('Control Room'!$B$16-1)/2)/MAX(0.5,'Control Room'!$B$16/4))^2),1)</x:f>
        <x:v>1</x:v>
      </x:c>
      <x:c r="AA234" s="9" t="n">
        <x:f>MOD(AB233*16807,2147483647)</x:f>
        <x:v>1915644658</x:v>
      </x:c>
      <x:c r="AB234" s="9" t="n">
        <x:f>MOD(AA234*16807,2147483647)</x:f>
        <x:v>1164931182</x:v>
      </x:c>
      <x:c r="AC234" s="17" t="n">
        <x:f>IF('Control Room'!$B$5="Normal",'Control Room'!$B$7+'Control Room'!$D$7*SQRT(-2*LN(MAX(0.000000000001,AA234/2147483647)))*COS(2*PI()*AB234/2147483647),'Control Room'!$B$8+('Control Room'!$D$8-'Control Room'!$B$8)*AA234/2147483647)</x:f>
        <x:v>958.5020258341061</x:v>
      </x:c>
      <x:c r="AD234" s="17" t="n">
        <x:f>IF('Control Room'!$B$5="Normal",'Control Room'!$B$7,('Control Room'!$B$8+'Control Room'!$D$8)/2)+'Control Room'!$B$9*(AD233-IF('Control Room'!$B$5="Normal",'Control Room'!$B$7,('Control Room'!$B$8+'Control Room'!$D$8)/2))+SQRT(1-'Control Room'!$B$9^2)*(AC234-IF('Control Room'!$B$5="Normal",'Control Room'!$B$7,('Control Room'!$B$8+'Control Room'!$D$8)/2))</x:f>
        <x:v>912.5637396616997</x:v>
      </x:c>
      <x:c r="AE234" s="17" t="n">
        <x:f>IF(AND($A234&gt;='Control Room'!$A$13,$A234&lt;'Control Room'!$A$13+'Control Room'!$B$13,'Process'!BP2=1),1+('Control Room'!$C$13-1)*EXP(-0.5*(($A234-'Control Room'!$A$13-('Control Room'!$B$13-1)/2)/MAX(0.5,'Control Room'!$B$13/4))^2),1)*IF(AND($A234&gt;='Control Room'!$A$14,$A234&lt;'Control Room'!$A$14+'Control Room'!$B$14,'Process'!BP3=1),1+('Control Room'!$C$14-1)*EXP(-0.5*(($A234-'Control Room'!$A$14-('Control Room'!$B$14-1)/2)/MAX(0.5,'Control Room'!$B$14/4))^2),1)*IF(AND($A234&gt;='Control Room'!$A$15,$A234&lt;'Control Room'!$A$15+'Control Room'!$B$15,'Process'!BP4=1),1+('Control Room'!$C$15-1)*EXP(-0.5*(($A234-'Control Room'!$A$15-('Control Room'!$B$15-1)/2)/MAX(0.5,'Control Room'!$B$15/4))^2),1)*IF(AND($A234&gt;='Control Room'!$A$16,$A234&lt;'Control Room'!$A$16+'Control Room'!$B$16,'Process'!BP5=1),1+('Control Room'!$C$16-1)*EXP(-0.5*(($A234-'Control Room'!$A$16-('Control Room'!$B$16-1)/2)/MAX(0.5,'Control Room'!$B$16/4))^2),1)</x:f>
        <x:v>1</x:v>
      </x:c>
      <x:c r="AF234" s="9" t="n">
        <x:f>MOD(AG233*16807,2147483647)</x:f>
        <x:v>1095331645</x:v>
      </x:c>
      <x:c r="AG234" s="9" t="n">
        <x:f>MOD(AF234*16807,2147483647)</x:f>
        <x:v>1009135431</x:v>
      </x:c>
      <x:c r="AH234" s="17" t="n">
        <x:f>IF('Control Room'!$B$5="Normal",'Control Room'!$B$7+'Control Room'!$D$7*SQRT(-2*LN(MAX(0.000000000001,AF234/2147483647)))*COS(2*PI()*AG234/2147483647),'Control Room'!$B$8+('Control Room'!$D$8-'Control Room'!$B$8)*AF234/2147483647)</x:f>
        <x:v>897.4261443470328</x:v>
      </x:c>
      <x:c r="AI234" s="17" t="n">
        <x:f>IF('Control Room'!$B$5="Normal",'Control Room'!$B$7,('Control Room'!$B$8+'Control Room'!$D$8)/2)+'Control Room'!$B$9*(AI233-IF('Control Room'!$B$5="Normal",'Control Room'!$B$7,('Control Room'!$B$8+'Control Room'!$D$8)/2))+SQRT(1-'Control Room'!$B$9^2)*(AH234-IF('Control Room'!$B$5="Normal",'Control Room'!$B$7,('Control Room'!$B$8+'Control Room'!$D$8)/2))</x:f>
        <x:v>967.4119321309227</x:v>
      </x:c>
      <x:c r="AJ234" s="17" t="n">
        <x:f>IF(AND($A234&gt;='Control Room'!$A$13,$A234&lt;'Control Room'!$A$13+'Control Room'!$B$13,'Process'!BQ2=1),1+('Control Room'!$C$13-1)*EXP(-0.5*(($A234-'Control Room'!$A$13-('Control Room'!$B$13-1)/2)/MAX(0.5,'Control Room'!$B$13/4))^2),1)*IF(AND($A234&gt;='Control Room'!$A$14,$A234&lt;'Control Room'!$A$14+'Control Room'!$B$14,'Process'!BQ3=1),1+('Control Room'!$C$14-1)*EXP(-0.5*(($A234-'Control Room'!$A$14-('Control Room'!$B$14-1)/2)/MAX(0.5,'Control Room'!$B$14/4))^2),1)*IF(AND($A234&gt;='Control Room'!$A$15,$A234&lt;'Control Room'!$A$15+'Control Room'!$B$15,'Process'!BQ4=1),1+('Control Room'!$C$15-1)*EXP(-0.5*(($A234-'Control Room'!$A$15-('Control Room'!$B$15-1)/2)/MAX(0.5,'Control Room'!$B$15/4))^2),1)*IF(AND($A234&gt;='Control Room'!$A$16,$A234&lt;'Control Room'!$A$16+'Control Room'!$B$16,'Process'!BQ5=1),1+('Control Room'!$C$16-1)*EXP(-0.5*(($A234-'Control Room'!$A$16-('Control Room'!$B$16-1)/2)/MAX(0.5,'Control Room'!$B$16/4))^2),1)</x:f>
        <x:v>1</x:v>
      </x:c>
      <x:c r="AK234" s="9" t="n">
        <x:f>MOD(AL233*16807,2147483647)</x:f>
        <x:v>275018632</x:v>
      </x:c>
      <x:c r="AL234" s="9" t="n">
        <x:f>MOD(AK234*16807,2147483647)</x:f>
        <x:v>853339680</x:v>
      </x:c>
      <x:c r="AM234" s="17" t="n">
        <x:f>IF('Control Room'!$B$5="Normal",'Control Room'!$B$7+'Control Room'!$D$7*SQRT(-2*LN(MAX(0.000000000001,AK234/2147483647)))*COS(2*PI()*AL234/2147483647),'Control Room'!$B$8+('Control Room'!$D$8-'Control Room'!$B$8)*AK234/2147483647)</x:f>
        <x:v>854.1748257265388</x:v>
      </x:c>
      <x:c r="AN234" s="17" t="n">
        <x:f>IF('Control Room'!$B$5="Normal",'Control Room'!$B$7,('Control Room'!$B$8+'Control Room'!$D$8)/2)+'Control Room'!$B$9*(AN233-IF('Control Room'!$B$5="Normal",'Control Room'!$B$7,('Control Room'!$B$8+'Control Room'!$D$8)/2))+SQRT(1-'Control Room'!$B$9^2)*(AM234-IF('Control Room'!$B$5="Normal",'Control Room'!$B$7,('Control Room'!$B$8+'Control Room'!$D$8)/2))</x:f>
        <x:v>867.1696462703842</x:v>
      </x:c>
      <x:c r="AO234" s="17" t="n">
        <x:f>IF(AND($A234&gt;='Control Room'!$A$13,$A234&lt;'Control Room'!$A$13+'Control Room'!$B$13,'Process'!BR2=1),1+('Control Room'!$C$13-1)*EXP(-0.5*(($A234-'Control Room'!$A$13-('Control Room'!$B$13-1)/2)/MAX(0.5,'Control Room'!$B$13/4))^2),1)*IF(AND($A234&gt;='Control Room'!$A$14,$A234&lt;'Control Room'!$A$14+'Control Room'!$B$14,'Process'!BR3=1),1+('Control Room'!$C$14-1)*EXP(-0.5*(($A234-'Control Room'!$A$14-('Control Room'!$B$14-1)/2)/MAX(0.5,'Control Room'!$B$14/4))^2),1)*IF(AND($A234&gt;='Control Room'!$A$15,$A234&lt;'Control Room'!$A$15+'Control Room'!$B$15,'Process'!BR4=1),1+('Control Room'!$C$15-1)*EXP(-0.5*(($A234-'Control Room'!$A$15-('Control Room'!$B$15-1)/2)/MAX(0.5,'Control Room'!$B$15/4))^2),1)*IF(AND($A234&gt;='Control Room'!$A$16,$A234&lt;'Control Room'!$A$16+'Control Room'!$B$16,'Process'!BR5=1),1+('Control Room'!$C$16-1)*EXP(-0.5*(($A234-'Control Room'!$A$16-('Control Room'!$B$16-1)/2)/MAX(0.5,'Control Room'!$B$16/4))^2),1)</x:f>
        <x:v>1</x:v>
      </x:c>
      <x:c r="AP234" s="9" t="n">
        <x:f>MOD(AQ233*16807,2147483647)</x:f>
        <x:v>1602189266</x:v>
      </x:c>
      <x:c r="AQ234" s="9" t="n">
        <x:f>MOD(AP234*16807,2147483647)</x:f>
        <x:v>697543929</x:v>
      </x:c>
      <x:c r="AR234" s="17" t="n">
        <x:f>IF('Control Room'!$B$5="Normal",'Control Room'!$B$7+'Control Room'!$D$7*SQRT(-2*LN(MAX(0.000000000001,AP234/2147483647)))*COS(2*PI()*AQ234/2147483647),'Control Room'!$B$8+('Control Room'!$D$8-'Control Room'!$B$8)*AP234/2147483647)</x:f>
        <x:v>968.7957710698723</x:v>
      </x:c>
      <x:c r="AS234" s="17" t="n">
        <x:f>IF('Control Room'!$B$5="Normal",'Control Room'!$B$7,('Control Room'!$B$8+'Control Room'!$D$8)/2)+'Control Room'!$B$9*(AS233-IF('Control Room'!$B$5="Normal",'Control Room'!$B$7,('Control Room'!$B$8+'Control Room'!$D$8)/2))+SQRT(1-'Control Room'!$B$9^2)*(AR234-IF('Control Room'!$B$5="Normal",'Control Room'!$B$7,('Control Room'!$B$8+'Control Room'!$D$8)/2))</x:f>
        <x:v>930.8631350745532</x:v>
      </x:c>
      <x:c r="AT234" s="17" t="n">
        <x:f>IF(AND($A234&gt;='Control Room'!$A$13,$A234&lt;'Control Room'!$A$13+'Control Room'!$B$13,'Process'!BS2=1),1+('Control Room'!$C$13-1)*EXP(-0.5*(($A234-'Control Room'!$A$13-('Control Room'!$B$13-1)/2)/MAX(0.5,'Control Room'!$B$13/4))^2),1)*IF(AND($A234&gt;='Control Room'!$A$14,$A234&lt;'Control Room'!$A$14+'Control Room'!$B$14,'Process'!BS3=1),1+('Control Room'!$C$14-1)*EXP(-0.5*(($A234-'Control Room'!$A$14-('Control Room'!$B$14-1)/2)/MAX(0.5,'Control Room'!$B$14/4))^2),1)*IF(AND($A234&gt;='Control Room'!$A$15,$A234&lt;'Control Room'!$A$15+'Control Room'!$B$15,'Process'!BS4=1),1+('Control Room'!$C$15-1)*EXP(-0.5*(($A234-'Control Room'!$A$15-('Control Room'!$B$15-1)/2)/MAX(0.5,'Control Room'!$B$15/4))^2),1)*IF(AND($A234&gt;='Control Room'!$A$16,$A234&lt;'Control Room'!$A$16+'Control Room'!$B$16,'Process'!BS5=1),1+('Control Room'!$C$16-1)*EXP(-0.5*(($A234-'Control Room'!$A$16-('Control Room'!$B$16-1)/2)/MAX(0.5,'Control Room'!$B$16/4))^2),1)</x:f>
        <x:v>1</x:v>
      </x:c>
      <x:c r="AU234" s="9" t="n">
        <x:f>MOD(AV233*16807,2147483647)</x:f>
        <x:v>781876253</x:v>
      </x:c>
      <x:c r="AV234" s="9" t="n">
        <x:f>MOD(AU234*16807,2147483647)</x:f>
        <x:v>541748178</x:v>
      </x:c>
      <x:c r="AW234" s="17" t="n">
        <x:f>IF('Control Room'!$B$5="Normal",'Control Room'!$B$7+'Control Room'!$D$7*SQRT(-2*LN(MAX(0.000000000001,AU234/2147483647)))*COS(2*PI()*AV234/2147483647),'Control Room'!$B$8+('Control Room'!$D$8-'Control Room'!$B$8)*AU234/2147483647)</x:f>
        <x:v>998.1743969537887</x:v>
      </x:c>
      <x:c r="AX234" s="17" t="n">
        <x:f>IF('Control Room'!$B$5="Normal",'Control Room'!$B$7,('Control Room'!$B$8+'Control Room'!$D$8)/2)+'Control Room'!$B$9*(AX233-IF('Control Room'!$B$5="Normal",'Control Room'!$B$7,('Control Room'!$B$8+'Control Room'!$D$8)/2))+SQRT(1-'Control Room'!$B$9^2)*(AW234-IF('Control Room'!$B$5="Normal",'Control Room'!$B$7,('Control Room'!$B$8+'Control Room'!$D$8)/2))</x:f>
        <x:v>945.9074660446756</x:v>
      </x:c>
      <x:c r="AY234" s="17" t="n">
        <x:f>IF(AND($A234&gt;='Control Room'!$A$13,$A234&lt;'Control Room'!$A$13+'Control Room'!$B$13,'Process'!BT2=1),1+('Control Room'!$C$13-1)*EXP(-0.5*(($A234-'Control Room'!$A$13-('Control Room'!$B$13-1)/2)/MAX(0.5,'Control Room'!$B$13/4))^2),1)*IF(AND($A234&gt;='Control Room'!$A$14,$A234&lt;'Control Room'!$A$14+'Control Room'!$B$14,'Process'!BT3=1),1+('Control Room'!$C$14-1)*EXP(-0.5*(($A234-'Control Room'!$A$14-('Control Room'!$B$14-1)/2)/MAX(0.5,'Control Room'!$B$14/4))^2),1)*IF(AND($A234&gt;='Control Room'!$A$15,$A234&lt;'Control Room'!$A$15+'Control Room'!$B$15,'Process'!BT4=1),1+('Control Room'!$C$15-1)*EXP(-0.5*(($A234-'Control Room'!$A$15-('Control Room'!$B$15-1)/2)/MAX(0.5,'Control Room'!$B$15/4))^2),1)*IF(AND($A234&gt;='Control Room'!$A$16,$A234&lt;'Control Room'!$A$16+'Control Room'!$B$16,'Process'!BT5=1),1+('Control Room'!$C$16-1)*EXP(-0.5*(($A234-'Control Room'!$A$16-('Control Room'!$B$16-1)/2)/MAX(0.5,'Control Room'!$B$16/4))^2),1)</x:f>
        <x:v>1</x:v>
      </x:c>
      <x:c r="AZ234" s="9" t="n">
        <x:f>MOD(BA233*16807,2147483647)</x:f>
        <x:v>2109046887</x:v>
      </x:c>
      <x:c r="BA234" s="9" t="n">
        <x:f>MOD(AZ234*16807,2147483647)</x:f>
        <x:v>385952427</x:v>
      </x:c>
      <x:c r="BB234" s="17" t="n">
        <x:f>IF('Control Room'!$B$5="Normal",'Control Room'!$B$7+'Control Room'!$D$7*SQRT(-2*LN(MAX(0.000000000001,AZ234/2147483647)))*COS(2*PI()*BA234/2147483647),'Control Room'!$B$8+('Control Room'!$D$8-'Control Room'!$B$8)*AZ234/2147483647)</x:f>
        <x:v>1007.3098846794146</x:v>
      </x:c>
      <x:c r="BC234" s="17" t="n">
        <x:f>IF('Control Room'!$B$5="Normal",'Control Room'!$B$7,('Control Room'!$B$8+'Control Room'!$D$8)/2)+'Control Room'!$B$9*(BC233-IF('Control Room'!$B$5="Normal",'Control Room'!$B$7,('Control Room'!$B$8+'Control Room'!$D$8)/2))+SQRT(1-'Control Room'!$B$9^2)*(BB234-IF('Control Room'!$B$5="Normal",'Control Room'!$B$7,('Control Room'!$B$8+'Control Room'!$D$8)/2))</x:f>
        <x:v>1000.3149314414117</x:v>
      </x:c>
      <x:c r="BD234" s="17" t="n">
        <x:f>IF(AND($A234&gt;='Control Room'!$A$13,$A234&lt;'Control Room'!$A$13+'Control Room'!$B$13,'Process'!BU2=1),1+('Control Room'!$C$13-1)*EXP(-0.5*(($A234-'Control Room'!$A$13-('Control Room'!$B$13-1)/2)/MAX(0.5,'Control Room'!$B$13/4))^2),1)*IF(AND($A234&gt;='Control Room'!$A$14,$A234&lt;'Control Room'!$A$14+'Control Room'!$B$14,'Process'!BU3=1),1+('Control Room'!$C$14-1)*EXP(-0.5*(($A234-'Control Room'!$A$14-('Control Room'!$B$14-1)/2)/MAX(0.5,'Control Room'!$B$14/4))^2),1)*IF(AND($A234&gt;='Control Room'!$A$15,$A234&lt;'Control Room'!$A$15+'Control Room'!$B$15,'Process'!BU4=1),1+('Control Room'!$C$15-1)*EXP(-0.5*(($A234-'Control Room'!$A$15-('Control Room'!$B$15-1)/2)/MAX(0.5,'Control Room'!$B$15/4))^2),1)*IF(AND($A234&gt;='Control Room'!$A$16,$A234&lt;'Control Room'!$A$16+'Control Room'!$B$16,'Process'!BU5=1),1+('Control Room'!$C$16-1)*EXP(-0.5*(($A234-'Control Room'!$A$16-('Control Room'!$B$16-1)/2)/MAX(0.5,'Control Room'!$B$16/4))^2),1)</x:f>
        <x:v>1</x:v>
      </x:c>
      <x:c r="BE234" s="9" t="n">
        <x:f>MOD(BF233*16807,2147483647)</x:f>
        <x:v>1288733874</x:v>
      </x:c>
      <x:c r="BF234" s="9" t="n">
        <x:f>MOD(BE234*16807,2147483647)</x:f>
        <x:v>230156676</x:v>
      </x:c>
      <x:c r="BG234" s="17" t="n">
        <x:f>IF('Control Room'!$B$5="Normal",'Control Room'!$B$7+'Control Room'!$D$7*SQRT(-2*LN(MAX(0.000000000001,BE234/2147483647)))*COS(2*PI()*BF234/2147483647),'Control Room'!$B$8+('Control Room'!$D$8-'Control Room'!$B$8)*BE234/2147483647)</x:f>
        <x:v>1071.097858138195</x:v>
      </x:c>
      <x:c r="BH234" s="17" t="n">
        <x:f>IF('Control Room'!$B$5="Normal",'Control Room'!$B$7,('Control Room'!$B$8+'Control Room'!$D$8)/2)+'Control Room'!$B$9*(BH233-IF('Control Room'!$B$5="Normal",'Control Room'!$B$7,('Control Room'!$B$8+'Control Room'!$D$8)/2))+SQRT(1-'Control Room'!$B$9^2)*(BG234-IF('Control Room'!$B$5="Normal",'Control Room'!$B$7,('Control Room'!$B$8+'Control Room'!$D$8)/2))</x:f>
        <x:v>1057.524771035723</x:v>
      </x:c>
      <x:c r="BI234" s="17" t="n">
        <x:f>IF(AND($A234&gt;='Control Room'!$A$13,$A234&lt;'Control Room'!$A$13+'Control Room'!$B$13,'Process'!BV2=1),1+('Control Room'!$C$13-1)*EXP(-0.5*(($A234-'Control Room'!$A$13-('Control Room'!$B$13-1)/2)/MAX(0.5,'Control Room'!$B$13/4))^2),1)*IF(AND($A234&gt;='Control Room'!$A$14,$A234&lt;'Control Room'!$A$14+'Control Room'!$B$14,'Process'!BV3=1),1+('Control Room'!$C$14-1)*EXP(-0.5*(($A234-'Control Room'!$A$14-('Control Room'!$B$14-1)/2)/MAX(0.5,'Control Room'!$B$14/4))^2),1)*IF(AND($A234&gt;='Control Room'!$A$15,$A234&lt;'Control Room'!$A$15+'Control Room'!$B$15,'Process'!BV4=1),1+('Control Room'!$C$15-1)*EXP(-0.5*(($A234-'Control Room'!$A$15-('Control Room'!$B$15-1)/2)/MAX(0.5,'Control Room'!$B$15/4))^2),1)*IF(AND($A234&gt;='Control Room'!$A$16,$A234&lt;'Control Room'!$A$16+'Control Room'!$B$16,'Process'!BV5=1),1+('Control Room'!$C$16-1)*EXP(-0.5*(($A234-'Control Room'!$A$16-('Control Room'!$B$16-1)/2)/MAX(0.5,'Control Room'!$B$16/4))^2),1)</x:f>
        <x:v>1</x:v>
      </x:c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Z234" t="str">
        <x:f>IF('Data'!A234="","",TEXT('Data'!A234,"mm-dd"))</x:f>
      </x:c>
    </x:row>
    <x:row r="235" ht="21" customHeight="1">
      <x:c r="A235" s="15" t="n">
        <x:f>'Control Room'!$B$1+233</x:f>
        <x:v>73224</x:v>
      </x:c>
      <x:c r="B235" s="9" t="n">
        <x:f>MOD(C234*16807,2147483647)</x:f>
        <x:v>1625589348</x:v>
      </x:c>
      <x:c r="C235" s="9" t="n">
        <x:f>MOD(B235*16807,2147483647)</x:f>
        <x:v>993214702</x:v>
      </x:c>
      <x:c r="D235" s="17" t="n">
        <x:f>IF('Control Room'!$B$5="Normal",'Control Room'!$B$7+'Control Room'!$D$7*SQRT(-2*LN(MAX(0.000000000001,B235/2147483647)))*COS(2*PI()*C235/2147483647),'Control Room'!$B$8+('Control Room'!$D$8-'Control Room'!$B$8)*B235/2147483647)</x:f>
        <x:v>934.6951779862795</x:v>
      </x:c>
      <x:c r="E235" s="17" t="n">
        <x:f>IF('Control Room'!$B$5="Normal",'Control Room'!$B$7,('Control Room'!$B$8+'Control Room'!$D$8)/2)+'Control Room'!$B$9*(E234-IF('Control Room'!$B$5="Normal",'Control Room'!$B$7,('Control Room'!$B$8+'Control Room'!$D$8)/2))+SQRT(1-'Control Room'!$B$9^2)*(D235-IF('Control Room'!$B$5="Normal",'Control Room'!$B$7,('Control Room'!$B$8+'Control Room'!$D$8)/2))</x:f>
        <x:v>960.0154838057025</x:v>
      </x:c>
      <x:c r="F235" s="17" t="n">
        <x:f>IF(AND($A235&gt;='Control Room'!$A$13,$A235&lt;'Control Room'!$A$13+'Control Room'!$B$13,'Process'!BK2=1),1+('Control Room'!$C$13-1)*EXP(-0.5*(($A235-'Control Room'!$A$13-('Control Room'!$B$13-1)/2)/MAX(0.5,'Control Room'!$B$13/4))^2),1)*IF(AND($A235&gt;='Control Room'!$A$14,$A235&lt;'Control Room'!$A$14+'Control Room'!$B$14,'Process'!BK3=1),1+('Control Room'!$C$14-1)*EXP(-0.5*(($A235-'Control Room'!$A$14-('Control Room'!$B$14-1)/2)/MAX(0.5,'Control Room'!$B$14/4))^2),1)*IF(AND($A235&gt;='Control Room'!$A$15,$A235&lt;'Control Room'!$A$15+'Control Room'!$B$15,'Process'!BK4=1),1+('Control Room'!$C$15-1)*EXP(-0.5*(($A235-'Control Room'!$A$15-('Control Room'!$B$15-1)/2)/MAX(0.5,'Control Room'!$B$15/4))^2),1)*IF(AND($A235&gt;='Control Room'!$A$16,$A235&lt;'Control Room'!$A$16+'Control Room'!$B$16,'Process'!BK5=1),1+('Control Room'!$C$16-1)*EXP(-0.5*(($A235-'Control Room'!$A$16-('Control Room'!$B$16-1)/2)/MAX(0.5,'Control Room'!$B$16/4))^2),1)</x:f>
        <x:v>1</x:v>
      </x:c>
      <x:c r="G235" s="9" t="n">
        <x:f>MOD(H234*16807,2147483647)</x:f>
        <x:v>948967984</x:v>
      </x:c>
      <x:c r="H235" s="9" t="n">
        <x:f>MOD(G235*16807,2147483647)</x:f>
        <x:v>2091344466</x:v>
      </x:c>
      <x:c r="I235" s="17" t="n">
        <x:f>IF('Control Room'!$B$5="Normal",'Control Room'!$B$7+'Control Room'!$D$7*SQRT(-2*LN(MAX(0.000000000001,G235/2147483647)))*COS(2*PI()*H235/2147483647),'Control Room'!$B$8+('Control Room'!$D$8-'Control Room'!$B$8)*G235/2147483647)</x:f>
        <x:v>1113.4743304792792</x:v>
      </x:c>
      <x:c r="J235" s="17" t="n">
        <x:f>IF('Control Room'!$B$5="Normal",'Control Room'!$B$7,('Control Room'!$B$8+'Control Room'!$D$8)/2)+'Control Room'!$B$9*(J234-IF('Control Room'!$B$5="Normal",'Control Room'!$B$7,('Control Room'!$B$8+'Control Room'!$D$8)/2))+SQRT(1-'Control Room'!$B$9^2)*(I235-IF('Control Room'!$B$5="Normal",'Control Room'!$B$7,('Control Room'!$B$8+'Control Room'!$D$8)/2))</x:f>
        <x:v>1101.5422513048359</x:v>
      </x:c>
      <x:c r="K235" s="17" t="n">
        <x:f>IF(AND($A235&gt;='Control Room'!$A$13,$A235&lt;'Control Room'!$A$13+'Control Room'!$B$13,'Process'!BL2=1),1+('Control Room'!$C$13-1)*EXP(-0.5*(($A235-'Control Room'!$A$13-('Control Room'!$B$13-1)/2)/MAX(0.5,'Control Room'!$B$13/4))^2),1)*IF(AND($A235&gt;='Control Room'!$A$14,$A235&lt;'Control Room'!$A$14+'Control Room'!$B$14,'Process'!BL3=1),1+('Control Room'!$C$14-1)*EXP(-0.5*(($A235-'Control Room'!$A$14-('Control Room'!$B$14-1)/2)/MAX(0.5,'Control Room'!$B$14/4))^2),1)*IF(AND($A235&gt;='Control Room'!$A$15,$A235&lt;'Control Room'!$A$15+'Control Room'!$B$15,'Process'!BL4=1),1+('Control Room'!$C$15-1)*EXP(-0.5*(($A235-'Control Room'!$A$15-('Control Room'!$B$15-1)/2)/MAX(0.5,'Control Room'!$B$15/4))^2),1)*IF(AND($A235&gt;='Control Room'!$A$16,$A235&lt;'Control Room'!$A$16+'Control Room'!$B$16,'Process'!BL5=1),1+('Control Room'!$C$16-1)*EXP(-0.5*(($A235-'Control Room'!$A$16-('Control Room'!$B$16-1)/2)/MAX(0.5,'Control Room'!$B$16/4))^2),1)</x:f>
        <x:v>1</x:v>
      </x:c>
      <x:c r="L235" s="9" t="n">
        <x:f>MOD(M234*16807,2147483647)</x:f>
        <x:v>272346620</x:v>
      </x:c>
      <x:c r="M235" s="9" t="n">
        <x:f>MOD(L235*16807,2147483647)</x:f>
        <x:v>1041990583</x:v>
      </x:c>
      <x:c r="N235" s="17" t="n">
        <x:f>IF('Control Room'!$B$5="Normal",'Control Room'!$B$7+'Control Room'!$D$7*SQRT(-2*LN(MAX(0.000000000001,L235/2147483647)))*COS(2*PI()*M235/2147483647),'Control Room'!$B$8+('Control Room'!$D$8-'Control Room'!$B$8)*L235/2147483647)</x:f>
        <x:v>817.8880980250203</x:v>
      </x:c>
      <x:c r="O235" s="17" t="n">
        <x:f>IF('Control Room'!$B$5="Normal",'Control Room'!$B$7,('Control Room'!$B$8+'Control Room'!$D$8)/2)+'Control Room'!$B$9*(O234-IF('Control Room'!$B$5="Normal",'Control Room'!$B$7,('Control Room'!$B$8+'Control Room'!$D$8)/2))+SQRT(1-'Control Room'!$B$9^2)*(N235-IF('Control Room'!$B$5="Normal",'Control Room'!$B$7,('Control Room'!$B$8+'Control Room'!$D$8)/2))</x:f>
        <x:v>939.3774220937604</x:v>
      </x:c>
      <x:c r="P235" s="17" t="n">
        <x:f>IF(AND($A235&gt;='Control Room'!$A$13,$A235&lt;'Control Room'!$A$13+'Control Room'!$B$13,'Process'!BM2=1),1+('Control Room'!$C$13-1)*EXP(-0.5*(($A235-'Control Room'!$A$13-('Control Room'!$B$13-1)/2)/MAX(0.5,'Control Room'!$B$13/4))^2),1)*IF(AND($A235&gt;='Control Room'!$A$14,$A235&lt;'Control Room'!$A$14+'Control Room'!$B$14,'Process'!BM3=1),1+('Control Room'!$C$14-1)*EXP(-0.5*(($A235-'Control Room'!$A$14-('Control Room'!$B$14-1)/2)/MAX(0.5,'Control Room'!$B$14/4))^2),1)*IF(AND($A235&gt;='Control Room'!$A$15,$A235&lt;'Control Room'!$A$15+'Control Room'!$B$15,'Process'!BM4=1),1+('Control Room'!$C$15-1)*EXP(-0.5*(($A235-'Control Room'!$A$15-('Control Room'!$B$15-1)/2)/MAX(0.5,'Control Room'!$B$15/4))^2),1)*IF(AND($A235&gt;='Control Room'!$A$16,$A235&lt;'Control Room'!$A$16+'Control Room'!$B$16,'Process'!BM5=1),1+('Control Room'!$C$16-1)*EXP(-0.5*(($A235-'Control Room'!$A$16-('Control Room'!$B$16-1)/2)/MAX(0.5,'Control Room'!$B$16/4))^2),1)</x:f>
        <x:v>1</x:v>
      </x:c>
      <x:c r="Q235" s="9" t="n">
        <x:f>MOD(R234*16807,2147483647)</x:f>
        <x:v>1743208903</x:v>
      </x:c>
      <x:c r="R235" s="9" t="n">
        <x:f>MOD(Q235*16807,2147483647)</x:f>
        <x:v>2140120347</x:v>
      </x:c>
      <x:c r="S235" s="17" t="n">
        <x:f>IF('Control Room'!$B$5="Normal",'Control Room'!$B$7+'Control Room'!$D$7*SQRT(-2*LN(MAX(0.000000000001,Q235/2147483647)))*COS(2*PI()*R235/2147483647),'Control Room'!$B$8+('Control Room'!$D$8-'Control Room'!$B$8)*Q235/2147483647)</x:f>
        <x:v>1058.1141308947506</x:v>
      </x:c>
      <x:c r="T235" s="17" t="n">
        <x:f>IF('Control Room'!$B$5="Normal",'Control Room'!$B$7,('Control Room'!$B$8+'Control Room'!$D$8)/2)+'Control Room'!$B$9*(T234-IF('Control Room'!$B$5="Normal",'Control Room'!$B$7,('Control Room'!$B$8+'Control Room'!$D$8)/2))+SQRT(1-'Control Room'!$B$9^2)*(S235-IF('Control Room'!$B$5="Normal",'Control Room'!$B$7,('Control Room'!$B$8+'Control Room'!$D$8)/2))</x:f>
        <x:v>1026.4800275816456</x:v>
      </x:c>
      <x:c r="U235" s="17" t="n">
        <x:f>IF(AND($A235&gt;='Control Room'!$A$13,$A235&lt;'Control Room'!$A$13+'Control Room'!$B$13,'Process'!BN2=1),1+('Control Room'!$C$13-1)*EXP(-0.5*(($A235-'Control Room'!$A$13-('Control Room'!$B$13-1)/2)/MAX(0.5,'Control Room'!$B$13/4))^2),1)*IF(AND($A235&gt;='Control Room'!$A$14,$A235&lt;'Control Room'!$A$14+'Control Room'!$B$14,'Process'!BN3=1),1+('Control Room'!$C$14-1)*EXP(-0.5*(($A235-'Control Room'!$A$14-('Control Room'!$B$14-1)/2)/MAX(0.5,'Control Room'!$B$14/4))^2),1)*IF(AND($A235&gt;='Control Room'!$A$15,$A235&lt;'Control Room'!$A$15+'Control Room'!$B$15,'Process'!BN4=1),1+('Control Room'!$C$15-1)*EXP(-0.5*(($A235-'Control Room'!$A$15-('Control Room'!$B$15-1)/2)/MAX(0.5,'Control Room'!$B$15/4))^2),1)*IF(AND($A235&gt;='Control Room'!$A$16,$A235&lt;'Control Room'!$A$16+'Control Room'!$B$16,'Process'!BN5=1),1+('Control Room'!$C$16-1)*EXP(-0.5*(($A235-'Control Room'!$A$16-('Control Room'!$B$16-1)/2)/MAX(0.5,'Control Room'!$B$16/4))^2),1)</x:f>
        <x:v>1</x:v>
      </x:c>
      <x:c r="V235" s="9" t="n">
        <x:f>MOD(W234*16807,2147483647)</x:f>
        <x:v>1066587539</x:v>
      </x:c>
      <x:c r="W235" s="9" t="n">
        <x:f>MOD(V235*16807,2147483647)</x:f>
        <x:v>1090766464</x:v>
      </x:c>
      <x:c r="X235" s="17" t="n">
        <x:f>IF('Control Room'!$B$5="Normal",'Control Room'!$B$7+'Control Room'!$D$7*SQRT(-2*LN(MAX(0.000000000001,V235/2147483647)))*COS(2*PI()*W235/2147483647),'Control Room'!$B$8+('Control Room'!$D$8-'Control Room'!$B$8)*V235/2147483647)</x:f>
        <x:v>893.6553770535106</x:v>
      </x:c>
      <x:c r="Y235" s="17" t="n">
        <x:f>IF('Control Room'!$B$5="Normal",'Control Room'!$B$7,('Control Room'!$B$8+'Control Room'!$D$8)/2)+'Control Room'!$B$9*(Y234-IF('Control Room'!$B$5="Normal",'Control Room'!$B$7,('Control Room'!$B$8+'Control Room'!$D$8)/2))+SQRT(1-'Control Room'!$B$9^2)*(X235-IF('Control Room'!$B$5="Normal",'Control Room'!$B$7,('Control Room'!$B$8+'Control Room'!$D$8)/2))</x:f>
        <x:v>849.7230793961974</x:v>
      </x:c>
      <x:c r="Z235" s="17" t="n">
        <x:f>IF(AND($A235&gt;='Control Room'!$A$13,$A235&lt;'Control Room'!$A$13+'Control Room'!$B$13,'Process'!BO2=1),1+('Control Room'!$C$13-1)*EXP(-0.5*(($A235-'Control Room'!$A$13-('Control Room'!$B$13-1)/2)/MAX(0.5,'Control Room'!$B$13/4))^2),1)*IF(AND($A235&gt;='Control Room'!$A$14,$A235&lt;'Control Room'!$A$14+'Control Room'!$B$14,'Process'!BO3=1),1+('Control Room'!$C$14-1)*EXP(-0.5*(($A235-'Control Room'!$A$14-('Control Room'!$B$14-1)/2)/MAX(0.5,'Control Room'!$B$14/4))^2),1)*IF(AND($A235&gt;='Control Room'!$A$15,$A235&lt;'Control Room'!$A$15+'Control Room'!$B$15,'Process'!BO4=1),1+('Control Room'!$C$15-1)*EXP(-0.5*(($A235-'Control Room'!$A$15-('Control Room'!$B$15-1)/2)/MAX(0.5,'Control Room'!$B$15/4))^2),1)*IF(AND($A235&gt;='Control Room'!$A$16,$A235&lt;'Control Room'!$A$16+'Control Room'!$B$16,'Process'!BO5=1),1+('Control Room'!$C$16-1)*EXP(-0.5*(($A235-'Control Room'!$A$16-('Control Room'!$B$16-1)/2)/MAX(0.5,'Control Room'!$B$16/4))^2),1)</x:f>
        <x:v>1</x:v>
      </x:c>
      <x:c r="AA235" s="9" t="n">
        <x:f>MOD(AB234*16807,2147483647)</x:f>
        <x:v>389966175</x:v>
      </x:c>
      <x:c r="AB235" s="9" t="n">
        <x:f>MOD(AA235*16807,2147483647)</x:f>
        <x:v>41412581</x:v>
      </x:c>
      <x:c r="AC235" s="17" t="n">
        <x:f>IF('Control Room'!$B$5="Normal",'Control Room'!$B$7+'Control Room'!$D$7*SQRT(-2*LN(MAX(0.000000000001,AA235/2147483647)))*COS(2*PI()*AB235/2147483647),'Control Room'!$B$8+('Control Room'!$D$8-'Control Room'!$B$8)*AA235/2147483647)</x:f>
        <x:v>1165.0251632252175</x:v>
      </x:c>
      <x:c r="AD235" s="17" t="n">
        <x:f>IF('Control Room'!$B$5="Normal",'Control Room'!$B$7,('Control Room'!$B$8+'Control Room'!$D$8)/2)+'Control Room'!$B$9*(AD234-IF('Control Room'!$B$5="Normal",'Control Room'!$B$7,('Control Room'!$B$8+'Control Room'!$D$8)/2))+SQRT(1-'Control Room'!$B$9^2)*(AC235-IF('Control Room'!$B$5="Normal",'Control Room'!$B$7,('Control Room'!$B$8+'Control Room'!$D$8)/2))</x:f>
        <x:v>1035.0690833582396</x:v>
      </x:c>
      <x:c r="AE235" s="17" t="n">
        <x:f>IF(AND($A235&gt;='Control Room'!$A$13,$A235&lt;'Control Room'!$A$13+'Control Room'!$B$13,'Process'!BP2=1),1+('Control Room'!$C$13-1)*EXP(-0.5*(($A235-'Control Room'!$A$13-('Control Room'!$B$13-1)/2)/MAX(0.5,'Control Room'!$B$13/4))^2),1)*IF(AND($A235&gt;='Control Room'!$A$14,$A235&lt;'Control Room'!$A$14+'Control Room'!$B$14,'Process'!BP3=1),1+('Control Room'!$C$14-1)*EXP(-0.5*(($A235-'Control Room'!$A$14-('Control Room'!$B$14-1)/2)/MAX(0.5,'Control Room'!$B$14/4))^2),1)*IF(AND($A235&gt;='Control Room'!$A$15,$A235&lt;'Control Room'!$A$15+'Control Room'!$B$15,'Process'!BP4=1),1+('Control Room'!$C$15-1)*EXP(-0.5*(($A235-'Control Room'!$A$15-('Control Room'!$B$15-1)/2)/MAX(0.5,'Control Room'!$B$15/4))^2),1)*IF(AND($A235&gt;='Control Room'!$A$16,$A235&lt;'Control Room'!$A$16+'Control Room'!$B$16,'Process'!BP5=1),1+('Control Room'!$C$16-1)*EXP(-0.5*(($A235-'Control Room'!$A$16-('Control Room'!$B$16-1)/2)/MAX(0.5,'Control Room'!$B$16/4))^2),1)</x:f>
        <x:v>1</x:v>
      </x:c>
      <x:c r="AF235" s="9" t="n">
        <x:f>MOD(AG234*16807,2147483647)</x:f>
        <x:v>1860828458</x:v>
      </x:c>
      <x:c r="AG235" s="9" t="n">
        <x:f>MOD(AF235*16807,2147483647)</x:f>
        <x:v>1139542345</x:v>
      </x:c>
      <x:c r="AH235" s="17" t="n">
        <x:f>IF('Control Room'!$B$5="Normal",'Control Room'!$B$7+'Control Room'!$D$7*SQRT(-2*LN(MAX(0.000000000001,AF235/2147483647)))*COS(2*PI()*AG235/2147483647),'Control Room'!$B$8+('Control Room'!$D$8-'Control Room'!$B$8)*AF235/2147483647)</x:f>
        <x:v>952.712758356399</x:v>
      </x:c>
      <x:c r="AI235" s="17" t="n">
        <x:f>IF('Control Room'!$B$5="Normal",'Control Room'!$B$7,('Control Room'!$B$8+'Control Room'!$D$8)/2)+'Control Room'!$B$9*(AI234-IF('Control Room'!$B$5="Normal",'Control Room'!$B$7,('Control Room'!$B$8+'Control Room'!$D$8)/2))+SQRT(1-'Control Room'!$B$9^2)*(AH235-IF('Control Room'!$B$5="Normal",'Control Room'!$B$7,('Control Room'!$B$8+'Control Room'!$D$8)/2))</x:f>
        <x:v>944.9899199733545</x:v>
      </x:c>
      <x:c r="AJ235" s="17" t="n">
        <x:f>IF(AND($A235&gt;='Control Room'!$A$13,$A235&lt;'Control Room'!$A$13+'Control Room'!$B$13,'Process'!BQ2=1),1+('Control Room'!$C$13-1)*EXP(-0.5*(($A235-'Control Room'!$A$13-('Control Room'!$B$13-1)/2)/MAX(0.5,'Control Room'!$B$13/4))^2),1)*IF(AND($A235&gt;='Control Room'!$A$14,$A235&lt;'Control Room'!$A$14+'Control Room'!$B$14,'Process'!BQ3=1),1+('Control Room'!$C$14-1)*EXP(-0.5*(($A235-'Control Room'!$A$14-('Control Room'!$B$14-1)/2)/MAX(0.5,'Control Room'!$B$14/4))^2),1)*IF(AND($A235&gt;='Control Room'!$A$15,$A235&lt;'Control Room'!$A$15+'Control Room'!$B$15,'Process'!BQ4=1),1+('Control Room'!$C$15-1)*EXP(-0.5*(($A235-'Control Room'!$A$15-('Control Room'!$B$15-1)/2)/MAX(0.5,'Control Room'!$B$15/4))^2),1)*IF(AND($A235&gt;='Control Room'!$A$16,$A235&lt;'Control Room'!$A$16+'Control Room'!$B$16,'Process'!BQ5=1),1+('Control Room'!$C$16-1)*EXP(-0.5*(($A235-'Control Room'!$A$16-('Control Room'!$B$16-1)/2)/MAX(0.5,'Control Room'!$B$16/4))^2),1)</x:f>
        <x:v>1</x:v>
      </x:c>
      <x:c r="AK235" s="9" t="n">
        <x:f>MOD(AL234*16807,2147483647)</x:f>
        <x:v>1184207094</x:v>
      </x:c>
      <x:c r="AL235" s="9" t="n">
        <x:f>MOD(AK235*16807,2147483647)</x:f>
        <x:v>90188462</x:v>
      </x:c>
      <x:c r="AM235" s="17" t="n">
        <x:f>IF('Control Room'!$B$5="Normal",'Control Room'!$B$7+'Control Room'!$D$7*SQRT(-2*LN(MAX(0.000000000001,AK235/2147483647)))*COS(2*PI()*AL235/2147483647),'Control Room'!$B$8+('Control Room'!$D$8-'Control Room'!$B$8)*AK235/2147483647)</x:f>
        <x:v>1094.7978575979628</x:v>
      </x:c>
      <x:c r="AN235" s="17" t="n">
        <x:f>IF('Control Room'!$B$5="Normal",'Control Room'!$B$7,('Control Room'!$B$8+'Control Room'!$D$8)/2)+'Control Room'!$B$9*(AN234-IF('Control Room'!$B$5="Normal",'Control Room'!$B$7,('Control Room'!$B$8+'Control Room'!$D$8)/2))+SQRT(1-'Control Room'!$B$9^2)*(AM235-IF('Control Room'!$B$5="Normal",'Control Room'!$B$7,('Control Room'!$B$8+'Control Room'!$D$8)/2))</x:f>
        <x:v>955.7148813360327</x:v>
      </x:c>
      <x:c r="AO235" s="17" t="n">
        <x:f>IF(AND($A235&gt;='Control Room'!$A$13,$A235&lt;'Control Room'!$A$13+'Control Room'!$B$13,'Process'!BR2=1),1+('Control Room'!$C$13-1)*EXP(-0.5*(($A235-'Control Room'!$A$13-('Control Room'!$B$13-1)/2)/MAX(0.5,'Control Room'!$B$13/4))^2),1)*IF(AND($A235&gt;='Control Room'!$A$14,$A235&lt;'Control Room'!$A$14+'Control Room'!$B$14,'Process'!BR3=1),1+('Control Room'!$C$14-1)*EXP(-0.5*(($A235-'Control Room'!$A$14-('Control Room'!$B$14-1)/2)/MAX(0.5,'Control Room'!$B$14/4))^2),1)*IF(AND($A235&gt;='Control Room'!$A$15,$A235&lt;'Control Room'!$A$15+'Control Room'!$B$15,'Process'!BR4=1),1+('Control Room'!$C$15-1)*EXP(-0.5*(($A235-'Control Room'!$A$15-('Control Room'!$B$15-1)/2)/MAX(0.5,'Control Room'!$B$15/4))^2),1)*IF(AND($A235&gt;='Control Room'!$A$16,$A235&lt;'Control Room'!$A$16+'Control Room'!$B$16,'Process'!BR5=1),1+('Control Room'!$C$16-1)*EXP(-0.5*(($A235-'Control Room'!$A$16-('Control Room'!$B$16-1)/2)/MAX(0.5,'Control Room'!$B$16/4))^2),1)</x:f>
        <x:v>1</x:v>
      </x:c>
      <x:c r="AP235" s="9" t="n">
        <x:f>MOD(AQ234*16807,2147483647)</x:f>
        <x:v>507585730</x:v>
      </x:c>
      <x:c r="AQ235" s="9" t="n">
        <x:f>MOD(AP235*16807,2147483647)</x:f>
        <x:v>1188318226</x:v>
      </x:c>
      <x:c r="AR235" s="17" t="n">
        <x:f>IF('Control Room'!$B$5="Normal",'Control Room'!$B$7+'Control Room'!$D$7*SQRT(-2*LN(MAX(0.000000000001,AP235/2147483647)))*COS(2*PI()*AQ235/2147483647),'Control Room'!$B$8+('Control Room'!$D$8-'Control Room'!$B$8)*AP235/2147483647)</x:f>
        <x:v>855.647608564957</x:v>
      </x:c>
      <x:c r="AS235" s="17" t="n">
        <x:f>IF('Control Room'!$B$5="Normal",'Control Room'!$B$7,('Control Room'!$B$8+'Control Room'!$D$8)/2)+'Control Room'!$B$9*(AS234-IF('Control Room'!$B$5="Normal",'Control Room'!$B$7,('Control Room'!$B$8+'Control Room'!$D$8)/2))+SQRT(1-'Control Room'!$B$9^2)*(AR235-IF('Control Room'!$B$5="Normal",'Control Room'!$B$7,('Control Room'!$B$8+'Control Room'!$D$8)/2))</x:f>
        <x:v>855.7404760175792</x:v>
      </x:c>
      <x:c r="AT235" s="17" t="n">
        <x:f>IF(AND($A235&gt;='Control Room'!$A$13,$A235&lt;'Control Room'!$A$13+'Control Room'!$B$13,'Process'!BS2=1),1+('Control Room'!$C$13-1)*EXP(-0.5*(($A235-'Control Room'!$A$13-('Control Room'!$B$13-1)/2)/MAX(0.5,'Control Room'!$B$13/4))^2),1)*IF(AND($A235&gt;='Control Room'!$A$14,$A235&lt;'Control Room'!$A$14+'Control Room'!$B$14,'Process'!BS3=1),1+('Control Room'!$C$14-1)*EXP(-0.5*(($A235-'Control Room'!$A$14-('Control Room'!$B$14-1)/2)/MAX(0.5,'Control Room'!$B$14/4))^2),1)*IF(AND($A235&gt;='Control Room'!$A$15,$A235&lt;'Control Room'!$A$15+'Control Room'!$B$15,'Process'!BS4=1),1+('Control Room'!$C$15-1)*EXP(-0.5*(($A235-'Control Room'!$A$15-('Control Room'!$B$15-1)/2)/MAX(0.5,'Control Room'!$B$15/4))^2),1)*IF(AND($A235&gt;='Control Room'!$A$16,$A235&lt;'Control Room'!$A$16+'Control Room'!$B$16,'Process'!BS5=1),1+('Control Room'!$C$16-1)*EXP(-0.5*(($A235-'Control Room'!$A$16-('Control Room'!$B$16-1)/2)/MAX(0.5,'Control Room'!$B$16/4))^2),1)</x:f>
        <x:v>1</x:v>
      </x:c>
      <x:c r="AU235" s="9" t="n">
        <x:f>MOD(AV234*16807,2147483647)</x:f>
        <x:v>1978448013</x:v>
      </x:c>
      <x:c r="AV235" s="9" t="n">
        <x:f>MOD(AU235*16807,2147483647)</x:f>
        <x:v>138964343</x:v>
      </x:c>
      <x:c r="AW235" s="17" t="n">
        <x:f>IF('Control Room'!$B$5="Normal",'Control Room'!$B$7+'Control Room'!$D$7*SQRT(-2*LN(MAX(0.000000000001,AU235/2147483647)))*COS(2*PI()*AV235/2147483647),'Control Room'!$B$8+('Control Room'!$D$8-'Control Room'!$B$8)*AU235/2147483647)</x:f>
        <x:v>1033.4726427647033</x:v>
      </x:c>
      <x:c r="AX235" s="17" t="n">
        <x:f>IF('Control Room'!$B$5="Normal",'Control Room'!$B$7,('Control Room'!$B$8+'Control Room'!$D$8)/2)+'Control Room'!$B$9*(AX234-IF('Control Room'!$B$5="Normal",'Control Room'!$B$7,('Control Room'!$B$8+'Control Room'!$D$8)/2))+SQRT(1-'Control Room'!$B$9^2)*(AW235-IF('Control Room'!$B$5="Normal",'Control Room'!$B$7,('Control Room'!$B$8+'Control Room'!$D$8)/2))</x:f>
        <x:v>978.7543176326388</x:v>
      </x:c>
      <x:c r="AY235" s="17" t="n">
        <x:f>IF(AND($A235&gt;='Control Room'!$A$13,$A235&lt;'Control Room'!$A$13+'Control Room'!$B$13,'Process'!BT2=1),1+('Control Room'!$C$13-1)*EXP(-0.5*(($A235-'Control Room'!$A$13-('Control Room'!$B$13-1)/2)/MAX(0.5,'Control Room'!$B$13/4))^2),1)*IF(AND($A235&gt;='Control Room'!$A$14,$A235&lt;'Control Room'!$A$14+'Control Room'!$B$14,'Process'!BT3=1),1+('Control Room'!$C$14-1)*EXP(-0.5*(($A235-'Control Room'!$A$14-('Control Room'!$B$14-1)/2)/MAX(0.5,'Control Room'!$B$14/4))^2),1)*IF(AND($A235&gt;='Control Room'!$A$15,$A235&lt;'Control Room'!$A$15+'Control Room'!$B$15,'Process'!BT4=1),1+('Control Room'!$C$15-1)*EXP(-0.5*(($A235-'Control Room'!$A$15-('Control Room'!$B$15-1)/2)/MAX(0.5,'Control Room'!$B$15/4))^2),1)*IF(AND($A235&gt;='Control Room'!$A$16,$A235&lt;'Control Room'!$A$16+'Control Room'!$B$16,'Process'!BT5=1),1+('Control Room'!$C$16-1)*EXP(-0.5*(($A235-'Control Room'!$A$16-('Control Room'!$B$16-1)/2)/MAX(0.5,'Control Room'!$B$16/4))^2),1)</x:f>
        <x:v>1</x:v>
      </x:c>
      <x:c r="AZ235" s="9" t="n">
        <x:f>MOD(BA234*16807,2147483647)</x:f>
        <x:v>1301826649</x:v>
      </x:c>
      <x:c r="BA235" s="9" t="n">
        <x:f>MOD(AZ235*16807,2147483647)</x:f>
        <x:v>1237094107</x:v>
      </x:c>
      <x:c r="BB235" s="17" t="n">
        <x:f>IF('Control Room'!$B$5="Normal",'Control Room'!$B$7+'Control Room'!$D$7*SQRT(-2*LN(MAX(0.000000000001,AZ235/2147483647)))*COS(2*PI()*BA235/2147483647),'Control Room'!$B$8+('Control Room'!$D$8-'Control Room'!$B$8)*AZ235/2147483647)</x:f>
        <x:v>920.0428828064641</x:v>
      </x:c>
      <x:c r="BC235" s="17" t="n">
        <x:f>IF('Control Room'!$B$5="Normal",'Control Room'!$B$7,('Control Room'!$B$8+'Control Room'!$D$8)/2)+'Control Room'!$B$9*(BC234-IF('Control Room'!$B$5="Normal",'Control Room'!$B$7,('Control Room'!$B$8+'Control Room'!$D$8)/2))+SQRT(1-'Control Room'!$B$9^2)*(BB235-IF('Control Room'!$B$5="Normal",'Control Room'!$B$7,('Control Room'!$B$8+'Control Room'!$D$8)/2))</x:f>
        <x:v>950.2101205951658</x:v>
      </x:c>
      <x:c r="BD235" s="17" t="n">
        <x:f>IF(AND($A235&gt;='Control Room'!$A$13,$A235&lt;'Control Room'!$A$13+'Control Room'!$B$13,'Process'!BU2=1),1+('Control Room'!$C$13-1)*EXP(-0.5*(($A235-'Control Room'!$A$13-('Control Room'!$B$13-1)/2)/MAX(0.5,'Control Room'!$B$13/4))^2),1)*IF(AND($A235&gt;='Control Room'!$A$14,$A235&lt;'Control Room'!$A$14+'Control Room'!$B$14,'Process'!BU3=1),1+('Control Room'!$C$14-1)*EXP(-0.5*(($A235-'Control Room'!$A$14-('Control Room'!$B$14-1)/2)/MAX(0.5,'Control Room'!$B$14/4))^2),1)*IF(AND($A235&gt;='Control Room'!$A$15,$A235&lt;'Control Room'!$A$15+'Control Room'!$B$15,'Process'!BU4=1),1+('Control Room'!$C$15-1)*EXP(-0.5*(($A235-'Control Room'!$A$15-('Control Room'!$B$15-1)/2)/MAX(0.5,'Control Room'!$B$15/4))^2),1)*IF(AND($A235&gt;='Control Room'!$A$16,$A235&lt;'Control Room'!$A$16+'Control Room'!$B$16,'Process'!BU5=1),1+('Control Room'!$C$16-1)*EXP(-0.5*(($A235-'Control Room'!$A$16-('Control Room'!$B$16-1)/2)/MAX(0.5,'Control Room'!$B$16/4))^2),1)</x:f>
        <x:v>1</x:v>
      </x:c>
      <x:c r="BE235" s="9" t="n">
        <x:f>MOD(BF234*16807,2147483647)</x:f>
        <x:v>625205285</x:v>
      </x:c>
      <x:c r="BF235" s="9" t="n">
        <x:f>MOD(BE235*16807,2147483647)</x:f>
        <x:v>187740224</x:v>
      </x:c>
      <x:c r="BG235" s="17" t="n">
        <x:f>IF('Control Room'!$B$5="Normal",'Control Room'!$B$7+'Control Room'!$D$7*SQRT(-2*LN(MAX(0.000000000001,BE235/2147483647)))*COS(2*PI()*BF235/2147483647),'Control Room'!$B$8+('Control Room'!$D$8-'Control Room'!$B$8)*BE235/2147483647)</x:f>
        <x:v>1120.5879855734727</x:v>
      </x:c>
      <x:c r="BH235" s="17" t="n">
        <x:f>IF('Control Room'!$B$5="Normal",'Control Room'!$B$7,('Control Room'!$B$8+'Control Room'!$D$8)/2)+'Control Room'!$B$9*(BH234-IF('Control Room'!$B$5="Normal",'Control Room'!$B$7,('Control Room'!$B$8+'Control Room'!$D$8)/2))+SQRT(1-'Control Room'!$B$9^2)*(BG235-IF('Control Room'!$B$5="Normal",'Control Room'!$B$7,('Control Room'!$B$8+'Control Room'!$D$8)/2))</x:f>
        <x:v>1120.3308124005816</x:v>
      </x:c>
      <x:c r="BI235" s="17" t="n">
        <x:f>IF(AND($A235&gt;='Control Room'!$A$13,$A235&lt;'Control Room'!$A$13+'Control Room'!$B$13,'Process'!BV2=1),1+('Control Room'!$C$13-1)*EXP(-0.5*(($A235-'Control Room'!$A$13-('Control Room'!$B$13-1)/2)/MAX(0.5,'Control Room'!$B$13/4))^2),1)*IF(AND($A235&gt;='Control Room'!$A$14,$A235&lt;'Control Room'!$A$14+'Control Room'!$B$14,'Process'!BV3=1),1+('Control Room'!$C$14-1)*EXP(-0.5*(($A235-'Control Room'!$A$14-('Control Room'!$B$14-1)/2)/MAX(0.5,'Control Room'!$B$14/4))^2),1)*IF(AND($A235&gt;='Control Room'!$A$15,$A235&lt;'Control Room'!$A$15+'Control Room'!$B$15,'Process'!BV4=1),1+('Control Room'!$C$15-1)*EXP(-0.5*(($A235-'Control Room'!$A$15-('Control Room'!$B$15-1)/2)/MAX(0.5,'Control Room'!$B$15/4))^2),1)*IF(AND($A235&gt;='Control Room'!$A$16,$A235&lt;'Control Room'!$A$16+'Control Room'!$B$16,'Process'!BV5=1),1+('Control Room'!$C$16-1)*EXP(-0.5*(($A235-'Control Room'!$A$16-('Control Room'!$B$16-1)/2)/MAX(0.5,'Control Room'!$B$16/4))^2),1)</x:f>
        <x:v>1</x:v>
      </x:c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Z235" t="str">
        <x:f>IF('Data'!A235="","",TEXT('Data'!A235,"mm-dd"))</x:f>
      </x:c>
    </x:row>
    <x:row r="236" ht="21" customHeight="1">
      <x:c r="A236" s="15" t="n">
        <x:f>'Control Room'!$B$1+234</x:f>
        <x:v>73225</x:v>
      </x:c>
      <x:c r="B236" s="9" t="n">
        <x:f>MOD(C235*16807,2147483647)</x:f>
        <x:v>569108383</x:v>
      </x:c>
      <x:c r="C236" s="9" t="n">
        <x:f>MOD(B236*16807,2147483647)</x:f>
        <x:v>112429343</x:v>
      </x:c>
      <x:c r="D236" s="17" t="n">
        <x:f>IF('Control Room'!$B$5="Normal",'Control Room'!$B$7+'Control Room'!$D$7*SQRT(-2*LN(MAX(0.000000000001,B236/2147483647)))*COS(2*PI()*C236/2147483647),'Control Room'!$B$8+('Control Room'!$D$8-'Control Room'!$B$8)*B236/2147483647)</x:f>
        <x:v>1138.8097550510674</x:v>
      </x:c>
      <x:c r="E236" s="17" t="n">
        <x:f>IF('Control Room'!$B$5="Normal",'Control Room'!$B$7,('Control Room'!$B$8+'Control Room'!$D$8)/2)+'Control Room'!$B$9*(E235-IF('Control Room'!$B$5="Normal",'Control Room'!$B$7,('Control Room'!$B$8+'Control Room'!$D$8)/2))+SQRT(1-'Control Room'!$B$9^2)*(D236-IF('Control Room'!$B$5="Normal",'Control Room'!$B$7,('Control Room'!$B$8+'Control Room'!$D$8)/2))</x:f>
        <x:v>1055.6763784070063</x:v>
      </x:c>
      <x:c r="F236" s="17" t="n">
        <x:f>IF(AND($A236&gt;='Control Room'!$A$13,$A236&lt;'Control Room'!$A$13+'Control Room'!$B$13,'Process'!BK2=1),1+('Control Room'!$C$13-1)*EXP(-0.5*(($A236-'Control Room'!$A$13-('Control Room'!$B$13-1)/2)/MAX(0.5,'Control Room'!$B$13/4))^2),1)*IF(AND($A236&gt;='Control Room'!$A$14,$A236&lt;'Control Room'!$A$14+'Control Room'!$B$14,'Process'!BK3=1),1+('Control Room'!$C$14-1)*EXP(-0.5*(($A236-'Control Room'!$A$14-('Control Room'!$B$14-1)/2)/MAX(0.5,'Control Room'!$B$14/4))^2),1)*IF(AND($A236&gt;='Control Room'!$A$15,$A236&lt;'Control Room'!$A$15+'Control Room'!$B$15,'Process'!BK4=1),1+('Control Room'!$C$15-1)*EXP(-0.5*(($A236-'Control Room'!$A$15-('Control Room'!$B$15-1)/2)/MAX(0.5,'Control Room'!$B$15/4))^2),1)*IF(AND($A236&gt;='Control Room'!$A$16,$A236&lt;'Control Room'!$A$16+'Control Room'!$B$16,'Process'!BK5=1),1+('Control Room'!$C$16-1)*EXP(-0.5*(($A236-'Control Room'!$A$16-('Control Room'!$B$16-1)/2)/MAX(0.5,'Control Room'!$B$16/4))^2),1)</x:f>
        <x:v>1</x:v>
      </x:c>
      <x:c r="G236" s="9" t="n">
        <x:f>MOD(H235*16807,2147483647)</x:f>
        <x:v>1361589613</x:v>
      </x:c>
      <x:c r="H236" s="9" t="n">
        <x:f>MOD(G236*16807,2147483647)</x:f>
        <x:v>650883259</x:v>
      </x:c>
      <x:c r="I236" s="17" t="n">
        <x:f>IF('Control Room'!$B$5="Normal",'Control Room'!$B$7+'Control Room'!$D$7*SQRT(-2*LN(MAX(0.000000000001,G236/2147483647)))*COS(2*PI()*H236/2147483647),'Control Room'!$B$8+('Control Room'!$D$8-'Control Room'!$B$8)*G236/2147483647)</x:f>
        <x:v>971.8688409815911</x:v>
      </x:c>
      <x:c r="J236" s="17" t="n">
        <x:f>IF('Control Room'!$B$5="Normal",'Control Room'!$B$7,('Control Room'!$B$8+'Control Room'!$D$8)/2)+'Control Room'!$B$9*(J235-IF('Control Room'!$B$5="Normal",'Control Room'!$B$7,('Control Room'!$B$8+'Control Room'!$D$8)/2))+SQRT(1-'Control Room'!$B$9^2)*(I236-IF('Control Room'!$B$5="Normal",'Control Room'!$B$7,('Control Room'!$B$8+'Control Room'!$D$8)/2))</x:f>
        <x:v>1061.5990530021688</x:v>
      </x:c>
      <x:c r="K236" s="17" t="n">
        <x:f>IF(AND($A236&gt;='Control Room'!$A$13,$A236&lt;'Control Room'!$A$13+'Control Room'!$B$13,'Process'!BL2=1),1+('Control Room'!$C$13-1)*EXP(-0.5*(($A236-'Control Room'!$A$13-('Control Room'!$B$13-1)/2)/MAX(0.5,'Control Room'!$B$13/4))^2),1)*IF(AND($A236&gt;='Control Room'!$A$14,$A236&lt;'Control Room'!$A$14+'Control Room'!$B$14,'Process'!BL3=1),1+('Control Room'!$C$14-1)*EXP(-0.5*(($A236-'Control Room'!$A$14-('Control Room'!$B$14-1)/2)/MAX(0.5,'Control Room'!$B$14/4))^2),1)*IF(AND($A236&gt;='Control Room'!$A$15,$A236&lt;'Control Room'!$A$15+'Control Room'!$B$15,'Process'!BL4=1),1+('Control Room'!$C$15-1)*EXP(-0.5*(($A236-'Control Room'!$A$15-('Control Room'!$B$15-1)/2)/MAX(0.5,'Control Room'!$B$15/4))^2),1)*IF(AND($A236&gt;='Control Room'!$A$16,$A236&lt;'Control Room'!$A$16+'Control Room'!$B$16,'Process'!BL5=1),1+('Control Room'!$C$16-1)*EXP(-0.5*(($A236-'Control Room'!$A$16-('Control Room'!$B$16-1)/2)/MAX(0.5,'Control Room'!$B$16/4))^2),1)</x:f>
        <x:v>1</x:v>
      </x:c>
      <x:c r="L236" s="9" t="n">
        <x:f>MOD(M235*16807,2147483647)</x:f>
        <x:v>6587196</x:v>
      </x:c>
      <x:c r="M236" s="9" t="n">
        <x:f>MOD(L236*16807,2147483647)</x:f>
        <x:v>1189337175</x:v>
      </x:c>
      <x:c r="N236" s="17" t="n">
        <x:f>IF('Control Room'!$B$5="Normal",'Control Room'!$B$7+'Control Room'!$D$7*SQRT(-2*LN(MAX(0.000000000001,L236/2147483647)))*COS(2*PI()*M236/2147483647),'Control Room'!$B$8+('Control Room'!$D$8-'Control Room'!$B$8)*L236/2147483647)</x:f>
        <x:v>711.1623266755294</x:v>
      </x:c>
      <x:c r="O236" s="17" t="n">
        <x:f>IF('Control Room'!$B$5="Normal",'Control Room'!$B$7,('Control Room'!$B$8+'Control Room'!$D$8)/2)+'Control Room'!$B$9*(O235-IF('Control Room'!$B$5="Normal",'Control Room'!$B$7,('Control Room'!$B$8+'Control Room'!$D$8)/2))+SQRT(1-'Control Room'!$B$9^2)*(N236-IF('Control Room'!$B$5="Normal",'Control Room'!$B$7,('Control Room'!$B$8+'Control Room'!$D$8)/2))</x:f>
        <x:v>771.9656904280439</x:v>
      </x:c>
      <x:c r="P236" s="17" t="n">
        <x:f>IF(AND($A236&gt;='Control Room'!$A$13,$A236&lt;'Control Room'!$A$13+'Control Room'!$B$13,'Process'!BM2=1),1+('Control Room'!$C$13-1)*EXP(-0.5*(($A236-'Control Room'!$A$13-('Control Room'!$B$13-1)/2)/MAX(0.5,'Control Room'!$B$13/4))^2),1)*IF(AND($A236&gt;='Control Room'!$A$14,$A236&lt;'Control Room'!$A$14+'Control Room'!$B$14,'Process'!BM3=1),1+('Control Room'!$C$14-1)*EXP(-0.5*(($A236-'Control Room'!$A$14-('Control Room'!$B$14-1)/2)/MAX(0.5,'Control Room'!$B$14/4))^2),1)*IF(AND($A236&gt;='Control Room'!$A$15,$A236&lt;'Control Room'!$A$15+'Control Room'!$B$15,'Process'!BM4=1),1+('Control Room'!$C$15-1)*EXP(-0.5*(($A236-'Control Room'!$A$15-('Control Room'!$B$15-1)/2)/MAX(0.5,'Control Room'!$B$15/4))^2),1)*IF(AND($A236&gt;='Control Room'!$A$16,$A236&lt;'Control Room'!$A$16+'Control Room'!$B$16,'Process'!BM5=1),1+('Control Room'!$C$16-1)*EXP(-0.5*(($A236-'Control Room'!$A$16-('Control Room'!$B$16-1)/2)/MAX(0.5,'Control Room'!$B$16/4))^2),1)</x:f>
        <x:v>1</x:v>
      </x:c>
      <x:c r="Q236" s="9" t="n">
        <x:f>MOD(R235*16807,2147483647)</x:f>
        <x:v>799068426</x:v>
      </x:c>
      <x:c r="R236" s="9" t="n">
        <x:f>MOD(Q236*16807,2147483647)</x:f>
        <x:v>1727791091</x:v>
      </x:c>
      <x:c r="S236" s="17" t="n">
        <x:f>IF('Control Room'!$B$5="Normal",'Control Room'!$B$7+'Control Room'!$D$7*SQRT(-2*LN(MAX(0.000000000001,Q236/2147483647)))*COS(2*PI()*R236/2147483647),'Control Room'!$B$8+('Control Room'!$D$8-'Control Room'!$B$8)*Q236/2147483647)</x:f>
        <x:v>1042.542677357502</x:v>
      </x:c>
      <x:c r="T236" s="17" t="n">
        <x:f>IF('Control Room'!$B$5="Normal",'Control Room'!$B$7,('Control Room'!$B$8+'Control Room'!$D$8)/2)+'Control Room'!$B$9*(T235-IF('Control Room'!$B$5="Normal",'Control Room'!$B$7,('Control Room'!$B$8+'Control Room'!$D$8)/2))+SQRT(1-'Control Room'!$B$9^2)*(S236-IF('Control Room'!$B$5="Normal",'Control Room'!$B$7,('Control Room'!$B$8+'Control Room'!$D$8)/2))</x:f>
        <x:v>1047.2767574698905</x:v>
      </x:c>
      <x:c r="U236" s="17" t="n">
        <x:f>IF(AND($A236&gt;='Control Room'!$A$13,$A236&lt;'Control Room'!$A$13+'Control Room'!$B$13,'Process'!BN2=1),1+('Control Room'!$C$13-1)*EXP(-0.5*(($A236-'Control Room'!$A$13-('Control Room'!$B$13-1)/2)/MAX(0.5,'Control Room'!$B$13/4))^2),1)*IF(AND($A236&gt;='Control Room'!$A$14,$A236&lt;'Control Room'!$A$14+'Control Room'!$B$14,'Process'!BN3=1),1+('Control Room'!$C$14-1)*EXP(-0.5*(($A236-'Control Room'!$A$14-('Control Room'!$B$14-1)/2)/MAX(0.5,'Control Room'!$B$14/4))^2),1)*IF(AND($A236&gt;='Control Room'!$A$15,$A236&lt;'Control Room'!$A$15+'Control Room'!$B$15,'Process'!BN4=1),1+('Control Room'!$C$15-1)*EXP(-0.5*(($A236-'Control Room'!$A$15-('Control Room'!$B$15-1)/2)/MAX(0.5,'Control Room'!$B$15/4))^2),1)*IF(AND($A236&gt;='Control Room'!$A$16,$A236&lt;'Control Room'!$A$16+'Control Room'!$B$16,'Process'!BN5=1),1+('Control Room'!$C$16-1)*EXP(-0.5*(($A236-'Control Room'!$A$16-('Control Room'!$B$16-1)/2)/MAX(0.5,'Control Room'!$B$16/4))^2),1)</x:f>
        <x:v>1</x:v>
      </x:c>
      <x:c r="V236" s="9" t="n">
        <x:f>MOD(W235*16807,2147483647)</x:f>
        <x:v>1591549656</x:v>
      </x:c>
      <x:c r="W236" s="9" t="n">
        <x:f>MOD(V236*16807,2147483647)</x:f>
        <x:v>118761360</x:v>
      </x:c>
      <x:c r="X236" s="17" t="n">
        <x:f>IF('Control Room'!$B$5="Normal",'Control Room'!$B$7+'Control Room'!$D$7*SQRT(-2*LN(MAX(0.000000000001,V236/2147483647)))*COS(2*PI()*W236/2147483647),'Control Room'!$B$8+('Control Room'!$D$8-'Control Room'!$B$8)*V236/2147483647)</x:f>
        <x:v>1065.5023078906675</x:v>
      </x:c>
      <x:c r="Y236" s="17" t="n">
        <x:f>IF('Control Room'!$B$5="Normal",'Control Room'!$B$7,('Control Room'!$B$8+'Control Room'!$D$8)/2)+'Control Room'!$B$9*(Y235-IF('Control Room'!$B$5="Normal",'Control Room'!$B$7,('Control Room'!$B$8+'Control Room'!$D$8)/2))+SQRT(1-'Control Room'!$B$9^2)*(X236-IF('Control Room'!$B$5="Normal",'Control Room'!$B$7,('Control Room'!$B$8+'Control Room'!$D$8)/2))</x:f>
        <x:v>923.7740043192983</x:v>
      </x:c>
      <x:c r="Z236" s="17" t="n">
        <x:f>IF(AND($A236&gt;='Control Room'!$A$13,$A236&lt;'Control Room'!$A$13+'Control Room'!$B$13,'Process'!BO2=1),1+('Control Room'!$C$13-1)*EXP(-0.5*(($A236-'Control Room'!$A$13-('Control Room'!$B$13-1)/2)/MAX(0.5,'Control Room'!$B$13/4))^2),1)*IF(AND($A236&gt;='Control Room'!$A$14,$A236&lt;'Control Room'!$A$14+'Control Room'!$B$14,'Process'!BO3=1),1+('Control Room'!$C$14-1)*EXP(-0.5*(($A236-'Control Room'!$A$14-('Control Room'!$B$14-1)/2)/MAX(0.5,'Control Room'!$B$14/4))^2),1)*IF(AND($A236&gt;='Control Room'!$A$15,$A236&lt;'Control Room'!$A$15+'Control Room'!$B$15,'Process'!BO4=1),1+('Control Room'!$C$15-1)*EXP(-0.5*(($A236-'Control Room'!$A$15-('Control Room'!$B$15-1)/2)/MAX(0.5,'Control Room'!$B$15/4))^2),1)*IF(AND($A236&gt;='Control Room'!$A$16,$A236&lt;'Control Room'!$A$16+'Control Room'!$B$16,'Process'!BO5=1),1+('Control Room'!$C$16-1)*EXP(-0.5*(($A236-'Control Room'!$A$16-('Control Room'!$B$16-1)/2)/MAX(0.5,'Control Room'!$B$16/4))^2),1)</x:f>
        <x:v>1</x:v>
      </x:c>
      <x:c r="AA236" s="9" t="n">
        <x:f>MOD(AB235*16807,2147483647)</x:f>
        <x:v>236547239</x:v>
      </x:c>
      <x:c r="AB236" s="9" t="n">
        <x:f>MOD(AA236*16807,2147483647)</x:f>
        <x:v>657215276</x:v>
      </x:c>
      <x:c r="AC236" s="17" t="n">
        <x:f>IF('Control Room'!$B$5="Normal",'Control Room'!$B$7+'Control Room'!$D$7*SQRT(-2*LN(MAX(0.000000000001,AA236/2147483647)))*COS(2*PI()*AB236/2147483647),'Control Room'!$B$8+('Control Room'!$D$8-'Control Room'!$B$8)*AA236/2147483647)</x:f>
        <x:v>934.8048585930383</x:v>
      </x:c>
      <x:c r="AD236" s="17" t="n">
        <x:f>IF('Control Room'!$B$5="Normal",'Control Room'!$B$7,('Control Room'!$B$8+'Control Room'!$D$8)/2)+'Control Room'!$B$9*(AD235-IF('Control Room'!$B$5="Normal",'Control Room'!$B$7,('Control Room'!$B$8+'Control Room'!$D$8)/2))+SQRT(1-'Control Room'!$B$9^2)*(AC236-IF('Control Room'!$B$5="Normal",'Control Room'!$B$7,('Control Room'!$B$8+'Control Room'!$D$8)/2))</x:f>
        <x:v>986.5561011220179</x:v>
      </x:c>
      <x:c r="AE236" s="17" t="n">
        <x:f>IF(AND($A236&gt;='Control Room'!$A$13,$A236&lt;'Control Room'!$A$13+'Control Room'!$B$13,'Process'!BP2=1),1+('Control Room'!$C$13-1)*EXP(-0.5*(($A236-'Control Room'!$A$13-('Control Room'!$B$13-1)/2)/MAX(0.5,'Control Room'!$B$13/4))^2),1)*IF(AND($A236&gt;='Control Room'!$A$14,$A236&lt;'Control Room'!$A$14+'Control Room'!$B$14,'Process'!BP3=1),1+('Control Room'!$C$14-1)*EXP(-0.5*(($A236-'Control Room'!$A$14-('Control Room'!$B$14-1)/2)/MAX(0.5,'Control Room'!$B$14/4))^2),1)*IF(AND($A236&gt;='Control Room'!$A$15,$A236&lt;'Control Room'!$A$15+'Control Room'!$B$15,'Process'!BP4=1),1+('Control Room'!$C$15-1)*EXP(-0.5*(($A236-'Control Room'!$A$15-('Control Room'!$B$15-1)/2)/MAX(0.5,'Control Room'!$B$15/4))^2),1)*IF(AND($A236&gt;='Control Room'!$A$16,$A236&lt;'Control Room'!$A$16+'Control Room'!$B$16,'Process'!BP5=1),1+('Control Room'!$C$16-1)*EXP(-0.5*(($A236-'Control Room'!$A$16-('Control Room'!$B$16-1)/2)/MAX(0.5,'Control Room'!$B$16/4))^2),1)</x:f>
        <x:v>1</x:v>
      </x:c>
      <x:c r="AF236" s="9" t="n">
        <x:f>MOD(AG235*16807,2147483647)</x:f>
        <x:v>1029028469</x:v>
      </x:c>
      <x:c r="AG236" s="9" t="n">
        <x:f>MOD(AF236*16807,2147483647)</x:f>
        <x:v>1195669192</x:v>
      </x:c>
      <x:c r="AH236" s="17" t="n">
        <x:f>IF('Control Room'!$B$5="Normal",'Control Room'!$B$7+'Control Room'!$D$7*SQRT(-2*LN(MAX(0.000000000001,AF236/2147483647)))*COS(2*PI()*AG236/2147483647),'Control Room'!$B$8+('Control Room'!$D$8-'Control Room'!$B$8)*AF236/2147483647)</x:f>
        <x:v>897.7034946845349</x:v>
      </x:c>
      <x:c r="AI236" s="17" t="n">
        <x:f>IF('Control Room'!$B$5="Normal",'Control Room'!$B$7,('Control Room'!$B$8+'Control Room'!$D$8)/2)+'Control Room'!$B$9*(AI235-IF('Control Room'!$B$5="Normal",'Control Room'!$B$7,('Control Room'!$B$8+'Control Room'!$D$8)/2))+SQRT(1-'Control Room'!$B$9^2)*(AH236-IF('Control Room'!$B$5="Normal",'Control Room'!$B$7,('Control Room'!$B$8+'Control Room'!$D$8)/2))</x:f>
        <x:v>893.0770802106191</x:v>
      </x:c>
      <x:c r="AJ236" s="17" t="n">
        <x:f>IF(AND($A236&gt;='Control Room'!$A$13,$A236&lt;'Control Room'!$A$13+'Control Room'!$B$13,'Process'!BQ2=1),1+('Control Room'!$C$13-1)*EXP(-0.5*(($A236-'Control Room'!$A$13-('Control Room'!$B$13-1)/2)/MAX(0.5,'Control Room'!$B$13/4))^2),1)*IF(AND($A236&gt;='Control Room'!$A$14,$A236&lt;'Control Room'!$A$14+'Control Room'!$B$14,'Process'!BQ3=1),1+('Control Room'!$C$14-1)*EXP(-0.5*(($A236-'Control Room'!$A$14-('Control Room'!$B$14-1)/2)/MAX(0.5,'Control Room'!$B$14/4))^2),1)*IF(AND($A236&gt;='Control Room'!$A$15,$A236&lt;'Control Room'!$A$15+'Control Room'!$B$15,'Process'!BQ4=1),1+('Control Room'!$C$15-1)*EXP(-0.5*(($A236-'Control Room'!$A$15-('Control Room'!$B$15-1)/2)/MAX(0.5,'Control Room'!$B$15/4))^2),1)*IF(AND($A236&gt;='Control Room'!$A$16,$A236&lt;'Control Room'!$A$16+'Control Room'!$B$16,'Process'!BQ5=1),1+('Control Room'!$C$16-1)*EXP(-0.5*(($A236-'Control Room'!$A$16-('Control Room'!$B$16-1)/2)/MAX(0.5,'Control Room'!$B$16/4))^2),1)</x:f>
        <x:v>1</x:v>
      </x:c>
      <x:c r="AK236" s="9" t="n">
        <x:f>MOD(AL235*16807,2147483647)</x:f>
        <x:v>1821509699</x:v>
      </x:c>
      <x:c r="AL236" s="9" t="n">
        <x:f>MOD(AK236*16807,2147483647)</x:f>
        <x:v>1734123108</x:v>
      </x:c>
      <x:c r="AM236" s="17" t="n">
        <x:f>IF('Control Room'!$B$5="Normal",'Control Room'!$B$7+'Control Room'!$D$7*SQRT(-2*LN(MAX(0.000000000001,AK236/2147483647)))*COS(2*PI()*AL236/2147483647),'Control Room'!$B$8+('Control Room'!$D$8-'Control Room'!$B$8)*AK236/2147483647)</x:f>
        <x:v>1018.2588338363819</x:v>
      </x:c>
      <x:c r="AN236" s="17" t="n">
        <x:f>IF('Control Room'!$B$5="Normal",'Control Room'!$B$7,('Control Room'!$B$8+'Control Room'!$D$8)/2)+'Control Room'!$B$9*(AN235-IF('Control Room'!$B$5="Normal",'Control Room'!$B$7,('Control Room'!$B$8+'Control Room'!$D$8)/2))+SQRT(1-'Control Room'!$B$9^2)*(AM236-IF('Control Room'!$B$5="Normal",'Control Room'!$B$7,('Control Room'!$B$8+'Control Room'!$D$8)/2))</x:f>
        <x:v>976.8836116043706</x:v>
      </x:c>
      <x:c r="AO236" s="17" t="n">
        <x:f>IF(AND($A236&gt;='Control Room'!$A$13,$A236&lt;'Control Room'!$A$13+'Control Room'!$B$13,'Process'!BR2=1),1+('Control Room'!$C$13-1)*EXP(-0.5*(($A236-'Control Room'!$A$13-('Control Room'!$B$13-1)/2)/MAX(0.5,'Control Room'!$B$13/4))^2),1)*IF(AND($A236&gt;='Control Room'!$A$14,$A236&lt;'Control Room'!$A$14+'Control Room'!$B$14,'Process'!BR3=1),1+('Control Room'!$C$14-1)*EXP(-0.5*(($A236-'Control Room'!$A$14-('Control Room'!$B$14-1)/2)/MAX(0.5,'Control Room'!$B$14/4))^2),1)*IF(AND($A236&gt;='Control Room'!$A$15,$A236&lt;'Control Room'!$A$15+'Control Room'!$B$15,'Process'!BR4=1),1+('Control Room'!$C$15-1)*EXP(-0.5*(($A236-'Control Room'!$A$15-('Control Room'!$B$15-1)/2)/MAX(0.5,'Control Room'!$B$15/4))^2),1)*IF(AND($A236&gt;='Control Room'!$A$16,$A236&lt;'Control Room'!$A$16+'Control Room'!$B$16,'Process'!BR5=1),1+('Control Room'!$C$16-1)*EXP(-0.5*(($A236-'Control Room'!$A$16-('Control Room'!$B$16-1)/2)/MAX(0.5,'Control Room'!$B$16/4))^2),1)</x:f>
        <x:v>1</x:v>
      </x:c>
      <x:c r="AP236" s="9" t="n">
        <x:f>MOD(AQ235*16807,2147483647)</x:f>
        <x:v>466507282</x:v>
      </x:c>
      <x:c r="AQ236" s="9" t="n">
        <x:f>MOD(AP236*16807,2147483647)</x:f>
        <x:v>125093377</x:v>
      </x:c>
      <x:c r="AR236" s="17" t="n">
        <x:f>IF('Control Room'!$B$5="Normal",'Control Room'!$B$7+'Control Room'!$D$7*SQRT(-2*LN(MAX(0.000000000001,AP236/2147483647)))*COS(2*PI()*AQ236/2147483647),'Control Room'!$B$8+('Control Room'!$D$8-'Control Room'!$B$8)*AP236/2147483647)</x:f>
        <x:v>1146.8531529472693</x:v>
      </x:c>
      <x:c r="AS236" s="17" t="n">
        <x:f>IF('Control Room'!$B$5="Normal",'Control Room'!$B$7,('Control Room'!$B$8+'Control Room'!$D$8)/2)+'Control Room'!$B$9*(AS235-IF('Control Room'!$B$5="Normal",'Control Room'!$B$7,('Control Room'!$B$8+'Control Room'!$D$8)/2))+SQRT(1-'Control Room'!$B$9^2)*(AR236-IF('Control Room'!$B$5="Normal",'Control Room'!$B$7,('Control Room'!$B$8+'Control Room'!$D$8)/2))</x:f>
        <x:v>979.375265957751</x:v>
      </x:c>
      <x:c r="AT236" s="17" t="n">
        <x:f>IF(AND($A236&gt;='Control Room'!$A$13,$A236&lt;'Control Room'!$A$13+'Control Room'!$B$13,'Process'!BS2=1),1+('Control Room'!$C$13-1)*EXP(-0.5*(($A236-'Control Room'!$A$13-('Control Room'!$B$13-1)/2)/MAX(0.5,'Control Room'!$B$13/4))^2),1)*IF(AND($A236&gt;='Control Room'!$A$14,$A236&lt;'Control Room'!$A$14+'Control Room'!$B$14,'Process'!BS3=1),1+('Control Room'!$C$14-1)*EXP(-0.5*(($A236-'Control Room'!$A$14-('Control Room'!$B$14-1)/2)/MAX(0.5,'Control Room'!$B$14/4))^2),1)*IF(AND($A236&gt;='Control Room'!$A$15,$A236&lt;'Control Room'!$A$15+'Control Room'!$B$15,'Process'!BS4=1),1+('Control Room'!$C$15-1)*EXP(-0.5*(($A236-'Control Room'!$A$15-('Control Room'!$B$15-1)/2)/MAX(0.5,'Control Room'!$B$15/4))^2),1)*IF(AND($A236&gt;='Control Room'!$A$16,$A236&lt;'Control Room'!$A$16+'Control Room'!$B$16,'Process'!BS5=1),1+('Control Room'!$C$16-1)*EXP(-0.5*(($A236-'Control Room'!$A$16-('Control Room'!$B$16-1)/2)/MAX(0.5,'Control Room'!$B$16/4))^2),1)</x:f>
        <x:v>1</x:v>
      </x:c>
      <x:c r="AU236" s="9" t="n">
        <x:f>MOD(AV235*16807,2147483647)</x:f>
        <x:v>1258988512</x:v>
      </x:c>
      <x:c r="AV236" s="9" t="n">
        <x:f>MOD(AU236*16807,2147483647)</x:f>
        <x:v>663547293</x:v>
      </x:c>
      <x:c r="AW236" s="17" t="n">
        <x:f>IF('Control Room'!$B$5="Normal",'Control Room'!$B$7+'Control Room'!$D$7*SQRT(-2*LN(MAX(0.000000000001,AU236/2147483647)))*COS(2*PI()*AV236/2147483647),'Control Room'!$B$8+('Control Room'!$D$8-'Control Room'!$B$8)*AU236/2147483647)</x:f>
        <x:v>966.3116398974546</x:v>
      </x:c>
      <x:c r="AX236" s="17" t="n">
        <x:f>IF('Control Room'!$B$5="Normal",'Control Room'!$B$7,('Control Room'!$B$8+'Control Room'!$D$8)/2)+'Control Room'!$B$9*(AX235-IF('Control Room'!$B$5="Normal",'Control Room'!$B$7,('Control Room'!$B$8+'Control Room'!$D$8)/2))+SQRT(1-'Control Room'!$B$9^2)*(AW236-IF('Control Room'!$B$5="Normal",'Control Room'!$B$7,('Control Room'!$B$8+'Control Room'!$D$8)/2))</x:f>
        <x:v>962.3468821448547</x:v>
      </x:c>
      <x:c r="AY236" s="17" t="n">
        <x:f>IF(AND($A236&gt;='Control Room'!$A$13,$A236&lt;'Control Room'!$A$13+'Control Room'!$B$13,'Process'!BT2=1),1+('Control Room'!$C$13-1)*EXP(-0.5*(($A236-'Control Room'!$A$13-('Control Room'!$B$13-1)/2)/MAX(0.5,'Control Room'!$B$13/4))^2),1)*IF(AND($A236&gt;='Control Room'!$A$14,$A236&lt;'Control Room'!$A$14+'Control Room'!$B$14,'Process'!BT3=1),1+('Control Room'!$C$14-1)*EXP(-0.5*(($A236-'Control Room'!$A$14-('Control Room'!$B$14-1)/2)/MAX(0.5,'Control Room'!$B$14/4))^2),1)*IF(AND($A236&gt;='Control Room'!$A$15,$A236&lt;'Control Room'!$A$15+'Control Room'!$B$15,'Process'!BT4=1),1+('Control Room'!$C$15-1)*EXP(-0.5*(($A236-'Control Room'!$A$15-('Control Room'!$B$15-1)/2)/MAX(0.5,'Control Room'!$B$15/4))^2),1)*IF(AND($A236&gt;='Control Room'!$A$16,$A236&lt;'Control Room'!$A$16+'Control Room'!$B$16,'Process'!BT5=1),1+('Control Room'!$C$16-1)*EXP(-0.5*(($A236-'Control Room'!$A$16-('Control Room'!$B$16-1)/2)/MAX(0.5,'Control Room'!$B$16/4))^2),1)</x:f>
        <x:v>1</x:v>
      </x:c>
      <x:c r="AZ236" s="9" t="n">
        <x:f>MOD(BA235*16807,2147483647)</x:f>
        <x:v>2051469742</x:v>
      </x:c>
      <x:c r="BA236" s="9" t="n">
        <x:f>MOD(AZ236*16807,2147483647)</x:f>
        <x:v>1202001209</x:v>
      </x:c>
      <x:c r="BB236" s="17" t="n">
        <x:f>IF('Control Room'!$B$5="Normal",'Control Room'!$B$7+'Control Room'!$D$7*SQRT(-2*LN(MAX(0.000000000001,AZ236/2147483647)))*COS(2*PI()*BA236/2147483647),'Control Room'!$B$8+('Control Room'!$D$8-'Control Room'!$B$8)*AZ236/2147483647)</x:f>
        <x:v>974.6731398222234</x:v>
      </x:c>
      <x:c r="BC236" s="17" t="n">
        <x:f>IF('Control Room'!$B$5="Normal",'Control Room'!$B$7,('Control Room'!$B$8+'Control Room'!$D$8)/2)+'Control Room'!$B$9*(BC235-IF('Control Room'!$B$5="Normal",'Control Room'!$B$7,('Control Room'!$B$8+'Control Room'!$D$8)/2))+SQRT(1-'Control Room'!$B$9^2)*(BB236-IF('Control Room'!$B$5="Normal",'Control Room'!$B$7,('Control Room'!$B$8+'Control Room'!$D$8)/2))</x:f>
        <x:v>945.3148638139095</x:v>
      </x:c>
      <x:c r="BD236" s="17" t="n">
        <x:f>IF(AND($A236&gt;='Control Room'!$A$13,$A236&lt;'Control Room'!$A$13+'Control Room'!$B$13,'Process'!BU2=1),1+('Control Room'!$C$13-1)*EXP(-0.5*(($A236-'Control Room'!$A$13-('Control Room'!$B$13-1)/2)/MAX(0.5,'Control Room'!$B$13/4))^2),1)*IF(AND($A236&gt;='Control Room'!$A$14,$A236&lt;'Control Room'!$A$14+'Control Room'!$B$14,'Process'!BU3=1),1+('Control Room'!$C$14-1)*EXP(-0.5*(($A236-'Control Room'!$A$14-('Control Room'!$B$14-1)/2)/MAX(0.5,'Control Room'!$B$14/4))^2),1)*IF(AND($A236&gt;='Control Room'!$A$15,$A236&lt;'Control Room'!$A$15+'Control Room'!$B$15,'Process'!BU4=1),1+('Control Room'!$C$15-1)*EXP(-0.5*(($A236-'Control Room'!$A$15-('Control Room'!$B$15-1)/2)/MAX(0.5,'Control Room'!$B$15/4))^2),1)*IF(AND($A236&gt;='Control Room'!$A$16,$A236&lt;'Control Room'!$A$16+'Control Room'!$B$16,'Process'!BU5=1),1+('Control Room'!$C$16-1)*EXP(-0.5*(($A236-'Control Room'!$A$16-('Control Room'!$B$16-1)/2)/MAX(0.5,'Control Room'!$B$16/4))^2),1)</x:f>
        <x:v>1</x:v>
      </x:c>
      <x:c r="BE236" s="9" t="n">
        <x:f>MOD(BF235*16807,2147483647)</x:f>
        <x:v>696467325</x:v>
      </x:c>
      <x:c r="BF236" s="9" t="n">
        <x:f>MOD(BE236*16807,2147483647)</x:f>
        <x:v>1740455125</x:v>
      </x:c>
      <x:c r="BG236" s="17" t="n">
        <x:f>IF('Control Room'!$B$5="Normal",'Control Room'!$B$7+'Control Room'!$D$7*SQRT(-2*LN(MAX(0.000000000001,BE236/2147483647)))*COS(2*PI()*BF236/2147483647),'Control Room'!$B$8+('Control Room'!$D$8-'Control Room'!$B$8)*BE236/2147483647)</x:f>
        <x:v>1050.084357669235</x:v>
      </x:c>
      <x:c r="BH236" s="17" t="n">
        <x:f>IF('Control Room'!$B$5="Normal",'Control Room'!$B$7,('Control Room'!$B$8+'Control Room'!$D$8)/2)+'Control Room'!$B$9*(BH235-IF('Control Room'!$B$5="Normal",'Control Room'!$B$7,('Control Room'!$B$8+'Control Room'!$D$8)/2))+SQRT(1-'Control Room'!$B$9^2)*(BG236-IF('Control Room'!$B$5="Normal",'Control Room'!$B$7,('Control Room'!$B$8+'Control Room'!$D$8)/2))</x:f>
        <x:v>1125.1997986680242</x:v>
      </x:c>
      <x:c r="BI236" s="17" t="n">
        <x:f>IF(AND($A236&gt;='Control Room'!$A$13,$A236&lt;'Control Room'!$A$13+'Control Room'!$B$13,'Process'!BV2=1),1+('Control Room'!$C$13-1)*EXP(-0.5*(($A236-'Control Room'!$A$13-('Control Room'!$B$13-1)/2)/MAX(0.5,'Control Room'!$B$13/4))^2),1)*IF(AND($A236&gt;='Control Room'!$A$14,$A236&lt;'Control Room'!$A$14+'Control Room'!$B$14,'Process'!BV3=1),1+('Control Room'!$C$14-1)*EXP(-0.5*(($A236-'Control Room'!$A$14-('Control Room'!$B$14-1)/2)/MAX(0.5,'Control Room'!$B$14/4))^2),1)*IF(AND($A236&gt;='Control Room'!$A$15,$A236&lt;'Control Room'!$A$15+'Control Room'!$B$15,'Process'!BV4=1),1+('Control Room'!$C$15-1)*EXP(-0.5*(($A236-'Control Room'!$A$15-('Control Room'!$B$15-1)/2)/MAX(0.5,'Control Room'!$B$15/4))^2),1)*IF(AND($A236&gt;='Control Room'!$A$16,$A236&lt;'Control Room'!$A$16+'Control Room'!$B$16,'Process'!BV5=1),1+('Control Room'!$C$16-1)*EXP(-0.5*(($A236-'Control Room'!$A$16-('Control Room'!$B$16-1)/2)/MAX(0.5,'Control Room'!$B$16/4))^2),1)</x:f>
        <x:v>1</x:v>
      </x:c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Z236" t="str">
        <x:f>IF('Data'!A236="","",TEXT('Data'!A236,"mm-dd"))</x:f>
      </x:c>
    </x:row>
    <x:row r="237" ht="21" customHeight="1">
      <x:c r="A237" s="15" t="n">
        <x:f>'Control Room'!$B$1+235</x:f>
        <x:v>73226</x:v>
      </x:c>
      <x:c r="B237" s="9" t="n">
        <x:f>MOD(C236*16807,2147483647)</x:f>
        <x:v>1961842088</x:v>
      </x:c>
      <x:c r="C237" s="9" t="n">
        <x:f>MOD(B237*16807,2147483647)</x:f>
        <x:v>216056978</x:v>
      </x:c>
      <x:c r="D237" s="17" t="n">
        <x:f>IF('Control Room'!$B$5="Normal",'Control Room'!$B$7+'Control Room'!$D$7*SQRT(-2*LN(MAX(0.000000000001,B237/2147483647)))*COS(2*PI()*C237/2147483647),'Control Room'!$B$8+('Control Room'!$D$8-'Control Room'!$B$8)*B237/2147483647)</x:f>
        <x:v>1030.8757373409742</x:v>
      </x:c>
      <x:c r="E237" s="17" t="n">
        <x:f>IF('Control Room'!$B$5="Normal",'Control Room'!$B$7,('Control Room'!$B$8+'Control Room'!$D$8)/2)+'Control Room'!$B$9*(E236-IF('Control Room'!$B$5="Normal",'Control Room'!$B$7,('Control Room'!$B$8+'Control Room'!$D$8)/2))+SQRT(1-'Control Room'!$B$9^2)*(D237-IF('Control Room'!$B$5="Normal",'Control Room'!$B$7,('Control Room'!$B$8+'Control Room'!$D$8)/2))</x:f>
        <x:v>1062.7489790615864</x:v>
      </x:c>
      <x:c r="F237" s="17" t="n">
        <x:f>IF(AND($A237&gt;='Control Room'!$A$13,$A237&lt;'Control Room'!$A$13+'Control Room'!$B$13,'Process'!BK2=1),1+('Control Room'!$C$13-1)*EXP(-0.5*(($A237-'Control Room'!$A$13-('Control Room'!$B$13-1)/2)/MAX(0.5,'Control Room'!$B$13/4))^2),1)*IF(AND($A237&gt;='Control Room'!$A$14,$A237&lt;'Control Room'!$A$14+'Control Room'!$B$14,'Process'!BK3=1),1+('Control Room'!$C$14-1)*EXP(-0.5*(($A237-'Control Room'!$A$14-('Control Room'!$B$14-1)/2)/MAX(0.5,'Control Room'!$B$14/4))^2),1)*IF(AND($A237&gt;='Control Room'!$A$15,$A237&lt;'Control Room'!$A$15+'Control Room'!$B$15,'Process'!BK4=1),1+('Control Room'!$C$15-1)*EXP(-0.5*(($A237-'Control Room'!$A$15-('Control Room'!$B$15-1)/2)/MAX(0.5,'Control Room'!$B$15/4))^2),1)*IF(AND($A237&gt;='Control Room'!$A$16,$A237&lt;'Control Room'!$A$16+'Control Room'!$B$16,'Process'!BK5=1),1+('Control Room'!$C$16-1)*EXP(-0.5*(($A237-'Control Room'!$A$16-('Control Room'!$B$16-1)/2)/MAX(0.5,'Control Room'!$B$16/4))^2),1)</x:f>
        <x:v>1</x:v>
      </x:c>
      <x:c r="G237" s="9" t="n">
        <x:f>MOD(H236*16807,2147483647)</x:f>
        <x:v>113236195</x:v>
      </x:c>
      <x:c r="H237" s="9" t="n">
        <x:f>MOD(G237*16807,2147483647)</x:f>
        <x:v>490218123</x:v>
      </x:c>
      <x:c r="I237" s="17" t="n">
        <x:f>IF('Control Room'!$B$5="Normal",'Control Room'!$B$7+'Control Room'!$D$7*SQRT(-2*LN(MAX(0.000000000001,G237/2147483647)))*COS(2*PI()*H237/2147483647),'Control Room'!$B$8+('Control Room'!$D$8-'Control Room'!$B$8)*G237/2147483647)</x:f>
        <x:v>1029.7097859507558</x:v>
      </x:c>
      <x:c r="J237" s="17" t="n">
        <x:f>IF('Control Room'!$B$5="Normal",'Control Room'!$B$7,('Control Room'!$B$8+'Control Room'!$D$8)/2)+'Control Room'!$B$9*(J236-IF('Control Room'!$B$5="Normal",'Control Room'!$B$7,('Control Room'!$B$8+'Control Room'!$D$8)/2))+SQRT(1-'Control Room'!$B$9^2)*(I237-IF('Control Room'!$B$5="Normal",'Control Room'!$B$7,('Control Room'!$B$8+'Control Room'!$D$8)/2))</x:f>
        <x:v>1066.639036751627</x:v>
      </x:c>
      <x:c r="K237" s="17" t="n">
        <x:f>IF(AND($A237&gt;='Control Room'!$A$13,$A237&lt;'Control Room'!$A$13+'Control Room'!$B$13,'Process'!BL2=1),1+('Control Room'!$C$13-1)*EXP(-0.5*(($A237-'Control Room'!$A$13-('Control Room'!$B$13-1)/2)/MAX(0.5,'Control Room'!$B$13/4))^2),1)*IF(AND($A237&gt;='Control Room'!$A$14,$A237&lt;'Control Room'!$A$14+'Control Room'!$B$14,'Process'!BL3=1),1+('Control Room'!$C$14-1)*EXP(-0.5*(($A237-'Control Room'!$A$14-('Control Room'!$B$14-1)/2)/MAX(0.5,'Control Room'!$B$14/4))^2),1)*IF(AND($A237&gt;='Control Room'!$A$15,$A237&lt;'Control Room'!$A$15+'Control Room'!$B$15,'Process'!BL4=1),1+('Control Room'!$C$15-1)*EXP(-0.5*(($A237-'Control Room'!$A$15-('Control Room'!$B$15-1)/2)/MAX(0.5,'Control Room'!$B$15/4))^2),1)*IF(AND($A237&gt;='Control Room'!$A$16,$A237&lt;'Control Room'!$A$16+'Control Room'!$B$16,'Process'!BL5=1),1+('Control Room'!$C$16-1)*EXP(-0.5*(($A237-'Control Room'!$A$16-('Control Room'!$B$16-1)/2)/MAX(0.5,'Control Room'!$B$16/4))^2),1)</x:f>
        <x:v>1</x:v>
      </x:c>
      <x:c r="L237" s="9" t="n">
        <x:f>MOD(M236*16807,2147483647)</x:f>
        <x:v>412113949</x:v>
      </x:c>
      <x:c r="M237" s="9" t="n">
        <x:f>MOD(L237*16807,2147483647)</x:f>
        <x:v>764379268</x:v>
      </x:c>
      <x:c r="N237" s="17" t="n">
        <x:f>IF('Control Room'!$B$5="Normal",'Control Room'!$B$7+'Control Room'!$D$7*SQRT(-2*LN(MAX(0.000000000001,L237/2147483647)))*COS(2*PI()*M237/2147483647),'Control Room'!$B$8+('Control Room'!$D$8-'Control Room'!$B$8)*L237/2147483647)</x:f>
        <x:v>899.008182534974</x:v>
      </x:c>
      <x:c r="O237" s="17" t="n">
        <x:f>IF('Control Room'!$B$5="Normal",'Control Room'!$B$7,('Control Room'!$B$8+'Control Room'!$D$8)/2)+'Control Room'!$B$9*(O236-IF('Control Room'!$B$5="Normal",'Control Room'!$B$7,('Control Room'!$B$8+'Control Room'!$D$8)/2))+SQRT(1-'Control Room'!$B$9^2)*(N237-IF('Control Room'!$B$5="Normal",'Control Room'!$B$7,('Control Room'!$B$8+'Control Room'!$D$8)/2))</x:f>
        <x:v>758.9346280940981</x:v>
      </x:c>
      <x:c r="P237" s="17" t="n">
        <x:f>IF(AND($A237&gt;='Control Room'!$A$13,$A237&lt;'Control Room'!$A$13+'Control Room'!$B$13,'Process'!BM2=1),1+('Control Room'!$C$13-1)*EXP(-0.5*(($A237-'Control Room'!$A$13-('Control Room'!$B$13-1)/2)/MAX(0.5,'Control Room'!$B$13/4))^2),1)*IF(AND($A237&gt;='Control Room'!$A$14,$A237&lt;'Control Room'!$A$14+'Control Room'!$B$14,'Process'!BM3=1),1+('Control Room'!$C$14-1)*EXP(-0.5*(($A237-'Control Room'!$A$14-('Control Room'!$B$14-1)/2)/MAX(0.5,'Control Room'!$B$14/4))^2),1)*IF(AND($A237&gt;='Control Room'!$A$15,$A237&lt;'Control Room'!$A$15+'Control Room'!$B$15,'Process'!BM4=1),1+('Control Room'!$C$15-1)*EXP(-0.5*(($A237-'Control Room'!$A$15-('Control Room'!$B$15-1)/2)/MAX(0.5,'Control Room'!$B$15/4))^2),1)*IF(AND($A237&gt;='Control Room'!$A$16,$A237&lt;'Control Room'!$A$16+'Control Room'!$B$16,'Process'!BM5=1),1+('Control Room'!$C$16-1)*EXP(-0.5*(($A237-'Control Room'!$A$16-('Control Room'!$B$16-1)/2)/MAX(0.5,'Control Room'!$B$16/4))^2),1)</x:f>
        <x:v>1</x:v>
      </x:c>
      <x:c r="Q237" s="9" t="n">
        <x:f>MOD(R236*16807,2147483647)</x:f>
        <x:v>710991703</x:v>
      </x:c>
      <x:c r="R237" s="9" t="n">
        <x:f>MOD(Q237*16807,2147483647)</x:f>
        <x:v>1038540413</x:v>
      </x:c>
      <x:c r="S237" s="17" t="n">
        <x:f>IF('Control Room'!$B$5="Normal",'Control Room'!$B$7+'Control Room'!$D$7*SQRT(-2*LN(MAX(0.000000000001,Q237/2147483647)))*COS(2*PI()*R237/2147483647),'Control Room'!$B$8+('Control Room'!$D$8-'Control Room'!$B$8)*Q237/2147483647)</x:f>
        <x:v>866.8908183985329</x:v>
      </x:c>
      <x:c r="T237" s="17" t="n">
        <x:f>IF('Control Room'!$B$5="Normal",'Control Room'!$B$7,('Control Room'!$B$8+'Control Room'!$D$8)/2)+'Control Room'!$B$9*(T236-IF('Control Room'!$B$5="Normal",'Control Room'!$B$7,('Control Room'!$B$8+'Control Room'!$D$8)/2))+SQRT(1-'Control Room'!$B$9^2)*(S237-IF('Control Room'!$B$5="Normal",'Control Room'!$B$7,('Control Room'!$B$8+'Control Room'!$D$8)/2))</x:f>
        <x:v>953.5788718701212</x:v>
      </x:c>
      <x:c r="U237" s="17" t="n">
        <x:f>IF(AND($A237&gt;='Control Room'!$A$13,$A237&lt;'Control Room'!$A$13+'Control Room'!$B$13,'Process'!BN2=1),1+('Control Room'!$C$13-1)*EXP(-0.5*(($A237-'Control Room'!$A$13-('Control Room'!$B$13-1)/2)/MAX(0.5,'Control Room'!$B$13/4))^2),1)*IF(AND($A237&gt;='Control Room'!$A$14,$A237&lt;'Control Room'!$A$14+'Control Room'!$B$14,'Process'!BN3=1),1+('Control Room'!$C$14-1)*EXP(-0.5*(($A237-'Control Room'!$A$14-('Control Room'!$B$14-1)/2)/MAX(0.5,'Control Room'!$B$14/4))^2),1)*IF(AND($A237&gt;='Control Room'!$A$15,$A237&lt;'Control Room'!$A$15+'Control Room'!$B$15,'Process'!BN4=1),1+('Control Room'!$C$15-1)*EXP(-0.5*(($A237-'Control Room'!$A$15-('Control Room'!$B$15-1)/2)/MAX(0.5,'Control Room'!$B$15/4))^2),1)*IF(AND($A237&gt;='Control Room'!$A$16,$A237&lt;'Control Room'!$A$16+'Control Room'!$B$16,'Process'!BN5=1),1+('Control Room'!$C$16-1)*EXP(-0.5*(($A237-'Control Room'!$A$16-('Control Room'!$B$16-1)/2)/MAX(0.5,'Control Room'!$B$16/4))^2),1)</x:f>
        <x:v>1</x:v>
      </x:c>
      <x:c r="V237" s="9" t="n">
        <x:f>MOD(W236*16807,2147483647)</x:f>
        <x:v>1009869457</x:v>
      </x:c>
      <x:c r="W237" s="9" t="n">
        <x:f>MOD(V237*16807,2147483647)</x:f>
        <x:v>1312701558</x:v>
      </x:c>
      <x:c r="X237" s="17" t="n">
        <x:f>IF('Control Room'!$B$5="Normal",'Control Room'!$B$7+'Control Room'!$D$7*SQRT(-2*LN(MAX(0.000000000001,V237/2147483647)))*COS(2*PI()*W237/2147483647),'Control Room'!$B$8+('Control Room'!$D$8-'Control Room'!$B$8)*V237/2147483647)</x:f>
        <x:v>915.3825249518226</x:v>
      </x:c>
      <x:c r="Y237" s="17" t="n">
        <x:f>IF('Control Room'!$B$5="Normal",'Control Room'!$B$7,('Control Room'!$B$8+'Control Room'!$D$8)/2)+'Control Room'!$B$9*(Y236-IF('Control Room'!$B$5="Normal",'Control Room'!$B$7,('Control Room'!$B$8+'Control Room'!$D$8)/2))+SQRT(1-'Control Room'!$B$9^2)*(X237-IF('Control Room'!$B$5="Normal",'Control Room'!$B$7,('Control Room'!$B$8+'Control Room'!$D$8)/2))</x:f>
        <x:v>887.5918409671028</x:v>
      </x:c>
      <x:c r="Z237" s="17" t="n">
        <x:f>IF(AND($A237&gt;='Control Room'!$A$13,$A237&lt;'Control Room'!$A$13+'Control Room'!$B$13,'Process'!BO2=1),1+('Control Room'!$C$13-1)*EXP(-0.5*(($A237-'Control Room'!$A$13-('Control Room'!$B$13-1)/2)/MAX(0.5,'Control Room'!$B$13/4))^2),1)*IF(AND($A237&gt;='Control Room'!$A$14,$A237&lt;'Control Room'!$A$14+'Control Room'!$B$14,'Process'!BO3=1),1+('Control Room'!$C$14-1)*EXP(-0.5*(($A237-'Control Room'!$A$14-('Control Room'!$B$14-1)/2)/MAX(0.5,'Control Room'!$B$14/4))^2),1)*IF(AND($A237&gt;='Control Room'!$A$15,$A237&lt;'Control Room'!$A$15+'Control Room'!$B$15,'Process'!BO4=1),1+('Control Room'!$C$15-1)*EXP(-0.5*(($A237-'Control Room'!$A$15-('Control Room'!$B$15-1)/2)/MAX(0.5,'Control Room'!$B$15/4))^2),1)*IF(AND($A237&gt;='Control Room'!$A$16,$A237&lt;'Control Room'!$A$16+'Control Room'!$B$16,'Process'!BO5=1),1+('Control Room'!$C$16-1)*EXP(-0.5*(($A237-'Control Room'!$A$16-('Control Room'!$B$16-1)/2)/MAX(0.5,'Control Room'!$B$16/4))^2),1)</x:f>
        <x:v>1</x:v>
      </x:c>
      <x:c r="AA237" s="9" t="n">
        <x:f>MOD(AB236*16807,2147483647)</x:f>
        <x:v>1308747211</x:v>
      </x:c>
      <x:c r="AB237" s="9" t="n">
        <x:f>MOD(AA237*16807,2147483647)</x:f>
        <x:v>1586862703</x:v>
      </x:c>
      <x:c r="AC237" s="17" t="n">
        <x:f>IF('Control Room'!$B$5="Normal",'Control Room'!$B$7+'Control Room'!$D$7*SQRT(-2*LN(MAX(0.000000000001,AA237/2147483647)))*COS(2*PI()*AB237/2147483647),'Control Room'!$B$8+('Control Room'!$D$8-'Control Room'!$B$8)*AA237/2147483647)</x:f>
        <x:v>993.7809500672336</x:v>
      </x:c>
      <x:c r="AD237" s="17" t="n">
        <x:f>IF('Control Room'!$B$5="Normal",'Control Room'!$B$7,('Control Room'!$B$8+'Control Room'!$D$8)/2)+'Control Room'!$B$9*(AD236-IF('Control Room'!$B$5="Normal",'Control Room'!$B$7,('Control Room'!$B$8+'Control Room'!$D$8)/2))+SQRT(1-'Control Room'!$B$9^2)*(AC237-IF('Control Room'!$B$5="Normal",'Control Room'!$B$7,('Control Room'!$B$8+'Control Room'!$D$8)/2))</x:f>
        <x:v>985.6220048314116</x:v>
      </x:c>
      <x:c r="AE237" s="17" t="n">
        <x:f>IF(AND($A237&gt;='Control Room'!$A$13,$A237&lt;'Control Room'!$A$13+'Control Room'!$B$13,'Process'!BP2=1),1+('Control Room'!$C$13-1)*EXP(-0.5*(($A237-'Control Room'!$A$13-('Control Room'!$B$13-1)/2)/MAX(0.5,'Control Room'!$B$13/4))^2),1)*IF(AND($A237&gt;='Control Room'!$A$14,$A237&lt;'Control Room'!$A$14+'Control Room'!$B$14,'Process'!BP3=1),1+('Control Room'!$C$14-1)*EXP(-0.5*(($A237-'Control Room'!$A$14-('Control Room'!$B$14-1)/2)/MAX(0.5,'Control Room'!$B$14/4))^2),1)*IF(AND($A237&gt;='Control Room'!$A$15,$A237&lt;'Control Room'!$A$15+'Control Room'!$B$15,'Process'!BP4=1),1+('Control Room'!$C$15-1)*EXP(-0.5*(($A237-'Control Room'!$A$15-('Control Room'!$B$15-1)/2)/MAX(0.5,'Control Room'!$B$15/4))^2),1)*IF(AND($A237&gt;='Control Room'!$A$16,$A237&lt;'Control Room'!$A$16+'Control Room'!$B$16,'Process'!BP5=1),1+('Control Room'!$C$16-1)*EXP(-0.5*(($A237-'Control Room'!$A$16-('Control Room'!$B$16-1)/2)/MAX(0.5,'Control Room'!$B$16/4))^2),1)</x:f>
        <x:v>1</x:v>
      </x:c>
      <x:c r="AF237" s="9" t="n">
        <x:f>MOD(AG236*16807,2147483647)</x:f>
        <x:v>1607624965</x:v>
      </x:c>
      <x:c r="AG237" s="9" t="n">
        <x:f>MOD(AF237*16807,2147483647)</x:f>
        <x:v>1861023848</x:v>
      </x:c>
      <x:c r="AH237" s="17" t="n">
        <x:f>IF('Control Room'!$B$5="Normal",'Control Room'!$B$7+'Control Room'!$D$7*SQRT(-2*LN(MAX(0.000000000001,AF237/2147483647)))*COS(2*PI()*AG237/2147483647),'Control Room'!$B$8+('Control Room'!$D$8-'Control Room'!$B$8)*AF237/2147483647)</x:f>
        <x:v>1045.807881299867</x:v>
      </x:c>
      <x:c r="AI237" s="17" t="n">
        <x:f>IF('Control Room'!$B$5="Normal",'Control Room'!$B$7,('Control Room'!$B$8+'Control Room'!$D$8)/2)+'Control Room'!$B$9*(AI236-IF('Control Room'!$B$5="Normal",'Control Room'!$B$7,('Control Room'!$B$8+'Control Room'!$D$8)/2))+SQRT(1-'Control Room'!$B$9^2)*(AH237-IF('Control Room'!$B$5="Normal",'Control Room'!$B$7,('Control Room'!$B$8+'Control Room'!$D$8)/2))</x:f>
        <x:v>945.2657562562832</x:v>
      </x:c>
      <x:c r="AJ237" s="17" t="n">
        <x:f>IF(AND($A237&gt;='Control Room'!$A$13,$A237&lt;'Control Room'!$A$13+'Control Room'!$B$13,'Process'!BQ2=1),1+('Control Room'!$C$13-1)*EXP(-0.5*(($A237-'Control Room'!$A$13-('Control Room'!$B$13-1)/2)/MAX(0.5,'Control Room'!$B$13/4))^2),1)*IF(AND($A237&gt;='Control Room'!$A$14,$A237&lt;'Control Room'!$A$14+'Control Room'!$B$14,'Process'!BQ3=1),1+('Control Room'!$C$14-1)*EXP(-0.5*(($A237-'Control Room'!$A$14-('Control Room'!$B$14-1)/2)/MAX(0.5,'Control Room'!$B$14/4))^2),1)*IF(AND($A237&gt;='Control Room'!$A$15,$A237&lt;'Control Room'!$A$15+'Control Room'!$B$15,'Process'!BQ4=1),1+('Control Room'!$C$15-1)*EXP(-0.5*(($A237-'Control Room'!$A$15-('Control Room'!$B$15-1)/2)/MAX(0.5,'Control Room'!$B$15/4))^2),1)*IF(AND($A237&gt;='Control Room'!$A$16,$A237&lt;'Control Room'!$A$16+'Control Room'!$B$16,'Process'!BQ5=1),1+('Control Room'!$C$16-1)*EXP(-0.5*(($A237-'Control Room'!$A$16-('Control Room'!$B$16-1)/2)/MAX(0.5,'Control Room'!$B$16/4))^2),1)</x:f>
        <x:v>1</x:v>
      </x:c>
      <x:c r="AK237" s="9" t="n">
        <x:f>MOD(AL236*16807,2147483647)</x:f>
        <x:v>1906502719</x:v>
      </x:c>
      <x:c r="AL237" s="9" t="n">
        <x:f>MOD(AK237*16807,2147483647)</x:f>
        <x:v>2135184993</x:v>
      </x:c>
      <x:c r="AM237" s="17" t="n">
        <x:f>IF('Control Room'!$B$5="Normal",'Control Room'!$B$7+'Control Room'!$D$7*SQRT(-2*LN(MAX(0.000000000001,AK237/2147483647)))*COS(2*PI()*AL237/2147483647),'Control Room'!$B$8+('Control Room'!$D$8-'Control Room'!$B$8)*AK237/2147483647)</x:f>
        <x:v>1043.8831325453448</x:v>
      </x:c>
      <x:c r="AN237" s="17" t="n">
        <x:f>IF('Control Room'!$B$5="Normal",'Control Room'!$B$7,('Control Room'!$B$8+'Control Room'!$D$8)/2)+'Control Room'!$B$9*(AN236-IF('Control Room'!$B$5="Normal",'Control Room'!$B$7,('Control Room'!$B$8+'Control Room'!$D$8)/2))+SQRT(1-'Control Room'!$B$9^2)*(AM237-IF('Control Room'!$B$5="Normal",'Control Room'!$B$7,('Control Room'!$B$8+'Control Room'!$D$8)/2))</x:f>
        <x:v>1009.4303824034508</x:v>
      </x:c>
      <x:c r="AO237" s="17" t="n">
        <x:f>IF(AND($A237&gt;='Control Room'!$A$13,$A237&lt;'Control Room'!$A$13+'Control Room'!$B$13,'Process'!BR2=1),1+('Control Room'!$C$13-1)*EXP(-0.5*(($A237-'Control Room'!$A$13-('Control Room'!$B$13-1)/2)/MAX(0.5,'Control Room'!$B$13/4))^2),1)*IF(AND($A237&gt;='Control Room'!$A$14,$A237&lt;'Control Room'!$A$14+'Control Room'!$B$14,'Process'!BR3=1),1+('Control Room'!$C$14-1)*EXP(-0.5*(($A237-'Control Room'!$A$14-('Control Room'!$B$14-1)/2)/MAX(0.5,'Control Room'!$B$14/4))^2),1)*IF(AND($A237&gt;='Control Room'!$A$15,$A237&lt;'Control Room'!$A$15+'Control Room'!$B$15,'Process'!BR4=1),1+('Control Room'!$C$15-1)*EXP(-0.5*(($A237-'Control Room'!$A$15-('Control Room'!$B$15-1)/2)/MAX(0.5,'Control Room'!$B$15/4))^2),1)*IF(AND($A237&gt;='Control Room'!$A$16,$A237&lt;'Control Room'!$A$16+'Control Room'!$B$16,'Process'!BR5=1),1+('Control Room'!$C$16-1)*EXP(-0.5*(($A237-'Control Room'!$A$16-('Control Room'!$B$16-1)/2)/MAX(0.5,'Control Room'!$B$16/4))^2),1)</x:f>
        <x:v>1</x:v>
      </x:c>
      <x:c r="AP237" s="9" t="n">
        <x:f>MOD(AQ236*16807,2147483647)</x:f>
        <x:v>57896826</x:v>
      </x:c>
      <x:c r="AQ237" s="9" t="n">
        <x:f>MOD(AP237*16807,2147483647)</x:f>
        <x:v>261862491</x:v>
      </x:c>
      <x:c r="AR237" s="17" t="n">
        <x:f>IF('Control Room'!$B$5="Normal",'Control Room'!$B$7+'Control Room'!$D$7*SQRT(-2*LN(MAX(0.000000000001,AP237/2147483647)))*COS(2*PI()*AQ237/2147483647),'Control Room'!$B$8+('Control Room'!$D$8-'Control Room'!$B$8)*AP237/2147483647)</x:f>
        <x:v>1174.3385355763717</x:v>
      </x:c>
      <x:c r="AS237" s="17" t="n">
        <x:f>IF('Control Room'!$B$5="Normal",'Control Room'!$B$7,('Control Room'!$B$8+'Control Room'!$D$8)/2)+'Control Room'!$B$9*(AS236-IF('Control Room'!$B$5="Normal",'Control Room'!$B$7,('Control Room'!$B$8+'Control Room'!$D$8)/2))+SQRT(1-'Control Room'!$B$9^2)*(AR237-IF('Control Room'!$B$5="Normal",'Control Room'!$B$7,('Control Room'!$B$8+'Control Room'!$D$8)/2))</x:f>
        <x:v>1093.0101914917086</x:v>
      </x:c>
      <x:c r="AT237" s="17" t="n">
        <x:f>IF(AND($A237&gt;='Control Room'!$A$13,$A237&lt;'Control Room'!$A$13+'Control Room'!$B$13,'Process'!BS2=1),1+('Control Room'!$C$13-1)*EXP(-0.5*(($A237-'Control Room'!$A$13-('Control Room'!$B$13-1)/2)/MAX(0.5,'Control Room'!$B$13/4))^2),1)*IF(AND($A237&gt;='Control Room'!$A$14,$A237&lt;'Control Room'!$A$14+'Control Room'!$B$14,'Process'!BS3=1),1+('Control Room'!$C$14-1)*EXP(-0.5*(($A237-'Control Room'!$A$14-('Control Room'!$B$14-1)/2)/MAX(0.5,'Control Room'!$B$14/4))^2),1)*IF(AND($A237&gt;='Control Room'!$A$15,$A237&lt;'Control Room'!$A$15+'Control Room'!$B$15,'Process'!BS4=1),1+('Control Room'!$C$15-1)*EXP(-0.5*(($A237-'Control Room'!$A$15-('Control Room'!$B$15-1)/2)/MAX(0.5,'Control Room'!$B$15/4))^2),1)*IF(AND($A237&gt;='Control Room'!$A$16,$A237&lt;'Control Room'!$A$16+'Control Room'!$B$16,'Process'!BS5=1),1+('Control Room'!$C$16-1)*EXP(-0.5*(($A237-'Control Room'!$A$16-('Control Room'!$B$16-1)/2)/MAX(0.5,'Control Room'!$B$16/4))^2),1)</x:f>
        <x:v>1</x:v>
      </x:c>
      <x:c r="AU237" s="9" t="n">
        <x:f>MOD(AV236*16807,2147483647)</x:f>
        <x:v>356774580</x:v>
      </x:c>
      <x:c r="AV237" s="9" t="n">
        <x:f>MOD(AU237*16807,2147483647)</x:f>
        <x:v>536023636</x:v>
      </x:c>
      <x:c r="AW237" s="17" t="n">
        <x:f>IF('Control Room'!$B$5="Normal",'Control Room'!$B$7+'Control Room'!$D$7*SQRT(-2*LN(MAX(0.000000000001,AU237/2147483647)))*COS(2*PI()*AV237/2147483647),'Control Room'!$B$8+('Control Room'!$D$8-'Control Room'!$B$8)*AU237/2147483647)</x:f>
        <x:v>1000.4227248355581</x:v>
      </x:c>
      <x:c r="AX237" s="17" t="n">
        <x:f>IF('Control Room'!$B$5="Normal",'Control Room'!$B$7,('Control Room'!$B$8+'Control Room'!$D$8)/2)+'Control Room'!$B$9*(AX236-IF('Control Room'!$B$5="Normal",'Control Room'!$B$7,('Control Room'!$B$8+'Control Room'!$D$8)/2))+SQRT(1-'Control Room'!$B$9^2)*(AW237-IF('Control Room'!$B$5="Normal",'Control Room'!$B$7,('Control Room'!$B$8+'Control Room'!$D$8)/2))</x:f>
        <x:v>970.89510061509</x:v>
      </x:c>
      <x:c r="AY237" s="17" t="n">
        <x:f>IF(AND($A237&gt;='Control Room'!$A$13,$A237&lt;'Control Room'!$A$13+'Control Room'!$B$13,'Process'!BT2=1),1+('Control Room'!$C$13-1)*EXP(-0.5*(($A237-'Control Room'!$A$13-('Control Room'!$B$13-1)/2)/MAX(0.5,'Control Room'!$B$13/4))^2),1)*IF(AND($A237&gt;='Control Room'!$A$14,$A237&lt;'Control Room'!$A$14+'Control Room'!$B$14,'Process'!BT3=1),1+('Control Room'!$C$14-1)*EXP(-0.5*(($A237-'Control Room'!$A$14-('Control Room'!$B$14-1)/2)/MAX(0.5,'Control Room'!$B$14/4))^2),1)*IF(AND($A237&gt;='Control Room'!$A$15,$A237&lt;'Control Room'!$A$15+'Control Room'!$B$15,'Process'!BT4=1),1+('Control Room'!$C$15-1)*EXP(-0.5*(($A237-'Control Room'!$A$15-('Control Room'!$B$15-1)/2)/MAX(0.5,'Control Room'!$B$15/4))^2),1)*IF(AND($A237&gt;='Control Room'!$A$16,$A237&lt;'Control Room'!$A$16+'Control Room'!$B$16,'Process'!BT5=1),1+('Control Room'!$C$16-1)*EXP(-0.5*(($A237-'Control Room'!$A$16-('Control Room'!$B$16-1)/2)/MAX(0.5,'Control Room'!$B$16/4))^2),1)</x:f>
        <x:v>1</x:v>
      </x:c>
      <x:c r="AZ237" s="9" t="n">
        <x:f>MOD(BA236*16807,2147483647)</x:f>
        <x:v>655652334</x:v>
      </x:c>
      <x:c r="BA237" s="9" t="n">
        <x:f>MOD(AZ237*16807,2147483647)</x:f>
        <x:v>810184781</x:v>
      </x:c>
      <x:c r="BB237" s="17" t="n">
        <x:f>IF('Control Room'!$B$5="Normal",'Control Room'!$B$7+'Control Room'!$D$7*SQRT(-2*LN(MAX(0.000000000001,AZ237/2147483647)))*COS(2*PI()*BA237/2147483647),'Control Room'!$B$8+('Control Room'!$D$8-'Control Room'!$B$8)*AZ237/2147483647)</x:f>
        <x:v>900.5801242811958</x:v>
      </x:c>
      <x:c r="BC237" s="17" t="n">
        <x:f>IF('Control Room'!$B$5="Normal",'Control Room'!$B$7,('Control Room'!$B$8+'Control Room'!$D$8)/2)+'Control Room'!$B$9*(BC236-IF('Control Room'!$B$5="Normal",'Control Room'!$B$7,('Control Room'!$B$8+'Control Room'!$D$8)/2))+SQRT(1-'Control Room'!$B$9^2)*(BB237-IF('Control Room'!$B$5="Normal",'Control Room'!$B$7,('Control Room'!$B$8+'Control Room'!$D$8)/2))</x:f>
        <x:v>895.1306722768818</x:v>
      </x:c>
      <x:c r="BD237" s="17" t="n">
        <x:f>IF(AND($A237&gt;='Control Room'!$A$13,$A237&lt;'Control Room'!$A$13+'Control Room'!$B$13,'Process'!BU2=1),1+('Control Room'!$C$13-1)*EXP(-0.5*(($A237-'Control Room'!$A$13-('Control Room'!$B$13-1)/2)/MAX(0.5,'Control Room'!$B$13/4))^2),1)*IF(AND($A237&gt;='Control Room'!$A$14,$A237&lt;'Control Room'!$A$14+'Control Room'!$B$14,'Process'!BU3=1),1+('Control Room'!$C$14-1)*EXP(-0.5*(($A237-'Control Room'!$A$14-('Control Room'!$B$14-1)/2)/MAX(0.5,'Control Room'!$B$14/4))^2),1)*IF(AND($A237&gt;='Control Room'!$A$15,$A237&lt;'Control Room'!$A$15+'Control Room'!$B$15,'Process'!BU4=1),1+('Control Room'!$C$15-1)*EXP(-0.5*(($A237-'Control Room'!$A$15-('Control Room'!$B$15-1)/2)/MAX(0.5,'Control Room'!$B$15/4))^2),1)*IF(AND($A237&gt;='Control Room'!$A$16,$A237&lt;'Control Room'!$A$16+'Control Room'!$B$16,'Process'!BU5=1),1+('Control Room'!$C$16-1)*EXP(-0.5*(($A237-'Control Room'!$A$16-('Control Room'!$B$16-1)/2)/MAX(0.5,'Control Room'!$B$16/4))^2),1)</x:f>
        <x:v>1</x:v>
      </x:c>
      <x:c r="BE237" s="9" t="n">
        <x:f>MOD(BF236*16807,2147483647)</x:f>
        <x:v>954530088</x:v>
      </x:c>
      <x:c r="BF237" s="9" t="n">
        <x:f>MOD(BE237*16807,2147483647)</x:f>
        <x:v>1084345926</x:v>
      </x:c>
      <x:c r="BG237" s="17" t="n">
        <x:f>IF('Control Room'!$B$5="Normal",'Control Room'!$B$7+'Control Room'!$D$7*SQRT(-2*LN(MAX(0.000000000001,BE237/2147483647)))*COS(2*PI()*BF237/2147483647),'Control Room'!$B$8+('Control Room'!$D$8-'Control Room'!$B$8)*BE237/2147483647)</x:f>
        <x:v>885.4449811989505</x:v>
      </x:c>
      <x:c r="BH237" s="17" t="n">
        <x:f>IF('Control Room'!$B$5="Normal",'Control Room'!$B$7,('Control Room'!$B$8+'Control Room'!$D$8)/2)+'Control Room'!$B$9*(BH236-IF('Control Room'!$B$5="Normal",'Control Room'!$B$7,('Control Room'!$B$8+'Control Room'!$D$8)/2))+SQRT(1-'Control Room'!$B$9^2)*(BG237-IF('Control Room'!$B$5="Normal",'Control Room'!$B$7,('Control Room'!$B$8+'Control Room'!$D$8)/2))</x:f>
        <x:v>1025.9696589824814</x:v>
      </x:c>
      <x:c r="BI237" s="17" t="n">
        <x:f>IF(AND($A237&gt;='Control Room'!$A$13,$A237&lt;'Control Room'!$A$13+'Control Room'!$B$13,'Process'!BV2=1),1+('Control Room'!$C$13-1)*EXP(-0.5*(($A237-'Control Room'!$A$13-('Control Room'!$B$13-1)/2)/MAX(0.5,'Control Room'!$B$13/4))^2),1)*IF(AND($A237&gt;='Control Room'!$A$14,$A237&lt;'Control Room'!$A$14+'Control Room'!$B$14,'Process'!BV3=1),1+('Control Room'!$C$14-1)*EXP(-0.5*(($A237-'Control Room'!$A$14-('Control Room'!$B$14-1)/2)/MAX(0.5,'Control Room'!$B$14/4))^2),1)*IF(AND($A237&gt;='Control Room'!$A$15,$A237&lt;'Control Room'!$A$15+'Control Room'!$B$15,'Process'!BV4=1),1+('Control Room'!$C$15-1)*EXP(-0.5*(($A237-'Control Room'!$A$15-('Control Room'!$B$15-1)/2)/MAX(0.5,'Control Room'!$B$15/4))^2),1)*IF(AND($A237&gt;='Control Room'!$A$16,$A237&lt;'Control Room'!$A$16+'Control Room'!$B$16,'Process'!BV5=1),1+('Control Room'!$C$16-1)*EXP(-0.5*(($A237-'Control Room'!$A$16-('Control Room'!$B$16-1)/2)/MAX(0.5,'Control Room'!$B$16/4))^2),1)</x:f>
        <x:v>1</x:v>
      </x:c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Z237" t="str">
        <x:f>IF('Data'!A237="","",TEXT('Data'!A237,"mm-dd"))</x:f>
      </x:c>
    </x:row>
    <x:row r="238" ht="21" customHeight="1">
      <x:c r="A238" s="15" t="n">
        <x:f>'Control Room'!$B$1+236</x:f>
        <x:v>73227</x:v>
      </x:c>
      <x:c r="B238" s="9" t="n">
        <x:f>MOD(C237*16807,2147483647)</x:f>
        <x:v>2022265816</x:v>
      </x:c>
      <x:c r="C238" s="9" t="n">
        <x:f>MOD(B238*16807,2147483647)</x:f>
        <x:v>2145372090</x:v>
      </x:c>
      <x:c r="D238" s="17" t="n">
        <x:f>IF('Control Room'!$B$5="Normal",'Control Room'!$B$7+'Control Room'!$D$7*SQRT(-2*LN(MAX(0.000000000001,B238/2147483647)))*COS(2*PI()*C238/2147483647),'Control Room'!$B$8+('Control Room'!$D$8-'Control Room'!$B$8)*B238/2147483647)</x:f>
        <x:v>1031.1966258852617</x:v>
      </x:c>
      <x:c r="E238" s="17" t="n">
        <x:f>IF('Control Room'!$B$5="Normal",'Control Room'!$B$7,('Control Room'!$B$8+'Control Room'!$D$8)/2)+'Control Room'!$B$9*(E237-IF('Control Room'!$B$5="Normal",'Control Room'!$B$7,('Control Room'!$B$8+'Control Room'!$D$8)/2))+SQRT(1-'Control Room'!$B$9^2)*(D238-IF('Control Room'!$B$5="Normal",'Control Room'!$B$7,('Control Room'!$B$8+'Control Room'!$D$8)/2))</x:f>
        <x:v>1068.4664130494148</x:v>
      </x:c>
      <x:c r="F238" s="17" t="n">
        <x:f>IF(AND($A238&gt;='Control Room'!$A$13,$A238&lt;'Control Room'!$A$13+'Control Room'!$B$13,'Process'!BK2=1),1+('Control Room'!$C$13-1)*EXP(-0.5*(($A238-'Control Room'!$A$13-('Control Room'!$B$13-1)/2)/MAX(0.5,'Control Room'!$B$13/4))^2),1)*IF(AND($A238&gt;='Control Room'!$A$14,$A238&lt;'Control Room'!$A$14+'Control Room'!$B$14,'Process'!BK3=1),1+('Control Room'!$C$14-1)*EXP(-0.5*(($A238-'Control Room'!$A$14-('Control Room'!$B$14-1)/2)/MAX(0.5,'Control Room'!$B$14/4))^2),1)*IF(AND($A238&gt;='Control Room'!$A$15,$A238&lt;'Control Room'!$A$15+'Control Room'!$B$15,'Process'!BK4=1),1+('Control Room'!$C$15-1)*EXP(-0.5*(($A238-'Control Room'!$A$15-('Control Room'!$B$15-1)/2)/MAX(0.5,'Control Room'!$B$15/4))^2),1)*IF(AND($A238&gt;='Control Room'!$A$16,$A238&lt;'Control Room'!$A$16+'Control Room'!$B$16,'Process'!BK5=1),1+('Control Room'!$C$16-1)*EXP(-0.5*(($A238-'Control Room'!$A$16-('Control Room'!$B$16-1)/2)/MAX(0.5,'Control Room'!$B$16/4))^2),1)</x:f>
        <x:v>1</x:v>
      </x:c>
      <x:c r="G238" s="9" t="n">
        <x:f>MOD(H237*16807,2147483647)</x:f>
        <x:v>1348723369</x:v>
      </x:c>
      <x:c r="H238" s="9" t="n">
        <x:f>MOD(G238*16807,2147483647)</x:f>
        <x:v>1303768698</x:v>
      </x:c>
      <x:c r="I238" s="17" t="n">
        <x:f>IF('Control Room'!$B$5="Normal",'Control Room'!$B$7+'Control Room'!$D$7*SQRT(-2*LN(MAX(0.000000000001,G238/2147483647)))*COS(2*PI()*H238/2147483647),'Control Room'!$B$8+('Control Room'!$D$8-'Control Room'!$B$8)*G238/2147483647)</x:f>
        <x:v>932.1229196149412</x:v>
      </x:c>
      <x:c r="J238" s="17" t="n">
        <x:f>IF('Control Room'!$B$5="Normal",'Control Room'!$B$7,('Control Room'!$B$8+'Control Room'!$D$8)/2)+'Control Room'!$B$9*(J237-IF('Control Room'!$B$5="Normal",'Control Room'!$B$7,('Control Room'!$B$8+'Control Room'!$D$8)/2))+SQRT(1-'Control Room'!$B$9^2)*(I238-IF('Control Room'!$B$5="Normal",'Control Room'!$B$7,('Control Room'!$B$8+'Control Room'!$D$8)/2))</x:f>
        <x:v>1009.5023622988734</x:v>
      </x:c>
      <x:c r="K238" s="17" t="n">
        <x:f>IF(AND($A238&gt;='Control Room'!$A$13,$A238&lt;'Control Room'!$A$13+'Control Room'!$B$13,'Process'!BL2=1),1+('Control Room'!$C$13-1)*EXP(-0.5*(($A238-'Control Room'!$A$13-('Control Room'!$B$13-1)/2)/MAX(0.5,'Control Room'!$B$13/4))^2),1)*IF(AND($A238&gt;='Control Room'!$A$14,$A238&lt;'Control Room'!$A$14+'Control Room'!$B$14,'Process'!BL3=1),1+('Control Room'!$C$14-1)*EXP(-0.5*(($A238-'Control Room'!$A$14-('Control Room'!$B$14-1)/2)/MAX(0.5,'Control Room'!$B$14/4))^2),1)*IF(AND($A238&gt;='Control Room'!$A$15,$A238&lt;'Control Room'!$A$15+'Control Room'!$B$15,'Process'!BL4=1),1+('Control Room'!$C$15-1)*EXP(-0.5*(($A238-'Control Room'!$A$15-('Control Room'!$B$15-1)/2)/MAX(0.5,'Control Room'!$B$15/4))^2),1)*IF(AND($A238&gt;='Control Room'!$A$16,$A238&lt;'Control Room'!$A$16+'Control Room'!$B$16,'Process'!BL5=1),1+('Control Room'!$C$16-1)*EXP(-0.5*(($A238-'Control Room'!$A$16-('Control Room'!$B$16-1)/2)/MAX(0.5,'Control Room'!$B$16/4))^2),1)</x:f>
        <x:v>1</x:v>
      </x:c>
      <x:c r="L238" s="9" t="n">
        <x:f>MOD(M237*16807,2147483647)</x:f>
        <x:v>675180922</x:v>
      </x:c>
      <x:c r="M238" s="9" t="n">
        <x:f>MOD(L238*16807,2147483647)</x:f>
        <x:v>462165306</x:v>
      </x:c>
      <x:c r="N238" s="17" t="n">
        <x:f>IF('Control Room'!$B$5="Normal",'Control Room'!$B$7+'Control Room'!$D$7*SQRT(-2*LN(MAX(0.000000000001,L238/2147483647)))*COS(2*PI()*M238/2147483647),'Control Room'!$B$8+('Control Room'!$D$8-'Control Room'!$B$8)*L238/2147483647)</x:f>
        <x:v>1029.6877396779157</x:v>
      </x:c>
      <x:c r="O238" s="17" t="n">
        <x:f>IF('Control Room'!$B$5="Normal",'Control Room'!$B$7,('Control Room'!$B$8+'Control Room'!$D$8)/2)+'Control Room'!$B$9*(O237-IF('Control Room'!$B$5="Normal",'Control Room'!$B$7,('Control Room'!$B$8+'Control Room'!$D$8)/2))+SQRT(1-'Control Room'!$B$9^2)*(N238-IF('Control Room'!$B$5="Normal",'Control Room'!$B$7,('Control Room'!$B$8+'Control Room'!$D$8)/2))</x:f>
        <x:v>830.546989217431</x:v>
      </x:c>
      <x:c r="P238" s="17" t="n">
        <x:f>IF(AND($A238&gt;='Control Room'!$A$13,$A238&lt;'Control Room'!$A$13+'Control Room'!$B$13,'Process'!BM2=1),1+('Control Room'!$C$13-1)*EXP(-0.5*(($A238-'Control Room'!$A$13-('Control Room'!$B$13-1)/2)/MAX(0.5,'Control Room'!$B$13/4))^2),1)*IF(AND($A238&gt;='Control Room'!$A$14,$A238&lt;'Control Room'!$A$14+'Control Room'!$B$14,'Process'!BM3=1),1+('Control Room'!$C$14-1)*EXP(-0.5*(($A238-'Control Room'!$A$14-('Control Room'!$B$14-1)/2)/MAX(0.5,'Control Room'!$B$14/4))^2),1)*IF(AND($A238&gt;='Control Room'!$A$15,$A238&lt;'Control Room'!$A$15+'Control Room'!$B$15,'Process'!BM4=1),1+('Control Room'!$C$15-1)*EXP(-0.5*(($A238-'Control Room'!$A$15-('Control Room'!$B$15-1)/2)/MAX(0.5,'Control Room'!$B$15/4))^2),1)*IF(AND($A238&gt;='Control Room'!$A$16,$A238&lt;'Control Room'!$A$16+'Control Room'!$B$16,'Process'!BM5=1),1+('Control Room'!$C$16-1)*EXP(-0.5*(($A238-'Control Room'!$A$16-('Control Room'!$B$16-1)/2)/MAX(0.5,'Control Room'!$B$16/4))^2),1)</x:f>
        <x:v>1</x:v>
      </x:c>
      <x:c r="Q238" s="9" t="n">
        <x:f>MOD(R237*16807,2147483647)</x:f>
        <x:v>1638475</x:v>
      </x:c>
      <x:c r="R238" s="9" t="n">
        <x:f>MOD(Q238*16807,2147483647)</x:f>
        <x:v>1768045561</x:v>
      </x:c>
      <x:c r="S238" s="17" t="n">
        <x:f>IF('Control Room'!$B$5="Normal",'Control Room'!$B$7+'Control Room'!$D$7*SQRT(-2*LN(MAX(0.000000000001,Q238/2147483647)))*COS(2*PI()*R238/2147483647),'Control Room'!$B$8+('Control Room'!$D$8-'Control Room'!$B$8)*Q238/2147483647)</x:f>
        <x:v>1151.5812450124604</x:v>
      </x:c>
      <x:c r="T238" s="17" t="n">
        <x:f>IF('Control Room'!$B$5="Normal",'Control Room'!$B$7,('Control Room'!$B$8+'Control Room'!$D$8)/2)+'Control Room'!$B$9*(T237-IF('Control Room'!$B$5="Normal",'Control Room'!$B$7,('Control Room'!$B$8+'Control Room'!$D$8)/2))+SQRT(1-'Control Room'!$B$9^2)*(S238-IF('Control Room'!$B$5="Normal",'Control Room'!$B$7,('Control Room'!$B$8+'Control Room'!$D$8)/2))</x:f>
        <x:v>1058.6479578768995</x:v>
      </x:c>
      <x:c r="U238" s="17" t="n">
        <x:f>IF(AND($A238&gt;='Control Room'!$A$13,$A238&lt;'Control Room'!$A$13+'Control Room'!$B$13,'Process'!BN2=1),1+('Control Room'!$C$13-1)*EXP(-0.5*(($A238-'Control Room'!$A$13-('Control Room'!$B$13-1)/2)/MAX(0.5,'Control Room'!$B$13/4))^2),1)*IF(AND($A238&gt;='Control Room'!$A$14,$A238&lt;'Control Room'!$A$14+'Control Room'!$B$14,'Process'!BN3=1),1+('Control Room'!$C$14-1)*EXP(-0.5*(($A238-'Control Room'!$A$14-('Control Room'!$B$14-1)/2)/MAX(0.5,'Control Room'!$B$14/4))^2),1)*IF(AND($A238&gt;='Control Room'!$A$15,$A238&lt;'Control Room'!$A$15+'Control Room'!$B$15,'Process'!BN4=1),1+('Control Room'!$C$15-1)*EXP(-0.5*(($A238-'Control Room'!$A$15-('Control Room'!$B$15-1)/2)/MAX(0.5,'Control Room'!$B$15/4))^2),1)*IF(AND($A238&gt;='Control Room'!$A$16,$A238&lt;'Control Room'!$A$16+'Control Room'!$B$16,'Process'!BN5=1),1+('Control Room'!$C$16-1)*EXP(-0.5*(($A238-'Control Room'!$A$16-('Control Room'!$B$16-1)/2)/MAX(0.5,'Control Room'!$B$16/4))^2),1)</x:f>
        <x:v>1</x:v>
      </x:c>
      <x:c r="V238" s="9" t="n">
        <x:f>MOD(W237*16807,2147483647)</x:f>
        <x:v>1475579675</x:v>
      </x:c>
      <x:c r="W238" s="9" t="n">
        <x:f>MOD(V238*16807,2147483647)</x:f>
        <x:v>926442169</x:v>
      </x:c>
      <x:c r="X238" s="17" t="n">
        <x:f>IF('Control Room'!$B$5="Normal",'Control Room'!$B$7+'Control Room'!$D$7*SQRT(-2*LN(MAX(0.000000000001,V238/2147483647)))*COS(2*PI()*W238/2147483647),'Control Room'!$B$8+('Control Room'!$D$8-'Control Room'!$B$8)*V238/2147483647)</x:f>
        <x:v>929.1616241243414</x:v>
      </x:c>
      <x:c r="Y238" s="17" t="n">
        <x:f>IF('Control Room'!$B$5="Normal",'Control Room'!$B$7,('Control Room'!$B$8+'Control Room'!$D$8)/2)+'Control Room'!$B$9*(Y237-IF('Control Room'!$B$5="Normal",'Control Room'!$B$7,('Control Room'!$B$8+'Control Room'!$D$8)/2))+SQRT(1-'Control Room'!$B$9^2)*(X238-IF('Control Room'!$B$5="Normal",'Control Room'!$B$7,('Control Room'!$B$8+'Control Room'!$D$8)/2))</x:f>
        <x:v>867.9924315343628</x:v>
      </x:c>
      <x:c r="Z238" s="17" t="n">
        <x:f>IF(AND($A238&gt;='Control Room'!$A$13,$A238&lt;'Control Room'!$A$13+'Control Room'!$B$13,'Process'!BO2=1),1+('Control Room'!$C$13-1)*EXP(-0.5*(($A238-'Control Room'!$A$13-('Control Room'!$B$13-1)/2)/MAX(0.5,'Control Room'!$B$13/4))^2),1)*IF(AND($A238&gt;='Control Room'!$A$14,$A238&lt;'Control Room'!$A$14+'Control Room'!$B$14,'Process'!BO3=1),1+('Control Room'!$C$14-1)*EXP(-0.5*(($A238-'Control Room'!$A$14-('Control Room'!$B$14-1)/2)/MAX(0.5,'Control Room'!$B$14/4))^2),1)*IF(AND($A238&gt;='Control Room'!$A$15,$A238&lt;'Control Room'!$A$15+'Control Room'!$B$15,'Process'!BO4=1),1+('Control Room'!$C$15-1)*EXP(-0.5*(($A238-'Control Room'!$A$15-('Control Room'!$B$15-1)/2)/MAX(0.5,'Control Room'!$B$15/4))^2),1)*IF(AND($A238&gt;='Control Room'!$A$16,$A238&lt;'Control Room'!$A$16+'Control Room'!$B$16,'Process'!BO5=1),1+('Control Room'!$C$16-1)*EXP(-0.5*(($A238-'Control Room'!$A$16-('Control Room'!$B$16-1)/2)/MAX(0.5,'Control Room'!$B$16/4))^2),1)</x:f>
        <x:v>1</x:v>
      </x:c>
      <x:c r="AA238" s="9" t="n">
        <x:f>MOD(AB237*16807,2147483647)</x:f>
        <x:v>802037228</x:v>
      </x:c>
      <x:c r="AB238" s="9" t="n">
        <x:f>MOD(AA238*16807,2147483647)</x:f>
        <x:v>84838777</x:v>
      </x:c>
      <x:c r="AC238" s="17" t="n">
        <x:f>IF('Control Room'!$B$5="Normal",'Control Room'!$B$7+'Control Room'!$D$7*SQRT(-2*LN(MAX(0.000000000001,AA238/2147483647)))*COS(2*PI()*AB238/2147483647),'Control Room'!$B$8+('Control Room'!$D$8-'Control Room'!$B$8)*AA238/2147483647)</x:f>
        <x:v>1122.4429033681972</x:v>
      </x:c>
      <x:c r="AD238" s="17" t="n">
        <x:f>IF('Control Room'!$B$5="Normal",'Control Room'!$B$7,('Control Room'!$B$8+'Control Room'!$D$8)/2)+'Control Room'!$B$9*(AD237-IF('Control Room'!$B$5="Normal",'Control Room'!$B$7,('Control Room'!$B$8+'Control Room'!$D$8)/2))+SQRT(1-'Control Room'!$B$9^2)*(AC238-IF('Control Room'!$B$5="Normal",'Control Room'!$B$7,('Control Room'!$B$8+'Control Room'!$D$8)/2))</x:f>
        <x:v>1065.4074243171008</x:v>
      </x:c>
      <x:c r="AE238" s="17" t="n">
        <x:f>IF(AND($A238&gt;='Control Room'!$A$13,$A238&lt;'Control Room'!$A$13+'Control Room'!$B$13,'Process'!BP2=1),1+('Control Room'!$C$13-1)*EXP(-0.5*(($A238-'Control Room'!$A$13-('Control Room'!$B$13-1)/2)/MAX(0.5,'Control Room'!$B$13/4))^2),1)*IF(AND($A238&gt;='Control Room'!$A$14,$A238&lt;'Control Room'!$A$14+'Control Room'!$B$14,'Process'!BP3=1),1+('Control Room'!$C$14-1)*EXP(-0.5*(($A238-'Control Room'!$A$14-('Control Room'!$B$14-1)/2)/MAX(0.5,'Control Room'!$B$14/4))^2),1)*IF(AND($A238&gt;='Control Room'!$A$15,$A238&lt;'Control Room'!$A$15+'Control Room'!$B$15,'Process'!BP4=1),1+('Control Room'!$C$15-1)*EXP(-0.5*(($A238-'Control Room'!$A$15-('Control Room'!$B$15-1)/2)/MAX(0.5,'Control Room'!$B$15/4))^2),1)*IF(AND($A238&gt;='Control Room'!$A$16,$A238&lt;'Control Room'!$A$16+'Control Room'!$B$16,'Process'!BP5=1),1+('Control Room'!$C$16-1)*EXP(-0.5*(($A238-'Control Room'!$A$16-('Control Room'!$B$16-1)/2)/MAX(0.5,'Control Room'!$B$16/4))^2),1)</x:f>
        <x:v>1</x:v>
      </x:c>
      <x:c r="AF238" s="9" t="n">
        <x:f>MOD(AG237*16807,2147483647)</x:f>
        <x:v>128494781</x:v>
      </x:c>
      <x:c r="AG238" s="9" t="n">
        <x:f>MOD(AF238*16807,2147483647)</x:f>
        <x:v>1390719032</x:v>
      </x:c>
      <x:c r="AH238" s="17" t="n">
        <x:f>IF('Control Room'!$B$5="Normal",'Control Room'!$B$7+'Control Room'!$D$7*SQRT(-2*LN(MAX(0.000000000001,AF238/2147483647)))*COS(2*PI()*AG238/2147483647),'Control Room'!$B$8+('Control Room'!$D$8-'Control Room'!$B$8)*AF238/2147483647)</x:f>
        <x:v>871.8662645561781</x:v>
      </x:c>
      <x:c r="AI238" s="17" t="n">
        <x:f>IF('Control Room'!$B$5="Normal",'Control Room'!$B$7,('Control Room'!$B$8+'Control Room'!$D$8)/2)+'Control Room'!$B$9*(AI237-IF('Control Room'!$B$5="Normal",'Control Room'!$B$7,('Control Room'!$B$8+'Control Room'!$D$8)/2))+SQRT(1-'Control Room'!$B$9^2)*(AH238-IF('Control Room'!$B$5="Normal",'Control Room'!$B$7,('Control Room'!$B$8+'Control Room'!$D$8)/2))</x:f>
        <x:v>877.1238232014072</x:v>
      </x:c>
      <x:c r="AJ238" s="17" t="n">
        <x:f>IF(AND($A238&gt;='Control Room'!$A$13,$A238&lt;'Control Room'!$A$13+'Control Room'!$B$13,'Process'!BQ2=1),1+('Control Room'!$C$13-1)*EXP(-0.5*(($A238-'Control Room'!$A$13-('Control Room'!$B$13-1)/2)/MAX(0.5,'Control Room'!$B$13/4))^2),1)*IF(AND($A238&gt;='Control Room'!$A$14,$A238&lt;'Control Room'!$A$14+'Control Room'!$B$14,'Process'!BQ3=1),1+('Control Room'!$C$14-1)*EXP(-0.5*(($A238-'Control Room'!$A$14-('Control Room'!$B$14-1)/2)/MAX(0.5,'Control Room'!$B$14/4))^2),1)*IF(AND($A238&gt;='Control Room'!$A$15,$A238&lt;'Control Room'!$A$15+'Control Room'!$B$15,'Process'!BQ4=1),1+('Control Room'!$C$15-1)*EXP(-0.5*(($A238-'Control Room'!$A$15-('Control Room'!$B$15-1)/2)/MAX(0.5,'Control Room'!$B$15/4))^2),1)*IF(AND($A238&gt;='Control Room'!$A$16,$A238&lt;'Control Room'!$A$16+'Control Room'!$B$16,'Process'!BQ5=1),1+('Control Room'!$C$16-1)*EXP(-0.5*(($A238-'Control Room'!$A$16-('Control Room'!$B$16-1)/2)/MAX(0.5,'Control Room'!$B$16/4))^2),1)</x:f>
        <x:v>1</x:v>
      </x:c>
      <x:c r="AK238" s="9" t="n">
        <x:f>MOD(AL237*16807,2147483647)</x:f>
        <x:v>1602435981</x:v>
      </x:c>
      <x:c r="AL238" s="9" t="n">
        <x:f>MOD(AK238*16807,2147483647)</x:f>
        <x:v>549115640</x:v>
      </x:c>
      <x:c r="AM238" s="17" t="n">
        <x:f>IF('Control Room'!$B$5="Normal",'Control Room'!$B$7+'Control Room'!$D$7*SQRT(-2*LN(MAX(0.000000000001,AK238/2147483647)))*COS(2*PI()*AL238/2147483647),'Control Room'!$B$8+('Control Room'!$D$8-'Control Room'!$B$8)*AK238/2147483647)</x:f>
        <x:v>997.5332316031636</x:v>
      </x:c>
      <x:c r="AN238" s="17" t="n">
        <x:f>IF('Control Room'!$B$5="Normal",'Control Room'!$B$7,('Control Room'!$B$8+'Control Room'!$D$8)/2)+'Control Room'!$B$9*(AN237-IF('Control Room'!$B$5="Normal",'Control Room'!$B$7,('Control Room'!$B$8+'Control Room'!$D$8)/2))+SQRT(1-'Control Room'!$B$9^2)*(AM238-IF('Control Room'!$B$5="Normal",'Control Room'!$B$7,('Control Room'!$B$8+'Control Room'!$D$8)/2))</x:f>
        <x:v>1005.8120451464489</x:v>
      </x:c>
      <x:c r="AO238" s="17" t="n">
        <x:f>IF(AND($A238&gt;='Control Room'!$A$13,$A238&lt;'Control Room'!$A$13+'Control Room'!$B$13,'Process'!BR2=1),1+('Control Room'!$C$13-1)*EXP(-0.5*(($A238-'Control Room'!$A$13-('Control Room'!$B$13-1)/2)/MAX(0.5,'Control Room'!$B$13/4))^2),1)*IF(AND($A238&gt;='Control Room'!$A$14,$A238&lt;'Control Room'!$A$14+'Control Room'!$B$14,'Process'!BR3=1),1+('Control Room'!$C$14-1)*EXP(-0.5*(($A238-'Control Room'!$A$14-('Control Room'!$B$14-1)/2)/MAX(0.5,'Control Room'!$B$14/4))^2),1)*IF(AND($A238&gt;='Control Room'!$A$15,$A238&lt;'Control Room'!$A$15+'Control Room'!$B$15,'Process'!BR4=1),1+('Control Room'!$C$15-1)*EXP(-0.5*(($A238-'Control Room'!$A$15-('Control Room'!$B$15-1)/2)/MAX(0.5,'Control Room'!$B$15/4))^2),1)*IF(AND($A238&gt;='Control Room'!$A$16,$A238&lt;'Control Room'!$A$16+'Control Room'!$B$16,'Process'!BR5=1),1+('Control Room'!$C$16-1)*EXP(-0.5*(($A238-'Control Room'!$A$16-('Control Room'!$B$16-1)/2)/MAX(0.5,'Control Room'!$B$16/4))^2),1)</x:f>
        <x:v>1</x:v>
      </x:c>
      <x:c r="AP238" s="9" t="n">
        <x:f>MOD(AQ237*16807,2147483647)</x:f>
        <x:v>928893534</x:v>
      </x:c>
      <x:c r="AQ238" s="9" t="n">
        <x:f>MOD(AP238*16807,2147483647)</x:f>
        <x:v>1854995895</x:v>
      </x:c>
      <x:c r="AR238" s="17" t="n">
        <x:f>IF('Control Room'!$B$5="Normal",'Control Room'!$B$7+'Control Room'!$D$7*SQRT(-2*LN(MAX(0.000000000001,AP238/2147483647)))*COS(2*PI()*AQ238/2147483647),'Control Room'!$B$8+('Control Room'!$D$8-'Control Room'!$B$8)*AP238/2147483647)</x:f>
        <x:v>1076.3937011492512</x:v>
      </x:c>
      <x:c r="AS238" s="17" t="n">
        <x:f>IF('Control Room'!$B$5="Normal",'Control Room'!$B$7,('Control Room'!$B$8+'Control Room'!$D$8)/2)+'Control Room'!$B$9*(AS237-IF('Control Room'!$B$5="Normal",'Control Room'!$B$7,('Control Room'!$B$8+'Control Room'!$D$8)/2))+SQRT(1-'Control Room'!$B$9^2)*(AR238-IF('Control Room'!$B$5="Normal",'Control Room'!$B$7,('Control Room'!$B$8+'Control Room'!$D$8)/2))</x:f>
        <x:v>1120.3535625327004</x:v>
      </x:c>
      <x:c r="AT238" s="17" t="n">
        <x:f>IF(AND($A238&gt;='Control Room'!$A$13,$A238&lt;'Control Room'!$A$13+'Control Room'!$B$13,'Process'!BS2=1),1+('Control Room'!$C$13-1)*EXP(-0.5*(($A238-'Control Room'!$A$13-('Control Room'!$B$13-1)/2)/MAX(0.5,'Control Room'!$B$13/4))^2),1)*IF(AND($A238&gt;='Control Room'!$A$14,$A238&lt;'Control Room'!$A$14+'Control Room'!$B$14,'Process'!BS3=1),1+('Control Room'!$C$14-1)*EXP(-0.5*(($A238-'Control Room'!$A$14-('Control Room'!$B$14-1)/2)/MAX(0.5,'Control Room'!$B$14/4))^2),1)*IF(AND($A238&gt;='Control Room'!$A$15,$A238&lt;'Control Room'!$A$15+'Control Room'!$B$15,'Process'!BS4=1),1+('Control Room'!$C$15-1)*EXP(-0.5*(($A238-'Control Room'!$A$15-('Control Room'!$B$15-1)/2)/MAX(0.5,'Control Room'!$B$15/4))^2),1)*IF(AND($A238&gt;='Control Room'!$A$16,$A238&lt;'Control Room'!$A$16+'Control Room'!$B$16,'Process'!BS5=1),1+('Control Room'!$C$16-1)*EXP(-0.5*(($A238-'Control Room'!$A$16-('Control Room'!$B$16-1)/2)/MAX(0.5,'Control Room'!$B$16/4))^2),1)</x:f>
        <x:v>1</x:v>
      </x:c>
      <x:c r="AU238" s="9" t="n">
        <x:f>MOD(AV237*16807,2147483647)</x:f>
        <x:v>255351087</x:v>
      </x:c>
      <x:c r="AV238" s="9" t="n">
        <x:f>MOD(AU238*16807,2147483647)</x:f>
        <x:v>1013392503</x:v>
      </x:c>
      <x:c r="AW238" s="17" t="n">
        <x:f>IF('Control Room'!$B$5="Normal",'Control Room'!$B$7+'Control Room'!$D$7*SQRT(-2*LN(MAX(0.000000000001,AU238/2147483647)))*COS(2*PI()*AV238/2147483647),'Control Room'!$B$8+('Control Room'!$D$8-'Control Room'!$B$8)*AU238/2147483647)</x:f>
        <x:v>817.155549979494</x:v>
      </x:c>
      <x:c r="AX238" s="17" t="n">
        <x:f>IF('Control Room'!$B$5="Normal",'Control Room'!$B$7,('Control Room'!$B$8+'Control Room'!$D$8)/2)+'Control Room'!$B$9*(AX237-IF('Control Room'!$B$5="Normal",'Control Room'!$B$7,('Control Room'!$B$8+'Control Room'!$D$8)/2))+SQRT(1-'Control Room'!$B$9^2)*(AW238-IF('Control Room'!$B$5="Normal",'Control Room'!$B$7,('Control Room'!$B$8+'Control Room'!$D$8)/2))</x:f>
        <x:v>862.877867429097</x:v>
      </x:c>
      <x:c r="AY238" s="17" t="n">
        <x:f>IF(AND($A238&gt;='Control Room'!$A$13,$A238&lt;'Control Room'!$A$13+'Control Room'!$B$13,'Process'!BT2=1),1+('Control Room'!$C$13-1)*EXP(-0.5*(($A238-'Control Room'!$A$13-('Control Room'!$B$13-1)/2)/MAX(0.5,'Control Room'!$B$13/4))^2),1)*IF(AND($A238&gt;='Control Room'!$A$14,$A238&lt;'Control Room'!$A$14+'Control Room'!$B$14,'Process'!BT3=1),1+('Control Room'!$C$14-1)*EXP(-0.5*(($A238-'Control Room'!$A$14-('Control Room'!$B$14-1)/2)/MAX(0.5,'Control Room'!$B$14/4))^2),1)*IF(AND($A238&gt;='Control Room'!$A$15,$A238&lt;'Control Room'!$A$15+'Control Room'!$B$15,'Process'!BT4=1),1+('Control Room'!$C$15-1)*EXP(-0.5*(($A238-'Control Room'!$A$15-('Control Room'!$B$15-1)/2)/MAX(0.5,'Control Room'!$B$15/4))^2),1)*IF(AND($A238&gt;='Control Room'!$A$16,$A238&lt;'Control Room'!$A$16+'Control Room'!$B$16,'Process'!BT5=1),1+('Control Room'!$C$16-1)*EXP(-0.5*(($A238-'Control Room'!$A$16-('Control Room'!$B$16-1)/2)/MAX(0.5,'Control Room'!$B$16/4))^2),1)</x:f>
        <x:v>1</x:v>
      </x:c>
      <x:c r="AZ238" s="9" t="n">
        <x:f>MOD(BA237*16807,2147483647)</x:f>
        <x:v>1729292287</x:v>
      </x:c>
      <x:c r="BA238" s="9" t="n">
        <x:f>MOD(AZ238*16807,2147483647)</x:f>
        <x:v>171789111</x:v>
      </x:c>
      <x:c r="BB238" s="17" t="n">
        <x:f>IF('Control Room'!$B$5="Normal",'Control Room'!$B$7+'Control Room'!$D$7*SQRT(-2*LN(MAX(0.000000000001,AZ238/2147483647)))*COS(2*PI()*BA238/2147483647),'Control Room'!$B$8+('Control Room'!$D$8-'Control Room'!$B$8)*AZ238/2147483647)</x:f>
        <x:v>1051.9079677759494</x:v>
      </x:c>
      <x:c r="BC238" s="17" t="n">
        <x:f>IF('Control Room'!$B$5="Normal",'Control Room'!$B$7,('Control Room'!$B$8+'Control Room'!$D$8)/2)+'Control Room'!$B$9*(BC237-IF('Control Room'!$B$5="Normal",'Control Room'!$B$7,('Control Room'!$B$8+'Control Room'!$D$8)/2))+SQRT(1-'Control Room'!$B$9^2)*(BB238-IF('Control Room'!$B$5="Normal",'Control Room'!$B$7,('Control Room'!$B$8+'Control Room'!$D$8)/2))</x:f>
        <x:v>950.6848672176365</x:v>
      </x:c>
      <x:c r="BD238" s="17" t="n">
        <x:f>IF(AND($A238&gt;='Control Room'!$A$13,$A238&lt;'Control Room'!$A$13+'Control Room'!$B$13,'Process'!BU2=1),1+('Control Room'!$C$13-1)*EXP(-0.5*(($A238-'Control Room'!$A$13-('Control Room'!$B$13-1)/2)/MAX(0.5,'Control Room'!$B$13/4))^2),1)*IF(AND($A238&gt;='Control Room'!$A$14,$A238&lt;'Control Room'!$A$14+'Control Room'!$B$14,'Process'!BU3=1),1+('Control Room'!$C$14-1)*EXP(-0.5*(($A238-'Control Room'!$A$14-('Control Room'!$B$14-1)/2)/MAX(0.5,'Control Room'!$B$14/4))^2),1)*IF(AND($A238&gt;='Control Room'!$A$15,$A238&lt;'Control Room'!$A$15+'Control Room'!$B$15,'Process'!BU4=1),1+('Control Room'!$C$15-1)*EXP(-0.5*(($A238-'Control Room'!$A$15-('Control Room'!$B$15-1)/2)/MAX(0.5,'Control Room'!$B$15/4))^2),1)*IF(AND($A238&gt;='Control Room'!$A$16,$A238&lt;'Control Room'!$A$16+'Control Room'!$B$16,'Process'!BU5=1),1+('Control Room'!$C$16-1)*EXP(-0.5*(($A238-'Control Room'!$A$16-('Control Room'!$B$16-1)/2)/MAX(0.5,'Control Room'!$B$16/4))^2),1)</x:f>
        <x:v>1</x:v>
      </x:c>
      <x:c r="BE238" s="9" t="n">
        <x:f>MOD(BF237*16807,2147483647)</x:f>
        <x:v>1055749840</x:v>
      </x:c>
      <x:c r="BF238" s="9" t="n">
        <x:f>MOD(BE238*16807,2147483647)</x:f>
        <x:v>1477669366</x:v>
      </x:c>
      <x:c r="BG238" s="17" t="n">
        <x:f>IF('Control Room'!$B$5="Normal",'Control Room'!$B$7+'Control Room'!$D$7*SQRT(-2*LN(MAX(0.000000000001,BE238/2147483647)))*COS(2*PI()*BF238/2147483647),'Control Room'!$B$8+('Control Room'!$D$8-'Control Room'!$B$8)*BE238/2147483647)</x:f>
        <x:v>959.326626581295</x:v>
      </x:c>
      <x:c r="BH238" s="17" t="n">
        <x:f>IF('Control Room'!$B$5="Normal",'Control Room'!$B$7,('Control Room'!$B$8+'Control Room'!$D$8)/2)+'Control Room'!$B$9*(BH237-IF('Control Room'!$B$5="Normal",'Control Room'!$B$7,('Control Room'!$B$8+'Control Room'!$D$8)/2))+SQRT(1-'Control Room'!$B$9^2)*(BG238-IF('Control Room'!$B$5="Normal",'Control Room'!$B$7,('Control Room'!$B$8+'Control Room'!$D$8)/2))</x:f>
        <x:v>994.803770160255</x:v>
      </x:c>
      <x:c r="BI238" s="17" t="n">
        <x:f>IF(AND($A238&gt;='Control Room'!$A$13,$A238&lt;'Control Room'!$A$13+'Control Room'!$B$13,'Process'!BV2=1),1+('Control Room'!$C$13-1)*EXP(-0.5*(($A238-'Control Room'!$A$13-('Control Room'!$B$13-1)/2)/MAX(0.5,'Control Room'!$B$13/4))^2),1)*IF(AND($A238&gt;='Control Room'!$A$14,$A238&lt;'Control Room'!$A$14+'Control Room'!$B$14,'Process'!BV3=1),1+('Control Room'!$C$14-1)*EXP(-0.5*(($A238-'Control Room'!$A$14-('Control Room'!$B$14-1)/2)/MAX(0.5,'Control Room'!$B$14/4))^2),1)*IF(AND($A238&gt;='Control Room'!$A$15,$A238&lt;'Control Room'!$A$15+'Control Room'!$B$15,'Process'!BV4=1),1+('Control Room'!$C$15-1)*EXP(-0.5*(($A238-'Control Room'!$A$15-('Control Room'!$B$15-1)/2)/MAX(0.5,'Control Room'!$B$15/4))^2),1)*IF(AND($A238&gt;='Control Room'!$A$16,$A238&lt;'Control Room'!$A$16+'Control Room'!$B$16,'Process'!BV5=1),1+('Control Room'!$C$16-1)*EXP(-0.5*(($A238-'Control Room'!$A$16-('Control Room'!$B$16-1)/2)/MAX(0.5,'Control Room'!$B$16/4))^2),1)</x:f>
        <x:v>1</x:v>
      </x:c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Z238" t="str">
        <x:f>IF('Data'!A238="","",TEXT('Data'!A238,"mm-dd"))</x:f>
      </x:c>
    </x:row>
    <x:row r="239" ht="21" customHeight="1">
      <x:c r="A239" s="15" t="n">
        <x:f>'Control Room'!$B$1+237</x:f>
        <x:v>73228</x:v>
      </x:c>
      <x:c r="B239" s="9" t="n">
        <x:f>MOD(C238*16807,2147483647)</x:f>
        <x:v>1018283500</x:v>
      </x:c>
      <x:c r="C239" s="9" t="n">
        <x:f>MOD(B239*16807,2147483647)</x:f>
        <x:v>993601557</x:v>
      </x:c>
      <x:c r="D239" s="17" t="n">
        <x:f>IF('Control Room'!$B$5="Normal",'Control Room'!$B$7+'Control Room'!$D$7*SQRT(-2*LN(MAX(0.000000000001,B239/2147483647)))*COS(2*PI()*C239/2147483647),'Control Room'!$B$8+('Control Room'!$D$8-'Control Room'!$B$8)*B239/2147483647)</x:f>
        <x:v>893.0627170858515</x:v>
      </x:c>
      <x:c r="E239" s="17" t="n">
        <x:f>IF('Control Room'!$B$5="Normal",'Control Room'!$B$7,('Control Room'!$B$8+'Control Room'!$D$8)/2)+'Control Room'!$B$9*(E238-IF('Control Room'!$B$5="Normal",'Control Room'!$B$7,('Control Room'!$B$8+'Control Room'!$D$8)/2))+SQRT(1-'Control Room'!$B$9^2)*(D239-IF('Control Room'!$B$5="Normal",'Control Room'!$B$7,('Control Room'!$B$8+'Control Room'!$D$8)/2))</x:f>
        <x:v>986.4846412601868</x:v>
      </x:c>
      <x:c r="F239" s="17" t="n">
        <x:f>IF(AND($A239&gt;='Control Room'!$A$13,$A239&lt;'Control Room'!$A$13+'Control Room'!$B$13,'Process'!BK2=1),1+('Control Room'!$C$13-1)*EXP(-0.5*(($A239-'Control Room'!$A$13-('Control Room'!$B$13-1)/2)/MAX(0.5,'Control Room'!$B$13/4))^2),1)*IF(AND($A239&gt;='Control Room'!$A$14,$A239&lt;'Control Room'!$A$14+'Control Room'!$B$14,'Process'!BK3=1),1+('Control Room'!$C$14-1)*EXP(-0.5*(($A239-'Control Room'!$A$14-('Control Room'!$B$14-1)/2)/MAX(0.5,'Control Room'!$B$14/4))^2),1)*IF(AND($A239&gt;='Control Room'!$A$15,$A239&lt;'Control Room'!$A$15+'Control Room'!$B$15,'Process'!BK4=1),1+('Control Room'!$C$15-1)*EXP(-0.5*(($A239-'Control Room'!$A$15-('Control Room'!$B$15-1)/2)/MAX(0.5,'Control Room'!$B$15/4))^2),1)*IF(AND($A239&gt;='Control Room'!$A$16,$A239&lt;'Control Room'!$A$16+'Control Room'!$B$16,'Process'!BK5=1),1+('Control Room'!$C$16-1)*EXP(-0.5*(($A239-'Control Room'!$A$16-('Control Room'!$B$16-1)/2)/MAX(0.5,'Control Room'!$B$16/4))^2),1)</x:f>
        <x:v>1</x:v>
      </x:c>
      <x:c r="G239" s="9" t="n">
        <x:f>MOD(H238*16807,2147483647)</x:f>
        <x:v>1664856945</x:v>
      </x:c>
      <x:c r="H239" s="9" t="n">
        <x:f>MOD(G239*16807,2147483647)</x:f>
        <x:v>1686237852</x:v>
      </x:c>
      <x:c r="I239" s="17" t="n">
        <x:f>IF('Control Room'!$B$5="Normal",'Control Room'!$B$7+'Control Room'!$D$7*SQRT(-2*LN(MAX(0.000000000001,G239/2147483647)))*COS(2*PI()*H239/2147483647),'Control Room'!$B$8+('Control Room'!$D$8-'Control Room'!$B$8)*G239/2147483647)</x:f>
        <x:v>1014.0934396084475</x:v>
      </x:c>
      <x:c r="J239" s="17" t="n">
        <x:f>IF('Control Room'!$B$5="Normal",'Control Room'!$B$7,('Control Room'!$B$8+'Control Room'!$D$8)/2)+'Control Room'!$B$9*(J238-IF('Control Room'!$B$5="Normal",'Control Room'!$B$7,('Control Room'!$B$8+'Control Room'!$D$8)/2))+SQRT(1-'Control Room'!$B$9^2)*(I239-IF('Control Room'!$B$5="Normal",'Control Room'!$B$7,('Control Room'!$B$8+'Control Room'!$D$8)/2))</x:f>
        <x:v>1016.231228380284</x:v>
      </x:c>
      <x:c r="K239" s="17" t="n">
        <x:f>IF(AND($A239&gt;='Control Room'!$A$13,$A239&lt;'Control Room'!$A$13+'Control Room'!$B$13,'Process'!BL2=1),1+('Control Room'!$C$13-1)*EXP(-0.5*(($A239-'Control Room'!$A$13-('Control Room'!$B$13-1)/2)/MAX(0.5,'Control Room'!$B$13/4))^2),1)*IF(AND($A239&gt;='Control Room'!$A$14,$A239&lt;'Control Room'!$A$14+'Control Room'!$B$14,'Process'!BL3=1),1+('Control Room'!$C$14-1)*EXP(-0.5*(($A239-'Control Room'!$A$14-('Control Room'!$B$14-1)/2)/MAX(0.5,'Control Room'!$B$14/4))^2),1)*IF(AND($A239&gt;='Control Room'!$A$15,$A239&lt;'Control Room'!$A$15+'Control Room'!$B$15,'Process'!BL4=1),1+('Control Room'!$C$15-1)*EXP(-0.5*(($A239-'Control Room'!$A$15-('Control Room'!$B$15-1)/2)/MAX(0.5,'Control Room'!$B$15/4))^2),1)*IF(AND($A239&gt;='Control Room'!$A$16,$A239&lt;'Control Room'!$A$16+'Control Room'!$B$16,'Process'!BL5=1),1+('Control Room'!$C$16-1)*EXP(-0.5*(($A239-'Control Room'!$A$16-('Control Room'!$B$16-1)/2)/MAX(0.5,'Control Room'!$B$16/4))^2),1)</x:f>
        <x:v>1</x:v>
      </x:c>
      <x:c r="L239" s="9" t="n">
        <x:f>MOD(M238*16807,2147483647)</x:f>
        <x:v>163946743</x:v>
      </x:c>
      <x:c r="M239" s="9" t="n">
        <x:f>MOD(L239*16807,2147483647)</x:f>
        <x:v>231390500</x:v>
      </x:c>
      <x:c r="N239" s="17" t="n">
        <x:f>IF('Control Room'!$B$5="Normal",'Control Room'!$B$7+'Control Room'!$D$7*SQRT(-2*LN(MAX(0.000000000001,L239/2147483647)))*COS(2*PI()*M239/2147483647),'Control Room'!$B$8+('Control Room'!$D$8-'Control Room'!$B$8)*L239/2147483647)</x:f>
        <x:v>1159.1196168153836</x:v>
      </x:c>
      <x:c r="O239" s="17" t="n">
        <x:f>IF('Control Room'!$B$5="Normal",'Control Room'!$B$7,('Control Room'!$B$8+'Control Room'!$D$8)/2)+'Control Room'!$B$9*(O238-IF('Control Room'!$B$5="Normal",'Control Room'!$B$7,('Control Room'!$B$8+'Control Room'!$D$8)/2))+SQRT(1-'Control Room'!$B$9^2)*(N239-IF('Control Room'!$B$5="Normal",'Control Room'!$B$7,('Control Room'!$B$8+'Control Room'!$D$8)/2))</x:f>
        <x:v>967.40044805013</x:v>
      </x:c>
      <x:c r="P239" s="17" t="n">
        <x:f>IF(AND($A239&gt;='Control Room'!$A$13,$A239&lt;'Control Room'!$A$13+'Control Room'!$B$13,'Process'!BM2=1),1+('Control Room'!$C$13-1)*EXP(-0.5*(($A239-'Control Room'!$A$13-('Control Room'!$B$13-1)/2)/MAX(0.5,'Control Room'!$B$13/4))^2),1)*IF(AND($A239&gt;='Control Room'!$A$14,$A239&lt;'Control Room'!$A$14+'Control Room'!$B$14,'Process'!BM3=1),1+('Control Room'!$C$14-1)*EXP(-0.5*(($A239-'Control Room'!$A$14-('Control Room'!$B$14-1)/2)/MAX(0.5,'Control Room'!$B$14/4))^2),1)*IF(AND($A239&gt;='Control Room'!$A$15,$A239&lt;'Control Room'!$A$15+'Control Room'!$B$15,'Process'!BM4=1),1+('Control Room'!$C$15-1)*EXP(-0.5*(($A239-'Control Room'!$A$15-('Control Room'!$B$15-1)/2)/MAX(0.5,'Control Room'!$B$15/4))^2),1)*IF(AND($A239&gt;='Control Room'!$A$16,$A239&lt;'Control Room'!$A$16+'Control Room'!$B$16,'Process'!BM5=1),1+('Control Room'!$C$16-1)*EXP(-0.5*(($A239-'Control Room'!$A$16-('Control Room'!$B$16-1)/2)/MAX(0.5,'Control Room'!$B$16/4))^2),1)</x:f>
        <x:v>1</x:v>
      </x:c>
      <x:c r="Q239" s="9" t="n">
        <x:f>MOD(R238*16807,2147483647)</x:f>
        <x:v>810520188</x:v>
      </x:c>
      <x:c r="R239" s="9" t="n">
        <x:f>MOD(Q239*16807,2147483647)</x:f>
        <x:v>924026795</x:v>
      </x:c>
      <x:c r="S239" s="17" t="n">
        <x:f>IF('Control Room'!$B$5="Normal",'Control Room'!$B$7+'Control Room'!$D$7*SQRT(-2*LN(MAX(0.000000000001,Q239/2147483647)))*COS(2*PI()*R239/2147483647),'Control Room'!$B$8+('Control Room'!$D$8-'Control Room'!$B$8)*Q239/2147483647)</x:f>
        <x:v>886.2242981224272</x:v>
      </x:c>
      <x:c r="T239" s="17" t="n">
        <x:f>IF('Control Room'!$B$5="Normal",'Control Room'!$B$7,('Control Room'!$B$8+'Control Room'!$D$8)/2)+'Control Room'!$B$9*(T238-IF('Control Room'!$B$5="Normal",'Control Room'!$B$7,('Control Room'!$B$8+'Control Room'!$D$8)/2))+SQRT(1-'Control Room'!$B$9^2)*(S239-IF('Control Room'!$B$5="Normal",'Control Room'!$B$7,('Control Room'!$B$8+'Control Room'!$D$8)/2))</x:f>
        <x:v>974.5469037309409</x:v>
      </x:c>
      <x:c r="U239" s="17" t="n">
        <x:f>IF(AND($A239&gt;='Control Room'!$A$13,$A239&lt;'Control Room'!$A$13+'Control Room'!$B$13,'Process'!BN2=1),1+('Control Room'!$C$13-1)*EXP(-0.5*(($A239-'Control Room'!$A$13-('Control Room'!$B$13-1)/2)/MAX(0.5,'Control Room'!$B$13/4))^2),1)*IF(AND($A239&gt;='Control Room'!$A$14,$A239&lt;'Control Room'!$A$14+'Control Room'!$B$14,'Process'!BN3=1),1+('Control Room'!$C$14-1)*EXP(-0.5*(($A239-'Control Room'!$A$14-('Control Room'!$B$14-1)/2)/MAX(0.5,'Control Room'!$B$14/4))^2),1)*IF(AND($A239&gt;='Control Room'!$A$15,$A239&lt;'Control Room'!$A$15+'Control Room'!$B$15,'Process'!BN4=1),1+('Control Room'!$C$15-1)*EXP(-0.5*(($A239-'Control Room'!$A$15-('Control Room'!$B$15-1)/2)/MAX(0.5,'Control Room'!$B$15/4))^2),1)*IF(AND($A239&gt;='Control Room'!$A$16,$A239&lt;'Control Room'!$A$16+'Control Room'!$B$16,'Process'!BN5=1),1+('Control Room'!$C$16-1)*EXP(-0.5*(($A239-'Control Room'!$A$16-('Control Room'!$B$16-1)/2)/MAX(0.5,'Control Room'!$B$16/4))^2),1)</x:f>
        <x:v>1</x:v>
      </x:c>
      <x:c r="V239" s="9" t="n">
        <x:f>MOD(W238*16807,2147483647)</x:f>
        <x:v>1457093633</x:v>
      </x:c>
      <x:c r="W239" s="9" t="n">
        <x:f>MOD(V239*16807,2147483647)</x:f>
        <x:v>1616663090</x:v>
      </x:c>
      <x:c r="X239" s="17" t="n">
        <x:f>IF('Control Room'!$B$5="Normal",'Control Room'!$B$7+'Control Room'!$D$7*SQRT(-2*LN(MAX(0.000000000001,V239/2147483647)))*COS(2*PI()*W239/2147483647),'Control Room'!$B$8+('Control Room'!$D$8-'Control Room'!$B$8)*V239/2147483647)</x:f>
        <x:v>1001.4031342563309</x:v>
      </x:c>
      <x:c r="Y239" s="17" t="n">
        <x:f>IF('Control Room'!$B$5="Normal",'Control Room'!$B$7,('Control Room'!$B$8+'Control Room'!$D$8)/2)+'Control Room'!$B$9*(Y238-IF('Control Room'!$B$5="Normal",'Control Room'!$B$7,('Control Room'!$B$8+'Control Room'!$D$8)/2))+SQRT(1-'Control Room'!$B$9^2)*(X239-IF('Control Room'!$B$5="Normal",'Control Room'!$B$7,('Control Room'!$B$8+'Control Room'!$D$8)/2))</x:f>
        <x:v>897.9121492696472</x:v>
      </x:c>
      <x:c r="Z239" s="17" t="n">
        <x:f>IF(AND($A239&gt;='Control Room'!$A$13,$A239&lt;'Control Room'!$A$13+'Control Room'!$B$13,'Process'!BO2=1),1+('Control Room'!$C$13-1)*EXP(-0.5*(($A239-'Control Room'!$A$13-('Control Room'!$B$13-1)/2)/MAX(0.5,'Control Room'!$B$13/4))^2),1)*IF(AND($A239&gt;='Control Room'!$A$14,$A239&lt;'Control Room'!$A$14+'Control Room'!$B$14,'Process'!BO3=1),1+('Control Room'!$C$14-1)*EXP(-0.5*(($A239-'Control Room'!$A$14-('Control Room'!$B$14-1)/2)/MAX(0.5,'Control Room'!$B$14/4))^2),1)*IF(AND($A239&gt;='Control Room'!$A$15,$A239&lt;'Control Room'!$A$15+'Control Room'!$B$15,'Process'!BO4=1),1+('Control Room'!$C$15-1)*EXP(-0.5*(($A239-'Control Room'!$A$15-('Control Room'!$B$15-1)/2)/MAX(0.5,'Control Room'!$B$15/4))^2),1)*IF(AND($A239&gt;='Control Room'!$A$16,$A239&lt;'Control Room'!$A$16+'Control Room'!$B$16,'Process'!BO5=1),1+('Control Room'!$C$16-1)*EXP(-0.5*(($A239-'Control Room'!$A$16-('Control Room'!$B$16-1)/2)/MAX(0.5,'Control Room'!$B$16/4))^2),1)</x:f>
        <x:v>1</x:v>
      </x:c>
      <x:c r="AA239" s="9" t="n">
        <x:f>MOD(AB238*16807,2147483647)</x:f>
        <x:v>2103667078</x:v>
      </x:c>
      <x:c r="AB239" s="9" t="n">
        <x:f>MOD(AA239*16807,2147483647)</x:f>
        <x:v>161815738</x:v>
      </x:c>
      <x:c r="AC239" s="17" t="n">
        <x:f>IF('Control Room'!$B$5="Normal",'Control Room'!$B$7+'Control Room'!$D$7*SQRT(-2*LN(MAX(0.000000000001,AA239/2147483647)))*COS(2*PI()*AB239/2147483647),'Control Room'!$B$8+('Control Room'!$D$8-'Control Room'!$B$8)*AA239/2147483647)</x:f>
        <x:v>1016.2643685260743</x:v>
      </x:c>
      <x:c r="AD239" s="17" t="n">
        <x:f>IF('Control Room'!$B$5="Normal",'Control Room'!$B$7,('Control Room'!$B$8+'Control Room'!$D$8)/2)+'Control Room'!$B$9*(AD238-IF('Control Room'!$B$5="Normal",'Control Room'!$B$7,('Control Room'!$B$8+'Control Room'!$D$8)/2))+SQRT(1-'Control Room'!$B$9^2)*(AC239-IF('Control Room'!$B$5="Normal",'Control Room'!$B$7,('Control Room'!$B$8+'Control Room'!$D$8)/2))</x:f>
        <x:v>1061.195699597256</x:v>
      </x:c>
      <x:c r="AE239" s="17" t="n">
        <x:f>IF(AND($A239&gt;='Control Room'!$A$13,$A239&lt;'Control Room'!$A$13+'Control Room'!$B$13,'Process'!BP2=1),1+('Control Room'!$C$13-1)*EXP(-0.5*(($A239-'Control Room'!$A$13-('Control Room'!$B$13-1)/2)/MAX(0.5,'Control Room'!$B$13/4))^2),1)*IF(AND($A239&gt;='Control Room'!$A$14,$A239&lt;'Control Room'!$A$14+'Control Room'!$B$14,'Process'!BP3=1),1+('Control Room'!$C$14-1)*EXP(-0.5*(($A239-'Control Room'!$A$14-('Control Room'!$B$14-1)/2)/MAX(0.5,'Control Room'!$B$14/4))^2),1)*IF(AND($A239&gt;='Control Room'!$A$15,$A239&lt;'Control Room'!$A$15+'Control Room'!$B$15,'Process'!BP4=1),1+('Control Room'!$C$15-1)*EXP(-0.5*(($A239-'Control Room'!$A$15-('Control Room'!$B$15-1)/2)/MAX(0.5,'Control Room'!$B$15/4))^2),1)*IF(AND($A239&gt;='Control Room'!$A$16,$A239&lt;'Control Room'!$A$16+'Control Room'!$B$16,'Process'!BP5=1),1+('Control Room'!$C$16-1)*EXP(-0.5*(($A239-'Control Room'!$A$16-('Control Room'!$B$16-1)/2)/MAX(0.5,'Control Room'!$B$16/4))^2),1)</x:f>
        <x:v>1</x:v>
      </x:c>
      <x:c r="AF239" s="9" t="n">
        <x:f>MOD(AG238*16807,2147483647)</x:f>
        <x:v>602756876</x:v>
      </x:c>
      <x:c r="AG239" s="9" t="n">
        <x:f>MOD(AF239*16807,2147483647)</x:f>
        <x:v>854452033</x:v>
      </x:c>
      <x:c r="AH239" s="17" t="n">
        <x:f>IF('Control Room'!$B$5="Normal",'Control Room'!$B$7+'Control Room'!$D$7*SQRT(-2*LN(MAX(0.000000000001,AF239/2147483647)))*COS(2*PI()*AG239/2147483647),'Control Room'!$B$8+('Control Room'!$D$8-'Control Room'!$B$8)*AF239/2147483647)</x:f>
        <x:v>885.0636496202553</x:v>
      </x:c>
      <x:c r="AI239" s="17" t="n">
        <x:f>IF('Control Room'!$B$5="Normal",'Control Room'!$B$7,('Control Room'!$B$8+'Control Room'!$D$8)/2)+'Control Room'!$B$9*(AI238-IF('Control Room'!$B$5="Normal",'Control Room'!$B$7,('Control Room'!$B$8+'Control Room'!$D$8)/2))+SQRT(1-'Control Room'!$B$9^2)*(AH239-IF('Control Room'!$B$5="Normal",'Control Room'!$B$7,('Control Room'!$B$8+'Control Room'!$D$8)/2))</x:f>
        <x:v>832.2317686285747</x:v>
      </x:c>
      <x:c r="AJ239" s="17" t="n">
        <x:f>IF(AND($A239&gt;='Control Room'!$A$13,$A239&lt;'Control Room'!$A$13+'Control Room'!$B$13,'Process'!BQ2=1),1+('Control Room'!$C$13-1)*EXP(-0.5*(($A239-'Control Room'!$A$13-('Control Room'!$B$13-1)/2)/MAX(0.5,'Control Room'!$B$13/4))^2),1)*IF(AND($A239&gt;='Control Room'!$A$14,$A239&lt;'Control Room'!$A$14+'Control Room'!$B$14,'Process'!BQ3=1),1+('Control Room'!$C$14-1)*EXP(-0.5*(($A239-'Control Room'!$A$14-('Control Room'!$B$14-1)/2)/MAX(0.5,'Control Room'!$B$14/4))^2),1)*IF(AND($A239&gt;='Control Room'!$A$15,$A239&lt;'Control Room'!$A$15+'Control Room'!$B$15,'Process'!BQ4=1),1+('Control Room'!$C$15-1)*EXP(-0.5*(($A239-'Control Room'!$A$15-('Control Room'!$B$15-1)/2)/MAX(0.5,'Control Room'!$B$15/4))^2),1)*IF(AND($A239&gt;='Control Room'!$A$16,$A239&lt;'Control Room'!$A$16+'Control Room'!$B$16,'Process'!BQ5=1),1+('Control Room'!$C$16-1)*EXP(-0.5*(($A239-'Control Room'!$A$16-('Control Room'!$B$16-1)/2)/MAX(0.5,'Control Room'!$B$16/4))^2),1)</x:f>
        <x:v>1</x:v>
      </x:c>
      <x:c r="AK239" s="9" t="n">
        <x:f>MOD(AL238*16807,2147483647)</x:f>
        <x:v>1249330321</x:v>
      </x:c>
      <x:c r="AL239" s="9" t="n">
        <x:f>MOD(AK239*16807,2147483647)</x:f>
        <x:v>1547088328</x:v>
      </x:c>
      <x:c r="AM239" s="17" t="n">
        <x:f>IF('Control Room'!$B$5="Normal",'Control Room'!$B$7+'Control Room'!$D$7*SQRT(-2*LN(MAX(0.000000000001,AK239/2147483647)))*COS(2*PI()*AL239/2147483647),'Control Room'!$B$8+('Control Room'!$D$8-'Control Room'!$B$8)*AK239/2147483647)</x:f>
        <x:v>982.6890913433081</x:v>
      </x:c>
      <x:c r="AN239" s="17" t="n">
        <x:f>IF('Control Room'!$B$5="Normal",'Control Room'!$B$7,('Control Room'!$B$8+'Control Room'!$D$8)/2)+'Control Room'!$B$9*(AN238-IF('Control Room'!$B$5="Normal",'Control Room'!$B$7,('Control Room'!$B$8+'Control Room'!$D$8)/2))+SQRT(1-'Control Room'!$B$9^2)*(AM239-IF('Control Room'!$B$5="Normal",'Control Room'!$B$7,('Control Room'!$B$8+'Control Room'!$D$8)/2))</x:f>
        <x:v>993.7005832101122</x:v>
      </x:c>
      <x:c r="AO239" s="17" t="n">
        <x:f>IF(AND($A239&gt;='Control Room'!$A$13,$A239&lt;'Control Room'!$A$13+'Control Room'!$B$13,'Process'!BR2=1),1+('Control Room'!$C$13-1)*EXP(-0.5*(($A239-'Control Room'!$A$13-('Control Room'!$B$13-1)/2)/MAX(0.5,'Control Room'!$B$13/4))^2),1)*IF(AND($A239&gt;='Control Room'!$A$14,$A239&lt;'Control Room'!$A$14+'Control Room'!$B$14,'Process'!BR3=1),1+('Control Room'!$C$14-1)*EXP(-0.5*(($A239-'Control Room'!$A$14-('Control Room'!$B$14-1)/2)/MAX(0.5,'Control Room'!$B$14/4))^2),1)*IF(AND($A239&gt;='Control Room'!$A$15,$A239&lt;'Control Room'!$A$15+'Control Room'!$B$15,'Process'!BR4=1),1+('Control Room'!$C$15-1)*EXP(-0.5*(($A239-'Control Room'!$A$15-('Control Room'!$B$15-1)/2)/MAX(0.5,'Control Room'!$B$15/4))^2),1)*IF(AND($A239&gt;='Control Room'!$A$16,$A239&lt;'Control Room'!$A$16+'Control Room'!$B$16,'Process'!BR5=1),1+('Control Room'!$C$16-1)*EXP(-0.5*(($A239-'Control Room'!$A$16-('Control Room'!$B$16-1)/2)/MAX(0.5,'Control Room'!$B$16/4))^2),1)</x:f>
        <x:v>1</x:v>
      </x:c>
      <x:c r="AP239" s="9" t="n">
        <x:f>MOD(AQ238*16807,2147483647)</x:f>
        <x:v>1895903766</x:v>
      </x:c>
      <x:c r="AQ239" s="9" t="n">
        <x:f>MOD(AP239*16807,2147483647)</x:f>
        <x:v>92240976</x:v>
      </x:c>
      <x:c r="AR239" s="17" t="n">
        <x:f>IF('Control Room'!$B$5="Normal",'Control Room'!$B$7+'Control Room'!$D$7*SQRT(-2*LN(MAX(0.000000000001,AP239/2147483647)))*COS(2*PI()*AQ239/2147483647),'Control Room'!$B$8+('Control Room'!$D$8-'Control Room'!$B$8)*AP239/2147483647)</x:f>
        <x:v>1043.3018507321838</x:v>
      </x:c>
      <x:c r="AS239" s="17" t="n">
        <x:f>IF('Control Room'!$B$5="Normal",'Control Room'!$B$7,('Control Room'!$B$8+'Control Room'!$D$8)/2)+'Control Room'!$B$9*(AS238-IF('Control Room'!$B$5="Normal",'Control Room'!$B$7,('Control Room'!$B$8+'Control Room'!$D$8)/2))+SQRT(1-'Control Room'!$B$9^2)*(AR239-IF('Control Room'!$B$5="Normal",'Control Room'!$B$7,('Control Room'!$B$8+'Control Room'!$D$8)/2))</x:f>
        <x:v>1120.9731898770772</x:v>
      </x:c>
      <x:c r="AT239" s="17" t="n">
        <x:f>IF(AND($A239&gt;='Control Room'!$A$13,$A239&lt;'Control Room'!$A$13+'Control Room'!$B$13,'Process'!BS2=1),1+('Control Room'!$C$13-1)*EXP(-0.5*(($A239-'Control Room'!$A$13-('Control Room'!$B$13-1)/2)/MAX(0.5,'Control Room'!$B$13/4))^2),1)*IF(AND($A239&gt;='Control Room'!$A$14,$A239&lt;'Control Room'!$A$14+'Control Room'!$B$14,'Process'!BS3=1),1+('Control Room'!$C$14-1)*EXP(-0.5*(($A239-'Control Room'!$A$14-('Control Room'!$B$14-1)/2)/MAX(0.5,'Control Room'!$B$14/4))^2),1)*IF(AND($A239&gt;='Control Room'!$A$15,$A239&lt;'Control Room'!$A$15+'Control Room'!$B$15,'Process'!BS4=1),1+('Control Room'!$C$15-1)*EXP(-0.5*(($A239-'Control Room'!$A$15-('Control Room'!$B$15-1)/2)/MAX(0.5,'Control Room'!$B$15/4))^2),1)*IF(AND($A239&gt;='Control Room'!$A$16,$A239&lt;'Control Room'!$A$16+'Control Room'!$B$16,'Process'!BS5=1),1+('Control Room'!$C$16-1)*EXP(-0.5*(($A239-'Control Room'!$A$16-('Control Room'!$B$16-1)/2)/MAX(0.5,'Control Room'!$B$16/4))^2),1)</x:f>
        <x:v>1</x:v>
      </x:c>
      <x:c r="AU239" s="9" t="n">
        <x:f>MOD(AV238*16807,2147483647)</x:f>
        <x:v>394993564</x:v>
      </x:c>
      <x:c r="AV239" s="9" t="n">
        <x:f>MOD(AU239*16807,2147483647)</x:f>
        <x:v>784877271</x:v>
      </x:c>
      <x:c r="AW239" s="17" t="n">
        <x:f>IF('Control Room'!$B$5="Normal",'Control Room'!$B$7+'Control Room'!$D$7*SQRT(-2*LN(MAX(0.000000000001,AU239/2147483647)))*COS(2*PI()*AV239/2147483647),'Control Room'!$B$8+('Control Room'!$D$8-'Control Room'!$B$8)*AU239/2147483647)</x:f>
        <x:v>890.0947848003798</x:v>
      </x:c>
      <x:c r="AX239" s="17" t="n">
        <x:f>IF('Control Room'!$B$5="Normal",'Control Room'!$B$7,('Control Room'!$B$8+'Control Room'!$D$8)/2)+'Control Room'!$B$9*(AX238-IF('Control Room'!$B$5="Normal",'Control Room'!$B$7,('Control Room'!$B$8+'Control Room'!$D$8)/2))+SQRT(1-'Control Room'!$B$9^2)*(AW239-IF('Control Room'!$B$5="Normal",'Control Room'!$B$7,('Control Room'!$B$8+'Control Room'!$D$8)/2))</x:f>
        <x:v>824.2683044534883</x:v>
      </x:c>
      <x:c r="AY239" s="17" t="n">
        <x:f>IF(AND($A239&gt;='Control Room'!$A$13,$A239&lt;'Control Room'!$A$13+'Control Room'!$B$13,'Process'!BT2=1),1+('Control Room'!$C$13-1)*EXP(-0.5*(($A239-'Control Room'!$A$13-('Control Room'!$B$13-1)/2)/MAX(0.5,'Control Room'!$B$13/4))^2),1)*IF(AND($A239&gt;='Control Room'!$A$14,$A239&lt;'Control Room'!$A$14+'Control Room'!$B$14,'Process'!BT3=1),1+('Control Room'!$C$14-1)*EXP(-0.5*(($A239-'Control Room'!$A$14-('Control Room'!$B$14-1)/2)/MAX(0.5,'Control Room'!$B$14/4))^2),1)*IF(AND($A239&gt;='Control Room'!$A$15,$A239&lt;'Control Room'!$A$15+'Control Room'!$B$15,'Process'!BT4=1),1+('Control Room'!$C$15-1)*EXP(-0.5*(($A239-'Control Room'!$A$15-('Control Room'!$B$15-1)/2)/MAX(0.5,'Control Room'!$B$15/4))^2),1)*IF(AND($A239&gt;='Control Room'!$A$16,$A239&lt;'Control Room'!$A$16+'Control Room'!$B$16,'Process'!BT5=1),1+('Control Room'!$C$16-1)*EXP(-0.5*(($A239-'Control Room'!$A$16-('Control Room'!$B$16-1)/2)/MAX(0.5,'Control Room'!$B$16/4))^2),1)</x:f>
        <x:v>1</x:v>
      </x:c>
      <x:c r="AZ239" s="9" t="n">
        <x:f>MOD(BA238*16807,2147483647)</x:f>
        <x:v>1041567009</x:v>
      </x:c>
      <x:c r="BA239" s="9" t="n">
        <x:f>MOD(AZ239*16807,2147483647)</x:f>
        <x:v>1477513566</x:v>
      </x:c>
      <x:c r="BB239" s="17" t="n">
        <x:f>IF('Control Room'!$B$5="Normal",'Control Room'!$B$7+'Control Room'!$D$7*SQRT(-2*LN(MAX(0.000000000001,AZ239/2147483647)))*COS(2*PI()*BA239/2147483647),'Control Room'!$B$8+('Control Room'!$D$8-'Control Room'!$B$8)*AZ239/2147483647)</x:f>
        <x:v>958.8954184837542</x:v>
      </x:c>
      <x:c r="BC239" s="17" t="n">
        <x:f>IF('Control Room'!$B$5="Normal",'Control Room'!$B$7,('Control Room'!$B$8+'Control Room'!$D$8)/2)+'Control Room'!$B$9*(BC238-IF('Control Room'!$B$5="Normal",'Control Room'!$B$7,('Control Room'!$B$8+'Control Room'!$D$8)/2))+SQRT(1-'Control Room'!$B$9^2)*(BB239-IF('Control Room'!$B$5="Normal",'Control Room'!$B$7,('Control Room'!$B$8+'Control Room'!$D$8)/2))</x:f>
        <x:v>935.8117913900129</x:v>
      </x:c>
      <x:c r="BD239" s="17" t="n">
        <x:f>IF(AND($A239&gt;='Control Room'!$A$13,$A239&lt;'Control Room'!$A$13+'Control Room'!$B$13,'Process'!BU2=1),1+('Control Room'!$C$13-1)*EXP(-0.5*(($A239-'Control Room'!$A$13-('Control Room'!$B$13-1)/2)/MAX(0.5,'Control Room'!$B$13/4))^2),1)*IF(AND($A239&gt;='Control Room'!$A$14,$A239&lt;'Control Room'!$A$14+'Control Room'!$B$14,'Process'!BU3=1),1+('Control Room'!$C$14-1)*EXP(-0.5*(($A239-'Control Room'!$A$14-('Control Room'!$B$14-1)/2)/MAX(0.5,'Control Room'!$B$14/4))^2),1)*IF(AND($A239&gt;='Control Room'!$A$15,$A239&lt;'Control Room'!$A$15+'Control Room'!$B$15,'Process'!BU4=1),1+('Control Room'!$C$15-1)*EXP(-0.5*(($A239-'Control Room'!$A$15-('Control Room'!$B$15-1)/2)/MAX(0.5,'Control Room'!$B$15/4))^2),1)*IF(AND($A239&gt;='Control Room'!$A$16,$A239&lt;'Control Room'!$A$16+'Control Room'!$B$16,'Process'!BU5=1),1+('Control Room'!$C$16-1)*EXP(-0.5*(($A239-'Control Room'!$A$16-('Control Room'!$B$16-1)/2)/MAX(0.5,'Control Room'!$B$16/4))^2),1)</x:f>
        <x:v>1</x:v>
      </x:c>
      <x:c r="BE239" s="9" t="n">
        <x:f>MOD(BF238*16807,2147483647)</x:f>
        <x:v>1688140454</x:v>
      </x:c>
      <x:c r="BF239" s="9" t="n">
        <x:f>MOD(BE239*16807,2147483647)</x:f>
        <x:v>22666214</x:v>
      </x:c>
      <x:c r="BG239" s="17" t="n">
        <x:f>IF('Control Room'!$B$5="Normal",'Control Room'!$B$7+'Control Room'!$D$7*SQRT(-2*LN(MAX(0.000000000001,BE239/2147483647)))*COS(2*PI()*BF239/2147483647),'Control Room'!$B$8+('Control Room'!$D$8-'Control Room'!$B$8)*BE239/2147483647)</x:f>
        <x:v>1062.3034373432442</x:v>
      </x:c>
      <x:c r="BH239" s="17" t="n">
        <x:f>IF('Control Room'!$B$5="Normal",'Control Room'!$B$7,('Control Room'!$B$8+'Control Room'!$D$8)/2)+'Control Room'!$B$9*(BH238-IF('Control Room'!$B$5="Normal",'Control Room'!$B$7,('Control Room'!$B$8+'Control Room'!$D$8)/2))+SQRT(1-'Control Room'!$B$9^2)*(BG239-IF('Control Room'!$B$5="Normal",'Control Room'!$B$7,('Control Room'!$B$8+'Control Room'!$D$8)/2))</x:f>
        <x:v>1034.935155459111</x:v>
      </x:c>
      <x:c r="BI239" s="17" t="n">
        <x:f>IF(AND($A239&gt;='Control Room'!$A$13,$A239&lt;'Control Room'!$A$13+'Control Room'!$B$13,'Process'!BV2=1),1+('Control Room'!$C$13-1)*EXP(-0.5*(($A239-'Control Room'!$A$13-('Control Room'!$B$13-1)/2)/MAX(0.5,'Control Room'!$B$13/4))^2),1)*IF(AND($A239&gt;='Control Room'!$A$14,$A239&lt;'Control Room'!$A$14+'Control Room'!$B$14,'Process'!BV3=1),1+('Control Room'!$C$14-1)*EXP(-0.5*(($A239-'Control Room'!$A$14-('Control Room'!$B$14-1)/2)/MAX(0.5,'Control Room'!$B$14/4))^2),1)*IF(AND($A239&gt;='Control Room'!$A$15,$A239&lt;'Control Room'!$A$15+'Control Room'!$B$15,'Process'!BV4=1),1+('Control Room'!$C$15-1)*EXP(-0.5*(($A239-'Control Room'!$A$15-('Control Room'!$B$15-1)/2)/MAX(0.5,'Control Room'!$B$15/4))^2),1)*IF(AND($A239&gt;='Control Room'!$A$16,$A239&lt;'Control Room'!$A$16+'Control Room'!$B$16,'Process'!BV5=1),1+('Control Room'!$C$16-1)*EXP(-0.5*(($A239-'Control Room'!$A$16-('Control Room'!$B$16-1)/2)/MAX(0.5,'Control Room'!$B$16/4))^2),1)</x:f>
        <x:v>1</x:v>
      </x:c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Z239" t="str">
        <x:f>IF('Data'!A239="","",TEXT('Data'!A239,"mm-dd"))</x:f>
      </x:c>
    </x:row>
    <x:row r="240" ht="21" customHeight="1">
      <x:c r="A240" s="15" t="n">
        <x:f>'Control Room'!$B$1+238</x:f>
        <x:v>73229</x:v>
      </x:c>
      <x:c r="B240" s="9" t="n">
        <x:f>MOD(C239*16807,2147483647)</x:f>
        <x:v>628529427</x:v>
      </x:c>
      <x:c r="C240" s="9" t="n">
        <x:f>MOD(B240*16807,2147483647)</x:f>
        <x:v>222019996</x:v>
      </x:c>
      <x:c r="D240" s="17" t="n">
        <x:f>IF('Control Room'!$B$5="Normal",'Control Room'!$B$7+'Control Room'!$D$7*SQRT(-2*LN(MAX(0.000000000001,B240/2147483647)))*COS(2*PI()*C240/2147483647),'Control Room'!$B$8+('Control Room'!$D$8-'Control Room'!$B$8)*B240/2147483647)</x:f>
        <x:v>1112.3486139150757</x:v>
      </x:c>
      <x:c r="E240" s="17" t="n">
        <x:f>IF('Control Room'!$B$5="Normal",'Control Room'!$B$7,('Control Room'!$B$8+'Control Room'!$D$8)/2)+'Control Room'!$B$9*(E239-IF('Control Room'!$B$5="Normal",'Control Room'!$B$7,('Control Room'!$B$8+'Control Room'!$D$8)/2))+SQRT(1-'Control Room'!$B$9^2)*(D240-IF('Control Room'!$B$5="Normal",'Control Room'!$B$7,('Control Room'!$B$8+'Control Room'!$D$8)/2))</x:f>
        <x:v>1059.7634811845417</x:v>
      </x:c>
      <x:c r="F240" s="17" t="n">
        <x:f>IF(AND($A240&gt;='Control Room'!$A$13,$A240&lt;'Control Room'!$A$13+'Control Room'!$B$13,'Process'!BK2=1),1+('Control Room'!$C$13-1)*EXP(-0.5*(($A240-'Control Room'!$A$13-('Control Room'!$B$13-1)/2)/MAX(0.5,'Control Room'!$B$13/4))^2),1)*IF(AND($A240&gt;='Control Room'!$A$14,$A240&lt;'Control Room'!$A$14+'Control Room'!$B$14,'Process'!BK3=1),1+('Control Room'!$C$14-1)*EXP(-0.5*(($A240-'Control Room'!$A$14-('Control Room'!$B$14-1)/2)/MAX(0.5,'Control Room'!$B$14/4))^2),1)*IF(AND($A240&gt;='Control Room'!$A$15,$A240&lt;'Control Room'!$A$15+'Control Room'!$B$15,'Process'!BK4=1),1+('Control Room'!$C$15-1)*EXP(-0.5*(($A240-'Control Room'!$A$15-('Control Room'!$B$15-1)/2)/MAX(0.5,'Control Room'!$B$15/4))^2),1)*IF(AND($A240&gt;='Control Room'!$A$16,$A240&lt;'Control Room'!$A$16+'Control Room'!$B$16,'Process'!BK5=1),1+('Control Room'!$C$16-1)*EXP(-0.5*(($A240-'Control Room'!$A$16-('Control Room'!$B$16-1)/2)/MAX(0.5,'Control Room'!$B$16/4))^2),1)</x:f>
        <x:v>1</x:v>
      </x:c>
      <x:c r="G240" s="9" t="n">
        <x:f>MOD(H239*16807,2147483647)</x:f>
        <x:v>257889105</x:v>
      </x:c>
      <x:c r="H240" s="9" t="n">
        <x:f>MOD(G240*16807,2147483647)</x:f>
        <x:v>720188089</x:v>
      </x:c>
      <x:c r="I240" s="17" t="n">
        <x:f>IF('Control Room'!$B$5="Normal",'Control Room'!$B$7+'Control Room'!$D$7*SQRT(-2*LN(MAX(0.000000000001,G240/2147483647)))*COS(2*PI()*H240/2147483647),'Control Room'!$B$8+('Control Room'!$D$8-'Control Room'!$B$8)*G240/2147483647)</x:f>
        <x:v>905.3101434885065</x:v>
      </x:c>
      <x:c r="J240" s="17" t="n">
        <x:f>IF('Control Room'!$B$5="Normal",'Control Room'!$B$7,('Control Room'!$B$8+'Control Room'!$D$8)/2)+'Control Room'!$B$9*(J239-IF('Control Room'!$B$5="Normal",'Control Room'!$B$7,('Control Room'!$B$8+'Control Room'!$D$8)/2))+SQRT(1-'Control Room'!$B$9^2)*(I240-IF('Control Room'!$B$5="Normal",'Control Room'!$B$7,('Control Room'!$B$8+'Control Room'!$D$8)/2))</x:f>
        <x:v>953.4053857588785</x:v>
      </x:c>
      <x:c r="K240" s="17" t="n">
        <x:f>IF(AND($A240&gt;='Control Room'!$A$13,$A240&lt;'Control Room'!$A$13+'Control Room'!$B$13,'Process'!BL2=1),1+('Control Room'!$C$13-1)*EXP(-0.5*(($A240-'Control Room'!$A$13-('Control Room'!$B$13-1)/2)/MAX(0.5,'Control Room'!$B$13/4))^2),1)*IF(AND($A240&gt;='Control Room'!$A$14,$A240&lt;'Control Room'!$A$14+'Control Room'!$B$14,'Process'!BL3=1),1+('Control Room'!$C$14-1)*EXP(-0.5*(($A240-'Control Room'!$A$14-('Control Room'!$B$14-1)/2)/MAX(0.5,'Control Room'!$B$14/4))^2),1)*IF(AND($A240&gt;='Control Room'!$A$15,$A240&lt;'Control Room'!$A$15+'Control Room'!$B$15,'Process'!BL4=1),1+('Control Room'!$C$15-1)*EXP(-0.5*(($A240-'Control Room'!$A$15-('Control Room'!$B$15-1)/2)/MAX(0.5,'Control Room'!$B$15/4))^2),1)*IF(AND($A240&gt;='Control Room'!$A$16,$A240&lt;'Control Room'!$A$16+'Control Room'!$B$16,'Process'!BL5=1),1+('Control Room'!$C$16-1)*EXP(-0.5*(($A240-'Control Room'!$A$16-('Control Room'!$B$16-1)/2)/MAX(0.5,'Control Room'!$B$16/4))^2),1)</x:f>
        <x:v>1</x:v>
      </x:c>
      <x:c r="L240" s="9" t="n">
        <x:f>MOD(M239*16807,2147483647)</x:f>
        <x:v>2034732430</x:v>
      </x:c>
      <x:c r="M240" s="9" t="n">
        <x:f>MOD(L240*16807,2147483647)</x:f>
        <x:v>1218356182</x:v>
      </x:c>
      <x:c r="N240" s="17" t="n">
        <x:f>IF('Control Room'!$B$5="Normal",'Control Room'!$B$7+'Control Room'!$D$7*SQRT(-2*LN(MAX(0.000000000001,L240/2147483647)))*COS(2*PI()*M240/2147483647),'Control Room'!$B$8+('Control Room'!$D$8-'Control Room'!$B$8)*L240/2147483647)</x:f>
        <x:v>973.0481635285707</x:v>
      </x:c>
      <x:c r="O240" s="17" t="n">
        <x:f>IF('Control Room'!$B$5="Normal",'Control Room'!$B$7,('Control Room'!$B$8+'Control Room'!$D$8)/2)+'Control Room'!$B$9*(O239-IF('Control Room'!$B$5="Normal",'Control Room'!$B$7,('Control Room'!$B$8+'Control Room'!$D$8)/2))+SQRT(1-'Control Room'!$B$9^2)*(N240-IF('Control Room'!$B$5="Normal",'Control Room'!$B$7,('Control Room'!$B$8+'Control Room'!$D$8)/2))</x:f>
        <x:v>957.7064423536625</x:v>
      </x:c>
      <x:c r="P240" s="17" t="n">
        <x:f>IF(AND($A240&gt;='Control Room'!$A$13,$A240&lt;'Control Room'!$A$13+'Control Room'!$B$13,'Process'!BM2=1),1+('Control Room'!$C$13-1)*EXP(-0.5*(($A240-'Control Room'!$A$13-('Control Room'!$B$13-1)/2)/MAX(0.5,'Control Room'!$B$13/4))^2),1)*IF(AND($A240&gt;='Control Room'!$A$14,$A240&lt;'Control Room'!$A$14+'Control Room'!$B$14,'Process'!BM3=1),1+('Control Room'!$C$14-1)*EXP(-0.5*(($A240-'Control Room'!$A$14-('Control Room'!$B$14-1)/2)/MAX(0.5,'Control Room'!$B$14/4))^2),1)*IF(AND($A240&gt;='Control Room'!$A$15,$A240&lt;'Control Room'!$A$15+'Control Room'!$B$15,'Process'!BM4=1),1+('Control Room'!$C$15-1)*EXP(-0.5*(($A240-'Control Room'!$A$15-('Control Room'!$B$15-1)/2)/MAX(0.5,'Control Room'!$B$15/4))^2),1)*IF(AND($A240&gt;='Control Room'!$A$16,$A240&lt;'Control Room'!$A$16+'Control Room'!$B$16,'Process'!BM5=1),1+('Control Room'!$C$16-1)*EXP(-0.5*(($A240-'Control Room'!$A$16-('Control Room'!$B$16-1)/2)/MAX(0.5,'Control Room'!$B$16/4))^2),1)</x:f>
        <x:v>1</x:v>
      </x:c>
      <x:c r="Q240" s="9" t="n">
        <x:f>MOD(R239*16807,2147483647)</x:f>
        <x:v>1664092108</x:v>
      </x:c>
      <x:c r="R240" s="9" t="n">
        <x:f>MOD(Q240*16807,2147483647)</x:f>
        <x:v>1716524275</x:v>
      </x:c>
      <x:c r="S240" s="17" t="n">
        <x:f>IF('Control Room'!$B$5="Normal",'Control Room'!$B$7+'Control Room'!$D$7*SQRT(-2*LN(MAX(0.000000000001,Q240/2147483647)))*COS(2*PI()*R240/2147483647),'Control Room'!$B$8+('Control Room'!$D$8-'Control Room'!$B$8)*Q240/2147483647)</x:f>
        <x:v>1019.600288896827</x:v>
      </x:c>
      <x:c r="T240" s="17" t="n">
        <x:f>IF('Control Room'!$B$5="Normal",'Control Room'!$B$7,('Control Room'!$B$8+'Control Room'!$D$8)/2)+'Control Room'!$B$9*(T239-IF('Control Room'!$B$5="Normal",'Control Room'!$B$7,('Control Room'!$B$8+'Control Room'!$D$8)/2))+SQRT(1-'Control Room'!$B$9^2)*(S240-IF('Control Room'!$B$5="Normal",'Control Room'!$B$7,('Control Room'!$B$8+'Control Room'!$D$8)/2))</x:f>
        <x:v>992.4120441680249</x:v>
      </x:c>
      <x:c r="U240" s="17" t="n">
        <x:f>IF(AND($A240&gt;='Control Room'!$A$13,$A240&lt;'Control Room'!$A$13+'Control Room'!$B$13,'Process'!BN2=1),1+('Control Room'!$C$13-1)*EXP(-0.5*(($A240-'Control Room'!$A$13-('Control Room'!$B$13-1)/2)/MAX(0.5,'Control Room'!$B$13/4))^2),1)*IF(AND($A240&gt;='Control Room'!$A$14,$A240&lt;'Control Room'!$A$14+'Control Room'!$B$14,'Process'!BN3=1),1+('Control Room'!$C$14-1)*EXP(-0.5*(($A240-'Control Room'!$A$14-('Control Room'!$B$14-1)/2)/MAX(0.5,'Control Room'!$B$14/4))^2),1)*IF(AND($A240&gt;='Control Room'!$A$15,$A240&lt;'Control Room'!$A$15+'Control Room'!$B$15,'Process'!BN4=1),1+('Control Room'!$C$15-1)*EXP(-0.5*(($A240-'Control Room'!$A$15-('Control Room'!$B$15-1)/2)/MAX(0.5,'Control Room'!$B$15/4))^2),1)*IF(AND($A240&gt;='Control Room'!$A$16,$A240&lt;'Control Room'!$A$16+'Control Room'!$B$16,'Process'!BN5=1),1+('Control Room'!$C$16-1)*EXP(-0.5*(($A240-'Control Room'!$A$16-('Control Room'!$B$16-1)/2)/MAX(0.5,'Control Room'!$B$16/4))^2),1)</x:f>
        <x:v>1</x:v>
      </x:c>
      <x:c r="V240" s="9" t="n">
        <x:f>MOD(W239*16807,2147483647)</x:f>
        <x:v>1293451786</x:v>
      </x:c>
      <x:c r="W240" s="9" t="n">
        <x:f>MOD(V240*16807,2147483647)</x:f>
        <x:v>67208721</x:v>
      </x:c>
      <x:c r="X240" s="17" t="n">
        <x:f>IF('Control Room'!$B$5="Normal",'Control Room'!$B$7+'Control Room'!$D$7*SQRT(-2*LN(MAX(0.000000000001,V240/2147483647)))*COS(2*PI()*W240/2147483647),'Control Room'!$B$8+('Control Room'!$D$8-'Control Room'!$B$8)*V240/2147483647)</x:f>
        <x:v>1088.87970245051</x:v>
      </x:c>
      <x:c r="Y240" s="17" t="n">
        <x:f>IF('Control Room'!$B$5="Normal",'Control Room'!$B$7,('Control Room'!$B$8+'Control Room'!$D$8)/2)+'Control Room'!$B$9*(Y239-IF('Control Room'!$B$5="Normal",'Control Room'!$B$7,('Control Room'!$B$8+'Control Room'!$D$8)/2))+SQRT(1-'Control Room'!$B$9^2)*(X240-IF('Control Room'!$B$5="Normal",'Control Room'!$B$7,('Control Room'!$B$8+'Control Room'!$D$8)/2))</x:f>
        <x:v>975.99057342418</x:v>
      </x:c>
      <x:c r="Z240" s="17" t="n">
        <x:f>IF(AND($A240&gt;='Control Room'!$A$13,$A240&lt;'Control Room'!$A$13+'Control Room'!$B$13,'Process'!BO2=1),1+('Control Room'!$C$13-1)*EXP(-0.5*(($A240-'Control Room'!$A$13-('Control Room'!$B$13-1)/2)/MAX(0.5,'Control Room'!$B$13/4))^2),1)*IF(AND($A240&gt;='Control Room'!$A$14,$A240&lt;'Control Room'!$A$14+'Control Room'!$B$14,'Process'!BO3=1),1+('Control Room'!$C$14-1)*EXP(-0.5*(($A240-'Control Room'!$A$14-('Control Room'!$B$14-1)/2)/MAX(0.5,'Control Room'!$B$14/4))^2),1)*IF(AND($A240&gt;='Control Room'!$A$15,$A240&lt;'Control Room'!$A$15+'Control Room'!$B$15,'Process'!BO4=1),1+('Control Room'!$C$15-1)*EXP(-0.5*(($A240-'Control Room'!$A$15-('Control Room'!$B$15-1)/2)/MAX(0.5,'Control Room'!$B$15/4))^2),1)*IF(AND($A240&gt;='Control Room'!$A$16,$A240&lt;'Control Room'!$A$16+'Control Room'!$B$16,'Process'!BO5=1),1+('Control Room'!$C$16-1)*EXP(-0.5*(($A240-'Control Room'!$A$16-('Control Room'!$B$16-1)/2)/MAX(0.5,'Control Room'!$B$16/4))^2),1)</x:f>
        <x:v>1</x:v>
      </x:c>
      <x:c r="AA240" s="9" t="n">
        <x:f>MOD(AB239*16807,2147483647)</x:f>
        <x:v>922811464</x:v>
      </x:c>
      <x:c r="AB240" s="9" t="n">
        <x:f>MOD(AA240*16807,2147483647)</x:f>
        <x:v>565376814</x:v>
      </x:c>
      <x:c r="AC240" s="17" t="n">
        <x:f>IF('Control Room'!$B$5="Normal",'Control Room'!$B$7+'Control Room'!$D$7*SQRT(-2*LN(MAX(0.000000000001,AA240/2147483647)))*COS(2*PI()*AB240/2147483647),'Control Room'!$B$8+('Control Room'!$D$8-'Control Room'!$B$8)*AA240/2147483647)</x:f>
        <x:v>990.2552391694475</x:v>
      </x:c>
      <x:c r="AD240" s="17" t="n">
        <x:f>IF('Control Room'!$B$5="Normal",'Control Room'!$B$7,('Control Room'!$B$8+'Control Room'!$D$8)/2)+'Control Room'!$B$9*(AD239-IF('Control Room'!$B$5="Normal",'Control Room'!$B$7,('Control Room'!$B$8+'Control Room'!$D$8)/2))+SQRT(1-'Control Room'!$B$9^2)*(AC240-IF('Control Room'!$B$5="Normal",'Control Room'!$B$7,('Control Room'!$B$8+'Control Room'!$D$8)/2))</x:f>
        <x:v>1041.6345739903763</x:v>
      </x:c>
      <x:c r="AE240" s="17" t="n">
        <x:f>IF(AND($A240&gt;='Control Room'!$A$13,$A240&lt;'Control Room'!$A$13+'Control Room'!$B$13,'Process'!BP2=1),1+('Control Room'!$C$13-1)*EXP(-0.5*(($A240-'Control Room'!$A$13-('Control Room'!$B$13-1)/2)/MAX(0.5,'Control Room'!$B$13/4))^2),1)*IF(AND($A240&gt;='Control Room'!$A$14,$A240&lt;'Control Room'!$A$14+'Control Room'!$B$14,'Process'!BP3=1),1+('Control Room'!$C$14-1)*EXP(-0.5*(($A240-'Control Room'!$A$14-('Control Room'!$B$14-1)/2)/MAX(0.5,'Control Room'!$B$14/4))^2),1)*IF(AND($A240&gt;='Control Room'!$A$15,$A240&lt;'Control Room'!$A$15+'Control Room'!$B$15,'Process'!BP4=1),1+('Control Room'!$C$15-1)*EXP(-0.5*(($A240-'Control Room'!$A$15-('Control Room'!$B$15-1)/2)/MAX(0.5,'Control Room'!$B$15/4))^2),1)*IF(AND($A240&gt;='Control Room'!$A$16,$A240&lt;'Control Room'!$A$16+'Control Room'!$B$16,'Process'!BP5=1),1+('Control Room'!$C$16-1)*EXP(-0.5*(($A240-'Control Room'!$A$16-('Control Room'!$B$16-1)/2)/MAX(0.5,'Control Room'!$B$16/4))^2),1)</x:f>
        <x:v>1</x:v>
      </x:c>
      <x:c r="AF240" s="9" t="n">
        <x:f>MOD(AG239*16807,2147483647)</x:f>
        <x:v>552171142</x:v>
      </x:c>
      <x:c r="AG240" s="9" t="n">
        <x:f>MOD(AF240*16807,2147483647)</x:f>
        <x:v>1063544907</x:v>
      </x:c>
      <x:c r="AH240" s="17" t="n">
        <x:f>IF('Control Room'!$B$5="Normal",'Control Room'!$B$7+'Control Room'!$D$7*SQRT(-2*LN(MAX(0.000000000001,AF240/2147483647)))*COS(2*PI()*AG240/2147483647),'Control Room'!$B$8+('Control Room'!$D$8-'Control Room'!$B$8)*AF240/2147483647)</x:f>
        <x:v>851.7327951614865</x:v>
      </x:c>
      <x:c r="AI240" s="17" t="n">
        <x:f>IF('Control Room'!$B$5="Normal",'Control Room'!$B$7,('Control Room'!$B$8+'Control Room'!$D$8)/2)+'Control Room'!$B$9*(AI239-IF('Control Room'!$B$5="Normal",'Control Room'!$B$7,('Control Room'!$B$8+'Control Room'!$D$8)/2))+SQRT(1-'Control Room'!$B$9^2)*(AH240-IF('Control Room'!$B$5="Normal",'Control Room'!$B$7,('Control Room'!$B$8+'Control Room'!$D$8)/2))</x:f>
        <x:v>776.358200161136</x:v>
      </x:c>
      <x:c r="AJ240" s="17" t="n">
        <x:f>IF(AND($A240&gt;='Control Room'!$A$13,$A240&lt;'Control Room'!$A$13+'Control Room'!$B$13,'Process'!BQ2=1),1+('Control Room'!$C$13-1)*EXP(-0.5*(($A240-'Control Room'!$A$13-('Control Room'!$B$13-1)/2)/MAX(0.5,'Control Room'!$B$13/4))^2),1)*IF(AND($A240&gt;='Control Room'!$A$14,$A240&lt;'Control Room'!$A$14+'Control Room'!$B$14,'Process'!BQ3=1),1+('Control Room'!$C$14-1)*EXP(-0.5*(($A240-'Control Room'!$A$14-('Control Room'!$B$14-1)/2)/MAX(0.5,'Control Room'!$B$14/4))^2),1)*IF(AND($A240&gt;='Control Room'!$A$15,$A240&lt;'Control Room'!$A$15+'Control Room'!$B$15,'Process'!BQ4=1),1+('Control Room'!$C$15-1)*EXP(-0.5*(($A240-'Control Room'!$A$15-('Control Room'!$B$15-1)/2)/MAX(0.5,'Control Room'!$B$15/4))^2),1)*IF(AND($A240&gt;='Control Room'!$A$16,$A240&lt;'Control Room'!$A$16+'Control Room'!$B$16,'Process'!BQ5=1),1+('Control Room'!$C$16-1)*EXP(-0.5*(($A240-'Control Room'!$A$16-('Control Room'!$B$16-1)/2)/MAX(0.5,'Control Room'!$B$16/4))^2),1)</x:f>
        <x:v>1</x:v>
      </x:c>
      <x:c r="AK240" s="9" t="n">
        <x:f>MOD(AL239*16807,2147483647)</x:f>
        <x:v>181530820</x:v>
      </x:c>
      <x:c r="AL240" s="9" t="n">
        <x:f>MOD(AK240*16807,2147483647)</x:f>
        <x:v>1561713000</x:v>
      </x:c>
      <x:c r="AM240" s="17" t="n">
        <x:f>IF('Control Room'!$B$5="Normal",'Control Room'!$B$7+'Control Room'!$D$7*SQRT(-2*LN(MAX(0.000000000001,AK240/2147483647)))*COS(2*PI()*AL240/2147483647),'Control Room'!$B$8+('Control Room'!$D$8-'Control Room'!$B$8)*AK240/2147483647)</x:f>
        <x:v>971.4743919874509</x:v>
      </x:c>
      <x:c r="AN240" s="17" t="n">
        <x:f>IF('Control Room'!$B$5="Normal",'Control Room'!$B$7,('Control Room'!$B$8+'Control Room'!$D$8)/2)+'Control Room'!$B$9*(AN239-IF('Control Room'!$B$5="Normal",'Control Room'!$B$7,('Control Room'!$B$8+'Control Room'!$D$8)/2))+SQRT(1-'Control Room'!$B$9^2)*(AM240-IF('Control Room'!$B$5="Normal",'Control Room'!$B$7,('Control Room'!$B$8+'Control Room'!$D$8)/2))</x:f>
        <x:v>977.2357137884783</x:v>
      </x:c>
      <x:c r="AO240" s="17" t="n">
        <x:f>IF(AND($A240&gt;='Control Room'!$A$13,$A240&lt;'Control Room'!$A$13+'Control Room'!$B$13,'Process'!BR2=1),1+('Control Room'!$C$13-1)*EXP(-0.5*(($A240-'Control Room'!$A$13-('Control Room'!$B$13-1)/2)/MAX(0.5,'Control Room'!$B$13/4))^2),1)*IF(AND($A240&gt;='Control Room'!$A$14,$A240&lt;'Control Room'!$A$14+'Control Room'!$B$14,'Process'!BR3=1),1+('Control Room'!$C$14-1)*EXP(-0.5*(($A240-'Control Room'!$A$14-('Control Room'!$B$14-1)/2)/MAX(0.5,'Control Room'!$B$14/4))^2),1)*IF(AND($A240&gt;='Control Room'!$A$15,$A240&lt;'Control Room'!$A$15+'Control Room'!$B$15,'Process'!BR4=1),1+('Control Room'!$C$15-1)*EXP(-0.5*(($A240-'Control Room'!$A$15-('Control Room'!$B$15-1)/2)/MAX(0.5,'Control Room'!$B$15/4))^2),1)*IF(AND($A240&gt;='Control Room'!$A$16,$A240&lt;'Control Room'!$A$16+'Control Room'!$B$16,'Process'!BR5=1),1+('Control Room'!$C$16-1)*EXP(-0.5*(($A240-'Control Room'!$A$16-('Control Room'!$B$16-1)/2)/MAX(0.5,'Control Room'!$B$16/4))^2),1)</x:f>
        <x:v>1</x:v>
      </x:c>
      <x:c r="AP240" s="9" t="n">
        <x:f>MOD(AQ239*16807,2147483647)</x:f>
        <x:v>1958374145</x:v>
      </x:c>
      <x:c r="AQ240" s="9" t="n">
        <x:f>MOD(AP240*16807,2147483647)</x:f>
        <x:v>2059881093</x:v>
      </x:c>
      <x:c r="AR240" s="17" t="n">
        <x:f>IF('Control Room'!$B$5="Normal",'Control Room'!$B$7+'Control Room'!$D$7*SQRT(-2*LN(MAX(0.000000000001,AP240/2147483647)))*COS(2*PI()*AQ240/2147483647),'Control Room'!$B$8+('Control Room'!$D$8-'Control Room'!$B$8)*AP240/2147483647)</x:f>
        <x:v>1037.3814724854917</x:v>
      </x:c>
      <x:c r="AS240" s="17" t="n">
        <x:f>IF('Control Room'!$B$5="Normal",'Control Room'!$B$7,('Control Room'!$B$8+'Control Room'!$D$8)/2)+'Control Room'!$B$9*(AS239-IF('Control Room'!$B$5="Normal",'Control Room'!$B$7,('Control Room'!$B$8+'Control Room'!$D$8)/2))+SQRT(1-'Control Room'!$B$9^2)*(AR240-IF('Control Room'!$B$5="Normal",'Control Room'!$B$7,('Control Room'!$B$8+'Control Room'!$D$8)/2))</x:f>
        <x:v>1117.7516477844522</x:v>
      </x:c>
      <x:c r="AT240" s="17" t="n">
        <x:f>IF(AND($A240&gt;='Control Room'!$A$13,$A240&lt;'Control Room'!$A$13+'Control Room'!$B$13,'Process'!BS2=1),1+('Control Room'!$C$13-1)*EXP(-0.5*(($A240-'Control Room'!$A$13-('Control Room'!$B$13-1)/2)/MAX(0.5,'Control Room'!$B$13/4))^2),1)*IF(AND($A240&gt;='Control Room'!$A$14,$A240&lt;'Control Room'!$A$14+'Control Room'!$B$14,'Process'!BS3=1),1+('Control Room'!$C$14-1)*EXP(-0.5*(($A240-'Control Room'!$A$14-('Control Room'!$B$14-1)/2)/MAX(0.5,'Control Room'!$B$14/4))^2),1)*IF(AND($A240&gt;='Control Room'!$A$15,$A240&lt;'Control Room'!$A$15+'Control Room'!$B$15,'Process'!BS4=1),1+('Control Room'!$C$15-1)*EXP(-0.5*(($A240-'Control Room'!$A$15-('Control Room'!$B$15-1)/2)/MAX(0.5,'Control Room'!$B$15/4))^2),1)*IF(AND($A240&gt;='Control Room'!$A$16,$A240&lt;'Control Room'!$A$16+'Control Room'!$B$16,'Process'!BS5=1),1+('Control Room'!$C$16-1)*EXP(-0.5*(($A240-'Control Room'!$A$16-('Control Room'!$B$16-1)/2)/MAX(0.5,'Control Room'!$B$16/4))^2),1)</x:f>
        <x:v>1</x:v>
      </x:c>
      <x:c r="AU240" s="9" t="n">
        <x:f>MOD(AV239*16807,2147483647)</x:f>
        <x:v>1587733823</x:v>
      </x:c>
      <x:c r="AV240" s="9" t="n">
        <x:f>MOD(AU240*16807,2147483647)</x:f>
        <x:v>410565539</x:v>
      </x:c>
      <x:c r="AW240" s="17" t="n">
        <x:f>IF('Control Room'!$B$5="Normal",'Control Room'!$B$7+'Control Room'!$D$7*SQRT(-2*LN(MAX(0.000000000001,AU240/2147483647)))*COS(2*PI()*AV240/2147483647),'Control Room'!$B$8+('Control Room'!$D$8-'Control Room'!$B$8)*AU240/2147483647)</x:f>
        <x:v>1025.2635585586247</x:v>
      </x:c>
      <x:c r="AX240" s="17" t="n">
        <x:f>IF('Control Room'!$B$5="Normal",'Control Room'!$B$7,('Control Room'!$B$8+'Control Room'!$D$8)/2)+'Control Room'!$B$9*(AX239-IF('Control Room'!$B$5="Normal",'Control Room'!$B$7,('Control Room'!$B$8+'Control Room'!$D$8)/2))+SQRT(1-'Control Room'!$B$9^2)*(AW240-IF('Control Room'!$B$5="Normal",'Control Room'!$B$7,('Control Room'!$B$8+'Control Room'!$D$8)/2))</x:f>
        <x:v>878.7386948675797</x:v>
      </x:c>
      <x:c r="AY240" s="17" t="n">
        <x:f>IF(AND($A240&gt;='Control Room'!$A$13,$A240&lt;'Control Room'!$A$13+'Control Room'!$B$13,'Process'!BT2=1),1+('Control Room'!$C$13-1)*EXP(-0.5*(($A240-'Control Room'!$A$13-('Control Room'!$B$13-1)/2)/MAX(0.5,'Control Room'!$B$13/4))^2),1)*IF(AND($A240&gt;='Control Room'!$A$14,$A240&lt;'Control Room'!$A$14+'Control Room'!$B$14,'Process'!BT3=1),1+('Control Room'!$C$14-1)*EXP(-0.5*(($A240-'Control Room'!$A$14-('Control Room'!$B$14-1)/2)/MAX(0.5,'Control Room'!$B$14/4))^2),1)*IF(AND($A240&gt;='Control Room'!$A$15,$A240&lt;'Control Room'!$A$15+'Control Room'!$B$15,'Process'!BT4=1),1+('Control Room'!$C$15-1)*EXP(-0.5*(($A240-'Control Room'!$A$15-('Control Room'!$B$15-1)/2)/MAX(0.5,'Control Room'!$B$15/4))^2),1)*IF(AND($A240&gt;='Control Room'!$A$16,$A240&lt;'Control Room'!$A$16+'Control Room'!$B$16,'Process'!BT5=1),1+('Control Room'!$C$16-1)*EXP(-0.5*(($A240-'Control Room'!$A$16-('Control Room'!$B$16-1)/2)/MAX(0.5,'Control Room'!$B$16/4))^2),1)</x:f>
        <x:v>1</x:v>
      </x:c>
      <x:c r="AZ240" s="9" t="n">
        <x:f>MOD(BA239*16807,2147483647)</x:f>
        <x:v>1217093501</x:v>
      </x:c>
      <x:c r="BA240" s="9" t="n">
        <x:f>MOD(AZ240*16807,2147483647)</x:f>
        <x:v>908733632</x:v>
      </x:c>
      <x:c r="BB240" s="17" t="n">
        <x:f>IF('Control Room'!$B$5="Normal",'Control Room'!$B$7+'Control Room'!$D$7*SQRT(-2*LN(MAX(0.000000000001,AZ240/2147483647)))*COS(2*PI()*BA240/2147483647),'Control Room'!$B$8+('Control Room'!$D$8-'Control Room'!$B$8)*AZ240/2147483647)</x:f>
        <x:v>915.0514501859801</x:v>
      </x:c>
      <x:c r="BC240" s="17" t="n">
        <x:f>IF('Control Room'!$B$5="Normal",'Control Room'!$B$7,('Control Room'!$B$8+'Control Room'!$D$8)/2)+'Control Room'!$B$9*(BC239-IF('Control Room'!$B$5="Normal",'Control Room'!$B$7,('Control Room'!$B$8+'Control Room'!$D$8)/2))+SQRT(1-'Control Room'!$B$9^2)*(BB240-IF('Control Room'!$B$5="Normal",'Control Room'!$B$7,('Control Room'!$B$8+'Control Room'!$D$8)/2))</x:f>
        <x:v>896.7741350762312</x:v>
      </x:c>
      <x:c r="BD240" s="17" t="n">
        <x:f>IF(AND($A240&gt;='Control Room'!$A$13,$A240&lt;'Control Room'!$A$13+'Control Room'!$B$13,'Process'!BU2=1),1+('Control Room'!$C$13-1)*EXP(-0.5*(($A240-'Control Room'!$A$13-('Control Room'!$B$13-1)/2)/MAX(0.5,'Control Room'!$B$13/4))^2),1)*IF(AND($A240&gt;='Control Room'!$A$14,$A240&lt;'Control Room'!$A$14+'Control Room'!$B$14,'Process'!BU3=1),1+('Control Room'!$C$14-1)*EXP(-0.5*(($A240-'Control Room'!$A$14-('Control Room'!$B$14-1)/2)/MAX(0.5,'Control Room'!$B$14/4))^2),1)*IF(AND($A240&gt;='Control Room'!$A$15,$A240&lt;'Control Room'!$A$15+'Control Room'!$B$15,'Process'!BU4=1),1+('Control Room'!$C$15-1)*EXP(-0.5*(($A240-'Control Room'!$A$15-('Control Room'!$B$15-1)/2)/MAX(0.5,'Control Room'!$B$15/4))^2),1)*IF(AND($A240&gt;='Control Room'!$A$16,$A240&lt;'Control Room'!$A$16+'Control Room'!$B$16,'Process'!BU5=1),1+('Control Room'!$C$16-1)*EXP(-0.5*(($A240-'Control Room'!$A$16-('Control Room'!$B$16-1)/2)/MAX(0.5,'Control Room'!$B$16/4))^2),1)</x:f>
        <x:v>1</x:v>
      </x:c>
      <x:c r="BE240" s="9" t="n">
        <x:f>MOD(BF239*16807,2147483647)</x:f>
        <x:v>846453179</x:v>
      </x:c>
      <x:c r="BF240" s="9" t="n">
        <x:f>MOD(BE240*16807,2147483647)</x:f>
        <x:v>1406901725</x:v>
      </x:c>
      <x:c r="BG240" s="17" t="n">
        <x:f>IF('Control Room'!$B$5="Normal",'Control Room'!$B$7+'Control Room'!$D$7*SQRT(-2*LN(MAX(0.000000000001,BE240/2147483647)))*COS(2*PI()*BF240/2147483647),'Control Room'!$B$8+('Control Room'!$D$8-'Control Room'!$B$8)*BE240/2147483647)</x:f>
        <x:v>931.0600295860144</x:v>
      </x:c>
      <x:c r="BH240" s="17" t="n">
        <x:f>IF('Control Room'!$B$5="Normal",'Control Room'!$B$7,('Control Room'!$B$8+'Control Room'!$D$8)/2)+'Control Room'!$B$9*(BH239-IF('Control Room'!$B$5="Normal",'Control Room'!$B$7,('Control Room'!$B$8+'Control Room'!$D$8)/2))+SQRT(1-'Control Room'!$B$9^2)*(BG240-IF('Control Room'!$B$5="Normal",'Control Room'!$B$7,('Control Room'!$B$8+'Control Room'!$D$8)/2))</x:f>
        <x:v>984.1082000850944</x:v>
      </x:c>
      <x:c r="BI240" s="17" t="n">
        <x:f>IF(AND($A240&gt;='Control Room'!$A$13,$A240&lt;'Control Room'!$A$13+'Control Room'!$B$13,'Process'!BV2=1),1+('Control Room'!$C$13-1)*EXP(-0.5*(($A240-'Control Room'!$A$13-('Control Room'!$B$13-1)/2)/MAX(0.5,'Control Room'!$B$13/4))^2),1)*IF(AND($A240&gt;='Control Room'!$A$14,$A240&lt;'Control Room'!$A$14+'Control Room'!$B$14,'Process'!BV3=1),1+('Control Room'!$C$14-1)*EXP(-0.5*(($A240-'Control Room'!$A$14-('Control Room'!$B$14-1)/2)/MAX(0.5,'Control Room'!$B$14/4))^2),1)*IF(AND($A240&gt;='Control Room'!$A$15,$A240&lt;'Control Room'!$A$15+'Control Room'!$B$15,'Process'!BV4=1),1+('Control Room'!$C$15-1)*EXP(-0.5*(($A240-'Control Room'!$A$15-('Control Room'!$B$15-1)/2)/MAX(0.5,'Control Room'!$B$15/4))^2),1)*IF(AND($A240&gt;='Control Room'!$A$16,$A240&lt;'Control Room'!$A$16+'Control Room'!$B$16,'Process'!BV5=1),1+('Control Room'!$C$16-1)*EXP(-0.5*(($A240-'Control Room'!$A$16-('Control Room'!$B$16-1)/2)/MAX(0.5,'Control Room'!$B$16/4))^2),1)</x:f>
        <x:v>1</x:v>
      </x:c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Z240" t="str">
        <x:f>IF('Data'!A240="","",TEXT('Data'!A240,"mm-dd"))</x:f>
      </x:c>
    </x:row>
    <x:row r="241" ht="21" customHeight="1">
      <x:c r="A241" s="15" t="n">
        <x:f>'Control Room'!$B$1+239</x:f>
        <x:v>73230</x:v>
      </x:c>
      <x:c r="B241" s="9" t="n">
        <x:f>MOD(C240*16807,2147483647)</x:f>
        <x:v>1310977933</x:v>
      </x:c>
      <x:c r="C241" s="9" t="n">
        <x:f>MOD(B241*16807,2147483647)</x:f>
        <x:v>423901711</x:v>
      </x:c>
      <x:c r="D241" s="17" t="n">
        <x:f>IF('Control Room'!$B$5="Normal",'Control Room'!$B$7+'Control Room'!$D$7*SQRT(-2*LN(MAX(0.000000000001,B241/2147483647)))*COS(2*PI()*C241/2147483647),'Control Room'!$B$8+('Control Room'!$D$8-'Control Room'!$B$8)*B241/2147483647)</x:f>
        <x:v>1029.019149659067</x:v>
      </x:c>
      <x:c r="E241" s="17" t="n">
        <x:f>IF('Control Room'!$B$5="Normal",'Control Room'!$B$7,('Control Room'!$B$8+'Control Room'!$D$8)/2)+'Control Room'!$B$9*(E240-IF('Control Room'!$B$5="Normal",'Control Room'!$B$7,('Control Room'!$B$8+'Control Room'!$D$8)/2))+SQRT(1-'Control Room'!$B$9^2)*(D241-IF('Control Room'!$B$5="Normal",'Control Room'!$B$7,('Control Room'!$B$8+'Control Room'!$D$8)/2))</x:f>
        <x:v>1064.7751046909923</x:v>
      </x:c>
      <x:c r="F241" s="17" t="n">
        <x:f>IF(AND($A241&gt;='Control Room'!$A$13,$A241&lt;'Control Room'!$A$13+'Control Room'!$B$13,'Process'!BK2=1),1+('Control Room'!$C$13-1)*EXP(-0.5*(($A241-'Control Room'!$A$13-('Control Room'!$B$13-1)/2)/MAX(0.5,'Control Room'!$B$13/4))^2),1)*IF(AND($A241&gt;='Control Room'!$A$14,$A241&lt;'Control Room'!$A$14+'Control Room'!$B$14,'Process'!BK3=1),1+('Control Room'!$C$14-1)*EXP(-0.5*(($A241-'Control Room'!$A$14-('Control Room'!$B$14-1)/2)/MAX(0.5,'Control Room'!$B$14/4))^2),1)*IF(AND($A241&gt;='Control Room'!$A$15,$A241&lt;'Control Room'!$A$15+'Control Room'!$B$15,'Process'!BK4=1),1+('Control Room'!$C$15-1)*EXP(-0.5*(($A241-'Control Room'!$A$15-('Control Room'!$B$15-1)/2)/MAX(0.5,'Control Room'!$B$15/4))^2),1)*IF(AND($A241&gt;='Control Room'!$A$16,$A241&lt;'Control Room'!$A$16+'Control Room'!$B$16,'Process'!BK5=1),1+('Control Room'!$C$16-1)*EXP(-0.5*(($A241-'Control Room'!$A$16-('Control Room'!$B$16-1)/2)/MAX(0.5,'Control Room'!$B$16/4))^2),1)</x:f>
        <x:v>1</x:v>
      </x:c>
      <x:c r="G241" s="9" t="n">
        <x:f>MOD(H240*16807,2147483647)</x:f>
        <x:v>983377331</x:v>
      </x:c>
      <x:c r="H241" s="9" t="n">
        <x:f>MOD(G241*16807,2147483647)</x:f>
        <x:v>588654805</x:v>
      </x:c>
      <x:c r="I241" s="17" t="n">
        <x:f>IF('Control Room'!$B$5="Normal",'Control Room'!$B$7+'Control Room'!$D$7*SQRT(-2*LN(MAX(0.000000000001,G241/2147483647)))*COS(2*PI()*H241/2147483647),'Control Room'!$B$8+('Control Room'!$D$8-'Control Room'!$B$8)*G241/2147483647)</x:f>
        <x:v>983.022204060448</x:v>
      </x:c>
      <x:c r="J241" s="17" t="n">
        <x:f>IF('Control Room'!$B$5="Normal",'Control Room'!$B$7,('Control Room'!$B$8+'Control Room'!$D$8)/2)+'Control Room'!$B$9*(J240-IF('Control Room'!$B$5="Normal",'Control Room'!$B$7,('Control Room'!$B$8+'Control Room'!$D$8)/2))+SQRT(1-'Control Room'!$B$9^2)*(I241-IF('Control Room'!$B$5="Normal",'Control Room'!$B$7,('Control Room'!$B$8+'Control Room'!$D$8)/2))</x:f>
        <x:v>953.0318440020085</x:v>
      </x:c>
      <x:c r="K241" s="17" t="n">
        <x:f>IF(AND($A241&gt;='Control Room'!$A$13,$A241&lt;'Control Room'!$A$13+'Control Room'!$B$13,'Process'!BL2=1),1+('Control Room'!$C$13-1)*EXP(-0.5*(($A241-'Control Room'!$A$13-('Control Room'!$B$13-1)/2)/MAX(0.5,'Control Room'!$B$13/4))^2),1)*IF(AND($A241&gt;='Control Room'!$A$14,$A241&lt;'Control Room'!$A$14+'Control Room'!$B$14,'Process'!BL3=1),1+('Control Room'!$C$14-1)*EXP(-0.5*(($A241-'Control Room'!$A$14-('Control Room'!$B$14-1)/2)/MAX(0.5,'Control Room'!$B$14/4))^2),1)*IF(AND($A241&gt;='Control Room'!$A$15,$A241&lt;'Control Room'!$A$15+'Control Room'!$B$15,'Process'!BL4=1),1+('Control Room'!$C$15-1)*EXP(-0.5*(($A241-'Control Room'!$A$15-('Control Room'!$B$15-1)/2)/MAX(0.5,'Control Room'!$B$15/4))^2),1)*IF(AND($A241&gt;='Control Room'!$A$16,$A241&lt;'Control Room'!$A$16+'Control Room'!$B$16,'Process'!BL5=1),1+('Control Room'!$C$16-1)*EXP(-0.5*(($A241-'Control Room'!$A$16-('Control Room'!$B$16-1)/2)/MAX(0.5,'Control Room'!$B$16/4))^2),1)</x:f>
        <x:v>1</x:v>
      </x:c>
      <x:c r="L241" s="9" t="n">
        <x:f>MOD(M240*16807,2147483647)</x:f>
        <x:v>655776729</x:v>
      </x:c>
      <x:c r="M241" s="9" t="n">
        <x:f>MOD(L241*16807,2147483647)</x:f>
        <x:v>753407899</x:v>
      </x:c>
      <x:c r="N241" s="17" t="n">
        <x:f>IF('Control Room'!$B$5="Normal",'Control Room'!$B$7+'Control Room'!$D$7*SQRT(-2*LN(MAX(0.000000000001,L241/2147483647)))*COS(2*PI()*M241/2147483647),'Control Room'!$B$8+('Control Room'!$D$8-'Control Room'!$B$8)*L241/2147483647)</x:f>
        <x:v>917.9323497351197</x:v>
      </x:c>
      <x:c r="O241" s="17" t="n">
        <x:f>IF('Control Room'!$B$5="Normal",'Control Room'!$B$7,('Control Room'!$B$8+'Control Room'!$D$8)/2)+'Control Room'!$B$9*(O240-IF('Control Room'!$B$5="Normal",'Control Room'!$B$7,('Control Room'!$B$8+'Control Room'!$D$8)/2))+SQRT(1-'Control Room'!$B$9^2)*(N241-IF('Control Room'!$B$5="Normal",'Control Room'!$B$7,('Control Room'!$B$8+'Control Room'!$D$8)/2))</x:f>
        <x:v>915.6547707472943</x:v>
      </x:c>
      <x:c r="P241" s="17" t="n">
        <x:f>IF(AND($A241&gt;='Control Room'!$A$13,$A241&lt;'Control Room'!$A$13+'Control Room'!$B$13,'Process'!BM2=1),1+('Control Room'!$C$13-1)*EXP(-0.5*(($A241-'Control Room'!$A$13-('Control Room'!$B$13-1)/2)/MAX(0.5,'Control Room'!$B$13/4))^2),1)*IF(AND($A241&gt;='Control Room'!$A$14,$A241&lt;'Control Room'!$A$14+'Control Room'!$B$14,'Process'!BM3=1),1+('Control Room'!$C$14-1)*EXP(-0.5*(($A241-'Control Room'!$A$14-('Control Room'!$B$14-1)/2)/MAX(0.5,'Control Room'!$B$14/4))^2),1)*IF(AND($A241&gt;='Control Room'!$A$15,$A241&lt;'Control Room'!$A$15+'Control Room'!$B$15,'Process'!BM4=1),1+('Control Room'!$C$15-1)*EXP(-0.5*(($A241-'Control Room'!$A$15-('Control Room'!$B$15-1)/2)/MAX(0.5,'Control Room'!$B$15/4))^2),1)*IF(AND($A241&gt;='Control Room'!$A$16,$A241&lt;'Control Room'!$A$16+'Control Room'!$B$16,'Process'!BM5=1),1+('Control Room'!$C$16-1)*EXP(-0.5*(($A241-'Control Room'!$A$16-('Control Room'!$B$16-1)/2)/MAX(0.5,'Control Room'!$B$16/4))^2),1)</x:f>
        <x:v>1</x:v>
      </x:c>
      <x:c r="Q241" s="9" t="n">
        <x:f>MOD(R240*16807,2147483647)</x:f>
        <x:v>328176127</x:v>
      </x:c>
      <x:c r="R241" s="9" t="n">
        <x:f>MOD(Q241*16807,2147483647)</x:f>
        <x:v>918160993</x:v>
      </x:c>
      <x:c r="S241" s="17" t="n">
        <x:f>IF('Control Room'!$B$5="Normal",'Control Room'!$B$7+'Control Room'!$D$7*SQRT(-2*LN(MAX(0.000000000001,Q241/2147483647)))*COS(2*PI()*R241/2147483647),'Control Room'!$B$8+('Control Room'!$D$8-'Control Room'!$B$8)*Q241/2147483647)</x:f>
        <x:v>843.316779270692</x:v>
      </x:c>
      <x:c r="T241" s="17" t="n">
        <x:f>IF('Control Room'!$B$5="Normal",'Control Room'!$B$7,('Control Room'!$B$8+'Control Room'!$D$8)/2)+'Control Room'!$B$9*(T240-IF('Control Room'!$B$5="Normal",'Control Room'!$B$7,('Control Room'!$B$8+'Control Room'!$D$8)/2))+SQRT(1-'Control Room'!$B$9^2)*(S241-IF('Control Room'!$B$5="Normal",'Control Room'!$B$7,('Control Room'!$B$8+'Control Room'!$D$8)/2))</x:f>
        <x:v>896.0322447489049</x:v>
      </x:c>
      <x:c r="U241" s="17" t="n">
        <x:f>IF(AND($A241&gt;='Control Room'!$A$13,$A241&lt;'Control Room'!$A$13+'Control Room'!$B$13,'Process'!BN2=1),1+('Control Room'!$C$13-1)*EXP(-0.5*(($A241-'Control Room'!$A$13-('Control Room'!$B$13-1)/2)/MAX(0.5,'Control Room'!$B$13/4))^2),1)*IF(AND($A241&gt;='Control Room'!$A$14,$A241&lt;'Control Room'!$A$14+'Control Room'!$B$14,'Process'!BN3=1),1+('Control Room'!$C$14-1)*EXP(-0.5*(($A241-'Control Room'!$A$14-('Control Room'!$B$14-1)/2)/MAX(0.5,'Control Room'!$B$14/4))^2),1)*IF(AND($A241&gt;='Control Room'!$A$15,$A241&lt;'Control Room'!$A$15+'Control Room'!$B$15,'Process'!BN4=1),1+('Control Room'!$C$15-1)*EXP(-0.5*(($A241-'Control Room'!$A$15-('Control Room'!$B$15-1)/2)/MAX(0.5,'Control Room'!$B$15/4))^2),1)*IF(AND($A241&gt;='Control Room'!$A$16,$A241&lt;'Control Room'!$A$16+'Control Room'!$B$16,'Process'!BN5=1),1+('Control Room'!$C$16-1)*EXP(-0.5*(($A241-'Control Room'!$A$16-('Control Room'!$B$16-1)/2)/MAX(0.5,'Control Room'!$B$16/4))^2),1)</x:f>
        <x:v>1</x:v>
      </x:c>
      <x:c r="V241" s="9" t="n">
        <x:f>MOD(W240*16807,2147483647)</x:f>
        <x:v>575525</x:v>
      </x:c>
      <x:c r="W241" s="9" t="n">
        <x:f>MOD(V241*16807,2147483647)</x:f>
        <x:v>1082914087</x:v>
      </x:c>
      <x:c r="X241" s="17" t="n">
        <x:f>IF('Control Room'!$B$5="Normal",'Control Room'!$B$7+'Control Room'!$D$7*SQRT(-2*LN(MAX(0.000000000001,V241/2147483647)))*COS(2*PI()*W241/2147483647),'Control Room'!$B$8+('Control Room'!$D$8-'Control Room'!$B$8)*V241/2147483647)</x:f>
        <x:v>635.1145866455056</x:v>
      </x:c>
      <x:c r="Y241" s="17" t="n">
        <x:f>IF('Control Room'!$B$5="Normal",'Control Room'!$B$7,('Control Room'!$B$8+'Control Room'!$D$8)/2)+'Control Room'!$B$9*(Y240-IF('Control Room'!$B$5="Normal",'Control Room'!$B$7,('Control Room'!$B$8+'Control Room'!$D$8)/2))+SQRT(1-'Control Room'!$B$9^2)*(X241-IF('Control Room'!$B$5="Normal",'Control Room'!$B$7,('Control Room'!$B$8+'Control Room'!$D$8)/2))</x:f>
        <x:v>752.9348306776174</x:v>
      </x:c>
      <x:c r="Z241" s="17" t="n">
        <x:f>IF(AND($A241&gt;='Control Room'!$A$13,$A241&lt;'Control Room'!$A$13+'Control Room'!$B$13,'Process'!BO2=1),1+('Control Room'!$C$13-1)*EXP(-0.5*(($A241-'Control Room'!$A$13-('Control Room'!$B$13-1)/2)/MAX(0.5,'Control Room'!$B$13/4))^2),1)*IF(AND($A241&gt;='Control Room'!$A$14,$A241&lt;'Control Room'!$A$14+'Control Room'!$B$14,'Process'!BO3=1),1+('Control Room'!$C$14-1)*EXP(-0.5*(($A241-'Control Room'!$A$14-('Control Room'!$B$14-1)/2)/MAX(0.5,'Control Room'!$B$14/4))^2),1)*IF(AND($A241&gt;='Control Room'!$A$15,$A241&lt;'Control Room'!$A$15+'Control Room'!$B$15,'Process'!BO4=1),1+('Control Room'!$C$15-1)*EXP(-0.5*(($A241-'Control Room'!$A$15-('Control Room'!$B$15-1)/2)/MAX(0.5,'Control Room'!$B$15/4))^2),1)*IF(AND($A241&gt;='Control Room'!$A$16,$A241&lt;'Control Room'!$A$16+'Control Room'!$B$16,'Process'!BO5=1),1+('Control Room'!$C$16-1)*EXP(-0.5*(($A241-'Control Room'!$A$16-('Control Room'!$B$16-1)/2)/MAX(0.5,'Control Room'!$B$16/4))^2),1)</x:f>
        <x:v>1</x:v>
      </x:c>
      <x:c r="AA241" s="9" t="n">
        <x:f>MOD(AB240*16807,2147483647)</x:f>
        <x:v>1820458570</x:v>
      </x:c>
      <x:c r="AB241" s="9" t="n">
        <x:f>MOD(AA241*16807,2147483647)</x:f>
        <x:v>1247667181</x:v>
      </x:c>
      <x:c r="AC241" s="17" t="n">
        <x:f>IF('Control Room'!$B$5="Normal",'Control Room'!$B$7+'Control Room'!$D$7*SQRT(-2*LN(MAX(0.000000000001,AA241/2147483647)))*COS(2*PI()*AB241/2147483647),'Control Room'!$B$8+('Control Room'!$D$8-'Control Room'!$B$8)*AA241/2147483647)</x:f>
        <x:v>954.8213734825695</x:v>
      </x:c>
      <x:c r="AD241" s="17" t="n">
        <x:f>IF('Control Room'!$B$5="Normal",'Control Room'!$B$7,('Control Room'!$B$8+'Control Room'!$D$8)/2)+'Control Room'!$B$9*(AD240-IF('Control Room'!$B$5="Normal",'Control Room'!$B$7,('Control Room'!$B$8+'Control Room'!$D$8)/2))+SQRT(1-'Control Room'!$B$9^2)*(AC241-IF('Control Room'!$B$5="Normal",'Control Room'!$B$7,('Control Room'!$B$8+'Control Room'!$D$8)/2))</x:f>
        <x:v>1004.2031087723569</x:v>
      </x:c>
      <x:c r="AE241" s="17" t="n">
        <x:f>IF(AND($A241&gt;='Control Room'!$A$13,$A241&lt;'Control Room'!$A$13+'Control Room'!$B$13,'Process'!BP2=1),1+('Control Room'!$C$13-1)*EXP(-0.5*(($A241-'Control Room'!$A$13-('Control Room'!$B$13-1)/2)/MAX(0.5,'Control Room'!$B$13/4))^2),1)*IF(AND($A241&gt;='Control Room'!$A$14,$A241&lt;'Control Room'!$A$14+'Control Room'!$B$14,'Process'!BP3=1),1+('Control Room'!$C$14-1)*EXP(-0.5*(($A241-'Control Room'!$A$14-('Control Room'!$B$14-1)/2)/MAX(0.5,'Control Room'!$B$14/4))^2),1)*IF(AND($A241&gt;='Control Room'!$A$15,$A241&lt;'Control Room'!$A$15+'Control Room'!$B$15,'Process'!BP4=1),1+('Control Room'!$C$15-1)*EXP(-0.5*(($A241-'Control Room'!$A$15-('Control Room'!$B$15-1)/2)/MAX(0.5,'Control Room'!$B$15/4))^2),1)*IF(AND($A241&gt;='Control Room'!$A$16,$A241&lt;'Control Room'!$A$16+'Control Room'!$B$16,'Process'!BP5=1),1+('Control Room'!$C$16-1)*EXP(-0.5*(($A241-'Control Room'!$A$16-('Control Room'!$B$16-1)/2)/MAX(0.5,'Control Room'!$B$16/4))^2),1)</x:f>
        <x:v>1</x:v>
      </x:c>
      <x:c r="AF241" s="9" t="n">
        <x:f>MOD(AG240*16807,2147483647)</x:f>
        <x:v>1492857968</x:v>
      </x:c>
      <x:c r="AG241" s="9" t="n">
        <x:f>MOD(AF241*16807,2147483647)</x:f>
        <x:v>1412420275</x:v>
      </x:c>
      <x:c r="AH241" s="17" t="n">
        <x:f>IF('Control Room'!$B$5="Normal",'Control Room'!$B$7+'Control Room'!$D$7*SQRT(-2*LN(MAX(0.000000000001,AF241/2147483647)))*COS(2*PI()*AG241/2147483647),'Control Room'!$B$8+('Control Room'!$D$8-'Control Room'!$B$8)*AF241/2147483647)</x:f>
        <x:v>957.9475650290805</x:v>
      </x:c>
      <x:c r="AI241" s="17" t="n">
        <x:f>IF('Control Room'!$B$5="Normal",'Control Room'!$B$7,('Control Room'!$B$8+'Control Room'!$D$8)/2)+'Control Room'!$B$9*(AI240-IF('Control Room'!$B$5="Normal",'Control Room'!$B$7,('Control Room'!$B$8+'Control Room'!$D$8)/2))+SQRT(1-'Control Room'!$B$9^2)*(AH241-IF('Control Room'!$B$5="Normal",'Control Room'!$B$7,('Control Room'!$B$8+'Control Room'!$D$8)/2))</x:f>
        <x:v>799.2438438118412</x:v>
      </x:c>
      <x:c r="AJ241" s="17" t="n">
        <x:f>IF(AND($A241&gt;='Control Room'!$A$13,$A241&lt;'Control Room'!$A$13+'Control Room'!$B$13,'Process'!BQ2=1),1+('Control Room'!$C$13-1)*EXP(-0.5*(($A241-'Control Room'!$A$13-('Control Room'!$B$13-1)/2)/MAX(0.5,'Control Room'!$B$13/4))^2),1)*IF(AND($A241&gt;='Control Room'!$A$14,$A241&lt;'Control Room'!$A$14+'Control Room'!$B$14,'Process'!BQ3=1),1+('Control Room'!$C$14-1)*EXP(-0.5*(($A241-'Control Room'!$A$14-('Control Room'!$B$14-1)/2)/MAX(0.5,'Control Room'!$B$14/4))^2),1)*IF(AND($A241&gt;='Control Room'!$A$15,$A241&lt;'Control Room'!$A$15+'Control Room'!$B$15,'Process'!BQ4=1),1+('Control Room'!$C$15-1)*EXP(-0.5*(($A241-'Control Room'!$A$15-('Control Room'!$B$15-1)/2)/MAX(0.5,'Control Room'!$B$15/4))^2),1)*IF(AND($A241&gt;='Control Room'!$A$16,$A241&lt;'Control Room'!$A$16+'Control Room'!$B$16,'Process'!BQ5=1),1+('Control Room'!$C$16-1)*EXP(-0.5*(($A241-'Control Room'!$A$16-('Control Room'!$B$16-1)/2)/MAX(0.5,'Control Room'!$B$16/4))^2),1)</x:f>
        <x:v>1</x:v>
      </x:c>
      <x:c r="AK241" s="9" t="n">
        <x:f>MOD(AL240*16807,2147483647)</x:f>
        <x:v>1165257366</x:v>
      </x:c>
      <x:c r="AL241" s="9" t="n">
        <x:f>MOD(AK241*16807,2147483647)</x:f>
        <x:v>1577173369</x:v>
      </x:c>
      <x:c r="AM241" s="17" t="n">
        <x:f>IF('Control Room'!$B$5="Normal",'Control Room'!$B$7+'Control Room'!$D$7*SQRT(-2*LN(MAX(0.000000000001,AK241/2147483647)))*COS(2*PI()*AL241/2147483647),'Control Room'!$B$8+('Control Room'!$D$8-'Control Room'!$B$8)*AK241/2147483647)</x:f>
        <x:v>990.278817014031</x:v>
      </x:c>
      <x:c r="AN241" s="17" t="n">
        <x:f>IF('Control Room'!$B$5="Normal",'Control Room'!$B$7,('Control Room'!$B$8+'Control Room'!$D$8)/2)+'Control Room'!$B$9*(AN240-IF('Control Room'!$B$5="Normal",'Control Room'!$B$7,('Control Room'!$B$8+'Control Room'!$D$8)/2))+SQRT(1-'Control Room'!$B$9^2)*(AM241-IF('Control Room'!$B$5="Normal",'Control Room'!$B$7,('Control Room'!$B$8+'Control Room'!$D$8)/2))</x:f>
        <x:v>976.1605395916519</x:v>
      </x:c>
      <x:c r="AO241" s="17" t="n">
        <x:f>IF(AND($A241&gt;='Control Room'!$A$13,$A241&lt;'Control Room'!$A$13+'Control Room'!$B$13,'Process'!BR2=1),1+('Control Room'!$C$13-1)*EXP(-0.5*(($A241-'Control Room'!$A$13-('Control Room'!$B$13-1)/2)/MAX(0.5,'Control Room'!$B$13/4))^2),1)*IF(AND($A241&gt;='Control Room'!$A$14,$A241&lt;'Control Room'!$A$14+'Control Room'!$B$14,'Process'!BR3=1),1+('Control Room'!$C$14-1)*EXP(-0.5*(($A241-'Control Room'!$A$14-('Control Room'!$B$14-1)/2)/MAX(0.5,'Control Room'!$B$14/4))^2),1)*IF(AND($A241&gt;='Control Room'!$A$15,$A241&lt;'Control Room'!$A$15+'Control Room'!$B$15,'Process'!BR4=1),1+('Control Room'!$C$15-1)*EXP(-0.5*(($A241-'Control Room'!$A$15-('Control Room'!$B$15-1)/2)/MAX(0.5,'Control Room'!$B$15/4))^2),1)*IF(AND($A241&gt;='Control Room'!$A$16,$A241&lt;'Control Room'!$A$16+'Control Room'!$B$16,'Process'!BR5=1),1+('Control Room'!$C$16-1)*EXP(-0.5*(($A241-'Control Room'!$A$16-('Control Room'!$B$16-1)/2)/MAX(0.5,'Control Room'!$B$16/4))^2),1)</x:f>
        <x:v>1</x:v>
      </x:c>
      <x:c r="AP241" s="9" t="n">
        <x:f>MOD(AQ240*16807,2147483647)</x:f>
        <x:v>837656764</x:v>
      </x:c>
      <x:c r="AQ241" s="9" t="n">
        <x:f>MOD(AP241*16807,2147483647)</x:f>
        <x:v>1741926463</x:v>
      </x:c>
      <x:c r="AR241" s="17" t="n">
        <x:f>IF('Control Room'!$B$5="Normal",'Control Room'!$B$7+'Control Room'!$D$7*SQRT(-2*LN(MAX(0.000000000001,AP241/2147483647)))*COS(2*PI()*AQ241/2147483647),'Control Room'!$B$8+('Control Room'!$D$8-'Control Room'!$B$8)*AP241/2147483647)</x:f>
        <x:v>1046.288941371999</x:v>
      </x:c>
      <x:c r="AS241" s="17" t="n">
        <x:f>IF('Control Room'!$B$5="Normal",'Control Room'!$B$7,('Control Room'!$B$8+'Control Room'!$D$8)/2)+'Control Room'!$B$9*(AS240-IF('Control Room'!$B$5="Normal",'Control Room'!$B$7,('Control Room'!$B$8+'Control Room'!$D$8)/2))+SQRT(1-'Control Room'!$B$9^2)*(AR241-IF('Control Room'!$B$5="Normal",'Control Room'!$B$7,('Control Room'!$B$8+'Control Room'!$D$8)/2))</x:f>
        <x:v>1120.812956501962</x:v>
      </x:c>
      <x:c r="AT241" s="17" t="n">
        <x:f>IF(AND($A241&gt;='Control Room'!$A$13,$A241&lt;'Control Room'!$A$13+'Control Room'!$B$13,'Process'!BS2=1),1+('Control Room'!$C$13-1)*EXP(-0.5*(($A241-'Control Room'!$A$13-('Control Room'!$B$13-1)/2)/MAX(0.5,'Control Room'!$B$13/4))^2),1)*IF(AND($A241&gt;='Control Room'!$A$14,$A241&lt;'Control Room'!$A$14+'Control Room'!$B$14,'Process'!BS3=1),1+('Control Room'!$C$14-1)*EXP(-0.5*(($A241-'Control Room'!$A$14-('Control Room'!$B$14-1)/2)/MAX(0.5,'Control Room'!$B$14/4))^2),1)*IF(AND($A241&gt;='Control Room'!$A$15,$A241&lt;'Control Room'!$A$15+'Control Room'!$B$15,'Process'!BS4=1),1+('Control Room'!$C$15-1)*EXP(-0.5*(($A241-'Control Room'!$A$15-('Control Room'!$B$15-1)/2)/MAX(0.5,'Control Room'!$B$15/4))^2),1)*IF(AND($A241&gt;='Control Room'!$A$16,$A241&lt;'Control Room'!$A$16+'Control Room'!$B$16,'Process'!BS5=1),1+('Control Room'!$C$16-1)*EXP(-0.5*(($A241-'Control Room'!$A$16-('Control Room'!$B$16-1)/2)/MAX(0.5,'Control Room'!$B$16/4))^2),1)</x:f>
        <x:v>1</x:v>
      </x:c>
      <x:c r="AU241" s="9" t="n">
        <x:f>MOD(AV240*16807,2147483647)</x:f>
        <x:v>510056162</x:v>
      </x:c>
      <x:c r="AV241" s="9" t="n">
        <x:f>MOD(AU241*16807,2147483647)</x:f>
        <x:v>1906679557</x:v>
      </x:c>
      <x:c r="AW241" s="17" t="n">
        <x:f>IF('Control Room'!$B$5="Normal",'Control Room'!$B$7+'Control Room'!$D$7*SQRT(-2*LN(MAX(0.000000000001,AU241/2147483647)))*COS(2*PI()*AV241/2147483647),'Control Room'!$B$8+('Control Room'!$D$8-'Control Room'!$B$8)*AU241/2147483647)</x:f>
        <x:v>1116.269192947673</x:v>
      </x:c>
      <x:c r="AX241" s="17" t="n">
        <x:f>IF('Control Room'!$B$5="Normal",'Control Room'!$B$7,('Control Room'!$B$8+'Control Room'!$D$8)/2)+'Control Room'!$B$9*(AX240-IF('Control Room'!$B$5="Normal",'Control Room'!$B$7,('Control Room'!$B$8+'Control Room'!$D$8)/2))+SQRT(1-'Control Room'!$B$9^2)*(AW241-IF('Control Room'!$B$5="Normal",'Control Room'!$B$7,('Control Room'!$B$8+'Control Room'!$D$8)/2))</x:f>
        <x:v>978.1750610394804</x:v>
      </x:c>
      <x:c r="AY241" s="17" t="n">
        <x:f>IF(AND($A241&gt;='Control Room'!$A$13,$A241&lt;'Control Room'!$A$13+'Control Room'!$B$13,'Process'!BT2=1),1+('Control Room'!$C$13-1)*EXP(-0.5*(($A241-'Control Room'!$A$13-('Control Room'!$B$13-1)/2)/MAX(0.5,'Control Room'!$B$13/4))^2),1)*IF(AND($A241&gt;='Control Room'!$A$14,$A241&lt;'Control Room'!$A$14+'Control Room'!$B$14,'Process'!BT3=1),1+('Control Room'!$C$14-1)*EXP(-0.5*(($A241-'Control Room'!$A$14-('Control Room'!$B$14-1)/2)/MAX(0.5,'Control Room'!$B$14/4))^2),1)*IF(AND($A241&gt;='Control Room'!$A$15,$A241&lt;'Control Room'!$A$15+'Control Room'!$B$15,'Process'!BT4=1),1+('Control Room'!$C$15-1)*EXP(-0.5*(($A241-'Control Room'!$A$15-('Control Room'!$B$15-1)/2)/MAX(0.5,'Control Room'!$B$15/4))^2),1)*IF(AND($A241&gt;='Control Room'!$A$16,$A241&lt;'Control Room'!$A$16+'Control Room'!$B$16,'Process'!BT5=1),1+('Control Room'!$C$16-1)*EXP(-0.5*(($A241-'Control Room'!$A$16-('Control Room'!$B$16-1)/2)/MAX(0.5,'Control Room'!$B$16/4))^2),1)</x:f>
        <x:v>1</x:v>
      </x:c>
      <x:c r="AZ241" s="9" t="n">
        <x:f>MOD(BA240*16807,2147483647)</x:f>
        <x:v>182455560</x:v>
      </x:c>
      <x:c r="BA241" s="9" t="n">
        <x:f>MOD(AZ241*16807,2147483647)</x:f>
        <x:v>2071432651</x:v>
      </x:c>
      <x:c r="BB241" s="17" t="n">
        <x:f>IF('Control Room'!$B$5="Normal",'Control Room'!$B$7+'Control Room'!$D$7*SQRT(-2*LN(MAX(0.000000000001,AZ241/2147483647)))*COS(2*PI()*BA241/2147483647),'Control Room'!$B$8+('Control Room'!$D$8-'Control Room'!$B$8)*AZ241/2147483647)</x:f>
        <x:v>1194.9273244992871</x:v>
      </x:c>
      <x:c r="BC241" s="17" t="n">
        <x:f>IF('Control Room'!$B$5="Normal",'Control Room'!$B$7,('Control Room'!$B$8+'Control Room'!$D$8)/2)+'Control Room'!$B$9*(BC240-IF('Control Room'!$B$5="Normal",'Control Room'!$B$7,('Control Room'!$B$8+'Control Room'!$D$8)/2))+SQRT(1-'Control Room'!$B$9^2)*(BB241-IF('Control Room'!$B$5="Normal",'Control Room'!$B$7,('Control Room'!$B$8+'Control Room'!$D$8)/2))</x:f>
        <x:v>1041.4653517278164</x:v>
      </x:c>
      <x:c r="BD241" s="17" t="n">
        <x:f>IF(AND($A241&gt;='Control Room'!$A$13,$A241&lt;'Control Room'!$A$13+'Control Room'!$B$13,'Process'!BU2=1),1+('Control Room'!$C$13-1)*EXP(-0.5*(($A241-'Control Room'!$A$13-('Control Room'!$B$13-1)/2)/MAX(0.5,'Control Room'!$B$13/4))^2),1)*IF(AND($A241&gt;='Control Room'!$A$14,$A241&lt;'Control Room'!$A$14+'Control Room'!$B$14,'Process'!BU3=1),1+('Control Room'!$C$14-1)*EXP(-0.5*(($A241-'Control Room'!$A$14-('Control Room'!$B$14-1)/2)/MAX(0.5,'Control Room'!$B$14/4))^2),1)*IF(AND($A241&gt;='Control Room'!$A$15,$A241&lt;'Control Room'!$A$15+'Control Room'!$B$15,'Process'!BU4=1),1+('Control Room'!$C$15-1)*EXP(-0.5*(($A241-'Control Room'!$A$15-('Control Room'!$B$15-1)/2)/MAX(0.5,'Control Room'!$B$15/4))^2),1)*IF(AND($A241&gt;='Control Room'!$A$16,$A241&lt;'Control Room'!$A$16+'Control Room'!$B$16,'Process'!BU5=1),1+('Control Room'!$C$16-1)*EXP(-0.5*(($A241-'Control Room'!$A$16-('Control Room'!$B$16-1)/2)/MAX(0.5,'Control Room'!$B$16/4))^2),1)</x:f>
        <x:v>1</x:v>
      </x:c>
      <x:c r="BE241" s="9" t="n">
        <x:f>MOD(BF240*16807,2147483647)</x:f>
        <x:v>2002338605</x:v>
      </x:c>
      <x:c r="BF241" s="9" t="n">
        <x:f>MOD(BE241*16807,2147483647)</x:f>
        <x:v>88702098</x:v>
      </x:c>
      <x:c r="BG241" s="17" t="n">
        <x:f>IF('Control Room'!$B$5="Normal",'Control Room'!$B$7+'Control Room'!$D$7*SQRT(-2*LN(MAX(0.000000000001,BE241/2147483647)))*COS(2*PI()*BF241/2147483647),'Control Room'!$B$8+('Control Room'!$D$8-'Control Room'!$B$8)*BE241/2147483647)</x:f>
        <x:v>1032.5427593161567</x:v>
      </x:c>
      <x:c r="BH241" s="17" t="n">
        <x:f>IF('Control Room'!$B$5="Normal",'Control Room'!$B$7,('Control Room'!$B$8+'Control Room'!$D$8)/2)+'Control Room'!$B$9*(BH240-IF('Control Room'!$B$5="Normal",'Control Room'!$B$7,('Control Room'!$B$8+'Control Room'!$D$8)/2))+SQRT(1-'Control Room'!$B$9^2)*(BG241-IF('Control Room'!$B$5="Normal",'Control Room'!$B$7,('Control Room'!$B$8+'Control Room'!$D$8)/2))</x:f>
        <x:v>1007.9689881717629</x:v>
      </x:c>
      <x:c r="BI241" s="17" t="n">
        <x:f>IF(AND($A241&gt;='Control Room'!$A$13,$A241&lt;'Control Room'!$A$13+'Control Room'!$B$13,'Process'!BV2=1),1+('Control Room'!$C$13-1)*EXP(-0.5*(($A241-'Control Room'!$A$13-('Control Room'!$B$13-1)/2)/MAX(0.5,'Control Room'!$B$13/4))^2),1)*IF(AND($A241&gt;='Control Room'!$A$14,$A241&lt;'Control Room'!$A$14+'Control Room'!$B$14,'Process'!BV3=1),1+('Control Room'!$C$14-1)*EXP(-0.5*(($A241-'Control Room'!$A$14-('Control Room'!$B$14-1)/2)/MAX(0.5,'Control Room'!$B$14/4))^2),1)*IF(AND($A241&gt;='Control Room'!$A$15,$A241&lt;'Control Room'!$A$15+'Control Room'!$B$15,'Process'!BV4=1),1+('Control Room'!$C$15-1)*EXP(-0.5*(($A241-'Control Room'!$A$15-('Control Room'!$B$15-1)/2)/MAX(0.5,'Control Room'!$B$15/4))^2),1)*IF(AND($A241&gt;='Control Room'!$A$16,$A241&lt;'Control Room'!$A$16+'Control Room'!$B$16,'Process'!BV5=1),1+('Control Room'!$C$16-1)*EXP(-0.5*(($A241-'Control Room'!$A$16-('Control Room'!$B$16-1)/2)/MAX(0.5,'Control Room'!$B$16/4))^2),1)</x:f>
        <x:v>1</x:v>
      </x:c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Z241" t="str">
        <x:f>IF('Data'!A241="","",TEXT('Data'!A241,"mm-dd"))</x:f>
      </x:c>
    </x:row>
    <x:row r="242" ht="21" customHeight="1">
      <x:c r="A242" s="15" t="n">
        <x:f>'Control Room'!$B$1+240</x:f>
        <x:v>73231</x:v>
      </x:c>
      <x:c r="B242" s="9" t="n">
        <x:f>MOD(C241*16807,2147483647)</x:f>
        <x:v>1312799678</x:v>
      </x:c>
      <x:c r="C242" s="9" t="n">
        <x:f>MOD(B242*16807,2147483647)</x:f>
        <x:v>977198868</x:v>
      </x:c>
      <x:c r="D242" s="17" t="n">
        <x:f>IF('Control Room'!$B$5="Normal",'Control Room'!$B$7+'Control Room'!$D$7*SQRT(-2*LN(MAX(0.000000000001,B242/2147483647)))*COS(2*PI()*C242/2147483647),'Control Room'!$B$8+('Control Room'!$D$8-'Control Room'!$B$8)*B242/2147483647)</x:f>
        <x:v>914.2491947257158</x:v>
      </x:c>
      <x:c r="E242" s="17" t="n">
        <x:f>IF('Control Room'!$B$5="Normal",'Control Room'!$B$7,('Control Room'!$B$8+'Control Room'!$D$8)/2)+'Control Room'!$B$9*(E241-IF('Control Room'!$B$5="Normal",'Control Room'!$B$7,('Control Room'!$B$8+'Control Room'!$D$8)/2))+SQRT(1-'Control Room'!$B$9^2)*(D242-IF('Control Room'!$B$5="Normal",'Control Room'!$B$7,('Control Room'!$B$8+'Control Room'!$D$8)/2))</x:f>
        <x:v>996.8634844190583</x:v>
      </x:c>
      <x:c r="F242" s="17" t="n">
        <x:f>IF(AND($A242&gt;='Control Room'!$A$13,$A242&lt;'Control Room'!$A$13+'Control Room'!$B$13,'Process'!BK2=1),1+('Control Room'!$C$13-1)*EXP(-0.5*(($A242-'Control Room'!$A$13-('Control Room'!$B$13-1)/2)/MAX(0.5,'Control Room'!$B$13/4))^2),1)*IF(AND($A242&gt;='Control Room'!$A$14,$A242&lt;'Control Room'!$A$14+'Control Room'!$B$14,'Process'!BK3=1),1+('Control Room'!$C$14-1)*EXP(-0.5*(($A242-'Control Room'!$A$14-('Control Room'!$B$14-1)/2)/MAX(0.5,'Control Room'!$B$14/4))^2),1)*IF(AND($A242&gt;='Control Room'!$A$15,$A242&lt;'Control Room'!$A$15+'Control Room'!$B$15,'Process'!BK4=1),1+('Control Room'!$C$15-1)*EXP(-0.5*(($A242-'Control Room'!$A$15-('Control Room'!$B$15-1)/2)/MAX(0.5,'Control Room'!$B$15/4))^2),1)*IF(AND($A242&gt;='Control Room'!$A$16,$A242&lt;'Control Room'!$A$16+'Control Room'!$B$16,'Process'!BK5=1),1+('Control Room'!$C$16-1)*EXP(-0.5*(($A242-'Control Room'!$A$16-('Control Room'!$B$16-1)/2)/MAX(0.5,'Control Room'!$B$16/4))^2),1)</x:f>
        <x:v>1</x:v>
      </x:c>
      <x:c r="G242" s="9" t="n">
        <x:f>MOD(H241*16807,2147483647)</x:f>
        <x:v>64145906</x:v>
      </x:c>
      <x:c r="H242" s="9" t="n">
        <x:f>MOD(G242*16807,2147483647)</x:f>
        <x:v>63451348</x:v>
      </x:c>
      <x:c r="I242" s="17" t="n">
        <x:f>IF('Control Room'!$B$5="Normal",'Control Room'!$B$7+'Control Room'!$D$7*SQRT(-2*LN(MAX(0.000000000001,G242/2147483647)))*COS(2*PI()*H242/2147483647),'Control Room'!$B$8+('Control Room'!$D$8-'Control Room'!$B$8)*G242/2147483647)</x:f>
        <x:v>1234.3898494734724</x:v>
      </x:c>
      <x:c r="J242" s="17" t="n">
        <x:f>IF('Control Room'!$B$5="Normal",'Control Room'!$B$7,('Control Room'!$B$8+'Control Room'!$D$8)/2)+'Control Room'!$B$9*(J241-IF('Control Room'!$B$5="Normal",'Control Room'!$B$7,('Control Room'!$B$8+'Control Room'!$D$8)/2))+SQRT(1-'Control Room'!$B$9^2)*(I242-IF('Control Room'!$B$5="Normal",'Control Room'!$B$7,('Control Room'!$B$8+'Control Room'!$D$8)/2))</x:f>
        <x:v>1110.0412043850015</x:v>
      </x:c>
      <x:c r="K242" s="17" t="n">
        <x:f>IF(AND($A242&gt;='Control Room'!$A$13,$A242&lt;'Control Room'!$A$13+'Control Room'!$B$13,'Process'!BL2=1),1+('Control Room'!$C$13-1)*EXP(-0.5*(($A242-'Control Room'!$A$13-('Control Room'!$B$13-1)/2)/MAX(0.5,'Control Room'!$B$13/4))^2),1)*IF(AND($A242&gt;='Control Room'!$A$14,$A242&lt;'Control Room'!$A$14+'Control Room'!$B$14,'Process'!BL3=1),1+('Control Room'!$C$14-1)*EXP(-0.5*(($A242-'Control Room'!$A$14-('Control Room'!$B$14-1)/2)/MAX(0.5,'Control Room'!$B$14/4))^2),1)*IF(AND($A242&gt;='Control Room'!$A$15,$A242&lt;'Control Room'!$A$15+'Control Room'!$B$15,'Process'!BL4=1),1+('Control Room'!$C$15-1)*EXP(-0.5*(($A242-'Control Room'!$A$15-('Control Room'!$B$15-1)/2)/MAX(0.5,'Control Room'!$B$15/4))^2),1)*IF(AND($A242&gt;='Control Room'!$A$16,$A242&lt;'Control Room'!$A$16+'Control Room'!$B$16,'Process'!BL5=1),1+('Control Room'!$C$16-1)*EXP(-0.5*(($A242-'Control Room'!$A$16-('Control Room'!$B$16-1)/2)/MAX(0.5,'Control Room'!$B$16/4))^2),1)</x:f>
        <x:v>1</x:v>
      </x:c>
      <x:c r="L242" s="9" t="n">
        <x:f>MOD(M241*16807,2147483647)</x:f>
        <x:v>962975781</x:v>
      </x:c>
      <x:c r="M242" s="9" t="n">
        <x:f>MOD(L242*16807,2147483647)</x:f>
        <x:v>1297187475</x:v>
      </x:c>
      <x:c r="N242" s="17" t="n">
        <x:f>IF('Control Room'!$B$5="Normal",'Control Room'!$B$7+'Control Room'!$D$7*SQRT(-2*LN(MAX(0.000000000001,L242/2147483647)))*COS(2*PI()*M242/2147483647),'Control Room'!$B$8+('Control Room'!$D$8-'Control Room'!$B$8)*L242/2147483647)</x:f>
        <x:v>909.5180603833933</x:v>
      </x:c>
      <x:c r="O242" s="17" t="n">
        <x:f>IF('Control Room'!$B$5="Normal",'Control Room'!$B$7,('Control Room'!$B$8+'Control Room'!$D$8)/2)+'Control Room'!$B$9*(O241-IF('Control Room'!$B$5="Normal",'Control Room'!$B$7,('Control Room'!$B$8+'Control Room'!$D$8)/2))+SQRT(1-'Control Room'!$B$9^2)*(N242-IF('Control Room'!$B$5="Normal",'Control Room'!$B$7,('Control Room'!$B$8+'Control Room'!$D$8)/2))</x:f>
        <x:v>877.5889769941035</x:v>
      </x:c>
      <x:c r="P242" s="17" t="n">
        <x:f>IF(AND($A242&gt;='Control Room'!$A$13,$A242&lt;'Control Room'!$A$13+'Control Room'!$B$13,'Process'!BM2=1),1+('Control Room'!$C$13-1)*EXP(-0.5*(($A242-'Control Room'!$A$13-('Control Room'!$B$13-1)/2)/MAX(0.5,'Control Room'!$B$13/4))^2),1)*IF(AND($A242&gt;='Control Room'!$A$14,$A242&lt;'Control Room'!$A$14+'Control Room'!$B$14,'Process'!BM3=1),1+('Control Room'!$C$14-1)*EXP(-0.5*(($A242-'Control Room'!$A$14-('Control Room'!$B$14-1)/2)/MAX(0.5,'Control Room'!$B$14/4))^2),1)*IF(AND($A242&gt;='Control Room'!$A$15,$A242&lt;'Control Room'!$A$15+'Control Room'!$B$15,'Process'!BM4=1),1+('Control Room'!$C$15-1)*EXP(-0.5*(($A242-'Control Room'!$A$15-('Control Room'!$B$15-1)/2)/MAX(0.5,'Control Room'!$B$15/4))^2),1)*IF(AND($A242&gt;='Control Room'!$A$16,$A242&lt;'Control Room'!$A$16+'Control Room'!$B$16,'Process'!BM5=1),1+('Control Room'!$C$16-1)*EXP(-0.5*(($A242-'Control Room'!$A$16-('Control Room'!$B$16-1)/2)/MAX(0.5,'Control Room'!$B$16/4))^2),1)</x:f>
        <x:v>1</x:v>
      </x:c>
      <x:c r="Q242" s="9" t="n">
        <x:f>MOD(R241*16807,2147483647)</x:f>
        <x:v>1861805656</x:v>
      </x:c>
      <x:c r="R242" s="9" t="n">
        <x:f>MOD(Q242*16807,2147483647)</x:f>
        <x:v>383439955</x:v>
      </x:c>
      <x:c r="S242" s="17" t="n">
        <x:f>IF('Control Room'!$B$5="Normal",'Control Room'!$B$7+'Control Room'!$D$7*SQRT(-2*LN(MAX(0.000000000001,Q242/2147483647)))*COS(2*PI()*R242/2147483647),'Control Room'!$B$8+('Control Room'!$D$8-'Control Room'!$B$8)*Q242/2147483647)</x:f>
        <x:v>1020.8700012626884</x:v>
      </x:c>
      <x:c r="T242" s="17" t="n">
        <x:f>IF('Control Room'!$B$5="Normal",'Control Room'!$B$7,('Control Room'!$B$8+'Control Room'!$D$8)/2)+'Control Room'!$B$9*(T241-IF('Control Room'!$B$5="Normal",'Control Room'!$B$7,('Control Room'!$B$8+'Control Room'!$D$8)/2))+SQRT(1-'Control Room'!$B$9^2)*(S242-IF('Control Room'!$B$5="Normal",'Control Room'!$B$7,('Control Room'!$B$8+'Control Room'!$D$8)/2))</x:f>
        <x:v>931.9651701491211</x:v>
      </x:c>
      <x:c r="U242" s="17" t="n">
        <x:f>IF(AND($A242&gt;='Control Room'!$A$13,$A242&lt;'Control Room'!$A$13+'Control Room'!$B$13,'Process'!BN2=1),1+('Control Room'!$C$13-1)*EXP(-0.5*(($A242-'Control Room'!$A$13-('Control Room'!$B$13-1)/2)/MAX(0.5,'Control Room'!$B$13/4))^2),1)*IF(AND($A242&gt;='Control Room'!$A$14,$A242&lt;'Control Room'!$A$14+'Control Room'!$B$14,'Process'!BN3=1),1+('Control Room'!$C$14-1)*EXP(-0.5*(($A242-'Control Room'!$A$14-('Control Room'!$B$14-1)/2)/MAX(0.5,'Control Room'!$B$14/4))^2),1)*IF(AND($A242&gt;='Control Room'!$A$15,$A242&lt;'Control Room'!$A$15+'Control Room'!$B$15,'Process'!BN4=1),1+('Control Room'!$C$15-1)*EXP(-0.5*(($A242-'Control Room'!$A$15-('Control Room'!$B$15-1)/2)/MAX(0.5,'Control Room'!$B$15/4))^2),1)*IF(AND($A242&gt;='Control Room'!$A$16,$A242&lt;'Control Room'!$A$16+'Control Room'!$B$16,'Process'!BN5=1),1+('Control Room'!$C$16-1)*EXP(-0.5*(($A242-'Control Room'!$A$16-('Control Room'!$B$16-1)/2)/MAX(0.5,'Control Room'!$B$16/4))^2),1)</x:f>
        <x:v>1</x:v>
      </x:c>
      <x:c r="V242" s="9" t="n">
        <x:f>MOD(W241*16807,2147483647)</x:f>
        <x:v>613151884</x:v>
      </x:c>
      <x:c r="W242" s="9" t="n">
        <x:f>MOD(V242*16807,2147483647)</x:f>
        <x:v>1617176082</x:v>
      </x:c>
      <x:c r="X242" s="17" t="n">
        <x:f>IF('Control Room'!$B$5="Normal",'Control Room'!$B$7+'Control Room'!$D$7*SQRT(-2*LN(MAX(0.000000000001,V242/2147483647)))*COS(2*PI()*W242/2147483647),'Control Room'!$B$8+('Control Room'!$D$8-'Control Room'!$B$8)*V242/2147483647)</x:f>
        <x:v>1002.7362629587606</x:v>
      </x:c>
      <x:c r="Y242" s="17" t="n">
        <x:f>IF('Control Room'!$B$5="Normal",'Control Room'!$B$7,('Control Room'!$B$8+'Control Room'!$D$8)/2)+'Control Room'!$B$9*(Y241-IF('Control Room'!$B$5="Normal",'Control Room'!$B$7,('Control Room'!$B$8+'Control Room'!$D$8)/2))+SQRT(1-'Control Room'!$B$9^2)*(X242-IF('Control Room'!$B$5="Normal",'Control Room'!$B$7,('Control Room'!$B$8+'Control Room'!$D$8)/2))</x:f>
        <x:v>809.0014652327402</x:v>
      </x:c>
      <x:c r="Z242" s="17" t="n">
        <x:f>IF(AND($A242&gt;='Control Room'!$A$13,$A242&lt;'Control Room'!$A$13+'Control Room'!$B$13,'Process'!BO2=1),1+('Control Room'!$C$13-1)*EXP(-0.5*(($A242-'Control Room'!$A$13-('Control Room'!$B$13-1)/2)/MAX(0.5,'Control Room'!$B$13/4))^2),1)*IF(AND($A242&gt;='Control Room'!$A$14,$A242&lt;'Control Room'!$A$14+'Control Room'!$B$14,'Process'!BO3=1),1+('Control Room'!$C$14-1)*EXP(-0.5*(($A242-'Control Room'!$A$14-('Control Room'!$B$14-1)/2)/MAX(0.5,'Control Room'!$B$14/4))^2),1)*IF(AND($A242&gt;='Control Room'!$A$15,$A242&lt;'Control Room'!$A$15+'Control Room'!$B$15,'Process'!BO4=1),1+('Control Room'!$C$15-1)*EXP(-0.5*(($A242-'Control Room'!$A$15-('Control Room'!$B$15-1)/2)/MAX(0.5,'Control Room'!$B$15/4))^2),1)*IF(AND($A242&gt;='Control Room'!$A$16,$A242&lt;'Control Room'!$A$16+'Control Room'!$B$16,'Process'!BO5=1),1+('Control Room'!$C$16-1)*EXP(-0.5*(($A242-'Control Room'!$A$16-('Control Room'!$B$16-1)/2)/MAX(0.5,'Control Room'!$B$16/4))^2),1)</x:f>
        <x:v>1</x:v>
      </x:c>
      <x:c r="AA242" s="9" t="n">
        <x:f>MOD(AB241*16807,2147483647)</x:f>
        <x:v>1511981759</x:v>
      </x:c>
      <x:c r="AB242" s="9" t="n">
        <x:f>MOD(AA242*16807,2147483647)</x:f>
        <x:v>703428562</x:v>
      </x:c>
      <x:c r="AC242" s="17" t="n">
        <x:f>IF('Control Room'!$B$5="Normal",'Control Room'!$B$7+'Control Room'!$D$7*SQRT(-2*LN(MAX(0.000000000001,AA242/2147483647)))*COS(2*PI()*AB242/2147483647),'Control Room'!$B$8+('Control Room'!$D$8-'Control Room'!$B$8)*AA242/2147483647)</x:f>
        <x:v>964.6962348858779</x:v>
      </x:c>
      <x:c r="AD242" s="17" t="n">
        <x:f>IF('Control Room'!$B$5="Normal",'Control Room'!$B$7,('Control Room'!$B$8+'Control Room'!$D$8)/2)+'Control Room'!$B$9*(AD241-IF('Control Room'!$B$5="Normal",'Control Room'!$B$7,('Control Room'!$B$8+'Control Room'!$D$8)/2))+SQRT(1-'Control Room'!$B$9^2)*(AC242-IF('Control Room'!$B$5="Normal",'Control Room'!$B$7,('Control Room'!$B$8+'Control Room'!$D$8)/2))</x:f>
        <x:v>981.1860518709606</x:v>
      </x:c>
      <x:c r="AE242" s="17" t="n">
        <x:f>IF(AND($A242&gt;='Control Room'!$A$13,$A242&lt;'Control Room'!$A$13+'Control Room'!$B$13,'Process'!BP2=1),1+('Control Room'!$C$13-1)*EXP(-0.5*(($A242-'Control Room'!$A$13-('Control Room'!$B$13-1)/2)/MAX(0.5,'Control Room'!$B$13/4))^2),1)*IF(AND($A242&gt;='Control Room'!$A$14,$A242&lt;'Control Room'!$A$14+'Control Room'!$B$14,'Process'!BP3=1),1+('Control Room'!$C$14-1)*EXP(-0.5*(($A242-'Control Room'!$A$14-('Control Room'!$B$14-1)/2)/MAX(0.5,'Control Room'!$B$14/4))^2),1)*IF(AND($A242&gt;='Control Room'!$A$15,$A242&lt;'Control Room'!$A$15+'Control Room'!$B$15,'Process'!BP4=1),1+('Control Room'!$C$15-1)*EXP(-0.5*(($A242-'Control Room'!$A$15-('Control Room'!$B$15-1)/2)/MAX(0.5,'Control Room'!$B$15/4))^2),1)*IF(AND($A242&gt;='Control Room'!$A$16,$A242&lt;'Control Room'!$A$16+'Control Room'!$B$16,'Process'!BP5=1),1+('Control Room'!$C$16-1)*EXP(-0.5*(($A242-'Control Room'!$A$16-('Control Room'!$B$16-1)/2)/MAX(0.5,'Control Room'!$B$16/4))^2),1)</x:f>
        <x:v>1</x:v>
      </x:c>
      <x:c r="AF242" s="9" t="n">
        <x:f>MOD(AG241*16807,2147483647)</x:f>
        <x:v>263327987</x:v>
      </x:c>
      <x:c r="AG242" s="9" t="n">
        <x:f>MOD(AF242*16807,2147483647)</x:f>
        <x:v>1937164689</x:v>
      </x:c>
      <x:c r="AH242" s="17" t="n">
        <x:f>IF('Control Room'!$B$5="Normal",'Control Room'!$B$7+'Control Room'!$D$7*SQRT(-2*LN(MAX(0.000000000001,AF242/2147483647)))*COS(2*PI()*AG242/2147483647),'Control Room'!$B$8+('Control Room'!$D$8-'Control Room'!$B$8)*AF242/2147483647)</x:f>
        <x:v>1150.5633196077533</x:v>
      </x:c>
      <x:c r="AI242" s="17" t="n">
        <x:f>IF('Control Room'!$B$5="Normal",'Control Room'!$B$7,('Control Room'!$B$8+'Control Room'!$D$8)/2)+'Control Room'!$B$9*(AI241-IF('Control Room'!$B$5="Normal",'Control Room'!$B$7,('Control Room'!$B$8+'Control Room'!$D$8)/2))+SQRT(1-'Control Room'!$B$9^2)*(AH242-IF('Control Room'!$B$5="Normal",'Control Room'!$B$7,('Control Room'!$B$8+'Control Room'!$D$8)/2))</x:f>
        <x:v>937.6296391265108</x:v>
      </x:c>
      <x:c r="AJ242" s="17" t="n">
        <x:f>IF(AND($A242&gt;='Control Room'!$A$13,$A242&lt;'Control Room'!$A$13+'Control Room'!$B$13,'Process'!BQ2=1),1+('Control Room'!$C$13-1)*EXP(-0.5*(($A242-'Control Room'!$A$13-('Control Room'!$B$13-1)/2)/MAX(0.5,'Control Room'!$B$13/4))^2),1)*IF(AND($A242&gt;='Control Room'!$A$14,$A242&lt;'Control Room'!$A$14+'Control Room'!$B$14,'Process'!BQ3=1),1+('Control Room'!$C$14-1)*EXP(-0.5*(($A242-'Control Room'!$A$14-('Control Room'!$B$14-1)/2)/MAX(0.5,'Control Room'!$B$14/4))^2),1)*IF(AND($A242&gt;='Control Room'!$A$15,$A242&lt;'Control Room'!$A$15+'Control Room'!$B$15,'Process'!BQ4=1),1+('Control Room'!$C$15-1)*EXP(-0.5*(($A242-'Control Room'!$A$15-('Control Room'!$B$15-1)/2)/MAX(0.5,'Control Room'!$B$15/4))^2),1)*IF(AND($A242&gt;='Control Room'!$A$16,$A242&lt;'Control Room'!$A$16+'Control Room'!$B$16,'Process'!BQ5=1),1+('Control Room'!$C$16-1)*EXP(-0.5*(($A242-'Control Room'!$A$16-('Control Room'!$B$16-1)/2)/MAX(0.5,'Control Room'!$B$16/4))^2),1)</x:f>
        <x:v>1</x:v>
      </x:c>
      <x:c r="AK242" s="9" t="n">
        <x:f>MOD(AL241*16807,2147483647)</x:f>
        <x:v>1162157862</x:v>
      </x:c>
      <x:c r="AL242" s="9" t="n">
        <x:f>MOD(AK242*16807,2147483647)</x:f>
        <x:v>1023417169</x:v>
      </x:c>
      <x:c r="AM242" s="17" t="n">
        <x:f>IF('Control Room'!$B$5="Normal",'Control Room'!$B$7+'Control Room'!$D$7*SQRT(-2*LN(MAX(0.000000000001,AK242/2147483647)))*COS(2*PI()*AL242/2147483647),'Control Room'!$B$8+('Control Room'!$D$8-'Control Room'!$B$8)*AK242/2147483647)</x:f>
        <x:v>901.3440547091525</x:v>
      </x:c>
      <x:c r="AN242" s="17" t="n">
        <x:f>IF('Control Room'!$B$5="Normal",'Control Room'!$B$7,('Control Room'!$B$8+'Control Room'!$D$8)/2)+'Control Room'!$B$9*(AN241-IF('Control Room'!$B$5="Normal",'Control Room'!$B$7,('Control Room'!$B$8+'Control Room'!$D$8)/2))+SQRT(1-'Control Room'!$B$9^2)*(AM242-IF('Control Room'!$B$5="Normal",'Control Room'!$B$7,('Control Room'!$B$8+'Control Room'!$D$8)/2))</x:f>
        <x:v>919.6683513953707</x:v>
      </x:c>
      <x:c r="AO242" s="17" t="n">
        <x:f>IF(AND($A242&gt;='Control Room'!$A$13,$A242&lt;'Control Room'!$A$13+'Control Room'!$B$13,'Process'!BR2=1),1+('Control Room'!$C$13-1)*EXP(-0.5*(($A242-'Control Room'!$A$13-('Control Room'!$B$13-1)/2)/MAX(0.5,'Control Room'!$B$13/4))^2),1)*IF(AND($A242&gt;='Control Room'!$A$14,$A242&lt;'Control Room'!$A$14+'Control Room'!$B$14,'Process'!BR3=1),1+('Control Room'!$C$14-1)*EXP(-0.5*(($A242-'Control Room'!$A$14-('Control Room'!$B$14-1)/2)/MAX(0.5,'Control Room'!$B$14/4))^2),1)*IF(AND($A242&gt;='Control Room'!$A$15,$A242&lt;'Control Room'!$A$15+'Control Room'!$B$15,'Process'!BR4=1),1+('Control Room'!$C$15-1)*EXP(-0.5*(($A242-'Control Room'!$A$15-('Control Room'!$B$15-1)/2)/MAX(0.5,'Control Room'!$B$15/4))^2),1)*IF(AND($A242&gt;='Control Room'!$A$16,$A242&lt;'Control Room'!$A$16+'Control Room'!$B$16,'Process'!BR5=1),1+('Control Room'!$C$16-1)*EXP(-0.5*(($A242-'Control Room'!$A$16-('Control Room'!$B$16-1)/2)/MAX(0.5,'Control Room'!$B$16/4))^2),1)</x:f>
        <x:v>1</x:v>
      </x:c>
      <x:c r="AP242" s="9" t="n">
        <x:f>MOD(AQ241*16807,2147483647)</x:f>
        <x:v>2060987737</x:v>
      </x:c>
      <x:c r="AQ242" s="9" t="n">
        <x:f>MOD(AP242*16807,2147483647)</x:f>
        <x:v>109669649</x:v>
      </x:c>
      <x:c r="AR242" s="17" t="n">
        <x:f>IF('Control Room'!$B$5="Normal",'Control Room'!$B$7+'Control Room'!$D$7*SQRT(-2*LN(MAX(0.000000000001,AP242/2147483647)))*COS(2*PI()*AQ242/2147483647),'Control Room'!$B$8+('Control Room'!$D$8-'Control Room'!$B$8)*AP242/2147483647)</x:f>
        <x:v>1024.4898678219197</x:v>
      </x:c>
      <x:c r="AS242" s="17" t="n">
        <x:f>IF('Control Room'!$B$5="Normal",'Control Room'!$B$7,('Control Room'!$B$8+'Control Room'!$D$8)/2)+'Control Room'!$B$9*(AS241-IF('Control Room'!$B$5="Normal",'Control Room'!$B$7,('Control Room'!$B$8+'Control Room'!$D$8)/2))+SQRT(1-'Control Room'!$B$9^2)*(AR242-IF('Control Room'!$B$5="Normal",'Control Room'!$B$7,('Control Room'!$B$8+'Control Room'!$D$8)/2))</x:f>
        <x:v>1109.5593636522754</x:v>
      </x:c>
      <x:c r="AT242" s="17" t="n">
        <x:f>IF(AND($A242&gt;='Control Room'!$A$13,$A242&lt;'Control Room'!$A$13+'Control Room'!$B$13,'Process'!BS2=1),1+('Control Room'!$C$13-1)*EXP(-0.5*(($A242-'Control Room'!$A$13-('Control Room'!$B$13-1)/2)/MAX(0.5,'Control Room'!$B$13/4))^2),1)*IF(AND($A242&gt;='Control Room'!$A$14,$A242&lt;'Control Room'!$A$14+'Control Room'!$B$14,'Process'!BS3=1),1+('Control Room'!$C$14-1)*EXP(-0.5*(($A242-'Control Room'!$A$14-('Control Room'!$B$14-1)/2)/MAX(0.5,'Control Room'!$B$14/4))^2),1)*IF(AND($A242&gt;='Control Room'!$A$15,$A242&lt;'Control Room'!$A$15+'Control Room'!$B$15,'Process'!BS4=1),1+('Control Room'!$C$15-1)*EXP(-0.5*(($A242-'Control Room'!$A$15-('Control Room'!$B$15-1)/2)/MAX(0.5,'Control Room'!$B$15/4))^2),1)*IF(AND($A242&gt;='Control Room'!$A$16,$A242&lt;'Control Room'!$A$16+'Control Room'!$B$16,'Process'!BS5=1),1+('Control Room'!$C$16-1)*EXP(-0.5*(($A242-'Control Room'!$A$16-('Control Room'!$B$16-1)/2)/MAX(0.5,'Control Room'!$B$16/4))^2),1)</x:f>
        <x:v>1</x:v>
      </x:c>
      <x:c r="AU242" s="9" t="n">
        <x:f>MOD(AV241*16807,2147483647)</x:f>
        <x:v>812333965</x:v>
      </x:c>
      <x:c r="AV242" s="9" t="n">
        <x:f>MOD(AU242*16807,2147483647)</x:f>
        <x:v>1343405776</x:v>
      </x:c>
      <x:c r="AW242" s="17" t="n">
        <x:f>IF('Control Room'!$B$5="Normal",'Control Room'!$B$7+'Control Room'!$D$7*SQRT(-2*LN(MAX(0.000000000001,AU242/2147483647)))*COS(2*PI()*AV242/2147483647),'Control Room'!$B$8+('Control Room'!$D$8-'Control Room'!$B$8)*AU242/2147483647)</x:f>
        <x:v>911.5820618629308</x:v>
      </x:c>
      <x:c r="AX242" s="17" t="n">
        <x:f>IF('Control Room'!$B$5="Normal",'Control Room'!$B$7,('Control Room'!$B$8+'Control Room'!$D$8)/2)+'Control Room'!$B$9*(AX241-IF('Control Room'!$B$5="Normal",'Control Room'!$B$7,('Control Room'!$B$8+'Control Room'!$D$8)/2))+SQRT(1-'Control Room'!$B$9^2)*(AW242-IF('Control Room'!$B$5="Normal",'Control Room'!$B$7,('Control Room'!$B$8+'Control Room'!$D$8)/2))</x:f>
        <x:v>927.6464132645347</x:v>
      </x:c>
      <x:c r="AY242" s="17" t="n">
        <x:f>IF(AND($A242&gt;='Control Room'!$A$13,$A242&lt;'Control Room'!$A$13+'Control Room'!$B$13,'Process'!BT2=1),1+('Control Room'!$C$13-1)*EXP(-0.5*(($A242-'Control Room'!$A$13-('Control Room'!$B$13-1)/2)/MAX(0.5,'Control Room'!$B$13/4))^2),1)*IF(AND($A242&gt;='Control Room'!$A$14,$A242&lt;'Control Room'!$A$14+'Control Room'!$B$14,'Process'!BT3=1),1+('Control Room'!$C$14-1)*EXP(-0.5*(($A242-'Control Room'!$A$14-('Control Room'!$B$14-1)/2)/MAX(0.5,'Control Room'!$B$14/4))^2),1)*IF(AND($A242&gt;='Control Room'!$A$15,$A242&lt;'Control Room'!$A$15+'Control Room'!$B$15,'Process'!BT4=1),1+('Control Room'!$C$15-1)*EXP(-0.5*(($A242-'Control Room'!$A$15-('Control Room'!$B$15-1)/2)/MAX(0.5,'Control Room'!$B$15/4))^2),1)*IF(AND($A242&gt;='Control Room'!$A$16,$A242&lt;'Control Room'!$A$16+'Control Room'!$B$16,'Process'!BT5=1),1+('Control Room'!$C$16-1)*EXP(-0.5*(($A242-'Control Room'!$A$16-('Control Room'!$B$16-1)/2)/MAX(0.5,'Control Room'!$B$16/4))^2),1)</x:f>
        <x:v>1</x:v>
      </x:c>
      <x:c r="AZ242" s="9" t="n">
        <x:f>MOD(BA241*16807,2147483647)</x:f>
        <x:v>1711163840</x:v>
      </x:c>
      <x:c r="BA242" s="9" t="n">
        <x:f>MOD(AZ242*16807,2147483647)</x:f>
        <x:v>429658256</x:v>
      </x:c>
      <x:c r="BB242" s="17" t="n">
        <x:f>IF('Control Room'!$B$5="Normal",'Control Room'!$B$7+'Control Room'!$D$7*SQRT(-2*LN(MAX(0.000000000001,AZ242/2147483647)))*COS(2*PI()*BA242/2147483647),'Control Room'!$B$8+('Control Room'!$D$8-'Control Room'!$B$8)*AZ242/2147483647)</x:f>
        <x:v>1018.7170864216263</x:v>
      </x:c>
      <x:c r="BC242" s="17" t="n">
        <x:f>IF('Control Room'!$B$5="Normal",'Control Room'!$B$7,('Control Room'!$B$8+'Control Room'!$D$8)/2)+'Control Room'!$B$9*(BC241-IF('Control Room'!$B$5="Normal",'Control Room'!$B$7,('Control Room'!$B$8+'Control Room'!$D$8)/2))+SQRT(1-'Control Room'!$B$9^2)*(BB242-IF('Control Room'!$B$5="Normal",'Control Room'!$B$7,('Control Room'!$B$8+'Control Room'!$D$8)/2))</x:f>
        <x:v>1044.0557435899934</x:v>
      </x:c>
      <x:c r="BD242" s="17" t="n">
        <x:f>IF(AND($A242&gt;='Control Room'!$A$13,$A242&lt;'Control Room'!$A$13+'Control Room'!$B$13,'Process'!BU2=1),1+('Control Room'!$C$13-1)*EXP(-0.5*(($A242-'Control Room'!$A$13-('Control Room'!$B$13-1)/2)/MAX(0.5,'Control Room'!$B$13/4))^2),1)*IF(AND($A242&gt;='Control Room'!$A$14,$A242&lt;'Control Room'!$A$14+'Control Room'!$B$14,'Process'!BU3=1),1+('Control Room'!$C$14-1)*EXP(-0.5*(($A242-'Control Room'!$A$14-('Control Room'!$B$14-1)/2)/MAX(0.5,'Control Room'!$B$14/4))^2),1)*IF(AND($A242&gt;='Control Room'!$A$15,$A242&lt;'Control Room'!$A$15+'Control Room'!$B$15,'Process'!BU4=1),1+('Control Room'!$C$15-1)*EXP(-0.5*(($A242-'Control Room'!$A$15-('Control Room'!$B$15-1)/2)/MAX(0.5,'Control Room'!$B$15/4))^2),1)*IF(AND($A242&gt;='Control Room'!$A$16,$A242&lt;'Control Room'!$A$16+'Control Room'!$B$16,'Process'!BU5=1),1+('Control Room'!$C$16-1)*EXP(-0.5*(($A242-'Control Room'!$A$16-('Control Room'!$B$16-1)/2)/MAX(0.5,'Control Room'!$B$16/4))^2),1)</x:f>
        <x:v>1</x:v>
      </x:c>
      <x:c r="BE242" s="9" t="n">
        <x:f>MOD(BF241*16807,2147483647)</x:f>
        <x:v>462510068</x:v>
      </x:c>
      <x:c r="BF242" s="9" t="n">
        <x:f>MOD(BE242*16807,2147483647)</x:f>
        <x:v>1663394383</x:v>
      </x:c>
      <x:c r="BG242" s="17" t="n">
        <x:f>IF('Control Room'!$B$5="Normal",'Control Room'!$B$7+'Control Room'!$D$7*SQRT(-2*LN(MAX(0.000000000001,BE242/2147483647)))*COS(2*PI()*BF242/2147483647),'Control Room'!$B$8+('Control Room'!$D$8-'Control Room'!$B$8)*BE242/2147483647)</x:f>
        <x:v>1024.2589116880886</x:v>
      </x:c>
      <x:c r="BH242" s="17" t="n">
        <x:f>IF('Control Room'!$B$5="Normal",'Control Room'!$B$7,('Control Room'!$B$8+'Control Room'!$D$8)/2)+'Control Room'!$B$9*(BH241-IF('Control Room'!$B$5="Normal",'Control Room'!$B$7,('Control Room'!$B$8+'Control Room'!$D$8)/2))+SQRT(1-'Control Room'!$B$9^2)*(BG242-IF('Control Room'!$B$5="Normal",'Control Room'!$B$7,('Control Room'!$B$8+'Control Room'!$D$8)/2))</x:f>
        <x:v>1021.3965407375623</x:v>
      </x:c>
      <x:c r="BI242" s="17" t="n">
        <x:f>IF(AND($A242&gt;='Control Room'!$A$13,$A242&lt;'Control Room'!$A$13+'Control Room'!$B$13,'Process'!BV2=1),1+('Control Room'!$C$13-1)*EXP(-0.5*(($A242-'Control Room'!$A$13-('Control Room'!$B$13-1)/2)/MAX(0.5,'Control Room'!$B$13/4))^2),1)*IF(AND($A242&gt;='Control Room'!$A$14,$A242&lt;'Control Room'!$A$14+'Control Room'!$B$14,'Process'!BV3=1),1+('Control Room'!$C$14-1)*EXP(-0.5*(($A242-'Control Room'!$A$14-('Control Room'!$B$14-1)/2)/MAX(0.5,'Control Room'!$B$14/4))^2),1)*IF(AND($A242&gt;='Control Room'!$A$15,$A242&lt;'Control Room'!$A$15+'Control Room'!$B$15,'Process'!BV4=1),1+('Control Room'!$C$15-1)*EXP(-0.5*(($A242-'Control Room'!$A$15-('Control Room'!$B$15-1)/2)/MAX(0.5,'Control Room'!$B$15/4))^2),1)*IF(AND($A242&gt;='Control Room'!$A$16,$A242&lt;'Control Room'!$A$16+'Control Room'!$B$16,'Process'!BV5=1),1+('Control Room'!$C$16-1)*EXP(-0.5*(($A242-'Control Room'!$A$16-('Control Room'!$B$16-1)/2)/MAX(0.5,'Control Room'!$B$16/4))^2),1)</x:f>
        <x:v>1</x:v>
      </x:c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Z242" t="str">
        <x:f>IF('Data'!A242="","",TEXT('Data'!A242,"mm-dd"))</x:f>
      </x:c>
    </x:row>
    <x:row r="243" ht="21" customHeight="1">
      <x:c r="A243" s="15" t="n">
        <x:f>'Control Room'!$B$1+241</x:f>
        <x:v>73232</x:v>
      </x:c>
      <x:c r="B243" s="9" t="n">
        <x:f>MOD(C242*16807,2147483647)</x:f>
        <x:v>1973925867</x:v>
      </x:c>
      <x:c r="C243" s="9" t="n">
        <x:f>MOD(B243*16807,2147483647)</x:f>
        <x:v>1444667813</x:v>
      </x:c>
      <x:c r="D243" s="17" t="n">
        <x:f>IF('Control Room'!$B$5="Normal",'Control Room'!$B$7+'Control Room'!$D$7*SQRT(-2*LN(MAX(0.000000000001,B243/2147483647)))*COS(2*PI()*C243/2147483647),'Control Room'!$B$8+('Control Room'!$D$8-'Control Room'!$B$8)*B243/2147483647)</x:f>
        <x:v>982.7569237503252</x:v>
      </x:c>
      <x:c r="E243" s="17" t="n">
        <x:f>IF('Control Room'!$B$5="Normal",'Control Room'!$B$7,('Control Room'!$B$8+'Control Room'!$D$8)/2)+'Control Room'!$B$9*(E242-IF('Control Room'!$B$5="Normal",'Control Room'!$B$7,('Control Room'!$B$8+'Control Room'!$D$8)/2))+SQRT(1-'Control Room'!$B$9^2)*(D243-IF('Control Room'!$B$5="Normal",'Control Room'!$B$7,('Control Room'!$B$8+'Control Room'!$D$8)/2))</x:f>
        <x:v>986.7631539734365</x:v>
      </x:c>
      <x:c r="F243" s="17" t="n">
        <x:f>IF(AND($A243&gt;='Control Room'!$A$13,$A243&lt;'Control Room'!$A$13+'Control Room'!$B$13,'Process'!BK2=1),1+('Control Room'!$C$13-1)*EXP(-0.5*(($A243-'Control Room'!$A$13-('Control Room'!$B$13-1)/2)/MAX(0.5,'Control Room'!$B$13/4))^2),1)*IF(AND($A243&gt;='Control Room'!$A$14,$A243&lt;'Control Room'!$A$14+'Control Room'!$B$14,'Process'!BK3=1),1+('Control Room'!$C$14-1)*EXP(-0.5*(($A243-'Control Room'!$A$14-('Control Room'!$B$14-1)/2)/MAX(0.5,'Control Room'!$B$14/4))^2),1)*IF(AND($A243&gt;='Control Room'!$A$15,$A243&lt;'Control Room'!$A$15+'Control Room'!$B$15,'Process'!BK4=1),1+('Control Room'!$C$15-1)*EXP(-0.5*(($A243-'Control Room'!$A$15-('Control Room'!$B$15-1)/2)/MAX(0.5,'Control Room'!$B$15/4))^2),1)*IF(AND($A243&gt;='Control Room'!$A$16,$A243&lt;'Control Room'!$A$16+'Control Room'!$B$16,'Process'!BK5=1),1+('Control Room'!$C$16-1)*EXP(-0.5*(($A243-'Control Room'!$A$16-('Control Room'!$B$16-1)/2)/MAX(0.5,'Control Room'!$B$16/4))^2),1)</x:f>
        <x:v>1</x:v>
      </x:c>
      <x:c r="G243" s="9" t="n">
        <x:f>MOD(H242*16807,2147483647)</x:f>
        <x:v>1274916924</x:v>
      </x:c>
      <x:c r="H243" s="9" t="n">
        <x:f>MOD(G243*16807,2147483647)</x:f>
        <x:v>2084395549</x:v>
      </x:c>
      <x:c r="I243" s="17" t="n">
        <x:f>IF('Control Room'!$B$5="Normal",'Control Room'!$B$7+'Control Room'!$D$7*SQRT(-2*LN(MAX(0.000000000001,G243/2147483647)))*COS(2*PI()*H243/2147483647),'Control Room'!$B$8+('Control Room'!$D$8-'Control Room'!$B$8)*G243/2147483647)</x:f>
        <x:v>1090.345927918825</x:v>
      </x:c>
      <x:c r="J243" s="17" t="n">
        <x:f>IF('Control Room'!$B$5="Normal",'Control Room'!$B$7,('Control Room'!$B$8+'Control Room'!$D$8)/2)+'Control Room'!$B$9*(J242-IF('Control Room'!$B$5="Normal",'Control Room'!$B$7,('Control Room'!$B$8+'Control Room'!$D$8)/2))+SQRT(1-'Control Room'!$B$9^2)*(I243-IF('Control Room'!$B$5="Normal",'Control Room'!$B$7,('Control Room'!$B$8+'Control Room'!$D$8)/2))</x:f>
        <x:v>1142.3687702749667</x:v>
      </x:c>
      <x:c r="K243" s="17" t="n">
        <x:f>IF(AND($A243&gt;='Control Room'!$A$13,$A243&lt;'Control Room'!$A$13+'Control Room'!$B$13,'Process'!BL2=1),1+('Control Room'!$C$13-1)*EXP(-0.5*(($A243-'Control Room'!$A$13-('Control Room'!$B$13-1)/2)/MAX(0.5,'Control Room'!$B$13/4))^2),1)*IF(AND($A243&gt;='Control Room'!$A$14,$A243&lt;'Control Room'!$A$14+'Control Room'!$B$14,'Process'!BL3=1),1+('Control Room'!$C$14-1)*EXP(-0.5*(($A243-'Control Room'!$A$14-('Control Room'!$B$14-1)/2)/MAX(0.5,'Control Room'!$B$14/4))^2),1)*IF(AND($A243&gt;='Control Room'!$A$15,$A243&lt;'Control Room'!$A$15+'Control Room'!$B$15,'Process'!BL4=1),1+('Control Room'!$C$15-1)*EXP(-0.5*(($A243-'Control Room'!$A$15-('Control Room'!$B$15-1)/2)/MAX(0.5,'Control Room'!$B$15/4))^2),1)*IF(AND($A243&gt;='Control Room'!$A$16,$A243&lt;'Control Room'!$A$16+'Control Room'!$B$16,'Process'!BL5=1),1+('Control Room'!$C$16-1)*EXP(-0.5*(($A243-'Control Room'!$A$16-('Control Room'!$B$16-1)/2)/MAX(0.5,'Control Room'!$B$16/4))^2),1)</x:f>
        <x:v>1</x:v>
      </x:c>
      <x:c r="L243" s="9" t="n">
        <x:f>MOD(M242*16807,2147483647)</x:f>
        <x:v>575907981</x:v>
      </x:c>
      <x:c r="M243" s="9" t="n">
        <x:f>MOD(L243*16807,2147483647)</x:f>
        <x:v>576639638</x:v>
      </x:c>
      <x:c r="N243" s="17" t="n">
        <x:f>IF('Control Room'!$B$5="Normal",'Control Room'!$B$7+'Control Room'!$D$7*SQRT(-2*LN(MAX(0.000000000001,L243/2147483647)))*COS(2*PI()*M243/2147483647),'Control Room'!$B$8+('Control Room'!$D$8-'Control Room'!$B$8)*L243/2147483647)</x:f>
        <x:v>983.0482749669505</x:v>
      </x:c>
      <x:c r="O243" s="17" t="n">
        <x:f>IF('Control Room'!$B$5="Normal",'Control Room'!$B$7,('Control Room'!$B$8+'Control Room'!$D$8)/2)+'Control Room'!$B$9*(O242-IF('Control Room'!$B$5="Normal",'Control Room'!$B$7,('Control Room'!$B$8+'Control Room'!$D$8)/2))+SQRT(1-'Control Room'!$B$9^2)*(N243-IF('Control Room'!$B$5="Normal",'Control Room'!$B$7,('Control Room'!$B$8+'Control Room'!$D$8)/2))</x:f>
        <x:v>893.9113598046818</x:v>
      </x:c>
      <x:c r="P243" s="17" t="n">
        <x:f>IF(AND($A243&gt;='Control Room'!$A$13,$A243&lt;'Control Room'!$A$13+'Control Room'!$B$13,'Process'!BM2=1),1+('Control Room'!$C$13-1)*EXP(-0.5*(($A243-'Control Room'!$A$13-('Control Room'!$B$13-1)/2)/MAX(0.5,'Control Room'!$B$13/4))^2),1)*IF(AND($A243&gt;='Control Room'!$A$14,$A243&lt;'Control Room'!$A$14+'Control Room'!$B$14,'Process'!BM3=1),1+('Control Room'!$C$14-1)*EXP(-0.5*(($A243-'Control Room'!$A$14-('Control Room'!$B$14-1)/2)/MAX(0.5,'Control Room'!$B$14/4))^2),1)*IF(AND($A243&gt;='Control Room'!$A$15,$A243&lt;'Control Room'!$A$15+'Control Room'!$B$15,'Process'!BM4=1),1+('Control Room'!$C$15-1)*EXP(-0.5*(($A243-'Control Room'!$A$15-('Control Room'!$B$15-1)/2)/MAX(0.5,'Control Room'!$B$15/4))^2),1)*IF(AND($A243&gt;='Control Room'!$A$16,$A243&lt;'Control Room'!$A$16+'Control Room'!$B$16,'Process'!BM5=1),1+('Control Room'!$C$16-1)*EXP(-0.5*(($A243-'Control Room'!$A$16-('Control Room'!$B$16-1)/2)/MAX(0.5,'Control Room'!$B$16/4))^2),1)</x:f>
        <x:v>1</x:v>
      </x:c>
      <x:c r="Q243" s="9" t="n">
        <x:f>MOD(R242*16807,2147483647)</x:f>
        <x:v>2024382685</x:v>
      </x:c>
      <x:c r="R243" s="9" t="n">
        <x:f>MOD(Q243*16807,2147483647)</x:f>
        <x:v>1216367374</x:v>
      </x:c>
      <x:c r="S243" s="17" t="n">
        <x:f>IF('Control Room'!$B$5="Normal",'Control Room'!$B$7+'Control Room'!$D$7*SQRT(-2*LN(MAX(0.000000000001,Q243/2147483647)))*COS(2*PI()*R243/2147483647),'Control Room'!$B$8+('Control Room'!$D$8-'Control Room'!$B$8)*Q243/2147483647)</x:f>
        <x:v>971.7293294119577</x:v>
      </x:c>
      <x:c r="T243" s="17" t="n">
        <x:f>IF('Control Room'!$B$5="Normal",'Control Room'!$B$7,('Control Room'!$B$8+'Control Room'!$D$8)/2)+'Control Room'!$B$9*(T242-IF('Control Room'!$B$5="Normal",'Control Room'!$B$7,('Control Room'!$B$8+'Control Room'!$D$8)/2))+SQRT(1-'Control Room'!$B$9^2)*(S243-IF('Control Room'!$B$5="Normal",'Control Room'!$B$7,('Control Room'!$B$8+'Control Room'!$D$8)/2))</x:f>
        <x:v>929.2416262184845</x:v>
      </x:c>
      <x:c r="U243" s="17" t="n">
        <x:f>IF(AND($A243&gt;='Control Room'!$A$13,$A243&lt;'Control Room'!$A$13+'Control Room'!$B$13,'Process'!BN2=1),1+('Control Room'!$C$13-1)*EXP(-0.5*(($A243-'Control Room'!$A$13-('Control Room'!$B$13-1)/2)/MAX(0.5,'Control Room'!$B$13/4))^2),1)*IF(AND($A243&gt;='Control Room'!$A$14,$A243&lt;'Control Room'!$A$14+'Control Room'!$B$14,'Process'!BN3=1),1+('Control Room'!$C$14-1)*EXP(-0.5*(($A243-'Control Room'!$A$14-('Control Room'!$B$14-1)/2)/MAX(0.5,'Control Room'!$B$14/4))^2),1)*IF(AND($A243&gt;='Control Room'!$A$15,$A243&lt;'Control Room'!$A$15+'Control Room'!$B$15,'Process'!BN4=1),1+('Control Room'!$C$15-1)*EXP(-0.5*(($A243-'Control Room'!$A$15-('Control Room'!$B$15-1)/2)/MAX(0.5,'Control Room'!$B$15/4))^2),1)*IF(AND($A243&gt;='Control Room'!$A$16,$A243&lt;'Control Room'!$A$16+'Control Room'!$B$16,'Process'!BN5=1),1+('Control Room'!$C$16-1)*EXP(-0.5*(($A243-'Control Room'!$A$16-('Control Room'!$B$16-1)/2)/MAX(0.5,'Control Room'!$B$16/4))^2),1)</x:f>
        <x:v>1</x:v>
      </x:c>
      <x:c r="V243" s="9" t="n">
        <x:f>MOD(W242*16807,2147483647)</x:f>
        <x:v>1325373742</x:v>
      </x:c>
      <x:c r="W243" s="9" t="n">
        <x:f>MOD(V243*16807,2147483647)</x:f>
        <x:v>1856095110</x:v>
      </x:c>
      <x:c r="X243" s="17" t="n">
        <x:f>IF('Control Room'!$B$5="Normal",'Control Room'!$B$7+'Control Room'!$D$7*SQRT(-2*LN(MAX(0.000000000001,V243/2147483647)))*COS(2*PI()*W243/2147483647),'Control Room'!$B$8+('Control Room'!$D$8-'Control Room'!$B$8)*V243/2147483647)</x:f>
        <x:v>1058.186012235754</x:v>
      </x:c>
      <x:c r="Y243" s="17" t="n">
        <x:f>IF('Control Room'!$B$5="Normal",'Control Room'!$B$7,('Control Room'!$B$8+'Control Room'!$D$8)/2)+'Control Room'!$B$9*(Y242-IF('Control Room'!$B$5="Normal",'Control Room'!$B$7,('Control Room'!$B$8+'Control Room'!$D$8)/2))+SQRT(1-'Control Room'!$B$9^2)*(X243-IF('Control Room'!$B$5="Normal",'Control Room'!$B$7,('Control Room'!$B$8+'Control Room'!$D$8)/2))</x:f>
        <x:v>887.4327573334203</x:v>
      </x:c>
      <x:c r="Z243" s="17" t="n">
        <x:f>IF(AND($A243&gt;='Control Room'!$A$13,$A243&lt;'Control Room'!$A$13+'Control Room'!$B$13,'Process'!BO2=1),1+('Control Room'!$C$13-1)*EXP(-0.5*(($A243-'Control Room'!$A$13-('Control Room'!$B$13-1)/2)/MAX(0.5,'Control Room'!$B$13/4))^2),1)*IF(AND($A243&gt;='Control Room'!$A$14,$A243&lt;'Control Room'!$A$14+'Control Room'!$B$14,'Process'!BO3=1),1+('Control Room'!$C$14-1)*EXP(-0.5*(($A243-'Control Room'!$A$14-('Control Room'!$B$14-1)/2)/MAX(0.5,'Control Room'!$B$14/4))^2),1)*IF(AND($A243&gt;='Control Room'!$A$15,$A243&lt;'Control Room'!$A$15+'Control Room'!$B$15,'Process'!BO4=1),1+('Control Room'!$C$15-1)*EXP(-0.5*(($A243-'Control Room'!$A$15-('Control Room'!$B$15-1)/2)/MAX(0.5,'Control Room'!$B$15/4))^2),1)*IF(AND($A243&gt;='Control Room'!$A$16,$A243&lt;'Control Room'!$A$16+'Control Room'!$B$16,'Process'!BO5=1),1+('Control Room'!$C$16-1)*EXP(-0.5*(($A243-'Control Room'!$A$16-('Control Room'!$B$16-1)/2)/MAX(0.5,'Control Room'!$B$16/4))^2),1)</x:f>
        <x:v>1</x:v>
      </x:c>
      <x:c r="AA243" s="9" t="n">
        <x:f>MOD(AB242*16807,2147483647)</x:f>
        <x:v>626364799</x:v>
      </x:c>
      <x:c r="AB243" s="9" t="n">
        <x:f>MOD(AA243*16807,2147483647)</x:f>
        <x:v>348339199</x:v>
      </x:c>
      <x:c r="AC243" s="17" t="n">
        <x:f>IF('Control Room'!$B$5="Normal",'Control Room'!$B$7+'Control Room'!$D$7*SQRT(-2*LN(MAX(0.000000000001,AA243/2147483647)))*COS(2*PI()*AB243/2147483647),'Control Room'!$B$8+('Control Room'!$D$8-'Control Room'!$B$8)*AA243/2147483647)</x:f>
        <x:v>1074.0399605576558</x:v>
      </x:c>
      <x:c r="AD243" s="17" t="n">
        <x:f>IF('Control Room'!$B$5="Normal",'Control Room'!$B$7,('Control Room'!$B$8+'Control Room'!$D$8)/2)+'Control Room'!$B$9*(AD242-IF('Control Room'!$B$5="Normal",'Control Room'!$B$7,('Control Room'!$B$8+'Control Room'!$D$8)/2))+SQRT(1-'Control Room'!$B$9^2)*(AC243-IF('Control Room'!$B$5="Normal",'Control Room'!$B$7,('Control Room'!$B$8+'Control Room'!$D$8)/2))</x:f>
        <x:v>1031.6578109852933</x:v>
      </x:c>
      <x:c r="AE243" s="17" t="n">
        <x:f>IF(AND($A243&gt;='Control Room'!$A$13,$A243&lt;'Control Room'!$A$13+'Control Room'!$B$13,'Process'!BP2=1),1+('Control Room'!$C$13-1)*EXP(-0.5*(($A243-'Control Room'!$A$13-('Control Room'!$B$13-1)/2)/MAX(0.5,'Control Room'!$B$13/4))^2),1)*IF(AND($A243&gt;='Control Room'!$A$14,$A243&lt;'Control Room'!$A$14+'Control Room'!$B$14,'Process'!BP3=1),1+('Control Room'!$C$14-1)*EXP(-0.5*(($A243-'Control Room'!$A$14-('Control Room'!$B$14-1)/2)/MAX(0.5,'Control Room'!$B$14/4))^2),1)*IF(AND($A243&gt;='Control Room'!$A$15,$A243&lt;'Control Room'!$A$15+'Control Room'!$B$15,'Process'!BP4=1),1+('Control Room'!$C$15-1)*EXP(-0.5*(($A243-'Control Room'!$A$15-('Control Room'!$B$15-1)/2)/MAX(0.5,'Control Room'!$B$15/4))^2),1)*IF(AND($A243&gt;='Control Room'!$A$16,$A243&lt;'Control Room'!$A$16+'Control Room'!$B$16,'Process'!BP5=1),1+('Control Room'!$C$16-1)*EXP(-0.5*(($A243-'Control Room'!$A$16-('Control Room'!$B$16-1)/2)/MAX(0.5,'Control Room'!$B$16/4))^2),1)</x:f>
        <x:v>1</x:v>
      </x:c>
      <x:c r="AF243" s="9" t="n">
        <x:f>MOD(AG242*16807,2147483647)</x:f>
        <x:v>2074839503</x:v>
      </x:c>
      <x:c r="AG243" s="9" t="n">
        <x:f>MOD(AF243*16807,2147483647)</x:f>
        <x:v>988066935</x:v>
      </x:c>
      <x:c r="AH243" s="17" t="n">
        <x:f>IF('Control Room'!$B$5="Normal",'Control Room'!$B$7+'Control Room'!$D$7*SQRT(-2*LN(MAX(0.000000000001,AF243/2147483647)))*COS(2*PI()*AG243/2147483647),'Control Room'!$B$8+('Control Room'!$D$8-'Control Room'!$B$8)*AF243/2147483647)</x:f>
        <x:v>977.1267145797314</x:v>
      </x:c>
      <x:c r="AI243" s="17" t="n">
        <x:f>IF('Control Room'!$B$5="Normal",'Control Room'!$B$7,('Control Room'!$B$8+'Control Room'!$D$8)/2)+'Control Room'!$B$9*(AI242-IF('Control Room'!$B$5="Normal",'Control Room'!$B$7,('Control Room'!$B$8+'Control Room'!$D$8)/2))+SQRT(1-'Control Room'!$B$9^2)*(AH243-IF('Control Room'!$B$5="Normal",'Control Room'!$B$7,('Control Room'!$B$8+'Control Room'!$D$8)/2))</x:f>
        <x:v>937.0374850873959</x:v>
      </x:c>
      <x:c r="AJ243" s="17" t="n">
        <x:f>IF(AND($A243&gt;='Control Room'!$A$13,$A243&lt;'Control Room'!$A$13+'Control Room'!$B$13,'Process'!BQ2=1),1+('Control Room'!$C$13-1)*EXP(-0.5*(($A243-'Control Room'!$A$13-('Control Room'!$B$13-1)/2)/MAX(0.5,'Control Room'!$B$13/4))^2),1)*IF(AND($A243&gt;='Control Room'!$A$14,$A243&lt;'Control Room'!$A$14+'Control Room'!$B$14,'Process'!BQ3=1),1+('Control Room'!$C$14-1)*EXP(-0.5*(($A243-'Control Room'!$A$14-('Control Room'!$B$14-1)/2)/MAX(0.5,'Control Room'!$B$14/4))^2),1)*IF(AND($A243&gt;='Control Room'!$A$15,$A243&lt;'Control Room'!$A$15+'Control Room'!$B$15,'Process'!BQ4=1),1+('Control Room'!$C$15-1)*EXP(-0.5*(($A243-'Control Room'!$A$15-('Control Room'!$B$15-1)/2)/MAX(0.5,'Control Room'!$B$15/4))^2),1)*IF(AND($A243&gt;='Control Room'!$A$16,$A243&lt;'Control Room'!$A$16+'Control Room'!$B$16,'Process'!BQ5=1),1+('Control Room'!$C$16-1)*EXP(-0.5*(($A243-'Control Room'!$A$16-('Control Room'!$B$16-1)/2)/MAX(0.5,'Control Room'!$B$16/4))^2),1)</x:f>
        <x:v>1</x:v>
      </x:c>
      <x:c r="AK243" s="9" t="n">
        <x:f>MOD(AL242*16807,2147483647)</x:f>
        <x:v>1375830560</x:v>
      </x:c>
      <x:c r="AL243" s="9" t="n">
        <x:f>MOD(AK243*16807,2147483647)</x:f>
        <x:v>1627794671</x:v>
      </x:c>
      <x:c r="AM243" s="17" t="n">
        <x:f>IF('Control Room'!$B$5="Normal",'Control Room'!$B$7+'Control Room'!$D$7*SQRT(-2*LN(MAX(0.000000000001,AK243/2147483647)))*COS(2*PI()*AL243/2147483647),'Control Room'!$B$8+('Control Room'!$D$8-'Control Room'!$B$8)*AK243/2147483647)</x:f>
        <x:v>1004.2676946634672</x:v>
      </x:c>
      <x:c r="AN243" s="17" t="n">
        <x:f>IF('Control Room'!$B$5="Normal",'Control Room'!$B$7,('Control Room'!$B$8+'Control Room'!$D$8)/2)+'Control Room'!$B$9*(AN242-IF('Control Room'!$B$5="Normal",'Control Room'!$B$7,('Control Room'!$B$8+'Control Room'!$D$8)/2))+SQRT(1-'Control Room'!$B$9^2)*(AM243-IF('Control Room'!$B$5="Normal",'Control Room'!$B$7,('Control Room'!$B$8+'Control Room'!$D$8)/2))</x:f>
        <x:v>940.0119499803095</x:v>
      </x:c>
      <x:c r="AO243" s="17" t="n">
        <x:f>IF(AND($A243&gt;='Control Room'!$A$13,$A243&lt;'Control Room'!$A$13+'Control Room'!$B$13,'Process'!BR2=1),1+('Control Room'!$C$13-1)*EXP(-0.5*(($A243-'Control Room'!$A$13-('Control Room'!$B$13-1)/2)/MAX(0.5,'Control Room'!$B$13/4))^2),1)*IF(AND($A243&gt;='Control Room'!$A$14,$A243&lt;'Control Room'!$A$14+'Control Room'!$B$14,'Process'!BR3=1),1+('Control Room'!$C$14-1)*EXP(-0.5*(($A243-'Control Room'!$A$14-('Control Room'!$B$14-1)/2)/MAX(0.5,'Control Room'!$B$14/4))^2),1)*IF(AND($A243&gt;='Control Room'!$A$15,$A243&lt;'Control Room'!$A$15+'Control Room'!$B$15,'Process'!BR4=1),1+('Control Room'!$C$15-1)*EXP(-0.5*(($A243-'Control Room'!$A$15-('Control Room'!$B$15-1)/2)/MAX(0.5,'Control Room'!$B$15/4))^2),1)*IF(AND($A243&gt;='Control Room'!$A$16,$A243&lt;'Control Room'!$A$16+'Control Room'!$B$16,'Process'!BR5=1),1+('Control Room'!$C$16-1)*EXP(-0.5*(($A243-'Control Room'!$A$16-('Control Room'!$B$16-1)/2)/MAX(0.5,'Control Room'!$B$16/4))^2),1)</x:f>
        <x:v>1</x:v>
      </x:c>
      <x:c r="AP243" s="9" t="n">
        <x:f>MOD(AQ242*16807,2147483647)</x:f>
        <x:v>676821617</x:v>
      </x:c>
      <x:c r="AQ243" s="9" t="n">
        <x:f>MOD(AP243*16807,2147483647)</x:f>
        <x:v>120038760</x:v>
      </x:c>
      <x:c r="AR243" s="17" t="n">
        <x:f>IF('Control Room'!$B$5="Normal",'Control Room'!$B$7+'Control Room'!$D$7*SQRT(-2*LN(MAX(0.000000000001,AP243/2147483647)))*COS(2*PI()*AQ243/2147483647),'Control Room'!$B$8+('Control Room'!$D$8-'Control Room'!$B$8)*AP243/2147483647)</x:f>
        <x:v>1128.41825868918</x:v>
      </x:c>
      <x:c r="AS243" s="17" t="n">
        <x:f>IF('Control Room'!$B$5="Normal",'Control Room'!$B$7,('Control Room'!$B$8+'Control Room'!$D$8)/2)+'Control Room'!$B$9*(AS242-IF('Control Room'!$B$5="Normal",'Control Room'!$B$7,('Control Room'!$B$8+'Control Room'!$D$8)/2))+SQRT(1-'Control Room'!$B$9^2)*(AR243-IF('Control Room'!$B$5="Normal",'Control Room'!$B$7,('Control Room'!$B$8+'Control Room'!$D$8)/2))</x:f>
        <x:v>1165.817819145438</x:v>
      </x:c>
      <x:c r="AT243" s="17" t="n">
        <x:f>IF(AND($A243&gt;='Control Room'!$A$13,$A243&lt;'Control Room'!$A$13+'Control Room'!$B$13,'Process'!BS2=1),1+('Control Room'!$C$13-1)*EXP(-0.5*(($A243-'Control Room'!$A$13-('Control Room'!$B$13-1)/2)/MAX(0.5,'Control Room'!$B$13/4))^2),1)*IF(AND($A243&gt;='Control Room'!$A$14,$A243&lt;'Control Room'!$A$14+'Control Room'!$B$14,'Process'!BS3=1),1+('Control Room'!$C$14-1)*EXP(-0.5*(($A243-'Control Room'!$A$14-('Control Room'!$B$14-1)/2)/MAX(0.5,'Control Room'!$B$14/4))^2),1)*IF(AND($A243&gt;='Control Room'!$A$15,$A243&lt;'Control Room'!$A$15+'Control Room'!$B$15,'Process'!BS4=1),1+('Control Room'!$C$15-1)*EXP(-0.5*(($A243-'Control Room'!$A$15-('Control Room'!$B$15-1)/2)/MAX(0.5,'Control Room'!$B$15/4))^2),1)*IF(AND($A243&gt;='Control Room'!$A$16,$A243&lt;'Control Room'!$A$16+'Control Room'!$B$16,'Process'!BS5=1),1+('Control Room'!$C$16-1)*EXP(-0.5*(($A243-'Control Room'!$A$16-('Control Room'!$B$16-1)/2)/MAX(0.5,'Control Room'!$B$16/4))^2),1)</x:f>
        <x:v>1</x:v>
      </x:c>
      <x:c r="AU243" s="9" t="n">
        <x:f>MOD(AV242*16807,2147483647)</x:f>
        <x:v>2125296321</x:v>
      </x:c>
      <x:c r="AV243" s="9" t="n">
        <x:f>MOD(AU243*16807,2147483647)</x:f>
        <x:v>759766496</x:v>
      </x:c>
      <x:c r="AW243" s="17" t="n">
        <x:f>IF('Control Room'!$B$5="Normal",'Control Room'!$B$7+'Control Room'!$D$7*SQRT(-2*LN(MAX(0.000000000001,AU243/2147483647)))*COS(2*PI()*AV243/2147483647),'Control Room'!$B$8+('Control Room'!$D$8-'Control Room'!$B$8)*AU243/2147483647)</x:f>
        <x:v>992.1279152885633</x:v>
      </x:c>
      <x:c r="AX243" s="17" t="n">
        <x:f>IF('Control Room'!$B$5="Normal",'Control Room'!$B$7,('Control Room'!$B$8+'Control Room'!$D$8)/2)+'Control Room'!$B$9*(AX242-IF('Control Room'!$B$5="Normal",'Control Room'!$B$7,('Control Room'!$B$8+'Control Room'!$D$8)/2))+SQRT(1-'Control Room'!$B$9^2)*(AW243-IF('Control Room'!$B$5="Normal",'Control Room'!$B$7,('Control Room'!$B$8+'Control Room'!$D$8)/2))</x:f>
        <x:v>938.638013002341</x:v>
      </x:c>
      <x:c r="AY243" s="17" t="n">
        <x:f>IF(AND($A243&gt;='Control Room'!$A$13,$A243&lt;'Control Room'!$A$13+'Control Room'!$B$13,'Process'!BT2=1),1+('Control Room'!$C$13-1)*EXP(-0.5*(($A243-'Control Room'!$A$13-('Control Room'!$B$13-1)/2)/MAX(0.5,'Control Room'!$B$13/4))^2),1)*IF(AND($A243&gt;='Control Room'!$A$14,$A243&lt;'Control Room'!$A$14+'Control Room'!$B$14,'Process'!BT3=1),1+('Control Room'!$C$14-1)*EXP(-0.5*(($A243-'Control Room'!$A$14-('Control Room'!$B$14-1)/2)/MAX(0.5,'Control Room'!$B$14/4))^2),1)*IF(AND($A243&gt;='Control Room'!$A$15,$A243&lt;'Control Room'!$A$15+'Control Room'!$B$15,'Process'!BT4=1),1+('Control Room'!$C$15-1)*EXP(-0.5*(($A243-'Control Room'!$A$15-('Control Room'!$B$15-1)/2)/MAX(0.5,'Control Room'!$B$15/4))^2),1)*IF(AND($A243&gt;='Control Room'!$A$16,$A243&lt;'Control Room'!$A$16+'Control Room'!$B$16,'Process'!BT5=1),1+('Control Room'!$C$16-1)*EXP(-0.5*(($A243-'Control Room'!$A$16-('Control Room'!$B$16-1)/2)/MAX(0.5,'Control Room'!$B$16/4))^2),1)</x:f>
        <x:v>1</x:v>
      </x:c>
      <x:c r="AZ243" s="9" t="n">
        <x:f>MOD(BA242*16807,2147483647)</x:f>
        <x:v>1426287378</x:v>
      </x:c>
      <x:c r="BA243" s="9" t="n">
        <x:f>MOD(AZ243*16807,2147483647)</x:f>
        <x:v>1399494232</x:v>
      </x:c>
      <x:c r="BB243" s="17" t="n">
        <x:f>IF('Control Room'!$B$5="Normal",'Control Room'!$B$7+'Control Room'!$D$7*SQRT(-2*LN(MAX(0.000000000001,AZ243/2147483647)))*COS(2*PI()*BA243/2147483647),'Control Room'!$B$8+('Control Room'!$D$8-'Control Room'!$B$8)*AZ243/2147483647)</x:f>
        <x:v>952.8441405182452</x:v>
      </x:c>
      <x:c r="BC243" s="17" t="n">
        <x:f>IF('Control Room'!$B$5="Normal",'Control Room'!$B$7,('Control Room'!$B$8+'Control Room'!$D$8)/2)+'Control Room'!$B$9*(BC242-IF('Control Room'!$B$5="Normal",'Control Room'!$B$7,('Control Room'!$B$8+'Control Room'!$D$8)/2))+SQRT(1-'Control Room'!$B$9^2)*(BB243-IF('Control Room'!$B$5="Normal",'Control Room'!$B$7,('Control Room'!$B$8+'Control Room'!$D$8)/2))</x:f>
        <x:v>1004.8543091768032</x:v>
      </x:c>
      <x:c r="BD243" s="17" t="n">
        <x:f>IF(AND($A243&gt;='Control Room'!$A$13,$A243&lt;'Control Room'!$A$13+'Control Room'!$B$13,'Process'!BU2=1),1+('Control Room'!$C$13-1)*EXP(-0.5*(($A243-'Control Room'!$A$13-('Control Room'!$B$13-1)/2)/MAX(0.5,'Control Room'!$B$13/4))^2),1)*IF(AND($A243&gt;='Control Room'!$A$14,$A243&lt;'Control Room'!$A$14+'Control Room'!$B$14,'Process'!BU3=1),1+('Control Room'!$C$14-1)*EXP(-0.5*(($A243-'Control Room'!$A$14-('Control Room'!$B$14-1)/2)/MAX(0.5,'Control Room'!$B$14/4))^2),1)*IF(AND($A243&gt;='Control Room'!$A$15,$A243&lt;'Control Room'!$A$15+'Control Room'!$B$15,'Process'!BU4=1),1+('Control Room'!$C$15-1)*EXP(-0.5*(($A243-'Control Room'!$A$15-('Control Room'!$B$15-1)/2)/MAX(0.5,'Control Room'!$B$15/4))^2),1)*IF(AND($A243&gt;='Control Room'!$A$16,$A243&lt;'Control Room'!$A$16+'Control Room'!$B$16,'Process'!BU5=1),1+('Control Room'!$C$16-1)*EXP(-0.5*(($A243-'Control Room'!$A$16-('Control Room'!$B$16-1)/2)/MAX(0.5,'Control Room'!$B$16/4))^2),1)</x:f>
        <x:v>1</x:v>
      </x:c>
      <x:c r="BE243" s="9" t="n">
        <x:f>MOD(BF242*16807,2147483647)</x:f>
        <x:v>727278435</x:v>
      </x:c>
      <x:c r="BF243" s="9" t="n">
        <x:f>MOD(BE243*16807,2147483647)</x:f>
        <x:v>2039221968</x:v>
      </x:c>
      <x:c r="BG243" s="17" t="n">
        <x:f>IF('Control Room'!$B$5="Normal",'Control Room'!$B$7+'Control Room'!$D$7*SQRT(-2*LN(MAX(0.000000000001,BE243/2147483647)))*COS(2*PI()*BF243/2147483647),'Control Room'!$B$8+('Control Room'!$D$8-'Control Room'!$B$8)*BE243/2147483647)</x:f>
        <x:v>1125.8515056456304</x:v>
      </x:c>
      <x:c r="BH243" s="17" t="n">
        <x:f>IF('Control Room'!$B$5="Normal",'Control Room'!$B$7,('Control Room'!$B$8+'Control Room'!$D$8)/2)+'Control Room'!$B$9*(BH242-IF('Control Room'!$B$5="Normal",'Control Room'!$B$7,('Control Room'!$B$8+'Control Room'!$D$8)/2))+SQRT(1-'Control Room'!$B$9^2)*(BG243-IF('Control Room'!$B$5="Normal",'Control Room'!$B$7,('Control Room'!$B$8+'Control Room'!$D$8)/2))</x:f>
        <x:v>1095.444595800103</x:v>
      </x:c>
      <x:c r="BI243" s="17" t="n">
        <x:f>IF(AND($A243&gt;='Control Room'!$A$13,$A243&lt;'Control Room'!$A$13+'Control Room'!$B$13,'Process'!BV2=1),1+('Control Room'!$C$13-1)*EXP(-0.5*(($A243-'Control Room'!$A$13-('Control Room'!$B$13-1)/2)/MAX(0.5,'Control Room'!$B$13/4))^2),1)*IF(AND($A243&gt;='Control Room'!$A$14,$A243&lt;'Control Room'!$A$14+'Control Room'!$B$14,'Process'!BV3=1),1+('Control Room'!$C$14-1)*EXP(-0.5*(($A243-'Control Room'!$A$14-('Control Room'!$B$14-1)/2)/MAX(0.5,'Control Room'!$B$14/4))^2),1)*IF(AND($A243&gt;='Control Room'!$A$15,$A243&lt;'Control Room'!$A$15+'Control Room'!$B$15,'Process'!BV4=1),1+('Control Room'!$C$15-1)*EXP(-0.5*(($A243-'Control Room'!$A$15-('Control Room'!$B$15-1)/2)/MAX(0.5,'Control Room'!$B$15/4))^2),1)*IF(AND($A243&gt;='Control Room'!$A$16,$A243&lt;'Control Room'!$A$16+'Control Room'!$B$16,'Process'!BV5=1),1+('Control Room'!$C$16-1)*EXP(-0.5*(($A243-'Control Room'!$A$16-('Control Room'!$B$16-1)/2)/MAX(0.5,'Control Room'!$B$16/4))^2),1)</x:f>
        <x:v>1</x:v>
      </x:c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Z243" t="str">
        <x:f>IF('Data'!A243="","",TEXT('Data'!A243,"mm-dd"))</x:f>
      </x:c>
    </x:row>
    <x:row r="244" ht="21" customHeight="1">
      <x:c r="A244" s="15" t="n">
        <x:f>'Control Room'!$B$1+242</x:f>
        <x:v>73233</x:v>
      </x:c>
      <x:c r="B244" s="9" t="n">
        <x:f>MOD(C243*16807,2147483647)</x:f>
        <x:v>1081820109</x:v>
      </x:c>
      <x:c r="C244" s="9" t="n">
        <x:f>MOD(B244*16807,2147483647)</x:f>
        <x:v>1554016461</x:v>
      </x:c>
      <x:c r="D244" s="17" t="n">
        <x:f>IF('Control Room'!$B$5="Normal",'Control Room'!$B$7+'Control Room'!$D$7*SQRT(-2*LN(MAX(0.000000000001,B244/2147483647)))*COS(2*PI()*C244/2147483647),'Control Room'!$B$8+('Control Room'!$D$8-'Control Room'!$B$8)*B244/2147483647)</x:f>
        <x:v>982.6275688816859</x:v>
      </x:c>
      <x:c r="E244" s="17" t="n">
        <x:f>IF('Control Room'!$B$5="Normal",'Control Room'!$B$7,('Control Room'!$B$8+'Control Room'!$D$8)/2)+'Control Room'!$B$9*(E243-IF('Control Room'!$B$5="Normal",'Control Room'!$B$7,('Control Room'!$B$8+'Control Room'!$D$8)/2))+SQRT(1-'Control Room'!$B$9^2)*(D244-IF('Control Room'!$B$5="Normal",'Control Room'!$B$7,('Control Room'!$B$8+'Control Room'!$D$8)/2))</x:f>
        <x:v>978.8039485990355</x:v>
      </x:c>
      <x:c r="F244" s="17" t="n">
        <x:f>IF(AND($A244&gt;='Control Room'!$A$13,$A244&lt;'Control Room'!$A$13+'Control Room'!$B$13,'Process'!BK2=1),1+('Control Room'!$C$13-1)*EXP(-0.5*(($A244-'Control Room'!$A$13-('Control Room'!$B$13-1)/2)/MAX(0.5,'Control Room'!$B$13/4))^2),1)*IF(AND($A244&gt;='Control Room'!$A$14,$A244&lt;'Control Room'!$A$14+'Control Room'!$B$14,'Process'!BK3=1),1+('Control Room'!$C$14-1)*EXP(-0.5*(($A244-'Control Room'!$A$14-('Control Room'!$B$14-1)/2)/MAX(0.5,'Control Room'!$B$14/4))^2),1)*IF(AND($A244&gt;='Control Room'!$A$15,$A244&lt;'Control Room'!$A$15+'Control Room'!$B$15,'Process'!BK4=1),1+('Control Room'!$C$15-1)*EXP(-0.5*(($A244-'Control Room'!$A$15-('Control Room'!$B$15-1)/2)/MAX(0.5,'Control Room'!$B$15/4))^2),1)*IF(AND($A244&gt;='Control Room'!$A$16,$A244&lt;'Control Room'!$A$16+'Control Room'!$B$16,'Process'!BK5=1),1+('Control Room'!$C$16-1)*EXP(-0.5*(($A244-'Control Room'!$A$16-('Control Room'!$B$16-1)/2)/MAX(0.5,'Control Room'!$B$16/4))^2),1)</x:f>
        <x:v>1</x:v>
      </x:c>
      <x:c r="G244" s="9" t="n">
        <x:f>MOD(H243*16807,2147483647)</x:f>
        <x:v>535258532</x:v>
      </x:c>
      <x:c r="H244" s="9" t="n">
        <x:f>MOD(G244*16807,2147483647)</x:f>
        <x:v>281150041</x:v>
      </x:c>
      <x:c r="I244" s="17" t="n">
        <x:f>IF('Control Room'!$B$5="Normal",'Control Room'!$B$7+'Control Room'!$D$7*SQRT(-2*LN(MAX(0.000000000001,G244/2147483647)))*COS(2*PI()*H244/2147483647),'Control Room'!$B$8+('Control Room'!$D$8-'Control Room'!$B$8)*G244/2147483647)</x:f>
        <x:v>1102.062985110783</x:v>
      </x:c>
      <x:c r="J244" s="17" t="n">
        <x:f>IF('Control Room'!$B$5="Normal",'Control Room'!$B$7,('Control Room'!$B$8+'Control Room'!$D$8)/2)+'Control Room'!$B$9*(J243-IF('Control Room'!$B$5="Normal",'Control Room'!$B$7,('Control Room'!$B$8+'Control Room'!$D$8)/2))+SQRT(1-'Control Room'!$B$9^2)*(I244-IF('Control Room'!$B$5="Normal",'Control Room'!$B$7,('Control Room'!$B$8+'Control Room'!$D$8)/2))</x:f>
        <x:v>1174.916566022903</x:v>
      </x:c>
      <x:c r="K244" s="17" t="n">
        <x:f>IF(AND($A244&gt;='Control Room'!$A$13,$A244&lt;'Control Room'!$A$13+'Control Room'!$B$13,'Process'!BL2=1),1+('Control Room'!$C$13-1)*EXP(-0.5*(($A244-'Control Room'!$A$13-('Control Room'!$B$13-1)/2)/MAX(0.5,'Control Room'!$B$13/4))^2),1)*IF(AND($A244&gt;='Control Room'!$A$14,$A244&lt;'Control Room'!$A$14+'Control Room'!$B$14,'Process'!BL3=1),1+('Control Room'!$C$14-1)*EXP(-0.5*(($A244-'Control Room'!$A$14-('Control Room'!$B$14-1)/2)/MAX(0.5,'Control Room'!$B$14/4))^2),1)*IF(AND($A244&gt;='Control Room'!$A$15,$A244&lt;'Control Room'!$A$15+'Control Room'!$B$15,'Process'!BL4=1),1+('Control Room'!$C$15-1)*EXP(-0.5*(($A244-'Control Room'!$A$15-('Control Room'!$B$15-1)/2)/MAX(0.5,'Control Room'!$B$15/4))^2),1)*IF(AND($A244&gt;='Control Room'!$A$16,$A244&lt;'Control Room'!$A$16+'Control Room'!$B$16,'Process'!BL5=1),1+('Control Room'!$C$16-1)*EXP(-0.5*(($A244-'Control Room'!$A$16-('Control Room'!$B$16-1)/2)/MAX(0.5,'Control Room'!$B$16/4))^2),1)</x:f>
        <x:v>1</x:v>
      </x:c>
      <x:c r="L244" s="9" t="n">
        <x:f>MOD(M243*16807,2147483647)</x:f>
        <x:v>2136180602</x:v>
      </x:c>
      <x:c r="M244" s="9" t="n">
        <x:f>MOD(L244*16807,2147483647)</x:f>
        <x:v>1155767268</x:v>
      </x:c>
      <x:c r="N244" s="17" t="n">
        <x:f>IF('Control Room'!$B$5="Normal",'Control Room'!$B$7+'Control Room'!$D$7*SQRT(-2*LN(MAX(0.000000000001,L244/2147483647)))*COS(2*PI()*M244/2147483647),'Control Room'!$B$8+('Control Room'!$D$8-'Control Room'!$B$8)*L244/2147483647)</x:f>
        <x:v>991.0188047871573</x:v>
      </x:c>
      <x:c r="O244" s="17" t="n">
        <x:f>IF('Control Room'!$B$5="Normal",'Control Room'!$B$7,('Control Room'!$B$8+'Control Room'!$D$8)/2)+'Control Room'!$B$9*(O243-IF('Control Room'!$B$5="Normal",'Control Room'!$B$7,('Control Room'!$B$8+'Control Room'!$D$8)/2))+SQRT(1-'Control Room'!$B$9^2)*(N244-IF('Control Room'!$B$5="Normal",'Control Room'!$B$7,('Control Room'!$B$8+'Control Room'!$D$8)/2))</x:f>
        <x:v>911.6306126732394</x:v>
      </x:c>
      <x:c r="P244" s="17" t="n">
        <x:f>IF(AND($A244&gt;='Control Room'!$A$13,$A244&lt;'Control Room'!$A$13+'Control Room'!$B$13,'Process'!BM2=1),1+('Control Room'!$C$13-1)*EXP(-0.5*(($A244-'Control Room'!$A$13-('Control Room'!$B$13-1)/2)/MAX(0.5,'Control Room'!$B$13/4))^2),1)*IF(AND($A244&gt;='Control Room'!$A$14,$A244&lt;'Control Room'!$A$14+'Control Room'!$B$14,'Process'!BM3=1),1+('Control Room'!$C$14-1)*EXP(-0.5*(($A244-'Control Room'!$A$14-('Control Room'!$B$14-1)/2)/MAX(0.5,'Control Room'!$B$14/4))^2),1)*IF(AND($A244&gt;='Control Room'!$A$15,$A244&lt;'Control Room'!$A$15+'Control Room'!$B$15,'Process'!BM4=1),1+('Control Room'!$C$15-1)*EXP(-0.5*(($A244-'Control Room'!$A$15-('Control Room'!$B$15-1)/2)/MAX(0.5,'Control Room'!$B$15/4))^2),1)*IF(AND($A244&gt;='Control Room'!$A$16,$A244&lt;'Control Room'!$A$16+'Control Room'!$B$16,'Process'!BM5=1),1+('Control Room'!$C$16-1)*EXP(-0.5*(($A244-'Control Room'!$A$16-('Control Room'!$B$16-1)/2)/MAX(0.5,'Control Room'!$B$16/4))^2),1)</x:f>
        <x:v>1</x:v>
      </x:c>
      <x:c r="Q244" s="9" t="n">
        <x:f>MOD(R243*16807,2147483647)</x:f>
        <x:v>1589619025</x:v>
      </x:c>
      <x:c r="R244" s="9" t="n">
        <x:f>MOD(Q244*16807,2147483647)</x:f>
        <x:v>2030384495</x:v>
      </x:c>
      <x:c r="S244" s="17" t="n">
        <x:f>IF('Control Room'!$B$5="Normal",'Control Room'!$B$7+'Control Room'!$D$7*SQRT(-2*LN(MAX(0.000000000001,Q244/2147483647)))*COS(2*PI()*R244/2147483647),'Control Room'!$B$8+('Control Room'!$D$8-'Control Room'!$B$8)*Q244/2147483647)</x:f>
        <x:v>1065.7496957770645</x:v>
      </x:c>
      <x:c r="T244" s="17" t="n">
        <x:f>IF('Control Room'!$B$5="Normal",'Control Room'!$B$7,('Control Room'!$B$8+'Control Room'!$D$8)/2)+'Control Room'!$B$9*(T243-IF('Control Room'!$B$5="Normal",'Control Room'!$B$7,('Control Room'!$B$8+'Control Room'!$D$8)/2))+SQRT(1-'Control Room'!$B$9^2)*(S244-IF('Control Room'!$B$5="Normal",'Control Room'!$B$7,('Control Room'!$B$8+'Control Room'!$D$8)/2))</x:f>
        <x:v>985.9532811119733</x:v>
      </x:c>
      <x:c r="U244" s="17" t="n">
        <x:f>IF(AND($A244&gt;='Control Room'!$A$13,$A244&lt;'Control Room'!$A$13+'Control Room'!$B$13,'Process'!BN2=1),1+('Control Room'!$C$13-1)*EXP(-0.5*(($A244-'Control Room'!$A$13-('Control Room'!$B$13-1)/2)/MAX(0.5,'Control Room'!$B$13/4))^2),1)*IF(AND($A244&gt;='Control Room'!$A$14,$A244&lt;'Control Room'!$A$14+'Control Room'!$B$14,'Process'!BN3=1),1+('Control Room'!$C$14-1)*EXP(-0.5*(($A244-'Control Room'!$A$14-('Control Room'!$B$14-1)/2)/MAX(0.5,'Control Room'!$B$14/4))^2),1)*IF(AND($A244&gt;='Control Room'!$A$15,$A244&lt;'Control Room'!$A$15+'Control Room'!$B$15,'Process'!BN4=1),1+('Control Room'!$C$15-1)*EXP(-0.5*(($A244-'Control Room'!$A$15-('Control Room'!$B$15-1)/2)/MAX(0.5,'Control Room'!$B$15/4))^2),1)*IF(AND($A244&gt;='Control Room'!$A$16,$A244&lt;'Control Room'!$A$16+'Control Room'!$B$16,'Process'!BN5=1),1+('Control Room'!$C$16-1)*EXP(-0.5*(($A244-'Control Room'!$A$16-('Control Room'!$B$16-1)/2)/MAX(0.5,'Control Room'!$B$16/4))^2),1)</x:f>
        <x:v>1</x:v>
      </x:c>
      <x:c r="V244" s="9" t="n">
        <x:f>MOD(W243*16807,2147483647)</x:f>
        <x:v>1043057448</x:v>
      </x:c>
      <x:c r="W244" s="9" t="n">
        <x:f>MOD(V244*16807,2147483647)</x:f>
        <x:v>757518075</x:v>
      </x:c>
      <x:c r="X244" s="17" t="n">
        <x:f>IF('Control Room'!$B$5="Normal",'Control Room'!$B$7+'Control Room'!$D$7*SQRT(-2*LN(MAX(0.000000000001,V244/2147483647)))*COS(2*PI()*W244/2147483647),'Control Room'!$B$8+('Control Room'!$D$8-'Control Room'!$B$8)*V244/2147483647)</x:f>
        <x:v>934.9242264937923</x:v>
      </x:c>
      <x:c r="Y244" s="17" t="n">
        <x:f>IF('Control Room'!$B$5="Normal",'Control Room'!$B$7,('Control Room'!$B$8+'Control Room'!$D$8)/2)+'Control Room'!$B$9*(Y243-IF('Control Room'!$B$5="Normal",'Control Room'!$B$7,('Control Room'!$B$8+'Control Room'!$D$8)/2))+SQRT(1-'Control Room'!$B$9^2)*(X244-IF('Control Room'!$B$5="Normal",'Control Room'!$B$7,('Control Room'!$B$8+'Control Room'!$D$8)/2))</x:f>
        <x:v>871.4744648095665</x:v>
      </x:c>
      <x:c r="Z244" s="17" t="n">
        <x:f>IF(AND($A244&gt;='Control Room'!$A$13,$A244&lt;'Control Room'!$A$13+'Control Room'!$B$13,'Process'!BO2=1),1+('Control Room'!$C$13-1)*EXP(-0.5*(($A244-'Control Room'!$A$13-('Control Room'!$B$13-1)/2)/MAX(0.5,'Control Room'!$B$13/4))^2),1)*IF(AND($A244&gt;='Control Room'!$A$14,$A244&lt;'Control Room'!$A$14+'Control Room'!$B$14,'Process'!BO3=1),1+('Control Room'!$C$14-1)*EXP(-0.5*(($A244-'Control Room'!$A$14-('Control Room'!$B$14-1)/2)/MAX(0.5,'Control Room'!$B$14/4))^2),1)*IF(AND($A244&gt;='Control Room'!$A$15,$A244&lt;'Control Room'!$A$15+'Control Room'!$B$15,'Process'!BO4=1),1+('Control Room'!$C$15-1)*EXP(-0.5*(($A244-'Control Room'!$A$15-('Control Room'!$B$15-1)/2)/MAX(0.5,'Control Room'!$B$15/4))^2),1)*IF(AND($A244&gt;='Control Room'!$A$16,$A244&lt;'Control Room'!$A$16+'Control Room'!$B$16,'Process'!BO5=1),1+('Control Room'!$C$16-1)*EXP(-0.5*(($A244-'Control Room'!$A$16-('Control Room'!$B$16-1)/2)/MAX(0.5,'Control Room'!$B$16/4))^2),1)</x:f>
        <x:v>1</x:v>
      </x:c>
      <x:c r="AA244" s="9" t="n">
        <x:f>MOD(AB243*16807,2147483647)</x:f>
        <x:v>496495871</x:v>
      </x:c>
      <x:c r="AB244" s="9" t="n">
        <x:f>MOD(AA244*16807,2147483647)</x:f>
        <x:v>1632135302</x:v>
      </x:c>
      <x:c r="AC244" s="17" t="n">
        <x:f>IF('Control Room'!$B$5="Normal",'Control Room'!$B$7+'Control Room'!$D$7*SQRT(-2*LN(MAX(0.000000000001,AA244/2147483647)))*COS(2*PI()*AB244/2147483647),'Control Room'!$B$8+('Control Room'!$D$8-'Control Room'!$B$8)*AA244/2147483647)</x:f>
        <x:v>1009.6929454449981</x:v>
      </x:c>
      <x:c r="AD244" s="17" t="n">
        <x:f>IF('Control Room'!$B$5="Normal",'Control Room'!$B$7,('Control Room'!$B$8+'Control Room'!$D$8)/2)+'Control Room'!$B$9*(AD243-IF('Control Room'!$B$5="Normal",'Control Room'!$B$7,('Control Room'!$B$8+'Control Room'!$D$8)/2))+SQRT(1-'Control Room'!$B$9^2)*(AC244-IF('Control Room'!$B$5="Normal",'Control Room'!$B$7,('Control Room'!$B$8+'Control Room'!$D$8)/2))</x:f>
        <x:v>1030.758739257228</x:v>
      </x:c>
      <x:c r="AE244" s="17" t="n">
        <x:f>IF(AND($A244&gt;='Control Room'!$A$13,$A244&lt;'Control Room'!$A$13+'Control Room'!$B$13,'Process'!BP2=1),1+('Control Room'!$C$13-1)*EXP(-0.5*(($A244-'Control Room'!$A$13-('Control Room'!$B$13-1)/2)/MAX(0.5,'Control Room'!$B$13/4))^2),1)*IF(AND($A244&gt;='Control Room'!$A$14,$A244&lt;'Control Room'!$A$14+'Control Room'!$B$14,'Process'!BP3=1),1+('Control Room'!$C$14-1)*EXP(-0.5*(($A244-'Control Room'!$A$14-('Control Room'!$B$14-1)/2)/MAX(0.5,'Control Room'!$B$14/4))^2),1)*IF(AND($A244&gt;='Control Room'!$A$15,$A244&lt;'Control Room'!$A$15+'Control Room'!$B$15,'Process'!BP4=1),1+('Control Room'!$C$15-1)*EXP(-0.5*(($A244-'Control Room'!$A$15-('Control Room'!$B$15-1)/2)/MAX(0.5,'Control Room'!$B$15/4))^2),1)*IF(AND($A244&gt;='Control Room'!$A$16,$A244&lt;'Control Room'!$A$16+'Control Room'!$B$16,'Process'!BP5=1),1+('Control Room'!$C$16-1)*EXP(-0.5*(($A244-'Control Room'!$A$16-('Control Room'!$B$16-1)/2)/MAX(0.5,'Control Room'!$B$16/4))^2),1)</x:f>
        <x:v>1</x:v>
      </x:c>
      <x:c r="AF244" s="9" t="n">
        <x:f>MOD(AG243*16807,2147483647)</x:f>
        <x:v>2097417941</x:v>
      </x:c>
      <x:c r="AG244" s="9" t="n">
        <x:f>MOD(AF244*16807,2147483647)</x:f>
        <x:v>359268882</x:v>
      </x:c>
      <x:c r="AH244" s="17" t="n">
        <x:f>IF('Control Room'!$B$5="Normal",'Control Room'!$B$7+'Control Room'!$D$7*SQRT(-2*LN(MAX(0.000000000001,AF244/2147483647)))*COS(2*PI()*AG244/2147483647),'Control Room'!$B$8+('Control Room'!$D$8-'Control Room'!$B$8)*AF244/2147483647)</x:f>
        <x:v>1009.7071819972915</x:v>
      </x:c>
      <x:c r="AI244" s="17" t="n">
        <x:f>IF('Control Room'!$B$5="Normal",'Control Room'!$B$7,('Control Room'!$B$8+'Control Room'!$D$8)/2)+'Control Room'!$B$9*(AI243-IF('Control Room'!$B$5="Normal",'Control Room'!$B$7,('Control Room'!$B$8+'Control Room'!$D$8)/2))+SQRT(1-'Control Room'!$B$9^2)*(AH244-IF('Control Room'!$B$5="Normal",'Control Room'!$B$7,('Control Room'!$B$8+'Control Room'!$D$8)/2))</x:f>
        <x:v>956.9637939996414</x:v>
      </x:c>
      <x:c r="AJ244" s="17" t="n">
        <x:f>IF(AND($A244&gt;='Control Room'!$A$13,$A244&lt;'Control Room'!$A$13+'Control Room'!$B$13,'Process'!BQ2=1),1+('Control Room'!$C$13-1)*EXP(-0.5*(($A244-'Control Room'!$A$13-('Control Room'!$B$13-1)/2)/MAX(0.5,'Control Room'!$B$13/4))^2),1)*IF(AND($A244&gt;='Control Room'!$A$14,$A244&lt;'Control Room'!$A$14+'Control Room'!$B$14,'Process'!BQ3=1),1+('Control Room'!$C$14-1)*EXP(-0.5*(($A244-'Control Room'!$A$14-('Control Room'!$B$14-1)/2)/MAX(0.5,'Control Room'!$B$14/4))^2),1)*IF(AND($A244&gt;='Control Room'!$A$15,$A244&lt;'Control Room'!$A$15+'Control Room'!$B$15,'Process'!BQ4=1),1+('Control Room'!$C$15-1)*EXP(-0.5*(($A244-'Control Room'!$A$15-('Control Room'!$B$15-1)/2)/MAX(0.5,'Control Room'!$B$15/4))^2),1)*IF(AND($A244&gt;='Control Room'!$A$16,$A244&lt;'Control Room'!$A$16+'Control Room'!$B$16,'Process'!BQ5=1),1+('Control Room'!$C$16-1)*EXP(-0.5*(($A244-'Control Room'!$A$16-('Control Room'!$B$16-1)/2)/MAX(0.5,'Control Room'!$B$16/4))^2),1)</x:f>
        <x:v>1</x:v>
      </x:c>
      <x:c r="AK244" s="9" t="n">
        <x:f>MOD(AL243*16807,2147483647)</x:f>
        <x:v>1550856364</x:v>
      </x:c>
      <x:c r="AL244" s="9" t="n">
        <x:f>MOD(AK244*16807,2147483647)</x:f>
        <x:v>1233886109</x:v>
      </x:c>
      <x:c r="AM244" s="17" t="n">
        <x:f>IF('Control Room'!$B$5="Normal",'Control Room'!$B$7+'Control Room'!$D$7*SQRT(-2*LN(MAX(0.000000000001,AK244/2147483647)))*COS(2*PI()*AL244/2147483647),'Control Room'!$B$8+('Control Room'!$D$8-'Control Room'!$B$8)*AK244/2147483647)</x:f>
        <x:v>935.2113987417627</x:v>
      </x:c>
      <x:c r="AN244" s="17" t="n">
        <x:f>IF('Control Room'!$B$5="Normal",'Control Room'!$B$7,('Control Room'!$B$8+'Control Room'!$D$8)/2)+'Control Room'!$B$9*(AN243-IF('Control Room'!$B$5="Normal",'Control Room'!$B$7,('Control Room'!$B$8+'Control Room'!$D$8)/2))+SQRT(1-'Control Room'!$B$9^2)*(AM244-IF('Control Room'!$B$5="Normal",'Control Room'!$B$7,('Control Room'!$B$8+'Control Room'!$D$8)/2))</x:f>
        <x:v>912.6659415838766</x:v>
      </x:c>
      <x:c r="AO244" s="17" t="n">
        <x:f>IF(AND($A244&gt;='Control Room'!$A$13,$A244&lt;'Control Room'!$A$13+'Control Room'!$B$13,'Process'!BR2=1),1+('Control Room'!$C$13-1)*EXP(-0.5*(($A244-'Control Room'!$A$13-('Control Room'!$B$13-1)/2)/MAX(0.5,'Control Room'!$B$13/4))^2),1)*IF(AND($A244&gt;='Control Room'!$A$14,$A244&lt;'Control Room'!$A$14+'Control Room'!$B$14,'Process'!BR3=1),1+('Control Room'!$C$14-1)*EXP(-0.5*(($A244-'Control Room'!$A$14-('Control Room'!$B$14-1)/2)/MAX(0.5,'Control Room'!$B$14/4))^2),1)*IF(AND($A244&gt;='Control Room'!$A$15,$A244&lt;'Control Room'!$A$15+'Control Room'!$B$15,'Process'!BR4=1),1+('Control Room'!$C$15-1)*EXP(-0.5*(($A244-'Control Room'!$A$15-('Control Room'!$B$15-1)/2)/MAX(0.5,'Control Room'!$B$15/4))^2),1)*IF(AND($A244&gt;='Control Room'!$A$16,$A244&lt;'Control Room'!$A$16+'Control Room'!$B$16,'Process'!BR5=1),1+('Control Room'!$C$16-1)*EXP(-0.5*(($A244-'Control Room'!$A$16-('Control Room'!$B$16-1)/2)/MAX(0.5,'Control Room'!$B$16/4))^2),1)</x:f>
        <x:v>1</x:v>
      </x:c>
      <x:c r="AP244" s="9" t="n">
        <x:f>MOD(AQ243*16807,2147483647)</x:f>
        <x:v>1004294787</x:v>
      </x:c>
      <x:c r="AQ244" s="9" t="n">
        <x:f>MOD(AP244*16807,2147483647)</x:f>
        <x:v>2108503336</x:v>
      </x:c>
      <x:c r="AR244" s="17" t="n">
        <x:f>IF('Control Room'!$B$5="Normal",'Control Room'!$B$7+'Control Room'!$D$7*SQRT(-2*LN(MAX(0.000000000001,AP244/2147483647)))*COS(2*PI()*AQ244/2147483647),'Control Room'!$B$8+('Control Room'!$D$8-'Control Room'!$B$8)*AP244/2147483647)</x:f>
        <x:v>1110.2393968225645</x:v>
      </x:c>
      <x:c r="AS244" s="17" t="n">
        <x:f>IF('Control Room'!$B$5="Normal",'Control Room'!$B$7,('Control Room'!$B$8+'Control Room'!$D$8)/2)+'Control Room'!$B$9*(AS243-IF('Control Room'!$B$5="Normal",'Control Room'!$B$7,('Control Room'!$B$8+'Control Room'!$D$8)/2))+SQRT(1-'Control Room'!$B$9^2)*(AR244-IF('Control Room'!$B$5="Normal",'Control Room'!$B$7,('Control Room'!$B$8+'Control Room'!$D$8)/2))</x:f>
        <x:v>1198.3234550882048</x:v>
      </x:c>
      <x:c r="AT244" s="17" t="n">
        <x:f>IF(AND($A244&gt;='Control Room'!$A$13,$A244&lt;'Control Room'!$A$13+'Control Room'!$B$13,'Process'!BS2=1),1+('Control Room'!$C$13-1)*EXP(-0.5*(($A244-'Control Room'!$A$13-('Control Room'!$B$13-1)/2)/MAX(0.5,'Control Room'!$B$13/4))^2),1)*IF(AND($A244&gt;='Control Room'!$A$14,$A244&lt;'Control Room'!$A$14+'Control Room'!$B$14,'Process'!BS3=1),1+('Control Room'!$C$14-1)*EXP(-0.5*(($A244-'Control Room'!$A$14-('Control Room'!$B$14-1)/2)/MAX(0.5,'Control Room'!$B$14/4))^2),1)*IF(AND($A244&gt;='Control Room'!$A$15,$A244&lt;'Control Room'!$A$15+'Control Room'!$B$15,'Process'!BS4=1),1+('Control Room'!$C$15-1)*EXP(-0.5*(($A244-'Control Room'!$A$15-('Control Room'!$B$15-1)/2)/MAX(0.5,'Control Room'!$B$15/4))^2),1)*IF(AND($A244&gt;='Control Room'!$A$16,$A244&lt;'Control Room'!$A$16+'Control Room'!$B$16,'Process'!BS5=1),1+('Control Room'!$C$16-1)*EXP(-0.5*(($A244-'Control Room'!$A$16-('Control Room'!$B$16-1)/2)/MAX(0.5,'Control Room'!$B$16/4))^2),1)</x:f>
        <x:v>1</x:v>
      </x:c>
      <x:c r="AU244" s="9" t="n">
        <x:f>MOD(AV243*16807,2147483647)</x:f>
        <x:v>457733210</x:v>
      </x:c>
      <x:c r="AV244" s="9" t="n">
        <x:f>MOD(AU244*16807,2147483647)</x:f>
        <x:v>835636916</x:v>
      </x:c>
      <x:c r="AW244" s="17" t="n">
        <x:f>IF('Control Room'!$B$5="Normal",'Control Room'!$B$7+'Control Room'!$D$7*SQRT(-2*LN(MAX(0.000000000001,AU244/2147483647)))*COS(2*PI()*AV244/2147483647),'Control Room'!$B$8+('Control Room'!$D$8-'Control Room'!$B$8)*AU244/2147483647)</x:f>
        <x:v>878.6275085415981</x:v>
      </x:c>
      <x:c r="AX244" s="17" t="n">
        <x:f>IF('Control Room'!$B$5="Normal",'Control Room'!$B$7,('Control Room'!$B$8+'Control Room'!$D$8)/2)+'Control Room'!$B$9*(AX243-IF('Control Room'!$B$5="Normal",'Control Room'!$B$7,('Control Room'!$B$8+'Control Room'!$D$8)/2))+SQRT(1-'Control Room'!$B$9^2)*(AW244-IF('Control Room'!$B$5="Normal",'Control Room'!$B$7,('Control Room'!$B$8+'Control Room'!$D$8)/2))</x:f>
        <x:v>876.1852314377963</x:v>
      </x:c>
      <x:c r="AY244" s="17" t="n">
        <x:f>IF(AND($A244&gt;='Control Room'!$A$13,$A244&lt;'Control Room'!$A$13+'Control Room'!$B$13,'Process'!BT2=1),1+('Control Room'!$C$13-1)*EXP(-0.5*(($A244-'Control Room'!$A$13-('Control Room'!$B$13-1)/2)/MAX(0.5,'Control Room'!$B$13/4))^2),1)*IF(AND($A244&gt;='Control Room'!$A$14,$A244&lt;'Control Room'!$A$14+'Control Room'!$B$14,'Process'!BT3=1),1+('Control Room'!$C$14-1)*EXP(-0.5*(($A244-'Control Room'!$A$14-('Control Room'!$B$14-1)/2)/MAX(0.5,'Control Room'!$B$14/4))^2),1)*IF(AND($A244&gt;='Control Room'!$A$15,$A244&lt;'Control Room'!$A$15+'Control Room'!$B$15,'Process'!BT4=1),1+('Control Room'!$C$15-1)*EXP(-0.5*(($A244-'Control Room'!$A$15-('Control Room'!$B$15-1)/2)/MAX(0.5,'Control Room'!$B$15/4))^2),1)*IF(AND($A244&gt;='Control Room'!$A$16,$A244&lt;'Control Room'!$A$16+'Control Room'!$B$16,'Process'!BT5=1),1+('Control Room'!$C$16-1)*EXP(-0.5*(($A244-'Control Room'!$A$16-('Control Room'!$B$16-1)/2)/MAX(0.5,'Control Room'!$B$16/4))^2),1)</x:f>
        <x:v>1</x:v>
      </x:c>
      <x:c r="AZ244" s="9" t="n">
        <x:f>MOD(BA243*16807,2147483647)</x:f>
        <x:v>2058655280</x:v>
      </x:c>
      <x:c r="BA244" s="9" t="n">
        <x:f>MOD(AZ244*16807,2147483647)</x:f>
        <x:v>1710254143</x:v>
      </x:c>
      <x:c r="BB244" s="17" t="n">
        <x:f>IF('Control Room'!$B$5="Normal",'Control Room'!$B$7+'Control Room'!$D$7*SQRT(-2*LN(MAX(0.000000000001,AZ244/2147483647)))*COS(2*PI()*BA244/2147483647),'Control Room'!$B$8+('Control Room'!$D$8-'Control Room'!$B$8)*AZ244/2147483647)</x:f>
        <x:v>1007.5189848693174</x:v>
      </x:c>
      <x:c r="BC244" s="17" t="n">
        <x:f>IF('Control Room'!$B$5="Normal",'Control Room'!$B$7,('Control Room'!$B$8+'Control Room'!$D$8)/2)+'Control Room'!$B$9*(BC243-IF('Control Room'!$B$5="Normal",'Control Room'!$B$7,('Control Room'!$B$8+'Control Room'!$D$8)/2))+SQRT(1-'Control Room'!$B$9^2)*(BB244-IF('Control Room'!$B$5="Normal",'Control Room'!$B$7,('Control Room'!$B$8+'Control Room'!$D$8)/2))</x:f>
        <x:v>1008.4915878543477</x:v>
      </x:c>
      <x:c r="BD244" s="17" t="n">
        <x:f>IF(AND($A244&gt;='Control Room'!$A$13,$A244&lt;'Control Room'!$A$13+'Control Room'!$B$13,'Process'!BU2=1),1+('Control Room'!$C$13-1)*EXP(-0.5*(($A244-'Control Room'!$A$13-('Control Room'!$B$13-1)/2)/MAX(0.5,'Control Room'!$B$13/4))^2),1)*IF(AND($A244&gt;='Control Room'!$A$14,$A244&lt;'Control Room'!$A$14+'Control Room'!$B$14,'Process'!BU3=1),1+('Control Room'!$C$14-1)*EXP(-0.5*(($A244-'Control Room'!$A$14-('Control Room'!$B$14-1)/2)/MAX(0.5,'Control Room'!$B$14/4))^2),1)*IF(AND($A244&gt;='Control Room'!$A$15,$A244&lt;'Control Room'!$A$15+'Control Room'!$B$15,'Process'!BU4=1),1+('Control Room'!$C$15-1)*EXP(-0.5*(($A244-'Control Room'!$A$15-('Control Room'!$B$15-1)/2)/MAX(0.5,'Control Room'!$B$15/4))^2),1)*IF(AND($A244&gt;='Control Room'!$A$16,$A244&lt;'Control Room'!$A$16+'Control Room'!$B$16,'Process'!BU5=1),1+('Control Room'!$C$16-1)*EXP(-0.5*(($A244-'Control Room'!$A$16-('Control Room'!$B$16-1)/2)/MAX(0.5,'Control Room'!$B$16/4))^2),1)</x:f>
        <x:v>1</x:v>
      </x:c>
      <x:c r="BE244" s="9" t="n">
        <x:f>MOD(BF243*16807,2147483647)</x:f>
        <x:v>1512093703</x:v>
      </x:c>
      <x:c r="BF244" s="9" t="n">
        <x:f>MOD(BE244*16807,2147483647)</x:f>
        <x:v>437387723</x:v>
      </x:c>
      <x:c r="BG244" s="17" t="n">
        <x:f>IF('Control Room'!$B$5="Normal",'Control Room'!$B$7+'Control Room'!$D$7*SQRT(-2*LN(MAX(0.000000000001,BE244/2147483647)))*COS(2*PI()*BF244/2147483647),'Control Room'!$B$8+('Control Room'!$D$8-'Control Room'!$B$8)*BE244/2147483647)</x:f>
        <x:v>1021.6340632484757</x:v>
      </x:c>
      <x:c r="BH244" s="17" t="n">
        <x:f>IF('Control Room'!$B$5="Normal",'Control Room'!$B$7,('Control Room'!$B$8+'Control Room'!$D$8)/2)+'Control Room'!$B$9*(BH243-IF('Control Room'!$B$5="Normal",'Control Room'!$B$7,('Control Room'!$B$8+'Control Room'!$D$8)/2))+SQRT(1-'Control Room'!$B$9^2)*(BG244-IF('Control Room'!$B$5="Normal",'Control Room'!$B$7,('Control Room'!$B$8+'Control Room'!$D$8)/2))</x:f>
        <x:v>1087.984938307101</x:v>
      </x:c>
      <x:c r="BI244" s="17" t="n">
        <x:f>IF(AND($A244&gt;='Control Room'!$A$13,$A244&lt;'Control Room'!$A$13+'Control Room'!$B$13,'Process'!BV2=1),1+('Control Room'!$C$13-1)*EXP(-0.5*(($A244-'Control Room'!$A$13-('Control Room'!$B$13-1)/2)/MAX(0.5,'Control Room'!$B$13/4))^2),1)*IF(AND($A244&gt;='Control Room'!$A$14,$A244&lt;'Control Room'!$A$14+'Control Room'!$B$14,'Process'!BV3=1),1+('Control Room'!$C$14-1)*EXP(-0.5*(($A244-'Control Room'!$A$14-('Control Room'!$B$14-1)/2)/MAX(0.5,'Control Room'!$B$14/4))^2),1)*IF(AND($A244&gt;='Control Room'!$A$15,$A244&lt;'Control Room'!$A$15+'Control Room'!$B$15,'Process'!BV4=1),1+('Control Room'!$C$15-1)*EXP(-0.5*(($A244-'Control Room'!$A$15-('Control Room'!$B$15-1)/2)/MAX(0.5,'Control Room'!$B$15/4))^2),1)*IF(AND($A244&gt;='Control Room'!$A$16,$A244&lt;'Control Room'!$A$16+'Control Room'!$B$16,'Process'!BV5=1),1+('Control Room'!$C$16-1)*EXP(-0.5*(($A244-'Control Room'!$A$16-('Control Room'!$B$16-1)/2)/MAX(0.5,'Control Room'!$B$16/4))^2),1)</x:f>
        <x:v>1</x:v>
      </x:c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Z244" t="str">
        <x:f>IF('Data'!A244="","",TEXT('Data'!A244,"mm-dd"))</x:f>
      </x:c>
    </x:row>
    <x:row r="245" ht="21" customHeight="1">
      <x:c r="A245" s="15" t="n">
        <x:f>'Control Room'!$B$1+243</x:f>
        <x:v>73234</x:v>
      </x:c>
      <x:c r="B245" s="9" t="n">
        <x:f>MOD(C244*16807,2147483647)</x:f>
        <x:v>658545213</x:v>
      </x:c>
      <x:c r="C245" s="9" t="n">
        <x:f>MOD(B245*16807,2147483647)</x:f>
        <x:v>38678253</x:v>
      </x:c>
      <x:c r="D245" s="17" t="n">
        <x:f>IF('Control Room'!$B$5="Normal",'Control Room'!$B$7+'Control Room'!$D$7*SQRT(-2*LN(MAX(0.000000000001,B245/2147483647)))*COS(2*PI()*C245/2147483647),'Control Room'!$B$8+('Control Room'!$D$8-'Control Room'!$B$8)*B245/2147483647)</x:f>
        <x:v>1137.4937120648376</x:v>
      </x:c>
      <x:c r="E245" s="17" t="n">
        <x:f>IF('Control Room'!$B$5="Normal",'Control Room'!$B$7,('Control Room'!$B$8+'Control Room'!$D$8)/2)+'Control Room'!$B$9*(E244-IF('Control Room'!$B$5="Normal",'Control Room'!$B$7,('Control Room'!$B$8+'Control Room'!$D$8)/2))+SQRT(1-'Control Room'!$B$9^2)*(D245-IF('Control Room'!$B$5="Normal",'Control Room'!$B$7,('Control Room'!$B$8+'Control Room'!$D$8)/2))</x:f>
        <x:v>1069.5078282056295</x:v>
      </x:c>
      <x:c r="F245" s="17" t="n">
        <x:f>IF(AND($A245&gt;='Control Room'!$A$13,$A245&lt;'Control Room'!$A$13+'Control Room'!$B$13,'Process'!BK2=1),1+('Control Room'!$C$13-1)*EXP(-0.5*(($A245-'Control Room'!$A$13-('Control Room'!$B$13-1)/2)/MAX(0.5,'Control Room'!$B$13/4))^2),1)*IF(AND($A245&gt;='Control Room'!$A$14,$A245&lt;'Control Room'!$A$14+'Control Room'!$B$14,'Process'!BK3=1),1+('Control Room'!$C$14-1)*EXP(-0.5*(($A245-'Control Room'!$A$14-('Control Room'!$B$14-1)/2)/MAX(0.5,'Control Room'!$B$14/4))^2),1)*IF(AND($A245&gt;='Control Room'!$A$15,$A245&lt;'Control Room'!$A$15+'Control Room'!$B$15,'Process'!BK4=1),1+('Control Room'!$C$15-1)*EXP(-0.5*(($A245-'Control Room'!$A$15-('Control Room'!$B$15-1)/2)/MAX(0.5,'Control Room'!$B$15/4))^2),1)*IF(AND($A245&gt;='Control Room'!$A$16,$A245&lt;'Control Room'!$A$16+'Control Room'!$B$16,'Process'!BK5=1),1+('Control Room'!$C$16-1)*EXP(-0.5*(($A245-'Control Room'!$A$16-('Control Room'!$B$16-1)/2)/MAX(0.5,'Control Room'!$B$16/4))^2),1)</x:f>
        <x:v>1</x:v>
      </x:c>
      <x:c r="G245" s="9" t="n">
        <x:f>MOD(H244*16807,2147483647)</x:f>
        <x:v>824715687</x:v>
      </x:c>
      <x:c r="H245" s="9" t="n">
        <x:f>MOD(G245*16807,2147483647)</x:f>
        <x:v>1137093671</x:v>
      </x:c>
      <x:c r="I245" s="17" t="n">
        <x:f>IF('Control Room'!$B$5="Normal",'Control Room'!$B$7+'Control Room'!$D$7*SQRT(-2*LN(MAX(0.000000000001,G245/2147483647)))*COS(2*PI()*H245/2147483647),'Control Room'!$B$8+('Control Room'!$D$8-'Control Room'!$B$8)*G245/2147483647)</x:f>
        <x:v>877.6193374467209</x:v>
      </x:c>
      <x:c r="J245" s="17" t="n">
        <x:f>IF('Control Room'!$B$5="Normal",'Control Room'!$B$7,('Control Room'!$B$8+'Control Room'!$D$8)/2)+'Control Room'!$B$9*(J244-IF('Control Room'!$B$5="Normal",'Control Room'!$B$7,('Control Room'!$B$8+'Control Room'!$D$8)/2))+SQRT(1-'Control Room'!$B$9^2)*(I245-IF('Control Room'!$B$5="Normal",'Control Room'!$B$7,('Control Room'!$B$8+'Control Room'!$D$8)/2))</x:f>
        <x:v>1059.8516099761678</x:v>
      </x:c>
      <x:c r="K245" s="17" t="n">
        <x:f>IF(AND($A245&gt;='Control Room'!$A$13,$A245&lt;'Control Room'!$A$13+'Control Room'!$B$13,'Process'!BL2=1),1+('Control Room'!$C$13-1)*EXP(-0.5*(($A245-'Control Room'!$A$13-('Control Room'!$B$13-1)/2)/MAX(0.5,'Control Room'!$B$13/4))^2),1)*IF(AND($A245&gt;='Control Room'!$A$14,$A245&lt;'Control Room'!$A$14+'Control Room'!$B$14,'Process'!BL3=1),1+('Control Room'!$C$14-1)*EXP(-0.5*(($A245-'Control Room'!$A$14-('Control Room'!$B$14-1)/2)/MAX(0.5,'Control Room'!$B$14/4))^2),1)*IF(AND($A245&gt;='Control Room'!$A$15,$A245&lt;'Control Room'!$A$15+'Control Room'!$B$15,'Process'!BL4=1),1+('Control Room'!$C$15-1)*EXP(-0.5*(($A245-'Control Room'!$A$15-('Control Room'!$B$15-1)/2)/MAX(0.5,'Control Room'!$B$15/4))^2),1)*IF(AND($A245&gt;='Control Room'!$A$16,$A245&lt;'Control Room'!$A$16+'Control Room'!$B$16,'Process'!BL5=1),1+('Control Room'!$C$16-1)*EXP(-0.5*(($A245-'Control Room'!$A$16-('Control Room'!$B$16-1)/2)/MAX(0.5,'Control Room'!$B$16/4))^2),1)</x:f>
        <x:v>1</x:v>
      </x:c>
      <x:c r="L245" s="9" t="n">
        <x:f>MOD(M244*16807,2147483647)</x:f>
        <x:v>990886161</x:v>
      </x:c>
      <x:c r="M245" s="9" t="n">
        <x:f>MOD(L245*16807,2147483647)</x:f>
        <x:v>88025442</x:v>
      </x:c>
      <x:c r="N245" s="17" t="n">
        <x:f>IF('Control Room'!$B$5="Normal",'Control Room'!$B$7+'Control Room'!$D$7*SQRT(-2*LN(MAX(0.000000000001,L245/2147483647)))*COS(2*PI()*M245/2147483647),'Control Room'!$B$8+('Control Room'!$D$8-'Control Room'!$B$8)*L245/2147483647)</x:f>
        <x:v>1108.2451882144173</x:v>
      </x:c>
      <x:c r="O245" s="17" t="n">
        <x:f>IF('Control Room'!$B$5="Normal",'Control Room'!$B$7,('Control Room'!$B$8+'Control Room'!$D$8)/2)+'Control Room'!$B$9*(O244-IF('Control Room'!$B$5="Normal",'Control Room'!$B$7,('Control Room'!$B$8+'Control Room'!$D$8)/2))+SQRT(1-'Control Room'!$B$9^2)*(N245-IF('Control Room'!$B$5="Normal",'Control Room'!$B$7,('Control Room'!$B$8+'Control Room'!$D$8)/2))</x:f>
        <x:v>998.8094991464953</x:v>
      </x:c>
      <x:c r="P245" s="17" t="n">
        <x:f>IF(AND($A245&gt;='Control Room'!$A$13,$A245&lt;'Control Room'!$A$13+'Control Room'!$B$13,'Process'!BM2=1),1+('Control Room'!$C$13-1)*EXP(-0.5*(($A245-'Control Room'!$A$13-('Control Room'!$B$13-1)/2)/MAX(0.5,'Control Room'!$B$13/4))^2),1)*IF(AND($A245&gt;='Control Room'!$A$14,$A245&lt;'Control Room'!$A$14+'Control Room'!$B$14,'Process'!BM3=1),1+('Control Room'!$C$14-1)*EXP(-0.5*(($A245-'Control Room'!$A$14-('Control Room'!$B$14-1)/2)/MAX(0.5,'Control Room'!$B$14/4))^2),1)*IF(AND($A245&gt;='Control Room'!$A$15,$A245&lt;'Control Room'!$A$15+'Control Room'!$B$15,'Process'!BM4=1),1+('Control Room'!$C$15-1)*EXP(-0.5*(($A245-'Control Room'!$A$15-('Control Room'!$B$15-1)/2)/MAX(0.5,'Control Room'!$B$15/4))^2),1)*IF(AND($A245&gt;='Control Room'!$A$16,$A245&lt;'Control Room'!$A$16+'Control Room'!$B$16,'Process'!BM5=1),1+('Control Room'!$C$16-1)*EXP(-0.5*(($A245-'Control Room'!$A$16-('Control Room'!$B$16-1)/2)/MAX(0.5,'Control Room'!$B$16/4))^2),1)</x:f>
        <x:v>1</x:v>
      </x:c>
      <x:c r="Q245" s="9" t="n">
        <x:f>MOD(R244*16807,2147483647)</x:f>
        <x:v>1157056635</x:v>
      </x:c>
      <x:c r="R245" s="9" t="n">
        <x:f>MOD(Q245*16807,2147483647)</x:f>
        <x:v>1186440860</x:v>
      </x:c>
      <x:c r="S245" s="17" t="n">
        <x:f>IF('Control Room'!$B$5="Normal",'Control Room'!$B$7+'Control Room'!$D$7*SQRT(-2*LN(MAX(0.000000000001,Q245/2147483647)))*COS(2*PI()*R245/2147483647),'Control Room'!$B$8+('Control Room'!$D$8-'Control Room'!$B$8)*Q245/2147483647)</x:f>
        <x:v>905.3004879540272</x:v>
      </x:c>
      <x:c r="T245" s="17" t="n">
        <x:f>IF('Control Room'!$B$5="Normal",'Control Room'!$B$7,('Control Room'!$B$8+'Control Room'!$D$8)/2)+'Control Room'!$B$9*(T244-IF('Control Room'!$B$5="Normal",'Control Room'!$B$7,('Control Room'!$B$8+'Control Room'!$D$8)/2))+SQRT(1-'Control Room'!$B$9^2)*(S245-IF('Control Room'!$B$5="Normal",'Control Room'!$B$7,('Control Room'!$B$8+'Control Room'!$D$8)/2))</x:f>
        <x:v>929.7825446539234</x:v>
      </x:c>
      <x:c r="U245" s="17" t="n">
        <x:f>IF(AND($A245&gt;='Control Room'!$A$13,$A245&lt;'Control Room'!$A$13+'Control Room'!$B$13,'Process'!BN2=1),1+('Control Room'!$C$13-1)*EXP(-0.5*(($A245-'Control Room'!$A$13-('Control Room'!$B$13-1)/2)/MAX(0.5,'Control Room'!$B$13/4))^2),1)*IF(AND($A245&gt;='Control Room'!$A$14,$A245&lt;'Control Room'!$A$14+'Control Room'!$B$14,'Process'!BN3=1),1+('Control Room'!$C$14-1)*EXP(-0.5*(($A245-'Control Room'!$A$14-('Control Room'!$B$14-1)/2)/MAX(0.5,'Control Room'!$B$14/4))^2),1)*IF(AND($A245&gt;='Control Room'!$A$15,$A245&lt;'Control Room'!$A$15+'Control Room'!$B$15,'Process'!BN4=1),1+('Control Room'!$C$15-1)*EXP(-0.5*(($A245-'Control Room'!$A$15-('Control Room'!$B$15-1)/2)/MAX(0.5,'Control Room'!$B$15/4))^2),1)*IF(AND($A245&gt;='Control Room'!$A$16,$A245&lt;'Control Room'!$A$16+'Control Room'!$B$16,'Process'!BN5=1),1+('Control Room'!$C$16-1)*EXP(-0.5*(($A245-'Control Room'!$A$16-('Control Room'!$B$16-1)/2)/MAX(0.5,'Control Room'!$B$16/4))^2),1)</x:f>
        <x:v>1</x:v>
      </x:c>
      <x:c r="V245" s="9" t="n">
        <x:f>MOD(W244*16807,2147483647)</x:f>
        <x:v>1323227109</x:v>
      </x:c>
      <x:c r="W245" s="9" t="n">
        <x:f>MOD(V245*16807,2147483647)</x:f>
        <x:v>137372631</x:v>
      </x:c>
      <x:c r="X245" s="17" t="n">
        <x:f>IF('Control Room'!$B$5="Normal",'Control Room'!$B$7+'Control Room'!$D$7*SQRT(-2*LN(MAX(0.000000000001,V245/2147483647)))*COS(2*PI()*W245/2147483647),'Control Room'!$B$8+('Control Room'!$D$8-'Control Room'!$B$8)*V245/2147483647)</x:f>
        <x:v>1081.5104719244443</x:v>
      </x:c>
      <x:c r="Y245" s="17" t="n">
        <x:f>IF('Control Room'!$B$5="Normal",'Control Room'!$B$7,('Control Room'!$B$8+'Control Room'!$D$8)/2)+'Control Room'!$B$9*(Y244-IF('Control Room'!$B$5="Normal",'Control Room'!$B$7,('Control Room'!$B$8+'Control Room'!$D$8)/2))+SQRT(1-'Control Room'!$B$9^2)*(X245-IF('Control Room'!$B$5="Normal",'Control Room'!$B$7,('Control Room'!$B$8+'Control Room'!$D$8)/2))</x:f>
        <x:v>950.7576660489983</x:v>
      </x:c>
      <x:c r="Z245" s="17" t="n">
        <x:f>IF(AND($A245&gt;='Control Room'!$A$13,$A245&lt;'Control Room'!$A$13+'Control Room'!$B$13,'Process'!BO2=1),1+('Control Room'!$C$13-1)*EXP(-0.5*(($A245-'Control Room'!$A$13-('Control Room'!$B$13-1)/2)/MAX(0.5,'Control Room'!$B$13/4))^2),1)*IF(AND($A245&gt;='Control Room'!$A$14,$A245&lt;'Control Room'!$A$14+'Control Room'!$B$14,'Process'!BO3=1),1+('Control Room'!$C$14-1)*EXP(-0.5*(($A245-'Control Room'!$A$14-('Control Room'!$B$14-1)/2)/MAX(0.5,'Control Room'!$B$14/4))^2),1)*IF(AND($A245&gt;='Control Room'!$A$15,$A245&lt;'Control Room'!$A$15+'Control Room'!$B$15,'Process'!BO4=1),1+('Control Room'!$C$15-1)*EXP(-0.5*(($A245-'Control Room'!$A$15-('Control Room'!$B$15-1)/2)/MAX(0.5,'Control Room'!$B$15/4))^2),1)*IF(AND($A245&gt;='Control Room'!$A$16,$A245&lt;'Control Room'!$A$16+'Control Room'!$B$16,'Process'!BO5=1),1+('Control Room'!$C$16-1)*EXP(-0.5*(($A245-'Control Room'!$A$16-('Control Room'!$B$16-1)/2)/MAX(0.5,'Control Room'!$B$16/4))^2),1)</x:f>
        <x:v>1</x:v>
      </x:c>
      <x:c r="AA245" s="9" t="n">
        <x:f>MOD(AB244*16807,2147483647)</x:f>
        <x:v>1489397583</x:v>
      </x:c>
      <x:c r="AB245" s="9" t="n">
        <x:f>MOD(AA245*16807,2147483647)</x:f>
        <x:v>1235788049</x:v>
      </x:c>
      <x:c r="AC245" s="17" t="n">
        <x:f>IF('Control Room'!$B$5="Normal",'Control Room'!$B$7+'Control Room'!$D$7*SQRT(-2*LN(MAX(0.000000000001,AA245/2147483647)))*COS(2*PI()*AB245/2147483647),'Control Room'!$B$8+('Control Room'!$D$8-'Control Room'!$B$8)*AA245/2147483647)</x:f>
        <x:v>931.4993840072144</x:v>
      </x:c>
      <x:c r="AD245" s="17" t="n">
        <x:f>IF('Control Room'!$B$5="Normal",'Control Room'!$B$7,('Control Room'!$B$8+'Control Room'!$D$8)/2)+'Control Room'!$B$9*(AD244-IF('Control Room'!$B$5="Normal",'Control Room'!$B$7,('Control Room'!$B$8+'Control Room'!$D$8)/2))+SQRT(1-'Control Room'!$B$9^2)*(AC245-IF('Control Room'!$B$5="Normal",'Control Room'!$B$7,('Control Room'!$B$8+'Control Room'!$D$8)/2))</x:f>
        <x:v>981.1255344437479</x:v>
      </x:c>
      <x:c r="AE245" s="17" t="n">
        <x:f>IF(AND($A245&gt;='Control Room'!$A$13,$A245&lt;'Control Room'!$A$13+'Control Room'!$B$13,'Process'!BP2=1),1+('Control Room'!$C$13-1)*EXP(-0.5*(($A245-'Control Room'!$A$13-('Control Room'!$B$13-1)/2)/MAX(0.5,'Control Room'!$B$13/4))^2),1)*IF(AND($A245&gt;='Control Room'!$A$14,$A245&lt;'Control Room'!$A$14+'Control Room'!$B$14,'Process'!BP3=1),1+('Control Room'!$C$14-1)*EXP(-0.5*(($A245-'Control Room'!$A$14-('Control Room'!$B$14-1)/2)/MAX(0.5,'Control Room'!$B$14/4))^2),1)*IF(AND($A245&gt;='Control Room'!$A$15,$A245&lt;'Control Room'!$A$15+'Control Room'!$B$15,'Process'!BP4=1),1+('Control Room'!$C$15-1)*EXP(-0.5*(($A245-'Control Room'!$A$15-('Control Room'!$B$15-1)/2)/MAX(0.5,'Control Room'!$B$15/4))^2),1)*IF(AND($A245&gt;='Control Room'!$A$16,$A245&lt;'Control Room'!$A$16+'Control Room'!$B$16,'Process'!BP5=1),1+('Control Room'!$C$16-1)*EXP(-0.5*(($A245-'Control Room'!$A$16-('Control Room'!$B$16-1)/2)/MAX(0.5,'Control Room'!$B$16/4))^2),1)</x:f>
        <x:v>1</x:v>
      </x:c>
      <x:c r="AF245" s="9" t="n">
        <x:f>MOD(AG244*16807,2147483647)</x:f>
        <x:v>1655568057</x:v>
      </x:c>
      <x:c r="AG245" s="9" t="n">
        <x:f>MOD(AF245*16807,2147483647)</x:f>
        <x:v>186719820</x:v>
      </x:c>
      <x:c r="AH245" s="17" t="n">
        <x:f>IF('Control Room'!$B$5="Normal",'Control Room'!$B$7+'Control Room'!$D$7*SQRT(-2*LN(MAX(0.000000000001,AF245/2147483647)))*COS(2*PI()*AG245/2147483647),'Control Room'!$B$8+('Control Room'!$D$8-'Control Room'!$B$8)*AF245/2147483647)</x:f>
        <x:v>1055.469786587346</x:v>
      </x:c>
      <x:c r="AI245" s="17" t="n">
        <x:f>IF('Control Room'!$B$5="Normal",'Control Room'!$B$7,('Control Room'!$B$8+'Control Room'!$D$8)/2)+'Control Room'!$B$9*(AI244-IF('Control Room'!$B$5="Normal",'Control Room'!$B$7,('Control Room'!$B$8+'Control Room'!$D$8)/2))+SQRT(1-'Control Room'!$B$9^2)*(AH245-IF('Control Room'!$B$5="Normal",'Control Room'!$B$7,('Control Room'!$B$8+'Control Room'!$D$8)/2))</x:f>
        <x:v>1001.1436154057366</x:v>
      </x:c>
      <x:c r="AJ245" s="17" t="n">
        <x:f>IF(AND($A245&gt;='Control Room'!$A$13,$A245&lt;'Control Room'!$A$13+'Control Room'!$B$13,'Process'!BQ2=1),1+('Control Room'!$C$13-1)*EXP(-0.5*(($A245-'Control Room'!$A$13-('Control Room'!$B$13-1)/2)/MAX(0.5,'Control Room'!$B$13/4))^2),1)*IF(AND($A245&gt;='Control Room'!$A$14,$A245&lt;'Control Room'!$A$14+'Control Room'!$B$14,'Process'!BQ3=1),1+('Control Room'!$C$14-1)*EXP(-0.5*(($A245-'Control Room'!$A$14-('Control Room'!$B$14-1)/2)/MAX(0.5,'Control Room'!$B$14/4))^2),1)*IF(AND($A245&gt;='Control Room'!$A$15,$A245&lt;'Control Room'!$A$15+'Control Room'!$B$15,'Process'!BQ4=1),1+('Control Room'!$C$15-1)*EXP(-0.5*(($A245-'Control Room'!$A$15-('Control Room'!$B$15-1)/2)/MAX(0.5,'Control Room'!$B$15/4))^2),1)*IF(AND($A245&gt;='Control Room'!$A$16,$A245&lt;'Control Room'!$A$16+'Control Room'!$B$16,'Process'!BQ5=1),1+('Control Room'!$C$16-1)*EXP(-0.5*(($A245-'Control Room'!$A$16-('Control Room'!$B$16-1)/2)/MAX(0.5,'Control Room'!$B$16/4))^2),1)</x:f>
        <x:v>1</x:v>
      </x:c>
      <x:c r="AK245" s="9" t="n">
        <x:f>MOD(AL244*16807,2147483647)</x:f>
        <x:v>1821738531</x:v>
      </x:c>
      <x:c r="AL245" s="9" t="n">
        <x:f>MOD(AK245*16807,2147483647)</x:f>
        <x:v>1285135238</x:v>
      </x:c>
      <x:c r="AM245" s="17" t="n">
        <x:f>IF('Control Room'!$B$5="Normal",'Control Room'!$B$7+'Control Room'!$D$7*SQRT(-2*LN(MAX(0.000000000001,AK245/2147483647)))*COS(2*PI()*AL245/2147483647),'Control Room'!$B$8+('Control Room'!$D$8-'Control Room'!$B$8)*AK245/2147483647)</x:f>
        <x:v>957.9398512827188</x:v>
      </x:c>
      <x:c r="AN245" s="17" t="n">
        <x:f>IF('Control Room'!$B$5="Normal",'Control Room'!$B$7,('Control Room'!$B$8+'Control Room'!$D$8)/2)+'Control Room'!$B$9*(AN244-IF('Control Room'!$B$5="Normal",'Control Room'!$B$7,('Control Room'!$B$8+'Control Room'!$D$8)/2))+SQRT(1-'Control Room'!$B$9^2)*(AM245-IF('Control Room'!$B$5="Normal",'Control Room'!$B$7,('Control Room'!$B$8+'Control Room'!$D$8)/2))</x:f>
        <x:v>905.5590550171304</x:v>
      </x:c>
      <x:c r="AO245" s="17" t="n">
        <x:f>IF(AND($A245&gt;='Control Room'!$A$13,$A245&lt;'Control Room'!$A$13+'Control Room'!$B$13,'Process'!BR2=1),1+('Control Room'!$C$13-1)*EXP(-0.5*(($A245-'Control Room'!$A$13-('Control Room'!$B$13-1)/2)/MAX(0.5,'Control Room'!$B$13/4))^2),1)*IF(AND($A245&gt;='Control Room'!$A$14,$A245&lt;'Control Room'!$A$14+'Control Room'!$B$14,'Process'!BR3=1),1+('Control Room'!$C$14-1)*EXP(-0.5*(($A245-'Control Room'!$A$14-('Control Room'!$B$14-1)/2)/MAX(0.5,'Control Room'!$B$14/4))^2),1)*IF(AND($A245&gt;='Control Room'!$A$15,$A245&lt;'Control Room'!$A$15+'Control Room'!$B$15,'Process'!BR4=1),1+('Control Room'!$C$15-1)*EXP(-0.5*(($A245-'Control Room'!$A$15-('Control Room'!$B$15-1)/2)/MAX(0.5,'Control Room'!$B$15/4))^2),1)*IF(AND($A245&gt;='Control Room'!$A$16,$A245&lt;'Control Room'!$A$16+'Control Room'!$B$16,'Process'!BR5=1),1+('Control Room'!$C$16-1)*EXP(-0.5*(($A245-'Control Room'!$A$16-('Control Room'!$B$16-1)/2)/MAX(0.5,'Control Room'!$B$16/4))^2),1)</x:f>
        <x:v>1</x:v>
      </x:c>
      <x:c r="AP245" s="9" t="n">
        <x:f>MOD(AQ244*16807,2147483647)</x:f>
        <x:v>1987909005</x:v>
      </x:c>
      <x:c r="AQ245" s="9" t="n">
        <x:f>MOD(AP245*16807,2147483647)</x:f>
        <x:v>236067009</x:v>
      </x:c>
      <x:c r="AR245" s="17" t="n">
        <x:f>IF('Control Room'!$B$5="Normal",'Control Room'!$B$7+'Control Room'!$D$7*SQRT(-2*LN(MAX(0.000000000001,AP245/2147483647)))*COS(2*PI()*AQ245/2147483647),'Control Room'!$B$8+('Control Room'!$D$8-'Control Room'!$B$8)*AP245/2147483647)</x:f>
        <x:v>1027.2613987156644</x:v>
      </x:c>
      <x:c r="AS245" s="17" t="n">
        <x:f>IF('Control Room'!$B$5="Normal",'Control Room'!$B$7,('Control Room'!$B$8+'Control Room'!$D$8)/2)+'Control Room'!$B$9*(AS244-IF('Control Room'!$B$5="Normal",'Control Room'!$B$7,('Control Room'!$B$8+'Control Room'!$D$8)/2))+SQRT(1-'Control Room'!$B$9^2)*(AR245-IF('Control Room'!$B$5="Normal",'Control Room'!$B$7,('Control Room'!$B$8+'Control Room'!$D$8)/2))</x:f>
        <x:v>1171.7519198049538</x:v>
      </x:c>
      <x:c r="AT245" s="17" t="n">
        <x:f>IF(AND($A245&gt;='Control Room'!$A$13,$A245&lt;'Control Room'!$A$13+'Control Room'!$B$13,'Process'!BS2=1),1+('Control Room'!$C$13-1)*EXP(-0.5*(($A245-'Control Room'!$A$13-('Control Room'!$B$13-1)/2)/MAX(0.5,'Control Room'!$B$13/4))^2),1)*IF(AND($A245&gt;='Control Room'!$A$14,$A245&lt;'Control Room'!$A$14+'Control Room'!$B$14,'Process'!BS3=1),1+('Control Room'!$C$14-1)*EXP(-0.5*(($A245-'Control Room'!$A$14-('Control Room'!$B$14-1)/2)/MAX(0.5,'Control Room'!$B$14/4))^2),1)*IF(AND($A245&gt;='Control Room'!$A$15,$A245&lt;'Control Room'!$A$15+'Control Room'!$B$15,'Process'!BS4=1),1+('Control Room'!$C$15-1)*EXP(-0.5*(($A245-'Control Room'!$A$15-('Control Room'!$B$15-1)/2)/MAX(0.5,'Control Room'!$B$15/4))^2),1)*IF(AND($A245&gt;='Control Room'!$A$16,$A245&lt;'Control Room'!$A$16+'Control Room'!$B$16,'Process'!BS5=1),1+('Control Room'!$C$16-1)*EXP(-0.5*(($A245-'Control Room'!$A$16-('Control Room'!$B$16-1)/2)/MAX(0.5,'Control Room'!$B$16/4))^2),1)</x:f>
        <x:v>1</x:v>
      </x:c>
      <x:c r="AU245" s="9" t="n">
        <x:f>MOD(AV244*16807,2147483647)</x:f>
        <x:v>6595832</x:v>
      </x:c>
      <x:c r="AV245" s="9" t="n">
        <x:f>MOD(AU245*16807,2147483647)</x:f>
        <x:v>1334482427</x:v>
      </x:c>
      <x:c r="AW245" s="17" t="n">
        <x:f>IF('Control Room'!$B$5="Normal",'Control Room'!$B$7+'Control Room'!$D$7*SQRT(-2*LN(MAX(0.000000000001,AU245/2147483647)))*COS(2*PI()*AV245/2147483647),'Control Room'!$B$8+('Control Room'!$D$8-'Control Room'!$B$8)*AU245/2147483647)</x:f>
        <x:v>778.7017436069832</x:v>
      </x:c>
      <x:c r="AX245" s="17" t="n">
        <x:f>IF('Control Room'!$B$5="Normal",'Control Room'!$B$7,('Control Room'!$B$8+'Control Room'!$D$8)/2)+'Control Room'!$B$9*(AX244-IF('Control Room'!$B$5="Normal",'Control Room'!$B$7,('Control Room'!$B$8+'Control Room'!$D$8)/2))+SQRT(1-'Control Room'!$B$9^2)*(AW245-IF('Control Room'!$B$5="Normal",'Control Room'!$B$7,('Control Room'!$B$8+'Control Room'!$D$8)/2))</x:f>
        <x:v>764.9405652119334</x:v>
      </x:c>
      <x:c r="AY245" s="17" t="n">
        <x:f>IF(AND($A245&gt;='Control Room'!$A$13,$A245&lt;'Control Room'!$A$13+'Control Room'!$B$13,'Process'!BT2=1),1+('Control Room'!$C$13-1)*EXP(-0.5*(($A245-'Control Room'!$A$13-('Control Room'!$B$13-1)/2)/MAX(0.5,'Control Room'!$B$13/4))^2),1)*IF(AND($A245&gt;='Control Room'!$A$14,$A245&lt;'Control Room'!$A$14+'Control Room'!$B$14,'Process'!BT3=1),1+('Control Room'!$C$14-1)*EXP(-0.5*(($A245-'Control Room'!$A$14-('Control Room'!$B$14-1)/2)/MAX(0.5,'Control Room'!$B$14/4))^2),1)*IF(AND($A245&gt;='Control Room'!$A$15,$A245&lt;'Control Room'!$A$15+'Control Room'!$B$15,'Process'!BT4=1),1+('Control Room'!$C$15-1)*EXP(-0.5*(($A245-'Control Room'!$A$15-('Control Room'!$B$15-1)/2)/MAX(0.5,'Control Room'!$B$15/4))^2),1)*IF(AND($A245&gt;='Control Room'!$A$16,$A245&lt;'Control Room'!$A$16+'Control Room'!$B$16,'Process'!BT5=1),1+('Control Room'!$C$16-1)*EXP(-0.5*(($A245-'Control Room'!$A$16-('Control Room'!$B$16-1)/2)/MAX(0.5,'Control Room'!$B$16/4))^2),1)</x:f>
        <x:v>1</x:v>
      </x:c>
      <x:c r="AZ245" s="9" t="n">
        <x:f>MOD(BA244*16807,2147483647)</x:f>
        <x:v>172766306</x:v>
      </x:c>
      <x:c r="BA245" s="9" t="n">
        <x:f>MOD(AZ245*16807,2147483647)</x:f>
        <x:v>285414198</x:v>
      </x:c>
      <x:c r="BB245" s="17" t="n">
        <x:f>IF('Control Room'!$B$5="Normal",'Control Room'!$B$7+'Control Room'!$D$7*SQRT(-2*LN(MAX(0.000000000001,AZ245/2147483647)))*COS(2*PI()*BA245/2147483647),'Control Room'!$B$8+('Control Room'!$D$8-'Control Room'!$B$8)*AZ245/2147483647)</x:f>
        <x:v>1135.6028719572976</x:v>
      </x:c>
      <x:c r="BC245" s="17" t="n">
        <x:f>IF('Control Room'!$B$5="Normal",'Control Room'!$B$7,('Control Room'!$B$8+'Control Room'!$D$8)/2)+'Control Room'!$B$9*(BC244-IF('Control Room'!$B$5="Normal",'Control Room'!$B$7,('Control Room'!$B$8+'Control Room'!$D$8)/2))+SQRT(1-'Control Room'!$B$9^2)*(BB245-IF('Control Room'!$B$5="Normal",'Control Room'!$B$7,('Control Room'!$B$8+'Control Room'!$D$8)/2))</x:f>
        <x:v>1091.4809378214395</x:v>
      </x:c>
      <x:c r="BD245" s="17" t="n">
        <x:f>IF(AND($A245&gt;='Control Room'!$A$13,$A245&lt;'Control Room'!$A$13+'Control Room'!$B$13,'Process'!BU2=1),1+('Control Room'!$C$13-1)*EXP(-0.5*(($A245-'Control Room'!$A$13-('Control Room'!$B$13-1)/2)/MAX(0.5,'Control Room'!$B$13/4))^2),1)*IF(AND($A245&gt;='Control Room'!$A$14,$A245&lt;'Control Room'!$A$14+'Control Room'!$B$14,'Process'!BU3=1),1+('Control Room'!$C$14-1)*EXP(-0.5*(($A245-'Control Room'!$A$14-('Control Room'!$B$14-1)/2)/MAX(0.5,'Control Room'!$B$14/4))^2),1)*IF(AND($A245&gt;='Control Room'!$A$15,$A245&lt;'Control Room'!$A$15+'Control Room'!$B$15,'Process'!BU4=1),1+('Control Room'!$C$15-1)*EXP(-0.5*(($A245-'Control Room'!$A$15-('Control Room'!$B$15-1)/2)/MAX(0.5,'Control Room'!$B$15/4))^2),1)*IF(AND($A245&gt;='Control Room'!$A$16,$A245&lt;'Control Room'!$A$16+'Control Room'!$B$16,'Process'!BU5=1),1+('Control Room'!$C$16-1)*EXP(-0.5*(($A245-'Control Room'!$A$16-('Control Room'!$B$16-1)/2)/MAX(0.5,'Control Room'!$B$16/4))^2),1)</x:f>
        <x:v>1</x:v>
      </x:c>
      <x:c r="BE245" s="9" t="n">
        <x:f>MOD(BF244*16807,2147483647)</x:f>
        <x:v>338936780</x:v>
      </x:c>
      <x:c r="BF245" s="9" t="n">
        <x:f>MOD(BE245*16807,2147483647)</x:f>
        <x:v>1383829616</x:v>
      </x:c>
      <x:c r="BG245" s="17" t="n">
        <x:f>IF('Control Room'!$B$5="Normal",'Control Room'!$B$7+'Control Room'!$D$7*SQRT(-2*LN(MAX(0.000000000001,BE245/2147483647)))*COS(2*PI()*BF245/2147483647),'Control Room'!$B$8+('Control Room'!$D$8-'Control Room'!$B$8)*BE245/2147483647)</x:f>
        <x:v>893.4844674947545</x:v>
      </x:c>
      <x:c r="BH245" s="17" t="n">
        <x:f>IF('Control Room'!$B$5="Normal",'Control Room'!$B$7,('Control Room'!$B$8+'Control Room'!$D$8)/2)+'Control Room'!$B$9*(BH244-IF('Control Room'!$B$5="Normal",'Control Room'!$B$7,('Control Room'!$B$8+'Control Room'!$D$8)/2))+SQRT(1-'Control Room'!$B$9^2)*(BG245-IF('Control Room'!$B$5="Normal",'Control Room'!$B$7,('Control Room'!$B$8+'Control Room'!$D$8)/2))</x:f>
        <x:v>1001.9730137270467</x:v>
      </x:c>
      <x:c r="BI245" s="17" t="n">
        <x:f>IF(AND($A245&gt;='Control Room'!$A$13,$A245&lt;'Control Room'!$A$13+'Control Room'!$B$13,'Process'!BV2=1),1+('Control Room'!$C$13-1)*EXP(-0.5*(($A245-'Control Room'!$A$13-('Control Room'!$B$13-1)/2)/MAX(0.5,'Control Room'!$B$13/4))^2),1)*IF(AND($A245&gt;='Control Room'!$A$14,$A245&lt;'Control Room'!$A$14+'Control Room'!$B$14,'Process'!BV3=1),1+('Control Room'!$C$14-1)*EXP(-0.5*(($A245-'Control Room'!$A$14-('Control Room'!$B$14-1)/2)/MAX(0.5,'Control Room'!$B$14/4))^2),1)*IF(AND($A245&gt;='Control Room'!$A$15,$A245&lt;'Control Room'!$A$15+'Control Room'!$B$15,'Process'!BV4=1),1+('Control Room'!$C$15-1)*EXP(-0.5*(($A245-'Control Room'!$A$15-('Control Room'!$B$15-1)/2)/MAX(0.5,'Control Room'!$B$15/4))^2),1)*IF(AND($A245&gt;='Control Room'!$A$16,$A245&lt;'Control Room'!$A$16+'Control Room'!$B$16,'Process'!BV5=1),1+('Control Room'!$C$16-1)*EXP(-0.5*(($A245-'Control Room'!$A$16-('Control Room'!$B$16-1)/2)/MAX(0.5,'Control Room'!$B$16/4))^2),1)</x:f>
        <x:v>1</x:v>
      </x:c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Z245" t="str">
        <x:f>IF('Data'!A245="","",TEXT('Data'!A245,"mm-dd"))</x:f>
      </x:c>
    </x:row>
    <x:row r="246" ht="21" customHeight="1">
      <x:c r="A246" s="15" t="n">
        <x:f>'Control Room'!$B$1+244</x:f>
        <x:v>73235</x:v>
      </x:c>
      <x:c r="B246" s="9" t="n">
        <x:f>MOD(C245*16807,2147483647)</x:f>
        <x:v>1525336777</x:v>
      </x:c>
      <x:c r="C246" s="9" t="n">
        <x:f>MOD(B246*16807,2147483647)</x:f>
        <x:v>1822916800</x:v>
      </x:c>
      <x:c r="D246" s="17" t="n">
        <x:f>IF('Control Room'!$B$5="Normal",'Control Room'!$B$7+'Control Room'!$D$7*SQRT(-2*LN(MAX(0.000000000001,B246/2147483647)))*COS(2*PI()*C246/2147483647),'Control Room'!$B$8+('Control Room'!$D$8-'Control Room'!$B$8)*B246/2147483647)</x:f>
        <x:v>1043.3245173635562</x:v>
      </x:c>
      <x:c r="E246" s="17" t="n">
        <x:f>IF('Control Room'!$B$5="Normal",'Control Room'!$B$7,('Control Room'!$B$8+'Control Room'!$D$8)/2)+'Control Room'!$B$9*(E245-IF('Control Room'!$B$5="Normal",'Control Room'!$B$7,('Control Room'!$B$8+'Control Room'!$D$8)/2))+SQRT(1-'Control Room'!$B$9^2)*(D246-IF('Control Room'!$B$5="Normal",'Control Room'!$B$7,('Control Room'!$B$8+'Control Room'!$D$8)/2))</x:f>
        <x:v>1081.3277014155235</x:v>
      </x:c>
      <x:c r="F246" s="17" t="n">
        <x:f>IF(AND($A246&gt;='Control Room'!$A$13,$A246&lt;'Control Room'!$A$13+'Control Room'!$B$13,'Process'!BK2=1),1+('Control Room'!$C$13-1)*EXP(-0.5*(($A246-'Control Room'!$A$13-('Control Room'!$B$13-1)/2)/MAX(0.5,'Control Room'!$B$13/4))^2),1)*IF(AND($A246&gt;='Control Room'!$A$14,$A246&lt;'Control Room'!$A$14+'Control Room'!$B$14,'Process'!BK3=1),1+('Control Room'!$C$14-1)*EXP(-0.5*(($A246-'Control Room'!$A$14-('Control Room'!$B$14-1)/2)/MAX(0.5,'Control Room'!$B$14/4))^2),1)*IF(AND($A246&gt;='Control Room'!$A$15,$A246&lt;'Control Room'!$A$15+'Control Room'!$B$15,'Process'!BK4=1),1+('Control Room'!$C$15-1)*EXP(-0.5*(($A246-'Control Room'!$A$15-('Control Room'!$B$15-1)/2)/MAX(0.5,'Control Room'!$B$15/4))^2),1)*IF(AND($A246&gt;='Control Room'!$A$16,$A246&lt;'Control Room'!$A$16+'Control Room'!$B$16,'Process'!BK5=1),1+('Control Room'!$C$16-1)*EXP(-0.5*(($A246-'Control Room'!$A$16-('Control Room'!$B$16-1)/2)/MAX(0.5,'Control Room'!$B$16/4))^2),1)</x:f>
        <x:v>1</x:v>
      </x:c>
      <x:c r="G246" s="9" t="n">
        <x:f>MOD(H245*16807,2147483647)</x:f>
        <x:v>676353844</x:v>
      </x:c>
      <x:c r="H246" s="9" t="n">
        <x:f>MOD(G246*16807,2147483647)</x:f>
        <x:v>848112537</x:v>
      </x:c>
      <x:c r="I246" s="17" t="n">
        <x:f>IF('Control Room'!$B$5="Normal",'Control Room'!$B$7+'Control Room'!$D$7*SQRT(-2*LN(MAX(0.000000000001,G246/2147483647)))*COS(2*PI()*H246/2147483647),'Control Room'!$B$8+('Control Room'!$D$8-'Control Room'!$B$8)*G246/2147483647)</x:f>
        <x:v>891.9356631891366</x:v>
      </x:c>
      <x:c r="J246" s="17" t="n">
        <x:f>IF('Control Room'!$B$5="Normal",'Control Room'!$B$7,('Control Room'!$B$8+'Control Room'!$D$8)/2)+'Control Room'!$B$9*(J245-IF('Control Room'!$B$5="Normal",'Control Room'!$B$7,('Control Room'!$B$8+'Control Room'!$D$8)/2))+SQRT(1-'Control Room'!$B$9^2)*(I246-IF('Control Room'!$B$5="Normal",'Control Room'!$B$7,('Control Room'!$B$8+'Control Room'!$D$8)/2))</x:f>
        <x:v>979.0598076234439</x:v>
      </x:c>
      <x:c r="K246" s="17" t="n">
        <x:f>IF(AND($A246&gt;='Control Room'!$A$13,$A246&lt;'Control Room'!$A$13+'Control Room'!$B$13,'Process'!BL2=1),1+('Control Room'!$C$13-1)*EXP(-0.5*(($A246-'Control Room'!$A$13-('Control Room'!$B$13-1)/2)/MAX(0.5,'Control Room'!$B$13/4))^2),1)*IF(AND($A246&gt;='Control Room'!$A$14,$A246&lt;'Control Room'!$A$14+'Control Room'!$B$14,'Process'!BL3=1),1+('Control Room'!$C$14-1)*EXP(-0.5*(($A246-'Control Room'!$A$14-('Control Room'!$B$14-1)/2)/MAX(0.5,'Control Room'!$B$14/4))^2),1)*IF(AND($A246&gt;='Control Room'!$A$15,$A246&lt;'Control Room'!$A$15+'Control Room'!$B$15,'Process'!BL4=1),1+('Control Room'!$C$15-1)*EXP(-0.5*(($A246-'Control Room'!$A$15-('Control Room'!$B$15-1)/2)/MAX(0.5,'Control Room'!$B$15/4))^2),1)*IF(AND($A246&gt;='Control Room'!$A$16,$A246&lt;'Control Room'!$A$16+'Control Room'!$B$16,'Process'!BL5=1),1+('Control Room'!$C$16-1)*EXP(-0.5*(($A246-'Control Room'!$A$16-('Control Room'!$B$16-1)/2)/MAX(0.5,'Control Room'!$B$16/4))^2),1)</x:f>
        <x:v>1</x:v>
      </x:c>
      <x:c r="L246" s="9" t="n">
        <x:f>MOD(M245*16807,2147483647)</x:f>
        <x:v>1974854558</x:v>
      </x:c>
      <x:c r="M246" s="9" t="n">
        <x:f>MOD(L246*16807,2147483647)</x:f>
        <x:v>2020791921</x:v>
      </x:c>
      <x:c r="N246" s="17" t="n">
        <x:f>IF('Control Room'!$B$5="Normal",'Control Room'!$B$7+'Control Room'!$D$7*SQRT(-2*LN(MAX(0.000000000001,L246/2147483647)))*COS(2*PI()*M246/2147483647),'Control Room'!$B$8+('Control Room'!$D$8-'Control Room'!$B$8)*L246/2147483647)</x:f>
        <x:v>1034.3430297965922</x:v>
      </x:c>
      <x:c r="O246" s="17" t="n">
        <x:f>IF('Control Room'!$B$5="Normal",'Control Room'!$B$7,('Control Room'!$B$8+'Control Room'!$D$8)/2)+'Control Room'!$B$9*(O245-IF('Control Room'!$B$5="Normal",'Control Room'!$B$7,('Control Room'!$B$8+'Control Room'!$D$8)/2))+SQRT(1-'Control Room'!$B$9^2)*(N246-IF('Control Room'!$B$5="Normal",'Control Room'!$B$7,('Control Room'!$B$8+'Control Room'!$D$8)/2))</x:f>
        <x:v>1020.5625738257668</x:v>
      </x:c>
      <x:c r="P246" s="17" t="n">
        <x:f>IF(AND($A246&gt;='Control Room'!$A$13,$A246&lt;'Control Room'!$A$13+'Control Room'!$B$13,'Process'!BM2=1),1+('Control Room'!$C$13-1)*EXP(-0.5*(($A246-'Control Room'!$A$13-('Control Room'!$B$13-1)/2)/MAX(0.5,'Control Room'!$B$13/4))^2),1)*IF(AND($A246&gt;='Control Room'!$A$14,$A246&lt;'Control Room'!$A$14+'Control Room'!$B$14,'Process'!BM3=1),1+('Control Room'!$C$14-1)*EXP(-0.5*(($A246-'Control Room'!$A$14-('Control Room'!$B$14-1)/2)/MAX(0.5,'Control Room'!$B$14/4))^2),1)*IF(AND($A246&gt;='Control Room'!$A$15,$A246&lt;'Control Room'!$A$15+'Control Room'!$B$15,'Process'!BM4=1),1+('Control Room'!$C$15-1)*EXP(-0.5*(($A246-'Control Room'!$A$15-('Control Room'!$B$15-1)/2)/MAX(0.5,'Control Room'!$B$15/4))^2),1)*IF(AND($A246&gt;='Control Room'!$A$16,$A246&lt;'Control Room'!$A$16+'Control Room'!$B$16,'Process'!BM5=1),1+('Control Room'!$C$16-1)*EXP(-0.5*(($A246-'Control Room'!$A$16-('Control Room'!$B$16-1)/2)/MAX(0.5,'Control Room'!$B$16/4))^2),1)</x:f>
        <x:v>1</x:v>
      </x:c>
      <x:c r="Q246" s="9" t="n">
        <x:f>MOD(R245*16807,2147483647)</x:f>
        <x:v>1125871625</x:v>
      </x:c>
      <x:c r="R246" s="9" t="n">
        <x:f>MOD(Q246*16807,2147483647)</x:f>
        <x:v>1045987658</x:v>
      </x:c>
      <x:c r="S246" s="17" t="n">
        <x:f>IF('Control Room'!$B$5="Normal",'Control Room'!$B$7+'Control Room'!$D$7*SQRT(-2*LN(MAX(0.000000000001,Q246/2147483647)))*COS(2*PI()*R246/2147483647),'Control Room'!$B$8+('Control Room'!$D$8-'Control Room'!$B$8)*Q246/2147483647)</x:f>
        <x:v>898.0581222897339</x:v>
      </x:c>
      <x:c r="T246" s="17" t="n">
        <x:f>IF('Control Room'!$B$5="Normal",'Control Room'!$B$7,('Control Room'!$B$8+'Control Room'!$D$8)/2)+'Control Room'!$B$9*(T245-IF('Control Room'!$B$5="Normal",'Control Room'!$B$7,('Control Room'!$B$8+'Control Room'!$D$8)/2))+SQRT(1-'Control Room'!$B$9^2)*(S246-IF('Control Room'!$B$5="Normal",'Control Room'!$B$7,('Control Room'!$B$8+'Control Room'!$D$8)/2))</x:f>
        <x:v>881.4372461518549</x:v>
      </x:c>
      <x:c r="U246" s="17" t="n">
        <x:f>IF(AND($A246&gt;='Control Room'!$A$13,$A246&lt;'Control Room'!$A$13+'Control Room'!$B$13,'Process'!BN2=1),1+('Control Room'!$C$13-1)*EXP(-0.5*(($A246-'Control Room'!$A$13-('Control Room'!$B$13-1)/2)/MAX(0.5,'Control Room'!$B$13/4))^2),1)*IF(AND($A246&gt;='Control Room'!$A$14,$A246&lt;'Control Room'!$A$14+'Control Room'!$B$14,'Process'!BN3=1),1+('Control Room'!$C$14-1)*EXP(-0.5*(($A246-'Control Room'!$A$14-('Control Room'!$B$14-1)/2)/MAX(0.5,'Control Room'!$B$14/4))^2),1)*IF(AND($A246&gt;='Control Room'!$A$15,$A246&lt;'Control Room'!$A$15+'Control Room'!$B$15,'Process'!BN4=1),1+('Control Room'!$C$15-1)*EXP(-0.5*(($A246-'Control Room'!$A$15-('Control Room'!$B$15-1)/2)/MAX(0.5,'Control Room'!$B$15/4))^2),1)*IF(AND($A246&gt;='Control Room'!$A$16,$A246&lt;'Control Room'!$A$16+'Control Room'!$B$16,'Process'!BN5=1),1+('Control Room'!$C$16-1)*EXP(-0.5*(($A246-'Control Room'!$A$16-('Control Room'!$B$16-1)/2)/MAX(0.5,'Control Room'!$B$16/4))^2),1)</x:f>
        <x:v>1</x:v>
      </x:c>
      <x:c r="V246" s="9" t="n">
        <x:f>MOD(W245*16807,2147483647)</x:f>
        <x:v>276888692</x:v>
      </x:c>
      <x:c r="W246" s="9" t="n">
        <x:f>MOD(V246*16807,2147483647)</x:f>
        <x:v>71183395</x:v>
      </x:c>
      <x:c r="X246" s="17" t="n">
        <x:f>IF('Control Room'!$B$5="Normal",'Control Room'!$B$7+'Control Room'!$D$7*SQRT(-2*LN(MAX(0.000000000001,V246/2147483647)))*COS(2*PI()*W246/2147483647),'Control Room'!$B$8+('Control Room'!$D$8-'Control Room'!$B$8)*V246/2147483647)</x:f>
        <x:v>1178.2299605120945</x:v>
      </x:c>
      <x:c r="Y246" s="17" t="n">
        <x:f>IF('Control Room'!$B$5="Normal",'Control Room'!$B$7,('Control Room'!$B$8+'Control Room'!$D$8)/2)+'Control Room'!$B$9*(Y245-IF('Control Room'!$B$5="Normal",'Control Room'!$B$7,('Control Room'!$B$8+'Control Room'!$D$8)/2))+SQRT(1-'Control Room'!$B$9^2)*(X246-IF('Control Room'!$B$5="Normal",'Control Room'!$B$7,('Control Room'!$B$8+'Control Room'!$D$8)/2))</x:f>
        <x:v>1073.123637567484</x:v>
      </x:c>
      <x:c r="Z246" s="17" t="n">
        <x:f>IF(AND($A246&gt;='Control Room'!$A$13,$A246&lt;'Control Room'!$A$13+'Control Room'!$B$13,'Process'!BO2=1),1+('Control Room'!$C$13-1)*EXP(-0.5*(($A246-'Control Room'!$A$13-('Control Room'!$B$13-1)/2)/MAX(0.5,'Control Room'!$B$13/4))^2),1)*IF(AND($A246&gt;='Control Room'!$A$14,$A246&lt;'Control Room'!$A$14+'Control Room'!$B$14,'Process'!BO3=1),1+('Control Room'!$C$14-1)*EXP(-0.5*(($A246-'Control Room'!$A$14-('Control Room'!$B$14-1)/2)/MAX(0.5,'Control Room'!$B$14/4))^2),1)*IF(AND($A246&gt;='Control Room'!$A$15,$A246&lt;'Control Room'!$A$15+'Control Room'!$B$15,'Process'!BO4=1),1+('Control Room'!$C$15-1)*EXP(-0.5*(($A246-'Control Room'!$A$15-('Control Room'!$B$15-1)/2)/MAX(0.5,'Control Room'!$B$15/4))^2),1)*IF(AND($A246&gt;='Control Room'!$A$16,$A246&lt;'Control Room'!$A$16+'Control Room'!$B$16,'Process'!BO5=1),1+('Control Room'!$C$16-1)*EXP(-0.5*(($A246-'Control Room'!$A$16-('Control Room'!$B$16-1)/2)/MAX(0.5,'Control Room'!$B$16/4))^2),1)</x:f>
        <x:v>1</x:v>
      </x:c>
      <x:c r="AA246" s="9" t="n">
        <x:f>MOD(AB245*16807,2147483647)</x:f>
        <x:v>1575389406</x:v>
      </x:c>
      <x:c r="AB246" s="9" t="n">
        <x:f>MOD(AA246*16807,2147483647)</x:f>
        <x:v>1243862779</x:v>
      </x:c>
      <x:c r="AC246" s="17" t="n">
        <x:f>IF('Control Room'!$B$5="Normal",'Control Room'!$B$7+'Control Room'!$D$7*SQRT(-2*LN(MAX(0.000000000001,AA246/2147483647)))*COS(2*PI()*AB246/2147483647),'Control Room'!$B$8+('Control Room'!$D$8-'Control Room'!$B$8)*AA246/2147483647)</x:f>
        <x:v>937.7534162974083</x:v>
      </x:c>
      <x:c r="AD246" s="17" t="n">
        <x:f>IF('Control Room'!$B$5="Normal",'Control Room'!$B$7,('Control Room'!$B$8+'Control Room'!$D$8)/2)+'Control Room'!$B$9*(AD245-IF('Control Room'!$B$5="Normal",'Control Room'!$B$7,('Control Room'!$B$8+'Control Room'!$D$8)/2))+SQRT(1-'Control Room'!$B$9^2)*(AC246-IF('Control Room'!$B$5="Normal",'Control Room'!$B$7,('Control Room'!$B$8+'Control Room'!$D$8)/2))</x:f>
        <x:v>946.3252799756215</x:v>
      </x:c>
      <x:c r="AE246" s="17" t="n">
        <x:f>IF(AND($A246&gt;='Control Room'!$A$13,$A246&lt;'Control Room'!$A$13+'Control Room'!$B$13,'Process'!BP2=1),1+('Control Room'!$C$13-1)*EXP(-0.5*(($A246-'Control Room'!$A$13-('Control Room'!$B$13-1)/2)/MAX(0.5,'Control Room'!$B$13/4))^2),1)*IF(AND($A246&gt;='Control Room'!$A$14,$A246&lt;'Control Room'!$A$14+'Control Room'!$B$14,'Process'!BP3=1),1+('Control Room'!$C$14-1)*EXP(-0.5*(($A246-'Control Room'!$A$14-('Control Room'!$B$14-1)/2)/MAX(0.5,'Control Room'!$B$14/4))^2),1)*IF(AND($A246&gt;='Control Room'!$A$15,$A246&lt;'Control Room'!$A$15+'Control Room'!$B$15,'Process'!BP4=1),1+('Control Room'!$C$15-1)*EXP(-0.5*(($A246-'Control Room'!$A$15-('Control Room'!$B$15-1)/2)/MAX(0.5,'Control Room'!$B$15/4))^2),1)*IF(AND($A246&gt;='Control Room'!$A$16,$A246&lt;'Control Room'!$A$16+'Control Room'!$B$16,'Process'!BP5=1),1+('Control Room'!$C$16-1)*EXP(-0.5*(($A246-'Control Room'!$A$16-('Control Room'!$B$16-1)/2)/MAX(0.5,'Control Room'!$B$16/4))^2),1)</x:f>
        <x:v>1</x:v>
      </x:c>
      <x:c r="AF246" s="9" t="n">
        <x:f>MOD(AG245*16807,2147483647)</x:f>
        <x:v>726406473</x:v>
      </x:c>
      <x:c r="AG246" s="9" t="n">
        <x:f>MOD(AF246*16807,2147483647)</x:f>
        <x:v>269058516</x:v>
      </x:c>
      <x:c r="AH246" s="17" t="n">
        <x:f>IF('Control Room'!$B$5="Normal",'Control Room'!$B$7+'Control Room'!$D$7*SQRT(-2*LN(MAX(0.000000000001,AF246/2147483647)))*COS(2*PI()*AG246/2147483647),'Control Room'!$B$8+('Control Room'!$D$8-'Control Room'!$B$8)*AF246/2147483647)</x:f>
        <x:v>1093.530324312065</x:v>
      </x:c>
      <x:c r="AI246" s="17" t="n">
        <x:f>IF('Control Room'!$B$5="Normal",'Control Room'!$B$7,('Control Room'!$B$8+'Control Room'!$D$8)/2)+'Control Room'!$B$9*(AI245-IF('Control Room'!$B$5="Normal",'Control Room'!$B$7,('Control Room'!$B$8+'Control Room'!$D$8)/2))+SQRT(1-'Control Room'!$B$9^2)*(AH246-IF('Control Room'!$B$5="Normal",'Control Room'!$B$7,('Control Room'!$B$8+'Control Room'!$D$8)/2))</x:f>
        <x:v>1059.4213808981233</x:v>
      </x:c>
      <x:c r="AJ246" s="17" t="n">
        <x:f>IF(AND($A246&gt;='Control Room'!$A$13,$A246&lt;'Control Room'!$A$13+'Control Room'!$B$13,'Process'!BQ2=1),1+('Control Room'!$C$13-1)*EXP(-0.5*(($A246-'Control Room'!$A$13-('Control Room'!$B$13-1)/2)/MAX(0.5,'Control Room'!$B$13/4))^2),1)*IF(AND($A246&gt;='Control Room'!$A$14,$A246&lt;'Control Room'!$A$14+'Control Room'!$B$14,'Process'!BQ3=1),1+('Control Room'!$C$14-1)*EXP(-0.5*(($A246-'Control Room'!$A$14-('Control Room'!$B$14-1)/2)/MAX(0.5,'Control Room'!$B$14/4))^2),1)*IF(AND($A246&gt;='Control Room'!$A$15,$A246&lt;'Control Room'!$A$15+'Control Room'!$B$15,'Process'!BQ4=1),1+('Control Room'!$C$15-1)*EXP(-0.5*(($A246-'Control Room'!$A$15-('Control Room'!$B$15-1)/2)/MAX(0.5,'Control Room'!$B$15/4))^2),1)*IF(AND($A246&gt;='Control Room'!$A$16,$A246&lt;'Control Room'!$A$16+'Control Room'!$B$16,'Process'!BQ5=1),1+('Control Room'!$C$16-1)*EXP(-0.5*(($A246-'Control Room'!$A$16-('Control Room'!$B$16-1)/2)/MAX(0.5,'Control Room'!$B$16/4))^2),1)</x:f>
        <x:v>1</x:v>
      </x:c>
      <x:c r="AK246" s="9" t="n">
        <x:f>MOD(AL245*16807,2147483647)</x:f>
        <x:v>2024907187</x:v>
      </x:c>
      <x:c r="AL246" s="9" t="n">
        <x:f>MOD(AK246*16807,2147483647)</x:f>
        <x:v>1441737900</x:v>
      </x:c>
      <x:c r="AM246" s="17" t="n">
        <x:f>IF('Control Room'!$B$5="Normal",'Control Room'!$B$7+'Control Room'!$D$7*SQRT(-2*LN(MAX(0.000000000001,AK246/2147483647)))*COS(2*PI()*AL246/2147483647),'Control Room'!$B$8+('Control Room'!$D$8-'Control Room'!$B$8)*AK246/2147483647)</x:f>
        <x:v>985.3666473812558</x:v>
      </x:c>
      <x:c r="AN246" s="17" t="n">
        <x:f>IF('Control Room'!$B$5="Normal",'Control Room'!$B$7,('Control Room'!$B$8+'Control Room'!$D$8)/2)+'Control Room'!$B$9*(AN245-IF('Control Room'!$B$5="Normal",'Control Room'!$B$7,('Control Room'!$B$8+'Control Room'!$D$8)/2))+SQRT(1-'Control Room'!$B$9^2)*(AM246-IF('Control Room'!$B$5="Normal",'Control Room'!$B$7,('Control Room'!$B$8+'Control Room'!$D$8)/2))</x:f>
        <x:v>917.1788106250746</x:v>
      </x:c>
      <x:c r="AO246" s="17" t="n">
        <x:f>IF(AND($A246&gt;='Control Room'!$A$13,$A246&lt;'Control Room'!$A$13+'Control Room'!$B$13,'Process'!BR2=1),1+('Control Room'!$C$13-1)*EXP(-0.5*(($A246-'Control Room'!$A$13-('Control Room'!$B$13-1)/2)/MAX(0.5,'Control Room'!$B$13/4))^2),1)*IF(AND($A246&gt;='Control Room'!$A$14,$A246&lt;'Control Room'!$A$14+'Control Room'!$B$14,'Process'!BR3=1),1+('Control Room'!$C$14-1)*EXP(-0.5*(($A246-'Control Room'!$A$14-('Control Room'!$B$14-1)/2)/MAX(0.5,'Control Room'!$B$14/4))^2),1)*IF(AND($A246&gt;='Control Room'!$A$15,$A246&lt;'Control Room'!$A$15+'Control Room'!$B$15,'Process'!BR4=1),1+('Control Room'!$C$15-1)*EXP(-0.5*(($A246-'Control Room'!$A$15-('Control Room'!$B$15-1)/2)/MAX(0.5,'Control Room'!$B$15/4))^2),1)*IF(AND($A246&gt;='Control Room'!$A$16,$A246&lt;'Control Room'!$A$16+'Control Room'!$B$16,'Process'!BR5=1),1+('Control Room'!$C$16-1)*EXP(-0.5*(($A246-'Control Room'!$A$16-('Control Room'!$B$16-1)/2)/MAX(0.5,'Control Room'!$B$16/4))^2),1)</x:f>
        <x:v>1</x:v>
      </x:c>
      <x:c r="AP246" s="9" t="n">
        <x:f>MOD(AQ245*16807,2147483647)</x:f>
        <x:v>1175924254</x:v>
      </x:c>
      <x:c r="AQ246" s="9" t="n">
        <x:f>MOD(AP246*16807,2147483647)</x:f>
        <x:v>466933637</x:v>
      </x:c>
      <x:c r="AR246" s="17" t="n">
        <x:f>IF('Control Room'!$B$5="Normal",'Control Room'!$B$7+'Control Room'!$D$7*SQRT(-2*LN(MAX(0.000000000001,AP246/2147483647)))*COS(2*PI()*AQ246/2147483647),'Control Room'!$B$8+('Control Room'!$D$8-'Control Room'!$B$8)*AP246/2147483647)</x:f>
        <x:v>1020.0709004824914</x:v>
      </x:c>
      <x:c r="AS246" s="17" t="n">
        <x:f>IF('Control Room'!$B$5="Normal",'Control Room'!$B$7,('Control Room'!$B$8+'Control Room'!$D$8)/2)+'Control Room'!$B$9*(AS245-IF('Control Room'!$B$5="Normal",'Control Room'!$B$7,('Control Room'!$B$8+'Control Room'!$D$8)/2))+SQRT(1-'Control Room'!$B$9^2)*(AR246-IF('Control Room'!$B$5="Normal",'Control Room'!$B$7,('Control Room'!$B$8+'Control Room'!$D$8)/2))</x:f>
        <x:v>1146.5264557950613</x:v>
      </x:c>
      <x:c r="AT246" s="17" t="n">
        <x:f>IF(AND($A246&gt;='Control Room'!$A$13,$A246&lt;'Control Room'!$A$13+'Control Room'!$B$13,'Process'!BS2=1),1+('Control Room'!$C$13-1)*EXP(-0.5*(($A246-'Control Room'!$A$13-('Control Room'!$B$13-1)/2)/MAX(0.5,'Control Room'!$B$13/4))^2),1)*IF(AND($A246&gt;='Control Room'!$A$14,$A246&lt;'Control Room'!$A$14+'Control Room'!$B$14,'Process'!BS3=1),1+('Control Room'!$C$14-1)*EXP(-0.5*(($A246-'Control Room'!$A$14-('Control Room'!$B$14-1)/2)/MAX(0.5,'Control Room'!$B$14/4))^2),1)*IF(AND($A246&gt;='Control Room'!$A$15,$A246&lt;'Control Room'!$A$15+'Control Room'!$B$15,'Process'!BS4=1),1+('Control Room'!$C$15-1)*EXP(-0.5*(($A246-'Control Room'!$A$15-('Control Room'!$B$15-1)/2)/MAX(0.5,'Control Room'!$B$15/4))^2),1)*IF(AND($A246&gt;='Control Room'!$A$16,$A246&lt;'Control Room'!$A$16+'Control Room'!$B$16,'Process'!BS5=1),1+('Control Room'!$C$16-1)*EXP(-0.5*(($A246-'Control Room'!$A$16-('Control Room'!$B$16-1)/2)/MAX(0.5,'Control Room'!$B$16/4))^2),1)</x:f>
        <x:v>1</x:v>
      </x:c>
      <x:c r="AU246" s="9" t="n">
        <x:f>MOD(AV245*16807,2147483647)</x:f>
        <x:v>326941321</x:v>
      </x:c>
      <x:c r="AV246" s="9" t="n">
        <x:f>MOD(AU246*16807,2147483647)</x:f>
        <x:v>1639613021</x:v>
      </x:c>
      <x:c r="AW246" s="17" t="n">
        <x:f>IF('Control Room'!$B$5="Normal",'Control Room'!$B$7+'Control Room'!$D$7*SQRT(-2*LN(MAX(0.000000000001,AU246/2147483647)))*COS(2*PI()*AV246/2147483647),'Control Room'!$B$8+('Control Room'!$D$8-'Control Room'!$B$8)*AU246/2147483647)</x:f>
        <x:v>1014.798907517606</x:v>
      </x:c>
      <x:c r="AX246" s="17" t="n">
        <x:f>IF('Control Room'!$B$5="Normal",'Control Room'!$B$7,('Control Room'!$B$8+'Control Room'!$D$8)/2)+'Control Room'!$B$9*(AX245-IF('Control Room'!$B$5="Normal",'Control Room'!$B$7,('Control Room'!$B$8+'Control Room'!$D$8)/2))+SQRT(1-'Control Room'!$B$9^2)*(AW246-IF('Control Room'!$B$5="Normal",'Control Room'!$B$7,('Control Room'!$B$8+'Control Room'!$D$8)/2))</x:f>
        <x:v>825.9144940177265</x:v>
      </x:c>
      <x:c r="AY246" s="17" t="n">
        <x:f>IF(AND($A246&gt;='Control Room'!$A$13,$A246&lt;'Control Room'!$A$13+'Control Room'!$B$13,'Process'!BT2=1),1+('Control Room'!$C$13-1)*EXP(-0.5*(($A246-'Control Room'!$A$13-('Control Room'!$B$13-1)/2)/MAX(0.5,'Control Room'!$B$13/4))^2),1)*IF(AND($A246&gt;='Control Room'!$A$14,$A246&lt;'Control Room'!$A$14+'Control Room'!$B$14,'Process'!BT3=1),1+('Control Room'!$C$14-1)*EXP(-0.5*(($A246-'Control Room'!$A$14-('Control Room'!$B$14-1)/2)/MAX(0.5,'Control Room'!$B$14/4))^2),1)*IF(AND($A246&gt;='Control Room'!$A$15,$A246&lt;'Control Room'!$A$15+'Control Room'!$B$15,'Process'!BT4=1),1+('Control Room'!$C$15-1)*EXP(-0.5*(($A246-'Control Room'!$A$15-('Control Room'!$B$15-1)/2)/MAX(0.5,'Control Room'!$B$15/4))^2),1)*IF(AND($A246&gt;='Control Room'!$A$16,$A246&lt;'Control Room'!$A$16+'Control Room'!$B$16,'Process'!BT5=1),1+('Control Room'!$C$16-1)*EXP(-0.5*(($A246-'Control Room'!$A$16-('Control Room'!$B$16-1)/2)/MAX(0.5,'Control Room'!$B$16/4))^2),1)</x:f>
        <x:v>1</x:v>
      </x:c>
      <x:c r="AZ246" s="9" t="n">
        <x:f>MOD(BA245*16807,2147483647)</x:f>
        <x:v>1625442035</x:v>
      </x:c>
      <x:c r="BA246" s="9" t="n">
        <x:f>MOD(AZ246*16807,2147483647)</x:f>
        <x:v>664808758</x:v>
      </x:c>
      <x:c r="BB246" s="17" t="n">
        <x:f>IF('Control Room'!$B$5="Normal",'Control Room'!$B$7+'Control Room'!$D$7*SQRT(-2*LN(MAX(0.000000000001,AZ246/2147483647)))*COS(2*PI()*BA246/2147483647),'Control Room'!$B$8+('Control Room'!$D$8-'Control Room'!$B$8)*AZ246/2147483647)</x:f>
        <x:v>975.4392063615189</x:v>
      </x:c>
      <x:c r="BC246" s="17" t="n">
        <x:f>IF('Control Room'!$B$5="Normal",'Control Room'!$B$7,('Control Room'!$B$8+'Control Room'!$D$8)/2)+'Control Room'!$B$9*(BC245-IF('Control Room'!$B$5="Normal",'Control Room'!$B$7,('Control Room'!$B$8+'Control Room'!$D$8)/2))+SQRT(1-'Control Room'!$B$9^2)*(BB246-IF('Control Room'!$B$5="Normal",'Control Room'!$B$7,('Control Room'!$B$8+'Control Room'!$D$8)/2))</x:f>
        <x:v>1055.985489996968</x:v>
      </x:c>
      <x:c r="BD246" s="17" t="n">
        <x:f>IF(AND($A246&gt;='Control Room'!$A$13,$A246&lt;'Control Room'!$A$13+'Control Room'!$B$13,'Process'!BU2=1),1+('Control Room'!$C$13-1)*EXP(-0.5*(($A246-'Control Room'!$A$13-('Control Room'!$B$13-1)/2)/MAX(0.5,'Control Room'!$B$13/4))^2),1)*IF(AND($A246&gt;='Control Room'!$A$14,$A246&lt;'Control Room'!$A$14+'Control Room'!$B$14,'Process'!BU3=1),1+('Control Room'!$C$14-1)*EXP(-0.5*(($A246-'Control Room'!$A$14-('Control Room'!$B$14-1)/2)/MAX(0.5,'Control Room'!$B$14/4))^2),1)*IF(AND($A246&gt;='Control Room'!$A$15,$A246&lt;'Control Room'!$A$15+'Control Room'!$B$15,'Process'!BU4=1),1+('Control Room'!$C$15-1)*EXP(-0.5*(($A246-'Control Room'!$A$15-('Control Room'!$B$15-1)/2)/MAX(0.5,'Control Room'!$B$15/4))^2),1)*IF(AND($A246&gt;='Control Room'!$A$16,$A246&lt;'Control Room'!$A$16+'Control Room'!$B$16,'Process'!BU5=1),1+('Control Room'!$C$16-1)*EXP(-0.5*(($A246-'Control Room'!$A$16-('Control Room'!$B$16-1)/2)/MAX(0.5,'Control Room'!$B$16/4))^2),1)</x:f>
        <x:v>1</x:v>
      </x:c>
      <x:c r="BE246" s="9" t="n">
        <x:f>MOD(BF245*16807,2147483647)</x:f>
        <x:v>776459102</x:v>
      </x:c>
      <x:c r="BF246" s="9" t="n">
        <x:f>MOD(BE246*16807,2147483647)</x:f>
        <x:v>1837488142</x:v>
      </x:c>
      <x:c r="BG246" s="17" t="n">
        <x:f>IF('Control Room'!$B$5="Normal",'Control Room'!$B$7+'Control Room'!$D$7*SQRT(-2*LN(MAX(0.000000000001,BE246/2147483647)))*COS(2*PI()*BF246/2147483647),'Control Room'!$B$8+('Control Room'!$D$8-'Control Room'!$B$8)*BE246/2147483647)</x:f>
        <x:v>1079.0943118884732</x:v>
      </x:c>
      <x:c r="BH246" s="17" t="n">
        <x:f>IF('Control Room'!$B$5="Normal",'Control Room'!$B$7,('Control Room'!$B$8+'Control Room'!$D$8)/2)+'Control Room'!$B$9*(BH245-IF('Control Room'!$B$5="Normal",'Control Room'!$B$7,('Control Room'!$B$8+'Control Room'!$D$8)/2))+SQRT(1-'Control Room'!$B$9^2)*(BG246-IF('Control Room'!$B$5="Normal",'Control Room'!$B$7,('Control Room'!$B$8+'Control Room'!$D$8)/2))</x:f>
        <x:v>1051.034550751851</x:v>
      </x:c>
      <x:c r="BI246" s="17" t="n">
        <x:f>IF(AND($A246&gt;='Control Room'!$A$13,$A246&lt;'Control Room'!$A$13+'Control Room'!$B$13,'Process'!BV2=1),1+('Control Room'!$C$13-1)*EXP(-0.5*(($A246-'Control Room'!$A$13-('Control Room'!$B$13-1)/2)/MAX(0.5,'Control Room'!$B$13/4))^2),1)*IF(AND($A246&gt;='Control Room'!$A$14,$A246&lt;'Control Room'!$A$14+'Control Room'!$B$14,'Process'!BV3=1),1+('Control Room'!$C$14-1)*EXP(-0.5*(($A246-'Control Room'!$A$14-('Control Room'!$B$14-1)/2)/MAX(0.5,'Control Room'!$B$14/4))^2),1)*IF(AND($A246&gt;='Control Room'!$A$15,$A246&lt;'Control Room'!$A$15+'Control Room'!$B$15,'Process'!BV4=1),1+('Control Room'!$C$15-1)*EXP(-0.5*(($A246-'Control Room'!$A$15-('Control Room'!$B$15-1)/2)/MAX(0.5,'Control Room'!$B$15/4))^2),1)*IF(AND($A246&gt;='Control Room'!$A$16,$A246&lt;'Control Room'!$A$16+'Control Room'!$B$16,'Process'!BV5=1),1+('Control Room'!$C$16-1)*EXP(-0.5*(($A246-'Control Room'!$A$16-('Control Room'!$B$16-1)/2)/MAX(0.5,'Control Room'!$B$16/4))^2),1)</x:f>
        <x:v>1</x:v>
      </x:c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Z246" t="str">
        <x:f>IF('Data'!A246="","",TEXT('Data'!A246,"mm-dd"))</x:f>
      </x:c>
    </x:row>
    <x:row r="247" ht="21" customHeight="1">
      <x:c r="A247" s="15" t="n">
        <x:f>'Control Room'!$B$1+245</x:f>
        <x:v>73236</x:v>
      </x:c>
      <x:c r="B247" s="9" t="n">
        <x:f>MOD(C246*16807,2147483647)</x:f>
        <x:v>1760949498</x:v>
      </x:c>
      <x:c r="C247" s="9" t="n">
        <x:f>MOD(B247*16807,2147483647)</x:f>
        <x:v>1806073579</x:v>
      </x:c>
      <x:c r="D247" s="17" t="n">
        <x:f>IF('Control Room'!$B$5="Normal",'Control Room'!$B$7+'Control Room'!$D$7*SQRT(-2*LN(MAX(0.000000000001,B247/2147483647)))*COS(2*PI()*C247/2147483647),'Control Room'!$B$8+('Control Room'!$D$8-'Control Room'!$B$8)*B247/2147483647)</x:f>
        <x:v>1030.6866375217096</x:v>
      </x:c>
      <x:c r="E247" s="17" t="n">
        <x:f>IF('Control Room'!$B$5="Normal",'Control Room'!$B$7,('Control Room'!$B$8+'Control Room'!$D$8)/2)+'Control Room'!$B$9*(E246-IF('Control Room'!$B$5="Normal",'Control Room'!$B$7,('Control Room'!$B$8+'Control Room'!$D$8)/2))+SQRT(1-'Control Room'!$B$9^2)*(D247-IF('Control Room'!$B$5="Normal",'Control Room'!$B$7,('Control Room'!$B$8+'Control Room'!$D$8)/2))</x:f>
        <x:v>1082.6386762152545</x:v>
      </x:c>
      <x:c r="F247" s="17" t="n">
        <x:f>IF(AND($A247&gt;='Control Room'!$A$13,$A247&lt;'Control Room'!$A$13+'Control Room'!$B$13,'Process'!BK2=1),1+('Control Room'!$C$13-1)*EXP(-0.5*(($A247-'Control Room'!$A$13-('Control Room'!$B$13-1)/2)/MAX(0.5,'Control Room'!$B$13/4))^2),1)*IF(AND($A247&gt;='Control Room'!$A$14,$A247&lt;'Control Room'!$A$14+'Control Room'!$B$14,'Process'!BK3=1),1+('Control Room'!$C$14-1)*EXP(-0.5*(($A247-'Control Room'!$A$14-('Control Room'!$B$14-1)/2)/MAX(0.5,'Control Room'!$B$14/4))^2),1)*IF(AND($A247&gt;='Control Room'!$A$15,$A247&lt;'Control Room'!$A$15+'Control Room'!$B$15,'Process'!BK4=1),1+('Control Room'!$C$15-1)*EXP(-0.5*(($A247-'Control Room'!$A$15-('Control Room'!$B$15-1)/2)/MAX(0.5,'Control Room'!$B$15/4))^2),1)*IF(AND($A247&gt;='Control Room'!$A$16,$A247&lt;'Control Room'!$A$16+'Control Room'!$B$16,'Process'!BK5=1),1+('Control Room'!$C$16-1)*EXP(-0.5*(($A247-'Control Room'!$A$16-('Control Room'!$B$16-1)/2)/MAX(0.5,'Control Room'!$B$16/4))^2),1)</x:f>
        <x:v>1</x:v>
      </x:c>
      <x:c r="G247" s="9" t="n">
        <x:f>MOD(H246*16807,2147483647)</x:f>
        <x:v>1378444220</x:v>
      </x:c>
      <x:c r="H247" s="9" t="n">
        <x:f>MOD(G247*16807,2147483647)</x:f>
        <x:v>458421704</x:v>
      </x:c>
      <x:c r="I247" s="17" t="n">
        <x:f>IF('Control Room'!$B$5="Normal",'Control Room'!$B$7+'Control Room'!$D$7*SQRT(-2*LN(MAX(0.000000000001,G247/2147483647)))*COS(2*PI()*H247/2147483647),'Control Room'!$B$8+('Control Room'!$D$8-'Control Room'!$B$8)*G247/2147483647)</x:f>
        <x:v>1019.2816881401372</x:v>
      </x:c>
      <x:c r="J247" s="17" t="n">
        <x:f>IF('Control Room'!$B$5="Normal",'Control Room'!$B$7,('Control Room'!$B$8+'Control Room'!$D$8)/2)+'Control Room'!$B$9*(J246-IF('Control Room'!$B$5="Normal",'Control Room'!$B$7,('Control Room'!$B$8+'Control Room'!$D$8)/2))+SQRT(1-'Control Room'!$B$9^2)*(I247-IF('Control Room'!$B$5="Normal",'Control Room'!$B$7,('Control Room'!$B$8+'Control Room'!$D$8)/2))</x:f>
        <x:v>995.7327353775321</x:v>
      </x:c>
      <x:c r="K247" s="17" t="n">
        <x:f>IF(AND($A247&gt;='Control Room'!$A$13,$A247&lt;'Control Room'!$A$13+'Control Room'!$B$13,'Process'!BL2=1),1+('Control Room'!$C$13-1)*EXP(-0.5*(($A247-'Control Room'!$A$13-('Control Room'!$B$13-1)/2)/MAX(0.5,'Control Room'!$B$13/4))^2),1)*IF(AND($A247&gt;='Control Room'!$A$14,$A247&lt;'Control Room'!$A$14+'Control Room'!$B$14,'Process'!BL3=1),1+('Control Room'!$C$14-1)*EXP(-0.5*(($A247-'Control Room'!$A$14-('Control Room'!$B$14-1)/2)/MAX(0.5,'Control Room'!$B$14/4))^2),1)*IF(AND($A247&gt;='Control Room'!$A$15,$A247&lt;'Control Room'!$A$15+'Control Room'!$B$15,'Process'!BL4=1),1+('Control Room'!$C$15-1)*EXP(-0.5*(($A247-'Control Room'!$A$15-('Control Room'!$B$15-1)/2)/MAX(0.5,'Control Room'!$B$15/4))^2),1)*IF(AND($A247&gt;='Control Room'!$A$16,$A247&lt;'Control Room'!$A$16+'Control Room'!$B$16,'Process'!BL5=1),1+('Control Room'!$C$16-1)*EXP(-0.5*(($A247-'Control Room'!$A$16-('Control Room'!$B$16-1)/2)/MAX(0.5,'Control Room'!$B$16/4))^2),1)</x:f>
        <x:v>1</x:v>
      </x:c>
      <x:c r="L247" s="9" t="n">
        <x:f>MOD(M246*16807,2147483647)</x:f>
        <x:v>995938942</x:v>
      </x:c>
      <x:c r="M247" s="9" t="n">
        <x:f>MOD(L247*16807,2147483647)</x:f>
        <x:v>1258253476</x:v>
      </x:c>
      <x:c r="N247" s="17" t="n">
        <x:f>IF('Control Room'!$B$5="Normal",'Control Room'!$B$7+'Control Room'!$D$7*SQRT(-2*LN(MAX(0.000000000001,L247/2147483647)))*COS(2*PI()*M247/2147483647),'Control Room'!$B$8+('Control Room'!$D$8-'Control Room'!$B$8)*L247/2147483647)</x:f>
        <x:v>904.2981738782969</x:v>
      </x:c>
      <x:c r="O247" s="17" t="n">
        <x:f>IF('Control Room'!$B$5="Normal",'Control Room'!$B$7,('Control Room'!$B$8+'Control Room'!$D$8)/2)+'Control Room'!$B$9*(O246-IF('Control Room'!$B$5="Normal",'Control Room'!$B$7,('Control Room'!$B$8+'Control Room'!$D$8)/2))+SQRT(1-'Control Room'!$B$9^2)*(N247-IF('Control Room'!$B$5="Normal",'Control Room'!$B$7,('Control Room'!$B$8+'Control Room'!$D$8)/2))</x:f>
        <x:v>956.1505653556103</x:v>
      </x:c>
      <x:c r="P247" s="17" t="n">
        <x:f>IF(AND($A247&gt;='Control Room'!$A$13,$A247&lt;'Control Room'!$A$13+'Control Room'!$B$13,'Process'!BM2=1),1+('Control Room'!$C$13-1)*EXP(-0.5*(($A247-'Control Room'!$A$13-('Control Room'!$B$13-1)/2)/MAX(0.5,'Control Room'!$B$13/4))^2),1)*IF(AND($A247&gt;='Control Room'!$A$14,$A247&lt;'Control Room'!$A$14+'Control Room'!$B$14,'Process'!BM3=1),1+('Control Room'!$C$14-1)*EXP(-0.5*(($A247-'Control Room'!$A$14-('Control Room'!$B$14-1)/2)/MAX(0.5,'Control Room'!$B$14/4))^2),1)*IF(AND($A247&gt;='Control Room'!$A$15,$A247&lt;'Control Room'!$A$15+'Control Room'!$B$15,'Process'!BM4=1),1+('Control Room'!$C$15-1)*EXP(-0.5*(($A247-'Control Room'!$A$15-('Control Room'!$B$15-1)/2)/MAX(0.5,'Control Room'!$B$15/4))^2),1)*IF(AND($A247&gt;='Control Room'!$A$16,$A247&lt;'Control Room'!$A$16+'Control Room'!$B$16,'Process'!BM5=1),1+('Control Room'!$C$16-1)*EXP(-0.5*(($A247-'Control Room'!$A$16-('Control Room'!$B$16-1)/2)/MAX(0.5,'Control Room'!$B$16/4))^2),1)</x:f>
        <x:v>1</x:v>
      </x:c>
      <x:c r="Q247" s="9" t="n">
        <x:f>MOD(R246*16807,2147483647)</x:f>
        <x:v>613433664</x:v>
      </x:c>
      <x:c r="R247" s="9" t="n">
        <x:f>MOD(Q247*16807,2147483647)</x:f>
        <x:v>2058085248</x:v>
      </x:c>
      <x:c r="S247" s="17" t="n">
        <x:f>IF('Control Room'!$B$5="Normal",'Control Room'!$B$7+'Control Room'!$D$7*SQRT(-2*LN(MAX(0.000000000001,Q247/2147483647)))*COS(2*PI()*R247/2147483647),'Control Room'!$B$8+('Control Room'!$D$8-'Control Room'!$B$8)*Q247/2147483647)</x:f>
        <x:v>1137.626033563908</x:v>
      </x:c>
      <x:c r="T247" s="17" t="n">
        <x:f>IF('Control Room'!$B$5="Normal",'Control Room'!$B$7,('Control Room'!$B$8+'Control Room'!$D$8)/2)+'Control Room'!$B$9*(T246-IF('Control Room'!$B$5="Normal",'Control Room'!$B$7,('Control Room'!$B$8+'Control Room'!$D$8)/2))+SQRT(1-'Control Room'!$B$9^2)*(S247-IF('Control Room'!$B$5="Normal",'Control Room'!$B$7,('Control Room'!$B$8+'Control Room'!$D$8)/2))</x:f>
        <x:v>993.6446043801938</x:v>
      </x:c>
      <x:c r="U247" s="17" t="n">
        <x:f>IF(AND($A247&gt;='Control Room'!$A$13,$A247&lt;'Control Room'!$A$13+'Control Room'!$B$13,'Process'!BN2=1),1+('Control Room'!$C$13-1)*EXP(-0.5*(($A247-'Control Room'!$A$13-('Control Room'!$B$13-1)/2)/MAX(0.5,'Control Room'!$B$13/4))^2),1)*IF(AND($A247&gt;='Control Room'!$A$14,$A247&lt;'Control Room'!$A$14+'Control Room'!$B$14,'Process'!BN3=1),1+('Control Room'!$C$14-1)*EXP(-0.5*(($A247-'Control Room'!$A$14-('Control Room'!$B$14-1)/2)/MAX(0.5,'Control Room'!$B$14/4))^2),1)*IF(AND($A247&gt;='Control Room'!$A$15,$A247&lt;'Control Room'!$A$15+'Control Room'!$B$15,'Process'!BN4=1),1+('Control Room'!$C$15-1)*EXP(-0.5*(($A247-'Control Room'!$A$15-('Control Room'!$B$15-1)/2)/MAX(0.5,'Control Room'!$B$15/4))^2),1)*IF(AND($A247&gt;='Control Room'!$A$16,$A247&lt;'Control Room'!$A$16+'Control Room'!$B$16,'Process'!BN5=1),1+('Control Room'!$C$16-1)*EXP(-0.5*(($A247-'Control Room'!$A$16-('Control Room'!$B$16-1)/2)/MAX(0.5,'Control Room'!$B$16/4))^2),1)</x:f>
        <x:v>1</x:v>
      </x:c>
      <x:c r="V247" s="9" t="n">
        <x:f>MOD(W246*16807,2147483647)</x:f>
        <x:v>230928386</x:v>
      </x:c>
      <x:c r="W247" s="9" t="n">
        <x:f>MOD(V247*16807,2147483647)</x:f>
        <x:v>710433373</x:v>
      </x:c>
      <x:c r="X247" s="17" t="n">
        <x:f>IF('Control Room'!$B$5="Normal",'Control Room'!$B$7+'Control Room'!$D$7*SQRT(-2*LN(MAX(0.000000000001,V247/2147483647)))*COS(2*PI()*W247/2147483647),'Control Room'!$B$8+('Control Room'!$D$8-'Control Room'!$B$8)*V247/2147483647)</x:f>
        <x:v>907.5766973770861</x:v>
      </x:c>
      <x:c r="Y247" s="17" t="n">
        <x:f>IF('Control Room'!$B$5="Normal",'Control Room'!$B$7,('Control Room'!$B$8+'Control Room'!$D$8)/2)+'Control Room'!$B$9*(Y246-IF('Control Room'!$B$5="Normal",'Control Room'!$B$7,('Control Room'!$B$8+'Control Room'!$D$8)/2))+SQRT(1-'Control Room'!$B$9^2)*(X247-IF('Control Room'!$B$5="Normal",'Control Room'!$B$7,('Control Room'!$B$8+'Control Room'!$D$8)/2))</x:f>
        <x:v>999.1998279154874</x:v>
      </x:c>
      <x:c r="Z247" s="17" t="n">
        <x:f>IF(AND($A247&gt;='Control Room'!$A$13,$A247&lt;'Control Room'!$A$13+'Control Room'!$B$13,'Process'!BO2=1),1+('Control Room'!$C$13-1)*EXP(-0.5*(($A247-'Control Room'!$A$13-('Control Room'!$B$13-1)/2)/MAX(0.5,'Control Room'!$B$13/4))^2),1)*IF(AND($A247&gt;='Control Room'!$A$14,$A247&lt;'Control Room'!$A$14+'Control Room'!$B$14,'Process'!BO3=1),1+('Control Room'!$C$14-1)*EXP(-0.5*(($A247-'Control Room'!$A$14-('Control Room'!$B$14-1)/2)/MAX(0.5,'Control Room'!$B$14/4))^2),1)*IF(AND($A247&gt;='Control Room'!$A$15,$A247&lt;'Control Room'!$A$15+'Control Room'!$B$15,'Process'!BO4=1),1+('Control Room'!$C$15-1)*EXP(-0.5*(($A247-'Control Room'!$A$15-('Control Room'!$B$15-1)/2)/MAX(0.5,'Control Room'!$B$15/4))^2),1)*IF(AND($A247&gt;='Control Room'!$A$16,$A247&lt;'Control Room'!$A$16+'Control Room'!$B$16,'Process'!BO5=1),1+('Control Room'!$C$16-1)*EXP(-0.5*(($A247-'Control Room'!$A$16-('Control Room'!$B$16-1)/2)/MAX(0.5,'Control Room'!$B$16/4))^2),1)</x:f>
        <x:v>1</x:v>
      </x:c>
      <x:c r="AA247" s="9" t="n">
        <x:f>MOD(AB246*16807,2147483647)</x:f>
        <x:v>1995906755</x:v>
      </x:c>
      <x:c r="AB247" s="9" t="n">
        <x:f>MOD(AA247*16807,2147483647)</x:f>
        <x:v>1510265145</x:v>
      </x:c>
      <x:c r="AC247" s="17" t="n">
        <x:f>IF('Control Room'!$B$5="Normal",'Control Room'!$B$7+'Control Room'!$D$7*SQRT(-2*LN(MAX(0.000000000001,AA247/2147483647)))*COS(2*PI()*AB247/2147483647),'Control Room'!$B$8+('Control Room'!$D$8-'Control Room'!$B$8)*AA247/2147483647)</x:f>
        <x:v>990.0343078727692</x:v>
      </x:c>
      <x:c r="AD247" s="17" t="n">
        <x:f>IF('Control Room'!$B$5="Normal",'Control Room'!$B$7,('Control Room'!$B$8+'Control Room'!$D$8)/2)+'Control Room'!$B$9*(AD246-IF('Control Room'!$B$5="Normal",'Control Room'!$B$7,('Control Room'!$B$8+'Control Room'!$D$8)/2))+SQRT(1-'Control Room'!$B$9^2)*(AC247-IF('Control Room'!$B$5="Normal",'Control Room'!$B$7,('Control Room'!$B$8+'Control Room'!$D$8)/2))</x:f>
        <x:v>951.897392406064</x:v>
      </x:c>
      <x:c r="AE247" s="17" t="n">
        <x:f>IF(AND($A247&gt;='Control Room'!$A$13,$A247&lt;'Control Room'!$A$13+'Control Room'!$B$13,'Process'!BP2=1),1+('Control Room'!$C$13-1)*EXP(-0.5*(($A247-'Control Room'!$A$13-('Control Room'!$B$13-1)/2)/MAX(0.5,'Control Room'!$B$13/4))^2),1)*IF(AND($A247&gt;='Control Room'!$A$14,$A247&lt;'Control Room'!$A$14+'Control Room'!$B$14,'Process'!BP3=1),1+('Control Room'!$C$14-1)*EXP(-0.5*(($A247-'Control Room'!$A$14-('Control Room'!$B$14-1)/2)/MAX(0.5,'Control Room'!$B$14/4))^2),1)*IF(AND($A247&gt;='Control Room'!$A$15,$A247&lt;'Control Room'!$A$15+'Control Room'!$B$15,'Process'!BP4=1),1+('Control Room'!$C$15-1)*EXP(-0.5*(($A247-'Control Room'!$A$15-('Control Room'!$B$15-1)/2)/MAX(0.5,'Control Room'!$B$15/4))^2),1)*IF(AND($A247&gt;='Control Room'!$A$16,$A247&lt;'Control Room'!$A$16+'Control Room'!$B$16,'Process'!BP5=1),1+('Control Room'!$C$16-1)*EXP(-0.5*(($A247-'Control Room'!$A$16-('Control Room'!$B$16-1)/2)/MAX(0.5,'Control Room'!$B$16/4))^2),1)</x:f>
        <x:v>1</x:v>
      </x:c>
      <x:c r="AF247" s="9" t="n">
        <x:f>MOD(AG246*16807,2147483647)</x:f>
        <x:v>1613401477</x:v>
      </x:c>
      <x:c r="AG247" s="9" t="n">
        <x:f>MOD(AF247*16807,2147483647)</x:f>
        <x:v>162613270</x:v>
      </x:c>
      <x:c r="AH247" s="17" t="n">
        <x:f>IF('Control Room'!$B$5="Normal",'Control Room'!$B$7+'Control Room'!$D$7*SQRT(-2*LN(MAX(0.000000000001,AF247/2147483647)))*COS(2*PI()*AG247/2147483647),'Control Room'!$B$8+('Control Room'!$D$8-'Control Room'!$B$8)*AF247/2147483647)</x:f>
        <x:v>1060.502671979487</x:v>
      </x:c>
      <x:c r="AI247" s="17" t="n">
        <x:f>IF('Control Room'!$B$5="Normal",'Control Room'!$B$7,('Control Room'!$B$8+'Control Room'!$D$8)/2)+'Control Room'!$B$9*(AI246-IF('Control Room'!$B$5="Normal",'Control Room'!$B$7,('Control Room'!$B$8+'Control Room'!$D$8)/2))+SQRT(1-'Control Room'!$B$9^2)*(AH247-IF('Control Room'!$B$5="Normal",'Control Room'!$B$7,('Control Room'!$B$8+'Control Room'!$D$8)/2))</x:f>
        <x:v>1084.2100097606929</x:v>
      </x:c>
      <x:c r="AJ247" s="17" t="n">
        <x:f>IF(AND($A247&gt;='Control Room'!$A$13,$A247&lt;'Control Room'!$A$13+'Control Room'!$B$13,'Process'!BQ2=1),1+('Control Room'!$C$13-1)*EXP(-0.5*(($A247-'Control Room'!$A$13-('Control Room'!$B$13-1)/2)/MAX(0.5,'Control Room'!$B$13/4))^2),1)*IF(AND($A247&gt;='Control Room'!$A$14,$A247&lt;'Control Room'!$A$14+'Control Room'!$B$14,'Process'!BQ3=1),1+('Control Room'!$C$14-1)*EXP(-0.5*(($A247-'Control Room'!$A$14-('Control Room'!$B$14-1)/2)/MAX(0.5,'Control Room'!$B$14/4))^2),1)*IF(AND($A247&gt;='Control Room'!$A$15,$A247&lt;'Control Room'!$A$15+'Control Room'!$B$15,'Process'!BQ4=1),1+('Control Room'!$C$15-1)*EXP(-0.5*(($A247-'Control Room'!$A$15-('Control Room'!$B$15-1)/2)/MAX(0.5,'Control Room'!$B$15/4))^2),1)*IF(AND($A247&gt;='Control Room'!$A$16,$A247&lt;'Control Room'!$A$16+'Control Room'!$B$16,'Process'!BQ5=1),1+('Control Room'!$C$16-1)*EXP(-0.5*(($A247-'Control Room'!$A$16-('Control Room'!$B$16-1)/2)/MAX(0.5,'Control Room'!$B$16/4))^2),1)</x:f>
        <x:v>1</x:v>
      </x:c>
      <x:c r="AK247" s="9" t="n">
        <x:f>MOD(AL246*16807,2147483647)</x:f>
        <x:v>1230896199</x:v>
      </x:c>
      <x:c r="AL247" s="9" t="n">
        <x:f>MOD(AK247*16807,2147483647)</x:f>
        <x:v>962445042</x:v>
      </x:c>
      <x:c r="AM247" s="17" t="n">
        <x:f>IF('Control Room'!$B$5="Normal",'Control Room'!$B$7+'Control Room'!$D$7*SQRT(-2*LN(MAX(0.000000000001,AK247/2147483647)))*COS(2*PI()*AL247/2147483647),'Control Room'!$B$8+('Control Room'!$D$8-'Control Room'!$B$8)*AK247/2147483647)</x:f>
        <x:v>910.0364952248161</x:v>
      </x:c>
      <x:c r="AN247" s="17" t="n">
        <x:f>IF('Control Room'!$B$5="Normal",'Control Room'!$B$7,('Control Room'!$B$8+'Control Room'!$D$8)/2)+'Control Room'!$B$9*(AN246-IF('Control Room'!$B$5="Normal",'Control Room'!$B$7,('Control Room'!$B$8+'Control Room'!$D$8)/2))+SQRT(1-'Control Room'!$B$9^2)*(AM247-IF('Control Room'!$B$5="Normal",'Control Room'!$B$7,('Control Room'!$B$8+'Control Room'!$D$8)/2))</x:f>
        <x:v>879.1021540018196</x:v>
      </x:c>
      <x:c r="AO247" s="17" t="n">
        <x:f>IF(AND($A247&gt;='Control Room'!$A$13,$A247&lt;'Control Room'!$A$13+'Control Room'!$B$13,'Process'!BR2=1),1+('Control Room'!$C$13-1)*EXP(-0.5*(($A247-'Control Room'!$A$13-('Control Room'!$B$13-1)/2)/MAX(0.5,'Control Room'!$B$13/4))^2),1)*IF(AND($A247&gt;='Control Room'!$A$14,$A247&lt;'Control Room'!$A$14+'Control Room'!$B$14,'Process'!BR3=1),1+('Control Room'!$C$14-1)*EXP(-0.5*(($A247-'Control Room'!$A$14-('Control Room'!$B$14-1)/2)/MAX(0.5,'Control Room'!$B$14/4))^2),1)*IF(AND($A247&gt;='Control Room'!$A$15,$A247&lt;'Control Room'!$A$15+'Control Room'!$B$15,'Process'!BR4=1),1+('Control Room'!$C$15-1)*EXP(-0.5*(($A247-'Control Room'!$A$15-('Control Room'!$B$15-1)/2)/MAX(0.5,'Control Room'!$B$15/4))^2),1)*IF(AND($A247&gt;='Control Room'!$A$16,$A247&lt;'Control Room'!$A$16+'Control Room'!$B$16,'Process'!BR5=1),1+('Control Room'!$C$16-1)*EXP(-0.5*(($A247-'Control Room'!$A$16-('Control Room'!$B$16-1)/2)/MAX(0.5,'Control Room'!$B$16/4))^2),1)</x:f>
        <x:v>1</x:v>
      </x:c>
      <x:c r="AP247" s="9" t="n">
        <x:f>MOD(AQ246*16807,2147483647)</x:f>
        <x:v>848390921</x:v>
      </x:c>
      <x:c r="AQ247" s="9" t="n">
        <x:f>MOD(AP247*16807,2147483647)</x:f>
        <x:v>1762276814</x:v>
      </x:c>
      <x:c r="AR247" s="17" t="n">
        <x:f>IF('Control Room'!$B$5="Normal",'Control Room'!$B$7+'Control Room'!$D$7*SQRT(-2*LN(MAX(0.000000000001,AP247/2147483647)))*COS(2*PI()*AQ247/2147483647),'Control Room'!$B$8+('Control Room'!$D$8-'Control Room'!$B$8)*AP247/2147483647)</x:f>
        <x:v>1052.660252997149</x:v>
      </x:c>
      <x:c r="AS247" s="17" t="n">
        <x:f>IF('Control Room'!$B$5="Normal",'Control Room'!$B$7,('Control Room'!$B$8+'Control Room'!$D$8)/2)+'Control Room'!$B$9*(AS246-IF('Control Room'!$B$5="Normal",'Control Room'!$B$7,('Control Room'!$B$8+'Control Room'!$D$8)/2))+SQRT(1-'Control Room'!$B$9^2)*(AR247-IF('Control Room'!$B$5="Normal",'Control Room'!$B$7,('Control Room'!$B$8+'Control Room'!$D$8)/2))</x:f>
        <x:v>1147.2443430418427</x:v>
      </x:c>
      <x:c r="AT247" s="17" t="n">
        <x:f>IF(AND($A247&gt;='Control Room'!$A$13,$A247&lt;'Control Room'!$A$13+'Control Room'!$B$13,'Process'!BS2=1),1+('Control Room'!$C$13-1)*EXP(-0.5*(($A247-'Control Room'!$A$13-('Control Room'!$B$13-1)/2)/MAX(0.5,'Control Room'!$B$13/4))^2),1)*IF(AND($A247&gt;='Control Room'!$A$14,$A247&lt;'Control Room'!$A$14+'Control Room'!$B$14,'Process'!BS3=1),1+('Control Room'!$C$14-1)*EXP(-0.5*(($A247-'Control Room'!$A$14-('Control Room'!$B$14-1)/2)/MAX(0.5,'Control Room'!$B$14/4))^2),1)*IF(AND($A247&gt;='Control Room'!$A$15,$A247&lt;'Control Room'!$A$15+'Control Room'!$B$15,'Process'!BS4=1),1+('Control Room'!$C$15-1)*EXP(-0.5*(($A247-'Control Room'!$A$15-('Control Room'!$B$15-1)/2)/MAX(0.5,'Control Room'!$B$15/4))^2),1)*IF(AND($A247&gt;='Control Room'!$A$16,$A247&lt;'Control Room'!$A$16+'Control Room'!$B$16,'Process'!BS5=1),1+('Control Room'!$C$16-1)*EXP(-0.5*(($A247-'Control Room'!$A$16-('Control Room'!$B$16-1)/2)/MAX(0.5,'Control Room'!$B$16/4))^2),1)</x:f>
        <x:v>1</x:v>
      </x:c>
      <x:c r="AU247" s="9" t="n">
        <x:f>MOD(AV246*16807,2147483647)</x:f>
        <x:v>465885643</x:v>
      </x:c>
      <x:c r="AV247" s="9" t="n">
        <x:f>MOD(AU247*16807,2147483647)</x:f>
        <x:v>414624939</x:v>
      </x:c>
      <x:c r="AW247" s="17" t="n">
        <x:f>IF('Control Room'!$B$5="Normal",'Control Room'!$B$7+'Control Room'!$D$7*SQRT(-2*LN(MAX(0.000000000001,AU247/2147483647)))*COS(2*PI()*AV247/2147483647),'Control Room'!$B$8+('Control Room'!$D$8-'Control Room'!$B$8)*AU247/2147483647)</x:f>
        <x:v>1055.083308532424</x:v>
      </x:c>
      <x:c r="AX247" s="17" t="n">
        <x:f>IF('Control Room'!$B$5="Normal",'Control Room'!$B$7,('Control Room'!$B$8+'Control Room'!$D$8)/2)+'Control Room'!$B$9*(AX246-IF('Control Room'!$B$5="Normal",'Control Room'!$B$7,('Control Room'!$B$8+'Control Room'!$D$8)/2))+SQRT(1-'Control Room'!$B$9^2)*(AW247-IF('Control Room'!$B$5="Normal",'Control Room'!$B$7,('Control Room'!$B$8+'Control Room'!$D$8)/2))</x:f>
        <x:v>898.683311370506</x:v>
      </x:c>
      <x:c r="AY247" s="17" t="n">
        <x:f>IF(AND($A247&gt;='Control Room'!$A$13,$A247&lt;'Control Room'!$A$13+'Control Room'!$B$13,'Process'!BT2=1),1+('Control Room'!$C$13-1)*EXP(-0.5*(($A247-'Control Room'!$A$13-('Control Room'!$B$13-1)/2)/MAX(0.5,'Control Room'!$B$13/4))^2),1)*IF(AND($A247&gt;='Control Room'!$A$14,$A247&lt;'Control Room'!$A$14+'Control Room'!$B$14,'Process'!BT3=1),1+('Control Room'!$C$14-1)*EXP(-0.5*(($A247-'Control Room'!$A$14-('Control Room'!$B$14-1)/2)/MAX(0.5,'Control Room'!$B$14/4))^2),1)*IF(AND($A247&gt;='Control Room'!$A$15,$A247&lt;'Control Room'!$A$15+'Control Room'!$B$15,'Process'!BT4=1),1+('Control Room'!$C$15-1)*EXP(-0.5*(($A247-'Control Room'!$A$15-('Control Room'!$B$15-1)/2)/MAX(0.5,'Control Room'!$B$15/4))^2),1)*IF(AND($A247&gt;='Control Room'!$A$16,$A247&lt;'Control Room'!$A$16+'Control Room'!$B$16,'Process'!BT5=1),1+('Control Room'!$C$16-1)*EXP(-0.5*(($A247-'Control Room'!$A$16-('Control Room'!$B$16-1)/2)/MAX(0.5,'Control Room'!$B$16/4))^2),1)</x:f>
        <x:v>1</x:v>
      </x:c>
      <x:c r="AZ247" s="9" t="n">
        <x:f>MOD(BA246*16807,2147483647)</x:f>
        <x:v>83380365</x:v>
      </x:c>
      <x:c r="BA247" s="9" t="n">
        <x:f>MOD(AZ247*16807,2147483647)</x:f>
        <x:v>1214456711</x:v>
      </x:c>
      <x:c r="BB247" s="17" t="n">
        <x:f>IF('Control Room'!$B$5="Normal",'Control Room'!$B$7+'Control Room'!$D$7*SQRT(-2*LN(MAX(0.000000000001,AZ247/2147483647)))*COS(2*PI()*BA247/2147483647),'Control Room'!$B$8+('Control Room'!$D$8-'Control Room'!$B$8)*AZ247/2147483647)</x:f>
        <x:v>789.761855562818</x:v>
      </x:c>
      <x:c r="BC247" s="17" t="n">
        <x:f>IF('Control Room'!$B$5="Normal",'Control Room'!$B$7,('Control Room'!$B$8+'Control Room'!$D$8)/2)+'Control Room'!$B$9*(BC246-IF('Control Room'!$B$5="Normal",'Control Room'!$B$7,('Control Room'!$B$8+'Control Room'!$D$8)/2))+SQRT(1-'Control Room'!$B$9^2)*(BB247-IF('Control Room'!$B$5="Normal",'Control Room'!$B$7,('Control Room'!$B$8+'Control Room'!$D$8)/2))</x:f>
        <x:v>912.1059583713396</x:v>
      </x:c>
      <x:c r="BD247" s="17" t="n">
        <x:f>IF(AND($A247&gt;='Control Room'!$A$13,$A247&lt;'Control Room'!$A$13+'Control Room'!$B$13,'Process'!BU2=1),1+('Control Room'!$C$13-1)*EXP(-0.5*(($A247-'Control Room'!$A$13-('Control Room'!$B$13-1)/2)/MAX(0.5,'Control Room'!$B$13/4))^2),1)*IF(AND($A247&gt;='Control Room'!$A$14,$A247&lt;'Control Room'!$A$14+'Control Room'!$B$14,'Process'!BU3=1),1+('Control Room'!$C$14-1)*EXP(-0.5*(($A247-'Control Room'!$A$14-('Control Room'!$B$14-1)/2)/MAX(0.5,'Control Room'!$B$14/4))^2),1)*IF(AND($A247&gt;='Control Room'!$A$15,$A247&lt;'Control Room'!$A$15+'Control Room'!$B$15,'Process'!BU4=1),1+('Control Room'!$C$15-1)*EXP(-0.5*(($A247-'Control Room'!$A$15-('Control Room'!$B$15-1)/2)/MAX(0.5,'Control Room'!$B$15/4))^2),1)*IF(AND($A247&gt;='Control Room'!$A$16,$A247&lt;'Control Room'!$A$16+'Control Room'!$B$16,'Process'!BU5=1),1+('Control Room'!$C$16-1)*EXP(-0.5*(($A247-'Control Room'!$A$16-('Control Room'!$B$16-1)/2)/MAX(0.5,'Control Room'!$B$16/4))^2),1)</x:f>
        <x:v>1</x:v>
      </x:c>
      <x:c r="BE247" s="9" t="n">
        <x:f>MOD(BF246*16807,2147483647)</x:f>
        <x:v>1848358734</x:v>
      </x:c>
      <x:c r="BF247" s="9" t="n">
        <x:f>MOD(BE247*16807,2147483647)</x:f>
        <x:v>2014288483</x:v>
      </x:c>
      <x:c r="BG247" s="17" t="n">
        <x:f>IF('Control Room'!$B$5="Normal",'Control Room'!$B$7+'Control Room'!$D$7*SQRT(-2*LN(MAX(0.000000000001,BE247/2147483647)))*COS(2*PI()*BF247/2147483647),'Control Room'!$B$8+('Control Room'!$D$8-'Control Room'!$B$8)*BE247/2147483647)</x:f>
        <x:v>1045.5987052245289</x:v>
      </x:c>
      <x:c r="BH247" s="17" t="n">
        <x:f>IF('Control Room'!$B$5="Normal",'Control Room'!$B$7,('Control Room'!$B$8+'Control Room'!$D$8)/2)+'Control Room'!$B$9*(BH246-IF('Control Room'!$B$5="Normal",'Control Room'!$B$7,('Control Room'!$B$8+'Control Room'!$D$8)/2))+SQRT(1-'Control Room'!$B$9^2)*(BG247-IF('Control Room'!$B$5="Normal",'Control Room'!$B$7,('Control Room'!$B$8+'Control Room'!$D$8)/2))</x:f>
        <x:v>1068.3416851757024</x:v>
      </x:c>
      <x:c r="BI247" s="17" t="n">
        <x:f>IF(AND($A247&gt;='Control Room'!$A$13,$A247&lt;'Control Room'!$A$13+'Control Room'!$B$13,'Process'!BV2=1),1+('Control Room'!$C$13-1)*EXP(-0.5*(($A247-'Control Room'!$A$13-('Control Room'!$B$13-1)/2)/MAX(0.5,'Control Room'!$B$13/4))^2),1)*IF(AND($A247&gt;='Control Room'!$A$14,$A247&lt;'Control Room'!$A$14+'Control Room'!$B$14,'Process'!BV3=1),1+('Control Room'!$C$14-1)*EXP(-0.5*(($A247-'Control Room'!$A$14-('Control Room'!$B$14-1)/2)/MAX(0.5,'Control Room'!$B$14/4))^2),1)*IF(AND($A247&gt;='Control Room'!$A$15,$A247&lt;'Control Room'!$A$15+'Control Room'!$B$15,'Process'!BV4=1),1+('Control Room'!$C$15-1)*EXP(-0.5*(($A247-'Control Room'!$A$15-('Control Room'!$B$15-1)/2)/MAX(0.5,'Control Room'!$B$15/4))^2),1)*IF(AND($A247&gt;='Control Room'!$A$16,$A247&lt;'Control Room'!$A$16+'Control Room'!$B$16,'Process'!BV5=1),1+('Control Room'!$C$16-1)*EXP(-0.5*(($A247-'Control Room'!$A$16-('Control Room'!$B$16-1)/2)/MAX(0.5,'Control Room'!$B$16/4))^2),1)</x:f>
        <x:v>1</x:v>
      </x:c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Z247" t="str">
        <x:f>IF('Data'!A247="","",TEXT('Data'!A247,"mm-dd"))</x:f>
      </x:c>
    </x:row>
    <x:row r="248" ht="21" customHeight="1">
      <x:c r="A248" s="15" t="n">
        <x:f>'Control Room'!$B$1+246</x:f>
        <x:v>73237</x:v>
      </x:c>
      <x:c r="B248" s="9" t="n">
        <x:f>MOD(C247*16807,2147483647)</x:f>
        <x:v>2144775555</x:v>
      </x:c>
      <x:c r="C248" s="9" t="n">
        <x:f>MOD(B248*16807,2147483647)</x:f>
        <x:v>1729737990</x:v>
      </x:c>
      <x:c r="D248" s="17" t="n">
        <x:f>IF('Control Room'!$B$5="Normal",'Control Room'!$B$7+'Control Room'!$D$7*SQRT(-2*LN(MAX(0.000000000001,B248/2147483647)))*COS(2*PI()*C248/2147483647),'Control Room'!$B$8+('Control Room'!$D$8-'Control Room'!$B$8)*B248/2147483647)</x:f>
        <x:v>1001.5441381689036</x:v>
      </x:c>
      <x:c r="E248" s="17" t="n">
        <x:f>IF('Control Room'!$B$5="Normal",'Control Room'!$B$7,('Control Room'!$B$8+'Control Room'!$D$8)/2)+'Control Room'!$B$9*(E247-IF('Control Room'!$B$5="Normal",'Control Room'!$B$7,('Control Room'!$B$8+'Control Room'!$D$8)/2))+SQRT(1-'Control Room'!$B$9^2)*(D248-IF('Control Room'!$B$5="Normal",'Control Room'!$B$7,('Control Room'!$B$8+'Control Room'!$D$8)/2))</x:f>
        <x:v>1065.4244574806085</x:v>
      </x:c>
      <x:c r="F248" s="17" t="n">
        <x:f>IF(AND($A248&gt;='Control Room'!$A$13,$A248&lt;'Control Room'!$A$13+'Control Room'!$B$13,'Process'!BK2=1),1+('Control Room'!$C$13-1)*EXP(-0.5*(($A248-'Control Room'!$A$13-('Control Room'!$B$13-1)/2)/MAX(0.5,'Control Room'!$B$13/4))^2),1)*IF(AND($A248&gt;='Control Room'!$A$14,$A248&lt;'Control Room'!$A$14+'Control Room'!$B$14,'Process'!BK3=1),1+('Control Room'!$C$14-1)*EXP(-0.5*(($A248-'Control Room'!$A$14-('Control Room'!$B$14-1)/2)/MAX(0.5,'Control Room'!$B$14/4))^2),1)*IF(AND($A248&gt;='Control Room'!$A$15,$A248&lt;'Control Room'!$A$15+'Control Room'!$B$15,'Process'!BK4=1),1+('Control Room'!$C$15-1)*EXP(-0.5*(($A248-'Control Room'!$A$15-('Control Room'!$B$15-1)/2)/MAX(0.5,'Control Room'!$B$15/4))^2),1)*IF(AND($A248&gt;='Control Room'!$A$16,$A248&lt;'Control Room'!$A$16+'Control Room'!$B$16,'Process'!BK5=1),1+('Control Room'!$C$16-1)*EXP(-0.5*(($A248-'Control Room'!$A$16-('Control Room'!$B$16-1)/2)/MAX(0.5,'Control Room'!$B$16/4))^2),1)</x:f>
        <x:v>1</x:v>
      </x:c>
      <x:c r="G248" s="9" t="n">
        <x:f>MOD(H247*16807,2147483647)</x:f>
        <x:v>1669737339</x:v>
      </x:c>
      <x:c r="H248" s="9" t="n">
        <x:f>MOD(G248*16807,2147483647)</x:f>
        <x:v>2106641224</x:v>
      </x:c>
      <x:c r="I248" s="17" t="n">
        <x:f>IF('Control Room'!$B$5="Normal",'Control Room'!$B$7+'Control Room'!$D$7*SQRT(-2*LN(MAX(0.000000000001,G248/2147483647)))*COS(2*PI()*H248/2147483647),'Control Room'!$B$8+('Control Room'!$D$8-'Control Room'!$B$8)*G248/2147483647)</x:f>
        <x:v>1063.3914742272304</x:v>
      </x:c>
      <x:c r="J248" s="17" t="n">
        <x:f>IF('Control Room'!$B$5="Normal",'Control Room'!$B$7,('Control Room'!$B$8+'Control Room'!$D$8)/2)+'Control Room'!$B$9*(J247-IF('Control Room'!$B$5="Normal",'Control Room'!$B$7,('Control Room'!$B$8+'Control Room'!$D$8)/2))+SQRT(1-'Control Room'!$B$9^2)*(I248-IF('Control Room'!$B$5="Normal",'Control Room'!$B$7,('Control Room'!$B$8+'Control Room'!$D$8)/2))</x:f>
        <x:v>1036.3406195209386</x:v>
      </x:c>
      <x:c r="K248" s="17" t="n">
        <x:f>IF(AND($A248&gt;='Control Room'!$A$13,$A248&lt;'Control Room'!$A$13+'Control Room'!$B$13,'Process'!BL2=1),1+('Control Room'!$C$13-1)*EXP(-0.5*(($A248-'Control Room'!$A$13-('Control Room'!$B$13-1)/2)/MAX(0.5,'Control Room'!$B$13/4))^2),1)*IF(AND($A248&gt;='Control Room'!$A$14,$A248&lt;'Control Room'!$A$14+'Control Room'!$B$14,'Process'!BL3=1),1+('Control Room'!$C$14-1)*EXP(-0.5*(($A248-'Control Room'!$A$14-('Control Room'!$B$14-1)/2)/MAX(0.5,'Control Room'!$B$14/4))^2),1)*IF(AND($A248&gt;='Control Room'!$A$15,$A248&lt;'Control Room'!$A$15+'Control Room'!$B$15,'Process'!BL4=1),1+('Control Room'!$C$15-1)*EXP(-0.5*(($A248-'Control Room'!$A$15-('Control Room'!$B$15-1)/2)/MAX(0.5,'Control Room'!$B$15/4))^2),1)*IF(AND($A248&gt;='Control Room'!$A$16,$A248&lt;'Control Room'!$A$16+'Control Room'!$B$16,'Process'!BL5=1),1+('Control Room'!$C$16-1)*EXP(-0.5*(($A248-'Control Room'!$A$16-('Control Room'!$B$16-1)/2)/MAX(0.5,'Control Room'!$B$16/4))^2),1)</x:f>
        <x:v>1</x:v>
      </x:c>
      <x:c r="L248" s="9" t="n">
        <x:f>MOD(M247*16807,2147483647)</x:f>
        <x:v>1194699123</x:v>
      </x:c>
      <x:c r="M248" s="9" t="n">
        <x:f>MOD(L248*16807,2147483647)</x:f>
        <x:v>336060811</x:v>
      </x:c>
      <x:c r="N248" s="17" t="n">
        <x:f>IF('Control Room'!$B$5="Normal",'Control Room'!$B$7+'Control Room'!$D$7*SQRT(-2*LN(MAX(0.000000000001,L248/2147483647)))*COS(2*PI()*M248/2147483647),'Control Room'!$B$8+('Control Room'!$D$8-'Control Room'!$B$8)*L248/2147483647)</x:f>
        <x:v>1054.0269586812458</x:v>
      </x:c>
      <x:c r="O248" s="17" t="n">
        <x:f>IF('Control Room'!$B$5="Normal",'Control Room'!$B$7,('Control Room'!$B$8+'Control Room'!$D$8)/2)+'Control Room'!$B$9*(O247-IF('Control Room'!$B$5="Normal",'Control Room'!$B$7,('Control Room'!$B$8+'Control Room'!$D$8)/2))+SQRT(1-'Control Room'!$B$9^2)*(N248-IF('Control Room'!$B$5="Normal",'Control Room'!$B$7,('Control Room'!$B$8+'Control Room'!$D$8)/2))</x:f>
        <x:v>999.606404917691</x:v>
      </x:c>
      <x:c r="P248" s="17" t="n">
        <x:f>IF(AND($A248&gt;='Control Room'!$A$13,$A248&lt;'Control Room'!$A$13+'Control Room'!$B$13,'Process'!BM2=1),1+('Control Room'!$C$13-1)*EXP(-0.5*(($A248-'Control Room'!$A$13-('Control Room'!$B$13-1)/2)/MAX(0.5,'Control Room'!$B$13/4))^2),1)*IF(AND($A248&gt;='Control Room'!$A$14,$A248&lt;'Control Room'!$A$14+'Control Room'!$B$14,'Process'!BM3=1),1+('Control Room'!$C$14-1)*EXP(-0.5*(($A248-'Control Room'!$A$14-('Control Room'!$B$14-1)/2)/MAX(0.5,'Control Room'!$B$14/4))^2),1)*IF(AND($A248&gt;='Control Room'!$A$15,$A248&lt;'Control Room'!$A$15+'Control Room'!$B$15,'Process'!BM4=1),1+('Control Room'!$C$15-1)*EXP(-0.5*(($A248-'Control Room'!$A$15-('Control Room'!$B$15-1)/2)/MAX(0.5,'Control Room'!$B$15/4))^2),1)*IF(AND($A248&gt;='Control Room'!$A$16,$A248&lt;'Control Room'!$A$16+'Control Room'!$B$16,'Process'!BM5=1),1+('Control Room'!$C$16-1)*EXP(-0.5*(($A248-'Control Room'!$A$16-('Control Room'!$B$16-1)/2)/MAX(0.5,'Control Room'!$B$16/4))^2),1)</x:f>
        <x:v>1</x:v>
      </x:c>
      <x:c r="Q248" s="9" t="n">
        <x:f>MOD(R247*16807,2147483647)</x:f>
        <x:v>719660907</x:v>
      </x:c>
      <x:c r="R248" s="9" t="n">
        <x:f>MOD(Q248*16807,2147483647)</x:f>
        <x:v>712964045</x:v>
      </x:c>
      <x:c r="S248" s="17" t="n">
        <x:f>IF('Control Room'!$B$5="Normal",'Control Room'!$B$7+'Control Room'!$D$7*SQRT(-2*LN(MAX(0.000000000001,Q248/2147483647)))*COS(2*PI()*R248/2147483647),'Control Room'!$B$8+('Control Room'!$D$8-'Control Room'!$B$8)*Q248/2147483647)</x:f>
        <x:v>934.4266936507979</x:v>
      </x:c>
      <x:c r="T248" s="17" t="n">
        <x:f>IF('Control Room'!$B$5="Normal",'Control Room'!$B$7,('Control Room'!$B$8+'Control Room'!$D$8)/2)+'Control Room'!$B$9*(T247-IF('Control Room'!$B$5="Normal",'Control Room'!$B$7,('Control Room'!$B$8+'Control Room'!$D$8)/2))+SQRT(1-'Control Room'!$B$9^2)*(S248-IF('Control Room'!$B$5="Normal",'Control Room'!$B$7,('Control Room'!$B$8+'Control Room'!$D$8)/2))</x:f>
        <x:v>954.0083596454182</x:v>
      </x:c>
      <x:c r="U248" s="17" t="n">
        <x:f>IF(AND($A248&gt;='Control Room'!$A$13,$A248&lt;'Control Room'!$A$13+'Control Room'!$B$13,'Process'!BN2=1),1+('Control Room'!$C$13-1)*EXP(-0.5*(($A248-'Control Room'!$A$13-('Control Room'!$B$13-1)/2)/MAX(0.5,'Control Room'!$B$13/4))^2),1)*IF(AND($A248&gt;='Control Room'!$A$14,$A248&lt;'Control Room'!$A$14+'Control Room'!$B$14,'Process'!BN3=1),1+('Control Room'!$C$14-1)*EXP(-0.5*(($A248-'Control Room'!$A$14-('Control Room'!$B$14-1)/2)/MAX(0.5,'Control Room'!$B$14/4))^2),1)*IF(AND($A248&gt;='Control Room'!$A$15,$A248&lt;'Control Room'!$A$15+'Control Room'!$B$15,'Process'!BN4=1),1+('Control Room'!$C$15-1)*EXP(-0.5*(($A248-'Control Room'!$A$15-('Control Room'!$B$15-1)/2)/MAX(0.5,'Control Room'!$B$15/4))^2),1)*IF(AND($A248&gt;='Control Room'!$A$16,$A248&lt;'Control Room'!$A$16+'Control Room'!$B$16,'Process'!BN5=1),1+('Control Room'!$C$16-1)*EXP(-0.5*(($A248-'Control Room'!$A$16-('Control Room'!$B$16-1)/2)/MAX(0.5,'Control Room'!$B$16/4))^2),1)</x:f>
        <x:v>1</x:v>
      </x:c>
      <x:c r="V248" s="9" t="n">
        <x:f>MOD(W247*16807,2147483647)</x:f>
        <x:v>244622691</x:v>
      </x:c>
      <x:c r="W248" s="9" t="n">
        <x:f>MOD(V248*16807,2147483647)</x:f>
        <x:v>1089867279</x:v>
      </x:c>
      <x:c r="X248" s="17" t="n">
        <x:f>IF('Control Room'!$B$5="Normal",'Control Room'!$B$7+'Control Room'!$D$7*SQRT(-2*LN(MAX(0.000000000001,V248/2147483647)))*COS(2*PI()*W248/2147483647),'Control Room'!$B$8+('Control Room'!$D$8-'Control Room'!$B$8)*V248/2147483647)</x:f>
        <x:v>812.6139035130304</x:v>
      </x:c>
      <x:c r="Y248" s="17" t="n">
        <x:f>IF('Control Room'!$B$5="Normal",'Control Room'!$B$7,('Control Room'!$B$8+'Control Room'!$D$8)/2)+'Control Room'!$B$9*(Y247-IF('Control Room'!$B$5="Normal",'Control Room'!$B$7,('Control Room'!$B$8+'Control Room'!$D$8)/2))+SQRT(1-'Control Room'!$B$9^2)*(X248-IF('Control Room'!$B$5="Normal",'Control Room'!$B$7,('Control Room'!$B$8+'Control Room'!$D$8)/2))</x:f>
        <x:v>882.1134854053792</x:v>
      </x:c>
      <x:c r="Z248" s="17" t="n">
        <x:f>IF(AND($A248&gt;='Control Room'!$A$13,$A248&lt;'Control Room'!$A$13+'Control Room'!$B$13,'Process'!BO2=1),1+('Control Room'!$C$13-1)*EXP(-0.5*(($A248-'Control Room'!$A$13-('Control Room'!$B$13-1)/2)/MAX(0.5,'Control Room'!$B$13/4))^2),1)*IF(AND($A248&gt;='Control Room'!$A$14,$A248&lt;'Control Room'!$A$14+'Control Room'!$B$14,'Process'!BO3=1),1+('Control Room'!$C$14-1)*EXP(-0.5*(($A248-'Control Room'!$A$14-('Control Room'!$B$14-1)/2)/MAX(0.5,'Control Room'!$B$14/4))^2),1)*IF(AND($A248&gt;='Control Room'!$A$15,$A248&lt;'Control Room'!$A$15+'Control Room'!$B$15,'Process'!BO4=1),1+('Control Room'!$C$15-1)*EXP(-0.5*(($A248-'Control Room'!$A$15-('Control Room'!$B$15-1)/2)/MAX(0.5,'Control Room'!$B$15/4))^2),1)*IF(AND($A248&gt;='Control Room'!$A$16,$A248&lt;'Control Room'!$A$16+'Control Room'!$B$16,'Process'!BO5=1),1+('Control Room'!$C$16-1)*EXP(-0.5*(($A248-'Control Room'!$A$16-('Control Room'!$B$16-1)/2)/MAX(0.5,'Control Room'!$B$16/4))^2),1)</x:f>
        <x:v>1</x:v>
      </x:c>
      <x:c r="AA248" s="9" t="n">
        <x:f>MOD(AB247*16807,2147483647)</x:f>
        <x:v>1917068122</x:v>
      </x:c>
      <x:c r="AB248" s="9" t="n">
        <x:f>MOD(AA248*16807,2147483647)</x:f>
        <x:v>1466770513</x:v>
      </x:c>
      <x:c r="AC248" s="17" t="n">
        <x:f>IF('Control Room'!$B$5="Normal",'Control Room'!$B$7+'Control Room'!$D$7*SQRT(-2*LN(MAX(0.000000000001,AA248/2147483647)))*COS(2*PI()*AB248/2147483647),'Control Room'!$B$8+('Control Room'!$D$8-'Control Room'!$B$8)*AA248/2147483647)</x:f>
        <x:v>982.4816061659661</x:v>
      </x:c>
      <x:c r="AD248" s="17" t="n">
        <x:f>IF('Control Room'!$B$5="Normal",'Control Room'!$B$7,('Control Room'!$B$8+'Control Room'!$D$8)/2)+'Control Room'!$B$9*(AD247-IF('Control Room'!$B$5="Normal",'Control Room'!$B$7,('Control Room'!$B$8+'Control Room'!$D$8)/2))+SQRT(1-'Control Room'!$B$9^2)*(AC248-IF('Control Room'!$B$5="Normal",'Control Room'!$B$7,('Control Room'!$B$8+'Control Room'!$D$8)/2))</x:f>
        <x:v>951.5173140991964</x:v>
      </x:c>
      <x:c r="AE248" s="17" t="n">
        <x:f>IF(AND($A248&gt;='Control Room'!$A$13,$A248&lt;'Control Room'!$A$13+'Control Room'!$B$13,'Process'!BP2=1),1+('Control Room'!$C$13-1)*EXP(-0.5*(($A248-'Control Room'!$A$13-('Control Room'!$B$13-1)/2)/MAX(0.5,'Control Room'!$B$13/4))^2),1)*IF(AND($A248&gt;='Control Room'!$A$14,$A248&lt;'Control Room'!$A$14+'Control Room'!$B$14,'Process'!BP3=1),1+('Control Room'!$C$14-1)*EXP(-0.5*(($A248-'Control Room'!$A$14-('Control Room'!$B$14-1)/2)/MAX(0.5,'Control Room'!$B$14/4))^2),1)*IF(AND($A248&gt;='Control Room'!$A$15,$A248&lt;'Control Room'!$A$15+'Control Room'!$B$15,'Process'!BP4=1),1+('Control Room'!$C$15-1)*EXP(-0.5*(($A248-'Control Room'!$A$15-('Control Room'!$B$15-1)/2)/MAX(0.5,'Control Room'!$B$15/4))^2),1)*IF(AND($A248&gt;='Control Room'!$A$16,$A248&lt;'Control Room'!$A$16+'Control Room'!$B$16,'Process'!BP5=1),1+('Control Room'!$C$16-1)*EXP(-0.5*(($A248-'Control Room'!$A$16-('Control Room'!$B$16-1)/2)/MAX(0.5,'Control Room'!$B$16/4))^2),1)</x:f>
        <x:v>1</x:v>
      </x:c>
      <x:c r="AF248" s="9" t="n">
        <x:f>MOD(AG247*16807,2147483647)</x:f>
        <x:v>1442029906</x:v>
      </x:c>
      <x:c r="AG248" s="9" t="n">
        <x:f>MOD(AF248*16807,2147483647)</x:f>
        <x:v>1843673747</x:v>
      </x:c>
      <x:c r="AH248" s="17" t="n">
        <x:f>IF('Control Room'!$B$5="Normal",'Control Room'!$B$7+'Control Room'!$D$7*SQRT(-2*LN(MAX(0.000000000001,AF248/2147483647)))*COS(2*PI()*AG248/2147483647),'Control Room'!$B$8+('Control Room'!$D$8-'Control Room'!$B$8)*AF248/2147483647)</x:f>
        <x:v>1050.6241693353702</x:v>
      </x:c>
      <x:c r="AI248" s="17" t="n">
        <x:f>IF('Control Room'!$B$5="Normal",'Control Room'!$B$7,('Control Room'!$B$8+'Control Room'!$D$8)/2)+'Control Room'!$B$9*(AI247-IF('Control Room'!$B$5="Normal",'Control Room'!$B$7,('Control Room'!$B$8+'Control Room'!$D$8)/2))+SQRT(1-'Control Room'!$B$9^2)*(AH248-IF('Control Room'!$B$5="Normal",'Control Room'!$B$7,('Control Room'!$B$8+'Control Room'!$D$8)/2))</x:f>
        <x:v>1097.3633756909353</x:v>
      </x:c>
      <x:c r="AJ248" s="17" t="n">
        <x:f>IF(AND($A248&gt;='Control Room'!$A$13,$A248&lt;'Control Room'!$A$13+'Control Room'!$B$13,'Process'!BQ2=1),1+('Control Room'!$C$13-1)*EXP(-0.5*(($A248-'Control Room'!$A$13-('Control Room'!$B$13-1)/2)/MAX(0.5,'Control Room'!$B$13/4))^2),1)*IF(AND($A248&gt;='Control Room'!$A$14,$A248&lt;'Control Room'!$A$14+'Control Room'!$B$14,'Process'!BQ3=1),1+('Control Room'!$C$14-1)*EXP(-0.5*(($A248-'Control Room'!$A$14-('Control Room'!$B$14-1)/2)/MAX(0.5,'Control Room'!$B$14/4))^2),1)*IF(AND($A248&gt;='Control Room'!$A$15,$A248&lt;'Control Room'!$A$15+'Control Room'!$B$15,'Process'!BQ4=1),1+('Control Room'!$C$15-1)*EXP(-0.5*(($A248-'Control Room'!$A$15-('Control Room'!$B$15-1)/2)/MAX(0.5,'Control Room'!$B$15/4))^2),1)*IF(AND($A248&gt;='Control Room'!$A$16,$A248&lt;'Control Room'!$A$16+'Control Room'!$B$16,'Process'!BQ5=1),1+('Control Room'!$C$16-1)*EXP(-0.5*(($A248-'Control Room'!$A$16-('Control Room'!$B$16-1)/2)/MAX(0.5,'Control Room'!$B$16/4))^2),1)</x:f>
        <x:v>1</x:v>
      </x:c>
      <x:c r="AK248" s="9" t="n">
        <x:f>MOD(AL247*16807,2147483647)</x:f>
        <x:v>966991690</x:v>
      </x:c>
      <x:c r="AL248" s="9" t="n">
        <x:f>MOD(AK248*16807,2147483647)</x:f>
        <x:v>73093334</x:v>
      </x:c>
      <x:c r="AM248" s="17" t="n">
        <x:f>IF('Control Room'!$B$5="Normal",'Control Room'!$B$7+'Control Room'!$D$7*SQRT(-2*LN(MAX(0.000000000001,AK248/2147483647)))*COS(2*PI()*AL248/2147483647),'Control Room'!$B$8+('Control Room'!$D$8-'Control Room'!$B$8)*AK248/2147483647)</x:f>
        <x:v>1111.0998339049854</x:v>
      </x:c>
      <x:c r="AN248" s="17" t="n">
        <x:f>IF('Control Room'!$B$5="Normal",'Control Room'!$B$7,('Control Room'!$B$8+'Control Room'!$D$8)/2)+'Control Room'!$B$9*(AN247-IF('Control Room'!$B$5="Normal",'Control Room'!$B$7,('Control Room'!$B$8+'Control Room'!$D$8)/2))+SQRT(1-'Control Room'!$B$9^2)*(AM248-IF('Control Room'!$B$5="Normal",'Control Room'!$B$7,('Control Room'!$B$8+'Control Room'!$D$8)/2))</x:f>
        <x:v>975.2236801753498</x:v>
      </x:c>
      <x:c r="AO248" s="17" t="n">
        <x:f>IF(AND($A248&gt;='Control Room'!$A$13,$A248&lt;'Control Room'!$A$13+'Control Room'!$B$13,'Process'!BR2=1),1+('Control Room'!$C$13-1)*EXP(-0.5*(($A248-'Control Room'!$A$13-('Control Room'!$B$13-1)/2)/MAX(0.5,'Control Room'!$B$13/4))^2),1)*IF(AND($A248&gt;='Control Room'!$A$14,$A248&lt;'Control Room'!$A$14+'Control Room'!$B$14,'Process'!BR3=1),1+('Control Room'!$C$14-1)*EXP(-0.5*(($A248-'Control Room'!$A$14-('Control Room'!$B$14-1)/2)/MAX(0.5,'Control Room'!$B$14/4))^2),1)*IF(AND($A248&gt;='Control Room'!$A$15,$A248&lt;'Control Room'!$A$15+'Control Room'!$B$15,'Process'!BR4=1),1+('Control Room'!$C$15-1)*EXP(-0.5*(($A248-'Control Room'!$A$15-('Control Room'!$B$15-1)/2)/MAX(0.5,'Control Room'!$B$15/4))^2),1)*IF(AND($A248&gt;='Control Room'!$A$16,$A248&lt;'Control Room'!$A$16+'Control Room'!$B$16,'Process'!BR5=1),1+('Control Room'!$C$16-1)*EXP(-0.5*(($A248-'Control Room'!$A$16-('Control Room'!$B$16-1)/2)/MAX(0.5,'Control Room'!$B$16/4))^2),1)</x:f>
        <x:v>1</x:v>
      </x:c>
      <x:c r="AP248" s="9" t="n">
        <x:f>MOD(AQ247*16807,2147483647)</x:f>
        <x:v>491953474</x:v>
      </x:c>
      <x:c r="AQ248" s="9" t="n">
        <x:f>MOD(AP248*16807,2147483647)</x:f>
        <x:v>449996568</x:v>
      </x:c>
      <x:c r="AR248" s="17" t="n">
        <x:f>IF('Control Room'!$B$5="Normal",'Control Room'!$B$7+'Control Room'!$D$7*SQRT(-2*LN(MAX(0.000000000001,AP248/2147483647)))*COS(2*PI()*AQ248/2147483647),'Control Room'!$B$8+('Control Room'!$D$8-'Control Room'!$B$8)*AP248/2147483647)</x:f>
        <x:v>1038.8519030965258</x:v>
      </x:c>
      <x:c r="AS248" s="17" t="n">
        <x:f>IF('Control Room'!$B$5="Normal",'Control Room'!$B$7,('Control Room'!$B$8+'Control Room'!$D$8)/2)+'Control Room'!$B$9*(AS247-IF('Control Room'!$B$5="Normal",'Control Room'!$B$7,('Control Room'!$B$8+'Control Room'!$D$8)/2))+SQRT(1-'Control Room'!$B$9^2)*(AR248-IF('Control Room'!$B$5="Normal",'Control Room'!$B$7,('Control Room'!$B$8+'Control Room'!$D$8)/2))</x:f>
        <x:v>1139.163312605946</x:v>
      </x:c>
      <x:c r="AT248" s="17" t="n">
        <x:f>IF(AND($A248&gt;='Control Room'!$A$13,$A248&lt;'Control Room'!$A$13+'Control Room'!$B$13,'Process'!BS2=1),1+('Control Room'!$C$13-1)*EXP(-0.5*(($A248-'Control Room'!$A$13-('Control Room'!$B$13-1)/2)/MAX(0.5,'Control Room'!$B$13/4))^2),1)*IF(AND($A248&gt;='Control Room'!$A$14,$A248&lt;'Control Room'!$A$14+'Control Room'!$B$14,'Process'!BS3=1),1+('Control Room'!$C$14-1)*EXP(-0.5*(($A248-'Control Room'!$A$14-('Control Room'!$B$14-1)/2)/MAX(0.5,'Control Room'!$B$14/4))^2),1)*IF(AND($A248&gt;='Control Room'!$A$15,$A248&lt;'Control Room'!$A$15+'Control Room'!$B$15,'Process'!BS4=1),1+('Control Room'!$C$15-1)*EXP(-0.5*(($A248-'Control Room'!$A$15-('Control Room'!$B$15-1)/2)/MAX(0.5,'Control Room'!$B$15/4))^2),1)*IF(AND($A248&gt;='Control Room'!$A$16,$A248&lt;'Control Room'!$A$16+'Control Room'!$B$16,'Process'!BS5=1),1+('Control Room'!$C$16-1)*EXP(-0.5*(($A248-'Control Room'!$A$16-('Control Room'!$B$16-1)/2)/MAX(0.5,'Control Room'!$B$16/4))^2),1)</x:f>
        <x:v>1</x:v>
      </x:c>
      <x:c r="AU248" s="9" t="n">
        <x:f>MOD(AV247*16807,2147483647)</x:f>
        <x:v>16915258</x:v>
      </x:c>
      <x:c r="AV248" s="9" t="n">
        <x:f>MOD(AU248*16807,2147483647)</x:f>
        <x:v>826899802</x:v>
      </x:c>
      <x:c r="AW248" s="17" t="n">
        <x:f>IF('Control Room'!$B$5="Normal",'Control Room'!$B$7+'Control Room'!$D$7*SQRT(-2*LN(MAX(0.000000000001,AU248/2147483647)))*COS(2*PI()*AV248/2147483647),'Control Room'!$B$8+('Control Room'!$D$8-'Control Room'!$B$8)*AU248/2147483647)</x:f>
        <x:v>789.8106973742865</x:v>
      </x:c>
      <x:c r="AX248" s="17" t="n">
        <x:f>IF('Control Room'!$B$5="Normal",'Control Room'!$B$7,('Control Room'!$B$8+'Control Room'!$D$8)/2)+'Control Room'!$B$9*(AX247-IF('Control Room'!$B$5="Normal",'Control Room'!$B$7,('Control Room'!$B$8+'Control Room'!$D$8)/2))+SQRT(1-'Control Room'!$B$9^2)*(AW248-IF('Control Room'!$B$5="Normal",'Control Room'!$B$7,('Control Room'!$B$8+'Control Room'!$D$8)/2))</x:f>
        <x:v>789.4408232477374</x:v>
      </x:c>
      <x:c r="AY248" s="17" t="n">
        <x:f>IF(AND($A248&gt;='Control Room'!$A$13,$A248&lt;'Control Room'!$A$13+'Control Room'!$B$13,'Process'!BT2=1),1+('Control Room'!$C$13-1)*EXP(-0.5*(($A248-'Control Room'!$A$13-('Control Room'!$B$13-1)/2)/MAX(0.5,'Control Room'!$B$13/4))^2),1)*IF(AND($A248&gt;='Control Room'!$A$14,$A248&lt;'Control Room'!$A$14+'Control Room'!$B$14,'Process'!BT3=1),1+('Control Room'!$C$14-1)*EXP(-0.5*(($A248-'Control Room'!$A$14-('Control Room'!$B$14-1)/2)/MAX(0.5,'Control Room'!$B$14/4))^2),1)*IF(AND($A248&gt;='Control Room'!$A$15,$A248&lt;'Control Room'!$A$15+'Control Room'!$B$15,'Process'!BT4=1),1+('Control Room'!$C$15-1)*EXP(-0.5*(($A248-'Control Room'!$A$15-('Control Room'!$B$15-1)/2)/MAX(0.5,'Control Room'!$B$15/4))^2),1)*IF(AND($A248&gt;='Control Room'!$A$16,$A248&lt;'Control Room'!$A$16+'Control Room'!$B$16,'Process'!BT5=1),1+('Control Room'!$C$16-1)*EXP(-0.5*(($A248-'Control Room'!$A$16-('Control Room'!$B$16-1)/2)/MAX(0.5,'Control Room'!$B$16/4))^2),1)</x:f>
        <x:v>1</x:v>
      </x:c>
      <x:c r="AZ248" s="9" t="n">
        <x:f>MOD(BA247*16807,2147483647)</x:f>
        <x:v>1689360689</x:v>
      </x:c>
      <x:c r="BA248" s="9" t="n">
        <x:f>MOD(AZ248*16807,2147483647)</x:f>
        <x:v>1203803036</x:v>
      </x:c>
      <x:c r="BB248" s="17" t="n">
        <x:f>IF('Control Room'!$B$5="Normal",'Control Room'!$B$7+'Control Room'!$D$7*SQRT(-2*LN(MAX(0.000000000001,AZ248/2147483647)))*COS(2*PI()*BA248/2147483647),'Control Room'!$B$8+('Control Room'!$D$8-'Control Room'!$B$8)*AZ248/2147483647)</x:f>
        <x:v>942.1130926170396</x:v>
      </x:c>
      <x:c r="BC248" s="17" t="n">
        <x:f>IF('Control Room'!$B$5="Normal",'Control Room'!$B$7,('Control Room'!$B$8+'Control Room'!$D$8)/2)+'Control Room'!$B$9*(BC247-IF('Control Room'!$B$5="Normal",'Control Room'!$B$7,('Control Room'!$B$8+'Control Room'!$D$8)/2))+SQRT(1-'Control Room'!$B$9^2)*(BB248-IF('Control Room'!$B$5="Normal",'Control Room'!$B$7,('Control Room'!$B$8+'Control Room'!$D$8)/2))</x:f>
        <x:v>895.2182067671442</x:v>
      </x:c>
      <x:c r="BD248" s="17" t="n">
        <x:f>IF(AND($A248&gt;='Control Room'!$A$13,$A248&lt;'Control Room'!$A$13+'Control Room'!$B$13,'Process'!BU2=1),1+('Control Room'!$C$13-1)*EXP(-0.5*(($A248-'Control Room'!$A$13-('Control Room'!$B$13-1)/2)/MAX(0.5,'Control Room'!$B$13/4))^2),1)*IF(AND($A248&gt;='Control Room'!$A$14,$A248&lt;'Control Room'!$A$14+'Control Room'!$B$14,'Process'!BU3=1),1+('Control Room'!$C$14-1)*EXP(-0.5*(($A248-'Control Room'!$A$14-('Control Room'!$B$14-1)/2)/MAX(0.5,'Control Room'!$B$14/4))^2),1)*IF(AND($A248&gt;='Control Room'!$A$15,$A248&lt;'Control Room'!$A$15+'Control Room'!$B$15,'Process'!BU4=1),1+('Control Room'!$C$15-1)*EXP(-0.5*(($A248-'Control Room'!$A$15-('Control Room'!$B$15-1)/2)/MAX(0.5,'Control Room'!$B$15/4))^2),1)*IF(AND($A248&gt;='Control Room'!$A$16,$A248&lt;'Control Room'!$A$16+'Control Room'!$B$16,'Process'!BU5=1),1+('Control Room'!$C$16-1)*EXP(-0.5*(($A248-'Control Room'!$A$16-('Control Room'!$B$16-1)/2)/MAX(0.5,'Control Room'!$B$16/4))^2),1)</x:f>
        <x:v>1</x:v>
      </x:c>
      <x:c r="BE248" s="9" t="n">
        <x:f>MOD(BF247*16807,2147483647)</x:f>
        <x:v>1214322473</x:v>
      </x:c>
      <x:c r="BF248" s="9" t="n">
        <x:f>MOD(BE248*16807,2147483647)</x:f>
        <x:v>1580706270</x:v>
      </x:c>
      <x:c r="BG248" s="17" t="n">
        <x:f>IF('Control Room'!$B$5="Normal",'Control Room'!$B$7+'Control Room'!$D$7*SQRT(-2*LN(MAX(0.000000000001,BE248/2147483647)))*COS(2*PI()*BF248/2147483647),'Control Room'!$B$8+('Control Room'!$D$8-'Control Room'!$B$8)*BE248/2147483647)</x:f>
        <x:v>991.6015765476714</x:v>
      </x:c>
      <x:c r="BH248" s="17" t="n">
        <x:f>IF('Control Room'!$B$5="Normal",'Control Room'!$B$7,('Control Room'!$B$8+'Control Room'!$D$8)/2)+'Control Room'!$B$9*(BH247-IF('Control Room'!$B$5="Normal",'Control Room'!$B$7,('Control Room'!$B$8+'Control Room'!$D$8)/2))+SQRT(1-'Control Room'!$B$9^2)*(BG248-IF('Control Room'!$B$5="Normal",'Control Room'!$B$7,('Control Room'!$B$8+'Control Room'!$D$8)/2))</x:f>
        <x:v>1048.050953091637</x:v>
      </x:c>
      <x:c r="BI248" s="17" t="n">
        <x:f>IF(AND($A248&gt;='Control Room'!$A$13,$A248&lt;'Control Room'!$A$13+'Control Room'!$B$13,'Process'!BV2=1),1+('Control Room'!$C$13-1)*EXP(-0.5*(($A248-'Control Room'!$A$13-('Control Room'!$B$13-1)/2)/MAX(0.5,'Control Room'!$B$13/4))^2),1)*IF(AND($A248&gt;='Control Room'!$A$14,$A248&lt;'Control Room'!$A$14+'Control Room'!$B$14,'Process'!BV3=1),1+('Control Room'!$C$14-1)*EXP(-0.5*(($A248-'Control Room'!$A$14-('Control Room'!$B$14-1)/2)/MAX(0.5,'Control Room'!$B$14/4))^2),1)*IF(AND($A248&gt;='Control Room'!$A$15,$A248&lt;'Control Room'!$A$15+'Control Room'!$B$15,'Process'!BV4=1),1+('Control Room'!$C$15-1)*EXP(-0.5*(($A248-'Control Room'!$A$15-('Control Room'!$B$15-1)/2)/MAX(0.5,'Control Room'!$B$15/4))^2),1)*IF(AND($A248&gt;='Control Room'!$A$16,$A248&lt;'Control Room'!$A$16+'Control Room'!$B$16,'Process'!BV5=1),1+('Control Room'!$C$16-1)*EXP(-0.5*(($A248-'Control Room'!$A$16-('Control Room'!$B$16-1)/2)/MAX(0.5,'Control Room'!$B$16/4))^2),1)</x:f>
        <x:v>1</x:v>
      </x:c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Z248" t="str">
        <x:f>IF('Data'!A248="","",TEXT('Data'!A248,"mm-dd"))</x:f>
      </x:c>
    </x:row>
    <x:row r="249" ht="21" customHeight="1">
      <x:c r="A249" s="15" t="n">
        <x:f>'Control Room'!$B$1+247</x:f>
        <x:v>73238</x:v>
      </x:c>
      <x:c r="B249" s="9" t="n">
        <x:f>MOD(C248*16807,2147483647)</x:f>
        <x:v>1220268491</x:v>
      </x:c>
      <x:c r="C249" s="9" t="n">
        <x:f>MOD(B249*16807,2147483647)</x:f>
        <x:v>583699387</x:v>
      </x:c>
      <x:c r="D249" s="17" t="n">
        <x:f>IF('Control Room'!$B$5="Normal",'Control Room'!$B$7+'Control Room'!$D$7*SQRT(-2*LN(MAX(0.000000000001,B249/2147483647)))*COS(2*PI()*C249/2147483647),'Control Room'!$B$8+('Control Room'!$D$8-'Control Room'!$B$8)*B249/2147483647)</x:f>
        <x:v>986.9302015013492</x:v>
      </x:c>
      <x:c r="E249" s="17" t="n">
        <x:f>IF('Control Room'!$B$5="Normal",'Control Room'!$B$7,('Control Room'!$B$8+'Control Room'!$D$8)/2)+'Control Room'!$B$9*(E248-IF('Control Room'!$B$5="Normal",'Control Room'!$B$7,('Control Room'!$B$8+'Control Room'!$D$8)/2))+SQRT(1-'Control Room'!$B$9^2)*(D249-IF('Control Room'!$B$5="Normal",'Control Room'!$B$7,('Control Room'!$B$8+'Control Room'!$D$8)/2))</x:f>
        <x:v>1042.8522646837946</x:v>
      </x:c>
      <x:c r="F249" s="17" t="n">
        <x:f>IF(AND($A249&gt;='Control Room'!$A$13,$A249&lt;'Control Room'!$A$13+'Control Room'!$B$13,'Process'!BK2=1),1+('Control Room'!$C$13-1)*EXP(-0.5*(($A249-'Control Room'!$A$13-('Control Room'!$B$13-1)/2)/MAX(0.5,'Control Room'!$B$13/4))^2),1)*IF(AND($A249&gt;='Control Room'!$A$14,$A249&lt;'Control Room'!$A$14+'Control Room'!$B$14,'Process'!BK3=1),1+('Control Room'!$C$14-1)*EXP(-0.5*(($A249-'Control Room'!$A$14-('Control Room'!$B$14-1)/2)/MAX(0.5,'Control Room'!$B$14/4))^2),1)*IF(AND($A249&gt;='Control Room'!$A$15,$A249&lt;'Control Room'!$A$15+'Control Room'!$B$15,'Process'!BK4=1),1+('Control Room'!$C$15-1)*EXP(-0.5*(($A249-'Control Room'!$A$15-('Control Room'!$B$15-1)/2)/MAX(0.5,'Control Room'!$B$15/4))^2),1)*IF(AND($A249&gt;='Control Room'!$A$16,$A249&lt;'Control Room'!$A$16+'Control Room'!$B$16,'Process'!BK5=1),1+('Control Room'!$C$16-1)*EXP(-0.5*(($A249-'Control Room'!$A$16-('Control Room'!$B$16-1)/2)/MAX(0.5,'Control Room'!$B$16/4))^2),1)</x:f>
        <x:v>1</x:v>
      </x:c>
      <x:c r="G249" s="9" t="n">
        <x:f>MOD(H248*16807,2147483647)</x:f>
        <x:v>756163679</x:v>
      </x:c>
      <x:c r="H249" s="9" t="n">
        <x:f>MOD(G249*16807,2147483647)</x:f>
        <x:v>34730007</x:v>
      </x:c>
      <x:c r="I249" s="17" t="n">
        <x:f>IF('Control Room'!$B$5="Normal",'Control Room'!$B$7+'Control Room'!$D$7*SQRT(-2*LN(MAX(0.000000000001,G249/2147483647)))*COS(2*PI()*H249/2147483647),'Control Room'!$B$8+('Control Room'!$D$8-'Control Room'!$B$8)*G249/2147483647)</x:f>
        <x:v>1129.3656355840792</x:v>
      </x:c>
      <x:c r="J249" s="17" t="n">
        <x:f>IF('Control Room'!$B$5="Normal",'Control Room'!$B$7,('Control Room'!$B$8+'Control Room'!$D$8)/2)+'Control Room'!$B$9*(J248-IF('Control Room'!$B$5="Normal",'Control Room'!$B$7,('Control Room'!$B$8+'Control Room'!$D$8)/2))+SQRT(1-'Control Room'!$B$9^2)*(I249-IF('Control Room'!$B$5="Normal",'Control Room'!$B$7,('Control Room'!$B$8+'Control Room'!$D$8)/2))</x:f>
        <x:v>1109.3000477757528</x:v>
      </x:c>
      <x:c r="K249" s="17" t="n">
        <x:f>IF(AND($A249&gt;='Control Room'!$A$13,$A249&lt;'Control Room'!$A$13+'Control Room'!$B$13,'Process'!BL2=1),1+('Control Room'!$C$13-1)*EXP(-0.5*(($A249-'Control Room'!$A$13-('Control Room'!$B$13-1)/2)/MAX(0.5,'Control Room'!$B$13/4))^2),1)*IF(AND($A249&gt;='Control Room'!$A$14,$A249&lt;'Control Room'!$A$14+'Control Room'!$B$14,'Process'!BL3=1),1+('Control Room'!$C$14-1)*EXP(-0.5*(($A249-'Control Room'!$A$14-('Control Room'!$B$14-1)/2)/MAX(0.5,'Control Room'!$B$14/4))^2),1)*IF(AND($A249&gt;='Control Room'!$A$15,$A249&lt;'Control Room'!$A$15+'Control Room'!$B$15,'Process'!BL4=1),1+('Control Room'!$C$15-1)*EXP(-0.5*(($A249-'Control Room'!$A$15-('Control Room'!$B$15-1)/2)/MAX(0.5,'Control Room'!$B$15/4))^2),1)*IF(AND($A249&gt;='Control Room'!$A$16,$A249&lt;'Control Room'!$A$16+'Control Room'!$B$16,'Process'!BL5=1),1+('Control Room'!$C$16-1)*EXP(-0.5*(($A249-'Control Room'!$A$16-('Control Room'!$B$16-1)/2)/MAX(0.5,'Control Room'!$B$16/4))^2),1)</x:f>
        <x:v>1</x:v>
      </x:c>
      <x:c r="L249" s="9" t="n">
        <x:f>MOD(M248*16807,2147483647)</x:f>
        <x:v>292058867</x:v>
      </x:c>
      <x:c r="M249" s="9" t="n">
        <x:f>MOD(L249*16807,2147483647)</x:f>
        <x:v>1633244274</x:v>
      </x:c>
      <x:c r="N249" s="17" t="n">
        <x:f>IF('Control Room'!$B$5="Normal",'Control Room'!$B$7+'Control Room'!$D$7*SQRT(-2*LN(MAX(0.000000000001,L249/2147483647)))*COS(2*PI()*M249/2147483647),'Control Room'!$B$8+('Control Room'!$D$8-'Control Room'!$B$8)*L249/2147483647)</x:f>
        <x:v>1011.8955944888511</x:v>
      </x:c>
      <x:c r="O249" s="17" t="n">
        <x:f>IF('Control Room'!$B$5="Normal",'Control Room'!$B$7,('Control Room'!$B$8+'Control Room'!$D$8)/2)+'Control Room'!$B$9*(O248-IF('Control Room'!$B$5="Normal",'Control Room'!$B$7,('Control Room'!$B$8+'Control Room'!$D$8)/2))+SQRT(1-'Control Room'!$B$9^2)*(N249-IF('Control Room'!$B$5="Normal",'Control Room'!$B$7,('Control Room'!$B$8+'Control Room'!$D$8)/2))</x:f>
        <x:v>1007.1370151724228</x:v>
      </x:c>
      <x:c r="P249" s="17" t="n">
        <x:f>IF(AND($A249&gt;='Control Room'!$A$13,$A249&lt;'Control Room'!$A$13+'Control Room'!$B$13,'Process'!BM2=1),1+('Control Room'!$C$13-1)*EXP(-0.5*(($A249-'Control Room'!$A$13-('Control Room'!$B$13-1)/2)/MAX(0.5,'Control Room'!$B$13/4))^2),1)*IF(AND($A249&gt;='Control Room'!$A$14,$A249&lt;'Control Room'!$A$14+'Control Room'!$B$14,'Process'!BM3=1),1+('Control Room'!$C$14-1)*EXP(-0.5*(($A249-'Control Room'!$A$14-('Control Room'!$B$14-1)/2)/MAX(0.5,'Control Room'!$B$14/4))^2),1)*IF(AND($A249&gt;='Control Room'!$A$15,$A249&lt;'Control Room'!$A$15+'Control Room'!$B$15,'Process'!BM4=1),1+('Control Room'!$C$15-1)*EXP(-0.5*(($A249-'Control Room'!$A$15-('Control Room'!$B$15-1)/2)/MAX(0.5,'Control Room'!$B$15/4))^2),1)*IF(AND($A249&gt;='Control Room'!$A$16,$A249&lt;'Control Room'!$A$16+'Control Room'!$B$16,'Process'!BM5=1),1+('Control Room'!$C$16-1)*EXP(-0.5*(($A249-'Control Room'!$A$16-('Control Room'!$B$16-1)/2)/MAX(0.5,'Control Room'!$B$16/4))^2),1)</x:f>
        <x:v>1</x:v>
      </x:c>
      <x:c r="Q249" s="9" t="n">
        <x:f>MOD(R248*16807,2147483647)</x:f>
        <x:v>1975437702</x:v>
      </x:c>
      <x:c r="R249" s="9" t="n">
        <x:f>MOD(Q249*16807,2147483647)</x:f>
        <x:v>1084274894</x:v>
      </x:c>
      <x:c r="S249" s="17" t="n">
        <x:f>IF('Control Room'!$B$5="Normal",'Control Room'!$B$7+'Control Room'!$D$7*SQRT(-2*LN(MAX(0.000000000001,Q249/2147483647)))*COS(2*PI()*R249/2147483647),'Control Room'!$B$8+('Control Room'!$D$8-'Control Room'!$B$8)*Q249/2147483647)</x:f>
        <x:v>963.2369048521308</x:v>
      </x:c>
      <x:c r="T249" s="17" t="n">
        <x:f>IF('Control Room'!$B$5="Normal",'Control Room'!$B$7,('Control Room'!$B$8+'Control Room'!$D$8)/2)+'Control Room'!$B$9*(T248-IF('Control Room'!$B$5="Normal",'Control Room'!$B$7,('Control Room'!$B$8+'Control Room'!$D$8)/2))+SQRT(1-'Control Room'!$B$9^2)*(S249-IF('Control Room'!$B$5="Normal",'Control Room'!$B$7,('Control Room'!$B$8+'Control Room'!$D$8)/2))</x:f>
        <x:v>941.1209287128302</x:v>
      </x:c>
      <x:c r="U249" s="17" t="n">
        <x:f>IF(AND($A249&gt;='Control Room'!$A$13,$A249&lt;'Control Room'!$A$13+'Control Room'!$B$13,'Process'!BN2=1),1+('Control Room'!$C$13-1)*EXP(-0.5*(($A249-'Control Room'!$A$13-('Control Room'!$B$13-1)/2)/MAX(0.5,'Control Room'!$B$13/4))^2),1)*IF(AND($A249&gt;='Control Room'!$A$14,$A249&lt;'Control Room'!$A$14+'Control Room'!$B$14,'Process'!BN3=1),1+('Control Room'!$C$14-1)*EXP(-0.5*(($A249-'Control Room'!$A$14-('Control Room'!$B$14-1)/2)/MAX(0.5,'Control Room'!$B$14/4))^2),1)*IF(AND($A249&gt;='Control Room'!$A$15,$A249&lt;'Control Room'!$A$15+'Control Room'!$B$15,'Process'!BN4=1),1+('Control Room'!$C$15-1)*EXP(-0.5*(($A249-'Control Room'!$A$15-('Control Room'!$B$15-1)/2)/MAX(0.5,'Control Room'!$B$15/4))^2),1)*IF(AND($A249&gt;='Control Room'!$A$16,$A249&lt;'Control Room'!$A$16+'Control Room'!$B$16,'Process'!BN5=1),1+('Control Room'!$C$16-1)*EXP(-0.5*(($A249-'Control Room'!$A$16-('Control Room'!$B$16-1)/2)/MAX(0.5,'Control Room'!$B$16/4))^2),1)</x:f>
        <x:v>1</x:v>
      </x:c>
      <x:c r="V249" s="9" t="n">
        <x:f>MOD(W248*16807,2147483647)</x:f>
        <x:v>1511332890</x:v>
      </x:c>
      <x:c r="W249" s="9" t="n">
        <x:f>MOD(V249*16807,2147483647)</x:f>
        <x:v>535305514</x:v>
      </x:c>
      <x:c r="X249" s="17" t="n">
        <x:f>IF('Control Room'!$B$5="Normal",'Control Room'!$B$7+'Control Room'!$D$7*SQRT(-2*LN(MAX(0.000000000001,V249/2147483647)))*COS(2*PI()*W249/2147483647),'Control Room'!$B$8+('Control Room'!$D$8-'Control Room'!$B$8)*V249/2147483647)</x:f>
        <x:v>1000.3455196353743</x:v>
      </x:c>
      <x:c r="Y249" s="17" t="n">
        <x:f>IF('Control Room'!$B$5="Normal",'Control Room'!$B$7,('Control Room'!$B$8+'Control Room'!$D$8)/2)+'Control Room'!$B$9*(Y248-IF('Control Room'!$B$5="Normal",'Control Room'!$B$7,('Control Room'!$B$8+'Control Room'!$D$8)/2))+SQRT(1-'Control Room'!$B$9^2)*(X249-IF('Control Room'!$B$5="Normal",'Control Room'!$B$7,('Control Room'!$B$8+'Control Room'!$D$8)/2))</x:f>
        <x:v>908.2647377256585</x:v>
      </x:c>
      <x:c r="Z249" s="17" t="n">
        <x:f>IF(AND($A249&gt;='Control Room'!$A$13,$A249&lt;'Control Room'!$A$13+'Control Room'!$B$13,'Process'!BO2=1),1+('Control Room'!$C$13-1)*EXP(-0.5*(($A249-'Control Room'!$A$13-('Control Room'!$B$13-1)/2)/MAX(0.5,'Control Room'!$B$13/4))^2),1)*IF(AND($A249&gt;='Control Room'!$A$14,$A249&lt;'Control Room'!$A$14+'Control Room'!$B$14,'Process'!BO3=1),1+('Control Room'!$C$14-1)*EXP(-0.5*(($A249-'Control Room'!$A$14-('Control Room'!$B$14-1)/2)/MAX(0.5,'Control Room'!$B$14/4))^2),1)*IF(AND($A249&gt;='Control Room'!$A$15,$A249&lt;'Control Room'!$A$15+'Control Room'!$B$15,'Process'!BO4=1),1+('Control Room'!$C$15-1)*EXP(-0.5*(($A249-'Control Room'!$A$15-('Control Room'!$B$15-1)/2)/MAX(0.5,'Control Room'!$B$15/4))^2),1)*IF(AND($A249&gt;='Control Room'!$A$16,$A249&lt;'Control Room'!$A$16+'Control Room'!$B$16,'Process'!BO5=1),1+('Control Room'!$C$16-1)*EXP(-0.5*(($A249-'Control Room'!$A$16-('Control Room'!$B$16-1)/2)/MAX(0.5,'Control Room'!$B$16/4))^2),1)</x:f>
        <x:v>1</x:v>
      </x:c>
      <x:c r="AA249" s="9" t="n">
        <x:f>MOD(AB248*16807,2147483647)</x:f>
        <x:v>1047228078</x:v>
      </x:c>
      <x:c r="AB249" s="9" t="n">
        <x:f>MOD(AA249*16807,2147483647)</x:f>
        <x:v>2133819781</x:v>
      </x:c>
      <x:c r="AC249" s="17" t="n">
        <x:f>IF('Control Room'!$B$5="Normal",'Control Room'!$B$7+'Control Room'!$D$7*SQRT(-2*LN(MAX(0.000000000001,AA249/2147483647)))*COS(2*PI()*AB249/2147483647),'Control Room'!$B$8+('Control Room'!$D$8-'Control Room'!$B$8)*AA249/2147483647)</x:f>
        <x:v>1107.7749781131201</x:v>
      </x:c>
      <x:c r="AD249" s="17" t="n">
        <x:f>IF('Control Room'!$B$5="Normal",'Control Room'!$B$7,('Control Room'!$B$8+'Control Room'!$D$8)/2)+'Control Room'!$B$9*(AD248-IF('Control Room'!$B$5="Normal",'Control Room'!$B$7,('Control Room'!$B$8+'Control Room'!$D$8)/2))+SQRT(1-'Control Room'!$B$9^2)*(AC249-IF('Control Room'!$B$5="Normal",'Control Room'!$B$7,('Control Room'!$B$8+'Control Room'!$D$8)/2))</x:f>
        <x:v>1029.6268784101276</x:v>
      </x:c>
      <x:c r="AE249" s="17" t="n">
        <x:f>IF(AND($A249&gt;='Control Room'!$A$13,$A249&lt;'Control Room'!$A$13+'Control Room'!$B$13,'Process'!BP2=1),1+('Control Room'!$C$13-1)*EXP(-0.5*(($A249-'Control Room'!$A$13-('Control Room'!$B$13-1)/2)/MAX(0.5,'Control Room'!$B$13/4))^2),1)*IF(AND($A249&gt;='Control Room'!$A$14,$A249&lt;'Control Room'!$A$14+'Control Room'!$B$14,'Process'!BP3=1),1+('Control Room'!$C$14-1)*EXP(-0.5*(($A249-'Control Room'!$A$14-('Control Room'!$B$14-1)/2)/MAX(0.5,'Control Room'!$B$14/4))^2),1)*IF(AND($A249&gt;='Control Room'!$A$15,$A249&lt;'Control Room'!$A$15+'Control Room'!$B$15,'Process'!BP4=1),1+('Control Room'!$C$15-1)*EXP(-0.5*(($A249-'Control Room'!$A$15-('Control Room'!$B$15-1)/2)/MAX(0.5,'Control Room'!$B$15/4))^2),1)*IF(AND($A249&gt;='Control Room'!$A$16,$A249&lt;'Control Room'!$A$16+'Control Room'!$B$16,'Process'!BP5=1),1+('Control Room'!$C$16-1)*EXP(-0.5*(($A249-'Control Room'!$A$16-('Control Room'!$B$16-1)/2)/MAX(0.5,'Control Room'!$B$16/4))^2),1)</x:f>
        <x:v>1</x:v>
      </x:c>
      <x:c r="AF249" s="9" t="n">
        <x:f>MOD(AG248*16807,2147483647)</x:f>
        <x:v>583123266</x:v>
      </x:c>
      <x:c r="AG249" s="9" t="n">
        <x:f>MOD(AF249*16807,2147483647)</x:f>
        <x:v>1584850401</x:v>
      </x:c>
      <x:c r="AH249" s="17" t="n">
        <x:f>IF('Control Room'!$B$5="Normal",'Control Room'!$B$7+'Control Room'!$D$7*SQRT(-2*LN(MAX(0.000000000001,AF249/2147483647)))*COS(2*PI()*AG249/2147483647),'Control Room'!$B$8+('Control Room'!$D$8-'Control Room'!$B$8)*AF249/2147483647)</x:f>
        <x:v>989.0563429968267</x:v>
      </x:c>
      <x:c r="AI249" s="17" t="n">
        <x:f>IF('Control Room'!$B$5="Normal",'Control Room'!$B$7,('Control Room'!$B$8+'Control Room'!$D$8)/2)+'Control Room'!$B$9*(AI248-IF('Control Room'!$B$5="Normal",'Control Room'!$B$7,('Control Room'!$B$8+'Control Room'!$D$8)/2))+SQRT(1-'Control Room'!$B$9^2)*(AH249-IF('Control Room'!$B$5="Normal",'Control Room'!$B$7,('Control Room'!$B$8+'Control Room'!$D$8)/2))</x:f>
        <x:v>1069.0951166793434</x:v>
      </x:c>
      <x:c r="AJ249" s="17" t="n">
        <x:f>IF(AND($A249&gt;='Control Room'!$A$13,$A249&lt;'Control Room'!$A$13+'Control Room'!$B$13,'Process'!BQ2=1),1+('Control Room'!$C$13-1)*EXP(-0.5*(($A249-'Control Room'!$A$13-('Control Room'!$B$13-1)/2)/MAX(0.5,'Control Room'!$B$13/4))^2),1)*IF(AND($A249&gt;='Control Room'!$A$14,$A249&lt;'Control Room'!$A$14+'Control Room'!$B$14,'Process'!BQ3=1),1+('Control Room'!$C$14-1)*EXP(-0.5*(($A249-'Control Room'!$A$14-('Control Room'!$B$14-1)/2)/MAX(0.5,'Control Room'!$B$14/4))^2),1)*IF(AND($A249&gt;='Control Room'!$A$15,$A249&lt;'Control Room'!$A$15+'Control Room'!$B$15,'Process'!BQ4=1),1+('Control Room'!$C$15-1)*EXP(-0.5*(($A249-'Control Room'!$A$15-('Control Room'!$B$15-1)/2)/MAX(0.5,'Control Room'!$B$15/4))^2),1)*IF(AND($A249&gt;='Control Room'!$A$16,$A249&lt;'Control Room'!$A$16+'Control Room'!$B$16,'Process'!BQ5=1),1+('Control Room'!$C$16-1)*EXP(-0.5*(($A249-'Control Room'!$A$16-('Control Room'!$B$16-1)/2)/MAX(0.5,'Control Room'!$B$16/4))^2),1)</x:f>
        <x:v>1</x:v>
      </x:c>
      <x:c r="AK249" s="9" t="n">
        <x:f>MOD(AL248*16807,2147483647)</x:f>
        <x:v>119018454</x:v>
      </x:c>
      <x:c r="AL249" s="9" t="n">
        <x:f>MOD(AK249*16807,2147483647)</x:f>
        <x:v>1035881021</x:v>
      </x:c>
      <x:c r="AM249" s="17" t="n">
        <x:f>IF('Control Room'!$B$5="Normal",'Control Room'!$B$7+'Control Room'!$D$7*SQRT(-2*LN(MAX(0.000000000001,AK249/2147483647)))*COS(2*PI()*AL249/2147483647),'Control Room'!$B$8+('Control Room'!$D$8-'Control Room'!$B$8)*AK249/2147483647)</x:f>
        <x:v>784.848369435313</x:v>
      </x:c>
      <x:c r="AN249" s="17" t="n">
        <x:f>IF('Control Room'!$B$5="Normal",'Control Room'!$B$7,('Control Room'!$B$8+'Control Room'!$D$8)/2)+'Control Room'!$B$9*(AN248-IF('Control Room'!$B$5="Normal",'Control Room'!$B$7,('Control Room'!$B$8+'Control Room'!$D$8)/2))+SQRT(1-'Control Room'!$B$9^2)*(AM249-IF('Control Room'!$B$5="Normal",'Control Room'!$B$7,('Control Room'!$B$8+'Control Room'!$D$8)/2))</x:f>
        <x:v>846.0369877501194</x:v>
      </x:c>
      <x:c r="AO249" s="17" t="n">
        <x:f>IF(AND($A249&gt;='Control Room'!$A$13,$A249&lt;'Control Room'!$A$13+'Control Room'!$B$13,'Process'!BR2=1),1+('Control Room'!$C$13-1)*EXP(-0.5*(($A249-'Control Room'!$A$13-('Control Room'!$B$13-1)/2)/MAX(0.5,'Control Room'!$B$13/4))^2),1)*IF(AND($A249&gt;='Control Room'!$A$14,$A249&lt;'Control Room'!$A$14+'Control Room'!$B$14,'Process'!BR3=1),1+('Control Room'!$C$14-1)*EXP(-0.5*(($A249-'Control Room'!$A$14-('Control Room'!$B$14-1)/2)/MAX(0.5,'Control Room'!$B$14/4))^2),1)*IF(AND($A249&gt;='Control Room'!$A$15,$A249&lt;'Control Room'!$A$15+'Control Room'!$B$15,'Process'!BR4=1),1+('Control Room'!$C$15-1)*EXP(-0.5*(($A249-'Control Room'!$A$15-('Control Room'!$B$15-1)/2)/MAX(0.5,'Control Room'!$B$15/4))^2),1)*IF(AND($A249&gt;='Control Room'!$A$16,$A249&lt;'Control Room'!$A$16+'Control Room'!$B$16,'Process'!BR5=1),1+('Control Room'!$C$16-1)*EXP(-0.5*(($A249-'Control Room'!$A$16-('Control Room'!$B$16-1)/2)/MAX(0.5,'Control Room'!$B$16/4))^2),1)</x:f>
        <x:v>1</x:v>
      </x:c>
      <x:c r="AP249" s="9" t="n">
        <x:f>MOD(AQ248*16807,2147483647)</x:f>
        <x:v>1802397289</x:v>
      </x:c>
      <x:c r="AQ249" s="9" t="n">
        <x:f>MOD(AP249*16807,2147483647)</x:f>
        <x:v>486911641</x:v>
      </x:c>
      <x:c r="AR249" s="17" t="n">
        <x:f>IF('Control Room'!$B$5="Normal",'Control Room'!$B$7+'Control Room'!$D$7*SQRT(-2*LN(MAX(0.000000000001,AP249/2147483647)))*COS(2*PI()*AQ249/2147483647),'Control Room'!$B$8+('Control Room'!$D$8-'Control Room'!$B$8)*AP249/2147483647)</x:f>
        <x:v>1007.7592037341685</x:v>
      </x:c>
      <x:c r="AS249" s="17" t="n">
        <x:f>IF('Control Room'!$B$5="Normal",'Control Room'!$B$7,('Control Room'!$B$8+'Control Room'!$D$8)/2)+'Control Room'!$B$9*(AS248-IF('Control Room'!$B$5="Normal",'Control Room'!$B$7,('Control Room'!$B$8+'Control Room'!$D$8)/2))+SQRT(1-'Control Room'!$B$9^2)*(AR249-IF('Control Room'!$B$5="Normal",'Control Room'!$B$7,('Control Room'!$B$8+'Control Room'!$D$8)/2))</x:f>
        <x:v>1113.402934573552</x:v>
      </x:c>
      <x:c r="AT249" s="17" t="n">
        <x:f>IF(AND($A249&gt;='Control Room'!$A$13,$A249&lt;'Control Room'!$A$13+'Control Room'!$B$13,'Process'!BS2=1),1+('Control Room'!$C$13-1)*EXP(-0.5*(($A249-'Control Room'!$A$13-('Control Room'!$B$13-1)/2)/MAX(0.5,'Control Room'!$B$13/4))^2),1)*IF(AND($A249&gt;='Control Room'!$A$14,$A249&lt;'Control Room'!$A$14+'Control Room'!$B$14,'Process'!BS3=1),1+('Control Room'!$C$14-1)*EXP(-0.5*(($A249-'Control Room'!$A$14-('Control Room'!$B$14-1)/2)/MAX(0.5,'Control Room'!$B$14/4))^2),1)*IF(AND($A249&gt;='Control Room'!$A$15,$A249&lt;'Control Room'!$A$15+'Control Room'!$B$15,'Process'!BS4=1),1+('Control Room'!$C$15-1)*EXP(-0.5*(($A249-'Control Room'!$A$15-('Control Room'!$B$15-1)/2)/MAX(0.5,'Control Room'!$B$15/4))^2),1)*IF(AND($A249&gt;='Control Room'!$A$16,$A249&lt;'Control Room'!$A$16+'Control Room'!$B$16,'Process'!BS5=1),1+('Control Room'!$C$16-1)*EXP(-0.5*(($A249-'Control Room'!$A$16-('Control Room'!$B$16-1)/2)/MAX(0.5,'Control Room'!$B$16/4))^2),1)</x:f>
        <x:v>1</x:v>
      </x:c>
      <x:c r="AU249" s="9" t="n">
        <x:f>MOD(AV248*16807,2147483647)</x:f>
        <x:v>1338292477</x:v>
      </x:c>
      <x:c r="AV249" s="9" t="n">
        <x:f>MOD(AU249*16807,2147483647)</x:f>
        <x:v>2085425908</x:v>
      </x:c>
      <x:c r="AW249" s="17" t="n">
        <x:f>IF('Control Room'!$B$5="Normal",'Control Room'!$B$7+'Control Room'!$D$7*SQRT(-2*LN(MAX(0.000000000001,AU249/2147483647)))*COS(2*PI()*AV249/2147483647),'Control Room'!$B$8+('Control Room'!$D$8-'Control Room'!$B$8)*AU249/2147483647)</x:f>
        <x:v>1086.0883936504451</x:v>
      </x:c>
      <x:c r="AX249" s="17" t="n">
        <x:f>IF('Control Room'!$B$5="Normal",'Control Room'!$B$7,('Control Room'!$B$8+'Control Room'!$D$8)/2)+'Control Room'!$B$9*(AX248-IF('Control Room'!$B$5="Normal",'Control Room'!$B$7,('Control Room'!$B$8+'Control Room'!$D$8)/2))+SQRT(1-'Control Room'!$B$9^2)*(AW249-IF('Control Room'!$B$5="Normal",'Control Room'!$B$7,('Control Room'!$B$8+'Control Room'!$D$8)/2))</x:f>
        <x:v>889.6361952630787</x:v>
      </x:c>
      <x:c r="AY249" s="17" t="n">
        <x:f>IF(AND($A249&gt;='Control Room'!$A$13,$A249&lt;'Control Room'!$A$13+'Control Room'!$B$13,'Process'!BT2=1),1+('Control Room'!$C$13-1)*EXP(-0.5*(($A249-'Control Room'!$A$13-('Control Room'!$B$13-1)/2)/MAX(0.5,'Control Room'!$B$13/4))^2),1)*IF(AND($A249&gt;='Control Room'!$A$14,$A249&lt;'Control Room'!$A$14+'Control Room'!$B$14,'Process'!BT3=1),1+('Control Room'!$C$14-1)*EXP(-0.5*(($A249-'Control Room'!$A$14-('Control Room'!$B$14-1)/2)/MAX(0.5,'Control Room'!$B$14/4))^2),1)*IF(AND($A249&gt;='Control Room'!$A$15,$A249&lt;'Control Room'!$A$15+'Control Room'!$B$15,'Process'!BT4=1),1+('Control Room'!$C$15-1)*EXP(-0.5*(($A249-'Control Room'!$A$15-('Control Room'!$B$15-1)/2)/MAX(0.5,'Control Room'!$B$15/4))^2),1)*IF(AND($A249&gt;='Control Room'!$A$16,$A249&lt;'Control Room'!$A$16+'Control Room'!$B$16,'Process'!BT5=1),1+('Control Room'!$C$16-1)*EXP(-0.5*(($A249-'Control Room'!$A$16-('Control Room'!$B$16-1)/2)/MAX(0.5,'Control Room'!$B$16/4))^2),1)</x:f>
        <x:v>1</x:v>
      </x:c>
      <x:c r="AZ249" s="9" t="n">
        <x:f>MOD(BA248*16807,2147483647)</x:f>
        <x:v>874187665</x:v>
      </x:c>
      <x:c r="BA249" s="9" t="n">
        <x:f>MOD(AZ249*16807,2147483647)</x:f>
        <x:v>1536456528</x:v>
      </x:c>
      <x:c r="BB249" s="17" t="n">
        <x:f>IF('Control Room'!$B$5="Normal",'Control Room'!$B$7+'Control Room'!$D$7*SQRT(-2*LN(MAX(0.000000000001,AZ249/2147483647)))*COS(2*PI()*BA249/2147483647),'Control Room'!$B$8+('Control Room'!$D$8-'Control Room'!$B$8)*AZ249/2147483647)</x:f>
        <x:v>974.0245336870082</x:v>
      </x:c>
      <x:c r="BC249" s="17" t="n">
        <x:f>IF('Control Room'!$B$5="Normal",'Control Room'!$B$7,('Control Room'!$B$8+'Control Room'!$D$8)/2)+'Control Room'!$B$9*(BC248-IF('Control Room'!$B$5="Normal",'Control Room'!$B$7,('Control Room'!$B$8+'Control Room'!$D$8)/2))+SQRT(1-'Control Room'!$B$9^2)*(BB249-IF('Control Room'!$B$5="Normal",'Control Room'!$B$7,('Control Room'!$B$8+'Control Room'!$D$8)/2))</x:f>
        <x:v>902.0152865960539</x:v>
      </x:c>
      <x:c r="BD249" s="17" t="n">
        <x:f>IF(AND($A249&gt;='Control Room'!$A$13,$A249&lt;'Control Room'!$A$13+'Control Room'!$B$13,'Process'!BU2=1),1+('Control Room'!$C$13-1)*EXP(-0.5*(($A249-'Control Room'!$A$13-('Control Room'!$B$13-1)/2)/MAX(0.5,'Control Room'!$B$13/4))^2),1)*IF(AND($A249&gt;='Control Room'!$A$14,$A249&lt;'Control Room'!$A$14+'Control Room'!$B$14,'Process'!BU3=1),1+('Control Room'!$C$14-1)*EXP(-0.5*(($A249-'Control Room'!$A$14-('Control Room'!$B$14-1)/2)/MAX(0.5,'Control Room'!$B$14/4))^2),1)*IF(AND($A249&gt;='Control Room'!$A$15,$A249&lt;'Control Room'!$A$15+'Control Room'!$B$15,'Process'!BU4=1),1+('Control Room'!$C$15-1)*EXP(-0.5*(($A249-'Control Room'!$A$15-('Control Room'!$B$15-1)/2)/MAX(0.5,'Control Room'!$B$15/4))^2),1)*IF(AND($A249&gt;='Control Room'!$A$16,$A249&lt;'Control Room'!$A$16+'Control Room'!$B$16,'Process'!BU5=1),1+('Control Room'!$C$16-1)*EXP(-0.5*(($A249-'Control Room'!$A$16-('Control Room'!$B$16-1)/2)/MAX(0.5,'Control Room'!$B$16/4))^2),1)</x:f>
        <x:v>1</x:v>
      </x:c>
      <x:c r="BE249" s="9" t="n">
        <x:f>MOD(BF248*16807,2147483647)</x:f>
        <x:v>410082853</x:v>
      </x:c>
      <x:c r="BF249" s="9" t="n">
        <x:f>MOD(BE249*16807,2147483647)</x:f>
        <x:v>987487148</x:v>
      </x:c>
      <x:c r="BG249" s="17" t="n">
        <x:f>IF('Control Room'!$B$5="Normal",'Control Room'!$B$7+'Control Room'!$D$7*SQRT(-2*LN(MAX(0.000000000001,BE249/2147483647)))*COS(2*PI()*BF249/2147483647),'Control Room'!$B$8+('Control Room'!$D$8-'Control Room'!$B$8)*BE249/2147483647)</x:f>
        <x:v>841.4128017290365</x:v>
      </x:c>
      <x:c r="BH249" s="17" t="n">
        <x:f>IF('Control Room'!$B$5="Normal",'Control Room'!$B$7,('Control Room'!$B$8+'Control Room'!$D$8)/2)+'Control Room'!$B$9*(BH248-IF('Control Room'!$B$5="Normal",'Control Room'!$B$7,('Control Room'!$B$8+'Control Room'!$D$8)/2))+SQRT(1-'Control Room'!$B$9^2)*(BG249-IF('Control Room'!$B$5="Normal",'Control Room'!$B$7,('Control Room'!$B$8+'Control Room'!$D$8)/2))</x:f>
        <x:v>938.2391235688544</x:v>
      </x:c>
      <x:c r="BI249" s="17" t="n">
        <x:f>IF(AND($A249&gt;='Control Room'!$A$13,$A249&lt;'Control Room'!$A$13+'Control Room'!$B$13,'Process'!BV2=1),1+('Control Room'!$C$13-1)*EXP(-0.5*(($A249-'Control Room'!$A$13-('Control Room'!$B$13-1)/2)/MAX(0.5,'Control Room'!$B$13/4))^2),1)*IF(AND($A249&gt;='Control Room'!$A$14,$A249&lt;'Control Room'!$A$14+'Control Room'!$B$14,'Process'!BV3=1),1+('Control Room'!$C$14-1)*EXP(-0.5*(($A249-'Control Room'!$A$14-('Control Room'!$B$14-1)/2)/MAX(0.5,'Control Room'!$B$14/4))^2),1)*IF(AND($A249&gt;='Control Room'!$A$15,$A249&lt;'Control Room'!$A$15+'Control Room'!$B$15,'Process'!BV4=1),1+('Control Room'!$C$15-1)*EXP(-0.5*(($A249-'Control Room'!$A$15-('Control Room'!$B$15-1)/2)/MAX(0.5,'Control Room'!$B$15/4))^2),1)*IF(AND($A249&gt;='Control Room'!$A$16,$A249&lt;'Control Room'!$A$16+'Control Room'!$B$16,'Process'!BV5=1),1+('Control Room'!$C$16-1)*EXP(-0.5*(($A249-'Control Room'!$A$16-('Control Room'!$B$16-1)/2)/MAX(0.5,'Control Room'!$B$16/4))^2),1)</x:f>
        <x:v>1</x:v>
      </x:c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Z249" t="str">
        <x:f>IF('Data'!A249="","",TEXT('Data'!A249,"mm-dd"))</x:f>
      </x:c>
    </x:row>
    <x:row r="250" ht="21" customHeight="1">
      <x:c r="A250" s="15" t="n">
        <x:f>'Control Room'!$B$1+248</x:f>
        <x:v>73239</x:v>
      </x:c>
      <x:c r="B250" s="9" t="n">
        <x:f>MOD(C249*16807,2147483647)</x:f>
        <x:v>530297813</x:v>
      </x:c>
      <x:c r="C250" s="9" t="n">
        <x:f>MOD(B250*16807,2147483647)</x:f>
        <x:v>658208041</x:v>
      </x:c>
      <x:c r="D250" s="17" t="n">
        <x:f>IF('Control Room'!$B$5="Normal",'Control Room'!$B$7+'Control Room'!$D$7*SQRT(-2*LN(MAX(0.000000000001,B250/2147483647)))*COS(2*PI()*C250/2147483647),'Control Room'!$B$8+('Control Room'!$D$8-'Control Room'!$B$8)*B250/2147483647)</x:f>
        <x:v>947.6774652243926</x:v>
      </x:c>
      <x:c r="E250" s="17" t="n">
        <x:f>IF('Control Room'!$B$5="Normal",'Control Room'!$B$7,('Control Room'!$B$8+'Control Room'!$D$8)/2)+'Control Room'!$B$9*(E249-IF('Control Room'!$B$5="Normal",'Control Room'!$B$7,('Control Room'!$B$8+'Control Room'!$D$8)/2))+SQRT(1-'Control Room'!$B$9^2)*(D250-IF('Control Room'!$B$5="Normal",'Control Room'!$B$7,('Control Room'!$B$8+'Control Room'!$D$8)/2))</x:f>
        <x:v>1000.6823960761717</x:v>
      </x:c>
      <x:c r="F250" s="17" t="n">
        <x:f>IF(AND($A250&gt;='Control Room'!$A$13,$A250&lt;'Control Room'!$A$13+'Control Room'!$B$13,'Process'!BK2=1),1+('Control Room'!$C$13-1)*EXP(-0.5*(($A250-'Control Room'!$A$13-('Control Room'!$B$13-1)/2)/MAX(0.5,'Control Room'!$B$13/4))^2),1)*IF(AND($A250&gt;='Control Room'!$A$14,$A250&lt;'Control Room'!$A$14+'Control Room'!$B$14,'Process'!BK3=1),1+('Control Room'!$C$14-1)*EXP(-0.5*(($A250-'Control Room'!$A$14-('Control Room'!$B$14-1)/2)/MAX(0.5,'Control Room'!$B$14/4))^2),1)*IF(AND($A250&gt;='Control Room'!$A$15,$A250&lt;'Control Room'!$A$15+'Control Room'!$B$15,'Process'!BK4=1),1+('Control Room'!$C$15-1)*EXP(-0.5*(($A250-'Control Room'!$A$15-('Control Room'!$B$15-1)/2)/MAX(0.5,'Control Room'!$B$15/4))^2),1)*IF(AND($A250&gt;='Control Room'!$A$16,$A250&lt;'Control Room'!$A$16+'Control Room'!$B$16,'Process'!BK5=1),1+('Control Room'!$C$16-1)*EXP(-0.5*(($A250-'Control Room'!$A$16-('Control Room'!$B$16-1)/2)/MAX(0.5,'Control Room'!$B$16/4))^2),1)</x:f>
        <x:v>1</x:v>
      </x:c>
      <x:c r="G250" s="9" t="n">
        <x:f>MOD(H249*16807,2147483647)</x:f>
        <x:v>1739159312</x:v>
      </x:c>
      <x:c r="H250" s="9" t="n">
        <x:f>MOD(G250*16807,2147483647)</x:f>
        <x:v>650637467</x:v>
      </x:c>
      <x:c r="I250" s="17" t="n">
        <x:f>IF('Control Room'!$B$5="Normal",'Control Room'!$B$7+'Control Room'!$D$7*SQRT(-2*LN(MAX(0.000000000001,G250/2147483647)))*COS(2*PI()*H250/2147483647),'Control Room'!$B$8+('Control Room'!$D$8-'Control Room'!$B$8)*G250/2147483647)</x:f>
        <x:v>980.9012224971117</x:v>
      </x:c>
      <x:c r="J250" s="17" t="n">
        <x:f>IF('Control Room'!$B$5="Normal",'Control Room'!$B$7,('Control Room'!$B$8+'Control Room'!$D$8)/2)+'Control Room'!$B$9*(J249-IF('Control Room'!$B$5="Normal",'Control Room'!$B$7,('Control Room'!$B$8+'Control Room'!$D$8)/2))+SQRT(1-'Control Room'!$B$9^2)*(I250-IF('Control Room'!$B$5="Normal",'Control Room'!$B$7,('Control Room'!$B$8+'Control Room'!$D$8)/2))</x:f>
        <x:v>1073.3024135635037</x:v>
      </x:c>
      <x:c r="K250" s="17" t="n">
        <x:f>IF(AND($A250&gt;='Control Room'!$A$13,$A250&lt;'Control Room'!$A$13+'Control Room'!$B$13,'Process'!BL2=1),1+('Control Room'!$C$13-1)*EXP(-0.5*(($A250-'Control Room'!$A$13-('Control Room'!$B$13-1)/2)/MAX(0.5,'Control Room'!$B$13/4))^2),1)*IF(AND($A250&gt;='Control Room'!$A$14,$A250&lt;'Control Room'!$A$14+'Control Room'!$B$14,'Process'!BL3=1),1+('Control Room'!$C$14-1)*EXP(-0.5*(($A250-'Control Room'!$A$14-('Control Room'!$B$14-1)/2)/MAX(0.5,'Control Room'!$B$14/4))^2),1)*IF(AND($A250&gt;='Control Room'!$A$15,$A250&lt;'Control Room'!$A$15+'Control Room'!$B$15,'Process'!BL4=1),1+('Control Room'!$C$15-1)*EXP(-0.5*(($A250-'Control Room'!$A$15-('Control Room'!$B$15-1)/2)/MAX(0.5,'Control Room'!$B$15/4))^2),1)*IF(AND($A250&gt;='Control Room'!$A$16,$A250&lt;'Control Room'!$A$16+'Control Room'!$B$16,'Process'!BL5=1),1+('Control Room'!$C$16-1)*EXP(-0.5*(($A250-'Control Room'!$A$16-('Control Room'!$B$16-1)/2)/MAX(0.5,'Control Room'!$B$16/4))^2),1)</x:f>
        <x:v>1</x:v>
      </x:c>
      <x:c r="L250" s="9" t="n">
        <x:f>MOD(M249*16807,2147483647)</x:f>
        <x:v>800537164</x:v>
      </x:c>
      <x:c r="M250" s="9" t="n">
        <x:f>MOD(L250*16807,2147483647)</x:f>
        <x:v>643066893</x:v>
      </x:c>
      <x:c r="N250" s="17" t="n">
        <x:f>IF('Control Room'!$B$5="Normal",'Control Room'!$B$7+'Control Room'!$D$7*SQRT(-2*LN(MAX(0.000000000001,L250/2147483647)))*COS(2*PI()*M250/2147483647),'Control Room'!$B$8+('Control Room'!$D$8-'Control Room'!$B$8)*L250/2147483647)</x:f>
        <x:v>961.3443668110822</x:v>
      </x:c>
      <x:c r="O250" s="17" t="n">
        <x:f>IF('Control Room'!$B$5="Normal",'Control Room'!$B$7,('Control Room'!$B$8+'Control Room'!$D$8)/2)+'Control Room'!$B$9*(O249-IF('Control Room'!$B$5="Normal",'Control Room'!$B$7,('Control Room'!$B$8+'Control Room'!$D$8)/2))+SQRT(1-'Control Room'!$B$9^2)*(N250-IF('Control Room'!$B$5="Normal",'Control Room'!$B$7,('Control Room'!$B$8+'Control Room'!$D$8)/2))</x:f>
        <x:v>981.3769684885547</x:v>
      </x:c>
      <x:c r="P250" s="17" t="n">
        <x:f>IF(AND($A250&gt;='Control Room'!$A$13,$A250&lt;'Control Room'!$A$13+'Control Room'!$B$13,'Process'!BM2=1),1+('Control Room'!$C$13-1)*EXP(-0.5*(($A250-'Control Room'!$A$13-('Control Room'!$B$13-1)/2)/MAX(0.5,'Control Room'!$B$13/4))^2),1)*IF(AND($A250&gt;='Control Room'!$A$14,$A250&lt;'Control Room'!$A$14+'Control Room'!$B$14,'Process'!BM3=1),1+('Control Room'!$C$14-1)*EXP(-0.5*(($A250-'Control Room'!$A$14-('Control Room'!$B$14-1)/2)/MAX(0.5,'Control Room'!$B$14/4))^2),1)*IF(AND($A250&gt;='Control Room'!$A$15,$A250&lt;'Control Room'!$A$15+'Control Room'!$B$15,'Process'!BM4=1),1+('Control Room'!$C$15-1)*EXP(-0.5*(($A250-'Control Room'!$A$15-('Control Room'!$B$15-1)/2)/MAX(0.5,'Control Room'!$B$15/4))^2),1)*IF(AND($A250&gt;='Control Room'!$A$16,$A250&lt;'Control Room'!$A$16+'Control Room'!$B$16,'Process'!BM5=1),1+('Control Room'!$C$16-1)*EXP(-0.5*(($A250-'Control Room'!$A$16-('Control Room'!$B$16-1)/2)/MAX(0.5,'Control Room'!$B$16/4))^2),1)</x:f>
        <x:v>1</x:v>
      </x:c>
      <x:c r="Q250" s="9" t="n">
        <x:f>MOD(R249*16807,2147483647)</x:f>
        <x:v>2009398663</x:v>
      </x:c>
      <x:c r="R250" s="9" t="n">
        <x:f>MOD(Q250*16807,2147483647)</x:f>
        <x:v>635496319</x:v>
      </x:c>
      <x:c r="S250" s="17" t="n">
        <x:f>IF('Control Room'!$B$5="Normal",'Control Room'!$B$7+'Control Room'!$D$7*SQRT(-2*LN(MAX(0.000000000001,Q250/2147483647)))*COS(2*PI()*R250/2147483647),'Control Room'!$B$8+('Control Room'!$D$8-'Control Room'!$B$8)*Q250/2147483647)</x:f>
        <x:v>990.6623704561413</x:v>
      </x:c>
      <x:c r="T250" s="17" t="n">
        <x:f>IF('Control Room'!$B$5="Normal",'Control Room'!$B$7,('Control Room'!$B$8+'Control Room'!$D$8)/2)+'Control Room'!$B$9*(T249-IF('Control Room'!$B$5="Normal",'Control Room'!$B$7,('Control Room'!$B$8+'Control Room'!$D$8)/2))+SQRT(1-'Control Room'!$B$9^2)*(S250-IF('Control Room'!$B$5="Normal",'Control Room'!$B$7,('Control Room'!$B$8+'Control Room'!$D$8)/2))</x:f>
        <x:v>948.2310271191997</x:v>
      </x:c>
      <x:c r="U250" s="17" t="n">
        <x:f>IF(AND($A250&gt;='Control Room'!$A$13,$A250&lt;'Control Room'!$A$13+'Control Room'!$B$13,'Process'!BN2=1),1+('Control Room'!$C$13-1)*EXP(-0.5*(($A250-'Control Room'!$A$13-('Control Room'!$B$13-1)/2)/MAX(0.5,'Control Room'!$B$13/4))^2),1)*IF(AND($A250&gt;='Control Room'!$A$14,$A250&lt;'Control Room'!$A$14+'Control Room'!$B$14,'Process'!BN3=1),1+('Control Room'!$C$14-1)*EXP(-0.5*(($A250-'Control Room'!$A$14-('Control Room'!$B$14-1)/2)/MAX(0.5,'Control Room'!$B$14/4))^2),1)*IF(AND($A250&gt;='Control Room'!$A$15,$A250&lt;'Control Room'!$A$15+'Control Room'!$B$15,'Process'!BN4=1),1+('Control Room'!$C$15-1)*EXP(-0.5*(($A250-'Control Room'!$A$15-('Control Room'!$B$15-1)/2)/MAX(0.5,'Control Room'!$B$15/4))^2),1)*IF(AND($A250&gt;='Control Room'!$A$16,$A250&lt;'Control Room'!$A$16+'Control Room'!$B$16,'Process'!BN5=1),1+('Control Room'!$C$16-1)*EXP(-0.5*(($A250-'Control Room'!$A$16-('Control Room'!$B$16-1)/2)/MAX(0.5,'Control Room'!$B$16/4))^2),1)</x:f>
        <x:v>1</x:v>
      </x:c>
      <x:c r="V250" s="9" t="n">
        <x:f>MOD(W249*16807,2147483647)</x:f>
        <x:v>1070776515</x:v>
      </x:c>
      <x:c r="W250" s="9" t="n">
        <x:f>MOD(V250*16807,2147483647)</x:f>
        <x:v>627925745</x:v>
      </x:c>
      <x:c r="X250" s="17" t="n">
        <x:f>IF('Control Room'!$B$5="Normal",'Control Room'!$B$7+'Control Room'!$D$7*SQRT(-2*LN(MAX(0.000000000001,V250/2147483647)))*COS(2*PI()*W250/2147483647),'Control Room'!$B$8+('Control Room'!$D$8-'Control Room'!$B$8)*V250/2147483647)</x:f>
        <x:v>972.046362825952</x:v>
      </x:c>
      <x:c r="Y250" s="17" t="n">
        <x:f>IF('Control Room'!$B$5="Normal",'Control Room'!$B$7,('Control Room'!$B$8+'Control Room'!$D$8)/2)+'Control Room'!$B$9*(Y249-IF('Control Room'!$B$5="Normal",'Control Room'!$B$7,('Control Room'!$B$8+'Control Room'!$D$8)/2))+SQRT(1-'Control Room'!$B$9^2)*(X250-IF('Control Room'!$B$5="Normal",'Control Room'!$B$7,('Control Room'!$B$8+'Control Room'!$D$8)/2))</x:f>
        <x:v>910.9536819438788</x:v>
      </x:c>
      <x:c r="Z250" s="17" t="n">
        <x:f>IF(AND($A250&gt;='Control Room'!$A$13,$A250&lt;'Control Room'!$A$13+'Control Room'!$B$13,'Process'!BO2=1),1+('Control Room'!$C$13-1)*EXP(-0.5*(($A250-'Control Room'!$A$13-('Control Room'!$B$13-1)/2)/MAX(0.5,'Control Room'!$B$13/4))^2),1)*IF(AND($A250&gt;='Control Room'!$A$14,$A250&lt;'Control Room'!$A$14+'Control Room'!$B$14,'Process'!BO3=1),1+('Control Room'!$C$14-1)*EXP(-0.5*(($A250-'Control Room'!$A$14-('Control Room'!$B$14-1)/2)/MAX(0.5,'Control Room'!$B$14/4))^2),1)*IF(AND($A250&gt;='Control Room'!$A$15,$A250&lt;'Control Room'!$A$15+'Control Room'!$B$15,'Process'!BO4=1),1+('Control Room'!$C$15-1)*EXP(-0.5*(($A250-'Control Room'!$A$15-('Control Room'!$B$15-1)/2)/MAX(0.5,'Control Room'!$B$15/4))^2),1)*IF(AND($A250&gt;='Control Room'!$A$16,$A250&lt;'Control Room'!$A$16+'Control Room'!$B$16,'Process'!BO5=1),1+('Control Room'!$C$16-1)*EXP(-0.5*(($A250-'Control Room'!$A$16-('Control Room'!$B$16-1)/2)/MAX(0.5,'Control Room'!$B$16/4))^2),1)</x:f>
        <x:v>1</x:v>
      </x:c>
      <x:c r="AA250" s="9" t="n">
        <x:f>MOD(AB249*16807,2147483647)</x:f>
        <x:v>132154367</x:v>
      </x:c>
      <x:c r="AB250" s="9" t="n">
        <x:f>MOD(AA250*16807,2147483647)</x:f>
        <x:v>620355171</x:v>
      </x:c>
      <x:c r="AC250" s="17" t="n">
        <x:f>IF('Control Room'!$B$5="Normal",'Control Room'!$B$7+'Control Room'!$D$7*SQRT(-2*LN(MAX(0.000000000001,AA250/2147483647)))*COS(2*PI()*AB250/2147483647),'Control Room'!$B$8+('Control Room'!$D$8-'Control Room'!$B$8)*AA250/2147483647)</x:f>
        <x:v>948.6030183961909</x:v>
      </x:c>
      <x:c r="AD250" s="17" t="n">
        <x:f>IF('Control Room'!$B$5="Normal",'Control Room'!$B$7,('Control Room'!$B$8+'Control Room'!$D$8)/2)+'Control Room'!$B$9*(AD249-IF('Control Room'!$B$5="Normal",'Control Room'!$B$7,('Control Room'!$B$8+'Control Room'!$D$8)/2))+SQRT(1-'Control Room'!$B$9^2)*(AC250-IF('Control Room'!$B$5="Normal",'Control Room'!$B$7,('Control Room'!$B$8+'Control Room'!$D$8)/2))</x:f>
        <x:v>990.9457869966355</x:v>
      </x:c>
      <x:c r="AE250" s="17" t="n">
        <x:f>IF(AND($A250&gt;='Control Room'!$A$13,$A250&lt;'Control Room'!$A$13+'Control Room'!$B$13,'Process'!BP2=1),1+('Control Room'!$C$13-1)*EXP(-0.5*(($A250-'Control Room'!$A$13-('Control Room'!$B$13-1)/2)/MAX(0.5,'Control Room'!$B$13/4))^2),1)*IF(AND($A250&gt;='Control Room'!$A$14,$A250&lt;'Control Room'!$A$14+'Control Room'!$B$14,'Process'!BP3=1),1+('Control Room'!$C$14-1)*EXP(-0.5*(($A250-'Control Room'!$A$14-('Control Room'!$B$14-1)/2)/MAX(0.5,'Control Room'!$B$14/4))^2),1)*IF(AND($A250&gt;='Control Room'!$A$15,$A250&lt;'Control Room'!$A$15+'Control Room'!$B$15,'Process'!BP4=1),1+('Control Room'!$C$15-1)*EXP(-0.5*(($A250-'Control Room'!$A$15-('Control Room'!$B$15-1)/2)/MAX(0.5,'Control Room'!$B$15/4))^2),1)*IF(AND($A250&gt;='Control Room'!$A$16,$A250&lt;'Control Room'!$A$16+'Control Room'!$B$16,'Process'!BP5=1),1+('Control Room'!$C$16-1)*EXP(-0.5*(($A250-'Control Room'!$A$16-('Control Room'!$B$16-1)/2)/MAX(0.5,'Control Room'!$B$16/4))^2),1)</x:f>
        <x:v>1</x:v>
      </x:c>
      <x:c r="AF250" s="9" t="n">
        <x:f>MOD(AG249*16807,2147483647)</x:f>
        <x:v>1341015866</x:v>
      </x:c>
      <x:c r="AG250" s="9" t="n">
        <x:f>MOD(AF250*16807,2147483647)</x:f>
        <x:v>612784597</x:v>
      </x:c>
      <x:c r="AH250" s="17" t="n">
        <x:f>IF('Control Room'!$B$5="Normal",'Control Room'!$B$7+'Control Room'!$D$7*SQRT(-2*LN(MAX(0.000000000001,AF250/2147483647)))*COS(2*PI()*AG250/2147483647),'Control Room'!$B$8+('Control Room'!$D$8-'Control Room'!$B$8)*AF250/2147483647)</x:f>
        <x:v>980.7601788529649</x:v>
      </x:c>
      <x:c r="AI250" s="17" t="n">
        <x:f>IF('Control Room'!$B$5="Normal",'Control Room'!$B$7,('Control Room'!$B$8+'Control Room'!$D$8)/2)+'Control Room'!$B$9*(AI249-IF('Control Room'!$B$5="Normal",'Control Room'!$B$7,('Control Room'!$B$8+'Control Room'!$D$8)/2))+SQRT(1-'Control Room'!$B$9^2)*(AH250-IF('Control Room'!$B$5="Normal",'Control Room'!$B$7,('Control Room'!$B$8+'Control Room'!$D$8)/2))</x:f>
        <x:v>1041.8543050852334</x:v>
      </x:c>
      <x:c r="AJ250" s="17" t="n">
        <x:f>IF(AND($A250&gt;='Control Room'!$A$13,$A250&lt;'Control Room'!$A$13+'Control Room'!$B$13,'Process'!BQ2=1),1+('Control Room'!$C$13-1)*EXP(-0.5*(($A250-'Control Room'!$A$13-('Control Room'!$B$13-1)/2)/MAX(0.5,'Control Room'!$B$13/4))^2),1)*IF(AND($A250&gt;='Control Room'!$A$14,$A250&lt;'Control Room'!$A$14+'Control Room'!$B$14,'Process'!BQ3=1),1+('Control Room'!$C$14-1)*EXP(-0.5*(($A250-'Control Room'!$A$14-('Control Room'!$B$14-1)/2)/MAX(0.5,'Control Room'!$B$14/4))^2),1)*IF(AND($A250&gt;='Control Room'!$A$15,$A250&lt;'Control Room'!$A$15+'Control Room'!$B$15,'Process'!BQ4=1),1+('Control Room'!$C$15-1)*EXP(-0.5*(($A250-'Control Room'!$A$15-('Control Room'!$B$15-1)/2)/MAX(0.5,'Control Room'!$B$15/4))^2),1)*IF(AND($A250&gt;='Control Room'!$A$16,$A250&lt;'Control Room'!$A$16+'Control Room'!$B$16,'Process'!BQ5=1),1+('Control Room'!$C$16-1)*EXP(-0.5*(($A250-'Control Room'!$A$16-('Control Room'!$B$16-1)/2)/MAX(0.5,'Control Room'!$B$16/4))^2),1)</x:f>
        <x:v>1</x:v>
      </x:c>
      <x:c r="AK250" s="9" t="n">
        <x:f>MOD(AL249*16807,2147483647)</x:f>
        <x:v>402393718</x:v>
      </x:c>
      <x:c r="AL250" s="9" t="n">
        <x:f>MOD(AK250*16807,2147483647)</x:f>
        <x:v>605214023</x:v>
      </x:c>
      <x:c r="AM250" s="17" t="n">
        <x:f>IF('Control Room'!$B$5="Normal",'Control Room'!$B$7+'Control Room'!$D$7*SQRT(-2*LN(MAX(0.000000000001,AK250/2147483647)))*COS(2*PI()*AL250/2147483647),'Control Room'!$B$8+('Control Room'!$D$8-'Control Room'!$B$8)*AK250/2147483647)</x:f>
        <x:v>967.2838267575936</x:v>
      </x:c>
      <x:c r="AN250" s="17" t="n">
        <x:f>IF('Control Room'!$B$5="Normal",'Control Room'!$B$7,('Control Room'!$B$8+'Control Room'!$D$8)/2)+'Control Room'!$B$9*(AN249-IF('Control Room'!$B$5="Normal",'Control Room'!$B$7,('Control Room'!$B$8+'Control Room'!$D$8)/2))+SQRT(1-'Control Room'!$B$9^2)*(AM250-IF('Control Room'!$B$5="Normal",'Control Room'!$B$7,('Control Room'!$B$8+'Control Room'!$D$8)/2))</x:f>
        <x:v>859.4357394572341</x:v>
      </x:c>
      <x:c r="AO250" s="17" t="n">
        <x:f>IF(AND($A250&gt;='Control Room'!$A$13,$A250&lt;'Control Room'!$A$13+'Control Room'!$B$13,'Process'!BR2=1),1+('Control Room'!$C$13-1)*EXP(-0.5*(($A250-'Control Room'!$A$13-('Control Room'!$B$13-1)/2)/MAX(0.5,'Control Room'!$B$13/4))^2),1)*IF(AND($A250&gt;='Control Room'!$A$14,$A250&lt;'Control Room'!$A$14+'Control Room'!$B$14,'Process'!BR3=1),1+('Control Room'!$C$14-1)*EXP(-0.5*(($A250-'Control Room'!$A$14-('Control Room'!$B$14-1)/2)/MAX(0.5,'Control Room'!$B$14/4))^2),1)*IF(AND($A250&gt;='Control Room'!$A$15,$A250&lt;'Control Room'!$A$15+'Control Room'!$B$15,'Process'!BR4=1),1+('Control Room'!$C$15-1)*EXP(-0.5*(($A250-'Control Room'!$A$15-('Control Room'!$B$15-1)/2)/MAX(0.5,'Control Room'!$B$15/4))^2),1)*IF(AND($A250&gt;='Control Room'!$A$16,$A250&lt;'Control Room'!$A$16+'Control Room'!$B$16,'Process'!BR5=1),1+('Control Room'!$C$16-1)*EXP(-0.5*(($A250-'Control Room'!$A$16-('Control Room'!$B$16-1)/2)/MAX(0.5,'Control Room'!$B$16/4))^2),1)</x:f>
        <x:v>1</x:v>
      </x:c>
      <x:c r="AP250" s="9" t="n">
        <x:f>MOD(AQ249*16807,2147483647)</x:f>
        <x:v>1611255217</x:v>
      </x:c>
      <x:c r="AQ250" s="9" t="n">
        <x:f>MOD(AP250*16807,2147483647)</x:f>
        <x:v>597643449</x:v>
      </x:c>
      <x:c r="AR250" s="17" t="n">
        <x:f>IF('Control Room'!$B$5="Normal",'Control Room'!$B$7+'Control Room'!$D$7*SQRT(-2*LN(MAX(0.000000000001,AP250/2147483647)))*COS(2*PI()*AQ250/2147483647),'Control Room'!$B$8+('Control Room'!$D$8-'Control Room'!$B$8)*AP250/2147483647)</x:f>
        <x:v>987.9335608055754</x:v>
      </x:c>
      <x:c r="AS250" s="17" t="n">
        <x:f>IF('Control Room'!$B$5="Normal",'Control Room'!$B$7,('Control Room'!$B$8+'Control Room'!$D$8)/2)+'Control Room'!$B$9*(AS249-IF('Control Room'!$B$5="Normal",'Control Room'!$B$7,('Control Room'!$B$8+'Control Room'!$D$8)/2))+SQRT(1-'Control Room'!$B$9^2)*(AR250-IF('Control Room'!$B$5="Normal",'Control Room'!$B$7,('Control Room'!$B$8+'Control Room'!$D$8)/2))</x:f>
        <x:v>1080.903358513943</x:v>
      </x:c>
      <x:c r="AT250" s="17" t="n">
        <x:f>IF(AND($A250&gt;='Control Room'!$A$13,$A250&lt;'Control Room'!$A$13+'Control Room'!$B$13,'Process'!BS2=1),1+('Control Room'!$C$13-1)*EXP(-0.5*(($A250-'Control Room'!$A$13-('Control Room'!$B$13-1)/2)/MAX(0.5,'Control Room'!$B$13/4))^2),1)*IF(AND($A250&gt;='Control Room'!$A$14,$A250&lt;'Control Room'!$A$14+'Control Room'!$B$14,'Process'!BS3=1),1+('Control Room'!$C$14-1)*EXP(-0.5*(($A250-'Control Room'!$A$14-('Control Room'!$B$14-1)/2)/MAX(0.5,'Control Room'!$B$14/4))^2),1)*IF(AND($A250&gt;='Control Room'!$A$15,$A250&lt;'Control Room'!$A$15+'Control Room'!$B$15,'Process'!BS4=1),1+('Control Room'!$C$15-1)*EXP(-0.5*(($A250-'Control Room'!$A$15-('Control Room'!$B$15-1)/2)/MAX(0.5,'Control Room'!$B$15/4))^2),1)*IF(AND($A250&gt;='Control Room'!$A$16,$A250&lt;'Control Room'!$A$16+'Control Room'!$B$16,'Process'!BS5=1),1+('Control Room'!$C$16-1)*EXP(-0.5*(($A250-'Control Room'!$A$16-('Control Room'!$B$16-1)/2)/MAX(0.5,'Control Room'!$B$16/4))^2),1)</x:f>
        <x:v>1</x:v>
      </x:c>
      <x:c r="AU250" s="9" t="n">
        <x:f>MOD(AV249*16807,2147483647)</x:f>
        <x:v>672633069</x:v>
      </x:c>
      <x:c r="AV250" s="9" t="n">
        <x:f>MOD(AU250*16807,2147483647)</x:f>
        <x:v>590072875</x:v>
      </x:c>
      <x:c r="AW250" s="17" t="n">
        <x:f>IF('Control Room'!$B$5="Normal",'Control Room'!$B$7+'Control Room'!$D$7*SQRT(-2*LN(MAX(0.000000000001,AU250/2147483647)))*COS(2*PI()*AV250/2147483647),'Control Room'!$B$8+('Control Room'!$D$8-'Control Room'!$B$8)*AU250/2147483647)</x:f>
        <x:v>978.7397504556772</x:v>
      </x:c>
      <x:c r="AX250" s="17" t="n">
        <x:f>IF('Control Room'!$B$5="Normal",'Control Room'!$B$7,('Control Room'!$B$8+'Control Room'!$D$8)/2)+'Control Room'!$B$9*(AX249-IF('Control Room'!$B$5="Normal",'Control Room'!$B$7,('Control Room'!$B$8+'Control Room'!$D$8)/2))+SQRT(1-'Control Room'!$B$9^2)*(AW250-IF('Control Room'!$B$5="Normal",'Control Room'!$B$7,('Control Room'!$B$8+'Control Room'!$D$8)/2))</x:f>
        <x:v>900.6120036802497</x:v>
      </x:c>
      <x:c r="AY250" s="17" t="n">
        <x:f>IF(AND($A250&gt;='Control Room'!$A$13,$A250&lt;'Control Room'!$A$13+'Control Room'!$B$13,'Process'!BT2=1),1+('Control Room'!$C$13-1)*EXP(-0.5*(($A250-'Control Room'!$A$13-('Control Room'!$B$13-1)/2)/MAX(0.5,'Control Room'!$B$13/4))^2),1)*IF(AND($A250&gt;='Control Room'!$A$14,$A250&lt;'Control Room'!$A$14+'Control Room'!$B$14,'Process'!BT3=1),1+('Control Room'!$C$14-1)*EXP(-0.5*(($A250-'Control Room'!$A$14-('Control Room'!$B$14-1)/2)/MAX(0.5,'Control Room'!$B$14/4))^2),1)*IF(AND($A250&gt;='Control Room'!$A$15,$A250&lt;'Control Room'!$A$15+'Control Room'!$B$15,'Process'!BT4=1),1+('Control Room'!$C$15-1)*EXP(-0.5*(($A250-'Control Room'!$A$15-('Control Room'!$B$15-1)/2)/MAX(0.5,'Control Room'!$B$15/4))^2),1)*IF(AND($A250&gt;='Control Room'!$A$16,$A250&lt;'Control Room'!$A$16+'Control Room'!$B$16,'Process'!BT5=1),1+('Control Room'!$C$16-1)*EXP(-0.5*(($A250-'Control Room'!$A$16-('Control Room'!$B$16-1)/2)/MAX(0.5,'Control Room'!$B$16/4))^2),1)</x:f>
        <x:v>1</x:v>
      </x:c>
      <x:c r="AZ250" s="9" t="n">
        <x:f>MOD(BA249*16807,2147483647)</x:f>
        <x:v>1881494568</x:v>
      </x:c>
      <x:c r="BA250" s="9" t="n">
        <x:f>MOD(AZ250*16807,2147483647)</x:f>
        <x:v>582502301</x:v>
      </x:c>
      <x:c r="BB250" s="17" t="n">
        <x:f>IF('Control Room'!$B$5="Normal",'Control Room'!$B$7+'Control Room'!$D$7*SQRT(-2*LN(MAX(0.000000000001,AZ250/2147483647)))*COS(2*PI()*BA250/2147483647),'Control Room'!$B$8+('Control Room'!$D$8-'Control Room'!$B$8)*AZ250/2147483647)</x:f>
        <x:v>993.8390775587725</x:v>
      </x:c>
      <x:c r="BC250" s="17" t="n">
        <x:f>IF('Control Room'!$B$5="Normal",'Control Room'!$B$7,('Control Room'!$B$8+'Control Room'!$D$8)/2)+'Control Room'!$B$9*(BC249-IF('Control Room'!$B$5="Normal",'Control Room'!$B$7,('Control Room'!$B$8+'Control Room'!$D$8)/2))+SQRT(1-'Control Room'!$B$9^2)*(BB250-IF('Control Room'!$B$5="Normal",'Control Room'!$B$7,('Control Room'!$B$8+'Control Room'!$D$8)/2))</x:f>
        <x:v>919.7165444945583</x:v>
      </x:c>
      <x:c r="BD250" s="17" t="n">
        <x:f>IF(AND($A250&gt;='Control Room'!$A$13,$A250&lt;'Control Room'!$A$13+'Control Room'!$B$13,'Process'!BU2=1),1+('Control Room'!$C$13-1)*EXP(-0.5*(($A250-'Control Room'!$A$13-('Control Room'!$B$13-1)/2)/MAX(0.5,'Control Room'!$B$13/4))^2),1)*IF(AND($A250&gt;='Control Room'!$A$14,$A250&lt;'Control Room'!$A$14+'Control Room'!$B$14,'Process'!BU3=1),1+('Control Room'!$C$14-1)*EXP(-0.5*(($A250-'Control Room'!$A$14-('Control Room'!$B$14-1)/2)/MAX(0.5,'Control Room'!$B$14/4))^2),1)*IF(AND($A250&gt;='Control Room'!$A$15,$A250&lt;'Control Room'!$A$15+'Control Room'!$B$15,'Process'!BU4=1),1+('Control Room'!$C$15-1)*EXP(-0.5*(($A250-'Control Room'!$A$15-('Control Room'!$B$15-1)/2)/MAX(0.5,'Control Room'!$B$15/4))^2),1)*IF(AND($A250&gt;='Control Room'!$A$16,$A250&lt;'Control Room'!$A$16+'Control Room'!$B$16,'Process'!BU5=1),1+('Control Room'!$C$16-1)*EXP(-0.5*(($A250-'Control Room'!$A$16-('Control Room'!$B$16-1)/2)/MAX(0.5,'Control Room'!$B$16/4))^2),1)</x:f>
        <x:v>1</x:v>
      </x:c>
      <x:c r="BE250" s="9" t="n">
        <x:f>MOD(BF249*16807,2147483647)</x:f>
        <x:v>942872420</x:v>
      </x:c>
      <x:c r="BF250" s="9" t="n">
        <x:f>MOD(BE250*16807,2147483647)</x:f>
        <x:v>574931727</x:v>
      </x:c>
      <x:c r="BG250" s="17" t="n">
        <x:f>IF('Control Room'!$B$5="Normal",'Control Room'!$B$7+'Control Room'!$D$7*SQRT(-2*LN(MAX(0.000000000001,BE250/2147483647)))*COS(2*PI()*BF250/2147483647),'Control Room'!$B$8+('Control Room'!$D$8-'Control Room'!$B$8)*BE250/2147483647)</x:f>
        <x:v>987.167257845764</x:v>
      </x:c>
      <x:c r="BH250" s="17" t="n">
        <x:f>IF('Control Room'!$B$5="Normal",'Control Room'!$B$7,('Control Room'!$B$8+'Control Room'!$D$8)/2)+'Control Room'!$B$9*(BH249-IF('Control Room'!$B$5="Normal",'Control Room'!$B$7,('Control Room'!$B$8+'Control Room'!$D$8)/2))+SQRT(1-'Control Room'!$B$9^2)*(BG250-IF('Control Room'!$B$5="Normal",'Control Room'!$B$7,('Control Room'!$B$8+'Control Room'!$D$8)/2))</x:f>
        <x:v>943.796049236598</x:v>
      </x:c>
      <x:c r="BI250" s="17" t="n">
        <x:f>IF(AND($A250&gt;='Control Room'!$A$13,$A250&lt;'Control Room'!$A$13+'Control Room'!$B$13,'Process'!BV2=1),1+('Control Room'!$C$13-1)*EXP(-0.5*(($A250-'Control Room'!$A$13-('Control Room'!$B$13-1)/2)/MAX(0.5,'Control Room'!$B$13/4))^2),1)*IF(AND($A250&gt;='Control Room'!$A$14,$A250&lt;'Control Room'!$A$14+'Control Room'!$B$14,'Process'!BV3=1),1+('Control Room'!$C$14-1)*EXP(-0.5*(($A250-'Control Room'!$A$14-('Control Room'!$B$14-1)/2)/MAX(0.5,'Control Room'!$B$14/4))^2),1)*IF(AND($A250&gt;='Control Room'!$A$15,$A250&lt;'Control Room'!$A$15+'Control Room'!$B$15,'Process'!BV4=1),1+('Control Room'!$C$15-1)*EXP(-0.5*(($A250-'Control Room'!$A$15-('Control Room'!$B$15-1)/2)/MAX(0.5,'Control Room'!$B$15/4))^2),1)*IF(AND($A250&gt;='Control Room'!$A$16,$A250&lt;'Control Room'!$A$16+'Control Room'!$B$16,'Process'!BV5=1),1+('Control Room'!$C$16-1)*EXP(-0.5*(($A250-'Control Room'!$A$16-('Control Room'!$B$16-1)/2)/MAX(0.5,'Control Room'!$B$16/4))^2),1)</x:f>
        <x:v>1</x:v>
      </x:c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Z250" t="str">
        <x:f>IF('Data'!A250="","",TEXT('Data'!A250,"mm-dd"))</x:f>
      </x:c>
    </x:row>
    <x:row r="251" ht="21" customHeight="1">
      <x:c r="A251" s="15" t="n">
        <x:f>'Control Room'!$B$1+249</x:f>
        <x:v>73240</x:v>
      </x:c>
      <x:c r="B251" s="9" t="n">
        <x:f>MOD(C250*16807,2147483647)</x:f>
        <x:v>814279390</x:v>
      </x:c>
      <x:c r="C251" s="9" t="n">
        <x:f>MOD(B251*16807,2147483647)</x:f>
        <x:v>1827909046</x:v>
      </x:c>
      <x:c r="D251" s="17" t="n">
        <x:f>IF('Control Room'!$B$5="Normal",'Control Room'!$B$7+'Control Room'!$D$7*SQRT(-2*LN(MAX(0.000000000001,B251/2147483647)))*COS(2*PI()*C251/2147483647),'Control Room'!$B$8+('Control Room'!$D$8-'Control Room'!$B$8)*B251/2147483647)</x:f>
        <x:v>1074.42643995844</x:v>
      </x:c>
      <x:c r="E251" s="17" t="n">
        <x:f>IF('Control Room'!$B$5="Normal",'Control Room'!$B$7,('Control Room'!$B$8+'Control Room'!$D$8)/2)+'Control Room'!$B$9*(E250-IF('Control Room'!$B$5="Normal",'Control Room'!$B$7,('Control Room'!$B$8+'Control Room'!$D$8)/2))+SQRT(1-'Control Room'!$B$9^2)*(D251-IF('Control Room'!$B$5="Normal",'Control Room'!$B$7,('Control Room'!$B$8+'Control Room'!$D$8)/2))</x:f>
        <x:v>1047.1068103569078</x:v>
      </x:c>
      <x:c r="F251" s="17" t="n">
        <x:f>IF(AND($A251&gt;='Control Room'!$A$13,$A251&lt;'Control Room'!$A$13+'Control Room'!$B$13,'Process'!BK2=1),1+('Control Room'!$C$13-1)*EXP(-0.5*(($A251-'Control Room'!$A$13-('Control Room'!$B$13-1)/2)/MAX(0.5,'Control Room'!$B$13/4))^2),1)*IF(AND($A251&gt;='Control Room'!$A$14,$A251&lt;'Control Room'!$A$14+'Control Room'!$B$14,'Process'!BK3=1),1+('Control Room'!$C$14-1)*EXP(-0.5*(($A251-'Control Room'!$A$14-('Control Room'!$B$14-1)/2)/MAX(0.5,'Control Room'!$B$14/4))^2),1)*IF(AND($A251&gt;='Control Room'!$A$15,$A251&lt;'Control Room'!$A$15+'Control Room'!$B$15,'Process'!BK4=1),1+('Control Room'!$C$15-1)*EXP(-0.5*(($A251-'Control Room'!$A$15-('Control Room'!$B$15-1)/2)/MAX(0.5,'Control Room'!$B$15/4))^2),1)*IF(AND($A251&gt;='Control Room'!$A$16,$A251&lt;'Control Room'!$A$16+'Control Room'!$B$16,'Process'!BK5=1),1+('Control Room'!$C$16-1)*EXP(-0.5*(($A251-'Control Room'!$A$16-('Control Room'!$B$16-1)/2)/MAX(0.5,'Control Room'!$B$16/4))^2),1)</x:f>
        <x:v>1</x:v>
      </x:c>
      <x:c r="G251" s="9" t="n">
        <x:f>MOD(H250*16807,2147483647)</x:f>
        <x:v>277177345</x:v>
      </x:c>
      <x:c r="H251" s="9" t="n">
        <x:f>MOD(G251*16807,2147483647)</x:f>
        <x:v>627607072</x:v>
      </x:c>
      <x:c r="I251" s="17" t="n">
        <x:f>IF('Control Room'!$B$5="Normal",'Control Room'!$B$7+'Control Room'!$D$7*SQRT(-2*LN(MAX(0.000000000001,G251/2147483647)))*COS(2*PI()*H251/2147483647),'Control Room'!$B$8+('Control Room'!$D$8-'Control Room'!$B$8)*G251/2147483647)</x:f>
        <x:v>952.2168053367178</x:v>
      </x:c>
      <x:c r="J251" s="17" t="n">
        <x:f>IF('Control Room'!$B$5="Normal",'Control Room'!$B$7,('Control Room'!$B$8+'Control Room'!$D$8)/2)+'Control Room'!$B$9*(J250-IF('Control Room'!$B$5="Normal",'Control Room'!$B$7,('Control Room'!$B$8+'Control Room'!$D$8)/2))+SQRT(1-'Control Room'!$B$9^2)*(I251-IF('Control Room'!$B$5="Normal",'Control Room'!$B$7,('Control Room'!$B$8+'Control Room'!$D$8)/2))</x:f>
        <x:v>1027.2741382512013</x:v>
      </x:c>
      <x:c r="K251" s="17" t="n">
        <x:f>IF(AND($A251&gt;='Control Room'!$A$13,$A251&lt;'Control Room'!$A$13+'Control Room'!$B$13,'Process'!BL2=1),1+('Control Room'!$C$13-1)*EXP(-0.5*(($A251-'Control Room'!$A$13-('Control Room'!$B$13-1)/2)/MAX(0.5,'Control Room'!$B$13/4))^2),1)*IF(AND($A251&gt;='Control Room'!$A$14,$A251&lt;'Control Room'!$A$14+'Control Room'!$B$14,'Process'!BL3=1),1+('Control Room'!$C$14-1)*EXP(-0.5*(($A251-'Control Room'!$A$14-('Control Room'!$B$14-1)/2)/MAX(0.5,'Control Room'!$B$14/4))^2),1)*IF(AND($A251&gt;='Control Room'!$A$15,$A251&lt;'Control Room'!$A$15+'Control Room'!$B$15,'Process'!BL4=1),1+('Control Room'!$C$15-1)*EXP(-0.5*(($A251-'Control Room'!$A$15-('Control Room'!$B$15-1)/2)/MAX(0.5,'Control Room'!$B$15/4))^2),1)*IF(AND($A251&gt;='Control Room'!$A$16,$A251&lt;'Control Room'!$A$16+'Control Room'!$B$16,'Process'!BL5=1),1+('Control Room'!$C$16-1)*EXP(-0.5*(($A251-'Control Room'!$A$16-('Control Room'!$B$16-1)/2)/MAX(0.5,'Control Room'!$B$16/4))^2),1)</x:f>
        <x:v>1</x:v>
      </x:c>
      <x:c r="L251" s="9" t="n">
        <x:f>MOD(M250*16807,2147483647)</x:f>
        <x:v>1887558947</x:v>
      </x:c>
      <x:c r="M251" s="9" t="n">
        <x:f>MOD(L251*16807,2147483647)</x:f>
        <x:v>1574788745</x:v>
      </x:c>
      <x:c r="N251" s="17" t="n">
        <x:f>IF('Control Room'!$B$5="Normal",'Control Room'!$B$7+'Control Room'!$D$7*SQRT(-2*LN(MAX(0.000000000001,L251/2147483647)))*COS(2*PI()*M251/2147483647),'Control Room'!$B$8+('Control Room'!$D$8-'Control Room'!$B$8)*L251/2147483647)</x:f>
        <x:v>995.2169868530063</x:v>
      </x:c>
      <x:c r="O251" s="17" t="n">
        <x:f>IF('Control Room'!$B$5="Normal",'Control Room'!$B$7,('Control Room'!$B$8+'Control Room'!$D$8)/2)+'Control Room'!$B$9*(O250-IF('Control Room'!$B$5="Normal",'Control Room'!$B$7,('Control Room'!$B$8+'Control Room'!$D$8)/2))+SQRT(1-'Control Room'!$B$9^2)*(N251-IF('Control Room'!$B$5="Normal",'Control Room'!$B$7,('Control Room'!$B$8+'Control Room'!$D$8)/2))</x:f>
        <x:v>982.4809237790342</x:v>
      </x:c>
      <x:c r="P251" s="17" t="n">
        <x:f>IF(AND($A251&gt;='Control Room'!$A$13,$A251&lt;'Control Room'!$A$13+'Control Room'!$B$13,'Process'!BM2=1),1+('Control Room'!$C$13-1)*EXP(-0.5*(($A251-'Control Room'!$A$13-('Control Room'!$B$13-1)/2)/MAX(0.5,'Control Room'!$B$13/4))^2),1)*IF(AND($A251&gt;='Control Room'!$A$14,$A251&lt;'Control Room'!$A$14+'Control Room'!$B$14,'Process'!BM3=1),1+('Control Room'!$C$14-1)*EXP(-0.5*(($A251-'Control Room'!$A$14-('Control Room'!$B$14-1)/2)/MAX(0.5,'Control Room'!$B$14/4))^2),1)*IF(AND($A251&gt;='Control Room'!$A$15,$A251&lt;'Control Room'!$A$15+'Control Room'!$B$15,'Process'!BM4=1),1+('Control Room'!$C$15-1)*EXP(-0.5*(($A251-'Control Room'!$A$15-('Control Room'!$B$15-1)/2)/MAX(0.5,'Control Room'!$B$15/4))^2),1)*IF(AND($A251&gt;='Control Room'!$A$16,$A251&lt;'Control Room'!$A$16+'Control Room'!$B$16,'Process'!BM5=1),1+('Control Room'!$C$16-1)*EXP(-0.5*(($A251-'Control Room'!$A$16-('Control Room'!$B$16-1)/2)/MAX(0.5,'Control Room'!$B$16/4))^2),1)</x:f>
        <x:v>1</x:v>
      </x:c>
      <x:c r="Q251" s="9" t="n">
        <x:f>MOD(R250*16807,2147483647)</x:f>
        <x:v>1350456902</x:v>
      </x:c>
      <x:c r="R251" s="9" t="n">
        <x:f>MOD(Q251*16807,2147483647)</x:f>
        <x:v>374486771</x:v>
      </x:c>
      <x:c r="S251" s="17" t="n">
        <x:f>IF('Control Room'!$B$5="Normal",'Control Room'!$B$7+'Control Room'!$D$7*SQRT(-2*LN(MAX(0.000000000001,Q251/2147483647)))*COS(2*PI()*R251/2147483647),'Control Room'!$B$8+('Control Room'!$D$8-'Control Room'!$B$8)*Q251/2147483647)</x:f>
        <x:v>1039.65319045504</x:v>
      </x:c>
      <x:c r="T251" s="17" t="n">
        <x:f>IF('Control Room'!$B$5="Normal",'Control Room'!$B$7,('Control Room'!$B$8+'Control Room'!$D$8)/2)+'Control Room'!$B$9*(T250-IF('Control Room'!$B$5="Normal",'Control Room'!$B$7,('Control Room'!$B$8+'Control Room'!$D$8)/2))+SQRT(1-'Control Room'!$B$9^2)*(S251-IF('Control Room'!$B$5="Normal",'Control Room'!$B$7,('Control Room'!$B$8+'Control Room'!$D$8)/2))</x:f>
        <x:v>984.4343553999787</x:v>
      </x:c>
      <x:c r="U251" s="17" t="n">
        <x:f>IF(AND($A251&gt;='Control Room'!$A$13,$A251&lt;'Control Room'!$A$13+'Control Room'!$B$13,'Process'!BN2=1),1+('Control Room'!$C$13-1)*EXP(-0.5*(($A251-'Control Room'!$A$13-('Control Room'!$B$13-1)/2)/MAX(0.5,'Control Room'!$B$13/4))^2),1)*IF(AND($A251&gt;='Control Room'!$A$14,$A251&lt;'Control Room'!$A$14+'Control Room'!$B$14,'Process'!BN3=1),1+('Control Room'!$C$14-1)*EXP(-0.5*(($A251-'Control Room'!$A$14-('Control Room'!$B$14-1)/2)/MAX(0.5,'Control Room'!$B$14/4))^2),1)*IF(AND($A251&gt;='Control Room'!$A$15,$A251&lt;'Control Room'!$A$15+'Control Room'!$B$15,'Process'!BN4=1),1+('Control Room'!$C$15-1)*EXP(-0.5*(($A251-'Control Room'!$A$15-('Control Room'!$B$15-1)/2)/MAX(0.5,'Control Room'!$B$15/4))^2),1)*IF(AND($A251&gt;='Control Room'!$A$16,$A251&lt;'Control Room'!$A$16+'Control Room'!$B$16,'Process'!BN5=1),1+('Control Room'!$C$16-1)*EXP(-0.5*(($A251-'Control Room'!$A$16-('Control Room'!$B$16-1)/2)/MAX(0.5,'Control Room'!$B$16/4))^2),1)</x:f>
        <x:v>1</x:v>
      </x:c>
      <x:c r="V251" s="9" t="n">
        <x:f>MOD(W250*16807,2147483647)</x:f>
        <x:v>813354857</x:v>
      </x:c>
      <x:c r="W251" s="9" t="n">
        <x:f>MOD(V251*16807,2147483647)</x:f>
        <x:v>1321668444</x:v>
      </x:c>
      <x:c r="X251" s="17" t="n">
        <x:f>IF('Control Room'!$B$5="Normal",'Control Room'!$B$7+'Control Room'!$D$7*SQRT(-2*LN(MAX(0.000000000001,V251/2147483647)))*COS(2*PI()*W251/2147483647),'Control Room'!$B$8+('Control Room'!$D$8-'Control Room'!$B$8)*V251/2147483647)</x:f>
        <x:v>906.1613772793561</x:v>
      </x:c>
      <x:c r="Y251" s="17" t="n">
        <x:f>IF('Control Room'!$B$5="Normal",'Control Room'!$B$7,('Control Room'!$B$8+'Control Room'!$D$8)/2)+'Control Room'!$B$9*(Y250-IF('Control Room'!$B$5="Normal",'Control Room'!$B$7,('Control Room'!$B$8+'Control Room'!$D$8)/2))+SQRT(1-'Control Room'!$B$9^2)*(X251-IF('Control Room'!$B$5="Normal",'Control Room'!$B$7,('Control Room'!$B$8+'Control Room'!$D$8)/2))</x:f>
        <x:v>871.8215842063241</x:v>
      </x:c>
      <x:c r="Z251" s="17" t="n">
        <x:f>IF(AND($A251&gt;='Control Room'!$A$13,$A251&lt;'Control Room'!$A$13+'Control Room'!$B$13,'Process'!BO2=1),1+('Control Room'!$C$13-1)*EXP(-0.5*(($A251-'Control Room'!$A$13-('Control Room'!$B$13-1)/2)/MAX(0.5,'Control Room'!$B$13/4))^2),1)*IF(AND($A251&gt;='Control Room'!$A$14,$A251&lt;'Control Room'!$A$14+'Control Room'!$B$14,'Process'!BO3=1),1+('Control Room'!$C$14-1)*EXP(-0.5*(($A251-'Control Room'!$A$14-('Control Room'!$B$14-1)/2)/MAX(0.5,'Control Room'!$B$14/4))^2),1)*IF(AND($A251&gt;='Control Room'!$A$15,$A251&lt;'Control Room'!$A$15+'Control Room'!$B$15,'Process'!BO4=1),1+('Control Room'!$C$15-1)*EXP(-0.5*(($A251-'Control Room'!$A$15-('Control Room'!$B$15-1)/2)/MAX(0.5,'Control Room'!$B$15/4))^2),1)*IF(AND($A251&gt;='Control Room'!$A$16,$A251&lt;'Control Room'!$A$16+'Control Room'!$B$16,'Process'!BO5=1),1+('Control Room'!$C$16-1)*EXP(-0.5*(($A251-'Control Room'!$A$16-('Control Room'!$B$16-1)/2)/MAX(0.5,'Control Room'!$B$16/4))^2),1)</x:f>
        <x:v>1</x:v>
      </x:c>
      <x:c r="AA251" s="9" t="n">
        <x:f>MOD(AB250*16807,2147483647)</x:f>
        <x:v>276252812</x:v>
      </x:c>
      <x:c r="AB251" s="9" t="n">
        <x:f>MOD(AA251*16807,2147483647)</x:f>
        <x:v>121366470</x:v>
      </x:c>
      <x:c r="AC251" s="17" t="n">
        <x:f>IF('Control Room'!$B$5="Normal",'Control Room'!$B$7+'Control Room'!$D$7*SQRT(-2*LN(MAX(0.000000000001,AA251/2147483647)))*COS(2*PI()*AB251/2147483647),'Control Room'!$B$8+('Control Room'!$D$8-'Control Room'!$B$8)*AA251/2147483647)</x:f>
        <x:v>1170.8974685281455</x:v>
      </x:c>
      <x:c r="AD251" s="17" t="n">
        <x:f>IF('Control Room'!$B$5="Normal",'Control Room'!$B$7,('Control Room'!$B$8+'Control Room'!$D$8)/2)+'Control Room'!$B$9*(AD250-IF('Control Room'!$B$5="Normal",'Control Room'!$B$7,('Control Room'!$B$8+'Control Room'!$D$8)/2))+SQRT(1-'Control Room'!$B$9^2)*(AC251-IF('Control Room'!$B$5="Normal",'Control Room'!$B$7,('Control Room'!$B$8+'Control Room'!$D$8)/2))</x:f>
        <x:v>1099.8818486373486</x:v>
      </x:c>
      <x:c r="AE251" s="17" t="n">
        <x:f>IF(AND($A251&gt;='Control Room'!$A$13,$A251&lt;'Control Room'!$A$13+'Control Room'!$B$13,'Process'!BP2=1),1+('Control Room'!$C$13-1)*EXP(-0.5*(($A251-'Control Room'!$A$13-('Control Room'!$B$13-1)/2)/MAX(0.5,'Control Room'!$B$13/4))^2),1)*IF(AND($A251&gt;='Control Room'!$A$14,$A251&lt;'Control Room'!$A$14+'Control Room'!$B$14,'Process'!BP3=1),1+('Control Room'!$C$14-1)*EXP(-0.5*(($A251-'Control Room'!$A$14-('Control Room'!$B$14-1)/2)/MAX(0.5,'Control Room'!$B$14/4))^2),1)*IF(AND($A251&gt;='Control Room'!$A$15,$A251&lt;'Control Room'!$A$15+'Control Room'!$B$15,'Process'!BP4=1),1+('Control Room'!$C$15-1)*EXP(-0.5*(($A251-'Control Room'!$A$15-('Control Room'!$B$15-1)/2)/MAX(0.5,'Control Room'!$B$15/4))^2),1)*IF(AND($A251&gt;='Control Room'!$A$16,$A251&lt;'Control Room'!$A$16+'Control Room'!$B$16,'Process'!BP5=1),1+('Control Room'!$C$16-1)*EXP(-0.5*(($A251-'Control Room'!$A$16-('Control Room'!$B$16-1)/2)/MAX(0.5,'Control Room'!$B$16/4))^2),1)</x:f>
        <x:v>1</x:v>
      </x:c>
      <x:c r="AF251" s="9" t="n">
        <x:f>MOD(AG250*16807,2147483647)</x:f>
        <x:v>1886634414</x:v>
      </x:c>
      <x:c r="AG251" s="9" t="n">
        <x:f>MOD(AF251*16807,2147483647)</x:f>
        <x:v>1068548143</x:v>
      </x:c>
      <x:c r="AH251" s="17" t="n">
        <x:f>IF('Control Room'!$B$5="Normal",'Control Room'!$B$7+'Control Room'!$D$7*SQRT(-2*LN(MAX(0.000000000001,AF251/2147483647)))*COS(2*PI()*AG251/2147483647),'Control Room'!$B$8+('Control Room'!$D$8-'Control Room'!$B$8)*AF251/2147483647)</x:f>
        <x:v>954.202051682925</x:v>
      </x:c>
      <x:c r="AI251" s="17" t="n">
        <x:f>IF('Control Room'!$B$5="Normal",'Control Room'!$B$7,('Control Room'!$B$8+'Control Room'!$D$8)/2)+'Control Room'!$B$9*(AI250-IF('Control Room'!$B$5="Normal",'Control Room'!$B$7,('Control Room'!$B$8+'Control Room'!$D$8)/2))+SQRT(1-'Control Room'!$B$9^2)*(AH251-IF('Control Room'!$B$5="Normal",'Control Room'!$B$7,('Control Room'!$B$8+'Control Room'!$D$8)/2))</x:f>
        <x:v>1003.9869401316248</x:v>
      </x:c>
      <x:c r="AJ251" s="17" t="n">
        <x:f>IF(AND($A251&gt;='Control Room'!$A$13,$A251&lt;'Control Room'!$A$13+'Control Room'!$B$13,'Process'!BQ2=1),1+('Control Room'!$C$13-1)*EXP(-0.5*(($A251-'Control Room'!$A$13-('Control Room'!$B$13-1)/2)/MAX(0.5,'Control Room'!$B$13/4))^2),1)*IF(AND($A251&gt;='Control Room'!$A$14,$A251&lt;'Control Room'!$A$14+'Control Room'!$B$14,'Process'!BQ3=1),1+('Control Room'!$C$14-1)*EXP(-0.5*(($A251-'Control Room'!$A$14-('Control Room'!$B$14-1)/2)/MAX(0.5,'Control Room'!$B$14/4))^2),1)*IF(AND($A251&gt;='Control Room'!$A$15,$A251&lt;'Control Room'!$A$15+'Control Room'!$B$15,'Process'!BQ4=1),1+('Control Room'!$C$15-1)*EXP(-0.5*(($A251-'Control Room'!$A$15-('Control Room'!$B$15-1)/2)/MAX(0.5,'Control Room'!$B$15/4))^2),1)*IF(AND($A251&gt;='Control Room'!$A$16,$A251&lt;'Control Room'!$A$16+'Control Room'!$B$16,'Process'!BQ5=1),1+('Control Room'!$C$16-1)*EXP(-0.5*(($A251-'Control Room'!$A$16-('Control Room'!$B$16-1)/2)/MAX(0.5,'Control Room'!$B$16/4))^2),1)</x:f>
        <x:v>1</x:v>
      </x:c>
      <x:c r="AK251" s="9" t="n">
        <x:f>MOD(AL250*16807,2147483647)</x:f>
        <x:v>1349532369</x:v>
      </x:c>
      <x:c r="AL251" s="9" t="n">
        <x:f>MOD(AK251*16807,2147483647)</x:f>
        <x:v>2015729816</x:v>
      </x:c>
      <x:c r="AM251" s="17" t="n">
        <x:f>IF('Control Room'!$B$5="Normal",'Control Room'!$B$7+'Control Room'!$D$7*SQRT(-2*LN(MAX(0.000000000001,AK251/2147483647)))*COS(2*PI()*AL251/2147483647),'Control Room'!$B$8+('Control Room'!$D$8-'Control Room'!$B$8)*AK251/2147483647)</x:f>
        <x:v>1080.3835895274522</x:v>
      </x:c>
      <x:c r="AN251" s="17" t="n">
        <x:f>IF('Control Room'!$B$5="Normal",'Control Room'!$B$7,('Control Room'!$B$8+'Control Room'!$D$8)/2)+'Control Room'!$B$9*(AN250-IF('Control Room'!$B$5="Normal",'Control Room'!$B$7,('Control Room'!$B$8+'Control Room'!$D$8)/2))+SQRT(1-'Control Room'!$B$9^2)*(AM251-IF('Control Room'!$B$5="Normal",'Control Room'!$B$7,('Control Room'!$B$8+'Control Room'!$D$8)/2))</x:f>
        <x:v>940.6622803555821</x:v>
      </x:c>
      <x:c r="AO251" s="17" t="n">
        <x:f>IF(AND($A251&gt;='Control Room'!$A$13,$A251&lt;'Control Room'!$A$13+'Control Room'!$B$13,'Process'!BR2=1),1+('Control Room'!$C$13-1)*EXP(-0.5*(($A251-'Control Room'!$A$13-('Control Room'!$B$13-1)/2)/MAX(0.5,'Control Room'!$B$13/4))^2),1)*IF(AND($A251&gt;='Control Room'!$A$14,$A251&lt;'Control Room'!$A$14+'Control Room'!$B$14,'Process'!BR3=1),1+('Control Room'!$C$14-1)*EXP(-0.5*(($A251-'Control Room'!$A$14-('Control Room'!$B$14-1)/2)/MAX(0.5,'Control Room'!$B$14/4))^2),1)*IF(AND($A251&gt;='Control Room'!$A$15,$A251&lt;'Control Room'!$A$15+'Control Room'!$B$15,'Process'!BR4=1),1+('Control Room'!$C$15-1)*EXP(-0.5*(($A251-'Control Room'!$A$15-('Control Room'!$B$15-1)/2)/MAX(0.5,'Control Room'!$B$15/4))^2),1)*IF(AND($A251&gt;='Control Room'!$A$16,$A251&lt;'Control Room'!$A$16+'Control Room'!$B$16,'Process'!BR5=1),1+('Control Room'!$C$16-1)*EXP(-0.5*(($A251-'Control Room'!$A$16-('Control Room'!$B$16-1)/2)/MAX(0.5,'Control Room'!$B$16/4))^2),1)</x:f>
        <x:v>1</x:v>
      </x:c>
      <x:c r="AP251" s="9" t="n">
        <x:f>MOD(AQ250*16807,2147483647)</x:f>
        <x:v>812430324</x:v>
      </x:c>
      <x:c r="AQ251" s="9" t="n">
        <x:f>MOD(AP251*16807,2147483647)</x:f>
        <x:v>815427842</x:v>
      </x:c>
      <x:c r="AR251" s="17" t="n">
        <x:f>IF('Control Room'!$B$5="Normal",'Control Room'!$B$7+'Control Room'!$D$7*SQRT(-2*LN(MAX(0.000000000001,AP251/2147483647)))*COS(2*PI()*AQ251/2147483647),'Control Room'!$B$8+('Control Room'!$D$8-'Control Room'!$B$8)*AP251/2147483647)</x:f>
        <x:v>908.6795448670239</x:v>
      </x:c>
      <x:c r="AS251" s="17" t="n">
        <x:f>IF('Control Room'!$B$5="Normal",'Control Room'!$B$7,('Control Room'!$B$8+'Control Room'!$D$8)/2)+'Control Room'!$B$9*(AS250-IF('Control Room'!$B$5="Normal",'Control Room'!$B$7,('Control Room'!$B$8+'Control Room'!$D$8)/2))+SQRT(1-'Control Room'!$B$9^2)*(AR251-IF('Control Room'!$B$5="Normal",'Control Room'!$B$7,('Control Room'!$B$8+'Control Room'!$D$8)/2))</x:f>
        <x:v>1005.9581496198697</x:v>
      </x:c>
      <x:c r="AT251" s="17" t="n">
        <x:f>IF(AND($A251&gt;='Control Room'!$A$13,$A251&lt;'Control Room'!$A$13+'Control Room'!$B$13,'Process'!BS2=1),1+('Control Room'!$C$13-1)*EXP(-0.5*(($A251-'Control Room'!$A$13-('Control Room'!$B$13-1)/2)/MAX(0.5,'Control Room'!$B$13/4))^2),1)*IF(AND($A251&gt;='Control Room'!$A$14,$A251&lt;'Control Room'!$A$14+'Control Room'!$B$14,'Process'!BS3=1),1+('Control Room'!$C$14-1)*EXP(-0.5*(($A251-'Control Room'!$A$14-('Control Room'!$B$14-1)/2)/MAX(0.5,'Control Room'!$B$14/4))^2),1)*IF(AND($A251&gt;='Control Room'!$A$15,$A251&lt;'Control Room'!$A$15+'Control Room'!$B$15,'Process'!BS4=1),1+('Control Room'!$C$15-1)*EXP(-0.5*(($A251-'Control Room'!$A$15-('Control Room'!$B$15-1)/2)/MAX(0.5,'Control Room'!$B$15/4))^2),1)*IF(AND($A251&gt;='Control Room'!$A$16,$A251&lt;'Control Room'!$A$16+'Control Room'!$B$16,'Process'!BS5=1),1+('Control Room'!$C$16-1)*EXP(-0.5*(($A251-'Control Room'!$A$16-('Control Room'!$B$16-1)/2)/MAX(0.5,'Control Room'!$B$16/4))^2),1)</x:f>
        <x:v>1</x:v>
      </x:c>
      <x:c r="AU251" s="9" t="n">
        <x:f>MOD(AV250*16807,2147483647)</x:f>
        <x:v>275328279</x:v>
      </x:c>
      <x:c r="AV251" s="9" t="n">
        <x:f>MOD(AU251*16807,2147483647)</x:f>
        <x:v>1762609515</x:v>
      </x:c>
      <x:c r="AW251" s="17" t="n">
        <x:f>IF('Control Room'!$B$5="Normal",'Control Room'!$B$7+'Control Room'!$D$7*SQRT(-2*LN(MAX(0.000000000001,AU251/2147483647)))*COS(2*PI()*AV251/2147483647),'Control Room'!$B$8+('Control Room'!$D$8-'Control Room'!$B$8)*AU251/2147483647)</x:f>
        <x:v>1078.47665594487</x:v>
      </x:c>
      <x:c r="AX251" s="17" t="n">
        <x:f>IF('Control Room'!$B$5="Normal",'Control Room'!$B$7,('Control Room'!$B$8+'Control Room'!$D$8)/2)+'Control Room'!$B$9*(AX250-IF('Control Room'!$B$5="Normal",'Control Room'!$B$7,('Control Room'!$B$8+'Control Room'!$D$8)/2))+SQRT(1-'Control Room'!$B$9^2)*(AW251-IF('Control Room'!$B$5="Normal",'Control Room'!$B$7,('Control Room'!$B$8+'Control Room'!$D$8)/2))</x:f>
        <x:v>971.5864464792121</x:v>
      </x:c>
      <x:c r="AY251" s="17" t="n">
        <x:f>IF(AND($A251&gt;='Control Room'!$A$13,$A251&lt;'Control Room'!$A$13+'Control Room'!$B$13,'Process'!BT2=1),1+('Control Room'!$C$13-1)*EXP(-0.5*(($A251-'Control Room'!$A$13-('Control Room'!$B$13-1)/2)/MAX(0.5,'Control Room'!$B$13/4))^2),1)*IF(AND($A251&gt;='Control Room'!$A$14,$A251&lt;'Control Room'!$A$14+'Control Room'!$B$14,'Process'!BT3=1),1+('Control Room'!$C$14-1)*EXP(-0.5*(($A251-'Control Room'!$A$14-('Control Room'!$B$14-1)/2)/MAX(0.5,'Control Room'!$B$14/4))^2),1)*IF(AND($A251&gt;='Control Room'!$A$15,$A251&lt;'Control Room'!$A$15+'Control Room'!$B$15,'Process'!BT4=1),1+('Control Room'!$C$15-1)*EXP(-0.5*(($A251-'Control Room'!$A$15-('Control Room'!$B$15-1)/2)/MAX(0.5,'Control Room'!$B$15/4))^2),1)*IF(AND($A251&gt;='Control Room'!$A$16,$A251&lt;'Control Room'!$A$16+'Control Room'!$B$16,'Process'!BT5=1),1+('Control Room'!$C$16-1)*EXP(-0.5*(($A251-'Control Room'!$A$16-('Control Room'!$B$16-1)/2)/MAX(0.5,'Control Room'!$B$16/4))^2),1)</x:f>
        <x:v>1</x:v>
      </x:c>
      <x:c r="AZ251" s="9" t="n">
        <x:f>MOD(BA250*16807,2147483647)</x:f>
        <x:v>1885709881</x:v>
      </x:c>
      <x:c r="BA251" s="9" t="n">
        <x:f>MOD(AZ251*16807,2147483647)</x:f>
        <x:v>562307541</x:v>
      </x:c>
      <x:c r="BB251" s="17" t="n">
        <x:f>IF('Control Room'!$B$5="Normal",'Control Room'!$B$7+'Control Room'!$D$7*SQRT(-2*LN(MAX(0.000000000001,AZ251/2147483647)))*COS(2*PI()*BA251/2147483647),'Control Room'!$B$8+('Control Room'!$D$8-'Control Room'!$B$8)*AZ251/2147483647)</x:f>
        <x:v>996.587873781902</x:v>
      </x:c>
      <x:c r="BC251" s="17" t="n">
        <x:f>IF('Control Room'!$B$5="Normal",'Control Room'!$B$7,('Control Room'!$B$8+'Control Room'!$D$8)/2)+'Control Room'!$B$9*(BC250-IF('Control Room'!$B$5="Normal",'Control Room'!$B$7,('Control Room'!$B$8+'Control Room'!$D$8)/2))+SQRT(1-'Control Room'!$B$9^2)*(BB251-IF('Control Room'!$B$5="Normal",'Control Room'!$B$7,('Control Room'!$B$8+'Control Room'!$D$8)/2))</x:f>
        <x:v>935.2436660196748</x:v>
      </x:c>
      <x:c r="BD251" s="17" t="n">
        <x:f>IF(AND($A251&gt;='Control Room'!$A$13,$A251&lt;'Control Room'!$A$13+'Control Room'!$B$13,'Process'!BU2=1),1+('Control Room'!$C$13-1)*EXP(-0.5*(($A251-'Control Room'!$A$13-('Control Room'!$B$13-1)/2)/MAX(0.5,'Control Room'!$B$13/4))^2),1)*IF(AND($A251&gt;='Control Room'!$A$14,$A251&lt;'Control Room'!$A$14+'Control Room'!$B$14,'Process'!BU3=1),1+('Control Room'!$C$14-1)*EXP(-0.5*(($A251-'Control Room'!$A$14-('Control Room'!$B$14-1)/2)/MAX(0.5,'Control Room'!$B$14/4))^2),1)*IF(AND($A251&gt;='Control Room'!$A$15,$A251&lt;'Control Room'!$A$15+'Control Room'!$B$15,'Process'!BU4=1),1+('Control Room'!$C$15-1)*EXP(-0.5*(($A251-'Control Room'!$A$15-('Control Room'!$B$15-1)/2)/MAX(0.5,'Control Room'!$B$15/4))^2),1)*IF(AND($A251&gt;='Control Room'!$A$16,$A251&lt;'Control Room'!$A$16+'Control Room'!$B$16,'Process'!BU5=1),1+('Control Room'!$C$16-1)*EXP(-0.5*(($A251-'Control Room'!$A$16-('Control Room'!$B$16-1)/2)/MAX(0.5,'Control Room'!$B$16/4))^2),1)</x:f>
        <x:v>1</x:v>
      </x:c>
      <x:c r="BE251" s="9" t="n">
        <x:f>MOD(BF250*16807,2147483647)</x:f>
        <x:v>1348607836</x:v>
      </x:c>
      <x:c r="BF251" s="9" t="n">
        <x:f>MOD(BE251*16807,2147483647)</x:f>
        <x:v>1509489214</x:v>
      </x:c>
      <x:c r="BG251" s="17" t="n">
        <x:f>IF('Control Room'!$B$5="Normal",'Control Room'!$B$7+'Control Room'!$D$7*SQRT(-2*LN(MAX(0.000000000001,BE251/2147483647)))*COS(2*PI()*BF251/2147483647),'Control Room'!$B$8+('Control Room'!$D$8-'Control Room'!$B$8)*BE251/2147483647)</x:f>
        <x:v>974.687455713226</x:v>
      </x:c>
      <x:c r="BH251" s="17" t="n">
        <x:f>IF('Control Room'!$B$5="Normal",'Control Room'!$B$7,('Control Room'!$B$8+'Control Room'!$D$8)/2)+'Control Room'!$B$9*(BH250-IF('Control Room'!$B$5="Normal",'Control Room'!$B$7,('Control Room'!$B$8+'Control Room'!$D$8)/2))+SQRT(1-'Control Room'!$B$9^2)*(BG251-IF('Control Room'!$B$5="Normal",'Control Room'!$B$7,('Control Room'!$B$8+'Control Room'!$D$8)/2))</x:f>
        <x:v>940.320846745539</x:v>
      </x:c>
      <x:c r="BI251" s="17" t="n">
        <x:f>IF(AND($A251&gt;='Control Room'!$A$13,$A251&lt;'Control Room'!$A$13+'Control Room'!$B$13,'Process'!BV2=1),1+('Control Room'!$C$13-1)*EXP(-0.5*(($A251-'Control Room'!$A$13-('Control Room'!$B$13-1)/2)/MAX(0.5,'Control Room'!$B$13/4))^2),1)*IF(AND($A251&gt;='Control Room'!$A$14,$A251&lt;'Control Room'!$A$14+'Control Room'!$B$14,'Process'!BV3=1),1+('Control Room'!$C$14-1)*EXP(-0.5*(($A251-'Control Room'!$A$14-('Control Room'!$B$14-1)/2)/MAX(0.5,'Control Room'!$B$14/4))^2),1)*IF(AND($A251&gt;='Control Room'!$A$15,$A251&lt;'Control Room'!$A$15+'Control Room'!$B$15,'Process'!BV4=1),1+('Control Room'!$C$15-1)*EXP(-0.5*(($A251-'Control Room'!$A$15-('Control Room'!$B$15-1)/2)/MAX(0.5,'Control Room'!$B$15/4))^2),1)*IF(AND($A251&gt;='Control Room'!$A$16,$A251&lt;'Control Room'!$A$16+'Control Room'!$B$16,'Process'!BV5=1),1+('Control Room'!$C$16-1)*EXP(-0.5*(($A251-'Control Room'!$A$16-('Control Room'!$B$16-1)/2)/MAX(0.5,'Control Room'!$B$16/4))^2),1)</x:f>
        <x:v>1</x:v>
      </x:c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Z251" t="str">
        <x:f>IF('Data'!A251="","",TEXT('Data'!A251,"mm-dd"))</x:f>
      </x:c>
    </x:row>
    <x:row r="252" ht="21" customHeight="1">
      <x:c r="A252" s="15" t="n">
        <x:f>'Control Room'!$B$1+250</x:f>
        <x:v>73241</x:v>
      </x:c>
      <x:c r="B252" s="9" t="n">
        <x:f>MOD(C251*16807,2147483647)</x:f>
        <x:v>1913765787</x:v>
      </x:c>
      <x:c r="C252" s="9" t="n">
        <x:f>MOD(B252*16807,2147483647)</x:f>
        <x:v>1799000990</x:v>
      </x:c>
      <x:c r="D252" s="17" t="n">
        <x:f>IF('Control Room'!$B$5="Normal",'Control Room'!$B$7+'Control Room'!$D$7*SQRT(-2*LN(MAX(0.000000000001,B252/2147483647)))*COS(2*PI()*C252/2147483647),'Control Room'!$B$8+('Control Room'!$D$8-'Control Room'!$B$8)*B252/2147483647)</x:f>
        <x:v>1022.6263565610254</x:v>
      </x:c>
      <x:c r="E252" s="17" t="n">
        <x:f>IF('Control Room'!$B$5="Normal",'Control Room'!$B$7,('Control Room'!$B$8+'Control Room'!$D$8)/2)+'Control Room'!$B$9*(E251-IF('Control Room'!$B$5="Normal",'Control Room'!$B$7,('Control Room'!$B$8+'Control Room'!$D$8)/2))+SQRT(1-'Control Room'!$B$9^2)*(D252-IF('Control Room'!$B$5="Normal",'Control Room'!$B$7,('Control Room'!$B$8+'Control Room'!$D$8)/2))</x:f>
        <x:v>1050.9024224881687</x:v>
      </x:c>
      <x:c r="F252" s="17" t="n">
        <x:f>IF(AND($A252&gt;='Control Room'!$A$13,$A252&lt;'Control Room'!$A$13+'Control Room'!$B$13,'Process'!BK2=1),1+('Control Room'!$C$13-1)*EXP(-0.5*(($A252-'Control Room'!$A$13-('Control Room'!$B$13-1)/2)/MAX(0.5,'Control Room'!$B$13/4))^2),1)*IF(AND($A252&gt;='Control Room'!$A$14,$A252&lt;'Control Room'!$A$14+'Control Room'!$B$14,'Process'!BK3=1),1+('Control Room'!$C$14-1)*EXP(-0.5*(($A252-'Control Room'!$A$14-('Control Room'!$B$14-1)/2)/MAX(0.5,'Control Room'!$B$14/4))^2),1)*IF(AND($A252&gt;='Control Room'!$A$15,$A252&lt;'Control Room'!$A$15+'Control Room'!$B$15,'Process'!BK4=1),1+('Control Room'!$C$15-1)*EXP(-0.5*(($A252-'Control Room'!$A$15-('Control Room'!$B$15-1)/2)/MAX(0.5,'Control Room'!$B$15/4))^2),1)*IF(AND($A252&gt;='Control Room'!$A$16,$A252&lt;'Control Room'!$A$16+'Control Room'!$B$16,'Process'!BK5=1),1+('Control Room'!$C$16-1)*EXP(-0.5*(($A252-'Control Room'!$A$16-('Control Room'!$B$16-1)/2)/MAX(0.5,'Control Room'!$B$16/4))^2),1)</x:f>
        <x:v>1</x:v>
      </x:c>
      <x:c r="G252" s="9" t="n">
        <x:f>MOD(H251*16807,2147483647)</x:f>
        <x:v>1899868687</x:v>
      </x:c>
      <x:c r="H252" s="9" t="n">
        <x:f>MOD(G252*16807,2147483647)</x:f>
        <x:v>158675166</x:v>
      </x:c>
      <x:c r="I252" s="17" t="n">
        <x:f>IF('Control Room'!$B$5="Normal",'Control Room'!$B$7+'Control Room'!$D$7*SQRT(-2*LN(MAX(0.000000000001,G252/2147483647)))*COS(2*PI()*H252/2147483647),'Control Room'!$B$8+('Control Room'!$D$8-'Control Room'!$B$8)*G252/2147483647)</x:f>
        <x:v>1039.8344889081234</x:v>
      </x:c>
      <x:c r="J252" s="17" t="n">
        <x:f>IF('Control Room'!$B$5="Normal",'Control Room'!$B$7,('Control Room'!$B$8+'Control Room'!$D$8)/2)+'Control Room'!$B$9*(J251-IF('Control Room'!$B$5="Normal",'Control Room'!$B$7,('Control Room'!$B$8+'Control Room'!$D$8)/2))+SQRT(1-'Control Room'!$B$9^2)*(I252-IF('Control Room'!$B$5="Normal",'Control Room'!$B$7,('Control Room'!$B$8+'Control Room'!$D$8)/2))</x:f>
        <x:v>1046.2014349407789</x:v>
      </x:c>
      <x:c r="K252" s="17" t="n">
        <x:f>IF(AND($A252&gt;='Control Room'!$A$13,$A252&lt;'Control Room'!$A$13+'Control Room'!$B$13,'Process'!BL2=1),1+('Control Room'!$C$13-1)*EXP(-0.5*(($A252-'Control Room'!$A$13-('Control Room'!$B$13-1)/2)/MAX(0.5,'Control Room'!$B$13/4))^2),1)*IF(AND($A252&gt;='Control Room'!$A$14,$A252&lt;'Control Room'!$A$14+'Control Room'!$B$14,'Process'!BL3=1),1+('Control Room'!$C$14-1)*EXP(-0.5*(($A252-'Control Room'!$A$14-('Control Room'!$B$14-1)/2)/MAX(0.5,'Control Room'!$B$14/4))^2),1)*IF(AND($A252&gt;='Control Room'!$A$15,$A252&lt;'Control Room'!$A$15+'Control Room'!$B$15,'Process'!BL4=1),1+('Control Room'!$C$15-1)*EXP(-0.5*(($A252-'Control Room'!$A$15-('Control Room'!$B$15-1)/2)/MAX(0.5,'Control Room'!$B$15/4))^2),1)*IF(AND($A252&gt;='Control Room'!$A$16,$A252&lt;'Control Room'!$A$16+'Control Room'!$B$16,'Process'!BL5=1),1+('Control Room'!$C$16-1)*EXP(-0.5*(($A252-'Control Room'!$A$16-('Control Room'!$B$16-1)/2)/MAX(0.5,'Control Room'!$B$16/4))^2),1)</x:f>
        <x:v>1</x:v>
      </x:c>
      <x:c r="L252" s="9" t="n">
        <x:f>MOD(M251*16807,2147483647)</x:f>
        <x:v>1885971587</x:v>
      </x:c>
      <x:c r="M252" s="9" t="n">
        <x:f>MOD(L252*16807,2147483647)</x:f>
        <x:v>665832989</x:v>
      </x:c>
      <x:c r="N252" s="17" t="n">
        <x:f>IF('Control Room'!$B$5="Normal",'Control Room'!$B$7+'Control Room'!$D$7*SQRT(-2*LN(MAX(0.000000000001,L252/2147483647)))*COS(2*PI()*M252/2147483647),'Control Room'!$B$8+('Control Room'!$D$8-'Control Room'!$B$8)*L252/2147483647)</x:f>
        <x:v>983.1017384741393</x:v>
      </x:c>
      <x:c r="O252" s="17" t="n">
        <x:f>IF('Control Room'!$B$5="Normal",'Control Room'!$B$7,('Control Room'!$B$8+'Control Room'!$D$8)/2)+'Control Room'!$B$9*(O251-IF('Control Room'!$B$5="Normal",'Control Room'!$B$7,('Control Room'!$B$8+'Control Room'!$D$8)/2))+SQRT(1-'Control Room'!$B$9^2)*(N252-IF('Control Room'!$B$5="Normal",'Control Room'!$B$7,('Control Room'!$B$8+'Control Room'!$D$8)/2))</x:f>
        <x:v>975.7605346644671</x:v>
      </x:c>
      <x:c r="P252" s="17" t="n">
        <x:f>IF(AND($A252&gt;='Control Room'!$A$13,$A252&lt;'Control Room'!$A$13+'Control Room'!$B$13,'Process'!BM2=1),1+('Control Room'!$C$13-1)*EXP(-0.5*(($A252-'Control Room'!$A$13-('Control Room'!$B$13-1)/2)/MAX(0.5,'Control Room'!$B$13/4))^2),1)*IF(AND($A252&gt;='Control Room'!$A$14,$A252&lt;'Control Room'!$A$14+'Control Room'!$B$14,'Process'!BM3=1),1+('Control Room'!$C$14-1)*EXP(-0.5*(($A252-'Control Room'!$A$14-('Control Room'!$B$14-1)/2)/MAX(0.5,'Control Room'!$B$14/4))^2),1)*IF(AND($A252&gt;='Control Room'!$A$15,$A252&lt;'Control Room'!$A$15+'Control Room'!$B$15,'Process'!BM4=1),1+('Control Room'!$C$15-1)*EXP(-0.5*(($A252-'Control Room'!$A$15-('Control Room'!$B$15-1)/2)/MAX(0.5,'Control Room'!$B$15/4))^2),1)*IF(AND($A252&gt;='Control Room'!$A$16,$A252&lt;'Control Room'!$A$16+'Control Room'!$B$16,'Process'!BM5=1),1+('Control Room'!$C$16-1)*EXP(-0.5*(($A252-'Control Room'!$A$16-('Control Room'!$B$16-1)/2)/MAX(0.5,'Control Room'!$B$16/4))^2),1)</x:f>
        <x:v>1</x:v>
      </x:c>
      <x:c r="Q252" s="9" t="n">
        <x:f>MOD(R251*16807,2147483647)</x:f>
        <x:v>1872074487</x:v>
      </x:c>
      <x:c r="R252" s="9" t="n">
        <x:f>MOD(Q252*16807,2147483647)</x:f>
        <x:v>1172990812</x:v>
      </x:c>
      <x:c r="S252" s="17" t="n">
        <x:f>IF('Control Room'!$B$5="Normal",'Control Room'!$B$7+'Control Room'!$D$7*SQRT(-2*LN(MAX(0.000000000001,Q252/2147483647)))*COS(2*PI()*R252/2147483647),'Control Room'!$B$8+('Control Room'!$D$8-'Control Room'!$B$8)*Q252/2147483647)</x:f>
        <x:v>954.8207523241034</x:v>
      </x:c>
      <x:c r="T252" s="17" t="n">
        <x:f>IF('Control Room'!$B$5="Normal",'Control Room'!$B$7,('Control Room'!$B$8+'Control Room'!$D$8)/2)+'Control Room'!$B$9*(T251-IF('Control Room'!$B$5="Normal",'Control Room'!$B$7,('Control Room'!$B$8+'Control Room'!$D$8)/2))+SQRT(1-'Control Room'!$B$9^2)*(S252-IF('Control Room'!$B$5="Normal",'Control Room'!$B$7,('Control Room'!$B$8+'Control Room'!$D$8)/2))</x:f>
        <x:v>959.586549563604</x:v>
      </x:c>
      <x:c r="U252" s="17" t="n">
        <x:f>IF(AND($A252&gt;='Control Room'!$A$13,$A252&lt;'Control Room'!$A$13+'Control Room'!$B$13,'Process'!BN2=1),1+('Control Room'!$C$13-1)*EXP(-0.5*(($A252-'Control Room'!$A$13-('Control Room'!$B$13-1)/2)/MAX(0.5,'Control Room'!$B$13/4))^2),1)*IF(AND($A252&gt;='Control Room'!$A$14,$A252&lt;'Control Room'!$A$14+'Control Room'!$B$14,'Process'!BN3=1),1+('Control Room'!$C$14-1)*EXP(-0.5*(($A252-'Control Room'!$A$14-('Control Room'!$B$14-1)/2)/MAX(0.5,'Control Room'!$B$14/4))^2),1)*IF(AND($A252&gt;='Control Room'!$A$15,$A252&lt;'Control Room'!$A$15+'Control Room'!$B$15,'Process'!BN4=1),1+('Control Room'!$C$15-1)*EXP(-0.5*(($A252-'Control Room'!$A$15-('Control Room'!$B$15-1)/2)/MAX(0.5,'Control Room'!$B$15/4))^2),1)*IF(AND($A252&gt;='Control Room'!$A$16,$A252&lt;'Control Room'!$A$16+'Control Room'!$B$16,'Process'!BN5=1),1+('Control Room'!$C$16-1)*EXP(-0.5*(($A252-'Control Room'!$A$16-('Control Room'!$B$16-1)/2)/MAX(0.5,'Control Room'!$B$16/4))^2),1)</x:f>
        <x:v>1</x:v>
      </x:c>
      <x:c r="V252" s="9" t="n">
        <x:f>MOD(W251*16807,2147483647)</x:f>
        <x:v>1858177387</x:v>
      </x:c>
      <x:c r="W252" s="9" t="n">
        <x:f>MOD(V252*16807,2147483647)</x:f>
        <x:v>1680148635</x:v>
      </x:c>
      <x:c r="X252" s="17" t="n">
        <x:f>IF('Control Room'!$B$5="Normal",'Control Room'!$B$7+'Control Room'!$D$7*SQRT(-2*LN(MAX(0.000000000001,V252/2147483647)))*COS(2*PI()*W252/2147483647),'Control Room'!$B$8+('Control Room'!$D$8-'Control Room'!$B$8)*V252/2147483647)</x:f>
        <x:v>1009.782539795123</x:v>
      </x:c>
      <x:c r="Y252" s="17" t="n">
        <x:f>IF('Control Room'!$B$5="Normal",'Control Room'!$B$7,('Control Room'!$B$8+'Control Room'!$D$8)/2)+'Control Room'!$B$9*(Y251-IF('Control Room'!$B$5="Normal",'Control Room'!$B$7,('Control Room'!$B$8+'Control Room'!$D$8)/2))+SQRT(1-'Control Room'!$B$9^2)*(X252-IF('Control Room'!$B$5="Normal",'Control Room'!$B$7,('Control Room'!$B$8+'Control Room'!$D$8)/2))</x:f>
        <x:v>906.1425486785</x:v>
      </x:c>
      <x:c r="Z252" s="17" t="n">
        <x:f>IF(AND($A252&gt;='Control Room'!$A$13,$A252&lt;'Control Room'!$A$13+'Control Room'!$B$13,'Process'!BO2=1),1+('Control Room'!$C$13-1)*EXP(-0.5*(($A252-'Control Room'!$A$13-('Control Room'!$B$13-1)/2)/MAX(0.5,'Control Room'!$B$13/4))^2),1)*IF(AND($A252&gt;='Control Room'!$A$14,$A252&lt;'Control Room'!$A$14+'Control Room'!$B$14,'Process'!BO3=1),1+('Control Room'!$C$14-1)*EXP(-0.5*(($A252-'Control Room'!$A$14-('Control Room'!$B$14-1)/2)/MAX(0.5,'Control Room'!$B$14/4))^2),1)*IF(AND($A252&gt;='Control Room'!$A$15,$A252&lt;'Control Room'!$A$15+'Control Room'!$B$15,'Process'!BO4=1),1+('Control Room'!$C$15-1)*EXP(-0.5*(($A252-'Control Room'!$A$15-('Control Room'!$B$15-1)/2)/MAX(0.5,'Control Room'!$B$15/4))^2),1)*IF(AND($A252&gt;='Control Room'!$A$16,$A252&lt;'Control Room'!$A$16+'Control Room'!$B$16,'Process'!BO5=1),1+('Control Room'!$C$16-1)*EXP(-0.5*(($A252-'Control Room'!$A$16-('Control Room'!$B$16-1)/2)/MAX(0.5,'Control Room'!$B$16/4))^2),1)</x:f>
        <x:v>1</x:v>
      </x:c>
      <x:c r="AA252" s="9" t="n">
        <x:f>MOD(AB251*16807,2147483647)</x:f>
        <x:v>1844280287</x:v>
      </x:c>
      <x:c r="AB252" s="9" t="n">
        <x:f>MOD(AA252*16807,2147483647)</x:f>
        <x:v>39822811</x:v>
      </x:c>
      <x:c r="AC252" s="17" t="n">
        <x:f>IF('Control Room'!$B$5="Normal",'Control Room'!$B$7+'Control Room'!$D$7*SQRT(-2*LN(MAX(0.000000000001,AA252/2147483647)))*COS(2*PI()*AB252/2147483647),'Control Room'!$B$8+('Control Room'!$D$8-'Control Room'!$B$8)*AA252/2147483647)</x:f>
        <x:v>1049.3197779079371</x:v>
      </x:c>
      <x:c r="AD252" s="17" t="n">
        <x:f>IF('Control Room'!$B$5="Normal",'Control Room'!$B$7,('Control Room'!$B$8+'Control Room'!$D$8)/2)+'Control Room'!$B$9*(AD251-IF('Control Room'!$B$5="Normal",'Control Room'!$B$7,('Control Room'!$B$8+'Control Room'!$D$8)/2))+SQRT(1-'Control Room'!$B$9^2)*(AC252-IF('Control Room'!$B$5="Normal",'Control Room'!$B$7,('Control Room'!$B$8+'Control Room'!$D$8)/2))</x:f>
        <x:v>1108.77114858135</x:v>
      </x:c>
      <x:c r="AE252" s="17" t="n">
        <x:f>IF(AND($A252&gt;='Control Room'!$A$13,$A252&lt;'Control Room'!$A$13+'Control Room'!$B$13,'Process'!BP2=1),1+('Control Room'!$C$13-1)*EXP(-0.5*(($A252-'Control Room'!$A$13-('Control Room'!$B$13-1)/2)/MAX(0.5,'Control Room'!$B$13/4))^2),1)*IF(AND($A252&gt;='Control Room'!$A$14,$A252&lt;'Control Room'!$A$14+'Control Room'!$B$14,'Process'!BP3=1),1+('Control Room'!$C$14-1)*EXP(-0.5*(($A252-'Control Room'!$A$14-('Control Room'!$B$14-1)/2)/MAX(0.5,'Control Room'!$B$14/4))^2),1)*IF(AND($A252&gt;='Control Room'!$A$15,$A252&lt;'Control Room'!$A$15+'Control Room'!$B$15,'Process'!BP4=1),1+('Control Room'!$C$15-1)*EXP(-0.5*(($A252-'Control Room'!$A$15-('Control Room'!$B$15-1)/2)/MAX(0.5,'Control Room'!$B$15/4))^2),1)*IF(AND($A252&gt;='Control Room'!$A$16,$A252&lt;'Control Room'!$A$16+'Control Room'!$B$16,'Process'!BP5=1),1+('Control Room'!$C$16-1)*EXP(-0.5*(($A252-'Control Room'!$A$16-('Control Room'!$B$16-1)/2)/MAX(0.5,'Control Room'!$B$16/4))^2),1)</x:f>
        <x:v>1</x:v>
      </x:c>
      <x:c r="AF252" s="9" t="n">
        <x:f>MOD(AG251*16807,2147483647)</x:f>
        <x:v>1830383187</x:v>
      </x:c>
      <x:c r="AG252" s="9" t="n">
        <x:f>MOD(AF252*16807,2147483647)</x:f>
        <x:v>546980634</x:v>
      </x:c>
      <x:c r="AH252" s="17" t="n">
        <x:f>IF('Control Room'!$B$5="Normal",'Control Room'!$B$7+'Control Room'!$D$7*SQRT(-2*LN(MAX(0.000000000001,AF252/2147483647)))*COS(2*PI()*AG252/2147483647),'Control Room'!$B$8+('Control Room'!$D$8-'Control Room'!$B$8)*AF252/2147483647)</x:f>
        <x:v>998.4953587837849</x:v>
      </x:c>
      <x:c r="AI252" s="17" t="n">
        <x:f>IF('Control Room'!$B$5="Normal",'Control Room'!$B$7,('Control Room'!$B$8+'Control Room'!$D$8)/2)+'Control Room'!$B$9*(AI251-IF('Control Room'!$B$5="Normal",'Control Room'!$B$7,('Control Room'!$B$8+'Control Room'!$D$8)/2))+SQRT(1-'Control Room'!$B$9^2)*(AH252-IF('Control Room'!$B$5="Normal",'Control Room'!$B$7,('Control Room'!$B$8+'Control Room'!$D$8)/2))</x:f>
        <x:v>1002.1682396538107</x:v>
      </x:c>
      <x:c r="AJ252" s="17" t="n">
        <x:f>IF(AND($A252&gt;='Control Room'!$A$13,$A252&lt;'Control Room'!$A$13+'Control Room'!$B$13,'Process'!BQ2=1),1+('Control Room'!$C$13-1)*EXP(-0.5*(($A252-'Control Room'!$A$13-('Control Room'!$B$13-1)/2)/MAX(0.5,'Control Room'!$B$13/4))^2),1)*IF(AND($A252&gt;='Control Room'!$A$14,$A252&lt;'Control Room'!$A$14+'Control Room'!$B$14,'Process'!BQ3=1),1+('Control Room'!$C$14-1)*EXP(-0.5*(($A252-'Control Room'!$A$14-('Control Room'!$B$14-1)/2)/MAX(0.5,'Control Room'!$B$14/4))^2),1)*IF(AND($A252&gt;='Control Room'!$A$15,$A252&lt;'Control Room'!$A$15+'Control Room'!$B$15,'Process'!BQ4=1),1+('Control Room'!$C$15-1)*EXP(-0.5*(($A252-'Control Room'!$A$15-('Control Room'!$B$15-1)/2)/MAX(0.5,'Control Room'!$B$15/4))^2),1)*IF(AND($A252&gt;='Control Room'!$A$16,$A252&lt;'Control Room'!$A$16+'Control Room'!$B$16,'Process'!BQ5=1),1+('Control Room'!$C$16-1)*EXP(-0.5*(($A252-'Control Room'!$A$16-('Control Room'!$B$16-1)/2)/MAX(0.5,'Control Room'!$B$16/4))^2),1)</x:f>
        <x:v>1</x:v>
      </x:c>
      <x:c r="AK252" s="9" t="n">
        <x:f>MOD(AL251*16807,2147483647)</x:f>
        <x:v>1816486087</x:v>
      </x:c>
      <x:c r="AL252" s="9" t="n">
        <x:f>MOD(AK252*16807,2147483647)</x:f>
        <x:v>1054138457</x:v>
      </x:c>
      <x:c r="AM252" s="17" t="n">
        <x:f>IF('Control Room'!$B$5="Normal",'Control Room'!$B$7+'Control Room'!$D$7*SQRT(-2*LN(MAX(0.000000000001,AK252/2147483647)))*COS(2*PI()*AL252/2147483647),'Control Room'!$B$8+('Control Room'!$D$8-'Control Room'!$B$8)*AK252/2147483647)</x:f>
        <x:v>948.0110309934389</x:v>
      </x:c>
      <x:c r="AN252" s="17" t="n">
        <x:f>IF('Control Room'!$B$5="Normal",'Control Room'!$B$7,('Control Room'!$B$8+'Control Room'!$D$8)/2)+'Control Room'!$B$9*(AN251-IF('Control Room'!$B$5="Normal",'Control Room'!$B$7,('Control Room'!$B$8+'Control Room'!$D$8)/2))+SQRT(1-'Control Room'!$B$9^2)*(AM252-IF('Control Room'!$B$5="Normal",'Control Room'!$B$7,('Control Room'!$B$8+'Control Room'!$D$8)/2))</x:f>
        <x:v>921.182946924969</x:v>
      </x:c>
      <x:c r="AO252" s="17" t="n">
        <x:f>IF(AND($A252&gt;='Control Room'!$A$13,$A252&lt;'Control Room'!$A$13+'Control Room'!$B$13,'Process'!BR2=1),1+('Control Room'!$C$13-1)*EXP(-0.5*(($A252-'Control Room'!$A$13-('Control Room'!$B$13-1)/2)/MAX(0.5,'Control Room'!$B$13/4))^2),1)*IF(AND($A252&gt;='Control Room'!$A$14,$A252&lt;'Control Room'!$A$14+'Control Room'!$B$14,'Process'!BR3=1),1+('Control Room'!$C$14-1)*EXP(-0.5*(($A252-'Control Room'!$A$14-('Control Room'!$B$14-1)/2)/MAX(0.5,'Control Room'!$B$14/4))^2),1)*IF(AND($A252&gt;='Control Room'!$A$15,$A252&lt;'Control Room'!$A$15+'Control Room'!$B$15,'Process'!BR4=1),1+('Control Room'!$C$15-1)*EXP(-0.5*(($A252-'Control Room'!$A$15-('Control Room'!$B$15-1)/2)/MAX(0.5,'Control Room'!$B$15/4))^2),1)*IF(AND($A252&gt;='Control Room'!$A$16,$A252&lt;'Control Room'!$A$16+'Control Room'!$B$16,'Process'!BR5=1),1+('Control Room'!$C$16-1)*EXP(-0.5*(($A252-'Control Room'!$A$16-('Control Room'!$B$16-1)/2)/MAX(0.5,'Control Room'!$B$16/4))^2),1)</x:f>
        <x:v>1</x:v>
      </x:c>
      <x:c r="AP252" s="9" t="n">
        <x:f>MOD(AQ251*16807,2147483647)</x:f>
        <x:v>1802588987</x:v>
      </x:c>
      <x:c r="AQ252" s="9" t="n">
        <x:f>MOD(AP252*16807,2147483647)</x:f>
        <x:v>1561296280</x:v>
      </x:c>
      <x:c r="AR252" s="17" t="n">
        <x:f>IF('Control Room'!$B$5="Normal",'Control Room'!$B$7+'Control Room'!$D$7*SQRT(-2*LN(MAX(0.000000000001,AP252/2147483647)))*COS(2*PI()*AQ252/2147483647),'Control Room'!$B$8+('Control Room'!$D$8-'Control Room'!$B$8)*AP252/2147483647)</x:f>
        <x:v>992.3422594953548</x:v>
      </x:c>
      <x:c r="AS252" s="17" t="n">
        <x:f>IF('Control Room'!$B$5="Normal",'Control Room'!$B$7,('Control Room'!$B$8+'Control Room'!$D$8)/2)+'Control Room'!$B$9*(AS251-IF('Control Room'!$B$5="Normal",'Control Room'!$B$7,('Control Room'!$B$8+'Control Room'!$D$8)/2))+SQRT(1-'Control Room'!$B$9^2)*(AR252-IF('Control Room'!$B$5="Normal",'Control Room'!$B$7,('Control Room'!$B$8+'Control Room'!$D$8)/2))</x:f>
        <x:v>999.8552995730327</x:v>
      </x:c>
      <x:c r="AT252" s="17" t="n">
        <x:f>IF(AND($A252&gt;='Control Room'!$A$13,$A252&lt;'Control Room'!$A$13+'Control Room'!$B$13,'Process'!BS2=1),1+('Control Room'!$C$13-1)*EXP(-0.5*(($A252-'Control Room'!$A$13-('Control Room'!$B$13-1)/2)/MAX(0.5,'Control Room'!$B$13/4))^2),1)*IF(AND($A252&gt;='Control Room'!$A$14,$A252&lt;'Control Room'!$A$14+'Control Room'!$B$14,'Process'!BS3=1),1+('Control Room'!$C$14-1)*EXP(-0.5*(($A252-'Control Room'!$A$14-('Control Room'!$B$14-1)/2)/MAX(0.5,'Control Room'!$B$14/4))^2),1)*IF(AND($A252&gt;='Control Room'!$A$15,$A252&lt;'Control Room'!$A$15+'Control Room'!$B$15,'Process'!BS4=1),1+('Control Room'!$C$15-1)*EXP(-0.5*(($A252-'Control Room'!$A$15-('Control Room'!$B$15-1)/2)/MAX(0.5,'Control Room'!$B$15/4))^2),1)*IF(AND($A252&gt;='Control Room'!$A$16,$A252&lt;'Control Room'!$A$16+'Control Room'!$B$16,'Process'!BS5=1),1+('Control Room'!$C$16-1)*EXP(-0.5*(($A252-'Control Room'!$A$16-('Control Room'!$B$16-1)/2)/MAX(0.5,'Control Room'!$B$16/4))^2),1)</x:f>
        <x:v>1</x:v>
      </x:c>
      <x:c r="AU252" s="9" t="n">
        <x:f>MOD(AV251*16807,2147483647)</x:f>
        <x:v>1788691887</x:v>
      </x:c>
      <x:c r="AV252" s="9" t="n">
        <x:f>MOD(AU252*16807,2147483647)</x:f>
        <x:v>2068454103</x:v>
      </x:c>
      <x:c r="AW252" s="17" t="n">
        <x:f>IF('Control Room'!$B$5="Normal",'Control Room'!$B$7+'Control Room'!$D$7*SQRT(-2*LN(MAX(0.000000000001,AU252/2147483647)))*COS(2*PI()*AV252/2147483647),'Control Room'!$B$8+('Control Room'!$D$8-'Control Room'!$B$8)*AU252/2147483647)</x:f>
        <x:v>1052.9718457749739</x:v>
      </x:c>
      <x:c r="AX252" s="17" t="n">
        <x:f>IF('Control Room'!$B$5="Normal",'Control Room'!$B$7,('Control Room'!$B$8+'Control Room'!$D$8)/2)+'Control Room'!$B$9*(AX251-IF('Control Room'!$B$5="Normal",'Control Room'!$B$7,('Control Room'!$B$8+'Control Room'!$D$8)/2))+SQRT(1-'Control Room'!$B$9^2)*(AW252-IF('Control Room'!$B$5="Normal",'Control Room'!$B$7,('Control Room'!$B$8+'Control Room'!$D$8)/2))</x:f>
        <x:v>1010.9861241525182</x:v>
      </x:c>
      <x:c r="AY252" s="17" t="n">
        <x:f>IF(AND($A252&gt;='Control Room'!$A$13,$A252&lt;'Control Room'!$A$13+'Control Room'!$B$13,'Process'!BT2=1),1+('Control Room'!$C$13-1)*EXP(-0.5*(($A252-'Control Room'!$A$13-('Control Room'!$B$13-1)/2)/MAX(0.5,'Control Room'!$B$13/4))^2),1)*IF(AND($A252&gt;='Control Room'!$A$14,$A252&lt;'Control Room'!$A$14+'Control Room'!$B$14,'Process'!BT3=1),1+('Control Room'!$C$14-1)*EXP(-0.5*(($A252-'Control Room'!$A$14-('Control Room'!$B$14-1)/2)/MAX(0.5,'Control Room'!$B$14/4))^2),1)*IF(AND($A252&gt;='Control Room'!$A$15,$A252&lt;'Control Room'!$A$15+'Control Room'!$B$15,'Process'!BT4=1),1+('Control Room'!$C$15-1)*EXP(-0.5*(($A252-'Control Room'!$A$15-('Control Room'!$B$15-1)/2)/MAX(0.5,'Control Room'!$B$15/4))^2),1)*IF(AND($A252&gt;='Control Room'!$A$16,$A252&lt;'Control Room'!$A$16+'Control Room'!$B$16,'Process'!BT5=1),1+('Control Room'!$C$16-1)*EXP(-0.5*(($A252-'Control Room'!$A$16-('Control Room'!$B$16-1)/2)/MAX(0.5,'Control Room'!$B$16/4))^2),1)</x:f>
        <x:v>1</x:v>
      </x:c>
      <x:c r="AZ252" s="9" t="n">
        <x:f>MOD(BA251*16807,2147483647)</x:f>
        <x:v>1774794787</x:v>
      </x:c>
      <x:c r="BA252" s="9" t="n">
        <x:f>MOD(AZ252*16807,2147483647)</x:f>
        <x:v>428128279</x:v>
      </x:c>
      <x:c r="BB252" s="17" t="n">
        <x:f>IF('Control Room'!$B$5="Normal",'Control Room'!$B$7+'Control Room'!$D$7*SQRT(-2*LN(MAX(0.000000000001,AZ252/2147483647)))*COS(2*PI()*BA252/2147483647),'Control Room'!$B$8+('Control Room'!$D$8-'Control Room'!$B$8)*AZ252/2147483647)</x:f>
        <x:v>1017.3832281023953</x:v>
      </x:c>
      <x:c r="BC252" s="17" t="n">
        <x:f>IF('Control Room'!$B$5="Normal",'Control Room'!$B$7,('Control Room'!$B$8+'Control Room'!$D$8)/2)+'Control Room'!$B$9*(BC251-IF('Control Room'!$B$5="Normal",'Control Room'!$B$7,('Control Room'!$B$8+'Control Room'!$D$8)/2))+SQRT(1-'Control Room'!$B$9^2)*(BB252-IF('Control Room'!$B$5="Normal",'Control Room'!$B$7,('Control Room'!$B$8+'Control Room'!$D$8)/2))</x:f>
        <x:v>960.3681275270411</x:v>
      </x:c>
      <x:c r="BD252" s="17" t="n">
        <x:f>IF(AND($A252&gt;='Control Room'!$A$13,$A252&lt;'Control Room'!$A$13+'Control Room'!$B$13,'Process'!BU2=1),1+('Control Room'!$C$13-1)*EXP(-0.5*(($A252-'Control Room'!$A$13-('Control Room'!$B$13-1)/2)/MAX(0.5,'Control Room'!$B$13/4))^2),1)*IF(AND($A252&gt;='Control Room'!$A$14,$A252&lt;'Control Room'!$A$14+'Control Room'!$B$14,'Process'!BU3=1),1+('Control Room'!$C$14-1)*EXP(-0.5*(($A252-'Control Room'!$A$14-('Control Room'!$B$14-1)/2)/MAX(0.5,'Control Room'!$B$14/4))^2),1)*IF(AND($A252&gt;='Control Room'!$A$15,$A252&lt;'Control Room'!$A$15+'Control Room'!$B$15,'Process'!BU4=1),1+('Control Room'!$C$15-1)*EXP(-0.5*(($A252-'Control Room'!$A$15-('Control Room'!$B$15-1)/2)/MAX(0.5,'Control Room'!$B$15/4))^2),1)*IF(AND($A252&gt;='Control Room'!$A$16,$A252&lt;'Control Room'!$A$16+'Control Room'!$B$16,'Process'!BU5=1),1+('Control Room'!$C$16-1)*EXP(-0.5*(($A252-'Control Room'!$A$16-('Control Room'!$B$16-1)/2)/MAX(0.5,'Control Room'!$B$16/4))^2),1)</x:f>
        <x:v>1</x:v>
      </x:c>
      <x:c r="BE252" s="9" t="n">
        <x:f>MOD(BF251*16807,2147483647)</x:f>
        <x:v>1760897687</x:v>
      </x:c>
      <x:c r="BF252" s="9" t="n">
        <x:f>MOD(BE252*16807,2147483647)</x:f>
        <x:v>935286102</x:v>
      </x:c>
      <x:c r="BG252" s="17" t="n">
        <x:f>IF('Control Room'!$B$5="Normal",'Control Room'!$B$7+'Control Room'!$D$7*SQRT(-2*LN(MAX(0.000000000001,BE252/2147483647)))*COS(2*PI()*BF252/2147483647),'Control Room'!$B$8+('Control Room'!$D$8-'Control Room'!$B$8)*BE252/2147483647)</x:f>
        <x:v>947.8860768130854</x:v>
      </x:c>
      <x:c r="BH252" s="17" t="n">
        <x:f>IF('Control Room'!$B$5="Normal",'Control Room'!$B$7,('Control Room'!$B$8+'Control Room'!$D$8)/2)+'Control Room'!$B$9*(BH251-IF('Control Room'!$B$5="Normal",'Control Room'!$B$7,('Control Room'!$B$8+'Control Room'!$D$8)/2))+SQRT(1-'Control Room'!$B$9^2)*(BG252-IF('Control Room'!$B$5="Normal",'Control Room'!$B$7,('Control Room'!$B$8+'Control Room'!$D$8)/2))</x:f>
        <x:v>920.8384349428957</x:v>
      </x:c>
      <x:c r="BI252" s="17" t="n">
        <x:f>IF(AND($A252&gt;='Control Room'!$A$13,$A252&lt;'Control Room'!$A$13+'Control Room'!$B$13,'Process'!BV2=1),1+('Control Room'!$C$13-1)*EXP(-0.5*(($A252-'Control Room'!$A$13-('Control Room'!$B$13-1)/2)/MAX(0.5,'Control Room'!$B$13/4))^2),1)*IF(AND($A252&gt;='Control Room'!$A$14,$A252&lt;'Control Room'!$A$14+'Control Room'!$B$14,'Process'!BV3=1),1+('Control Room'!$C$14-1)*EXP(-0.5*(($A252-'Control Room'!$A$14-('Control Room'!$B$14-1)/2)/MAX(0.5,'Control Room'!$B$14/4))^2),1)*IF(AND($A252&gt;='Control Room'!$A$15,$A252&lt;'Control Room'!$A$15+'Control Room'!$B$15,'Process'!BV4=1),1+('Control Room'!$C$15-1)*EXP(-0.5*(($A252-'Control Room'!$A$15-('Control Room'!$B$15-1)/2)/MAX(0.5,'Control Room'!$B$15/4))^2),1)*IF(AND($A252&gt;='Control Room'!$A$16,$A252&lt;'Control Room'!$A$16+'Control Room'!$B$16,'Process'!BV5=1),1+('Control Room'!$C$16-1)*EXP(-0.5*(($A252-'Control Room'!$A$16-('Control Room'!$B$16-1)/2)/MAX(0.5,'Control Room'!$B$16/4))^2),1)</x:f>
        <x:v>1</x:v>
      </x:c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Z252" t="str">
        <x:f>IF('Data'!A252="","",TEXT('Data'!A252,"mm-dd"))</x:f>
      </x:c>
    </x:row>
    <x:row r="253" ht="21" customHeight="1">
      <x:c r="A253" s="15" t="n">
        <x:f>'Control Room'!$B$1+251</x:f>
        <x:v>73242</x:v>
      </x:c>
      <x:c r="B253" s="9" t="n">
        <x:f>MOD(C252*16807,2147483647)</x:f>
        <x:v>1387372817</x:v>
      </x:c>
      <x:c r="C253" s="9" t="n">
        <x:f>MOD(B253*16807,2147483647)</x:f>
        <x:v>197496193</x:v>
      </x:c>
      <x:c r="D253" s="17" t="n">
        <x:f>IF('Control Room'!$B$5="Normal",'Control Room'!$B$7+'Control Room'!$D$7*SQRT(-2*LN(MAX(0.000000000001,B253/2147483647)))*COS(2*PI()*C253/2147483647),'Control Room'!$B$8+('Control Room'!$D$8-'Control Room'!$B$8)*B253/2147483647)</x:f>
        <x:v>1070.4693529991514</x:v>
      </x:c>
      <x:c r="E253" s="17" t="n">
        <x:f>IF('Control Room'!$B$5="Normal",'Control Room'!$B$7,('Control Room'!$B$8+'Control Room'!$D$8)/2)+'Control Room'!$B$9*(E252-IF('Control Room'!$B$5="Normal",'Control Room'!$B$7,('Control Room'!$B$8+'Control Room'!$D$8)/2))+SQRT(1-'Control Room'!$B$9^2)*(D253-IF('Control Room'!$B$5="Normal",'Control Room'!$B$7,('Control Room'!$B$8+'Control Room'!$D$8)/2))</x:f>
        <x:v>1083.8021670044752</x:v>
      </x:c>
      <x:c r="F253" s="17" t="n">
        <x:f>IF(AND($A253&gt;='Control Room'!$A$13,$A253&lt;'Control Room'!$A$13+'Control Room'!$B$13,'Process'!BK2=1),1+('Control Room'!$C$13-1)*EXP(-0.5*(($A253-'Control Room'!$A$13-('Control Room'!$B$13-1)/2)/MAX(0.5,'Control Room'!$B$13/4))^2),1)*IF(AND($A253&gt;='Control Room'!$A$14,$A253&lt;'Control Room'!$A$14+'Control Room'!$B$14,'Process'!BK3=1),1+('Control Room'!$C$14-1)*EXP(-0.5*(($A253-'Control Room'!$A$14-('Control Room'!$B$14-1)/2)/MAX(0.5,'Control Room'!$B$14/4))^2),1)*IF(AND($A253&gt;='Control Room'!$A$15,$A253&lt;'Control Room'!$A$15+'Control Room'!$B$15,'Process'!BK4=1),1+('Control Room'!$C$15-1)*EXP(-0.5*(($A253-'Control Room'!$A$15-('Control Room'!$B$15-1)/2)/MAX(0.5,'Control Room'!$B$15/4))^2),1)*IF(AND($A253&gt;='Control Room'!$A$16,$A253&lt;'Control Room'!$A$16+'Control Room'!$B$16,'Process'!BK5=1),1+('Control Room'!$C$16-1)*EXP(-0.5*(($A253-'Control Room'!$A$16-('Control Room'!$B$16-1)/2)/MAX(0.5,'Control Room'!$B$16/4))^2),1)</x:f>
        <x:v>1</x:v>
      </x:c>
      <x:c r="G253" s="9" t="n">
        <x:f>MOD(H252*16807,2147483647)</x:f>
        <x:v>1826309035</x:v>
      </x:c>
      <x:c r="H253" s="9" t="n">
        <x:f>MOD(G253*16807,2147483647)</x:f>
        <x:v>792184674</x:v>
      </x:c>
      <x:c r="I253" s="17" t="n">
        <x:f>IF('Control Room'!$B$5="Normal",'Control Room'!$B$7+'Control Room'!$D$7*SQRT(-2*LN(MAX(0.000000000001,G253/2147483647)))*COS(2*PI()*H253/2147483647),'Control Room'!$B$8+('Control Room'!$D$8-'Control Room'!$B$8)*G253/2147483647)</x:f>
        <x:v>965.192797569563</x:v>
      </x:c>
      <x:c r="J253" s="17" t="n">
        <x:f>IF('Control Room'!$B$5="Normal",'Control Room'!$B$7,('Control Room'!$B$8+'Control Room'!$D$8)/2)+'Control Room'!$B$9*(J252-IF('Control Room'!$B$5="Normal",'Control Room'!$B$7,('Control Room'!$B$8+'Control Room'!$D$8)/2))+SQRT(1-'Control Room'!$B$9^2)*(I253-IF('Control Room'!$B$5="Normal",'Control Room'!$B$7,('Control Room'!$B$8+'Control Room'!$D$8)/2))</x:f>
        <x:v>1014.2554850371404</x:v>
      </x:c>
      <x:c r="K253" s="17" t="n">
        <x:f>IF(AND($A253&gt;='Control Room'!$A$13,$A253&lt;'Control Room'!$A$13+'Control Room'!$B$13,'Process'!BL2=1),1+('Control Room'!$C$13-1)*EXP(-0.5*(($A253-'Control Room'!$A$13-('Control Room'!$B$13-1)/2)/MAX(0.5,'Control Room'!$B$13/4))^2),1)*IF(AND($A253&gt;='Control Room'!$A$14,$A253&lt;'Control Room'!$A$14+'Control Room'!$B$14,'Process'!BL3=1),1+('Control Room'!$C$14-1)*EXP(-0.5*(($A253-'Control Room'!$A$14-('Control Room'!$B$14-1)/2)/MAX(0.5,'Control Room'!$B$14/4))^2),1)*IF(AND($A253&gt;='Control Room'!$A$15,$A253&lt;'Control Room'!$A$15+'Control Room'!$B$15,'Process'!BL4=1),1+('Control Room'!$C$15-1)*EXP(-0.5*(($A253-'Control Room'!$A$15-('Control Room'!$B$15-1)/2)/MAX(0.5,'Control Room'!$B$15/4))^2),1)*IF(AND($A253&gt;='Control Room'!$A$16,$A253&lt;'Control Room'!$A$16+'Control Room'!$B$16,'Process'!BL5=1),1+('Control Room'!$C$16-1)*EXP(-0.5*(($A253-'Control Room'!$A$16-('Control Room'!$B$16-1)/2)/MAX(0.5,'Control Room'!$B$16/4))^2),1)</x:f>
        <x:v>1</x:v>
      </x:c>
      <x:c r="L253" s="9" t="n">
        <x:f>MOD(M252*16807,2147483647)</x:f>
        <x:v>117761606</x:v>
      </x:c>
      <x:c r="M253" s="9" t="n">
        <x:f>MOD(L253*16807,2147483647)</x:f>
        <x:v>1386873155</x:v>
      </x:c>
      <x:c r="N253" s="17" t="n">
        <x:f>IF('Control Room'!$B$5="Normal",'Control Room'!$B$7+'Control Room'!$D$7*SQRT(-2*LN(MAX(0.000000000001,L253/2147483647)))*COS(2*PI()*M253/2147483647),'Control Room'!$B$8+('Control Room'!$D$8-'Control Room'!$B$8)*L253/2147483647)</x:f>
        <x:v>867.9528264197197</x:v>
      </x:c>
      <x:c r="O253" s="17" t="n">
        <x:f>IF('Control Room'!$B$5="Normal",'Control Room'!$B$7,('Control Room'!$B$8+'Control Room'!$D$8)/2)+'Control Room'!$B$9*(O252-IF('Control Room'!$B$5="Normal",'Control Room'!$B$7,('Control Room'!$B$8+'Control Room'!$D$8)/2))+SQRT(1-'Control Room'!$B$9^2)*(N253-IF('Control Room'!$B$5="Normal",'Control Room'!$B$7,('Control Room'!$B$8+'Control Room'!$D$8)/2))</x:f>
        <x:v>898.4608009451327</x:v>
      </x:c>
      <x:c r="P253" s="17" t="n">
        <x:f>IF(AND($A253&gt;='Control Room'!$A$13,$A253&lt;'Control Room'!$A$13+'Control Room'!$B$13,'Process'!BM2=1),1+('Control Room'!$C$13-1)*EXP(-0.5*(($A253-'Control Room'!$A$13-('Control Room'!$B$13-1)/2)/MAX(0.5,'Control Room'!$B$13/4))^2),1)*IF(AND($A253&gt;='Control Room'!$A$14,$A253&lt;'Control Room'!$A$14+'Control Room'!$B$14,'Process'!BM3=1),1+('Control Room'!$C$14-1)*EXP(-0.5*(($A253-'Control Room'!$A$14-('Control Room'!$B$14-1)/2)/MAX(0.5,'Control Room'!$B$14/4))^2),1)*IF(AND($A253&gt;='Control Room'!$A$15,$A253&lt;'Control Room'!$A$15+'Control Room'!$B$15,'Process'!BM4=1),1+('Control Room'!$C$15-1)*EXP(-0.5*(($A253-'Control Room'!$A$15-('Control Room'!$B$15-1)/2)/MAX(0.5,'Control Room'!$B$15/4))^2),1)*IF(AND($A253&gt;='Control Room'!$A$16,$A253&lt;'Control Room'!$A$16+'Control Room'!$B$16,'Process'!BM5=1),1+('Control Room'!$C$16-1)*EXP(-0.5*(($A253-'Control Room'!$A$16-('Control Room'!$B$16-1)/2)/MAX(0.5,'Control Room'!$B$16/4))^2),1)</x:f>
        <x:v>1</x:v>
      </x:c>
      <x:c r="Q253" s="9" t="n">
        <x:f>MOD(R252*16807,2147483647)</x:f>
        <x:v>556697824</x:v>
      </x:c>
      <x:c r="R253" s="9" t="n">
        <x:f>MOD(Q253*16807,2147483647)</x:f>
        <x:v>1981561636</x:v>
      </x:c>
      <x:c r="S253" s="17" t="n">
        <x:f>IF('Control Room'!$B$5="Normal",'Control Room'!$B$7+'Control Room'!$D$7*SQRT(-2*LN(MAX(0.000000000001,Q253/2147483647)))*COS(2*PI()*R253/2147483647),'Control Room'!$B$8+('Control Room'!$D$8-'Control Room'!$B$8)*Q253/2147483647)</x:f>
        <x:v>1130.7998903083678</x:v>
      </x:c>
      <x:c r="T253" s="17" t="n">
        <x:f>IF('Control Room'!$B$5="Normal",'Control Room'!$B$7,('Control Room'!$B$8+'Control Room'!$D$8)/2)+'Control Room'!$B$9*(T252-IF('Control Room'!$B$5="Normal",'Control Room'!$B$7,('Control Room'!$B$8+'Control Room'!$D$8)/2))+SQRT(1-'Control Room'!$B$9^2)*(S253-IF('Control Room'!$B$5="Normal",'Control Room'!$B$7,('Control Room'!$B$8+'Control Room'!$D$8)/2))</x:f>
        <x:v>1050.3294004331865</x:v>
      </x:c>
      <x:c r="U253" s="17" t="n">
        <x:f>IF(AND($A253&gt;='Control Room'!$A$13,$A253&lt;'Control Room'!$A$13+'Control Room'!$B$13,'Process'!BN2=1),1+('Control Room'!$C$13-1)*EXP(-0.5*(($A253-'Control Room'!$A$13-('Control Room'!$B$13-1)/2)/MAX(0.5,'Control Room'!$B$13/4))^2),1)*IF(AND($A253&gt;='Control Room'!$A$14,$A253&lt;'Control Room'!$A$14+'Control Room'!$B$14,'Process'!BN3=1),1+('Control Room'!$C$14-1)*EXP(-0.5*(($A253-'Control Room'!$A$14-('Control Room'!$B$14-1)/2)/MAX(0.5,'Control Room'!$B$14/4))^2),1)*IF(AND($A253&gt;='Control Room'!$A$15,$A253&lt;'Control Room'!$A$15+'Control Room'!$B$15,'Process'!BN4=1),1+('Control Room'!$C$15-1)*EXP(-0.5*(($A253-'Control Room'!$A$15-('Control Room'!$B$15-1)/2)/MAX(0.5,'Control Room'!$B$15/4))^2),1)*IF(AND($A253&gt;='Control Room'!$A$16,$A253&lt;'Control Room'!$A$16+'Control Room'!$B$16,'Process'!BN5=1),1+('Control Room'!$C$16-1)*EXP(-0.5*(($A253-'Control Room'!$A$16-('Control Room'!$B$16-1)/2)/MAX(0.5,'Control Room'!$B$16/4))^2),1)</x:f>
        <x:v>1</x:v>
      </x:c>
      <x:c r="V253" s="9" t="n">
        <x:f>MOD(W252*16807,2147483647)</x:f>
        <x:v>995634042</x:v>
      </x:c>
      <x:c r="W253" s="9" t="n">
        <x:f>MOD(V253*16807,2147483647)</x:f>
        <x:v>428766470</x:v>
      </x:c>
      <x:c r="X253" s="17" t="n">
        <x:f>IF('Control Room'!$B$5="Normal",'Control Room'!$B$7+'Control Room'!$D$7*SQRT(-2*LN(MAX(0.000000000001,V253/2147483647)))*COS(2*PI()*W253/2147483647),'Control Room'!$B$8+('Control Room'!$D$8-'Control Room'!$B$8)*V253/2147483647)</x:f>
        <x:v>1034.7101103743564</x:v>
      </x:c>
      <x:c r="Y253" s="17" t="n">
        <x:f>IF('Control Room'!$B$5="Normal",'Control Room'!$B$7,('Control Room'!$B$8+'Control Room'!$D$8)/2)+'Control Room'!$B$9*(Y252-IF('Control Room'!$B$5="Normal",'Control Room'!$B$7,('Control Room'!$B$8+'Control Room'!$D$8)/2))+SQRT(1-'Control Room'!$B$9^2)*(X253-IF('Control Room'!$B$5="Normal",'Control Room'!$B$7,('Control Room'!$B$8+'Control Room'!$D$8)/2))</x:f>
        <x:v>948.5120639662408</x:v>
      </x:c>
      <x:c r="Z253" s="17" t="n">
        <x:f>IF(AND($A253&gt;='Control Room'!$A$13,$A253&lt;'Control Room'!$A$13+'Control Room'!$B$13,'Process'!BO2=1),1+('Control Room'!$C$13-1)*EXP(-0.5*(($A253-'Control Room'!$A$13-('Control Room'!$B$13-1)/2)/MAX(0.5,'Control Room'!$B$13/4))^2),1)*IF(AND($A253&gt;='Control Room'!$A$14,$A253&lt;'Control Room'!$A$14+'Control Room'!$B$14,'Process'!BO3=1),1+('Control Room'!$C$14-1)*EXP(-0.5*(($A253-'Control Room'!$A$14-('Control Room'!$B$14-1)/2)/MAX(0.5,'Control Room'!$B$14/4))^2),1)*IF(AND($A253&gt;='Control Room'!$A$15,$A253&lt;'Control Room'!$A$15+'Control Room'!$B$15,'Process'!BO4=1),1+('Control Room'!$C$15-1)*EXP(-0.5*(($A253-'Control Room'!$A$15-('Control Room'!$B$15-1)/2)/MAX(0.5,'Control Room'!$B$15/4))^2),1)*IF(AND($A253&gt;='Control Room'!$A$16,$A253&lt;'Control Room'!$A$16+'Control Room'!$B$16,'Process'!BO5=1),1+('Control Room'!$C$16-1)*EXP(-0.5*(($A253-'Control Room'!$A$16-('Control Room'!$B$16-1)/2)/MAX(0.5,'Control Room'!$B$16/4))^2),1)</x:f>
        <x:v>1</x:v>
      </x:c>
      <x:c r="AA253" s="9" t="n">
        <x:f>MOD(AB252*16807,2147483647)</x:f>
        <x:v>1434570260</x:v>
      </x:c>
      <x:c r="AB253" s="9" t="n">
        <x:f>MOD(AA253*16807,2147483647)</x:f>
        <x:v>1023454951</x:v>
      </x:c>
      <x:c r="AC253" s="17" t="n">
        <x:f>IF('Control Room'!$B$5="Normal",'Control Room'!$B$7+'Control Room'!$D$7*SQRT(-2*LN(MAX(0.000000000001,AA253/2147483647)))*COS(2*PI()*AB253/2147483647),'Control Room'!$B$8+('Control Room'!$D$8-'Control Room'!$B$8)*AA253/2147483647)</x:f>
        <x:v>920.0304595567811</x:v>
      </x:c>
      <x:c r="AD253" s="17" t="n">
        <x:f>IF('Control Room'!$B$5="Normal",'Control Room'!$B$7,('Control Room'!$B$8+'Control Room'!$D$8)/2)+'Control Room'!$B$9*(AD252-IF('Control Room'!$B$5="Normal",'Control Room'!$B$7,('Control Room'!$B$8+'Control Room'!$D$8)/2))+SQRT(1-'Control Room'!$B$9^2)*(AC253-IF('Control Room'!$B$5="Normal",'Control Room'!$B$7,('Control Room'!$B$8+'Control Room'!$D$8)/2))</x:f>
        <x:v>1034.7981957491702</x:v>
      </x:c>
      <x:c r="AE253" s="17" t="n">
        <x:f>IF(AND($A253&gt;='Control Room'!$A$13,$A253&lt;'Control Room'!$A$13+'Control Room'!$B$13,'Process'!BP2=1),1+('Control Room'!$C$13-1)*EXP(-0.5*(($A253-'Control Room'!$A$13-('Control Room'!$B$13-1)/2)/MAX(0.5,'Control Room'!$B$13/4))^2),1)*IF(AND($A253&gt;='Control Room'!$A$14,$A253&lt;'Control Room'!$A$14+'Control Room'!$B$14,'Process'!BP3=1),1+('Control Room'!$C$14-1)*EXP(-0.5*(($A253-'Control Room'!$A$14-('Control Room'!$B$14-1)/2)/MAX(0.5,'Control Room'!$B$14/4))^2),1)*IF(AND($A253&gt;='Control Room'!$A$15,$A253&lt;'Control Room'!$A$15+'Control Room'!$B$15,'Process'!BP4=1),1+('Control Room'!$C$15-1)*EXP(-0.5*(($A253-'Control Room'!$A$15-('Control Room'!$B$15-1)/2)/MAX(0.5,'Control Room'!$B$15/4))^2),1)*IF(AND($A253&gt;='Control Room'!$A$16,$A253&lt;'Control Room'!$A$16+'Control Room'!$B$16,'Process'!BP5=1),1+('Control Room'!$C$16-1)*EXP(-0.5*(($A253-'Control Room'!$A$16-('Control Room'!$B$16-1)/2)/MAX(0.5,'Control Room'!$B$16/4))^2),1)</x:f>
        <x:v>1</x:v>
      </x:c>
      <x:c r="AF253" s="9" t="n">
        <x:f>MOD(AG252*16807,2147483647)</x:f>
        <x:v>1873506478</x:v>
      </x:c>
      <x:c r="AG253" s="9" t="n">
        <x:f>MOD(AF253*16807,2147483647)</x:f>
        <x:v>1618143432</x:v>
      </x:c>
      <x:c r="AH253" s="17" t="n">
        <x:f>IF('Control Room'!$B$5="Normal",'Control Room'!$B$7+'Control Room'!$D$7*SQRT(-2*LN(MAX(0.000000000001,AF253/2147483647)))*COS(2*PI()*AG253/2147483647),'Control Room'!$B$8+('Control Room'!$D$8-'Control Room'!$B$8)*AF253/2147483647)</x:f>
        <x:v>1001.0359765674139</x:v>
      </x:c>
      <x:c r="AI253" s="17" t="n">
        <x:f>IF('Control Room'!$B$5="Normal",'Control Room'!$B$7,('Control Room'!$B$8+'Control Room'!$D$8)/2)+'Control Room'!$B$9*(AI252-IF('Control Room'!$B$5="Normal",'Control Room'!$B$7,('Control Room'!$B$8+'Control Room'!$D$8)/2))+SQRT(1-'Control Room'!$B$9^2)*(AH253-IF('Control Room'!$B$5="Normal",'Control Room'!$B$7,('Control Room'!$B$8+'Control Room'!$D$8)/2))</x:f>
        <x:v>1002.3395198427264</x:v>
      </x:c>
      <x:c r="AJ253" s="17" t="n">
        <x:f>IF(AND($A253&gt;='Control Room'!$A$13,$A253&lt;'Control Room'!$A$13+'Control Room'!$B$13,'Process'!BQ2=1),1+('Control Room'!$C$13-1)*EXP(-0.5*(($A253-'Control Room'!$A$13-('Control Room'!$B$13-1)/2)/MAX(0.5,'Control Room'!$B$13/4))^2),1)*IF(AND($A253&gt;='Control Room'!$A$14,$A253&lt;'Control Room'!$A$14+'Control Room'!$B$14,'Process'!BQ3=1),1+('Control Room'!$C$14-1)*EXP(-0.5*(($A253-'Control Room'!$A$14-('Control Room'!$B$14-1)/2)/MAX(0.5,'Control Room'!$B$14/4))^2),1)*IF(AND($A253&gt;='Control Room'!$A$15,$A253&lt;'Control Room'!$A$15+'Control Room'!$B$15,'Process'!BQ4=1),1+('Control Room'!$C$15-1)*EXP(-0.5*(($A253-'Control Room'!$A$15-('Control Room'!$B$15-1)/2)/MAX(0.5,'Control Room'!$B$15/4))^2),1)*IF(AND($A253&gt;='Control Room'!$A$16,$A253&lt;'Control Room'!$A$16+'Control Room'!$B$16,'Process'!BQ5=1),1+('Control Room'!$C$16-1)*EXP(-0.5*(($A253-'Control Room'!$A$16-('Control Room'!$B$16-1)/2)/MAX(0.5,'Control Room'!$B$16/4))^2),1)</x:f>
        <x:v>1</x:v>
      </x:c>
      <x:c r="AK253" s="9" t="n">
        <x:f>MOD(AL252*16807,2147483647)</x:f>
        <x:v>164959049</x:v>
      </x:c>
      <x:c r="AL253" s="9" t="n">
        <x:f>MOD(AK253*16807,2147483647)</x:f>
        <x:v>65348266</x:v>
      </x:c>
      <x:c r="AM253" s="17" t="n">
        <x:f>IF('Control Room'!$B$5="Normal",'Control Room'!$B$7+'Control Room'!$D$7*SQRT(-2*LN(MAX(0.000000000001,AK253/2147483647)))*COS(2*PI()*AL253/2147483647),'Control Room'!$B$8+('Control Room'!$D$8-'Control Room'!$B$8)*AK253/2147483647)</x:f>
        <x:v>1200.1837425236386</x:v>
      </x:c>
      <x:c r="AN253" s="17" t="n">
        <x:f>IF('Control Room'!$B$5="Normal",'Control Room'!$B$7,('Control Room'!$B$8+'Control Room'!$D$8)/2)+'Control Room'!$B$9*(AN252-IF('Control Room'!$B$5="Normal",'Control Room'!$B$7,('Control Room'!$B$8+'Control Room'!$D$8)/2))+SQRT(1-'Control Room'!$B$9^2)*(AM253-IF('Control Room'!$B$5="Normal",'Control Room'!$B$7,('Control Room'!$B$8+'Control Room'!$D$8)/2))</x:f>
        <x:v>1063.7935836858946</x:v>
      </x:c>
      <x:c r="AO253" s="17" t="n">
        <x:f>IF(AND($A253&gt;='Control Room'!$A$13,$A253&lt;'Control Room'!$A$13+'Control Room'!$B$13,'Process'!BR2=1),1+('Control Room'!$C$13-1)*EXP(-0.5*(($A253-'Control Room'!$A$13-('Control Room'!$B$13-1)/2)/MAX(0.5,'Control Room'!$B$13/4))^2),1)*IF(AND($A253&gt;='Control Room'!$A$14,$A253&lt;'Control Room'!$A$14+'Control Room'!$B$14,'Process'!BR3=1),1+('Control Room'!$C$14-1)*EXP(-0.5*(($A253-'Control Room'!$A$14-('Control Room'!$B$14-1)/2)/MAX(0.5,'Control Room'!$B$14/4))^2),1)*IF(AND($A253&gt;='Control Room'!$A$15,$A253&lt;'Control Room'!$A$15+'Control Room'!$B$15,'Process'!BR4=1),1+('Control Room'!$C$15-1)*EXP(-0.5*(($A253-'Control Room'!$A$15-('Control Room'!$B$15-1)/2)/MAX(0.5,'Control Room'!$B$15/4))^2),1)*IF(AND($A253&gt;='Control Room'!$A$16,$A253&lt;'Control Room'!$A$16+'Control Room'!$B$16,'Process'!BR5=1),1+('Control Room'!$C$16-1)*EXP(-0.5*(($A253-'Control Room'!$A$16-('Control Room'!$B$16-1)/2)/MAX(0.5,'Control Room'!$B$16/4))^2),1)</x:f>
        <x:v>1</x:v>
      </x:c>
      <x:c r="AP253" s="9" t="n">
        <x:f>MOD(AQ252*16807,2147483647)</x:f>
        <x:v>603895267</x:v>
      </x:c>
      <x:c r="AQ253" s="9" t="n">
        <x:f>MOD(AP253*16807,2147483647)</x:f>
        <x:v>660036747</x:v>
      </x:c>
      <x:c r="AR253" s="17" t="n">
        <x:f>IF('Control Room'!$B$5="Normal",'Control Room'!$B$7+'Control Room'!$D$7*SQRT(-2*LN(MAX(0.000000000001,AP253/2147483647)))*COS(2*PI()*AQ253/2147483647),'Control Room'!$B$8+('Control Room'!$D$8-'Control Room'!$B$8)*AP253/2147483647)</x:f>
        <x:v>949.449183482983</x:v>
      </x:c>
      <x:c r="AS253" s="17" t="n">
        <x:f>IF('Control Room'!$B$5="Normal",'Control Room'!$B$7,('Control Room'!$B$8+'Control Room'!$D$8)/2)+'Control Room'!$B$9*(AS252-IF('Control Room'!$B$5="Normal",'Control Room'!$B$7,('Control Room'!$B$8+'Control Room'!$D$8)/2))+SQRT(1-'Control Room'!$B$9^2)*(AR253-IF('Control Room'!$B$5="Normal",'Control Room'!$B$7,('Control Room'!$B$8+'Control Room'!$D$8)/2))</x:f>
        <x:v>968.253468280382</x:v>
      </x:c>
      <x:c r="AT253" s="17" t="n">
        <x:f>IF(AND($A253&gt;='Control Room'!$A$13,$A253&lt;'Control Room'!$A$13+'Control Room'!$B$13,'Process'!BS2=1),1+('Control Room'!$C$13-1)*EXP(-0.5*(($A253-'Control Room'!$A$13-('Control Room'!$B$13-1)/2)/MAX(0.5,'Control Room'!$B$13/4))^2),1)*IF(AND($A253&gt;='Control Room'!$A$14,$A253&lt;'Control Room'!$A$14+'Control Room'!$B$14,'Process'!BS3=1),1+('Control Room'!$C$14-1)*EXP(-0.5*(($A253-'Control Room'!$A$14-('Control Room'!$B$14-1)/2)/MAX(0.5,'Control Room'!$B$14/4))^2),1)*IF(AND($A253&gt;='Control Room'!$A$15,$A253&lt;'Control Room'!$A$15+'Control Room'!$B$15,'Process'!BS4=1),1+('Control Room'!$C$15-1)*EXP(-0.5*(($A253-'Control Room'!$A$15-('Control Room'!$B$15-1)/2)/MAX(0.5,'Control Room'!$B$15/4))^2),1)*IF(AND($A253&gt;='Control Room'!$A$16,$A253&lt;'Control Room'!$A$16+'Control Room'!$B$16,'Process'!BS5=1),1+('Control Room'!$C$16-1)*EXP(-0.5*(($A253-'Control Room'!$A$16-('Control Room'!$B$16-1)/2)/MAX(0.5,'Control Room'!$B$16/4))^2),1)</x:f>
        <x:v>1</x:v>
      </x:c>
      <x:c r="AU253" s="9" t="n">
        <x:f>MOD(AV252*16807,2147483647)</x:f>
        <x:v>1042831485</x:v>
      </x:c>
      <x:c r="AV253" s="9" t="n">
        <x:f>MOD(AU253*16807,2147483647)</x:f>
        <x:v>1254725228</x:v>
      </x:c>
      <x:c r="AW253" s="17" t="n">
        <x:f>IF('Control Room'!$B$5="Normal",'Control Room'!$B$7+'Control Room'!$D$7*SQRT(-2*LN(MAX(0.000000000001,AU253/2147483647)))*COS(2*PI()*AV253/2147483647),'Control Room'!$B$8+('Control Room'!$D$8-'Control Room'!$B$8)*AU253/2147483647)</x:f>
        <x:v>906.6386143172323</x:v>
      </x:c>
      <x:c r="AX253" s="17" t="n">
        <x:f>IF('Control Room'!$B$5="Normal",'Control Room'!$B$7,('Control Room'!$B$8+'Control Room'!$D$8)/2)+'Control Room'!$B$9*(AX252-IF('Control Room'!$B$5="Normal",'Control Room'!$B$7,('Control Room'!$B$8+'Control Room'!$D$8)/2))+SQRT(1-'Control Room'!$B$9^2)*(AW253-IF('Control Room'!$B$5="Normal",'Control Room'!$B$7,('Control Room'!$B$8+'Control Room'!$D$8)/2))</x:f>
        <x:v>950.1455342906336</x:v>
      </x:c>
      <x:c r="AY253" s="17" t="n">
        <x:f>IF(AND($A253&gt;='Control Room'!$A$13,$A253&lt;'Control Room'!$A$13+'Control Room'!$B$13,'Process'!BT2=1),1+('Control Room'!$C$13-1)*EXP(-0.5*(($A253-'Control Room'!$A$13-('Control Room'!$B$13-1)/2)/MAX(0.5,'Control Room'!$B$13/4))^2),1)*IF(AND($A253&gt;='Control Room'!$A$14,$A253&lt;'Control Room'!$A$14+'Control Room'!$B$14,'Process'!BT3=1),1+('Control Room'!$C$14-1)*EXP(-0.5*(($A253-'Control Room'!$A$14-('Control Room'!$B$14-1)/2)/MAX(0.5,'Control Room'!$B$14/4))^2),1)*IF(AND($A253&gt;='Control Room'!$A$15,$A253&lt;'Control Room'!$A$15+'Control Room'!$B$15,'Process'!BT4=1),1+('Control Room'!$C$15-1)*EXP(-0.5*(($A253-'Control Room'!$A$15-('Control Room'!$B$15-1)/2)/MAX(0.5,'Control Room'!$B$15/4))^2),1)*IF(AND($A253&gt;='Control Room'!$A$16,$A253&lt;'Control Room'!$A$16+'Control Room'!$B$16,'Process'!BT5=1),1+('Control Room'!$C$16-1)*EXP(-0.5*(($A253-'Control Room'!$A$16-('Control Room'!$B$16-1)/2)/MAX(0.5,'Control Room'!$B$16/4))^2),1)</x:f>
        <x:v>1</x:v>
      </x:c>
      <x:c r="AZ253" s="9" t="n">
        <x:f>MOD(BA252*16807,2147483647)</x:f>
        <x:v>1481767703</x:v>
      </x:c>
      <x:c r="BA253" s="9" t="n">
        <x:f>MOD(AZ253*16807,2147483647)</x:f>
        <x:v>1849413709</x:v>
      </x:c>
      <x:c r="BB253" s="17" t="n">
        <x:f>IF('Control Room'!$B$5="Normal",'Control Room'!$B$7+'Control Room'!$D$7*SQRT(-2*LN(MAX(0.000000000001,AZ253/2147483647)))*COS(2*PI()*BA253/2147483647),'Control Room'!$B$8+('Control Room'!$D$8-'Control Room'!$B$8)*AZ253/2147483647)</x:f>
        <x:v>1049.8698147824207</x:v>
      </x:c>
      <x:c r="BC253" s="17" t="n">
        <x:f>IF('Control Room'!$B$5="Normal",'Control Room'!$B$7,('Control Room'!$B$8+'Control Room'!$D$8)/2)+'Control Room'!$B$9*(BC252-IF('Control Room'!$B$5="Normal",'Control Room'!$B$7,('Control Room'!$B$8+'Control Room'!$D$8)/2))+SQRT(1-'Control Room'!$B$9^2)*(BB253-IF('Control Room'!$B$5="Normal",'Control Room'!$B$7,('Control Room'!$B$8+'Control Room'!$D$8)/2))</x:f>
        <x:v>1000.2946479232442</x:v>
      </x:c>
      <x:c r="BD253" s="17" t="n">
        <x:f>IF(AND($A253&gt;='Control Room'!$A$13,$A253&lt;'Control Room'!$A$13+'Control Room'!$B$13,'Process'!BU2=1),1+('Control Room'!$C$13-1)*EXP(-0.5*(($A253-'Control Room'!$A$13-('Control Room'!$B$13-1)/2)/MAX(0.5,'Control Room'!$B$13/4))^2),1)*IF(AND($A253&gt;='Control Room'!$A$14,$A253&lt;'Control Room'!$A$14+'Control Room'!$B$14,'Process'!BU3=1),1+('Control Room'!$C$14-1)*EXP(-0.5*(($A253-'Control Room'!$A$14-('Control Room'!$B$14-1)/2)/MAX(0.5,'Control Room'!$B$14/4))^2),1)*IF(AND($A253&gt;='Control Room'!$A$15,$A253&lt;'Control Room'!$A$15+'Control Room'!$B$15,'Process'!BU4=1),1+('Control Room'!$C$15-1)*EXP(-0.5*(($A253-'Control Room'!$A$15-('Control Room'!$B$15-1)/2)/MAX(0.5,'Control Room'!$B$15/4))^2),1)*IF(AND($A253&gt;='Control Room'!$A$16,$A253&lt;'Control Room'!$A$16+'Control Room'!$B$16,'Process'!BU5=1),1+('Control Room'!$C$16-1)*EXP(-0.5*(($A253-'Control Room'!$A$16-('Control Room'!$B$16-1)/2)/MAX(0.5,'Control Room'!$B$16/4))^2),1)</x:f>
        <x:v>1</x:v>
      </x:c>
      <x:c r="BE253" s="9" t="n">
        <x:f>MOD(BF252*16807,2147483647)</x:f>
        <x:v>1920703921</x:v>
      </x:c>
      <x:c r="BF253" s="9" t="n">
        <x:f>MOD(BE253*16807,2147483647)</x:f>
        <x:v>296618543</x:v>
      </x:c>
      <x:c r="BG253" s="17" t="n">
        <x:f>IF('Control Room'!$B$5="Normal",'Control Room'!$B$7+'Control Room'!$D$7*SQRT(-2*LN(MAX(0.000000000001,BE253/2147483647)))*COS(2*PI()*BF253/2147483647),'Control Room'!$B$8+('Control Room'!$D$8-'Control Room'!$B$8)*BE253/2147483647)</x:f>
        <x:v>1027.4879858795894</x:v>
      </x:c>
      <x:c r="BH253" s="17" t="n">
        <x:f>IF('Control Room'!$B$5="Normal",'Control Room'!$B$7,('Control Room'!$B$8+'Control Room'!$D$8)/2)+'Control Room'!$B$9*(BH252-IF('Control Room'!$B$5="Normal",'Control Room'!$B$7,('Control Room'!$B$8+'Control Room'!$D$8)/2))+SQRT(1-'Control Room'!$B$9^2)*(BG253-IF('Control Room'!$B$5="Normal",'Control Room'!$B$7,('Control Room'!$B$8+'Control Room'!$D$8)/2))</x:f>
        <x:v>955.4553976969065</x:v>
      </x:c>
      <x:c r="BI253" s="17" t="n">
        <x:f>IF(AND($A253&gt;='Control Room'!$A$13,$A253&lt;'Control Room'!$A$13+'Control Room'!$B$13,'Process'!BV2=1),1+('Control Room'!$C$13-1)*EXP(-0.5*(($A253-'Control Room'!$A$13-('Control Room'!$B$13-1)/2)/MAX(0.5,'Control Room'!$B$13/4))^2),1)*IF(AND($A253&gt;='Control Room'!$A$14,$A253&lt;'Control Room'!$A$14+'Control Room'!$B$14,'Process'!BV3=1),1+('Control Room'!$C$14-1)*EXP(-0.5*(($A253-'Control Room'!$A$14-('Control Room'!$B$14-1)/2)/MAX(0.5,'Control Room'!$B$14/4))^2),1)*IF(AND($A253&gt;='Control Room'!$A$15,$A253&lt;'Control Room'!$A$15+'Control Room'!$B$15,'Process'!BV4=1),1+('Control Room'!$C$15-1)*EXP(-0.5*(($A253-'Control Room'!$A$15-('Control Room'!$B$15-1)/2)/MAX(0.5,'Control Room'!$B$15/4))^2),1)*IF(AND($A253&gt;='Control Room'!$A$16,$A253&lt;'Control Room'!$A$16+'Control Room'!$B$16,'Process'!BV5=1),1+('Control Room'!$C$16-1)*EXP(-0.5*(($A253-'Control Room'!$A$16-('Control Room'!$B$16-1)/2)/MAX(0.5,'Control Room'!$B$16/4))^2),1)</x:f>
        <x:v>1</x:v>
      </x:c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Z253" t="str">
        <x:f>IF('Data'!A253="","",TEXT('Data'!A253,"mm-dd"))</x:f>
      </x:c>
    </x:row>
    <x:row r="254" ht="21" customHeight="1">
      <x:c r="A254" s="15" t="n">
        <x:f>'Control Room'!$B$1+252</x:f>
        <x:v>73243</x:v>
      </x:c>
      <x:c r="B254" s="9" t="n">
        <x:f>MOD(C253*16807,2147483647)</x:f>
        <x:v>1456281136</x:v>
      </x:c>
      <x:c r="C254" s="9" t="n">
        <x:f>MOD(B254*16807,2147483647)</x:f>
        <x:v>845927893</x:v>
      </x:c>
      <x:c r="D254" s="17" t="n">
        <x:f>IF('Control Room'!$B$5="Normal",'Control Room'!$B$7+'Control Room'!$D$7*SQRT(-2*LN(MAX(0.000000000001,B254/2147483647)))*COS(2*PI()*C254/2147483647),'Control Room'!$B$8+('Control Room'!$D$8-'Control Room'!$B$8)*B254/2147483647)</x:f>
        <x:v>937.6545849411236</x:v>
      </x:c>
      <x:c r="E254" s="17" t="n">
        <x:f>IF('Control Room'!$B$5="Normal",'Control Room'!$B$7,('Control Room'!$B$8+'Control Room'!$D$8)/2)+'Control Room'!$B$9*(E253-IF('Control Room'!$B$5="Normal",'Control Room'!$B$7,('Control Room'!$B$8+'Control Room'!$D$8)/2))+SQRT(1-'Control Room'!$B$9^2)*(D254-IF('Control Room'!$B$5="Normal",'Control Room'!$B$7,('Control Room'!$B$8+'Control Room'!$D$8)/2))</x:f>
        <x:v>1026.351206734896</x:v>
      </x:c>
      <x:c r="F254" s="17" t="n">
        <x:f>IF(AND($A254&gt;='Control Room'!$A$13,$A254&lt;'Control Room'!$A$13+'Control Room'!$B$13,'Process'!BK2=1),1+('Control Room'!$C$13-1)*EXP(-0.5*(($A254-'Control Room'!$A$13-('Control Room'!$B$13-1)/2)/MAX(0.5,'Control Room'!$B$13/4))^2),1)*IF(AND($A254&gt;='Control Room'!$A$14,$A254&lt;'Control Room'!$A$14+'Control Room'!$B$14,'Process'!BK3=1),1+('Control Room'!$C$14-1)*EXP(-0.5*(($A254-'Control Room'!$A$14-('Control Room'!$B$14-1)/2)/MAX(0.5,'Control Room'!$B$14/4))^2),1)*IF(AND($A254&gt;='Control Room'!$A$15,$A254&lt;'Control Room'!$A$15+'Control Room'!$B$15,'Process'!BK4=1),1+('Control Room'!$C$15-1)*EXP(-0.5*(($A254-'Control Room'!$A$15-('Control Room'!$B$15-1)/2)/MAX(0.5,'Control Room'!$B$15/4))^2),1)*IF(AND($A254&gt;='Control Room'!$A$16,$A254&lt;'Control Room'!$A$16+'Control Room'!$B$16,'Process'!BK5=1),1+('Control Room'!$C$16-1)*EXP(-0.5*(($A254-'Control Room'!$A$16-('Control Room'!$B$16-1)/2)/MAX(0.5,'Control Room'!$B$16/4))^2),1)</x:f>
        <x:v>1</x:v>
      </x:c>
      <x:c r="G254" s="9" t="n">
        <x:f>MOD(H253*16807,2147483647)</x:f>
        <x:v>1996688165</x:v>
      </x:c>
      <x:c r="H254" s="9" t="n">
        <x:f>MOD(G254*16807,2147483647)</x:f>
        <x:v>1758521133</x:v>
      </x:c>
      <x:c r="I254" s="17" t="n">
        <x:f>IF('Control Room'!$B$5="Normal",'Control Room'!$B$7+'Control Room'!$D$7*SQRT(-2*LN(MAX(0.000000000001,G254/2147483647)))*COS(2*PI()*H254/2147483647),'Control Room'!$B$8+('Control Room'!$D$8-'Control Room'!$B$8)*G254/2147483647)</x:f>
        <x:v>1014.4027452593158</x:v>
      </x:c>
      <x:c r="J254" s="17" t="n">
        <x:f>IF('Control Room'!$B$5="Normal",'Control Room'!$B$7,('Control Room'!$B$8+'Control Room'!$D$8)/2)+'Control Room'!$B$9*(J253-IF('Control Room'!$B$5="Normal",'Control Room'!$B$7,('Control Room'!$B$8+'Control Room'!$D$8)/2))+SQRT(1-'Control Room'!$B$9^2)*(I254-IF('Control Room'!$B$5="Normal",'Control Room'!$B$7,('Control Room'!$B$8+'Control Room'!$D$8)/2))</x:f>
        <x:v>1020.132221255975</x:v>
      </x:c>
      <x:c r="K254" s="17" t="n">
        <x:f>IF(AND($A254&gt;='Control Room'!$A$13,$A254&lt;'Control Room'!$A$13+'Control Room'!$B$13,'Process'!BL2=1),1+('Control Room'!$C$13-1)*EXP(-0.5*(($A254-'Control Room'!$A$13-('Control Room'!$B$13-1)/2)/MAX(0.5,'Control Room'!$B$13/4))^2),1)*IF(AND($A254&gt;='Control Room'!$A$14,$A254&lt;'Control Room'!$A$14+'Control Room'!$B$14,'Process'!BL3=1),1+('Control Room'!$C$14-1)*EXP(-0.5*(($A254-'Control Room'!$A$14-('Control Room'!$B$14-1)/2)/MAX(0.5,'Control Room'!$B$14/4))^2),1)*IF(AND($A254&gt;='Control Room'!$A$15,$A254&lt;'Control Room'!$A$15+'Control Room'!$B$15,'Process'!BL4=1),1+('Control Room'!$C$15-1)*EXP(-0.5*(($A254-'Control Room'!$A$15-('Control Room'!$B$15-1)/2)/MAX(0.5,'Control Room'!$B$15/4))^2),1)*IF(AND($A254&gt;='Control Room'!$A$16,$A254&lt;'Control Room'!$A$16+'Control Room'!$B$16,'Process'!BL5=1),1+('Control Room'!$C$16-1)*EXP(-0.5*(($A254-'Control Room'!$A$16-('Control Room'!$B$16-1)/2)/MAX(0.5,'Control Room'!$B$16/4))^2),1)</x:f>
        <x:v>1</x:v>
      </x:c>
      <x:c r="L254" s="9" t="n">
        <x:f>MOD(M253*16807,2147483647)</x:f>
        <x:v>389611547</x:v>
      </x:c>
      <x:c r="M254" s="9" t="n">
        <x:f>MOD(L254*16807,2147483647)</x:f>
        <x:v>523630726</x:v>
      </x:c>
      <x:c r="N254" s="17" t="n">
        <x:f>IF('Control Room'!$B$5="Normal",'Control Room'!$B$7+'Control Room'!$D$7*SQRT(-2*LN(MAX(0.000000000001,L254/2147483647)))*COS(2*PI()*M254/2147483647),'Control Room'!$B$8+('Control Room'!$D$8-'Control Room'!$B$8)*L254/2147483647)</x:f>
        <x:v>1006.4401685226206</x:v>
      </x:c>
      <x:c r="O254" s="17" t="n">
        <x:f>IF('Control Room'!$B$5="Normal",'Control Room'!$B$7,('Control Room'!$B$8+'Control Room'!$D$8)/2)+'Control Room'!$B$9*(O253-IF('Control Room'!$B$5="Normal",'Control Room'!$B$7,('Control Room'!$B$8+'Control Room'!$D$8)/2))+SQRT(1-'Control Room'!$B$9^2)*(N254-IF('Control Room'!$B$5="Normal",'Control Room'!$B$7,('Control Room'!$B$8+'Control Room'!$D$8)/2))</x:f>
        <x:v>924.829550264636</x:v>
      </x:c>
      <x:c r="P254" s="17" t="n">
        <x:f>IF(AND($A254&gt;='Control Room'!$A$13,$A254&lt;'Control Room'!$A$13+'Control Room'!$B$13,'Process'!BM2=1),1+('Control Room'!$C$13-1)*EXP(-0.5*(($A254-'Control Room'!$A$13-('Control Room'!$B$13-1)/2)/MAX(0.5,'Control Room'!$B$13/4))^2),1)*IF(AND($A254&gt;='Control Room'!$A$14,$A254&lt;'Control Room'!$A$14+'Control Room'!$B$14,'Process'!BM3=1),1+('Control Room'!$C$14-1)*EXP(-0.5*(($A254-'Control Room'!$A$14-('Control Room'!$B$14-1)/2)/MAX(0.5,'Control Room'!$B$14/4))^2),1)*IF(AND($A254&gt;='Control Room'!$A$15,$A254&lt;'Control Room'!$A$15+'Control Room'!$B$15,'Process'!BM4=1),1+('Control Room'!$C$15-1)*EXP(-0.5*(($A254-'Control Room'!$A$15-('Control Room'!$B$15-1)/2)/MAX(0.5,'Control Room'!$B$15/4))^2),1)*IF(AND($A254&gt;='Control Room'!$A$16,$A254&lt;'Control Room'!$A$16+'Control Room'!$B$16,'Process'!BM5=1),1+('Control Room'!$C$16-1)*EXP(-0.5*(($A254-'Control Room'!$A$16-('Control Room'!$B$16-1)/2)/MAX(0.5,'Control Room'!$B$16/4))^2),1)</x:f>
        <x:v>1</x:v>
      </x:c>
      <x:c r="Q254" s="9" t="n">
        <x:f>MOD(R253*16807,2147483647)</x:f>
        <x:v>930018576</x:v>
      </x:c>
      <x:c r="R254" s="9" t="n">
        <x:f>MOD(Q254*16807,2147483647)</x:f>
        <x:v>1436223966</x:v>
      </x:c>
      <x:c r="S254" s="17" t="n">
        <x:f>IF('Control Room'!$B$5="Normal",'Control Room'!$B$7+'Control Room'!$D$7*SQRT(-2*LN(MAX(0.000000000001,Q254/2147483647)))*COS(2*PI()*R254/2147483647),'Control Room'!$B$8+('Control Room'!$D$8-'Control Room'!$B$8)*Q254/2147483647)</x:f>
        <x:v>943.1357878101801</x:v>
      </x:c>
      <x:c r="T254" s="17" t="n">
        <x:f>IF('Control Room'!$B$5="Normal",'Control Room'!$B$7,('Control Room'!$B$8+'Control Room'!$D$8)/2)+'Control Room'!$B$9*(T253-IF('Control Room'!$B$5="Normal",'Control Room'!$B$7,('Control Room'!$B$8+'Control Room'!$D$8)/2))+SQRT(1-'Control Room'!$B$9^2)*(S254-IF('Control Room'!$B$5="Normal",'Control Room'!$B$7,('Control Room'!$B$8+'Control Room'!$D$8)/2))</x:f>
        <x:v>1003.6724732762023</x:v>
      </x:c>
      <x:c r="U254" s="17" t="n">
        <x:f>IF(AND($A254&gt;='Control Room'!$A$13,$A254&lt;'Control Room'!$A$13+'Control Room'!$B$13,'Process'!BN2=1),1+('Control Room'!$C$13-1)*EXP(-0.5*(($A254-'Control Room'!$A$13-('Control Room'!$B$13-1)/2)/MAX(0.5,'Control Room'!$B$13/4))^2),1)*IF(AND($A254&gt;='Control Room'!$A$14,$A254&lt;'Control Room'!$A$14+'Control Room'!$B$14,'Process'!BN3=1),1+('Control Room'!$C$14-1)*EXP(-0.5*(($A254-'Control Room'!$A$14-('Control Room'!$B$14-1)/2)/MAX(0.5,'Control Room'!$B$14/4))^2),1)*IF(AND($A254&gt;='Control Room'!$A$15,$A254&lt;'Control Room'!$A$15+'Control Room'!$B$15,'Process'!BN4=1),1+('Control Room'!$C$15-1)*EXP(-0.5*(($A254-'Control Room'!$A$15-('Control Room'!$B$15-1)/2)/MAX(0.5,'Control Room'!$B$15/4))^2),1)*IF(AND($A254&gt;='Control Room'!$A$16,$A254&lt;'Control Room'!$A$16+'Control Room'!$B$16,'Process'!BN5=1),1+('Control Room'!$C$16-1)*EXP(-0.5*(($A254-'Control Room'!$A$16-('Control Room'!$B$16-1)/2)/MAX(0.5,'Control Room'!$B$16/4))^2),1)</x:f>
        <x:v>1</x:v>
      </x:c>
      <x:c r="V254" s="9" t="n">
        <x:f>MOD(W253*16807,2147483647)</x:f>
        <x:v>1470425605</x:v>
      </x:c>
      <x:c r="W254" s="9" t="n">
        <x:f>MOD(V254*16807,2147483647)</x:f>
        <x:v>201333559</x:v>
      </x:c>
      <x:c r="X254" s="17" t="n">
        <x:f>IF('Control Room'!$B$5="Normal",'Control Room'!$B$7+'Control Room'!$D$7*SQRT(-2*LN(MAX(0.000000000001,V254/2147483647)))*COS(2*PI()*W254/2147483647),'Control Room'!$B$8+('Control Room'!$D$8-'Control Room'!$B$8)*V254/2147483647)</x:f>
        <x:v>1065.1285419014707</x:v>
      </x:c>
      <x:c r="Y254" s="17" t="n">
        <x:f>IF('Control Room'!$B$5="Normal",'Control Room'!$B$7,('Control Room'!$B$8+'Control Room'!$D$8)/2)+'Control Room'!$B$9*(Y253-IF('Control Room'!$B$5="Normal",'Control Room'!$B$7,('Control Room'!$B$8+'Control Room'!$D$8)/2))+SQRT(1-'Control Room'!$B$9^2)*(X254-IF('Control Room'!$B$5="Normal",'Control Room'!$B$7,('Control Room'!$B$8+'Control Room'!$D$8)/2))</x:f>
        <x:v>1000.5955171849055</x:v>
      </x:c>
      <x:c r="Z254" s="17" t="n">
        <x:f>IF(AND($A254&gt;='Control Room'!$A$13,$A254&lt;'Control Room'!$A$13+'Control Room'!$B$13,'Process'!BO2=1),1+('Control Room'!$C$13-1)*EXP(-0.5*(($A254-'Control Room'!$A$13-('Control Room'!$B$13-1)/2)/MAX(0.5,'Control Room'!$B$13/4))^2),1)*IF(AND($A254&gt;='Control Room'!$A$14,$A254&lt;'Control Room'!$A$14+'Control Room'!$B$14,'Process'!BO3=1),1+('Control Room'!$C$14-1)*EXP(-0.5*(($A254-'Control Room'!$A$14-('Control Room'!$B$14-1)/2)/MAX(0.5,'Control Room'!$B$14/4))^2),1)*IF(AND($A254&gt;='Control Room'!$A$15,$A254&lt;'Control Room'!$A$15+'Control Room'!$B$15,'Process'!BO4=1),1+('Control Room'!$C$15-1)*EXP(-0.5*(($A254-'Control Room'!$A$15-('Control Room'!$B$15-1)/2)/MAX(0.5,'Control Room'!$B$15/4))^2),1)*IF(AND($A254&gt;='Control Room'!$A$16,$A254&lt;'Control Room'!$A$16+'Control Room'!$B$16,'Process'!BO5=1),1+('Control Room'!$C$16-1)*EXP(-0.5*(($A254-'Control Room'!$A$16-('Control Room'!$B$16-1)/2)/MAX(0.5,'Control Room'!$B$16/4))^2),1)</x:f>
        <x:v>1</x:v>
      </x:c>
      <x:c r="AA254" s="9" t="n">
        <x:f>MOD(AB253*16807,2147483647)</x:f>
        <x:v>2010832634</x:v>
      </x:c>
      <x:c r="AB254" s="9" t="n">
        <x:f>MOD(AA254*16807,2147483647)</x:f>
        <x:v>1113926799</x:v>
      </x:c>
      <x:c r="AC254" s="17" t="n">
        <x:f>IF('Control Room'!$B$5="Normal",'Control Room'!$B$7+'Control Room'!$D$7*SQRT(-2*LN(MAX(0.000000000001,AA254/2147483647)))*COS(2*PI()*AB254/2147483647),'Control Room'!$B$8+('Control Room'!$D$8-'Control Room'!$B$8)*AA254/2147483647)</x:f>
        <x:v>967.5892086021595</x:v>
      </x:c>
      <x:c r="AD254" s="17" t="n">
        <x:f>IF('Control Room'!$B$5="Normal",'Control Room'!$B$7,('Control Room'!$B$8+'Control Room'!$D$8)/2)+'Control Room'!$B$9*(AD253-IF('Control Room'!$B$5="Normal",'Control Room'!$B$7,('Control Room'!$B$8+'Control Room'!$D$8)/2))+SQRT(1-'Control Room'!$B$9^2)*(AC254-IF('Control Room'!$B$5="Normal",'Control Room'!$B$7,('Control Room'!$B$8+'Control Room'!$D$8)/2))</x:f>
        <x:v>1006.8605833987361</x:v>
      </x:c>
      <x:c r="AE254" s="17" t="n">
        <x:f>IF(AND($A254&gt;='Control Room'!$A$13,$A254&lt;'Control Room'!$A$13+'Control Room'!$B$13,'Process'!BP2=1),1+('Control Room'!$C$13-1)*EXP(-0.5*(($A254-'Control Room'!$A$13-('Control Room'!$B$13-1)/2)/MAX(0.5,'Control Room'!$B$13/4))^2),1)*IF(AND($A254&gt;='Control Room'!$A$14,$A254&lt;'Control Room'!$A$14+'Control Room'!$B$14,'Process'!BP3=1),1+('Control Room'!$C$14-1)*EXP(-0.5*(($A254-'Control Room'!$A$14-('Control Room'!$B$14-1)/2)/MAX(0.5,'Control Room'!$B$14/4))^2),1)*IF(AND($A254&gt;='Control Room'!$A$15,$A254&lt;'Control Room'!$A$15+'Control Room'!$B$15,'Process'!BP4=1),1+('Control Room'!$C$15-1)*EXP(-0.5*(($A254-'Control Room'!$A$15-('Control Room'!$B$15-1)/2)/MAX(0.5,'Control Room'!$B$15/4))^2),1)*IF(AND($A254&gt;='Control Room'!$A$16,$A254&lt;'Control Room'!$A$16+'Control Room'!$B$16,'Process'!BP5=1),1+('Control Room'!$C$16-1)*EXP(-0.5*(($A254-'Control Room'!$A$16-('Control Room'!$B$16-1)/2)/MAX(0.5,'Control Room'!$B$16/4))^2),1)</x:f>
        <x:v>1</x:v>
      </x:c>
      <x:c r="AF254" s="9" t="n">
        <x:f>MOD(AG253*16807,2147483647)</x:f>
        <x:v>403756016</x:v>
      </x:c>
      <x:c r="AG254" s="9" t="n">
        <x:f>MOD(AF254*16807,2147483647)</x:f>
        <x:v>2026520039</x:v>
      </x:c>
      <x:c r="AH254" s="17" t="n">
        <x:f>IF('Control Room'!$B$5="Normal",'Control Room'!$B$7+'Control Room'!$D$7*SQRT(-2*LN(MAX(0.000000000001,AF254/2147483647)))*COS(2*PI()*AG254/2147483647),'Control Room'!$B$8+('Control Room'!$D$8-'Control Room'!$B$8)*AF254/2147483647)</x:f>
        <x:v>1154.344034804667</x:v>
      </x:c>
      <x:c r="AI254" s="17" t="n">
        <x:f>IF('Control Room'!$B$5="Normal",'Control Room'!$B$7,('Control Room'!$B$8+'Control Room'!$D$8)/2)+'Control Room'!$B$9*(AI253-IF('Control Room'!$B$5="Normal",'Control Room'!$B$7,('Control Room'!$B$8+'Control Room'!$D$8)/2))+SQRT(1-'Control Room'!$B$9^2)*(AH254-IF('Control Room'!$B$5="Normal",'Control Room'!$B$7,('Control Room'!$B$8+'Control Room'!$D$8)/2))</x:f>
        <x:v>1098.4101605486692</x:v>
      </x:c>
      <x:c r="AJ254" s="17" t="n">
        <x:f>IF(AND($A254&gt;='Control Room'!$A$13,$A254&lt;'Control Room'!$A$13+'Control Room'!$B$13,'Process'!BQ2=1),1+('Control Room'!$C$13-1)*EXP(-0.5*(($A254-'Control Room'!$A$13-('Control Room'!$B$13-1)/2)/MAX(0.5,'Control Room'!$B$13/4))^2),1)*IF(AND($A254&gt;='Control Room'!$A$14,$A254&lt;'Control Room'!$A$14+'Control Room'!$B$14,'Process'!BQ3=1),1+('Control Room'!$C$14-1)*EXP(-0.5*(($A254-'Control Room'!$A$14-('Control Room'!$B$14-1)/2)/MAX(0.5,'Control Room'!$B$14/4))^2),1)*IF(AND($A254&gt;='Control Room'!$A$15,$A254&lt;'Control Room'!$A$15+'Control Room'!$B$15,'Process'!BQ4=1),1+('Control Room'!$C$15-1)*EXP(-0.5*(($A254-'Control Room'!$A$15-('Control Room'!$B$15-1)/2)/MAX(0.5,'Control Room'!$B$15/4))^2),1)*IF(AND($A254&gt;='Control Room'!$A$16,$A254&lt;'Control Room'!$A$16+'Control Room'!$B$16,'Process'!BQ5=1),1+('Control Room'!$C$16-1)*EXP(-0.5*(($A254-'Control Room'!$A$16-('Control Room'!$B$16-1)/2)/MAX(0.5,'Control Room'!$B$16/4))^2),1)</x:f>
        <x:v>1</x:v>
      </x:c>
      <x:c r="AK254" s="9" t="n">
        <x:f>MOD(AL253*16807,2147483647)</x:f>
        <x:v>944163045</x:v>
      </x:c>
      <x:c r="AL254" s="9" t="n">
        <x:f>MOD(AK254*16807,2147483647)</x:f>
        <x:v>791629632</x:v>
      </x:c>
      <x:c r="AM254" s="17" t="n">
        <x:f>IF('Control Room'!$B$5="Normal",'Control Room'!$B$7+'Control Room'!$D$7*SQRT(-2*LN(MAX(0.000000000001,AK254/2147483647)))*COS(2*PI()*AL254/2147483647),'Control Room'!$B$8+('Control Room'!$D$8-'Control Room'!$B$8)*AK254/2147483647)</x:f>
        <x:v>921.7436161392842</x:v>
      </x:c>
      <x:c r="AN254" s="17" t="n">
        <x:f>IF('Control Room'!$B$5="Normal",'Control Room'!$B$7,('Control Room'!$B$8+'Control Room'!$D$8)/2)+'Control Room'!$B$9*(AN253-IF('Control Room'!$B$5="Normal",'Control Room'!$B$7,('Control Room'!$B$8+'Control Room'!$D$8)/2))+SQRT(1-'Control Room'!$B$9^2)*(AM254-IF('Control Room'!$B$5="Normal",'Control Room'!$B$7,('Control Room'!$B$8+'Control Room'!$D$8)/2))</x:f>
        <x:v>1000.7877534241254</x:v>
      </x:c>
      <x:c r="AO254" s="17" t="n">
        <x:f>IF(AND($A254&gt;='Control Room'!$A$13,$A254&lt;'Control Room'!$A$13+'Control Room'!$B$13,'Process'!BR2=1),1+('Control Room'!$C$13-1)*EXP(-0.5*(($A254-'Control Room'!$A$13-('Control Room'!$B$13-1)/2)/MAX(0.5,'Control Room'!$B$13/4))^2),1)*IF(AND($A254&gt;='Control Room'!$A$14,$A254&lt;'Control Room'!$A$14+'Control Room'!$B$14,'Process'!BR3=1),1+('Control Room'!$C$14-1)*EXP(-0.5*(($A254-'Control Room'!$A$14-('Control Room'!$B$14-1)/2)/MAX(0.5,'Control Room'!$B$14/4))^2),1)*IF(AND($A254&gt;='Control Room'!$A$15,$A254&lt;'Control Room'!$A$15+'Control Room'!$B$15,'Process'!BR4=1),1+('Control Room'!$C$15-1)*EXP(-0.5*(($A254-'Control Room'!$A$15-('Control Room'!$B$15-1)/2)/MAX(0.5,'Control Room'!$B$15/4))^2),1)*IF(AND($A254&gt;='Control Room'!$A$16,$A254&lt;'Control Room'!$A$16+'Control Room'!$B$16,'Process'!BR5=1),1+('Control Room'!$C$16-1)*EXP(-0.5*(($A254-'Control Room'!$A$16-('Control Room'!$B$16-1)/2)/MAX(0.5,'Control Room'!$B$16/4))^2),1)</x:f>
        <x:v>1</x:v>
      </x:c>
      <x:c r="AP254" s="9" t="n">
        <x:f>MOD(AQ253*16807,2147483647)</x:f>
        <x:v>1484570074</x:v>
      </x:c>
      <x:c r="AQ254" s="9" t="n">
        <x:f>MOD(AP254*16807,2147483647)</x:f>
        <x:v>1704222872</x:v>
      </x:c>
      <x:c r="AR254" s="17" t="n">
        <x:f>IF('Control Room'!$B$5="Normal",'Control Room'!$B$7+'Control Room'!$D$7*SQRT(-2*LN(MAX(0.000000000001,AP254/2147483647)))*COS(2*PI()*AQ254/2147483647),'Control Room'!$B$8+('Control Room'!$D$8-'Control Room'!$B$8)*AP254/2147483647)</x:f>
        <x:v>1020.917082933796</x:v>
      </x:c>
      <x:c r="AS254" s="17" t="n">
        <x:f>IF('Control Room'!$B$5="Normal",'Control Room'!$B$7,('Control Room'!$B$8+'Control Room'!$D$8)/2)+'Control Room'!$B$9*(AS253-IF('Control Room'!$B$5="Normal",'Control Room'!$B$7,('Control Room'!$B$8+'Control Room'!$D$8)/2))+SQRT(1-'Control Room'!$B$9^2)*(AR254-IF('Control Room'!$B$5="Normal",'Control Room'!$B$7,('Control Room'!$B$8+'Control Room'!$D$8)/2))</x:f>
        <x:v>988.327187248932</x:v>
      </x:c>
      <x:c r="AT254" s="17" t="n">
        <x:f>IF(AND($A254&gt;='Control Room'!$A$13,$A254&lt;'Control Room'!$A$13+'Control Room'!$B$13,'Process'!BS2=1),1+('Control Room'!$C$13-1)*EXP(-0.5*(($A254-'Control Room'!$A$13-('Control Room'!$B$13-1)/2)/MAX(0.5,'Control Room'!$B$13/4))^2),1)*IF(AND($A254&gt;='Control Room'!$A$14,$A254&lt;'Control Room'!$A$14+'Control Room'!$B$14,'Process'!BS3=1),1+('Control Room'!$C$14-1)*EXP(-0.5*(($A254-'Control Room'!$A$14-('Control Room'!$B$14-1)/2)/MAX(0.5,'Control Room'!$B$14/4))^2),1)*IF(AND($A254&gt;='Control Room'!$A$15,$A254&lt;'Control Room'!$A$15+'Control Room'!$B$15,'Process'!BS4=1),1+('Control Room'!$C$15-1)*EXP(-0.5*(($A254-'Control Room'!$A$15-('Control Room'!$B$15-1)/2)/MAX(0.5,'Control Room'!$B$15/4))^2),1)*IF(AND($A254&gt;='Control Room'!$A$16,$A254&lt;'Control Room'!$A$16+'Control Room'!$B$16,'Process'!BS5=1),1+('Control Room'!$C$16-1)*EXP(-0.5*(($A254-'Control Room'!$A$16-('Control Room'!$B$16-1)/2)/MAX(0.5,'Control Room'!$B$16/4))^2),1)</x:f>
        <x:v>1</x:v>
      </x:c>
      <x:c r="AU254" s="9" t="n">
        <x:f>MOD(AV253*16807,2147483647)</x:f>
        <x:v>2024977103</x:v>
      </x:c>
      <x:c r="AV254" s="9" t="n">
        <x:f>MOD(AU254*16807,2147483647)</x:f>
        <x:v>469332465</x:v>
      </x:c>
      <x:c r="AW254" s="17" t="n">
        <x:f>IF('Control Room'!$B$5="Normal",'Control Room'!$B$7+'Control Room'!$D$7*SQRT(-2*LN(MAX(0.000000000001,AU254/2147483647)))*COS(2*PI()*AV254/2147483647),'Control Room'!$B$8+('Control Room'!$D$8-'Control Room'!$B$8)*AU254/2147483647)</x:f>
        <x:v>1006.0560494574039</x:v>
      </x:c>
      <x:c r="AX254" s="17" t="n">
        <x:f>IF('Control Room'!$B$5="Normal",'Control Room'!$B$7,('Control Room'!$B$8+'Control Room'!$D$8)/2)+'Control Room'!$B$9*(AX253-IF('Control Room'!$B$5="Normal",'Control Room'!$B$7,('Control Room'!$B$8+'Control Room'!$D$8)/2))+SQRT(1-'Control Room'!$B$9^2)*(AW254-IF('Control Room'!$B$5="Normal",'Control Room'!$B$7,('Control Room'!$B$8+'Control Room'!$D$8)/2))</x:f>
        <x:v>964.9032684322208</x:v>
      </x:c>
      <x:c r="AY254" s="17" t="n">
        <x:f>IF(AND($A254&gt;='Control Room'!$A$13,$A254&lt;'Control Room'!$A$13+'Control Room'!$B$13,'Process'!BT2=1),1+('Control Room'!$C$13-1)*EXP(-0.5*(($A254-'Control Room'!$A$13-('Control Room'!$B$13-1)/2)/MAX(0.5,'Control Room'!$B$13/4))^2),1)*IF(AND($A254&gt;='Control Room'!$A$14,$A254&lt;'Control Room'!$A$14+'Control Room'!$B$14,'Process'!BT3=1),1+('Control Room'!$C$14-1)*EXP(-0.5*(($A254-'Control Room'!$A$14-('Control Room'!$B$14-1)/2)/MAX(0.5,'Control Room'!$B$14/4))^2),1)*IF(AND($A254&gt;='Control Room'!$A$15,$A254&lt;'Control Room'!$A$15+'Control Room'!$B$15,'Process'!BT4=1),1+('Control Room'!$C$15-1)*EXP(-0.5*(($A254-'Control Room'!$A$15-('Control Room'!$B$15-1)/2)/MAX(0.5,'Control Room'!$B$15/4))^2),1)*IF(AND($A254&gt;='Control Room'!$A$16,$A254&lt;'Control Room'!$A$16+'Control Room'!$B$16,'Process'!BT5=1),1+('Control Room'!$C$16-1)*EXP(-0.5*(($A254-'Control Room'!$A$16-('Control Room'!$B$16-1)/2)/MAX(0.5,'Control Room'!$B$16/4))^2),1)</x:f>
        <x:v>1</x:v>
      </x:c>
      <x:c r="AZ254" s="9" t="n">
        <x:f>MOD(BA253*16807,2147483647)</x:f>
        <x:v>417900485</x:v>
      </x:c>
      <x:c r="BA254" s="9" t="n">
        <x:f>MOD(AZ254*16807,2147483647)</x:f>
        <x:v>1381925705</x:v>
      </x:c>
      <x:c r="BB254" s="17" t="n">
        <x:f>IF('Control Room'!$B$5="Normal",'Control Room'!$B$7+'Control Room'!$D$7*SQRT(-2*LN(MAX(0.000000000001,AZ254/2147483647)))*COS(2*PI()*BA254/2147483647),'Control Room'!$B$8+('Control Room'!$D$8-'Control Room'!$B$8)*AZ254/2147483647)</x:f>
        <x:v>898.994531808573</x:v>
      </x:c>
      <x:c r="BC254" s="17" t="n">
        <x:f>IF('Control Room'!$B$5="Normal",'Control Room'!$B$7,('Control Room'!$B$8+'Control Room'!$D$8)/2)+'Control Room'!$B$9*(BC253-IF('Control Room'!$B$5="Normal",'Control Room'!$B$7,('Control Room'!$B$8+'Control Room'!$D$8)/2))+SQRT(1-'Control Room'!$B$9^2)*(BB254-IF('Control Room'!$B$5="Normal",'Control Room'!$B$7,('Control Room'!$B$8+'Control Room'!$D$8)/2))</x:f>
        <x:v>937.0226725954229</x:v>
      </x:c>
      <x:c r="BD254" s="17" t="n">
        <x:f>IF(AND($A254&gt;='Control Room'!$A$13,$A254&lt;'Control Room'!$A$13+'Control Room'!$B$13,'Process'!BU2=1),1+('Control Room'!$C$13-1)*EXP(-0.5*(($A254-'Control Room'!$A$13-('Control Room'!$B$13-1)/2)/MAX(0.5,'Control Room'!$B$13/4))^2),1)*IF(AND($A254&gt;='Control Room'!$A$14,$A254&lt;'Control Room'!$A$14+'Control Room'!$B$14,'Process'!BU3=1),1+('Control Room'!$C$14-1)*EXP(-0.5*(($A254-'Control Room'!$A$14-('Control Room'!$B$14-1)/2)/MAX(0.5,'Control Room'!$B$14/4))^2),1)*IF(AND($A254&gt;='Control Room'!$A$15,$A254&lt;'Control Room'!$A$15+'Control Room'!$B$15,'Process'!BU4=1),1+('Control Room'!$C$15-1)*EXP(-0.5*(($A254-'Control Room'!$A$15-('Control Room'!$B$15-1)/2)/MAX(0.5,'Control Room'!$B$15/4))^2),1)*IF(AND($A254&gt;='Control Room'!$A$16,$A254&lt;'Control Room'!$A$16+'Control Room'!$B$16,'Process'!BU5=1),1+('Control Room'!$C$16-1)*EXP(-0.5*(($A254-'Control Room'!$A$16-('Control Room'!$B$16-1)/2)/MAX(0.5,'Control Room'!$B$16/4))^2),1)</x:f>
        <x:v>1</x:v>
      </x:c>
      <x:c r="BE254" s="9" t="n">
        <x:f>MOD(BF253*16807,2147483647)</x:f>
        <x:v>958307514</x:v>
      </x:c>
      <x:c r="BF254" s="9" t="n">
        <x:f>MOD(BE254*16807,2147483647)</x:f>
        <x:v>147035298</x:v>
      </x:c>
      <x:c r="BG254" s="17" t="n">
        <x:f>IF('Control Room'!$B$5="Normal",'Control Room'!$B$7+'Control Room'!$D$7*SQRT(-2*LN(MAX(0.000000000001,BE254/2147483647)))*COS(2*PI()*BF254/2147483647),'Control Room'!$B$8+('Control Room'!$D$8-'Control Room'!$B$8)*BE254/2147483647)</x:f>
        <x:v>1103.9131023597145</x:v>
      </x:c>
      <x:c r="BH254" s="17" t="n">
        <x:f>IF('Control Room'!$B$5="Normal",'Control Room'!$B$7,('Control Room'!$B$8+'Control Room'!$D$8)/2)+'Control Room'!$B$9*(BH253-IF('Control Room'!$B$5="Normal",'Control Room'!$B$7,('Control Room'!$B$8+'Control Room'!$D$8)/2))+SQRT(1-'Control Room'!$B$9^2)*(BG254-IF('Control Room'!$B$5="Normal",'Control Room'!$B$7,('Control Room'!$B$8+'Control Room'!$D$8)/2))</x:f>
        <x:v>1030.2819008846855</x:v>
      </x:c>
      <x:c r="BI254" s="17" t="n">
        <x:f>IF(AND($A254&gt;='Control Room'!$A$13,$A254&lt;'Control Room'!$A$13+'Control Room'!$B$13,'Process'!BV2=1),1+('Control Room'!$C$13-1)*EXP(-0.5*(($A254-'Control Room'!$A$13-('Control Room'!$B$13-1)/2)/MAX(0.5,'Control Room'!$B$13/4))^2),1)*IF(AND($A254&gt;='Control Room'!$A$14,$A254&lt;'Control Room'!$A$14+'Control Room'!$B$14,'Process'!BV3=1),1+('Control Room'!$C$14-1)*EXP(-0.5*(($A254-'Control Room'!$A$14-('Control Room'!$B$14-1)/2)/MAX(0.5,'Control Room'!$B$14/4))^2),1)*IF(AND($A254&gt;='Control Room'!$A$15,$A254&lt;'Control Room'!$A$15+'Control Room'!$B$15,'Process'!BV4=1),1+('Control Room'!$C$15-1)*EXP(-0.5*(($A254-'Control Room'!$A$15-('Control Room'!$B$15-1)/2)/MAX(0.5,'Control Room'!$B$15/4))^2),1)*IF(AND($A254&gt;='Control Room'!$A$16,$A254&lt;'Control Room'!$A$16+'Control Room'!$B$16,'Process'!BV5=1),1+('Control Room'!$C$16-1)*EXP(-0.5*(($A254-'Control Room'!$A$16-('Control Room'!$B$16-1)/2)/MAX(0.5,'Control Room'!$B$16/4))^2),1)</x:f>
        <x:v>1</x:v>
      </x:c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Z254" t="str">
        <x:f>IF('Data'!A254="","",TEXT('Data'!A254,"mm-dd"))</x:f>
      </x:c>
    </x:row>
    <x:row r="255" ht="21" customHeight="1">
      <x:c r="A255" s="15" t="n">
        <x:f>'Control Room'!$B$1+253</x:f>
        <x:v>73244</x:v>
      </x:c>
      <x:c r="B255" s="9" t="n">
        <x:f>MOD(C254*16807,2147483647)</x:f>
        <x:v>1168354511</x:v>
      </x:c>
      <x:c r="C255" s="9" t="n">
        <x:f>MOD(B255*16807,2147483647)</x:f>
        <x:v>2091281856</x:v>
      </x:c>
      <x:c r="D255" s="17" t="n">
        <x:f>IF('Control Room'!$B$5="Normal",'Control Room'!$B$7+'Control Room'!$D$7*SQRT(-2*LN(MAX(0.000000000001,B255/2147483647)))*COS(2*PI()*C255/2147483647),'Control Room'!$B$8+('Control Room'!$D$8-'Control Room'!$B$8)*B255/2147483647)</x:f>
        <x:v>1097.9627736700184</x:v>
      </x:c>
      <x:c r="E255" s="17" t="n">
        <x:f>IF('Control Room'!$B$5="Normal",'Control Room'!$B$7,('Control Room'!$B$8+'Control Room'!$D$8)/2)+'Control Room'!$B$9*(E254-IF('Control Room'!$B$5="Normal",'Control Room'!$B$7,('Control Room'!$B$8+'Control Room'!$D$8)/2))+SQRT(1-'Control Room'!$B$9^2)*(D255-IF('Control Room'!$B$5="Normal",'Control Room'!$B$7,('Control Room'!$B$8+'Control Room'!$D$8)/2))</x:f>
        <x:v>1081.8570381394143</x:v>
      </x:c>
      <x:c r="F255" s="17" t="n">
        <x:f>IF(AND($A255&gt;='Control Room'!$A$13,$A255&lt;'Control Room'!$A$13+'Control Room'!$B$13,'Process'!BK2=1),1+('Control Room'!$C$13-1)*EXP(-0.5*(($A255-'Control Room'!$A$13-('Control Room'!$B$13-1)/2)/MAX(0.5,'Control Room'!$B$13/4))^2),1)*IF(AND($A255&gt;='Control Room'!$A$14,$A255&lt;'Control Room'!$A$14+'Control Room'!$B$14,'Process'!BK3=1),1+('Control Room'!$C$14-1)*EXP(-0.5*(($A255-'Control Room'!$A$14-('Control Room'!$B$14-1)/2)/MAX(0.5,'Control Room'!$B$14/4))^2),1)*IF(AND($A255&gt;='Control Room'!$A$15,$A255&lt;'Control Room'!$A$15+'Control Room'!$B$15,'Process'!BK4=1),1+('Control Room'!$C$15-1)*EXP(-0.5*(($A255-'Control Room'!$A$15-('Control Room'!$B$15-1)/2)/MAX(0.5,'Control Room'!$B$15/4))^2),1)*IF(AND($A255&gt;='Control Room'!$A$16,$A255&lt;'Control Room'!$A$16+'Control Room'!$B$16,'Process'!BK5=1),1+('Control Room'!$C$16-1)*EXP(-0.5*(($A255-'Control Room'!$A$16-('Control Room'!$B$16-1)/2)/MAX(0.5,'Control Room'!$B$16/4))^2),1)</x:f>
        <x:v>1</x:v>
      </x:c>
      <x:c r="G255" s="9" t="n">
        <x:f>MOD(H254*16807,2147483647)</x:f>
        <x:v>1794732317</x:v>
      </x:c>
      <x:c r="H255" s="9" t="n">
        <x:f>MOD(G255*16807,2147483647)</x:f>
        <x:v>510746057</x:v>
      </x:c>
      <x:c r="I255" s="17" t="n">
        <x:f>IF('Control Room'!$B$5="Normal",'Control Room'!$B$7+'Control Room'!$D$7*SQRT(-2*LN(MAX(0.000000000001,G255/2147483647)))*COS(2*PI()*H255/2147483647),'Control Room'!$B$8+('Control Room'!$D$8-'Control Room'!$B$8)*G255/2147483647)</x:f>
        <x:v>1004.1171728463672</x:v>
      </x:c>
      <x:c r="J255" s="17" t="n">
        <x:f>IF('Control Room'!$B$5="Normal",'Control Room'!$B$7,('Control Room'!$B$8+'Control Room'!$D$8)/2)+'Control Room'!$B$9*(J254-IF('Control Room'!$B$5="Normal",'Control Room'!$B$7,('Control Room'!$B$8+'Control Room'!$D$8)/2))+SQRT(1-'Control Room'!$B$9^2)*(I255-IF('Control Room'!$B$5="Normal",'Control Room'!$B$7,('Control Room'!$B$8+'Control Room'!$D$8)/2))</x:f>
        <x:v>1018.2795750020468</x:v>
      </x:c>
      <x:c r="K255" s="17" t="n">
        <x:f>IF(AND($A255&gt;='Control Room'!$A$13,$A255&lt;'Control Room'!$A$13+'Control Room'!$B$13,'Process'!BL2=1),1+('Control Room'!$C$13-1)*EXP(-0.5*(($A255-'Control Room'!$A$13-('Control Room'!$B$13-1)/2)/MAX(0.5,'Control Room'!$B$13/4))^2),1)*IF(AND($A255&gt;='Control Room'!$A$14,$A255&lt;'Control Room'!$A$14+'Control Room'!$B$14,'Process'!BL3=1),1+('Control Room'!$C$14-1)*EXP(-0.5*(($A255-'Control Room'!$A$14-('Control Room'!$B$14-1)/2)/MAX(0.5,'Control Room'!$B$14/4))^2),1)*IF(AND($A255&gt;='Control Room'!$A$15,$A255&lt;'Control Room'!$A$15+'Control Room'!$B$15,'Process'!BL4=1),1+('Control Room'!$C$15-1)*EXP(-0.5*(($A255-'Control Room'!$A$15-('Control Room'!$B$15-1)/2)/MAX(0.5,'Control Room'!$B$15/4))^2),1)*IF(AND($A255&gt;='Control Room'!$A$16,$A255&lt;'Control Room'!$A$16+'Control Room'!$B$16,'Process'!BL5=1),1+('Control Room'!$C$16-1)*EXP(-0.5*(($A255-'Control Room'!$A$16-('Control Room'!$B$16-1)/2)/MAX(0.5,'Control Room'!$B$16/4))^2),1)</x:f>
        <x:v>1</x:v>
      </x:c>
      <x:c r="L255" s="9" t="n">
        <x:f>MOD(M254*16807,2147483647)</x:f>
        <x:v>273626476</x:v>
      </x:c>
      <x:c r="M255" s="9" t="n">
        <x:f>MOD(L255*16807,2147483647)</x:f>
        <x:v>1077693905</x:v>
      </x:c>
      <x:c r="N255" s="17" t="n">
        <x:f>IF('Control Room'!$B$5="Normal",'Control Room'!$B$7+'Control Room'!$D$7*SQRT(-2*LN(MAX(0.000000000001,L255/2147483647)))*COS(2*PI()*M255/2147483647),'Control Room'!$B$8+('Control Room'!$D$8-'Control Room'!$B$8)*L255/2147483647)</x:f>
        <x:v>817.3193919198504</x:v>
      </x:c>
      <x:c r="O255" s="17" t="n">
        <x:f>IF('Control Room'!$B$5="Normal",'Control Room'!$B$7,('Control Room'!$B$8+'Control Room'!$D$8)/2)+'Control Room'!$B$9*(O254-IF('Control Room'!$B$5="Normal",'Control Room'!$B$7,('Control Room'!$B$8+'Control Room'!$D$8)/2))+SQRT(1-'Control Room'!$B$9^2)*(N255-IF('Control Room'!$B$5="Normal",'Control Room'!$B$7,('Control Room'!$B$8+'Control Room'!$D$8)/2))</x:f>
        <x:v>827.0492670855335</x:v>
      </x:c>
      <x:c r="P255" s="17" t="n">
        <x:f>IF(AND($A255&gt;='Control Room'!$A$13,$A255&lt;'Control Room'!$A$13+'Control Room'!$B$13,'Process'!BM2=1),1+('Control Room'!$C$13-1)*EXP(-0.5*(($A255-'Control Room'!$A$13-('Control Room'!$B$13-1)/2)/MAX(0.5,'Control Room'!$B$13/4))^2),1)*IF(AND($A255&gt;='Control Room'!$A$14,$A255&lt;'Control Room'!$A$14+'Control Room'!$B$14,'Process'!BM3=1),1+('Control Room'!$C$14-1)*EXP(-0.5*(($A255-'Control Room'!$A$14-('Control Room'!$B$14-1)/2)/MAX(0.5,'Control Room'!$B$14/4))^2),1)*IF(AND($A255&gt;='Control Room'!$A$15,$A255&lt;'Control Room'!$A$15+'Control Room'!$B$15,'Process'!BM4=1),1+('Control Room'!$C$15-1)*EXP(-0.5*(($A255-'Control Room'!$A$15-('Control Room'!$B$15-1)/2)/MAX(0.5,'Control Room'!$B$15/4))^2),1)*IF(AND($A255&gt;='Control Room'!$A$16,$A255&lt;'Control Room'!$A$16+'Control Room'!$B$16,'Process'!BM5=1),1+('Control Room'!$C$16-1)*EXP(-0.5*(($A255-'Control Room'!$A$16-('Control Room'!$B$16-1)/2)/MAX(0.5,'Control Room'!$B$16/4))^2),1)</x:f>
        <x:v>1</x:v>
      </x:c>
      <x:c r="Q255" s="9" t="n">
        <x:f>MOD(R254*16807,2147483647)</x:f>
        <x:v>900004282</x:v>
      </x:c>
      <x:c r="R255" s="9" t="n">
        <x:f>MOD(Q255*16807,2147483647)</x:f>
        <x:v>1644641753</x:v>
      </x:c>
      <x:c r="S255" s="17" t="n">
        <x:f>IF('Control Room'!$B$5="Normal",'Control Room'!$B$7+'Control Room'!$D$7*SQRT(-2*LN(MAX(0.000000000001,Q255/2147483647)))*COS(2*PI()*R255/2147483647),'Control Room'!$B$8+('Control Room'!$D$8-'Control Room'!$B$8)*Q255/2147483647)</x:f>
        <x:v>1011.7980993556101</x:v>
      </x:c>
      <x:c r="T255" s="17" t="n">
        <x:f>IF('Control Room'!$B$5="Normal",'Control Room'!$B$7,('Control Room'!$B$8+'Control Room'!$D$8)/2)+'Control Room'!$B$9*(T254-IF('Control Room'!$B$5="Normal",'Control Room'!$B$7,('Control Room'!$B$8+'Control Room'!$D$8)/2))+SQRT(1-'Control Room'!$B$9^2)*(S255-IF('Control Room'!$B$5="Normal",'Control Room'!$B$7,('Control Room'!$B$8+'Control Room'!$D$8)/2))</x:f>
        <x:v>1010.2475380349758</x:v>
      </x:c>
      <x:c r="U255" s="17" t="n">
        <x:f>IF(AND($A255&gt;='Control Room'!$A$13,$A255&lt;'Control Room'!$A$13+'Control Room'!$B$13,'Process'!BN2=1),1+('Control Room'!$C$13-1)*EXP(-0.5*(($A255-'Control Room'!$A$13-('Control Room'!$B$13-1)/2)/MAX(0.5,'Control Room'!$B$13/4))^2),1)*IF(AND($A255&gt;='Control Room'!$A$14,$A255&lt;'Control Room'!$A$14+'Control Room'!$B$14,'Process'!BN3=1),1+('Control Room'!$C$14-1)*EXP(-0.5*(($A255-'Control Room'!$A$14-('Control Room'!$B$14-1)/2)/MAX(0.5,'Control Room'!$B$14/4))^2),1)*IF(AND($A255&gt;='Control Room'!$A$15,$A255&lt;'Control Room'!$A$15+'Control Room'!$B$15,'Process'!BN4=1),1+('Control Room'!$C$15-1)*EXP(-0.5*(($A255-'Control Room'!$A$15-('Control Room'!$B$15-1)/2)/MAX(0.5,'Control Room'!$B$15/4))^2),1)*IF(AND($A255&gt;='Control Room'!$A$16,$A255&lt;'Control Room'!$A$16+'Control Room'!$B$16,'Process'!BN5=1),1+('Control Room'!$C$16-1)*EXP(-0.5*(($A255-'Control Room'!$A$16-('Control Room'!$B$16-1)/2)/MAX(0.5,'Control Room'!$B$16/4))^2),1)</x:f>
        <x:v>1</x:v>
      </x:c>
      <x:c r="V255" s="9" t="n">
        <x:f>MOD(W254*16807,2147483647)</x:f>
        <x:v>1526382088</x:v>
      </x:c>
      <x:c r="W255" s="9" t="n">
        <x:f>MOD(V255*16807,2147483647)</x:f>
        <x:v>64105954</x:v>
      </x:c>
      <x:c r="X255" s="17" t="n">
        <x:f>IF('Control Room'!$B$5="Normal",'Control Room'!$B$7+'Control Room'!$D$7*SQRT(-2*LN(MAX(0.000000000001,V255/2147483647)))*COS(2*PI()*W255/2147483647),'Control Room'!$B$8+('Control Room'!$D$8-'Control Room'!$B$8)*V255/2147483647)</x:f>
        <x:v>1073.06384951539</x:v>
      </x:c>
      <x:c r="Y255" s="17" t="n">
        <x:f>IF('Control Room'!$B$5="Normal",'Control Room'!$B$7,('Control Room'!$B$8+'Control Room'!$D$8)/2)+'Control Room'!$B$9*(Y254-IF('Control Room'!$B$5="Normal",'Control Room'!$B$7,('Control Room'!$B$8+'Control Room'!$D$8)/2))+SQRT(1-'Control Room'!$B$9^2)*(X255-IF('Control Room'!$B$5="Normal",'Control Room'!$B$7,('Control Room'!$B$8+'Control Room'!$D$8)/2))</x:f>
        <x:v>1046.186363636642</x:v>
      </x:c>
      <x:c r="Z255" s="17" t="n">
        <x:f>IF(AND($A255&gt;='Control Room'!$A$13,$A255&lt;'Control Room'!$A$13+'Control Room'!$B$13,'Process'!BO2=1),1+('Control Room'!$C$13-1)*EXP(-0.5*(($A255-'Control Room'!$A$13-('Control Room'!$B$13-1)/2)/MAX(0.5,'Control Room'!$B$13/4))^2),1)*IF(AND($A255&gt;='Control Room'!$A$14,$A255&lt;'Control Room'!$A$14+'Control Room'!$B$14,'Process'!BO3=1),1+('Control Room'!$C$14-1)*EXP(-0.5*(($A255-'Control Room'!$A$14-('Control Room'!$B$14-1)/2)/MAX(0.5,'Control Room'!$B$14/4))^2),1)*IF(AND($A255&gt;='Control Room'!$A$15,$A255&lt;'Control Room'!$A$15+'Control Room'!$B$15,'Process'!BO4=1),1+('Control Room'!$C$15-1)*EXP(-0.5*(($A255-'Control Room'!$A$15-('Control Room'!$B$15-1)/2)/MAX(0.5,'Control Room'!$B$15/4))^2),1)*IF(AND($A255&gt;='Control Room'!$A$16,$A255&lt;'Control Room'!$A$16+'Control Room'!$B$16,'Process'!BO5=1),1+('Control Room'!$C$16-1)*EXP(-0.5*(($A255-'Control Room'!$A$16-('Control Room'!$B$16-1)/2)/MAX(0.5,'Control Room'!$B$16/4))^2),1)</x:f>
        <x:v>1</x:v>
      </x:c>
      <x:c r="AA255" s="9" t="n">
        <x:f>MOD(AB254*16807,2147483647)</x:f>
        <x:v>5276247</x:v>
      </x:c>
      <x:c r="AB255" s="9" t="n">
        <x:f>MOD(AA255*16807,2147483647)</x:f>
        <x:v>631053802</x:v>
      </x:c>
      <x:c r="AC255" s="17" t="n">
        <x:f>IF('Control Room'!$B$5="Normal",'Control Room'!$B$7+'Control Room'!$D$7*SQRT(-2*LN(MAX(0.000000000001,AA255/2147483647)))*COS(2*PI()*AB255/2147483647),'Control Room'!$B$8+('Control Room'!$D$8-'Control Room'!$B$8)*AA255/2147483647)</x:f>
        <x:v>915.1084680141576</x:v>
      </x:c>
      <x:c r="AD255" s="17" t="n">
        <x:f>IF('Control Room'!$B$5="Normal",'Control Room'!$B$7,('Control Room'!$B$8+'Control Room'!$D$8)/2)+'Control Room'!$B$9*(AD254-IF('Control Room'!$B$5="Normal",'Control Room'!$B$7,('Control Room'!$B$8+'Control Room'!$D$8)/2))+SQRT(1-'Control Room'!$B$9^2)*(AC255-IF('Control Room'!$B$5="Normal",'Control Room'!$B$7,('Control Room'!$B$8+'Control Room'!$D$8)/2))</x:f>
        <x:v>952.2278734318351</x:v>
      </x:c>
      <x:c r="AE255" s="17" t="n">
        <x:f>IF(AND($A255&gt;='Control Room'!$A$13,$A255&lt;'Control Room'!$A$13+'Control Room'!$B$13,'Process'!BP2=1),1+('Control Room'!$C$13-1)*EXP(-0.5*(($A255-'Control Room'!$A$13-('Control Room'!$B$13-1)/2)/MAX(0.5,'Control Room'!$B$13/4))^2),1)*IF(AND($A255&gt;='Control Room'!$A$14,$A255&lt;'Control Room'!$A$14+'Control Room'!$B$14,'Process'!BP3=1),1+('Control Room'!$C$14-1)*EXP(-0.5*(($A255-'Control Room'!$A$14-('Control Room'!$B$14-1)/2)/MAX(0.5,'Control Room'!$B$14/4))^2),1)*IF(AND($A255&gt;='Control Room'!$A$15,$A255&lt;'Control Room'!$A$15+'Control Room'!$B$15,'Process'!BP4=1),1+('Control Room'!$C$15-1)*EXP(-0.5*(($A255-'Control Room'!$A$15-('Control Room'!$B$15-1)/2)/MAX(0.5,'Control Room'!$B$15/4))^2),1)*IF(AND($A255&gt;='Control Room'!$A$16,$A255&lt;'Control Room'!$A$16+'Control Room'!$B$16,'Process'!BP5=1),1+('Control Room'!$C$16-1)*EXP(-0.5*(($A255-'Control Room'!$A$16-('Control Room'!$B$16-1)/2)/MAX(0.5,'Control Room'!$B$16/4))^2),1)</x:f>
        <x:v>1</x:v>
      </x:c>
      <x:c r="AF255" s="9" t="n">
        <x:f>MOD(AG254*16807,2147483647)</x:f>
        <x:v>631654053</x:v>
      </x:c>
      <x:c r="AG255" s="9" t="n">
        <x:f>MOD(AF255*16807,2147483647)</x:f>
        <x:v>1198001650</x:v>
      </x:c>
      <x:c r="AH255" s="17" t="n">
        <x:f>IF('Control Room'!$B$5="Normal",'Control Room'!$B$7+'Control Room'!$D$7*SQRT(-2*LN(MAX(0.000000000001,AF255/2147483647)))*COS(2*PI()*AG255/2147483647),'Control Room'!$B$8+('Control Room'!$D$8-'Control Room'!$B$8)*AF255/2147483647)</x:f>
        <x:v>868.4051095951908</x:v>
      </x:c>
      <x:c r="AI255" s="17" t="n">
        <x:f>IF('Control Room'!$B$5="Normal",'Control Room'!$B$7,('Control Room'!$B$8+'Control Room'!$D$8)/2)+'Control Room'!$B$9*(AI254-IF('Control Room'!$B$5="Normal",'Control Room'!$B$7,('Control Room'!$B$8+'Control Room'!$D$8)/2))+SQRT(1-'Control Room'!$B$9^2)*(AH255-IF('Control Room'!$B$5="Normal",'Control Room'!$B$7,('Control Room'!$B$8+'Control Room'!$D$8)/2))</x:f>
        <x:v>994.4105386804957</x:v>
      </x:c>
      <x:c r="AJ255" s="17" t="n">
        <x:f>IF(AND($A255&gt;='Control Room'!$A$13,$A255&lt;'Control Room'!$A$13+'Control Room'!$B$13,'Process'!BQ2=1),1+('Control Room'!$C$13-1)*EXP(-0.5*(($A255-'Control Room'!$A$13-('Control Room'!$B$13-1)/2)/MAX(0.5,'Control Room'!$B$13/4))^2),1)*IF(AND($A255&gt;='Control Room'!$A$14,$A255&lt;'Control Room'!$A$14+'Control Room'!$B$14,'Process'!BQ3=1),1+('Control Room'!$C$14-1)*EXP(-0.5*(($A255-'Control Room'!$A$14-('Control Room'!$B$14-1)/2)/MAX(0.5,'Control Room'!$B$14/4))^2),1)*IF(AND($A255&gt;='Control Room'!$A$15,$A255&lt;'Control Room'!$A$15+'Control Room'!$B$15,'Process'!BQ4=1),1+('Control Room'!$C$15-1)*EXP(-0.5*(($A255-'Control Room'!$A$15-('Control Room'!$B$15-1)/2)/MAX(0.5,'Control Room'!$B$15/4))^2),1)*IF(AND($A255&gt;='Control Room'!$A$16,$A255&lt;'Control Room'!$A$16+'Control Room'!$B$16,'Process'!BQ5=1),1+('Control Room'!$C$16-1)*EXP(-0.5*(($A255-'Control Room'!$A$16-('Control Room'!$B$16-1)/2)/MAX(0.5,'Control Room'!$B$16/4))^2),1)</x:f>
        <x:v>1</x:v>
      </x:c>
      <x:c r="AK255" s="9" t="n">
        <x:f>MOD(AL254*16807,2147483647)</x:f>
        <x:v>1258031859</x:v>
      </x:c>
      <x:c r="AL255" s="9" t="n">
        <x:f>MOD(AK255*16807,2147483647)</x:f>
        <x:v>1764949498</x:v>
      </x:c>
      <x:c r="AM255" s="17" t="n">
        <x:f>IF('Control Room'!$B$5="Normal",'Control Room'!$B$7+'Control Room'!$D$7*SQRT(-2*LN(MAX(0.000000000001,AK255/2147483647)))*COS(2*PI()*AL255/2147483647),'Control Room'!$B$8+('Control Room'!$D$8-'Control Room'!$B$8)*AK255/2147483647)</x:f>
        <x:v>1040.6153731547774</x:v>
      </x:c>
      <x:c r="AN255" s="17" t="n">
        <x:f>IF('Control Room'!$B$5="Normal",'Control Room'!$B$7,('Control Room'!$B$8+'Control Room'!$D$8)/2)+'Control Room'!$B$9*(AN254-IF('Control Room'!$B$5="Normal",'Control Room'!$B$7,('Control Room'!$B$8+'Control Room'!$D$8)/2))+SQRT(1-'Control Room'!$B$9^2)*(AM255-IF('Control Room'!$B$5="Normal",'Control Room'!$B$7,('Control Room'!$B$8+'Control Room'!$D$8)/2))</x:f>
        <x:v>1026.0307161399326</x:v>
      </x:c>
      <x:c r="AO255" s="17" t="n">
        <x:f>IF(AND($A255&gt;='Control Room'!$A$13,$A255&lt;'Control Room'!$A$13+'Control Room'!$B$13,'Process'!BR2=1),1+('Control Room'!$C$13-1)*EXP(-0.5*(($A255-'Control Room'!$A$13-('Control Room'!$B$13-1)/2)/MAX(0.5,'Control Room'!$B$13/4))^2),1)*IF(AND($A255&gt;='Control Room'!$A$14,$A255&lt;'Control Room'!$A$14+'Control Room'!$B$14,'Process'!BR3=1),1+('Control Room'!$C$14-1)*EXP(-0.5*(($A255-'Control Room'!$A$14-('Control Room'!$B$14-1)/2)/MAX(0.5,'Control Room'!$B$14/4))^2),1)*IF(AND($A255&gt;='Control Room'!$A$15,$A255&lt;'Control Room'!$A$15+'Control Room'!$B$15,'Process'!BR4=1),1+('Control Room'!$C$15-1)*EXP(-0.5*(($A255-'Control Room'!$A$15-('Control Room'!$B$15-1)/2)/MAX(0.5,'Control Room'!$B$15/4))^2),1)*IF(AND($A255&gt;='Control Room'!$A$16,$A255&lt;'Control Room'!$A$16+'Control Room'!$B$16,'Process'!BR5=1),1+('Control Room'!$C$16-1)*EXP(-0.5*(($A255-'Control Room'!$A$16-('Control Room'!$B$16-1)/2)/MAX(0.5,'Control Room'!$B$16/4))^2),1)</x:f>
        <x:v>1</x:v>
      </x:c>
      <x:c r="AP255" s="9" t="n">
        <x:f>MOD(AQ254*16807,2147483647)</x:f>
        <x:v>1884409665</x:v>
      </x:c>
      <x:c r="AQ255" s="9" t="n">
        <x:f>MOD(AP255*16807,2147483647)</x:f>
        <x:v>184413699</x:v>
      </x:c>
      <x:c r="AR255" s="17" t="n">
        <x:f>IF('Control Room'!$B$5="Normal",'Control Room'!$B$7+'Control Room'!$D$7*SQRT(-2*LN(MAX(0.000000000001,AP255/2147483647)))*COS(2*PI()*AQ255/2147483647),'Control Room'!$B$8+('Control Room'!$D$8-'Control Room'!$B$8)*AP255/2147483647)</x:f>
        <x:v>1039.4747008825007</x:v>
      </x:c>
      <x:c r="AS255" s="17" t="n">
        <x:f>IF('Control Room'!$B$5="Normal",'Control Room'!$B$7,('Control Room'!$B$8+'Control Room'!$D$8)/2)+'Control Room'!$B$9*(AS254-IF('Control Room'!$B$5="Normal",'Control Room'!$B$7,('Control Room'!$B$8+'Control Room'!$D$8)/2))+SQRT(1-'Control Room'!$B$9^2)*(AR255-IF('Control Room'!$B$5="Normal",'Control Room'!$B$7,('Control Room'!$B$8+'Control Room'!$D$8)/2))</x:f>
        <x:v>1015.5976651832324</x:v>
      </x:c>
      <x:c r="AT255" s="17" t="n">
        <x:f>IF(AND($A255&gt;='Control Room'!$A$13,$A255&lt;'Control Room'!$A$13+'Control Room'!$B$13,'Process'!BS2=1),1+('Control Room'!$C$13-1)*EXP(-0.5*(($A255-'Control Room'!$A$13-('Control Room'!$B$13-1)/2)/MAX(0.5,'Control Room'!$B$13/4))^2),1)*IF(AND($A255&gt;='Control Room'!$A$14,$A255&lt;'Control Room'!$A$14+'Control Room'!$B$14,'Process'!BS3=1),1+('Control Room'!$C$14-1)*EXP(-0.5*(($A255-'Control Room'!$A$14-('Control Room'!$B$14-1)/2)/MAX(0.5,'Control Room'!$B$14/4))^2),1)*IF(AND($A255&gt;='Control Room'!$A$15,$A255&lt;'Control Room'!$A$15+'Control Room'!$B$15,'Process'!BS4=1),1+('Control Room'!$C$15-1)*EXP(-0.5*(($A255-'Control Room'!$A$15-('Control Room'!$B$15-1)/2)/MAX(0.5,'Control Room'!$B$15/4))^2),1)*IF(AND($A255&gt;='Control Room'!$A$16,$A255&lt;'Control Room'!$A$16+'Control Room'!$B$16,'Process'!BS5=1),1+('Control Room'!$C$16-1)*EXP(-0.5*(($A255-'Control Room'!$A$16-('Control Room'!$B$16-1)/2)/MAX(0.5,'Control Room'!$B$16/4))^2),1)</x:f>
        <x:v>1</x:v>
      </x:c>
      <x:c r="AU255" s="9" t="n">
        <x:f>MOD(AV254*16807,2147483647)</x:f>
        <x:v>363303824</x:v>
      </x:c>
      <x:c r="AV255" s="9" t="n">
        <x:f>MOD(AU255*16807,2147483647)</x:f>
        <x:v>751361547</x:v>
      </x:c>
      <x:c r="AW255" s="17" t="n">
        <x:f>IF('Control Room'!$B$5="Normal",'Control Room'!$B$7+'Control Room'!$D$7*SQRT(-2*LN(MAX(0.000000000001,AU255/2147483647)))*COS(2*PI()*AV255/2147483647),'Control Room'!$B$8+('Control Room'!$D$8-'Control Room'!$B$8)*AU255/2147483647)</x:f>
        <x:v>900.3801478713347</x:v>
      </x:c>
      <x:c r="AX255" s="17" t="n">
        <x:f>IF('Control Room'!$B$5="Normal",'Control Room'!$B$7,('Control Room'!$B$8+'Control Room'!$D$8)/2)+'Control Room'!$B$9*(AX254-IF('Control Room'!$B$5="Normal",'Control Room'!$B$7,('Control Room'!$B$8+'Control Room'!$D$8)/2))+SQRT(1-'Control Room'!$B$9^2)*(AW255-IF('Control Room'!$B$5="Normal",'Control Room'!$B$7,('Control Room'!$B$8+'Control Room'!$D$8)/2))</x:f>
        <x:v>910.2844867386129</x:v>
      </x:c>
      <x:c r="AY255" s="17" t="n">
        <x:f>IF(AND($A255&gt;='Control Room'!$A$13,$A255&lt;'Control Room'!$A$13+'Control Room'!$B$13,'Process'!BT2=1),1+('Control Room'!$C$13-1)*EXP(-0.5*(($A255-'Control Room'!$A$13-('Control Room'!$B$13-1)/2)/MAX(0.5,'Control Room'!$B$13/4))^2),1)*IF(AND($A255&gt;='Control Room'!$A$14,$A255&lt;'Control Room'!$A$14+'Control Room'!$B$14,'Process'!BT3=1),1+('Control Room'!$C$14-1)*EXP(-0.5*(($A255-'Control Room'!$A$14-('Control Room'!$B$14-1)/2)/MAX(0.5,'Control Room'!$B$14/4))^2),1)*IF(AND($A255&gt;='Control Room'!$A$15,$A255&lt;'Control Room'!$A$15+'Control Room'!$B$15,'Process'!BT4=1),1+('Control Room'!$C$15-1)*EXP(-0.5*(($A255-'Control Room'!$A$15-('Control Room'!$B$15-1)/2)/MAX(0.5,'Control Room'!$B$15/4))^2),1)*IF(AND($A255&gt;='Control Room'!$A$16,$A255&lt;'Control Room'!$A$16+'Control Room'!$B$16,'Process'!BT5=1),1+('Control Room'!$C$16-1)*EXP(-0.5*(($A255-'Control Room'!$A$16-('Control Room'!$B$16-1)/2)/MAX(0.5,'Control Room'!$B$16/4))^2),1)</x:f>
        <x:v>1</x:v>
      </x:c>
      <x:c r="AZ255" s="9" t="n">
        <x:f>MOD(BA254*16807,2147483647)</x:f>
        <x:v>989681630</x:v>
      </x:c>
      <x:c r="BA255" s="9" t="n">
        <x:f>MOD(AZ255*16807,2147483647)</x:f>
        <x:v>1318309395</x:v>
      </x:c>
      <x:c r="BB255" s="17" t="n">
        <x:f>IF('Control Room'!$B$5="Normal",'Control Room'!$B$7+'Control Room'!$D$7*SQRT(-2*LN(MAX(0.000000000001,AZ255/2147483647)))*COS(2*PI()*BA255/2147483647),'Control Room'!$B$8+('Control Room'!$D$8-'Control Room'!$B$8)*AZ255/2147483647)</x:f>
        <x:v>915.452053060819</x:v>
      </x:c>
      <x:c r="BC255" s="17" t="n">
        <x:f>IF('Control Room'!$B$5="Normal",'Control Room'!$B$7,('Control Room'!$B$8+'Control Room'!$D$8)/2)+'Control Room'!$B$9*(BC254-IF('Control Room'!$B$5="Normal",'Control Room'!$B$7,('Control Room'!$B$8+'Control Room'!$D$8)/2))+SQRT(1-'Control Room'!$B$9^2)*(BB255-IF('Control Room'!$B$5="Normal",'Control Room'!$B$7,('Control Room'!$B$8+'Control Room'!$D$8)/2))</x:f>
        <x:v>897.9693114887293</x:v>
      </x:c>
      <x:c r="BD255" s="17" t="n">
        <x:f>IF(AND($A255&gt;='Control Room'!$A$13,$A255&lt;'Control Room'!$A$13+'Control Room'!$B$13,'Process'!BU2=1),1+('Control Room'!$C$13-1)*EXP(-0.5*(($A255-'Control Room'!$A$13-('Control Room'!$B$13-1)/2)/MAX(0.5,'Control Room'!$B$13/4))^2),1)*IF(AND($A255&gt;='Control Room'!$A$14,$A255&lt;'Control Room'!$A$14+'Control Room'!$B$14,'Process'!BU3=1),1+('Control Room'!$C$14-1)*EXP(-0.5*(($A255-'Control Room'!$A$14-('Control Room'!$B$14-1)/2)/MAX(0.5,'Control Room'!$B$14/4))^2),1)*IF(AND($A255&gt;='Control Room'!$A$15,$A255&lt;'Control Room'!$A$15+'Control Room'!$B$15,'Process'!BU4=1),1+('Control Room'!$C$15-1)*EXP(-0.5*(($A255-'Control Room'!$A$15-('Control Room'!$B$15-1)/2)/MAX(0.5,'Control Room'!$B$15/4))^2),1)*IF(AND($A255&gt;='Control Room'!$A$16,$A255&lt;'Control Room'!$A$16+'Control Room'!$B$16,'Process'!BU5=1),1+('Control Room'!$C$16-1)*EXP(-0.5*(($A255-'Control Room'!$A$16-('Control Room'!$B$16-1)/2)/MAX(0.5,'Control Room'!$B$16/4))^2),1)</x:f>
        <x:v>1</x:v>
      </x:c>
      <x:c r="BE255" s="9" t="n">
        <x:f>MOD(BF254*16807,2147483647)</x:f>
        <x:v>1616059436</x:v>
      </x:c>
      <x:c r="BF255" s="9" t="n">
        <x:f>MOD(BE255*16807,2147483647)</x:f>
        <x:v>1885257243</x:v>
      </x:c>
      <x:c r="BG255" s="17" t="n">
        <x:f>IF('Control Room'!$B$5="Normal",'Control Room'!$B$7+'Control Room'!$D$7*SQRT(-2*LN(MAX(0.000000000001,BE255/2147483647)))*COS(2*PI()*BF255/2147483647),'Control Room'!$B$8+('Control Room'!$D$8-'Control Room'!$B$8)*BE255/2147483647)</x:f>
        <x:v>1048.852140495341</x:v>
      </x:c>
      <x:c r="BH255" s="17" t="n">
        <x:f>IF('Control Room'!$B$5="Normal",'Control Room'!$B$7,('Control Room'!$B$8+'Control Room'!$D$8)/2)+'Control Room'!$B$9*(BH254-IF('Control Room'!$B$5="Normal",'Control Room'!$B$7,('Control Room'!$B$8+'Control Room'!$D$8)/2))+SQRT(1-'Control Room'!$B$9^2)*(BG255-IF('Control Room'!$B$5="Normal",'Control Room'!$B$7,('Control Room'!$B$8+'Control Room'!$D$8)/2))</x:f>
        <x:v>1054.1905514215432</x:v>
      </x:c>
      <x:c r="BI255" s="17" t="n">
        <x:f>IF(AND($A255&gt;='Control Room'!$A$13,$A255&lt;'Control Room'!$A$13+'Control Room'!$B$13,'Process'!BV2=1),1+('Control Room'!$C$13-1)*EXP(-0.5*(($A255-'Control Room'!$A$13-('Control Room'!$B$13-1)/2)/MAX(0.5,'Control Room'!$B$13/4))^2),1)*IF(AND($A255&gt;='Control Room'!$A$14,$A255&lt;'Control Room'!$A$14+'Control Room'!$B$14,'Process'!BV3=1),1+('Control Room'!$C$14-1)*EXP(-0.5*(($A255-'Control Room'!$A$14-('Control Room'!$B$14-1)/2)/MAX(0.5,'Control Room'!$B$14/4))^2),1)*IF(AND($A255&gt;='Control Room'!$A$15,$A255&lt;'Control Room'!$A$15+'Control Room'!$B$15,'Process'!BV4=1),1+('Control Room'!$C$15-1)*EXP(-0.5*(($A255-'Control Room'!$A$15-('Control Room'!$B$15-1)/2)/MAX(0.5,'Control Room'!$B$15/4))^2),1)*IF(AND($A255&gt;='Control Room'!$A$16,$A255&lt;'Control Room'!$A$16+'Control Room'!$B$16,'Process'!BV5=1),1+('Control Room'!$C$16-1)*EXP(-0.5*(($A255-'Control Room'!$A$16-('Control Room'!$B$16-1)/2)/MAX(0.5,'Control Room'!$B$16/4))^2),1)</x:f>
        <x:v>1</x:v>
      </x:c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Z255" t="str">
        <x:f>IF('Data'!A255="","",TEXT('Data'!A255,"mm-dd"))</x:f>
      </x:c>
    </x:row>
    <x:row r="256" ht="21" customHeight="1">
      <x:c r="A256" s="15" t="n">
        <x:f>'Control Room'!$B$1+254</x:f>
        <x:v>73245</x:v>
      </x:c>
      <x:c r="B256" s="9" t="n">
        <x:f>MOD(C255*16807,2147483647)</x:f>
        <x:v>309303343</x:v>
      </x:c>
      <x:c r="C256" s="9" t="n">
        <x:f>MOD(B256*16807,2147483647)</x:f>
        <x:v>1550860061</x:v>
      </x:c>
      <x:c r="D256" s="17" t="n">
        <x:f>IF('Control Room'!$B$5="Normal",'Control Room'!$B$7+'Control Room'!$D$7*SQRT(-2*LN(MAX(0.000000000001,B256/2147483647)))*COS(2*PI()*C256/2147483647),'Control Room'!$B$8+('Control Room'!$D$8-'Control Room'!$B$8)*B256/2147483647)</x:f>
        <x:v>969.1825385678193</x:v>
      </x:c>
      <x:c r="E256" s="17" t="n">
        <x:f>IF('Control Room'!$B$5="Normal",'Control Room'!$B$7,('Control Room'!$B$8+'Control Room'!$D$8)/2)+'Control Room'!$B$9*(E255-IF('Control Room'!$B$5="Normal",'Control Room'!$B$7,('Control Room'!$B$8+'Control Room'!$D$8)/2))+SQRT(1-'Control Room'!$B$9^2)*(D256-IF('Control Room'!$B$5="Normal",'Control Room'!$B$7,('Control Room'!$B$8+'Control Room'!$D$8)/2))</x:f>
        <x:v>1044.5635537144976</x:v>
      </x:c>
      <x:c r="F256" s="17" t="n">
        <x:f>IF(AND($A256&gt;='Control Room'!$A$13,$A256&lt;'Control Room'!$A$13+'Control Room'!$B$13,'Process'!BK2=1),1+('Control Room'!$C$13-1)*EXP(-0.5*(($A256-'Control Room'!$A$13-('Control Room'!$B$13-1)/2)/MAX(0.5,'Control Room'!$B$13/4))^2),1)*IF(AND($A256&gt;='Control Room'!$A$14,$A256&lt;'Control Room'!$A$14+'Control Room'!$B$14,'Process'!BK3=1),1+('Control Room'!$C$14-1)*EXP(-0.5*(($A256-'Control Room'!$A$14-('Control Room'!$B$14-1)/2)/MAX(0.5,'Control Room'!$B$14/4))^2),1)*IF(AND($A256&gt;='Control Room'!$A$15,$A256&lt;'Control Room'!$A$15+'Control Room'!$B$15,'Process'!BK4=1),1+('Control Room'!$C$15-1)*EXP(-0.5*(($A256-'Control Room'!$A$15-('Control Room'!$B$15-1)/2)/MAX(0.5,'Control Room'!$B$15/4))^2),1)*IF(AND($A256&gt;='Control Room'!$A$16,$A256&lt;'Control Room'!$A$16+'Control Room'!$B$16,'Process'!BK5=1),1+('Control Room'!$C$16-1)*EXP(-0.5*(($A256-'Control Room'!$A$16-('Control Room'!$B$16-1)/2)/MAX(0.5,'Control Room'!$B$16/4))^2),1)</x:f>
        <x:v>1</x:v>
      </x:c>
      <x:c r="G256" s="9" t="n">
        <x:f>MOD(H255*16807,2147483647)</x:f>
        <x:v>616842940</x:v>
      </x:c>
      <x:c r="H256" s="9" t="n">
        <x:f>MOD(G256*16807,2147483647)</x:f>
        <x:v>1375728511</x:v>
      </x:c>
      <x:c r="I256" s="17" t="n">
        <x:f>IF('Control Room'!$B$5="Normal",'Control Room'!$B$7+'Control Room'!$D$7*SQRT(-2*LN(MAX(0.000000000001,G256/2147483647)))*COS(2*PI()*H256/2147483647),'Control Room'!$B$8+('Control Room'!$D$8-'Control Room'!$B$8)*G256/2147483647)</x:f>
        <x:v>909.8158005109826</x:v>
      </x:c>
      <x:c r="J256" s="17" t="n">
        <x:f>IF('Control Room'!$B$5="Normal",'Control Room'!$B$7,('Control Room'!$B$8+'Control Room'!$D$8)/2)+'Control Room'!$B$9*(J255-IF('Control Room'!$B$5="Normal",'Control Room'!$B$7,('Control Room'!$B$8+'Control Room'!$D$8)/2))+SQRT(1-'Control Room'!$B$9^2)*(I256-IF('Control Room'!$B$5="Normal",'Control Room'!$B$7,('Control Room'!$B$8+'Control Room'!$D$8)/2))</x:f>
        <x:v>957.8226439851179</x:v>
      </x:c>
      <x:c r="K256" s="17" t="n">
        <x:f>IF(AND($A256&gt;='Control Room'!$A$13,$A256&lt;'Control Room'!$A$13+'Control Room'!$B$13,'Process'!BL2=1),1+('Control Room'!$C$13-1)*EXP(-0.5*(($A256-'Control Room'!$A$13-('Control Room'!$B$13-1)/2)/MAX(0.5,'Control Room'!$B$13/4))^2),1)*IF(AND($A256&gt;='Control Room'!$A$14,$A256&lt;'Control Room'!$A$14+'Control Room'!$B$14,'Process'!BL3=1),1+('Control Room'!$C$14-1)*EXP(-0.5*(($A256-'Control Room'!$A$14-('Control Room'!$B$14-1)/2)/MAX(0.5,'Control Room'!$B$14/4))^2),1)*IF(AND($A256&gt;='Control Room'!$A$15,$A256&lt;'Control Room'!$A$15+'Control Room'!$B$15,'Process'!BL4=1),1+('Control Room'!$C$15-1)*EXP(-0.5*(($A256-'Control Room'!$A$15-('Control Room'!$B$15-1)/2)/MAX(0.5,'Control Room'!$B$15/4))^2),1)*IF(AND($A256&gt;='Control Room'!$A$16,$A256&lt;'Control Room'!$A$16+'Control Room'!$B$16,'Process'!BL5=1),1+('Control Room'!$C$16-1)*EXP(-0.5*(($A256-'Control Room'!$A$16-('Control Room'!$B$16-1)/2)/MAX(0.5,'Control Room'!$B$16/4))^2),1)</x:f>
        <x:v>1</x:v>
      </x:c>
      <x:c r="L256" s="9" t="n">
        <x:f>MOD(M255*16807,2147483647)</x:f>
        <x:v>924382537</x:v>
      </x:c>
      <x:c r="M256" s="9" t="n">
        <x:f>MOD(L256*16807,2147483647)</x:f>
        <x:v>1200596961</x:v>
      </x:c>
      <x:c r="N256" s="17" t="n">
        <x:f>IF('Control Room'!$B$5="Normal",'Control Room'!$B$7+'Control Room'!$D$7*SQRT(-2*LN(MAX(0.000000000001,L256/2147483647)))*COS(2*PI()*M256/2147483647),'Control Room'!$B$8+('Control Room'!$D$8-'Control Room'!$B$8)*L256/2147483647)</x:f>
        <x:v>891.1006264037729</x:v>
      </x:c>
      <x:c r="O256" s="17" t="n">
        <x:f>IF('Control Room'!$B$5="Normal",'Control Room'!$B$7,('Control Room'!$B$8+'Control Room'!$D$8)/2)+'Control Room'!$B$9*(O255-IF('Control Room'!$B$5="Normal",'Control Room'!$B$7,('Control Room'!$B$8+'Control Room'!$D$8)/2))+SQRT(1-'Control Room'!$B$9^2)*(N256-IF('Control Room'!$B$5="Normal",'Control Room'!$B$7,('Control Room'!$B$8+'Control Room'!$D$8)/2))</x:f>
        <x:v>796.951431255127</x:v>
      </x:c>
      <x:c r="P256" s="17" t="n">
        <x:f>IF(AND($A256&gt;='Control Room'!$A$13,$A256&lt;'Control Room'!$A$13+'Control Room'!$B$13,'Process'!BM2=1),1+('Control Room'!$C$13-1)*EXP(-0.5*(($A256-'Control Room'!$A$13-('Control Room'!$B$13-1)/2)/MAX(0.5,'Control Room'!$B$13/4))^2),1)*IF(AND($A256&gt;='Control Room'!$A$14,$A256&lt;'Control Room'!$A$14+'Control Room'!$B$14,'Process'!BM3=1),1+('Control Room'!$C$14-1)*EXP(-0.5*(($A256-'Control Room'!$A$14-('Control Room'!$B$14-1)/2)/MAX(0.5,'Control Room'!$B$14/4))^2),1)*IF(AND($A256&gt;='Control Room'!$A$15,$A256&lt;'Control Room'!$A$15+'Control Room'!$B$15,'Process'!BM4=1),1+('Control Room'!$C$15-1)*EXP(-0.5*(($A256-'Control Room'!$A$15-('Control Room'!$B$15-1)/2)/MAX(0.5,'Control Room'!$B$15/4))^2),1)*IF(AND($A256&gt;='Control Room'!$A$16,$A256&lt;'Control Room'!$A$16+'Control Room'!$B$16,'Process'!BM5=1),1+('Control Room'!$C$16-1)*EXP(-0.5*(($A256-'Control Room'!$A$16-('Control Room'!$B$16-1)/2)/MAX(0.5,'Control Room'!$B$16/4))^2),1)</x:f>
        <x:v>1</x:v>
      </x:c>
      <x:c r="Q256" s="9" t="n">
        <x:f>MOD(R255*16807,2147483647)</x:f>
        <x:v>1231922134</x:v>
      </x:c>
      <x:c r="R256" s="9" t="n">
        <x:f>MOD(Q256*16807,2147483647)</x:f>
        <x:v>1025465411</x:v>
      </x:c>
      <x:c r="S256" s="17" t="n">
        <x:f>IF('Control Room'!$B$5="Normal",'Control Room'!$B$7+'Control Room'!$D$7*SQRT(-2*LN(MAX(0.000000000001,Q256/2147483647)))*COS(2*PI()*R256/2147483647),'Control Room'!$B$8+('Control Room'!$D$8-'Control Room'!$B$8)*Q256/2147483647)</x:f>
        <x:v>906.0624758064444</x:v>
      </x:c>
      <x:c r="T256" s="17" t="n">
        <x:f>IF('Control Room'!$B$5="Normal",'Control Room'!$B$7,('Control Room'!$B$8+'Control Room'!$D$8)/2)+'Control Room'!$B$9*(T255-IF('Control Room'!$B$5="Normal",'Control Room'!$B$7,('Control Room'!$B$8+'Control Room'!$D$8)/2))+SQRT(1-'Control Room'!$B$9^2)*(S256-IF('Control Room'!$B$5="Normal",'Control Room'!$B$7,('Control Room'!$B$8+'Control Room'!$D$8)/2))</x:f>
        <x:v>949.2089014417384</x:v>
      </x:c>
      <x:c r="U256" s="17" t="n">
        <x:f>IF(AND($A256&gt;='Control Room'!$A$13,$A256&lt;'Control Room'!$A$13+'Control Room'!$B$13,'Process'!BN2=1),1+('Control Room'!$C$13-1)*EXP(-0.5*(($A256-'Control Room'!$A$13-('Control Room'!$B$13-1)/2)/MAX(0.5,'Control Room'!$B$13/4))^2),1)*IF(AND($A256&gt;='Control Room'!$A$14,$A256&lt;'Control Room'!$A$14+'Control Room'!$B$14,'Process'!BN3=1),1+('Control Room'!$C$14-1)*EXP(-0.5*(($A256-'Control Room'!$A$14-('Control Room'!$B$14-1)/2)/MAX(0.5,'Control Room'!$B$14/4))^2),1)*IF(AND($A256&gt;='Control Room'!$A$15,$A256&lt;'Control Room'!$A$15+'Control Room'!$B$15,'Process'!BN4=1),1+('Control Room'!$C$15-1)*EXP(-0.5*(($A256-'Control Room'!$A$15-('Control Room'!$B$15-1)/2)/MAX(0.5,'Control Room'!$B$15/4))^2),1)*IF(AND($A256&gt;='Control Room'!$A$16,$A256&lt;'Control Room'!$A$16+'Control Room'!$B$16,'Process'!BN5=1),1+('Control Room'!$C$16-1)*EXP(-0.5*(($A256-'Control Room'!$A$16-('Control Room'!$B$16-1)/2)/MAX(0.5,'Control Room'!$B$16/4))^2),1)</x:f>
        <x:v>1</x:v>
      </x:c>
      <x:c r="V256" s="9" t="n">
        <x:f>MOD(W255*16807,2147483647)</x:f>
        <x:v>1539461731</x:v>
      </x:c>
      <x:c r="W256" s="9" t="n">
        <x:f>MOD(V256*16807,2147483647)</x:f>
        <x:v>850333861</x:v>
      </x:c>
      <x:c r="X256" s="17" t="n">
        <x:f>IF('Control Room'!$B$5="Normal",'Control Room'!$B$7+'Control Room'!$D$7*SQRT(-2*LN(MAX(0.000000000001,V256/2147483647)))*COS(2*PI()*W256/2147483647),'Control Room'!$B$8+('Control Room'!$D$8-'Control Room'!$B$8)*V256/2147483647)</x:f>
        <x:v>941.7040564716395</x:v>
      </x:c>
      <x:c r="Y256" s="17" t="n">
        <x:f>IF('Control Room'!$B$5="Normal",'Control Room'!$B$7,('Control Room'!$B$8+'Control Room'!$D$8)/2)+'Control Room'!$B$9*(Y255-IF('Control Room'!$B$5="Normal",'Control Room'!$B$7,('Control Room'!$B$8+'Control Room'!$D$8)/2))+SQRT(1-'Control Room'!$B$9^2)*(X256-IF('Control Room'!$B$5="Normal",'Control Room'!$B$7,('Control Room'!$B$8+'Control Room'!$D$8)/2))</x:f>
        <x:v>999.5449564338496</x:v>
      </x:c>
      <x:c r="Z256" s="17" t="n">
        <x:f>IF(AND($A256&gt;='Control Room'!$A$13,$A256&lt;'Control Room'!$A$13+'Control Room'!$B$13,'Process'!BO2=1),1+('Control Room'!$C$13-1)*EXP(-0.5*(($A256-'Control Room'!$A$13-('Control Room'!$B$13-1)/2)/MAX(0.5,'Control Room'!$B$13/4))^2),1)*IF(AND($A256&gt;='Control Room'!$A$14,$A256&lt;'Control Room'!$A$14+'Control Room'!$B$14,'Process'!BO3=1),1+('Control Room'!$C$14-1)*EXP(-0.5*(($A256-'Control Room'!$A$14-('Control Room'!$B$14-1)/2)/MAX(0.5,'Control Room'!$B$14/4))^2),1)*IF(AND($A256&gt;='Control Room'!$A$15,$A256&lt;'Control Room'!$A$15+'Control Room'!$B$15,'Process'!BO4=1),1+('Control Room'!$C$15-1)*EXP(-0.5*(($A256-'Control Room'!$A$15-('Control Room'!$B$15-1)/2)/MAX(0.5,'Control Room'!$B$15/4))^2),1)*IF(AND($A256&gt;='Control Room'!$A$16,$A256&lt;'Control Room'!$A$16+'Control Room'!$B$16,'Process'!BO5=1),1+('Control Room'!$C$16-1)*EXP(-0.5*(($A256-'Control Room'!$A$16-('Control Room'!$B$16-1)/2)/MAX(0.5,'Control Room'!$B$16/4))^2),1)</x:f>
        <x:v>1</x:v>
      </x:c>
      <x:c r="AA256" s="9" t="n">
        <x:f>MOD(AB255*16807,2147483647)</x:f>
        <x:v>1847001328</x:v>
      </x:c>
      <x:c r="AB256" s="9" t="n">
        <x:f>MOD(AA256*16807,2147483647)</x:f>
        <x:v>675202311</x:v>
      </x:c>
      <x:c r="AC256" s="17" t="n">
        <x:f>IF('Control Room'!$B$5="Normal",'Control Room'!$B$7+'Control Room'!$D$7*SQRT(-2*LN(MAX(0.000000000001,AA256/2147483647)))*COS(2*PI()*AB256/2147483647),'Control Room'!$B$8+('Control Room'!$D$8-'Control Room'!$B$8)*AA256/2147483647)</x:f>
        <x:v>980.5414478880704</x:v>
      </x:c>
      <x:c r="AD256" s="17" t="n">
        <x:f>IF('Control Room'!$B$5="Normal",'Control Room'!$B$7,('Control Room'!$B$8+'Control Room'!$D$8)/2)+'Control Room'!$B$9*(AD255-IF('Control Room'!$B$5="Normal",'Control Room'!$B$7,('Control Room'!$B$8+'Control Room'!$D$8)/2))+SQRT(1-'Control Room'!$B$9^2)*(AC256-IF('Control Room'!$B$5="Normal",'Control Room'!$B$7,('Control Room'!$B$8+'Control Room'!$D$8)/2))</x:f>
        <x:v>950.5609779952932</x:v>
      </x:c>
      <x:c r="AE256" s="17" t="n">
        <x:f>IF(AND($A256&gt;='Control Room'!$A$13,$A256&lt;'Control Room'!$A$13+'Control Room'!$B$13,'Process'!BP2=1),1+('Control Room'!$C$13-1)*EXP(-0.5*(($A256-'Control Room'!$A$13-('Control Room'!$B$13-1)/2)/MAX(0.5,'Control Room'!$B$13/4))^2),1)*IF(AND($A256&gt;='Control Room'!$A$14,$A256&lt;'Control Room'!$A$14+'Control Room'!$B$14,'Process'!BP3=1),1+('Control Room'!$C$14-1)*EXP(-0.5*(($A256-'Control Room'!$A$14-('Control Room'!$B$14-1)/2)/MAX(0.5,'Control Room'!$B$14/4))^2),1)*IF(AND($A256&gt;='Control Room'!$A$15,$A256&lt;'Control Room'!$A$15+'Control Room'!$B$15,'Process'!BP4=1),1+('Control Room'!$C$15-1)*EXP(-0.5*(($A256-'Control Room'!$A$15-('Control Room'!$B$15-1)/2)/MAX(0.5,'Control Room'!$B$15/4))^2),1)*IF(AND($A256&gt;='Control Room'!$A$16,$A256&lt;'Control Room'!$A$16+'Control Room'!$B$16,'Process'!BP5=1),1+('Control Room'!$C$16-1)*EXP(-0.5*(($A256-'Control Room'!$A$16-('Control Room'!$B$16-1)/2)/MAX(0.5,'Control Room'!$B$16/4))^2),1)</x:f>
        <x:v>1</x:v>
      </x:c>
      <x:c r="AF256" s="9" t="n">
        <x:f>MOD(AG255*16807,2147483647)</x:f>
        <x:v>7057278</x:v>
      </x:c>
      <x:c r="AG256" s="9" t="n">
        <x:f>MOD(AF256*16807,2147483647)</x:f>
        <x:v>500070761</x:v>
      </x:c>
      <x:c r="AH256" s="17" t="n">
        <x:f>IF('Control Room'!$B$5="Normal",'Control Room'!$B$7+'Control Room'!$D$7*SQRT(-2*LN(MAX(0.000000000001,AF256/2147483647)))*COS(2*PI()*AG256/2147483647),'Control Room'!$B$8+('Control Room'!$D$8-'Control Room'!$B$8)*AF256/2147483647)</x:f>
        <x:v>1032.7069044861225</x:v>
      </x:c>
      <x:c r="AI256" s="17" t="n">
        <x:f>IF('Control Room'!$B$5="Normal",'Control Room'!$B$7,('Control Room'!$B$8+'Control Room'!$D$8)/2)+'Control Room'!$B$9*(AI255-IF('Control Room'!$B$5="Normal",'Control Room'!$B$7,('Control Room'!$B$8+'Control Room'!$D$8)/2))+SQRT(1-'Control Room'!$B$9^2)*(AH256-IF('Control Room'!$B$5="Normal",'Control Room'!$B$7,('Control Room'!$B$8+'Control Room'!$D$8)/2))</x:f>
        <x:v>1016.107530960844</x:v>
      </x:c>
      <x:c r="AJ256" s="17" t="n">
        <x:f>IF(AND($A256&gt;='Control Room'!$A$13,$A256&lt;'Control Room'!$A$13+'Control Room'!$B$13,'Process'!BQ2=1),1+('Control Room'!$C$13-1)*EXP(-0.5*(($A256-'Control Room'!$A$13-('Control Room'!$B$13-1)/2)/MAX(0.5,'Control Room'!$B$13/4))^2),1)*IF(AND($A256&gt;='Control Room'!$A$14,$A256&lt;'Control Room'!$A$14+'Control Room'!$B$14,'Process'!BQ3=1),1+('Control Room'!$C$14-1)*EXP(-0.5*(($A256-'Control Room'!$A$14-('Control Room'!$B$14-1)/2)/MAX(0.5,'Control Room'!$B$14/4))^2),1)*IF(AND($A256&gt;='Control Room'!$A$15,$A256&lt;'Control Room'!$A$15+'Control Room'!$B$15,'Process'!BQ4=1),1+('Control Room'!$C$15-1)*EXP(-0.5*(($A256-'Control Room'!$A$15-('Control Room'!$B$15-1)/2)/MAX(0.5,'Control Room'!$B$15/4))^2),1)*IF(AND($A256&gt;='Control Room'!$A$16,$A256&lt;'Control Room'!$A$16+'Control Room'!$B$16,'Process'!BQ5=1),1+('Control Room'!$C$16-1)*EXP(-0.5*(($A256-'Control Room'!$A$16-('Control Room'!$B$16-1)/2)/MAX(0.5,'Control Room'!$B$16/4))^2),1)</x:f>
        <x:v>1</x:v>
      </x:c>
      <x:c r="AK256" s="9" t="n">
        <x:f>MOD(AL255*16807,2147483647)</x:f>
        <x:v>314596875</x:v>
      </x:c>
      <x:c r="AL256" s="9" t="n">
        <x:f>MOD(AK256*16807,2147483647)</x:f>
        <x:v>324939211</x:v>
      </x:c>
      <x:c r="AM256" s="17" t="n">
        <x:f>IF('Control Room'!$B$5="Normal",'Control Room'!$B$7+'Control Room'!$D$7*SQRT(-2*LN(MAX(0.000000000001,AK256/2147483647)))*COS(2*PI()*AL256/2147483647),'Control Room'!$B$8+('Control Room'!$D$8-'Control Room'!$B$8)*AK256/2147483647)</x:f>
        <x:v>1102.5046511744556</x:v>
      </x:c>
      <x:c r="AN256" s="17" t="n">
        <x:f>IF('Control Room'!$B$5="Normal",'Control Room'!$B$7,('Control Room'!$B$8+'Control Room'!$D$8)/2)+'Control Room'!$B$9*(AN255-IF('Control Room'!$B$5="Normal",'Control Room'!$B$7,('Control Room'!$B$8+'Control Room'!$D$8)/2))+SQRT(1-'Control Room'!$B$9^2)*(AM256-IF('Control Room'!$B$5="Normal",'Control Room'!$B$7,('Control Room'!$B$8+'Control Room'!$D$8)/2))</x:f>
        <x:v>1084.4492693722016</x:v>
      </x:c>
      <x:c r="AO256" s="17" t="n">
        <x:f>IF(AND($A256&gt;='Control Room'!$A$13,$A256&lt;'Control Room'!$A$13+'Control Room'!$B$13,'Process'!BR2=1),1+('Control Room'!$C$13-1)*EXP(-0.5*(($A256-'Control Room'!$A$13-('Control Room'!$B$13-1)/2)/MAX(0.5,'Control Room'!$B$13/4))^2),1)*IF(AND($A256&gt;='Control Room'!$A$14,$A256&lt;'Control Room'!$A$14+'Control Room'!$B$14,'Process'!BR3=1),1+('Control Room'!$C$14-1)*EXP(-0.5*(($A256-'Control Room'!$A$14-('Control Room'!$B$14-1)/2)/MAX(0.5,'Control Room'!$B$14/4))^2),1)*IF(AND($A256&gt;='Control Room'!$A$15,$A256&lt;'Control Room'!$A$15+'Control Room'!$B$15,'Process'!BR4=1),1+('Control Room'!$C$15-1)*EXP(-0.5*(($A256-'Control Room'!$A$15-('Control Room'!$B$15-1)/2)/MAX(0.5,'Control Room'!$B$15/4))^2),1)*IF(AND($A256&gt;='Control Room'!$A$16,$A256&lt;'Control Room'!$A$16+'Control Room'!$B$16,'Process'!BR5=1),1+('Control Room'!$C$16-1)*EXP(-0.5*(($A256-'Control Room'!$A$16-('Control Room'!$B$16-1)/2)/MAX(0.5,'Control Room'!$B$16/4))^2),1)</x:f>
        <x:v>1</x:v>
      </x:c>
      <x:c r="AP256" s="9" t="n">
        <x:f>MOD(AQ255*16807,2147483647)</x:f>
        <x:v>622136472</x:v>
      </x:c>
      <x:c r="AQ256" s="9" t="n">
        <x:f>MOD(AP256*16807,2147483647)</x:f>
        <x:v>149807661</x:v>
      </x:c>
      <x:c r="AR256" s="17" t="n">
        <x:f>IF('Control Room'!$B$5="Normal",'Control Room'!$B$7+'Control Room'!$D$7*SQRT(-2*LN(MAX(0.000000000001,AP256/2147483647)))*COS(2*PI()*AQ256/2147483647),'Control Room'!$B$8+('Control Room'!$D$8-'Control Room'!$B$8)*AP256/2147483647)</x:f>
        <x:v>1128.2767511532384</x:v>
      </x:c>
      <x:c r="AS256" s="17" t="n">
        <x:f>IF('Control Room'!$B$5="Normal",'Control Room'!$B$7,('Control Room'!$B$8+'Control Room'!$D$8)/2)+'Control Room'!$B$9*(AS255-IF('Control Room'!$B$5="Normal",'Control Room'!$B$7,('Control Room'!$B$8+'Control Room'!$D$8)/2))+SQRT(1-'Control Room'!$B$9^2)*(AR256-IF('Control Room'!$B$5="Normal",'Control Room'!$B$7,('Control Room'!$B$8+'Control Room'!$D$8)/2))</x:f>
        <x:v>1092.4391418225318</x:v>
      </x:c>
      <x:c r="AT256" s="17" t="n">
        <x:f>IF(AND($A256&gt;='Control Room'!$A$13,$A256&lt;'Control Room'!$A$13+'Control Room'!$B$13,'Process'!BS2=1),1+('Control Room'!$C$13-1)*EXP(-0.5*(($A256-'Control Room'!$A$13-('Control Room'!$B$13-1)/2)/MAX(0.5,'Control Room'!$B$13/4))^2),1)*IF(AND($A256&gt;='Control Room'!$A$14,$A256&lt;'Control Room'!$A$14+'Control Room'!$B$14,'Process'!BS3=1),1+('Control Room'!$C$14-1)*EXP(-0.5*(($A256-'Control Room'!$A$14-('Control Room'!$B$14-1)/2)/MAX(0.5,'Control Room'!$B$14/4))^2),1)*IF(AND($A256&gt;='Control Room'!$A$15,$A256&lt;'Control Room'!$A$15+'Control Room'!$B$15,'Process'!BS4=1),1+('Control Room'!$C$15-1)*EXP(-0.5*(($A256-'Control Room'!$A$15-('Control Room'!$B$15-1)/2)/MAX(0.5,'Control Room'!$B$15/4))^2),1)*IF(AND($A256&gt;='Control Room'!$A$16,$A256&lt;'Control Room'!$A$16+'Control Room'!$B$16,'Process'!BS5=1),1+('Control Room'!$C$16-1)*EXP(-0.5*(($A256-'Control Room'!$A$16-('Control Room'!$B$16-1)/2)/MAX(0.5,'Control Room'!$B$16/4))^2),1)</x:f>
        <x:v>1</x:v>
      </x:c>
      <x:c r="AU256" s="9" t="n">
        <x:f>MOD(AV255*16807,2147483647)</x:f>
        <x:v>929676069</x:v>
      </x:c>
      <x:c r="AV256" s="9" t="n">
        <x:f>MOD(AU256*16807,2147483647)</x:f>
        <x:v>2122159758</x:v>
      </x:c>
      <x:c r="AW256" s="17" t="n">
        <x:f>IF('Control Room'!$B$5="Normal",'Control Room'!$B$7+'Control Room'!$D$7*SQRT(-2*LN(MAX(0.000000000001,AU256/2147483647)))*COS(2*PI()*AV256/2147483647),'Control Room'!$B$8+('Control Room'!$D$8-'Control Room'!$B$8)*AU256/2147483647)</x:f>
        <x:v>1116.1403212459225</x:v>
      </x:c>
      <x:c r="AX256" s="17" t="n">
        <x:f>IF('Control Room'!$B$5="Normal",'Control Room'!$B$7,('Control Room'!$B$8+'Control Room'!$D$8)/2)+'Control Room'!$B$9*(AX255-IF('Control Room'!$B$5="Normal",'Control Room'!$B$7,('Control Room'!$B$8+'Control Room'!$D$8)/2))+SQRT(1-'Control Room'!$B$9^2)*(AW256-IF('Control Room'!$B$5="Normal",'Control Room'!$B$7,('Control Room'!$B$8+'Control Room'!$D$8)/2))</x:f>
        <x:v>1002.7001334280111</x:v>
      </x:c>
      <x:c r="AY256" s="17" t="n">
        <x:f>IF(AND($A256&gt;='Control Room'!$A$13,$A256&lt;'Control Room'!$A$13+'Control Room'!$B$13,'Process'!BT2=1),1+('Control Room'!$C$13-1)*EXP(-0.5*(($A256-'Control Room'!$A$13-('Control Room'!$B$13-1)/2)/MAX(0.5,'Control Room'!$B$13/4))^2),1)*IF(AND($A256&gt;='Control Room'!$A$14,$A256&lt;'Control Room'!$A$14+'Control Room'!$B$14,'Process'!BT3=1),1+('Control Room'!$C$14-1)*EXP(-0.5*(($A256-'Control Room'!$A$14-('Control Room'!$B$14-1)/2)/MAX(0.5,'Control Room'!$B$14/4))^2),1)*IF(AND($A256&gt;='Control Room'!$A$15,$A256&lt;'Control Room'!$A$15+'Control Room'!$B$15,'Process'!BT4=1),1+('Control Room'!$C$15-1)*EXP(-0.5*(($A256-'Control Room'!$A$15-('Control Room'!$B$15-1)/2)/MAX(0.5,'Control Room'!$B$15/4))^2),1)*IF(AND($A256&gt;='Control Room'!$A$16,$A256&lt;'Control Room'!$A$16+'Control Room'!$B$16,'Process'!BT5=1),1+('Control Room'!$C$16-1)*EXP(-0.5*(($A256-'Control Room'!$A$16-('Control Room'!$B$16-1)/2)/MAX(0.5,'Control Room'!$B$16/4))^2),1)</x:f>
        <x:v>1</x:v>
      </x:c>
      <x:c r="AZ256" s="9" t="n">
        <x:f>MOD(BA255*16807,2147483647)</x:f>
        <x:v>1237215666</x:v>
      </x:c>
      <x:c r="BA256" s="9" t="n">
        <x:f>MOD(AZ256*16807,2147483647)</x:f>
        <x:v>1947028208</x:v>
      </x:c>
      <x:c r="BB256" s="17" t="n">
        <x:f>IF('Control Room'!$B$5="Normal",'Control Room'!$B$7+'Control Room'!$D$7*SQRT(-2*LN(MAX(0.000000000001,AZ256/2147483647)))*COS(2*PI()*BA256/2147483647),'Control Room'!$B$8+('Control Room'!$D$8-'Control Room'!$B$8)*AZ256/2147483647)</x:f>
        <x:v>1078.7205284248023</x:v>
      </x:c>
      <x:c r="BC256" s="17" t="n">
        <x:f>IF('Control Room'!$B$5="Normal",'Control Room'!$B$7,('Control Room'!$B$8+'Control Room'!$D$8)/2)+'Control Room'!$B$9*(BC255-IF('Control Room'!$B$5="Normal",'Control Room'!$B$7,('Control Room'!$B$8+'Control Room'!$D$8)/2))+SQRT(1-'Control Room'!$B$9^2)*(BB256-IF('Control Room'!$B$5="Normal",'Control Room'!$B$7,('Control Room'!$B$8+'Control Room'!$D$8)/2))</x:f>
        <x:v>969.6777569717684</x:v>
      </x:c>
      <x:c r="BD256" s="17" t="n">
        <x:f>IF(AND($A256&gt;='Control Room'!$A$13,$A256&lt;'Control Room'!$A$13+'Control Room'!$B$13,'Process'!BU2=1),1+('Control Room'!$C$13-1)*EXP(-0.5*(($A256-'Control Room'!$A$13-('Control Room'!$B$13-1)/2)/MAX(0.5,'Control Room'!$B$13/4))^2),1)*IF(AND($A256&gt;='Control Room'!$A$14,$A256&lt;'Control Room'!$A$14+'Control Room'!$B$14,'Process'!BU3=1),1+('Control Room'!$C$14-1)*EXP(-0.5*(($A256-'Control Room'!$A$14-('Control Room'!$B$14-1)/2)/MAX(0.5,'Control Room'!$B$14/4))^2),1)*IF(AND($A256&gt;='Control Room'!$A$15,$A256&lt;'Control Room'!$A$15+'Control Room'!$B$15,'Process'!BU4=1),1+('Control Room'!$C$15-1)*EXP(-0.5*(($A256-'Control Room'!$A$15-('Control Room'!$B$15-1)/2)/MAX(0.5,'Control Room'!$B$15/4))^2),1)*IF(AND($A256&gt;='Control Room'!$A$16,$A256&lt;'Control Room'!$A$16+'Control Room'!$B$16,'Process'!BU5=1),1+('Control Room'!$C$16-1)*EXP(-0.5*(($A256-'Control Room'!$A$16-('Control Room'!$B$16-1)/2)/MAX(0.5,'Control Room'!$B$16/4))^2),1)</x:f>
        <x:v>1</x:v>
      </x:c>
      <x:c r="BE256" s="9" t="n">
        <x:f>MOD(BF255*16807,2147483647)</x:f>
        <x:v>1544755263</x:v>
      </x:c>
      <x:c r="BF256" s="9" t="n">
        <x:f>MOD(BE256*16807,2147483647)</x:f>
        <x:v>1771896658</x:v>
      </x:c>
      <x:c r="BG256" s="17" t="n">
        <x:f>IF('Control Room'!$B$5="Normal",'Control Room'!$B$7+'Control Room'!$D$7*SQRT(-2*LN(MAX(0.000000000001,BE256/2147483647)))*COS(2*PI()*BF256/2147483647),'Control Room'!$B$8+('Control Room'!$D$8-'Control Room'!$B$8)*BE256/2147483647)</x:f>
        <x:v>1033.2079055904528</x:v>
      </x:c>
      <x:c r="BH256" s="17" t="n">
        <x:f>IF('Control Room'!$B$5="Normal",'Control Room'!$B$7,('Control Room'!$B$8+'Control Room'!$D$8)/2)+'Control Room'!$B$9*(BH255-IF('Control Room'!$B$5="Normal",'Control Room'!$B$7,('Control Room'!$B$8+'Control Room'!$D$8)/2))+SQRT(1-'Control Room'!$B$9^2)*(BG256-IF('Control Room'!$B$5="Normal",'Control Room'!$B$7,('Control Room'!$B$8+'Control Room'!$D$8)/2))</x:f>
        <x:v>1063.0494571263855</x:v>
      </x:c>
      <x:c r="BI256" s="17" t="n">
        <x:f>IF(AND($A256&gt;='Control Room'!$A$13,$A256&lt;'Control Room'!$A$13+'Control Room'!$B$13,'Process'!BV2=1),1+('Control Room'!$C$13-1)*EXP(-0.5*(($A256-'Control Room'!$A$13-('Control Room'!$B$13-1)/2)/MAX(0.5,'Control Room'!$B$13/4))^2),1)*IF(AND($A256&gt;='Control Room'!$A$14,$A256&lt;'Control Room'!$A$14+'Control Room'!$B$14,'Process'!BV3=1),1+('Control Room'!$C$14-1)*EXP(-0.5*(($A256-'Control Room'!$A$14-('Control Room'!$B$14-1)/2)/MAX(0.5,'Control Room'!$B$14/4))^2),1)*IF(AND($A256&gt;='Control Room'!$A$15,$A256&lt;'Control Room'!$A$15+'Control Room'!$B$15,'Process'!BV4=1),1+('Control Room'!$C$15-1)*EXP(-0.5*(($A256-'Control Room'!$A$15-('Control Room'!$B$15-1)/2)/MAX(0.5,'Control Room'!$B$15/4))^2),1)*IF(AND($A256&gt;='Control Room'!$A$16,$A256&lt;'Control Room'!$A$16+'Control Room'!$B$16,'Process'!BV5=1),1+('Control Room'!$C$16-1)*EXP(-0.5*(($A256-'Control Room'!$A$16-('Control Room'!$B$16-1)/2)/MAX(0.5,'Control Room'!$B$16/4))^2),1)</x:f>
        <x:v>1</x:v>
      </x:c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Z256" t="str">
        <x:f>IF('Data'!A256="","",TEXT('Data'!A256,"mm-dd"))</x:f>
      </x:c>
    </x:row>
    <x:row r="257" ht="21" customHeight="1">
      <x:c r="A257" s="15" t="n">
        <x:f>'Control Room'!$B$1+255</x:f>
        <x:v>73246</x:v>
      </x:c>
      <x:c r="B257" s="9" t="n">
        <x:f>MOD(C256*16807,2147483647)</x:f>
        <x:v>1296021588</x:v>
      </x:c>
      <x:c r="C257" s="9" t="n">
        <x:f>MOD(B257*16807,2147483647)</x:f>
        <x:v>308197995</x:v>
      </x:c>
      <x:c r="D257" s="17" t="n">
        <x:f>IF('Control Room'!$B$5="Normal",'Control Room'!$B$7+'Control Room'!$D$7*SQRT(-2*LN(MAX(0.000000000001,B257/2147483647)))*COS(2*PI()*C257/2147483647),'Control Room'!$B$8+('Control Room'!$D$8-'Control Room'!$B$8)*B257/2147483647)</x:f>
        <x:v>1056.100645658134</x:v>
      </x:c>
      <x:c r="E257" s="17" t="n">
        <x:f>IF('Control Room'!$B$5="Normal",'Control Room'!$B$7,('Control Room'!$B$8+'Control Room'!$D$8)/2)+'Control Room'!$B$9*(E256-IF('Control Room'!$B$5="Normal",'Control Room'!$B$7,('Control Room'!$B$8+'Control Room'!$D$8)/2))+SQRT(1-'Control Room'!$B$9^2)*(D257-IF('Control Room'!$B$5="Normal",'Control Room'!$B$7,('Control Room'!$B$8+'Control Room'!$D$8)/2))</x:f>
        <x:v>1069.866206665973</x:v>
      </x:c>
      <x:c r="F257" s="17" t="n">
        <x:f>IF(AND($A257&gt;='Control Room'!$A$13,$A257&lt;'Control Room'!$A$13+'Control Room'!$B$13,'Process'!BK2=1),1+('Control Room'!$C$13-1)*EXP(-0.5*(($A257-'Control Room'!$A$13-('Control Room'!$B$13-1)/2)/MAX(0.5,'Control Room'!$B$13/4))^2),1)*IF(AND($A257&gt;='Control Room'!$A$14,$A257&lt;'Control Room'!$A$14+'Control Room'!$B$14,'Process'!BK3=1),1+('Control Room'!$C$14-1)*EXP(-0.5*(($A257-'Control Room'!$A$14-('Control Room'!$B$14-1)/2)/MAX(0.5,'Control Room'!$B$14/4))^2),1)*IF(AND($A257&gt;='Control Room'!$A$15,$A257&lt;'Control Room'!$A$15+'Control Room'!$B$15,'Process'!BK4=1),1+('Control Room'!$C$15-1)*EXP(-0.5*(($A257-'Control Room'!$A$15-('Control Room'!$B$15-1)/2)/MAX(0.5,'Control Room'!$B$15/4))^2),1)*IF(AND($A257&gt;='Control Room'!$A$16,$A257&lt;'Control Room'!$A$16+'Control Room'!$B$16,'Process'!BK5=1),1+('Control Room'!$C$16-1)*EXP(-0.5*(($A257-'Control Room'!$A$16-('Control Room'!$B$16-1)/2)/MAX(0.5,'Control Room'!$B$16/4))^2),1)</x:f>
        <x:v>1</x:v>
      </x:c>
      <x:c r="G257" s="9" t="n">
        <x:f>MOD(H256*16807,2147483647)</x:f>
        <x:v>2060140775</x:v>
      </x:c>
      <x:c r="H257" s="9" t="n">
        <x:f>MOD(G257*16807,2147483647)</x:f>
        <x:v>907164844</x:v>
      </x:c>
      <x:c r="I257" s="17" t="n">
        <x:f>IF('Control Room'!$B$5="Normal",'Control Room'!$B$7+'Control Room'!$D$7*SQRT(-2*LN(MAX(0.000000000001,G257/2147483647)))*COS(2*PI()*H257/2147483647),'Control Room'!$B$8+('Control Room'!$D$8-'Control Room'!$B$8)*G257/2147483647)</x:f>
        <x:v>977.0840898913389</x:v>
      </x:c>
      <x:c r="J257" s="17" t="n">
        <x:f>IF('Control Room'!$B$5="Normal",'Control Room'!$B$7,('Control Room'!$B$8+'Control Room'!$D$8)/2)+'Control Room'!$B$9*(J256-IF('Control Room'!$B$5="Normal",'Control Room'!$B$7,('Control Room'!$B$8+'Control Room'!$D$8)/2))+SQRT(1-'Control Room'!$B$9^2)*(I257-IF('Control Room'!$B$5="Normal",'Control Room'!$B$7,('Control Room'!$B$8+'Control Room'!$D$8)/2))</x:f>
        <x:v>952.7613552203277</x:v>
      </x:c>
      <x:c r="K257" s="17" t="n">
        <x:f>IF(AND($A257&gt;='Control Room'!$A$13,$A257&lt;'Control Room'!$A$13+'Control Room'!$B$13,'Process'!BL2=1),1+('Control Room'!$C$13-1)*EXP(-0.5*(($A257-'Control Room'!$A$13-('Control Room'!$B$13-1)/2)/MAX(0.5,'Control Room'!$B$13/4))^2),1)*IF(AND($A257&gt;='Control Room'!$A$14,$A257&lt;'Control Room'!$A$14+'Control Room'!$B$14,'Process'!BL3=1),1+('Control Room'!$C$14-1)*EXP(-0.5*(($A257-'Control Room'!$A$14-('Control Room'!$B$14-1)/2)/MAX(0.5,'Control Room'!$B$14/4))^2),1)*IF(AND($A257&gt;='Control Room'!$A$15,$A257&lt;'Control Room'!$A$15+'Control Room'!$B$15,'Process'!BL4=1),1+('Control Room'!$C$15-1)*EXP(-0.5*(($A257-'Control Room'!$A$15-('Control Room'!$B$15-1)/2)/MAX(0.5,'Control Room'!$B$15/4))^2),1)*IF(AND($A257&gt;='Control Room'!$A$16,$A257&lt;'Control Room'!$A$16+'Control Room'!$B$16,'Process'!BL5=1),1+('Control Room'!$C$16-1)*EXP(-0.5*(($A257-'Control Room'!$A$16-('Control Room'!$B$16-1)/2)/MAX(0.5,'Control Room'!$B$16/4))^2),1)</x:f>
        <x:v>1</x:v>
      </x:c>
      <x:c r="L257" s="9" t="n">
        <x:f>MOD(M256*16807,2147483647)</x:f>
        <x:v>676776315</x:v>
      </x:c>
      <x:c r="M257" s="9" t="n">
        <x:f>MOD(L257*16807,2147483647)</x:f>
        <x:v>1506131693</x:v>
      </x:c>
      <x:c r="N257" s="17" t="n">
        <x:f>IF('Control Room'!$B$5="Normal",'Control Room'!$B$7+'Control Room'!$D$7*SQRT(-2*LN(MAX(0.000000000001,L257/2147483647)))*COS(2*PI()*M257/2147483647),'Control Room'!$B$8+('Control Room'!$D$8-'Control Room'!$B$8)*L257/2147483647)</x:f>
        <x:v>958.8380031178945</x:v>
      </x:c>
      <x:c r="O257" s="17" t="n">
        <x:f>IF('Control Room'!$B$5="Normal",'Control Room'!$B$7,('Control Room'!$B$8+'Control Room'!$D$8)/2)+'Control Room'!$B$9*(O256-IF('Control Room'!$B$5="Normal",'Control Room'!$B$7,('Control Room'!$B$8+'Control Room'!$D$8)/2))+SQRT(1-'Control Room'!$B$9^2)*(N257-IF('Control Room'!$B$5="Normal",'Control Room'!$B$7,('Control Room'!$B$8+'Control Room'!$D$8)/2))</x:f>
        <x:v>815.8637819795182</x:v>
      </x:c>
      <x:c r="P257" s="17" t="n">
        <x:f>IF(AND($A257&gt;='Control Room'!$A$13,$A257&lt;'Control Room'!$A$13+'Control Room'!$B$13,'Process'!BM2=1),1+('Control Room'!$C$13-1)*EXP(-0.5*(($A257-'Control Room'!$A$13-('Control Room'!$B$13-1)/2)/MAX(0.5,'Control Room'!$B$13/4))^2),1)*IF(AND($A257&gt;='Control Room'!$A$14,$A257&lt;'Control Room'!$A$14+'Control Room'!$B$14,'Process'!BM3=1),1+('Control Room'!$C$14-1)*EXP(-0.5*(($A257-'Control Room'!$A$14-('Control Room'!$B$14-1)/2)/MAX(0.5,'Control Room'!$B$14/4))^2),1)*IF(AND($A257&gt;='Control Room'!$A$15,$A257&lt;'Control Room'!$A$15+'Control Room'!$B$15,'Process'!BM4=1),1+('Control Room'!$C$15-1)*EXP(-0.5*(($A257-'Control Room'!$A$15-('Control Room'!$B$15-1)/2)/MAX(0.5,'Control Room'!$B$15/4))^2),1)*IF(AND($A257&gt;='Control Room'!$A$16,$A257&lt;'Control Room'!$A$16+'Control Room'!$B$16,'Process'!BM5=1),1+('Control Room'!$C$16-1)*EXP(-0.5*(($A257-'Control Room'!$A$16-('Control Room'!$B$16-1)/2)/MAX(0.5,'Control Room'!$B$16/4))^2),1)</x:f>
        <x:v>1</x:v>
      </x:c>
      <x:c r="Q257" s="9" t="n">
        <x:f>MOD(R256*16807,2147483647)</x:f>
        <x:v>1440895502</x:v>
      </x:c>
      <x:c r="R257" s="9" t="n">
        <x:f>MOD(Q257*16807,2147483647)</x:f>
        <x:v>2105098542</x:v>
      </x:c>
      <x:c r="S257" s="17" t="n">
        <x:f>IF('Control Room'!$B$5="Normal",'Control Room'!$B$7+'Control Room'!$D$7*SQRT(-2*LN(MAX(0.000000000001,Q257/2147483647)))*COS(2*PI()*R257/2147483647),'Control Room'!$B$8+('Control Room'!$D$8-'Control Room'!$B$8)*Q257/2147483647)</x:f>
        <x:v>1079.7835321658358</x:v>
      </x:c>
      <x:c r="T257" s="17" t="n">
        <x:f>IF('Control Room'!$B$5="Normal",'Control Room'!$B$7,('Control Room'!$B$8+'Control Room'!$D$8)/2)+'Control Room'!$B$9*(T256-IF('Control Room'!$B$5="Normal",'Control Room'!$B$7,('Control Room'!$B$8+'Control Room'!$D$8)/2))+SQRT(1-'Control Room'!$B$9^2)*(S257-IF('Control Room'!$B$5="Normal",'Control Room'!$B$7,('Control Room'!$B$8+'Control Room'!$D$8)/2))</x:f>
        <x:v>1010.309843099439</x:v>
      </x:c>
      <x:c r="U257" s="17" t="n">
        <x:f>IF(AND($A257&gt;='Control Room'!$A$13,$A257&lt;'Control Room'!$A$13+'Control Room'!$B$13,'Process'!BN2=1),1+('Control Room'!$C$13-1)*EXP(-0.5*(($A257-'Control Room'!$A$13-('Control Room'!$B$13-1)/2)/MAX(0.5,'Control Room'!$B$13/4))^2),1)*IF(AND($A257&gt;='Control Room'!$A$14,$A257&lt;'Control Room'!$A$14+'Control Room'!$B$14,'Process'!BN3=1),1+('Control Room'!$C$14-1)*EXP(-0.5*(($A257-'Control Room'!$A$14-('Control Room'!$B$14-1)/2)/MAX(0.5,'Control Room'!$B$14/4))^2),1)*IF(AND($A257&gt;='Control Room'!$A$15,$A257&lt;'Control Room'!$A$15+'Control Room'!$B$15,'Process'!BN4=1),1+('Control Room'!$C$15-1)*EXP(-0.5*(($A257-'Control Room'!$A$15-('Control Room'!$B$15-1)/2)/MAX(0.5,'Control Room'!$B$15/4))^2),1)*IF(AND($A257&gt;='Control Room'!$A$16,$A257&lt;'Control Room'!$A$16+'Control Room'!$B$16,'Process'!BN5=1),1+('Control Room'!$C$16-1)*EXP(-0.5*(($A257-'Control Room'!$A$16-('Control Room'!$B$16-1)/2)/MAX(0.5,'Control Room'!$B$16/4))^2),1)</x:f>
        <x:v>1</x:v>
      </x:c>
      <x:c r="V257" s="9" t="n">
        <x:f>MOD(W256*16807,2147483647)</x:f>
        <x:v>57531042</x:v>
      </x:c>
      <x:c r="W257" s="9" t="n">
        <x:f>MOD(V257*16807,2147483647)</x:f>
        <x:v>556581744</x:v>
      </x:c>
      <x:c r="X257" s="17" t="n">
        <x:f>IF('Control Room'!$B$5="Normal",'Control Room'!$B$7+'Control Room'!$D$7*SQRT(-2*LN(MAX(0.000000000001,V257/2147483647)))*COS(2*PI()*W257/2147483647),'Control Room'!$B$8+('Control Room'!$D$8-'Control Room'!$B$8)*V257/2147483647)</x:f>
        <x:v>986.0424356267133</x:v>
      </x:c>
      <x:c r="Y257" s="17" t="n">
        <x:f>IF('Control Room'!$B$5="Normal",'Control Room'!$B$7,('Control Room'!$B$8+'Control Room'!$D$8)/2)+'Control Room'!$B$9*(Y256-IF('Control Room'!$B$5="Normal",'Control Room'!$B$7,('Control Room'!$B$8+'Control Room'!$D$8)/2))+SQRT(1-'Control Room'!$B$9^2)*(X257-IF('Control Room'!$B$5="Normal",'Control Room'!$B$7,('Control Room'!$B$8+'Control Room'!$D$8)/2))</x:f>
        <x:v>990.9107081698481</x:v>
      </x:c>
      <x:c r="Z257" s="17" t="n">
        <x:f>IF(AND($A257&gt;='Control Room'!$A$13,$A257&lt;'Control Room'!$A$13+'Control Room'!$B$13,'Process'!BO2=1),1+('Control Room'!$C$13-1)*EXP(-0.5*(($A257-'Control Room'!$A$13-('Control Room'!$B$13-1)/2)/MAX(0.5,'Control Room'!$B$13/4))^2),1)*IF(AND($A257&gt;='Control Room'!$A$14,$A257&lt;'Control Room'!$A$14+'Control Room'!$B$14,'Process'!BO3=1),1+('Control Room'!$C$14-1)*EXP(-0.5*(($A257-'Control Room'!$A$14-('Control Room'!$B$14-1)/2)/MAX(0.5,'Control Room'!$B$14/4))^2),1)*IF(AND($A257&gt;='Control Room'!$A$15,$A257&lt;'Control Room'!$A$15+'Control Room'!$B$15,'Process'!BO4=1),1+('Control Room'!$C$15-1)*EXP(-0.5*(($A257-'Control Room'!$A$15-('Control Room'!$B$15-1)/2)/MAX(0.5,'Control Room'!$B$15/4))^2),1)*IF(AND($A257&gt;='Control Room'!$A$16,$A257&lt;'Control Room'!$A$16+'Control Room'!$B$16,'Process'!BO5=1),1+('Control Room'!$C$16-1)*EXP(-0.5*(($A257-'Control Room'!$A$16-('Control Room'!$B$16-1)/2)/MAX(0.5,'Control Room'!$B$16/4))^2),1)</x:f>
        <x:v>1</x:v>
      </x:c>
      <x:c r="AA257" s="9" t="n">
        <x:f>MOD(AB256*16807,2147483647)</x:f>
        <x:v>821650229</x:v>
      </x:c>
      <x:c r="AB257" s="9" t="n">
        <x:f>MOD(AA257*16807,2147483647)</x:f>
        <x:v>1155548593</x:v>
      </x:c>
      <x:c r="AC257" s="17" t="n">
        <x:f>IF('Control Room'!$B$5="Normal",'Control Room'!$B$7+'Control Room'!$D$7*SQRT(-2*LN(MAX(0.000000000001,AA257/2147483647)))*COS(2*PI()*AB257/2147483647),'Control Room'!$B$8+('Control Room'!$D$8-'Control Room'!$B$8)*AA257/2147483647)</x:f>
        <x:v>878.8010565475115</x:v>
      </x:c>
      <x:c r="AD257" s="17" t="n">
        <x:f>IF('Control Room'!$B$5="Normal",'Control Room'!$B$7,('Control Room'!$B$8+'Control Room'!$D$8)/2)+'Control Room'!$B$9*(AD256-IF('Control Room'!$B$5="Normal",'Control Room'!$B$7,('Control Room'!$B$8+'Control Room'!$D$8)/2))+SQRT(1-'Control Room'!$B$9^2)*(AC257-IF('Control Room'!$B$5="Normal",'Control Room'!$B$7,('Control Room'!$B$8+'Control Room'!$D$8)/2))</x:f>
        <x:v>885.5937469190754</x:v>
      </x:c>
      <x:c r="AE257" s="17" t="n">
        <x:f>IF(AND($A257&gt;='Control Room'!$A$13,$A257&lt;'Control Room'!$A$13+'Control Room'!$B$13,'Process'!BP2=1),1+('Control Room'!$C$13-1)*EXP(-0.5*(($A257-'Control Room'!$A$13-('Control Room'!$B$13-1)/2)/MAX(0.5,'Control Room'!$B$13/4))^2),1)*IF(AND($A257&gt;='Control Room'!$A$14,$A257&lt;'Control Room'!$A$14+'Control Room'!$B$14,'Process'!BP3=1),1+('Control Room'!$C$14-1)*EXP(-0.5*(($A257-'Control Room'!$A$14-('Control Room'!$B$14-1)/2)/MAX(0.5,'Control Room'!$B$14/4))^2),1)*IF(AND($A257&gt;='Control Room'!$A$15,$A257&lt;'Control Room'!$A$15+'Control Room'!$B$15,'Process'!BP4=1),1+('Control Room'!$C$15-1)*EXP(-0.5*(($A257-'Control Room'!$A$15-('Control Room'!$B$15-1)/2)/MAX(0.5,'Control Room'!$B$15/4))^2),1)*IF(AND($A257&gt;='Control Room'!$A$16,$A257&lt;'Control Room'!$A$16+'Control Room'!$B$16,'Process'!BP5=1),1+('Control Room'!$C$16-1)*EXP(-0.5*(($A257-'Control Room'!$A$16-('Control Room'!$B$16-1)/2)/MAX(0.5,'Control Room'!$B$16/4))^2),1)</x:f>
        <x:v>1</x:v>
      </x:c>
      <x:c r="AF257" s="9" t="n">
        <x:f>MOD(AG256*16807,2147483647)</x:f>
        <x:v>1585769416</x:v>
      </x:c>
      <x:c r="AG257" s="9" t="n">
        <x:f>MOD(AF257*16807,2147483647)</x:f>
        <x:v>1754515442</x:v>
      </x:c>
      <x:c r="AH257" s="17" t="n">
        <x:f>IF('Control Room'!$B$5="Normal",'Control Room'!$B$7+'Control Room'!$D$7*SQRT(-2*LN(MAX(0.000000000001,AF257/2147483647)))*COS(2*PI()*AG257/2147483647),'Control Room'!$B$8+('Control Room'!$D$8-'Control Room'!$B$8)*AF257/2147483647)</x:f>
        <x:v>1028.6452381351005</x:v>
      </x:c>
      <x:c r="AI257" s="17" t="n">
        <x:f>IF('Control Room'!$B$5="Normal",'Control Room'!$B$7,('Control Room'!$B$8+'Control Room'!$D$8)/2)+'Control Room'!$B$9*(AI256-IF('Control Room'!$B$5="Normal",'Control Room'!$B$7,('Control Room'!$B$8+'Control Room'!$D$8)/2))+SQRT(1-'Control Room'!$B$9^2)*(AH257-IF('Control Room'!$B$5="Normal",'Control Room'!$B$7,('Control Room'!$B$8+'Control Room'!$D$8)/2))</x:f>
        <x:v>1030.489477344804</x:v>
      </x:c>
      <x:c r="AJ257" s="17" t="n">
        <x:f>IF(AND($A257&gt;='Control Room'!$A$13,$A257&lt;'Control Room'!$A$13+'Control Room'!$B$13,'Process'!BQ2=1),1+('Control Room'!$C$13-1)*EXP(-0.5*(($A257-'Control Room'!$A$13-('Control Room'!$B$13-1)/2)/MAX(0.5,'Control Room'!$B$13/4))^2),1)*IF(AND($A257&gt;='Control Room'!$A$14,$A257&lt;'Control Room'!$A$14+'Control Room'!$B$14,'Process'!BQ3=1),1+('Control Room'!$C$14-1)*EXP(-0.5*(($A257-'Control Room'!$A$14-('Control Room'!$B$14-1)/2)/MAX(0.5,'Control Room'!$B$14/4))^2),1)*IF(AND($A257&gt;='Control Room'!$A$15,$A257&lt;'Control Room'!$A$15+'Control Room'!$B$15,'Process'!BQ4=1),1+('Control Room'!$C$15-1)*EXP(-0.5*(($A257-'Control Room'!$A$15-('Control Room'!$B$15-1)/2)/MAX(0.5,'Control Room'!$B$15/4))^2),1)*IF(AND($A257&gt;='Control Room'!$A$16,$A257&lt;'Control Room'!$A$16+'Control Room'!$B$16,'Process'!BQ5=1),1+('Control Room'!$C$16-1)*EXP(-0.5*(($A257-'Control Room'!$A$16-('Control Room'!$B$16-1)/2)/MAX(0.5,'Control Room'!$B$16/4))^2),1)</x:f>
        <x:v>1</x:v>
      </x:c>
      <x:c r="AK257" s="9" t="n">
        <x:f>MOD(AL256*16807,2147483647)</x:f>
        <x:v>202404956</x:v>
      </x:c>
      <x:c r="AL257" s="9" t="n">
        <x:f>MOD(AK257*16807,2147483647)</x:f>
        <x:v>205998644</x:v>
      </x:c>
      <x:c r="AM257" s="17" t="n">
        <x:f>IF('Control Room'!$B$5="Normal",'Control Room'!$B$7+'Control Room'!$D$7*SQRT(-2*LN(MAX(0.000000000001,AK257/2147483647)))*COS(2*PI()*AL257/2147483647),'Control Room'!$B$8+('Control Room'!$D$8-'Control Room'!$B$8)*AK257/2147483647)</x:f>
        <x:v>1161.1379954307547</x:v>
      </x:c>
      <x:c r="AN257" s="17" t="n">
        <x:f>IF('Control Room'!$B$5="Normal",'Control Room'!$B$7,('Control Room'!$B$8+'Control Room'!$D$8)/2)+'Control Room'!$B$9*(AN256-IF('Control Room'!$B$5="Normal",'Control Room'!$B$7,('Control Room'!$B$8+'Control Room'!$D$8)/2))+SQRT(1-'Control Room'!$B$9^2)*(AM257-IF('Control Room'!$B$5="Normal",'Control Room'!$B$7,('Control Room'!$B$8+'Control Room'!$D$8)/2))</x:f>
        <x:v>1166.707286559617</x:v>
      </x:c>
      <x:c r="AO257" s="17" t="n">
        <x:f>IF(AND($A257&gt;='Control Room'!$A$13,$A257&lt;'Control Room'!$A$13+'Control Room'!$B$13,'Process'!BR2=1),1+('Control Room'!$C$13-1)*EXP(-0.5*(($A257-'Control Room'!$A$13-('Control Room'!$B$13-1)/2)/MAX(0.5,'Control Room'!$B$13/4))^2),1)*IF(AND($A257&gt;='Control Room'!$A$14,$A257&lt;'Control Room'!$A$14+'Control Room'!$B$14,'Process'!BR3=1),1+('Control Room'!$C$14-1)*EXP(-0.5*(($A257-'Control Room'!$A$14-('Control Room'!$B$14-1)/2)/MAX(0.5,'Control Room'!$B$14/4))^2),1)*IF(AND($A257&gt;='Control Room'!$A$15,$A257&lt;'Control Room'!$A$15+'Control Room'!$B$15,'Process'!BR4=1),1+('Control Room'!$C$15-1)*EXP(-0.5*(($A257-'Control Room'!$A$15-('Control Room'!$B$15-1)/2)/MAX(0.5,'Control Room'!$B$15/4))^2),1)*IF(AND($A257&gt;='Control Room'!$A$16,$A257&lt;'Control Room'!$A$16+'Control Room'!$B$16,'Process'!BR5=1),1+('Control Room'!$C$16-1)*EXP(-0.5*(($A257-'Control Room'!$A$16-('Control Room'!$B$16-1)/2)/MAX(0.5,'Control Room'!$B$16/4))^2),1)</x:f>
        <x:v>1</x:v>
      </x:c>
      <x:c r="AP257" s="9" t="n">
        <x:f>MOD(AQ256*16807,2147483647)</x:f>
        <x:v>966524143</x:v>
      </x:c>
      <x:c r="AQ257" s="9" t="n">
        <x:f>MOD(AP257*16807,2147483647)</x:f>
        <x:v>804965493</x:v>
      </x:c>
      <x:c r="AR257" s="17" t="n">
        <x:f>IF('Control Room'!$B$5="Normal",'Control Room'!$B$7+'Control Room'!$D$7*SQRT(-2*LN(MAX(0.000000000001,AP257/2147483647)))*COS(2*PI()*AQ257/2147483647),'Control Room'!$B$8+('Control Room'!$D$8-'Control Room'!$B$8)*AP257/2147483647)</x:f>
        <x:v>919.6650647038571</x:v>
      </x:c>
      <x:c r="AS257" s="17" t="n">
        <x:f>IF('Control Room'!$B$5="Normal",'Control Room'!$B$7,('Control Room'!$B$8+'Control Room'!$D$8)/2)+'Control Room'!$B$9*(AS256-IF('Control Room'!$B$5="Normal",'Control Room'!$B$7,('Control Room'!$B$8+'Control Room'!$D$8)/2))+SQRT(1-'Control Room'!$B$9^2)*(AR257-IF('Control Room'!$B$5="Normal",'Control Room'!$B$7,('Control Room'!$B$8+'Control Room'!$D$8)/2))</x:f>
        <x:v>1021.8305738638526</x:v>
      </x:c>
      <x:c r="AT257" s="17" t="n">
        <x:f>IF(AND($A257&gt;='Control Room'!$A$13,$A257&lt;'Control Room'!$A$13+'Control Room'!$B$13,'Process'!BS2=1),1+('Control Room'!$C$13-1)*EXP(-0.5*(($A257-'Control Room'!$A$13-('Control Room'!$B$13-1)/2)/MAX(0.5,'Control Room'!$B$13/4))^2),1)*IF(AND($A257&gt;='Control Room'!$A$14,$A257&lt;'Control Room'!$A$14+'Control Room'!$B$14,'Process'!BS3=1),1+('Control Room'!$C$14-1)*EXP(-0.5*(($A257-'Control Room'!$A$14-('Control Room'!$B$14-1)/2)/MAX(0.5,'Control Room'!$B$14/4))^2),1)*IF(AND($A257&gt;='Control Room'!$A$15,$A257&lt;'Control Room'!$A$15+'Control Room'!$B$15,'Process'!BS4=1),1+('Control Room'!$C$15-1)*EXP(-0.5*(($A257-'Control Room'!$A$15-('Control Room'!$B$15-1)/2)/MAX(0.5,'Control Room'!$B$15/4))^2),1)*IF(AND($A257&gt;='Control Room'!$A$16,$A257&lt;'Control Room'!$A$16+'Control Room'!$B$16,'Process'!BS5=1),1+('Control Room'!$C$16-1)*EXP(-0.5*(($A257-'Control Room'!$A$16-('Control Room'!$B$16-1)/2)/MAX(0.5,'Control Room'!$B$16/4))^2),1)</x:f>
        <x:v>1</x:v>
      </x:c>
      <x:c r="AU257" s="9" t="n">
        <x:f>MOD(AV256*16807,2147483647)</x:f>
        <x:v>1730643330</x:v>
      </x:c>
      <x:c r="AV257" s="9" t="n">
        <x:f>MOD(AU257*16807,2147483647)</x:f>
        <x:v>1403932342</x:v>
      </x:c>
      <x:c r="AW257" s="17" t="n">
        <x:f>IF('Control Room'!$B$5="Normal",'Control Room'!$B$7+'Control Room'!$D$7*SQRT(-2*LN(MAX(0.000000000001,AU257/2147483647)))*COS(2*PI()*AV257/2147483647),'Control Room'!$B$8+('Control Room'!$D$8-'Control Room'!$B$8)*AU257/2147483647)</x:f>
        <x:v>966.3846908402818</x:v>
      </x:c>
      <x:c r="AX257" s="17" t="n">
        <x:f>IF('Control Room'!$B$5="Normal",'Control Room'!$B$7,('Control Room'!$B$8+'Control Room'!$D$8)/2)+'Control Room'!$B$9*(AX256-IF('Control Room'!$B$5="Normal",'Control Room'!$B$7,('Control Room'!$B$8+'Control Room'!$D$8)/2))+SQRT(1-'Control Room'!$B$9^2)*(AW257-IF('Control Room'!$B$5="Normal",'Control Room'!$B$7,('Control Room'!$B$8+'Control Room'!$D$8)/2))</x:f>
        <x:v>981.0703322487365</x:v>
      </x:c>
      <x:c r="AY257" s="17" t="n">
        <x:f>IF(AND($A257&gt;='Control Room'!$A$13,$A257&lt;'Control Room'!$A$13+'Control Room'!$B$13,'Process'!BT2=1),1+('Control Room'!$C$13-1)*EXP(-0.5*(($A257-'Control Room'!$A$13-('Control Room'!$B$13-1)/2)/MAX(0.5,'Control Room'!$B$13/4))^2),1)*IF(AND($A257&gt;='Control Room'!$A$14,$A257&lt;'Control Room'!$A$14+'Control Room'!$B$14,'Process'!BT3=1),1+('Control Room'!$C$14-1)*EXP(-0.5*(($A257-'Control Room'!$A$14-('Control Room'!$B$14-1)/2)/MAX(0.5,'Control Room'!$B$14/4))^2),1)*IF(AND($A257&gt;='Control Room'!$A$15,$A257&lt;'Control Room'!$A$15+'Control Room'!$B$15,'Process'!BT4=1),1+('Control Room'!$C$15-1)*EXP(-0.5*(($A257-'Control Room'!$A$15-('Control Room'!$B$15-1)/2)/MAX(0.5,'Control Room'!$B$15/4))^2),1)*IF(AND($A257&gt;='Control Room'!$A$16,$A257&lt;'Control Room'!$A$16+'Control Room'!$B$16,'Process'!BT5=1),1+('Control Room'!$C$16-1)*EXP(-0.5*(($A257-'Control Room'!$A$16-('Control Room'!$B$16-1)/2)/MAX(0.5,'Control Room'!$B$16/4))^2),1)</x:f>
        <x:v>1</x:v>
      </x:c>
      <x:c r="AZ257" s="9" t="n">
        <x:f>MOD(BA256*16807,2147483647)</x:f>
        <x:v>347278870</x:v>
      </x:c>
      <x:c r="BA257" s="9" t="n">
        <x:f>MOD(AZ257*16807,2147483647)</x:f>
        <x:v>2002899191</x:v>
      </x:c>
      <x:c r="BB257" s="17" t="n">
        <x:f>IF('Control Room'!$B$5="Normal",'Control Room'!$B$7+'Control Room'!$D$7*SQRT(-2*LN(MAX(0.000000000001,AZ257/2147483647)))*COS(2*PI()*BA257/2147483647),'Control Room'!$B$8+('Control Room'!$D$8-'Control Room'!$B$8)*AZ257/2147483647)</x:f>
        <x:v>1156.6554762314197</x:v>
      </x:c>
      <x:c r="BC257" s="17" t="n">
        <x:f>IF('Control Room'!$B$5="Normal",'Control Room'!$B$7,('Control Room'!$B$8+'Control Room'!$D$8)/2)+'Control Room'!$B$9*(BC256-IF('Control Room'!$B$5="Normal",'Control Room'!$B$7,('Control Room'!$B$8+'Control Room'!$D$8)/2))+SQRT(1-'Control Room'!$B$9^2)*(BB257-IF('Control Room'!$B$5="Normal",'Control Room'!$B$7,('Control Room'!$B$8+'Control Room'!$D$8)/2))</x:f>
        <x:v>1074.3804382017322</x:v>
      </x:c>
      <x:c r="BD257" s="17" t="n">
        <x:f>IF(AND($A257&gt;='Control Room'!$A$13,$A257&lt;'Control Room'!$A$13+'Control Room'!$B$13,'Process'!BU2=1),1+('Control Room'!$C$13-1)*EXP(-0.5*(($A257-'Control Room'!$A$13-('Control Room'!$B$13-1)/2)/MAX(0.5,'Control Room'!$B$13/4))^2),1)*IF(AND($A257&gt;='Control Room'!$A$14,$A257&lt;'Control Room'!$A$14+'Control Room'!$B$14,'Process'!BU3=1),1+('Control Room'!$C$14-1)*EXP(-0.5*(($A257-'Control Room'!$A$14-('Control Room'!$B$14-1)/2)/MAX(0.5,'Control Room'!$B$14/4))^2),1)*IF(AND($A257&gt;='Control Room'!$A$15,$A257&lt;'Control Room'!$A$15+'Control Room'!$B$15,'Process'!BU4=1),1+('Control Room'!$C$15-1)*EXP(-0.5*(($A257-'Control Room'!$A$15-('Control Room'!$B$15-1)/2)/MAX(0.5,'Control Room'!$B$15/4))^2),1)*IF(AND($A257&gt;='Control Room'!$A$16,$A257&lt;'Control Room'!$A$16+'Control Room'!$B$16,'Process'!BU5=1),1+('Control Room'!$C$16-1)*EXP(-0.5*(($A257-'Control Room'!$A$16-('Control Room'!$B$16-1)/2)/MAX(0.5,'Control Room'!$B$16/4))^2),1)</x:f>
        <x:v>1</x:v>
      </x:c>
      <x:c r="BE257" s="9" t="n">
        <x:f>MOD(BF256*16807,2147483647)</x:f>
        <x:v>1111398057</x:v>
      </x:c>
      <x:c r="BF257" s="9" t="n">
        <x:f>MOD(BE257*16807,2147483647)</x:f>
        <x:v>454382393</x:v>
      </x:c>
      <x:c r="BG257" s="17" t="n">
        <x:f>IF('Control Room'!$B$5="Normal",'Control Room'!$B$7+'Control Room'!$D$7*SQRT(-2*LN(MAX(0.000000000001,BE257/2147483647)))*COS(2*PI()*BF257/2147483647),'Control Room'!$B$8+('Control Room'!$D$8-'Control Room'!$B$8)*BE257/2147483647)</x:f>
        <x:v>1024.6895513012466</x:v>
      </x:c>
      <x:c r="BH257" s="17" t="n">
        <x:f>IF('Control Room'!$B$5="Normal",'Control Room'!$B$7,('Control Room'!$B$8+'Control Room'!$D$8)/2)+'Control Room'!$B$9*(BH256-IF('Control Room'!$B$5="Normal",'Control Room'!$B$7,('Control Room'!$B$8+'Control Room'!$D$8)/2))+SQRT(1-'Control Room'!$B$9^2)*(BG257-IF('Control Room'!$B$5="Normal",'Control Room'!$B$7,('Control Room'!$B$8+'Control Room'!$D$8)/2))</x:f>
        <x:v>1064.6287919699503</x:v>
      </x:c>
      <x:c r="BI257" s="17" t="n">
        <x:f>IF(AND($A257&gt;='Control Room'!$A$13,$A257&lt;'Control Room'!$A$13+'Control Room'!$B$13,'Process'!BV2=1),1+('Control Room'!$C$13-1)*EXP(-0.5*(($A257-'Control Room'!$A$13-('Control Room'!$B$13-1)/2)/MAX(0.5,'Control Room'!$B$13/4))^2),1)*IF(AND($A257&gt;='Control Room'!$A$14,$A257&lt;'Control Room'!$A$14+'Control Room'!$B$14,'Process'!BV3=1),1+('Control Room'!$C$14-1)*EXP(-0.5*(($A257-'Control Room'!$A$14-('Control Room'!$B$14-1)/2)/MAX(0.5,'Control Room'!$B$14/4))^2),1)*IF(AND($A257&gt;='Control Room'!$A$15,$A257&lt;'Control Room'!$A$15+'Control Room'!$B$15,'Process'!BV4=1),1+('Control Room'!$C$15-1)*EXP(-0.5*(($A257-'Control Room'!$A$15-('Control Room'!$B$15-1)/2)/MAX(0.5,'Control Room'!$B$15/4))^2),1)*IF(AND($A257&gt;='Control Room'!$A$16,$A257&lt;'Control Room'!$A$16+'Control Room'!$B$16,'Process'!BV5=1),1+('Control Room'!$C$16-1)*EXP(-0.5*(($A257-'Control Room'!$A$16-('Control Room'!$B$16-1)/2)/MAX(0.5,'Control Room'!$B$16/4))^2),1)</x:f>
        <x:v>1</x:v>
      </x:c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Z257" t="str">
        <x:f>IF('Data'!A257="","",TEXT('Data'!A257,"mm-dd"))</x:f>
      </x:c>
    </x:row>
    <x:row r="258" ht="21" customHeight="1">
      <x:c r="A258" s="15" t="n">
        <x:f>'Control Room'!$B$1+256</x:f>
        <x:v>73247</x:v>
      </x:c>
      <x:c r="B258" s="9" t="n">
        <x:f>MOD(C257*16807,2147483647)</x:f>
        <x:v>153145401</x:v>
      </x:c>
      <x:c r="C258" s="9" t="n">
        <x:f>MOD(B258*16807,2147483647)</x:f>
        <x:v>1229345501</x:v>
      </x:c>
      <x:c r="D258" s="17" t="n">
        <x:f>IF('Control Room'!$B$5="Normal",'Control Room'!$B$7+'Control Room'!$D$7*SQRT(-2*LN(MAX(0.000000000001,B258/2147483647)))*COS(2*PI()*C258/2147483647),'Control Room'!$B$8+('Control Room'!$D$8-'Control Room'!$B$8)*B258/2147483647)</x:f>
        <x:v>814.2370559146325</x:v>
      </x:c>
      <x:c r="E258" s="17" t="n">
        <x:f>IF('Control Room'!$B$5="Normal",'Control Room'!$B$7,('Control Room'!$B$8+'Control Room'!$D$8)/2)+'Control Room'!$B$9*(E257-IF('Control Room'!$B$5="Normal",'Control Room'!$B$7,('Control Room'!$B$8+'Control Room'!$D$8)/2))+SQRT(1-'Control Room'!$B$9^2)*(D258-IF('Control Room'!$B$5="Normal",'Control Room'!$B$7,('Control Room'!$B$8+'Control Room'!$D$8)/2))</x:f>
        <x:v>938.2489963515962</x:v>
      </x:c>
      <x:c r="F258" s="17" t="n">
        <x:f>IF(AND($A258&gt;='Control Room'!$A$13,$A258&lt;'Control Room'!$A$13+'Control Room'!$B$13,'Process'!BK2=1),1+('Control Room'!$C$13-1)*EXP(-0.5*(($A258-'Control Room'!$A$13-('Control Room'!$B$13-1)/2)/MAX(0.5,'Control Room'!$B$13/4))^2),1)*IF(AND($A258&gt;='Control Room'!$A$14,$A258&lt;'Control Room'!$A$14+'Control Room'!$B$14,'Process'!BK3=1),1+('Control Room'!$C$14-1)*EXP(-0.5*(($A258-'Control Room'!$A$14-('Control Room'!$B$14-1)/2)/MAX(0.5,'Control Room'!$B$14/4))^2),1)*IF(AND($A258&gt;='Control Room'!$A$15,$A258&lt;'Control Room'!$A$15+'Control Room'!$B$15,'Process'!BK4=1),1+('Control Room'!$C$15-1)*EXP(-0.5*(($A258-'Control Room'!$A$15-('Control Room'!$B$15-1)/2)/MAX(0.5,'Control Room'!$B$15/4))^2),1)*IF(AND($A258&gt;='Control Room'!$A$16,$A258&lt;'Control Room'!$A$16+'Control Room'!$B$16,'Process'!BK5=1),1+('Control Room'!$C$16-1)*EXP(-0.5*(($A258-'Control Room'!$A$16-('Control Room'!$B$16-1)/2)/MAX(0.5,'Control Room'!$B$16/4))^2),1)</x:f>
        <x:v>1</x:v>
      </x:c>
      <x:c r="G258" s="9" t="n">
        <x:f>MOD(H257*16807,2147483647)</x:f>
        <x:v>1733123055</x:v>
      </x:c>
      <x:c r="H258" s="9" t="n">
        <x:f>MOD(G258*16807,2147483647)</x:f>
        <x:v>130997477</x:v>
      </x:c>
      <x:c r="I258" s="17" t="n">
        <x:f>IF('Control Room'!$B$5="Normal",'Control Room'!$B$7+'Control Room'!$D$7*SQRT(-2*LN(MAX(0.000000000001,G258/2147483647)))*COS(2*PI()*H258/2147483647),'Control Room'!$B$8+('Control Room'!$D$8-'Control Room'!$B$8)*G258/2147483647)</x:f>
        <x:v>1054.6548888413895</x:v>
      </x:c>
      <x:c r="J258" s="17" t="n">
        <x:f>IF('Control Room'!$B$5="Normal",'Control Room'!$B$7,('Control Room'!$B$8+'Control Room'!$D$8)/2)+'Control Room'!$B$9*(J257-IF('Control Room'!$B$5="Normal",'Control Room'!$B$7,('Control Room'!$B$8+'Control Room'!$D$8)/2))+SQRT(1-'Control Room'!$B$9^2)*(I258-IF('Control Room'!$B$5="Normal",'Control Room'!$B$7,('Control Room'!$B$8+'Control Room'!$D$8)/2))</x:f>
        <x:v>997.3557668425399</x:v>
      </x:c>
      <x:c r="K258" s="17" t="n">
        <x:f>IF(AND($A258&gt;='Control Room'!$A$13,$A258&lt;'Control Room'!$A$13+'Control Room'!$B$13,'Process'!BL2=1),1+('Control Room'!$C$13-1)*EXP(-0.5*(($A258-'Control Room'!$A$13-('Control Room'!$B$13-1)/2)/MAX(0.5,'Control Room'!$B$13/4))^2),1)*IF(AND($A258&gt;='Control Room'!$A$14,$A258&lt;'Control Room'!$A$14+'Control Room'!$B$14,'Process'!BL3=1),1+('Control Room'!$C$14-1)*EXP(-0.5*(($A258-'Control Room'!$A$14-('Control Room'!$B$14-1)/2)/MAX(0.5,'Control Room'!$B$14/4))^2),1)*IF(AND($A258&gt;='Control Room'!$A$15,$A258&lt;'Control Room'!$A$15+'Control Room'!$B$15,'Process'!BL4=1),1+('Control Room'!$C$15-1)*EXP(-0.5*(($A258-'Control Room'!$A$15-('Control Room'!$B$15-1)/2)/MAX(0.5,'Control Room'!$B$15/4))^2),1)*IF(AND($A258&gt;='Control Room'!$A$16,$A258&lt;'Control Room'!$A$16+'Control Room'!$B$16,'Process'!BL5=1),1+('Control Room'!$C$16-1)*EXP(-0.5*(($A258-'Control Room'!$A$16-('Control Room'!$B$16-1)/2)/MAX(0.5,'Control Room'!$B$16/4))^2),1)</x:f>
        <x:v>1</x:v>
      </x:c>
      <x:c r="L258" s="9" t="n">
        <x:f>MOD(M257*16807,2147483647)</x:f>
        <x:v>1165617062</x:v>
      </x:c>
      <x:c r="M258" s="9" t="n">
        <x:f>MOD(L258*16807,2147483647)</x:f>
        <x:v>1180133100</x:v>
      </x:c>
      <x:c r="N258" s="17" t="n">
        <x:f>IF('Control Room'!$B$5="Normal",'Control Room'!$B$7+'Control Room'!$D$7*SQRT(-2*LN(MAX(0.000000000001,L258/2147483647)))*COS(2*PI()*M258/2147483647),'Control Room'!$B$8+('Control Room'!$D$8-'Control Room'!$B$8)*L258/2147483647)</x:f>
        <x:v>905.2880751785965</x:v>
      </x:c>
      <x:c r="O258" s="17" t="n">
        <x:f>IF('Control Room'!$B$5="Normal",'Control Room'!$B$7,('Control Room'!$B$8+'Control Room'!$D$8)/2)+'Control Room'!$B$9*(O257-IF('Control Room'!$B$5="Normal",'Control Room'!$B$7,('Control Room'!$B$8+'Control Room'!$D$8)/2))+SQRT(1-'Control Room'!$B$9^2)*(N258-IF('Control Room'!$B$5="Normal",'Control Room'!$B$7,('Control Room'!$B$8+'Control Room'!$D$8)/2))</x:f>
        <x:v>797.1049676700335</x:v>
      </x:c>
      <x:c r="P258" s="17" t="n">
        <x:f>IF(AND($A258&gt;='Control Room'!$A$13,$A258&lt;'Control Room'!$A$13+'Control Room'!$B$13,'Process'!BM2=1),1+('Control Room'!$C$13-1)*EXP(-0.5*(($A258-'Control Room'!$A$13-('Control Room'!$B$13-1)/2)/MAX(0.5,'Control Room'!$B$13/4))^2),1)*IF(AND($A258&gt;='Control Room'!$A$14,$A258&lt;'Control Room'!$A$14+'Control Room'!$B$14,'Process'!BM3=1),1+('Control Room'!$C$14-1)*EXP(-0.5*(($A258-'Control Room'!$A$14-('Control Room'!$B$14-1)/2)/MAX(0.5,'Control Room'!$B$14/4))^2),1)*IF(AND($A258&gt;='Control Room'!$A$15,$A258&lt;'Control Room'!$A$15+'Control Room'!$B$15,'Process'!BM4=1),1+('Control Room'!$C$15-1)*EXP(-0.5*(($A258-'Control Room'!$A$15-('Control Room'!$B$15-1)/2)/MAX(0.5,'Control Room'!$B$15/4))^2),1)*IF(AND($A258&gt;='Control Room'!$A$16,$A258&lt;'Control Room'!$A$16+'Control Room'!$B$16,'Process'!BM5=1),1+('Control Room'!$C$16-1)*EXP(-0.5*(($A258-'Control Room'!$A$16-('Control Room'!$B$16-1)/2)/MAX(0.5,'Control Room'!$B$16/4))^2),1)</x:f>
        <x:v>1</x:v>
      </x:c>
      <x:c r="Q258" s="9" t="n">
        <x:f>MOD(R257*16807,2147483647)</x:f>
        <x:v>598111069</x:v>
      </x:c>
      <x:c r="R258" s="9" t="n">
        <x:f>MOD(Q258*16807,2147483647)</x:f>
        <x:v>81785076</x:v>
      </x:c>
      <x:c r="S258" s="17" t="n">
        <x:f>IF('Control Room'!$B$5="Normal",'Control Room'!$B$7+'Control Room'!$D$7*SQRT(-2*LN(MAX(0.000000000001,Q258/2147483647)))*COS(2*PI()*R258/2147483647),'Control Room'!$B$8+('Control Room'!$D$8-'Control Room'!$B$8)*Q258/2147483647)</x:f>
        <x:v>1139.8026777505197</x:v>
      </x:c>
      <x:c r="T258" s="17" t="n">
        <x:f>IF('Control Room'!$B$5="Normal",'Control Room'!$B$7,('Control Room'!$B$8+'Control Room'!$D$8)/2)+'Control Room'!$B$9*(T257-IF('Control Room'!$B$5="Normal",'Control Room'!$B$7,('Control Room'!$B$8+'Control Room'!$D$8)/2))+SQRT(1-'Control Room'!$B$9^2)*(S258-IF('Control Room'!$B$5="Normal",'Control Room'!$B$7,('Control Room'!$B$8+'Control Room'!$D$8)/2))</x:f>
        <x:v>1095.5273293403109</x:v>
      </x:c>
      <x:c r="U258" s="17" t="n">
        <x:f>IF(AND($A258&gt;='Control Room'!$A$13,$A258&lt;'Control Room'!$A$13+'Control Room'!$B$13,'Process'!BN2=1),1+('Control Room'!$C$13-1)*EXP(-0.5*(($A258-'Control Room'!$A$13-('Control Room'!$B$13-1)/2)/MAX(0.5,'Control Room'!$B$13/4))^2),1)*IF(AND($A258&gt;='Control Room'!$A$14,$A258&lt;'Control Room'!$A$14+'Control Room'!$B$14,'Process'!BN3=1),1+('Control Room'!$C$14-1)*EXP(-0.5*(($A258-'Control Room'!$A$14-('Control Room'!$B$14-1)/2)/MAX(0.5,'Control Room'!$B$14/4))^2),1)*IF(AND($A258&gt;='Control Room'!$A$15,$A258&lt;'Control Room'!$A$15+'Control Room'!$B$15,'Process'!BN4=1),1+('Control Room'!$C$15-1)*EXP(-0.5*(($A258-'Control Room'!$A$15-('Control Room'!$B$15-1)/2)/MAX(0.5,'Control Room'!$B$15/4))^2),1)*IF(AND($A258&gt;='Control Room'!$A$16,$A258&lt;'Control Room'!$A$16+'Control Room'!$B$16,'Process'!BN5=1),1+('Control Room'!$C$16-1)*EXP(-0.5*(($A258-'Control Room'!$A$16-('Control Room'!$B$16-1)/2)/MAX(0.5,'Control Room'!$B$16/4))^2),1)</x:f>
        <x:v>1</x:v>
      </x:c>
      <x:c r="V258" s="9" t="n">
        <x:f>MOD(W257*16807,2147483647)</x:f>
        <x:v>30605076</x:v>
      </x:c>
      <x:c r="W258" s="9" t="n">
        <x:f>MOD(V258*16807,2147483647)</x:f>
        <x:v>1130920699</x:v>
      </x:c>
      <x:c r="X258" s="17" t="n">
        <x:f>IF('Control Room'!$B$5="Normal",'Control Room'!$B$7+'Control Room'!$D$7*SQRT(-2*LN(MAX(0.000000000001,V258/2147483647)))*COS(2*PI()*W258/2147483647),'Control Room'!$B$8+('Control Room'!$D$8-'Control Room'!$B$8)*V258/2147483647)</x:f>
        <x:v>741.2435562740014</x:v>
      </x:c>
      <x:c r="Y258" s="17" t="n">
        <x:f>IF('Control Room'!$B$5="Normal",'Control Room'!$B$7,('Control Room'!$B$8+'Control Room'!$D$8)/2)+'Control Room'!$B$9*(Y257-IF('Control Room'!$B$5="Normal",'Control Room'!$B$7,('Control Room'!$B$8+'Control Room'!$D$8)/2))+SQRT(1-'Control Room'!$B$9^2)*(X258-IF('Control Room'!$B$5="Normal",'Control Room'!$B$7,('Control Room'!$B$8+'Control Room'!$D$8)/2))</x:f>
        <x:v>830.9858708026317</x:v>
      </x:c>
      <x:c r="Z258" s="17" t="n">
        <x:f>IF(AND($A258&gt;='Control Room'!$A$13,$A258&lt;'Control Room'!$A$13+'Control Room'!$B$13,'Process'!BO2=1),1+('Control Room'!$C$13-1)*EXP(-0.5*(($A258-'Control Room'!$A$13-('Control Room'!$B$13-1)/2)/MAX(0.5,'Control Room'!$B$13/4))^2),1)*IF(AND($A258&gt;='Control Room'!$A$14,$A258&lt;'Control Room'!$A$14+'Control Room'!$B$14,'Process'!BO3=1),1+('Control Room'!$C$14-1)*EXP(-0.5*(($A258-'Control Room'!$A$14-('Control Room'!$B$14-1)/2)/MAX(0.5,'Control Room'!$B$14/4))^2),1)*IF(AND($A258&gt;='Control Room'!$A$15,$A258&lt;'Control Room'!$A$15+'Control Room'!$B$15,'Process'!BO4=1),1+('Control Room'!$C$15-1)*EXP(-0.5*(($A258-'Control Room'!$A$15-('Control Room'!$B$15-1)/2)/MAX(0.5,'Control Room'!$B$15/4))^2),1)*IF(AND($A258&gt;='Control Room'!$A$16,$A258&lt;'Control Room'!$A$16+'Control Room'!$B$16,'Process'!BO5=1),1+('Control Room'!$C$16-1)*EXP(-0.5*(($A258-'Control Room'!$A$16-('Control Room'!$B$16-1)/2)/MAX(0.5,'Control Room'!$B$16/4))^2),1)</x:f>
        <x:v>1</x:v>
      </x:c>
      <x:c r="AA258" s="9" t="n">
        <x:f>MOD(AB257*16807,2147483647)</x:f>
        <x:v>1610582730</x:v>
      </x:c>
      <x:c r="AB258" s="9" t="n">
        <x:f>MOD(AA258*16807,2147483647)</x:f>
        <x:v>32572675</x:v>
      </x:c>
      <x:c r="AC258" s="17" t="n">
        <x:f>IF('Control Room'!$B$5="Normal",'Control Room'!$B$7+'Control Room'!$D$7*SQRT(-2*LN(MAX(0.000000000001,AA258/2147483647)))*COS(2*PI()*AB258/2147483647),'Control Room'!$B$8+('Control Room'!$D$8-'Control Room'!$B$8)*AA258/2147483647)</x:f>
        <x:v>1067.9598996884838</x:v>
      </x:c>
      <x:c r="AD258" s="17" t="n">
        <x:f>IF('Control Room'!$B$5="Normal",'Control Room'!$B$7,('Control Room'!$B$8+'Control Room'!$D$8)/2)+'Control Room'!$B$9*(AD257-IF('Control Room'!$B$5="Normal",'Control Room'!$B$7,('Control Room'!$B$8+'Control Room'!$D$8)/2))+SQRT(1-'Control Room'!$B$9^2)*(AC258-IF('Control Room'!$B$5="Normal",'Control Room'!$B$7,('Control Room'!$B$8+'Control Room'!$D$8)/2))</x:f>
        <x:v>953.2910355877121</x:v>
      </x:c>
      <x:c r="AE258" s="17" t="n">
        <x:f>IF(AND($A258&gt;='Control Room'!$A$13,$A258&lt;'Control Room'!$A$13+'Control Room'!$B$13,'Process'!BP2=1),1+('Control Room'!$C$13-1)*EXP(-0.5*(($A258-'Control Room'!$A$13-('Control Room'!$B$13-1)/2)/MAX(0.5,'Control Room'!$B$13/4))^2),1)*IF(AND($A258&gt;='Control Room'!$A$14,$A258&lt;'Control Room'!$A$14+'Control Room'!$B$14,'Process'!BP3=1),1+('Control Room'!$C$14-1)*EXP(-0.5*(($A258-'Control Room'!$A$14-('Control Room'!$B$14-1)/2)/MAX(0.5,'Control Room'!$B$14/4))^2),1)*IF(AND($A258&gt;='Control Room'!$A$15,$A258&lt;'Control Room'!$A$15+'Control Room'!$B$15,'Process'!BP4=1),1+('Control Room'!$C$15-1)*EXP(-0.5*(($A258-'Control Room'!$A$15-('Control Room'!$B$15-1)/2)/MAX(0.5,'Control Room'!$B$15/4))^2),1)*IF(AND($A258&gt;='Control Room'!$A$16,$A258&lt;'Control Room'!$A$16+'Control Room'!$B$16,'Process'!BP5=1),1+('Control Room'!$C$16-1)*EXP(-0.5*(($A258-'Control Room'!$A$16-('Control Room'!$B$16-1)/2)/MAX(0.5,'Control Room'!$B$16/4))^2),1)</x:f>
        <x:v>1</x:v>
      </x:c>
      <x:c r="AF258" s="9" t="n">
        <x:f>MOD(AG257*16807,2147483647)</x:f>
        <x:v>1043076737</x:v>
      </x:c>
      <x:c r="AG258" s="9" t="n">
        <x:f>MOD(AF258*16807,2147483647)</x:f>
        <x:v>1081708298</x:v>
      </x:c>
      <x:c r="AH258" s="17" t="n">
        <x:f>IF('Control Room'!$B$5="Normal",'Control Room'!$B$7+'Control Room'!$D$7*SQRT(-2*LN(MAX(0.000000000001,AF258/2147483647)))*COS(2*PI()*AG258/2147483647),'Control Room'!$B$8+('Control Room'!$D$8-'Control Room'!$B$8)*AF258/2147483647)</x:f>
        <x:v>891.870345668569</x:v>
      </x:c>
      <x:c r="AI258" s="17" t="n">
        <x:f>IF('Control Room'!$B$5="Normal",'Control Room'!$B$7,('Control Room'!$B$8+'Control Room'!$D$8)/2)+'Control Room'!$B$9*(AI257-IF('Control Room'!$B$5="Normal",'Control Room'!$B$7,('Control Room'!$B$8+'Control Room'!$D$8)/2))+SQRT(1-'Control Room'!$B$9^2)*(AH258-IF('Control Room'!$B$5="Normal",'Control Room'!$B$7,('Control Room'!$B$8+'Control Room'!$D$8)/2))</x:f>
        <x:v>956.1164698047112</x:v>
      </x:c>
      <x:c r="AJ258" s="17" t="n">
        <x:f>IF(AND($A258&gt;='Control Room'!$A$13,$A258&lt;'Control Room'!$A$13+'Control Room'!$B$13,'Process'!BQ2=1),1+('Control Room'!$C$13-1)*EXP(-0.5*(($A258-'Control Room'!$A$13-('Control Room'!$B$13-1)/2)/MAX(0.5,'Control Room'!$B$13/4))^2),1)*IF(AND($A258&gt;='Control Room'!$A$14,$A258&lt;'Control Room'!$A$14+'Control Room'!$B$14,'Process'!BQ3=1),1+('Control Room'!$C$14-1)*EXP(-0.5*(($A258-'Control Room'!$A$14-('Control Room'!$B$14-1)/2)/MAX(0.5,'Control Room'!$B$14/4))^2),1)*IF(AND($A258&gt;='Control Room'!$A$15,$A258&lt;'Control Room'!$A$15+'Control Room'!$B$15,'Process'!BQ4=1),1+('Control Room'!$C$15-1)*EXP(-0.5*(($A258-'Control Room'!$A$15-('Control Room'!$B$15-1)/2)/MAX(0.5,'Control Room'!$B$15/4))^2),1)*IF(AND($A258&gt;='Control Room'!$A$16,$A258&lt;'Control Room'!$A$16+'Control Room'!$B$16,'Process'!BQ5=1),1+('Control Room'!$C$16-1)*EXP(-0.5*(($A258-'Control Room'!$A$16-('Control Room'!$B$16-1)/2)/MAX(0.5,'Control Room'!$B$16/4))^2),1)</x:f>
        <x:v>1</x:v>
      </x:c>
      <x:c r="AK258" s="9" t="n">
        <x:f>MOD(AL257*16807,2147483647)</x:f>
        <x:v>475570744</x:v>
      </x:c>
      <x:c r="AL258" s="9" t="n">
        <x:f>MOD(AK258*16807,2147483647)</x:f>
        <x:v>2130843921</x:v>
      </x:c>
      <x:c r="AM258" s="17" t="n">
        <x:f>IF('Control Room'!$B$5="Normal",'Control Room'!$B$7+'Control Room'!$D$7*SQRT(-2*LN(MAX(0.000000000001,AK258/2147483647)))*COS(2*PI()*AL258/2147483647),'Control Room'!$B$8+('Control Room'!$D$8-'Control Room'!$B$8)*AK258/2147483647)</x:f>
        <x:v>1156.0905154699476</x:v>
      </x:c>
      <x:c r="AN258" s="17" t="n">
        <x:f>IF('Control Room'!$B$5="Normal",'Control Room'!$B$7,('Control Room'!$B$8+'Control Room'!$D$8)/2)+'Control Room'!$B$9*(AN257-IF('Control Room'!$B$5="Normal",'Control Room'!$B$7,('Control Room'!$B$8+'Control Room'!$D$8)/2))+SQRT(1-'Control Room'!$B$9^2)*(AM258-IF('Control Room'!$B$5="Normal",'Control Room'!$B$7,('Control Room'!$B$8+'Control Room'!$D$8)/2))</x:f>
        <x:v>1227.7099304095752</x:v>
      </x:c>
      <x:c r="AO258" s="17" t="n">
        <x:f>IF(AND($A258&gt;='Control Room'!$A$13,$A258&lt;'Control Room'!$A$13+'Control Room'!$B$13,'Process'!BR2=1),1+('Control Room'!$C$13-1)*EXP(-0.5*(($A258-'Control Room'!$A$13-('Control Room'!$B$13-1)/2)/MAX(0.5,'Control Room'!$B$13/4))^2),1)*IF(AND($A258&gt;='Control Room'!$A$14,$A258&lt;'Control Room'!$A$14+'Control Room'!$B$14,'Process'!BR3=1),1+('Control Room'!$C$14-1)*EXP(-0.5*(($A258-'Control Room'!$A$14-('Control Room'!$B$14-1)/2)/MAX(0.5,'Control Room'!$B$14/4))^2),1)*IF(AND($A258&gt;='Control Room'!$A$15,$A258&lt;'Control Room'!$A$15+'Control Room'!$B$15,'Process'!BR4=1),1+('Control Room'!$C$15-1)*EXP(-0.5*(($A258-'Control Room'!$A$15-('Control Room'!$B$15-1)/2)/MAX(0.5,'Control Room'!$B$15/4))^2),1)*IF(AND($A258&gt;='Control Room'!$A$16,$A258&lt;'Control Room'!$A$16+'Control Room'!$B$16,'Process'!BR5=1),1+('Control Room'!$C$16-1)*EXP(-0.5*(($A258-'Control Room'!$A$16-('Control Room'!$B$16-1)/2)/MAX(0.5,'Control Room'!$B$16/4))^2),1)</x:f>
        <x:v>1</x:v>
      </x:c>
      <x:c r="AP258" s="9" t="n">
        <x:f>MOD(AQ257*16807,2147483647)</x:f>
        <x:v>2055548398</x:v>
      </x:c>
      <x:c r="AQ258" s="9" t="n">
        <x:f>MOD(AP258*16807,2147483647)</x:f>
        <x:v>1032495897</x:v>
      </x:c>
      <x:c r="AR258" s="17" t="n">
        <x:f>IF('Control Room'!$B$5="Normal",'Control Room'!$B$7+'Control Room'!$D$7*SQRT(-2*LN(MAX(0.000000000001,AP258/2147483647)))*COS(2*PI()*AQ258/2147483647),'Control Room'!$B$8+('Control Room'!$D$8-'Control Room'!$B$8)*AP258/2147483647)</x:f>
        <x:v>973.5700270699964</x:v>
      </x:c>
      <x:c r="AS258" s="17" t="n">
        <x:f>IF('Control Room'!$B$5="Normal",'Control Room'!$B$7,('Control Room'!$B$8+'Control Room'!$D$8)/2)+'Control Room'!$B$9*(AS257-IF('Control Room'!$B$5="Normal",'Control Room'!$B$7,('Control Room'!$B$8+'Control Room'!$D$8)/2))+SQRT(1-'Control Room'!$B$9^2)*(AR258-IF('Control Room'!$B$5="Normal",'Control Room'!$B$7,('Control Room'!$B$8+'Control Room'!$D$8)/2))</x:f>
        <x:v>1000.4885120016345</x:v>
      </x:c>
      <x:c r="AT258" s="17" t="n">
        <x:f>IF(AND($A258&gt;='Control Room'!$A$13,$A258&lt;'Control Room'!$A$13+'Control Room'!$B$13,'Process'!BS2=1),1+('Control Room'!$C$13-1)*EXP(-0.5*(($A258-'Control Room'!$A$13-('Control Room'!$B$13-1)/2)/MAX(0.5,'Control Room'!$B$13/4))^2),1)*IF(AND($A258&gt;='Control Room'!$A$14,$A258&lt;'Control Room'!$A$14+'Control Room'!$B$14,'Process'!BS3=1),1+('Control Room'!$C$14-1)*EXP(-0.5*(($A258-'Control Room'!$A$14-('Control Room'!$B$14-1)/2)/MAX(0.5,'Control Room'!$B$14/4))^2),1)*IF(AND($A258&gt;='Control Room'!$A$15,$A258&lt;'Control Room'!$A$15+'Control Room'!$B$15,'Process'!BS4=1),1+('Control Room'!$C$15-1)*EXP(-0.5*(($A258-'Control Room'!$A$15-('Control Room'!$B$15-1)/2)/MAX(0.5,'Control Room'!$B$15/4))^2),1)*IF(AND($A258&gt;='Control Room'!$A$16,$A258&lt;'Control Room'!$A$16+'Control Room'!$B$16,'Process'!BS5=1),1+('Control Room'!$C$16-1)*EXP(-0.5*(($A258-'Control Room'!$A$16-('Control Room'!$B$16-1)/2)/MAX(0.5,'Control Room'!$B$16/4))^2),1)</x:f>
        <x:v>1</x:v>
      </x:c>
      <x:c r="AU258" s="9" t="n">
        <x:f>MOD(AV257*16807,2147483647)</x:f>
        <x:v>1488042405</x:v>
      </x:c>
      <x:c r="AV258" s="9" t="n">
        <x:f>MOD(AU258*16807,2147483647)</x:f>
        <x:v>2081631520</x:v>
      </x:c>
      <x:c r="AW258" s="17" t="n">
        <x:f>IF('Control Room'!$B$5="Normal",'Control Room'!$B$7+'Control Room'!$D$7*SQRT(-2*LN(MAX(0.000000000001,AU258/2147483647)))*COS(2*PI()*AV258/2147483647),'Control Room'!$B$8+('Control Room'!$D$8-'Control Room'!$B$8)*AU258/2147483647)</x:f>
        <x:v>1075.6626617796537</x:v>
      </x:c>
      <x:c r="AX258" s="17" t="n">
        <x:f>IF('Control Room'!$B$5="Normal",'Control Room'!$B$7,('Control Room'!$B$8+'Control Room'!$D$8)/2)+'Control Room'!$B$9*(AX257-IF('Control Room'!$B$5="Normal",'Control Room'!$B$7,('Control Room'!$B$8+'Control Room'!$D$8)/2))+SQRT(1-'Control Room'!$B$9^2)*(AW258-IF('Control Room'!$B$5="Normal",'Control Room'!$B$7,('Control Room'!$B$8+'Control Room'!$D$8)/2))</x:f>
        <x:v>1032.5830028618434</x:v>
      </x:c>
      <x:c r="AY258" s="17" t="n">
        <x:f>IF(AND($A258&gt;='Control Room'!$A$13,$A258&lt;'Control Room'!$A$13+'Control Room'!$B$13,'Process'!BT2=1),1+('Control Room'!$C$13-1)*EXP(-0.5*(($A258-'Control Room'!$A$13-('Control Room'!$B$13-1)/2)/MAX(0.5,'Control Room'!$B$13/4))^2),1)*IF(AND($A258&gt;='Control Room'!$A$14,$A258&lt;'Control Room'!$A$14+'Control Room'!$B$14,'Process'!BT3=1),1+('Control Room'!$C$14-1)*EXP(-0.5*(($A258-'Control Room'!$A$14-('Control Room'!$B$14-1)/2)/MAX(0.5,'Control Room'!$B$14/4))^2),1)*IF(AND($A258&gt;='Control Room'!$A$15,$A258&lt;'Control Room'!$A$15+'Control Room'!$B$15,'Process'!BT4=1),1+('Control Room'!$C$15-1)*EXP(-0.5*(($A258-'Control Room'!$A$15-('Control Room'!$B$15-1)/2)/MAX(0.5,'Control Room'!$B$15/4))^2),1)*IF(AND($A258&gt;='Control Room'!$A$16,$A258&lt;'Control Room'!$A$16+'Control Room'!$B$16,'Process'!BT5=1),1+('Control Room'!$C$16-1)*EXP(-0.5*(($A258-'Control Room'!$A$16-('Control Room'!$B$16-1)/2)/MAX(0.5,'Control Room'!$B$16/4))^2),1)</x:f>
        <x:v>1</x:v>
      </x:c>
      <x:c r="AZ258" s="9" t="n">
        <x:f>MOD(BA257*16807,2147483647)</x:f>
        <x:v>920536412</x:v>
      </x:c>
      <x:c r="BA258" s="9" t="n">
        <x:f>MOD(AZ258*16807,2147483647)</x:f>
        <x:v>983283496</x:v>
      </x:c>
      <x:c r="BB258" s="17" t="n">
        <x:f>IF('Control Room'!$B$5="Normal",'Control Room'!$B$7+'Control Room'!$D$7*SQRT(-2*LN(MAX(0.000000000001,AZ258/2147483647)))*COS(2*PI()*BA258/2147483647),'Control Room'!$B$8+('Control Room'!$D$8-'Control Room'!$B$8)*AZ258/2147483647)</x:f>
        <x:v>886.9340225931057</x:v>
      </x:c>
      <x:c r="BC258" s="17" t="n">
        <x:f>IF('Control Room'!$B$5="Normal",'Control Room'!$B$7,('Control Room'!$B$8+'Control Room'!$D$8)/2)+'Control Room'!$B$9*(BC257-IF('Control Room'!$B$5="Normal",'Control Room'!$B$7,('Control Room'!$B$8+'Control Room'!$D$8)/2))+SQRT(1-'Control Room'!$B$9^2)*(BB258-IF('Control Room'!$B$5="Normal",'Control Room'!$B$7,('Control Room'!$B$8+'Control Room'!$D$8)/2))</x:f>
        <x:v>987.2623694185651</x:v>
      </x:c>
      <x:c r="BD258" s="17" t="n">
        <x:f>IF(AND($A258&gt;='Control Room'!$A$13,$A258&lt;'Control Room'!$A$13+'Control Room'!$B$13,'Process'!BU2=1),1+('Control Room'!$C$13-1)*EXP(-0.5*(($A258-'Control Room'!$A$13-('Control Room'!$B$13-1)/2)/MAX(0.5,'Control Room'!$B$13/4))^2),1)*IF(AND($A258&gt;='Control Room'!$A$14,$A258&lt;'Control Room'!$A$14+'Control Room'!$B$14,'Process'!BU3=1),1+('Control Room'!$C$14-1)*EXP(-0.5*(($A258-'Control Room'!$A$14-('Control Room'!$B$14-1)/2)/MAX(0.5,'Control Room'!$B$14/4))^2),1)*IF(AND($A258&gt;='Control Room'!$A$15,$A258&lt;'Control Room'!$A$15+'Control Room'!$B$15,'Process'!BU4=1),1+('Control Room'!$C$15-1)*EXP(-0.5*(($A258-'Control Room'!$A$15-('Control Room'!$B$15-1)/2)/MAX(0.5,'Control Room'!$B$15/4))^2),1)*IF(AND($A258&gt;='Control Room'!$A$16,$A258&lt;'Control Room'!$A$16+'Control Room'!$B$16,'Process'!BU5=1),1+('Control Room'!$C$16-1)*EXP(-0.5*(($A258-'Control Room'!$A$16-('Control Room'!$B$16-1)/2)/MAX(0.5,'Control Room'!$B$16/4))^2),1)</x:f>
        <x:v>1</x:v>
      </x:c>
      <x:c r="BE258" s="9" t="n">
        <x:f>MOD(BF257*16807,2147483647)</x:f>
        <x:v>353030419</x:v>
      </x:c>
      <x:c r="BF258" s="9" t="n">
        <x:f>MOD(BE258*16807,2147483647)</x:f>
        <x:v>2032419119</x:v>
      </x:c>
      <x:c r="BG258" s="17" t="n">
        <x:f>IF('Control Room'!$B$5="Normal",'Control Room'!$B$7+'Control Room'!$D$7*SQRT(-2*LN(MAX(0.000000000001,BE258/2147483647)))*COS(2*PI()*BF258/2147483647),'Control Room'!$B$8+('Control Room'!$D$8-'Control Room'!$B$8)*BE258/2147483647)</x:f>
        <x:v>1161.4228738486363</x:v>
      </x:c>
      <x:c r="BH258" s="17" t="n">
        <x:f>IF('Control Room'!$B$5="Normal",'Control Room'!$B$7,('Control Room'!$B$8+'Control Room'!$D$8)/2)+'Control Room'!$B$9*(BH257-IF('Control Room'!$B$5="Normal",'Control Room'!$B$7,('Control Room'!$B$8+'Control Room'!$D$8)/2))+SQRT(1-'Control Room'!$B$9^2)*(BG258-IF('Control Room'!$B$5="Normal",'Control Room'!$B$7,('Control Room'!$B$8+'Control Room'!$D$8)/2))</x:f>
        <x:v>1151.4255852637195</x:v>
      </x:c>
      <x:c r="BI258" s="17" t="n">
        <x:f>IF(AND($A258&gt;='Control Room'!$A$13,$A258&lt;'Control Room'!$A$13+'Control Room'!$B$13,'Process'!BV2=1),1+('Control Room'!$C$13-1)*EXP(-0.5*(($A258-'Control Room'!$A$13-('Control Room'!$B$13-1)/2)/MAX(0.5,'Control Room'!$B$13/4))^2),1)*IF(AND($A258&gt;='Control Room'!$A$14,$A258&lt;'Control Room'!$A$14+'Control Room'!$B$14,'Process'!BV3=1),1+('Control Room'!$C$14-1)*EXP(-0.5*(($A258-'Control Room'!$A$14-('Control Room'!$B$14-1)/2)/MAX(0.5,'Control Room'!$B$14/4))^2),1)*IF(AND($A258&gt;='Control Room'!$A$15,$A258&lt;'Control Room'!$A$15+'Control Room'!$B$15,'Process'!BV4=1),1+('Control Room'!$C$15-1)*EXP(-0.5*(($A258-'Control Room'!$A$15-('Control Room'!$B$15-1)/2)/MAX(0.5,'Control Room'!$B$15/4))^2),1)*IF(AND($A258&gt;='Control Room'!$A$16,$A258&lt;'Control Room'!$A$16+'Control Room'!$B$16,'Process'!BV5=1),1+('Control Room'!$C$16-1)*EXP(-0.5*(($A258-'Control Room'!$A$16-('Control Room'!$B$16-1)/2)/MAX(0.5,'Control Room'!$B$16/4))^2),1)</x:f>
        <x:v>1</x:v>
      </x:c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Z258" t="str">
        <x:f>IF('Data'!A258="","",TEXT('Data'!A258,"mm-dd"))</x:f>
      </x:c>
    </x:row>
    <x:row r="259" ht="21" customHeight="1">
      <x:c r="A259" s="15" t="n">
        <x:f>'Control Room'!$B$1+257</x:f>
        <x:v>73248</x:v>
      </x:c>
      <x:c r="B259" s="9" t="n">
        <x:f>MOD(C258*16807,2147483647)</x:f>
        <x:v>669667520</x:v>
      </x:c>
      <x:c r="C259" s="9" t="n">
        <x:f>MOD(B259*16807,2147483647)</x:f>
        <x:v>140214713</x:v>
      </x:c>
      <x:c r="D259" s="17" t="n">
        <x:f>IF('Control Room'!$B$5="Normal",'Control Room'!$B$7+'Control Room'!$D$7*SQRT(-2*LN(MAX(0.000000000001,B259/2147483647)))*COS(2*PI()*C259/2147483647),'Control Room'!$B$8+('Control Room'!$D$8-'Control Room'!$B$8)*B259/2147483647)</x:f>
        <x:v>1125.9943756615353</x:v>
      </x:c>
      <x:c r="E259" s="17" t="n">
        <x:f>IF('Control Room'!$B$5="Normal",'Control Room'!$B$7,('Control Room'!$B$8+'Control Room'!$D$8)/2)+'Control Room'!$B$9*(E258-IF('Control Room'!$B$5="Normal",'Control Room'!$B$7,('Control Room'!$B$8+'Control Room'!$D$8)/2))+SQRT(1-'Control Room'!$B$9^2)*(D259-IF('Control Room'!$B$5="Normal",'Control Room'!$B$7,('Control Room'!$B$8+'Control Room'!$D$8)/2))</x:f>
        <x:v>1030.6789163081512</x:v>
      </x:c>
      <x:c r="F259" s="17" t="n">
        <x:f>IF(AND($A259&gt;='Control Room'!$A$13,$A259&lt;'Control Room'!$A$13+'Control Room'!$B$13,'Process'!BK2=1),1+('Control Room'!$C$13-1)*EXP(-0.5*(($A259-'Control Room'!$A$13-('Control Room'!$B$13-1)/2)/MAX(0.5,'Control Room'!$B$13/4))^2),1)*IF(AND($A259&gt;='Control Room'!$A$14,$A259&lt;'Control Room'!$A$14+'Control Room'!$B$14,'Process'!BK3=1),1+('Control Room'!$C$14-1)*EXP(-0.5*(($A259-'Control Room'!$A$14-('Control Room'!$B$14-1)/2)/MAX(0.5,'Control Room'!$B$14/4))^2),1)*IF(AND($A259&gt;='Control Room'!$A$15,$A259&lt;'Control Room'!$A$15+'Control Room'!$B$15,'Process'!BK4=1),1+('Control Room'!$C$15-1)*EXP(-0.5*(($A259-'Control Room'!$A$15-('Control Room'!$B$15-1)/2)/MAX(0.5,'Control Room'!$B$15/4))^2),1)*IF(AND($A259&gt;='Control Room'!$A$16,$A259&lt;'Control Room'!$A$16+'Control Room'!$B$16,'Process'!BK5=1),1+('Control Room'!$C$16-1)*EXP(-0.5*(($A259-'Control Room'!$A$16-('Control Room'!$B$16-1)/2)/MAX(0.5,'Control Room'!$B$16/4))^2),1)</x:f>
        <x:v>1</x:v>
      </x:c>
      <x:c r="G259" s="9" t="n">
        <x:f>MOD(H258*16807,2147483647)</x:f>
        <x:v>503857764</x:v>
      </x:c>
      <x:c r="H259" s="9" t="n">
        <x:f>MOD(G259*16807,2147483647)</x:f>
        <x:v>809419427</x:v>
      </x:c>
      <x:c r="I259" s="17" t="n">
        <x:f>IF('Control Room'!$B$5="Normal",'Control Room'!$B$7+'Control Room'!$D$7*SQRT(-2*LN(MAX(0.000000000001,G259/2147483647)))*COS(2*PI()*H259/2147483647),'Control Room'!$B$8+('Control Room'!$D$8-'Control Room'!$B$8)*G259/2147483647)</x:f>
        <x:v>890.3384869710262</x:v>
      </x:c>
      <x:c r="J259" s="17" t="n">
        <x:f>IF('Control Room'!$B$5="Normal",'Control Room'!$B$7,('Control Room'!$B$8+'Control Room'!$D$8)/2)+'Control Room'!$B$9*(J258-IF('Control Room'!$B$5="Normal",'Control Room'!$B$7,('Control Room'!$B$8+'Control Room'!$D$8)/2))+SQRT(1-'Control Room'!$B$9^2)*(I259-IF('Control Room'!$B$5="Normal",'Control Room'!$B$7,('Control Room'!$B$8+'Control Room'!$D$8)/2))</x:f>
        <x:v>929.313569821854</x:v>
      </x:c>
      <x:c r="K259" s="17" t="n">
        <x:f>IF(AND($A259&gt;='Control Room'!$A$13,$A259&lt;'Control Room'!$A$13+'Control Room'!$B$13,'Process'!BL2=1),1+('Control Room'!$C$13-1)*EXP(-0.5*(($A259-'Control Room'!$A$13-('Control Room'!$B$13-1)/2)/MAX(0.5,'Control Room'!$B$13/4))^2),1)*IF(AND($A259&gt;='Control Room'!$A$14,$A259&lt;'Control Room'!$A$14+'Control Room'!$B$14,'Process'!BL3=1),1+('Control Room'!$C$14-1)*EXP(-0.5*(($A259-'Control Room'!$A$14-('Control Room'!$B$14-1)/2)/MAX(0.5,'Control Room'!$B$14/4))^2),1)*IF(AND($A259&gt;='Control Room'!$A$15,$A259&lt;'Control Room'!$A$15+'Control Room'!$B$15,'Process'!BL4=1),1+('Control Room'!$C$15-1)*EXP(-0.5*(($A259-'Control Room'!$A$15-('Control Room'!$B$15-1)/2)/MAX(0.5,'Control Room'!$B$15/4))^2),1)*IF(AND($A259&gt;='Control Room'!$A$16,$A259&lt;'Control Room'!$A$16+'Control Room'!$B$16,'Process'!BL5=1),1+('Control Room'!$C$16-1)*EXP(-0.5*(($A259-'Control Room'!$A$16-('Control Room'!$B$16-1)/2)/MAX(0.5,'Control Room'!$B$16/4))^2),1)</x:f>
        <x:v>1</x:v>
      </x:c>
      <x:c r="L259" s="9" t="n">
        <x:f>MOD(M258*16807,2147483647)</x:f>
        <x:v>338048008</x:v>
      </x:c>
      <x:c r="M259" s="9" t="n">
        <x:f>MOD(L259*16807,2147483647)</x:f>
        <x:v>1478624141</x:v>
      </x:c>
      <x:c r="N259" s="17" t="n">
        <x:f>IF('Control Room'!$B$5="Normal",'Control Room'!$B$7+'Control Room'!$D$7*SQRT(-2*LN(MAX(0.000000000001,L259/2147483647)))*COS(2*PI()*M259/2147483647),'Control Room'!$B$8+('Control Room'!$D$8-'Control Room'!$B$8)*L259/2147483647)</x:f>
        <x:v>934.8150025538489</x:v>
      </x:c>
      <x:c r="O259" s="17" t="n">
        <x:f>IF('Control Room'!$B$5="Normal",'Control Room'!$B$7,('Control Room'!$B$8+'Control Room'!$D$8)/2)+'Control Room'!$B$9*(O258-IF('Control Room'!$B$5="Normal",'Control Room'!$B$7,('Control Room'!$B$8+'Control Room'!$D$8)/2))+SQRT(1-'Control Room'!$B$9^2)*(N259-IF('Control Room'!$B$5="Normal",'Control Room'!$B$7,('Control Room'!$B$8+'Control Room'!$D$8)/2))</x:f>
        <x:v>800.9504387680822</x:v>
      </x:c>
      <x:c r="P259" s="17" t="n">
        <x:f>IF(AND($A259&gt;='Control Room'!$A$13,$A259&lt;'Control Room'!$A$13+'Control Room'!$B$13,'Process'!BM2=1),1+('Control Room'!$C$13-1)*EXP(-0.5*(($A259-'Control Room'!$A$13-('Control Room'!$B$13-1)/2)/MAX(0.5,'Control Room'!$B$13/4))^2),1)*IF(AND($A259&gt;='Control Room'!$A$14,$A259&lt;'Control Room'!$A$14+'Control Room'!$B$14,'Process'!BM3=1),1+('Control Room'!$C$14-1)*EXP(-0.5*(($A259-'Control Room'!$A$14-('Control Room'!$B$14-1)/2)/MAX(0.5,'Control Room'!$B$14/4))^2),1)*IF(AND($A259&gt;='Control Room'!$A$15,$A259&lt;'Control Room'!$A$15+'Control Room'!$B$15,'Process'!BM4=1),1+('Control Room'!$C$15-1)*EXP(-0.5*(($A259-'Control Room'!$A$15-('Control Room'!$B$15-1)/2)/MAX(0.5,'Control Room'!$B$15/4))^2),1)*IF(AND($A259&gt;='Control Room'!$A$16,$A259&lt;'Control Room'!$A$16+'Control Room'!$B$16,'Process'!BM5=1),1+('Control Room'!$C$16-1)*EXP(-0.5*(($A259-'Control Room'!$A$16-('Control Room'!$B$16-1)/2)/MAX(0.5,'Control Room'!$B$16/4))^2),1)</x:f>
        <x:v>1</x:v>
      </x:c>
      <x:c r="Q259" s="9" t="n">
        <x:f>MOD(R258*16807,2147483647)</x:f>
        <x:v>172238252</x:v>
      </x:c>
      <x:c r="R259" s="9" t="n">
        <x:f>MOD(Q259*16807,2147483647)</x:f>
        <x:v>345208</x:v>
      </x:c>
      <x:c r="S259" s="17" t="n">
        <x:f>IF('Control Room'!$B$5="Normal",'Control Room'!$B$7+'Control Room'!$D$7*SQRT(-2*LN(MAX(0.000000000001,Q259/2147483647)))*COS(2*PI()*R259/2147483647),'Control Room'!$B$8+('Control Room'!$D$8-'Control Room'!$B$8)*Q259/2147483647)</x:f>
        <x:v>1202.1765721367287</x:v>
      </x:c>
      <x:c r="T259" s="17" t="n">
        <x:f>IF('Control Room'!$B$5="Normal",'Control Room'!$B$7,('Control Room'!$B$8+'Control Room'!$D$8)/2)+'Control Room'!$B$9*(T258-IF('Control Room'!$B$5="Normal",'Control Room'!$B$7,('Control Room'!$B$8+'Control Room'!$D$8)/2))+SQRT(1-'Control Room'!$B$9^2)*(S259-IF('Control Room'!$B$5="Normal",'Control Room'!$B$7,('Control Room'!$B$8+'Control Room'!$D$8)/2))</x:f>
        <x:v>1201.0292739163997</x:v>
      </x:c>
      <x:c r="U259" s="17" t="n">
        <x:f>IF(AND($A259&gt;='Control Room'!$A$13,$A259&lt;'Control Room'!$A$13+'Control Room'!$B$13,'Process'!BN2=1),1+('Control Room'!$C$13-1)*EXP(-0.5*(($A259-'Control Room'!$A$13-('Control Room'!$B$13-1)/2)/MAX(0.5,'Control Room'!$B$13/4))^2),1)*IF(AND($A259&gt;='Control Room'!$A$14,$A259&lt;'Control Room'!$A$14+'Control Room'!$B$14,'Process'!BN3=1),1+('Control Room'!$C$14-1)*EXP(-0.5*(($A259-'Control Room'!$A$14-('Control Room'!$B$14-1)/2)/MAX(0.5,'Control Room'!$B$14/4))^2),1)*IF(AND($A259&gt;='Control Room'!$A$15,$A259&lt;'Control Room'!$A$15+'Control Room'!$B$15,'Process'!BN4=1),1+('Control Room'!$C$15-1)*EXP(-0.5*(($A259-'Control Room'!$A$15-('Control Room'!$B$15-1)/2)/MAX(0.5,'Control Room'!$B$15/4))^2),1)*IF(AND($A259&gt;='Control Room'!$A$16,$A259&lt;'Control Room'!$A$16+'Control Room'!$B$16,'Process'!BN5=1),1+('Control Room'!$C$16-1)*EXP(-0.5*(($A259-'Control Room'!$A$16-('Control Room'!$B$16-1)/2)/MAX(0.5,'Control Room'!$B$16/4))^2),1)</x:f>
        <x:v>1</x:v>
      </x:c>
      <x:c r="V259" s="9" t="n">
        <x:f>MOD(W258*16807,2147483647)</x:f>
        <x:v>6428496</x:v>
      </x:c>
      <x:c r="W259" s="9" t="n">
        <x:f>MOD(V259*16807,2147483647)</x:f>
        <x:v>669549922</x:v>
      </x:c>
      <x:c r="X259" s="17" t="n">
        <x:f>IF('Control Room'!$B$5="Normal",'Control Room'!$B$7+'Control Room'!$D$7*SQRT(-2*LN(MAX(0.000000000001,V259/2147483647)))*COS(2*PI()*W259/2147483647),'Control Room'!$B$8+('Control Room'!$D$8-'Control Room'!$B$8)*V259/2147483647)</x:f>
        <x:v>883.8595038358844</x:v>
      </x:c>
      <x:c r="Y259" s="17" t="n">
        <x:f>IF('Control Room'!$B$5="Normal",'Control Room'!$B$7,('Control Room'!$B$8+'Control Room'!$D$8)/2)+'Control Room'!$B$9*(Y258-IF('Control Room'!$B$5="Normal",'Control Room'!$B$7,('Control Room'!$B$8+'Control Room'!$D$8)/2))+SQRT(1-'Control Room'!$B$9^2)*(X259-IF('Control Room'!$B$5="Normal",'Control Room'!$B$7,('Control Room'!$B$8+'Control Room'!$D$8)/2))</x:f>
        <x:v>795.4906359939378</x:v>
      </x:c>
      <x:c r="Z259" s="17" t="n">
        <x:f>IF(AND($A259&gt;='Control Room'!$A$13,$A259&lt;'Control Room'!$A$13+'Control Room'!$B$13,'Process'!BO2=1),1+('Control Room'!$C$13-1)*EXP(-0.5*(($A259-'Control Room'!$A$13-('Control Room'!$B$13-1)/2)/MAX(0.5,'Control Room'!$B$13/4))^2),1)*IF(AND($A259&gt;='Control Room'!$A$14,$A259&lt;'Control Room'!$A$14+'Control Room'!$B$14,'Process'!BO3=1),1+('Control Room'!$C$14-1)*EXP(-0.5*(($A259-'Control Room'!$A$14-('Control Room'!$B$14-1)/2)/MAX(0.5,'Control Room'!$B$14/4))^2),1)*IF(AND($A259&gt;='Control Room'!$A$15,$A259&lt;'Control Room'!$A$15+'Control Room'!$B$15,'Process'!BO4=1),1+('Control Room'!$C$15-1)*EXP(-0.5*(($A259-'Control Room'!$A$15-('Control Room'!$B$15-1)/2)/MAX(0.5,'Control Room'!$B$15/4))^2),1)*IF(AND($A259&gt;='Control Room'!$A$16,$A259&lt;'Control Room'!$A$16+'Control Room'!$B$16,'Process'!BO5=1),1+('Control Room'!$C$16-1)*EXP(-0.5*(($A259-'Control Room'!$A$16-('Control Room'!$B$16-1)/2)/MAX(0.5,'Control Room'!$B$16/4))^2),1)</x:f>
        <x:v>1</x:v>
      </x:c>
      <x:c r="AA259" s="9" t="n">
        <x:f>MOD(AB258*16807,2147483647)</x:f>
        <x:v>1988102387</x:v>
      </x:c>
      <x:c r="AB259" s="9" t="n">
        <x:f>MOD(AA259*16807,2147483647)</x:f>
        <x:v>1338754636</x:v>
      </x:c>
      <x:c r="AC259" s="17" t="n">
        <x:f>IF('Control Room'!$B$5="Normal",'Control Room'!$B$7+'Control Room'!$D$7*SQRT(-2*LN(MAX(0.000000000001,AA259/2147483647)))*COS(2*PI()*AB259/2147483647),'Control Room'!$B$8+('Control Room'!$D$8-'Control Room'!$B$8)*AA259/2147483647)</x:f>
        <x:v>974.7581615899597</x:v>
      </x:c>
      <x:c r="AD259" s="17" t="n">
        <x:f>IF('Control Room'!$B$5="Normal",'Control Room'!$B$7,('Control Room'!$B$8+'Control Room'!$D$8)/2)+'Control Room'!$B$9*(AD258-IF('Control Room'!$B$5="Normal",'Control Room'!$B$7,('Control Room'!$B$8+'Control Room'!$D$8)/2))+SQRT(1-'Control Room'!$B$9^2)*(AC259-IF('Control Room'!$B$5="Normal",'Control Room'!$B$7,('Control Room'!$B$8+'Control Room'!$D$8)/2))</x:f>
        <x:v>947.7711823885794</x:v>
      </x:c>
      <x:c r="AE259" s="17" t="n">
        <x:f>IF(AND($A259&gt;='Control Room'!$A$13,$A259&lt;'Control Room'!$A$13+'Control Room'!$B$13,'Process'!BP2=1),1+('Control Room'!$C$13-1)*EXP(-0.5*(($A259-'Control Room'!$A$13-('Control Room'!$B$13-1)/2)/MAX(0.5,'Control Room'!$B$13/4))^2),1)*IF(AND($A259&gt;='Control Room'!$A$14,$A259&lt;'Control Room'!$A$14+'Control Room'!$B$14,'Process'!BP3=1),1+('Control Room'!$C$14-1)*EXP(-0.5*(($A259-'Control Room'!$A$14-('Control Room'!$B$14-1)/2)/MAX(0.5,'Control Room'!$B$14/4))^2),1)*IF(AND($A259&gt;='Control Room'!$A$15,$A259&lt;'Control Room'!$A$15+'Control Room'!$B$15,'Process'!BP4=1),1+('Control Room'!$C$15-1)*EXP(-0.5*(($A259-'Control Room'!$A$15-('Control Room'!$B$15-1)/2)/MAX(0.5,'Control Room'!$B$15/4))^2),1)*IF(AND($A259&gt;='Control Room'!$A$16,$A259&lt;'Control Room'!$A$16+'Control Room'!$B$16,'Process'!BP5=1),1+('Control Room'!$C$16-1)*EXP(-0.5*(($A259-'Control Room'!$A$16-('Control Room'!$B$16-1)/2)/MAX(0.5,'Control Room'!$B$16/4))^2),1)</x:f>
        <x:v>1</x:v>
      </x:c>
      <x:c r="AF259" s="9" t="n">
        <x:f>MOD(AG258*16807,2147483647)</x:f>
        <x:v>1822292631</x:v>
      </x:c>
      <x:c r="AG259" s="9" t="n">
        <x:f>MOD(AF259*16807,2147483647)</x:f>
        <x:v>2007959350</x:v>
      </x:c>
      <x:c r="AH259" s="17" t="n">
        <x:f>IF('Control Room'!$B$5="Normal",'Control Room'!$B$7+'Control Room'!$D$7*SQRT(-2*LN(MAX(0.000000000001,AF259/2147483647)))*COS(2*PI()*AG259/2147483647),'Control Room'!$B$8+('Control Room'!$D$8-'Control Room'!$B$8)*AF259/2147483647)</x:f>
        <x:v>1047.3376430299593</x:v>
      </x:c>
      <x:c r="AI259" s="17" t="n">
        <x:f>IF('Control Room'!$B$5="Normal",'Control Room'!$B$7,('Control Room'!$B$8+'Control Room'!$D$8)/2)+'Control Room'!$B$9*(AI258-IF('Control Room'!$B$5="Normal",'Control Room'!$B$7,('Control Room'!$B$8+'Control Room'!$D$8)/2))+SQRT(1-'Control Room'!$B$9^2)*(AH259-IF('Control Room'!$B$5="Normal",'Control Room'!$B$7,('Control Room'!$B$8+'Control Room'!$D$8)/2))</x:f>
        <x:v>995.3937736914944</x:v>
      </x:c>
      <x:c r="AJ259" s="17" t="n">
        <x:f>IF(AND($A259&gt;='Control Room'!$A$13,$A259&lt;'Control Room'!$A$13+'Control Room'!$B$13,'Process'!BQ2=1),1+('Control Room'!$C$13-1)*EXP(-0.5*(($A259-'Control Room'!$A$13-('Control Room'!$B$13-1)/2)/MAX(0.5,'Control Room'!$B$13/4))^2),1)*IF(AND($A259&gt;='Control Room'!$A$14,$A259&lt;'Control Room'!$A$14+'Control Room'!$B$14,'Process'!BQ3=1),1+('Control Room'!$C$14-1)*EXP(-0.5*(($A259-'Control Room'!$A$14-('Control Room'!$B$14-1)/2)/MAX(0.5,'Control Room'!$B$14/4))^2),1)*IF(AND($A259&gt;='Control Room'!$A$15,$A259&lt;'Control Room'!$A$15+'Control Room'!$B$15,'Process'!BQ4=1),1+('Control Room'!$C$15-1)*EXP(-0.5*(($A259-'Control Room'!$A$15-('Control Room'!$B$15-1)/2)/MAX(0.5,'Control Room'!$B$15/4))^2),1)*IF(AND($A259&gt;='Control Room'!$A$16,$A259&lt;'Control Room'!$A$16+'Control Room'!$B$16,'Process'!BQ5=1),1+('Control Room'!$C$16-1)*EXP(-0.5*(($A259-'Control Room'!$A$16-('Control Room'!$B$16-1)/2)/MAX(0.5,'Control Room'!$B$16/4))^2),1)</x:f>
        <x:v>1</x:v>
      </x:c>
      <x:c r="AK259" s="9" t="n">
        <x:f>MOD(AL258*16807,2147483647)</x:f>
        <x:v>1656482875</x:v>
      </x:c>
      <x:c r="AL259" s="9" t="n">
        <x:f>MOD(AK259*16807,2147483647)</x:f>
        <x:v>529680417</x:v>
      </x:c>
      <x:c r="AM259" s="17" t="n">
        <x:f>IF('Control Room'!$B$5="Normal",'Control Room'!$B$7+'Control Room'!$D$7*SQRT(-2*LN(MAX(0.000000000001,AK259/2147483647)))*COS(2*PI()*AL259/2147483647),'Control Room'!$B$8+('Control Room'!$D$8-'Control Room'!$B$8)*AK259/2147483647)</x:f>
        <x:v>1001.3642272505953</x:v>
      </x:c>
      <x:c r="AN259" s="17" t="n">
        <x:f>IF('Control Room'!$B$5="Normal",'Control Room'!$B$7,('Control Room'!$B$8+'Control Room'!$D$8)/2)+'Control Room'!$B$9*(AN258-IF('Control Room'!$B$5="Normal",'Control Room'!$B$7,('Control Room'!$B$8+'Control Room'!$D$8)/2))+SQRT(1-'Control Room'!$B$9^2)*(AM259-IF('Control Room'!$B$5="Normal",'Control Room'!$B$7,('Control Room'!$B$8+'Control Room'!$D$8)/2))</x:f>
        <x:v>1178.4674511851767</x:v>
      </x:c>
      <x:c r="AO259" s="17" t="n">
        <x:f>IF(AND($A259&gt;='Control Room'!$A$13,$A259&lt;'Control Room'!$A$13+'Control Room'!$B$13,'Process'!BR2=1),1+('Control Room'!$C$13-1)*EXP(-0.5*(($A259-'Control Room'!$A$13-('Control Room'!$B$13-1)/2)/MAX(0.5,'Control Room'!$B$13/4))^2),1)*IF(AND($A259&gt;='Control Room'!$A$14,$A259&lt;'Control Room'!$A$14+'Control Room'!$B$14,'Process'!BR3=1),1+('Control Room'!$C$14-1)*EXP(-0.5*(($A259-'Control Room'!$A$14-('Control Room'!$B$14-1)/2)/MAX(0.5,'Control Room'!$B$14/4))^2),1)*IF(AND($A259&gt;='Control Room'!$A$15,$A259&lt;'Control Room'!$A$15+'Control Room'!$B$15,'Process'!BR4=1),1+('Control Room'!$C$15-1)*EXP(-0.5*(($A259-'Control Room'!$A$15-('Control Room'!$B$15-1)/2)/MAX(0.5,'Control Room'!$B$15/4))^2),1)*IF(AND($A259&gt;='Control Room'!$A$16,$A259&lt;'Control Room'!$A$16+'Control Room'!$B$16,'Process'!BR5=1),1+('Control Room'!$C$16-1)*EXP(-0.5*(($A259-'Control Room'!$A$16-('Control Room'!$B$16-1)/2)/MAX(0.5,'Control Room'!$B$16/4))^2),1)</x:f>
        <x:v>1</x:v>
      </x:c>
      <x:c r="AP259" s="9" t="n">
        <x:f>MOD(AQ258*16807,2147483647)</x:f>
        <x:v>1490673119</x:v>
      </x:c>
      <x:c r="AQ259" s="9" t="n">
        <x:f>MOD(AP259*16807,2147483647)</x:f>
        <x:v>1198885131</x:v>
      </x:c>
      <x:c r="AR259" s="17" t="n">
        <x:f>IF('Control Room'!$B$5="Normal",'Control Room'!$B$7+'Control Room'!$D$7*SQRT(-2*LN(MAX(0.000000000001,AP259/2147483647)))*COS(2*PI()*AQ259/2147483647),'Control Room'!$B$8+('Control Room'!$D$8-'Control Room'!$B$8)*AP259/2147483647)</x:f>
        <x:v>928.1943832050176</x:v>
      </x:c>
      <x:c r="AS259" s="17" t="n">
        <x:f>IF('Control Room'!$B$5="Normal",'Control Room'!$B$7,('Control Room'!$B$8+'Control Room'!$D$8)/2)+'Control Room'!$B$9*(AS258-IF('Control Room'!$B$5="Normal",'Control Room'!$B$7,('Control Room'!$B$8+'Control Room'!$D$8)/2))+SQRT(1-'Control Room'!$B$9^2)*(AR259-IF('Control Room'!$B$5="Normal",'Control Room'!$B$7,('Control Room'!$B$8+'Control Room'!$D$8)/2))</x:f>
        <x:v>955.446555388992</x:v>
      </x:c>
      <x:c r="AT259" s="17" t="n">
        <x:f>IF(AND($A259&gt;='Control Room'!$A$13,$A259&lt;'Control Room'!$A$13+'Control Room'!$B$13,'Process'!BS2=1),1+('Control Room'!$C$13-1)*EXP(-0.5*(($A259-'Control Room'!$A$13-('Control Room'!$B$13-1)/2)/MAX(0.5,'Control Room'!$B$13/4))^2),1)*IF(AND($A259&gt;='Control Room'!$A$14,$A259&lt;'Control Room'!$A$14+'Control Room'!$B$14,'Process'!BS3=1),1+('Control Room'!$C$14-1)*EXP(-0.5*(($A259-'Control Room'!$A$14-('Control Room'!$B$14-1)/2)/MAX(0.5,'Control Room'!$B$14/4))^2),1)*IF(AND($A259&gt;='Control Room'!$A$15,$A259&lt;'Control Room'!$A$15+'Control Room'!$B$15,'Process'!BS4=1),1+('Control Room'!$C$15-1)*EXP(-0.5*(($A259-'Control Room'!$A$15-('Control Room'!$B$15-1)/2)/MAX(0.5,'Control Room'!$B$15/4))^2),1)*IF(AND($A259&gt;='Control Room'!$A$16,$A259&lt;'Control Room'!$A$16+'Control Room'!$B$16,'Process'!BS5=1),1+('Control Room'!$C$16-1)*EXP(-0.5*(($A259-'Control Room'!$A$16-('Control Room'!$B$16-1)/2)/MAX(0.5,'Control Room'!$B$16/4))^2),1)</x:f>
        <x:v>1</x:v>
      </x:c>
      <x:c r="AU259" s="9" t="n">
        <x:f>MOD(AV258*16807,2147483647)</x:f>
        <x:v>1324863363</x:v>
      </x:c>
      <x:c r="AV259" s="9" t="n">
        <x:f>MOD(AU259*16807,2147483647)</x:f>
        <x:v>1868089845</x:v>
      </x:c>
      <x:c r="AW259" s="17" t="n">
        <x:f>IF('Control Room'!$B$5="Normal",'Control Room'!$B$7+'Control Room'!$D$7*SQRT(-2*LN(MAX(0.000000000001,AU259/2147483647)))*COS(2*PI()*AV259/2147483647),'Control Room'!$B$8+('Control Room'!$D$8-'Control Room'!$B$8)*AU259/2147483647)</x:f>
        <x:v>1060.5103438965116</x:v>
      </x:c>
      <x:c r="AX259" s="17" t="n">
        <x:f>IF('Control Room'!$B$5="Normal",'Control Room'!$B$7,('Control Room'!$B$8+'Control Room'!$D$8)/2)+'Control Room'!$B$9*(AX258-IF('Control Room'!$B$5="Normal",'Control Room'!$B$7,('Control Room'!$B$8+'Control Room'!$D$8)/2))+SQRT(1-'Control Room'!$B$9^2)*(AW259-IF('Control Room'!$B$5="Normal",'Control Room'!$B$7,('Control Room'!$B$8+'Control Room'!$D$8)/2))</x:f>
        <x:v>1063.2808758209005</x:v>
      </x:c>
      <x:c r="AY259" s="17" t="n">
        <x:f>IF(AND($A259&gt;='Control Room'!$A$13,$A259&lt;'Control Room'!$A$13+'Control Room'!$B$13,'Process'!BT2=1),1+('Control Room'!$C$13-1)*EXP(-0.5*(($A259-'Control Room'!$A$13-('Control Room'!$B$13-1)/2)/MAX(0.5,'Control Room'!$B$13/4))^2),1)*IF(AND($A259&gt;='Control Room'!$A$14,$A259&lt;'Control Room'!$A$14+'Control Room'!$B$14,'Process'!BT3=1),1+('Control Room'!$C$14-1)*EXP(-0.5*(($A259-'Control Room'!$A$14-('Control Room'!$B$14-1)/2)/MAX(0.5,'Control Room'!$B$14/4))^2),1)*IF(AND($A259&gt;='Control Room'!$A$15,$A259&lt;'Control Room'!$A$15+'Control Room'!$B$15,'Process'!BT4=1),1+('Control Room'!$C$15-1)*EXP(-0.5*(($A259-'Control Room'!$A$15-('Control Room'!$B$15-1)/2)/MAX(0.5,'Control Room'!$B$15/4))^2),1)*IF(AND($A259&gt;='Control Room'!$A$16,$A259&lt;'Control Room'!$A$16+'Control Room'!$B$16,'Process'!BT5=1),1+('Control Room'!$C$16-1)*EXP(-0.5*(($A259-'Control Room'!$A$16-('Control Room'!$B$16-1)/2)/MAX(0.5,'Control Room'!$B$16/4))^2),1)</x:f>
        <x:v>1</x:v>
      </x:c>
      <x:c r="AZ259" s="9" t="n">
        <x:f>MOD(BA258*16807,2147483647)</x:f>
        <x:v>1159053607</x:v>
      </x:c>
      <x:c r="BA259" s="9" t="n">
        <x:f>MOD(AZ259*16807,2147483647)</x:f>
        <x:v>389810912</x:v>
      </x:c>
      <x:c r="BB259" s="17" t="n">
        <x:f>IF('Control Room'!$B$5="Normal",'Control Room'!$B$7+'Control Room'!$D$7*SQRT(-2*LN(MAX(0.000000000001,AZ259/2147483647)))*COS(2*PI()*BA259/2147483647),'Control Room'!$B$8+('Control Room'!$D$8-'Control Room'!$B$8)*AZ259/2147483647)</x:f>
        <x:v>1041.6919627794862</x:v>
      </x:c>
      <x:c r="BC259" s="17" t="n">
        <x:f>IF('Control Room'!$B$5="Normal",'Control Room'!$B$7,('Control Room'!$B$8+'Control Room'!$D$8)/2)+'Control Room'!$B$9*(BC258-IF('Control Room'!$B$5="Normal",'Control Room'!$B$7,('Control Room'!$B$8+'Control Room'!$D$8)/2))+SQRT(1-'Control Room'!$B$9^2)*(BB259-IF('Control Room'!$B$5="Normal",'Control Room'!$B$7,('Control Room'!$B$8+'Control Room'!$D$8)/2))</x:f>
        <x:v>1016.1546243476008</x:v>
      </x:c>
      <x:c r="BD259" s="17" t="n">
        <x:f>IF(AND($A259&gt;='Control Room'!$A$13,$A259&lt;'Control Room'!$A$13+'Control Room'!$B$13,'Process'!BU2=1),1+('Control Room'!$C$13-1)*EXP(-0.5*(($A259-'Control Room'!$A$13-('Control Room'!$B$13-1)/2)/MAX(0.5,'Control Room'!$B$13/4))^2),1)*IF(AND($A259&gt;='Control Room'!$A$14,$A259&lt;'Control Room'!$A$14+'Control Room'!$B$14,'Process'!BU3=1),1+('Control Room'!$C$14-1)*EXP(-0.5*(($A259-'Control Room'!$A$14-('Control Room'!$B$14-1)/2)/MAX(0.5,'Control Room'!$B$14/4))^2),1)*IF(AND($A259&gt;='Control Room'!$A$15,$A259&lt;'Control Room'!$A$15+'Control Room'!$B$15,'Process'!BU4=1),1+('Control Room'!$C$15-1)*EXP(-0.5*(($A259-'Control Room'!$A$15-('Control Room'!$B$15-1)/2)/MAX(0.5,'Control Room'!$B$15/4))^2),1)*IF(AND($A259&gt;='Control Room'!$A$16,$A259&lt;'Control Room'!$A$16+'Control Room'!$B$16,'Process'!BU5=1),1+('Control Room'!$C$16-1)*EXP(-0.5*(($A259-'Control Room'!$A$16-('Control Room'!$B$16-1)/2)/MAX(0.5,'Control Room'!$B$16/4))^2),1)</x:f>
        <x:v>1</x:v>
      </x:c>
      <x:c r="BE259" s="9" t="n">
        <x:f>MOD(BF258*16807,2147483647)</x:f>
        <x:v>993243851</x:v>
      </x:c>
      <x:c r="BF259" s="9" t="n">
        <x:f>MOD(BE259*16807,2147483647)</x:f>
        <x:v>1059015626</x:v>
      </x:c>
      <x:c r="BG259" s="17" t="n">
        <x:f>IF('Control Room'!$B$5="Normal",'Control Room'!$B$7+'Control Room'!$D$7*SQRT(-2*LN(MAX(0.000000000001,BE259/2147483647)))*COS(2*PI()*BF259/2147483647),'Control Room'!$B$8+('Control Room'!$D$8-'Control Room'!$B$8)*BE259/2147483647)</x:f>
        <x:v>888.3386670822844</x:v>
      </x:c>
      <x:c r="BH259" s="17" t="n">
        <x:f>IF('Control Room'!$B$5="Normal",'Control Room'!$B$7,('Control Room'!$B$8+'Control Room'!$D$8)/2)+'Control Room'!$B$9*(BH258-IF('Control Room'!$B$5="Normal",'Control Room'!$B$7,('Control Room'!$B$8+'Control Room'!$D$8)/2))+SQRT(1-'Control Room'!$B$9^2)*(BG259-IF('Control Room'!$B$5="Normal",'Control Room'!$B$7,('Control Room'!$B$8+'Control Room'!$D$8)/2))</x:f>
        <x:v>1048.2365818725368</x:v>
      </x:c>
      <x:c r="BI259" s="17" t="n">
        <x:f>IF(AND($A259&gt;='Control Room'!$A$13,$A259&lt;'Control Room'!$A$13+'Control Room'!$B$13,'Process'!BV2=1),1+('Control Room'!$C$13-1)*EXP(-0.5*(($A259-'Control Room'!$A$13-('Control Room'!$B$13-1)/2)/MAX(0.5,'Control Room'!$B$13/4))^2),1)*IF(AND($A259&gt;='Control Room'!$A$14,$A259&lt;'Control Room'!$A$14+'Control Room'!$B$14,'Process'!BV3=1),1+('Control Room'!$C$14-1)*EXP(-0.5*(($A259-'Control Room'!$A$14-('Control Room'!$B$14-1)/2)/MAX(0.5,'Control Room'!$B$14/4))^2),1)*IF(AND($A259&gt;='Control Room'!$A$15,$A259&lt;'Control Room'!$A$15+'Control Room'!$B$15,'Process'!BV4=1),1+('Control Room'!$C$15-1)*EXP(-0.5*(($A259-'Control Room'!$A$15-('Control Room'!$B$15-1)/2)/MAX(0.5,'Control Room'!$B$15/4))^2),1)*IF(AND($A259&gt;='Control Room'!$A$16,$A259&lt;'Control Room'!$A$16+'Control Room'!$B$16,'Process'!BV5=1),1+('Control Room'!$C$16-1)*EXP(-0.5*(($A259-'Control Room'!$A$16-('Control Room'!$B$16-1)/2)/MAX(0.5,'Control Room'!$B$16/4))^2),1)</x:f>
        <x:v>1</x:v>
      </x:c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Z259" t="str">
        <x:f>IF('Data'!A259="","",TEXT('Data'!A259,"mm-dd"))</x:f>
      </x:c>
    </x:row>
    <x:row r="260" ht="21" customHeight="1">
      <x:c r="A260" s="15" t="n">
        <x:f>'Control Room'!$B$1+258</x:f>
        <x:v>73249</x:v>
      </x:c>
      <x:c r="B260" s="9" t="n">
        <x:f>MOD(C259*16807,2147483647)</x:f>
        <x:v>799120632</x:v>
      </x:c>
      <x:c r="C260" s="9" t="n">
        <x:f>MOD(B260*16807,2147483647)</x:f>
        <x:v>457733686</x:v>
      </x:c>
      <x:c r="D260" s="17" t="n">
        <x:f>IF('Control Room'!$B$5="Normal",'Control Room'!$B$7+'Control Room'!$D$7*SQRT(-2*LN(MAX(0.000000000001,B260/2147483647)))*COS(2*PI()*C260/2147483647),'Control Room'!$B$8+('Control Room'!$D$8-'Control Room'!$B$8)*B260/2147483647)</x:f>
        <x:v>1029.0400902485892</x:v>
      </x:c>
      <x:c r="E260" s="17" t="n">
        <x:f>IF('Control Room'!$B$5="Normal",'Control Room'!$B$7,('Control Room'!$B$8+'Control Room'!$D$8)/2)+'Control Room'!$B$9*(E259-IF('Control Room'!$B$5="Normal",'Control Room'!$B$7,('Control Room'!$B$8+'Control Room'!$D$8)/2))+SQRT(1-'Control Room'!$B$9^2)*(D260-IF('Control Room'!$B$5="Normal",'Control Room'!$B$7,('Control Room'!$B$8+'Control Room'!$D$8)/2))</x:f>
        <x:v>1042.1022482793396</x:v>
      </x:c>
      <x:c r="F260" s="17" t="n">
        <x:f>IF(AND($A260&gt;='Control Room'!$A$13,$A260&lt;'Control Room'!$A$13+'Control Room'!$B$13,'Process'!BK2=1),1+('Control Room'!$C$13-1)*EXP(-0.5*(($A260-'Control Room'!$A$13-('Control Room'!$B$13-1)/2)/MAX(0.5,'Control Room'!$B$13/4))^2),1)*IF(AND($A260&gt;='Control Room'!$A$14,$A260&lt;'Control Room'!$A$14+'Control Room'!$B$14,'Process'!BK3=1),1+('Control Room'!$C$14-1)*EXP(-0.5*(($A260-'Control Room'!$A$14-('Control Room'!$B$14-1)/2)/MAX(0.5,'Control Room'!$B$14/4))^2),1)*IF(AND($A260&gt;='Control Room'!$A$15,$A260&lt;'Control Room'!$A$15+'Control Room'!$B$15,'Process'!BK4=1),1+('Control Room'!$C$15-1)*EXP(-0.5*(($A260-'Control Room'!$A$15-('Control Room'!$B$15-1)/2)/MAX(0.5,'Control Room'!$B$15/4))^2),1)*IF(AND($A260&gt;='Control Room'!$A$16,$A260&lt;'Control Room'!$A$16+'Control Room'!$B$16,'Process'!BK5=1),1+('Control Room'!$C$16-1)*EXP(-0.5*(($A260-'Control Room'!$A$16-('Control Room'!$B$16-1)/2)/MAX(0.5,'Control Room'!$B$16/4))^2),1)</x:f>
        <x:v>1</x:v>
      </x:c>
      <x:c r="G260" s="9" t="n">
        <x:f>MOD(H259*16807,2147483647)</x:f>
        <x:v>1750889491</x:v>
      </x:c>
      <x:c r="H260" s="9" t="n">
        <x:f>MOD(G260*16807,2147483647)</x:f>
        <x:v>231260396</x:v>
      </x:c>
      <x:c r="I260" s="17" t="n">
        <x:f>IF('Control Room'!$B$5="Normal",'Control Room'!$B$7+'Control Room'!$D$7*SQRT(-2*LN(MAX(0.000000000001,G260/2147483647)))*COS(2*PI()*H260/2147483647),'Control Room'!$B$8+('Control Room'!$D$8-'Control Room'!$B$8)*G260/2147483647)</x:f>
        <x:v>1044.8411703746083</x:v>
      </x:c>
      <x:c r="J260" s="17" t="n">
        <x:f>IF('Control Room'!$B$5="Normal",'Control Room'!$B$7,('Control Room'!$B$8+'Control Room'!$D$8)/2)+'Control Room'!$B$9*(J259-IF('Control Room'!$B$5="Normal",'Control Room'!$B$7,('Control Room'!$B$8+'Control Room'!$D$8)/2))+SQRT(1-'Control Room'!$B$9^2)*(I260-IF('Control Room'!$B$5="Normal",'Control Room'!$B$7,('Control Room'!$B$8+'Control Room'!$D$8)/2))</x:f>
        <x:v>972.9252702601693</x:v>
      </x:c>
      <x:c r="K260" s="17" t="n">
        <x:f>IF(AND($A260&gt;='Control Room'!$A$13,$A260&lt;'Control Room'!$A$13+'Control Room'!$B$13,'Process'!BL2=1),1+('Control Room'!$C$13-1)*EXP(-0.5*(($A260-'Control Room'!$A$13-('Control Room'!$B$13-1)/2)/MAX(0.5,'Control Room'!$B$13/4))^2),1)*IF(AND($A260&gt;='Control Room'!$A$14,$A260&lt;'Control Room'!$A$14+'Control Room'!$B$14,'Process'!BL3=1),1+('Control Room'!$C$14-1)*EXP(-0.5*(($A260-'Control Room'!$A$14-('Control Room'!$B$14-1)/2)/MAX(0.5,'Control Room'!$B$14/4))^2),1)*IF(AND($A260&gt;='Control Room'!$A$15,$A260&lt;'Control Room'!$A$15+'Control Room'!$B$15,'Process'!BL4=1),1+('Control Room'!$C$15-1)*EXP(-0.5*(($A260-'Control Room'!$A$15-('Control Room'!$B$15-1)/2)/MAX(0.5,'Control Room'!$B$15/4))^2),1)*IF(AND($A260&gt;='Control Room'!$A$16,$A260&lt;'Control Room'!$A$16+'Control Room'!$B$16,'Process'!BL5=1),1+('Control Room'!$C$16-1)*EXP(-0.5*(($A260-'Control Room'!$A$16-('Control Room'!$B$16-1)/2)/MAX(0.5,'Control Room'!$B$16/4))^2),1)</x:f>
        <x:v>1</x:v>
      </x:c>
      <x:c r="L260" s="9" t="n">
        <x:f>MOD(M259*16807,2147483647)</x:f>
        <x:v>555174703</x:v>
      </x:c>
      <x:c r="M260" s="9" t="n">
        <x:f>MOD(L260*16807,2147483647)</x:f>
        <x:v>4787106</x:v>
      </x:c>
      <x:c r="N260" s="17" t="n">
        <x:f>IF('Control Room'!$B$5="Normal",'Control Room'!$B$7+'Control Room'!$D$7*SQRT(-2*LN(MAX(0.000000000001,L260/2147483647)))*COS(2*PI()*M260/2147483647),'Control Room'!$B$8+('Control Room'!$D$8-'Control Room'!$B$8)*L260/2147483647)</x:f>
        <x:v>1148.0221674637114</x:v>
      </x:c>
      <x:c r="O260" s="17" t="n">
        <x:f>IF('Control Room'!$B$5="Normal",'Control Room'!$B$7,('Control Room'!$B$8+'Control Room'!$D$8)/2)+'Control Room'!$B$9*(O259-IF('Control Room'!$B$5="Normal",'Control Room'!$B$7,('Control Room'!$B$8+'Control Room'!$D$8)/2))+SQRT(1-'Control Room'!$B$9^2)*(N260-IF('Control Room'!$B$5="Normal",'Control Room'!$B$7,('Control Room'!$B$8+'Control Room'!$D$8)/2))</x:f>
        <x:v>937.3705822389687</x:v>
      </x:c>
      <x:c r="P260" s="17" t="n">
        <x:f>IF(AND($A260&gt;='Control Room'!$A$13,$A260&lt;'Control Room'!$A$13+'Control Room'!$B$13,'Process'!BM2=1),1+('Control Room'!$C$13-1)*EXP(-0.5*(($A260-'Control Room'!$A$13-('Control Room'!$B$13-1)/2)/MAX(0.5,'Control Room'!$B$13/4))^2),1)*IF(AND($A260&gt;='Control Room'!$A$14,$A260&lt;'Control Room'!$A$14+'Control Room'!$B$14,'Process'!BM3=1),1+('Control Room'!$C$14-1)*EXP(-0.5*(($A260-'Control Room'!$A$14-('Control Room'!$B$14-1)/2)/MAX(0.5,'Control Room'!$B$14/4))^2),1)*IF(AND($A260&gt;='Control Room'!$A$15,$A260&lt;'Control Room'!$A$15+'Control Room'!$B$15,'Process'!BM4=1),1+('Control Room'!$C$15-1)*EXP(-0.5*(($A260-'Control Room'!$A$15-('Control Room'!$B$15-1)/2)/MAX(0.5,'Control Room'!$B$15/4))^2),1)*IF(AND($A260&gt;='Control Room'!$A$16,$A260&lt;'Control Room'!$A$16+'Control Room'!$B$16,'Process'!BM5=1),1+('Control Room'!$C$16-1)*EXP(-0.5*(($A260-'Control Room'!$A$16-('Control Room'!$B$16-1)/2)/MAX(0.5,'Control Room'!$B$16/4))^2),1)</x:f>
        <x:v>1</x:v>
      </x:c>
      <x:c r="Q260" s="9" t="n">
        <x:f>MOD(R259*16807,2147483647)</x:f>
        <x:v>1506943562</x:v>
      </x:c>
      <x:c r="R260" s="9" t="n">
        <x:f>MOD(Q260*16807,2147483647)</x:f>
        <x:v>1925797463</x:v>
      </x:c>
      <x:c r="S260" s="17" t="n">
        <x:f>IF('Control Room'!$B$5="Normal",'Control Room'!$B$7+'Control Room'!$D$7*SQRT(-2*LN(MAX(0.000000000001,Q260/2147483647)))*COS(2*PI()*R260/2147483647),'Control Room'!$B$8+('Control Room'!$D$8-'Control Room'!$B$8)*Q260/2147483647)</x:f>
        <x:v>1060.3676842763937</x:v>
      </x:c>
      <x:c r="T260" s="17" t="n">
        <x:f>IF('Control Room'!$B$5="Normal",'Control Room'!$B$7,('Control Room'!$B$8+'Control Room'!$D$8)/2)+'Control Room'!$B$9*(T259-IF('Control Room'!$B$5="Normal",'Control Room'!$B$7,('Control Room'!$B$8+'Control Room'!$D$8)/2))+SQRT(1-'Control Room'!$B$9^2)*(S260-IF('Control Room'!$B$5="Normal",'Control Room'!$B$7,('Control Room'!$B$8+'Control Room'!$D$8)/2))</x:f>
        <x:v>1194.579693775726</x:v>
      </x:c>
      <x:c r="U260" s="17" t="n">
        <x:f>IF(AND($A260&gt;='Control Room'!$A$13,$A260&lt;'Control Room'!$A$13+'Control Room'!$B$13,'Process'!BN2=1),1+('Control Room'!$C$13-1)*EXP(-0.5*(($A260-'Control Room'!$A$13-('Control Room'!$B$13-1)/2)/MAX(0.5,'Control Room'!$B$13/4))^2),1)*IF(AND($A260&gt;='Control Room'!$A$14,$A260&lt;'Control Room'!$A$14+'Control Room'!$B$14,'Process'!BN3=1),1+('Control Room'!$C$14-1)*EXP(-0.5*(($A260-'Control Room'!$A$14-('Control Room'!$B$14-1)/2)/MAX(0.5,'Control Room'!$B$14/4))^2),1)*IF(AND($A260&gt;='Control Room'!$A$15,$A260&lt;'Control Room'!$A$15+'Control Room'!$B$15,'Process'!BN4=1),1+('Control Room'!$C$15-1)*EXP(-0.5*(($A260-'Control Room'!$A$15-('Control Room'!$B$15-1)/2)/MAX(0.5,'Control Room'!$B$15/4))^2),1)*IF(AND($A260&gt;='Control Room'!$A$16,$A260&lt;'Control Room'!$A$16+'Control Room'!$B$16,'Process'!BN5=1),1+('Control Room'!$C$16-1)*EXP(-0.5*(($A260-'Control Room'!$A$16-('Control Room'!$B$16-1)/2)/MAX(0.5,'Control Room'!$B$16/4))^2),1)</x:f>
        <x:v>1</x:v>
      </x:c>
      <x:c r="V260" s="9" t="n">
        <x:f>MOD(W259*16807,2147483647)</x:f>
        <x:v>311228774</x:v>
      </x:c>
      <x:c r="W260" s="9" t="n">
        <x:f>MOD(V260*16807,2147483647)</x:f>
        <x:v>1699324173</x:v>
      </x:c>
      <x:c r="X260" s="17" t="n">
        <x:f>IF('Control Room'!$B$5="Normal",'Control Room'!$B$7+'Control Room'!$D$7*SQRT(-2*LN(MAX(0.000000000001,V260/2147483647)))*COS(2*PI()*W260/2147483647),'Control Room'!$B$8+('Control Room'!$D$8-'Control Room'!$B$8)*V260/2147483647)</x:f>
        <x:v>1045.3993714621952</x:v>
      </x:c>
      <x:c r="Y260" s="17" t="n">
        <x:f>IF('Control Room'!$B$5="Normal",'Control Room'!$B$7,('Control Room'!$B$8+'Control Room'!$D$8)/2)+'Control Room'!$B$9*(Y259-IF('Control Room'!$B$5="Normal",'Control Room'!$B$7,('Control Room'!$B$8+'Control Room'!$D$8)/2))+SQRT(1-'Control Room'!$B$9^2)*(X260-IF('Control Room'!$B$5="Normal",'Control Room'!$B$7,('Control Room'!$B$8+'Control Room'!$D$8)/2))</x:f>
        <x:v>868.8926926796356</x:v>
      </x:c>
      <x:c r="Z260" s="17" t="n">
        <x:f>IF(AND($A260&gt;='Control Room'!$A$13,$A260&lt;'Control Room'!$A$13+'Control Room'!$B$13,'Process'!BO2=1),1+('Control Room'!$C$13-1)*EXP(-0.5*(($A260-'Control Room'!$A$13-('Control Room'!$B$13-1)/2)/MAX(0.5,'Control Room'!$B$13/4))^2),1)*IF(AND($A260&gt;='Control Room'!$A$14,$A260&lt;'Control Room'!$A$14+'Control Room'!$B$14,'Process'!BO3=1),1+('Control Room'!$C$14-1)*EXP(-0.5*(($A260-'Control Room'!$A$14-('Control Room'!$B$14-1)/2)/MAX(0.5,'Control Room'!$B$14/4))^2),1)*IF(AND($A260&gt;='Control Room'!$A$15,$A260&lt;'Control Room'!$A$15+'Control Room'!$B$15,'Process'!BO4=1),1+('Control Room'!$C$15-1)*EXP(-0.5*(($A260-'Control Room'!$A$15-('Control Room'!$B$15-1)/2)/MAX(0.5,'Control Room'!$B$15/4))^2),1)*IF(AND($A260&gt;='Control Room'!$A$16,$A260&lt;'Control Room'!$A$16+'Control Room'!$B$16,'Process'!BO5=1),1+('Control Room'!$C$16-1)*EXP(-0.5*(($A260-'Control Room'!$A$16-('Control Room'!$B$16-1)/2)/MAX(0.5,'Control Room'!$B$16/4))^2),1)</x:f>
        <x:v>1</x:v>
      </x:c>
      <x:c r="AA260" s="9" t="n">
        <x:f>MOD(AB259*16807,2147483647)</x:f>
        <x:v>1262997633</x:v>
      </x:c>
      <x:c r="AB260" s="9" t="n">
        <x:f>MOD(AA260*16807,2147483647)</x:f>
        <x:v>1472850883</x:v>
      </x:c>
      <x:c r="AC260" s="17" t="n">
        <x:f>IF('Control Room'!$B$5="Normal",'Control Room'!$B$7+'Control Room'!$D$7*SQRT(-2*LN(MAX(0.000000000001,AA260/2147483647)))*COS(2*PI()*AB260/2147483647),'Control Room'!$B$8+('Control Room'!$D$8-'Control Room'!$B$8)*AA260/2147483647)</x:f>
        <x:v>963.6267900117988</x:v>
      </x:c>
      <x:c r="AD260" s="17" t="n">
        <x:f>IF('Control Room'!$B$5="Normal",'Control Room'!$B$7,('Control Room'!$B$8+'Control Room'!$D$8)/2)+'Control Room'!$B$9*(AD259-IF('Control Room'!$B$5="Normal",'Control Room'!$B$7,('Control Room'!$B$8+'Control Room'!$D$8)/2))+SQRT(1-'Control Room'!$B$9^2)*(AC260-IF('Control Room'!$B$5="Normal",'Control Room'!$B$7,('Control Room'!$B$8+'Control Room'!$D$8)/2))</x:f>
        <x:v>936.4999125981846</x:v>
      </x:c>
      <x:c r="AE260" s="17" t="n">
        <x:f>IF(AND($A260&gt;='Control Room'!$A$13,$A260&lt;'Control Room'!$A$13+'Control Room'!$B$13,'Process'!BP2=1),1+('Control Room'!$C$13-1)*EXP(-0.5*(($A260-'Control Room'!$A$13-('Control Room'!$B$13-1)/2)/MAX(0.5,'Control Room'!$B$13/4))^2),1)*IF(AND($A260&gt;='Control Room'!$A$14,$A260&lt;'Control Room'!$A$14+'Control Room'!$B$14,'Process'!BP3=1),1+('Control Room'!$C$14-1)*EXP(-0.5*(($A260-'Control Room'!$A$14-('Control Room'!$B$14-1)/2)/MAX(0.5,'Control Room'!$B$14/4))^2),1)*IF(AND($A260&gt;='Control Room'!$A$15,$A260&lt;'Control Room'!$A$15+'Control Room'!$B$15,'Process'!BP4=1),1+('Control Room'!$C$15-1)*EXP(-0.5*(($A260-'Control Room'!$A$15-('Control Room'!$B$15-1)/2)/MAX(0.5,'Control Room'!$B$15/4))^2),1)*IF(AND($A260&gt;='Control Room'!$A$16,$A260&lt;'Control Room'!$A$16+'Control Room'!$B$16,'Process'!BP5=1),1+('Control Room'!$C$16-1)*EXP(-0.5*(($A260-'Control Room'!$A$16-('Control Room'!$B$16-1)/2)/MAX(0.5,'Control Room'!$B$16/4))^2),1)</x:f>
        <x:v>1</x:v>
      </x:c>
      <x:c r="AF260" s="9" t="n">
        <x:f>MOD(AG259*16807,2147483647)</x:f>
        <x:v>67282845</x:v>
      </x:c>
      <x:c r="AG260" s="9" t="n">
        <x:f>MOD(AF260*16807,2147483647)</x:f>
        <x:v>1246377593</x:v>
      </x:c>
      <x:c r="AH260" s="17" t="n">
        <x:f>IF('Control Room'!$B$5="Normal",'Control Room'!$B$7+'Control Room'!$D$7*SQRT(-2*LN(MAX(0.000000000001,AF260/2147483647)))*COS(2*PI()*AG260/2147483647),'Control Room'!$B$8+('Control Room'!$D$8-'Control Room'!$B$8)*AF260/2147483647)</x:f>
        <x:v>792.7175036622535</x:v>
      </x:c>
      <x:c r="AI260" s="17" t="n">
        <x:f>IF('Control Room'!$B$5="Normal",'Control Room'!$B$7,('Control Room'!$B$8+'Control Room'!$D$8)/2)+'Control Room'!$B$9*(AI259-IF('Control Room'!$B$5="Normal",'Control Room'!$B$7,('Control Room'!$B$8+'Control Room'!$D$8)/2))+SQRT(1-'Control Room'!$B$9^2)*(AH260-IF('Control Room'!$B$5="Normal",'Control Room'!$B$7,('Control Room'!$B$8+'Control Room'!$D$8)/2))</x:f>
        <x:v>866.6940036839545</x:v>
      </x:c>
      <x:c r="AJ260" s="17" t="n">
        <x:f>IF(AND($A260&gt;='Control Room'!$A$13,$A260&lt;'Control Room'!$A$13+'Control Room'!$B$13,'Process'!BQ2=1),1+('Control Room'!$C$13-1)*EXP(-0.5*(($A260-'Control Room'!$A$13-('Control Room'!$B$13-1)/2)/MAX(0.5,'Control Room'!$B$13/4))^2),1)*IF(AND($A260&gt;='Control Room'!$A$14,$A260&lt;'Control Room'!$A$14+'Control Room'!$B$14,'Process'!BQ3=1),1+('Control Room'!$C$14-1)*EXP(-0.5*(($A260-'Control Room'!$A$14-('Control Room'!$B$14-1)/2)/MAX(0.5,'Control Room'!$B$14/4))^2),1)*IF(AND($A260&gt;='Control Room'!$A$15,$A260&lt;'Control Room'!$A$15+'Control Room'!$B$15,'Process'!BQ4=1),1+('Control Room'!$C$15-1)*EXP(-0.5*(($A260-'Control Room'!$A$15-('Control Room'!$B$15-1)/2)/MAX(0.5,'Control Room'!$B$15/4))^2),1)*IF(AND($A260&gt;='Control Room'!$A$16,$A260&lt;'Control Room'!$A$16+'Control Room'!$B$16,'Process'!BQ5=1),1+('Control Room'!$C$16-1)*EXP(-0.5*(($A260-'Control Room'!$A$16-('Control Room'!$B$16-1)/2)/MAX(0.5,'Control Room'!$B$16/4))^2),1)</x:f>
        <x:v>1</x:v>
      </x:c>
      <x:c r="AK260" s="9" t="n">
        <x:f>MOD(AL259*16807,2147483647)</x:f>
        <x:v>1019051704</x:v>
      </x:c>
      <x:c r="AL260" s="9" t="n">
        <x:f>MOD(AK260*16807,2147483647)</x:f>
        <x:v>1019904303</x:v>
      </x:c>
      <x:c r="AM260" s="17" t="n">
        <x:f>IF('Control Room'!$B$5="Normal",'Control Room'!$B$7+'Control Room'!$D$7*SQRT(-2*LN(MAX(0.000000000001,AK260/2147483647)))*COS(2*PI()*AL260/2147483647),'Control Room'!$B$8+('Control Room'!$D$8-'Control Room'!$B$8)*AK260/2147483647)</x:f>
        <x:v>891.4702306510799</x:v>
      </x:c>
      <x:c r="AN260" s="17" t="n">
        <x:f>IF('Control Room'!$B$5="Normal",'Control Room'!$B$7,('Control Room'!$B$8+'Control Room'!$D$8)/2)+'Control Room'!$B$9*(AN259-IF('Control Room'!$B$5="Normal",'Control Room'!$B$7,('Control Room'!$B$8+'Control Room'!$D$8)/2))+SQRT(1-'Control Room'!$B$9^2)*(AM260-IF('Control Room'!$B$5="Normal",'Control Room'!$B$7,('Control Room'!$B$8+'Control Room'!$D$8)/2))</x:f>
        <x:v>1071.2889056190588</x:v>
      </x:c>
      <x:c r="AO260" s="17" t="n">
        <x:f>IF(AND($A260&gt;='Control Room'!$A$13,$A260&lt;'Control Room'!$A$13+'Control Room'!$B$13,'Process'!BR2=1),1+('Control Room'!$C$13-1)*EXP(-0.5*(($A260-'Control Room'!$A$13-('Control Room'!$B$13-1)/2)/MAX(0.5,'Control Room'!$B$13/4))^2),1)*IF(AND($A260&gt;='Control Room'!$A$14,$A260&lt;'Control Room'!$A$14+'Control Room'!$B$14,'Process'!BR3=1),1+('Control Room'!$C$14-1)*EXP(-0.5*(($A260-'Control Room'!$A$14-('Control Room'!$B$14-1)/2)/MAX(0.5,'Control Room'!$B$14/4))^2),1)*IF(AND($A260&gt;='Control Room'!$A$15,$A260&lt;'Control Room'!$A$15+'Control Room'!$B$15,'Process'!BR4=1),1+('Control Room'!$C$15-1)*EXP(-0.5*(($A260-'Control Room'!$A$15-('Control Room'!$B$15-1)/2)/MAX(0.5,'Control Room'!$B$15/4))^2),1)*IF(AND($A260&gt;='Control Room'!$A$16,$A260&lt;'Control Room'!$A$16+'Control Room'!$B$16,'Process'!BR5=1),1+('Control Room'!$C$16-1)*EXP(-0.5*(($A260-'Control Room'!$A$16-('Control Room'!$B$16-1)/2)/MAX(0.5,'Control Room'!$B$16/4))^2),1)</x:f>
        <x:v>1</x:v>
      </x:c>
      <x:c r="AP260" s="9" t="n">
        <x:f>MOD(AQ259*16807,2147483647)</x:f>
        <x:v>1970820563</x:v>
      </x:c>
      <x:c r="AQ260" s="9" t="n">
        <x:f>MOD(AP260*16807,2147483647)</x:f>
        <x:v>793431013</x:v>
      </x:c>
      <x:c r="AR260" s="17" t="n">
        <x:f>IF('Control Room'!$B$5="Normal",'Control Room'!$B$7+'Control Room'!$D$7*SQRT(-2*LN(MAX(0.000000000001,AP260/2147483647)))*COS(2*PI()*AQ260/2147483647),'Control Room'!$B$8+('Control Room'!$D$8-'Control Room'!$B$8)*AP260/2147483647)</x:f>
        <x:v>974.5622958944874</x:v>
      </x:c>
      <x:c r="AS260" s="17" t="n">
        <x:f>IF('Control Room'!$B$5="Normal",'Control Room'!$B$7,('Control Room'!$B$8+'Control Room'!$D$8)/2)+'Control Room'!$B$9*(AS259-IF('Control Room'!$B$5="Normal",'Control Room'!$B$7,('Control Room'!$B$8+'Control Room'!$D$8)/2))+SQRT(1-'Control Room'!$B$9^2)*(AR260-IF('Control Room'!$B$5="Normal",'Control Room'!$B$7,('Control Room'!$B$8+'Control Room'!$D$8)/2))</x:f>
        <x:v>949.329919093878</x:v>
      </x:c>
      <x:c r="AT260" s="17" t="n">
        <x:f>IF(AND($A260&gt;='Control Room'!$A$13,$A260&lt;'Control Room'!$A$13+'Control Room'!$B$13,'Process'!BS2=1),1+('Control Room'!$C$13-1)*EXP(-0.5*(($A260-'Control Room'!$A$13-('Control Room'!$B$13-1)/2)/MAX(0.5,'Control Room'!$B$13/4))^2),1)*IF(AND($A260&gt;='Control Room'!$A$14,$A260&lt;'Control Room'!$A$14+'Control Room'!$B$14,'Process'!BS3=1),1+('Control Room'!$C$14-1)*EXP(-0.5*(($A260-'Control Room'!$A$14-('Control Room'!$B$14-1)/2)/MAX(0.5,'Control Room'!$B$14/4))^2),1)*IF(AND($A260&gt;='Control Room'!$A$15,$A260&lt;'Control Room'!$A$15+'Control Room'!$B$15,'Process'!BS4=1),1+('Control Room'!$C$15-1)*EXP(-0.5*(($A260-'Control Room'!$A$15-('Control Room'!$B$15-1)/2)/MAX(0.5,'Control Room'!$B$15/4))^2),1)*IF(AND($A260&gt;='Control Room'!$A$16,$A260&lt;'Control Room'!$A$16+'Control Room'!$B$16,'Process'!BS5=1),1+('Control Room'!$C$16-1)*EXP(-0.5*(($A260-'Control Room'!$A$16-('Control Room'!$B$16-1)/2)/MAX(0.5,'Control Room'!$B$16/4))^2),1)</x:f>
        <x:v>1</x:v>
      </x:c>
      <x:c r="AU260" s="9" t="n">
        <x:f>MOD(AV259*16807,2147483647)</x:f>
        <x:v>775105775</x:v>
      </x:c>
      <x:c r="AV260" s="9" t="n">
        <x:f>MOD(AU260*16807,2147483647)</x:f>
        <x:v>566957723</x:v>
      </x:c>
      <x:c r="AW260" s="17" t="n">
        <x:f>IF('Control Room'!$B$5="Normal",'Control Room'!$B$7+'Control Room'!$D$7*SQRT(-2*LN(MAX(0.000000000001,AU260/2147483647)))*COS(2*PI()*AV260/2147483647),'Control Room'!$B$8+('Control Room'!$D$8-'Control Room'!$B$8)*AU260/2147483647)</x:f>
        <x:v>988.7040980577747</x:v>
      </x:c>
      <x:c r="AX260" s="17" t="n">
        <x:f>IF('Control Room'!$B$5="Normal",'Control Room'!$B$7,('Control Room'!$B$8+'Control Room'!$D$8)/2)+'Control Room'!$B$9*(AX259-IF('Control Room'!$B$5="Normal",'Control Room'!$B$7,('Control Room'!$B$8+'Control Room'!$D$8)/2))+SQRT(1-'Control Room'!$B$9^2)*(AW260-IF('Control Room'!$B$5="Normal",'Control Room'!$B$7,('Control Room'!$B$8+'Control Room'!$D$8)/2))</x:f>
        <x:v>1042.2903391139873</x:v>
      </x:c>
      <x:c r="AY260" s="17" t="n">
        <x:f>IF(AND($A260&gt;='Control Room'!$A$13,$A260&lt;'Control Room'!$A$13+'Control Room'!$B$13,'Process'!BT2=1),1+('Control Room'!$C$13-1)*EXP(-0.5*(($A260-'Control Room'!$A$13-('Control Room'!$B$13-1)/2)/MAX(0.5,'Control Room'!$B$13/4))^2),1)*IF(AND($A260&gt;='Control Room'!$A$14,$A260&lt;'Control Room'!$A$14+'Control Room'!$B$14,'Process'!BT3=1),1+('Control Room'!$C$14-1)*EXP(-0.5*(($A260-'Control Room'!$A$14-('Control Room'!$B$14-1)/2)/MAX(0.5,'Control Room'!$B$14/4))^2),1)*IF(AND($A260&gt;='Control Room'!$A$15,$A260&lt;'Control Room'!$A$15+'Control Room'!$B$15,'Process'!BT4=1),1+('Control Room'!$C$15-1)*EXP(-0.5*(($A260-'Control Room'!$A$15-('Control Room'!$B$15-1)/2)/MAX(0.5,'Control Room'!$B$15/4))^2),1)*IF(AND($A260&gt;='Control Room'!$A$16,$A260&lt;'Control Room'!$A$16+'Control Room'!$B$16,'Process'!BT5=1),1+('Control Room'!$C$16-1)*EXP(-0.5*(($A260-'Control Room'!$A$16-('Control Room'!$B$16-1)/2)/MAX(0.5,'Control Room'!$B$16/4))^2),1)</x:f>
        <x:v>1</x:v>
      </x:c>
      <x:c r="AZ260" s="9" t="n">
        <x:f>MOD(BA259*16807,2147483647)</x:f>
        <x:v>1726874634</x:v>
      </x:c>
      <x:c r="BA260" s="9" t="n">
        <x:f>MOD(AZ260*16807,2147483647)</x:f>
        <x:v>340484433</x:v>
      </x:c>
      <x:c r="BB260" s="17" t="n">
        <x:f>IF('Control Room'!$B$5="Normal",'Control Room'!$B$7+'Control Room'!$D$7*SQRT(-2*LN(MAX(0.000000000001,AZ260/2147483647)))*COS(2*PI()*BA260/2147483647),'Control Room'!$B$8+('Control Room'!$D$8-'Control Room'!$B$8)*AZ260/2147483647)</x:f>
        <x:v>1032.297179500268</x:v>
      </x:c>
      <x:c r="BC260" s="17" t="n">
        <x:f>IF('Control Room'!$B$5="Normal",'Control Room'!$B$7,('Control Room'!$B$8+'Control Room'!$D$8)/2)+'Control Room'!$B$9*(BC259-IF('Control Room'!$B$5="Normal",'Control Room'!$B$7,('Control Room'!$B$8+'Control Room'!$D$8)/2))+SQRT(1-'Control Room'!$B$9^2)*(BB260-IF('Control Room'!$B$5="Normal",'Control Room'!$B$7,('Control Room'!$B$8+'Control Room'!$D$8)/2))</x:f>
        <x:v>1032.8115202787108</x:v>
      </x:c>
      <x:c r="BD260" s="17" t="n">
        <x:f>IF(AND($A260&gt;='Control Room'!$A$13,$A260&lt;'Control Room'!$A$13+'Control Room'!$B$13,'Process'!BU2=1),1+('Control Room'!$C$13-1)*EXP(-0.5*(($A260-'Control Room'!$A$13-('Control Room'!$B$13-1)/2)/MAX(0.5,'Control Room'!$B$13/4))^2),1)*IF(AND($A260&gt;='Control Room'!$A$14,$A260&lt;'Control Room'!$A$14+'Control Room'!$B$14,'Process'!BU3=1),1+('Control Room'!$C$14-1)*EXP(-0.5*(($A260-'Control Room'!$A$14-('Control Room'!$B$14-1)/2)/MAX(0.5,'Control Room'!$B$14/4))^2),1)*IF(AND($A260&gt;='Control Room'!$A$15,$A260&lt;'Control Room'!$A$15+'Control Room'!$B$15,'Process'!BU4=1),1+('Control Room'!$C$15-1)*EXP(-0.5*(($A260-'Control Room'!$A$15-('Control Room'!$B$15-1)/2)/MAX(0.5,'Control Room'!$B$15/4))^2),1)*IF(AND($A260&gt;='Control Room'!$A$16,$A260&lt;'Control Room'!$A$16+'Control Room'!$B$16,'Process'!BU5=1),1+('Control Room'!$C$16-1)*EXP(-0.5*(($A260-'Control Room'!$A$16-('Control Room'!$B$16-1)/2)/MAX(0.5,'Control Room'!$B$16/4))^2),1)</x:f>
        <x:v>1</x:v>
      </x:c>
      <x:c r="BE260" s="9" t="n">
        <x:f>MOD(BF259*16807,2147483647)</x:f>
        <x:v>531159846</x:v>
      </x:c>
      <x:c r="BF260" s="9" t="n">
        <x:f>MOD(BE260*16807,2147483647)</x:f>
        <x:v>114011143</x:v>
      </x:c>
      <x:c r="BG260" s="17" t="n">
        <x:f>IF('Control Room'!$B$5="Normal",'Control Room'!$B$7+'Control Room'!$D$7*SQRT(-2*LN(MAX(0.000000000001,BE260/2147483647)))*COS(2*PI()*BF260/2147483647),'Control Room'!$B$8+('Control Room'!$D$8-'Control Room'!$B$8)*BE260/2147483647)</x:f>
        <x:v>1142.144229098297</x:v>
      </x:c>
      <x:c r="BH260" s="17" t="n">
        <x:f>IF('Control Room'!$B$5="Normal",'Control Room'!$B$7,('Control Room'!$B$8+'Control Room'!$D$8)/2)+'Control Room'!$B$9*(BH259-IF('Control Room'!$B$5="Normal",'Control Room'!$B$7,('Control Room'!$B$8+'Control Room'!$D$8)/2))+SQRT(1-'Control Room'!$B$9^2)*(BG260-IF('Control Room'!$B$5="Normal",'Control Room'!$B$7,('Control Room'!$B$8+'Control Room'!$D$8)/2))</x:f>
        <x:v>1126.5754804474798</x:v>
      </x:c>
      <x:c r="BI260" s="17" t="n">
        <x:f>IF(AND($A260&gt;='Control Room'!$A$13,$A260&lt;'Control Room'!$A$13+'Control Room'!$B$13,'Process'!BV2=1),1+('Control Room'!$C$13-1)*EXP(-0.5*(($A260-'Control Room'!$A$13-('Control Room'!$B$13-1)/2)/MAX(0.5,'Control Room'!$B$13/4))^2),1)*IF(AND($A260&gt;='Control Room'!$A$14,$A260&lt;'Control Room'!$A$14+'Control Room'!$B$14,'Process'!BV3=1),1+('Control Room'!$C$14-1)*EXP(-0.5*(($A260-'Control Room'!$A$14-('Control Room'!$B$14-1)/2)/MAX(0.5,'Control Room'!$B$14/4))^2),1)*IF(AND($A260&gt;='Control Room'!$A$15,$A260&lt;'Control Room'!$A$15+'Control Room'!$B$15,'Process'!BV4=1),1+('Control Room'!$C$15-1)*EXP(-0.5*(($A260-'Control Room'!$A$15-('Control Room'!$B$15-1)/2)/MAX(0.5,'Control Room'!$B$15/4))^2),1)*IF(AND($A260&gt;='Control Room'!$A$16,$A260&lt;'Control Room'!$A$16+'Control Room'!$B$16,'Process'!BV5=1),1+('Control Room'!$C$16-1)*EXP(-0.5*(($A260-'Control Room'!$A$16-('Control Room'!$B$16-1)/2)/MAX(0.5,'Control Room'!$B$16/4))^2),1)</x:f>
        <x:v>1</x:v>
      </x:c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Z260" t="str">
        <x:f>IF('Data'!A260="","",TEXT('Data'!A260,"mm-dd"))</x:f>
      </x:c>
    </x:row>
    <x:row r="261" ht="21" customHeight="1">
      <x:c r="A261" s="15" t="n">
        <x:f>'Control Room'!$B$1+259</x:f>
        <x:v>73250</x:v>
      </x:c>
      <x:c r="B261" s="9" t="n">
        <x:f>MOD(C260*16807,2147483647)</x:f>
        <x:v>843637048</x:v>
      </x:c>
      <x:c r="C261" s="9" t="n">
        <x:f>MOD(B261*16807,2147483647)</x:f>
        <x:v>1320828242</x:v>
      </x:c>
      <x:c r="D261" s="17" t="n">
        <x:f>IF('Control Room'!$B$5="Normal",'Control Room'!$B$7+'Control Room'!$D$7*SQRT(-2*LN(MAX(0.000000000001,B261/2147483647)))*COS(2*PI()*C261/2147483647),'Control Room'!$B$8+('Control Room'!$D$8-'Control Room'!$B$8)*B261/2147483647)</x:f>
        <x:v>907.7445196885852</x:v>
      </x:c>
      <x:c r="E261" s="17" t="n">
        <x:f>IF('Control Room'!$B$5="Normal",'Control Room'!$B$7,('Control Room'!$B$8+'Control Room'!$D$8)/2)+'Control Room'!$B$9*(E260-IF('Control Room'!$B$5="Normal",'Control Room'!$B$7,('Control Room'!$B$8+'Control Room'!$D$8)/2))+SQRT(1-'Control Room'!$B$9^2)*(D261-IF('Control Room'!$B$5="Normal",'Control Room'!$B$7,('Control Room'!$B$8+'Control Room'!$D$8)/2))</x:f>
        <x:v>975.108164035244</x:v>
      </x:c>
      <x:c r="F261" s="17" t="n">
        <x:f>IF(AND($A261&gt;='Control Room'!$A$13,$A261&lt;'Control Room'!$A$13+'Control Room'!$B$13,'Process'!BK2=1),1+('Control Room'!$C$13-1)*EXP(-0.5*(($A261-'Control Room'!$A$13-('Control Room'!$B$13-1)/2)/MAX(0.5,'Control Room'!$B$13/4))^2),1)*IF(AND($A261&gt;='Control Room'!$A$14,$A261&lt;'Control Room'!$A$14+'Control Room'!$B$14,'Process'!BK3=1),1+('Control Room'!$C$14-1)*EXP(-0.5*(($A261-'Control Room'!$A$14-('Control Room'!$B$14-1)/2)/MAX(0.5,'Control Room'!$B$14/4))^2),1)*IF(AND($A261&gt;='Control Room'!$A$15,$A261&lt;'Control Room'!$A$15+'Control Room'!$B$15,'Process'!BK4=1),1+('Control Room'!$C$15-1)*EXP(-0.5*(($A261-'Control Room'!$A$15-('Control Room'!$B$15-1)/2)/MAX(0.5,'Control Room'!$B$15/4))^2),1)*IF(AND($A261&gt;='Control Room'!$A$16,$A261&lt;'Control Room'!$A$16+'Control Room'!$B$16,'Process'!BK5=1),1+('Control Room'!$C$16-1)*EXP(-0.5*(($A261-'Control Room'!$A$16-('Control Room'!$B$16-1)/2)/MAX(0.5,'Control Room'!$B$16/4))^2),1)</x:f>
        <x:v>1</x:v>
      </x:c>
      <x:c r="G261" s="9" t="n">
        <x:f>MOD(H260*16807,2147483647)</x:f>
        <x:v>1995558149</x:v>
      </x:c>
      <x:c r="H261" s="9" t="n">
        <x:f>MOD(G261*16807,2147483647)</x:f>
        <x:v>2093695044</x:v>
      </x:c>
      <x:c r="I261" s="17" t="n">
        <x:f>IF('Control Room'!$B$5="Normal",'Control Room'!$B$7+'Control Room'!$D$7*SQRT(-2*LN(MAX(0.000000000001,G261/2147483647)))*COS(2*PI()*H261/2147483647),'Control Room'!$B$8+('Control Room'!$D$8-'Control Room'!$B$8)*G261/2147483647)</x:f>
        <x:v>1034.0506219229273</x:v>
      </x:c>
      <x:c r="J261" s="17" t="n">
        <x:f>IF('Control Room'!$B$5="Normal",'Control Room'!$B$7,('Control Room'!$B$8+'Control Room'!$D$8)/2)+'Control Room'!$B$9*(J260-IF('Control Room'!$B$5="Normal",'Control Room'!$B$7,('Control Room'!$B$8+'Control Room'!$D$8)/2))+SQRT(1-'Control Room'!$B$9^2)*(I261-IF('Control Room'!$B$5="Normal",'Control Room'!$B$7,('Control Room'!$B$8+'Control Room'!$D$8)/2))</x:f>
        <x:v>1000.1898924373938</x:v>
      </x:c>
      <x:c r="K261" s="17" t="n">
        <x:f>IF(AND($A261&gt;='Control Room'!$A$13,$A261&lt;'Control Room'!$A$13+'Control Room'!$B$13,'Process'!BL2=1),1+('Control Room'!$C$13-1)*EXP(-0.5*(($A261-'Control Room'!$A$13-('Control Room'!$B$13-1)/2)/MAX(0.5,'Control Room'!$B$13/4))^2),1)*IF(AND($A261&gt;='Control Room'!$A$14,$A261&lt;'Control Room'!$A$14+'Control Room'!$B$14,'Process'!BL3=1),1+('Control Room'!$C$14-1)*EXP(-0.5*(($A261-'Control Room'!$A$14-('Control Room'!$B$14-1)/2)/MAX(0.5,'Control Room'!$B$14/4))^2),1)*IF(AND($A261&gt;='Control Room'!$A$15,$A261&lt;'Control Room'!$A$15+'Control Room'!$B$15,'Process'!BL4=1),1+('Control Room'!$C$15-1)*EXP(-0.5*(($A261-'Control Room'!$A$15-('Control Room'!$B$15-1)/2)/MAX(0.5,'Control Room'!$B$15/4))^2),1)*IF(AND($A261&gt;='Control Room'!$A$16,$A261&lt;'Control Room'!$A$16+'Control Room'!$B$16,'Process'!BL5=1),1+('Control Room'!$C$16-1)*EXP(-0.5*(($A261-'Control Room'!$A$16-('Control Room'!$B$16-1)/2)/MAX(0.5,'Control Room'!$B$16/4))^2),1)</x:f>
        <x:v>1</x:v>
      </x:c>
      <x:c r="L261" s="9" t="n">
        <x:f>MOD(M260*16807,2147483647)</x:f>
        <x:v>999995603</x:v>
      </x:c>
      <x:c r="M261" s="9" t="n">
        <x:f>MOD(L261*16807,2147483647)</x:f>
        <x:v>719078199</x:v>
      </x:c>
      <x:c r="N261" s="17" t="n">
        <x:f>IF('Control Room'!$B$5="Normal",'Control Room'!$B$7+'Control Room'!$D$7*SQRT(-2*LN(MAX(0.000000000001,L261/2147483647)))*COS(2*PI()*M261/2147483647),'Control Room'!$B$8+('Control Room'!$D$8-'Control Room'!$B$8)*L261/2147483647)</x:f>
        <x:v>943.4496104365409</x:v>
      </x:c>
      <x:c r="O261" s="17" t="n">
        <x:f>IF('Control Room'!$B$5="Normal",'Control Room'!$B$7,('Control Room'!$B$8+'Control Room'!$D$8)/2)+'Control Room'!$B$9*(O260-IF('Control Room'!$B$5="Normal",'Control Room'!$B$7,('Control Room'!$B$8+'Control Room'!$D$8)/2))+SQRT(1-'Control Room'!$B$9^2)*(N261-IF('Control Room'!$B$5="Normal",'Control Room'!$B$7,('Control Room'!$B$8+'Control Room'!$D$8)/2))</x:f>
        <x:v>915.760978855283</x:v>
      </x:c>
      <x:c r="P261" s="17" t="n">
        <x:f>IF(AND($A261&gt;='Control Room'!$A$13,$A261&lt;'Control Room'!$A$13+'Control Room'!$B$13,'Process'!BM2=1),1+('Control Room'!$C$13-1)*EXP(-0.5*(($A261-'Control Room'!$A$13-('Control Room'!$B$13-1)/2)/MAX(0.5,'Control Room'!$B$13/4))^2),1)*IF(AND($A261&gt;='Control Room'!$A$14,$A261&lt;'Control Room'!$A$14+'Control Room'!$B$14,'Process'!BM3=1),1+('Control Room'!$C$14-1)*EXP(-0.5*(($A261-'Control Room'!$A$14-('Control Room'!$B$14-1)/2)/MAX(0.5,'Control Room'!$B$14/4))^2),1)*IF(AND($A261&gt;='Control Room'!$A$15,$A261&lt;'Control Room'!$A$15+'Control Room'!$B$15,'Process'!BM4=1),1+('Control Room'!$C$15-1)*EXP(-0.5*(($A261-'Control Room'!$A$15-('Control Room'!$B$15-1)/2)/MAX(0.5,'Control Room'!$B$15/4))^2),1)*IF(AND($A261&gt;='Control Room'!$A$16,$A261&lt;'Control Room'!$A$16+'Control Room'!$B$16,'Process'!BM5=1),1+('Control Room'!$C$16-1)*EXP(-0.5*(($A261-'Control Room'!$A$16-('Control Room'!$B$16-1)/2)/MAX(0.5,'Control Room'!$B$16/4))^2),1)</x:f>
        <x:v>1</x:v>
      </x:c>
      <x:c r="Q261" s="9" t="n">
        <x:f>MOD(R260*16807,2147483647)</x:f>
        <x:v>4433057</x:v>
      </x:c>
      <x:c r="R261" s="9" t="n">
        <x:f>MOD(Q261*16807,2147483647)</x:f>
        <x:v>1491945001</x:v>
      </x:c>
      <x:c r="S261" s="17" t="n">
        <x:f>IF('Control Room'!$B$5="Normal",'Control Room'!$B$7+'Control Room'!$D$7*SQRT(-2*LN(MAX(0.000000000001,Q261/2147483647)))*COS(2*PI()*R261/2147483647),'Control Room'!$B$8+('Control Room'!$D$8-'Control Room'!$B$8)*Q261/2147483647)</x:f>
        <x:v>892.3094794257561</x:v>
      </x:c>
      <x:c r="T261" s="17" t="n">
        <x:f>IF('Control Room'!$B$5="Normal",'Control Room'!$B$7,('Control Room'!$B$8+'Control Room'!$D$8)/2)+'Control Room'!$B$9*(T260-IF('Control Room'!$B$5="Normal",'Control Room'!$B$7,('Control Room'!$B$8+'Control Room'!$D$8)/2))+SQRT(1-'Control Room'!$B$9^2)*(S261-IF('Control Room'!$B$5="Normal",'Control Room'!$B$7,('Control Room'!$B$8+'Control Room'!$D$8)/2))</x:f>
        <x:v>1084.3816395299336</x:v>
      </x:c>
      <x:c r="U261" s="17" t="n">
        <x:f>IF(AND($A261&gt;='Control Room'!$A$13,$A261&lt;'Control Room'!$A$13+'Control Room'!$B$13,'Process'!BN2=1),1+('Control Room'!$C$13-1)*EXP(-0.5*(($A261-'Control Room'!$A$13-('Control Room'!$B$13-1)/2)/MAX(0.5,'Control Room'!$B$13/4))^2),1)*IF(AND($A261&gt;='Control Room'!$A$14,$A261&lt;'Control Room'!$A$14+'Control Room'!$B$14,'Process'!BN3=1),1+('Control Room'!$C$14-1)*EXP(-0.5*(($A261-'Control Room'!$A$14-('Control Room'!$B$14-1)/2)/MAX(0.5,'Control Room'!$B$14/4))^2),1)*IF(AND($A261&gt;='Control Room'!$A$15,$A261&lt;'Control Room'!$A$15+'Control Room'!$B$15,'Process'!BN4=1),1+('Control Room'!$C$15-1)*EXP(-0.5*(($A261-'Control Room'!$A$15-('Control Room'!$B$15-1)/2)/MAX(0.5,'Control Room'!$B$15/4))^2),1)*IF(AND($A261&gt;='Control Room'!$A$16,$A261&lt;'Control Room'!$A$16+'Control Room'!$B$16,'Process'!BN5=1),1+('Control Room'!$C$16-1)*EXP(-0.5*(($A261-'Control Room'!$A$16-('Control Room'!$B$16-1)/2)/MAX(0.5,'Control Room'!$B$16/4))^2),1)</x:f>
        <x:v>1</x:v>
      </x:c>
      <x:c r="V261" s="9" t="n">
        <x:f>MOD(W260*16807,2147483647)</x:f>
        <x:v>1156354158</x:v>
      </x:c>
      <x:c r="W261" s="9" t="n">
        <x:f>MOD(V261*16807,2147483647)</x:f>
        <x:v>117328156</x:v>
      </x:c>
      <x:c r="X261" s="17" t="n">
        <x:f>IF('Control Room'!$B$5="Normal",'Control Room'!$B$7+'Control Room'!$D$7*SQRT(-2*LN(MAX(0.000000000001,V261/2147483647)))*COS(2*PI()*W261/2147483647),'Control Room'!$B$8+('Control Room'!$D$8-'Control Room'!$B$8)*V261/2147483647)</x:f>
        <x:v>1094.2981545225236</x:v>
      </x:c>
      <x:c r="Y261" s="17" t="n">
        <x:f>IF('Control Room'!$B$5="Normal",'Control Room'!$B$7,('Control Room'!$B$8+'Control Room'!$D$8)/2)+'Control Room'!$B$9*(Y260-IF('Control Room'!$B$5="Normal",'Control Room'!$B$7,('Control Room'!$B$8+'Control Room'!$D$8)/2))+SQRT(1-'Control Room'!$B$9^2)*(X261-IF('Control Room'!$B$5="Normal",'Control Room'!$B$7,('Control Room'!$B$8+'Control Room'!$D$8)/2))</x:f>
        <x:v>956.7461535876129</x:v>
      </x:c>
      <x:c r="Z261" s="17" t="n">
        <x:f>IF(AND($A261&gt;='Control Room'!$A$13,$A261&lt;'Control Room'!$A$13+'Control Room'!$B$13,'Process'!BO2=1),1+('Control Room'!$C$13-1)*EXP(-0.5*(($A261-'Control Room'!$A$13-('Control Room'!$B$13-1)/2)/MAX(0.5,'Control Room'!$B$13/4))^2),1)*IF(AND($A261&gt;='Control Room'!$A$14,$A261&lt;'Control Room'!$A$14+'Control Room'!$B$14,'Process'!BO3=1),1+('Control Room'!$C$14-1)*EXP(-0.5*(($A261-'Control Room'!$A$14-('Control Room'!$B$14-1)/2)/MAX(0.5,'Control Room'!$B$14/4))^2),1)*IF(AND($A261&gt;='Control Room'!$A$15,$A261&lt;'Control Room'!$A$15+'Control Room'!$B$15,'Process'!BO4=1),1+('Control Room'!$C$15-1)*EXP(-0.5*(($A261-'Control Room'!$A$15-('Control Room'!$B$15-1)/2)/MAX(0.5,'Control Room'!$B$15/4))^2),1)*IF(AND($A261&gt;='Control Room'!$A$16,$A261&lt;'Control Room'!$A$16+'Control Room'!$B$16,'Process'!BO5=1),1+('Control Room'!$C$16-1)*EXP(-0.5*(($A261-'Control Room'!$A$16-('Control Room'!$B$16-1)/2)/MAX(0.5,'Control Room'!$B$16/4))^2),1)</x:f>
        <x:v>1</x:v>
      </x:c>
      <x:c r="AA261" s="9" t="n">
        <x:f>MOD(AB260*16807,2147483647)</x:f>
        <x:v>160791612</x:v>
      </x:c>
      <x:c r="AB261" s="9" t="n">
        <x:f>MOD(AA261*16807,2147483647)</x:f>
        <x:v>890194958</x:v>
      </x:c>
      <x:c r="AC261" s="17" t="n">
        <x:f>IF('Control Room'!$B$5="Normal",'Control Room'!$B$7+'Control Room'!$D$7*SQRT(-2*LN(MAX(0.000000000001,AA261/2147483647)))*COS(2*PI()*AB261/2147483647),'Control Room'!$B$8+('Control Room'!$D$8-'Control Room'!$B$8)*AA261/2147483647)</x:f>
        <x:v>823.9317276500291</x:v>
      </x:c>
      <x:c r="AD261" s="17" t="n">
        <x:f>IF('Control Room'!$B$5="Normal",'Control Room'!$B$7,('Control Room'!$B$8+'Control Room'!$D$8)/2)+'Control Room'!$B$9*(AD260-IF('Control Room'!$B$5="Normal",'Control Room'!$B$7,('Control Room'!$B$8+'Control Room'!$D$8)/2))+SQRT(1-'Control Room'!$B$9^2)*(AC261-IF('Control Room'!$B$5="Normal",'Control Room'!$B$7,('Control Room'!$B$8+'Control Room'!$D$8)/2))</x:f>
        <x:v>840.2900139445866</x:v>
      </x:c>
      <x:c r="AE261" s="17" t="n">
        <x:f>IF(AND($A261&gt;='Control Room'!$A$13,$A261&lt;'Control Room'!$A$13+'Control Room'!$B$13,'Process'!BP2=1),1+('Control Room'!$C$13-1)*EXP(-0.5*(($A261-'Control Room'!$A$13-('Control Room'!$B$13-1)/2)/MAX(0.5,'Control Room'!$B$13/4))^2),1)*IF(AND($A261&gt;='Control Room'!$A$14,$A261&lt;'Control Room'!$A$14+'Control Room'!$B$14,'Process'!BP3=1),1+('Control Room'!$C$14-1)*EXP(-0.5*(($A261-'Control Room'!$A$14-('Control Room'!$B$14-1)/2)/MAX(0.5,'Control Room'!$B$14/4))^2),1)*IF(AND($A261&gt;='Control Room'!$A$15,$A261&lt;'Control Room'!$A$15+'Control Room'!$B$15,'Process'!BP4=1),1+('Control Room'!$C$15-1)*EXP(-0.5*(($A261-'Control Room'!$A$15-('Control Room'!$B$15-1)/2)/MAX(0.5,'Control Room'!$B$15/4))^2),1)*IF(AND($A261&gt;='Control Room'!$A$16,$A261&lt;'Control Room'!$A$16+'Control Room'!$B$16,'Process'!BP5=1),1+('Control Room'!$C$16-1)*EXP(-0.5*(($A261-'Control Room'!$A$16-('Control Room'!$B$16-1)/2)/MAX(0.5,'Control Room'!$B$16/4))^2),1)</x:f>
        <x:v>1</x:v>
      </x:c>
      <x:c r="AF261" s="9" t="n">
        <x:f>MOD(AG260*16807,2147483647)</x:f>
        <x:v>1312712713</x:v>
      </x:c>
      <x:c r="AG261" s="9" t="n">
        <x:f>MOD(AF261*16807,2147483647)</x:f>
        <x:v>1663061760</x:v>
      </x:c>
      <x:c r="AH261" s="17" t="n">
        <x:f>IF('Control Room'!$B$5="Normal",'Control Room'!$B$7+'Control Room'!$D$7*SQRT(-2*LN(MAX(0.000000000001,AF261/2147483647)))*COS(2*PI()*AG261/2147483647),'Control Room'!$B$8+('Control Room'!$D$8-'Control Room'!$B$8)*AF261/2147483647)</x:f>
        <x:v>1013.6492970798338</x:v>
      </x:c>
      <x:c r="AI261" s="17" t="n">
        <x:f>IF('Control Room'!$B$5="Normal",'Control Room'!$B$7,('Control Room'!$B$8+'Control Room'!$D$8)/2)+'Control Room'!$B$9*(AI260-IF('Control Room'!$B$5="Normal",'Control Room'!$B$7,('Control Room'!$B$8+'Control Room'!$D$8)/2))+SQRT(1-'Control Room'!$B$9^2)*(AH261-IF('Control Room'!$B$5="Normal",'Control Room'!$B$7,('Control Room'!$B$8+'Control Room'!$D$8)/2))</x:f>
        <x:v>904.5627733649951</x:v>
      </x:c>
      <x:c r="AJ261" s="17" t="n">
        <x:f>IF(AND($A261&gt;='Control Room'!$A$13,$A261&lt;'Control Room'!$A$13+'Control Room'!$B$13,'Process'!BQ2=1),1+('Control Room'!$C$13-1)*EXP(-0.5*(($A261-'Control Room'!$A$13-('Control Room'!$B$13-1)/2)/MAX(0.5,'Control Room'!$B$13/4))^2),1)*IF(AND($A261&gt;='Control Room'!$A$14,$A261&lt;'Control Room'!$A$14+'Control Room'!$B$14,'Process'!BQ3=1),1+('Control Room'!$C$14-1)*EXP(-0.5*(($A261-'Control Room'!$A$14-('Control Room'!$B$14-1)/2)/MAX(0.5,'Control Room'!$B$14/4))^2),1)*IF(AND($A261&gt;='Control Room'!$A$15,$A261&lt;'Control Room'!$A$15+'Control Room'!$B$15,'Process'!BQ4=1),1+('Control Room'!$C$15-1)*EXP(-0.5*(($A261-'Control Room'!$A$15-('Control Room'!$B$15-1)/2)/MAX(0.5,'Control Room'!$B$15/4))^2),1)*IF(AND($A261&gt;='Control Room'!$A$16,$A261&lt;'Control Room'!$A$16+'Control Room'!$B$16,'Process'!BQ5=1),1+('Control Room'!$C$16-1)*EXP(-0.5*(($A261-'Control Room'!$A$16-('Control Room'!$B$16-1)/2)/MAX(0.5,'Control Room'!$B$16/4))^2),1)</x:f>
        <x:v>1</x:v>
      </x:c>
      <x:c r="AK261" s="9" t="n">
        <x:f>MOD(AL260*16807,2147483647)</x:f>
        <x:v>317150167</x:v>
      </x:c>
      <x:c r="AL261" s="9" t="n">
        <x:f>MOD(AK261*16807,2147483647)</x:f>
        <x:v>288444915</x:v>
      </x:c>
      <x:c r="AM261" s="17" t="n">
        <x:f>IF('Control Room'!$B$5="Normal",'Control Room'!$B$7+'Control Room'!$D$7*SQRT(-2*LN(MAX(0.000000000001,AK261/2147483647)))*COS(2*PI()*AL261/2147483647),'Control Room'!$B$8+('Control Room'!$D$8-'Control Room'!$B$8)*AK261/2147483647)</x:f>
        <x:v>1116.9735171515074</x:v>
      </x:c>
      <x:c r="AN261" s="17" t="n">
        <x:f>IF('Control Room'!$B$5="Normal",'Control Room'!$B$7,('Control Room'!$B$8+'Control Room'!$D$8)/2)+'Control Room'!$B$9*(AN260-IF('Control Room'!$B$5="Normal",'Control Room'!$B$7,('Control Room'!$B$8+'Control Room'!$D$8)/2))+SQRT(1-'Control Room'!$B$9^2)*(AM261-IF('Control Room'!$B$5="Normal",'Control Room'!$B$7,('Control Room'!$B$8+'Control Room'!$D$8)/2))</x:f>
        <x:v>1128.8049770835282</x:v>
      </x:c>
      <x:c r="AO261" s="17" t="n">
        <x:f>IF(AND($A261&gt;='Control Room'!$A$13,$A261&lt;'Control Room'!$A$13+'Control Room'!$B$13,'Process'!BR2=1),1+('Control Room'!$C$13-1)*EXP(-0.5*(($A261-'Control Room'!$A$13-('Control Room'!$B$13-1)/2)/MAX(0.5,'Control Room'!$B$13/4))^2),1)*IF(AND($A261&gt;='Control Room'!$A$14,$A261&lt;'Control Room'!$A$14+'Control Room'!$B$14,'Process'!BR3=1),1+('Control Room'!$C$14-1)*EXP(-0.5*(($A261-'Control Room'!$A$14-('Control Room'!$B$14-1)/2)/MAX(0.5,'Control Room'!$B$14/4))^2),1)*IF(AND($A261&gt;='Control Room'!$A$15,$A261&lt;'Control Room'!$A$15+'Control Room'!$B$15,'Process'!BR4=1),1+('Control Room'!$C$15-1)*EXP(-0.5*(($A261-'Control Room'!$A$15-('Control Room'!$B$15-1)/2)/MAX(0.5,'Control Room'!$B$15/4))^2),1)*IF(AND($A261&gt;='Control Room'!$A$16,$A261&lt;'Control Room'!$A$16+'Control Room'!$B$16,'Process'!BR5=1),1+('Control Room'!$C$16-1)*EXP(-0.5*(($A261-'Control Room'!$A$16-('Control Room'!$B$16-1)/2)/MAX(0.5,'Control Room'!$B$16/4))^2),1)</x:f>
        <x:v>1</x:v>
      </x:c>
      <x:c r="AP261" s="9" t="n">
        <x:f>MOD(AQ260*16807,2147483647)</x:f>
        <x:v>1469071268</x:v>
      </x:c>
      <x:c r="AQ261" s="9" t="n">
        <x:f>MOD(AP261*16807,2147483647)</x:f>
        <x:v>1061311717</x:v>
      </x:c>
      <x:c r="AR261" s="17" t="n">
        <x:f>IF('Control Room'!$B$5="Normal",'Control Room'!$B$7+'Control Room'!$D$7*SQRT(-2*LN(MAX(0.000000000001,AP261/2147483647)))*COS(2*PI()*AQ261/2147483647),'Control Room'!$B$8+('Control Room'!$D$8-'Control Room'!$B$8)*AP261/2147483647)</x:f>
        <x:v>921.6261314529227</x:v>
      </x:c>
      <x:c r="AS261" s="17" t="n">
        <x:f>IF('Control Room'!$B$5="Normal",'Control Room'!$B$7,('Control Room'!$B$8+'Control Room'!$D$8)/2)+'Control Room'!$B$9*(AS260-IF('Control Room'!$B$5="Normal",'Control Room'!$B$7,('Control Room'!$B$8+'Control Room'!$D$8)/2))+SQRT(1-'Control Room'!$B$9^2)*(AR261-IF('Control Room'!$B$5="Normal",'Control Room'!$B$7,('Control Room'!$B$8+'Control Room'!$D$8)/2))</x:f>
        <x:v>911.4325755324318</x:v>
      </x:c>
      <x:c r="AT261" s="17" t="n">
        <x:f>IF(AND($A261&gt;='Control Room'!$A$13,$A261&lt;'Control Room'!$A$13+'Control Room'!$B$13,'Process'!BS2=1),1+('Control Room'!$C$13-1)*EXP(-0.5*(($A261-'Control Room'!$A$13-('Control Room'!$B$13-1)/2)/MAX(0.5,'Control Room'!$B$13/4))^2),1)*IF(AND($A261&gt;='Control Room'!$A$14,$A261&lt;'Control Room'!$A$14+'Control Room'!$B$14,'Process'!BS3=1),1+('Control Room'!$C$14-1)*EXP(-0.5*(($A261-'Control Room'!$A$14-('Control Room'!$B$14-1)/2)/MAX(0.5,'Control Room'!$B$14/4))^2),1)*IF(AND($A261&gt;='Control Room'!$A$15,$A261&lt;'Control Room'!$A$15+'Control Room'!$B$15,'Process'!BS4=1),1+('Control Room'!$C$15-1)*EXP(-0.5*(($A261-'Control Room'!$A$15-('Control Room'!$B$15-1)/2)/MAX(0.5,'Control Room'!$B$15/4))^2),1)*IF(AND($A261&gt;='Control Room'!$A$16,$A261&lt;'Control Room'!$A$16+'Control Room'!$B$16,'Process'!BS5=1),1+('Control Room'!$C$16-1)*EXP(-0.5*(($A261-'Control Room'!$A$16-('Control Room'!$B$16-1)/2)/MAX(0.5,'Control Room'!$B$16/4))^2),1)</x:f>
        <x:v>1</x:v>
      </x:c>
      <x:c r="AU261" s="9" t="n">
        <x:f>MOD(AV260*16807,2147483647)</x:f>
        <x:v>473508722</x:v>
      </x:c>
      <x:c r="AV261" s="9" t="n">
        <x:f>MOD(AU261*16807,2147483647)</x:f>
        <x:v>1834178519</x:v>
      </x:c>
      <x:c r="AW261" s="17" t="n">
        <x:f>IF('Control Room'!$B$5="Normal",'Control Room'!$B$7+'Control Room'!$D$7*SQRT(-2*LN(MAX(0.000000000001,AU261/2147483647)))*COS(2*PI()*AV261/2147483647),'Control Room'!$B$8+('Control Room'!$D$8-'Control Room'!$B$8)*AU261/2147483647)</x:f>
        <x:v>1095.224229612914</x:v>
      </x:c>
      <x:c r="AX261" s="17" t="n">
        <x:f>IF('Control Room'!$B$5="Normal",'Control Room'!$B$7,('Control Room'!$B$8+'Control Room'!$D$8)/2)+'Control Room'!$B$9*(AX260-IF('Control Room'!$B$5="Normal",'Control Room'!$B$7,('Control Room'!$B$8+'Control Room'!$D$8)/2))+SQRT(1-'Control Room'!$B$9^2)*(AW261-IF('Control Room'!$B$5="Normal",'Control Room'!$B$7,('Control Room'!$B$8+'Control Room'!$D$8)/2))</x:f>
        <x:v>1092.5758366262942</x:v>
      </x:c>
      <x:c r="AY261" s="17" t="n">
        <x:f>IF(AND($A261&gt;='Control Room'!$A$13,$A261&lt;'Control Room'!$A$13+'Control Room'!$B$13,'Process'!BT2=1),1+('Control Room'!$C$13-1)*EXP(-0.5*(($A261-'Control Room'!$A$13-('Control Room'!$B$13-1)/2)/MAX(0.5,'Control Room'!$B$13/4))^2),1)*IF(AND($A261&gt;='Control Room'!$A$14,$A261&lt;'Control Room'!$A$14+'Control Room'!$B$14,'Process'!BT3=1),1+('Control Room'!$C$14-1)*EXP(-0.5*(($A261-'Control Room'!$A$14-('Control Room'!$B$14-1)/2)/MAX(0.5,'Control Room'!$B$14/4))^2),1)*IF(AND($A261&gt;='Control Room'!$A$15,$A261&lt;'Control Room'!$A$15+'Control Room'!$B$15,'Process'!BT4=1),1+('Control Room'!$C$15-1)*EXP(-0.5*(($A261-'Control Room'!$A$15-('Control Room'!$B$15-1)/2)/MAX(0.5,'Control Room'!$B$15/4))^2),1)*IF(AND($A261&gt;='Control Room'!$A$16,$A261&lt;'Control Room'!$A$16+'Control Room'!$B$16,'Process'!BT5=1),1+('Control Room'!$C$16-1)*EXP(-0.5*(($A261-'Control Room'!$A$16-('Control Room'!$B$16-1)/2)/MAX(0.5,'Control Room'!$B$16/4))^2),1)</x:f>
        <x:v>1</x:v>
      </x:c>
      <x:c r="AZ261" s="9" t="n">
        <x:f>MOD(BA260*16807,2147483647)</x:f>
        <x:v>1625429823</x:v>
      </x:c>
      <x:c r="BA261" s="9" t="n">
        <x:f>MOD(AZ261*16807,2147483647)</x:f>
        <x:v>459561674</x:v>
      </x:c>
      <x:c r="BB261" s="17" t="n">
        <x:f>IF('Control Room'!$B$5="Normal",'Control Room'!$B$7+'Control Room'!$D$7*SQRT(-2*LN(MAX(0.000000000001,AZ261/2147483647)))*COS(2*PI()*BA261/2147483647),'Control Room'!$B$8+('Control Room'!$D$8-'Control Room'!$B$8)*AZ261/2147483647)</x:f>
        <x:v>1015.0647138230555</x:v>
      </x:c>
      <x:c r="BC261" s="17" t="n">
        <x:f>IF('Control Room'!$B$5="Normal",'Control Room'!$B$7,('Control Room'!$B$8+'Control Room'!$D$8)/2)+'Control Room'!$B$9*(BC260-IF('Control Room'!$B$5="Normal",'Control Room'!$B$7,('Control Room'!$B$8+'Control Room'!$D$8)/2))+SQRT(1-'Control Room'!$B$9^2)*(BB261-IF('Control Room'!$B$5="Normal",'Control Room'!$B$7,('Control Room'!$B$8+'Control Room'!$D$8)/2))</x:f>
        <x:v>1035.020175110425</x:v>
      </x:c>
      <x:c r="BD261" s="17" t="n">
        <x:f>IF(AND($A261&gt;='Control Room'!$A$13,$A261&lt;'Control Room'!$A$13+'Control Room'!$B$13,'Process'!BU2=1),1+('Control Room'!$C$13-1)*EXP(-0.5*(($A261-'Control Room'!$A$13-('Control Room'!$B$13-1)/2)/MAX(0.5,'Control Room'!$B$13/4))^2),1)*IF(AND($A261&gt;='Control Room'!$A$14,$A261&lt;'Control Room'!$A$14+'Control Room'!$B$14,'Process'!BU3=1),1+('Control Room'!$C$14-1)*EXP(-0.5*(($A261-'Control Room'!$A$14-('Control Room'!$B$14-1)/2)/MAX(0.5,'Control Room'!$B$14/4))^2),1)*IF(AND($A261&gt;='Control Room'!$A$15,$A261&lt;'Control Room'!$A$15+'Control Room'!$B$15,'Process'!BU4=1),1+('Control Room'!$C$15-1)*EXP(-0.5*(($A261-'Control Room'!$A$15-('Control Room'!$B$15-1)/2)/MAX(0.5,'Control Room'!$B$15/4))^2),1)*IF(AND($A261&gt;='Control Room'!$A$16,$A261&lt;'Control Room'!$A$16+'Control Room'!$B$16,'Process'!BU5=1),1+('Control Room'!$C$16-1)*EXP(-0.5*(($A261-'Control Room'!$A$16-('Control Room'!$B$16-1)/2)/MAX(0.5,'Control Room'!$B$16/4))^2),1)</x:f>
        <x:v>1</x:v>
      </x:c>
      <x:c r="BE261" s="9" t="n">
        <x:f>MOD(BF260*16807,2147483647)</x:f>
        <x:v>629867277</x:v>
      </x:c>
      <x:c r="BF261" s="9" t="n">
        <x:f>MOD(BE261*16807,2147483647)</x:f>
        <x:v>1232428476</x:v>
      </x:c>
      <x:c r="BG261" s="17" t="n">
        <x:f>IF('Control Room'!$B$5="Normal",'Control Room'!$B$7+'Control Room'!$D$7*SQRT(-2*LN(MAX(0.000000000001,BE261/2147483647)))*COS(2*PI()*BF261/2147483647),'Control Room'!$B$8+('Control Room'!$D$8-'Control Room'!$B$8)*BE261/2147483647)</x:f>
        <x:v>873.9612696082188</x:v>
      </x:c>
      <x:c r="BH261" s="17" t="n">
        <x:f>IF('Control Room'!$B$5="Normal",'Control Room'!$B$7,('Control Room'!$B$8+'Control Room'!$D$8)/2)+'Control Room'!$B$9*(BH260-IF('Control Room'!$B$5="Normal",'Control Room'!$B$7,('Control Room'!$B$8+'Control Room'!$D$8)/2))+SQRT(1-'Control Room'!$B$9^2)*(BG261-IF('Control Room'!$B$5="Normal",'Control Room'!$B$7,('Control Room'!$B$8+'Control Room'!$D$8)/2))</x:f>
        <x:v>1019.8564193135962</x:v>
      </x:c>
      <x:c r="BI261" s="17" t="n">
        <x:f>IF(AND($A261&gt;='Control Room'!$A$13,$A261&lt;'Control Room'!$A$13+'Control Room'!$B$13,'Process'!BV2=1),1+('Control Room'!$C$13-1)*EXP(-0.5*(($A261-'Control Room'!$A$13-('Control Room'!$B$13-1)/2)/MAX(0.5,'Control Room'!$B$13/4))^2),1)*IF(AND($A261&gt;='Control Room'!$A$14,$A261&lt;'Control Room'!$A$14+'Control Room'!$B$14,'Process'!BV3=1),1+('Control Room'!$C$14-1)*EXP(-0.5*(($A261-'Control Room'!$A$14-('Control Room'!$B$14-1)/2)/MAX(0.5,'Control Room'!$B$14/4))^2),1)*IF(AND($A261&gt;='Control Room'!$A$15,$A261&lt;'Control Room'!$A$15+'Control Room'!$B$15,'Process'!BV4=1),1+('Control Room'!$C$15-1)*EXP(-0.5*(($A261-'Control Room'!$A$15-('Control Room'!$B$15-1)/2)/MAX(0.5,'Control Room'!$B$15/4))^2),1)*IF(AND($A261&gt;='Control Room'!$A$16,$A261&lt;'Control Room'!$A$16+'Control Room'!$B$16,'Process'!BV5=1),1+('Control Room'!$C$16-1)*EXP(-0.5*(($A261-'Control Room'!$A$16-('Control Room'!$B$16-1)/2)/MAX(0.5,'Control Room'!$B$16/4))^2),1)</x:f>
        <x:v>1</x:v>
      </x:c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Z261" t="str">
        <x:f>IF('Data'!A261="","",TEXT('Data'!A261,"mm-dd"))</x:f>
      </x:c>
    </x:row>
    <x:row r="262" ht="21" customHeight="1">
      <x:c r="A262" s="15" t="n">
        <x:f>'Control Room'!$B$1+260</x:f>
        <x:v>73251</x:v>
      </x:c>
      <x:c r="B262" s="9" t="n">
        <x:f>MOD(C261*16807,2147483647)</x:f>
        <x:v>621804255</x:v>
      </x:c>
      <x:c r="C262" s="9" t="n">
        <x:f>MOD(B262*16807,2147483647)</x:f>
        <x:v>1008687483</x:v>
      </x:c>
      <x:c r="D262" s="17" t="n">
        <x:f>IF('Control Room'!$B$5="Normal",'Control Room'!$B$7+'Control Room'!$D$7*SQRT(-2*LN(MAX(0.000000000001,B262/2147483647)))*COS(2*PI()*C262/2147483647),'Control Room'!$B$8+('Control Room'!$D$8-'Control Room'!$B$8)*B262/2147483647)</x:f>
        <x:v>860.8596772870821</x:v>
      </x:c>
      <x:c r="E262" s="17" t="n">
        <x:f>IF('Control Room'!$B$5="Normal",'Control Room'!$B$7,('Control Room'!$B$8+'Control Room'!$D$8)/2)+'Control Room'!$B$9*(E261-IF('Control Room'!$B$5="Normal",'Control Room'!$B$7,('Control Room'!$B$8+'Control Room'!$D$8)/2))+SQRT(1-'Control Room'!$B$9^2)*(D262-IF('Control Room'!$B$5="Normal",'Control Room'!$B$7,('Control Room'!$B$8+'Control Room'!$D$8)/2))</x:f>
        <x:v>893.5132044381926</x:v>
      </x:c>
      <x:c r="F262" s="17" t="n">
        <x:f>IF(AND($A262&gt;='Control Room'!$A$13,$A262&lt;'Control Room'!$A$13+'Control Room'!$B$13,'Process'!BK2=1),1+('Control Room'!$C$13-1)*EXP(-0.5*(($A262-'Control Room'!$A$13-('Control Room'!$B$13-1)/2)/MAX(0.5,'Control Room'!$B$13/4))^2),1)*IF(AND($A262&gt;='Control Room'!$A$14,$A262&lt;'Control Room'!$A$14+'Control Room'!$B$14,'Process'!BK3=1),1+('Control Room'!$C$14-1)*EXP(-0.5*(($A262-'Control Room'!$A$14-('Control Room'!$B$14-1)/2)/MAX(0.5,'Control Room'!$B$14/4))^2),1)*IF(AND($A262&gt;='Control Room'!$A$15,$A262&lt;'Control Room'!$A$15+'Control Room'!$B$15,'Process'!BK4=1),1+('Control Room'!$C$15-1)*EXP(-0.5*(($A262-'Control Room'!$A$15-('Control Room'!$B$15-1)/2)/MAX(0.5,'Control Room'!$B$15/4))^2),1)*IF(AND($A262&gt;='Control Room'!$A$16,$A262&lt;'Control Room'!$A$16+'Control Room'!$B$16,'Process'!BK5=1),1+('Control Room'!$C$16-1)*EXP(-0.5*(($A262-'Control Room'!$A$16-('Control Room'!$B$16-1)/2)/MAX(0.5,'Control Room'!$B$16/4))^2),1)</x:f>
        <x:v>1</x:v>
      </x:c>
      <x:c r="G262" s="9" t="n">
        <x:f>MOD(H261*16807,2147483647)</x:f>
        <x:v>65564766</x:v>
      </x:c>
      <x:c r="H262" s="9" t="n">
        <x:f>MOD(G262*16807,2147483647)</x:f>
        <x:v>287911251</x:v>
      </x:c>
      <x:c r="I262" s="17" t="n">
        <x:f>IF('Control Room'!$B$5="Normal",'Control Room'!$B$7+'Control Room'!$D$7*SQRT(-2*LN(MAX(0.000000000001,G262/2147483647)))*COS(2*PI()*H262/2147483647),'Control Room'!$B$8+('Control Room'!$D$8-'Control Room'!$B$8)*G262/2147483647)</x:f>
        <x:v>1158.263022124391</x:v>
      </x:c>
      <x:c r="J262" s="17" t="n">
        <x:f>IF('Control Room'!$B$5="Normal",'Control Room'!$B$7,('Control Room'!$B$8+'Control Room'!$D$8)/2)+'Control Room'!$B$9*(J261-IF('Control Room'!$B$5="Normal",'Control Room'!$B$7,('Control Room'!$B$8+'Control Room'!$D$8)/2))+SQRT(1-'Control Room'!$B$9^2)*(I262-IF('Control Room'!$B$5="Normal",'Control Room'!$B$7,('Control Room'!$B$8+'Control Room'!$D$8)/2))</x:f>
        <x:v>1099.185873152374</x:v>
      </x:c>
      <x:c r="K262" s="17" t="n">
        <x:f>IF(AND($A262&gt;='Control Room'!$A$13,$A262&lt;'Control Room'!$A$13+'Control Room'!$B$13,'Process'!BL2=1),1+('Control Room'!$C$13-1)*EXP(-0.5*(($A262-'Control Room'!$A$13-('Control Room'!$B$13-1)/2)/MAX(0.5,'Control Room'!$B$13/4))^2),1)*IF(AND($A262&gt;='Control Room'!$A$14,$A262&lt;'Control Room'!$A$14+'Control Room'!$B$14,'Process'!BL3=1),1+('Control Room'!$C$14-1)*EXP(-0.5*(($A262-'Control Room'!$A$14-('Control Room'!$B$14-1)/2)/MAX(0.5,'Control Room'!$B$14/4))^2),1)*IF(AND($A262&gt;='Control Room'!$A$15,$A262&lt;'Control Room'!$A$15+'Control Room'!$B$15,'Process'!BL4=1),1+('Control Room'!$C$15-1)*EXP(-0.5*(($A262-'Control Room'!$A$15-('Control Room'!$B$15-1)/2)/MAX(0.5,'Control Room'!$B$15/4))^2),1)*IF(AND($A262&gt;='Control Room'!$A$16,$A262&lt;'Control Room'!$A$16+'Control Room'!$B$16,'Process'!BL5=1),1+('Control Room'!$C$16-1)*EXP(-0.5*(($A262-'Control Room'!$A$16-('Control Room'!$B$16-1)/2)/MAX(0.5,'Control Room'!$B$16/4))^2),1)</x:f>
        <x:v>1</x:v>
      </x:c>
      <x:c r="L262" s="9" t="n">
        <x:f>MOD(M261*16807,2147483647)</x:f>
        <x:v>1656808924</x:v>
      </x:c>
      <x:c r="M262" s="9" t="n">
        <x:f>MOD(L262*16807,2147483647)</x:f>
        <x:v>1714618666</x:v>
      </x:c>
      <x:c r="N262" s="17" t="n">
        <x:f>IF('Control Room'!$B$5="Normal",'Control Room'!$B$7+'Control Room'!$D$7*SQRT(-2*LN(MAX(0.000000000001,L262/2147483647)))*COS(2*PI()*M262/2147483647),'Control Room'!$B$8+('Control Room'!$D$8-'Control Room'!$B$8)*L262/2147483647)</x:f>
        <x:v>1019.4236075725519</x:v>
      </x:c>
      <x:c r="O262" s="17" t="n">
        <x:f>IF('Control Room'!$B$5="Normal",'Control Room'!$B$7,('Control Room'!$B$8+'Control Room'!$D$8)/2)+'Control Room'!$B$9*(O261-IF('Control Room'!$B$5="Normal",'Control Room'!$B$7,('Control Room'!$B$8+'Control Room'!$D$8)/2))+SQRT(1-'Control Room'!$B$9^2)*(N262-IF('Control Room'!$B$5="Normal",'Control Room'!$B$7,('Control Room'!$B$8+'Control Room'!$D$8)/2))</x:f>
        <x:v>946.4484592117941</x:v>
      </x:c>
      <x:c r="P262" s="17" t="n">
        <x:f>IF(AND($A262&gt;='Control Room'!$A$13,$A262&lt;'Control Room'!$A$13+'Control Room'!$B$13,'Process'!BM2=1),1+('Control Room'!$C$13-1)*EXP(-0.5*(($A262-'Control Room'!$A$13-('Control Room'!$B$13-1)/2)/MAX(0.5,'Control Room'!$B$13/4))^2),1)*IF(AND($A262&gt;='Control Room'!$A$14,$A262&lt;'Control Room'!$A$14+'Control Room'!$B$14,'Process'!BM3=1),1+('Control Room'!$C$14-1)*EXP(-0.5*(($A262-'Control Room'!$A$14-('Control Room'!$B$14-1)/2)/MAX(0.5,'Control Room'!$B$14/4))^2),1)*IF(AND($A262&gt;='Control Room'!$A$15,$A262&lt;'Control Room'!$A$15+'Control Room'!$B$15,'Process'!BM4=1),1+('Control Room'!$C$15-1)*EXP(-0.5*(($A262-'Control Room'!$A$15-('Control Room'!$B$15-1)/2)/MAX(0.5,'Control Room'!$B$15/4))^2),1)*IF(AND($A262&gt;='Control Room'!$A$16,$A262&lt;'Control Room'!$A$16+'Control Room'!$B$16,'Process'!BM5=1),1+('Control Room'!$C$16-1)*EXP(-0.5*(($A262-'Control Room'!$A$16-('Control Room'!$B$16-1)/2)/MAX(0.5,'Control Room'!$B$16/4))^2),1)</x:f>
        <x:v>1</x:v>
      </x:c>
      <x:c r="Q262" s="9" t="n">
        <x:f>MOD(R261*16807,2147483647)</x:f>
        <x:v>1100569435</x:v>
      </x:c>
      <x:c r="R262" s="9" t="n">
        <x:f>MOD(Q262*16807,2147483647)</x:f>
        <x:v>993842434</x:v>
      </x:c>
      <x:c r="S262" s="17" t="n">
        <x:f>IF('Control Room'!$B$5="Normal",'Control Room'!$B$7+'Control Room'!$D$7*SQRT(-2*LN(MAX(0.000000000001,Q262/2147483647)))*COS(2*PI()*R262/2147483647),'Control Room'!$B$8+('Control Room'!$D$8-'Control Room'!$B$8)*Q262/2147483647)</x:f>
        <x:v>898.7671508076915</x:v>
      </x:c>
      <x:c r="T262" s="17" t="n">
        <x:f>IF('Control Room'!$B$5="Normal",'Control Room'!$B$7,('Control Room'!$B$8+'Control Room'!$D$8)/2)+'Control Room'!$B$9*(T261-IF('Control Room'!$B$5="Normal",'Control Room'!$B$7,('Control Room'!$B$8+'Control Room'!$D$8)/2))+SQRT(1-'Control Room'!$B$9^2)*(S262-IF('Control Room'!$B$5="Normal",'Control Room'!$B$7,('Control Room'!$B$8+'Control Room'!$D$8)/2))</x:f>
        <x:v>1002.4682356764421</x:v>
      </x:c>
      <x:c r="U262" s="17" t="n">
        <x:f>IF(AND($A262&gt;='Control Room'!$A$13,$A262&lt;'Control Room'!$A$13+'Control Room'!$B$13,'Process'!BN2=1),1+('Control Room'!$C$13-1)*EXP(-0.5*(($A262-'Control Room'!$A$13-('Control Room'!$B$13-1)/2)/MAX(0.5,'Control Room'!$B$13/4))^2),1)*IF(AND($A262&gt;='Control Room'!$A$14,$A262&lt;'Control Room'!$A$14+'Control Room'!$B$14,'Process'!BN3=1),1+('Control Room'!$C$14-1)*EXP(-0.5*(($A262-'Control Room'!$A$14-('Control Room'!$B$14-1)/2)/MAX(0.5,'Control Room'!$B$14/4))^2),1)*IF(AND($A262&gt;='Control Room'!$A$15,$A262&lt;'Control Room'!$A$15+'Control Room'!$B$15,'Process'!BN4=1),1+('Control Room'!$C$15-1)*EXP(-0.5*(($A262-'Control Room'!$A$15-('Control Room'!$B$15-1)/2)/MAX(0.5,'Control Room'!$B$15/4))^2),1)*IF(AND($A262&gt;='Control Room'!$A$16,$A262&lt;'Control Room'!$A$16+'Control Room'!$B$16,'Process'!BN5=1),1+('Control Room'!$C$16-1)*EXP(-0.5*(($A262-'Control Room'!$A$16-('Control Room'!$B$16-1)/2)/MAX(0.5,'Control Room'!$B$16/4))^2),1)</x:f>
        <x:v>1</x:v>
      </x:c>
      <x:c r="V262" s="9" t="n">
        <x:f>MOD(W261*16807,2147483647)</x:f>
        <x:v>544329946</x:v>
      </x:c>
      <x:c r="W262" s="9" t="n">
        <x:f>MOD(V262*16807,2147483647)</x:f>
        <x:v>273066202</x:v>
      </x:c>
      <x:c r="X262" s="17" t="n">
        <x:f>IF('Control Room'!$B$5="Normal",'Control Room'!$B$7+'Control Room'!$D$7*SQRT(-2*LN(MAX(0.000000000001,V262/2147483647)))*COS(2*PI()*W262/2147483647),'Control Room'!$B$8+('Control Room'!$D$8-'Control Room'!$B$8)*V262/2147483647)</x:f>
        <x:v>1104.0000387334928</x:v>
      </x:c>
      <x:c r="Y262" s="17" t="n">
        <x:f>IF('Control Room'!$B$5="Normal",'Control Room'!$B$7,('Control Room'!$B$8+'Control Room'!$D$8)/2)+'Control Room'!$B$9*(Y261-IF('Control Room'!$B$5="Normal",'Control Room'!$B$7,('Control Room'!$B$8+'Control Room'!$D$8)/2))+SQRT(1-'Control Room'!$B$9^2)*(X262-IF('Control Room'!$B$5="Normal",'Control Room'!$B$7,('Control Room'!$B$8+'Control Room'!$D$8)/2))</x:f>
        <x:v>1031.3430934811583</x:v>
      </x:c>
      <x:c r="Z262" s="17" t="n">
        <x:f>IF(AND($A262&gt;='Control Room'!$A$13,$A262&lt;'Control Room'!$A$13+'Control Room'!$B$13,'Process'!BO2=1),1+('Control Room'!$C$13-1)*EXP(-0.5*(($A262-'Control Room'!$A$13-('Control Room'!$B$13-1)/2)/MAX(0.5,'Control Room'!$B$13/4))^2),1)*IF(AND($A262&gt;='Control Room'!$A$14,$A262&lt;'Control Room'!$A$14+'Control Room'!$B$14,'Process'!BO3=1),1+('Control Room'!$C$14-1)*EXP(-0.5*(($A262-'Control Room'!$A$14-('Control Room'!$B$14-1)/2)/MAX(0.5,'Control Room'!$B$14/4))^2),1)*IF(AND($A262&gt;='Control Room'!$A$15,$A262&lt;'Control Room'!$A$15+'Control Room'!$B$15,'Process'!BO4=1),1+('Control Room'!$C$15-1)*EXP(-0.5*(($A262-'Control Room'!$A$15-('Control Room'!$B$15-1)/2)/MAX(0.5,'Control Room'!$B$15/4))^2),1)*IF(AND($A262&gt;='Control Room'!$A$16,$A262&lt;'Control Room'!$A$16+'Control Room'!$B$16,'Process'!BO5=1),1+('Control Room'!$C$16-1)*EXP(-0.5*(($A262-'Control Room'!$A$16-('Control Room'!$B$16-1)/2)/MAX(0.5,'Control Room'!$B$16/4))^2),1)</x:f>
        <x:v>1</x:v>
      </x:c>
      <x:c r="AA262" s="9" t="n">
        <x:f>MOD(AB261*16807,2147483647)</x:f>
        <x:v>2135574104</x:v>
      </x:c>
      <x:c r="AB262" s="9" t="n">
        <x:f>MOD(AA262*16807,2147483647)</x:f>
        <x:v>1699773617</x:v>
      </x:c>
      <x:c r="AC262" s="17" t="n">
        <x:f>IF('Control Room'!$B$5="Normal",'Control Room'!$B$7+'Control Room'!$D$7*SQRT(-2*LN(MAX(0.000000000001,AA262/2147483647)))*COS(2*PI()*AB262/2147483647),'Control Room'!$B$8+('Control Room'!$D$8-'Control Room'!$B$8)*AA262/2147483647)</x:f>
        <x:v>1002.4481099918945</x:v>
      </x:c>
      <x:c r="AD262" s="17" t="n">
        <x:f>IF('Control Room'!$B$5="Normal",'Control Room'!$B$7,('Control Room'!$B$8+'Control Room'!$D$8)/2)+'Control Room'!$B$9*(AD261-IF('Control Room'!$B$5="Normal",'Control Room'!$B$7,('Control Room'!$B$8+'Control Room'!$D$8)/2))+SQRT(1-'Control Room'!$B$9^2)*(AC262-IF('Control Room'!$B$5="Normal",'Control Room'!$B$7,('Control Room'!$B$8+'Control Room'!$D$8)/2))</x:f>
        <x:v>876.958187957446</x:v>
      </x:c>
      <x:c r="AE262" s="17" t="n">
        <x:f>IF(AND($A262&gt;='Control Room'!$A$13,$A262&lt;'Control Room'!$A$13+'Control Room'!$B$13,'Process'!BP2=1),1+('Control Room'!$C$13-1)*EXP(-0.5*(($A262-'Control Room'!$A$13-('Control Room'!$B$13-1)/2)/MAX(0.5,'Control Room'!$B$13/4))^2),1)*IF(AND($A262&gt;='Control Room'!$A$14,$A262&lt;'Control Room'!$A$14+'Control Room'!$B$14,'Process'!BP3=1),1+('Control Room'!$C$14-1)*EXP(-0.5*(($A262-'Control Room'!$A$14-('Control Room'!$B$14-1)/2)/MAX(0.5,'Control Room'!$B$14/4))^2),1)*IF(AND($A262&gt;='Control Room'!$A$15,$A262&lt;'Control Room'!$A$15+'Control Room'!$B$15,'Process'!BP4=1),1+('Control Room'!$C$15-1)*EXP(-0.5*(($A262-'Control Room'!$A$15-('Control Room'!$B$15-1)/2)/MAX(0.5,'Control Room'!$B$15/4))^2),1)*IF(AND($A262&gt;='Control Room'!$A$16,$A262&lt;'Control Room'!$A$16+'Control Room'!$B$16,'Process'!BP5=1),1+('Control Room'!$C$16-1)*EXP(-0.5*(($A262-'Control Room'!$A$16-('Control Room'!$B$16-1)/2)/MAX(0.5,'Control Room'!$B$16/4))^2),1)</x:f>
        <x:v>1</x:v>
      </x:c>
      <x:c r="AF262" s="9" t="n">
        <x:f>MOD(AG261*16807,2147483647)</x:f>
        <x:v>1579334615</x:v>
      </x:c>
      <x:c r="AG262" s="9" t="n">
        <x:f>MOD(AF262*16807,2147483647)</x:f>
        <x:v>978997385</x:v>
      </x:c>
      <x:c r="AH262" s="17" t="n">
        <x:f>IF('Control Room'!$B$5="Normal",'Control Room'!$B$7+'Control Room'!$D$7*SQRT(-2*LN(MAX(0.000000000001,AF262/2147483647)))*COS(2*PI()*AG262/2147483647),'Control Room'!$B$8+('Control Room'!$D$8-'Control Room'!$B$8)*AF262/2147483647)</x:f>
        <x:v>932.1375746663459</x:v>
      </x:c>
      <x:c r="AI262" s="17" t="n">
        <x:f>IF('Control Room'!$B$5="Normal",'Control Room'!$B$7,('Control Room'!$B$8+'Control Room'!$D$8)/2)+'Control Room'!$B$9*(AI261-IF('Control Room'!$B$5="Normal",'Control Room'!$B$7,('Control Room'!$B$8+'Control Room'!$D$8)/2))+SQRT(1-'Control Room'!$B$9^2)*(AH262-IF('Control Room'!$B$5="Normal",'Control Room'!$B$7,('Control Room'!$B$8+'Control Room'!$D$8)/2))</x:f>
        <x:v>883.0920476882445</x:v>
      </x:c>
      <x:c r="AJ262" s="17" t="n">
        <x:f>IF(AND($A262&gt;='Control Room'!$A$13,$A262&lt;'Control Room'!$A$13+'Control Room'!$B$13,'Process'!BQ2=1),1+('Control Room'!$C$13-1)*EXP(-0.5*(($A262-'Control Room'!$A$13-('Control Room'!$B$13-1)/2)/MAX(0.5,'Control Room'!$B$13/4))^2),1)*IF(AND($A262&gt;='Control Room'!$A$14,$A262&lt;'Control Room'!$A$14+'Control Room'!$B$14,'Process'!BQ3=1),1+('Control Room'!$C$14-1)*EXP(-0.5*(($A262-'Control Room'!$A$14-('Control Room'!$B$14-1)/2)/MAX(0.5,'Control Room'!$B$14/4))^2),1)*IF(AND($A262&gt;='Control Room'!$A$15,$A262&lt;'Control Room'!$A$15+'Control Room'!$B$15,'Process'!BQ4=1),1+('Control Room'!$C$15-1)*EXP(-0.5*(($A262-'Control Room'!$A$15-('Control Room'!$B$15-1)/2)/MAX(0.5,'Control Room'!$B$15/4))^2),1)*IF(AND($A262&gt;='Control Room'!$A$16,$A262&lt;'Control Room'!$A$16+'Control Room'!$B$16,'Process'!BQ5=1),1+('Control Room'!$C$16-1)*EXP(-0.5*(($A262-'Control Room'!$A$16-('Control Room'!$B$16-1)/2)/MAX(0.5,'Control Room'!$B$16/4))^2),1)</x:f>
        <x:v>1</x:v>
      </x:c>
      <x:c r="AK262" s="9" t="n">
        <x:f>MOD(AL261*16807,2147483647)</x:f>
        <x:v>1023095126</x:v>
      </x:c>
      <x:c r="AL262" s="9" t="n">
        <x:f>MOD(AK262*16807,2147483647)</x:f>
        <x:v>258221153</x:v>
      </x:c>
      <x:c r="AM262" s="17" t="n">
        <x:f>IF('Control Room'!$B$5="Normal",'Control Room'!$B$7+'Control Room'!$D$7*SQRT(-2*LN(MAX(0.000000000001,AK262/2147483647)))*COS(2*PI()*AL262/2147483647),'Control Room'!$B$8+('Control Room'!$D$8-'Control Room'!$B$8)*AK262/2147483647)</x:f>
        <x:v>1079.7785802509684</x:v>
      </x:c>
      <x:c r="AN262" s="17" t="n">
        <x:f>IF('Control Room'!$B$5="Normal",'Control Room'!$B$7,('Control Room'!$B$8+'Control Room'!$D$8)/2)+'Control Room'!$B$9*(AN261-IF('Control Room'!$B$5="Normal",'Control Room'!$B$7,('Control Room'!$B$8+'Control Room'!$D$8)/2))+SQRT(1-'Control Room'!$B$9^2)*(AM262-IF('Control Room'!$B$5="Normal",'Control Room'!$B$7,('Control Room'!$B$8+'Control Room'!$D$8)/2))</x:f>
        <x:v>1150.3916832931566</x:v>
      </x:c>
      <x:c r="AO262" s="17" t="n">
        <x:f>IF(AND($A262&gt;='Control Room'!$A$13,$A262&lt;'Control Room'!$A$13+'Control Room'!$B$13,'Process'!BR2=1),1+('Control Room'!$C$13-1)*EXP(-0.5*(($A262-'Control Room'!$A$13-('Control Room'!$B$13-1)/2)/MAX(0.5,'Control Room'!$B$13/4))^2),1)*IF(AND($A262&gt;='Control Room'!$A$14,$A262&lt;'Control Room'!$A$14+'Control Room'!$B$14,'Process'!BR3=1),1+('Control Room'!$C$14-1)*EXP(-0.5*(($A262-'Control Room'!$A$14-('Control Room'!$B$14-1)/2)/MAX(0.5,'Control Room'!$B$14/4))^2),1)*IF(AND($A262&gt;='Control Room'!$A$15,$A262&lt;'Control Room'!$A$15+'Control Room'!$B$15,'Process'!BR4=1),1+('Control Room'!$C$15-1)*EXP(-0.5*(($A262-'Control Room'!$A$15-('Control Room'!$B$15-1)/2)/MAX(0.5,'Control Room'!$B$15/4))^2),1)*IF(AND($A262&gt;='Control Room'!$A$16,$A262&lt;'Control Room'!$A$16+'Control Room'!$B$16,'Process'!BR5=1),1+('Control Room'!$C$16-1)*EXP(-0.5*(($A262-'Control Room'!$A$16-('Control Room'!$B$16-1)/2)/MAX(0.5,'Control Room'!$B$16/4))^2),1)</x:f>
        <x:v>1</x:v>
      </x:c>
      <x:c r="AP262" s="9" t="n">
        <x:f>MOD(AQ261*16807,2147483647)</x:f>
        <x:v>466855637</x:v>
      </x:c>
      <x:c r="AQ262" s="9" t="n">
        <x:f>MOD(AP262*16807,2147483647)</x:f>
        <x:v>1684928568</x:v>
      </x:c>
      <x:c r="AR262" s="17" t="n">
        <x:f>IF('Control Room'!$B$5="Normal",'Control Room'!$B$7+'Control Room'!$D$7*SQRT(-2*LN(MAX(0.000000000001,AP262/2147483647)))*COS(2*PI()*AQ262/2147483647),'Control Room'!$B$8+('Control Room'!$D$8-'Control Room'!$B$8)*AP262/2147483647)</x:f>
        <x:v>1033.9190077921871</x:v>
      </x:c>
      <x:c r="AS262" s="17" t="n">
        <x:f>IF('Control Room'!$B$5="Normal",'Control Room'!$B$7,('Control Room'!$B$8+'Control Room'!$D$8)/2)+'Control Room'!$B$9*(AS261-IF('Control Room'!$B$5="Normal",'Control Room'!$B$7,('Control Room'!$B$8+'Control Room'!$D$8)/2))+SQRT(1-'Control Room'!$B$9^2)*(AR262-IF('Control Room'!$B$5="Normal",'Control Room'!$B$7,('Control Room'!$B$8+'Control Room'!$D$8)/2))</x:f>
        <x:v>952.1432291230034</x:v>
      </x:c>
      <x:c r="AT262" s="17" t="n">
        <x:f>IF(AND($A262&gt;='Control Room'!$A$13,$A262&lt;'Control Room'!$A$13+'Control Room'!$B$13,'Process'!BS2=1),1+('Control Room'!$C$13-1)*EXP(-0.5*(($A262-'Control Room'!$A$13-('Control Room'!$B$13-1)/2)/MAX(0.5,'Control Room'!$B$13/4))^2),1)*IF(AND($A262&gt;='Control Room'!$A$14,$A262&lt;'Control Room'!$A$14+'Control Room'!$B$14,'Process'!BS3=1),1+('Control Room'!$C$14-1)*EXP(-0.5*(($A262-'Control Room'!$A$14-('Control Room'!$B$14-1)/2)/MAX(0.5,'Control Room'!$B$14/4))^2),1)*IF(AND($A262&gt;='Control Room'!$A$15,$A262&lt;'Control Room'!$A$15+'Control Room'!$B$15,'Process'!BS4=1),1+('Control Room'!$C$15-1)*EXP(-0.5*(($A262-'Control Room'!$A$15-('Control Room'!$B$15-1)/2)/MAX(0.5,'Control Room'!$B$15/4))^2),1)*IF(AND($A262&gt;='Control Room'!$A$16,$A262&lt;'Control Room'!$A$16+'Control Room'!$B$16,'Process'!BS5=1),1+('Control Room'!$C$16-1)*EXP(-0.5*(($A262-'Control Room'!$A$16-('Control Room'!$B$16-1)/2)/MAX(0.5,'Control Room'!$B$16/4))^2),1)</x:f>
        <x:v>1</x:v>
      </x:c>
      <x:c r="AU262" s="9" t="n">
        <x:f>MOD(AV261*16807,2147483647)</x:f>
        <x:v>2058099795</x:v>
      </x:c>
      <x:c r="AV262" s="9" t="n">
        <x:f>MOD(AU262*16807,2147483647)</x:f>
        <x:v>964152336</x:v>
      </x:c>
      <x:c r="AW262" s="17" t="n">
        <x:f>IF('Control Room'!$B$5="Normal",'Control Room'!$B$7+'Control Room'!$D$7*SQRT(-2*LN(MAX(0.000000000001,AU262/2147483647)))*COS(2*PI()*AV262/2147483647),'Control Room'!$B$8+('Control Room'!$D$8-'Control Room'!$B$8)*AU262/2147483647)</x:f>
        <x:v>975.0940442114909</x:v>
      </x:c>
      <x:c r="AX262" s="17" t="n">
        <x:f>IF('Control Room'!$B$5="Normal",'Control Room'!$B$7,('Control Room'!$B$8+'Control Room'!$D$8)/2)+'Control Room'!$B$9*(AX261-IF('Control Room'!$B$5="Normal",'Control Room'!$B$7,('Control Room'!$B$8+'Control Room'!$D$8)/2))+SQRT(1-'Control Room'!$B$9^2)*(AW262-IF('Control Room'!$B$5="Normal",'Control Room'!$B$7,('Control Room'!$B$8+'Control Room'!$D$8)/2))</x:f>
        <x:v>1056.6235156622981</x:v>
      </x:c>
      <x:c r="AY262" s="17" t="n">
        <x:f>IF(AND($A262&gt;='Control Room'!$A$13,$A262&lt;'Control Room'!$A$13+'Control Room'!$B$13,'Process'!BT2=1),1+('Control Room'!$C$13-1)*EXP(-0.5*(($A262-'Control Room'!$A$13-('Control Room'!$B$13-1)/2)/MAX(0.5,'Control Room'!$B$13/4))^2),1)*IF(AND($A262&gt;='Control Room'!$A$14,$A262&lt;'Control Room'!$A$14+'Control Room'!$B$14,'Process'!BT3=1),1+('Control Room'!$C$14-1)*EXP(-0.5*(($A262-'Control Room'!$A$14-('Control Room'!$B$14-1)/2)/MAX(0.5,'Control Room'!$B$14/4))^2),1)*IF(AND($A262&gt;='Control Room'!$A$15,$A262&lt;'Control Room'!$A$15+'Control Room'!$B$15,'Process'!BT4=1),1+('Control Room'!$C$15-1)*EXP(-0.5*(($A262-'Control Room'!$A$15-('Control Room'!$B$15-1)/2)/MAX(0.5,'Control Room'!$B$15/4))^2),1)*IF(AND($A262&gt;='Control Room'!$A$16,$A262&lt;'Control Room'!$A$16+'Control Room'!$B$16,'Process'!BT5=1),1+('Control Room'!$C$16-1)*EXP(-0.5*(($A262-'Control Room'!$A$16-('Control Room'!$B$16-1)/2)/MAX(0.5,'Control Room'!$B$16/4))^2),1)</x:f>
        <x:v>1</x:v>
      </x:c>
      <x:c r="AZ262" s="9" t="n">
        <x:f>MOD(BA261*16807,2147483647)</x:f>
        <x:v>1501860306</x:v>
      </x:c>
      <x:c r="BA262" s="9" t="n">
        <x:f>MOD(AZ262*16807,2147483647)</x:f>
        <x:v>243376104</x:v>
      </x:c>
      <x:c r="BB262" s="17" t="n">
        <x:f>IF('Control Room'!$B$5="Normal",'Control Room'!$B$7+'Control Room'!$D$7*SQRT(-2*LN(MAX(0.000000000001,AZ262/2147483647)))*COS(2*PI()*BA262/2147483647),'Control Room'!$B$8+('Control Room'!$D$8-'Control Room'!$B$8)*AZ262/2147483647)</x:f>
        <x:v>1057.6169778839705</x:v>
      </x:c>
      <x:c r="BC262" s="17" t="n">
        <x:f>IF('Control Room'!$B$5="Normal",'Control Room'!$B$7,('Control Room'!$B$8+'Control Room'!$D$8)/2)+'Control Room'!$B$9*(BC261-IF('Control Room'!$B$5="Normal",'Control Room'!$B$7,('Control Room'!$B$8+'Control Room'!$D$8)/2))+SQRT(1-'Control Room'!$B$9^2)*(BB262-IF('Control Room'!$B$5="Normal",'Control Room'!$B$7,('Control Room'!$B$8+'Control Room'!$D$8)/2))</x:f>
        <x:v>1063.3712609979707</x:v>
      </x:c>
      <x:c r="BD262" s="17" t="n">
        <x:f>IF(AND($A262&gt;='Control Room'!$A$13,$A262&lt;'Control Room'!$A$13+'Control Room'!$B$13,'Process'!BU2=1),1+('Control Room'!$C$13-1)*EXP(-0.5*(($A262-'Control Room'!$A$13-('Control Room'!$B$13-1)/2)/MAX(0.5,'Control Room'!$B$13/4))^2),1)*IF(AND($A262&gt;='Control Room'!$A$14,$A262&lt;'Control Room'!$A$14+'Control Room'!$B$14,'Process'!BU3=1),1+('Control Room'!$C$14-1)*EXP(-0.5*(($A262-'Control Room'!$A$14-('Control Room'!$B$14-1)/2)/MAX(0.5,'Control Room'!$B$14/4))^2),1)*IF(AND($A262&gt;='Control Room'!$A$15,$A262&lt;'Control Room'!$A$15+'Control Room'!$B$15,'Process'!BU4=1),1+('Control Room'!$C$15-1)*EXP(-0.5*(($A262-'Control Room'!$A$15-('Control Room'!$B$15-1)/2)/MAX(0.5,'Control Room'!$B$15/4))^2),1)*IF(AND($A262&gt;='Control Room'!$A$16,$A262&lt;'Control Room'!$A$16+'Control Room'!$B$16,'Process'!BU5=1),1+('Control Room'!$C$16-1)*EXP(-0.5*(($A262-'Control Room'!$A$16-('Control Room'!$B$16-1)/2)/MAX(0.5,'Control Room'!$B$16/4))^2),1)</x:f>
        <x:v>1</x:v>
      </x:c>
      <x:c r="BE262" s="9" t="n">
        <x:f>MOD(BF261*16807,2147483647)</x:f>
        <x:v>945620817</x:v>
      </x:c>
      <x:c r="BF262" s="9" t="n">
        <x:f>MOD(BE262*16807,2147483647)</x:f>
        <x:v>1670083519</x:v>
      </x:c>
      <x:c r="BG262" s="17" t="n">
        <x:f>IF('Control Room'!$B$5="Normal",'Control Room'!$B$7+'Control Room'!$D$7*SQRT(-2*LN(MAX(0.000000000001,BE262/2147483647)))*COS(2*PI()*BF262/2147483647),'Control Room'!$B$8+('Control Room'!$D$8-'Control Room'!$B$8)*BE262/2147483647)</x:f>
        <x:v>1019.9563031133623</x:v>
      </x:c>
      <x:c r="BH262" s="17" t="n">
        <x:f>IF('Control Room'!$B$5="Normal",'Control Room'!$B$7,('Control Room'!$B$8+'Control Room'!$D$8)/2)+'Control Room'!$B$9*(BH261-IF('Control Room'!$B$5="Normal",'Control Room'!$B$7,('Control Room'!$B$8+'Control Room'!$D$8)/2))+SQRT(1-'Control Room'!$B$9^2)*(BG262-IF('Control Room'!$B$5="Normal",'Control Room'!$B$7,('Control Room'!$B$8+'Control Room'!$D$8)/2))</x:f>
        <x:v>1027.9762527258563</x:v>
      </x:c>
      <x:c r="BI262" s="17" t="n">
        <x:f>IF(AND($A262&gt;='Control Room'!$A$13,$A262&lt;'Control Room'!$A$13+'Control Room'!$B$13,'Process'!BV2=1),1+('Control Room'!$C$13-1)*EXP(-0.5*(($A262-'Control Room'!$A$13-('Control Room'!$B$13-1)/2)/MAX(0.5,'Control Room'!$B$13/4))^2),1)*IF(AND($A262&gt;='Control Room'!$A$14,$A262&lt;'Control Room'!$A$14+'Control Room'!$B$14,'Process'!BV3=1),1+('Control Room'!$C$14-1)*EXP(-0.5*(($A262-'Control Room'!$A$14-('Control Room'!$B$14-1)/2)/MAX(0.5,'Control Room'!$B$14/4))^2),1)*IF(AND($A262&gt;='Control Room'!$A$15,$A262&lt;'Control Room'!$A$15+'Control Room'!$B$15,'Process'!BV4=1),1+('Control Room'!$C$15-1)*EXP(-0.5*(($A262-'Control Room'!$A$15-('Control Room'!$B$15-1)/2)/MAX(0.5,'Control Room'!$B$15/4))^2),1)*IF(AND($A262&gt;='Control Room'!$A$16,$A262&lt;'Control Room'!$A$16+'Control Room'!$B$16,'Process'!BV5=1),1+('Control Room'!$C$16-1)*EXP(-0.5*(($A262-'Control Room'!$A$16-('Control Room'!$B$16-1)/2)/MAX(0.5,'Control Room'!$B$16/4))^2),1)</x:f>
        <x:v>1</x:v>
      </x:c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Z262" t="str">
        <x:f>IF('Data'!A262="","",TEXT('Data'!A262,"mm-dd"))</x:f>
      </x:c>
    </x:row>
    <x:row r="263" ht="21" customHeight="1">
      <x:c r="A263" s="15" t="n">
        <x:f>'Control Room'!$B$1+261</x:f>
        <x:v>73252</x:v>
      </x:c>
      <x:c r="B263" s="9" t="n">
        <x:f>MOD(C262*16807,2147483647)</x:f>
        <x:v>774617363</x:v>
      </x:c>
      <x:c r="C263" s="9" t="n">
        <x:f>MOD(B263*16807,2147483647)</x:f>
        <x:v>948151827</x:v>
      </x:c>
      <x:c r="D263" s="17" t="n">
        <x:f>IF('Control Room'!$B$5="Normal",'Control Room'!$B$7+'Control Room'!$D$7*SQRT(-2*LN(MAX(0.000000000001,B263/2147483647)))*COS(2*PI()*C263/2147483647),'Control Room'!$B$8+('Control Room'!$D$8-'Control Room'!$B$8)*B263/2147483647)</x:f>
        <x:v>880.0540902012824</x:v>
      </x:c>
      <x:c r="E263" s="17" t="n">
        <x:f>IF('Control Room'!$B$5="Normal",'Control Room'!$B$7,('Control Room'!$B$8+'Control Room'!$D$8)/2)+'Control Room'!$B$9*(E262-IF('Control Room'!$B$5="Normal",'Control Room'!$B$7,('Control Room'!$B$8+'Control Room'!$D$8)/2))+SQRT(1-'Control Room'!$B$9^2)*(D263-IF('Control Room'!$B$5="Normal",'Control Room'!$B$7,('Control Room'!$B$8+'Control Room'!$D$8)/2))</x:f>
        <x:v>841.8806063352771</x:v>
      </x:c>
      <x:c r="F263" s="17" t="n">
        <x:f>IF(AND($A263&gt;='Control Room'!$A$13,$A263&lt;'Control Room'!$A$13+'Control Room'!$B$13,'Process'!BK2=1),1+('Control Room'!$C$13-1)*EXP(-0.5*(($A263-'Control Room'!$A$13-('Control Room'!$B$13-1)/2)/MAX(0.5,'Control Room'!$B$13/4))^2),1)*IF(AND($A263&gt;='Control Room'!$A$14,$A263&lt;'Control Room'!$A$14+'Control Room'!$B$14,'Process'!BK3=1),1+('Control Room'!$C$14-1)*EXP(-0.5*(($A263-'Control Room'!$A$14-('Control Room'!$B$14-1)/2)/MAX(0.5,'Control Room'!$B$14/4))^2),1)*IF(AND($A263&gt;='Control Room'!$A$15,$A263&lt;'Control Room'!$A$15+'Control Room'!$B$15,'Process'!BK4=1),1+('Control Room'!$C$15-1)*EXP(-0.5*(($A263-'Control Room'!$A$15-('Control Room'!$B$15-1)/2)/MAX(0.5,'Control Room'!$B$15/4))^2),1)*IF(AND($A263&gt;='Control Room'!$A$16,$A263&lt;'Control Room'!$A$16+'Control Room'!$B$16,'Process'!BK5=1),1+('Control Room'!$C$16-1)*EXP(-0.5*(($A263-'Control Room'!$A$16-('Control Room'!$B$16-1)/2)/MAX(0.5,'Control Room'!$B$16/4))^2),1)</x:f>
        <x:v>1</x:v>
      </x:c>
      <x:c r="G263" s="9" t="n">
        <x:f>MOD(H262*16807,2147483647)</x:f>
        <x:v>643738866</x:v>
      </x:c>
      <x:c r="H263" s="9" t="n">
        <x:f>MOD(G263*16807,2147483647)</x:f>
        <x:v>296507276</x:v>
      </x:c>
      <x:c r="I263" s="17" t="n">
        <x:f>IF('Control Room'!$B$5="Normal",'Control Room'!$B$7+'Control Room'!$D$7*SQRT(-2*LN(MAX(0.000000000001,G263/2147483647)))*COS(2*PI()*H263/2147483647),'Control Room'!$B$8+('Control Room'!$D$8-'Control Room'!$B$8)*G263/2147483647)</x:f>
        <x:v>1090.347873620137</x:v>
      </x:c>
      <x:c r="J263" s="17" t="n">
        <x:f>IF('Control Room'!$B$5="Normal",'Control Room'!$B$7,('Control Room'!$B$8+'Control Room'!$D$8)/2)+'Control Room'!$B$9*(J262-IF('Control Room'!$B$5="Normal",'Control Room'!$B$7,('Control Room'!$B$8+'Control Room'!$D$8)/2))+SQRT(1-'Control Room'!$B$9^2)*(I263-IF('Control Room'!$B$5="Normal",'Control Room'!$B$7,('Control Room'!$B$8+'Control Room'!$D$8)/2))</x:f>
        <x:v>1133.9028294935383</x:v>
      </x:c>
      <x:c r="K263" s="17" t="n">
        <x:f>IF(AND($A263&gt;='Control Room'!$A$13,$A263&lt;'Control Room'!$A$13+'Control Room'!$B$13,'Process'!BL2=1),1+('Control Room'!$C$13-1)*EXP(-0.5*(($A263-'Control Room'!$A$13-('Control Room'!$B$13-1)/2)/MAX(0.5,'Control Room'!$B$13/4))^2),1)*IF(AND($A263&gt;='Control Room'!$A$14,$A263&lt;'Control Room'!$A$14+'Control Room'!$B$14,'Process'!BL3=1),1+('Control Room'!$C$14-1)*EXP(-0.5*(($A263-'Control Room'!$A$14-('Control Room'!$B$14-1)/2)/MAX(0.5,'Control Room'!$B$14/4))^2),1)*IF(AND($A263&gt;='Control Room'!$A$15,$A263&lt;'Control Room'!$A$15+'Control Room'!$B$15,'Process'!BL4=1),1+('Control Room'!$C$15-1)*EXP(-0.5*(($A263-'Control Room'!$A$15-('Control Room'!$B$15-1)/2)/MAX(0.5,'Control Room'!$B$15/4))^2),1)*IF(AND($A263&gt;='Control Room'!$A$16,$A263&lt;'Control Room'!$A$16+'Control Room'!$B$16,'Process'!BL5=1),1+('Control Room'!$C$16-1)*EXP(-0.5*(($A263-'Control Room'!$A$16-('Control Room'!$B$16-1)/2)/MAX(0.5,'Control Room'!$B$16/4))^2),1)</x:f>
        <x:v>1</x:v>
      </x:c>
      <x:c r="L263" s="9" t="n">
        <x:f>MOD(M262*16807,2147483647)</x:f>
        <x:v>512860369</x:v>
      </x:c>
      <x:c r="M263" s="9" t="n">
        <x:f>MOD(L263*16807,2147483647)</x:f>
        <x:v>1792346372</x:v>
      </x:c>
      <x:c r="N263" s="17" t="n">
        <x:f>IF('Control Room'!$B$5="Normal",'Control Room'!$B$7+'Control Room'!$D$7*SQRT(-2*LN(MAX(0.000000000001,L263/2147483647)))*COS(2*PI()*M263/2147483647),'Control Room'!$B$8+('Control Room'!$D$8-'Control Room'!$B$8)*L263/2147483647)</x:f>
        <x:v>1077.2254869545595</x:v>
      </x:c>
      <x:c r="O263" s="17" t="n">
        <x:f>IF('Control Room'!$B$5="Normal",'Control Room'!$B$7,('Control Room'!$B$8+'Control Room'!$D$8)/2)+'Control Room'!$B$9*(O262-IF('Control Room'!$B$5="Normal",'Control Room'!$B$7,('Control Room'!$B$8+'Control Room'!$D$8)/2))+SQRT(1-'Control Room'!$B$9^2)*(N263-IF('Control Room'!$B$5="Normal",'Control Room'!$B$7,('Control Room'!$B$8+'Control Room'!$D$8)/2))</x:f>
        <x:v>1006.5559258712703</x:v>
      </x:c>
      <x:c r="P263" s="17" t="n">
        <x:f>IF(AND($A263&gt;='Control Room'!$A$13,$A263&lt;'Control Room'!$A$13+'Control Room'!$B$13,'Process'!BM2=1),1+('Control Room'!$C$13-1)*EXP(-0.5*(($A263-'Control Room'!$A$13-('Control Room'!$B$13-1)/2)/MAX(0.5,'Control Room'!$B$13/4))^2),1)*IF(AND($A263&gt;='Control Room'!$A$14,$A263&lt;'Control Room'!$A$14+'Control Room'!$B$14,'Process'!BM3=1),1+('Control Room'!$C$14-1)*EXP(-0.5*(($A263-'Control Room'!$A$14-('Control Room'!$B$14-1)/2)/MAX(0.5,'Control Room'!$B$14/4))^2),1)*IF(AND($A263&gt;='Control Room'!$A$15,$A263&lt;'Control Room'!$A$15+'Control Room'!$B$15,'Process'!BM4=1),1+('Control Room'!$C$15-1)*EXP(-0.5*(($A263-'Control Room'!$A$15-('Control Room'!$B$15-1)/2)/MAX(0.5,'Control Room'!$B$15/4))^2),1)*IF(AND($A263&gt;='Control Room'!$A$16,$A263&lt;'Control Room'!$A$16+'Control Room'!$B$16,'Process'!BM5=1),1+('Control Room'!$C$16-1)*EXP(-0.5*(($A263-'Control Room'!$A$16-('Control Room'!$B$16-1)/2)/MAX(0.5,'Control Room'!$B$16/4))^2),1)</x:f>
        <x:v>1</x:v>
      </x:c>
      <x:c r="Q263" s="9" t="n">
        <x:f>MOD(R262*16807,2147483647)</x:f>
        <x:v>381981872</x:v>
      </x:c>
      <x:c r="R263" s="9" t="n">
        <x:f>MOD(Q263*16807,2147483647)</x:f>
        <x:v>1140701821</x:v>
      </x:c>
      <x:c r="S263" s="17" t="n">
        <x:f>IF('Control Room'!$B$5="Normal",'Control Room'!$B$7+'Control Room'!$D$7*SQRT(-2*LN(MAX(0.000000000001,Q263/2147483647)))*COS(2*PI()*R263/2147483647),'Control Room'!$B$8+('Control Room'!$D$8-'Control Room'!$B$8)*Q263/2147483647)</x:f>
        <x:v>835.9505345605022</x:v>
      </x:c>
      <x:c r="T263" s="17" t="n">
        <x:f>IF('Control Room'!$B$5="Normal",'Control Room'!$B$7,('Control Room'!$B$8+'Control Room'!$D$8)/2)+'Control Room'!$B$9*(T262-IF('Control Room'!$B$5="Normal",'Control Room'!$B$7,('Control Room'!$B$8+'Control Room'!$D$8)/2))+SQRT(1-'Control Room'!$B$9^2)*(S263-IF('Control Room'!$B$5="Normal",'Control Room'!$B$7,('Control Room'!$B$8+'Control Room'!$D$8)/2))</x:f>
        <x:v>899.2664290915588</x:v>
      </x:c>
      <x:c r="U263" s="17" t="n">
        <x:f>IF(AND($A263&gt;='Control Room'!$A$13,$A263&lt;'Control Room'!$A$13+'Control Room'!$B$13,'Process'!BN2=1),1+('Control Room'!$C$13-1)*EXP(-0.5*(($A263-'Control Room'!$A$13-('Control Room'!$B$13-1)/2)/MAX(0.5,'Control Room'!$B$13/4))^2),1)*IF(AND($A263&gt;='Control Room'!$A$14,$A263&lt;'Control Room'!$A$14+'Control Room'!$B$14,'Process'!BN3=1),1+('Control Room'!$C$14-1)*EXP(-0.5*(($A263-'Control Room'!$A$14-('Control Room'!$B$14-1)/2)/MAX(0.5,'Control Room'!$B$14/4))^2),1)*IF(AND($A263&gt;='Control Room'!$A$15,$A263&lt;'Control Room'!$A$15+'Control Room'!$B$15,'Process'!BN4=1),1+('Control Room'!$C$15-1)*EXP(-0.5*(($A263-'Control Room'!$A$15-('Control Room'!$B$15-1)/2)/MAX(0.5,'Control Room'!$B$15/4))^2),1)*IF(AND($A263&gt;='Control Room'!$A$16,$A263&lt;'Control Room'!$A$16+'Control Room'!$B$16,'Process'!BN5=1),1+('Control Room'!$C$16-1)*EXP(-0.5*(($A263-'Control Room'!$A$16-('Control Room'!$B$16-1)/2)/MAX(0.5,'Control Room'!$B$16/4))^2),1)</x:f>
        <x:v>1</x:v>
      </x:c>
      <x:c r="V263" s="9" t="n">
        <x:f>MOD(W262*16807,2147483647)</x:f>
        <x:v>251103375</x:v>
      </x:c>
      <x:c r="W263" s="9" t="n">
        <x:f>MOD(V263*16807,2147483647)</x:f>
        <x:v>489057270</x:v>
      </x:c>
      <x:c r="X263" s="17" t="n">
        <x:f>IF('Control Room'!$B$5="Normal",'Control Room'!$B$7+'Control Room'!$D$7*SQRT(-2*LN(MAX(0.000000000001,V263/2147483647)))*COS(2*PI()*W263/2147483647),'Control Room'!$B$8+('Control Room'!$D$8-'Control Room'!$B$8)*V263/2147483647)</x:f>
        <x:v>1026.0001381806221</x:v>
      </x:c>
      <x:c r="Y263" s="17" t="n">
        <x:f>IF('Control Room'!$B$5="Normal",'Control Room'!$B$7,('Control Room'!$B$8+'Control Room'!$D$8)/2)+'Control Room'!$B$9*(Y262-IF('Control Room'!$B$5="Normal",'Control Room'!$B$7,('Control Room'!$B$8+'Control Room'!$D$8)/2))+SQRT(1-'Control Room'!$B$9^2)*(X263-IF('Control Room'!$B$5="Normal",'Control Room'!$B$7,('Control Room'!$B$8+'Control Room'!$D$8)/2))</x:f>
        <x:v>1040.7179667469545</x:v>
      </x:c>
      <x:c r="Z263" s="17" t="n">
        <x:f>IF(AND($A263&gt;='Control Room'!$A$13,$A263&lt;'Control Room'!$A$13+'Control Room'!$B$13,'Process'!BO2=1),1+('Control Room'!$C$13-1)*EXP(-0.5*(($A263-'Control Room'!$A$13-('Control Room'!$B$13-1)/2)/MAX(0.5,'Control Room'!$B$13/4))^2),1)*IF(AND($A263&gt;='Control Room'!$A$14,$A263&lt;'Control Room'!$A$14+'Control Room'!$B$14,'Process'!BO3=1),1+('Control Room'!$C$14-1)*EXP(-0.5*(($A263-'Control Room'!$A$14-('Control Room'!$B$14-1)/2)/MAX(0.5,'Control Room'!$B$14/4))^2),1)*IF(AND($A263&gt;='Control Room'!$A$15,$A263&lt;'Control Room'!$A$15+'Control Room'!$B$15,'Process'!BO4=1),1+('Control Room'!$C$15-1)*EXP(-0.5*(($A263-'Control Room'!$A$15-('Control Room'!$B$15-1)/2)/MAX(0.5,'Control Room'!$B$15/4))^2),1)*IF(AND($A263&gt;='Control Room'!$A$16,$A263&lt;'Control Room'!$A$16+'Control Room'!$B$16,'Process'!BO5=1),1+('Control Room'!$C$16-1)*EXP(-0.5*(($A263-'Control Room'!$A$16-('Control Room'!$B$16-1)/2)/MAX(0.5,'Control Room'!$B$16/4))^2),1)</x:f>
        <x:v>1</x:v>
      </x:c>
      <x:c r="AA263" s="9" t="n">
        <x:f>MOD(AB262*16807,2147483647)</x:f>
        <x:v>120224878</x:v>
      </x:c>
      <x:c r="AB263" s="9" t="n">
        <x:f>MOD(AA263*16807,2147483647)</x:f>
        <x:v>1984896366</x:v>
      </x:c>
      <x:c r="AC263" s="17" t="n">
        <x:f>IF('Control Room'!$B$5="Normal",'Control Room'!$B$7+'Control Room'!$D$7*SQRT(-2*LN(MAX(0.000000000001,AA263/2147483647)))*COS(2*PI()*AB263/2147483647),'Control Room'!$B$8+('Control Room'!$D$8-'Control Room'!$B$8)*AA263/2147483647)</x:f>
        <x:v>1192.1072502583193</x:v>
      </x:c>
      <x:c r="AD263" s="17" t="n">
        <x:f>IF('Control Room'!$B$5="Normal",'Control Room'!$B$7,('Control Room'!$B$8+'Control Room'!$D$8)/2)+'Control Room'!$B$9*(AD262-IF('Control Room'!$B$5="Normal",'Control Room'!$B$7,('Control Room'!$B$8+'Control Room'!$D$8)/2))+SQRT(1-'Control Room'!$B$9^2)*(AC263-IF('Control Room'!$B$5="Normal",'Control Room'!$B$7,('Control Room'!$B$8+'Control Room'!$D$8)/2))</x:f>
        <x:v>1024.2441682875274</x:v>
      </x:c>
      <x:c r="AE263" s="17" t="n">
        <x:f>IF(AND($A263&gt;='Control Room'!$A$13,$A263&lt;'Control Room'!$A$13+'Control Room'!$B$13,'Process'!BP2=1),1+('Control Room'!$C$13-1)*EXP(-0.5*(($A263-'Control Room'!$A$13-('Control Room'!$B$13-1)/2)/MAX(0.5,'Control Room'!$B$13/4))^2),1)*IF(AND($A263&gt;='Control Room'!$A$14,$A263&lt;'Control Room'!$A$14+'Control Room'!$B$14,'Process'!BP3=1),1+('Control Room'!$C$14-1)*EXP(-0.5*(($A263-'Control Room'!$A$14-('Control Room'!$B$14-1)/2)/MAX(0.5,'Control Room'!$B$14/4))^2),1)*IF(AND($A263&gt;='Control Room'!$A$15,$A263&lt;'Control Room'!$A$15+'Control Room'!$B$15,'Process'!BP4=1),1+('Control Room'!$C$15-1)*EXP(-0.5*(($A263-'Control Room'!$A$15-('Control Room'!$B$15-1)/2)/MAX(0.5,'Control Room'!$B$15/4))^2),1)*IF(AND($A263&gt;='Control Room'!$A$16,$A263&lt;'Control Room'!$A$16+'Control Room'!$B$16,'Process'!BP5=1),1+('Control Room'!$C$16-1)*EXP(-0.5*(($A263-'Control Room'!$A$16-('Control Room'!$B$16-1)/2)/MAX(0.5,'Control Room'!$B$16/4))^2),1)</x:f>
        <x:v>1</x:v>
      </x:c>
      <x:c r="AF263" s="9" t="n">
        <x:f>MOD(AG262*16807,2147483647)</x:f>
        <x:v>2136830028</x:v>
      </x:c>
      <x:c r="AG263" s="9" t="n">
        <x:f>MOD(AF263*16807,2147483647)</x:f>
        <x:v>1333251815</x:v>
      </x:c>
      <x:c r="AH263" s="17" t="n">
        <x:f>IF('Control Room'!$B$5="Normal",'Control Room'!$B$7+'Control Room'!$D$7*SQRT(-2*LN(MAX(0.000000000001,AF263/2147483647)))*COS(2*PI()*AG263/2147483647),'Control Room'!$B$8+('Control Room'!$D$8-'Control Room'!$B$8)*AF263/2147483647)</x:f>
        <x:v>993.4894734078484</x:v>
      </x:c>
      <x:c r="AI263" s="17" t="n">
        <x:f>IF('Control Room'!$B$5="Normal",'Control Room'!$B$7,('Control Room'!$B$8+'Control Room'!$D$8)/2)+'Control Room'!$B$9*(AI262-IF('Control Room'!$B$5="Normal",'Control Room'!$B$7,('Control Room'!$B$8+'Control Room'!$D$8)/2))+SQRT(1-'Control Room'!$B$9^2)*(AH263-IF('Control Room'!$B$5="Normal",'Control Room'!$B$7,('Control Room'!$B$8+'Control Room'!$D$8)/2))</x:f>
        <x:v>904.7376430308491</x:v>
      </x:c>
      <x:c r="AJ263" s="17" t="n">
        <x:f>IF(AND($A263&gt;='Control Room'!$A$13,$A263&lt;'Control Room'!$A$13+'Control Room'!$B$13,'Process'!BQ2=1),1+('Control Room'!$C$13-1)*EXP(-0.5*(($A263-'Control Room'!$A$13-('Control Room'!$B$13-1)/2)/MAX(0.5,'Control Room'!$B$13/4))^2),1)*IF(AND($A263&gt;='Control Room'!$A$14,$A263&lt;'Control Room'!$A$14+'Control Room'!$B$14,'Process'!BQ3=1),1+('Control Room'!$C$14-1)*EXP(-0.5*(($A263-'Control Room'!$A$14-('Control Room'!$B$14-1)/2)/MAX(0.5,'Control Room'!$B$14/4))^2),1)*IF(AND($A263&gt;='Control Room'!$A$15,$A263&lt;'Control Room'!$A$15+'Control Room'!$B$15,'Process'!BQ4=1),1+('Control Room'!$C$15-1)*EXP(-0.5*(($A263-'Control Room'!$A$15-('Control Room'!$B$15-1)/2)/MAX(0.5,'Control Room'!$B$15/4))^2),1)*IF(AND($A263&gt;='Control Room'!$A$16,$A263&lt;'Control Room'!$A$16+'Control Room'!$B$16,'Process'!BQ5=1),1+('Control Room'!$C$16-1)*EXP(-0.5*(($A263-'Control Room'!$A$16-('Control Room'!$B$16-1)/2)/MAX(0.5,'Control Room'!$B$16/4))^2),1)</x:f>
        <x:v>1</x:v>
      </x:c>
      <x:c r="AK263" s="9" t="n">
        <x:f>MOD(AL262*16807,2147483647)</x:f>
        <x:v>2005951531</x:v>
      </x:c>
      <x:c r="AL263" s="9" t="n">
        <x:f>MOD(AK263*16807,2147483647)</x:f>
        <x:v>681607264</x:v>
      </x:c>
      <x:c r="AM263" s="17" t="n">
        <x:f>IF('Control Room'!$B$5="Normal",'Control Room'!$B$7+'Control Room'!$D$7*SQRT(-2*LN(MAX(0.000000000001,AK263/2147483647)))*COS(2*PI()*AL263/2147483647),'Control Room'!$B$8+('Control Room'!$D$8-'Control Room'!$B$8)*AK263/2147483647)</x:f>
        <x:v>986.3431950292418</x:v>
      </x:c>
      <x:c r="AN263" s="17" t="n">
        <x:f>IF('Control Room'!$B$5="Normal",'Control Room'!$B$7,('Control Room'!$B$8+'Control Room'!$D$8)/2)+'Control Room'!$B$9*(AN262-IF('Control Room'!$B$5="Normal",'Control Room'!$B$7,('Control Room'!$B$8+'Control Room'!$D$8)/2))+SQRT(1-'Control Room'!$B$9^2)*(AM263-IF('Control Room'!$B$5="Normal",'Control Room'!$B$7,('Control Room'!$B$8+'Control Room'!$D$8)/2))</x:f>
        <x:v>1108.7593641928188</x:v>
      </x:c>
      <x:c r="AO263" s="17" t="n">
        <x:f>IF(AND($A263&gt;='Control Room'!$A$13,$A263&lt;'Control Room'!$A$13+'Control Room'!$B$13,'Process'!BR2=1),1+('Control Room'!$C$13-1)*EXP(-0.5*(($A263-'Control Room'!$A$13-('Control Room'!$B$13-1)/2)/MAX(0.5,'Control Room'!$B$13/4))^2),1)*IF(AND($A263&gt;='Control Room'!$A$14,$A263&lt;'Control Room'!$A$14+'Control Room'!$B$14,'Process'!BR3=1),1+('Control Room'!$C$14-1)*EXP(-0.5*(($A263-'Control Room'!$A$14-('Control Room'!$B$14-1)/2)/MAX(0.5,'Control Room'!$B$14/4))^2),1)*IF(AND($A263&gt;='Control Room'!$A$15,$A263&lt;'Control Room'!$A$15+'Control Room'!$B$15,'Process'!BR4=1),1+('Control Room'!$C$15-1)*EXP(-0.5*(($A263-'Control Room'!$A$15-('Control Room'!$B$15-1)/2)/MAX(0.5,'Control Room'!$B$15/4))^2),1)*IF(AND($A263&gt;='Control Room'!$A$16,$A263&lt;'Control Room'!$A$16+'Control Room'!$B$16,'Process'!BR5=1),1+('Control Room'!$C$16-1)*EXP(-0.5*(($A263-'Control Room'!$A$16-('Control Room'!$B$16-1)/2)/MAX(0.5,'Control Room'!$B$16/4))^2),1)</x:f>
        <x:v>1</x:v>
      </x:c>
      <x:c r="AP263" s="9" t="n">
        <x:f>MOD(AQ262*16807,2147483647)</x:f>
        <x:v>1875073034</x:v>
      </x:c>
      <x:c r="AQ263" s="9" t="n">
        <x:f>MOD(AP263*16807,2147483647)</x:f>
        <x:v>29962713</x:v>
      </x:c>
      <x:c r="AR263" s="17" t="n">
        <x:f>IF('Control Room'!$B$5="Normal",'Control Room'!$B$7+'Control Room'!$D$7*SQRT(-2*LN(MAX(0.000000000001,AP263/2147483647)))*COS(2*PI()*AQ263/2147483647),'Control Room'!$B$8+('Control Room'!$D$8-'Control Room'!$B$8)*AP263/2147483647)</x:f>
        <x:v>1046.69765325734</x:v>
      </x:c>
      <x:c r="AS263" s="17" t="n">
        <x:f>IF('Control Room'!$B$5="Normal",'Control Room'!$B$7,('Control Room'!$B$8+'Control Room'!$D$8)/2)+'Control Room'!$B$9*(AS262-IF('Control Room'!$B$5="Normal",'Control Room'!$B$7,('Control Room'!$B$8+'Control Room'!$D$8)/2))+SQRT(1-'Control Room'!$B$9^2)*(AR263-IF('Control Room'!$B$5="Normal",'Control Room'!$B$7,('Control Room'!$B$8+'Control Room'!$D$8)/2))</x:f>
        <x:v>991.8941534709604</x:v>
      </x:c>
      <x:c r="AT263" s="17" t="n">
        <x:f>IF(AND($A263&gt;='Control Room'!$A$13,$A263&lt;'Control Room'!$A$13+'Control Room'!$B$13,'Process'!BS2=1),1+('Control Room'!$C$13-1)*EXP(-0.5*(($A263-'Control Room'!$A$13-('Control Room'!$B$13-1)/2)/MAX(0.5,'Control Room'!$B$13/4))^2),1)*IF(AND($A263&gt;='Control Room'!$A$14,$A263&lt;'Control Room'!$A$14+'Control Room'!$B$14,'Process'!BS3=1),1+('Control Room'!$C$14-1)*EXP(-0.5*(($A263-'Control Room'!$A$14-('Control Room'!$B$14-1)/2)/MAX(0.5,'Control Room'!$B$14/4))^2),1)*IF(AND($A263&gt;='Control Room'!$A$15,$A263&lt;'Control Room'!$A$15+'Control Room'!$B$15,'Process'!BS4=1),1+('Control Room'!$C$15-1)*EXP(-0.5*(($A263-'Control Room'!$A$15-('Control Room'!$B$15-1)/2)/MAX(0.5,'Control Room'!$B$15/4))^2),1)*IF(AND($A263&gt;='Control Room'!$A$16,$A263&lt;'Control Room'!$A$16+'Control Room'!$B$16,'Process'!BS5=1),1+('Control Room'!$C$16-1)*EXP(-0.5*(($A263-'Control Room'!$A$16-('Control Room'!$B$16-1)/2)/MAX(0.5,'Control Room'!$B$16/4))^2),1)</x:f>
        <x:v>1</x:v>
      </x:c>
      <x:c r="AU263" s="9" t="n">
        <x:f>MOD(AV262*16807,2147483647)</x:f>
        <x:v>1744194537</x:v>
      </x:c>
      <x:c r="AV263" s="9" t="n">
        <x:f>MOD(AU263*16807,2147483647)</x:f>
        <x:v>1525801809</x:v>
      </x:c>
      <x:c r="AW263" s="17" t="n">
        <x:f>IF('Control Room'!$B$5="Normal",'Control Room'!$B$7+'Control Room'!$D$7*SQRT(-2*LN(MAX(0.000000000001,AU263/2147483647)))*COS(2*PI()*AV263/2147483647),'Control Room'!$B$8+('Control Room'!$D$8-'Control Room'!$B$8)*AU263/2147483647)</x:f>
        <x:v>985.7429744851579</x:v>
      </x:c>
      <x:c r="AX263" s="17" t="n">
        <x:f>IF('Control Room'!$B$5="Normal",'Control Room'!$B$7,('Control Room'!$B$8+'Control Room'!$D$8)/2)+'Control Room'!$B$9*(AX262-IF('Control Room'!$B$5="Normal",'Control Room'!$B$7,('Control Room'!$B$8+'Control Room'!$D$8)/2))+SQRT(1-'Control Room'!$B$9^2)*(AW263-IF('Control Room'!$B$5="Normal",'Control Room'!$B$7,('Control Room'!$B$8+'Control Room'!$D$8)/2))</x:f>
        <x:v>1035.2445877204475</x:v>
      </x:c>
      <x:c r="AY263" s="17" t="n">
        <x:f>IF(AND($A263&gt;='Control Room'!$A$13,$A263&lt;'Control Room'!$A$13+'Control Room'!$B$13,'Process'!BT2=1),1+('Control Room'!$C$13-1)*EXP(-0.5*(($A263-'Control Room'!$A$13-('Control Room'!$B$13-1)/2)/MAX(0.5,'Control Room'!$B$13/4))^2),1)*IF(AND($A263&gt;='Control Room'!$A$14,$A263&lt;'Control Room'!$A$14+'Control Room'!$B$14,'Process'!BT3=1),1+('Control Room'!$C$14-1)*EXP(-0.5*(($A263-'Control Room'!$A$14-('Control Room'!$B$14-1)/2)/MAX(0.5,'Control Room'!$B$14/4))^2),1)*IF(AND($A263&gt;='Control Room'!$A$15,$A263&lt;'Control Room'!$A$15+'Control Room'!$B$15,'Process'!BT4=1),1+('Control Room'!$C$15-1)*EXP(-0.5*(($A263-'Control Room'!$A$15-('Control Room'!$B$15-1)/2)/MAX(0.5,'Control Room'!$B$15/4))^2),1)*IF(AND($A263&gt;='Control Room'!$A$16,$A263&lt;'Control Room'!$A$16+'Control Room'!$B$16,'Process'!BT5=1),1+('Control Room'!$C$16-1)*EXP(-0.5*(($A263-'Control Room'!$A$16-('Control Room'!$B$16-1)/2)/MAX(0.5,'Control Room'!$B$16/4))^2),1)</x:f>
        <x:v>1</x:v>
      </x:c>
      <x:c r="AZ263" s="9" t="n">
        <x:f>MOD(BA262*16807,2147483647)</x:f>
        <x:v>1613316040</x:v>
      </x:c>
      <x:c r="BA263" s="9" t="n">
        <x:f>MOD(AZ263*16807,2147483647)</x:f>
        <x:v>874157258</x:v>
      </x:c>
      <x:c r="BB263" s="17" t="n">
        <x:f>IF('Control Room'!$B$5="Normal",'Control Room'!$B$7+'Control Room'!$D$7*SQRT(-2*LN(MAX(0.000000000001,AZ263/2147483647)))*COS(2*PI()*BA263/2147483647),'Control Room'!$B$8+('Control Room'!$D$8-'Control Room'!$B$8)*AZ263/2147483647)</x:f>
        <x:v>943.2113372547549</x:v>
      </x:c>
      <x:c r="BC263" s="17" t="n">
        <x:f>IF('Control Room'!$B$5="Normal",'Control Room'!$B$7,('Control Room'!$B$8+'Control Room'!$D$8)/2)+'Control Room'!$B$9*(BC262-IF('Control Room'!$B$5="Normal",'Control Room'!$B$7,('Control Room'!$B$8+'Control Room'!$D$8)/2))+SQRT(1-'Control Room'!$B$9^2)*(BB263-IF('Control Room'!$B$5="Normal",'Control Room'!$B$7,('Control Room'!$B$8+'Control Room'!$D$8)/2))</x:f>
        <x:v>1013.8924018114343</x:v>
      </x:c>
      <x:c r="BD263" s="17" t="n">
        <x:f>IF(AND($A263&gt;='Control Room'!$A$13,$A263&lt;'Control Room'!$A$13+'Control Room'!$B$13,'Process'!BU2=1),1+('Control Room'!$C$13-1)*EXP(-0.5*(($A263-'Control Room'!$A$13-('Control Room'!$B$13-1)/2)/MAX(0.5,'Control Room'!$B$13/4))^2),1)*IF(AND($A263&gt;='Control Room'!$A$14,$A263&lt;'Control Room'!$A$14+'Control Room'!$B$14,'Process'!BU3=1),1+('Control Room'!$C$14-1)*EXP(-0.5*(($A263-'Control Room'!$A$14-('Control Room'!$B$14-1)/2)/MAX(0.5,'Control Room'!$B$14/4))^2),1)*IF(AND($A263&gt;='Control Room'!$A$15,$A263&lt;'Control Room'!$A$15+'Control Room'!$B$15,'Process'!BU4=1),1+('Control Room'!$C$15-1)*EXP(-0.5*(($A263-'Control Room'!$A$15-('Control Room'!$B$15-1)/2)/MAX(0.5,'Control Room'!$B$15/4))^2),1)*IF(AND($A263&gt;='Control Room'!$A$16,$A263&lt;'Control Room'!$A$16+'Control Room'!$B$16,'Process'!BU5=1),1+('Control Room'!$C$16-1)*EXP(-0.5*(($A263-'Control Room'!$A$16-('Control Room'!$B$16-1)/2)/MAX(0.5,'Control Room'!$B$16/4))^2),1)</x:f>
        <x:v>1</x:v>
      </x:c>
      <x:c r="BE263" s="9" t="n">
        <x:f>MOD(BF262*16807,2147483647)</x:f>
        <x:v>1482437543</x:v>
      </x:c>
      <x:c r="BF263" s="9" t="n">
        <x:f>MOD(BE263*16807,2147483647)</x:f>
        <x:v>222512707</x:v>
      </x:c>
      <x:c r="BG263" s="17" t="n">
        <x:f>IF('Control Room'!$B$5="Normal",'Control Room'!$B$7+'Control Room'!$D$7*SQRT(-2*LN(MAX(0.000000000001,BE263/2147483647)))*COS(2*PI()*BF263/2147483647),'Control Room'!$B$8+('Control Room'!$D$8-'Control Room'!$B$8)*BE263/2147483647)</x:f>
        <x:v>1061.6356501463247</x:v>
      </x:c>
      <x:c r="BH263" s="17" t="n">
        <x:f>IF('Control Room'!$B$5="Normal",'Control Room'!$B$7,('Control Room'!$B$8+'Control Room'!$D$8)/2)+'Control Room'!$B$9*(BH262-IF('Control Room'!$B$5="Normal",'Control Room'!$B$7,('Control Room'!$B$8+'Control Room'!$D$8)/2))+SQRT(1-'Control Room'!$B$9^2)*(BG263-IF('Control Room'!$B$5="Normal",'Control Room'!$B$7,('Control Room'!$B$8+'Control Room'!$D$8)/2))</x:f>
        <x:v>1060.3918043128122</x:v>
      </x:c>
      <x:c r="BI263" s="17" t="n">
        <x:f>IF(AND($A263&gt;='Control Room'!$A$13,$A263&lt;'Control Room'!$A$13+'Control Room'!$B$13,'Process'!BV2=1),1+('Control Room'!$C$13-1)*EXP(-0.5*(($A263-'Control Room'!$A$13-('Control Room'!$B$13-1)/2)/MAX(0.5,'Control Room'!$B$13/4))^2),1)*IF(AND($A263&gt;='Control Room'!$A$14,$A263&lt;'Control Room'!$A$14+'Control Room'!$B$14,'Process'!BV3=1),1+('Control Room'!$C$14-1)*EXP(-0.5*(($A263-'Control Room'!$A$14-('Control Room'!$B$14-1)/2)/MAX(0.5,'Control Room'!$B$14/4))^2),1)*IF(AND($A263&gt;='Control Room'!$A$15,$A263&lt;'Control Room'!$A$15+'Control Room'!$B$15,'Process'!BV4=1),1+('Control Room'!$C$15-1)*EXP(-0.5*(($A263-'Control Room'!$A$15-('Control Room'!$B$15-1)/2)/MAX(0.5,'Control Room'!$B$15/4))^2),1)*IF(AND($A263&gt;='Control Room'!$A$16,$A263&lt;'Control Room'!$A$16+'Control Room'!$B$16,'Process'!BV5=1),1+('Control Room'!$C$16-1)*EXP(-0.5*(($A263-'Control Room'!$A$16-('Control Room'!$B$16-1)/2)/MAX(0.5,'Control Room'!$B$16/4))^2),1)</x:f>
        <x:v>1</x:v>
      </x:c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Z263" t="str">
        <x:f>IF('Data'!A263="","",TEXT('Data'!A263,"mm-dd"))</x:f>
      </x:c>
    </x:row>
    <x:row r="264" ht="21" customHeight="1">
      <x:c r="A264" s="15" t="n">
        <x:f>'Control Room'!$B$1+262</x:f>
        <x:v>73253</x:v>
      </x:c>
      <x:c r="B264" s="9" t="n">
        <x:f>MOD(C263*16807,2147483647)</x:f>
        <x:v>1259095649</x:v>
      </x:c>
      <x:c r="C264" s="9" t="n">
        <x:f>MOD(B264*16807,2147483647)</x:f>
        <x:v>316715205</x:v>
      </x:c>
      <x:c r="D264" s="17" t="n">
        <x:f>IF('Control Room'!$B$5="Normal",'Control Room'!$B$7+'Control Room'!$D$7*SQRT(-2*LN(MAX(0.000000000001,B264/2147483647)))*COS(2*PI()*C264/2147483647),'Control Room'!$B$8+('Control Room'!$D$8-'Control Room'!$B$8)*B264/2147483647)</x:f>
        <x:v>1055.8482268881926</x:v>
      </x:c>
      <x:c r="E264" s="17" t="n">
        <x:f>IF('Control Room'!$B$5="Normal",'Control Room'!$B$7,('Control Room'!$B$8+'Control Room'!$D$8)/2)+'Control Room'!$B$9*(E263-IF('Control Room'!$B$5="Normal",'Control Room'!$B$7,('Control Room'!$B$8+'Control Room'!$D$8)/2))+SQRT(1-'Control Room'!$B$9^2)*(D264-IF('Control Room'!$B$5="Normal",'Control Room'!$B$7,('Control Room'!$B$8+'Control Room'!$D$8)/2))</x:f>
        <x:v>911.6155492150311</x:v>
      </x:c>
      <x:c r="F264" s="17" t="n">
        <x:f>IF(AND($A264&gt;='Control Room'!$A$13,$A264&lt;'Control Room'!$A$13+'Control Room'!$B$13,'Process'!BK2=1),1+('Control Room'!$C$13-1)*EXP(-0.5*(($A264-'Control Room'!$A$13-('Control Room'!$B$13-1)/2)/MAX(0.5,'Control Room'!$B$13/4))^2),1)*IF(AND($A264&gt;='Control Room'!$A$14,$A264&lt;'Control Room'!$A$14+'Control Room'!$B$14,'Process'!BK3=1),1+('Control Room'!$C$14-1)*EXP(-0.5*(($A264-'Control Room'!$A$14-('Control Room'!$B$14-1)/2)/MAX(0.5,'Control Room'!$B$14/4))^2),1)*IF(AND($A264&gt;='Control Room'!$A$15,$A264&lt;'Control Room'!$A$15+'Control Room'!$B$15,'Process'!BK4=1),1+('Control Room'!$C$15-1)*EXP(-0.5*(($A264-'Control Room'!$A$15-('Control Room'!$B$15-1)/2)/MAX(0.5,'Control Room'!$B$15/4))^2),1)*IF(AND($A264&gt;='Control Room'!$A$16,$A264&lt;'Control Room'!$A$16+'Control Room'!$B$16,'Process'!BK5=1),1+('Control Room'!$C$16-1)*EXP(-0.5*(($A264-'Control Room'!$A$16-('Control Room'!$B$16-1)/2)/MAX(0.5,'Control Room'!$B$16/4))^2),1)</x:f>
        <x:v>1</x:v>
      </x:c>
      <x:c r="G264" s="9" t="n">
        <x:f>MOD(H263*16807,2147483647)</x:f>
        <x:v>1235726692</x:v>
      </x:c>
      <x:c r="H264" s="9" t="n">
        <x:f>MOD(G264*16807,2147483647)</x:f>
        <x:v>544162307</x:v>
      </x:c>
      <x:c r="I264" s="17" t="n">
        <x:f>IF('Control Room'!$B$5="Normal",'Control Room'!$B$7+'Control Room'!$D$7*SQRT(-2*LN(MAX(0.000000000001,G264/2147483647)))*COS(2*PI()*H264/2147483647),'Control Room'!$B$8+('Control Room'!$D$8-'Control Room'!$B$8)*G264/2147483647)</x:f>
        <x:v>997.9816085258145</x:v>
      </x:c>
      <x:c r="J264" s="17" t="n">
        <x:f>IF('Control Room'!$B$5="Normal",'Control Room'!$B$7,('Control Room'!$B$8+'Control Room'!$D$8)/2)+'Control Room'!$B$9*(J263-IF('Control Room'!$B$5="Normal",'Control Room'!$B$7,('Control Room'!$B$8+'Control Room'!$D$8)/2))+SQRT(1-'Control Room'!$B$9^2)*(I264-IF('Control Room'!$B$5="Normal",'Control Room'!$B$7,('Control Room'!$B$8+'Control Room'!$D$8)/2))</x:f>
        <x:v>1103.1811389694114</x:v>
      </x:c>
      <x:c r="K264" s="17" t="n">
        <x:f>IF(AND($A264&gt;='Control Room'!$A$13,$A264&lt;'Control Room'!$A$13+'Control Room'!$B$13,'Process'!BL2=1),1+('Control Room'!$C$13-1)*EXP(-0.5*(($A264-'Control Room'!$A$13-('Control Room'!$B$13-1)/2)/MAX(0.5,'Control Room'!$B$13/4))^2),1)*IF(AND($A264&gt;='Control Room'!$A$14,$A264&lt;'Control Room'!$A$14+'Control Room'!$B$14,'Process'!BL3=1),1+('Control Room'!$C$14-1)*EXP(-0.5*(($A264-'Control Room'!$A$14-('Control Room'!$B$14-1)/2)/MAX(0.5,'Control Room'!$B$14/4))^2),1)*IF(AND($A264&gt;='Control Room'!$A$15,$A264&lt;'Control Room'!$A$15+'Control Room'!$B$15,'Process'!BL4=1),1+('Control Room'!$C$15-1)*EXP(-0.5*(($A264-'Control Room'!$A$15-('Control Room'!$B$15-1)/2)/MAX(0.5,'Control Room'!$B$15/4))^2),1)*IF(AND($A264&gt;='Control Room'!$A$16,$A264&lt;'Control Room'!$A$16+'Control Room'!$B$16,'Process'!BL5=1),1+('Control Room'!$C$16-1)*EXP(-0.5*(($A264-'Control Room'!$A$16-('Control Room'!$B$16-1)/2)/MAX(0.5,'Control Room'!$B$16/4))^2),1)</x:f>
        <x:v>1</x:v>
      </x:c>
      <x:c r="L264" s="9" t="n">
        <x:f>MOD(M263*16807,2147483647)</x:f>
        <x:v>1212357735</x:v>
      </x:c>
      <x:c r="M264" s="9" t="n">
        <x:f>MOD(L264*16807,2147483647)</x:f>
        <x:v>771609409</x:v>
      </x:c>
      <x:c r="N264" s="17" t="n">
        <x:f>IF('Control Room'!$B$5="Normal",'Control Room'!$B$7+'Control Room'!$D$7*SQRT(-2*LN(MAX(0.000000000001,L264/2147483647)))*COS(2*PI()*M264/2147483647),'Control Room'!$B$8+('Control Room'!$D$8-'Control Room'!$B$8)*L264/2147483647)</x:f>
        <x:v>938.9773995839165</x:v>
      </x:c>
      <x:c r="O264" s="17" t="n">
        <x:f>IF('Control Room'!$B$5="Normal",'Control Room'!$B$7,('Control Room'!$B$8+'Control Room'!$D$8)/2)+'Control Room'!$B$9*(O263-IF('Control Room'!$B$5="Normal",'Control Room'!$B$7,('Control Room'!$B$8+'Control Room'!$D$8)/2))+SQRT(1-'Control Room'!$B$9^2)*(N264-IF('Control Room'!$B$5="Normal",'Control Room'!$B$7,('Control Room'!$B$8+'Control Room'!$D$8)/2))</x:f>
        <x:v>966.9269289551252</x:v>
      </x:c>
      <x:c r="P264" s="17" t="n">
        <x:f>IF(AND($A264&gt;='Control Room'!$A$13,$A264&lt;'Control Room'!$A$13+'Control Room'!$B$13,'Process'!BM2=1),1+('Control Room'!$C$13-1)*EXP(-0.5*(($A264-'Control Room'!$A$13-('Control Room'!$B$13-1)/2)/MAX(0.5,'Control Room'!$B$13/4))^2),1)*IF(AND($A264&gt;='Control Room'!$A$14,$A264&lt;'Control Room'!$A$14+'Control Room'!$B$14,'Process'!BM3=1),1+('Control Room'!$C$14-1)*EXP(-0.5*(($A264-'Control Room'!$A$14-('Control Room'!$B$14-1)/2)/MAX(0.5,'Control Room'!$B$14/4))^2),1)*IF(AND($A264&gt;='Control Room'!$A$15,$A264&lt;'Control Room'!$A$15+'Control Room'!$B$15,'Process'!BM4=1),1+('Control Room'!$C$15-1)*EXP(-0.5*(($A264-'Control Room'!$A$15-('Control Room'!$B$15-1)/2)/MAX(0.5,'Control Room'!$B$15/4))^2),1)*IF(AND($A264&gt;='Control Room'!$A$16,$A264&lt;'Control Room'!$A$16+'Control Room'!$B$16,'Process'!BM5=1),1+('Control Room'!$C$16-1)*EXP(-0.5*(($A264-'Control Room'!$A$16-('Control Room'!$B$16-1)/2)/MAX(0.5,'Control Room'!$B$16/4))^2),1)</x:f>
        <x:v>1</x:v>
      </x:c>
      <x:c r="Q264" s="9" t="n">
        <x:f>MOD(R263*16807,2147483647)</x:f>
        <x:v>1188988778</x:v>
      </x:c>
      <x:c r="R264" s="9" t="n">
        <x:f>MOD(Q264*16807,2147483647)</x:f>
        <x:v>999056511</x:v>
      </x:c>
      <x:c r="S264" s="17" t="n">
        <x:f>IF('Control Room'!$B$5="Normal",'Control Room'!$B$7+'Control Room'!$D$7*SQRT(-2*LN(MAX(0.000000000001,Q264/2147483647)))*COS(2*PI()*R264/2147483647),'Control Room'!$B$8+('Control Room'!$D$8-'Control Room'!$B$8)*Q264/2147483647)</x:f>
        <x:v>904.4633367610297</x:v>
      </x:c>
      <x:c r="T264" s="17" t="n">
        <x:f>IF('Control Room'!$B$5="Normal",'Control Room'!$B$7,('Control Room'!$B$8+'Control Room'!$D$8)/2)+'Control Room'!$B$9*(T263-IF('Control Room'!$B$5="Normal",'Control Room'!$B$7,('Control Room'!$B$8+'Control Room'!$D$8)/2))+SQRT(1-'Control Room'!$B$9^2)*(S264-IF('Control Room'!$B$5="Normal",'Control Room'!$B$7,('Control Room'!$B$8+'Control Room'!$D$8)/2))</x:f>
        <x:v>861.6429280113967</x:v>
      </x:c>
      <x:c r="U264" s="17" t="n">
        <x:f>IF(AND($A264&gt;='Control Room'!$A$13,$A264&lt;'Control Room'!$A$13+'Control Room'!$B$13,'Process'!BN2=1),1+('Control Room'!$C$13-1)*EXP(-0.5*(($A264-'Control Room'!$A$13-('Control Room'!$B$13-1)/2)/MAX(0.5,'Control Room'!$B$13/4))^2),1)*IF(AND($A264&gt;='Control Room'!$A$14,$A264&lt;'Control Room'!$A$14+'Control Room'!$B$14,'Process'!BN3=1),1+('Control Room'!$C$14-1)*EXP(-0.5*(($A264-'Control Room'!$A$14-('Control Room'!$B$14-1)/2)/MAX(0.5,'Control Room'!$B$14/4))^2),1)*IF(AND($A264&gt;='Control Room'!$A$15,$A264&lt;'Control Room'!$A$15+'Control Room'!$B$15,'Process'!BN4=1),1+('Control Room'!$C$15-1)*EXP(-0.5*(($A264-'Control Room'!$A$15-('Control Room'!$B$15-1)/2)/MAX(0.5,'Control Room'!$B$15/4))^2),1)*IF(AND($A264&gt;='Control Room'!$A$16,$A264&lt;'Control Room'!$A$16+'Control Room'!$B$16,'Process'!BN5=1),1+('Control Room'!$C$16-1)*EXP(-0.5*(($A264-'Control Room'!$A$16-('Control Room'!$B$16-1)/2)/MAX(0.5,'Control Room'!$B$16/4))^2),1)</x:f>
        <x:v>1</x:v>
      </x:c>
      <x:c r="V264" s="9" t="n">
        <x:f>MOD(W263*16807,2147483647)</x:f>
        <x:v>1165619821</x:v>
      </x:c>
      <x:c r="W264" s="9" t="n">
        <x:f>MOD(V264*16807,2147483647)</x:f>
        <x:v>1226503613</x:v>
      </x:c>
      <x:c r="X264" s="17" t="n">
        <x:f>IF('Control Room'!$B$5="Normal",'Control Room'!$B$7+'Control Room'!$D$7*SQRT(-2*LN(MAX(0.000000000001,V264/2147483647)))*COS(2*PI()*W264/2147483647),'Control Room'!$B$8+('Control Room'!$D$8-'Control Room'!$B$8)*V264/2147483647)</x:f>
        <x:v>910.2802616467687</x:v>
      </x:c>
      <x:c r="Y264" s="17" t="n">
        <x:f>IF('Control Room'!$B$5="Normal",'Control Room'!$B$7,('Control Room'!$B$8+'Control Room'!$D$8)/2)+'Control Room'!$B$9*(Y263-IF('Control Room'!$B$5="Normal",'Control Room'!$B$7,('Control Room'!$B$8+'Control Room'!$D$8)/2))+SQRT(1-'Control Room'!$B$9^2)*(X264-IF('Control Room'!$B$5="Normal",'Control Room'!$B$7,('Control Room'!$B$8+'Control Room'!$D$8)/2))</x:f>
        <x:v>975.6152398099173</x:v>
      </x:c>
      <x:c r="Z264" s="17" t="n">
        <x:f>IF(AND($A264&gt;='Control Room'!$A$13,$A264&lt;'Control Room'!$A$13+'Control Room'!$B$13,'Process'!BO2=1),1+('Control Room'!$C$13-1)*EXP(-0.5*(($A264-'Control Room'!$A$13-('Control Room'!$B$13-1)/2)/MAX(0.5,'Control Room'!$B$13/4))^2),1)*IF(AND($A264&gt;='Control Room'!$A$14,$A264&lt;'Control Room'!$A$14+'Control Room'!$B$14,'Process'!BO3=1),1+('Control Room'!$C$14-1)*EXP(-0.5*(($A264-'Control Room'!$A$14-('Control Room'!$B$14-1)/2)/MAX(0.5,'Control Room'!$B$14/4))^2),1)*IF(AND($A264&gt;='Control Room'!$A$15,$A264&lt;'Control Room'!$A$15+'Control Room'!$B$15,'Process'!BO4=1),1+('Control Room'!$C$15-1)*EXP(-0.5*(($A264-'Control Room'!$A$15-('Control Room'!$B$15-1)/2)/MAX(0.5,'Control Room'!$B$15/4))^2),1)*IF(AND($A264&gt;='Control Room'!$A$16,$A264&lt;'Control Room'!$A$16+'Control Room'!$B$16,'Process'!BO5=1),1+('Control Room'!$C$16-1)*EXP(-0.5*(($A264-'Control Room'!$A$16-('Control Room'!$B$16-1)/2)/MAX(0.5,'Control Room'!$B$16/4))^2),1)</x:f>
        <x:v>1</x:v>
      </x:c>
      <x:c r="AA264" s="9" t="n">
        <x:f>MOD(AB263*16807,2147483647)</x:f>
        <x:v>1142250864</x:v>
      </x:c>
      <x:c r="AB264" s="9" t="n">
        <x:f>MOD(AA264*16807,2147483647)</x:f>
        <x:v>1453950715</x:v>
      </x:c>
      <x:c r="AC264" s="17" t="n">
        <x:f>IF('Control Room'!$B$5="Normal",'Control Room'!$B$7+'Control Room'!$D$7*SQRT(-2*LN(MAX(0.000000000001,AA264/2147483647)))*COS(2*PI()*AB264/2147483647),'Control Room'!$B$8+('Control Room'!$D$8-'Control Room'!$B$8)*AA264/2147483647)</x:f>
        <x:v>955.2521461802387</x:v>
      </x:c>
      <x:c r="AD264" s="17" t="n">
        <x:f>IF('Control Room'!$B$5="Normal",'Control Room'!$B$7,('Control Room'!$B$8+'Control Room'!$D$8)/2)+'Control Room'!$B$9*(AD263-IF('Control Room'!$B$5="Normal",'Control Room'!$B$7,('Control Room'!$B$8+'Control Room'!$D$8)/2))+SQRT(1-'Control Room'!$B$9^2)*(AC264-IF('Control Room'!$B$5="Normal",'Control Room'!$B$7,('Control Room'!$B$8+'Control Room'!$D$8)/2))</x:f>
        <x:v>990.9081610534779</x:v>
      </x:c>
      <x:c r="AE264" s="17" t="n">
        <x:f>IF(AND($A264&gt;='Control Room'!$A$13,$A264&lt;'Control Room'!$A$13+'Control Room'!$B$13,'Process'!BP2=1),1+('Control Room'!$C$13-1)*EXP(-0.5*(($A264-'Control Room'!$A$13-('Control Room'!$B$13-1)/2)/MAX(0.5,'Control Room'!$B$13/4))^2),1)*IF(AND($A264&gt;='Control Room'!$A$14,$A264&lt;'Control Room'!$A$14+'Control Room'!$B$14,'Process'!BP3=1),1+('Control Room'!$C$14-1)*EXP(-0.5*(($A264-'Control Room'!$A$14-('Control Room'!$B$14-1)/2)/MAX(0.5,'Control Room'!$B$14/4))^2),1)*IF(AND($A264&gt;='Control Room'!$A$15,$A264&lt;'Control Room'!$A$15+'Control Room'!$B$15,'Process'!BP4=1),1+('Control Room'!$C$15-1)*EXP(-0.5*(($A264-'Control Room'!$A$15-('Control Room'!$B$15-1)/2)/MAX(0.5,'Control Room'!$B$15/4))^2),1)*IF(AND($A264&gt;='Control Room'!$A$16,$A264&lt;'Control Room'!$A$16+'Control Room'!$B$16,'Process'!BP5=1),1+('Control Room'!$C$16-1)*EXP(-0.5*(($A264-'Control Room'!$A$16-('Control Room'!$B$16-1)/2)/MAX(0.5,'Control Room'!$B$16/4))^2),1)</x:f>
        <x:v>1</x:v>
      </x:c>
      <x:c r="AF264" s="9" t="n">
        <x:f>MOD(AG263*16807,2147483647)</x:f>
        <x:v>1118881907</x:v>
      </x:c>
      <x:c r="AG264" s="9" t="n">
        <x:f>MOD(AF264*16807,2147483647)</x:f>
        <x:v>1681397817</x:v>
      </x:c>
      <x:c r="AH264" s="17" t="n">
        <x:f>IF('Control Room'!$B$5="Normal",'Control Room'!$B$7+'Control Room'!$D$7*SQRT(-2*LN(MAX(0.000000000001,AF264/2147483647)))*COS(2*PI()*AG264/2147483647),'Control Room'!$B$8+('Control Room'!$D$8-'Control Room'!$B$8)*AF264/2147483647)</x:f>
        <x:v>1021.1325975897122</x:v>
      </x:c>
      <x:c r="AI264" s="17" t="n">
        <x:f>IF('Control Room'!$B$5="Normal",'Control Room'!$B$7,('Control Room'!$B$8+'Control Room'!$D$8)/2)+'Control Room'!$B$9*(AI263-IF('Control Room'!$B$5="Normal",'Control Room'!$B$7,('Control Room'!$B$8+'Control Room'!$D$8)/2))+SQRT(1-'Control Room'!$B$9^2)*(AH264-IF('Control Room'!$B$5="Normal",'Control Room'!$B$7,('Control Room'!$B$8+'Control Room'!$D$8)/2))</x:f>
        <x:v>938.919708210911</x:v>
      </x:c>
      <x:c r="AJ264" s="17" t="n">
        <x:f>IF(AND($A264&gt;='Control Room'!$A$13,$A264&lt;'Control Room'!$A$13+'Control Room'!$B$13,'Process'!BQ2=1),1+('Control Room'!$C$13-1)*EXP(-0.5*(($A264-'Control Room'!$A$13-('Control Room'!$B$13-1)/2)/MAX(0.5,'Control Room'!$B$13/4))^2),1)*IF(AND($A264&gt;='Control Room'!$A$14,$A264&lt;'Control Room'!$A$14+'Control Room'!$B$14,'Process'!BQ3=1),1+('Control Room'!$C$14-1)*EXP(-0.5*(($A264-'Control Room'!$A$14-('Control Room'!$B$14-1)/2)/MAX(0.5,'Control Room'!$B$14/4))^2),1)*IF(AND($A264&gt;='Control Room'!$A$15,$A264&lt;'Control Room'!$A$15+'Control Room'!$B$15,'Process'!BQ4=1),1+('Control Room'!$C$15-1)*EXP(-0.5*(($A264-'Control Room'!$A$15-('Control Room'!$B$15-1)/2)/MAX(0.5,'Control Room'!$B$15/4))^2),1)*IF(AND($A264&gt;='Control Room'!$A$16,$A264&lt;'Control Room'!$A$16+'Control Room'!$B$16,'Process'!BQ5=1),1+('Control Room'!$C$16-1)*EXP(-0.5*(($A264-'Control Room'!$A$16-('Control Room'!$B$16-1)/2)/MAX(0.5,'Control Room'!$B$16/4))^2),1)</x:f>
        <x:v>1</x:v>
      </x:c>
      <x:c r="AK264" s="9" t="n">
        <x:f>MOD(AL263*16807,2147483647)</x:f>
        <x:v>1095512950</x:v>
      </x:c>
      <x:c r="AL264" s="9" t="n">
        <x:f>MOD(AK264*16807,2147483647)</x:f>
        <x:v>1908844919</x:v>
      </x:c>
      <x:c r="AM264" s="17" t="n">
        <x:f>IF('Control Room'!$B$5="Normal",'Control Room'!$B$7+'Control Room'!$D$7*SQRT(-2*LN(MAX(0.000000000001,AK264/2147483647)))*COS(2*PI()*AL264/2147483647),'Control Room'!$B$8+('Control Room'!$D$8-'Control Room'!$B$8)*AK264/2147483647)</x:f>
        <x:v>1079.9855461048821</x:v>
      </x:c>
      <x:c r="AN264" s="17" t="n">
        <x:f>IF('Control Room'!$B$5="Normal",'Control Room'!$B$7,('Control Room'!$B$8+'Control Room'!$D$8)/2)+'Control Room'!$B$9*(AN263-IF('Control Room'!$B$5="Normal",'Control Room'!$B$7,('Control Room'!$B$8+'Control Room'!$D$8)/2))+SQRT(1-'Control Room'!$B$9^2)*(AM264-IF('Control Room'!$B$5="Normal",'Control Room'!$B$7,('Control Room'!$B$8+'Control Room'!$D$8)/2))</x:f>
        <x:v>1134.8856202298564</x:v>
      </x:c>
      <x:c r="AO264" s="17" t="n">
        <x:f>IF(AND($A264&gt;='Control Room'!$A$13,$A264&lt;'Control Room'!$A$13+'Control Room'!$B$13,'Process'!BR2=1),1+('Control Room'!$C$13-1)*EXP(-0.5*(($A264-'Control Room'!$A$13-('Control Room'!$B$13-1)/2)/MAX(0.5,'Control Room'!$B$13/4))^2),1)*IF(AND($A264&gt;='Control Room'!$A$14,$A264&lt;'Control Room'!$A$14+'Control Room'!$B$14,'Process'!BR3=1),1+('Control Room'!$C$14-1)*EXP(-0.5*(($A264-'Control Room'!$A$14-('Control Room'!$B$14-1)/2)/MAX(0.5,'Control Room'!$B$14/4))^2),1)*IF(AND($A264&gt;='Control Room'!$A$15,$A264&lt;'Control Room'!$A$15+'Control Room'!$B$15,'Process'!BR4=1),1+('Control Room'!$C$15-1)*EXP(-0.5*(($A264-'Control Room'!$A$15-('Control Room'!$B$15-1)/2)/MAX(0.5,'Control Room'!$B$15/4))^2),1)*IF(AND($A264&gt;='Control Room'!$A$16,$A264&lt;'Control Room'!$A$16+'Control Room'!$B$16,'Process'!BR5=1),1+('Control Room'!$C$16-1)*EXP(-0.5*(($A264-'Control Room'!$A$16-('Control Room'!$B$16-1)/2)/MAX(0.5,'Control Room'!$B$16/4))^2),1)</x:f>
        <x:v>1</x:v>
      </x:c>
      <x:c r="AP264" s="9" t="n">
        <x:f>MOD(AQ263*16807,2147483647)</x:f>
        <x:v>1072143993</x:v>
      </x:c>
      <x:c r="AQ264" s="9" t="n">
        <x:f>MOD(AP264*16807,2147483647)</x:f>
        <x:v>2136292021</x:v>
      </x:c>
      <x:c r="AR264" s="17" t="n">
        <x:f>IF('Control Room'!$B$5="Normal",'Control Room'!$B$7+'Control Room'!$D$7*SQRT(-2*LN(MAX(0.000000000001,AP264/2147483647)))*COS(2*PI()*AQ264/2147483647),'Control Room'!$B$8+('Control Room'!$D$8-'Control Room'!$B$8)*AP264/2147483647)</x:f>
        <x:v>1106.023807999403</x:v>
      </x:c>
      <x:c r="AS264" s="17" t="n">
        <x:f>IF('Control Room'!$B$5="Normal",'Control Room'!$B$7,('Control Room'!$B$8+'Control Room'!$D$8)/2)+'Control Room'!$B$9*(AS263-IF('Control Room'!$B$5="Normal",'Control Room'!$B$7,('Control Room'!$B$8+'Control Room'!$D$8)/2))+SQRT(1-'Control Room'!$B$9^2)*(AR264-IF('Control Room'!$B$5="Normal",'Control Room'!$B$7,('Control Room'!$B$8+'Control Room'!$D$8)/2))</x:f>
        <x:v>1060.024966737609</x:v>
      </x:c>
      <x:c r="AT264" s="17" t="n">
        <x:f>IF(AND($A264&gt;='Control Room'!$A$13,$A264&lt;'Control Room'!$A$13+'Control Room'!$B$13,'Process'!BS2=1),1+('Control Room'!$C$13-1)*EXP(-0.5*(($A264-'Control Room'!$A$13-('Control Room'!$B$13-1)/2)/MAX(0.5,'Control Room'!$B$13/4))^2),1)*IF(AND($A264&gt;='Control Room'!$A$14,$A264&lt;'Control Room'!$A$14+'Control Room'!$B$14,'Process'!BS3=1),1+('Control Room'!$C$14-1)*EXP(-0.5*(($A264-'Control Room'!$A$14-('Control Room'!$B$14-1)/2)/MAX(0.5,'Control Room'!$B$14/4))^2),1)*IF(AND($A264&gt;='Control Room'!$A$15,$A264&lt;'Control Room'!$A$15+'Control Room'!$B$15,'Process'!BS4=1),1+('Control Room'!$C$15-1)*EXP(-0.5*(($A264-'Control Room'!$A$15-('Control Room'!$B$15-1)/2)/MAX(0.5,'Control Room'!$B$15/4))^2),1)*IF(AND($A264&gt;='Control Room'!$A$16,$A264&lt;'Control Room'!$A$16+'Control Room'!$B$16,'Process'!BS5=1),1+('Control Room'!$C$16-1)*EXP(-0.5*(($A264-'Control Room'!$A$16-('Control Room'!$B$16-1)/2)/MAX(0.5,'Control Room'!$B$16/4))^2),1)</x:f>
        <x:v>1</x:v>
      </x:c>
      <x:c r="AU264" s="9" t="n">
        <x:f>MOD(AV263*16807,2147483647)</x:f>
        <x:v>1048775036</x:v>
      </x:c>
      <x:c r="AV264" s="9" t="n">
        <x:f>MOD(AU264*16807,2147483647)</x:f>
        <x:v>216255476</x:v>
      </x:c>
      <x:c r="AW264" s="17" t="n">
        <x:f>IF('Control Room'!$B$5="Normal",'Control Room'!$B$7+'Control Room'!$D$7*SQRT(-2*LN(MAX(0.000000000001,AU264/2147483647)))*COS(2*PI()*AV264/2147483647),'Control Room'!$B$8+('Control Room'!$D$8-'Control Room'!$B$8)*AU264/2147483647)</x:f>
        <x:v>1086.8916652261123</x:v>
      </x:c>
      <x:c r="AX264" s="17" t="n">
        <x:f>IF('Control Room'!$B$5="Normal",'Control Room'!$B$7,('Control Room'!$B$8+'Control Room'!$D$8)/2)+'Control Room'!$B$9*(AX263-IF('Control Room'!$B$5="Normal",'Control Room'!$B$7,('Control Room'!$B$8+'Control Room'!$D$8)/2))+SQRT(1-'Control Room'!$B$9^2)*(AW264-IF('Control Room'!$B$5="Normal",'Control Room'!$B$7,('Control Room'!$B$8+'Control Room'!$D$8)/2))</x:f>
        <x:v>1081.8658024479323</x:v>
      </x:c>
      <x:c r="AY264" s="17" t="n">
        <x:f>IF(AND($A264&gt;='Control Room'!$A$13,$A264&lt;'Control Room'!$A$13+'Control Room'!$B$13,'Process'!BT2=1),1+('Control Room'!$C$13-1)*EXP(-0.5*(($A264-'Control Room'!$A$13-('Control Room'!$B$13-1)/2)/MAX(0.5,'Control Room'!$B$13/4))^2),1)*IF(AND($A264&gt;='Control Room'!$A$14,$A264&lt;'Control Room'!$A$14+'Control Room'!$B$14,'Process'!BT3=1),1+('Control Room'!$C$14-1)*EXP(-0.5*(($A264-'Control Room'!$A$14-('Control Room'!$B$14-1)/2)/MAX(0.5,'Control Room'!$B$14/4))^2),1)*IF(AND($A264&gt;='Control Room'!$A$15,$A264&lt;'Control Room'!$A$15+'Control Room'!$B$15,'Process'!BT4=1),1+('Control Room'!$C$15-1)*EXP(-0.5*(($A264-'Control Room'!$A$15-('Control Room'!$B$15-1)/2)/MAX(0.5,'Control Room'!$B$15/4))^2),1)*IF(AND($A264&gt;='Control Room'!$A$16,$A264&lt;'Control Room'!$A$16+'Control Room'!$B$16,'Process'!BT5=1),1+('Control Room'!$C$16-1)*EXP(-0.5*(($A264-'Control Room'!$A$16-('Control Room'!$B$16-1)/2)/MAX(0.5,'Control Room'!$B$16/4))^2),1)</x:f>
        <x:v>1</x:v>
      </x:c>
      <x:c r="AZ264" s="9" t="n">
        <x:f>MOD(BA263*16807,2147483647)</x:f>
        <x:v>1025406079</x:v>
      </x:c>
      <x:c r="BA264" s="9" t="n">
        <x:f>MOD(AZ264*16807,2147483647)</x:f>
        <x:v>443702578</x:v>
      </x:c>
      <x:c r="BB264" s="17" t="n">
        <x:f>IF('Control Room'!$B$5="Normal",'Control Room'!$B$7+'Control Room'!$D$7*SQRT(-2*LN(MAX(0.000000000001,AZ264/2147483647)))*COS(2*PI()*BA264/2147483647),'Control Room'!$B$8+('Control Room'!$D$8-'Control Room'!$B$8)*AZ264/2147483647)</x:f>
        <x:v>1029.4623369024569</x:v>
      </x:c>
      <x:c r="BC264" s="17" t="n">
        <x:f>IF('Control Room'!$B$5="Normal",'Control Room'!$B$7,('Control Room'!$B$8+'Control Room'!$D$8)/2)+'Control Room'!$B$9*(BC263-IF('Control Room'!$B$5="Normal",'Control Room'!$B$7,('Control Room'!$B$8+'Control Room'!$D$8)/2))+SQRT(1-'Control Room'!$B$9^2)*(BB264-IF('Control Room'!$B$5="Normal",'Control Room'!$B$7,('Control Room'!$B$8+'Control Room'!$D$8)/2))</x:f>
        <x:v>1029.273000277698</x:v>
      </x:c>
      <x:c r="BD264" s="17" t="n">
        <x:f>IF(AND($A264&gt;='Control Room'!$A$13,$A264&lt;'Control Room'!$A$13+'Control Room'!$B$13,'Process'!BU2=1),1+('Control Room'!$C$13-1)*EXP(-0.5*(($A264-'Control Room'!$A$13-('Control Room'!$B$13-1)/2)/MAX(0.5,'Control Room'!$B$13/4))^2),1)*IF(AND($A264&gt;='Control Room'!$A$14,$A264&lt;'Control Room'!$A$14+'Control Room'!$B$14,'Process'!BU3=1),1+('Control Room'!$C$14-1)*EXP(-0.5*(($A264-'Control Room'!$A$14-('Control Room'!$B$14-1)/2)/MAX(0.5,'Control Room'!$B$14/4))^2),1)*IF(AND($A264&gt;='Control Room'!$A$15,$A264&lt;'Control Room'!$A$15+'Control Room'!$B$15,'Process'!BU4=1),1+('Control Room'!$C$15-1)*EXP(-0.5*(($A264-'Control Room'!$A$15-('Control Room'!$B$15-1)/2)/MAX(0.5,'Control Room'!$B$15/4))^2),1)*IF(AND($A264&gt;='Control Room'!$A$16,$A264&lt;'Control Room'!$A$16+'Control Room'!$B$16,'Process'!BU5=1),1+('Control Room'!$C$16-1)*EXP(-0.5*(($A264-'Control Room'!$A$16-('Control Room'!$B$16-1)/2)/MAX(0.5,'Control Room'!$B$16/4))^2),1)</x:f>
        <x:v>1</x:v>
      </x:c>
      <x:c r="BE264" s="9" t="n">
        <x:f>MOD(BF263*16807,2147483647)</x:f>
        <x:v>1002037122</x:v>
      </x:c>
      <x:c r="BF264" s="9" t="n">
        <x:f>MOD(BE264*16807,2147483647)</x:f>
        <x:v>671149680</x:v>
      </x:c>
      <x:c r="BG264" s="17" t="n">
        <x:f>IF('Control Room'!$B$5="Normal",'Control Room'!$B$7+'Control Room'!$D$7*SQRT(-2*LN(MAX(0.000000000001,BE264/2147483647)))*COS(2*PI()*BF264/2147483647),'Control Room'!$B$8+('Control Room'!$D$8-'Control Room'!$B$8)*BE264/2147483647)</x:f>
        <x:v>957.4561856237074</x:v>
      </x:c>
      <x:c r="BH264" s="17" t="n">
        <x:f>IF('Control Room'!$B$5="Normal",'Control Room'!$B$7,('Control Room'!$B$8+'Control Room'!$D$8)/2)+'Control Room'!$B$9*(BH263-IF('Control Room'!$B$5="Normal",'Control Room'!$B$7,('Control Room'!$B$8+'Control Room'!$D$8)/2))+SQRT(1-'Control Room'!$B$9^2)*(BG264-IF('Control Room'!$B$5="Normal",'Control Room'!$B$7,('Control Room'!$B$8+'Control Room'!$D$8)/2))</x:f>
        <x:v>1020.4825598847203</x:v>
      </x:c>
      <x:c r="BI264" s="17" t="n">
        <x:f>IF(AND($A264&gt;='Control Room'!$A$13,$A264&lt;'Control Room'!$A$13+'Control Room'!$B$13,'Process'!BV2=1),1+('Control Room'!$C$13-1)*EXP(-0.5*(($A264-'Control Room'!$A$13-('Control Room'!$B$13-1)/2)/MAX(0.5,'Control Room'!$B$13/4))^2),1)*IF(AND($A264&gt;='Control Room'!$A$14,$A264&lt;'Control Room'!$A$14+'Control Room'!$B$14,'Process'!BV3=1),1+('Control Room'!$C$14-1)*EXP(-0.5*(($A264-'Control Room'!$A$14-('Control Room'!$B$14-1)/2)/MAX(0.5,'Control Room'!$B$14/4))^2),1)*IF(AND($A264&gt;='Control Room'!$A$15,$A264&lt;'Control Room'!$A$15+'Control Room'!$B$15,'Process'!BV4=1),1+('Control Room'!$C$15-1)*EXP(-0.5*(($A264-'Control Room'!$A$15-('Control Room'!$B$15-1)/2)/MAX(0.5,'Control Room'!$B$15/4))^2),1)*IF(AND($A264&gt;='Control Room'!$A$16,$A264&lt;'Control Room'!$A$16+'Control Room'!$B$16,'Process'!BV5=1),1+('Control Room'!$C$16-1)*EXP(-0.5*(($A264-'Control Room'!$A$16-('Control Room'!$B$16-1)/2)/MAX(0.5,'Control Room'!$B$16/4))^2),1)</x:f>
        <x:v>1</x:v>
      </x:c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Z264" t="str">
        <x:f>IF('Data'!A264="","",TEXT('Data'!A264,"mm-dd"))</x:f>
      </x:c>
    </x:row>
    <x:row r="265" ht="21" customHeight="1">
      <x:c r="A265" s="15" t="n">
        <x:f>'Control Room'!$B$1+263</x:f>
        <x:v>73254</x:v>
      </x:c>
      <x:c r="B265" s="9" t="n">
        <x:f>MOD(C264*16807,2147483647)</x:f>
        <x:v>1567973169</x:v>
      </x:c>
      <x:c r="C265" s="9" t="n">
        <x:f>MOD(B265*16807,2147483647)</x:f>
        <x:v>1153219046</x:v>
      </x:c>
      <x:c r="D265" s="17" t="n">
        <x:f>IF('Control Room'!$B$5="Normal",'Control Room'!$B$7+'Control Room'!$D$7*SQRT(-2*LN(MAX(0.000000000001,B265/2147483647)))*COS(2*PI()*C265/2147483647),'Control Room'!$B$8+('Control Room'!$D$8-'Control Room'!$B$8)*B265/2147483647)</x:f>
        <x:v>930.5411697746731</x:v>
      </x:c>
      <x:c r="E265" s="17" t="n">
        <x:f>IF('Control Room'!$B$5="Normal",'Control Room'!$B$7,('Control Room'!$B$8+'Control Room'!$D$8)/2)+'Control Room'!$B$9*(E264-IF('Control Room'!$B$5="Normal",'Control Room'!$B$7,('Control Room'!$B$8+'Control Room'!$D$8)/2))+SQRT(1-'Control Room'!$B$9^2)*(D265-IF('Control Room'!$B$5="Normal",'Control Room'!$B$7,('Control Room'!$B$8+'Control Room'!$D$8)/2))</x:f>
        <x:v>887.5942153741956</x:v>
      </x:c>
      <x:c r="F265" s="17" t="n">
        <x:f>IF(AND($A265&gt;='Control Room'!$A$13,$A265&lt;'Control Room'!$A$13+'Control Room'!$B$13,'Process'!BK2=1),1+('Control Room'!$C$13-1)*EXP(-0.5*(($A265-'Control Room'!$A$13-('Control Room'!$B$13-1)/2)/MAX(0.5,'Control Room'!$B$13/4))^2),1)*IF(AND($A265&gt;='Control Room'!$A$14,$A265&lt;'Control Room'!$A$14+'Control Room'!$B$14,'Process'!BK3=1),1+('Control Room'!$C$14-1)*EXP(-0.5*(($A265-'Control Room'!$A$14-('Control Room'!$B$14-1)/2)/MAX(0.5,'Control Room'!$B$14/4))^2),1)*IF(AND($A265&gt;='Control Room'!$A$15,$A265&lt;'Control Room'!$A$15+'Control Room'!$B$15,'Process'!BK4=1),1+('Control Room'!$C$15-1)*EXP(-0.5*(($A265-'Control Room'!$A$15-('Control Room'!$B$15-1)/2)/MAX(0.5,'Control Room'!$B$15/4))^2),1)*IF(AND($A265&gt;='Control Room'!$A$16,$A265&lt;'Control Room'!$A$16+'Control Room'!$B$16,'Process'!BK5=1),1+('Control Room'!$C$16-1)*EXP(-0.5*(($A265-'Control Room'!$A$16-('Control Room'!$B$16-1)/2)/MAX(0.5,'Control Room'!$B$16/4))^2),1)</x:f>
        <x:v>1</x:v>
      </x:c>
      <x:c r="G265" s="9" t="n">
        <x:f>MOD(H264*16807,2147483647)</x:f>
        <x:v>1750524823</x:v>
      </x:c>
      <x:c r="H265" s="9" t="n">
        <x:f>MOD(G265*16807,2147483647)</x:f>
        <x:v>544736261</x:v>
      </x:c>
      <x:c r="I265" s="17" t="n">
        <x:f>IF('Control Room'!$B$5="Normal",'Control Room'!$B$7+'Control Room'!$D$7*SQRT(-2*LN(MAX(0.000000000001,G265/2147483647)))*COS(2*PI()*H265/2147483647),'Control Room'!$B$8+('Control Room'!$D$8-'Control Room'!$B$8)*G265/2147483647)</x:f>
        <x:v>998.6759402798015</x:v>
      </x:c>
      <x:c r="J265" s="17" t="n">
        <x:f>IF('Control Room'!$B$5="Normal",'Control Room'!$B$7,('Control Room'!$B$8+'Control Room'!$D$8)/2)+'Control Room'!$B$9*(J264-IF('Control Room'!$B$5="Normal",'Control Room'!$B$7,('Control Room'!$B$8+'Control Room'!$D$8)/2))+SQRT(1-'Control Room'!$B$9^2)*(I265-IF('Control Room'!$B$5="Normal",'Control Room'!$B$7,('Control Room'!$B$8+'Control Room'!$D$8)/2))</x:f>
        <x:v>1079.6527189480782</x:v>
      </x:c>
      <x:c r="K265" s="17" t="n">
        <x:f>IF(AND($A265&gt;='Control Room'!$A$13,$A265&lt;'Control Room'!$A$13+'Control Room'!$B$13,'Process'!BL2=1),1+('Control Room'!$C$13-1)*EXP(-0.5*(($A265-'Control Room'!$A$13-('Control Room'!$B$13-1)/2)/MAX(0.5,'Control Room'!$B$13/4))^2),1)*IF(AND($A265&gt;='Control Room'!$A$14,$A265&lt;'Control Room'!$A$14+'Control Room'!$B$14,'Process'!BL3=1),1+('Control Room'!$C$14-1)*EXP(-0.5*(($A265-'Control Room'!$A$14-('Control Room'!$B$14-1)/2)/MAX(0.5,'Control Room'!$B$14/4))^2),1)*IF(AND($A265&gt;='Control Room'!$A$15,$A265&lt;'Control Room'!$A$15+'Control Room'!$B$15,'Process'!BL4=1),1+('Control Room'!$C$15-1)*EXP(-0.5*(($A265-'Control Room'!$A$15-('Control Room'!$B$15-1)/2)/MAX(0.5,'Control Room'!$B$15/4))^2),1)*IF(AND($A265&gt;='Control Room'!$A$16,$A265&lt;'Control Room'!$A$16+'Control Room'!$B$16,'Process'!BL5=1),1+('Control Room'!$C$16-1)*EXP(-0.5*(($A265-'Control Room'!$A$16-('Control Room'!$B$16-1)/2)/MAX(0.5,'Control Room'!$B$16/4))^2),1)</x:f>
        <x:v>1</x:v>
      </x:c>
      <x:c r="L265" s="9" t="n">
        <x:f>MOD(M264*16807,2147483647)</x:f>
        <x:v>1933076477</x:v>
      </x:c>
      <x:c r="M265" s="9" t="n">
        <x:f>MOD(L265*16807,2147483647)</x:f>
        <x:v>2083737123</x:v>
      </x:c>
      <x:c r="N265" s="17" t="n">
        <x:f>IF('Control Room'!$B$5="Normal",'Control Room'!$B$7+'Control Room'!$D$7*SQRT(-2*LN(MAX(0.000000000001,L265/2147483647)))*COS(2*PI()*M265/2147483647),'Control Room'!$B$8+('Control Room'!$D$8-'Control Room'!$B$8)*L265/2147483647)</x:f>
        <x:v>1040.5633956071601</x:v>
      </x:c>
      <x:c r="O265" s="17" t="n">
        <x:f>IF('Control Room'!$B$5="Normal",'Control Room'!$B$7,('Control Room'!$B$8+'Control Room'!$D$8)/2)+'Control Room'!$B$9*(O264-IF('Control Room'!$B$5="Normal",'Control Room'!$B$7,('Control Room'!$B$8+'Control Room'!$D$8)/2))+SQRT(1-'Control Room'!$B$9^2)*(N265-IF('Control Room'!$B$5="Normal",'Control Room'!$B$7,('Control Room'!$B$8+'Control Room'!$D$8)/2))</x:f>
        <x:v>999.5867465696314</x:v>
      </x:c>
      <x:c r="P265" s="17" t="n">
        <x:f>IF(AND($A265&gt;='Control Room'!$A$13,$A265&lt;'Control Room'!$A$13+'Control Room'!$B$13,'Process'!BM2=1),1+('Control Room'!$C$13-1)*EXP(-0.5*(($A265-'Control Room'!$A$13-('Control Room'!$B$13-1)/2)/MAX(0.5,'Control Room'!$B$13/4))^2),1)*IF(AND($A265&gt;='Control Room'!$A$14,$A265&lt;'Control Room'!$A$14+'Control Room'!$B$14,'Process'!BM3=1),1+('Control Room'!$C$14-1)*EXP(-0.5*(($A265-'Control Room'!$A$14-('Control Room'!$B$14-1)/2)/MAX(0.5,'Control Room'!$B$14/4))^2),1)*IF(AND($A265&gt;='Control Room'!$A$15,$A265&lt;'Control Room'!$A$15+'Control Room'!$B$15,'Process'!BM4=1),1+('Control Room'!$C$15-1)*EXP(-0.5*(($A265-'Control Room'!$A$15-('Control Room'!$B$15-1)/2)/MAX(0.5,'Control Room'!$B$15/4))^2),1)*IF(AND($A265&gt;='Control Room'!$A$16,$A265&lt;'Control Room'!$A$16+'Control Room'!$B$16,'Process'!BM5=1),1+('Control Room'!$C$16-1)*EXP(-0.5*(($A265-'Control Room'!$A$16-('Control Room'!$B$16-1)/2)/MAX(0.5,'Control Room'!$B$16/4))^2),1)</x:f>
        <x:v>1</x:v>
      </x:c>
      <x:c r="Q265" s="9" t="n">
        <x:f>MOD(R264*16807,2147483647)</x:f>
        <x:v>2115628131</x:v>
      </x:c>
      <x:c r="R265" s="9" t="n">
        <x:f>MOD(Q265*16807,2147483647)</x:f>
        <x:v>1475254338</x:v>
      </x:c>
      <x:c r="S265" s="17" t="n">
        <x:f>IF('Control Room'!$B$5="Normal",'Control Room'!$B$7+'Control Room'!$D$7*SQRT(-2*LN(MAX(0.000000000001,Q265/2147483647)))*COS(2*PI()*R265/2147483647),'Control Room'!$B$8+('Control Room'!$D$8-'Control Room'!$B$8)*Q265/2147483647)</x:f>
        <x:v>993.9975583073742</x:v>
      </x:c>
      <x:c r="T265" s="17" t="n">
        <x:f>IF('Control Room'!$B$5="Normal",'Control Room'!$B$7,('Control Room'!$B$8+'Control Room'!$D$8)/2)+'Control Room'!$B$9*(T264-IF('Control Room'!$B$5="Normal",'Control Room'!$B$7,('Control Room'!$B$8+'Control Room'!$D$8)/2))+SQRT(1-'Control Room'!$B$9^2)*(S265-IF('Control Room'!$B$5="Normal",'Control Room'!$B$7,('Control Room'!$B$8+'Control Room'!$D$8)/2))</x:f>
        <x:v>888.3252788043461</x:v>
      </x:c>
      <x:c r="U265" s="17" t="n">
        <x:f>IF(AND($A265&gt;='Control Room'!$A$13,$A265&lt;'Control Room'!$A$13+'Control Room'!$B$13,'Process'!BN2=1),1+('Control Room'!$C$13-1)*EXP(-0.5*(($A265-'Control Room'!$A$13-('Control Room'!$B$13-1)/2)/MAX(0.5,'Control Room'!$B$13/4))^2),1)*IF(AND($A265&gt;='Control Room'!$A$14,$A265&lt;'Control Room'!$A$14+'Control Room'!$B$14,'Process'!BN3=1),1+('Control Room'!$C$14-1)*EXP(-0.5*(($A265-'Control Room'!$A$14-('Control Room'!$B$14-1)/2)/MAX(0.5,'Control Room'!$B$14/4))^2),1)*IF(AND($A265&gt;='Control Room'!$A$15,$A265&lt;'Control Room'!$A$15+'Control Room'!$B$15,'Process'!BN4=1),1+('Control Room'!$C$15-1)*EXP(-0.5*(($A265-'Control Room'!$A$15-('Control Room'!$B$15-1)/2)/MAX(0.5,'Control Room'!$B$15/4))^2),1)*IF(AND($A265&gt;='Control Room'!$A$16,$A265&lt;'Control Room'!$A$16+'Control Room'!$B$16,'Process'!BN5=1),1+('Control Room'!$C$16-1)*EXP(-0.5*(($A265-'Control Room'!$A$16-('Control Room'!$B$16-1)/2)/MAX(0.5,'Control Room'!$B$16/4))^2),1)</x:f>
        <x:v>1</x:v>
      </x:c>
      <x:c r="V265" s="9" t="n">
        <x:f>MOD(W264*16807,2147483647)</x:f>
        <x:v>150696138</x:v>
      </x:c>
      <x:c r="W265" s="9" t="n">
        <x:f>MOD(V265*16807,2147483647)</x:f>
        <x:v>866771553</x:v>
      </x:c>
      <x:c r="X265" s="17" t="n">
        <x:f>IF('Control Room'!$B$5="Normal",'Control Room'!$B$7+'Control Room'!$D$7*SQRT(-2*LN(MAX(0.000000000001,V265/2147483647)))*COS(2*PI()*W265/2147483647),'Control Room'!$B$8+('Control Room'!$D$8-'Control Room'!$B$8)*V265/2147483647)</x:f>
        <x:v>829.4293730609253</x:v>
      </x:c>
      <x:c r="Y265" s="17" t="n">
        <x:f>IF('Control Room'!$B$5="Normal",'Control Room'!$B$7,('Control Room'!$B$8+'Control Room'!$D$8)/2)+'Control Room'!$B$9*(Y264-IF('Control Room'!$B$5="Normal",'Control Room'!$B$7,('Control Room'!$B$8+'Control Room'!$D$8)/2))+SQRT(1-'Control Room'!$B$9^2)*(X265-IF('Control Room'!$B$5="Normal",'Control Room'!$B$7,('Control Room'!$B$8+'Control Room'!$D$8)/2))</x:f>
        <x:v>874.2402830424891</x:v>
      </x:c>
      <x:c r="Z265" s="17" t="n">
        <x:f>IF(AND($A265&gt;='Control Room'!$A$13,$A265&lt;'Control Room'!$A$13+'Control Room'!$B$13,'Process'!BO2=1),1+('Control Room'!$C$13-1)*EXP(-0.5*(($A265-'Control Room'!$A$13-('Control Room'!$B$13-1)/2)/MAX(0.5,'Control Room'!$B$13/4))^2),1)*IF(AND($A265&gt;='Control Room'!$A$14,$A265&lt;'Control Room'!$A$14+'Control Room'!$B$14,'Process'!BO3=1),1+('Control Room'!$C$14-1)*EXP(-0.5*(($A265-'Control Room'!$A$14-('Control Room'!$B$14-1)/2)/MAX(0.5,'Control Room'!$B$14/4))^2),1)*IF(AND($A265&gt;='Control Room'!$A$15,$A265&lt;'Control Room'!$A$15+'Control Room'!$B$15,'Process'!BO4=1),1+('Control Room'!$C$15-1)*EXP(-0.5*(($A265-'Control Room'!$A$15-('Control Room'!$B$15-1)/2)/MAX(0.5,'Control Room'!$B$15/4))^2),1)*IF(AND($A265&gt;='Control Room'!$A$16,$A265&lt;'Control Room'!$A$16+'Control Room'!$B$16,'Process'!BO5=1),1+('Control Room'!$C$16-1)*EXP(-0.5*(($A265-'Control Room'!$A$16-('Control Room'!$B$16-1)/2)/MAX(0.5,'Control Room'!$B$16/4))^2),1)</x:f>
        <x:v>1</x:v>
      </x:c>
      <x:c r="AA265" s="9" t="n">
        <x:f>MOD(AB264*16807,2147483647)</x:f>
        <x:v>333247792</x:v>
      </x:c>
      <x:c r="AB265" s="9" t="n">
        <x:f>MOD(AA265*16807,2147483647)</x:f>
        <x:v>258288768</x:v>
      </x:c>
      <x:c r="AC265" s="17" t="n">
        <x:f>IF('Control Room'!$B$5="Normal",'Control Room'!$B$7+'Control Room'!$D$7*SQRT(-2*LN(MAX(0.000000000001,AA265/2147483647)))*COS(2*PI()*AB265/2147483647),'Control Room'!$B$8+('Control Room'!$D$8-'Control Room'!$B$8)*AA265/2147483647)</x:f>
        <x:v>1126.4404344410523</x:v>
      </x:c>
      <x:c r="AD265" s="17" t="n">
        <x:f>IF('Control Room'!$B$5="Normal",'Control Room'!$B$7,('Control Room'!$B$8+'Control Room'!$D$8)/2)+'Control Room'!$B$9*(AD264-IF('Control Room'!$B$5="Normal",'Control Room'!$B$7,('Control Room'!$B$8+'Control Room'!$D$8)/2))+SQRT(1-'Control Room'!$B$9^2)*(AC265-IF('Control Room'!$B$5="Normal",'Control Room'!$B$7,('Control Room'!$B$8+'Control Room'!$D$8)/2))</x:f>
        <x:v>1072.0321992218298</x:v>
      </x:c>
      <x:c r="AE265" s="17" t="n">
        <x:f>IF(AND($A265&gt;='Control Room'!$A$13,$A265&lt;'Control Room'!$A$13+'Control Room'!$B$13,'Process'!BP2=1),1+('Control Room'!$C$13-1)*EXP(-0.5*(($A265-'Control Room'!$A$13-('Control Room'!$B$13-1)/2)/MAX(0.5,'Control Room'!$B$13/4))^2),1)*IF(AND($A265&gt;='Control Room'!$A$14,$A265&lt;'Control Room'!$A$14+'Control Room'!$B$14,'Process'!BP3=1),1+('Control Room'!$C$14-1)*EXP(-0.5*(($A265-'Control Room'!$A$14-('Control Room'!$B$14-1)/2)/MAX(0.5,'Control Room'!$B$14/4))^2),1)*IF(AND($A265&gt;='Control Room'!$A$15,$A265&lt;'Control Room'!$A$15+'Control Room'!$B$15,'Process'!BP4=1),1+('Control Room'!$C$15-1)*EXP(-0.5*(($A265-'Control Room'!$A$15-('Control Room'!$B$15-1)/2)/MAX(0.5,'Control Room'!$B$15/4))^2),1)*IF(AND($A265&gt;='Control Room'!$A$16,$A265&lt;'Control Room'!$A$16+'Control Room'!$B$16,'Process'!BP5=1),1+('Control Room'!$C$16-1)*EXP(-0.5*(($A265-'Control Room'!$A$16-('Control Room'!$B$16-1)/2)/MAX(0.5,'Control Room'!$B$16/4))^2),1)</x:f>
        <x:v>1</x:v>
      </x:c>
      <x:c r="AF265" s="9" t="n">
        <x:f>MOD(AG264*16807,2147483647)</x:f>
        <x:v>515799446</x:v>
      </x:c>
      <x:c r="AG265" s="9" t="n">
        <x:f>MOD(AF265*16807,2147483647)</x:f>
        <x:v>1797289630</x:v>
      </x:c>
      <x:c r="AH265" s="17" t="n">
        <x:f>IF('Control Room'!$B$5="Normal",'Control Room'!$B$7+'Control Room'!$D$7*SQRT(-2*LN(MAX(0.000000000001,AF265/2147483647)))*COS(2*PI()*AG265/2147483647),'Control Room'!$B$8+('Control Room'!$D$8-'Control Room'!$B$8)*AF265/2147483647)</x:f>
        <x:v>1078.9581123390794</x:v>
      </x:c>
      <x:c r="AI265" s="17" t="n">
        <x:f>IF('Control Room'!$B$5="Normal",'Control Room'!$B$7,('Control Room'!$B$8+'Control Room'!$D$8)/2)+'Control Room'!$B$9*(AI264-IF('Control Room'!$B$5="Normal",'Control Room'!$B$7,('Control Room'!$B$8+'Control Room'!$D$8)/2))+SQRT(1-'Control Room'!$B$9^2)*(AH265-IF('Control Room'!$B$5="Normal",'Control Room'!$B$7,('Control Room'!$B$8+'Control Room'!$D$8)/2))</x:f>
        <x:v>1001.7677415614538</x:v>
      </x:c>
      <x:c r="AJ265" s="17" t="n">
        <x:f>IF(AND($A265&gt;='Control Room'!$A$13,$A265&lt;'Control Room'!$A$13+'Control Room'!$B$13,'Process'!BQ2=1),1+('Control Room'!$C$13-1)*EXP(-0.5*(($A265-'Control Room'!$A$13-('Control Room'!$B$13-1)/2)/MAX(0.5,'Control Room'!$B$13/4))^2),1)*IF(AND($A265&gt;='Control Room'!$A$14,$A265&lt;'Control Room'!$A$14+'Control Room'!$B$14,'Process'!BQ3=1),1+('Control Room'!$C$14-1)*EXP(-0.5*(($A265-'Control Room'!$A$14-('Control Room'!$B$14-1)/2)/MAX(0.5,'Control Room'!$B$14/4))^2),1)*IF(AND($A265&gt;='Control Room'!$A$15,$A265&lt;'Control Room'!$A$15+'Control Room'!$B$15,'Process'!BQ4=1),1+('Control Room'!$C$15-1)*EXP(-0.5*(($A265-'Control Room'!$A$15-('Control Room'!$B$15-1)/2)/MAX(0.5,'Control Room'!$B$15/4))^2),1)*IF(AND($A265&gt;='Control Room'!$A$16,$A265&lt;'Control Room'!$A$16+'Control Room'!$B$16,'Process'!BQ5=1),1+('Control Room'!$C$16-1)*EXP(-0.5*(($A265-'Control Room'!$A$16-('Control Room'!$B$16-1)/2)/MAX(0.5,'Control Room'!$B$16/4))^2),1)</x:f>
        <x:v>1</x:v>
      </x:c>
      <x:c r="AK265" s="9" t="n">
        <x:f>MOD(AL264*16807,2147483647)</x:f>
        <x:v>698351100</x:v>
      </x:c>
      <x:c r="AL265" s="9" t="n">
        <x:f>MOD(AK265*16807,2147483647)</x:f>
        <x:v>1188806845</x:v>
      </x:c>
      <x:c r="AM265" s="17" t="n">
        <x:f>IF('Control Room'!$B$5="Normal",'Control Room'!$B$7+'Control Room'!$D$7*SQRT(-2*LN(MAX(0.000000000001,AK265/2147483647)))*COS(2*PI()*AL265/2147483647),'Control Room'!$B$8+('Control Room'!$D$8-'Control Room'!$B$8)*AK265/2147483647)</x:f>
        <x:v>872.6731305752156</x:v>
      </x:c>
      <x:c r="AN265" s="17" t="n">
        <x:f>IF('Control Room'!$B$5="Normal",'Control Room'!$B$7,('Control Room'!$B$8+'Control Room'!$D$8)/2)+'Control Room'!$B$9*(AN264-IF('Control Room'!$B$5="Normal",'Control Room'!$B$7,('Control Room'!$B$8+'Control Room'!$D$8)/2))+SQRT(1-'Control Room'!$B$9^2)*(AM265-IF('Control Room'!$B$5="Normal",'Control Room'!$B$7,('Control Room'!$B$8+'Control Room'!$D$8)/2))</x:f>
        <x:v>1025.5322373259592</x:v>
      </x:c>
      <x:c r="AO265" s="17" t="n">
        <x:f>IF(AND($A265&gt;='Control Room'!$A$13,$A265&lt;'Control Room'!$A$13+'Control Room'!$B$13,'Process'!BR2=1),1+('Control Room'!$C$13-1)*EXP(-0.5*(($A265-'Control Room'!$A$13-('Control Room'!$B$13-1)/2)/MAX(0.5,'Control Room'!$B$13/4))^2),1)*IF(AND($A265&gt;='Control Room'!$A$14,$A265&lt;'Control Room'!$A$14+'Control Room'!$B$14,'Process'!BR3=1),1+('Control Room'!$C$14-1)*EXP(-0.5*(($A265-'Control Room'!$A$14-('Control Room'!$B$14-1)/2)/MAX(0.5,'Control Room'!$B$14/4))^2),1)*IF(AND($A265&gt;='Control Room'!$A$15,$A265&lt;'Control Room'!$A$15+'Control Room'!$B$15,'Process'!BR4=1),1+('Control Room'!$C$15-1)*EXP(-0.5*(($A265-'Control Room'!$A$15-('Control Room'!$B$15-1)/2)/MAX(0.5,'Control Room'!$B$15/4))^2),1)*IF(AND($A265&gt;='Control Room'!$A$16,$A265&lt;'Control Room'!$A$16+'Control Room'!$B$16,'Process'!BR5=1),1+('Control Room'!$C$16-1)*EXP(-0.5*(($A265-'Control Room'!$A$16-('Control Room'!$B$16-1)/2)/MAX(0.5,'Control Room'!$B$16/4))^2),1)</x:f>
        <x:v>1</x:v>
      </x:c>
      <x:c r="AP265" s="9" t="n">
        <x:f>MOD(AQ264*16807,2147483647)</x:f>
        <x:v>880902754</x:v>
      </x:c>
      <x:c r="AQ265" s="9" t="n">
        <x:f>MOD(AP265*16807,2147483647)</x:f>
        <x:v>580324060</x:v>
      </x:c>
      <x:c r="AR265" s="17" t="n">
        <x:f>IF('Control Room'!$B$5="Normal",'Control Room'!$B$7+'Control Room'!$D$7*SQRT(-2*LN(MAX(0.000000000001,AP265/2147483647)))*COS(2*PI()*AQ265/2147483647),'Control Room'!$B$8+('Control Room'!$D$8-'Control Room'!$B$8)*AP265/2147483647)</x:f>
        <x:v>984.7656985190727</x:v>
      </x:c>
      <x:c r="AS265" s="17" t="n">
        <x:f>IF('Control Room'!$B$5="Normal",'Control Room'!$B$7,('Control Room'!$B$8+'Control Room'!$D$8)/2)+'Control Room'!$B$9*(AS264-IF('Control Room'!$B$5="Normal",'Control Room'!$B$7,('Control Room'!$B$8+'Control Room'!$D$8)/2))+SQRT(1-'Control Room'!$B$9^2)*(AR265-IF('Control Room'!$B$5="Normal",'Control Room'!$B$7,('Control Room'!$B$8+'Control Room'!$D$8)/2))</x:f>
        <x:v>1037.2861602802002</x:v>
      </x:c>
      <x:c r="AT265" s="17" t="n">
        <x:f>IF(AND($A265&gt;='Control Room'!$A$13,$A265&lt;'Control Room'!$A$13+'Control Room'!$B$13,'Process'!BS2=1),1+('Control Room'!$C$13-1)*EXP(-0.5*(($A265-'Control Room'!$A$13-('Control Room'!$B$13-1)/2)/MAX(0.5,'Control Room'!$B$13/4))^2),1)*IF(AND($A265&gt;='Control Room'!$A$14,$A265&lt;'Control Room'!$A$14+'Control Room'!$B$14,'Process'!BS3=1),1+('Control Room'!$C$14-1)*EXP(-0.5*(($A265-'Control Room'!$A$14-('Control Room'!$B$14-1)/2)/MAX(0.5,'Control Room'!$B$14/4))^2),1)*IF(AND($A265&gt;='Control Room'!$A$15,$A265&lt;'Control Room'!$A$15+'Control Room'!$B$15,'Process'!BS4=1),1+('Control Room'!$C$15-1)*EXP(-0.5*(($A265-'Control Room'!$A$15-('Control Room'!$B$15-1)/2)/MAX(0.5,'Control Room'!$B$15/4))^2),1)*IF(AND($A265&gt;='Control Room'!$A$16,$A265&lt;'Control Room'!$A$16+'Control Room'!$B$16,'Process'!BS5=1),1+('Control Room'!$C$16-1)*EXP(-0.5*(($A265-'Control Room'!$A$16-('Control Room'!$B$16-1)/2)/MAX(0.5,'Control Room'!$B$16/4))^2),1)</x:f>
        <x:v>1</x:v>
      </x:c>
      <x:c r="AU265" s="9" t="n">
        <x:f>MOD(AV264*16807,2147483647)</x:f>
        <x:v>1063454408</x:v>
      </x:c>
      <x:c r="AV265" s="9" t="n">
        <x:f>MOD(AU265*16807,2147483647)</x:f>
        <x:v>2119324922</x:v>
      </x:c>
      <x:c r="AW265" s="17" t="n">
        <x:f>IF('Control Room'!$B$5="Normal",'Control Room'!$B$7+'Control Room'!$D$7*SQRT(-2*LN(MAX(0.000000000001,AU265/2147483647)))*COS(2*PI()*AV265/2147483647),'Control Room'!$B$8+('Control Room'!$D$8-'Control Room'!$B$8)*AU265/2147483647)</x:f>
        <x:v>1106.3383269157575</x:v>
      </x:c>
      <x:c r="AX265" s="17" t="n">
        <x:f>IF('Control Room'!$B$5="Normal",'Control Room'!$B$7,('Control Room'!$B$8+'Control Room'!$D$8)/2)+'Control Room'!$B$9*(AX264-IF('Control Room'!$B$5="Normal",'Control Room'!$B$7,('Control Room'!$B$8+'Control Room'!$D$8)/2))+SQRT(1-'Control Room'!$B$9^2)*(AW265-IF('Control Room'!$B$5="Normal",'Control Room'!$B$7,('Control Room'!$B$8+'Control Room'!$D$8)/2))</x:f>
        <x:v>1130.3996724342314</x:v>
      </x:c>
      <x:c r="AY265" s="17" t="n">
        <x:f>IF(AND($A265&gt;='Control Room'!$A$13,$A265&lt;'Control Room'!$A$13+'Control Room'!$B$13,'Process'!BT2=1),1+('Control Room'!$C$13-1)*EXP(-0.5*(($A265-'Control Room'!$A$13-('Control Room'!$B$13-1)/2)/MAX(0.5,'Control Room'!$B$13/4))^2),1)*IF(AND($A265&gt;='Control Room'!$A$14,$A265&lt;'Control Room'!$A$14+'Control Room'!$B$14,'Process'!BT3=1),1+('Control Room'!$C$14-1)*EXP(-0.5*(($A265-'Control Room'!$A$14-('Control Room'!$B$14-1)/2)/MAX(0.5,'Control Room'!$B$14/4))^2),1)*IF(AND($A265&gt;='Control Room'!$A$15,$A265&lt;'Control Room'!$A$15+'Control Room'!$B$15,'Process'!BT4=1),1+('Control Room'!$C$15-1)*EXP(-0.5*(($A265-'Control Room'!$A$15-('Control Room'!$B$15-1)/2)/MAX(0.5,'Control Room'!$B$15/4))^2),1)*IF(AND($A265&gt;='Control Room'!$A$16,$A265&lt;'Control Room'!$A$16+'Control Room'!$B$16,'Process'!BT5=1),1+('Control Room'!$C$16-1)*EXP(-0.5*(($A265-'Control Room'!$A$16-('Control Room'!$B$16-1)/2)/MAX(0.5,'Control Room'!$B$16/4))^2),1)</x:f>
        <x:v>1</x:v>
      </x:c>
      <x:c r="AZ265" s="9" t="n">
        <x:f>MOD(BA264*16807,2147483647)</x:f>
        <x:v>1246006062</x:v>
      </x:c>
      <x:c r="BA265" s="9" t="n">
        <x:f>MOD(AZ265*16807,2147483647)</x:f>
        <x:v>1510842137</x:v>
      </x:c>
      <x:c r="BB265" s="17" t="n">
        <x:f>IF('Control Room'!$B$5="Normal",'Control Room'!$B$7+'Control Room'!$D$7*SQRT(-2*LN(MAX(0.000000000001,AZ265/2147483647)))*COS(2*PI()*BA265/2147483647),'Control Room'!$B$8+('Control Room'!$D$8-'Control Room'!$B$8)*AZ265/2147483647)</x:f>
        <x:v>972.9750400765441</x:v>
      </x:c>
      <x:c r="BC265" s="17" t="n">
        <x:f>IF('Control Room'!$B$5="Normal",'Control Room'!$B$7,('Control Room'!$B$8+'Control Room'!$D$8)/2)+'Control Room'!$B$9*(BC264-IF('Control Room'!$B$5="Normal",'Control Room'!$B$7,('Control Room'!$B$8+'Control Room'!$D$8)/2))+SQRT(1-'Control Room'!$B$9^2)*(BB265-IF('Control Room'!$B$5="Normal",'Control Room'!$B$7,('Control Room'!$B$8+'Control Room'!$D$8)/2))</x:f>
        <x:v>1005.9212739329026</x:v>
      </x:c>
      <x:c r="BD265" s="17" t="n">
        <x:f>IF(AND($A265&gt;='Control Room'!$A$13,$A265&lt;'Control Room'!$A$13+'Control Room'!$B$13,'Process'!BU2=1),1+('Control Room'!$C$13-1)*EXP(-0.5*(($A265-'Control Room'!$A$13-('Control Room'!$B$13-1)/2)/MAX(0.5,'Control Room'!$B$13/4))^2),1)*IF(AND($A265&gt;='Control Room'!$A$14,$A265&lt;'Control Room'!$A$14+'Control Room'!$B$14,'Process'!BU3=1),1+('Control Room'!$C$14-1)*EXP(-0.5*(($A265-'Control Room'!$A$14-('Control Room'!$B$14-1)/2)/MAX(0.5,'Control Room'!$B$14/4))^2),1)*IF(AND($A265&gt;='Control Room'!$A$15,$A265&lt;'Control Room'!$A$15+'Control Room'!$B$15,'Process'!BU4=1),1+('Control Room'!$C$15-1)*EXP(-0.5*(($A265-'Control Room'!$A$15-('Control Room'!$B$15-1)/2)/MAX(0.5,'Control Room'!$B$15/4))^2),1)*IF(AND($A265&gt;='Control Room'!$A$16,$A265&lt;'Control Room'!$A$16+'Control Room'!$B$16,'Process'!BU5=1),1+('Control Room'!$C$16-1)*EXP(-0.5*(($A265-'Control Room'!$A$16-('Control Room'!$B$16-1)/2)/MAX(0.5,'Control Room'!$B$16/4))^2),1)</x:f>
        <x:v>1</x:v>
      </x:c>
      <x:c r="BE265" s="9" t="n">
        <x:f>MOD(BF264*16807,2147483647)</x:f>
        <x:v>1428557716</x:v>
      </x:c>
      <x:c r="BF265" s="9" t="n">
        <x:f>MOD(BE265*16807,2147483647)</x:f>
        <x:v>902359352</x:v>
      </x:c>
      <x:c r="BG265" s="17" t="n">
        <x:f>IF('Control Room'!$B$5="Normal",'Control Room'!$B$7+'Control Room'!$D$7*SQRT(-2*LN(MAX(0.000000000001,BE265/2147483647)))*COS(2*PI()*BF265/2147483647),'Control Room'!$B$8+('Control Room'!$D$8-'Control Room'!$B$8)*BE265/2147483647)</x:f>
        <x:v>928.7413175597205</x:v>
      </x:c>
      <x:c r="BH265" s="17" t="n">
        <x:f>IF('Control Room'!$B$5="Normal",'Control Room'!$B$7,('Control Room'!$B$8+'Control Room'!$D$8)/2)+'Control Room'!$B$9*(BH264-IF('Control Room'!$B$5="Normal",'Control Room'!$B$7,('Control Room'!$B$8+'Control Room'!$D$8)/2))+SQRT(1-'Control Room'!$B$9^2)*(BG265-IF('Control Room'!$B$5="Normal",'Control Room'!$B$7,('Control Room'!$B$8+'Control Room'!$D$8)/2))</x:f>
        <x:v>971.3841730524127</x:v>
      </x:c>
      <x:c r="BI265" s="17" t="n">
        <x:f>IF(AND($A265&gt;='Control Room'!$A$13,$A265&lt;'Control Room'!$A$13+'Control Room'!$B$13,'Process'!BV2=1),1+('Control Room'!$C$13-1)*EXP(-0.5*(($A265-'Control Room'!$A$13-('Control Room'!$B$13-1)/2)/MAX(0.5,'Control Room'!$B$13/4))^2),1)*IF(AND($A265&gt;='Control Room'!$A$14,$A265&lt;'Control Room'!$A$14+'Control Room'!$B$14,'Process'!BV3=1),1+('Control Room'!$C$14-1)*EXP(-0.5*(($A265-'Control Room'!$A$14-('Control Room'!$B$14-1)/2)/MAX(0.5,'Control Room'!$B$14/4))^2),1)*IF(AND($A265&gt;='Control Room'!$A$15,$A265&lt;'Control Room'!$A$15+'Control Room'!$B$15,'Process'!BV4=1),1+('Control Room'!$C$15-1)*EXP(-0.5*(($A265-'Control Room'!$A$15-('Control Room'!$B$15-1)/2)/MAX(0.5,'Control Room'!$B$15/4))^2),1)*IF(AND($A265&gt;='Control Room'!$A$16,$A265&lt;'Control Room'!$A$16+'Control Room'!$B$16,'Process'!BV5=1),1+('Control Room'!$C$16-1)*EXP(-0.5*(($A265-'Control Room'!$A$16-('Control Room'!$B$16-1)/2)/MAX(0.5,'Control Room'!$B$16/4))^2),1)</x:f>
        <x:v>1</x:v>
      </x:c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Z265" t="str">
        <x:f>IF('Data'!A265="","",TEXT('Data'!A265,"mm-dd"))</x:f>
      </x:c>
    </x:row>
    <x:row r="266" ht="21" customHeight="1">
      <x:c r="A266" s="15" t="n">
        <x:f>'Control Room'!$B$1+264</x:f>
        <x:v>73255</x:v>
      </x:c>
      <x:c r="B266" s="9" t="n">
        <x:f>MOD(C265*16807,2147483647)</x:f>
        <x:v>1112591947</x:v>
      </x:c>
      <x:c r="C266" s="9" t="n">
        <x:f>MOD(B266*16807,2147483647)</x:f>
        <x:v>1192738800</x:v>
      </x:c>
      <x:c r="D266" s="17" t="n">
        <x:f>IF('Control Room'!$B$5="Normal",'Control Room'!$B$7+'Control Room'!$D$7*SQRT(-2*LN(MAX(0.000000000001,B266/2147483647)))*COS(2*PI()*C266/2147483647),'Control Room'!$B$8+('Control Room'!$D$8-'Control Room'!$B$8)*B266/2147483647)</x:f>
        <x:v>902.9785487140848</x:v>
      </x:c>
      <x:c r="E266" s="17" t="n">
        <x:f>IF('Control Room'!$B$5="Normal",'Control Room'!$B$7,('Control Room'!$B$8+'Control Room'!$D$8)/2)+'Control Room'!$B$9*(E265-IF('Control Room'!$B$5="Normal",'Control Room'!$B$7,('Control Room'!$B$8+'Control Room'!$D$8)/2))+SQRT(1-'Control Room'!$B$9^2)*(D266-IF('Control Room'!$B$5="Normal",'Control Room'!$B$7,('Control Room'!$B$8+'Control Room'!$D$8)/2))</x:f>
        <x:v>851.6094513696117</x:v>
      </x:c>
      <x:c r="F266" s="17" t="n">
        <x:f>IF(AND($A266&gt;='Control Room'!$A$13,$A266&lt;'Control Room'!$A$13+'Control Room'!$B$13,'Process'!BK2=1),1+('Control Room'!$C$13-1)*EXP(-0.5*(($A266-'Control Room'!$A$13-('Control Room'!$B$13-1)/2)/MAX(0.5,'Control Room'!$B$13/4))^2),1)*IF(AND($A266&gt;='Control Room'!$A$14,$A266&lt;'Control Room'!$A$14+'Control Room'!$B$14,'Process'!BK3=1),1+('Control Room'!$C$14-1)*EXP(-0.5*(($A266-'Control Room'!$A$14-('Control Room'!$B$14-1)/2)/MAX(0.5,'Control Room'!$B$14/4))^2),1)*IF(AND($A266&gt;='Control Room'!$A$15,$A266&lt;'Control Room'!$A$15+'Control Room'!$B$15,'Process'!BK4=1),1+('Control Room'!$C$15-1)*EXP(-0.5*(($A266-'Control Room'!$A$15-('Control Room'!$B$15-1)/2)/MAX(0.5,'Control Room'!$B$15/4))^2),1)*IF(AND($A266&gt;='Control Room'!$A$16,$A266&lt;'Control Room'!$A$16+'Control Room'!$B$16,'Process'!BK5=1),1+('Control Room'!$C$16-1)*EXP(-0.5*(($A266-'Control Room'!$A$16-('Control Room'!$B$16-1)/2)/MAX(0.5,'Control Room'!$B$16/4))^2),1)</x:f>
        <x:v>1</x:v>
      </x:c>
      <x:c r="G266" s="9" t="n">
        <x:f>MOD(H265*16807,2147483647)</x:f>
        <x:v>659551466</x:v>
      </x:c>
      <x:c r="H266" s="9" t="n">
        <x:f>MOD(G266*16807,2147483647)</x:f>
        <x:v>1918386895</x:v>
      </x:c>
      <x:c r="I266" s="17" t="n">
        <x:f>IF('Control Room'!$B$5="Normal",'Control Room'!$B$7+'Control Room'!$D$7*SQRT(-2*LN(MAX(0.000000000001,G266/2147483647)))*COS(2*PI()*H266/2147483647),'Control Room'!$B$8+('Control Room'!$D$8-'Control Room'!$B$8)*G266/2147483647)</x:f>
        <x:v>1108.3685341401965</x:v>
      </x:c>
      <x:c r="J266" s="17" t="n">
        <x:f>IF('Control Room'!$B$5="Normal",'Control Room'!$B$7,('Control Room'!$B$8+'Control Room'!$D$8)/2)+'Control Room'!$B$9*(J265-IF('Control Room'!$B$5="Normal",'Control Room'!$B$7,('Control Room'!$B$8+'Control Room'!$D$8)/2))+SQRT(1-'Control Room'!$B$9^2)*(I266-IF('Control Room'!$B$5="Normal",'Control Room'!$B$7,('Control Room'!$B$8+'Control Room'!$D$8)/2))</x:f>
        <x:v>1129.9439293943437</x:v>
      </x:c>
      <x:c r="K266" s="17" t="n">
        <x:f>IF(AND($A266&gt;='Control Room'!$A$13,$A266&lt;'Control Room'!$A$13+'Control Room'!$B$13,'Process'!BL2=1),1+('Control Room'!$C$13-1)*EXP(-0.5*(($A266-'Control Room'!$A$13-('Control Room'!$B$13-1)/2)/MAX(0.5,'Control Room'!$B$13/4))^2),1)*IF(AND($A266&gt;='Control Room'!$A$14,$A266&lt;'Control Room'!$A$14+'Control Room'!$B$14,'Process'!BL3=1),1+('Control Room'!$C$14-1)*EXP(-0.5*(($A266-'Control Room'!$A$14-('Control Room'!$B$14-1)/2)/MAX(0.5,'Control Room'!$B$14/4))^2),1)*IF(AND($A266&gt;='Control Room'!$A$15,$A266&lt;'Control Room'!$A$15+'Control Room'!$B$15,'Process'!BL4=1),1+('Control Room'!$C$15-1)*EXP(-0.5*(($A266-'Control Room'!$A$15-('Control Room'!$B$15-1)/2)/MAX(0.5,'Control Room'!$B$15/4))^2),1)*IF(AND($A266&gt;='Control Room'!$A$16,$A266&lt;'Control Room'!$A$16+'Control Room'!$B$16,'Process'!BL5=1),1+('Control Room'!$C$16-1)*EXP(-0.5*(($A266-'Control Room'!$A$16-('Control Room'!$B$16-1)/2)/MAX(0.5,'Control Room'!$B$16/4))^2),1)</x:f>
        <x:v>1</x:v>
      </x:c>
      <x:c r="L266" s="9" t="n">
        <x:f>MOD(M265*16807,2147483647)</x:f>
        <x:v>206510985</x:v>
      </x:c>
      <x:c r="M266" s="9" t="n">
        <x:f>MOD(L266*16807,2147483647)</x:f>
        <x:v>496551343</x:v>
      </x:c>
      <x:c r="N266" s="17" t="n">
        <x:f>IF('Control Room'!$B$5="Normal",'Control Room'!$B$7+'Control Room'!$D$7*SQRT(-2*LN(MAX(0.000000000001,L266/2147483647)))*COS(2*PI()*M266/2147483647),'Control Room'!$B$8+('Control Room'!$D$8-'Control Room'!$B$8)*L266/2147483647)</x:f>
        <x:v>1022.923508569627</x:v>
      </x:c>
      <x:c r="O266" s="17" t="n">
        <x:f>IF('Control Room'!$B$5="Normal",'Control Room'!$B$7,('Control Room'!$B$8+'Control Room'!$D$8)/2)+'Control Room'!$B$9*(O265-IF('Control Room'!$B$5="Normal",'Control Room'!$B$7,('Control Room'!$B$8+'Control Room'!$D$8)/2))+SQRT(1-'Control Room'!$B$9^2)*(N266-IF('Control Room'!$B$5="Normal",'Control Room'!$B$7,('Control Room'!$B$8+'Control Room'!$D$8)/2))</x:f>
        <x:v>1014.0227243735861</x:v>
      </x:c>
      <x:c r="P266" s="17" t="n">
        <x:f>IF(AND($A266&gt;='Control Room'!$A$13,$A266&lt;'Control Room'!$A$13+'Control Room'!$B$13,'Process'!BM2=1),1+('Control Room'!$C$13-1)*EXP(-0.5*(($A266-'Control Room'!$A$13-('Control Room'!$B$13-1)/2)/MAX(0.5,'Control Room'!$B$13/4))^2),1)*IF(AND($A266&gt;='Control Room'!$A$14,$A266&lt;'Control Room'!$A$14+'Control Room'!$B$14,'Process'!BM3=1),1+('Control Room'!$C$14-1)*EXP(-0.5*(($A266-'Control Room'!$A$14-('Control Room'!$B$14-1)/2)/MAX(0.5,'Control Room'!$B$14/4))^2),1)*IF(AND($A266&gt;='Control Room'!$A$15,$A266&lt;'Control Room'!$A$15+'Control Room'!$B$15,'Process'!BM4=1),1+('Control Room'!$C$15-1)*EXP(-0.5*(($A266-'Control Room'!$A$15-('Control Room'!$B$15-1)/2)/MAX(0.5,'Control Room'!$B$15/4))^2),1)*IF(AND($A266&gt;='Control Room'!$A$16,$A266&lt;'Control Room'!$A$16+'Control Room'!$B$16,'Process'!BM5=1),1+('Control Room'!$C$16-1)*EXP(-0.5*(($A266-'Control Room'!$A$16-('Control Room'!$B$16-1)/2)/MAX(0.5,'Control Room'!$B$16/4))^2),1)</x:f>
        <x:v>1</x:v>
      </x:c>
      <x:c r="Q266" s="9" t="n">
        <x:f>MOD(R265*16807,2147483647)</x:f>
        <x:v>1900954151</x:v>
      </x:c>
      <x:c r="R266" s="9" t="n">
        <x:f>MOD(Q266*16807,2147483647)</x:f>
        <x:v>1222199438</x:v>
      </x:c>
      <x:c r="S266" s="17" t="n">
        <x:f>IF('Control Room'!$B$5="Normal",'Control Room'!$B$7+'Control Room'!$D$7*SQRT(-2*LN(MAX(0.000000000001,Q266/2147483647)))*COS(2*PI()*R266/2147483647),'Control Room'!$B$8+('Control Room'!$D$8-'Control Room'!$B$8)*Q266/2147483647)</x:f>
        <x:v>959.6813831293437</x:v>
      </x:c>
      <x:c r="T266" s="17" t="n">
        <x:f>IF('Control Room'!$B$5="Normal",'Control Room'!$B$7,('Control Room'!$B$8+'Control Room'!$D$8)/2)+'Control Room'!$B$9*(T265-IF('Control Room'!$B$5="Normal",'Control Room'!$B$7,('Control Room'!$B$8+'Control Room'!$D$8)/2))+SQRT(1-'Control Room'!$B$9^2)*(S266-IF('Control Room'!$B$5="Normal",'Control Room'!$B$7,('Control Room'!$B$8+'Control Room'!$D$8)/2))</x:f>
        <x:v>887.6631530014954</x:v>
      </x:c>
      <x:c r="U266" s="17" t="n">
        <x:f>IF(AND($A266&gt;='Control Room'!$A$13,$A266&lt;'Control Room'!$A$13+'Control Room'!$B$13,'Process'!BN2=1),1+('Control Room'!$C$13-1)*EXP(-0.5*(($A266-'Control Room'!$A$13-('Control Room'!$B$13-1)/2)/MAX(0.5,'Control Room'!$B$13/4))^2),1)*IF(AND($A266&gt;='Control Room'!$A$14,$A266&lt;'Control Room'!$A$14+'Control Room'!$B$14,'Process'!BN3=1),1+('Control Room'!$C$14-1)*EXP(-0.5*(($A266-'Control Room'!$A$14-('Control Room'!$B$14-1)/2)/MAX(0.5,'Control Room'!$B$14/4))^2),1)*IF(AND($A266&gt;='Control Room'!$A$15,$A266&lt;'Control Room'!$A$15+'Control Room'!$B$15,'Process'!BN4=1),1+('Control Room'!$C$15-1)*EXP(-0.5*(($A266-'Control Room'!$A$15-('Control Room'!$B$15-1)/2)/MAX(0.5,'Control Room'!$B$15/4))^2),1)*IF(AND($A266&gt;='Control Room'!$A$16,$A266&lt;'Control Room'!$A$16+'Control Room'!$B$16,'Process'!BN5=1),1+('Control Room'!$C$16-1)*EXP(-0.5*(($A266-'Control Room'!$A$16-('Control Room'!$B$16-1)/2)/MAX(0.5,'Control Room'!$B$16/4))^2),1)</x:f>
        <x:v>1</x:v>
      </x:c>
      <x:c r="V266" s="9" t="n">
        <x:f>MOD(W265*16807,2147483647)</x:f>
        <x:v>1447913670</x:v>
      </x:c>
      <x:c r="W266" s="9" t="n">
        <x:f>MOD(V266*16807,2147483647)</x:f>
        <x:v>1947847533</x:v>
      </x:c>
      <x:c r="X266" s="17" t="n">
        <x:f>IF('Control Room'!$B$5="Normal",'Control Room'!$B$7+'Control Room'!$D$7*SQRT(-2*LN(MAX(0.000000000001,V266/2147483647)))*COS(2*PI()*W266/2147483647),'Control Room'!$B$8+('Control Room'!$D$8-'Control Room'!$B$8)*V266/2147483647)</x:f>
        <x:v>1066.6614852889684</x:v>
      </x:c>
      <x:c r="Y266" s="17" t="n">
        <x:f>IF('Control Room'!$B$5="Normal",'Control Room'!$B$7,('Control Room'!$B$8+'Control Room'!$D$8)/2)+'Control Room'!$B$9*(Y265-IF('Control Room'!$B$5="Normal",'Control Room'!$B$7,('Control Room'!$B$8+'Control Room'!$D$8)/2))+SQRT(1-'Control Room'!$B$9^2)*(X266-IF('Control Room'!$B$5="Normal",'Control Room'!$B$7,('Control Room'!$B$8+'Control Room'!$D$8)/2))</x:f>
        <x:v>943.6228126322228</x:v>
      </x:c>
      <x:c r="Z266" s="17" t="n">
        <x:f>IF(AND($A266&gt;='Control Room'!$A$13,$A266&lt;'Control Room'!$A$13+'Control Room'!$B$13,'Process'!BO2=1),1+('Control Room'!$C$13-1)*EXP(-0.5*(($A266-'Control Room'!$A$13-('Control Room'!$B$13-1)/2)/MAX(0.5,'Control Room'!$B$13/4))^2),1)*IF(AND($A266&gt;='Control Room'!$A$14,$A266&lt;'Control Room'!$A$14+'Control Room'!$B$14,'Process'!BO3=1),1+('Control Room'!$C$14-1)*EXP(-0.5*(($A266-'Control Room'!$A$14-('Control Room'!$B$14-1)/2)/MAX(0.5,'Control Room'!$B$14/4))^2),1)*IF(AND($A266&gt;='Control Room'!$A$15,$A266&lt;'Control Room'!$A$15+'Control Room'!$B$15,'Process'!BO4=1),1+('Control Room'!$C$15-1)*EXP(-0.5*(($A266-'Control Room'!$A$15-('Control Room'!$B$15-1)/2)/MAX(0.5,'Control Room'!$B$15/4))^2),1)*IF(AND($A266&gt;='Control Room'!$A$16,$A266&lt;'Control Room'!$A$16+'Control Room'!$B$16,'Process'!BO5=1),1+('Control Room'!$C$16-1)*EXP(-0.5*(($A266-'Control Room'!$A$16-('Control Room'!$B$16-1)/2)/MAX(0.5,'Control Room'!$B$16/4))^2),1)</x:f>
        <x:v>1</x:v>
      </x:c>
      <x:c r="AA266" s="9" t="n">
        <x:f>MOD(AB265*16807,2147483647)</x:f>
        <x:v>994873189</x:v>
      </x:c>
      <x:c r="AB266" s="9" t="n">
        <x:f>MOD(AA266*16807,2147483647)</x:f>
        <x:v>526011981</x:v>
      </x:c>
      <x:c r="AC266" s="17" t="n">
        <x:f>IF('Control Room'!$B$5="Normal",'Control Room'!$B$7+'Control Room'!$D$7*SQRT(-2*LN(MAX(0.000000000001,AA266/2147483647)))*COS(2*PI()*AB266/2147483647),'Control Room'!$B$8+('Control Room'!$D$8-'Control Room'!$B$8)*AA266/2147483647)</x:f>
        <x:v>1003.5465653905619</x:v>
      </x:c>
      <x:c r="AD266" s="17" t="n">
        <x:f>IF('Control Room'!$B$5="Normal",'Control Room'!$B$7,('Control Room'!$B$8+'Control Room'!$D$8)/2)+'Control Room'!$B$9*(AD265-IF('Control Room'!$B$5="Normal",'Control Room'!$B$7,('Control Room'!$B$8+'Control Room'!$D$8)/2))+SQRT(1-'Control Room'!$B$9^2)*(AC266-IF('Control Room'!$B$5="Normal",'Control Room'!$B$7,('Control Room'!$B$8+'Control Room'!$D$8)/2))</x:f>
        <x:v>1058.4044833590997</x:v>
      </x:c>
      <x:c r="AE266" s="17" t="n">
        <x:f>IF(AND($A266&gt;='Control Room'!$A$13,$A266&lt;'Control Room'!$A$13+'Control Room'!$B$13,'Process'!BP2=1),1+('Control Room'!$C$13-1)*EXP(-0.5*(($A266-'Control Room'!$A$13-('Control Room'!$B$13-1)/2)/MAX(0.5,'Control Room'!$B$13/4))^2),1)*IF(AND($A266&gt;='Control Room'!$A$14,$A266&lt;'Control Room'!$A$14+'Control Room'!$B$14,'Process'!BP3=1),1+('Control Room'!$C$14-1)*EXP(-0.5*(($A266-'Control Room'!$A$14-('Control Room'!$B$14-1)/2)/MAX(0.5,'Control Room'!$B$14/4))^2),1)*IF(AND($A266&gt;='Control Room'!$A$15,$A266&lt;'Control Room'!$A$15+'Control Room'!$B$15,'Process'!BP4=1),1+('Control Room'!$C$15-1)*EXP(-0.5*(($A266-'Control Room'!$A$15-('Control Room'!$B$15-1)/2)/MAX(0.5,'Control Room'!$B$15/4))^2),1)*IF(AND($A266&gt;='Control Room'!$A$16,$A266&lt;'Control Room'!$A$16+'Control Room'!$B$16,'Process'!BP5=1),1+('Control Room'!$C$16-1)*EXP(-0.5*(($A266-'Control Room'!$A$16-('Control Room'!$B$16-1)/2)/MAX(0.5,'Control Room'!$B$16/4))^2),1)</x:f>
        <x:v>1</x:v>
      </x:c>
      <x:c r="AF266" s="9" t="n">
        <x:f>MOD(AG265*16807,2147483647)</x:f>
        <x:v>541832708</x:v>
      </x:c>
      <x:c r="AG266" s="9" t="n">
        <x:f>MOD(AF266*16807,2147483647)</x:f>
        <x:v>1251660076</x:v>
      </x:c>
      <x:c r="AH266" s="17" t="n">
        <x:f>IF('Control Room'!$B$5="Normal",'Control Room'!$B$7+'Control Room'!$D$7*SQRT(-2*LN(MAX(0.000000000001,AF266/2147483647)))*COS(2*PI()*AG266/2147483647),'Control Room'!$B$8+('Control Room'!$D$8-'Control Room'!$B$8)*AF266/2147483647)</x:f>
        <x:v>870.4225566588489</x:v>
      </x:c>
      <x:c r="AI266" s="17" t="n">
        <x:f>IF('Control Room'!$B$5="Normal",'Control Room'!$B$7,('Control Room'!$B$8+'Control Room'!$D$8)/2)+'Control Room'!$B$9*(AI265-IF('Control Room'!$B$5="Normal",'Control Room'!$B$7,('Control Room'!$B$8+'Control Room'!$D$8)/2))+SQRT(1-'Control Room'!$B$9^2)*(AH266-IF('Control Room'!$B$5="Normal",'Control Room'!$B$7,('Control Room'!$B$8+'Control Room'!$D$8)/2))</x:f>
        <x:v>920.2919289132554</x:v>
      </x:c>
      <x:c r="AJ266" s="17" t="n">
        <x:f>IF(AND($A266&gt;='Control Room'!$A$13,$A266&lt;'Control Room'!$A$13+'Control Room'!$B$13,'Process'!BQ2=1),1+('Control Room'!$C$13-1)*EXP(-0.5*(($A266-'Control Room'!$A$13-('Control Room'!$B$13-1)/2)/MAX(0.5,'Control Room'!$B$13/4))^2),1)*IF(AND($A266&gt;='Control Room'!$A$14,$A266&lt;'Control Room'!$A$14+'Control Room'!$B$14,'Process'!BQ3=1),1+('Control Room'!$C$14-1)*EXP(-0.5*(($A266-'Control Room'!$A$14-('Control Room'!$B$14-1)/2)/MAX(0.5,'Control Room'!$B$14/4))^2),1)*IF(AND($A266&gt;='Control Room'!$A$15,$A266&lt;'Control Room'!$A$15+'Control Room'!$B$15,'Process'!BQ4=1),1+('Control Room'!$C$15-1)*EXP(-0.5*(($A266-'Control Room'!$A$15-('Control Room'!$B$15-1)/2)/MAX(0.5,'Control Room'!$B$15/4))^2),1)*IF(AND($A266&gt;='Control Room'!$A$16,$A266&lt;'Control Room'!$A$16+'Control Room'!$B$16,'Process'!BQ5=1),1+('Control Room'!$C$16-1)*EXP(-0.5*(($A266-'Control Room'!$A$16-('Control Room'!$B$16-1)/2)/MAX(0.5,'Control Room'!$B$16/4))^2),1)</x:f>
        <x:v>1</x:v>
      </x:c>
      <x:c r="AK266" s="9" t="n">
        <x:f>MOD(AL265*16807,2147483647)</x:f>
        <x:v>88792227</x:v>
      </x:c>
      <x:c r="AL266" s="9" t="n">
        <x:f>MOD(AK266*16807,2147483647)</x:f>
        <x:v>1977308171</x:v>
      </x:c>
      <x:c r="AM266" s="17" t="n">
        <x:f>IF('Control Room'!$B$5="Normal",'Control Room'!$B$7+'Control Room'!$D$7*SQRT(-2*LN(MAX(0.000000000001,AK266/2147483647)))*COS(2*PI()*AL266/2147483647),'Control Room'!$B$8+('Control Room'!$D$8-'Control Room'!$B$8)*AK266/2147483647)</x:f>
        <x:v>1199.5938797643869</x:v>
      </x:c>
      <x:c r="AN266" s="17" t="n">
        <x:f>IF('Control Room'!$B$5="Normal",'Control Room'!$B$7,('Control Room'!$B$8+'Control Room'!$D$8)/2)+'Control Room'!$B$9*(AN265-IF('Control Room'!$B$5="Normal",'Control Room'!$B$7,('Control Room'!$B$8+'Control Room'!$D$8)/2))+SQRT(1-'Control Room'!$B$9^2)*(AM266-IF('Control Room'!$B$5="Normal",'Control Room'!$B$7,('Control Room'!$B$8+'Control Room'!$D$8)/2))</x:f>
        <x:v>1144.8169061679228</x:v>
      </x:c>
      <x:c r="AO266" s="17" t="n">
        <x:f>IF(AND($A266&gt;='Control Room'!$A$13,$A266&lt;'Control Room'!$A$13+'Control Room'!$B$13,'Process'!BR2=1),1+('Control Room'!$C$13-1)*EXP(-0.5*(($A266-'Control Room'!$A$13-('Control Room'!$B$13-1)/2)/MAX(0.5,'Control Room'!$B$13/4))^2),1)*IF(AND($A266&gt;='Control Room'!$A$14,$A266&lt;'Control Room'!$A$14+'Control Room'!$B$14,'Process'!BR3=1),1+('Control Room'!$C$14-1)*EXP(-0.5*(($A266-'Control Room'!$A$14-('Control Room'!$B$14-1)/2)/MAX(0.5,'Control Room'!$B$14/4))^2),1)*IF(AND($A266&gt;='Control Room'!$A$15,$A266&lt;'Control Room'!$A$15+'Control Room'!$B$15,'Process'!BR4=1),1+('Control Room'!$C$15-1)*EXP(-0.5*(($A266-'Control Room'!$A$15-('Control Room'!$B$15-1)/2)/MAX(0.5,'Control Room'!$B$15/4))^2),1)*IF(AND($A266&gt;='Control Room'!$A$16,$A266&lt;'Control Room'!$A$16+'Control Room'!$B$16,'Process'!BR5=1),1+('Control Room'!$C$16-1)*EXP(-0.5*(($A266-'Control Room'!$A$16-('Control Room'!$B$16-1)/2)/MAX(0.5,'Control Room'!$B$16/4))^2),1)</x:f>
        <x:v>1</x:v>
      </x:c>
      <x:c r="AP266" s="9" t="n">
        <x:f>MOD(AQ265*16807,2147483647)</x:f>
        <x:v>1783235393</x:v>
      </x:c>
      <x:c r="AQ266" s="9" t="n">
        <x:f>MOD(AP266*16807,2147483647)</x:f>
        <x:v>555472619</x:v>
      </x:c>
      <x:c r="AR266" s="17" t="n">
        <x:f>IF('Control Room'!$B$5="Normal",'Control Room'!$B$7+'Control Room'!$D$7*SQRT(-2*LN(MAX(0.000000000001,AP266/2147483647)))*COS(2*PI()*AQ266/2147483647),'Control Room'!$B$8+('Control Room'!$D$8-'Control Room'!$B$8)*AP266/2147483647)</x:f>
        <x:v>997.014978181027</x:v>
      </x:c>
      <x:c r="AS266" s="17" t="n">
        <x:f>IF('Control Room'!$B$5="Normal",'Control Room'!$B$7,('Control Room'!$B$8+'Control Room'!$D$8)/2)+'Control Room'!$B$9*(AS265-IF('Control Room'!$B$5="Normal",'Control Room'!$B$7,('Control Room'!$B$8+'Control Room'!$D$8)/2))+SQRT(1-'Control Room'!$B$9^2)*(AR266-IF('Control Room'!$B$5="Normal",'Control Room'!$B$7,('Control Room'!$B$8+'Control Room'!$D$8)/2))</x:f>
        <x:v>1027.2152395157386</x:v>
      </x:c>
      <x:c r="AT266" s="17" t="n">
        <x:f>IF(AND($A266&gt;='Control Room'!$A$13,$A266&lt;'Control Room'!$A$13+'Control Room'!$B$13,'Process'!BS2=1),1+('Control Room'!$C$13-1)*EXP(-0.5*(($A266-'Control Room'!$A$13-('Control Room'!$B$13-1)/2)/MAX(0.5,'Control Room'!$B$13/4))^2),1)*IF(AND($A266&gt;='Control Room'!$A$14,$A266&lt;'Control Room'!$A$14+'Control Room'!$B$14,'Process'!BS3=1),1+('Control Room'!$C$14-1)*EXP(-0.5*(($A266-'Control Room'!$A$14-('Control Room'!$B$14-1)/2)/MAX(0.5,'Control Room'!$B$14/4))^2),1)*IF(AND($A266&gt;='Control Room'!$A$15,$A266&lt;'Control Room'!$A$15+'Control Room'!$B$15,'Process'!BS4=1),1+('Control Room'!$C$15-1)*EXP(-0.5*(($A266-'Control Room'!$A$15-('Control Room'!$B$15-1)/2)/MAX(0.5,'Control Room'!$B$15/4))^2),1)*IF(AND($A266&gt;='Control Room'!$A$16,$A266&lt;'Control Room'!$A$16+'Control Room'!$B$16,'Process'!BS5=1),1+('Control Room'!$C$16-1)*EXP(-0.5*(($A266-'Control Room'!$A$16-('Control Room'!$B$16-1)/2)/MAX(0.5,'Control Room'!$B$16/4))^2),1)</x:f>
        <x:v>1</x:v>
      </x:c>
      <x:c r="AU266" s="9" t="n">
        <x:f>MOD(AV265*16807,2147483647)</x:f>
        <x:v>1330194912</x:v>
      </x:c>
      <x:c r="AV266" s="9" t="n">
        <x:f>MOD(AU266*16807,2147483647)</x:f>
        <x:v>1281120714</x:v>
      </x:c>
      <x:c r="AW266" s="17" t="n">
        <x:f>IF('Control Room'!$B$5="Normal",'Control Room'!$B$7+'Control Room'!$D$7*SQRT(-2*LN(MAX(0.000000000001,AU266/2147483647)))*COS(2*PI()*AV266/2147483647),'Control Room'!$B$8+('Control Room'!$D$8-'Control Room'!$B$8)*AU266/2147483647)</x:f>
        <x:v>927.6363083437618</x:v>
      </x:c>
      <x:c r="AX266" s="17" t="n">
        <x:f>IF('Control Room'!$B$5="Normal",'Control Room'!$B$7,('Control Room'!$B$8+'Control Room'!$D$8)/2)+'Control Room'!$B$9*(AX265-IF('Control Room'!$B$5="Normal",'Control Room'!$B$7,('Control Room'!$B$8+'Control Room'!$D$8)/2))+SQRT(1-'Control Room'!$B$9^2)*(AW266-IF('Control Room'!$B$5="Normal",'Control Room'!$B$7,('Control Room'!$B$8+'Control Room'!$D$8)/2))</x:f>
        <x:v>1056.4280287110284</x:v>
      </x:c>
      <x:c r="AY266" s="17" t="n">
        <x:f>IF(AND($A266&gt;='Control Room'!$A$13,$A266&lt;'Control Room'!$A$13+'Control Room'!$B$13,'Process'!BT2=1),1+('Control Room'!$C$13-1)*EXP(-0.5*(($A266-'Control Room'!$A$13-('Control Room'!$B$13-1)/2)/MAX(0.5,'Control Room'!$B$13/4))^2),1)*IF(AND($A266&gt;='Control Room'!$A$14,$A266&lt;'Control Room'!$A$14+'Control Room'!$B$14,'Process'!BT3=1),1+('Control Room'!$C$14-1)*EXP(-0.5*(($A266-'Control Room'!$A$14-('Control Room'!$B$14-1)/2)/MAX(0.5,'Control Room'!$B$14/4))^2),1)*IF(AND($A266&gt;='Control Room'!$A$15,$A266&lt;'Control Room'!$A$15+'Control Room'!$B$15,'Process'!BT4=1),1+('Control Room'!$C$15-1)*EXP(-0.5*(($A266-'Control Room'!$A$15-('Control Room'!$B$15-1)/2)/MAX(0.5,'Control Room'!$B$15/4))^2),1)*IF(AND($A266&gt;='Control Room'!$A$16,$A266&lt;'Control Room'!$A$16+'Control Room'!$B$16,'Process'!BT5=1),1+('Control Room'!$C$16-1)*EXP(-0.5*(($A266-'Control Room'!$A$16-('Control Room'!$B$16-1)/2)/MAX(0.5,'Control Room'!$B$16/4))^2),1)</x:f>
        <x:v>1</x:v>
      </x:c>
      <x:c r="AZ266" s="9" t="n">
        <x:f>MOD(BA265*16807,2147483647)</x:f>
        <x:v>877154431</x:v>
      </x:c>
      <x:c r="BA266" s="9" t="n">
        <x:f>MOD(AZ266*16807,2147483647)</x:f>
        <x:v>2006768809</x:v>
      </x:c>
      <x:c r="BB266" s="17" t="n">
        <x:f>IF('Control Room'!$B$5="Normal",'Control Room'!$B$7+'Control Room'!$D$7*SQRT(-2*LN(MAX(0.000000000001,AZ266/2147483647)))*COS(2*PI()*BA266/2147483647),'Control Room'!$B$8+('Control Room'!$D$8-'Control Room'!$B$8)*AZ266/2147483647)</x:f>
        <x:v>1110.3727397233815</x:v>
      </x:c>
      <x:c r="BC266" s="17" t="n">
        <x:f>IF('Control Room'!$B$5="Normal",'Control Room'!$B$7,('Control Room'!$B$8+'Control Room'!$D$8)/2)+'Control Room'!$B$9*(BC265-IF('Control Room'!$B$5="Normal",'Control Room'!$B$7,('Control Room'!$B$8+'Control Room'!$D$8)/2))+SQRT(1-'Control Room'!$B$9^2)*(BB266-IF('Control Room'!$B$5="Normal",'Control Room'!$B$7,('Control Room'!$B$8+'Control Room'!$D$8)/2))</x:f>
        <x:v>1073.687593078081</x:v>
      </x:c>
      <x:c r="BD266" s="17" t="n">
        <x:f>IF(AND($A266&gt;='Control Room'!$A$13,$A266&lt;'Control Room'!$A$13+'Control Room'!$B$13,'Process'!BU2=1),1+('Control Room'!$C$13-1)*EXP(-0.5*(($A266-'Control Room'!$A$13-('Control Room'!$B$13-1)/2)/MAX(0.5,'Control Room'!$B$13/4))^2),1)*IF(AND($A266&gt;='Control Room'!$A$14,$A266&lt;'Control Room'!$A$14+'Control Room'!$B$14,'Process'!BU3=1),1+('Control Room'!$C$14-1)*EXP(-0.5*(($A266-'Control Room'!$A$14-('Control Room'!$B$14-1)/2)/MAX(0.5,'Control Room'!$B$14/4))^2),1)*IF(AND($A266&gt;='Control Room'!$A$15,$A266&lt;'Control Room'!$A$15+'Control Room'!$B$15,'Process'!BU4=1),1+('Control Room'!$C$15-1)*EXP(-0.5*(($A266-'Control Room'!$A$15-('Control Room'!$B$15-1)/2)/MAX(0.5,'Control Room'!$B$15/4))^2),1)*IF(AND($A266&gt;='Control Room'!$A$16,$A266&lt;'Control Room'!$A$16+'Control Room'!$B$16,'Process'!BU5=1),1+('Control Room'!$C$16-1)*EXP(-0.5*(($A266-'Control Room'!$A$16-('Control Room'!$B$16-1)/2)/MAX(0.5,'Control Room'!$B$16/4))^2),1)</x:f>
        <x:v>1</x:v>
      </x:c>
      <x:c r="BE266" s="9" t="n">
        <x:f>MOD(BF265*16807,2147483647)</x:f>
        <x:v>424113950</x:v>
      </x:c>
      <x:c r="BF266" s="9" t="n">
        <x:f>MOD(BE266*16807,2147483647)</x:f>
        <x:v>584933257</x:v>
      </x:c>
      <x:c r="BG266" s="17" t="n">
        <x:f>IF('Control Room'!$B$5="Normal",'Control Room'!$B$7+'Control Room'!$D$7*SQRT(-2*LN(MAX(0.000000000001,BE266/2147483647)))*COS(2*PI()*BF266/2147483647),'Control Room'!$B$8+('Control Room'!$D$8-'Control Room'!$B$8)*BE266/2147483647)</x:f>
        <x:v>977.2797929375099</x:v>
      </x:c>
      <x:c r="BH266" s="17" t="n">
        <x:f>IF('Control Room'!$B$5="Normal",'Control Room'!$B$7,('Control Room'!$B$8+'Control Room'!$D$8)/2)+'Control Room'!$B$9*(BH265-IF('Control Room'!$B$5="Normal",'Control Room'!$B$7,('Control Room'!$B$8+'Control Room'!$D$8)/2))+SQRT(1-'Control Room'!$B$9^2)*(BG266-IF('Control Room'!$B$5="Normal",'Control Room'!$B$7,('Control Room'!$B$8+'Control Room'!$D$8)/2))</x:f>
        <x:v>963.4618148499167</x:v>
      </x:c>
      <x:c r="BI266" s="17" t="n">
        <x:f>IF(AND($A266&gt;='Control Room'!$A$13,$A266&lt;'Control Room'!$A$13+'Control Room'!$B$13,'Process'!BV2=1),1+('Control Room'!$C$13-1)*EXP(-0.5*(($A266-'Control Room'!$A$13-('Control Room'!$B$13-1)/2)/MAX(0.5,'Control Room'!$B$13/4))^2),1)*IF(AND($A266&gt;='Control Room'!$A$14,$A266&lt;'Control Room'!$A$14+'Control Room'!$B$14,'Process'!BV3=1),1+('Control Room'!$C$14-1)*EXP(-0.5*(($A266-'Control Room'!$A$14-('Control Room'!$B$14-1)/2)/MAX(0.5,'Control Room'!$B$14/4))^2),1)*IF(AND($A266&gt;='Control Room'!$A$15,$A266&lt;'Control Room'!$A$15+'Control Room'!$B$15,'Process'!BV4=1),1+('Control Room'!$C$15-1)*EXP(-0.5*(($A266-'Control Room'!$A$15-('Control Room'!$B$15-1)/2)/MAX(0.5,'Control Room'!$B$15/4))^2),1)*IF(AND($A266&gt;='Control Room'!$A$16,$A266&lt;'Control Room'!$A$16+'Control Room'!$B$16,'Process'!BV5=1),1+('Control Room'!$C$16-1)*EXP(-0.5*(($A266-'Control Room'!$A$16-('Control Room'!$B$16-1)/2)/MAX(0.5,'Control Room'!$B$16/4))^2),1)</x:f>
        <x:v>1</x:v>
      </x:c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Z266" t="str">
        <x:f>IF('Data'!A266="","",TEXT('Data'!A266,"mm-dd"))</x:f>
      </x:c>
    </x:row>
    <x:row r="267" ht="21" customHeight="1">
      <x:c r="A267" s="15" t="n">
        <x:f>'Control Room'!$B$1+265</x:f>
        <x:v>73256</x:v>
      </x:c>
      <x:c r="B267" s="9" t="n">
        <x:f>MOD(C266*16807,2147483647)</x:f>
        <x:v>1748650502</x:v>
      </x:c>
      <x:c r="C267" s="9" t="n">
        <x:f>MOD(B267*16807,2147483647)</x:f>
        <x:v>1255277919</x:v>
      </x:c>
      <x:c r="D267" s="17" t="n">
        <x:f>IF('Control Room'!$B$5="Normal",'Control Room'!$B$7+'Control Room'!$D$7*SQRT(-2*LN(MAX(0.000000000001,B267/2147483647)))*COS(2*PI()*C267/2147483647),'Control Room'!$B$8+('Control Room'!$D$8-'Control Room'!$B$8)*B267/2147483647)</x:f>
        <x:v>950.2566400594998</x:v>
      </x:c>
      <x:c r="E267" s="17" t="n">
        <x:f>IF('Control Room'!$B$5="Normal",'Control Room'!$B$7,('Control Room'!$B$8+'Control Room'!$D$8)/2)+'Control Room'!$B$9*(E266-IF('Control Room'!$B$5="Normal",'Control Room'!$B$7,('Control Room'!$B$8+'Control Room'!$D$8)/2))+SQRT(1-'Control Room'!$B$9^2)*(D267-IF('Control Room'!$B$5="Normal",'Control Room'!$B$7,('Control Room'!$B$8+'Control Room'!$D$8)/2))</x:f>
        <x:v>853.1269964656508</x:v>
      </x:c>
      <x:c r="F267" s="17" t="n">
        <x:f>IF(AND($A267&gt;='Control Room'!$A$13,$A267&lt;'Control Room'!$A$13+'Control Room'!$B$13,'Process'!BK2=1),1+('Control Room'!$C$13-1)*EXP(-0.5*(($A267-'Control Room'!$A$13-('Control Room'!$B$13-1)/2)/MAX(0.5,'Control Room'!$B$13/4))^2),1)*IF(AND($A267&gt;='Control Room'!$A$14,$A267&lt;'Control Room'!$A$14+'Control Room'!$B$14,'Process'!BK3=1),1+('Control Room'!$C$14-1)*EXP(-0.5*(($A267-'Control Room'!$A$14-('Control Room'!$B$14-1)/2)/MAX(0.5,'Control Room'!$B$14/4))^2),1)*IF(AND($A267&gt;='Control Room'!$A$15,$A267&lt;'Control Room'!$A$15+'Control Room'!$B$15,'Process'!BK4=1),1+('Control Room'!$C$15-1)*EXP(-0.5*(($A267-'Control Room'!$A$15-('Control Room'!$B$15-1)/2)/MAX(0.5,'Control Room'!$B$15/4))^2),1)*IF(AND($A267&gt;='Control Room'!$A$16,$A267&lt;'Control Room'!$A$16+'Control Room'!$B$16,'Process'!BK5=1),1+('Control Room'!$C$16-1)*EXP(-0.5*(($A267-'Control Room'!$A$16-('Control Room'!$B$16-1)/2)/MAX(0.5,'Control Room'!$B$16/4))^2),1)</x:f>
        <x:v>1</x:v>
      </x:c>
      <x:c r="G267" s="9" t="n">
        <x:f>MOD(H266*16807,2147483647)</x:f>
        <x:v>9068207</x:v>
      </x:c>
      <x:c r="H267" s="9" t="n">
        <x:f>MOD(G267*16807,2147483647)</x:f>
        <x:v>2085499759</x:v>
      </x:c>
      <x:c r="I267" s="17" t="n">
        <x:f>IF('Control Room'!$B$5="Normal",'Control Room'!$B$7+'Control Room'!$D$7*SQRT(-2*LN(MAX(0.000000000001,G267/2147483647)))*COS(2*PI()*H267/2147483647),'Control Room'!$B$8+('Control Room'!$D$8-'Control Room'!$B$8)*G267/2147483647)</x:f>
        <x:v>1292.726270445846</x:v>
      </x:c>
      <x:c r="J267" s="17" t="n">
        <x:f>IF('Control Room'!$B$5="Normal",'Control Room'!$B$7,('Control Room'!$B$8+'Control Room'!$D$8)/2)+'Control Room'!$B$9*(J266-IF('Control Room'!$B$5="Normal",'Control Room'!$B$7,('Control Room'!$B$8+'Control Room'!$D$8)/2))+SQRT(1-'Control Room'!$B$9^2)*(I267-IF('Control Room'!$B$5="Normal",'Control Room'!$B$7,('Control Room'!$B$8+'Control Room'!$D$8)/2))</x:f>
        <x:v>1284.538368148992</x:v>
      </x:c>
      <x:c r="K267" s="17" t="n">
        <x:f>IF(AND($A267&gt;='Control Room'!$A$13,$A267&lt;'Control Room'!$A$13+'Control Room'!$B$13,'Process'!BL2=1),1+('Control Room'!$C$13-1)*EXP(-0.5*(($A267-'Control Room'!$A$13-('Control Room'!$B$13-1)/2)/MAX(0.5,'Control Room'!$B$13/4))^2),1)*IF(AND($A267&gt;='Control Room'!$A$14,$A267&lt;'Control Room'!$A$14+'Control Room'!$B$14,'Process'!BL3=1),1+('Control Room'!$C$14-1)*EXP(-0.5*(($A267-'Control Room'!$A$14-('Control Room'!$B$14-1)/2)/MAX(0.5,'Control Room'!$B$14/4))^2),1)*IF(AND($A267&gt;='Control Room'!$A$15,$A267&lt;'Control Room'!$A$15+'Control Room'!$B$15,'Process'!BL4=1),1+('Control Room'!$C$15-1)*EXP(-0.5*(($A267-'Control Room'!$A$15-('Control Room'!$B$15-1)/2)/MAX(0.5,'Control Room'!$B$15/4))^2),1)*IF(AND($A267&gt;='Control Room'!$A$16,$A267&lt;'Control Room'!$A$16+'Control Room'!$B$16,'Process'!BL5=1),1+('Control Room'!$C$16-1)*EXP(-0.5*(($A267-'Control Room'!$A$16-('Control Room'!$B$16-1)/2)/MAX(0.5,'Control Room'!$B$16/4))^2),1)</x:f>
        <x:v>1</x:v>
      </x:c>
      <x:c r="L267" s="9" t="n">
        <x:f>MOD(M266*16807,2147483647)</x:f>
        <x:v>416969559</x:v>
      </x:c>
      <x:c r="M267" s="9" t="n">
        <x:f>MOD(L267*16807,2147483647)</x:f>
        <x:v>768237952</x:v>
      </x:c>
      <x:c r="N267" s="17" t="n">
        <x:f>IF('Control Room'!$B$5="Normal",'Control Room'!$B$7+'Control Room'!$D$7*SQRT(-2*LN(MAX(0.000000000001,L267/2147483647)))*COS(2*PI()*M267/2147483647),'Control Room'!$B$8+('Control Room'!$D$8-'Control Room'!$B$8)*L267/2147483647)</x:f>
        <x:v>897.926639799358</x:v>
      </x:c>
      <x:c r="O267" s="17" t="n">
        <x:f>IF('Control Room'!$B$5="Normal",'Control Room'!$B$7,('Control Room'!$B$8+'Control Room'!$D$8)/2)+'Control Room'!$B$9*(O266-IF('Control Room'!$B$5="Normal",'Control Room'!$B$7,('Control Room'!$B$8+'Control Room'!$D$8)/2))+SQRT(1-'Control Room'!$B$9^2)*(N267-IF('Control Room'!$B$5="Normal",'Control Room'!$B$7,('Control Room'!$B$8+'Control Room'!$D$8)/2))</x:f>
        <x:v>947.0623072842798</x:v>
      </x:c>
      <x:c r="P267" s="17" t="n">
        <x:f>IF(AND($A267&gt;='Control Room'!$A$13,$A267&lt;'Control Room'!$A$13+'Control Room'!$B$13,'Process'!BM2=1),1+('Control Room'!$C$13-1)*EXP(-0.5*(($A267-'Control Room'!$A$13-('Control Room'!$B$13-1)/2)/MAX(0.5,'Control Room'!$B$13/4))^2),1)*IF(AND($A267&gt;='Control Room'!$A$14,$A267&lt;'Control Room'!$A$14+'Control Room'!$B$14,'Process'!BM3=1),1+('Control Room'!$C$14-1)*EXP(-0.5*(($A267-'Control Room'!$A$14-('Control Room'!$B$14-1)/2)/MAX(0.5,'Control Room'!$B$14/4))^2),1)*IF(AND($A267&gt;='Control Room'!$A$15,$A267&lt;'Control Room'!$A$15+'Control Room'!$B$15,'Process'!BM4=1),1+('Control Room'!$C$15-1)*EXP(-0.5*(($A267-'Control Room'!$A$15-('Control Room'!$B$15-1)/2)/MAX(0.5,'Control Room'!$B$15/4))^2),1)*IF(AND($A267&gt;='Control Room'!$A$16,$A267&lt;'Control Room'!$A$16+'Control Room'!$B$16,'Process'!BM5=1),1+('Control Room'!$C$16-1)*EXP(-0.5*(($A267-'Control Room'!$A$16-('Control Room'!$B$16-1)/2)/MAX(0.5,'Control Room'!$B$16/4))^2),1)</x:f>
        <x:v>1</x:v>
      </x:c>
      <x:c r="Q267" s="9" t="n">
        <x:f>MOD(R266*16807,2147483647)</x:f>
        <x:v>824870911</x:v>
      </x:c>
      <x:c r="R267" s="9" t="n">
        <x:f>MOD(Q267*16807,2147483647)</x:f>
        <x:v>1598459792</x:v>
      </x:c>
      <x:c r="S267" s="17" t="n">
        <x:f>IF('Control Room'!$B$5="Normal",'Control Room'!$B$7+'Control Room'!$D$7*SQRT(-2*LN(MAX(0.000000000001,Q267/2147483647)))*COS(2*PI()*R267/2147483647),'Control Room'!$B$8+('Control Room'!$D$8-'Control Room'!$B$8)*Q267/2147483647)</x:f>
        <x:v>995.5739761636306</x:v>
      </x:c>
      <x:c r="T267" s="17" t="n">
        <x:f>IF('Control Room'!$B$5="Normal",'Control Room'!$B$7,('Control Room'!$B$8+'Control Room'!$D$8)/2)+'Control Room'!$B$9*(T266-IF('Control Room'!$B$5="Normal",'Control Room'!$B$7,('Control Room'!$B$8+'Control Room'!$D$8)/2))+SQRT(1-'Control Room'!$B$9^2)*(S267-IF('Control Room'!$B$5="Normal",'Control Room'!$B$7,('Control Room'!$B$8+'Control Room'!$D$8)/2))</x:f>
        <x:v>909.6075442963933</x:v>
      </x:c>
      <x:c r="U267" s="17" t="n">
        <x:f>IF(AND($A267&gt;='Control Room'!$A$13,$A267&lt;'Control Room'!$A$13+'Control Room'!$B$13,'Process'!BN2=1),1+('Control Room'!$C$13-1)*EXP(-0.5*(($A267-'Control Room'!$A$13-('Control Room'!$B$13-1)/2)/MAX(0.5,'Control Room'!$B$13/4))^2),1)*IF(AND($A267&gt;='Control Room'!$A$14,$A267&lt;'Control Room'!$A$14+'Control Room'!$B$14,'Process'!BN3=1),1+('Control Room'!$C$14-1)*EXP(-0.5*(($A267-'Control Room'!$A$14-('Control Room'!$B$14-1)/2)/MAX(0.5,'Control Room'!$B$14/4))^2),1)*IF(AND($A267&gt;='Control Room'!$A$15,$A267&lt;'Control Room'!$A$15+'Control Room'!$B$15,'Process'!BN4=1),1+('Control Room'!$C$15-1)*EXP(-0.5*(($A267-'Control Room'!$A$15-('Control Room'!$B$15-1)/2)/MAX(0.5,'Control Room'!$B$15/4))^2),1)*IF(AND($A267&gt;='Control Room'!$A$16,$A267&lt;'Control Room'!$A$16+'Control Room'!$B$16,'Process'!BN5=1),1+('Control Room'!$C$16-1)*EXP(-0.5*(($A267-'Control Room'!$A$16-('Control Room'!$B$16-1)/2)/MAX(0.5,'Control Room'!$B$16/4))^2),1)</x:f>
        <x:v>1</x:v>
      </x:c>
      <x:c r="V267" s="9" t="n">
        <x:f>MOD(W266*16807,2147483647)</x:f>
        <x:v>1232772263</x:v>
      </x:c>
      <x:c r="W267" s="9" t="n">
        <x:f>MOD(V267*16807,2147483647)</x:f>
        <x:v>281197985</x:v>
      </x:c>
      <x:c r="X267" s="17" t="n">
        <x:f>IF('Control Room'!$B$5="Normal",'Control Room'!$B$7+'Control Room'!$D$7*SQRT(-2*LN(MAX(0.000000000001,V267/2147483647)))*COS(2*PI()*W267/2147483647),'Control Room'!$B$8+('Control Room'!$D$8-'Control Room'!$B$8)*V267/2147483647)</x:f>
        <x:v>1064.5004861924017</x:v>
      </x:c>
      <x:c r="Y267" s="17" t="n">
        <x:f>IF('Control Room'!$B$5="Normal",'Control Room'!$B$7,('Control Room'!$B$8+'Control Room'!$D$8)/2)+'Control Room'!$B$9*(Y266-IF('Control Room'!$B$5="Normal",'Control Room'!$B$7,('Control Room'!$B$8+'Control Room'!$D$8)/2))+SQRT(1-'Control Room'!$B$9^2)*(X267-IF('Control Room'!$B$5="Normal",'Control Room'!$B$7,('Control Room'!$B$8+'Control Room'!$D$8)/2))</x:f>
        <x:v>996.3888767480565</x:v>
      </x:c>
      <x:c r="Z267" s="17" t="n">
        <x:f>IF(AND($A267&gt;='Control Room'!$A$13,$A267&lt;'Control Room'!$A$13+'Control Room'!$B$13,'Process'!BO2=1),1+('Control Room'!$C$13-1)*EXP(-0.5*(($A267-'Control Room'!$A$13-('Control Room'!$B$13-1)/2)/MAX(0.5,'Control Room'!$B$13/4))^2),1)*IF(AND($A267&gt;='Control Room'!$A$14,$A267&lt;'Control Room'!$A$14+'Control Room'!$B$14,'Process'!BO3=1),1+('Control Room'!$C$14-1)*EXP(-0.5*(($A267-'Control Room'!$A$14-('Control Room'!$B$14-1)/2)/MAX(0.5,'Control Room'!$B$14/4))^2),1)*IF(AND($A267&gt;='Control Room'!$A$15,$A267&lt;'Control Room'!$A$15+'Control Room'!$B$15,'Process'!BO4=1),1+('Control Room'!$C$15-1)*EXP(-0.5*(($A267-'Control Room'!$A$15-('Control Room'!$B$15-1)/2)/MAX(0.5,'Control Room'!$B$15/4))^2),1)*IF(AND($A267&gt;='Control Room'!$A$16,$A267&lt;'Control Room'!$A$16+'Control Room'!$B$16,'Process'!BO5=1),1+('Control Room'!$C$16-1)*EXP(-0.5*(($A267-'Control Room'!$A$16-('Control Room'!$B$16-1)/2)/MAX(0.5,'Control Room'!$B$16/4))^2),1)</x:f>
        <x:v>1</x:v>
      </x:c>
      <x:c r="AA267" s="9" t="n">
        <x:f>MOD(AB266*16807,2147483647)</x:f>
        <x:v>1640673615</x:v>
      </x:c>
      <x:c r="AB267" s="9" t="n">
        <x:f>MOD(AA267*16807,2147483647)</x:f>
        <x:v>1111419825</x:v>
      </x:c>
      <x:c r="AC267" s="17" t="n">
        <x:f>IF('Control Room'!$B$5="Normal",'Control Room'!$B$7+'Control Room'!$D$7*SQRT(-2*LN(MAX(0.000000000001,AA267/2147483647)))*COS(2*PI()*AB267/2147483647),'Control Room'!$B$8+('Control Room'!$D$8-'Control Room'!$B$8)*AA267/2147483647)</x:f>
        <x:v>934.3639327671477</x:v>
      </x:c>
      <x:c r="AD267" s="17" t="n">
        <x:f>IF('Control Room'!$B$5="Normal",'Control Room'!$B$7,('Control Room'!$B$8+'Control Room'!$D$8)/2)+'Control Room'!$B$9*(AD266-IF('Control Room'!$B$5="Normal",'Control Room'!$B$7,('Control Room'!$B$8+'Control Room'!$D$8)/2))+SQRT(1-'Control Room'!$B$9^2)*(AC267-IF('Control Room'!$B$5="Normal",'Control Room'!$B$7,('Control Room'!$B$8+'Control Room'!$D$8)/2))</x:f>
        <x:v>1004.4817907737032</x:v>
      </x:c>
      <x:c r="AE267" s="17" t="n">
        <x:f>IF(AND($A267&gt;='Control Room'!$A$13,$A267&lt;'Control Room'!$A$13+'Control Room'!$B$13,'Process'!BP2=1),1+('Control Room'!$C$13-1)*EXP(-0.5*(($A267-'Control Room'!$A$13-('Control Room'!$B$13-1)/2)/MAX(0.5,'Control Room'!$B$13/4))^2),1)*IF(AND($A267&gt;='Control Room'!$A$14,$A267&lt;'Control Room'!$A$14+'Control Room'!$B$14,'Process'!BP3=1),1+('Control Room'!$C$14-1)*EXP(-0.5*(($A267-'Control Room'!$A$14-('Control Room'!$B$14-1)/2)/MAX(0.5,'Control Room'!$B$14/4))^2),1)*IF(AND($A267&gt;='Control Room'!$A$15,$A267&lt;'Control Room'!$A$15+'Control Room'!$B$15,'Process'!BP4=1),1+('Control Room'!$C$15-1)*EXP(-0.5*(($A267-'Control Room'!$A$15-('Control Room'!$B$15-1)/2)/MAX(0.5,'Control Room'!$B$15/4))^2),1)*IF(AND($A267&gt;='Control Room'!$A$16,$A267&lt;'Control Room'!$A$16+'Control Room'!$B$16,'Process'!BP5=1),1+('Control Room'!$C$16-1)*EXP(-0.5*(($A267-'Control Room'!$A$16-('Control Room'!$B$16-1)/2)/MAX(0.5,'Control Room'!$B$16/4))^2),1)</x:f>
        <x:v>1</x:v>
      </x:c>
      <x:c r="AF267" s="9" t="n">
        <x:f>MOD(AG266*16807,2147483647)</x:f>
        <x:v>2048574967</x:v>
      </x:c>
      <x:c r="AG267" s="9" t="n">
        <x:f>MOD(AF267*16807,2147483647)</x:f>
        <x:v>1941641665</x:v>
      </x:c>
      <x:c r="AH267" s="17" t="n">
        <x:f>IF('Control Room'!$B$5="Normal",'Control Room'!$B$7+'Control Room'!$D$7*SQRT(-2*LN(MAX(0.000000000001,AF267/2147483647)))*COS(2*PI()*AG267/2147483647),'Control Room'!$B$8+('Control Room'!$D$8-'Control Room'!$B$8)*AF267/2147483647)</x:f>
        <x:v>1022.7754339448641</x:v>
      </x:c>
      <x:c r="AI267" s="17" t="n">
        <x:f>IF('Control Room'!$B$5="Normal",'Control Room'!$B$7,('Control Room'!$B$8+'Control Room'!$D$8)/2)+'Control Room'!$B$9*(AI266-IF('Control Room'!$B$5="Normal",'Control Room'!$B$7,('Control Room'!$B$8+'Control Room'!$D$8)/2))+SQRT(1-'Control Room'!$B$9^2)*(AH267-IF('Control Room'!$B$5="Normal",'Control Room'!$B$7,('Control Room'!$B$8+'Control Room'!$D$8)/2))</x:f>
        <x:v>952.0801045349099</x:v>
      </x:c>
      <x:c r="AJ267" s="17" t="n">
        <x:f>IF(AND($A267&gt;='Control Room'!$A$13,$A267&lt;'Control Room'!$A$13+'Control Room'!$B$13,'Process'!BQ2=1),1+('Control Room'!$C$13-1)*EXP(-0.5*(($A267-'Control Room'!$A$13-('Control Room'!$B$13-1)/2)/MAX(0.5,'Control Room'!$B$13/4))^2),1)*IF(AND($A267&gt;='Control Room'!$A$14,$A267&lt;'Control Room'!$A$14+'Control Room'!$B$14,'Process'!BQ3=1),1+('Control Room'!$C$14-1)*EXP(-0.5*(($A267-'Control Room'!$A$14-('Control Room'!$B$14-1)/2)/MAX(0.5,'Control Room'!$B$14/4))^2),1)*IF(AND($A267&gt;='Control Room'!$A$15,$A267&lt;'Control Room'!$A$15+'Control Room'!$B$15,'Process'!BQ4=1),1+('Control Room'!$C$15-1)*EXP(-0.5*(($A267-'Control Room'!$A$15-('Control Room'!$B$15-1)/2)/MAX(0.5,'Control Room'!$B$15/4))^2),1)*IF(AND($A267&gt;='Control Room'!$A$16,$A267&lt;'Control Room'!$A$16+'Control Room'!$B$16,'Process'!BQ5=1),1+('Control Room'!$C$16-1)*EXP(-0.5*(($A267-'Control Room'!$A$16-('Control Room'!$B$16-1)/2)/MAX(0.5,'Control Room'!$B$16/4))^2),1)</x:f>
        <x:v>1</x:v>
      </x:c>
      <x:c r="AK267" s="9" t="n">
        <x:f>MOD(AL266*16807,2147483647)</x:f>
        <x:v>308992672</x:v>
      </x:c>
      <x:c r="AL267" s="9" t="n">
        <x:f>MOD(AK267*16807,2147483647)</x:f>
        <x:v>624379858</x:v>
      </x:c>
      <x:c r="AM267" s="17" t="n">
        <x:f>IF('Control Room'!$B$5="Normal",'Control Room'!$B$7+'Control Room'!$D$7*SQRT(-2*LN(MAX(0.000000000001,AK267/2147483647)))*COS(2*PI()*AL267/2147483647),'Control Room'!$B$8+('Control Room'!$D$8-'Control Room'!$B$8)*AK267/2147483647)</x:f>
        <x:v>955.1188785536071</x:v>
      </x:c>
      <x:c r="AN267" s="17" t="n">
        <x:f>IF('Control Room'!$B$5="Normal",'Control Room'!$B$7,('Control Room'!$B$8+'Control Room'!$D$8)/2)+'Control Room'!$B$9*(AN266-IF('Control Room'!$B$5="Normal",'Control Room'!$B$7,('Control Room'!$B$8+'Control Room'!$D$8)/2))+SQRT(1-'Control Room'!$B$9^2)*(AM267-IF('Control Room'!$B$5="Normal",'Control Room'!$B$7,('Control Room'!$B$8+'Control Room'!$D$8)/2))</x:f>
        <x:v>1084.871500449576</x:v>
      </x:c>
      <x:c r="AO267" s="17" t="n">
        <x:f>IF(AND($A267&gt;='Control Room'!$A$13,$A267&lt;'Control Room'!$A$13+'Control Room'!$B$13,'Process'!BR2=1),1+('Control Room'!$C$13-1)*EXP(-0.5*(($A267-'Control Room'!$A$13-('Control Room'!$B$13-1)/2)/MAX(0.5,'Control Room'!$B$13/4))^2),1)*IF(AND($A267&gt;='Control Room'!$A$14,$A267&lt;'Control Room'!$A$14+'Control Room'!$B$14,'Process'!BR3=1),1+('Control Room'!$C$14-1)*EXP(-0.5*(($A267-'Control Room'!$A$14-('Control Room'!$B$14-1)/2)/MAX(0.5,'Control Room'!$B$14/4))^2),1)*IF(AND($A267&gt;='Control Room'!$A$15,$A267&lt;'Control Room'!$A$15+'Control Room'!$B$15,'Process'!BR4=1),1+('Control Room'!$C$15-1)*EXP(-0.5*(($A267-'Control Room'!$A$15-('Control Room'!$B$15-1)/2)/MAX(0.5,'Control Room'!$B$15/4))^2),1)*IF(AND($A267&gt;='Control Room'!$A$16,$A267&lt;'Control Room'!$A$16+'Control Room'!$B$16,'Process'!BR5=1),1+('Control Room'!$C$16-1)*EXP(-0.5*(($A267-'Control Room'!$A$16-('Control Room'!$B$16-1)/2)/MAX(0.5,'Control Room'!$B$16/4))^2),1)</x:f>
        <x:v>1</x:v>
      </x:c>
      <x:c r="AP267" s="9" t="n">
        <x:f>MOD(AQ266*16807,2147483647)</x:f>
        <x:v>716894024</x:v>
      </x:c>
      <x:c r="AQ267" s="9" t="n">
        <x:f>MOD(AP267*16807,2147483647)</x:f>
        <x:v>1454601698</x:v>
      </x:c>
      <x:c r="AR267" s="17" t="n">
        <x:f>IF('Control Room'!$B$5="Normal",'Control Room'!$B$7+'Control Room'!$D$7*SQRT(-2*LN(MAX(0.000000000001,AP267/2147483647)))*COS(2*PI()*AQ267/2147483647),'Control Room'!$B$8+('Control Room'!$D$8-'Control Room'!$B$8)*AP267/2147483647)</x:f>
        <x:v>941.2371202233734</x:v>
      </x:c>
      <x:c r="AS267" s="17" t="n">
        <x:f>IF('Control Room'!$B$5="Normal",'Control Room'!$B$7,('Control Room'!$B$8+'Control Room'!$D$8)/2)+'Control Room'!$B$9*(AS266-IF('Control Room'!$B$5="Normal",'Control Room'!$B$7,('Control Room'!$B$8+'Control Room'!$D$8)/2))+SQRT(1-'Control Room'!$B$9^2)*(AR267-IF('Control Room'!$B$5="Normal",'Control Room'!$B$7,('Control Room'!$B$8+'Control Room'!$D$8)/2))</x:f>
        <x:v>984.455280481089</x:v>
      </x:c>
      <x:c r="AT267" s="17" t="n">
        <x:f>IF(AND($A267&gt;='Control Room'!$A$13,$A267&lt;'Control Room'!$A$13+'Control Room'!$B$13,'Process'!BS2=1),1+('Control Room'!$C$13-1)*EXP(-0.5*(($A267-'Control Room'!$A$13-('Control Room'!$B$13-1)/2)/MAX(0.5,'Control Room'!$B$13/4))^2),1)*IF(AND($A267&gt;='Control Room'!$A$14,$A267&lt;'Control Room'!$A$14+'Control Room'!$B$14,'Process'!BS3=1),1+('Control Room'!$C$14-1)*EXP(-0.5*(($A267-'Control Room'!$A$14-('Control Room'!$B$14-1)/2)/MAX(0.5,'Control Room'!$B$14/4))^2),1)*IF(AND($A267&gt;='Control Room'!$A$15,$A267&lt;'Control Room'!$A$15+'Control Room'!$B$15,'Process'!BS4=1),1+('Control Room'!$C$15-1)*EXP(-0.5*(($A267-'Control Room'!$A$15-('Control Room'!$B$15-1)/2)/MAX(0.5,'Control Room'!$B$15/4))^2),1)*IF(AND($A267&gt;='Control Room'!$A$16,$A267&lt;'Control Room'!$A$16+'Control Room'!$B$16,'Process'!BS5=1),1+('Control Room'!$C$16-1)*EXP(-0.5*(($A267-'Control Room'!$A$16-('Control Room'!$B$16-1)/2)/MAX(0.5,'Control Room'!$B$16/4))^2),1)</x:f>
        <x:v>1</x:v>
      </x:c>
      <x:c r="AU267" s="9" t="n">
        <x:f>MOD(AV266*16807,2147483647)</x:f>
        <x:v>1124795376</x:v>
      </x:c>
      <x:c r="AV267" s="9" t="n">
        <x:f>MOD(AU267*16807,2147483647)</x:f>
        <x:v>137339891</x:v>
      </x:c>
      <x:c r="AW267" s="17" t="n">
        <x:f>IF('Control Room'!$B$5="Normal",'Control Room'!$B$7+'Control Room'!$D$7*SQRT(-2*LN(MAX(0.000000000001,AU267/2147483647)))*COS(2*PI()*AV267/2147483647),'Control Room'!$B$8+('Control Room'!$D$8-'Control Room'!$B$8)*AU267/2147483647)</x:f>
        <x:v>1094.2015920589838</x:v>
      </x:c>
      <x:c r="AX267" s="17" t="n">
        <x:f>IF('Control Room'!$B$5="Normal",'Control Room'!$B$7,('Control Room'!$B$8+'Control Room'!$D$8)/2)+'Control Room'!$B$9*(AX266-IF('Control Room'!$B$5="Normal",'Control Room'!$B$7,('Control Room'!$B$8+'Control Room'!$D$8)/2))+SQRT(1-'Control Room'!$B$9^2)*(AW267-IF('Control Room'!$B$5="Normal",'Control Room'!$B$7,('Control Room'!$B$8+'Control Room'!$D$8)/2))</x:f>
        <x:v>1102.9632888806057</x:v>
      </x:c>
      <x:c r="AY267" s="17" t="n">
        <x:f>IF(AND($A267&gt;='Control Room'!$A$13,$A267&lt;'Control Room'!$A$13+'Control Room'!$B$13,'Process'!BT2=1),1+('Control Room'!$C$13-1)*EXP(-0.5*(($A267-'Control Room'!$A$13-('Control Room'!$B$13-1)/2)/MAX(0.5,'Control Room'!$B$13/4))^2),1)*IF(AND($A267&gt;='Control Room'!$A$14,$A267&lt;'Control Room'!$A$14+'Control Room'!$B$14,'Process'!BT3=1),1+('Control Room'!$C$14-1)*EXP(-0.5*(($A267-'Control Room'!$A$14-('Control Room'!$B$14-1)/2)/MAX(0.5,'Control Room'!$B$14/4))^2),1)*IF(AND($A267&gt;='Control Room'!$A$15,$A267&lt;'Control Room'!$A$15+'Control Room'!$B$15,'Process'!BT4=1),1+('Control Room'!$C$15-1)*EXP(-0.5*(($A267-'Control Room'!$A$15-('Control Room'!$B$15-1)/2)/MAX(0.5,'Control Room'!$B$15/4))^2),1)*IF(AND($A267&gt;='Control Room'!$A$16,$A267&lt;'Control Room'!$A$16+'Control Room'!$B$16,'Process'!BT5=1),1+('Control Room'!$C$16-1)*EXP(-0.5*(($A267-'Control Room'!$A$16-('Control Room'!$B$16-1)/2)/MAX(0.5,'Control Room'!$B$16/4))^2),1)</x:f>
        <x:v>1</x:v>
      </x:c>
      <x:c r="AZ267" s="9" t="n">
        <x:f>MOD(BA266*16807,2147483647)</x:f>
        <x:v>1532696728</x:v>
      </x:c>
      <x:c r="BA267" s="9" t="n">
        <x:f>MOD(AZ267*16807,2147483647)</x:f>
        <x:v>967561731</x:v>
      </x:c>
      <x:c r="BB267" s="17" t="n">
        <x:f>IF('Control Room'!$B$5="Normal",'Control Room'!$B$7+'Control Room'!$D$7*SQRT(-2*LN(MAX(0.000000000001,AZ267/2147483647)))*COS(2*PI()*BA267/2147483647),'Control Room'!$B$8+('Control Room'!$D$8-'Control Room'!$B$8)*AZ267/2147483647)</x:f>
        <x:v>929.6212612780012</x:v>
      </x:c>
      <x:c r="BC267" s="17" t="n">
        <x:f>IF('Control Room'!$B$5="Normal",'Control Room'!$B$7,('Control Room'!$B$8+'Control Room'!$D$8)/2)+'Control Room'!$B$9*(BC266-IF('Control Room'!$B$5="Normal",'Control Room'!$B$7,('Control Room'!$B$8+'Control Room'!$D$8)/2))+SQRT(1-'Control Room'!$B$9^2)*(BB267-IF('Control Room'!$B$5="Normal",'Control Room'!$B$7,('Control Room'!$B$8+'Control Room'!$D$8)/2))</x:f>
        <x:v>1013.4347496955071</x:v>
      </x:c>
      <x:c r="BD267" s="17" t="n">
        <x:f>IF(AND($A267&gt;='Control Room'!$A$13,$A267&lt;'Control Room'!$A$13+'Control Room'!$B$13,'Process'!BU2=1),1+('Control Room'!$C$13-1)*EXP(-0.5*(($A267-'Control Room'!$A$13-('Control Room'!$B$13-1)/2)/MAX(0.5,'Control Room'!$B$13/4))^2),1)*IF(AND($A267&gt;='Control Room'!$A$14,$A267&lt;'Control Room'!$A$14+'Control Room'!$B$14,'Process'!BU3=1),1+('Control Room'!$C$14-1)*EXP(-0.5*(($A267-'Control Room'!$A$14-('Control Room'!$B$14-1)/2)/MAX(0.5,'Control Room'!$B$14/4))^2),1)*IF(AND($A267&gt;='Control Room'!$A$15,$A267&lt;'Control Room'!$A$15+'Control Room'!$B$15,'Process'!BU4=1),1+('Control Room'!$C$15-1)*EXP(-0.5*(($A267-'Control Room'!$A$15-('Control Room'!$B$15-1)/2)/MAX(0.5,'Control Room'!$B$15/4))^2),1)*IF(AND($A267&gt;='Control Room'!$A$16,$A267&lt;'Control Room'!$A$16+'Control Room'!$B$16,'Process'!BU5=1),1+('Control Room'!$C$16-1)*EXP(-0.5*(($A267-'Control Room'!$A$16-('Control Room'!$B$16-1)/2)/MAX(0.5,'Control Room'!$B$16/4))^2),1)</x:f>
        <x:v>1</x:v>
      </x:c>
      <x:c r="BE267" s="9" t="n">
        <x:f>MOD(BF266*16807,2147483647)</x:f>
        <x:v>1940598080</x:v>
      </x:c>
      <x:c r="BF267" s="9" t="n">
        <x:f>MOD(BE267*16807,2147483647)</x:f>
        <x:v>1797783571</x:v>
      </x:c>
      <x:c r="BG267" s="17" t="n">
        <x:f>IF('Control Room'!$B$5="Normal",'Control Room'!$B$7+'Control Room'!$D$7*SQRT(-2*LN(MAX(0.000000000001,BE267/2147483647)))*COS(2*PI()*BF267/2147483647),'Control Room'!$B$8+('Control Room'!$D$8-'Control Room'!$B$8)*BE267/2147483647)</x:f>
        <x:v>1021.0922481337067</x:v>
      </x:c>
      <x:c r="BH267" s="17" t="n">
        <x:f>IF('Control Room'!$B$5="Normal",'Control Room'!$B$7,('Control Room'!$B$8+'Control Room'!$D$8)/2)+'Control Room'!$B$9*(BH266-IF('Control Room'!$B$5="Normal",'Control Room'!$B$7,('Control Room'!$B$8+'Control Room'!$D$8)/2))+SQRT(1-'Control Room'!$B$9^2)*(BG267-IF('Control Room'!$B$5="Normal",'Control Room'!$B$7,('Control Room'!$B$8+'Control Room'!$D$8)/2))</x:f>
        <x:v>984.699312366819</x:v>
      </x:c>
      <x:c r="BI267" s="17" t="n">
        <x:f>IF(AND($A267&gt;='Control Room'!$A$13,$A267&lt;'Control Room'!$A$13+'Control Room'!$B$13,'Process'!BV2=1),1+('Control Room'!$C$13-1)*EXP(-0.5*(($A267-'Control Room'!$A$13-('Control Room'!$B$13-1)/2)/MAX(0.5,'Control Room'!$B$13/4))^2),1)*IF(AND($A267&gt;='Control Room'!$A$14,$A267&lt;'Control Room'!$A$14+'Control Room'!$B$14,'Process'!BV3=1),1+('Control Room'!$C$14-1)*EXP(-0.5*(($A267-'Control Room'!$A$14-('Control Room'!$B$14-1)/2)/MAX(0.5,'Control Room'!$B$14/4))^2),1)*IF(AND($A267&gt;='Control Room'!$A$15,$A267&lt;'Control Room'!$A$15+'Control Room'!$B$15,'Process'!BV4=1),1+('Control Room'!$C$15-1)*EXP(-0.5*(($A267-'Control Room'!$A$15-('Control Room'!$B$15-1)/2)/MAX(0.5,'Control Room'!$B$15/4))^2),1)*IF(AND($A267&gt;='Control Room'!$A$16,$A267&lt;'Control Room'!$A$16+'Control Room'!$B$16,'Process'!BV5=1),1+('Control Room'!$C$16-1)*EXP(-0.5*(($A267-'Control Room'!$A$16-('Control Room'!$B$16-1)/2)/MAX(0.5,'Control Room'!$B$16/4))^2),1)</x:f>
        <x:v>1</x:v>
      </x:c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Z267" t="str">
        <x:f>IF('Data'!A267="","",TEXT('Data'!A267,"mm-dd"))</x:f>
      </x:c>
    </x:row>
    <x:row r="268" ht="21" customHeight="1">
      <x:c r="A268" s="15" t="n">
        <x:f>'Control Room'!$B$1+266</x:f>
        <x:v>73257</x:v>
      </x:c>
      <x:c r="B268" s="9" t="n">
        <x:f>MOD(C267*16807,2147483647)</x:f>
        <x:v>576636505</x:v>
      </x:c>
      <x:c r="C268" s="9" t="n">
        <x:f>MOD(B268*16807,2147483647)</x:f>
        <x:v>2083524271</x:v>
      </x:c>
      <x:c r="D268" s="17" t="n">
        <x:f>IF('Control Room'!$B$5="Normal",'Control Room'!$B$7+'Control Room'!$D$7*SQRT(-2*LN(MAX(0.000000000001,B268/2147483647)))*COS(2*PI()*C268/2147483647),'Control Room'!$B$8+('Control Room'!$D$8-'Control Room'!$B$8)*B268/2147483647)</x:f>
        <x:v>1143.398559342349</x:v>
      </x:c>
      <x:c r="E268" s="17" t="n">
        <x:f>IF('Control Room'!$B$5="Normal",'Control Room'!$B$7,('Control Room'!$B$8+'Control Room'!$D$8)/2)+'Control Room'!$B$9*(E267-IF('Control Room'!$B$5="Normal",'Control Room'!$B$7,('Control Room'!$B$8+'Control Room'!$D$8)/2))+SQRT(1-'Control Room'!$B$9^2)*(D268-IF('Control Room'!$B$5="Normal",'Control Room'!$B$7,('Control Room'!$B$8+'Control Room'!$D$8)/2))</x:f>
        <x:v>975.1749380004844</x:v>
      </x:c>
      <x:c r="F268" s="17" t="n">
        <x:f>IF(AND($A268&gt;='Control Room'!$A$13,$A268&lt;'Control Room'!$A$13+'Control Room'!$B$13,'Process'!BK2=1),1+('Control Room'!$C$13-1)*EXP(-0.5*(($A268-'Control Room'!$A$13-('Control Room'!$B$13-1)/2)/MAX(0.5,'Control Room'!$B$13/4))^2),1)*IF(AND($A268&gt;='Control Room'!$A$14,$A268&lt;'Control Room'!$A$14+'Control Room'!$B$14,'Process'!BK3=1),1+('Control Room'!$C$14-1)*EXP(-0.5*(($A268-'Control Room'!$A$14-('Control Room'!$B$14-1)/2)/MAX(0.5,'Control Room'!$B$14/4))^2),1)*IF(AND($A268&gt;='Control Room'!$A$15,$A268&lt;'Control Room'!$A$15+'Control Room'!$B$15,'Process'!BK4=1),1+('Control Room'!$C$15-1)*EXP(-0.5*(($A268-'Control Room'!$A$15-('Control Room'!$B$15-1)/2)/MAX(0.5,'Control Room'!$B$15/4))^2),1)*IF(AND($A268&gt;='Control Room'!$A$16,$A268&lt;'Control Room'!$A$16+'Control Room'!$B$16,'Process'!BK5=1),1+('Control Room'!$C$16-1)*EXP(-0.5*(($A268-'Control Room'!$A$16-('Control Room'!$B$16-1)/2)/MAX(0.5,'Control Room'!$B$16/4))^2),1)</x:f>
        <x:v>1</x:v>
      </x:c>
      <x:c r="G268" s="9" t="n">
        <x:f>MOD(H267*16807,2147483647)</x:f>
        <x:v>1913846826</x:v>
      </x:c>
      <x:c r="H268" s="9" t="n">
        <x:f>MOD(G268*16807,2147483647)</x:f>
        <x:v>1013539816</x:v>
      </x:c>
      <x:c r="I268" s="17" t="n">
        <x:f>IF('Control Room'!$B$5="Normal",'Control Room'!$B$7+'Control Room'!$D$7*SQRT(-2*LN(MAX(0.000000000001,G268/2147483647)))*COS(2*PI()*H268/2147483647),'Control Room'!$B$8+('Control Room'!$D$8-'Control Room'!$B$8)*G268/2147483647)</x:f>
        <x:v>957.4718403246151</x:v>
      </x:c>
      <x:c r="J268" s="17" t="n">
        <x:f>IF('Control Room'!$B$5="Normal",'Control Room'!$B$7,('Control Room'!$B$8+'Control Room'!$D$8)/2)+'Control Room'!$B$9*(J267-IF('Control Room'!$B$5="Normal",'Control Room'!$B$7,('Control Room'!$B$8+'Control Room'!$D$8)/2))+SQRT(1-'Control Room'!$B$9^2)*(I268-IF('Control Room'!$B$5="Normal",'Control Room'!$B$7,('Control Room'!$B$8+'Control Room'!$D$8)/2))</x:f>
        <x:v>1195.326676068065</x:v>
      </x:c>
      <x:c r="K268" s="17" t="n">
        <x:f>IF(AND($A268&gt;='Control Room'!$A$13,$A268&lt;'Control Room'!$A$13+'Control Room'!$B$13,'Process'!BL2=1),1+('Control Room'!$C$13-1)*EXP(-0.5*(($A268-'Control Room'!$A$13-('Control Room'!$B$13-1)/2)/MAX(0.5,'Control Room'!$B$13/4))^2),1)*IF(AND($A268&gt;='Control Room'!$A$14,$A268&lt;'Control Room'!$A$14+'Control Room'!$B$14,'Process'!BL3=1),1+('Control Room'!$C$14-1)*EXP(-0.5*(($A268-'Control Room'!$A$14-('Control Room'!$B$14-1)/2)/MAX(0.5,'Control Room'!$B$14/4))^2),1)*IF(AND($A268&gt;='Control Room'!$A$15,$A268&lt;'Control Room'!$A$15+'Control Room'!$B$15,'Process'!BL4=1),1+('Control Room'!$C$15-1)*EXP(-0.5*(($A268-'Control Room'!$A$15-('Control Room'!$B$15-1)/2)/MAX(0.5,'Control Room'!$B$15/4))^2),1)*IF(AND($A268&gt;='Control Room'!$A$16,$A268&lt;'Control Room'!$A$16+'Control Room'!$B$16,'Process'!BL5=1),1+('Control Room'!$C$16-1)*EXP(-0.5*(($A268-'Control Room'!$A$16-('Control Room'!$B$16-1)/2)/MAX(0.5,'Control Room'!$B$16/4))^2),1)</x:f>
        <x:v>1</x:v>
      </x:c>
      <x:c r="L268" s="9" t="n">
        <x:f>MOD(M267*16807,2147483647)</x:f>
        <x:v>1103573500</x:v>
      </x:c>
      <x:c r="M268" s="9" t="n">
        <x:f>MOD(L268*16807,2147483647)</x:f>
        <x:v>2091039008</x:v>
      </x:c>
      <x:c r="N268" s="17" t="n">
        <x:f>IF('Control Room'!$B$5="Normal",'Control Room'!$B$7+'Control Room'!$D$7*SQRT(-2*LN(MAX(0.000000000001,L268/2147483647)))*COS(2*PI()*M268/2147483647),'Control Room'!$B$8+('Control Room'!$D$8-'Control Room'!$B$8)*L268/2147483647)</x:f>
        <x:v>1102.4380574314919</x:v>
      </x:c>
      <x:c r="O268" s="17" t="n">
        <x:f>IF('Control Room'!$B$5="Normal",'Control Room'!$B$7,('Control Room'!$B$8+'Control Room'!$D$8)/2)+'Control Room'!$B$9*(O267-IF('Control Room'!$B$5="Normal",'Control Room'!$B$7,('Control Room'!$B$8+'Control Room'!$D$8)/2))+SQRT(1-'Control Room'!$B$9^2)*(N268-IF('Control Room'!$B$5="Normal",'Control Room'!$B$7,('Control Room'!$B$8+'Control Room'!$D$8)/2))</x:f>
        <x:v>1022.8122374646925</x:v>
      </x:c>
      <x:c r="P268" s="17" t="n">
        <x:f>IF(AND($A268&gt;='Control Room'!$A$13,$A268&lt;'Control Room'!$A$13+'Control Room'!$B$13,'Process'!BM2=1),1+('Control Room'!$C$13-1)*EXP(-0.5*(($A268-'Control Room'!$A$13-('Control Room'!$B$13-1)/2)/MAX(0.5,'Control Room'!$B$13/4))^2),1)*IF(AND($A268&gt;='Control Room'!$A$14,$A268&lt;'Control Room'!$A$14+'Control Room'!$B$14,'Process'!BM3=1),1+('Control Room'!$C$14-1)*EXP(-0.5*(($A268-'Control Room'!$A$14-('Control Room'!$B$14-1)/2)/MAX(0.5,'Control Room'!$B$14/4))^2),1)*IF(AND($A268&gt;='Control Room'!$A$15,$A268&lt;'Control Room'!$A$15+'Control Room'!$B$15,'Process'!BM4=1),1+('Control Room'!$C$15-1)*EXP(-0.5*(($A268-'Control Room'!$A$15-('Control Room'!$B$15-1)/2)/MAX(0.5,'Control Room'!$B$15/4))^2),1)*IF(AND($A268&gt;='Control Room'!$A$16,$A268&lt;'Control Room'!$A$16+'Control Room'!$B$16,'Process'!BM5=1),1+('Control Room'!$C$16-1)*EXP(-0.5*(($A268-'Control Room'!$A$16-('Control Room'!$B$16-1)/2)/MAX(0.5,'Control Room'!$B$16/4))^2),1)</x:f>
        <x:v>1</x:v>
      </x:c>
      <x:c r="Q268" s="9" t="n">
        <x:f>MOD(R267*16807,2147483647)</x:f>
        <x:v>293300174</x:v>
      </x:c>
      <x:c r="R268" s="9" t="n">
        <x:f>MOD(Q268*16807,2147483647)</x:f>
        <x:v>1021054553</x:v>
      </x:c>
      <x:c r="S268" s="17" t="n">
        <x:f>IF('Control Room'!$B$5="Normal",'Control Room'!$B$7+'Control Room'!$D$7*SQRT(-2*LN(MAX(0.000000000001,Q268/2147483647)))*COS(2*PI()*R268/2147483647),'Control Room'!$B$8+('Control Room'!$D$8-'Control Room'!$B$8)*Q268/2147483647)</x:f>
        <x:v>822.5415779864745</x:v>
      </x:c>
      <x:c r="T268" s="17" t="n">
        <x:f>IF('Control Room'!$B$5="Normal",'Control Room'!$B$7,('Control Room'!$B$8+'Control Room'!$D$8)/2)+'Control Room'!$B$9*(T267-IF('Control Room'!$B$5="Normal",'Control Room'!$B$7,('Control Room'!$B$8+'Control Room'!$D$8)/2))+SQRT(1-'Control Room'!$B$9^2)*(S268-IF('Control Room'!$B$5="Normal",'Control Room'!$B$7,('Control Room'!$B$8+'Control Room'!$D$8)/2))</x:f>
        <x:v>818.4440394885008</x:v>
      </x:c>
      <x:c r="U268" s="17" t="n">
        <x:f>IF(AND($A268&gt;='Control Room'!$A$13,$A268&lt;'Control Room'!$A$13+'Control Room'!$B$13,'Process'!BN2=1),1+('Control Room'!$C$13-1)*EXP(-0.5*(($A268-'Control Room'!$A$13-('Control Room'!$B$13-1)/2)/MAX(0.5,'Control Room'!$B$13/4))^2),1)*IF(AND($A268&gt;='Control Room'!$A$14,$A268&lt;'Control Room'!$A$14+'Control Room'!$B$14,'Process'!BN3=1),1+('Control Room'!$C$14-1)*EXP(-0.5*(($A268-'Control Room'!$A$14-('Control Room'!$B$14-1)/2)/MAX(0.5,'Control Room'!$B$14/4))^2),1)*IF(AND($A268&gt;='Control Room'!$A$15,$A268&lt;'Control Room'!$A$15+'Control Room'!$B$15,'Process'!BN4=1),1+('Control Room'!$C$15-1)*EXP(-0.5*(($A268-'Control Room'!$A$15-('Control Room'!$B$15-1)/2)/MAX(0.5,'Control Room'!$B$15/4))^2),1)*IF(AND($A268&gt;='Control Room'!$A$16,$A268&lt;'Control Room'!$A$16+'Control Room'!$B$16,'Process'!BN5=1),1+('Control Room'!$C$16-1)*EXP(-0.5*(($A268-'Control Room'!$A$16-('Control Room'!$B$16-1)/2)/MAX(0.5,'Control Room'!$B$16/4))^2),1)</x:f>
        <x:v>1</x:v>
      </x:c>
      <x:c r="V268" s="9" t="n">
        <x:f>MOD(W267*16807,2147483647)</x:f>
        <x:v>1630510495</x:v>
      </x:c>
      <x:c r="W268" s="9" t="n">
        <x:f>MOD(V268*16807,2147483647)</x:f>
        <x:v>2098553745</x:v>
      </x:c>
      <x:c r="X268" s="17" t="n">
        <x:f>IF('Control Room'!$B$5="Normal",'Control Room'!$B$7+'Control Room'!$D$7*SQRT(-2*LN(MAX(0.000000000001,V268/2147483647)))*COS(2*PI()*W268/2147483647),'Control Room'!$B$8+('Control Room'!$D$8-'Control Room'!$B$8)*V268/2147483647)</x:f>
        <x:v>1066.111436383628</x:v>
      </x:c>
      <x:c r="Y268" s="17" t="n">
        <x:f>IF('Control Room'!$B$5="Normal",'Control Room'!$B$7,('Control Room'!$B$8+'Control Room'!$D$8)/2)+'Control Room'!$B$9*(Y267-IF('Control Room'!$B$5="Normal",'Control Room'!$B$7,('Control Room'!$B$8+'Control Room'!$D$8)/2))+SQRT(1-'Control Room'!$B$9^2)*(X268-IF('Control Room'!$B$5="Normal",'Control Room'!$B$7,('Control Room'!$B$8+'Control Room'!$D$8)/2))</x:f>
        <x:v>1038.554506385968</x:v>
      </x:c>
      <x:c r="Z268" s="17" t="n">
        <x:f>IF(AND($A268&gt;='Control Room'!$A$13,$A268&lt;'Control Room'!$A$13+'Control Room'!$B$13,'Process'!BO2=1),1+('Control Room'!$C$13-1)*EXP(-0.5*(($A268-'Control Room'!$A$13-('Control Room'!$B$13-1)/2)/MAX(0.5,'Control Room'!$B$13/4))^2),1)*IF(AND($A268&gt;='Control Room'!$A$14,$A268&lt;'Control Room'!$A$14+'Control Room'!$B$14,'Process'!BO3=1),1+('Control Room'!$C$14-1)*EXP(-0.5*(($A268-'Control Room'!$A$14-('Control Room'!$B$14-1)/2)/MAX(0.5,'Control Room'!$B$14/4))^2),1)*IF(AND($A268&gt;='Control Room'!$A$15,$A268&lt;'Control Room'!$A$15+'Control Room'!$B$15,'Process'!BO4=1),1+('Control Room'!$C$15-1)*EXP(-0.5*(($A268-'Control Room'!$A$15-('Control Room'!$B$15-1)/2)/MAX(0.5,'Control Room'!$B$15/4))^2),1)*IF(AND($A268&gt;='Control Room'!$A$16,$A268&lt;'Control Room'!$A$16+'Control Room'!$B$16,'Process'!BO5=1),1+('Control Room'!$C$16-1)*EXP(-0.5*(($A268-'Control Room'!$A$16-('Control Room'!$B$16-1)/2)/MAX(0.5,'Control Room'!$B$16/4))^2),1)</x:f>
        <x:v>1</x:v>
      </x:c>
      <x:c r="AA268" s="9" t="n">
        <x:f>MOD(AB267*16807,2147483647)</x:f>
        <x:v>820237169</x:v>
      </x:c>
      <x:c r="AB268" s="9" t="n">
        <x:f>MOD(AA268*16807,2147483647)</x:f>
        <x:v>1028569290</x:v>
      </x:c>
      <x:c r="AC268" s="17" t="n">
        <x:f>IF('Control Room'!$B$5="Normal",'Control Room'!$B$7+'Control Room'!$D$7*SQRT(-2*LN(MAX(0.000000000001,AA268/2147483647)))*COS(2*PI()*AB268/2147483647),'Control Room'!$B$8+('Control Room'!$D$8-'Control Room'!$B$8)*AA268/2147483647)</x:f>
        <x:v>876.2217772442738</x:v>
      </x:c>
      <x:c r="AD268" s="17" t="n">
        <x:f>IF('Control Room'!$B$5="Normal",'Control Room'!$B$7,('Control Room'!$B$8+'Control Room'!$D$8)/2)+'Control Room'!$B$9*(AD267-IF('Control Room'!$B$5="Normal",'Control Room'!$B$7,('Control Room'!$B$8+'Control Room'!$D$8)/2))+SQRT(1-'Control Room'!$B$9^2)*(AC268-IF('Control Room'!$B$5="Normal",'Control Room'!$B$7,('Control Room'!$B$8+'Control Room'!$D$8)/2))</x:f>
        <x:v>926.0379207376776</x:v>
      </x:c>
      <x:c r="AE268" s="17" t="n">
        <x:f>IF(AND($A268&gt;='Control Room'!$A$13,$A268&lt;'Control Room'!$A$13+'Control Room'!$B$13,'Process'!BP2=1),1+('Control Room'!$C$13-1)*EXP(-0.5*(($A268-'Control Room'!$A$13-('Control Room'!$B$13-1)/2)/MAX(0.5,'Control Room'!$B$13/4))^2),1)*IF(AND($A268&gt;='Control Room'!$A$14,$A268&lt;'Control Room'!$A$14+'Control Room'!$B$14,'Process'!BP3=1),1+('Control Room'!$C$14-1)*EXP(-0.5*(($A268-'Control Room'!$A$14-('Control Room'!$B$14-1)/2)/MAX(0.5,'Control Room'!$B$14/4))^2),1)*IF(AND($A268&gt;='Control Room'!$A$15,$A268&lt;'Control Room'!$A$15+'Control Room'!$B$15,'Process'!BP4=1),1+('Control Room'!$C$15-1)*EXP(-0.5*(($A268-'Control Room'!$A$15-('Control Room'!$B$15-1)/2)/MAX(0.5,'Control Room'!$B$15/4))^2),1)*IF(AND($A268&gt;='Control Room'!$A$16,$A268&lt;'Control Room'!$A$16+'Control Room'!$B$16,'Process'!BP5=1),1+('Control Room'!$C$16-1)*EXP(-0.5*(($A268-'Control Room'!$A$16-('Control Room'!$B$16-1)/2)/MAX(0.5,'Control Room'!$B$16/4))^2),1)</x:f>
        <x:v>1</x:v>
      </x:c>
      <x:c r="AF268" s="9" t="n">
        <x:f>MOD(AG267*16807,2147483647)</x:f>
        <x:v>9963843</x:v>
      </x:c>
      <x:c r="AG268" s="9" t="n">
        <x:f>MOD(AF268*16807,2147483647)</x:f>
        <x:v>2106068482</x:v>
      </x:c>
      <x:c r="AH268" s="17" t="n">
        <x:f>IF('Control Room'!$B$5="Normal",'Control Room'!$B$7+'Control Room'!$D$7*SQRT(-2*LN(MAX(0.000000000001,AF268/2147483647)))*COS(2*PI()*AG268/2147483647),'Control Room'!$B$8+('Control Room'!$D$8-'Control Room'!$B$8)*AF268/2147483647)</x:f>
        <x:v>1292.868927513591</x:v>
      </x:c>
      <x:c r="AI268" s="17" t="n">
        <x:f>IF('Control Room'!$B$5="Normal",'Control Room'!$B$7,('Control Room'!$B$8+'Control Room'!$D$8)/2)+'Control Room'!$B$9*(AI267-IF('Control Room'!$B$5="Normal",'Control Room'!$B$7,('Control Room'!$B$8+'Control Room'!$D$8)/2))+SQRT(1-'Control Room'!$B$9^2)*(AH268-IF('Control Room'!$B$5="Normal",'Control Room'!$B$7,('Control Room'!$B$8+'Control Room'!$D$8)/2))</x:f>
        <x:v>1145.8938566291397</x:v>
      </x:c>
      <x:c r="AJ268" s="17" t="n">
        <x:f>IF(AND($A268&gt;='Control Room'!$A$13,$A268&lt;'Control Room'!$A$13+'Control Room'!$B$13,'Process'!BQ2=1),1+('Control Room'!$C$13-1)*EXP(-0.5*(($A268-'Control Room'!$A$13-('Control Room'!$B$13-1)/2)/MAX(0.5,'Control Room'!$B$13/4))^2),1)*IF(AND($A268&gt;='Control Room'!$A$14,$A268&lt;'Control Room'!$A$14+'Control Room'!$B$14,'Process'!BQ3=1),1+('Control Room'!$C$14-1)*EXP(-0.5*(($A268-'Control Room'!$A$14-('Control Room'!$B$14-1)/2)/MAX(0.5,'Control Room'!$B$14/4))^2),1)*IF(AND($A268&gt;='Control Room'!$A$15,$A268&lt;'Control Room'!$A$15+'Control Room'!$B$15,'Process'!BQ4=1),1+('Control Room'!$C$15-1)*EXP(-0.5*(($A268-'Control Room'!$A$15-('Control Room'!$B$15-1)/2)/MAX(0.5,'Control Room'!$B$15/4))^2),1)*IF(AND($A268&gt;='Control Room'!$A$16,$A268&lt;'Control Room'!$A$16+'Control Room'!$B$16,'Process'!BQ5=1),1+('Control Room'!$C$16-1)*EXP(-0.5*(($A268-'Control Room'!$A$16-('Control Room'!$B$16-1)/2)/MAX(0.5,'Control Room'!$B$16/4))^2),1)</x:f>
        <x:v>1</x:v>
      </x:c>
      <x:c r="AK268" s="9" t="n">
        <x:f>MOD(AL267*16807,2147483647)</x:f>
        <x:v>1347174164</x:v>
      </x:c>
      <x:c r="AL268" s="9" t="n">
        <x:f>MOD(AK268*16807,2147483647)</x:f>
        <x:v>1036084027</x:v>
      </x:c>
      <x:c r="AM268" s="17" t="n">
        <x:f>IF('Control Room'!$B$5="Normal",'Control Room'!$B$7+'Control Room'!$D$7*SQRT(-2*LN(MAX(0.000000000001,AK268/2147483647)))*COS(2*PI()*AL268/2147483647),'Control Room'!$B$8+('Control Room'!$D$8-'Control Room'!$B$8)*AK268/2147483647)</x:f>
        <x:v>913.6140798852323</x:v>
      </x:c>
      <x:c r="AN268" s="17" t="n">
        <x:f>IF('Control Room'!$B$5="Normal",'Control Room'!$B$7,('Control Room'!$B$8+'Control Room'!$D$8)/2)+'Control Room'!$B$9*(AN267-IF('Control Room'!$B$5="Normal",'Control Room'!$B$7,('Control Room'!$B$8+'Control Room'!$D$8)/2))+SQRT(1-'Control Room'!$B$9^2)*(AM268-IF('Control Room'!$B$5="Normal",'Control Room'!$B$7,('Control Room'!$B$8+'Control Room'!$D$8)/2))</x:f>
        <x:v>1012.1412312546136</x:v>
      </x:c>
      <x:c r="AO268" s="17" t="n">
        <x:f>IF(AND($A268&gt;='Control Room'!$A$13,$A268&lt;'Control Room'!$A$13+'Control Room'!$B$13,'Process'!BR2=1),1+('Control Room'!$C$13-1)*EXP(-0.5*(($A268-'Control Room'!$A$13-('Control Room'!$B$13-1)/2)/MAX(0.5,'Control Room'!$B$13/4))^2),1)*IF(AND($A268&gt;='Control Room'!$A$14,$A268&lt;'Control Room'!$A$14+'Control Room'!$B$14,'Process'!BR3=1),1+('Control Room'!$C$14-1)*EXP(-0.5*(($A268-'Control Room'!$A$14-('Control Room'!$B$14-1)/2)/MAX(0.5,'Control Room'!$B$14/4))^2),1)*IF(AND($A268&gt;='Control Room'!$A$15,$A268&lt;'Control Room'!$A$15+'Control Room'!$B$15,'Process'!BR4=1),1+('Control Room'!$C$15-1)*EXP(-0.5*(($A268-'Control Room'!$A$15-('Control Room'!$B$15-1)/2)/MAX(0.5,'Control Room'!$B$15/4))^2),1)*IF(AND($A268&gt;='Control Room'!$A$16,$A268&lt;'Control Room'!$A$16+'Control Room'!$B$16,'Process'!BR5=1),1+('Control Room'!$C$16-1)*EXP(-0.5*(($A268-'Control Room'!$A$16-('Control Room'!$B$16-1)/2)/MAX(0.5,'Control Room'!$B$16/4))^2),1)</x:f>
        <x:v>1</x:v>
      </x:c>
      <x:c r="AP268" s="9" t="n">
        <x:f>MOD(AQ267*16807,2147483647)</x:f>
        <x:v>536900838</x:v>
      </x:c>
      <x:c r="AQ268" s="9" t="n">
        <x:f>MOD(AP268*16807,2147483647)</x:f>
        <x:v>2113583219</x:v>
      </x:c>
      <x:c r="AR268" s="17" t="n">
        <x:f>IF('Control Room'!$B$5="Normal",'Control Room'!$B$7+'Control Room'!$D$7*SQRT(-2*LN(MAX(0.000000000001,AP268/2147483647)))*COS(2*PI()*AQ268/2147483647),'Control Room'!$B$8+('Control Room'!$D$8-'Control Room'!$B$8)*AP268/2147483647)</x:f>
        <x:v>1149.120269617965</x:v>
      </x:c>
      <x:c r="AS268" s="17" t="n">
        <x:f>IF('Control Room'!$B$5="Normal",'Control Room'!$B$7,('Control Room'!$B$8+'Control Room'!$D$8)/2)+'Control Room'!$B$9*(AS267-IF('Control Room'!$B$5="Normal",'Control Room'!$B$7,('Control Room'!$B$8+'Control Room'!$D$8)/2))+SQRT(1-'Control Room'!$B$9^2)*(AR268-IF('Control Room'!$B$5="Normal",'Control Room'!$B$7,('Control Room'!$B$8+'Control Room'!$D$8)/2))</x:f>
        <x:v>1081.1915286074004</x:v>
      </x:c>
      <x:c r="AT268" s="17" t="n">
        <x:f>IF(AND($A268&gt;='Control Room'!$A$13,$A268&lt;'Control Room'!$A$13+'Control Room'!$B$13,'Process'!BS2=1),1+('Control Room'!$C$13-1)*EXP(-0.5*(($A268-'Control Room'!$A$13-('Control Room'!$B$13-1)/2)/MAX(0.5,'Control Room'!$B$13/4))^2),1)*IF(AND($A268&gt;='Control Room'!$A$14,$A268&lt;'Control Room'!$A$14+'Control Room'!$B$14,'Process'!BS3=1),1+('Control Room'!$C$14-1)*EXP(-0.5*(($A268-'Control Room'!$A$14-('Control Room'!$B$14-1)/2)/MAX(0.5,'Control Room'!$B$14/4))^2),1)*IF(AND($A268&gt;='Control Room'!$A$15,$A268&lt;'Control Room'!$A$15+'Control Room'!$B$15,'Process'!BS4=1),1+('Control Room'!$C$15-1)*EXP(-0.5*(($A268-'Control Room'!$A$15-('Control Room'!$B$15-1)/2)/MAX(0.5,'Control Room'!$B$15/4))^2),1)*IF(AND($A268&gt;='Control Room'!$A$16,$A268&lt;'Control Room'!$A$16+'Control Room'!$B$16,'Process'!BS5=1),1+('Control Room'!$C$16-1)*EXP(-0.5*(($A268-'Control Room'!$A$16-('Control Room'!$B$16-1)/2)/MAX(0.5,'Control Room'!$B$16/4))^2),1)</x:f>
        <x:v>1</x:v>
      </x:c>
      <x:c r="AU268" s="9" t="n">
        <x:f>MOD(AV267*16807,2147483647)</x:f>
        <x:v>1874111159</x:v>
      </x:c>
      <x:c r="AV268" s="9" t="n">
        <x:f>MOD(AU268*16807,2147483647)</x:f>
        <x:v>1043598764</x:v>
      </x:c>
      <x:c r="AW268" s="17" t="n">
        <x:f>IF('Control Room'!$B$5="Normal",'Control Room'!$B$7+'Control Room'!$D$7*SQRT(-2*LN(MAX(0.000000000001,AU268/2147483647)))*COS(2*PI()*AV268/2147483647),'Control Room'!$B$8+('Control Room'!$D$8-'Control Room'!$B$8)*AU268/2147483647)</x:f>
        <x:v>953.2162862516905</x:v>
      </x:c>
      <x:c r="AX268" s="17" t="n">
        <x:f>IF('Control Room'!$B$5="Normal",'Control Room'!$B$7,('Control Room'!$B$8+'Control Room'!$D$8)/2)+'Control Room'!$B$9*(AX267-IF('Control Room'!$B$5="Normal",'Control Room'!$B$7,('Control Room'!$B$8+'Control Room'!$D$8)/2))+SQRT(1-'Control Room'!$B$9^2)*(AW268-IF('Control Room'!$B$5="Normal",'Control Room'!$B$7,('Control Room'!$B$8+'Control Room'!$D$8)/2))</x:f>
        <x:v>1051.035075679651</x:v>
      </x:c>
      <x:c r="AY268" s="17" t="n">
        <x:f>IF(AND($A268&gt;='Control Room'!$A$13,$A268&lt;'Control Room'!$A$13+'Control Room'!$B$13,'Process'!BT2=1),1+('Control Room'!$C$13-1)*EXP(-0.5*(($A268-'Control Room'!$A$13-('Control Room'!$B$13-1)/2)/MAX(0.5,'Control Room'!$B$13/4))^2),1)*IF(AND($A268&gt;='Control Room'!$A$14,$A268&lt;'Control Room'!$A$14+'Control Room'!$B$14,'Process'!BT3=1),1+('Control Room'!$C$14-1)*EXP(-0.5*(($A268-'Control Room'!$A$14-('Control Room'!$B$14-1)/2)/MAX(0.5,'Control Room'!$B$14/4))^2),1)*IF(AND($A268&gt;='Control Room'!$A$15,$A268&lt;'Control Room'!$A$15+'Control Room'!$B$15,'Process'!BT4=1),1+('Control Room'!$C$15-1)*EXP(-0.5*(($A268-'Control Room'!$A$15-('Control Room'!$B$15-1)/2)/MAX(0.5,'Control Room'!$B$15/4))^2),1)*IF(AND($A268&gt;='Control Room'!$A$16,$A268&lt;'Control Room'!$A$16+'Control Room'!$B$16,'Process'!BT5=1),1+('Control Room'!$C$16-1)*EXP(-0.5*(($A268-'Control Room'!$A$16-('Control Room'!$B$16-1)/2)/MAX(0.5,'Control Room'!$B$16/4))^2),1)</x:f>
        <x:v>1</x:v>
      </x:c>
      <x:c r="AZ268" s="9" t="n">
        <x:f>MOD(BA267*16807,2147483647)</x:f>
        <x:v>1063837833</x:v>
      </x:c>
      <x:c r="BA268" s="9" t="n">
        <x:f>MOD(AZ268*16807,2147483647)</x:f>
        <x:v>2121097956</x:v>
      </x:c>
      <x:c r="BB268" s="17" t="n">
        <x:f>IF('Control Room'!$B$5="Normal",'Control Room'!$B$7+'Control Room'!$D$7*SQRT(-2*LN(MAX(0.000000000001,AZ268/2147483647)))*COS(2*PI()*BA268/2147483647),'Control Room'!$B$8+('Control Room'!$D$8-'Control Room'!$B$8)*AZ268/2147483647)</x:f>
        <x:v>1106.3551600510486</x:v>
      </x:c>
      <x:c r="BC268" s="17" t="n">
        <x:f>IF('Control Room'!$B$5="Normal",'Control Room'!$B$7,('Control Room'!$B$8+'Control Room'!$D$8)/2)+'Control Room'!$B$9*(BC267-IF('Control Room'!$B$5="Normal",'Control Room'!$B$7,('Control Room'!$B$8+'Control Room'!$D$8)/2))+SQRT(1-'Control Room'!$B$9^2)*(BB268-IF('Control Room'!$B$5="Normal",'Control Room'!$B$7,('Control Room'!$B$8+'Control Room'!$D$8)/2))</x:f>
        <x:v>1077.0339851185597</x:v>
      </x:c>
      <x:c r="BD268" s="17" t="n">
        <x:f>IF(AND($A268&gt;='Control Room'!$A$13,$A268&lt;'Control Room'!$A$13+'Control Room'!$B$13,'Process'!BU2=1),1+('Control Room'!$C$13-1)*EXP(-0.5*(($A268-'Control Room'!$A$13-('Control Room'!$B$13-1)/2)/MAX(0.5,'Control Room'!$B$13/4))^2),1)*IF(AND($A268&gt;='Control Room'!$A$14,$A268&lt;'Control Room'!$A$14+'Control Room'!$B$14,'Process'!BU3=1),1+('Control Room'!$C$14-1)*EXP(-0.5*(($A268-'Control Room'!$A$14-('Control Room'!$B$14-1)/2)/MAX(0.5,'Control Room'!$B$14/4))^2),1)*IF(AND($A268&gt;='Control Room'!$A$15,$A268&lt;'Control Room'!$A$15+'Control Room'!$B$15,'Process'!BU4=1),1+('Control Room'!$C$15-1)*EXP(-0.5*(($A268-'Control Room'!$A$15-('Control Room'!$B$15-1)/2)/MAX(0.5,'Control Room'!$B$15/4))^2),1)*IF(AND($A268&gt;='Control Room'!$A$16,$A268&lt;'Control Room'!$A$16+'Control Room'!$B$16,'Process'!BU5=1),1+('Control Room'!$C$16-1)*EXP(-0.5*(($A268-'Control Room'!$A$16-('Control Room'!$B$16-1)/2)/MAX(0.5,'Control Room'!$B$16/4))^2),1)</x:f>
        <x:v>1</x:v>
      </x:c>
      <x:c r="BE268" s="9" t="n">
        <x:f>MOD(BF267*16807,2147483647)</x:f>
        <x:v>253564507</x:v>
      </x:c>
      <x:c r="BF268" s="9" t="n">
        <x:f>MOD(BE268*16807,2147483647)</x:f>
        <x:v>1051113501</x:v>
      </x:c>
      <x:c r="BG268" s="17" t="n">
        <x:f>IF('Control Room'!$B$5="Normal",'Control Room'!$B$7+'Control Room'!$D$7*SQRT(-2*LN(MAX(0.000000000001,BE268/2147483647)))*COS(2*PI()*BF268/2147483647),'Control Room'!$B$8+('Control Room'!$D$8-'Control Room'!$B$8)*BE268/2147483647)</x:f>
        <x:v>814.3693436632282</x:v>
      </x:c>
      <x:c r="BH268" s="17" t="n">
        <x:f>IF('Control Room'!$B$5="Normal",'Control Room'!$B$7,('Control Room'!$B$8+'Control Room'!$D$8)/2)+'Control Room'!$B$9*(BH267-IF('Control Room'!$B$5="Normal",'Control Room'!$B$7,('Control Room'!$B$8+'Control Room'!$D$8)/2))+SQRT(1-'Control Room'!$B$9^2)*(BG268-IF('Control Room'!$B$5="Normal",'Control Room'!$B$7,('Control Room'!$B$8+'Control Room'!$D$8)/2))</x:f>
        <x:v>871.9016017612654</x:v>
      </x:c>
      <x:c r="BI268" s="17" t="n">
        <x:f>IF(AND($A268&gt;='Control Room'!$A$13,$A268&lt;'Control Room'!$A$13+'Control Room'!$B$13,'Process'!BV2=1),1+('Control Room'!$C$13-1)*EXP(-0.5*(($A268-'Control Room'!$A$13-('Control Room'!$B$13-1)/2)/MAX(0.5,'Control Room'!$B$13/4))^2),1)*IF(AND($A268&gt;='Control Room'!$A$14,$A268&lt;'Control Room'!$A$14+'Control Room'!$B$14,'Process'!BV3=1),1+('Control Room'!$C$14-1)*EXP(-0.5*(($A268-'Control Room'!$A$14-('Control Room'!$B$14-1)/2)/MAX(0.5,'Control Room'!$B$14/4))^2),1)*IF(AND($A268&gt;='Control Room'!$A$15,$A268&lt;'Control Room'!$A$15+'Control Room'!$B$15,'Process'!BV4=1),1+('Control Room'!$C$15-1)*EXP(-0.5*(($A268-'Control Room'!$A$15-('Control Room'!$B$15-1)/2)/MAX(0.5,'Control Room'!$B$15/4))^2),1)*IF(AND($A268&gt;='Control Room'!$A$16,$A268&lt;'Control Room'!$A$16+'Control Room'!$B$16,'Process'!BV5=1),1+('Control Room'!$C$16-1)*EXP(-0.5*(($A268-'Control Room'!$A$16-('Control Room'!$B$16-1)/2)/MAX(0.5,'Control Room'!$B$16/4))^2),1)</x:f>
        <x:v>1</x:v>
      </x:c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Z268" t="str">
        <x:f>IF('Data'!A268="","",TEXT('Data'!A268,"mm-dd"))</x:f>
      </x:c>
    </x:row>
    <x:row r="269" ht="21" customHeight="1">
      <x:c r="A269" s="15" t="n">
        <x:f>'Control Room'!$B$1+267</x:f>
        <x:v>73258</x:v>
      </x:c>
      <x:c r="B269" s="9" t="n">
        <x:f>MOD(C268*16807,2147483647)</x:f>
        <x:v>924074715</x:v>
      </x:c>
      <x:c r="C269" s="9" t="n">
        <x:f>MOD(B269*16807,2147483647)</x:f>
        <x:v>321999901</x:v>
      </x:c>
      <x:c r="D269" s="17" t="n">
        <x:f>IF('Control Room'!$B$5="Normal",'Control Room'!$B$7+'Control Room'!$D$7*SQRT(-2*LN(MAX(0.000000000001,B269/2147483647)))*COS(2*PI()*C269/2147483647),'Control Room'!$B$8+('Control Room'!$D$8-'Control Room'!$B$8)*B269/2147483647)</x:f>
        <x:v>1068.7339230453322</x:v>
      </x:c>
      <x:c r="E269" s="17" t="n">
        <x:f>IF('Control Room'!$B$5="Normal",'Control Room'!$B$7,('Control Room'!$B$8+'Control Room'!$D$8)/2)+'Control Room'!$B$9*(E268-IF('Control Room'!$B$5="Normal",'Control Room'!$B$7,('Control Room'!$B$8+'Control Room'!$D$8)/2))+SQRT(1-'Control Room'!$B$9^2)*(D269-IF('Control Room'!$B$5="Normal",'Control Room'!$B$7,('Control Room'!$B$8+'Control Room'!$D$8)/2))</x:f>
        <x:v>1023.6487325911966</x:v>
      </x:c>
      <x:c r="F269" s="17" t="n">
        <x:f>IF(AND($A269&gt;='Control Room'!$A$13,$A269&lt;'Control Room'!$A$13+'Control Room'!$B$13,'Process'!BK2=1),1+('Control Room'!$C$13-1)*EXP(-0.5*(($A269-'Control Room'!$A$13-('Control Room'!$B$13-1)/2)/MAX(0.5,'Control Room'!$B$13/4))^2),1)*IF(AND($A269&gt;='Control Room'!$A$14,$A269&lt;'Control Room'!$A$14+'Control Room'!$B$14,'Process'!BK3=1),1+('Control Room'!$C$14-1)*EXP(-0.5*(($A269-'Control Room'!$A$14-('Control Room'!$B$14-1)/2)/MAX(0.5,'Control Room'!$B$14/4))^2),1)*IF(AND($A269&gt;='Control Room'!$A$15,$A269&lt;'Control Room'!$A$15+'Control Room'!$B$15,'Process'!BK4=1),1+('Control Room'!$C$15-1)*EXP(-0.5*(($A269-'Control Room'!$A$15-('Control Room'!$B$15-1)/2)/MAX(0.5,'Control Room'!$B$15/4))^2),1)*IF(AND($A269&gt;='Control Room'!$A$16,$A269&lt;'Control Room'!$A$16+'Control Room'!$B$16,'Process'!BK5=1),1+('Control Room'!$C$16-1)*EXP(-0.5*(($A269-'Control Room'!$A$16-('Control Room'!$B$16-1)/2)/MAX(0.5,'Control Room'!$B$16/4))^2),1)</x:f>
        <x:v>1</x:v>
      </x:c>
      <x:c r="G269" s="9" t="n">
        <x:f>MOD(H268*16807,2147483647)</x:f>
        <x:v>723399508</x:v>
      </x:c>
      <x:c r="H269" s="9" t="n">
        <x:f>MOD(G269*16807,2147483647)</x:f>
        <x:v>1270605289</x:v>
      </x:c>
      <x:c r="I269" s="17" t="n">
        <x:f>IF('Control Room'!$B$5="Normal",'Control Room'!$B$7+'Control Room'!$D$7*SQRT(-2*LN(MAX(0.000000000001,G269/2147483647)))*COS(2*PI()*H269/2147483647),'Control Room'!$B$8+('Control Room'!$D$8-'Control Room'!$B$8)*G269/2147483647)</x:f>
        <x:v>888.6545465578904</x:v>
      </x:c>
      <x:c r="J269" s="17" t="n">
        <x:f>IF('Control Room'!$B$5="Normal",'Control Room'!$B$7,('Control Room'!$B$8+'Control Room'!$D$8)/2)+'Control Room'!$B$9*(J268-IF('Control Room'!$B$5="Normal",'Control Room'!$B$7,('Control Room'!$B$8+'Control Room'!$D$8)/2))+SQRT(1-'Control Room'!$B$9^2)*(I269-IF('Control Room'!$B$5="Normal",'Control Room'!$B$7,('Control Room'!$B$8+'Control Room'!$D$8)/2))</x:f>
        <x:v>1082.6771036046175</x:v>
      </x:c>
      <x:c r="K269" s="17" t="n">
        <x:f>IF(AND($A269&gt;='Control Room'!$A$13,$A269&lt;'Control Room'!$A$13+'Control Room'!$B$13,'Process'!BL2=1),1+('Control Room'!$C$13-1)*EXP(-0.5*(($A269-'Control Room'!$A$13-('Control Room'!$B$13-1)/2)/MAX(0.5,'Control Room'!$B$13/4))^2),1)*IF(AND($A269&gt;='Control Room'!$A$14,$A269&lt;'Control Room'!$A$14+'Control Room'!$B$14,'Process'!BL3=1),1+('Control Room'!$C$14-1)*EXP(-0.5*(($A269-'Control Room'!$A$14-('Control Room'!$B$14-1)/2)/MAX(0.5,'Control Room'!$B$14/4))^2),1)*IF(AND($A269&gt;='Control Room'!$A$15,$A269&lt;'Control Room'!$A$15+'Control Room'!$B$15,'Process'!BL4=1),1+('Control Room'!$C$15-1)*EXP(-0.5*(($A269-'Control Room'!$A$15-('Control Room'!$B$15-1)/2)/MAX(0.5,'Control Room'!$B$15/4))^2),1)*IF(AND($A269&gt;='Control Room'!$A$16,$A269&lt;'Control Room'!$A$16+'Control Room'!$B$16,'Process'!BL5=1),1+('Control Room'!$C$16-1)*EXP(-0.5*(($A269-'Control Room'!$A$16-('Control Room'!$B$16-1)/2)/MAX(0.5,'Control Room'!$B$16/4))^2),1)</x:f>
        <x:v>1</x:v>
      </x:c>
      <x:c r="L269" s="9" t="n">
        <x:f>MOD(M268*16807,2147483647)</x:f>
        <x:v>522724301</x:v>
      </x:c>
      <x:c r="M269" s="9" t="n">
        <x:f>MOD(L269*16807,2147483647)</x:f>
        <x:v>71727030</x:v>
      </x:c>
      <x:c r="N269" s="17" t="n">
        <x:f>IF('Control Room'!$B$5="Normal",'Control Room'!$B$7+'Control Room'!$D$7*SQRT(-2*LN(MAX(0.000000000001,L269/2147483647)))*COS(2*PI()*M269/2147483647),'Control Room'!$B$8+('Control Room'!$D$8-'Control Room'!$B$8)*L269/2147483647)</x:f>
        <x:v>1147.976808042822</x:v>
      </x:c>
      <x:c r="O269" s="17" t="n">
        <x:f>IF('Control Room'!$B$5="Normal",'Control Room'!$B$7,('Control Room'!$B$8+'Control Room'!$D$8)/2)+'Control Room'!$B$9*(O268-IF('Control Room'!$B$5="Normal",'Control Room'!$B$7,('Control Room'!$B$8+'Control Room'!$D$8)/2))+SQRT(1-'Control Room'!$B$9^2)*(N269-IF('Control Room'!$B$5="Normal",'Control Room'!$B$7,('Control Room'!$B$8+'Control Room'!$D$8)/2))</x:f>
        <x:v>1110.3944002259705</x:v>
      </x:c>
      <x:c r="P269" s="17" t="n">
        <x:f>IF(AND($A269&gt;='Control Room'!$A$13,$A269&lt;'Control Room'!$A$13+'Control Room'!$B$13,'Process'!BM2=1),1+('Control Room'!$C$13-1)*EXP(-0.5*(($A269-'Control Room'!$A$13-('Control Room'!$B$13-1)/2)/MAX(0.5,'Control Room'!$B$13/4))^2),1)*IF(AND($A269&gt;='Control Room'!$A$14,$A269&lt;'Control Room'!$A$14+'Control Room'!$B$14,'Process'!BM3=1),1+('Control Room'!$C$14-1)*EXP(-0.5*(($A269-'Control Room'!$A$14-('Control Room'!$B$14-1)/2)/MAX(0.5,'Control Room'!$B$14/4))^2),1)*IF(AND($A269&gt;='Control Room'!$A$15,$A269&lt;'Control Room'!$A$15+'Control Room'!$B$15,'Process'!BM4=1),1+('Control Room'!$C$15-1)*EXP(-0.5*(($A269-'Control Room'!$A$15-('Control Room'!$B$15-1)/2)/MAX(0.5,'Control Room'!$B$15/4))^2),1)*IF(AND($A269&gt;='Control Room'!$A$16,$A269&lt;'Control Room'!$A$16+'Control Room'!$B$16,'Process'!BM5=1),1+('Control Room'!$C$16-1)*EXP(-0.5*(($A269-'Control Room'!$A$16-('Control Room'!$B$16-1)/2)/MAX(0.5,'Control Room'!$B$16/4))^2),1)</x:f>
        <x:v>1</x:v>
      </x:c>
      <x:c r="Q269" s="9" t="n">
        <x:f>MOD(R268*16807,2147483647)</x:f>
        <x:v>322049094</x:v>
      </x:c>
      <x:c r="R269" s="9" t="n">
        <x:f>MOD(Q269*16807,2147483647)</x:f>
        <x:v>1020332418</x:v>
      </x:c>
      <x:c r="S269" s="17" t="n">
        <x:f>IF('Control Room'!$B$5="Normal",'Control Room'!$B$7+'Control Room'!$D$7*SQRT(-2*LN(MAX(0.000000000001,Q269/2147483647)))*COS(2*PI()*R269/2147483647),'Control Room'!$B$8+('Control Room'!$D$8-'Control Room'!$B$8)*Q269/2147483647)</x:f>
        <x:v>826.816435368669</x:v>
      </x:c>
      <x:c r="T269" s="17" t="n">
        <x:f>IF('Control Room'!$B$5="Normal",'Control Room'!$B$7,('Control Room'!$B$8+'Control Room'!$D$8)/2)+'Control Room'!$B$9*(T268-IF('Control Room'!$B$5="Normal",'Control Room'!$B$7,('Control Room'!$B$8+'Control Room'!$D$8)/2))+SQRT(1-'Control Room'!$B$9^2)*(S269-IF('Control Room'!$B$5="Normal",'Control Room'!$B$7,('Control Room'!$B$8+'Control Room'!$D$8)/2))</x:f>
        <x:v>750.0116239129084</x:v>
      </x:c>
      <x:c r="U269" s="17" t="n">
        <x:f>IF(AND($A269&gt;='Control Room'!$A$13,$A269&lt;'Control Room'!$A$13+'Control Room'!$B$13,'Process'!BN2=1),1+('Control Room'!$C$13-1)*EXP(-0.5*(($A269-'Control Room'!$A$13-('Control Room'!$B$13-1)/2)/MAX(0.5,'Control Room'!$B$13/4))^2),1)*IF(AND($A269&gt;='Control Room'!$A$14,$A269&lt;'Control Room'!$A$14+'Control Room'!$B$14,'Process'!BN3=1),1+('Control Room'!$C$14-1)*EXP(-0.5*(($A269-'Control Room'!$A$14-('Control Room'!$B$14-1)/2)/MAX(0.5,'Control Room'!$B$14/4))^2),1)*IF(AND($A269&gt;='Control Room'!$A$15,$A269&lt;'Control Room'!$A$15+'Control Room'!$B$15,'Process'!BN4=1),1+('Control Room'!$C$15-1)*EXP(-0.5*(($A269-'Control Room'!$A$15-('Control Room'!$B$15-1)/2)/MAX(0.5,'Control Room'!$B$15/4))^2),1)*IF(AND($A269&gt;='Control Room'!$A$16,$A269&lt;'Control Room'!$A$16+'Control Room'!$B$16,'Process'!BN5=1),1+('Control Room'!$C$16-1)*EXP(-0.5*(($A269-'Control Room'!$A$16-('Control Room'!$B$16-1)/2)/MAX(0.5,'Control Room'!$B$16/4))^2),1)</x:f>
        <x:v>1</x:v>
      </x:c>
      <x:c r="V269" s="9" t="n">
        <x:f>MOD(W268*16807,2147483647)</x:f>
        <x:v>121373887</x:v>
      </x:c>
      <x:c r="W269" s="9" t="n">
        <x:f>MOD(V269*16807,2147483647)</x:f>
        <x:v>1968937806</x:v>
      </x:c>
      <x:c r="X269" s="17" t="n">
        <x:f>IF('Control Room'!$B$5="Normal",'Control Room'!$B$7+'Control Room'!$D$7*SQRT(-2*LN(MAX(0.000000000001,V269/2147483647)))*COS(2*PI()*W269/2147483647),'Control Room'!$B$8+('Control Room'!$D$8-'Control Room'!$B$8)*V269/2147483647)</x:f>
        <x:v>1186.9693728231007</x:v>
      </x:c>
      <x:c r="Y269" s="17" t="n">
        <x:f>IF('Control Room'!$B$5="Normal",'Control Room'!$B$7,('Control Room'!$B$8+'Control Room'!$D$8)/2)+'Control Room'!$B$9*(Y268-IF('Control Room'!$B$5="Normal",'Control Room'!$B$7,('Control Room'!$B$8+'Control Room'!$D$8)/2))+SQRT(1-'Control Room'!$B$9^2)*(X269-IF('Control Room'!$B$5="Normal",'Control Room'!$B$7,('Control Room'!$B$8+'Control Room'!$D$8)/2))</x:f>
        <x:v>1147.0741182179552</x:v>
      </x:c>
      <x:c r="Z269" s="17" t="n">
        <x:f>IF(AND($A269&gt;='Control Room'!$A$13,$A269&lt;'Control Room'!$A$13+'Control Room'!$B$13,'Process'!BO2=1),1+('Control Room'!$C$13-1)*EXP(-0.5*(($A269-'Control Room'!$A$13-('Control Room'!$B$13-1)/2)/MAX(0.5,'Control Room'!$B$13/4))^2),1)*IF(AND($A269&gt;='Control Room'!$A$14,$A269&lt;'Control Room'!$A$14+'Control Room'!$B$14,'Process'!BO3=1),1+('Control Room'!$C$14-1)*EXP(-0.5*(($A269-'Control Room'!$A$14-('Control Room'!$B$14-1)/2)/MAX(0.5,'Control Room'!$B$14/4))^2),1)*IF(AND($A269&gt;='Control Room'!$A$15,$A269&lt;'Control Room'!$A$15+'Control Room'!$B$15,'Process'!BO4=1),1+('Control Room'!$C$15-1)*EXP(-0.5*(($A269-'Control Room'!$A$15-('Control Room'!$B$15-1)/2)/MAX(0.5,'Control Room'!$B$15/4))^2),1)*IF(AND($A269&gt;='Control Room'!$A$16,$A269&lt;'Control Room'!$A$16+'Control Room'!$B$16,'Process'!BO5=1),1+('Control Room'!$C$16-1)*EXP(-0.5*(($A269-'Control Room'!$A$16-('Control Room'!$B$16-1)/2)/MAX(0.5,'Control Room'!$B$16/4))^2),1)</x:f>
        <x:v>1</x:v>
      </x:c>
      <x:c r="AA269" s="9" t="n">
        <x:f>MOD(AB268*16807,2147483647)</x:f>
        <x:v>2068182327</x:v>
      </x:c>
      <x:c r="AB269" s="9" t="n">
        <x:f>MOD(AA269*16807,2147483647)</x:f>
        <x:v>770059547</x:v>
      </x:c>
      <x:c r="AC269" s="17" t="n">
        <x:f>IF('Control Room'!$B$5="Normal",'Control Room'!$B$7+'Control Room'!$D$7*SQRT(-2*LN(MAX(0.000000000001,AA269/2147483647)))*COS(2*PI()*AB269/2147483647),'Control Room'!$B$8+('Control Room'!$D$8-'Control Room'!$B$8)*AA269/2147483647)</x:f>
        <x:v>984.4320952226283</x:v>
      </x:c>
      <x:c r="AD269" s="17" t="n">
        <x:f>IF('Control Room'!$B$5="Normal",'Control Room'!$B$7,('Control Room'!$B$8+'Control Room'!$D$8)/2)+'Control Room'!$B$9*(AD268-IF('Control Room'!$B$5="Normal",'Control Room'!$B$7,('Control Room'!$B$8+'Control Room'!$D$8)/2))+SQRT(1-'Control Room'!$B$9^2)*(AC269-IF('Control Room'!$B$5="Normal",'Control Room'!$B$7,('Control Room'!$B$8+'Control Room'!$D$8)/2))</x:f>
        <x:v>932.5675022915739</x:v>
      </x:c>
      <x:c r="AE269" s="17" t="n">
        <x:f>IF(AND($A269&gt;='Control Room'!$A$13,$A269&lt;'Control Room'!$A$13+'Control Room'!$B$13,'Process'!BP2=1),1+('Control Room'!$C$13-1)*EXP(-0.5*(($A269-'Control Room'!$A$13-('Control Room'!$B$13-1)/2)/MAX(0.5,'Control Room'!$B$13/4))^2),1)*IF(AND($A269&gt;='Control Room'!$A$14,$A269&lt;'Control Room'!$A$14+'Control Room'!$B$14,'Process'!BP3=1),1+('Control Room'!$C$14-1)*EXP(-0.5*(($A269-'Control Room'!$A$14-('Control Room'!$B$14-1)/2)/MAX(0.5,'Control Room'!$B$14/4))^2),1)*IF(AND($A269&gt;='Control Room'!$A$15,$A269&lt;'Control Room'!$A$15+'Control Room'!$B$15,'Process'!BP4=1),1+('Control Room'!$C$15-1)*EXP(-0.5*(($A269-'Control Room'!$A$15-('Control Room'!$B$15-1)/2)/MAX(0.5,'Control Room'!$B$15/4))^2),1)*IF(AND($A269&gt;='Control Room'!$A$16,$A269&lt;'Control Room'!$A$16+'Control Room'!$B$16,'Process'!BP5=1),1+('Control Room'!$C$16-1)*EXP(-0.5*(($A269-'Control Room'!$A$16-('Control Room'!$B$16-1)/2)/MAX(0.5,'Control Room'!$B$16/4))^2),1)</x:f>
        <x:v>1</x:v>
      </x:c>
      <x:c r="AF269" s="9" t="n">
        <x:f>MOD(AG268*16807,2147483647)</x:f>
        <x:v>1867507120</x:v>
      </x:c>
      <x:c r="AG269" s="9" t="n">
        <x:f>MOD(AF269*16807,2147483647)</x:f>
        <x:v>1718664935</x:v>
      </x:c>
      <x:c r="AH269" s="17" t="n">
        <x:f>IF('Control Room'!$B$5="Normal",'Control Room'!$B$7+'Control Room'!$D$7*SQRT(-2*LN(MAX(0.000000000001,AF269/2147483647)))*COS(2*PI()*AG269/2147483647),'Control Room'!$B$8+('Control Room'!$D$8-'Control Room'!$B$8)*AF269/2147483647)</x:f>
        <x:v>1014.7900197138479</x:v>
      </x:c>
      <x:c r="AI269" s="17" t="n">
        <x:f>IF('Control Room'!$B$5="Normal",'Control Room'!$B$7,('Control Room'!$B$8+'Control Room'!$D$8)/2)+'Control Room'!$B$9*(AI268-IF('Control Room'!$B$5="Normal",'Control Room'!$B$7,('Control Room'!$B$8+'Control Room'!$D$8)/2))+SQRT(1-'Control Room'!$B$9^2)*(AH269-IF('Control Room'!$B$5="Normal",'Control Room'!$B$7,('Control Room'!$B$8+'Control Room'!$D$8)/2))</x:f>
        <x:v>1123.0524995176322</x:v>
      </x:c>
      <x:c r="AJ269" s="17" t="n">
        <x:f>IF(AND($A269&gt;='Control Room'!$A$13,$A269&lt;'Control Room'!$A$13+'Control Room'!$B$13,'Process'!BQ2=1),1+('Control Room'!$C$13-1)*EXP(-0.5*(($A269-'Control Room'!$A$13-('Control Room'!$B$13-1)/2)/MAX(0.5,'Control Room'!$B$13/4))^2),1)*IF(AND($A269&gt;='Control Room'!$A$14,$A269&lt;'Control Room'!$A$14+'Control Room'!$B$14,'Process'!BQ3=1),1+('Control Room'!$C$14-1)*EXP(-0.5*(($A269-'Control Room'!$A$14-('Control Room'!$B$14-1)/2)/MAX(0.5,'Control Room'!$B$14/4))^2),1)*IF(AND($A269&gt;='Control Room'!$A$15,$A269&lt;'Control Room'!$A$15+'Control Room'!$B$15,'Process'!BQ4=1),1+('Control Room'!$C$15-1)*EXP(-0.5*(($A269-'Control Room'!$A$15-('Control Room'!$B$15-1)/2)/MAX(0.5,'Control Room'!$B$15/4))^2),1)*IF(AND($A269&gt;='Control Room'!$A$16,$A269&lt;'Control Room'!$A$16+'Control Room'!$B$16,'Process'!BQ5=1),1+('Control Room'!$C$16-1)*EXP(-0.5*(($A269-'Control Room'!$A$16-('Control Room'!$B$16-1)/2)/MAX(0.5,'Control Room'!$B$16/4))^2),1)</x:f>
        <x:v>1</x:v>
      </x:c>
      <x:c r="AK269" s="9" t="n">
        <x:f>MOD(AL268*16807,2147483647)</x:f>
        <x:v>1666831913</x:v>
      </x:c>
      <x:c r="AL269" s="9" t="n">
        <x:f>MOD(AK269*16807,2147483647)</x:f>
        <x:v>519786676</x:v>
      </x:c>
      <x:c r="AM269" s="17" t="n">
        <x:f>IF('Control Room'!$B$5="Normal",'Control Room'!$B$7+'Control Room'!$D$7*SQRT(-2*LN(MAX(0.000000000001,AK269/2147483647)))*COS(2*PI()*AL269/2147483647),'Control Room'!$B$8+('Control Room'!$D$8-'Control Room'!$B$8)*AK269/2147483647)</x:f>
        <x:v>1003.2011166669386</x:v>
      </x:c>
      <x:c r="AN269" s="17" t="n">
        <x:f>IF('Control Room'!$B$5="Normal",'Control Room'!$B$7,('Control Room'!$B$8+'Control Room'!$D$8)/2)+'Control Room'!$B$9*(AN268-IF('Control Room'!$B$5="Normal",'Control Room'!$B$7,('Control Room'!$B$8+'Control Room'!$D$8)/2))+SQRT(1-'Control Room'!$B$9^2)*(AM269-IF('Control Room'!$B$5="Normal",'Control Room'!$B$7,('Control Room'!$B$8+'Control Room'!$D$8)/2))</x:f>
        <x:v>1011.4733536103294</x:v>
      </x:c>
      <x:c r="AO269" s="17" t="n">
        <x:f>IF(AND($A269&gt;='Control Room'!$A$13,$A269&lt;'Control Room'!$A$13+'Control Room'!$B$13,'Process'!BR2=1),1+('Control Room'!$C$13-1)*EXP(-0.5*(($A269-'Control Room'!$A$13-('Control Room'!$B$13-1)/2)/MAX(0.5,'Control Room'!$B$13/4))^2),1)*IF(AND($A269&gt;='Control Room'!$A$14,$A269&lt;'Control Room'!$A$14+'Control Room'!$B$14,'Process'!BR3=1),1+('Control Room'!$C$14-1)*EXP(-0.5*(($A269-'Control Room'!$A$14-('Control Room'!$B$14-1)/2)/MAX(0.5,'Control Room'!$B$14/4))^2),1)*IF(AND($A269&gt;='Control Room'!$A$15,$A269&lt;'Control Room'!$A$15+'Control Room'!$B$15,'Process'!BR4=1),1+('Control Room'!$C$15-1)*EXP(-0.5*(($A269-'Control Room'!$A$15-('Control Room'!$B$15-1)/2)/MAX(0.5,'Control Room'!$B$15/4))^2),1)*IF(AND($A269&gt;='Control Room'!$A$16,$A269&lt;'Control Room'!$A$16+'Control Room'!$B$16,'Process'!BR5=1),1+('Control Room'!$C$16-1)*EXP(-0.5*(($A269-'Control Room'!$A$16-('Control Room'!$B$16-1)/2)/MAX(0.5,'Control Room'!$B$16/4))^2),1)</x:f>
        <x:v>1</x:v>
      </x:c>
      <x:c r="AP269" s="9" t="n">
        <x:f>MOD(AQ268*16807,2147483647)</x:f>
        <x:v>1466156706</x:v>
      </x:c>
      <x:c r="AQ269" s="9" t="n">
        <x:f>MOD(AP269*16807,2147483647)</x:f>
        <x:v>1468392064</x:v>
      </x:c>
      <x:c r="AR269" s="17" t="n">
        <x:f>IF('Control Room'!$B$5="Normal",'Control Room'!$B$7+'Control Room'!$D$7*SQRT(-2*LN(MAX(0.000000000001,AP269/2147483647)))*COS(2*PI()*AQ269/2147483647),'Control Room'!$B$8+('Control Room'!$D$8-'Control Room'!$B$8)*AP269/2147483647)</x:f>
        <x:v>968.2167784623252</x:v>
      </x:c>
      <x:c r="AS269" s="17" t="n">
        <x:f>IF('Control Room'!$B$5="Normal",'Control Room'!$B$7,('Control Room'!$B$8+'Control Room'!$D$8)/2)+'Control Room'!$B$9*(AS268-IF('Control Room'!$B$5="Normal",'Control Room'!$B$7,('Control Room'!$B$8+'Control Room'!$D$8)/2))+SQRT(1-'Control Room'!$B$9^2)*(AR269-IF('Control Room'!$B$5="Normal",'Control Room'!$B$7,('Control Room'!$B$8+'Control Room'!$D$8)/2))</x:f>
        <x:v>1043.44010339018</x:v>
      </x:c>
      <x:c r="AT269" s="17" t="n">
        <x:f>IF(AND($A269&gt;='Control Room'!$A$13,$A269&lt;'Control Room'!$A$13+'Control Room'!$B$13,'Process'!BS2=1),1+('Control Room'!$C$13-1)*EXP(-0.5*(($A269-'Control Room'!$A$13-('Control Room'!$B$13-1)/2)/MAX(0.5,'Control Room'!$B$13/4))^2),1)*IF(AND($A269&gt;='Control Room'!$A$14,$A269&lt;'Control Room'!$A$14+'Control Room'!$B$14,'Process'!BS3=1),1+('Control Room'!$C$14-1)*EXP(-0.5*(($A269-'Control Room'!$A$14-('Control Room'!$B$14-1)/2)/MAX(0.5,'Control Room'!$B$14/4))^2),1)*IF(AND($A269&gt;='Control Room'!$A$15,$A269&lt;'Control Room'!$A$15+'Control Room'!$B$15,'Process'!BS4=1),1+('Control Room'!$C$15-1)*EXP(-0.5*(($A269-'Control Room'!$A$15-('Control Room'!$B$15-1)/2)/MAX(0.5,'Control Room'!$B$15/4))^2),1)*IF(AND($A269&gt;='Control Room'!$A$16,$A269&lt;'Control Room'!$A$16+'Control Room'!$B$16,'Process'!BS5=1),1+('Control Room'!$C$16-1)*EXP(-0.5*(($A269-'Control Room'!$A$16-('Control Room'!$B$16-1)/2)/MAX(0.5,'Control Room'!$B$16/4))^2),1)</x:f>
        <x:v>1</x:v>
      </x:c>
      <x:c r="AU269" s="9" t="n">
        <x:f>MOD(AV268*16807,2147483647)</x:f>
        <x:v>1265481499</x:v>
      </x:c>
      <x:c r="AV269" s="9" t="n">
        <x:f>MOD(AU269*16807,2147483647)</x:f>
        <x:v>269513805</x:v>
      </x:c>
      <x:c r="AW269" s="17" t="n">
        <x:f>IF('Control Room'!$B$5="Normal",'Control Room'!$B$7+'Control Room'!$D$7*SQRT(-2*LN(MAX(0.000000000001,AU269/2147483647)))*COS(2*PI()*AV269/2147483647),'Control Room'!$B$8+('Control Room'!$D$8-'Control Room'!$B$8)*AU269/2147483647)</x:f>
        <x:v>1065.2426765380355</x:v>
      </x:c>
      <x:c r="AX269" s="17" t="n">
        <x:f>IF('Control Room'!$B$5="Normal",'Control Room'!$B$7,('Control Room'!$B$8+'Control Room'!$D$8)/2)+'Control Room'!$B$9*(AX268-IF('Control Room'!$B$5="Normal",'Control Room'!$B$7,('Control Room'!$B$8+'Control Room'!$D$8)/2))+SQRT(1-'Control Room'!$B$9^2)*(AW269-IF('Control Room'!$B$5="Normal",'Control Room'!$B$7,('Control Room'!$B$8+'Control Room'!$D$8)/2))</x:f>
        <x:v>1080.6348894387527</x:v>
      </x:c>
      <x:c r="AY269" s="17" t="n">
        <x:f>IF(AND($A269&gt;='Control Room'!$A$13,$A269&lt;'Control Room'!$A$13+'Control Room'!$B$13,'Process'!BT2=1),1+('Control Room'!$C$13-1)*EXP(-0.5*(($A269-'Control Room'!$A$13-('Control Room'!$B$13-1)/2)/MAX(0.5,'Control Room'!$B$13/4))^2),1)*IF(AND($A269&gt;='Control Room'!$A$14,$A269&lt;'Control Room'!$A$14+'Control Room'!$B$14,'Process'!BT3=1),1+('Control Room'!$C$14-1)*EXP(-0.5*(($A269-'Control Room'!$A$14-('Control Room'!$B$14-1)/2)/MAX(0.5,'Control Room'!$B$14/4))^2),1)*IF(AND($A269&gt;='Control Room'!$A$15,$A269&lt;'Control Room'!$A$15+'Control Room'!$B$15,'Process'!BT4=1),1+('Control Room'!$C$15-1)*EXP(-0.5*(($A269-'Control Room'!$A$15-('Control Room'!$B$15-1)/2)/MAX(0.5,'Control Room'!$B$15/4))^2),1)*IF(AND($A269&gt;='Control Room'!$A$16,$A269&lt;'Control Room'!$A$16+'Control Room'!$B$16,'Process'!BT5=1),1+('Control Room'!$C$16-1)*EXP(-0.5*(($A269-'Control Room'!$A$16-('Control Room'!$B$16-1)/2)/MAX(0.5,'Control Room'!$B$16/4))^2),1)</x:f>
        <x:v>1</x:v>
      </x:c>
      <x:c r="AZ269" s="9" t="n">
        <x:f>MOD(BA268*16807,2147483647)</x:f>
        <x:v>1064806292</x:v>
      </x:c>
      <x:c r="BA269" s="9" t="n">
        <x:f>MOD(AZ269*16807,2147483647)</x:f>
        <x:v>1218119193</x:v>
      </x:c>
      <x:c r="BB269" s="17" t="n">
        <x:f>IF('Control Room'!$B$5="Normal",'Control Room'!$B$7+'Control Room'!$D$7*SQRT(-2*LN(MAX(0.000000000001,AZ269/2147483647)))*COS(2*PI()*BA269/2147483647),'Control Room'!$B$8+('Control Room'!$D$8-'Control Room'!$B$8)*AZ269/2147483647)</x:f>
        <x:v>902.7669590898543</x:v>
      </x:c>
      <x:c r="BC269" s="17" t="n">
        <x:f>IF('Control Room'!$B$5="Normal",'Control Room'!$B$7,('Control Room'!$B$8+'Control Room'!$D$8)/2)+'Control Room'!$B$9*(BC268-IF('Control Room'!$B$5="Normal",'Control Room'!$B$7,('Control Room'!$B$8+'Control Room'!$D$8)/2))+SQRT(1-'Control Room'!$B$9^2)*(BB269-IF('Control Room'!$B$5="Normal",'Control Room'!$B$7,('Control Room'!$B$8+'Control Room'!$D$8)/2))</x:f>
        <x:v>999.2400633180214</x:v>
      </x:c>
      <x:c r="BD269" s="17" t="n">
        <x:f>IF(AND($A269&gt;='Control Room'!$A$13,$A269&lt;'Control Room'!$A$13+'Control Room'!$B$13,'Process'!BU2=1),1+('Control Room'!$C$13-1)*EXP(-0.5*(($A269-'Control Room'!$A$13-('Control Room'!$B$13-1)/2)/MAX(0.5,'Control Room'!$B$13/4))^2),1)*IF(AND($A269&gt;='Control Room'!$A$14,$A269&lt;'Control Room'!$A$14+'Control Room'!$B$14,'Process'!BU3=1),1+('Control Room'!$C$14-1)*EXP(-0.5*(($A269-'Control Room'!$A$14-('Control Room'!$B$14-1)/2)/MAX(0.5,'Control Room'!$B$14/4))^2),1)*IF(AND($A269&gt;='Control Room'!$A$15,$A269&lt;'Control Room'!$A$15+'Control Room'!$B$15,'Process'!BU4=1),1+('Control Room'!$C$15-1)*EXP(-0.5*(($A269-'Control Room'!$A$15-('Control Room'!$B$15-1)/2)/MAX(0.5,'Control Room'!$B$15/4))^2),1)*IF(AND($A269&gt;='Control Room'!$A$16,$A269&lt;'Control Room'!$A$16+'Control Room'!$B$16,'Process'!BU5=1),1+('Control Room'!$C$16-1)*EXP(-0.5*(($A269-'Control Room'!$A$16-('Control Room'!$B$16-1)/2)/MAX(0.5,'Control Room'!$B$16/4))^2),1)</x:f>
        <x:v>1</x:v>
      </x:c>
      <x:c r="BE269" s="9" t="n">
        <x:f>MOD(BF268*16807,2147483647)</x:f>
        <x:v>864131085</x:v>
      </x:c>
      <x:c r="BF269" s="9" t="n">
        <x:f>MOD(BE269*16807,2147483647)</x:f>
        <x:v>19240934</x:v>
      </x:c>
      <x:c r="BG269" s="17" t="n">
        <x:f>IF('Control Room'!$B$5="Normal",'Control Room'!$B$7+'Control Room'!$D$7*SQRT(-2*LN(MAX(0.000000000001,BE269/2147483647)))*COS(2*PI()*BF269/2147483647),'Control Room'!$B$8+('Control Room'!$D$8-'Control Room'!$B$8)*BE269/2147483647)</x:f>
        <x:v>1121.2461068309683</x:v>
      </x:c>
      <x:c r="BH269" s="17" t="n">
        <x:f>IF('Control Room'!$B$5="Normal",'Control Room'!$B$7,('Control Room'!$B$8+'Control Room'!$D$8)/2)+'Control Room'!$B$9*(BH268-IF('Control Room'!$B$5="Normal",'Control Room'!$B$7,('Control Room'!$B$8+'Control Room'!$D$8)/2))+SQRT(1-'Control Room'!$B$9^2)*(BG269-IF('Control Room'!$B$5="Normal",'Control Room'!$B$7,('Control Room'!$B$8+'Control Room'!$D$8)/2))</x:f>
        <x:v>975.9565791670987</x:v>
      </x:c>
      <x:c r="BI269" s="17" t="n">
        <x:f>IF(AND($A269&gt;='Control Room'!$A$13,$A269&lt;'Control Room'!$A$13+'Control Room'!$B$13,'Process'!BV2=1),1+('Control Room'!$C$13-1)*EXP(-0.5*(($A269-'Control Room'!$A$13-('Control Room'!$B$13-1)/2)/MAX(0.5,'Control Room'!$B$13/4))^2),1)*IF(AND($A269&gt;='Control Room'!$A$14,$A269&lt;'Control Room'!$A$14+'Control Room'!$B$14,'Process'!BV3=1),1+('Control Room'!$C$14-1)*EXP(-0.5*(($A269-'Control Room'!$A$14-('Control Room'!$B$14-1)/2)/MAX(0.5,'Control Room'!$B$14/4))^2),1)*IF(AND($A269&gt;='Control Room'!$A$15,$A269&lt;'Control Room'!$A$15+'Control Room'!$B$15,'Process'!BV4=1),1+('Control Room'!$C$15-1)*EXP(-0.5*(($A269-'Control Room'!$A$15-('Control Room'!$B$15-1)/2)/MAX(0.5,'Control Room'!$B$15/4))^2),1)*IF(AND($A269&gt;='Control Room'!$A$16,$A269&lt;'Control Room'!$A$16+'Control Room'!$B$16,'Process'!BV5=1),1+('Control Room'!$C$16-1)*EXP(-0.5*(($A269-'Control Room'!$A$16-('Control Room'!$B$16-1)/2)/MAX(0.5,'Control Room'!$B$16/4))^2),1)</x:f>
        <x:v>1</x:v>
      </x:c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Z269" t="str">
        <x:f>IF('Data'!A269="","",TEXT('Data'!A269,"mm-dd"))</x:f>
      </x:c>
    </x:row>
    <x:row r="270" ht="21" customHeight="1">
      <x:c r="A270" s="15" t="n">
        <x:f>'Control Room'!$B$1+268</x:f>
        <x:v>73259</x:v>
      </x:c>
      <x:c r="B270" s="9" t="n">
        <x:f>MOD(C269*16807,2147483647)</x:f>
        <x:v>193545667</x:v>
      </x:c>
      <x:c r="C270" s="9" t="n">
        <x:f>MOD(B270*16807,2147483647)</x:f>
        <x:v>1631783711</x:v>
      </x:c>
      <x:c r="D270" s="17" t="n">
        <x:f>IF('Control Room'!$B$5="Normal",'Control Room'!$B$7+'Control Room'!$D$7*SQRT(-2*LN(MAX(0.000000000001,B270/2147483647)))*COS(2*PI()*C270/2147483647),'Control Room'!$B$8+('Control Room'!$D$8-'Control Room'!$B$8)*B270/2147483647)</x:f>
        <x:v>1012.2226967232989</x:v>
      </x:c>
      <x:c r="E270" s="17" t="n">
        <x:f>IF('Control Room'!$B$5="Normal",'Control Room'!$B$7,('Control Room'!$B$8+'Control Room'!$D$8)/2)+'Control Room'!$B$9*(E269-IF('Control Room'!$B$5="Normal",'Control Room'!$B$7,('Control Room'!$B$8+'Control Room'!$D$8)/2))+SQRT(1-'Control Room'!$B$9^2)*(D270-IF('Control Room'!$B$5="Normal",'Control Room'!$B$7,('Control Room'!$B$8+'Control Room'!$D$8)/2))</x:f>
        <x:v>1026.0947246350213</x:v>
      </x:c>
      <x:c r="F270" s="17" t="n">
        <x:f>IF(AND($A270&gt;='Control Room'!$A$13,$A270&lt;'Control Room'!$A$13+'Control Room'!$B$13,'Process'!BK2=1),1+('Control Room'!$C$13-1)*EXP(-0.5*(($A270-'Control Room'!$A$13-('Control Room'!$B$13-1)/2)/MAX(0.5,'Control Room'!$B$13/4))^2),1)*IF(AND($A270&gt;='Control Room'!$A$14,$A270&lt;'Control Room'!$A$14+'Control Room'!$B$14,'Process'!BK3=1),1+('Control Room'!$C$14-1)*EXP(-0.5*(($A270-'Control Room'!$A$14-('Control Room'!$B$14-1)/2)/MAX(0.5,'Control Room'!$B$14/4))^2),1)*IF(AND($A270&gt;='Control Room'!$A$15,$A270&lt;'Control Room'!$A$15+'Control Room'!$B$15,'Process'!BK4=1),1+('Control Room'!$C$15-1)*EXP(-0.5*(($A270-'Control Room'!$A$15-('Control Room'!$B$15-1)/2)/MAX(0.5,'Control Room'!$B$15/4))^2),1)*IF(AND($A270&gt;='Control Room'!$A$16,$A270&lt;'Control Room'!$A$16+'Control Room'!$B$16,'Process'!BK5=1),1+('Control Room'!$C$16-1)*EXP(-0.5*(($A270-'Control Room'!$A$16-('Control Room'!$B$16-1)/2)/MAX(0.5,'Control Room'!$B$16/4))^2),1)</x:f>
        <x:v>1</x:v>
      </x:c>
      <x:c r="G270" s="9" t="n">
        <x:f>MOD(H269*16807,2147483647)</x:f>
        <x:v>485706455</x:v>
      </x:c>
      <x:c r="H270" s="9" t="n">
        <x:f>MOD(G270*16807,2147483647)</x:f>
        <x:v>683046938</x:v>
      </x:c>
      <x:c r="I270" s="17" t="n">
        <x:f>IF('Control Room'!$B$5="Normal",'Control Room'!$B$7+'Control Room'!$D$7*SQRT(-2*LN(MAX(0.000000000001,G270/2147483647)))*COS(2*PI()*H270/2147483647),'Control Room'!$B$8+('Control Room'!$D$8-'Control Room'!$B$8)*G270/2147483647)</x:f>
        <x:v>935.6369128961244</x:v>
      </x:c>
      <x:c r="J270" s="17" t="n">
        <x:f>IF('Control Room'!$B$5="Normal",'Control Room'!$B$7,('Control Room'!$B$8+'Control Room'!$D$8)/2)+'Control Room'!$B$9*(J269-IF('Control Room'!$B$5="Normal",'Control Room'!$B$7,('Control Room'!$B$8+'Control Room'!$D$8)/2))+SQRT(1-'Control Room'!$B$9^2)*(I270-IF('Control Room'!$B$5="Normal",'Control Room'!$B$7,('Control Room'!$B$8+'Control Room'!$D$8)/2))</x:f>
        <x:v>1024.211039451505</x:v>
      </x:c>
      <x:c r="K270" s="17" t="n">
        <x:f>IF(AND($A270&gt;='Control Room'!$A$13,$A270&lt;'Control Room'!$A$13+'Control Room'!$B$13,'Process'!BL2=1),1+('Control Room'!$C$13-1)*EXP(-0.5*(($A270-'Control Room'!$A$13-('Control Room'!$B$13-1)/2)/MAX(0.5,'Control Room'!$B$13/4))^2),1)*IF(AND($A270&gt;='Control Room'!$A$14,$A270&lt;'Control Room'!$A$14+'Control Room'!$B$14,'Process'!BL3=1),1+('Control Room'!$C$14-1)*EXP(-0.5*(($A270-'Control Room'!$A$14-('Control Room'!$B$14-1)/2)/MAX(0.5,'Control Room'!$B$14/4))^2),1)*IF(AND($A270&gt;='Control Room'!$A$15,$A270&lt;'Control Room'!$A$15+'Control Room'!$B$15,'Process'!BL4=1),1+('Control Room'!$C$15-1)*EXP(-0.5*(($A270-'Control Room'!$A$15-('Control Room'!$B$15-1)/2)/MAX(0.5,'Control Room'!$B$15/4))^2),1)*IF(AND($A270&gt;='Control Room'!$A$16,$A270&lt;'Control Room'!$A$16+'Control Room'!$B$16,'Process'!BL5=1),1+('Control Room'!$C$16-1)*EXP(-0.5*(($A270-'Control Room'!$A$16-('Control Room'!$B$16-1)/2)/MAX(0.5,'Control Room'!$B$16/4))^2),1)</x:f>
        <x:v>1</x:v>
      </x:c>
      <x:c r="L270" s="9" t="n">
        <x:f>MOD(M269*16807,2147483647)</x:f>
        <x:v>777867243</x:v>
      </x:c>
      <x:c r="M270" s="9" t="n">
        <x:f>MOD(L270*16807,2147483647)</x:f>
        <x:v>1881793812</x:v>
      </x:c>
      <x:c r="N270" s="17" t="n">
        <x:f>IF('Control Room'!$B$5="Normal",'Control Room'!$B$7+'Control Room'!$D$7*SQRT(-2*LN(MAX(0.000000000001,L270/2147483647)))*COS(2*PI()*M270/2147483647),'Control Room'!$B$8+('Control Room'!$D$8-'Control Room'!$B$8)*L270/2147483647)</x:f>
        <x:v>1091.420284183574</x:v>
      </x:c>
      <x:c r="O270" s="17" t="n">
        <x:f>IF('Control Room'!$B$5="Normal",'Control Room'!$B$7,('Control Room'!$B$8+'Control Room'!$D$8)/2)+'Control Room'!$B$9*(O269-IF('Control Room'!$B$5="Normal",'Control Room'!$B$7,('Control Room'!$B$8+'Control Room'!$D$8)/2))+SQRT(1-'Control Room'!$B$9^2)*(N270-IF('Control Room'!$B$5="Normal",'Control Room'!$B$7,('Control Room'!$B$8+'Control Room'!$D$8)/2))</x:f>
        <x:v>1143.3165731720178</x:v>
      </x:c>
      <x:c r="P270" s="17" t="n">
        <x:f>IF(AND($A270&gt;='Control Room'!$A$13,$A270&lt;'Control Room'!$A$13+'Control Room'!$B$13,'Process'!BM2=1),1+('Control Room'!$C$13-1)*EXP(-0.5*(($A270-'Control Room'!$A$13-('Control Room'!$B$13-1)/2)/MAX(0.5,'Control Room'!$B$13/4))^2),1)*IF(AND($A270&gt;='Control Room'!$A$14,$A270&lt;'Control Room'!$A$14+'Control Room'!$B$14,'Process'!BM3=1),1+('Control Room'!$C$14-1)*EXP(-0.5*(($A270-'Control Room'!$A$14-('Control Room'!$B$14-1)/2)/MAX(0.5,'Control Room'!$B$14/4))^2),1)*IF(AND($A270&gt;='Control Room'!$A$15,$A270&lt;'Control Room'!$A$15+'Control Room'!$B$15,'Process'!BM4=1),1+('Control Room'!$C$15-1)*EXP(-0.5*(($A270-'Control Room'!$A$15-('Control Room'!$B$15-1)/2)/MAX(0.5,'Control Room'!$B$15/4))^2),1)*IF(AND($A270&gt;='Control Room'!$A$16,$A270&lt;'Control Room'!$A$16+'Control Room'!$B$16,'Process'!BM5=1),1+('Control Room'!$C$16-1)*EXP(-0.5*(($A270-'Control Room'!$A$16-('Control Room'!$B$16-1)/2)/MAX(0.5,'Control Room'!$B$16/4))^2),1)</x:f>
        <x:v>1</x:v>
      </x:c>
      <x:c r="Q270" s="9" t="n">
        <x:f>MOD(R269*16807,2147483647)</x:f>
        <x:v>1070028031</x:v>
      </x:c>
      <x:c r="R270" s="9" t="n">
        <x:f>MOD(Q270*16807,2147483647)</x:f>
        <x:v>933057039</x:v>
      </x:c>
      <x:c r="S270" s="17" t="n">
        <x:f>IF('Control Room'!$B$5="Normal",'Control Room'!$B$7+'Control Room'!$D$7*SQRT(-2*LN(MAX(0.000000000001,Q270/2147483647)))*COS(2*PI()*R270/2147483647),'Control Room'!$B$8+('Control Room'!$D$8-'Control Room'!$B$8)*Q270/2147483647)</x:f>
        <x:v>902.6417126966837</x:v>
      </x:c>
      <x:c r="T270" s="17" t="n">
        <x:f>IF('Control Room'!$B$5="Normal",'Control Room'!$B$7,('Control Room'!$B$8+'Control Room'!$D$8)/2)+'Control Room'!$B$9*(T269-IF('Control Room'!$B$5="Normal",'Control Room'!$B$7,('Control Room'!$B$8+'Control Room'!$D$8)/2))+SQRT(1-'Control Room'!$B$9^2)*(S270-IF('Control Room'!$B$5="Normal",'Control Room'!$B$7,('Control Room'!$B$8+'Control Room'!$D$8)/2))</x:f>
        <x:v>744.084244950579</x:v>
      </x:c>
      <x:c r="U270" s="17" t="n">
        <x:f>IF(AND($A270&gt;='Control Room'!$A$13,$A270&lt;'Control Room'!$A$13+'Control Room'!$B$13,'Process'!BN2=1),1+('Control Room'!$C$13-1)*EXP(-0.5*(($A270-'Control Room'!$A$13-('Control Room'!$B$13-1)/2)/MAX(0.5,'Control Room'!$B$13/4))^2),1)*IF(AND($A270&gt;='Control Room'!$A$14,$A270&lt;'Control Room'!$A$14+'Control Room'!$B$14,'Process'!BN3=1),1+('Control Room'!$C$14-1)*EXP(-0.5*(($A270-'Control Room'!$A$14-('Control Room'!$B$14-1)/2)/MAX(0.5,'Control Room'!$B$14/4))^2),1)*IF(AND($A270&gt;='Control Room'!$A$15,$A270&lt;'Control Room'!$A$15+'Control Room'!$B$15,'Process'!BN4=1),1+('Control Room'!$C$15-1)*EXP(-0.5*(($A270-'Control Room'!$A$15-('Control Room'!$B$15-1)/2)/MAX(0.5,'Control Room'!$B$15/4))^2),1)*IF(AND($A270&gt;='Control Room'!$A$16,$A270&lt;'Control Room'!$A$16+'Control Room'!$B$16,'Process'!BN5=1),1+('Control Room'!$C$16-1)*EXP(-0.5*(($A270-'Control Room'!$A$16-('Control Room'!$B$16-1)/2)/MAX(0.5,'Control Room'!$B$16/4))^2),1)</x:f>
        <x:v>1</x:v>
      </x:c>
      <x:c r="V270" s="9" t="n">
        <x:f>MOD(W269*16807,2147483647)</x:f>
        <x:v>1362188819</x:v>
      </x:c>
      <x:c r="W270" s="9" t="n">
        <x:f>MOD(V270*16807,2147483647)</x:f>
        <x:v>2131803913</x:v>
      </x:c>
      <x:c r="X270" s="17" t="n">
        <x:f>IF('Control Room'!$B$5="Normal",'Control Room'!$B$7+'Control Room'!$D$7*SQRT(-2*LN(MAX(0.000000000001,V270/2147483647)))*COS(2*PI()*W270/2147483647),'Control Room'!$B$8+('Control Room'!$D$8-'Control Room'!$B$8)*V270/2147483647)</x:f>
        <x:v>1085.783414964733</x:v>
      </x:c>
      <x:c r="Y270" s="17" t="n">
        <x:f>IF('Control Room'!$B$5="Normal",'Control Room'!$B$7,('Control Room'!$B$8+'Control Room'!$D$8)/2)+'Control Room'!$B$9*(Y269-IF('Control Room'!$B$5="Normal",'Control Room'!$B$7,('Control Room'!$B$8+'Control Room'!$D$8)/2))+SQRT(1-'Control Room'!$B$9^2)*(X270-IF('Control Room'!$B$5="Normal",'Control Room'!$B$7,('Control Room'!$B$8+'Control Room'!$D$8)/2))</x:f>
        <x:v>1168.399315926158</x:v>
      </x:c>
      <x:c r="Z270" s="17" t="n">
        <x:f>IF(AND($A270&gt;='Control Room'!$A$13,$A270&lt;'Control Room'!$A$13+'Control Room'!$B$13,'Process'!BO2=1),1+('Control Room'!$C$13-1)*EXP(-0.5*(($A270-'Control Room'!$A$13-('Control Room'!$B$13-1)/2)/MAX(0.5,'Control Room'!$B$13/4))^2),1)*IF(AND($A270&gt;='Control Room'!$A$14,$A270&lt;'Control Room'!$A$14+'Control Room'!$B$14,'Process'!BO3=1),1+('Control Room'!$C$14-1)*EXP(-0.5*(($A270-'Control Room'!$A$14-('Control Room'!$B$14-1)/2)/MAX(0.5,'Control Room'!$B$14/4))^2),1)*IF(AND($A270&gt;='Control Room'!$A$15,$A270&lt;'Control Room'!$A$15+'Control Room'!$B$15,'Process'!BO4=1),1+('Control Room'!$C$15-1)*EXP(-0.5*(($A270-'Control Room'!$A$15-('Control Room'!$B$15-1)/2)/MAX(0.5,'Control Room'!$B$15/4))^2),1)*IF(AND($A270&gt;='Control Room'!$A$16,$A270&lt;'Control Room'!$A$16+'Control Room'!$B$16,'Process'!BO5=1),1+('Control Room'!$C$16-1)*EXP(-0.5*(($A270-'Control Room'!$A$16-('Control Room'!$B$16-1)/2)/MAX(0.5,'Control Room'!$B$16/4))^2),1)</x:f>
        <x:v>1</x:v>
      </x:c>
      <x:c r="AA270" s="9" t="n">
        <x:f>MOD(AB269*16807,2147483647)</x:f>
        <x:v>1654349607</x:v>
      </x:c>
      <x:c r="AB270" s="9" t="n">
        <x:f>MOD(AA270*16807,2147483647)</x:f>
        <x:v>1183067140</x:v>
      </x:c>
      <x:c r="AC270" s="17" t="n">
        <x:f>IF('Control Room'!$B$5="Normal",'Control Room'!$B$7+'Control Room'!$D$7*SQRT(-2*LN(MAX(0.000000000001,AA270/2147483647)))*COS(2*PI()*AB270/2147483647),'Control Room'!$B$8+('Control Room'!$D$8-'Control Room'!$B$8)*AA270/2147483647)</x:f>
        <x:v>938.2867852454823</x:v>
      </x:c>
      <x:c r="AD270" s="17" t="n">
        <x:f>IF('Control Room'!$B$5="Normal",'Control Room'!$B$7,('Control Room'!$B$8+'Control Room'!$D$8)/2)+'Control Room'!$B$9*(AD269-IF('Control Room'!$B$5="Normal",'Control Room'!$B$7,('Control Room'!$B$8+'Control Room'!$D$8)/2))+SQRT(1-'Control Room'!$B$9^2)*(AC270-IF('Control Room'!$B$5="Normal",'Control Room'!$B$7,('Control Room'!$B$8+'Control Room'!$D$8)/2))</x:f>
        <x:v>908.7837862579736</x:v>
      </x:c>
      <x:c r="AE270" s="17" t="n">
        <x:f>IF(AND($A270&gt;='Control Room'!$A$13,$A270&lt;'Control Room'!$A$13+'Control Room'!$B$13,'Process'!BP2=1),1+('Control Room'!$C$13-1)*EXP(-0.5*(($A270-'Control Room'!$A$13-('Control Room'!$B$13-1)/2)/MAX(0.5,'Control Room'!$B$13/4))^2),1)*IF(AND($A270&gt;='Control Room'!$A$14,$A270&lt;'Control Room'!$A$14+'Control Room'!$B$14,'Process'!BP3=1),1+('Control Room'!$C$14-1)*EXP(-0.5*(($A270-'Control Room'!$A$14-('Control Room'!$B$14-1)/2)/MAX(0.5,'Control Room'!$B$14/4))^2),1)*IF(AND($A270&gt;='Control Room'!$A$15,$A270&lt;'Control Room'!$A$15+'Control Room'!$B$15,'Process'!BP4=1),1+('Control Room'!$C$15-1)*EXP(-0.5*(($A270-'Control Room'!$A$15-('Control Room'!$B$15-1)/2)/MAX(0.5,'Control Room'!$B$15/4))^2),1)*IF(AND($A270&gt;='Control Room'!$A$16,$A270&lt;'Control Room'!$A$16+'Control Room'!$B$16,'Process'!BP5=1),1+('Control Room'!$C$16-1)*EXP(-0.5*(($A270-'Control Room'!$A$16-('Control Room'!$B$16-1)/2)/MAX(0.5,'Control Room'!$B$16/4))^2),1)</x:f>
        <x:v>1</x:v>
      </x:c>
      <x:c r="AF270" s="9" t="n">
        <x:f>MOD(AG269*16807,2147483647)</x:f>
        <x:v>1946510395</x:v>
      </x:c>
      <x:c r="AG270" s="9" t="n">
        <x:f>MOD(AF270*16807,2147483647)</x:f>
        <x:v>234330367</x:v>
      </x:c>
      <x:c r="AH270" s="17" t="n">
        <x:f>IF('Control Room'!$B$5="Normal",'Control Room'!$B$7+'Control Room'!$D$7*SQRT(-2*LN(MAX(0.000000000001,AF270/2147483647)))*COS(2*PI()*AG270/2147483647),'Control Room'!$B$8+('Control Room'!$D$8-'Control Room'!$B$8)*AF270/2147483647)</x:f>
        <x:v>1030.8817071307867</x:v>
      </x:c>
      <x:c r="AI270" s="17" t="n">
        <x:f>IF('Control Room'!$B$5="Normal",'Control Room'!$B$7,('Control Room'!$B$8+'Control Room'!$D$8)/2)+'Control Room'!$B$9*(AI269-IF('Control Room'!$B$5="Normal",'Control Room'!$B$7,('Control Room'!$B$8+'Control Room'!$D$8)/2))+SQRT(1-'Control Room'!$B$9^2)*(AH270-IF('Control Room'!$B$5="Normal",'Control Room'!$B$7,('Control Room'!$B$8+'Control Room'!$D$8)/2))</x:f>
        <x:v>1115.3060893000415</x:v>
      </x:c>
      <x:c r="AJ270" s="17" t="n">
        <x:f>IF(AND($A270&gt;='Control Room'!$A$13,$A270&lt;'Control Room'!$A$13+'Control Room'!$B$13,'Process'!BQ2=1),1+('Control Room'!$C$13-1)*EXP(-0.5*(($A270-'Control Room'!$A$13-('Control Room'!$B$13-1)/2)/MAX(0.5,'Control Room'!$B$13/4))^2),1)*IF(AND($A270&gt;='Control Room'!$A$14,$A270&lt;'Control Room'!$A$14+'Control Room'!$B$14,'Process'!BQ3=1),1+('Control Room'!$C$14-1)*EXP(-0.5*(($A270-'Control Room'!$A$14-('Control Room'!$B$14-1)/2)/MAX(0.5,'Control Room'!$B$14/4))^2),1)*IF(AND($A270&gt;='Control Room'!$A$15,$A270&lt;'Control Room'!$A$15+'Control Room'!$B$15,'Process'!BQ4=1),1+('Control Room'!$C$15-1)*EXP(-0.5*(($A270-'Control Room'!$A$15-('Control Room'!$B$15-1)/2)/MAX(0.5,'Control Room'!$B$15/4))^2),1)*IF(AND($A270&gt;='Control Room'!$A$16,$A270&lt;'Control Room'!$A$16+'Control Room'!$B$16,'Process'!BQ5=1),1+('Control Room'!$C$16-1)*EXP(-0.5*(($A270-'Control Room'!$A$16-('Control Room'!$B$16-1)/2)/MAX(0.5,'Control Room'!$B$16/4))^2),1)</x:f>
        <x:v>1</x:v>
      </x:c>
      <x:c r="AK270" s="9" t="n">
        <x:f>MOD(AL269*16807,2147483647)</x:f>
        <x:v>91187536</x:v>
      </x:c>
      <x:c r="AL270" s="9" t="n">
        <x:f>MOD(AK270*16807,2147483647)</x:f>
        <x:v>1433077241</x:v>
      </x:c>
      <x:c r="AM270" s="17" t="n">
        <x:f>IF('Control Room'!$B$5="Normal",'Control Room'!$B$7+'Control Room'!$D$7*SQRT(-2*LN(MAX(0.000000000001,AK270/2147483647)))*COS(2*PI()*AL270/2147483647),'Control Room'!$B$8+('Control Room'!$D$8-'Control Room'!$B$8)*AK270/2147483647)</x:f>
        <x:v>887.703056070502</x:v>
      </x:c>
      <x:c r="AN270" s="17" t="n">
        <x:f>IF('Control Room'!$B$5="Normal",'Control Room'!$B$7,('Control Room'!$B$8+'Control Room'!$D$8)/2)+'Control Room'!$B$9*(AN269-IF('Control Room'!$B$5="Normal",'Control Room'!$B$7,('Control Room'!$B$8+'Control Room'!$D$8)/2))+SQRT(1-'Control Room'!$B$9^2)*(AM270-IF('Control Room'!$B$5="Normal",'Control Room'!$B$7,('Control Room'!$B$8+'Control Room'!$D$8)/2))</x:f>
        <x:v>938.6760888329184</x:v>
      </x:c>
      <x:c r="AO270" s="17" t="n">
        <x:f>IF(AND($A270&gt;='Control Room'!$A$13,$A270&lt;'Control Room'!$A$13+'Control Room'!$B$13,'Process'!BR2=1),1+('Control Room'!$C$13-1)*EXP(-0.5*(($A270-'Control Room'!$A$13-('Control Room'!$B$13-1)/2)/MAX(0.5,'Control Room'!$B$13/4))^2),1)*IF(AND($A270&gt;='Control Room'!$A$14,$A270&lt;'Control Room'!$A$14+'Control Room'!$B$14,'Process'!BR3=1),1+('Control Room'!$C$14-1)*EXP(-0.5*(($A270-'Control Room'!$A$14-('Control Room'!$B$14-1)/2)/MAX(0.5,'Control Room'!$B$14/4))^2),1)*IF(AND($A270&gt;='Control Room'!$A$15,$A270&lt;'Control Room'!$A$15+'Control Room'!$B$15,'Process'!BR4=1),1+('Control Room'!$C$15-1)*EXP(-0.5*(($A270-'Control Room'!$A$15-('Control Room'!$B$15-1)/2)/MAX(0.5,'Control Room'!$B$15/4))^2),1)*IF(AND($A270&gt;='Control Room'!$A$16,$A270&lt;'Control Room'!$A$16+'Control Room'!$B$16,'Process'!BR5=1),1+('Control Room'!$C$16-1)*EXP(-0.5*(($A270-'Control Room'!$A$16-('Control Room'!$B$16-1)/2)/MAX(0.5,'Control Room'!$B$16/4))^2),1)</x:f>
        <x:v>1</x:v>
      </x:c>
      <x:c r="AP270" s="9" t="n">
        <x:f>MOD(AQ269*16807,2147483647)</x:f>
        <x:v>383348324</x:v>
      </x:c>
      <x:c r="AQ270" s="9" t="n">
        <x:f>MOD(AP270*16807,2147483647)</x:f>
        <x:v>484340468</x:v>
      </x:c>
      <x:c r="AR270" s="17" t="n">
        <x:f>IF('Control Room'!$B$5="Normal",'Control Room'!$B$7+'Control Room'!$D$7*SQRT(-2*LN(MAX(0.000000000001,AP270/2147483647)))*COS(2*PI()*AQ270/2147483647),'Control Room'!$B$8+('Control Room'!$D$8-'Control Room'!$B$8)*AP270/2147483647)</x:f>
        <x:v>1025.5778267838</x:v>
      </x:c>
      <x:c r="AS270" s="17" t="n">
        <x:f>IF('Control Room'!$B$5="Normal",'Control Room'!$B$7,('Control Room'!$B$8+'Control Room'!$D$8)/2)+'Control Room'!$B$9*(AS269-IF('Control Room'!$B$5="Normal",'Control Room'!$B$7,('Control Room'!$B$8+'Control Room'!$D$8)/2))+SQRT(1-'Control Room'!$B$9^2)*(AR270-IF('Control Room'!$B$5="Normal",'Control Room'!$B$7,('Control Room'!$B$8+'Control Room'!$D$8)/2))</x:f>
        <x:v>1049.8893606553793</x:v>
      </x:c>
      <x:c r="AT270" s="17" t="n">
        <x:f>IF(AND($A270&gt;='Control Room'!$A$13,$A270&lt;'Control Room'!$A$13+'Control Room'!$B$13,'Process'!BS2=1),1+('Control Room'!$C$13-1)*EXP(-0.5*(($A270-'Control Room'!$A$13-('Control Room'!$B$13-1)/2)/MAX(0.5,'Control Room'!$B$13/4))^2),1)*IF(AND($A270&gt;='Control Room'!$A$14,$A270&lt;'Control Room'!$A$14+'Control Room'!$B$14,'Process'!BS3=1),1+('Control Room'!$C$14-1)*EXP(-0.5*(($A270-'Control Room'!$A$14-('Control Room'!$B$14-1)/2)/MAX(0.5,'Control Room'!$B$14/4))^2),1)*IF(AND($A270&gt;='Control Room'!$A$15,$A270&lt;'Control Room'!$A$15+'Control Room'!$B$15,'Process'!BS4=1),1+('Control Room'!$C$15-1)*EXP(-0.5*(($A270-'Control Room'!$A$15-('Control Room'!$B$15-1)/2)/MAX(0.5,'Control Room'!$B$15/4))^2),1)*IF(AND($A270&gt;='Control Room'!$A$16,$A270&lt;'Control Room'!$A$16+'Control Room'!$B$16,'Process'!BS5=1),1+('Control Room'!$C$16-1)*EXP(-0.5*(($A270-'Control Room'!$A$16-('Control Room'!$B$16-1)/2)/MAX(0.5,'Control Room'!$B$16/4))^2),1)</x:f>
        <x:v>1</x:v>
      </x:c>
      <x:c r="AU270" s="9" t="n">
        <x:f>MOD(AV269*16807,2147483647)</x:f>
        <x:v>675509112</x:v>
      </x:c>
      <x:c r="AV270" s="9" t="n">
        <x:f>MOD(AU270*16807,2147483647)</x:f>
        <x:v>1683087342</x:v>
      </x:c>
      <x:c r="AW270" s="17" t="n">
        <x:f>IF('Control Room'!$B$5="Normal",'Control Room'!$B$7+'Control Room'!$D$7*SQRT(-2*LN(MAX(0.000000000001,AU270/2147483647)))*COS(2*PI()*AV270/2147483647),'Control Room'!$B$8+('Control Room'!$D$8-'Control Room'!$B$8)*AU270/2147483647)</x:f>
        <x:v>1028.8086351382556</x:v>
      </x:c>
      <x:c r="AX270" s="17" t="n">
        <x:f>IF('Control Room'!$B$5="Normal",'Control Room'!$B$7,('Control Room'!$B$8+'Control Room'!$D$8)/2)+'Control Room'!$B$9*(AX269-IF('Control Room'!$B$5="Normal",'Control Room'!$B$7,('Control Room'!$B$8+'Control Room'!$D$8)/2))+SQRT(1-'Control Room'!$B$9^2)*(AW270-IF('Control Room'!$B$5="Normal",'Control Room'!$B$7,('Control Room'!$B$8+'Control Room'!$D$8)/2))</x:f>
        <x:v>1080.9230674547775</x:v>
      </x:c>
      <x:c r="AY270" s="17" t="n">
        <x:f>IF(AND($A270&gt;='Control Room'!$A$13,$A270&lt;'Control Room'!$A$13+'Control Room'!$B$13,'Process'!BT2=1),1+('Control Room'!$C$13-1)*EXP(-0.5*(($A270-'Control Room'!$A$13-('Control Room'!$B$13-1)/2)/MAX(0.5,'Control Room'!$B$13/4))^2),1)*IF(AND($A270&gt;='Control Room'!$A$14,$A270&lt;'Control Room'!$A$14+'Control Room'!$B$14,'Process'!BT3=1),1+('Control Room'!$C$14-1)*EXP(-0.5*(($A270-'Control Room'!$A$14-('Control Room'!$B$14-1)/2)/MAX(0.5,'Control Room'!$B$14/4))^2),1)*IF(AND($A270&gt;='Control Room'!$A$15,$A270&lt;'Control Room'!$A$15+'Control Room'!$B$15,'Process'!BT4=1),1+('Control Room'!$C$15-1)*EXP(-0.5*(($A270-'Control Room'!$A$15-('Control Room'!$B$15-1)/2)/MAX(0.5,'Control Room'!$B$15/4))^2),1)*IF(AND($A270&gt;='Control Room'!$A$16,$A270&lt;'Control Room'!$A$16+'Control Room'!$B$16,'Process'!BT5=1),1+('Control Room'!$C$16-1)*EXP(-0.5*(($A270-'Control Room'!$A$16-('Control Room'!$B$16-1)/2)/MAX(0.5,'Control Room'!$B$16/4))^2),1)</x:f>
        <x:v>1</x:v>
      </x:c>
      <x:c r="AZ270" s="9" t="n">
        <x:f>MOD(BA269*16807,2147483647)</x:f>
        <x:v>967669900</x:v>
      </x:c>
      <x:c r="BA270" s="9" t="n">
        <x:f>MOD(AZ270*16807,2147483647)</x:f>
        <x:v>734350569</x:v>
      </x:c>
      <x:c r="BB270" s="17" t="n">
        <x:f>IF('Control Room'!$B$5="Normal",'Control Room'!$B$7+'Control Room'!$D$7*SQRT(-2*LN(MAX(0.000000000001,AZ270/2147483647)))*COS(2*PI()*BA270/2147483647),'Control Room'!$B$8+('Control Room'!$D$8-'Control Room'!$B$8)*AZ270/2147483647)</x:f>
        <x:v>937.9325860760171</x:v>
      </x:c>
      <x:c r="BC270" s="17" t="n">
        <x:f>IF('Control Room'!$B$5="Normal",'Control Room'!$B$7,('Control Room'!$B$8+'Control Room'!$D$8)/2)+'Control Room'!$B$9*(BC269-IF('Control Room'!$B$5="Normal",'Control Room'!$B$7,('Control Room'!$B$8+'Control Room'!$D$8)/2))+SQRT(1-'Control Room'!$B$9^2)*(BB270-IF('Control Room'!$B$5="Normal",'Control Room'!$B$7,('Control Room'!$B$8+'Control Room'!$D$8)/2))</x:f>
        <x:v>960.5667332745156</x:v>
      </x:c>
      <x:c r="BD270" s="17" t="n">
        <x:f>IF(AND($A270&gt;='Control Room'!$A$13,$A270&lt;'Control Room'!$A$13+'Control Room'!$B$13,'Process'!BU2=1),1+('Control Room'!$C$13-1)*EXP(-0.5*(($A270-'Control Room'!$A$13-('Control Room'!$B$13-1)/2)/MAX(0.5,'Control Room'!$B$13/4))^2),1)*IF(AND($A270&gt;='Control Room'!$A$14,$A270&lt;'Control Room'!$A$14+'Control Room'!$B$14,'Process'!BU3=1),1+('Control Room'!$C$14-1)*EXP(-0.5*(($A270-'Control Room'!$A$14-('Control Room'!$B$14-1)/2)/MAX(0.5,'Control Room'!$B$14/4))^2),1)*IF(AND($A270&gt;='Control Room'!$A$15,$A270&lt;'Control Room'!$A$15+'Control Room'!$B$15,'Process'!BU4=1),1+('Control Room'!$C$15-1)*EXP(-0.5*(($A270-'Control Room'!$A$15-('Control Room'!$B$15-1)/2)/MAX(0.5,'Control Room'!$B$15/4))^2),1)*IF(AND($A270&gt;='Control Room'!$A$16,$A270&lt;'Control Room'!$A$16+'Control Room'!$B$16,'Process'!BU5=1),1+('Control Room'!$C$16-1)*EXP(-0.5*(($A270-'Control Room'!$A$16-('Control Room'!$B$16-1)/2)/MAX(0.5,'Control Room'!$B$16/4))^2),1)</x:f>
        <x:v>1</x:v>
      </x:c>
      <x:c r="BE270" s="9" t="n">
        <x:f>MOD(BF269*16807,2147483647)</x:f>
        <x:v>1259830688</x:v>
      </x:c>
      <x:c r="BF270" s="9" t="n">
        <x:f>MOD(BE270*16807,2147483647)</x:f>
        <x:v>1933097443</x:v>
      </x:c>
      <x:c r="BG270" s="17" t="n">
        <x:f>IF('Control Room'!$B$5="Normal",'Control Room'!$B$7+'Control Room'!$D$7*SQRT(-2*LN(MAX(0.000000000001,BE270/2147483647)))*COS(2*PI()*BF270/2147483647),'Control Room'!$B$8+('Control Room'!$D$8-'Control Room'!$B$8)*BE270/2147483647)</x:f>
        <x:v>1075.2562937275306</x:v>
      </x:c>
      <x:c r="BH270" s="17" t="n">
        <x:f>IF('Control Room'!$B$5="Normal",'Control Room'!$B$7,('Control Room'!$B$8+'Control Room'!$D$8)/2)+'Control Room'!$B$9*(BH269-IF('Control Room'!$B$5="Normal",'Control Room'!$B$7,('Control Room'!$B$8+'Control Room'!$D$8)/2))+SQRT(1-'Control Room'!$B$9^2)*(BG270-IF('Control Room'!$B$5="Normal",'Control Room'!$B$7,('Control Room'!$B$8+'Control Room'!$D$8)/2))</x:f>
        <x:v>1028.3399786560494</x:v>
      </x:c>
      <x:c r="BI270" s="17" t="n">
        <x:f>IF(AND($A270&gt;='Control Room'!$A$13,$A270&lt;'Control Room'!$A$13+'Control Room'!$B$13,'Process'!BV2=1),1+('Control Room'!$C$13-1)*EXP(-0.5*(($A270-'Control Room'!$A$13-('Control Room'!$B$13-1)/2)/MAX(0.5,'Control Room'!$B$13/4))^2),1)*IF(AND($A270&gt;='Control Room'!$A$14,$A270&lt;'Control Room'!$A$14+'Control Room'!$B$14,'Process'!BV3=1),1+('Control Room'!$C$14-1)*EXP(-0.5*(($A270-'Control Room'!$A$14-('Control Room'!$B$14-1)/2)/MAX(0.5,'Control Room'!$B$14/4))^2),1)*IF(AND($A270&gt;='Control Room'!$A$15,$A270&lt;'Control Room'!$A$15+'Control Room'!$B$15,'Process'!BV4=1),1+('Control Room'!$C$15-1)*EXP(-0.5*(($A270-'Control Room'!$A$15-('Control Room'!$B$15-1)/2)/MAX(0.5,'Control Room'!$B$15/4))^2),1)*IF(AND($A270&gt;='Control Room'!$A$16,$A270&lt;'Control Room'!$A$16+'Control Room'!$B$16,'Process'!BV5=1),1+('Control Room'!$C$16-1)*EXP(-0.5*(($A270-'Control Room'!$A$16-('Control Room'!$B$16-1)/2)/MAX(0.5,'Control Room'!$B$16/4))^2),1)</x:f>
        <x:v>1</x:v>
      </x:c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Z270" t="str">
        <x:f>IF('Data'!A270="","",TEXT('Data'!A270,"mm-dd"))</x:f>
      </x:c>
    </x:row>
    <x:row r="271" ht="21" customHeight="1">
      <x:c r="A271" s="15" t="n">
        <x:f>'Control Room'!$B$1+269</x:f>
        <x:v>73260</x:v>
      </x:c>
      <x:c r="B271" s="9" t="n">
        <x:f>MOD(C270*16807,2147483647)</x:f>
        <x:v>2022658587</x:v>
      </x:c>
      <x:c r="C271" s="9" t="n">
        <x:f>MOD(B271*16807,2147483647)</x:f>
        <x:v>156739699</x:v>
      </x:c>
      <x:c r="D271" s="17" t="n">
        <x:f>IF('Control Room'!$B$5="Normal",'Control Room'!$B$7+'Control Room'!$D$7*SQRT(-2*LN(MAX(0.000000000001,B271/2147483647)))*COS(2*PI()*C271/2147483647),'Control Room'!$B$8+('Control Room'!$D$8-'Control Room'!$B$8)*B271/2147483647)</x:f>
        <x:v>1027.928534430338</x:v>
      </x:c>
      <x:c r="E271" s="17" t="n">
        <x:f>IF('Control Room'!$B$5="Normal",'Control Room'!$B$7,('Control Room'!$B$8+'Control Room'!$D$8)/2)+'Control Room'!$B$9*(E270-IF('Control Room'!$B$5="Normal",'Control Room'!$B$7,('Control Room'!$B$8+'Control Room'!$D$8)/2))+SQRT(1-'Control Room'!$B$9^2)*(D271-IF('Control Room'!$B$5="Normal",'Control Room'!$B$7,('Control Room'!$B$8+'Control Room'!$D$8)/2))</x:f>
        <x:v>1037.8309899146955</x:v>
      </x:c>
      <x:c r="F271" s="17" t="n">
        <x:f>IF(AND($A271&gt;='Control Room'!$A$13,$A271&lt;'Control Room'!$A$13+'Control Room'!$B$13,'Process'!BK2=1),1+('Control Room'!$C$13-1)*EXP(-0.5*(($A271-'Control Room'!$A$13-('Control Room'!$B$13-1)/2)/MAX(0.5,'Control Room'!$B$13/4))^2),1)*IF(AND($A271&gt;='Control Room'!$A$14,$A271&lt;'Control Room'!$A$14+'Control Room'!$B$14,'Process'!BK3=1),1+('Control Room'!$C$14-1)*EXP(-0.5*(($A271-'Control Room'!$A$14-('Control Room'!$B$14-1)/2)/MAX(0.5,'Control Room'!$B$14/4))^2),1)*IF(AND($A271&gt;='Control Room'!$A$15,$A271&lt;'Control Room'!$A$15+'Control Room'!$B$15,'Process'!BK4=1),1+('Control Room'!$C$15-1)*EXP(-0.5*(($A271-'Control Room'!$A$15-('Control Room'!$B$15-1)/2)/MAX(0.5,'Control Room'!$B$15/4))^2),1)*IF(AND($A271&gt;='Control Room'!$A$16,$A271&lt;'Control Room'!$A$16+'Control Room'!$B$16,'Process'!BK5=1),1+('Control Room'!$C$16-1)*EXP(-0.5*(($A271-'Control Room'!$A$16-('Control Room'!$B$16-1)/2)/MAX(0.5,'Control Room'!$B$16/4))^2),1)</x:f>
        <x:v>1</x:v>
      </x:c>
      <x:c r="G271" s="9" t="n">
        <x:f>MOD(H270*16807,2147483647)</x:f>
        <x:v>1669793751</x:v>
      </x:c>
      <x:c r="H271" s="9" t="n">
        <x:f>MOD(G271*16807,2147483647)</x:f>
        <x:v>907274061</x:v>
      </x:c>
      <x:c r="I271" s="17" t="n">
        <x:f>IF('Control Room'!$B$5="Normal",'Control Room'!$B$7+'Control Room'!$D$7*SQRT(-2*LN(MAX(0.000000000001,G271/2147483647)))*COS(2*PI()*H271/2147483647),'Control Room'!$B$8+('Control Room'!$D$8-'Control Room'!$B$8)*G271/2147483647)</x:f>
        <x:v>943.5814896181114</x:v>
      </x:c>
      <x:c r="J271" s="17" t="n">
        <x:f>IF('Control Room'!$B$5="Normal",'Control Room'!$B$7,('Control Room'!$B$8+'Control Room'!$D$8)/2)+'Control Room'!$B$9*(J270-IF('Control Room'!$B$5="Normal",'Control Room'!$B$7,('Control Room'!$B$8+'Control Room'!$D$8)/2))+SQRT(1-'Control Room'!$B$9^2)*(I271-IF('Control Room'!$B$5="Normal",'Control Room'!$B$7,('Control Room'!$B$8+'Control Room'!$D$8)/2))</x:f>
        <x:v>983.5790627711963</x:v>
      </x:c>
      <x:c r="K271" s="17" t="n">
        <x:f>IF(AND($A271&gt;='Control Room'!$A$13,$A271&lt;'Control Room'!$A$13+'Control Room'!$B$13,'Process'!BL2=1),1+('Control Room'!$C$13-1)*EXP(-0.5*(($A271-'Control Room'!$A$13-('Control Room'!$B$13-1)/2)/MAX(0.5,'Control Room'!$B$13/4))^2),1)*IF(AND($A271&gt;='Control Room'!$A$14,$A271&lt;'Control Room'!$A$14+'Control Room'!$B$14,'Process'!BL3=1),1+('Control Room'!$C$14-1)*EXP(-0.5*(($A271-'Control Room'!$A$14-('Control Room'!$B$14-1)/2)/MAX(0.5,'Control Room'!$B$14/4))^2),1)*IF(AND($A271&gt;='Control Room'!$A$15,$A271&lt;'Control Room'!$A$15+'Control Room'!$B$15,'Process'!BL4=1),1+('Control Room'!$C$15-1)*EXP(-0.5*(($A271-'Control Room'!$A$15-('Control Room'!$B$15-1)/2)/MAX(0.5,'Control Room'!$B$15/4))^2),1)*IF(AND($A271&gt;='Control Room'!$A$16,$A271&lt;'Control Room'!$A$16+'Control Room'!$B$16,'Process'!BL5=1),1+('Control Room'!$C$16-1)*EXP(-0.5*(($A271-'Control Room'!$A$16-('Control Room'!$B$16-1)/2)/MAX(0.5,'Control Room'!$B$16/4))^2),1)</x:f>
        <x:v>1</x:v>
      </x:c>
      <x:c r="L271" s="9" t="n">
        <x:f>MOD(M270*16807,2147483647)</x:f>
        <x:v>1316928915</x:v>
      </x:c>
      <x:c r="M271" s="9" t="n">
        <x:f>MOD(L271*16807,2147483647)</x:f>
        <x:v>1657808423</x:v>
      </x:c>
      <x:c r="N271" s="17" t="n">
        <x:f>IF('Control Room'!$B$5="Normal",'Control Room'!$B$7+'Control Room'!$D$7*SQRT(-2*LN(MAX(0.000000000001,L271/2147483647)))*COS(2*PI()*M271/2147483647),'Control Room'!$B$8+('Control Room'!$D$8-'Control Room'!$B$8)*L271/2147483647)</x:f>
        <x:v>1012.2512575324574</x:v>
      </x:c>
      <x:c r="O271" s="17" t="n">
        <x:f>IF('Control Room'!$B$5="Normal",'Control Room'!$B$7,('Control Room'!$B$8+'Control Room'!$D$8)/2)+'Control Room'!$B$9*(O270-IF('Control Room'!$B$5="Normal",'Control Room'!$B$7,('Control Room'!$B$8+'Control Room'!$D$8)/2))+SQRT(1-'Control Room'!$B$9^2)*(N271-IF('Control Room'!$B$5="Normal",'Control Room'!$B$7,('Control Room'!$B$8+'Control Room'!$D$8)/2))</x:f>
        <x:v>1119.4535130573333</x:v>
      </x:c>
      <x:c r="P271" s="17" t="n">
        <x:f>IF(AND($A271&gt;='Control Room'!$A$13,$A271&lt;'Control Room'!$A$13+'Control Room'!$B$13,'Process'!BM2=1),1+('Control Room'!$C$13-1)*EXP(-0.5*(($A271-'Control Room'!$A$13-('Control Room'!$B$13-1)/2)/MAX(0.5,'Control Room'!$B$13/4))^2),1)*IF(AND($A271&gt;='Control Room'!$A$14,$A271&lt;'Control Room'!$A$14+'Control Room'!$B$14,'Process'!BM3=1),1+('Control Room'!$C$14-1)*EXP(-0.5*(($A271-'Control Room'!$A$14-('Control Room'!$B$14-1)/2)/MAX(0.5,'Control Room'!$B$14/4))^2),1)*IF(AND($A271&gt;='Control Room'!$A$15,$A271&lt;'Control Room'!$A$15+'Control Room'!$B$15,'Process'!BM4=1),1+('Control Room'!$C$15-1)*EXP(-0.5*(($A271-'Control Room'!$A$15-('Control Room'!$B$15-1)/2)/MAX(0.5,'Control Room'!$B$15/4))^2),1)*IF(AND($A271&gt;='Control Room'!$A$16,$A271&lt;'Control Room'!$A$16+'Control Room'!$B$16,'Process'!BM5=1),1+('Control Room'!$C$16-1)*EXP(-0.5*(($A271-'Control Room'!$A$16-('Control Room'!$B$16-1)/2)/MAX(0.5,'Control Room'!$B$16/4))^2),1)</x:f>
        <x:v>1</x:v>
      </x:c>
      <x:c r="Q271" s="9" t="n">
        <x:f>MOD(R270*16807,2147483647)</x:f>
        <x:v>964064079</x:v>
      </x:c>
      <x:c r="R271" s="9" t="n">
        <x:f>MOD(Q271*16807,2147483647)</x:f>
        <x:v>260859138</x:v>
      </x:c>
      <x:c r="S271" s="17" t="n">
        <x:f>IF('Control Room'!$B$5="Normal",'Control Room'!$B$7+'Control Room'!$D$7*SQRT(-2*LN(MAX(0.000000000001,Q271/2147483647)))*COS(2*PI()*R271/2147483647),'Control Room'!$B$8+('Control Room'!$D$8-'Control Room'!$B$8)*Q271/2147483647)</x:f>
        <x:v>1082.3089042374677</x:v>
      </x:c>
      <x:c r="T271" s="17" t="n">
        <x:f>IF('Control Room'!$B$5="Normal",'Control Room'!$B$7,('Control Room'!$B$8+'Control Room'!$D$8)/2)+'Control Room'!$B$9*(T270-IF('Control Room'!$B$5="Normal",'Control Room'!$B$7,('Control Room'!$B$8+'Control Room'!$D$8)/2))+SQRT(1-'Control Room'!$B$9^2)*(S271-IF('Control Room'!$B$5="Normal",'Control Room'!$B$7,('Control Room'!$B$8+'Control Room'!$D$8)/2))</x:f>
        <x:v>851.892937143703</x:v>
      </x:c>
      <x:c r="U271" s="17" t="n">
        <x:f>IF(AND($A271&gt;='Control Room'!$A$13,$A271&lt;'Control Room'!$A$13+'Control Room'!$B$13,'Process'!BN2=1),1+('Control Room'!$C$13-1)*EXP(-0.5*(($A271-'Control Room'!$A$13-('Control Room'!$B$13-1)/2)/MAX(0.5,'Control Room'!$B$13/4))^2),1)*IF(AND($A271&gt;='Control Room'!$A$14,$A271&lt;'Control Room'!$A$14+'Control Room'!$B$14,'Process'!BN3=1),1+('Control Room'!$C$14-1)*EXP(-0.5*(($A271-'Control Room'!$A$14-('Control Room'!$B$14-1)/2)/MAX(0.5,'Control Room'!$B$14/4))^2),1)*IF(AND($A271&gt;='Control Room'!$A$15,$A271&lt;'Control Room'!$A$15+'Control Room'!$B$15,'Process'!BN4=1),1+('Control Room'!$C$15-1)*EXP(-0.5*(($A271-'Control Room'!$A$15-('Control Room'!$B$15-1)/2)/MAX(0.5,'Control Room'!$B$15/4))^2),1)*IF(AND($A271&gt;='Control Room'!$A$16,$A271&lt;'Control Room'!$A$16+'Control Room'!$B$16,'Process'!BN5=1),1+('Control Room'!$C$16-1)*EXP(-0.5*(($A271-'Control Room'!$A$16-('Control Room'!$B$16-1)/2)/MAX(0.5,'Control Room'!$B$16/4))^2),1)</x:f>
        <x:v>1</x:v>
      </x:c>
      <x:c r="V271" s="9" t="n">
        <x:f>MOD(W270*16807,2147483647)</x:f>
        <x:v>611199243</x:v>
      </x:c>
      <x:c r="W271" s="9" t="n">
        <x:f>MOD(V271*16807,2147483647)</x:f>
        <x:v>1011393500</x:v>
      </x:c>
      <x:c r="X271" s="17" t="n">
        <x:f>IF('Control Room'!$B$5="Normal",'Control Room'!$B$7+'Control Room'!$D$7*SQRT(-2*LN(MAX(0.000000000001,V271/2147483647)))*COS(2*PI()*W271/2147483647),'Control Room'!$B$8+('Control Room'!$D$8-'Control Room'!$B$8)*V271/2147483647)</x:f>
        <x:v>859.6880961096156</x:v>
      </x:c>
      <x:c r="Y271" s="17" t="n">
        <x:f>IF('Control Room'!$B$5="Normal",'Control Room'!$B$7,('Control Room'!$B$8+'Control Room'!$D$8)/2)+'Control Room'!$B$9*(Y270-IF('Control Room'!$B$5="Normal",'Control Room'!$B$7,('Control Room'!$B$8+'Control Room'!$D$8)/2))+SQRT(1-'Control Room'!$B$9^2)*(X271-IF('Control Room'!$B$5="Normal",'Control Room'!$B$7,('Control Room'!$B$8+'Control Room'!$D$8)/2))</x:f>
        <x:v>1043.5471514133917</x:v>
      </x:c>
      <x:c r="Z271" s="17" t="n">
        <x:f>IF(AND($A271&gt;='Control Room'!$A$13,$A271&lt;'Control Room'!$A$13+'Control Room'!$B$13,'Process'!BO2=1),1+('Control Room'!$C$13-1)*EXP(-0.5*(($A271-'Control Room'!$A$13-('Control Room'!$B$13-1)/2)/MAX(0.5,'Control Room'!$B$13/4))^2),1)*IF(AND($A271&gt;='Control Room'!$A$14,$A271&lt;'Control Room'!$A$14+'Control Room'!$B$14,'Process'!BO3=1),1+('Control Room'!$C$14-1)*EXP(-0.5*(($A271-'Control Room'!$A$14-('Control Room'!$B$14-1)/2)/MAX(0.5,'Control Room'!$B$14/4))^2),1)*IF(AND($A271&gt;='Control Room'!$A$15,$A271&lt;'Control Room'!$A$15+'Control Room'!$B$15,'Process'!BO4=1),1+('Control Room'!$C$15-1)*EXP(-0.5*(($A271-'Control Room'!$A$15-('Control Room'!$B$15-1)/2)/MAX(0.5,'Control Room'!$B$15/4))^2),1)*IF(AND($A271&gt;='Control Room'!$A$16,$A271&lt;'Control Room'!$A$16+'Control Room'!$B$16,'Process'!BO5=1),1+('Control Room'!$C$16-1)*EXP(-0.5*(($A271-'Control Room'!$A$16-('Control Room'!$B$16-1)/2)/MAX(0.5,'Control Room'!$B$16/4))^2),1)</x:f>
        <x:v>1</x:v>
      </x:c>
      <x:c r="AA271" s="9" t="n">
        <x:f>MOD(AB270*16807,2147483647)</x:f>
        <x:v>258334407</x:v>
      </x:c>
      <x:c r="AB271" s="9" t="n">
        <x:f>MOD(AA271*16807,2147483647)</x:f>
        <x:v>1761927862</x:v>
      </x:c>
      <x:c r="AC271" s="17" t="n">
        <x:f>IF('Control Room'!$B$5="Normal",'Control Room'!$B$7+'Control Room'!$D$7*SQRT(-2*LN(MAX(0.000000000001,AA271/2147483647)))*COS(2*PI()*AB271/2147483647),'Control Room'!$B$8+('Control Room'!$D$8-'Control Room'!$B$8)*AA271/2147483647)</x:f>
        <x:v>1079.3507320640442</x:v>
      </x:c>
      <x:c r="AD271" s="17" t="n">
        <x:f>IF('Control Room'!$B$5="Normal",'Control Room'!$B$7,('Control Room'!$B$8+'Control Room'!$D$8)/2)+'Control Room'!$B$9*(AD270-IF('Control Room'!$B$5="Normal",'Control Room'!$B$7,('Control Room'!$B$8+'Control Room'!$D$8)/2))+SQRT(1-'Control Room'!$B$9^2)*(AC271-IF('Control Room'!$B$5="Normal",'Control Room'!$B$7,('Control Room'!$B$8+'Control Room'!$D$8)/2))</x:f>
        <x:v>978.5074158187933</x:v>
      </x:c>
      <x:c r="AE271" s="17" t="n">
        <x:f>IF(AND($A271&gt;='Control Room'!$A$13,$A271&lt;'Control Room'!$A$13+'Control Room'!$B$13,'Process'!BP2=1),1+('Control Room'!$C$13-1)*EXP(-0.5*(($A271-'Control Room'!$A$13-('Control Room'!$B$13-1)/2)/MAX(0.5,'Control Room'!$B$13/4))^2),1)*IF(AND($A271&gt;='Control Room'!$A$14,$A271&lt;'Control Room'!$A$14+'Control Room'!$B$14,'Process'!BP3=1),1+('Control Room'!$C$14-1)*EXP(-0.5*(($A271-'Control Room'!$A$14-('Control Room'!$B$14-1)/2)/MAX(0.5,'Control Room'!$B$14/4))^2),1)*IF(AND($A271&gt;='Control Room'!$A$15,$A271&lt;'Control Room'!$A$15+'Control Room'!$B$15,'Process'!BP4=1),1+('Control Room'!$C$15-1)*EXP(-0.5*(($A271-'Control Room'!$A$15-('Control Room'!$B$15-1)/2)/MAX(0.5,'Control Room'!$B$15/4))^2),1)*IF(AND($A271&gt;='Control Room'!$A$16,$A271&lt;'Control Room'!$A$16+'Control Room'!$B$16,'Process'!BP5=1),1+('Control Room'!$C$16-1)*EXP(-0.5*(($A271-'Control Room'!$A$16-('Control Room'!$B$16-1)/2)/MAX(0.5,'Control Room'!$B$16/4))^2),1)</x:f>
        <x:v>1</x:v>
      </x:c>
      <x:c r="AF271" s="9" t="n">
        <x:f>MOD(AG270*16807,2147483647)</x:f>
        <x:v>2052953218</x:v>
      </x:c>
      <x:c r="AG271" s="9" t="n">
        <x:f>MOD(AF271*16807,2147483647)</x:f>
        <x:v>364978577</x:v>
      </x:c>
      <x:c r="AH271" s="17" t="n">
        <x:f>IF('Control Room'!$B$5="Normal",'Control Room'!$B$7+'Control Room'!$D$7*SQRT(-2*LN(MAX(0.000000000001,AF271/2147483647)))*COS(2*PI()*AG271/2147483647),'Control Room'!$B$8+('Control Room'!$D$8-'Control Room'!$B$8)*AF271/2147483647)</x:f>
        <x:v>1013.0163483619342</x:v>
      </x:c>
      <x:c r="AI271" s="17" t="n">
        <x:f>IF('Control Room'!$B$5="Normal",'Control Room'!$B$7,('Control Room'!$B$8+'Control Room'!$D$8)/2)+'Control Room'!$B$9*(AI270-IF('Control Room'!$B$5="Normal",'Control Room'!$B$7,('Control Room'!$B$8+'Control Room'!$D$8)/2))+SQRT(1-'Control Room'!$B$9^2)*(AH271-IF('Control Room'!$B$5="Normal",'Control Room'!$B$7,('Control Room'!$B$8+'Control Room'!$D$8)/2))</x:f>
        <x:v>1098.0841138045407</x:v>
      </x:c>
      <x:c r="AJ271" s="17" t="n">
        <x:f>IF(AND($A271&gt;='Control Room'!$A$13,$A271&lt;'Control Room'!$A$13+'Control Room'!$B$13,'Process'!BQ2=1),1+('Control Room'!$C$13-1)*EXP(-0.5*(($A271-'Control Room'!$A$13-('Control Room'!$B$13-1)/2)/MAX(0.5,'Control Room'!$B$13/4))^2),1)*IF(AND($A271&gt;='Control Room'!$A$14,$A271&lt;'Control Room'!$A$14+'Control Room'!$B$14,'Process'!BQ3=1),1+('Control Room'!$C$14-1)*EXP(-0.5*(($A271-'Control Room'!$A$14-('Control Room'!$B$14-1)/2)/MAX(0.5,'Control Room'!$B$14/4))^2),1)*IF(AND($A271&gt;='Control Room'!$A$15,$A271&lt;'Control Room'!$A$15+'Control Room'!$B$15,'Process'!BQ4=1),1+('Control Room'!$C$15-1)*EXP(-0.5*(($A271-'Control Room'!$A$15-('Control Room'!$B$15-1)/2)/MAX(0.5,'Control Room'!$B$15/4))^2),1)*IF(AND($A271&gt;='Control Room'!$A$16,$A271&lt;'Control Room'!$A$16+'Control Room'!$B$16,'Process'!BQ5=1),1+('Control Room'!$C$16-1)*EXP(-0.5*(($A271-'Control Room'!$A$16-('Control Room'!$B$16-1)/2)/MAX(0.5,'Control Room'!$B$16/4))^2),1)</x:f>
        <x:v>1</x:v>
      </x:c>
      <x:c r="AK271" s="9" t="n">
        <x:f>MOD(AL270*16807,2147483647)</x:f>
        <x:v>1700088382</x:v>
      </x:c>
      <x:c r="AL271" s="9" t="n">
        <x:f>MOD(AK271*16807,2147483647)</x:f>
        <x:v>1115512939</x:v>
      </x:c>
      <x:c r="AM271" s="17" t="n">
        <x:f>IF('Control Room'!$B$5="Normal",'Control Room'!$B$7+'Control Room'!$D$7*SQRT(-2*LN(MAX(0.000000000001,AK271/2147483647)))*COS(2*PI()*AL271/2147483647),'Control Room'!$B$8+('Control Room'!$D$8-'Control Room'!$B$8)*AK271/2147483647)</x:f>
        <x:v>938.9398689514619</x:v>
      </x:c>
      <x:c r="AN271" s="17" t="n">
        <x:f>IF('Control Room'!$B$5="Normal",'Control Room'!$B$7,('Control Room'!$B$8+'Control Room'!$D$8)/2)+'Control Room'!$B$9*(AN270-IF('Control Room'!$B$5="Normal",'Control Room'!$B$7,('Control Room'!$B$8+'Control Room'!$D$8)/2))+SQRT(1-'Control Room'!$B$9^2)*(AM271-IF('Control Room'!$B$5="Normal",'Control Room'!$B$7,('Control Room'!$B$8+'Control Room'!$D$8)/2))</x:f>
        <x:v>913.9571701642773</x:v>
      </x:c>
      <x:c r="AO271" s="17" t="n">
        <x:f>IF(AND($A271&gt;='Control Room'!$A$13,$A271&lt;'Control Room'!$A$13+'Control Room'!$B$13,'Process'!BR2=1),1+('Control Room'!$C$13-1)*EXP(-0.5*(($A271-'Control Room'!$A$13-('Control Room'!$B$13-1)/2)/MAX(0.5,'Control Room'!$B$13/4))^2),1)*IF(AND($A271&gt;='Control Room'!$A$14,$A271&lt;'Control Room'!$A$14+'Control Room'!$B$14,'Process'!BR3=1),1+('Control Room'!$C$14-1)*EXP(-0.5*(($A271-'Control Room'!$A$14-('Control Room'!$B$14-1)/2)/MAX(0.5,'Control Room'!$B$14/4))^2),1)*IF(AND($A271&gt;='Control Room'!$A$15,$A271&lt;'Control Room'!$A$15+'Control Room'!$B$15,'Process'!BR4=1),1+('Control Room'!$C$15-1)*EXP(-0.5*(($A271-'Control Room'!$A$15-('Control Room'!$B$15-1)/2)/MAX(0.5,'Control Room'!$B$15/4))^2),1)*IF(AND($A271&gt;='Control Room'!$A$16,$A271&lt;'Control Room'!$A$16+'Control Room'!$B$16,'Process'!BR5=1),1+('Control Room'!$C$16-1)*EXP(-0.5*(($A271-'Control Room'!$A$16-('Control Room'!$B$16-1)/2)/MAX(0.5,'Control Room'!$B$16/4))^2),1)</x:f>
        <x:v>1</x:v>
      </x:c>
      <x:c r="AP271" s="9" t="n">
        <x:f>MOD(AQ270*16807,2147483647)</x:f>
        <x:v>1347223546</x:v>
      </x:c>
      <x:c r="AQ271" s="9" t="n">
        <x:f>MOD(AP271*16807,2147483647)</x:f>
        <x:v>1866047301</x:v>
      </x:c>
      <x:c r="AR271" s="17" t="n">
        <x:f>IF('Control Room'!$B$5="Normal",'Control Room'!$B$7+'Control Room'!$D$7*SQRT(-2*LN(MAX(0.000000000001,AP271/2147483647)))*COS(2*PI()*AQ271/2147483647),'Control Room'!$B$8+('Control Room'!$D$8-'Control Room'!$B$8)*AP271/2147483647)</x:f>
        <x:v>1059.072792641369</x:v>
      </x:c>
      <x:c r="AS271" s="17" t="n">
        <x:f>IF('Control Room'!$B$5="Normal",'Control Room'!$B$7,('Control Room'!$B$8+'Control Room'!$D$8)/2)+'Control Room'!$B$9*(AS270-IF('Control Room'!$B$5="Normal",'Control Room'!$B$7,('Control Room'!$B$8+'Control Room'!$D$8)/2))+SQRT(1-'Control Room'!$B$9^2)*(AR271-IF('Control Room'!$B$5="Normal",'Control Room'!$B$7,('Control Room'!$B$8+'Control Room'!$D$8)/2))</x:f>
        <x:v>1075.8802447742287</x:v>
      </x:c>
      <x:c r="AT271" s="17" t="n">
        <x:f>IF(AND($A271&gt;='Control Room'!$A$13,$A271&lt;'Control Room'!$A$13+'Control Room'!$B$13,'Process'!BS2=1),1+('Control Room'!$C$13-1)*EXP(-0.5*(($A271-'Control Room'!$A$13-('Control Room'!$B$13-1)/2)/MAX(0.5,'Control Room'!$B$13/4))^2),1)*IF(AND($A271&gt;='Control Room'!$A$14,$A271&lt;'Control Room'!$A$14+'Control Room'!$B$14,'Process'!BS3=1),1+('Control Room'!$C$14-1)*EXP(-0.5*(($A271-'Control Room'!$A$14-('Control Room'!$B$14-1)/2)/MAX(0.5,'Control Room'!$B$14/4))^2),1)*IF(AND($A271&gt;='Control Room'!$A$15,$A271&lt;'Control Room'!$A$15+'Control Room'!$B$15,'Process'!BS4=1),1+('Control Room'!$C$15-1)*EXP(-0.5*(($A271-'Control Room'!$A$15-('Control Room'!$B$15-1)/2)/MAX(0.5,'Control Room'!$B$15/4))^2),1)*IF(AND($A271&gt;='Control Room'!$A$16,$A271&lt;'Control Room'!$A$16+'Control Room'!$B$16,'Process'!BS5=1),1+('Control Room'!$C$16-1)*EXP(-0.5*(($A271-'Control Room'!$A$16-('Control Room'!$B$16-1)/2)/MAX(0.5,'Control Room'!$B$16/4))^2),1)</x:f>
        <x:v>1</x:v>
      </x:c>
      <x:c r="AU271" s="9" t="n">
        <x:f>MOD(AV270*16807,2147483647)</x:f>
        <x:v>994358710</x:v>
      </x:c>
      <x:c r="AV271" s="9" t="n">
        <x:f>MOD(AU271*16807,2147483647)</x:f>
        <x:v>469098016</x:v>
      </x:c>
      <x:c r="AW271" s="17" t="n">
        <x:f>IF('Control Room'!$B$5="Normal",'Control Room'!$B$7+'Control Room'!$D$7*SQRT(-2*LN(MAX(0.000000000001,AU271/2147483647)))*COS(2*PI()*AV271/2147483647),'Control Room'!$B$8+('Control Room'!$D$8-'Control Room'!$B$8)*AU271/2147483647)</x:f>
        <x:v>1022.0011884878438</x:v>
      </x:c>
      <x:c r="AX271" s="17" t="n">
        <x:f>IF('Control Room'!$B$5="Normal",'Control Room'!$B$7,('Control Room'!$B$8+'Control Room'!$D$8)/2)+'Control Room'!$B$9*(AX270-IF('Control Room'!$B$5="Normal",'Control Room'!$B$7,('Control Room'!$B$8+'Control Room'!$D$8)/2))+SQRT(1-'Control Room'!$B$9^2)*(AW271-IF('Control Room'!$B$5="Normal",'Control Room'!$B$7,('Control Room'!$B$8+'Control Room'!$D$8)/2))</x:f>
        <x:v>1076.8878856515742</x:v>
      </x:c>
      <x:c r="AY271" s="17" t="n">
        <x:f>IF(AND($A271&gt;='Control Room'!$A$13,$A271&lt;'Control Room'!$A$13+'Control Room'!$B$13,'Process'!BT2=1),1+('Control Room'!$C$13-1)*EXP(-0.5*(($A271-'Control Room'!$A$13-('Control Room'!$B$13-1)/2)/MAX(0.5,'Control Room'!$B$13/4))^2),1)*IF(AND($A271&gt;='Control Room'!$A$14,$A271&lt;'Control Room'!$A$14+'Control Room'!$B$14,'Process'!BT3=1),1+('Control Room'!$C$14-1)*EXP(-0.5*(($A271-'Control Room'!$A$14-('Control Room'!$B$14-1)/2)/MAX(0.5,'Control Room'!$B$14/4))^2),1)*IF(AND($A271&gt;='Control Room'!$A$15,$A271&lt;'Control Room'!$A$15+'Control Room'!$B$15,'Process'!BT4=1),1+('Control Room'!$C$15-1)*EXP(-0.5*(($A271-'Control Room'!$A$15-('Control Room'!$B$15-1)/2)/MAX(0.5,'Control Room'!$B$15/4))^2),1)*IF(AND($A271&gt;='Control Room'!$A$16,$A271&lt;'Control Room'!$A$16+'Control Room'!$B$16,'Process'!BT5=1),1+('Control Room'!$C$16-1)*EXP(-0.5*(($A271-'Control Room'!$A$16-('Control Room'!$B$16-1)/2)/MAX(0.5,'Control Room'!$B$16/4))^2),1)</x:f>
        <x:v>1</x:v>
      </x:c>
      <x:c r="AZ271" s="9" t="n">
        <x:f>MOD(BA270*16807,2147483647)</x:f>
        <x:v>641493874</x:v>
      </x:c>
      <x:c r="BA271" s="9" t="n">
        <x:f>MOD(AZ271*16807,2147483647)</x:f>
        <x:v>1219632378</x:v>
      </x:c>
      <x:c r="BB271" s="17" t="n">
        <x:f>IF('Control Room'!$B$5="Normal",'Control Room'!$B$7+'Control Room'!$D$7*SQRT(-2*LN(MAX(0.000000000001,AZ271/2147483647)))*COS(2*PI()*BA271/2147483647),'Control Room'!$B$8+('Control Room'!$D$8-'Control Room'!$B$8)*AZ271/2147483647)</x:f>
        <x:v>872.6472598062119</x:v>
      </x:c>
      <x:c r="BC271" s="17" t="n">
        <x:f>IF('Control Room'!$B$5="Normal",'Control Room'!$B$7,('Control Room'!$B$8+'Control Room'!$D$8)/2)+'Control Room'!$B$9*(BC270-IF('Control Room'!$B$5="Normal",'Control Room'!$B$7,('Control Room'!$B$8+'Control Room'!$D$8)/2))+SQRT(1-'Control Room'!$B$9^2)*(BB271-IF('Control Room'!$B$5="Normal",'Control Room'!$B$7,('Control Room'!$B$8+'Control Room'!$D$8)/2))</x:f>
        <x:v>889.5473161035422</x:v>
      </x:c>
      <x:c r="BD271" s="17" t="n">
        <x:f>IF(AND($A271&gt;='Control Room'!$A$13,$A271&lt;'Control Room'!$A$13+'Control Room'!$B$13,'Process'!BU2=1),1+('Control Room'!$C$13-1)*EXP(-0.5*(($A271-'Control Room'!$A$13-('Control Room'!$B$13-1)/2)/MAX(0.5,'Control Room'!$B$13/4))^2),1)*IF(AND($A271&gt;='Control Room'!$A$14,$A271&lt;'Control Room'!$A$14+'Control Room'!$B$14,'Process'!BU3=1),1+('Control Room'!$C$14-1)*EXP(-0.5*(($A271-'Control Room'!$A$14-('Control Room'!$B$14-1)/2)/MAX(0.5,'Control Room'!$B$14/4))^2),1)*IF(AND($A271&gt;='Control Room'!$A$15,$A271&lt;'Control Room'!$A$15+'Control Room'!$B$15,'Process'!BU4=1),1+('Control Room'!$C$15-1)*EXP(-0.5*(($A271-'Control Room'!$A$15-('Control Room'!$B$15-1)/2)/MAX(0.5,'Control Room'!$B$15/4))^2),1)*IF(AND($A271&gt;='Control Room'!$A$16,$A271&lt;'Control Room'!$A$16+'Control Room'!$B$16,'Process'!BU5=1),1+('Control Room'!$C$16-1)*EXP(-0.5*(($A271-'Control Room'!$A$16-('Control Room'!$B$16-1)/2)/MAX(0.5,'Control Room'!$B$16/4))^2),1)</x:f>
        <x:v>1</x:v>
      </x:c>
      <x:c r="BE271" s="9" t="n">
        <x:f>MOD(BF270*16807,2147483647)</x:f>
        <x:v>288629038</x:v>
      </x:c>
      <x:c r="BF271" s="9" t="n">
        <x:f>MOD(BE271*16807,2147483647)</x:f>
        <x:v>1970166740</x:v>
      </x:c>
      <x:c r="BG271" s="17" t="n">
        <x:f>IF('Control Room'!$B$5="Normal",'Control Room'!$B$7+'Control Room'!$D$7*SQRT(-2*LN(MAX(0.000000000001,BE271/2147483647)))*COS(2*PI()*BF271/2147483647),'Control Room'!$B$8+('Control Room'!$D$8-'Control Room'!$B$8)*BE271/2147483647)</x:f>
        <x:v>1156.584438640769</x:v>
      </x:c>
      <x:c r="BH271" s="17" t="n">
        <x:f>IF('Control Room'!$B$5="Normal",'Control Room'!$B$7,('Control Room'!$B$8+'Control Room'!$D$8)/2)+'Control Room'!$B$9*(BH270-IF('Control Room'!$B$5="Normal",'Control Room'!$B$7,('Control Room'!$B$8+'Control Room'!$D$8)/2))+SQRT(1-'Control Room'!$B$9^2)*(BG271-IF('Control Room'!$B$5="Normal",'Control Room'!$B$7,('Control Room'!$B$8+'Control Room'!$D$8)/2))</x:f>
        <x:v>1120.0925172465263</x:v>
      </x:c>
      <x:c r="BI271" s="17" t="n">
        <x:f>IF(AND($A271&gt;='Control Room'!$A$13,$A271&lt;'Control Room'!$A$13+'Control Room'!$B$13,'Process'!BV2=1),1+('Control Room'!$C$13-1)*EXP(-0.5*(($A271-'Control Room'!$A$13-('Control Room'!$B$13-1)/2)/MAX(0.5,'Control Room'!$B$13/4))^2),1)*IF(AND($A271&gt;='Control Room'!$A$14,$A271&lt;'Control Room'!$A$14+'Control Room'!$B$14,'Process'!BV3=1),1+('Control Room'!$C$14-1)*EXP(-0.5*(($A271-'Control Room'!$A$14-('Control Room'!$B$14-1)/2)/MAX(0.5,'Control Room'!$B$14/4))^2),1)*IF(AND($A271&gt;='Control Room'!$A$15,$A271&lt;'Control Room'!$A$15+'Control Room'!$B$15,'Process'!BV4=1),1+('Control Room'!$C$15-1)*EXP(-0.5*(($A271-'Control Room'!$A$15-('Control Room'!$B$15-1)/2)/MAX(0.5,'Control Room'!$B$15/4))^2),1)*IF(AND($A271&gt;='Control Room'!$A$16,$A271&lt;'Control Room'!$A$16+'Control Room'!$B$16,'Process'!BV5=1),1+('Control Room'!$C$16-1)*EXP(-0.5*(($A271-'Control Room'!$A$16-('Control Room'!$B$16-1)/2)/MAX(0.5,'Control Room'!$B$16/4))^2),1)</x:f>
        <x:v>1</x:v>
      </x:c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Z271" t="str">
        <x:f>IF('Data'!A271="","",TEXT('Data'!A271,"mm-dd"))</x:f>
      </x:c>
    </x:row>
    <x:row r="272" ht="21" customHeight="1">
      <x:c r="A272" s="15" t="n">
        <x:f>'Control Room'!$B$1+270</x:f>
        <x:v>73261</x:v>
      </x:c>
      <x:c r="B272" s="9" t="n">
        <x:f>MOD(C271*16807,2147483647)</x:f>
        <x:v>1509169871</x:v>
      </x:c>
      <x:c r="C272" s="9" t="n">
        <x:f>MOD(B272*16807,2147483647)</x:f>
        <x:v>688667180</x:v>
      </x:c>
      <x:c r="D272" s="17" t="n">
        <x:f>IF('Control Room'!$B$5="Normal",'Control Room'!$B$7+'Control Room'!$D$7*SQRT(-2*LN(MAX(0.000000000001,B272/2147483647)))*COS(2*PI()*C272/2147483647),'Control Room'!$B$8+('Control Room'!$D$8-'Control Room'!$B$8)*B272/2147483647)</x:f>
        <x:v>967.5195938308204</x:v>
      </x:c>
      <x:c r="E272" s="17" t="n">
        <x:f>IF('Control Room'!$B$5="Normal",'Control Room'!$B$7,('Control Room'!$B$8+'Control Room'!$D$8)/2)+'Control Room'!$B$9*(E271-IF('Control Room'!$B$5="Normal",'Control Room'!$B$7,('Control Room'!$B$8+'Control Room'!$D$8)/2))+SQRT(1-'Control Room'!$B$9^2)*(D272-IF('Control Room'!$B$5="Normal",'Control Room'!$B$7,('Control Room'!$B$8+'Control Room'!$D$8)/2))</x:f>
        <x:v>1009.1825993500779</x:v>
      </x:c>
      <x:c r="F272" s="17" t="n">
        <x:f>IF(AND($A272&gt;='Control Room'!$A$13,$A272&lt;'Control Room'!$A$13+'Control Room'!$B$13,'Process'!BK2=1),1+('Control Room'!$C$13-1)*EXP(-0.5*(($A272-'Control Room'!$A$13-('Control Room'!$B$13-1)/2)/MAX(0.5,'Control Room'!$B$13/4))^2),1)*IF(AND($A272&gt;='Control Room'!$A$14,$A272&lt;'Control Room'!$A$14+'Control Room'!$B$14,'Process'!BK3=1),1+('Control Room'!$C$14-1)*EXP(-0.5*(($A272-'Control Room'!$A$14-('Control Room'!$B$14-1)/2)/MAX(0.5,'Control Room'!$B$14/4))^2),1)*IF(AND($A272&gt;='Control Room'!$A$15,$A272&lt;'Control Room'!$A$15+'Control Room'!$B$15,'Process'!BK4=1),1+('Control Room'!$C$15-1)*EXP(-0.5*(($A272-'Control Room'!$A$15-('Control Room'!$B$15-1)/2)/MAX(0.5,'Control Room'!$B$15/4))^2),1)*IF(AND($A272&gt;='Control Room'!$A$16,$A272&lt;'Control Room'!$A$16+'Control Room'!$B$16,'Process'!BK5=1),1+('Control Room'!$C$16-1)*EXP(-0.5*(($A272-'Control Room'!$A$16-('Control Room'!$B$16-1)/2)/MAX(0.5,'Control Room'!$B$16/4))^2),1)</x:f>
        <x:v>1</x:v>
      </x:c>
      <x:c r="G272" s="9" t="n">
        <x:f>MOD(H271*16807,2147483647)</x:f>
        <x:v>1421249527</x:v>
      </x:c>
      <x:c r="H272" s="9" t="n">
        <x:f>MOD(G272*16807,2147483647)</x:f>
        <x:v>480194708</x:v>
      </x:c>
      <x:c r="I272" s="17" t="n">
        <x:f>IF('Control Room'!$B$5="Normal",'Control Room'!$B$7+'Control Room'!$D$7*SQRT(-2*LN(MAX(0.000000000001,G272/2147483647)))*COS(2*PI()*H272/2147483647),'Control Room'!$B$8+('Control Room'!$D$8-'Control Room'!$B$8)*G272/2147483647)</x:f>
        <x:v>1013.497863622401</x:v>
      </x:c>
      <x:c r="J272" s="17" t="n">
        <x:f>IF('Control Room'!$B$5="Normal",'Control Room'!$B$7,('Control Room'!$B$8+'Control Room'!$D$8)/2)+'Control Room'!$B$9*(J271-IF('Control Room'!$B$5="Normal",'Control Room'!$B$7,('Control Room'!$B$8+'Control Room'!$D$8)/2))+SQRT(1-'Control Room'!$B$9^2)*(I272-IF('Control Room'!$B$5="Normal",'Control Room'!$B$7,('Control Room'!$B$8+'Control Room'!$D$8)/2))</x:f>
        <x:v>995.6383554976652</x:v>
      </x:c>
      <x:c r="K272" s="17" t="n">
        <x:f>IF(AND($A272&gt;='Control Room'!$A$13,$A272&lt;'Control Room'!$A$13+'Control Room'!$B$13,'Process'!BL2=1),1+('Control Room'!$C$13-1)*EXP(-0.5*(($A272-'Control Room'!$A$13-('Control Room'!$B$13-1)/2)/MAX(0.5,'Control Room'!$B$13/4))^2),1)*IF(AND($A272&gt;='Control Room'!$A$14,$A272&lt;'Control Room'!$A$14+'Control Room'!$B$14,'Process'!BL3=1),1+('Control Room'!$C$14-1)*EXP(-0.5*(($A272-'Control Room'!$A$14-('Control Room'!$B$14-1)/2)/MAX(0.5,'Control Room'!$B$14/4))^2),1)*IF(AND($A272&gt;='Control Room'!$A$15,$A272&lt;'Control Room'!$A$15+'Control Room'!$B$15,'Process'!BL4=1),1+('Control Room'!$C$15-1)*EXP(-0.5*(($A272-'Control Room'!$A$15-('Control Room'!$B$15-1)/2)/MAX(0.5,'Control Room'!$B$15/4))^2),1)*IF(AND($A272&gt;='Control Room'!$A$16,$A272&lt;'Control Room'!$A$16+'Control Room'!$B$16,'Process'!BL5=1),1+('Control Room'!$C$16-1)*EXP(-0.5*(($A272-'Control Room'!$A$16-('Control Room'!$B$16-1)/2)/MAX(0.5,'Control Room'!$B$16/4))^2),1)</x:f>
        <x:v>1</x:v>
      </x:c>
      <x:c r="L272" s="9" t="n">
        <x:f>MOD(M271*16807,2147483647)</x:f>
        <x:v>1333329183</x:v>
      </x:c>
      <x:c r="M272" s="9" t="n">
        <x:f>MOD(L272*16807,2147483647)</x:f>
        <x:v>271722236</x:v>
      </x:c>
      <x:c r="N272" s="17" t="n">
        <x:f>IF('Control Room'!$B$5="Normal",'Control Room'!$B$7+'Control Room'!$D$7*SQRT(-2*LN(MAX(0.000000000001,L272/2147483647)))*COS(2*PI()*M272/2147483647),'Control Room'!$B$8+('Control Room'!$D$8-'Control Room'!$B$8)*L272/2147483647)</x:f>
        <x:v>1061.533382327972</x:v>
      </x:c>
      <x:c r="O272" s="17" t="n">
        <x:f>IF('Control Room'!$B$5="Normal",'Control Room'!$B$7,('Control Room'!$B$8+'Control Room'!$D$8)/2)+'Control Room'!$B$9*(O271-IF('Control Room'!$B$5="Normal",'Control Room'!$B$7,('Control Room'!$B$8+'Control Room'!$D$8)/2))+SQRT(1-'Control Room'!$B$9^2)*(N272-IF('Control Room'!$B$5="Normal",'Control Room'!$B$7,('Control Room'!$B$8+'Control Room'!$D$8)/2))</x:f>
        <x:v>1131.6800702657092</x:v>
      </x:c>
      <x:c r="P272" s="17" t="n">
        <x:f>IF(AND($A272&gt;='Control Room'!$A$13,$A272&lt;'Control Room'!$A$13+'Control Room'!$B$13,'Process'!BM2=1),1+('Control Room'!$C$13-1)*EXP(-0.5*(($A272-'Control Room'!$A$13-('Control Room'!$B$13-1)/2)/MAX(0.5,'Control Room'!$B$13/4))^2),1)*IF(AND($A272&gt;='Control Room'!$A$14,$A272&lt;'Control Room'!$A$14+'Control Room'!$B$14,'Process'!BM3=1),1+('Control Room'!$C$14-1)*EXP(-0.5*(($A272-'Control Room'!$A$14-('Control Room'!$B$14-1)/2)/MAX(0.5,'Control Room'!$B$14/4))^2),1)*IF(AND($A272&gt;='Control Room'!$A$15,$A272&lt;'Control Room'!$A$15+'Control Room'!$B$15,'Process'!BM4=1),1+('Control Room'!$C$15-1)*EXP(-0.5*(($A272-'Control Room'!$A$15-('Control Room'!$B$15-1)/2)/MAX(0.5,'Control Room'!$B$15/4))^2),1)*IF(AND($A272&gt;='Control Room'!$A$16,$A272&lt;'Control Room'!$A$16+'Control Room'!$B$16,'Process'!BM5=1),1+('Control Room'!$C$16-1)*EXP(-0.5*(($A272-'Control Room'!$A$16-('Control Room'!$B$16-1)/2)/MAX(0.5,'Control Room'!$B$16/4))^2),1)</x:f>
        <x:v>1</x:v>
      </x:c>
      <x:c r="Q272" s="9" t="n">
        <x:f>MOD(R271*16807,2147483647)</x:f>
        <x:v>1245408839</x:v>
      </x:c>
      <x:c r="R272" s="9" t="n">
        <x:f>MOD(Q272*16807,2147483647)</x:f>
        <x:v>63249764</x:v>
      </x:c>
      <x:c r="S272" s="17" t="n">
        <x:f>IF('Control Room'!$B$5="Normal",'Control Room'!$B$7+'Control Room'!$D$7*SQRT(-2*LN(MAX(0.000000000001,Q272/2147483647)))*COS(2*PI()*R272/2147483647),'Control Room'!$B$8+('Control Room'!$D$8-'Control Room'!$B$8)*Q272/2147483647)</x:f>
        <x:v>1092.3442313123167</x:v>
      </x:c>
      <x:c r="T272" s="17" t="n">
        <x:f>IF('Control Room'!$B$5="Normal",'Control Room'!$B$7,('Control Room'!$B$8+'Control Room'!$D$8)/2)+'Control Room'!$B$9*(T271-IF('Control Room'!$B$5="Normal",'Control Room'!$B$7,('Control Room'!$B$8+'Control Room'!$D$8)/2))+SQRT(1-'Control Room'!$B$9^2)*(S272-IF('Control Room'!$B$5="Normal",'Control Room'!$B$7,('Control Room'!$B$8+'Control Room'!$D$8)/2))</x:f>
        <x:v>942.2636191529306</x:v>
      </x:c>
      <x:c r="U272" s="17" t="n">
        <x:f>IF(AND($A272&gt;='Control Room'!$A$13,$A272&lt;'Control Room'!$A$13+'Control Room'!$B$13,'Process'!BN2=1),1+('Control Room'!$C$13-1)*EXP(-0.5*(($A272-'Control Room'!$A$13-('Control Room'!$B$13-1)/2)/MAX(0.5,'Control Room'!$B$13/4))^2),1)*IF(AND($A272&gt;='Control Room'!$A$14,$A272&lt;'Control Room'!$A$14+'Control Room'!$B$14,'Process'!BN3=1),1+('Control Room'!$C$14-1)*EXP(-0.5*(($A272-'Control Room'!$A$14-('Control Room'!$B$14-1)/2)/MAX(0.5,'Control Room'!$B$14/4))^2),1)*IF(AND($A272&gt;='Control Room'!$A$15,$A272&lt;'Control Room'!$A$15+'Control Room'!$B$15,'Process'!BN4=1),1+('Control Room'!$C$15-1)*EXP(-0.5*(($A272-'Control Room'!$A$15-('Control Room'!$B$15-1)/2)/MAX(0.5,'Control Room'!$B$15/4))^2),1)*IF(AND($A272&gt;='Control Room'!$A$16,$A272&lt;'Control Room'!$A$16+'Control Room'!$B$16,'Process'!BN5=1),1+('Control Room'!$C$16-1)*EXP(-0.5*(($A272-'Control Room'!$A$16-('Control Room'!$B$16-1)/2)/MAX(0.5,'Control Room'!$B$16/4))^2),1)</x:f>
        <x:v>1</x:v>
      </x:c>
      <x:c r="V272" s="9" t="n">
        <x:f>MOD(W271*16807,2147483647)</x:f>
        <x:v>1157488495</x:v>
      </x:c>
      <x:c r="W272" s="9" t="n">
        <x:f>MOD(V272*16807,2147483647)</x:f>
        <x:v>2002260939</x:v>
      </x:c>
      <x:c r="X272" s="17" t="n">
        <x:f>IF('Control Room'!$B$5="Normal",'Control Room'!$B$7+'Control Room'!$D$7*SQRT(-2*LN(MAX(0.000000000001,V272/2147483647)))*COS(2*PI()*W272/2147483647),'Control Room'!$B$8+('Control Room'!$D$8-'Control Room'!$B$8)*V272/2147483647)</x:f>
        <x:v>1091.164171391021</x:v>
      </x:c>
      <x:c r="Y272" s="17" t="n">
        <x:f>IF('Control Room'!$B$5="Normal",'Control Room'!$B$7,('Control Room'!$B$8+'Control Room'!$D$8)/2)+'Control Room'!$B$9*(Y271-IF('Control Room'!$B$5="Normal",'Control Room'!$B$7,('Control Room'!$B$8+'Control Room'!$D$8)/2))+SQRT(1-'Control Room'!$B$9^2)*(X272-IF('Control Room'!$B$5="Normal",'Control Room'!$B$7,('Control Room'!$B$8+'Control Room'!$D$8)/2))</x:f>
        <x:v>1091.0154489593824</x:v>
      </x:c>
      <x:c r="Z272" s="17" t="n">
        <x:f>IF(AND($A272&gt;='Control Room'!$A$13,$A272&lt;'Control Room'!$A$13+'Control Room'!$B$13,'Process'!BO2=1),1+('Control Room'!$C$13-1)*EXP(-0.5*(($A272-'Control Room'!$A$13-('Control Room'!$B$13-1)/2)/MAX(0.5,'Control Room'!$B$13/4))^2),1)*IF(AND($A272&gt;='Control Room'!$A$14,$A272&lt;'Control Room'!$A$14+'Control Room'!$B$14,'Process'!BO3=1),1+('Control Room'!$C$14-1)*EXP(-0.5*(($A272-'Control Room'!$A$14-('Control Room'!$B$14-1)/2)/MAX(0.5,'Control Room'!$B$14/4))^2),1)*IF(AND($A272&gt;='Control Room'!$A$15,$A272&lt;'Control Room'!$A$15+'Control Room'!$B$15,'Process'!BO4=1),1+('Control Room'!$C$15-1)*EXP(-0.5*(($A272-'Control Room'!$A$15-('Control Room'!$B$15-1)/2)/MAX(0.5,'Control Room'!$B$15/4))^2),1)*IF(AND($A272&gt;='Control Room'!$A$16,$A272&lt;'Control Room'!$A$16+'Control Room'!$B$16,'Process'!BO5=1),1+('Control Room'!$C$16-1)*EXP(-0.5*(($A272-'Control Room'!$A$16-('Control Room'!$B$16-1)/2)/MAX(0.5,'Control Room'!$B$16/4))^2),1)</x:f>
        <x:v>1</x:v>
      </x:c>
      <x:c r="AA272" s="9" t="n">
        <x:f>MOD(AB271*16807,2147483647)</x:f>
        <x:v>1069568151</x:v>
      </x:c>
      <x:c r="AB272" s="9" t="n">
        <x:f>MOD(AA272*16807,2147483647)</x:f>
        <x:v>1793788467</x:v>
      </x:c>
      <x:c r="AC272" s="17" t="n">
        <x:f>IF('Control Room'!$B$5="Normal",'Control Room'!$B$7+'Control Room'!$D$7*SQRT(-2*LN(MAX(0.000000000001,AA272/2147483647)))*COS(2*PI()*AB272/2147483647),'Control Room'!$B$8+('Control Room'!$D$8-'Control Room'!$B$8)*AA272/2147483647)</x:f>
        <x:v>1054.2639484894098</x:v>
      </x:c>
      <x:c r="AD272" s="17" t="n">
        <x:f>IF('Control Room'!$B$5="Normal",'Control Room'!$B$7,('Control Room'!$B$8+'Control Room'!$D$8)/2)+'Control Room'!$B$9*(AD271-IF('Control Room'!$B$5="Normal",'Control Room'!$B$7,('Control Room'!$B$8+'Control Room'!$D$8)/2))+SQRT(1-'Control Room'!$B$9^2)*(AC272-IF('Control Room'!$B$5="Normal",'Control Room'!$B$7,('Control Room'!$B$8+'Control Room'!$D$8)/2))</x:f>
        <x:v>1017.1930516459228</x:v>
      </x:c>
      <x:c r="AE272" s="17" t="n">
        <x:f>IF(AND($A272&gt;='Control Room'!$A$13,$A272&lt;'Control Room'!$A$13+'Control Room'!$B$13,'Process'!BP2=1),1+('Control Room'!$C$13-1)*EXP(-0.5*(($A272-'Control Room'!$A$13-('Control Room'!$B$13-1)/2)/MAX(0.5,'Control Room'!$B$13/4))^2),1)*IF(AND($A272&gt;='Control Room'!$A$14,$A272&lt;'Control Room'!$A$14+'Control Room'!$B$14,'Process'!BP3=1),1+('Control Room'!$C$14-1)*EXP(-0.5*(($A272-'Control Room'!$A$14-('Control Room'!$B$14-1)/2)/MAX(0.5,'Control Room'!$B$14/4))^2),1)*IF(AND($A272&gt;='Control Room'!$A$15,$A272&lt;'Control Room'!$A$15+'Control Room'!$B$15,'Process'!BP4=1),1+('Control Room'!$C$15-1)*EXP(-0.5*(($A272-'Control Room'!$A$15-('Control Room'!$B$15-1)/2)/MAX(0.5,'Control Room'!$B$15/4))^2),1)*IF(AND($A272&gt;='Control Room'!$A$16,$A272&lt;'Control Room'!$A$16+'Control Room'!$B$16,'Process'!BP5=1),1+('Control Room'!$C$16-1)*EXP(-0.5*(($A272-'Control Room'!$A$16-('Control Room'!$B$16-1)/2)/MAX(0.5,'Control Room'!$B$16/4))^2),1)</x:f>
        <x:v>1</x:v>
      </x:c>
      <x:c r="AF272" s="9" t="n">
        <x:f>MOD(AG271*16807,2147483647)</x:f>
        <x:v>981647807</x:v>
      </x:c>
      <x:c r="AG272" s="9" t="n">
        <x:f>MOD(AF272*16807,2147483647)</x:f>
        <x:v>1585315995</x:v>
      </x:c>
      <x:c r="AH272" s="17" t="n">
        <x:f>IF('Control Room'!$B$5="Normal",'Control Room'!$B$7+'Control Room'!$D$7*SQRT(-2*LN(MAX(0.000000000001,AF272/2147483647)))*COS(2*PI()*AG272/2147483647),'Control Room'!$B$8+('Control Room'!$D$8-'Control Room'!$B$8)*AF272/2147483647)</x:f>
        <x:v>991.672660250984</x:v>
      </x:c>
      <x:c r="AI272" s="17" t="n">
        <x:f>IF('Control Room'!$B$5="Normal",'Control Room'!$B$7,('Control Room'!$B$8+'Control Room'!$D$8)/2)+'Control Room'!$B$9*(AI271-IF('Control Room'!$B$5="Normal",'Control Room'!$B$7,('Control Room'!$B$8+'Control Room'!$D$8)/2))+SQRT(1-'Control Room'!$B$9^2)*(AH272-IF('Control Room'!$B$5="Normal",'Control Room'!$B$7,('Control Room'!$B$8+'Control Room'!$D$8)/2))</x:f>
        <x:v>1071.2945301474351</x:v>
      </x:c>
      <x:c r="AJ272" s="17" t="n">
        <x:f>IF(AND($A272&gt;='Control Room'!$A$13,$A272&lt;'Control Room'!$A$13+'Control Room'!$B$13,'Process'!BQ2=1),1+('Control Room'!$C$13-1)*EXP(-0.5*(($A272-'Control Room'!$A$13-('Control Room'!$B$13-1)/2)/MAX(0.5,'Control Room'!$B$13/4))^2),1)*IF(AND($A272&gt;='Control Room'!$A$14,$A272&lt;'Control Room'!$A$14+'Control Room'!$B$14,'Process'!BQ3=1),1+('Control Room'!$C$14-1)*EXP(-0.5*(($A272-'Control Room'!$A$14-('Control Room'!$B$14-1)/2)/MAX(0.5,'Control Room'!$B$14/4))^2),1)*IF(AND($A272&gt;='Control Room'!$A$15,$A272&lt;'Control Room'!$A$15+'Control Room'!$B$15,'Process'!BQ4=1),1+('Control Room'!$C$15-1)*EXP(-0.5*(($A272-'Control Room'!$A$15-('Control Room'!$B$15-1)/2)/MAX(0.5,'Control Room'!$B$15/4))^2),1)*IF(AND($A272&gt;='Control Room'!$A$16,$A272&lt;'Control Room'!$A$16+'Control Room'!$B$16,'Process'!BQ5=1),1+('Control Room'!$C$16-1)*EXP(-0.5*(($A272-'Control Room'!$A$16-('Control Room'!$B$16-1)/2)/MAX(0.5,'Control Room'!$B$16/4))^2),1)</x:f>
        <x:v>1</x:v>
      </x:c>
      <x:c r="AK272" s="9" t="n">
        <x:f>MOD(AL271*16807,2147483647)</x:f>
        <x:v>893727463</x:v>
      </x:c>
      <x:c r="AL272" s="9" t="n">
        <x:f>MOD(AK272*16807,2147483647)</x:f>
        <x:v>1376843523</x:v>
      </x:c>
      <x:c r="AM272" s="17" t="n">
        <x:f>IF('Control Room'!$B$5="Normal",'Control Room'!$B$7+'Control Room'!$D$7*SQRT(-2*LN(MAX(0.000000000001,AK272/2147483647)))*COS(2*PI()*AL272/2147483647),'Control Room'!$B$8+('Control Room'!$D$8-'Control Room'!$B$8)*AK272/2147483647)</x:f>
        <x:v>924.6987260009464</x:v>
      </x:c>
      <x:c r="AN272" s="17" t="n">
        <x:f>IF('Control Room'!$B$5="Normal",'Control Room'!$B$7,('Control Room'!$B$8+'Control Room'!$D$8)/2)+'Control Room'!$B$9*(AN271-IF('Control Room'!$B$5="Normal",'Control Room'!$B$7,('Control Room'!$B$8+'Control Room'!$D$8)/2))+SQRT(1-'Control Room'!$B$9^2)*(AM272-IF('Control Room'!$B$5="Normal",'Control Room'!$B$7,('Control Room'!$B$8+'Control Room'!$D$8)/2))</x:f>
        <x:v>885.7645980899758</x:v>
      </x:c>
      <x:c r="AO272" s="17" t="n">
        <x:f>IF(AND($A272&gt;='Control Room'!$A$13,$A272&lt;'Control Room'!$A$13+'Control Room'!$B$13,'Process'!BR2=1),1+('Control Room'!$C$13-1)*EXP(-0.5*(($A272-'Control Room'!$A$13-('Control Room'!$B$13-1)/2)/MAX(0.5,'Control Room'!$B$13/4))^2),1)*IF(AND($A272&gt;='Control Room'!$A$14,$A272&lt;'Control Room'!$A$14+'Control Room'!$B$14,'Process'!BR3=1),1+('Control Room'!$C$14-1)*EXP(-0.5*(($A272-'Control Room'!$A$14-('Control Room'!$B$14-1)/2)/MAX(0.5,'Control Room'!$B$14/4))^2),1)*IF(AND($A272&gt;='Control Room'!$A$15,$A272&lt;'Control Room'!$A$15+'Control Room'!$B$15,'Process'!BR4=1),1+('Control Room'!$C$15-1)*EXP(-0.5*(($A272-'Control Room'!$A$15-('Control Room'!$B$15-1)/2)/MAX(0.5,'Control Room'!$B$15/4))^2),1)*IF(AND($A272&gt;='Control Room'!$A$16,$A272&lt;'Control Room'!$A$16+'Control Room'!$B$16,'Process'!BR5=1),1+('Control Room'!$C$16-1)*EXP(-0.5*(($A272-'Control Room'!$A$16-('Control Room'!$B$16-1)/2)/MAX(0.5,'Control Room'!$B$16/4))^2),1)</x:f>
        <x:v>1</x:v>
      </x:c>
      <x:c r="AP272" s="9" t="n">
        <x:f>MOD(AQ271*16807,2147483647)</x:f>
        <x:v>805807119</x:v>
      </x:c>
      <x:c r="AQ272" s="9" t="n">
        <x:f>MOD(AP272*16807,2147483647)</x:f>
        <x:v>1168371051</x:v>
      </x:c>
      <x:c r="AR272" s="17" t="n">
        <x:f>IF('Control Room'!$B$5="Normal",'Control Room'!$B$7+'Control Room'!$D$7*SQRT(-2*LN(MAX(0.000000000001,AP272/2147483647)))*COS(2*PI()*AQ272/2147483647),'Control Room'!$B$8+('Control Room'!$D$8-'Control Room'!$B$8)*AP272/2147483647)</x:f>
        <x:v>878.7857670159012</x:v>
      </x:c>
      <x:c r="AS272" s="17" t="n">
        <x:f>IF('Control Room'!$B$5="Normal",'Control Room'!$B$7,('Control Room'!$B$8+'Control Room'!$D$8)/2)+'Control Room'!$B$9*(AS271-IF('Control Room'!$B$5="Normal",'Control Room'!$B$7,('Control Room'!$B$8+'Control Room'!$D$8)/2))+SQRT(1-'Control Room'!$B$9^2)*(AR272-IF('Control Room'!$B$5="Normal",'Control Room'!$B$7,('Control Room'!$B$8+'Control Room'!$D$8)/2))</x:f>
        <x:v>983.3332071309865</x:v>
      </x:c>
      <x:c r="AT272" s="17" t="n">
        <x:f>IF(AND($A272&gt;='Control Room'!$A$13,$A272&lt;'Control Room'!$A$13+'Control Room'!$B$13,'Process'!BS2=1),1+('Control Room'!$C$13-1)*EXP(-0.5*(($A272-'Control Room'!$A$13-('Control Room'!$B$13-1)/2)/MAX(0.5,'Control Room'!$B$13/4))^2),1)*IF(AND($A272&gt;='Control Room'!$A$14,$A272&lt;'Control Room'!$A$14+'Control Room'!$B$14,'Process'!BS3=1),1+('Control Room'!$C$14-1)*EXP(-0.5*(($A272-'Control Room'!$A$14-('Control Room'!$B$14-1)/2)/MAX(0.5,'Control Room'!$B$14/4))^2),1)*IF(AND($A272&gt;='Control Room'!$A$15,$A272&lt;'Control Room'!$A$15+'Control Room'!$B$15,'Process'!BS4=1),1+('Control Room'!$C$15-1)*EXP(-0.5*(($A272-'Control Room'!$A$15-('Control Room'!$B$15-1)/2)/MAX(0.5,'Control Room'!$B$15/4))^2),1)*IF(AND($A272&gt;='Control Room'!$A$16,$A272&lt;'Control Room'!$A$16+'Control Room'!$B$16,'Process'!BS5=1),1+('Control Room'!$C$16-1)*EXP(-0.5*(($A272-'Control Room'!$A$16-('Control Room'!$B$16-1)/2)/MAX(0.5,'Control Room'!$B$16/4))^2),1)</x:f>
        <x:v>1</x:v>
      </x:c>
      <x:c r="AU272" s="9" t="n">
        <x:f>MOD(AV271*16807,2147483647)</x:f>
        <x:v>717886775</x:v>
      </x:c>
      <x:c r="AV272" s="9" t="n">
        <x:f>MOD(AU272*16807,2147483647)</x:f>
        <x:v>959898579</x:v>
      </x:c>
      <x:c r="AW272" s="17" t="n">
        <x:f>IF('Control Room'!$B$5="Normal",'Control Room'!$B$7+'Control Room'!$D$7*SQRT(-2*LN(MAX(0.000000000001,AU272/2147483647)))*COS(2*PI()*AV272/2147483647),'Control Room'!$B$8+('Control Room'!$D$8-'Control Room'!$B$8)*AU272/2147483647)</x:f>
        <x:v>874.0899495547756</x:v>
      </x:c>
      <x:c r="AX272" s="17" t="n">
        <x:f>IF('Control Room'!$B$5="Normal",'Control Room'!$B$7,('Control Room'!$B$8+'Control Room'!$D$8)/2)+'Control Room'!$B$9*(AX271-IF('Control Room'!$B$5="Normal",'Control Room'!$B$7,('Control Room'!$B$8+'Control Room'!$D$8)/2))+SQRT(1-'Control Room'!$B$9^2)*(AW272-IF('Control Room'!$B$5="Normal",'Control Room'!$B$7,('Control Room'!$B$8+'Control Room'!$D$8)/2))</x:f>
        <x:v>981.1806206471931</x:v>
      </x:c>
      <x:c r="AY272" s="17" t="n">
        <x:f>IF(AND($A272&gt;='Control Room'!$A$13,$A272&lt;'Control Room'!$A$13+'Control Room'!$B$13,'Process'!BT2=1),1+('Control Room'!$C$13-1)*EXP(-0.5*(($A272-'Control Room'!$A$13-('Control Room'!$B$13-1)/2)/MAX(0.5,'Control Room'!$B$13/4))^2),1)*IF(AND($A272&gt;='Control Room'!$A$14,$A272&lt;'Control Room'!$A$14+'Control Room'!$B$14,'Process'!BT3=1),1+('Control Room'!$C$14-1)*EXP(-0.5*(($A272-'Control Room'!$A$14-('Control Room'!$B$14-1)/2)/MAX(0.5,'Control Room'!$B$14/4))^2),1)*IF(AND($A272&gt;='Control Room'!$A$15,$A272&lt;'Control Room'!$A$15+'Control Room'!$B$15,'Process'!BT4=1),1+('Control Room'!$C$15-1)*EXP(-0.5*(($A272-'Control Room'!$A$15-('Control Room'!$B$15-1)/2)/MAX(0.5,'Control Room'!$B$15/4))^2),1)*IF(AND($A272&gt;='Control Room'!$A$16,$A272&lt;'Control Room'!$A$16+'Control Room'!$B$16,'Process'!BT5=1),1+('Control Room'!$C$16-1)*EXP(-0.5*(($A272-'Control Room'!$A$16-('Control Room'!$B$16-1)/2)/MAX(0.5,'Control Room'!$B$16/4))^2),1)</x:f>
        <x:v>1</x:v>
      </x:c>
      <x:c r="AZ272" s="9" t="n">
        <x:f>MOD(BA271*16807,2147483647)</x:f>
        <x:v>629966431</x:v>
      </x:c>
      <x:c r="BA272" s="9" t="n">
        <x:f>MOD(AZ272*16807,2147483647)</x:f>
        <x:v>751426107</x:v>
      </x:c>
      <x:c r="BB272" s="17" t="n">
        <x:f>IF('Control Room'!$B$5="Normal",'Control Room'!$B$7+'Control Room'!$D$7*SQRT(-2*LN(MAX(0.000000000001,AZ272/2147483647)))*COS(2*PI()*BA272/2147483647),'Control Room'!$B$8+('Control Room'!$D$8-'Control Room'!$B$8)*AZ272/2147483647)</x:f>
        <x:v>917.214999523813</x:v>
      </x:c>
      <x:c r="BC272" s="17" t="n">
        <x:f>IF('Control Room'!$B$5="Normal",'Control Room'!$B$7,('Control Room'!$B$8+'Control Room'!$D$8)/2)+'Control Room'!$B$9*(BC271-IF('Control Room'!$B$5="Normal",'Control Room'!$B$7,('Control Room'!$B$8+'Control Room'!$D$8)/2))+SQRT(1-'Control Room'!$B$9^2)*(BB272-IF('Control Room'!$B$5="Normal",'Control Room'!$B$7,('Control Room'!$B$8+'Control Room'!$D$8)/2))</x:f>
        <x:v>862.0417492056825</x:v>
      </x:c>
      <x:c r="BD272" s="17" t="n">
        <x:f>IF(AND($A272&gt;='Control Room'!$A$13,$A272&lt;'Control Room'!$A$13+'Control Room'!$B$13,'Process'!BU2=1),1+('Control Room'!$C$13-1)*EXP(-0.5*(($A272-'Control Room'!$A$13-('Control Room'!$B$13-1)/2)/MAX(0.5,'Control Room'!$B$13/4))^2),1)*IF(AND($A272&gt;='Control Room'!$A$14,$A272&lt;'Control Room'!$A$14+'Control Room'!$B$14,'Process'!BU3=1),1+('Control Room'!$C$14-1)*EXP(-0.5*(($A272-'Control Room'!$A$14-('Control Room'!$B$14-1)/2)/MAX(0.5,'Control Room'!$B$14/4))^2),1)*IF(AND($A272&gt;='Control Room'!$A$15,$A272&lt;'Control Room'!$A$15+'Control Room'!$B$15,'Process'!BU4=1),1+('Control Room'!$C$15-1)*EXP(-0.5*(($A272-'Control Room'!$A$15-('Control Room'!$B$15-1)/2)/MAX(0.5,'Control Room'!$B$15/4))^2),1)*IF(AND($A272&gt;='Control Room'!$A$16,$A272&lt;'Control Room'!$A$16+'Control Room'!$B$16,'Process'!BU5=1),1+('Control Room'!$C$16-1)*EXP(-0.5*(($A272-'Control Room'!$A$16-('Control Room'!$B$16-1)/2)/MAX(0.5,'Control Room'!$B$16/4))^2),1)</x:f>
        <x:v>1</x:v>
      </x:c>
      <x:c r="BE272" s="9" t="n">
        <x:f>MOD(BF271*16807,2147483647)</x:f>
        <x:v>542046087</x:v>
      </x:c>
      <x:c r="BF272" s="9" t="n">
        <x:f>MOD(BE272*16807,2147483647)</x:f>
        <x:v>542953635</x:v>
      </x:c>
      <x:c r="BG272" s="17" t="n">
        <x:f>IF('Control Room'!$B$5="Normal",'Control Room'!$B$7+'Control Room'!$D$7*SQRT(-2*LN(MAX(0.000000000001,BE272/2147483647)))*COS(2*PI()*BF272/2147483647),'Control Room'!$B$8+('Control Room'!$D$8-'Control Room'!$B$8)*BE272/2147483647)</x:f>
        <x:v>997.3423214151743</x:v>
      </x:c>
      <x:c r="BH272" s="17" t="n">
        <x:f>IF('Control Room'!$B$5="Normal",'Control Room'!$B$7,('Control Room'!$B$8+'Control Room'!$D$8)/2)+'Control Room'!$B$9*(BH271-IF('Control Room'!$B$5="Normal",'Control Room'!$B$7,('Control Room'!$B$8+'Control Room'!$D$8)/2))+SQRT(1-'Control Room'!$B$9^2)*(BG272-IF('Control Room'!$B$5="Normal",'Control Room'!$B$7,('Control Room'!$B$8+'Control Room'!$D$8)/2))</x:f>
        <x:v>1092.0090426394117</x:v>
      </x:c>
      <x:c r="BI272" s="17" t="n">
        <x:f>IF(AND($A272&gt;='Control Room'!$A$13,$A272&lt;'Control Room'!$A$13+'Control Room'!$B$13,'Process'!BV2=1),1+('Control Room'!$C$13-1)*EXP(-0.5*(($A272-'Control Room'!$A$13-('Control Room'!$B$13-1)/2)/MAX(0.5,'Control Room'!$B$13/4))^2),1)*IF(AND($A272&gt;='Control Room'!$A$14,$A272&lt;'Control Room'!$A$14+'Control Room'!$B$14,'Process'!BV3=1),1+('Control Room'!$C$14-1)*EXP(-0.5*(($A272-'Control Room'!$A$14-('Control Room'!$B$14-1)/2)/MAX(0.5,'Control Room'!$B$14/4))^2),1)*IF(AND($A272&gt;='Control Room'!$A$15,$A272&lt;'Control Room'!$A$15+'Control Room'!$B$15,'Process'!BV4=1),1+('Control Room'!$C$15-1)*EXP(-0.5*(($A272-'Control Room'!$A$15-('Control Room'!$B$15-1)/2)/MAX(0.5,'Control Room'!$B$15/4))^2),1)*IF(AND($A272&gt;='Control Room'!$A$16,$A272&lt;'Control Room'!$A$16+'Control Room'!$B$16,'Process'!BV5=1),1+('Control Room'!$C$16-1)*EXP(-0.5*(($A272-'Control Room'!$A$16-('Control Room'!$B$16-1)/2)/MAX(0.5,'Control Room'!$B$16/4))^2),1)</x:f>
        <x:v>1</x:v>
      </x:c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Z272" t="str">
        <x:f>IF('Data'!A272="","",TEXT('Data'!A272,"mm-dd"))</x:f>
      </x:c>
    </x:row>
    <x:row r="273" ht="21" customHeight="1">
      <x:c r="A273" s="15" t="n">
        <x:f>'Control Room'!$B$1+271</x:f>
        <x:v>73262</x:v>
      </x:c>
      <x:c r="B273" s="9" t="n">
        <x:f>MOD(C272*16807,2147483647)</x:f>
        <x:v>1639920577</x:v>
      </x:c>
      <x:c r="C273" s="9" t="n">
        <x:f>MOD(B273*16807,2147483647)</x:f>
        <x:v>1340012041</x:v>
      </x:c>
      <x:c r="D273" s="17" t="n">
        <x:f>IF('Control Room'!$B$5="Normal",'Control Room'!$B$7+'Control Room'!$D$7*SQRT(-2*LN(MAX(0.000000000001,B273/2147483647)))*COS(2*PI()*C273/2147483647),'Control Room'!$B$8+('Control Room'!$D$8-'Control Room'!$B$8)*B273/2147483647)</x:f>
        <x:v>952.9699077155028</x:v>
      </x:c>
      <x:c r="E273" s="17" t="n">
        <x:f>IF('Control Room'!$B$5="Normal",'Control Room'!$B$7,('Control Room'!$B$8+'Control Room'!$D$8)/2)+'Control Room'!$B$9*(E272-IF('Control Room'!$B$5="Normal",'Control Room'!$B$7,('Control Room'!$B$8+'Control Room'!$D$8)/2))+SQRT(1-'Control Room'!$B$9^2)*(D273-IF('Control Room'!$B$5="Normal",'Control Room'!$B$7,('Control Room'!$B$8+'Control Room'!$D$8)/2))</x:f>
        <x:v>977.7319592052319</x:v>
      </x:c>
      <x:c r="F273" s="17" t="n">
        <x:f>IF(AND($A273&gt;='Control Room'!$A$13,$A273&lt;'Control Room'!$A$13+'Control Room'!$B$13,'Process'!BK2=1),1+('Control Room'!$C$13-1)*EXP(-0.5*(($A273-'Control Room'!$A$13-('Control Room'!$B$13-1)/2)/MAX(0.5,'Control Room'!$B$13/4))^2),1)*IF(AND($A273&gt;='Control Room'!$A$14,$A273&lt;'Control Room'!$A$14+'Control Room'!$B$14,'Process'!BK3=1),1+('Control Room'!$C$14-1)*EXP(-0.5*(($A273-'Control Room'!$A$14-('Control Room'!$B$14-1)/2)/MAX(0.5,'Control Room'!$B$14/4))^2),1)*IF(AND($A273&gt;='Control Room'!$A$15,$A273&lt;'Control Room'!$A$15+'Control Room'!$B$15,'Process'!BK4=1),1+('Control Room'!$C$15-1)*EXP(-0.5*(($A273-'Control Room'!$A$15-('Control Room'!$B$15-1)/2)/MAX(0.5,'Control Room'!$B$15/4))^2),1)*IF(AND($A273&gt;='Control Room'!$A$16,$A273&lt;'Control Room'!$A$16+'Control Room'!$B$16,'Process'!BK5=1),1+('Control Room'!$C$16-1)*EXP(-0.5*(($A273-'Control Room'!$A$16-('Control Room'!$B$16-1)/2)/MAX(0.5,'Control Room'!$B$16/4))^2),1)</x:f>
        <x:v>1</x:v>
      </x:c>
      <x:c r="G273" s="9" t="n">
        <x:f>MOD(H272*16807,2147483647)</x:f>
        <x:v>388911930</x:v>
      </x:c>
      <x:c r="H273" s="9" t="n">
        <x:f>MOD(G273*16807,2147483647)</x:f>
        <x:v>1650069689</x:v>
      </x:c>
      <x:c r="I273" s="17" t="n">
        <x:f>IF('Control Room'!$B$5="Normal",'Control Room'!$B$7+'Control Room'!$D$7*SQRT(-2*LN(MAX(0.000000000001,G273/2147483647)))*COS(2*PI()*H273/2147483647),'Control Room'!$B$8+('Control Room'!$D$8-'Control Room'!$B$8)*G273/2147483647)</x:f>
        <x:v>1019.1645558699161</x:v>
      </x:c>
      <x:c r="J273" s="17" t="n">
        <x:f>IF('Control Room'!$B$5="Normal",'Control Room'!$B$7,('Control Room'!$B$8+'Control Room'!$D$8)/2)+'Control Room'!$B$9*(J272-IF('Control Room'!$B$5="Normal",'Control Room'!$B$7,('Control Room'!$B$8+'Control Room'!$D$8)/2))+SQRT(1-'Control Room'!$B$9^2)*(I273-IF('Control Room'!$B$5="Normal",'Control Room'!$B$7,('Control Room'!$B$8+'Control Room'!$D$8)/2))</x:f>
        <x:v>1008.5907037443053</x:v>
      </x:c>
      <x:c r="K273" s="17" t="n">
        <x:f>IF(AND($A273&gt;='Control Room'!$A$13,$A273&lt;'Control Room'!$A$13+'Control Room'!$B$13,'Process'!BL2=1),1+('Control Room'!$C$13-1)*EXP(-0.5*(($A273-'Control Room'!$A$13-('Control Room'!$B$13-1)/2)/MAX(0.5,'Control Room'!$B$13/4))^2),1)*IF(AND($A273&gt;='Control Room'!$A$14,$A273&lt;'Control Room'!$A$14+'Control Room'!$B$14,'Process'!BL3=1),1+('Control Room'!$C$14-1)*EXP(-0.5*(($A273-'Control Room'!$A$14-('Control Room'!$B$14-1)/2)/MAX(0.5,'Control Room'!$B$14/4))^2),1)*IF(AND($A273&gt;='Control Room'!$A$15,$A273&lt;'Control Room'!$A$15+'Control Room'!$B$15,'Process'!BL4=1),1+('Control Room'!$C$15-1)*EXP(-0.5*(($A273-'Control Room'!$A$15-('Control Room'!$B$15-1)/2)/MAX(0.5,'Control Room'!$B$15/4))^2),1)*IF(AND($A273&gt;='Control Room'!$A$16,$A273&lt;'Control Room'!$A$16+'Control Room'!$B$16,'Process'!BL5=1),1+('Control Room'!$C$16-1)*EXP(-0.5*(($A273-'Control Room'!$A$16-('Control Room'!$B$16-1)/2)/MAX(0.5,'Control Room'!$B$16/4))^2),1)</x:f>
        <x:v>1</x:v>
      </x:c>
      <x:c r="L273" s="9" t="n">
        <x:f>MOD(M272*16807,2147483647)</x:f>
        <x:v>1285386930</x:v>
      </x:c>
      <x:c r="M273" s="9" t="n">
        <x:f>MOD(L273*16807,2147483647)</x:f>
        <x:v>1960127337</x:v>
      </x:c>
      <x:c r="N273" s="17" t="n">
        <x:f>IF('Control Room'!$B$5="Normal",'Control Room'!$B$7+'Control Room'!$D$7*SQRT(-2*LN(MAX(0.000000000001,L273/2147483647)))*COS(2*PI()*M273/2147483647),'Control Room'!$B$8+('Control Room'!$D$8-'Control Room'!$B$8)*L273/2147483647)</x:f>
        <x:v>1077.823113316163</x:v>
      </x:c>
      <x:c r="O273" s="17" t="n">
        <x:f>IF('Control Room'!$B$5="Normal",'Control Room'!$B$7,('Control Room'!$B$8+'Control Room'!$D$8)/2)+'Control Room'!$B$9*(O272-IF('Control Room'!$B$5="Normal",'Control Room'!$B$7,('Control Room'!$B$8+'Control Room'!$D$8)/2))+SQRT(1-'Control Room'!$B$9^2)*(N273-IF('Control Room'!$B$5="Normal",'Control Room'!$B$7,('Control Room'!$B$8+'Control Room'!$D$8)/2))</x:f>
        <x:v>1151.4105648273742</x:v>
      </x:c>
      <x:c r="P273" s="17" t="n">
        <x:f>IF(AND($A273&gt;='Control Room'!$A$13,$A273&lt;'Control Room'!$A$13+'Control Room'!$B$13,'Process'!BM2=1),1+('Control Room'!$C$13-1)*EXP(-0.5*(($A273-'Control Room'!$A$13-('Control Room'!$B$13-1)/2)/MAX(0.5,'Control Room'!$B$13/4))^2),1)*IF(AND($A273&gt;='Control Room'!$A$14,$A273&lt;'Control Room'!$A$14+'Control Room'!$B$14,'Process'!BM3=1),1+('Control Room'!$C$14-1)*EXP(-0.5*(($A273-'Control Room'!$A$14-('Control Room'!$B$14-1)/2)/MAX(0.5,'Control Room'!$B$14/4))^2),1)*IF(AND($A273&gt;='Control Room'!$A$15,$A273&lt;'Control Room'!$A$15+'Control Room'!$B$15,'Process'!BM4=1),1+('Control Room'!$C$15-1)*EXP(-0.5*(($A273-'Control Room'!$A$15-('Control Room'!$B$15-1)/2)/MAX(0.5,'Control Room'!$B$15/4))^2),1)*IF(AND($A273&gt;='Control Room'!$A$16,$A273&lt;'Control Room'!$A$16+'Control Room'!$B$16,'Process'!BM5=1),1+('Control Room'!$C$16-1)*EXP(-0.5*(($A273-'Control Room'!$A$16-('Control Room'!$B$16-1)/2)/MAX(0.5,'Control Room'!$B$16/4))^2),1)</x:f>
        <x:v>1</x:v>
      </x:c>
      <x:c r="Q273" s="9" t="n">
        <x:f>MOD(R272*16807,2147483647)</x:f>
        <x:v>34378283</x:v>
      </x:c>
      <x:c r="R273" s="9" t="n">
        <x:f>MOD(Q273*16807,2147483647)</x:f>
        <x:v>122701338</x:v>
      </x:c>
      <x:c r="S273" s="17" t="n">
        <x:f>IF('Control Room'!$B$5="Normal",'Control Room'!$B$7+'Control Room'!$D$7*SQRT(-2*LN(MAX(0.000000000001,Q273/2147483647)))*COS(2*PI()*R273/2147483647),'Control Room'!$B$8+('Control Room'!$D$8-'Control Room'!$B$8)*Q273/2147483647)</x:f>
        <x:v>1242.3071424057118</x:v>
      </x:c>
      <x:c r="T273" s="17" t="n">
        <x:f>IF('Control Room'!$B$5="Normal",'Control Room'!$B$7,('Control Room'!$B$8+'Control Room'!$D$8)/2)+'Control Room'!$B$9*(T272-IF('Control Room'!$B$5="Normal",'Control Room'!$B$7,('Control Room'!$B$8+'Control Room'!$D$8)/2))+SQRT(1-'Control Room'!$B$9^2)*(S273-IF('Control Room'!$B$5="Normal",'Control Room'!$B$7,('Control Room'!$B$8+'Control Room'!$D$8)/2))</x:f>
        <x:v>1106.5964687251544</x:v>
      </x:c>
      <x:c r="U273" s="17" t="n">
        <x:f>IF(AND($A273&gt;='Control Room'!$A$13,$A273&lt;'Control Room'!$A$13+'Control Room'!$B$13,'Process'!BN2=1),1+('Control Room'!$C$13-1)*EXP(-0.5*(($A273-'Control Room'!$A$13-('Control Room'!$B$13-1)/2)/MAX(0.5,'Control Room'!$B$13/4))^2),1)*IF(AND($A273&gt;='Control Room'!$A$14,$A273&lt;'Control Room'!$A$14+'Control Room'!$B$14,'Process'!BN3=1),1+('Control Room'!$C$14-1)*EXP(-0.5*(($A273-'Control Room'!$A$14-('Control Room'!$B$14-1)/2)/MAX(0.5,'Control Room'!$B$14/4))^2),1)*IF(AND($A273&gt;='Control Room'!$A$15,$A273&lt;'Control Room'!$A$15+'Control Room'!$B$15,'Process'!BN4=1),1+('Control Room'!$C$15-1)*EXP(-0.5*(($A273-'Control Room'!$A$15-('Control Room'!$B$15-1)/2)/MAX(0.5,'Control Room'!$B$15/4))^2),1)*IF(AND($A273&gt;='Control Room'!$A$16,$A273&lt;'Control Room'!$A$16+'Control Room'!$B$16,'Process'!BN5=1),1+('Control Room'!$C$16-1)*EXP(-0.5*(($A273-'Control Room'!$A$16-('Control Room'!$B$16-1)/2)/MAX(0.5,'Control Room'!$B$16/4))^2),1)</x:f>
        <x:v>1</x:v>
      </x:c>
      <x:c r="V273" s="9" t="n">
        <x:f>MOD(W272*16807,2147483647)</x:f>
        <x:v>930853283</x:v>
      </x:c>
      <x:c r="W273" s="9" t="n">
        <x:f>MOD(V273*16807,2147483647)</x:f>
        <x:v>432758986</x:v>
      </x:c>
      <x:c r="X273" s="17" t="n">
        <x:f>IF('Control Room'!$B$5="Normal",'Control Room'!$B$7+'Control Room'!$D$7*SQRT(-2*LN(MAX(0.000000000001,V273/2147483647)))*COS(2*PI()*W273/2147483647),'Control Room'!$B$8+('Control Room'!$D$8-'Control Room'!$B$8)*V273/2147483647)</x:f>
        <x:v>1034.9028569961624</x:v>
      </x:c>
      <x:c r="Y273" s="17" t="n">
        <x:f>IF('Control Room'!$B$5="Normal",'Control Room'!$B$7,('Control Room'!$B$8+'Control Room'!$D$8)/2)+'Control Room'!$B$9*(Y272-IF('Control Room'!$B$5="Normal",'Control Room'!$B$7,('Control Room'!$B$8+'Control Room'!$D$8)/2))+SQRT(1-'Control Room'!$B$9^2)*(X273-IF('Control Room'!$B$5="Normal",'Control Room'!$B$7,('Control Room'!$B$8+'Control Room'!$D$8)/2))</x:f>
        <x:v>1092.833543072626</x:v>
      </x:c>
      <x:c r="Z273" s="17" t="n">
        <x:f>IF(AND($A273&gt;='Control Room'!$A$13,$A273&lt;'Control Room'!$A$13+'Control Room'!$B$13,'Process'!BO2=1),1+('Control Room'!$C$13-1)*EXP(-0.5*(($A273-'Control Room'!$A$13-('Control Room'!$B$13-1)/2)/MAX(0.5,'Control Room'!$B$13/4))^2),1)*IF(AND($A273&gt;='Control Room'!$A$14,$A273&lt;'Control Room'!$A$14+'Control Room'!$B$14,'Process'!BO3=1),1+('Control Room'!$C$14-1)*EXP(-0.5*(($A273-'Control Room'!$A$14-('Control Room'!$B$14-1)/2)/MAX(0.5,'Control Room'!$B$14/4))^2),1)*IF(AND($A273&gt;='Control Room'!$A$15,$A273&lt;'Control Room'!$A$15+'Control Room'!$B$15,'Process'!BO4=1),1+('Control Room'!$C$15-1)*EXP(-0.5*(($A273-'Control Room'!$A$15-('Control Room'!$B$15-1)/2)/MAX(0.5,'Control Room'!$B$15/4))^2),1)*IF(AND($A273&gt;='Control Room'!$A$16,$A273&lt;'Control Room'!$A$16+'Control Room'!$B$16,'Process'!BO5=1),1+('Control Room'!$C$16-1)*EXP(-0.5*(($A273-'Control Room'!$A$16-('Control Room'!$B$16-1)/2)/MAX(0.5,'Control Room'!$B$16/4))^2),1)</x:f>
        <x:v>1</x:v>
      </x:c>
      <x:c r="AA273" s="9" t="n">
        <x:f>MOD(AB272*16807,2147483647)</x:f>
        <x:v>1827328283</x:v>
      </x:c>
      <x:c r="AB273" s="9" t="n">
        <x:f>MOD(AA273*16807,2147483647)</x:f>
        <x:v>742816634</x:v>
      </x:c>
      <x:c r="AC273" s="17" t="n">
        <x:f>IF('Control Room'!$B$5="Normal",'Control Room'!$B$7+'Control Room'!$D$7*SQRT(-2*LN(MAX(0.000000000001,AA273/2147483647)))*COS(2*PI()*AB273/2147483647),'Control Room'!$B$8+('Control Room'!$D$8-'Control Room'!$B$8)*AA273/2147483647)</x:f>
        <x:v>971.0157617898408</x:v>
      </x:c>
      <x:c r="AD273" s="17" t="n">
        <x:f>IF('Control Room'!$B$5="Normal",'Control Room'!$B$7,('Control Room'!$B$8+'Control Room'!$D$8)/2)+'Control Room'!$B$9*(AD272-IF('Control Room'!$B$5="Normal",'Control Room'!$B$7,('Control Room'!$B$8+'Control Room'!$D$8)/2))+SQRT(1-'Control Room'!$B$9^2)*(AC273-IF('Control Room'!$B$5="Normal",'Control Room'!$B$7,('Control Room'!$B$8+'Control Room'!$D$8)/2))</x:f>
        <x:v>995.2728377862963</x:v>
      </x:c>
      <x:c r="AE273" s="17" t="n">
        <x:f>IF(AND($A273&gt;='Control Room'!$A$13,$A273&lt;'Control Room'!$A$13+'Control Room'!$B$13,'Process'!BP2=1),1+('Control Room'!$C$13-1)*EXP(-0.5*(($A273-'Control Room'!$A$13-('Control Room'!$B$13-1)/2)/MAX(0.5,'Control Room'!$B$13/4))^2),1)*IF(AND($A273&gt;='Control Room'!$A$14,$A273&lt;'Control Room'!$A$14+'Control Room'!$B$14,'Process'!BP3=1),1+('Control Room'!$C$14-1)*EXP(-0.5*(($A273-'Control Room'!$A$14-('Control Room'!$B$14-1)/2)/MAX(0.5,'Control Room'!$B$14/4))^2),1)*IF(AND($A273&gt;='Control Room'!$A$15,$A273&lt;'Control Room'!$A$15+'Control Room'!$B$15,'Process'!BP4=1),1+('Control Room'!$C$15-1)*EXP(-0.5*(($A273-'Control Room'!$A$15-('Control Room'!$B$15-1)/2)/MAX(0.5,'Control Room'!$B$15/4))^2),1)*IF(AND($A273&gt;='Control Room'!$A$16,$A273&lt;'Control Room'!$A$16+'Control Room'!$B$16,'Process'!BP5=1),1+('Control Room'!$C$16-1)*EXP(-0.5*(($A273-'Control Room'!$A$16-('Control Room'!$B$16-1)/2)/MAX(0.5,'Control Room'!$B$16/4))^2),1)</x:f>
        <x:v>1</x:v>
      </x:c>
      <x:c r="AF273" s="9" t="n">
        <x:f>MOD(AG272*16807,2147483647)</x:f>
        <x:v>576319636</x:v>
      </x:c>
      <x:c r="AG273" s="9" t="n">
        <x:f>MOD(AF273*16807,2147483647)</x:f>
        <x:v>1052874282</x:v>
      </x:c>
      <x:c r="AH273" s="17" t="n">
        <x:f>IF('Control Room'!$B$5="Normal",'Control Room'!$B$7+'Control Room'!$D$7*SQRT(-2*LN(MAX(0.000000000001,AF273/2147483647)))*COS(2*PI()*AG273/2147483647),'Control Room'!$B$8+('Control Room'!$D$8-'Control Room'!$B$8)*AF273/2147483647)</x:f>
        <x:v>854.2949029897035</x:v>
      </x:c>
      <x:c r="AI273" s="17" t="n">
        <x:f>IF('Control Room'!$B$5="Normal",'Control Room'!$B$7,('Control Room'!$B$8+'Control Room'!$D$8)/2)+'Control Room'!$B$9*(AI272-IF('Control Room'!$B$5="Normal",'Control Room'!$B$7,('Control Room'!$B$8+'Control Room'!$D$8)/2))+SQRT(1-'Control Room'!$B$9^2)*(AH273-IF('Control Room'!$B$5="Normal",'Control Room'!$B$7,('Control Room'!$B$8+'Control Room'!$D$8)/2))</x:f>
        <x:v>964.4304687371135</x:v>
      </x:c>
      <x:c r="AJ273" s="17" t="n">
        <x:f>IF(AND($A273&gt;='Control Room'!$A$13,$A273&lt;'Control Room'!$A$13+'Control Room'!$B$13,'Process'!BQ2=1),1+('Control Room'!$C$13-1)*EXP(-0.5*(($A273-'Control Room'!$A$13-('Control Room'!$B$13-1)/2)/MAX(0.5,'Control Room'!$B$13/4))^2),1)*IF(AND($A273&gt;='Control Room'!$A$14,$A273&lt;'Control Room'!$A$14+'Control Room'!$B$14,'Process'!BQ3=1),1+('Control Room'!$C$14-1)*EXP(-0.5*(($A273-'Control Room'!$A$14-('Control Room'!$B$14-1)/2)/MAX(0.5,'Control Room'!$B$14/4))^2),1)*IF(AND($A273&gt;='Control Room'!$A$15,$A273&lt;'Control Room'!$A$15+'Control Room'!$B$15,'Process'!BQ4=1),1+('Control Room'!$C$15-1)*EXP(-0.5*(($A273-'Control Room'!$A$15-('Control Room'!$B$15-1)/2)/MAX(0.5,'Control Room'!$B$15/4))^2),1)*IF(AND($A273&gt;='Control Room'!$A$16,$A273&lt;'Control Room'!$A$16+'Control Room'!$B$16,'Process'!BQ5=1),1+('Control Room'!$C$16-1)*EXP(-0.5*(($A273-'Control Room'!$A$16-('Control Room'!$B$16-1)/2)/MAX(0.5,'Control Room'!$B$16/4))^2),1)</x:f>
        <x:v>1</x:v>
      </x:c>
      <x:c r="AK273" s="9" t="n">
        <x:f>MOD(AL272*16807,2147483647)</x:f>
        <x:v>1472794636</x:v>
      </x:c>
      <x:c r="AL273" s="9" t="n">
        <x:f>MOD(AK273*16807,2147483647)</x:f>
        <x:v>1362931930</x:v>
      </x:c>
      <x:c r="AM273" s="17" t="n">
        <x:f>IF('Control Room'!$B$5="Normal",'Control Room'!$B$7+'Control Room'!$D$7*SQRT(-2*LN(MAX(0.000000000001,AK273/2147483647)))*COS(2*PI()*AL273/2147483647),'Control Room'!$B$8+('Control Room'!$D$8-'Control Room'!$B$8)*AK273/2147483647)</x:f>
        <x:v>948.1858865253402</x:v>
      </x:c>
      <x:c r="AN273" s="17" t="n">
        <x:f>IF('Control Room'!$B$5="Normal",'Control Room'!$B$7,('Control Room'!$B$8+'Control Room'!$D$8)/2)+'Control Room'!$B$9*(AN272-IF('Control Room'!$B$5="Normal",'Control Room'!$B$7,('Control Room'!$B$8+'Control Room'!$D$8)/2))+SQRT(1-'Control Room'!$B$9^2)*(AM273-IF('Control Room'!$B$5="Normal",'Control Room'!$B$7,('Control Room'!$B$8+'Control Room'!$D$8)/2))</x:f>
        <x:v>878.4721757675496</x:v>
      </x:c>
      <x:c r="AO273" s="17" t="n">
        <x:f>IF(AND($A273&gt;='Control Room'!$A$13,$A273&lt;'Control Room'!$A$13+'Control Room'!$B$13,'Process'!BR2=1),1+('Control Room'!$C$13-1)*EXP(-0.5*(($A273-'Control Room'!$A$13-('Control Room'!$B$13-1)/2)/MAX(0.5,'Control Room'!$B$13/4))^2),1)*IF(AND($A273&gt;='Control Room'!$A$14,$A273&lt;'Control Room'!$A$14+'Control Room'!$B$14,'Process'!BR3=1),1+('Control Room'!$C$14-1)*EXP(-0.5*(($A273-'Control Room'!$A$14-('Control Room'!$B$14-1)/2)/MAX(0.5,'Control Room'!$B$14/4))^2),1)*IF(AND($A273&gt;='Control Room'!$A$15,$A273&lt;'Control Room'!$A$15+'Control Room'!$B$15,'Process'!BR4=1),1+('Control Room'!$C$15-1)*EXP(-0.5*(($A273-'Control Room'!$A$15-('Control Room'!$B$15-1)/2)/MAX(0.5,'Control Room'!$B$15/4))^2),1)*IF(AND($A273&gt;='Control Room'!$A$16,$A273&lt;'Control Room'!$A$16+'Control Room'!$B$16,'Process'!BR5=1),1+('Control Room'!$C$16-1)*EXP(-0.5*(($A273-'Control Room'!$A$16-('Control Room'!$B$16-1)/2)/MAX(0.5,'Control Room'!$B$16/4))^2),1)</x:f>
        <x:v>1</x:v>
      </x:c>
      <x:c r="AP273" s="9" t="n">
        <x:f>MOD(AQ272*16807,2147483647)</x:f>
        <x:v>221785989</x:v>
      </x:c>
      <x:c r="AQ273" s="9" t="n">
        <x:f>MOD(AP273*16807,2147483647)</x:f>
        <x:v>1672989578</x:v>
      </x:c>
      <x:c r="AR273" s="17" t="n">
        <x:f>IF('Control Room'!$B$5="Normal",'Control Room'!$B$7+'Control Room'!$D$7*SQRT(-2*LN(MAX(0.000000000001,AP273/2147483647)))*COS(2*PI()*AQ273/2147483647),'Control Room'!$B$8+('Control Room'!$D$8-'Control Room'!$B$8)*AP273/2147483647)</x:f>
        <x:v>1034.8066864356745</x:v>
      </x:c>
      <x:c r="AS273" s="17" t="n">
        <x:f>IF('Control Room'!$B$5="Normal",'Control Room'!$B$7,('Control Room'!$B$8+'Control Room'!$D$8)/2)+'Control Room'!$B$9*(AS272-IF('Control Room'!$B$5="Normal",'Control Room'!$B$7,('Control Room'!$B$8+'Control Room'!$D$8)/2))+SQRT(1-'Control Room'!$B$9^2)*(AR273-IF('Control Room'!$B$5="Normal",'Control Room'!$B$7,('Control Room'!$B$8+'Control Room'!$D$8)/2))</x:f>
        <x:v>1008.7812128798851</x:v>
      </x:c>
      <x:c r="AT273" s="17" t="n">
        <x:f>IF(AND($A273&gt;='Control Room'!$A$13,$A273&lt;'Control Room'!$A$13+'Control Room'!$B$13,'Process'!BS2=1),1+('Control Room'!$C$13-1)*EXP(-0.5*(($A273-'Control Room'!$A$13-('Control Room'!$B$13-1)/2)/MAX(0.5,'Control Room'!$B$13/4))^2),1)*IF(AND($A273&gt;='Control Room'!$A$14,$A273&lt;'Control Room'!$A$14+'Control Room'!$B$14,'Process'!BS3=1),1+('Control Room'!$C$14-1)*EXP(-0.5*(($A273-'Control Room'!$A$14-('Control Room'!$B$14-1)/2)/MAX(0.5,'Control Room'!$B$14/4))^2),1)*IF(AND($A273&gt;='Control Room'!$A$15,$A273&lt;'Control Room'!$A$15+'Control Room'!$B$15,'Process'!BS4=1),1+('Control Room'!$C$15-1)*EXP(-0.5*(($A273-'Control Room'!$A$15-('Control Room'!$B$15-1)/2)/MAX(0.5,'Control Room'!$B$15/4))^2),1)*IF(AND($A273&gt;='Control Room'!$A$16,$A273&lt;'Control Room'!$A$16+'Control Room'!$B$16,'Process'!BS5=1),1+('Control Room'!$C$16-1)*EXP(-0.5*(($A273-'Control Room'!$A$16-('Control Room'!$B$16-1)/2)/MAX(0.5,'Control Room'!$B$16/4))^2),1)</x:f>
        <x:v>1</x:v>
      </x:c>
      <x:c r="AU273" s="9" t="n">
        <x:f>MOD(AV272*16807,2147483647)</x:f>
        <x:v>1118260989</x:v>
      </x:c>
      <x:c r="AV273" s="9" t="n">
        <x:f>MOD(AU273*16807,2147483647)</x:f>
        <x:v>1983047226</x:v>
      </x:c>
      <x:c r="AW273" s="17" t="n">
        <x:f>IF('Control Room'!$B$5="Normal",'Control Room'!$B$7+'Control Room'!$D$7*SQRT(-2*LN(MAX(0.000000000001,AU273/2147483647)))*COS(2*PI()*AV273/2147483647),'Control Room'!$B$8+('Control Room'!$D$8-'Control Room'!$B$8)*AU273/2147483647)</x:f>
        <x:v>1091.1431403342428</x:v>
      </x:c>
      <x:c r="AX273" s="17" t="n">
        <x:f>IF('Control Room'!$B$5="Normal",'Control Room'!$B$7,('Control Room'!$B$8+'Control Room'!$D$8)/2)+'Control Room'!$B$9*(AX272-IF('Control Room'!$B$5="Normal",'Control Room'!$B$7,('Control Room'!$B$8+'Control Room'!$D$8)/2))+SQRT(1-'Control Room'!$B$9^2)*(AW273-IF('Control Room'!$B$5="Normal",'Control Room'!$B$7,('Control Room'!$B$8+'Control Room'!$D$8)/2))</x:f>
        <x:v>1042.3563941572604</x:v>
      </x:c>
      <x:c r="AY273" s="17" t="n">
        <x:f>IF(AND($A273&gt;='Control Room'!$A$13,$A273&lt;'Control Room'!$A$13+'Control Room'!$B$13,'Process'!BT2=1),1+('Control Room'!$C$13-1)*EXP(-0.5*(($A273-'Control Room'!$A$13-('Control Room'!$B$13-1)/2)/MAX(0.5,'Control Room'!$B$13/4))^2),1)*IF(AND($A273&gt;='Control Room'!$A$14,$A273&lt;'Control Room'!$A$14+'Control Room'!$B$14,'Process'!BT3=1),1+('Control Room'!$C$14-1)*EXP(-0.5*(($A273-'Control Room'!$A$14-('Control Room'!$B$14-1)/2)/MAX(0.5,'Control Room'!$B$14/4))^2),1)*IF(AND($A273&gt;='Control Room'!$A$15,$A273&lt;'Control Room'!$A$15+'Control Room'!$B$15,'Process'!BT4=1),1+('Control Room'!$C$15-1)*EXP(-0.5*(($A273-'Control Room'!$A$15-('Control Room'!$B$15-1)/2)/MAX(0.5,'Control Room'!$B$15/4))^2),1)*IF(AND($A273&gt;='Control Room'!$A$16,$A273&lt;'Control Room'!$A$16+'Control Room'!$B$16,'Process'!BT5=1),1+('Control Room'!$C$16-1)*EXP(-0.5*(($A273-'Control Room'!$A$16-('Control Room'!$B$16-1)/2)/MAX(0.5,'Control Room'!$B$16/4))^2),1)</x:f>
        <x:v>1</x:v>
      </x:c>
      <x:c r="AZ273" s="9" t="n">
        <x:f>MOD(BA272*16807,2147483647)</x:f>
        <x:v>2014735989</x:v>
      </x:c>
      <x:c r="BA273" s="9" t="n">
        <x:f>MOD(AZ273*16807,2147483647)</x:f>
        <x:v>145621227</x:v>
      </x:c>
      <x:c r="BB273" s="17" t="n">
        <x:f>IF('Control Room'!$B$5="Normal",'Control Room'!$B$7+'Control Room'!$D$7*SQRT(-2*LN(MAX(0.000000000001,AZ273/2147483647)))*COS(2*PI()*BA273/2147483647),'Control Room'!$B$8+('Control Room'!$D$8-'Control Room'!$B$8)*AZ273/2147483647)</x:f>
        <x:v>1029.2768631126348</x:v>
      </x:c>
      <x:c r="BC273" s="17" t="n">
        <x:f>IF('Control Room'!$B$5="Normal",'Control Room'!$B$7,('Control Room'!$B$8+'Control Room'!$D$8)/2)+'Control Room'!$B$9*(BC272-IF('Control Room'!$B$5="Normal",'Control Room'!$B$7,('Control Room'!$B$8+'Control Room'!$D$8)/2))+SQRT(1-'Control Room'!$B$9^2)*(BB273-IF('Control Room'!$B$5="Normal",'Control Room'!$B$7,('Control Room'!$B$8+'Control Room'!$D$8)/2))</x:f>
        <x:v>910.7134255471781</x:v>
      </x:c>
      <x:c r="BD273" s="17" t="n">
        <x:f>IF(AND($A273&gt;='Control Room'!$A$13,$A273&lt;'Control Room'!$A$13+'Control Room'!$B$13,'Process'!BU2=1),1+('Control Room'!$C$13-1)*EXP(-0.5*(($A273-'Control Room'!$A$13-('Control Room'!$B$13-1)/2)/MAX(0.5,'Control Room'!$B$13/4))^2),1)*IF(AND($A273&gt;='Control Room'!$A$14,$A273&lt;'Control Room'!$A$14+'Control Room'!$B$14,'Process'!BU3=1),1+('Control Room'!$C$14-1)*EXP(-0.5*(($A273-'Control Room'!$A$14-('Control Room'!$B$14-1)/2)/MAX(0.5,'Control Room'!$B$14/4))^2),1)*IF(AND($A273&gt;='Control Room'!$A$15,$A273&lt;'Control Room'!$A$15+'Control Room'!$B$15,'Process'!BU4=1),1+('Control Room'!$C$15-1)*EXP(-0.5*(($A273-'Control Room'!$A$15-('Control Room'!$B$15-1)/2)/MAX(0.5,'Control Room'!$B$15/4))^2),1)*IF(AND($A273&gt;='Control Room'!$A$16,$A273&lt;'Control Room'!$A$16+'Control Room'!$B$16,'Process'!BU5=1),1+('Control Room'!$C$16-1)*EXP(-0.5*(($A273-'Control Room'!$A$16-('Control Room'!$B$16-1)/2)/MAX(0.5,'Control Room'!$B$16/4))^2),1)</x:f>
        <x:v>1</x:v>
      </x:c>
      <x:c r="BE273" s="9" t="n">
        <x:f>MOD(BF272*16807,2147483647)</x:f>
        <x:v>763727342</x:v>
      </x:c>
      <x:c r="BF273" s="9" t="n">
        <x:f>MOD(BE273*16807,2147483647)</x:f>
        <x:v>455678875</x:v>
      </x:c>
      <x:c r="BG273" s="17" t="n">
        <x:f>IF('Control Room'!$B$5="Normal",'Control Room'!$B$7+'Control Room'!$D$7*SQRT(-2*LN(MAX(0.000000000001,BE273/2147483647)))*COS(2*PI()*BF273/2147483647),'Control Room'!$B$8+('Control Room'!$D$8-'Control Room'!$B$8)*BE273/2147483647)</x:f>
        <x:v>1030.4547791165917</x:v>
      </x:c>
      <x:c r="BH273" s="17" t="n">
        <x:f>IF('Control Room'!$B$5="Normal",'Control Room'!$B$7,('Control Room'!$B$8+'Control Room'!$D$8)/2)+'Control Room'!$B$9*(BH272-IF('Control Room'!$B$5="Normal",'Control Room'!$B$7,('Control Room'!$B$8+'Control Room'!$D$8)/2))+SQRT(1-'Control Room'!$B$9^2)*(BG273-IF('Control Room'!$B$5="Normal",'Control Room'!$B$7,('Control Room'!$B$8+'Control Room'!$D$8)/2))</x:f>
        <x:v>1090.8250301298422</x:v>
      </x:c>
      <x:c r="BI273" s="17" t="n">
        <x:f>IF(AND($A273&gt;='Control Room'!$A$13,$A273&lt;'Control Room'!$A$13+'Control Room'!$B$13,'Process'!BV2=1),1+('Control Room'!$C$13-1)*EXP(-0.5*(($A273-'Control Room'!$A$13-('Control Room'!$B$13-1)/2)/MAX(0.5,'Control Room'!$B$13/4))^2),1)*IF(AND($A273&gt;='Control Room'!$A$14,$A273&lt;'Control Room'!$A$14+'Control Room'!$B$14,'Process'!BV3=1),1+('Control Room'!$C$14-1)*EXP(-0.5*(($A273-'Control Room'!$A$14-('Control Room'!$B$14-1)/2)/MAX(0.5,'Control Room'!$B$14/4))^2),1)*IF(AND($A273&gt;='Control Room'!$A$15,$A273&lt;'Control Room'!$A$15+'Control Room'!$B$15,'Process'!BV4=1),1+('Control Room'!$C$15-1)*EXP(-0.5*(($A273-'Control Room'!$A$15-('Control Room'!$B$15-1)/2)/MAX(0.5,'Control Room'!$B$15/4))^2),1)*IF(AND($A273&gt;='Control Room'!$A$16,$A273&lt;'Control Room'!$A$16+'Control Room'!$B$16,'Process'!BV5=1),1+('Control Room'!$C$16-1)*EXP(-0.5*(($A273-'Control Room'!$A$16-('Control Room'!$B$16-1)/2)/MAX(0.5,'Control Room'!$B$16/4))^2),1)</x:f>
        <x:v>1</x:v>
      </x:c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Z273" t="str">
        <x:f>IF('Data'!A273="","",TEXT('Data'!A273,"mm-dd"))</x:f>
      </x:c>
    </x:row>
    <x:row r="274" ht="21" customHeight="1">
      <x:c r="A274" s="15" t="n">
        <x:f>'Control Room'!$B$1+272</x:f>
        <x:v>73263</x:v>
      </x:c>
      <x:c r="B274" s="9" t="n">
        <x:f>MOD(C273*16807,2147483647)</x:f>
        <x:v>921366998</x:v>
      </x:c>
      <x:c r="C274" s="9" t="n">
        <x:f>MOD(B274*16807,2147483647)</x:f>
        <x:v>2058040516</x:v>
      </x:c>
      <x:c r="D274" s="17" t="n">
        <x:f>IF('Control Room'!$B$5="Normal",'Control Room'!$B$7+'Control Room'!$D$7*SQRT(-2*LN(MAX(0.000000000001,B274/2147483647)))*COS(2*PI()*C274/2147483647),'Control Room'!$B$8+('Control Room'!$D$8-'Control Room'!$B$8)*B274/2147483647)</x:f>
        <x:v>1113.0962459476782</x:v>
      </x:c>
      <x:c r="E274" s="17" t="n">
        <x:f>IF('Control Room'!$B$5="Normal",'Control Room'!$B$7,('Control Room'!$B$8+'Control Room'!$D$8)/2)+'Control Room'!$B$9*(E273-IF('Control Room'!$B$5="Normal",'Control Room'!$B$7,('Control Room'!$B$8+'Control Room'!$D$8)/2))+SQRT(1-'Control Room'!$B$9^2)*(D274-IF('Control Room'!$B$5="Normal",'Control Room'!$B$7,('Control Room'!$B$8+'Control Room'!$D$8)/2))</x:f>
        <x:v>1053.4042419916047</x:v>
      </x:c>
      <x:c r="F274" s="17" t="n">
        <x:f>IF(AND($A274&gt;='Control Room'!$A$13,$A274&lt;'Control Room'!$A$13+'Control Room'!$B$13,'Process'!BK2=1),1+('Control Room'!$C$13-1)*EXP(-0.5*(($A274-'Control Room'!$A$13-('Control Room'!$B$13-1)/2)/MAX(0.5,'Control Room'!$B$13/4))^2),1)*IF(AND($A274&gt;='Control Room'!$A$14,$A274&lt;'Control Room'!$A$14+'Control Room'!$B$14,'Process'!BK3=1),1+('Control Room'!$C$14-1)*EXP(-0.5*(($A274-'Control Room'!$A$14-('Control Room'!$B$14-1)/2)/MAX(0.5,'Control Room'!$B$14/4))^2),1)*IF(AND($A274&gt;='Control Room'!$A$15,$A274&lt;'Control Room'!$A$15+'Control Room'!$B$15,'Process'!BK4=1),1+('Control Room'!$C$15-1)*EXP(-0.5*(($A274-'Control Room'!$A$15-('Control Room'!$B$15-1)/2)/MAX(0.5,'Control Room'!$B$15/4))^2),1)*IF(AND($A274&gt;='Control Room'!$A$16,$A274&lt;'Control Room'!$A$16+'Control Room'!$B$16,'Process'!BK5=1),1+('Control Room'!$C$16-1)*EXP(-0.5*(($A274-'Control Room'!$A$16-('Control Room'!$B$16-1)/2)/MAX(0.5,'Control Room'!$B$16/4))^2),1)</x:f>
        <x:v>1</x:v>
      </x:c>
      <x:c r="G274" s="9" t="n">
        <x:f>MOD(H273*16807,2147483647)</x:f>
        <x:v>117445665</x:v>
      </x:c>
      <x:c r="H274" s="9" t="n">
        <x:f>MOD(G274*16807,2147483647)</x:f>
        <x:v>371820062</x:v>
      </x:c>
      <x:c r="I274" s="17" t="n">
        <x:f>IF('Control Room'!$B$5="Normal",'Control Room'!$B$7+'Control Room'!$D$7*SQRT(-2*LN(MAX(0.000000000001,G274/2147483647)))*COS(2*PI()*H274/2147483647),'Control Room'!$B$8+('Control Room'!$D$8-'Control Room'!$B$8)*G274/2147483647)</x:f>
        <x:v>1100.7547973219907</x:v>
      </x:c>
      <x:c r="J274" s="17" t="n">
        <x:f>IF('Control Room'!$B$5="Normal",'Control Room'!$B$7,('Control Room'!$B$8+'Control Room'!$D$8)/2)+'Control Room'!$B$9*(J273-IF('Control Room'!$B$5="Normal",'Control Room'!$B$7,('Control Room'!$B$8+'Control Room'!$D$8)/2))+SQRT(1-'Control Room'!$B$9^2)*(I274-IF('Control Room'!$B$5="Normal",'Control Room'!$B$7,('Control Room'!$B$8+'Control Room'!$D$8)/2))</x:f>
        <x:v>1069.7510370104444</x:v>
      </x:c>
      <x:c r="K274" s="17" t="n">
        <x:f>IF(AND($A274&gt;='Control Room'!$A$13,$A274&lt;'Control Room'!$A$13+'Control Room'!$B$13,'Process'!BL2=1),1+('Control Room'!$C$13-1)*EXP(-0.5*(($A274-'Control Room'!$A$13-('Control Room'!$B$13-1)/2)/MAX(0.5,'Control Room'!$B$13/4))^2),1)*IF(AND($A274&gt;='Control Room'!$A$14,$A274&lt;'Control Room'!$A$14+'Control Room'!$B$14,'Process'!BL3=1),1+('Control Room'!$C$14-1)*EXP(-0.5*(($A274-'Control Room'!$A$14-('Control Room'!$B$14-1)/2)/MAX(0.5,'Control Room'!$B$14/4))^2),1)*IF(AND($A274&gt;='Control Room'!$A$15,$A274&lt;'Control Room'!$A$15+'Control Room'!$B$15,'Process'!BL4=1),1+('Control Room'!$C$15-1)*EXP(-0.5*(($A274-'Control Room'!$A$15-('Control Room'!$B$15-1)/2)/MAX(0.5,'Control Room'!$B$15/4))^2),1)*IF(AND($A274&gt;='Control Room'!$A$16,$A274&lt;'Control Room'!$A$16+'Control Room'!$B$16,'Process'!BL5=1),1+('Control Room'!$C$16-1)*EXP(-0.5*(($A274-'Control Room'!$A$16-('Control Room'!$B$16-1)/2)/MAX(0.5,'Control Room'!$B$16/4))^2),1)</x:f>
        <x:v>1</x:v>
      </x:c>
      <x:c r="L274" s="9" t="n">
        <x:f>MOD(M273*16807,2147483647)</x:f>
        <x:v>1461007979</x:v>
      </x:c>
      <x:c r="M274" s="9" t="n">
        <x:f>MOD(L274*16807,2147483647)</x:f>
        <x:v>833083255</x:v>
      </x:c>
      <x:c r="N274" s="17" t="n">
        <x:f>IF('Control Room'!$B$5="Normal",'Control Room'!$B$7+'Control Room'!$D$7*SQRT(-2*LN(MAX(0.000000000001,L274/2147483647)))*COS(2*PI()*M274/2147483647),'Control Room'!$B$8+('Control Room'!$D$8-'Control Room'!$B$8)*L274/2147483647)</x:f>
        <x:v>939.7940430289988</x:v>
      </x:c>
      <x:c r="O274" s="17" t="n">
        <x:f>IF('Control Room'!$B$5="Normal",'Control Room'!$B$7,('Control Room'!$B$8+'Control Room'!$D$8)/2)+'Control Room'!$B$9*(O273-IF('Control Room'!$B$5="Normal",'Control Room'!$B$7,('Control Room'!$B$8+'Control Room'!$D$8)/2))+SQRT(1-'Control Room'!$B$9^2)*(N274-IF('Control Room'!$B$5="Normal",'Control Room'!$B$7,('Control Room'!$B$8+'Control Room'!$D$8)/2))</x:f>
        <x:v>1080.4245860789683</x:v>
      </x:c>
      <x:c r="P274" s="17" t="n">
        <x:f>IF(AND($A274&gt;='Control Room'!$A$13,$A274&lt;'Control Room'!$A$13+'Control Room'!$B$13,'Process'!BM2=1),1+('Control Room'!$C$13-1)*EXP(-0.5*(($A274-'Control Room'!$A$13-('Control Room'!$B$13-1)/2)/MAX(0.5,'Control Room'!$B$13/4))^2),1)*IF(AND($A274&gt;='Control Room'!$A$14,$A274&lt;'Control Room'!$A$14+'Control Room'!$B$14,'Process'!BM3=1),1+('Control Room'!$C$14-1)*EXP(-0.5*(($A274-'Control Room'!$A$14-('Control Room'!$B$14-1)/2)/MAX(0.5,'Control Room'!$B$14/4))^2),1)*IF(AND($A274&gt;='Control Room'!$A$15,$A274&lt;'Control Room'!$A$15+'Control Room'!$B$15,'Process'!BM4=1),1+('Control Room'!$C$15-1)*EXP(-0.5*(($A274-'Control Room'!$A$15-('Control Room'!$B$15-1)/2)/MAX(0.5,'Control Room'!$B$15/4))^2),1)*IF(AND($A274&gt;='Control Room'!$A$16,$A274&lt;'Control Room'!$A$16+'Control Room'!$B$16,'Process'!BM5=1),1+('Control Room'!$C$16-1)*EXP(-0.5*(($A274-'Control Room'!$A$16-('Control Room'!$B$16-1)/2)/MAX(0.5,'Control Room'!$B$16/4))^2),1)</x:f>
        <x:v>1</x:v>
      </x:c>
      <x:c r="Q274" s="9" t="n">
        <x:f>MOD(R273*16807,2147483647)</x:f>
        <x:v>657086646</x:v>
      </x:c>
      <x:c r="R274" s="9" t="n">
        <x:f>MOD(Q274*16807,2147483647)</x:f>
        <x:v>1294346448</x:v>
      </x:c>
      <x:c r="S274" s="17" t="n">
        <x:f>IF('Control Room'!$B$5="Normal",'Control Room'!$B$7+'Control Room'!$D$7*SQRT(-2*LN(MAX(0.000000000001,Q274/2147483647)))*COS(2*PI()*R274/2147483647),'Control Room'!$B$8+('Control Room'!$D$8-'Control Room'!$B$8)*Q274/2147483647)</x:f>
        <x:v>889.3555614177025</x:v>
      </x:c>
      <x:c r="T274" s="17" t="n">
        <x:f>IF('Control Room'!$B$5="Normal",'Control Room'!$B$7,('Control Room'!$B$8+'Control Room'!$D$8)/2)+'Control Room'!$B$9*(T273-IF('Control Room'!$B$5="Normal",'Control Room'!$B$7,('Control Room'!$B$8+'Control Room'!$D$8)/2))+SQRT(1-'Control Room'!$B$9^2)*(S274-IF('Control Room'!$B$5="Normal",'Control Room'!$B$7,('Control Room'!$B$8+'Control Room'!$D$8)/2))</x:f>
        <x:v>1013.9062226153477</x:v>
      </x:c>
      <x:c r="U274" s="17" t="n">
        <x:f>IF(AND($A274&gt;='Control Room'!$A$13,$A274&lt;'Control Room'!$A$13+'Control Room'!$B$13,'Process'!BN2=1),1+('Control Room'!$C$13-1)*EXP(-0.5*(($A274-'Control Room'!$A$13-('Control Room'!$B$13-1)/2)/MAX(0.5,'Control Room'!$B$13/4))^2),1)*IF(AND($A274&gt;='Control Room'!$A$14,$A274&lt;'Control Room'!$A$14+'Control Room'!$B$14,'Process'!BN3=1),1+('Control Room'!$C$14-1)*EXP(-0.5*(($A274-'Control Room'!$A$14-('Control Room'!$B$14-1)/2)/MAX(0.5,'Control Room'!$B$14/4))^2),1)*IF(AND($A274&gt;='Control Room'!$A$15,$A274&lt;'Control Room'!$A$15+'Control Room'!$B$15,'Process'!BN4=1),1+('Control Room'!$C$15-1)*EXP(-0.5*(($A274-'Control Room'!$A$15-('Control Room'!$B$15-1)/2)/MAX(0.5,'Control Room'!$B$15/4))^2),1)*IF(AND($A274&gt;='Control Room'!$A$16,$A274&lt;'Control Room'!$A$16+'Control Room'!$B$16,'Process'!BN5=1),1+('Control Room'!$C$16-1)*EXP(-0.5*(($A274-'Control Room'!$A$16-('Control Room'!$B$16-1)/2)/MAX(0.5,'Control Room'!$B$16/4))^2),1)</x:f>
        <x:v>1</x:v>
      </x:c>
      <x:c r="V274" s="9" t="n">
        <x:f>MOD(W273*16807,2147483647)</x:f>
        <x:v>2000648960</x:v>
      </x:c>
      <x:c r="W274" s="9" t="n">
        <x:f>MOD(V274*16807,2147483647)</x:f>
        <x:v>1755609641</x:v>
      </x:c>
      <x:c r="X274" s="17" t="n">
        <x:f>IF('Control Room'!$B$5="Normal",'Control Room'!$B$7+'Control Room'!$D$7*SQRT(-2*LN(MAX(0.000000000001,V274/2147483647)))*COS(2*PI()*W274/2147483647),'Control Room'!$B$8+('Control Room'!$D$8-'Control Room'!$B$8)*V274/2147483647)</x:f>
        <x:v>1013.9429207925223</x:v>
      </x:c>
      <x:c r="Y274" s="17" t="n">
        <x:f>IF('Control Room'!$B$5="Normal",'Control Room'!$B$7,('Control Room'!$B$8+'Control Room'!$D$8)/2)+'Control Room'!$B$9*(Y273-IF('Control Room'!$B$5="Normal",'Control Room'!$B$7,('Control Room'!$B$8+'Control Room'!$D$8)/2))+SQRT(1-'Control Room'!$B$9^2)*(X274-IF('Control Room'!$B$5="Normal",'Control Room'!$B$7,('Control Room'!$B$8+'Control Room'!$D$8)/2))</x:f>
        <x:v>1081.1353577923505</x:v>
      </x:c>
      <x:c r="Z274" s="17" t="n">
        <x:f>IF(AND($A274&gt;='Control Room'!$A$13,$A274&lt;'Control Room'!$A$13+'Control Room'!$B$13,'Process'!BO2=1),1+('Control Room'!$C$13-1)*EXP(-0.5*(($A274-'Control Room'!$A$13-('Control Room'!$B$13-1)/2)/MAX(0.5,'Control Room'!$B$13/4))^2),1)*IF(AND($A274&gt;='Control Room'!$A$14,$A274&lt;'Control Room'!$A$14+'Control Room'!$B$14,'Process'!BO3=1),1+('Control Room'!$C$14-1)*EXP(-0.5*(($A274-'Control Room'!$A$14-('Control Room'!$B$14-1)/2)/MAX(0.5,'Control Room'!$B$14/4))^2),1)*IF(AND($A274&gt;='Control Room'!$A$15,$A274&lt;'Control Room'!$A$15+'Control Room'!$B$15,'Process'!BO4=1),1+('Control Room'!$C$15-1)*EXP(-0.5*(($A274-'Control Room'!$A$15-('Control Room'!$B$15-1)/2)/MAX(0.5,'Control Room'!$B$15/4))^2),1)*IF(AND($A274&gt;='Control Room'!$A$16,$A274&lt;'Control Room'!$A$16+'Control Room'!$B$16,'Process'!BO5=1),1+('Control Room'!$C$16-1)*EXP(-0.5*(($A274-'Control Room'!$A$16-('Control Room'!$B$16-1)/2)/MAX(0.5,'Control Room'!$B$16/4))^2),1)</x:f>
        <x:v>1</x:v>
      </x:c>
      <x:c r="AA274" s="9" t="n">
        <x:f>MOD(AB273*16807,2147483647)</x:f>
        <x:v>1196727627</x:v>
      </x:c>
      <x:c r="AB274" s="9" t="n">
        <x:f>MOD(AA274*16807,2147483647)</x:f>
        <x:v>69389187</x:v>
      </x:c>
      <x:c r="AC274" s="17" t="n">
        <x:f>IF('Control Room'!$B$5="Normal",'Control Room'!$B$7+'Control Room'!$D$7*SQRT(-2*LN(MAX(0.000000000001,AA274/2147483647)))*COS(2*PI()*AB274/2147483647),'Control Room'!$B$8+('Control Room'!$D$8-'Control Room'!$B$8)*AA274/2147483647)</x:f>
        <x:v>1095.3265270753882</x:v>
      </x:c>
      <x:c r="AD274" s="17" t="n">
        <x:f>IF('Control Room'!$B$5="Normal",'Control Room'!$B$7,('Control Room'!$B$8+'Control Room'!$D$8)/2)+'Control Room'!$B$9*(AD273-IF('Control Room'!$B$5="Normal",'Control Room'!$B$7,('Control Room'!$B$8+'Control Room'!$D$8)/2))+SQRT(1-'Control Room'!$B$9^2)*(AC274-IF('Control Room'!$B$5="Normal",'Control Room'!$B$7,('Control Room'!$B$8+'Control Room'!$D$8)/2))</x:f>
        <x:v>1055.966201247034</x:v>
      </x:c>
      <x:c r="AE274" s="17" t="n">
        <x:f>IF(AND($A274&gt;='Control Room'!$A$13,$A274&lt;'Control Room'!$A$13+'Control Room'!$B$13,'Process'!BP2=1),1+('Control Room'!$C$13-1)*EXP(-0.5*(($A274-'Control Room'!$A$13-('Control Room'!$B$13-1)/2)/MAX(0.5,'Control Room'!$B$13/4))^2),1)*IF(AND($A274&gt;='Control Room'!$A$14,$A274&lt;'Control Room'!$A$14+'Control Room'!$B$14,'Process'!BP3=1),1+('Control Room'!$C$14-1)*EXP(-0.5*(($A274-'Control Room'!$A$14-('Control Room'!$B$14-1)/2)/MAX(0.5,'Control Room'!$B$14/4))^2),1)*IF(AND($A274&gt;='Control Room'!$A$15,$A274&lt;'Control Room'!$A$15+'Control Room'!$B$15,'Process'!BP4=1),1+('Control Room'!$C$15-1)*EXP(-0.5*(($A274-'Control Room'!$A$15-('Control Room'!$B$15-1)/2)/MAX(0.5,'Control Room'!$B$15/4))^2),1)*IF(AND($A274&gt;='Control Room'!$A$16,$A274&lt;'Control Room'!$A$16+'Control Room'!$B$16,'Process'!BP5=1),1+('Control Room'!$C$16-1)*EXP(-0.5*(($A274-'Control Room'!$A$16-('Control Room'!$B$16-1)/2)/MAX(0.5,'Control Room'!$B$16/4))^2),1)</x:f>
        <x:v>1</x:v>
      </x:c>
      <x:c r="AF274" s="9" t="n">
        <x:f>MOD(AG273*16807,2147483647)</x:f>
        <x:v>392806294</x:v>
      </x:c>
      <x:c r="AG274" s="9" t="n">
        <x:f>MOD(AF274*16807,2147483647)</x:f>
        <x:v>530652380</x:v>
      </x:c>
      <x:c r="AH274" s="17" t="n">
        <x:f>IF('Control Room'!$B$5="Normal",'Control Room'!$B$7+'Control Room'!$D$7*SQRT(-2*LN(MAX(0.000000000001,AF274/2147483647)))*COS(2*PI()*AG274/2147483647),'Control Room'!$B$8+('Control Room'!$D$8-'Control Room'!$B$8)*AF274/2147483647)</x:f>
        <x:v>1003.0181045384177</x:v>
      </x:c>
      <x:c r="AI274" s="17" t="n">
        <x:f>IF('Control Room'!$B$5="Normal",'Control Room'!$B$7,('Control Room'!$B$8+'Control Room'!$D$8)/2)+'Control Room'!$B$9*(AI273-IF('Control Room'!$B$5="Normal",'Control Room'!$B$7,('Control Room'!$B$8+'Control Room'!$D$8)/2))+SQRT(1-'Control Room'!$B$9^2)*(AH274-IF('Control Room'!$B$5="Normal",'Control Room'!$B$7,('Control Room'!$B$8+'Control Room'!$D$8)/2))</x:f>
        <x:v>974.1444336058581</x:v>
      </x:c>
      <x:c r="AJ274" s="17" t="n">
        <x:f>IF(AND($A274&gt;='Control Room'!$A$13,$A274&lt;'Control Room'!$A$13+'Control Room'!$B$13,'Process'!BQ2=1),1+('Control Room'!$C$13-1)*EXP(-0.5*(($A274-'Control Room'!$A$13-('Control Room'!$B$13-1)/2)/MAX(0.5,'Control Room'!$B$13/4))^2),1)*IF(AND($A274&gt;='Control Room'!$A$14,$A274&lt;'Control Room'!$A$14+'Control Room'!$B$14,'Process'!BQ3=1),1+('Control Room'!$C$14-1)*EXP(-0.5*(($A274-'Control Room'!$A$14-('Control Room'!$B$14-1)/2)/MAX(0.5,'Control Room'!$B$14/4))^2),1)*IF(AND($A274&gt;='Control Room'!$A$15,$A274&lt;'Control Room'!$A$15+'Control Room'!$B$15,'Process'!BQ4=1),1+('Control Room'!$C$15-1)*EXP(-0.5*(($A274-'Control Room'!$A$15-('Control Room'!$B$15-1)/2)/MAX(0.5,'Control Room'!$B$15/4))^2),1)*IF(AND($A274&gt;='Control Room'!$A$16,$A274&lt;'Control Room'!$A$16+'Control Room'!$B$16,'Process'!BQ5=1),1+('Control Room'!$C$16-1)*EXP(-0.5*(($A274-'Control Room'!$A$16-('Control Room'!$B$16-1)/2)/MAX(0.5,'Control Room'!$B$16/4))^2),1)</x:f>
        <x:v>1</x:v>
      </x:c>
      <x:c r="AK274" s="9" t="n">
        <x:f>MOD(AL273*16807,2147483647)</x:f>
        <x:v>1736368608</x:v>
      </x:c>
      <x:c r="AL274" s="9" t="n">
        <x:f>MOD(AK274*16807,2147483647)</x:f>
        <x:v>991915573</x:v>
      </x:c>
      <x:c r="AM274" s="17" t="n">
        <x:f>IF('Control Room'!$B$5="Normal",'Control Room'!$B$7+'Control Room'!$D$7*SQRT(-2*LN(MAX(0.000000000001,AK274/2147483647)))*COS(2*PI()*AL274/2147483647),'Control Room'!$B$8+('Control Room'!$D$8-'Control Room'!$B$8)*AK274/2147483647)</x:f>
        <x:v>943.0005325239332</x:v>
      </x:c>
      <x:c r="AN274" s="17" t="n">
        <x:f>IF('Control Room'!$B$5="Normal",'Control Room'!$B$7,('Control Room'!$B$8+'Control Room'!$D$8)/2)+'Control Room'!$B$9*(AN273-IF('Control Room'!$B$5="Normal",'Control Room'!$B$7,('Control Room'!$B$8+'Control Room'!$D$8)/2))+SQRT(1-'Control Room'!$B$9^2)*(AM274-IF('Control Room'!$B$5="Normal",'Control Room'!$B$7,('Control Room'!$B$8+'Control Room'!$D$8)/2))</x:f>
        <x:v>869.5391980497274</x:v>
      </x:c>
      <x:c r="AO274" s="17" t="n">
        <x:f>IF(AND($A274&gt;='Control Room'!$A$13,$A274&lt;'Control Room'!$A$13+'Control Room'!$B$13,'Process'!BR2=1),1+('Control Room'!$C$13-1)*EXP(-0.5*(($A274-'Control Room'!$A$13-('Control Room'!$B$13-1)/2)/MAX(0.5,'Control Room'!$B$13/4))^2),1)*IF(AND($A274&gt;='Control Room'!$A$14,$A274&lt;'Control Room'!$A$14+'Control Room'!$B$14,'Process'!BR3=1),1+('Control Room'!$C$14-1)*EXP(-0.5*(($A274-'Control Room'!$A$14-('Control Room'!$B$14-1)/2)/MAX(0.5,'Control Room'!$B$14/4))^2),1)*IF(AND($A274&gt;='Control Room'!$A$15,$A274&lt;'Control Room'!$A$15+'Control Room'!$B$15,'Process'!BR4=1),1+('Control Room'!$C$15-1)*EXP(-0.5*(($A274-'Control Room'!$A$15-('Control Room'!$B$15-1)/2)/MAX(0.5,'Control Room'!$B$15/4))^2),1)*IF(AND($A274&gt;='Control Room'!$A$16,$A274&lt;'Control Room'!$A$16+'Control Room'!$B$16,'Process'!BR5=1),1+('Control Room'!$C$16-1)*EXP(-0.5*(($A274-'Control Room'!$A$16-('Control Room'!$B$16-1)/2)/MAX(0.5,'Control Room'!$B$16/4))^2),1)</x:f>
        <x:v>1</x:v>
      </x:c>
      <x:c r="AP274" s="9" t="n">
        <x:f>MOD(AQ273*16807,2147483647)</x:f>
        <x:v>932447275</x:v>
      </x:c>
      <x:c r="AQ274" s="9" t="n">
        <x:f>MOD(AP274*16807,2147483647)</x:f>
        <x:v>1453178766</x:v>
      </x:c>
      <x:c r="AR274" s="17" t="n">
        <x:f>IF('Control Room'!$B$5="Normal",'Control Room'!$B$7+'Control Room'!$D$7*SQRT(-2*LN(MAX(0.000000000001,AP274/2147483647)))*COS(2*PI()*AQ274/2147483647),'Control Room'!$B$8+('Control Room'!$D$8-'Control Room'!$B$8)*AP274/2147483647)</x:f>
        <x:v>948.3246564760911</x:v>
      </x:c>
      <x:c r="AS274" s="17" t="n">
        <x:f>IF('Control Room'!$B$5="Normal",'Control Room'!$B$7,('Control Room'!$B$8+'Control Room'!$D$8)/2)+'Control Room'!$B$9*(AS273-IF('Control Room'!$B$5="Normal",'Control Room'!$B$7,('Control Room'!$B$8+'Control Room'!$D$8)/2))+SQRT(1-'Control Room'!$B$9^2)*(AR274-IF('Control Room'!$B$5="Normal",'Control Room'!$B$7,('Control Room'!$B$8+'Control Room'!$D$8)/2))</x:f>
        <x:v>974.5119746960017</x:v>
      </x:c>
      <x:c r="AT274" s="17" t="n">
        <x:f>IF(AND($A274&gt;='Control Room'!$A$13,$A274&lt;'Control Room'!$A$13+'Control Room'!$B$13,'Process'!BS2=1),1+('Control Room'!$C$13-1)*EXP(-0.5*(($A274-'Control Room'!$A$13-('Control Room'!$B$13-1)/2)/MAX(0.5,'Control Room'!$B$13/4))^2),1)*IF(AND($A274&gt;='Control Room'!$A$14,$A274&lt;'Control Room'!$A$14+'Control Room'!$B$14,'Process'!BS3=1),1+('Control Room'!$C$14-1)*EXP(-0.5*(($A274-'Control Room'!$A$14-('Control Room'!$B$14-1)/2)/MAX(0.5,'Control Room'!$B$14/4))^2),1)*IF(AND($A274&gt;='Control Room'!$A$15,$A274&lt;'Control Room'!$A$15+'Control Room'!$B$15,'Process'!BS4=1),1+('Control Room'!$C$15-1)*EXP(-0.5*(($A274-'Control Room'!$A$15-('Control Room'!$B$15-1)/2)/MAX(0.5,'Control Room'!$B$15/4))^2),1)*IF(AND($A274&gt;='Control Room'!$A$16,$A274&lt;'Control Room'!$A$16+'Control Room'!$B$16,'Process'!BS5=1),1+('Control Room'!$C$16-1)*EXP(-0.5*(($A274-'Control Room'!$A$16-('Control Room'!$B$16-1)/2)/MAX(0.5,'Control Room'!$B$16/4))^2),1)</x:f>
        <x:v>1</x:v>
      </x:c>
      <x:c r="AU274" s="9" t="n">
        <x:f>MOD(AV273*16807,2147483647)</x:f>
        <x:v>128525942</x:v>
      </x:c>
      <x:c r="AV274" s="9" t="n">
        <x:f>MOD(AU274*16807,2147483647)</x:f>
        <x:v>1914441959</x:v>
      </x:c>
      <x:c r="AW274" s="17" t="n">
        <x:f>IF('Control Room'!$B$5="Normal",'Control Room'!$B$7+'Control Room'!$D$7*SQRT(-2*LN(MAX(0.000000000001,AU274/2147483647)))*COS(2*PI()*AV274/2147483647),'Control Room'!$B$8+('Control Room'!$D$8-'Control Room'!$B$8)*AU274/2147483647)</x:f>
        <x:v>1165.8290920296208</x:v>
      </x:c>
      <x:c r="AX274" s="17" t="n">
        <x:f>IF('Control Room'!$B$5="Normal",'Control Room'!$B$7,('Control Room'!$B$8+'Control Room'!$D$8)/2)+'Control Room'!$B$9*(AX273-IF('Control Room'!$B$5="Normal",'Control Room'!$B$7,('Control Room'!$B$8+'Control Room'!$D$8)/2))+SQRT(1-'Control Room'!$B$9^2)*(AW274-IF('Control Room'!$B$5="Normal",'Control Room'!$B$7,('Control Room'!$B$8+'Control Room'!$D$8)/2))</x:f>
        <x:v>1136.8104360411955</x:v>
      </x:c>
      <x:c r="AY274" s="17" t="n">
        <x:f>IF(AND($A274&gt;='Control Room'!$A$13,$A274&lt;'Control Room'!$A$13+'Control Room'!$B$13,'Process'!BT2=1),1+('Control Room'!$C$13-1)*EXP(-0.5*(($A274-'Control Room'!$A$13-('Control Room'!$B$13-1)/2)/MAX(0.5,'Control Room'!$B$13/4))^2),1)*IF(AND($A274&gt;='Control Room'!$A$14,$A274&lt;'Control Room'!$A$14+'Control Room'!$B$14,'Process'!BT3=1),1+('Control Room'!$C$14-1)*EXP(-0.5*(($A274-'Control Room'!$A$14-('Control Room'!$B$14-1)/2)/MAX(0.5,'Control Room'!$B$14/4))^2),1)*IF(AND($A274&gt;='Control Room'!$A$15,$A274&lt;'Control Room'!$A$15+'Control Room'!$B$15,'Process'!BT4=1),1+('Control Room'!$C$15-1)*EXP(-0.5*(($A274-'Control Room'!$A$15-('Control Room'!$B$15-1)/2)/MAX(0.5,'Control Room'!$B$15/4))^2),1)*IF(AND($A274&gt;='Control Room'!$A$16,$A274&lt;'Control Room'!$A$16+'Control Room'!$B$16,'Process'!BT5=1),1+('Control Room'!$C$16-1)*EXP(-0.5*(($A274-'Control Room'!$A$16-('Control Room'!$B$16-1)/2)/MAX(0.5,'Control Room'!$B$16/4))^2),1)</x:f>
        <x:v>1</x:v>
      </x:c>
      <x:c r="AZ274" s="9" t="n">
        <x:f>MOD(BA273*16807,2147483647)</x:f>
        <x:v>1472088256</x:v>
      </x:c>
      <x:c r="BA274" s="9" t="n">
        <x:f>MOD(AZ274*16807,2147483647)</x:f>
        <x:v>228221505</x:v>
      </x:c>
      <x:c r="BB274" s="17" t="n">
        <x:f>IF('Control Room'!$B$5="Normal",'Control Room'!$B$7+'Control Room'!$D$7*SQRT(-2*LN(MAX(0.000000000001,AZ274/2147483647)))*COS(2*PI()*BA274/2147483647),'Control Room'!$B$8+('Control Room'!$D$8-'Control Room'!$B$8)*AZ274/2147483647)</x:f>
        <x:v>1061.4151474945845</x:v>
      </x:c>
      <x:c r="BC274" s="17" t="n">
        <x:f>IF('Control Room'!$B$5="Normal",'Control Room'!$B$7,('Control Room'!$B$8+'Control Room'!$D$8)/2)+'Control Room'!$B$9*(BC273-IF('Control Room'!$B$5="Normal",'Control Room'!$B$7,('Control Room'!$B$8+'Control Room'!$D$8)/2))+SQRT(1-'Control Room'!$B$9^2)*(BB274-IF('Control Room'!$B$5="Normal",'Control Room'!$B$7,('Control Room'!$B$8+'Control Room'!$D$8)/2))</x:f>
        <x:v>968.7888130712265</x:v>
      </x:c>
      <x:c r="BD274" s="17" t="n">
        <x:f>IF(AND($A274&gt;='Control Room'!$A$13,$A274&lt;'Control Room'!$A$13+'Control Room'!$B$13,'Process'!BU2=1),1+('Control Room'!$C$13-1)*EXP(-0.5*(($A274-'Control Room'!$A$13-('Control Room'!$B$13-1)/2)/MAX(0.5,'Control Room'!$B$13/4))^2),1)*IF(AND($A274&gt;='Control Room'!$A$14,$A274&lt;'Control Room'!$A$14+'Control Room'!$B$14,'Process'!BU3=1),1+('Control Room'!$C$14-1)*EXP(-0.5*(($A274-'Control Room'!$A$14-('Control Room'!$B$14-1)/2)/MAX(0.5,'Control Room'!$B$14/4))^2),1)*IF(AND($A274&gt;='Control Room'!$A$15,$A274&lt;'Control Room'!$A$15+'Control Room'!$B$15,'Process'!BU4=1),1+('Control Room'!$C$15-1)*EXP(-0.5*(($A274-'Control Room'!$A$15-('Control Room'!$B$15-1)/2)/MAX(0.5,'Control Room'!$B$15/4))^2),1)*IF(AND($A274&gt;='Control Room'!$A$16,$A274&lt;'Control Room'!$A$16+'Control Room'!$B$16,'Process'!BU5=1),1+('Control Room'!$C$16-1)*EXP(-0.5*(($A274-'Control Room'!$A$16-('Control Room'!$B$16-1)/2)/MAX(0.5,'Control Room'!$B$16/4))^2),1)</x:f>
        <x:v>1</x:v>
      </x:c>
      <x:c r="BE274" s="9" t="n">
        <x:f>MOD(BF273*16807,2147483647)</x:f>
        <x:v>668166923</x:v>
      </x:c>
      <x:c r="BF274" s="9" t="n">
        <x:f>MOD(BE274*16807,2147483647)</x:f>
        <x:v>689484698</x:v>
      </x:c>
      <x:c r="BG274" s="17" t="n">
        <x:f>IF('Control Room'!$B$5="Normal",'Control Room'!$B$7+'Control Room'!$D$7*SQRT(-2*LN(MAX(0.000000000001,BE274/2147483647)))*COS(2*PI()*BF274/2147483647),'Control Room'!$B$8+('Control Room'!$D$8-'Control Room'!$B$8)*BE274/2147483647)</x:f>
        <x:v>940.6113604198113</x:v>
      </x:c>
      <x:c r="BH274" s="17" t="n">
        <x:f>IF('Control Room'!$B$5="Normal",'Control Room'!$B$7,('Control Room'!$B$8+'Control Room'!$D$8)/2)+'Control Room'!$B$9*(BH273-IF('Control Room'!$B$5="Normal",'Control Room'!$B$7,('Control Room'!$B$8+'Control Room'!$D$8)/2))+SQRT(1-'Control Room'!$B$9^2)*(BG274-IF('Control Room'!$B$5="Normal",'Control Room'!$B$7,('Control Room'!$B$8+'Control Room'!$D$8)/2))</x:f>
        <x:v>1033.679329494407</x:v>
      </x:c>
      <x:c r="BI274" s="17" t="n">
        <x:f>IF(AND($A274&gt;='Control Room'!$A$13,$A274&lt;'Control Room'!$A$13+'Control Room'!$B$13,'Process'!BV2=1),1+('Control Room'!$C$13-1)*EXP(-0.5*(($A274-'Control Room'!$A$13-('Control Room'!$B$13-1)/2)/MAX(0.5,'Control Room'!$B$13/4))^2),1)*IF(AND($A274&gt;='Control Room'!$A$14,$A274&lt;'Control Room'!$A$14+'Control Room'!$B$14,'Process'!BV3=1),1+('Control Room'!$C$14-1)*EXP(-0.5*(($A274-'Control Room'!$A$14-('Control Room'!$B$14-1)/2)/MAX(0.5,'Control Room'!$B$14/4))^2),1)*IF(AND($A274&gt;='Control Room'!$A$15,$A274&lt;'Control Room'!$A$15+'Control Room'!$B$15,'Process'!BV4=1),1+('Control Room'!$C$15-1)*EXP(-0.5*(($A274-'Control Room'!$A$15-('Control Room'!$B$15-1)/2)/MAX(0.5,'Control Room'!$B$15/4))^2),1)*IF(AND($A274&gt;='Control Room'!$A$16,$A274&lt;'Control Room'!$A$16+'Control Room'!$B$16,'Process'!BV5=1),1+('Control Room'!$C$16-1)*EXP(-0.5*(($A274-'Control Room'!$A$16-('Control Room'!$B$16-1)/2)/MAX(0.5,'Control Room'!$B$16/4))^2),1)</x:f>
        <x:v>1</x:v>
      </x:c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Z274" t="str">
        <x:f>IF('Data'!A274="","",TEXT('Data'!A274,"mm-dd"))</x:f>
      </x:c>
    </x:row>
    <x:row r="275" ht="21" customHeight="1">
      <x:c r="A275" s="15" t="n">
        <x:f>'Control Room'!$B$1+273</x:f>
        <x:v>73264</x:v>
      </x:c>
      <x:c r="B275" s="9" t="n">
        <x:f>MOD(C274*16807,2147483647)</x:f>
        <x:v>2115333830</x:v>
      </x:c>
      <x:c r="C275" s="9" t="n">
        <x:f>MOD(B275*16807,2147483647)</x:f>
        <x:v>823904725</x:v>
      </x:c>
      <x:c r="D275" s="17" t="n">
        <x:f>IF('Control Room'!$B$5="Normal",'Control Room'!$B$7+'Control Room'!$D$7*SQRT(-2*LN(MAX(0.000000000001,B275/2147483647)))*COS(2*PI()*C275/2147483647),'Control Room'!$B$8+('Control Room'!$D$8-'Control Room'!$B$8)*B275/2147483647)</x:f>
        <x:v>988.3616012563655</x:v>
      </x:c>
      <x:c r="E275" s="17" t="n">
        <x:f>IF('Control Room'!$B$5="Normal",'Control Room'!$B$7,('Control Room'!$B$8+'Control Room'!$D$8)/2)+'Control Room'!$B$9*(E274-IF('Control Room'!$B$5="Normal",'Control Room'!$B$7,('Control Room'!$B$8+'Control Room'!$D$8)/2))+SQRT(1-'Control Room'!$B$9^2)*(D275-IF('Control Room'!$B$5="Normal",'Control Room'!$B$7,('Control Room'!$B$8+'Control Room'!$D$8)/2))</x:f>
        <x:v>1034.372237245243</x:v>
      </x:c>
      <x:c r="F275" s="17" t="n">
        <x:f>IF(AND($A275&gt;='Control Room'!$A$13,$A275&lt;'Control Room'!$A$13+'Control Room'!$B$13,'Process'!BK2=1),1+('Control Room'!$C$13-1)*EXP(-0.5*(($A275-'Control Room'!$A$13-('Control Room'!$B$13-1)/2)/MAX(0.5,'Control Room'!$B$13/4))^2),1)*IF(AND($A275&gt;='Control Room'!$A$14,$A275&lt;'Control Room'!$A$14+'Control Room'!$B$14,'Process'!BK3=1),1+('Control Room'!$C$14-1)*EXP(-0.5*(($A275-'Control Room'!$A$14-('Control Room'!$B$14-1)/2)/MAX(0.5,'Control Room'!$B$14/4))^2),1)*IF(AND($A275&gt;='Control Room'!$A$15,$A275&lt;'Control Room'!$A$15+'Control Room'!$B$15,'Process'!BK4=1),1+('Control Room'!$C$15-1)*EXP(-0.5*(($A275-'Control Room'!$A$15-('Control Room'!$B$15-1)/2)/MAX(0.5,'Control Room'!$B$15/4))^2),1)*IF(AND($A275&gt;='Control Room'!$A$16,$A275&lt;'Control Room'!$A$16+'Control Room'!$B$16,'Process'!BK5=1),1+('Control Room'!$C$16-1)*EXP(-0.5*(($A275-'Control Room'!$A$16-('Control Room'!$B$16-1)/2)/MAX(0.5,'Control Room'!$B$16/4))^2),1)</x:f>
        <x:v>1</x:v>
      </x:c>
      <x:c r="G275" s="9" t="n">
        <x:f>MOD(H274*16807,2147483647)</x:f>
        <x:v>2369264</x:v>
      </x:c>
      <x:c r="H275" s="9" t="n">
        <x:f>MOD(G275*16807,2147483647)</x:f>
        <x:v>1165514402</x:v>
      </x:c>
      <x:c r="I275" s="17" t="n">
        <x:f>IF('Control Room'!$B$5="Normal",'Control Room'!$B$7+'Control Room'!$D$7*SQRT(-2*LN(MAX(0.000000000001,G275/2147483647)))*COS(2*PI()*H275/2147483647),'Control Room'!$B$8+('Control Room'!$D$8-'Control Room'!$B$8)*G275/2147483647)</x:f>
        <x:v>679.7667345055054</x:v>
      </x:c>
      <x:c r="J275" s="17" t="n">
        <x:f>IF('Control Room'!$B$5="Normal",'Control Room'!$B$7,('Control Room'!$B$8+'Control Room'!$D$8)/2)+'Control Room'!$B$9*(J274-IF('Control Room'!$B$5="Normal",'Control Room'!$B$7,('Control Room'!$B$8+'Control Room'!$D$8)/2))+SQRT(1-'Control Room'!$B$9^2)*(I275-IF('Control Room'!$B$5="Normal",'Control Room'!$B$7,('Control Room'!$B$8+'Control Room'!$D$8)/2))</x:f>
        <x:v>854.0103916567215</x:v>
      </x:c>
      <x:c r="K275" s="17" t="n">
        <x:f>IF(AND($A275&gt;='Control Room'!$A$13,$A275&lt;'Control Room'!$A$13+'Control Room'!$B$13,'Process'!BL2=1),1+('Control Room'!$C$13-1)*EXP(-0.5*(($A275-'Control Room'!$A$13-('Control Room'!$B$13-1)/2)/MAX(0.5,'Control Room'!$B$13/4))^2),1)*IF(AND($A275&gt;='Control Room'!$A$14,$A275&lt;'Control Room'!$A$14+'Control Room'!$B$14,'Process'!BL3=1),1+('Control Room'!$C$14-1)*EXP(-0.5*(($A275-'Control Room'!$A$14-('Control Room'!$B$14-1)/2)/MAX(0.5,'Control Room'!$B$14/4))^2),1)*IF(AND($A275&gt;='Control Room'!$A$15,$A275&lt;'Control Room'!$A$15+'Control Room'!$B$15,'Process'!BL4=1),1+('Control Room'!$C$15-1)*EXP(-0.5*(($A275-'Control Room'!$A$15-('Control Room'!$B$15-1)/2)/MAX(0.5,'Control Room'!$B$15/4))^2),1)*IF(AND($A275&gt;='Control Room'!$A$16,$A275&lt;'Control Room'!$A$16+'Control Room'!$B$16,'Process'!BL5=1),1+('Control Room'!$C$16-1)*EXP(-0.5*(($A275-'Control Room'!$A$16-('Control Room'!$B$16-1)/2)/MAX(0.5,'Control Room'!$B$16/4))^2),1)</x:f>
        <x:v>1</x:v>
      </x:c>
      <x:c r="L275" s="9" t="n">
        <x:f>MOD(M274*16807,2147483647)</x:f>
        <x:v>36888345</x:v>
      </x:c>
      <x:c r="M275" s="9" t="n">
        <x:f>MOD(L275*16807,2147483647)</x:f>
        <x:v>1507124079</x:v>
      </x:c>
      <x:c r="N275" s="17" t="n">
        <x:f>IF('Control Room'!$B$5="Normal",'Control Room'!$B$7+'Control Room'!$D$7*SQRT(-2*LN(MAX(0.000000000001,L275/2147483647)))*COS(2*PI()*M275/2147483647),'Control Room'!$B$8+('Control Room'!$D$8-'Control Room'!$B$8)*L275/2147483647)</x:f>
        <x:v>923.4881191473233</x:v>
      </x:c>
      <x:c r="O275" s="17" t="n">
        <x:f>IF('Control Room'!$B$5="Normal",'Control Room'!$B$7,('Control Room'!$B$8+'Control Room'!$D$8)/2)+'Control Room'!$B$9*(O274-IF('Control Room'!$B$5="Normal",'Control Room'!$B$7,('Control Room'!$B$8+'Control Room'!$D$8)/2))+SQRT(1-'Control Room'!$B$9^2)*(N275-IF('Control Room'!$B$5="Normal",'Control Room'!$B$7,('Control Room'!$B$8+'Control Room'!$D$8)/2))</x:f>
        <x:v>1014.8516095350669</x:v>
      </x:c>
      <x:c r="P275" s="17" t="n">
        <x:f>IF(AND($A275&gt;='Control Room'!$A$13,$A275&lt;'Control Room'!$A$13+'Control Room'!$B$13,'Process'!BM2=1),1+('Control Room'!$C$13-1)*EXP(-0.5*(($A275-'Control Room'!$A$13-('Control Room'!$B$13-1)/2)/MAX(0.5,'Control Room'!$B$13/4))^2),1)*IF(AND($A275&gt;='Control Room'!$A$14,$A275&lt;'Control Room'!$A$14+'Control Room'!$B$14,'Process'!BM3=1),1+('Control Room'!$C$14-1)*EXP(-0.5*(($A275-'Control Room'!$A$14-('Control Room'!$B$14-1)/2)/MAX(0.5,'Control Room'!$B$14/4))^2),1)*IF(AND($A275&gt;='Control Room'!$A$15,$A275&lt;'Control Room'!$A$15+'Control Room'!$B$15,'Process'!BM4=1),1+('Control Room'!$C$15-1)*EXP(-0.5*(($A275-'Control Room'!$A$15-('Control Room'!$B$15-1)/2)/MAX(0.5,'Control Room'!$B$15/4))^2),1)*IF(AND($A275&gt;='Control Room'!$A$16,$A275&lt;'Control Room'!$A$16+'Control Room'!$B$16,'Process'!BM5=1),1+('Control Room'!$C$16-1)*EXP(-0.5*(($A275-'Control Room'!$A$16-('Control Room'!$B$16-1)/2)/MAX(0.5,'Control Room'!$B$16/4))^2),1)</x:f>
        <x:v>1</x:v>
      </x:c>
      <x:c r="Q275" s="9" t="n">
        <x:f>MOD(R274*16807,2147483647)</x:f>
        <x:v>71407426</x:v>
      </x:c>
      <x:c r="R275" s="9" t="n">
        <x:f>MOD(Q275*16807,2147483647)</x:f>
        <x:v>1848733756</x:v>
      </x:c>
      <x:c r="S275" s="17" t="n">
        <x:f>IF('Control Room'!$B$5="Normal",'Control Room'!$B$7+'Control Room'!$D$7*SQRT(-2*LN(MAX(0.000000000001,Q275/2147483647)))*COS(2*PI()*R275/2147483647),'Control Room'!$B$8+('Control Room'!$D$8-'Control Room'!$B$8)*Q275/2147483647)</x:f>
        <x:v>1150.6804751383702</x:v>
      </x:c>
      <x:c r="T275" s="17" t="n">
        <x:f>IF('Control Room'!$B$5="Normal",'Control Room'!$B$7,('Control Room'!$B$8+'Control Room'!$D$8)/2)+'Control Room'!$B$9*(T274-IF('Control Room'!$B$5="Normal",'Control Room'!$B$7,('Control Room'!$B$8+'Control Room'!$D$8)/2))+SQRT(1-'Control Room'!$B$9^2)*(S275-IF('Control Room'!$B$5="Normal",'Control Room'!$B$7,('Control Room'!$B$8+'Control Room'!$D$8)/2))</x:f>
        <x:v>1105.1396081242444</x:v>
      </x:c>
      <x:c r="U275" s="17" t="n">
        <x:f>IF(AND($A275&gt;='Control Room'!$A$13,$A275&lt;'Control Room'!$A$13+'Control Room'!$B$13,'Process'!BN2=1),1+('Control Room'!$C$13-1)*EXP(-0.5*(($A275-'Control Room'!$A$13-('Control Room'!$B$13-1)/2)/MAX(0.5,'Control Room'!$B$13/4))^2),1)*IF(AND($A275&gt;='Control Room'!$A$14,$A275&lt;'Control Room'!$A$14+'Control Room'!$B$14,'Process'!BN3=1),1+('Control Room'!$C$14-1)*EXP(-0.5*(($A275-'Control Room'!$A$14-('Control Room'!$B$14-1)/2)/MAX(0.5,'Control Room'!$B$14/4))^2),1)*IF(AND($A275&gt;='Control Room'!$A$15,$A275&lt;'Control Room'!$A$15+'Control Room'!$B$15,'Process'!BN4=1),1+('Control Room'!$C$15-1)*EXP(-0.5*(($A275-'Control Room'!$A$15-('Control Room'!$B$15-1)/2)/MAX(0.5,'Control Room'!$B$15/4))^2),1)*IF(AND($A275&gt;='Control Room'!$A$16,$A275&lt;'Control Room'!$A$16+'Control Room'!$B$16,'Process'!BN5=1),1+('Control Room'!$C$16-1)*EXP(-0.5*(($A275-'Control Room'!$A$16-('Control Room'!$B$16-1)/2)/MAX(0.5,'Control Room'!$B$16/4))^2),1)</x:f>
        <x:v>1</x:v>
      </x:c>
      <x:c r="V275" s="9" t="n">
        <x:f>MOD(W274*16807,2147483647)</x:f>
        <x:v>105926507</x:v>
      </x:c>
      <x:c r="W275" s="9" t="n">
        <x:f>MOD(V275*16807,2147483647)</x:f>
        <x:v>42859786</x:v>
      </x:c>
      <x:c r="X275" s="17" t="n">
        <x:f>IF('Control Room'!$B$5="Normal",'Control Room'!$B$7+'Control Room'!$D$7*SQRT(-2*LN(MAX(0.000000000001,V275/2147483647)))*COS(2*PI()*W275/2147483647),'Control Room'!$B$8+('Control Room'!$D$8-'Control Room'!$B$8)*V275/2147483647)</x:f>
        <x:v>1219.061985085335</x:v>
      </x:c>
      <x:c r="Y275" s="17" t="n">
        <x:f>IF('Control Room'!$B$5="Normal",'Control Room'!$B$7,('Control Room'!$B$8+'Control Room'!$D$8)/2)+'Control Room'!$B$9*(Y274-IF('Control Room'!$B$5="Normal",'Control Room'!$B$7,('Control Room'!$B$8+'Control Room'!$D$8)/2))+SQRT(1-'Control Room'!$B$9^2)*(X275-IF('Control Room'!$B$5="Normal",'Control Room'!$B$7,('Control Room'!$B$8+'Control Room'!$D$8)/2))</x:f>
        <x:v>1200.3700816157418</x:v>
      </x:c>
      <x:c r="Z275" s="17" t="n">
        <x:f>IF(AND($A275&gt;='Control Room'!$A$13,$A275&lt;'Control Room'!$A$13+'Control Room'!$B$13,'Process'!BO2=1),1+('Control Room'!$C$13-1)*EXP(-0.5*(($A275-'Control Room'!$A$13-('Control Room'!$B$13-1)/2)/MAX(0.5,'Control Room'!$B$13/4))^2),1)*IF(AND($A275&gt;='Control Room'!$A$14,$A275&lt;'Control Room'!$A$14+'Control Room'!$B$14,'Process'!BO3=1),1+('Control Room'!$C$14-1)*EXP(-0.5*(($A275-'Control Room'!$A$14-('Control Room'!$B$14-1)/2)/MAX(0.5,'Control Room'!$B$14/4))^2),1)*IF(AND($A275&gt;='Control Room'!$A$15,$A275&lt;'Control Room'!$A$15+'Control Room'!$B$15,'Process'!BO4=1),1+('Control Room'!$C$15-1)*EXP(-0.5*(($A275-'Control Room'!$A$15-('Control Room'!$B$15-1)/2)/MAX(0.5,'Control Room'!$B$15/4))^2),1)*IF(AND($A275&gt;='Control Room'!$A$16,$A275&lt;'Control Room'!$A$16+'Control Room'!$B$16,'Process'!BO5=1),1+('Control Room'!$C$16-1)*EXP(-0.5*(($A275-'Control Room'!$A$16-('Control Room'!$B$16-1)/2)/MAX(0.5,'Control Room'!$B$16/4))^2),1)</x:f>
        <x:v>1</x:v>
      </x:c>
      <x:c r="AA275" s="9" t="n">
        <x:f>MOD(AB274*16807,2147483647)</x:f>
        <x:v>140445588</x:v>
      </x:c>
      <x:c r="AB275" s="9" t="n">
        <x:f>MOD(AA275*16807,2147483647)</x:f>
        <x:v>384469463</x:v>
      </x:c>
      <x:c r="AC275" s="17" t="n">
        <x:f>IF('Control Room'!$B$5="Normal",'Control Room'!$B$7+'Control Room'!$D$7*SQRT(-2*LN(MAX(0.000000000001,AA275/2147483647)))*COS(2*PI()*AB275/2147483647),'Control Room'!$B$8+('Control Room'!$D$8-'Control Room'!$B$8)*AA275/2147483647)</x:f>
        <x:v>1090.650324444476</x:v>
      </x:c>
      <x:c r="AD275" s="17" t="n">
        <x:f>IF('Control Room'!$B$5="Normal",'Control Room'!$B$7,('Control Room'!$B$8+'Control Room'!$D$8)/2)+'Control Room'!$B$9*(AD274-IF('Control Room'!$B$5="Normal",'Control Room'!$B$7,('Control Room'!$B$8+'Control Room'!$D$8)/2))+SQRT(1-'Control Room'!$B$9^2)*(AC275-IF('Control Room'!$B$5="Normal",'Control Room'!$B$7,('Control Room'!$B$8+'Control Room'!$D$8)/2))</x:f>
        <x:v>1100.3807529372023</x:v>
      </x:c>
      <x:c r="AE275" s="17" t="n">
        <x:f>IF(AND($A275&gt;='Control Room'!$A$13,$A275&lt;'Control Room'!$A$13+'Control Room'!$B$13,'Process'!BP2=1),1+('Control Room'!$C$13-1)*EXP(-0.5*(($A275-'Control Room'!$A$13-('Control Room'!$B$13-1)/2)/MAX(0.5,'Control Room'!$B$13/4))^2),1)*IF(AND($A275&gt;='Control Room'!$A$14,$A275&lt;'Control Room'!$A$14+'Control Room'!$B$14,'Process'!BP3=1),1+('Control Room'!$C$14-1)*EXP(-0.5*(($A275-'Control Room'!$A$14-('Control Room'!$B$14-1)/2)/MAX(0.5,'Control Room'!$B$14/4))^2),1)*IF(AND($A275&gt;='Control Room'!$A$15,$A275&lt;'Control Room'!$A$15+'Control Room'!$B$15,'Process'!BP4=1),1+('Control Room'!$C$15-1)*EXP(-0.5*(($A275-'Control Room'!$A$15-('Control Room'!$B$15-1)/2)/MAX(0.5,'Control Room'!$B$15/4))^2),1)*IF(AND($A275&gt;='Control Room'!$A$16,$A275&lt;'Control Room'!$A$16+'Control Room'!$B$16,'Process'!BP5=1),1+('Control Room'!$C$16-1)*EXP(-0.5*(($A275-'Control Room'!$A$16-('Control Room'!$B$16-1)/2)/MAX(0.5,'Control Room'!$B$16/4))^2),1)</x:f>
        <x:v>1</x:v>
      </x:c>
      <x:c r="AF275" s="9" t="n">
        <x:f>MOD(AG274*16807,2147483647)</x:f>
        <x:v>174964669</x:v>
      </x:c>
      <x:c r="AG275" s="9" t="n">
        <x:f>MOD(AF275*16807,2147483647)</x:f>
        <x:v>726079140</x:v>
      </x:c>
      <x:c r="AH275" s="17" t="n">
        <x:f>IF('Control Room'!$B$5="Normal",'Control Room'!$B$7+'Control Room'!$D$7*SQRT(-2*LN(MAX(0.000000000001,AF275/2147483647)))*COS(2*PI()*AG275/2147483647),'Control Room'!$B$8+('Control Room'!$D$8-'Control Room'!$B$8)*AF275/2147483647)</x:f>
        <x:v>894.0376762382064</x:v>
      </x:c>
      <x:c r="AI275" s="17" t="n">
        <x:f>IF('Control Room'!$B$5="Normal",'Control Room'!$B$7,('Control Room'!$B$8+'Control Room'!$D$8)/2)+'Control Room'!$B$9*(AI274-IF('Control Room'!$B$5="Normal",'Control Room'!$B$7,('Control Room'!$B$8+'Control Room'!$D$8)/2))+SQRT(1-'Control Room'!$B$9^2)*(AH275-IF('Control Room'!$B$5="Normal",'Control Room'!$B$7,('Control Room'!$B$8+'Control Room'!$D$8)/2))</x:f>
        <x:v>913.5236067586322</x:v>
      </x:c>
      <x:c r="AJ275" s="17" t="n">
        <x:f>IF(AND($A275&gt;='Control Room'!$A$13,$A275&lt;'Control Room'!$A$13+'Control Room'!$B$13,'Process'!BQ2=1),1+('Control Room'!$C$13-1)*EXP(-0.5*(($A275-'Control Room'!$A$13-('Control Room'!$B$13-1)/2)/MAX(0.5,'Control Room'!$B$13/4))^2),1)*IF(AND($A275&gt;='Control Room'!$A$14,$A275&lt;'Control Room'!$A$14+'Control Room'!$B$14,'Process'!BQ3=1),1+('Control Room'!$C$14-1)*EXP(-0.5*(($A275-'Control Room'!$A$14-('Control Room'!$B$14-1)/2)/MAX(0.5,'Control Room'!$B$14/4))^2),1)*IF(AND($A275&gt;='Control Room'!$A$15,$A275&lt;'Control Room'!$A$15+'Control Room'!$B$15,'Process'!BQ4=1),1+('Control Room'!$C$15-1)*EXP(-0.5*(($A275-'Control Room'!$A$15-('Control Room'!$B$15-1)/2)/MAX(0.5,'Control Room'!$B$15/4))^2),1)*IF(AND($A275&gt;='Control Room'!$A$16,$A275&lt;'Control Room'!$A$16+'Control Room'!$B$16,'Process'!BQ5=1),1+('Control Room'!$C$16-1)*EXP(-0.5*(($A275-'Control Room'!$A$16-('Control Room'!$B$16-1)/2)/MAX(0.5,'Control Room'!$B$16/4))^2),1)</x:f>
        <x:v>1</x:v>
      </x:c>
      <x:c r="AK275" s="9" t="n">
        <x:f>MOD(AL274*16807,2147483647)</x:f>
        <x:v>209483750</x:v>
      </x:c>
      <x:c r="AL275" s="9" t="n">
        <x:f>MOD(AK275*16807,2147483647)</x:f>
        <x:v>1067688817</x:v>
      </x:c>
      <x:c r="AM275" s="17" t="n">
        <x:f>IF('Control Room'!$B$5="Normal",'Control Room'!$B$7+'Control Room'!$D$7*SQRT(-2*LN(MAX(0.000000000001,AK275/2147483647)))*COS(2*PI()*AL275/2147483647),'Control Room'!$B$8+('Control Room'!$D$8-'Control Room'!$B$8)*AK275/2147483647)</x:f>
        <x:v>805.8553360729835</x:v>
      </x:c>
      <x:c r="AN275" s="17" t="n">
        <x:f>IF('Control Room'!$B$5="Normal",'Control Room'!$B$7,('Control Room'!$B$8+'Control Room'!$D$8)/2)+'Control Room'!$B$9*(AN274-IF('Control Room'!$B$5="Normal",'Control Room'!$B$7,('Control Room'!$B$8+'Control Room'!$D$8)/2))+SQRT(1-'Control Room'!$B$9^2)*(AM275-IF('Control Room'!$B$5="Normal",'Control Room'!$B$7,('Control Room'!$B$8+'Control Room'!$D$8)/2))</x:f>
        <x:v>776.7488210628849</x:v>
      </x:c>
      <x:c r="AO275" s="17" t="n">
        <x:f>IF(AND($A275&gt;='Control Room'!$A$13,$A275&lt;'Control Room'!$A$13+'Control Room'!$B$13,'Process'!BR2=1),1+('Control Room'!$C$13-1)*EXP(-0.5*(($A275-'Control Room'!$A$13-('Control Room'!$B$13-1)/2)/MAX(0.5,'Control Room'!$B$13/4))^2),1)*IF(AND($A275&gt;='Control Room'!$A$14,$A275&lt;'Control Room'!$A$14+'Control Room'!$B$14,'Process'!BR3=1),1+('Control Room'!$C$14-1)*EXP(-0.5*(($A275-'Control Room'!$A$14-('Control Room'!$B$14-1)/2)/MAX(0.5,'Control Room'!$B$14/4))^2),1)*IF(AND($A275&gt;='Control Room'!$A$15,$A275&lt;'Control Room'!$A$15+'Control Room'!$B$15,'Process'!BR4=1),1+('Control Room'!$C$15-1)*EXP(-0.5*(($A275-'Control Room'!$A$15-('Control Room'!$B$15-1)/2)/MAX(0.5,'Control Room'!$B$15/4))^2),1)*IF(AND($A275&gt;='Control Room'!$A$16,$A275&lt;'Control Room'!$A$16+'Control Room'!$B$16,'Process'!BR5=1),1+('Control Room'!$C$16-1)*EXP(-0.5*(($A275-'Control Room'!$A$16-('Control Room'!$B$16-1)/2)/MAX(0.5,'Control Room'!$B$16/4))^2),1)</x:f>
        <x:v>1</x:v>
      </x:c>
      <x:c r="AP275" s="9" t="n">
        <x:f>MOD(AQ274*16807,2147483647)</x:f>
        <x:v>244002831</x:v>
      </x:c>
      <x:c r="AQ275" s="9" t="n">
        <x:f>MOD(AP275*16807,2147483647)</x:f>
        <x:v>1409298494</x:v>
      </x:c>
      <x:c r="AR275" s="17" t="n">
        <x:f>IF('Control Room'!$B$5="Normal",'Control Room'!$B$7+'Control Room'!$D$7*SQRT(-2*LN(MAX(0.000000000001,AP275/2147483647)))*COS(2*PI()*AQ275/2147483647),'Control Room'!$B$8+('Control Room'!$D$8-'Control Room'!$B$8)*AP275/2147483647)</x:f>
        <x:v>895.7226802791325</x:v>
      </x:c>
      <x:c r="AS275" s="17" t="n">
        <x:f>IF('Control Room'!$B$5="Normal",'Control Room'!$B$7,('Control Room'!$B$8+'Control Room'!$D$8)/2)+'Control Room'!$B$9*(AS274-IF('Control Room'!$B$5="Normal",'Control Room'!$B$7,('Control Room'!$B$8+'Control Room'!$D$8)/2))+SQRT(1-'Control Room'!$B$9^2)*(AR275-IF('Control Room'!$B$5="Normal",'Control Room'!$B$7,('Control Room'!$B$8+'Control Room'!$D$8)/2))</x:f>
        <x:v>914.8647298185717</x:v>
      </x:c>
      <x:c r="AT275" s="17" t="n">
        <x:f>IF(AND($A275&gt;='Control Room'!$A$13,$A275&lt;'Control Room'!$A$13+'Control Room'!$B$13,'Process'!BS2=1),1+('Control Room'!$C$13-1)*EXP(-0.5*(($A275-'Control Room'!$A$13-('Control Room'!$B$13-1)/2)/MAX(0.5,'Control Room'!$B$13/4))^2),1)*IF(AND($A275&gt;='Control Room'!$A$14,$A275&lt;'Control Room'!$A$14+'Control Room'!$B$14,'Process'!BS3=1),1+('Control Room'!$C$14-1)*EXP(-0.5*(($A275-'Control Room'!$A$14-('Control Room'!$B$14-1)/2)/MAX(0.5,'Control Room'!$B$14/4))^2),1)*IF(AND($A275&gt;='Control Room'!$A$15,$A275&lt;'Control Room'!$A$15+'Control Room'!$B$15,'Process'!BS4=1),1+('Control Room'!$C$15-1)*EXP(-0.5*(($A275-'Control Room'!$A$15-('Control Room'!$B$15-1)/2)/MAX(0.5,'Control Room'!$B$15/4))^2),1)*IF(AND($A275&gt;='Control Room'!$A$16,$A275&lt;'Control Room'!$A$16+'Control Room'!$B$16,'Process'!BS5=1),1+('Control Room'!$C$16-1)*EXP(-0.5*(($A275-'Control Room'!$A$16-('Control Room'!$B$16-1)/2)/MAX(0.5,'Control Room'!$B$16/4))^2),1)</x:f>
        <x:v>1</x:v>
      </x:c>
      <x:c r="AU275" s="9" t="n">
        <x:f>MOD(AV274*16807,2147483647)</x:f>
        <x:v>278521912</x:v>
      </x:c>
      <x:c r="AV275" s="9" t="n">
        <x:f>MOD(AU275*16807,2147483647)</x:f>
        <x:v>1750908171</x:v>
      </x:c>
      <x:c r="AW275" s="17" t="n">
        <x:f>IF('Control Room'!$B$5="Normal",'Control Room'!$B$7+'Control Room'!$D$7*SQRT(-2*LN(MAX(0.000000000001,AU275/2147483647)))*COS(2*PI()*AV275/2147483647),'Control Room'!$B$8+('Control Room'!$D$8-'Control Room'!$B$8)*AU275/2147483647)</x:f>
        <x:v>1072.5893063491944</x:v>
      </x:c>
      <x:c r="AX275" s="17" t="n">
        <x:f>IF('Control Room'!$B$5="Normal",'Control Room'!$B$7,('Control Room'!$B$8+'Control Room'!$D$8)/2)+'Control Room'!$B$9*(AX274-IF('Control Room'!$B$5="Normal",'Control Room'!$B$7,('Control Room'!$B$8+'Control Room'!$D$8)/2))+SQRT(1-'Control Room'!$B$9^2)*(AW275-IF('Control Room'!$B$5="Normal",'Control Room'!$B$7,('Control Room'!$B$8+'Control Room'!$D$8)/2))</x:f>
        <x:v>1152.1370409526883</x:v>
      </x:c>
      <x:c r="AY275" s="17" t="n">
        <x:f>IF(AND($A275&gt;='Control Room'!$A$13,$A275&lt;'Control Room'!$A$13+'Control Room'!$B$13,'Process'!BT2=1),1+('Control Room'!$C$13-1)*EXP(-0.5*(($A275-'Control Room'!$A$13-('Control Room'!$B$13-1)/2)/MAX(0.5,'Control Room'!$B$13/4))^2),1)*IF(AND($A275&gt;='Control Room'!$A$14,$A275&lt;'Control Room'!$A$14+'Control Room'!$B$14,'Process'!BT3=1),1+('Control Room'!$C$14-1)*EXP(-0.5*(($A275-'Control Room'!$A$14-('Control Room'!$B$14-1)/2)/MAX(0.5,'Control Room'!$B$14/4))^2),1)*IF(AND($A275&gt;='Control Room'!$A$15,$A275&lt;'Control Room'!$A$15+'Control Room'!$B$15,'Process'!BT4=1),1+('Control Room'!$C$15-1)*EXP(-0.5*(($A275-'Control Room'!$A$15-('Control Room'!$B$15-1)/2)/MAX(0.5,'Control Room'!$B$15/4))^2),1)*IF(AND($A275&gt;='Control Room'!$A$16,$A275&lt;'Control Room'!$A$16+'Control Room'!$B$16,'Process'!BT5=1),1+('Control Room'!$C$16-1)*EXP(-0.5*(($A275-'Control Room'!$A$16-('Control Room'!$B$16-1)/2)/MAX(0.5,'Control Room'!$B$16/4))^2),1)</x:f>
        <x:v>1</x:v>
      </x:c>
      <x:c r="AZ275" s="9" t="n">
        <x:f>MOD(BA274*16807,2147483647)</x:f>
        <x:v>313040993</x:v>
      </x:c>
      <x:c r="BA275" s="9" t="n">
        <x:f>MOD(AZ275*16807,2147483647)</x:f>
        <x:v>2092517848</x:v>
      </x:c>
      <x:c r="BB275" s="17" t="n">
        <x:f>IF('Control Room'!$B$5="Normal",'Control Room'!$B$7+'Control Room'!$D$7*SQRT(-2*LN(MAX(0.000000000001,AZ275/2147483647)))*COS(2*PI()*BA275/2147483647),'Control Room'!$B$8+('Control Room'!$D$8-'Control Room'!$B$8)*AZ275/2147483647)</x:f>
        <x:v>1174.3465281005685</x:v>
      </x:c>
      <x:c r="BC275" s="17" t="n">
        <x:f>IF('Control Room'!$B$5="Normal",'Control Room'!$B$7,('Control Room'!$B$8+'Control Room'!$D$8)/2)+'Control Room'!$B$9*(BC274-IF('Control Room'!$B$5="Normal",'Control Room'!$B$7,('Control Room'!$B$8+'Control Room'!$D$8)/2))+SQRT(1-'Control Room'!$B$9^2)*(BB275-IF('Control Room'!$B$5="Normal",'Control Room'!$B$7,('Control Room'!$B$8+'Control Room'!$D$8)/2))</x:f>
        <x:v>1084.757759798126</x:v>
      </x:c>
      <x:c r="BD275" s="17" t="n">
        <x:f>IF(AND($A275&gt;='Control Room'!$A$13,$A275&lt;'Control Room'!$A$13+'Control Room'!$B$13,'Process'!BU2=1),1+('Control Room'!$C$13-1)*EXP(-0.5*(($A275-'Control Room'!$A$13-('Control Room'!$B$13-1)/2)/MAX(0.5,'Control Room'!$B$13/4))^2),1)*IF(AND($A275&gt;='Control Room'!$A$14,$A275&lt;'Control Room'!$A$14+'Control Room'!$B$14,'Process'!BU3=1),1+('Control Room'!$C$14-1)*EXP(-0.5*(($A275-'Control Room'!$A$14-('Control Room'!$B$14-1)/2)/MAX(0.5,'Control Room'!$B$14/4))^2),1)*IF(AND($A275&gt;='Control Room'!$A$15,$A275&lt;'Control Room'!$A$15+'Control Room'!$B$15,'Process'!BU4=1),1+('Control Room'!$C$15-1)*EXP(-0.5*(($A275-'Control Room'!$A$15-('Control Room'!$B$15-1)/2)/MAX(0.5,'Control Room'!$B$15/4))^2),1)*IF(AND($A275&gt;='Control Room'!$A$16,$A275&lt;'Control Room'!$A$16+'Control Room'!$B$16,'Process'!BU5=1),1+('Control Room'!$C$16-1)*EXP(-0.5*(($A275-'Control Room'!$A$16-('Control Room'!$B$16-1)/2)/MAX(0.5,'Control Room'!$B$16/4))^2),1)</x:f>
        <x:v>1</x:v>
      </x:c>
      <x:c r="BE275" s="9" t="n">
        <x:f>MOD(BF274*16807,2147483647)</x:f>
        <x:v>347560074</x:v>
      </x:c>
      <x:c r="BF275" s="9" t="n">
        <x:f>MOD(BE275*16807,2147483647)</x:f>
        <x:v>286643878</x:v>
      </x:c>
      <x:c r="BG275" s="17" t="n">
        <x:f>IF('Control Room'!$B$5="Normal",'Control Room'!$B$7+'Control Room'!$D$7*SQRT(-2*LN(MAX(0.000000000001,BE275/2147483647)))*COS(2*PI()*BF275/2147483647),'Control Room'!$B$8+('Control Room'!$D$8-'Control Room'!$B$8)*BE275/2147483647)</x:f>
        <x:v>1114.814119054706</x:v>
      </x:c>
      <x:c r="BH275" s="17" t="n">
        <x:f>IF('Control Room'!$B$5="Normal",'Control Room'!$B$7,('Control Room'!$B$8+'Control Room'!$D$8)/2)+'Control Room'!$B$9*(BH274-IF('Control Room'!$B$5="Normal",'Control Room'!$B$7,('Control Room'!$B$8+'Control Room'!$D$8)/2))+SQRT(1-'Control Room'!$B$9^2)*(BG275-IF('Control Room'!$B$5="Normal",'Control Room'!$B$7,('Control Room'!$B$8+'Control Room'!$D$8)/2))</x:f>
        <x:v>1098.1182006149959</x:v>
      </x:c>
      <x:c r="BI275" s="17" t="n">
        <x:f>IF(AND($A275&gt;='Control Room'!$A$13,$A275&lt;'Control Room'!$A$13+'Control Room'!$B$13,'Process'!BV2=1),1+('Control Room'!$C$13-1)*EXP(-0.5*(($A275-'Control Room'!$A$13-('Control Room'!$B$13-1)/2)/MAX(0.5,'Control Room'!$B$13/4))^2),1)*IF(AND($A275&gt;='Control Room'!$A$14,$A275&lt;'Control Room'!$A$14+'Control Room'!$B$14,'Process'!BV3=1),1+('Control Room'!$C$14-1)*EXP(-0.5*(($A275-'Control Room'!$A$14-('Control Room'!$B$14-1)/2)/MAX(0.5,'Control Room'!$B$14/4))^2),1)*IF(AND($A275&gt;='Control Room'!$A$15,$A275&lt;'Control Room'!$A$15+'Control Room'!$B$15,'Process'!BV4=1),1+('Control Room'!$C$15-1)*EXP(-0.5*(($A275-'Control Room'!$A$15-('Control Room'!$B$15-1)/2)/MAX(0.5,'Control Room'!$B$15/4))^2),1)*IF(AND($A275&gt;='Control Room'!$A$16,$A275&lt;'Control Room'!$A$16+'Control Room'!$B$16,'Process'!BV5=1),1+('Control Room'!$C$16-1)*EXP(-0.5*(($A275-'Control Room'!$A$16-('Control Room'!$B$16-1)/2)/MAX(0.5,'Control Room'!$B$16/4))^2),1)</x:f>
        <x:v>1</x:v>
      </x:c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Z275" t="str">
        <x:f>IF('Data'!A275="","",TEXT('Data'!A275,"mm-dd"))</x:f>
      </x:c>
    </x:row>
    <x:row r="276" ht="21" customHeight="1">
      <x:c r="A276" s="15" t="n">
        <x:f>'Control Room'!$B$1+274</x:f>
        <x:v>73265</x:v>
      </x:c>
      <x:c r="B276" s="9" t="n">
        <x:f>MOD(C275*16807,2147483647)</x:f>
        <x:v>392157219</x:v>
      </x:c>
      <x:c r="C276" s="9" t="n">
        <x:f>MOD(B276*16807,2147483647)</x:f>
        <x:v>359067090</x:v>
      </x:c>
      <x:c r="D276" s="17" t="n">
        <x:f>IF('Control Room'!$B$5="Normal",'Control Room'!$B$7+'Control Room'!$D$7*SQRT(-2*LN(MAX(0.000000000001,B276/2147483647)))*COS(2*PI()*C276/2147483647),'Control Room'!$B$8+('Control Room'!$D$8-'Control Room'!$B$8)*B276/2147483647)</x:f>
        <x:v>1082.4999759306997</x:v>
      </x:c>
      <x:c r="E276" s="17" t="n">
        <x:f>IF('Control Room'!$B$5="Normal",'Control Room'!$B$7,('Control Room'!$B$8+'Control Room'!$D$8)/2)+'Control Room'!$B$9*(E275-IF('Control Room'!$B$5="Normal",'Control Room'!$B$7,('Control Room'!$B$8+'Control Room'!$D$8)/2))+SQRT(1-'Control Room'!$B$9^2)*(D276-IF('Control Room'!$B$5="Normal",'Control Room'!$B$7,('Control Room'!$B$8+'Control Room'!$D$8)/2))</x:f>
        <x:v>1078.437139884849</x:v>
      </x:c>
      <x:c r="F276" s="17" t="n">
        <x:f>IF(AND($A276&gt;='Control Room'!$A$13,$A276&lt;'Control Room'!$A$13+'Control Room'!$B$13,'Process'!BK2=1),1+('Control Room'!$C$13-1)*EXP(-0.5*(($A276-'Control Room'!$A$13-('Control Room'!$B$13-1)/2)/MAX(0.5,'Control Room'!$B$13/4))^2),1)*IF(AND($A276&gt;='Control Room'!$A$14,$A276&lt;'Control Room'!$A$14+'Control Room'!$B$14,'Process'!BK3=1),1+('Control Room'!$C$14-1)*EXP(-0.5*(($A276-'Control Room'!$A$14-('Control Room'!$B$14-1)/2)/MAX(0.5,'Control Room'!$B$14/4))^2),1)*IF(AND($A276&gt;='Control Room'!$A$15,$A276&lt;'Control Room'!$A$15+'Control Room'!$B$15,'Process'!BK4=1),1+('Control Room'!$C$15-1)*EXP(-0.5*(($A276-'Control Room'!$A$15-('Control Room'!$B$15-1)/2)/MAX(0.5,'Control Room'!$B$15/4))^2),1)*IF(AND($A276&gt;='Control Room'!$A$16,$A276&lt;'Control Room'!$A$16+'Control Room'!$B$16,'Process'!BK5=1),1+('Control Room'!$C$16-1)*EXP(-0.5*(($A276-'Control Room'!$A$16-('Control Room'!$B$16-1)/2)/MAX(0.5,'Control Room'!$B$16/4))^2),1)</x:f>
        <x:v>1</x:v>
      </x:c>
      <x:c r="G276" s="9" t="n">
        <x:f>MOD(H275*16807,2147483647)</x:f>
        <x:v>1602210127</x:v>
      </x:c>
      <x:c r="H276" s="9" t="n">
        <x:f>MOD(G276*16807,2147483647)</x:f>
        <x:v>1048154756</x:v>
      </x:c>
      <x:c r="I276" s="17" t="n">
        <x:f>IF('Control Room'!$B$5="Normal",'Control Room'!$B$7+'Control Room'!$D$7*SQRT(-2*LN(MAX(0.000000000001,G276/2147483647)))*COS(2*PI()*H276/2147483647),'Control Room'!$B$8+('Control Room'!$D$8-'Control Room'!$B$8)*G276/2147483647)</x:f>
        <x:v>931.3076305843218</x:v>
      </x:c>
      <x:c r="J276" s="17" t="n">
        <x:f>IF('Control Room'!$B$5="Normal",'Control Room'!$B$7,('Control Room'!$B$8+'Control Room'!$D$8)/2)+'Control Room'!$B$9*(J275-IF('Control Room'!$B$5="Normal",'Control Room'!$B$7,('Control Room'!$B$8+'Control Room'!$D$8)/2))+SQRT(1-'Control Room'!$B$9^2)*(I276-IF('Control Room'!$B$5="Normal",'Control Room'!$B$7,('Control Room'!$B$8+'Control Room'!$D$8)/2))</x:f>
        <x:v>843.1418279515891</x:v>
      </x:c>
      <x:c r="K276" s="17" t="n">
        <x:f>IF(AND($A276&gt;='Control Room'!$A$13,$A276&lt;'Control Room'!$A$13+'Control Room'!$B$13,'Process'!BL2=1),1+('Control Room'!$C$13-1)*EXP(-0.5*(($A276-'Control Room'!$A$13-('Control Room'!$B$13-1)/2)/MAX(0.5,'Control Room'!$B$13/4))^2),1)*IF(AND($A276&gt;='Control Room'!$A$14,$A276&lt;'Control Room'!$A$14+'Control Room'!$B$14,'Process'!BL3=1),1+('Control Room'!$C$14-1)*EXP(-0.5*(($A276-'Control Room'!$A$14-('Control Room'!$B$14-1)/2)/MAX(0.5,'Control Room'!$B$14/4))^2),1)*IF(AND($A276&gt;='Control Room'!$A$15,$A276&lt;'Control Room'!$A$15+'Control Room'!$B$15,'Process'!BL4=1),1+('Control Room'!$C$15-1)*EXP(-0.5*(($A276-'Control Room'!$A$15-('Control Room'!$B$15-1)/2)/MAX(0.5,'Control Room'!$B$15/4))^2),1)*IF(AND($A276&gt;='Control Room'!$A$16,$A276&lt;'Control Room'!$A$16+'Control Room'!$B$16,'Process'!BL5=1),1+('Control Room'!$C$16-1)*EXP(-0.5*(($A276-'Control Room'!$A$16-('Control Room'!$B$16-1)/2)/MAX(0.5,'Control Room'!$B$16/4))^2),1)</x:f>
        <x:v>1</x:v>
      </x:c>
      <x:c r="L276" s="9" t="n">
        <x:f>MOD(M275*16807,2147483647)</x:f>
        <x:v>664779388</x:v>
      </x:c>
      <x:c r="M276" s="9" t="n">
        <x:f>MOD(L276*16807,2147483647)</x:f>
        <x:v>1737242422</x:v>
      </x:c>
      <x:c r="N276" s="17" t="n">
        <x:f>IF('Control Room'!$B$5="Normal",'Control Room'!$B$7+'Control Room'!$D$7*SQRT(-2*LN(MAX(0.000000000001,L276/2147483647)))*COS(2*PI()*M276/2147483647),'Control Room'!$B$8+('Control Room'!$D$8-'Control Room'!$B$8)*L276/2147483647)</x:f>
        <x:v>1049.9040396869605</x:v>
      </x:c>
      <x:c r="O276" s="17" t="n">
        <x:f>IF('Control Room'!$B$5="Normal",'Control Room'!$B$7,('Control Room'!$B$8+'Control Room'!$D$8)/2)+'Control Room'!$B$9*(O275-IF('Control Room'!$B$5="Normal",'Control Room'!$B$7,('Control Room'!$B$8+'Control Room'!$D$8)/2))+SQRT(1-'Control Room'!$B$9^2)*(N276-IF('Control Room'!$B$5="Normal",'Control Room'!$B$7,('Control Room'!$B$8+'Control Room'!$D$8)/2))</x:f>
        <x:v>1042.81318113363</x:v>
      </x:c>
      <x:c r="P276" s="17" t="n">
        <x:f>IF(AND($A276&gt;='Control Room'!$A$13,$A276&lt;'Control Room'!$A$13+'Control Room'!$B$13,'Process'!BM2=1),1+('Control Room'!$C$13-1)*EXP(-0.5*(($A276-'Control Room'!$A$13-('Control Room'!$B$13-1)/2)/MAX(0.5,'Control Room'!$B$13/4))^2),1)*IF(AND($A276&gt;='Control Room'!$A$14,$A276&lt;'Control Room'!$A$14+'Control Room'!$B$14,'Process'!BM3=1),1+('Control Room'!$C$14-1)*EXP(-0.5*(($A276-'Control Room'!$A$14-('Control Room'!$B$14-1)/2)/MAX(0.5,'Control Room'!$B$14/4))^2),1)*IF(AND($A276&gt;='Control Room'!$A$15,$A276&lt;'Control Room'!$A$15+'Control Room'!$B$15,'Process'!BM4=1),1+('Control Room'!$C$15-1)*EXP(-0.5*(($A276-'Control Room'!$A$15-('Control Room'!$B$15-1)/2)/MAX(0.5,'Control Room'!$B$15/4))^2),1)*IF(AND($A276&gt;='Control Room'!$A$16,$A276&lt;'Control Room'!$A$16+'Control Room'!$B$16,'Process'!BM5=1),1+('Control Room'!$C$16-1)*EXP(-0.5*(($A276-'Control Room'!$A$16-('Control Room'!$B$16-1)/2)/MAX(0.5,'Control Room'!$B$16/4))^2),1)</x:f>
        <x:v>1</x:v>
      </x:c>
      <x:c r="Q276" s="9" t="n">
        <x:f>MOD(R275*16807,2147483647)</x:f>
        <x:v>1874832296</x:v>
      </x:c>
      <x:c r="R276" s="9" t="n">
        <x:f>MOD(Q276*16807,2147483647)</x:f>
        <x:v>278846441</x:v>
      </x:c>
      <x:c r="S276" s="17" t="n">
        <x:f>IF('Control Room'!$B$5="Normal",'Control Room'!$B$7+'Control Room'!$D$7*SQRT(-2*LN(MAX(0.000000000001,Q276/2147483647)))*COS(2*PI()*R276/2147483647),'Control Room'!$B$8+('Control Room'!$D$8-'Control Room'!$B$8)*Q276/2147483647)</x:f>
        <x:v>1032.137797424153</x:v>
      </x:c>
      <x:c r="T276" s="17" t="n">
        <x:f>IF('Control Room'!$B$5="Normal",'Control Room'!$B$7,('Control Room'!$B$8+'Control Room'!$D$8)/2)+'Control Room'!$B$9*(T275-IF('Control Room'!$B$5="Normal",'Control Room'!$B$7,('Control Room'!$B$8+'Control Room'!$D$8)/2))+SQRT(1-'Control Room'!$B$9^2)*(S276-IF('Control Room'!$B$5="Normal",'Control Room'!$B$7,('Control Room'!$B$8+'Control Room'!$D$8)/2))</x:f>
        <x:v>1102.1200695863793</x:v>
      </x:c>
      <x:c r="U276" s="17" t="n">
        <x:f>IF(AND($A276&gt;='Control Room'!$A$13,$A276&lt;'Control Room'!$A$13+'Control Room'!$B$13,'Process'!BN2=1),1+('Control Room'!$C$13-1)*EXP(-0.5*(($A276-'Control Room'!$A$13-('Control Room'!$B$13-1)/2)/MAX(0.5,'Control Room'!$B$13/4))^2),1)*IF(AND($A276&gt;='Control Room'!$A$14,$A276&lt;'Control Room'!$A$14+'Control Room'!$B$14,'Process'!BN3=1),1+('Control Room'!$C$14-1)*EXP(-0.5*(($A276-'Control Room'!$A$14-('Control Room'!$B$14-1)/2)/MAX(0.5,'Control Room'!$B$14/4))^2),1)*IF(AND($A276&gt;='Control Room'!$A$15,$A276&lt;'Control Room'!$A$15+'Control Room'!$B$15,'Process'!BN4=1),1+('Control Room'!$C$15-1)*EXP(-0.5*(($A276-'Control Room'!$A$15-('Control Room'!$B$15-1)/2)/MAX(0.5,'Control Room'!$B$15/4))^2),1)*IF(AND($A276&gt;='Control Room'!$A$16,$A276&lt;'Control Room'!$A$16+'Control Room'!$B$16,'Process'!BN5=1),1+('Control Room'!$C$16-1)*EXP(-0.5*(($A276-'Control Room'!$A$16-('Control Room'!$B$16-1)/2)/MAX(0.5,'Control Room'!$B$16/4))^2),1)</x:f>
        <x:v>1</x:v>
      </x:c>
      <x:c r="V276" s="9" t="n">
        <x:f>MOD(W275*16807,2147483647)</x:f>
        <x:v>937401557</x:v>
      </x:c>
      <x:c r="W276" s="9" t="n">
        <x:f>MOD(V276*16807,2147483647)</x:f>
        <x:v>967934107</x:v>
      </x:c>
      <x:c r="X276" s="17" t="n">
        <x:f>IF('Control Room'!$B$5="Normal",'Control Room'!$B$7+'Control Room'!$D$7*SQRT(-2*LN(MAX(0.000000000001,V276/2147483647)))*COS(2*PI()*W276/2147483647),'Control Room'!$B$8+('Control Room'!$D$8-'Control Room'!$B$8)*V276/2147483647)</x:f>
        <x:v>889.6259033402505</x:v>
      </x:c>
      <x:c r="Y276" s="17" t="n">
        <x:f>IF('Control Room'!$B$5="Normal",'Control Room'!$B$7,('Control Room'!$B$8+'Control Room'!$D$8)/2)+'Control Room'!$B$9*(Y275-IF('Control Room'!$B$5="Normal",'Control Room'!$B$7,('Control Room'!$B$8+'Control Room'!$D$8)/2))+SQRT(1-'Control Room'!$B$9^2)*(X276-IF('Control Room'!$B$5="Normal",'Control Room'!$B$7,('Control Room'!$B$8+'Control Room'!$D$8)/2))</x:f>
        <x:v>1087.2188151068813</x:v>
      </x:c>
      <x:c r="Z276" s="17" t="n">
        <x:f>IF(AND($A276&gt;='Control Room'!$A$13,$A276&lt;'Control Room'!$A$13+'Control Room'!$B$13,'Process'!BO2=1),1+('Control Room'!$C$13-1)*EXP(-0.5*(($A276-'Control Room'!$A$13-('Control Room'!$B$13-1)/2)/MAX(0.5,'Control Room'!$B$13/4))^2),1)*IF(AND($A276&gt;='Control Room'!$A$14,$A276&lt;'Control Room'!$A$14+'Control Room'!$B$14,'Process'!BO3=1),1+('Control Room'!$C$14-1)*EXP(-0.5*(($A276-'Control Room'!$A$14-('Control Room'!$B$14-1)/2)/MAX(0.5,'Control Room'!$B$14/4))^2),1)*IF(AND($A276&gt;='Control Room'!$A$15,$A276&lt;'Control Room'!$A$15+'Control Room'!$B$15,'Process'!BO4=1),1+('Control Room'!$C$15-1)*EXP(-0.5*(($A276-'Control Room'!$A$15-('Control Room'!$B$15-1)/2)/MAX(0.5,'Control Room'!$B$15/4))^2),1)*IF(AND($A276&gt;='Control Room'!$A$16,$A276&lt;'Control Room'!$A$16+'Control Room'!$B$16,'Process'!BO5=1),1+('Control Room'!$C$16-1)*EXP(-0.5*(($A276-'Control Room'!$A$16-('Control Room'!$B$16-1)/2)/MAX(0.5,'Control Room'!$B$16/4))^2),1)</x:f>
        <x:v>1</x:v>
      </x:c>
      <x:c r="AA276" s="9" t="n">
        <x:f>MOD(AB275*16807,2147483647)</x:f>
        <x:v>2147454465</x:v>
      </x:c>
      <x:c r="AB276" s="9" t="n">
        <x:f>MOD(AA276*16807,2147483647)</x:f>
        <x:v>1657021773</x:v>
      </x:c>
      <x:c r="AC276" s="17" t="n">
        <x:f>IF('Control Room'!$B$5="Normal",'Control Room'!$B$7+'Control Room'!$D$7*SQRT(-2*LN(MAX(0.000000000001,AA276/2147483647)))*COS(2*PI()*AB276/2147483647),'Control Room'!$B$8+('Control Room'!$D$8-'Control Room'!$B$8)*AA276/2147483647)</x:f>
        <x:v>1000.0635138972157</x:v>
      </x:c>
      <x:c r="AD276" s="17" t="n">
        <x:f>IF('Control Room'!$B$5="Normal",'Control Room'!$B$7,('Control Room'!$B$8+'Control Room'!$D$8)/2)+'Control Room'!$B$9*(AD275-IF('Control Room'!$B$5="Normal",'Control Room'!$B$7,('Control Room'!$B$8+'Control Room'!$D$8)/2))+SQRT(1-'Control Room'!$B$9^2)*(AC276-IF('Control Room'!$B$5="Normal",'Control Room'!$B$7,('Control Room'!$B$8+'Control Room'!$D$8)/2))</x:f>
        <x:v>1078.3367329867424</x:v>
      </x:c>
      <x:c r="AE276" s="17" t="n">
        <x:f>IF(AND($A276&gt;='Control Room'!$A$13,$A276&lt;'Control Room'!$A$13+'Control Room'!$B$13,'Process'!BP2=1),1+('Control Room'!$C$13-1)*EXP(-0.5*(($A276-'Control Room'!$A$13-('Control Room'!$B$13-1)/2)/MAX(0.5,'Control Room'!$B$13/4))^2),1)*IF(AND($A276&gt;='Control Room'!$A$14,$A276&lt;'Control Room'!$A$14+'Control Room'!$B$14,'Process'!BP3=1),1+('Control Room'!$C$14-1)*EXP(-0.5*(($A276-'Control Room'!$A$14-('Control Room'!$B$14-1)/2)/MAX(0.5,'Control Room'!$B$14/4))^2),1)*IF(AND($A276&gt;='Control Room'!$A$15,$A276&lt;'Control Room'!$A$15+'Control Room'!$B$15,'Process'!BP4=1),1+('Control Room'!$C$15-1)*EXP(-0.5*(($A276-'Control Room'!$A$15-('Control Room'!$B$15-1)/2)/MAX(0.5,'Control Room'!$B$15/4))^2),1)*IF(AND($A276&gt;='Control Room'!$A$16,$A276&lt;'Control Room'!$A$16+'Control Room'!$B$16,'Process'!BP5=1),1+('Control Room'!$C$16-1)*EXP(-0.5*(($A276-'Control Room'!$A$16-('Control Room'!$B$16-1)/2)/MAX(0.5,'Control Room'!$B$16/4))^2),1)</x:f>
        <x:v>1</x:v>
      </x:c>
      <x:c r="AF276" s="9" t="n">
        <x:f>MOD(AG275*16807,2147483647)</x:f>
        <x:v>1210023726</x:v>
      </x:c>
      <x:c r="AG276" s="9" t="n">
        <x:f>MOD(AF276*16807,2147483647)</x:f>
        <x:v>198625792</x:v>
      </x:c>
      <x:c r="AH276" s="17" t="n">
        <x:f>IF('Control Room'!$B$5="Normal",'Control Room'!$B$7+'Control Room'!$D$7*SQRT(-2*LN(MAX(0.000000000001,AF276/2147483647)))*COS(2*PI()*AG276/2147483647),'Control Room'!$B$8+('Control Room'!$D$8-'Control Room'!$B$8)*AF276/2147483647)</x:f>
        <x:v>1080.5755901489376</x:v>
      </x:c>
      <x:c r="AI276" s="17" t="n">
        <x:f>IF('Control Room'!$B$5="Normal",'Control Room'!$B$7,('Control Room'!$B$8+'Control Room'!$D$8)/2)+'Control Room'!$B$9*(AI275-IF('Control Room'!$B$5="Normal",'Control Room'!$B$7,('Control Room'!$B$8+'Control Room'!$D$8)/2))+SQRT(1-'Control Room'!$B$9^2)*(AH276-IF('Control Room'!$B$5="Normal",'Control Room'!$B$7,('Control Room'!$B$8+'Control Room'!$D$8)/2))</x:f>
        <x:v>982.9709669062516</x:v>
      </x:c>
      <x:c r="AJ276" s="17" t="n">
        <x:f>IF(AND($A276&gt;='Control Room'!$A$13,$A276&lt;'Control Room'!$A$13+'Control Room'!$B$13,'Process'!BQ2=1),1+('Control Room'!$C$13-1)*EXP(-0.5*(($A276-'Control Room'!$A$13-('Control Room'!$B$13-1)/2)/MAX(0.5,'Control Room'!$B$13/4))^2),1)*IF(AND($A276&gt;='Control Room'!$A$14,$A276&lt;'Control Room'!$A$14+'Control Room'!$B$14,'Process'!BQ3=1),1+('Control Room'!$C$14-1)*EXP(-0.5*(($A276-'Control Room'!$A$14-('Control Room'!$B$14-1)/2)/MAX(0.5,'Control Room'!$B$14/4))^2),1)*IF(AND($A276&gt;='Control Room'!$A$15,$A276&lt;'Control Room'!$A$15+'Control Room'!$B$15,'Process'!BQ4=1),1+('Control Room'!$C$15-1)*EXP(-0.5*(($A276-'Control Room'!$A$15-('Control Room'!$B$15-1)/2)/MAX(0.5,'Control Room'!$B$15/4))^2),1)*IF(AND($A276&gt;='Control Room'!$A$16,$A276&lt;'Control Room'!$A$16+'Control Room'!$B$16,'Process'!BQ5=1),1+('Control Room'!$C$16-1)*EXP(-0.5*(($A276-'Control Room'!$A$16-('Control Room'!$B$16-1)/2)/MAX(0.5,'Control Room'!$B$16/4))^2),1)</x:f>
        <x:v>1</x:v>
      </x:c>
      <x:c r="AK276" s="9" t="n">
        <x:f>MOD(AL275*16807,2147483647)</x:f>
        <x:v>272592987</x:v>
      </x:c>
      <x:c r="AL276" s="9" t="n">
        <x:f>MOD(AK276*16807,2147483647)</x:f>
        <x:v>887713458</x:v>
      </x:c>
      <x:c r="AM276" s="17" t="n">
        <x:f>IF('Control Room'!$B$5="Normal",'Control Room'!$B$7+'Control Room'!$D$7*SQRT(-2*LN(MAX(0.000000000001,AK276/2147483647)))*COS(2*PI()*AL276/2147483647),'Control Room'!$B$8+('Control Room'!$D$8-'Control Room'!$B$8)*AK276/2147483647)</x:f>
        <x:v>843.5635699216691</x:v>
      </x:c>
      <x:c r="AN276" s="17" t="n">
        <x:f>IF('Control Room'!$B$5="Normal",'Control Room'!$B$7,('Control Room'!$B$8+'Control Room'!$D$8)/2)+'Control Room'!$B$9*(AN275-IF('Control Room'!$B$5="Normal",'Control Room'!$B$7,('Control Room'!$B$8+'Control Room'!$D$8)/2))+SQRT(1-'Control Room'!$B$9^2)*(AM276-IF('Control Room'!$B$5="Normal",'Control Room'!$B$7,('Control Room'!$B$8+'Control Room'!$D$8)/2))</x:f>
        <x:v>727.9693672604959</x:v>
      </x:c>
      <x:c r="AO276" s="17" t="n">
        <x:f>IF(AND($A276&gt;='Control Room'!$A$13,$A276&lt;'Control Room'!$A$13+'Control Room'!$B$13,'Process'!BR2=1),1+('Control Room'!$C$13-1)*EXP(-0.5*(($A276-'Control Room'!$A$13-('Control Room'!$B$13-1)/2)/MAX(0.5,'Control Room'!$B$13/4))^2),1)*IF(AND($A276&gt;='Control Room'!$A$14,$A276&lt;'Control Room'!$A$14+'Control Room'!$B$14,'Process'!BR3=1),1+('Control Room'!$C$14-1)*EXP(-0.5*(($A276-'Control Room'!$A$14-('Control Room'!$B$14-1)/2)/MAX(0.5,'Control Room'!$B$14/4))^2),1)*IF(AND($A276&gt;='Control Room'!$A$15,$A276&lt;'Control Room'!$A$15+'Control Room'!$B$15,'Process'!BR4=1),1+('Control Room'!$C$15-1)*EXP(-0.5*(($A276-'Control Room'!$A$15-('Control Room'!$B$15-1)/2)/MAX(0.5,'Control Room'!$B$15/4))^2),1)*IF(AND($A276&gt;='Control Room'!$A$16,$A276&lt;'Control Room'!$A$16+'Control Room'!$B$16,'Process'!BR5=1),1+('Control Room'!$C$16-1)*EXP(-0.5*(($A276-'Control Room'!$A$16-('Control Room'!$B$16-1)/2)/MAX(0.5,'Control Room'!$B$16/4))^2),1)</x:f>
        <x:v>1</x:v>
      </x:c>
      <x:c r="AP276" s="9" t="n">
        <x:f>MOD(AQ275*16807,2147483647)</x:f>
        <x:v>1482645895</x:v>
      </x:c>
      <x:c r="AQ276" s="9" t="n">
        <x:f>MOD(AP276*16807,2147483647)</x:f>
        <x:v>1576801124</x:v>
      </x:c>
      <x:c r="AR276" s="17" t="n">
        <x:f>IF('Control Room'!$B$5="Normal",'Control Room'!$B$7+'Control Room'!$D$7*SQRT(-2*LN(MAX(0.000000000001,AP276/2147483647)))*COS(2*PI()*AQ276/2147483647),'Control Room'!$B$8+('Control Room'!$D$8-'Control Room'!$B$8)*AP276/2147483647)</x:f>
        <x:v>992.3486087005214</x:v>
      </x:c>
      <x:c r="AS276" s="17" t="n">
        <x:f>IF('Control Room'!$B$5="Normal",'Control Room'!$B$7,('Control Room'!$B$8+'Control Room'!$D$8)/2)+'Control Room'!$B$9*(AS275-IF('Control Room'!$B$5="Normal",'Control Room'!$B$7,('Control Room'!$B$8+'Control Room'!$D$8)/2))+SQRT(1-'Control Room'!$B$9^2)*(AR276-IF('Control Room'!$B$5="Normal",'Control Room'!$B$7,('Control Room'!$B$8+'Control Room'!$D$8)/2))</x:f>
        <x:v>928.8064053305429</x:v>
      </x:c>
      <x:c r="AT276" s="17" t="n">
        <x:f>IF(AND($A276&gt;='Control Room'!$A$13,$A276&lt;'Control Room'!$A$13+'Control Room'!$B$13,'Process'!BS2=1),1+('Control Room'!$C$13-1)*EXP(-0.5*(($A276-'Control Room'!$A$13-('Control Room'!$B$13-1)/2)/MAX(0.5,'Control Room'!$B$13/4))^2),1)*IF(AND($A276&gt;='Control Room'!$A$14,$A276&lt;'Control Room'!$A$14+'Control Room'!$B$14,'Process'!BS3=1),1+('Control Room'!$C$14-1)*EXP(-0.5*(($A276-'Control Room'!$A$14-('Control Room'!$B$14-1)/2)/MAX(0.5,'Control Room'!$B$14/4))^2),1)*IF(AND($A276&gt;='Control Room'!$A$15,$A276&lt;'Control Room'!$A$15+'Control Room'!$B$15,'Process'!BS4=1),1+('Control Room'!$C$15-1)*EXP(-0.5*(($A276-'Control Room'!$A$15-('Control Room'!$B$15-1)/2)/MAX(0.5,'Control Room'!$B$15/4))^2),1)*IF(AND($A276&gt;='Control Room'!$A$16,$A276&lt;'Control Room'!$A$16+'Control Room'!$B$16,'Process'!BS5=1),1+('Control Room'!$C$16-1)*EXP(-0.5*(($A276-'Control Room'!$A$16-('Control Room'!$B$16-1)/2)/MAX(0.5,'Control Room'!$B$16/4))^2),1)</x:f>
        <x:v>1</x:v>
      </x:c>
      <x:c r="AU276" s="9" t="n">
        <x:f>MOD(AV275*16807,2147483647)</x:f>
        <x:v>545215156</x:v>
      </x:c>
      <x:c r="AV276" s="9" t="n">
        <x:f>MOD(AU276*16807,2147483647)</x:f>
        <x:v>118405143</x:v>
      </x:c>
      <x:c r="AW276" s="17" t="n">
        <x:f>IF('Control Room'!$B$5="Normal",'Control Room'!$B$7+'Control Room'!$D$7*SQRT(-2*LN(MAX(0.000000000001,AU276/2147483647)))*COS(2*PI()*AV276/2147483647),'Control Room'!$B$8+('Control Room'!$D$8-'Control Room'!$B$8)*AU276/2147483647)</x:f>
        <x:v>1140.1703027362867</x:v>
      </x:c>
      <x:c r="AX276" s="17" t="n">
        <x:f>IF('Control Room'!$B$5="Normal",'Control Room'!$B$7,('Control Room'!$B$8+'Control Room'!$D$8)/2)+'Control Room'!$B$9*(AX275-IF('Control Room'!$B$5="Normal",'Control Room'!$B$7,('Control Room'!$B$8+'Control Room'!$D$8)/2))+SQRT(1-'Control Room'!$B$9^2)*(AW276-IF('Control Room'!$B$5="Normal",'Control Room'!$B$7,('Control Room'!$B$8+'Control Room'!$D$8)/2))</x:f>
        <x:v>1206.382595850731</x:v>
      </x:c>
      <x:c r="AY276" s="17" t="n">
        <x:f>IF(AND($A276&gt;='Control Room'!$A$13,$A276&lt;'Control Room'!$A$13+'Control Room'!$B$13,'Process'!BT2=1),1+('Control Room'!$C$13-1)*EXP(-0.5*(($A276-'Control Room'!$A$13-('Control Room'!$B$13-1)/2)/MAX(0.5,'Control Room'!$B$13/4))^2),1)*IF(AND($A276&gt;='Control Room'!$A$14,$A276&lt;'Control Room'!$A$14+'Control Room'!$B$14,'Process'!BT3=1),1+('Control Room'!$C$14-1)*EXP(-0.5*(($A276-'Control Room'!$A$14-('Control Room'!$B$14-1)/2)/MAX(0.5,'Control Room'!$B$14/4))^2),1)*IF(AND($A276&gt;='Control Room'!$A$15,$A276&lt;'Control Room'!$A$15+'Control Room'!$B$15,'Process'!BT4=1),1+('Control Room'!$C$15-1)*EXP(-0.5*(($A276-'Control Room'!$A$15-('Control Room'!$B$15-1)/2)/MAX(0.5,'Control Room'!$B$15/4))^2),1)*IF(AND($A276&gt;='Control Room'!$A$16,$A276&lt;'Control Room'!$A$16+'Control Room'!$B$16,'Process'!BT5=1),1+('Control Room'!$C$16-1)*EXP(-0.5*(($A276-'Control Room'!$A$16-('Control Room'!$B$16-1)/2)/MAX(0.5,'Control Room'!$B$16/4))^2),1)</x:f>
        <x:v>1</x:v>
      </x:c>
      <x:c r="AZ276" s="9" t="n">
        <x:f>MOD(BA275*16807,2147483647)</x:f>
        <x:v>1755268064</x:v>
      </x:c>
      <x:c r="BA276" s="9" t="n">
        <x:f>MOD(AZ276*16807,2147483647)</x:f>
        <x:v>807492809</x:v>
      </x:c>
      <x:c r="BB276" s="17" t="n">
        <x:f>IF('Control Room'!$B$5="Normal",'Control Room'!$B$7+'Control Room'!$D$7*SQRT(-2*LN(MAX(0.000000000001,AZ276/2147483647)))*COS(2*PI()*BA276/2147483647),'Control Room'!$B$8+('Control Room'!$D$8-'Control Room'!$B$8)*AZ276/2147483647)</x:f>
        <x:v>959.3248386156868</x:v>
      </x:c>
      <x:c r="BC276" s="17" t="n">
        <x:f>IF('Control Room'!$B$5="Normal",'Control Room'!$B$7,('Control Room'!$B$8+'Control Room'!$D$8)/2)+'Control Room'!$B$9*(BC275-IF('Control Room'!$B$5="Normal",'Control Room'!$B$7,('Control Room'!$B$8+'Control Room'!$D$8)/2))+SQRT(1-'Control Room'!$B$9^2)*(BB276-IF('Control Room'!$B$5="Normal",'Control Room'!$B$7,('Control Room'!$B$8+'Control Room'!$D$8)/2))</x:f>
        <x:v>1040.6573699242085</x:v>
      </x:c>
      <x:c r="BD276" s="17" t="n">
        <x:f>IF(AND($A276&gt;='Control Room'!$A$13,$A276&lt;'Control Room'!$A$13+'Control Room'!$B$13,'Process'!BU2=1),1+('Control Room'!$C$13-1)*EXP(-0.5*(($A276-'Control Room'!$A$13-('Control Room'!$B$13-1)/2)/MAX(0.5,'Control Room'!$B$13/4))^2),1)*IF(AND($A276&gt;='Control Room'!$A$14,$A276&lt;'Control Room'!$A$14+'Control Room'!$B$14,'Process'!BU3=1),1+('Control Room'!$C$14-1)*EXP(-0.5*(($A276-'Control Room'!$A$14-('Control Room'!$B$14-1)/2)/MAX(0.5,'Control Room'!$B$14/4))^2),1)*IF(AND($A276&gt;='Control Room'!$A$15,$A276&lt;'Control Room'!$A$15+'Control Room'!$B$15,'Process'!BU4=1),1+('Control Room'!$C$15-1)*EXP(-0.5*(($A276-'Control Room'!$A$15-('Control Room'!$B$15-1)/2)/MAX(0.5,'Control Room'!$B$15/4))^2),1)*IF(AND($A276&gt;='Control Room'!$A$16,$A276&lt;'Control Room'!$A$16+'Control Room'!$B$16,'Process'!BU5=1),1+('Control Room'!$C$16-1)*EXP(-0.5*(($A276-'Control Room'!$A$16-('Control Room'!$B$16-1)/2)/MAX(0.5,'Control Room'!$B$16/4))^2),1)</x:f>
        <x:v>1</x:v>
      </x:c>
      <x:c r="BE276" s="9" t="n">
        <x:f>MOD(BF275*16807,2147483647)</x:f>
        <x:v>817837325</x:v>
      </x:c>
      <x:c r="BF276" s="9" t="n">
        <x:f>MOD(BE276*16807,2147483647)</x:f>
        <x:v>1496580475</x:v>
      </x:c>
      <x:c r="BG276" s="17" t="n">
        <x:f>IF('Control Room'!$B$5="Normal",'Control Room'!$B$7+'Control Room'!$D$7*SQRT(-2*LN(MAX(0.000000000001,BE276/2147483647)))*COS(2*PI()*BF276/2147483647),'Control Room'!$B$8+('Control Room'!$D$8-'Control Room'!$B$8)*BE276/2147483647)</x:f>
        <x:v>959.0457541747255</x:v>
      </x:c>
      <x:c r="BH276" s="17" t="n">
        <x:f>IF('Control Room'!$B$5="Normal",'Control Room'!$B$7,('Control Room'!$B$8+'Control Room'!$D$8)/2)+'Control Room'!$B$9*(BH275-IF('Control Room'!$B$5="Normal",'Control Room'!$B$7,('Control Room'!$B$8+'Control Room'!$D$8)/2))+SQRT(1-'Control Room'!$B$9^2)*(BG276-IF('Control Room'!$B$5="Normal",'Control Room'!$B$7,('Control Room'!$B$8+'Control Room'!$D$8)/2))</x:f>
        <x:v>1050.903868435569</x:v>
      </x:c>
      <x:c r="BI276" s="17" t="n">
        <x:f>IF(AND($A276&gt;='Control Room'!$A$13,$A276&lt;'Control Room'!$A$13+'Control Room'!$B$13,'Process'!BV2=1),1+('Control Room'!$C$13-1)*EXP(-0.5*(($A276-'Control Room'!$A$13-('Control Room'!$B$13-1)/2)/MAX(0.5,'Control Room'!$B$13/4))^2),1)*IF(AND($A276&gt;='Control Room'!$A$14,$A276&lt;'Control Room'!$A$14+'Control Room'!$B$14,'Process'!BV3=1),1+('Control Room'!$C$14-1)*EXP(-0.5*(($A276-'Control Room'!$A$14-('Control Room'!$B$14-1)/2)/MAX(0.5,'Control Room'!$B$14/4))^2),1)*IF(AND($A276&gt;='Control Room'!$A$15,$A276&lt;'Control Room'!$A$15+'Control Room'!$B$15,'Process'!BV4=1),1+('Control Room'!$C$15-1)*EXP(-0.5*(($A276-'Control Room'!$A$15-('Control Room'!$B$15-1)/2)/MAX(0.5,'Control Room'!$B$15/4))^2),1)*IF(AND($A276&gt;='Control Room'!$A$16,$A276&lt;'Control Room'!$A$16+'Control Room'!$B$16,'Process'!BV5=1),1+('Control Room'!$C$16-1)*EXP(-0.5*(($A276-'Control Room'!$A$16-('Control Room'!$B$16-1)/2)/MAX(0.5,'Control Room'!$B$16/4))^2),1)</x:f>
        <x:v>1</x:v>
      </x:c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Z276" t="str">
        <x:f>IF('Data'!A276="","",TEXT('Data'!A276,"mm-dd"))</x:f>
      </x:c>
    </x:row>
    <x:row r="277" ht="21" customHeight="1">
      <x:c r="A277" s="15" t="n">
        <x:f>'Control Room'!$B$1+275</x:f>
        <x:v>73266</x:v>
      </x:c>
      <x:c r="B277" s="9" t="n">
        <x:f>MOD(C276*16807,2147483647)</x:f>
        <x:v>411533560</x:v>
      </x:c>
      <x:c r="C277" s="9" t="n">
        <x:f>MOD(B277*16807,2147483647)</x:f>
        <x:v>1747199580</x:v>
      </x:c>
      <x:c r="D277" s="17" t="n">
        <x:f>IF('Control Room'!$B$5="Normal",'Control Room'!$B$7+'Control Room'!$D$7*SQRT(-2*LN(MAX(0.000000000001,B277/2147483647)))*COS(2*PI()*C277/2147483647),'Control Room'!$B$8+('Control Room'!$D$8-'Control Room'!$B$8)*B277/2147483647)</x:f>
        <x:v>1063.6532590040883</x:v>
      </x:c>
      <x:c r="E277" s="17" t="n">
        <x:f>IF('Control Room'!$B$5="Normal",'Control Room'!$B$7,('Control Room'!$B$8+'Control Room'!$D$8)/2)+'Control Room'!$B$9*(E276-IF('Control Room'!$B$5="Normal",'Control Room'!$B$7,('Control Room'!$B$8+'Control Room'!$D$8)/2))+SQRT(1-'Control Room'!$B$9^2)*(D277-IF('Control Room'!$B$5="Normal",'Control Room'!$B$7,('Control Room'!$B$8+'Control Room'!$D$8)/2))</x:f>
        <x:v>1101.013874587051</x:v>
      </x:c>
      <x:c r="F277" s="17" t="n">
        <x:f>IF(AND($A277&gt;='Control Room'!$A$13,$A277&lt;'Control Room'!$A$13+'Control Room'!$B$13,'Process'!BK2=1),1+('Control Room'!$C$13-1)*EXP(-0.5*(($A277-'Control Room'!$A$13-('Control Room'!$B$13-1)/2)/MAX(0.5,'Control Room'!$B$13/4))^2),1)*IF(AND($A277&gt;='Control Room'!$A$14,$A277&lt;'Control Room'!$A$14+'Control Room'!$B$14,'Process'!BK3=1),1+('Control Room'!$C$14-1)*EXP(-0.5*(($A277-'Control Room'!$A$14-('Control Room'!$B$14-1)/2)/MAX(0.5,'Control Room'!$B$14/4))^2),1)*IF(AND($A277&gt;='Control Room'!$A$15,$A277&lt;'Control Room'!$A$15+'Control Room'!$B$15,'Process'!BK4=1),1+('Control Room'!$C$15-1)*EXP(-0.5*(($A277-'Control Room'!$A$15-('Control Room'!$B$15-1)/2)/MAX(0.5,'Control Room'!$B$15/4))^2),1)*IF(AND($A277&gt;='Control Room'!$A$16,$A277&lt;'Control Room'!$A$16+'Control Room'!$B$16,'Process'!BK5=1),1+('Control Room'!$C$16-1)*EXP(-0.5*(($A277-'Control Room'!$A$16-('Control Room'!$B$16-1)/2)/MAX(0.5,'Control Room'!$B$16/4))^2),1)</x:f>
        <x:v>1</x:v>
      </x:c>
      <x:c r="G277" s="9" t="n">
        <x:f>MOD(H276*16807,2147483647)</x:f>
        <x:v>528627751</x:v>
      </x:c>
      <x:c r="H277" s="9" t="n">
        <x:f>MOD(G277*16807,2147483647)</x:f>
        <x:v>506763418</x:v>
      </x:c>
      <x:c r="I277" s="17" t="n">
        <x:f>IF('Control Room'!$B$5="Normal",'Control Room'!$B$7+'Control Room'!$D$7*SQRT(-2*LN(MAX(0.000000000001,G277/2147483647)))*COS(2*PI()*H277/2147483647),'Control Room'!$B$8+('Control Room'!$D$8-'Control Room'!$B$8)*G277/2147483647)</x:f>
        <x:v>1013.2573981026426</x:v>
      </x:c>
      <x:c r="J277" s="17" t="n">
        <x:f>IF('Control Room'!$B$5="Normal",'Control Room'!$B$7,('Control Room'!$B$8+'Control Room'!$D$8)/2)+'Control Room'!$B$9*(J276-IF('Control Room'!$B$5="Normal",'Control Room'!$B$7,('Control Room'!$B$8+'Control Room'!$D$8)/2))+SQRT(1-'Control Room'!$B$9^2)*(I277-IF('Control Room'!$B$5="Normal",'Control Room'!$B$7,('Control Room'!$B$8+'Control Room'!$D$8)/2))</x:f>
        <x:v>885.9468339423107</x:v>
      </x:c>
      <x:c r="K277" s="17" t="n">
        <x:f>IF(AND($A277&gt;='Control Room'!$A$13,$A277&lt;'Control Room'!$A$13+'Control Room'!$B$13,'Process'!BL2=1),1+('Control Room'!$C$13-1)*EXP(-0.5*(($A277-'Control Room'!$A$13-('Control Room'!$B$13-1)/2)/MAX(0.5,'Control Room'!$B$13/4))^2),1)*IF(AND($A277&gt;='Control Room'!$A$14,$A277&lt;'Control Room'!$A$14+'Control Room'!$B$14,'Process'!BL3=1),1+('Control Room'!$C$14-1)*EXP(-0.5*(($A277-'Control Room'!$A$14-('Control Room'!$B$14-1)/2)/MAX(0.5,'Control Room'!$B$14/4))^2),1)*IF(AND($A277&gt;='Control Room'!$A$15,$A277&lt;'Control Room'!$A$15+'Control Room'!$B$15,'Process'!BL4=1),1+('Control Room'!$C$15-1)*EXP(-0.5*(($A277-'Control Room'!$A$15-('Control Room'!$B$15-1)/2)/MAX(0.5,'Control Room'!$B$15/4))^2),1)*IF(AND($A277&gt;='Control Room'!$A$16,$A277&lt;'Control Room'!$A$16+'Control Room'!$B$16,'Process'!BL5=1),1+('Control Room'!$C$16-1)*EXP(-0.5*(($A277-'Control Room'!$A$16-('Control Room'!$B$16-1)/2)/MAX(0.5,'Control Room'!$B$16/4))^2),1)</x:f>
        <x:v>1</x:v>
      </x:c>
      <x:c r="L277" s="9" t="n">
        <x:f>MOD(M276*16807,2147483647)</x:f>
        <x:v>645721942</x:v>
      </x:c>
      <x:c r="M277" s="9" t="n">
        <x:f>MOD(L277*16807,2147483647)</x:f>
        <x:v>1413810903</x:v>
      </x:c>
      <x:c r="N277" s="17" t="n">
        <x:f>IF('Control Room'!$B$5="Normal",'Control Room'!$B$7+'Control Room'!$D$7*SQRT(-2*LN(MAX(0.000000000001,L277/2147483647)))*COS(2*PI()*M277/2147483647),'Control Room'!$B$8+('Control Room'!$D$8-'Control Room'!$B$8)*L277/2147483647)</x:f>
        <x:v>924.0265660116576</x:v>
      </x:c>
      <x:c r="O277" s="17" t="n">
        <x:f>IF('Control Room'!$B$5="Normal",'Control Room'!$B$7,('Control Room'!$B$8+'Control Room'!$D$8)/2)+'Control Room'!$B$9*(O276-IF('Control Room'!$B$5="Normal",'Control Room'!$B$7,('Control Room'!$B$8+'Control Room'!$D$8)/2))+SQRT(1-'Control Room'!$B$9^2)*(N277-IF('Control Room'!$B$5="Normal",'Control Room'!$B$7,('Control Room'!$B$8+'Control Room'!$D$8)/2))</x:f>
        <x:v>985.85166269472</x:v>
      </x:c>
      <x:c r="P277" s="17" t="n">
        <x:f>IF(AND($A277&gt;='Control Room'!$A$13,$A277&lt;'Control Room'!$A$13+'Control Room'!$B$13,'Process'!BM2=1),1+('Control Room'!$C$13-1)*EXP(-0.5*(($A277-'Control Room'!$A$13-('Control Room'!$B$13-1)/2)/MAX(0.5,'Control Room'!$B$13/4))^2),1)*IF(AND($A277&gt;='Control Room'!$A$14,$A277&lt;'Control Room'!$A$14+'Control Room'!$B$14,'Process'!BM3=1),1+('Control Room'!$C$14-1)*EXP(-0.5*(($A277-'Control Room'!$A$14-('Control Room'!$B$14-1)/2)/MAX(0.5,'Control Room'!$B$14/4))^2),1)*IF(AND($A277&gt;='Control Room'!$A$15,$A277&lt;'Control Room'!$A$15+'Control Room'!$B$15,'Process'!BM4=1),1+('Control Room'!$C$15-1)*EXP(-0.5*(($A277-'Control Room'!$A$15-('Control Room'!$B$15-1)/2)/MAX(0.5,'Control Room'!$B$15/4))^2),1)*IF(AND($A277&gt;='Control Room'!$A$16,$A277&lt;'Control Room'!$A$16+'Control Room'!$B$16,'Process'!BM5=1),1+('Control Room'!$C$16-1)*EXP(-0.5*(($A277-'Control Room'!$A$16-('Control Room'!$B$16-1)/2)/MAX(0.5,'Control Room'!$B$16/4))^2),1)</x:f>
        <x:v>1</x:v>
      </x:c>
      <x:c r="Q277" s="9" t="n">
        <x:f>MOD(R276*16807,2147483647)</x:f>
        <x:v>762816133</x:v>
      </x:c>
      <x:c r="R277" s="9" t="n">
        <x:f>MOD(Q277*16807,2147483647)</x:f>
        <x:v>173374741</x:v>
      </x:c>
      <x:c r="S277" s="17" t="n">
        <x:f>IF('Control Room'!$B$5="Normal",'Control Room'!$B$7+'Control Room'!$D$7*SQRT(-2*LN(MAX(0.000000000001,Q277/2147483647)))*COS(2*PI()*R277/2147483647),'Control Room'!$B$8+('Control Room'!$D$8-'Control Room'!$B$8)*Q277/2147483647)</x:f>
        <x:v>1113.1837721873871</x:v>
      </x:c>
      <x:c r="T277" s="17" t="n">
        <x:f>IF('Control Room'!$B$5="Normal",'Control Room'!$B$7,('Control Room'!$B$8+'Control Room'!$D$8)/2)+'Control Room'!$B$9*(T276-IF('Control Room'!$B$5="Normal",'Control Room'!$B$7,('Control Room'!$B$8+'Control Room'!$D$8)/2))+SQRT(1-'Control Room'!$B$9^2)*(S277-IF('Control Room'!$B$5="Normal",'Control Room'!$B$7,('Control Room'!$B$8+'Control Room'!$D$8)/2))</x:f>
        <x:v>1150.481740216637</x:v>
      </x:c>
      <x:c r="U277" s="17" t="n">
        <x:f>IF(AND($A277&gt;='Control Room'!$A$13,$A277&lt;'Control Room'!$A$13+'Control Room'!$B$13,'Process'!BN2=1),1+('Control Room'!$C$13-1)*EXP(-0.5*(($A277-'Control Room'!$A$13-('Control Room'!$B$13-1)/2)/MAX(0.5,'Control Room'!$B$13/4))^2),1)*IF(AND($A277&gt;='Control Room'!$A$14,$A277&lt;'Control Room'!$A$14+'Control Room'!$B$14,'Process'!BN3=1),1+('Control Room'!$C$14-1)*EXP(-0.5*(($A277-'Control Room'!$A$14-('Control Room'!$B$14-1)/2)/MAX(0.5,'Control Room'!$B$14/4))^2),1)*IF(AND($A277&gt;='Control Room'!$A$15,$A277&lt;'Control Room'!$A$15+'Control Room'!$B$15,'Process'!BN4=1),1+('Control Room'!$C$15-1)*EXP(-0.5*(($A277-'Control Room'!$A$15-('Control Room'!$B$15-1)/2)/MAX(0.5,'Control Room'!$B$15/4))^2),1)*IF(AND($A277&gt;='Control Room'!$A$16,$A277&lt;'Control Room'!$A$16+'Control Room'!$B$16,'Process'!BN5=1),1+('Control Room'!$C$16-1)*EXP(-0.5*(($A277-'Control Room'!$A$16-('Control Room'!$B$16-1)/2)/MAX(0.5,'Control Room'!$B$16/4))^2),1)</x:f>
        <x:v>1</x:v>
      </x:c>
      <x:c r="V277" s="9" t="n">
        <x:f>MOD(W276*16807,2147483647)</x:f>
        <x:v>879910324</x:v>
      </x:c>
      <x:c r="W277" s="9" t="n">
        <x:f>MOD(V277*16807,2147483647)</x:f>
        <x:v>1080422226</x:v>
      </x:c>
      <x:c r="X277" s="17" t="n">
        <x:f>IF('Control Room'!$B$5="Normal",'Control Room'!$B$7+'Control Room'!$D$7*SQRT(-2*LN(MAX(0.000000000001,V277/2147483647)))*COS(2*PI()*W277/2147483647),'Control Room'!$B$8+('Control Room'!$D$8-'Control Room'!$B$8)*V277/2147483647)</x:f>
        <x:v>879.7975135490685</x:v>
      </x:c>
      <x:c r="Y277" s="17" t="n">
        <x:f>IF('Control Room'!$B$5="Normal",'Control Room'!$B$7,('Control Room'!$B$8+'Control Room'!$D$8)/2)+'Control Room'!$B$9*(Y276-IF('Control Room'!$B$5="Normal",'Control Room'!$B$7,('Control Room'!$B$8+'Control Room'!$D$8)/2))+SQRT(1-'Control Room'!$B$9^2)*(X277-IF('Control Room'!$B$5="Normal",'Control Room'!$B$7,('Control Room'!$B$8+'Control Room'!$D$8)/2))</x:f>
        <x:v>992.8104222441572</x:v>
      </x:c>
      <x:c r="Z277" s="17" t="n">
        <x:f>IF(AND($A277&gt;='Control Room'!$A$13,$A277&lt;'Control Room'!$A$13+'Control Room'!$B$13,'Process'!BO2=1),1+('Control Room'!$C$13-1)*EXP(-0.5*(($A277-'Control Room'!$A$13-('Control Room'!$B$13-1)/2)/MAX(0.5,'Control Room'!$B$13/4))^2),1)*IF(AND($A277&gt;='Control Room'!$A$14,$A277&lt;'Control Room'!$A$14+'Control Room'!$B$14,'Process'!BO3=1),1+('Control Room'!$C$14-1)*EXP(-0.5*(($A277-'Control Room'!$A$14-('Control Room'!$B$14-1)/2)/MAX(0.5,'Control Room'!$B$14/4))^2),1)*IF(AND($A277&gt;='Control Room'!$A$15,$A277&lt;'Control Room'!$A$15+'Control Room'!$B$15,'Process'!BO4=1),1+('Control Room'!$C$15-1)*EXP(-0.5*(($A277-'Control Room'!$A$15-('Control Room'!$B$15-1)/2)/MAX(0.5,'Control Room'!$B$15/4))^2),1)*IF(AND($A277&gt;='Control Room'!$A$16,$A277&lt;'Control Room'!$A$16+'Control Room'!$B$16,'Process'!BO5=1),1+('Control Room'!$C$16-1)*EXP(-0.5*(($A277-'Control Room'!$A$16-('Control Room'!$B$16-1)/2)/MAX(0.5,'Control Room'!$B$16/4))^2),1)</x:f>
        <x:v>1</x:v>
      </x:c>
      <x:c r="AA277" s="9" t="n">
        <x:f>MOD(AB276*16807,2147483647)</x:f>
        <x:v>997004515</x:v>
      </x:c>
      <x:c r="AB277" s="9" t="n">
        <x:f>MOD(AA277*16807,2147483647)</x:f>
        <x:v>1987469711</x:v>
      </x:c>
      <x:c r="AC277" s="17" t="n">
        <x:f>IF('Control Room'!$B$5="Normal",'Control Room'!$B$7+'Control Room'!$D$7*SQRT(-2*LN(MAX(0.000000000001,AA277/2147483647)))*COS(2*PI()*AB277/2147483647),'Control Room'!$B$8+('Control Room'!$D$8-'Control Room'!$B$8)*AA277/2147483647)</x:f>
        <x:v>1099.4937022057254</x:v>
      </x:c>
      <x:c r="AD277" s="17" t="n">
        <x:f>IF('Control Room'!$B$5="Normal",'Control Room'!$B$7,('Control Room'!$B$8+'Control Room'!$D$8)/2)+'Control Room'!$B$9*(AD276-IF('Control Room'!$B$5="Normal",'Control Room'!$B$7,('Control Room'!$B$8+'Control Room'!$D$8)/2))+SQRT(1-'Control Room'!$B$9^2)*(AC277-IF('Control Room'!$B$5="Normal",'Control Room'!$B$7,('Control Room'!$B$8+'Control Room'!$D$8)/2))</x:f>
        <x:v>1123.3637723307243</x:v>
      </x:c>
      <x:c r="AE277" s="17" t="n">
        <x:f>IF(AND($A277&gt;='Control Room'!$A$13,$A277&lt;'Control Room'!$A$13+'Control Room'!$B$13,'Process'!BP2=1),1+('Control Room'!$C$13-1)*EXP(-0.5*(($A277-'Control Room'!$A$13-('Control Room'!$B$13-1)/2)/MAX(0.5,'Control Room'!$B$13/4))^2),1)*IF(AND($A277&gt;='Control Room'!$A$14,$A277&lt;'Control Room'!$A$14+'Control Room'!$B$14,'Process'!BP3=1),1+('Control Room'!$C$14-1)*EXP(-0.5*(($A277-'Control Room'!$A$14-('Control Room'!$B$14-1)/2)/MAX(0.5,'Control Room'!$B$14/4))^2),1)*IF(AND($A277&gt;='Control Room'!$A$15,$A277&lt;'Control Room'!$A$15+'Control Room'!$B$15,'Process'!BP4=1),1+('Control Room'!$C$15-1)*EXP(-0.5*(($A277-'Control Room'!$A$15-('Control Room'!$B$15-1)/2)/MAX(0.5,'Control Room'!$B$15/4))^2),1)*IF(AND($A277&gt;='Control Room'!$A$16,$A277&lt;'Control Room'!$A$16+'Control Room'!$B$16,'Process'!BP5=1),1+('Control Room'!$C$16-1)*EXP(-0.5*(($A277-'Control Room'!$A$16-('Control Room'!$B$16-1)/2)/MAX(0.5,'Control Room'!$B$16/4))^2),1)</x:f>
        <x:v>1</x:v>
      </x:c>
      <x:c r="AF277" s="9" t="n">
        <x:f>MOD(AG276*16807,2147483647)</x:f>
        <x:v>1114098706</x:v>
      </x:c>
      <x:c r="AG277" s="9" t="n">
        <x:f>MOD(AF277*16807,2147483647)</x:f>
        <x:v>747033549</x:v>
      </x:c>
      <x:c r="AH277" s="17" t="n">
        <x:f>IF('Control Room'!$B$5="Normal",'Control Room'!$B$7+'Control Room'!$D$7*SQRT(-2*LN(MAX(0.000000000001,AF277/2147483647)))*COS(2*PI()*AG277/2147483647),'Control Room'!$B$8+('Control Room'!$D$8-'Control Room'!$B$8)*AF277/2147483647)</x:f>
        <x:v>940.5192419231115</x:v>
      </x:c>
      <x:c r="AI277" s="17" t="n">
        <x:f>IF('Control Room'!$B$5="Normal",'Control Room'!$B$7,('Control Room'!$B$8+'Control Room'!$D$8)/2)+'Control Room'!$B$9*(AI276-IF('Control Room'!$B$5="Normal",'Control Room'!$B$7,('Control Room'!$B$8+'Control Room'!$D$8)/2))+SQRT(1-'Control Room'!$B$9^2)*(AH277-IF('Control Room'!$B$5="Normal",'Control Room'!$B$7,('Control Room'!$B$8+'Control Room'!$D$8)/2))</x:f>
        <x:v>949.4955143119216</x:v>
      </x:c>
      <x:c r="AJ277" s="17" t="n">
        <x:f>IF(AND($A277&gt;='Control Room'!$A$13,$A277&lt;'Control Room'!$A$13+'Control Room'!$B$13,'Process'!BQ2=1),1+('Control Room'!$C$13-1)*EXP(-0.5*(($A277-'Control Room'!$A$13-('Control Room'!$B$13-1)/2)/MAX(0.5,'Control Room'!$B$13/4))^2),1)*IF(AND($A277&gt;='Control Room'!$A$14,$A277&lt;'Control Room'!$A$14+'Control Room'!$B$14,'Process'!BQ3=1),1+('Control Room'!$C$14-1)*EXP(-0.5*(($A277-'Control Room'!$A$14-('Control Room'!$B$14-1)/2)/MAX(0.5,'Control Room'!$B$14/4))^2),1)*IF(AND($A277&gt;='Control Room'!$A$15,$A277&lt;'Control Room'!$A$15+'Control Room'!$B$15,'Process'!BQ4=1),1+('Control Room'!$C$15-1)*EXP(-0.5*(($A277-'Control Room'!$A$15-('Control Room'!$B$15-1)/2)/MAX(0.5,'Control Room'!$B$15/4))^2),1)*IF(AND($A277&gt;='Control Room'!$A$16,$A277&lt;'Control Room'!$A$16+'Control Room'!$B$16,'Process'!BQ5=1),1+('Control Room'!$C$16-1)*EXP(-0.5*(($A277-'Control Room'!$A$16-('Control Room'!$B$16-1)/2)/MAX(0.5,'Control Room'!$B$16/4))^2),1)</x:f>
        <x:v>1</x:v>
      </x:c>
      <x:c r="AK277" s="9" t="n">
        <x:f>MOD(AL276*16807,2147483647)</x:f>
        <x:v>1231192897</x:v>
      </x:c>
      <x:c r="AL277" s="9" t="n">
        <x:f>MOD(AK277*16807,2147483647)</x:f>
        <x:v>1654081034</x:v>
      </x:c>
      <x:c r="AM277" s="17" t="n">
        <x:f>IF('Control Room'!$B$5="Normal",'Control Room'!$B$7+'Control Room'!$D$7*SQRT(-2*LN(MAX(0.000000000001,AK277/2147483647)))*COS(2*PI()*AL277/2147483647),'Control Room'!$B$8+('Control Room'!$D$8-'Control Room'!$B$8)*AK277/2147483647)</x:f>
        <x:v>1012.0411627313001</x:v>
      </x:c>
      <x:c r="AN277" s="17" t="n">
        <x:f>IF('Control Room'!$B$5="Normal",'Control Room'!$B$7,('Control Room'!$B$8+'Control Room'!$D$8)/2)+'Control Room'!$B$9*(AN276-IF('Control Room'!$B$5="Normal",'Control Room'!$B$7,('Control Room'!$B$8+'Control Room'!$D$8)/2))+SQRT(1-'Control Room'!$B$9^2)*(AM277-IF('Control Room'!$B$5="Normal",'Control Room'!$B$7,('Control Room'!$B$8+'Control Room'!$D$8)/2))</x:f>
        <x:v>795.3512194238077</x:v>
      </x:c>
      <x:c r="AO277" s="17" t="n">
        <x:f>IF(AND($A277&gt;='Control Room'!$A$13,$A277&lt;'Control Room'!$A$13+'Control Room'!$B$13,'Process'!BR2=1),1+('Control Room'!$C$13-1)*EXP(-0.5*(($A277-'Control Room'!$A$13-('Control Room'!$B$13-1)/2)/MAX(0.5,'Control Room'!$B$13/4))^2),1)*IF(AND($A277&gt;='Control Room'!$A$14,$A277&lt;'Control Room'!$A$14+'Control Room'!$B$14,'Process'!BR3=1),1+('Control Room'!$C$14-1)*EXP(-0.5*(($A277-'Control Room'!$A$14-('Control Room'!$B$14-1)/2)/MAX(0.5,'Control Room'!$B$14/4))^2),1)*IF(AND($A277&gt;='Control Room'!$A$15,$A277&lt;'Control Room'!$A$15+'Control Room'!$B$15,'Process'!BR4=1),1+('Control Room'!$C$15-1)*EXP(-0.5*(($A277-'Control Room'!$A$15-('Control Room'!$B$15-1)/2)/MAX(0.5,'Control Room'!$B$15/4))^2),1)*IF(AND($A277&gt;='Control Room'!$A$16,$A277&lt;'Control Room'!$A$16+'Control Room'!$B$16,'Process'!BR5=1),1+('Control Room'!$C$16-1)*EXP(-0.5*(($A277-'Control Room'!$A$16-('Control Room'!$B$16-1)/2)/MAX(0.5,'Control Room'!$B$16/4))^2),1)</x:f>
        <x:v>1</x:v>
      </x:c>
      <x:c r="AP277" s="9" t="n">
        <x:f>MOD(AQ276*16807,2147483647)</x:f>
        <x:v>1348287088</x:v>
      </x:c>
      <x:c r="AQ277" s="9" t="n">
        <x:f>MOD(AP277*16807,2147483647)</x:f>
        <x:v>413644872</x:v>
      </x:c>
      <x:c r="AR277" s="17" t="n">
        <x:f>IF('Control Room'!$B$5="Normal",'Control Room'!$B$7+'Control Room'!$D$7*SQRT(-2*LN(MAX(0.000000000001,AP277/2147483647)))*COS(2*PI()*AQ277/2147483647),'Control Room'!$B$8+('Control Room'!$D$8-'Control Room'!$B$8)*AP277/2147483647)</x:f>
        <x:v>1030.6338817641129</x:v>
      </x:c>
      <x:c r="AS277" s="17" t="n">
        <x:f>IF('Control Room'!$B$5="Normal",'Control Room'!$B$7,('Control Room'!$B$8+'Control Room'!$D$8)/2)+'Control Room'!$B$9*(AS276-IF('Control Room'!$B$5="Normal",'Control Room'!$B$7,('Control Room'!$B$8+'Control Room'!$D$8)/2))+SQRT(1-'Control Room'!$B$9^2)*(AR277-IF('Control Room'!$B$5="Normal",'Control Room'!$B$7,('Control Room'!$B$8+'Control Room'!$D$8)/2))</x:f>
        <x:v>963.6390517966261</x:v>
      </x:c>
      <x:c r="AT277" s="17" t="n">
        <x:f>IF(AND($A277&gt;='Control Room'!$A$13,$A277&lt;'Control Room'!$A$13+'Control Room'!$B$13,'Process'!BS2=1),1+('Control Room'!$C$13-1)*EXP(-0.5*(($A277-'Control Room'!$A$13-('Control Room'!$B$13-1)/2)/MAX(0.5,'Control Room'!$B$13/4))^2),1)*IF(AND($A277&gt;='Control Room'!$A$14,$A277&lt;'Control Room'!$A$14+'Control Room'!$B$14,'Process'!BS3=1),1+('Control Room'!$C$14-1)*EXP(-0.5*(($A277-'Control Room'!$A$14-('Control Room'!$B$14-1)/2)/MAX(0.5,'Control Room'!$B$14/4))^2),1)*IF(AND($A277&gt;='Control Room'!$A$15,$A277&lt;'Control Room'!$A$15+'Control Room'!$B$15,'Process'!BS4=1),1+('Control Room'!$C$15-1)*EXP(-0.5*(($A277-'Control Room'!$A$15-('Control Room'!$B$15-1)/2)/MAX(0.5,'Control Room'!$B$15/4))^2),1)*IF(AND($A277&gt;='Control Room'!$A$16,$A277&lt;'Control Room'!$A$16+'Control Room'!$B$16,'Process'!BS5=1),1+('Control Room'!$C$16-1)*EXP(-0.5*(($A277-'Control Room'!$A$16-('Control Room'!$B$16-1)/2)/MAX(0.5,'Control Room'!$B$16/4))^2),1)</x:f>
        <x:v>1</x:v>
      </x:c>
      <x:c r="AU277" s="9" t="n">
        <x:f>MOD(AV276*16807,2147483647)</x:f>
        <x:v>1465381279</x:v>
      </x:c>
      <x:c r="AV277" s="9" t="n">
        <x:f>MOD(AU277*16807,2147483647)</x:f>
        <x:v>1320692357</x:v>
      </x:c>
      <x:c r="AW277" s="17" t="n">
        <x:f>IF('Control Room'!$B$5="Normal",'Control Room'!$B$7+'Control Room'!$D$7*SQRT(-2*LN(MAX(0.000000000001,AU277/2147483647)))*COS(2*PI()*AV277/2147483647),'Control Room'!$B$8+('Control Room'!$D$8-'Control Room'!$B$8)*AU277/2147483647)</x:f>
        <x:v>940.9759381865819</x:v>
      </x:c>
      <x:c r="AX277" s="17" t="n">
        <x:f>IF('Control Room'!$B$5="Normal",'Control Room'!$B$7,('Control Room'!$B$8+'Control Room'!$D$8)/2)+'Control Room'!$B$9*(AX276-IF('Control Room'!$B$5="Normal",'Control Room'!$B$7,('Control Room'!$B$8+'Control Room'!$D$8)/2))+SQRT(1-'Control Room'!$B$9^2)*(AW277-IF('Control Room'!$B$5="Normal",'Control Room'!$B$7,('Control Room'!$B$8+'Control Room'!$D$8)/2))</x:f>
        <x:v>1124.0423760543636</x:v>
      </x:c>
      <x:c r="AY277" s="17" t="n">
        <x:f>IF(AND($A277&gt;='Control Room'!$A$13,$A277&lt;'Control Room'!$A$13+'Control Room'!$B$13,'Process'!BT2=1),1+('Control Room'!$C$13-1)*EXP(-0.5*(($A277-'Control Room'!$A$13-('Control Room'!$B$13-1)/2)/MAX(0.5,'Control Room'!$B$13/4))^2),1)*IF(AND($A277&gt;='Control Room'!$A$14,$A277&lt;'Control Room'!$A$14+'Control Room'!$B$14,'Process'!BT3=1),1+('Control Room'!$C$14-1)*EXP(-0.5*(($A277-'Control Room'!$A$14-('Control Room'!$B$14-1)/2)/MAX(0.5,'Control Room'!$B$14/4))^2),1)*IF(AND($A277&gt;='Control Room'!$A$15,$A277&lt;'Control Room'!$A$15+'Control Room'!$B$15,'Process'!BT4=1),1+('Control Room'!$C$15-1)*EXP(-0.5*(($A277-'Control Room'!$A$15-('Control Room'!$B$15-1)/2)/MAX(0.5,'Control Room'!$B$15/4))^2),1)*IF(AND($A277&gt;='Control Room'!$A$16,$A277&lt;'Control Room'!$A$16+'Control Room'!$B$16,'Process'!BT5=1),1+('Control Room'!$C$16-1)*EXP(-0.5*(($A277-'Control Room'!$A$16-('Control Room'!$B$16-1)/2)/MAX(0.5,'Control Room'!$B$16/4))^2),1)</x:f>
        <x:v>1</x:v>
      </x:c>
      <x:c r="AZ277" s="9" t="n">
        <x:f>MOD(BA276*16807,2147483647)</x:f>
        <x:v>1582475470</x:v>
      </x:c>
      <x:c r="BA277" s="9" t="n">
        <x:f>MOD(AZ277*16807,2147483647)</x:f>
        <x:v>80256195</x:v>
      </x:c>
      <x:c r="BB277" s="17" t="n">
        <x:f>IF('Control Room'!$B$5="Normal",'Control Room'!$B$7+'Control Room'!$D$7*SQRT(-2*LN(MAX(0.000000000001,AZ277/2147483647)))*COS(2*PI()*BA277/2147483647),'Control Room'!$B$8+('Control Room'!$D$8-'Control Room'!$B$8)*AZ277/2147483647)</x:f>
        <x:v>1068.3975492482666</x:v>
      </x:c>
      <x:c r="BC277" s="17" t="n">
        <x:f>IF('Control Room'!$B$5="Normal",'Control Room'!$B$7,('Control Room'!$B$8+'Control Room'!$D$8)/2)+'Control Room'!$B$9*(BC276-IF('Control Room'!$B$5="Normal",'Control Room'!$B$7,('Control Room'!$B$8+'Control Room'!$D$8)/2))+SQRT(1-'Control Room'!$B$9^2)*(BB277-IF('Control Room'!$B$5="Normal",'Control Room'!$B$7,('Control Room'!$B$8+'Control Room'!$D$8)/2))</x:f>
        <x:v>1074.5145336604894</x:v>
      </x:c>
      <x:c r="BD277" s="17" t="n">
        <x:f>IF(AND($A277&gt;='Control Room'!$A$13,$A277&lt;'Control Room'!$A$13+'Control Room'!$B$13,'Process'!BU2=1),1+('Control Room'!$C$13-1)*EXP(-0.5*(($A277-'Control Room'!$A$13-('Control Room'!$B$13-1)/2)/MAX(0.5,'Control Room'!$B$13/4))^2),1)*IF(AND($A277&gt;='Control Room'!$A$14,$A277&lt;'Control Room'!$A$14+'Control Room'!$B$14,'Process'!BU3=1),1+('Control Room'!$C$14-1)*EXP(-0.5*(($A277-'Control Room'!$A$14-('Control Room'!$B$14-1)/2)/MAX(0.5,'Control Room'!$B$14/4))^2),1)*IF(AND($A277&gt;='Control Room'!$A$15,$A277&lt;'Control Room'!$A$15+'Control Room'!$B$15,'Process'!BU4=1),1+('Control Room'!$C$15-1)*EXP(-0.5*(($A277-'Control Room'!$A$15-('Control Room'!$B$15-1)/2)/MAX(0.5,'Control Room'!$B$15/4))^2),1)*IF(AND($A277&gt;='Control Room'!$A$16,$A277&lt;'Control Room'!$A$16+'Control Room'!$B$16,'Process'!BU5=1),1+('Control Room'!$C$16-1)*EXP(-0.5*(($A277-'Control Room'!$A$16-('Control Room'!$B$16-1)/2)/MAX(0.5,'Control Room'!$B$16/4))^2),1)</x:f>
        <x:v>1</x:v>
      </x:c>
      <x:c r="BE277" s="9" t="n">
        <x:f>MOD(BF276*16807,2147483647)</x:f>
        <x:v>1699569661</x:v>
      </x:c>
      <x:c r="BF277" s="9" t="n">
        <x:f>MOD(BE277*16807,2147483647)</x:f>
        <x:v>987303680</x:v>
      </x:c>
      <x:c r="BG277" s="17" t="n">
        <x:f>IF('Control Room'!$B$5="Normal",'Control Room'!$B$7+'Control Room'!$D$7*SQRT(-2*LN(MAX(0.000000000001,BE277/2147483647)))*COS(2*PI()*BF277/2147483647),'Control Room'!$B$8+('Control Room'!$D$8-'Control Room'!$B$8)*BE277/2147483647)</x:f>
        <x:v>940.3990337911282</x:v>
      </x:c>
      <x:c r="BH277" s="17" t="n">
        <x:f>IF('Control Room'!$B$5="Normal",'Control Room'!$B$7,('Control Room'!$B$8+'Control Room'!$D$8)/2)+'Control Room'!$B$9*(BH276-IF('Control Room'!$B$5="Normal",'Control Room'!$B$7,('Control Room'!$B$8+'Control Room'!$D$8)/2))+SQRT(1-'Control Room'!$B$9^2)*(BG277-IF('Control Room'!$B$5="Normal",'Control Room'!$B$7,('Control Room'!$B$8+'Control Room'!$D$8)/2))</x:f>
        <x:v>1002.4079537183915</x:v>
      </x:c>
      <x:c r="BI277" s="17" t="n">
        <x:f>IF(AND($A277&gt;='Control Room'!$A$13,$A277&lt;'Control Room'!$A$13+'Control Room'!$B$13,'Process'!BV2=1),1+('Control Room'!$C$13-1)*EXP(-0.5*(($A277-'Control Room'!$A$13-('Control Room'!$B$13-1)/2)/MAX(0.5,'Control Room'!$B$13/4))^2),1)*IF(AND($A277&gt;='Control Room'!$A$14,$A277&lt;'Control Room'!$A$14+'Control Room'!$B$14,'Process'!BV3=1),1+('Control Room'!$C$14-1)*EXP(-0.5*(($A277-'Control Room'!$A$14-('Control Room'!$B$14-1)/2)/MAX(0.5,'Control Room'!$B$14/4))^2),1)*IF(AND($A277&gt;='Control Room'!$A$15,$A277&lt;'Control Room'!$A$15+'Control Room'!$B$15,'Process'!BV4=1),1+('Control Room'!$C$15-1)*EXP(-0.5*(($A277-'Control Room'!$A$15-('Control Room'!$B$15-1)/2)/MAX(0.5,'Control Room'!$B$15/4))^2),1)*IF(AND($A277&gt;='Control Room'!$A$16,$A277&lt;'Control Room'!$A$16+'Control Room'!$B$16,'Process'!BV5=1),1+('Control Room'!$C$16-1)*EXP(-0.5*(($A277-'Control Room'!$A$16-('Control Room'!$B$16-1)/2)/MAX(0.5,'Control Room'!$B$16/4))^2),1)</x:f>
        <x:v>1</x:v>
      </x:c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Z277" t="str">
        <x:f>IF('Data'!A277="","",TEXT('Data'!A277,"mm-dd"))</x:f>
      </x:c>
    </x:row>
    <x:row r="278" ht="21" customHeight="1">
      <x:c r="A278" s="15" t="n">
        <x:f>'Control Room'!$B$1+276</x:f>
        <x:v>73267</x:v>
      </x:c>
      <x:c r="B278" s="9" t="n">
        <x:f>MOD(C277*16807,2147483647)</x:f>
        <x:v>491951982</x:v>
      </x:c>
      <x:c r="C278" s="9" t="n">
        <x:f>MOD(B278*16807,2147483647)</x:f>
        <x:v>424920524</x:v>
      </x:c>
      <x:c r="D278" s="17" t="n">
        <x:f>IF('Control Room'!$B$5="Normal",'Control Room'!$B$7+'Control Room'!$D$7*SQRT(-2*LN(MAX(0.000000000001,B278/2147483647)))*COS(2*PI()*C278/2147483647),'Control Room'!$B$8+('Control Room'!$D$8-'Control Room'!$B$8)*B278/2147483647)</x:f>
        <x:v>1049.7095282056407</x:v>
      </x:c>
      <x:c r="E278" s="17" t="n">
        <x:f>IF('Control Room'!$B$5="Normal",'Control Room'!$B$7,('Control Room'!$B$8+'Control Room'!$D$8)/2)+'Control Room'!$B$9*(E277-IF('Control Room'!$B$5="Normal",'Control Room'!$B$7,('Control Room'!$B$8+'Control Room'!$D$8)/2))+SQRT(1-'Control Room'!$B$9^2)*(D278-IF('Control Room'!$B$5="Normal",'Control Room'!$B$7,('Control Room'!$B$8+'Control Room'!$D$8)/2))</x:f>
        <x:v>1109.898026573952</x:v>
      </x:c>
      <x:c r="F278" s="17" t="n">
        <x:f>IF(AND($A278&gt;='Control Room'!$A$13,$A278&lt;'Control Room'!$A$13+'Control Room'!$B$13,'Process'!BK2=1),1+('Control Room'!$C$13-1)*EXP(-0.5*(($A278-'Control Room'!$A$13-('Control Room'!$B$13-1)/2)/MAX(0.5,'Control Room'!$B$13/4))^2),1)*IF(AND($A278&gt;='Control Room'!$A$14,$A278&lt;'Control Room'!$A$14+'Control Room'!$B$14,'Process'!BK3=1),1+('Control Room'!$C$14-1)*EXP(-0.5*(($A278-'Control Room'!$A$14-('Control Room'!$B$14-1)/2)/MAX(0.5,'Control Room'!$B$14/4))^2),1)*IF(AND($A278&gt;='Control Room'!$A$15,$A278&lt;'Control Room'!$A$15+'Control Room'!$B$15,'Process'!BK4=1),1+('Control Room'!$C$15-1)*EXP(-0.5*(($A278-'Control Room'!$A$15-('Control Room'!$B$15-1)/2)/MAX(0.5,'Control Room'!$B$15/4))^2),1)*IF(AND($A278&gt;='Control Room'!$A$16,$A278&lt;'Control Room'!$A$16+'Control Room'!$B$16,'Process'!BK5=1),1+('Control Room'!$C$16-1)*EXP(-0.5*(($A278-'Control Room'!$A$16-('Control Room'!$B$16-1)/2)/MAX(0.5,'Control Room'!$B$16/4))^2),1)</x:f>
        <x:v>1</x:v>
      </x:c>
      <x:c r="G278" s="9" t="n">
        <x:f>MOD(H277*16807,2147483647)</x:f>
        <x:v>252622324</x:v>
      </x:c>
      <x:c r="H278" s="9" t="n">
        <x:f>MOD(G278*16807,2147483647)</x:f>
        <x:v>248229349</x:v>
      </x:c>
      <x:c r="I278" s="17" t="n">
        <x:f>IF('Control Room'!$B$5="Normal",'Control Room'!$B$7+'Control Room'!$D$7*SQRT(-2*LN(MAX(0.000000000001,G278/2147483647)))*COS(2*PI()*H278/2147483647),'Control Room'!$B$8+('Control Room'!$D$8-'Control Room'!$B$8)*G278/2147483647)</x:f>
        <x:v>1139.2128162886222</x:v>
      </x:c>
      <x:c r="J278" s="17" t="n">
        <x:f>IF('Control Room'!$B$5="Normal",'Control Room'!$B$7,('Control Room'!$B$8+'Control Room'!$D$8)/2)+'Control Room'!$B$9*(J277-IF('Control Room'!$B$5="Normal",'Control Room'!$B$7,('Control Room'!$B$8+'Control Room'!$D$8)/2))+SQRT(1-'Control Room'!$B$9^2)*(I278-IF('Control Room'!$B$5="Normal",'Control Room'!$B$7,('Control Room'!$B$8+'Control Room'!$D$8)/2))</x:f>
        <x:v>998.1550589788643</x:v>
      </x:c>
      <x:c r="K278" s="17" t="n">
        <x:f>IF(AND($A278&gt;='Control Room'!$A$13,$A278&lt;'Control Room'!$A$13+'Control Room'!$B$13,'Process'!BL2=1),1+('Control Room'!$C$13-1)*EXP(-0.5*(($A278-'Control Room'!$A$13-('Control Room'!$B$13-1)/2)/MAX(0.5,'Control Room'!$B$13/4))^2),1)*IF(AND($A278&gt;='Control Room'!$A$14,$A278&lt;'Control Room'!$A$14+'Control Room'!$B$14,'Process'!BL3=1),1+('Control Room'!$C$14-1)*EXP(-0.5*(($A278-'Control Room'!$A$14-('Control Room'!$B$14-1)/2)/MAX(0.5,'Control Room'!$B$14/4))^2),1)*IF(AND($A278&gt;='Control Room'!$A$15,$A278&lt;'Control Room'!$A$15+'Control Room'!$B$15,'Process'!BL4=1),1+('Control Room'!$C$15-1)*EXP(-0.5*(($A278-'Control Room'!$A$15-('Control Room'!$B$15-1)/2)/MAX(0.5,'Control Room'!$B$15/4))^2),1)*IF(AND($A278&gt;='Control Room'!$A$16,$A278&lt;'Control Room'!$A$16+'Control Room'!$B$16,'Process'!BL5=1),1+('Control Room'!$C$16-1)*EXP(-0.5*(($A278-'Control Room'!$A$16-('Control Room'!$B$16-1)/2)/MAX(0.5,'Control Room'!$B$16/4))^2),1)</x:f>
        <x:v>1</x:v>
      </x:c>
      <x:c r="L278" s="9" t="n">
        <x:f>MOD(M277*16807,2147483647)</x:f>
        <x:v>13292666</x:v>
      </x:c>
      <x:c r="M278" s="9" t="n">
        <x:f>MOD(L278*16807,2147483647)</x:f>
        <x:v>71538174</x:v>
      </x:c>
      <x:c r="N278" s="17" t="n">
        <x:f>IF('Control Room'!$B$5="Normal",'Control Room'!$B$7+'Control Room'!$D$7*SQRT(-2*LN(MAX(0.000000000001,L278/2147483647)))*COS(2*PI()*M278/2147483647),'Control Room'!$B$8+('Control Room'!$D$8-'Control Room'!$B$8)*L278/2147483647)</x:f>
        <x:v>1280.7453524129028</x:v>
      </x:c>
      <x:c r="O278" s="17" t="n">
        <x:f>IF('Control Room'!$B$5="Normal",'Control Room'!$B$7,('Control Room'!$B$8+'Control Room'!$D$8)/2)+'Control Room'!$B$9*(O277-IF('Control Room'!$B$5="Normal",'Control Room'!$B$7,('Control Room'!$B$8+'Control Room'!$D$8)/2))+SQRT(1-'Control Room'!$B$9^2)*(N278-IF('Control Room'!$B$5="Normal",'Control Room'!$B$7,('Control Room'!$B$8+'Control Room'!$D$8)/2))</x:f>
        <x:v>1164.6489870607165</x:v>
      </x:c>
      <x:c r="P278" s="17" t="n">
        <x:f>IF(AND($A278&gt;='Control Room'!$A$13,$A278&lt;'Control Room'!$A$13+'Control Room'!$B$13,'Process'!BM2=1),1+('Control Room'!$C$13-1)*EXP(-0.5*(($A278-'Control Room'!$A$13-('Control Room'!$B$13-1)/2)/MAX(0.5,'Control Room'!$B$13/4))^2),1)*IF(AND($A278&gt;='Control Room'!$A$14,$A278&lt;'Control Room'!$A$14+'Control Room'!$B$14,'Process'!BM3=1),1+('Control Room'!$C$14-1)*EXP(-0.5*(($A278-'Control Room'!$A$14-('Control Room'!$B$14-1)/2)/MAX(0.5,'Control Room'!$B$14/4))^2),1)*IF(AND($A278&gt;='Control Room'!$A$15,$A278&lt;'Control Room'!$A$15+'Control Room'!$B$15,'Process'!BM4=1),1+('Control Room'!$C$15-1)*EXP(-0.5*(($A278-'Control Room'!$A$15-('Control Room'!$B$15-1)/2)/MAX(0.5,'Control Room'!$B$15/4))^2),1)*IF(AND($A278&gt;='Control Room'!$A$16,$A278&lt;'Control Room'!$A$16+'Control Room'!$B$16,'Process'!BM5=1),1+('Control Room'!$C$16-1)*EXP(-0.5*(($A278-'Control Room'!$A$16-('Control Room'!$B$16-1)/2)/MAX(0.5,'Control Room'!$B$16/4))^2),1)</x:f>
        <x:v>1</x:v>
      </x:c>
      <x:c r="Q278" s="9" t="n">
        <x:f>MOD(R277*16807,2147483647)</x:f>
        <x:v>1921446655</x:v>
      </x:c>
      <x:c r="R278" s="9" t="n">
        <x:f>MOD(Q278*16807,2147483647)</x:f>
        <x:v>2042330646</x:v>
      </x:c>
      <x:c r="S278" s="17" t="n">
        <x:f>IF('Control Room'!$B$5="Normal",'Control Room'!$B$7+'Control Room'!$D$7*SQRT(-2*LN(MAX(0.000000000001,Q278/2147483647)))*COS(2*PI()*R278/2147483647),'Control Room'!$B$8+('Control Room'!$D$8-'Control Room'!$B$8)*Q278/2147483647)</x:f>
        <x:v>1040.4537759995735</x:v>
      </x:c>
      <x:c r="T278" s="17" t="n">
        <x:f>IF('Control Room'!$B$5="Normal",'Control Room'!$B$7,('Control Room'!$B$8+'Control Room'!$D$8)/2)+'Control Room'!$B$9*(T277-IF('Control Room'!$B$5="Normal",'Control Room'!$B$7,('Control Room'!$B$8+'Control Room'!$D$8)/2))+SQRT(1-'Control Room'!$B$9^2)*(S278-IF('Control Room'!$B$5="Normal",'Control Room'!$B$7,('Control Room'!$B$8+'Control Room'!$D$8)/2))</x:f>
        <x:v>1142.6909016488626</x:v>
      </x:c>
      <x:c r="U278" s="17" t="n">
        <x:f>IF(AND($A278&gt;='Control Room'!$A$13,$A278&lt;'Control Room'!$A$13+'Control Room'!$B$13,'Process'!BN2=1),1+('Control Room'!$C$13-1)*EXP(-0.5*(($A278-'Control Room'!$A$13-('Control Room'!$B$13-1)/2)/MAX(0.5,'Control Room'!$B$13/4))^2),1)*IF(AND($A278&gt;='Control Room'!$A$14,$A278&lt;'Control Room'!$A$14+'Control Room'!$B$14,'Process'!BN3=1),1+('Control Room'!$C$14-1)*EXP(-0.5*(($A278-'Control Room'!$A$14-('Control Room'!$B$14-1)/2)/MAX(0.5,'Control Room'!$B$14/4))^2),1)*IF(AND($A278&gt;='Control Room'!$A$15,$A278&lt;'Control Room'!$A$15+'Control Room'!$B$15,'Process'!BN4=1),1+('Control Room'!$C$15-1)*EXP(-0.5*(($A278-'Control Room'!$A$15-('Control Room'!$B$15-1)/2)/MAX(0.5,'Control Room'!$B$15/4))^2),1)*IF(AND($A278&gt;='Control Room'!$A$16,$A278&lt;'Control Room'!$A$16+'Control Room'!$B$16,'Process'!BN5=1),1+('Control Room'!$C$16-1)*EXP(-0.5*(($A278-'Control Room'!$A$16-('Control Room'!$B$16-1)/2)/MAX(0.5,'Control Room'!$B$16/4))^2),1)</x:f>
        <x:v>1</x:v>
      </x:c>
      <x:c r="V278" s="9" t="n">
        <x:f>MOD(W277*16807,2147483647)</x:f>
        <x:v>1682116997</x:v>
      </x:c>
      <x:c r="W278" s="9" t="n">
        <x:f>MOD(V278*16807,2147483647)</x:f>
        <x:v>1865639471</x:v>
      </x:c>
      <x:c r="X278" s="17" t="n">
        <x:f>IF('Control Room'!$B$5="Normal",'Control Room'!$B$7+'Control Room'!$D$7*SQRT(-2*LN(MAX(0.000000000001,V278/2147483647)))*COS(2*PI()*W278/2147483647),'Control Room'!$B$8+('Control Room'!$D$8-'Control Room'!$B$8)*V278/2147483647)</x:f>
        <x:v>1042.7001493107393</x:v>
      </x:c>
      <x:c r="Y278" s="17" t="n">
        <x:f>IF('Control Room'!$B$5="Normal",'Control Room'!$B$7,('Control Room'!$B$8+'Control Room'!$D$8)/2)+'Control Room'!$B$9*(Y277-IF('Control Room'!$B$5="Normal",'Control Room'!$B$7,('Control Room'!$B$8+'Control Room'!$D$8)/2))+SQRT(1-'Control Room'!$B$9^2)*(X278-IF('Control Room'!$B$5="Normal",'Control Room'!$B$7,('Control Room'!$B$8+'Control Room'!$D$8)/2))</x:f>
        <x:v>1021.1130080289972</x:v>
      </x:c>
      <x:c r="Z278" s="17" t="n">
        <x:f>IF(AND($A278&gt;='Control Room'!$A$13,$A278&lt;'Control Room'!$A$13+'Control Room'!$B$13,'Process'!BO2=1),1+('Control Room'!$C$13-1)*EXP(-0.5*(($A278-'Control Room'!$A$13-('Control Room'!$B$13-1)/2)/MAX(0.5,'Control Room'!$B$13/4))^2),1)*IF(AND($A278&gt;='Control Room'!$A$14,$A278&lt;'Control Room'!$A$14+'Control Room'!$B$14,'Process'!BO3=1),1+('Control Room'!$C$14-1)*EXP(-0.5*(($A278-'Control Room'!$A$14-('Control Room'!$B$14-1)/2)/MAX(0.5,'Control Room'!$B$14/4))^2),1)*IF(AND($A278&gt;='Control Room'!$A$15,$A278&lt;'Control Room'!$A$15+'Control Room'!$B$15,'Process'!BO4=1),1+('Control Room'!$C$15-1)*EXP(-0.5*(($A278-'Control Room'!$A$15-('Control Room'!$B$15-1)/2)/MAX(0.5,'Control Room'!$B$15/4))^2),1)*IF(AND($A278&gt;='Control Room'!$A$16,$A278&lt;'Control Room'!$A$16+'Control Room'!$B$16,'Process'!BO5=1),1+('Control Room'!$C$16-1)*EXP(-0.5*(($A278-'Control Room'!$A$16-('Control Room'!$B$16-1)/2)/MAX(0.5,'Control Room'!$B$16/4))^2),1)</x:f>
        <x:v>1</x:v>
      </x:c>
      <x:c r="AA278" s="9" t="n">
        <x:f>MOD(AB277*16807,2147483647)</x:f>
        <x:v>1442787339</x:v>
      </x:c>
      <x:c r="AB278" s="9" t="n">
        <x:f>MOD(AA278*16807,2147483647)</x:f>
        <x:v>1688948296</x:v>
      </x:c>
      <x:c r="AC278" s="17" t="n">
        <x:f>IF('Control Room'!$B$5="Normal",'Control Room'!$B$7+'Control Room'!$D$7*SQRT(-2*LN(MAX(0.000000000001,AA278/2147483647)))*COS(2*PI()*AB278/2147483647),'Control Room'!$B$8+('Control Room'!$D$8-'Control Room'!$B$8)*AA278/2147483647)</x:f>
        <x:v>1018.2366930347104</x:v>
      </x:c>
      <x:c r="AD278" s="17" t="n">
        <x:f>IF('Control Room'!$B$5="Normal",'Control Room'!$B$7,('Control Room'!$B$8+'Control Room'!$D$8)/2)+'Control Room'!$B$9*(AD277-IF('Control Room'!$B$5="Normal",'Control Room'!$B$7,('Control Room'!$B$8+'Control Room'!$D$8)/2))+SQRT(1-'Control Room'!$B$9^2)*(AC278-IF('Control Room'!$B$5="Normal",'Control Room'!$B$7,('Control Room'!$B$8+'Control Room'!$D$8)/2))</x:f>
        <x:v>1107.635891320123</x:v>
      </x:c>
      <x:c r="AE278" s="17" t="n">
        <x:f>IF(AND($A278&gt;='Control Room'!$A$13,$A278&lt;'Control Room'!$A$13+'Control Room'!$B$13,'Process'!BP2=1),1+('Control Room'!$C$13-1)*EXP(-0.5*(($A278-'Control Room'!$A$13-('Control Room'!$B$13-1)/2)/MAX(0.5,'Control Room'!$B$13/4))^2),1)*IF(AND($A278&gt;='Control Room'!$A$14,$A278&lt;'Control Room'!$A$14+'Control Room'!$B$14,'Process'!BP3=1),1+('Control Room'!$C$14-1)*EXP(-0.5*(($A278-'Control Room'!$A$14-('Control Room'!$B$14-1)/2)/MAX(0.5,'Control Room'!$B$14/4))^2),1)*IF(AND($A278&gt;='Control Room'!$A$15,$A278&lt;'Control Room'!$A$15+'Control Room'!$B$15,'Process'!BP4=1),1+('Control Room'!$C$15-1)*EXP(-0.5*(($A278-'Control Room'!$A$15-('Control Room'!$B$15-1)/2)/MAX(0.5,'Control Room'!$B$15/4))^2),1)*IF(AND($A278&gt;='Control Room'!$A$16,$A278&lt;'Control Room'!$A$16+'Control Room'!$B$16,'Process'!BP5=1),1+('Control Room'!$C$16-1)*EXP(-0.5*(($A278-'Control Room'!$A$16-('Control Room'!$B$16-1)/2)/MAX(0.5,'Control Room'!$B$16/4))^2),1)</x:f>
        <x:v>1</x:v>
      </x:c>
      <x:c r="AF278" s="9" t="n">
        <x:f>MOD(AG277*16807,2147483647)</x:f>
        <x:v>1203457681</x:v>
      </x:c>
      <x:c r="AG278" s="9" t="n">
        <x:f>MOD(AF278*16807,2147483647)</x:f>
        <x:v>1512257121</x:v>
      </x:c>
      <x:c r="AH278" s="17" t="n">
        <x:f>IF('Control Room'!$B$5="Normal",'Control Room'!$B$7+'Control Room'!$D$7*SQRT(-2*LN(MAX(0.000000000001,AF278/2147483647)))*COS(2*PI()*AG278/2147483647),'Control Room'!$B$8+('Control Room'!$D$8-'Control Room'!$B$8)*AF278/2147483647)</x:f>
        <x:v>972.5101834790152</x:v>
      </x:c>
      <x:c r="AI278" s="17" t="n">
        <x:f>IF('Control Room'!$B$5="Normal",'Control Room'!$B$7,('Control Room'!$B$8+'Control Room'!$D$8)/2)+'Control Room'!$B$9*(AI277-IF('Control Room'!$B$5="Normal",'Control Room'!$B$7,('Control Room'!$B$8+'Control Room'!$D$8)/2))+SQRT(1-'Control Room'!$B$9^2)*(AH278-IF('Control Room'!$B$5="Normal",'Control Room'!$B$7,('Control Room'!$B$8+'Control Room'!$D$8)/2))</x:f>
        <x:v>943.4039371439684</x:v>
      </x:c>
      <x:c r="AJ278" s="17" t="n">
        <x:f>IF(AND($A278&gt;='Control Room'!$A$13,$A278&lt;'Control Room'!$A$13+'Control Room'!$B$13,'Process'!BQ2=1),1+('Control Room'!$C$13-1)*EXP(-0.5*(($A278-'Control Room'!$A$13-('Control Room'!$B$13-1)/2)/MAX(0.5,'Control Room'!$B$13/4))^2),1)*IF(AND($A278&gt;='Control Room'!$A$14,$A278&lt;'Control Room'!$A$14+'Control Room'!$B$14,'Process'!BQ3=1),1+('Control Room'!$C$14-1)*EXP(-0.5*(($A278-'Control Room'!$A$14-('Control Room'!$B$14-1)/2)/MAX(0.5,'Control Room'!$B$14/4))^2),1)*IF(AND($A278&gt;='Control Room'!$A$15,$A278&lt;'Control Room'!$A$15+'Control Room'!$B$15,'Process'!BQ4=1),1+('Control Room'!$C$15-1)*EXP(-0.5*(($A278-'Control Room'!$A$15-('Control Room'!$B$15-1)/2)/MAX(0.5,'Control Room'!$B$15/4))^2),1)*IF(AND($A278&gt;='Control Room'!$A$16,$A278&lt;'Control Room'!$A$16+'Control Room'!$B$16,'Process'!BQ5=1),1+('Control Room'!$C$16-1)*EXP(-0.5*(($A278-'Control Room'!$A$16-('Control Room'!$B$16-1)/2)/MAX(0.5,'Control Room'!$B$16/4))^2),1)</x:f>
        <x:v>1</x:v>
      </x:c>
      <x:c r="AK278" s="9" t="n">
        <x:f>MOD(AL277*16807,2147483647)</x:f>
        <x:v>964128023</x:v>
      </x:c>
      <x:c r="AL278" s="9" t="n">
        <x:f>MOD(AK278*16807,2147483647)</x:f>
        <x:v>1335565946</x:v>
      </x:c>
      <x:c r="AM278" s="17" t="n">
        <x:f>IF('Control Room'!$B$5="Normal",'Control Room'!$B$7+'Control Room'!$D$7*SQRT(-2*LN(MAX(0.000000000001,AK278/2147483647)))*COS(2*PI()*AL278/2147483647),'Control Room'!$B$8+('Control Room'!$D$8-'Control Room'!$B$8)*AK278/2147483647)</x:f>
        <x:v>917.917131416338</x:v>
      </x:c>
      <x:c r="AN278" s="17" t="n">
        <x:f>IF('Control Room'!$B$5="Normal",'Control Room'!$B$7,('Control Room'!$B$8+'Control Room'!$D$8)/2)+'Control Room'!$B$9*(AN277-IF('Control Room'!$B$5="Normal",'Control Room'!$B$7,('Control Room'!$B$8+'Control Room'!$D$8)/2))+SQRT(1-'Control Room'!$B$9^2)*(AM278-IF('Control Room'!$B$5="Normal",'Control Room'!$B$7,('Control Room'!$B$8+'Control Room'!$D$8)/2))</x:f>
        <x:v>789.0081735498782</x:v>
      </x:c>
      <x:c r="AO278" s="17" t="n">
        <x:f>IF(AND($A278&gt;='Control Room'!$A$13,$A278&lt;'Control Room'!$A$13+'Control Room'!$B$13,'Process'!BR2=1),1+('Control Room'!$C$13-1)*EXP(-0.5*(($A278-'Control Room'!$A$13-('Control Room'!$B$13-1)/2)/MAX(0.5,'Control Room'!$B$13/4))^2),1)*IF(AND($A278&gt;='Control Room'!$A$14,$A278&lt;'Control Room'!$A$14+'Control Room'!$B$14,'Process'!BR3=1),1+('Control Room'!$C$14-1)*EXP(-0.5*(($A278-'Control Room'!$A$14-('Control Room'!$B$14-1)/2)/MAX(0.5,'Control Room'!$B$14/4))^2),1)*IF(AND($A278&gt;='Control Room'!$A$15,$A278&lt;'Control Room'!$A$15+'Control Room'!$B$15,'Process'!BR4=1),1+('Control Room'!$C$15-1)*EXP(-0.5*(($A278-'Control Room'!$A$15-('Control Room'!$B$15-1)/2)/MAX(0.5,'Control Room'!$B$15/4))^2),1)*IF(AND($A278&gt;='Control Room'!$A$16,$A278&lt;'Control Room'!$A$16+'Control Room'!$B$16,'Process'!BR5=1),1+('Control Room'!$C$16-1)*EXP(-0.5*(($A278-'Control Room'!$A$16-('Control Room'!$B$16-1)/2)/MAX(0.5,'Control Room'!$B$16/4))^2),1)</x:f>
        <x:v>1</x:v>
      </x:c>
      <x:c r="AP278" s="9" t="n">
        <x:f>MOD(AQ277*16807,2147483647)</x:f>
        <x:v>724798365</x:v>
      </x:c>
      <x:c r="AQ278" s="9" t="n">
        <x:f>MOD(AP278*16807,2147483647)</x:f>
        <x:v>1158874771</x:v>
      </x:c>
      <x:c r="AR278" s="17" t="n">
        <x:f>IF('Control Room'!$B$5="Normal",'Control Room'!$B$7+'Control Room'!$D$7*SQRT(-2*LN(MAX(0.000000000001,AP278/2147483647)))*COS(2*PI()*AQ278/2147483647),'Control Room'!$B$8+('Control Room'!$D$8-'Control Room'!$B$8)*AP278/2147483647)</x:f>
        <x:v>871.4447227292077</x:v>
      </x:c>
      <x:c r="AS278" s="17" t="n">
        <x:f>IF('Control Room'!$B$5="Normal",'Control Room'!$B$7,('Control Room'!$B$8+'Control Room'!$D$8)/2)+'Control Room'!$B$9*(AS277-IF('Control Room'!$B$5="Normal",'Control Room'!$B$7,('Control Room'!$B$8+'Control Room'!$D$8)/2))+SQRT(1-'Control Room'!$B$9^2)*(AR278-IF('Control Room'!$B$5="Normal",'Control Room'!$B$7,('Control Room'!$B$8+'Control Room'!$D$8)/2))</x:f>
        <x:v>891.1912014833101</x:v>
      </x:c>
      <x:c r="AT278" s="17" t="n">
        <x:f>IF(AND($A278&gt;='Control Room'!$A$13,$A278&lt;'Control Room'!$A$13+'Control Room'!$B$13,'Process'!BS2=1),1+('Control Room'!$C$13-1)*EXP(-0.5*(($A278-'Control Room'!$A$13-('Control Room'!$B$13-1)/2)/MAX(0.5,'Control Room'!$B$13/4))^2),1)*IF(AND($A278&gt;='Control Room'!$A$14,$A278&lt;'Control Room'!$A$14+'Control Room'!$B$14,'Process'!BS3=1),1+('Control Room'!$C$14-1)*EXP(-0.5*(($A278-'Control Room'!$A$14-('Control Room'!$B$14-1)/2)/MAX(0.5,'Control Room'!$B$14/4))^2),1)*IF(AND($A278&gt;='Control Room'!$A$15,$A278&lt;'Control Room'!$A$15+'Control Room'!$B$15,'Process'!BS4=1),1+('Control Room'!$C$15-1)*EXP(-0.5*(($A278-'Control Room'!$A$15-('Control Room'!$B$15-1)/2)/MAX(0.5,'Control Room'!$B$15/4))^2),1)*IF(AND($A278&gt;='Control Room'!$A$16,$A278&lt;'Control Room'!$A$16+'Control Room'!$B$16,'Process'!BS5=1),1+('Control Room'!$C$16-1)*EXP(-0.5*(($A278-'Control Room'!$A$16-('Control Room'!$B$16-1)/2)/MAX(0.5,'Control Room'!$B$16/4))^2),1)</x:f>
        <x:v>1</x:v>
      </x:c>
      <x:c r="AU278" s="9" t="n">
        <x:f>MOD(AV277*16807,2147483647)</x:f>
        <x:v>485468707</x:v>
      </x:c>
      <x:c r="AV278" s="9" t="n">
        <x:f>MOD(AU278*16807,2147483647)</x:f>
        <x:v>982183596</x:v>
      </x:c>
      <x:c r="AW278" s="17" t="n">
        <x:f>IF('Control Room'!$B$5="Normal",'Control Room'!$B$7+'Control Room'!$D$7*SQRT(-2*LN(MAX(0.000000000001,AU278/2147483647)))*COS(2*PI()*AV278/2147483647),'Control Room'!$B$8+('Control Room'!$D$8-'Control Room'!$B$8)*AU278/2147483647)</x:f>
        <x:v>850.3313400616221</x:v>
      </x:c>
      <x:c r="AX278" s="17" t="n">
        <x:f>IF('Control Room'!$B$5="Normal",'Control Room'!$B$7,('Control Room'!$B$8+'Control Room'!$D$8)/2)+'Control Room'!$B$9*(AX277-IF('Control Room'!$B$5="Normal",'Control Room'!$B$7,('Control Room'!$B$8+'Control Room'!$D$8)/2))+SQRT(1-'Control Room'!$B$9^2)*(AW278-IF('Control Room'!$B$5="Normal",'Control Room'!$B$7,('Control Room'!$B$8+'Control Room'!$D$8)/2))</x:f>
        <x:v>1003.0934720621244</x:v>
      </x:c>
      <x:c r="AY278" s="17" t="n">
        <x:f>IF(AND($A278&gt;='Control Room'!$A$13,$A278&lt;'Control Room'!$A$13+'Control Room'!$B$13,'Process'!BT2=1),1+('Control Room'!$C$13-1)*EXP(-0.5*(($A278-'Control Room'!$A$13-('Control Room'!$B$13-1)/2)/MAX(0.5,'Control Room'!$B$13/4))^2),1)*IF(AND($A278&gt;='Control Room'!$A$14,$A278&lt;'Control Room'!$A$14+'Control Room'!$B$14,'Process'!BT3=1),1+('Control Room'!$C$14-1)*EXP(-0.5*(($A278-'Control Room'!$A$14-('Control Room'!$B$14-1)/2)/MAX(0.5,'Control Room'!$B$14/4))^2),1)*IF(AND($A278&gt;='Control Room'!$A$15,$A278&lt;'Control Room'!$A$15+'Control Room'!$B$15,'Process'!BT4=1),1+('Control Room'!$C$15-1)*EXP(-0.5*(($A278-'Control Room'!$A$15-('Control Room'!$B$15-1)/2)/MAX(0.5,'Control Room'!$B$15/4))^2),1)*IF(AND($A278&gt;='Control Room'!$A$16,$A278&lt;'Control Room'!$A$16+'Control Room'!$B$16,'Process'!BT5=1),1+('Control Room'!$C$16-1)*EXP(-0.5*(($A278-'Control Room'!$A$16-('Control Room'!$B$16-1)/2)/MAX(0.5,'Control Room'!$B$16/4))^2),1)</x:f>
        <x:v>1</x:v>
      </x:c>
      <x:c r="AZ278" s="9" t="n">
        <x:f>MOD(BA277*16807,2147483647)</x:f>
        <x:v>246139049</x:v>
      </x:c>
      <x:c r="BA278" s="9" t="n">
        <x:f>MOD(AZ278*16807,2147483647)</x:f>
        <x:v>805492421</x:v>
      </x:c>
      <x:c r="BB278" s="17" t="n">
        <x:f>IF('Control Room'!$B$5="Normal",'Control Room'!$B$7+'Control Room'!$D$7*SQRT(-2*LN(MAX(0.000000000001,AZ278/2147483647)))*COS(2*PI()*BA278/2147483647),'Control Room'!$B$8+('Control Room'!$D$8-'Control Room'!$B$8)*AZ278/2147483647)</x:f>
        <x:v>867.4671304611744</x:v>
      </x:c>
      <x:c r="BC278" s="17" t="n">
        <x:f>IF('Control Room'!$B$5="Normal",'Control Room'!$B$7,('Control Room'!$B$8+'Control Room'!$D$8)/2)+'Control Room'!$B$9*(BC277-IF('Control Room'!$B$5="Normal",'Control Room'!$B$7,('Control Room'!$B$8+'Control Room'!$D$8)/2))+SQRT(1-'Control Room'!$B$9^2)*(BB278-IF('Control Room'!$B$5="Normal",'Control Room'!$B$7,('Control Room'!$B$8+'Control Room'!$D$8)/2))</x:f>
        <x:v>975.184981581195</x:v>
      </x:c>
      <x:c r="BD278" s="17" t="n">
        <x:f>IF(AND($A278&gt;='Control Room'!$A$13,$A278&lt;'Control Room'!$A$13+'Control Room'!$B$13,'Process'!BU2=1),1+('Control Room'!$C$13-1)*EXP(-0.5*(($A278-'Control Room'!$A$13-('Control Room'!$B$13-1)/2)/MAX(0.5,'Control Room'!$B$13/4))^2),1)*IF(AND($A278&gt;='Control Room'!$A$14,$A278&lt;'Control Room'!$A$14+'Control Room'!$B$14,'Process'!BU3=1),1+('Control Room'!$C$14-1)*EXP(-0.5*(($A278-'Control Room'!$A$14-('Control Room'!$B$14-1)/2)/MAX(0.5,'Control Room'!$B$14/4))^2),1)*IF(AND($A278&gt;='Control Room'!$A$15,$A278&lt;'Control Room'!$A$15+'Control Room'!$B$15,'Process'!BU4=1),1+('Control Room'!$C$15-1)*EXP(-0.5*(($A278-'Control Room'!$A$15-('Control Room'!$B$15-1)/2)/MAX(0.5,'Control Room'!$B$15/4))^2),1)*IF(AND($A278&gt;='Control Room'!$A$16,$A278&lt;'Control Room'!$A$16+'Control Room'!$B$16,'Process'!BU5=1),1+('Control Room'!$C$16-1)*EXP(-0.5*(($A278-'Control Room'!$A$16-('Control Room'!$B$16-1)/2)/MAX(0.5,'Control Room'!$B$16/4))^2),1)</x:f>
        <x:v>1</x:v>
      </x:c>
      <x:c r="BE278" s="9" t="n">
        <x:f>MOD(BF277*16807,2147483647)</x:f>
        <x:v>6809391</x:v>
      </x:c>
      <x:c r="BF278" s="9" t="n">
        <x:f>MOD(BE278*16807,2147483647)</x:f>
        <x:v>628801246</x:v>
      </x:c>
      <x:c r="BG278" s="17" t="n">
        <x:f>IF('Control Room'!$B$5="Normal",'Control Room'!$B$7+'Control Room'!$D$7*SQRT(-2*LN(MAX(0.000000000001,BE278/2147483647)))*COS(2*PI()*BF278/2147483647),'Control Room'!$B$8+('Control Room'!$D$8-'Control Room'!$B$8)*BE278/2147483647)</x:f>
        <x:v>918.8679376105584</x:v>
      </x:c>
      <x:c r="BH278" s="17" t="n">
        <x:f>IF('Control Room'!$B$5="Normal",'Control Room'!$B$7,('Control Room'!$B$8+'Control Room'!$D$8)/2)+'Control Room'!$B$9*(BH277-IF('Control Room'!$B$5="Normal",'Control Room'!$B$7,('Control Room'!$B$8+'Control Room'!$D$8)/2))+SQRT(1-'Control Room'!$B$9^2)*(BG278-IF('Control Room'!$B$5="Normal",'Control Room'!$B$7,('Control Room'!$B$8+'Control Room'!$D$8)/2))</x:f>
        <x:v>951.107421337673</x:v>
      </x:c>
      <x:c r="BI278" s="17" t="n">
        <x:f>IF(AND($A278&gt;='Control Room'!$A$13,$A278&lt;'Control Room'!$A$13+'Control Room'!$B$13,'Process'!BV2=1),1+('Control Room'!$C$13-1)*EXP(-0.5*(($A278-'Control Room'!$A$13-('Control Room'!$B$13-1)/2)/MAX(0.5,'Control Room'!$B$13/4))^2),1)*IF(AND($A278&gt;='Control Room'!$A$14,$A278&lt;'Control Room'!$A$14+'Control Room'!$B$14,'Process'!BV3=1),1+('Control Room'!$C$14-1)*EXP(-0.5*(($A278-'Control Room'!$A$14-('Control Room'!$B$14-1)/2)/MAX(0.5,'Control Room'!$B$14/4))^2),1)*IF(AND($A278&gt;='Control Room'!$A$15,$A278&lt;'Control Room'!$A$15+'Control Room'!$B$15,'Process'!BV4=1),1+('Control Room'!$C$15-1)*EXP(-0.5*(($A278-'Control Room'!$A$15-('Control Room'!$B$15-1)/2)/MAX(0.5,'Control Room'!$B$15/4))^2),1)*IF(AND($A278&gt;='Control Room'!$A$16,$A278&lt;'Control Room'!$A$16+'Control Room'!$B$16,'Process'!BV5=1),1+('Control Room'!$C$16-1)*EXP(-0.5*(($A278-'Control Room'!$A$16-('Control Room'!$B$16-1)/2)/MAX(0.5,'Control Room'!$B$16/4))^2),1)</x:f>
        <x:v>1</x:v>
      </x:c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Z278" t="str">
        <x:f>IF('Data'!A278="","",TEXT('Data'!A278,"mm-dd"))</x:f>
      </x:c>
    </x:row>
    <x:row r="279" ht="21" customHeight="1">
      <x:c r="A279" s="15" t="n">
        <x:f>'Control Room'!$B$1+277</x:f>
        <x:v>73268</x:v>
      </x:c>
      <x:c r="B279" s="9" t="n">
        <x:f>MOD(C278*16807,2147483647)</x:f>
        <x:v>1256120593</x:v>
      </x:c>
      <x:c r="C279" s="9" t="n">
        <x:f>MOD(B279*16807,2147483647)</x:f>
        <x:v>1854556541</x:v>
      </x:c>
      <x:c r="D279" s="17" t="n">
        <x:f>IF('Control Room'!$B$5="Normal",'Control Room'!$B$7+'Control Room'!$D$7*SQRT(-2*LN(MAX(0.000000000001,B279/2147483647)))*COS(2*PI()*C279/2147483647),'Control Room'!$B$8+('Control Room'!$D$8-'Control Room'!$B$8)*B279/2147483647)</x:f>
        <x:v>1061.0194051205895</x:v>
      </x:c>
      <x:c r="E279" s="17" t="n">
        <x:f>IF('Control Room'!$B$5="Normal",'Control Room'!$B$7,('Control Room'!$B$8+'Control Room'!$D$8)/2)+'Control Room'!$B$9*(E278-IF('Control Room'!$B$5="Normal",'Control Room'!$B$7,('Control Room'!$B$8+'Control Room'!$D$8)/2))+SQRT(1-'Control Room'!$B$9^2)*(D279-IF('Control Room'!$B$5="Normal",'Control Room'!$B$7,('Control Room'!$B$8+'Control Room'!$D$8)/2))</x:f>
        <x:v>1123.9051544016872</x:v>
      </x:c>
      <x:c r="F279" s="17" t="n">
        <x:f>IF(AND($A279&gt;='Control Room'!$A$13,$A279&lt;'Control Room'!$A$13+'Control Room'!$B$13,'Process'!BK2=1),1+('Control Room'!$C$13-1)*EXP(-0.5*(($A279-'Control Room'!$A$13-('Control Room'!$B$13-1)/2)/MAX(0.5,'Control Room'!$B$13/4))^2),1)*IF(AND($A279&gt;='Control Room'!$A$14,$A279&lt;'Control Room'!$A$14+'Control Room'!$B$14,'Process'!BK3=1),1+('Control Room'!$C$14-1)*EXP(-0.5*(($A279-'Control Room'!$A$14-('Control Room'!$B$14-1)/2)/MAX(0.5,'Control Room'!$B$14/4))^2),1)*IF(AND($A279&gt;='Control Room'!$A$15,$A279&lt;'Control Room'!$A$15+'Control Room'!$B$15,'Process'!BK4=1),1+('Control Room'!$C$15-1)*EXP(-0.5*(($A279-'Control Room'!$A$15-('Control Room'!$B$15-1)/2)/MAX(0.5,'Control Room'!$B$15/4))^2),1)*IF(AND($A279&gt;='Control Room'!$A$16,$A279&lt;'Control Room'!$A$16+'Control Room'!$B$16,'Process'!BK5=1),1+('Control Room'!$C$16-1)*EXP(-0.5*(($A279-'Control Room'!$A$16-('Control Room'!$B$16-1)/2)/MAX(0.5,'Control Room'!$B$16/4))^2),1)</x:f>
        <x:v>1</x:v>
      </x:c>
      <x:c r="G279" s="9" t="n">
        <x:f>MOD(H278*16807,2147483647)</x:f>
        <x:v>1577426169</x:v>
      </x:c>
      <x:c r="H279" s="9" t="n">
        <x:f>MOD(G279*16807,2147483647)</x:f>
        <x:v>1116000168</x:v>
      </x:c>
      <x:c r="I279" s="17" t="n">
        <x:f>IF('Control Room'!$B$5="Normal",'Control Room'!$B$7+'Control Room'!$D$7*SQRT(-2*LN(MAX(0.000000000001,G279/2147483647)))*COS(2*PI()*H279/2147483647),'Control Room'!$B$8+('Control Room'!$D$8-'Control Room'!$B$8)*G279/2147483647)</x:f>
        <x:v>929.8449996677543</x:v>
      </x:c>
      <x:c r="J279" s="17" t="n">
        <x:f>IF('Control Room'!$B$5="Normal",'Control Room'!$B$7,('Control Room'!$B$8+'Control Room'!$D$8)/2)+'Control Room'!$B$9*(J278-IF('Control Room'!$B$5="Normal",'Control Room'!$B$7,('Control Room'!$B$8+'Control Room'!$D$8)/2))+SQRT(1-'Control Room'!$B$9^2)*(I279-IF('Control Room'!$B$5="Normal",'Control Room'!$B$7,('Control Room'!$B$8+'Control Room'!$D$8)/2))</x:f>
        <x:v>954.6593839988956</x:v>
      </x:c>
      <x:c r="K279" s="17" t="n">
        <x:f>IF(AND($A279&gt;='Control Room'!$A$13,$A279&lt;'Control Room'!$A$13+'Control Room'!$B$13,'Process'!BL2=1),1+('Control Room'!$C$13-1)*EXP(-0.5*(($A279-'Control Room'!$A$13-('Control Room'!$B$13-1)/2)/MAX(0.5,'Control Room'!$B$13/4))^2),1)*IF(AND($A279&gt;='Control Room'!$A$14,$A279&lt;'Control Room'!$A$14+'Control Room'!$B$14,'Process'!BL3=1),1+('Control Room'!$C$14-1)*EXP(-0.5*(($A279-'Control Room'!$A$14-('Control Room'!$B$14-1)/2)/MAX(0.5,'Control Room'!$B$14/4))^2),1)*IF(AND($A279&gt;='Control Room'!$A$15,$A279&lt;'Control Room'!$A$15+'Control Room'!$B$15,'Process'!BL4=1),1+('Control Room'!$C$15-1)*EXP(-0.5*(($A279-'Control Room'!$A$15-('Control Room'!$B$15-1)/2)/MAX(0.5,'Control Room'!$B$15/4))^2),1)*IF(AND($A279&gt;='Control Room'!$A$16,$A279&lt;'Control Room'!$A$16+'Control Room'!$B$16,'Process'!BL5=1),1+('Control Room'!$C$16-1)*EXP(-0.5*(($A279-'Control Room'!$A$16-('Control Room'!$B$16-1)/2)/MAX(0.5,'Control Room'!$B$16/4))^2),1)</x:f>
        <x:v>1</x:v>
      </x:c>
      <x:c r="L279" s="9" t="n">
        <x:f>MOD(M278*16807,2147483647)</x:f>
        <x:v>1898731745</x:v>
      </x:c>
      <x:c r="M279" s="9" t="n">
        <x:f>MOD(L279*16807,2147483647)</x:f>
        <x:v>377443795</x:v>
      </x:c>
      <x:c r="N279" s="17" t="n">
        <x:f>IF('Control Room'!$B$5="Normal",'Control Room'!$B$7+'Control Room'!$D$7*SQRT(-2*LN(MAX(0.000000000001,L279/2147483647)))*COS(2*PI()*M279/2147483647),'Control Room'!$B$8+('Control Room'!$D$8-'Control Room'!$B$8)*L279/2147483647)</x:f>
        <x:v>1020.0841027154448</x:v>
      </x:c>
      <x:c r="O279" s="17" t="n">
        <x:f>IF('Control Room'!$B$5="Normal",'Control Room'!$B$7,('Control Room'!$B$8+'Control Room'!$D$8)/2)+'Control Room'!$B$9*(O278-IF('Control Room'!$B$5="Normal",'Control Room'!$B$7,('Control Room'!$B$8+'Control Room'!$D$8)/2))+SQRT(1-'Control Room'!$B$9^2)*(N279-IF('Control Room'!$B$5="Normal",'Control Room'!$B$7,('Control Room'!$B$8+'Control Room'!$D$8)/2))</x:f>
        <x:v>1140.9944299414763</x:v>
      </x:c>
      <x:c r="P279" s="17" t="n">
        <x:f>IF(AND($A279&gt;='Control Room'!$A$13,$A279&lt;'Control Room'!$A$13+'Control Room'!$B$13,'Process'!BM2=1),1+('Control Room'!$C$13-1)*EXP(-0.5*(($A279-'Control Room'!$A$13-('Control Room'!$B$13-1)/2)/MAX(0.5,'Control Room'!$B$13/4))^2),1)*IF(AND($A279&gt;='Control Room'!$A$14,$A279&lt;'Control Room'!$A$14+'Control Room'!$B$14,'Process'!BM3=1),1+('Control Room'!$C$14-1)*EXP(-0.5*(($A279-'Control Room'!$A$14-('Control Room'!$B$14-1)/2)/MAX(0.5,'Control Room'!$B$14/4))^2),1)*IF(AND($A279&gt;='Control Room'!$A$15,$A279&lt;'Control Room'!$A$15+'Control Room'!$B$15,'Process'!BM4=1),1+('Control Room'!$C$15-1)*EXP(-0.5*(($A279-'Control Room'!$A$15-('Control Room'!$B$15-1)/2)/MAX(0.5,'Control Room'!$B$15/4))^2),1)*IF(AND($A279&gt;='Control Room'!$A$16,$A279&lt;'Control Room'!$A$16+'Control Room'!$B$16,'Process'!BM5=1),1+('Control Room'!$C$16-1)*EXP(-0.5*(($A279-'Control Room'!$A$16-('Control Room'!$B$16-1)/2)/MAX(0.5,'Control Room'!$B$16/4))^2),1)</x:f>
        <x:v>1</x:v>
      </x:c>
      <x:c r="Q279" s="9" t="n">
        <x:f>MOD(R278*16807,2147483647)</x:f>
        <x:v>72553674</x:v>
      </x:c>
      <x:c r="R279" s="9" t="n">
        <x:f>MOD(Q279*16807,2147483647)</x:f>
        <x:v>1786371069</x:v>
      </x:c>
      <x:c r="S279" s="17" t="n">
        <x:f>IF('Control Room'!$B$5="Normal",'Control Room'!$B$7+'Control Room'!$D$7*SQRT(-2*LN(MAX(0.000000000001,Q279/2147483647)))*COS(2*PI()*R279/2147483647),'Control Room'!$B$8+('Control Room'!$D$8-'Control Room'!$B$8)*Q279/2147483647)</x:f>
        <x:v>1115.2298274380996</x:v>
      </x:c>
      <x:c r="T279" s="17" t="n">
        <x:f>IF('Control Room'!$B$5="Normal",'Control Room'!$B$7,('Control Room'!$B$8+'Control Room'!$D$8)/2)+'Control Room'!$B$9*(T278-IF('Control Room'!$B$5="Normal",'Control Room'!$B$7,('Control Room'!$B$8+'Control Room'!$D$8)/2))+SQRT(1-'Control Room'!$B$9^2)*(S279-IF('Control Room'!$B$5="Normal",'Control Room'!$B$7,('Control Room'!$B$8+'Control Room'!$D$8)/2))</x:f>
        <x:v>1183.40736868555</x:v>
      </x:c>
      <x:c r="U279" s="17" t="n">
        <x:f>IF(AND($A279&gt;='Control Room'!$A$13,$A279&lt;'Control Room'!$A$13+'Control Room'!$B$13,'Process'!BN2=1),1+('Control Room'!$C$13-1)*EXP(-0.5*(($A279-'Control Room'!$A$13-('Control Room'!$B$13-1)/2)/MAX(0.5,'Control Room'!$B$13/4))^2),1)*IF(AND($A279&gt;='Control Room'!$A$14,$A279&lt;'Control Room'!$A$14+'Control Room'!$B$14,'Process'!BN3=1),1+('Control Room'!$C$14-1)*EXP(-0.5*(($A279-'Control Room'!$A$14-('Control Room'!$B$14-1)/2)/MAX(0.5,'Control Room'!$B$14/4))^2),1)*IF(AND($A279&gt;='Control Room'!$A$15,$A279&lt;'Control Room'!$A$15+'Control Room'!$B$15,'Process'!BN4=1),1+('Control Room'!$C$15-1)*EXP(-0.5*(($A279-'Control Room'!$A$15-('Control Room'!$B$15-1)/2)/MAX(0.5,'Control Room'!$B$15/4))^2),1)*IF(AND($A279&gt;='Control Room'!$A$16,$A279&lt;'Control Room'!$A$16+'Control Room'!$B$16,'Process'!BN5=1),1+('Control Room'!$C$16-1)*EXP(-0.5*(($A279-'Control Room'!$A$16-('Control Room'!$B$16-1)/2)/MAX(0.5,'Control Room'!$B$16/4))^2),1)</x:f>
        <x:v>1</x:v>
      </x:c>
      <x:c r="V279" s="9" t="n">
        <x:f>MOD(W278*16807,2147483647)</x:f>
        <x:v>393859250</x:v>
      </x:c>
      <x:c r="W279" s="9" t="n">
        <x:f>MOD(V279*16807,2147483647)</x:f>
        <x:v>1047814696</x:v>
      </x:c>
      <x:c r="X279" s="17" t="n">
        <x:f>IF('Control Room'!$B$5="Normal",'Control Room'!$B$7+'Control Room'!$D$7*SQRT(-2*LN(MAX(0.000000000001,V279/2147483647)))*COS(2*PI()*W279/2147483647),'Control Room'!$B$8+('Control Room'!$D$8-'Control Room'!$B$8)*V279/2147483647)</x:f>
        <x:v>834.7174006699975</x:v>
      </x:c>
      <x:c r="Y279" s="17" t="n">
        <x:f>IF('Control Room'!$B$5="Normal",'Control Room'!$B$7,('Control Room'!$B$8+'Control Room'!$D$8)/2)+'Control Room'!$B$9*(Y278-IF('Control Room'!$B$5="Normal",'Control Room'!$B$7,('Control Room'!$B$8+'Control Room'!$D$8)/2))+SQRT(1-'Control Room'!$B$9^2)*(X279-IF('Control Room'!$B$5="Normal",'Control Room'!$B$7,('Control Room'!$B$8+'Control Room'!$D$8)/2))</x:f>
        <x:v>913.0376815999949</x:v>
      </x:c>
      <x:c r="Z279" s="17" t="n">
        <x:f>IF(AND($A279&gt;='Control Room'!$A$13,$A279&lt;'Control Room'!$A$13+'Control Room'!$B$13,'Process'!BO2=1),1+('Control Room'!$C$13-1)*EXP(-0.5*(($A279-'Control Room'!$A$13-('Control Room'!$B$13-1)/2)/MAX(0.5,'Control Room'!$B$13/4))^2),1)*IF(AND($A279&gt;='Control Room'!$A$14,$A279&lt;'Control Room'!$A$14+'Control Room'!$B$14,'Process'!BO3=1),1+('Control Room'!$C$14-1)*EXP(-0.5*(($A279-'Control Room'!$A$14-('Control Room'!$B$14-1)/2)/MAX(0.5,'Control Room'!$B$14/4))^2),1)*IF(AND($A279&gt;='Control Room'!$A$15,$A279&lt;'Control Room'!$A$15+'Control Room'!$B$15,'Process'!BO4=1),1+('Control Room'!$C$15-1)*EXP(-0.5*(($A279-'Control Room'!$A$15-('Control Room'!$B$15-1)/2)/MAX(0.5,'Control Room'!$B$15/4))^2),1)*IF(AND($A279&gt;='Control Room'!$A$16,$A279&lt;'Control Room'!$A$16+'Control Room'!$B$16,'Process'!BO5=1),1+('Control Room'!$C$16-1)*EXP(-0.5*(($A279-'Control Room'!$A$16-('Control Room'!$B$16-1)/2)/MAX(0.5,'Control Room'!$B$16/4))^2),1)</x:f>
        <x:v>1</x:v>
      </x:c>
      <x:c r="AA279" s="9" t="n">
        <x:f>MOD(AB278*16807,2147483647)</x:f>
        <x:v>715164826</x:v>
      </x:c>
      <x:c r="AB279" s="9" t="n">
        <x:f>MOD(AA279*16807,2147483647)</x:f>
        <x:v>309258323</x:v>
      </x:c>
      <x:c r="AC279" s="17" t="n">
        <x:f>IF('Control Room'!$B$5="Normal",'Control Room'!$B$7+'Control Room'!$D$7*SQRT(-2*LN(MAX(0.000000000001,AA279/2147483647)))*COS(2*PI()*AB279/2147483647),'Control Room'!$B$8+('Control Room'!$D$8-'Control Room'!$B$8)*AA279/2147483647)</x:f>
        <x:v>1082.4554173954398</x:v>
      </x:c>
      <x:c r="AD279" s="17" t="n">
        <x:f>IF('Control Room'!$B$5="Normal",'Control Room'!$B$7,('Control Room'!$B$8+'Control Room'!$D$8)/2)+'Control Room'!$B$9*(AD278-IF('Control Room'!$B$5="Normal",'Control Room'!$B$7,('Control Room'!$B$8+'Control Room'!$D$8)/2))+SQRT(1-'Control Room'!$B$9^2)*(AC279-IF('Control Room'!$B$5="Normal",'Control Room'!$B$7,('Control Room'!$B$8+'Control Room'!$D$8)/2))</x:f>
        <x:v>1135.554906244721</x:v>
      </x:c>
      <x:c r="AE279" s="17" t="n">
        <x:f>IF(AND($A279&gt;='Control Room'!$A$13,$A279&lt;'Control Room'!$A$13+'Control Room'!$B$13,'Process'!BP2=1),1+('Control Room'!$C$13-1)*EXP(-0.5*(($A279-'Control Room'!$A$13-('Control Room'!$B$13-1)/2)/MAX(0.5,'Control Room'!$B$13/4))^2),1)*IF(AND($A279&gt;='Control Room'!$A$14,$A279&lt;'Control Room'!$A$14+'Control Room'!$B$14,'Process'!BP3=1),1+('Control Room'!$C$14-1)*EXP(-0.5*(($A279-'Control Room'!$A$14-('Control Room'!$B$14-1)/2)/MAX(0.5,'Control Room'!$B$14/4))^2),1)*IF(AND($A279&gt;='Control Room'!$A$15,$A279&lt;'Control Room'!$A$15+'Control Room'!$B$15,'Process'!BP4=1),1+('Control Room'!$C$15-1)*EXP(-0.5*(($A279-'Control Room'!$A$15-('Control Room'!$B$15-1)/2)/MAX(0.5,'Control Room'!$B$15/4))^2),1)*IF(AND($A279&gt;='Control Room'!$A$16,$A279&lt;'Control Room'!$A$16+'Control Room'!$B$16,'Process'!BP5=1),1+('Control Room'!$C$16-1)*EXP(-0.5*(($A279-'Control Room'!$A$16-('Control Room'!$B$16-1)/2)/MAX(0.5,'Control Room'!$B$16/4))^2),1)</x:f>
        <x:v>1</x:v>
      </x:c>
      <x:c r="AF279" s="9" t="n">
        <x:f>MOD(AG278*16807,2147483647)</x:f>
        <x:v>1036470402</x:v>
      </x:c>
      <x:c r="AG279" s="9" t="n">
        <x:f>MOD(AF279*16807,2147483647)</x:f>
        <x:v>1718185597</x:v>
      </x:c>
      <x:c r="AH279" s="17" t="n">
        <x:f>IF('Control Room'!$B$5="Normal",'Control Room'!$B$7+'Control Room'!$D$7*SQRT(-2*LN(MAX(0.000000000001,AF279/2147483647)))*COS(2*PI()*AG279/2147483647),'Control Room'!$B$8+('Control Room'!$D$8-'Control Room'!$B$8)*AF279/2147483647)</x:f>
        <x:v>1033.6297477589994</x:v>
      </x:c>
      <x:c r="AI279" s="17" t="n">
        <x:f>IF('Control Room'!$B$5="Normal",'Control Room'!$B$7,('Control Room'!$B$8+'Control Room'!$D$8)/2)+'Control Room'!$B$9*(AI278-IF('Control Room'!$B$5="Normal",'Control Room'!$B$7,('Control Room'!$B$8+'Control Room'!$D$8)/2))+SQRT(1-'Control Room'!$B$9^2)*(AH279-IF('Control Room'!$B$5="Normal",'Control Room'!$B$7,('Control Room'!$B$8+'Control Room'!$D$8)/2))</x:f>
        <x:v>976.899878177047</x:v>
      </x:c>
      <x:c r="AJ279" s="17" t="n">
        <x:f>IF(AND($A279&gt;='Control Room'!$A$13,$A279&lt;'Control Room'!$A$13+'Control Room'!$B$13,'Process'!BQ2=1),1+('Control Room'!$C$13-1)*EXP(-0.5*(($A279-'Control Room'!$A$13-('Control Room'!$B$13-1)/2)/MAX(0.5,'Control Room'!$B$13/4))^2),1)*IF(AND($A279&gt;='Control Room'!$A$14,$A279&lt;'Control Room'!$A$14+'Control Room'!$B$14,'Process'!BQ3=1),1+('Control Room'!$C$14-1)*EXP(-0.5*(($A279-'Control Room'!$A$14-('Control Room'!$B$14-1)/2)/MAX(0.5,'Control Room'!$B$14/4))^2),1)*IF(AND($A279&gt;='Control Room'!$A$15,$A279&lt;'Control Room'!$A$15+'Control Room'!$B$15,'Process'!BQ4=1),1+('Control Room'!$C$15-1)*EXP(-0.5*(($A279-'Control Room'!$A$15-('Control Room'!$B$15-1)/2)/MAX(0.5,'Control Room'!$B$15/4))^2),1)*IF(AND($A279&gt;='Control Room'!$A$16,$A279&lt;'Control Room'!$A$16+'Control Room'!$B$16,'Process'!BQ5=1),1+('Control Room'!$C$16-1)*EXP(-0.5*(($A279-'Control Room'!$A$16-('Control Room'!$B$16-1)/2)/MAX(0.5,'Control Room'!$B$16/4))^2),1)</x:f>
        <x:v>1</x:v>
      </x:c>
      <x:c r="AK279" s="9" t="n">
        <x:f>MOD(AL278*16807,2147483647)</x:f>
        <x:v>1357775978</x:v>
      </x:c>
      <x:c r="AL279" s="9" t="n">
        <x:f>MOD(AK279*16807,2147483647)</x:f>
        <x:v>979629224</x:v>
      </x:c>
      <x:c r="AM279" s="17" t="n">
        <x:f>IF('Control Room'!$B$5="Normal",'Control Room'!$B$7+'Control Room'!$D$7*SQRT(-2*LN(MAX(0.000000000001,AK279/2147483647)))*COS(2*PI()*AL279/2147483647),'Control Room'!$B$8+('Control Room'!$D$8-'Control Room'!$B$8)*AK279/2147483647)</x:f>
        <x:v>917.067269253189</x:v>
      </x:c>
      <x:c r="AN279" s="17" t="n">
        <x:f>IF('Control Room'!$B$5="Normal",'Control Room'!$B$7,('Control Room'!$B$8+'Control Room'!$D$8)/2)+'Control Room'!$B$9*(AN278-IF('Control Room'!$B$5="Normal",'Control Room'!$B$7,('Control Room'!$B$8+'Control Room'!$D$8)/2))+SQRT(1-'Control Room'!$B$9^2)*(AM279-IF('Control Room'!$B$5="Normal",'Control Room'!$B$7,('Control Room'!$B$8+'Control Room'!$D$8)/2))</x:f>
        <x:v>783.5287714368872</x:v>
      </x:c>
      <x:c r="AO279" s="17" t="n">
        <x:f>IF(AND($A279&gt;='Control Room'!$A$13,$A279&lt;'Control Room'!$A$13+'Control Room'!$B$13,'Process'!BR2=1),1+('Control Room'!$C$13-1)*EXP(-0.5*(($A279-'Control Room'!$A$13-('Control Room'!$B$13-1)/2)/MAX(0.5,'Control Room'!$B$13/4))^2),1)*IF(AND($A279&gt;='Control Room'!$A$14,$A279&lt;'Control Room'!$A$14+'Control Room'!$B$14,'Process'!BR3=1),1+('Control Room'!$C$14-1)*EXP(-0.5*(($A279-'Control Room'!$A$14-('Control Room'!$B$14-1)/2)/MAX(0.5,'Control Room'!$B$14/4))^2),1)*IF(AND($A279&gt;='Control Room'!$A$15,$A279&lt;'Control Room'!$A$15+'Control Room'!$B$15,'Process'!BR4=1),1+('Control Room'!$C$15-1)*EXP(-0.5*(($A279-'Control Room'!$A$15-('Control Room'!$B$15-1)/2)/MAX(0.5,'Control Room'!$B$15/4))^2),1)*IF(AND($A279&gt;='Control Room'!$A$16,$A279&lt;'Control Room'!$A$16+'Control Room'!$B$16,'Process'!BR5=1),1+('Control Room'!$C$16-1)*EXP(-0.5*(($A279-'Control Room'!$A$16-('Control Room'!$B$16-1)/2)/MAX(0.5,'Control Room'!$B$16/4))^2),1)</x:f>
        <x:v>1</x:v>
      </x:c>
      <x:c r="AP279" s="9" t="n">
        <x:f>MOD(AQ278*16807,2147483647)</x:f>
        <x:v>1679081554</x:v>
      </x:c>
      <x:c r="AQ279" s="9" t="n">
        <x:f>MOD(AP279*16807,2147483647)</x:f>
        <x:v>241072851</x:v>
      </x:c>
      <x:c r="AR279" s="17" t="n">
        <x:f>IF('Control Room'!$B$5="Normal",'Control Room'!$B$7+'Control Room'!$D$7*SQRT(-2*LN(MAX(0.000000000001,AP279/2147483647)))*COS(2*PI()*AQ279/2147483647),'Control Room'!$B$8+('Control Room'!$D$8-'Control Room'!$B$8)*AP279/2147483647)</x:f>
        <x:v>1048.0703171914142</x:v>
      </x:c>
      <x:c r="AS279" s="17" t="n">
        <x:f>IF('Control Room'!$B$5="Normal",'Control Room'!$B$7,('Control Room'!$B$8+'Control Room'!$D$8)/2)+'Control Room'!$B$9*(AS278-IF('Control Room'!$B$5="Normal",'Control Room'!$B$7,('Control Room'!$B$8+'Control Room'!$D$8)/2))+SQRT(1-'Control Room'!$B$9^2)*(AR279-IF('Control Room'!$B$5="Normal",'Control Room'!$B$7,('Control Room'!$B$8+'Control Room'!$D$8)/2))</x:f>
        <x:v>945.210556881394</x:v>
      </x:c>
      <x:c r="AT279" s="17" t="n">
        <x:f>IF(AND($A279&gt;='Control Room'!$A$13,$A279&lt;'Control Room'!$A$13+'Control Room'!$B$13,'Process'!BS2=1),1+('Control Room'!$C$13-1)*EXP(-0.5*(($A279-'Control Room'!$A$13-('Control Room'!$B$13-1)/2)/MAX(0.5,'Control Room'!$B$13/4))^2),1)*IF(AND($A279&gt;='Control Room'!$A$14,$A279&lt;'Control Room'!$A$14+'Control Room'!$B$14,'Process'!BS3=1),1+('Control Room'!$C$14-1)*EXP(-0.5*(($A279-'Control Room'!$A$14-('Control Room'!$B$14-1)/2)/MAX(0.5,'Control Room'!$B$14/4))^2),1)*IF(AND($A279&gt;='Control Room'!$A$15,$A279&lt;'Control Room'!$A$15+'Control Room'!$B$15,'Process'!BS4=1),1+('Control Room'!$C$15-1)*EXP(-0.5*(($A279-'Control Room'!$A$15-('Control Room'!$B$15-1)/2)/MAX(0.5,'Control Room'!$B$15/4))^2),1)*IF(AND($A279&gt;='Control Room'!$A$16,$A279&lt;'Control Room'!$A$16+'Control Room'!$B$16,'Process'!BS5=1),1+('Control Room'!$C$16-1)*EXP(-0.5*(($A279-'Control Room'!$A$16-('Control Room'!$B$16-1)/2)/MAX(0.5,'Control Room'!$B$16/4))^2),1)</x:f>
        <x:v>1</x:v>
      </x:c>
      <x:c r="AU279" s="9" t="n">
        <x:f>MOD(AV278*16807,2147483647)</x:f>
        <x:v>2000387130</x:v>
      </x:c>
      <x:c r="AV279" s="9" t="n">
        <x:f>MOD(AU279*16807,2147483647)</x:f>
        <x:v>1650000125</x:v>
      </x:c>
      <x:c r="AW279" s="17" t="n">
        <x:f>IF('Control Room'!$B$5="Normal",'Control Room'!$B$7+'Control Room'!$D$7*SQRT(-2*LN(MAX(0.000000000001,AU279/2147483647)))*COS(2*PI()*AV279/2147483647),'Control Room'!$B$8+('Control Room'!$D$8-'Control Room'!$B$8)*AU279/2147483647)</x:f>
        <x:v>1003.8985012172765</x:v>
      </x:c>
      <x:c r="AX279" s="17" t="n">
        <x:f>IF('Control Room'!$B$5="Normal",'Control Room'!$B$7,('Control Room'!$B$8+'Control Room'!$D$8)/2)+'Control Room'!$B$9*(AX278-IF('Control Room'!$B$5="Normal",'Control Room'!$B$7,('Control Room'!$B$8+'Control Room'!$D$8)/2))+SQRT(1-'Control Room'!$B$9^2)*(AW279-IF('Control Room'!$B$5="Normal",'Control Room'!$B$7,('Control Room'!$B$8+'Control Room'!$D$8)/2))</x:f>
        <x:v>1004.8525104050901</x:v>
      </x:c>
      <x:c r="AY279" s="17" t="n">
        <x:f>IF(AND($A279&gt;='Control Room'!$A$13,$A279&lt;'Control Room'!$A$13+'Control Room'!$B$13,'Process'!BT2=1),1+('Control Room'!$C$13-1)*EXP(-0.5*(($A279-'Control Room'!$A$13-('Control Room'!$B$13-1)/2)/MAX(0.5,'Control Room'!$B$13/4))^2),1)*IF(AND($A279&gt;='Control Room'!$A$14,$A279&lt;'Control Room'!$A$14+'Control Room'!$B$14,'Process'!BT3=1),1+('Control Room'!$C$14-1)*EXP(-0.5*(($A279-'Control Room'!$A$14-('Control Room'!$B$14-1)/2)/MAX(0.5,'Control Room'!$B$14/4))^2),1)*IF(AND($A279&gt;='Control Room'!$A$15,$A279&lt;'Control Room'!$A$15+'Control Room'!$B$15,'Process'!BT4=1),1+('Control Room'!$C$15-1)*EXP(-0.5*(($A279-'Control Room'!$A$15-('Control Room'!$B$15-1)/2)/MAX(0.5,'Control Room'!$B$15/4))^2),1)*IF(AND($A279&gt;='Control Room'!$A$16,$A279&lt;'Control Room'!$A$16+'Control Room'!$B$16,'Process'!BT5=1),1+('Control Room'!$C$16-1)*EXP(-0.5*(($A279-'Control Room'!$A$16-('Control Room'!$B$16-1)/2)/MAX(0.5,'Control Room'!$B$16/4))^2),1)</x:f>
        <x:v>1</x:v>
      </x:c>
      <x:c r="AZ279" s="9" t="n">
        <x:f>MOD(BA278*16807,2147483647)</x:f>
        <x:v>174209059</x:v>
      </x:c>
      <x:c r="BA279" s="9" t="n">
        <x:f>MOD(AZ279*16807,2147483647)</x:f>
        <x:v>911443752</x:v>
      </x:c>
      <x:c r="BB279" s="17" t="n">
        <x:f>IF('Control Room'!$B$5="Normal",'Control Room'!$B$7+'Control Room'!$D$7*SQRT(-2*LN(MAX(0.000000000001,AZ279/2147483647)))*COS(2*PI()*BA279/2147483647),'Control Room'!$B$8+('Control Room'!$D$8-'Control Room'!$B$8)*AZ279/2147483647)</x:f>
        <x:v>820.5984333070976</x:v>
      </x:c>
      <x:c r="BC279" s="17" t="n">
        <x:f>IF('Control Room'!$B$5="Normal",'Control Room'!$B$7,('Control Room'!$B$8+'Control Room'!$D$8)/2)+'Control Room'!$B$9*(BC278-IF('Control Room'!$B$5="Normal",'Control Room'!$B$7,('Control Room'!$B$8+'Control Room'!$D$8)/2))+SQRT(1-'Control Room'!$B$9^2)*(BB279-IF('Control Room'!$B$5="Normal",'Control Room'!$B$7,('Control Room'!$B$8+'Control Room'!$D$8)/2))</x:f>
        <x:v>868.3784604377746</x:v>
      </x:c>
      <x:c r="BD279" s="17" t="n">
        <x:f>IF(AND($A279&gt;='Control Room'!$A$13,$A279&lt;'Control Room'!$A$13+'Control Room'!$B$13,'Process'!BU2=1),1+('Control Room'!$C$13-1)*EXP(-0.5*(($A279-'Control Room'!$A$13-('Control Room'!$B$13-1)/2)/MAX(0.5,'Control Room'!$B$13/4))^2),1)*IF(AND($A279&gt;='Control Room'!$A$14,$A279&lt;'Control Room'!$A$14+'Control Room'!$B$14,'Process'!BU3=1),1+('Control Room'!$C$14-1)*EXP(-0.5*(($A279-'Control Room'!$A$14-('Control Room'!$B$14-1)/2)/MAX(0.5,'Control Room'!$B$14/4))^2),1)*IF(AND($A279&gt;='Control Room'!$A$15,$A279&lt;'Control Room'!$A$15+'Control Room'!$B$15,'Process'!BU4=1),1+('Control Room'!$C$15-1)*EXP(-0.5*(($A279-'Control Room'!$A$15-('Control Room'!$B$15-1)/2)/MAX(0.5,'Control Room'!$B$15/4))^2),1)*IF(AND($A279&gt;='Control Room'!$A$16,$A279&lt;'Control Room'!$A$16+'Control Room'!$B$16,'Process'!BU5=1),1+('Control Room'!$C$16-1)*EXP(-0.5*(($A279-'Control Room'!$A$16-('Control Room'!$B$16-1)/2)/MAX(0.5,'Control Room'!$B$16/4))^2),1)</x:f>
        <x:v>1</x:v>
      </x:c>
      <x:c r="BE279" s="9" t="n">
        <x:f>MOD(BF278*16807,2147483647)</x:f>
        <x:v>495514635</x:v>
      </x:c>
      <x:c r="BF279" s="9" t="n">
        <x:f>MOD(BE279*16807,2147483647)</x:f>
        <x:v>172887379</x:v>
      </x:c>
      <x:c r="BG279" s="17" t="n">
        <x:f>IF('Control Room'!$B$5="Normal",'Control Room'!$B$7+'Control Room'!$D$7*SQRT(-2*LN(MAX(0.000000000001,BE279/2147483647)))*COS(2*PI()*BF279/2147483647),'Control Room'!$B$8+('Control Room'!$D$8-'Control Room'!$B$8)*BE279/2147483647)</x:f>
        <x:v>1134.829410934357</x:v>
      </x:c>
      <x:c r="BH279" s="17" t="n">
        <x:f>IF('Control Room'!$B$5="Normal",'Control Room'!$B$7,('Control Room'!$B$8+'Control Room'!$D$8)/2)+'Control Room'!$B$9*(BH278-IF('Control Room'!$B$5="Normal",'Control Room'!$B$7,('Control Room'!$B$8+'Control Room'!$D$8)/2))+SQRT(1-'Control Room'!$B$9^2)*(BG279-IF('Control Room'!$B$5="Normal",'Control Room'!$B$7,('Control Room'!$B$8+'Control Room'!$D$8)/2))</x:f>
        <x:v>1046.2372718754873</x:v>
      </x:c>
      <x:c r="BI279" s="17" t="n">
        <x:f>IF(AND($A279&gt;='Control Room'!$A$13,$A279&lt;'Control Room'!$A$13+'Control Room'!$B$13,'Process'!BV2=1),1+('Control Room'!$C$13-1)*EXP(-0.5*(($A279-'Control Room'!$A$13-('Control Room'!$B$13-1)/2)/MAX(0.5,'Control Room'!$B$13/4))^2),1)*IF(AND($A279&gt;='Control Room'!$A$14,$A279&lt;'Control Room'!$A$14+'Control Room'!$B$14,'Process'!BV3=1),1+('Control Room'!$C$14-1)*EXP(-0.5*(($A279-'Control Room'!$A$14-('Control Room'!$B$14-1)/2)/MAX(0.5,'Control Room'!$B$14/4))^2),1)*IF(AND($A279&gt;='Control Room'!$A$15,$A279&lt;'Control Room'!$A$15+'Control Room'!$B$15,'Process'!BV4=1),1+('Control Room'!$C$15-1)*EXP(-0.5*(($A279-'Control Room'!$A$15-('Control Room'!$B$15-1)/2)/MAX(0.5,'Control Room'!$B$15/4))^2),1)*IF(AND($A279&gt;='Control Room'!$A$16,$A279&lt;'Control Room'!$A$16+'Control Room'!$B$16,'Process'!BV5=1),1+('Control Room'!$C$16-1)*EXP(-0.5*(($A279-'Control Room'!$A$16-('Control Room'!$B$16-1)/2)/MAX(0.5,'Control Room'!$B$16/4))^2),1)</x:f>
        <x:v>1</x:v>
      </x:c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Z279" t="str">
        <x:f>IF('Data'!A279="","",TEXT('Data'!A279,"mm-dd"))</x:f>
      </x:c>
    </x:row>
    <x:row r="280" ht="21" customHeight="1">
      <x:c r="A280" s="15" t="n">
        <x:f>'Control Room'!$B$1+278</x:f>
        <x:v>73269</x:v>
      </x:c>
      <x:c r="B280" s="9" t="n">
        <x:f>MOD(C279*16807,2147483647)</x:f>
        <x:v>954132029</x:v>
      </x:c>
      <x:c r="C280" s="9" t="n">
        <x:f>MOD(B280*16807,2147483647)</x:f>
        <x:v>836619254</x:v>
      </x:c>
      <x:c r="D280" s="17" t="n">
        <x:f>IF('Control Room'!$B$5="Normal",'Control Room'!$B$7+'Control Room'!$D$7*SQRT(-2*LN(MAX(0.000000000001,B280/2147483647)))*COS(2*PI()*C280/2147483647),'Control Room'!$B$8+('Control Room'!$D$8-'Control Room'!$B$8)*B280/2147483647)</x:f>
        <x:v>911.8612233433939</x:v>
      </x:c>
      <x:c r="E280" s="17" t="n">
        <x:f>IF('Control Room'!$B$5="Normal",'Control Room'!$B$7,('Control Room'!$B$8+'Control Room'!$D$8)/2)+'Control Room'!$B$9*(E279-IF('Control Room'!$B$5="Normal",'Control Room'!$B$7,('Control Room'!$B$8+'Control Room'!$D$8)/2))+SQRT(1-'Control Room'!$B$9^2)*(D280-IF('Control Room'!$B$5="Normal",'Control Room'!$B$7,('Control Room'!$B$8+'Control Room'!$D$8)/2))</x:f>
        <x:v>1041.4905796225962</x:v>
      </x:c>
      <x:c r="F280" s="17" t="n">
        <x:f>IF(AND($A280&gt;='Control Room'!$A$13,$A280&lt;'Control Room'!$A$13+'Control Room'!$B$13,'Process'!BK2=1),1+('Control Room'!$C$13-1)*EXP(-0.5*(($A280-'Control Room'!$A$13-('Control Room'!$B$13-1)/2)/MAX(0.5,'Control Room'!$B$13/4))^2),1)*IF(AND($A280&gt;='Control Room'!$A$14,$A280&lt;'Control Room'!$A$14+'Control Room'!$B$14,'Process'!BK3=1),1+('Control Room'!$C$14-1)*EXP(-0.5*(($A280-'Control Room'!$A$14-('Control Room'!$B$14-1)/2)/MAX(0.5,'Control Room'!$B$14/4))^2),1)*IF(AND($A280&gt;='Control Room'!$A$15,$A280&lt;'Control Room'!$A$15+'Control Room'!$B$15,'Process'!BK4=1),1+('Control Room'!$C$15-1)*EXP(-0.5*(($A280-'Control Room'!$A$15-('Control Room'!$B$15-1)/2)/MAX(0.5,'Control Room'!$B$15/4))^2),1)*IF(AND($A280&gt;='Control Room'!$A$16,$A280&lt;'Control Room'!$A$16+'Control Room'!$B$16,'Process'!BK5=1),1+('Control Room'!$C$16-1)*EXP(-0.5*(($A280-'Control Room'!$A$16-('Control Room'!$B$16-1)/2)/MAX(0.5,'Control Room'!$B$16/4))^2),1)</x:f>
        <x:v>1</x:v>
      </x:c>
      <x:c r="G280" s="9" t="n">
        <x:f>MOD(H279*16807,2147483647)</x:f>
        <x:v>492650678</x:v>
      </x:c>
      <x:c r="H280" s="9" t="n">
        <x:f>MOD(G280*16807,2147483647)</x:f>
        <x:v>1430485961</x:v>
      </x:c>
      <x:c r="I280" s="17" t="n">
        <x:f>IF('Control Room'!$B$5="Normal",'Control Room'!$B$7+'Control Room'!$D$7*SQRT(-2*LN(MAX(0.000000000001,G280/2147483647)))*COS(2*PI()*H280/2147483647),'Control Room'!$B$8+('Control Room'!$D$8-'Control Room'!$B$8)*G280/2147483647)</x:f>
        <x:v>922.3246900651981</x:v>
      </x:c>
      <x:c r="J280" s="17" t="n">
        <x:f>IF('Control Room'!$B$5="Normal",'Control Room'!$B$7,('Control Room'!$B$8+'Control Room'!$D$8)/2)+'Control Room'!$B$9*(J279-IF('Control Room'!$B$5="Normal",'Control Room'!$B$7,('Control Room'!$B$8+'Control Room'!$D$8)/2))+SQRT(1-'Control Room'!$B$9^2)*(I280-IF('Control Room'!$B$5="Normal",'Control Room'!$B$7,('Control Room'!$B$8+'Control Room'!$D$8)/2))</x:f>
        <x:v>916.0267018271564</x:v>
      </x:c>
      <x:c r="K280" s="17" t="n">
        <x:f>IF(AND($A280&gt;='Control Room'!$A$13,$A280&lt;'Control Room'!$A$13+'Control Room'!$B$13,'Process'!BL2=1),1+('Control Room'!$C$13-1)*EXP(-0.5*(($A280-'Control Room'!$A$13-('Control Room'!$B$13-1)/2)/MAX(0.5,'Control Room'!$B$13/4))^2),1)*IF(AND($A280&gt;='Control Room'!$A$14,$A280&lt;'Control Room'!$A$14+'Control Room'!$B$14,'Process'!BL3=1),1+('Control Room'!$C$14-1)*EXP(-0.5*(($A280-'Control Room'!$A$14-('Control Room'!$B$14-1)/2)/MAX(0.5,'Control Room'!$B$14/4))^2),1)*IF(AND($A280&gt;='Control Room'!$A$15,$A280&lt;'Control Room'!$A$15+'Control Room'!$B$15,'Process'!BL4=1),1+('Control Room'!$C$15-1)*EXP(-0.5*(($A280-'Control Room'!$A$15-('Control Room'!$B$15-1)/2)/MAX(0.5,'Control Room'!$B$15/4))^2),1)*IF(AND($A280&gt;='Control Room'!$A$16,$A280&lt;'Control Room'!$A$16+'Control Room'!$B$16,'Process'!BL5=1),1+('Control Room'!$C$16-1)*EXP(-0.5*(($A280-'Control Room'!$A$16-('Control Room'!$B$16-1)/2)/MAX(0.5,'Control Room'!$B$16/4))^2),1)</x:f>
        <x:v>1</x:v>
      </x:c>
      <x:c r="L280" s="9" t="n">
        <x:f>MOD(M279*16807,2147483647)</x:f>
        <x:v>31169327</x:v>
      </x:c>
      <x:c r="M280" s="9" t="n">
        <x:f>MOD(L280*16807,2147483647)</x:f>
        <x:v>2024352668</x:v>
      </x:c>
      <x:c r="N280" s="17" t="n">
        <x:f>IF('Control Room'!$B$5="Normal",'Control Room'!$B$7+'Control Room'!$D$7*SQRT(-2*LN(MAX(0.000000000001,L280/2147483647)))*COS(2*PI()*M280/2147483647),'Control Room'!$B$8+('Control Room'!$D$8-'Control Room'!$B$8)*L280/2147483647)</x:f>
        <x:v>1245.0458207586605</x:v>
      </x:c>
      <x:c r="O280" s="17" t="n">
        <x:f>IF('Control Room'!$B$5="Normal",'Control Room'!$B$7,('Control Room'!$B$8+'Control Room'!$D$8)/2)+'Control Room'!$B$9*(O279-IF('Control Room'!$B$5="Normal",'Control Room'!$B$7,('Control Room'!$B$8+'Control Room'!$D$8)/2))+SQRT(1-'Control Room'!$B$9^2)*(N280-IF('Control Room'!$B$5="Normal",'Control Room'!$B$7,('Control Room'!$B$8+'Control Room'!$D$8)/2))</x:f>
        <x:v>1263.3203099486198</x:v>
      </x:c>
      <x:c r="P280" s="17" t="n">
        <x:f>IF(AND($A280&gt;='Control Room'!$A$13,$A280&lt;'Control Room'!$A$13+'Control Room'!$B$13,'Process'!BM2=1),1+('Control Room'!$C$13-1)*EXP(-0.5*(($A280-'Control Room'!$A$13-('Control Room'!$B$13-1)/2)/MAX(0.5,'Control Room'!$B$13/4))^2),1)*IF(AND($A280&gt;='Control Room'!$A$14,$A280&lt;'Control Room'!$A$14+'Control Room'!$B$14,'Process'!BM3=1),1+('Control Room'!$C$14-1)*EXP(-0.5*(($A280-'Control Room'!$A$14-('Control Room'!$B$14-1)/2)/MAX(0.5,'Control Room'!$B$14/4))^2),1)*IF(AND($A280&gt;='Control Room'!$A$15,$A280&lt;'Control Room'!$A$15+'Control Room'!$B$15,'Process'!BM4=1),1+('Control Room'!$C$15-1)*EXP(-0.5*(($A280-'Control Room'!$A$15-('Control Room'!$B$15-1)/2)/MAX(0.5,'Control Room'!$B$15/4))^2),1)*IF(AND($A280&gt;='Control Room'!$A$16,$A280&lt;'Control Room'!$A$16+'Control Room'!$B$16,'Process'!BM5=1),1+('Control Room'!$C$16-1)*EXP(-0.5*(($A280-'Control Room'!$A$16-('Control Room'!$B$16-1)/2)/MAX(0.5,'Control Room'!$B$16/4))^2),1)</x:f>
        <x:v>1</x:v>
      </x:c>
      <x:c r="Q280" s="9" t="n">
        <x:f>MOD(R279*16807,2147483647)</x:f>
        <x:v>1717171623</x:v>
      </x:c>
      <x:c r="R280" s="9" t="n">
        <x:f>MOD(Q280*16807,2147483647)</x:f>
        <x:v>470735728</x:v>
      </x:c>
      <x:c r="S280" s="17" t="n">
        <x:f>IF('Control Room'!$B$5="Normal",'Control Room'!$B$7+'Control Room'!$D$7*SQRT(-2*LN(MAX(0.000000000001,Q280/2147483647)))*COS(2*PI()*R280/2147483647),'Control Room'!$B$8+('Control Room'!$D$8-'Control Room'!$B$8)*Q280/2147483647)</x:f>
        <x:v>1011.5739100963258</x:v>
      </x:c>
      <x:c r="T280" s="17" t="n">
        <x:f>IF('Control Room'!$B$5="Normal",'Control Room'!$B$7,('Control Room'!$B$8+'Control Room'!$D$8)/2)+'Control Room'!$B$9*(T279-IF('Control Room'!$B$5="Normal",'Control Room'!$B$7,('Control Room'!$B$8+'Control Room'!$D$8)/2))+SQRT(1-'Control Room'!$B$9^2)*(S280-IF('Control Room'!$B$5="Normal",'Control Room'!$B$7,('Control Room'!$B$8+'Control Room'!$D$8)/2))</x:f>
        <x:v>1150.3004634085737</x:v>
      </x:c>
      <x:c r="U280" s="17" t="n">
        <x:f>IF(AND($A280&gt;='Control Room'!$A$13,$A280&lt;'Control Room'!$A$13+'Control Room'!$B$13,'Process'!BN2=1),1+('Control Room'!$C$13-1)*EXP(-0.5*(($A280-'Control Room'!$A$13-('Control Room'!$B$13-1)/2)/MAX(0.5,'Control Room'!$B$13/4))^2),1)*IF(AND($A280&gt;='Control Room'!$A$14,$A280&lt;'Control Room'!$A$14+'Control Room'!$B$14,'Process'!BN3=1),1+('Control Room'!$C$14-1)*EXP(-0.5*(($A280-'Control Room'!$A$14-('Control Room'!$B$14-1)/2)/MAX(0.5,'Control Room'!$B$14/4))^2),1)*IF(AND($A280&gt;='Control Room'!$A$15,$A280&lt;'Control Room'!$A$15+'Control Room'!$B$15,'Process'!BN4=1),1+('Control Room'!$C$15-1)*EXP(-0.5*(($A280-'Control Room'!$A$15-('Control Room'!$B$15-1)/2)/MAX(0.5,'Control Room'!$B$15/4))^2),1)*IF(AND($A280&gt;='Control Room'!$A$16,$A280&lt;'Control Room'!$A$16+'Control Room'!$B$16,'Process'!BN5=1),1+('Control Room'!$C$16-1)*EXP(-0.5*(($A280-'Control Room'!$A$16-('Control Room'!$B$16-1)/2)/MAX(0.5,'Control Room'!$B$16/4))^2),1)</x:f>
        <x:v>1</x:v>
      </x:c>
      <x:c r="V280" s="9" t="n">
        <x:f>MOD(W279*16807,2147483647)</x:f>
        <x:v>1255690272</x:v>
      </x:c>
      <x:c r="W280" s="9" t="n">
        <x:f>MOD(V280*16807,2147483647)</x:f>
        <x:v>1064602435</x:v>
      </x:c>
      <x:c r="X280" s="17" t="n">
        <x:f>IF('Control Room'!$B$5="Normal",'Control Room'!$B$7+'Control Room'!$D$7*SQRT(-2*LN(MAX(0.000000000001,V280/2147483647)))*COS(2*PI()*W280/2147483647),'Control Room'!$B$8+('Control Room'!$D$8-'Control Room'!$B$8)*V280/2147483647)</x:f>
        <x:v>906.796518793092</x:v>
      </x:c>
      <x:c r="Y280" s="17" t="n">
        <x:f>IF('Control Room'!$B$5="Normal",'Control Room'!$B$7,('Control Room'!$B$8+'Control Room'!$D$8)/2)+'Control Room'!$B$9*(Y279-IF('Control Room'!$B$5="Normal",'Control Room'!$B$7,('Control Room'!$B$8+'Control Room'!$D$8)/2))+SQRT(1-'Control Room'!$B$9^2)*(X280-IF('Control Room'!$B$5="Normal",'Control Room'!$B$7,('Control Room'!$B$8+'Control Room'!$D$8)/2))</x:f>
        <x:v>873.8445624858094</x:v>
      </x:c>
      <x:c r="Z280" s="17" t="n">
        <x:f>IF(AND($A280&gt;='Control Room'!$A$13,$A280&lt;'Control Room'!$A$13+'Control Room'!$B$13,'Process'!BO2=1),1+('Control Room'!$C$13-1)*EXP(-0.5*(($A280-'Control Room'!$A$13-('Control Room'!$B$13-1)/2)/MAX(0.5,'Control Room'!$B$13/4))^2),1)*IF(AND($A280&gt;='Control Room'!$A$14,$A280&lt;'Control Room'!$A$14+'Control Room'!$B$14,'Process'!BO3=1),1+('Control Room'!$C$14-1)*EXP(-0.5*(($A280-'Control Room'!$A$14-('Control Room'!$B$14-1)/2)/MAX(0.5,'Control Room'!$B$14/4))^2),1)*IF(AND($A280&gt;='Control Room'!$A$15,$A280&lt;'Control Room'!$A$15+'Control Room'!$B$15,'Process'!BO4=1),1+('Control Room'!$C$15-1)*EXP(-0.5*(($A280-'Control Room'!$A$15-('Control Room'!$B$15-1)/2)/MAX(0.5,'Control Room'!$B$15/4))^2),1)*IF(AND($A280&gt;='Control Room'!$A$16,$A280&lt;'Control Room'!$A$16+'Control Room'!$B$16,'Process'!BO5=1),1+('Control Room'!$C$16-1)*EXP(-0.5*(($A280-'Control Room'!$A$16-('Control Room'!$B$16-1)/2)/MAX(0.5,'Control Room'!$B$16/4))^2),1)</x:f>
        <x:v>1</x:v>
      </x:c>
      <x:c r="AA280" s="9" t="n">
        <x:f>MOD(AB279*16807,2147483647)</x:f>
        <x:v>794208921</x:v>
      </x:c>
      <x:c r="AB280" s="9" t="n">
        <x:f>MOD(AA280*16807,2147483647)</x:f>
        <x:v>1658469142</x:v>
      </x:c>
      <x:c r="AC280" s="17" t="n">
        <x:f>IF('Control Room'!$B$5="Normal",'Control Room'!$B$7+'Control Room'!$D$7*SQRT(-2*LN(MAX(0.000000000001,AA280/2147483647)))*COS(2*PI()*AB280/2147483647),'Control Room'!$B$8+('Control Room'!$D$8-'Control Room'!$B$8)*AA280/2147483647)</x:f>
        <x:v>1017.7163733849567</x:v>
      </x:c>
      <x:c r="AD280" s="17" t="n">
        <x:f>IF('Control Room'!$B$5="Normal",'Control Room'!$B$7,('Control Room'!$B$8+'Control Room'!$D$8)/2)+'Control Room'!$B$9*(AD279-IF('Control Room'!$B$5="Normal",'Control Room'!$B$7,('Control Room'!$B$8+'Control Room'!$D$8)/2))+SQRT(1-'Control Room'!$B$9^2)*(AC280-IF('Control Room'!$B$5="Normal",'Control Room'!$B$7,('Control Room'!$B$8+'Control Room'!$D$8)/2))</x:f>
        <x:v>1116.8193703955521</x:v>
      </x:c>
      <x:c r="AE280" s="17" t="n">
        <x:f>IF(AND($A280&gt;='Control Room'!$A$13,$A280&lt;'Control Room'!$A$13+'Control Room'!$B$13,'Process'!BP2=1),1+('Control Room'!$C$13-1)*EXP(-0.5*(($A280-'Control Room'!$A$13-('Control Room'!$B$13-1)/2)/MAX(0.5,'Control Room'!$B$13/4))^2),1)*IF(AND($A280&gt;='Control Room'!$A$14,$A280&lt;'Control Room'!$A$14+'Control Room'!$B$14,'Process'!BP3=1),1+('Control Room'!$C$14-1)*EXP(-0.5*(($A280-'Control Room'!$A$14-('Control Room'!$B$14-1)/2)/MAX(0.5,'Control Room'!$B$14/4))^2),1)*IF(AND($A280&gt;='Control Room'!$A$15,$A280&lt;'Control Room'!$A$15+'Control Room'!$B$15,'Process'!BP4=1),1+('Control Room'!$C$15-1)*EXP(-0.5*(($A280-'Control Room'!$A$15-('Control Room'!$B$15-1)/2)/MAX(0.5,'Control Room'!$B$15/4))^2),1)*IF(AND($A280&gt;='Control Room'!$A$16,$A280&lt;'Control Room'!$A$16+'Control Room'!$B$16,'Process'!BP5=1),1+('Control Room'!$C$16-1)*EXP(-0.5*(($A280-'Control Room'!$A$16-('Control Room'!$B$16-1)/2)/MAX(0.5,'Control Room'!$B$16/4))^2),1)</x:f>
        <x:v>1</x:v>
      </x:c>
      <x:c r="AF280" s="9" t="n">
        <x:f>MOD(AG279*16807,2147483647)</x:f>
        <x:v>332727570</x:v>
      </x:c>
      <x:c r="AG280" s="9" t="n">
        <x:f>MOD(AF280*16807,2147483647)</x:f>
        <x:v>104852202</x:v>
      </x:c>
      <x:c r="AH280" s="17" t="n">
        <x:f>IF('Control Room'!$B$5="Normal",'Control Room'!$B$7+'Control Room'!$D$7*SQRT(-2*LN(MAX(0.000000000001,AF280/2147483647)))*COS(2*PI()*AG280/2147483647),'Control Room'!$B$8+('Control Room'!$D$8-'Control Room'!$B$8)*AF280/2147483647)</x:f>
        <x:v>1165.6913246659478</x:v>
      </x:c>
      <x:c r="AI280" s="17" t="n">
        <x:f>IF('Control Room'!$B$5="Normal",'Control Room'!$B$7,('Control Room'!$B$8+'Control Room'!$D$8)/2)+'Control Room'!$B$9*(AI279-IF('Control Room'!$B$5="Normal",'Control Room'!$B$7,('Control Room'!$B$8+'Control Room'!$D$8)/2))+SQRT(1-'Control Room'!$B$9^2)*(AH280-IF('Control Room'!$B$5="Normal",'Control Room'!$B$7,('Control Room'!$B$8+'Control Room'!$D$8)/2))</x:f>
        <x:v>1085.6681415827604</x:v>
      </x:c>
      <x:c r="AJ280" s="17" t="n">
        <x:f>IF(AND($A280&gt;='Control Room'!$A$13,$A280&lt;'Control Room'!$A$13+'Control Room'!$B$13,'Process'!BQ2=1),1+('Control Room'!$C$13-1)*EXP(-0.5*(($A280-'Control Room'!$A$13-('Control Room'!$B$13-1)/2)/MAX(0.5,'Control Room'!$B$13/4))^2),1)*IF(AND($A280&gt;='Control Room'!$A$14,$A280&lt;'Control Room'!$A$14+'Control Room'!$B$14,'Process'!BQ3=1),1+('Control Room'!$C$14-1)*EXP(-0.5*(($A280-'Control Room'!$A$14-('Control Room'!$B$14-1)/2)/MAX(0.5,'Control Room'!$B$14/4))^2),1)*IF(AND($A280&gt;='Control Room'!$A$15,$A280&lt;'Control Room'!$A$15+'Control Room'!$B$15,'Process'!BQ4=1),1+('Control Room'!$C$15-1)*EXP(-0.5*(($A280-'Control Room'!$A$15-('Control Room'!$B$15-1)/2)/MAX(0.5,'Control Room'!$B$15/4))^2),1)*IF(AND($A280&gt;='Control Room'!$A$16,$A280&lt;'Control Room'!$A$16+'Control Room'!$B$16,'Process'!BQ5=1),1+('Control Room'!$C$16-1)*EXP(-0.5*(($A280-'Control Room'!$A$16-('Control Room'!$B$16-1)/2)/MAX(0.5,'Control Room'!$B$16/4))^2),1)</x:f>
        <x:v>1</x:v>
      </x:c>
      <x:c r="AK280" s="9" t="n">
        <x:f>MOD(AL279*16807,2147483647)</x:f>
        <x:v>2018729866</x:v>
      </x:c>
      <x:c r="AL280" s="9" t="n">
        <x:f>MOD(AK280*16807,2147483647)</x:f>
        <x:v>698718909</x:v>
      </x:c>
      <x:c r="AM280" s="17" t="n">
        <x:f>IF('Control Room'!$B$5="Normal",'Control Room'!$B$7+'Control Room'!$D$7*SQRT(-2*LN(MAX(0.000000000001,AK280/2147483647)))*COS(2*PI()*AL280/2147483647),'Control Room'!$B$8+('Control Room'!$D$8-'Control Room'!$B$8)*AK280/2147483647)</x:f>
        <x:v>985.5670847914829</x:v>
      </x:c>
      <x:c r="AN280" s="17" t="n">
        <x:f>IF('Control Room'!$B$5="Normal",'Control Room'!$B$7,('Control Room'!$B$8+'Control Room'!$D$8)/2)+'Control Room'!$B$9*(AN279-IF('Control Room'!$B$5="Normal",'Control Room'!$B$7,('Control Room'!$B$8+'Control Room'!$D$8)/2))+SQRT(1-'Control Room'!$B$9^2)*(AM280-IF('Control Room'!$B$5="Normal",'Control Room'!$B$7,('Control Room'!$B$8+'Control Room'!$D$8)/2))</x:f>
        <x:v>822.1206190576214</x:v>
      </x:c>
      <x:c r="AO280" s="17" t="n">
        <x:f>IF(AND($A280&gt;='Control Room'!$A$13,$A280&lt;'Control Room'!$A$13+'Control Room'!$B$13,'Process'!BR2=1),1+('Control Room'!$C$13-1)*EXP(-0.5*(($A280-'Control Room'!$A$13-('Control Room'!$B$13-1)/2)/MAX(0.5,'Control Room'!$B$13/4))^2),1)*IF(AND($A280&gt;='Control Room'!$A$14,$A280&lt;'Control Room'!$A$14+'Control Room'!$B$14,'Process'!BR3=1),1+('Control Room'!$C$14-1)*EXP(-0.5*(($A280-'Control Room'!$A$14-('Control Room'!$B$14-1)/2)/MAX(0.5,'Control Room'!$B$14/4))^2),1)*IF(AND($A280&gt;='Control Room'!$A$15,$A280&lt;'Control Room'!$A$15+'Control Room'!$B$15,'Process'!BR4=1),1+('Control Room'!$C$15-1)*EXP(-0.5*(($A280-'Control Room'!$A$15-('Control Room'!$B$15-1)/2)/MAX(0.5,'Control Room'!$B$15/4))^2),1)*IF(AND($A280&gt;='Control Room'!$A$16,$A280&lt;'Control Room'!$A$16+'Control Room'!$B$16,'Process'!BR5=1),1+('Control Room'!$C$16-1)*EXP(-0.5*(($A280-'Control Room'!$A$16-('Control Room'!$B$16-1)/2)/MAX(0.5,'Control Room'!$B$16/4))^2),1)</x:f>
        <x:v>1</x:v>
      </x:c>
      <x:c r="AP280" s="9" t="n">
        <x:f>MOD(AQ279*16807,2147483647)</x:f>
        <x:v>1557248515</x:v>
      </x:c>
      <x:c r="AQ280" s="9" t="n">
        <x:f>MOD(AP280*16807,2147483647)</x:f>
        <x:v>1292585616</x:v>
      </x:c>
      <x:c r="AR280" s="17" t="n">
        <x:f>IF('Control Room'!$B$5="Normal",'Control Room'!$B$7+'Control Room'!$D$7*SQRT(-2*LN(MAX(0.000000000001,AP280/2147483647)))*COS(2*PI()*AQ280/2147483647),'Control Room'!$B$8+('Control Room'!$D$8-'Control Room'!$B$8)*AP280/2147483647)</x:f>
        <x:v>942.1380263870496</x:v>
      </x:c>
      <x:c r="AS280" s="17" t="n">
        <x:f>IF('Control Room'!$B$5="Normal",'Control Room'!$B$7,('Control Room'!$B$8+'Control Room'!$D$8)/2)+'Control Room'!$B$9*(AS279-IF('Control Room'!$B$5="Normal",'Control Room'!$B$7,('Control Room'!$B$8+'Control Room'!$D$8)/2))+SQRT(1-'Control Room'!$B$9^2)*(AR280-IF('Control Room'!$B$5="Normal",'Control Room'!$B$7,('Control Room'!$B$8+'Control Room'!$D$8)/2))</x:f>
        <x:v>921.0553966474629</x:v>
      </x:c>
      <x:c r="AT280" s="17" t="n">
        <x:f>IF(AND($A280&gt;='Control Room'!$A$13,$A280&lt;'Control Room'!$A$13+'Control Room'!$B$13,'Process'!BS2=1),1+('Control Room'!$C$13-1)*EXP(-0.5*(($A280-'Control Room'!$A$13-('Control Room'!$B$13-1)/2)/MAX(0.5,'Control Room'!$B$13/4))^2),1)*IF(AND($A280&gt;='Control Room'!$A$14,$A280&lt;'Control Room'!$A$14+'Control Room'!$B$14,'Process'!BS3=1),1+('Control Room'!$C$14-1)*EXP(-0.5*(($A280-'Control Room'!$A$14-('Control Room'!$B$14-1)/2)/MAX(0.5,'Control Room'!$B$14/4))^2),1)*IF(AND($A280&gt;='Control Room'!$A$15,$A280&lt;'Control Room'!$A$15+'Control Room'!$B$15,'Process'!BS4=1),1+('Control Room'!$C$15-1)*EXP(-0.5*(($A280-'Control Room'!$A$15-('Control Room'!$B$15-1)/2)/MAX(0.5,'Control Room'!$B$15/4))^2),1)*IF(AND($A280&gt;='Control Room'!$A$16,$A280&lt;'Control Room'!$A$16+'Control Room'!$B$16,'Process'!BS5=1),1+('Control Room'!$C$16-1)*EXP(-0.5*(($A280-'Control Room'!$A$16-('Control Room'!$B$16-1)/2)/MAX(0.5,'Control Room'!$B$16/4))^2),1)</x:f>
        <x:v>1</x:v>
      </x:c>
      <x:c r="AU280" s="9" t="n">
        <x:f>MOD(AV279*16807,2147483647)</x:f>
        <x:v>1095767164</x:v>
      </x:c>
      <x:c r="AV280" s="9" t="n">
        <x:f>MOD(AU280*16807,2147483647)</x:f>
        <x:v>1886452323</x:v>
      </x:c>
      <x:c r="AW280" s="17" t="n">
        <x:f>IF('Control Room'!$B$5="Normal",'Control Room'!$B$7+'Control Room'!$D$7*SQRT(-2*LN(MAX(0.000000000001,AU280/2147483647)))*COS(2*PI()*AV280/2147483647),'Control Room'!$B$8+('Control Room'!$D$8-'Control Room'!$B$8)*AU280/2147483647)</x:f>
        <x:v>1075.4060821336864</x:v>
      </x:c>
      <x:c r="AX280" s="17" t="n">
        <x:f>IF('Control Room'!$B$5="Normal",'Control Room'!$B$7,('Control Room'!$B$8+'Control Room'!$D$8)/2)+'Control Room'!$B$9*(AX279-IF('Control Room'!$B$5="Normal",'Control Room'!$B$7,('Control Room'!$B$8+'Control Room'!$D$8)/2))+SQRT(1-'Control Room'!$B$9^2)*(AW280-IF('Control Room'!$B$5="Normal",'Control Room'!$B$7,('Control Room'!$B$8+'Control Room'!$D$8)/2))</x:f>
        <x:v>1050.9725395376727</x:v>
      </x:c>
      <x:c r="AY280" s="17" t="n">
        <x:f>IF(AND($A280&gt;='Control Room'!$A$13,$A280&lt;'Control Room'!$A$13+'Control Room'!$B$13,'Process'!BT2=1),1+('Control Room'!$C$13-1)*EXP(-0.5*(($A280-'Control Room'!$A$13-('Control Room'!$B$13-1)/2)/MAX(0.5,'Control Room'!$B$13/4))^2),1)*IF(AND($A280&gt;='Control Room'!$A$14,$A280&lt;'Control Room'!$A$14+'Control Room'!$B$14,'Process'!BT3=1),1+('Control Room'!$C$14-1)*EXP(-0.5*(($A280-'Control Room'!$A$14-('Control Room'!$B$14-1)/2)/MAX(0.5,'Control Room'!$B$14/4))^2),1)*IF(AND($A280&gt;='Control Room'!$A$15,$A280&lt;'Control Room'!$A$15+'Control Room'!$B$15,'Process'!BT4=1),1+('Control Room'!$C$15-1)*EXP(-0.5*(($A280-'Control Room'!$A$15-('Control Room'!$B$15-1)/2)/MAX(0.5,'Control Room'!$B$15/4))^2),1)*IF(AND($A280&gt;='Control Room'!$A$16,$A280&lt;'Control Room'!$A$16+'Control Room'!$B$16,'Process'!BT5=1),1+('Control Room'!$C$16-1)*EXP(-0.5*(($A280-'Control Room'!$A$16-('Control Room'!$B$16-1)/2)/MAX(0.5,'Control Room'!$B$16/4))^2),1)</x:f>
        <x:v>1</x:v>
      </x:c>
      <x:c r="AZ280" s="9" t="n">
        <x:f>MOD(BA279*16807,2147483647)</x:f>
        <x:v>634285813</x:v>
      </x:c>
      <x:c r="BA280" s="9" t="n">
        <x:f>MOD(AZ280*16807,2147483647)</x:f>
        <x:v>332835383</x:v>
      </x:c>
      <x:c r="BB280" s="17" t="n">
        <x:f>IF('Control Room'!$B$5="Normal",'Control Room'!$B$7+'Control Room'!$D$7*SQRT(-2*LN(MAX(0.000000000001,AZ280/2147483647)))*COS(2*PI()*BA280/2147483647),'Control Room'!$B$8+('Control Room'!$D$8-'Control Room'!$B$8)*AZ280/2147483647)</x:f>
        <x:v>1079.0140707760663</x:v>
      </x:c>
      <x:c r="BC280" s="17" t="n">
        <x:f>IF('Control Room'!$B$5="Normal",'Control Room'!$B$7,('Control Room'!$B$8+'Control Room'!$D$8)/2)+'Control Room'!$B$9*(BC279-IF('Control Room'!$B$5="Normal",'Control Room'!$B$7,('Control Room'!$B$8+'Control Room'!$D$8)/2))+SQRT(1-'Control Room'!$B$9^2)*(BB280-IF('Control Room'!$B$5="Normal",'Control Room'!$B$7,('Control Room'!$B$8+'Control Room'!$D$8)/2))</x:f>
        <x:v>946.7805859419029</x:v>
      </x:c>
      <x:c r="BD280" s="17" t="n">
        <x:f>IF(AND($A280&gt;='Control Room'!$A$13,$A280&lt;'Control Room'!$A$13+'Control Room'!$B$13,'Process'!BU2=1),1+('Control Room'!$C$13-1)*EXP(-0.5*(($A280-'Control Room'!$A$13-('Control Room'!$B$13-1)/2)/MAX(0.5,'Control Room'!$B$13/4))^2),1)*IF(AND($A280&gt;='Control Room'!$A$14,$A280&lt;'Control Room'!$A$14+'Control Room'!$B$14,'Process'!BU3=1),1+('Control Room'!$C$14-1)*EXP(-0.5*(($A280-'Control Room'!$A$14-('Control Room'!$B$14-1)/2)/MAX(0.5,'Control Room'!$B$14/4))^2),1)*IF(AND($A280&gt;='Control Room'!$A$15,$A280&lt;'Control Room'!$A$15+'Control Room'!$B$15,'Process'!BU4=1),1+('Control Room'!$C$15-1)*EXP(-0.5*(($A280-'Control Room'!$A$15-('Control Room'!$B$15-1)/2)/MAX(0.5,'Control Room'!$B$15/4))^2),1)*IF(AND($A280&gt;='Control Room'!$A$16,$A280&lt;'Control Room'!$A$16+'Control Room'!$B$16,'Process'!BU5=1),1+('Control Room'!$C$16-1)*EXP(-0.5*(($A280-'Control Room'!$A$16-('Control Room'!$B$16-1)/2)/MAX(0.5,'Control Room'!$B$16/4))^2),1)</x:f>
        <x:v>1</x:v>
      </x:c>
      <x:c r="BE280" s="9" t="n">
        <x:f>MOD(BF279*16807,2147483647)</x:f>
        <x:v>172804462</x:v>
      </x:c>
      <x:c r="BF280" s="9" t="n">
        <x:f>MOD(BE280*16807,2147483647)</x:f>
        <x:v>926702090</x:v>
      </x:c>
      <x:c r="BG280" s="17" t="n">
        <x:f>IF('Control Room'!$B$5="Normal",'Control Room'!$B$7+'Control Room'!$D$7*SQRT(-2*LN(MAX(0.000000000001,BE280/2147483647)))*COS(2*PI()*BF280/2147483647),'Control Room'!$B$8+('Control Room'!$D$8-'Control Room'!$B$8)*BE280/2147483647)</x:f>
        <x:v>816.3659275665535</x:v>
      </x:c>
      <x:c r="BH280" s="17" t="n">
        <x:f>IF('Control Room'!$B$5="Normal",'Control Room'!$B$7,('Control Room'!$B$8+'Control Room'!$D$8)/2)+'Control Room'!$B$9*(BH279-IF('Control Room'!$B$5="Normal",'Control Room'!$B$7,('Control Room'!$B$8+'Control Room'!$D$8)/2))+SQRT(1-'Control Room'!$B$9^2)*(BG280-IF('Control Room'!$B$5="Normal",'Control Room'!$B$7,('Control Room'!$B$8+'Control Room'!$D$8)/2))</x:f>
        <x:v>921.1506314824832</x:v>
      </x:c>
      <x:c r="BI280" s="17" t="n">
        <x:f>IF(AND($A280&gt;='Control Room'!$A$13,$A280&lt;'Control Room'!$A$13+'Control Room'!$B$13,'Process'!BV2=1),1+('Control Room'!$C$13-1)*EXP(-0.5*(($A280-'Control Room'!$A$13-('Control Room'!$B$13-1)/2)/MAX(0.5,'Control Room'!$B$13/4))^2),1)*IF(AND($A280&gt;='Control Room'!$A$14,$A280&lt;'Control Room'!$A$14+'Control Room'!$B$14,'Process'!BV3=1),1+('Control Room'!$C$14-1)*EXP(-0.5*(($A280-'Control Room'!$A$14-('Control Room'!$B$14-1)/2)/MAX(0.5,'Control Room'!$B$14/4))^2),1)*IF(AND($A280&gt;='Control Room'!$A$15,$A280&lt;'Control Room'!$A$15+'Control Room'!$B$15,'Process'!BV4=1),1+('Control Room'!$C$15-1)*EXP(-0.5*(($A280-'Control Room'!$A$15-('Control Room'!$B$15-1)/2)/MAX(0.5,'Control Room'!$B$15/4))^2),1)*IF(AND($A280&gt;='Control Room'!$A$16,$A280&lt;'Control Room'!$A$16+'Control Room'!$B$16,'Process'!BV5=1),1+('Control Room'!$C$16-1)*EXP(-0.5*(($A280-'Control Room'!$A$16-('Control Room'!$B$16-1)/2)/MAX(0.5,'Control Room'!$B$16/4))^2),1)</x:f>
        <x:v>1</x:v>
      </x:c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Z280" t="str">
        <x:f>IF('Data'!A280="","",TEXT('Data'!A280,"mm-dd"))</x:f>
      </x:c>
    </x:row>
    <x:row r="281" ht="21" customHeight="1">
      <x:c r="A281" s="15" t="n">
        <x:f>'Control Room'!$B$1+279</x:f>
        <x:v>73270</x:v>
      </x:c>
      <x:c r="B281" s="9" t="n">
        <x:f>MOD(C280*16807,2147483647)</x:f>
        <x:v>1484365069</x:v>
      </x:c>
      <x:c r="C281" s="9" t="n">
        <x:f>MOD(B281*16807,2147483647)</x:f>
        <x:v>406187484</x:v>
      </x:c>
      <x:c r="D281" s="17" t="n">
        <x:f>IF('Control Room'!$B$5="Normal",'Control Room'!$B$7+'Control Room'!$D$7*SQRT(-2*LN(MAX(0.000000000001,B281/2147483647)))*COS(2*PI()*C281/2147483647),'Control Room'!$B$8+('Control Room'!$D$8-'Control Room'!$B$8)*B281/2147483647)</x:f>
        <x:v>1028.8595225953243</x:v>
      </x:c>
      <x:c r="E281" s="17" t="n">
        <x:f>IF('Control Room'!$B$5="Normal",'Control Room'!$B$7,('Control Room'!$B$8+'Control Room'!$D$8)/2)+'Control Room'!$B$9*(E280-IF('Control Room'!$B$5="Normal",'Control Room'!$B$7,('Control Room'!$B$8+'Control Room'!$D$8)/2))+SQRT(1-'Control Room'!$B$9^2)*(D281-IF('Control Room'!$B$5="Normal",'Control Room'!$B$7,('Control Room'!$B$8+'Control Room'!$D$8)/2))</x:f>
        <x:v>1050.422350126323</x:v>
      </x:c>
      <x:c r="F281" s="17" t="n">
        <x:f>IF(AND($A281&gt;='Control Room'!$A$13,$A281&lt;'Control Room'!$A$13+'Control Room'!$B$13,'Process'!BK2=1),1+('Control Room'!$C$13-1)*EXP(-0.5*(($A281-'Control Room'!$A$13-('Control Room'!$B$13-1)/2)/MAX(0.5,'Control Room'!$B$13/4))^2),1)*IF(AND($A281&gt;='Control Room'!$A$14,$A281&lt;'Control Room'!$A$14+'Control Room'!$B$14,'Process'!BK3=1),1+('Control Room'!$C$14-1)*EXP(-0.5*(($A281-'Control Room'!$A$14-('Control Room'!$B$14-1)/2)/MAX(0.5,'Control Room'!$B$14/4))^2),1)*IF(AND($A281&gt;='Control Room'!$A$15,$A281&lt;'Control Room'!$A$15+'Control Room'!$B$15,'Process'!BK4=1),1+('Control Room'!$C$15-1)*EXP(-0.5*(($A281-'Control Room'!$A$15-('Control Room'!$B$15-1)/2)/MAX(0.5,'Control Room'!$B$15/4))^2),1)*IF(AND($A281&gt;='Control Room'!$A$16,$A281&lt;'Control Room'!$A$16+'Control Room'!$B$16,'Process'!BK5=1),1+('Control Room'!$C$16-1)*EXP(-0.5*(($A281-'Control Room'!$A$16-('Control Room'!$B$16-1)/2)/MAX(0.5,'Control Room'!$B$16/4))^2),1)</x:f>
        <x:v>1</x:v>
      </x:c>
      <x:c r="G281" s="9" t="n">
        <x:f>MOD(H280*16807,2147483647)</x:f>
        <x:v>1098118362</x:v>
      </x:c>
      <x:c r="H281" s="9" t="n">
        <x:f>MOD(G281*16807,2147483647)</x:f>
        <x:v>600847816</x:v>
      </x:c>
      <x:c r="I281" s="17" t="n">
        <x:f>IF('Control Room'!$B$5="Normal",'Control Room'!$B$7+'Control Room'!$D$7*SQRT(-2*LN(MAX(0.000000000001,G281/2147483647)))*COS(2*PI()*H281/2147483647),'Control Room'!$B$8+('Control Room'!$D$8-'Control Room'!$B$8)*G281/2147483647)</x:f>
        <x:v>980.6020741836102</x:v>
      </x:c>
      <x:c r="J281" s="17" t="n">
        <x:f>IF('Control Room'!$B$5="Normal",'Control Room'!$B$7,('Control Room'!$B$8+'Control Room'!$D$8)/2)+'Control Room'!$B$9*(J280-IF('Control Room'!$B$5="Normal",'Control Room'!$B$7,('Control Room'!$B$8+'Control Room'!$D$8)/2))+SQRT(1-'Control Room'!$B$9^2)*(I281-IF('Control Room'!$B$5="Normal",'Control Room'!$B$7,('Control Room'!$B$8+'Control Room'!$D$8)/2))</x:f>
        <x:v>922.3620028373956</x:v>
      </x:c>
      <x:c r="K281" s="17" t="n">
        <x:f>IF(AND($A281&gt;='Control Room'!$A$13,$A281&lt;'Control Room'!$A$13+'Control Room'!$B$13,'Process'!BL2=1),1+('Control Room'!$C$13-1)*EXP(-0.5*(($A281-'Control Room'!$A$13-('Control Room'!$B$13-1)/2)/MAX(0.5,'Control Room'!$B$13/4))^2),1)*IF(AND($A281&gt;='Control Room'!$A$14,$A281&lt;'Control Room'!$A$14+'Control Room'!$B$14,'Process'!BL3=1),1+('Control Room'!$C$14-1)*EXP(-0.5*(($A281-'Control Room'!$A$14-('Control Room'!$B$14-1)/2)/MAX(0.5,'Control Room'!$B$14/4))^2),1)*IF(AND($A281&gt;='Control Room'!$A$15,$A281&lt;'Control Room'!$A$15+'Control Room'!$B$15,'Process'!BL4=1),1+('Control Room'!$C$15-1)*EXP(-0.5*(($A281-'Control Room'!$A$15-('Control Room'!$B$15-1)/2)/MAX(0.5,'Control Room'!$B$15/4))^2),1)*IF(AND($A281&gt;='Control Room'!$A$16,$A281&lt;'Control Room'!$A$16+'Control Room'!$B$16,'Process'!BL5=1),1+('Control Room'!$C$16-1)*EXP(-0.5*(($A281-'Control Room'!$A$16-('Control Room'!$B$16-1)/2)/MAX(0.5,'Control Room'!$B$16/4))^2),1)</x:f>
        <x:v>1</x:v>
      </x:c>
      <x:c r="L281" s="9" t="n">
        <x:f>MOD(M280*16807,2147483647)</x:f>
        <x:v>711871655</x:v>
      </x:c>
      <x:c r="M281" s="9" t="n">
        <x:f>MOD(L281*16807,2147483647)</x:f>
        <x:v>795508148</x:v>
      </x:c>
      <x:c r="N281" s="17" t="n">
        <x:f>IF('Control Room'!$B$5="Normal",'Control Room'!$B$7+'Control Room'!$D$7*SQRT(-2*LN(MAX(0.000000000001,L281/2147483647)))*COS(2*PI()*M281/2147483647),'Control Room'!$B$8+('Control Room'!$D$8-'Control Room'!$B$8)*L281/2147483647)</x:f>
        <x:v>908.1787677503438</x:v>
      </x:c>
      <x:c r="O281" s="17" t="n">
        <x:f>IF('Control Room'!$B$5="Normal",'Control Room'!$B$7,('Control Room'!$B$8+'Control Room'!$D$8)/2)+'Control Room'!$B$9*(O280-IF('Control Room'!$B$5="Normal",'Control Room'!$B$7,('Control Room'!$B$8+'Control Room'!$D$8)/2))+SQRT(1-'Control Room'!$B$9^2)*(N281-IF('Control Room'!$B$5="Normal",'Control Room'!$B$7,('Control Room'!$B$8+'Control Room'!$D$8)/2))</x:f>
        <x:v>1147.9299956782759</x:v>
      </x:c>
      <x:c r="P281" s="17" t="n">
        <x:f>IF(AND($A281&gt;='Control Room'!$A$13,$A281&lt;'Control Room'!$A$13+'Control Room'!$B$13,'Process'!BM2=1),1+('Control Room'!$C$13-1)*EXP(-0.5*(($A281-'Control Room'!$A$13-('Control Room'!$B$13-1)/2)/MAX(0.5,'Control Room'!$B$13/4))^2),1)*IF(AND($A281&gt;='Control Room'!$A$14,$A281&lt;'Control Room'!$A$14+'Control Room'!$B$14,'Process'!BM3=1),1+('Control Room'!$C$14-1)*EXP(-0.5*(($A281-'Control Room'!$A$14-('Control Room'!$B$14-1)/2)/MAX(0.5,'Control Room'!$B$14/4))^2),1)*IF(AND($A281&gt;='Control Room'!$A$15,$A281&lt;'Control Room'!$A$15+'Control Room'!$B$15,'Process'!BM4=1),1+('Control Room'!$C$15-1)*EXP(-0.5*(($A281-'Control Room'!$A$15-('Control Room'!$B$15-1)/2)/MAX(0.5,'Control Room'!$B$15/4))^2),1)*IF(AND($A281&gt;='Control Room'!$A$16,$A281&lt;'Control Room'!$A$16+'Control Room'!$B$16,'Process'!BM5=1),1+('Control Room'!$C$16-1)*EXP(-0.5*(($A281-'Control Room'!$A$16-('Control Room'!$B$16-1)/2)/MAX(0.5,'Control Room'!$B$16/4))^2),1)</x:f>
        <x:v>1</x:v>
      </x:c>
      <x:c r="Q281" s="9" t="n">
        <x:f>MOD(R280*16807,2147483647)</x:f>
        <x:v>325624948</x:v>
      </x:c>
      <x:c r="R281" s="9" t="n">
        <x:f>MOD(Q281*16807,2147483647)</x:f>
        <x:v>990168480</x:v>
      </x:c>
      <x:c r="S281" s="17" t="n">
        <x:f>IF('Control Room'!$B$5="Normal",'Control Room'!$B$7+'Control Room'!$D$7*SQRT(-2*LN(MAX(0.000000000001,Q281/2147483647)))*COS(2*PI()*R281/2147483647),'Control Room'!$B$8+('Control Room'!$D$8-'Control Room'!$B$8)*Q281/2147483647)</x:f>
        <x:v>830.3911031269072</x:v>
      </x:c>
      <x:c r="T281" s="17" t="n">
        <x:f>IF('Control Room'!$B$5="Normal",'Control Room'!$B$7,('Control Room'!$B$8+'Control Room'!$D$8)/2)+'Control Room'!$B$9*(T280-IF('Control Room'!$B$5="Normal",'Control Room'!$B$7,('Control Room'!$B$8+'Control Room'!$D$8)/2))+SQRT(1-'Control Room'!$B$9^2)*(S281-IF('Control Room'!$B$5="Normal",'Control Room'!$B$7,('Control Room'!$B$8+'Control Room'!$D$8)/2))</x:f>
        <x:v>1011.0965884226213</x:v>
      </x:c>
      <x:c r="U281" s="17" t="n">
        <x:f>IF(AND($A281&gt;='Control Room'!$A$13,$A281&lt;'Control Room'!$A$13+'Control Room'!$B$13,'Process'!BN2=1),1+('Control Room'!$C$13-1)*EXP(-0.5*(($A281-'Control Room'!$A$13-('Control Room'!$B$13-1)/2)/MAX(0.5,'Control Room'!$B$13/4))^2),1)*IF(AND($A281&gt;='Control Room'!$A$14,$A281&lt;'Control Room'!$A$14+'Control Room'!$B$14,'Process'!BN3=1),1+('Control Room'!$C$14-1)*EXP(-0.5*(($A281-'Control Room'!$A$14-('Control Room'!$B$14-1)/2)/MAX(0.5,'Control Room'!$B$14/4))^2),1)*IF(AND($A281&gt;='Control Room'!$A$15,$A281&lt;'Control Room'!$A$15+'Control Room'!$B$15,'Process'!BN4=1),1+('Control Room'!$C$15-1)*EXP(-0.5*(($A281-'Control Room'!$A$15-('Control Room'!$B$15-1)/2)/MAX(0.5,'Control Room'!$B$15/4))^2),1)*IF(AND($A281&gt;='Control Room'!$A$16,$A281&lt;'Control Room'!$A$16+'Control Room'!$B$16,'Process'!BN5=1),1+('Control Room'!$C$16-1)*EXP(-0.5*(($A281-'Control Room'!$A$16-('Control Room'!$B$16-1)/2)/MAX(0.5,'Control Room'!$B$16/4))^2),1)</x:f>
        <x:v>1</x:v>
      </x:c>
      <x:c r="V281" s="9" t="n">
        <x:f>MOD(W280*16807,2147483647)</x:f>
        <x:v>2086861888</x:v>
      </x:c>
      <x:c r="W281" s="9" t="n">
        <x:f>MOD(V281*16807,2147483647)</x:f>
        <x:v>1184828812</x:v>
      </x:c>
      <x:c r="X281" s="17" t="n">
        <x:f>IF('Control Room'!$B$5="Normal",'Control Room'!$B$7+'Control Room'!$D$7*SQRT(-2*LN(MAX(0.000000000001,V281/2147483647)))*COS(2*PI()*W281/2147483647),'Control Room'!$B$8+('Control Room'!$D$8-'Control Room'!$B$8)*V281/2147483647)</x:f>
        <x:v>979.5895070294871</x:v>
      </x:c>
      <x:c r="Y281" s="17" t="n">
        <x:f>IF('Control Room'!$B$5="Normal",'Control Room'!$B$7,('Control Room'!$B$8+'Control Room'!$D$8)/2)+'Control Room'!$B$9*(Y280-IF('Control Room'!$B$5="Normal",'Control Room'!$B$7,('Control Room'!$B$8+'Control Room'!$D$8)/2))+SQRT(1-'Control Room'!$B$9^2)*(X281-IF('Control Room'!$B$5="Normal",'Control Room'!$B$7,('Control Room'!$B$8+'Control Room'!$D$8)/2))</x:f>
        <x:v>888.8262903696603</x:v>
      </x:c>
      <x:c r="Z281" s="17" t="n">
        <x:f>IF(AND($A281&gt;='Control Room'!$A$13,$A281&lt;'Control Room'!$A$13+'Control Room'!$B$13,'Process'!BO2=1),1+('Control Room'!$C$13-1)*EXP(-0.5*(($A281-'Control Room'!$A$13-('Control Room'!$B$13-1)/2)/MAX(0.5,'Control Room'!$B$13/4))^2),1)*IF(AND($A281&gt;='Control Room'!$A$14,$A281&lt;'Control Room'!$A$14+'Control Room'!$B$14,'Process'!BO3=1),1+('Control Room'!$C$14-1)*EXP(-0.5*(($A281-'Control Room'!$A$14-('Control Room'!$B$14-1)/2)/MAX(0.5,'Control Room'!$B$14/4))^2),1)*IF(AND($A281&gt;='Control Room'!$A$15,$A281&lt;'Control Room'!$A$15+'Control Room'!$B$15,'Process'!BO4=1),1+('Control Room'!$C$15-1)*EXP(-0.5*(($A281-'Control Room'!$A$15-('Control Room'!$B$15-1)/2)/MAX(0.5,'Control Room'!$B$15/4))^2),1)*IF(AND($A281&gt;='Control Room'!$A$16,$A281&lt;'Control Room'!$A$16+'Control Room'!$B$16,'Process'!BO5=1),1+('Control Room'!$C$16-1)*EXP(-0.5*(($A281-'Control Room'!$A$16-('Control Room'!$B$16-1)/2)/MAX(0.5,'Control Room'!$B$16/4))^2),1)</x:f>
        <x:v>1</x:v>
      </x:c>
      <x:c r="AA281" s="9" t="n">
        <x:f>MOD(AB280*16807,2147483647)</x:f>
        <x:v>1700615181</x:v>
      </x:c>
      <x:c r="AB281" s="9" t="n">
        <x:f>MOD(AA281*16807,2147483647)</x:f>
        <x:v>1379489144</x:v>
      </x:c>
      <x:c r="AC281" s="17" t="n">
        <x:f>IF('Control Room'!$B$5="Normal",'Control Room'!$B$7+'Control Room'!$D$7*SQRT(-2*LN(MAX(0.000000000001,AA281/2147483647)))*COS(2*PI()*AB281/2147483647),'Control Room'!$B$8+('Control Room'!$D$8-'Control Room'!$B$8)*AA281/2147483647)</x:f>
        <x:v>961.5234451533863</x:v>
      </x:c>
      <x:c r="AD281" s="17" t="n">
        <x:f>IF('Control Room'!$B$5="Normal",'Control Room'!$B$7,('Control Room'!$B$8+'Control Room'!$D$8)/2)+'Control Room'!$B$9*(AD280-IF('Control Room'!$B$5="Normal",'Control Room'!$B$7,('Control Room'!$B$8+'Control Room'!$D$8)/2))+SQRT(1-'Control Room'!$B$9^2)*(AC281-IF('Control Room'!$B$5="Normal",'Control Room'!$B$7,('Control Room'!$B$8+'Control Room'!$D$8)/2))</x:f>
        <x:v>1067.0412691205904</x:v>
      </x:c>
      <x:c r="AE281" s="17" t="n">
        <x:f>IF(AND($A281&gt;='Control Room'!$A$13,$A281&lt;'Control Room'!$A$13+'Control Room'!$B$13,'Process'!BP2=1),1+('Control Room'!$C$13-1)*EXP(-0.5*(($A281-'Control Room'!$A$13-('Control Room'!$B$13-1)/2)/MAX(0.5,'Control Room'!$B$13/4))^2),1)*IF(AND($A281&gt;='Control Room'!$A$14,$A281&lt;'Control Room'!$A$14+'Control Room'!$B$14,'Process'!BP3=1),1+('Control Room'!$C$14-1)*EXP(-0.5*(($A281-'Control Room'!$A$14-('Control Room'!$B$14-1)/2)/MAX(0.5,'Control Room'!$B$14/4))^2),1)*IF(AND($A281&gt;='Control Room'!$A$15,$A281&lt;'Control Room'!$A$15+'Control Room'!$B$15,'Process'!BP4=1),1+('Control Room'!$C$15-1)*EXP(-0.5*(($A281-'Control Room'!$A$15-('Control Room'!$B$15-1)/2)/MAX(0.5,'Control Room'!$B$15/4))^2),1)*IF(AND($A281&gt;='Control Room'!$A$16,$A281&lt;'Control Room'!$A$16+'Control Room'!$B$16,'Process'!BP5=1),1+('Control Room'!$C$16-1)*EXP(-0.5*(($A281-'Control Room'!$A$16-('Control Room'!$B$16-1)/2)/MAX(0.5,'Control Room'!$B$16/4))^2),1)</x:f>
        <x:v>1</x:v>
      </x:c>
      <x:c r="AF281" s="9" t="n">
        <x:f>MOD(AG280*16807,2147483647)</x:f>
        <x:v>1314368474</x:v>
      </x:c>
      <x:c r="AG281" s="9" t="n">
        <x:f>MOD(AF281*16807,2147483647)</x:f>
        <x:v>1574149476</x:v>
      </x:c>
      <x:c r="AH281" s="17" t="n">
        <x:f>IF('Control Room'!$B$5="Normal",'Control Room'!$B$7+'Control Room'!$D$7*SQRT(-2*LN(MAX(0.000000000001,AF281/2147483647)))*COS(2*PI()*AG281/2147483647),'Control Room'!$B$8+('Control Room'!$D$8-'Control Room'!$B$8)*AF281/2147483647)</x:f>
        <x:v>990.5037256715419</x:v>
      </x:c>
      <x:c r="AI281" s="17" t="n">
        <x:f>IF('Control Room'!$B$5="Normal",'Control Room'!$B$7,('Control Room'!$B$8+'Control Room'!$D$8)/2)+'Control Room'!$B$9*(AI280-IF('Control Room'!$B$5="Normal",'Control Room'!$B$7,('Control Room'!$B$8+'Control Room'!$D$8)/2))+SQRT(1-'Control Room'!$B$9^2)*(AH281-IF('Control Room'!$B$5="Normal",'Control Room'!$B$7,('Control Room'!$B$8+'Control Room'!$D$8)/2))</x:f>
        <x:v>1060.878576501558</x:v>
      </x:c>
      <x:c r="AJ281" s="17" t="n">
        <x:f>IF(AND($A281&gt;='Control Room'!$A$13,$A281&lt;'Control Room'!$A$13+'Control Room'!$B$13,'Process'!BQ2=1),1+('Control Room'!$C$13-1)*EXP(-0.5*(($A281-'Control Room'!$A$13-('Control Room'!$B$13-1)/2)/MAX(0.5,'Control Room'!$B$13/4))^2),1)*IF(AND($A281&gt;='Control Room'!$A$14,$A281&lt;'Control Room'!$A$14+'Control Room'!$B$14,'Process'!BQ3=1),1+('Control Room'!$C$14-1)*EXP(-0.5*(($A281-'Control Room'!$A$14-('Control Room'!$B$14-1)/2)/MAX(0.5,'Control Room'!$B$14/4))^2),1)*IF(AND($A281&gt;='Control Room'!$A$15,$A281&lt;'Control Room'!$A$15+'Control Room'!$B$15,'Process'!BQ4=1),1+('Control Room'!$C$15-1)*EXP(-0.5*(($A281-'Control Room'!$A$15-('Control Room'!$B$15-1)/2)/MAX(0.5,'Control Room'!$B$15/4))^2),1)*IF(AND($A281&gt;='Control Room'!$A$16,$A281&lt;'Control Room'!$A$16+'Control Room'!$B$16,'Process'!BQ5=1),1+('Control Room'!$C$16-1)*EXP(-0.5*(($A281-'Control Room'!$A$16-('Control Room'!$B$16-1)/2)/MAX(0.5,'Control Room'!$B$16/4))^2),1)</x:f>
        <x:v>1</x:v>
      </x:c>
      <x:c r="AK281" s="9" t="n">
        <x:f>MOD(AL280*16807,2147483647)</x:f>
        <x:v>928121767</x:v>
      </x:c>
      <x:c r="AL281" s="9" t="n">
        <x:f>MOD(AK281*16807,2147483647)</x:f>
        <x:v>1768809808</x:v>
      </x:c>
      <x:c r="AM281" s="17" t="n">
        <x:f>IF('Control Room'!$B$5="Normal",'Control Room'!$B$7+'Control Room'!$D$7*SQRT(-2*LN(MAX(0.000000000001,AK281/2147483647)))*COS(2*PI()*AL281/2147483647),'Control Room'!$B$8+('Control Room'!$D$8-'Control Room'!$B$8)*AK281/2147483647)</x:f>
        <x:v>1052.0521749270802</x:v>
      </x:c>
      <x:c r="AN281" s="17" t="n">
        <x:f>IF('Control Room'!$B$5="Normal",'Control Room'!$B$7,('Control Room'!$B$8+'Control Room'!$D$8)/2)+'Control Room'!$B$9*(AN280-IF('Control Room'!$B$5="Normal",'Control Room'!$B$7,('Control Room'!$B$8+'Control Room'!$D$8)/2))+SQRT(1-'Control Room'!$B$9^2)*(AM281-IF('Control Room'!$B$5="Normal",'Control Room'!$B$7,('Control Room'!$B$8+'Control Room'!$D$8)/2))</x:f>
        <x:v>893.827267587547</x:v>
      </x:c>
      <x:c r="AO281" s="17" t="n">
        <x:f>IF(AND($A281&gt;='Control Room'!$A$13,$A281&lt;'Control Room'!$A$13+'Control Room'!$B$13,'Process'!BR2=1),1+('Control Room'!$C$13-1)*EXP(-0.5*(($A281-'Control Room'!$A$13-('Control Room'!$B$13-1)/2)/MAX(0.5,'Control Room'!$B$13/4))^2),1)*IF(AND($A281&gt;='Control Room'!$A$14,$A281&lt;'Control Room'!$A$14+'Control Room'!$B$14,'Process'!BR3=1),1+('Control Room'!$C$14-1)*EXP(-0.5*(($A281-'Control Room'!$A$14-('Control Room'!$B$14-1)/2)/MAX(0.5,'Control Room'!$B$14/4))^2),1)*IF(AND($A281&gt;='Control Room'!$A$15,$A281&lt;'Control Room'!$A$15+'Control Room'!$B$15,'Process'!BR4=1),1+('Control Room'!$C$15-1)*EXP(-0.5*(($A281-'Control Room'!$A$15-('Control Room'!$B$15-1)/2)/MAX(0.5,'Control Room'!$B$15/4))^2),1)*IF(AND($A281&gt;='Control Room'!$A$16,$A281&lt;'Control Room'!$A$16+'Control Room'!$B$16,'Process'!BR5=1),1+('Control Room'!$C$16-1)*EXP(-0.5*(($A281-'Control Room'!$A$16-('Control Room'!$B$16-1)/2)/MAX(0.5,'Control Room'!$B$16/4))^2),1)</x:f>
        <x:v>1</x:v>
      </x:c>
      <x:c r="AP281" s="9" t="n">
        <x:f>MOD(AQ280*16807,2147483647)</x:f>
        <x:v>541875060</x:v>
      </x:c>
      <x:c r="AQ281" s="9" t="n">
        <x:f>MOD(AP281*16807,2147483647)</x:f>
        <x:v>1963470140</x:v>
      </x:c>
      <x:c r="AR281" s="17" t="n">
        <x:f>IF('Control Room'!$B$5="Normal",'Control Room'!$B$7+'Control Room'!$D$7*SQRT(-2*LN(MAX(0.000000000001,AP281/2147483647)))*COS(2*PI()*AQ281/2147483647),'Control Room'!$B$8+('Control Room'!$D$8-'Control Room'!$B$8)*AP281/2147483647)</x:f>
        <x:v>1128.2284486769481</x:v>
      </x:c>
      <x:c r="AS281" s="17" t="n">
        <x:f>IF('Control Room'!$B$5="Normal",'Control Room'!$B$7,('Control Room'!$B$8+'Control Room'!$D$8)/2)+'Control Room'!$B$9*(AS280-IF('Control Room'!$B$5="Normal",'Control Room'!$B$7,('Control Room'!$B$8+'Control Room'!$D$8)/2))+SQRT(1-'Control Room'!$B$9^2)*(AR281-IF('Control Room'!$B$5="Normal",'Control Room'!$B$7,('Control Room'!$B$8+'Control Room'!$D$8)/2))</x:f>
        <x:v>1018.6659456644992</x:v>
      </x:c>
      <x:c r="AT281" s="17" t="n">
        <x:f>IF(AND($A281&gt;='Control Room'!$A$13,$A281&lt;'Control Room'!$A$13+'Control Room'!$B$13,'Process'!BS2=1),1+('Control Room'!$C$13-1)*EXP(-0.5*(($A281-'Control Room'!$A$13-('Control Room'!$B$13-1)/2)/MAX(0.5,'Control Room'!$B$13/4))^2),1)*IF(AND($A281&gt;='Control Room'!$A$14,$A281&lt;'Control Room'!$A$14+'Control Room'!$B$14,'Process'!BS3=1),1+('Control Room'!$C$14-1)*EXP(-0.5*(($A281-'Control Room'!$A$14-('Control Room'!$B$14-1)/2)/MAX(0.5,'Control Room'!$B$14/4))^2),1)*IF(AND($A281&gt;='Control Room'!$A$15,$A281&lt;'Control Room'!$A$15+'Control Room'!$B$15,'Process'!BS4=1),1+('Control Room'!$C$15-1)*EXP(-0.5*(($A281-'Control Room'!$A$15-('Control Room'!$B$15-1)/2)/MAX(0.5,'Control Room'!$B$15/4))^2),1)*IF(AND($A281&gt;='Control Room'!$A$16,$A281&lt;'Control Room'!$A$16+'Control Room'!$B$16,'Process'!BS5=1),1+('Control Room'!$C$16-1)*EXP(-0.5*(($A281-'Control Room'!$A$16-('Control Room'!$B$16-1)/2)/MAX(0.5,'Control Room'!$B$16/4))^2),1)</x:f>
        <x:v>1</x:v>
      </x:c>
      <x:c r="AU281" s="9" t="n">
        <x:f>MOD(AV280*16807,2147483647)</x:f>
        <x:v>155628353</x:v>
      </x:c>
      <x:c r="AV281" s="9" t="n">
        <x:f>MOD(AU281*16807,2147483647)</x:f>
        <x:v>10646825</x:v>
      </x:c>
      <x:c r="AW281" s="17" t="n">
        <x:f>IF('Control Room'!$B$5="Normal",'Control Room'!$B$7+'Control Room'!$D$7*SQRT(-2*LN(MAX(0.000000000001,AU281/2147483647)))*COS(2*PI()*AV281/2147483647),'Control Room'!$B$8+('Control Room'!$D$8-'Control Room'!$B$8)*AU281/2147483647)</x:f>
        <x:v>1206.0994190668002</x:v>
      </x:c>
      <x:c r="AX281" s="17" t="n">
        <x:f>IF('Control Room'!$B$5="Normal",'Control Room'!$B$7,('Control Room'!$B$8+'Control Room'!$D$8)/2)+'Control Room'!$B$9*(AX280-IF('Control Room'!$B$5="Normal",'Control Room'!$B$7,('Control Room'!$B$8+'Control Room'!$D$8)/2))+SQRT(1-'Control Room'!$B$9^2)*(AW281-IF('Control Room'!$B$5="Normal",'Control Room'!$B$7,('Control Room'!$B$8+'Control Room'!$D$8)/2))</x:f>
        <x:v>1168.7313751152928</x:v>
      </x:c>
      <x:c r="AY281" s="17" t="n">
        <x:f>IF(AND($A281&gt;='Control Room'!$A$13,$A281&lt;'Control Room'!$A$13+'Control Room'!$B$13,'Process'!BT2=1),1+('Control Room'!$C$13-1)*EXP(-0.5*(($A281-'Control Room'!$A$13-('Control Room'!$B$13-1)/2)/MAX(0.5,'Control Room'!$B$13/4))^2),1)*IF(AND($A281&gt;='Control Room'!$A$14,$A281&lt;'Control Room'!$A$14+'Control Room'!$B$14,'Process'!BT3=1),1+('Control Room'!$C$14-1)*EXP(-0.5*(($A281-'Control Room'!$A$14-('Control Room'!$B$14-1)/2)/MAX(0.5,'Control Room'!$B$14/4))^2),1)*IF(AND($A281&gt;='Control Room'!$A$15,$A281&lt;'Control Room'!$A$15+'Control Room'!$B$15,'Process'!BT4=1),1+('Control Room'!$C$15-1)*EXP(-0.5*(($A281-'Control Room'!$A$15-('Control Room'!$B$15-1)/2)/MAX(0.5,'Control Room'!$B$15/4))^2),1)*IF(AND($A281&gt;='Control Room'!$A$16,$A281&lt;'Control Room'!$A$16+'Control Room'!$B$16,'Process'!BT5=1),1+('Control Room'!$C$16-1)*EXP(-0.5*(($A281-'Control Room'!$A$16-('Control Room'!$B$16-1)/2)/MAX(0.5,'Control Room'!$B$16/4))^2),1)</x:f>
        <x:v>1</x:v>
      </x:c>
      <x:c r="AZ281" s="9" t="n">
        <x:f>MOD(BA280*16807,2147483647)</x:f>
        <x:v>1916865293</x:v>
      </x:c>
      <x:c r="BA281" s="9" t="n">
        <x:f>MOD(AZ281*16807,2147483647)</x:f>
        <x:v>205307157</x:v>
      </x:c>
      <x:c r="BB281" s="17" t="n">
        <x:f>IF('Control Room'!$B$5="Normal",'Control Room'!$B$7+'Control Room'!$D$7*SQRT(-2*LN(MAX(0.000000000001,AZ281/2147483647)))*COS(2*PI()*BA281/2147483647),'Control Room'!$B$8+('Control Room'!$D$8-'Control Room'!$B$8)*AZ281/2147483647)</x:f>
        <x:v>1035.390053659489</x:v>
      </x:c>
      <x:c r="BC281" s="17" t="n">
        <x:f>IF('Control Room'!$B$5="Normal",'Control Room'!$B$7,('Control Room'!$B$8+'Control Room'!$D$8)/2)+'Control Room'!$B$9*(BC280-IF('Control Room'!$B$5="Normal",'Control Room'!$B$7,('Control Room'!$B$8+'Control Room'!$D$8)/2))+SQRT(1-'Control Room'!$B$9^2)*(BB281-IF('Control Room'!$B$5="Normal",'Control Room'!$B$7,('Control Room'!$B$8+'Control Room'!$D$8)/2))</x:f>
        <x:v>980.6352276101358</x:v>
      </x:c>
      <x:c r="BD281" s="17" t="n">
        <x:f>IF(AND($A281&gt;='Control Room'!$A$13,$A281&lt;'Control Room'!$A$13+'Control Room'!$B$13,'Process'!BU2=1),1+('Control Room'!$C$13-1)*EXP(-0.5*(($A281-'Control Room'!$A$13-('Control Room'!$B$13-1)/2)/MAX(0.5,'Control Room'!$B$13/4))^2),1)*IF(AND($A281&gt;='Control Room'!$A$14,$A281&lt;'Control Room'!$A$14+'Control Room'!$B$14,'Process'!BU3=1),1+('Control Room'!$C$14-1)*EXP(-0.5*(($A281-'Control Room'!$A$14-('Control Room'!$B$14-1)/2)/MAX(0.5,'Control Room'!$B$14/4))^2),1)*IF(AND($A281&gt;='Control Room'!$A$15,$A281&lt;'Control Room'!$A$15+'Control Room'!$B$15,'Process'!BU4=1),1+('Control Room'!$C$15-1)*EXP(-0.5*(($A281-'Control Room'!$A$15-('Control Room'!$B$15-1)/2)/MAX(0.5,'Control Room'!$B$15/4))^2),1)*IF(AND($A281&gt;='Control Room'!$A$16,$A281&lt;'Control Room'!$A$16+'Control Room'!$B$16,'Process'!BU5=1),1+('Control Room'!$C$16-1)*EXP(-0.5*(($A281-'Control Room'!$A$16-('Control Room'!$B$16-1)/2)/MAX(0.5,'Control Room'!$B$16/4))^2),1)</x:f>
        <x:v>1</x:v>
      </x:c>
      <x:c r="BE281" s="9" t="n">
        <x:f>MOD(BF280*16807,2147483647)</x:f>
        <x:v>1530618586</x:v>
      </x:c>
      <x:c r="BF281" s="9" t="n">
        <x:f>MOD(BE281*16807,2147483647)</x:f>
        <x:v>399967489</x:v>
      </x:c>
      <x:c r="BG281" s="17" t="n">
        <x:f>IF('Control Room'!$B$5="Normal",'Control Room'!$B$7+'Control Room'!$D$7*SQRT(-2*LN(MAX(0.000000000001,BE281/2147483647)))*COS(2*PI()*BF281/2147483647),'Control Room'!$B$8+('Control Room'!$D$8-'Control Room'!$B$8)*BE281/2147483647)</x:f>
        <x:v>1028.8805184596804</x:v>
      </x:c>
      <x:c r="BH281" s="17" t="n">
        <x:f>IF('Control Room'!$B$5="Normal",'Control Room'!$B$7,('Control Room'!$B$8+'Control Room'!$D$8)/2)+'Control Room'!$B$9*(BH280-IF('Control Room'!$B$5="Normal",'Control Room'!$B$7,('Control Room'!$B$8+'Control Room'!$D$8)/2))+SQRT(1-'Control Room'!$B$9^2)*(BG281-IF('Control Room'!$B$5="Normal",'Control Room'!$B$7,('Control Room'!$B$8+'Control Room'!$D$8)/2))</x:f>
        <x:v>956.5703293588251</x:v>
      </x:c>
      <x:c r="BI281" s="17" t="n">
        <x:f>IF(AND($A281&gt;='Control Room'!$A$13,$A281&lt;'Control Room'!$A$13+'Control Room'!$B$13,'Process'!BV2=1),1+('Control Room'!$C$13-1)*EXP(-0.5*(($A281-'Control Room'!$A$13-('Control Room'!$B$13-1)/2)/MAX(0.5,'Control Room'!$B$13/4))^2),1)*IF(AND($A281&gt;='Control Room'!$A$14,$A281&lt;'Control Room'!$A$14+'Control Room'!$B$14,'Process'!BV3=1),1+('Control Room'!$C$14-1)*EXP(-0.5*(($A281-'Control Room'!$A$14-('Control Room'!$B$14-1)/2)/MAX(0.5,'Control Room'!$B$14/4))^2),1)*IF(AND($A281&gt;='Control Room'!$A$15,$A281&lt;'Control Room'!$A$15+'Control Room'!$B$15,'Process'!BV4=1),1+('Control Room'!$C$15-1)*EXP(-0.5*(($A281-'Control Room'!$A$15-('Control Room'!$B$15-1)/2)/MAX(0.5,'Control Room'!$B$15/4))^2),1)*IF(AND($A281&gt;='Control Room'!$A$16,$A281&lt;'Control Room'!$A$16+'Control Room'!$B$16,'Process'!BV5=1),1+('Control Room'!$C$16-1)*EXP(-0.5*(($A281-'Control Room'!$A$16-('Control Room'!$B$16-1)/2)/MAX(0.5,'Control Room'!$B$16/4))^2),1)</x:f>
        <x:v>1</x:v>
      </x:c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Z281" t="str">
        <x:f>IF('Data'!A281="","",TEXT('Data'!A281,"mm-dd"))</x:f>
      </x:c>
    </x:row>
    <x:row r="282" ht="21" customHeight="1">
      <x:c r="A282" s="15" t="n">
        <x:f>'Control Room'!$B$1+280</x:f>
        <x:v>73271</x:v>
      </x:c>
      <x:c r="B282" s="9" t="n">
        <x:f>MOD(C281*16807,2147483647)</x:f>
        <x:v>2090013422</x:v>
      </x:c>
      <x:c r="C282" s="9" t="n">
        <x:f>MOD(B282*16807,2147483647)</x:f>
        <x:v>465569575</x:v>
      </x:c>
      <x:c r="D282" s="17" t="n">
        <x:f>IF('Control Room'!$B$5="Normal",'Control Room'!$B$7+'Control Room'!$D$7*SQRT(-2*LN(MAX(0.000000000001,B282/2147483647)))*COS(2*PI()*C282/2147483647),'Control Room'!$B$8+('Control Room'!$D$8-'Control Room'!$B$8)*B282/2147483647)</x:f>
        <x:v>1004.3415571895047</x:v>
      </x:c>
      <x:c r="E282" s="17" t="n">
        <x:f>IF('Control Room'!$B$5="Normal",'Control Room'!$B$7,('Control Room'!$B$8+'Control Room'!$D$8)/2)+'Control Room'!$B$9*(E281-IF('Control Room'!$B$5="Normal",'Control Room'!$B$7,('Control Room'!$B$8+'Control Room'!$D$8)/2))+SQRT(1-'Control Room'!$B$9^2)*(D282-IF('Control Room'!$B$5="Normal",'Control Room'!$B$7,('Control Room'!$B$8+'Control Room'!$D$8)/2))</x:f>
        <x:v>1042.0462906460905</x:v>
      </x:c>
      <x:c r="F282" s="17" t="n">
        <x:f>IF(AND($A282&gt;='Control Room'!$A$13,$A282&lt;'Control Room'!$A$13+'Control Room'!$B$13,'Process'!BK2=1),1+('Control Room'!$C$13-1)*EXP(-0.5*(($A282-'Control Room'!$A$13-('Control Room'!$B$13-1)/2)/MAX(0.5,'Control Room'!$B$13/4))^2),1)*IF(AND($A282&gt;='Control Room'!$A$14,$A282&lt;'Control Room'!$A$14+'Control Room'!$B$14,'Process'!BK3=1),1+('Control Room'!$C$14-1)*EXP(-0.5*(($A282-'Control Room'!$A$14-('Control Room'!$B$14-1)/2)/MAX(0.5,'Control Room'!$B$14/4))^2),1)*IF(AND($A282&gt;='Control Room'!$A$15,$A282&lt;'Control Room'!$A$15+'Control Room'!$B$15,'Process'!BK4=1),1+('Control Room'!$C$15-1)*EXP(-0.5*(($A282-'Control Room'!$A$15-('Control Room'!$B$15-1)/2)/MAX(0.5,'Control Room'!$B$15/4))^2),1)*IF(AND($A282&gt;='Control Room'!$A$16,$A282&lt;'Control Room'!$A$16+'Control Room'!$B$16,'Process'!BK5=1),1+('Control Room'!$C$16-1)*EXP(-0.5*(($A282-'Control Room'!$A$16-('Control Room'!$B$16-1)/2)/MAX(0.5,'Control Room'!$B$16/4))^2),1)</x:f>
        <x:v>1</x:v>
      </x:c>
      <x:c r="G282" s="9" t="n">
        <x:f>MOD(H281*16807,2147483647)</x:f>
        <x:v>981135318</x:v>
      </x:c>
      <x:c r="H282" s="9" t="n">
        <x:f>MOD(G282*16807,2147483647)</x:f>
        <x:v>1561847960</x:v>
      </x:c>
      <x:c r="I282" s="17" t="n">
        <x:f>IF('Control Room'!$B$5="Normal",'Control Room'!$B$7+'Control Room'!$D$7*SQRT(-2*LN(MAX(0.000000000001,G282/2147483647)))*COS(2*PI()*H282/2147483647),'Control Room'!$B$8+('Control Room'!$D$8-'Control Room'!$B$8)*G282/2147483647)</x:f>
        <x:v>983.9817576179685</x:v>
      </x:c>
      <x:c r="J282" s="17" t="n">
        <x:f>IF('Control Room'!$B$5="Normal",'Control Room'!$B$7,('Control Room'!$B$8+'Control Room'!$D$8)/2)+'Control Room'!$B$9*(J281-IF('Control Room'!$B$5="Normal",'Control Room'!$B$7,('Control Room'!$B$8+'Control Room'!$D$8)/2))+SQRT(1-'Control Room'!$B$9^2)*(I282-IF('Control Room'!$B$5="Normal",'Control Room'!$B$7,('Control Room'!$B$8+'Control Room'!$D$8)/2))</x:f>
        <x:v>929.4184742820252</x:v>
      </x:c>
      <x:c r="K282" s="17" t="n">
        <x:f>IF(AND($A282&gt;='Control Room'!$A$13,$A282&lt;'Control Room'!$A$13+'Control Room'!$B$13,'Process'!BL2=1),1+('Control Room'!$C$13-1)*EXP(-0.5*(($A282-'Control Room'!$A$13-('Control Room'!$B$13-1)/2)/MAX(0.5,'Control Room'!$B$13/4))^2),1)*IF(AND($A282&gt;='Control Room'!$A$14,$A282&lt;'Control Room'!$A$14+'Control Room'!$B$14,'Process'!BL3=1),1+('Control Room'!$C$14-1)*EXP(-0.5*(($A282-'Control Room'!$A$14-('Control Room'!$B$14-1)/2)/MAX(0.5,'Control Room'!$B$14/4))^2),1)*IF(AND($A282&gt;='Control Room'!$A$15,$A282&lt;'Control Room'!$A$15+'Control Room'!$B$15,'Process'!BL4=1),1+('Control Room'!$C$15-1)*EXP(-0.5*(($A282-'Control Room'!$A$15-('Control Room'!$B$15-1)/2)/MAX(0.5,'Control Room'!$B$15/4))^2),1)*IF(AND($A282&gt;='Control Room'!$A$16,$A282&lt;'Control Room'!$A$16+'Control Room'!$B$16,'Process'!BL5=1),1+('Control Room'!$C$16-1)*EXP(-0.5*(($A282-'Control Room'!$A$16-('Control Room'!$B$16-1)/2)/MAX(0.5,'Control Room'!$B$16/4))^2),1)</x:f>
        <x:v>1</x:v>
      </x:c>
      <x:c r="L282" s="9" t="n">
        <x:f>MOD(M281*16807,2147483647)</x:f>
        <x:v>2019740861</x:v>
      </x:c>
      <x:c r="M282" s="9" t="n">
        <x:f>MOD(L282*16807,2147483647)</x:f>
        <x:v>510642698</x:v>
      </x:c>
      <x:c r="N282" s="17" t="n">
        <x:f>IF('Control Room'!$B$5="Normal",'Control Room'!$B$7+'Control Room'!$D$7*SQRT(-2*LN(MAX(0.000000000001,L282/2147483647)))*COS(2*PI()*M282/2147483647),'Control Room'!$B$8+('Control Room'!$D$8-'Control Room'!$B$8)*L282/2147483647)</x:f>
        <x:v>1002.4164491974741</x:v>
      </x:c>
      <x:c r="O282" s="17" t="n">
        <x:f>IF('Control Room'!$B$5="Normal",'Control Room'!$B$7,('Control Room'!$B$8+'Control Room'!$D$8)/2)+'Control Room'!$B$9*(O281-IF('Control Room'!$B$5="Normal",'Control Room'!$B$7,('Control Room'!$B$8+'Control Room'!$D$8)/2))+SQRT(1-'Control Room'!$B$9^2)*(N282-IF('Control Room'!$B$5="Normal",'Control Room'!$B$7,('Control Room'!$B$8+'Control Room'!$D$8)/2))</x:f>
        <x:v>1116.8975610331818</x:v>
      </x:c>
      <x:c r="P282" s="17" t="n">
        <x:f>IF(AND($A282&gt;='Control Room'!$A$13,$A282&lt;'Control Room'!$A$13+'Control Room'!$B$13,'Process'!BM2=1),1+('Control Room'!$C$13-1)*EXP(-0.5*(($A282-'Control Room'!$A$13-('Control Room'!$B$13-1)/2)/MAX(0.5,'Control Room'!$B$13/4))^2),1)*IF(AND($A282&gt;='Control Room'!$A$14,$A282&lt;'Control Room'!$A$14+'Control Room'!$B$14,'Process'!BM3=1),1+('Control Room'!$C$14-1)*EXP(-0.5*(($A282-'Control Room'!$A$14-('Control Room'!$B$14-1)/2)/MAX(0.5,'Control Room'!$B$14/4))^2),1)*IF(AND($A282&gt;='Control Room'!$A$15,$A282&lt;'Control Room'!$A$15+'Control Room'!$B$15,'Process'!BM4=1),1+('Control Room'!$C$15-1)*EXP(-0.5*(($A282-'Control Room'!$A$15-('Control Room'!$B$15-1)/2)/MAX(0.5,'Control Room'!$B$15/4))^2),1)*IF(AND($A282&gt;='Control Room'!$A$16,$A282&lt;'Control Room'!$A$16+'Control Room'!$B$16,'Process'!BM5=1),1+('Control Room'!$C$16-1)*EXP(-0.5*(($A282-'Control Room'!$A$16-('Control Room'!$B$16-1)/2)/MAX(0.5,'Control Room'!$B$16/4))^2),1)</x:f>
        <x:v>1</x:v>
      </x:c>
      <x:c r="Q282" s="9" t="n">
        <x:f>MOD(R281*16807,2147483647)</x:f>
        <x:v>910862757</x:v>
      </x:c>
      <x:c r="R282" s="9" t="n">
        <x:f>MOD(Q282*16807,2147483647)</x:f>
        <x:v>1606921083</x:v>
      </x:c>
      <x:c r="S282" s="17" t="n">
        <x:f>IF('Control Room'!$B$5="Normal",'Control Room'!$B$7+'Control Room'!$D$7*SQRT(-2*LN(MAX(0.000000000001,Q282/2147483647)))*COS(2*PI()*R282/2147483647),'Control Room'!$B$8+('Control Room'!$D$8-'Control Room'!$B$8)*Q282/2147483647)</x:f>
        <x:v>998.7268564385133</x:v>
      </x:c>
      <x:c r="T282" s="17" t="n">
        <x:f>IF('Control Room'!$B$5="Normal",'Control Room'!$B$7,('Control Room'!$B$8+'Control Room'!$D$8)/2)+'Control Room'!$B$9*(T281-IF('Control Room'!$B$5="Normal",'Control Room'!$B$7,('Control Room'!$B$8+'Control Room'!$D$8)/2))+SQRT(1-'Control Room'!$B$9^2)*(S282-IF('Control Room'!$B$5="Normal",'Control Room'!$B$7,('Control Room'!$B$8+'Control Room'!$D$8)/2))</x:f>
        <x:v>1007.8586318106297</x:v>
      </x:c>
      <x:c r="U282" s="17" t="n">
        <x:f>IF(AND($A282&gt;='Control Room'!$A$13,$A282&lt;'Control Room'!$A$13+'Control Room'!$B$13,'Process'!BN2=1),1+('Control Room'!$C$13-1)*EXP(-0.5*(($A282-'Control Room'!$A$13-('Control Room'!$B$13-1)/2)/MAX(0.5,'Control Room'!$B$13/4))^2),1)*IF(AND($A282&gt;='Control Room'!$A$14,$A282&lt;'Control Room'!$A$14+'Control Room'!$B$14,'Process'!BN3=1),1+('Control Room'!$C$14-1)*EXP(-0.5*(($A282-'Control Room'!$A$14-('Control Room'!$B$14-1)/2)/MAX(0.5,'Control Room'!$B$14/4))^2),1)*IF(AND($A282&gt;='Control Room'!$A$15,$A282&lt;'Control Room'!$A$15+'Control Room'!$B$15,'Process'!BN4=1),1+('Control Room'!$C$15-1)*EXP(-0.5*(($A282-'Control Room'!$A$15-('Control Room'!$B$15-1)/2)/MAX(0.5,'Control Room'!$B$15/4))^2),1)*IF(AND($A282&gt;='Control Room'!$A$16,$A282&lt;'Control Room'!$A$16+'Control Room'!$B$16,'Process'!BN5=1),1+('Control Room'!$C$16-1)*EXP(-0.5*(($A282-'Control Room'!$A$16-('Control Room'!$B$16-1)/2)/MAX(0.5,'Control Room'!$B$16/4))^2),1)</x:f>
        <x:v>1</x:v>
      </x:c>
      <x:c r="V282" s="9" t="n">
        <x:f>MOD(W281*16807,2147483647)</x:f>
        <x:v>1949468300</x:v>
      </x:c>
      <x:c r="W282" s="9" t="n">
        <x:f>MOD(V282*16807,2147483647)</x:f>
        <x:v>555715821</x:v>
      </x:c>
      <x:c r="X282" s="17" t="n">
        <x:f>IF('Control Room'!$B$5="Normal",'Control Room'!$B$7+'Control Room'!$D$7*SQRT(-2*LN(MAX(0.000000000001,V282/2147483647)))*COS(2*PI()*W282/2147483647),'Control Room'!$B$8+('Control Room'!$D$8-'Control Room'!$B$8)*V282/2147483647)</x:f>
        <x:v>997.8183517264476</x:v>
      </x:c>
      <x:c r="Y282" s="17" t="n">
        <x:f>IF('Control Room'!$B$5="Normal",'Control Room'!$B$7,('Control Room'!$B$8+'Control Room'!$D$8)/2)+'Control Room'!$B$9*(Y281-IF('Control Room'!$B$5="Normal",'Control Room'!$B$7,('Control Room'!$B$8+'Control Room'!$D$8)/2))+SQRT(1-'Control Room'!$B$9^2)*(X282-IF('Control Room'!$B$5="Normal",'Control Room'!$B$7,('Control Room'!$B$8+'Control Room'!$D$8)/2))</x:f>
        <x:v>911.9192756922401</x:v>
      </x:c>
      <x:c r="Z282" s="17" t="n">
        <x:f>IF(AND($A282&gt;='Control Room'!$A$13,$A282&lt;'Control Room'!$A$13+'Control Room'!$B$13,'Process'!BO2=1),1+('Control Room'!$C$13-1)*EXP(-0.5*(($A282-'Control Room'!$A$13-('Control Room'!$B$13-1)/2)/MAX(0.5,'Control Room'!$B$13/4))^2),1)*IF(AND($A282&gt;='Control Room'!$A$14,$A282&lt;'Control Room'!$A$14+'Control Room'!$B$14,'Process'!BO3=1),1+('Control Room'!$C$14-1)*EXP(-0.5*(($A282-'Control Room'!$A$14-('Control Room'!$B$14-1)/2)/MAX(0.5,'Control Room'!$B$14/4))^2),1)*IF(AND($A282&gt;='Control Room'!$A$15,$A282&lt;'Control Room'!$A$15+'Control Room'!$B$15,'Process'!BO4=1),1+('Control Room'!$C$15-1)*EXP(-0.5*(($A282-'Control Room'!$A$15-('Control Room'!$B$15-1)/2)/MAX(0.5,'Control Room'!$B$15/4))^2),1)*IF(AND($A282&gt;='Control Room'!$A$16,$A282&lt;'Control Room'!$A$16+'Control Room'!$B$16,'Process'!BO5=1),1+('Control Room'!$C$16-1)*EXP(-0.5*(($A282-'Control Room'!$A$16-('Control Room'!$B$16-1)/2)/MAX(0.5,'Control Room'!$B$16/4))^2),1)</x:f>
        <x:v>1</x:v>
      </x:c>
      <x:c r="AA282" s="9" t="n">
        <x:f>MOD(AB281*16807,2147483647)</x:f>
        <x:v>840590196</x:v>
      </x:c>
      <x:c r="AB282" s="9" t="n">
        <x:f>MOD(AA282*16807,2147483647)</x:f>
        <x:v>1651994206</x:v>
      </x:c>
      <x:c r="AC282" s="17" t="n">
        <x:f>IF('Control Room'!$B$5="Normal",'Control Room'!$B$7+'Control Room'!$D$7*SQRT(-2*LN(MAX(0.000000000001,AA282/2147483647)))*COS(2*PI()*AB282/2147483647),'Control Room'!$B$8+('Control Room'!$D$8-'Control Room'!$B$8)*AA282/2147483647)</x:f>
        <x:v>1014.888164919426</x:v>
      </x:c>
      <x:c r="AD282" s="17" t="n">
        <x:f>IF('Control Room'!$B$5="Normal",'Control Room'!$B$7,('Control Room'!$B$8+'Control Room'!$D$8)/2)+'Control Room'!$B$9*(AD281-IF('Control Room'!$B$5="Normal",'Control Room'!$B$7,('Control Room'!$B$8+'Control Room'!$D$8)/2))+SQRT(1-'Control Room'!$B$9^2)*(AC282-IF('Control Room'!$B$5="Normal",'Control Room'!$B$7,('Control Room'!$B$8+'Control Room'!$D$8)/2))</x:f>
        <x:v>1061.6088985200008</x:v>
      </x:c>
      <x:c r="AE282" s="17" t="n">
        <x:f>IF(AND($A282&gt;='Control Room'!$A$13,$A282&lt;'Control Room'!$A$13+'Control Room'!$B$13,'Process'!BP2=1),1+('Control Room'!$C$13-1)*EXP(-0.5*(($A282-'Control Room'!$A$13-('Control Room'!$B$13-1)/2)/MAX(0.5,'Control Room'!$B$13/4))^2),1)*IF(AND($A282&gt;='Control Room'!$A$14,$A282&lt;'Control Room'!$A$14+'Control Room'!$B$14,'Process'!BP3=1),1+('Control Room'!$C$14-1)*EXP(-0.5*(($A282-'Control Room'!$A$14-('Control Room'!$B$14-1)/2)/MAX(0.5,'Control Room'!$B$14/4))^2),1)*IF(AND($A282&gt;='Control Room'!$A$15,$A282&lt;'Control Room'!$A$15+'Control Room'!$B$15,'Process'!BP4=1),1+('Control Room'!$C$15-1)*EXP(-0.5*(($A282-'Control Room'!$A$15-('Control Room'!$B$15-1)/2)/MAX(0.5,'Control Room'!$B$15/4))^2),1)*IF(AND($A282&gt;='Control Room'!$A$16,$A282&lt;'Control Room'!$A$16+'Control Room'!$B$16,'Process'!BP5=1),1+('Control Room'!$C$16-1)*EXP(-0.5*(($A282-'Control Room'!$A$16-('Control Room'!$B$16-1)/2)/MAX(0.5,'Control Room'!$B$16/4))^2),1)</x:f>
        <x:v>1</x:v>
      </x:c>
      <x:c r="AF282" s="9" t="n">
        <x:f>MOD(AG281*16807,2147483647)</x:f>
        <x:v>1879195739</x:v>
      </x:c>
      <x:c r="AG282" s="9" t="n">
        <x:f>MOD(AF282*16807,2147483647)</x:f>
        <x:v>600788944</x:v>
      </x:c>
      <x:c r="AH282" s="17" t="n">
        <x:f>IF('Control Room'!$B$5="Normal",'Control Room'!$B$7+'Control Room'!$D$7*SQRT(-2*LN(MAX(0.000000000001,AF282/2147483647)))*COS(2*PI()*AG282/2147483647),'Control Room'!$B$8+('Control Room'!$D$8-'Control Room'!$B$8)*AF282/2147483647)</x:f>
        <x:v>991.3550914852337</x:v>
      </x:c>
      <x:c r="AI282" s="17" t="n">
        <x:f>IF('Control Room'!$B$5="Normal",'Control Room'!$B$7,('Control Room'!$B$8+'Control Room'!$D$8)/2)+'Control Room'!$B$9*(AI281-IF('Control Room'!$B$5="Normal",'Control Room'!$B$7,('Control Room'!$B$8+'Control Room'!$D$8)/2))+SQRT(1-'Control Room'!$B$9^2)*(AH282-IF('Control Room'!$B$5="Normal",'Control Room'!$B$7,('Control Room'!$B$8+'Control Room'!$D$8)/2))</x:f>
        <x:v>1042.0754830232518</x:v>
      </x:c>
      <x:c r="AJ282" s="17" t="n">
        <x:f>IF(AND($A282&gt;='Control Room'!$A$13,$A282&lt;'Control Room'!$A$13+'Control Room'!$B$13,'Process'!BQ2=1),1+('Control Room'!$C$13-1)*EXP(-0.5*(($A282-'Control Room'!$A$13-('Control Room'!$B$13-1)/2)/MAX(0.5,'Control Room'!$B$13/4))^2),1)*IF(AND($A282&gt;='Control Room'!$A$14,$A282&lt;'Control Room'!$A$14+'Control Room'!$B$14,'Process'!BQ3=1),1+('Control Room'!$C$14-1)*EXP(-0.5*(($A282-'Control Room'!$A$14-('Control Room'!$B$14-1)/2)/MAX(0.5,'Control Room'!$B$14/4))^2),1)*IF(AND($A282&gt;='Control Room'!$A$15,$A282&lt;'Control Room'!$A$15+'Control Room'!$B$15,'Process'!BQ4=1),1+('Control Room'!$C$15-1)*EXP(-0.5*(($A282-'Control Room'!$A$15-('Control Room'!$B$15-1)/2)/MAX(0.5,'Control Room'!$B$15/4))^2),1)*IF(AND($A282&gt;='Control Room'!$A$16,$A282&lt;'Control Room'!$A$16+'Control Room'!$B$16,'Process'!BQ5=1),1+('Control Room'!$C$16-1)*EXP(-0.5*(($A282-'Control Room'!$A$16-('Control Room'!$B$16-1)/2)/MAX(0.5,'Control Room'!$B$16/4))^2),1)</x:f>
        <x:v>1</x:v>
      </x:c>
      <x:c r="AK282" s="9" t="n">
        <x:f>MOD(AL281*16807,2147483647)</x:f>
        <x:v>770317635</x:v>
      </x:c>
      <x:c r="AL282" s="9" t="n">
        <x:f>MOD(AK282*16807,2147483647)</x:f>
        <x:v>1697067329</x:v>
      </x:c>
      <x:c r="AM282" s="17" t="n">
        <x:f>IF('Control Room'!$B$5="Normal",'Control Room'!$B$7+'Control Room'!$D$7*SQRT(-2*LN(MAX(0.000000000001,AK282/2147483647)))*COS(2*PI()*AL282/2147483647),'Control Room'!$B$8+('Control Room'!$D$8-'Control Room'!$B$8)*AK282/2147483647)</x:f>
        <x:v>1032.2529168370313</x:v>
      </x:c>
      <x:c r="AN282" s="17" t="n">
        <x:f>IF('Control Room'!$B$5="Normal",'Control Room'!$B$7,('Control Room'!$B$8+'Control Room'!$D$8)/2)+'Control Room'!$B$9*(AN281-IF('Control Room'!$B$5="Normal",'Control Room'!$B$7,('Control Room'!$B$8+'Control Room'!$D$8)/2))+SQRT(1-'Control Room'!$B$9^2)*(AM282-IF('Control Room'!$B$5="Normal",'Control Room'!$B$7,('Control Room'!$B$8+'Control Room'!$D$8)/2))</x:f>
        <x:v>937.3684833379853</x:v>
      </x:c>
      <x:c r="AO282" s="17" t="n">
        <x:f>IF(AND($A282&gt;='Control Room'!$A$13,$A282&lt;'Control Room'!$A$13+'Control Room'!$B$13,'Process'!BR2=1),1+('Control Room'!$C$13-1)*EXP(-0.5*(($A282-'Control Room'!$A$13-('Control Room'!$B$13-1)/2)/MAX(0.5,'Control Room'!$B$13/4))^2),1)*IF(AND($A282&gt;='Control Room'!$A$14,$A282&lt;'Control Room'!$A$14+'Control Room'!$B$14,'Process'!BR3=1),1+('Control Room'!$C$14-1)*EXP(-0.5*(($A282-'Control Room'!$A$14-('Control Room'!$B$14-1)/2)/MAX(0.5,'Control Room'!$B$14/4))^2),1)*IF(AND($A282&gt;='Control Room'!$A$15,$A282&lt;'Control Room'!$A$15+'Control Room'!$B$15,'Process'!BR4=1),1+('Control Room'!$C$15-1)*EXP(-0.5*(($A282-'Control Room'!$A$15-('Control Room'!$B$15-1)/2)/MAX(0.5,'Control Room'!$B$15/4))^2),1)*IF(AND($A282&gt;='Control Room'!$A$16,$A282&lt;'Control Room'!$A$16+'Control Room'!$B$16,'Process'!BR5=1),1+('Control Room'!$C$16-1)*EXP(-0.5*(($A282-'Control Room'!$A$16-('Control Room'!$B$16-1)/2)/MAX(0.5,'Control Room'!$B$16/4))^2),1)</x:f>
        <x:v>1</x:v>
      </x:c>
      <x:c r="AP282" s="9" t="n">
        <x:f>MOD(AQ281*16807,2147483647)</x:f>
        <x:v>1808923178</x:v>
      </x:c>
      <x:c r="AQ282" s="9" t="n">
        <x:f>MOD(AP282*16807,2147483647)</x:f>
        <x:v>645862067</x:v>
      </x:c>
      <x:c r="AR282" s="17" t="n">
        <x:f>IF('Control Room'!$B$5="Normal",'Control Room'!$B$7+'Control Room'!$D$7*SQRT(-2*LN(MAX(0.000000000001,AP282/2147483647)))*COS(2*PI()*AQ282/2147483647),'Control Room'!$B$8+('Control Room'!$D$8-'Control Room'!$B$8)*AP282/2147483647)</x:f>
        <x:v>983.4717304342234</x:v>
      </x:c>
      <x:c r="AS282" s="17" t="n">
        <x:f>IF('Control Room'!$B$5="Normal",'Control Room'!$B$7,('Control Room'!$B$8+'Control Room'!$D$8)/2)+'Control Room'!$B$9*(AS281-IF('Control Room'!$B$5="Normal",'Control Room'!$B$7,('Control Room'!$B$8+'Control Room'!$D$8)/2))+SQRT(1-'Control Room'!$B$9^2)*(AR282-IF('Control Room'!$B$5="Normal",'Control Room'!$B$7,('Control Room'!$B$8+'Control Room'!$D$8)/2))</x:f>
        <x:v>1004.2163851240531</x:v>
      </x:c>
      <x:c r="AT282" s="17" t="n">
        <x:f>IF(AND($A282&gt;='Control Room'!$A$13,$A282&lt;'Control Room'!$A$13+'Control Room'!$B$13,'Process'!BS2=1),1+('Control Room'!$C$13-1)*EXP(-0.5*(($A282-'Control Room'!$A$13-('Control Room'!$B$13-1)/2)/MAX(0.5,'Control Room'!$B$13/4))^2),1)*IF(AND($A282&gt;='Control Room'!$A$14,$A282&lt;'Control Room'!$A$14+'Control Room'!$B$14,'Process'!BS3=1),1+('Control Room'!$C$14-1)*EXP(-0.5*(($A282-'Control Room'!$A$14-('Control Room'!$B$14-1)/2)/MAX(0.5,'Control Room'!$B$14/4))^2),1)*IF(AND($A282&gt;='Control Room'!$A$15,$A282&lt;'Control Room'!$A$15+'Control Room'!$B$15,'Process'!BS4=1),1+('Control Room'!$C$15-1)*EXP(-0.5*(($A282-'Control Room'!$A$15-('Control Room'!$B$15-1)/2)/MAX(0.5,'Control Room'!$B$15/4))^2),1)*IF(AND($A282&gt;='Control Room'!$A$16,$A282&lt;'Control Room'!$A$16+'Control Room'!$B$16,'Process'!BS5=1),1+('Control Room'!$C$16-1)*EXP(-0.5*(($A282-'Control Room'!$A$16-('Control Room'!$B$16-1)/2)/MAX(0.5,'Control Room'!$B$16/4))^2),1)</x:f>
        <x:v>1</x:v>
      </x:c>
      <x:c r="AU282" s="9" t="n">
        <x:f>MOD(AV281*16807,2147483647)</x:f>
        <x:v>700045074</x:v>
      </x:c>
      <x:c r="AV282" s="9" t="n">
        <x:f>MOD(AU282*16807,2147483647)</x:f>
        <x:v>1742140452</x:v>
      </x:c>
      <x:c r="AW282" s="17" t="n">
        <x:f>IF('Control Room'!$B$5="Normal",'Control Room'!$B$7+'Control Room'!$D$7*SQRT(-2*LN(MAX(0.000000000001,AU282/2147483647)))*COS(2*PI()*AV282/2147483647),'Control Room'!$B$8+('Control Room'!$D$8-'Control Room'!$B$8)*AU282/2147483647)</x:f>
        <x:v>1050.5867635360016</x:v>
      </x:c>
      <x:c r="AX282" s="17" t="n">
        <x:f>IF('Control Room'!$B$5="Normal",'Control Room'!$B$7,('Control Room'!$B$8+'Control Room'!$D$8)/2)+'Control Room'!$B$9*(AX281-IF('Control Room'!$B$5="Normal",'Control Room'!$B$7,('Control Room'!$B$8+'Control Room'!$D$8)/2))+SQRT(1-'Control Room'!$B$9^2)*(AW282-IF('Control Room'!$B$5="Normal",'Control Room'!$B$7,('Control Room'!$B$8+'Control Room'!$D$8)/2))</x:f>
        <x:v>1163.2666328845778</x:v>
      </x:c>
      <x:c r="AY282" s="17" t="n">
        <x:f>IF(AND($A282&gt;='Control Room'!$A$13,$A282&lt;'Control Room'!$A$13+'Control Room'!$B$13,'Process'!BT2=1),1+('Control Room'!$C$13-1)*EXP(-0.5*(($A282-'Control Room'!$A$13-('Control Room'!$B$13-1)/2)/MAX(0.5,'Control Room'!$B$13/4))^2),1)*IF(AND($A282&gt;='Control Room'!$A$14,$A282&lt;'Control Room'!$A$14+'Control Room'!$B$14,'Process'!BT3=1),1+('Control Room'!$C$14-1)*EXP(-0.5*(($A282-'Control Room'!$A$14-('Control Room'!$B$14-1)/2)/MAX(0.5,'Control Room'!$B$14/4))^2),1)*IF(AND($A282&gt;='Control Room'!$A$15,$A282&lt;'Control Room'!$A$15+'Control Room'!$B$15,'Process'!BT4=1),1+('Control Room'!$C$15-1)*EXP(-0.5*(($A282-'Control Room'!$A$15-('Control Room'!$B$15-1)/2)/MAX(0.5,'Control Room'!$B$15/4))^2),1)*IF(AND($A282&gt;='Control Room'!$A$16,$A282&lt;'Control Room'!$A$16+'Control Room'!$B$16,'Process'!BT5=1),1+('Control Room'!$C$16-1)*EXP(-0.5*(($A282-'Control Room'!$A$16-('Control Room'!$B$16-1)/2)/MAX(0.5,'Control Room'!$B$16/4))^2),1)</x:f>
        <x:v>1</x:v>
      </x:c>
      <x:c r="AZ282" s="9" t="n">
        <x:f>MOD(BA281*16807,2147483647)</x:f>
        <x:v>1738650617</x:v>
      </x:c>
      <x:c r="BA282" s="9" t="n">
        <x:f>MOD(AZ282*16807,2147483647)</x:f>
        <x:v>690935190</x:v>
      </x:c>
      <x:c r="BB282" s="17" t="n">
        <x:f>IF('Control Room'!$B$5="Normal",'Control Room'!$B$7+'Control Room'!$D$7*SQRT(-2*LN(MAX(0.000000000001,AZ282/2147483647)))*COS(2*PI()*BA282/2147483647),'Control Room'!$B$8+('Control Room'!$D$8-'Control Room'!$B$8)*AZ282/2147483647)</x:f>
        <x:v>974.5179028439954</x:v>
      </x:c>
      <x:c r="BC282" s="17" t="n">
        <x:f>IF('Control Room'!$B$5="Normal",'Control Room'!$B$7,('Control Room'!$B$8+'Control Room'!$D$8)/2)+'Control Room'!$B$9*(BC281-IF('Control Room'!$B$5="Normal",'Control Room'!$B$7,('Control Room'!$B$8+'Control Room'!$D$8)/2))+SQRT(1-'Control Room'!$B$9^2)*(BB282-IF('Control Room'!$B$5="Normal",'Control Room'!$B$7,('Control Room'!$B$8+'Control Room'!$D$8)/2))</x:f>
        <x:v>968.9493031648133</x:v>
      </x:c>
      <x:c r="BD282" s="17" t="n">
        <x:f>IF(AND($A282&gt;='Control Room'!$A$13,$A282&lt;'Control Room'!$A$13+'Control Room'!$B$13,'Process'!BU2=1),1+('Control Room'!$C$13-1)*EXP(-0.5*(($A282-'Control Room'!$A$13-('Control Room'!$B$13-1)/2)/MAX(0.5,'Control Room'!$B$13/4))^2),1)*IF(AND($A282&gt;='Control Room'!$A$14,$A282&lt;'Control Room'!$A$14+'Control Room'!$B$14,'Process'!BU3=1),1+('Control Room'!$C$14-1)*EXP(-0.5*(($A282-'Control Room'!$A$14-('Control Room'!$B$14-1)/2)/MAX(0.5,'Control Room'!$B$14/4))^2),1)*IF(AND($A282&gt;='Control Room'!$A$15,$A282&lt;'Control Room'!$A$15+'Control Room'!$B$15,'Process'!BU4=1),1+('Control Room'!$C$15-1)*EXP(-0.5*(($A282-'Control Room'!$A$15-('Control Room'!$B$15-1)/2)/MAX(0.5,'Control Room'!$B$15/4))^2),1)*IF(AND($A282&gt;='Control Room'!$A$16,$A282&lt;'Control Room'!$A$16+'Control Room'!$B$16,'Process'!BU5=1),1+('Control Room'!$C$16-1)*EXP(-0.5*(($A282-'Control Room'!$A$16-('Control Room'!$B$16-1)/2)/MAX(0.5,'Control Room'!$B$16/4))^2),1)</x:f>
        <x:v>1</x:v>
      </x:c>
      <x:c r="BE282" s="9" t="n">
        <x:f>MOD(BF281*16807,2147483647)</x:f>
        <x:v>629772513</x:v>
      </x:c>
      <x:c r="BF282" s="9" t="n">
        <x:f>MOD(BE282*16807,2147483647)</x:f>
        <x:v>1787213575</x:v>
      </x:c>
      <x:c r="BG282" s="17" t="n">
        <x:f>IF('Control Room'!$B$5="Normal",'Control Room'!$B$7+'Control Room'!$D$7*SQRT(-2*LN(MAX(0.000000000001,BE282/2147483647)))*COS(2*PI()*BF282/2147483647),'Control Room'!$B$8+('Control Room'!$D$8-'Control Room'!$B$8)*BE282/2147483647)</x:f>
        <x:v>1069.6415402780463</x:v>
      </x:c>
      <x:c r="BH282" s="17" t="n">
        <x:f>IF('Control Room'!$B$5="Normal",'Control Room'!$B$7,('Control Room'!$B$8+'Control Room'!$D$8)/2)+'Control Room'!$B$9*(BH281-IF('Control Room'!$B$5="Normal",'Control Room'!$B$7,('Control Room'!$B$8+'Control Room'!$D$8)/2))+SQRT(1-'Control Room'!$B$9^2)*(BG282-IF('Control Room'!$B$5="Normal",'Control Room'!$B$7,('Control Room'!$B$8+'Control Room'!$D$8)/2))</x:f>
        <x:v>1009.7051061213851</x:v>
      </x:c>
      <x:c r="BI282" s="17" t="n">
        <x:f>IF(AND($A282&gt;='Control Room'!$A$13,$A282&lt;'Control Room'!$A$13+'Control Room'!$B$13,'Process'!BV2=1),1+('Control Room'!$C$13-1)*EXP(-0.5*(($A282-'Control Room'!$A$13-('Control Room'!$B$13-1)/2)/MAX(0.5,'Control Room'!$B$13/4))^2),1)*IF(AND($A282&gt;='Control Room'!$A$14,$A282&lt;'Control Room'!$A$14+'Control Room'!$B$14,'Process'!BV3=1),1+('Control Room'!$C$14-1)*EXP(-0.5*(($A282-'Control Room'!$A$14-('Control Room'!$B$14-1)/2)/MAX(0.5,'Control Room'!$B$14/4))^2),1)*IF(AND($A282&gt;='Control Room'!$A$15,$A282&lt;'Control Room'!$A$15+'Control Room'!$B$15,'Process'!BV4=1),1+('Control Room'!$C$15-1)*EXP(-0.5*(($A282-'Control Room'!$A$15-('Control Room'!$B$15-1)/2)/MAX(0.5,'Control Room'!$B$15/4))^2),1)*IF(AND($A282&gt;='Control Room'!$A$16,$A282&lt;'Control Room'!$A$16+'Control Room'!$B$16,'Process'!BV5=1),1+('Control Room'!$C$16-1)*EXP(-0.5*(($A282-'Control Room'!$A$16-('Control Room'!$B$16-1)/2)/MAX(0.5,'Control Room'!$B$16/4))^2),1)</x:f>
        <x:v>1</x:v>
      </x:c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Z282" t="str">
        <x:f>IF('Data'!A282="","",TEXT('Data'!A282,"mm-dd"))</x:f>
      </x:c>
    </x:row>
    <x:row r="283" ht="21" customHeight="1">
      <x:c r="A283" s="15" t="n">
        <x:f>'Control Room'!$B$1+281</x:f>
        <x:v>73272</x:v>
      </x:c>
      <x:c r="B283" s="9" t="n">
        <x:f>MOD(C282*16807,2147483647)</x:f>
        <x:v>1544921004</x:v>
      </x:c>
      <x:c r="C283" s="9" t="n">
        <x:f>MOD(B283*16807,2147483647)</x:f>
        <x:v>262538351</x:v>
      </x:c>
      <x:c r="D283" s="17" t="n">
        <x:f>IF('Control Room'!$B$5="Normal",'Control Room'!$B$7+'Control Room'!$D$7*SQRT(-2*LN(MAX(0.000000000001,B283/2147483647)))*COS(2*PI()*C283/2147483647),'Control Room'!$B$8+('Control Room'!$D$8-'Control Room'!$B$8)*B283/2147483647)</x:f>
        <x:v>1052.5314829966912</x:v>
      </x:c>
      <x:c r="E283" s="17" t="n">
        <x:f>IF('Control Room'!$B$5="Normal",'Control Room'!$B$7,('Control Room'!$B$8+'Control Room'!$D$8)/2)+'Control Room'!$B$9*(E282-IF('Control Room'!$B$5="Normal",'Control Room'!$B$7,('Control Room'!$B$8+'Control Room'!$D$8)/2))+SQRT(1-'Control Room'!$B$9^2)*(D283-IF('Control Room'!$B$5="Normal",'Control Room'!$B$7,('Control Room'!$B$8+'Control Room'!$D$8)/2))</x:f>
        <x:v>1065.6692325973559</x:v>
      </x:c>
      <x:c r="F283" s="17" t="n">
        <x:f>IF(AND($A283&gt;='Control Room'!$A$13,$A283&lt;'Control Room'!$A$13+'Control Room'!$B$13,'Process'!BK2=1),1+('Control Room'!$C$13-1)*EXP(-0.5*(($A283-'Control Room'!$A$13-('Control Room'!$B$13-1)/2)/MAX(0.5,'Control Room'!$B$13/4))^2),1)*IF(AND($A283&gt;='Control Room'!$A$14,$A283&lt;'Control Room'!$A$14+'Control Room'!$B$14,'Process'!BK3=1),1+('Control Room'!$C$14-1)*EXP(-0.5*(($A283-'Control Room'!$A$14-('Control Room'!$B$14-1)/2)/MAX(0.5,'Control Room'!$B$14/4))^2),1)*IF(AND($A283&gt;='Control Room'!$A$15,$A283&lt;'Control Room'!$A$15+'Control Room'!$B$15,'Process'!BK4=1),1+('Control Room'!$C$15-1)*EXP(-0.5*(($A283-'Control Room'!$A$15-('Control Room'!$B$15-1)/2)/MAX(0.5,'Control Room'!$B$15/4))^2),1)*IF(AND($A283&gt;='Control Room'!$A$16,$A283&lt;'Control Room'!$A$16+'Control Room'!$B$16,'Process'!BK5=1),1+('Control Room'!$C$16-1)*EXP(-0.5*(($A283-'Control Room'!$A$16-('Control Room'!$B$16-1)/2)/MAX(0.5,'Control Room'!$B$16/4))^2),1)</x:f>
        <x:v>1</x:v>
      </x:c>
      <x:c r="G283" s="9" t="n">
        <x:f>MOD(H282*16807,2147483647)</x:f>
        <x:v>1286046439</x:v>
      </x:c>
      <x:c r="H283" s="9" t="n">
        <x:f>MOD(G283*16807,2147483647)</x:f>
        <x:v>159593218</x:v>
      </x:c>
      <x:c r="I283" s="17" t="n">
        <x:f>IF('Control Room'!$B$5="Normal",'Control Room'!$B$7+'Control Room'!$D$7*SQRT(-2*LN(MAX(0.000000000001,G283/2147483647)))*COS(2*PI()*H283/2147483647),'Control Room'!$B$8+('Control Room'!$D$8-'Control Room'!$B$8)*G283/2147483647)</x:f>
        <x:v>1081.3814952450455</x:v>
      </x:c>
      <x:c r="J283" s="17" t="n">
        <x:f>IF('Control Room'!$B$5="Normal",'Control Room'!$B$7,('Control Room'!$B$8+'Control Room'!$D$8)/2)+'Control Room'!$B$9*(J282-IF('Control Room'!$B$5="Normal",'Control Room'!$B$7,('Control Room'!$B$8+'Control Room'!$D$8)/2))+SQRT(1-'Control Room'!$B$9^2)*(I283-IF('Control Room'!$B$5="Normal",'Control Room'!$B$7,('Control Room'!$B$8+'Control Room'!$D$8)/2))</x:f>
        <x:v>995.8732824737791</x:v>
      </x:c>
      <x:c r="K283" s="17" t="n">
        <x:f>IF(AND($A283&gt;='Control Room'!$A$13,$A283&lt;'Control Room'!$A$13+'Control Room'!$B$13,'Process'!BL2=1),1+('Control Room'!$C$13-1)*EXP(-0.5*(($A283-'Control Room'!$A$13-('Control Room'!$B$13-1)/2)/MAX(0.5,'Control Room'!$B$13/4))^2),1)*IF(AND($A283&gt;='Control Room'!$A$14,$A283&lt;'Control Room'!$A$14+'Control Room'!$B$14,'Process'!BL3=1),1+('Control Room'!$C$14-1)*EXP(-0.5*(($A283-'Control Room'!$A$14-('Control Room'!$B$14-1)/2)/MAX(0.5,'Control Room'!$B$14/4))^2),1)*IF(AND($A283&gt;='Control Room'!$A$15,$A283&lt;'Control Room'!$A$15+'Control Room'!$B$15,'Process'!BL4=1),1+('Control Room'!$C$15-1)*EXP(-0.5*(($A283-'Control Room'!$A$15-('Control Room'!$B$15-1)/2)/MAX(0.5,'Control Room'!$B$15/4))^2),1)*IF(AND($A283&gt;='Control Room'!$A$16,$A283&lt;'Control Room'!$A$16+'Control Room'!$B$16,'Process'!BL5=1),1+('Control Room'!$C$16-1)*EXP(-0.5*(($A283-'Control Room'!$A$16-('Control Room'!$B$16-1)/2)/MAX(0.5,'Control Room'!$B$16/4))^2),1)</x:f>
        <x:v>1</x:v>
      </x:c>
      <x:c r="L283" s="9" t="n">
        <x:f>MOD(M282*16807,2147483647)</x:f>
        <x:v>1027171874</x:v>
      </x:c>
      <x:c r="M283" s="9" t="n">
        <x:f>MOD(L283*16807,2147483647)</x:f>
        <x:v>56648085</x:v>
      </x:c>
      <x:c r="N283" s="17" t="n">
        <x:f>IF('Control Room'!$B$5="Normal",'Control Room'!$B$7+'Control Room'!$D$7*SQRT(-2*LN(MAX(0.000000000001,L283/2147483647)))*COS(2*PI()*M283/2147483647),'Control Room'!$B$8+('Control Room'!$D$8-'Control Room'!$B$8)*L283/2147483647)</x:f>
        <x:v>1107.805799657956</x:v>
      </x:c>
      <x:c r="O283" s="17" t="n">
        <x:f>IF('Control Room'!$B$5="Normal",'Control Room'!$B$7,('Control Room'!$B$8+'Control Room'!$D$8)/2)+'Control Room'!$B$9*(O282-IF('Control Room'!$B$5="Normal",'Control Room'!$B$7,('Control Room'!$B$8+'Control Room'!$D$8)/2))+SQRT(1-'Control Room'!$B$9^2)*(N283-IF('Control Room'!$B$5="Normal",'Control Room'!$B$7,('Control Room'!$B$8+'Control Room'!$D$8)/2))</x:f>
        <x:v>1158.642758509981</x:v>
      </x:c>
      <x:c r="P283" s="17" t="n">
        <x:f>IF(AND($A283&gt;='Control Room'!$A$13,$A283&lt;'Control Room'!$A$13+'Control Room'!$B$13,'Process'!BM2=1),1+('Control Room'!$C$13-1)*EXP(-0.5*(($A283-'Control Room'!$A$13-('Control Room'!$B$13-1)/2)/MAX(0.5,'Control Room'!$B$13/4))^2),1)*IF(AND($A283&gt;='Control Room'!$A$14,$A283&lt;'Control Room'!$A$14+'Control Room'!$B$14,'Process'!BM3=1),1+('Control Room'!$C$14-1)*EXP(-0.5*(($A283-'Control Room'!$A$14-('Control Room'!$B$14-1)/2)/MAX(0.5,'Control Room'!$B$14/4))^2),1)*IF(AND($A283&gt;='Control Room'!$A$15,$A283&lt;'Control Room'!$A$15+'Control Room'!$B$15,'Process'!BM4=1),1+('Control Room'!$C$15-1)*EXP(-0.5*(($A283-'Control Room'!$A$15-('Control Room'!$B$15-1)/2)/MAX(0.5,'Control Room'!$B$15/4))^2),1)*IF(AND($A283&gt;='Control Room'!$A$16,$A283&lt;'Control Room'!$A$16+'Control Room'!$B$16,'Process'!BM5=1),1+('Control Room'!$C$16-1)*EXP(-0.5*(($A283-'Control Room'!$A$16-('Control Room'!$B$16-1)/2)/MAX(0.5,'Control Room'!$B$16/4))^2),1)</x:f>
        <x:v>1</x:v>
      </x:c>
      <x:c r="Q283" s="9" t="n">
        <x:f>MOD(R282*16807,2147483647)</x:f>
        <x:v>768297309</x:v>
      </x:c>
      <x:c r="R283" s="9" t="n">
        <x:f>MOD(Q283*16807,2147483647)</x:f>
        <x:v>2101186599</x:v>
      </x:c>
      <x:c r="S283" s="17" t="n">
        <x:f>IF('Control Room'!$B$5="Normal",'Control Room'!$B$7+'Control Room'!$D$7*SQRT(-2*LN(MAX(0.000000000001,Q283/2147483647)))*COS(2*PI()*R283/2147483647),'Control Room'!$B$8+('Control Room'!$D$8-'Control Room'!$B$8)*Q283/2147483647)</x:f>
        <x:v>1127.8589364206032</x:v>
      </x:c>
      <x:c r="T283" s="17" t="n">
        <x:f>IF('Control Room'!$B$5="Normal",'Control Room'!$B$7,('Control Room'!$B$8+'Control Room'!$D$8)/2)+'Control Room'!$B$9*(T282-IF('Control Room'!$B$5="Normal",'Control Room'!$B$7,('Control Room'!$B$8+'Control Room'!$D$8)/2))+SQRT(1-'Control Room'!$B$9^2)*(S283-IF('Control Room'!$B$5="Normal",'Control Room'!$B$7,('Control Room'!$B$8+'Control Room'!$D$8)/2))</x:f>
        <x:v>1086.1412358916186</x:v>
      </x:c>
      <x:c r="U283" s="17" t="n">
        <x:f>IF(AND($A283&gt;='Control Room'!$A$13,$A283&lt;'Control Room'!$A$13+'Control Room'!$B$13,'Process'!BN2=1),1+('Control Room'!$C$13-1)*EXP(-0.5*(($A283-'Control Room'!$A$13-('Control Room'!$B$13-1)/2)/MAX(0.5,'Control Room'!$B$13/4))^2),1)*IF(AND($A283&gt;='Control Room'!$A$14,$A283&lt;'Control Room'!$A$14+'Control Room'!$B$14,'Process'!BN3=1),1+('Control Room'!$C$14-1)*EXP(-0.5*(($A283-'Control Room'!$A$14-('Control Room'!$B$14-1)/2)/MAX(0.5,'Control Room'!$B$14/4))^2),1)*IF(AND($A283&gt;='Control Room'!$A$15,$A283&lt;'Control Room'!$A$15+'Control Room'!$B$15,'Process'!BN4=1),1+('Control Room'!$C$15-1)*EXP(-0.5*(($A283-'Control Room'!$A$15-('Control Room'!$B$15-1)/2)/MAX(0.5,'Control Room'!$B$15/4))^2),1)*IF(AND($A283&gt;='Control Room'!$A$16,$A283&lt;'Control Room'!$A$16+'Control Room'!$B$16,'Process'!BN5=1),1+('Control Room'!$C$16-1)*EXP(-0.5*(($A283-'Control Room'!$A$16-('Control Room'!$B$16-1)/2)/MAX(0.5,'Control Room'!$B$16/4))^2),1)</x:f>
        <x:v>1</x:v>
      </x:c>
      <x:c r="V283" s="9" t="n">
        <x:f>MOD(W282*16807,2147483647)</x:f>
        <x:v>509422744</x:v>
      </x:c>
      <x:c r="W283" s="9" t="n">
        <x:f>MOD(V283*16807,2147483647)</x:f>
        <x:v>1998241466</x:v>
      </x:c>
      <x:c r="X283" s="17" t="n">
        <x:f>IF('Control Room'!$B$5="Normal",'Control Room'!$B$7+'Control Room'!$D$7*SQRT(-2*LN(MAX(0.000000000001,V283/2147483647)))*COS(2*PI()*W283/2147483647),'Control Room'!$B$8+('Control Room'!$D$8-'Control Room'!$B$8)*V283/2147483647)</x:f>
        <x:v>1138.3449990038011</x:v>
      </x:c>
      <x:c r="Y283" s="17" t="n">
        <x:f>IF('Control Room'!$B$5="Normal",'Control Room'!$B$7,('Control Room'!$B$8+'Control Room'!$D$8)/2)+'Control Room'!$B$9*(Y282-IF('Control Room'!$B$5="Normal",'Control Room'!$B$7,('Control Room'!$B$8+'Control Room'!$D$8)/2))+SQRT(1-'Control Room'!$B$9^2)*(X283-IF('Control Room'!$B$5="Normal",'Control Room'!$B$7,('Control Room'!$B$8+'Control Room'!$D$8)/2))</x:f>
        <x:v>1017.8705012651717</x:v>
      </x:c>
      <x:c r="Z283" s="17" t="n">
        <x:f>IF(AND($A283&gt;='Control Room'!$A$13,$A283&lt;'Control Room'!$A$13+'Control Room'!$B$13,'Process'!BO2=1),1+('Control Room'!$C$13-1)*EXP(-0.5*(($A283-'Control Room'!$A$13-('Control Room'!$B$13-1)/2)/MAX(0.5,'Control Room'!$B$13/4))^2),1)*IF(AND($A283&gt;='Control Room'!$A$14,$A283&lt;'Control Room'!$A$14+'Control Room'!$B$14,'Process'!BO3=1),1+('Control Room'!$C$14-1)*EXP(-0.5*(($A283-'Control Room'!$A$14-('Control Room'!$B$14-1)/2)/MAX(0.5,'Control Room'!$B$14/4))^2),1)*IF(AND($A283&gt;='Control Room'!$A$15,$A283&lt;'Control Room'!$A$15+'Control Room'!$B$15,'Process'!BO4=1),1+('Control Room'!$C$15-1)*EXP(-0.5*(($A283-'Control Room'!$A$15-('Control Room'!$B$15-1)/2)/MAX(0.5,'Control Room'!$B$15/4))^2),1)*IF(AND($A283&gt;='Control Room'!$A$16,$A283&lt;'Control Room'!$A$16+'Control Room'!$B$16,'Process'!BO5=1),1+('Control Room'!$C$16-1)*EXP(-0.5*(($A283-'Control Room'!$A$16-('Control Room'!$B$16-1)/2)/MAX(0.5,'Control Room'!$B$16/4))^2),1)</x:f>
        <x:v>1</x:v>
      </x:c>
      <x:c r="AA283" s="9" t="n">
        <x:f>MOD(AB282*16807,2147483647)</x:f>
        <x:v>250548179</x:v>
      </x:c>
      <x:c r="AB283" s="9" t="n">
        <x:f>MOD(AA283*16807,2147483647)</x:f>
        <x:v>1895296333</x:v>
      </x:c>
      <x:c r="AC283" s="17" t="n">
        <x:f>IF('Control Room'!$B$5="Normal",'Control Room'!$B$7+'Control Room'!$D$7*SQRT(-2*LN(MAX(0.000000000001,AA283/2147483647)))*COS(2*PI()*AB283/2147483647),'Control Room'!$B$8+('Control Room'!$D$8-'Control Room'!$B$8)*AA283/2147483647)</x:f>
        <x:v>1138.0366636636081</x:v>
      </x:c>
      <x:c r="AD283" s="17" t="n">
        <x:f>IF('Control Room'!$B$5="Normal",'Control Room'!$B$7,('Control Room'!$B$8+'Control Room'!$D$8)/2)+'Control Room'!$B$9*(AD282-IF('Control Room'!$B$5="Normal",'Control Room'!$B$7,('Control Room'!$B$8+'Control Room'!$D$8)/2))+SQRT(1-'Control Room'!$B$9^2)*(AC283-IF('Control Room'!$B$5="Normal",'Control Room'!$B$7,('Control Room'!$B$8+'Control Room'!$D$8)/2))</x:f>
        <x:v>1134.435457131525</x:v>
      </x:c>
      <x:c r="AE283" s="17" t="n">
        <x:f>IF(AND($A283&gt;='Control Room'!$A$13,$A283&lt;'Control Room'!$A$13+'Control Room'!$B$13,'Process'!BP2=1),1+('Control Room'!$C$13-1)*EXP(-0.5*(($A283-'Control Room'!$A$13-('Control Room'!$B$13-1)/2)/MAX(0.5,'Control Room'!$B$13/4))^2),1)*IF(AND($A283&gt;='Control Room'!$A$14,$A283&lt;'Control Room'!$A$14+'Control Room'!$B$14,'Process'!BP3=1),1+('Control Room'!$C$14-1)*EXP(-0.5*(($A283-'Control Room'!$A$14-('Control Room'!$B$14-1)/2)/MAX(0.5,'Control Room'!$B$14/4))^2),1)*IF(AND($A283&gt;='Control Room'!$A$15,$A283&lt;'Control Room'!$A$15+'Control Room'!$B$15,'Process'!BP4=1),1+('Control Room'!$C$15-1)*EXP(-0.5*(($A283-'Control Room'!$A$15-('Control Room'!$B$15-1)/2)/MAX(0.5,'Control Room'!$B$15/4))^2),1)*IF(AND($A283&gt;='Control Room'!$A$16,$A283&lt;'Control Room'!$A$16+'Control Room'!$B$16,'Process'!BP5=1),1+('Control Room'!$C$16-1)*EXP(-0.5*(($A283-'Control Room'!$A$16-('Control Room'!$B$16-1)/2)/MAX(0.5,'Control Room'!$B$16/4))^2),1)</x:f>
        <x:v>1</x:v>
      </x:c>
      <x:c r="AF283" s="9" t="n">
        <x:f>MOD(AG282*16807,2147483647)</x:f>
        <x:v>2139157261</x:v>
      </x:c>
      <x:c r="AG283" s="9" t="n">
        <x:f>MOD(AF283*16807,2147483647)</x:f>
        <x:v>1792351200</x:v>
      </x:c>
      <x:c r="AH283" s="17" t="n">
        <x:f>IF('Control Room'!$B$5="Normal",'Control Room'!$B$7+'Control Room'!$D$7*SQRT(-2*LN(MAX(0.000000000001,AF283/2147483647)))*COS(2*PI()*AG283/2147483647),'Control Room'!$B$8+('Control Room'!$D$8-'Control Room'!$B$8)*AF283/2147483647)</x:f>
        <x:v>1004.0223255987652</x:v>
      </x:c>
      <x:c r="AI283" s="17" t="n">
        <x:f>IF('Control Room'!$B$5="Normal",'Control Room'!$B$7,('Control Room'!$B$8+'Control Room'!$D$8)/2)+'Control Room'!$B$9*(AI282-IF('Control Room'!$B$5="Normal",'Control Room'!$B$7,('Control Room'!$B$8+'Control Room'!$D$8)/2))+SQRT(1-'Control Room'!$B$9^2)*(AH283-IF('Control Room'!$B$5="Normal",'Control Room'!$B$7,('Control Room'!$B$8+'Control Room'!$D$8)/2))</x:f>
        <x:v>1035.335965716025</x:v>
      </x:c>
      <x:c r="AJ283" s="17" t="n">
        <x:f>IF(AND($A283&gt;='Control Room'!$A$13,$A283&lt;'Control Room'!$A$13+'Control Room'!$B$13,'Process'!BQ2=1),1+('Control Room'!$C$13-1)*EXP(-0.5*(($A283-'Control Room'!$A$13-('Control Room'!$B$13-1)/2)/MAX(0.5,'Control Room'!$B$13/4))^2),1)*IF(AND($A283&gt;='Control Room'!$A$14,$A283&lt;'Control Room'!$A$14+'Control Room'!$B$14,'Process'!BQ3=1),1+('Control Room'!$C$14-1)*EXP(-0.5*(($A283-'Control Room'!$A$14-('Control Room'!$B$14-1)/2)/MAX(0.5,'Control Room'!$B$14/4))^2),1)*IF(AND($A283&gt;='Control Room'!$A$15,$A283&lt;'Control Room'!$A$15+'Control Room'!$B$15,'Process'!BQ4=1),1+('Control Room'!$C$15-1)*EXP(-0.5*(($A283-'Control Room'!$A$15-('Control Room'!$B$15-1)/2)/MAX(0.5,'Control Room'!$B$15/4))^2),1)*IF(AND($A283&gt;='Control Room'!$A$16,$A283&lt;'Control Room'!$A$16+'Control Room'!$B$16,'Process'!BQ5=1),1+('Control Room'!$C$16-1)*EXP(-0.5*(($A283-'Control Room'!$A$16-('Control Room'!$B$16-1)/2)/MAX(0.5,'Control Room'!$B$16/4))^2),1)</x:f>
        <x:v>1</x:v>
      </x:c>
      <x:c r="AK283" s="9" t="n">
        <x:f>MOD(AL282*16807,2147483647)</x:f>
        <x:v>1880282696</x:v>
      </x:c>
      <x:c r="AL283" s="9" t="n">
        <x:f>MOD(AK283*16807,2147483647)</x:f>
        <x:v>1689406067</x:v>
      </x:c>
      <x:c r="AM283" s="17" t="n">
        <x:f>IF('Control Room'!$B$5="Normal",'Control Room'!$B$7+'Control Room'!$D$7*SQRT(-2*LN(MAX(0.000000000001,AK283/2147483647)))*COS(2*PI()*AL283/2147483647),'Control Room'!$B$8+('Control Room'!$D$8-'Control Room'!$B$8)*AK283/2147483647)</x:f>
        <x:v>1010.6014251604888</x:v>
      </x:c>
      <x:c r="AN283" s="17" t="n">
        <x:f>IF('Control Room'!$B$5="Normal",'Control Room'!$B$7,('Control Room'!$B$8+'Control Room'!$D$8)/2)+'Control Room'!$B$9*(AN282-IF('Control Room'!$B$5="Normal",'Control Room'!$B$7,('Control Room'!$B$8+'Control Room'!$D$8)/2))+SQRT(1-'Control Room'!$B$9^2)*(AM283-IF('Control Room'!$B$5="Normal",'Control Room'!$B$7,('Control Room'!$B$8+'Control Room'!$D$8)/2))</x:f>
        <x:v>957.7815716870631</x:v>
      </x:c>
      <x:c r="AO283" s="17" t="n">
        <x:f>IF(AND($A283&gt;='Control Room'!$A$13,$A283&lt;'Control Room'!$A$13+'Control Room'!$B$13,'Process'!BR2=1),1+('Control Room'!$C$13-1)*EXP(-0.5*(($A283-'Control Room'!$A$13-('Control Room'!$B$13-1)/2)/MAX(0.5,'Control Room'!$B$13/4))^2),1)*IF(AND($A283&gt;='Control Room'!$A$14,$A283&lt;'Control Room'!$A$14+'Control Room'!$B$14,'Process'!BR3=1),1+('Control Room'!$C$14-1)*EXP(-0.5*(($A283-'Control Room'!$A$14-('Control Room'!$B$14-1)/2)/MAX(0.5,'Control Room'!$B$14/4))^2),1)*IF(AND($A283&gt;='Control Room'!$A$15,$A283&lt;'Control Room'!$A$15+'Control Room'!$B$15,'Process'!BR4=1),1+('Control Room'!$C$15-1)*EXP(-0.5*(($A283-'Control Room'!$A$15-('Control Room'!$B$15-1)/2)/MAX(0.5,'Control Room'!$B$15/4))^2),1)*IF(AND($A283&gt;='Control Room'!$A$16,$A283&lt;'Control Room'!$A$16+'Control Room'!$B$16,'Process'!BR5=1),1+('Control Room'!$C$16-1)*EXP(-0.5*(($A283-'Control Room'!$A$16-('Control Room'!$B$16-1)/2)/MAX(0.5,'Control Room'!$B$16/4))^2),1)</x:f>
        <x:v>1</x:v>
      </x:c>
      <x:c r="AP283" s="9" t="n">
        <x:f>MOD(AQ282*16807,2147483647)</x:f>
        <x:v>1621408131</x:v>
      </x:c>
      <x:c r="AQ283" s="9" t="n">
        <x:f>MOD(AP283*16807,2147483647)</x:f>
        <x:v>1586460934</x:v>
      </x:c>
      <x:c r="AR283" s="17" t="n">
        <x:f>IF('Control Room'!$B$5="Normal",'Control Room'!$B$7+'Control Room'!$D$7*SQRT(-2*LN(MAX(0.000000000001,AP283/2147483647)))*COS(2*PI()*AQ283/2147483647),'Control Room'!$B$8+('Control Room'!$D$8-'Control Room'!$B$8)*AP283/2147483647)</x:f>
        <x:v>995.2362378595735</x:v>
      </x:c>
      <x:c r="AS283" s="17" t="n">
        <x:f>IF('Control Room'!$B$5="Normal",'Control Room'!$B$7,('Control Room'!$B$8+'Control Room'!$D$8)/2)+'Control Room'!$B$9*(AS282-IF('Control Room'!$B$5="Normal",'Control Room'!$B$7,('Control Room'!$B$8+'Control Room'!$D$8)/2))+SQRT(1-'Control Room'!$B$9^2)*(AR283-IF('Control Room'!$B$5="Normal",'Control Room'!$B$7,('Control Room'!$B$8+'Control Room'!$D$8)/2))</x:f>
        <x:v>1000.3077156402545</x:v>
      </x:c>
      <x:c r="AT283" s="17" t="n">
        <x:f>IF(AND($A283&gt;='Control Room'!$A$13,$A283&lt;'Control Room'!$A$13+'Control Room'!$B$13,'Process'!BS2=1),1+('Control Room'!$C$13-1)*EXP(-0.5*(($A283-'Control Room'!$A$13-('Control Room'!$B$13-1)/2)/MAX(0.5,'Control Room'!$B$13/4))^2),1)*IF(AND($A283&gt;='Control Room'!$A$14,$A283&lt;'Control Room'!$A$14+'Control Room'!$B$14,'Process'!BS3=1),1+('Control Room'!$C$14-1)*EXP(-0.5*(($A283-'Control Room'!$A$14-('Control Room'!$B$14-1)/2)/MAX(0.5,'Control Room'!$B$14/4))^2),1)*IF(AND($A283&gt;='Control Room'!$A$15,$A283&lt;'Control Room'!$A$15+'Control Room'!$B$15,'Process'!BS4=1),1+('Control Room'!$C$15-1)*EXP(-0.5*(($A283-'Control Room'!$A$15-('Control Room'!$B$15-1)/2)/MAX(0.5,'Control Room'!$B$15/4))^2),1)*IF(AND($A283&gt;='Control Room'!$A$16,$A283&lt;'Control Room'!$A$16+'Control Room'!$B$16,'Process'!BS5=1),1+('Control Room'!$C$16-1)*EXP(-0.5*(($A283-'Control Room'!$A$16-('Control Room'!$B$16-1)/2)/MAX(0.5,'Control Room'!$B$16/4))^2),1)</x:f>
        <x:v>1</x:v>
      </x:c>
      <x:c r="AU283" s="9" t="n">
        <x:f>MOD(AV282*16807,2147483647)</x:f>
        <x:v>1362533566</x:v>
      </x:c>
      <x:c r="AV283" s="9" t="n">
        <x:f>MOD(AU283*16807,2147483647)</x:f>
        <x:v>1483515801</x:v>
      </x:c>
      <x:c r="AW283" s="17" t="n">
        <x:f>IF('Control Room'!$B$5="Normal",'Control Room'!$B$7+'Control Room'!$D$7*SQRT(-2*LN(MAX(0.000000000001,AU283/2147483647)))*COS(2*PI()*AV283/2147483647),'Control Room'!$B$8+('Control Room'!$D$8-'Control Room'!$B$8)*AU283/2147483647)</x:f>
        <x:v>968.8061482991081</x:v>
      </x:c>
      <x:c r="AX283" s="17" t="n">
        <x:f>IF('Control Room'!$B$5="Normal",'Control Room'!$B$7,('Control Room'!$B$8+'Control Room'!$D$8)/2)+'Control Room'!$B$9*(AX282-IF('Control Room'!$B$5="Normal",'Control Room'!$B$7,('Control Room'!$B$8+'Control Room'!$D$8)/2))+SQRT(1-'Control Room'!$B$9^2)*(AW283-IF('Control Room'!$B$5="Normal",'Control Room'!$B$7,('Control Room'!$B$8+'Control Room'!$D$8)/2))</x:f>
        <x:v>1107.8275002963396</x:v>
      </x:c>
      <x:c r="AY283" s="17" t="n">
        <x:f>IF(AND($A283&gt;='Control Room'!$A$13,$A283&lt;'Control Room'!$A$13+'Control Room'!$B$13,'Process'!BT2=1),1+('Control Room'!$C$13-1)*EXP(-0.5*(($A283-'Control Room'!$A$13-('Control Room'!$B$13-1)/2)/MAX(0.5,'Control Room'!$B$13/4))^2),1)*IF(AND($A283&gt;='Control Room'!$A$14,$A283&lt;'Control Room'!$A$14+'Control Room'!$B$14,'Process'!BT3=1),1+('Control Room'!$C$14-1)*EXP(-0.5*(($A283-'Control Room'!$A$14-('Control Room'!$B$14-1)/2)/MAX(0.5,'Control Room'!$B$14/4))^2),1)*IF(AND($A283&gt;='Control Room'!$A$15,$A283&lt;'Control Room'!$A$15+'Control Room'!$B$15,'Process'!BT4=1),1+('Control Room'!$C$15-1)*EXP(-0.5*(($A283-'Control Room'!$A$15-('Control Room'!$B$15-1)/2)/MAX(0.5,'Control Room'!$B$15/4))^2),1)*IF(AND($A283&gt;='Control Room'!$A$16,$A283&lt;'Control Room'!$A$16+'Control Room'!$B$16,'Process'!BT5=1),1+('Control Room'!$C$16-1)*EXP(-0.5*(($A283-'Control Room'!$A$16-('Control Room'!$B$16-1)/2)/MAX(0.5,'Control Room'!$B$16/4))^2),1)</x:f>
        <x:v>1</x:v>
      </x:c>
      <x:c r="AZ283" s="9" t="n">
        <x:f>MOD(BA282*16807,2147483647)</x:f>
        <x:v>1103659001</x:v>
      </x:c>
      <x:c r="BA283" s="9" t="n">
        <x:f>MOD(AZ283*16807,2147483647)</x:f>
        <x:v>1380570668</x:v>
      </x:c>
      <x:c r="BB283" s="17" t="n">
        <x:f>IF('Control Room'!$B$5="Normal",'Control Room'!$B$7+'Control Room'!$D$7*SQRT(-2*LN(MAX(0.000000000001,AZ283/2147483647)))*COS(2*PI()*BA283/2147483647),'Control Room'!$B$8+('Control Room'!$D$8-'Control Room'!$B$8)*AZ283/2147483647)</x:f>
        <x:v>935.2644997938049</x:v>
      </x:c>
      <x:c r="BC283" s="17" t="n">
        <x:f>IF('Control Room'!$B$5="Normal",'Control Room'!$B$7,('Control Room'!$B$8+'Control Room'!$D$8)/2)+'Control Room'!$B$9*(BC282-IF('Control Room'!$B$5="Normal",'Control Room'!$B$7,('Control Room'!$B$8+'Control Room'!$D$8)/2))+SQRT(1-'Control Room'!$B$9^2)*(BB283-IF('Control Room'!$B$5="Normal",'Control Room'!$B$7,('Control Room'!$B$8+'Control Room'!$D$8)/2))</x:f>
        <x:v>935.2703066183234</x:v>
      </x:c>
      <x:c r="BD283" s="17" t="n">
        <x:f>IF(AND($A283&gt;='Control Room'!$A$13,$A283&lt;'Control Room'!$A$13+'Control Room'!$B$13,'Process'!BU2=1),1+('Control Room'!$C$13-1)*EXP(-0.5*(($A283-'Control Room'!$A$13-('Control Room'!$B$13-1)/2)/MAX(0.5,'Control Room'!$B$13/4))^2),1)*IF(AND($A283&gt;='Control Room'!$A$14,$A283&lt;'Control Room'!$A$14+'Control Room'!$B$14,'Process'!BU3=1),1+('Control Room'!$C$14-1)*EXP(-0.5*(($A283-'Control Room'!$A$14-('Control Room'!$B$14-1)/2)/MAX(0.5,'Control Room'!$B$14/4))^2),1)*IF(AND($A283&gt;='Control Room'!$A$15,$A283&lt;'Control Room'!$A$15+'Control Room'!$B$15,'Process'!BU4=1),1+('Control Room'!$C$15-1)*EXP(-0.5*(($A283-'Control Room'!$A$15-('Control Room'!$B$15-1)/2)/MAX(0.5,'Control Room'!$B$15/4))^2),1)*IF(AND($A283&gt;='Control Room'!$A$16,$A283&lt;'Control Room'!$A$16+'Control Room'!$B$16,'Process'!BU5=1),1+('Control Room'!$C$16-1)*EXP(-0.5*(($A283-'Control Room'!$A$16-('Control Room'!$B$16-1)/2)/MAX(0.5,'Control Room'!$B$16/4))^2),1)</x:f>
        <x:v>1</x:v>
      </x:c>
      <x:c r="BE283" s="9" t="n">
        <x:f>MOD(BF282*16807,2147483647)</x:f>
        <x:v>844784436</x:v>
      </x:c>
      <x:c r="BF283" s="9" t="n">
        <x:f>MOD(BE283*16807,2147483647)</x:f>
        <x:v>1277625535</x:v>
      </x:c>
      <x:c r="BG283" s="17" t="n">
        <x:f>IF('Control Room'!$B$5="Normal",'Control Room'!$B$7+'Control Room'!$D$7*SQRT(-2*LN(MAX(0.000000000001,BE283/2147483647)))*COS(2*PI()*BF283/2147483647),'Control Room'!$B$8+('Control Room'!$D$8-'Control Room'!$B$8)*BE283/2147483647)</x:f>
        <x:v>898.293402644223</x:v>
      </x:c>
      <x:c r="BH283" s="17" t="n">
        <x:f>IF('Control Room'!$B$5="Normal",'Control Room'!$B$7,('Control Room'!$B$8+'Control Room'!$D$8)/2)+'Control Room'!$B$9*(BH282-IF('Control Room'!$B$5="Normal",'Control Room'!$B$7,('Control Room'!$B$8+'Control Room'!$D$8)/2))+SQRT(1-'Control Room'!$B$9^2)*(BG283-IF('Control Room'!$B$5="Normal",'Control Room'!$B$7,('Control Room'!$B$8+'Control Room'!$D$8)/2))</x:f>
        <x:v>943.9240777223342</x:v>
      </x:c>
      <x:c r="BI283" s="17" t="n">
        <x:f>IF(AND($A283&gt;='Control Room'!$A$13,$A283&lt;'Control Room'!$A$13+'Control Room'!$B$13,'Process'!BV2=1),1+('Control Room'!$C$13-1)*EXP(-0.5*(($A283-'Control Room'!$A$13-('Control Room'!$B$13-1)/2)/MAX(0.5,'Control Room'!$B$13/4))^2),1)*IF(AND($A283&gt;='Control Room'!$A$14,$A283&lt;'Control Room'!$A$14+'Control Room'!$B$14,'Process'!BV3=1),1+('Control Room'!$C$14-1)*EXP(-0.5*(($A283-'Control Room'!$A$14-('Control Room'!$B$14-1)/2)/MAX(0.5,'Control Room'!$B$14/4))^2),1)*IF(AND($A283&gt;='Control Room'!$A$15,$A283&lt;'Control Room'!$A$15+'Control Room'!$B$15,'Process'!BV4=1),1+('Control Room'!$C$15-1)*EXP(-0.5*(($A283-'Control Room'!$A$15-('Control Room'!$B$15-1)/2)/MAX(0.5,'Control Room'!$B$15/4))^2),1)*IF(AND($A283&gt;='Control Room'!$A$16,$A283&lt;'Control Room'!$A$16+'Control Room'!$B$16,'Process'!BV5=1),1+('Control Room'!$C$16-1)*EXP(-0.5*(($A283-'Control Room'!$A$16-('Control Room'!$B$16-1)/2)/MAX(0.5,'Control Room'!$B$16/4))^2),1)</x:f>
        <x:v>1</x:v>
      </x:c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Z283" t="str">
        <x:f>IF('Data'!A283="","",TEXT('Data'!A283,"mm-dd"))</x:f>
      </x:c>
    </x:row>
    <x:row r="284" ht="21" customHeight="1">
      <x:c r="A284" s="15" t="n">
        <x:f>'Control Room'!$B$1+282</x:f>
        <x:v>73273</x:v>
      </x:c>
      <x:c r="B284" s="9" t="n">
        <x:f>MOD(C283*16807,2147483647)</x:f>
        <x:v>1550654319</x:v>
      </x:c>
      <x:c r="C284" s="9" t="n">
        <x:f>MOD(B284*16807,2147483647)</x:f>
        <x:v>2133083088</x:v>
      </x:c>
      <x:c r="D284" s="17" t="n">
        <x:f>IF('Control Room'!$B$5="Normal",'Control Room'!$B$7+'Control Room'!$D$7*SQRT(-2*LN(MAX(0.000000000001,B284/2147483647)))*COS(2*PI()*C284/2147483647),'Control Room'!$B$8+('Control Room'!$D$8-'Control Room'!$B$8)*B284/2147483647)</x:f>
        <x:v>1072.5650151684983</x:v>
      </x:c>
      <x:c r="E284" s="17" t="n">
        <x:f>IF('Control Room'!$B$5="Normal",'Control Room'!$B$7,('Control Room'!$B$8+'Control Room'!$D$8)/2)+'Control Room'!$B$9*(E283-IF('Control Room'!$B$5="Normal",'Control Room'!$B$7,('Control Room'!$B$8+'Control Room'!$D$8)/2))+SQRT(1-'Control Room'!$B$9^2)*(D284-IF('Control Room'!$B$5="Normal",'Control Room'!$B$7,('Control Room'!$B$8+'Control Room'!$D$8)/2))</x:f>
        <x:v>1096.6317013432456</x:v>
      </x:c>
      <x:c r="F284" s="17" t="n">
        <x:f>IF(AND($A284&gt;='Control Room'!$A$13,$A284&lt;'Control Room'!$A$13+'Control Room'!$B$13,'Process'!BK2=1),1+('Control Room'!$C$13-1)*EXP(-0.5*(($A284-'Control Room'!$A$13-('Control Room'!$B$13-1)/2)/MAX(0.5,'Control Room'!$B$13/4))^2),1)*IF(AND($A284&gt;='Control Room'!$A$14,$A284&lt;'Control Room'!$A$14+'Control Room'!$B$14,'Process'!BK3=1),1+('Control Room'!$C$14-1)*EXP(-0.5*(($A284-'Control Room'!$A$14-('Control Room'!$B$14-1)/2)/MAX(0.5,'Control Room'!$B$14/4))^2),1)*IF(AND($A284&gt;='Control Room'!$A$15,$A284&lt;'Control Room'!$A$15+'Control Room'!$B$15,'Process'!BK4=1),1+('Control Room'!$C$15-1)*EXP(-0.5*(($A284-'Control Room'!$A$15-('Control Room'!$B$15-1)/2)/MAX(0.5,'Control Room'!$B$15/4))^2),1)*IF(AND($A284&gt;='Control Room'!$A$16,$A284&lt;'Control Room'!$A$16+'Control Room'!$B$16,'Process'!BK5=1),1+('Control Room'!$C$16-1)*EXP(-0.5*(($A284-'Control Room'!$A$16-('Control Room'!$B$16-1)/2)/MAX(0.5,'Control Room'!$B$16/4))^2),1)</x:f>
        <x:v>1</x:v>
      </x:c>
      <x:c r="G284" s="9" t="n">
        <x:f>MOD(H283*16807,2147483647)</x:f>
        <x:v>76139823</x:v>
      </x:c>
      <x:c r="H284" s="9" t="n">
        <x:f>MOD(G284*16807,2147483647)</x:f>
        <x:v>1929235196</x:v>
      </x:c>
      <x:c r="I284" s="17" t="n">
        <x:f>IF('Control Room'!$B$5="Normal",'Control Room'!$B$7+'Control Room'!$D$7*SQRT(-2*LN(MAX(0.000000000001,G284/2147483647)))*COS(2*PI()*H284/2147483647),'Control Room'!$B$8+('Control Room'!$D$8-'Control Room'!$B$8)*G284/2147483647)</x:f>
        <x:v>1186.761937695369</x:v>
      </x:c>
      <x:c r="J284" s="17" t="n">
        <x:f>IF('Control Room'!$B$5="Normal",'Control Room'!$B$7,('Control Room'!$B$8+'Control Room'!$D$8)/2)+'Control Room'!$B$9*(J283-IF('Control Room'!$B$5="Normal",'Control Room'!$B$7,('Control Room'!$B$8+'Control Room'!$D$8)/2))+SQRT(1-'Control Room'!$B$9^2)*(I284-IF('Control Room'!$B$5="Normal",'Control Room'!$B$7,('Control Room'!$B$8+'Control Room'!$D$8)/2))</x:f>
        <x:v>1113.6529549130528</x:v>
      </x:c>
      <x:c r="K284" s="17" t="n">
        <x:f>IF(AND($A284&gt;='Control Room'!$A$13,$A284&lt;'Control Room'!$A$13+'Control Room'!$B$13,'Process'!BL2=1),1+('Control Room'!$C$13-1)*EXP(-0.5*(($A284-'Control Room'!$A$13-('Control Room'!$B$13-1)/2)/MAX(0.5,'Control Room'!$B$13/4))^2),1)*IF(AND($A284&gt;='Control Room'!$A$14,$A284&lt;'Control Room'!$A$14+'Control Room'!$B$14,'Process'!BL3=1),1+('Control Room'!$C$14-1)*EXP(-0.5*(($A284-'Control Room'!$A$14-('Control Room'!$B$14-1)/2)/MAX(0.5,'Control Room'!$B$14/4))^2),1)*IF(AND($A284&gt;='Control Room'!$A$15,$A284&lt;'Control Room'!$A$15+'Control Room'!$B$15,'Process'!BL4=1),1+('Control Room'!$C$15-1)*EXP(-0.5*(($A284-'Control Room'!$A$15-('Control Room'!$B$15-1)/2)/MAX(0.5,'Control Room'!$B$15/4))^2),1)*IF(AND($A284&gt;='Control Room'!$A$16,$A284&lt;'Control Room'!$A$16+'Control Room'!$B$16,'Process'!BL5=1),1+('Control Room'!$C$16-1)*EXP(-0.5*(($A284-'Control Room'!$A$16-('Control Room'!$B$16-1)/2)/MAX(0.5,'Control Room'!$B$16/4))^2),1)</x:f>
        <x:v>1</x:v>
      </x:c>
      <x:c r="L284" s="9" t="n">
        <x:f>MOD(M283*16807,2147483647)</x:f>
        <x:v>749108974</x:v>
      </x:c>
      <x:c r="M284" s="9" t="n">
        <x:f>MOD(L284*16807,2147483647)</x:f>
        <x:v>1725387304</x:v>
      </x:c>
      <x:c r="N284" s="17" t="n">
        <x:f>IF('Control Room'!$B$5="Normal",'Control Room'!$B$7+'Control Room'!$D$7*SQRT(-2*LN(MAX(0.000000000001,L284/2147483647)))*COS(2*PI()*M284/2147483647),'Control Room'!$B$8+('Control Room'!$D$8-'Control Room'!$B$8)*L284/2147483647)</x:f>
        <x:v>1043.043590616896</x:v>
      </x:c>
      <x:c r="O284" s="17" t="n">
        <x:f>IF('Control Room'!$B$5="Normal",'Control Room'!$B$7,('Control Room'!$B$8+'Control Room'!$D$8)/2)+'Control Room'!$B$9*(O283-IF('Control Room'!$B$5="Normal",'Control Room'!$B$7,('Control Room'!$B$8+'Control Room'!$D$8)/2))+SQRT(1-'Control Room'!$B$9^2)*(N284-IF('Control Room'!$B$5="Normal",'Control Room'!$B$7,('Control Room'!$B$8+'Control Room'!$D$8)/2))</x:f>
        <x:v>1150.6771488499548</x:v>
      </x:c>
      <x:c r="P284" s="17" t="n">
        <x:f>IF(AND($A284&gt;='Control Room'!$A$13,$A284&lt;'Control Room'!$A$13+'Control Room'!$B$13,'Process'!BM2=1),1+('Control Room'!$C$13-1)*EXP(-0.5*(($A284-'Control Room'!$A$13-('Control Room'!$B$13-1)/2)/MAX(0.5,'Control Room'!$B$13/4))^2),1)*IF(AND($A284&gt;='Control Room'!$A$14,$A284&lt;'Control Room'!$A$14+'Control Room'!$B$14,'Process'!BM3=1),1+('Control Room'!$C$14-1)*EXP(-0.5*(($A284-'Control Room'!$A$14-('Control Room'!$B$14-1)/2)/MAX(0.5,'Control Room'!$B$14/4))^2),1)*IF(AND($A284&gt;='Control Room'!$A$15,$A284&lt;'Control Room'!$A$15+'Control Room'!$B$15,'Process'!BM4=1),1+('Control Room'!$C$15-1)*EXP(-0.5*(($A284-'Control Room'!$A$15-('Control Room'!$B$15-1)/2)/MAX(0.5,'Control Room'!$B$15/4))^2),1)*IF(AND($A284&gt;='Control Room'!$A$16,$A284&lt;'Control Room'!$A$16+'Control Room'!$B$16,'Process'!BM5=1),1+('Control Room'!$C$16-1)*EXP(-0.5*(($A284-'Control Room'!$A$16-('Control Room'!$B$16-1)/2)/MAX(0.5,'Control Room'!$B$16/4))^2),1)</x:f>
        <x:v>1</x:v>
      </x:c>
      <x:c r="Q284" s="9" t="n">
        <x:f>MOD(R283*16807,2147483647)</x:f>
        <x:v>1422078125</x:v>
      </x:c>
      <x:c r="R284" s="9" t="n">
        <x:f>MOD(Q284*16807,2147483647)</x:f>
        <x:v>1521539412</x:v>
      </x:c>
      <x:c r="S284" s="17" t="n">
        <x:f>IF('Control Room'!$B$5="Normal",'Control Room'!$B$7+'Control Room'!$D$7*SQRT(-2*LN(MAX(0.000000000001,Q284/2147483647)))*COS(2*PI()*R284/2147483647),'Control Room'!$B$8+('Control Room'!$D$8-'Control Room'!$B$8)*Q284/2147483647)</x:f>
        <x:v>978.9442878006661</x:v>
      </x:c>
      <x:c r="T284" s="17" t="n">
        <x:f>IF('Control Room'!$B$5="Normal",'Control Room'!$B$7,('Control Room'!$B$8+'Control Room'!$D$8)/2)+'Control Room'!$B$9*(T283-IF('Control Room'!$B$5="Normal",'Control Room'!$B$7,('Control Room'!$B$8+'Control Room'!$D$8)/2))+SQRT(1-'Control Room'!$B$9^2)*(S284-IF('Control Room'!$B$5="Normal",'Control Room'!$B$7,('Control Room'!$B$8+'Control Room'!$D$8)/2))</x:f>
        <x:v>1054.0139306508297</x:v>
      </x:c>
      <x:c r="U284" s="17" t="n">
        <x:f>IF(AND($A284&gt;='Control Room'!$A$13,$A284&lt;'Control Room'!$A$13+'Control Room'!$B$13,'Process'!BN2=1),1+('Control Room'!$C$13-1)*EXP(-0.5*(($A284-'Control Room'!$A$13-('Control Room'!$B$13-1)/2)/MAX(0.5,'Control Room'!$B$13/4))^2),1)*IF(AND($A284&gt;='Control Room'!$A$14,$A284&lt;'Control Room'!$A$14+'Control Room'!$B$14,'Process'!BN3=1),1+('Control Room'!$C$14-1)*EXP(-0.5*(($A284-'Control Room'!$A$14-('Control Room'!$B$14-1)/2)/MAX(0.5,'Control Room'!$B$14/4))^2),1)*IF(AND($A284&gt;='Control Room'!$A$15,$A284&lt;'Control Room'!$A$15+'Control Room'!$B$15,'Process'!BN4=1),1+('Control Room'!$C$15-1)*EXP(-0.5*(($A284-'Control Room'!$A$15-('Control Room'!$B$15-1)/2)/MAX(0.5,'Control Room'!$B$15/4))^2),1)*IF(AND($A284&gt;='Control Room'!$A$16,$A284&lt;'Control Room'!$A$16+'Control Room'!$B$16,'Process'!BN5=1),1+('Control Room'!$C$16-1)*EXP(-0.5*(($A284-'Control Room'!$A$16-('Control Room'!$B$16-1)/2)/MAX(0.5,'Control Room'!$B$16/4))^2),1)</x:f>
        <x:v>1</x:v>
      </x:c>
      <x:c r="V284" s="9" t="n">
        <x:f>MOD(W283*16807,2147483647)</x:f>
        <x:v>2095047276</x:v>
      </x:c>
      <x:c r="W284" s="9" t="n">
        <x:f>MOD(V284*16807,2147483647)</x:f>
        <x:v>1317691520</x:v>
      </x:c>
      <x:c r="X284" s="17" t="n">
        <x:f>IF('Control Room'!$B$5="Normal",'Control Room'!$B$7+'Control Room'!$D$7*SQRT(-2*LN(MAX(0.000000000001,V284/2147483647)))*COS(2*PI()*W284/2147483647),'Control Room'!$B$8+('Control Room'!$D$8-'Control Room'!$B$8)*V284/2147483647)</x:f>
        <x:v>984.8728841210159</x:v>
      </x:c>
      <x:c r="Y284" s="17" t="n">
        <x:f>IF('Control Room'!$B$5="Normal",'Control Room'!$B$7,('Control Room'!$B$8+'Control Room'!$D$8)/2)+'Control Room'!$B$9*(Y283-IF('Control Room'!$B$5="Normal",'Control Room'!$B$7,('Control Room'!$B$8+'Control Room'!$D$8)/2))+SQRT(1-'Control Room'!$B$9^2)*(X284-IF('Control Room'!$B$5="Normal",'Control Room'!$B$7,('Control Room'!$B$8+'Control Room'!$D$8)/2))</x:f>
        <x:v>1004.4727517655788</x:v>
      </x:c>
      <x:c r="Z284" s="17" t="n">
        <x:f>IF(AND($A284&gt;='Control Room'!$A$13,$A284&lt;'Control Room'!$A$13+'Control Room'!$B$13,'Process'!BO2=1),1+('Control Room'!$C$13-1)*EXP(-0.5*(($A284-'Control Room'!$A$13-('Control Room'!$B$13-1)/2)/MAX(0.5,'Control Room'!$B$13/4))^2),1)*IF(AND($A284&gt;='Control Room'!$A$14,$A284&lt;'Control Room'!$A$14+'Control Room'!$B$14,'Process'!BO3=1),1+('Control Room'!$C$14-1)*EXP(-0.5*(($A284-'Control Room'!$A$14-('Control Room'!$B$14-1)/2)/MAX(0.5,'Control Room'!$B$14/4))^2),1)*IF(AND($A284&gt;='Control Room'!$A$15,$A284&lt;'Control Room'!$A$15+'Control Room'!$B$15,'Process'!BO4=1),1+('Control Room'!$C$15-1)*EXP(-0.5*(($A284-'Control Room'!$A$15-('Control Room'!$B$15-1)/2)/MAX(0.5,'Control Room'!$B$15/4))^2),1)*IF(AND($A284&gt;='Control Room'!$A$16,$A284&lt;'Control Room'!$A$16+'Control Room'!$B$16,'Process'!BO5=1),1+('Control Room'!$C$16-1)*EXP(-0.5*(($A284-'Control Room'!$A$16-('Control Room'!$B$16-1)/2)/MAX(0.5,'Control Room'!$B$16/4))^2),1)</x:f>
        <x:v>1</x:v>
      </x:c>
      <x:c r="AA284" s="9" t="n">
        <x:f>MOD(AB283*16807,2147483647)</x:f>
        <x:v>620532780</x:v>
      </x:c>
      <x:c r="AB284" s="9" t="n">
        <x:f>MOD(AA284*16807,2147483647)</x:f>
        <x:v>1113843628</x:v>
      </x:c>
      <x:c r="AC284" s="17" t="n">
        <x:f>IF('Control Room'!$B$5="Normal",'Control Room'!$B$7+'Control Room'!$D$7*SQRT(-2*LN(MAX(0.000000000001,AA284/2147483647)))*COS(2*PI()*AB284/2147483647),'Control Room'!$B$8+('Control Room'!$D$8-'Control Room'!$B$8)*AA284/2147483647)</x:f>
        <x:v>859.1587141044702</x:v>
      </x:c>
      <x:c r="AD284" s="17" t="n">
        <x:f>IF('Control Room'!$B$5="Normal",'Control Room'!$B$7,('Control Room'!$B$8+'Control Room'!$D$8)/2)+'Control Room'!$B$9*(AD283-IF('Control Room'!$B$5="Normal",'Control Room'!$B$7,('Control Room'!$B$8+'Control Room'!$D$8)/2))+SQRT(1-'Control Room'!$B$9^2)*(AC284-IF('Control Room'!$B$5="Normal",'Control Room'!$B$7,('Control Room'!$B$8+'Control Room'!$D$8)/2))</x:f>
        <x:v>1016.724065139738</x:v>
      </x:c>
      <x:c r="AE284" s="17" t="n">
        <x:f>IF(AND($A284&gt;='Control Room'!$A$13,$A284&lt;'Control Room'!$A$13+'Control Room'!$B$13,'Process'!BP2=1),1+('Control Room'!$C$13-1)*EXP(-0.5*(($A284-'Control Room'!$A$13-('Control Room'!$B$13-1)/2)/MAX(0.5,'Control Room'!$B$13/4))^2),1)*IF(AND($A284&gt;='Control Room'!$A$14,$A284&lt;'Control Room'!$A$14+'Control Room'!$B$14,'Process'!BP3=1),1+('Control Room'!$C$14-1)*EXP(-0.5*(($A284-'Control Room'!$A$14-('Control Room'!$B$14-1)/2)/MAX(0.5,'Control Room'!$B$14/4))^2),1)*IF(AND($A284&gt;='Control Room'!$A$15,$A284&lt;'Control Room'!$A$15+'Control Room'!$B$15,'Process'!BP4=1),1+('Control Room'!$C$15-1)*EXP(-0.5*(($A284-'Control Room'!$A$15-('Control Room'!$B$15-1)/2)/MAX(0.5,'Control Room'!$B$15/4))^2),1)*IF(AND($A284&gt;='Control Room'!$A$16,$A284&lt;'Control Room'!$A$16+'Control Room'!$B$16,'Process'!BP5=1),1+('Control Room'!$C$16-1)*EXP(-0.5*(($A284-'Control Room'!$A$16-('Control Room'!$B$16-1)/2)/MAX(0.5,'Control Room'!$B$16/4))^2),1)</x:f>
        <x:v>1</x:v>
      </x:c>
      <x:c r="AF284" s="9" t="n">
        <x:f>MOD(AG283*16807,2147483647)</x:f>
        <x:v>1293501931</x:v>
      </x:c>
      <x:c r="AG284" s="9" t="n">
        <x:f>MOD(AF284*16807,2147483647)</x:f>
        <x:v>909995736</x:v>
      </x:c>
      <x:c r="AH284" s="17" t="n">
        <x:f>IF('Control Room'!$B$5="Normal",'Control Room'!$B$7+'Control Room'!$D$7*SQRT(-2*LN(MAX(0.000000000001,AF284/2147483647)))*COS(2*PI()*AG284/2147483647),'Control Room'!$B$8+('Control Room'!$D$8-'Control Room'!$B$8)*AF284/2147483647)</x:f>
        <x:v>919.5801964504121</x:v>
      </x:c>
      <x:c r="AI284" s="17" t="n">
        <x:f>IF('Control Room'!$B$5="Normal",'Control Room'!$B$7,('Control Room'!$B$8+'Control Room'!$D$8)/2)+'Control Room'!$B$9*(AI283-IF('Control Room'!$B$5="Normal",'Control Room'!$B$7,('Control Room'!$B$8+'Control Room'!$D$8)/2))+SQRT(1-'Control Room'!$B$9^2)*(AH284-IF('Control Room'!$B$5="Normal",'Control Room'!$B$7,('Control Room'!$B$8+'Control Room'!$D$8)/2))</x:f>
        <x:v>977.236987686392</x:v>
      </x:c>
      <x:c r="AJ284" s="17" t="n">
        <x:f>IF(AND($A284&gt;='Control Room'!$A$13,$A284&lt;'Control Room'!$A$13+'Control Room'!$B$13,'Process'!BQ2=1),1+('Control Room'!$C$13-1)*EXP(-0.5*(($A284-'Control Room'!$A$13-('Control Room'!$B$13-1)/2)/MAX(0.5,'Control Room'!$B$13/4))^2),1)*IF(AND($A284&gt;='Control Room'!$A$14,$A284&lt;'Control Room'!$A$14+'Control Room'!$B$14,'Process'!BQ3=1),1+('Control Room'!$C$14-1)*EXP(-0.5*(($A284-'Control Room'!$A$14-('Control Room'!$B$14-1)/2)/MAX(0.5,'Control Room'!$B$14/4))^2),1)*IF(AND($A284&gt;='Control Room'!$A$15,$A284&lt;'Control Room'!$A$15+'Control Room'!$B$15,'Process'!BQ4=1),1+('Control Room'!$C$15-1)*EXP(-0.5*(($A284-'Control Room'!$A$15-('Control Room'!$B$15-1)/2)/MAX(0.5,'Control Room'!$B$15/4))^2),1)*IF(AND($A284&gt;='Control Room'!$A$16,$A284&lt;'Control Room'!$A$16+'Control Room'!$B$16,'Process'!BQ5=1),1+('Control Room'!$C$16-1)*EXP(-0.5*(($A284-'Control Room'!$A$16-('Control Room'!$B$16-1)/2)/MAX(0.5,'Control Room'!$B$16/4))^2),1)</x:f>
        <x:v>1</x:v>
      </x:c>
      <x:c r="AK284" s="9" t="n">
        <x:f>MOD(AL283*16807,2147483647)</x:f>
        <x:v>1966471082</x:v>
      </x:c>
      <x:c r="AL284" s="9" t="n">
        <x:f>MOD(AK284*16807,2147483647)</x:f>
        <x:v>706147844</x:v>
      </x:c>
      <x:c r="AM284" s="17" t="n">
        <x:f>IF('Control Room'!$B$5="Normal",'Control Room'!$B$7+'Control Room'!$D$7*SQRT(-2*LN(MAX(0.000000000001,AK284/2147483647)))*COS(2*PI()*AL284/2147483647),'Control Room'!$B$8+('Control Room'!$D$8-'Control Room'!$B$8)*AK284/2147483647)</x:f>
        <x:v>982.0492608687506</x:v>
      </x:c>
      <x:c r="AN284" s="17" t="n">
        <x:f>IF('Control Room'!$B$5="Normal",'Control Room'!$B$7,('Control Room'!$B$8+'Control Room'!$D$8)/2)+'Control Room'!$B$9*(AN283-IF('Control Room'!$B$5="Normal",'Control Room'!$B$7,('Control Room'!$B$8+'Control Room'!$D$8)/2))+SQRT(1-'Control Room'!$B$9^2)*(AM284-IF('Control Room'!$B$5="Normal",'Control Room'!$B$7,('Control Room'!$B$8+'Control Room'!$D$8)/2))</x:f>
        <x:v>955.8364211084529</x:v>
      </x:c>
      <x:c r="AO284" s="17" t="n">
        <x:f>IF(AND($A284&gt;='Control Room'!$A$13,$A284&lt;'Control Room'!$A$13+'Control Room'!$B$13,'Process'!BR2=1),1+('Control Room'!$C$13-1)*EXP(-0.5*(($A284-'Control Room'!$A$13-('Control Room'!$B$13-1)/2)/MAX(0.5,'Control Room'!$B$13/4))^2),1)*IF(AND($A284&gt;='Control Room'!$A$14,$A284&lt;'Control Room'!$A$14+'Control Room'!$B$14,'Process'!BR3=1),1+('Control Room'!$C$14-1)*EXP(-0.5*(($A284-'Control Room'!$A$14-('Control Room'!$B$14-1)/2)/MAX(0.5,'Control Room'!$B$14/4))^2),1)*IF(AND($A284&gt;='Control Room'!$A$15,$A284&lt;'Control Room'!$A$15+'Control Room'!$B$15,'Process'!BR4=1),1+('Control Room'!$C$15-1)*EXP(-0.5*(($A284-'Control Room'!$A$15-('Control Room'!$B$15-1)/2)/MAX(0.5,'Control Room'!$B$15/4))^2),1)*IF(AND($A284&gt;='Control Room'!$A$16,$A284&lt;'Control Room'!$A$16+'Control Room'!$B$16,'Process'!BR5=1),1+('Control Room'!$C$16-1)*EXP(-0.5*(($A284-'Control Room'!$A$16-('Control Room'!$B$16-1)/2)/MAX(0.5,'Control Room'!$B$16/4))^2),1)</x:f>
        <x:v>1</x:v>
      </x:c>
      <x:c r="AP284" s="9" t="n">
        <x:f>MOD(AQ283*16807,2147483647)</x:f>
        <x:v>491956586</x:v>
      </x:c>
      <x:c r="AQ284" s="9" t="n">
        <x:f>MOD(AP284*16807,2147483647)</x:f>
        <x:v>502299952</x:v>
      </x:c>
      <x:c r="AR284" s="17" t="n">
        <x:f>IF('Control Room'!$B$5="Normal",'Control Room'!$B$7+'Control Room'!$D$7*SQRT(-2*LN(MAX(0.000000000001,AP284/2147483647)))*COS(2*PI()*AQ284/2147483647),'Control Room'!$B$8+('Control Room'!$D$8-'Control Room'!$B$8)*AP284/2147483647)</x:f>
        <x:v>1015.6018831121545</x:v>
      </x:c>
      <x:c r="AS284" s="17" t="n">
        <x:f>IF('Control Room'!$B$5="Normal",'Control Room'!$B$7,('Control Room'!$B$8+'Control Room'!$D$8)/2)+'Control Room'!$B$9*(AS283-IF('Control Room'!$B$5="Normal",'Control Room'!$B$7,('Control Room'!$B$8+'Control Room'!$D$8)/2))+SQRT(1-'Control Room'!$B$9^2)*(AR284-IF('Control Room'!$B$5="Normal",'Control Room'!$B$7,('Control Room'!$B$8+'Control Room'!$D$8)/2))</x:f>
        <x:v>1010.0033570290362</x:v>
      </x:c>
      <x:c r="AT284" s="17" t="n">
        <x:f>IF(AND($A284&gt;='Control Room'!$A$13,$A284&lt;'Control Room'!$A$13+'Control Room'!$B$13,'Process'!BS2=1),1+('Control Room'!$C$13-1)*EXP(-0.5*(($A284-'Control Room'!$A$13-('Control Room'!$B$13-1)/2)/MAX(0.5,'Control Room'!$B$13/4))^2),1)*IF(AND($A284&gt;='Control Room'!$A$14,$A284&lt;'Control Room'!$A$14+'Control Room'!$B$14,'Process'!BS3=1),1+('Control Room'!$C$14-1)*EXP(-0.5*(($A284-'Control Room'!$A$14-('Control Room'!$B$14-1)/2)/MAX(0.5,'Control Room'!$B$14/4))^2),1)*IF(AND($A284&gt;='Control Room'!$A$15,$A284&lt;'Control Room'!$A$15+'Control Room'!$B$15,'Process'!BS4=1),1+('Control Room'!$C$15-1)*EXP(-0.5*(($A284-'Control Room'!$A$15-('Control Room'!$B$15-1)/2)/MAX(0.5,'Control Room'!$B$15/4))^2),1)*IF(AND($A284&gt;='Control Room'!$A$16,$A284&lt;'Control Room'!$A$16+'Control Room'!$B$16,'Process'!BS5=1),1+('Control Room'!$C$16-1)*EXP(-0.5*(($A284-'Control Room'!$A$16-('Control Room'!$B$16-1)/2)/MAX(0.5,'Control Room'!$B$16/4))^2),1)</x:f>
        <x:v>1</x:v>
      </x:c>
      <x:c r="AU284" s="9" t="n">
        <x:f>MOD(AV283*16807,2147483647)</x:f>
        <x:v>1164925737</x:v>
      </x:c>
      <x:c r="AV284" s="9" t="n">
        <x:f>MOD(AU284*16807,2147483647)</x:f>
        <x:v>298452060</x:v>
      </x:c>
      <x:c r="AW284" s="17" t="n">
        <x:f>IF('Control Room'!$B$5="Normal",'Control Room'!$B$7+'Control Room'!$D$7*SQRT(-2*LN(MAX(0.000000000001,AU284/2147483647)))*COS(2*PI()*AV284/2147483647),'Control Room'!$B$8+('Control Room'!$D$8-'Control Room'!$B$8)*AU284/2147483647)</x:f>
        <x:v>1063.9417004984248</x:v>
      </x:c>
      <x:c r="AX284" s="17" t="n">
        <x:f>IF('Control Room'!$B$5="Normal",'Control Room'!$B$7,('Control Room'!$B$8+'Control Room'!$D$8)/2)+'Control Room'!$B$9*(AX283-IF('Control Room'!$B$5="Normal",'Control Room'!$B$7,('Control Room'!$B$8+'Control Room'!$D$8)/2))+SQRT(1-'Control Room'!$B$9^2)*(AW284-IF('Control Room'!$B$5="Normal",'Control Room'!$B$7,('Control Room'!$B$8+'Control Room'!$D$8)/2))</x:f>
        <x:v>1124.118856486124</x:v>
      </x:c>
      <x:c r="AY284" s="17" t="n">
        <x:f>IF(AND($A284&gt;='Control Room'!$A$13,$A284&lt;'Control Room'!$A$13+'Control Room'!$B$13,'Process'!BT2=1),1+('Control Room'!$C$13-1)*EXP(-0.5*(($A284-'Control Room'!$A$13-('Control Room'!$B$13-1)/2)/MAX(0.5,'Control Room'!$B$13/4))^2),1)*IF(AND($A284&gt;='Control Room'!$A$14,$A284&lt;'Control Room'!$A$14+'Control Room'!$B$14,'Process'!BT3=1),1+('Control Room'!$C$14-1)*EXP(-0.5*(($A284-'Control Room'!$A$14-('Control Room'!$B$14-1)/2)/MAX(0.5,'Control Room'!$B$14/4))^2),1)*IF(AND($A284&gt;='Control Room'!$A$15,$A284&lt;'Control Room'!$A$15+'Control Room'!$B$15,'Process'!BT4=1),1+('Control Room'!$C$15-1)*EXP(-0.5*(($A284-'Control Room'!$A$15-('Control Room'!$B$15-1)/2)/MAX(0.5,'Control Room'!$B$15/4))^2),1)*IF(AND($A284&gt;='Control Room'!$A$16,$A284&lt;'Control Room'!$A$16+'Control Room'!$B$16,'Process'!BT5=1),1+('Control Room'!$C$16-1)*EXP(-0.5*(($A284-'Control Room'!$A$16-('Control Room'!$B$16-1)/2)/MAX(0.5,'Control Room'!$B$16/4))^2),1)</x:f>
        <x:v>1</x:v>
      </x:c>
      <x:c r="AZ284" s="9" t="n">
        <x:f>MOD(BA283*16807,2147483647)</x:f>
        <x:v>1837894888</x:v>
      </x:c>
      <x:c r="BA284" s="9" t="n">
        <x:f>MOD(AZ284*16807,2147483647)</x:f>
        <x:v>94604168</x:v>
      </x:c>
      <x:c r="BB284" s="17" t="n">
        <x:f>IF('Control Room'!$B$5="Normal",'Control Room'!$B$7+'Control Room'!$D$7*SQRT(-2*LN(MAX(0.000000000001,AZ284/2147483647)))*COS(2*PI()*BA284/2147483647),'Control Room'!$B$8+('Control Room'!$D$8-'Control Room'!$B$8)*AZ284/2147483647)</x:f>
        <x:v>1048.3074768085878</x:v>
      </x:c>
      <x:c r="BC284" s="17" t="n">
        <x:f>IF('Control Room'!$B$5="Normal",'Control Room'!$B$7,('Control Room'!$B$8+'Control Room'!$D$8)/2)+'Control Room'!$B$9*(BC283-IF('Control Room'!$B$5="Normal",'Control Room'!$B$7,('Control Room'!$B$8+'Control Room'!$D$8)/2))+SQRT(1-'Control Room'!$B$9^2)*(BB284-IF('Control Room'!$B$5="Normal",'Control Room'!$B$7,('Control Room'!$B$8+'Control Room'!$D$8)/2))</x:f>
        <x:v>979.7406685166527</x:v>
      </x:c>
      <x:c r="BD284" s="17" t="n">
        <x:f>IF(AND($A284&gt;='Control Room'!$A$13,$A284&lt;'Control Room'!$A$13+'Control Room'!$B$13,'Process'!BU2=1),1+('Control Room'!$C$13-1)*EXP(-0.5*(($A284-'Control Room'!$A$13-('Control Room'!$B$13-1)/2)/MAX(0.5,'Control Room'!$B$13/4))^2),1)*IF(AND($A284&gt;='Control Room'!$A$14,$A284&lt;'Control Room'!$A$14+'Control Room'!$B$14,'Process'!BU3=1),1+('Control Room'!$C$14-1)*EXP(-0.5*(($A284-'Control Room'!$A$14-('Control Room'!$B$14-1)/2)/MAX(0.5,'Control Room'!$B$14/4))^2),1)*IF(AND($A284&gt;='Control Room'!$A$15,$A284&lt;'Control Room'!$A$15+'Control Room'!$B$15,'Process'!BU4=1),1+('Control Room'!$C$15-1)*EXP(-0.5*(($A284-'Control Room'!$A$15-('Control Room'!$B$15-1)/2)/MAX(0.5,'Control Room'!$B$15/4))^2),1)*IF(AND($A284&gt;='Control Room'!$A$16,$A284&lt;'Control Room'!$A$16+'Control Room'!$B$16,'Process'!BU5=1),1+('Control Room'!$C$16-1)*EXP(-0.5*(($A284-'Control Room'!$A$16-('Control Room'!$B$16-1)/2)/MAX(0.5,'Control Room'!$B$16/4))^2),1)</x:f>
        <x:v>1</x:v>
      </x:c>
      <x:c r="BE284" s="9" t="n">
        <x:f>MOD(BF283*16807,2147483647)</x:f>
        <x:v>363380392</x:v>
      </x:c>
      <x:c r="BF284" s="9" t="n">
        <x:f>MOD(BE284*16807,2147483647)</x:f>
        <x:v>2038239923</x:v>
      </x:c>
      <x:c r="BG284" s="17" t="n">
        <x:f>IF('Control Room'!$B$5="Normal",'Control Room'!$B$7+'Control Room'!$D$7*SQRT(-2*LN(MAX(0.000000000001,BE284/2147483647)))*COS(2*PI()*BF284/2147483647),'Control Room'!$B$8+('Control Room'!$D$8-'Control Room'!$B$8)*BE284/2147483647)</x:f>
        <x:v>1161.0570806578867</x:v>
      </x:c>
      <x:c r="BH284" s="17" t="n">
        <x:f>IF('Control Room'!$B$5="Normal",'Control Room'!$B$7,('Control Room'!$B$8+'Control Room'!$D$8)/2)+'Control Room'!$B$9*(BH283-IF('Control Room'!$B$5="Normal",'Control Room'!$B$7,('Control Room'!$B$8+'Control Room'!$D$8)/2))+SQRT(1-'Control Room'!$B$9^2)*(BG284-IF('Control Room'!$B$5="Normal",'Control Room'!$B$7,('Control Room'!$B$8+'Control Room'!$D$8)/2))</x:f>
        <x:v>1057.0470022654888</x:v>
      </x:c>
      <x:c r="BI284" s="17" t="n">
        <x:f>IF(AND($A284&gt;='Control Room'!$A$13,$A284&lt;'Control Room'!$A$13+'Control Room'!$B$13,'Process'!BV2=1),1+('Control Room'!$C$13-1)*EXP(-0.5*(($A284-'Control Room'!$A$13-('Control Room'!$B$13-1)/2)/MAX(0.5,'Control Room'!$B$13/4))^2),1)*IF(AND($A284&gt;='Control Room'!$A$14,$A284&lt;'Control Room'!$A$14+'Control Room'!$B$14,'Process'!BV3=1),1+('Control Room'!$C$14-1)*EXP(-0.5*(($A284-'Control Room'!$A$14-('Control Room'!$B$14-1)/2)/MAX(0.5,'Control Room'!$B$14/4))^2),1)*IF(AND($A284&gt;='Control Room'!$A$15,$A284&lt;'Control Room'!$A$15+'Control Room'!$B$15,'Process'!BV4=1),1+('Control Room'!$C$15-1)*EXP(-0.5*(($A284-'Control Room'!$A$15-('Control Room'!$B$15-1)/2)/MAX(0.5,'Control Room'!$B$15/4))^2),1)*IF(AND($A284&gt;='Control Room'!$A$16,$A284&lt;'Control Room'!$A$16+'Control Room'!$B$16,'Process'!BV5=1),1+('Control Room'!$C$16-1)*EXP(-0.5*(($A284-'Control Room'!$A$16-('Control Room'!$B$16-1)/2)/MAX(0.5,'Control Room'!$B$16/4))^2),1)</x:f>
        <x:v>1</x:v>
      </x:c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Z284" t="str">
        <x:f>IF('Data'!A284="","",TEXT('Data'!A284,"mm-dd"))</x:f>
      </x:c>
    </x:row>
    <x:row r="285" ht="21" customHeight="1">
      <x:c r="A285" s="15" t="n">
        <x:f>'Control Room'!$B$1+283</x:f>
        <x:v>73274</x:v>
      </x:c>
      <x:c r="B285" s="9" t="n">
        <x:f>MOD(C284*16807,2147483647)</x:f>
        <x:v>635456998</x:v>
      </x:c>
      <x:c r="C285" s="9" t="n">
        <x:f>MOD(B285*16807,2147483647)</x:f>
        <x:v>689588855</x:v>
      </x:c>
      <x:c r="D285" s="17" t="n">
        <x:f>IF('Control Room'!$B$5="Normal",'Control Room'!$B$7+'Control Room'!$D$7*SQRT(-2*LN(MAX(0.000000000001,B285/2147483647)))*COS(2*PI()*C285/2147483647),'Control Room'!$B$8+('Control Room'!$D$8-'Control Room'!$B$8)*B285/2147483647)</x:f>
        <x:v>939.3095770535259</x:v>
      </x:c>
      <x:c r="E285" s="17" t="n">
        <x:f>IF('Control Room'!$B$5="Normal",'Control Room'!$B$7,('Control Room'!$B$8+'Control Room'!$D$8)/2)+'Control Room'!$B$9*(E284-IF('Control Room'!$B$5="Normal",'Control Room'!$B$7,('Control Room'!$B$8+'Control Room'!$D$8)/2))+SQRT(1-'Control Room'!$B$9^2)*(D285-IF('Control Room'!$B$5="Normal",'Control Room'!$B$7,('Control Room'!$B$8+'Control Room'!$D$8)/2))</x:f>
        <x:v>1037.3939036787222</x:v>
      </x:c>
      <x:c r="F285" s="17" t="n">
        <x:f>IF(AND($A285&gt;='Control Room'!$A$13,$A285&lt;'Control Room'!$A$13+'Control Room'!$B$13,'Process'!BK2=1),1+('Control Room'!$C$13-1)*EXP(-0.5*(($A285-'Control Room'!$A$13-('Control Room'!$B$13-1)/2)/MAX(0.5,'Control Room'!$B$13/4))^2),1)*IF(AND($A285&gt;='Control Room'!$A$14,$A285&lt;'Control Room'!$A$14+'Control Room'!$B$14,'Process'!BK3=1),1+('Control Room'!$C$14-1)*EXP(-0.5*(($A285-'Control Room'!$A$14-('Control Room'!$B$14-1)/2)/MAX(0.5,'Control Room'!$B$14/4))^2),1)*IF(AND($A285&gt;='Control Room'!$A$15,$A285&lt;'Control Room'!$A$15+'Control Room'!$B$15,'Process'!BK4=1),1+('Control Room'!$C$15-1)*EXP(-0.5*(($A285-'Control Room'!$A$15-('Control Room'!$B$15-1)/2)/MAX(0.5,'Control Room'!$B$15/4))^2),1)*IF(AND($A285&gt;='Control Room'!$A$16,$A285&lt;'Control Room'!$A$16+'Control Room'!$B$16,'Process'!BK5=1),1+('Control Room'!$C$16-1)*EXP(-0.5*(($A285-'Control Room'!$A$16-('Control Room'!$B$16-1)/2)/MAX(0.5,'Control Room'!$B$16/4))^2),1)</x:f>
        <x:v>1</x:v>
      </x:c>
      <x:c r="G285" s="9" t="n">
        <x:f>MOD(H284*16807,2147483647)</x:f>
        <x:v>1947836766</x:v>
      </x:c>
      <x:c r="H285" s="9" t="n">
        <x:f>MOD(G285*16807,2147483647)</x:f>
        <x:v>1051811294</x:v>
      </x:c>
      <x:c r="I285" s="17" t="n">
        <x:f>IF('Control Room'!$B$5="Normal",'Control Room'!$B$7+'Control Room'!$D$7*SQRT(-2*LN(MAX(0.000000000001,G285/2147483647)))*COS(2*PI()*H285/2147483647),'Control Room'!$B$8+('Control Room'!$D$8-'Control Room'!$B$8)*G285/2147483647)</x:f>
        <x:v>960.3231321866706</x:v>
      </x:c>
      <x:c r="J285" s="17" t="n">
        <x:f>IF('Control Room'!$B$5="Normal",'Control Room'!$B$7,('Control Room'!$B$8+'Control Room'!$D$8)/2)+'Control Room'!$B$9*(J284-IF('Control Room'!$B$5="Normal",'Control Room'!$B$7,('Control Room'!$B$8+'Control Room'!$D$8)/2))+SQRT(1-'Control Room'!$B$9^2)*(I285-IF('Control Room'!$B$5="Normal",'Control Room'!$B$7,('Control Room'!$B$8+'Control Room'!$D$8)/2))</x:f>
        <x:v>1063.8203337794178</x:v>
      </x:c>
      <x:c r="K285" s="17" t="n">
        <x:f>IF(AND($A285&gt;='Control Room'!$A$13,$A285&lt;'Control Room'!$A$13+'Control Room'!$B$13,'Process'!BL2=1),1+('Control Room'!$C$13-1)*EXP(-0.5*(($A285-'Control Room'!$A$13-('Control Room'!$B$13-1)/2)/MAX(0.5,'Control Room'!$B$13/4))^2),1)*IF(AND($A285&gt;='Control Room'!$A$14,$A285&lt;'Control Room'!$A$14+'Control Room'!$B$14,'Process'!BL3=1),1+('Control Room'!$C$14-1)*EXP(-0.5*(($A285-'Control Room'!$A$14-('Control Room'!$B$14-1)/2)/MAX(0.5,'Control Room'!$B$14/4))^2),1)*IF(AND($A285&gt;='Control Room'!$A$15,$A285&lt;'Control Room'!$A$15+'Control Room'!$B$15,'Process'!BL4=1),1+('Control Room'!$C$15-1)*EXP(-0.5*(($A285-'Control Room'!$A$15-('Control Room'!$B$15-1)/2)/MAX(0.5,'Control Room'!$B$15/4))^2),1)*IF(AND($A285&gt;='Control Room'!$A$16,$A285&lt;'Control Room'!$A$16+'Control Room'!$B$16,'Process'!BL5=1),1+('Control Room'!$C$16-1)*EXP(-0.5*(($A285-'Control Room'!$A$16-('Control Room'!$B$16-1)/2)/MAX(0.5,'Control Room'!$B$16/4))^2),1)</x:f>
        <x:v>1</x:v>
      </x:c>
      <x:c r="L285" s="9" t="n">
        <x:f>MOD(M284*16807,2147483647)</x:f>
        <x:v>1112732887</x:v>
      </x:c>
      <x:c r="M285" s="9" t="n">
        <x:f>MOD(L285*16807,2147483647)</x:f>
        <x:v>1414033733</x:v>
      </x:c>
      <x:c r="N285" s="17" t="n">
        <x:f>IF('Control Room'!$B$5="Normal",'Control Room'!$B$7+'Control Room'!$D$7*SQRT(-2*LN(MAX(0.000000000001,L285/2147483647)))*COS(2*PI()*M285/2147483647),'Control Room'!$B$8+('Control Room'!$D$8-'Control Room'!$B$8)*L285/2147483647)</x:f>
        <x:v>943.8602018189421</x:v>
      </x:c>
      <x:c r="O285" s="17" t="n">
        <x:f>IF('Control Room'!$B$5="Normal",'Control Room'!$B$7,('Control Room'!$B$8+'Control Room'!$D$8)/2)+'Control Room'!$B$9*(O284-IF('Control Room'!$B$5="Normal",'Control Room'!$B$7,('Control Room'!$B$8+'Control Room'!$D$8)/2))+SQRT(1-'Control Room'!$B$9^2)*(N285-IF('Control Room'!$B$5="Normal",'Control Room'!$B$7,('Control Room'!$B$8+'Control Room'!$D$8)/2))</x:f>
        <x:v>1082.3970404875372</x:v>
      </x:c>
      <x:c r="P285" s="17" t="n">
        <x:f>IF(AND($A285&gt;='Control Room'!$A$13,$A285&lt;'Control Room'!$A$13+'Control Room'!$B$13,'Process'!BM2=1),1+('Control Room'!$C$13-1)*EXP(-0.5*(($A285-'Control Room'!$A$13-('Control Room'!$B$13-1)/2)/MAX(0.5,'Control Room'!$B$13/4))^2),1)*IF(AND($A285&gt;='Control Room'!$A$14,$A285&lt;'Control Room'!$A$14+'Control Room'!$B$14,'Process'!BM3=1),1+('Control Room'!$C$14-1)*EXP(-0.5*(($A285-'Control Room'!$A$14-('Control Room'!$B$14-1)/2)/MAX(0.5,'Control Room'!$B$14/4))^2),1)*IF(AND($A285&gt;='Control Room'!$A$15,$A285&lt;'Control Room'!$A$15+'Control Room'!$B$15,'Process'!BM4=1),1+('Control Room'!$C$15-1)*EXP(-0.5*(($A285-'Control Room'!$A$15-('Control Room'!$B$15-1)/2)/MAX(0.5,'Control Room'!$B$15/4))^2),1)*IF(AND($A285&gt;='Control Room'!$A$16,$A285&lt;'Control Room'!$A$16+'Control Room'!$B$16,'Process'!BM5=1),1+('Control Room'!$C$16-1)*EXP(-0.5*(($A285-'Control Room'!$A$16-('Control Room'!$B$16-1)/2)/MAX(0.5,'Control Room'!$B$16/4))^2),1)</x:f>
        <x:v>1</x:v>
      </x:c>
      <x:c r="Q285" s="9" t="n">
        <x:f>MOD(R284*16807,2147483647)</x:f>
        <x:v>277629008</x:v>
      </x:c>
      <x:c r="R285" s="9" t="n">
        <x:f>MOD(Q285*16807,2147483647)</x:f>
        <x:v>1776256172</x:v>
      </x:c>
      <x:c r="S285" s="17" t="n">
        <x:f>IF('Control Room'!$B$5="Normal",'Control Room'!$B$7+'Control Room'!$D$7*SQRT(-2*LN(MAX(0.000000000001,Q285/2147483647)))*COS(2*PI()*R285/2147483647),'Control Room'!$B$8+('Control Room'!$D$8-'Control Room'!$B$8)*Q285/2147483647)</x:f>
        <x:v>1084.8151331853014</x:v>
      </x:c>
      <x:c r="T285" s="17" t="n">
        <x:f>IF('Control Room'!$B$5="Normal",'Control Room'!$B$7,('Control Room'!$B$8+'Control Room'!$D$8)/2)+'Control Room'!$B$9*(T284-IF('Control Room'!$B$5="Normal",'Control Room'!$B$7,('Control Room'!$B$8+'Control Room'!$D$8)/2))+SQRT(1-'Control Room'!$B$9^2)*(S285-IF('Control Room'!$B$5="Normal",'Control Room'!$B$7,('Control Room'!$B$8+'Control Room'!$D$8)/2))</x:f>
        <x:v>1095.206438722562</x:v>
      </x:c>
      <x:c r="U285" s="17" t="n">
        <x:f>IF(AND($A285&gt;='Control Room'!$A$13,$A285&lt;'Control Room'!$A$13+'Control Room'!$B$13,'Process'!BN2=1),1+('Control Room'!$C$13-1)*EXP(-0.5*(($A285-'Control Room'!$A$13-('Control Room'!$B$13-1)/2)/MAX(0.5,'Control Room'!$B$13/4))^2),1)*IF(AND($A285&gt;='Control Room'!$A$14,$A285&lt;'Control Room'!$A$14+'Control Room'!$B$14,'Process'!BN3=1),1+('Control Room'!$C$14-1)*EXP(-0.5*(($A285-'Control Room'!$A$14-('Control Room'!$B$14-1)/2)/MAX(0.5,'Control Room'!$B$14/4))^2),1)*IF(AND($A285&gt;='Control Room'!$A$15,$A285&lt;'Control Room'!$A$15+'Control Room'!$B$15,'Process'!BN4=1),1+('Control Room'!$C$15-1)*EXP(-0.5*(($A285-'Control Room'!$A$15-('Control Room'!$B$15-1)/2)/MAX(0.5,'Control Room'!$B$15/4))^2),1)*IF(AND($A285&gt;='Control Room'!$A$16,$A285&lt;'Control Room'!$A$16+'Control Room'!$B$16,'Process'!BN5=1),1+('Control Room'!$C$16-1)*EXP(-0.5*(($A285-'Control Room'!$A$16-('Control Room'!$B$16-1)/2)/MAX(0.5,'Control Room'!$B$16/4))^2),1)</x:f>
        <x:v>1</x:v>
      </x:c>
      <x:c r="V285" s="9" t="n">
        <x:f>MOD(W284*16807,2147483647)</x:f>
        <x:v>1590008776</x:v>
      </x:c>
      <x:c r="W285" s="9" t="n">
        <x:f>MOD(V285*16807,2147483647)</x:f>
        <x:v>2138478611</x:v>
      </x:c>
      <x:c r="X285" s="17" t="n">
        <x:f>IF('Control Room'!$B$5="Normal",'Control Room'!$B$7+'Control Room'!$D$7*SQRT(-2*LN(MAX(0.000000000001,V285/2147483647)))*COS(2*PI()*W285/2147483647),'Control Room'!$B$8+('Control Room'!$D$8-'Control Room'!$B$8)*V285/2147483647)</x:f>
        <x:v>1069.7541958782888</x:v>
      </x:c>
      <x:c r="Y285" s="17" t="n">
        <x:f>IF('Control Room'!$B$5="Normal",'Control Room'!$B$7,('Control Room'!$B$8+'Control Room'!$D$8)/2)+'Control Room'!$B$9*(Y284-IF('Control Room'!$B$5="Normal",'Control Room'!$B$7,('Control Room'!$B$8+'Control Room'!$D$8)/2))+SQRT(1-'Control Room'!$B$9^2)*(X285-IF('Control Room'!$B$5="Normal",'Control Room'!$B$7,('Control Room'!$B$8+'Control Room'!$D$8)/2))</x:f>
        <x:v>1047.1394931654092</x:v>
      </x:c>
      <x:c r="Z285" s="17" t="n">
        <x:f>IF(AND($A285&gt;='Control Room'!$A$13,$A285&lt;'Control Room'!$A$13+'Control Room'!$B$13,'Process'!BO2=1),1+('Control Room'!$C$13-1)*EXP(-0.5*(($A285-'Control Room'!$A$13-('Control Room'!$B$13-1)/2)/MAX(0.5,'Control Room'!$B$13/4))^2),1)*IF(AND($A285&gt;='Control Room'!$A$14,$A285&lt;'Control Room'!$A$14+'Control Room'!$B$14,'Process'!BO3=1),1+('Control Room'!$C$14-1)*EXP(-0.5*(($A285-'Control Room'!$A$14-('Control Room'!$B$14-1)/2)/MAX(0.5,'Control Room'!$B$14/4))^2),1)*IF(AND($A285&gt;='Control Room'!$A$15,$A285&lt;'Control Room'!$A$15+'Control Room'!$B$15,'Process'!BO4=1),1+('Control Room'!$C$15-1)*EXP(-0.5*(($A285-'Control Room'!$A$15-('Control Room'!$B$15-1)/2)/MAX(0.5,'Control Room'!$B$15/4))^2),1)*IF(AND($A285&gt;='Control Room'!$A$16,$A285&lt;'Control Room'!$A$16+'Control Room'!$B$16,'Process'!BO5=1),1+('Control Room'!$C$16-1)*EXP(-0.5*(($A285-'Control Room'!$A$16-('Control Room'!$B$16-1)/2)/MAX(0.5,'Control Room'!$B$16/4))^2),1)</x:f>
        <x:v>1</x:v>
      </x:c>
      <x:c r="AA285" s="9" t="n">
        <x:f>MOD(AB284*16807,2147483647)</x:f>
        <x:v>754904897</x:v>
      </x:c>
      <x:c r="AB285" s="9" t="n">
        <x:f>MOD(AA285*16807,2147483647)</x:f>
        <x:v>353217403</x:v>
      </x:c>
      <x:c r="AC285" s="17" t="n">
        <x:f>IF('Control Room'!$B$5="Normal",'Control Room'!$B$7+'Control Room'!$D$7*SQRT(-2*LN(MAX(0.000000000001,AA285/2147483647)))*COS(2*PI()*AB285/2147483647),'Control Room'!$B$8+('Control Room'!$D$8-'Control Room'!$B$8)*AA285/2147483647)</x:f>
        <x:v>1066.6125871618672</x:v>
      </x:c>
      <x:c r="AD285" s="17" t="n">
        <x:f>IF('Control Room'!$B$5="Normal",'Control Room'!$B$7,('Control Room'!$B$8+'Control Room'!$D$8)/2)+'Control Room'!$B$9*(AD284-IF('Control Room'!$B$5="Normal",'Control Room'!$B$7,('Control Room'!$B$8+'Control Room'!$D$8)/2))+SQRT(1-'Control Room'!$B$9^2)*(AC285-IF('Control Room'!$B$5="Normal",'Control Room'!$B$7,('Control Room'!$B$8+'Control Room'!$D$8)/2))</x:f>
        <x:v>1054.7295632218697</x:v>
      </x:c>
      <x:c r="AE285" s="17" t="n">
        <x:f>IF(AND($A285&gt;='Control Room'!$A$13,$A285&lt;'Control Room'!$A$13+'Control Room'!$B$13,'Process'!BP2=1),1+('Control Room'!$C$13-1)*EXP(-0.5*(($A285-'Control Room'!$A$13-('Control Room'!$B$13-1)/2)/MAX(0.5,'Control Room'!$B$13/4))^2),1)*IF(AND($A285&gt;='Control Room'!$A$14,$A285&lt;'Control Room'!$A$14+'Control Room'!$B$14,'Process'!BP3=1),1+('Control Room'!$C$14-1)*EXP(-0.5*(($A285-'Control Room'!$A$14-('Control Room'!$B$14-1)/2)/MAX(0.5,'Control Room'!$B$14/4))^2),1)*IF(AND($A285&gt;='Control Room'!$A$15,$A285&lt;'Control Room'!$A$15+'Control Room'!$B$15,'Process'!BP4=1),1+('Control Room'!$C$15-1)*EXP(-0.5*(($A285-'Control Room'!$A$15-('Control Room'!$B$15-1)/2)/MAX(0.5,'Control Room'!$B$15/4))^2),1)*IF(AND($A285&gt;='Control Room'!$A$16,$A285&lt;'Control Room'!$A$16+'Control Room'!$B$16,'Process'!BP5=1),1+('Control Room'!$C$16-1)*EXP(-0.5*(($A285-'Control Room'!$A$16-('Control Room'!$B$16-1)/2)/MAX(0.5,'Control Room'!$B$16/4))^2),1)</x:f>
        <x:v>1</x:v>
      </x:c>
      <x:c r="AF285" s="9" t="n">
        <x:f>MOD(AG284*16807,2147483647)</x:f>
        <x:v>2067284665</x:v>
      </x:c>
      <x:c r="AG285" s="9" t="n">
        <x:f>MOD(AF285*16807,2147483647)</x:f>
        <x:v>715439842</x:v>
      </x:c>
      <x:c r="AH285" s="17" t="n">
        <x:f>IF('Control Room'!$B$5="Normal",'Control Room'!$B$7+'Control Room'!$D$7*SQRT(-2*LN(MAX(0.000000000001,AF285/2147483647)))*COS(2*PI()*AG285/2147483647),'Control Room'!$B$8+('Control Room'!$D$8-'Control Room'!$B$8)*AF285/2147483647)</x:f>
        <x:v>987.6088633299296</x:v>
      </x:c>
      <x:c r="AI285" s="17" t="n">
        <x:f>IF('Control Room'!$B$5="Normal",'Control Room'!$B$7,('Control Room'!$B$8+'Control Room'!$D$8)/2)+'Control Room'!$B$9*(AI284-IF('Control Room'!$B$5="Normal",'Control Room'!$B$7,('Control Room'!$B$8+'Control Room'!$D$8)/2))+SQRT(1-'Control Room'!$B$9^2)*(AH285-IF('Control Room'!$B$5="Normal",'Control Room'!$B$7,('Control Room'!$B$8+'Control Room'!$D$8)/2))</x:f>
        <x:v>974.4907309134882</x:v>
      </x:c>
      <x:c r="AJ285" s="17" t="n">
        <x:f>IF(AND($A285&gt;='Control Room'!$A$13,$A285&lt;'Control Room'!$A$13+'Control Room'!$B$13,'Process'!BQ2=1),1+('Control Room'!$C$13-1)*EXP(-0.5*(($A285-'Control Room'!$A$13-('Control Room'!$B$13-1)/2)/MAX(0.5,'Control Room'!$B$13/4))^2),1)*IF(AND($A285&gt;='Control Room'!$A$14,$A285&lt;'Control Room'!$A$14+'Control Room'!$B$14,'Process'!BQ3=1),1+('Control Room'!$C$14-1)*EXP(-0.5*(($A285-'Control Room'!$A$14-('Control Room'!$B$14-1)/2)/MAX(0.5,'Control Room'!$B$14/4))^2),1)*IF(AND($A285&gt;='Control Room'!$A$15,$A285&lt;'Control Room'!$A$15+'Control Room'!$B$15,'Process'!BQ4=1),1+('Control Room'!$C$15-1)*EXP(-0.5*(($A285-'Control Room'!$A$15-('Control Room'!$B$15-1)/2)/MAX(0.5,'Control Room'!$B$15/4))^2),1)*IF(AND($A285&gt;='Control Room'!$A$16,$A285&lt;'Control Room'!$A$16+'Control Room'!$B$16,'Process'!BQ5=1),1+('Control Room'!$C$16-1)*EXP(-0.5*(($A285-'Control Room'!$A$16-('Control Room'!$B$16-1)/2)/MAX(0.5,'Control Room'!$B$16/4))^2),1)</x:f>
        <x:v>1</x:v>
      </x:c>
      <x:c r="AK285" s="9" t="n">
        <x:f>MOD(AL284*16807,2147483647)</x:f>
        <x:v>1232180786</x:v>
      </x:c>
      <x:c r="AL285" s="9" t="n">
        <x:f>MOD(AK285*16807,2147483647)</x:f>
        <x:v>1077662281</x:v>
      </x:c>
      <x:c r="AM285" s="17" t="n">
        <x:f>IF('Control Room'!$B$5="Normal",'Control Room'!$B$7+'Control Room'!$D$7*SQRT(-2*LN(MAX(0.000000000001,AK285/2147483647)))*COS(2*PI()*AL285/2147483647),'Control Room'!$B$8+('Control Room'!$D$8-'Control Room'!$B$8)*AK285/2147483647)</x:f>
        <x:v>905.1417013465598</x:v>
      </x:c>
      <x:c r="AN285" s="17" t="n">
        <x:f>IF('Control Room'!$B$5="Normal",'Control Room'!$B$7,('Control Room'!$B$8+'Control Room'!$D$8)/2)+'Control Room'!$B$9*(AN284-IF('Control Room'!$B$5="Normal",'Control Room'!$B$7,('Control Room'!$B$8+'Control Room'!$D$8)/2))+SQRT(1-'Control Room'!$B$9^2)*(AM285-IF('Control Room'!$B$5="Normal",'Control Room'!$B$7,('Control Room'!$B$8+'Control Room'!$D$8)/2))</x:f>
        <x:v>906.1920284451448</x:v>
      </x:c>
      <x:c r="AO285" s="17" t="n">
        <x:f>IF(AND($A285&gt;='Control Room'!$A$13,$A285&lt;'Control Room'!$A$13+'Control Room'!$B$13,'Process'!BR2=1),1+('Control Room'!$C$13-1)*EXP(-0.5*(($A285-'Control Room'!$A$13-('Control Room'!$B$13-1)/2)/MAX(0.5,'Control Room'!$B$13/4))^2),1)*IF(AND($A285&gt;='Control Room'!$A$14,$A285&lt;'Control Room'!$A$14+'Control Room'!$B$14,'Process'!BR3=1),1+('Control Room'!$C$14-1)*EXP(-0.5*(($A285-'Control Room'!$A$14-('Control Room'!$B$14-1)/2)/MAX(0.5,'Control Room'!$B$14/4))^2),1)*IF(AND($A285&gt;='Control Room'!$A$15,$A285&lt;'Control Room'!$A$15+'Control Room'!$B$15,'Process'!BR4=1),1+('Control Room'!$C$15-1)*EXP(-0.5*(($A285-'Control Room'!$A$15-('Control Room'!$B$15-1)/2)/MAX(0.5,'Control Room'!$B$15/4))^2),1)*IF(AND($A285&gt;='Control Room'!$A$16,$A285&lt;'Control Room'!$A$16+'Control Room'!$B$16,'Process'!BR5=1),1+('Control Room'!$C$16-1)*EXP(-0.5*(($A285-'Control Room'!$A$16-('Control Room'!$B$16-1)/2)/MAX(0.5,'Control Room'!$B$16/4))^2),1)</x:f>
        <x:v>1</x:v>
      </x:c>
      <x:c r="AP285" s="9" t="n">
        <x:f>MOD(AQ284*16807,2147483647)</x:f>
        <x:v>397076907</x:v>
      </x:c>
      <x:c r="AQ285" s="9" t="n">
        <x:f>MOD(AP285*16807,2147483647)</x:f>
        <x:v>1439884720</x:v>
      </x:c>
      <x:c r="AR285" s="17" t="n">
        <x:f>IF('Control Room'!$B$5="Normal",'Control Room'!$B$7+'Control Room'!$D$7*SQRT(-2*LN(MAX(0.000000000001,AP285/2147483647)))*COS(2*PI()*AQ285/2147483647),'Control Room'!$B$8+('Control Room'!$D$8-'Control Room'!$B$8)*AP285/2147483647)</x:f>
        <x:v>920.7909483100879</x:v>
      </x:c>
      <x:c r="AS285" s="17" t="n">
        <x:f>IF('Control Room'!$B$5="Normal",'Control Room'!$B$7,('Control Room'!$B$8+'Control Room'!$D$8)/2)+'Control Room'!$B$9*(AS284-IF('Control Room'!$B$5="Normal",'Control Room'!$B$7,('Control Room'!$B$8+'Control Room'!$D$8)/2))+SQRT(1-'Control Room'!$B$9^2)*(AR285-IF('Control Room'!$B$5="Normal",'Control Room'!$B$7,('Control Room'!$B$8+'Control Room'!$D$8)/2))</x:f>
        <x:v>958.235216620726</x:v>
      </x:c>
      <x:c r="AT285" s="17" t="n">
        <x:f>IF(AND($A285&gt;='Control Room'!$A$13,$A285&lt;'Control Room'!$A$13+'Control Room'!$B$13,'Process'!BS2=1),1+('Control Room'!$C$13-1)*EXP(-0.5*(($A285-'Control Room'!$A$13-('Control Room'!$B$13-1)/2)/MAX(0.5,'Control Room'!$B$13/4))^2),1)*IF(AND($A285&gt;='Control Room'!$A$14,$A285&lt;'Control Room'!$A$14+'Control Room'!$B$14,'Process'!BS3=1),1+('Control Room'!$C$14-1)*EXP(-0.5*(($A285-'Control Room'!$A$14-('Control Room'!$B$14-1)/2)/MAX(0.5,'Control Room'!$B$14/4))^2),1)*IF(AND($A285&gt;='Control Room'!$A$15,$A285&lt;'Control Room'!$A$15+'Control Room'!$B$15,'Process'!BS4=1),1+('Control Room'!$C$15-1)*EXP(-0.5*(($A285-'Control Room'!$A$15-('Control Room'!$B$15-1)/2)/MAX(0.5,'Control Room'!$B$15/4))^2),1)*IF(AND($A285&gt;='Control Room'!$A$16,$A285&lt;'Control Room'!$A$16+'Control Room'!$B$16,'Process'!BS5=1),1+('Control Room'!$C$16-1)*EXP(-0.5*(($A285-'Control Room'!$A$16-('Control Room'!$B$16-1)/2)/MAX(0.5,'Control Room'!$B$16/4))^2),1)</x:f>
        <x:v>1</x:v>
      </x:c>
      <x:c r="AU285" s="9" t="n">
        <x:f>MOD(AV284*16807,2147483647)</x:f>
        <x:v>1709456675</x:v>
      </x:c>
      <x:c r="AV285" s="9" t="n">
        <x:f>MOD(AU285*16807,2147483647)</x:f>
        <x:v>1802107159</x:v>
      </x:c>
      <x:c r="AW285" s="17" t="n">
        <x:f>IF('Control Room'!$B$5="Normal",'Control Room'!$B$7+'Control Room'!$D$7*SQRT(-2*LN(MAX(0.000000000001,AU285/2147483647)))*COS(2*PI()*AV285/2147483647),'Control Room'!$B$8+('Control Room'!$D$8-'Control Room'!$B$8)*AU285/2147483647)</x:f>
        <x:v>1032.30590362897</x:v>
      </x:c>
      <x:c r="AX285" s="17" t="n">
        <x:f>IF('Control Room'!$B$5="Normal",'Control Room'!$B$7,('Control Room'!$B$8+'Control Room'!$D$8)/2)+'Control Room'!$B$9*(AX284-IF('Control Room'!$B$5="Normal",'Control Room'!$B$7,('Control Room'!$B$8+'Control Room'!$D$8)/2))+SQRT(1-'Control Room'!$B$9^2)*(AW285-IF('Control Room'!$B$5="Normal",'Control Room'!$B$7,('Control Room'!$B$8+'Control Room'!$D$8)/2))</x:f>
        <x:v>1117.029080727777</x:v>
      </x:c>
      <x:c r="AY285" s="17" t="n">
        <x:f>IF(AND($A285&gt;='Control Room'!$A$13,$A285&lt;'Control Room'!$A$13+'Control Room'!$B$13,'Process'!BT2=1),1+('Control Room'!$C$13-1)*EXP(-0.5*(($A285-'Control Room'!$A$13-('Control Room'!$B$13-1)/2)/MAX(0.5,'Control Room'!$B$13/4))^2),1)*IF(AND($A285&gt;='Control Room'!$A$14,$A285&lt;'Control Room'!$A$14+'Control Room'!$B$14,'Process'!BT3=1),1+('Control Room'!$C$14-1)*EXP(-0.5*(($A285-'Control Room'!$A$14-('Control Room'!$B$14-1)/2)/MAX(0.5,'Control Room'!$B$14/4))^2),1)*IF(AND($A285&gt;='Control Room'!$A$15,$A285&lt;'Control Room'!$A$15+'Control Room'!$B$15,'Process'!BT4=1),1+('Control Room'!$C$15-1)*EXP(-0.5*(($A285-'Control Room'!$A$15-('Control Room'!$B$15-1)/2)/MAX(0.5,'Control Room'!$B$15/4))^2),1)*IF(AND($A285&gt;='Control Room'!$A$16,$A285&lt;'Control Room'!$A$16+'Control Room'!$B$16,'Process'!BT5=1),1+('Control Room'!$C$16-1)*EXP(-0.5*(($A285-'Control Room'!$A$16-('Control Room'!$B$16-1)/2)/MAX(0.5,'Control Room'!$B$16/4))^2),1)</x:f>
        <x:v>1</x:v>
      </x:c>
      <x:c r="AZ285" s="9" t="n">
        <x:f>MOD(BA284*16807,2147483647)</x:f>
        <x:v>874352796</x:v>
      </x:c>
      <x:c r="BA285" s="9" t="n">
        <x:f>MOD(AZ285*16807,2147483647)</x:f>
        <x:v>16845951</x:v>
      </x:c>
      <x:c r="BB285" s="17" t="n">
        <x:f>IF('Control Room'!$B$5="Normal",'Control Room'!$B$7+'Control Room'!$D$7*SQRT(-2*LN(MAX(0.000000000001,AZ285/2147483647)))*COS(2*PI()*BA285/2147483647),'Control Room'!$B$8+('Control Room'!$D$8-'Control Room'!$B$8)*AZ285/2147483647)</x:f>
        <x:v>1120.5050538495614</x:v>
      </x:c>
      <x:c r="BC285" s="17" t="n">
        <x:f>IF('Control Room'!$B$5="Normal",'Control Room'!$B$7,('Control Room'!$B$8+'Control Room'!$D$8)/2)+'Control Room'!$B$9*(BC284-IF('Control Room'!$B$5="Normal",'Control Room'!$B$7,('Control Room'!$B$8+'Control Room'!$D$8)/2))+SQRT(1-'Control Room'!$B$9^2)*(BB285-IF('Control Room'!$B$5="Normal",'Control Room'!$B$7,('Control Room'!$B$8+'Control Room'!$D$8)/2))</x:f>
        <x:v>1059.6073154618318</x:v>
      </x:c>
      <x:c r="BD285" s="17" t="n">
        <x:f>IF(AND($A285&gt;='Control Room'!$A$13,$A285&lt;'Control Room'!$A$13+'Control Room'!$B$13,'Process'!BU2=1),1+('Control Room'!$C$13-1)*EXP(-0.5*(($A285-'Control Room'!$A$13-('Control Room'!$B$13-1)/2)/MAX(0.5,'Control Room'!$B$13/4))^2),1)*IF(AND($A285&gt;='Control Room'!$A$14,$A285&lt;'Control Room'!$A$14+'Control Room'!$B$14,'Process'!BU3=1),1+('Control Room'!$C$14-1)*EXP(-0.5*(($A285-'Control Room'!$A$14-('Control Room'!$B$14-1)/2)/MAX(0.5,'Control Room'!$B$14/4))^2),1)*IF(AND($A285&gt;='Control Room'!$A$15,$A285&lt;'Control Room'!$A$15+'Control Room'!$B$15,'Process'!BU4=1),1+('Control Room'!$C$15-1)*EXP(-0.5*(($A285-'Control Room'!$A$15-('Control Room'!$B$15-1)/2)/MAX(0.5,'Control Room'!$B$15/4))^2),1)*IF(AND($A285&gt;='Control Room'!$A$16,$A285&lt;'Control Room'!$A$16+'Control Room'!$B$16,'Process'!BU5=1),1+('Control Room'!$C$16-1)*EXP(-0.5*(($A285-'Control Room'!$A$16-('Control Room'!$B$16-1)/2)/MAX(0.5,'Control Room'!$B$16/4))^2),1)</x:f>
        <x:v>1</x:v>
      </x:c>
      <x:c r="BE285" s="9" t="n">
        <x:f>MOD(BF284*16807,2147483647)</x:f>
        <x:v>39248917</x:v>
      </x:c>
      <x:c r="BF285" s="9" t="n">
        <x:f>MOD(BE285*16807,2147483647)</x:f>
        <x:v>379068390</x:v>
      </x:c>
      <x:c r="BG285" s="17" t="n">
        <x:f>IF('Control Room'!$B$5="Normal",'Control Room'!$B$7+'Control Room'!$D$7*SQRT(-2*LN(MAX(0.000000000001,BE285/2147483647)))*COS(2*PI()*BF285/2147483647),'Control Room'!$B$8+('Control Room'!$D$8-'Control Room'!$B$8)*BE285/2147483647)</x:f>
        <x:v>1113.4294891302045</x:v>
      </x:c>
      <x:c r="BH285" s="17" t="n">
        <x:f>IF('Control Room'!$B$5="Normal",'Control Room'!$B$7,('Control Room'!$B$8+'Control Room'!$D$8)/2)+'Control Room'!$B$9*(BH284-IF('Control Room'!$B$5="Normal",'Control Room'!$B$7,('Control Room'!$B$8+'Control Room'!$D$8)/2))+SQRT(1-'Control Room'!$B$9^2)*(BG285-IF('Control Room'!$B$5="Normal",'Control Room'!$B$7,('Control Room'!$B$8+'Control Room'!$D$8)/2))</x:f>
        <x:v>1115.4785123353724</x:v>
      </x:c>
      <x:c r="BI285" s="17" t="n">
        <x:f>IF(AND($A285&gt;='Control Room'!$A$13,$A285&lt;'Control Room'!$A$13+'Control Room'!$B$13,'Process'!BV2=1),1+('Control Room'!$C$13-1)*EXP(-0.5*(($A285-'Control Room'!$A$13-('Control Room'!$B$13-1)/2)/MAX(0.5,'Control Room'!$B$13/4))^2),1)*IF(AND($A285&gt;='Control Room'!$A$14,$A285&lt;'Control Room'!$A$14+'Control Room'!$B$14,'Process'!BV3=1),1+('Control Room'!$C$14-1)*EXP(-0.5*(($A285-'Control Room'!$A$14-('Control Room'!$B$14-1)/2)/MAX(0.5,'Control Room'!$B$14/4))^2),1)*IF(AND($A285&gt;='Control Room'!$A$15,$A285&lt;'Control Room'!$A$15+'Control Room'!$B$15,'Process'!BV4=1),1+('Control Room'!$C$15-1)*EXP(-0.5*(($A285-'Control Room'!$A$15-('Control Room'!$B$15-1)/2)/MAX(0.5,'Control Room'!$B$15/4))^2),1)*IF(AND($A285&gt;='Control Room'!$A$16,$A285&lt;'Control Room'!$A$16+'Control Room'!$B$16,'Process'!BV5=1),1+('Control Room'!$C$16-1)*EXP(-0.5*(($A285-'Control Room'!$A$16-('Control Room'!$B$16-1)/2)/MAX(0.5,'Control Room'!$B$16/4))^2),1)</x:f>
        <x:v>1</x:v>
      </x:c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Z285" t="str">
        <x:f>IF('Data'!A285="","",TEXT('Data'!A285,"mm-dd"))</x:f>
      </x:c>
    </x:row>
    <x:row r="286" ht="21" customHeight="1">
      <x:c r="A286" s="15" t="n">
        <x:f>'Control Room'!$B$1+284</x:f>
        <x:v>73275</x:v>
      </x:c>
      <x:c r="B286" s="9" t="n">
        <x:f>MOD(C285*16807,2147483647)</x:f>
        <x:v>2098126773</x:v>
      </x:c>
      <x:c r="C286" s="9" t="n">
        <x:f>MOD(B286*16807,2147483647)</x:f>
        <x:v>1535190071</x:v>
      </x:c>
      <x:c r="D286" s="17" t="n">
        <x:f>IF('Control Room'!$B$5="Normal",'Control Room'!$B$7+'Control Room'!$D$7*SQRT(-2*LN(MAX(0.000000000001,B286/2147483647)))*COS(2*PI()*C286/2147483647),'Control Room'!$B$8+('Control Room'!$D$8-'Control Room'!$B$8)*B286/2147483647)</x:f>
        <x:v>995.7517765188567</x:v>
      </x:c>
      <x:c r="E286" s="17" t="n">
        <x:f>IF('Control Room'!$B$5="Normal",'Control Room'!$B$7,('Control Room'!$B$8+'Control Room'!$D$8)/2)+'Control Room'!$B$9*(E285-IF('Control Room'!$B$5="Normal",'Control Room'!$B$7,('Control Room'!$B$8+'Control Room'!$D$8)/2))+SQRT(1-'Control Room'!$B$9^2)*(D286-IF('Control Room'!$B$5="Normal",'Control Room'!$B$7,('Control Room'!$B$8+'Control Room'!$D$8)/2))</x:f>
        <x:v>1026.5087936444922</x:v>
      </x:c>
      <x:c r="F286" s="17" t="n">
        <x:f>IF(AND($A286&gt;='Control Room'!$A$13,$A286&lt;'Control Room'!$A$13+'Control Room'!$B$13,'Process'!BK2=1),1+('Control Room'!$C$13-1)*EXP(-0.5*(($A286-'Control Room'!$A$13-('Control Room'!$B$13-1)/2)/MAX(0.5,'Control Room'!$B$13/4))^2),1)*IF(AND($A286&gt;='Control Room'!$A$14,$A286&lt;'Control Room'!$A$14+'Control Room'!$B$14,'Process'!BK3=1),1+('Control Room'!$C$14-1)*EXP(-0.5*(($A286-'Control Room'!$A$14-('Control Room'!$B$14-1)/2)/MAX(0.5,'Control Room'!$B$14/4))^2),1)*IF(AND($A286&gt;='Control Room'!$A$15,$A286&lt;'Control Room'!$A$15+'Control Room'!$B$15,'Process'!BK4=1),1+('Control Room'!$C$15-1)*EXP(-0.5*(($A286-'Control Room'!$A$15-('Control Room'!$B$15-1)/2)/MAX(0.5,'Control Room'!$B$15/4))^2),1)*IF(AND($A286&gt;='Control Room'!$A$16,$A286&lt;'Control Room'!$A$16+'Control Room'!$B$16,'Process'!BK5=1),1+('Control Room'!$C$16-1)*EXP(-0.5*(($A286-'Control Room'!$A$16-('Control Room'!$B$16-1)/2)/MAX(0.5,'Control Room'!$B$16/4))^2),1)</x:f>
        <x:v>1</x:v>
      </x:c>
      <x:c r="G286" s="9" t="n">
        <x:f>MOD(H285*16807,2147483647)</x:f>
        <x:v>1854519801</x:v>
      </x:c>
      <x:c r="H286" s="9" t="n">
        <x:f>MOD(G286*16807,2147483647)</x:f>
        <x:v>336642849</x:v>
      </x:c>
      <x:c r="I286" s="17" t="n">
        <x:f>IF('Control Room'!$B$5="Normal",'Control Room'!$B$7+'Control Room'!$D$7*SQRT(-2*LN(MAX(0.000000000001,G286/2147483647)))*COS(2*PI()*H286/2147483647),'Control Room'!$B$8+('Control Room'!$D$8-'Control Room'!$B$8)*G286/2147483647)</x:f>
        <x:v>1026.9508326607502</x:v>
      </x:c>
      <x:c r="J286" s="17" t="n">
        <x:f>IF('Control Room'!$B$5="Normal",'Control Room'!$B$7,('Control Room'!$B$8+'Control Room'!$D$8)/2)+'Control Room'!$B$9*(J285-IF('Control Room'!$B$5="Normal",'Control Room'!$B$7,('Control Room'!$B$8+'Control Room'!$D$8)/2))+SQRT(1-'Control Room'!$B$9^2)*(I286-IF('Control Room'!$B$5="Normal",'Control Room'!$B$7,('Control Room'!$B$8+'Control Room'!$D$8)/2))</x:f>
        <x:v>1066.6451393092261</x:v>
      </x:c>
      <x:c r="K286" s="17" t="n">
        <x:f>IF(AND($A286&gt;='Control Room'!$A$13,$A286&lt;'Control Room'!$A$13+'Control Room'!$B$13,'Process'!BL2=1),1+('Control Room'!$C$13-1)*EXP(-0.5*(($A286-'Control Room'!$A$13-('Control Room'!$B$13-1)/2)/MAX(0.5,'Control Room'!$B$13/4))^2),1)*IF(AND($A286&gt;='Control Room'!$A$14,$A286&lt;'Control Room'!$A$14+'Control Room'!$B$14,'Process'!BL3=1),1+('Control Room'!$C$14-1)*EXP(-0.5*(($A286-'Control Room'!$A$14-('Control Room'!$B$14-1)/2)/MAX(0.5,'Control Room'!$B$14/4))^2),1)*IF(AND($A286&gt;='Control Room'!$A$15,$A286&lt;'Control Room'!$A$15+'Control Room'!$B$15,'Process'!BL4=1),1+('Control Room'!$C$15-1)*EXP(-0.5*(($A286-'Control Room'!$A$15-('Control Room'!$B$15-1)/2)/MAX(0.5,'Control Room'!$B$15/4))^2),1)*IF(AND($A286&gt;='Control Room'!$A$16,$A286&lt;'Control Room'!$A$16+'Control Room'!$B$16,'Process'!BL5=1),1+('Control Room'!$C$16-1)*EXP(-0.5*(($A286-'Control Room'!$A$16-('Control Room'!$B$16-1)/2)/MAX(0.5,'Control Room'!$B$16/4))^2),1)</x:f>
        <x:v>1</x:v>
      </x:c>
      <x:c r="L286" s="9" t="n">
        <x:f>MOD(M285*16807,2147483647)</x:f>
        <x:v>1610912829</x:v>
      </x:c>
      <x:c r="M286" s="9" t="n">
        <x:f>MOD(L286*16807,2147483647)</x:f>
        <x:v>1285579274</x:v>
      </x:c>
      <x:c r="N286" s="17" t="n">
        <x:f>IF('Control Room'!$B$5="Normal",'Control Room'!$B$7+'Control Room'!$D$7*SQRT(-2*LN(MAX(0.000000000001,L286/2147483647)))*COS(2*PI()*M286/2147483647),'Control Room'!$B$8+('Control Room'!$D$8-'Control Room'!$B$8)*L286/2147483647)</x:f>
        <x:v>944.4486950484011</x:v>
      </x:c>
      <x:c r="O286" s="17" t="n">
        <x:f>IF('Control Room'!$B$5="Normal",'Control Room'!$B$7,('Control Room'!$B$8+'Control Room'!$D$8)/2)+'Control Room'!$B$9*(O285-IF('Control Room'!$B$5="Normal",'Control Room'!$B$7,('Control Room'!$B$8+'Control Room'!$D$8)/2))+SQRT(1-'Control Room'!$B$9^2)*(N286-IF('Control Room'!$B$5="Normal",'Control Room'!$B$7,('Control Room'!$B$8+'Control Room'!$D$8)/2))</x:f>
        <x:v>1029.5068229719077</x:v>
      </x:c>
      <x:c r="P286" s="17" t="n">
        <x:f>IF(AND($A286&gt;='Control Room'!$A$13,$A286&lt;'Control Room'!$A$13+'Control Room'!$B$13,'Process'!BM2=1),1+('Control Room'!$C$13-1)*EXP(-0.5*(($A286-'Control Room'!$A$13-('Control Room'!$B$13-1)/2)/MAX(0.5,'Control Room'!$B$13/4))^2),1)*IF(AND($A286&gt;='Control Room'!$A$14,$A286&lt;'Control Room'!$A$14+'Control Room'!$B$14,'Process'!BM3=1),1+('Control Room'!$C$14-1)*EXP(-0.5*(($A286-'Control Room'!$A$14-('Control Room'!$B$14-1)/2)/MAX(0.5,'Control Room'!$B$14/4))^2),1)*IF(AND($A286&gt;='Control Room'!$A$15,$A286&lt;'Control Room'!$A$15+'Control Room'!$B$15,'Process'!BM4=1),1+('Control Room'!$C$15-1)*EXP(-0.5*(($A286-'Control Room'!$A$15-('Control Room'!$B$15-1)/2)/MAX(0.5,'Control Room'!$B$15/4))^2),1)*IF(AND($A286&gt;='Control Room'!$A$16,$A286&lt;'Control Room'!$A$16+'Control Room'!$B$16,'Process'!BM5=1),1+('Control Room'!$C$16-1)*EXP(-0.5*(($A286-'Control Room'!$A$16-('Control Room'!$B$16-1)/2)/MAX(0.5,'Control Room'!$B$16/4))^2),1)</x:f>
        <x:v>1</x:v>
      </x:c>
      <x:c r="Q286" s="9" t="n">
        <x:f>MOD(R285*16807,2147483647)</x:f>
        <x:v>1367305857</x:v>
      </x:c>
      <x:c r="R286" s="9" t="n">
        <x:f>MOD(Q286*16807,2147483647)</x:f>
        <x:v>87032052</x:v>
      </x:c>
      <x:c r="S286" s="17" t="n">
        <x:f>IF('Control Room'!$B$5="Normal",'Control Room'!$B$7+'Control Room'!$D$7*SQRT(-2*LN(MAX(0.000000000001,Q286/2147483647)))*COS(2*PI()*R286/2147483647),'Control Room'!$B$8+('Control Room'!$D$8-'Control Room'!$B$8)*Q286/2147483647)</x:f>
        <x:v>1082.7616830566433</x:v>
      </x:c>
      <x:c r="T286" s="17" t="n">
        <x:f>IF('Control Room'!$B$5="Normal",'Control Room'!$B$7,('Control Room'!$B$8+'Control Room'!$D$8)/2)+'Control Room'!$B$9*(T285-IF('Control Room'!$B$5="Normal",'Control Room'!$B$7,('Control Room'!$B$8+'Control Room'!$D$8)/2))+SQRT(1-'Control Room'!$B$9^2)*(S286-IF('Control Room'!$B$5="Normal",'Control Room'!$B$7,('Control Room'!$B$8+'Control Room'!$D$8)/2))</x:f>
        <x:v>1126.0515879952118</x:v>
      </x:c>
      <x:c r="U286" s="17" t="n">
        <x:f>IF(AND($A286&gt;='Control Room'!$A$13,$A286&lt;'Control Room'!$A$13+'Control Room'!$B$13,'Process'!BN2=1),1+('Control Room'!$C$13-1)*EXP(-0.5*(($A286-'Control Room'!$A$13-('Control Room'!$B$13-1)/2)/MAX(0.5,'Control Room'!$B$13/4))^2),1)*IF(AND($A286&gt;='Control Room'!$A$14,$A286&lt;'Control Room'!$A$14+'Control Room'!$B$14,'Process'!BN3=1),1+('Control Room'!$C$14-1)*EXP(-0.5*(($A286-'Control Room'!$A$14-('Control Room'!$B$14-1)/2)/MAX(0.5,'Control Room'!$B$14/4))^2),1)*IF(AND($A286&gt;='Control Room'!$A$15,$A286&lt;'Control Room'!$A$15+'Control Room'!$B$15,'Process'!BN4=1),1+('Control Room'!$C$15-1)*EXP(-0.5*(($A286-'Control Room'!$A$15-('Control Room'!$B$15-1)/2)/MAX(0.5,'Control Room'!$B$15/4))^2),1)*IF(AND($A286&gt;='Control Room'!$A$16,$A286&lt;'Control Room'!$A$16+'Control Room'!$B$16,'Process'!BN5=1),1+('Control Room'!$C$16-1)*EXP(-0.5*(($A286-'Control Room'!$A$16-('Control Room'!$B$16-1)/2)/MAX(0.5,'Control Room'!$B$16/4))^2),1)</x:f>
        <x:v>1</x:v>
      </x:c>
      <x:c r="V286" s="9" t="n">
        <x:f>MOD(W285*16807,2147483647)</x:f>
        <x:v>1123698885</x:v>
      </x:c>
      <x:c r="W286" s="9" t="n">
        <x:f>MOD(V286*16807,2147483647)</x:f>
        <x:v>1035968477</x:v>
      </x:c>
      <x:c r="X286" s="17" t="n">
        <x:f>IF('Control Room'!$B$5="Normal",'Control Room'!$B$7+'Control Room'!$D$7*SQRT(-2*LN(MAX(0.000000000001,V286/2147483647)))*COS(2*PI()*W286/2147483647),'Control Room'!$B$8+('Control Room'!$D$8-'Control Room'!$B$8)*V286/2147483647)</x:f>
        <x:v>898.1931547022914</x:v>
      </x:c>
      <x:c r="Y286" s="17" t="n">
        <x:f>IF('Control Room'!$B$5="Normal",'Control Room'!$B$7,('Control Room'!$B$8+'Control Room'!$D$8)/2)+'Control Room'!$B$9*(Y285-IF('Control Room'!$B$5="Normal",'Control Room'!$B$7,('Control Room'!$B$8+'Control Room'!$D$8)/2))+SQRT(1-'Control Room'!$B$9^2)*(X286-IF('Control Room'!$B$5="Normal",'Control Room'!$B$7,('Control Room'!$B$8+'Control Room'!$D$8)/2))</x:f>
        <x:v>973.0601665083029</x:v>
      </x:c>
      <x:c r="Z286" s="17" t="n">
        <x:f>IF(AND($A286&gt;='Control Room'!$A$13,$A286&lt;'Control Room'!$A$13+'Control Room'!$B$13,'Process'!BO2=1),1+('Control Room'!$C$13-1)*EXP(-0.5*(($A286-'Control Room'!$A$13-('Control Room'!$B$13-1)/2)/MAX(0.5,'Control Room'!$B$13/4))^2),1)*IF(AND($A286&gt;='Control Room'!$A$14,$A286&lt;'Control Room'!$A$14+'Control Room'!$B$14,'Process'!BO3=1),1+('Control Room'!$C$14-1)*EXP(-0.5*(($A286-'Control Room'!$A$14-('Control Room'!$B$14-1)/2)/MAX(0.5,'Control Room'!$B$14/4))^2),1)*IF(AND($A286&gt;='Control Room'!$A$15,$A286&lt;'Control Room'!$A$15+'Control Room'!$B$15,'Process'!BO4=1),1+('Control Room'!$C$15-1)*EXP(-0.5*(($A286-'Control Room'!$A$15-('Control Room'!$B$15-1)/2)/MAX(0.5,'Control Room'!$B$15/4))^2),1)*IF(AND($A286&gt;='Control Room'!$A$16,$A286&lt;'Control Room'!$A$16+'Control Room'!$B$16,'Process'!BO5=1),1+('Control Room'!$C$16-1)*EXP(-0.5*(($A286-'Control Room'!$A$16-('Control Room'!$B$16-1)/2)/MAX(0.5,'Control Room'!$B$16/4))^2),1)</x:f>
        <x:v>1</x:v>
      </x:c>
      <x:c r="AA286" s="9" t="n">
        <x:f>MOD(AB285*16807,2147483647)</x:f>
        <x:v>880091913</x:v>
      </x:c>
      <x:c r="AB286" s="9" t="n">
        <x:f>MOD(AA286*16807,2147483647)</x:f>
        <x:v>1984904902</x:v>
      </x:c>
      <x:c r="AC286" s="17" t="n">
        <x:f>IF('Control Room'!$B$5="Normal",'Control Room'!$B$7+'Control Room'!$D$7*SQRT(-2*LN(MAX(0.000000000001,AA286/2147483647)))*COS(2*PI()*AB286/2147483647),'Control Room'!$B$8+('Control Room'!$D$8-'Control Room'!$B$8)*AA286/2147483647)</x:f>
        <x:v>1106.8659127002588</x:v>
      </x:c>
      <x:c r="AD286" s="17" t="n">
        <x:f>IF('Control Room'!$B$5="Normal",'Control Room'!$B$7,('Control Room'!$B$8+'Control Room'!$D$8)/2)+'Control Room'!$B$9*(AD285-IF('Control Room'!$B$5="Normal",'Control Room'!$B$7,('Control Room'!$B$8+'Control Room'!$D$8)/2))+SQRT(1-'Control Room'!$B$9^2)*(AC286-IF('Control Room'!$B$5="Normal",'Control Room'!$B$7,('Control Room'!$B$8+'Control Room'!$D$8)/2))</x:f>
        <x:v>1109.5635582136615</x:v>
      </x:c>
      <x:c r="AE286" s="17" t="n">
        <x:f>IF(AND($A286&gt;='Control Room'!$A$13,$A286&lt;'Control Room'!$A$13+'Control Room'!$B$13,'Process'!BP2=1),1+('Control Room'!$C$13-1)*EXP(-0.5*(($A286-'Control Room'!$A$13-('Control Room'!$B$13-1)/2)/MAX(0.5,'Control Room'!$B$13/4))^2),1)*IF(AND($A286&gt;='Control Room'!$A$14,$A286&lt;'Control Room'!$A$14+'Control Room'!$B$14,'Process'!BP3=1),1+('Control Room'!$C$14-1)*EXP(-0.5*(($A286-'Control Room'!$A$14-('Control Room'!$B$14-1)/2)/MAX(0.5,'Control Room'!$B$14/4))^2),1)*IF(AND($A286&gt;='Control Room'!$A$15,$A286&lt;'Control Room'!$A$15+'Control Room'!$B$15,'Process'!BP4=1),1+('Control Room'!$C$15-1)*EXP(-0.5*(($A286-'Control Room'!$A$15-('Control Room'!$B$15-1)/2)/MAX(0.5,'Control Room'!$B$15/4))^2),1)*IF(AND($A286&gt;='Control Room'!$A$16,$A286&lt;'Control Room'!$A$16+'Control Room'!$B$16,'Process'!BP5=1),1+('Control Room'!$C$16-1)*EXP(-0.5*(($A286-'Control Room'!$A$16-('Control Room'!$B$16-1)/2)/MAX(0.5,'Control Room'!$B$16/4))^2),1)</x:f>
        <x:v>1</x:v>
      </x:c>
      <x:c r="AF286" s="9" t="n">
        <x:f>MOD(AG285*16807,2147483647)</x:f>
        <x:v>636484941</x:v>
      </x:c>
      <x:c r="AG286" s="9" t="n">
        <x:f>MOD(AF286*16807,2147483647)</x:f>
        <x:v>786357680</x:v>
      </x:c>
      <x:c r="AH286" s="17" t="n">
        <x:f>IF('Control Room'!$B$5="Normal",'Control Room'!$B$7+'Control Room'!$D$7*SQRT(-2*LN(MAX(0.000000000001,AF286/2147483647)))*COS(2*PI()*AG286/2147483647),'Control Room'!$B$8+('Control Room'!$D$8-'Control Room'!$B$8)*AF286/2147483647)</x:f>
        <x:v>906.4032288384493</x:v>
      </x:c>
      <x:c r="AI286" s="17" t="n">
        <x:f>IF('Control Room'!$B$5="Normal",'Control Room'!$B$7,('Control Room'!$B$8+'Control Room'!$D$8)/2)+'Control Room'!$B$9*(AI285-IF('Control Room'!$B$5="Normal",'Control Room'!$B$7,('Control Room'!$B$8+'Control Room'!$D$8)/2))+SQRT(1-'Control Room'!$B$9^2)*(AH286-IF('Control Room'!$B$5="Normal",'Control Room'!$B$7,('Control Room'!$B$8+'Control Room'!$D$8)/2))</x:f>
        <x:v>921.5318281537013</x:v>
      </x:c>
      <x:c r="AJ286" s="17" t="n">
        <x:f>IF(AND($A286&gt;='Control Room'!$A$13,$A286&lt;'Control Room'!$A$13+'Control Room'!$B$13,'Process'!BQ2=1),1+('Control Room'!$C$13-1)*EXP(-0.5*(($A286-'Control Room'!$A$13-('Control Room'!$B$13-1)/2)/MAX(0.5,'Control Room'!$B$13/4))^2),1)*IF(AND($A286&gt;='Control Room'!$A$14,$A286&lt;'Control Room'!$A$14+'Control Room'!$B$14,'Process'!BQ3=1),1+('Control Room'!$C$14-1)*EXP(-0.5*(($A286-'Control Room'!$A$14-('Control Room'!$B$14-1)/2)/MAX(0.5,'Control Room'!$B$14/4))^2),1)*IF(AND($A286&gt;='Control Room'!$A$15,$A286&lt;'Control Room'!$A$15+'Control Room'!$B$15,'Process'!BQ4=1),1+('Control Room'!$C$15-1)*EXP(-0.5*(($A286-'Control Room'!$A$15-('Control Room'!$B$15-1)/2)/MAX(0.5,'Control Room'!$B$15/4))^2),1)*IF(AND($A286&gt;='Control Room'!$A$16,$A286&lt;'Control Room'!$A$16+'Control Room'!$B$16,'Process'!BQ5=1),1+('Control Room'!$C$16-1)*EXP(-0.5*(($A286-'Control Room'!$A$16-('Control Room'!$B$16-1)/2)/MAX(0.5,'Control Room'!$B$16/4))^2),1)</x:f>
        <x:v>1</x:v>
      </x:c>
      <x:c r="AK286" s="9" t="n">
        <x:f>MOD(AL285*16807,2147483647)</x:f>
        <x:v>392877969</x:v>
      </x:c>
      <x:c r="AL286" s="9" t="n">
        <x:f>MOD(AK286*16807,2147483647)</x:f>
        <x:v>1735294105</x:v>
      </x:c>
      <x:c r="AM286" s="17" t="n">
        <x:f>IF('Control Room'!$B$5="Normal",'Control Room'!$B$7+'Control Room'!$D$7*SQRT(-2*LN(MAX(0.000000000001,AK286/2147483647)))*COS(2*PI()*AL286/2147483647),'Control Room'!$B$8+('Control Room'!$D$8-'Control Room'!$B$8)*AK286/2147483647)</x:f>
        <x:v>1059.1797456228403</x:v>
      </x:c>
      <x:c r="AN286" s="17" t="n">
        <x:f>IF('Control Room'!$B$5="Normal",'Control Room'!$B$7,('Control Room'!$B$8+'Control Room'!$D$8)/2)+'Control Room'!$B$9*(AN285-IF('Control Room'!$B$5="Normal",'Control Room'!$B$7,('Control Room'!$B$8+'Control Room'!$D$8)/2))+SQRT(1-'Control Room'!$B$9^2)*(AM286-IF('Control Room'!$B$5="Normal",'Control Room'!$B$7,('Control Room'!$B$8+'Control Room'!$D$8)/2))</x:f>
        <x:v>963.8632546349995</x:v>
      </x:c>
      <x:c r="AO286" s="17" t="n">
        <x:f>IF(AND($A286&gt;='Control Room'!$A$13,$A286&lt;'Control Room'!$A$13+'Control Room'!$B$13,'Process'!BR2=1),1+('Control Room'!$C$13-1)*EXP(-0.5*(($A286-'Control Room'!$A$13-('Control Room'!$B$13-1)/2)/MAX(0.5,'Control Room'!$B$13/4))^2),1)*IF(AND($A286&gt;='Control Room'!$A$14,$A286&lt;'Control Room'!$A$14+'Control Room'!$B$14,'Process'!BR3=1),1+('Control Room'!$C$14-1)*EXP(-0.5*(($A286-'Control Room'!$A$14-('Control Room'!$B$14-1)/2)/MAX(0.5,'Control Room'!$B$14/4))^2),1)*IF(AND($A286&gt;='Control Room'!$A$15,$A286&lt;'Control Room'!$A$15+'Control Room'!$B$15,'Process'!BR4=1),1+('Control Room'!$C$15-1)*EXP(-0.5*(($A286-'Control Room'!$A$15-('Control Room'!$B$15-1)/2)/MAX(0.5,'Control Room'!$B$15/4))^2),1)*IF(AND($A286&gt;='Control Room'!$A$16,$A286&lt;'Control Room'!$A$16+'Control Room'!$B$16,'Process'!BR5=1),1+('Control Room'!$C$16-1)*EXP(-0.5*(($A286-'Control Room'!$A$16-('Control Room'!$B$16-1)/2)/MAX(0.5,'Control Room'!$B$16/4))^2),1)</x:f>
        <x:v>1</x:v>
      </x:c>
      <x:c r="AP286" s="9" t="n">
        <x:f>MOD(AQ285*16807,2147483647)</x:f>
        <x:v>149270997</x:v>
      </x:c>
      <x:c r="AQ286" s="9" t="n">
        <x:f>MOD(AP286*16807,2147483647)</x:f>
        <x:v>536746883</x:v>
      </x:c>
      <x:c r="AR286" s="17" t="n">
        <x:f>IF('Control Room'!$B$5="Normal",'Control Room'!$B$7+'Control Room'!$D$7*SQRT(-2*LN(MAX(0.000000000001,AP286/2147483647)))*COS(2*PI()*AQ286/2147483647),'Control Room'!$B$8+('Control Room'!$D$8-'Control Room'!$B$8)*AP286/2147483647)</x:f>
        <x:v>1000.0754194648462</x:v>
      </x:c>
      <x:c r="AS286" s="17" t="n">
        <x:f>IF('Control Room'!$B$5="Normal",'Control Room'!$B$7,('Control Room'!$B$8+'Control Room'!$D$8)/2)+'Control Room'!$B$9*(AS285-IF('Control Room'!$B$5="Normal",'Control Room'!$B$7,('Control Room'!$B$8+'Control Room'!$D$8)/2))+SQRT(1-'Control Room'!$B$9^2)*(AR286-IF('Control Room'!$B$5="Normal",'Control Room'!$B$7,('Control Room'!$B$8+'Control Room'!$D$8)/2))</x:f>
        <x:v>967.4706649202152</x:v>
      </x:c>
      <x:c r="AT286" s="17" t="n">
        <x:f>IF(AND($A286&gt;='Control Room'!$A$13,$A286&lt;'Control Room'!$A$13+'Control Room'!$B$13,'Process'!BS2=1),1+('Control Room'!$C$13-1)*EXP(-0.5*(($A286-'Control Room'!$A$13-('Control Room'!$B$13-1)/2)/MAX(0.5,'Control Room'!$B$13/4))^2),1)*IF(AND($A286&gt;='Control Room'!$A$14,$A286&lt;'Control Room'!$A$14+'Control Room'!$B$14,'Process'!BS3=1),1+('Control Room'!$C$14-1)*EXP(-0.5*(($A286-'Control Room'!$A$14-('Control Room'!$B$14-1)/2)/MAX(0.5,'Control Room'!$B$14/4))^2),1)*IF(AND($A286&gt;='Control Room'!$A$15,$A286&lt;'Control Room'!$A$15+'Control Room'!$B$15,'Process'!BS4=1),1+('Control Room'!$C$15-1)*EXP(-0.5*(($A286-'Control Room'!$A$15-('Control Room'!$B$15-1)/2)/MAX(0.5,'Control Room'!$B$15/4))^2),1)*IF(AND($A286&gt;='Control Room'!$A$16,$A286&lt;'Control Room'!$A$16+'Control Room'!$B$16,'Process'!BS5=1),1+('Control Room'!$C$16-1)*EXP(-0.5*(($A286-'Control Room'!$A$16-('Control Room'!$B$16-1)/2)/MAX(0.5,'Control Room'!$B$16/4))^2),1)</x:f>
        <x:v>1</x:v>
      </x:c>
      <x:c r="AU286" s="9" t="n">
        <x:f>MOD(AV285*16807,2147483647)</x:f>
        <x:v>2053147672</x:v>
      </x:c>
      <x:c r="AV286" s="9" t="n">
        <x:f>MOD(AU286*16807,2147483647)</x:f>
        <x:v>1485683308</x:v>
      </x:c>
      <x:c r="AW286" s="17" t="n">
        <x:f>IF('Control Room'!$B$5="Normal",'Control Room'!$B$7+'Control Room'!$D$7*SQRT(-2*LN(MAX(0.000000000001,AU286/2147483647)))*COS(2*PI()*AV286/2147483647),'Control Room'!$B$8+('Control Room'!$D$8-'Control Room'!$B$8)*AU286/2147483647)</x:f>
        <x:v>990.3574718277964</x:v>
      </x:c>
      <x:c r="AX286" s="17" t="n">
        <x:f>IF('Control Room'!$B$5="Normal",'Control Room'!$B$7,('Control Room'!$B$8+'Control Room'!$D$8)/2)+'Control Room'!$B$9*(AX285-IF('Control Room'!$B$5="Normal",'Control Room'!$B$7,('Control Room'!$B$8+'Control Room'!$D$8)/2))+SQRT(1-'Control Room'!$B$9^2)*(AW286-IF('Control Room'!$B$5="Normal",'Control Room'!$B$7,('Control Room'!$B$8+'Control Room'!$D$8)/2))</x:f>
        <x:v>1085.2485863754277</x:v>
      </x:c>
      <x:c r="AY286" s="17" t="n">
        <x:f>IF(AND($A286&gt;='Control Room'!$A$13,$A286&lt;'Control Room'!$A$13+'Control Room'!$B$13,'Process'!BT2=1),1+('Control Room'!$C$13-1)*EXP(-0.5*(($A286-'Control Room'!$A$13-('Control Room'!$B$13-1)/2)/MAX(0.5,'Control Room'!$B$13/4))^2),1)*IF(AND($A286&gt;='Control Room'!$A$14,$A286&lt;'Control Room'!$A$14+'Control Room'!$B$14,'Process'!BT3=1),1+('Control Room'!$C$14-1)*EXP(-0.5*(($A286-'Control Room'!$A$14-('Control Room'!$B$14-1)/2)/MAX(0.5,'Control Room'!$B$14/4))^2),1)*IF(AND($A286&gt;='Control Room'!$A$15,$A286&lt;'Control Room'!$A$15+'Control Room'!$B$15,'Process'!BT4=1),1+('Control Room'!$C$15-1)*EXP(-0.5*(($A286-'Control Room'!$A$15-('Control Room'!$B$15-1)/2)/MAX(0.5,'Control Room'!$B$15/4))^2),1)*IF(AND($A286&gt;='Control Room'!$A$16,$A286&lt;'Control Room'!$A$16+'Control Room'!$B$16,'Process'!BT5=1),1+('Control Room'!$C$16-1)*EXP(-0.5*(($A286-'Control Room'!$A$16-('Control Room'!$B$16-1)/2)/MAX(0.5,'Control Room'!$B$16/4))^2),1)</x:f>
        <x:v>1</x:v>
      </x:c>
      <x:c r="AZ286" s="9" t="n">
        <x:f>MOD(BA285*16807,2147483647)</x:f>
        <x:v>1809540700</x:v>
      </x:c>
      <x:c r="BA286" s="9" t="n">
        <x:f>MOD(AZ286*16807,2147483647)</x:f>
        <x:v>287136086</x:v>
      </x:c>
      <x:c r="BB286" s="17" t="n">
        <x:f>IF('Control Room'!$B$5="Normal",'Control Room'!$B$7+'Control Room'!$D$7*SQRT(-2*LN(MAX(0.000000000001,AZ286/2147483647)))*COS(2*PI()*BA286/2147483647),'Control Room'!$B$8+('Control Room'!$D$8-'Control Room'!$B$8)*AZ286/2147483647)</x:f>
        <x:v>1035.1488975637217</x:v>
      </x:c>
      <x:c r="BC286" s="17" t="n">
        <x:f>IF('Control Room'!$B$5="Normal",'Control Room'!$B$7,('Control Room'!$B$8+'Control Room'!$D$8)/2)+'Control Room'!$B$9*(BC285-IF('Control Room'!$B$5="Normal",'Control Room'!$B$7,('Control Room'!$B$8+'Control Room'!$D$8)/2))+SQRT(1-'Control Room'!$B$9^2)*(BB286-IF('Control Room'!$B$5="Normal",'Control Room'!$B$7,('Control Room'!$B$8+'Control Room'!$D$8)/2))</x:f>
        <x:v>1068.4891660913001</x:v>
      </x:c>
      <x:c r="BD286" s="17" t="n">
        <x:f>IF(AND($A286&gt;='Control Room'!$A$13,$A286&lt;'Control Room'!$A$13+'Control Room'!$B$13,'Process'!BU2=1),1+('Control Room'!$C$13-1)*EXP(-0.5*(($A286-'Control Room'!$A$13-('Control Room'!$B$13-1)/2)/MAX(0.5,'Control Room'!$B$13/4))^2),1)*IF(AND($A286&gt;='Control Room'!$A$14,$A286&lt;'Control Room'!$A$14+'Control Room'!$B$14,'Process'!BU3=1),1+('Control Room'!$C$14-1)*EXP(-0.5*(($A286-'Control Room'!$A$14-('Control Room'!$B$14-1)/2)/MAX(0.5,'Control Room'!$B$14/4))^2),1)*IF(AND($A286&gt;='Control Room'!$A$15,$A286&lt;'Control Room'!$A$15+'Control Room'!$B$15,'Process'!BU4=1),1+('Control Room'!$C$15-1)*EXP(-0.5*(($A286-'Control Room'!$A$15-('Control Room'!$B$15-1)/2)/MAX(0.5,'Control Room'!$B$15/4))^2),1)*IF(AND($A286&gt;='Control Room'!$A$16,$A286&lt;'Control Room'!$A$16+'Control Room'!$B$16,'Process'!BU5=1),1+('Control Room'!$C$16-1)*EXP(-0.5*(($A286-'Control Room'!$A$16-('Control Room'!$B$16-1)/2)/MAX(0.5,'Control Room'!$B$16/4))^2),1)</x:f>
        <x:v>1</x:v>
      </x:c>
      <x:c r="BE286" s="9" t="n">
        <x:f>MOD(BF285*16807,2147483647)</x:f>
        <x:v>1565933728</x:v>
      </x:c>
      <x:c r="BF286" s="9" t="n">
        <x:f>MOD(BE286*16807,2147483647)</x:f>
        <x:v>1236072511</x:v>
      </x:c>
      <x:c r="BG286" s="17" t="n">
        <x:f>IF('Control Room'!$B$5="Normal",'Control Room'!$B$7+'Control Room'!$D$7*SQRT(-2*LN(MAX(0.000000000001,BE286/2147483647)))*COS(2*PI()*BF286/2147483647),'Control Room'!$B$8+('Control Room'!$D$8-'Control Room'!$B$8)*BE286/2147483647)</x:f>
        <x:v>936.3895066674392</x:v>
      </x:c>
      <x:c r="BH286" s="17" t="n">
        <x:f>IF('Control Room'!$B$5="Normal",'Control Room'!$B$7,('Control Room'!$B$8+'Control Room'!$D$8)/2)+'Control Room'!$B$9*(BH285-IF('Control Room'!$B$5="Normal",'Control Room'!$B$7,('Control Room'!$B$8+'Control Room'!$D$8)/2))+SQRT(1-'Control Room'!$B$9^2)*(BG286-IF('Control Room'!$B$5="Normal",'Control Room'!$B$7,('Control Room'!$B$8+'Control Room'!$D$8)/2))</x:f>
        <x:v>1050.2670960258615</x:v>
      </x:c>
      <x:c r="BI286" s="17" t="n">
        <x:f>IF(AND($A286&gt;='Control Room'!$A$13,$A286&lt;'Control Room'!$A$13+'Control Room'!$B$13,'Process'!BV2=1),1+('Control Room'!$C$13-1)*EXP(-0.5*(($A286-'Control Room'!$A$13-('Control Room'!$B$13-1)/2)/MAX(0.5,'Control Room'!$B$13/4))^2),1)*IF(AND($A286&gt;='Control Room'!$A$14,$A286&lt;'Control Room'!$A$14+'Control Room'!$B$14,'Process'!BV3=1),1+('Control Room'!$C$14-1)*EXP(-0.5*(($A286-'Control Room'!$A$14-('Control Room'!$B$14-1)/2)/MAX(0.5,'Control Room'!$B$14/4))^2),1)*IF(AND($A286&gt;='Control Room'!$A$15,$A286&lt;'Control Room'!$A$15+'Control Room'!$B$15,'Process'!BV4=1),1+('Control Room'!$C$15-1)*EXP(-0.5*(($A286-'Control Room'!$A$15-('Control Room'!$B$15-1)/2)/MAX(0.5,'Control Room'!$B$15/4))^2),1)*IF(AND($A286&gt;='Control Room'!$A$16,$A286&lt;'Control Room'!$A$16+'Control Room'!$B$16,'Process'!BV5=1),1+('Control Room'!$C$16-1)*EXP(-0.5*(($A286-'Control Room'!$A$16-('Control Room'!$B$16-1)/2)/MAX(0.5,'Control Room'!$B$16/4))^2),1)</x:f>
        <x:v>1</x:v>
      </x:c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Z286" t="str">
        <x:f>IF('Data'!A286="","",TEXT('Data'!A286,"mm-dd"))</x:f>
      </x:c>
    </x:row>
    <x:row r="287" ht="21" customHeight="1">
      <x:c r="A287" s="15" t="n">
        <x:f>'Control Room'!$B$1+285</x:f>
        <x:v>73276</x:v>
      </x:c>
      <x:c r="B287" s="9" t="n">
        <x:f>MOD(C286*16807,2147483647)</x:f>
        <x:v>2070988239</x:v>
      </x:c>
      <x:c r="C287" s="9" t="n">
        <x:f>MOD(B287*16807,2147483647)</x:f>
        <x:v>684382297</x:v>
      </x:c>
      <x:c r="D287" s="17" t="n">
        <x:f>IF('Control Room'!$B$5="Normal",'Control Room'!$B$7+'Control Room'!$D$7*SQRT(-2*LN(MAX(0.000000000001,B287/2147483647)))*COS(2*PI()*C287/2147483647),'Control Room'!$B$8+('Control Room'!$D$8-'Control Room'!$B$8)*B287/2147483647)</x:f>
        <x:v>989.8598516273984</x:v>
      </x:c>
      <x:c r="E287" s="17" t="n">
        <x:f>IF('Control Room'!$B$5="Normal",'Control Room'!$B$7,('Control Room'!$B$8+'Control Room'!$D$8)/2)+'Control Room'!$B$9*(E286-IF('Control Room'!$B$5="Normal",'Control Room'!$B$7,('Control Room'!$B$8+'Control Room'!$D$8)/2))+SQRT(1-'Control Room'!$B$9^2)*(D287-IF('Control Room'!$B$5="Normal",'Control Room'!$B$7,('Control Room'!$B$8+'Control Room'!$D$8)/2))</x:f>
        <x:v>1014.3313619233605</x:v>
      </x:c>
      <x:c r="F287" s="17" t="n">
        <x:f>IF(AND($A287&gt;='Control Room'!$A$13,$A287&lt;'Control Room'!$A$13+'Control Room'!$B$13,'Process'!BK2=1),1+('Control Room'!$C$13-1)*EXP(-0.5*(($A287-'Control Room'!$A$13-('Control Room'!$B$13-1)/2)/MAX(0.5,'Control Room'!$B$13/4))^2),1)*IF(AND($A287&gt;='Control Room'!$A$14,$A287&lt;'Control Room'!$A$14+'Control Room'!$B$14,'Process'!BK3=1),1+('Control Room'!$C$14-1)*EXP(-0.5*(($A287-'Control Room'!$A$14-('Control Room'!$B$14-1)/2)/MAX(0.5,'Control Room'!$B$14/4))^2),1)*IF(AND($A287&gt;='Control Room'!$A$15,$A287&lt;'Control Room'!$A$15+'Control Room'!$B$15,'Process'!BK4=1),1+('Control Room'!$C$15-1)*EXP(-0.5*(($A287-'Control Room'!$A$15-('Control Room'!$B$15-1)/2)/MAX(0.5,'Control Room'!$B$15/4))^2),1)*IF(AND($A287&gt;='Control Room'!$A$16,$A287&lt;'Control Room'!$A$16+'Control Room'!$B$16,'Process'!BK5=1),1+('Control Room'!$C$16-1)*EXP(-0.5*(($A287-'Control Room'!$A$16-('Control Room'!$B$16-1)/2)/MAX(0.5,'Control Room'!$B$16/4))^2),1)</x:f>
        <x:v>1</x:v>
      </x:c>
      <x:c r="G287" s="9" t="n">
        <x:f>MOD(H286*16807,2147483647)</x:f>
        <x:v>1484436945</x:v>
      </x:c>
      <x:c r="H287" s="9" t="n">
        <x:f>MOD(G287*16807,2147483647)</x:f>
        <x:v>1614207416</x:v>
      </x:c>
      <x:c r="I287" s="17" t="n">
        <x:f>IF('Control Room'!$B$5="Normal",'Control Room'!$B$7+'Control Room'!$D$7*SQRT(-2*LN(MAX(0.000000000001,G287/2147483647)))*COS(2*PI()*H287/2147483647),'Control Room'!$B$8+('Control Room'!$D$8-'Control Room'!$B$8)*G287/2147483647)</x:f>
        <x:v>1000.8134421647641</x:v>
      </x:c>
      <x:c r="J287" s="17" t="n">
        <x:f>IF('Control Room'!$B$5="Normal",'Control Room'!$B$7,('Control Room'!$B$8+'Control Room'!$D$8)/2)+'Control Room'!$B$9*(J286-IF('Control Room'!$B$5="Normal",'Control Room'!$B$7,('Control Room'!$B$8+'Control Room'!$D$8)/2))+SQRT(1-'Control Room'!$B$9^2)*(I287-IF('Control Room'!$B$5="Normal",'Control Room'!$B$7,('Control Room'!$B$8+'Control Room'!$D$8)/2))</x:f>
        <x:v>1052.4922441036372</x:v>
      </x:c>
      <x:c r="K287" s="17" t="n">
        <x:f>IF(AND($A287&gt;='Control Room'!$A$13,$A287&lt;'Control Room'!$A$13+'Control Room'!$B$13,'Process'!BL2=1),1+('Control Room'!$C$13-1)*EXP(-0.5*(($A287-'Control Room'!$A$13-('Control Room'!$B$13-1)/2)/MAX(0.5,'Control Room'!$B$13/4))^2),1)*IF(AND($A287&gt;='Control Room'!$A$14,$A287&lt;'Control Room'!$A$14+'Control Room'!$B$14,'Process'!BL3=1),1+('Control Room'!$C$14-1)*EXP(-0.5*(($A287-'Control Room'!$A$14-('Control Room'!$B$14-1)/2)/MAX(0.5,'Control Room'!$B$14/4))^2),1)*IF(AND($A287&gt;='Control Room'!$A$15,$A287&lt;'Control Room'!$A$15+'Control Room'!$B$15,'Process'!BL4=1),1+('Control Room'!$C$15-1)*EXP(-0.5*(($A287-'Control Room'!$A$15-('Control Room'!$B$15-1)/2)/MAX(0.5,'Control Room'!$B$15/4))^2),1)*IF(AND($A287&gt;='Control Room'!$A$16,$A287&lt;'Control Room'!$A$16+'Control Room'!$B$16,'Process'!BL5=1),1+('Control Room'!$C$16-1)*EXP(-0.5*(($A287-'Control Room'!$A$16-('Control Room'!$B$16-1)/2)/MAX(0.5,'Control Room'!$B$16/4))^2),1)</x:f>
        <x:v>1</x:v>
      </x:c>
      <x:c r="L287" s="9" t="n">
        <x:f>MOD(M286*16807,2147483647)</x:f>
        <x:v>897885651</x:v>
      </x:c>
      <x:c r="M287" s="9" t="n">
        <x:f>MOD(L287*16807,2147483647)</x:f>
        <x:v>396548888</x:v>
      </x:c>
      <x:c r="N287" s="17" t="n">
        <x:f>IF('Control Room'!$B$5="Normal",'Control Room'!$B$7+'Control Room'!$D$7*SQRT(-2*LN(MAX(0.000000000001,L287/2147483647)))*COS(2*PI()*M287/2147483647),'Control Room'!$B$8+('Control Room'!$D$8-'Control Room'!$B$8)*L287/2147483647)</x:f>
        <x:v>1047.4377320831536</x:v>
      </x:c>
      <x:c r="O287" s="17" t="n">
        <x:f>IF('Control Room'!$B$5="Normal",'Control Room'!$B$7,('Control Room'!$B$8+'Control Room'!$D$8)/2)+'Control Room'!$B$9*(O286-IF('Control Room'!$B$5="Normal",'Control Room'!$B$7,('Control Room'!$B$8+'Control Room'!$D$8)/2))+SQRT(1-'Control Room'!$B$9^2)*(N287-IF('Control Room'!$B$5="Normal",'Control Room'!$B$7,('Control Room'!$B$8+'Control Room'!$D$8)/2))</x:f>
        <x:v>1052.700882840961</x:v>
      </x:c>
      <x:c r="P287" s="17" t="n">
        <x:f>IF(AND($A287&gt;='Control Room'!$A$13,$A287&lt;'Control Room'!$A$13+'Control Room'!$B$13,'Process'!BM2=1),1+('Control Room'!$C$13-1)*EXP(-0.5*(($A287-'Control Room'!$A$13-('Control Room'!$B$13-1)/2)/MAX(0.5,'Control Room'!$B$13/4))^2),1)*IF(AND($A287&gt;='Control Room'!$A$14,$A287&lt;'Control Room'!$A$14+'Control Room'!$B$14,'Process'!BM3=1),1+('Control Room'!$C$14-1)*EXP(-0.5*(($A287-'Control Room'!$A$14-('Control Room'!$B$14-1)/2)/MAX(0.5,'Control Room'!$B$14/4))^2),1)*IF(AND($A287&gt;='Control Room'!$A$15,$A287&lt;'Control Room'!$A$15+'Control Room'!$B$15,'Process'!BM4=1),1+('Control Room'!$C$15-1)*EXP(-0.5*(($A287-'Control Room'!$A$15-('Control Room'!$B$15-1)/2)/MAX(0.5,'Control Room'!$B$15/4))^2),1)*IF(AND($A287&gt;='Control Room'!$A$16,$A287&lt;'Control Room'!$A$16+'Control Room'!$B$16,'Process'!BM5=1),1+('Control Room'!$C$16-1)*EXP(-0.5*(($A287-'Control Room'!$A$16-('Control Room'!$B$16-1)/2)/MAX(0.5,'Control Room'!$B$16/4))^2),1)</x:f>
        <x:v>1</x:v>
      </x:c>
      <x:c r="Q287" s="9" t="n">
        <x:f>MOD(R286*16807,2147483647)</x:f>
        <x:v>311334357</x:v>
      </x:c>
      <x:c r="R287" s="9" t="n">
        <x:f>MOD(Q287*16807,2147483647)</x:f>
        <x:v>1326374007</x:v>
      </x:c>
      <x:c r="S287" s="17" t="n">
        <x:f>IF('Control Room'!$B$5="Normal",'Control Room'!$B$7+'Control Room'!$D$7*SQRT(-2*LN(MAX(0.000000000001,Q287/2147483647)))*COS(2*PI()*R287/2147483647),'Control Room'!$B$8+('Control Room'!$D$8-'Control Room'!$B$8)*Q287/2147483647)</x:f>
        <x:v>869.2823947292769</x:v>
      </x:c>
      <x:c r="T287" s="17" t="n">
        <x:f>IF('Control Room'!$B$5="Normal",'Control Room'!$B$7,('Control Room'!$B$8+'Control Room'!$D$8)/2)+'Control Room'!$B$9*(T286-IF('Control Room'!$B$5="Normal",'Control Room'!$B$7,('Control Room'!$B$8+'Control Room'!$D$8)/2))+SQRT(1-'Control Room'!$B$9^2)*(S287-IF('Control Room'!$B$5="Normal",'Control Room'!$B$7,('Control Room'!$B$8+'Control Room'!$D$8)/2))</x:f>
        <x:v>1016.5198391535473</x:v>
      </x:c>
      <x:c r="U287" s="17" t="n">
        <x:f>IF(AND($A287&gt;='Control Room'!$A$13,$A287&lt;'Control Room'!$A$13+'Control Room'!$B$13,'Process'!BN2=1),1+('Control Room'!$C$13-1)*EXP(-0.5*(($A287-'Control Room'!$A$13-('Control Room'!$B$13-1)/2)/MAX(0.5,'Control Room'!$B$13/4))^2),1)*IF(AND($A287&gt;='Control Room'!$A$14,$A287&lt;'Control Room'!$A$14+'Control Room'!$B$14,'Process'!BN3=1),1+('Control Room'!$C$14-1)*EXP(-0.5*(($A287-'Control Room'!$A$14-('Control Room'!$B$14-1)/2)/MAX(0.5,'Control Room'!$B$14/4))^2),1)*IF(AND($A287&gt;='Control Room'!$A$15,$A287&lt;'Control Room'!$A$15+'Control Room'!$B$15,'Process'!BN4=1),1+('Control Room'!$C$15-1)*EXP(-0.5*(($A287-'Control Room'!$A$15-('Control Room'!$B$15-1)/2)/MAX(0.5,'Control Room'!$B$15/4))^2),1)*IF(AND($A287&gt;='Control Room'!$A$16,$A287&lt;'Control Room'!$A$16+'Control Room'!$B$16,'Process'!BN5=1),1+('Control Room'!$C$16-1)*EXP(-0.5*(($A287-'Control Room'!$A$16-('Control Room'!$B$16-1)/2)/MAX(0.5,'Control Room'!$B$16/4))^2),1)</x:f>
        <x:v>1</x:v>
      </x:c>
      <x:c r="V287" s="9" t="n">
        <x:f>MOD(W286*16807,2147483647)</x:f>
        <x:v>1872266710</x:v>
      </x:c>
      <x:c r="W287" s="9" t="n">
        <x:f>MOD(V287*16807,2147483647)</x:f>
        <x:v>108715479</x:v>
      </x:c>
      <x:c r="X287" s="17" t="n">
        <x:f>IF('Control Room'!$B$5="Normal",'Control Room'!$B$7+'Control Room'!$D$7*SQRT(-2*LN(MAX(0.000000000001,V287/2147483647)))*COS(2*PI()*W287/2147483647),'Control Room'!$B$8+('Control Room'!$D$8-'Control Room'!$B$8)*V287/2147483647)</x:f>
        <x:v>1044.7712667465337</x:v>
      </x:c>
      <x:c r="Y287" s="17" t="n">
        <x:f>IF('Control Room'!$B$5="Normal",'Control Room'!$B$7,('Control Room'!$B$8+'Control Room'!$D$8)/2)+'Control Room'!$B$9*(Y286-IF('Control Room'!$B$5="Normal",'Control Room'!$B$7,('Control Room'!$B$8+'Control Room'!$D$8)/2))+SQRT(1-'Control Room'!$B$9^2)*(X287-IF('Control Room'!$B$5="Normal",'Control Room'!$B$7,('Control Room'!$B$8+'Control Room'!$D$8)/2))</x:f>
        <x:v>1007.0038714172041</x:v>
      </x:c>
      <x:c r="Z287" s="17" t="n">
        <x:f>IF(AND($A287&gt;='Control Room'!$A$13,$A287&lt;'Control Room'!$A$13+'Control Room'!$B$13,'Process'!BO2=1),1+('Control Room'!$C$13-1)*EXP(-0.5*(($A287-'Control Room'!$A$13-('Control Room'!$B$13-1)/2)/MAX(0.5,'Control Room'!$B$13/4))^2),1)*IF(AND($A287&gt;='Control Room'!$A$14,$A287&lt;'Control Room'!$A$14+'Control Room'!$B$14,'Process'!BO3=1),1+('Control Room'!$C$14-1)*EXP(-0.5*(($A287-'Control Room'!$A$14-('Control Room'!$B$14-1)/2)/MAX(0.5,'Control Room'!$B$14/4))^2),1)*IF(AND($A287&gt;='Control Room'!$A$15,$A287&lt;'Control Room'!$A$15+'Control Room'!$B$15,'Process'!BO4=1),1+('Control Room'!$C$15-1)*EXP(-0.5*(($A287-'Control Room'!$A$15-('Control Room'!$B$15-1)/2)/MAX(0.5,'Control Room'!$B$15/4))^2),1)*IF(AND($A287&gt;='Control Room'!$A$16,$A287&lt;'Control Room'!$A$16+'Control Room'!$B$16,'Process'!BO5=1),1+('Control Room'!$C$16-1)*EXP(-0.5*(($A287-'Control Room'!$A$16-('Control Room'!$B$16-1)/2)/MAX(0.5,'Control Room'!$B$16/4))^2),1)</x:f>
        <x:v>1</x:v>
      </x:c>
      <x:c r="AA287" s="9" t="n">
        <x:f>MOD(AB286*16807,2147483647)</x:f>
        <x:v>1285715416</x:v>
      </x:c>
      <x:c r="AB287" s="9" t="n">
        <x:f>MOD(AA287*16807,2147483647)</x:f>
        <x:v>1038540598</x:v>
      </x:c>
      <x:c r="AC287" s="17" t="n">
        <x:f>IF('Control Room'!$B$5="Normal",'Control Room'!$B$7+'Control Room'!$D$7*SQRT(-2*LN(MAX(0.000000000001,AA287/2147483647)))*COS(2*PI()*AB287/2147483647),'Control Room'!$B$8+('Control Room'!$D$8-'Control Room'!$B$8)*AA287/2147483647)</x:f>
        <x:v>909.3222256157394</x:v>
      </x:c>
      <x:c r="AD287" s="17" t="n">
        <x:f>IF('Control Room'!$B$5="Normal",'Control Room'!$B$7,('Control Room'!$B$8+'Control Room'!$D$8)/2)+'Control Room'!$B$9*(AD286-IF('Control Room'!$B$5="Normal",'Control Room'!$B$7,('Control Room'!$B$8+'Control Room'!$D$8)/2))+SQRT(1-'Control Room'!$B$9^2)*(AC287-IF('Control Room'!$B$5="Normal",'Control Room'!$B$7,('Control Room'!$B$8+'Control Room'!$D$8)/2))</x:f>
        <x:v>1028.7152818321656</x:v>
      </x:c>
      <x:c r="AE287" s="17" t="n">
        <x:f>IF(AND($A287&gt;='Control Room'!$A$13,$A287&lt;'Control Room'!$A$13+'Control Room'!$B$13,'Process'!BP2=1),1+('Control Room'!$C$13-1)*EXP(-0.5*(($A287-'Control Room'!$A$13-('Control Room'!$B$13-1)/2)/MAX(0.5,'Control Room'!$B$13/4))^2),1)*IF(AND($A287&gt;='Control Room'!$A$14,$A287&lt;'Control Room'!$A$14+'Control Room'!$B$14,'Process'!BP3=1),1+('Control Room'!$C$14-1)*EXP(-0.5*(($A287-'Control Room'!$A$14-('Control Room'!$B$14-1)/2)/MAX(0.5,'Control Room'!$B$14/4))^2),1)*IF(AND($A287&gt;='Control Room'!$A$15,$A287&lt;'Control Room'!$A$15+'Control Room'!$B$15,'Process'!BP4=1),1+('Control Room'!$C$15-1)*EXP(-0.5*(($A287-'Control Room'!$A$15-('Control Room'!$B$15-1)/2)/MAX(0.5,'Control Room'!$B$15/4))^2),1)*IF(AND($A287&gt;='Control Room'!$A$16,$A287&lt;'Control Room'!$A$16+'Control Room'!$B$16,'Process'!BP5=1),1+('Control Room'!$C$16-1)*EXP(-0.5*(($A287-'Control Room'!$A$16-('Control Room'!$B$16-1)/2)/MAX(0.5,'Control Room'!$B$16/4))^2),1)</x:f>
        <x:v>1</x:v>
      </x:c>
      <x:c r="AF287" s="9" t="n">
        <x:f>MOD(AG286*16807,2147483647)</x:f>
        <x:v>699164122</x:v>
      </x:c>
      <x:c r="AG287" s="9" t="n">
        <x:f>MOD(AF287*16807,2147483647)</x:f>
        <x:v>1968365717</x:v>
      </x:c>
      <x:c r="AH287" s="17" t="n">
        <x:f>IF('Control Room'!$B$5="Normal",'Control Room'!$B$7+'Control Room'!$D$7*SQRT(-2*LN(MAX(0.000000000001,AF287/2147483647)))*COS(2*PI()*AG287/2147483647),'Control Room'!$B$8+('Control Room'!$D$8-'Control Room'!$B$8)*AF287/2147483647)</x:f>
        <x:v>1116.7343438077735</x:v>
      </x:c>
      <x:c r="AI287" s="17" t="n">
        <x:f>IF('Control Room'!$B$5="Normal",'Control Room'!$B$7,('Control Room'!$B$8+'Control Room'!$D$8)/2)+'Control Room'!$B$9*(AI286-IF('Control Room'!$B$5="Normal",'Control Room'!$B$7,('Control Room'!$B$8+'Control Room'!$D$8)/2))+SQRT(1-'Control Room'!$B$9^2)*(AH287-IF('Control Room'!$B$5="Normal",'Control Room'!$B$7,('Control Room'!$B$8+'Control Room'!$D$8)/2))</x:f>
        <x:v>1011.8447868817728</x:v>
      </x:c>
      <x:c r="AJ287" s="17" t="n">
        <x:f>IF(AND($A287&gt;='Control Room'!$A$13,$A287&lt;'Control Room'!$A$13+'Control Room'!$B$13,'Process'!BQ2=1),1+('Control Room'!$C$13-1)*EXP(-0.5*(($A287-'Control Room'!$A$13-('Control Room'!$B$13-1)/2)/MAX(0.5,'Control Room'!$B$13/4))^2),1)*IF(AND($A287&gt;='Control Room'!$A$14,$A287&lt;'Control Room'!$A$14+'Control Room'!$B$14,'Process'!BQ3=1),1+('Control Room'!$C$14-1)*EXP(-0.5*(($A287-'Control Room'!$A$14-('Control Room'!$B$14-1)/2)/MAX(0.5,'Control Room'!$B$14/4))^2),1)*IF(AND($A287&gt;='Control Room'!$A$15,$A287&lt;'Control Room'!$A$15+'Control Room'!$B$15,'Process'!BQ4=1),1+('Control Room'!$C$15-1)*EXP(-0.5*(($A287-'Control Room'!$A$15-('Control Room'!$B$15-1)/2)/MAX(0.5,'Control Room'!$B$15/4))^2),1)*IF(AND($A287&gt;='Control Room'!$A$16,$A287&lt;'Control Room'!$A$16+'Control Room'!$B$16,'Process'!BQ5=1),1+('Control Room'!$C$16-1)*EXP(-0.5*(($A287-'Control Room'!$A$16-('Control Room'!$B$16-1)/2)/MAX(0.5,'Control Room'!$B$16/4))^2),1)</x:f>
        <x:v>1</x:v>
      </x:c>
      <x:c r="AK287" s="9" t="n">
        <x:f>MOD(AL286*16807,2147483647)</x:f>
        <x:v>112612828</x:v>
      </x:c>
      <x:c r="AL287" s="9" t="n">
        <x:f>MOD(AK287*16807,2147483647)</x:f>
        <x:v>750707189</x:v>
      </x:c>
      <x:c r="AM287" s="17" t="n">
        <x:f>IF('Control Room'!$B$5="Normal",'Control Room'!$B$7+'Control Room'!$D$7*SQRT(-2*LN(MAX(0.000000000001,AK287/2147483647)))*COS(2*PI()*AL287/2147483647),'Control Room'!$B$8+('Control Room'!$D$8-'Control Room'!$B$8)*AK287/2147483647)</x:f>
        <x:v>872.0184499287755</x:v>
      </x:c>
      <x:c r="AN287" s="17" t="n">
        <x:f>IF('Control Room'!$B$5="Normal",'Control Room'!$B$7,('Control Room'!$B$8+'Control Room'!$D$8)/2)+'Control Room'!$B$9*(AN286-IF('Control Room'!$B$5="Normal",'Control Room'!$B$7,('Control Room'!$B$8+'Control Room'!$D$8)/2))+SQRT(1-'Control Room'!$B$9^2)*(AM287-IF('Control Room'!$B$5="Normal",'Control Room'!$B$7,('Control Room'!$B$8+'Control Room'!$D$8)/2))</x:f>
        <x:v>891.7251064252904</x:v>
      </x:c>
      <x:c r="AO287" s="17" t="n">
        <x:f>IF(AND($A287&gt;='Control Room'!$A$13,$A287&lt;'Control Room'!$A$13+'Control Room'!$B$13,'Process'!BR2=1),1+('Control Room'!$C$13-1)*EXP(-0.5*(($A287-'Control Room'!$A$13-('Control Room'!$B$13-1)/2)/MAX(0.5,'Control Room'!$B$13/4))^2),1)*IF(AND($A287&gt;='Control Room'!$A$14,$A287&lt;'Control Room'!$A$14+'Control Room'!$B$14,'Process'!BR3=1),1+('Control Room'!$C$14-1)*EXP(-0.5*(($A287-'Control Room'!$A$14-('Control Room'!$B$14-1)/2)/MAX(0.5,'Control Room'!$B$14/4))^2),1)*IF(AND($A287&gt;='Control Room'!$A$15,$A287&lt;'Control Room'!$A$15+'Control Room'!$B$15,'Process'!BR4=1),1+('Control Room'!$C$15-1)*EXP(-0.5*(($A287-'Control Room'!$A$15-('Control Room'!$B$15-1)/2)/MAX(0.5,'Control Room'!$B$15/4))^2),1)*IF(AND($A287&gt;='Control Room'!$A$16,$A287&lt;'Control Room'!$A$16+'Control Room'!$B$16,'Process'!BR5=1),1+('Control Room'!$C$16-1)*EXP(-0.5*(($A287-'Control Room'!$A$16-('Control Room'!$B$16-1)/2)/MAX(0.5,'Control Room'!$B$16/4))^2),1)</x:f>
        <x:v>1</x:v>
      </x:c>
      <x:c r="AP287" s="9" t="n">
        <x:f>MOD(AQ286*16807,2147483647)</x:f>
        <x:v>1673545181</x:v>
      </x:c>
      <x:c r="AQ287" s="9" t="n">
        <x:f>MOD(AP287*16807,2147483647)</x:f>
        <x:v>1680532308</x:v>
      </x:c>
      <x:c r="AR287" s="17" t="n">
        <x:f>IF('Control Room'!$B$5="Normal",'Control Room'!$B$7+'Control Room'!$D$7*SQRT(-2*LN(MAX(0.000000000001,AP287/2147483647)))*COS(2*PI()*AQ287/2147483647),'Control Room'!$B$8+('Control Room'!$D$8-'Control Room'!$B$8)*AP287/2147483647)</x:f>
        <x:v>1012.9115892621238</x:v>
      </x:c>
      <x:c r="AS287" s="17" t="n">
        <x:f>IF('Control Room'!$B$5="Normal",'Control Room'!$B$7,('Control Room'!$B$8+'Control Room'!$D$8)/2)+'Control Room'!$B$9*(AS286-IF('Control Room'!$B$5="Normal",'Control Room'!$B$7,('Control Room'!$B$8+'Control Room'!$D$8)/2))+SQRT(1-'Control Room'!$B$9^2)*(AR287-IF('Control Room'!$B$5="Normal",'Control Room'!$B$7,('Control Room'!$B$8+'Control Room'!$D$8)/2))</x:f>
        <x:v>982.7069266897215</x:v>
      </x:c>
      <x:c r="AT287" s="17" t="n">
        <x:f>IF(AND($A287&gt;='Control Room'!$A$13,$A287&lt;'Control Room'!$A$13+'Control Room'!$B$13,'Process'!BS2=1),1+('Control Room'!$C$13-1)*EXP(-0.5*(($A287-'Control Room'!$A$13-('Control Room'!$B$13-1)/2)/MAX(0.5,'Control Room'!$B$13/4))^2),1)*IF(AND($A287&gt;='Control Room'!$A$14,$A287&lt;'Control Room'!$A$14+'Control Room'!$B$14,'Process'!BS3=1),1+('Control Room'!$C$14-1)*EXP(-0.5*(($A287-'Control Room'!$A$14-('Control Room'!$B$14-1)/2)/MAX(0.5,'Control Room'!$B$14/4))^2),1)*IF(AND($A287&gt;='Control Room'!$A$15,$A287&lt;'Control Room'!$A$15+'Control Room'!$B$15,'Process'!BS4=1),1+('Control Room'!$C$15-1)*EXP(-0.5*(($A287-'Control Room'!$A$15-('Control Room'!$B$15-1)/2)/MAX(0.5,'Control Room'!$B$15/4))^2),1)*IF(AND($A287&gt;='Control Room'!$A$16,$A287&lt;'Control Room'!$A$16+'Control Room'!$B$16,'Process'!BS5=1),1+('Control Room'!$C$16-1)*EXP(-0.5*(($A287-'Control Room'!$A$16-('Control Room'!$B$16-1)/2)/MAX(0.5,'Control Room'!$B$16/4))^2),1)</x:f>
        <x:v>1</x:v>
      </x:c>
      <x:c r="AU287" s="9" t="n">
        <x:f>MOD(AV286*16807,2147483647)</x:f>
        <x:v>1086993887</x:v>
      </x:c>
      <x:c r="AV287" s="9" t="n">
        <x:f>MOD(AU287*16807,2147483647)</x:f>
        <x:v>462873780</x:v>
      </x:c>
      <x:c r="AW287" s="17" t="n">
        <x:f>IF('Control Room'!$B$5="Normal",'Control Room'!$B$7+'Control Room'!$D$7*SQRT(-2*LN(MAX(0.000000000001,AU287/2147483647)))*COS(2*PI()*AV287/2147483647),'Control Room'!$B$8+('Control Room'!$D$8-'Control Room'!$B$8)*AU287/2147483647)</x:f>
        <x:v>1022.5610745014203</x:v>
      </x:c>
      <x:c r="AX287" s="17" t="n">
        <x:f>IF('Control Room'!$B$5="Normal",'Control Room'!$B$7,('Control Room'!$B$8+'Control Room'!$D$8)/2)+'Control Room'!$B$9*(AX286-IF('Control Room'!$B$5="Normal",'Control Room'!$B$7,('Control Room'!$B$8+'Control Room'!$D$8)/2))+SQRT(1-'Control Room'!$B$9^2)*(AW287-IF('Control Room'!$B$5="Normal",'Control Room'!$B$7,('Control Room'!$B$8+'Control Room'!$D$8)/2))</x:f>
        <x:v>1080.612155607089</x:v>
      </x:c>
      <x:c r="AY287" s="17" t="n">
        <x:f>IF(AND($A287&gt;='Control Room'!$A$13,$A287&lt;'Control Room'!$A$13+'Control Room'!$B$13,'Process'!BT2=1),1+('Control Room'!$C$13-1)*EXP(-0.5*(($A287-'Control Room'!$A$13-('Control Room'!$B$13-1)/2)/MAX(0.5,'Control Room'!$B$13/4))^2),1)*IF(AND($A287&gt;='Control Room'!$A$14,$A287&lt;'Control Room'!$A$14+'Control Room'!$B$14,'Process'!BT3=1),1+('Control Room'!$C$14-1)*EXP(-0.5*(($A287-'Control Room'!$A$14-('Control Room'!$B$14-1)/2)/MAX(0.5,'Control Room'!$B$14/4))^2),1)*IF(AND($A287&gt;='Control Room'!$A$15,$A287&lt;'Control Room'!$A$15+'Control Room'!$B$15,'Process'!BT4=1),1+('Control Room'!$C$15-1)*EXP(-0.5*(($A287-'Control Room'!$A$15-('Control Room'!$B$15-1)/2)/MAX(0.5,'Control Room'!$B$15/4))^2),1)*IF(AND($A287&gt;='Control Room'!$A$16,$A287&lt;'Control Room'!$A$16+'Control Room'!$B$16,'Process'!BT5=1),1+('Control Room'!$C$16-1)*EXP(-0.5*(($A287-'Control Room'!$A$16-('Control Room'!$B$16-1)/2)/MAX(0.5,'Control Room'!$B$16/4))^2),1)</x:f>
        <x:v>1</x:v>
      </x:c>
      <x:c r="AZ287" s="9" t="n">
        <x:f>MOD(BA286*16807,2147483647)</x:f>
        <x:v>500442593</x:v>
      </x:c>
      <x:c r="BA287" s="9" t="n">
        <x:f>MOD(AZ287*16807,2147483647)</x:f>
        <x:v>1392698899</x:v>
      </x:c>
      <x:c r="BB287" s="17" t="n">
        <x:f>IF('Control Room'!$B$5="Normal",'Control Room'!$B$7+'Control Room'!$D$7*SQRT(-2*LN(MAX(0.000000000001,AZ287/2147483647)))*COS(2*PI()*BA287/2147483647),'Control Room'!$B$8+('Control Room'!$D$8-'Control Room'!$B$8)*AZ287/2147483647)</x:f>
        <x:v>908.5627841519379</x:v>
      </x:c>
      <x:c r="BC287" s="17" t="n">
        <x:f>IF('Control Room'!$B$5="Normal",'Control Room'!$B$7,('Control Room'!$B$8+'Control Room'!$D$8)/2)+'Control Room'!$B$9*(BC286-IF('Control Room'!$B$5="Normal",'Control Room'!$B$7,('Control Room'!$B$8+'Control Room'!$D$8)/2))+SQRT(1-'Control Room'!$B$9^2)*(BB287-IF('Control Room'!$B$5="Normal",'Control Room'!$B$7,('Control Room'!$B$8+'Control Room'!$D$8)/2))</x:f>
        <x:v>996.2020130666807</x:v>
      </x:c>
      <x:c r="BD287" s="17" t="n">
        <x:f>IF(AND($A287&gt;='Control Room'!$A$13,$A287&lt;'Control Room'!$A$13+'Control Room'!$B$13,'Process'!BU2=1),1+('Control Room'!$C$13-1)*EXP(-0.5*(($A287-'Control Room'!$A$13-('Control Room'!$B$13-1)/2)/MAX(0.5,'Control Room'!$B$13/4))^2),1)*IF(AND($A287&gt;='Control Room'!$A$14,$A287&lt;'Control Room'!$A$14+'Control Room'!$B$14,'Process'!BU3=1),1+('Control Room'!$C$14-1)*EXP(-0.5*(($A287-'Control Room'!$A$14-('Control Room'!$B$14-1)/2)/MAX(0.5,'Control Room'!$B$14/4))^2),1)*IF(AND($A287&gt;='Control Room'!$A$15,$A287&lt;'Control Room'!$A$15+'Control Room'!$B$15,'Process'!BU4=1),1+('Control Room'!$C$15-1)*EXP(-0.5*(($A287-'Control Room'!$A$15-('Control Room'!$B$15-1)/2)/MAX(0.5,'Control Room'!$B$15/4))^2),1)*IF(AND($A287&gt;='Control Room'!$A$16,$A287&lt;'Control Room'!$A$16+'Control Room'!$B$16,'Process'!BU5=1),1+('Control Room'!$C$16-1)*EXP(-0.5*(($A287-'Control Room'!$A$16-('Control Room'!$B$16-1)/2)/MAX(0.5,'Control Room'!$B$16/4))^2),1)</x:f>
        <x:v>1</x:v>
      </x:c>
      <x:c r="BE287" s="9" t="n">
        <x:f>MOD(BF286*16807,2147483647)</x:f>
        <x:v>2061374946</x:v>
      </x:c>
      <x:c r="BF287" s="9" t="n">
        <x:f>MOD(BE287*16807,2147483647)</x:f>
        <x:v>175040371</x:v>
      </x:c>
      <x:c r="BG287" s="17" t="n">
        <x:f>IF('Control Room'!$B$5="Normal",'Control Room'!$B$7+'Control Room'!$D$7*SQRT(-2*LN(MAX(0.000000000001,BE287/2147483647)))*COS(2*PI()*BF287/2147483647),'Control Room'!$B$8+('Control Room'!$D$8-'Control Room'!$B$8)*BE287/2147483647)</x:f>
        <x:v>1022.444516241281</x:v>
      </x:c>
      <x:c r="BH287" s="17" t="n">
        <x:f>IF('Control Room'!$B$5="Normal",'Control Room'!$B$7,('Control Room'!$B$8+'Control Room'!$D$8)/2)+'Control Room'!$B$9*(BH286-IF('Control Room'!$B$5="Normal",'Control Room'!$B$7,('Control Room'!$B$8+'Control Room'!$D$8)/2))+SQRT(1-'Control Room'!$B$9^2)*(BG287-IF('Control Room'!$B$5="Normal",'Control Room'!$B$7,('Control Room'!$B$8+'Control Room'!$D$8)/2))</x:f>
        <x:v>1053.2536533630582</x:v>
      </x:c>
      <x:c r="BI287" s="17" t="n">
        <x:f>IF(AND($A287&gt;='Control Room'!$A$13,$A287&lt;'Control Room'!$A$13+'Control Room'!$B$13,'Process'!BV2=1),1+('Control Room'!$C$13-1)*EXP(-0.5*(($A287-'Control Room'!$A$13-('Control Room'!$B$13-1)/2)/MAX(0.5,'Control Room'!$B$13/4))^2),1)*IF(AND($A287&gt;='Control Room'!$A$14,$A287&lt;'Control Room'!$A$14+'Control Room'!$B$14,'Process'!BV3=1),1+('Control Room'!$C$14-1)*EXP(-0.5*(($A287-'Control Room'!$A$14-('Control Room'!$B$14-1)/2)/MAX(0.5,'Control Room'!$B$14/4))^2),1)*IF(AND($A287&gt;='Control Room'!$A$15,$A287&lt;'Control Room'!$A$15+'Control Room'!$B$15,'Process'!BV4=1),1+('Control Room'!$C$15-1)*EXP(-0.5*(($A287-'Control Room'!$A$15-('Control Room'!$B$15-1)/2)/MAX(0.5,'Control Room'!$B$15/4))^2),1)*IF(AND($A287&gt;='Control Room'!$A$16,$A287&lt;'Control Room'!$A$16+'Control Room'!$B$16,'Process'!BV5=1),1+('Control Room'!$C$16-1)*EXP(-0.5*(($A287-'Control Room'!$A$16-('Control Room'!$B$16-1)/2)/MAX(0.5,'Control Room'!$B$16/4))^2),1)</x:f>
        <x:v>1</x:v>
      </x:c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Z287" t="str">
        <x:f>IF('Data'!A287="","",TEXT('Data'!A287,"mm-dd"))</x:f>
      </x:c>
    </x:row>
    <x:row r="288" ht="21" customHeight="1">
      <x:c r="A288" s="15" t="n">
        <x:f>'Control Room'!$B$1+286</x:f>
        <x:v>73277</x:v>
      </x:c>
      <x:c r="B288" s="9" t="n">
        <x:f>MOD(C287*16807,2147483647)</x:f>
        <x:v>490852347</x:v>
      </x:c>
      <x:c r="C288" s="9" t="n">
        <x:f>MOD(B288*16807,2147483647)</x:f>
        <x:v>1270707902</x:v>
      </x:c>
      <x:c r="D288" s="17" t="n">
        <x:f>IF('Control Room'!$B$5="Normal",'Control Room'!$B$7+'Control Room'!$D$7*SQRT(-2*LN(MAX(0.000000000001,B288/2147483647)))*COS(2*PI()*C288/2147483647),'Control Room'!$B$8+('Control Room'!$D$8-'Control Room'!$B$8)*B288/2147483647)</x:f>
        <x:v>870.3462646795458</x:v>
      </x:c>
      <x:c r="E288" s="17" t="n">
        <x:f>IF('Control Room'!$B$5="Normal",'Control Room'!$B$7,('Control Room'!$B$8+'Control Room'!$D$8)/2)+'Control Room'!$B$9*(E287-IF('Control Room'!$B$5="Normal",'Control Room'!$B$7,('Control Room'!$B$8+'Control Room'!$D$8)/2))+SQRT(1-'Control Room'!$B$9^2)*(D288-IF('Control Room'!$B$5="Normal",'Control Room'!$B$7,('Control Room'!$B$8+'Control Room'!$D$8)/2))</x:f>
        <x:v>930.043810837821</x:v>
      </x:c>
      <x:c r="F288" s="17" t="n">
        <x:f>IF(AND($A288&gt;='Control Room'!$A$13,$A288&lt;'Control Room'!$A$13+'Control Room'!$B$13,'Process'!BK2=1),1+('Control Room'!$C$13-1)*EXP(-0.5*(($A288-'Control Room'!$A$13-('Control Room'!$B$13-1)/2)/MAX(0.5,'Control Room'!$B$13/4))^2),1)*IF(AND($A288&gt;='Control Room'!$A$14,$A288&lt;'Control Room'!$A$14+'Control Room'!$B$14,'Process'!BK3=1),1+('Control Room'!$C$14-1)*EXP(-0.5*(($A288-'Control Room'!$A$14-('Control Room'!$B$14-1)/2)/MAX(0.5,'Control Room'!$B$14/4))^2),1)*IF(AND($A288&gt;='Control Room'!$A$15,$A288&lt;'Control Room'!$A$15+'Control Room'!$B$15,'Process'!BK4=1),1+('Control Room'!$C$15-1)*EXP(-0.5*(($A288-'Control Room'!$A$15-('Control Room'!$B$15-1)/2)/MAX(0.5,'Control Room'!$B$15/4))^2),1)*IF(AND($A288&gt;='Control Room'!$A$16,$A288&lt;'Control Room'!$A$16+'Control Room'!$B$16,'Process'!BK5=1),1+('Control Room'!$C$16-1)*EXP(-0.5*(($A288-'Control Room'!$A$16-('Control Room'!$B$16-1)/2)/MAX(0.5,'Control Room'!$B$16/4))^2),1)</x:f>
        <x:v>1</x:v>
      </x:c>
      <x:c r="G288" s="9" t="n">
        <x:f>MOD(H287*16807,2147483647)</x:f>
        <x:v>823128161</x:v>
      </x:c>
      <x:c r="H288" s="9" t="n">
        <x:f>MOD(G288*16807,2147483647)</x:f>
        <x:v>225347953</x:v>
      </x:c>
      <x:c r="I288" s="17" t="n">
        <x:f>IF('Control Room'!$B$5="Normal",'Control Room'!$B$7+'Control Room'!$D$7*SQRT(-2*LN(MAX(0.000000000001,G288/2147483647)))*COS(2*PI()*H288/2147483647),'Control Room'!$B$8+('Control Room'!$D$8-'Control Room'!$B$8)*G288/2147483647)</x:f>
        <x:v>1098.5147696467814</x:v>
      </x:c>
      <x:c r="J288" s="17" t="n">
        <x:f>IF('Control Room'!$B$5="Normal",'Control Room'!$B$7,('Control Room'!$B$8+'Control Room'!$D$8)/2)+'Control Room'!$B$9*(J287-IF('Control Room'!$B$5="Normal",'Control Room'!$B$7,('Control Room'!$B$8+'Control Room'!$D$8)/2))+SQRT(1-'Control Room'!$B$9^2)*(I288-IF('Control Room'!$B$5="Normal",'Control Room'!$B$7,('Control Room'!$B$8+'Control Room'!$D$8)/2))</x:f>
        <x:v>1102.5924750610384</x:v>
      </x:c>
      <x:c r="K288" s="17" t="n">
        <x:f>IF(AND($A288&gt;='Control Room'!$A$13,$A288&lt;'Control Room'!$A$13+'Control Room'!$B$13,'Process'!BL2=1),1+('Control Room'!$C$13-1)*EXP(-0.5*(($A288-'Control Room'!$A$13-('Control Room'!$B$13-1)/2)/MAX(0.5,'Control Room'!$B$13/4))^2),1)*IF(AND($A288&gt;='Control Room'!$A$14,$A288&lt;'Control Room'!$A$14+'Control Room'!$B$14,'Process'!BL3=1),1+('Control Room'!$C$14-1)*EXP(-0.5*(($A288-'Control Room'!$A$14-('Control Room'!$B$14-1)/2)/MAX(0.5,'Control Room'!$B$14/4))^2),1)*IF(AND($A288&gt;='Control Room'!$A$15,$A288&lt;'Control Room'!$A$15+'Control Room'!$B$15,'Process'!BL4=1),1+('Control Room'!$C$15-1)*EXP(-0.5*(($A288-'Control Room'!$A$15-('Control Room'!$B$15-1)/2)/MAX(0.5,'Control Room'!$B$15/4))^2),1)*IF(AND($A288&gt;='Control Room'!$A$16,$A288&lt;'Control Room'!$A$16+'Control Room'!$B$16,'Process'!BL5=1),1+('Control Room'!$C$16-1)*EXP(-0.5*(($A288-'Control Room'!$A$16-('Control Room'!$B$16-1)/2)/MAX(0.5,'Control Room'!$B$16/4))^2),1)</x:f>
        <x:v>1</x:v>
      </x:c>
      <x:c r="L288" s="9" t="n">
        <x:f>MOD(M287*16807,2147483647)</x:f>
        <x:v>1155403975</x:v>
      </x:c>
      <x:c r="M288" s="9" t="n">
        <x:f>MOD(L288*16807,2147483647)</x:f>
        <x:v>1327471651</x:v>
      </x:c>
      <x:c r="N288" s="17" t="n">
        <x:f>IF('Control Room'!$B$5="Normal",'Control Room'!$B$7+'Control Room'!$D$7*SQRT(-2*LN(MAX(0.000000000001,L288/2147483647)))*COS(2*PI()*M288/2147483647),'Control Room'!$B$8+('Control Room'!$D$8-'Control Room'!$B$8)*L288/2147483647)</x:f>
        <x:v>926.160482989874</x:v>
      </x:c>
      <x:c r="O288" s="17" t="n">
        <x:f>IF('Control Room'!$B$5="Normal",'Control Room'!$B$7,('Control Room'!$B$8+'Control Room'!$D$8)/2)+'Control Room'!$B$9*(O287-IF('Control Room'!$B$5="Normal",'Control Room'!$B$7,('Control Room'!$B$8+'Control Room'!$D$8)/2))+SQRT(1-'Control Room'!$B$9^2)*(N288-IF('Control Room'!$B$5="Normal",'Control Room'!$B$7,('Control Room'!$B$8+'Control Room'!$D$8)/2))</x:f>
        <x:v>994.8994315557403</x:v>
      </x:c>
      <x:c r="P288" s="17" t="n">
        <x:f>IF(AND($A288&gt;='Control Room'!$A$13,$A288&lt;'Control Room'!$A$13+'Control Room'!$B$13,'Process'!BM2=1),1+('Control Room'!$C$13-1)*EXP(-0.5*(($A288-'Control Room'!$A$13-('Control Room'!$B$13-1)/2)/MAX(0.5,'Control Room'!$B$13/4))^2),1)*IF(AND($A288&gt;='Control Room'!$A$14,$A288&lt;'Control Room'!$A$14+'Control Room'!$B$14,'Process'!BM3=1),1+('Control Room'!$C$14-1)*EXP(-0.5*(($A288-'Control Room'!$A$14-('Control Room'!$B$14-1)/2)/MAX(0.5,'Control Room'!$B$14/4))^2),1)*IF(AND($A288&gt;='Control Room'!$A$15,$A288&lt;'Control Room'!$A$15+'Control Room'!$B$15,'Process'!BM4=1),1+('Control Room'!$C$15-1)*EXP(-0.5*(($A288-'Control Room'!$A$15-('Control Room'!$B$15-1)/2)/MAX(0.5,'Control Room'!$B$15/4))^2),1)*IF(AND($A288&gt;='Control Room'!$A$16,$A288&lt;'Control Room'!$A$16+'Control Room'!$B$16,'Process'!BM5=1),1+('Control Room'!$C$16-1)*EXP(-0.5*(($A288-'Control Room'!$A$16-('Control Room'!$B$16-1)/2)/MAX(0.5,'Control Room'!$B$16/4))^2),1)</x:f>
        <x:v>1</x:v>
      </x:c>
      <x:c r="Q288" s="9" t="n">
        <x:f>MOD(R287*16807,2147483647)</x:f>
        <x:v>1487679789</x:v>
      </x:c>
      <x:c r="R288" s="9" t="n">
        <x:f>MOD(Q288*16807,2147483647)</x:f>
        <x:v>282111702</x:v>
      </x:c>
      <x:c r="S288" s="17" t="n">
        <x:f>IF('Control Room'!$B$5="Normal",'Control Room'!$B$7+'Control Room'!$D$7*SQRT(-2*LN(MAX(0.000000000001,Q288/2147483647)))*COS(2*PI()*R288/2147483647),'Control Room'!$B$8+('Control Room'!$D$8-'Control Room'!$B$8)*Q288/2147483647)</x:f>
        <x:v>1052.3033553405708</x:v>
      </x:c>
      <x:c r="T288" s="17" t="n">
        <x:f>IF('Control Room'!$B$5="Normal",'Control Room'!$B$7,('Control Room'!$B$8+'Control Room'!$D$8)/2)+'Control Room'!$B$9*(T287-IF('Control Room'!$B$5="Normal",'Control Room'!$B$7,('Control Room'!$B$8+'Control Room'!$D$8)/2))+SQRT(1-'Control Room'!$B$9^2)*(S288-IF('Control Room'!$B$5="Normal",'Control Room'!$B$7,('Control Room'!$B$8+'Control Room'!$D$8)/2))</x:f>
        <x:v>1045.615842819421</x:v>
      </x:c>
      <x:c r="U288" s="17" t="n">
        <x:f>IF(AND($A288&gt;='Control Room'!$A$13,$A288&lt;'Control Room'!$A$13+'Control Room'!$B$13,'Process'!BN2=1),1+('Control Room'!$C$13-1)*EXP(-0.5*(($A288-'Control Room'!$A$13-('Control Room'!$B$13-1)/2)/MAX(0.5,'Control Room'!$B$13/4))^2),1)*IF(AND($A288&gt;='Control Room'!$A$14,$A288&lt;'Control Room'!$A$14+'Control Room'!$B$14,'Process'!BN3=1),1+('Control Room'!$C$14-1)*EXP(-0.5*(($A288-'Control Room'!$A$14-('Control Room'!$B$14-1)/2)/MAX(0.5,'Control Room'!$B$14/4))^2),1)*IF(AND($A288&gt;='Control Room'!$A$15,$A288&lt;'Control Room'!$A$15+'Control Room'!$B$15,'Process'!BN4=1),1+('Control Room'!$C$15-1)*EXP(-0.5*(($A288-'Control Room'!$A$15-('Control Room'!$B$15-1)/2)/MAX(0.5,'Control Room'!$B$15/4))^2),1)*IF(AND($A288&gt;='Control Room'!$A$16,$A288&lt;'Control Room'!$A$16+'Control Room'!$B$16,'Process'!BN5=1),1+('Control Room'!$C$16-1)*EXP(-0.5*(($A288-'Control Room'!$A$16-('Control Room'!$B$16-1)/2)/MAX(0.5,'Control Room'!$B$16/4))^2),1)</x:f>
        <x:v>1</x:v>
      </x:c>
      <x:c r="V288" s="9" t="n">
        <x:f>MOD(W287*16807,2147483647)</x:f>
        <x:v>1819955603</x:v>
      </x:c>
      <x:c r="W288" s="9" t="n">
        <x:f>MOD(V288*16807,2147483647)</x:f>
        <x:v>1384235400</x:v>
      </x:c>
      <x:c r="X288" s="17" t="n">
        <x:f>IF('Control Room'!$B$5="Normal",'Control Room'!$B$7+'Control Room'!$D$7*SQRT(-2*LN(MAX(0.000000000001,V288/2147483647)))*COS(2*PI()*W288/2147483647),'Control Room'!$B$8+('Control Room'!$D$8-'Control Room'!$B$8)*V288/2147483647)</x:f>
        <x:v>968.1589372243773</x:v>
      </x:c>
      <x:c r="Y288" s="17" t="n">
        <x:f>IF('Control Room'!$B$5="Normal",'Control Room'!$B$7,('Control Room'!$B$8+'Control Room'!$D$8)/2)+'Control Room'!$B$9*(Y287-IF('Control Room'!$B$5="Normal",'Control Room'!$B$7,('Control Room'!$B$8+'Control Room'!$D$8)/2))+SQRT(1-'Control Room'!$B$9^2)*(X288-IF('Control Room'!$B$5="Normal",'Control Room'!$B$7,('Control Room'!$B$8+'Control Room'!$D$8)/2))</x:f>
        <x:v>985.5375349200611</x:v>
      </x:c>
      <x:c r="Z288" s="17" t="n">
        <x:f>IF(AND($A288&gt;='Control Room'!$A$13,$A288&lt;'Control Room'!$A$13+'Control Room'!$B$13,'Process'!BO2=1),1+('Control Room'!$C$13-1)*EXP(-0.5*(($A288-'Control Room'!$A$13-('Control Room'!$B$13-1)/2)/MAX(0.5,'Control Room'!$B$13/4))^2),1)*IF(AND($A288&gt;='Control Room'!$A$14,$A288&lt;'Control Room'!$A$14+'Control Room'!$B$14,'Process'!BO3=1),1+('Control Room'!$C$14-1)*EXP(-0.5*(($A288-'Control Room'!$A$14-('Control Room'!$B$14-1)/2)/MAX(0.5,'Control Room'!$B$14/4))^2),1)*IF(AND($A288&gt;='Control Room'!$A$15,$A288&lt;'Control Room'!$A$15+'Control Room'!$B$15,'Process'!BO4=1),1+('Control Room'!$C$15-1)*EXP(-0.5*(($A288-'Control Room'!$A$15-('Control Room'!$B$15-1)/2)/MAX(0.5,'Control Room'!$B$15/4))^2),1)*IF(AND($A288&gt;='Control Room'!$A$16,$A288&lt;'Control Room'!$A$16+'Control Room'!$B$16,'Process'!BO5=1),1+('Control Room'!$C$16-1)*EXP(-0.5*(($A288-'Control Room'!$A$16-('Control Room'!$B$16-1)/2)/MAX(0.5,'Control Room'!$B$16/4))^2),1)</x:f>
        <x:v>1</x:v>
      </x:c>
      <x:c r="AA288" s="9" t="n">
        <x:f>MOD(AB287*16807,2147483647)</x:f>
        <x:v>4747770</x:v>
      </x:c>
      <x:c r="AB288" s="9" t="n">
        <x:f>MOD(AA288*16807,2147483647)</x:f>
        <x:v>338875451</x:v>
      </x:c>
      <x:c r="AC288" s="17" t="n">
        <x:f>IF('Control Room'!$B$5="Normal",'Control Room'!$B$7+'Control Room'!$D$7*SQRT(-2*LN(MAX(0.000000000001,AA288/2147483647)))*COS(2*PI()*AB288/2147483647),'Control Room'!$B$8+('Control Room'!$D$8-'Control Room'!$B$8)*AA288/2147483647)</x:f>
        <x:v>1172.2940532853945</x:v>
      </x:c>
      <x:c r="AD288" s="17" t="n">
        <x:f>IF('Control Room'!$B$5="Normal",'Control Room'!$B$7,('Control Room'!$B$8+'Control Room'!$D$8)/2)+'Control Room'!$B$9*(AD287-IF('Control Room'!$B$5="Normal",'Control Room'!$B$7,('Control Room'!$B$8+'Control Room'!$D$8)/2))+SQRT(1-'Control Room'!$B$9^2)*(AC288-IF('Control Room'!$B$5="Normal",'Control Room'!$B$7,('Control Room'!$B$8+'Control Room'!$D$8)/2))</x:f>
        <x:v>1130.2160087395546</x:v>
      </x:c>
      <x:c r="AE288" s="17" t="n">
        <x:f>IF(AND($A288&gt;='Control Room'!$A$13,$A288&lt;'Control Room'!$A$13+'Control Room'!$B$13,'Process'!BP2=1),1+('Control Room'!$C$13-1)*EXP(-0.5*(($A288-'Control Room'!$A$13-('Control Room'!$B$13-1)/2)/MAX(0.5,'Control Room'!$B$13/4))^2),1)*IF(AND($A288&gt;='Control Room'!$A$14,$A288&lt;'Control Room'!$A$14+'Control Room'!$B$14,'Process'!BP3=1),1+('Control Room'!$C$14-1)*EXP(-0.5*(($A288-'Control Room'!$A$14-('Control Room'!$B$14-1)/2)/MAX(0.5,'Control Room'!$B$14/4))^2),1)*IF(AND($A288&gt;='Control Room'!$A$15,$A288&lt;'Control Room'!$A$15+'Control Room'!$B$15,'Process'!BP4=1),1+('Control Room'!$C$15-1)*EXP(-0.5*(($A288-'Control Room'!$A$15-('Control Room'!$B$15-1)/2)/MAX(0.5,'Control Room'!$B$15/4))^2),1)*IF(AND($A288&gt;='Control Room'!$A$16,$A288&lt;'Control Room'!$A$16+'Control Room'!$B$16,'Process'!BP5=1),1+('Control Room'!$C$16-1)*EXP(-0.5*(($A288-'Control Room'!$A$16-('Control Room'!$B$16-1)/2)/MAX(0.5,'Control Room'!$B$16/4))^2),1)</x:f>
        <x:v>1</x:v>
      </x:c>
      <x:c r="AF288" s="9" t="n">
        <x:f>MOD(AG287*16807,2147483647)</x:f>
        <x:v>337023584</x:v>
      </x:c>
      <x:c r="AG288" s="9" t="n">
        <x:f>MOD(AF288*16807,2147483647)</x:f>
        <x:v>1440999149</x:v>
      </x:c>
      <x:c r="AH288" s="17" t="n">
        <x:f>IF('Control Room'!$B$5="Normal",'Control Room'!$B$7+'Control Room'!$D$7*SQRT(-2*LN(MAX(0.000000000001,AF288/2147483647)))*COS(2*PI()*AG288/2147483647),'Control Room'!$B$8+('Control Room'!$D$8-'Control Room'!$B$8)*AF288/2147483647)</x:f>
        <x:v>917.5288359778988</x:v>
      </x:c>
      <x:c r="AI288" s="17" t="n">
        <x:f>IF('Control Room'!$B$5="Normal",'Control Room'!$B$7,('Control Room'!$B$8+'Control Room'!$D$8)/2)+'Control Room'!$B$9*(AI287-IF('Control Room'!$B$5="Normal",'Control Room'!$B$7,('Control Room'!$B$8+'Control Room'!$D$8)/2))+SQRT(1-'Control Room'!$B$9^2)*(AH288-IF('Control Room'!$B$5="Normal",'Control Room'!$B$7,('Control Room'!$B$8+'Control Room'!$D$8)/2))</x:f>
        <x:v>957.6301688363801</x:v>
      </x:c>
      <x:c r="AJ288" s="17" t="n">
        <x:f>IF(AND($A288&gt;='Control Room'!$A$13,$A288&lt;'Control Room'!$A$13+'Control Room'!$B$13,'Process'!BQ2=1),1+('Control Room'!$C$13-1)*EXP(-0.5*(($A288-'Control Room'!$A$13-('Control Room'!$B$13-1)/2)/MAX(0.5,'Control Room'!$B$13/4))^2),1)*IF(AND($A288&gt;='Control Room'!$A$14,$A288&lt;'Control Room'!$A$14+'Control Room'!$B$14,'Process'!BQ3=1),1+('Control Room'!$C$14-1)*EXP(-0.5*(($A288-'Control Room'!$A$14-('Control Room'!$B$14-1)/2)/MAX(0.5,'Control Room'!$B$14/4))^2),1)*IF(AND($A288&gt;='Control Room'!$A$15,$A288&lt;'Control Room'!$A$15+'Control Room'!$B$15,'Process'!BQ4=1),1+('Control Room'!$C$15-1)*EXP(-0.5*(($A288-'Control Room'!$A$15-('Control Room'!$B$15-1)/2)/MAX(0.5,'Control Room'!$B$15/4))^2),1)*IF(AND($A288&gt;='Control Room'!$A$16,$A288&lt;'Control Room'!$A$16+'Control Room'!$B$16,'Process'!BQ5=1),1+('Control Room'!$C$16-1)*EXP(-0.5*(($A288-'Control Room'!$A$16-('Control Room'!$B$16-1)/2)/MAX(0.5,'Control Room'!$B$16/4))^2),1)</x:f>
        <x:v>1</x:v>
      </x:c>
      <x:c r="AK288" s="9" t="n">
        <x:f>MOD(AL287*16807,2147483647)</x:f>
        <x:v>669299398</x:v>
      </x:c>
      <x:c r="AL288" s="9" t="n">
        <x:f>MOD(AK288*16807,2147483647)</x:f>
        <x:v>395639200</x:v>
      </x:c>
      <x:c r="AM288" s="17" t="n">
        <x:f>IF('Control Room'!$B$5="Normal",'Control Room'!$B$7+'Control Room'!$D$7*SQRT(-2*LN(MAX(0.000000000001,AK288/2147483647)))*COS(2*PI()*AL288/2147483647),'Control Room'!$B$8+('Control Room'!$D$8-'Control Room'!$B$8)*AK288/2147483647)</x:f>
        <x:v>1055.1855104079482</x:v>
      </x:c>
      <x:c r="AN288" s="17" t="n">
        <x:f>IF('Control Room'!$B$5="Normal",'Control Room'!$B$7,('Control Room'!$B$8+'Control Room'!$D$8)/2)+'Control Room'!$B$9*(AN287-IF('Control Room'!$B$5="Normal",'Control Room'!$B$7,('Control Room'!$B$8+'Control Room'!$D$8)/2))+SQRT(1-'Control Room'!$B$9^2)*(AM288-IF('Control Room'!$B$5="Normal",'Control Room'!$B$7,('Control Room'!$B$8+'Control Room'!$D$8)/2))</x:f>
        <x:v>950.0795448883897</x:v>
      </x:c>
      <x:c r="AO288" s="17" t="n">
        <x:f>IF(AND($A288&gt;='Control Room'!$A$13,$A288&lt;'Control Room'!$A$13+'Control Room'!$B$13,'Process'!BR2=1),1+('Control Room'!$C$13-1)*EXP(-0.5*(($A288-'Control Room'!$A$13-('Control Room'!$B$13-1)/2)/MAX(0.5,'Control Room'!$B$13/4))^2),1)*IF(AND($A288&gt;='Control Room'!$A$14,$A288&lt;'Control Room'!$A$14+'Control Room'!$B$14,'Process'!BR3=1),1+('Control Room'!$C$14-1)*EXP(-0.5*(($A288-'Control Room'!$A$14-('Control Room'!$B$14-1)/2)/MAX(0.5,'Control Room'!$B$14/4))^2),1)*IF(AND($A288&gt;='Control Room'!$A$15,$A288&lt;'Control Room'!$A$15+'Control Room'!$B$15,'Process'!BR4=1),1+('Control Room'!$C$15-1)*EXP(-0.5*(($A288-'Control Room'!$A$15-('Control Room'!$B$15-1)/2)/MAX(0.5,'Control Room'!$B$15/4))^2),1)*IF(AND($A288&gt;='Control Room'!$A$16,$A288&lt;'Control Room'!$A$16+'Control Room'!$B$16,'Process'!BR5=1),1+('Control Room'!$C$16-1)*EXP(-0.5*(($A288-'Control Room'!$A$16-('Control Room'!$B$16-1)/2)/MAX(0.5,'Control Room'!$B$16/4))^2),1)</x:f>
        <x:v>1</x:v>
      </x:c>
      <x:c r="AP288" s="9" t="n">
        <x:f>MOD(AQ287*16807,2147483647)</x:f>
        <x:v>1001575212</x:v>
      </x:c>
      <x:c r="AQ288" s="9" t="n">
        <x:f>MOD(AP288*16807,2147483647)</x:f>
        <x:v>1497762898</x:v>
      </x:c>
      <x:c r="AR288" s="17" t="n">
        <x:f>IF('Control Room'!$B$5="Normal",'Control Room'!$B$7+'Control Room'!$D$7*SQRT(-2*LN(MAX(0.000000000001,AP288/2147483647)))*COS(2*PI()*AQ288/2147483647),'Control Room'!$B$8+('Control Room'!$D$8-'Control Room'!$B$8)*AP288/2147483647)</x:f>
        <x:v>963.9610707183831</x:v>
      </x:c>
      <x:c r="AS288" s="17" t="n">
        <x:f>IF('Control Room'!$B$5="Normal",'Control Room'!$B$7,('Control Room'!$B$8+'Control Room'!$D$8)/2)+'Control Room'!$B$9*(AS287-IF('Control Room'!$B$5="Normal",'Control Room'!$B$7,('Control Room'!$B$8+'Control Room'!$D$8)/2))+SQRT(1-'Control Room'!$B$9^2)*(AR288-IF('Control Room'!$B$5="Normal",'Control Room'!$B$7,('Control Room'!$B$8+'Control Room'!$D$8)/2))</x:f>
        <x:v>963.9589791711434</x:v>
      </x:c>
      <x:c r="AT288" s="17" t="n">
        <x:f>IF(AND($A288&gt;='Control Room'!$A$13,$A288&lt;'Control Room'!$A$13+'Control Room'!$B$13,'Process'!BS2=1),1+('Control Room'!$C$13-1)*EXP(-0.5*(($A288-'Control Room'!$A$13-('Control Room'!$B$13-1)/2)/MAX(0.5,'Control Room'!$B$13/4))^2),1)*IF(AND($A288&gt;='Control Room'!$A$14,$A288&lt;'Control Room'!$A$14+'Control Room'!$B$14,'Process'!BS3=1),1+('Control Room'!$C$14-1)*EXP(-0.5*(($A288-'Control Room'!$A$14-('Control Room'!$B$14-1)/2)/MAX(0.5,'Control Room'!$B$14/4))^2),1)*IF(AND($A288&gt;='Control Room'!$A$15,$A288&lt;'Control Room'!$A$15+'Control Room'!$B$15,'Process'!BS4=1),1+('Control Room'!$C$15-1)*EXP(-0.5*(($A288-'Control Room'!$A$15-('Control Room'!$B$15-1)/2)/MAX(0.5,'Control Room'!$B$15/4))^2),1)*IF(AND($A288&gt;='Control Room'!$A$16,$A288&lt;'Control Room'!$A$16+'Control Room'!$B$16,'Process'!BS5=1),1+('Control Room'!$C$16-1)*EXP(-0.5*(($A288-'Control Room'!$A$16-('Control Room'!$B$16-1)/2)/MAX(0.5,'Control Room'!$B$16/4))^2),1)</x:f>
        <x:v>1</x:v>
      </x:c>
      <x:c r="AU288" s="9" t="n">
        <x:f>MOD(AV287*16807,2147483647)</x:f>
        <x:v>1333851026</x:v>
      </x:c>
      <x:c r="AV288" s="9" t="n">
        <x:f>MOD(AU288*16807,2147483647)</x:f>
        <x:v>452402949</x:v>
      </x:c>
      <x:c r="AW288" s="17" t="n">
        <x:f>IF('Control Room'!$B$5="Normal",'Control Room'!$B$7+'Control Room'!$D$7*SQRT(-2*LN(MAX(0.000000000001,AU288/2147483647)))*COS(2*PI()*AV288/2147483647),'Control Room'!$B$8+('Control Room'!$D$8-'Control Room'!$B$8)*AU288/2147483647)</x:f>
        <x:v>1021.4870257854275</x:v>
      </x:c>
      <x:c r="AX288" s="17" t="n">
        <x:f>IF('Control Room'!$B$5="Normal",'Control Room'!$B$7,('Control Room'!$B$8+'Control Room'!$D$8)/2)+'Control Room'!$B$9*(AX287-IF('Control Room'!$B$5="Normal",'Control Room'!$B$7,('Control Room'!$B$8+'Control Room'!$D$8)/2))+SQRT(1-'Control Room'!$B$9^2)*(AW288-IF('Control Room'!$B$5="Normal",'Control Room'!$B$7,('Control Room'!$B$8+'Control Room'!$D$8)/2))</x:f>
        <x:v>1076.3236219244006</x:v>
      </x:c>
      <x:c r="AY288" s="17" t="n">
        <x:f>IF(AND($A288&gt;='Control Room'!$A$13,$A288&lt;'Control Room'!$A$13+'Control Room'!$B$13,'Process'!BT2=1),1+('Control Room'!$C$13-1)*EXP(-0.5*(($A288-'Control Room'!$A$13-('Control Room'!$B$13-1)/2)/MAX(0.5,'Control Room'!$B$13/4))^2),1)*IF(AND($A288&gt;='Control Room'!$A$14,$A288&lt;'Control Room'!$A$14+'Control Room'!$B$14,'Process'!BT3=1),1+('Control Room'!$C$14-1)*EXP(-0.5*(($A288-'Control Room'!$A$14-('Control Room'!$B$14-1)/2)/MAX(0.5,'Control Room'!$B$14/4))^2),1)*IF(AND($A288&gt;='Control Room'!$A$15,$A288&lt;'Control Room'!$A$15+'Control Room'!$B$15,'Process'!BT4=1),1+('Control Room'!$C$15-1)*EXP(-0.5*(($A288-'Control Room'!$A$15-('Control Room'!$B$15-1)/2)/MAX(0.5,'Control Room'!$B$15/4))^2),1)*IF(AND($A288&gt;='Control Room'!$A$16,$A288&lt;'Control Room'!$A$16+'Control Room'!$B$16,'Process'!BT5=1),1+('Control Room'!$C$16-1)*EXP(-0.5*(($A288-'Control Room'!$A$16-('Control Room'!$B$16-1)/2)/MAX(0.5,'Control Room'!$B$16/4))^2),1)</x:f>
        <x:v>1</x:v>
      </x:c>
      <x:c r="AZ288" s="9" t="n">
        <x:f>MOD(BA287*16807,2147483647)</x:f>
        <x:v>1666126840</x:v>
      </x:c>
      <x:c r="BA288" s="9" t="n">
        <x:f>MOD(AZ288*16807,2147483647)</x:f>
        <x:v>1554526647</x:v>
      </x:c>
      <x:c r="BB288" s="17" t="n">
        <x:f>IF('Control Room'!$B$5="Normal",'Control Room'!$B$7+'Control Room'!$D$7*SQRT(-2*LN(MAX(0.000000000001,AZ288/2147483647)))*COS(2*PI()*BA288/2147483647),'Control Room'!$B$8+('Control Room'!$D$8-'Control Room'!$B$8)*AZ288/2147483647)</x:f>
        <x:v>989.5250159460898</x:v>
      </x:c>
      <x:c r="BC288" s="17" t="n">
        <x:f>IF('Control Room'!$B$5="Normal",'Control Room'!$B$7,('Control Room'!$B$8+'Control Room'!$D$8)/2)+'Control Room'!$B$9*(BC287-IF('Control Room'!$B$5="Normal",'Control Room'!$B$7,('Control Room'!$B$8+'Control Room'!$D$8)/2))+SQRT(1-'Control Room'!$B$9^2)*(BB288-IF('Control Room'!$B$5="Normal",'Control Room'!$B$7,('Control Room'!$B$8+'Control Room'!$D$8)/2))</x:f>
        <x:v>990.4825397627864</x:v>
      </x:c>
      <x:c r="BD288" s="17" t="n">
        <x:f>IF(AND($A288&gt;='Control Room'!$A$13,$A288&lt;'Control Room'!$A$13+'Control Room'!$B$13,'Process'!BU2=1),1+('Control Room'!$C$13-1)*EXP(-0.5*(($A288-'Control Room'!$A$13-('Control Room'!$B$13-1)/2)/MAX(0.5,'Control Room'!$B$13/4))^2),1)*IF(AND($A288&gt;='Control Room'!$A$14,$A288&lt;'Control Room'!$A$14+'Control Room'!$B$14,'Process'!BU3=1),1+('Control Room'!$C$14-1)*EXP(-0.5*(($A288-'Control Room'!$A$14-('Control Room'!$B$14-1)/2)/MAX(0.5,'Control Room'!$B$14/4))^2),1)*IF(AND($A288&gt;='Control Room'!$A$15,$A288&lt;'Control Room'!$A$15+'Control Room'!$B$15,'Process'!BU4=1),1+('Control Room'!$C$15-1)*EXP(-0.5*(($A288-'Control Room'!$A$15-('Control Room'!$B$15-1)/2)/MAX(0.5,'Control Room'!$B$15/4))^2),1)*IF(AND($A288&gt;='Control Room'!$A$16,$A288&lt;'Control Room'!$A$16+'Control Room'!$B$16,'Process'!BU5=1),1+('Control Room'!$C$16-1)*EXP(-0.5*(($A288-'Control Room'!$A$16-('Control Room'!$B$16-1)/2)/MAX(0.5,'Control Room'!$B$16/4))^2),1)</x:f>
        <x:v>1</x:v>
      </x:c>
      <x:c r="BE288" s="9" t="n">
        <x:f>MOD(BF287*16807,2147483647)</x:f>
        <x:v>1998402654</x:v>
      </x:c>
      <x:c r="BF288" s="9" t="n">
        <x:f>MOD(BE288*16807,2147483647)</x:f>
        <x:v>509166698</x:v>
      </x:c>
      <x:c r="BG288" s="17" t="n">
        <x:f>IF('Control Room'!$B$5="Normal",'Control Room'!$B$7+'Control Room'!$D$7*SQRT(-2*LN(MAX(0.000000000001,BE288/2147483647)))*COS(2*PI()*BF288/2147483647),'Control Room'!$B$8+('Control Room'!$D$8-'Control Room'!$B$8)*BE288/2147483647)</x:f>
        <x:v>1002.7643227117661</x:v>
      </x:c>
      <x:c r="BH288" s="17" t="n">
        <x:f>IF('Control Room'!$B$5="Normal",'Control Room'!$B$7,('Control Room'!$B$8+'Control Room'!$D$8)/2)+'Control Room'!$B$9*(BH287-IF('Control Room'!$B$5="Normal",'Control Room'!$B$7,('Control Room'!$B$8+'Control Room'!$D$8)/2))+SQRT(1-'Control Room'!$B$9^2)*(BG288-IF('Control Room'!$B$5="Normal",'Control Room'!$B$7,('Control Room'!$B$8+'Control Room'!$D$8)/2))</x:f>
        <x:v>1043.2677061459797</x:v>
      </x:c>
      <x:c r="BI288" s="17" t="n">
        <x:f>IF(AND($A288&gt;='Control Room'!$A$13,$A288&lt;'Control Room'!$A$13+'Control Room'!$B$13,'Process'!BV2=1),1+('Control Room'!$C$13-1)*EXP(-0.5*(($A288-'Control Room'!$A$13-('Control Room'!$B$13-1)/2)/MAX(0.5,'Control Room'!$B$13/4))^2),1)*IF(AND($A288&gt;='Control Room'!$A$14,$A288&lt;'Control Room'!$A$14+'Control Room'!$B$14,'Process'!BV3=1),1+('Control Room'!$C$14-1)*EXP(-0.5*(($A288-'Control Room'!$A$14-('Control Room'!$B$14-1)/2)/MAX(0.5,'Control Room'!$B$14/4))^2),1)*IF(AND($A288&gt;='Control Room'!$A$15,$A288&lt;'Control Room'!$A$15+'Control Room'!$B$15,'Process'!BV4=1),1+('Control Room'!$C$15-1)*EXP(-0.5*(($A288-'Control Room'!$A$15-('Control Room'!$B$15-1)/2)/MAX(0.5,'Control Room'!$B$15/4))^2),1)*IF(AND($A288&gt;='Control Room'!$A$16,$A288&lt;'Control Room'!$A$16+'Control Room'!$B$16,'Process'!BV5=1),1+('Control Room'!$C$16-1)*EXP(-0.5*(($A288-'Control Room'!$A$16-('Control Room'!$B$16-1)/2)/MAX(0.5,'Control Room'!$B$16/4))^2),1)</x:f>
        <x:v>1</x:v>
      </x:c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Z288" t="str">
        <x:f>IF('Data'!A288="","",TEXT('Data'!A288,"mm-dd"))</x:f>
      </x:c>
    </x:row>
    <x:row r="289" ht="21" customHeight="1">
      <x:c r="A289" s="15" t="n">
        <x:f>'Control Room'!$B$1+287</x:f>
        <x:v>73278</x:v>
      </x:c>
      <x:c r="B289" s="9" t="n">
        <x:f>MOD(C288*16807,2147483647)</x:f>
        <x:v>62839499</x:v>
      </x:c>
      <x:c r="C289" s="9" t="n">
        <x:f>MOD(B289*16807,2147483647)</x:f>
        <x:v>1728989016</x:v>
      </x:c>
      <x:c r="D289" s="17" t="n">
        <x:f>IF('Control Room'!$B$5="Normal",'Control Room'!$B$7+'Control Room'!$D$7*SQRT(-2*LN(MAX(0.000000000001,B289/2147483647)))*COS(2*PI()*C289/2147483647),'Control Room'!$B$8+('Control Room'!$D$8-'Control Room'!$B$8)*B289/2147483647)</x:f>
        <x:v>1081.1955095817377</x:v>
      </x:c>
      <x:c r="E289" s="17" t="n">
        <x:f>IF('Control Room'!$B$5="Normal",'Control Room'!$B$7,('Control Room'!$B$8+'Control Room'!$D$8)/2)+'Control Room'!$B$9*(E288-IF('Control Room'!$B$5="Normal",'Control Room'!$B$7,('Control Room'!$B$8+'Control Room'!$D$8)/2))+SQRT(1-'Control Room'!$B$9^2)*(D289-IF('Control Room'!$B$5="Normal",'Control Room'!$B$7,('Control Room'!$B$8+'Control Room'!$D$8)/2))</x:f>
        <x:v>996.2446589693252</x:v>
      </x:c>
      <x:c r="F289" s="17" t="n">
        <x:f>IF(AND($A289&gt;='Control Room'!$A$13,$A289&lt;'Control Room'!$A$13+'Control Room'!$B$13,'Process'!BK2=1),1+('Control Room'!$C$13-1)*EXP(-0.5*(($A289-'Control Room'!$A$13-('Control Room'!$B$13-1)/2)/MAX(0.5,'Control Room'!$B$13/4))^2),1)*IF(AND($A289&gt;='Control Room'!$A$14,$A289&lt;'Control Room'!$A$14+'Control Room'!$B$14,'Process'!BK3=1),1+('Control Room'!$C$14-1)*EXP(-0.5*(($A289-'Control Room'!$A$14-('Control Room'!$B$14-1)/2)/MAX(0.5,'Control Room'!$B$14/4))^2),1)*IF(AND($A289&gt;='Control Room'!$A$15,$A289&lt;'Control Room'!$A$15+'Control Room'!$B$15,'Process'!BK4=1),1+('Control Room'!$C$15-1)*EXP(-0.5*(($A289-'Control Room'!$A$15-('Control Room'!$B$15-1)/2)/MAX(0.5,'Control Room'!$B$15/4))^2),1)*IF(AND($A289&gt;='Control Room'!$A$16,$A289&lt;'Control Room'!$A$16+'Control Room'!$B$16,'Process'!BK5=1),1+('Control Room'!$C$16-1)*EXP(-0.5*(($A289-'Control Room'!$A$16-('Control Room'!$B$16-1)/2)/MAX(0.5,'Control Room'!$B$16/4))^2),1)</x:f>
        <x:v>1</x:v>
      </x:c>
      <x:c r="G289" s="9" t="n">
        <x:f>MOD(H288*16807,2147483647)</x:f>
        <x:v>1409376410</x:v>
      </x:c>
      <x:c r="H289" s="9" t="n">
        <x:f>MOD(G289*16807,2147483647)</x:f>
        <x:v>644696460</x:v>
      </x:c>
      <x:c r="I289" s="17" t="n">
        <x:f>IF('Control Room'!$B$5="Normal",'Control Room'!$B$7+'Control Room'!$D$7*SQRT(-2*LN(MAX(0.000000000001,G289/2147483647)))*COS(2*PI()*H289/2147483647),'Control Room'!$B$8+('Control Room'!$D$8-'Control Room'!$B$8)*G289/2147483647)</x:f>
        <x:v>974.3717359813785</x:v>
      </x:c>
      <x:c r="J289" s="17" t="n">
        <x:f>IF('Control Room'!$B$5="Normal",'Control Room'!$B$7,('Control Room'!$B$8+'Control Room'!$D$8)/2)+'Control Room'!$B$9*(J288-IF('Control Room'!$B$5="Normal",'Control Room'!$B$7,('Control Room'!$B$8+'Control Room'!$D$8)/2))+SQRT(1-'Control Room'!$B$9^2)*(I289-IF('Control Room'!$B$5="Normal",'Control Room'!$B$7,('Control Room'!$B$8+'Control Room'!$D$8)/2))</x:f>
        <x:v>1063.9844879482825</x:v>
      </x:c>
      <x:c r="K289" s="17" t="n">
        <x:f>IF(AND($A289&gt;='Control Room'!$A$13,$A289&lt;'Control Room'!$A$13+'Control Room'!$B$13,'Process'!BL2=1),1+('Control Room'!$C$13-1)*EXP(-0.5*(($A289-'Control Room'!$A$13-('Control Room'!$B$13-1)/2)/MAX(0.5,'Control Room'!$B$13/4))^2),1)*IF(AND($A289&gt;='Control Room'!$A$14,$A289&lt;'Control Room'!$A$14+'Control Room'!$B$14,'Process'!BL3=1),1+('Control Room'!$C$14-1)*EXP(-0.5*(($A289-'Control Room'!$A$14-('Control Room'!$B$14-1)/2)/MAX(0.5,'Control Room'!$B$14/4))^2),1)*IF(AND($A289&gt;='Control Room'!$A$15,$A289&lt;'Control Room'!$A$15+'Control Room'!$B$15,'Process'!BL4=1),1+('Control Room'!$C$15-1)*EXP(-0.5*(($A289-'Control Room'!$A$15-('Control Room'!$B$15-1)/2)/MAX(0.5,'Control Room'!$B$15/4))^2),1)*IF(AND($A289&gt;='Control Room'!$A$16,$A289&lt;'Control Room'!$A$16+'Control Room'!$B$16,'Process'!BL5=1),1+('Control Room'!$C$16-1)*EXP(-0.5*(($A289-'Control Room'!$A$16-('Control Room'!$B$16-1)/2)/MAX(0.5,'Control Room'!$B$16/4))^2),1)</x:f>
        <x:v>1</x:v>
      </x:c>
      <x:c r="L289" s="9" t="n">
        <x:f>MOD(M288*16807,2147483647)</x:f>
        <x:v>608429674</x:v>
      </x:c>
      <x:c r="M289" s="9" t="n">
        <x:f>MOD(L289*16807,2147483647)</x:f>
        <x:v>1707887551</x:v>
      </x:c>
      <x:c r="N289" s="17" t="n">
        <x:f>IF('Control Room'!$B$5="Normal",'Control Room'!$B$7+'Control Room'!$D$7*SQRT(-2*LN(MAX(0.000000000001,L289/2147483647)))*COS(2*PI()*M289/2147483647),'Control Room'!$B$8+('Control Room'!$D$8-'Control Room'!$B$8)*L289/2147483647)</x:f>
        <x:v>1040.1343064254959</x:v>
      </x:c>
      <x:c r="O289" s="17" t="n">
        <x:f>IF('Control Room'!$B$5="Normal",'Control Room'!$B$7,('Control Room'!$B$8+'Control Room'!$D$8)/2)+'Control Room'!$B$9*(O288-IF('Control Room'!$B$5="Normal",'Control Room'!$B$7,('Control Room'!$B$8+'Control Room'!$D$8)/2))+SQRT(1-'Control Room'!$B$9^2)*(N289-IF('Control Room'!$B$5="Normal",'Control Room'!$B$7,('Control Room'!$B$8+'Control Room'!$D$8)/2))</x:f>
        <x:v>1021.1367833785953</x:v>
      </x:c>
      <x:c r="P289" s="17" t="n">
        <x:f>IF(AND($A289&gt;='Control Room'!$A$13,$A289&lt;'Control Room'!$A$13+'Control Room'!$B$13,'Process'!BM2=1),1+('Control Room'!$C$13-1)*EXP(-0.5*(($A289-'Control Room'!$A$13-('Control Room'!$B$13-1)/2)/MAX(0.5,'Control Room'!$B$13/4))^2),1)*IF(AND($A289&gt;='Control Room'!$A$14,$A289&lt;'Control Room'!$A$14+'Control Room'!$B$14,'Process'!BM3=1),1+('Control Room'!$C$14-1)*EXP(-0.5*(($A289-'Control Room'!$A$14-('Control Room'!$B$14-1)/2)/MAX(0.5,'Control Room'!$B$14/4))^2),1)*IF(AND($A289&gt;='Control Room'!$A$15,$A289&lt;'Control Room'!$A$15+'Control Room'!$B$15,'Process'!BM4=1),1+('Control Room'!$C$15-1)*EXP(-0.5*(($A289-'Control Room'!$A$15-('Control Room'!$B$15-1)/2)/MAX(0.5,'Control Room'!$B$15/4))^2),1)*IF(AND($A289&gt;='Control Room'!$A$16,$A289&lt;'Control Room'!$A$16+'Control Room'!$B$16,'Process'!BM5=1),1+('Control Room'!$C$16-1)*EXP(-0.5*(($A289-'Control Room'!$A$16-('Control Room'!$B$16-1)/2)/MAX(0.5,'Control Room'!$B$16/4))^2),1)</x:f>
        <x:v>1</x:v>
      </x:c>
      <x:c r="Q289" s="9" t="n">
        <x:f>MOD(R288*16807,2147483647)</x:f>
        <x:v>1954966585</x:v>
      </x:c>
      <x:c r="R289" s="9" t="n">
        <x:f>MOD(Q289*16807,2147483647)</x:f>
        <x:v>623594995</x:v>
      </x:c>
      <x:c r="S289" s="17" t="n">
        <x:f>IF('Control Room'!$B$5="Normal",'Control Room'!$B$7+'Control Room'!$D$7*SQRT(-2*LN(MAX(0.000000000001,Q289/2147483647)))*COS(2*PI()*R289/2147483647),'Control Room'!$B$8+('Control Room'!$D$8-'Control Room'!$B$8)*Q289/2147483647)</x:f>
        <x:v>990.2081579161359</x:v>
      </x:c>
      <x:c r="T289" s="17" t="n">
        <x:f>IF('Control Room'!$B$5="Normal",'Control Room'!$B$7,('Control Room'!$B$8+'Control Room'!$D$8)/2)+'Control Room'!$B$9*(T288-IF('Control Room'!$B$5="Normal",'Control Room'!$B$7,('Control Room'!$B$8+'Control Room'!$D$8)/2))+SQRT(1-'Control Room'!$B$9^2)*(S289-IF('Control Room'!$B$5="Normal",'Control Room'!$B$7,('Control Room'!$B$8+'Control Room'!$D$8)/2))</x:f>
        <x:v>1029.4528232198547</x:v>
      </x:c>
      <x:c r="U289" s="17" t="n">
        <x:f>IF(AND($A289&gt;='Control Room'!$A$13,$A289&lt;'Control Room'!$A$13+'Control Room'!$B$13,'Process'!BN2=1),1+('Control Room'!$C$13-1)*EXP(-0.5*(($A289-'Control Room'!$A$13-('Control Room'!$B$13-1)/2)/MAX(0.5,'Control Room'!$B$13/4))^2),1)*IF(AND($A289&gt;='Control Room'!$A$14,$A289&lt;'Control Room'!$A$14+'Control Room'!$B$14,'Process'!BN3=1),1+('Control Room'!$C$14-1)*EXP(-0.5*(($A289-'Control Room'!$A$14-('Control Room'!$B$14-1)/2)/MAX(0.5,'Control Room'!$B$14/4))^2),1)*IF(AND($A289&gt;='Control Room'!$A$15,$A289&lt;'Control Room'!$A$15+'Control Room'!$B$15,'Process'!BN4=1),1+('Control Room'!$C$15-1)*EXP(-0.5*(($A289-'Control Room'!$A$15-('Control Room'!$B$15-1)/2)/MAX(0.5,'Control Room'!$B$15/4))^2),1)*IF(AND($A289&gt;='Control Room'!$A$16,$A289&lt;'Control Room'!$A$16+'Control Room'!$B$16,'Process'!BN5=1),1+('Control Room'!$C$16-1)*EXP(-0.5*(($A289-'Control Room'!$A$16-('Control Room'!$B$16-1)/2)/MAX(0.5,'Control Room'!$B$16/4))^2),1)</x:f>
        <x:v>1</x:v>
      </x:c>
      <x:c r="V289" s="9" t="n">
        <x:f>MOD(W288*16807,2147483647)</x:f>
        <x:v>1154019849</x:v>
      </x:c>
      <x:c r="W289" s="9" t="n">
        <x:f>MOD(V289*16807,2147483647)</x:f>
        <x:v>1686786086</x:v>
      </x:c>
      <x:c r="X289" s="17" t="n">
        <x:f>IF('Control Room'!$B$5="Normal",'Control Room'!$B$7+'Control Room'!$D$7*SQRT(-2*LN(MAX(0.000000000001,V289/2147483647)))*COS(2*PI()*W289/2147483647),'Control Room'!$B$8+('Control Room'!$D$8-'Control Room'!$B$8)*V289/2147483647)</x:f>
        <x:v>1022.1702676838969</x:v>
      </x:c>
      <x:c r="Y289" s="17" t="n">
        <x:f>IF('Control Room'!$B$5="Normal",'Control Room'!$B$7,('Control Room'!$B$8+'Control Room'!$D$8)/2)+'Control Room'!$B$9*(Y288-IF('Control Room'!$B$5="Normal",'Control Room'!$B$7,('Control Room'!$B$8+'Control Room'!$D$8)/2))+SQRT(1-'Control Room'!$B$9^2)*(X289-IF('Control Room'!$B$5="Normal",'Control Room'!$B$7,('Control Room'!$B$8+'Control Room'!$D$8)/2))</x:f>
        <x:v>1002.5929765716098</x:v>
      </x:c>
      <x:c r="Z289" s="17" t="n">
        <x:f>IF(AND($A289&gt;='Control Room'!$A$13,$A289&lt;'Control Room'!$A$13+'Control Room'!$B$13,'Process'!BO2=1),1+('Control Room'!$C$13-1)*EXP(-0.5*(($A289-'Control Room'!$A$13-('Control Room'!$B$13-1)/2)/MAX(0.5,'Control Room'!$B$13/4))^2),1)*IF(AND($A289&gt;='Control Room'!$A$14,$A289&lt;'Control Room'!$A$14+'Control Room'!$B$14,'Process'!BO3=1),1+('Control Room'!$C$14-1)*EXP(-0.5*(($A289-'Control Room'!$A$14-('Control Room'!$B$14-1)/2)/MAX(0.5,'Control Room'!$B$14/4))^2),1)*IF(AND($A289&gt;='Control Room'!$A$15,$A289&lt;'Control Room'!$A$15+'Control Room'!$B$15,'Process'!BO4=1),1+('Control Room'!$C$15-1)*EXP(-0.5*(($A289-'Control Room'!$A$15-('Control Room'!$B$15-1)/2)/MAX(0.5,'Control Room'!$B$15/4))^2),1)*IF(AND($A289&gt;='Control Room'!$A$16,$A289&lt;'Control Room'!$A$16+'Control Room'!$B$16,'Process'!BO5=1),1+('Control Room'!$C$16-1)*EXP(-0.5*(($A289-'Control Room'!$A$16-('Control Room'!$B$16-1)/2)/MAX(0.5,'Control Room'!$B$16/4))^2),1)</x:f>
        <x:v>1</x:v>
      </x:c>
      <x:c r="AA289" s="9" t="n">
        <x:f>MOD(AB288*16807,2147483647)</x:f>
        <x:v>353073113</x:v>
      </x:c>
      <x:c r="AB289" s="9" t="n">
        <x:f>MOD(AA289*16807,2147483647)</x:f>
        <x:v>602493530</x:v>
      </x:c>
      <x:c r="AC289" s="17" t="n">
        <x:f>IF('Control Room'!$B$5="Normal",'Control Room'!$B$7+'Control Room'!$D$7*SQRT(-2*LN(MAX(0.000000000001,AA289/2147483647)))*COS(2*PI()*AB289/2147483647),'Control Room'!$B$8+('Control Room'!$D$8-'Control Room'!$B$8)*AA289/2147483647)</x:f>
        <x:v>967.3657690498544</x:v>
      </x:c>
      <x:c r="AD289" s="17" t="n">
        <x:f>IF('Control Room'!$B$5="Normal",'Control Room'!$B$7,('Control Room'!$B$8+'Control Room'!$D$8)/2)+'Control Room'!$B$9*(AD288-IF('Control Room'!$B$5="Normal",'Control Room'!$B$7,('Control Room'!$B$8+'Control Room'!$D$8)/2))+SQRT(1-'Control Room'!$B$9^2)*(AC289-IF('Control Room'!$B$5="Normal",'Control Room'!$B$7,('Control Room'!$B$8+'Control Room'!$D$8)/2))</x:f>
        <x:v>1081.1466536368114</x:v>
      </x:c>
      <x:c r="AE289" s="17" t="n">
        <x:f>IF(AND($A289&gt;='Control Room'!$A$13,$A289&lt;'Control Room'!$A$13+'Control Room'!$B$13,'Process'!BP2=1),1+('Control Room'!$C$13-1)*EXP(-0.5*(($A289-'Control Room'!$A$13-('Control Room'!$B$13-1)/2)/MAX(0.5,'Control Room'!$B$13/4))^2),1)*IF(AND($A289&gt;='Control Room'!$A$14,$A289&lt;'Control Room'!$A$14+'Control Room'!$B$14,'Process'!BP3=1),1+('Control Room'!$C$14-1)*EXP(-0.5*(($A289-'Control Room'!$A$14-('Control Room'!$B$14-1)/2)/MAX(0.5,'Control Room'!$B$14/4))^2),1)*IF(AND($A289&gt;='Control Room'!$A$15,$A289&lt;'Control Room'!$A$15+'Control Room'!$B$15,'Process'!BP4=1),1+('Control Room'!$C$15-1)*EXP(-0.5*(($A289-'Control Room'!$A$15-('Control Room'!$B$15-1)/2)/MAX(0.5,'Control Room'!$B$15/4))^2),1)*IF(AND($A289&gt;='Control Room'!$A$16,$A289&lt;'Control Room'!$A$16+'Control Room'!$B$16,'Process'!BP5=1),1+('Control Room'!$C$16-1)*EXP(-0.5*(($A289-'Control Room'!$A$16-('Control Room'!$B$16-1)/2)/MAX(0.5,'Control Room'!$B$16/4))^2),1)</x:f>
        <x:v>1</x:v>
      </x:c>
      <x:c r="AF289" s="9" t="n">
        <x:f>MOD(AG288*16807,2147483647)</x:f>
        <x:v>1699610024</x:v>
      </x:c>
      <x:c r="AG289" s="9" t="n">
        <x:f>MOD(AF289*16807,2147483647)</x:f>
        <x:v>1665684621</x:v>
      </x:c>
      <x:c r="AH289" s="17" t="n">
        <x:f>IF('Control Room'!$B$5="Normal",'Control Room'!$B$7+'Control Room'!$D$7*SQRT(-2*LN(MAX(0.000000000001,AF289/2147483647)))*COS(2*PI()*AG289/2147483647),'Control Room'!$B$8+('Control Room'!$D$8-'Control Room'!$B$8)*AF289/2147483647)</x:f>
        <x:v>1009.8757419688712</x:v>
      </x:c>
      <x:c r="AI289" s="17" t="n">
        <x:f>IF('Control Room'!$B$5="Normal",'Control Room'!$B$7,('Control Room'!$B$8+'Control Room'!$D$8)/2)+'Control Room'!$B$9*(AI288-IF('Control Room'!$B$5="Normal",'Control Room'!$B$7,('Control Room'!$B$8+'Control Room'!$D$8)/2))+SQRT(1-'Control Room'!$B$9^2)*(AH289-IF('Control Room'!$B$5="Normal",'Control Room'!$B$7,('Control Room'!$B$8+'Control Room'!$D$8)/2))</x:f>
        <x:v>973.1315687009251</x:v>
      </x:c>
      <x:c r="AJ289" s="17" t="n">
        <x:f>IF(AND($A289&gt;='Control Room'!$A$13,$A289&lt;'Control Room'!$A$13+'Control Room'!$B$13,'Process'!BQ2=1),1+('Control Room'!$C$13-1)*EXP(-0.5*(($A289-'Control Room'!$A$13-('Control Room'!$B$13-1)/2)/MAX(0.5,'Control Room'!$B$13/4))^2),1)*IF(AND($A289&gt;='Control Room'!$A$14,$A289&lt;'Control Room'!$A$14+'Control Room'!$B$14,'Process'!BQ3=1),1+('Control Room'!$C$14-1)*EXP(-0.5*(($A289-'Control Room'!$A$14-('Control Room'!$B$14-1)/2)/MAX(0.5,'Control Room'!$B$14/4))^2),1)*IF(AND($A289&gt;='Control Room'!$A$15,$A289&lt;'Control Room'!$A$15+'Control Room'!$B$15,'Process'!BQ4=1),1+('Control Room'!$C$15-1)*EXP(-0.5*(($A289-'Control Room'!$A$15-('Control Room'!$B$15-1)/2)/MAX(0.5,'Control Room'!$B$15/4))^2),1)*IF(AND($A289&gt;='Control Room'!$A$16,$A289&lt;'Control Room'!$A$16+'Control Room'!$B$16,'Process'!BQ5=1),1+('Control Room'!$C$16-1)*EXP(-0.5*(($A289-'Control Room'!$A$16-('Control Room'!$B$16-1)/2)/MAX(0.5,'Control Room'!$B$16/4))^2),1)</x:f>
        <x:v>1</x:v>
      </x:c>
      <x:c r="AK289" s="9" t="n">
        <x:f>MOD(AL288*16807,2147483647)</x:f>
        <x:v>898663288</x:v>
      </x:c>
      <x:c r="AL289" s="9" t="n">
        <x:f>MOD(AK289*16807,2147483647)</x:f>
        <x:v>581392065</x:v>
      </x:c>
      <x:c r="AM289" s="17" t="n">
        <x:f>IF('Control Room'!$B$5="Normal",'Control Room'!$B$7+'Control Room'!$D$7*SQRT(-2*LN(MAX(0.000000000001,AK289/2147483647)))*COS(2*PI()*AL289/2147483647),'Control Room'!$B$8+('Control Room'!$D$8-'Control Room'!$B$8)*AK289/2147483647)</x:f>
        <x:v>984.5691479102668</x:v>
      </x:c>
      <x:c r="AN289" s="17" t="n">
        <x:f>IF('Control Room'!$B$5="Normal",'Control Room'!$B$7,('Control Room'!$B$8+'Control Room'!$D$8)/2)+'Control Room'!$B$9*(AN288-IF('Control Room'!$B$5="Normal",'Control Room'!$B$7,('Control Room'!$B$8+'Control Room'!$D$8)/2))+SQRT(1-'Control Room'!$B$9^2)*(AM289-IF('Control Room'!$B$5="Normal",'Control Room'!$B$7,('Control Room'!$B$8+'Control Room'!$D$8)/2))</x:f>
        <x:v>951.4057338933765</x:v>
      </x:c>
      <x:c r="AO289" s="17" t="n">
        <x:f>IF(AND($A289&gt;='Control Room'!$A$13,$A289&lt;'Control Room'!$A$13+'Control Room'!$B$13,'Process'!BR2=1),1+('Control Room'!$C$13-1)*EXP(-0.5*(($A289-'Control Room'!$A$13-('Control Room'!$B$13-1)/2)/MAX(0.5,'Control Room'!$B$13/4))^2),1)*IF(AND($A289&gt;='Control Room'!$A$14,$A289&lt;'Control Room'!$A$14+'Control Room'!$B$14,'Process'!BR3=1),1+('Control Room'!$C$14-1)*EXP(-0.5*(($A289-'Control Room'!$A$14-('Control Room'!$B$14-1)/2)/MAX(0.5,'Control Room'!$B$14/4))^2),1)*IF(AND($A289&gt;='Control Room'!$A$15,$A289&lt;'Control Room'!$A$15+'Control Room'!$B$15,'Process'!BR4=1),1+('Control Room'!$C$15-1)*EXP(-0.5*(($A289-'Control Room'!$A$15-('Control Room'!$B$15-1)/2)/MAX(0.5,'Control Room'!$B$15/4))^2),1)*IF(AND($A289&gt;='Control Room'!$A$16,$A289&lt;'Control Room'!$A$16+'Control Room'!$B$16,'Process'!BR5=1),1+('Control Room'!$C$16-1)*EXP(-0.5*(($A289-'Control Room'!$A$16-('Control Room'!$B$16-1)/2)/MAX(0.5,'Control Room'!$B$16/4))^2),1)</x:f>
        <x:v>1</x:v>
      </x:c>
      <x:c r="AP289" s="9" t="n">
        <x:f>MOD(AQ288*16807,2147483647)</x:f>
        <x:v>97716552</x:v>
      </x:c>
      <x:c r="AQ289" s="9" t="n">
        <x:f>MOD(AP289*16807,2147483647)</x:f>
        <x:v>1644583156</x:v>
      </x:c>
      <x:c r="AR289" s="17" t="n">
        <x:f>IF('Control Room'!$B$5="Normal",'Control Room'!$B$7+'Control Room'!$D$7*SQRT(-2*LN(MAX(0.000000000001,AP289/2147483647)))*COS(2*PI()*AQ289/2147483647),'Control Room'!$B$8+('Control Room'!$D$8-'Control Room'!$B$8)*AP289/2147483647)</x:f>
        <x:v>1022.2009246602425</x:v>
      </x:c>
      <x:c r="AS289" s="17" t="n">
        <x:f>IF('Control Room'!$B$5="Normal",'Control Room'!$B$7,('Control Room'!$B$8+'Control Room'!$D$8)/2)+'Control Room'!$B$9*(AS288-IF('Control Room'!$B$5="Normal",'Control Room'!$B$7,('Control Room'!$B$8+'Control Room'!$D$8)/2))+SQRT(1-'Control Room'!$B$9^2)*(AR289-IF('Control Room'!$B$5="Normal",'Control Room'!$B$7,('Control Room'!$B$8+'Control Room'!$D$8)/2))</x:f>
        <x:v>985.7808875952088</x:v>
      </x:c>
      <x:c r="AT289" s="17" t="n">
        <x:f>IF(AND($A289&gt;='Control Room'!$A$13,$A289&lt;'Control Room'!$A$13+'Control Room'!$B$13,'Process'!BS2=1),1+('Control Room'!$C$13-1)*EXP(-0.5*(($A289-'Control Room'!$A$13-('Control Room'!$B$13-1)/2)/MAX(0.5,'Control Room'!$B$13/4))^2),1)*IF(AND($A289&gt;='Control Room'!$A$14,$A289&lt;'Control Room'!$A$14+'Control Room'!$B$14,'Process'!BS3=1),1+('Control Room'!$C$14-1)*EXP(-0.5*(($A289-'Control Room'!$A$14-('Control Room'!$B$14-1)/2)/MAX(0.5,'Control Room'!$B$14/4))^2),1)*IF(AND($A289&gt;='Control Room'!$A$15,$A289&lt;'Control Room'!$A$15+'Control Room'!$B$15,'Process'!BS4=1),1+('Control Room'!$C$15-1)*EXP(-0.5*(($A289-'Control Room'!$A$15-('Control Room'!$B$15-1)/2)/MAX(0.5,'Control Room'!$B$15/4))^2),1)*IF(AND($A289&gt;='Control Room'!$A$16,$A289&lt;'Control Room'!$A$16+'Control Room'!$B$16,'Process'!BS5=1),1+('Control Room'!$C$16-1)*EXP(-0.5*(($A289-'Control Room'!$A$16-('Control Room'!$B$16-1)/2)/MAX(0.5,'Control Room'!$B$16/4))^2),1)</x:f>
        <x:v>1</x:v>
      </x:c>
      <x:c r="AU289" s="9" t="n">
        <x:f>MOD(AV288*16807,2147483647)</x:f>
        <x:v>1444253463</x:v>
      </x:c>
      <x:c r="AV289" s="9" t="n">
        <x:f>MOD(AU289*16807,2147483647)</x:f>
        <x:v>560290600</x:v>
      </x:c>
      <x:c r="AW289" s="17" t="n">
        <x:f>IF('Control Room'!$B$5="Normal",'Control Room'!$B$7+'Control Room'!$D$7*SQRT(-2*LN(MAX(0.000000000001,AU289/2147483647)))*COS(2*PI()*AV289/2147483647),'Control Room'!$B$8+('Control Room'!$D$8-'Control Room'!$B$8)*AU289/2147483647)</x:f>
        <x:v>994.5111405115133</x:v>
      </x:c>
      <x:c r="AX289" s="17" t="n">
        <x:f>IF('Control Room'!$B$5="Normal",'Control Room'!$B$7,('Control Room'!$B$8+'Control Room'!$D$8)/2)+'Control Room'!$B$9*(AX288-IF('Control Room'!$B$5="Normal",'Control Room'!$B$7,('Control Room'!$B$8+'Control Room'!$D$8)/2))+SQRT(1-'Control Room'!$B$9^2)*(AW289-IF('Control Room'!$B$5="Normal",'Control Room'!$B$7,('Control Room'!$B$8+'Control Room'!$D$8)/2))</x:f>
        <x:v>1056.097609278536</x:v>
      </x:c>
      <x:c r="AY289" s="17" t="n">
        <x:f>IF(AND($A289&gt;='Control Room'!$A$13,$A289&lt;'Control Room'!$A$13+'Control Room'!$B$13,'Process'!BT2=1),1+('Control Room'!$C$13-1)*EXP(-0.5*(($A289-'Control Room'!$A$13-('Control Room'!$B$13-1)/2)/MAX(0.5,'Control Room'!$B$13/4))^2),1)*IF(AND($A289&gt;='Control Room'!$A$14,$A289&lt;'Control Room'!$A$14+'Control Room'!$B$14,'Process'!BT3=1),1+('Control Room'!$C$14-1)*EXP(-0.5*(($A289-'Control Room'!$A$14-('Control Room'!$B$14-1)/2)/MAX(0.5,'Control Room'!$B$14/4))^2),1)*IF(AND($A289&gt;='Control Room'!$A$15,$A289&lt;'Control Room'!$A$15+'Control Room'!$B$15,'Process'!BT4=1),1+('Control Room'!$C$15-1)*EXP(-0.5*(($A289-'Control Room'!$A$15-('Control Room'!$B$15-1)/2)/MAX(0.5,'Control Room'!$B$15/4))^2),1)*IF(AND($A289&gt;='Control Room'!$A$16,$A289&lt;'Control Room'!$A$16+'Control Room'!$B$16,'Process'!BT5=1),1+('Control Room'!$C$16-1)*EXP(-0.5*(($A289-'Control Room'!$A$16-('Control Room'!$B$16-1)/2)/MAX(0.5,'Control Room'!$B$16/4))^2),1)</x:f>
        <x:v>1</x:v>
      </x:c>
      <x:c r="AZ289" s="9" t="n">
        <x:f>MOD(BA288*16807,2147483647)</x:f>
        <x:v>643306727</x:v>
      </x:c>
      <x:c r="BA289" s="9" t="n">
        <x:f>MOD(AZ289*16807,2147483647)</x:f>
        <x:v>1623481691</x:v>
      </x:c>
      <x:c r="BB289" s="17" t="n">
        <x:f>IF('Control Room'!$B$5="Normal",'Control Room'!$B$7+'Control Room'!$D$7*SQRT(-2*LN(MAX(0.000000000001,AZ289/2147483647)))*COS(2*PI()*BA289/2147483647),'Control Room'!$B$8+('Control Room'!$D$8-'Control Room'!$B$8)*AZ289/2147483647)</x:f>
        <x:v>1005.2604060239065</x:v>
      </x:c>
      <x:c r="BC289" s="17" t="n">
        <x:f>IF('Control Room'!$B$5="Normal",'Control Room'!$B$7,('Control Room'!$B$8+'Control Room'!$D$8)/2)+'Control Room'!$B$9*(BC288-IF('Control Room'!$B$5="Normal",'Control Room'!$B$7,('Control Room'!$B$8+'Control Room'!$D$8)/2))+SQRT(1-'Control Room'!$B$9^2)*(BB289-IF('Control Room'!$B$5="Normal",'Control Room'!$B$7,('Control Room'!$B$8+'Control Room'!$D$8)/2))</x:f>
        <x:v>995.868235339459</x:v>
      </x:c>
      <x:c r="BD289" s="17" t="n">
        <x:f>IF(AND($A289&gt;='Control Room'!$A$13,$A289&lt;'Control Room'!$A$13+'Control Room'!$B$13,'Process'!BU2=1),1+('Control Room'!$C$13-1)*EXP(-0.5*(($A289-'Control Room'!$A$13-('Control Room'!$B$13-1)/2)/MAX(0.5,'Control Room'!$B$13/4))^2),1)*IF(AND($A289&gt;='Control Room'!$A$14,$A289&lt;'Control Room'!$A$14+'Control Room'!$B$14,'Process'!BU3=1),1+('Control Room'!$C$14-1)*EXP(-0.5*(($A289-'Control Room'!$A$14-('Control Room'!$B$14-1)/2)/MAX(0.5,'Control Room'!$B$14/4))^2),1)*IF(AND($A289&gt;='Control Room'!$A$15,$A289&lt;'Control Room'!$A$15+'Control Room'!$B$15,'Process'!BU4=1),1+('Control Room'!$C$15-1)*EXP(-0.5*(($A289-'Control Room'!$A$15-('Control Room'!$B$15-1)/2)/MAX(0.5,'Control Room'!$B$15/4))^2),1)*IF(AND($A289&gt;='Control Room'!$A$16,$A289&lt;'Control Room'!$A$16+'Control Room'!$B$16,'Process'!BU5=1),1+('Control Room'!$C$16-1)*EXP(-0.5*(($A289-'Control Room'!$A$16-('Control Room'!$B$16-1)/2)/MAX(0.5,'Control Room'!$B$16/4))^2),1)</x:f>
        <x:v>1</x:v>
      </x:c>
      <x:c r="BE289" s="9" t="n">
        <x:f>MOD(BF288*16807,2147483647)</x:f>
        <x:v>1989843638</x:v>
      </x:c>
      <x:c r="BF289" s="9" t="n">
        <x:f>MOD(BE289*16807,2147483647)</x:f>
        <x:v>539189135</x:v>
      </x:c>
      <x:c r="BG289" s="17" t="n">
        <x:f>IF('Control Room'!$B$5="Normal",'Control Room'!$B$7+'Control Room'!$D$7*SQRT(-2*LN(MAX(0.000000000001,BE289/2147483647)))*COS(2*PI()*BF289/2147483647),'Control Room'!$B$8+('Control Room'!$D$8-'Control Room'!$B$8)*BE289/2147483647)</x:f>
        <x:v>999.761629301152</x:v>
      </x:c>
      <x:c r="BH289" s="17" t="n">
        <x:f>IF('Control Room'!$B$5="Normal",'Control Room'!$B$7,('Control Room'!$B$8+'Control Room'!$D$8)/2)+'Control Room'!$B$9*(BH288-IF('Control Room'!$B$5="Normal",'Control Room'!$B$7,('Control Room'!$B$8+'Control Room'!$D$8)/2))+SQRT(1-'Control Room'!$B$9^2)*(BG289-IF('Control Room'!$B$5="Normal",'Control Room'!$B$7,('Control Room'!$B$8+'Control Room'!$D$8)/2))</x:f>
        <x:v>1033.599643293814</x:v>
      </x:c>
      <x:c r="BI289" s="17" t="n">
        <x:f>IF(AND($A289&gt;='Control Room'!$A$13,$A289&lt;'Control Room'!$A$13+'Control Room'!$B$13,'Process'!BV2=1),1+('Control Room'!$C$13-1)*EXP(-0.5*(($A289-'Control Room'!$A$13-('Control Room'!$B$13-1)/2)/MAX(0.5,'Control Room'!$B$13/4))^2),1)*IF(AND($A289&gt;='Control Room'!$A$14,$A289&lt;'Control Room'!$A$14+'Control Room'!$B$14,'Process'!BV3=1),1+('Control Room'!$C$14-1)*EXP(-0.5*(($A289-'Control Room'!$A$14-('Control Room'!$B$14-1)/2)/MAX(0.5,'Control Room'!$B$14/4))^2),1)*IF(AND($A289&gt;='Control Room'!$A$15,$A289&lt;'Control Room'!$A$15+'Control Room'!$B$15,'Process'!BV4=1),1+('Control Room'!$C$15-1)*EXP(-0.5*(($A289-'Control Room'!$A$15-('Control Room'!$B$15-1)/2)/MAX(0.5,'Control Room'!$B$15/4))^2),1)*IF(AND($A289&gt;='Control Room'!$A$16,$A289&lt;'Control Room'!$A$16+'Control Room'!$B$16,'Process'!BV5=1),1+('Control Room'!$C$16-1)*EXP(-0.5*(($A289-'Control Room'!$A$16-('Control Room'!$B$16-1)/2)/MAX(0.5,'Control Room'!$B$16/4))^2),1)</x:f>
        <x:v>1</x:v>
      </x:c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Z289" t="str">
        <x:f>IF('Data'!A289="","",TEXT('Data'!A289,"mm-dd"))</x:f>
      </x:c>
    </x:row>
    <x:row r="290" ht="21" customHeight="1">
      <x:c r="A290" s="15" t="n">
        <x:f>'Control Room'!$B$1+288</x:f>
        <x:v>73279</x:v>
      </x:c>
      <x:c r="B290" s="9" t="n">
        <x:f>MOD(C289*16807,2147483647)</x:f>
        <x:v>1517164355</x:v>
      </x:c>
      <x:c r="C290" s="9" t="n">
        <x:f>MOD(B290*16807,2147483647)</x:f>
        <x:v>1907973654</x:v>
      </x:c>
      <x:c r="D290" s="17" t="n">
        <x:f>IF('Control Room'!$B$5="Normal",'Control Room'!$B$7+'Control Room'!$D$7*SQRT(-2*LN(MAX(0.000000000001,B290/2147483647)))*COS(2*PI()*C290/2147483647),'Control Room'!$B$8+('Control Room'!$D$8-'Control Room'!$B$8)*B290/2147483647)</x:f>
        <x:v>1057.345195774411</x:v>
      </x:c>
      <x:c r="E290" s="17" t="n">
        <x:f>IF('Control Room'!$B$5="Normal",'Control Room'!$B$7,('Control Room'!$B$8+'Control Room'!$D$8)/2)+'Control Room'!$B$9*(E289-IF('Control Room'!$B$5="Normal",'Control Room'!$B$7,('Control Room'!$B$8+'Control Room'!$D$8)/2))+SQRT(1-'Control Room'!$B$9^2)*(D290-IF('Control Room'!$B$5="Normal",'Control Room'!$B$7,('Control Room'!$B$8+'Control Room'!$D$8)/2))</x:f>
        <x:v>1032.9562827315096</x:v>
      </x:c>
      <x:c r="F290" s="17" t="n">
        <x:f>IF(AND($A290&gt;='Control Room'!$A$13,$A290&lt;'Control Room'!$A$13+'Control Room'!$B$13,'Process'!BK2=1),1+('Control Room'!$C$13-1)*EXP(-0.5*(($A290-'Control Room'!$A$13-('Control Room'!$B$13-1)/2)/MAX(0.5,'Control Room'!$B$13/4))^2),1)*IF(AND($A290&gt;='Control Room'!$A$14,$A290&lt;'Control Room'!$A$14+'Control Room'!$B$14,'Process'!BK3=1),1+('Control Room'!$C$14-1)*EXP(-0.5*(($A290-'Control Room'!$A$14-('Control Room'!$B$14-1)/2)/MAX(0.5,'Control Room'!$B$14/4))^2),1)*IF(AND($A290&gt;='Control Room'!$A$15,$A290&lt;'Control Room'!$A$15+'Control Room'!$B$15,'Process'!BK4=1),1+('Control Room'!$C$15-1)*EXP(-0.5*(($A290-'Control Room'!$A$15-('Control Room'!$B$15-1)/2)/MAX(0.5,'Control Room'!$B$15/4))^2),1)*IF(AND($A290&gt;='Control Room'!$A$16,$A290&lt;'Control Room'!$A$16+'Control Room'!$B$16,'Process'!BK5=1),1+('Control Room'!$C$16-1)*EXP(-0.5*(($A290-'Control Room'!$A$16-('Control Room'!$B$16-1)/2)/MAX(0.5,'Control Room'!$B$16/4))^2),1)</x:f>
        <x:v>1</x:v>
      </x:c>
      <x:c r="G290" s="9" t="n">
        <x:f>MOD(H289*16807,2147483647)</x:f>
        <x:v>1358404105</x:v>
      </x:c>
      <x:c r="H290" s="9" t="n">
        <x:f>MOD(G290*16807,2147483647)</x:f>
        <x:v>799141478</x:v>
      </x:c>
      <x:c r="I290" s="17" t="n">
        <x:f>IF('Control Room'!$B$5="Normal",'Control Room'!$B$7+'Control Room'!$D$7*SQRT(-2*LN(MAX(0.000000000001,G290/2147483647)))*COS(2*PI()*H290/2147483647),'Control Room'!$B$8+('Control Room'!$D$8-'Control Room'!$B$8)*G290/2147483647)</x:f>
        <x:v>940.2012494032532</x:v>
      </x:c>
      <x:c r="J290" s="17" t="n">
        <x:f>IF('Control Room'!$B$5="Normal",'Control Room'!$B$7,('Control Room'!$B$8+'Control Room'!$D$8)/2)+'Control Room'!$B$9*(J289-IF('Control Room'!$B$5="Normal",'Control Room'!$B$7,('Control Room'!$B$8+'Control Room'!$D$8)/2))+SQRT(1-'Control Room'!$B$9^2)*(I290-IF('Control Room'!$B$5="Normal",'Control Room'!$B$7,('Control Room'!$B$8+'Control Room'!$D$8)/2))</x:f>
        <x:v>1012.4870675202094</x:v>
      </x:c>
      <x:c r="K290" s="17" t="n">
        <x:f>IF(AND($A290&gt;='Control Room'!$A$13,$A290&lt;'Control Room'!$A$13+'Control Room'!$B$13,'Process'!BL2=1),1+('Control Room'!$C$13-1)*EXP(-0.5*(($A290-'Control Room'!$A$13-('Control Room'!$B$13-1)/2)/MAX(0.5,'Control Room'!$B$13/4))^2),1)*IF(AND($A290&gt;='Control Room'!$A$14,$A290&lt;'Control Room'!$A$14+'Control Room'!$B$14,'Process'!BL3=1),1+('Control Room'!$C$14-1)*EXP(-0.5*(($A290-'Control Room'!$A$14-('Control Room'!$B$14-1)/2)/MAX(0.5,'Control Room'!$B$14/4))^2),1)*IF(AND($A290&gt;='Control Room'!$A$15,$A290&lt;'Control Room'!$A$15+'Control Room'!$B$15,'Process'!BL4=1),1+('Control Room'!$C$15-1)*EXP(-0.5*(($A290-'Control Room'!$A$15-('Control Room'!$B$15-1)/2)/MAX(0.5,'Control Room'!$B$15/4))^2),1)*IF(AND($A290&gt;='Control Room'!$A$16,$A290&lt;'Control Room'!$A$16+'Control Room'!$B$16,'Process'!BL5=1),1+('Control Room'!$C$16-1)*EXP(-0.5*(($A290-'Control Room'!$A$16-('Control Room'!$B$16-1)/2)/MAX(0.5,'Control Room'!$B$16/4))^2),1)</x:f>
        <x:v>1</x:v>
      </x:c>
      <x:c r="L290" s="9" t="n">
        <x:f>MOD(M289*16807,2147483647)</x:f>
        <x:v>1199643855</x:v>
      </x:c>
      <x:c r="M290" s="9" t="n">
        <x:f>MOD(L290*16807,2147483647)</x:f>
        <x:v>1837792949</x:v>
      </x:c>
      <x:c r="N290" s="17" t="n">
        <x:f>IF('Control Room'!$B$5="Normal",'Control Room'!$B$7+'Control Room'!$D$7*SQRT(-2*LN(MAX(0.000000000001,L290/2147483647)))*COS(2*PI()*M290/2147483647),'Control Room'!$B$8+('Control Room'!$D$8-'Control Room'!$B$8)*L290/2147483647)</x:f>
        <x:v>1059.9068751942018</x:v>
      </x:c>
      <x:c r="O290" s="17" t="n">
        <x:f>IF('Control Room'!$B$5="Normal",'Control Room'!$B$7,('Control Room'!$B$8+'Control Room'!$D$8)/2)+'Control Room'!$B$9*(O289-IF('Control Room'!$B$5="Normal",'Control Room'!$B$7,('Control Room'!$B$8+'Control Room'!$D$8)/2))+SQRT(1-'Control Room'!$B$9^2)*(N290-IF('Control Room'!$B$5="Normal",'Control Room'!$B$7,('Control Room'!$B$8+'Control Room'!$D$8)/2))</x:f>
        <x:v>1053.97518627279</x:v>
      </x:c>
      <x:c r="P290" s="17" t="n">
        <x:f>IF(AND($A290&gt;='Control Room'!$A$13,$A290&lt;'Control Room'!$A$13+'Control Room'!$B$13,'Process'!BM2=1),1+('Control Room'!$C$13-1)*EXP(-0.5*(($A290-'Control Room'!$A$13-('Control Room'!$B$13-1)/2)/MAX(0.5,'Control Room'!$B$13/4))^2),1)*IF(AND($A290&gt;='Control Room'!$A$14,$A290&lt;'Control Room'!$A$14+'Control Room'!$B$14,'Process'!BM3=1),1+('Control Room'!$C$14-1)*EXP(-0.5*(($A290-'Control Room'!$A$14-('Control Room'!$B$14-1)/2)/MAX(0.5,'Control Room'!$B$14/4))^2),1)*IF(AND($A290&gt;='Control Room'!$A$15,$A290&lt;'Control Room'!$A$15+'Control Room'!$B$15,'Process'!BM4=1),1+('Control Room'!$C$15-1)*EXP(-0.5*(($A290-'Control Room'!$A$15-('Control Room'!$B$15-1)/2)/MAX(0.5,'Control Room'!$B$15/4))^2),1)*IF(AND($A290&gt;='Control Room'!$A$16,$A290&lt;'Control Room'!$A$16+'Control Room'!$B$16,'Process'!BM5=1),1+('Control Room'!$C$16-1)*EXP(-0.5*(($A290-'Control Room'!$A$16-('Control Room'!$B$16-1)/2)/MAX(0.5,'Control Room'!$B$16/4))^2),1)</x:f>
        <x:v>1</x:v>
      </x:c>
      <x:c r="Q290" s="9" t="n">
        <x:f>MOD(R289*16807,2147483647)</x:f>
        <x:v>1040883605</x:v>
      </x:c>
      <x:c r="R290" s="9" t="n">
        <x:f>MOD(Q290*16807,2147483647)</x:f>
        <x:v>728960773</x:v>
      </x:c>
      <x:c r="S290" s="17" t="n">
        <x:f>IF('Control Room'!$B$5="Normal",'Control Room'!$B$7+'Control Room'!$D$7*SQRT(-2*LN(MAX(0.000000000001,Q290/2147483647)))*COS(2*PI()*R290/2147483647),'Control Room'!$B$8+('Control Room'!$D$8-'Control Room'!$B$8)*Q290/2147483647)</x:f>
        <x:v>942.2781674800202</x:v>
      </x:c>
      <x:c r="T290" s="17" t="n">
        <x:f>IF('Control Room'!$B$5="Normal",'Control Room'!$B$7,('Control Room'!$B$8+'Control Room'!$D$8)/2)+'Control Room'!$B$9*(T289-IF('Control Room'!$B$5="Normal",'Control Room'!$B$7,('Control Room'!$B$8+'Control Room'!$D$8)/2))+SQRT(1-'Control Room'!$B$9^2)*(S290-IF('Control Room'!$B$5="Normal",'Control Room'!$B$7,('Control Room'!$B$8+'Control Room'!$D$8)/2))</x:f>
        <x:v>986.8520618164969</x:v>
      </x:c>
      <x:c r="U290" s="17" t="n">
        <x:f>IF(AND($A290&gt;='Control Room'!$A$13,$A290&lt;'Control Room'!$A$13+'Control Room'!$B$13,'Process'!BN2=1),1+('Control Room'!$C$13-1)*EXP(-0.5*(($A290-'Control Room'!$A$13-('Control Room'!$B$13-1)/2)/MAX(0.5,'Control Room'!$B$13/4))^2),1)*IF(AND($A290&gt;='Control Room'!$A$14,$A290&lt;'Control Room'!$A$14+'Control Room'!$B$14,'Process'!BN3=1),1+('Control Room'!$C$14-1)*EXP(-0.5*(($A290-'Control Room'!$A$14-('Control Room'!$B$14-1)/2)/MAX(0.5,'Control Room'!$B$14/4))^2),1)*IF(AND($A290&gt;='Control Room'!$A$15,$A290&lt;'Control Room'!$A$15+'Control Room'!$B$15,'Process'!BN4=1),1+('Control Room'!$C$15-1)*EXP(-0.5*(($A290-'Control Room'!$A$15-('Control Room'!$B$15-1)/2)/MAX(0.5,'Control Room'!$B$15/4))^2),1)*IF(AND($A290&gt;='Control Room'!$A$16,$A290&lt;'Control Room'!$A$16+'Control Room'!$B$16,'Process'!BN5=1),1+('Control Room'!$C$16-1)*EXP(-0.5*(($A290-'Control Room'!$A$16-('Control Room'!$B$16-1)/2)/MAX(0.5,'Control Room'!$B$16/4))^2),1)</x:f>
        <x:v>1</x:v>
      </x:c>
      <x:c r="V290" s="9" t="n">
        <x:f>MOD(W289*16807,2147483647)</x:f>
        <x:v>882123355</x:v>
      </x:c>
      <x:c r="W290" s="9" t="n">
        <x:f>MOD(V290*16807,2147483647)</x:f>
        <x:v>1767612244</x:v>
      </x:c>
      <x:c r="X290" s="17" t="n">
        <x:f>IF('Control Room'!$B$5="Normal",'Control Room'!$B$7+'Control Room'!$D$7*SQRT(-2*LN(MAX(0.000000000001,V290/2147483647)))*COS(2*PI()*W290/2147483647),'Control Room'!$B$8+('Control Room'!$D$8-'Control Room'!$B$8)*V290/2147483647)</x:f>
        <x:v>1053.2292613252066</x:v>
      </x:c>
      <x:c r="Y290" s="17" t="n">
        <x:f>IF('Control Room'!$B$5="Normal",'Control Room'!$B$7,('Control Room'!$B$8+'Control Room'!$D$8)/2)+'Control Room'!$B$9*(Y289-IF('Control Room'!$B$5="Normal",'Control Room'!$B$7,('Control Room'!$B$8+'Control Room'!$D$8)/2))+SQRT(1-'Control Room'!$B$9^2)*(X290-IF('Control Room'!$B$5="Normal",'Control Room'!$B$7,('Control Room'!$B$8+'Control Room'!$D$8)/2))</x:f>
        <x:v>1035.3323030024799</x:v>
      </x:c>
      <x:c r="Z290" s="17" t="n">
        <x:f>IF(AND($A290&gt;='Control Room'!$A$13,$A290&lt;'Control Room'!$A$13+'Control Room'!$B$13,'Process'!BO2=1),1+('Control Room'!$C$13-1)*EXP(-0.5*(($A290-'Control Room'!$A$13-('Control Room'!$B$13-1)/2)/MAX(0.5,'Control Room'!$B$13/4))^2),1)*IF(AND($A290&gt;='Control Room'!$A$14,$A290&lt;'Control Room'!$A$14+'Control Room'!$B$14,'Process'!BO3=1),1+('Control Room'!$C$14-1)*EXP(-0.5*(($A290-'Control Room'!$A$14-('Control Room'!$B$14-1)/2)/MAX(0.5,'Control Room'!$B$14/4))^2),1)*IF(AND($A290&gt;='Control Room'!$A$15,$A290&lt;'Control Room'!$A$15+'Control Room'!$B$15,'Process'!BO4=1),1+('Control Room'!$C$15-1)*EXP(-0.5*(($A290-'Control Room'!$A$15-('Control Room'!$B$15-1)/2)/MAX(0.5,'Control Room'!$B$15/4))^2),1)*IF(AND($A290&gt;='Control Room'!$A$16,$A290&lt;'Control Room'!$A$16+'Control Room'!$B$16,'Process'!BO5=1),1+('Control Room'!$C$16-1)*EXP(-0.5*(($A290-'Control Room'!$A$16-('Control Room'!$B$16-1)/2)/MAX(0.5,'Control Room'!$B$16/4))^2),1)</x:f>
        <x:v>1</x:v>
      </x:c>
      <x:c r="AA290" s="9" t="n">
        <x:f>MOD(AB289*16807,2147483647)</x:f>
        <x:v>723363105</x:v>
      </x:c>
      <x:c r="AB290" s="9" t="n">
        <x:f>MOD(AA290*16807,2147483647)</x:f>
        <x:v>658780068</x:v>
      </x:c>
      <x:c r="AC290" s="17" t="n">
        <x:f>IF('Control Room'!$B$5="Normal",'Control Room'!$B$7+'Control Room'!$D$7*SQRT(-2*LN(MAX(0.000000000001,AA290/2147483647)))*COS(2*PI()*AB290/2147483647),'Control Room'!$B$8+('Control Room'!$D$8-'Control Room'!$B$8)*AA290/2147483647)</x:f>
        <x:v>953.6405645003014</x:v>
      </x:c>
      <x:c r="AD290" s="17" t="n">
        <x:f>IF('Control Room'!$B$5="Normal",'Control Room'!$B$7,('Control Room'!$B$8+'Control Room'!$D$8)/2)+'Control Room'!$B$9*(AD289-IF('Control Room'!$B$5="Normal",'Control Room'!$B$7,('Control Room'!$B$8+'Control Room'!$D$8)/2))+SQRT(1-'Control Room'!$B$9^2)*(AC290-IF('Control Room'!$B$5="Normal",'Control Room'!$B$7,('Control Room'!$B$8+'Control Room'!$D$8)/2))</x:f>
        <x:v>1034.28360482566</x:v>
      </x:c>
      <x:c r="AE290" s="17" t="n">
        <x:f>IF(AND($A290&gt;='Control Room'!$A$13,$A290&lt;'Control Room'!$A$13+'Control Room'!$B$13,'Process'!BP2=1),1+('Control Room'!$C$13-1)*EXP(-0.5*(($A290-'Control Room'!$A$13-('Control Room'!$B$13-1)/2)/MAX(0.5,'Control Room'!$B$13/4))^2),1)*IF(AND($A290&gt;='Control Room'!$A$14,$A290&lt;'Control Room'!$A$14+'Control Room'!$B$14,'Process'!BP3=1),1+('Control Room'!$C$14-1)*EXP(-0.5*(($A290-'Control Room'!$A$14-('Control Room'!$B$14-1)/2)/MAX(0.5,'Control Room'!$B$14/4))^2),1)*IF(AND($A290&gt;='Control Room'!$A$15,$A290&lt;'Control Room'!$A$15+'Control Room'!$B$15,'Process'!BP4=1),1+('Control Room'!$C$15-1)*EXP(-0.5*(($A290-'Control Room'!$A$15-('Control Room'!$B$15-1)/2)/MAX(0.5,'Control Room'!$B$15/4))^2),1)*IF(AND($A290&gt;='Control Room'!$A$16,$A290&lt;'Control Room'!$A$16+'Control Room'!$B$16,'Process'!BP5=1),1+('Control Room'!$C$16-1)*EXP(-0.5*(($A290-'Control Room'!$A$16-('Control Room'!$B$16-1)/2)/MAX(0.5,'Control Room'!$B$16/4))^2),1)</x:f>
        <x:v>1</x:v>
      </x:c>
      <x:c r="AF290" s="9" t="n">
        <x:f>MOD(AG289*16807,2147483647)</x:f>
        <x:v>564602855</x:v>
      </x:c>
      <x:c r="AG290" s="9" t="n">
        <x:f>MOD(AF290*16807,2147483647)</x:f>
        <x:v>1697431539</x:v>
      </x:c>
      <x:c r="AH290" s="17" t="n">
        <x:f>IF('Control Room'!$B$5="Normal",'Control Room'!$B$7+'Control Room'!$D$7*SQRT(-2*LN(MAX(0.000000000001,AF290/2147483647)))*COS(2*PI()*AG290/2147483647),'Control Room'!$B$8+('Control Room'!$D$8-'Control Room'!$B$8)*AF290/2147483647)</x:f>
        <x:v>1036.968558343242</x:v>
      </x:c>
      <x:c r="AI290" s="17" t="n">
        <x:f>IF('Control Room'!$B$5="Normal",'Control Room'!$B$7,('Control Room'!$B$8+'Control Room'!$D$8)/2)+'Control Room'!$B$9*(AI289-IF('Control Room'!$B$5="Normal",'Control Room'!$B$7,('Control Room'!$B$8+'Control Room'!$D$8)/2))+SQRT(1-'Control Room'!$B$9^2)*(AH290-IF('Control Room'!$B$5="Normal",'Control Room'!$B$7,('Control Room'!$B$8+'Control Room'!$D$8)/2))</x:f>
        <x:v>1002.1767900558395</x:v>
      </x:c>
      <x:c r="AJ290" s="17" t="n">
        <x:f>IF(AND($A290&gt;='Control Room'!$A$13,$A290&lt;'Control Room'!$A$13+'Control Room'!$B$13,'Process'!BQ2=1),1+('Control Room'!$C$13-1)*EXP(-0.5*(($A290-'Control Room'!$A$13-('Control Room'!$B$13-1)/2)/MAX(0.5,'Control Room'!$B$13/4))^2),1)*IF(AND($A290&gt;='Control Room'!$A$14,$A290&lt;'Control Room'!$A$14+'Control Room'!$B$14,'Process'!BQ3=1),1+('Control Room'!$C$14-1)*EXP(-0.5*(($A290-'Control Room'!$A$14-('Control Room'!$B$14-1)/2)/MAX(0.5,'Control Room'!$B$14/4))^2),1)*IF(AND($A290&gt;='Control Room'!$A$15,$A290&lt;'Control Room'!$A$15+'Control Room'!$B$15,'Process'!BQ4=1),1+('Control Room'!$C$15-1)*EXP(-0.5*(($A290-'Control Room'!$A$15-('Control Room'!$B$15-1)/2)/MAX(0.5,'Control Room'!$B$15/4))^2),1)*IF(AND($A290&gt;='Control Room'!$A$16,$A290&lt;'Control Room'!$A$16+'Control Room'!$B$16,'Process'!BQ5=1),1+('Control Room'!$C$16-1)*EXP(-0.5*(($A290-'Control Room'!$A$16-('Control Room'!$B$16-1)/2)/MAX(0.5,'Control Room'!$B$16/4))^2),1)</x:f>
        <x:v>1</x:v>
      </x:c>
      <x:c r="AK290" s="9" t="n">
        <x:f>MOD(AL289*16807,2147483647)</x:f>
        <x:v>405842605</x:v>
      </x:c>
      <x:c r="AL290" s="9" t="n">
        <x:f>MOD(AK290*16807,2147483647)</x:f>
        <x:v>588599363</x:v>
      </x:c>
      <x:c r="AM290" s="17" t="n">
        <x:f>IF('Control Room'!$B$5="Normal",'Control Room'!$B$7+'Control Room'!$D$7*SQRT(-2*LN(MAX(0.000000000001,AK290/2147483647)))*COS(2*PI()*AL290/2147483647),'Control Room'!$B$8+('Control Room'!$D$8-'Control Room'!$B$8)*AK290/2147483647)</x:f>
        <x:v>975.2299730631445</x:v>
      </x:c>
      <x:c r="AN290" s="17" t="n">
        <x:f>IF('Control Room'!$B$5="Normal",'Control Room'!$B$7,('Control Room'!$B$8+'Control Room'!$D$8)/2)+'Control Room'!$B$9*(AN289-IF('Control Room'!$B$5="Normal",'Control Room'!$B$7,('Control Room'!$B$8+'Control Room'!$D$8)/2))+SQRT(1-'Control Room'!$B$9^2)*(AM290-IF('Control Room'!$B$5="Normal",'Control Room'!$B$7,('Control Room'!$B$8+'Control Room'!$D$8)/2))</x:f>
        <x:v>946.5958970213331</x:v>
      </x:c>
      <x:c r="AO290" s="17" t="n">
        <x:f>IF(AND($A290&gt;='Control Room'!$A$13,$A290&lt;'Control Room'!$A$13+'Control Room'!$B$13,'Process'!BR2=1),1+('Control Room'!$C$13-1)*EXP(-0.5*(($A290-'Control Room'!$A$13-('Control Room'!$B$13-1)/2)/MAX(0.5,'Control Room'!$B$13/4))^2),1)*IF(AND($A290&gt;='Control Room'!$A$14,$A290&lt;'Control Room'!$A$14+'Control Room'!$B$14,'Process'!BR3=1),1+('Control Room'!$C$14-1)*EXP(-0.5*(($A290-'Control Room'!$A$14-('Control Room'!$B$14-1)/2)/MAX(0.5,'Control Room'!$B$14/4))^2),1)*IF(AND($A290&gt;='Control Room'!$A$15,$A290&lt;'Control Room'!$A$15+'Control Room'!$B$15,'Process'!BR4=1),1+('Control Room'!$C$15-1)*EXP(-0.5*(($A290-'Control Room'!$A$15-('Control Room'!$B$15-1)/2)/MAX(0.5,'Control Room'!$B$15/4))^2),1)*IF(AND($A290&gt;='Control Room'!$A$16,$A290&lt;'Control Room'!$A$16+'Control Room'!$B$16,'Process'!BR5=1),1+('Control Room'!$C$16-1)*EXP(-0.5*(($A290-'Control Room'!$A$16-('Control Room'!$B$16-1)/2)/MAX(0.5,'Control Room'!$B$16/4))^2),1)</x:f>
        <x:v>1</x:v>
      </x:c>
      <x:c r="AP290" s="9" t="n">
        <x:f>MOD(AQ289*16807,2147483647)</x:f>
        <x:v>247082355</x:v>
      </x:c>
      <x:c r="AQ290" s="9" t="n">
        <x:f>MOD(AP290*16807,2147483647)</x:f>
        <x:v>1627250834</x:v>
      </x:c>
      <x:c r="AR290" s="17" t="n">
        <x:f>IF('Control Room'!$B$5="Normal",'Control Room'!$B$7+'Control Room'!$D$7*SQRT(-2*LN(MAX(0.000000000001,AP290/2147483647)))*COS(2*PI()*AQ290/2147483647),'Control Room'!$B$8+('Control Room'!$D$8-'Control Room'!$B$8)*AP290/2147483647)</x:f>
        <x:v>1009.1075315590912</x:v>
      </x:c>
      <x:c r="AS290" s="17" t="n">
        <x:f>IF('Control Room'!$B$5="Normal",'Control Room'!$B$7,('Control Room'!$B$8+'Control Room'!$D$8)/2)+'Control Room'!$B$9*(AS289-IF('Control Room'!$B$5="Normal",'Control Room'!$B$7,('Control Room'!$B$8+'Control Room'!$D$8)/2))+SQRT(1-'Control Room'!$B$9^2)*(AR290-IF('Control Room'!$B$5="Normal",'Control Room'!$B$7,('Control Room'!$B$8+'Control Room'!$D$8)/2))</x:f>
        <x:v>994.6083989960168</x:v>
      </x:c>
      <x:c r="AT290" s="17" t="n">
        <x:f>IF(AND($A290&gt;='Control Room'!$A$13,$A290&lt;'Control Room'!$A$13+'Control Room'!$B$13,'Process'!BS2=1),1+('Control Room'!$C$13-1)*EXP(-0.5*(($A290-'Control Room'!$A$13-('Control Room'!$B$13-1)/2)/MAX(0.5,'Control Room'!$B$13/4))^2),1)*IF(AND($A290&gt;='Control Room'!$A$14,$A290&lt;'Control Room'!$A$14+'Control Room'!$B$14,'Process'!BS3=1),1+('Control Room'!$C$14-1)*EXP(-0.5*(($A290-'Control Room'!$A$14-('Control Room'!$B$14-1)/2)/MAX(0.5,'Control Room'!$B$14/4))^2),1)*IF(AND($A290&gt;='Control Room'!$A$15,$A290&lt;'Control Room'!$A$15+'Control Room'!$B$15,'Process'!BS4=1),1+('Control Room'!$C$15-1)*EXP(-0.5*(($A290-'Control Room'!$A$15-('Control Room'!$B$15-1)/2)/MAX(0.5,'Control Room'!$B$15/4))^2),1)*IF(AND($A290&gt;='Control Room'!$A$16,$A290&lt;'Control Room'!$A$16+'Control Room'!$B$16,'Process'!BS5=1),1+('Control Room'!$C$16-1)*EXP(-0.5*(($A290-'Control Room'!$A$16-('Control Room'!$B$16-1)/2)/MAX(0.5,'Control Room'!$B$16/4))^2),1)</x:f>
        <x:v>1</x:v>
      </x:c>
      <x:c r="AU290" s="9" t="n">
        <x:f>MOD(AV289*16807,2147483647)</x:f>
        <x:v>88322105</x:v>
      </x:c>
      <x:c r="AV290" s="9" t="n">
        <x:f>MOD(AU290*16807,2147483647)</x:f>
        <x:v>518418658</x:v>
      </x:c>
      <x:c r="AW290" s="17" t="n">
        <x:f>IF('Control Room'!$B$5="Normal",'Control Room'!$B$7+'Control Room'!$D$7*SQRT(-2*LN(MAX(0.000000000001,AU290/2147483647)))*COS(2*PI()*AV290/2147483647),'Control Room'!$B$8+('Control Room'!$D$8-'Control Room'!$B$8)*AU290/2147483647)</x:f>
        <x:v>1012.2691232176569</x:v>
      </x:c>
      <x:c r="AX290" s="17" t="n">
        <x:f>IF('Control Room'!$B$5="Normal",'Control Room'!$B$7,('Control Room'!$B$8+'Control Room'!$D$8)/2)+'Control Room'!$B$9*(AX289-IF('Control Room'!$B$5="Normal",'Control Room'!$B$7,('Control Room'!$B$8+'Control Room'!$D$8)/2))+SQRT(1-'Control Room'!$B$9^2)*(AW290-IF('Control Room'!$B$5="Normal",'Control Room'!$B$7,('Control Room'!$B$8+'Control Room'!$D$8)/2))</x:f>
        <x:v>1051.4339012002167</x:v>
      </x:c>
      <x:c r="AY290" s="17" t="n">
        <x:f>IF(AND($A290&gt;='Control Room'!$A$13,$A290&lt;'Control Room'!$A$13+'Control Room'!$B$13,'Process'!BT2=1),1+('Control Room'!$C$13-1)*EXP(-0.5*(($A290-'Control Room'!$A$13-('Control Room'!$B$13-1)/2)/MAX(0.5,'Control Room'!$B$13/4))^2),1)*IF(AND($A290&gt;='Control Room'!$A$14,$A290&lt;'Control Room'!$A$14+'Control Room'!$B$14,'Process'!BT3=1),1+('Control Room'!$C$14-1)*EXP(-0.5*(($A290-'Control Room'!$A$14-('Control Room'!$B$14-1)/2)/MAX(0.5,'Control Room'!$B$14/4))^2),1)*IF(AND($A290&gt;='Control Room'!$A$15,$A290&lt;'Control Room'!$A$15+'Control Room'!$B$15,'Process'!BT4=1),1+('Control Room'!$C$15-1)*EXP(-0.5*(($A290-'Control Room'!$A$15-('Control Room'!$B$15-1)/2)/MAX(0.5,'Control Room'!$B$15/4))^2),1)*IF(AND($A290&gt;='Control Room'!$A$16,$A290&lt;'Control Room'!$A$16+'Control Room'!$B$16,'Process'!BT5=1),1+('Control Room'!$C$16-1)*EXP(-0.5*(($A290-'Control Room'!$A$16-('Control Room'!$B$16-1)/2)/MAX(0.5,'Control Room'!$B$16/4))^2),1)</x:f>
        <x:v>1</x:v>
      </x:c>
      <x:c r="AZ290" s="9" t="n">
        <x:f>MOD(BA289*16807,2147483647)</x:f>
        <x:v>2077045502</x:v>
      </x:c>
      <x:c r="BA290" s="9" t="n">
        <x:f>MOD(AZ290*16807,2147483647)</x:f>
        <x:v>1557070129</x:v>
      </x:c>
      <x:c r="BB290" s="17" t="n">
        <x:f>IF('Control Room'!$B$5="Normal",'Control Room'!$B$7+'Control Room'!$D$7*SQRT(-2*LN(MAX(0.000000000001,AZ290/2147483647)))*COS(2*PI()*BA290/2147483647),'Control Room'!$B$8+('Control Room'!$D$8-'Control Room'!$B$8)*AZ290/2147483647)</x:f>
        <x:v>996.3735714903128</x:v>
      </x:c>
      <x:c r="BC290" s="17" t="n">
        <x:f>IF('Control Room'!$B$5="Normal",'Control Room'!$B$7,('Control Room'!$B$8+'Control Room'!$D$8)/2)+'Control Room'!$B$9*(BC289-IF('Control Room'!$B$5="Normal",'Control Room'!$B$7,('Control Room'!$B$8+'Control Room'!$D$8)/2))+SQRT(1-'Control Room'!$B$9^2)*(BB290-IF('Control Room'!$B$5="Normal",'Control Room'!$B$7,('Control Room'!$B$8+'Control Room'!$D$8)/2))</x:f>
        <x:v>994.507878894842</x:v>
      </x:c>
      <x:c r="BD290" s="17" t="n">
        <x:f>IF(AND($A290&gt;='Control Room'!$A$13,$A290&lt;'Control Room'!$A$13+'Control Room'!$B$13,'Process'!BU2=1),1+('Control Room'!$C$13-1)*EXP(-0.5*(($A290-'Control Room'!$A$13-('Control Room'!$B$13-1)/2)/MAX(0.5,'Control Room'!$B$13/4))^2),1)*IF(AND($A290&gt;='Control Room'!$A$14,$A290&lt;'Control Room'!$A$14+'Control Room'!$B$14,'Process'!BU3=1),1+('Control Room'!$C$14-1)*EXP(-0.5*(($A290-'Control Room'!$A$14-('Control Room'!$B$14-1)/2)/MAX(0.5,'Control Room'!$B$14/4))^2),1)*IF(AND($A290&gt;='Control Room'!$A$15,$A290&lt;'Control Room'!$A$15+'Control Room'!$B$15,'Process'!BU4=1),1+('Control Room'!$C$15-1)*EXP(-0.5*(($A290-'Control Room'!$A$15-('Control Room'!$B$15-1)/2)/MAX(0.5,'Control Room'!$B$15/4))^2),1)*IF(AND($A290&gt;='Control Room'!$A$16,$A290&lt;'Control Room'!$A$16+'Control Room'!$B$16,'Process'!BU5=1),1+('Control Room'!$C$16-1)*EXP(-0.5*(($A290-'Control Room'!$A$16-('Control Room'!$B$16-1)/2)/MAX(0.5,'Control Room'!$B$16/4))^2),1)</x:f>
        <x:v>1</x:v>
      </x:c>
      <x:c r="BE290" s="9" t="n">
        <x:f>MOD(BF289*16807,2147483647)</x:f>
        <x:v>1918285252</x:v>
      </x:c>
      <x:c r="BF290" s="9" t="n">
        <x:f>MOD(BE290*16807,2147483647)</x:f>
        <x:v>448237953</x:v>
      </x:c>
      <x:c r="BG290" s="17" t="n">
        <x:f>IF('Control Room'!$B$5="Normal",'Control Room'!$B$7+'Control Room'!$D$7*SQRT(-2*LN(MAX(0.000000000001,BE290/2147483647)))*COS(2*PI()*BF290/2147483647),'Control Room'!$B$8+('Control Room'!$D$8-'Control Room'!$B$8)*BE290/2147483647)</x:f>
        <x:v>1010.964879945252</x:v>
      </x:c>
      <x:c r="BH290" s="17" t="n">
        <x:f>IF('Control Room'!$B$5="Normal",'Control Room'!$B$7,('Control Room'!$B$8+'Control Room'!$D$8)/2)+'Control Room'!$B$9*(BH289-IF('Control Room'!$B$5="Normal",'Control Room'!$B$7,('Control Room'!$B$8+'Control Room'!$D$8)/2))+SQRT(1-'Control Room'!$B$9^2)*(BG290-IF('Control Room'!$B$5="Normal",'Control Room'!$B$7,('Control Room'!$B$8+'Control Room'!$D$8)/2))</x:f>
        <x:v>1033.0693190111383</x:v>
      </x:c>
      <x:c r="BI290" s="17" t="n">
        <x:f>IF(AND($A290&gt;='Control Room'!$A$13,$A290&lt;'Control Room'!$A$13+'Control Room'!$B$13,'Process'!BV2=1),1+('Control Room'!$C$13-1)*EXP(-0.5*(($A290-'Control Room'!$A$13-('Control Room'!$B$13-1)/2)/MAX(0.5,'Control Room'!$B$13/4))^2),1)*IF(AND($A290&gt;='Control Room'!$A$14,$A290&lt;'Control Room'!$A$14+'Control Room'!$B$14,'Process'!BV3=1),1+('Control Room'!$C$14-1)*EXP(-0.5*(($A290-'Control Room'!$A$14-('Control Room'!$B$14-1)/2)/MAX(0.5,'Control Room'!$B$14/4))^2),1)*IF(AND($A290&gt;='Control Room'!$A$15,$A290&lt;'Control Room'!$A$15+'Control Room'!$B$15,'Process'!BV4=1),1+('Control Room'!$C$15-1)*EXP(-0.5*(($A290-'Control Room'!$A$15-('Control Room'!$B$15-1)/2)/MAX(0.5,'Control Room'!$B$15/4))^2),1)*IF(AND($A290&gt;='Control Room'!$A$16,$A290&lt;'Control Room'!$A$16+'Control Room'!$B$16,'Process'!BV5=1),1+('Control Room'!$C$16-1)*EXP(-0.5*(($A290-'Control Room'!$A$16-('Control Room'!$B$16-1)/2)/MAX(0.5,'Control Room'!$B$16/4))^2),1)</x:f>
        <x:v>1</x:v>
      </x:c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Z290" t="str">
        <x:f>IF('Data'!A290="","",TEXT('Data'!A290,"mm-dd"))</x:f>
      </x:c>
    </x:row>
    <x:row r="291" ht="21" customHeight="1">
      <x:c r="A291" s="15" t="n">
        <x:f>'Control Room'!$B$1+289</x:f>
        <x:v>73280</x:v>
      </x:c>
      <x:c r="B291" s="9" t="n">
        <x:f>MOD(C290*16807,2147483647)</x:f>
        <x:v>1087385774</x:v>
      </x:c>
      <x:c r="C291" s="9" t="n">
        <x:f>MOD(B291*16807,2147483647)</x:f>
        <x:v>606867648</x:v>
      </x:c>
      <x:c r="D291" s="17" t="n">
        <x:f>IF('Control Room'!$B$5="Normal",'Control Room'!$B$7+'Control Room'!$D$7*SQRT(-2*LN(MAX(0.000000000001,B291/2147483647)))*COS(2*PI()*C291/2147483647),'Control Room'!$B$8+('Control Room'!$D$8-'Control Room'!$B$8)*B291/2147483647)</x:f>
        <x:v>978.6466664262318</x:v>
      </x:c>
      <x:c r="E291" s="17" t="n">
        <x:f>IF('Control Room'!$B$5="Normal",'Control Room'!$B$7,('Control Room'!$B$8+'Control Room'!$D$8)/2)+'Control Room'!$B$9*(E290-IF('Control Room'!$B$5="Normal",'Control Room'!$B$7,('Control Room'!$B$8+'Control Room'!$D$8)/2))+SQRT(1-'Control Room'!$B$9^2)*(D291-IF('Control Room'!$B$5="Normal",'Control Room'!$B$7,('Control Room'!$B$8+'Control Room'!$D$8)/2))</x:f>
        <x:v>1012.343421826929</x:v>
      </x:c>
      <x:c r="F291" s="17" t="n">
        <x:f>IF(AND($A291&gt;='Control Room'!$A$13,$A291&lt;'Control Room'!$A$13+'Control Room'!$B$13,'Process'!BK2=1),1+('Control Room'!$C$13-1)*EXP(-0.5*(($A291-'Control Room'!$A$13-('Control Room'!$B$13-1)/2)/MAX(0.5,'Control Room'!$B$13/4))^2),1)*IF(AND($A291&gt;='Control Room'!$A$14,$A291&lt;'Control Room'!$A$14+'Control Room'!$B$14,'Process'!BK3=1),1+('Control Room'!$C$14-1)*EXP(-0.5*(($A291-'Control Room'!$A$14-('Control Room'!$B$14-1)/2)/MAX(0.5,'Control Room'!$B$14/4))^2),1)*IF(AND($A291&gt;='Control Room'!$A$15,$A291&lt;'Control Room'!$A$15+'Control Room'!$B$15,'Process'!BK4=1),1+('Control Room'!$C$15-1)*EXP(-0.5*(($A291-'Control Room'!$A$15-('Control Room'!$B$15-1)/2)/MAX(0.5,'Control Room'!$B$15/4))^2),1)*IF(AND($A291&gt;='Control Room'!$A$16,$A291&lt;'Control Room'!$A$16+'Control Room'!$B$16,'Process'!BK5=1),1+('Control Room'!$C$16-1)*EXP(-0.5*(($A291-'Control Room'!$A$16-('Control Room'!$B$16-1)/2)/MAX(0.5,'Control Room'!$B$16/4))^2),1)</x:f>
        <x:v>1</x:v>
      </x:c>
      <x:c r="G291" s="9" t="n">
        <x:f>MOD(H290*16807,2147483647)</x:f>
        <x:v>808092408</x:v>
      </x:c>
      <x:c r="H291" s="9" t="n">
        <x:f>MOD(G291*16807,2147483647)</x:f>
        <x:v>922517628</x:v>
      </x:c>
      <x:c r="I291" s="17" t="n">
        <x:f>IF('Control Room'!$B$5="Normal",'Control Room'!$B$7+'Control Room'!$D$7*SQRT(-2*LN(MAX(0.000000000001,G291/2147483647)))*COS(2*PI()*H291/2147483647),'Control Room'!$B$8+('Control Room'!$D$8-'Control Room'!$B$8)*G291/2147483647)</x:f>
        <x:v>886.2860753468372</x:v>
      </x:c>
      <x:c r="J291" s="17" t="n">
        <x:f>IF('Control Room'!$B$5="Normal",'Control Room'!$B$7,('Control Room'!$B$8+'Control Room'!$D$8)/2)+'Control Room'!$B$9*(J290-IF('Control Room'!$B$5="Normal",'Control Room'!$B$7,('Control Room'!$B$8+'Control Room'!$D$8)/2))+SQRT(1-'Control Room'!$B$9^2)*(I291-IF('Control Room'!$B$5="Normal",'Control Room'!$B$7,('Control Room'!$B$8+'Control Room'!$D$8)/2))</x:f>
        <x:v>938.5800681741832</x:v>
      </x:c>
      <x:c r="K291" s="17" t="n">
        <x:f>IF(AND($A291&gt;='Control Room'!$A$13,$A291&lt;'Control Room'!$A$13+'Control Room'!$B$13,'Process'!BL2=1),1+('Control Room'!$C$13-1)*EXP(-0.5*(($A291-'Control Room'!$A$13-('Control Room'!$B$13-1)/2)/MAX(0.5,'Control Room'!$B$13/4))^2),1)*IF(AND($A291&gt;='Control Room'!$A$14,$A291&lt;'Control Room'!$A$14+'Control Room'!$B$14,'Process'!BL3=1),1+('Control Room'!$C$14-1)*EXP(-0.5*(($A291-'Control Room'!$A$14-('Control Room'!$B$14-1)/2)/MAX(0.5,'Control Room'!$B$14/4))^2),1)*IF(AND($A291&gt;='Control Room'!$A$15,$A291&lt;'Control Room'!$A$15+'Control Room'!$B$15,'Process'!BL4=1),1+('Control Room'!$C$15-1)*EXP(-0.5*(($A291-'Control Room'!$A$15-('Control Room'!$B$15-1)/2)/MAX(0.5,'Control Room'!$B$15/4))^2),1)*IF(AND($A291&gt;='Control Room'!$A$16,$A291&lt;'Control Room'!$A$16+'Control Room'!$B$16,'Process'!BL5=1),1+('Control Room'!$C$16-1)*EXP(-0.5*(($A291-'Control Room'!$A$16-('Control Room'!$B$16-1)/2)/MAX(0.5,'Control Room'!$B$16/4))^2),1)</x:f>
        <x:v>1</x:v>
      </x:c>
      <x:c r="L291" s="9" t="n">
        <x:f>MOD(M290*16807,2147483647)</x:f>
        <x:v>528799042</x:v>
      </x:c>
      <x:c r="M291" s="9" t="n">
        <x:f>MOD(L291*16807,2147483647)</x:f>
        <x:v>1238167608</x:v>
      </x:c>
      <x:c r="N291" s="17" t="n">
        <x:f>IF('Control Room'!$B$5="Normal",'Control Room'!$B$7+'Control Room'!$D$7*SQRT(-2*LN(MAX(0.000000000001,L291/2147483647)))*COS(2*PI()*M291/2147483647),'Control Room'!$B$8+('Control Room'!$D$8-'Control Room'!$B$8)*L291/2147483647)</x:f>
        <x:v>866.4262002323193</x:v>
      </x:c>
      <x:c r="O291" s="17" t="n">
        <x:f>IF('Control Room'!$B$5="Normal",'Control Room'!$B$7,('Control Room'!$B$8+'Control Room'!$D$8)/2)+'Control Room'!$B$9*(O290-IF('Control Room'!$B$5="Normal",'Control Room'!$B$7,('Control Room'!$B$8+'Control Room'!$D$8)/2))+SQRT(1-'Control Room'!$B$9^2)*(N291-IF('Control Room'!$B$5="Normal",'Control Room'!$B$7,('Control Room'!$B$8+'Control Room'!$D$8)/2))</x:f>
        <x:v>958.512897806187</x:v>
      </x:c>
      <x:c r="P291" s="17" t="n">
        <x:f>IF(AND($A291&gt;='Control Room'!$A$13,$A291&lt;'Control Room'!$A$13+'Control Room'!$B$13,'Process'!BM2=1),1+('Control Room'!$C$13-1)*EXP(-0.5*(($A291-'Control Room'!$A$13-('Control Room'!$B$13-1)/2)/MAX(0.5,'Control Room'!$B$13/4))^2),1)*IF(AND($A291&gt;='Control Room'!$A$14,$A291&lt;'Control Room'!$A$14+'Control Room'!$B$14,'Process'!BM3=1),1+('Control Room'!$C$14-1)*EXP(-0.5*(($A291-'Control Room'!$A$14-('Control Room'!$B$14-1)/2)/MAX(0.5,'Control Room'!$B$14/4))^2),1)*IF(AND($A291&gt;='Control Room'!$A$15,$A291&lt;'Control Room'!$A$15+'Control Room'!$B$15,'Process'!BM4=1),1+('Control Room'!$C$15-1)*EXP(-0.5*(($A291-'Control Room'!$A$15-('Control Room'!$B$15-1)/2)/MAX(0.5,'Control Room'!$B$15/4))^2),1)*IF(AND($A291&gt;='Control Room'!$A$16,$A291&lt;'Control Room'!$A$16+'Control Room'!$B$16,'Process'!BM5=1),1+('Control Room'!$C$16-1)*EXP(-0.5*(($A291-'Control Room'!$A$16-('Control Room'!$B$16-1)/2)/MAX(0.5,'Control Room'!$B$16/4))^2),1)</x:f>
        <x:v>1</x:v>
      </x:c>
      <x:c r="Q291" s="9" t="n">
        <x:f>MOD(R290*16807,2147483647)</x:f>
        <x:v>249505676</x:v>
      </x:c>
      <x:c r="R291" s="9" t="n">
        <x:f>MOD(Q291*16807,2147483647)</x:f>
        <x:v>1553817588</x:v>
      </x:c>
      <x:c r="S291" s="17" t="n">
        <x:f>IF('Control Room'!$B$5="Normal",'Control Room'!$B$7+'Control Room'!$D$7*SQRT(-2*LN(MAX(0.000000000001,Q291/2147483647)))*COS(2*PI()*R291/2147483647),'Control Room'!$B$8+('Control Room'!$D$8-'Control Room'!$B$8)*Q291/2147483647)</x:f>
        <x:v>969.1114984761504</x:v>
      </x:c>
      <x:c r="T291" s="17" t="n">
        <x:f>IF('Control Room'!$B$5="Normal",'Control Room'!$B$7,('Control Room'!$B$8+'Control Room'!$D$8)/2)+'Control Room'!$B$9*(T290-IF('Control Room'!$B$5="Normal",'Control Room'!$B$7,('Control Room'!$B$8+'Control Room'!$D$8)/2))+SQRT(1-'Control Room'!$B$9^2)*(S291-IF('Control Room'!$B$5="Normal",'Control Room'!$B$7,('Control Room'!$B$8+'Control Room'!$D$8)/2))</x:f>
        <x:v>970.4152167485911</x:v>
      </x:c>
      <x:c r="U291" s="17" t="n">
        <x:f>IF(AND($A291&gt;='Control Room'!$A$13,$A291&lt;'Control Room'!$A$13+'Control Room'!$B$13,'Process'!BN2=1),1+('Control Room'!$C$13-1)*EXP(-0.5*(($A291-'Control Room'!$A$13-('Control Room'!$B$13-1)/2)/MAX(0.5,'Control Room'!$B$13/4))^2),1)*IF(AND($A291&gt;='Control Room'!$A$14,$A291&lt;'Control Room'!$A$14+'Control Room'!$B$14,'Process'!BN3=1),1+('Control Room'!$C$14-1)*EXP(-0.5*(($A291-'Control Room'!$A$14-('Control Room'!$B$14-1)/2)/MAX(0.5,'Control Room'!$B$14/4))^2),1)*IF(AND($A291&gt;='Control Room'!$A$15,$A291&lt;'Control Room'!$A$15+'Control Room'!$B$15,'Process'!BN4=1),1+('Control Room'!$C$15-1)*EXP(-0.5*(($A291-'Control Room'!$A$15-('Control Room'!$B$15-1)/2)/MAX(0.5,'Control Room'!$B$15/4))^2),1)*IF(AND($A291&gt;='Control Room'!$A$16,$A291&lt;'Control Room'!$A$16+'Control Room'!$B$16,'Process'!BN5=1),1+('Control Room'!$C$16-1)*EXP(-0.5*(($A291-'Control Room'!$A$16-('Control Room'!$B$16-1)/2)/MAX(0.5,'Control Room'!$B$16/4))^2),1)</x:f>
        <x:v>1</x:v>
      </x:c>
      <x:c r="V291" s="9" t="n">
        <x:f>MOD(W290*16807,2147483647)</x:f>
        <x:v>2117695957</x:v>
      </x:c>
      <x:c r="W291" s="9" t="n">
        <x:f>MOD(V291*16807,2147483647)</x:f>
        <x:v>1869467568</x:v>
      </x:c>
      <x:c r="X291" s="17" t="n">
        <x:f>IF('Control Room'!$B$5="Normal",'Control Room'!$B$7+'Control Room'!$D$7*SQRT(-2*LN(MAX(0.000000000001,V291/2147483647)))*COS(2*PI()*W291/2147483647),'Control Room'!$B$8+('Control Room'!$D$8-'Control Room'!$B$8)*V291/2147483647)</x:f>
        <x:v>1010.3344917953691</x:v>
      </x:c>
      <x:c r="Y291" s="17" t="n">
        <x:f>IF('Control Room'!$B$5="Normal",'Control Room'!$B$7,('Control Room'!$B$8+'Control Room'!$D$8)/2)+'Control Room'!$B$9*(Y290-IF('Control Room'!$B$5="Normal",'Control Room'!$B$7,('Control Room'!$B$8+'Control Room'!$D$8)/2))+SQRT(1-'Control Room'!$B$9^2)*(X291-IF('Control Room'!$B$5="Normal",'Control Room'!$B$7,('Control Room'!$B$8+'Control Room'!$D$8)/2))</x:f>
        <x:v>1034.0263095939042</x:v>
      </x:c>
      <x:c r="Z291" s="17" t="n">
        <x:f>IF(AND($A291&gt;='Control Room'!$A$13,$A291&lt;'Control Room'!$A$13+'Control Room'!$B$13,'Process'!BO2=1),1+('Control Room'!$C$13-1)*EXP(-0.5*(($A291-'Control Room'!$A$13-('Control Room'!$B$13-1)/2)/MAX(0.5,'Control Room'!$B$13/4))^2),1)*IF(AND($A291&gt;='Control Room'!$A$14,$A291&lt;'Control Room'!$A$14+'Control Room'!$B$14,'Process'!BO3=1),1+('Control Room'!$C$14-1)*EXP(-0.5*(($A291-'Control Room'!$A$14-('Control Room'!$B$14-1)/2)/MAX(0.5,'Control Room'!$B$14/4))^2),1)*IF(AND($A291&gt;='Control Room'!$A$15,$A291&lt;'Control Room'!$A$15+'Control Room'!$B$15,'Process'!BO4=1),1+('Control Room'!$C$15-1)*EXP(-0.5*(($A291-'Control Room'!$A$15-('Control Room'!$B$15-1)/2)/MAX(0.5,'Control Room'!$B$15/4))^2),1)*IF(AND($A291&gt;='Control Room'!$A$16,$A291&lt;'Control Room'!$A$16+'Control Room'!$B$16,'Process'!BO5=1),1+('Control Room'!$C$16-1)*EXP(-0.5*(($A291-'Control Room'!$A$16-('Control Room'!$B$16-1)/2)/MAX(0.5,'Control Room'!$B$16/4))^2),1)</x:f>
        <x:v>1</x:v>
      </x:c>
      <x:c r="AA291" s="9" t="n">
        <x:f>MOD(AB290*16807,2147483647)</x:f>
        <x:v>1838402591</x:v>
      </x:c>
      <x:c r="AB291" s="9" t="n">
        <x:f>MOD(AA291*16807,2147483647)</x:f>
        <x:v>37633901</x:v>
      </x:c>
      <x:c r="AC291" s="17" t="n">
        <x:f>IF('Control Room'!$B$5="Normal",'Control Room'!$B$7+'Control Room'!$D$7*SQRT(-2*LN(MAX(0.000000000001,AA291/2147483647)))*COS(2*PI()*AB291/2147483647),'Control Room'!$B$8+('Control Room'!$D$8-'Control Room'!$B$8)*AA291/2147483647)</x:f>
        <x:v>1049.870591588802</x:v>
      </x:c>
      <x:c r="AD291" s="17" t="n">
        <x:f>IF('Control Room'!$B$5="Normal",'Control Room'!$B$7,('Control Room'!$B$8+'Control Room'!$D$8)/2)+'Control Room'!$B$9*(AD290-IF('Control Room'!$B$5="Normal",'Control Room'!$B$7,('Control Room'!$B$8+'Control Room'!$D$8)/2))+SQRT(1-'Control Room'!$B$9^2)*(AC291-IF('Control Room'!$B$5="Normal",'Control Room'!$B$7,('Control Room'!$B$8+'Control Room'!$D$8)/2))</x:f>
        <x:v>1057.9492063256864</x:v>
      </x:c>
      <x:c r="AE291" s="17" t="n">
        <x:f>IF(AND($A291&gt;='Control Room'!$A$13,$A291&lt;'Control Room'!$A$13+'Control Room'!$B$13,'Process'!BP2=1),1+('Control Room'!$C$13-1)*EXP(-0.5*(($A291-'Control Room'!$A$13-('Control Room'!$B$13-1)/2)/MAX(0.5,'Control Room'!$B$13/4))^2),1)*IF(AND($A291&gt;='Control Room'!$A$14,$A291&lt;'Control Room'!$A$14+'Control Room'!$B$14,'Process'!BP3=1),1+('Control Room'!$C$14-1)*EXP(-0.5*(($A291-'Control Room'!$A$14-('Control Room'!$B$14-1)/2)/MAX(0.5,'Control Room'!$B$14/4))^2),1)*IF(AND($A291&gt;='Control Room'!$A$15,$A291&lt;'Control Room'!$A$15+'Control Room'!$B$15,'Process'!BP4=1),1+('Control Room'!$C$15-1)*EXP(-0.5*(($A291-'Control Room'!$A$15-('Control Room'!$B$15-1)/2)/MAX(0.5,'Control Room'!$B$15/4))^2),1)*IF(AND($A291&gt;='Control Room'!$A$16,$A291&lt;'Control Room'!$A$16+'Control Room'!$B$16,'Process'!BP5=1),1+('Control Room'!$C$16-1)*EXP(-0.5*(($A291-'Control Room'!$A$16-('Control Room'!$B$16-1)/2)/MAX(0.5,'Control Room'!$B$16/4))^2),1)</x:f>
        <x:v>1</x:v>
      </x:c>
      <x:c r="AF291" s="9" t="n">
        <x:f>MOD(AG290*16807,2147483647)</x:f>
        <x:v>1559109225</x:v>
      </x:c>
      <x:c r="AG291" s="9" t="n">
        <x:f>MOD(AF291*16807,2147483647)</x:f>
        <x:v>353283881</x:v>
      </x:c>
      <x:c r="AH291" s="17" t="n">
        <x:f>IF('Control Room'!$B$5="Normal",'Control Room'!$B$7+'Control Room'!$D$7*SQRT(-2*LN(MAX(0.000000000001,AF291/2147483647)))*COS(2*PI()*AG291/2147483647),'Control Room'!$B$8+('Control Room'!$D$8-'Control Room'!$B$8)*AF291/2147483647)</x:f>
        <x:v>1036.8518473094691</x:v>
      </x:c>
      <x:c r="AI291" s="17" t="n">
        <x:f>IF('Control Room'!$B$5="Normal",'Control Room'!$B$7,('Control Room'!$B$8+'Control Room'!$D$8)/2)+'Control Room'!$B$9*(AI290-IF('Control Room'!$B$5="Normal",'Control Room'!$B$7,('Control Room'!$B$8+'Control Room'!$D$8)/2))+SQRT(1-'Control Room'!$B$9^2)*(AH291-IF('Control Room'!$B$5="Normal",'Control Room'!$B$7,('Control Room'!$B$8+'Control Room'!$D$8)/2))</x:f>
        <x:v>1024.7590273386932</x:v>
      </x:c>
      <x:c r="AJ291" s="17" t="n">
        <x:f>IF(AND($A291&gt;='Control Room'!$A$13,$A291&lt;'Control Room'!$A$13+'Control Room'!$B$13,'Process'!BQ2=1),1+('Control Room'!$C$13-1)*EXP(-0.5*(($A291-'Control Room'!$A$13-('Control Room'!$B$13-1)/2)/MAX(0.5,'Control Room'!$B$13/4))^2),1)*IF(AND($A291&gt;='Control Room'!$A$14,$A291&lt;'Control Room'!$A$14+'Control Room'!$B$14,'Process'!BQ3=1),1+('Control Room'!$C$14-1)*EXP(-0.5*(($A291-'Control Room'!$A$14-('Control Room'!$B$14-1)/2)/MAX(0.5,'Control Room'!$B$14/4))^2),1)*IF(AND($A291&gt;='Control Room'!$A$15,$A291&lt;'Control Room'!$A$15+'Control Room'!$B$15,'Process'!BQ4=1),1+('Control Room'!$C$15-1)*EXP(-0.5*(($A291-'Control Room'!$A$15-('Control Room'!$B$15-1)/2)/MAX(0.5,'Control Room'!$B$15/4))^2),1)*IF(AND($A291&gt;='Control Room'!$A$16,$A291&lt;'Control Room'!$A$16+'Control Room'!$B$16,'Process'!BQ5=1),1+('Control Room'!$C$16-1)*EXP(-0.5*(($A291-'Control Room'!$A$16-('Control Room'!$B$16-1)/2)/MAX(0.5,'Control Room'!$B$16/4))^2),1)</x:f>
        <x:v>1</x:v>
      </x:c>
      <x:c r="AK291" s="9" t="n">
        <x:f>MOD(AL290*16807,2147483647)</x:f>
        <x:v>1279815859</x:v>
      </x:c>
      <x:c r="AL291" s="9" t="n">
        <x:f>MOD(AK291*16807,2147483647)</x:f>
        <x:v>668933861</x:v>
      </x:c>
      <x:c r="AM291" s="17" t="n">
        <x:f>IF('Control Room'!$B$5="Normal",'Control Room'!$B$7+'Control Room'!$D$7*SQRT(-2*LN(MAX(0.000000000001,AK291/2147483647)))*COS(2*PI()*AL291/2147483647),'Control Room'!$B$8+('Control Room'!$D$8-'Control Room'!$B$8)*AK291/2147483647)</x:f>
        <x:v>965.4922668583644</x:v>
      </x:c>
      <x:c r="AN291" s="17" t="n">
        <x:f>IF('Control Room'!$B$5="Normal",'Control Room'!$B$7,('Control Room'!$B$8+'Control Room'!$D$8)/2)+'Control Room'!$B$9*(AN290-IF('Control Room'!$B$5="Normal",'Control Room'!$B$7,('Control Room'!$B$8+'Control Room'!$D$8)/2))+SQRT(1-'Control Room'!$B$9^2)*(AM291-IF('Control Room'!$B$5="Normal",'Control Room'!$B$7,('Control Room'!$B$8+'Control Room'!$D$8)/2))</x:f>
        <x:v>936.7505672059426</x:v>
      </x:c>
      <x:c r="AO291" s="17" t="n">
        <x:f>IF(AND($A291&gt;='Control Room'!$A$13,$A291&lt;'Control Room'!$A$13+'Control Room'!$B$13,'Process'!BR2=1),1+('Control Room'!$C$13-1)*EXP(-0.5*(($A291-'Control Room'!$A$13-('Control Room'!$B$13-1)/2)/MAX(0.5,'Control Room'!$B$13/4))^2),1)*IF(AND($A291&gt;='Control Room'!$A$14,$A291&lt;'Control Room'!$A$14+'Control Room'!$B$14,'Process'!BR3=1),1+('Control Room'!$C$14-1)*EXP(-0.5*(($A291-'Control Room'!$A$14-('Control Room'!$B$14-1)/2)/MAX(0.5,'Control Room'!$B$14/4))^2),1)*IF(AND($A291&gt;='Control Room'!$A$15,$A291&lt;'Control Room'!$A$15+'Control Room'!$B$15,'Process'!BR4=1),1+('Control Room'!$C$15-1)*EXP(-0.5*(($A291-'Control Room'!$A$15-('Control Room'!$B$15-1)/2)/MAX(0.5,'Control Room'!$B$15/4))^2),1)*IF(AND($A291&gt;='Control Room'!$A$16,$A291&lt;'Control Room'!$A$16+'Control Room'!$B$16,'Process'!BR5=1),1+('Control Room'!$C$16-1)*EXP(-0.5*(($A291-'Control Room'!$A$16-('Control Room'!$B$16-1)/2)/MAX(0.5,'Control Room'!$B$16/4))^2),1)</x:f>
        <x:v>1</x:v>
      </x:c>
      <x:c r="AP291" s="9" t="n">
        <x:f>MOD(AQ290*16807,2147483647)</x:f>
        <x:v>1000522493</x:v>
      </x:c>
      <x:c r="AQ291" s="9" t="n">
        <x:f>MOD(AP291*16807,2147483647)</x:f>
        <x:v>984583841</x:v>
      </x:c>
      <x:c r="AR291" s="17" t="n">
        <x:f>IF('Control Room'!$B$5="Normal",'Control Room'!$B$7+'Control Room'!$D$7*SQRT(-2*LN(MAX(0.000000000001,AP291/2147483647)))*COS(2*PI()*AQ291/2147483647),'Control Room'!$B$8+('Control Room'!$D$8-'Control Room'!$B$8)*AP291/2147483647)</x:f>
        <x:v>892.5286376645879</x:v>
      </x:c>
      <x:c r="AS291" s="17" t="n">
        <x:f>IF('Control Room'!$B$5="Normal",'Control Room'!$B$7,('Control Room'!$B$8+'Control Room'!$D$8)/2)+'Control Room'!$B$9*(AS290-IF('Control Room'!$B$5="Normal",'Control Room'!$B$7,('Control Room'!$B$8+'Control Room'!$D$8)/2))+SQRT(1-'Control Room'!$B$9^2)*(AR291-IF('Control Room'!$B$5="Normal",'Control Room'!$B$7,('Control Room'!$B$8+'Control Room'!$D$8)/2))</x:f>
        <x:v>928.5411743379212</x:v>
      </x:c>
      <x:c r="AT291" s="17" t="n">
        <x:f>IF(AND($A291&gt;='Control Room'!$A$13,$A291&lt;'Control Room'!$A$13+'Control Room'!$B$13,'Process'!BS2=1),1+('Control Room'!$C$13-1)*EXP(-0.5*(($A291-'Control Room'!$A$13-('Control Room'!$B$13-1)/2)/MAX(0.5,'Control Room'!$B$13/4))^2),1)*IF(AND($A291&gt;='Control Room'!$A$14,$A291&lt;'Control Room'!$A$14+'Control Room'!$B$14,'Process'!BS3=1),1+('Control Room'!$C$14-1)*EXP(-0.5*(($A291-'Control Room'!$A$14-('Control Room'!$B$14-1)/2)/MAX(0.5,'Control Room'!$B$14/4))^2),1)*IF(AND($A291&gt;='Control Room'!$A$15,$A291&lt;'Control Room'!$A$15+'Control Room'!$B$15,'Process'!BS4=1),1+('Control Room'!$C$15-1)*EXP(-0.5*(($A291-'Control Room'!$A$15-('Control Room'!$B$15-1)/2)/MAX(0.5,'Control Room'!$B$15/4))^2),1)*IF(AND($A291&gt;='Control Room'!$A$16,$A291&lt;'Control Room'!$A$16+'Control Room'!$B$16,'Process'!BS5=1),1+('Control Room'!$C$16-1)*EXP(-0.5*(($A291-'Control Room'!$A$16-('Control Room'!$B$16-1)/2)/MAX(0.5,'Control Room'!$B$16/4))^2),1)</x:f>
        <x:v>1</x:v>
      </x:c>
      <x:c r="AU291" s="9" t="n">
        <x:f>MOD(AV290*16807,2147483647)</x:f>
        <x:v>721229127</x:v>
      </x:c>
      <x:c r="AV291" s="9" t="n">
        <x:f>MOD(AU291*16807,2147483647)</x:f>
        <x:v>1300233821</x:v>
      </x:c>
      <x:c r="AW291" s="17" t="n">
        <x:f>IF('Control Room'!$B$5="Normal",'Control Room'!$B$7+'Control Room'!$D$7*SQRT(-2*LN(MAX(0.000000000001,AU291/2147483647)))*COS(2*PI()*AV291/2147483647),'Control Room'!$B$8+('Control Room'!$D$8-'Control Room'!$B$8)*AU291/2147483647)</x:f>
        <x:v>895.1891263415994</x:v>
      </x:c>
      <x:c r="AX291" s="17" t="n">
        <x:f>IF('Control Room'!$B$5="Normal",'Control Room'!$B$7,('Control Room'!$B$8+'Control Room'!$D$8)/2)+'Control Room'!$B$9*(AX290-IF('Control Room'!$B$5="Normal",'Control Room'!$B$7,('Control Room'!$B$8+'Control Room'!$D$8)/2))+SQRT(1-'Control Room'!$B$9^2)*(AW291-IF('Control Room'!$B$5="Normal",'Control Room'!$B$7,('Control Room'!$B$8+'Control Room'!$D$8)/2))</x:f>
        <x:v>974.5299453681978</x:v>
      </x:c>
      <x:c r="AY291" s="17" t="n">
        <x:f>IF(AND($A291&gt;='Control Room'!$A$13,$A291&lt;'Control Room'!$A$13+'Control Room'!$B$13,'Process'!BT2=1),1+('Control Room'!$C$13-1)*EXP(-0.5*(($A291-'Control Room'!$A$13-('Control Room'!$B$13-1)/2)/MAX(0.5,'Control Room'!$B$13/4))^2),1)*IF(AND($A291&gt;='Control Room'!$A$14,$A291&lt;'Control Room'!$A$14+'Control Room'!$B$14,'Process'!BT3=1),1+('Control Room'!$C$14-1)*EXP(-0.5*(($A291-'Control Room'!$A$14-('Control Room'!$B$14-1)/2)/MAX(0.5,'Control Room'!$B$14/4))^2),1)*IF(AND($A291&gt;='Control Room'!$A$15,$A291&lt;'Control Room'!$A$15+'Control Room'!$B$15,'Process'!BT4=1),1+('Control Room'!$C$15-1)*EXP(-0.5*(($A291-'Control Room'!$A$15-('Control Room'!$B$15-1)/2)/MAX(0.5,'Control Room'!$B$15/4))^2),1)*IF(AND($A291&gt;='Control Room'!$A$16,$A291&lt;'Control Room'!$A$16+'Control Room'!$B$16,'Process'!BT5=1),1+('Control Room'!$C$16-1)*EXP(-0.5*(($A291-'Control Room'!$A$16-('Control Room'!$B$16-1)/2)/MAX(0.5,'Control Room'!$B$16/4))^2),1)</x:f>
        <x:v>1</x:v>
      </x:c>
      <x:c r="AZ291" s="9" t="n">
        <x:f>MOD(BA290*16807,2147483647)</x:f>
        <x:v>441935761</x:v>
      </x:c>
      <x:c r="BA291" s="9" t="n">
        <x:f>MOD(AZ291*16807,2147483647)</x:f>
        <x:v>1615883801</x:v>
      </x:c>
      <x:c r="BB291" s="17" t="n">
        <x:f>IF('Control Room'!$B$5="Normal",'Control Room'!$B$7+'Control Room'!$D$7*SQRT(-2*LN(MAX(0.000000000001,AZ291/2147483647)))*COS(2*PI()*BA291/2147483647),'Control Room'!$B$8+('Control Room'!$D$8-'Control Room'!$B$8)*AZ291/2147483647)</x:f>
        <x:v>1002.4679662204154</x:v>
      </x:c>
      <x:c r="BC291" s="17" t="n">
        <x:f>IF('Control Room'!$B$5="Normal",'Control Room'!$B$7,('Control Room'!$B$8+'Control Room'!$D$8)/2)+'Control Room'!$B$9*(BC290-IF('Control Room'!$B$5="Normal",'Control Room'!$B$7,('Control Room'!$B$8+'Control Room'!$D$8)/2))+SQRT(1-'Control Room'!$B$9^2)*(BB291-IF('Control Room'!$B$5="Normal",'Control Room'!$B$7,('Control Room'!$B$8+'Control Room'!$D$8)/2))</x:f>
        <x:v>997.2605482396765</x:v>
      </x:c>
      <x:c r="BD291" s="17" t="n">
        <x:f>IF(AND($A291&gt;='Control Room'!$A$13,$A291&lt;'Control Room'!$A$13+'Control Room'!$B$13,'Process'!BU2=1),1+('Control Room'!$C$13-1)*EXP(-0.5*(($A291-'Control Room'!$A$13-('Control Room'!$B$13-1)/2)/MAX(0.5,'Control Room'!$B$13/4))^2),1)*IF(AND($A291&gt;='Control Room'!$A$14,$A291&lt;'Control Room'!$A$14+'Control Room'!$B$14,'Process'!BU3=1),1+('Control Room'!$C$14-1)*EXP(-0.5*(($A291-'Control Room'!$A$14-('Control Room'!$B$14-1)/2)/MAX(0.5,'Control Room'!$B$14/4))^2),1)*IF(AND($A291&gt;='Control Room'!$A$15,$A291&lt;'Control Room'!$A$15+'Control Room'!$B$15,'Process'!BU4=1),1+('Control Room'!$C$15-1)*EXP(-0.5*(($A291-'Control Room'!$A$15-('Control Room'!$B$15-1)/2)/MAX(0.5,'Control Room'!$B$15/4))^2),1)*IF(AND($A291&gt;='Control Room'!$A$16,$A291&lt;'Control Room'!$A$16+'Control Room'!$B$16,'Process'!BU5=1),1+('Control Room'!$C$16-1)*EXP(-0.5*(($A291-'Control Room'!$A$16-('Control Room'!$B$16-1)/2)/MAX(0.5,'Control Room'!$B$16/4))^2),1)</x:f>
        <x:v>1</x:v>
      </x:c>
      <x:c r="BE291" s="9" t="n">
        <x:f>MOD(BF290*16807,2147483647)</x:f>
        <x:v>162642395</x:v>
      </x:c>
      <x:c r="BF291" s="9" t="n">
        <x:f>MOD(BE291*16807,2147483647)</x:f>
        <x:v>1931533781</x:v>
      </x:c>
      <x:c r="BG291" s="17" t="n">
        <x:f>IF('Control Room'!$B$5="Normal",'Control Room'!$B$7+'Control Room'!$D$7*SQRT(-2*LN(MAX(0.000000000001,BE291/2147483647)))*COS(2*PI()*BF291/2147483647),'Control Room'!$B$8+('Control Room'!$D$8-'Control Room'!$B$8)*BE291/2147483647)</x:f>
        <x:v>1164.9884701066662</x:v>
      </x:c>
      <x:c r="BH291" s="17" t="n">
        <x:f>IF('Control Room'!$B$5="Normal",'Control Room'!$B$7,('Control Room'!$B$8+'Control Room'!$D$8)/2)+'Control Room'!$B$9*(BH290-IF('Control Room'!$B$5="Normal",'Control Room'!$B$7,('Control Room'!$B$8+'Control Room'!$D$8)/2))+SQRT(1-'Control Room'!$B$9^2)*(BG291-IF('Control Room'!$B$5="Normal",'Control Room'!$B$7,('Control Room'!$B$8+'Control Room'!$D$8)/2))</x:f>
        <x:v>1129.0404734489116</x:v>
      </x:c>
      <x:c r="BI291" s="17" t="n">
        <x:f>IF(AND($A291&gt;='Control Room'!$A$13,$A291&lt;'Control Room'!$A$13+'Control Room'!$B$13,'Process'!BV2=1),1+('Control Room'!$C$13-1)*EXP(-0.5*(($A291-'Control Room'!$A$13-('Control Room'!$B$13-1)/2)/MAX(0.5,'Control Room'!$B$13/4))^2),1)*IF(AND($A291&gt;='Control Room'!$A$14,$A291&lt;'Control Room'!$A$14+'Control Room'!$B$14,'Process'!BV3=1),1+('Control Room'!$C$14-1)*EXP(-0.5*(($A291-'Control Room'!$A$14-('Control Room'!$B$14-1)/2)/MAX(0.5,'Control Room'!$B$14/4))^2),1)*IF(AND($A291&gt;='Control Room'!$A$15,$A291&lt;'Control Room'!$A$15+'Control Room'!$B$15,'Process'!BV4=1),1+('Control Room'!$C$15-1)*EXP(-0.5*(($A291-'Control Room'!$A$15-('Control Room'!$B$15-1)/2)/MAX(0.5,'Control Room'!$B$15/4))^2),1)*IF(AND($A291&gt;='Control Room'!$A$16,$A291&lt;'Control Room'!$A$16+'Control Room'!$B$16,'Process'!BV5=1),1+('Control Room'!$C$16-1)*EXP(-0.5*(($A291-'Control Room'!$A$16-('Control Room'!$B$16-1)/2)/MAX(0.5,'Control Room'!$B$16/4))^2),1)</x:f>
        <x:v>1</x:v>
      </x:c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Z291" t="str">
        <x:f>IF('Data'!A291="","",TEXT('Data'!A291,"mm-dd"))</x:f>
      </x:c>
    </x:row>
    <x:row r="292" ht="21" customHeight="1">
      <x:c r="A292" s="15" t="n">
        <x:f>'Control Room'!$B$1+290</x:f>
        <x:v>73281</x:v>
      </x:c>
      <x:c r="B292" s="9" t="n">
        <x:f>MOD(C291*16807,2147483647)</x:f>
        <x:v>1224720333</x:v>
      </x:c>
      <x:c r="C292" s="9" t="n">
        <x:f>MOD(B292*16807,2147483647)</x:f>
        <x:v>243880236</x:v>
      </x:c>
      <x:c r="D292" s="17" t="n">
        <x:f>IF('Control Room'!$B$5="Normal",'Control Room'!$B$7+'Control Room'!$D$7*SQRT(-2*LN(MAX(0.000000000001,B292/2147483647)))*COS(2*PI()*C292/2147483647),'Control Room'!$B$8+('Control Room'!$D$8-'Control Room'!$B$8)*B292/2147483647)</x:f>
        <x:v>1072.1124340748634</x:v>
      </x:c>
      <x:c r="E292" s="17" t="n">
        <x:f>IF('Control Room'!$B$5="Normal",'Control Room'!$B$7,('Control Room'!$B$8+'Control Room'!$D$8)/2)+'Control Room'!$B$9*(E291-IF('Control Room'!$B$5="Normal",'Control Room'!$B$7,('Control Room'!$B$8+'Control Room'!$D$8)/2))+SQRT(1-'Control Room'!$B$9^2)*(D292-IF('Control Room'!$B$5="Normal",'Control Room'!$B$7,('Control Room'!$B$8+'Control Room'!$D$8)/2))</x:f>
        <x:v>1054.7543529655436</x:v>
      </x:c>
      <x:c r="F292" s="17" t="n">
        <x:f>IF(AND($A292&gt;='Control Room'!$A$13,$A292&lt;'Control Room'!$A$13+'Control Room'!$B$13,'Process'!BK2=1),1+('Control Room'!$C$13-1)*EXP(-0.5*(($A292-'Control Room'!$A$13-('Control Room'!$B$13-1)/2)/MAX(0.5,'Control Room'!$B$13/4))^2),1)*IF(AND($A292&gt;='Control Room'!$A$14,$A292&lt;'Control Room'!$A$14+'Control Room'!$B$14,'Process'!BK3=1),1+('Control Room'!$C$14-1)*EXP(-0.5*(($A292-'Control Room'!$A$14-('Control Room'!$B$14-1)/2)/MAX(0.5,'Control Room'!$B$14/4))^2),1)*IF(AND($A292&gt;='Control Room'!$A$15,$A292&lt;'Control Room'!$A$15+'Control Room'!$B$15,'Process'!BK4=1),1+('Control Room'!$C$15-1)*EXP(-0.5*(($A292-'Control Room'!$A$15-('Control Room'!$B$15-1)/2)/MAX(0.5,'Control Room'!$B$15/4))^2),1)*IF(AND($A292&gt;='Control Room'!$A$16,$A292&lt;'Control Room'!$A$16+'Control Room'!$B$16,'Process'!BK5=1),1+('Control Room'!$C$16-1)*EXP(-0.5*(($A292-'Control Room'!$A$16-('Control Room'!$B$16-1)/2)/MAX(0.5,'Control Room'!$B$16/4))^2),1)</x:f>
        <x:v>1</x:v>
      </x:c>
      <x:c r="G292" s="9" t="n">
        <x:f>MOD(H291*16807,2147483647)</x:f>
        <x:v>2069326103</x:v>
      </x:c>
      <x:c r="H292" s="9" t="n">
        <x:f>MOD(G292*16807,2147483647)</x:f>
        <x:v>666149956</x:v>
      </x:c>
      <x:c r="I292" s="17" t="n">
        <x:f>IF('Control Room'!$B$5="Normal",'Control Room'!$B$7+'Control Room'!$D$7*SQRT(-2*LN(MAX(0.000000000001,G292/2147483647)))*COS(2*PI()*H292/2147483647),'Control Room'!$B$8+('Control Room'!$D$8-'Control Room'!$B$8)*G292/2147483647)</x:f>
        <x:v>990.9496957056485</x:v>
      </x:c>
      <x:c r="J292" s="17" t="n">
        <x:f>IF('Control Room'!$B$5="Normal",'Control Room'!$B$7,('Control Room'!$B$8+'Control Room'!$D$8)/2)+'Control Room'!$B$9*(J291-IF('Control Room'!$B$5="Normal",'Control Room'!$B$7,('Control Room'!$B$8+'Control Room'!$D$8)/2))+SQRT(1-'Control Room'!$B$9^2)*(I292-IF('Control Room'!$B$5="Normal",'Control Room'!$B$7,('Control Room'!$B$8+'Control Room'!$D$8)/2))</x:f>
        <x:v>946.4289581540189</x:v>
      </x:c>
      <x:c r="K292" s="17" t="n">
        <x:f>IF(AND($A292&gt;='Control Room'!$A$13,$A292&lt;'Control Room'!$A$13+'Control Room'!$B$13,'Process'!BL2=1),1+('Control Room'!$C$13-1)*EXP(-0.5*(($A292-'Control Room'!$A$13-('Control Room'!$B$13-1)/2)/MAX(0.5,'Control Room'!$B$13/4))^2),1)*IF(AND($A292&gt;='Control Room'!$A$14,$A292&lt;'Control Room'!$A$14+'Control Room'!$B$14,'Process'!BL3=1),1+('Control Room'!$C$14-1)*EXP(-0.5*(($A292-'Control Room'!$A$14-('Control Room'!$B$14-1)/2)/MAX(0.5,'Control Room'!$B$14/4))^2),1)*IF(AND($A292&gt;='Control Room'!$A$15,$A292&lt;'Control Room'!$A$15+'Control Room'!$B$15,'Process'!BL4=1),1+('Control Room'!$C$15-1)*EXP(-0.5*(($A292-'Control Room'!$A$15-('Control Room'!$B$15-1)/2)/MAX(0.5,'Control Room'!$B$15/4))^2),1)*IF(AND($A292&gt;='Control Room'!$A$16,$A292&lt;'Control Room'!$A$16+'Control Room'!$B$16,'Process'!BL5=1),1+('Control Room'!$C$16-1)*EXP(-0.5*(($A292-'Control Room'!$A$16-('Control Room'!$B$16-1)/2)/MAX(0.5,'Control Room'!$B$16/4))^2),1)</x:f>
        <x:v>1</x:v>
      </x:c>
      <x:c r="L292" s="9" t="n">
        <x:f>MOD(M291*16807,2147483647)</x:f>
        <x:v>766448226</x:v>
      </x:c>
      <x:c r="M292" s="9" t="n">
        <x:f>MOD(L292*16807,2147483647)</x:f>
        <x:v>1088419676</x:v>
      </x:c>
      <x:c r="N292" s="17" t="n">
        <x:f>IF('Control Room'!$B$5="Normal",'Control Room'!$B$7+'Control Room'!$D$7*SQRT(-2*LN(MAX(0.000000000001,L292/2147483647)))*COS(2*PI()*M292/2147483647),'Control Room'!$B$8+('Control Room'!$D$8-'Control Room'!$B$8)*L292/2147483647)</x:f>
        <x:v>870.9269506075887</x:v>
      </x:c>
      <x:c r="O292" s="17" t="n">
        <x:f>IF('Control Room'!$B$5="Normal",'Control Room'!$B$7,('Control Room'!$B$8+'Control Room'!$D$8)/2)+'Control Room'!$B$9*(O291-IF('Control Room'!$B$5="Normal",'Control Room'!$B$7,('Control Room'!$B$8+'Control Room'!$D$8)/2))+SQRT(1-'Control Room'!$B$9^2)*(N292-IF('Control Room'!$B$5="Normal",'Control Room'!$B$7,('Control Room'!$B$8+'Control Room'!$D$8)/2))</x:f>
        <x:v>886.8687901841969</x:v>
      </x:c>
      <x:c r="P292" s="17" t="n">
        <x:f>IF(AND($A292&gt;='Control Room'!$A$13,$A292&lt;'Control Room'!$A$13+'Control Room'!$B$13,'Process'!BM2=1),1+('Control Room'!$C$13-1)*EXP(-0.5*(($A292-'Control Room'!$A$13-('Control Room'!$B$13-1)/2)/MAX(0.5,'Control Room'!$B$13/4))^2),1)*IF(AND($A292&gt;='Control Room'!$A$14,$A292&lt;'Control Room'!$A$14+'Control Room'!$B$14,'Process'!BM3=1),1+('Control Room'!$C$14-1)*EXP(-0.5*(($A292-'Control Room'!$A$14-('Control Room'!$B$14-1)/2)/MAX(0.5,'Control Room'!$B$14/4))^2),1)*IF(AND($A292&gt;='Control Room'!$A$15,$A292&lt;'Control Room'!$A$15+'Control Room'!$B$15,'Process'!BM4=1),1+('Control Room'!$C$15-1)*EXP(-0.5*(($A292-'Control Room'!$A$15-('Control Room'!$B$15-1)/2)/MAX(0.5,'Control Room'!$B$15/4))^2),1)*IF(AND($A292&gt;='Control Room'!$A$16,$A292&lt;'Control Room'!$A$16+'Control Room'!$B$16,'Process'!BM5=1),1+('Control Room'!$C$16-1)*EXP(-0.5*(($A292-'Control Room'!$A$16-('Control Room'!$B$16-1)/2)/MAX(0.5,'Control Room'!$B$16/4))^2),1)</x:f>
        <x:v>1</x:v>
      </x:c>
      <x:c r="Q292" s="9" t="n">
        <x:f>MOD(R291*16807,2147483647)</x:f>
        <x:v>1611053996</x:v>
      </x:c>
      <x:c r="R292" s="9" t="n">
        <x:f>MOD(Q292*16807,2147483647)</x:f>
        <x:v>1510689396</x:v>
      </x:c>
      <x:c r="S292" s="17" t="n">
        <x:f>IF('Control Room'!$B$5="Normal",'Control Room'!$B$7+'Control Room'!$D$7*SQRT(-2*LN(MAX(0.000000000001,Q292/2147483647)))*COS(2*PI()*R292/2147483647),'Control Room'!$B$8+('Control Room'!$D$8-'Control Room'!$B$8)*Q292/2147483647)</x:f>
        <x:v>980.333845579924</x:v>
      </x:c>
      <x:c r="T292" s="17" t="n">
        <x:f>IF('Control Room'!$B$5="Normal",'Control Room'!$B$7,('Control Room'!$B$8+'Control Room'!$D$8)/2)+'Control Room'!$B$9*(T291-IF('Control Room'!$B$5="Normal",'Control Room'!$B$7,('Control Room'!$B$8+'Control Room'!$D$8)/2))+SQRT(1-'Control Room'!$B$9^2)*(S292-IF('Control Room'!$B$5="Normal",'Control Room'!$B$7,('Control Room'!$B$8+'Control Room'!$D$8)/2))</x:f>
        <x:v>964.6171925108894</x:v>
      </x:c>
      <x:c r="U292" s="17" t="n">
        <x:f>IF(AND($A292&gt;='Control Room'!$A$13,$A292&lt;'Control Room'!$A$13+'Control Room'!$B$13,'Process'!BN2=1),1+('Control Room'!$C$13-1)*EXP(-0.5*(($A292-'Control Room'!$A$13-('Control Room'!$B$13-1)/2)/MAX(0.5,'Control Room'!$B$13/4))^2),1)*IF(AND($A292&gt;='Control Room'!$A$14,$A292&lt;'Control Room'!$A$14+'Control Room'!$B$14,'Process'!BN3=1),1+('Control Room'!$C$14-1)*EXP(-0.5*(($A292-'Control Room'!$A$14-('Control Room'!$B$14-1)/2)/MAX(0.5,'Control Room'!$B$14/4))^2),1)*IF(AND($A292&gt;='Control Room'!$A$15,$A292&lt;'Control Room'!$A$15+'Control Room'!$B$15,'Process'!BN4=1),1+('Control Room'!$C$15-1)*EXP(-0.5*(($A292-'Control Room'!$A$15-('Control Room'!$B$15-1)/2)/MAX(0.5,'Control Room'!$B$15/4))^2),1)*IF(AND($A292&gt;='Control Room'!$A$16,$A292&lt;'Control Room'!$A$16+'Control Room'!$B$16,'Process'!BN5=1),1+('Control Room'!$C$16-1)*EXP(-0.5*(($A292-'Control Room'!$A$16-('Control Room'!$B$16-1)/2)/MAX(0.5,'Control Room'!$B$16/4))^2),1)</x:f>
        <x:v>1</x:v>
      </x:c>
      <x:c r="V292" s="9" t="n">
        <x:f>MOD(W291*16807,2147483647)</x:f>
        <x:v>308176119</x:v>
      </x:c>
      <x:c r="W292" s="9" t="n">
        <x:f>MOD(V292*16807,2147483647)</x:f>
        <x:v>1932959116</x:v>
      </x:c>
      <x:c r="X292" s="17" t="n">
        <x:f>IF('Control Room'!$B$5="Normal",'Control Room'!$B$7+'Control Room'!$D$7*SQRT(-2*LN(MAX(0.000000000001,V292/2147483647)))*COS(2*PI()*W292/2147483647),'Control Room'!$B$8+('Control Room'!$D$8-'Control Room'!$B$8)*V292/2147483647)</x:f>
        <x:v>1143.5413399051724</x:v>
      </x:c>
      <x:c r="Y292" s="17" t="n">
        <x:f>IF('Control Room'!$B$5="Normal",'Control Room'!$B$7,('Control Room'!$B$8+'Control Room'!$D$8)/2)+'Control Room'!$B$9*(Y291-IF('Control Room'!$B$5="Normal",'Control Room'!$B$7,('Control Room'!$B$8+'Control Room'!$D$8)/2))+SQRT(1-'Control Room'!$B$9^2)*(X292-IF('Control Room'!$B$5="Normal",'Control Room'!$B$7,('Control Room'!$B$8+'Control Room'!$D$8)/2))</x:f>
        <x:v>1116.3657513917183</x:v>
      </x:c>
      <x:c r="Z292" s="17" t="n">
        <x:f>IF(AND($A292&gt;='Control Room'!$A$13,$A292&lt;'Control Room'!$A$13+'Control Room'!$B$13,'Process'!BO2=1),1+('Control Room'!$C$13-1)*EXP(-0.5*(($A292-'Control Room'!$A$13-('Control Room'!$B$13-1)/2)/MAX(0.5,'Control Room'!$B$13/4))^2),1)*IF(AND($A292&gt;='Control Room'!$A$14,$A292&lt;'Control Room'!$A$14+'Control Room'!$B$14,'Process'!BO3=1),1+('Control Room'!$C$14-1)*EXP(-0.5*(($A292-'Control Room'!$A$14-('Control Room'!$B$14-1)/2)/MAX(0.5,'Control Room'!$B$14/4))^2),1)*IF(AND($A292&gt;='Control Room'!$A$15,$A292&lt;'Control Room'!$A$15+'Control Room'!$B$15,'Process'!BO4=1),1+('Control Room'!$C$15-1)*EXP(-0.5*(($A292-'Control Room'!$A$15-('Control Room'!$B$15-1)/2)/MAX(0.5,'Control Room'!$B$15/4))^2),1)*IF(AND($A292&gt;='Control Room'!$A$16,$A292&lt;'Control Room'!$A$16+'Control Room'!$B$16,'Process'!BO5=1),1+('Control Room'!$C$16-1)*EXP(-0.5*(($A292-'Control Room'!$A$16-('Control Room'!$B$16-1)/2)/MAX(0.5,'Control Room'!$B$16/4))^2),1)</x:f>
        <x:v>1</x:v>
      </x:c>
      <x:c r="AA292" s="9" t="n">
        <x:f>MOD(AB291*16807,2147483647)</x:f>
        <x:v>1152781889</x:v>
      </x:c>
      <x:c r="AB292" s="9" t="n">
        <x:f>MOD(AA292*16807,2147483647)</x:f>
        <x:v>207745189</x:v>
      </x:c>
      <x:c r="AC292" s="17" t="n">
        <x:f>IF('Control Room'!$B$5="Normal",'Control Room'!$B$7+'Control Room'!$D$7*SQRT(-2*LN(MAX(0.000000000001,AA292/2147483647)))*COS(2*PI()*AB292/2147483647),'Control Room'!$B$8+('Control Room'!$D$8-'Control Room'!$B$8)*AA292/2147483647)</x:f>
        <x:v>1082.4098590631918</x:v>
      </x:c>
      <x:c r="AD292" s="17" t="n">
        <x:f>IF('Control Room'!$B$5="Normal",'Control Room'!$B$7,('Control Room'!$B$8+'Control Room'!$D$8)/2)+'Control Room'!$B$9*(AD291-IF('Control Room'!$B$5="Normal",'Control Room'!$B$7,('Control Room'!$B$8+'Control Room'!$D$8)/2))+SQRT(1-'Control Room'!$B$9^2)*(AC292-IF('Control Room'!$B$5="Normal",'Control Room'!$B$7,('Control Room'!$B$8+'Control Room'!$D$8)/2))</x:f>
        <x:v>1096.770782478053</x:v>
      </x:c>
      <x:c r="AE292" s="17" t="n">
        <x:f>IF(AND($A292&gt;='Control Room'!$A$13,$A292&lt;'Control Room'!$A$13+'Control Room'!$B$13,'Process'!BP2=1),1+('Control Room'!$C$13-1)*EXP(-0.5*(($A292-'Control Room'!$A$13-('Control Room'!$B$13-1)/2)/MAX(0.5,'Control Room'!$B$13/4))^2),1)*IF(AND($A292&gt;='Control Room'!$A$14,$A292&lt;'Control Room'!$A$14+'Control Room'!$B$14,'Process'!BP3=1),1+('Control Room'!$C$14-1)*EXP(-0.5*(($A292-'Control Room'!$A$14-('Control Room'!$B$14-1)/2)/MAX(0.5,'Control Room'!$B$14/4))^2),1)*IF(AND($A292&gt;='Control Room'!$A$15,$A292&lt;'Control Room'!$A$15+'Control Room'!$B$15,'Process'!BP4=1),1+('Control Room'!$C$15-1)*EXP(-0.5*(($A292-'Control Room'!$A$15-('Control Room'!$B$15-1)/2)/MAX(0.5,'Control Room'!$B$15/4))^2),1)*IF(AND($A292&gt;='Control Room'!$A$16,$A292&lt;'Control Room'!$A$16+'Control Room'!$B$16,'Process'!BP5=1),1+('Control Room'!$C$16-1)*EXP(-0.5*(($A292-'Control Room'!$A$16-('Control Room'!$B$16-1)/2)/MAX(0.5,'Control Room'!$B$16/4))^2),1)</x:f>
        <x:v>1</x:v>
      </x:c>
      <x:c r="AF292" s="9" t="n">
        <x:f>MOD(AG291*16807,2147483647)</x:f>
        <x:v>1997387659</x:v>
      </x:c>
      <x:c r="AG292" s="9" t="n">
        <x:f>MOD(AF292*16807,2147483647)</x:f>
        <x:v>630014909</x:v>
      </x:c>
      <x:c r="AH292" s="17" t="n">
        <x:f>IF('Control Room'!$B$5="Normal",'Control Room'!$B$7+'Control Room'!$D$7*SQRT(-2*LN(MAX(0.000000000001,AF292/2147483647)))*COS(2*PI()*AG292/2147483647),'Control Room'!$B$8+('Control Room'!$D$8-'Control Room'!$B$8)*AF292/2147483647)</x:f>
        <x:v>990.7782742923196</x:v>
      </x:c>
      <x:c r="AI292" s="17" t="n">
        <x:f>IF('Control Room'!$B$5="Normal",'Control Room'!$B$7,('Control Room'!$B$8+'Control Room'!$D$8)/2)+'Control Room'!$B$9*(AI291-IF('Control Room'!$B$5="Normal",'Control Room'!$B$7,('Control Room'!$B$8+'Control Room'!$D$8)/2))+SQRT(1-'Control Room'!$B$9^2)*(AH292-IF('Control Room'!$B$5="Normal",'Control Room'!$B$7,('Control Room'!$B$8+'Control Room'!$D$8)/2))</x:f>
        <x:v>1013.5412742936339</x:v>
      </x:c>
      <x:c r="AJ292" s="17" t="n">
        <x:f>IF(AND($A292&gt;='Control Room'!$A$13,$A292&lt;'Control Room'!$A$13+'Control Room'!$B$13,'Process'!BQ2=1),1+('Control Room'!$C$13-1)*EXP(-0.5*(($A292-'Control Room'!$A$13-('Control Room'!$B$13-1)/2)/MAX(0.5,'Control Room'!$B$13/4))^2),1)*IF(AND($A292&gt;='Control Room'!$A$14,$A292&lt;'Control Room'!$A$14+'Control Room'!$B$14,'Process'!BQ3=1),1+('Control Room'!$C$14-1)*EXP(-0.5*(($A292-'Control Room'!$A$14-('Control Room'!$B$14-1)/2)/MAX(0.5,'Control Room'!$B$14/4))^2),1)*IF(AND($A292&gt;='Control Room'!$A$15,$A292&lt;'Control Room'!$A$15+'Control Room'!$B$15,'Process'!BQ4=1),1+('Control Room'!$C$15-1)*EXP(-0.5*(($A292-'Control Room'!$A$15-('Control Room'!$B$15-1)/2)/MAX(0.5,'Control Room'!$B$15/4))^2),1)*IF(AND($A292&gt;='Control Room'!$A$16,$A292&lt;'Control Room'!$A$16+'Control Room'!$B$16,'Process'!BQ5=1),1+('Control Room'!$C$16-1)*EXP(-0.5*(($A292-'Control Room'!$A$16-('Control Room'!$B$16-1)/2)/MAX(0.5,'Control Room'!$B$16/4))^2),1)</x:f>
        <x:v>1</x:v>
      </x:c>
      <x:c r="AK292" s="9" t="n">
        <x:f>MOD(AL291*16807,2147483647)</x:f>
        <x:v>694509782</x:v>
      </x:c>
      <x:c r="AL292" s="9" t="n">
        <x:f>MOD(AK292*16807,2147483647)</x:f>
        <x:v>1052284629</x:v>
      </x:c>
      <x:c r="AM292" s="17" t="n">
        <x:f>IF('Control Room'!$B$5="Normal",'Control Room'!$B$7+'Control Room'!$D$7*SQRT(-2*LN(MAX(0.000000000001,AK292/2147483647)))*COS(2*PI()*AL292/2147483647),'Control Room'!$B$8+('Control Room'!$D$8-'Control Room'!$B$8)*AK292/2147483647)</x:f>
        <x:v>865.0358578389568</x:v>
      </x:c>
      <x:c r="AN292" s="17" t="n">
        <x:f>IF('Control Room'!$B$5="Normal",'Control Room'!$B$7,('Control Room'!$B$8+'Control Room'!$D$8)/2)+'Control Room'!$B$9*(AN291-IF('Control Room'!$B$5="Normal",'Control Room'!$B$7,('Control Room'!$B$8+'Control Room'!$D$8)/2))+SQRT(1-'Control Room'!$B$9^2)*(AM292-IF('Control Room'!$B$5="Normal",'Control Room'!$B$7,('Control Room'!$B$8+'Control Room'!$D$8)/2))</x:f>
        <x:v>866.2076471469918</x:v>
      </x:c>
      <x:c r="AO292" s="17" t="n">
        <x:f>IF(AND($A292&gt;='Control Room'!$A$13,$A292&lt;'Control Room'!$A$13+'Control Room'!$B$13,'Process'!BR2=1),1+('Control Room'!$C$13-1)*EXP(-0.5*(($A292-'Control Room'!$A$13-('Control Room'!$B$13-1)/2)/MAX(0.5,'Control Room'!$B$13/4))^2),1)*IF(AND($A292&gt;='Control Room'!$A$14,$A292&lt;'Control Room'!$A$14+'Control Room'!$B$14,'Process'!BR3=1),1+('Control Room'!$C$14-1)*EXP(-0.5*(($A292-'Control Room'!$A$14-('Control Room'!$B$14-1)/2)/MAX(0.5,'Control Room'!$B$14/4))^2),1)*IF(AND($A292&gt;='Control Room'!$A$15,$A292&lt;'Control Room'!$A$15+'Control Room'!$B$15,'Process'!BR4=1),1+('Control Room'!$C$15-1)*EXP(-0.5*(($A292-'Control Room'!$A$15-('Control Room'!$B$15-1)/2)/MAX(0.5,'Control Room'!$B$15/4))^2),1)*IF(AND($A292&gt;='Control Room'!$A$16,$A292&lt;'Control Room'!$A$16+'Control Room'!$B$16,'Process'!BR5=1),1+('Control Room'!$C$16-1)*EXP(-0.5*(($A292-'Control Room'!$A$16-('Control Room'!$B$16-1)/2)/MAX(0.5,'Control Room'!$B$16/4))^2),1)</x:f>
        <x:v>1</x:v>
      </x:c>
      <x:c r="AP292" s="9" t="n">
        <x:f>MOD(AQ291*16807,2147483647)</x:f>
        <x:v>1539115552</x:v>
      </x:c>
      <x:c r="AQ292" s="9" t="n">
        <x:f>MOD(AP292*16807,2147483647)</x:f>
        <x:v>1474554349</x:v>
      </x:c>
      <x:c r="AR292" s="17" t="n">
        <x:f>IF('Control Room'!$B$5="Normal",'Control Room'!$B$7+'Control Room'!$D$7*SQRT(-2*LN(MAX(0.000000000001,AP292/2147483647)))*COS(2*PI()*AQ292/2147483647),'Control Room'!$B$8+('Control Room'!$D$8-'Control Room'!$B$8)*AP292/2147483647)</x:f>
        <x:v>971.523860417742</x:v>
      </x:c>
      <x:c r="AS292" s="17" t="n">
        <x:f>IF('Control Room'!$B$5="Normal",'Control Room'!$B$7,('Control Room'!$B$8+'Control Room'!$D$8)/2)+'Control Room'!$B$9*(AS291-IF('Control Room'!$B$5="Normal",'Control Room'!$B$7,('Control Room'!$B$8+'Control Room'!$D$8)/2))+SQRT(1-'Control Room'!$B$9^2)*(AR292-IF('Control Room'!$B$5="Normal",'Control Room'!$B$7,('Control Room'!$B$8+'Control Room'!$D$8)/2))</x:f>
        <x:v>926.4423311984297</x:v>
      </x:c>
      <x:c r="AT292" s="17" t="n">
        <x:f>IF(AND($A292&gt;='Control Room'!$A$13,$A292&lt;'Control Room'!$A$13+'Control Room'!$B$13,'Process'!BS2=1),1+('Control Room'!$C$13-1)*EXP(-0.5*(($A292-'Control Room'!$A$13-('Control Room'!$B$13-1)/2)/MAX(0.5,'Control Room'!$B$13/4))^2),1)*IF(AND($A292&gt;='Control Room'!$A$14,$A292&lt;'Control Room'!$A$14+'Control Room'!$B$14,'Process'!BS3=1),1+('Control Room'!$C$14-1)*EXP(-0.5*(($A292-'Control Room'!$A$14-('Control Room'!$B$14-1)/2)/MAX(0.5,'Control Room'!$B$14/4))^2),1)*IF(AND($A292&gt;='Control Room'!$A$15,$A292&lt;'Control Room'!$A$15+'Control Room'!$B$15,'Process'!BS4=1),1+('Control Room'!$C$15-1)*EXP(-0.5*(($A292-'Control Room'!$A$15-('Control Room'!$B$15-1)/2)/MAX(0.5,'Control Room'!$B$15/4))^2),1)*IF(AND($A292&gt;='Control Room'!$A$16,$A292&lt;'Control Room'!$A$16+'Control Room'!$B$16,'Process'!BS5=1),1+('Control Room'!$C$16-1)*EXP(-0.5*(($A292-'Control Room'!$A$16-('Control Room'!$B$16-1)/2)/MAX(0.5,'Control Room'!$B$16/4))^2),1)</x:f>
        <x:v>1</x:v>
      </x:c>
      <x:c r="AU292" s="9" t="n">
        <x:f>MOD(AV291*16807,2147483647)</x:f>
        <x:v>236237675</x:v>
      </x:c>
      <x:c r="AV292" s="9" t="n">
        <x:f>MOD(AU292*16807,2147483647)</x:f>
        <x:v>1896824069</x:v>
      </x:c>
      <x:c r="AW292" s="17" t="n">
        <x:f>IF('Control Room'!$B$5="Normal",'Control Room'!$B$7+'Control Room'!$D$7*SQRT(-2*LN(MAX(0.000000000001,AU292/2147483647)))*COS(2*PI()*AV292/2147483647),'Control Room'!$B$8+('Control Room'!$D$8-'Control Room'!$B$8)*AU292/2147483647)</x:f>
        <x:v>1140.4804906714614</x:v>
      </x:c>
      <x:c r="AX292" s="17" t="n">
        <x:f>IF('Control Room'!$B$5="Normal",'Control Room'!$B$7,('Control Room'!$B$8+'Control Room'!$D$8)/2)+'Control Room'!$B$9*(AX291-IF('Control Room'!$B$5="Normal",'Control Room'!$B$7,('Control Room'!$B$8+'Control Room'!$D$8)/2))+SQRT(1-'Control Room'!$B$9^2)*(AW292-IF('Control Room'!$B$5="Normal",'Control Room'!$B$7,('Control Room'!$B$8+'Control Room'!$D$8)/2))</x:f>
        <x:v>1068.0431705501155</x:v>
      </x:c>
      <x:c r="AY292" s="17" t="n">
        <x:f>IF(AND($A292&gt;='Control Room'!$A$13,$A292&lt;'Control Room'!$A$13+'Control Room'!$B$13,'Process'!BT2=1),1+('Control Room'!$C$13-1)*EXP(-0.5*(($A292-'Control Room'!$A$13-('Control Room'!$B$13-1)/2)/MAX(0.5,'Control Room'!$B$13/4))^2),1)*IF(AND($A292&gt;='Control Room'!$A$14,$A292&lt;'Control Room'!$A$14+'Control Room'!$B$14,'Process'!BT3=1),1+('Control Room'!$C$14-1)*EXP(-0.5*(($A292-'Control Room'!$A$14-('Control Room'!$B$14-1)/2)/MAX(0.5,'Control Room'!$B$14/4))^2),1)*IF(AND($A292&gt;='Control Room'!$A$15,$A292&lt;'Control Room'!$A$15+'Control Room'!$B$15,'Process'!BT4=1),1+('Control Room'!$C$15-1)*EXP(-0.5*(($A292-'Control Room'!$A$15-('Control Room'!$B$15-1)/2)/MAX(0.5,'Control Room'!$B$15/4))^2),1)*IF(AND($A292&gt;='Control Room'!$A$16,$A292&lt;'Control Room'!$A$16+'Control Room'!$B$16,'Process'!BT5=1),1+('Control Room'!$C$16-1)*EXP(-0.5*(($A292-'Control Room'!$A$16-('Control Room'!$B$16-1)/2)/MAX(0.5,'Control Room'!$B$16/4))^2),1)</x:f>
        <x:v>1</x:v>
      </x:c>
      <x:c r="AZ292" s="9" t="n">
        <x:f>MOD(BA291*16807,2147483647)</x:f>
        <x:v>1080843445</x:v>
      </x:c>
      <x:c r="BA292" s="9" t="n">
        <x:f>MOD(AZ292*16807,2147483647)</x:f>
        <x:v>171610142</x:v>
      </x:c>
      <x:c r="BB292" s="17" t="n">
        <x:f>IF('Control Room'!$B$5="Normal",'Control Room'!$B$7+'Control Room'!$D$7*SQRT(-2*LN(MAX(0.000000000001,AZ292/2147483647)))*COS(2*PI()*BA292/2147483647),'Control Room'!$B$8+('Control Room'!$D$8-'Control Room'!$B$8)*AZ292/2147483647)</x:f>
        <x:v>1092.4448967231228</x:v>
      </x:c>
      <x:c r="BC292" s="17" t="n">
        <x:f>IF('Control Room'!$B$5="Normal",'Control Room'!$B$7,('Control Room'!$B$8+'Control Room'!$D$8)/2)+'Control Room'!$B$9*(BC291-IF('Control Room'!$B$5="Normal",'Control Room'!$B$7,('Control Room'!$B$8+'Control Room'!$D$8)/2))+SQRT(1-'Control Room'!$B$9^2)*(BB292-IF('Control Room'!$B$5="Normal",'Control Room'!$B$7,('Control Room'!$B$8+'Control Room'!$D$8)/2))</x:f>
        <x:v>1055.7133501596295</x:v>
      </x:c>
      <x:c r="BD292" s="17" t="n">
        <x:f>IF(AND($A292&gt;='Control Room'!$A$13,$A292&lt;'Control Room'!$A$13+'Control Room'!$B$13,'Process'!BU2=1),1+('Control Room'!$C$13-1)*EXP(-0.5*(($A292-'Control Room'!$A$13-('Control Room'!$B$13-1)/2)/MAX(0.5,'Control Room'!$B$13/4))^2),1)*IF(AND($A292&gt;='Control Room'!$A$14,$A292&lt;'Control Room'!$A$14+'Control Room'!$B$14,'Process'!BU3=1),1+('Control Room'!$C$14-1)*EXP(-0.5*(($A292-'Control Room'!$A$14-('Control Room'!$B$14-1)/2)/MAX(0.5,'Control Room'!$B$14/4))^2),1)*IF(AND($A292&gt;='Control Room'!$A$15,$A292&lt;'Control Room'!$A$15+'Control Room'!$B$15,'Process'!BU4=1),1+('Control Room'!$C$15-1)*EXP(-0.5*(($A292-'Control Room'!$A$15-('Control Room'!$B$15-1)/2)/MAX(0.5,'Control Room'!$B$15/4))^2),1)*IF(AND($A292&gt;='Control Room'!$A$16,$A292&lt;'Control Room'!$A$16+'Control Room'!$B$16,'Process'!BU5=1),1+('Control Room'!$C$16-1)*EXP(-0.5*(($A292-'Control Room'!$A$16-('Control Room'!$B$16-1)/2)/MAX(0.5,'Control Room'!$B$16/4))^2),1)</x:f>
        <x:v>1</x:v>
      </x:c>
      <x:c r="BE292" s="9" t="n">
        <x:f>MOD(BF291*16807,2147483647)</x:f>
        <x:v>1925449215</x:v>
      </x:c>
      <x:c r="BF292" s="9" t="n">
        <x:f>MOD(BE292*16807,2147483647)</x:f>
        <x:v>593879862</x:v>
      </x:c>
      <x:c r="BG292" s="17" t="n">
        <x:f>IF('Control Room'!$B$5="Normal",'Control Room'!$B$7+'Control Room'!$D$7*SQRT(-2*LN(MAX(0.000000000001,BE292/2147483647)))*COS(2*PI()*BF292/2147483647),'Control Room'!$B$8+('Control Room'!$D$8-'Control Room'!$B$8)*BE292/2147483647)</x:f>
        <x:v>993.0189332053466</x:v>
      </x:c>
      <x:c r="BH292" s="17" t="n">
        <x:f>IF('Control Room'!$B$5="Normal",'Control Room'!$B$7,('Control Room'!$B$8+'Control Room'!$D$8)/2)+'Control Room'!$B$9*(BH291-IF('Control Room'!$B$5="Normal",'Control Room'!$B$7,('Control Room'!$B$8+'Control Room'!$D$8)/2))+SQRT(1-'Control Room'!$B$9^2)*(BG292-IF('Control Room'!$B$5="Normal",'Control Room'!$B$7,('Control Room'!$B$8+'Control Room'!$D$8)/2))</x:f>
        <x:v>1096.2829607049837</x:v>
      </x:c>
      <x:c r="BI292" s="17" t="n">
        <x:f>IF(AND($A292&gt;='Control Room'!$A$13,$A292&lt;'Control Room'!$A$13+'Control Room'!$B$13,'Process'!BV2=1),1+('Control Room'!$C$13-1)*EXP(-0.5*(($A292-'Control Room'!$A$13-('Control Room'!$B$13-1)/2)/MAX(0.5,'Control Room'!$B$13/4))^2),1)*IF(AND($A292&gt;='Control Room'!$A$14,$A292&lt;'Control Room'!$A$14+'Control Room'!$B$14,'Process'!BV3=1),1+('Control Room'!$C$14-1)*EXP(-0.5*(($A292-'Control Room'!$A$14-('Control Room'!$B$14-1)/2)/MAX(0.5,'Control Room'!$B$14/4))^2),1)*IF(AND($A292&gt;='Control Room'!$A$15,$A292&lt;'Control Room'!$A$15+'Control Room'!$B$15,'Process'!BV4=1),1+('Control Room'!$C$15-1)*EXP(-0.5*(($A292-'Control Room'!$A$15-('Control Room'!$B$15-1)/2)/MAX(0.5,'Control Room'!$B$15/4))^2),1)*IF(AND($A292&gt;='Control Room'!$A$16,$A292&lt;'Control Room'!$A$16+'Control Room'!$B$16,'Process'!BV5=1),1+('Control Room'!$C$16-1)*EXP(-0.5*(($A292-'Control Room'!$A$16-('Control Room'!$B$16-1)/2)/MAX(0.5,'Control Room'!$B$16/4))^2),1)</x:f>
        <x:v>1</x:v>
      </x:c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Z292" t="str">
        <x:f>IF('Data'!A292="","",TEXT('Data'!A292,"mm-dd"))</x:f>
      </x:c>
    </x:row>
    <x:row r="293" ht="21" customHeight="1">
      <x:c r="A293" s="15" t="n">
        <x:f>'Control Room'!$B$1+291</x:f>
        <x:v>73282</x:v>
      </x:c>
      <x:c r="B293" s="9" t="n">
        <x:f>MOD(C292*16807,2147483647)</x:f>
        <x:v>1496327976</x:v>
      </x:c>
      <x:c r="C293" s="9" t="n">
        <x:f>MOD(B293*16807,2147483647)</x:f>
        <x:v>1750786262</x:v>
      </x:c>
      <x:c r="D293" s="17" t="n">
        <x:f>IF('Control Room'!$B$5="Normal",'Control Room'!$B$7+'Control Room'!$D$7*SQRT(-2*LN(MAX(0.000000000001,B293/2147483647)))*COS(2*PI()*C293/2147483647),'Control Room'!$B$8+('Control Room'!$D$8-'Control Room'!$B$8)*B293/2147483647)</x:f>
        <x:v>1030.5037465986986</x:v>
      </x:c>
      <x:c r="E293" s="17" t="n">
        <x:f>IF('Control Room'!$B$5="Normal",'Control Room'!$B$7,('Control Room'!$B$8+'Control Room'!$D$8)/2)+'Control Room'!$B$9*(E292-IF('Control Room'!$B$5="Normal",'Control Room'!$B$7,('Control Room'!$B$8+'Control Room'!$D$8)/2))+SQRT(1-'Control Room'!$B$9^2)*(D293-IF('Control Room'!$B$5="Normal",'Control Room'!$B$7,('Control Room'!$B$8+'Control Room'!$D$8)/2))</x:f>
        <x:v>1061.797015031374</x:v>
      </x:c>
      <x:c r="F293" s="17" t="n">
        <x:f>IF(AND($A293&gt;='Control Room'!$A$13,$A293&lt;'Control Room'!$A$13+'Control Room'!$B$13,'Process'!BK2=1),1+('Control Room'!$C$13-1)*EXP(-0.5*(($A293-'Control Room'!$A$13-('Control Room'!$B$13-1)/2)/MAX(0.5,'Control Room'!$B$13/4))^2),1)*IF(AND($A293&gt;='Control Room'!$A$14,$A293&lt;'Control Room'!$A$14+'Control Room'!$B$14,'Process'!BK3=1),1+('Control Room'!$C$14-1)*EXP(-0.5*(($A293-'Control Room'!$A$14-('Control Room'!$B$14-1)/2)/MAX(0.5,'Control Room'!$B$14/4))^2),1)*IF(AND($A293&gt;='Control Room'!$A$15,$A293&lt;'Control Room'!$A$15+'Control Room'!$B$15,'Process'!BK4=1),1+('Control Room'!$C$15-1)*EXP(-0.5*(($A293-'Control Room'!$A$15-('Control Room'!$B$15-1)/2)/MAX(0.5,'Control Room'!$B$15/4))^2),1)*IF(AND($A293&gt;='Control Room'!$A$16,$A293&lt;'Control Room'!$A$16+'Control Room'!$B$16,'Process'!BK5=1),1+('Control Room'!$C$16-1)*EXP(-0.5*(($A293-'Control Room'!$A$16-('Control Room'!$B$16-1)/2)/MAX(0.5,'Control Room'!$B$16/4))^2),1)</x:f>
        <x:v>1</x:v>
      </x:c>
      <x:c r="G293" s="9" t="n">
        <x:f>MOD(H292*16807,2147483647)</x:f>
        <x:v>1150058681</x:v>
      </x:c>
      <x:c r="H293" s="9" t="n">
        <x:f>MOD(G293*16807,2147483647)</x:f>
        <x:v>1683428567</x:v>
      </x:c>
      <x:c r="I293" s="17" t="n">
        <x:f>IF('Control Room'!$B$5="Normal",'Control Room'!$B$7+'Control Room'!$D$7*SQRT(-2*LN(MAX(0.000000000001,G293/2147483647)))*COS(2*PI()*H293/2147483647),'Control Room'!$B$8+('Control Room'!$D$8-'Control Room'!$B$8)*G293/2147483647)</x:f>
        <x:v>1021.2668688228723</x:v>
      </x:c>
      <x:c r="J293" s="17" t="n">
        <x:f>IF('Control Room'!$B$5="Normal",'Control Room'!$B$7,('Control Room'!$B$8+'Control Room'!$D$8)/2)+'Control Room'!$B$9*(J292-IF('Control Room'!$B$5="Normal",'Control Room'!$B$7,('Control Room'!$B$8+'Control Room'!$D$8)/2))+SQRT(1-'Control Room'!$B$9^2)*(I293-IF('Control Room'!$B$5="Normal",'Control Room'!$B$7,('Control Room'!$B$8+'Control Room'!$D$8)/2))</x:f>
        <x:v>971.5229581939993</x:v>
      </x:c>
      <x:c r="K293" s="17" t="n">
        <x:f>IF(AND($A293&gt;='Control Room'!$A$13,$A293&lt;'Control Room'!$A$13+'Control Room'!$B$13,'Process'!BL2=1),1+('Control Room'!$C$13-1)*EXP(-0.5*(($A293-'Control Room'!$A$13-('Control Room'!$B$13-1)/2)/MAX(0.5,'Control Room'!$B$13/4))^2),1)*IF(AND($A293&gt;='Control Room'!$A$14,$A293&lt;'Control Room'!$A$14+'Control Room'!$B$14,'Process'!BL3=1),1+('Control Room'!$C$14-1)*EXP(-0.5*(($A293-'Control Room'!$A$14-('Control Room'!$B$14-1)/2)/MAX(0.5,'Control Room'!$B$14/4))^2),1)*IF(AND($A293&gt;='Control Room'!$A$15,$A293&lt;'Control Room'!$A$15+'Control Room'!$B$15,'Process'!BL4=1),1+('Control Room'!$C$15-1)*EXP(-0.5*(($A293-'Control Room'!$A$15-('Control Room'!$B$15-1)/2)/MAX(0.5,'Control Room'!$B$15/4))^2),1)*IF(AND($A293&gt;='Control Room'!$A$16,$A293&lt;'Control Room'!$A$16+'Control Room'!$B$16,'Process'!BL5=1),1+('Control Room'!$C$16-1)*EXP(-0.5*(($A293-'Control Room'!$A$16-('Control Room'!$B$16-1)/2)/MAX(0.5,'Control Room'!$B$16/4))^2),1)</x:f>
        <x:v>1</x:v>
      </x:c>
      <x:c r="L293" s="9" t="n">
        <x:f>MOD(M292*16807,2147483647)</x:f>
        <x:v>803789386</x:v>
      </x:c>
      <x:c r="M293" s="9" t="n">
        <x:f>MOD(L293*16807,2147483647)</x:f>
        <x:v>1616070872</x:v>
      </x:c>
      <x:c r="N293" s="17" t="n">
        <x:f>IF('Control Room'!$B$5="Normal",'Control Room'!$B$7+'Control Room'!$D$7*SQRT(-2*LN(MAX(0.000000000001,L293/2147483647)))*COS(2*PI()*M293/2147483647),'Control Room'!$B$8+('Control Room'!$D$8-'Control Room'!$B$8)*L293/2147483647)</x:f>
        <x:v>1002.0148707992602</x:v>
      </x:c>
      <x:c r="O293" s="17" t="n">
        <x:f>IF('Control Room'!$B$5="Normal",'Control Room'!$B$7,('Control Room'!$B$8+'Control Room'!$D$8)/2)+'Control Room'!$B$9*(O292-IF('Control Room'!$B$5="Normal",'Control Room'!$B$7,('Control Room'!$B$8+'Control Room'!$D$8)/2))+SQRT(1-'Control Room'!$B$9^2)*(N293-IF('Control Room'!$B$5="Normal",'Control Room'!$B$7,('Control Room'!$B$8+'Control Room'!$D$8)/2))</x:f>
        <x:v>913.0185212129787</x:v>
      </x:c>
      <x:c r="P293" s="17" t="n">
        <x:f>IF(AND($A293&gt;='Control Room'!$A$13,$A293&lt;'Control Room'!$A$13+'Control Room'!$B$13,'Process'!BM2=1),1+('Control Room'!$C$13-1)*EXP(-0.5*(($A293-'Control Room'!$A$13-('Control Room'!$B$13-1)/2)/MAX(0.5,'Control Room'!$B$13/4))^2),1)*IF(AND($A293&gt;='Control Room'!$A$14,$A293&lt;'Control Room'!$A$14+'Control Room'!$B$14,'Process'!BM3=1),1+('Control Room'!$C$14-1)*EXP(-0.5*(($A293-'Control Room'!$A$14-('Control Room'!$B$14-1)/2)/MAX(0.5,'Control Room'!$B$14/4))^2),1)*IF(AND($A293&gt;='Control Room'!$A$15,$A293&lt;'Control Room'!$A$15+'Control Room'!$B$15,'Process'!BM4=1),1+('Control Room'!$C$15-1)*EXP(-0.5*(($A293-'Control Room'!$A$15-('Control Room'!$B$15-1)/2)/MAX(0.5,'Control Room'!$B$15/4))^2),1)*IF(AND($A293&gt;='Control Room'!$A$16,$A293&lt;'Control Room'!$A$16+'Control Room'!$B$16,'Process'!BM5=1),1+('Control Room'!$C$16-1)*EXP(-0.5*(($A293-'Control Room'!$A$16-('Control Room'!$B$16-1)/2)/MAX(0.5,'Control Room'!$B$16/4))^2),1)</x:f>
        <x:v>1</x:v>
      </x:c>
      <x:c r="Q293" s="9" t="n">
        <x:f>MOD(R292*16807,2147483647)</x:f>
        <x:v>457520091</x:v>
      </x:c>
      <x:c r="R293" s="9" t="n">
        <x:f>MOD(Q293*16807,2147483647)</x:f>
        <x:v>1548713177</x:v>
      </x:c>
      <x:c r="S293" s="17" t="n">
        <x:f>IF('Control Room'!$B$5="Normal",'Control Room'!$B$7+'Control Room'!$D$7*SQRT(-2*LN(MAX(0.000000000001,Q293/2147483647)))*COS(2*PI()*R293/2147483647),'Control Room'!$B$8+('Control Room'!$D$8-'Control Room'!$B$8)*Q293/2147483647)</x:f>
        <x:v>971.4927364709806</x:v>
      </x:c>
      <x:c r="T293" s="17" t="n">
        <x:f>IF('Control Room'!$B$5="Normal",'Control Room'!$B$7,('Control Room'!$B$8+'Control Room'!$D$8)/2)+'Control Room'!$B$9*(T292-IF('Control Room'!$B$5="Normal",'Control Room'!$B$7,('Control Room'!$B$8+'Control Room'!$D$8)/2))+SQRT(1-'Control Room'!$B$9^2)*(S293-IF('Control Room'!$B$5="Normal",'Control Room'!$B$7,('Control Room'!$B$8+'Control Room'!$D$8)/2))</x:f>
        <x:v>954.5621486450701</x:v>
      </x:c>
      <x:c r="U293" s="17" t="n">
        <x:f>IF(AND($A293&gt;='Control Room'!$A$13,$A293&lt;'Control Room'!$A$13+'Control Room'!$B$13,'Process'!BN2=1),1+('Control Room'!$C$13-1)*EXP(-0.5*(($A293-'Control Room'!$A$13-('Control Room'!$B$13-1)/2)/MAX(0.5,'Control Room'!$B$13/4))^2),1)*IF(AND($A293&gt;='Control Room'!$A$14,$A293&lt;'Control Room'!$A$14+'Control Room'!$B$14,'Process'!BN3=1),1+('Control Room'!$C$14-1)*EXP(-0.5*(($A293-'Control Room'!$A$14-('Control Room'!$B$14-1)/2)/MAX(0.5,'Control Room'!$B$14/4))^2),1)*IF(AND($A293&gt;='Control Room'!$A$15,$A293&lt;'Control Room'!$A$15+'Control Room'!$B$15,'Process'!BN4=1),1+('Control Room'!$C$15-1)*EXP(-0.5*(($A293-'Control Room'!$A$15-('Control Room'!$B$15-1)/2)/MAX(0.5,'Control Room'!$B$15/4))^2),1)*IF(AND($A293&gt;='Control Room'!$A$16,$A293&lt;'Control Room'!$A$16+'Control Room'!$B$16,'Process'!BN5=1),1+('Control Room'!$C$16-1)*EXP(-0.5*(($A293-'Control Room'!$A$16-('Control Room'!$B$16-1)/2)/MAX(0.5,'Control Room'!$B$16/4))^2),1)</x:f>
        <x:v>1</x:v>
      </x:c>
      <x:c r="V293" s="9" t="n">
        <x:f>MOD(W292*16807,2147483647)</x:f>
        <x:v>111250796</x:v>
      </x:c>
      <x:c r="W293" s="9" t="n">
        <x:f>MOD(V293*16807,2147483647)</x:f>
        <x:v>1481355482</x:v>
      </x:c>
      <x:c r="X293" s="17" t="n">
        <x:f>IF('Control Room'!$B$5="Normal",'Control Room'!$B$7+'Control Room'!$D$7*SQRT(-2*LN(MAX(0.000000000001,V293/2147483647)))*COS(2*PI()*W293/2147483647),'Control Room'!$B$8+('Control Room'!$D$8-'Control Room'!$B$8)*V293/2147483647)</x:f>
        <x:v>919.1415386506186</x:v>
      </x:c>
      <x:c r="Y293" s="17" t="n">
        <x:f>IF('Control Room'!$B$5="Normal",'Control Room'!$B$7,('Control Room'!$B$8+'Control Room'!$D$8)/2)+'Control Room'!$B$9*(Y292-IF('Control Room'!$B$5="Normal",'Control Room'!$B$7,('Control Room'!$B$8+'Control Room'!$D$8)/2))+SQRT(1-'Control Room'!$B$9^2)*(X293-IF('Control Room'!$B$5="Normal",'Control Room'!$B$7,('Control Room'!$B$8+'Control Room'!$D$8)/2))</x:f>
        <x:v>1040.1657174487157</x:v>
      </x:c>
      <x:c r="Z293" s="17" t="n">
        <x:f>IF(AND($A293&gt;='Control Room'!$A$13,$A293&lt;'Control Room'!$A$13+'Control Room'!$B$13,'Process'!BO2=1),1+('Control Room'!$C$13-1)*EXP(-0.5*(($A293-'Control Room'!$A$13-('Control Room'!$B$13-1)/2)/MAX(0.5,'Control Room'!$B$13/4))^2),1)*IF(AND($A293&gt;='Control Room'!$A$14,$A293&lt;'Control Room'!$A$14+'Control Room'!$B$14,'Process'!BO3=1),1+('Control Room'!$C$14-1)*EXP(-0.5*(($A293-'Control Room'!$A$14-('Control Room'!$B$14-1)/2)/MAX(0.5,'Control Room'!$B$14/4))^2),1)*IF(AND($A293&gt;='Control Room'!$A$15,$A293&lt;'Control Room'!$A$15+'Control Room'!$B$15,'Process'!BO4=1),1+('Control Room'!$C$15-1)*EXP(-0.5*(($A293-'Control Room'!$A$15-('Control Room'!$B$15-1)/2)/MAX(0.5,'Control Room'!$B$15/4))^2),1)*IF(AND($A293&gt;='Control Room'!$A$16,$A293&lt;'Control Room'!$A$16+'Control Room'!$B$16,'Process'!BO5=1),1+('Control Room'!$C$16-1)*EXP(-0.5*(($A293-'Control Room'!$A$16-('Control Room'!$B$16-1)/2)/MAX(0.5,'Control Room'!$B$16/4))^2),1)</x:f>
        <x:v>1</x:v>
      </x:c>
      <x:c r="AA293" s="9" t="n">
        <x:f>MOD(AB292*16807,2147483647)</x:f>
        <x:v>1912465148</x:v>
      </x:c>
      <x:c r="AB293" s="9" t="n">
        <x:f>MOD(AA293*16807,2147483647)</x:f>
        <x:v>1413997787</x:v>
      </x:c>
      <x:c r="AC293" s="17" t="n">
        <x:f>IF('Control Room'!$B$5="Normal",'Control Room'!$B$7+'Control Room'!$D$7*SQRT(-2*LN(MAX(0.000000000001,AA293/2147483647)))*COS(2*PI()*AB293/2147483647),'Control Room'!$B$8+('Control Room'!$D$8-'Control Room'!$B$8)*AA293/2147483647)</x:f>
        <x:v>976.425123647266</x:v>
      </x:c>
      <x:c r="AD293" s="17" t="n">
        <x:f>IF('Control Room'!$B$5="Normal",'Control Room'!$B$7,('Control Room'!$B$8+'Control Room'!$D$8)/2)+'Control Room'!$B$9*(AD292-IF('Control Room'!$B$5="Normal",'Control Room'!$B$7,('Control Room'!$B$8+'Control Room'!$D$8)/2))+SQRT(1-'Control Room'!$B$9^2)*(AC293-IF('Control Room'!$B$5="Normal",'Control Room'!$B$7,('Control Room'!$B$8+'Control Room'!$D$8)/2))</x:f>
        <x:v>1060.7285356689335</x:v>
      </x:c>
      <x:c r="AE293" s="17" t="n">
        <x:f>IF(AND($A293&gt;='Control Room'!$A$13,$A293&lt;'Control Room'!$A$13+'Control Room'!$B$13,'Process'!BP2=1),1+('Control Room'!$C$13-1)*EXP(-0.5*(($A293-'Control Room'!$A$13-('Control Room'!$B$13-1)/2)/MAX(0.5,'Control Room'!$B$13/4))^2),1)*IF(AND($A293&gt;='Control Room'!$A$14,$A293&lt;'Control Room'!$A$14+'Control Room'!$B$14,'Process'!BP3=1),1+('Control Room'!$C$14-1)*EXP(-0.5*(($A293-'Control Room'!$A$14-('Control Room'!$B$14-1)/2)/MAX(0.5,'Control Room'!$B$14/4))^2),1)*IF(AND($A293&gt;='Control Room'!$A$15,$A293&lt;'Control Room'!$A$15+'Control Room'!$B$15,'Process'!BP4=1),1+('Control Room'!$C$15-1)*EXP(-0.5*(($A293-'Control Room'!$A$15-('Control Room'!$B$15-1)/2)/MAX(0.5,'Control Room'!$B$15/4))^2),1)*IF(AND($A293&gt;='Control Room'!$A$16,$A293&lt;'Control Room'!$A$16+'Control Room'!$B$16,'Process'!BP5=1),1+('Control Room'!$C$16-1)*EXP(-0.5*(($A293-'Control Room'!$A$16-('Control Room'!$B$16-1)/2)/MAX(0.5,'Control Room'!$B$16/4))^2),1)</x:f>
        <x:v>1</x:v>
      </x:c>
      <x:c r="AF293" s="9" t="n">
        <x:f>MOD(AG292*16807,2147483647)</x:f>
        <x:v>1566195853</x:v>
      </x:c>
      <x:c r="AG293" s="9" t="n">
        <x:f>MOD(AF293*16807,2147483647)</x:f>
        <x:v>1346640092</x:v>
      </x:c>
      <x:c r="AH293" s="17" t="n">
        <x:f>IF('Control Room'!$B$5="Normal",'Control Room'!$B$7+'Control Room'!$D$7*SQRT(-2*LN(MAX(0.000000000001,AF293/2147483647)))*COS(2*PI()*AG293/2147483647),'Control Room'!$B$8+('Control Room'!$D$8-'Control Room'!$B$8)*AF293/2147483647)</x:f>
        <x:v>950.1003001877854</x:v>
      </x:c>
      <x:c r="AI293" s="17" t="n">
        <x:f>IF('Control Room'!$B$5="Normal",'Control Room'!$B$7,('Control Room'!$B$8+'Control Room'!$D$8)/2)+'Control Room'!$B$9*(AI292-IF('Control Room'!$B$5="Normal",'Control Room'!$B$7,('Control Room'!$B$8+'Control Room'!$D$8)/2))+SQRT(1-'Control Room'!$B$9^2)*(AH293-IF('Control Room'!$B$5="Normal",'Control Room'!$B$7,('Control Room'!$B$8+'Control Room'!$D$8)/2))</x:f>
        <x:v>979.3359840574656</x:v>
      </x:c>
      <x:c r="AJ293" s="17" t="n">
        <x:f>IF(AND($A293&gt;='Control Room'!$A$13,$A293&lt;'Control Room'!$A$13+'Control Room'!$B$13,'Process'!BQ2=1),1+('Control Room'!$C$13-1)*EXP(-0.5*(($A293-'Control Room'!$A$13-('Control Room'!$B$13-1)/2)/MAX(0.5,'Control Room'!$B$13/4))^2),1)*IF(AND($A293&gt;='Control Room'!$A$14,$A293&lt;'Control Room'!$A$14+'Control Room'!$B$14,'Process'!BQ3=1),1+('Control Room'!$C$14-1)*EXP(-0.5*(($A293-'Control Room'!$A$14-('Control Room'!$B$14-1)/2)/MAX(0.5,'Control Room'!$B$14/4))^2),1)*IF(AND($A293&gt;='Control Room'!$A$15,$A293&lt;'Control Room'!$A$15+'Control Room'!$B$15,'Process'!BQ4=1),1+('Control Room'!$C$15-1)*EXP(-0.5*(($A293-'Control Room'!$A$15-('Control Room'!$B$15-1)/2)/MAX(0.5,'Control Room'!$B$15/4))^2),1)*IF(AND($A293&gt;='Control Room'!$A$16,$A293&lt;'Control Room'!$A$16+'Control Room'!$B$16,'Process'!BQ5=1),1+('Control Room'!$C$16-1)*EXP(-0.5*(($A293-'Control Room'!$A$16-('Control Room'!$B$16-1)/2)/MAX(0.5,'Control Room'!$B$16/4))^2),1)</x:f>
        <x:v>1</x:v>
      </x:c>
      <x:c r="AK293" s="9" t="n">
        <x:f>MOD(AL292*16807,2147483647)</x:f>
        <x:v>1219926558</x:v>
      </x:c>
      <x:c r="AL293" s="9" t="n">
        <x:f>MOD(AK293*16807,2147483647)</x:f>
        <x:v>1279282397</x:v>
      </x:c>
      <x:c r="AM293" s="17" t="n">
        <x:f>IF('Control Room'!$B$5="Normal",'Control Room'!$B$7+'Control Room'!$D$7*SQRT(-2*LN(MAX(0.000000000001,AK293/2147483647)))*COS(2*PI()*AL293/2147483647),'Control Room'!$B$8+('Control Room'!$D$8-'Control Room'!$B$8)*AK293/2147483647)</x:f>
        <x:v>921.0782520021102</x:v>
      </x:c>
      <x:c r="AN293" s="17" t="n">
        <x:f>IF('Control Room'!$B$5="Normal",'Control Room'!$B$7,('Control Room'!$B$8+'Control Room'!$D$8)/2)+'Control Room'!$B$9*(AN292-IF('Control Room'!$B$5="Normal",'Control Room'!$B$7,('Control Room'!$B$8+'Control Room'!$D$8)/2))+SQRT(1-'Control Room'!$B$9^2)*(AM293-IF('Control Room'!$B$5="Normal",'Control Room'!$B$7,('Control Room'!$B$8+'Control Room'!$D$8)/2))</x:f>
        <x:v>846.2543516774628</x:v>
      </x:c>
      <x:c r="AO293" s="17" t="n">
        <x:f>IF(AND($A293&gt;='Control Room'!$A$13,$A293&lt;'Control Room'!$A$13+'Control Room'!$B$13,'Process'!BR2=1),1+('Control Room'!$C$13-1)*EXP(-0.5*(($A293-'Control Room'!$A$13-('Control Room'!$B$13-1)/2)/MAX(0.5,'Control Room'!$B$13/4))^2),1)*IF(AND($A293&gt;='Control Room'!$A$14,$A293&lt;'Control Room'!$A$14+'Control Room'!$B$14,'Process'!BR3=1),1+('Control Room'!$C$14-1)*EXP(-0.5*(($A293-'Control Room'!$A$14-('Control Room'!$B$14-1)/2)/MAX(0.5,'Control Room'!$B$14/4))^2),1)*IF(AND($A293&gt;='Control Room'!$A$15,$A293&lt;'Control Room'!$A$15+'Control Room'!$B$15,'Process'!BR4=1),1+('Control Room'!$C$15-1)*EXP(-0.5*(($A293-'Control Room'!$A$15-('Control Room'!$B$15-1)/2)/MAX(0.5,'Control Room'!$B$15/4))^2),1)*IF(AND($A293&gt;='Control Room'!$A$16,$A293&lt;'Control Room'!$A$16+'Control Room'!$B$16,'Process'!BR5=1),1+('Control Room'!$C$16-1)*EXP(-0.5*(($A293-'Control Room'!$A$16-('Control Room'!$B$16-1)/2)/MAX(0.5,'Control Room'!$B$16/4))^2),1)</x:f>
        <x:v>1</x:v>
      </x:c>
      <x:c r="AP293" s="9" t="n">
        <x:f>MOD(AQ292*16807,2147483647)</x:f>
        <x:v>873657263</x:v>
      </x:c>
      <x:c r="AQ293" s="9" t="n">
        <x:f>MOD(AP293*16807,2147483647)</x:f>
        <x:v>1211924702</x:v>
      </x:c>
      <x:c r="AR293" s="17" t="n">
        <x:f>IF('Control Room'!$B$5="Normal",'Control Room'!$B$7+'Control Room'!$D$7*SQRT(-2*LN(MAX(0.000000000001,AP293/2147483647)))*COS(2*PI()*AQ293/2147483647),'Control Room'!$B$8+('Control Room'!$D$8-'Control Room'!$B$8)*AP293/2147483647)</x:f>
        <x:v>889.0265100544734</x:v>
      </x:c>
      <x:c r="AS293" s="17" t="n">
        <x:f>IF('Control Room'!$B$5="Normal",'Control Room'!$B$7,('Control Room'!$B$8+'Control Room'!$D$8)/2)+'Control Room'!$B$9*(AS292-IF('Control Room'!$B$5="Normal",'Control Room'!$B$7,('Control Room'!$B$8+'Control Room'!$D$8)/2))+SQRT(1-'Control Room'!$B$9^2)*(AR293-IF('Control Room'!$B$5="Normal",'Control Room'!$B$7,('Control Room'!$B$8+'Control Room'!$D$8)/2))</x:f>
        <x:v>873.1800817423773</x:v>
      </x:c>
      <x:c r="AT293" s="17" t="n">
        <x:f>IF(AND($A293&gt;='Control Room'!$A$13,$A293&lt;'Control Room'!$A$13+'Control Room'!$B$13,'Process'!BS2=1),1+('Control Room'!$C$13-1)*EXP(-0.5*(($A293-'Control Room'!$A$13-('Control Room'!$B$13-1)/2)/MAX(0.5,'Control Room'!$B$13/4))^2),1)*IF(AND($A293&gt;='Control Room'!$A$14,$A293&lt;'Control Room'!$A$14+'Control Room'!$B$14,'Process'!BS3=1),1+('Control Room'!$C$14-1)*EXP(-0.5*(($A293-'Control Room'!$A$14-('Control Room'!$B$14-1)/2)/MAX(0.5,'Control Room'!$B$14/4))^2),1)*IF(AND($A293&gt;='Control Room'!$A$15,$A293&lt;'Control Room'!$A$15+'Control Room'!$B$15,'Process'!BS4=1),1+('Control Room'!$C$15-1)*EXP(-0.5*(($A293-'Control Room'!$A$15-('Control Room'!$B$15-1)/2)/MAX(0.5,'Control Room'!$B$15/4))^2),1)*IF(AND($A293&gt;='Control Room'!$A$16,$A293&lt;'Control Room'!$A$16+'Control Room'!$B$16,'Process'!BS5=1),1+('Control Room'!$C$16-1)*EXP(-0.5*(($A293-'Control Room'!$A$16-('Control Room'!$B$16-1)/2)/MAX(0.5,'Control Room'!$B$16/4))^2),1)</x:f>
        <x:v>1</x:v>
      </x:c>
      <x:c r="AU293" s="9" t="n">
        <x:f>MOD(AV292*16807,2147483647)</x:f>
        <x:v>527387968</x:v>
      </x:c>
      <x:c r="AV293" s="9" t="n">
        <x:f>MOD(AU293*16807,2147483647)</x:f>
        <x:v>1144567007</x:v>
      </x:c>
      <x:c r="AW293" s="17" t="n">
        <x:f>IF('Control Room'!$B$5="Normal",'Control Room'!$B$7+'Control Room'!$D$7*SQRT(-2*LN(MAX(0.000000000001,AU293/2147483647)))*COS(2*PI()*AV293/2147483647),'Control Room'!$B$8+('Control Room'!$D$8-'Control Room'!$B$8)*AU293/2147483647)</x:f>
        <x:v>852.4066340835983</x:v>
      </x:c>
      <x:c r="AX293" s="17" t="n">
        <x:f>IF('Control Room'!$B$5="Normal",'Control Room'!$B$7,('Control Room'!$B$8+'Control Room'!$D$8)/2)+'Control Room'!$B$9*(AX292-IF('Control Room'!$B$5="Normal",'Control Room'!$B$7,('Control Room'!$B$8+'Control Room'!$D$8)/2))+SQRT(1-'Control Room'!$B$9^2)*(AW293-IF('Control Room'!$B$5="Normal",'Control Room'!$B$7,('Control Room'!$B$8+'Control Room'!$D$8)/2))</x:f>
        <x:v>960.7127682530547</x:v>
      </x:c>
      <x:c r="AY293" s="17" t="n">
        <x:f>IF(AND($A293&gt;='Control Room'!$A$13,$A293&lt;'Control Room'!$A$13+'Control Room'!$B$13,'Process'!BT2=1),1+('Control Room'!$C$13-1)*EXP(-0.5*(($A293-'Control Room'!$A$13-('Control Room'!$B$13-1)/2)/MAX(0.5,'Control Room'!$B$13/4))^2),1)*IF(AND($A293&gt;='Control Room'!$A$14,$A293&lt;'Control Room'!$A$14+'Control Room'!$B$14,'Process'!BT3=1),1+('Control Room'!$C$14-1)*EXP(-0.5*(($A293-'Control Room'!$A$14-('Control Room'!$B$14-1)/2)/MAX(0.5,'Control Room'!$B$14/4))^2),1)*IF(AND($A293&gt;='Control Room'!$A$15,$A293&lt;'Control Room'!$A$15+'Control Room'!$B$15,'Process'!BT4=1),1+('Control Room'!$C$15-1)*EXP(-0.5*(($A293-'Control Room'!$A$15-('Control Room'!$B$15-1)/2)/MAX(0.5,'Control Room'!$B$15/4))^2),1)*IF(AND($A293&gt;='Control Room'!$A$16,$A293&lt;'Control Room'!$A$16+'Control Room'!$B$16,'Process'!BT5=1),1+('Control Room'!$C$16-1)*EXP(-0.5*(($A293-'Control Room'!$A$16-('Control Room'!$B$16-1)/2)/MAX(0.5,'Control Room'!$B$16/4))^2),1)</x:f>
        <x:v>1</x:v>
      </x:c>
      <x:c r="AZ293" s="9" t="n">
        <x:f>MOD(BA292*16807,2147483647)</x:f>
        <x:v>181118673</x:v>
      </x:c>
      <x:c r="BA293" s="9" t="n">
        <x:f>MOD(AZ293*16807,2147483647)</x:f>
        <x:v>1077209312</x:v>
      </x:c>
      <x:c r="BB293" s="17" t="n">
        <x:f>IF('Control Room'!$B$5="Normal",'Control Room'!$B$7+'Control Room'!$D$7*SQRT(-2*LN(MAX(0.000000000001,AZ293/2147483647)))*COS(2*PI()*BA293/2147483647),'Control Room'!$B$8+('Control Room'!$D$8-'Control Room'!$B$8)*AZ293/2147483647)</x:f>
        <x:v>799.8579259079141</x:v>
      </x:c>
      <x:c r="BC293" s="17" t="n">
        <x:f>IF('Control Room'!$B$5="Normal",'Control Room'!$B$7,('Control Room'!$B$8+'Control Room'!$D$8)/2)+'Control Room'!$B$9*(BC292-IF('Control Room'!$B$5="Normal",'Control Room'!$B$7,('Control Room'!$B$8+'Control Room'!$D$8)/2))+SQRT(1-'Control Room'!$B$9^2)*(BB293-IF('Control Room'!$B$5="Normal",'Control Room'!$B$7,('Control Room'!$B$8+'Control Room'!$D$8)/2))</x:f>
        <x:v>918.2116032909336</x:v>
      </x:c>
      <x:c r="BD293" s="17" t="n">
        <x:f>IF(AND($A293&gt;='Control Room'!$A$13,$A293&lt;'Control Room'!$A$13+'Control Room'!$B$13,'Process'!BU2=1),1+('Control Room'!$C$13-1)*EXP(-0.5*(($A293-'Control Room'!$A$13-('Control Room'!$B$13-1)/2)/MAX(0.5,'Control Room'!$B$13/4))^2),1)*IF(AND($A293&gt;='Control Room'!$A$14,$A293&lt;'Control Room'!$A$14+'Control Room'!$B$14,'Process'!BU3=1),1+('Control Room'!$C$14-1)*EXP(-0.5*(($A293-'Control Room'!$A$14-('Control Room'!$B$14-1)/2)/MAX(0.5,'Control Room'!$B$14/4))^2),1)*IF(AND($A293&gt;='Control Room'!$A$15,$A293&lt;'Control Room'!$A$15+'Control Room'!$B$15,'Process'!BU4=1),1+('Control Room'!$C$15-1)*EXP(-0.5*(($A293-'Control Room'!$A$15-('Control Room'!$B$15-1)/2)/MAX(0.5,'Control Room'!$B$15/4))^2),1)*IF(AND($A293&gt;='Control Room'!$A$16,$A293&lt;'Control Room'!$A$16+'Control Room'!$B$16,'Process'!BU5=1),1+('Control Room'!$C$16-1)*EXP(-0.5*(($A293-'Control Room'!$A$16-('Control Room'!$B$16-1)/2)/MAX(0.5,'Control Room'!$B$16/4))^2),1)</x:f>
        <x:v>1</x:v>
      </x:c>
      <x:c r="BE293" s="9" t="n">
        <x:f>MOD(BF292*16807,2147483647)</x:f>
        <x:v>1982333025</x:v>
      </x:c>
      <x:c r="BF293" s="9" t="n">
        <x:f>MOD(BE293*16807,2147483647)</x:f>
        <x:v>1009851617</x:v>
      </x:c>
      <x:c r="BG293" s="17" t="n">
        <x:f>IF('Control Room'!$B$5="Normal",'Control Room'!$B$7+'Control Room'!$D$7*SQRT(-2*LN(MAX(0.000000000001,BE293/2147483647)))*COS(2*PI()*BF293/2147483647),'Control Room'!$B$8+('Control Room'!$D$8-'Control Room'!$B$8)*BE293/2147483647)</x:f>
        <x:v>964.6222239935856</x:v>
      </x:c>
      <x:c r="BH293" s="17" t="n">
        <x:f>IF('Control Room'!$B$5="Normal",'Control Room'!$B$7,('Control Room'!$B$8+'Control Room'!$D$8)/2)+'Control Room'!$B$9*(BH292-IF('Control Room'!$B$5="Normal",'Control Room'!$B$7,('Control Room'!$B$8+'Control Room'!$D$8)/2))+SQRT(1-'Control Room'!$B$9^2)*(BG293-IF('Control Room'!$B$5="Normal",'Control Room'!$B$7,('Control Room'!$B$8+'Control Room'!$D$8)/2))</x:f>
        <x:v>1052.9620218782084</x:v>
      </x:c>
      <x:c r="BI293" s="17" t="n">
        <x:f>IF(AND($A293&gt;='Control Room'!$A$13,$A293&lt;'Control Room'!$A$13+'Control Room'!$B$13,'Process'!BV2=1),1+('Control Room'!$C$13-1)*EXP(-0.5*(($A293-'Control Room'!$A$13-('Control Room'!$B$13-1)/2)/MAX(0.5,'Control Room'!$B$13/4))^2),1)*IF(AND($A293&gt;='Control Room'!$A$14,$A293&lt;'Control Room'!$A$14+'Control Room'!$B$14,'Process'!BV3=1),1+('Control Room'!$C$14-1)*EXP(-0.5*(($A293-'Control Room'!$A$14-('Control Room'!$B$14-1)/2)/MAX(0.5,'Control Room'!$B$14/4))^2),1)*IF(AND($A293&gt;='Control Room'!$A$15,$A293&lt;'Control Room'!$A$15+'Control Room'!$B$15,'Process'!BV4=1),1+('Control Room'!$C$15-1)*EXP(-0.5*(($A293-'Control Room'!$A$15-('Control Room'!$B$15-1)/2)/MAX(0.5,'Control Room'!$B$15/4))^2),1)*IF(AND($A293&gt;='Control Room'!$A$16,$A293&lt;'Control Room'!$A$16+'Control Room'!$B$16,'Process'!BV5=1),1+('Control Room'!$C$16-1)*EXP(-0.5*(($A293-'Control Room'!$A$16-('Control Room'!$B$16-1)/2)/MAX(0.5,'Control Room'!$B$16/4))^2),1)</x:f>
        <x:v>1</x:v>
      </x:c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Z293" t="str">
        <x:f>IF('Data'!A293="","",TEXT('Data'!A293,"mm-dd"))</x:f>
      </x:c>
    </x:row>
    <x:row r="294" ht="21" customHeight="1">
      <x:c r="A294" s="15" t="n">
        <x:f>'Control Room'!$B$1+292</x:f>
        <x:v>73283</x:v>
      </x:c>
      <x:c r="B294" s="9" t="n">
        <x:f>MOD(C293*16807,2147483647)</x:f>
        <x:v>643774240</x:v>
      </x:c>
      <x:c r="C294" s="9" t="n">
        <x:f>MOD(B294*16807,2147483647)</x:f>
        <x:v>891038094</x:v>
      </x:c>
      <x:c r="D294" s="17" t="n">
        <x:f>IF('Control Room'!$B$5="Normal",'Control Room'!$B$7+'Control Room'!$D$7*SQRT(-2*LN(MAX(0.000000000001,B294/2147483647)))*COS(2*PI()*C294/2147483647),'Control Room'!$B$8+('Control Room'!$D$8-'Control Room'!$B$8)*B294/2147483647)</x:f>
        <x:v>879.7888788483564</x:v>
      </x:c>
      <x:c r="E294" s="17" t="n">
        <x:f>IF('Control Room'!$B$5="Normal",'Control Room'!$B$7,('Control Room'!$B$8+'Control Room'!$D$8)/2)+'Control Room'!$B$9*(E293-IF('Control Room'!$B$5="Normal",'Control Room'!$B$7,('Control Room'!$B$8+'Control Room'!$D$8)/2))+SQRT(1-'Control Room'!$B$9^2)*(D294-IF('Control Room'!$B$5="Normal",'Control Room'!$B$7,('Control Room'!$B$8+'Control Room'!$D$8)/2))</x:f>
        <x:v>972.9760147664473</x:v>
      </x:c>
      <x:c r="F294" s="17" t="n">
        <x:f>IF(AND($A294&gt;='Control Room'!$A$13,$A294&lt;'Control Room'!$A$13+'Control Room'!$B$13,'Process'!BK2=1),1+('Control Room'!$C$13-1)*EXP(-0.5*(($A294-'Control Room'!$A$13-('Control Room'!$B$13-1)/2)/MAX(0.5,'Control Room'!$B$13/4))^2),1)*IF(AND($A294&gt;='Control Room'!$A$14,$A294&lt;'Control Room'!$A$14+'Control Room'!$B$14,'Process'!BK3=1),1+('Control Room'!$C$14-1)*EXP(-0.5*(($A294-'Control Room'!$A$14-('Control Room'!$B$14-1)/2)/MAX(0.5,'Control Room'!$B$14/4))^2),1)*IF(AND($A294&gt;='Control Room'!$A$15,$A294&lt;'Control Room'!$A$15+'Control Room'!$B$15,'Process'!BK4=1),1+('Control Room'!$C$15-1)*EXP(-0.5*(($A294-'Control Room'!$A$15-('Control Room'!$B$15-1)/2)/MAX(0.5,'Control Room'!$B$15/4))^2),1)*IF(AND($A294&gt;='Control Room'!$A$16,$A294&lt;'Control Room'!$A$16+'Control Room'!$B$16,'Process'!BK5=1),1+('Control Room'!$C$16-1)*EXP(-0.5*(($A294-'Control Room'!$A$16-('Control Room'!$B$16-1)/2)/MAX(0.5,'Control Room'!$B$16/4))^2),1)</x:f>
        <x:v>1</x:v>
      </x:c>
      <x:c r="G294" s="9" t="n">
        <x:f>MOD(H293*16807,2147483647)</x:f>
        <x:v>286876344</x:v>
      </x:c>
      <x:c r="H294" s="9" t="n">
        <x:f>MOD(G294*16807,2147483647)</x:f>
        <x:v>429926093</x:v>
      </x:c>
      <x:c r="I294" s="17" t="n">
        <x:f>IF('Control Room'!$B$5="Normal",'Control Room'!$B$7+'Control Room'!$D$7*SQRT(-2*LN(MAX(0.000000000001,G294/2147483647)))*COS(2*PI()*H294/2147483647),'Control Room'!$B$8+('Control Room'!$D$8-'Control Room'!$B$8)*G294/2147483647)</x:f>
        <x:v>1055.587752780587</x:v>
      </x:c>
      <x:c r="J294" s="17" t="n">
        <x:f>IF('Control Room'!$B$5="Normal",'Control Room'!$B$7,('Control Room'!$B$8+'Control Room'!$D$8)/2)+'Control Room'!$B$9*(J293-IF('Control Room'!$B$5="Normal",'Control Room'!$B$7,('Control Room'!$B$8+'Control Room'!$D$8)/2))+SQRT(1-'Control Room'!$B$9^2)*(I294-IF('Control Room'!$B$5="Normal",'Control Room'!$B$7,('Control Room'!$B$8+'Control Room'!$D$8)/2))</x:f>
        <x:v>1012.573584304397</x:v>
      </x:c>
      <x:c r="K294" s="17" t="n">
        <x:f>IF(AND($A294&gt;='Control Room'!$A$13,$A294&lt;'Control Room'!$A$13+'Control Room'!$B$13,'Process'!BL2=1),1+('Control Room'!$C$13-1)*EXP(-0.5*(($A294-'Control Room'!$A$13-('Control Room'!$B$13-1)/2)/MAX(0.5,'Control Room'!$B$13/4))^2),1)*IF(AND($A294&gt;='Control Room'!$A$14,$A294&lt;'Control Room'!$A$14+'Control Room'!$B$14,'Process'!BL3=1),1+('Control Room'!$C$14-1)*EXP(-0.5*(($A294-'Control Room'!$A$14-('Control Room'!$B$14-1)/2)/MAX(0.5,'Control Room'!$B$14/4))^2),1)*IF(AND($A294&gt;='Control Room'!$A$15,$A294&lt;'Control Room'!$A$15+'Control Room'!$B$15,'Process'!BL4=1),1+('Control Room'!$C$15-1)*EXP(-0.5*(($A294-'Control Room'!$A$15-('Control Room'!$B$15-1)/2)/MAX(0.5,'Control Room'!$B$15/4))^2),1)*IF(AND($A294&gt;='Control Room'!$A$16,$A294&lt;'Control Room'!$A$16+'Control Room'!$B$16,'Process'!BL5=1),1+('Control Room'!$C$16-1)*EXP(-0.5*(($A294-'Control Room'!$A$16-('Control Room'!$B$16-1)/2)/MAX(0.5,'Control Room'!$B$16/4))^2),1)</x:f>
        <x:v>1</x:v>
      </x:c>
      <x:c r="L294" s="9" t="n">
        <x:f>MOD(M293*16807,2147483647)</x:f>
        <x:v>2077462095</x:v>
      </x:c>
      <x:c r="M294" s="9" t="n">
        <x:f>MOD(L294*16807,2147483647)</x:f>
        <x:v>2116297739</x:v>
      </x:c>
      <x:c r="N294" s="17" t="n">
        <x:f>IF('Control Room'!$B$5="Normal",'Control Room'!$B$7+'Control Room'!$D$7*SQRT(-2*LN(MAX(0.000000000001,L294/2147483647)))*COS(2*PI()*M294/2147483647),'Control Room'!$B$8+('Control Room'!$D$8-'Control Room'!$B$8)*L294/2147483647)</x:f>
        <x:v>1023.0774217456417</x:v>
      </x:c>
      <x:c r="O294" s="17" t="n">
        <x:f>IF('Control Room'!$B$5="Normal",'Control Room'!$B$7,('Control Room'!$B$8+'Control Room'!$D$8)/2)+'Control Room'!$B$9*(O293-IF('Control Room'!$B$5="Normal",'Control Room'!$B$7,('Control Room'!$B$8+'Control Room'!$D$8)/2))+SQRT(1-'Control Room'!$B$9^2)*(N294-IF('Control Room'!$B$5="Normal",'Control Room'!$B$7,('Control Room'!$B$8+'Control Room'!$D$8)/2))</x:f>
        <x:v>946.5958243078643</x:v>
      </x:c>
      <x:c r="P294" s="17" t="n">
        <x:f>IF(AND($A294&gt;='Control Room'!$A$13,$A294&lt;'Control Room'!$A$13+'Control Room'!$B$13,'Process'!BM2=1),1+('Control Room'!$C$13-1)*EXP(-0.5*(($A294-'Control Room'!$A$13-('Control Room'!$B$13-1)/2)/MAX(0.5,'Control Room'!$B$13/4))^2),1)*IF(AND($A294&gt;='Control Room'!$A$14,$A294&lt;'Control Room'!$A$14+'Control Room'!$B$14,'Process'!BM3=1),1+('Control Room'!$C$14-1)*EXP(-0.5*(($A294-'Control Room'!$A$14-('Control Room'!$B$14-1)/2)/MAX(0.5,'Control Room'!$B$14/4))^2),1)*IF(AND($A294&gt;='Control Room'!$A$15,$A294&lt;'Control Room'!$A$15+'Control Room'!$B$15,'Process'!BM4=1),1+('Control Room'!$C$15-1)*EXP(-0.5*(($A294-'Control Room'!$A$15-('Control Room'!$B$15-1)/2)/MAX(0.5,'Control Room'!$B$15/4))^2),1)*IF(AND($A294&gt;='Control Room'!$A$16,$A294&lt;'Control Room'!$A$16+'Control Room'!$B$16,'Process'!BM5=1),1+('Control Room'!$C$16-1)*EXP(-0.5*(($A294-'Control Room'!$A$16-('Control Room'!$B$16-1)/2)/MAX(0.5,'Control Room'!$B$16/4))^2),1)</x:f>
        <x:v>1</x:v>
      </x:c>
      <x:c r="Q294" s="9" t="n">
        <x:f>MOD(R293*16807,2147483647)</x:f>
        <x:v>1720564199</x:v>
      </x:c>
      <x:c r="R294" s="9" t="n">
        <x:f>MOD(Q294*16807,2147483647)</x:f>
        <x:v>1655185738</x:v>
      </x:c>
      <x:c r="S294" s="17" t="n">
        <x:f>IF('Control Room'!$B$5="Normal",'Control Room'!$B$7+'Control Room'!$D$7*SQRT(-2*LN(MAX(0.000000000001,Q294/2147483647)))*COS(2*PI()*R294/2147483647),'Control Room'!$B$8+('Control Room'!$D$8-'Control Room'!$B$8)*Q294/2147483647)</x:f>
        <x:v>1007.7924877854653</x:v>
      </x:c>
      <x:c r="T294" s="17" t="n">
        <x:f>IF('Control Room'!$B$5="Normal",'Control Room'!$B$7,('Control Room'!$B$8+'Control Room'!$D$8)/2)+'Control Room'!$B$9*(T293-IF('Control Room'!$B$5="Normal",'Control Room'!$B$7,('Control Room'!$B$8+'Control Room'!$D$8)/2))+SQRT(1-'Control Room'!$B$9^2)*(S294-IF('Control Room'!$B$5="Normal",'Control Room'!$B$7,('Control Room'!$B$8+'Control Room'!$D$8)/2))</x:f>
        <x:v>969.4348551615095</x:v>
      </x:c>
      <x:c r="U294" s="17" t="n">
        <x:f>IF(AND($A294&gt;='Control Room'!$A$13,$A294&lt;'Control Room'!$A$13+'Control Room'!$B$13,'Process'!BN2=1),1+('Control Room'!$C$13-1)*EXP(-0.5*(($A294-'Control Room'!$A$13-('Control Room'!$B$13-1)/2)/MAX(0.5,'Control Room'!$B$13/4))^2),1)*IF(AND($A294&gt;='Control Room'!$A$14,$A294&lt;'Control Room'!$A$14+'Control Room'!$B$14,'Process'!BN3=1),1+('Control Room'!$C$14-1)*EXP(-0.5*(($A294-'Control Room'!$A$14-('Control Room'!$B$14-1)/2)/MAX(0.5,'Control Room'!$B$14/4))^2),1)*IF(AND($A294&gt;='Control Room'!$A$15,$A294&lt;'Control Room'!$A$15+'Control Room'!$B$15,'Process'!BN4=1),1+('Control Room'!$C$15-1)*EXP(-0.5*(($A294-'Control Room'!$A$15-('Control Room'!$B$15-1)/2)/MAX(0.5,'Control Room'!$B$15/4))^2),1)*IF(AND($A294&gt;='Control Room'!$A$16,$A294&lt;'Control Room'!$A$16+'Control Room'!$B$16,'Process'!BN5=1),1+('Control Room'!$C$16-1)*EXP(-0.5*(($A294-'Control Room'!$A$16-('Control Room'!$B$16-1)/2)/MAX(0.5,'Control Room'!$B$16/4))^2),1)</x:f>
        <x:v>1</x:v>
      </x:c>
      <x:c r="V294" s="9" t="n">
        <x:f>MOD(W293*16807,2147483647)</x:f>
        <x:v>1363666303</x:v>
      </x:c>
      <x:c r="W294" s="9" t="n">
        <x:f>MOD(V294*16807,2147483647)</x:f>
        <x:v>1194073737</x:v>
      </x:c>
      <x:c r="X294" s="17" t="n">
        <x:f>IF('Control Room'!$B$5="Normal",'Control Room'!$B$7+'Control Room'!$D$7*SQRT(-2*LN(MAX(0.000000000001,V294/2147483647)))*COS(2*PI()*W294/2147483647),'Control Room'!$B$8+('Control Room'!$D$8-'Control Room'!$B$8)*V294/2147483647)</x:f>
        <x:v>919.4897346619063</x:v>
      </x:c>
      <x:c r="Y294" s="17" t="n">
        <x:f>IF('Control Room'!$B$5="Normal",'Control Room'!$B$7,('Control Room'!$B$8+'Control Room'!$D$8)/2)+'Control Room'!$B$9*(Y293-IF('Control Room'!$B$5="Normal",'Control Room'!$B$7,('Control Room'!$B$8+'Control Room'!$D$8)/2))+SQRT(1-'Control Room'!$B$9^2)*(X294-IF('Control Room'!$B$5="Normal",'Control Room'!$B$7,('Control Room'!$B$8+'Control Room'!$D$8)/2))</x:f>
        <x:v>980.9475849038544</x:v>
      </x:c>
      <x:c r="Z294" s="17" t="n">
        <x:f>IF(AND($A294&gt;='Control Room'!$A$13,$A294&lt;'Control Room'!$A$13+'Control Room'!$B$13,'Process'!BO2=1),1+('Control Room'!$C$13-1)*EXP(-0.5*(($A294-'Control Room'!$A$13-('Control Room'!$B$13-1)/2)/MAX(0.5,'Control Room'!$B$13/4))^2),1)*IF(AND($A294&gt;='Control Room'!$A$14,$A294&lt;'Control Room'!$A$14+'Control Room'!$B$14,'Process'!BO3=1),1+('Control Room'!$C$14-1)*EXP(-0.5*(($A294-'Control Room'!$A$14-('Control Room'!$B$14-1)/2)/MAX(0.5,'Control Room'!$B$14/4))^2),1)*IF(AND($A294&gt;='Control Room'!$A$15,$A294&lt;'Control Room'!$A$15+'Control Room'!$B$15,'Process'!BO4=1),1+('Control Room'!$C$15-1)*EXP(-0.5*(($A294-'Control Room'!$A$15-('Control Room'!$B$15-1)/2)/MAX(0.5,'Control Room'!$B$15/4))^2),1)*IF(AND($A294&gt;='Control Room'!$A$16,$A294&lt;'Control Room'!$A$16+'Control Room'!$B$16,'Process'!BO5=1),1+('Control Room'!$C$16-1)*EXP(-0.5*(($A294-'Control Room'!$A$16-('Control Room'!$B$16-1)/2)/MAX(0.5,'Control Room'!$B$16/4))^2),1)</x:f>
        <x:v>1</x:v>
      </x:c>
      <x:c r="AA294" s="9" t="n">
        <x:f>MOD(AB293*16807,2147483647)</x:f>
        <x:v>1006768407</x:v>
      </x:c>
      <x:c r="AB294" s="9" t="n">
        <x:f>MOD(AA294*16807,2147483647)</x:f>
        <x:v>732961736</x:v>
      </x:c>
      <x:c r="AC294" s="17" t="n">
        <x:f>IF('Control Room'!$B$5="Normal",'Control Room'!$B$7+'Control Room'!$D$7*SQRT(-2*LN(MAX(0.000000000001,AA294/2147483647)))*COS(2*PI()*AB294/2147483647),'Control Room'!$B$8+('Control Room'!$D$8-'Control Room'!$B$8)*AA294/2147483647)</x:f>
        <x:v>939.8718371112254</x:v>
      </x:c>
      <x:c r="AD294" s="17" t="n">
        <x:f>IF('Control Room'!$B$5="Normal",'Control Room'!$B$7,('Control Room'!$B$8+'Control Room'!$D$8)/2)+'Control Room'!$B$9*(AD293-IF('Control Room'!$B$5="Normal",'Control Room'!$B$7,('Control Room'!$B$8+'Control Room'!$D$8)/2))+SQRT(1-'Control Room'!$B$9^2)*(AC294-IF('Control Room'!$B$5="Normal",'Control Room'!$B$7,('Control Room'!$B$8+'Control Room'!$D$8)/2))</x:f>
        <x:v>1009.7412852783436</x:v>
      </x:c>
      <x:c r="AE294" s="17" t="n">
        <x:f>IF(AND($A294&gt;='Control Room'!$A$13,$A294&lt;'Control Room'!$A$13+'Control Room'!$B$13,'Process'!BP2=1),1+('Control Room'!$C$13-1)*EXP(-0.5*(($A294-'Control Room'!$A$13-('Control Room'!$B$13-1)/2)/MAX(0.5,'Control Room'!$B$13/4))^2),1)*IF(AND($A294&gt;='Control Room'!$A$14,$A294&lt;'Control Room'!$A$14+'Control Room'!$B$14,'Process'!BP3=1),1+('Control Room'!$C$14-1)*EXP(-0.5*(($A294-'Control Room'!$A$14-('Control Room'!$B$14-1)/2)/MAX(0.5,'Control Room'!$B$14/4))^2),1)*IF(AND($A294&gt;='Control Room'!$A$15,$A294&lt;'Control Room'!$A$15+'Control Room'!$B$15,'Process'!BP4=1),1+('Control Room'!$C$15-1)*EXP(-0.5*(($A294-'Control Room'!$A$15-('Control Room'!$B$15-1)/2)/MAX(0.5,'Control Room'!$B$15/4))^2),1)*IF(AND($A294&gt;='Control Room'!$A$16,$A294&lt;'Control Room'!$A$16+'Control Room'!$B$16,'Process'!BP5=1),1+('Control Room'!$C$16-1)*EXP(-0.5*(($A294-'Control Room'!$A$16-('Control Room'!$B$16-1)/2)/MAX(0.5,'Control Room'!$B$16/4))^2),1)</x:f>
        <x:v>1</x:v>
      </x:c>
      <x:c r="AF294" s="9" t="n">
        <x:f>MOD(AG293*16807,2147483647)</x:f>
        <x:v>649870511</x:v>
      </x:c>
      <x:c r="AG294" s="9" t="n">
        <x:f>MOD(AF294*16807,2147483647)</x:f>
        <x:v>271849735</x:v>
      </x:c>
      <x:c r="AH294" s="17" t="n">
        <x:f>IF('Control Room'!$B$5="Normal",'Control Room'!$B$7+'Control Room'!$D$7*SQRT(-2*LN(MAX(0.000000000001,AF294/2147483647)))*COS(2*PI()*AG294/2147483647),'Control Room'!$B$8+('Control Room'!$D$8-'Control Room'!$B$8)*AF294/2147483647)</x:f>
        <x:v>1097.4080993641164</x:v>
      </x:c>
      <x:c r="AI294" s="17" t="n">
        <x:f>IF('Control Room'!$B$5="Normal",'Control Room'!$B$7,('Control Room'!$B$8+'Control Room'!$D$8)/2)+'Control Room'!$B$9*(AI293-IF('Control Room'!$B$5="Normal",'Control Room'!$B$7,('Control Room'!$B$8+'Control Room'!$D$8)/2))+SQRT(1-'Control Room'!$B$9^2)*(AH294-IF('Control Room'!$B$5="Normal",'Control Room'!$B$7,('Control Room'!$B$8+'Control Room'!$D$8)/2))</x:f>
        <x:v>1044.8380606335058</x:v>
      </x:c>
      <x:c r="AJ294" s="17" t="n">
        <x:f>IF(AND($A294&gt;='Control Room'!$A$13,$A294&lt;'Control Room'!$A$13+'Control Room'!$B$13,'Process'!BQ2=1),1+('Control Room'!$C$13-1)*EXP(-0.5*(($A294-'Control Room'!$A$13-('Control Room'!$B$13-1)/2)/MAX(0.5,'Control Room'!$B$13/4))^2),1)*IF(AND($A294&gt;='Control Room'!$A$14,$A294&lt;'Control Room'!$A$14+'Control Room'!$B$14,'Process'!BQ3=1),1+('Control Room'!$C$14-1)*EXP(-0.5*(($A294-'Control Room'!$A$14-('Control Room'!$B$14-1)/2)/MAX(0.5,'Control Room'!$B$14/4))^2),1)*IF(AND($A294&gt;='Control Room'!$A$15,$A294&lt;'Control Room'!$A$15+'Control Room'!$B$15,'Process'!BQ4=1),1+('Control Room'!$C$15-1)*EXP(-0.5*(($A294-'Control Room'!$A$15-('Control Room'!$B$15-1)/2)/MAX(0.5,'Control Room'!$B$15/4))^2),1)*IF(AND($A294&gt;='Control Room'!$A$16,$A294&lt;'Control Room'!$A$16+'Control Room'!$B$16,'Process'!BQ5=1),1+('Control Room'!$C$16-1)*EXP(-0.5*(($A294-'Control Room'!$A$16-('Control Room'!$B$16-1)/2)/MAX(0.5,'Control Room'!$B$16/4))^2),1)</x:f>
        <x:v>1</x:v>
      </x:c>
      <x:c r="AK294" s="9" t="n">
        <x:f>MOD(AL293*16807,2147483647)</x:f>
        <x:v>292972615</x:v>
      </x:c>
      <x:c r="AL294" s="9" t="n">
        <x:f>MOD(AK294*16807,2147483647)</x:f>
        <x:v>1958221381</x:v>
      </x:c>
      <x:c r="AM294" s="17" t="n">
        <x:f>IF('Control Room'!$B$5="Normal",'Control Room'!$B$7+'Control Room'!$D$7*SQRT(-2*LN(MAX(0.000000000001,AK294/2147483647)))*COS(2*PI()*AL294/2147483647),'Control Room'!$B$8+('Control Room'!$D$8-'Control Room'!$B$8)*AK294/2147483647)</x:f>
        <x:v>1152.7929386381088</x:v>
      </x:c>
      <x:c r="AN294" s="17" t="n">
        <x:f>IF('Control Room'!$B$5="Normal",'Control Room'!$B$7,('Control Room'!$B$8+'Control Room'!$D$8)/2)+'Control Room'!$B$9*(AN293-IF('Control Room'!$B$5="Normal",'Control Room'!$B$7,('Control Room'!$B$8+'Control Room'!$D$8)/2))+SQRT(1-'Control Room'!$B$9^2)*(AM294-IF('Control Room'!$B$5="Normal",'Control Room'!$B$7,('Control Room'!$B$8+'Control Room'!$D$8)/2))</x:f>
        <x:v>975.6930851746635</x:v>
      </x:c>
      <x:c r="AO294" s="17" t="n">
        <x:f>IF(AND($A294&gt;='Control Room'!$A$13,$A294&lt;'Control Room'!$A$13+'Control Room'!$B$13,'Process'!BR2=1),1+('Control Room'!$C$13-1)*EXP(-0.5*(($A294-'Control Room'!$A$13-('Control Room'!$B$13-1)/2)/MAX(0.5,'Control Room'!$B$13/4))^2),1)*IF(AND($A294&gt;='Control Room'!$A$14,$A294&lt;'Control Room'!$A$14+'Control Room'!$B$14,'Process'!BR3=1),1+('Control Room'!$C$14-1)*EXP(-0.5*(($A294-'Control Room'!$A$14-('Control Room'!$B$14-1)/2)/MAX(0.5,'Control Room'!$B$14/4))^2),1)*IF(AND($A294&gt;='Control Room'!$A$15,$A294&lt;'Control Room'!$A$15+'Control Room'!$B$15,'Process'!BR4=1),1+('Control Room'!$C$15-1)*EXP(-0.5*(($A294-'Control Room'!$A$15-('Control Room'!$B$15-1)/2)/MAX(0.5,'Control Room'!$B$15/4))^2),1)*IF(AND($A294&gt;='Control Room'!$A$16,$A294&lt;'Control Room'!$A$16+'Control Room'!$B$16,'Process'!BR5=1),1+('Control Room'!$C$16-1)*EXP(-0.5*(($A294-'Control Room'!$A$16-('Control Room'!$B$16-1)/2)/MAX(0.5,'Control Room'!$B$16/4))^2),1)</x:f>
        <x:v>1</x:v>
      </x:c>
      <x:c r="AP294" s="9" t="n">
        <x:f>MOD(AQ293*16807,2147483647)</x:f>
        <x:v>2083558366</x:v>
      </x:c>
      <x:c r="AQ294" s="9" t="n">
        <x:f>MOD(AP294*16807,2147483647)</x:f>
        <x:v>1497109380</x:v>
      </x:c>
      <x:c r="AR294" s="17" t="n">
        <x:f>IF('Control Room'!$B$5="Normal",'Control Room'!$B$7+'Control Room'!$D$7*SQRT(-2*LN(MAX(0.000000000001,AP294/2147483647)))*COS(2*PI()*AQ294/2147483647),'Control Room'!$B$8+('Control Room'!$D$8-'Control Room'!$B$8)*AP294/2147483647)</x:f>
        <x:v>992.7864653679417</x:v>
      </x:c>
      <x:c r="AS294" s="17" t="n">
        <x:f>IF('Control Room'!$B$5="Normal",'Control Room'!$B$7,('Control Room'!$B$8+'Control Room'!$D$8)/2)+'Control Room'!$B$9*(AS293-IF('Control Room'!$B$5="Normal",'Control Room'!$B$7,('Control Room'!$B$8+'Control Room'!$D$8)/2))+SQRT(1-'Control Room'!$B$9^2)*(AR294-IF('Control Room'!$B$5="Normal",'Control Room'!$B$7,('Control Room'!$B$8+'Control Room'!$D$8)/2))</x:f>
        <x:v>896.5663815636016</x:v>
      </x:c>
      <x:c r="AT294" s="17" t="n">
        <x:f>IF(AND($A294&gt;='Control Room'!$A$13,$A294&lt;'Control Room'!$A$13+'Control Room'!$B$13,'Process'!BS2=1),1+('Control Room'!$C$13-1)*EXP(-0.5*(($A294-'Control Room'!$A$13-('Control Room'!$B$13-1)/2)/MAX(0.5,'Control Room'!$B$13/4))^2),1)*IF(AND($A294&gt;='Control Room'!$A$14,$A294&lt;'Control Room'!$A$14+'Control Room'!$B$14,'Process'!BS3=1),1+('Control Room'!$C$14-1)*EXP(-0.5*(($A294-'Control Room'!$A$14-('Control Room'!$B$14-1)/2)/MAX(0.5,'Control Room'!$B$14/4))^2),1)*IF(AND($A294&gt;='Control Room'!$A$15,$A294&lt;'Control Room'!$A$15+'Control Room'!$B$15,'Process'!BS4=1),1+('Control Room'!$C$15-1)*EXP(-0.5*(($A294-'Control Room'!$A$15-('Control Room'!$B$15-1)/2)/MAX(0.5,'Control Room'!$B$15/4))^2),1)*IF(AND($A294&gt;='Control Room'!$A$16,$A294&lt;'Control Room'!$A$16+'Control Room'!$B$16,'Process'!BS5=1),1+('Control Room'!$C$16-1)*EXP(-0.5*(($A294-'Control Room'!$A$16-('Control Room'!$B$16-1)/2)/MAX(0.5,'Control Room'!$B$16/4))^2),1)</x:f>
        <x:v>1</x:v>
      </x:c>
      <x:c r="AU294" s="9" t="n">
        <x:f>MOD(AV293*16807,2147483647)</x:f>
        <x:v>1726660470</x:v>
      </x:c>
      <x:c r="AV294" s="9" t="n">
        <x:f>MOD(AU294*16807,2147483647)</x:f>
        <x:v>1035997379</x:v>
      </x:c>
      <x:c r="AW294" s="17" t="n">
        <x:f>IF('Control Room'!$B$5="Normal",'Control Room'!$B$7+'Control Room'!$D$7*SQRT(-2*LN(MAX(0.000000000001,AU294/2147483647)))*COS(2*PI()*AV294/2147483647),'Control Room'!$B$8+('Control Room'!$D$8-'Control Room'!$B$8)*AU294/2147483647)</x:f>
        <x:v>940.9201711030579</x:v>
      </x:c>
      <x:c r="AX294" s="17" t="n">
        <x:f>IF('Control Room'!$B$5="Normal",'Control Room'!$B$7,('Control Room'!$B$8+'Control Room'!$D$8)/2)+'Control Room'!$B$9*(AX293-IF('Control Room'!$B$5="Normal",'Control Room'!$B$7,('Control Room'!$B$8+'Control Room'!$D$8)/2))+SQRT(1-'Control Room'!$B$9^2)*(AW294-IF('Control Room'!$B$5="Normal",'Control Room'!$B$7,('Control Room'!$B$8+'Control Room'!$D$8)/2))</x:f>
        <x:v>932.3850126297577</x:v>
      </x:c>
      <x:c r="AY294" s="17" t="n">
        <x:f>IF(AND($A294&gt;='Control Room'!$A$13,$A294&lt;'Control Room'!$A$13+'Control Room'!$B$13,'Process'!BT2=1),1+('Control Room'!$C$13-1)*EXP(-0.5*(($A294-'Control Room'!$A$13-('Control Room'!$B$13-1)/2)/MAX(0.5,'Control Room'!$B$13/4))^2),1)*IF(AND($A294&gt;='Control Room'!$A$14,$A294&lt;'Control Room'!$A$14+'Control Room'!$B$14,'Process'!BT3=1),1+('Control Room'!$C$14-1)*EXP(-0.5*(($A294-'Control Room'!$A$14-('Control Room'!$B$14-1)/2)/MAX(0.5,'Control Room'!$B$14/4))^2),1)*IF(AND($A294&gt;='Control Room'!$A$15,$A294&lt;'Control Room'!$A$15+'Control Room'!$B$15,'Process'!BT4=1),1+('Control Room'!$C$15-1)*EXP(-0.5*(($A294-'Control Room'!$A$15-('Control Room'!$B$15-1)/2)/MAX(0.5,'Control Room'!$B$15/4))^2),1)*IF(AND($A294&gt;='Control Room'!$A$16,$A294&lt;'Control Room'!$A$16+'Control Room'!$B$16,'Process'!BT5=1),1+('Control Room'!$C$16-1)*EXP(-0.5*(($A294-'Control Room'!$A$16-('Control Room'!$B$16-1)/2)/MAX(0.5,'Control Room'!$B$16/4))^2),1)</x:f>
        <x:v>1</x:v>
      </x:c>
      <x:c r="AZ294" s="9" t="n">
        <x:f>MOD(BA293*16807,2147483647)</x:f>
        <x:v>1369762574</x:v>
      </x:c>
      <x:c r="BA294" s="9" t="n">
        <x:f>MOD(AZ294*16807,2147483647)</x:f>
        <x:v>574885378</x:v>
      </x:c>
      <x:c r="BB294" s="17" t="n">
        <x:f>IF('Control Room'!$B$5="Normal",'Control Room'!$B$7+'Control Room'!$D$7*SQRT(-2*LN(MAX(0.000000000001,AZ294/2147483647)))*COS(2*PI()*BA294/2147483647),'Control Room'!$B$8+('Control Room'!$D$8-'Control Room'!$B$8)*AZ294/2147483647)</x:f>
        <x:v>990.5266754077489</x:v>
      </x:c>
      <x:c r="BC294" s="17" t="n">
        <x:f>IF('Control Room'!$B$5="Normal",'Control Room'!$B$7,('Control Room'!$B$8+'Control Room'!$D$8)/2)+'Control Room'!$B$9*(BC293-IF('Control Room'!$B$5="Normal",'Control Room'!$B$7,('Control Room'!$B$8+'Control Room'!$D$8)/2))+SQRT(1-'Control Room'!$B$9^2)*(BB294-IF('Control Room'!$B$5="Normal",'Control Room'!$B$7,('Control Room'!$B$8+'Control Room'!$D$8)/2))</x:f>
        <x:v>930.2768381087005</x:v>
      </x:c>
      <x:c r="BD294" s="17" t="n">
        <x:f>IF(AND($A294&gt;='Control Room'!$A$13,$A294&lt;'Control Room'!$A$13+'Control Room'!$B$13,'Process'!BU2=1),1+('Control Room'!$C$13-1)*EXP(-0.5*(($A294-'Control Room'!$A$13-('Control Room'!$B$13-1)/2)/MAX(0.5,'Control Room'!$B$13/4))^2),1)*IF(AND($A294&gt;='Control Room'!$A$14,$A294&lt;'Control Room'!$A$14+'Control Room'!$B$14,'Process'!BU3=1),1+('Control Room'!$C$14-1)*EXP(-0.5*(($A294-'Control Room'!$A$14-('Control Room'!$B$14-1)/2)/MAX(0.5,'Control Room'!$B$14/4))^2),1)*IF(AND($A294&gt;='Control Room'!$A$15,$A294&lt;'Control Room'!$A$15+'Control Room'!$B$15,'Process'!BU4=1),1+('Control Room'!$C$15-1)*EXP(-0.5*(($A294-'Control Room'!$A$15-('Control Room'!$B$15-1)/2)/MAX(0.5,'Control Room'!$B$15/4))^2),1)*IF(AND($A294&gt;='Control Room'!$A$16,$A294&lt;'Control Room'!$A$16+'Control Room'!$B$16,'Process'!BU5=1),1+('Control Room'!$C$16-1)*EXP(-0.5*(($A294-'Control Room'!$A$16-('Control Room'!$B$16-1)/2)/MAX(0.5,'Control Room'!$B$16/4))^2),1)</x:f>
        <x:v>1</x:v>
      </x:c>
      <x:c r="BE294" s="9" t="n">
        <x:f>MOD(BF293*16807,2147483647)</x:f>
        <x:v>1012864678</x:v>
      </x:c>
      <x:c r="BF294" s="9" t="n">
        <x:f>MOD(BE294*16807,2147483647)</x:f>
        <x:v>113773377</x:v>
      </x:c>
      <x:c r="BG294" s="17" t="n">
        <x:f>IF('Control Room'!$B$5="Normal",'Control Room'!$B$7+'Control Room'!$D$7*SQRT(-2*LN(MAX(0.000000000001,BE294/2147483647)))*COS(2*PI()*BF294/2147483647),'Control Room'!$B$8+('Control Room'!$D$8-'Control Room'!$B$8)*BE294/2147483647)</x:f>
        <x:v>1104.2811676060217</x:v>
      </x:c>
      <x:c r="BH294" s="17" t="n">
        <x:f>IF('Control Room'!$B$5="Normal",'Control Room'!$B$7,('Control Room'!$B$8+'Control Room'!$D$8)/2)+'Control Room'!$B$9*(BH293-IF('Control Room'!$B$5="Normal",'Control Room'!$B$7,('Control Room'!$B$8+'Control Room'!$D$8)/2))+SQRT(1-'Control Room'!$B$9^2)*(BG294-IF('Control Room'!$B$5="Normal",'Control Room'!$B$7,('Control Room'!$B$8+'Control Room'!$D$8)/2))</x:f>
        <x:v>1106.5673954370134</x:v>
      </x:c>
      <x:c r="BI294" s="17" t="n">
        <x:f>IF(AND($A294&gt;='Control Room'!$A$13,$A294&lt;'Control Room'!$A$13+'Control Room'!$B$13,'Process'!BV2=1),1+('Control Room'!$C$13-1)*EXP(-0.5*(($A294-'Control Room'!$A$13-('Control Room'!$B$13-1)/2)/MAX(0.5,'Control Room'!$B$13/4))^2),1)*IF(AND($A294&gt;='Control Room'!$A$14,$A294&lt;'Control Room'!$A$14+'Control Room'!$B$14,'Process'!BV3=1),1+('Control Room'!$C$14-1)*EXP(-0.5*(($A294-'Control Room'!$A$14-('Control Room'!$B$14-1)/2)/MAX(0.5,'Control Room'!$B$14/4))^2),1)*IF(AND($A294&gt;='Control Room'!$A$15,$A294&lt;'Control Room'!$A$15+'Control Room'!$B$15,'Process'!BV4=1),1+('Control Room'!$C$15-1)*EXP(-0.5*(($A294-'Control Room'!$A$15-('Control Room'!$B$15-1)/2)/MAX(0.5,'Control Room'!$B$15/4))^2),1)*IF(AND($A294&gt;='Control Room'!$A$16,$A294&lt;'Control Room'!$A$16+'Control Room'!$B$16,'Process'!BV5=1),1+('Control Room'!$C$16-1)*EXP(-0.5*(($A294-'Control Room'!$A$16-('Control Room'!$B$16-1)/2)/MAX(0.5,'Control Room'!$B$16/4))^2),1)</x:f>
        <x:v>1</x:v>
      </x:c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Z294" t="str">
        <x:f>IF('Data'!A294="","",TEXT('Data'!A294,"mm-dd"))</x:f>
      </x:c>
    </x:row>
    <x:row r="295" ht="21" customHeight="1">
      <x:c r="A295" s="15" t="n">
        <x:f>'Control Room'!$B$1+293</x:f>
        <x:v>73284</x:v>
      </x:c>
      <x:c r="B295" s="9" t="n">
        <x:f>MOD(C294*16807,2147483647)</x:f>
        <x:v>1273775327</x:v>
      </x:c>
      <x:c r="C295" s="9" t="n">
        <x:f>MOD(B295*16807,2147483647)</x:f>
        <x:v>77443946</x:v>
      </x:c>
      <x:c r="D295" s="17" t="n">
        <x:f>IF('Control Room'!$B$5="Normal",'Control Room'!$B$7+'Control Room'!$D$7*SQRT(-2*LN(MAX(0.000000000001,B295/2147483647)))*COS(2*PI()*C295/2147483647),'Control Room'!$B$8+('Control Room'!$D$8-'Control Room'!$B$8)*B295/2147483647)</x:f>
        <x:v>1089.63482470205</x:v>
      </x:c>
      <x:c r="E295" s="17" t="n">
        <x:f>IF('Control Room'!$B$5="Normal",'Control Room'!$B$7,('Control Room'!$B$8+'Control Room'!$D$8)/2)+'Control Room'!$B$9*(E294-IF('Control Room'!$B$5="Normal",'Control Room'!$B$7,('Control Room'!$B$8+'Control Room'!$D$8)/2))+SQRT(1-'Control Room'!$B$9^2)*(D295-IF('Control Room'!$B$5="Normal",'Control Room'!$B$7,('Control Room'!$B$8+'Control Room'!$D$8)/2))</x:f>
        <x:v>1035.0129285471776</x:v>
      </x:c>
      <x:c r="F295" s="17" t="n">
        <x:f>IF(AND($A295&gt;='Control Room'!$A$13,$A295&lt;'Control Room'!$A$13+'Control Room'!$B$13,'Process'!BK2=1),1+('Control Room'!$C$13-1)*EXP(-0.5*(($A295-'Control Room'!$A$13-('Control Room'!$B$13-1)/2)/MAX(0.5,'Control Room'!$B$13/4))^2),1)*IF(AND($A295&gt;='Control Room'!$A$14,$A295&lt;'Control Room'!$A$14+'Control Room'!$B$14,'Process'!BK3=1),1+('Control Room'!$C$14-1)*EXP(-0.5*(($A295-'Control Room'!$A$14-('Control Room'!$B$14-1)/2)/MAX(0.5,'Control Room'!$B$14/4))^2),1)*IF(AND($A295&gt;='Control Room'!$A$15,$A295&lt;'Control Room'!$A$15+'Control Room'!$B$15,'Process'!BK4=1),1+('Control Room'!$C$15-1)*EXP(-0.5*(($A295-'Control Room'!$A$15-('Control Room'!$B$15-1)/2)/MAX(0.5,'Control Room'!$B$15/4))^2),1)*IF(AND($A295&gt;='Control Room'!$A$16,$A295&lt;'Control Room'!$A$16+'Control Room'!$B$16,'Process'!BK5=1),1+('Control Room'!$C$16-1)*EXP(-0.5*(($A295-'Control Room'!$A$16-('Control Room'!$B$16-1)/2)/MAX(0.5,'Control Room'!$B$16/4))^2),1)</x:f>
        <x:v>1</x:v>
      </x:c>
      <x:c r="G295" s="9" t="n">
        <x:f>MOD(H294*16807,2147483647)</x:f>
        <x:v>1632856543</x:v>
      </x:c>
      <x:c r="H295" s="9" t="n">
        <x:f>MOD(G295*16807,2147483647)</x:f>
        <x:v>726393188</x:v>
      </x:c>
      <x:c r="I295" s="17" t="n">
        <x:f>IF('Control Room'!$B$5="Normal",'Control Room'!$B$7+'Control Room'!$D$7*SQRT(-2*LN(MAX(0.000000000001,G295/2147483647)))*COS(2*PI()*H295/2147483647),'Control Room'!$B$8+('Control Room'!$D$8-'Control Room'!$B$8)*G295/2147483647)</x:f>
        <x:v>964.9226364852902</x:v>
      </x:c>
      <x:c r="J295" s="17" t="n">
        <x:f>IF('Control Room'!$B$5="Normal",'Control Room'!$B$7,('Control Room'!$B$8+'Control Room'!$D$8)/2)+'Control Room'!$B$9*(J294-IF('Control Room'!$B$5="Normal",'Control Room'!$B$7,('Control Room'!$B$8+'Control Room'!$D$8)/2))+SQRT(1-'Control Room'!$B$9^2)*(I295-IF('Control Room'!$B$5="Normal",'Control Room'!$B$7,('Control Room'!$B$8+'Control Room'!$D$8)/2))</x:f>
        <x:v>987.8567002687752</x:v>
      </x:c>
      <x:c r="K295" s="17" t="n">
        <x:f>IF(AND($A295&gt;='Control Room'!$A$13,$A295&lt;'Control Room'!$A$13+'Control Room'!$B$13,'Process'!BL2=1),1+('Control Room'!$C$13-1)*EXP(-0.5*(($A295-'Control Room'!$A$13-('Control Room'!$B$13-1)/2)/MAX(0.5,'Control Room'!$B$13/4))^2),1)*IF(AND($A295&gt;='Control Room'!$A$14,$A295&lt;'Control Room'!$A$14+'Control Room'!$B$14,'Process'!BL3=1),1+('Control Room'!$C$14-1)*EXP(-0.5*(($A295-'Control Room'!$A$14-('Control Room'!$B$14-1)/2)/MAX(0.5,'Control Room'!$B$14/4))^2),1)*IF(AND($A295&gt;='Control Room'!$A$15,$A295&lt;'Control Room'!$A$15+'Control Room'!$B$15,'Process'!BL4=1),1+('Control Room'!$C$15-1)*EXP(-0.5*(($A295-'Control Room'!$A$15-('Control Room'!$B$15-1)/2)/MAX(0.5,'Control Room'!$B$15/4))^2),1)*IF(AND($A295&gt;='Control Room'!$A$16,$A295&lt;'Control Room'!$A$16+'Control Room'!$B$16,'Process'!BL5=1),1+('Control Room'!$C$16-1)*EXP(-0.5*(($A295-'Control Room'!$A$16-('Control Room'!$B$16-1)/2)/MAX(0.5,'Control Room'!$B$16/4))^2),1)</x:f>
        <x:v>1</x:v>
      </x:c>
      <x:c r="L295" s="9" t="n">
        <x:f>MOD(M294*16807,2147483647)</x:f>
        <x:v>1991937759</x:v>
      </x:c>
      <x:c r="M295" s="9" t="n">
        <x:f>MOD(L295*16807,2147483647)</x:f>
        <x:v>1375342430</x:v>
      </x:c>
      <x:c r="N295" s="17" t="n">
        <x:f>IF('Control Room'!$B$5="Normal",'Control Room'!$B$7+'Control Room'!$D$7*SQRT(-2*LN(MAX(0.000000000001,L295/2147483647)))*COS(2*PI()*M295/2147483647),'Control Room'!$B$8+('Control Room'!$D$8-'Control Room'!$B$8)*L295/2147483647)</x:f>
        <x:v>977.82851260006</x:v>
      </x:c>
      <x:c r="O295" s="17" t="n">
        <x:f>IF('Control Room'!$B$5="Normal",'Control Room'!$B$7,('Control Room'!$B$8+'Control Room'!$D$8)/2)+'Control Room'!$B$9*(O294-IF('Control Room'!$B$5="Normal",'Control Room'!$B$7,('Control Room'!$B$8+'Control Room'!$D$8)/2))+SQRT(1-'Control Room'!$B$9^2)*(N295-IF('Control Room'!$B$5="Normal",'Control Room'!$B$7,('Control Room'!$B$8+'Control Room'!$D$8)/2))</x:f>
        <x:v>944.4702803528594</x:v>
      </x:c>
      <x:c r="P295" s="17" t="n">
        <x:f>IF(AND($A295&gt;='Control Room'!$A$13,$A295&lt;'Control Room'!$A$13+'Control Room'!$B$13,'Process'!BM2=1),1+('Control Room'!$C$13-1)*EXP(-0.5*(($A295-'Control Room'!$A$13-('Control Room'!$B$13-1)/2)/MAX(0.5,'Control Room'!$B$13/4))^2),1)*IF(AND($A295&gt;='Control Room'!$A$14,$A295&lt;'Control Room'!$A$14+'Control Room'!$B$14,'Process'!BM3=1),1+('Control Room'!$C$14-1)*EXP(-0.5*(($A295-'Control Room'!$A$14-('Control Room'!$B$14-1)/2)/MAX(0.5,'Control Room'!$B$14/4))^2),1)*IF(AND($A295&gt;='Control Room'!$A$15,$A295&lt;'Control Room'!$A$15+'Control Room'!$B$15,'Process'!BM4=1),1+('Control Room'!$C$15-1)*EXP(-0.5*(($A295-'Control Room'!$A$15-('Control Room'!$B$15-1)/2)/MAX(0.5,'Control Room'!$B$15/4))^2),1)*IF(AND($A295&gt;='Control Room'!$A$16,$A295&lt;'Control Room'!$A$16+'Control Room'!$B$16,'Process'!BM5=1),1+('Control Room'!$C$16-1)*EXP(-0.5*(($A295-'Control Room'!$A$16-('Control Room'!$B$16-1)/2)/MAX(0.5,'Control Room'!$B$16/4))^2),1)</x:f>
        <x:v>1</x:v>
      </x:c>
      <x:c r="Q295" s="9" t="n">
        <x:f>MOD(R294*16807,2147483647)</x:f>
        <x:v>203535328</x:v>
      </x:c>
      <x:c r="R295" s="9" t="n">
        <x:f>MOD(Q295*16807,2147483647)</x:f>
        <x:v>2024291672</x:v>
      </x:c>
      <x:c r="S295" s="17" t="n">
        <x:f>IF('Control Room'!$B$5="Normal",'Control Room'!$B$7+'Control Room'!$D$7*SQRT(-2*LN(MAX(0.000000000001,Q295/2147483647)))*COS(2*PI()*R295/2147483647),'Control Room'!$B$8+('Control Room'!$D$8-'Control Room'!$B$8)*Q295/2147483647)</x:f>
        <x:v>1182.818779390708</x:v>
      </x:c>
      <x:c r="T295" s="17" t="n">
        <x:f>IF('Control Room'!$B$5="Normal",'Control Room'!$B$7,('Control Room'!$B$8+'Control Room'!$D$8)/2)+'Control Room'!$B$9*(T294-IF('Control Room'!$B$5="Normal",'Control Room'!$B$7,('Control Room'!$B$8+'Control Room'!$D$8)/2))+SQRT(1-'Control Room'!$B$9^2)*(S295-IF('Control Room'!$B$5="Normal",'Control Room'!$B$7,('Control Room'!$B$8+'Control Room'!$D$8)/2))</x:f>
        <x:v>1090.5634339224143</x:v>
      </x:c>
      <x:c r="U295" s="17" t="n">
        <x:f>IF(AND($A295&gt;='Control Room'!$A$13,$A295&lt;'Control Room'!$A$13+'Control Room'!$B$13,'Process'!BN2=1),1+('Control Room'!$C$13-1)*EXP(-0.5*(($A295-'Control Room'!$A$13-('Control Room'!$B$13-1)/2)/MAX(0.5,'Control Room'!$B$13/4))^2),1)*IF(AND($A295&gt;='Control Room'!$A$14,$A295&lt;'Control Room'!$A$14+'Control Room'!$B$14,'Process'!BN3=1),1+('Control Room'!$C$14-1)*EXP(-0.5*(($A295-'Control Room'!$A$14-('Control Room'!$B$14-1)/2)/MAX(0.5,'Control Room'!$B$14/4))^2),1)*IF(AND($A295&gt;='Control Room'!$A$15,$A295&lt;'Control Room'!$A$15+'Control Room'!$B$15,'Process'!BN4=1),1+('Control Room'!$C$15-1)*EXP(-0.5*(($A295-'Control Room'!$A$15-('Control Room'!$B$15-1)/2)/MAX(0.5,'Control Room'!$B$15/4))^2),1)*IF(AND($A295&gt;='Control Room'!$A$16,$A295&lt;'Control Room'!$A$16+'Control Room'!$B$16,'Process'!BN5=1),1+('Control Room'!$C$16-1)*EXP(-0.5*(($A295-'Control Room'!$A$16-('Control Room'!$B$16-1)/2)/MAX(0.5,'Control Room'!$B$16/4))^2),1)</x:f>
        <x:v>1</x:v>
      </x:c>
      <x:c r="V295" s="9" t="n">
        <x:f>MOD(W294*16807,2147483647)</x:f>
        <x:v>562616544</x:v>
      </x:c>
      <x:c r="W295" s="9" t="n">
        <x:f>MOD(V295*16807,2147483647)</x:f>
        <x:v>525757267</x:v>
      </x:c>
      <x:c r="X295" s="17" t="n">
        <x:f>IF('Control Room'!$B$5="Normal",'Control Room'!$B$7+'Control Room'!$D$7*SQRT(-2*LN(MAX(0.000000000001,V295/2147483647)))*COS(2*PI()*W295/2147483647),'Control Room'!$B$8+('Control Room'!$D$8-'Control Room'!$B$8)*V295/2147483647)</x:f>
        <x:v>1004.7890717586495</x:v>
      </x:c>
      <x:c r="Y295" s="17" t="n">
        <x:f>IF('Control Room'!$B$5="Normal",'Control Room'!$B$7,('Control Room'!$B$8+'Control Room'!$D$8)/2)+'Control Room'!$B$9*(Y294-IF('Control Room'!$B$5="Normal",'Control Room'!$B$7,('Control Room'!$B$8+'Control Room'!$D$8)/2))+SQRT(1-'Control Room'!$B$9^2)*(X295-IF('Control Room'!$B$5="Normal",'Control Room'!$B$7,('Control Room'!$B$8+'Control Room'!$D$8)/2))</x:f>
        <x:v>988.1360192221016</x:v>
      </x:c>
      <x:c r="Z295" s="17" t="n">
        <x:f>IF(AND($A295&gt;='Control Room'!$A$13,$A295&lt;'Control Room'!$A$13+'Control Room'!$B$13,'Process'!BO2=1),1+('Control Room'!$C$13-1)*EXP(-0.5*(($A295-'Control Room'!$A$13-('Control Room'!$B$13-1)/2)/MAX(0.5,'Control Room'!$B$13/4))^2),1)*IF(AND($A295&gt;='Control Room'!$A$14,$A295&lt;'Control Room'!$A$14+'Control Room'!$B$14,'Process'!BO3=1),1+('Control Room'!$C$14-1)*EXP(-0.5*(($A295-'Control Room'!$A$14-('Control Room'!$B$14-1)/2)/MAX(0.5,'Control Room'!$B$14/4))^2),1)*IF(AND($A295&gt;='Control Room'!$A$15,$A295&lt;'Control Room'!$A$15+'Control Room'!$B$15,'Process'!BO4=1),1+('Control Room'!$C$15-1)*EXP(-0.5*(($A295-'Control Room'!$A$15-('Control Room'!$B$15-1)/2)/MAX(0.5,'Control Room'!$B$15/4))^2),1)*IF(AND($A295&gt;='Control Room'!$A$16,$A295&lt;'Control Room'!$A$16+'Control Room'!$B$16,'Process'!BO5=1),1+('Control Room'!$C$16-1)*EXP(-0.5*(($A295-'Control Room'!$A$16-('Control Room'!$B$16-1)/2)/MAX(0.5,'Control Room'!$B$16/4))^2),1)</x:f>
        <x:v>1</x:v>
      </x:c>
      <x:c r="AA295" s="9" t="n">
        <x:f>MOD(AB294*16807,2147483647)</x:f>
        <x:v>921697760</x:v>
      </x:c>
      <x:c r="AB295" s="9" t="n">
        <x:f>MOD(AA295*16807,2147483647)</x:f>
        <x:v>1174706509</x:v>
      </x:c>
      <x:c r="AC295" s="17" t="n">
        <x:f>IF('Control Room'!$B$5="Normal",'Control Room'!$B$7+'Control Room'!$D$7*SQRT(-2*LN(MAX(0.000000000001,AA295/2147483647)))*COS(2*PI()*AB295/2147483647),'Control Room'!$B$8+('Control Room'!$D$8-'Control Room'!$B$8)*AA295/2147483647)</x:f>
        <x:v>888.0127049122158</x:v>
      </x:c>
      <x:c r="AD295" s="17" t="n">
        <x:f>IF('Control Room'!$B$5="Normal",'Control Room'!$B$7,('Control Room'!$B$8+'Control Room'!$D$8)/2)+'Control Room'!$B$9*(AD294-IF('Control Room'!$B$5="Normal",'Control Room'!$B$7,('Control Room'!$B$8+'Control Room'!$D$8)/2))+SQRT(1-'Control Room'!$B$9^2)*(AC295-IF('Control Room'!$B$5="Normal",'Control Room'!$B$7,('Control Room'!$B$8+'Control Room'!$D$8)/2))</x:f>
        <x:v>937.5188474356125</x:v>
      </x:c>
      <x:c r="AE295" s="17" t="n">
        <x:f>IF(AND($A295&gt;='Control Room'!$A$13,$A295&lt;'Control Room'!$A$13+'Control Room'!$B$13,'Process'!BP2=1),1+('Control Room'!$C$13-1)*EXP(-0.5*(($A295-'Control Room'!$A$13-('Control Room'!$B$13-1)/2)/MAX(0.5,'Control Room'!$B$13/4))^2),1)*IF(AND($A295&gt;='Control Room'!$A$14,$A295&lt;'Control Room'!$A$14+'Control Room'!$B$14,'Process'!BP3=1),1+('Control Room'!$C$14-1)*EXP(-0.5*(($A295-'Control Room'!$A$14-('Control Room'!$B$14-1)/2)/MAX(0.5,'Control Room'!$B$14/4))^2),1)*IF(AND($A295&gt;='Control Room'!$A$15,$A295&lt;'Control Room'!$A$15+'Control Room'!$B$15,'Process'!BP4=1),1+('Control Room'!$C$15-1)*EXP(-0.5*(($A295-'Control Room'!$A$15-('Control Room'!$B$15-1)/2)/MAX(0.5,'Control Room'!$B$15/4))^2),1)*IF(AND($A295&gt;='Control Room'!$A$16,$A295&lt;'Control Room'!$A$16+'Control Room'!$B$16,'Process'!BP5=1),1+('Control Room'!$C$16-1)*EXP(-0.5*(($A295-'Control Room'!$A$16-('Control Room'!$B$16-1)/2)/MAX(0.5,'Control Room'!$B$16/4))^2),1)</x:f>
        <x:v>1</x:v>
      </x:c>
      <x:c r="AF295" s="9" t="n">
        <x:f>MOD(AG294*16807,2147483647)</x:f>
        <x:v>1280778976</x:v>
      </x:c>
      <x:c r="AG295" s="9" t="n">
        <x:f>MOD(AF295*16807,2147483647)</x:f>
        <x:v>1823655751</x:v>
      </x:c>
      <x:c r="AH295" s="17" t="n">
        <x:f>IF('Control Room'!$B$5="Normal",'Control Room'!$B$7+'Control Room'!$D$7*SQRT(-2*LN(MAX(0.000000000001,AF295/2147483647)))*COS(2*PI()*AG295/2147483647),'Control Room'!$B$8+('Control Room'!$D$8-'Control Room'!$B$8)*AF295/2147483647)</x:f>
        <x:v>1053.4135042365256</x:v>
      </x:c>
      <x:c r="AI295" s="17" t="n">
        <x:f>IF('Control Room'!$B$5="Normal",'Control Room'!$B$7,('Control Room'!$B$8+'Control Room'!$D$8)/2)+'Control Room'!$B$9*(AI294-IF('Control Room'!$B$5="Normal",'Control Room'!$B$7,('Control Room'!$B$8+'Control Room'!$D$8)/2))+SQRT(1-'Control Room'!$B$9^2)*(AH295-IF('Control Room'!$B$5="Normal",'Control Room'!$B$7,('Control Room'!$B$8+'Control Room'!$D$8)/2))</x:f>
        <x:v>1068.398764010241</x:v>
      </x:c>
      <x:c r="AJ295" s="17" t="n">
        <x:f>IF(AND($A295&gt;='Control Room'!$A$13,$A295&lt;'Control Room'!$A$13+'Control Room'!$B$13,'Process'!BQ2=1),1+('Control Room'!$C$13-1)*EXP(-0.5*(($A295-'Control Room'!$A$13-('Control Room'!$B$13-1)/2)/MAX(0.5,'Control Room'!$B$13/4))^2),1)*IF(AND($A295&gt;='Control Room'!$A$14,$A295&lt;'Control Room'!$A$14+'Control Room'!$B$14,'Process'!BQ3=1),1+('Control Room'!$C$14-1)*EXP(-0.5*(($A295-'Control Room'!$A$14-('Control Room'!$B$14-1)/2)/MAX(0.5,'Control Room'!$B$14/4))^2),1)*IF(AND($A295&gt;='Control Room'!$A$15,$A295&lt;'Control Room'!$A$15+'Control Room'!$B$15,'Process'!BQ4=1),1+('Control Room'!$C$15-1)*EXP(-0.5*(($A295-'Control Room'!$A$15-('Control Room'!$B$15-1)/2)/MAX(0.5,'Control Room'!$B$15/4))^2),1)*IF(AND($A295&gt;='Control Room'!$A$16,$A295&lt;'Control Room'!$A$16+'Control Room'!$B$16,'Process'!BQ5=1),1+('Control Room'!$C$16-1)*EXP(-0.5*(($A295-'Control Room'!$A$16-('Control Room'!$B$16-1)/2)/MAX(0.5,'Control Room'!$B$16/4))^2),1)</x:f>
        <x:v>1</x:v>
      </x:c>
      <x:c r="AK295" s="9" t="n">
        <x:f>MOD(AL294*16807,2147483647)</x:f>
        <x:v>1639860192</x:v>
      </x:c>
      <x:c r="AL295" s="9" t="n">
        <x:f>MOD(AK295*16807,2147483647)</x:f>
        <x:v>325121346</x:v>
      </x:c>
      <x:c r="AM295" s="17" t="n">
        <x:f>IF('Control Room'!$B$5="Normal",'Control Room'!$B$7+'Control Room'!$D$7*SQRT(-2*LN(MAX(0.000000000001,AK295/2147483647)))*COS(2*PI()*AL295/2147483647),'Control Room'!$B$8+('Control Room'!$D$8-'Control Room'!$B$8)*AK295/2147483647)</x:f>
        <x:v>1038.380597391026</x:v>
      </x:c>
      <x:c r="AN295" s="17" t="n">
        <x:f>IF('Control Room'!$B$5="Normal",'Control Room'!$B$7,('Control Room'!$B$8+'Control Room'!$D$8)/2)+'Control Room'!$B$9*(AN294-IF('Control Room'!$B$5="Normal",'Control Room'!$B$7,('Control Room'!$B$8+'Control Room'!$D$8)/2))+SQRT(1-'Control Room'!$B$9^2)*(AM295-IF('Control Room'!$B$5="Normal",'Control Room'!$B$7,('Control Room'!$B$8+'Control Room'!$D$8)/2))</x:f>
        <x:v>1005.0583980142665</x:v>
      </x:c>
      <x:c r="AO295" s="17" t="n">
        <x:f>IF(AND($A295&gt;='Control Room'!$A$13,$A295&lt;'Control Room'!$A$13+'Control Room'!$B$13,'Process'!BR2=1),1+('Control Room'!$C$13-1)*EXP(-0.5*(($A295-'Control Room'!$A$13-('Control Room'!$B$13-1)/2)/MAX(0.5,'Control Room'!$B$13/4))^2),1)*IF(AND($A295&gt;='Control Room'!$A$14,$A295&lt;'Control Room'!$A$14+'Control Room'!$B$14,'Process'!BR3=1),1+('Control Room'!$C$14-1)*EXP(-0.5*(($A295-'Control Room'!$A$14-('Control Room'!$B$14-1)/2)/MAX(0.5,'Control Room'!$B$14/4))^2),1)*IF(AND($A295&gt;='Control Room'!$A$15,$A295&lt;'Control Room'!$A$15+'Control Room'!$B$15,'Process'!BR4=1),1+('Control Room'!$C$15-1)*EXP(-0.5*(($A295-'Control Room'!$A$15-('Control Room'!$B$15-1)/2)/MAX(0.5,'Control Room'!$B$15/4))^2),1)*IF(AND($A295&gt;='Control Room'!$A$16,$A295&lt;'Control Room'!$A$16+'Control Room'!$B$16,'Process'!BR5=1),1+('Control Room'!$C$16-1)*EXP(-0.5*(($A295-'Control Room'!$A$16-('Control Room'!$B$16-1)/2)/MAX(0.5,'Control Room'!$B$16/4))^2),1)</x:f>
        <x:v>1</x:v>
      </x:c>
      <x:c r="AP295" s="9" t="n">
        <x:f>MOD(AQ294*16807,2147483647)</x:f>
        <x:v>1998941408</x:v>
      </x:c>
      <x:c r="AQ295" s="9" t="n">
        <x:f>MOD(AP295*16807,2147483647)</x:f>
        <x:v>974070588</x:v>
      </x:c>
      <x:c r="AR295" s="17" t="n">
        <x:f>IF('Control Room'!$B$5="Normal",'Control Room'!$B$7+'Control Room'!$D$7*SQRT(-2*LN(MAX(0.000000000001,AP295/2147483647)))*COS(2*PI()*AQ295/2147483647),'Control Room'!$B$8+('Control Room'!$D$8-'Control Room'!$B$8)*AP295/2147483647)</x:f>
        <x:v>967.3623574369545</x:v>
      </x:c>
      <x:c r="AS295" s="17" t="n">
        <x:f>IF('Control Room'!$B$5="Normal",'Control Room'!$B$7,('Control Room'!$B$8+'Control Room'!$D$8)/2)+'Control Room'!$B$9*(AS294-IF('Control Room'!$B$5="Normal",'Control Room'!$B$7,('Control Room'!$B$8+'Control Room'!$D$8)/2))+SQRT(1-'Control Room'!$B$9^2)*(AR295-IF('Control Room'!$B$5="Normal",'Control Room'!$B$7,('Control Room'!$B$8+'Control Room'!$D$8)/2))</x:f>
        <x:v>898.8978095221058</x:v>
      </x:c>
      <x:c r="AT295" s="17" t="n">
        <x:f>IF(AND($A295&gt;='Control Room'!$A$13,$A295&lt;'Control Room'!$A$13+'Control Room'!$B$13,'Process'!BS2=1),1+('Control Room'!$C$13-1)*EXP(-0.5*(($A295-'Control Room'!$A$13-('Control Room'!$B$13-1)/2)/MAX(0.5,'Control Room'!$B$13/4))^2),1)*IF(AND($A295&gt;='Control Room'!$A$14,$A295&lt;'Control Room'!$A$14+'Control Room'!$B$14,'Process'!BS3=1),1+('Control Room'!$C$14-1)*EXP(-0.5*(($A295-'Control Room'!$A$14-('Control Room'!$B$14-1)/2)/MAX(0.5,'Control Room'!$B$14/4))^2),1)*IF(AND($A295&gt;='Control Room'!$A$15,$A295&lt;'Control Room'!$A$15+'Control Room'!$B$15,'Process'!BS4=1),1+('Control Room'!$C$15-1)*EXP(-0.5*(($A295-'Control Room'!$A$15-('Control Room'!$B$15-1)/2)/MAX(0.5,'Control Room'!$B$15/4))^2),1)*IF(AND($A295&gt;='Control Room'!$A$16,$A295&lt;'Control Room'!$A$16+'Control Room'!$B$16,'Process'!BS5=1),1+('Control Room'!$C$16-1)*EXP(-0.5*(($A295-'Control Room'!$A$16-('Control Room'!$B$16-1)/2)/MAX(0.5,'Control Room'!$B$16/4))^2),1)</x:f>
        <x:v>1</x:v>
      </x:c>
      <x:c r="AU295" s="9" t="n">
        <x:f>MOD(AV294*16807,2147483647)</x:f>
        <x:v>210538977</x:v>
      </x:c>
      <x:c r="AV295" s="9" t="n">
        <x:f>MOD(AU295*16807,2147483647)</x:f>
        <x:v>1623019830</x:v>
      </x:c>
      <x:c r="AW295" s="17" t="n">
        <x:f>IF('Control Room'!$B$5="Normal",'Control Room'!$B$7+'Control Room'!$D$7*SQRT(-2*LN(MAX(0.000000000001,AU295/2147483647)))*COS(2*PI()*AV295/2147483647),'Control Room'!$B$8+('Control Room'!$D$8-'Control Room'!$B$8)*AU295/2147483647)</x:f>
        <x:v>1007.0396161446834</x:v>
      </x:c>
      <x:c r="AX295" s="17" t="n">
        <x:f>IF('Control Room'!$B$5="Normal",'Control Room'!$B$7,('Control Room'!$B$8+'Control Room'!$D$8)/2)+'Control Room'!$B$9*(AX294-IF('Control Room'!$B$5="Normal",'Control Room'!$B$7,('Control Room'!$B$8+'Control Room'!$D$8)/2))+SQRT(1-'Control Room'!$B$9^2)*(AW295-IF('Control Room'!$B$5="Normal",'Control Room'!$B$7,('Control Room'!$B$8+'Control Room'!$D$8)/2))</x:f>
        <x:v>951.6655574201784</x:v>
      </x:c>
      <x:c r="AY295" s="17" t="n">
        <x:f>IF(AND($A295&gt;='Control Room'!$A$13,$A295&lt;'Control Room'!$A$13+'Control Room'!$B$13,'Process'!BT2=1),1+('Control Room'!$C$13-1)*EXP(-0.5*(($A295-'Control Room'!$A$13-('Control Room'!$B$13-1)/2)/MAX(0.5,'Control Room'!$B$13/4))^2),1)*IF(AND($A295&gt;='Control Room'!$A$14,$A295&lt;'Control Room'!$A$14+'Control Room'!$B$14,'Process'!BT3=1),1+('Control Room'!$C$14-1)*EXP(-0.5*(($A295-'Control Room'!$A$14-('Control Room'!$B$14-1)/2)/MAX(0.5,'Control Room'!$B$14/4))^2),1)*IF(AND($A295&gt;='Control Room'!$A$15,$A295&lt;'Control Room'!$A$15+'Control Room'!$B$15,'Process'!BT4=1),1+('Control Room'!$C$15-1)*EXP(-0.5*(($A295-'Control Room'!$A$15-('Control Room'!$B$15-1)/2)/MAX(0.5,'Control Room'!$B$15/4))^2),1)*IF(AND($A295&gt;='Control Room'!$A$16,$A295&lt;'Control Room'!$A$16+'Control Room'!$B$16,'Process'!BT5=1),1+('Control Room'!$C$16-1)*EXP(-0.5*(($A295-'Control Room'!$A$16-('Control Room'!$B$16-1)/2)/MAX(0.5,'Control Room'!$B$16/4))^2),1)</x:f>
        <x:v>1</x:v>
      </x:c>
      <x:c r="AZ295" s="9" t="n">
        <x:f>MOD(BA294*16807,2147483647)</x:f>
        <x:v>569620193</x:v>
      </x:c>
      <x:c r="BA295" s="9" t="n">
        <x:f>MOD(AZ295*16807,2147483647)</x:f>
        <x:v>124485425</x:v>
      </x:c>
      <x:c r="BB295" s="17" t="n">
        <x:f>IF('Control Room'!$B$5="Normal",'Control Room'!$B$7+'Control Room'!$D$7*SQRT(-2*LN(MAX(0.000000000001,AZ295/2147483647)))*COS(2*PI()*BA295/2147483647),'Control Room'!$B$8+('Control Room'!$D$8-'Control Room'!$B$8)*AZ295/2147483647)</x:f>
        <x:v>1137.00596636181</x:v>
      </x:c>
      <x:c r="BC295" s="17" t="n">
        <x:f>IF('Control Room'!$B$5="Normal",'Control Room'!$B$7,('Control Room'!$B$8+'Control Room'!$D$8)/2)+'Control Room'!$B$9*(BC294-IF('Control Room'!$B$5="Normal",'Control Room'!$B$7,('Control Room'!$B$8+'Control Room'!$D$8)/2))+SQRT(1-'Control Room'!$B$9^2)*(BB295-IF('Control Room'!$B$5="Normal",'Control Room'!$B$7,('Control Room'!$B$8+'Control Room'!$D$8)/2))</x:f>
        <x:v>1031.3514607542272</x:v>
      </x:c>
      <x:c r="BD295" s="17" t="n">
        <x:f>IF(AND($A295&gt;='Control Room'!$A$13,$A295&lt;'Control Room'!$A$13+'Control Room'!$B$13,'Process'!BU2=1),1+('Control Room'!$C$13-1)*EXP(-0.5*(($A295-'Control Room'!$A$13-('Control Room'!$B$13-1)/2)/MAX(0.5,'Control Room'!$B$13/4))^2),1)*IF(AND($A295&gt;='Control Room'!$A$14,$A295&lt;'Control Room'!$A$14+'Control Room'!$B$14,'Process'!BU3=1),1+('Control Room'!$C$14-1)*EXP(-0.5*(($A295-'Control Room'!$A$14-('Control Room'!$B$14-1)/2)/MAX(0.5,'Control Room'!$B$14/4))^2),1)*IF(AND($A295&gt;='Control Room'!$A$15,$A295&lt;'Control Room'!$A$15+'Control Room'!$B$15,'Process'!BU4=1),1+('Control Room'!$C$15-1)*EXP(-0.5*(($A295-'Control Room'!$A$15-('Control Room'!$B$15-1)/2)/MAX(0.5,'Control Room'!$B$15/4))^2),1)*IF(AND($A295&gt;='Control Room'!$A$16,$A295&lt;'Control Room'!$A$16+'Control Room'!$B$16,'Process'!BU5=1),1+('Control Room'!$C$16-1)*EXP(-0.5*(($A295-'Control Room'!$A$16-('Control Room'!$B$16-1)/2)/MAX(0.5,'Control Room'!$B$16/4))^2),1)</x:f>
        <x:v>1</x:v>
      </x:c>
      <x:c r="BE295" s="9" t="n">
        <x:f>MOD(BF294*16807,2147483647)</x:f>
        <x:v>928701409</x:v>
      </x:c>
      <x:c r="BF295" s="9" t="n">
        <x:f>MOD(BE295*16807,2147483647)</x:f>
        <x:v>773434667</x:v>
      </x:c>
      <x:c r="BG295" s="17" t="n">
        <x:f>IF('Control Room'!$B$5="Normal",'Control Room'!$B$7+'Control Room'!$D$7*SQRT(-2*LN(MAX(0.000000000001,BE295/2147483647)))*COS(2*PI()*BF295/2147483647),'Control Room'!$B$8+('Control Room'!$D$8-'Control Room'!$B$8)*BE295/2147483647)</x:f>
        <x:v>925.6297790834959</x:v>
      </x:c>
      <x:c r="BH295" s="17" t="n">
        <x:f>IF('Control Room'!$B$5="Normal",'Control Room'!$B$7,('Control Room'!$B$8+'Control Room'!$D$8)/2)+'Control Room'!$B$9*(BH294-IF('Control Room'!$B$5="Normal",'Control Room'!$B$7,('Control Room'!$B$8+'Control Room'!$D$8)/2))+SQRT(1-'Control Room'!$B$9^2)*(BG295-IF('Control Room'!$B$5="Normal",'Control Room'!$B$7,('Control Room'!$B$8+'Control Room'!$D$8)/2))</x:f>
        <x:v>1036.5832077481105</x:v>
      </x:c>
      <x:c r="BI295" s="17" t="n">
        <x:f>IF(AND($A295&gt;='Control Room'!$A$13,$A295&lt;'Control Room'!$A$13+'Control Room'!$B$13,'Process'!BV2=1),1+('Control Room'!$C$13-1)*EXP(-0.5*(($A295-'Control Room'!$A$13-('Control Room'!$B$13-1)/2)/MAX(0.5,'Control Room'!$B$13/4))^2),1)*IF(AND($A295&gt;='Control Room'!$A$14,$A295&lt;'Control Room'!$A$14+'Control Room'!$B$14,'Process'!BV3=1),1+('Control Room'!$C$14-1)*EXP(-0.5*(($A295-'Control Room'!$A$14-('Control Room'!$B$14-1)/2)/MAX(0.5,'Control Room'!$B$14/4))^2),1)*IF(AND($A295&gt;='Control Room'!$A$15,$A295&lt;'Control Room'!$A$15+'Control Room'!$B$15,'Process'!BV4=1),1+('Control Room'!$C$15-1)*EXP(-0.5*(($A295-'Control Room'!$A$15-('Control Room'!$B$15-1)/2)/MAX(0.5,'Control Room'!$B$15/4))^2),1)*IF(AND($A295&gt;='Control Room'!$A$16,$A295&lt;'Control Room'!$A$16+'Control Room'!$B$16,'Process'!BV5=1),1+('Control Room'!$C$16-1)*EXP(-0.5*(($A295-'Control Room'!$A$16-('Control Room'!$B$16-1)/2)/MAX(0.5,'Control Room'!$B$16/4))^2),1)</x:f>
        <x:v>1</x:v>
      </x:c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Z295" t="str">
        <x:f>IF('Data'!A295="","",TEXT('Data'!A295,"mm-dd"))</x:f>
      </x:c>
    </x:row>
    <x:row r="296" ht="21" customHeight="1">
      <x:c r="A296" s="15" t="n">
        <x:f>'Control Room'!$B$1+294</x:f>
        <x:v>73285</x:v>
      </x:c>
      <x:c r="B296" s="9" t="n">
        <x:f>MOD(C295*16807,2147483647)</x:f>
        <x:v>225310340</x:v>
      </x:c>
      <x:c r="C296" s="9" t="n">
        <x:f>MOD(B296*16807,2147483647)</x:f>
        <x:v>777214719</x:v>
      </x:c>
      <x:c r="D296" s="17" t="n">
        <x:f>IF('Control Room'!$B$5="Normal",'Control Room'!$B$7+'Control Room'!$D$7*SQRT(-2*LN(MAX(0.000000000001,B296/2147483647)))*COS(2*PI()*C296/2147483647),'Control Room'!$B$8+('Control Room'!$D$8-'Control Room'!$B$8)*B296/2147483647)</x:f>
        <x:v>876.4137002987728</x:v>
      </x:c>
      <x:c r="E296" s="17" t="n">
        <x:f>IF('Control Room'!$B$5="Normal",'Control Room'!$B$7,('Control Room'!$B$8+'Control Room'!$D$8)/2)+'Control Room'!$B$9*(E295-IF('Control Room'!$B$5="Normal",'Control Room'!$B$7,('Control Room'!$B$8+'Control Room'!$D$8)/2))+SQRT(1-'Control Room'!$B$9^2)*(D296-IF('Control Room'!$B$5="Normal",'Control Room'!$B$7,('Control Room'!$B$8+'Control Room'!$D$8)/2))</x:f>
        <x:v>949.9723097167356</x:v>
      </x:c>
      <x:c r="F296" s="17" t="n">
        <x:f>IF(AND($A296&gt;='Control Room'!$A$13,$A296&lt;'Control Room'!$A$13+'Control Room'!$B$13,'Process'!BK2=1),1+('Control Room'!$C$13-1)*EXP(-0.5*(($A296-'Control Room'!$A$13-('Control Room'!$B$13-1)/2)/MAX(0.5,'Control Room'!$B$13/4))^2),1)*IF(AND($A296&gt;='Control Room'!$A$14,$A296&lt;'Control Room'!$A$14+'Control Room'!$B$14,'Process'!BK3=1),1+('Control Room'!$C$14-1)*EXP(-0.5*(($A296-'Control Room'!$A$14-('Control Room'!$B$14-1)/2)/MAX(0.5,'Control Room'!$B$14/4))^2),1)*IF(AND($A296&gt;='Control Room'!$A$15,$A296&lt;'Control Room'!$A$15+'Control Room'!$B$15,'Process'!BK4=1),1+('Control Room'!$C$15-1)*EXP(-0.5*(($A296-'Control Room'!$A$15-('Control Room'!$B$15-1)/2)/MAX(0.5,'Control Room'!$B$15/4))^2),1)*IF(AND($A296&gt;='Control Room'!$A$16,$A296&lt;'Control Room'!$A$16+'Control Room'!$B$16,'Process'!BK5=1),1+('Control Room'!$C$16-1)*EXP(-0.5*(($A296-'Control Room'!$A$16-('Control Room'!$B$16-1)/2)/MAX(0.5,'Control Room'!$B$16/4))^2),1)</x:f>
        <x:v>1</x:v>
      </x:c>
      <x:c r="G296" s="9" t="n">
        <x:f>MOD(H295*16807,2147483647)</x:f>
        <x:v>45777521</x:v>
      </x:c>
      <x:c r="H296" s="9" t="n">
        <x:f>MOD(G296*16807,2147483647)</x:f>
        <x:v>583649821</x:v>
      </x:c>
      <x:c r="I296" s="17" t="n">
        <x:f>IF('Control Room'!$B$5="Normal",'Control Room'!$B$7+'Control Room'!$D$7*SQRT(-2*LN(MAX(0.000000000001,G296/2147483647)))*COS(2*PI()*H296/2147483647),'Control Room'!$B$8+('Control Room'!$D$8-'Control Room'!$B$8)*G296/2147483647)</x:f>
        <x:v>965.9330717287517</x:v>
      </x:c>
      <x:c r="J296" s="17" t="n">
        <x:f>IF('Control Room'!$B$5="Normal",'Control Room'!$B$7,('Control Room'!$B$8+'Control Room'!$D$8)/2)+'Control Room'!$B$9*(J295-IF('Control Room'!$B$5="Normal",'Control Room'!$B$7,('Control Room'!$B$8+'Control Room'!$D$8)/2))+SQRT(1-'Control Room'!$B$9^2)*(I296-IF('Control Room'!$B$5="Normal",'Control Room'!$B$7,('Control Room'!$B$8+'Control Room'!$D$8)/2))</x:f>
        <x:v>969.2098403964573</x:v>
      </x:c>
      <x:c r="K296" s="17" t="n">
        <x:f>IF(AND($A296&gt;='Control Room'!$A$13,$A296&lt;'Control Room'!$A$13+'Control Room'!$B$13,'Process'!BL2=1),1+('Control Room'!$C$13-1)*EXP(-0.5*(($A296-'Control Room'!$A$13-('Control Room'!$B$13-1)/2)/MAX(0.5,'Control Room'!$B$13/4))^2),1)*IF(AND($A296&gt;='Control Room'!$A$14,$A296&lt;'Control Room'!$A$14+'Control Room'!$B$14,'Process'!BL3=1),1+('Control Room'!$C$14-1)*EXP(-0.5*(($A296-'Control Room'!$A$14-('Control Room'!$B$14-1)/2)/MAX(0.5,'Control Room'!$B$14/4))^2),1)*IF(AND($A296&gt;='Control Room'!$A$15,$A296&lt;'Control Room'!$A$15+'Control Room'!$B$15,'Process'!BL4=1),1+('Control Room'!$C$15-1)*EXP(-0.5*(($A296-'Control Room'!$A$15-('Control Room'!$B$15-1)/2)/MAX(0.5,'Control Room'!$B$15/4))^2),1)*IF(AND($A296&gt;='Control Room'!$A$16,$A296&lt;'Control Room'!$A$16+'Control Room'!$B$16,'Process'!BL5=1),1+('Control Room'!$C$16-1)*EXP(-0.5*(($A296-'Control Room'!$A$16-('Control Room'!$B$16-1)/2)/MAX(0.5,'Control Room'!$B$16/4))^2),1)</x:f>
        <x:v>1</x:v>
      </x:c>
      <x:c r="L296" s="9" t="n">
        <x:f>MOD(M295*16807,2147483647)</x:f>
        <x:v>2013728349</x:v>
      </x:c>
      <x:c r="M296" s="9" t="n">
        <x:f>MOD(L296*16807,2147483647)</x:f>
        <x:v>390084923</x:v>
      </x:c>
      <x:c r="N296" s="17" t="n">
        <x:f>IF('Control Room'!$B$5="Normal",'Control Room'!$B$7+'Control Room'!$D$7*SQRT(-2*LN(MAX(0.000000000001,L296/2147483647)))*COS(2*PI()*M296/2147483647),'Control Room'!$B$8+('Control Room'!$D$8-'Control Room'!$B$8)*L296/2147483647)</x:f>
        <x:v>1013.439830828037</x:v>
      </x:c>
      <x:c r="O296" s="17" t="n">
        <x:f>IF('Control Room'!$B$5="Normal",'Control Room'!$B$7,('Control Room'!$B$8+'Control Room'!$D$8)/2)+'Control Room'!$B$9*(O295-IF('Control Room'!$B$5="Normal",'Control Room'!$B$7,('Control Room'!$B$8+'Control Room'!$D$8)/2))+SQRT(1-'Control Room'!$B$9^2)*(N296-IF('Control Room'!$B$5="Normal",'Control Room'!$B$7,('Control Room'!$B$8+'Control Room'!$D$8)/2))</x:f>
        <x:v>965.0971894775159</x:v>
      </x:c>
      <x:c r="P296" s="17" t="n">
        <x:f>IF(AND($A296&gt;='Control Room'!$A$13,$A296&lt;'Control Room'!$A$13+'Control Room'!$B$13,'Process'!BM2=1),1+('Control Room'!$C$13-1)*EXP(-0.5*(($A296-'Control Room'!$A$13-('Control Room'!$B$13-1)/2)/MAX(0.5,'Control Room'!$B$13/4))^2),1)*IF(AND($A296&gt;='Control Room'!$A$14,$A296&lt;'Control Room'!$A$14+'Control Room'!$B$14,'Process'!BM3=1),1+('Control Room'!$C$14-1)*EXP(-0.5*(($A296-'Control Room'!$A$14-('Control Room'!$B$14-1)/2)/MAX(0.5,'Control Room'!$B$14/4))^2),1)*IF(AND($A296&gt;='Control Room'!$A$15,$A296&lt;'Control Room'!$A$15+'Control Room'!$B$15,'Process'!BM4=1),1+('Control Room'!$C$15-1)*EXP(-0.5*(($A296-'Control Room'!$A$15-('Control Room'!$B$15-1)/2)/MAX(0.5,'Control Room'!$B$15/4))^2),1)*IF(AND($A296&gt;='Control Room'!$A$16,$A296&lt;'Control Room'!$A$16+'Control Room'!$B$16,'Process'!BM5=1),1+('Control Room'!$C$16-1)*EXP(-0.5*(($A296-'Control Room'!$A$16-('Control Room'!$B$16-1)/2)/MAX(0.5,'Control Room'!$B$16/4))^2),1)</x:f>
        <x:v>1</x:v>
      </x:c>
      <x:c r="Q296" s="9" t="n">
        <x:f>MOD(R295*16807,2147483647)</x:f>
        <x:v>1834195530</x:v>
      </x:c>
      <x:c r="R296" s="9" t="n">
        <x:f>MOD(Q296*16807,2147483647)</x:f>
        <x:v>196520025</x:v>
      </x:c>
      <x:c r="S296" s="17" t="n">
        <x:f>IF('Control Room'!$B$5="Normal",'Control Room'!$B$7+'Control Room'!$D$7*SQRT(-2*LN(MAX(0.000000000001,Q296/2147483647)))*COS(2*PI()*R296/2147483647),'Control Room'!$B$8+('Control Room'!$D$8-'Control Room'!$B$8)*Q296/2147483647)</x:f>
        <x:v>1042.4156627103448</x:v>
      </x:c>
      <x:c r="T296" s="17" t="n">
        <x:f>IF('Control Room'!$B$5="Normal",'Control Room'!$B$7,('Control Room'!$B$8+'Control Room'!$D$8)/2)+'Control Room'!$B$9*(T295-IF('Control Room'!$B$5="Normal",'Control Room'!$B$7,('Control Room'!$B$8+'Control Room'!$D$8)/2))+SQRT(1-'Control Room'!$B$9^2)*(S296-IF('Control Room'!$B$5="Normal",'Control Room'!$B$7,('Control Room'!$B$8+'Control Room'!$D$8)/2))</x:f>
        <x:v>1097.1823312515357</x:v>
      </x:c>
      <x:c r="U296" s="17" t="n">
        <x:f>IF(AND($A296&gt;='Control Room'!$A$13,$A296&lt;'Control Room'!$A$13+'Control Room'!$B$13,'Process'!BN2=1),1+('Control Room'!$C$13-1)*EXP(-0.5*(($A296-'Control Room'!$A$13-('Control Room'!$B$13-1)/2)/MAX(0.5,'Control Room'!$B$13/4))^2),1)*IF(AND($A296&gt;='Control Room'!$A$14,$A296&lt;'Control Room'!$A$14+'Control Room'!$B$14,'Process'!BN3=1),1+('Control Room'!$C$14-1)*EXP(-0.5*(($A296-'Control Room'!$A$14-('Control Room'!$B$14-1)/2)/MAX(0.5,'Control Room'!$B$14/4))^2),1)*IF(AND($A296&gt;='Control Room'!$A$15,$A296&lt;'Control Room'!$A$15+'Control Room'!$B$15,'Process'!BN4=1),1+('Control Room'!$C$15-1)*EXP(-0.5*(($A296-'Control Room'!$A$15-('Control Room'!$B$15-1)/2)/MAX(0.5,'Control Room'!$B$15/4))^2),1)*IF(AND($A296&gt;='Control Room'!$A$16,$A296&lt;'Control Room'!$A$16+'Control Room'!$B$16,'Process'!BN5=1),1+('Control Room'!$C$16-1)*EXP(-0.5*(($A296-'Control Room'!$A$16-('Control Room'!$B$16-1)/2)/MAX(0.5,'Control Room'!$B$16/4))^2),1)</x:f>
        <x:v>1</x:v>
      </x:c>
      <x:c r="V296" s="9" t="n">
        <x:f>MOD(W295*16807,2147483647)</x:f>
        <x:v>1654662711</x:v>
      </x:c>
      <x:c r="W296" s="9" t="n">
        <x:f>MOD(V296*16807,2147483647)</x:f>
        <x:v>2955127</x:v>
      </x:c>
      <x:c r="X296" s="17" t="n">
        <x:f>IF('Control Room'!$B$5="Normal",'Control Room'!$B$7+'Control Room'!$D$7*SQRT(-2*LN(MAX(0.000000000001,V296/2147483647)))*COS(2*PI()*W296/2147483647),'Control Room'!$B$8+('Control Room'!$D$8-'Control Room'!$B$8)*V296/2147483647)</x:f>
        <x:v>1064.98474704429</x:v>
      </x:c>
      <x:c r="Y296" s="17" t="n">
        <x:f>IF('Control Room'!$B$5="Normal",'Control Room'!$B$7,('Control Room'!$B$8+'Control Room'!$D$8)/2)+'Control Room'!$B$9*(Y295-IF('Control Room'!$B$5="Normal",'Control Room'!$B$7,('Control Room'!$B$8+'Control Room'!$D$8)/2))+SQRT(1-'Control Room'!$B$9^2)*(X296-IF('Control Room'!$B$5="Normal",'Control Room'!$B$7,('Control Room'!$B$8+'Control Room'!$D$8)/2))</x:f>
        <x:v>1031.412218408651</x:v>
      </x:c>
      <x:c r="Z296" s="17" t="n">
        <x:f>IF(AND($A296&gt;='Control Room'!$A$13,$A296&lt;'Control Room'!$A$13+'Control Room'!$B$13,'Process'!BO2=1),1+('Control Room'!$C$13-1)*EXP(-0.5*(($A296-'Control Room'!$A$13-('Control Room'!$B$13-1)/2)/MAX(0.5,'Control Room'!$B$13/4))^2),1)*IF(AND($A296&gt;='Control Room'!$A$14,$A296&lt;'Control Room'!$A$14+'Control Room'!$B$14,'Process'!BO3=1),1+('Control Room'!$C$14-1)*EXP(-0.5*(($A296-'Control Room'!$A$14-('Control Room'!$B$14-1)/2)/MAX(0.5,'Control Room'!$B$14/4))^2),1)*IF(AND($A296&gt;='Control Room'!$A$15,$A296&lt;'Control Room'!$A$15+'Control Room'!$B$15,'Process'!BO4=1),1+('Control Room'!$C$15-1)*EXP(-0.5*(($A296-'Control Room'!$A$15-('Control Room'!$B$15-1)/2)/MAX(0.5,'Control Room'!$B$15/4))^2),1)*IF(AND($A296&gt;='Control Room'!$A$16,$A296&lt;'Control Room'!$A$16+'Control Room'!$B$16,'Process'!BO5=1),1+('Control Room'!$C$16-1)*EXP(-0.5*(($A296-'Control Room'!$A$16-('Control Room'!$B$16-1)/2)/MAX(0.5,'Control Room'!$B$16/4))^2),1)</x:f>
        <x:v>1</x:v>
      </x:c>
      <x:c r="AA296" s="9" t="n">
        <x:f>MOD(AB295*16807,2147483647)</x:f>
        <x:v>1475129892</x:v>
      </x:c>
      <x:c r="AB296" s="9" t="n">
        <x:f>MOD(AA296*16807,2147483647)</x:f>
        <x:v>1956873876</x:v>
      </x:c>
      <x:c r="AC296" s="17" t="n">
        <x:f>IF('Control Room'!$B$5="Normal",'Control Room'!$B$7+'Control Room'!$D$7*SQRT(-2*LN(MAX(0.000000000001,AA296/2147483647)))*COS(2*PI()*AB296/2147483647),'Control Room'!$B$8+('Control Room'!$D$8-'Control Room'!$B$8)*AA296/2147483647)</x:f>
        <x:v>1066.1808823739248</x:v>
      </x:c>
      <x:c r="AD296" s="17" t="n">
        <x:f>IF('Control Room'!$B$5="Normal",'Control Room'!$B$7,('Control Room'!$B$8+'Control Room'!$D$8)/2)+'Control Room'!$B$9*(AD295-IF('Control Room'!$B$5="Normal",'Control Room'!$B$7,('Control Room'!$B$8+'Control Room'!$D$8)/2))+SQRT(1-'Control Room'!$B$9^2)*(AC296-IF('Control Room'!$B$5="Normal",'Control Room'!$B$7,('Control Room'!$B$8+'Control Room'!$D$8)/2))</x:f>
        <x:v>992.6793414003108</x:v>
      </x:c>
      <x:c r="AE296" s="17" t="n">
        <x:f>IF(AND($A296&gt;='Control Room'!$A$13,$A296&lt;'Control Room'!$A$13+'Control Room'!$B$13,'Process'!BP2=1),1+('Control Room'!$C$13-1)*EXP(-0.5*(($A296-'Control Room'!$A$13-('Control Room'!$B$13-1)/2)/MAX(0.5,'Control Room'!$B$13/4))^2),1)*IF(AND($A296&gt;='Control Room'!$A$14,$A296&lt;'Control Room'!$A$14+'Control Room'!$B$14,'Process'!BP3=1),1+('Control Room'!$C$14-1)*EXP(-0.5*(($A296-'Control Room'!$A$14-('Control Room'!$B$14-1)/2)/MAX(0.5,'Control Room'!$B$14/4))^2),1)*IF(AND($A296&gt;='Control Room'!$A$15,$A296&lt;'Control Room'!$A$15+'Control Room'!$B$15,'Process'!BP4=1),1+('Control Room'!$C$15-1)*EXP(-0.5*(($A296-'Control Room'!$A$15-('Control Room'!$B$15-1)/2)/MAX(0.5,'Control Room'!$B$15/4))^2),1)*IF(AND($A296&gt;='Control Room'!$A$16,$A296&lt;'Control Room'!$A$16+'Control Room'!$B$16,'Process'!BP5=1),1+('Control Room'!$C$16-1)*EXP(-0.5*(($A296-'Control Room'!$A$16-('Control Room'!$B$16-1)/2)/MAX(0.5,'Control Room'!$B$16/4))^2),1)</x:f>
        <x:v>1</x:v>
      </x:c>
      <x:c r="AF296" s="9" t="n">
        <x:f>MOD(AG295*16807,2147483647)</x:f>
        <x:v>1295597073</x:v>
      </x:c>
      <x:c r="AG296" s="9" t="n">
        <x:f>MOD(AF296*16807,2147483647)</x:f>
        <x:v>1763308978</x:v>
      </x:c>
      <x:c r="AH296" s="17" t="n">
        <x:f>IF('Control Room'!$B$5="Normal",'Control Room'!$B$7+'Control Room'!$D$7*SQRT(-2*LN(MAX(0.000000000001,AF296/2147483647)))*COS(2*PI()*AG296/2147483647),'Control Room'!$B$8+('Control Room'!$D$8-'Control Room'!$B$8)*AF296/2147483647)</x:f>
        <x:v>1039.0909783175553</x:v>
      </x:c>
      <x:c r="AI296" s="17" t="n">
        <x:f>IF('Control Room'!$B$5="Normal",'Control Room'!$B$7,('Control Room'!$B$8+'Control Room'!$D$8)/2)+'Control Room'!$B$9*(AI295-IF('Control Room'!$B$5="Normal",'Control Room'!$B$7,('Control Room'!$B$8+'Control Room'!$D$8)/2))+SQRT(1-'Control Room'!$B$9^2)*(AH296-IF('Control Room'!$B$5="Normal",'Control Room'!$B$7,('Control Room'!$B$8+'Control Room'!$D$8)/2))</x:f>
        <x:v>1077.8133693368948</x:v>
      </x:c>
      <x:c r="AJ296" s="17" t="n">
        <x:f>IF(AND($A296&gt;='Control Room'!$A$13,$A296&lt;'Control Room'!$A$13+'Control Room'!$B$13,'Process'!BQ2=1),1+('Control Room'!$C$13-1)*EXP(-0.5*(($A296-'Control Room'!$A$13-('Control Room'!$B$13-1)/2)/MAX(0.5,'Control Room'!$B$13/4))^2),1)*IF(AND($A296&gt;='Control Room'!$A$14,$A296&lt;'Control Room'!$A$14+'Control Room'!$B$14,'Process'!BQ3=1),1+('Control Room'!$C$14-1)*EXP(-0.5*(($A296-'Control Room'!$A$14-('Control Room'!$B$14-1)/2)/MAX(0.5,'Control Room'!$B$14/4))^2),1)*IF(AND($A296&gt;='Control Room'!$A$15,$A296&lt;'Control Room'!$A$15+'Control Room'!$B$15,'Process'!BQ4=1),1+('Control Room'!$C$15-1)*EXP(-0.5*(($A296-'Control Room'!$A$15-('Control Room'!$B$15-1)/2)/MAX(0.5,'Control Room'!$B$15/4))^2),1)*IF(AND($A296&gt;='Control Room'!$A$16,$A296&lt;'Control Room'!$A$16+'Control Room'!$B$16,'Process'!BQ5=1),1+('Control Room'!$C$16-1)*EXP(-0.5*(($A296-'Control Room'!$A$16-('Control Room'!$B$16-1)/2)/MAX(0.5,'Control Room'!$B$16/4))^2),1)</x:f>
        <x:v>1</x:v>
      </x:c>
      <x:c r="AK296" s="9" t="n">
        <x:f>MOD(AL295*16807,2147483647)</x:f>
        <x:v>1116064254</x:v>
      </x:c>
      <x:c r="AL296" s="9" t="n">
        <x:f>MOD(AK296*16807,2147483647)</x:f>
        <x:v>1569744080</x:v>
      </x:c>
      <x:c r="AM296" s="17" t="n">
        <x:f>IF('Control Room'!$B$5="Normal",'Control Room'!$B$7+'Control Room'!$D$7*SQRT(-2*LN(MAX(0.000000000001,AK296/2147483647)))*COS(2*PI()*AL296/2147483647),'Control Room'!$B$8+('Control Room'!$D$8-'Control Room'!$B$8)*AK296/2147483647)</x:f>
        <x:v>987.716747519583</x:v>
      </x:c>
      <x:c r="AN296" s="17" t="n">
        <x:f>IF('Control Room'!$B$5="Normal",'Control Room'!$B$7,('Control Room'!$B$8+'Control Room'!$D$8)/2)+'Control Room'!$B$9*(AN295-IF('Control Room'!$B$5="Normal",'Control Room'!$B$7,('Control Room'!$B$8+'Control Room'!$D$8)/2))+SQRT(1-'Control Room'!$B$9^2)*(AM296-IF('Control Room'!$B$5="Normal",'Control Room'!$B$7,('Control Room'!$B$8+'Control Room'!$D$8)/2))</x:f>
        <x:v>996.2589426849876</x:v>
      </x:c>
      <x:c r="AO296" s="17" t="n">
        <x:f>IF(AND($A296&gt;='Control Room'!$A$13,$A296&lt;'Control Room'!$A$13+'Control Room'!$B$13,'Process'!BR2=1),1+('Control Room'!$C$13-1)*EXP(-0.5*(($A296-'Control Room'!$A$13-('Control Room'!$B$13-1)/2)/MAX(0.5,'Control Room'!$B$13/4))^2),1)*IF(AND($A296&gt;='Control Room'!$A$14,$A296&lt;'Control Room'!$A$14+'Control Room'!$B$14,'Process'!BR3=1),1+('Control Room'!$C$14-1)*EXP(-0.5*(($A296-'Control Room'!$A$14-('Control Room'!$B$14-1)/2)/MAX(0.5,'Control Room'!$B$14/4))^2),1)*IF(AND($A296&gt;='Control Room'!$A$15,$A296&lt;'Control Room'!$A$15+'Control Room'!$B$15,'Process'!BR4=1),1+('Control Room'!$C$15-1)*EXP(-0.5*(($A296-'Control Room'!$A$15-('Control Room'!$B$15-1)/2)/MAX(0.5,'Control Room'!$B$15/4))^2),1)*IF(AND($A296&gt;='Control Room'!$A$16,$A296&lt;'Control Room'!$A$16+'Control Room'!$B$16,'Process'!BR5=1),1+('Control Room'!$C$16-1)*EXP(-0.5*(($A296-'Control Room'!$A$16-('Control Room'!$B$16-1)/2)/MAX(0.5,'Control Room'!$B$16/4))^2),1)</x:f>
        <x:v>1</x:v>
      </x:c>
      <x:c r="AP296" s="9" t="n">
        <x:f>MOD(AQ295*16807,2147483647)</x:f>
        <x:v>936531435</x:v>
      </x:c>
      <x:c r="AQ296" s="9" t="n">
        <x:f>MOD(AP296*16807,2147483647)</x:f>
        <x:v>1376179182</x:v>
      </x:c>
      <x:c r="AR296" s="17" t="n">
        <x:f>IF('Control Room'!$B$5="Normal",'Control Room'!$B$7+'Control Room'!$D$7*SQRT(-2*LN(MAX(0.000000000001,AP296/2147483647)))*COS(2*PI()*AQ296/2147483647),'Control Room'!$B$8+('Control Room'!$D$8-'Control Room'!$B$8)*AP296/2147483647)</x:f>
        <x:v>926.5609436236537</x:v>
      </x:c>
      <x:c r="AS296" s="17" t="n">
        <x:f>IF('Control Room'!$B$5="Normal",'Control Room'!$B$7,('Control Room'!$B$8+'Control Room'!$D$8)/2)+'Control Room'!$B$9*(AS295-IF('Control Room'!$B$5="Normal",'Control Room'!$B$7,('Control Room'!$B$8+'Control Room'!$D$8)/2))+SQRT(1-'Control Room'!$B$9^2)*(AR296-IF('Control Room'!$B$5="Normal",'Control Room'!$B$7,('Control Room'!$B$8+'Control Room'!$D$8)/2))</x:f>
        <x:v>875.1836344277707</x:v>
      </x:c>
      <x:c r="AT296" s="17" t="n">
        <x:f>IF(AND($A296&gt;='Control Room'!$A$13,$A296&lt;'Control Room'!$A$13+'Control Room'!$B$13,'Process'!BS2=1),1+('Control Room'!$C$13-1)*EXP(-0.5*(($A296-'Control Room'!$A$13-('Control Room'!$B$13-1)/2)/MAX(0.5,'Control Room'!$B$13/4))^2),1)*IF(AND($A296&gt;='Control Room'!$A$14,$A296&lt;'Control Room'!$A$14+'Control Room'!$B$14,'Process'!BS3=1),1+('Control Room'!$C$14-1)*EXP(-0.5*(($A296-'Control Room'!$A$14-('Control Room'!$B$14-1)/2)/MAX(0.5,'Control Room'!$B$14/4))^2),1)*IF(AND($A296&gt;='Control Room'!$A$15,$A296&lt;'Control Room'!$A$15+'Control Room'!$B$15,'Process'!BS4=1),1+('Control Room'!$C$15-1)*EXP(-0.5*(($A296-'Control Room'!$A$15-('Control Room'!$B$15-1)/2)/MAX(0.5,'Control Room'!$B$15/4))^2),1)*IF(AND($A296&gt;='Control Room'!$A$16,$A296&lt;'Control Room'!$A$16+'Control Room'!$B$16,'Process'!BS5=1),1+('Control Room'!$C$16-1)*EXP(-0.5*(($A296-'Control Room'!$A$16-('Control Room'!$B$16-1)/2)/MAX(0.5,'Control Room'!$B$16/4))^2),1)</x:f>
        <x:v>1</x:v>
      </x:c>
      <x:c r="AU296" s="9" t="n">
        <x:f>MOD(AV295*16807,2147483647)</x:f>
        <x:v>756998616</x:v>
      </x:c>
      <x:c r="AV296" s="9" t="n">
        <x:f>MOD(AU296*16807,2147483647)</x:f>
        <x:v>1182614284</x:v>
      </x:c>
      <x:c r="AW296" s="17" t="n">
        <x:f>IF('Control Room'!$B$5="Normal",'Control Room'!$B$7+'Control Room'!$D$7*SQRT(-2*LN(MAX(0.000000000001,AU296/2147483647)))*COS(2*PI()*AV296/2147483647),'Control Room'!$B$8+('Control Room'!$D$8-'Control Room'!$B$8)*AU296/2147483647)</x:f>
        <x:v>876.5706741011014</x:v>
      </x:c>
      <x:c r="AX296" s="17" t="n">
        <x:f>IF('Control Room'!$B$5="Normal",'Control Room'!$B$7,('Control Room'!$B$8+'Control Room'!$D$8)/2)+'Control Room'!$B$9*(AX295-IF('Control Room'!$B$5="Normal",'Control Room'!$B$7,('Control Room'!$B$8+'Control Room'!$D$8)/2))+SQRT(1-'Control Room'!$B$9^2)*(AW296-IF('Control Room'!$B$5="Normal",'Control Room'!$B$7,('Control Room'!$B$8+'Control Room'!$D$8)/2))</x:f>
        <x:v>885.0595912273905</x:v>
      </x:c>
      <x:c r="AY296" s="17" t="n">
        <x:f>IF(AND($A296&gt;='Control Room'!$A$13,$A296&lt;'Control Room'!$A$13+'Control Room'!$B$13,'Process'!BT2=1),1+('Control Room'!$C$13-1)*EXP(-0.5*(($A296-'Control Room'!$A$13-('Control Room'!$B$13-1)/2)/MAX(0.5,'Control Room'!$B$13/4))^2),1)*IF(AND($A296&gt;='Control Room'!$A$14,$A296&lt;'Control Room'!$A$14+'Control Room'!$B$14,'Process'!BT3=1),1+('Control Room'!$C$14-1)*EXP(-0.5*(($A296-'Control Room'!$A$14-('Control Room'!$B$14-1)/2)/MAX(0.5,'Control Room'!$B$14/4))^2),1)*IF(AND($A296&gt;='Control Room'!$A$15,$A296&lt;'Control Room'!$A$15+'Control Room'!$B$15,'Process'!BT4=1),1+('Control Room'!$C$15-1)*EXP(-0.5*(($A296-'Control Room'!$A$15-('Control Room'!$B$15-1)/2)/MAX(0.5,'Control Room'!$B$15/4))^2),1)*IF(AND($A296&gt;='Control Room'!$A$16,$A296&lt;'Control Room'!$A$16+'Control Room'!$B$16,'Process'!BT5=1),1+('Control Room'!$C$16-1)*EXP(-0.5*(($A296-'Control Room'!$A$16-('Control Room'!$B$16-1)/2)/MAX(0.5,'Control Room'!$B$16/4))^2),1)</x:f>
        <x:v>1</x:v>
      </x:c>
      <x:c r="AZ296" s="9" t="n">
        <x:f>MOD(BA295*16807,2147483647)</x:f>
        <x:v>577465797</x:v>
      </x:c>
      <x:c r="BA296" s="9" t="n">
        <x:f>MOD(AZ296*16807,2147483647)</x:f>
        <x:v>989049386</x:v>
      </x:c>
      <x:c r="BB296" s="17" t="n">
        <x:f>IF('Control Room'!$B$5="Normal",'Control Room'!$B$7+'Control Room'!$D$7*SQRT(-2*LN(MAX(0.000000000001,AZ296/2147483647)))*COS(2*PI()*BA296/2147483647),'Control Room'!$B$8+('Control Room'!$D$8-'Control Room'!$B$8)*AZ296/2147483647)</x:f>
        <x:v>858.5886498979942</x:v>
      </x:c>
      <x:c r="BC296" s="17" t="n">
        <x:f>IF('Control Room'!$B$5="Normal",'Control Room'!$B$7,('Control Room'!$B$8+'Control Room'!$D$8)/2)+'Control Room'!$B$9*(BC295-IF('Control Room'!$B$5="Normal",'Control Room'!$B$7,('Control Room'!$B$8+'Control Room'!$D$8)/2))+SQRT(1-'Control Room'!$B$9^2)*(BB296-IF('Control Room'!$B$5="Normal",'Control Room'!$B$7,('Control Room'!$B$8+'Control Room'!$D$8)/2))</x:f>
        <x:v>935.9618134634333</x:v>
      </x:c>
      <x:c r="BD296" s="17" t="n">
        <x:f>IF(AND($A296&gt;='Control Room'!$A$13,$A296&lt;'Control Room'!$A$13+'Control Room'!$B$13,'Process'!BU2=1),1+('Control Room'!$C$13-1)*EXP(-0.5*(($A296-'Control Room'!$A$13-('Control Room'!$B$13-1)/2)/MAX(0.5,'Control Room'!$B$13/4))^2),1)*IF(AND($A296&gt;='Control Room'!$A$14,$A296&lt;'Control Room'!$A$14+'Control Room'!$B$14,'Process'!BU3=1),1+('Control Room'!$C$14-1)*EXP(-0.5*(($A296-'Control Room'!$A$14-('Control Room'!$B$14-1)/2)/MAX(0.5,'Control Room'!$B$14/4))^2),1)*IF(AND($A296&gt;='Control Room'!$A$15,$A296&lt;'Control Room'!$A$15+'Control Room'!$B$15,'Process'!BU4=1),1+('Control Room'!$C$15-1)*EXP(-0.5*(($A296-'Control Room'!$A$15-('Control Room'!$B$15-1)/2)/MAX(0.5,'Control Room'!$B$15/4))^2),1)*IF(AND($A296&gt;='Control Room'!$A$16,$A296&lt;'Control Room'!$A$16+'Control Room'!$B$16,'Process'!BU5=1),1+('Control Room'!$C$16-1)*EXP(-0.5*(($A296-'Control Room'!$A$16-('Control Room'!$B$16-1)/2)/MAX(0.5,'Control Room'!$B$16/4))^2),1)</x:f>
        <x:v>1</x:v>
      </x:c>
      <x:c r="BE296" s="9" t="n">
        <x:f>MOD(BF295*16807,2147483647)</x:f>
        <x:v>397932978</x:v>
      </x:c>
      <x:c r="BF296" s="9" t="n">
        <x:f>MOD(BE296*16807,2147483647)</x:f>
        <x:v>795484488</x:v>
      </x:c>
      <x:c r="BG296" s="17" t="n">
        <x:f>IF('Control Room'!$B$5="Normal",'Control Room'!$B$7+'Control Room'!$D$7*SQRT(-2*LN(MAX(0.000000000001,BE296/2147483647)))*COS(2*PI()*BF296/2147483647),'Control Room'!$B$8+('Control Room'!$D$8-'Control Room'!$B$8)*BE296/2147483647)</x:f>
        <x:v>886.5523952556323</x:v>
      </x:c>
      <x:c r="BH296" s="17" t="n">
        <x:f>IF('Control Room'!$B$5="Normal",'Control Room'!$B$7,('Control Room'!$B$8+'Control Room'!$D$8)/2)+'Control Room'!$B$9*(BH295-IF('Control Room'!$B$5="Normal",'Control Room'!$B$7,('Control Room'!$B$8+'Control Room'!$D$8)/2))+SQRT(1-'Control Room'!$B$9^2)*(BG296-IF('Control Room'!$B$5="Normal",'Control Room'!$B$7,('Control Room'!$B$8+'Control Room'!$D$8)/2))</x:f>
        <x:v>957.5417150950102</x:v>
      </x:c>
      <x:c r="BI296" s="17" t="n">
        <x:f>IF(AND($A296&gt;='Control Room'!$A$13,$A296&lt;'Control Room'!$A$13+'Control Room'!$B$13,'Process'!BV2=1),1+('Control Room'!$C$13-1)*EXP(-0.5*(($A296-'Control Room'!$A$13-('Control Room'!$B$13-1)/2)/MAX(0.5,'Control Room'!$B$13/4))^2),1)*IF(AND($A296&gt;='Control Room'!$A$14,$A296&lt;'Control Room'!$A$14+'Control Room'!$B$14,'Process'!BV3=1),1+('Control Room'!$C$14-1)*EXP(-0.5*(($A296-'Control Room'!$A$14-('Control Room'!$B$14-1)/2)/MAX(0.5,'Control Room'!$B$14/4))^2),1)*IF(AND($A296&gt;='Control Room'!$A$15,$A296&lt;'Control Room'!$A$15+'Control Room'!$B$15,'Process'!BV4=1),1+('Control Room'!$C$15-1)*EXP(-0.5*(($A296-'Control Room'!$A$15-('Control Room'!$B$15-1)/2)/MAX(0.5,'Control Room'!$B$15/4))^2),1)*IF(AND($A296&gt;='Control Room'!$A$16,$A296&lt;'Control Room'!$A$16+'Control Room'!$B$16,'Process'!BV5=1),1+('Control Room'!$C$16-1)*EXP(-0.5*(($A296-'Control Room'!$A$16-('Control Room'!$B$16-1)/2)/MAX(0.5,'Control Room'!$B$16/4))^2),1)</x:f>
        <x:v>1</x:v>
      </x:c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Z296" t="str">
        <x:f>IF('Data'!A296="","",TEXT('Data'!A296,"mm-dd"))</x:f>
      </x:c>
    </x:row>
    <x:row r="297" ht="21" customHeight="1">
      <x:c r="A297" s="15" t="n">
        <x:f>'Control Room'!$B$1+295</x:f>
        <x:v>73286</x:v>
      </x:c>
      <x:c r="B297" s="9" t="n">
        <x:f>MOD(C296*16807,2147483647)</x:f>
        <x:v>1652241179</x:v>
      </x:c>
      <x:c r="C297" s="9" t="n">
        <x:f>MOD(B297*16807,2147483647)</x:f>
        <x:v>106456096</x:v>
      </x:c>
      <x:c r="D297" s="17" t="n">
        <x:f>IF('Control Room'!$B$5="Normal",'Control Room'!$B$7+'Control Room'!$D$7*SQRT(-2*LN(MAX(0.000000000001,B297/2147483647)))*COS(2*PI()*C297/2147483647),'Control Room'!$B$8+('Control Room'!$D$8-'Control Room'!$B$8)*B297/2147483647)</x:f>
        <x:v>1062.0337109768407</x:v>
      </x:c>
      <x:c r="E297" s="17" t="n">
        <x:f>IF('Control Room'!$B$5="Normal",'Control Room'!$B$7,('Control Room'!$B$8+'Control Room'!$D$8)/2)+'Control Room'!$B$9*(E296-IF('Control Room'!$B$5="Normal",'Control Room'!$B$7,('Control Room'!$B$8+'Control Room'!$D$8)/2))+SQRT(1-'Control Room'!$B$9^2)*(D297-IF('Control Room'!$B$5="Normal",'Control Room'!$B$7,('Control Room'!$B$8+'Control Room'!$D$8)/2))</x:f>
        <x:v>999.7978270787155</x:v>
      </x:c>
      <x:c r="F297" s="17" t="n">
        <x:f>IF(AND($A297&gt;='Control Room'!$A$13,$A297&lt;'Control Room'!$A$13+'Control Room'!$B$13,'Process'!BK2=1),1+('Control Room'!$C$13-1)*EXP(-0.5*(($A297-'Control Room'!$A$13-('Control Room'!$B$13-1)/2)/MAX(0.5,'Control Room'!$B$13/4))^2),1)*IF(AND($A297&gt;='Control Room'!$A$14,$A297&lt;'Control Room'!$A$14+'Control Room'!$B$14,'Process'!BK3=1),1+('Control Room'!$C$14-1)*EXP(-0.5*(($A297-'Control Room'!$A$14-('Control Room'!$B$14-1)/2)/MAX(0.5,'Control Room'!$B$14/4))^2),1)*IF(AND($A297&gt;='Control Room'!$A$15,$A297&lt;'Control Room'!$A$15+'Control Room'!$B$15,'Process'!BK4=1),1+('Control Room'!$C$15-1)*EXP(-0.5*(($A297-'Control Room'!$A$15-('Control Room'!$B$15-1)/2)/MAX(0.5,'Control Room'!$B$15/4))^2),1)*IF(AND($A297&gt;='Control Room'!$A$16,$A297&lt;'Control Room'!$A$16+'Control Room'!$B$16,'Process'!BK5=1),1+('Control Room'!$C$16-1)*EXP(-0.5*(($A297-'Control Room'!$A$16-('Control Room'!$B$16-1)/2)/MAX(0.5,'Control Room'!$B$16/4))^2),1)</x:f>
        <x:v>1</x:v>
      </x:c>
      <x:c r="G297" s="9" t="n">
        <x:f>MOD(H296*16807,2147483647)</x:f>
        <x:v>1844725698</x:v>
      </x:c>
      <x:c r="H297" s="9" t="n">
        <x:f>MOD(G297*16807,2147483647)</x:f>
        <x:v>1083394547</x:v>
      </x:c>
      <x:c r="I297" s="17" t="n">
        <x:f>IF('Control Room'!$B$5="Normal",'Control Room'!$B$7+'Control Room'!$D$7*SQRT(-2*LN(MAX(0.000000000001,G297/2147483647)))*COS(2*PI()*H297/2147483647),'Control Room'!$B$8+('Control Room'!$D$8-'Control Room'!$B$8)*G297/2147483647)</x:f>
        <x:v>950.4027341162118</x:v>
      </x:c>
      <x:c r="J297" s="17" t="n">
        <x:f>IF('Control Room'!$B$5="Normal",'Control Room'!$B$7,('Control Room'!$B$8+'Control Room'!$D$8)/2)+'Control Room'!$B$9*(J296-IF('Control Room'!$B$5="Normal",'Control Room'!$B$7,('Control Room'!$B$8+'Control Room'!$D$8)/2))+SQRT(1-'Control Room'!$B$9^2)*(I297-IF('Control Room'!$B$5="Normal",'Control Room'!$B$7,('Control Room'!$B$8+'Control Room'!$D$8)/2))</x:f>
        <x:v>944.9467225743812</x:v>
      </x:c>
      <x:c r="K297" s="17" t="n">
        <x:f>IF(AND($A297&gt;='Control Room'!$A$13,$A297&lt;'Control Room'!$A$13+'Control Room'!$B$13,'Process'!BL2=1),1+('Control Room'!$C$13-1)*EXP(-0.5*(($A297-'Control Room'!$A$13-('Control Room'!$B$13-1)/2)/MAX(0.5,'Control Room'!$B$13/4))^2),1)*IF(AND($A297&gt;='Control Room'!$A$14,$A297&lt;'Control Room'!$A$14+'Control Room'!$B$14,'Process'!BL3=1),1+('Control Room'!$C$14-1)*EXP(-0.5*(($A297-'Control Room'!$A$14-('Control Room'!$B$14-1)/2)/MAX(0.5,'Control Room'!$B$14/4))^2),1)*IF(AND($A297&gt;='Control Room'!$A$15,$A297&lt;'Control Room'!$A$15+'Control Room'!$B$15,'Process'!BL4=1),1+('Control Room'!$C$15-1)*EXP(-0.5*(($A297-'Control Room'!$A$15-('Control Room'!$B$15-1)/2)/MAX(0.5,'Control Room'!$B$15/4))^2),1)*IF(AND($A297&gt;='Control Room'!$A$16,$A297&lt;'Control Room'!$A$16+'Control Room'!$B$16,'Process'!BL5=1),1+('Control Room'!$C$16-1)*EXP(-0.5*(($A297-'Control Room'!$A$16-('Control Room'!$B$16-1)/2)/MAX(0.5,'Control Room'!$B$16/4))^2),1)</x:f>
        <x:v>1</x:v>
      </x:c>
      <x:c r="L297" s="9" t="n">
        <x:f>MOD(M296*16807,2147483647)</x:f>
        <x:v>2037210217</x:v>
      </x:c>
      <x:c r="M297" s="9" t="n">
        <x:f>MOD(L297*16807,2147483647)</x:f>
        <x:v>2060332998</x:v>
      </x:c>
      <x:c r="N297" s="17" t="n">
        <x:f>IF('Control Room'!$B$5="Normal",'Control Room'!$B$7+'Control Room'!$D$7*SQRT(-2*LN(MAX(0.000000000001,L297/2147483647)))*COS(2*PI()*M297/2147483647),'Control Room'!$B$8+('Control Room'!$D$8-'Control Room'!$B$8)*L297/2147483647)</x:f>
        <x:v>1028.2782120280333</x:v>
      </x:c>
      <x:c r="O297" s="17" t="n">
        <x:f>IF('Control Room'!$B$5="Normal",'Control Room'!$B$7,('Control Room'!$B$8+'Control Room'!$D$8)/2)+'Control Room'!$B$9*(O296-IF('Control Room'!$B$5="Normal",'Control Room'!$B$7,('Control Room'!$B$8+'Control Room'!$D$8)/2))+SQRT(1-'Control Room'!$B$9^2)*(N297-IF('Control Room'!$B$5="Normal",'Control Room'!$B$7,('Control Room'!$B$8+'Control Room'!$D$8)/2))</x:f>
        <x:v>990.4717335689439</x:v>
      </x:c>
      <x:c r="P297" s="17" t="n">
        <x:f>IF(AND($A297&gt;='Control Room'!$A$13,$A297&lt;'Control Room'!$A$13+'Control Room'!$B$13,'Process'!BM2=1),1+('Control Room'!$C$13-1)*EXP(-0.5*(($A297-'Control Room'!$A$13-('Control Room'!$B$13-1)/2)/MAX(0.5,'Control Room'!$B$13/4))^2),1)*IF(AND($A297&gt;='Control Room'!$A$14,$A297&lt;'Control Room'!$A$14+'Control Room'!$B$14,'Process'!BM3=1),1+('Control Room'!$C$14-1)*EXP(-0.5*(($A297-'Control Room'!$A$14-('Control Room'!$B$14-1)/2)/MAX(0.5,'Control Room'!$B$14/4))^2),1)*IF(AND($A297&gt;='Control Room'!$A$15,$A297&lt;'Control Room'!$A$15+'Control Room'!$B$15,'Process'!BM4=1),1+('Control Room'!$C$15-1)*EXP(-0.5*(($A297-'Control Room'!$A$15-('Control Room'!$B$15-1)/2)/MAX(0.5,'Control Room'!$B$15/4))^2),1)*IF(AND($A297&gt;='Control Room'!$A$16,$A297&lt;'Control Room'!$A$16+'Control Room'!$B$16,'Process'!BM5=1),1+('Control Room'!$C$16-1)*EXP(-0.5*(($A297-'Control Room'!$A$16-('Control Room'!$B$16-1)/2)/MAX(0.5,'Control Room'!$B$16/4))^2),1)</x:f>
        <x:v>1</x:v>
      </x:c>
      <x:c r="Q297" s="9" t="n">
        <x:f>MOD(R296*16807,2147483647)</x:f>
        <x:v>82211089</x:v>
      </x:c>
      <x:c r="R297" s="9" t="n">
        <x:f>MOD(Q297*16807,2147483647)</x:f>
        <x:v>889787802</x:v>
      </x:c>
      <x:c r="S297" s="17" t="n">
        <x:f>IF('Control Room'!$B$5="Normal",'Control Room'!$B$7+'Control Room'!$D$7*SQRT(-2*LN(MAX(0.000000000001,Q297/2147483647)))*COS(2*PI()*R297/2147483647),'Control Room'!$B$8+('Control Room'!$D$8-'Control Room'!$B$8)*Q297/2147483647)</x:f>
        <x:v>802.5975103141786</x:v>
      </x:c>
      <x:c r="T297" s="17" t="n">
        <x:f>IF('Control Room'!$B$5="Normal",'Control Room'!$B$7,('Control Room'!$B$8+'Control Room'!$D$8)/2)+'Control Room'!$B$9*(T296-IF('Control Room'!$B$5="Normal",'Control Room'!$B$7,('Control Room'!$B$8+'Control Room'!$D$8)/2))+SQRT(1-'Control Room'!$B$9^2)*(S297-IF('Control Room'!$B$5="Normal",'Control Room'!$B$7,('Control Room'!$B$8+'Control Room'!$D$8)/2))</x:f>
        <x:v>952.2717843406236</x:v>
      </x:c>
      <x:c r="U297" s="17" t="n">
        <x:f>IF(AND($A297&gt;='Control Room'!$A$13,$A297&lt;'Control Room'!$A$13+'Control Room'!$B$13,'Process'!BN2=1),1+('Control Room'!$C$13-1)*EXP(-0.5*(($A297-'Control Room'!$A$13-('Control Room'!$B$13-1)/2)/MAX(0.5,'Control Room'!$B$13/4))^2),1)*IF(AND($A297&gt;='Control Room'!$A$14,$A297&lt;'Control Room'!$A$14+'Control Room'!$B$14,'Process'!BN3=1),1+('Control Room'!$C$14-1)*EXP(-0.5*(($A297-'Control Room'!$A$14-('Control Room'!$B$14-1)/2)/MAX(0.5,'Control Room'!$B$14/4))^2),1)*IF(AND($A297&gt;='Control Room'!$A$15,$A297&lt;'Control Room'!$A$15+'Control Room'!$B$15,'Process'!BN4=1),1+('Control Room'!$C$15-1)*EXP(-0.5*(($A297-'Control Room'!$A$15-('Control Room'!$B$15-1)/2)/MAX(0.5,'Control Room'!$B$15/4))^2),1)*IF(AND($A297&gt;='Control Room'!$A$16,$A297&lt;'Control Room'!$A$16+'Control Room'!$B$16,'Process'!BN5=1),1+('Control Room'!$C$16-1)*EXP(-0.5*(($A297-'Control Room'!$A$16-('Control Room'!$B$16-1)/2)/MAX(0.5,'Control Room'!$B$16/4))^2),1)</x:f>
        <x:v>1</x:v>
      </x:c>
      <x:c r="V297" s="9" t="n">
        <x:f>MOD(W296*16807,2147483647)</x:f>
        <x:v>274695608</x:v>
      </x:c>
      <x:c r="W297" s="9" t="n">
        <x:f>MOD(V297*16807,2147483647)</x:f>
        <x:v>1866726253</x:v>
      </x:c>
      <x:c r="X297" s="17" t="n">
        <x:f>IF('Control Room'!$B$5="Normal",'Control Room'!$B$7+'Control Room'!$D$7*SQRT(-2*LN(MAX(0.000000000001,V297/2147483647)))*COS(2*PI()*W297/2147483647),'Control Room'!$B$8+('Control Room'!$D$8-'Control Room'!$B$8)*V297/2147483647)</x:f>
        <x:v>1124.3252573555974</x:v>
      </x:c>
      <x:c r="Y297" s="17" t="n">
        <x:f>IF('Control Room'!$B$5="Normal",'Control Room'!$B$7,('Control Room'!$B$8+'Control Room'!$D$8)/2)+'Control Room'!$B$9*(Y296-IF('Control Room'!$B$5="Normal",'Control Room'!$B$7,('Control Room'!$B$8+'Control Room'!$D$8)/2))+SQRT(1-'Control Room'!$B$9^2)*(X297-IF('Control Room'!$B$5="Normal",'Control Room'!$B$7,('Control Room'!$B$8+'Control Room'!$D$8)/2))</x:f>
        <x:v>1102.301729470545</x:v>
      </x:c>
      <x:c r="Z297" s="17" t="n">
        <x:f>IF(AND($A297&gt;='Control Room'!$A$13,$A297&lt;'Control Room'!$A$13+'Control Room'!$B$13,'Process'!BO2=1),1+('Control Room'!$C$13-1)*EXP(-0.5*(($A297-'Control Room'!$A$13-('Control Room'!$B$13-1)/2)/MAX(0.5,'Control Room'!$B$13/4))^2),1)*IF(AND($A297&gt;='Control Room'!$A$14,$A297&lt;'Control Room'!$A$14+'Control Room'!$B$14,'Process'!BO3=1),1+('Control Room'!$C$14-1)*EXP(-0.5*(($A297-'Control Room'!$A$14-('Control Room'!$B$14-1)/2)/MAX(0.5,'Control Room'!$B$14/4))^2),1)*IF(AND($A297&gt;='Control Room'!$A$15,$A297&lt;'Control Room'!$A$15+'Control Room'!$B$15,'Process'!BO4=1),1+('Control Room'!$C$15-1)*EXP(-0.5*(($A297-'Control Room'!$A$15-('Control Room'!$B$15-1)/2)/MAX(0.5,'Control Room'!$B$15/4))^2),1)*IF(AND($A297&gt;='Control Room'!$A$16,$A297&lt;'Control Room'!$A$16+'Control Room'!$B$16,'Process'!BO5=1),1+('Control Room'!$C$16-1)*EXP(-0.5*(($A297-'Control Room'!$A$16-('Control Room'!$B$16-1)/2)/MAX(0.5,'Control Room'!$B$16/4))^2),1)</x:f>
        <x:v>1</x:v>
      </x:c>
      <x:c r="AA297" s="9" t="n">
        <x:f>MOD(AB296*16807,2147483647)</x:f>
        <x:v>467180127</x:v>
      </x:c>
      <x:c r="AB297" s="9" t="n">
        <x:f>MOD(AA297*16807,2147483647)</x:f>
        <x:v>696181057</x:v>
      </x:c>
      <x:c r="AC297" s="17" t="n">
        <x:f>IF('Control Room'!$B$5="Normal",'Control Room'!$B$7+'Control Room'!$D$7*SQRT(-2*LN(MAX(0.000000000001,AA297/2147483647)))*COS(2*PI()*AB297/2147483647),'Control Room'!$B$8+('Control Room'!$D$8-'Control Room'!$B$8)*AA297/2147483647)</x:f>
        <x:v>929.3532285139912</x:v>
      </x:c>
      <x:c r="AD297" s="17" t="n">
        <x:f>IF('Control Room'!$B$5="Normal",'Control Room'!$B$7,('Control Room'!$B$8+'Control Room'!$D$8)/2)+'Control Room'!$B$9*(AD296-IF('Control Room'!$B$5="Normal",'Control Room'!$B$7,('Control Room'!$B$8+'Control Room'!$D$8)/2))+SQRT(1-'Control Room'!$B$9^2)*(AC297-IF('Control Room'!$B$5="Normal",'Control Room'!$B$7,('Control Room'!$B$8+'Control Room'!$D$8)/2))</x:f>
        <x:v>950.0805839740785</x:v>
      </x:c>
      <x:c r="AE297" s="17" t="n">
        <x:f>IF(AND($A297&gt;='Control Room'!$A$13,$A297&lt;'Control Room'!$A$13+'Control Room'!$B$13,'Process'!BP2=1),1+('Control Room'!$C$13-1)*EXP(-0.5*(($A297-'Control Room'!$A$13-('Control Room'!$B$13-1)/2)/MAX(0.5,'Control Room'!$B$13/4))^2),1)*IF(AND($A297&gt;='Control Room'!$A$14,$A297&lt;'Control Room'!$A$14+'Control Room'!$B$14,'Process'!BP3=1),1+('Control Room'!$C$14-1)*EXP(-0.5*(($A297-'Control Room'!$A$14-('Control Room'!$B$14-1)/2)/MAX(0.5,'Control Room'!$B$14/4))^2),1)*IF(AND($A297&gt;='Control Room'!$A$15,$A297&lt;'Control Room'!$A$15+'Control Room'!$B$15,'Process'!BP4=1),1+('Control Room'!$C$15-1)*EXP(-0.5*(($A297-'Control Room'!$A$15-('Control Room'!$B$15-1)/2)/MAX(0.5,'Control Room'!$B$15/4))^2),1)*IF(AND($A297&gt;='Control Room'!$A$16,$A297&lt;'Control Room'!$A$16+'Control Room'!$B$16,'Process'!BP5=1),1+('Control Room'!$C$16-1)*EXP(-0.5*(($A297-'Control Room'!$A$16-('Control Room'!$B$16-1)/2)/MAX(0.5,'Control Room'!$B$16/4))^2),1)</x:f>
        <x:v>1</x:v>
      </x:c>
      <x:c r="AF297" s="9" t="n">
        <x:f>MOD(AG296*16807,2147483647)</x:f>
        <x:v>659664646</x:v>
      </x:c>
      <x:c r="AG297" s="9" t="n">
        <x:f>MOD(AF297*16807,2147483647)</x:f>
        <x:v>1673119508</x:v>
      </x:c>
      <x:c r="AH297" s="17" t="n">
        <x:f>IF('Control Room'!$B$5="Normal",'Control Room'!$B$7+'Control Room'!$D$7*SQRT(-2*LN(MAX(0.000000000001,AF297/2147483647)))*COS(2*PI()*AG297/2147483647),'Control Room'!$B$8+('Control Room'!$D$8-'Control Room'!$B$8)*AF297/2147483647)</x:f>
        <x:v>1025.1484306779473</x:v>
      </x:c>
      <x:c r="AI297" s="17" t="n">
        <x:f>IF('Control Room'!$B$5="Normal",'Control Room'!$B$7,('Control Room'!$B$8+'Control Room'!$D$8)/2)+'Control Room'!$B$9*(AI296-IF('Control Room'!$B$5="Normal",'Control Room'!$B$7,('Control Room'!$B$8+'Control Room'!$D$8)/2))+SQRT(1-'Control Room'!$B$9^2)*(AH297-IF('Control Room'!$B$5="Normal",'Control Room'!$B$7,('Control Room'!$B$8+'Control Room'!$D$8)/2))</x:f>
        <x:v>1076.4318008074317</x:v>
      </x:c>
      <x:c r="AJ297" s="17" t="n">
        <x:f>IF(AND($A297&gt;='Control Room'!$A$13,$A297&lt;'Control Room'!$A$13+'Control Room'!$B$13,'Process'!BQ2=1),1+('Control Room'!$C$13-1)*EXP(-0.5*(($A297-'Control Room'!$A$13-('Control Room'!$B$13-1)/2)/MAX(0.5,'Control Room'!$B$13/4))^2),1)*IF(AND($A297&gt;='Control Room'!$A$14,$A297&lt;'Control Room'!$A$14+'Control Room'!$B$14,'Process'!BQ3=1),1+('Control Room'!$C$14-1)*EXP(-0.5*(($A297-'Control Room'!$A$14-('Control Room'!$B$14-1)/2)/MAX(0.5,'Control Room'!$B$14/4))^2),1)*IF(AND($A297&gt;='Control Room'!$A$15,$A297&lt;'Control Room'!$A$15+'Control Room'!$B$15,'Process'!BQ4=1),1+('Control Room'!$C$15-1)*EXP(-0.5*(($A297-'Control Room'!$A$15-('Control Room'!$B$15-1)/2)/MAX(0.5,'Control Room'!$B$15/4))^2),1)*IF(AND($A297&gt;='Control Room'!$A$16,$A297&lt;'Control Room'!$A$16+'Control Room'!$B$16,'Process'!BQ5=1),1+('Control Room'!$C$16-1)*EXP(-0.5*(($A297-'Control Room'!$A$16-('Control Room'!$B$16-1)/2)/MAX(0.5,'Control Room'!$B$16/4))^2),1)</x:f>
        <x:v>1</x:v>
      </x:c>
      <x:c r="AK297" s="9" t="n">
        <x:f>MOD(AL296*16807,2147483647)</x:f>
        <x:v>852149165</x:v>
      </x:c>
      <x:c r="AL297" s="9" t="n">
        <x:f>MOD(AK297*16807,2147483647)</x:f>
        <x:v>502574312</x:v>
      </x:c>
      <x:c r="AM297" s="17" t="n">
        <x:f>IF('Control Room'!$B$5="Normal",'Control Room'!$B$7+'Control Room'!$D$7*SQRT(-2*LN(MAX(0.000000000001,AK297/2147483647)))*COS(2*PI()*AL297/2147483647),'Control Room'!$B$8+('Control Room'!$D$8-'Control Room'!$B$8)*AK297/2147483647)</x:f>
        <x:v>1012.2583980290887</x:v>
      </x:c>
      <x:c r="AN297" s="17" t="n">
        <x:f>IF('Control Room'!$B$5="Normal",'Control Room'!$B$7,('Control Room'!$B$8+'Control Room'!$D$8)/2)+'Control Room'!$B$9*(AN296-IF('Control Room'!$B$5="Normal",'Control Room'!$B$7,('Control Room'!$B$8+'Control Room'!$D$8)/2))+SQRT(1-'Control Room'!$B$9^2)*(AM297-IF('Control Room'!$B$5="Normal",'Control Room'!$B$7,('Control Room'!$B$8+'Control Room'!$D$8)/2))</x:f>
        <x:v>1004.7530296539603</x:v>
      </x:c>
      <x:c r="AO297" s="17" t="n">
        <x:f>IF(AND($A297&gt;='Control Room'!$A$13,$A297&lt;'Control Room'!$A$13+'Control Room'!$B$13,'Process'!BR2=1),1+('Control Room'!$C$13-1)*EXP(-0.5*(($A297-'Control Room'!$A$13-('Control Room'!$B$13-1)/2)/MAX(0.5,'Control Room'!$B$13/4))^2),1)*IF(AND($A297&gt;='Control Room'!$A$14,$A297&lt;'Control Room'!$A$14+'Control Room'!$B$14,'Process'!BR3=1),1+('Control Room'!$C$14-1)*EXP(-0.5*(($A297-'Control Room'!$A$14-('Control Room'!$B$14-1)/2)/MAX(0.5,'Control Room'!$B$14/4))^2),1)*IF(AND($A297&gt;='Control Room'!$A$15,$A297&lt;'Control Room'!$A$15+'Control Room'!$B$15,'Process'!BR4=1),1+('Control Room'!$C$15-1)*EXP(-0.5*(($A297-'Control Room'!$A$15-('Control Room'!$B$15-1)/2)/MAX(0.5,'Control Room'!$B$15/4))^2),1)*IF(AND($A297&gt;='Control Room'!$A$16,$A297&lt;'Control Room'!$A$16+'Control Room'!$B$16,'Process'!BR5=1),1+('Control Room'!$C$16-1)*EXP(-0.5*(($A297-'Control Room'!$A$16-('Control Room'!$B$16-1)/2)/MAX(0.5,'Control Room'!$B$16/4))^2),1)</x:f>
        <x:v>1</x:v>
      </x:c>
      <x:c r="AP297" s="9" t="n">
        <x:f>MOD(AQ296*16807,2147483647)</x:f>
        <x:v>1044633684</x:v>
      </x:c>
      <x:c r="AQ297" s="9" t="n">
        <x:f>MOD(AP297*16807,2147483647)</x:f>
        <x:v>1479512763</x:v>
      </x:c>
      <x:c r="AR297" s="17" t="n">
        <x:f>IF('Control Room'!$B$5="Normal",'Control Room'!$B$7+'Control Room'!$D$7*SQRT(-2*LN(MAX(0.000000000001,AP297/2147483647)))*COS(2*PI()*AQ297/2147483647),'Control Room'!$B$8+('Control Room'!$D$8-'Control Room'!$B$8)*AP297/2147483647)</x:f>
        <x:v>959.5643920250932</x:v>
      </x:c>
      <x:c r="AS297" s="17" t="n">
        <x:f>IF('Control Room'!$B$5="Normal",'Control Room'!$B$7,('Control Room'!$B$8+'Control Room'!$D$8)/2)+'Control Room'!$B$9*(AS296-IF('Control Room'!$B$5="Normal",'Control Room'!$B$7,('Control Room'!$B$8+'Control Room'!$D$8)/2))+SQRT(1-'Control Room'!$B$9^2)*(AR297-IF('Control Room'!$B$5="Normal",'Control Room'!$B$7,('Control Room'!$B$8+'Control Room'!$D$8)/2))</x:f>
        <x:v>877.3394597514197</x:v>
      </x:c>
      <x:c r="AT297" s="17" t="n">
        <x:f>IF(AND($A297&gt;='Control Room'!$A$13,$A297&lt;'Control Room'!$A$13+'Control Room'!$B$13,'Process'!BS2=1),1+('Control Room'!$C$13-1)*EXP(-0.5*(($A297-'Control Room'!$A$13-('Control Room'!$B$13-1)/2)/MAX(0.5,'Control Room'!$B$13/4))^2),1)*IF(AND($A297&gt;='Control Room'!$A$14,$A297&lt;'Control Room'!$A$14+'Control Room'!$B$14,'Process'!BS3=1),1+('Control Room'!$C$14-1)*EXP(-0.5*(($A297-'Control Room'!$A$14-('Control Room'!$B$14-1)/2)/MAX(0.5,'Control Room'!$B$14/4))^2),1)*IF(AND($A297&gt;='Control Room'!$A$15,$A297&lt;'Control Room'!$A$15+'Control Room'!$B$15,'Process'!BS4=1),1+('Control Room'!$C$15-1)*EXP(-0.5*(($A297-'Control Room'!$A$15-('Control Room'!$B$15-1)/2)/MAX(0.5,'Control Room'!$B$15/4))^2),1)*IF(AND($A297&gt;='Control Room'!$A$16,$A297&lt;'Control Room'!$A$16+'Control Room'!$B$16,'Process'!BS5=1),1+('Control Room'!$C$16-1)*EXP(-0.5*(($A297-'Control Room'!$A$16-('Control Room'!$B$16-1)/2)/MAX(0.5,'Control Room'!$B$16/4))^2),1)</x:f>
        <x:v>1</x:v>
      </x:c>
      <x:c r="AU297" s="9" t="n">
        <x:f>MOD(AV296*16807,2147483647)</x:f>
        <x:v>1237118203</x:v>
      </x:c>
      <x:c r="AV297" s="9" t="n">
        <x:f>MOD(AU297*16807,2147483647)</x:f>
        <x:v>308967567</x:v>
      </x:c>
      <x:c r="AW297" s="17" t="n">
        <x:f>IF('Control Room'!$B$5="Normal",'Control Room'!$B$7+'Control Room'!$D$7*SQRT(-2*LN(MAX(0.000000000001,AU297/2147483647)))*COS(2*PI()*AV297/2147483647),'Control Room'!$B$8+('Control Room'!$D$8-'Control Room'!$B$8)*AU297/2147483647)</x:f>
        <x:v>1058.4603245086641</x:v>
      </x:c>
      <x:c r="AX297" s="17" t="n">
        <x:f>IF('Control Room'!$B$5="Normal",'Control Room'!$B$7,('Control Room'!$B$8+'Control Room'!$D$8)/2)+'Control Room'!$B$9*(AX296-IF('Control Room'!$B$5="Normal",'Control Room'!$B$7,('Control Room'!$B$8+'Control Room'!$D$8)/2))+SQRT(1-'Control Room'!$B$9^2)*(AW297-IF('Control Room'!$B$5="Normal",'Control Room'!$B$7,('Control Room'!$B$8+'Control Room'!$D$8)/2))</x:f>
        <x:v>946.9297546100423</x:v>
      </x:c>
      <x:c r="AY297" s="17" t="n">
        <x:f>IF(AND($A297&gt;='Control Room'!$A$13,$A297&lt;'Control Room'!$A$13+'Control Room'!$B$13,'Process'!BT2=1),1+('Control Room'!$C$13-1)*EXP(-0.5*(($A297-'Control Room'!$A$13-('Control Room'!$B$13-1)/2)/MAX(0.5,'Control Room'!$B$13/4))^2),1)*IF(AND($A297&gt;='Control Room'!$A$14,$A297&lt;'Control Room'!$A$14+'Control Room'!$B$14,'Process'!BT3=1),1+('Control Room'!$C$14-1)*EXP(-0.5*(($A297-'Control Room'!$A$14-('Control Room'!$B$14-1)/2)/MAX(0.5,'Control Room'!$B$14/4))^2),1)*IF(AND($A297&gt;='Control Room'!$A$15,$A297&lt;'Control Room'!$A$15+'Control Room'!$B$15,'Process'!BT4=1),1+('Control Room'!$C$15-1)*EXP(-0.5*(($A297-'Control Room'!$A$15-('Control Room'!$B$15-1)/2)/MAX(0.5,'Control Room'!$B$15/4))^2),1)*IF(AND($A297&gt;='Control Room'!$A$16,$A297&lt;'Control Room'!$A$16+'Control Room'!$B$16,'Process'!BT5=1),1+('Control Room'!$C$16-1)*EXP(-0.5*(($A297-'Control Room'!$A$16-('Control Room'!$B$16-1)/2)/MAX(0.5,'Control Room'!$B$16/4))^2),1)</x:f>
        <x:v>1</x:v>
      </x:c>
      <x:c r="AZ297" s="9" t="n">
        <x:f>MOD(BA296*16807,2147483647)</x:f>
        <x:v>1429602722</x:v>
      </x:c>
      <x:c r="BA297" s="9" t="n">
        <x:f>MOD(AZ297*16807,2147483647)</x:f>
        <x:v>1285906018</x:v>
      </x:c>
      <x:c r="BB297" s="17" t="n">
        <x:f>IF('Control Room'!$B$5="Normal",'Control Room'!$B$7+'Control Room'!$D$7*SQRT(-2*LN(MAX(0.000000000001,AZ297/2147483647)))*COS(2*PI()*BA297/2147483647),'Control Room'!$B$8+('Control Room'!$D$8-'Control Room'!$B$8)*AZ297/2147483647)</x:f>
        <x:v>933.957136636537</x:v>
      </x:c>
      <x:c r="BC297" s="17" t="n">
        <x:f>IF('Control Room'!$B$5="Normal",'Control Room'!$B$7,('Control Room'!$B$8+'Control Room'!$D$8)/2)+'Control Room'!$B$9*(BC296-IF('Control Room'!$B$5="Normal",'Control Room'!$B$7,('Control Room'!$B$8+'Control Room'!$D$8)/2))+SQRT(1-'Control Room'!$B$9^2)*(BB297-IF('Control Room'!$B$5="Normal",'Control Room'!$B$7,('Control Room'!$B$8+'Control Room'!$D$8)/2))</x:f>
        <x:v>908.7219435702189</x:v>
      </x:c>
      <x:c r="BD297" s="17" t="n">
        <x:f>IF(AND($A297&gt;='Control Room'!$A$13,$A297&lt;'Control Room'!$A$13+'Control Room'!$B$13,'Process'!BU2=1),1+('Control Room'!$C$13-1)*EXP(-0.5*(($A297-'Control Room'!$A$13-('Control Room'!$B$13-1)/2)/MAX(0.5,'Control Room'!$B$13/4))^2),1)*IF(AND($A297&gt;='Control Room'!$A$14,$A297&lt;'Control Room'!$A$14+'Control Room'!$B$14,'Process'!BU3=1),1+('Control Room'!$C$14-1)*EXP(-0.5*(($A297-'Control Room'!$A$14-('Control Room'!$B$14-1)/2)/MAX(0.5,'Control Room'!$B$14/4))^2),1)*IF(AND($A297&gt;='Control Room'!$A$15,$A297&lt;'Control Room'!$A$15+'Control Room'!$B$15,'Process'!BU4=1),1+('Control Room'!$C$15-1)*EXP(-0.5*(($A297-'Control Room'!$A$15-('Control Room'!$B$15-1)/2)/MAX(0.5,'Control Room'!$B$15/4))^2),1)*IF(AND($A297&gt;='Control Room'!$A$16,$A297&lt;'Control Room'!$A$16+'Control Room'!$B$16,'Process'!BU5=1),1+('Control Room'!$C$16-1)*EXP(-0.5*(($A297-'Control Room'!$A$16-('Control Room'!$B$16-1)/2)/MAX(0.5,'Control Room'!$B$16/4))^2),1)</x:f>
        <x:v>1</x:v>
      </x:c>
      <x:c r="BE297" s="9" t="n">
        <x:f>MOD(BF296*16807,2147483647)</x:f>
        <x:v>1622087241</x:v>
      </x:c>
      <x:c r="BF297" s="9" t="n">
        <x:f>MOD(BE297*16807,2147483647)</x:f>
        <x:v>115360822</x:v>
      </x:c>
      <x:c r="BG297" s="17" t="n">
        <x:f>IF('Control Room'!$B$5="Normal",'Control Room'!$B$7+'Control Room'!$D$7*SQRT(-2*LN(MAX(0.000000000001,BE297/2147483647)))*COS(2*PI()*BF297/2147483647),'Control Room'!$B$8+('Control Room'!$D$8-'Control Room'!$B$8)*BE297/2147483647)</x:f>
        <x:v>1063.6158500020356</x:v>
      </x:c>
      <x:c r="BH297" s="17" t="n">
        <x:f>IF('Control Room'!$B$5="Normal",'Control Room'!$B$7,('Control Room'!$B$8+'Control Room'!$D$8)/2)+'Control Room'!$B$9*(BH296-IF('Control Room'!$B$5="Normal",'Control Room'!$B$7,('Control Room'!$B$8+'Control Room'!$D$8)/2))+SQRT(1-'Control Room'!$B$9^2)*(BG297-IF('Control Room'!$B$5="Normal",'Control Room'!$B$7,('Control Room'!$B$8+'Control Room'!$D$8)/2))</x:f>
        <x:v>1006.692033463857</x:v>
      </x:c>
      <x:c r="BI297" s="17" t="n">
        <x:f>IF(AND($A297&gt;='Control Room'!$A$13,$A297&lt;'Control Room'!$A$13+'Control Room'!$B$13,'Process'!BV2=1),1+('Control Room'!$C$13-1)*EXP(-0.5*(($A297-'Control Room'!$A$13-('Control Room'!$B$13-1)/2)/MAX(0.5,'Control Room'!$B$13/4))^2),1)*IF(AND($A297&gt;='Control Room'!$A$14,$A297&lt;'Control Room'!$A$14+'Control Room'!$B$14,'Process'!BV3=1),1+('Control Room'!$C$14-1)*EXP(-0.5*(($A297-'Control Room'!$A$14-('Control Room'!$B$14-1)/2)/MAX(0.5,'Control Room'!$B$14/4))^2),1)*IF(AND($A297&gt;='Control Room'!$A$15,$A297&lt;'Control Room'!$A$15+'Control Room'!$B$15,'Process'!BV4=1),1+('Control Room'!$C$15-1)*EXP(-0.5*(($A297-'Control Room'!$A$15-('Control Room'!$B$15-1)/2)/MAX(0.5,'Control Room'!$B$15/4))^2),1)*IF(AND($A297&gt;='Control Room'!$A$16,$A297&lt;'Control Room'!$A$16+'Control Room'!$B$16,'Process'!BV5=1),1+('Control Room'!$C$16-1)*EXP(-0.5*(($A297-'Control Room'!$A$16-('Control Room'!$B$16-1)/2)/MAX(0.5,'Control Room'!$B$16/4))^2),1)</x:f>
        <x:v>1</x:v>
      </x:c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Z297" t="str">
        <x:f>IF('Data'!A297="","",TEXT('Data'!A297,"mm-dd"))</x:f>
      </x:c>
    </x:row>
    <x:row r="298" ht="21" customHeight="1">
      <x:c r="A298" s="15" t="n">
        <x:f>'Control Room'!$B$1+296</x:f>
        <x:v>73287</x:v>
      </x:c>
      <x:c r="B298" s="9" t="n">
        <x:f>MOD(C297*16807,2147483647)</x:f>
        <x:v>353727521</x:v>
      </x:c>
      <x:c r="C298" s="9" t="n">
        <x:f>MOD(B298*16807,2147483647)</x:f>
        <x:v>863710551</x:v>
      </x:c>
      <x:c r="D298" s="17" t="n">
        <x:f>IF('Control Room'!$B$5="Normal",'Control Room'!$B$7+'Control Room'!$D$7*SQRT(-2*LN(MAX(0.000000000001,B298/2147483647)))*COS(2*PI()*C298/2147483647),'Control Room'!$B$8+('Control Room'!$D$8-'Control Room'!$B$8)*B298/2147483647)</x:f>
        <x:v>860.341205686789</x:v>
      </x:c>
      <x:c r="E298" s="17" t="n">
        <x:f>IF('Control Room'!$B$5="Normal",'Control Room'!$B$7,('Control Room'!$B$8+'Control Room'!$D$8)/2)+'Control Room'!$B$9*(E297-IF('Control Room'!$B$5="Normal",'Control Room'!$B$7,('Control Room'!$B$8+'Control Room'!$D$8)/2))+SQRT(1-'Control Room'!$B$9^2)*(D298-IF('Control Room'!$B$5="Normal",'Control Room'!$B$7,('Control Room'!$B$8+'Control Room'!$D$8)/2))</x:f>
        <x:v>912.446692706105</x:v>
      </x:c>
      <x:c r="F298" s="17" t="n">
        <x:f>IF(AND($A298&gt;='Control Room'!$A$13,$A298&lt;'Control Room'!$A$13+'Control Room'!$B$13,'Process'!BK2=1),1+('Control Room'!$C$13-1)*EXP(-0.5*(($A298-'Control Room'!$A$13-('Control Room'!$B$13-1)/2)/MAX(0.5,'Control Room'!$B$13/4))^2),1)*IF(AND($A298&gt;='Control Room'!$A$14,$A298&lt;'Control Room'!$A$14+'Control Room'!$B$14,'Process'!BK3=1),1+('Control Room'!$C$14-1)*EXP(-0.5*(($A298-'Control Room'!$A$14-('Control Room'!$B$14-1)/2)/MAX(0.5,'Control Room'!$B$14/4))^2),1)*IF(AND($A298&gt;='Control Room'!$A$15,$A298&lt;'Control Room'!$A$15+'Control Room'!$B$15,'Process'!BK4=1),1+('Control Room'!$C$15-1)*EXP(-0.5*(($A298-'Control Room'!$A$15-('Control Room'!$B$15-1)/2)/MAX(0.5,'Control Room'!$B$15/4))^2),1)*IF(AND($A298&gt;='Control Room'!$A$16,$A298&lt;'Control Room'!$A$16+'Control Room'!$B$16,'Process'!BK5=1),1+('Control Room'!$C$16-1)*EXP(-0.5*(($A298-'Control Room'!$A$16-('Control Room'!$B$16-1)/2)/MAX(0.5,'Control Room'!$B$16/4))^2),1)</x:f>
        <x:v>1</x:v>
      </x:c>
      <x:c r="G298" s="9" t="n">
        <x:f>MOD(H297*16807,2147483647)</x:f>
        <x:v>98308516</x:v>
      </x:c>
      <x:c r="H298" s="9" t="n">
        <x:f>MOD(G298*16807,2147483647)</x:f>
        <x:v>856303869</x:v>
      </x:c>
      <x:c r="I298" s="17" t="n">
        <x:f>IF('Control Room'!$B$5="Normal",'Control Room'!$B$7+'Control Room'!$D$7*SQRT(-2*LN(MAX(0.000000000001,G298/2147483647)))*COS(2*PI()*H298/2147483647),'Control Room'!$B$8+('Control Room'!$D$8-'Control Room'!$B$8)*G298/2147483647)</x:f>
        <x:v>820.2104032513525</x:v>
      </x:c>
      <x:c r="J298" s="17" t="n">
        <x:f>IF('Control Room'!$B$5="Normal",'Control Room'!$B$7,('Control Room'!$B$8+'Control Room'!$D$8)/2)+'Control Room'!$B$9*(J297-IF('Control Room'!$B$5="Normal",'Control Room'!$B$7,('Control Room'!$B$8+'Control Room'!$D$8)/2))+SQRT(1-'Control Room'!$B$9^2)*(I298-IF('Control Room'!$B$5="Normal",'Control Room'!$B$7,('Control Room'!$B$8+'Control Room'!$D$8)/2))</x:f>
        <x:v>844.5497971528024</x:v>
      </x:c>
      <x:c r="K298" s="17" t="n">
        <x:f>IF(AND($A298&gt;='Control Room'!$A$13,$A298&lt;'Control Room'!$A$13+'Control Room'!$B$13,'Process'!BL2=1),1+('Control Room'!$C$13-1)*EXP(-0.5*(($A298-'Control Room'!$A$13-('Control Room'!$B$13-1)/2)/MAX(0.5,'Control Room'!$B$13/4))^2),1)*IF(AND($A298&gt;='Control Room'!$A$14,$A298&lt;'Control Room'!$A$14+'Control Room'!$B$14,'Process'!BL3=1),1+('Control Room'!$C$14-1)*EXP(-0.5*(($A298-'Control Room'!$A$14-('Control Room'!$B$14-1)/2)/MAX(0.5,'Control Room'!$B$14/4))^2),1)*IF(AND($A298&gt;='Control Room'!$A$15,$A298&lt;'Control Room'!$A$15+'Control Room'!$B$15,'Process'!BL4=1),1+('Control Room'!$C$15-1)*EXP(-0.5*(($A298-'Control Room'!$A$15-('Control Room'!$B$15-1)/2)/MAX(0.5,'Control Room'!$B$15/4))^2),1)*IF(AND($A298&gt;='Control Room'!$A$16,$A298&lt;'Control Room'!$A$16+'Control Room'!$B$16,'Process'!BL5=1),1+('Control Room'!$C$16-1)*EXP(-0.5*(($A298-'Control Room'!$A$16-('Control Room'!$B$16-1)/2)/MAX(0.5,'Control Room'!$B$16/4))^2),1)</x:f>
        <x:v>1</x:v>
      </x:c>
      <x:c r="L298" s="9" t="n">
        <x:f>MOD(M297*16807,2147483647)</x:f>
        <x:v>1990373158</x:v>
      </x:c>
      <x:c r="M298" s="9" t="n">
        <x:f>MOD(L298*16807,2147483647)</x:f>
        <x:v>848897187</x:v>
      </x:c>
      <x:c r="N298" s="17" t="n">
        <x:f>IF('Control Room'!$B$5="Normal",'Control Room'!$B$7+'Control Room'!$D$7*SQRT(-2*LN(MAX(0.000000000001,L298/2147483647)))*COS(2*PI()*M298/2147483647),'Control Room'!$B$8+('Control Room'!$D$8-'Control Room'!$B$8)*L298/2147483647)</x:f>
        <x:v>972.2390198438384</x:v>
      </x:c>
      <x:c r="O298" s="17" t="n">
        <x:f>IF('Control Room'!$B$5="Normal",'Control Room'!$B$7,('Control Room'!$B$8+'Control Room'!$D$8)/2)+'Control Room'!$B$9*(O297-IF('Control Room'!$B$5="Normal",'Control Room'!$B$7,('Control Room'!$B$8+'Control Room'!$D$8)/2))+SQRT(1-'Control Room'!$B$9^2)*(N298-IF('Control Room'!$B$5="Normal",'Control Room'!$B$7,('Control Room'!$B$8+'Control Room'!$D$8)/2))</x:f>
        <x:v>975.1956995166412</x:v>
      </x:c>
      <x:c r="P298" s="17" t="n">
        <x:f>IF(AND($A298&gt;='Control Room'!$A$13,$A298&lt;'Control Room'!$A$13+'Control Room'!$B$13,'Process'!BM2=1),1+('Control Room'!$C$13-1)*EXP(-0.5*(($A298-'Control Room'!$A$13-('Control Room'!$B$13-1)/2)/MAX(0.5,'Control Room'!$B$13/4))^2),1)*IF(AND($A298&gt;='Control Room'!$A$14,$A298&lt;'Control Room'!$A$14+'Control Room'!$B$14,'Process'!BM3=1),1+('Control Room'!$C$14-1)*EXP(-0.5*(($A298-'Control Room'!$A$14-('Control Room'!$B$14-1)/2)/MAX(0.5,'Control Room'!$B$14/4))^2),1)*IF(AND($A298&gt;='Control Room'!$A$15,$A298&lt;'Control Room'!$A$15+'Control Room'!$B$15,'Process'!BM4=1),1+('Control Room'!$C$15-1)*EXP(-0.5*(($A298-'Control Room'!$A$15-('Control Room'!$B$15-1)/2)/MAX(0.5,'Control Room'!$B$15/4))^2),1)*IF(AND($A298&gt;='Control Room'!$A$16,$A298&lt;'Control Room'!$A$16+'Control Room'!$B$16,'Process'!BM5=1),1+('Control Room'!$C$16-1)*EXP(-0.5*(($A298-'Control Room'!$A$16-('Control Room'!$B$16-1)/2)/MAX(0.5,'Control Room'!$B$16/4))^2),1)</x:f>
        <x:v>1</x:v>
      </x:c>
      <x:c r="Q298" s="9" t="n">
        <x:f>MOD(R297*16807,2147483647)</x:f>
        <x:v>1734954153</x:v>
      </x:c>
      <x:c r="R298" s="9" t="n">
        <x:f>MOD(Q298*16807,2147483647)</x:f>
        <x:v>841490505</x:v>
      </x:c>
      <x:c r="S298" s="17" t="n">
        <x:f>IF('Control Room'!$B$5="Normal",'Control Room'!$B$7+'Control Room'!$D$7*SQRT(-2*LN(MAX(0.000000000001,Q298/2147483647)))*COS(2*PI()*R298/2147483647),'Control Room'!$B$8+('Control Room'!$D$8-'Control Room'!$B$8)*Q298/2147483647)</x:f>
        <x:v>954.2727343838906</x:v>
      </x:c>
      <x:c r="T298" s="17" t="n">
        <x:f>IF('Control Room'!$B$5="Normal",'Control Room'!$B$7,('Control Room'!$B$8+'Control Room'!$D$8)/2)+'Control Room'!$B$9*(T297-IF('Control Room'!$B$5="Normal",'Control Room'!$B$7,('Control Room'!$B$8+'Control Room'!$D$8)/2))+SQRT(1-'Control Room'!$B$9^2)*(S298-IF('Control Room'!$B$5="Normal",'Control Room'!$B$7,('Control Room'!$B$8+'Control Room'!$D$8)/2))</x:f>
        <x:v>934.1568057370795</x:v>
      </x:c>
      <x:c r="U298" s="17" t="n">
        <x:f>IF(AND($A298&gt;='Control Room'!$A$13,$A298&lt;'Control Room'!$A$13+'Control Room'!$B$13,'Process'!BN2=1),1+('Control Room'!$C$13-1)*EXP(-0.5*(($A298-'Control Room'!$A$13-('Control Room'!$B$13-1)/2)/MAX(0.5,'Control Room'!$B$13/4))^2),1)*IF(AND($A298&gt;='Control Room'!$A$14,$A298&lt;'Control Room'!$A$14+'Control Room'!$B$14,'Process'!BN3=1),1+('Control Room'!$C$14-1)*EXP(-0.5*(($A298-'Control Room'!$A$14-('Control Room'!$B$14-1)/2)/MAX(0.5,'Control Room'!$B$14/4))^2),1)*IF(AND($A298&gt;='Control Room'!$A$15,$A298&lt;'Control Room'!$A$15+'Control Room'!$B$15,'Process'!BN4=1),1+('Control Room'!$C$15-1)*EXP(-0.5*(($A298-'Control Room'!$A$15-('Control Room'!$B$15-1)/2)/MAX(0.5,'Control Room'!$B$15/4))^2),1)*IF(AND($A298&gt;='Control Room'!$A$16,$A298&lt;'Control Room'!$A$16+'Control Room'!$B$16,'Process'!BN5=1),1+('Control Room'!$C$16-1)*EXP(-0.5*(($A298-'Control Room'!$A$16-('Control Room'!$B$16-1)/2)/MAX(0.5,'Control Room'!$B$16/4))^2),1)</x:f>
        <x:v>1</x:v>
      </x:c>
      <x:c r="V298" s="9" t="n">
        <x:f>MOD(W297*16807,2147483647)</x:f>
        <x:v>1479535148</x:v>
      </x:c>
      <x:c r="W298" s="9" t="n">
        <x:f>MOD(V298*16807,2147483647)</x:f>
        <x:v>834083823</x:v>
      </x:c>
      <x:c r="X298" s="17" t="n">
        <x:f>IF('Control Room'!$B$5="Normal",'Control Room'!$B$7+'Control Room'!$D$7*SQRT(-2*LN(MAX(0.000000000001,V298/2147483647)))*COS(2*PI()*W298/2147483647),'Control Room'!$B$8+('Control Room'!$D$8-'Control Room'!$B$8)*V298/2147483647)</x:f>
        <x:v>940.6401113777266</x:v>
      </x:c>
      <x:c r="Y298" s="17" t="n">
        <x:f>IF('Control Room'!$B$5="Normal",'Control Room'!$B$7,('Control Room'!$B$8+'Control Room'!$D$8)/2)+'Control Room'!$B$9*(Y297-IF('Control Room'!$B$5="Normal",'Control Room'!$B$7,('Control Room'!$B$8+'Control Room'!$D$8)/2))+SQRT(1-'Control Room'!$B$9^2)*(X298-IF('Control Room'!$B$5="Normal",'Control Room'!$B$7,('Control Room'!$B$8+'Control Room'!$D$8)/2))</x:f>
        <x:v>1042.6491467406233</x:v>
      </x:c>
      <x:c r="Z298" s="17" t="n">
        <x:f>IF(AND($A298&gt;='Control Room'!$A$13,$A298&lt;'Control Room'!$A$13+'Control Room'!$B$13,'Process'!BO2=1),1+('Control Room'!$C$13-1)*EXP(-0.5*(($A298-'Control Room'!$A$13-('Control Room'!$B$13-1)/2)/MAX(0.5,'Control Room'!$B$13/4))^2),1)*IF(AND($A298&gt;='Control Room'!$A$14,$A298&lt;'Control Room'!$A$14+'Control Room'!$B$14,'Process'!BO3=1),1+('Control Room'!$C$14-1)*EXP(-0.5*(($A298-'Control Room'!$A$14-('Control Room'!$B$14-1)/2)/MAX(0.5,'Control Room'!$B$14/4))^2),1)*IF(AND($A298&gt;='Control Room'!$A$15,$A298&lt;'Control Room'!$A$15+'Control Room'!$B$15,'Process'!BO4=1),1+('Control Room'!$C$15-1)*EXP(-0.5*(($A298-'Control Room'!$A$15-('Control Room'!$B$15-1)/2)/MAX(0.5,'Control Room'!$B$15/4))^2),1)*IF(AND($A298&gt;='Control Room'!$A$16,$A298&lt;'Control Room'!$A$16+'Control Room'!$B$16,'Process'!BO5=1),1+('Control Room'!$C$16-1)*EXP(-0.5*(($A298-'Control Room'!$A$16-('Control Room'!$B$16-1)/2)/MAX(0.5,'Control Room'!$B$16/4))^2),1)</x:f>
        <x:v>1</x:v>
      </x:c>
      <x:c r="AA298" s="9" t="n">
        <x:f>MOD(AB297*16807,2147483647)</x:f>
        <x:v>1224116143</x:v>
      </x:c>
      <x:c r="AB298" s="9" t="n">
        <x:f>MOD(AA298*16807,2147483647)</x:f>
        <x:v>826677141</x:v>
      </x:c>
      <x:c r="AC298" s="17" t="n">
        <x:f>IF('Control Room'!$B$5="Normal",'Control Room'!$B$7+'Control Room'!$D$7*SQRT(-2*LN(MAX(0.000000000001,AA298/2147483647)))*COS(2*PI()*AB298/2147483647),'Control Room'!$B$8+('Control Room'!$D$8-'Control Room'!$B$8)*AA298/2147483647)</x:f>
        <x:v>928.4409372054187</x:v>
      </x:c>
      <x:c r="AD298" s="17" t="n">
        <x:f>IF('Control Room'!$B$5="Normal",'Control Room'!$B$7,('Control Room'!$B$8+'Control Room'!$D$8)/2)+'Control Room'!$B$9*(AD297-IF('Control Room'!$B$5="Normal",'Control Room'!$B$7,('Control Room'!$B$8+'Control Room'!$D$8)/2))+SQRT(1-'Control Room'!$B$9^2)*(AC298-IF('Control Room'!$B$5="Normal",'Control Room'!$B$7,('Control Room'!$B$8+'Control Room'!$D$8)/2))</x:f>
        <x:v>916.282659970016</x:v>
      </x:c>
      <x:c r="AE298" s="17" t="n">
        <x:f>IF(AND($A298&gt;='Control Room'!$A$13,$A298&lt;'Control Room'!$A$13+'Control Room'!$B$13,'Process'!BP2=1),1+('Control Room'!$C$13-1)*EXP(-0.5*(($A298-'Control Room'!$A$13-('Control Room'!$B$13-1)/2)/MAX(0.5,'Control Room'!$B$13/4))^2),1)*IF(AND($A298&gt;='Control Room'!$A$14,$A298&lt;'Control Room'!$A$14+'Control Room'!$B$14,'Process'!BP3=1),1+('Control Room'!$C$14-1)*EXP(-0.5*(($A298-'Control Room'!$A$14-('Control Room'!$B$14-1)/2)/MAX(0.5,'Control Room'!$B$14/4))^2),1)*IF(AND($A298&gt;='Control Room'!$A$15,$A298&lt;'Control Room'!$A$15+'Control Room'!$B$15,'Process'!BP4=1),1+('Control Room'!$C$15-1)*EXP(-0.5*(($A298-'Control Room'!$A$15-('Control Room'!$B$15-1)/2)/MAX(0.5,'Control Room'!$B$15/4))^2),1)*IF(AND($A298&gt;='Control Room'!$A$16,$A298&lt;'Control Room'!$A$16+'Control Room'!$B$16,'Process'!BP5=1),1+('Control Room'!$C$16-1)*EXP(-0.5*(($A298-'Control Room'!$A$16-('Control Room'!$B$16-1)/2)/MAX(0.5,'Control Room'!$B$16/4))^2),1)</x:f>
        <x:v>1</x:v>
      </x:c>
      <x:c r="AF298" s="9" t="n">
        <x:f>MOD(AG297*16807,2147483647)</x:f>
        <x:v>968697138</x:v>
      </x:c>
      <x:c r="AG298" s="9" t="n">
        <x:f>MOD(AF298*16807,2147483647)</x:f>
        <x:v>819270459</x:v>
      </x:c>
      <x:c r="AH298" s="17" t="n">
        <x:f>IF('Control Room'!$B$5="Normal",'Control Room'!$B$7+'Control Room'!$D$7*SQRT(-2*LN(MAX(0.000000000001,AF298/2147483647)))*COS(2*PI()*AG298/2147483647),'Control Room'!$B$8+('Control Room'!$D$8-'Control Room'!$B$8)*AF298/2147483647)</x:f>
        <x:v>916.485062243238</x:v>
      </x:c>
      <x:c r="AI298" s="17" t="n">
        <x:f>IF('Control Room'!$B$5="Normal",'Control Room'!$B$7,('Control Room'!$B$8+'Control Room'!$D$8)/2)+'Control Room'!$B$9*(AI297-IF('Control Room'!$B$5="Normal",'Control Room'!$B$7,('Control Room'!$B$8+'Control Room'!$D$8)/2))+SQRT(1-'Control Room'!$B$9^2)*(AH298-IF('Control Room'!$B$5="Normal",'Control Room'!$B$7,('Control Room'!$B$8+'Control Room'!$D$8)/2))</x:f>
        <x:v>1007.3548674781105</x:v>
      </x:c>
      <x:c r="AJ298" s="17" t="n">
        <x:f>IF(AND($A298&gt;='Control Room'!$A$13,$A298&lt;'Control Room'!$A$13+'Control Room'!$B$13,'Process'!BQ2=1),1+('Control Room'!$C$13-1)*EXP(-0.5*(($A298-'Control Room'!$A$13-('Control Room'!$B$13-1)/2)/MAX(0.5,'Control Room'!$B$13/4))^2),1)*IF(AND($A298&gt;='Control Room'!$A$14,$A298&lt;'Control Room'!$A$14+'Control Room'!$B$14,'Process'!BQ3=1),1+('Control Room'!$C$14-1)*EXP(-0.5*(($A298-'Control Room'!$A$14-('Control Room'!$B$14-1)/2)/MAX(0.5,'Control Room'!$B$14/4))^2),1)*IF(AND($A298&gt;='Control Room'!$A$15,$A298&lt;'Control Room'!$A$15+'Control Room'!$B$15,'Process'!BQ4=1),1+('Control Room'!$C$15-1)*EXP(-0.5*(($A298-'Control Room'!$A$15-('Control Room'!$B$15-1)/2)/MAX(0.5,'Control Room'!$B$15/4))^2),1)*IF(AND($A298&gt;='Control Room'!$A$16,$A298&lt;'Control Room'!$A$16+'Control Room'!$B$16,'Process'!BQ5=1),1+('Control Room'!$C$16-1)*EXP(-0.5*(($A298-'Control Room'!$A$16-('Control Room'!$B$16-1)/2)/MAX(0.5,'Control Room'!$B$16/4))^2),1)</x:f>
        <x:v>1</x:v>
      </x:c>
      <x:c r="AK298" s="9" t="n">
        <x:f>MOD(AL297*16807,2147483647)</x:f>
        <x:v>713278133</x:v>
      </x:c>
      <x:c r="AL298" s="9" t="n">
        <x:f>MOD(AK298*16807,2147483647)</x:f>
        <x:v>811863777</x:v>
      </x:c>
      <x:c r="AM298" s="17" t="n">
        <x:f>IF('Control Room'!$B$5="Normal",'Control Room'!$B$7+'Control Room'!$D$7*SQRT(-2*LN(MAX(0.000000000001,AK298/2147483647)))*COS(2*PI()*AL298/2147483647),'Control Room'!$B$8+('Control Room'!$D$8-'Control Room'!$B$8)*AK298/2147483647)</x:f>
        <x:v>903.7183847080997</x:v>
      </x:c>
      <x:c r="AN298" s="17" t="n">
        <x:f>IF('Control Room'!$B$5="Normal",'Control Room'!$B$7,('Control Room'!$B$8+'Control Room'!$D$8)/2)+'Control Room'!$B$9*(AN297-IF('Control Room'!$B$5="Normal",'Control Room'!$B$7,('Control Room'!$B$8+'Control Room'!$D$8)/2))+SQRT(1-'Control Room'!$B$9^2)*(AM298-IF('Control Room'!$B$5="Normal",'Control Room'!$B$7,('Control Room'!$B$8+'Control Room'!$D$8)/2))</x:f>
        <x:v>943.4563007165185</x:v>
      </x:c>
      <x:c r="AO298" s="17" t="n">
        <x:f>IF(AND($A298&gt;='Control Room'!$A$13,$A298&lt;'Control Room'!$A$13+'Control Room'!$B$13,'Process'!BR2=1),1+('Control Room'!$C$13-1)*EXP(-0.5*(($A298-'Control Room'!$A$13-('Control Room'!$B$13-1)/2)/MAX(0.5,'Control Room'!$B$13/4))^2),1)*IF(AND($A298&gt;='Control Room'!$A$14,$A298&lt;'Control Room'!$A$14+'Control Room'!$B$14,'Process'!BR3=1),1+('Control Room'!$C$14-1)*EXP(-0.5*(($A298-'Control Room'!$A$14-('Control Room'!$B$14-1)/2)/MAX(0.5,'Control Room'!$B$14/4))^2),1)*IF(AND($A298&gt;='Control Room'!$A$15,$A298&lt;'Control Room'!$A$15+'Control Room'!$B$15,'Process'!BR4=1),1+('Control Room'!$C$15-1)*EXP(-0.5*(($A298-'Control Room'!$A$15-('Control Room'!$B$15-1)/2)/MAX(0.5,'Control Room'!$B$15/4))^2),1)*IF(AND($A298&gt;='Control Room'!$A$16,$A298&lt;'Control Room'!$A$16+'Control Room'!$B$16,'Process'!BR5=1),1+('Control Room'!$C$16-1)*EXP(-0.5*(($A298-'Control Room'!$A$16-('Control Room'!$B$16-1)/2)/MAX(0.5,'Control Room'!$B$16/4))^2),1)</x:f>
        <x:v>1</x:v>
      </x:c>
      <x:c r="AP298" s="9" t="n">
        <x:f>MOD(AQ297*16807,2147483647)</x:f>
        <x:v>457859128</x:v>
      </x:c>
      <x:c r="AQ298" s="9" t="n">
        <x:f>MOD(AP298*16807,2147483647)</x:f>
        <x:v>804457095</x:v>
      </x:c>
      <x:c r="AR298" s="17" t="n">
        <x:f>IF('Control Room'!$B$5="Normal",'Control Room'!$B$7+'Control Room'!$D$7*SQRT(-2*LN(MAX(0.000000000001,AP298/2147483647)))*COS(2*PI()*AQ298/2147483647),'Control Room'!$B$8+('Control Room'!$D$8-'Control Room'!$B$8)*AP298/2147483647)</x:f>
        <x:v>888.392381310247</x:v>
      </x:c>
      <x:c r="AS298" s="17" t="n">
        <x:f>IF('Control Room'!$B$5="Normal",'Control Room'!$B$7,('Control Room'!$B$8+'Control Room'!$D$8)/2)+'Control Room'!$B$9*(AS297-IF('Control Room'!$B$5="Normal",'Control Room'!$B$7,('Control Room'!$B$8+'Control Room'!$D$8)/2))+SQRT(1-'Control Room'!$B$9^2)*(AR298-IF('Control Room'!$B$5="Normal",'Control Room'!$B$7,('Control Room'!$B$8+'Control Room'!$D$8)/2))</x:f>
        <x:v>834.483017236406</x:v>
      </x:c>
      <x:c r="AT298" s="17" t="n">
        <x:f>IF(AND($A298&gt;='Control Room'!$A$13,$A298&lt;'Control Room'!$A$13+'Control Room'!$B$13,'Process'!BS2=1),1+('Control Room'!$C$13-1)*EXP(-0.5*(($A298-'Control Room'!$A$13-('Control Room'!$B$13-1)/2)/MAX(0.5,'Control Room'!$B$13/4))^2),1)*IF(AND($A298&gt;='Control Room'!$A$14,$A298&lt;'Control Room'!$A$14+'Control Room'!$B$14,'Process'!BS3=1),1+('Control Room'!$C$14-1)*EXP(-0.5*(($A298-'Control Room'!$A$14-('Control Room'!$B$14-1)/2)/MAX(0.5,'Control Room'!$B$14/4))^2),1)*IF(AND($A298&gt;='Control Room'!$A$15,$A298&lt;'Control Room'!$A$15+'Control Room'!$B$15,'Process'!BS4=1),1+('Control Room'!$C$15-1)*EXP(-0.5*(($A298-'Control Room'!$A$15-('Control Room'!$B$15-1)/2)/MAX(0.5,'Control Room'!$B$15/4))^2),1)*IF(AND($A298&gt;='Control Room'!$A$16,$A298&lt;'Control Room'!$A$16+'Control Room'!$B$16,'Process'!BS5=1),1+('Control Room'!$C$16-1)*EXP(-0.5*(($A298-'Control Room'!$A$16-('Control Room'!$B$16-1)/2)/MAX(0.5,'Control Room'!$B$16/4))^2),1)</x:f>
        <x:v>1</x:v>
      </x:c>
      <x:c r="AU298" s="9" t="n">
        <x:f>MOD(AV297*16807,2147483647)</x:f>
        <x:v>202440123</x:v>
      </x:c>
      <x:c r="AV298" s="9" t="n">
        <x:f>MOD(AU298*16807,2147483647)</x:f>
        <x:v>797050413</x:v>
      </x:c>
      <x:c r="AW298" s="17" t="n">
        <x:f>IF('Control Room'!$B$5="Normal",'Control Room'!$B$7+'Control Room'!$D$7*SQRT(-2*LN(MAX(0.000000000001,AU298/2147483647)))*COS(2*PI()*AV298/2147483647),'Control Room'!$B$8+('Control Room'!$D$8-'Control Room'!$B$8)*AU298/2147483647)</x:f>
        <x:v>865.0732111791561</x:v>
      </x:c>
      <x:c r="AX298" s="17" t="n">
        <x:f>IF('Control Room'!$B$5="Normal",'Control Room'!$B$7,('Control Room'!$B$8+'Control Room'!$D$8)/2)+'Control Room'!$B$9*(AX297-IF('Control Room'!$B$5="Normal",'Control Room'!$B$7,('Control Room'!$B$8+'Control Room'!$D$8)/2))+SQRT(1-'Control Room'!$B$9^2)*(AW298-IF('Control Room'!$B$5="Normal",'Control Room'!$B$7,('Control Room'!$B$8+'Control Room'!$D$8)/2))</x:f>
        <x:v>874.1707882772615</x:v>
      </x:c>
      <x:c r="AY298" s="17" t="n">
        <x:f>IF(AND($A298&gt;='Control Room'!$A$13,$A298&lt;'Control Room'!$A$13+'Control Room'!$B$13,'Process'!BT2=1),1+('Control Room'!$C$13-1)*EXP(-0.5*(($A298-'Control Room'!$A$13-('Control Room'!$B$13-1)/2)/MAX(0.5,'Control Room'!$B$13/4))^2),1)*IF(AND($A298&gt;='Control Room'!$A$14,$A298&lt;'Control Room'!$A$14+'Control Room'!$B$14,'Process'!BT3=1),1+('Control Room'!$C$14-1)*EXP(-0.5*(($A298-'Control Room'!$A$14-('Control Room'!$B$14-1)/2)/MAX(0.5,'Control Room'!$B$14/4))^2),1)*IF(AND($A298&gt;='Control Room'!$A$15,$A298&lt;'Control Room'!$A$15+'Control Room'!$B$15,'Process'!BT4=1),1+('Control Room'!$C$15-1)*EXP(-0.5*(($A298-'Control Room'!$A$15-('Control Room'!$B$15-1)/2)/MAX(0.5,'Control Room'!$B$15/4))^2),1)*IF(AND($A298&gt;='Control Room'!$A$16,$A298&lt;'Control Room'!$A$16+'Control Room'!$B$16,'Process'!BT5=1),1+('Control Room'!$C$16-1)*EXP(-0.5*(($A298-'Control Room'!$A$16-('Control Room'!$B$16-1)/2)/MAX(0.5,'Control Room'!$B$16/4))^2),1)</x:f>
        <x:v>1</x:v>
      </x:c>
      <x:c r="AZ298" s="9" t="n">
        <x:f>MOD(BA297*16807,2147483647)</x:f>
        <x:v>2094504765</x:v>
      </x:c>
      <x:c r="BA298" s="9" t="n">
        <x:f>MOD(AZ298*16807,2147483647)</x:f>
        <x:v>789643731</x:v>
      </x:c>
      <x:c r="BB298" s="17" t="n">
        <x:f>IF('Control Room'!$B$5="Normal",'Control Room'!$B$7+'Control Room'!$D$7*SQRT(-2*LN(MAX(0.000000000001,AZ298/2147483647)))*COS(2*PI()*BA298/2147483647),'Control Room'!$B$8+('Control Room'!$D$8-'Control Room'!$B$8)*AZ298/2147483647)</x:f>
        <x:v>986.4421102327469</x:v>
      </x:c>
      <x:c r="BC298" s="17" t="n">
        <x:f>IF('Control Room'!$B$5="Normal",'Control Room'!$B$7,('Control Room'!$B$8+'Control Room'!$D$8)/2)+'Control Room'!$B$9*(BC297-IF('Control Room'!$B$5="Normal",'Control Room'!$B$7,('Control Room'!$B$8+'Control Room'!$D$8)/2))+SQRT(1-'Control Room'!$B$9^2)*(BB298-IF('Control Room'!$B$5="Normal",'Control Room'!$B$7,('Control Room'!$B$8+'Control Room'!$D$8)/2))</x:f>
        <x:v>920.3188663168926</x:v>
      </x:c>
      <x:c r="BD298" s="17" t="n">
        <x:f>IF(AND($A298&gt;='Control Room'!$A$13,$A298&lt;'Control Room'!$A$13+'Control Room'!$B$13,'Process'!BU2=1),1+('Control Room'!$C$13-1)*EXP(-0.5*(($A298-'Control Room'!$A$13-('Control Room'!$B$13-1)/2)/MAX(0.5,'Control Room'!$B$13/4))^2),1)*IF(AND($A298&gt;='Control Room'!$A$14,$A298&lt;'Control Room'!$A$14+'Control Room'!$B$14,'Process'!BU3=1),1+('Control Room'!$C$14-1)*EXP(-0.5*(($A298-'Control Room'!$A$14-('Control Room'!$B$14-1)/2)/MAX(0.5,'Control Room'!$B$14/4))^2),1)*IF(AND($A298&gt;='Control Room'!$A$15,$A298&lt;'Control Room'!$A$15+'Control Room'!$B$15,'Process'!BU4=1),1+('Control Room'!$C$15-1)*EXP(-0.5*(($A298-'Control Room'!$A$15-('Control Room'!$B$15-1)/2)/MAX(0.5,'Control Room'!$B$15/4))^2),1)*IF(AND($A298&gt;='Control Room'!$A$16,$A298&lt;'Control Room'!$A$16+'Control Room'!$B$16,'Process'!BU5=1),1+('Control Room'!$C$16-1)*EXP(-0.5*(($A298-'Control Room'!$A$16-('Control Room'!$B$16-1)/2)/MAX(0.5,'Control Room'!$B$16/4))^2),1)</x:f>
        <x:v>1</x:v>
      </x:c>
      <x:c r="BE298" s="9" t="n">
        <x:f>MOD(BF297*16807,2147483647)</x:f>
        <x:v>1839085760</x:v>
      </x:c>
      <x:c r="BF298" s="9" t="n">
        <x:f>MOD(BE298*16807,2147483647)</x:f>
        <x:v>782237049</x:v>
      </x:c>
      <x:c r="BG298" s="17" t="n">
        <x:f>IF('Control Room'!$B$5="Normal",'Control Room'!$B$7+'Control Room'!$D$7*SQRT(-2*LN(MAX(0.000000000001,BE298/2147483647)))*COS(2*PI()*BF298/2147483647),'Control Room'!$B$8+('Control Room'!$D$8-'Control Room'!$B$8)*BE298/2147483647)</x:f>
        <x:v>967.0344610140452</x:v>
      </x:c>
      <x:c r="BH298" s="17" t="n">
        <x:f>IF('Control Room'!$B$5="Normal",'Control Room'!$B$7,('Control Room'!$B$8+'Control Room'!$D$8)/2)+'Control Room'!$B$9*(BH297-IF('Control Room'!$B$5="Normal",'Control Room'!$B$7,('Control Room'!$B$8+'Control Room'!$D$8)/2))+SQRT(1-'Control Room'!$B$9^2)*(BG298-IF('Control Room'!$B$5="Normal",'Control Room'!$B$7,('Control Room'!$B$8+'Control Room'!$D$8)/2))</x:f>
        <x:v>984.5906271401718</x:v>
      </x:c>
      <x:c r="BI298" s="17" t="n">
        <x:f>IF(AND($A298&gt;='Control Room'!$A$13,$A298&lt;'Control Room'!$A$13+'Control Room'!$B$13,'Process'!BV2=1),1+('Control Room'!$C$13-1)*EXP(-0.5*(($A298-'Control Room'!$A$13-('Control Room'!$B$13-1)/2)/MAX(0.5,'Control Room'!$B$13/4))^2),1)*IF(AND($A298&gt;='Control Room'!$A$14,$A298&lt;'Control Room'!$A$14+'Control Room'!$B$14,'Process'!BV3=1),1+('Control Room'!$C$14-1)*EXP(-0.5*(($A298-'Control Room'!$A$14-('Control Room'!$B$14-1)/2)/MAX(0.5,'Control Room'!$B$14/4))^2),1)*IF(AND($A298&gt;='Control Room'!$A$15,$A298&lt;'Control Room'!$A$15+'Control Room'!$B$15,'Process'!BV4=1),1+('Control Room'!$C$15-1)*EXP(-0.5*(($A298-'Control Room'!$A$15-('Control Room'!$B$15-1)/2)/MAX(0.5,'Control Room'!$B$15/4))^2),1)*IF(AND($A298&gt;='Control Room'!$A$16,$A298&lt;'Control Room'!$A$16+'Control Room'!$B$16,'Process'!BV5=1),1+('Control Room'!$C$16-1)*EXP(-0.5*(($A298-'Control Room'!$A$16-('Control Room'!$B$16-1)/2)/MAX(0.5,'Control Room'!$B$16/4))^2),1)</x:f>
        <x:v>1</x:v>
      </x:c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Z298" t="str">
        <x:f>IF('Data'!A298="","",TEXT('Data'!A298,"mm-dd"))</x:f>
      </x:c>
    </x:row>
    <x:row r="299" ht="21" customHeight="1">
      <x:c r="A299" s="15" t="n">
        <x:f>'Control Room'!$B$1+297</x:f>
        <x:v>73288</x:v>
      </x:c>
      <x:c r="B299" s="9" t="n">
        <x:f>MOD(C298*16807,2147483647)</x:f>
        <x:v>1541260584</x:v>
      </x:c>
      <x:c r="C299" s="9" t="n">
        <x:f>MOD(B299*16807,2147483647)</x:f>
        <x:v>1018885174</x:v>
      </x:c>
      <x:c r="D299" s="17" t="n">
        <x:f>IF('Control Room'!$B$5="Normal",'Control Room'!$B$7+'Control Room'!$D$7*SQRT(-2*LN(MAX(0.000000000001,B299/2147483647)))*COS(2*PI()*C299/2147483647),'Control Room'!$B$8+('Control Room'!$D$8-'Control Room'!$B$8)*B299/2147483647)</x:f>
        <x:v>927.6381533639546</x:v>
      </x:c>
      <x:c r="E299" s="17" t="n">
        <x:f>IF('Control Room'!$B$5="Normal",'Control Room'!$B$7,('Control Room'!$B$8+'Control Room'!$D$8)/2)+'Control Room'!$B$9*(E298-IF('Control Room'!$B$5="Normal",'Control Room'!$B$7,('Control Room'!$B$8+'Control Room'!$D$8)/2))+SQRT(1-'Control Room'!$B$9^2)*(D299-IF('Control Room'!$B$5="Normal",'Control Room'!$B$7,('Control Room'!$B$8+'Control Room'!$D$8)/2))</x:f>
        <x:v>886.4258590989293</x:v>
      </x:c>
      <x:c r="F299" s="17" t="n">
        <x:f>IF(AND($A299&gt;='Control Room'!$A$13,$A299&lt;'Control Room'!$A$13+'Control Room'!$B$13,'Process'!BK2=1),1+('Control Room'!$C$13-1)*EXP(-0.5*(($A299-'Control Room'!$A$13-('Control Room'!$B$13-1)/2)/MAX(0.5,'Control Room'!$B$13/4))^2),1)*IF(AND($A299&gt;='Control Room'!$A$14,$A299&lt;'Control Room'!$A$14+'Control Room'!$B$14,'Process'!BK3=1),1+('Control Room'!$C$14-1)*EXP(-0.5*(($A299-'Control Room'!$A$14-('Control Room'!$B$14-1)/2)/MAX(0.5,'Control Room'!$B$14/4))^2),1)*IF(AND($A299&gt;='Control Room'!$A$15,$A299&lt;'Control Room'!$A$15+'Control Room'!$B$15,'Process'!BK4=1),1+('Control Room'!$C$15-1)*EXP(-0.5*(($A299-'Control Room'!$A$15-('Control Room'!$B$15-1)/2)/MAX(0.5,'Control Room'!$B$15/4))^2),1)*IF(AND($A299&gt;='Control Room'!$A$16,$A299&lt;'Control Room'!$A$16+'Control Room'!$B$16,'Process'!BK5=1),1+('Control Room'!$C$16-1)*EXP(-0.5*(($A299-'Control Room'!$A$16-('Control Room'!$B$16-1)/2)/MAX(0.5,'Control Room'!$B$16/4))^2),1)</x:f>
        <x:v>1</x:v>
      </x:c>
      <x:c r="G299" s="9" t="n">
        <x:f>MOD(H298*16807,2147483647)</x:f>
        <x:v>1611207736</x:v>
      </x:c>
      <x:c r="H299" s="9" t="n">
        <x:f>MOD(G299*16807,2147483647)</x:f>
        <x:v>1947113929</x:v>
      </x:c>
      <x:c r="I299" s="17" t="n">
        <x:f>IF('Control Room'!$B$5="Normal",'Control Room'!$B$7+'Control Room'!$D$7*SQRT(-2*LN(MAX(0.000000000001,G299/2147483647)))*COS(2*PI()*H299/2147483647),'Control Room'!$B$8+('Control Room'!$D$8-'Control Room'!$B$8)*G299/2147483647)</x:f>
        <x:v>1056.8317822134416</x:v>
      </x:c>
      <x:c r="J299" s="17" t="n">
        <x:f>IF('Control Room'!$B$5="Normal",'Control Room'!$B$7,('Control Room'!$B$8+'Control Room'!$D$8)/2)+'Control Room'!$B$9*(J298-IF('Control Room'!$B$5="Normal",'Control Room'!$B$7,('Control Room'!$B$8+'Control Room'!$D$8)/2))+SQRT(1-'Control Room'!$B$9^2)*(I299-IF('Control Room'!$B$5="Normal",'Control Room'!$B$7,('Control Room'!$B$8+'Control Room'!$D$8)/2))</x:f>
        <x:v>914.3130068260157</x:v>
      </x:c>
      <x:c r="K299" s="17" t="n">
        <x:f>IF(AND($A299&gt;='Control Room'!$A$13,$A299&lt;'Control Room'!$A$13+'Control Room'!$B$13,'Process'!BL2=1),1+('Control Room'!$C$13-1)*EXP(-0.5*(($A299-'Control Room'!$A$13-('Control Room'!$B$13-1)/2)/MAX(0.5,'Control Room'!$B$13/4))^2),1)*IF(AND($A299&gt;='Control Room'!$A$14,$A299&lt;'Control Room'!$A$14+'Control Room'!$B$14,'Process'!BL3=1),1+('Control Room'!$C$14-1)*EXP(-0.5*(($A299-'Control Room'!$A$14-('Control Room'!$B$14-1)/2)/MAX(0.5,'Control Room'!$B$14/4))^2),1)*IF(AND($A299&gt;='Control Room'!$A$15,$A299&lt;'Control Room'!$A$15+'Control Room'!$B$15,'Process'!BL4=1),1+('Control Room'!$C$15-1)*EXP(-0.5*(($A299-'Control Room'!$A$15-('Control Room'!$B$15-1)/2)/MAX(0.5,'Control Room'!$B$15/4))^2),1)*IF(AND($A299&gt;='Control Room'!$A$16,$A299&lt;'Control Room'!$A$16+'Control Room'!$B$16,'Process'!BL5=1),1+('Control Room'!$C$16-1)*EXP(-0.5*(($A299-'Control Room'!$A$16-('Control Room'!$B$16-1)/2)/MAX(0.5,'Control Room'!$B$16/4))^2),1)</x:f>
        <x:v>1</x:v>
      </x:c>
      <x:c r="L299" s="9" t="n">
        <x:f>MOD(M298*16807,2147483647)</x:f>
        <x:v>1681154888</x:v>
      </x:c>
      <x:c r="M299" s="9" t="n">
        <x:f>MOD(L299*16807,2147483647)</x:f>
        <x:v>727859037</x:v>
      </x:c>
      <x:c r="N299" s="17" t="n">
        <x:f>IF('Control Room'!$B$5="Normal",'Control Room'!$B$7+'Control Room'!$D$7*SQRT(-2*LN(MAX(0.000000000001,L299/2147483647)))*COS(2*PI()*M299/2147483647),'Control Room'!$B$8+('Control Room'!$D$8-'Control Room'!$B$8)*L299/2147483647)</x:f>
        <x:v>966.6119084427603</x:v>
      </x:c>
      <x:c r="O299" s="17" t="n">
        <x:f>IF('Control Room'!$B$5="Normal",'Control Room'!$B$7,('Control Room'!$B$8+'Control Room'!$D$8)/2)+'Control Room'!$B$9*(O298-IF('Control Room'!$B$5="Normal",'Control Room'!$B$7,('Control Room'!$B$8+'Control Room'!$D$8)/2))+SQRT(1-'Control Room'!$B$9^2)*(N299-IF('Control Room'!$B$5="Normal",'Control Room'!$B$7,('Control Room'!$B$8+'Control Room'!$D$8)/2))</x:f>
        <x:v>959.7590619186933</x:v>
      </x:c>
      <x:c r="P299" s="17" t="n">
        <x:f>IF(AND($A299&gt;='Control Room'!$A$13,$A299&lt;'Control Room'!$A$13+'Control Room'!$B$13,'Process'!BM2=1),1+('Control Room'!$C$13-1)*EXP(-0.5*(($A299-'Control Room'!$A$13-('Control Room'!$B$13-1)/2)/MAX(0.5,'Control Room'!$B$13/4))^2),1)*IF(AND($A299&gt;='Control Room'!$A$14,$A299&lt;'Control Room'!$A$14+'Control Room'!$B$14,'Process'!BM3=1),1+('Control Room'!$C$14-1)*EXP(-0.5*(($A299-'Control Room'!$A$14-('Control Room'!$B$14-1)/2)/MAX(0.5,'Control Room'!$B$14/4))^2),1)*IF(AND($A299&gt;='Control Room'!$A$15,$A299&lt;'Control Room'!$A$15+'Control Room'!$B$15,'Process'!BM4=1),1+('Control Room'!$C$15-1)*EXP(-0.5*(($A299-'Control Room'!$A$15-('Control Room'!$B$15-1)/2)/MAX(0.5,'Control Room'!$B$15/4))^2),1)*IF(AND($A299&gt;='Control Room'!$A$16,$A299&lt;'Control Room'!$A$16+'Control Room'!$B$16,'Process'!BM5=1),1+('Control Room'!$C$16-1)*EXP(-0.5*(($A299-'Control Room'!$A$16-('Control Room'!$B$16-1)/2)/MAX(0.5,'Control Room'!$B$16/4))^2),1)</x:f>
        <x:v>1</x:v>
      </x:c>
      <x:c r="Q299" s="9" t="n">
        <x:f>MOD(R298*16807,2147483647)</x:f>
        <x:v>1751102040</x:v>
      </x:c>
      <x:c r="R299" s="9" t="n">
        <x:f>MOD(Q299*16807,2147483647)</x:f>
        <x:v>1656087792</x:v>
      </x:c>
      <x:c r="S299" s="17" t="n">
        <x:f>IF('Control Room'!$B$5="Normal",'Control Room'!$B$7+'Control Room'!$D$7*SQRT(-2*LN(MAX(0.000000000001,Q299/2147483647)))*COS(2*PI()*R299/2147483647),'Control Room'!$B$8+('Control Room'!$D$8-'Control Room'!$B$8)*Q299/2147483647)</x:f>
        <x:v>1007.6272580994796</x:v>
      </x:c>
      <x:c r="T299" s="17" t="n">
        <x:f>IF('Control Room'!$B$5="Normal",'Control Room'!$B$7,('Control Room'!$B$8+'Control Room'!$D$8)/2)+'Control Room'!$B$9*(T298-IF('Control Room'!$B$5="Normal",'Control Room'!$B$7,('Control Room'!$B$8+'Control Room'!$D$8)/2))+SQRT(1-'Control Room'!$B$9^2)*(S299-IF('Control Room'!$B$5="Normal",'Control Room'!$B$7,('Control Room'!$B$8+'Control Room'!$D$8)/2))</x:f>
        <x:v>953.4152903407011</x:v>
      </x:c>
      <x:c r="U299" s="17" t="n">
        <x:f>IF(AND($A299&gt;='Control Room'!$A$13,$A299&lt;'Control Room'!$A$13+'Control Room'!$B$13,'Process'!BN2=1),1+('Control Room'!$C$13-1)*EXP(-0.5*(($A299-'Control Room'!$A$13-('Control Room'!$B$13-1)/2)/MAX(0.5,'Control Room'!$B$13/4))^2),1)*IF(AND($A299&gt;='Control Room'!$A$14,$A299&lt;'Control Room'!$A$14+'Control Room'!$B$14,'Process'!BN3=1),1+('Control Room'!$C$14-1)*EXP(-0.5*(($A299-'Control Room'!$A$14-('Control Room'!$B$14-1)/2)/MAX(0.5,'Control Room'!$B$14/4))^2),1)*IF(AND($A299&gt;='Control Room'!$A$15,$A299&lt;'Control Room'!$A$15+'Control Room'!$B$15,'Process'!BN4=1),1+('Control Room'!$C$15-1)*EXP(-0.5*(($A299-'Control Room'!$A$15-('Control Room'!$B$15-1)/2)/MAX(0.5,'Control Room'!$B$15/4))^2),1)*IF(AND($A299&gt;='Control Room'!$A$16,$A299&lt;'Control Room'!$A$16+'Control Room'!$B$16,'Process'!BN5=1),1+('Control Room'!$C$16-1)*EXP(-0.5*(($A299-'Control Room'!$A$16-('Control Room'!$B$16-1)/2)/MAX(0.5,'Control Room'!$B$16/4))^2),1)</x:f>
        <x:v>1</x:v>
      </x:c>
      <x:c r="V299" s="9" t="n">
        <x:f>MOD(W298*16807,2147483647)</x:f>
        <x:v>1821049192</x:v>
      </x:c>
      <x:c r="W299" s="9" t="n">
        <x:f>MOD(V299*16807,2147483647)</x:f>
        <x:v>436832900</x:v>
      </x:c>
      <x:c r="X299" s="17" t="n">
        <x:f>IF('Control Room'!$B$5="Normal",'Control Room'!$B$7+'Control Room'!$D$7*SQRT(-2*LN(MAX(0.000000000001,V299/2147483647)))*COS(2*PI()*W299/2147483647),'Control Room'!$B$8+('Control Room'!$D$8-'Control Room'!$B$8)*V299/2147483647)</x:f>
        <x:v>1014.9122412893685</x:v>
      </x:c>
      <x:c r="Y299" s="17" t="n">
        <x:f>IF('Control Room'!$B$5="Normal",'Control Room'!$B$7,('Control Room'!$B$8+'Control Room'!$D$8)/2)+'Control Room'!$B$9*(Y298-IF('Control Room'!$B$5="Normal",'Control Room'!$B$7,('Control Room'!$B$8+'Control Room'!$D$8)/2))+SQRT(1-'Control Room'!$B$9^2)*(X299-IF('Control Room'!$B$5="Normal",'Control Room'!$B$7,('Control Room'!$B$8+'Control Room'!$D$8)/2))</x:f>
        <x:v>1042.5981095627053</x:v>
      </x:c>
      <x:c r="Z299" s="17" t="n">
        <x:f>IF(AND($A299&gt;='Control Room'!$A$13,$A299&lt;'Control Room'!$A$13+'Control Room'!$B$13,'Process'!BO2=1),1+('Control Room'!$C$13-1)*EXP(-0.5*(($A299-'Control Room'!$A$13-('Control Room'!$B$13-1)/2)/MAX(0.5,'Control Room'!$B$13/4))^2),1)*IF(AND($A299&gt;='Control Room'!$A$14,$A299&lt;'Control Room'!$A$14+'Control Room'!$B$14,'Process'!BO3=1),1+('Control Room'!$C$14-1)*EXP(-0.5*(($A299-'Control Room'!$A$14-('Control Room'!$B$14-1)/2)/MAX(0.5,'Control Room'!$B$14/4))^2),1)*IF(AND($A299&gt;='Control Room'!$A$15,$A299&lt;'Control Room'!$A$15+'Control Room'!$B$15,'Process'!BO4=1),1+('Control Room'!$C$15-1)*EXP(-0.5*(($A299-'Control Room'!$A$15-('Control Room'!$B$15-1)/2)/MAX(0.5,'Control Room'!$B$15/4))^2),1)*IF(AND($A299&gt;='Control Room'!$A$16,$A299&lt;'Control Room'!$A$16+'Control Room'!$B$16,'Process'!BO5=1),1+('Control Room'!$C$16-1)*EXP(-0.5*(($A299-'Control Room'!$A$16-('Control Room'!$B$16-1)/2)/MAX(0.5,'Control Room'!$B$16/4))^2),1)</x:f>
        <x:v>1</x:v>
      </x:c>
      <x:c r="AA299" s="9" t="n">
        <x:f>MOD(AB298*16807,2147483647)</x:f>
        <x:v>1890996344</x:v>
      </x:c>
      <x:c r="AB299" s="9" t="n">
        <x:f>MOD(AA299*16807,2147483647)</x:f>
        <x:v>1365061655</x:v>
      </x:c>
      <x:c r="AC299" s="17" t="n">
        <x:f>IF('Control Room'!$B$5="Normal",'Control Room'!$B$7+'Control Room'!$D$7*SQRT(-2*LN(MAX(0.000000000001,AA299/2147483647)))*COS(2*PI()*AB299/2147483647),'Control Room'!$B$8+('Control Room'!$D$8-'Control Room'!$B$8)*AA299/2147483647)</x:f>
        <x:v>970.1217451898337</x:v>
      </x:c>
      <x:c r="AD299" s="17" t="n">
        <x:f>IF('Control Room'!$B$5="Normal",'Control Room'!$B$7,('Control Room'!$B$8+'Control Room'!$D$8)/2)+'Control Room'!$B$9*(AD298-IF('Control Room'!$B$5="Normal",'Control Room'!$B$7,('Control Room'!$B$8+'Control Room'!$D$8)/2))+SQRT(1-'Control Room'!$B$9^2)*(AC299-IF('Control Room'!$B$5="Normal",'Control Room'!$B$7,('Control Room'!$B$8+'Control Room'!$D$8)/2))</x:f>
        <x:v>916.0032750057303</x:v>
      </x:c>
      <x:c r="AE299" s="17" t="n">
        <x:f>IF(AND($A299&gt;='Control Room'!$A$13,$A299&lt;'Control Room'!$A$13+'Control Room'!$B$13,'Process'!BP2=1),1+('Control Room'!$C$13-1)*EXP(-0.5*(($A299-'Control Room'!$A$13-('Control Room'!$B$13-1)/2)/MAX(0.5,'Control Room'!$B$13/4))^2),1)*IF(AND($A299&gt;='Control Room'!$A$14,$A299&lt;'Control Room'!$A$14+'Control Room'!$B$14,'Process'!BP3=1),1+('Control Room'!$C$14-1)*EXP(-0.5*(($A299-'Control Room'!$A$14-('Control Room'!$B$14-1)/2)/MAX(0.5,'Control Room'!$B$14/4))^2),1)*IF(AND($A299&gt;='Control Room'!$A$15,$A299&lt;'Control Room'!$A$15+'Control Room'!$B$15,'Process'!BP4=1),1+('Control Room'!$C$15-1)*EXP(-0.5*(($A299-'Control Room'!$A$15-('Control Room'!$B$15-1)/2)/MAX(0.5,'Control Room'!$B$15/4))^2),1)*IF(AND($A299&gt;='Control Room'!$A$16,$A299&lt;'Control Room'!$A$16+'Control Room'!$B$16,'Process'!BP5=1),1+('Control Room'!$C$16-1)*EXP(-0.5*(($A299-'Control Room'!$A$16-('Control Room'!$B$16-1)/2)/MAX(0.5,'Control Room'!$B$16/4))^2),1)</x:f>
        <x:v>1</x:v>
      </x:c>
      <x:c r="AF299" s="9" t="n">
        <x:f>MOD(AG298*16807,2147483647)</x:f>
        <x:v>1960943496</x:v>
      </x:c>
      <x:c r="AG299" s="9" t="n">
        <x:f>MOD(AF299*16807,2147483647)</x:f>
        <x:v>145806763</x:v>
      </x:c>
      <x:c r="AH299" s="17" t="n">
        <x:f>IF('Control Room'!$B$5="Normal",'Control Room'!$B$7+'Control Room'!$D$7*SQRT(-2*LN(MAX(0.000000000001,AF299/2147483647)))*COS(2*PI()*AG299/2147483647),'Control Room'!$B$8+('Control Room'!$D$8-'Control Room'!$B$8)*AF299/2147483647)</x:f>
        <x:v>1034.9293567162313</x:v>
      </x:c>
      <x:c r="AI299" s="17" t="n">
        <x:f>IF('Control Room'!$B$5="Normal",'Control Room'!$B$7,('Control Room'!$B$8+'Control Room'!$D$8)/2)+'Control Room'!$B$9*(AI298-IF('Control Room'!$B$5="Normal",'Control Room'!$B$7,('Control Room'!$B$8+'Control Room'!$D$8)/2))+SQRT(1-'Control Room'!$B$9^2)*(AH299-IF('Control Room'!$B$5="Normal",'Control Room'!$B$7,('Control Room'!$B$8+'Control Room'!$D$8)/2))</x:f>
        <x:v>1027.5948724991767</x:v>
      </x:c>
      <x:c r="AJ299" s="17" t="n">
        <x:f>IF(AND($A299&gt;='Control Room'!$A$13,$A299&lt;'Control Room'!$A$13+'Control Room'!$B$13,'Process'!BQ2=1),1+('Control Room'!$C$13-1)*EXP(-0.5*(($A299-'Control Room'!$A$13-('Control Room'!$B$13-1)/2)/MAX(0.5,'Control Room'!$B$13/4))^2),1)*IF(AND($A299&gt;='Control Room'!$A$14,$A299&lt;'Control Room'!$A$14+'Control Room'!$B$14,'Process'!BQ3=1),1+('Control Room'!$C$14-1)*EXP(-0.5*(($A299-'Control Room'!$A$14-('Control Room'!$B$14-1)/2)/MAX(0.5,'Control Room'!$B$14/4))^2),1)*IF(AND($A299&gt;='Control Room'!$A$15,$A299&lt;'Control Room'!$A$15+'Control Room'!$B$15,'Process'!BQ4=1),1+('Control Room'!$C$15-1)*EXP(-0.5*(($A299-'Control Room'!$A$15-('Control Room'!$B$15-1)/2)/MAX(0.5,'Control Room'!$B$15/4))^2),1)*IF(AND($A299&gt;='Control Room'!$A$16,$A299&lt;'Control Room'!$A$16+'Control Room'!$B$16,'Process'!BQ5=1),1+('Control Room'!$C$16-1)*EXP(-0.5*(($A299-'Control Room'!$A$16-('Control Room'!$B$16-1)/2)/MAX(0.5,'Control Room'!$B$16/4))^2),1)</x:f>
        <x:v>1</x:v>
      </x:c>
      <x:c r="AK299" s="9" t="n">
        <x:f>MOD(AL298*16807,2147483647)</x:f>
        <x:v>2030890648</x:v>
      </x:c>
      <x:c r="AL299" s="9" t="n">
        <x:f>MOD(AK299*16807,2147483647)</x:f>
        <x:v>1074035518</x:v>
      </x:c>
      <x:c r="AM299" s="17" t="n">
        <x:f>IF('Control Room'!$B$5="Normal",'Control Room'!$B$7+'Control Room'!$D$7*SQRT(-2*LN(MAX(0.000000000001,AK299/2147483647)))*COS(2*PI()*AL299/2147483647),'Control Room'!$B$8+('Control Room'!$D$8-'Control Room'!$B$8)*AK299/2147483647)</x:f>
        <x:v>969.9280708903048</x:v>
      </x:c>
      <x:c r="AN299" s="17" t="n">
        <x:f>IF('Control Room'!$B$5="Normal",'Control Room'!$B$7,('Control Room'!$B$8+'Control Room'!$D$8)/2)+'Control Room'!$B$9*(AN298-IF('Control Room'!$B$5="Normal",'Control Room'!$B$7,('Control Room'!$B$8+'Control Room'!$D$8)/2))+SQRT(1-'Control Room'!$B$9^2)*(AM299-IF('Control Room'!$B$5="Normal",'Control Room'!$B$7,('Control Room'!$B$8+'Control Room'!$D$8)/2))</x:f>
        <x:v>937.0775173789906</x:v>
      </x:c>
      <x:c r="AO299" s="17" t="n">
        <x:f>IF(AND($A299&gt;='Control Room'!$A$13,$A299&lt;'Control Room'!$A$13+'Control Room'!$B$13,'Process'!BR2=1),1+('Control Room'!$C$13-1)*EXP(-0.5*(($A299-'Control Room'!$A$13-('Control Room'!$B$13-1)/2)/MAX(0.5,'Control Room'!$B$13/4))^2),1)*IF(AND($A299&gt;='Control Room'!$A$14,$A299&lt;'Control Room'!$A$14+'Control Room'!$B$14,'Process'!BR3=1),1+('Control Room'!$C$14-1)*EXP(-0.5*(($A299-'Control Room'!$A$14-('Control Room'!$B$14-1)/2)/MAX(0.5,'Control Room'!$B$14/4))^2),1)*IF(AND($A299&gt;='Control Room'!$A$15,$A299&lt;'Control Room'!$A$15+'Control Room'!$B$15,'Process'!BR4=1),1+('Control Room'!$C$15-1)*EXP(-0.5*(($A299-'Control Room'!$A$15-('Control Room'!$B$15-1)/2)/MAX(0.5,'Control Room'!$B$15/4))^2),1)*IF(AND($A299&gt;='Control Room'!$A$16,$A299&lt;'Control Room'!$A$16+'Control Room'!$B$16,'Process'!BR5=1),1+('Control Room'!$C$16-1)*EXP(-0.5*(($A299-'Control Room'!$A$16-('Control Room'!$B$16-1)/2)/MAX(0.5,'Control Room'!$B$16/4))^2),1)</x:f>
        <x:v>1</x:v>
      </x:c>
      <x:c r="AP299" s="9" t="n">
        <x:f>MOD(AQ298*16807,2147483647)</x:f>
        <x:v>2100837800</x:v>
      </x:c>
      <x:c r="AQ299" s="9" t="n">
        <x:f>MOD(AP299*16807,2147483647)</x:f>
        <x:v>2002264273</x:v>
      </x:c>
      <x:c r="AR299" s="17" t="n">
        <x:f>IF('Control Room'!$B$5="Normal",'Control Room'!$B$7+'Control Room'!$D$7*SQRT(-2*LN(MAX(0.000000000001,AP299/2147483647)))*COS(2*PI()*AQ299/2147483647),'Control Room'!$B$8+('Control Room'!$D$8-'Control Room'!$B$8)*AP299/2147483647)</x:f>
        <x:v>1017.1845384425699</x:v>
      </x:c>
      <x:c r="AS299" s="17" t="n">
        <x:f>IF('Control Room'!$B$5="Normal",'Control Room'!$B$7,('Control Room'!$B$8+'Control Room'!$D$8)/2)+'Control Room'!$B$9*(AS298-IF('Control Room'!$B$5="Normal",'Control Room'!$B$7,('Control Room'!$B$8+'Control Room'!$D$8)/2))+SQRT(1-'Control Room'!$B$9^2)*(AR299-IF('Control Room'!$B$5="Normal",'Control Room'!$B$7,('Control Room'!$B$8+'Control Room'!$D$8)/2))</x:f>
        <x:v>881.6504855573515</x:v>
      </x:c>
      <x:c r="AT299" s="17" t="n">
        <x:f>IF(AND($A299&gt;='Control Room'!$A$13,$A299&lt;'Control Room'!$A$13+'Control Room'!$B$13,'Process'!BS2=1),1+('Control Room'!$C$13-1)*EXP(-0.5*(($A299-'Control Room'!$A$13-('Control Room'!$B$13-1)/2)/MAX(0.5,'Control Room'!$B$13/4))^2),1)*IF(AND($A299&gt;='Control Room'!$A$14,$A299&lt;'Control Room'!$A$14+'Control Room'!$B$14,'Process'!BS3=1),1+('Control Room'!$C$14-1)*EXP(-0.5*(($A299-'Control Room'!$A$14-('Control Room'!$B$14-1)/2)/MAX(0.5,'Control Room'!$B$14/4))^2),1)*IF(AND($A299&gt;='Control Room'!$A$15,$A299&lt;'Control Room'!$A$15+'Control Room'!$B$15,'Process'!BS4=1),1+('Control Room'!$C$15-1)*EXP(-0.5*(($A299-'Control Room'!$A$15-('Control Room'!$B$15-1)/2)/MAX(0.5,'Control Room'!$B$15/4))^2),1)*IF(AND($A299&gt;='Control Room'!$A$16,$A299&lt;'Control Room'!$A$16+'Control Room'!$B$16,'Process'!BS5=1),1+('Control Room'!$C$16-1)*EXP(-0.5*(($A299-'Control Room'!$A$16-('Control Room'!$B$16-1)/2)/MAX(0.5,'Control Room'!$B$16/4))^2),1)</x:f>
        <x:v>1</x:v>
      </x:c>
      <x:c r="AU299" s="9" t="n">
        <x:f>MOD(AV298*16807,2147483647)</x:f>
        <x:v>23301305</x:v>
      </x:c>
      <x:c r="AV299" s="9" t="n">
        <x:f>MOD(AU299*16807,2147483647)</x:f>
        <x:v>783009381</x:v>
      </x:c>
      <x:c r="AW299" s="17" t="n">
        <x:f>IF('Control Room'!$B$5="Normal",'Control Room'!$B$7+'Control Room'!$D$7*SQRT(-2*LN(MAX(0.000000000001,AU299/2147483647)))*COS(2*PI()*AV299/2147483647),'Control Room'!$B$8+('Control Room'!$D$8-'Control Room'!$B$8)*AU299/2147483647)</x:f>
        <x:v>821.4683055827088</x:v>
      </x:c>
      <x:c r="AX299" s="17" t="n">
        <x:f>IF('Control Room'!$B$5="Normal",'Control Room'!$B$7,('Control Room'!$B$8+'Control Room'!$D$8)/2)+'Control Room'!$B$9*(AX298-IF('Control Room'!$B$5="Normal",'Control Room'!$B$7,('Control Room'!$B$8+'Control Room'!$D$8)/2))+SQRT(1-'Control Room'!$B$9^2)*(AW299-IF('Control Room'!$B$5="Normal",'Control Room'!$B$7,('Control Room'!$B$8+'Control Room'!$D$8)/2))</x:f>
        <x:v>790.1317379104819</x:v>
      </x:c>
      <x:c r="AY299" s="17" t="n">
        <x:f>IF(AND($A299&gt;='Control Room'!$A$13,$A299&lt;'Control Room'!$A$13+'Control Room'!$B$13,'Process'!BT2=1),1+('Control Room'!$C$13-1)*EXP(-0.5*(($A299-'Control Room'!$A$13-('Control Room'!$B$13-1)/2)/MAX(0.5,'Control Room'!$B$13/4))^2),1)*IF(AND($A299&gt;='Control Room'!$A$14,$A299&lt;'Control Room'!$A$14+'Control Room'!$B$14,'Process'!BT3=1),1+('Control Room'!$C$14-1)*EXP(-0.5*(($A299-'Control Room'!$A$14-('Control Room'!$B$14-1)/2)/MAX(0.5,'Control Room'!$B$14/4))^2),1)*IF(AND($A299&gt;='Control Room'!$A$15,$A299&lt;'Control Room'!$A$15+'Control Room'!$B$15,'Process'!BT4=1),1+('Control Room'!$C$15-1)*EXP(-0.5*(($A299-'Control Room'!$A$15-('Control Room'!$B$15-1)/2)/MAX(0.5,'Control Room'!$B$15/4))^2),1)*IF(AND($A299&gt;='Control Room'!$A$16,$A299&lt;'Control Room'!$A$16+'Control Room'!$B$16,'Process'!BT5=1),1+('Control Room'!$C$16-1)*EXP(-0.5*(($A299-'Control Room'!$A$16-('Control Room'!$B$16-1)/2)/MAX(0.5,'Control Room'!$B$16/4))^2),1)</x:f>
        <x:v>1</x:v>
      </x:c>
      <x:c r="AZ299" s="9" t="n">
        <x:f>MOD(BA298*16807,2147483647)</x:f>
        <x:v>93248457</x:v>
      </x:c>
      <x:c r="BA299" s="9" t="n">
        <x:f>MOD(AZ299*16807,2147483647)</x:f>
        <x:v>1711238136</x:v>
      </x:c>
      <x:c r="BB299" s="17" t="n">
        <x:f>IF('Control Room'!$B$5="Normal",'Control Room'!$B$7+'Control Room'!$D$7*SQRT(-2*LN(MAX(0.000000000001,AZ299/2147483647)))*COS(2*PI()*BA299/2147483647),'Control Room'!$B$8+('Control Room'!$D$8-'Control Room'!$B$8)*AZ299/2147483647)</x:f>
        <x:v>1065.4131696604952</x:v>
      </x:c>
      <x:c r="BC299" s="17" t="n">
        <x:f>IF('Control Room'!$B$5="Normal",'Control Room'!$B$7,('Control Room'!$B$8+'Control Room'!$D$8)/2)+'Control Room'!$B$9*(BC298-IF('Control Room'!$B$5="Normal",'Control Room'!$B$7,('Control Room'!$B$8+'Control Room'!$D$8)/2))+SQRT(1-'Control Room'!$B$9^2)*(BB299-IF('Control Room'!$B$5="Normal",'Control Room'!$B$7,('Control Room'!$B$8+'Control Room'!$D$8)/2))</x:f>
        <x:v>978.7829372390948</x:v>
      </x:c>
      <x:c r="BD299" s="17" t="n">
        <x:f>IF(AND($A299&gt;='Control Room'!$A$13,$A299&lt;'Control Room'!$A$13+'Control Room'!$B$13,'Process'!BU2=1),1+('Control Room'!$C$13-1)*EXP(-0.5*(($A299-'Control Room'!$A$13-('Control Room'!$B$13-1)/2)/MAX(0.5,'Control Room'!$B$13/4))^2),1)*IF(AND($A299&gt;='Control Room'!$A$14,$A299&lt;'Control Room'!$A$14+'Control Room'!$B$14,'Process'!BU3=1),1+('Control Room'!$C$14-1)*EXP(-0.5*(($A299-'Control Room'!$A$14-('Control Room'!$B$14-1)/2)/MAX(0.5,'Control Room'!$B$14/4))^2),1)*IF(AND($A299&gt;='Control Room'!$A$15,$A299&lt;'Control Room'!$A$15+'Control Room'!$B$15,'Process'!BU4=1),1+('Control Room'!$C$15-1)*EXP(-0.5*(($A299-'Control Room'!$A$15-('Control Room'!$B$15-1)/2)/MAX(0.5,'Control Room'!$B$15/4))^2),1)*IF(AND($A299&gt;='Control Room'!$A$16,$A299&lt;'Control Room'!$A$16+'Control Room'!$B$16,'Process'!BU5=1),1+('Control Room'!$C$16-1)*EXP(-0.5*(($A299-'Control Room'!$A$16-('Control Room'!$B$16-1)/2)/MAX(0.5,'Control Room'!$B$16/4))^2),1)</x:f>
        <x:v>1</x:v>
      </x:c>
      <x:c r="BE299" s="9" t="n">
        <x:f>MOD(BF298*16807,2147483647)</x:f>
        <x:v>163195609</x:v>
      </x:c>
      <x:c r="BF299" s="9" t="n">
        <x:f>MOD(BE299*16807,2147483647)</x:f>
        <x:v>491983244</x:v>
      </x:c>
      <x:c r="BG299" s="17" t="n">
        <x:f>IF('Control Room'!$B$5="Normal",'Control Room'!$B$7+'Control Room'!$D$7*SQRT(-2*LN(MAX(0.000000000001,BE299/2147483647)))*COS(2*PI()*BF299/2147483647),'Control Room'!$B$8+('Control Room'!$D$8-'Control Room'!$B$8)*BE299/2147483647)</x:f>
        <x:v>1026.7578480462366</x:v>
      </x:c>
      <x:c r="BH299" s="17" t="n">
        <x:f>IF('Control Room'!$B$5="Normal",'Control Room'!$B$7,('Control Room'!$B$8+'Control Room'!$D$8)/2)+'Control Room'!$B$9*(BH298-IF('Control Room'!$B$5="Normal",'Control Room'!$B$7,('Control Room'!$B$8+'Control Room'!$D$8)/2))+SQRT(1-'Control Room'!$B$9^2)*(BG299-IF('Control Room'!$B$5="Normal",'Control Room'!$B$7,('Control Room'!$B$8+'Control Room'!$D$8)/2))</x:f>
        <x:v>1004.7252023123563</x:v>
      </x:c>
      <x:c r="BI299" s="17" t="n">
        <x:f>IF(AND($A299&gt;='Control Room'!$A$13,$A299&lt;'Control Room'!$A$13+'Control Room'!$B$13,'Process'!BV2=1),1+('Control Room'!$C$13-1)*EXP(-0.5*(($A299-'Control Room'!$A$13-('Control Room'!$B$13-1)/2)/MAX(0.5,'Control Room'!$B$13/4))^2),1)*IF(AND($A299&gt;='Control Room'!$A$14,$A299&lt;'Control Room'!$A$14+'Control Room'!$B$14,'Process'!BV3=1),1+('Control Room'!$C$14-1)*EXP(-0.5*(($A299-'Control Room'!$A$14-('Control Room'!$B$14-1)/2)/MAX(0.5,'Control Room'!$B$14/4))^2),1)*IF(AND($A299&gt;='Control Room'!$A$15,$A299&lt;'Control Room'!$A$15+'Control Room'!$B$15,'Process'!BV4=1),1+('Control Room'!$C$15-1)*EXP(-0.5*(($A299-'Control Room'!$A$15-('Control Room'!$B$15-1)/2)/MAX(0.5,'Control Room'!$B$15/4))^2),1)*IF(AND($A299&gt;='Control Room'!$A$16,$A299&lt;'Control Room'!$A$16+'Control Room'!$B$16,'Process'!BV5=1),1+('Control Room'!$C$16-1)*EXP(-0.5*(($A299-'Control Room'!$A$16-('Control Room'!$B$16-1)/2)/MAX(0.5,'Control Room'!$B$16/4))^2),1)</x:f>
        <x:v>1</x:v>
      </x:c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Z299" t="str">
        <x:f>IF('Data'!A299="","",TEXT('Data'!A299,"mm-dd"))</x:f>
      </x:c>
    </x:row>
    <x:row r="300" ht="21" customHeight="1">
      <x:c r="A300" s="15" t="n">
        <x:f>'Control Room'!$B$1+298</x:f>
        <x:v>73289</x:v>
      </x:c>
      <x:c r="B300" s="9" t="n">
        <x:f>MOD(C299*16807,2147483647)</x:f>
        <x:v>368518240</x:v>
      </x:c>
      <x:c r="C300" s="9" t="n">
        <x:f>MOD(B300*16807,2147483647)</x:f>
        <x:v>343221732</x:v>
      </x:c>
      <x:c r="D300" s="17" t="n">
        <x:f>IF('Control Room'!$B$5="Normal",'Control Room'!$B$7+'Control Room'!$D$7*SQRT(-2*LN(MAX(0.000000000001,B300/2147483647)))*COS(2*PI()*C300/2147483647),'Control Room'!$B$8+('Control Room'!$D$8-'Control Room'!$B$8)*B300/2147483647)</x:f>
        <x:v>1090.699596635948</x:v>
      </x:c>
      <x:c r="E300" s="17" t="n">
        <x:f>IF('Control Room'!$B$5="Normal",'Control Room'!$B$7,('Control Room'!$B$8+'Control Room'!$D$8)/2)+'Control Room'!$B$9*(E299-IF('Control Room'!$B$5="Normal",'Control Room'!$B$7,('Control Room'!$B$8+'Control Room'!$D$8)/2))+SQRT(1-'Control Room'!$B$9^2)*(D300-IF('Control Room'!$B$5="Normal",'Control Room'!$B$7,('Control Room'!$B$8+'Control Room'!$D$8)/2))</x:f>
        <x:v>968.1701195897083</x:v>
      </x:c>
      <x:c r="F300" s="17" t="n">
        <x:f>IF(AND($A300&gt;='Control Room'!$A$13,$A300&lt;'Control Room'!$A$13+'Control Room'!$B$13,'Process'!BK2=1),1+('Control Room'!$C$13-1)*EXP(-0.5*(($A300-'Control Room'!$A$13-('Control Room'!$B$13-1)/2)/MAX(0.5,'Control Room'!$B$13/4))^2),1)*IF(AND($A300&gt;='Control Room'!$A$14,$A300&lt;'Control Room'!$A$14+'Control Room'!$B$14,'Process'!BK3=1),1+('Control Room'!$C$14-1)*EXP(-0.5*(($A300-'Control Room'!$A$14-('Control Room'!$B$14-1)/2)/MAX(0.5,'Control Room'!$B$14/4))^2),1)*IF(AND($A300&gt;='Control Room'!$A$15,$A300&lt;'Control Room'!$A$15+'Control Room'!$B$15,'Process'!BK4=1),1+('Control Room'!$C$15-1)*EXP(-0.5*(($A300-'Control Room'!$A$15-('Control Room'!$B$15-1)/2)/MAX(0.5,'Control Room'!$B$15/4))^2),1)*IF(AND($A300&gt;='Control Room'!$A$16,$A300&lt;'Control Room'!$A$16+'Control Room'!$B$16,'Process'!BK5=1),1+('Control Room'!$C$16-1)*EXP(-0.5*(($A300-'Control Room'!$A$16-('Control Room'!$B$16-1)/2)/MAX(0.5,'Control Room'!$B$16/4))^2),1)</x:f>
        <x:v>1</x:v>
      </x:c>
      <x:c r="G300" s="9" t="n">
        <x:f>MOD(H299*16807,2147483647)</x:f>
        <x:v>1787991717</x:v>
      </x:c>
      <x:c r="H300" s="9" t="n">
        <x:f>MOD(G300*16807,2147483647)</x:f>
        <x:v>1038115148</x:v>
      </x:c>
      <x:c r="I300" s="17" t="n">
        <x:f>IF('Control Room'!$B$5="Normal",'Control Room'!$B$7+'Control Room'!$D$7*SQRT(-2*LN(MAX(0.000000000001,G300/2147483647)))*COS(2*PI()*H300/2147483647),'Control Room'!$B$8+('Control Room'!$D$8-'Control Room'!$B$8)*G300/2147483647)</x:f>
        <x:v>945.8172625538963</x:v>
      </x:c>
      <x:c r="J300" s="17" t="n">
        <x:f>IF('Control Room'!$B$5="Normal",'Control Room'!$B$7,('Control Room'!$B$8+'Control Room'!$D$8)/2)+'Control Room'!$B$9*(J299-IF('Control Room'!$B$5="Normal",'Control Room'!$B$7,('Control Room'!$B$8+'Control Room'!$D$8)/2))+SQRT(1-'Control Room'!$B$9^2)*(I300-IF('Control Room'!$B$5="Normal",'Control Room'!$B$7,('Control Room'!$B$8+'Control Room'!$D$8)/2))</x:f>
        <x:v>899.2576982242307</x:v>
      </x:c>
      <x:c r="K300" s="17" t="n">
        <x:f>IF(AND($A300&gt;='Control Room'!$A$13,$A300&lt;'Control Room'!$A$13+'Control Room'!$B$13,'Process'!BL2=1),1+('Control Room'!$C$13-1)*EXP(-0.5*(($A300-'Control Room'!$A$13-('Control Room'!$B$13-1)/2)/MAX(0.5,'Control Room'!$B$13/4))^2),1)*IF(AND($A300&gt;='Control Room'!$A$14,$A300&lt;'Control Room'!$A$14+'Control Room'!$B$14,'Process'!BL3=1),1+('Control Room'!$C$14-1)*EXP(-0.5*(($A300-'Control Room'!$A$14-('Control Room'!$B$14-1)/2)/MAX(0.5,'Control Room'!$B$14/4))^2),1)*IF(AND($A300&gt;='Control Room'!$A$15,$A300&lt;'Control Room'!$A$15+'Control Room'!$B$15,'Process'!BL4=1),1+('Control Room'!$C$15-1)*EXP(-0.5*(($A300-'Control Room'!$A$15-('Control Room'!$B$15-1)/2)/MAX(0.5,'Control Room'!$B$15/4))^2),1)*IF(AND($A300&gt;='Control Room'!$A$16,$A300&lt;'Control Room'!$A$16+'Control Room'!$B$16,'Process'!BL5=1),1+('Control Room'!$C$16-1)*EXP(-0.5*(($A300-'Control Room'!$A$16-('Control Room'!$B$16-1)/2)/MAX(0.5,'Control Room'!$B$16/4))^2),1)</x:f>
        <x:v>1</x:v>
      </x:c>
      <x:c r="L300" s="9" t="n">
        <x:f>MOD(M299*16807,2147483647)</x:f>
        <x:v>1059981547</x:v>
      </x:c>
      <x:c r="M300" s="9" t="n">
        <x:f>MOD(L300*16807,2147483647)</x:f>
        <x:v>1733008564</x:v>
      </x:c>
      <x:c r="N300" s="17" t="n">
        <x:f>IF('Control Room'!$B$5="Normal",'Control Room'!$B$7+'Control Room'!$D$7*SQRT(-2*LN(MAX(0.000000000001,L300/2147483647)))*COS(2*PI()*M300/2147483647),'Control Room'!$B$8+('Control Room'!$D$8-'Control Room'!$B$8)*L300/2147483647)</x:f>
        <x:v>1037.4858931570998</x:v>
      </x:c>
      <x:c r="O300" s="17" t="n">
        <x:f>IF('Control Room'!$B$5="Normal",'Control Room'!$B$7,('Control Room'!$B$8+'Control Room'!$D$8)/2)+'Control Room'!$B$9*(O299-IF('Control Room'!$B$5="Normal",'Control Room'!$B$7,('Control Room'!$B$8+'Control Room'!$D$8)/2))+SQRT(1-'Control Room'!$B$9^2)*(N300-IF('Control Room'!$B$5="Normal",'Control Room'!$B$7,('Control Room'!$B$8+'Control Room'!$D$8)/2))</x:f>
        <x:v>992.0699722940312</x:v>
      </x:c>
      <x:c r="P300" s="17" t="n">
        <x:f>IF(AND($A300&gt;='Control Room'!$A$13,$A300&lt;'Control Room'!$A$13+'Control Room'!$B$13,'Process'!BM2=1),1+('Control Room'!$C$13-1)*EXP(-0.5*(($A300-'Control Room'!$A$13-('Control Room'!$B$13-1)/2)/MAX(0.5,'Control Room'!$B$13/4))^2),1)*IF(AND($A300&gt;='Control Room'!$A$14,$A300&lt;'Control Room'!$A$14+'Control Room'!$B$14,'Process'!BM3=1),1+('Control Room'!$C$14-1)*EXP(-0.5*(($A300-'Control Room'!$A$14-('Control Room'!$B$14-1)/2)/MAX(0.5,'Control Room'!$B$14/4))^2),1)*IF(AND($A300&gt;='Control Room'!$A$15,$A300&lt;'Control Room'!$A$15+'Control Room'!$B$15,'Process'!BM4=1),1+('Control Room'!$C$15-1)*EXP(-0.5*(($A300-'Control Room'!$A$15-('Control Room'!$B$15-1)/2)/MAX(0.5,'Control Room'!$B$15/4))^2),1)*IF(AND($A300&gt;='Control Room'!$A$16,$A300&lt;'Control Room'!$A$16+'Control Room'!$B$16,'Process'!BM5=1),1+('Control Room'!$C$16-1)*EXP(-0.5*(($A300-'Control Room'!$A$16-('Control Room'!$B$16-1)/2)/MAX(0.5,'Control Room'!$B$16/4))^2),1)</x:f>
        <x:v>1</x:v>
      </x:c>
      <x:c r="Q300" s="9" t="n">
        <x:f>MOD(R299*16807,2147483647)</x:f>
        <x:v>331971377</x:v>
      </x:c>
      <x:c r="R300" s="9" t="n">
        <x:f>MOD(Q300*16807,2147483647)</x:f>
        <x:v>280418333</x:v>
      </x:c>
      <x:c r="S300" s="17" t="n">
        <x:f>IF('Control Room'!$B$5="Normal",'Control Room'!$B$7+'Control Room'!$D$7*SQRT(-2*LN(MAX(0.000000000001,Q300/2147483647)))*COS(2*PI()*R300/2147483647),'Control Room'!$B$8+('Control Room'!$D$8-'Control Room'!$B$8)*Q300/2147483647)</x:f>
        <x:v>1118.5883288923662</x:v>
      </x:c>
      <x:c r="T300" s="17" t="n">
        <x:f>IF('Control Room'!$B$5="Normal",'Control Room'!$B$7,('Control Room'!$B$8+'Control Room'!$D$8)/2)+'Control Room'!$B$9*(T299-IF('Control Room'!$B$5="Normal",'Control Room'!$B$7,('Control Room'!$B$8+'Control Room'!$D$8)/2))+SQRT(1-'Control Room'!$B$9^2)*(S300-IF('Control Room'!$B$5="Normal",'Control Room'!$B$7,('Control Room'!$B$8+'Control Room'!$D$8)/2))</x:f>
        <x:v>1037.874073272622</x:v>
      </x:c>
      <x:c r="U300" s="17" t="n">
        <x:f>IF(AND($A300&gt;='Control Room'!$A$13,$A300&lt;'Control Room'!$A$13+'Control Room'!$B$13,'Process'!BN2=1),1+('Control Room'!$C$13-1)*EXP(-0.5*(($A300-'Control Room'!$A$13-('Control Room'!$B$13-1)/2)/MAX(0.5,'Control Room'!$B$13/4))^2),1)*IF(AND($A300&gt;='Control Room'!$A$14,$A300&lt;'Control Room'!$A$14+'Control Room'!$B$14,'Process'!BN3=1),1+('Control Room'!$C$14-1)*EXP(-0.5*(($A300-'Control Room'!$A$14-('Control Room'!$B$14-1)/2)/MAX(0.5,'Control Room'!$B$14/4))^2),1)*IF(AND($A300&gt;='Control Room'!$A$15,$A300&lt;'Control Room'!$A$15+'Control Room'!$B$15,'Process'!BN4=1),1+('Control Room'!$C$15-1)*EXP(-0.5*(($A300-'Control Room'!$A$15-('Control Room'!$B$15-1)/2)/MAX(0.5,'Control Room'!$B$15/4))^2),1)*IF(AND($A300&gt;='Control Room'!$A$16,$A300&lt;'Control Room'!$A$16+'Control Room'!$B$16,'Process'!BN5=1),1+('Control Room'!$C$16-1)*EXP(-0.5*(($A300-'Control Room'!$A$16-('Control Room'!$B$16-1)/2)/MAX(0.5,'Control Room'!$B$16/4))^2),1)</x:f>
        <x:v>1</x:v>
      </x:c>
      <x:c r="V300" s="9" t="n">
        <x:f>MOD(W299*16807,2147483647)</x:f>
        <x:v>1751444854</x:v>
      </x:c>
      <x:c r="W300" s="9" t="n">
        <x:f>MOD(V300*16807,2147483647)</x:f>
        <x:v>975311749</x:v>
      </x:c>
      <x:c r="X300" s="17" t="n">
        <x:f>IF('Control Room'!$B$5="Normal",'Control Room'!$B$7+'Control Room'!$D$7*SQRT(-2*LN(MAX(0.000000000001,V300/2147483647)))*COS(2*PI()*W300/2147483647),'Control Room'!$B$8+('Control Room'!$D$8-'Control Room'!$B$8)*V300/2147483647)</x:f>
        <x:v>944.899635244158</x:v>
      </x:c>
      <x:c r="Y300" s="17" t="n">
        <x:f>IF('Control Room'!$B$5="Normal",'Control Room'!$B$7,('Control Room'!$B$8+'Control Room'!$D$8)/2)+'Control Room'!$B$9*(Y299-IF('Control Room'!$B$5="Normal",'Control Room'!$B$7,('Control Room'!$B$8+'Control Room'!$D$8)/2))+SQRT(1-'Control Room'!$B$9^2)*(X300-IF('Control Room'!$B$5="Normal",'Control Room'!$B$7,('Control Room'!$B$8+'Control Room'!$D$8)/2))</x:f>
        <x:v>998.7458459870315</x:v>
      </x:c>
      <x:c r="Z300" s="17" t="n">
        <x:f>IF(AND($A300&gt;='Control Room'!$A$13,$A300&lt;'Control Room'!$A$13+'Control Room'!$B$13,'Process'!BO2=1),1+('Control Room'!$C$13-1)*EXP(-0.5*(($A300-'Control Room'!$A$13-('Control Room'!$B$13-1)/2)/MAX(0.5,'Control Room'!$B$13/4))^2),1)*IF(AND($A300&gt;='Control Room'!$A$14,$A300&lt;'Control Room'!$A$14+'Control Room'!$B$14,'Process'!BO3=1),1+('Control Room'!$C$14-1)*EXP(-0.5*(($A300-'Control Room'!$A$14-('Control Room'!$B$14-1)/2)/MAX(0.5,'Control Room'!$B$14/4))^2),1)*IF(AND($A300&gt;='Control Room'!$A$15,$A300&lt;'Control Room'!$A$15+'Control Room'!$B$15,'Process'!BO4=1),1+('Control Room'!$C$15-1)*EXP(-0.5*(($A300-'Control Room'!$A$15-('Control Room'!$B$15-1)/2)/MAX(0.5,'Control Room'!$B$15/4))^2),1)*IF(AND($A300&gt;='Control Room'!$A$16,$A300&lt;'Control Room'!$A$16+'Control Room'!$B$16,'Process'!BO5=1),1+('Control Room'!$C$16-1)*EXP(-0.5*(($A300-'Control Room'!$A$16-('Control Room'!$B$16-1)/2)/MAX(0.5,'Control Room'!$B$16/4))^2),1)</x:f>
        <x:v>1</x:v>
      </x:c>
      <x:c r="AA300" s="9" t="n">
        <x:f>MOD(AB299*16807,2147483647)</x:f>
        <x:v>1023434684</x:v>
      </x:c>
      <x:c r="AB300" s="9" t="n">
        <x:f>MOD(AA300*16807,2147483647)</x:f>
        <x:v>1670205165</x:v>
      </x:c>
      <x:c r="AC300" s="17" t="n">
        <x:f>IF('Control Room'!$B$5="Normal",'Control Room'!$B$7+'Control Room'!$D$7*SQRT(-2*LN(MAX(0.000000000001,AA300/2147483647)))*COS(2*PI()*AB300/2147483647),'Control Room'!$B$8+('Control Room'!$D$8-'Control Room'!$B$8)*AA300/2147483647)</x:f>
        <x:v>1019.0083235369457</x:v>
      </x:c>
      <x:c r="AD300" s="17" t="n">
        <x:f>IF('Control Room'!$B$5="Normal",'Control Room'!$B$7,('Control Room'!$B$8+'Control Room'!$D$8)/2)+'Control Room'!$B$9*(AD299-IF('Control Room'!$B$5="Normal",'Control Room'!$B$7,('Control Room'!$B$8+'Control Room'!$D$8)/2))+SQRT(1-'Control Room'!$B$9^2)*(AC300-IF('Control Room'!$B$5="Normal",'Control Room'!$B$7,('Control Room'!$B$8+'Control Room'!$D$8)/2))</x:f>
        <x:v>946.3775739672164</x:v>
      </x:c>
      <x:c r="AE300" s="17" t="n">
        <x:f>IF(AND($A300&gt;='Control Room'!$A$13,$A300&lt;'Control Room'!$A$13+'Control Room'!$B$13,'Process'!BP2=1),1+('Control Room'!$C$13-1)*EXP(-0.5*(($A300-'Control Room'!$A$13-('Control Room'!$B$13-1)/2)/MAX(0.5,'Control Room'!$B$13/4))^2),1)*IF(AND($A300&gt;='Control Room'!$A$14,$A300&lt;'Control Room'!$A$14+'Control Room'!$B$14,'Process'!BP3=1),1+('Control Room'!$C$14-1)*EXP(-0.5*(($A300-'Control Room'!$A$14-('Control Room'!$B$14-1)/2)/MAX(0.5,'Control Room'!$B$14/4))^2),1)*IF(AND($A300&gt;='Control Room'!$A$15,$A300&lt;'Control Room'!$A$15+'Control Room'!$B$15,'Process'!BP4=1),1+('Control Room'!$C$15-1)*EXP(-0.5*(($A300-'Control Room'!$A$15-('Control Room'!$B$15-1)/2)/MAX(0.5,'Control Room'!$B$15/4))^2),1)*IF(AND($A300&gt;='Control Room'!$A$16,$A300&lt;'Control Room'!$A$16+'Control Room'!$B$16,'Process'!BP5=1),1+('Control Room'!$C$16-1)*EXP(-0.5*(($A300-'Control Room'!$A$16-('Control Room'!$B$16-1)/2)/MAX(0.5,'Control Room'!$B$16/4))^2),1)</x:f>
        <x:v>1</x:v>
      </x:c>
      <x:c r="AF300" s="9" t="n">
        <x:f>MOD(AG299*16807,2147483647)</x:f>
        <x:v>295424514</x:v>
      </x:c>
      <x:c r="AG300" s="9" t="n">
        <x:f>MOD(AF300*16807,2147483647)</x:f>
        <x:v>217614934</x:v>
      </x:c>
      <x:c r="AH300" s="17" t="n">
        <x:f>IF('Control Room'!$B$5="Normal",'Control Room'!$B$7+'Control Room'!$D$7*SQRT(-2*LN(MAX(0.000000000001,AF300/2147483647)))*COS(2*PI()*AG300/2147483647),'Control Room'!$B$8+('Control Room'!$D$8-'Control Room'!$B$8)*AF300/2147483647)</x:f>
        <x:v>1144.1373685428523</x:v>
      </x:c>
      <x:c r="AI300" s="17" t="n">
        <x:f>IF('Control Room'!$B$5="Normal",'Control Room'!$B$7,('Control Room'!$B$8+'Control Room'!$D$8)/2)+'Control Room'!$B$9*(AI299-IF('Control Room'!$B$5="Normal",'Control Room'!$B$7,('Control Room'!$B$8+'Control Room'!$D$8)/2))+SQRT(1-'Control Room'!$B$9^2)*(AH300-IF('Control Room'!$B$5="Normal",'Control Room'!$B$7,('Control Room'!$B$8+'Control Room'!$D$8)/2))</x:f>
        <x:v>1111.7222129689806</x:v>
      </x:c>
      <x:c r="AJ300" s="17" t="n">
        <x:f>IF(AND($A300&gt;='Control Room'!$A$13,$A300&lt;'Control Room'!$A$13+'Control Room'!$B$13,'Process'!BQ2=1),1+('Control Room'!$C$13-1)*EXP(-0.5*(($A300-'Control Room'!$A$13-('Control Room'!$B$13-1)/2)/MAX(0.5,'Control Room'!$B$13/4))^2),1)*IF(AND($A300&gt;='Control Room'!$A$14,$A300&lt;'Control Room'!$A$14+'Control Room'!$B$14,'Process'!BQ3=1),1+('Control Room'!$C$14-1)*EXP(-0.5*(($A300-'Control Room'!$A$14-('Control Room'!$B$14-1)/2)/MAX(0.5,'Control Room'!$B$14/4))^2),1)*IF(AND($A300&gt;='Control Room'!$A$15,$A300&lt;'Control Room'!$A$15+'Control Room'!$B$15,'Process'!BQ4=1),1+('Control Room'!$C$15-1)*EXP(-0.5*(($A300-'Control Room'!$A$15-('Control Room'!$B$15-1)/2)/MAX(0.5,'Control Room'!$B$15/4))^2),1)*IF(AND($A300&gt;='Control Room'!$A$16,$A300&lt;'Control Room'!$A$16+'Control Room'!$B$16,'Process'!BQ5=1),1+('Control Room'!$C$16-1)*EXP(-0.5*(($A300-'Control Room'!$A$16-('Control Room'!$B$16-1)/2)/MAX(0.5,'Control Room'!$B$16/4))^2),1)</x:f>
        <x:v>1</x:v>
      </x:c>
      <x:c r="AK300" s="9" t="n">
        <x:f>MOD(AL299*16807,2147483647)</x:f>
        <x:v>1714897991</x:v>
      </x:c>
      <x:c r="AL300" s="9" t="n">
        <x:f>MOD(AK300*16807,2147483647)</x:f>
        <x:v>912508350</x:v>
      </x:c>
      <x:c r="AM300" s="17" t="n">
        <x:f>IF('Control Room'!$B$5="Normal",'Control Room'!$B$7+'Control Room'!$D$7*SQRT(-2*LN(MAX(0.000000000001,AK300/2147483647)))*COS(2*PI()*AL300/2147483647),'Control Room'!$B$8+('Control Room'!$D$8-'Control Room'!$B$8)*AK300/2147483647)</x:f>
        <x:v>946.2271283344777</x:v>
      </x:c>
      <x:c r="AN300" s="17" t="n">
        <x:f>IF('Control Room'!$B$5="Normal",'Control Room'!$B$7,('Control Room'!$B$8+'Control Room'!$D$8)/2)+'Control Room'!$B$9*(AN299-IF('Control Room'!$B$5="Normal",'Control Room'!$B$7,('Control Room'!$B$8+'Control Room'!$D$8)/2))+SQRT(1-'Control Room'!$B$9^2)*(AM300-IF('Control Room'!$B$5="Normal",'Control Room'!$B$7,('Control Room'!$B$8+'Control Room'!$D$8)/2))</x:f>
        <x:v>917.270502064482</x:v>
      </x:c>
      <x:c r="AO300" s="17" t="n">
        <x:f>IF(AND($A300&gt;='Control Room'!$A$13,$A300&lt;'Control Room'!$A$13+'Control Room'!$B$13,'Process'!BR2=1),1+('Control Room'!$C$13-1)*EXP(-0.5*(($A300-'Control Room'!$A$13-('Control Room'!$B$13-1)/2)/MAX(0.5,'Control Room'!$B$13/4))^2),1)*IF(AND($A300&gt;='Control Room'!$A$14,$A300&lt;'Control Room'!$A$14+'Control Room'!$B$14,'Process'!BR3=1),1+('Control Room'!$C$14-1)*EXP(-0.5*(($A300-'Control Room'!$A$14-('Control Room'!$B$14-1)/2)/MAX(0.5,'Control Room'!$B$14/4))^2),1)*IF(AND($A300&gt;='Control Room'!$A$15,$A300&lt;'Control Room'!$A$15+'Control Room'!$B$15,'Process'!BR4=1),1+('Control Room'!$C$15-1)*EXP(-0.5*(($A300-'Control Room'!$A$15-('Control Room'!$B$15-1)/2)/MAX(0.5,'Control Room'!$B$15/4))^2),1)*IF(AND($A300&gt;='Control Room'!$A$16,$A300&lt;'Control Room'!$A$16+'Control Room'!$B$16,'Process'!BR5=1),1+('Control Room'!$C$16-1)*EXP(-0.5*(($A300-'Control Room'!$A$16-('Control Room'!$B$16-1)/2)/MAX(0.5,'Control Room'!$B$16/4))^2),1)</x:f>
        <x:v>1</x:v>
      </x:c>
      <x:c r="AP300" s="9" t="n">
        <x:f>MOD(AQ299*16807,2147483647)</x:f>
        <x:v>986887821</x:v>
      </x:c>
      <x:c r="AQ300" s="9" t="n">
        <x:f>MOD(AP300*16807,2147483647)</x:f>
        <x:v>1607401766</x:v>
      </x:c>
      <x:c r="AR300" s="17" t="n">
        <x:f>IF('Control Room'!$B$5="Normal",'Control Room'!$B$7+'Control Room'!$D$7*SQRT(-2*LN(MAX(0.000000000001,AP300/2147483647)))*COS(2*PI()*AQ300/2147483647),'Control Room'!$B$8+('Control Room'!$D$8-'Control Room'!$B$8)*AP300/2147483647)</x:f>
        <x:v>998.9456464719345</x:v>
      </x:c>
      <x:c r="AS300" s="17" t="n">
        <x:f>IF('Control Room'!$B$5="Normal",'Control Room'!$B$7,('Control Room'!$B$8+'Control Room'!$D$8)/2)+'Control Room'!$B$9*(AS299-IF('Control Room'!$B$5="Normal",'Control Room'!$B$7,('Control Room'!$B$8+'Control Room'!$D$8)/2))+SQRT(1-'Control Room'!$B$9^2)*(AR300-IF('Control Room'!$B$5="Normal",'Control Room'!$B$7,('Control Room'!$B$8+'Control Room'!$D$8)/2))</x:f>
        <x:v>907.0275858964769</x:v>
      </x:c>
      <x:c r="AT300" s="17" t="n">
        <x:f>IF(AND($A300&gt;='Control Room'!$A$13,$A300&lt;'Control Room'!$A$13+'Control Room'!$B$13,'Process'!BS2=1),1+('Control Room'!$C$13-1)*EXP(-0.5*(($A300-'Control Room'!$A$13-('Control Room'!$B$13-1)/2)/MAX(0.5,'Control Room'!$B$13/4))^2),1)*IF(AND($A300&gt;='Control Room'!$A$14,$A300&lt;'Control Room'!$A$14+'Control Room'!$B$14,'Process'!BS3=1),1+('Control Room'!$C$14-1)*EXP(-0.5*(($A300-'Control Room'!$A$14-('Control Room'!$B$14-1)/2)/MAX(0.5,'Control Room'!$B$14/4))^2),1)*IF(AND($A300&gt;='Control Room'!$A$15,$A300&lt;'Control Room'!$A$15+'Control Room'!$B$15,'Process'!BS4=1),1+('Control Room'!$C$15-1)*EXP(-0.5*(($A300-'Control Room'!$A$15-('Control Room'!$B$15-1)/2)/MAX(0.5,'Control Room'!$B$15/4))^2),1)*IF(AND($A300&gt;='Control Room'!$A$16,$A300&lt;'Control Room'!$A$16+'Control Room'!$B$16,'Process'!BS5=1),1+('Control Room'!$C$16-1)*EXP(-0.5*(($A300-'Control Room'!$A$16-('Control Room'!$B$16-1)/2)/MAX(0.5,'Control Room'!$B$16/4))^2),1)</x:f>
        <x:v>1</x:v>
      </x:c>
      <x:c r="AU300" s="9" t="n">
        <x:f>MOD(AV299*16807,2147483647)</x:f>
        <x:v>258877651</x:v>
      </x:c>
      <x:c r="AV300" s="9" t="n">
        <x:f>MOD(AU300*16807,2147483647)</x:f>
        <x:v>154811535</x:v>
      </x:c>
      <x:c r="AW300" s="17" t="n">
        <x:f>IF('Control Room'!$B$5="Normal",'Control Room'!$B$7+'Control Room'!$D$7*SQRT(-2*LN(MAX(0.000000000001,AU300/2147483647)))*COS(2*PI()*AV300/2147483647),'Control Room'!$B$8+('Control Room'!$D$8-'Control Room'!$B$8)*AU300/2147483647)</x:f>
        <x:v>1166.4640712835555</x:v>
      </x:c>
      <x:c r="AX300" s="17" t="n">
        <x:f>IF('Control Room'!$B$5="Normal",'Control Room'!$B$7,('Control Room'!$B$8+'Control Room'!$D$8)/2)+'Control Room'!$B$9*(AX299-IF('Control Room'!$B$5="Normal",'Control Room'!$B$7,('Control Room'!$B$8+'Control Room'!$D$8)/2))+SQRT(1-'Control Room'!$B$9^2)*(AW300-IF('Control Room'!$B$5="Normal",'Control Room'!$B$7,('Control Room'!$B$8+'Control Room'!$D$8)/2))</x:f>
        <x:v>940.4725611775636</x:v>
      </x:c>
      <x:c r="AY300" s="17" t="n">
        <x:f>IF(AND($A300&gt;='Control Room'!$A$13,$A300&lt;'Control Room'!$A$13+'Control Room'!$B$13,'Process'!BT2=1),1+('Control Room'!$C$13-1)*EXP(-0.5*(($A300-'Control Room'!$A$13-('Control Room'!$B$13-1)/2)/MAX(0.5,'Control Room'!$B$13/4))^2),1)*IF(AND($A300&gt;='Control Room'!$A$14,$A300&lt;'Control Room'!$A$14+'Control Room'!$B$14,'Process'!BT3=1),1+('Control Room'!$C$14-1)*EXP(-0.5*(($A300-'Control Room'!$A$14-('Control Room'!$B$14-1)/2)/MAX(0.5,'Control Room'!$B$14/4))^2),1)*IF(AND($A300&gt;='Control Room'!$A$15,$A300&lt;'Control Room'!$A$15+'Control Room'!$B$15,'Process'!BT4=1),1+('Control Room'!$C$15-1)*EXP(-0.5*(($A300-'Control Room'!$A$15-('Control Room'!$B$15-1)/2)/MAX(0.5,'Control Room'!$B$15/4))^2),1)*IF(AND($A300&gt;='Control Room'!$A$16,$A300&lt;'Control Room'!$A$16+'Control Room'!$B$16,'Process'!BT5=1),1+('Control Room'!$C$16-1)*EXP(-0.5*(($A300-'Control Room'!$A$16-('Control Room'!$B$16-1)/2)/MAX(0.5,'Control Room'!$B$16/4))^2),1)</x:f>
        <x:v>1</x:v>
      </x:c>
      <x:c r="AZ300" s="9" t="n">
        <x:f>MOD(BA299*16807,2147483647)</x:f>
        <x:v>1678351128</x:v>
      </x:c>
      <x:c r="BA300" s="9" t="n">
        <x:f>MOD(AZ300*16807,2147483647)</x:f>
        <x:v>849704951</x:v>
      </x:c>
      <x:c r="BB300" s="17" t="n">
        <x:f>IF('Control Room'!$B$5="Normal",'Control Room'!$B$7+'Control Room'!$D$7*SQRT(-2*LN(MAX(0.000000000001,AZ300/2147483647)))*COS(2*PI()*BA300/2147483647),'Control Room'!$B$8+('Control Room'!$D$8-'Control Room'!$B$8)*AZ300/2147483647)</x:f>
        <x:v>949.9058691992273</x:v>
      </x:c>
      <x:c r="BC300" s="17" t="n">
        <x:f>IF('Control Room'!$B$5="Normal",'Control Room'!$B$7,('Control Room'!$B$8+'Control Room'!$D$8)/2)+'Control Room'!$B$9*(BC299-IF('Control Room'!$B$5="Normal",'Control Room'!$B$7,('Control Room'!$B$8+'Control Room'!$D$8)/2))+SQRT(1-'Control Room'!$B$9^2)*(BB300-IF('Control Room'!$B$5="Normal",'Control Room'!$B$7,('Control Room'!$B$8+'Control Room'!$D$8)/2))</x:f>
        <x:v>952.1028102254206</x:v>
      </x:c>
      <x:c r="BD300" s="17" t="n">
        <x:f>IF(AND($A300&gt;='Control Room'!$A$13,$A300&lt;'Control Room'!$A$13+'Control Room'!$B$13,'Process'!BU2=1),1+('Control Room'!$C$13-1)*EXP(-0.5*(($A300-'Control Room'!$A$13-('Control Room'!$B$13-1)/2)/MAX(0.5,'Control Room'!$B$13/4))^2),1)*IF(AND($A300&gt;='Control Room'!$A$14,$A300&lt;'Control Room'!$A$14+'Control Room'!$B$14,'Process'!BU3=1),1+('Control Room'!$C$14-1)*EXP(-0.5*(($A300-'Control Room'!$A$14-('Control Room'!$B$14-1)/2)/MAX(0.5,'Control Room'!$B$14/4))^2),1)*IF(AND($A300&gt;='Control Room'!$A$15,$A300&lt;'Control Room'!$A$15+'Control Room'!$B$15,'Process'!BU4=1),1+('Control Room'!$C$15-1)*EXP(-0.5*(($A300-'Control Room'!$A$15-('Control Room'!$B$15-1)/2)/MAX(0.5,'Control Room'!$B$15/4))^2),1)*IF(AND($A300&gt;='Control Room'!$A$16,$A300&lt;'Control Room'!$A$16+'Control Room'!$B$16,'Process'!BU5=1),1+('Control Room'!$C$16-1)*EXP(-0.5*(($A300-'Control Room'!$A$16-('Control Room'!$B$16-1)/2)/MAX(0.5,'Control Room'!$B$16/4))^2),1)</x:f>
        <x:v>1</x:v>
      </x:c>
      <x:c r="BE300" s="9" t="n">
        <x:f>MOD(BF299*16807,2147483647)</x:f>
        <x:v>950340958</x:v>
      </x:c>
      <x:c r="BF300" s="9" t="n">
        <x:f>MOD(BE300*16807,2147483647)</x:f>
        <x:v>1544598367</x:v>
      </x:c>
      <x:c r="BG300" s="17" t="n">
        <x:f>IF('Control Room'!$B$5="Normal",'Control Room'!$B$7+'Control Room'!$D$7*SQRT(-2*LN(MAX(0.000000000001,BE300/2147483647)))*COS(2*PI()*BF300/2147483647),'Control Room'!$B$8+('Control Room'!$D$8-'Control Room'!$B$8)*BE300/2147483647)</x:f>
        <x:v>977.9411570512763</x:v>
      </x:c>
      <x:c r="BH300" s="17" t="n">
        <x:f>IF('Control Room'!$B$5="Normal",'Control Room'!$B$7,('Control Room'!$B$8+'Control Room'!$D$8)/2)+'Control Room'!$B$9*(BH299-IF('Control Room'!$B$5="Normal",'Control Room'!$B$7,('Control Room'!$B$8+'Control Room'!$D$8)/2))+SQRT(1-'Control Room'!$B$9^2)*(BG300-IF('Control Room'!$B$5="Normal",'Control Room'!$B$7,('Control Room'!$B$8+'Control Room'!$D$8)/2))</x:f>
        <x:v>989.8816857862873</x:v>
      </x:c>
      <x:c r="BI300" s="17" t="n">
        <x:f>IF(AND($A300&gt;='Control Room'!$A$13,$A300&lt;'Control Room'!$A$13+'Control Room'!$B$13,'Process'!BV2=1),1+('Control Room'!$C$13-1)*EXP(-0.5*(($A300-'Control Room'!$A$13-('Control Room'!$B$13-1)/2)/MAX(0.5,'Control Room'!$B$13/4))^2),1)*IF(AND($A300&gt;='Control Room'!$A$14,$A300&lt;'Control Room'!$A$14+'Control Room'!$B$14,'Process'!BV3=1),1+('Control Room'!$C$14-1)*EXP(-0.5*(($A300-'Control Room'!$A$14-('Control Room'!$B$14-1)/2)/MAX(0.5,'Control Room'!$B$14/4))^2),1)*IF(AND($A300&gt;='Control Room'!$A$15,$A300&lt;'Control Room'!$A$15+'Control Room'!$B$15,'Process'!BV4=1),1+('Control Room'!$C$15-1)*EXP(-0.5*(($A300-'Control Room'!$A$15-('Control Room'!$B$15-1)/2)/MAX(0.5,'Control Room'!$B$15/4))^2),1)*IF(AND($A300&gt;='Control Room'!$A$16,$A300&lt;'Control Room'!$A$16+'Control Room'!$B$16,'Process'!BV5=1),1+('Control Room'!$C$16-1)*EXP(-0.5*(($A300-'Control Room'!$A$16-('Control Room'!$B$16-1)/2)/MAX(0.5,'Control Room'!$B$16/4))^2),1)</x:f>
        <x:v>1</x:v>
      </x:c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Z300" t="str">
        <x:f>IF('Data'!A300="","",TEXT('Data'!A300,"mm-dd"))</x:f>
      </x:c>
    </x:row>
    <x:row r="301" ht="21" customHeight="1">
      <x:c r="A301" s="15" t="n">
        <x:f>'Control Room'!$B$1+299</x:f>
        <x:v>73290</x:v>
      </x:c>
      <x:c r="B301" s="9" t="n">
        <x:f>MOD(C300*16807,2147483647)</x:f>
        <x:v>386573882</x:v>
      </x:c>
      <x:c r="C301" s="9" t="n">
        <x:f>MOD(B301*16807,2147483647)</x:f>
        <x:v>1009202599</x:v>
      </x:c>
      <x:c r="D301" s="17" t="n">
        <x:f>IF('Control Room'!$B$5="Normal",'Control Room'!$B$7+'Control Room'!$D$7*SQRT(-2*LN(MAX(0.000000000001,B301/2147483647)))*COS(2*PI()*C301/2147483647),'Control Room'!$B$8+('Control Room'!$D$8-'Control Room'!$B$8)*B301/2147483647)</x:f>
        <x:v>836.2934962307315</x:v>
      </x:c>
      <x:c r="E301" s="17" t="n">
        <x:f>IF('Control Room'!$B$5="Normal",'Control Room'!$B$7,('Control Room'!$B$8+'Control Room'!$D$8)/2)+'Control Room'!$B$9*(E300-IF('Control Room'!$B$5="Normal",'Control Room'!$B$7,('Control Room'!$B$8+'Control Room'!$D$8)/2))+SQRT(1-'Control Room'!$B$9^2)*(D301-IF('Control Room'!$B$5="Normal",'Control Room'!$B$7,('Control Room'!$B$8+'Control Room'!$D$8)/2))</x:f>
        <x:v>872.7285169311843</x:v>
      </x:c>
      <x:c r="F301" s="17" t="n">
        <x:f>IF(AND($A301&gt;='Control Room'!$A$13,$A301&lt;'Control Room'!$A$13+'Control Room'!$B$13,'Process'!BK2=1),1+('Control Room'!$C$13-1)*EXP(-0.5*(($A301-'Control Room'!$A$13-('Control Room'!$B$13-1)/2)/MAX(0.5,'Control Room'!$B$13/4))^2),1)*IF(AND($A301&gt;='Control Room'!$A$14,$A301&lt;'Control Room'!$A$14+'Control Room'!$B$14,'Process'!BK3=1),1+('Control Room'!$C$14-1)*EXP(-0.5*(($A301-'Control Room'!$A$14-('Control Room'!$B$14-1)/2)/MAX(0.5,'Control Room'!$B$14/4))^2),1)*IF(AND($A301&gt;='Control Room'!$A$15,$A301&lt;'Control Room'!$A$15+'Control Room'!$B$15,'Process'!BK4=1),1+('Control Room'!$C$15-1)*EXP(-0.5*(($A301-'Control Room'!$A$15-('Control Room'!$B$15-1)/2)/MAX(0.5,'Control Room'!$B$15/4))^2),1)*IF(AND($A301&gt;='Control Room'!$A$16,$A301&lt;'Control Room'!$A$16+'Control Room'!$B$16,'Process'!BK5=1),1+('Control Room'!$C$16-1)*EXP(-0.5*(($A301-'Control Room'!$A$16-('Control Room'!$B$16-1)/2)/MAX(0.5,'Control Room'!$B$16/4))^2),1)</x:f>
        <x:v>1</x:v>
      </x:c>
      <x:c r="G301" s="9" t="n">
        <x:f>MOD(H300*16807,2147483647)</x:f>
        <x:v>1444144208</x:v>
      </x:c>
      <x:c r="H301" s="9" t="n">
        <x:f>MOD(G301*16807,2147483647)</x:f>
        <x:v>871525462</x:v>
      </x:c>
      <x:c r="I301" s="17" t="n">
        <x:f>IF('Control Room'!$B$5="Normal",'Control Room'!$B$7+'Control Room'!$D$7*SQRT(-2*LN(MAX(0.000000000001,G301/2147483647)))*COS(2*PI()*H301/2147483647),'Control Room'!$B$8+('Control Room'!$D$8-'Control Room'!$B$8)*G301/2147483647)</x:f>
        <x:v>933.4541282788272</x:v>
      </x:c>
      <x:c r="J301" s="17" t="n">
        <x:f>IF('Control Room'!$B$5="Normal",'Control Room'!$B$7,('Control Room'!$B$8+'Control Room'!$D$8)/2)+'Control Room'!$B$9*(J300-IF('Control Room'!$B$5="Normal",'Control Room'!$B$7,('Control Room'!$B$8+'Control Room'!$D$8)/2))+SQRT(1-'Control Room'!$B$9^2)*(I301-IF('Control Room'!$B$5="Normal",'Control Room'!$B$7,('Control Room'!$B$8+'Control Room'!$D$8)/2))</x:f>
        <x:v>879.7779613580724</x:v>
      </x:c>
      <x:c r="K301" s="17" t="n">
        <x:f>IF(AND($A301&gt;='Control Room'!$A$13,$A301&lt;'Control Room'!$A$13+'Control Room'!$B$13,'Process'!BL2=1),1+('Control Room'!$C$13-1)*EXP(-0.5*(($A301-'Control Room'!$A$13-('Control Room'!$B$13-1)/2)/MAX(0.5,'Control Room'!$B$13/4))^2),1)*IF(AND($A301&gt;='Control Room'!$A$14,$A301&lt;'Control Room'!$A$14+'Control Room'!$B$14,'Process'!BL3=1),1+('Control Room'!$C$14-1)*EXP(-0.5*(($A301-'Control Room'!$A$14-('Control Room'!$B$14-1)/2)/MAX(0.5,'Control Room'!$B$14/4))^2),1)*IF(AND($A301&gt;='Control Room'!$A$15,$A301&lt;'Control Room'!$A$15+'Control Room'!$B$15,'Process'!BL4=1),1+('Control Room'!$C$15-1)*EXP(-0.5*(($A301-'Control Room'!$A$15-('Control Room'!$B$15-1)/2)/MAX(0.5,'Control Room'!$B$15/4))^2),1)*IF(AND($A301&gt;='Control Room'!$A$16,$A301&lt;'Control Room'!$A$16+'Control Room'!$B$16,'Process'!BL5=1),1+('Control Room'!$C$16-1)*EXP(-0.5*(($A301-'Control Room'!$A$16-('Control Room'!$B$16-1)/2)/MAX(0.5,'Control Room'!$B$16/4))^2),1)</x:f>
        <x:v>1</x:v>
      </x:c>
      <x:c r="L301" s="9" t="n">
        <x:f>MOD(M300*16807,2147483647)</x:f>
        <x:v>354230887</x:v>
      </x:c>
      <x:c r="M301" s="9" t="n">
        <x:f>MOD(L301*16807,2147483647)</x:f>
        <x:v>733848325</x:v>
      </x:c>
      <x:c r="N301" s="17" t="n">
        <x:f>IF('Control Room'!$B$5="Normal",'Control Room'!$B$7+'Control Room'!$D$7*SQRT(-2*LN(MAX(0.000000000001,L301/2147483647)))*COS(2*PI()*M301/2147483647),'Control Room'!$B$8+('Control Room'!$D$8-'Control Room'!$B$8)*L301/2147483647)</x:f>
        <x:v>906.8891955754474</x:v>
      </x:c>
      <x:c r="O301" s="17" t="n">
        <x:f>IF('Control Room'!$B$5="Normal",'Control Room'!$B$7,('Control Room'!$B$8+'Control Room'!$D$8)/2)+'Control Room'!$B$9*(O300-IF('Control Room'!$B$5="Normal",'Control Room'!$B$7,('Control Room'!$B$8+'Control Room'!$D$8)/2))+SQRT(1-'Control Room'!$B$9^2)*(N301-IF('Control Room'!$B$5="Normal",'Control Room'!$B$7,('Control Room'!$B$8+'Control Room'!$D$8)/2))</x:f>
        <x:v>935.5477444589686</x:v>
      </x:c>
      <x:c r="P301" s="17" t="n">
        <x:f>IF(AND($A301&gt;='Control Room'!$A$13,$A301&lt;'Control Room'!$A$13+'Control Room'!$B$13,'Process'!BM2=1),1+('Control Room'!$C$13-1)*EXP(-0.5*(($A301-'Control Room'!$A$13-('Control Room'!$B$13-1)/2)/MAX(0.5,'Control Room'!$B$13/4))^2),1)*IF(AND($A301&gt;='Control Room'!$A$14,$A301&lt;'Control Room'!$A$14+'Control Room'!$B$14,'Process'!BM3=1),1+('Control Room'!$C$14-1)*EXP(-0.5*(($A301-'Control Room'!$A$14-('Control Room'!$B$14-1)/2)/MAX(0.5,'Control Room'!$B$14/4))^2),1)*IF(AND($A301&gt;='Control Room'!$A$15,$A301&lt;'Control Room'!$A$15+'Control Room'!$B$15,'Process'!BM4=1),1+('Control Room'!$C$15-1)*EXP(-0.5*(($A301-'Control Room'!$A$15-('Control Room'!$B$15-1)/2)/MAX(0.5,'Control Room'!$B$15/4))^2),1)*IF(AND($A301&gt;='Control Room'!$A$16,$A301&lt;'Control Room'!$A$16+'Control Room'!$B$16,'Process'!BM5=1),1+('Control Room'!$C$16-1)*EXP(-0.5*(($A301-'Control Room'!$A$16-('Control Room'!$B$16-1)/2)/MAX(0.5,'Control Room'!$B$16/4))^2),1)</x:f>
        <x:v>1</x:v>
      </x:c>
      <x:c r="Q301" s="9" t="n">
        <x:f>MOD(R300*16807,2147483647)</x:f>
        <x:v>1411801213</x:v>
      </x:c>
      <x:c r="R301" s="9" t="n">
        <x:f>MOD(Q301*16807,2147483647)</x:f>
        <x:v>596171188</x:v>
      </x:c>
      <x:c r="S301" s="17" t="n">
        <x:f>IF('Control Room'!$B$5="Normal",'Control Room'!$B$7+'Control Room'!$D$7*SQRT(-2*LN(MAX(0.000000000001,Q301/2147483647)))*COS(2*PI()*R301/2147483647),'Control Room'!$B$8+('Control Room'!$D$8-'Control Room'!$B$8)*Q301/2147483647)</x:f>
        <x:v>985.7697329612511</x:v>
      </x:c>
      <x:c r="T301" s="17" t="n">
        <x:f>IF('Control Room'!$B$5="Normal",'Control Room'!$B$7,('Control Room'!$B$8+'Control Room'!$D$8)/2)+'Control Room'!$B$9*(T300-IF('Control Room'!$B$5="Normal",'Control Room'!$B$7,('Control Room'!$B$8+'Control Room'!$D$8)/2))+SQRT(1-'Control Room'!$B$9^2)*(S301-IF('Control Room'!$B$5="Normal",'Control Room'!$B$7,('Control Room'!$B$8+'Control Room'!$D$8)/2))</x:f>
        <x:v>1020.636767562662</x:v>
      </x:c>
      <x:c r="U301" s="17" t="n">
        <x:f>IF(AND($A301&gt;='Control Room'!$A$13,$A301&lt;'Control Room'!$A$13+'Control Room'!$B$13,'Process'!BN2=1),1+('Control Room'!$C$13-1)*EXP(-0.5*(($A301-'Control Room'!$A$13-('Control Room'!$B$13-1)/2)/MAX(0.5,'Control Room'!$B$13/4))^2),1)*IF(AND($A301&gt;='Control Room'!$A$14,$A301&lt;'Control Room'!$A$14+'Control Room'!$B$14,'Process'!BN3=1),1+('Control Room'!$C$14-1)*EXP(-0.5*(($A301-'Control Room'!$A$14-('Control Room'!$B$14-1)/2)/MAX(0.5,'Control Room'!$B$14/4))^2),1)*IF(AND($A301&gt;='Control Room'!$A$15,$A301&lt;'Control Room'!$A$15+'Control Room'!$B$15,'Process'!BN4=1),1+('Control Room'!$C$15-1)*EXP(-0.5*(($A301-'Control Room'!$A$15-('Control Room'!$B$15-1)/2)/MAX(0.5,'Control Room'!$B$15/4))^2),1)*IF(AND($A301&gt;='Control Room'!$A$16,$A301&lt;'Control Room'!$A$16+'Control Room'!$B$16,'Process'!BN5=1),1+('Control Room'!$C$16-1)*EXP(-0.5*(($A301-'Control Room'!$A$16-('Control Room'!$B$16-1)/2)/MAX(0.5,'Control Room'!$B$16/4))^2),1)</x:f>
        <x:v>1</x:v>
      </x:c>
      <x:c r="V301" s="9" t="n">
        <x:f>MOD(W300*16807,2147483647)</x:f>
        <x:v>321887892</x:v>
      </x:c>
      <x:c r="W301" s="9" t="n">
        <x:f>MOD(V301*16807,2147483647)</x:f>
        <x:v>458494051</x:v>
      </x:c>
      <x:c r="X301" s="17" t="n">
        <x:f>IF('Control Room'!$B$5="Normal",'Control Room'!$B$7+'Control Room'!$D$7*SQRT(-2*LN(MAX(0.000000000001,V301/2147483647)))*COS(2*PI()*W301/2147483647),'Control Room'!$B$8+('Control Room'!$D$8-'Control Room'!$B$8)*V301/2147483647)</x:f>
        <x:v>1039.857781754672</x:v>
      </x:c>
      <x:c r="Y301" s="17" t="n">
        <x:f>IF('Control Room'!$B$5="Normal",'Control Room'!$B$7,('Control Room'!$B$8+'Control Room'!$D$8)/2)+'Control Room'!$B$9*(Y300-IF('Control Room'!$B$5="Normal",'Control Room'!$B$7,('Control Room'!$B$8+'Control Room'!$D$8)/2))+SQRT(1-'Control Room'!$B$9^2)*(X301-IF('Control Room'!$B$5="Normal",'Control Room'!$B$7,('Control Room'!$B$8+'Control Room'!$D$8)/2))</x:f>
        <x:v>1023.9639431609166</x:v>
      </x:c>
      <x:c r="Z301" s="17" t="n">
        <x:f>IF(AND($A301&gt;='Control Room'!$A$13,$A301&lt;'Control Room'!$A$13+'Control Room'!$B$13,'Process'!BO2=1),1+('Control Room'!$C$13-1)*EXP(-0.5*(($A301-'Control Room'!$A$13-('Control Room'!$B$13-1)/2)/MAX(0.5,'Control Room'!$B$13/4))^2),1)*IF(AND($A301&gt;='Control Room'!$A$14,$A301&lt;'Control Room'!$A$14+'Control Room'!$B$14,'Process'!BO3=1),1+('Control Room'!$C$14-1)*EXP(-0.5*(($A301-'Control Room'!$A$14-('Control Room'!$B$14-1)/2)/MAX(0.5,'Control Room'!$B$14/4))^2),1)*IF(AND($A301&gt;='Control Room'!$A$15,$A301&lt;'Control Room'!$A$15+'Control Room'!$B$15,'Process'!BO4=1),1+('Control Room'!$C$15-1)*EXP(-0.5*(($A301-'Control Room'!$A$15-('Control Room'!$B$15-1)/2)/MAX(0.5,'Control Room'!$B$15/4))^2),1)*IF(AND($A301&gt;='Control Room'!$A$16,$A301&lt;'Control Room'!$A$16+'Control Room'!$B$16,'Process'!BO5=1),1+('Control Room'!$C$16-1)*EXP(-0.5*(($A301-'Control Room'!$A$16-('Control Room'!$B$16-1)/2)/MAX(0.5,'Control Room'!$B$16/4))^2),1)</x:f>
        <x:v>1</x:v>
      </x:c>
      <x:c r="AA301" s="9" t="n">
        <x:f>MOD(AB300*16807,2147483647)</x:f>
        <x:v>1379458218</x:v>
      </x:c>
      <x:c r="AB301" s="9" t="n">
        <x:f>MOD(AA301*16807,2147483647)</x:f>
        <x:v>320816914</x:v>
      </x:c>
      <x:c r="AC301" s="17" t="n">
        <x:f>IF('Control Room'!$B$5="Normal",'Control Room'!$B$7+'Control Room'!$D$7*SQRT(-2*LN(MAX(0.000000000001,AA301/2147483647)))*COS(2*PI()*AB301/2147483647),'Control Room'!$B$8+('Control Room'!$D$8-'Control Room'!$B$8)*AA301/2147483647)</x:f>
        <x:v>1050.0332983414494</x:v>
      </x:c>
      <x:c r="AD301" s="17" t="n">
        <x:f>IF('Control Room'!$B$5="Normal",'Control Room'!$B$7,('Control Room'!$B$8+'Control Room'!$D$8)/2)+'Control Room'!$B$9*(AD300-IF('Control Room'!$B$5="Normal",'Control Room'!$B$7,('Control Room'!$B$8+'Control Room'!$D$8)/2))+SQRT(1-'Control Room'!$B$9^2)*(AC301-IF('Control Room'!$B$5="Normal",'Control Room'!$B$7,('Control Room'!$B$8+'Control Room'!$D$8)/2))</x:f>
        <x:v>989.4843208086783</x:v>
      </x:c>
      <x:c r="AE301" s="17" t="n">
        <x:f>IF(AND($A301&gt;='Control Room'!$A$13,$A301&lt;'Control Room'!$A$13+'Control Room'!$B$13,'Process'!BP2=1),1+('Control Room'!$C$13-1)*EXP(-0.5*(($A301-'Control Room'!$A$13-('Control Room'!$B$13-1)/2)/MAX(0.5,'Control Room'!$B$13/4))^2),1)*IF(AND($A301&gt;='Control Room'!$A$14,$A301&lt;'Control Room'!$A$14+'Control Room'!$B$14,'Process'!BP3=1),1+('Control Room'!$C$14-1)*EXP(-0.5*(($A301-'Control Room'!$A$14-('Control Room'!$B$14-1)/2)/MAX(0.5,'Control Room'!$B$14/4))^2),1)*IF(AND($A301&gt;='Control Room'!$A$15,$A301&lt;'Control Room'!$A$15+'Control Room'!$B$15,'Process'!BP4=1),1+('Control Room'!$C$15-1)*EXP(-0.5*(($A301-'Control Room'!$A$15-('Control Room'!$B$15-1)/2)/MAX(0.5,'Control Room'!$B$15/4))^2),1)*IF(AND($A301&gt;='Control Room'!$A$16,$A301&lt;'Control Room'!$A$16+'Control Room'!$B$16,'Process'!BP5=1),1+('Control Room'!$C$16-1)*EXP(-0.5*(($A301-'Control Room'!$A$16-('Control Room'!$B$16-1)/2)/MAX(0.5,'Control Room'!$B$16/4))^2),1)</x:f>
        <x:v>1</x:v>
      </x:c>
      <x:c r="AF301" s="9" t="n">
        <x:f>MOD(AG300*16807,2147483647)</x:f>
        <x:v>289544897</x:v>
      </x:c>
      <x:c r="AG301" s="9" t="n">
        <x:f>MOD(AF301*16807,2147483647)</x:f>
        <x:v>183139777</x:v>
      </x:c>
      <x:c r="AH301" s="17" t="n">
        <x:f>IF('Control Room'!$B$5="Normal",'Control Room'!$B$7+'Control Room'!$D$7*SQRT(-2*LN(MAX(0.000000000001,AF301/2147483647)))*COS(2*PI()*AG301/2147483647),'Control Room'!$B$8+('Control Room'!$D$8-'Control Room'!$B$8)*AF301/2147483647)</x:f>
        <x:v>1154.9161963354225</x:v>
      </x:c>
      <x:c r="AI301" s="17" t="n">
        <x:f>IF('Control Room'!$B$5="Normal",'Control Room'!$B$7,('Control Room'!$B$8+'Control Room'!$D$8)/2)+'Control Room'!$B$9*(AI300-IF('Control Room'!$B$5="Normal",'Control Room'!$B$7,('Control Room'!$B$8+'Control Room'!$D$8)/2))+SQRT(1-'Control Room'!$B$9^2)*(AH301-IF('Control Room'!$B$5="Normal",'Control Room'!$B$7,('Control Room'!$B$8+'Control Room'!$D$8)/2))</x:f>
        <x:v>1184.086708151728</x:v>
      </x:c>
      <x:c r="AJ301" s="17" t="n">
        <x:f>IF(AND($A301&gt;='Control Room'!$A$13,$A301&lt;'Control Room'!$A$13+'Control Room'!$B$13,'Process'!BQ2=1),1+('Control Room'!$C$13-1)*EXP(-0.5*(($A301-'Control Room'!$A$13-('Control Room'!$B$13-1)/2)/MAX(0.5,'Control Room'!$B$13/4))^2),1)*IF(AND($A301&gt;='Control Room'!$A$14,$A301&lt;'Control Room'!$A$14+'Control Room'!$B$14,'Process'!BQ3=1),1+('Control Room'!$C$14-1)*EXP(-0.5*(($A301-'Control Room'!$A$14-('Control Room'!$B$14-1)/2)/MAX(0.5,'Control Room'!$B$14/4))^2),1)*IF(AND($A301&gt;='Control Room'!$A$15,$A301&lt;'Control Room'!$A$15+'Control Room'!$B$15,'Process'!BQ4=1),1+('Control Room'!$C$15-1)*EXP(-0.5*(($A301-'Control Room'!$A$15-('Control Room'!$B$15-1)/2)/MAX(0.5,'Control Room'!$B$15/4))^2),1)*IF(AND($A301&gt;='Control Room'!$A$16,$A301&lt;'Control Room'!$A$16+'Control Room'!$B$16,'Process'!BQ5=1),1+('Control Room'!$C$16-1)*EXP(-0.5*(($A301-'Control Room'!$A$16-('Control Room'!$B$16-1)/2)/MAX(0.5,'Control Room'!$B$16/4))^2),1)</x:f>
        <x:v>1</x:v>
      </x:c>
      <x:c r="AK301" s="9" t="n">
        <x:f>MOD(AL300*16807,2147483647)</x:f>
        <x:v>1347115223</x:v>
      </x:c>
      <x:c r="AL301" s="9" t="n">
        <x:f>MOD(AK301*16807,2147483647)</x:f>
        <x:v>45462640</x:v>
      </x:c>
      <x:c r="AM301" s="17" t="n">
        <x:f>IF('Control Room'!$B$5="Normal",'Control Room'!$B$7+'Control Room'!$D$7*SQRT(-2*LN(MAX(0.000000000001,AK301/2147483647)))*COS(2*PI()*AL301/2147483647),'Control Room'!$B$8+('Control Room'!$D$8-'Control Room'!$B$8)*AK301/2147483647)</x:f>
        <x:v>1086.1492227160675</x:v>
      </x:c>
      <x:c r="AN301" s="17" t="n">
        <x:f>IF('Control Room'!$B$5="Normal",'Control Room'!$B$7,('Control Room'!$B$8+'Control Room'!$D$8)/2)+'Control Room'!$B$9*(AN300-IF('Control Room'!$B$5="Normal",'Control Room'!$B$7,('Control Room'!$B$8+'Control Room'!$D$8)/2))+SQRT(1-'Control Room'!$B$9^2)*(AM301-IF('Control Room'!$B$5="Normal",'Control Room'!$B$7,('Control Room'!$B$8+'Control Room'!$D$8)/2))</x:f>
        <x:v>989.3814103232548</x:v>
      </x:c>
      <x:c r="AO301" s="17" t="n">
        <x:f>IF(AND($A301&gt;='Control Room'!$A$13,$A301&lt;'Control Room'!$A$13+'Control Room'!$B$13,'Process'!BR2=1),1+('Control Room'!$C$13-1)*EXP(-0.5*(($A301-'Control Room'!$A$13-('Control Room'!$B$13-1)/2)/MAX(0.5,'Control Room'!$B$13/4))^2),1)*IF(AND($A301&gt;='Control Room'!$A$14,$A301&lt;'Control Room'!$A$14+'Control Room'!$B$14,'Process'!BR3=1),1+('Control Room'!$C$14-1)*EXP(-0.5*(($A301-'Control Room'!$A$14-('Control Room'!$B$14-1)/2)/MAX(0.5,'Control Room'!$B$14/4))^2),1)*IF(AND($A301&gt;='Control Room'!$A$15,$A301&lt;'Control Room'!$A$15+'Control Room'!$B$15,'Process'!BR4=1),1+('Control Room'!$C$15-1)*EXP(-0.5*(($A301-'Control Room'!$A$15-('Control Room'!$B$15-1)/2)/MAX(0.5,'Control Room'!$B$15/4))^2),1)*IF(AND($A301&gt;='Control Room'!$A$16,$A301&lt;'Control Room'!$A$16+'Control Room'!$B$16,'Process'!BR5=1),1+('Control Room'!$C$16-1)*EXP(-0.5*(($A301-'Control Room'!$A$16-('Control Room'!$B$16-1)/2)/MAX(0.5,'Control Room'!$B$16/4))^2),1)</x:f>
        <x:v>1</x:v>
      </x:c>
      <x:c r="AP301" s="9" t="n">
        <x:f>MOD(AQ300*16807,2147483647)</x:f>
        <x:v>257201902</x:v>
      </x:c>
      <x:c r="AQ301" s="9" t="n">
        <x:f>MOD(AP301*16807,2147483647)</x:f>
        <x:v>2055269150</x:v>
      </x:c>
      <x:c r="AR301" s="17" t="n">
        <x:f>IF('Control Room'!$B$5="Normal",'Control Room'!$B$7+'Control Room'!$D$7*SQRT(-2*LN(MAX(0.000000000001,AP301/2147483647)))*COS(2*PI()*AQ301/2147483647),'Control Room'!$B$8+('Control Room'!$D$8-'Control Room'!$B$8)*AP301/2147483647)</x:f>
        <x:v>1178.7092372564553</x:v>
      </x:c>
      <x:c r="AS301" s="17" t="n">
        <x:f>IF('Control Room'!$B$5="Normal",'Control Room'!$B$7,('Control Room'!$B$8+'Control Room'!$D$8)/2)+'Control Room'!$B$9*(AS300-IF('Control Room'!$B$5="Normal",'Control Room'!$B$7,('Control Room'!$B$8+'Control Room'!$D$8)/2))+SQRT(1-'Control Room'!$B$9^2)*(AR301-IF('Control Room'!$B$5="Normal",'Control Room'!$B$7,('Control Room'!$B$8+'Control Room'!$D$8)/2))</x:f>
        <x:v>1039.3140966166202</x:v>
      </x:c>
      <x:c r="AT301" s="17" t="n">
        <x:f>IF(AND($A301&gt;='Control Room'!$A$13,$A301&lt;'Control Room'!$A$13+'Control Room'!$B$13,'Process'!BS2=1),1+('Control Room'!$C$13-1)*EXP(-0.5*(($A301-'Control Room'!$A$13-('Control Room'!$B$13-1)/2)/MAX(0.5,'Control Room'!$B$13/4))^2),1)*IF(AND($A301&gt;='Control Room'!$A$14,$A301&lt;'Control Room'!$A$14+'Control Room'!$B$14,'Process'!BS3=1),1+('Control Room'!$C$14-1)*EXP(-0.5*(($A301-'Control Room'!$A$14-('Control Room'!$B$14-1)/2)/MAX(0.5,'Control Room'!$B$14/4))^2),1)*IF(AND($A301&gt;='Control Room'!$A$15,$A301&lt;'Control Room'!$A$15+'Control Room'!$B$15,'Process'!BS4=1),1+('Control Room'!$C$15-1)*EXP(-0.5*(($A301-'Control Room'!$A$15-('Control Room'!$B$15-1)/2)/MAX(0.5,'Control Room'!$B$15/4))^2),1)*IF(AND($A301&gt;='Control Room'!$A$16,$A301&lt;'Control Room'!$A$16+'Control Room'!$B$16,'Process'!BS5=1),1+('Control Room'!$C$16-1)*EXP(-0.5*(($A301-'Control Room'!$A$16-('Control Room'!$B$16-1)/2)/MAX(0.5,'Control Room'!$B$16/4))^2),1)</x:f>
        <x:v>1</x:v>
      </x:c>
      <x:c r="AU301" s="9" t="n">
        <x:f>MOD(AV300*16807,2147483647)</x:f>
        <x:v>1314772228</x:v>
      </x:c>
      <x:c r="AV301" s="9" t="n">
        <x:f>MOD(AU301*16807,2147483647)</x:f>
        <x:v>1917592013</x:v>
      </x:c>
      <x:c r="AW301" s="17" t="n">
        <x:f>IF('Control Room'!$B$5="Normal",'Control Room'!$B$7+'Control Room'!$D$7*SQRT(-2*LN(MAX(0.000000000001,AU301/2147483647)))*COS(2*PI()*AV301/2147483647),'Control Room'!$B$8+('Control Room'!$D$8-'Control Room'!$B$8)*AU301/2147483647)</x:f>
        <x:v>1069.7344813497318</x:v>
      </x:c>
      <x:c r="AX301" s="17" t="n">
        <x:f>IF('Control Room'!$B$5="Normal",'Control Room'!$B$7,('Control Room'!$B$8+'Control Room'!$D$8)/2)+'Control Room'!$B$9*(AX300-IF('Control Room'!$B$5="Normal",'Control Room'!$B$7,('Control Room'!$B$8+'Control Room'!$D$8)/2))+SQRT(1-'Control Room'!$B$9^2)*(AW301-IF('Control Room'!$B$5="Normal",'Control Room'!$B$7,('Control Room'!$B$8+'Control Room'!$D$8)/2))</x:f>
        <x:v>997.2070075586606</x:v>
      </x:c>
      <x:c r="AY301" s="17" t="n">
        <x:f>IF(AND($A301&gt;='Control Room'!$A$13,$A301&lt;'Control Room'!$A$13+'Control Room'!$B$13,'Process'!BT2=1),1+('Control Room'!$C$13-1)*EXP(-0.5*(($A301-'Control Room'!$A$13-('Control Room'!$B$13-1)/2)/MAX(0.5,'Control Room'!$B$13/4))^2),1)*IF(AND($A301&gt;='Control Room'!$A$14,$A301&lt;'Control Room'!$A$14+'Control Room'!$B$14,'Process'!BT3=1),1+('Control Room'!$C$14-1)*EXP(-0.5*(($A301-'Control Room'!$A$14-('Control Room'!$B$14-1)/2)/MAX(0.5,'Control Room'!$B$14/4))^2),1)*IF(AND($A301&gt;='Control Room'!$A$15,$A301&lt;'Control Room'!$A$15+'Control Room'!$B$15,'Process'!BT4=1),1+('Control Room'!$C$15-1)*EXP(-0.5*(($A301-'Control Room'!$A$15-('Control Room'!$B$15-1)/2)/MAX(0.5,'Control Room'!$B$15/4))^2),1)*IF(AND($A301&gt;='Control Room'!$A$16,$A301&lt;'Control Room'!$A$16+'Control Room'!$B$16,'Process'!BT5=1),1+('Control Room'!$C$16-1)*EXP(-0.5*(($A301-'Control Room'!$A$16-('Control Room'!$B$16-1)/2)/MAX(0.5,'Control Room'!$B$16/4))^2),1)</x:f>
        <x:v>1</x:v>
      </x:c>
      <x:c r="AZ301" s="9" t="n">
        <x:f>MOD(BA300*16807,2147483647)</x:f>
        <x:v>224858907</x:v>
      </x:c>
      <x:c r="BA301" s="9" t="n">
        <x:f>MOD(AZ301*16807,2147483647)</x:f>
        <x:v>1779914876</x:v>
      </x:c>
      <x:c r="BB301" s="17" t="n">
        <x:f>IF('Control Room'!$B$5="Normal",'Control Room'!$B$7+'Control Room'!$D$7*SQRT(-2*LN(MAX(0.000000000001,AZ301/2147483647)))*COS(2*PI()*BA301/2147483647),'Control Room'!$B$8+('Control Room'!$D$8-'Control Room'!$B$8)*AZ301/2147483647)</x:f>
        <x:v>1090.8839173793406</x:v>
      </x:c>
      <x:c r="BC301" s="17" t="n">
        <x:f>IF('Control Room'!$B$5="Normal",'Control Room'!$B$7,('Control Room'!$B$8+'Control Room'!$D$8)/2)+'Control Room'!$B$9*(BC300-IF('Control Room'!$B$5="Normal",'Control Room'!$B$7,('Control Room'!$B$8+'Control Room'!$D$8)/2))+SQRT(1-'Control Room'!$B$9^2)*(BB301-IF('Control Room'!$B$5="Normal",'Control Room'!$B$7,('Control Room'!$B$8+'Control Room'!$D$8)/2))</x:f>
        <x:v>1019.5134856135709</x:v>
      </x:c>
      <x:c r="BD301" s="17" t="n">
        <x:f>IF(AND($A301&gt;='Control Room'!$A$13,$A301&lt;'Control Room'!$A$13+'Control Room'!$B$13,'Process'!BU2=1),1+('Control Room'!$C$13-1)*EXP(-0.5*(($A301-'Control Room'!$A$13-('Control Room'!$B$13-1)/2)/MAX(0.5,'Control Room'!$B$13/4))^2),1)*IF(AND($A301&gt;='Control Room'!$A$14,$A301&lt;'Control Room'!$A$14+'Control Room'!$B$14,'Process'!BU3=1),1+('Control Room'!$C$14-1)*EXP(-0.5*(($A301-'Control Room'!$A$14-('Control Room'!$B$14-1)/2)/MAX(0.5,'Control Room'!$B$14/4))^2),1)*IF(AND($A301&gt;='Control Room'!$A$15,$A301&lt;'Control Room'!$A$15+'Control Room'!$B$15,'Process'!BU4=1),1+('Control Room'!$C$15-1)*EXP(-0.5*(($A301-'Control Room'!$A$15-('Control Room'!$B$15-1)/2)/MAX(0.5,'Control Room'!$B$15/4))^2),1)*IF(AND($A301&gt;='Control Room'!$A$16,$A301&lt;'Control Room'!$A$16+'Control Room'!$B$16,'Process'!BU5=1),1+('Control Room'!$C$16-1)*EXP(-0.5*(($A301-'Control Room'!$A$16-('Control Room'!$B$16-1)/2)/MAX(0.5,'Control Room'!$B$16/4))^2),1)</x:f>
        <x:v>1</x:v>
      </x:c>
      <x:c r="BE301" s="9" t="n">
        <x:f>MOD(BF300*16807,2147483647)</x:f>
        <x:v>1282429233</x:v>
      </x:c>
      <x:c r="BF301" s="9" t="n">
        <x:f>MOD(BE301*16807,2147483647)</x:f>
        <x:v>1642237739</x:v>
      </x:c>
      <x:c r="BG301" s="17" t="n">
        <x:f>IF('Control Room'!$B$5="Normal",'Control Room'!$B$7+'Control Room'!$D$7*SQRT(-2*LN(MAX(0.000000000001,BE301/2147483647)))*COS(2*PI()*BF301/2147483647),'Control Room'!$B$8+('Control Room'!$D$8-'Control Room'!$B$8)*BE301/2147483647)</x:f>
        <x:v>1008.4440278097495</x:v>
      </x:c>
      <x:c r="BH301" s="17" t="n">
        <x:f>IF('Control Room'!$B$5="Normal",'Control Room'!$B$7,('Control Room'!$B$8+'Control Room'!$D$8)/2)+'Control Room'!$B$9*(BH300-IF('Control Room'!$B$5="Normal",'Control Room'!$B$7,('Control Room'!$B$8+'Control Room'!$D$8)/2))+SQRT(1-'Control Room'!$B$9^2)*(BG301-IF('Control Room'!$B$5="Normal",'Control Room'!$B$7,('Control Room'!$B$8+'Control Room'!$D$8)/2))</x:f>
        <x:v>997.3918145313331</x:v>
      </x:c>
      <x:c r="BI301" s="17" t="n">
        <x:f>IF(AND($A301&gt;='Control Room'!$A$13,$A301&lt;'Control Room'!$A$13+'Control Room'!$B$13,'Process'!BV2=1),1+('Control Room'!$C$13-1)*EXP(-0.5*(($A301-'Control Room'!$A$13-('Control Room'!$B$13-1)/2)/MAX(0.5,'Control Room'!$B$13/4))^2),1)*IF(AND($A301&gt;='Control Room'!$A$14,$A301&lt;'Control Room'!$A$14+'Control Room'!$B$14,'Process'!BV3=1),1+('Control Room'!$C$14-1)*EXP(-0.5*(($A301-'Control Room'!$A$14-('Control Room'!$B$14-1)/2)/MAX(0.5,'Control Room'!$B$14/4))^2),1)*IF(AND($A301&gt;='Control Room'!$A$15,$A301&lt;'Control Room'!$A$15+'Control Room'!$B$15,'Process'!BV4=1),1+('Control Room'!$C$15-1)*EXP(-0.5*(($A301-'Control Room'!$A$15-('Control Room'!$B$15-1)/2)/MAX(0.5,'Control Room'!$B$15/4))^2),1)*IF(AND($A301&gt;='Control Room'!$A$16,$A301&lt;'Control Room'!$A$16+'Control Room'!$B$16,'Process'!BV5=1),1+('Control Room'!$C$16-1)*EXP(-0.5*(($A301-'Control Room'!$A$16-('Control Room'!$B$16-1)/2)/MAX(0.5,'Control Room'!$B$16/4))^2),1)</x:f>
        <x:v>1</x:v>
      </x:c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Z301" t="str">
        <x:f>IF('Data'!A301="","",TEXT('Data'!A301,"mm-dd"))</x:f>
      </x:c>
    </x:row>
    <x:row r="302" ht="21" customHeight="1">
      <x:c r="A302" s="15" t="n">
        <x:f>'Control Room'!$B$1+300</x:f>
        <x:v>73291</x:v>
      </x:c>
      <x:c r="B302" s="9" t="n">
        <x:f>MOD(C301*16807,2147483647)</x:f>
        <x:v>842237387</x:v>
      </x:c>
      <x:c r="C302" s="9" t="n">
        <x:f>MOD(B302*16807,2147483647)</x:f>
        <x:v>1419045932</x:v>
      </x:c>
      <x:c r="D302" s="17" t="n">
        <x:f>IF('Control Room'!$B$5="Normal",'Control Room'!$B$7+'Control Room'!$D$7*SQRT(-2*LN(MAX(0.000000000001,B302/2147483647)))*COS(2*PI()*C302/2147483647),'Control Room'!$B$8+('Control Room'!$D$8-'Control Room'!$B$8)*B302/2147483647)</x:f>
        <x:v>934.5392014410567</x:v>
      </x:c>
      <x:c r="E302" s="17" t="n">
        <x:f>IF('Control Room'!$B$5="Normal",'Control Room'!$B$7,('Control Room'!$B$8+'Control Room'!$D$8)/2)+'Control Room'!$B$9*(E301-IF('Control Room'!$B$5="Normal",'Control Room'!$B$7,('Control Room'!$B$8+'Control Room'!$D$8)/2))+SQRT(1-'Control Room'!$B$9^2)*(D302-IF('Control Room'!$B$5="Normal",'Control Room'!$B$7,('Control Room'!$B$8+'Control Room'!$D$8)/2))</x:f>
        <x:v>859.7642165054874</x:v>
      </x:c>
      <x:c r="F302" s="17" t="n">
        <x:f>IF(AND($A302&gt;='Control Room'!$A$13,$A302&lt;'Control Room'!$A$13+'Control Room'!$B$13,'Process'!BK2=1),1+('Control Room'!$C$13-1)*EXP(-0.5*(($A302-'Control Room'!$A$13-('Control Room'!$B$13-1)/2)/MAX(0.5,'Control Room'!$B$13/4))^2),1)*IF(AND($A302&gt;='Control Room'!$A$14,$A302&lt;'Control Room'!$A$14+'Control Room'!$B$14,'Process'!BK3=1),1+('Control Room'!$C$14-1)*EXP(-0.5*(($A302-'Control Room'!$A$14-('Control Room'!$B$14-1)/2)/MAX(0.5,'Control Room'!$B$14/4))^2),1)*IF(AND($A302&gt;='Control Room'!$A$15,$A302&lt;'Control Room'!$A$15+'Control Room'!$B$15,'Process'!BK4=1),1+('Control Room'!$C$15-1)*EXP(-0.5*(($A302-'Control Room'!$A$15-('Control Room'!$B$15-1)/2)/MAX(0.5,'Control Room'!$B$15/4))^2),1)*IF(AND($A302&gt;='Control Room'!$A$16,$A302&lt;'Control Room'!$A$16+'Control Room'!$B$16,'Process'!BK5=1),1+('Control Room'!$C$16-1)*EXP(-0.5*(($A302-'Control Room'!$A$16-('Control Room'!$B$16-1)/2)/MAX(0.5,'Control Room'!$B$16/4))^2),1)</x:f>
        <x:v>1</x:v>
      </x:c>
      <x:c r="G302" s="9" t="n">
        <x:f>MOD(H301*16807,2147483647)</x:f>
        <x:v>1889967294</x:v>
      </x:c>
      <x:c r="H302" s="9" t="n">
        <x:f>MOD(G302*16807,2147483647)</x:f>
        <x:v>1249687481</x:v>
      </x:c>
      <x:c r="I302" s="17" t="n">
        <x:f>IF('Control Room'!$B$5="Normal",'Control Room'!$B$7+'Control Room'!$D$7*SQRT(-2*LN(MAX(0.000000000001,G302/2147483647)))*COS(2*PI()*H302/2147483647),'Control Room'!$B$8+('Control Room'!$D$8-'Control Room'!$B$8)*G302/2147483647)</x:f>
        <x:v>960.4056088969908</x:v>
      </x:c>
      <x:c r="J302" s="17" t="n">
        <x:f>IF('Control Room'!$B$5="Normal",'Control Room'!$B$7,('Control Room'!$B$8+'Control Room'!$D$8)/2)+'Control Room'!$B$9*(J301-IF('Control Room'!$B$5="Normal",'Control Room'!$B$7,('Control Room'!$B$8+'Control Room'!$D$8)/2))+SQRT(1-'Control Room'!$B$9^2)*(I302-IF('Control Room'!$B$5="Normal",'Control Room'!$B$7,('Control Room'!$B$8+'Control Room'!$D$8)/2))</x:f>
        <x:v>881.4494510422242</x:v>
      </x:c>
      <x:c r="K302" s="17" t="n">
        <x:f>IF(AND($A302&gt;='Control Room'!$A$13,$A302&lt;'Control Room'!$A$13+'Control Room'!$B$13,'Process'!BL2=1),1+('Control Room'!$C$13-1)*EXP(-0.5*(($A302-'Control Room'!$A$13-('Control Room'!$B$13-1)/2)/MAX(0.5,'Control Room'!$B$13/4))^2),1)*IF(AND($A302&gt;='Control Room'!$A$14,$A302&lt;'Control Room'!$A$14+'Control Room'!$B$14,'Process'!BL3=1),1+('Control Room'!$C$14-1)*EXP(-0.5*(($A302-'Control Room'!$A$14-('Control Room'!$B$14-1)/2)/MAX(0.5,'Control Room'!$B$14/4))^2),1)*IF(AND($A302&gt;='Control Room'!$A$15,$A302&lt;'Control Room'!$A$15+'Control Room'!$B$15,'Process'!BL4=1),1+('Control Room'!$C$15-1)*EXP(-0.5*(($A302-'Control Room'!$A$15-('Control Room'!$B$15-1)/2)/MAX(0.5,'Control Room'!$B$15/4))^2),1)*IF(AND($A302&gt;='Control Room'!$A$16,$A302&lt;'Control Room'!$A$16+'Control Room'!$B$16,'Process'!BL5=1),1+('Control Room'!$C$16-1)*EXP(-0.5*(($A302-'Control Room'!$A$16-('Control Room'!$B$16-1)/2)/MAX(0.5,'Control Room'!$B$16/4))^2),1)</x:f>
        <x:v>1</x:v>
      </x:c>
      <x:c r="L302" s="9" t="n">
        <x:f>MOD(M301*16807,2147483647)</x:f>
        <x:v>790213554</x:v>
      </x:c>
      <x:c r="M302" s="9" t="n">
        <x:f>MOD(L302*16807,2147483647)</x:f>
        <x:v>1080329030</x:v>
      </x:c>
      <x:c r="N302" s="17" t="n">
        <x:f>IF('Control Room'!$B$5="Normal",'Control Room'!$B$7+'Control Room'!$D$7*SQRT(-2*LN(MAX(0.000000000001,L302/2147483647)))*COS(2*PI()*M302/2147483647),'Control Room'!$B$8+('Control Room'!$D$8-'Control Room'!$B$8)*L302/2147483647)</x:f>
        <x:v>872.760401473149</x:v>
      </x:c>
      <x:c r="O302" s="17" t="n">
        <x:f>IF('Control Room'!$B$5="Normal",'Control Room'!$B$7,('Control Room'!$B$8+'Control Room'!$D$8)/2)+'Control Room'!$B$9*(O301-IF('Control Room'!$B$5="Normal",'Control Room'!$B$7,('Control Room'!$B$8+'Control Room'!$D$8)/2))+SQRT(1-'Control Room'!$B$9^2)*(N302-IF('Control Room'!$B$5="Normal",'Control Room'!$B$7,('Control Room'!$B$8+'Control Room'!$D$8)/2))</x:f>
        <x:v>870.1033065647517</x:v>
      </x:c>
      <x:c r="P302" s="17" t="n">
        <x:f>IF(AND($A302&gt;='Control Room'!$A$13,$A302&lt;'Control Room'!$A$13+'Control Room'!$B$13,'Process'!BM2=1),1+('Control Room'!$C$13-1)*EXP(-0.5*(($A302-'Control Room'!$A$13-('Control Room'!$B$13-1)/2)/MAX(0.5,'Control Room'!$B$13/4))^2),1)*IF(AND($A302&gt;='Control Room'!$A$14,$A302&lt;'Control Room'!$A$14+'Control Room'!$B$14,'Process'!BM3=1),1+('Control Room'!$C$14-1)*EXP(-0.5*(($A302-'Control Room'!$A$14-('Control Room'!$B$14-1)/2)/MAX(0.5,'Control Room'!$B$14/4))^2),1)*IF(AND($A302&gt;='Control Room'!$A$15,$A302&lt;'Control Room'!$A$15+'Control Room'!$B$15,'Process'!BM4=1),1+('Control Room'!$C$15-1)*EXP(-0.5*(($A302-'Control Room'!$A$15-('Control Room'!$B$15-1)/2)/MAX(0.5,'Control Room'!$B$15/4))^2),1)*IF(AND($A302&gt;='Control Room'!$A$16,$A302&lt;'Control Room'!$A$16+'Control Room'!$B$16,'Process'!BM5=1),1+('Control Room'!$C$16-1)*EXP(-0.5*(($A302-'Control Room'!$A$16-('Control Room'!$B$16-1)/2)/MAX(0.5,'Control Room'!$B$16/4))^2),1)</x:f>
        <x:v>1</x:v>
      </x:c>
      <x:c r="Q302" s="9" t="n">
        <x:f>MOD(R301*16807,2147483647)</x:f>
        <x:v>1837943461</x:v>
      </x:c>
      <x:c r="R302" s="9" t="n">
        <x:f>MOD(Q302*16807,2147483647)</x:f>
        <x:v>910970579</x:v>
      </x:c>
      <x:c r="S302" s="17" t="n">
        <x:f>IF('Control Room'!$B$5="Normal",'Control Room'!$B$7+'Control Room'!$D$7*SQRT(-2*LN(MAX(0.000000000001,Q302/2147483647)))*COS(2*PI()*R302/2147483647),'Control Room'!$B$8+('Control Room'!$D$8-'Control Room'!$B$8)*Q302/2147483647)</x:f>
        <x:v>955.3729386924035</x:v>
      </x:c>
      <x:c r="T302" s="17" t="n">
        <x:f>IF('Control Room'!$B$5="Normal",'Control Room'!$B$7,('Control Room'!$B$8+'Control Room'!$D$8)/2)+'Control Room'!$B$9*(T301-IF('Control Room'!$B$5="Normal",'Control Room'!$B$7,('Control Room'!$B$8+'Control Room'!$D$8)/2))+SQRT(1-'Control Room'!$B$9^2)*(S302-IF('Control Room'!$B$5="Normal",'Control Room'!$B$7,('Control Room'!$B$8+'Control Room'!$D$8)/2))</x:f>
        <x:v>988.1699779676266</x:v>
      </x:c>
      <x:c r="U302" s="17" t="n">
        <x:f>IF(AND($A302&gt;='Control Room'!$A$13,$A302&lt;'Control Room'!$A$13+'Control Room'!$B$13,'Process'!BN2=1),1+('Control Room'!$C$13-1)*EXP(-0.5*(($A302-'Control Room'!$A$13-('Control Room'!$B$13-1)/2)/MAX(0.5,'Control Room'!$B$13/4))^2),1)*IF(AND($A302&gt;='Control Room'!$A$14,$A302&lt;'Control Room'!$A$14+'Control Room'!$B$14,'Process'!BN3=1),1+('Control Room'!$C$14-1)*EXP(-0.5*(($A302-'Control Room'!$A$14-('Control Room'!$B$14-1)/2)/MAX(0.5,'Control Room'!$B$14/4))^2),1)*IF(AND($A302&gt;='Control Room'!$A$15,$A302&lt;'Control Room'!$A$15+'Control Room'!$B$15,'Process'!BN4=1),1+('Control Room'!$C$15-1)*EXP(-0.5*(($A302-'Control Room'!$A$15-('Control Room'!$B$15-1)/2)/MAX(0.5,'Control Room'!$B$15/4))^2),1)*IF(AND($A302&gt;='Control Room'!$A$16,$A302&lt;'Control Room'!$A$16+'Control Room'!$B$16,'Process'!BN5=1),1+('Control Room'!$C$16-1)*EXP(-0.5*(($A302-'Control Room'!$A$16-('Control Room'!$B$16-1)/2)/MAX(0.5,'Control Room'!$B$16/4))^2),1)</x:f>
        <x:v>1</x:v>
      </x:c>
      <x:c r="V302" s="9" t="n">
        <x:f>MOD(W301*16807,2147483647)</x:f>
        <x:v>738189721</x:v>
      </x:c>
      <x:c r="W302" s="9" t="n">
        <x:f>MOD(V302*16807,2147483647)</x:f>
        <x:v>741612128</x:v>
      </x:c>
      <x:c r="X302" s="17" t="n">
        <x:f>IF('Control Room'!$B$5="Normal",'Control Room'!$B$7+'Control Room'!$D$7*SQRT(-2*LN(MAX(0.000000000001,V302/2147483647)))*COS(2*PI()*W302/2147483647),'Control Room'!$B$8+('Control Room'!$D$8-'Control Room'!$B$8)*V302/2147483647)</x:f>
        <x:v>925.8389452167161</x:v>
      </x:c>
      <x:c r="Y302" s="17" t="n">
        <x:f>IF('Control Room'!$B$5="Normal",'Control Room'!$B$7,('Control Room'!$B$8+'Control Room'!$D$8)/2)+'Control Room'!$B$9*(Y301-IF('Control Room'!$B$5="Normal",'Control Room'!$B$7,('Control Room'!$B$8+'Control Room'!$D$8)/2))+SQRT(1-'Control Room'!$B$9^2)*(X302-IF('Control Room'!$B$5="Normal",'Control Room'!$B$7,('Control Room'!$B$8+'Control Room'!$D$8)/2))</x:f>
        <x:v>972.2834068539229</x:v>
      </x:c>
      <x:c r="Z302" s="17" t="n">
        <x:f>IF(AND($A302&gt;='Control Room'!$A$13,$A302&lt;'Control Room'!$A$13+'Control Room'!$B$13,'Process'!BO2=1),1+('Control Room'!$C$13-1)*EXP(-0.5*(($A302-'Control Room'!$A$13-('Control Room'!$B$13-1)/2)/MAX(0.5,'Control Room'!$B$13/4))^2),1)*IF(AND($A302&gt;='Control Room'!$A$14,$A302&lt;'Control Room'!$A$14+'Control Room'!$B$14,'Process'!BO3=1),1+('Control Room'!$C$14-1)*EXP(-0.5*(($A302-'Control Room'!$A$14-('Control Room'!$B$14-1)/2)/MAX(0.5,'Control Room'!$B$14/4))^2),1)*IF(AND($A302&gt;='Control Room'!$A$15,$A302&lt;'Control Room'!$A$15+'Control Room'!$B$15,'Process'!BO4=1),1+('Control Room'!$C$15-1)*EXP(-0.5*(($A302-'Control Room'!$A$15-('Control Room'!$B$15-1)/2)/MAX(0.5,'Control Room'!$B$15/4))^2),1)*IF(AND($A302&gt;='Control Room'!$A$16,$A302&lt;'Control Room'!$A$16+'Control Room'!$B$16,'Process'!BO5=1),1+('Control Room'!$C$16-1)*EXP(-0.5*(($A302-'Control Room'!$A$16-('Control Room'!$B$16-1)/2)/MAX(0.5,'Control Room'!$B$16/4))^2),1)</x:f>
        <x:v>1</x:v>
      </x:c>
      <x:c r="AA302" s="9" t="n">
        <x:f>MOD(AB301*16807,2147483647)</x:f>
        <x:v>1785919628</x:v>
      </x:c>
      <x:c r="AB302" s="9" t="n">
        <x:f>MOD(AA302*16807,2147483647)</x:f>
        <x:v>572253677</x:v>
      </x:c>
      <x:c r="AC302" s="17" t="n">
        <x:f>IF('Control Room'!$B$5="Normal",'Control Room'!$B$7+'Control Room'!$D$7*SQRT(-2*LN(MAX(0.000000000001,AA302/2147483647)))*COS(2*PI()*AB302/2147483647),'Control Room'!$B$8+('Control Room'!$D$8-'Control Room'!$B$8)*AA302/2147483647)</x:f>
        <x:v>994.3524449122932</x:v>
      </x:c>
      <x:c r="AD302" s="17" t="n">
        <x:f>IF('Control Room'!$B$5="Normal",'Control Room'!$B$7,('Control Room'!$B$8+'Control Room'!$D$8)/2)+'Control Room'!$B$9*(AD301-IF('Control Room'!$B$5="Normal",'Control Room'!$B$7,('Control Room'!$B$8+'Control Room'!$D$8)/2))+SQRT(1-'Control Room'!$B$9^2)*(AC302-IF('Control Room'!$B$5="Normal",'Control Room'!$B$7,('Control Room'!$B$8+'Control Room'!$D$8)/2))</x:f>
        <x:v>988.2636459533368</x:v>
      </x:c>
      <x:c r="AE302" s="17" t="n">
        <x:f>IF(AND($A302&gt;='Control Room'!$A$13,$A302&lt;'Control Room'!$A$13+'Control Room'!$B$13,'Process'!BP2=1),1+('Control Room'!$C$13-1)*EXP(-0.5*(($A302-'Control Room'!$A$13-('Control Room'!$B$13-1)/2)/MAX(0.5,'Control Room'!$B$13/4))^2),1)*IF(AND($A302&gt;='Control Room'!$A$14,$A302&lt;'Control Room'!$A$14+'Control Room'!$B$14,'Process'!BP3=1),1+('Control Room'!$C$14-1)*EXP(-0.5*(($A302-'Control Room'!$A$14-('Control Room'!$B$14-1)/2)/MAX(0.5,'Control Room'!$B$14/4))^2),1)*IF(AND($A302&gt;='Control Room'!$A$15,$A302&lt;'Control Room'!$A$15+'Control Room'!$B$15,'Process'!BP4=1),1+('Control Room'!$C$15-1)*EXP(-0.5*(($A302-'Control Room'!$A$15-('Control Room'!$B$15-1)/2)/MAX(0.5,'Control Room'!$B$15/4))^2),1)*IF(AND($A302&gt;='Control Room'!$A$16,$A302&lt;'Control Room'!$A$16+'Control Room'!$B$16,'Process'!BP5=1),1+('Control Room'!$C$16-1)*EXP(-0.5*(($A302-'Control Room'!$A$16-('Control Room'!$B$16-1)/2)/MAX(0.5,'Control Room'!$B$16/4))^2),1)</x:f>
        <x:v>1</x:v>
      </x:c>
      <x:c r="AF302" s="9" t="n">
        <x:f>MOD(AG301*16807,2147483647)</x:f>
        <x:v>686165888</x:v>
      </x:c>
      <x:c r="AG302" s="9" t="n">
        <x:f>MOD(AF302*16807,2147483647)</x:f>
        <x:v>402895226</x:v>
      </x:c>
      <x:c r="AH302" s="17" t="n">
        <x:f>IF('Control Room'!$B$5="Normal",'Control Room'!$B$7+'Control Room'!$D$7*SQRT(-2*LN(MAX(0.000000000001,AF302/2147483647)))*COS(2*PI()*AG302/2147483647),'Control Room'!$B$8+('Control Room'!$D$8-'Control Room'!$B$8)*AF302/2147483647)</x:f>
        <x:v>1051.9378435996646</x:v>
      </x:c>
      <x:c r="AI302" s="17" t="n">
        <x:f>IF('Control Room'!$B$5="Normal",'Control Room'!$B$7,('Control Room'!$B$8+'Control Room'!$D$8)/2)+'Control Room'!$B$9*(AI301-IF('Control Room'!$B$5="Normal",'Control Room'!$B$7,('Control Room'!$B$8+'Control Room'!$D$8)/2))+SQRT(1-'Control Room'!$B$9^2)*(AH302-IF('Control Room'!$B$5="Normal",'Control Room'!$B$7,('Control Room'!$B$8+'Control Room'!$D$8)/2))</x:f>
        <x:v>1176.0892708784581</x:v>
      </x:c>
      <x:c r="AJ302" s="17" t="n">
        <x:f>IF(AND($A302&gt;='Control Room'!$A$13,$A302&lt;'Control Room'!$A$13+'Control Room'!$B$13,'Process'!BQ2=1),1+('Control Room'!$C$13-1)*EXP(-0.5*(($A302-'Control Room'!$A$13-('Control Room'!$B$13-1)/2)/MAX(0.5,'Control Room'!$B$13/4))^2),1)*IF(AND($A302&gt;='Control Room'!$A$14,$A302&lt;'Control Room'!$A$14+'Control Room'!$B$14,'Process'!BQ3=1),1+('Control Room'!$C$14-1)*EXP(-0.5*(($A302-'Control Room'!$A$14-('Control Room'!$B$14-1)/2)/MAX(0.5,'Control Room'!$B$14/4))^2),1)*IF(AND($A302&gt;='Control Room'!$A$15,$A302&lt;'Control Room'!$A$15+'Control Room'!$B$15,'Process'!BQ4=1),1+('Control Room'!$C$15-1)*EXP(-0.5*(($A302-'Control Room'!$A$15-('Control Room'!$B$15-1)/2)/MAX(0.5,'Control Room'!$B$15/4))^2),1)*IF(AND($A302&gt;='Control Room'!$A$16,$A302&lt;'Control Room'!$A$16+'Control Room'!$B$16,'Process'!BQ5=1),1+('Control Room'!$C$16-1)*EXP(-0.5*(($A302-'Control Room'!$A$16-('Control Room'!$B$16-1)/2)/MAX(0.5,'Control Room'!$B$16/4))^2),1)</x:f>
        <x:v>1</x:v>
      </x:c>
      <x:c r="AK302" s="9" t="n">
        <x:f>MOD(AL301*16807,2147483647)</x:f>
        <x:v>1733895795</x:v>
      </x:c>
      <x:c r="AL302" s="9" t="n">
        <x:f>MOD(AK302*16807,2147483647)</x:f>
        <x:v>233536775</x:v>
      </x:c>
      <x:c r="AM302" s="17" t="n">
        <x:f>IF('Control Room'!$B$5="Normal",'Control Room'!$B$7+'Control Room'!$D$7*SQRT(-2*LN(MAX(0.000000000001,AK302/2147483647)))*COS(2*PI()*AL302/2147483647),'Control Room'!$B$8+('Control Room'!$D$8-'Control Room'!$B$8)*AK302/2147483647)</x:f>
        <x:v>1045.6531587877537</x:v>
      </x:c>
      <x:c r="AN302" s="17" t="n">
        <x:f>IF('Control Room'!$B$5="Normal",'Control Room'!$B$7,('Control Room'!$B$8+'Control Room'!$D$8)/2)+'Control Room'!$B$9*(AN301-IF('Control Room'!$B$5="Normal",'Control Room'!$B$7,('Control Room'!$B$8+'Control Room'!$D$8)/2))+SQRT(1-'Control Room'!$B$9^2)*(AM302-IF('Control Room'!$B$5="Normal",'Control Room'!$B$7,('Control Room'!$B$8+'Control Room'!$D$8)/2))</x:f>
        <x:v>1020.2863115657216</x:v>
      </x:c>
      <x:c r="AO302" s="17" t="n">
        <x:f>IF(AND($A302&gt;='Control Room'!$A$13,$A302&lt;'Control Room'!$A$13+'Control Room'!$B$13,'Process'!BR2=1),1+('Control Room'!$C$13-1)*EXP(-0.5*(($A302-'Control Room'!$A$13-('Control Room'!$B$13-1)/2)/MAX(0.5,'Control Room'!$B$13/4))^2),1)*IF(AND($A302&gt;='Control Room'!$A$14,$A302&lt;'Control Room'!$A$14+'Control Room'!$B$14,'Process'!BR3=1),1+('Control Room'!$C$14-1)*EXP(-0.5*(($A302-'Control Room'!$A$14-('Control Room'!$B$14-1)/2)/MAX(0.5,'Control Room'!$B$14/4))^2),1)*IF(AND($A302&gt;='Control Room'!$A$15,$A302&lt;'Control Room'!$A$15+'Control Room'!$B$15,'Process'!BR4=1),1+('Control Room'!$C$15-1)*EXP(-0.5*(($A302-'Control Room'!$A$15-('Control Room'!$B$15-1)/2)/MAX(0.5,'Control Room'!$B$15/4))^2),1)*IF(AND($A302&gt;='Control Room'!$A$16,$A302&lt;'Control Room'!$A$16+'Control Room'!$B$16,'Process'!BR5=1),1+('Control Room'!$C$16-1)*EXP(-0.5*(($A302-'Control Room'!$A$16-('Control Room'!$B$16-1)/2)/MAX(0.5,'Control Room'!$B$16/4))^2),1)</x:f>
        <x:v>1</x:v>
      </x:c>
      <x:c r="AP302" s="9" t="n">
        <x:f>MOD(AQ301*16807,2147483647)</x:f>
        <x:v>634142055</x:v>
      </x:c>
      <x:c r="AQ302" s="9" t="n">
        <x:f>MOD(AP302*16807,2147483647)</x:f>
        <x:v>64178324</x:v>
      </x:c>
      <x:c r="AR302" s="17" t="n">
        <x:f>IF('Control Room'!$B$5="Normal",'Control Room'!$B$7+'Control Room'!$D$7*SQRT(-2*LN(MAX(0.000000000001,AP302/2147483647)))*COS(2*PI()*AQ302/2147483647),'Control Room'!$B$8+('Control Room'!$D$8-'Control Room'!$B$8)*AP302/2147483647)</x:f>
        <x:v>1138.100787905438</x:v>
      </x:c>
      <x:c r="AS302" s="17" t="n">
        <x:f>IF('Control Room'!$B$5="Normal",'Control Room'!$B$7,('Control Room'!$B$8+'Control Room'!$D$8)/2)+'Control Room'!$B$9*(AS301-IF('Control Room'!$B$5="Normal",'Control Room'!$B$7,('Control Room'!$B$8+'Control Room'!$D$8)/2))+SQRT(1-'Control Room'!$B$9^2)*(AR302-IF('Control Room'!$B$5="Normal",'Control Room'!$B$7,('Control Room'!$B$8+'Control Room'!$D$8)/2))</x:f>
        <x:v>1117.0856392837686</x:v>
      </x:c>
      <x:c r="AT302" s="17" t="n">
        <x:f>IF(AND($A302&gt;='Control Room'!$A$13,$A302&lt;'Control Room'!$A$13+'Control Room'!$B$13,'Process'!BS2=1),1+('Control Room'!$C$13-1)*EXP(-0.5*(($A302-'Control Room'!$A$13-('Control Room'!$B$13-1)/2)/MAX(0.5,'Control Room'!$B$13/4))^2),1)*IF(AND($A302&gt;='Control Room'!$A$14,$A302&lt;'Control Room'!$A$14+'Control Room'!$B$14,'Process'!BS3=1),1+('Control Room'!$C$14-1)*EXP(-0.5*(($A302-'Control Room'!$A$14-('Control Room'!$B$14-1)/2)/MAX(0.5,'Control Room'!$B$14/4))^2),1)*IF(AND($A302&gt;='Control Room'!$A$15,$A302&lt;'Control Room'!$A$15+'Control Room'!$B$15,'Process'!BS4=1),1+('Control Room'!$C$15-1)*EXP(-0.5*(($A302-'Control Room'!$A$15-('Control Room'!$B$15-1)/2)/MAX(0.5,'Control Room'!$B$15/4))^2),1)*IF(AND($A302&gt;='Control Room'!$A$16,$A302&lt;'Control Room'!$A$16+'Control Room'!$B$16,'Process'!BS5=1),1+('Control Room'!$C$16-1)*EXP(-0.5*(($A302-'Control Room'!$A$16-('Control Room'!$B$16-1)/2)/MAX(0.5,'Control Room'!$B$16/4))^2),1)</x:f>
        <x:v>1</x:v>
      </x:c>
      <x:c r="AU302" s="9" t="n">
        <x:f>MOD(AV301*16807,2147483647)</x:f>
        <x:v>1681871962</x:v>
      </x:c>
      <x:c r="AV302" s="9" t="n">
        <x:f>MOD(AU302*16807,2147483647)</x:f>
        <x:v>2042303520</x:v>
      </x:c>
      <x:c r="AW302" s="17" t="n">
        <x:f>IF('Control Room'!$B$5="Normal",'Control Room'!$B$7+'Control Room'!$D$7*SQRT(-2*LN(MAX(0.000000000001,AU302/2147483647)))*COS(2*PI()*AV302/2147483647),'Control Room'!$B$8+('Control Room'!$D$8-'Control Room'!$B$8)*AU302/2147483647)</x:f>
        <x:v>1059.9654257588563</x:v>
      </x:c>
      <x:c r="AX302" s="17" t="n">
        <x:f>IF('Control Room'!$B$5="Normal",'Control Room'!$B$7,('Control Room'!$B$8+'Control Room'!$D$8)/2)+'Control Room'!$B$9*(AX301-IF('Control Room'!$B$5="Normal",'Control Room'!$B$7,('Control Room'!$B$8+'Control Room'!$D$8)/2))+SQRT(1-'Control Room'!$B$9^2)*(AW302-IF('Control Room'!$B$5="Normal",'Control Room'!$B$7,('Control Room'!$B$8+'Control Room'!$D$8)/2))</x:f>
        <x:v>1035.3466008771281</x:v>
      </x:c>
      <x:c r="AY302" s="17" t="n">
        <x:f>IF(AND($A302&gt;='Control Room'!$A$13,$A302&lt;'Control Room'!$A$13+'Control Room'!$B$13,'Process'!BT2=1),1+('Control Room'!$C$13-1)*EXP(-0.5*(($A302-'Control Room'!$A$13-('Control Room'!$B$13-1)/2)/MAX(0.5,'Control Room'!$B$13/4))^2),1)*IF(AND($A302&gt;='Control Room'!$A$14,$A302&lt;'Control Room'!$A$14+'Control Room'!$B$14,'Process'!BT3=1),1+('Control Room'!$C$14-1)*EXP(-0.5*(($A302-'Control Room'!$A$14-('Control Room'!$B$14-1)/2)/MAX(0.5,'Control Room'!$B$14/4))^2),1)*IF(AND($A302&gt;='Control Room'!$A$15,$A302&lt;'Control Room'!$A$15+'Control Room'!$B$15,'Process'!BT4=1),1+('Control Room'!$C$15-1)*EXP(-0.5*(($A302-'Control Room'!$A$15-('Control Room'!$B$15-1)/2)/MAX(0.5,'Control Room'!$B$15/4))^2),1)*IF(AND($A302&gt;='Control Room'!$A$16,$A302&lt;'Control Room'!$A$16+'Control Room'!$B$16,'Process'!BT5=1),1+('Control Room'!$C$16-1)*EXP(-0.5*(($A302-'Control Room'!$A$16-('Control Room'!$B$16-1)/2)/MAX(0.5,'Control Room'!$B$16/4))^2),1)</x:f>
        <x:v>1</x:v>
      </x:c>
      <x:c r="AZ302" s="9" t="n">
        <x:f>MOD(BA301*16807,2147483647)</x:f>
        <x:v>582118222</x:v>
      </x:c>
      <x:c r="BA302" s="9" t="n">
        <x:f>MOD(AZ302*16807,2147483647)</x:f>
        <x:v>1872945069</x:v>
      </x:c>
      <x:c r="BB302" s="17" t="n">
        <x:f>IF('Control Room'!$B$5="Normal",'Control Room'!$B$7+'Control Room'!$D$7*SQRT(-2*LN(MAX(0.000000000001,AZ302/2147483647)))*COS(2*PI()*BA302/2147483647),'Control Room'!$B$8+('Control Room'!$D$8-'Control Room'!$B$8)*AZ302/2147483647)</x:f>
        <x:v>1100.9753793531722</x:v>
      </x:c>
      <x:c r="BC302" s="17" t="n">
        <x:f>IF('Control Room'!$B$5="Normal",'Control Room'!$B$7,('Control Room'!$B$8+'Control Room'!$D$8)/2)+'Control Room'!$B$9*(BC301-IF('Control Room'!$B$5="Normal",'Control Room'!$B$7,('Control Room'!$B$8+'Control Room'!$D$8)/2))+SQRT(1-'Control Room'!$B$9^2)*(BB302-IF('Control Room'!$B$5="Normal",'Control Room'!$B$7,('Control Room'!$B$8+'Control Room'!$D$8)/2))</x:f>
        <x:v>1078.4088425847165</x:v>
      </x:c>
      <x:c r="BD302" s="17" t="n">
        <x:f>IF(AND($A302&gt;='Control Room'!$A$13,$A302&lt;'Control Room'!$A$13+'Control Room'!$B$13,'Process'!BU2=1),1+('Control Room'!$C$13-1)*EXP(-0.5*(($A302-'Control Room'!$A$13-('Control Room'!$B$13-1)/2)/MAX(0.5,'Control Room'!$B$13/4))^2),1)*IF(AND($A302&gt;='Control Room'!$A$14,$A302&lt;'Control Room'!$A$14+'Control Room'!$B$14,'Process'!BU3=1),1+('Control Room'!$C$14-1)*EXP(-0.5*(($A302-'Control Room'!$A$14-('Control Room'!$B$14-1)/2)/MAX(0.5,'Control Room'!$B$14/4))^2),1)*IF(AND($A302&gt;='Control Room'!$A$15,$A302&lt;'Control Room'!$A$15+'Control Room'!$B$15,'Process'!BU4=1),1+('Control Room'!$C$15-1)*EXP(-0.5*(($A302-'Control Room'!$A$15-('Control Room'!$B$15-1)/2)/MAX(0.5,'Control Room'!$B$15/4))^2),1)*IF(AND($A302&gt;='Control Room'!$A$16,$A302&lt;'Control Room'!$A$16+'Control Room'!$B$16,'Process'!BU5=1),1+('Control Room'!$C$16-1)*EXP(-0.5*(($A302-'Control Room'!$A$16-('Control Room'!$B$16-1)/2)/MAX(0.5,'Control Room'!$B$16/4))^2),1)</x:f>
        <x:v>1</x:v>
      </x:c>
      <x:c r="BE302" s="9" t="n">
        <x:f>MOD(BF301*16807,2147483647)</x:f>
        <x:v>1629848129</x:v>
      </x:c>
      <x:c r="BF302" s="9" t="n">
        <x:f>MOD(BE302*16807,2147483647)</x:f>
        <x:v>1703586618</x:v>
      </x:c>
      <x:c r="BG302" s="17" t="n">
        <x:f>IF('Control Room'!$B$5="Normal",'Control Room'!$B$7+'Control Room'!$D$7*SQRT(-2*LN(MAX(0.000000000001,BE302/2147483647)))*COS(2*PI()*BF302/2147483647),'Control Room'!$B$8+('Control Room'!$D$8-'Control Room'!$B$8)*BE302/2147483647)</x:f>
        <x:v>1017.959902267669</x:v>
      </x:c>
      <x:c r="BH302" s="17" t="n">
        <x:f>IF('Control Room'!$B$5="Normal",'Control Room'!$B$7,('Control Room'!$B$8+'Control Room'!$D$8)/2)+'Control Room'!$B$9*(BH301-IF('Control Room'!$B$5="Normal",'Control Room'!$B$7,('Control Room'!$B$8+'Control Room'!$D$8)/2))+SQRT(1-'Control Room'!$B$9^2)*(BG302-IF('Control Room'!$B$5="Normal",'Control Room'!$B$7,('Control Room'!$B$8+'Control Room'!$D$8)/2))</x:f>
        <x:v>1009.2045542449504</x:v>
      </x:c>
      <x:c r="BI302" s="17" t="n">
        <x:f>IF(AND($A302&gt;='Control Room'!$A$13,$A302&lt;'Control Room'!$A$13+'Control Room'!$B$13,'Process'!BV2=1),1+('Control Room'!$C$13-1)*EXP(-0.5*(($A302-'Control Room'!$A$13-('Control Room'!$B$13-1)/2)/MAX(0.5,'Control Room'!$B$13/4))^2),1)*IF(AND($A302&gt;='Control Room'!$A$14,$A302&lt;'Control Room'!$A$14+'Control Room'!$B$14,'Process'!BV3=1),1+('Control Room'!$C$14-1)*EXP(-0.5*(($A302-'Control Room'!$A$14-('Control Room'!$B$14-1)/2)/MAX(0.5,'Control Room'!$B$14/4))^2),1)*IF(AND($A302&gt;='Control Room'!$A$15,$A302&lt;'Control Room'!$A$15+'Control Room'!$B$15,'Process'!BV4=1),1+('Control Room'!$C$15-1)*EXP(-0.5*(($A302-'Control Room'!$A$15-('Control Room'!$B$15-1)/2)/MAX(0.5,'Control Room'!$B$15/4))^2),1)*IF(AND($A302&gt;='Control Room'!$A$16,$A302&lt;'Control Room'!$A$16+'Control Room'!$B$16,'Process'!BV5=1),1+('Control Room'!$C$16-1)*EXP(-0.5*(($A302-'Control Room'!$A$16-('Control Room'!$B$16-1)/2)/MAX(0.5,'Control Room'!$B$16/4))^2),1)</x:f>
        <x:v>1</x:v>
      </x:c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Z302" t="str">
        <x:f>IF('Data'!A302="","",TEXT('Data'!A302,"mm-dd"))</x:f>
      </x:c>
    </x:row>
    <x:row r="303" ht="21" customHeight="1">
      <x:c r="A303" s="15" t="n">
        <x:f>'Control Room'!$B$1+301</x:f>
        <x:v>73292</x:v>
      </x:c>
      <x:c r="B303" s="9" t="n">
        <x:f>MOD(C302*16807,2147483647)</x:f>
        <x:v>2099079189</x:v>
      </x:c>
      <x:c r="C303" s="9" t="n">
        <x:f>MOD(B303*16807,2147483647)</x:f>
        <x:v>362576607</x:v>
      </x:c>
      <x:c r="D303" s="17" t="n">
        <x:f>IF('Control Room'!$B$5="Normal",'Control Room'!$B$7+'Control Room'!$D$7*SQRT(-2*LN(MAX(0.000000000001,B303/2147483647)))*COS(2*PI()*C303/2147483647),'Control Room'!$B$8+('Control Room'!$D$8-'Control Room'!$B$8)*B303/2147483647)</x:f>
        <x:v>1009.3810107371056</x:v>
      </x:c>
      <x:c r="E303" s="17" t="n">
        <x:f>IF('Control Room'!$B$5="Normal",'Control Room'!$B$7,('Control Room'!$B$8+'Control Room'!$D$8)/2)+'Control Room'!$B$9*(E302-IF('Control Room'!$B$5="Normal",'Control Room'!$B$7,('Control Room'!$B$8+'Control Room'!$D$8)/2))+SQRT(1-'Control Room'!$B$9^2)*(D303-IF('Control Room'!$B$5="Normal",'Control Room'!$B$7,('Control Room'!$B$8+'Control Room'!$D$8)/2))</x:f>
        <x:v>896.48653321311</x:v>
      </x:c>
      <x:c r="F303" s="17" t="n">
        <x:f>IF(AND($A303&gt;='Control Room'!$A$13,$A303&lt;'Control Room'!$A$13+'Control Room'!$B$13,'Process'!BK2=1),1+('Control Room'!$C$13-1)*EXP(-0.5*(($A303-'Control Room'!$A$13-('Control Room'!$B$13-1)/2)/MAX(0.5,'Control Room'!$B$13/4))^2),1)*IF(AND($A303&gt;='Control Room'!$A$14,$A303&lt;'Control Room'!$A$14+'Control Room'!$B$14,'Process'!BK3=1),1+('Control Room'!$C$14-1)*EXP(-0.5*(($A303-'Control Room'!$A$14-('Control Room'!$B$14-1)/2)/MAX(0.5,'Control Room'!$B$14/4))^2),1)*IF(AND($A303&gt;='Control Room'!$A$15,$A303&lt;'Control Room'!$A$15+'Control Room'!$B$15,'Process'!BK4=1),1+('Control Room'!$C$15-1)*EXP(-0.5*(($A303-'Control Room'!$A$15-('Control Room'!$B$15-1)/2)/MAX(0.5,'Control Room'!$B$15/4))^2),1)*IF(AND($A303&gt;='Control Room'!$A$16,$A303&lt;'Control Room'!$A$16+'Control Room'!$B$16,'Process'!BK5=1),1+('Control Room'!$C$16-1)*EXP(-0.5*(($A303-'Control Room'!$A$16-('Control Room'!$B$16-1)/2)/MAX(0.5,'Control Room'!$B$16/4))^2),1)</x:f>
        <x:v>1</x:v>
      </x:c>
      <x:c r="G303" s="9" t="n">
        <x:f>MOD(H302*16807,2147483647)</x:f>
        <x:v>1107425507</x:v>
      </x:c>
      <x:c r="H303" s="9" t="n">
        <x:f>MOD(G303*16807,2147483647)</x:f>
        <x:v>259727600</x:v>
      </x:c>
      <x:c r="I303" s="17" t="n">
        <x:f>IF('Control Room'!$B$5="Normal",'Control Room'!$B$7+'Control Room'!$D$7*SQRT(-2*LN(MAX(0.000000000001,G303/2147483647)))*COS(2*PI()*H303/2147483647),'Control Room'!$B$8+('Control Room'!$D$8-'Control Room'!$B$8)*G303/2147483647)</x:f>
        <x:v>1075.083410446487</x:v>
      </x:c>
      <x:c r="J303" s="17" t="n">
        <x:f>IF('Control Room'!$B$5="Normal",'Control Room'!$B$7,('Control Room'!$B$8+'Control Room'!$D$8)/2)+'Control Room'!$B$9*(J302-IF('Control Room'!$B$5="Normal",'Control Room'!$B$7,('Control Room'!$B$8+'Control Room'!$D$8)/2))+SQRT(1-'Control Room'!$B$9^2)*(I303-IF('Control Room'!$B$5="Normal",'Control Room'!$B$7,('Control Room'!$B$8+'Control Room'!$D$8)/2))</x:f>
        <x:v>954.5162319030766</x:v>
      </x:c>
      <x:c r="K303" s="17" t="n">
        <x:f>IF(AND($A303&gt;='Control Room'!$A$13,$A303&lt;'Control Room'!$A$13+'Control Room'!$B$13,'Process'!BL2=1),1+('Control Room'!$C$13-1)*EXP(-0.5*(($A303-'Control Room'!$A$13-('Control Room'!$B$13-1)/2)/MAX(0.5,'Control Room'!$B$13/4))^2),1)*IF(AND($A303&gt;='Control Room'!$A$14,$A303&lt;'Control Room'!$A$14+'Control Room'!$B$14,'Process'!BL3=1),1+('Control Room'!$C$14-1)*EXP(-0.5*(($A303-'Control Room'!$A$14-('Control Room'!$B$14-1)/2)/MAX(0.5,'Control Room'!$B$14/4))^2),1)*IF(AND($A303&gt;='Control Room'!$A$15,$A303&lt;'Control Room'!$A$15+'Control Room'!$B$15,'Process'!BL4=1),1+('Control Room'!$C$15-1)*EXP(-0.5*(($A303-'Control Room'!$A$15-('Control Room'!$B$15-1)/2)/MAX(0.5,'Control Room'!$B$15/4))^2),1)*IF(AND($A303&gt;='Control Room'!$A$16,$A303&lt;'Control Room'!$A$16+'Control Room'!$B$16,'Process'!BL5=1),1+('Control Room'!$C$16-1)*EXP(-0.5*(($A303-'Control Room'!$A$16-('Control Room'!$B$16-1)/2)/MAX(0.5,'Control Room'!$B$16/4))^2),1)</x:f>
        <x:v>1</x:v>
      </x:c>
      <x:c r="L303" s="9" t="n">
        <x:f>MOD(M302*16807,2147483647)</x:f>
        <x:v>115771825</x:v>
      </x:c>
      <x:c r="M303" s="9" t="n">
        <x:f>MOD(L303*16807,2147483647)</x:f>
        <x:v>156878593</x:v>
      </x:c>
      <x:c r="N303" s="17" t="n">
        <x:f>IF('Control Room'!$B$5="Normal",'Control Room'!$B$7+'Control Room'!$D$7*SQRT(-2*LN(MAX(0.000000000001,L303/2147483647)))*COS(2*PI()*M303/2147483647),'Control Room'!$B$8+('Control Room'!$D$8-'Control Room'!$B$8)*L303/2147483647)</x:f>
        <x:v>1194.9975233817927</x:v>
      </x:c>
      <x:c r="O303" s="17" t="n">
        <x:f>IF('Control Room'!$B$5="Normal",'Control Room'!$B$7,('Control Room'!$B$8+'Control Room'!$D$8)/2)+'Control Room'!$B$9*(O302-IF('Control Room'!$B$5="Normal",'Control Room'!$B$7,('Control Room'!$B$8+'Control Room'!$D$8)/2))+SQRT(1-'Control Room'!$B$9^2)*(N303-IF('Control Room'!$B$5="Normal",'Control Room'!$B$7,('Control Room'!$B$8+'Control Room'!$D$8)/2))</x:f>
        <x:v>1020.7060345114321</x:v>
      </x:c>
      <x:c r="P303" s="17" t="n">
        <x:f>IF(AND($A303&gt;='Control Room'!$A$13,$A303&lt;'Control Room'!$A$13+'Control Room'!$B$13,'Process'!BM2=1),1+('Control Room'!$C$13-1)*EXP(-0.5*(($A303-'Control Room'!$A$13-('Control Room'!$B$13-1)/2)/MAX(0.5,'Control Room'!$B$13/4))^2),1)*IF(AND($A303&gt;='Control Room'!$A$14,$A303&lt;'Control Room'!$A$14+'Control Room'!$B$14,'Process'!BM3=1),1+('Control Room'!$C$14-1)*EXP(-0.5*(($A303-'Control Room'!$A$14-('Control Room'!$B$14-1)/2)/MAX(0.5,'Control Room'!$B$14/4))^2),1)*IF(AND($A303&gt;='Control Room'!$A$15,$A303&lt;'Control Room'!$A$15+'Control Room'!$B$15,'Process'!BM4=1),1+('Control Room'!$C$15-1)*EXP(-0.5*(($A303-'Control Room'!$A$15-('Control Room'!$B$15-1)/2)/MAX(0.5,'Control Room'!$B$15/4))^2),1)*IF(AND($A303&gt;='Control Room'!$A$16,$A303&lt;'Control Room'!$A$16+'Control Room'!$B$16,'Process'!BM5=1),1+('Control Room'!$C$16-1)*EXP(-0.5*(($A303-'Control Room'!$A$16-('Control Room'!$B$16-1)/2)/MAX(0.5,'Control Room'!$B$16/4))^2),1)</x:f>
        <x:v>1</x:v>
      </x:c>
      <x:c r="Q303" s="9" t="n">
        <x:f>MOD(R302*16807,2147483647)</x:f>
        <x:v>1271601790</x:v>
      </x:c>
      <x:c r="R303" s="9" t="n">
        <x:f>MOD(Q303*16807,2147483647)</x:f>
        <x:v>54029586</x:v>
      </x:c>
      <x:c r="S303" s="17" t="n">
        <x:f>IF('Control Room'!$B$5="Normal",'Control Room'!$B$7+'Control Room'!$D$7*SQRT(-2*LN(MAX(0.000000000001,Q303/2147483647)))*COS(2*PI()*R303/2147483647),'Control Room'!$B$8+('Control Room'!$D$8-'Control Room'!$B$8)*Q303/2147483647)</x:f>
        <x:v>1090.9875488704054</x:v>
      </x:c>
      <x:c r="T303" s="17" t="n">
        <x:f>IF('Control Room'!$B$5="Normal",'Control Room'!$B$7,('Control Room'!$B$8+'Control Room'!$D$8)/2)+'Control Room'!$B$9*(T302-IF('Control Room'!$B$5="Normal",'Control Room'!$B$7,('Control Room'!$B$8+'Control Room'!$D$8)/2))+SQRT(1-'Control Room'!$B$9^2)*(S303-IF('Control Room'!$B$5="Normal",'Control Room'!$B$7,('Control Room'!$B$8+'Control Room'!$D$8)/2))</x:f>
        <x:v>1047.7107269165933</x:v>
      </x:c>
      <x:c r="U303" s="17" t="n">
        <x:f>IF(AND($A303&gt;='Control Room'!$A$13,$A303&lt;'Control Room'!$A$13+'Control Room'!$B$13,'Process'!BN2=1),1+('Control Room'!$C$13-1)*EXP(-0.5*(($A303-'Control Room'!$A$13-('Control Room'!$B$13-1)/2)/MAX(0.5,'Control Room'!$B$13/4))^2),1)*IF(AND($A303&gt;='Control Room'!$A$14,$A303&lt;'Control Room'!$A$14+'Control Room'!$B$14,'Process'!BN3=1),1+('Control Room'!$C$14-1)*EXP(-0.5*(($A303-'Control Room'!$A$14-('Control Room'!$B$14-1)/2)/MAX(0.5,'Control Room'!$B$14/4))^2),1)*IF(AND($A303&gt;='Control Room'!$A$15,$A303&lt;'Control Room'!$A$15+'Control Room'!$B$15,'Process'!BN4=1),1+('Control Room'!$C$15-1)*EXP(-0.5*(($A303-'Control Room'!$A$15-('Control Room'!$B$15-1)/2)/MAX(0.5,'Control Room'!$B$15/4))^2),1)*IF(AND($A303&gt;='Control Room'!$A$16,$A303&lt;'Control Room'!$A$16+'Control Room'!$B$16,'Process'!BN5=1),1+('Control Room'!$C$16-1)*EXP(-0.5*(($A303-'Control Room'!$A$16-('Control Room'!$B$16-1)/2)/MAX(0.5,'Control Room'!$B$16/4))^2),1)</x:f>
        <x:v>1</x:v>
      </x:c>
      <x:c r="V303" s="9" t="n">
        <x:f>MOD(W302*16807,2147483647)</x:f>
        <x:v>279948108</x:v>
      </x:c>
      <x:c r="W303" s="9" t="n">
        <x:f>MOD(V303*16807,2147483647)</x:f>
        <x:v>2098664226</x:v>
      </x:c>
      <x:c r="X303" s="17" t="n">
        <x:f>IF('Control Room'!$B$5="Normal",'Control Room'!$B$7+'Control Room'!$D$7*SQRT(-2*LN(MAX(0.000000000001,V303/2147483647)))*COS(2*PI()*W303/2147483647),'Control Room'!$B$8+('Control Room'!$D$8-'Control Room'!$B$8)*V303/2147483647)</x:f>
        <x:v>1179.8271400770404</x:v>
      </x:c>
      <x:c r="Y303" s="17" t="n">
        <x:f>IF('Control Room'!$B$5="Normal",'Control Room'!$B$7,('Control Room'!$B$8+'Control Room'!$D$8)/2)+'Control Room'!$B$9*(Y302-IF('Control Room'!$B$5="Normal",'Control Room'!$B$7,('Control Room'!$B$8+'Control Room'!$D$8)/2))+SQRT(1-'Control Room'!$B$9^2)*(X303-IF('Control Room'!$B$5="Normal",'Control Room'!$B$7,('Control Room'!$B$8+'Control Room'!$D$8)/2))</x:f>
        <x:v>1090.9131976470662</x:v>
      </x:c>
      <x:c r="Z303" s="17" t="n">
        <x:f>IF(AND($A303&gt;='Control Room'!$A$13,$A303&lt;'Control Room'!$A$13+'Control Room'!$B$13,'Process'!BO2=1),1+('Control Room'!$C$13-1)*EXP(-0.5*(($A303-'Control Room'!$A$13-('Control Room'!$B$13-1)/2)/MAX(0.5,'Control Room'!$B$13/4))^2),1)*IF(AND($A303&gt;='Control Room'!$A$14,$A303&lt;'Control Room'!$A$14+'Control Room'!$B$14,'Process'!BO3=1),1+('Control Room'!$C$14-1)*EXP(-0.5*(($A303-'Control Room'!$A$14-('Control Room'!$B$14-1)/2)/MAX(0.5,'Control Room'!$B$14/4))^2),1)*IF(AND($A303&gt;='Control Room'!$A$15,$A303&lt;'Control Room'!$A$15+'Control Room'!$B$15,'Process'!BO4=1),1+('Control Room'!$C$15-1)*EXP(-0.5*(($A303-'Control Room'!$A$15-('Control Room'!$B$15-1)/2)/MAX(0.5,'Control Room'!$B$15/4))^2),1)*IF(AND($A303&gt;='Control Room'!$A$16,$A303&lt;'Control Room'!$A$16+'Control Room'!$B$16,'Process'!BO5=1),1+('Control Room'!$C$16-1)*EXP(-0.5*(($A303-'Control Room'!$A$16-('Control Room'!$B$16-1)/2)/MAX(0.5,'Control Room'!$B$16/4))^2),1)</x:f>
        <x:v>1</x:v>
      </x:c>
      <x:c r="AA303" s="9" t="n">
        <x:f>MOD(AB302*16807,2147483647)</x:f>
        <x:v>1435778073</x:v>
      </x:c>
      <x:c r="AB303" s="9" t="n">
        <x:f>MOD(AA303*16807,2147483647)</x:f>
        <x:v>1995815219</x:v>
      </x:c>
      <x:c r="AC303" s="17" t="n">
        <x:f>IF('Control Room'!$B$5="Normal",'Control Room'!$B$7+'Control Room'!$D$7*SQRT(-2*LN(MAX(0.000000000001,AA303/2147483647)))*COS(2*PI()*AB303/2147483647),'Control Room'!$B$8+('Control Room'!$D$8-'Control Room'!$B$8)*AA303/2147483647)</x:f>
        <x:v>1072.9367515828033</x:v>
      </x:c>
      <x:c r="AD303" s="17" t="n">
        <x:f>IF('Control Room'!$B$5="Normal",'Control Room'!$B$7,('Control Room'!$B$8+'Control Room'!$D$8)/2)+'Control Room'!$B$9*(AD302-IF('Control Room'!$B$5="Normal",'Control Room'!$B$7,('Control Room'!$B$8+'Control Room'!$D$8)/2))+SQRT(1-'Control Room'!$B$9^2)*(AC303-IF('Control Room'!$B$5="Normal",'Control Room'!$B$7,('Control Room'!$B$8+'Control Room'!$D$8)/2))</x:f>
        <x:v>1036.4879687935484</x:v>
      </x:c>
      <x:c r="AE303" s="17" t="n">
        <x:f>IF(AND($A303&gt;='Control Room'!$A$13,$A303&lt;'Control Room'!$A$13+'Control Room'!$B$13,'Process'!BP2=1),1+('Control Room'!$C$13-1)*EXP(-0.5*(($A303-'Control Room'!$A$13-('Control Room'!$B$13-1)/2)/MAX(0.5,'Control Room'!$B$13/4))^2),1)*IF(AND($A303&gt;='Control Room'!$A$14,$A303&lt;'Control Room'!$A$14+'Control Room'!$B$14,'Process'!BP3=1),1+('Control Room'!$C$14-1)*EXP(-0.5*(($A303-'Control Room'!$A$14-('Control Room'!$B$14-1)/2)/MAX(0.5,'Control Room'!$B$14/4))^2),1)*IF(AND($A303&gt;='Control Room'!$A$15,$A303&lt;'Control Room'!$A$15+'Control Room'!$B$15,'Process'!BP4=1),1+('Control Room'!$C$15-1)*EXP(-0.5*(($A303-'Control Room'!$A$15-('Control Room'!$B$15-1)/2)/MAX(0.5,'Control Room'!$B$15/4))^2),1)*IF(AND($A303&gt;='Control Room'!$A$16,$A303&lt;'Control Room'!$A$16+'Control Room'!$B$16,'Process'!BP5=1),1+('Control Room'!$C$16-1)*EXP(-0.5*(($A303-'Control Room'!$A$16-('Control Room'!$B$16-1)/2)/MAX(0.5,'Control Room'!$B$16/4))^2),1)</x:f>
        <x:v>1</x:v>
      </x:c>
      <x:c r="AF303" s="9" t="n">
        <x:f>MOD(AG302*16807,2147483647)</x:f>
        <x:v>444124391</x:v>
      </x:c>
      <x:c r="AG303" s="9" t="n">
        <x:f>MOD(AF303*16807,2147483647)</x:f>
        <x:v>1892966212</x:v>
      </x:c>
      <x:c r="AH303" s="17" t="n">
        <x:f>IF('Control Room'!$B$5="Normal",'Control Room'!$B$7+'Control Room'!$D$7*SQRT(-2*LN(MAX(0.000000000001,AF303/2147483647)))*COS(2*PI()*AG303/2147483647),'Control Room'!$B$8+('Control Room'!$D$8-'Control Room'!$B$8)*AF303/2147483647)</x:f>
        <x:v>1117.4890103824696</x:v>
      </x:c>
      <x:c r="AI303" s="17" t="n">
        <x:f>IF('Control Room'!$B$5="Normal",'Control Room'!$B$7,('Control Room'!$B$8+'Control Room'!$D$8)/2)+'Control Room'!$B$9*(AI302-IF('Control Room'!$B$5="Normal",'Control Room'!$B$7,('Control Room'!$B$8+'Control Room'!$D$8)/2))+SQRT(1-'Control Room'!$B$9^2)*(AH303-IF('Control Room'!$B$5="Normal",'Control Room'!$B$7,('Control Room'!$B$8+'Control Room'!$D$8)/2))</x:f>
        <x:v>1210.8718470893427</x:v>
      </x:c>
      <x:c r="AJ303" s="17" t="n">
        <x:f>IF(AND($A303&gt;='Control Room'!$A$13,$A303&lt;'Control Room'!$A$13+'Control Room'!$B$13,'Process'!BQ2=1),1+('Control Room'!$C$13-1)*EXP(-0.5*(($A303-'Control Room'!$A$13-('Control Room'!$B$13-1)/2)/MAX(0.5,'Control Room'!$B$13/4))^2),1)*IF(AND($A303&gt;='Control Room'!$A$14,$A303&lt;'Control Room'!$A$14+'Control Room'!$B$14,'Process'!BQ3=1),1+('Control Room'!$C$14-1)*EXP(-0.5*(($A303-'Control Room'!$A$14-('Control Room'!$B$14-1)/2)/MAX(0.5,'Control Room'!$B$14/4))^2),1)*IF(AND($A303&gt;='Control Room'!$A$15,$A303&lt;'Control Room'!$A$15+'Control Room'!$B$15,'Process'!BQ4=1),1+('Control Room'!$C$15-1)*EXP(-0.5*(($A303-'Control Room'!$A$15-('Control Room'!$B$15-1)/2)/MAX(0.5,'Control Room'!$B$15/4))^2),1)*IF(AND($A303&gt;='Control Room'!$A$16,$A303&lt;'Control Room'!$A$16+'Control Room'!$B$16,'Process'!BQ5=1),1+('Control Room'!$C$16-1)*EXP(-0.5*(($A303-'Control Room'!$A$16-('Control Room'!$B$16-1)/2)/MAX(0.5,'Control Room'!$B$16/4))^2),1)</x:f>
        <x:v>1</x:v>
      </x:c>
      <x:c r="AK303" s="9" t="n">
        <x:f>MOD(AL302*16807,2147483647)</x:f>
        <x:v>1599954356</x:v>
      </x:c>
      <x:c r="AL303" s="9" t="n">
        <x:f>MOD(AK303*16807,2147483647)</x:f>
        <x:v>1790117205</x:v>
      </x:c>
      <x:c r="AM303" s="17" t="n">
        <x:f>IF('Control Room'!$B$5="Normal",'Control Room'!$B$7+'Control Room'!$D$7*SQRT(-2*LN(MAX(0.000000000001,AK303/2147483647)))*COS(2*PI()*AL303/2147483647),'Control Room'!$B$8+('Control Room'!$D$8-'Control Room'!$B$8)*AK303/2147483647)</x:f>
        <x:v>1034.6211407846909</x:v>
      </x:c>
      <x:c r="AN303" s="17" t="n">
        <x:f>IF('Control Room'!$B$5="Normal",'Control Room'!$B$7,('Control Room'!$B$8+'Control Room'!$D$8)/2)+'Control Room'!$B$9*(AN302-IF('Control Room'!$B$5="Normal",'Control Room'!$B$7,('Control Room'!$B$8+'Control Room'!$D$8)/2))+SQRT(1-'Control Room'!$B$9^2)*(AM303-IF('Control Room'!$B$5="Normal",'Control Room'!$B$7,('Control Room'!$B$8+'Control Room'!$D$8)/2))</x:f>
        <x:v>1037.488523671702</x:v>
      </x:c>
      <x:c r="AO303" s="17" t="n">
        <x:f>IF(AND($A303&gt;='Control Room'!$A$13,$A303&lt;'Control Room'!$A$13+'Control Room'!$B$13,'Process'!BR2=1),1+('Control Room'!$C$13-1)*EXP(-0.5*(($A303-'Control Room'!$A$13-('Control Room'!$B$13-1)/2)/MAX(0.5,'Control Room'!$B$13/4))^2),1)*IF(AND($A303&gt;='Control Room'!$A$14,$A303&lt;'Control Room'!$A$14+'Control Room'!$B$14,'Process'!BR3=1),1+('Control Room'!$C$14-1)*EXP(-0.5*(($A303-'Control Room'!$A$14-('Control Room'!$B$14-1)/2)/MAX(0.5,'Control Room'!$B$14/4))^2),1)*IF(AND($A303&gt;='Control Room'!$A$15,$A303&lt;'Control Room'!$A$15+'Control Room'!$B$15,'Process'!BR4=1),1+('Control Room'!$C$15-1)*EXP(-0.5*(($A303-'Control Room'!$A$15-('Control Room'!$B$15-1)/2)/MAX(0.5,'Control Room'!$B$15/4))^2),1)*IF(AND($A303&gt;='Control Room'!$A$16,$A303&lt;'Control Room'!$A$16+'Control Room'!$B$16,'Process'!BR5=1),1+('Control Room'!$C$16-1)*EXP(-0.5*(($A303-'Control Room'!$A$16-('Control Room'!$B$16-1)/2)/MAX(0.5,'Control Room'!$B$16/4))^2),1)</x:f>
        <x:v>1</x:v>
      </x:c>
      <x:c r="AP303" s="9" t="n">
        <x:f>MOD(AQ302*16807,2147483647)</x:f>
        <x:v>608300674</x:v>
      </x:c>
      <x:c r="AQ303" s="9" t="n">
        <x:f>MOD(AP303*16807,2147483647)</x:f>
        <x:v>1687268198</x:v>
      </x:c>
      <x:c r="AR303" s="17" t="n">
        <x:f>IF('Control Room'!$B$5="Normal",'Control Room'!$B$7+'Control Room'!$D$7*SQRT(-2*LN(MAX(0.000000000001,AP303/2147483647)))*COS(2*PI()*AQ303/2147483647),'Control Room'!$B$8+('Control Room'!$D$8-'Control Room'!$B$8)*AP303/2147483647)</x:f>
        <x:v>1031.7926662353107</x:v>
      </x:c>
      <x:c r="AS303" s="17" t="n">
        <x:f>IF('Control Room'!$B$5="Normal",'Control Room'!$B$7,('Control Room'!$B$8+'Control Room'!$D$8)/2)+'Control Room'!$B$9*(AS302-IF('Control Room'!$B$5="Normal",'Control Room'!$B$7,('Control Room'!$B$8+'Control Room'!$D$8)/2))+SQRT(1-'Control Room'!$B$9^2)*(AR303-IF('Control Room'!$B$5="Normal",'Control Room'!$B$7,('Control Room'!$B$8+'Control Room'!$D$8)/2))</x:f>
        <x:v>1111.2219978632274</x:v>
      </x:c>
      <x:c r="AT303" s="17" t="n">
        <x:f>IF(AND($A303&gt;='Control Room'!$A$13,$A303&lt;'Control Room'!$A$13+'Control Room'!$B$13,'Process'!BS2=1),1+('Control Room'!$C$13-1)*EXP(-0.5*(($A303-'Control Room'!$A$13-('Control Room'!$B$13-1)/2)/MAX(0.5,'Control Room'!$B$13/4))^2),1)*IF(AND($A303&gt;='Control Room'!$A$14,$A303&lt;'Control Room'!$A$14+'Control Room'!$B$14,'Process'!BS3=1),1+('Control Room'!$C$14-1)*EXP(-0.5*(($A303-'Control Room'!$A$14-('Control Room'!$B$14-1)/2)/MAX(0.5,'Control Room'!$B$14/4))^2),1)*IF(AND($A303&gt;='Control Room'!$A$15,$A303&lt;'Control Room'!$A$15+'Control Room'!$B$15,'Process'!BS4=1),1+('Control Room'!$C$15-1)*EXP(-0.5*(($A303-'Control Room'!$A$15-('Control Room'!$B$15-1)/2)/MAX(0.5,'Control Room'!$B$15/4))^2),1)*IF(AND($A303&gt;='Control Room'!$A$16,$A303&lt;'Control Room'!$A$16+'Control Room'!$B$16,'Process'!BS5=1),1+('Control Room'!$C$16-1)*EXP(-0.5*(($A303-'Control Room'!$A$16-('Control Room'!$B$16-1)/2)/MAX(0.5,'Control Room'!$B$16/4))^2),1)</x:f>
        <x:v>1</x:v>
      </x:c>
      <x:c r="AU303" s="9" t="n">
        <x:f>MOD(AV302*16807,2147483647)</x:f>
        <x:v>1764130639</x:v>
      </x:c>
      <x:c r="AV303" s="9" t="n">
        <x:f>MOD(AU303*16807,2147483647)</x:f>
        <x:v>1584419191</x:v>
      </x:c>
      <x:c r="AW303" s="17" t="n">
        <x:f>IF('Control Room'!$B$5="Normal",'Control Room'!$B$7+'Control Room'!$D$7*SQRT(-2*LN(MAX(0.000000000001,AU303/2147483647)))*COS(2*PI()*AV303/2147483647),'Control Room'!$B$8+('Control Room'!$D$8-'Control Room'!$B$8)*AU303/2147483647)</x:f>
        <x:v>995.6787328841502</x:v>
      </x:c>
      <x:c r="AX303" s="17" t="n">
        <x:f>IF('Control Room'!$B$5="Normal",'Control Room'!$B$7,('Control Room'!$B$8+'Control Room'!$D$8)/2)+'Control Room'!$B$9*(AX302-IF('Control Room'!$B$5="Normal",'Control Room'!$B$7,('Control Room'!$B$8+'Control Room'!$D$8)/2))+SQRT(1-'Control Room'!$B$9^2)*(AW303-IF('Control Room'!$B$5="Normal",'Control Room'!$B$7,('Control Room'!$B$8+'Control Room'!$D$8)/2))</x:f>
        <x:v>1024.8661882490298</x:v>
      </x:c>
      <x:c r="AY303" s="17" t="n">
        <x:f>IF(AND($A303&gt;='Control Room'!$A$13,$A303&lt;'Control Room'!$A$13+'Control Room'!$B$13,'Process'!BT2=1),1+('Control Room'!$C$13-1)*EXP(-0.5*(($A303-'Control Room'!$A$13-('Control Room'!$B$13-1)/2)/MAX(0.5,'Control Room'!$B$13/4))^2),1)*IF(AND($A303&gt;='Control Room'!$A$14,$A303&lt;'Control Room'!$A$14+'Control Room'!$B$14,'Process'!BT3=1),1+('Control Room'!$C$14-1)*EXP(-0.5*(($A303-'Control Room'!$A$14-('Control Room'!$B$14-1)/2)/MAX(0.5,'Control Room'!$B$14/4))^2),1)*IF(AND($A303&gt;='Control Room'!$A$15,$A303&lt;'Control Room'!$A$15+'Control Room'!$B$15,'Process'!BT4=1),1+('Control Room'!$C$15-1)*EXP(-0.5*(($A303-'Control Room'!$A$15-('Control Room'!$B$15-1)/2)/MAX(0.5,'Control Room'!$B$15/4))^2),1)*IF(AND($A303&gt;='Control Room'!$A$16,$A303&lt;'Control Room'!$A$16+'Control Room'!$B$16,'Process'!BT5=1),1+('Control Room'!$C$16-1)*EXP(-0.5*(($A303-'Control Room'!$A$16-('Control Room'!$B$16-1)/2)/MAX(0.5,'Control Room'!$B$16/4))^2),1)</x:f>
        <x:v>1</x:v>
      </x:c>
      <x:c r="AZ303" s="9" t="n">
        <x:f>MOD(BA302*16807,2147483647)</x:f>
        <x:v>772476957</x:v>
      </x:c>
      <x:c r="BA303" s="9" t="n">
        <x:f>MOD(AZ303*16807,2147483647)</x:f>
        <x:v>1481570184</x:v>
      </x:c>
      <x:c r="BB303" s="17" t="n">
        <x:f>IF('Control Room'!$B$5="Normal",'Control Room'!$B$7+'Control Room'!$D$7*SQRT(-2*LN(MAX(0.000000000001,AZ303/2147483647)))*COS(2*PI()*BA303/2147483647),'Control Room'!$B$8+('Control Room'!$D$8-'Control Room'!$B$8)*AZ303/2147483647)</x:f>
        <x:v>952.5546228794462</x:v>
      </x:c>
      <x:c r="BC303" s="17" t="n">
        <x:f>IF('Control Room'!$B$5="Normal",'Control Room'!$B$7,('Control Room'!$B$8+'Control Room'!$D$8)/2)+'Control Room'!$B$9*(BC302-IF('Control Room'!$B$5="Normal",'Control Room'!$B$7,('Control Room'!$B$8+'Control Room'!$D$8)/2))+SQRT(1-'Control Room'!$B$9^2)*(BB303-IF('Control Room'!$B$5="Normal",'Control Room'!$B$7,('Control Room'!$B$8+'Control Room'!$D$8)/2))</x:f>
        <x:v>1031.468552185418</x:v>
      </x:c>
      <x:c r="BD303" s="17" t="n">
        <x:f>IF(AND($A303&gt;='Control Room'!$A$13,$A303&lt;'Control Room'!$A$13+'Control Room'!$B$13,'Process'!BU2=1),1+('Control Room'!$C$13-1)*EXP(-0.5*(($A303-'Control Room'!$A$13-('Control Room'!$B$13-1)/2)/MAX(0.5,'Control Room'!$B$13/4))^2),1)*IF(AND($A303&gt;='Control Room'!$A$14,$A303&lt;'Control Room'!$A$14+'Control Room'!$B$14,'Process'!BU3=1),1+('Control Room'!$C$14-1)*EXP(-0.5*(($A303-'Control Room'!$A$14-('Control Room'!$B$14-1)/2)/MAX(0.5,'Control Room'!$B$14/4))^2),1)*IF(AND($A303&gt;='Control Room'!$A$15,$A303&lt;'Control Room'!$A$15+'Control Room'!$B$15,'Process'!BU4=1),1+('Control Room'!$C$15-1)*EXP(-0.5*(($A303-'Control Room'!$A$15-('Control Room'!$B$15-1)/2)/MAX(0.5,'Control Room'!$B$15/4))^2),1)*IF(AND($A303&gt;='Control Room'!$A$16,$A303&lt;'Control Room'!$A$16+'Control Room'!$B$16,'Process'!BU5=1),1+('Control Room'!$C$16-1)*EXP(-0.5*(($A303-'Control Room'!$A$16-('Control Room'!$B$16-1)/2)/MAX(0.5,'Control Room'!$B$16/4))^2),1)</x:f>
        <x:v>1</x:v>
      </x:c>
      <x:c r="BE303" s="9" t="n">
        <x:f>MOD(BF302*16807,2147483647)</x:f>
        <x:v>1928306922</x:v>
      </x:c>
      <x:c r="BF303" s="9" t="n">
        <x:f>MOD(BE303*16807,2147483647)</x:f>
        <x:v>1378721177</x:v>
      </x:c>
      <x:c r="BG303" s="17" t="n">
        <x:f>IF('Control Room'!$B$5="Normal",'Control Room'!$B$7+'Control Room'!$D$7*SQRT(-2*LN(MAX(0.000000000001,BE303/2147483647)))*COS(2*PI()*BF303/2147483647),'Control Room'!$B$8+('Control Room'!$D$8-'Control Room'!$B$8)*BE303/2147483647)</x:f>
        <x:v>973.7903200948216</x:v>
      </x:c>
      <x:c r="BH303" s="17" t="n">
        <x:f>IF('Control Room'!$B$5="Normal",'Control Room'!$B$7,('Control Room'!$B$8+'Control Room'!$D$8)/2)+'Control Room'!$B$9*(BH302-IF('Control Room'!$B$5="Normal",'Control Room'!$B$7,('Control Room'!$B$8+'Control Room'!$D$8)/2))+SQRT(1-'Control Room'!$B$9^2)*(BG303-IF('Control Room'!$B$5="Normal",'Control Room'!$B$7,('Control Room'!$B$8+'Control Room'!$D$8)/2))</x:f>
        <x:v>990.7780715608785</x:v>
      </x:c>
      <x:c r="BI303" s="17" t="n">
        <x:f>IF(AND($A303&gt;='Control Room'!$A$13,$A303&lt;'Control Room'!$A$13+'Control Room'!$B$13,'Process'!BV2=1),1+('Control Room'!$C$13-1)*EXP(-0.5*(($A303-'Control Room'!$A$13-('Control Room'!$B$13-1)/2)/MAX(0.5,'Control Room'!$B$13/4))^2),1)*IF(AND($A303&gt;='Control Room'!$A$14,$A303&lt;'Control Room'!$A$14+'Control Room'!$B$14,'Process'!BV3=1),1+('Control Room'!$C$14-1)*EXP(-0.5*(($A303-'Control Room'!$A$14-('Control Room'!$B$14-1)/2)/MAX(0.5,'Control Room'!$B$14/4))^2),1)*IF(AND($A303&gt;='Control Room'!$A$15,$A303&lt;'Control Room'!$A$15+'Control Room'!$B$15,'Process'!BV4=1),1+('Control Room'!$C$15-1)*EXP(-0.5*(($A303-'Control Room'!$A$15-('Control Room'!$B$15-1)/2)/MAX(0.5,'Control Room'!$B$15/4))^2),1)*IF(AND($A303&gt;='Control Room'!$A$16,$A303&lt;'Control Room'!$A$16+'Control Room'!$B$16,'Process'!BV5=1),1+('Control Room'!$C$16-1)*EXP(-0.5*(($A303-'Control Room'!$A$16-('Control Room'!$B$16-1)/2)/MAX(0.5,'Control Room'!$B$16/4))^2),1)</x:f>
        <x:v>1</x:v>
      </x:c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Z303" t="str">
        <x:f>IF('Data'!A303="","",TEXT('Data'!A303,"mm-dd"))</x:f>
      </x:c>
    </x:row>
    <x:row r="304" ht="21" customHeight="1">
      <x:c r="A304" s="15" t="n">
        <x:f>'Control Room'!$B$1+302</x:f>
        <x:v>73293</x:v>
      </x:c>
      <x:c r="B304" s="9" t="n">
        <x:f>MOD(C303*16807,2147483647)</x:f>
        <x:v>1413927310</x:v>
      </x:c>
      <x:c r="C304" s="9" t="n">
        <x:f>MOD(B304*16807,2147483647)</x:f>
        <x:v>1969745115</x:v>
      </x:c>
      <x:c r="D304" s="17" t="n">
        <x:f>IF('Control Room'!$B$5="Normal",'Control Room'!$B$7+'Control Room'!$D$7*SQRT(-2*LN(MAX(0.000000000001,B304/2147483647)))*COS(2*PI()*C304/2147483647),'Control Room'!$B$8+('Control Room'!$D$8-'Control Room'!$B$8)*B304/2147483647)</x:f>
        <x:v>1071.4048692786248</x:v>
      </x:c>
      <x:c r="E304" s="17" t="n">
        <x:f>IF('Control Room'!$B$5="Normal",'Control Room'!$B$7,('Control Room'!$B$8+'Control Room'!$D$8)/2)+'Control Room'!$B$9*(E303-IF('Control Room'!$B$5="Normal",'Control Room'!$B$7,('Control Room'!$B$8+'Control Room'!$D$8)/2))+SQRT(1-'Control Room'!$B$9^2)*(D304-IF('Control Room'!$B$5="Normal",'Control Room'!$B$7,('Control Room'!$B$8+'Control Room'!$D$8)/2))</x:f>
        <x:v>963.9432002925313</x:v>
      </x:c>
      <x:c r="F304" s="17" t="n">
        <x:f>IF(AND($A304&gt;='Control Room'!$A$13,$A304&lt;'Control Room'!$A$13+'Control Room'!$B$13,'Process'!BK2=1),1+('Control Room'!$C$13-1)*EXP(-0.5*(($A304-'Control Room'!$A$13-('Control Room'!$B$13-1)/2)/MAX(0.5,'Control Room'!$B$13/4))^2),1)*IF(AND($A304&gt;='Control Room'!$A$14,$A304&lt;'Control Room'!$A$14+'Control Room'!$B$14,'Process'!BK3=1),1+('Control Room'!$C$14-1)*EXP(-0.5*(($A304-'Control Room'!$A$14-('Control Room'!$B$14-1)/2)/MAX(0.5,'Control Room'!$B$14/4))^2),1)*IF(AND($A304&gt;='Control Room'!$A$15,$A304&lt;'Control Room'!$A$15+'Control Room'!$B$15,'Process'!BK4=1),1+('Control Room'!$C$15-1)*EXP(-0.5*(($A304-'Control Room'!$A$15-('Control Room'!$B$15-1)/2)/MAX(0.5,'Control Room'!$B$15/4))^2),1)*IF(AND($A304&gt;='Control Room'!$A$16,$A304&lt;'Control Room'!$A$16+'Control Room'!$B$16,'Process'!BK5=1),1+('Control Room'!$C$16-1)*EXP(-0.5*(($A304-'Control Room'!$A$16-('Control Room'!$B$16-1)/2)/MAX(0.5,'Control Room'!$B$16/4))^2),1)</x:f>
        <x:v>1</x:v>
      </x:c>
      <x:c r="G304" s="9" t="n">
        <x:f>MOD(H303*16807,2147483647)</x:f>
        <x:v>1555002496</x:v>
      </x:c>
      <x:c r="H304" s="9" t="n">
        <x:f>MOD(G304*16807,2147483647)</x:f>
        <x:v>50966282</x:v>
      </x:c>
      <x:c r="I304" s="17" t="n">
        <x:f>IF('Control Room'!$B$5="Normal",'Control Room'!$B$7+'Control Room'!$D$7*SQRT(-2*LN(MAX(0.000000000001,G304/2147483647)))*COS(2*PI()*H304/2147483647),'Control Room'!$B$8+('Control Room'!$D$8-'Control Room'!$B$8)*G304/2147483647)</x:f>
        <x:v>1071.5139670648846</x:v>
      </x:c>
      <x:c r="J304" s="17" t="n">
        <x:f>IF('Control Room'!$B$5="Normal",'Control Room'!$B$7,('Control Room'!$B$8+'Control Room'!$D$8)/2)+'Control Room'!$B$9*(J303-IF('Control Room'!$B$5="Normal",'Control Room'!$B$7,('Control Room'!$B$8+'Control Room'!$D$8)/2))+SQRT(1-'Control Room'!$B$9^2)*(I304-IF('Control Room'!$B$5="Normal",'Control Room'!$B$7,('Control Room'!$B$8+'Control Room'!$D$8)/2))</x:f>
        <x:v>1009.2746364303571</x:v>
      </x:c>
      <x:c r="K304" s="17" t="n">
        <x:f>IF(AND($A304&gt;='Control Room'!$A$13,$A304&lt;'Control Room'!$A$13+'Control Room'!$B$13,'Process'!BL2=1),1+('Control Room'!$C$13-1)*EXP(-0.5*(($A304-'Control Room'!$A$13-('Control Room'!$B$13-1)/2)/MAX(0.5,'Control Room'!$B$13/4))^2),1)*IF(AND($A304&gt;='Control Room'!$A$14,$A304&lt;'Control Room'!$A$14+'Control Room'!$B$14,'Process'!BL3=1),1+('Control Room'!$C$14-1)*EXP(-0.5*(($A304-'Control Room'!$A$14-('Control Room'!$B$14-1)/2)/MAX(0.5,'Control Room'!$B$14/4))^2),1)*IF(AND($A304&gt;='Control Room'!$A$15,$A304&lt;'Control Room'!$A$15+'Control Room'!$B$15,'Process'!BL4=1),1+('Control Room'!$C$15-1)*EXP(-0.5*(($A304-'Control Room'!$A$15-('Control Room'!$B$15-1)/2)/MAX(0.5,'Control Room'!$B$15/4))^2),1)*IF(AND($A304&gt;='Control Room'!$A$16,$A304&lt;'Control Room'!$A$16+'Control Room'!$B$16,'Process'!BL5=1),1+('Control Room'!$C$16-1)*EXP(-0.5*(($A304-'Control Room'!$A$16-('Control Room'!$B$16-1)/2)/MAX(0.5,'Control Room'!$B$16/4))^2),1)</x:f>
        <x:v>1</x:v>
      </x:c>
      <x:c r="L304" s="9" t="n">
        <x:f>MOD(M303*16807,2147483647)</x:f>
        <x:v>1696077682</x:v>
      </x:c>
      <x:c r="M304" s="9" t="n">
        <x:f>MOD(L304*16807,2147483647)</x:f>
        <x:v>279671096</x:v>
      </x:c>
      <x:c r="N304" s="17" t="n">
        <x:f>IF('Control Room'!$B$5="Normal",'Control Room'!$B$7+'Control Room'!$D$7*SQRT(-2*LN(MAX(0.000000000001,L304/2147483647)))*COS(2*PI()*M304/2147483647),'Control Room'!$B$8+('Control Room'!$D$8-'Control Room'!$B$8)*L304/2147483647)</x:f>
        <x:v>1042.2592559123002</x:v>
      </x:c>
      <x:c r="O304" s="17" t="n">
        <x:f>IF('Control Room'!$B$5="Normal",'Control Room'!$B$7,('Control Room'!$B$8+'Control Room'!$D$8)/2)+'Control Room'!$B$9*(O303-IF('Control Room'!$B$5="Normal",'Control Room'!$B$7,('Control Room'!$B$8+'Control Room'!$D$8)/2))+SQRT(1-'Control Room'!$B$9^2)*(N304-IF('Control Room'!$B$5="Normal",'Control Room'!$B$7,('Control Room'!$B$8+'Control Room'!$D$8)/2))</x:f>
        <x:v>1042.5956835409206</x:v>
      </x:c>
      <x:c r="P304" s="17" t="n">
        <x:f>IF(AND($A304&gt;='Control Room'!$A$13,$A304&lt;'Control Room'!$A$13+'Control Room'!$B$13,'Process'!BM2=1),1+('Control Room'!$C$13-1)*EXP(-0.5*(($A304-'Control Room'!$A$13-('Control Room'!$B$13-1)/2)/MAX(0.5,'Control Room'!$B$13/4))^2),1)*IF(AND($A304&gt;='Control Room'!$A$14,$A304&lt;'Control Room'!$A$14+'Control Room'!$B$14,'Process'!BM3=1),1+('Control Room'!$C$14-1)*EXP(-0.5*(($A304-'Control Room'!$A$14-('Control Room'!$B$14-1)/2)/MAX(0.5,'Control Room'!$B$14/4))^2),1)*IF(AND($A304&gt;='Control Room'!$A$15,$A304&lt;'Control Room'!$A$15+'Control Room'!$B$15,'Process'!BM4=1),1+('Control Room'!$C$15-1)*EXP(-0.5*(($A304-'Control Room'!$A$15-('Control Room'!$B$15-1)/2)/MAX(0.5,'Control Room'!$B$15/4))^2),1)*IF(AND($A304&gt;='Control Room'!$A$16,$A304&lt;'Control Room'!$A$16+'Control Room'!$B$16,'Process'!BM5=1),1+('Control Room'!$C$16-1)*EXP(-0.5*(($A304-'Control Room'!$A$16-('Control Room'!$B$16-1)/2)/MAX(0.5,'Control Room'!$B$16/4))^2),1)</x:f>
        <x:v>1</x:v>
      </x:c>
      <x:c r="Q304" s="9" t="n">
        <x:f>MOD(R303*16807,2147483647)</x:f>
        <x:v>1837152868</x:v>
      </x:c>
      <x:c r="R304" s="9" t="n">
        <x:f>MOD(Q304*16807,2147483647)</x:f>
        <x:v>508375910</x:v>
      </x:c>
      <x:c r="S304" s="17" t="n">
        <x:f>IF('Control Room'!$B$5="Normal",'Control Room'!$B$7+'Control Room'!$D$7*SQRT(-2*LN(MAX(0.000000000001,Q304/2147483647)))*COS(2*PI()*R304/2147483647),'Control Room'!$B$8+('Control Room'!$D$8-'Control Room'!$B$8)*Q304/2147483647)</x:f>
        <x:v>1004.187417183371</x:v>
      </x:c>
      <x:c r="T304" s="17" t="n">
        <x:f>IF('Control Room'!$B$5="Normal",'Control Room'!$B$7,('Control Room'!$B$8+'Control Room'!$D$8)/2)+'Control Room'!$B$9*(T303-IF('Control Room'!$B$5="Normal",'Control Room'!$B$7,('Control Room'!$B$8+'Control Room'!$D$8)/2))+SQRT(1-'Control Room'!$B$9^2)*(S304-IF('Control Room'!$B$5="Normal",'Control Room'!$B$7,('Control Room'!$B$8+'Control Room'!$D$8)/2))</x:f>
        <x:v>1039.8347668843926</x:v>
      </x:c>
      <x:c r="U304" s="17" t="n">
        <x:f>IF(AND($A304&gt;='Control Room'!$A$13,$A304&lt;'Control Room'!$A$13+'Control Room'!$B$13,'Process'!BN2=1),1+('Control Room'!$C$13-1)*EXP(-0.5*(($A304-'Control Room'!$A$13-('Control Room'!$B$13-1)/2)/MAX(0.5,'Control Room'!$B$13/4))^2),1)*IF(AND($A304&gt;='Control Room'!$A$14,$A304&lt;'Control Room'!$A$14+'Control Room'!$B$14,'Process'!BN3=1),1+('Control Room'!$C$14-1)*EXP(-0.5*(($A304-'Control Room'!$A$14-('Control Room'!$B$14-1)/2)/MAX(0.5,'Control Room'!$B$14/4))^2),1)*IF(AND($A304&gt;='Control Room'!$A$15,$A304&lt;'Control Room'!$A$15+'Control Room'!$B$15,'Process'!BN4=1),1+('Control Room'!$C$15-1)*EXP(-0.5*(($A304-'Control Room'!$A$15-('Control Room'!$B$15-1)/2)/MAX(0.5,'Control Room'!$B$15/4))^2),1)*IF(AND($A304&gt;='Control Room'!$A$16,$A304&lt;'Control Room'!$A$16+'Control Room'!$B$16,'Process'!BN5=1),1+('Control Room'!$C$16-1)*EXP(-0.5*(($A304-'Control Room'!$A$16-('Control Room'!$B$16-1)/2)/MAX(0.5,'Control Room'!$B$16/4))^2),1)</x:f>
        <x:v>1</x:v>
      </x:c>
      <x:c r="V304" s="9" t="n">
        <x:f>MOD(W303*16807,2147483647)</x:f>
        <x:v>1978228054</x:v>
      </x:c>
      <x:c r="W304" s="9" t="n">
        <x:f>MOD(V304*16807,2147483647)</x:f>
        <x:v>737080724</x:v>
      </x:c>
      <x:c r="X304" s="17" t="n">
        <x:f>IF('Control Room'!$B$5="Normal",'Control Room'!$B$7+'Control Room'!$D$7*SQRT(-2*LN(MAX(0.000000000001,V304/2147483647)))*COS(2*PI()*W304/2147483647),'Control Room'!$B$8+('Control Room'!$D$8-'Control Room'!$B$8)*V304/2147483647)</x:f>
        <x:v>979.8384394238983</x:v>
      </x:c>
      <x:c r="Y304" s="17" t="n">
        <x:f>IF('Control Room'!$B$5="Normal",'Control Room'!$B$7,('Control Room'!$B$8+'Control Room'!$D$8)/2)+'Control Room'!$B$9*(Y303-IF('Control Room'!$B$5="Normal",'Control Room'!$B$7,('Control Room'!$B$8+'Control Room'!$D$8)/2))+SQRT(1-'Control Room'!$B$9^2)*(X304-IF('Control Room'!$B$5="Normal",'Control Room'!$B$7,('Control Room'!$B$8+'Control Room'!$D$8)/2))</x:f>
        <x:v>1058.295602588206</x:v>
      </x:c>
      <x:c r="Z304" s="17" t="n">
        <x:f>IF(AND($A304&gt;='Control Room'!$A$13,$A304&lt;'Control Room'!$A$13+'Control Room'!$B$13,'Process'!BO2=1),1+('Control Room'!$C$13-1)*EXP(-0.5*(($A304-'Control Room'!$A$13-('Control Room'!$B$13-1)/2)/MAX(0.5,'Control Room'!$B$13/4))^2),1)*IF(AND($A304&gt;='Control Room'!$A$14,$A304&lt;'Control Room'!$A$14+'Control Room'!$B$14,'Process'!BO3=1),1+('Control Room'!$C$14-1)*EXP(-0.5*(($A304-'Control Room'!$A$14-('Control Room'!$B$14-1)/2)/MAX(0.5,'Control Room'!$B$14/4))^2),1)*IF(AND($A304&gt;='Control Room'!$A$15,$A304&lt;'Control Room'!$A$15+'Control Room'!$B$15,'Process'!BO4=1),1+('Control Room'!$C$15-1)*EXP(-0.5*(($A304-'Control Room'!$A$15-('Control Room'!$B$15-1)/2)/MAX(0.5,'Control Room'!$B$15/4))^2),1)*IF(AND($A304&gt;='Control Room'!$A$16,$A304&lt;'Control Room'!$A$16+'Control Room'!$B$16,'Process'!BO5=1),1+('Control Room'!$C$16-1)*EXP(-0.5*(($A304-'Control Room'!$A$16-('Control Room'!$B$16-1)/2)/MAX(0.5,'Control Room'!$B$16/4))^2),1)</x:f>
        <x:v>1</x:v>
      </x:c>
      <x:c r="AA304" s="9" t="n">
        <x:f>MOD(AB303*16807,2147483647)</x:f>
        <x:v>2119303240</x:v>
      </x:c>
      <x:c r="AB304" s="9" t="n">
        <x:f>MOD(AA304*16807,2147483647)</x:f>
        <x:v>965785538</x:v>
      </x:c>
      <x:c r="AC304" s="17" t="n">
        <x:f>IF('Control Room'!$B$5="Normal",'Control Room'!$B$7+'Control Room'!$D$7*SQRT(-2*LN(MAX(0.000000000001,AA304/2147483647)))*COS(2*PI()*AB304/2147483647),'Control Room'!$B$8+('Control Room'!$D$8-'Control Room'!$B$8)*AA304/2147483647)</x:f>
        <x:v>986.0952202237532</x:v>
      </x:c>
      <x:c r="AD304" s="17" t="n">
        <x:f>IF('Control Room'!$B$5="Normal",'Control Room'!$B$7,('Control Room'!$B$8+'Control Room'!$D$8)/2)+'Control Room'!$B$9*(AD303-IF('Control Room'!$B$5="Normal",'Control Room'!$B$7,('Control Room'!$B$8+'Control Room'!$D$8)/2))+SQRT(1-'Control Room'!$B$9^2)*(AC304-IF('Control Room'!$B$5="Normal",'Control Room'!$B$7,('Control Room'!$B$8+'Control Room'!$D$8)/2))</x:f>
        <x:v>1019.7592893298895</x:v>
      </x:c>
      <x:c r="AE304" s="17" t="n">
        <x:f>IF(AND($A304&gt;='Control Room'!$A$13,$A304&lt;'Control Room'!$A$13+'Control Room'!$B$13,'Process'!BP2=1),1+('Control Room'!$C$13-1)*EXP(-0.5*(($A304-'Control Room'!$A$13-('Control Room'!$B$13-1)/2)/MAX(0.5,'Control Room'!$B$13/4))^2),1)*IF(AND($A304&gt;='Control Room'!$A$14,$A304&lt;'Control Room'!$A$14+'Control Room'!$B$14,'Process'!BP3=1),1+('Control Room'!$C$14-1)*EXP(-0.5*(($A304-'Control Room'!$A$14-('Control Room'!$B$14-1)/2)/MAX(0.5,'Control Room'!$B$14/4))^2),1)*IF(AND($A304&gt;='Control Room'!$A$15,$A304&lt;'Control Room'!$A$15+'Control Room'!$B$15,'Process'!BP4=1),1+('Control Room'!$C$15-1)*EXP(-0.5*(($A304-'Control Room'!$A$15-('Control Room'!$B$15-1)/2)/MAX(0.5,'Control Room'!$B$15/4))^2),1)*IF(AND($A304&gt;='Control Room'!$A$16,$A304&lt;'Control Room'!$A$16+'Control Room'!$B$16,'Process'!BP5=1),1+('Control Room'!$C$16-1)*EXP(-0.5*(($A304-'Control Room'!$A$16-('Control Room'!$B$16-1)/2)/MAX(0.5,'Control Room'!$B$16/4))^2),1)</x:f>
        <x:v>1</x:v>
      </x:c>
      <x:c r="AF304" s="9" t="n">
        <x:f>MOD(AG303*16807,2147483647)</x:f>
        <x:v>112894779</x:v>
      </x:c>
      <x:c r="AG304" s="9" t="n">
        <x:f>MOD(AF304*16807,2147483647)</x:f>
        <x:v>1194490352</x:v>
      </x:c>
      <x:c r="AH304" s="17" t="n">
        <x:f>IF('Control Room'!$B$5="Normal",'Control Room'!$B$7+'Control Room'!$D$7*SQRT(-2*LN(MAX(0.000000000001,AF304/2147483647)))*COS(2*PI()*AG304/2147483647),'Control Room'!$B$8+('Control Room'!$D$8-'Control Room'!$B$8)*AF304/2147483647)</x:f>
        <x:v>795.0453717452796</x:v>
      </x:c>
      <x:c r="AI304" s="17" t="n">
        <x:f>IF('Control Room'!$B$5="Normal",'Control Room'!$B$7,('Control Room'!$B$8+'Control Room'!$D$8)/2)+'Control Room'!$B$9*(AI303-IF('Control Room'!$B$5="Normal",'Control Room'!$B$7,('Control Room'!$B$8+'Control Room'!$D$8)/2))+SQRT(1-'Control Room'!$B$9^2)*(AH304-IF('Control Room'!$B$5="Normal",'Control Room'!$B$7,('Control Room'!$B$8+'Control Room'!$D$8)/2))</x:f>
        <x:v>1036.223633091664</x:v>
      </x:c>
      <x:c r="AJ304" s="17" t="n">
        <x:f>IF(AND($A304&gt;='Control Room'!$A$13,$A304&lt;'Control Room'!$A$13+'Control Room'!$B$13,'Process'!BQ2=1),1+('Control Room'!$C$13-1)*EXP(-0.5*(($A304-'Control Room'!$A$13-('Control Room'!$B$13-1)/2)/MAX(0.5,'Control Room'!$B$13/4))^2),1)*IF(AND($A304&gt;='Control Room'!$A$14,$A304&lt;'Control Room'!$A$14+'Control Room'!$B$14,'Process'!BQ3=1),1+('Control Room'!$C$14-1)*EXP(-0.5*(($A304-'Control Room'!$A$14-('Control Room'!$B$14-1)/2)/MAX(0.5,'Control Room'!$B$14/4))^2),1)*IF(AND($A304&gt;='Control Room'!$A$15,$A304&lt;'Control Room'!$A$15+'Control Room'!$B$15,'Process'!BQ4=1),1+('Control Room'!$C$15-1)*EXP(-0.5*(($A304-'Control Room'!$A$15-('Control Room'!$B$15-1)/2)/MAX(0.5,'Control Room'!$B$15/4))^2),1)*IF(AND($A304&gt;='Control Room'!$A$16,$A304&lt;'Control Room'!$A$16+'Control Room'!$B$16,'Process'!BQ5=1),1+('Control Room'!$C$16-1)*EXP(-0.5*(($A304-'Control Room'!$A$16-('Control Room'!$B$16-1)/2)/MAX(0.5,'Control Room'!$B$16/4))^2),1)</x:f>
        <x:v>1</x:v>
      </x:c>
      <x:c r="AK304" s="9" t="n">
        <x:f>MOD(AL303*16807,2147483647)</x:f>
        <x:v>253969965</x:v>
      </x:c>
      <x:c r="AL304" s="9" t="n">
        <x:f>MOD(AK304*16807,2147483647)</x:f>
        <x:v>1423195166</x:v>
      </x:c>
      <x:c r="AM304" s="17" t="n">
        <x:f>IF('Control Room'!$B$5="Normal",'Control Room'!$B$7+'Control Room'!$D$7*SQRT(-2*LN(MAX(0.000000000001,AK304/2147483647)))*COS(2*PI()*AL304/2147483647),'Control Room'!$B$8+('Control Room'!$D$8-'Control Room'!$B$8)*AK304/2147483647)</x:f>
        <x:v>903.0577905822367</x:v>
      </x:c>
      <x:c r="AN304" s="17" t="n">
        <x:f>IF('Control Room'!$B$5="Normal",'Control Room'!$B$7,('Control Room'!$B$8+'Control Room'!$D$8)/2)+'Control Room'!$B$9*(AN303-IF('Control Room'!$B$5="Normal",'Control Room'!$B$7,('Control Room'!$B$8+'Control Room'!$D$8)/2))+SQRT(1-'Control Room'!$B$9^2)*(AM304-IF('Control Room'!$B$5="Normal",'Control Room'!$B$7,('Control Room'!$B$8+'Control Room'!$D$8)/2))</x:f>
        <x:v>968.5765997793984</x:v>
      </x:c>
      <x:c r="AO304" s="17" t="n">
        <x:f>IF(AND($A304&gt;='Control Room'!$A$13,$A304&lt;'Control Room'!$A$13+'Control Room'!$B$13,'Process'!BR2=1),1+('Control Room'!$C$13-1)*EXP(-0.5*(($A304-'Control Room'!$A$13-('Control Room'!$B$13-1)/2)/MAX(0.5,'Control Room'!$B$13/4))^2),1)*IF(AND($A304&gt;='Control Room'!$A$14,$A304&lt;'Control Room'!$A$14+'Control Room'!$B$14,'Process'!BR3=1),1+('Control Room'!$C$14-1)*EXP(-0.5*(($A304-'Control Room'!$A$14-('Control Room'!$B$14-1)/2)/MAX(0.5,'Control Room'!$B$14/4))^2),1)*IF(AND($A304&gt;='Control Room'!$A$15,$A304&lt;'Control Room'!$A$15+'Control Room'!$B$15,'Process'!BR4=1),1+('Control Room'!$C$15-1)*EXP(-0.5*(($A304-'Control Room'!$A$15-('Control Room'!$B$15-1)/2)/MAX(0.5,'Control Room'!$B$15/4))^2),1)*IF(AND($A304&gt;='Control Room'!$A$16,$A304&lt;'Control Room'!$A$16+'Control Room'!$B$16,'Process'!BR5=1),1+('Control Room'!$C$16-1)*EXP(-0.5*(($A304-'Control Room'!$A$16-('Control Room'!$B$16-1)/2)/MAX(0.5,'Control Room'!$B$16/4))^2),1)</x:f>
        <x:v>1</x:v>
      </x:c>
      <x:c r="AP304" s="9" t="n">
        <x:f>MOD(AQ303*16807,2147483647)</x:f>
        <x:v>395045151</x:v>
      </x:c>
      <x:c r="AQ304" s="9" t="n">
        <x:f>MOD(AP304*16807,2147483647)</x:f>
        <x:v>1651899980</x:v>
      </x:c>
      <x:c r="AR304" s="17" t="n">
        <x:f>IF('Control Room'!$B$5="Normal",'Control Room'!$B$7+'Control Room'!$D$7*SQRT(-2*LN(MAX(0.000000000001,AP304/2147483647)))*COS(2*PI()*AQ304/2147483647),'Control Room'!$B$8+('Control Room'!$D$8-'Control Room'!$B$8)*AP304/2147483647)</x:f>
        <x:v>1019.95730054226</x:v>
      </x:c>
      <x:c r="AS304" s="17" t="n">
        <x:f>IF('Control Room'!$B$5="Normal",'Control Room'!$B$7,('Control Room'!$B$8+'Control Room'!$D$8)/2)+'Control Room'!$B$9*(AS303-IF('Control Room'!$B$5="Normal",'Control Room'!$B$7,('Control Room'!$B$8+'Control Room'!$D$8)/2))+SQRT(1-'Control Room'!$B$9^2)*(AR304-IF('Control Room'!$B$5="Normal",'Control Room'!$B$7,('Control Room'!$B$8+'Control Room'!$D$8)/2))</x:f>
        <x:v>1099.2420281651393</x:v>
      </x:c>
      <x:c r="AT304" s="17" t="n">
        <x:f>IF(AND($A304&gt;='Control Room'!$A$13,$A304&lt;'Control Room'!$A$13+'Control Room'!$B$13,'Process'!BS2=1),1+('Control Room'!$C$13-1)*EXP(-0.5*(($A304-'Control Room'!$A$13-('Control Room'!$B$13-1)/2)/MAX(0.5,'Control Room'!$B$13/4))^2),1)*IF(AND($A304&gt;='Control Room'!$A$14,$A304&lt;'Control Room'!$A$14+'Control Room'!$B$14,'Process'!BS3=1),1+('Control Room'!$C$14-1)*EXP(-0.5*(($A304-'Control Room'!$A$14-('Control Room'!$B$14-1)/2)/MAX(0.5,'Control Room'!$B$14/4))^2),1)*IF(AND($A304&gt;='Control Room'!$A$15,$A304&lt;'Control Room'!$A$15+'Control Room'!$B$15,'Process'!BS4=1),1+('Control Room'!$C$15-1)*EXP(-0.5*(($A304-'Control Room'!$A$15-('Control Room'!$B$15-1)/2)/MAX(0.5,'Control Room'!$B$15/4))^2),1)*IF(AND($A304&gt;='Control Room'!$A$16,$A304&lt;'Control Room'!$A$16+'Control Room'!$B$16,'Process'!BS5=1),1+('Control Room'!$C$16-1)*EXP(-0.5*(($A304-'Control Room'!$A$16-('Control Room'!$B$16-1)/2)/MAX(0.5,'Control Room'!$B$16/4))^2),1)</x:f>
        <x:v>1</x:v>
      </x:c>
      <x:c r="AU304" s="9" t="n">
        <x:f>MOD(AV303*16807,2147483647)</x:f>
        <x:v>536120337</x:v>
      </x:c>
      <x:c r="AV304" s="9" t="n">
        <x:f>MOD(AU304*16807,2147483647)</x:f>
        <x:v>1880604794</x:v>
      </x:c>
      <x:c r="AW304" s="17" t="n">
        <x:f>IF('Control Room'!$B$5="Normal",'Control Room'!$B$7+'Control Room'!$D$7*SQRT(-2*LN(MAX(0.000000000001,AU304/2147483647)))*COS(2*PI()*AV304/2147483647),'Control Room'!$B$8+('Control Room'!$D$8-'Control Room'!$B$8)*AU304/2147483647)</x:f>
        <x:v>1106.5021130350465</x:v>
      </x:c>
      <x:c r="AX304" s="17" t="n">
        <x:f>IF('Control Room'!$B$5="Normal",'Control Room'!$B$7,('Control Room'!$B$8+'Control Room'!$D$8)/2)+'Control Room'!$B$9*(AX303-IF('Control Room'!$B$5="Normal",'Control Room'!$B$7,('Control Room'!$B$8+'Control Room'!$D$8)/2))+SQRT(1-'Control Room'!$B$9^2)*(AW304-IF('Control Room'!$B$5="Normal",'Control Room'!$B$7,('Control Room'!$B$8+'Control Room'!$D$8)/2))</x:f>
        <x:v>1086.0424673571977</x:v>
      </x:c>
      <x:c r="AY304" s="17" t="n">
        <x:f>IF(AND($A304&gt;='Control Room'!$A$13,$A304&lt;'Control Room'!$A$13+'Control Room'!$B$13,'Process'!BT2=1),1+('Control Room'!$C$13-1)*EXP(-0.5*(($A304-'Control Room'!$A$13-('Control Room'!$B$13-1)/2)/MAX(0.5,'Control Room'!$B$13/4))^2),1)*IF(AND($A304&gt;='Control Room'!$A$14,$A304&lt;'Control Room'!$A$14+'Control Room'!$B$14,'Process'!BT3=1),1+('Control Room'!$C$14-1)*EXP(-0.5*(($A304-'Control Room'!$A$14-('Control Room'!$B$14-1)/2)/MAX(0.5,'Control Room'!$B$14/4))^2),1)*IF(AND($A304&gt;='Control Room'!$A$15,$A304&lt;'Control Room'!$A$15+'Control Room'!$B$15,'Process'!BT4=1),1+('Control Room'!$C$15-1)*EXP(-0.5*(($A304-'Control Room'!$A$15-('Control Room'!$B$15-1)/2)/MAX(0.5,'Control Room'!$B$15/4))^2),1)*IF(AND($A304&gt;='Control Room'!$A$16,$A304&lt;'Control Room'!$A$16+'Control Room'!$B$16,'Process'!BT5=1),1+('Control Room'!$C$16-1)*EXP(-0.5*(($A304-'Control Room'!$A$16-('Control Room'!$B$16-1)/2)/MAX(0.5,'Control Room'!$B$16/4))^2),1)</x:f>
        <x:v>1</x:v>
      </x:c>
      <x:c r="AZ304" s="9" t="n">
        <x:f>MOD(BA303*16807,2147483647)</x:f>
        <x:v>677195523</x:v>
      </x:c>
      <x:c r="BA304" s="9" t="n">
        <x:f>MOD(AZ304*16807,2147483647)</x:f>
        <x:v>2109309608</x:v>
      </x:c>
      <x:c r="BB304" s="17" t="n">
        <x:f>IF('Control Room'!$B$5="Normal",'Control Room'!$B$7+'Control Room'!$D$7*SQRT(-2*LN(MAX(0.000000000001,AZ304/2147483647)))*COS(2*PI()*BA304/2147483647),'Control Room'!$B$8+('Control Room'!$D$8-'Control Room'!$B$8)*AZ304/2147483647)</x:f>
        <x:v>1135.882393036766</x:v>
      </x:c>
      <x:c r="BC304" s="17" t="n">
        <x:f>IF('Control Room'!$B$5="Normal",'Control Room'!$B$7,('Control Room'!$B$8+'Control Room'!$D$8)/2)+'Control Room'!$B$9*(BC303-IF('Control Room'!$B$5="Normal",'Control Room'!$B$7,('Control Room'!$B$8+'Control Room'!$D$8)/2))+SQRT(1-'Control Room'!$B$9^2)*(BB304-IF('Control Room'!$B$5="Normal",'Control Room'!$B$7,('Control Room'!$B$8+'Control Room'!$D$8)/2))</x:f>
        <x:v>1109.5778885649052</x:v>
      </x:c>
      <x:c r="BD304" s="17" t="n">
        <x:f>IF(AND($A304&gt;='Control Room'!$A$13,$A304&lt;'Control Room'!$A$13+'Control Room'!$B$13,'Process'!BU2=1),1+('Control Room'!$C$13-1)*EXP(-0.5*(($A304-'Control Room'!$A$13-('Control Room'!$B$13-1)/2)/MAX(0.5,'Control Room'!$B$13/4))^2),1)*IF(AND($A304&gt;='Control Room'!$A$14,$A304&lt;'Control Room'!$A$14+'Control Room'!$B$14,'Process'!BU3=1),1+('Control Room'!$C$14-1)*EXP(-0.5*(($A304-'Control Room'!$A$14-('Control Room'!$B$14-1)/2)/MAX(0.5,'Control Room'!$B$14/4))^2),1)*IF(AND($A304&gt;='Control Room'!$A$15,$A304&lt;'Control Room'!$A$15+'Control Room'!$B$15,'Process'!BU4=1),1+('Control Room'!$C$15-1)*EXP(-0.5*(($A304-'Control Room'!$A$15-('Control Room'!$B$15-1)/2)/MAX(0.5,'Control Room'!$B$15/4))^2),1)*IF(AND($A304&gt;='Control Room'!$A$16,$A304&lt;'Control Room'!$A$16+'Control Room'!$B$16,'Process'!BU5=1),1+('Control Room'!$C$16-1)*EXP(-0.5*(($A304-'Control Room'!$A$16-('Control Room'!$B$16-1)/2)/MAX(0.5,'Control Room'!$B$16/4))^2),1)</x:f>
        <x:v>1</x:v>
      </x:c>
      <x:c r="BE304" s="9" t="n">
        <x:f>MOD(BF303*16807,2147483647)</x:f>
        <x:v>818270709</x:v>
      </x:c>
      <x:c r="BF304" s="9" t="n">
        <x:f>MOD(BE304*16807,2147483647)</x:f>
        <x:v>190530775</x:v>
      </x:c>
      <x:c r="BG304" s="17" t="n">
        <x:f>IF('Control Room'!$B$5="Normal",'Control Room'!$B$7+'Control Room'!$D$7*SQRT(-2*LN(MAX(0.000000000001,BE304/2147483647)))*COS(2*PI()*BF304/2147483647),'Control Room'!$B$8+('Control Room'!$D$8-'Control Room'!$B$8)*BE304/2147483647)</x:f>
        <x:v>1106.094467481116</x:v>
      </x:c>
      <x:c r="BH304" s="17" t="n">
        <x:f>IF('Control Room'!$B$5="Normal",'Control Room'!$B$7,('Control Room'!$B$8+'Control Room'!$D$8)/2)+'Control Room'!$B$9*(BH303-IF('Control Room'!$B$5="Normal",'Control Room'!$B$7,('Control Room'!$B$8+'Control Room'!$D$8)/2))+SQRT(1-'Control Room'!$B$9^2)*(BG304-IF('Control Room'!$B$5="Normal",'Control Room'!$B$7,('Control Room'!$B$8+'Control Room'!$D$8)/2))</x:f>
        <x:v>1059.198640103863</x:v>
      </x:c>
      <x:c r="BI304" s="17" t="n">
        <x:f>IF(AND($A304&gt;='Control Room'!$A$13,$A304&lt;'Control Room'!$A$13+'Control Room'!$B$13,'Process'!BV2=1),1+('Control Room'!$C$13-1)*EXP(-0.5*(($A304-'Control Room'!$A$13-('Control Room'!$B$13-1)/2)/MAX(0.5,'Control Room'!$B$13/4))^2),1)*IF(AND($A304&gt;='Control Room'!$A$14,$A304&lt;'Control Room'!$A$14+'Control Room'!$B$14,'Process'!BV3=1),1+('Control Room'!$C$14-1)*EXP(-0.5*(($A304-'Control Room'!$A$14-('Control Room'!$B$14-1)/2)/MAX(0.5,'Control Room'!$B$14/4))^2),1)*IF(AND($A304&gt;='Control Room'!$A$15,$A304&lt;'Control Room'!$A$15+'Control Room'!$B$15,'Process'!BV4=1),1+('Control Room'!$C$15-1)*EXP(-0.5*(($A304-'Control Room'!$A$15-('Control Room'!$B$15-1)/2)/MAX(0.5,'Control Room'!$B$15/4))^2),1)*IF(AND($A304&gt;='Control Room'!$A$16,$A304&lt;'Control Room'!$A$16+'Control Room'!$B$16,'Process'!BV5=1),1+('Control Room'!$C$16-1)*EXP(-0.5*(($A304-'Control Room'!$A$16-('Control Room'!$B$16-1)/2)/MAX(0.5,'Control Room'!$B$16/4))^2),1)</x:f>
        <x:v>1</x:v>
      </x:c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Z304" t="str">
        <x:f>IF('Data'!A304="","",TEXT('Data'!A304,"mm-dd"))</x:f>
      </x:c>
    </x:row>
    <x:row r="305" ht="21" customHeight="1">
      <x:c r="A305" s="15" t="n">
        <x:f>'Control Room'!$B$1+303</x:f>
        <x:v>73294</x:v>
      </x:c>
      <x:c r="B305" s="9" t="n">
        <x:f>MOD(C304*16807,2147483647)</x:f>
        <x:v>2045729300</x:v>
      </x:c>
      <x:c r="C305" s="9" t="n">
        <x:f>MOD(B305*16807,2147483647)</x:f>
        <x:v>1359156630</x:v>
      </x:c>
      <x:c r="D305" s="17" t="n">
        <x:f>IF('Control Room'!$B$5="Normal",'Control Room'!$B$7+'Control Room'!$D$7*SQRT(-2*LN(MAX(0.000000000001,B305/2147483647)))*COS(2*PI()*C305/2147483647),'Control Room'!$B$8+('Control Room'!$D$8-'Control Room'!$B$8)*B305/2147483647)</x:f>
        <x:v>981.1800374637855</x:v>
      </x:c>
      <x:c r="E305" s="17" t="n">
        <x:f>IF('Control Room'!$B$5="Normal",'Control Room'!$B$7,('Control Room'!$B$8+'Control Room'!$D$8)/2)+'Control Room'!$B$9*(E304-IF('Control Room'!$B$5="Normal",'Control Room'!$B$7,('Control Room'!$B$8+'Control Room'!$D$8)/2))+SQRT(1-'Control Room'!$B$9^2)*(D305-IF('Control Room'!$B$5="Normal",'Control Room'!$B$7,('Control Room'!$B$8+'Control Room'!$D$8)/2))</x:f>
        <x:v>960.0985492209004</x:v>
      </x:c>
      <x:c r="F305" s="17" t="n">
        <x:f>IF(AND($A305&gt;='Control Room'!$A$13,$A305&lt;'Control Room'!$A$13+'Control Room'!$B$13,'Process'!BK2=1),1+('Control Room'!$C$13-1)*EXP(-0.5*(($A305-'Control Room'!$A$13-('Control Room'!$B$13-1)/2)/MAX(0.5,'Control Room'!$B$13/4))^2),1)*IF(AND($A305&gt;='Control Room'!$A$14,$A305&lt;'Control Room'!$A$14+'Control Room'!$B$14,'Process'!BK3=1),1+('Control Room'!$C$14-1)*EXP(-0.5*(($A305-'Control Room'!$A$14-('Control Room'!$B$14-1)/2)/MAX(0.5,'Control Room'!$B$14/4))^2),1)*IF(AND($A305&gt;='Control Room'!$A$15,$A305&lt;'Control Room'!$A$15+'Control Room'!$B$15,'Process'!BK4=1),1+('Control Room'!$C$15-1)*EXP(-0.5*(($A305-'Control Room'!$A$15-('Control Room'!$B$15-1)/2)/MAX(0.5,'Control Room'!$B$15/4))^2),1)*IF(AND($A305&gt;='Control Room'!$A$16,$A305&lt;'Control Room'!$A$16+'Control Room'!$B$16,'Process'!BK5=1),1+('Control Room'!$C$16-1)*EXP(-0.5*(($A305-'Control Room'!$A$16-('Control Room'!$B$16-1)/2)/MAX(0.5,'Control Room'!$B$16/4))^2),1)</x:f>
        <x:v>1</x:v>
      </x:c>
      <x:c r="G305" s="9" t="n">
        <x:f>MOD(H304*16807,2147483647)</x:f>
        <x:v>1891810068</x:v>
      </x:c>
      <x:c r="H305" s="9" t="n">
        <x:f>MOD(G305*16807,2147483647)</x:f>
        <x:v>8935394</x:v>
      </x:c>
      <x:c r="I305" s="17" t="n">
        <x:f>IF('Control Room'!$B$5="Normal",'Control Room'!$B$7+'Control Room'!$D$7*SQRT(-2*LN(MAX(0.000000000001,G305/2147483647)))*COS(2*PI()*H305/2147483647),'Control Room'!$B$8+('Control Room'!$D$8-'Control Room'!$B$8)*G305/2147483647)</x:f>
        <x:v>1045.3006863820624</x:v>
      </x:c>
      <x:c r="J305" s="17" t="n">
        <x:f>IF('Control Room'!$B$5="Normal",'Control Room'!$B$7,('Control Room'!$B$8+'Control Room'!$D$8)/2)+'Control Room'!$B$9*(J304-IF('Control Room'!$B$5="Normal",'Control Room'!$B$7,('Control Room'!$B$8+'Control Room'!$D$8)/2))+SQRT(1-'Control Room'!$B$9^2)*(I305-IF('Control Room'!$B$5="Normal",'Control Room'!$B$7,('Control Room'!$B$8+'Control Room'!$D$8)/2))</x:f>
        <x:v>1035.5824579185694</x:v>
      </x:c>
      <x:c r="K305" s="17" t="n">
        <x:f>IF(AND($A305&gt;='Control Room'!$A$13,$A305&lt;'Control Room'!$A$13+'Control Room'!$B$13,'Process'!BL2=1),1+('Control Room'!$C$13-1)*EXP(-0.5*(($A305-'Control Room'!$A$13-('Control Room'!$B$13-1)/2)/MAX(0.5,'Control Room'!$B$13/4))^2),1)*IF(AND($A305&gt;='Control Room'!$A$14,$A305&lt;'Control Room'!$A$14+'Control Room'!$B$14,'Process'!BL3=1),1+('Control Room'!$C$14-1)*EXP(-0.5*(($A305-'Control Room'!$A$14-('Control Room'!$B$14-1)/2)/MAX(0.5,'Control Room'!$B$14/4))^2),1)*IF(AND($A305&gt;='Control Room'!$A$15,$A305&lt;'Control Room'!$A$15+'Control Room'!$B$15,'Process'!BL4=1),1+('Control Room'!$C$15-1)*EXP(-0.5*(($A305-'Control Room'!$A$15-('Control Room'!$B$15-1)/2)/MAX(0.5,'Control Room'!$B$15/4))^2),1)*IF(AND($A305&gt;='Control Room'!$A$16,$A305&lt;'Control Room'!$A$16+'Control Room'!$B$16,'Process'!BL5=1),1+('Control Room'!$C$16-1)*EXP(-0.5*(($A305-'Control Room'!$A$16-('Control Room'!$B$16-1)/2)/MAX(0.5,'Control Room'!$B$16/4))^2),1)</x:f>
        <x:v>1</x:v>
      </x:c>
      <x:c r="L305" s="9" t="n">
        <x:f>MOD(M304*16807,2147483647)</x:f>
        <x:v>1737890836</x:v>
      </x:c>
      <x:c r="M305" s="9" t="n">
        <x:f>MOD(L305*16807,2147483647)</x:f>
        <x:v>806197805</x:v>
      </x:c>
      <x:c r="N305" s="17" t="n">
        <x:f>IF('Control Room'!$B$5="Normal",'Control Room'!$B$7+'Control Room'!$D$7*SQRT(-2*LN(MAX(0.000000000001,L305/2147483647)))*COS(2*PI()*M305/2147483647),'Control Room'!$B$8+('Control Room'!$D$8-'Control Room'!$B$8)*L305/2147483647)</x:f>
        <x:v>958.4897541247094</x:v>
      </x:c>
      <x:c r="O305" s="17" t="n">
        <x:f>IF('Control Room'!$B$5="Normal",'Control Room'!$B$7,('Control Room'!$B$8+'Control Room'!$D$8)/2)+'Control Room'!$B$9*(O304-IF('Control Room'!$B$5="Normal",'Control Room'!$B$7,('Control Room'!$B$8+'Control Room'!$D$8)/2))+SQRT(1-'Control Room'!$B$9^2)*(N305-IF('Control Room'!$B$5="Normal",'Control Room'!$B$7,('Control Room'!$B$8+'Control Room'!$D$8)/2))</x:f>
        <x:v>1007.2483716767704</x:v>
      </x:c>
      <x:c r="P305" s="17" t="n">
        <x:f>IF(AND($A305&gt;='Control Room'!$A$13,$A305&lt;'Control Room'!$A$13+'Control Room'!$B$13,'Process'!BM2=1),1+('Control Room'!$C$13-1)*EXP(-0.5*(($A305-'Control Room'!$A$13-('Control Room'!$B$13-1)/2)/MAX(0.5,'Control Room'!$B$13/4))^2),1)*IF(AND($A305&gt;='Control Room'!$A$14,$A305&lt;'Control Room'!$A$14+'Control Room'!$B$14,'Process'!BM3=1),1+('Control Room'!$C$14-1)*EXP(-0.5*(($A305-'Control Room'!$A$14-('Control Room'!$B$14-1)/2)/MAX(0.5,'Control Room'!$B$14/4))^2),1)*IF(AND($A305&gt;='Control Room'!$A$15,$A305&lt;'Control Room'!$A$15+'Control Room'!$B$15,'Process'!BM4=1),1+('Control Room'!$C$15-1)*EXP(-0.5*(($A305-'Control Room'!$A$15-('Control Room'!$B$15-1)/2)/MAX(0.5,'Control Room'!$B$15/4))^2),1)*IF(AND($A305&gt;='Control Room'!$A$16,$A305&lt;'Control Room'!$A$16+'Control Room'!$B$16,'Process'!BM5=1),1+('Control Room'!$C$16-1)*EXP(-0.5*(($A305-'Control Room'!$A$16-('Control Room'!$B$16-1)/2)/MAX(0.5,'Control Room'!$B$16/4))^2),1)</x:f>
        <x:v>1</x:v>
      </x:c>
      <x:c r="Q305" s="9" t="n">
        <x:f>MOD(R304*16807,2147483647)</x:f>
        <x:v>1583971604</x:v>
      </x:c>
      <x:c r="R305" s="9" t="n">
        <x:f>MOD(Q305*16807,2147483647)</x:f>
        <x:v>1603460216</x:v>
      </x:c>
      <x:c r="S305" s="17" t="n">
        <x:f>IF('Control Room'!$B$5="Normal",'Control Room'!$B$7+'Control Room'!$D$7*SQRT(-2*LN(MAX(0.000000000001,Q305/2147483647)))*COS(2*PI()*R305/2147483647),'Control Room'!$B$8+('Control Room'!$D$8-'Control Room'!$B$8)*Q305/2147483647)</x:f>
        <x:v>998.5306352138907</x:v>
      </x:c>
      <x:c r="T305" s="17" t="n">
        <x:f>IF('Control Room'!$B$5="Normal",'Control Room'!$B$7,('Control Room'!$B$8+'Control Room'!$D$8)/2)+'Control Room'!$B$9*(T304-IF('Control Room'!$B$5="Normal",'Control Room'!$B$7,('Control Room'!$B$8+'Control Room'!$D$8)/2))+SQRT(1-'Control Room'!$B$9^2)*(S305-IF('Control Room'!$B$5="Normal",'Control Room'!$B$7,('Control Room'!$B$8+'Control Room'!$D$8)/2))</x:f>
        <x:v>1030.1516197882527</x:v>
      </x:c>
      <x:c r="U305" s="17" t="n">
        <x:f>IF(AND($A305&gt;='Control Room'!$A$13,$A305&lt;'Control Room'!$A$13+'Control Room'!$B$13,'Process'!BN2=1),1+('Control Room'!$C$13-1)*EXP(-0.5*(($A305-'Control Room'!$A$13-('Control Room'!$B$13-1)/2)/MAX(0.5,'Control Room'!$B$13/4))^2),1)*IF(AND($A305&gt;='Control Room'!$A$14,$A305&lt;'Control Room'!$A$14+'Control Room'!$B$14,'Process'!BN3=1),1+('Control Room'!$C$14-1)*EXP(-0.5*(($A305-'Control Room'!$A$14-('Control Room'!$B$14-1)/2)/MAX(0.5,'Control Room'!$B$14/4))^2),1)*IF(AND($A305&gt;='Control Room'!$A$15,$A305&lt;'Control Room'!$A$15+'Control Room'!$B$15,'Process'!BN4=1),1+('Control Room'!$C$15-1)*EXP(-0.5*(($A305-'Control Room'!$A$15-('Control Room'!$B$15-1)/2)/MAX(0.5,'Control Room'!$B$15/4))^2),1)*IF(AND($A305&gt;='Control Room'!$A$16,$A305&lt;'Control Room'!$A$16+'Control Room'!$B$16,'Process'!BN5=1),1+('Control Room'!$C$16-1)*EXP(-0.5*(($A305-'Control Room'!$A$16-('Control Room'!$B$16-1)/2)/MAX(0.5,'Control Room'!$B$16/4))^2),1)</x:f>
        <x:v>1</x:v>
      </x:c>
      <x:c r="V305" s="9" t="n">
        <x:f>MOD(W304*16807,2147483647)</x:f>
        <x:v>1430052372</x:v>
      </x:c>
      <x:c r="W305" s="9" t="n">
        <x:f>MOD(V305*16807,2147483647)</x:f>
        <x:v>253238980</x:v>
      </x:c>
      <x:c r="X305" s="17" t="n">
        <x:f>IF('Control Room'!$B$5="Normal",'Control Room'!$B$7+'Control Room'!$D$7*SQRT(-2*LN(MAX(0.000000000001,V305/2147483647)))*COS(2*PI()*W305/2147483647),'Control Room'!$B$8+('Control Room'!$D$8-'Control Room'!$B$8)*V305/2147483647)</x:f>
        <x:v>1059.8817021194563</x:v>
      </x:c>
      <x:c r="Y305" s="17" t="n">
        <x:f>IF('Control Room'!$B$5="Normal",'Control Room'!$B$7,('Control Room'!$B$8+'Control Room'!$D$8)/2)+'Control Room'!$B$9*(Y304-IF('Control Room'!$B$5="Normal",'Control Room'!$B$7,('Control Room'!$B$8+'Control Room'!$D$8)/2))+SQRT(1-'Control Room'!$B$9^2)*(X305-IF('Control Room'!$B$5="Normal",'Control Room'!$B$7,('Control Room'!$B$8+'Control Room'!$D$8)/2))</x:f>
        <x:v>1082.9433124618092</x:v>
      </x:c>
      <x:c r="Z305" s="17" t="n">
        <x:f>IF(AND($A305&gt;='Control Room'!$A$13,$A305&lt;'Control Room'!$A$13+'Control Room'!$B$13,'Process'!BO2=1),1+('Control Room'!$C$13-1)*EXP(-0.5*(($A305-'Control Room'!$A$13-('Control Room'!$B$13-1)/2)/MAX(0.5,'Control Room'!$B$13/4))^2),1)*IF(AND($A305&gt;='Control Room'!$A$14,$A305&lt;'Control Room'!$A$14+'Control Room'!$B$14,'Process'!BO3=1),1+('Control Room'!$C$14-1)*EXP(-0.5*(($A305-'Control Room'!$A$14-('Control Room'!$B$14-1)/2)/MAX(0.5,'Control Room'!$B$14/4))^2),1)*IF(AND($A305&gt;='Control Room'!$A$15,$A305&lt;'Control Room'!$A$15+'Control Room'!$B$15,'Process'!BO4=1),1+('Control Room'!$C$15-1)*EXP(-0.5*(($A305-'Control Room'!$A$15-('Control Room'!$B$15-1)/2)/MAX(0.5,'Control Room'!$B$15/4))^2),1)*IF(AND($A305&gt;='Control Room'!$A$16,$A305&lt;'Control Room'!$A$16+'Control Room'!$B$16,'Process'!BO5=1),1+('Control Room'!$C$16-1)*EXP(-0.5*(($A305-'Control Room'!$A$16-('Control Room'!$B$16-1)/2)/MAX(0.5,'Control Room'!$B$16/4))^2),1)</x:f>
        <x:v>1</x:v>
      </x:c>
      <x:c r="AA305" s="9" t="n">
        <x:f>MOD(AB304*16807,2147483647)</x:f>
        <x:v>1276133140</x:v>
      </x:c>
      <x:c r="AB305" s="9" t="n">
        <x:f>MOD(AA305*16807,2147483647)</x:f>
        <x:v>1050501391</x:v>
      </x:c>
      <x:c r="AC305" s="17" t="n">
        <x:f>IF('Control Room'!$B$5="Normal",'Control Room'!$B$7+'Control Room'!$D$7*SQRT(-2*LN(MAX(0.000000000001,AA305/2147483647)))*COS(2*PI()*AB305/2147483647),'Control Room'!$B$8+('Control Room'!$D$8-'Control Room'!$B$8)*AA305/2147483647)</x:f>
        <x:v>908.3890631345517</x:v>
      </x:c>
      <x:c r="AD305" s="17" t="n">
        <x:f>IF('Control Room'!$B$5="Normal",'Control Room'!$B$7,('Control Room'!$B$8+'Control Room'!$D$8)/2)+'Control Room'!$B$9*(AD304-IF('Control Room'!$B$5="Normal",'Control Room'!$B$7,('Control Room'!$B$8+'Control Room'!$D$8)/2))+SQRT(1-'Control Room'!$B$9^2)*(AC305-IF('Control Room'!$B$5="Normal",'Control Room'!$B$7,('Control Room'!$B$8+'Control Room'!$D$8)/2))</x:f>
        <x:v>958.0839981389685</x:v>
      </x:c>
      <x:c r="AE305" s="17" t="n">
        <x:f>IF(AND($A305&gt;='Control Room'!$A$13,$A305&lt;'Control Room'!$A$13+'Control Room'!$B$13,'Process'!BP2=1),1+('Control Room'!$C$13-1)*EXP(-0.5*(($A305-'Control Room'!$A$13-('Control Room'!$B$13-1)/2)/MAX(0.5,'Control Room'!$B$13/4))^2),1)*IF(AND($A305&gt;='Control Room'!$A$14,$A305&lt;'Control Room'!$A$14+'Control Room'!$B$14,'Process'!BP3=1),1+('Control Room'!$C$14-1)*EXP(-0.5*(($A305-'Control Room'!$A$14-('Control Room'!$B$14-1)/2)/MAX(0.5,'Control Room'!$B$14/4))^2),1)*IF(AND($A305&gt;='Control Room'!$A$15,$A305&lt;'Control Room'!$A$15+'Control Room'!$B$15,'Process'!BP4=1),1+('Control Room'!$C$15-1)*EXP(-0.5*(($A305-'Control Room'!$A$15-('Control Room'!$B$15-1)/2)/MAX(0.5,'Control Room'!$B$15/4))^2),1)*IF(AND($A305&gt;='Control Room'!$A$16,$A305&lt;'Control Room'!$A$16+'Control Room'!$B$16,'Process'!BP5=1),1+('Control Room'!$C$16-1)*EXP(-0.5*(($A305-'Control Room'!$A$16-('Control Room'!$B$16-1)/2)/MAX(0.5,'Control Room'!$B$16/4))^2),1)</x:f>
        <x:v>1</x:v>
      </x:c>
      <x:c r="AF305" s="9" t="n">
        <x:f>MOD(AG304*16807,2147483647)</x:f>
        <x:v>1122213908</x:v>
      </x:c>
      <x:c r="AG305" s="9" t="n">
        <x:f>MOD(AF305*16807,2147483647)</x:f>
        <x:v>1847763802</x:v>
      </x:c>
      <x:c r="AH305" s="17" t="n">
        <x:f>IF('Control Room'!$B$5="Normal",'Control Room'!$B$7+'Control Room'!$D$7*SQRT(-2*LN(MAX(0.000000000001,AF305/2147483647)))*COS(2*PI()*AG305/2147483647),'Control Room'!$B$8+('Control Room'!$D$8-'Control Room'!$B$8)*AF305/2147483647)</x:f>
        <x:v>1065.5733361843468</x:v>
      </x:c>
      <x:c r="AI305" s="17" t="n">
        <x:f>IF('Control Room'!$B$5="Normal",'Control Room'!$B$7,('Control Room'!$B$8+'Control Room'!$D$8)/2)+'Control Room'!$B$9*(AI304-IF('Control Room'!$B$5="Normal",'Control Room'!$B$7,('Control Room'!$B$8+'Control Room'!$D$8)/2))+SQRT(1-'Control Room'!$B$9^2)*(AH305-IF('Control Room'!$B$5="Normal",'Control Room'!$B$7,('Control Room'!$B$8+'Control Room'!$D$8)/2))</x:f>
        <x:v>1069.2888842528532</x:v>
      </x:c>
      <x:c r="AJ305" s="17" t="n">
        <x:f>IF(AND($A305&gt;='Control Room'!$A$13,$A305&lt;'Control Room'!$A$13+'Control Room'!$B$13,'Process'!BQ2=1),1+('Control Room'!$C$13-1)*EXP(-0.5*(($A305-'Control Room'!$A$13-('Control Room'!$B$13-1)/2)/MAX(0.5,'Control Room'!$B$13/4))^2),1)*IF(AND($A305&gt;='Control Room'!$A$14,$A305&lt;'Control Room'!$A$14+'Control Room'!$B$14,'Process'!BQ3=1),1+('Control Room'!$C$14-1)*EXP(-0.5*(($A305-'Control Room'!$A$14-('Control Room'!$B$14-1)/2)/MAX(0.5,'Control Room'!$B$14/4))^2),1)*IF(AND($A305&gt;='Control Room'!$A$15,$A305&lt;'Control Room'!$A$15+'Control Room'!$B$15,'Process'!BQ4=1),1+('Control Room'!$C$15-1)*EXP(-0.5*(($A305-'Control Room'!$A$15-('Control Room'!$B$15-1)/2)/MAX(0.5,'Control Room'!$B$15/4))^2),1)*IF(AND($A305&gt;='Control Room'!$A$16,$A305&lt;'Control Room'!$A$16+'Control Room'!$B$16,'Process'!BQ5=1),1+('Control Room'!$C$16-1)*EXP(-0.5*(($A305-'Control Room'!$A$16-('Control Room'!$B$16-1)/2)/MAX(0.5,'Control Room'!$B$16/4))^2),1)</x:f>
        <x:v>1</x:v>
      </x:c>
      <x:c r="AK305" s="9" t="n">
        <x:f>MOD(AL304*16807,2147483647)</x:f>
        <x:v>968294676</x:v>
      </x:c>
      <x:c r="AL305" s="9" t="n">
        <x:f>MOD(AK305*16807,2147483647)</x:f>
        <x:v>497542566</x:v>
      </x:c>
      <x:c r="AM305" s="17" t="n">
        <x:f>IF('Control Room'!$B$5="Normal",'Control Room'!$B$7+'Control Room'!$D$7*SQRT(-2*LN(MAX(0.000000000001,AK305/2147483647)))*COS(2*PI()*AL305/2147483647),'Control Room'!$B$8+('Control Room'!$D$8-'Control Room'!$B$8)*AK305/2147483647)</x:f>
        <x:v>1013.0422196215334</x:v>
      </x:c>
      <x:c r="AN305" s="17" t="n">
        <x:f>IF('Control Room'!$B$5="Normal",'Control Room'!$B$7,('Control Room'!$B$8+'Control Room'!$D$8)/2)+'Control Room'!$B$9*(AN304-IF('Control Room'!$B$5="Normal",'Control Room'!$B$7,('Control Room'!$B$8+'Control Room'!$D$8)/2))+SQRT(1-'Control Room'!$B$9^2)*(AM305-IF('Control Room'!$B$5="Normal",'Control Room'!$B$7,('Control Room'!$B$8+'Control Room'!$D$8)/2))</x:f>
        <x:v>983.6513016826946</x:v>
      </x:c>
      <x:c r="AO305" s="17" t="n">
        <x:f>IF(AND($A305&gt;='Control Room'!$A$13,$A305&lt;'Control Room'!$A$13+'Control Room'!$B$13,'Process'!BR2=1),1+('Control Room'!$C$13-1)*EXP(-0.5*(($A305-'Control Room'!$A$13-('Control Room'!$B$13-1)/2)/MAX(0.5,'Control Room'!$B$13/4))^2),1)*IF(AND($A305&gt;='Control Room'!$A$14,$A305&lt;'Control Room'!$A$14+'Control Room'!$B$14,'Process'!BR3=1),1+('Control Room'!$C$14-1)*EXP(-0.5*(($A305-'Control Room'!$A$14-('Control Room'!$B$14-1)/2)/MAX(0.5,'Control Room'!$B$14/4))^2),1)*IF(AND($A305&gt;='Control Room'!$A$15,$A305&lt;'Control Room'!$A$15+'Control Room'!$B$15,'Process'!BR4=1),1+('Control Room'!$C$15-1)*EXP(-0.5*(($A305-'Control Room'!$A$15-('Control Room'!$B$15-1)/2)/MAX(0.5,'Control Room'!$B$15/4))^2),1)*IF(AND($A305&gt;='Control Room'!$A$16,$A305&lt;'Control Room'!$A$16+'Control Room'!$B$16,'Process'!BR5=1),1+('Control Room'!$C$16-1)*EXP(-0.5*(($A305-'Control Room'!$A$16-('Control Room'!$B$16-1)/2)/MAX(0.5,'Control Room'!$B$16/4))^2),1)</x:f>
        <x:v>1</x:v>
      </x:c>
      <x:c r="AP305" s="9" t="n">
        <x:f>MOD(AQ304*16807,2147483647)</x:f>
        <x:v>814375444</x:v>
      </x:c>
      <x:c r="AQ305" s="9" t="n">
        <x:f>MOD(AP305*16807,2147483647)</x:f>
        <x:v>1294804977</x:v>
      </x:c>
      <x:c r="AR305" s="17" t="n">
        <x:f>IF('Control Room'!$B$5="Normal",'Control Room'!$B$7+'Control Room'!$D$7*SQRT(-2*LN(MAX(0.000000000001,AP305/2147483647)))*COS(2*PI()*AQ305/2147483647),'Control Room'!$B$8+('Control Room'!$D$8-'Control Room'!$B$8)*AP305/2147483647)</x:f>
        <x:v>899.9829125019087</x:v>
      </x:c>
      <x:c r="AS305" s="17" t="n">
        <x:f>IF('Control Room'!$B$5="Normal",'Control Room'!$B$7,('Control Room'!$B$8+'Control Room'!$D$8)/2)+'Control Room'!$B$9*(AS304-IF('Control Room'!$B$5="Normal",'Control Room'!$B$7,('Control Room'!$B$8+'Control Room'!$D$8)/2))+SQRT(1-'Control Room'!$B$9^2)*(AR305-IF('Control Room'!$B$5="Normal",'Control Room'!$B$7,('Control Room'!$B$8+'Control Room'!$D$8)/2))</x:f>
        <x:v>1014.8201375739114</x:v>
      </x:c>
      <x:c r="AT305" s="17" t="n">
        <x:f>IF(AND($A305&gt;='Control Room'!$A$13,$A305&lt;'Control Room'!$A$13+'Control Room'!$B$13,'Process'!BS2=1),1+('Control Room'!$C$13-1)*EXP(-0.5*(($A305-'Control Room'!$A$13-('Control Room'!$B$13-1)/2)/MAX(0.5,'Control Room'!$B$13/4))^2),1)*IF(AND($A305&gt;='Control Room'!$A$14,$A305&lt;'Control Room'!$A$14+'Control Room'!$B$14,'Process'!BS3=1),1+('Control Room'!$C$14-1)*EXP(-0.5*(($A305-'Control Room'!$A$14-('Control Room'!$B$14-1)/2)/MAX(0.5,'Control Room'!$B$14/4))^2),1)*IF(AND($A305&gt;='Control Room'!$A$15,$A305&lt;'Control Room'!$A$15+'Control Room'!$B$15,'Process'!BS4=1),1+('Control Room'!$C$15-1)*EXP(-0.5*(($A305-'Control Room'!$A$15-('Control Room'!$B$15-1)/2)/MAX(0.5,'Control Room'!$B$15/4))^2),1)*IF(AND($A305&gt;='Control Room'!$A$16,$A305&lt;'Control Room'!$A$16+'Control Room'!$B$16,'Process'!BS5=1),1+('Control Room'!$C$16-1)*EXP(-0.5*(($A305-'Control Room'!$A$16-('Control Room'!$B$16-1)/2)/MAX(0.5,'Control Room'!$B$16/4))^2),1)</x:f>
        <x:v>1</x:v>
      </x:c>
      <x:c r="AU305" s="9" t="n">
        <x:f>MOD(AV304*16807,2147483647)</x:f>
        <x:v>660456212</x:v>
      </x:c>
      <x:c r="AV305" s="9" t="n">
        <x:f>MOD(AU305*16807,2147483647)</x:f>
        <x:v>2092067388</x:v>
      </x:c>
      <x:c r="AW305" s="17" t="n">
        <x:f>IF('Control Room'!$B$5="Normal",'Control Room'!$B$7+'Control Room'!$D$7*SQRT(-2*LN(MAX(0.000000000001,AU305/2147483647)))*COS(2*PI()*AV305/2147483647),'Control Room'!$B$8+('Control Room'!$D$8-'Control Room'!$B$8)*AU305/2147483647)</x:f>
        <x:v>1136.3964151581836</x:v>
      </x:c>
      <x:c r="AX305" s="17" t="n">
        <x:f>IF('Control Room'!$B$5="Normal",'Control Room'!$B$7,('Control Room'!$B$8+'Control Room'!$D$8)/2)+'Control Room'!$B$9*(AX304-IF('Control Room'!$B$5="Normal",'Control Room'!$B$7,('Control Room'!$B$8+'Control Room'!$D$8)/2))+SQRT(1-'Control Room'!$B$9^2)*(AW305-IF('Control Room'!$B$5="Normal",'Control Room'!$B$7,('Control Room'!$B$8+'Control Room'!$D$8)/2))</x:f>
        <x:v>1152.4672069121607</x:v>
      </x:c>
      <x:c r="AY305" s="17" t="n">
        <x:f>IF(AND($A305&gt;='Control Room'!$A$13,$A305&lt;'Control Room'!$A$13+'Control Room'!$B$13,'Process'!BT2=1),1+('Control Room'!$C$13-1)*EXP(-0.5*(($A305-'Control Room'!$A$13-('Control Room'!$B$13-1)/2)/MAX(0.5,'Control Room'!$B$13/4))^2),1)*IF(AND($A305&gt;='Control Room'!$A$14,$A305&lt;'Control Room'!$A$14+'Control Room'!$B$14,'Process'!BT3=1),1+('Control Room'!$C$14-1)*EXP(-0.5*(($A305-'Control Room'!$A$14-('Control Room'!$B$14-1)/2)/MAX(0.5,'Control Room'!$B$14/4))^2),1)*IF(AND($A305&gt;='Control Room'!$A$15,$A305&lt;'Control Room'!$A$15+'Control Room'!$B$15,'Process'!BT4=1),1+('Control Room'!$C$15-1)*EXP(-0.5*(($A305-'Control Room'!$A$15-('Control Room'!$B$15-1)/2)/MAX(0.5,'Control Room'!$B$15/4))^2),1)*IF(AND($A305&gt;='Control Room'!$A$16,$A305&lt;'Control Room'!$A$16+'Control Room'!$B$16,'Process'!BT5=1),1+('Control Room'!$C$16-1)*EXP(-0.5*(($A305-'Control Room'!$A$16-('Control Room'!$B$16-1)/2)/MAX(0.5,'Control Room'!$B$16/4))^2),1)</x:f>
        <x:v>1</x:v>
      </x:c>
      <x:c r="AZ305" s="9" t="n">
        <x:f>MOD(BA304*16807,2147483647)</x:f>
        <x:v>506536980</x:v>
      </x:c>
      <x:c r="BA305" s="9" t="n">
        <x:f>MOD(AZ305*16807,2147483647)</x:f>
        <x:v>741846152</x:v>
      </x:c>
      <x:c r="BB305" s="17" t="n">
        <x:f>IF('Control Room'!$B$5="Normal",'Control Room'!$B$7+'Control Room'!$D$7*SQRT(-2*LN(MAX(0.000000000001,AZ305/2147483647)))*COS(2*PI()*BA305/2147483647),'Control Room'!$B$8+('Control Room'!$D$8-'Control Room'!$B$8)*AZ305/2147483647)</x:f>
        <x:v>913.6608562596858</x:v>
      </x:c>
      <x:c r="BC305" s="17" t="n">
        <x:f>IF('Control Room'!$B$5="Normal",'Control Room'!$B$7,('Control Room'!$B$8+'Control Room'!$D$8)/2)+'Control Room'!$B$9*(BC304-IF('Control Room'!$B$5="Normal",'Control Room'!$B$7,('Control Room'!$B$8+'Control Room'!$D$8)/2))+SQRT(1-'Control Room'!$B$9^2)*(BB305-IF('Control Room'!$B$5="Normal",'Control Room'!$B$7,('Control Room'!$B$8+'Control Room'!$D$8)/2))</x:f>
        <x:v>1031.4414856814374</x:v>
      </x:c>
      <x:c r="BD305" s="17" t="n">
        <x:f>IF(AND($A305&gt;='Control Room'!$A$13,$A305&lt;'Control Room'!$A$13+'Control Room'!$B$13,'Process'!BU2=1),1+('Control Room'!$C$13-1)*EXP(-0.5*(($A305-'Control Room'!$A$13-('Control Room'!$B$13-1)/2)/MAX(0.5,'Control Room'!$B$13/4))^2),1)*IF(AND($A305&gt;='Control Room'!$A$14,$A305&lt;'Control Room'!$A$14+'Control Room'!$B$14,'Process'!BU3=1),1+('Control Room'!$C$14-1)*EXP(-0.5*(($A305-'Control Room'!$A$14-('Control Room'!$B$14-1)/2)/MAX(0.5,'Control Room'!$B$14/4))^2),1)*IF(AND($A305&gt;='Control Room'!$A$15,$A305&lt;'Control Room'!$A$15+'Control Room'!$B$15,'Process'!BU4=1),1+('Control Room'!$C$15-1)*EXP(-0.5*(($A305-'Control Room'!$A$15-('Control Room'!$B$15-1)/2)/MAX(0.5,'Control Room'!$B$15/4))^2),1)*IF(AND($A305&gt;='Control Room'!$A$16,$A305&lt;'Control Room'!$A$16+'Control Room'!$B$16,'Process'!BU5=1),1+('Control Room'!$C$16-1)*EXP(-0.5*(($A305-'Control Room'!$A$16-('Control Room'!$B$16-1)/2)/MAX(0.5,'Control Room'!$B$16/4))^2),1)</x:f>
        <x:v>1</x:v>
      </x:c>
      <x:c r="BE305" s="9" t="n">
        <x:f>MOD(BF304*16807,2147483647)</x:f>
        <x:v>352617748</x:v>
      </x:c>
      <x:c r="BF305" s="9" t="n">
        <x:f>MOD(BE305*16807,2147483647)</x:f>
        <x:v>1539108563</x:v>
      </x:c>
      <x:c r="BG305" s="17" t="n">
        <x:f>IF('Control Room'!$B$5="Normal",'Control Room'!$B$7+'Control Room'!$D$7*SQRT(-2*LN(MAX(0.000000000001,BE305/2147483647)))*COS(2*PI()*BF305/2147483647),'Control Room'!$B$8+('Control Room'!$D$8-'Control Room'!$B$8)*BE305/2147483647)</x:f>
        <x:v>964.4691751847254</x:v>
      </x:c>
      <x:c r="BH305" s="17" t="n">
        <x:f>IF('Control Room'!$B$5="Normal",'Control Room'!$B$7,('Control Room'!$B$8+'Control Room'!$D$8)/2)+'Control Room'!$B$9*(BH304-IF('Control Room'!$B$5="Normal",'Control Room'!$B$7,('Control Room'!$B$8+'Control Room'!$D$8)/2))+SQRT(1-'Control Room'!$B$9^2)*(BG305-IF('Control Room'!$B$5="Normal",'Control Room'!$B$7,('Control Room'!$B$8+'Control Room'!$D$8)/2))</x:f>
        <x:v>1023.9404770001249</x:v>
      </x:c>
      <x:c r="BI305" s="17" t="n">
        <x:f>IF(AND($A305&gt;='Control Room'!$A$13,$A305&lt;'Control Room'!$A$13+'Control Room'!$B$13,'Process'!BV2=1),1+('Control Room'!$C$13-1)*EXP(-0.5*(($A305-'Control Room'!$A$13-('Control Room'!$B$13-1)/2)/MAX(0.5,'Control Room'!$B$13/4))^2),1)*IF(AND($A305&gt;='Control Room'!$A$14,$A305&lt;'Control Room'!$A$14+'Control Room'!$B$14,'Process'!BV3=1),1+('Control Room'!$C$14-1)*EXP(-0.5*(($A305-'Control Room'!$A$14-('Control Room'!$B$14-1)/2)/MAX(0.5,'Control Room'!$B$14/4))^2),1)*IF(AND($A305&gt;='Control Room'!$A$15,$A305&lt;'Control Room'!$A$15+'Control Room'!$B$15,'Process'!BV4=1),1+('Control Room'!$C$15-1)*EXP(-0.5*(($A305-'Control Room'!$A$15-('Control Room'!$B$15-1)/2)/MAX(0.5,'Control Room'!$B$15/4))^2),1)*IF(AND($A305&gt;='Control Room'!$A$16,$A305&lt;'Control Room'!$A$16+'Control Room'!$B$16,'Process'!BV5=1),1+('Control Room'!$C$16-1)*EXP(-0.5*(($A305-'Control Room'!$A$16-('Control Room'!$B$16-1)/2)/MAX(0.5,'Control Room'!$B$16/4))^2),1)</x:f>
        <x:v>1</x:v>
      </x:c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Z305" t="str">
        <x:f>IF('Data'!A305="","",TEXT('Data'!A305,"mm-dd"))</x:f>
      </x:c>
    </x:row>
    <x:row r="306" ht="21" customHeight="1">
      <x:c r="A306" s="15" t="n">
        <x:f>'Control Room'!$B$1+304</x:f>
        <x:v>73295</x:v>
      </x:c>
      <x:c r="B306" s="9" t="n">
        <x:f>MOD(C305*16807,2147483647)</x:f>
        <x:v>561927271</x:v>
      </x:c>
      <x:c r="C306" s="9" t="n">
        <x:f>MOD(B306*16807,2147483647)</x:f>
        <x:v>1826047838</x:v>
      </x:c>
      <x:c r="D306" s="17" t="n">
        <x:f>IF('Control Room'!$B$5="Normal",'Control Room'!$B$7+'Control Room'!$D$7*SQRT(-2*LN(MAX(0.000000000001,B306/2147483647)))*COS(2*PI()*C306/2147483647),'Control Room'!$B$8+('Control Room'!$D$8-'Control Room'!$B$8)*B306/2147483647)</x:f>
        <x:v>1086.8634792737853</x:v>
      </x:c>
      <x:c r="E306" s="17" t="n">
        <x:f>IF('Control Room'!$B$5="Normal",'Control Room'!$B$7,('Control Room'!$B$8+'Control Room'!$D$8)/2)+'Control Room'!$B$9*(E305-IF('Control Room'!$B$5="Normal",'Control Room'!$B$7,('Control Room'!$B$8+'Control Room'!$D$8)/2))+SQRT(1-'Control Room'!$B$9^2)*(D306-IF('Control Room'!$B$5="Normal",'Control Room'!$B$7,('Control Room'!$B$8+'Control Room'!$D$8)/2))</x:f>
        <x:v>1023.2342542267401</x:v>
      </x:c>
      <x:c r="F306" s="17" t="n">
        <x:f>IF(AND($A306&gt;='Control Room'!$A$13,$A306&lt;'Control Room'!$A$13+'Control Room'!$B$13,'Process'!BK2=1),1+('Control Room'!$C$13-1)*EXP(-0.5*(($A306-'Control Room'!$A$13-('Control Room'!$B$13-1)/2)/MAX(0.5,'Control Room'!$B$13/4))^2),1)*IF(AND($A306&gt;='Control Room'!$A$14,$A306&lt;'Control Room'!$A$14+'Control Room'!$B$14,'Process'!BK3=1),1+('Control Room'!$C$14-1)*EXP(-0.5*(($A306-'Control Room'!$A$14-('Control Room'!$B$14-1)/2)/MAX(0.5,'Control Room'!$B$14/4))^2),1)*IF(AND($A306&gt;='Control Room'!$A$15,$A306&lt;'Control Room'!$A$15+'Control Room'!$B$15,'Process'!BK4=1),1+('Control Room'!$C$15-1)*EXP(-0.5*(($A306-'Control Room'!$A$15-('Control Room'!$B$15-1)/2)/MAX(0.5,'Control Room'!$B$15/4))^2),1)*IF(AND($A306&gt;='Control Room'!$A$16,$A306&lt;'Control Room'!$A$16+'Control Room'!$B$16,'Process'!BK5=1),1+('Control Room'!$C$16-1)*EXP(-0.5*(($A306-'Control Room'!$A$16-('Control Room'!$B$16-1)/2)/MAX(0.5,'Control Room'!$B$16/4))^2),1)</x:f>
        <x:v>1</x:v>
      </x:c>
      <x:c r="G306" s="9" t="n">
        <x:f>MOD(H305*16807,2147483647)</x:f>
        <x:v>2000795315</x:v>
      </x:c>
      <x:c r="H306" s="9" t="n">
        <x:f>MOD(G306*16807,2147483647)</x:f>
        <x:v>2067914479</x:v>
      </x:c>
      <x:c r="I306" s="17" t="n">
        <x:f>IF('Control Room'!$B$5="Normal",'Control Room'!$B$7+'Control Room'!$D$7*SQRT(-2*LN(MAX(0.000000000001,G306/2147483647)))*COS(2*PI()*H306/2147483647),'Control Room'!$B$8+('Control Room'!$D$8-'Control Room'!$B$8)*G306/2147483647)</x:f>
        <x:v>1032.9419935078283</x:v>
      </x:c>
      <x:c r="J306" s="17" t="n">
        <x:f>IF('Control Room'!$B$5="Normal",'Control Room'!$B$7,('Control Room'!$B$8+'Control Room'!$D$8)/2)+'Control Room'!$B$9*(J305-IF('Control Room'!$B$5="Normal",'Control Room'!$B$7,('Control Room'!$B$8+'Control Room'!$D$8)/2))+SQRT(1-'Control Room'!$B$9^2)*(I306-IF('Control Room'!$B$5="Normal",'Control Room'!$B$7,('Control Room'!$B$8+'Control Room'!$D$8)/2))</x:f>
        <x:v>1048.3687418602647</x:v>
      </x:c>
      <x:c r="K306" s="17" t="n">
        <x:f>IF(AND($A306&gt;='Control Room'!$A$13,$A306&lt;'Control Room'!$A$13+'Control Room'!$B$13,'Process'!BL2=1),1+('Control Room'!$C$13-1)*EXP(-0.5*(($A306-'Control Room'!$A$13-('Control Room'!$B$13-1)/2)/MAX(0.5,'Control Room'!$B$13/4))^2),1)*IF(AND($A306&gt;='Control Room'!$A$14,$A306&lt;'Control Room'!$A$14+'Control Room'!$B$14,'Process'!BL3=1),1+('Control Room'!$C$14-1)*EXP(-0.5*(($A306-'Control Room'!$A$14-('Control Room'!$B$14-1)/2)/MAX(0.5,'Control Room'!$B$14/4))^2),1)*IF(AND($A306&gt;='Control Room'!$A$15,$A306&lt;'Control Room'!$A$15+'Control Room'!$B$15,'Process'!BL4=1),1+('Control Room'!$C$15-1)*EXP(-0.5*(($A306-'Control Room'!$A$15-('Control Room'!$B$15-1)/2)/MAX(0.5,'Control Room'!$B$15/4))^2),1)*IF(AND($A306&gt;='Control Room'!$A$16,$A306&lt;'Control Room'!$A$16+'Control Room'!$B$16,'Process'!BL5=1),1+('Control Room'!$C$16-1)*EXP(-0.5*(($A306-'Control Room'!$A$16-('Control Room'!$B$16-1)/2)/MAX(0.5,'Control Room'!$B$16/4))^2),1)</x:f>
        <x:v>1</x:v>
      </x:c>
      <x:c r="L306" s="9" t="n">
        <x:f>MOD(M305*16807,2147483647)</x:f>
        <x:v>1292179712</x:v>
      </x:c>
      <x:c r="M306" s="9" t="n">
        <x:f>MOD(L306*16807,2147483647)</x:f>
        <x:v>162297473</x:v>
      </x:c>
      <x:c r="N306" s="17" t="n">
        <x:f>IF('Control Room'!$B$5="Normal",'Control Room'!$B$7+'Control Room'!$D$7*SQRT(-2*LN(MAX(0.000000000001,L306/2147483647)))*COS(2*PI()*M306/2147483647),'Control Room'!$B$8+('Control Room'!$D$8-'Control Room'!$B$8)*L306/2147483647)</x:f>
        <x:v>1080.6773973302415</x:v>
      </x:c>
      <x:c r="O306" s="17" t="n">
        <x:f>IF('Control Room'!$B$5="Normal",'Control Room'!$B$7,('Control Room'!$B$8+'Control Room'!$D$8)/2)+'Control Room'!$B$9*(O305-IF('Control Room'!$B$5="Normal",'Control Room'!$B$7,('Control Room'!$B$8+'Control Room'!$D$8)/2))+SQRT(1-'Control Room'!$B$9^2)*(N306-IF('Control Room'!$B$5="Normal",'Control Room'!$B$7,('Control Room'!$B$8+'Control Room'!$D$8)/2))</x:f>
        <x:v>1056.139992390826</x:v>
      </x:c>
      <x:c r="P306" s="17" t="n">
        <x:f>IF(AND($A306&gt;='Control Room'!$A$13,$A306&lt;'Control Room'!$A$13+'Control Room'!$B$13,'Process'!BM2=1),1+('Control Room'!$C$13-1)*EXP(-0.5*(($A306-'Control Room'!$A$13-('Control Room'!$B$13-1)/2)/MAX(0.5,'Control Room'!$B$13/4))^2),1)*IF(AND($A306&gt;='Control Room'!$A$14,$A306&lt;'Control Room'!$A$14+'Control Room'!$B$14,'Process'!BM3=1),1+('Control Room'!$C$14-1)*EXP(-0.5*(($A306-'Control Room'!$A$14-('Control Room'!$B$14-1)/2)/MAX(0.5,'Control Room'!$B$14/4))^2),1)*IF(AND($A306&gt;='Control Room'!$A$15,$A306&lt;'Control Room'!$A$15+'Control Room'!$B$15,'Process'!BM4=1),1+('Control Room'!$C$15-1)*EXP(-0.5*(($A306-'Control Room'!$A$15-('Control Room'!$B$15-1)/2)/MAX(0.5,'Control Room'!$B$15/4))^2),1)*IF(AND($A306&gt;='Control Room'!$A$16,$A306&lt;'Control Room'!$A$16+'Control Room'!$B$16,'Process'!BM5=1),1+('Control Room'!$C$16-1)*EXP(-0.5*(($A306-'Control Room'!$A$16-('Control Room'!$B$16-1)/2)/MAX(0.5,'Control Room'!$B$16/4))^2),1)</x:f>
        <x:v>1</x:v>
      </x:c>
      <x:c r="Q306" s="9" t="n">
        <x:f>MOD(R305*16807,2147483647)</x:f>
        <x:v>583564109</x:v>
      </x:c>
      <x:c r="R306" s="9" t="n">
        <x:f>MOD(Q306*16807,2147483647)</x:f>
        <x:v>404164114</x:v>
      </x:c>
      <x:c r="S306" s="17" t="n">
        <x:f>IF('Control Room'!$B$5="Normal",'Control Room'!$B$7+'Control Room'!$D$7*SQRT(-2*LN(MAX(0.000000000001,Q306/2147483647)))*COS(2*PI()*R306/2147483647),'Control Room'!$B$8+('Control Room'!$D$8-'Control Room'!$B$8)*Q306/2147483647)</x:f>
        <x:v>1055.0032175182466</x:v>
      </x:c>
      <x:c r="T306" s="17" t="n">
        <x:f>IF('Control Room'!$B$5="Normal",'Control Room'!$B$7,('Control Room'!$B$8+'Control Room'!$D$8)/2)+'Control Room'!$B$9*(T305-IF('Control Room'!$B$5="Normal",'Control Room'!$B$7,('Control Room'!$B$8+'Control Room'!$D$8)/2))+SQRT(1-'Control Room'!$B$9^2)*(S306-IF('Control Room'!$B$5="Normal",'Control Room'!$B$7,('Control Room'!$B$8+'Control Room'!$D$8)/2))</x:f>
        <x:v>1057.938150155598</x:v>
      </x:c>
      <x:c r="U306" s="17" t="n">
        <x:f>IF(AND($A306&gt;='Control Room'!$A$13,$A306&lt;'Control Room'!$A$13+'Control Room'!$B$13,'Process'!BN2=1),1+('Control Room'!$C$13-1)*EXP(-0.5*(($A306-'Control Room'!$A$13-('Control Room'!$B$13-1)/2)/MAX(0.5,'Control Room'!$B$13/4))^2),1)*IF(AND($A306&gt;='Control Room'!$A$14,$A306&lt;'Control Room'!$A$14+'Control Room'!$B$14,'Process'!BN3=1),1+('Control Room'!$C$14-1)*EXP(-0.5*(($A306-'Control Room'!$A$14-('Control Room'!$B$14-1)/2)/MAX(0.5,'Control Room'!$B$14/4))^2),1)*IF(AND($A306&gt;='Control Room'!$A$15,$A306&lt;'Control Room'!$A$15+'Control Room'!$B$15,'Process'!BN4=1),1+('Control Room'!$C$15-1)*EXP(-0.5*(($A306-'Control Room'!$A$15-('Control Room'!$B$15-1)/2)/MAX(0.5,'Control Room'!$B$15/4))^2),1)*IF(AND($A306&gt;='Control Room'!$A$16,$A306&lt;'Control Room'!$A$16+'Control Room'!$B$16,'Process'!BN5=1),1+('Control Room'!$C$16-1)*EXP(-0.5*(($A306-'Control Room'!$A$16-('Control Room'!$B$16-1)/2)/MAX(0.5,'Control Room'!$B$16/4))^2),1)</x:f>
        <x:v>1</x:v>
      </x:c>
      <x:c r="V306" s="9" t="n">
        <x:f>MOD(W305*16807,2147483647)</x:f>
        <x:v>2022432153</x:v>
      </x:c>
      <x:c r="W306" s="9" t="n">
        <x:f>MOD(V306*16807,2147483647)</x:f>
        <x:v>646030755</x:v>
      </x:c>
      <x:c r="X306" s="17" t="n">
        <x:f>IF('Control Room'!$B$5="Normal",'Control Room'!$B$7+'Control Room'!$D$7*SQRT(-2*LN(MAX(0.000000000001,V306/2147483647)))*COS(2*PI()*W306/2147483647),'Control Room'!$B$8+('Control Room'!$D$8-'Control Room'!$B$8)*V306/2147483647)</x:f>
        <x:v>990.2113540302935</x:v>
      </x:c>
      <x:c r="Y306" s="17" t="n">
        <x:f>IF('Control Room'!$B$5="Normal",'Control Room'!$B$7,('Control Room'!$B$8+'Control Room'!$D$8)/2)+'Control Room'!$B$9*(Y305-IF('Control Room'!$B$5="Normal",'Control Room'!$B$7,('Control Room'!$B$8+'Control Room'!$D$8)/2))+SQRT(1-'Control Room'!$B$9^2)*(X306-IF('Control Room'!$B$5="Normal",'Control Room'!$B$7,('Control Room'!$B$8+'Control Room'!$D$8)/2))</x:f>
        <x:v>1058.5702496036815</x:v>
      </x:c>
      <x:c r="Z306" s="17" t="n">
        <x:f>IF(AND($A306&gt;='Control Room'!$A$13,$A306&lt;'Control Room'!$A$13+'Control Room'!$B$13,'Process'!BO2=1),1+('Control Room'!$C$13-1)*EXP(-0.5*(($A306-'Control Room'!$A$13-('Control Room'!$B$13-1)/2)/MAX(0.5,'Control Room'!$B$13/4))^2),1)*IF(AND($A306&gt;='Control Room'!$A$14,$A306&lt;'Control Room'!$A$14+'Control Room'!$B$14,'Process'!BO3=1),1+('Control Room'!$C$14-1)*EXP(-0.5*(($A306-'Control Room'!$A$14-('Control Room'!$B$14-1)/2)/MAX(0.5,'Control Room'!$B$14/4))^2),1)*IF(AND($A306&gt;='Control Room'!$A$15,$A306&lt;'Control Room'!$A$15+'Control Room'!$B$15,'Process'!BO4=1),1+('Control Room'!$C$15-1)*EXP(-0.5*(($A306-'Control Room'!$A$15-('Control Room'!$B$15-1)/2)/MAX(0.5,'Control Room'!$B$15/4))^2),1)*IF(AND($A306&gt;='Control Room'!$A$16,$A306&lt;'Control Room'!$A$16+'Control Room'!$B$16,'Process'!BO5=1),1+('Control Room'!$C$16-1)*EXP(-0.5*(($A306-'Control Room'!$A$16-('Control Room'!$B$16-1)/2)/MAX(0.5,'Control Room'!$B$16/4))^2),1)</x:f>
        <x:v>1</x:v>
      </x:c>
      <x:c r="AA306" s="9" t="n">
        <x:f>MOD(AB305*16807,2147483647)</x:f>
        <x:v>1313816550</x:v>
      </x:c>
      <x:c r="AB306" s="9" t="n">
        <x:f>MOD(AA306*16807,2147483647)</x:f>
        <x:v>887897396</x:v>
      </x:c>
      <x:c r="AC306" s="17" t="n">
        <x:f>IF('Control Room'!$B$5="Normal",'Control Room'!$B$7+'Control Room'!$D$7*SQRT(-2*LN(MAX(0.000000000001,AA306/2147483647)))*COS(2*PI()*AB306/2147483647),'Control Room'!$B$8+('Control Room'!$D$8-'Control Room'!$B$8)*AA306/2147483647)</x:f>
        <x:v>923.6486122737653</x:v>
      </x:c>
      <x:c r="AD306" s="17" t="n">
        <x:f>IF('Control Room'!$B$5="Normal",'Control Room'!$B$7,('Control Room'!$B$8+'Control Room'!$D$8)/2)+'Control Room'!$B$9*(AD305-IF('Control Room'!$B$5="Normal",'Control Room'!$B$7,('Control Room'!$B$8+'Control Room'!$D$8)/2))+SQRT(1-'Control Room'!$B$9^2)*(AC306-IF('Control Room'!$B$5="Normal",'Control Room'!$B$7,('Control Room'!$B$8+'Control Room'!$D$8)/2))</x:f>
        <x:v>919.526384252514</x:v>
      </x:c>
      <x:c r="AE306" s="17" t="n">
        <x:f>IF(AND($A306&gt;='Control Room'!$A$13,$A306&lt;'Control Room'!$A$13+'Control Room'!$B$13,'Process'!BP2=1),1+('Control Room'!$C$13-1)*EXP(-0.5*(($A306-'Control Room'!$A$13-('Control Room'!$B$13-1)/2)/MAX(0.5,'Control Room'!$B$13/4))^2),1)*IF(AND($A306&gt;='Control Room'!$A$14,$A306&lt;'Control Room'!$A$14+'Control Room'!$B$14,'Process'!BP3=1),1+('Control Room'!$C$14-1)*EXP(-0.5*(($A306-'Control Room'!$A$14-('Control Room'!$B$14-1)/2)/MAX(0.5,'Control Room'!$B$14/4))^2),1)*IF(AND($A306&gt;='Control Room'!$A$15,$A306&lt;'Control Room'!$A$15+'Control Room'!$B$15,'Process'!BP4=1),1+('Control Room'!$C$15-1)*EXP(-0.5*(($A306-'Control Room'!$A$15-('Control Room'!$B$15-1)/2)/MAX(0.5,'Control Room'!$B$15/4))^2),1)*IF(AND($A306&gt;='Control Room'!$A$16,$A306&lt;'Control Room'!$A$16+'Control Room'!$B$16,'Process'!BP5=1),1+('Control Room'!$C$16-1)*EXP(-0.5*(($A306-'Control Room'!$A$16-('Control Room'!$B$16-1)/2)/MAX(0.5,'Control Room'!$B$16/4))^2),1)</x:f>
        <x:v>1</x:v>
      </x:c>
      <x:c r="AF306" s="9" t="n">
        <x:f>MOD(AG305*16807,2147483647)</x:f>
        <x:v>605200947</x:v>
      </x:c>
      <x:c r="AG306" s="9" t="n">
        <x:f>MOD(AF306*16807,2147483647)</x:f>
        <x:v>1129764037</x:v>
      </x:c>
      <x:c r="AH306" s="17" t="n">
        <x:f>IF('Control Room'!$B$5="Normal",'Control Room'!$B$7+'Control Room'!$D$7*SQRT(-2*LN(MAX(0.000000000001,AF306/2147483647)))*COS(2*PI()*AG306/2147483647),'Control Room'!$B$8+('Control Room'!$D$8-'Control Room'!$B$8)*AF306/2147483647)</x:f>
        <x:v>858.6817601777284</x:v>
      </x:c>
      <x:c r="AI306" s="17" t="n">
        <x:f>IF('Control Room'!$B$5="Normal",'Control Room'!$B$7,('Control Room'!$B$8+'Control Room'!$D$8)/2)+'Control Room'!$B$9*(AI305-IF('Control Room'!$B$5="Normal",'Control Room'!$B$7,('Control Room'!$B$8+'Control Room'!$D$8)/2))+SQRT(1-'Control Room'!$B$9^2)*(AH306-IF('Control Room'!$B$5="Normal",'Control Room'!$B$7,('Control Room'!$B$8+'Control Room'!$D$8)/2))</x:f>
        <x:v>965.6112702979513</x:v>
      </x:c>
      <x:c r="AJ306" s="17" t="n">
        <x:f>IF(AND($A306&gt;='Control Room'!$A$13,$A306&lt;'Control Room'!$A$13+'Control Room'!$B$13,'Process'!BQ2=1),1+('Control Room'!$C$13-1)*EXP(-0.5*(($A306-'Control Room'!$A$13-('Control Room'!$B$13-1)/2)/MAX(0.5,'Control Room'!$B$13/4))^2),1)*IF(AND($A306&gt;='Control Room'!$A$14,$A306&lt;'Control Room'!$A$14+'Control Room'!$B$14,'Process'!BQ3=1),1+('Control Room'!$C$14-1)*EXP(-0.5*(($A306-'Control Room'!$A$14-('Control Room'!$B$14-1)/2)/MAX(0.5,'Control Room'!$B$14/4))^2),1)*IF(AND($A306&gt;='Control Room'!$A$15,$A306&lt;'Control Room'!$A$15+'Control Room'!$B$15,'Process'!BQ4=1),1+('Control Room'!$C$15-1)*EXP(-0.5*(($A306-'Control Room'!$A$15-('Control Room'!$B$15-1)/2)/MAX(0.5,'Control Room'!$B$15/4))^2),1)*IF(AND($A306&gt;='Control Room'!$A$16,$A306&lt;'Control Room'!$A$16+'Control Room'!$B$16,'Process'!BQ5=1),1+('Control Room'!$C$16-1)*EXP(-0.5*(($A306-'Control Room'!$A$16-('Control Room'!$B$16-1)/2)/MAX(0.5,'Control Room'!$B$16/4))^2),1)</x:f>
        <x:v>1</x:v>
      </x:c>
      <x:c r="AK306" s="9" t="n">
        <x:f>MOD(AL305*16807,2147483647)</x:f>
        <x:v>2044068991</x:v>
      </x:c>
      <x:c r="AL306" s="9" t="n">
        <x:f>MOD(AK306*16807,2147483647)</x:f>
        <x:v>1371630678</x:v>
      </x:c>
      <x:c r="AM306" s="17" t="n">
        <x:f>IF('Control Room'!$B$5="Normal",'Control Room'!$B$7+'Control Room'!$D$7*SQRT(-2*LN(MAX(0.000000000001,AK306/2147483647)))*COS(2*PI()*AL306/2147483647),'Control Room'!$B$8+('Control Room'!$D$8-'Control Room'!$B$8)*AK306/2147483647)</x:f>
        <x:v>981.8008326103032</x:v>
      </x:c>
      <x:c r="AN306" s="17" t="n">
        <x:f>IF('Control Room'!$B$5="Normal",'Control Room'!$B$7,('Control Room'!$B$8+'Control Room'!$D$8)/2)+'Control Room'!$B$9*(AN305-IF('Control Room'!$B$5="Normal",'Control Room'!$B$7,('Control Room'!$B$8+'Control Room'!$D$8)/2))+SQRT(1-'Control Room'!$B$9^2)*(AM306-IF('Control Room'!$B$5="Normal",'Control Room'!$B$7,('Control Room'!$B$8+'Control Room'!$D$8)/2))</x:f>
        <x:v>975.8593491902386</x:v>
      </x:c>
      <x:c r="AO306" s="17" t="n">
        <x:f>IF(AND($A306&gt;='Control Room'!$A$13,$A306&lt;'Control Room'!$A$13+'Control Room'!$B$13,'Process'!BR2=1),1+('Control Room'!$C$13-1)*EXP(-0.5*(($A306-'Control Room'!$A$13-('Control Room'!$B$13-1)/2)/MAX(0.5,'Control Room'!$B$13/4))^2),1)*IF(AND($A306&gt;='Control Room'!$A$14,$A306&lt;'Control Room'!$A$14+'Control Room'!$B$14,'Process'!BR3=1),1+('Control Room'!$C$14-1)*EXP(-0.5*(($A306-'Control Room'!$A$14-('Control Room'!$B$14-1)/2)/MAX(0.5,'Control Room'!$B$14/4))^2),1)*IF(AND($A306&gt;='Control Room'!$A$15,$A306&lt;'Control Room'!$A$15+'Control Room'!$B$15,'Process'!BR4=1),1+('Control Room'!$C$15-1)*EXP(-0.5*(($A306-'Control Room'!$A$15-('Control Room'!$B$15-1)/2)/MAX(0.5,'Control Room'!$B$15/4))^2),1)*IF(AND($A306&gt;='Control Room'!$A$16,$A306&lt;'Control Room'!$A$16+'Control Room'!$B$16,'Process'!BR5=1),1+('Control Room'!$C$16-1)*EXP(-0.5*(($A306-'Control Room'!$A$16-('Control Room'!$B$16-1)/2)/MAX(0.5,'Control Room'!$B$16/4))^2),1)</x:f>
        <x:v>1</x:v>
      </x:c>
      <x:c r="AP306" s="9" t="n">
        <x:f>MOD(AQ305*16807,2147483647)</x:f>
        <x:v>1335453388</x:v>
      </x:c>
      <x:c r="AQ306" s="9" t="n">
        <x:f>MOD(AP306*16807,2147483647)</x:f>
        <x:v>1613497319</x:v>
      </x:c>
      <x:c r="AR306" s="17" t="n">
        <x:f>IF('Control Room'!$B$5="Normal",'Control Room'!$B$7+'Control Room'!$D$7*SQRT(-2*LN(MAX(0.000000000001,AP306/2147483647)))*COS(2*PI()*AQ306/2147483647),'Control Room'!$B$8+('Control Room'!$D$8-'Control Room'!$B$8)*AP306/2147483647)</x:f>
        <x:v>1000.7403620614505</x:v>
      </x:c>
      <x:c r="AS306" s="17" t="n">
        <x:f>IF('Control Room'!$B$5="Normal",'Control Room'!$B$7,('Control Room'!$B$8+'Control Room'!$D$8)/2)+'Control Room'!$B$9*(AS305-IF('Control Room'!$B$5="Normal",'Control Room'!$B$7,('Control Room'!$B$8+'Control Room'!$D$8)/2))+SQRT(1-'Control Room'!$B$9^2)*(AR306-IF('Control Room'!$B$5="Normal",'Control Room'!$B$7,('Control Room'!$B$8+'Control Room'!$D$8)/2))</x:f>
        <x:v>1012.0230107185654</x:v>
      </x:c>
      <x:c r="AT306" s="17" t="n">
        <x:f>IF(AND($A306&gt;='Control Room'!$A$13,$A306&lt;'Control Room'!$A$13+'Control Room'!$B$13,'Process'!BS2=1),1+('Control Room'!$C$13-1)*EXP(-0.5*(($A306-'Control Room'!$A$13-('Control Room'!$B$13-1)/2)/MAX(0.5,'Control Room'!$B$13/4))^2),1)*IF(AND($A306&gt;='Control Room'!$A$14,$A306&lt;'Control Room'!$A$14+'Control Room'!$B$14,'Process'!BS3=1),1+('Control Room'!$C$14-1)*EXP(-0.5*(($A306-'Control Room'!$A$14-('Control Room'!$B$14-1)/2)/MAX(0.5,'Control Room'!$B$14/4))^2),1)*IF(AND($A306&gt;='Control Room'!$A$15,$A306&lt;'Control Room'!$A$15+'Control Room'!$B$15,'Process'!BS4=1),1+('Control Room'!$C$15-1)*EXP(-0.5*(($A306-'Control Room'!$A$15-('Control Room'!$B$15-1)/2)/MAX(0.5,'Control Room'!$B$15/4))^2),1)*IF(AND($A306&gt;='Control Room'!$A$16,$A306&lt;'Control Room'!$A$16+'Control Room'!$B$16,'Process'!BS5=1),1+('Control Room'!$C$16-1)*EXP(-0.5*(($A306-'Control Room'!$A$16-('Control Room'!$B$16-1)/2)/MAX(0.5,'Control Room'!$B$16/4))^2),1)</x:f>
        <x:v>1</x:v>
      </x:c>
      <x:c r="AU306" s="9" t="n">
        <x:f>MOD(AV305*16807,2147483647)</x:f>
        <x:v>626837785</x:v>
      </x:c>
      <x:c r="AV306" s="9" t="n">
        <x:f>MOD(AU306*16807,2147483647)</x:f>
        <x:v>1855363960</x:v>
      </x:c>
      <x:c r="AW306" s="17" t="n">
        <x:f>IF('Control Room'!$B$5="Normal",'Control Room'!$B$7+'Control Room'!$D$7*SQRT(-2*LN(MAX(0.000000000001,AU306/2147483647)))*COS(2*PI()*AV306/2147483647),'Control Room'!$B$8+('Control Room'!$D$8-'Control Room'!$B$8)*AU306/2147483647)</x:f>
        <x:v>1092.7153937154164</x:v>
      </x:c>
      <x:c r="AX306" s="17" t="n">
        <x:f>IF('Control Room'!$B$5="Normal",'Control Room'!$B$7,('Control Room'!$B$8+'Control Room'!$D$8)/2)+'Control Room'!$B$9*(AX305-IF('Control Room'!$B$5="Normal",'Control Room'!$B$7,('Control Room'!$B$8+'Control Room'!$D$8)/2))+SQRT(1-'Control Room'!$B$9^2)*(AW306-IF('Control Room'!$B$5="Normal",'Control Room'!$B$7,('Control Room'!$B$8+'Control Room'!$D$8)/2))</x:f>
        <x:v>1176.9438154005122</x:v>
      </x:c>
      <x:c r="AY306" s="17" t="n">
        <x:f>IF(AND($A306&gt;='Control Room'!$A$13,$A306&lt;'Control Room'!$A$13+'Control Room'!$B$13,'Process'!BT2=1),1+('Control Room'!$C$13-1)*EXP(-0.5*(($A306-'Control Room'!$A$13-('Control Room'!$B$13-1)/2)/MAX(0.5,'Control Room'!$B$13/4))^2),1)*IF(AND($A306&gt;='Control Room'!$A$14,$A306&lt;'Control Room'!$A$14+'Control Room'!$B$14,'Process'!BT3=1),1+('Control Room'!$C$14-1)*EXP(-0.5*(($A306-'Control Room'!$A$14-('Control Room'!$B$14-1)/2)/MAX(0.5,'Control Room'!$B$14/4))^2),1)*IF(AND($A306&gt;='Control Room'!$A$15,$A306&lt;'Control Room'!$A$15+'Control Room'!$B$15,'Process'!BT4=1),1+('Control Room'!$C$15-1)*EXP(-0.5*(($A306-'Control Room'!$A$15-('Control Room'!$B$15-1)/2)/MAX(0.5,'Control Room'!$B$15/4))^2),1)*IF(AND($A306&gt;='Control Room'!$A$16,$A306&lt;'Control Room'!$A$16+'Control Room'!$B$16,'Process'!BT5=1),1+('Control Room'!$C$16-1)*EXP(-0.5*(($A306-'Control Room'!$A$16-('Control Room'!$B$16-1)/2)/MAX(0.5,'Control Room'!$B$16/4))^2),1)</x:f>
        <x:v>1</x:v>
      </x:c>
      <x:c r="AZ306" s="9" t="n">
        <x:f>MOD(BA305*16807,2147483647)</x:f>
        <x:v>2065705829</x:v>
      </x:c>
      <x:c r="BA306" s="9" t="n">
        <x:f>MOD(AZ306*16807,2147483647)</x:f>
        <x:v>2097230601</x:v>
      </x:c>
      <x:c r="BB306" s="17" t="n">
        <x:f>IF('Control Room'!$B$5="Normal",'Control Room'!$B$7+'Control Room'!$D$7*SQRT(-2*LN(MAX(0.000000000001,AZ306/2147483647)))*COS(2*PI()*BA306/2147483647),'Control Room'!$B$8+('Control Room'!$D$8-'Control Room'!$B$8)*AZ306/2147483647)</x:f>
        <x:v>1024.8085077289127</x:v>
      </x:c>
      <x:c r="BC306" s="17" t="n">
        <x:f>IF('Control Room'!$B$5="Normal",'Control Room'!$B$7,('Control Room'!$B$8+'Control Room'!$D$8)/2)+'Control Room'!$B$9*(BC305-IF('Control Room'!$B$5="Normal",'Control Room'!$B$7,('Control Room'!$B$8+'Control Room'!$D$8)/2))+SQRT(1-'Control Room'!$B$9^2)*(BB306-IF('Control Room'!$B$5="Normal",'Control Room'!$B$7,('Control Room'!$B$8+'Control Room'!$D$8)/2))</x:f>
        <x:v>1040.0490147383691</x:v>
      </x:c>
      <x:c r="BD306" s="17" t="n">
        <x:f>IF(AND($A306&gt;='Control Room'!$A$13,$A306&lt;'Control Room'!$A$13+'Control Room'!$B$13,'Process'!BU2=1),1+('Control Room'!$C$13-1)*EXP(-0.5*(($A306-'Control Room'!$A$13-('Control Room'!$B$13-1)/2)/MAX(0.5,'Control Room'!$B$13/4))^2),1)*IF(AND($A306&gt;='Control Room'!$A$14,$A306&lt;'Control Room'!$A$14+'Control Room'!$B$14,'Process'!BU3=1),1+('Control Room'!$C$14-1)*EXP(-0.5*(($A306-'Control Room'!$A$14-('Control Room'!$B$14-1)/2)/MAX(0.5,'Control Room'!$B$14/4))^2),1)*IF(AND($A306&gt;='Control Room'!$A$15,$A306&lt;'Control Room'!$A$15+'Control Room'!$B$15,'Process'!BU4=1),1+('Control Room'!$C$15-1)*EXP(-0.5*(($A306-'Control Room'!$A$15-('Control Room'!$B$15-1)/2)/MAX(0.5,'Control Room'!$B$15/4))^2),1)*IF(AND($A306&gt;='Control Room'!$A$16,$A306&lt;'Control Room'!$A$16+'Control Room'!$B$16,'Process'!BU5=1),1+('Control Room'!$C$16-1)*EXP(-0.5*(($A306-'Control Room'!$A$16-('Control Room'!$B$16-1)/2)/MAX(0.5,'Control Room'!$B$16/4))^2),1)</x:f>
        <x:v>1</x:v>
      </x:c>
      <x:c r="BE306" s="9" t="n">
        <x:f>MOD(BF305*16807,2147483647)</x:f>
        <x:v>1357090226</x:v>
      </x:c>
      <x:c r="BF306" s="9" t="n">
        <x:f>MOD(BE306*16807,2147483647)</x:f>
        <x:v>191613595</x:v>
      </x:c>
      <x:c r="BG306" s="17" t="n">
        <x:f>IF('Control Room'!$B$5="Normal",'Control Room'!$B$7+'Control Room'!$D$7*SQRT(-2*LN(MAX(0.000000000001,BE306/2147483647)))*COS(2*PI()*BF306/2147483647),'Control Room'!$B$8+('Control Room'!$D$8-'Control Room'!$B$8)*BE306/2147483647)</x:f>
        <x:v>1073.0271884035583</x:v>
      </x:c>
      <x:c r="BH306" s="17" t="n">
        <x:f>IF('Control Room'!$B$5="Normal",'Control Room'!$B$7,('Control Room'!$B$8+'Control Room'!$D$8)/2)+'Control Room'!$B$9*(BH305-IF('Control Room'!$B$5="Normal",'Control Room'!$B$7,('Control Room'!$B$8+'Control Room'!$D$8)/2))+SQRT(1-'Control Room'!$B$9^2)*(BG306-IF('Control Room'!$B$5="Normal",'Control Room'!$B$7,('Control Room'!$B$8+'Control Room'!$D$8)/2))</x:f>
        <x:v>1064.3724905197726</x:v>
      </x:c>
      <x:c r="BI306" s="17" t="n">
        <x:f>IF(AND($A306&gt;='Control Room'!$A$13,$A306&lt;'Control Room'!$A$13+'Control Room'!$B$13,'Process'!BV2=1),1+('Control Room'!$C$13-1)*EXP(-0.5*(($A306-'Control Room'!$A$13-('Control Room'!$B$13-1)/2)/MAX(0.5,'Control Room'!$B$13/4))^2),1)*IF(AND($A306&gt;='Control Room'!$A$14,$A306&lt;'Control Room'!$A$14+'Control Room'!$B$14,'Process'!BV3=1),1+('Control Room'!$C$14-1)*EXP(-0.5*(($A306-'Control Room'!$A$14-('Control Room'!$B$14-1)/2)/MAX(0.5,'Control Room'!$B$14/4))^2),1)*IF(AND($A306&gt;='Control Room'!$A$15,$A306&lt;'Control Room'!$A$15+'Control Room'!$B$15,'Process'!BV4=1),1+('Control Room'!$C$15-1)*EXP(-0.5*(($A306-'Control Room'!$A$15-('Control Room'!$B$15-1)/2)/MAX(0.5,'Control Room'!$B$15/4))^2),1)*IF(AND($A306&gt;='Control Room'!$A$16,$A306&lt;'Control Room'!$A$16+'Control Room'!$B$16,'Process'!BV5=1),1+('Control Room'!$C$16-1)*EXP(-0.5*(($A306-'Control Room'!$A$16-('Control Room'!$B$16-1)/2)/MAX(0.5,'Control Room'!$B$16/4))^2),1)</x:f>
        <x:v>1</x:v>
      </x:c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Z306" t="str">
        <x:f>IF('Data'!A306="","",TEXT('Data'!A306,"mm-dd"))</x:f>
      </x:c>
    </x:row>
    <x:row r="307" ht="21" customHeight="1">
      <x:c r="A307" s="15" t="n">
        <x:f>'Control Room'!$B$1+305</x:f>
        <x:v>73296</x:v>
      </x:c>
      <x:c r="B307" s="9" t="n">
        <x:f>MOD(C306*16807,2147483647)</x:f>
        <x:v>697213989</x:v>
      </x:c>
      <x:c r="C307" s="9" t="n">
        <x:f>MOD(B307*16807,2147483647)</x:f>
        <x:v>1404735091</x:v>
      </x:c>
      <x:c r="D307" s="17" t="n">
        <x:f>IF('Control Room'!$B$5="Normal",'Control Room'!$B$7+'Control Room'!$D$7*SQRT(-2*LN(MAX(0.000000000001,B307/2147483647)))*COS(2*PI()*C307/2147483647),'Control Room'!$B$8+('Control Room'!$D$8-'Control Room'!$B$8)*B307/2147483647)</x:f>
        <x:v>923.511424601085</x:v>
      </x:c>
      <x:c r="E307" s="17" t="n">
        <x:f>IF('Control Room'!$B$5="Normal",'Control Room'!$B$7,('Control Room'!$B$8+'Control Room'!$D$8)/2)+'Control Room'!$B$9*(E306-IF('Control Room'!$B$5="Normal",'Control Room'!$B$7,('Control Room'!$B$8+'Control Room'!$D$8)/2))+SQRT(1-'Control Room'!$B$9^2)*(D307-IF('Control Room'!$B$5="Normal",'Control Room'!$B$7,('Control Room'!$B$8+'Control Room'!$D$8)/2))</x:f>
        <x:v>970.2577347658547</x:v>
      </x:c>
      <x:c r="F307" s="17" t="n">
        <x:f>IF(AND($A307&gt;='Control Room'!$A$13,$A307&lt;'Control Room'!$A$13+'Control Room'!$B$13,'Process'!BK2=1),1+('Control Room'!$C$13-1)*EXP(-0.5*(($A307-'Control Room'!$A$13-('Control Room'!$B$13-1)/2)/MAX(0.5,'Control Room'!$B$13/4))^2),1)*IF(AND($A307&gt;='Control Room'!$A$14,$A307&lt;'Control Room'!$A$14+'Control Room'!$B$14,'Process'!BK3=1),1+('Control Room'!$C$14-1)*EXP(-0.5*(($A307-'Control Room'!$A$14-('Control Room'!$B$14-1)/2)/MAX(0.5,'Control Room'!$B$14/4))^2),1)*IF(AND($A307&gt;='Control Room'!$A$15,$A307&lt;'Control Room'!$A$15+'Control Room'!$B$15,'Process'!BK4=1),1+('Control Room'!$C$15-1)*EXP(-0.5*(($A307-'Control Room'!$A$15-('Control Room'!$B$15-1)/2)/MAX(0.5,'Control Room'!$B$15/4))^2),1)*IF(AND($A307&gt;='Control Room'!$A$16,$A307&lt;'Control Room'!$A$16+'Control Room'!$B$16,'Process'!BK5=1),1+('Control Room'!$C$16-1)*EXP(-0.5*(($A307-'Control Room'!$A$16-('Control Room'!$B$16-1)/2)/MAX(0.5,'Control Room'!$B$16/4))^2),1)</x:f>
        <x:v>1</x:v>
      </x:c>
      <x:c r="G307" s="9" t="n">
        <x:f>MOD(H306*16807,2147483647)</x:f>
        <x:v>563305505</x:v>
      </x:c>
      <x:c r="H307" s="9" t="n">
        <x:f>MOD(G307*16807,2147483647)</x:f>
        <x:v>1367706559</x:v>
      </x:c>
      <x:c r="I307" s="17" t="n">
        <x:f>IF('Control Room'!$B$5="Normal",'Control Room'!$B$7+'Control Room'!$D$7*SQRT(-2*LN(MAX(0.000000000001,G307/2147483647)))*COS(2*PI()*H307/2147483647),'Control Room'!$B$8+('Control Room'!$D$8-'Control Room'!$B$8)*G307/2147483647)</x:f>
        <x:v>903.9460950944149</x:v>
      </x:c>
      <x:c r="J307" s="17" t="n">
        <x:f>IF('Control Room'!$B$5="Normal",'Control Room'!$B$7,('Control Room'!$B$8+'Control Room'!$D$8)/2)+'Control Room'!$B$9*(J306-IF('Control Room'!$B$5="Normal",'Control Room'!$B$7,('Control Room'!$B$8+'Control Room'!$D$8)/2))+SQRT(1-'Control Room'!$B$9^2)*(I307-IF('Control Room'!$B$5="Normal",'Control Room'!$B$7,('Control Room'!$B$8+'Control Room'!$D$8)/2))</x:f>
        <x:v>977.6190527322912</x:v>
      </x:c>
      <x:c r="K307" s="17" t="n">
        <x:f>IF(AND($A307&gt;='Control Room'!$A$13,$A307&lt;'Control Room'!$A$13+'Control Room'!$B$13,'Process'!BL2=1),1+('Control Room'!$C$13-1)*EXP(-0.5*(($A307-'Control Room'!$A$13-('Control Room'!$B$13-1)/2)/MAX(0.5,'Control Room'!$B$13/4))^2),1)*IF(AND($A307&gt;='Control Room'!$A$14,$A307&lt;'Control Room'!$A$14+'Control Room'!$B$14,'Process'!BL3=1),1+('Control Room'!$C$14-1)*EXP(-0.5*(($A307-'Control Room'!$A$14-('Control Room'!$B$14-1)/2)/MAX(0.5,'Control Room'!$B$14/4))^2),1)*IF(AND($A307&gt;='Control Room'!$A$15,$A307&lt;'Control Room'!$A$15+'Control Room'!$B$15,'Process'!BL4=1),1+('Control Room'!$C$15-1)*EXP(-0.5*(($A307-'Control Room'!$A$15-('Control Room'!$B$15-1)/2)/MAX(0.5,'Control Room'!$B$15/4))^2),1)*IF(AND($A307&gt;='Control Room'!$A$16,$A307&lt;'Control Room'!$A$16+'Control Room'!$B$16,'Process'!BL5=1),1+('Control Room'!$C$16-1)*EXP(-0.5*(($A307-'Control Room'!$A$16-('Control Room'!$B$16-1)/2)/MAX(0.5,'Control Room'!$B$16/4))^2),1)</x:f>
        <x:v>1</x:v>
      </x:c>
      <x:c r="L307" s="9" t="n">
        <x:f>MOD(M306*16807,2147483647)</x:f>
        <x:v>429397021</x:v>
      </x:c>
      <x:c r="M307" s="9" t="n">
        <x:f>MOD(L307*16807,2147483647)</x:f>
        <x:v>1330678027</x:v>
      </x:c>
      <x:c r="N307" s="17" t="n">
        <x:f>IF('Control Room'!$B$5="Normal",'Control Room'!$B$7+'Control Room'!$D$7*SQRT(-2*LN(MAX(0.000000000001,L307/2147483647)))*COS(2*PI()*M307/2147483647),'Control Room'!$B$8+('Control Room'!$D$8-'Control Room'!$B$8)*L307/2147483647)</x:f>
        <x:v>882.0380866520168</x:v>
      </x:c>
      <x:c r="O307" s="17" t="n">
        <x:f>IF('Control Room'!$B$5="Normal",'Control Room'!$B$7,('Control Room'!$B$8+'Control Room'!$D$8)/2)+'Control Room'!$B$9*(O306-IF('Control Room'!$B$5="Normal",'Control Room'!$B$7,('Control Room'!$B$8+'Control Room'!$D$8)/2))+SQRT(1-'Control Room'!$B$9^2)*(N307-IF('Control Room'!$B$5="Normal",'Control Room'!$B$7,('Control Room'!$B$8+'Control Room'!$D$8)/2))</x:f>
        <x:v>969.9710452728241</x:v>
      </x:c>
      <x:c r="P307" s="17" t="n">
        <x:f>IF(AND($A307&gt;='Control Room'!$A$13,$A307&lt;'Control Room'!$A$13+'Control Room'!$B$13,'Process'!BM2=1),1+('Control Room'!$C$13-1)*EXP(-0.5*(($A307-'Control Room'!$A$13-('Control Room'!$B$13-1)/2)/MAX(0.5,'Control Room'!$B$13/4))^2),1)*IF(AND($A307&gt;='Control Room'!$A$14,$A307&lt;'Control Room'!$A$14+'Control Room'!$B$14,'Process'!BM3=1),1+('Control Room'!$C$14-1)*EXP(-0.5*(($A307-'Control Room'!$A$14-('Control Room'!$B$14-1)/2)/MAX(0.5,'Control Room'!$B$14/4))^2),1)*IF(AND($A307&gt;='Control Room'!$A$15,$A307&lt;'Control Room'!$A$15+'Control Room'!$B$15,'Process'!BM4=1),1+('Control Room'!$C$15-1)*EXP(-0.5*(($A307-'Control Room'!$A$15-('Control Room'!$B$15-1)/2)/MAX(0.5,'Control Room'!$B$15/4))^2),1)*IF(AND($A307&gt;='Control Room'!$A$16,$A307&lt;'Control Room'!$A$16+'Control Room'!$B$16,'Process'!BM5=1),1+('Control Room'!$C$16-1)*EXP(-0.5*(($A307-'Control Room'!$A$16-('Control Room'!$B$16-1)/2)/MAX(0.5,'Control Room'!$B$16/4))^2),1)</x:f>
        <x:v>1</x:v>
      </x:c>
      <x:c r="Q307" s="9" t="n">
        <x:f>MOD(R306*16807,2147483647)</x:f>
        <x:v>295488537</x:v>
      </x:c>
      <x:c r="R307" s="9" t="n">
        <x:f>MOD(Q307*16807,2147483647)</x:f>
        <x:v>1293649495</x:v>
      </x:c>
      <x:c r="S307" s="17" t="n">
        <x:f>IF('Control Room'!$B$5="Normal",'Control Room'!$B$7+'Control Room'!$D$7*SQRT(-2*LN(MAX(0.000000000001,Q307/2147483647)))*COS(2*PI()*R307/2147483647),'Control Room'!$B$8+('Control Room'!$D$8-'Control Room'!$B$8)*Q307/2147483647)</x:f>
        <x:v>856.5886622774005</x:v>
      </x:c>
      <x:c r="T307" s="17" t="n">
        <x:f>IF('Control Room'!$B$5="Normal",'Control Room'!$B$7,('Control Room'!$B$8+'Control Room'!$D$8)/2)+'Control Room'!$B$9*(T306-IF('Control Room'!$B$5="Normal",'Control Room'!$B$7,('Control Room'!$B$8+'Control Room'!$D$8)/2))+SQRT(1-'Control Room'!$B$9^2)*(S307-IF('Control Room'!$B$5="Normal",'Control Room'!$B$7,('Control Room'!$B$8+'Control Room'!$D$8)/2))</x:f>
        <x:v>955.4478799155082</x:v>
      </x:c>
      <x:c r="U307" s="17" t="n">
        <x:f>IF(AND($A307&gt;='Control Room'!$A$13,$A307&lt;'Control Room'!$A$13+'Control Room'!$B$13,'Process'!BN2=1),1+('Control Room'!$C$13-1)*EXP(-0.5*(($A307-'Control Room'!$A$13-('Control Room'!$B$13-1)/2)/MAX(0.5,'Control Room'!$B$13/4))^2),1)*IF(AND($A307&gt;='Control Room'!$A$14,$A307&lt;'Control Room'!$A$14+'Control Room'!$B$14,'Process'!BN3=1),1+('Control Room'!$C$14-1)*EXP(-0.5*(($A307-'Control Room'!$A$14-('Control Room'!$B$14-1)/2)/MAX(0.5,'Control Room'!$B$14/4))^2),1)*IF(AND($A307&gt;='Control Room'!$A$15,$A307&lt;'Control Room'!$A$15+'Control Room'!$B$15,'Process'!BN4=1),1+('Control Room'!$C$15-1)*EXP(-0.5*(($A307-'Control Room'!$A$15-('Control Room'!$B$15-1)/2)/MAX(0.5,'Control Room'!$B$15/4))^2),1)*IF(AND($A307&gt;='Control Room'!$A$16,$A307&lt;'Control Room'!$A$16+'Control Room'!$B$16,'Process'!BN5=1),1+('Control Room'!$C$16-1)*EXP(-0.5*(($A307-'Control Room'!$A$16-('Control Room'!$B$16-1)/2)/MAX(0.5,'Control Room'!$B$16/4))^2),1)</x:f>
        <x:v>1</x:v>
      </x:c>
      <x:c r="V307" s="9" t="n">
        <x:f>MOD(W306*16807,2147483647)</x:f>
        <x:v>161580053</x:v>
      </x:c>
      <x:c r="W307" s="9" t="n">
        <x:f>MOD(V307*16807,2147483647)</x:f>
        <x:v>1256620963</x:v>
      </x:c>
      <x:c r="X307" s="17" t="n">
        <x:f>IF('Control Room'!$B$5="Normal",'Control Room'!$B$7+'Control Room'!$D$7*SQRT(-2*LN(MAX(0.000000000001,V307/2147483647)))*COS(2*PI()*W307/2147483647),'Control Room'!$B$8+('Control Room'!$D$8-'Control Room'!$B$8)*V307/2147483647)</x:f>
        <x:v>823.8936703718216</x:v>
      </x:c>
      <x:c r="Y307" s="17" t="n">
        <x:f>IF('Control Room'!$B$5="Normal",'Control Room'!$B$7,('Control Room'!$B$8+'Control Room'!$D$8)/2)+'Control Room'!$B$9*(Y306-IF('Control Room'!$B$5="Normal",'Control Room'!$B$7,('Control Room'!$B$8+'Control Room'!$D$8)/2))+SQRT(1-'Control Room'!$B$9^2)*(X307-IF('Control Room'!$B$5="Normal",'Control Room'!$B$7,('Control Room'!$B$8+'Control Room'!$D$8)/2))</x:f>
        <x:v>935.4810613438177</x:v>
      </x:c>
      <x:c r="Z307" s="17" t="n">
        <x:f>IF(AND($A307&gt;='Control Room'!$A$13,$A307&lt;'Control Room'!$A$13+'Control Room'!$B$13,'Process'!BO2=1),1+('Control Room'!$C$13-1)*EXP(-0.5*(($A307-'Control Room'!$A$13-('Control Room'!$B$13-1)/2)/MAX(0.5,'Control Room'!$B$13/4))^2),1)*IF(AND($A307&gt;='Control Room'!$A$14,$A307&lt;'Control Room'!$A$14+'Control Room'!$B$14,'Process'!BO3=1),1+('Control Room'!$C$14-1)*EXP(-0.5*(($A307-'Control Room'!$A$14-('Control Room'!$B$14-1)/2)/MAX(0.5,'Control Room'!$B$14/4))^2),1)*IF(AND($A307&gt;='Control Room'!$A$15,$A307&lt;'Control Room'!$A$15+'Control Room'!$B$15,'Process'!BO4=1),1+('Control Room'!$C$15-1)*EXP(-0.5*(($A307-'Control Room'!$A$15-('Control Room'!$B$15-1)/2)/MAX(0.5,'Control Room'!$B$15/4))^2),1)*IF(AND($A307&gt;='Control Room'!$A$16,$A307&lt;'Control Room'!$A$16+'Control Room'!$B$16,'Process'!BO5=1),1+('Control Room'!$C$16-1)*EXP(-0.5*(($A307-'Control Room'!$A$16-('Control Room'!$B$16-1)/2)/MAX(0.5,'Control Room'!$B$16/4))^2),1)</x:f>
        <x:v>1</x:v>
      </x:c>
      <x:c r="AA307" s="9" t="n">
        <x:f>MOD(AB306*16807,2147483647)</x:f>
        <x:v>27671569</x:v>
      </x:c>
      <x:c r="AB307" s="9" t="n">
        <x:f>MOD(AA307*16807,2147483647)</x:f>
        <x:v>1219592431</x:v>
      </x:c>
      <x:c r="AC307" s="17" t="n">
        <x:f>IF('Control Room'!$B$5="Normal",'Control Room'!$B$7+'Control Room'!$D$7*SQRT(-2*LN(MAX(0.000000000001,AA307/2147483647)))*COS(2*PI()*AB307/2147483647),'Control Room'!$B$8+('Control Room'!$D$8-'Control Room'!$B$8)*AA307/2147483647)</x:f>
        <x:v>758.2984980451822</x:v>
      </x:c>
      <x:c r="AD307" s="17" t="n">
        <x:f>IF('Control Room'!$B$5="Normal",'Control Room'!$B$7,('Control Room'!$B$8+'Control Room'!$D$8)/2)+'Control Room'!$B$9*(AD306-IF('Control Room'!$B$5="Normal",'Control Room'!$B$7,('Control Room'!$B$8+'Control Room'!$D$8)/2))+SQRT(1-'Control Room'!$B$9^2)*(AC307-IF('Control Room'!$B$5="Normal",'Control Room'!$B$7,('Control Room'!$B$8+'Control Room'!$D$8)/2))</x:f>
        <x:v>785.9787313180428</x:v>
      </x:c>
      <x:c r="AE307" s="17" t="n">
        <x:f>IF(AND($A307&gt;='Control Room'!$A$13,$A307&lt;'Control Room'!$A$13+'Control Room'!$B$13,'Process'!BP2=1),1+('Control Room'!$C$13-1)*EXP(-0.5*(($A307-'Control Room'!$A$13-('Control Room'!$B$13-1)/2)/MAX(0.5,'Control Room'!$B$13/4))^2),1)*IF(AND($A307&gt;='Control Room'!$A$14,$A307&lt;'Control Room'!$A$14+'Control Room'!$B$14,'Process'!BP3=1),1+('Control Room'!$C$14-1)*EXP(-0.5*(($A307-'Control Room'!$A$14-('Control Room'!$B$14-1)/2)/MAX(0.5,'Control Room'!$B$14/4))^2),1)*IF(AND($A307&gt;='Control Room'!$A$15,$A307&lt;'Control Room'!$A$15+'Control Room'!$B$15,'Process'!BP4=1),1+('Control Room'!$C$15-1)*EXP(-0.5*(($A307-'Control Room'!$A$15-('Control Room'!$B$15-1)/2)/MAX(0.5,'Control Room'!$B$15/4))^2),1)*IF(AND($A307&gt;='Control Room'!$A$16,$A307&lt;'Control Room'!$A$16+'Control Room'!$B$16,'Process'!BP5=1),1+('Control Room'!$C$16-1)*EXP(-0.5*(($A307-'Control Room'!$A$16-('Control Room'!$B$16-1)/2)/MAX(0.5,'Control Room'!$B$16/4))^2),1)</x:f>
        <x:v>1</x:v>
      </x:c>
      <x:c r="AF307" s="9" t="n">
        <x:f>MOD(AG306*16807,2147483647)</x:f>
        <x:v>2041246732</x:v>
      </x:c>
      <x:c r="AG307" s="9" t="n">
        <x:f>MOD(AF307*16807,2147483647)</x:f>
        <x:v>1182563899</x:v>
      </x:c>
      <x:c r="AH307" s="17" t="n">
        <x:f>IF('Control Room'!$B$5="Normal",'Control Room'!$B$7+'Control Room'!$D$7*SQRT(-2*LN(MAX(0.000000000001,AF307/2147483647)))*COS(2*PI()*AG307/2147483647),'Control Room'!$B$8+('Control Room'!$D$8-'Control Room'!$B$8)*AF307/2147483647)</x:f>
        <x:v>972.7717439162046</x:v>
      </x:c>
      <x:c r="AI307" s="17" t="n">
        <x:f>IF('Control Room'!$B$5="Normal",'Control Room'!$B$7,('Control Room'!$B$8+'Control Room'!$D$8)/2)+'Control Room'!$B$9*(AI306-IF('Control Room'!$B$5="Normal",'Control Room'!$B$7,('Control Room'!$B$8+'Control Room'!$D$8)/2))+SQRT(1-'Control Room'!$B$9^2)*(AH307-IF('Control Room'!$B$5="Normal",'Control Room'!$B$7,('Control Room'!$B$8+'Control Room'!$D$8)/2))</x:f>
        <x:v>956.1379059763078</x:v>
      </x:c>
      <x:c r="AJ307" s="17" t="n">
        <x:f>IF(AND($A307&gt;='Control Room'!$A$13,$A307&lt;'Control Room'!$A$13+'Control Room'!$B$13,'Process'!BQ2=1),1+('Control Room'!$C$13-1)*EXP(-0.5*(($A307-'Control Room'!$A$13-('Control Room'!$B$13-1)/2)/MAX(0.5,'Control Room'!$B$13/4))^2),1)*IF(AND($A307&gt;='Control Room'!$A$14,$A307&lt;'Control Room'!$A$14+'Control Room'!$B$14,'Process'!BQ3=1),1+('Control Room'!$C$14-1)*EXP(-0.5*(($A307-'Control Room'!$A$14-('Control Room'!$B$14-1)/2)/MAX(0.5,'Control Room'!$B$14/4))^2),1)*IF(AND($A307&gt;='Control Room'!$A$15,$A307&lt;'Control Room'!$A$15+'Control Room'!$B$15,'Process'!BQ4=1),1+('Control Room'!$C$15-1)*EXP(-0.5*(($A307-'Control Room'!$A$15-('Control Room'!$B$15-1)/2)/MAX(0.5,'Control Room'!$B$15/4))^2),1)*IF(AND($A307&gt;='Control Room'!$A$16,$A307&lt;'Control Room'!$A$16+'Control Room'!$B$16,'Process'!BQ5=1),1+('Control Room'!$C$16-1)*EXP(-0.5*(($A307-'Control Room'!$A$16-('Control Room'!$B$16-1)/2)/MAX(0.5,'Control Room'!$B$16/4))^2),1)</x:f>
        <x:v>1</x:v>
      </x:c>
      <x:c r="AK307" s="9" t="n">
        <x:f>MOD(AL306*16807,2147483647)</x:f>
        <x:v>1907338248</x:v>
      </x:c>
      <x:c r="AL307" s="9" t="n">
        <x:f>MOD(AK307*16807,2147483647)</x:f>
        <x:v>1145535367</x:v>
      </x:c>
      <x:c r="AM307" s="17" t="n">
        <x:f>IF('Control Room'!$B$5="Normal",'Control Room'!$B$7+'Control Room'!$D$7*SQRT(-2*LN(MAX(0.000000000001,AK307/2147483647)))*COS(2*PI()*AL307/2147483647),'Control Room'!$B$8+('Control Room'!$D$8-'Control Room'!$B$8)*AK307/2147483647)</x:f>
        <x:v>957.1327715058487</x:v>
      </x:c>
      <x:c r="AN307" s="17" t="n">
        <x:f>IF('Control Room'!$B$5="Normal",'Control Room'!$B$7,('Control Room'!$B$8+'Control Room'!$D$8)/2)+'Control Room'!$B$9*(AN306-IF('Control Room'!$B$5="Normal",'Control Room'!$B$7,('Control Room'!$B$8+'Control Room'!$D$8)/2))+SQRT(1-'Control Room'!$B$9^2)*(AM307-IF('Control Room'!$B$5="Normal",'Control Room'!$B$7,('Control Room'!$B$8+'Control Room'!$D$8)/2))</x:f>
        <x:v>954.3448589596554</x:v>
      </x:c>
      <x:c r="AO307" s="17" t="n">
        <x:f>IF(AND($A307&gt;='Control Room'!$A$13,$A307&lt;'Control Room'!$A$13+'Control Room'!$B$13,'Process'!BR2=1),1+('Control Room'!$C$13-1)*EXP(-0.5*(($A307-'Control Room'!$A$13-('Control Room'!$B$13-1)/2)/MAX(0.5,'Control Room'!$B$13/4))^2),1)*IF(AND($A307&gt;='Control Room'!$A$14,$A307&lt;'Control Room'!$A$14+'Control Room'!$B$14,'Process'!BR3=1),1+('Control Room'!$C$14-1)*EXP(-0.5*(($A307-'Control Room'!$A$14-('Control Room'!$B$14-1)/2)/MAX(0.5,'Control Room'!$B$14/4))^2),1)*IF(AND($A307&gt;='Control Room'!$A$15,$A307&lt;'Control Room'!$A$15+'Control Room'!$B$15,'Process'!BR4=1),1+('Control Room'!$C$15-1)*EXP(-0.5*(($A307-'Control Room'!$A$15-('Control Room'!$B$15-1)/2)/MAX(0.5,'Control Room'!$B$15/4))^2),1)*IF(AND($A307&gt;='Control Room'!$A$16,$A307&lt;'Control Room'!$A$16+'Control Room'!$B$16,'Process'!BR5=1),1+('Control Room'!$C$16-1)*EXP(-0.5*(($A307-'Control Room'!$A$16-('Control Room'!$B$16-1)/2)/MAX(0.5,'Control Room'!$B$16/4))^2),1)</x:f>
        <x:v>1</x:v>
      </x:c>
      <x:c r="AP307" s="9" t="n">
        <x:f>MOD(AQ306*16807,2147483647)</x:f>
        <x:v>1773429764</x:v>
      </x:c>
      <x:c r="AQ307" s="9" t="n">
        <x:f>MOD(AP307*16807,2147483647)</x:f>
        <x:v>1108506835</x:v>
      </x:c>
      <x:c r="AR307" s="17" t="n">
        <x:f>IF('Control Room'!$B$5="Normal",'Control Room'!$B$7+'Control Room'!$D$7*SQRT(-2*LN(MAX(0.000000000001,AP307/2147483647)))*COS(2*PI()*AQ307/2147483647),'Control Room'!$B$8+('Control Room'!$D$8-'Control Room'!$B$8)*AP307/2147483647)</x:f>
        <x:v>944.6067583063872</x:v>
      </x:c>
      <x:c r="AS307" s="17" t="n">
        <x:f>IF('Control Room'!$B$5="Normal",'Control Room'!$B$7,('Control Room'!$B$8+'Control Room'!$D$8)/2)+'Control Room'!$B$9*(AS306-IF('Control Room'!$B$5="Normal",'Control Room'!$B$7,('Control Room'!$B$8+'Control Room'!$D$8)/2))+SQRT(1-'Control Room'!$B$9^2)*(AR307-IF('Control Room'!$B$5="Normal",'Control Room'!$B$7,('Control Room'!$B$8+'Control Room'!$D$8)/2))</x:f>
        <x:v>974.7139925008556</x:v>
      </x:c>
      <x:c r="AT307" s="17" t="n">
        <x:f>IF(AND($A307&gt;='Control Room'!$A$13,$A307&lt;'Control Room'!$A$13+'Control Room'!$B$13,'Process'!BS2=1),1+('Control Room'!$C$13-1)*EXP(-0.5*(($A307-'Control Room'!$A$13-('Control Room'!$B$13-1)/2)/MAX(0.5,'Control Room'!$B$13/4))^2),1)*IF(AND($A307&gt;='Control Room'!$A$14,$A307&lt;'Control Room'!$A$14+'Control Room'!$B$14,'Process'!BS3=1),1+('Control Room'!$C$14-1)*EXP(-0.5*(($A307-'Control Room'!$A$14-('Control Room'!$B$14-1)/2)/MAX(0.5,'Control Room'!$B$14/4))^2),1)*IF(AND($A307&gt;='Control Room'!$A$15,$A307&lt;'Control Room'!$A$15+'Control Room'!$B$15,'Process'!BS4=1),1+('Control Room'!$C$15-1)*EXP(-0.5*(($A307-'Control Room'!$A$15-('Control Room'!$B$15-1)/2)/MAX(0.5,'Control Room'!$B$15/4))^2),1)*IF(AND($A307&gt;='Control Room'!$A$16,$A307&lt;'Control Room'!$A$16+'Control Room'!$B$16,'Process'!BS5=1),1+('Control Room'!$C$16-1)*EXP(-0.5*(($A307-'Control Room'!$A$16-('Control Room'!$B$16-1)/2)/MAX(0.5,'Control Room'!$B$16/4))^2),1)</x:f>
        <x:v>1</x:v>
      </x:c>
      <x:c r="AU307" s="9" t="n">
        <x:f>MOD(AV306*16807,2147483647)</x:f>
        <x:v>1639521280</x:v>
      </x:c>
      <x:c r="AV307" s="9" t="n">
        <x:f>MOD(AU307*16807,2147483647)</x:f>
        <x:v>1071478303</x:v>
      </x:c>
      <x:c r="AW307" s="17" t="n">
        <x:f>IF('Control Room'!$B$5="Normal",'Control Room'!$B$7+'Control Room'!$D$7*SQRT(-2*LN(MAX(0.000000000001,AU307/2147483647)))*COS(2*PI()*AV307/2147483647),'Control Room'!$B$8+('Control Room'!$D$8-'Control Room'!$B$8)*AU307/2147483647)</x:f>
        <x:v>933.8783988497535</x:v>
      </x:c>
      <x:c r="AX307" s="17" t="n">
        <x:f>IF('Control Room'!$B$5="Normal",'Control Room'!$B$7,('Control Room'!$B$8+'Control Room'!$D$8)/2)+'Control Room'!$B$9*(AX306-IF('Control Room'!$B$5="Normal",'Control Room'!$B$7,('Control Room'!$B$8+'Control Room'!$D$8)/2))+SQRT(1-'Control Room'!$B$9^2)*(AW307-IF('Control Room'!$B$5="Normal",'Control Room'!$B$7,('Control Room'!$B$8+'Control Room'!$D$8)/2))</x:f>
        <x:v>1096.6386325872024</x:v>
      </x:c>
      <x:c r="AY307" s="17" t="n">
        <x:f>IF(AND($A307&gt;='Control Room'!$A$13,$A307&lt;'Control Room'!$A$13+'Control Room'!$B$13,'Process'!BT2=1),1+('Control Room'!$C$13-1)*EXP(-0.5*(($A307-'Control Room'!$A$13-('Control Room'!$B$13-1)/2)/MAX(0.5,'Control Room'!$B$13/4))^2),1)*IF(AND($A307&gt;='Control Room'!$A$14,$A307&lt;'Control Room'!$A$14+'Control Room'!$B$14,'Process'!BT3=1),1+('Control Room'!$C$14-1)*EXP(-0.5*(($A307-'Control Room'!$A$14-('Control Room'!$B$14-1)/2)/MAX(0.5,'Control Room'!$B$14/4))^2),1)*IF(AND($A307&gt;='Control Room'!$A$15,$A307&lt;'Control Room'!$A$15+'Control Room'!$B$15,'Process'!BT4=1),1+('Control Room'!$C$15-1)*EXP(-0.5*(($A307-'Control Room'!$A$15-('Control Room'!$B$15-1)/2)/MAX(0.5,'Control Room'!$B$15/4))^2),1)*IF(AND($A307&gt;='Control Room'!$A$16,$A307&lt;'Control Room'!$A$16+'Control Room'!$B$16,'Process'!BT5=1),1+('Control Room'!$C$16-1)*EXP(-0.5*(($A307-'Control Room'!$A$16-('Control Room'!$B$16-1)/2)/MAX(0.5,'Control Room'!$B$16/4))^2),1)</x:f>
        <x:v>1</x:v>
      </x:c>
      <x:c r="AZ307" s="9" t="n">
        <x:f>MOD(BA306*16807,2147483647)</x:f>
        <x:v>1505612796</x:v>
      </x:c>
      <x:c r="BA307" s="9" t="n">
        <x:f>MOD(AZ307*16807,2147483647)</x:f>
        <x:v>1034449771</x:v>
      </x:c>
      <x:c r="BB307" s="17" t="n">
        <x:f>IF('Control Room'!$B$5="Normal",'Control Room'!$B$7+'Control Room'!$D$7*SQRT(-2*LN(MAX(0.000000000001,AZ307/2147483647)))*COS(2*PI()*BA307/2147483647),'Control Room'!$B$8+('Control Room'!$D$8-'Control Room'!$B$8)*AZ307/2147483647)</x:f>
        <x:v>924.6549639567565</x:v>
      </x:c>
      <x:c r="BC307" s="17" t="n">
        <x:f>IF('Control Room'!$B$5="Normal",'Control Room'!$B$7,('Control Room'!$B$8+'Control Room'!$D$8)/2)+'Control Room'!$B$9*(BC306-IF('Control Room'!$B$5="Normal",'Control Room'!$B$7,('Control Room'!$B$8+'Control Room'!$D$8)/2))+SQRT(1-'Control Room'!$B$9^2)*(BB307-IF('Control Room'!$B$5="Normal",'Control Room'!$B$7,('Control Room'!$B$8+'Control Room'!$D$8)/2))</x:f>
        <x:v>984.0888514670277</x:v>
      </x:c>
      <x:c r="BD307" s="17" t="n">
        <x:f>IF(AND($A307&gt;='Control Room'!$A$13,$A307&lt;'Control Room'!$A$13+'Control Room'!$B$13,'Process'!BU2=1),1+('Control Room'!$C$13-1)*EXP(-0.5*(($A307-'Control Room'!$A$13-('Control Room'!$B$13-1)/2)/MAX(0.5,'Control Room'!$B$13/4))^2),1)*IF(AND($A307&gt;='Control Room'!$A$14,$A307&lt;'Control Room'!$A$14+'Control Room'!$B$14,'Process'!BU3=1),1+('Control Room'!$C$14-1)*EXP(-0.5*(($A307-'Control Room'!$A$14-('Control Room'!$B$14-1)/2)/MAX(0.5,'Control Room'!$B$14/4))^2),1)*IF(AND($A307&gt;='Control Room'!$A$15,$A307&lt;'Control Room'!$A$15+'Control Room'!$B$15,'Process'!BU4=1),1+('Control Room'!$C$15-1)*EXP(-0.5*(($A307-'Control Room'!$A$15-('Control Room'!$B$15-1)/2)/MAX(0.5,'Control Room'!$B$15/4))^2),1)*IF(AND($A307&gt;='Control Room'!$A$16,$A307&lt;'Control Room'!$A$16+'Control Room'!$B$16,'Process'!BU5=1),1+('Control Room'!$C$16-1)*EXP(-0.5*(($A307-'Control Room'!$A$16-('Control Room'!$B$16-1)/2)/MAX(0.5,'Control Room'!$B$16/4))^2),1)</x:f>
        <x:v>1</x:v>
      </x:c>
      <x:c r="BE307" s="9" t="n">
        <x:f>MOD(BF306*16807,2147483647)</x:f>
        <x:v>1371704312</x:v>
      </x:c>
      <x:c r="BF307" s="9" t="n">
        <x:f>MOD(BE307*16807,2147483647)</x:f>
        <x:v>997421239</x:v>
      </x:c>
      <x:c r="BG307" s="17" t="n">
        <x:f>IF('Control Room'!$B$5="Normal",'Control Room'!$B$7+'Control Room'!$D$7*SQRT(-2*LN(MAX(0.000000000001,BE307/2147483647)))*COS(2*PI()*BF307/2147483647),'Control Room'!$B$8+('Control Room'!$D$8-'Control Room'!$B$8)*BE307/2147483647)</x:f>
        <x:v>916.901111086764</x:v>
      </x:c>
      <x:c r="BH307" s="17" t="n">
        <x:f>IF('Control Room'!$B$5="Normal",'Control Room'!$B$7,('Control Room'!$B$8+'Control Room'!$D$8)/2)+'Control Room'!$B$9*(BH306-IF('Control Room'!$B$5="Normal",'Control Room'!$B$7,('Control Room'!$B$8+'Control Room'!$D$8)/2))+SQRT(1-'Control Room'!$B$9^2)*(BG307-IF('Control Room'!$B$5="Normal",'Control Room'!$B$7,('Control Room'!$B$8+'Control Room'!$D$8)/2))</x:f>
        <x:v>998.2089602967912</x:v>
      </x:c>
      <x:c r="BI307" s="17" t="n">
        <x:f>IF(AND($A307&gt;='Control Room'!$A$13,$A307&lt;'Control Room'!$A$13+'Control Room'!$B$13,'Process'!BV2=1),1+('Control Room'!$C$13-1)*EXP(-0.5*(($A307-'Control Room'!$A$13-('Control Room'!$B$13-1)/2)/MAX(0.5,'Control Room'!$B$13/4))^2),1)*IF(AND($A307&gt;='Control Room'!$A$14,$A307&lt;'Control Room'!$A$14+'Control Room'!$B$14,'Process'!BV3=1),1+('Control Room'!$C$14-1)*EXP(-0.5*(($A307-'Control Room'!$A$14-('Control Room'!$B$14-1)/2)/MAX(0.5,'Control Room'!$B$14/4))^2),1)*IF(AND($A307&gt;='Control Room'!$A$15,$A307&lt;'Control Room'!$A$15+'Control Room'!$B$15,'Process'!BV4=1),1+('Control Room'!$C$15-1)*EXP(-0.5*(($A307-'Control Room'!$A$15-('Control Room'!$B$15-1)/2)/MAX(0.5,'Control Room'!$B$15/4))^2),1)*IF(AND($A307&gt;='Control Room'!$A$16,$A307&lt;'Control Room'!$A$16+'Control Room'!$B$16,'Process'!BV5=1),1+('Control Room'!$C$16-1)*EXP(-0.5*(($A307-'Control Room'!$A$16-('Control Room'!$B$16-1)/2)/MAX(0.5,'Control Room'!$B$16/4))^2),1)</x:f>
        <x:v>1</x:v>
      </x:c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Z307" t="str">
        <x:f>IF('Data'!A307="","",TEXT('Data'!A307,"mm-dd"))</x:f>
      </x:c>
    </x:row>
    <x:row r="308" ht="21" customHeight="1">
      <x:c r="A308" s="15" t="n">
        <x:f>'Control Room'!$B$1+306</x:f>
        <x:v>73297</x:v>
      </x:c>
      <x:c r="B308" s="9" t="n">
        <x:f>MOD(C307*16807,2147483647)</x:f>
        <x:v>2094942966</x:v>
      </x:c>
      <x:c r="C308" s="9" t="n">
        <x:f>MOD(B308*16807,2147483647)</x:f>
        <x:v>1712036997</x:v>
      </x:c>
      <x:c r="D308" s="17" t="n">
        <x:f>IF('Control Room'!$B$5="Normal",'Control Room'!$B$7+'Control Room'!$D$7*SQRT(-2*LN(MAX(0.000000000001,B308/2147483647)))*COS(2*PI()*C308/2147483647),'Control Room'!$B$8+('Control Room'!$D$8-'Control Room'!$B$8)*B308/2147483647)</x:f>
        <x:v>1005.8576478693549</x:v>
      </x:c>
      <x:c r="E308" s="17" t="n">
        <x:f>IF('Control Room'!$B$5="Normal",'Control Room'!$B$7,('Control Room'!$B$8+'Control Room'!$D$8)/2)+'Control Room'!$B$9*(E307-IF('Control Room'!$B$5="Normal",'Control Room'!$B$7,('Control Room'!$B$8+'Control Room'!$D$8)/2))+SQRT(1-'Control Room'!$B$9^2)*(D308-IF('Control Room'!$B$5="Normal",'Control Room'!$B$7,('Control Room'!$B$8+'Control Room'!$D$8)/2))</x:f>
        <x:v>980.4666291535697</x:v>
      </x:c>
      <x:c r="F308" s="17" t="n">
        <x:f>IF(AND($A308&gt;='Control Room'!$A$13,$A308&lt;'Control Room'!$A$13+'Control Room'!$B$13,'Process'!BK2=1),1+('Control Room'!$C$13-1)*EXP(-0.5*(($A308-'Control Room'!$A$13-('Control Room'!$B$13-1)/2)/MAX(0.5,'Control Room'!$B$13/4))^2),1)*IF(AND($A308&gt;='Control Room'!$A$14,$A308&lt;'Control Room'!$A$14+'Control Room'!$B$14,'Process'!BK3=1),1+('Control Room'!$C$14-1)*EXP(-0.5*(($A308-'Control Room'!$A$14-('Control Room'!$B$14-1)/2)/MAX(0.5,'Control Room'!$B$14/4))^2),1)*IF(AND($A308&gt;='Control Room'!$A$15,$A308&lt;'Control Room'!$A$15+'Control Room'!$B$15,'Process'!BK4=1),1+('Control Room'!$C$15-1)*EXP(-0.5*(($A308-'Control Room'!$A$15-('Control Room'!$B$15-1)/2)/MAX(0.5,'Control Room'!$B$15/4))^2),1)*IF(AND($A308&gt;='Control Room'!$A$16,$A308&lt;'Control Room'!$A$16+'Control Room'!$B$16,'Process'!BK5=1),1+('Control Room'!$C$16-1)*EXP(-0.5*(($A308-'Control Room'!$A$16-('Control Room'!$B$16-1)/2)/MAX(0.5,'Control Room'!$B$16/4))^2),1)</x:f>
        <x:v>1</x:v>
      </x:c>
      <x:c r="G308" s="9" t="n">
        <x:f>MOD(H307*16807,2147483647)</x:f>
        <x:v>379179625</x:v>
      </x:c>
      <x:c r="H308" s="9" t="n">
        <x:f>MOD(G308*16807,2147483647)</x:f>
        <x:v>1287976726</x:v>
      </x:c>
      <x:c r="I308" s="17" t="n">
        <x:f>IF('Control Room'!$B$5="Normal",'Control Room'!$B$7+'Control Room'!$D$7*SQRT(-2*LN(MAX(0.000000000001,G308/2147483647)))*COS(2*PI()*H308/2147483647),'Control Room'!$B$8+('Control Room'!$D$8-'Control Room'!$B$8)*G308/2147483647)</x:f>
        <x:v>864.2567516286057</x:v>
      </x:c>
      <x:c r="J308" s="17" t="n">
        <x:f>IF('Control Room'!$B$5="Normal",'Control Room'!$B$7,('Control Room'!$B$8+'Control Room'!$D$8)/2)+'Control Room'!$B$9*(J307-IF('Control Room'!$B$5="Normal",'Control Room'!$B$7,('Control Room'!$B$8+'Control Room'!$D$8)/2))+SQRT(1-'Control Room'!$B$9^2)*(I308-IF('Control Room'!$B$5="Normal",'Control Room'!$B$7,('Control Room'!$B$8+'Control Room'!$D$8)/2))</x:f>
        <x:v>897.5975171519642</x:v>
      </x:c>
      <x:c r="K308" s="17" t="n">
        <x:f>IF(AND($A308&gt;='Control Room'!$A$13,$A308&lt;'Control Room'!$A$13+'Control Room'!$B$13,'Process'!BL2=1),1+('Control Room'!$C$13-1)*EXP(-0.5*(($A308-'Control Room'!$A$13-('Control Room'!$B$13-1)/2)/MAX(0.5,'Control Room'!$B$13/4))^2),1)*IF(AND($A308&gt;='Control Room'!$A$14,$A308&lt;'Control Room'!$A$14+'Control Room'!$B$14,'Process'!BL3=1),1+('Control Room'!$C$14-1)*EXP(-0.5*(($A308-'Control Room'!$A$14-('Control Room'!$B$14-1)/2)/MAX(0.5,'Control Room'!$B$14/4))^2),1)*IF(AND($A308&gt;='Control Room'!$A$15,$A308&lt;'Control Room'!$A$15+'Control Room'!$B$15,'Process'!BL4=1),1+('Control Room'!$C$15-1)*EXP(-0.5*(($A308-'Control Room'!$A$15-('Control Room'!$B$15-1)/2)/MAX(0.5,'Control Room'!$B$15/4))^2),1)*IF(AND($A308&gt;='Control Room'!$A$16,$A308&lt;'Control Room'!$A$16+'Control Room'!$B$16,'Process'!BL5=1),1+('Control Room'!$C$16-1)*EXP(-0.5*(($A308-'Control Room'!$A$16-('Control Room'!$B$16-1)/2)/MAX(0.5,'Control Room'!$B$16/4))^2),1)</x:f>
        <x:v>1</x:v>
      </x:c>
      <x:c r="L308" s="9" t="n">
        <x:f>MOD(M307*16807,2147483647)</x:f>
        <x:v>810899931</x:v>
      </x:c>
      <x:c r="M308" s="9" t="n">
        <x:f>MOD(L308*16807,2147483647)</x:f>
        <x:v>863916455</x:v>
      </x:c>
      <x:c r="N308" s="17" t="n">
        <x:f>IF('Control Room'!$B$5="Normal",'Control Room'!$B$7+'Control Room'!$D$7*SQRT(-2*LN(MAX(0.000000000001,L308/2147483647)))*COS(2*PI()*M308/2147483647),'Control Room'!$B$8+('Control Room'!$D$8-'Control Room'!$B$8)*L308/2147483647)</x:f>
        <x:v>897.3283533884869</x:v>
      </x:c>
      <x:c r="O308" s="17" t="n">
        <x:f>IF('Control Room'!$B$5="Normal",'Control Room'!$B$7,('Control Room'!$B$8+'Control Room'!$D$8)/2)+'Control Room'!$B$9*(O307-IF('Control Room'!$B$5="Normal",'Control Room'!$B$7,('Control Room'!$B$8+'Control Room'!$D$8)/2))+SQRT(1-'Control Room'!$B$9^2)*(N308-IF('Control Room'!$B$5="Normal",'Control Room'!$B$7,('Control Room'!$B$8+'Control Room'!$D$8)/2))</x:f>
        <x:v>912.3276022063257</x:v>
      </x:c>
      <x:c r="P308" s="17" t="n">
        <x:f>IF(AND($A308&gt;='Control Room'!$A$13,$A308&lt;'Control Room'!$A$13+'Control Room'!$B$13,'Process'!BM2=1),1+('Control Room'!$C$13-1)*EXP(-0.5*(($A308-'Control Room'!$A$13-('Control Room'!$B$13-1)/2)/MAX(0.5,'Control Room'!$B$13/4))^2),1)*IF(AND($A308&gt;='Control Room'!$A$14,$A308&lt;'Control Room'!$A$14+'Control Room'!$B$14,'Process'!BM3=1),1+('Control Room'!$C$14-1)*EXP(-0.5*(($A308-'Control Room'!$A$14-('Control Room'!$B$14-1)/2)/MAX(0.5,'Control Room'!$B$14/4))^2),1)*IF(AND($A308&gt;='Control Room'!$A$15,$A308&lt;'Control Room'!$A$15+'Control Room'!$B$15,'Process'!BM4=1),1+('Control Room'!$C$15-1)*EXP(-0.5*(($A308-'Control Room'!$A$15-('Control Room'!$B$15-1)/2)/MAX(0.5,'Control Room'!$B$15/4))^2),1)*IF(AND($A308&gt;='Control Room'!$A$16,$A308&lt;'Control Room'!$A$16+'Control Room'!$B$16,'Process'!BM5=1),1+('Control Room'!$C$16-1)*EXP(-0.5*(($A308-'Control Room'!$A$16-('Control Room'!$B$16-1)/2)/MAX(0.5,'Control Room'!$B$16/4))^2),1)</x:f>
        <x:v>1</x:v>
      </x:c>
      <x:c r="Q308" s="9" t="n">
        <x:f>MOD(R307*16807,2147483647)</x:f>
        <x:v>1242620237</x:v>
      </x:c>
      <x:c r="R308" s="9" t="n">
        <x:f>MOD(Q308*16807,2147483647)</x:f>
        <x:v>439856184</x:v>
      </x:c>
      <x:c r="S308" s="17" t="n">
        <x:f>IF('Control Room'!$B$5="Normal",'Control Room'!$B$7+'Control Room'!$D$7*SQRT(-2*LN(MAX(0.000000000001,Q308/2147483647)))*COS(2*PI()*R308/2147483647),'Control Room'!$B$8+('Control Room'!$D$8-'Control Room'!$B$8)*Q308/2147483647)</x:f>
        <x:v>1026.3645765790322</x:v>
      </x:c>
      <x:c r="T308" s="17" t="n">
        <x:f>IF('Control Room'!$B$5="Normal",'Control Room'!$B$7,('Control Room'!$B$8+'Control Room'!$D$8)/2)+'Control Room'!$B$9*(T307-IF('Control Room'!$B$5="Normal",'Control Room'!$B$7,('Control Room'!$B$8+'Control Room'!$D$8)/2))+SQRT(1-'Control Room'!$B$9^2)*(S308-IF('Control Room'!$B$5="Normal",'Control Room'!$B$7,('Control Room'!$B$8+'Control Room'!$D$8)/2))</x:f>
        <x:v>981.7477582495461</x:v>
      </x:c>
      <x:c r="U308" s="17" t="n">
        <x:f>IF(AND($A308&gt;='Control Room'!$A$13,$A308&lt;'Control Room'!$A$13+'Control Room'!$B$13,'Process'!BN2=1),1+('Control Room'!$C$13-1)*EXP(-0.5*(($A308-'Control Room'!$A$13-('Control Room'!$B$13-1)/2)/MAX(0.5,'Control Room'!$B$13/4))^2),1)*IF(AND($A308&gt;='Control Room'!$A$14,$A308&lt;'Control Room'!$A$14+'Control Room'!$B$14,'Process'!BN3=1),1+('Control Room'!$C$14-1)*EXP(-0.5*(($A308-'Control Room'!$A$14-('Control Room'!$B$14-1)/2)/MAX(0.5,'Control Room'!$B$14/4))^2),1)*IF(AND($A308&gt;='Control Room'!$A$15,$A308&lt;'Control Room'!$A$15+'Control Room'!$B$15,'Process'!BN4=1),1+('Control Room'!$C$15-1)*EXP(-0.5*(($A308-'Control Room'!$A$15-('Control Room'!$B$15-1)/2)/MAX(0.5,'Control Room'!$B$15/4))^2),1)*IF(AND($A308&gt;='Control Room'!$A$16,$A308&lt;'Control Room'!$A$16+'Control Room'!$B$16,'Process'!BN5=1),1+('Control Room'!$C$16-1)*EXP(-0.5*(($A308-'Control Room'!$A$16-('Control Room'!$B$16-1)/2)/MAX(0.5,'Control Room'!$B$16/4))^2),1)</x:f>
        <x:v>1</x:v>
      </x:c>
      <x:c r="V308" s="9" t="n">
        <x:f>MOD(W307*16807,2147483647)</x:f>
        <x:v>1674340543</x:v>
      </x:c>
      <x:c r="W308" s="9" t="n">
        <x:f>MOD(V308*16807,2147483647)</x:f>
        <x:v>15795913</x:v>
      </x:c>
      <x:c r="X308" s="17" t="n">
        <x:f>IF('Control Room'!$B$5="Normal",'Control Room'!$B$7+'Control Room'!$D$7*SQRT(-2*LN(MAX(0.000000000001,V308/2147483647)))*COS(2*PI()*W308/2147483647),'Control Room'!$B$8+('Control Room'!$D$8-'Control Room'!$B$8)*V308/2147483647)</x:f>
        <x:v>1063.428762646394</x:v>
      </x:c>
      <x:c r="Y308" s="17" t="n">
        <x:f>IF('Control Room'!$B$5="Normal",'Control Room'!$B$7,('Control Room'!$B$8+'Control Room'!$D$8)/2)+'Control Room'!$B$9*(Y307-IF('Control Room'!$B$5="Normal",'Control Room'!$B$7,('Control Room'!$B$8+'Control Room'!$D$8)/2))+SQRT(1-'Control Room'!$B$9^2)*(X308-IF('Control Room'!$B$5="Normal",'Control Room'!$B$7,('Control Room'!$B$8+'Control Room'!$D$8)/2))</x:f>
        <x:v>989.3676481034591</x:v>
      </x:c>
      <x:c r="Z308" s="17" t="n">
        <x:f>IF(AND($A308&gt;='Control Room'!$A$13,$A308&lt;'Control Room'!$A$13+'Control Room'!$B$13,'Process'!BO2=1),1+('Control Room'!$C$13-1)*EXP(-0.5*(($A308-'Control Room'!$A$13-('Control Room'!$B$13-1)/2)/MAX(0.5,'Control Room'!$B$13/4))^2),1)*IF(AND($A308&gt;='Control Room'!$A$14,$A308&lt;'Control Room'!$A$14+'Control Room'!$B$14,'Process'!BO3=1),1+('Control Room'!$C$14-1)*EXP(-0.5*(($A308-'Control Room'!$A$14-('Control Room'!$B$14-1)/2)/MAX(0.5,'Control Room'!$B$14/4))^2),1)*IF(AND($A308&gt;='Control Room'!$A$15,$A308&lt;'Control Room'!$A$15+'Control Room'!$B$15,'Process'!BO4=1),1+('Control Room'!$C$15-1)*EXP(-0.5*(($A308-'Control Room'!$A$15-('Control Room'!$B$15-1)/2)/MAX(0.5,'Control Room'!$B$15/4))^2),1)*IF(AND($A308&gt;='Control Room'!$A$16,$A308&lt;'Control Room'!$A$16+'Control Room'!$B$16,'Process'!BO5=1),1+('Control Room'!$C$16-1)*EXP(-0.5*(($A308-'Control Room'!$A$16-('Control Room'!$B$16-1)/2)/MAX(0.5,'Control Room'!$B$16/4))^2),1)</x:f>
        <x:v>1</x:v>
      </x:c>
      <x:c r="AA308" s="9" t="n">
        <x:f>MOD(AB307*16807,2147483647)</x:f>
        <x:v>2106060849</x:v>
      </x:c>
      <x:c r="AB308" s="9" t="n">
        <x:f>MOD(AA308*16807,2147483647)</x:f>
        <x:v>1739219289</x:v>
      </x:c>
      <x:c r="AC308" s="17" t="n">
        <x:f>IF('Control Room'!$B$5="Normal",'Control Room'!$B$7+'Control Room'!$D$7*SQRT(-2*LN(MAX(0.000000000001,AA308/2147483647)))*COS(2*PI()*AB308/2147483647),'Control Room'!$B$8+('Control Room'!$D$8-'Control Room'!$B$8)*AA308/2147483647)</x:f>
        <x:v>1006.5273877966713</x:v>
      </x:c>
      <x:c r="AD308" s="17" t="n">
        <x:f>IF('Control Room'!$B$5="Normal",'Control Room'!$B$7,('Control Room'!$B$8+'Control Room'!$D$8)/2)+'Control Room'!$B$9*(AD307-IF('Control Room'!$B$5="Normal",'Control Room'!$B$7,('Control Room'!$B$8+'Control Room'!$D$8)/2))+SQRT(1-'Control Room'!$B$9^2)*(AC308-IF('Control Room'!$B$5="Normal",'Control Room'!$B$7,('Control Room'!$B$8+'Control Room'!$D$8)/2))</x:f>
        <x:v>837.148115990423</x:v>
      </x:c>
      <x:c r="AE308" s="17" t="n">
        <x:f>IF(AND($A308&gt;='Control Room'!$A$13,$A308&lt;'Control Room'!$A$13+'Control Room'!$B$13,'Process'!BP2=1),1+('Control Room'!$C$13-1)*EXP(-0.5*(($A308-'Control Room'!$A$13-('Control Room'!$B$13-1)/2)/MAX(0.5,'Control Room'!$B$13/4))^2),1)*IF(AND($A308&gt;='Control Room'!$A$14,$A308&lt;'Control Room'!$A$14+'Control Room'!$B$14,'Process'!BP3=1),1+('Control Room'!$C$14-1)*EXP(-0.5*(($A308-'Control Room'!$A$14-('Control Room'!$B$14-1)/2)/MAX(0.5,'Control Room'!$B$14/4))^2),1)*IF(AND($A308&gt;='Control Room'!$A$15,$A308&lt;'Control Room'!$A$15+'Control Room'!$B$15,'Process'!BP4=1),1+('Control Room'!$C$15-1)*EXP(-0.5*(($A308-'Control Room'!$A$15-('Control Room'!$B$15-1)/2)/MAX(0.5,'Control Room'!$B$15/4))^2),1)*IF(AND($A308&gt;='Control Room'!$A$16,$A308&lt;'Control Room'!$A$16+'Control Room'!$B$16,'Process'!BP5=1),1+('Control Room'!$C$16-1)*EXP(-0.5*(($A308-'Control Room'!$A$16-('Control Room'!$B$16-1)/2)/MAX(0.5,'Control Room'!$B$16/4))^2),1)</x:f>
        <x:v>1</x:v>
      </x:c>
      <x:c r="AF308" s="9" t="n">
        <x:f>MOD(AG307*16807,2147483647)</x:f>
        <x:v>390297508</x:v>
      </x:c>
      <x:c r="AG308" s="9" t="n">
        <x:f>MOD(AF308*16807,2147483647)</x:f>
        <x:v>1315159018</x:v>
      </x:c>
      <x:c r="AH308" s="17" t="n">
        <x:f>IF('Control Room'!$B$5="Normal",'Control Room'!$B$7+'Control Room'!$D$7*SQRT(-2*LN(MAX(0.000000000001,AF308/2147483647)))*COS(2*PI()*AG308/2147483647),'Control Room'!$B$8+('Control Room'!$D$8-'Control Room'!$B$8)*AF308/2147483647)</x:f>
        <x:v>873.5633711889848</x:v>
      </x:c>
      <x:c r="AI308" s="17" t="n">
        <x:f>IF('Control Room'!$B$5="Normal",'Control Room'!$B$7,('Control Room'!$B$8+'Control Room'!$D$8)/2)+'Control Room'!$B$9*(AI307-IF('Control Room'!$B$5="Normal",'Control Room'!$B$7,('Control Room'!$B$8+'Control Room'!$D$8)/2))+SQRT(1-'Control Room'!$B$9^2)*(AH308-IF('Control Room'!$B$5="Normal",'Control Room'!$B$7,('Control Room'!$B$8+'Control Room'!$D$8)/2))</x:f>
        <x:v>886.6661145467176</x:v>
      </x:c>
      <x:c r="AJ308" s="17" t="n">
        <x:f>IF(AND($A308&gt;='Control Room'!$A$13,$A308&lt;'Control Room'!$A$13+'Control Room'!$B$13,'Process'!BQ2=1),1+('Control Room'!$C$13-1)*EXP(-0.5*(($A308-'Control Room'!$A$13-('Control Room'!$B$13-1)/2)/MAX(0.5,'Control Room'!$B$13/4))^2),1)*IF(AND($A308&gt;='Control Room'!$A$14,$A308&lt;'Control Room'!$A$14+'Control Room'!$B$14,'Process'!BQ3=1),1+('Control Room'!$C$14-1)*EXP(-0.5*(($A308-'Control Room'!$A$14-('Control Room'!$B$14-1)/2)/MAX(0.5,'Control Room'!$B$14/4))^2),1)*IF(AND($A308&gt;='Control Room'!$A$15,$A308&lt;'Control Room'!$A$15+'Control Room'!$B$15,'Process'!BQ4=1),1+('Control Room'!$C$15-1)*EXP(-0.5*(($A308-'Control Room'!$A$15-('Control Room'!$B$15-1)/2)/MAX(0.5,'Control Room'!$B$15/4))^2),1)*IF(AND($A308&gt;='Control Room'!$A$16,$A308&lt;'Control Room'!$A$16+'Control Room'!$B$16,'Process'!BQ5=1),1+('Control Room'!$C$16-1)*EXP(-0.5*(($A308-'Control Room'!$A$16-('Control Room'!$B$16-1)/2)/MAX(0.5,'Control Room'!$B$16/4))^2),1)</x:f>
        <x:v>1</x:v>
      </x:c>
      <x:c r="AK308" s="9" t="n">
        <x:f>MOD(AL307*16807,2147483647)</x:f>
        <x:v>822017814</x:v>
      </x:c>
      <x:c r="AL308" s="9" t="n">
        <x:f>MOD(AK308*16807,2147483647)</x:f>
        <x:v>891098747</x:v>
      </x:c>
      <x:c r="AM308" s="17" t="n">
        <x:f>IF('Control Room'!$B$5="Normal",'Control Room'!$B$7+'Control Room'!$D$7*SQRT(-2*LN(MAX(0.000000000001,AK308/2147483647)))*COS(2*PI()*AL308/2147483647),'Control Room'!$B$8+('Control Room'!$D$8-'Control Room'!$B$8)*AK308/2147483647)</x:f>
        <x:v>892.66254311629</x:v>
      </x:c>
      <x:c r="AN308" s="17" t="n">
        <x:f>IF('Control Room'!$B$5="Normal",'Control Room'!$B$7,('Control Room'!$B$8+'Control Room'!$D$8)/2)+'Control Room'!$B$9*(AN307-IF('Control Room'!$B$5="Normal",'Control Room'!$B$7,('Control Room'!$B$8+'Control Room'!$D$8)/2))+SQRT(1-'Control Room'!$B$9^2)*(AM308-IF('Control Room'!$B$5="Normal",'Control Room'!$B$7,('Control Room'!$B$8+'Control Room'!$D$8)/2))</x:f>
        <x:v>897.2194083980321</x:v>
      </x:c>
      <x:c r="AO308" s="17" t="n">
        <x:f>IF(AND($A308&gt;='Control Room'!$A$13,$A308&lt;'Control Room'!$A$13+'Control Room'!$B$13,'Process'!BR2=1),1+('Control Room'!$C$13-1)*EXP(-0.5*(($A308-'Control Room'!$A$13-('Control Room'!$B$13-1)/2)/MAX(0.5,'Control Room'!$B$13/4))^2),1)*IF(AND($A308&gt;='Control Room'!$A$14,$A308&lt;'Control Room'!$A$14+'Control Room'!$B$14,'Process'!BR3=1),1+('Control Room'!$C$14-1)*EXP(-0.5*(($A308-'Control Room'!$A$14-('Control Room'!$B$14-1)/2)/MAX(0.5,'Control Room'!$B$14/4))^2),1)*IF(AND($A308&gt;='Control Room'!$A$15,$A308&lt;'Control Room'!$A$15+'Control Room'!$B$15,'Process'!BR4=1),1+('Control Room'!$C$15-1)*EXP(-0.5*(($A308-'Control Room'!$A$15-('Control Room'!$B$15-1)/2)/MAX(0.5,'Control Room'!$B$15/4))^2),1)*IF(AND($A308&gt;='Control Room'!$A$16,$A308&lt;'Control Room'!$A$16+'Control Room'!$B$16,'Process'!BR5=1),1+('Control Room'!$C$16-1)*EXP(-0.5*(($A308-'Control Room'!$A$16-('Control Room'!$B$16-1)/2)/MAX(0.5,'Control Room'!$B$16/4))^2),1)</x:f>
        <x:v>1</x:v>
      </x:c>
      <x:c r="AP308" s="9" t="n">
        <x:f>MOD(AQ307*16807,2147483647)</x:f>
        <x:v>1253738120</x:v>
      </x:c>
      <x:c r="AQ308" s="9" t="n">
        <x:f>MOD(AP308*16807,2147483647)</x:f>
        <x:v>467038476</x:v>
      </x:c>
      <x:c r="AR308" s="17" t="n">
        <x:f>IF('Control Room'!$B$5="Normal",'Control Room'!$B$7+'Control Room'!$D$7*SQRT(-2*LN(MAX(0.000000000001,AP308/2147483647)))*COS(2*PI()*AQ308/2147483647),'Control Room'!$B$8+('Control Room'!$D$8-'Control Room'!$B$8)*AP308/2147483647)</x:f>
        <x:v>1018.9451223533625</x:v>
      </x:c>
      <x:c r="AS308" s="17" t="n">
        <x:f>IF('Control Room'!$B$5="Normal",'Control Room'!$B$7,('Control Room'!$B$8+'Control Room'!$D$8)/2)+'Control Room'!$B$9*(AS307-IF('Control Room'!$B$5="Normal",'Control Room'!$B$7,('Control Room'!$B$8+'Control Room'!$D$8)/2))+SQRT(1-'Control Room'!$B$9^2)*(AR308-IF('Control Room'!$B$5="Normal",'Control Room'!$B$7,('Control Room'!$B$8+'Control Room'!$D$8)/2))</x:f>
        <x:v>992.1323836074745</x:v>
      </x:c>
      <x:c r="AT308" s="17" t="n">
        <x:f>IF(AND($A308&gt;='Control Room'!$A$13,$A308&lt;'Control Room'!$A$13+'Control Room'!$B$13,'Process'!BS2=1),1+('Control Room'!$C$13-1)*EXP(-0.5*(($A308-'Control Room'!$A$13-('Control Room'!$B$13-1)/2)/MAX(0.5,'Control Room'!$B$13/4))^2),1)*IF(AND($A308&gt;='Control Room'!$A$14,$A308&lt;'Control Room'!$A$14+'Control Room'!$B$14,'Process'!BS3=1),1+('Control Room'!$C$14-1)*EXP(-0.5*(($A308-'Control Room'!$A$14-('Control Room'!$B$14-1)/2)/MAX(0.5,'Control Room'!$B$14/4))^2),1)*IF(AND($A308&gt;='Control Room'!$A$15,$A308&lt;'Control Room'!$A$15+'Control Room'!$B$15,'Process'!BS4=1),1+('Control Room'!$C$15-1)*EXP(-0.5*(($A308-'Control Room'!$A$15-('Control Room'!$B$15-1)/2)/MAX(0.5,'Control Room'!$B$15/4))^2),1)*IF(AND($A308&gt;='Control Room'!$A$16,$A308&lt;'Control Room'!$A$16+'Control Room'!$B$16,'Process'!BS5=1),1+('Control Room'!$C$16-1)*EXP(-0.5*(($A308-'Control Room'!$A$16-('Control Room'!$B$16-1)/2)/MAX(0.5,'Control Room'!$B$16/4))^2),1)</x:f>
        <x:v>1</x:v>
      </x:c>
      <x:c r="AU308" s="9" t="n">
        <x:f>MOD(AV307*16807,2147483647)</x:f>
        <x:v>1685458426</x:v>
      </x:c>
      <x:c r="AV308" s="9" t="n">
        <x:f>MOD(AU308*16807,2147483647)</x:f>
        <x:v>42978205</x:v>
      </x:c>
      <x:c r="AW308" s="17" t="n">
        <x:f>IF('Control Room'!$B$5="Normal",'Control Room'!$B$7+'Control Room'!$D$7*SQRT(-2*LN(MAX(0.000000000001,AU308/2147483647)))*COS(2*PI()*AV308/2147483647),'Control Room'!$B$8+('Control Room'!$D$8-'Control Room'!$B$8)*AU308/2147483647)</x:f>
        <x:v>1062.151973531008</x:v>
      </x:c>
      <x:c r="AX308" s="17" t="n">
        <x:f>IF('Control Room'!$B$5="Normal",'Control Room'!$B$7,('Control Room'!$B$8+'Control Room'!$D$8)/2)+'Control Room'!$B$9*(AX307-IF('Control Room'!$B$5="Normal",'Control Room'!$B$7,('Control Room'!$B$8+'Control Room'!$D$8)/2))+SQRT(1-'Control Room'!$B$9^2)*(AW308-IF('Control Room'!$B$5="Normal",'Control Room'!$B$7,('Control Room'!$B$8+'Control Room'!$D$8)/2))</x:f>
        <x:v>1114.2715652013376</x:v>
      </x:c>
      <x:c r="AY308" s="17" t="n">
        <x:f>IF(AND($A308&gt;='Control Room'!$A$13,$A308&lt;'Control Room'!$A$13+'Control Room'!$B$13,'Process'!BT2=1),1+('Control Room'!$C$13-1)*EXP(-0.5*(($A308-'Control Room'!$A$13-('Control Room'!$B$13-1)/2)/MAX(0.5,'Control Room'!$B$13/4))^2),1)*IF(AND($A308&gt;='Control Room'!$A$14,$A308&lt;'Control Room'!$A$14+'Control Room'!$B$14,'Process'!BT3=1),1+('Control Room'!$C$14-1)*EXP(-0.5*(($A308-'Control Room'!$A$14-('Control Room'!$B$14-1)/2)/MAX(0.5,'Control Room'!$B$14/4))^2),1)*IF(AND($A308&gt;='Control Room'!$A$15,$A308&lt;'Control Room'!$A$15+'Control Room'!$B$15,'Process'!BT4=1),1+('Control Room'!$C$15-1)*EXP(-0.5*(($A308-'Control Room'!$A$15-('Control Room'!$B$15-1)/2)/MAX(0.5,'Control Room'!$B$15/4))^2),1)*IF(AND($A308&gt;='Control Room'!$A$16,$A308&lt;'Control Room'!$A$16+'Control Room'!$B$16,'Process'!BT5=1),1+('Control Room'!$C$16-1)*EXP(-0.5*(($A308-'Control Room'!$A$16-('Control Room'!$B$16-1)/2)/MAX(0.5,'Control Room'!$B$16/4))^2),1)</x:f>
        <x:v>1</x:v>
      </x:c>
      <x:c r="AZ308" s="9" t="n">
        <x:f>MOD(BA307*16807,2147483647)</x:f>
        <x:v>2117178732</x:v>
      </x:c>
      <x:c r="BA308" s="9" t="n">
        <x:f>MOD(AZ308*16807,2147483647)</x:f>
        <x:v>1766401581</x:v>
      </x:c>
      <x:c r="BB308" s="17" t="n">
        <x:f>IF('Control Room'!$B$5="Normal",'Control Room'!$B$7+'Control Room'!$D$7*SQRT(-2*LN(MAX(0.000000000001,AZ308/2147483647)))*COS(2*PI()*BA308/2147483647),'Control Room'!$B$8+('Control Room'!$D$8-'Control Room'!$B$8)*AZ308/2147483647)</x:f>
        <x:v>1006.6793260100285</x:v>
      </x:c>
      <x:c r="BC308" s="17" t="n">
        <x:f>IF('Control Room'!$B$5="Normal",'Control Room'!$B$7,('Control Room'!$B$8+'Control Room'!$D$8)/2)+'Control Room'!$B$9*(BC307-IF('Control Room'!$B$5="Normal",'Control Room'!$B$7,('Control Room'!$B$8+'Control Room'!$D$8)/2))+SQRT(1-'Control Room'!$B$9^2)*(BB308-IF('Control Room'!$B$5="Normal",'Control Room'!$B$7,('Control Room'!$B$8+'Control Room'!$D$8)/2))</x:f>
        <x:v>991.7690895279264</x:v>
      </x:c>
      <x:c r="BD308" s="17" t="n">
        <x:f>IF(AND($A308&gt;='Control Room'!$A$13,$A308&lt;'Control Room'!$A$13+'Control Room'!$B$13,'Process'!BU2=1),1+('Control Room'!$C$13-1)*EXP(-0.5*(($A308-'Control Room'!$A$13-('Control Room'!$B$13-1)/2)/MAX(0.5,'Control Room'!$B$13/4))^2),1)*IF(AND($A308&gt;='Control Room'!$A$14,$A308&lt;'Control Room'!$A$14+'Control Room'!$B$14,'Process'!BU3=1),1+('Control Room'!$C$14-1)*EXP(-0.5*(($A308-'Control Room'!$A$14-('Control Room'!$B$14-1)/2)/MAX(0.5,'Control Room'!$B$14/4))^2),1)*IF(AND($A308&gt;='Control Room'!$A$15,$A308&lt;'Control Room'!$A$15+'Control Room'!$B$15,'Process'!BU4=1),1+('Control Room'!$C$15-1)*EXP(-0.5*(($A308-'Control Room'!$A$15-('Control Room'!$B$15-1)/2)/MAX(0.5,'Control Room'!$B$15/4))^2),1)*IF(AND($A308&gt;='Control Room'!$A$16,$A308&lt;'Control Room'!$A$16+'Control Room'!$B$16,'Process'!BU5=1),1+('Control Room'!$C$16-1)*EXP(-0.5*(($A308-'Control Room'!$A$16-('Control Room'!$B$16-1)/2)/MAX(0.5,'Control Room'!$B$16/4))^2),1)</x:f>
        <x:v>1</x:v>
      </x:c>
      <x:c r="BE308" s="9" t="n">
        <x:f>MOD(BF307*16807,2147483647)</x:f>
        <x:v>401415391</x:v>
      </x:c>
      <x:c r="BF308" s="9" t="n">
        <x:f>MOD(BE308*16807,2147483647)</x:f>
        <x:v>1342341310</x:v>
      </x:c>
      <x:c r="BG308" s="17" t="n">
        <x:f>IF('Control Room'!$B$5="Normal",'Control Room'!$B$7+'Control Room'!$D$7*SQRT(-2*LN(MAX(0.000000000001,BE308/2147483647)))*COS(2*PI()*BF308/2147483647),'Control Room'!$B$8+('Control Room'!$D$8-'Control Room'!$B$8)*BE308/2147483647)</x:f>
        <x:v>883.5048978847769</x:v>
      </x:c>
      <x:c r="BH308" s="17" t="n">
        <x:f>IF('Control Room'!$B$5="Normal",'Control Room'!$B$7,('Control Room'!$B$8+'Control Room'!$D$8)/2)+'Control Room'!$B$9*(BH307-IF('Control Room'!$B$5="Normal",'Control Room'!$B$7,('Control Room'!$B$8+'Control Room'!$D$8)/2))+SQRT(1-'Control Room'!$B$9^2)*(BG308-IF('Control Room'!$B$5="Normal",'Control Room'!$B$7,('Control Room'!$B$8+'Control Room'!$D$8)/2))</x:f>
        <x:v>925.7027406596769</x:v>
      </x:c>
      <x:c r="BI308" s="17" t="n">
        <x:f>IF(AND($A308&gt;='Control Room'!$A$13,$A308&lt;'Control Room'!$A$13+'Control Room'!$B$13,'Process'!BV2=1),1+('Control Room'!$C$13-1)*EXP(-0.5*(($A308-'Control Room'!$A$13-('Control Room'!$B$13-1)/2)/MAX(0.5,'Control Room'!$B$13/4))^2),1)*IF(AND($A308&gt;='Control Room'!$A$14,$A308&lt;'Control Room'!$A$14+'Control Room'!$B$14,'Process'!BV3=1),1+('Control Room'!$C$14-1)*EXP(-0.5*(($A308-'Control Room'!$A$14-('Control Room'!$B$14-1)/2)/MAX(0.5,'Control Room'!$B$14/4))^2),1)*IF(AND($A308&gt;='Control Room'!$A$15,$A308&lt;'Control Room'!$A$15+'Control Room'!$B$15,'Process'!BV4=1),1+('Control Room'!$C$15-1)*EXP(-0.5*(($A308-'Control Room'!$A$15-('Control Room'!$B$15-1)/2)/MAX(0.5,'Control Room'!$B$15/4))^2),1)*IF(AND($A308&gt;='Control Room'!$A$16,$A308&lt;'Control Room'!$A$16+'Control Room'!$B$16,'Process'!BV5=1),1+('Control Room'!$C$16-1)*EXP(-0.5*(($A308-'Control Room'!$A$16-('Control Room'!$B$16-1)/2)/MAX(0.5,'Control Room'!$B$16/4))^2),1)</x:f>
        <x:v>1</x:v>
      </x:c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Z308" t="str">
        <x:f>IF('Data'!A308="","",TEXT('Data'!A308,"mm-dd"))</x:f>
      </x:c>
    </x:row>
    <x:row r="309" ht="21" customHeight="1">
      <x:c r="A309" s="15" t="n">
        <x:f>'Control Room'!$B$1+307</x:f>
        <x:v>73298</x:v>
      </x:c>
      <x:c r="B309" s="9" t="n">
        <x:f>MOD(C308*16807,2147483647)</x:f>
        <x:v>72422426</x:v>
      </x:c>
      <x:c r="C309" s="9" t="n">
        <x:f>MOD(B309*16807,2147483647)</x:f>
        <x:v>1727969580</x:v>
      </x:c>
      <x:c r="D309" s="17" t="n">
        <x:f>IF('Control Room'!$B$5="Normal",'Control Room'!$B$7+'Control Room'!$D$7*SQRT(-2*LN(MAX(0.000000000001,B309/2147483647)))*COS(2*PI()*C309/2147483647),'Control Room'!$B$8+('Control Room'!$D$8-'Control Room'!$B$8)*B309/2147483647)</x:f>
        <x:v>1078.8893402579718</x:v>
      </x:c>
      <x:c r="E309" s="17" t="n">
        <x:f>IF('Control Room'!$B$5="Normal",'Control Room'!$B$7,('Control Room'!$B$8+'Control Room'!$D$8)/2)+'Control Room'!$B$9*(E308-IF('Control Room'!$B$5="Normal",'Control Room'!$B$7,('Control Room'!$B$8+'Control Room'!$D$8)/2))+SQRT(1-'Control Room'!$B$9^2)*(D309-IF('Control Room'!$B$5="Normal",'Control Room'!$B$7,('Control Room'!$B$8+'Control Room'!$D$8)/2))</x:f>
        <x:v>1034.1313037372431</x:v>
      </x:c>
      <x:c r="F309" s="17" t="n">
        <x:f>IF(AND($A309&gt;='Control Room'!$A$13,$A309&lt;'Control Room'!$A$13+'Control Room'!$B$13,'Process'!BK2=1),1+('Control Room'!$C$13-1)*EXP(-0.5*(($A309-'Control Room'!$A$13-('Control Room'!$B$13-1)/2)/MAX(0.5,'Control Room'!$B$13/4))^2),1)*IF(AND($A309&gt;='Control Room'!$A$14,$A309&lt;'Control Room'!$A$14+'Control Room'!$B$14,'Process'!BK3=1),1+('Control Room'!$C$14-1)*EXP(-0.5*(($A309-'Control Room'!$A$14-('Control Room'!$B$14-1)/2)/MAX(0.5,'Control Room'!$B$14/4))^2),1)*IF(AND($A309&gt;='Control Room'!$A$15,$A309&lt;'Control Room'!$A$15+'Control Room'!$B$15,'Process'!BK4=1),1+('Control Room'!$C$15-1)*EXP(-0.5*(($A309-'Control Room'!$A$15-('Control Room'!$B$15-1)/2)/MAX(0.5,'Control Room'!$B$15/4))^2),1)*IF(AND($A309&gt;='Control Room'!$A$16,$A309&lt;'Control Room'!$A$16+'Control Room'!$B$16,'Process'!BK5=1),1+('Control Room'!$C$16-1)*EXP(-0.5*(($A309-'Control Room'!$A$16-('Control Room'!$B$16-1)/2)/MAX(0.5,'Control Room'!$B$16/4))^2),1)</x:f>
        <x:v>1</x:v>
      </x:c>
      <x:c r="G309" s="9" t="n">
        <x:f>MOD(H308*16807,2147483647)</x:f>
        <x:v>389672122</x:v>
      </x:c>
      <x:c r="H309" s="9" t="n">
        <x:f>MOD(G309*16807,2147483647)</x:f>
        <x:v>1541714751</x:v>
      </x:c>
      <x:c r="I309" s="17" t="n">
        <x:f>IF('Control Room'!$B$5="Normal",'Control Room'!$B$7+'Control Room'!$D$7*SQRT(-2*LN(MAX(0.000000000001,G309/2147483647)))*COS(2*PI()*H309/2147483647),'Control Room'!$B$8+('Control Room'!$D$8-'Control Room'!$B$8)*G309/2147483647)</x:f>
        <x:v>966.7069809521037</x:v>
      </x:c>
      <x:c r="J309" s="17" t="n">
        <x:f>IF('Control Room'!$B$5="Normal",'Control Room'!$B$7,('Control Room'!$B$8+'Control Room'!$D$8)/2)+'Control Room'!$B$9*(J308-IF('Control Room'!$B$5="Normal",'Control Room'!$B$7,('Control Room'!$B$8+'Control Room'!$D$8)/2))+SQRT(1-'Control Room'!$B$9^2)*(I309-IF('Control Room'!$B$5="Normal",'Control Room'!$B$7,('Control Room'!$B$8+'Control Room'!$D$8)/2))</x:f>
        <x:v>899.2919741029261</x:v>
      </x:c>
      <x:c r="K309" s="17" t="n">
        <x:f>IF(AND($A309&gt;='Control Room'!$A$13,$A309&lt;'Control Room'!$A$13+'Control Room'!$B$13,'Process'!BL2=1),1+('Control Room'!$C$13-1)*EXP(-0.5*(($A309-'Control Room'!$A$13-('Control Room'!$B$13-1)/2)/MAX(0.5,'Control Room'!$B$13/4))^2),1)*IF(AND($A309&gt;='Control Room'!$A$14,$A309&lt;'Control Room'!$A$14+'Control Room'!$B$14,'Process'!BL3=1),1+('Control Room'!$C$14-1)*EXP(-0.5*(($A309-'Control Room'!$A$14-('Control Room'!$B$14-1)/2)/MAX(0.5,'Control Room'!$B$14/4))^2),1)*IF(AND($A309&gt;='Control Room'!$A$15,$A309&lt;'Control Room'!$A$15+'Control Room'!$B$15,'Process'!BL4=1),1+('Control Room'!$C$15-1)*EXP(-0.5*(($A309-'Control Room'!$A$15-('Control Room'!$B$15-1)/2)/MAX(0.5,'Control Room'!$B$15/4))^2),1)*IF(AND($A309&gt;='Control Room'!$A$16,$A309&lt;'Control Room'!$A$16+'Control Room'!$B$16,'Process'!BL5=1),1+('Control Room'!$C$16-1)*EXP(-0.5*(($A309-'Control Room'!$A$16-('Control Room'!$B$16-1)/2)/MAX(0.5,'Control Room'!$B$16/4))^2),1)</x:f>
        <x:v>1</x:v>
      </x:c>
      <x:c r="L309" s="9" t="n">
        <x:f>MOD(M308*16807,2147483647)</x:f>
        <x:v>706921818</x:v>
      </x:c>
      <x:c r="M309" s="9" t="n">
        <x:f>MOD(L309*16807,2147483647)</x:f>
        <x:v>1355459922</x:v>
      </x:c>
      <x:c r="N309" s="17" t="n">
        <x:f>IF('Control Room'!$B$5="Normal",'Control Room'!$B$7+'Control Room'!$D$7*SQRT(-2*LN(MAX(0.000000000001,L309/2147483647)))*COS(2*PI()*M309/2147483647),'Control Room'!$B$8+('Control Room'!$D$8-'Control Room'!$B$8)*L309/2147483647)</x:f>
        <x:v>908.8883714402795</x:v>
      </x:c>
      <x:c r="O309" s="17" t="n">
        <x:f>IF('Control Room'!$B$5="Normal",'Control Room'!$B$7,('Control Room'!$B$8+'Control Room'!$D$8)/2)+'Control Room'!$B$9*(O308-IF('Control Room'!$B$5="Normal",'Control Room'!$B$7,('Control Room'!$B$8+'Control Room'!$D$8)/2))+SQRT(1-'Control Room'!$B$9^2)*(N309-IF('Control Room'!$B$5="Normal",'Control Room'!$B$7,('Control Room'!$B$8+'Control Room'!$D$8)/2))</x:f>
        <x:v>874.5997390914265</x:v>
      </x:c>
      <x:c r="P309" s="17" t="n">
        <x:f>IF(AND($A309&gt;='Control Room'!$A$13,$A309&lt;'Control Room'!$A$13+'Control Room'!$B$13,'Process'!BM2=1),1+('Control Room'!$C$13-1)*EXP(-0.5*(($A309-'Control Room'!$A$13-('Control Room'!$B$13-1)/2)/MAX(0.5,'Control Room'!$B$13/4))^2),1)*IF(AND($A309&gt;='Control Room'!$A$14,$A309&lt;'Control Room'!$A$14+'Control Room'!$B$14,'Process'!BM3=1),1+('Control Room'!$C$14-1)*EXP(-0.5*(($A309-'Control Room'!$A$14-('Control Room'!$B$14-1)/2)/MAX(0.5,'Control Room'!$B$14/4))^2),1)*IF(AND($A309&gt;='Control Room'!$A$15,$A309&lt;'Control Room'!$A$15+'Control Room'!$B$15,'Process'!BM4=1),1+('Control Room'!$C$15-1)*EXP(-0.5*(($A309-'Control Room'!$A$15-('Control Room'!$B$15-1)/2)/MAX(0.5,'Control Room'!$B$15/4))^2),1)*IF(AND($A309&gt;='Control Room'!$A$16,$A309&lt;'Control Room'!$A$16+'Control Room'!$B$16,'Process'!BM5=1),1+('Control Room'!$C$16-1)*EXP(-0.5*(($A309-'Control Room'!$A$16-('Control Room'!$B$16-1)/2)/MAX(0.5,'Control Room'!$B$16/4))^2),1)</x:f>
        <x:v>1</x:v>
      </x:c>
      <x:c r="Q309" s="9" t="n">
        <x:f>MOD(R308*16807,2147483647)</x:f>
        <x:v>1024171514</x:v>
      </x:c>
      <x:c r="R309" s="9" t="n">
        <x:f>MOD(Q309*16807,2147483647)</x:f>
        <x:v>1169205093</x:v>
      </x:c>
      <x:c r="S309" s="17" t="n">
        <x:f>IF('Control Room'!$B$5="Normal",'Control Room'!$B$7+'Control Room'!$D$7*SQRT(-2*LN(MAX(0.000000000001,Q309/2147483647)))*COS(2*PI()*R309/2147483647),'Control Room'!$B$8+('Control Room'!$D$8-'Control Room'!$B$8)*Q309/2147483647)</x:f>
        <x:v>894.7240995026334</x:v>
      </x:c>
      <x:c r="T309" s="17" t="n">
        <x:f>IF('Control Room'!$B$5="Normal",'Control Room'!$B$7,('Control Room'!$B$8+'Control Room'!$D$8)/2)+'Control Room'!$B$9*(T308-IF('Control Room'!$B$5="Normal",'Control Room'!$B$7,('Control Room'!$B$8+'Control Room'!$D$8)/2))+SQRT(1-'Control Room'!$B$9^2)*(S309-IF('Control Room'!$B$5="Normal",'Control Room'!$B$7,('Control Room'!$B$8+'Control Room'!$D$8)/2))</x:f>
        <x:v>919.8837495974425</x:v>
      </x:c>
      <x:c r="U309" s="17" t="n">
        <x:f>IF(AND($A309&gt;='Control Room'!$A$13,$A309&lt;'Control Room'!$A$13+'Control Room'!$B$13,'Process'!BN2=1),1+('Control Room'!$C$13-1)*EXP(-0.5*(($A309-'Control Room'!$A$13-('Control Room'!$B$13-1)/2)/MAX(0.5,'Control Room'!$B$13/4))^2),1)*IF(AND($A309&gt;='Control Room'!$A$14,$A309&lt;'Control Room'!$A$14+'Control Room'!$B$14,'Process'!BN3=1),1+('Control Room'!$C$14-1)*EXP(-0.5*(($A309-'Control Room'!$A$14-('Control Room'!$B$14-1)/2)/MAX(0.5,'Control Room'!$B$14/4))^2),1)*IF(AND($A309&gt;='Control Room'!$A$15,$A309&lt;'Control Room'!$A$15+'Control Room'!$B$15,'Process'!BN4=1),1+('Control Room'!$C$15-1)*EXP(-0.5*(($A309-'Control Room'!$A$15-('Control Room'!$B$15-1)/2)/MAX(0.5,'Control Room'!$B$15/4))^2),1)*IF(AND($A309&gt;='Control Room'!$A$16,$A309&lt;'Control Room'!$A$16+'Control Room'!$B$16,'Process'!BN5=1),1+('Control Room'!$C$16-1)*EXP(-0.5*(($A309-'Control Room'!$A$16-('Control Room'!$B$16-1)/2)/MAX(0.5,'Control Room'!$B$16/4))^2),1)</x:f>
        <x:v>1</x:v>
      </x:c>
      <x:c r="V309" s="9" t="n">
        <x:f>MOD(W308*16807,2147483647)</x:f>
        <x:v>1341421210</x:v>
      </x:c>
      <x:c r="W309" s="9" t="n">
        <x:f>MOD(V309*16807,2147483647)</x:f>
        <x:v>982950264</x:v>
      </x:c>
      <x:c r="X309" s="17" t="n">
        <x:f>IF('Control Room'!$B$5="Normal",'Control Room'!$B$7+'Control Room'!$D$7*SQRT(-2*LN(MAX(0.000000000001,V309/2147483647)))*COS(2*PI()*W309/2147483647),'Control Room'!$B$8+('Control Room'!$D$8-'Control Room'!$B$8)*V309/2147483647)</x:f>
        <x:v>915.7516199422507</x:v>
      </x:c>
      <x:c r="Y309" s="17" t="n">
        <x:f>IF('Control Room'!$B$5="Normal",'Control Room'!$B$7,('Control Room'!$B$8+'Control Room'!$D$8)/2)+'Control Room'!$B$9*(Y308-IF('Control Room'!$B$5="Normal",'Control Room'!$B$7,('Control Room'!$B$8+'Control Room'!$D$8)/2))+SQRT(1-'Control Room'!$B$9^2)*(X309-IF('Control Room'!$B$5="Normal",'Control Room'!$B$7,('Control Room'!$B$8+'Control Room'!$D$8)/2))</x:f>
        <x:v>938.9858552024364</x:v>
      </x:c>
      <x:c r="Z309" s="17" t="n">
        <x:f>IF(AND($A309&gt;='Control Room'!$A$13,$A309&lt;'Control Room'!$A$13+'Control Room'!$B$13,'Process'!BO2=1),1+('Control Room'!$C$13-1)*EXP(-0.5*(($A309-'Control Room'!$A$13-('Control Room'!$B$13-1)/2)/MAX(0.5,'Control Room'!$B$13/4))^2),1)*IF(AND($A309&gt;='Control Room'!$A$14,$A309&lt;'Control Room'!$A$14+'Control Room'!$B$14,'Process'!BO3=1),1+('Control Room'!$C$14-1)*EXP(-0.5*(($A309-'Control Room'!$A$14-('Control Room'!$B$14-1)/2)/MAX(0.5,'Control Room'!$B$14/4))^2),1)*IF(AND($A309&gt;='Control Room'!$A$15,$A309&lt;'Control Room'!$A$15+'Control Room'!$B$15,'Process'!BO4=1),1+('Control Room'!$C$15-1)*EXP(-0.5*(($A309-'Control Room'!$A$15-('Control Room'!$B$15-1)/2)/MAX(0.5,'Control Room'!$B$15/4))^2),1)*IF(AND($A309&gt;='Control Room'!$A$16,$A309&lt;'Control Room'!$A$16+'Control Room'!$B$16,'Process'!BO5=1),1+('Control Room'!$C$16-1)*EXP(-0.5*(($A309-'Control Room'!$A$16-('Control Room'!$B$16-1)/2)/MAX(0.5,'Control Room'!$B$16/4))^2),1)</x:f>
        <x:v>1</x:v>
      </x:c>
      <x:c r="AA309" s="9" t="n">
        <x:f>MOD(AB308*16807,2147483647)</x:f>
        <x:v>1658670906</x:v>
      </x:c>
      <x:c r="AB309" s="9" t="n">
        <x:f>MOD(AA309*16807,2147483647)</x:f>
        <x:v>796695435</x:v>
      </x:c>
      <x:c r="AC309" s="17" t="n">
        <x:f>IF('Control Room'!$B$5="Normal",'Control Room'!$B$7+'Control Room'!$D$7*SQRT(-2*LN(MAX(0.000000000001,AA309/2147483647)))*COS(2*PI()*AB309/2147483647),'Control Room'!$B$8+('Control Room'!$D$8-'Control Room'!$B$8)*AA309/2147483647)</x:f>
        <x:v>955.4276117821246</x:v>
      </x:c>
      <x:c r="AD309" s="17" t="n">
        <x:f>IF('Control Room'!$B$5="Normal",'Control Room'!$B$7,('Control Room'!$B$8+'Control Room'!$D$8)/2)+'Control Room'!$B$9*(AD308-IF('Control Room'!$B$5="Normal",'Control Room'!$B$7,('Control Room'!$B$8+'Control Room'!$D$8)/2))+SQRT(1-'Control Room'!$B$9^2)*(AC309-IF('Control Room'!$B$5="Normal",'Control Room'!$B$7,('Control Room'!$B$8+'Control Room'!$D$8)/2))</x:f>
        <x:v>845.0830430407884</x:v>
      </x:c>
      <x:c r="AE309" s="17" t="n">
        <x:f>IF(AND($A309&gt;='Control Room'!$A$13,$A309&lt;'Control Room'!$A$13+'Control Room'!$B$13,'Process'!BP2=1),1+('Control Room'!$C$13-1)*EXP(-0.5*(($A309-'Control Room'!$A$13-('Control Room'!$B$13-1)/2)/MAX(0.5,'Control Room'!$B$13/4))^2),1)*IF(AND($A309&gt;='Control Room'!$A$14,$A309&lt;'Control Room'!$A$14+'Control Room'!$B$14,'Process'!BP3=1),1+('Control Room'!$C$14-1)*EXP(-0.5*(($A309-'Control Room'!$A$14-('Control Room'!$B$14-1)/2)/MAX(0.5,'Control Room'!$B$14/4))^2),1)*IF(AND($A309&gt;='Control Room'!$A$15,$A309&lt;'Control Room'!$A$15+'Control Room'!$B$15,'Process'!BP4=1),1+('Control Room'!$C$15-1)*EXP(-0.5*(($A309-'Control Room'!$A$15-('Control Room'!$B$15-1)/2)/MAX(0.5,'Control Room'!$B$15/4))^2),1)*IF(AND($A309&gt;='Control Room'!$A$16,$A309&lt;'Control Room'!$A$16+'Control Room'!$B$16,'Process'!BP5=1),1+('Control Room'!$C$16-1)*EXP(-0.5*(($A309-'Control Room'!$A$16-('Control Room'!$B$16-1)/2)/MAX(0.5,'Control Room'!$B$16/4))^2),1)</x:f>
        <x:v>1</x:v>
      </x:c>
      <x:c r="AF309" s="9" t="n">
        <x:f>MOD(AG308*16807,2147483647)</x:f>
        <x:v>1975920602</x:v>
      </x:c>
      <x:c r="AG309" s="9" t="n">
        <x:f>MOD(AF309*16807,2147483647)</x:f>
        <x:v>610440606</x:v>
      </x:c>
      <x:c r="AH309" s="17" t="n">
        <x:f>IF('Control Room'!$B$5="Normal",'Control Room'!$B$7+'Control Room'!$D$7*SQRT(-2*LN(MAX(0.000000000001,AF309/2147483647)))*COS(2*PI()*AG309/2147483647),'Control Room'!$B$8+('Control Room'!$D$8-'Control Room'!$B$8)*AF309/2147483647)</x:f>
        <x:v>992.1553815139924</x:v>
      </x:c>
      <x:c r="AI309" s="17" t="n">
        <x:f>IF('Control Room'!$B$5="Normal",'Control Room'!$B$7,('Control Room'!$B$8+'Control Room'!$D$8)/2)+'Control Room'!$B$9*(AI308-IF('Control Room'!$B$5="Normal",'Control Room'!$B$7,('Control Room'!$B$8+'Control Room'!$D$8)/2))+SQRT(1-'Control Room'!$B$9^2)*(AH309-IF('Control Room'!$B$5="Normal",'Control Room'!$B$7,('Control Room'!$B$8+'Control Room'!$D$8)/2))</x:f>
        <x:v>906.690567803641</x:v>
      </x:c>
      <x:c r="AJ309" s="17" t="n">
        <x:f>IF(AND($A309&gt;='Control Room'!$A$13,$A309&lt;'Control Room'!$A$13+'Control Room'!$B$13,'Process'!BQ2=1),1+('Control Room'!$C$13-1)*EXP(-0.5*(($A309-'Control Room'!$A$13-('Control Room'!$B$13-1)/2)/MAX(0.5,'Control Room'!$B$13/4))^2),1)*IF(AND($A309&gt;='Control Room'!$A$14,$A309&lt;'Control Room'!$A$14+'Control Room'!$B$14,'Process'!BQ3=1),1+('Control Room'!$C$14-1)*EXP(-0.5*(($A309-'Control Room'!$A$14-('Control Room'!$B$14-1)/2)/MAX(0.5,'Control Room'!$B$14/4))^2),1)*IF(AND($A309&gt;='Control Room'!$A$15,$A309&lt;'Control Room'!$A$15+'Control Room'!$B$15,'Process'!BQ4=1),1+('Control Room'!$C$15-1)*EXP(-0.5*(($A309-'Control Room'!$A$15-('Control Room'!$B$15-1)/2)/MAX(0.5,'Control Room'!$B$15/4))^2),1)*IF(AND($A309&gt;='Control Room'!$A$16,$A309&lt;'Control Room'!$A$16+'Control Room'!$B$16,'Process'!BQ5=1),1+('Control Room'!$C$16-1)*EXP(-0.5*(($A309-'Control Room'!$A$16-('Control Room'!$B$16-1)/2)/MAX(0.5,'Control Room'!$B$16/4))^2),1)</x:f>
        <x:v>1</x:v>
      </x:c>
      <x:c r="AK309" s="9" t="n">
        <x:f>MOD(AL308*16807,2147483647)</x:f>
        <x:v>145686651</x:v>
      </x:c>
      <x:c r="AL309" s="9" t="n">
        <x:f>MOD(AK309*16807,2147483647)</x:f>
        <x:v>424185777</x:v>
      </x:c>
      <x:c r="AM309" s="17" t="n">
        <x:f>IF('Control Room'!$B$5="Normal",'Control Room'!$B$7+'Control Room'!$D$7*SQRT(-2*LN(MAX(0.000000000001,AK309/2147483647)))*COS(2*PI()*AL309/2147483647),'Control Room'!$B$8+('Control Room'!$D$8-'Control Room'!$B$8)*AK309/2147483647)</x:f>
        <x:v>1067.5929617261654</x:v>
      </x:c>
      <x:c r="AN309" s="17" t="n">
        <x:f>IF('Control Room'!$B$5="Normal",'Control Room'!$B$7,('Control Room'!$B$8+'Control Room'!$D$8)/2)+'Control Room'!$B$9*(AN308-IF('Control Room'!$B$5="Normal",'Control Room'!$B$7,('Control Room'!$B$8+'Control Room'!$D$8)/2))+SQRT(1-'Control Room'!$B$9^2)*(AM309-IF('Control Room'!$B$5="Normal",'Control Room'!$B$7,('Control Room'!$B$8+'Control Room'!$D$8)/2))</x:f>
        <x:v>962.1294292816124</x:v>
      </x:c>
      <x:c r="AO309" s="17" t="n">
        <x:f>IF(AND($A309&gt;='Control Room'!$A$13,$A309&lt;'Control Room'!$A$13+'Control Room'!$B$13,'Process'!BR2=1),1+('Control Room'!$C$13-1)*EXP(-0.5*(($A309-'Control Room'!$A$13-('Control Room'!$B$13-1)/2)/MAX(0.5,'Control Room'!$B$13/4))^2),1)*IF(AND($A309&gt;='Control Room'!$A$14,$A309&lt;'Control Room'!$A$14+'Control Room'!$B$14,'Process'!BR3=1),1+('Control Room'!$C$14-1)*EXP(-0.5*(($A309-'Control Room'!$A$14-('Control Room'!$B$14-1)/2)/MAX(0.5,'Control Room'!$B$14/4))^2),1)*IF(AND($A309&gt;='Control Room'!$A$15,$A309&lt;'Control Room'!$A$15+'Control Room'!$B$15,'Process'!BR4=1),1+('Control Room'!$C$15-1)*EXP(-0.5*(($A309-'Control Room'!$A$15-('Control Room'!$B$15-1)/2)/MAX(0.5,'Control Room'!$B$15/4))^2),1)*IF(AND($A309&gt;='Control Room'!$A$16,$A309&lt;'Control Room'!$A$16+'Control Room'!$B$16,'Process'!BR5=1),1+('Control Room'!$C$16-1)*EXP(-0.5*(($A309-'Control Room'!$A$16-('Control Room'!$B$16-1)/2)/MAX(0.5,'Control Room'!$B$16/4))^2),1)</x:f>
        <x:v>1</x:v>
      </x:c>
      <x:c r="AP309" s="9" t="n">
        <x:f>MOD(AQ308*16807,2147483647)</x:f>
        <x:v>462936347</x:v>
      </x:c>
      <x:c r="AQ309" s="9" t="n">
        <x:f>MOD(AP309*16807,2147483647)</x:f>
        <x:v>237930948</x:v>
      </x:c>
      <x:c r="AR309" s="17" t="n">
        <x:f>IF('Control Room'!$B$5="Normal",'Control Room'!$B$7+'Control Room'!$D$7*SQRT(-2*LN(MAX(0.000000000001,AP309/2147483647)))*COS(2*PI()*AQ309/2147483647),'Control Room'!$B$8+('Control Room'!$D$8-'Control Room'!$B$8)*AP309/2147483647)</x:f>
        <x:v>1120.9793987155</x:v>
      </x:c>
      <x:c r="AS309" s="17" t="n">
        <x:f>IF('Control Room'!$B$5="Normal",'Control Room'!$B$7,('Control Room'!$B$8+'Control Room'!$D$8)/2)+'Control Room'!$B$9*(AS308-IF('Control Room'!$B$5="Normal",'Control Room'!$B$7,('Control Room'!$B$8+'Control Room'!$D$8)/2))+SQRT(1-'Control Room'!$B$9^2)*(AR309-IF('Control Room'!$B$5="Normal",'Control Room'!$B$7,('Control Room'!$B$8+'Control Room'!$D$8)/2))</x:f>
        <x:v>1069.5696885322945</x:v>
      </x:c>
      <x:c r="AT309" s="17" t="n">
        <x:f>IF(AND($A309&gt;='Control Room'!$A$13,$A309&lt;'Control Room'!$A$13+'Control Room'!$B$13,'Process'!BS2=1),1+('Control Room'!$C$13-1)*EXP(-0.5*(($A309-'Control Room'!$A$13-('Control Room'!$B$13-1)/2)/MAX(0.5,'Control Room'!$B$13/4))^2),1)*IF(AND($A309&gt;='Control Room'!$A$14,$A309&lt;'Control Room'!$A$14+'Control Room'!$B$14,'Process'!BS3=1),1+('Control Room'!$C$14-1)*EXP(-0.5*(($A309-'Control Room'!$A$14-('Control Room'!$B$14-1)/2)/MAX(0.5,'Control Room'!$B$14/4))^2),1)*IF(AND($A309&gt;='Control Room'!$A$15,$A309&lt;'Control Room'!$A$15+'Control Room'!$B$15,'Process'!BS4=1),1+('Control Room'!$C$15-1)*EXP(-0.5*(($A309-'Control Room'!$A$15-('Control Room'!$B$15-1)/2)/MAX(0.5,'Control Room'!$B$15/4))^2),1)*IF(AND($A309&gt;='Control Room'!$A$16,$A309&lt;'Control Room'!$A$16+'Control Room'!$B$16,'Process'!BS5=1),1+('Control Room'!$C$16-1)*EXP(-0.5*(($A309-'Control Room'!$A$16-('Control Room'!$B$16-1)/2)/MAX(0.5,'Control Room'!$B$16/4))^2),1)</x:f>
        <x:v>1</x:v>
      </x:c>
      <x:c r="AU309" s="9" t="n">
        <x:f>MOD(AV308*16807,2147483647)</x:f>
        <x:v>780186043</x:v>
      </x:c>
      <x:c r="AV309" s="9" t="n">
        <x:f>MOD(AU309*16807,2147483647)</x:f>
        <x:v>51676119</x:v>
      </x:c>
      <x:c r="AW309" s="17" t="n">
        <x:f>IF('Control Room'!$B$5="Normal",'Control Room'!$B$7+'Control Room'!$D$7*SQRT(-2*LN(MAX(0.000000000001,AU309/2147483647)))*COS(2*PI()*AV309/2147483647),'Control Room'!$B$8+('Control Room'!$D$8-'Control Room'!$B$8)*AU309/2147483647)</x:f>
        <x:v>1126.6123814669902</x:v>
      </x:c>
      <x:c r="AX309" s="17" t="n">
        <x:f>IF('Control Room'!$B$5="Normal",'Control Room'!$B$7,('Control Room'!$B$8+'Control Room'!$D$8)/2)+'Control Room'!$B$9*(AX308-IF('Control Room'!$B$5="Normal",'Control Room'!$B$7,('Control Room'!$B$8+'Control Room'!$D$8)/2))+SQRT(1-'Control Room'!$B$9^2)*(AW309-IF('Control Room'!$B$5="Normal",'Control Room'!$B$7,('Control Room'!$B$8+'Control Room'!$D$8)/2))</x:f>
        <x:v>1168.3632553834661</x:v>
      </x:c>
      <x:c r="AY309" s="17" t="n">
        <x:f>IF(AND($A309&gt;='Control Room'!$A$13,$A309&lt;'Control Room'!$A$13+'Control Room'!$B$13,'Process'!BT2=1),1+('Control Room'!$C$13-1)*EXP(-0.5*(($A309-'Control Room'!$A$13-('Control Room'!$B$13-1)/2)/MAX(0.5,'Control Room'!$B$13/4))^2),1)*IF(AND($A309&gt;='Control Room'!$A$14,$A309&lt;'Control Room'!$A$14+'Control Room'!$B$14,'Process'!BT3=1),1+('Control Room'!$C$14-1)*EXP(-0.5*(($A309-'Control Room'!$A$14-('Control Room'!$B$14-1)/2)/MAX(0.5,'Control Room'!$B$14/4))^2),1)*IF(AND($A309&gt;='Control Room'!$A$15,$A309&lt;'Control Room'!$A$15+'Control Room'!$B$15,'Process'!BT4=1),1+('Control Room'!$C$15-1)*EXP(-0.5*(($A309-'Control Room'!$A$15-('Control Room'!$B$15-1)/2)/MAX(0.5,'Control Room'!$B$15/4))^2),1)*IF(AND($A309&gt;='Control Room'!$A$16,$A309&lt;'Control Room'!$A$16+'Control Room'!$B$16,'Process'!BT5=1),1+('Control Room'!$C$16-1)*EXP(-0.5*(($A309-'Control Room'!$A$16-('Control Room'!$B$16-1)/2)/MAX(0.5,'Control Room'!$B$16/4))^2),1)</x:f>
        <x:v>1</x:v>
      </x:c>
      <x:c r="AZ309" s="9" t="n">
        <x:f>MOD(BA308*16807,2147483647)</x:f>
        <x:v>1097435739</x:v>
      </x:c>
      <x:c r="BA309" s="9" t="n">
        <x:f>MOD(AZ309*16807,2147483647)</x:f>
        <x:v>2012904937</x:v>
      </x:c>
      <x:c r="BB309" s="17" t="n">
        <x:f>IF('Control Room'!$B$5="Normal",'Control Room'!$B$7+'Control Room'!$D$7*SQRT(-2*LN(MAX(0.000000000001,AZ309/2147483647)))*COS(2*PI()*BA309/2147483647),'Control Room'!$B$8+('Control Room'!$D$8-'Control Room'!$B$8)*AZ309/2147483647)</x:f>
        <x:v>1096.3047063251288</x:v>
      </x:c>
      <x:c r="BC309" s="17" t="n">
        <x:f>IF('Control Room'!$B$5="Normal",'Control Room'!$B$7,('Control Room'!$B$8+'Control Room'!$D$8)/2)+'Control Room'!$B$9*(BC308-IF('Control Room'!$B$5="Normal",'Control Room'!$B$7,('Control Room'!$B$8+'Control Room'!$D$8)/2))+SQRT(1-'Control Room'!$B$9^2)*(BB309-IF('Control Room'!$B$5="Normal",'Control Room'!$B$7,('Control Room'!$B$8+'Control Room'!$D$8)/2))</x:f>
        <x:v>1053.845402140902</x:v>
      </x:c>
      <x:c r="BD309" s="17" t="n">
        <x:f>IF(AND($A309&gt;='Control Room'!$A$13,$A309&lt;'Control Room'!$A$13+'Control Room'!$B$13,'Process'!BU2=1),1+('Control Room'!$C$13-1)*EXP(-0.5*(($A309-'Control Room'!$A$13-('Control Room'!$B$13-1)/2)/MAX(0.5,'Control Room'!$B$13/4))^2),1)*IF(AND($A309&gt;='Control Room'!$A$14,$A309&lt;'Control Room'!$A$14+'Control Room'!$B$14,'Process'!BU3=1),1+('Control Room'!$C$14-1)*EXP(-0.5*(($A309-'Control Room'!$A$14-('Control Room'!$B$14-1)/2)/MAX(0.5,'Control Room'!$B$14/4))^2),1)*IF(AND($A309&gt;='Control Room'!$A$15,$A309&lt;'Control Room'!$A$15+'Control Room'!$B$15,'Process'!BU4=1),1+('Control Room'!$C$15-1)*EXP(-0.5*(($A309-'Control Room'!$A$15-('Control Room'!$B$15-1)/2)/MAX(0.5,'Control Room'!$B$15/4))^2),1)*IF(AND($A309&gt;='Control Room'!$A$16,$A309&lt;'Control Room'!$A$16+'Control Room'!$B$16,'Process'!BU5=1),1+('Control Room'!$C$16-1)*EXP(-0.5*(($A309-'Control Room'!$A$16-('Control Room'!$B$16-1)/2)/MAX(0.5,'Control Room'!$B$16/4))^2),1)</x:f>
        <x:v>1</x:v>
      </x:c>
      <x:c r="BE309" s="9" t="n">
        <x:f>MOD(BF308*16807,2147483647)</x:f>
        <x:v>1414685435</x:v>
      </x:c>
      <x:c r="BF309" s="9" t="n">
        <x:f>MOD(BE309*16807,2147483647)</x:f>
        <x:v>1826650108</x:v>
      </x:c>
      <x:c r="BG309" s="17" t="n">
        <x:f>IF('Control Room'!$B$5="Normal",'Control Room'!$B$7+'Control Room'!$D$7*SQRT(-2*LN(MAX(0.000000000001,BE309/2147483647)))*COS(2*PI()*BF309/2147483647),'Control Room'!$B$8+('Control Room'!$D$8-'Control Room'!$B$8)*BE309/2147483647)</x:f>
        <x:v>1048.5839100808628</x:v>
      </x:c>
      <x:c r="BH309" s="17" t="n">
        <x:f>IF('Control Room'!$B$5="Normal",'Control Room'!$B$7,('Control Room'!$B$8+'Control Room'!$D$8)/2)+'Control Room'!$B$9*(BH308-IF('Control Room'!$B$5="Normal",'Control Room'!$B$7,('Control Room'!$B$8+'Control Room'!$D$8)/2))+SQRT(1-'Control Room'!$B$9^2)*(BG309-IF('Control Room'!$B$5="Normal",'Control Room'!$B$7,('Control Room'!$B$8+'Control Room'!$D$8)/2))</x:f>
        <x:v>972.4509533476548</x:v>
      </x:c>
      <x:c r="BI309" s="17" t="n">
        <x:f>IF(AND($A309&gt;='Control Room'!$A$13,$A309&lt;'Control Room'!$A$13+'Control Room'!$B$13,'Process'!BV2=1),1+('Control Room'!$C$13-1)*EXP(-0.5*(($A309-'Control Room'!$A$13-('Control Room'!$B$13-1)/2)/MAX(0.5,'Control Room'!$B$13/4))^2),1)*IF(AND($A309&gt;='Control Room'!$A$14,$A309&lt;'Control Room'!$A$14+'Control Room'!$B$14,'Process'!BV3=1),1+('Control Room'!$C$14-1)*EXP(-0.5*(($A309-'Control Room'!$A$14-('Control Room'!$B$14-1)/2)/MAX(0.5,'Control Room'!$B$14/4))^2),1)*IF(AND($A309&gt;='Control Room'!$A$15,$A309&lt;'Control Room'!$A$15+'Control Room'!$B$15,'Process'!BV4=1),1+('Control Room'!$C$15-1)*EXP(-0.5*(($A309-'Control Room'!$A$15-('Control Room'!$B$15-1)/2)/MAX(0.5,'Control Room'!$B$15/4))^2),1)*IF(AND($A309&gt;='Control Room'!$A$16,$A309&lt;'Control Room'!$A$16+'Control Room'!$B$16,'Process'!BV5=1),1+('Control Room'!$C$16-1)*EXP(-0.5*(($A309-'Control Room'!$A$16-('Control Room'!$B$16-1)/2)/MAX(0.5,'Control Room'!$B$16/4))^2),1)</x:f>
        <x:v>1</x:v>
      </x:c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Z309" t="str">
        <x:f>IF('Data'!A309="","",TEXT('Data'!A309,"mm-dd"))</x:f>
      </x:c>
    </x:row>
    <x:row r="310" ht="21" customHeight="1">
      <x:c r="A310" s="15" t="n">
        <x:f>'Control Room'!$B$1+308</x:f>
        <x:v>73299</x:v>
      </x:c>
      <x:c r="B310" s="9" t="n">
        <x:f>MOD(C309*16807,2147483647)</x:f>
        <x:v>1563372679</x:v>
      </x:c>
      <x:c r="C310" s="9" t="n">
        <x:f>MOD(B310*16807,2147483647)</x:f>
        <x:v>1142194908</x:v>
      </x:c>
      <x:c r="D310" s="17" t="n">
        <x:f>IF('Control Room'!$B$5="Normal",'Control Room'!$B$7+'Control Room'!$D$7*SQRT(-2*LN(MAX(0.000000000001,B310/2147483647)))*COS(2*PI()*C310/2147483647),'Control Room'!$B$8+('Control Room'!$D$8-'Control Room'!$B$8)*B310/2147483647)</x:f>
        <x:v>929.7208093478554</x:v>
      </x:c>
      <x:c r="E310" s="17" t="n">
        <x:f>IF('Control Room'!$B$5="Normal",'Control Room'!$B$7,('Control Room'!$B$8+'Control Room'!$D$8)/2)+'Control Room'!$B$9*(E309-IF('Control Room'!$B$5="Normal",'Control Room'!$B$7,('Control Room'!$B$8+'Control Room'!$D$8)/2))+SQRT(1-'Control Room'!$B$9^2)*(D310-IF('Control Room'!$B$5="Normal",'Control Room'!$B$7,('Control Room'!$B$8+'Control Room'!$D$8)/2))</x:f>
        <x:v>982.6431391524153</x:v>
      </x:c>
      <x:c r="F310" s="17" t="n">
        <x:f>IF(AND($A310&gt;='Control Room'!$A$13,$A310&lt;'Control Room'!$A$13+'Control Room'!$B$13,'Process'!BK2=1),1+('Control Room'!$C$13-1)*EXP(-0.5*(($A310-'Control Room'!$A$13-('Control Room'!$B$13-1)/2)/MAX(0.5,'Control Room'!$B$13/4))^2),1)*IF(AND($A310&gt;='Control Room'!$A$14,$A310&lt;'Control Room'!$A$14+'Control Room'!$B$14,'Process'!BK3=1),1+('Control Room'!$C$14-1)*EXP(-0.5*(($A310-'Control Room'!$A$14-('Control Room'!$B$14-1)/2)/MAX(0.5,'Control Room'!$B$14/4))^2),1)*IF(AND($A310&gt;='Control Room'!$A$15,$A310&lt;'Control Room'!$A$15+'Control Room'!$B$15,'Process'!BK4=1),1+('Control Room'!$C$15-1)*EXP(-0.5*(($A310-'Control Room'!$A$15-('Control Room'!$B$15-1)/2)/MAX(0.5,'Control Room'!$B$15/4))^2),1)*IF(AND($A310&gt;='Control Room'!$A$16,$A310&lt;'Control Room'!$A$16+'Control Room'!$B$16,'Process'!BK5=1),1+('Control Room'!$C$16-1)*EXP(-0.5*(($A310-'Control Room'!$A$16-('Control Room'!$B$16-1)/2)/MAX(0.5,'Control Room'!$B$16/4))^2),1)</x:f>
        <x:v>1</x:v>
      </x:c>
      <x:c r="G310" s="9" t="n">
        <x:f>MOD(H309*16807,2147483647)</x:f>
        <x:v>62135355</x:v>
      </x:c>
      <x:c r="H310" s="9" t="n">
        <x:f>MOD(G310*16807,2147483647)</x:f>
        <x:v>631859043</x:v>
      </x:c>
      <x:c r="I310" s="17" t="n">
        <x:f>IF('Control Room'!$B$5="Normal",'Control Room'!$B$7+'Control Room'!$D$7*SQRT(-2*LN(MAX(0.000000000001,G310/2147483647)))*COS(2*PI()*H310/2147483647),'Control Room'!$B$8+('Control Room'!$D$8-'Control Room'!$B$8)*G310/2147483647)</x:f>
        <x:v>934.2734151881147</x:v>
      </x:c>
      <x:c r="J310" s="17" t="n">
        <x:f>IF('Control Room'!$B$5="Normal",'Control Room'!$B$7,('Control Room'!$B$8+'Control Room'!$D$8)/2)+'Control Room'!$B$9*(J309-IF('Control Room'!$B$5="Normal",'Control Room'!$B$7,('Control Room'!$B$8+'Control Room'!$D$8)/2))+SQRT(1-'Control Room'!$B$9^2)*(I310-IF('Control Room'!$B$5="Normal",'Control Room'!$B$7,('Control Room'!$B$8+'Control Room'!$D$8)/2))</x:f>
        <x:v>880.3173895072823</x:v>
      </x:c>
      <x:c r="K310" s="17" t="n">
        <x:f>IF(AND($A310&gt;='Control Room'!$A$13,$A310&lt;'Control Room'!$A$13+'Control Room'!$B$13,'Process'!BL2=1),1+('Control Room'!$C$13-1)*EXP(-0.5*(($A310-'Control Room'!$A$13-('Control Room'!$B$13-1)/2)/MAX(0.5,'Control Room'!$B$13/4))^2),1)*IF(AND($A310&gt;='Control Room'!$A$14,$A310&lt;'Control Room'!$A$14+'Control Room'!$B$14,'Process'!BL3=1),1+('Control Room'!$C$14-1)*EXP(-0.5*(($A310-'Control Room'!$A$14-('Control Room'!$B$14-1)/2)/MAX(0.5,'Control Room'!$B$14/4))^2),1)*IF(AND($A310&gt;='Control Room'!$A$15,$A310&lt;'Control Room'!$A$15+'Control Room'!$B$15,'Process'!BL4=1),1+('Control Room'!$C$15-1)*EXP(-0.5*(($A310-'Control Room'!$A$15-('Control Room'!$B$15-1)/2)/MAX(0.5,'Control Room'!$B$15/4))^2),1)*IF(AND($A310&gt;='Control Room'!$A$16,$A310&lt;'Control Room'!$A$16+'Control Room'!$B$16,'Process'!BL5=1),1+('Control Room'!$C$16-1)*EXP(-0.5*(($A310-'Control Room'!$A$16-('Control Room'!$B$16-1)/2)/MAX(0.5,'Control Room'!$B$16/4))^2),1)</x:f>
        <x:v>1</x:v>
      </x:c>
      <x:c r="L310" s="9" t="n">
        <x:f>MOD(M309*16807,2147483647)</x:f>
        <x:v>708381678</x:v>
      </x:c>
      <x:c r="M310" s="9" t="n">
        <x:f>MOD(L310*16807,2147483647)</x:f>
        <x:v>121523178</x:v>
      </x:c>
      <x:c r="N310" s="17" t="n">
        <x:f>IF('Control Room'!$B$5="Normal",'Control Room'!$B$7+'Control Room'!$D$7*SQRT(-2*LN(MAX(0.000000000001,L310/2147483647)))*COS(2*PI()*M310/2147483647),'Control Room'!$B$8+('Control Room'!$D$8-'Control Room'!$B$8)*L310/2147483647)</x:f>
        <x:v>1125.6568548819662</x:v>
      </x:c>
      <x:c r="O310" s="17" t="n">
        <x:f>IF('Control Room'!$B$5="Normal",'Control Room'!$B$7,('Control Room'!$B$8+'Control Room'!$D$8)/2)+'Control Room'!$B$9*(O309-IF('Control Room'!$B$5="Normal",'Control Room'!$B$7,('Control Room'!$B$8+'Control Room'!$D$8)/2))+SQRT(1-'Control Room'!$B$9^2)*(N310-IF('Control Room'!$B$5="Normal",'Control Room'!$B$7,('Control Room'!$B$8+'Control Room'!$D$8)/2))</x:f>
        <x:v>980.8212820558534</x:v>
      </x:c>
      <x:c r="P310" s="17" t="n">
        <x:f>IF(AND($A310&gt;='Control Room'!$A$13,$A310&lt;'Control Room'!$A$13+'Control Room'!$B$13,'Process'!BM2=1),1+('Control Room'!$C$13-1)*EXP(-0.5*(($A310-'Control Room'!$A$13-('Control Room'!$B$13-1)/2)/MAX(0.5,'Control Room'!$B$13/4))^2),1)*IF(AND($A310&gt;='Control Room'!$A$14,$A310&lt;'Control Room'!$A$14+'Control Room'!$B$14,'Process'!BM3=1),1+('Control Room'!$C$14-1)*EXP(-0.5*(($A310-'Control Room'!$A$14-('Control Room'!$B$14-1)/2)/MAX(0.5,'Control Room'!$B$14/4))^2),1)*IF(AND($A310&gt;='Control Room'!$A$15,$A310&lt;'Control Room'!$A$15+'Control Room'!$B$15,'Process'!BM4=1),1+('Control Room'!$C$15-1)*EXP(-0.5*(($A310-'Control Room'!$A$15-('Control Room'!$B$15-1)/2)/MAX(0.5,'Control Room'!$B$15/4))^2),1)*IF(AND($A310&gt;='Control Room'!$A$16,$A310&lt;'Control Room'!$A$16+'Control Room'!$B$16,'Process'!BM5=1),1+('Control Room'!$C$16-1)*EXP(-0.5*(($A310-'Control Room'!$A$16-('Control Room'!$B$16-1)/2)/MAX(0.5,'Control Room'!$B$16/4))^2),1)</x:f>
        <x:v>1</x:v>
      </x:c>
      <x:c r="Q310" s="9" t="n">
        <x:f>MOD(R309*16807,2147483647)</x:f>
        <x:v>1354628001</x:v>
      </x:c>
      <x:c r="R310" s="9" t="n">
        <x:f>MOD(Q310*16807,2147483647)</x:f>
        <x:v>1758670960</x:v>
      </x:c>
      <x:c r="S310" s="17" t="n">
        <x:f>IF('Control Room'!$B$5="Normal",'Control Room'!$B$7+'Control Room'!$D$7*SQRT(-2*LN(MAX(0.000000000001,Q310/2147483647)))*COS(2*PI()*R310/2147483647),'Control Room'!$B$8+('Control Room'!$D$8-'Control Room'!$B$8)*Q310/2147483647)</x:f>
        <x:v>1036.2671159770869</x:v>
      </x:c>
      <x:c r="T310" s="17" t="n">
        <x:f>IF('Control Room'!$B$5="Normal",'Control Room'!$B$7,('Control Room'!$B$8+'Control Room'!$D$8)/2)+'Control Room'!$B$9*(T309-IF('Control Room'!$B$5="Normal",'Control Room'!$B$7,('Control Room'!$B$8+'Control Room'!$D$8)/2))+SQRT(1-'Control Room'!$B$9^2)*(S310-IF('Control Room'!$B$5="Normal",'Control Room'!$B$7,('Control Room'!$B$8+'Control Room'!$D$8)/2))</x:f>
        <x:v>960.2045428922112</x:v>
      </x:c>
      <x:c r="U310" s="17" t="n">
        <x:f>IF(AND($A310&gt;='Control Room'!$A$13,$A310&lt;'Control Room'!$A$13+'Control Room'!$B$13,'Process'!BN2=1),1+('Control Room'!$C$13-1)*EXP(-0.5*(($A310-'Control Room'!$A$13-('Control Room'!$B$13-1)/2)/MAX(0.5,'Control Room'!$B$13/4))^2),1)*IF(AND($A310&gt;='Control Room'!$A$14,$A310&lt;'Control Room'!$A$14+'Control Room'!$B$14,'Process'!BN3=1),1+('Control Room'!$C$14-1)*EXP(-0.5*(($A310-'Control Room'!$A$14-('Control Room'!$B$14-1)/2)/MAX(0.5,'Control Room'!$B$14/4))^2),1)*IF(AND($A310&gt;='Control Room'!$A$15,$A310&lt;'Control Room'!$A$15+'Control Room'!$B$15,'Process'!BN4=1),1+('Control Room'!$C$15-1)*EXP(-0.5*(($A310-'Control Room'!$A$15-('Control Room'!$B$15-1)/2)/MAX(0.5,'Control Room'!$B$15/4))^2),1)*IF(AND($A310&gt;='Control Room'!$A$16,$A310&lt;'Control Room'!$A$16+'Control Room'!$B$16,'Process'!BN5=1),1+('Control Room'!$C$16-1)*EXP(-0.5*(($A310-'Control Room'!$A$16-('Control Room'!$B$16-1)/2)/MAX(0.5,'Control Room'!$B$16/4))^2),1)</x:f>
        <x:v>1</x:v>
      </x:c>
      <x:c r="V310" s="9" t="n">
        <x:f>MOD(W309*16807,2147483647)</x:f>
        <x:v>2000874324</x:v>
      </x:c>
      <x:c r="W310" s="9" t="n">
        <x:f>MOD(V310*16807,2147483647)</x:f>
        <x:v>1248335095</x:v>
      </x:c>
      <x:c r="X310" s="17" t="n">
        <x:f>IF('Control Room'!$B$5="Normal",'Control Room'!$B$7+'Control Room'!$D$7*SQRT(-2*LN(MAX(0.000000000001,V310/2147483647)))*COS(2*PI()*W310/2147483647),'Control Room'!$B$8+('Control Room'!$D$8-'Control Room'!$B$8)*V310/2147483647)</x:f>
        <x:v>970.4749512280276</x:v>
      </x:c>
      <x:c r="Y310" s="17" t="n">
        <x:f>IF('Control Room'!$B$5="Normal",'Control Room'!$B$7,('Control Room'!$B$8+'Control Room'!$D$8)/2)+'Control Room'!$B$9*(Y309-IF('Control Room'!$B$5="Normal",'Control Room'!$B$7,('Control Room'!$B$8+'Control Room'!$D$8)/2))+SQRT(1-'Control Room'!$B$9^2)*(X310-IF('Control Room'!$B$5="Normal",'Control Room'!$B$7,('Control Room'!$B$8+'Control Room'!$D$8)/2))</x:f>
        <x:v>933.9327963899009</x:v>
      </x:c>
      <x:c r="Z310" s="17" t="n">
        <x:f>IF(AND($A310&gt;='Control Room'!$A$13,$A310&lt;'Control Room'!$A$13+'Control Room'!$B$13,'Process'!BO2=1),1+('Control Room'!$C$13-1)*EXP(-0.5*(($A310-'Control Room'!$A$13-('Control Room'!$B$13-1)/2)/MAX(0.5,'Control Room'!$B$13/4))^2),1)*IF(AND($A310&gt;='Control Room'!$A$14,$A310&lt;'Control Room'!$A$14+'Control Room'!$B$14,'Process'!BO3=1),1+('Control Room'!$C$14-1)*EXP(-0.5*(($A310-'Control Room'!$A$14-('Control Room'!$B$14-1)/2)/MAX(0.5,'Control Room'!$B$14/4))^2),1)*IF(AND($A310&gt;='Control Room'!$A$15,$A310&lt;'Control Room'!$A$15+'Control Room'!$B$15,'Process'!BO4=1),1+('Control Room'!$C$15-1)*EXP(-0.5*(($A310-'Control Room'!$A$15-('Control Room'!$B$15-1)/2)/MAX(0.5,'Control Room'!$B$15/4))^2),1)*IF(AND($A310&gt;='Control Room'!$A$16,$A310&lt;'Control Room'!$A$16+'Control Room'!$B$16,'Process'!BO5=1),1+('Control Room'!$C$16-1)*EXP(-0.5*(($A310-'Control Room'!$A$16-('Control Room'!$B$16-1)/2)/MAX(0.5,'Control Room'!$B$16/4))^2),1)</x:f>
        <x:v>1</x:v>
      </x:c>
      <x:c r="AA310" s="9" t="n">
        <x:f>MOD(AB309*16807,2147483647)</x:f>
        <x:v>499637000</x:v>
      </x:c>
      <x:c r="AB310" s="9" t="n">
        <x:f>MOD(AA310*16807,2147483647)</x:f>
        <x:v>737999230</x:v>
      </x:c>
      <x:c r="AC310" s="17" t="n">
        <x:f>IF('Control Room'!$B$5="Normal",'Control Room'!$B$7+'Control Room'!$D$7*SQRT(-2*LN(MAX(0.000000000001,AA310/2147483647)))*COS(2*PI()*AB310/2147483647),'Control Room'!$B$8+('Control Room'!$D$8-'Control Room'!$B$8)*AA310/2147483647)</x:f>
        <x:v>914.6854131378661</x:v>
      </x:c>
      <x:c r="AD310" s="17" t="n">
        <x:f>IF('Control Room'!$B$5="Normal",'Control Room'!$B$7,('Control Room'!$B$8+'Control Room'!$D$8)/2)+'Control Room'!$B$9*(AD309-IF('Control Room'!$B$5="Normal",'Control Room'!$B$7,('Control Room'!$B$8+'Control Room'!$D$8)/2))+SQRT(1-'Control Room'!$B$9^2)*(AC310-IF('Control Room'!$B$5="Normal",'Control Room'!$B$7,('Control Room'!$B$8+'Control Room'!$D$8)/2))</x:f>
        <x:v>825.7766528778029</x:v>
      </x:c>
      <x:c r="AE310" s="17" t="n">
        <x:f>IF(AND($A310&gt;='Control Room'!$A$13,$A310&lt;'Control Room'!$A$13+'Control Room'!$B$13,'Process'!BP2=1),1+('Control Room'!$C$13-1)*EXP(-0.5*(($A310-'Control Room'!$A$13-('Control Room'!$B$13-1)/2)/MAX(0.5,'Control Room'!$B$13/4))^2),1)*IF(AND($A310&gt;='Control Room'!$A$14,$A310&lt;'Control Room'!$A$14+'Control Room'!$B$14,'Process'!BP3=1),1+('Control Room'!$C$14-1)*EXP(-0.5*(($A310-'Control Room'!$A$14-('Control Room'!$B$14-1)/2)/MAX(0.5,'Control Room'!$B$14/4))^2),1)*IF(AND($A310&gt;='Control Room'!$A$15,$A310&lt;'Control Room'!$A$15+'Control Room'!$B$15,'Process'!BP4=1),1+('Control Room'!$C$15-1)*EXP(-0.5*(($A310-'Control Room'!$A$15-('Control Room'!$B$15-1)/2)/MAX(0.5,'Control Room'!$B$15/4))^2),1)*IF(AND($A310&gt;='Control Room'!$A$16,$A310&lt;'Control Room'!$A$16+'Control Room'!$B$16,'Process'!BP5=1),1+('Control Room'!$C$16-1)*EXP(-0.5*(($A310-'Control Room'!$A$16-('Control Room'!$B$16-1)/2)/MAX(0.5,'Control Room'!$B$16/4))^2),1)</x:f>
        <x:v>1</x:v>
      </x:c>
      <x:c r="AF310" s="9" t="n">
        <x:f>MOD(AG309*16807,2147483647)</x:f>
        <x:v>1145883323</x:v>
      </x:c>
      <x:c r="AG310" s="9" t="n">
        <x:f>MOD(AF310*16807,2147483647)</x:f>
        <x:v>227663365</x:v>
      </x:c>
      <x:c r="AH310" s="17" t="n">
        <x:f>IF('Control Room'!$B$5="Normal",'Control Room'!$B$7+'Control Room'!$D$7*SQRT(-2*LN(MAX(0.000000000001,AF310/2147483647)))*COS(2*PI()*AG310/2147483647),'Control Room'!$B$8+('Control Room'!$D$8-'Control Room'!$B$8)*AF310/2147483647)</x:f>
        <x:v>1079.3105534815263</x:v>
      </x:c>
      <x:c r="AI310" s="17" t="n">
        <x:f>IF('Control Room'!$B$5="Normal",'Control Room'!$B$7,('Control Room'!$B$8+'Control Room'!$D$8)/2)+'Control Room'!$B$9*(AI309-IF('Control Room'!$B$5="Normal",'Control Room'!$B$7,('Control Room'!$B$8+'Control Room'!$D$8)/2))+SQRT(1-'Control Room'!$B$9^2)*(AH310-IF('Control Room'!$B$5="Normal",'Control Room'!$B$7,('Control Room'!$B$8+'Control Room'!$D$8)/2))</x:f>
        <x:v>976.8495624905772</x:v>
      </x:c>
      <x:c r="AJ310" s="17" t="n">
        <x:f>IF(AND($A310&gt;='Control Room'!$A$13,$A310&lt;'Control Room'!$A$13+'Control Room'!$B$13,'Process'!BQ2=1),1+('Control Room'!$C$13-1)*EXP(-0.5*(($A310-'Control Room'!$A$13-('Control Room'!$B$13-1)/2)/MAX(0.5,'Control Room'!$B$13/4))^2),1)*IF(AND($A310&gt;='Control Room'!$A$14,$A310&lt;'Control Room'!$A$14+'Control Room'!$B$14,'Process'!BQ3=1),1+('Control Room'!$C$14-1)*EXP(-0.5*(($A310-'Control Room'!$A$14-('Control Room'!$B$14-1)/2)/MAX(0.5,'Control Room'!$B$14/4))^2),1)*IF(AND($A310&gt;='Control Room'!$A$15,$A310&lt;'Control Room'!$A$15+'Control Room'!$B$15,'Process'!BQ4=1),1+('Control Room'!$C$15-1)*EXP(-0.5*(($A310-'Control Room'!$A$15-('Control Room'!$B$15-1)/2)/MAX(0.5,'Control Room'!$B$15/4))^2),1)*IF(AND($A310&gt;='Control Room'!$A$16,$A310&lt;'Control Room'!$A$16+'Control Room'!$B$16,'Process'!BQ5=1),1+('Control Room'!$C$16-1)*EXP(-0.5*(($A310-'Control Room'!$A$16-('Control Room'!$B$16-1)/2)/MAX(0.5,'Control Room'!$B$16/4))^2),1)</x:f>
        <x:v>1</x:v>
      </x:c>
      <x:c r="AK310" s="9" t="n">
        <x:f>MOD(AL309*16807,2147483647)</x:f>
        <x:v>1792129646</x:v>
      </x:c>
      <x:c r="AL310" s="9" t="n">
        <x:f>MOD(AK310*16807,2147483647)</x:f>
        <x:v>1864811147</x:v>
      </x:c>
      <x:c r="AM310" s="17" t="n">
        <x:f>IF('Control Room'!$B$5="Normal",'Control Room'!$B$7+'Control Room'!$D$7*SQRT(-2*LN(MAX(0.000000000001,AK310/2147483647)))*COS(2*PI()*AL310/2147483647),'Control Room'!$B$8+('Control Room'!$D$8-'Control Room'!$B$8)*AK310/2147483647)</x:f>
        <x:v>1036.6510359640333</x:v>
      </x:c>
      <x:c r="AN310" s="17" t="n">
        <x:f>IF('Control Room'!$B$5="Normal",'Control Room'!$B$7,('Control Room'!$B$8+'Control Room'!$D$8)/2)+'Control Room'!$B$9*(AN309-IF('Control Room'!$B$5="Normal",'Control Room'!$B$7,('Control Room'!$B$8+'Control Room'!$D$8)/2))+SQRT(1-'Control Room'!$B$9^2)*(AM310-IF('Control Room'!$B$5="Normal",'Control Room'!$B$7,('Control Room'!$B$8+'Control Room'!$D$8)/2))</x:f>
        <x:v>993.3964223086664</x:v>
      </x:c>
      <x:c r="AO310" s="17" t="n">
        <x:f>IF(AND($A310&gt;='Control Room'!$A$13,$A310&lt;'Control Room'!$A$13+'Control Room'!$B$13,'Process'!BR2=1),1+('Control Room'!$C$13-1)*EXP(-0.5*(($A310-'Control Room'!$A$13-('Control Room'!$B$13-1)/2)/MAX(0.5,'Control Room'!$B$13/4))^2),1)*IF(AND($A310&gt;='Control Room'!$A$14,$A310&lt;'Control Room'!$A$14+'Control Room'!$B$14,'Process'!BR3=1),1+('Control Room'!$C$14-1)*EXP(-0.5*(($A310-'Control Room'!$A$14-('Control Room'!$B$14-1)/2)/MAX(0.5,'Control Room'!$B$14/4))^2),1)*IF(AND($A310&gt;='Control Room'!$A$15,$A310&lt;'Control Room'!$A$15+'Control Room'!$B$15,'Process'!BR4=1),1+('Control Room'!$C$15-1)*EXP(-0.5*(($A310-'Control Room'!$A$15-('Control Room'!$B$15-1)/2)/MAX(0.5,'Control Room'!$B$15/4))^2),1)*IF(AND($A310&gt;='Control Room'!$A$16,$A310&lt;'Control Room'!$A$16+'Control Room'!$B$16,'Process'!BR5=1),1+('Control Room'!$C$16-1)*EXP(-0.5*(($A310-'Control Room'!$A$16-('Control Room'!$B$16-1)/2)/MAX(0.5,'Control Room'!$B$16/4))^2),1)</x:f>
        <x:v>1</x:v>
      </x:c>
      <x:c r="AP310" s="9" t="n">
        <x:f>MOD(AQ309*16807,2147483647)</x:f>
        <x:v>290892322</x:v>
      </x:c>
      <x:c r="AQ310" s="9" t="n">
        <x:f>MOD(AP310*16807,2147483647)</x:f>
        <x:v>1354475282</x:v>
      </x:c>
      <x:c r="AR310" s="17" t="n">
        <x:f>IF('Control Room'!$B$5="Normal",'Control Room'!$B$7+'Control Room'!$D$7*SQRT(-2*LN(MAX(0.000000000001,AP310/2147483647)))*COS(2*PI()*AQ310/2147483647),'Control Room'!$B$8+('Control Room'!$D$8-'Control Room'!$B$8)*AP310/2147483647)</x:f>
        <x:v>877.4095567993952</x:v>
      </x:c>
      <x:c r="AS310" s="17" t="n">
        <x:f>IF('Control Room'!$B$5="Normal",'Control Room'!$B$7,('Control Room'!$B$8+'Control Room'!$D$8)/2)+'Control Room'!$B$9*(AS309-IF('Control Room'!$B$5="Normal",'Control Room'!$B$7,('Control Room'!$B$8+'Control Room'!$D$8)/2))+SQRT(1-'Control Room'!$B$9^2)*(AR310-IF('Control Room'!$B$5="Normal",'Control Room'!$B$7,('Control Room'!$B$8+'Control Room'!$D$8)/2))</x:f>
        <x:v>977.5497691019871</x:v>
      </x:c>
      <x:c r="AT310" s="17" t="n">
        <x:f>IF(AND($A310&gt;='Control Room'!$A$13,$A310&lt;'Control Room'!$A$13+'Control Room'!$B$13,'Process'!BS2=1),1+('Control Room'!$C$13-1)*EXP(-0.5*(($A310-'Control Room'!$A$13-('Control Room'!$B$13-1)/2)/MAX(0.5,'Control Room'!$B$13/4))^2),1)*IF(AND($A310&gt;='Control Room'!$A$14,$A310&lt;'Control Room'!$A$14+'Control Room'!$B$14,'Process'!BS3=1),1+('Control Room'!$C$14-1)*EXP(-0.5*(($A310-'Control Room'!$A$14-('Control Room'!$B$14-1)/2)/MAX(0.5,'Control Room'!$B$14/4))^2),1)*IF(AND($A310&gt;='Control Room'!$A$15,$A310&lt;'Control Room'!$A$15+'Control Room'!$B$15,'Process'!BS4=1),1+('Control Room'!$C$15-1)*EXP(-0.5*(($A310-'Control Room'!$A$15-('Control Room'!$B$15-1)/2)/MAX(0.5,'Control Room'!$B$15/4))^2),1)*IF(AND($A310&gt;='Control Room'!$A$16,$A310&lt;'Control Room'!$A$16+'Control Room'!$B$16,'Process'!BS5=1),1+('Control Room'!$C$16-1)*EXP(-0.5*(($A310-'Control Room'!$A$16-('Control Room'!$B$16-1)/2)/MAX(0.5,'Control Room'!$B$16/4))^2),1)</x:f>
        <x:v>1</x:v>
      </x:c>
      <x:c r="AU310" s="9" t="n">
        <x:f>MOD(AV309*16807,2147483647)</x:f>
        <x:v>937138645</x:v>
      </x:c>
      <x:c r="AV310" s="9" t="n">
        <x:f>MOD(AU310*16807,2147483647)</x:f>
        <x:v>844139417</x:v>
      </x:c>
      <x:c r="AW310" s="17" t="n">
        <x:f>IF('Control Room'!$B$5="Normal",'Control Room'!$B$7+'Control Room'!$D$7*SQRT(-2*LN(MAX(0.000000000001,AU310/2147483647)))*COS(2*PI()*AV310/2147483647),'Control Room'!$B$8+('Control Room'!$D$8-'Control Room'!$B$8)*AU310/2147483647)</x:f>
        <x:v>909.2813385091661</x:v>
      </x:c>
      <x:c r="AX310" s="17" t="n">
        <x:f>IF('Control Room'!$B$5="Normal",'Control Room'!$B$7,('Control Room'!$B$8+'Control Room'!$D$8)/2)+'Control Room'!$B$9*(AX309-IF('Control Room'!$B$5="Normal",'Control Room'!$B$7,('Control Room'!$B$8+'Control Room'!$D$8)/2))+SQRT(1-'Control Room'!$B$9^2)*(AW310-IF('Control Room'!$B$5="Normal",'Control Room'!$B$7,('Control Room'!$B$8+'Control Room'!$D$8)/2))</x:f>
        <x:v>1074.5534593109373</x:v>
      </x:c>
      <x:c r="AY310" s="17" t="n">
        <x:f>IF(AND($A310&gt;='Control Room'!$A$13,$A310&lt;'Control Room'!$A$13+'Control Room'!$B$13,'Process'!BT2=1),1+('Control Room'!$C$13-1)*EXP(-0.5*(($A310-'Control Room'!$A$13-('Control Room'!$B$13-1)/2)/MAX(0.5,'Control Room'!$B$13/4))^2),1)*IF(AND($A310&gt;='Control Room'!$A$14,$A310&lt;'Control Room'!$A$14+'Control Room'!$B$14,'Process'!BT3=1),1+('Control Room'!$C$14-1)*EXP(-0.5*(($A310-'Control Room'!$A$14-('Control Room'!$B$14-1)/2)/MAX(0.5,'Control Room'!$B$14/4))^2),1)*IF(AND($A310&gt;='Control Room'!$A$15,$A310&lt;'Control Room'!$A$15+'Control Room'!$B$15,'Process'!BT4=1),1+('Control Room'!$C$15-1)*EXP(-0.5*(($A310-'Control Room'!$A$15-('Control Room'!$B$15-1)/2)/MAX(0.5,'Control Room'!$B$15/4))^2),1)*IF(AND($A310&gt;='Control Room'!$A$16,$A310&lt;'Control Room'!$A$16+'Control Room'!$B$16,'Process'!BT5=1),1+('Control Room'!$C$16-1)*EXP(-0.5*(($A310-'Control Room'!$A$16-('Control Room'!$B$16-1)/2)/MAX(0.5,'Control Room'!$B$16/4))^2),1)</x:f>
        <x:v>1</x:v>
      </x:c>
      <x:c r="AZ310" s="9" t="n">
        <x:f>MOD(BA309*16807,2147483647)</x:f>
        <x:v>1583384968</x:v>
      </x:c>
      <x:c r="BA310" s="9" t="n">
        <x:f>MOD(AZ310*16807,2147483647)</x:f>
        <x:v>333803552</x:v>
      </x:c>
      <x:c r="BB310" s="17" t="n">
        <x:f>IF('Control Room'!$B$5="Normal",'Control Room'!$B$7+'Control Room'!$D$7*SQRT(-2*LN(MAX(0.000000000001,AZ310/2147483647)))*COS(2*PI()*BA310/2147483647),'Control Room'!$B$8+('Control Room'!$D$8-'Control Room'!$B$8)*AZ310/2147483647)</x:f>
        <x:v>1039.3321454759443</x:v>
      </x:c>
      <x:c r="BC310" s="17" t="n">
        <x:f>IF('Control Room'!$B$5="Normal",'Control Room'!$B$7,('Control Room'!$B$8+'Control Room'!$D$8)/2)+'Control Room'!$B$9*(BC309-IF('Control Room'!$B$5="Normal",'Control Room'!$B$7,('Control Room'!$B$8+'Control Room'!$D$8)/2))+SQRT(1-'Control Room'!$B$9^2)*(BB310-IF('Control Room'!$B$5="Normal",'Control Room'!$B$7,('Control Room'!$B$8+'Control Room'!$D$8)/2))</x:f>
        <x:v>1066.6126645459524</x:v>
      </x:c>
      <x:c r="BD310" s="17" t="n">
        <x:f>IF(AND($A310&gt;='Control Room'!$A$13,$A310&lt;'Control Room'!$A$13+'Control Room'!$B$13,'Process'!BU2=1),1+('Control Room'!$C$13-1)*EXP(-0.5*(($A310-'Control Room'!$A$13-('Control Room'!$B$13-1)/2)/MAX(0.5,'Control Room'!$B$13/4))^2),1)*IF(AND($A310&gt;='Control Room'!$A$14,$A310&lt;'Control Room'!$A$14+'Control Room'!$B$14,'Process'!BU3=1),1+('Control Room'!$C$14-1)*EXP(-0.5*(($A310-'Control Room'!$A$14-('Control Room'!$B$14-1)/2)/MAX(0.5,'Control Room'!$B$14/4))^2),1)*IF(AND($A310&gt;='Control Room'!$A$15,$A310&lt;'Control Room'!$A$15+'Control Room'!$B$15,'Process'!BU4=1),1+('Control Room'!$C$15-1)*EXP(-0.5*(($A310-'Control Room'!$A$15-('Control Room'!$B$15-1)/2)/MAX(0.5,'Control Room'!$B$15/4))^2),1)*IF(AND($A310&gt;='Control Room'!$A$16,$A310&lt;'Control Room'!$A$16+'Control Room'!$B$16,'Process'!BU5=1),1+('Control Room'!$C$16-1)*EXP(-0.5*(($A310-'Control Room'!$A$16-('Control Room'!$B$16-1)/2)/MAX(0.5,'Control Room'!$B$16/4))^2),1)</x:f>
        <x:v>1</x:v>
      </x:c>
      <x:c r="BE310" s="9" t="n">
        <x:f>MOD(BF309*16807,2147483647)</x:f>
        <x:v>82147644</x:v>
      </x:c>
      <x:c r="BF310" s="9" t="n">
        <x:f>MOD(BE310*16807,2147483647)</x:f>
        <x:v>1970951334</x:v>
      </x:c>
      <x:c r="BG310" s="17" t="n">
        <x:f>IF('Control Room'!$B$5="Normal",'Control Room'!$B$7+'Control Room'!$D$7*SQRT(-2*LN(MAX(0.000000000001,BE310/2147483647)))*COS(2*PI()*BF310/2147483647),'Control Room'!$B$8+('Control Room'!$D$8-'Control Room'!$B$8)*BE310/2147483647)</x:f>
        <x:v>1199.938512819035</x:v>
      </x:c>
      <x:c r="BH310" s="17" t="n">
        <x:f>IF('Control Room'!$B$5="Normal",'Control Room'!$B$7,('Control Room'!$B$8+'Control Room'!$D$8)/2)+'Control Room'!$B$9*(BH309-IF('Control Room'!$B$5="Normal",'Control Room'!$B$7,('Control Room'!$B$8+'Control Room'!$D$8)/2))+SQRT(1-'Control Room'!$B$9^2)*(BG310-IF('Control Room'!$B$5="Normal",'Control Room'!$B$7,('Control Room'!$B$8+'Control Room'!$D$8)/2))</x:f>
        <x:v>1103.6291689702523</x:v>
      </x:c>
      <x:c r="BI310" s="17" t="n">
        <x:f>IF(AND($A310&gt;='Control Room'!$A$13,$A310&lt;'Control Room'!$A$13+'Control Room'!$B$13,'Process'!BV2=1),1+('Control Room'!$C$13-1)*EXP(-0.5*(($A310-'Control Room'!$A$13-('Control Room'!$B$13-1)/2)/MAX(0.5,'Control Room'!$B$13/4))^2),1)*IF(AND($A310&gt;='Control Room'!$A$14,$A310&lt;'Control Room'!$A$14+'Control Room'!$B$14,'Process'!BV3=1),1+('Control Room'!$C$14-1)*EXP(-0.5*(($A310-'Control Room'!$A$14-('Control Room'!$B$14-1)/2)/MAX(0.5,'Control Room'!$B$14/4))^2),1)*IF(AND($A310&gt;='Control Room'!$A$15,$A310&lt;'Control Room'!$A$15+'Control Room'!$B$15,'Process'!BV4=1),1+('Control Room'!$C$15-1)*EXP(-0.5*(($A310-'Control Room'!$A$15-('Control Room'!$B$15-1)/2)/MAX(0.5,'Control Room'!$B$15/4))^2),1)*IF(AND($A310&gt;='Control Room'!$A$16,$A310&lt;'Control Room'!$A$16+'Control Room'!$B$16,'Process'!BV5=1),1+('Control Room'!$C$16-1)*EXP(-0.5*(($A310-'Control Room'!$A$16-('Control Room'!$B$16-1)/2)/MAX(0.5,'Control Room'!$B$16/4))^2),1)</x:f>
        <x:v>1</x:v>
      </x:c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Z310" t="str">
        <x:f>IF('Data'!A310="","",TEXT('Data'!A310,"mm-dd"))</x:f>
      </x:c>
    </x:row>
    <x:row r="311" ht="21" customHeight="1">
      <x:c r="A311" s="15" t="n">
        <x:f>'Control Room'!$B$1+309</x:f>
        <x:v>73300</x:v>
      </x:c>
      <x:c r="B311" s="9" t="n">
        <x:f>MOD(C310*16807,2147483647)</x:f>
        <x:v>513498223</x:v>
      </x:c>
      <x:c r="C311" s="9" t="n">
        <x:f>MOD(B311*16807,2147483647)</x:f>
        <x:v>1775340315</x:v>
      </x:c>
      <x:c r="D311" s="17" t="n">
        <x:f>IF('Control Room'!$B$5="Normal",'Control Room'!$B$7+'Control Room'!$D$7*SQRT(-2*LN(MAX(0.000000000001,B311/2147483647)))*COS(2*PI()*C311/2147483647),'Control Room'!$B$8+('Control Room'!$D$8-'Control Room'!$B$8)*B311/2147483647)</x:f>
        <x:v>1070.569686239772</x:v>
      </x:c>
      <x:c r="E311" s="17" t="n">
        <x:f>IF('Control Room'!$B$5="Normal",'Control Room'!$B$7,('Control Room'!$B$8+'Control Room'!$D$8)/2)+'Control Room'!$B$9*(E310-IF('Control Room'!$B$5="Normal",'Control Room'!$B$7,('Control Room'!$B$8+'Control Room'!$D$8)/2))+SQRT(1-'Control Room'!$B$9^2)*(D311-IF('Control Room'!$B$5="Normal",'Control Room'!$B$7,('Control Room'!$B$8+'Control Room'!$D$8)/2))</x:f>
        <x:v>1030.62271248913</x:v>
      </x:c>
      <x:c r="F311" s="17" t="n">
        <x:f>IF(AND($A311&gt;='Control Room'!$A$13,$A311&lt;'Control Room'!$A$13+'Control Room'!$B$13,'Process'!BK2=1),1+('Control Room'!$C$13-1)*EXP(-0.5*(($A311-'Control Room'!$A$13-('Control Room'!$B$13-1)/2)/MAX(0.5,'Control Room'!$B$13/4))^2),1)*IF(AND($A311&gt;='Control Room'!$A$14,$A311&lt;'Control Room'!$A$14+'Control Room'!$B$14,'Process'!BK3=1),1+('Control Room'!$C$14-1)*EXP(-0.5*(($A311-'Control Room'!$A$14-('Control Room'!$B$14-1)/2)/MAX(0.5,'Control Room'!$B$14/4))^2),1)*IF(AND($A311&gt;='Control Room'!$A$15,$A311&lt;'Control Room'!$A$15+'Control Room'!$B$15,'Process'!BK4=1),1+('Control Room'!$C$15-1)*EXP(-0.5*(($A311-'Control Room'!$A$15-('Control Room'!$B$15-1)/2)/MAX(0.5,'Control Room'!$B$15/4))^2),1)*IF(AND($A311&gt;='Control Room'!$A$16,$A311&lt;'Control Room'!$A$16+'Control Room'!$B$16,'Process'!BK5=1),1+('Control Room'!$C$16-1)*EXP(-0.5*(($A311-'Control Room'!$A$16-('Control Room'!$B$16-1)/2)/MAX(0.5,'Control Room'!$B$16/4))^2),1)</x:f>
        <x:v>1</x:v>
      </x:c>
      <x:c r="G311" s="9" t="n">
        <x:f>MOD(H310*16807,2147483647)</x:f>
        <x:v>348301286</x:v>
      </x:c>
      <x:c r="H311" s="9" t="n">
        <x:f>MOD(G311*16807,2147483647)</x:f>
        <x:v>2006775727</x:v>
      </x:c>
      <x:c r="I311" s="17" t="n">
        <x:f>IF('Control Room'!$B$5="Normal",'Control Room'!$B$7+'Control Room'!$D$7*SQRT(-2*LN(MAX(0.000000000001,G311/2147483647)))*COS(2*PI()*H311/2147483647),'Control Room'!$B$8+('Control Room'!$D$8-'Control Room'!$B$8)*G311/2147483647)</x:f>
        <x:v>1157.318247897422</x:v>
      </x:c>
      <x:c r="J311" s="17" t="n">
        <x:f>IF('Control Room'!$B$5="Normal",'Control Room'!$B$7,('Control Room'!$B$8+'Control Room'!$D$8)/2)+'Control Room'!$B$9*(J310-IF('Control Room'!$B$5="Normal",'Control Room'!$B$7,('Control Room'!$B$8+'Control Room'!$D$8)/2))+SQRT(1-'Control Room'!$B$9^2)*(I311-IF('Control Room'!$B$5="Normal",'Control Room'!$B$7,('Control Room'!$B$8+'Control Room'!$D$8)/2))</x:f>
        <x:v>1005.0941005104017</x:v>
      </x:c>
      <x:c r="K311" s="17" t="n">
        <x:f>IF(AND($A311&gt;='Control Room'!$A$13,$A311&lt;'Control Room'!$A$13+'Control Room'!$B$13,'Process'!BL2=1),1+('Control Room'!$C$13-1)*EXP(-0.5*(($A311-'Control Room'!$A$13-('Control Room'!$B$13-1)/2)/MAX(0.5,'Control Room'!$B$13/4))^2),1)*IF(AND($A311&gt;='Control Room'!$A$14,$A311&lt;'Control Room'!$A$14+'Control Room'!$B$14,'Process'!BL3=1),1+('Control Room'!$C$14-1)*EXP(-0.5*(($A311-'Control Room'!$A$14-('Control Room'!$B$14-1)/2)/MAX(0.5,'Control Room'!$B$14/4))^2),1)*IF(AND($A311&gt;='Control Room'!$A$15,$A311&lt;'Control Room'!$A$15+'Control Room'!$B$15,'Process'!BL4=1),1+('Control Room'!$C$15-1)*EXP(-0.5*(($A311-'Control Room'!$A$15-('Control Room'!$B$15-1)/2)/MAX(0.5,'Control Room'!$B$15/4))^2),1)*IF(AND($A311&gt;='Control Room'!$A$16,$A311&lt;'Control Room'!$A$16+'Control Room'!$B$16,'Process'!BL5=1),1+('Control Room'!$C$16-1)*EXP(-0.5*(($A311-'Control Room'!$A$16-('Control Room'!$B$16-1)/2)/MAX(0.5,'Control Room'!$B$16/4))^2),1)</x:f>
        <x:v>1</x:v>
      </x:c>
      <x:c r="L311" s="9" t="n">
        <x:f>MOD(M310*16807,2147483647)</x:f>
        <x:v>183104349</x:v>
      </x:c>
      <x:c r="M311" s="9" t="n">
        <x:f>MOD(L311*16807,2147483647)</x:f>
        <x:v>90727492</x:v>
      </x:c>
      <x:c r="N311" s="17" t="n">
        <x:f>IF('Control Room'!$B$5="Normal",'Control Room'!$B$7+'Control Room'!$D$7*SQRT(-2*LN(MAX(0.000000000001,L311/2147483647)))*COS(2*PI()*M311/2147483647),'Control Room'!$B$8+('Control Room'!$D$8-'Control Room'!$B$8)*L311/2147483647)</x:f>
        <x:v>1192.715468506609</x:v>
      </x:c>
      <x:c r="O311" s="17" t="n">
        <x:f>IF('Control Room'!$B$5="Normal",'Control Room'!$B$7,('Control Room'!$B$8+'Control Room'!$D$8)/2)+'Control Room'!$B$9*(O310-IF('Control Room'!$B$5="Normal",'Control Room'!$B$7,('Control Room'!$B$8+'Control Room'!$D$8)/2))+SQRT(1-'Control Room'!$B$9^2)*(N311-IF('Control Room'!$B$5="Normal",'Control Room'!$B$7,('Control Room'!$B$8+'Control Room'!$D$8)/2))</x:f>
        <x:v>1105.637992204037</x:v>
      </x:c>
      <x:c r="P311" s="17" t="n">
        <x:f>IF(AND($A311&gt;='Control Room'!$A$13,$A311&lt;'Control Room'!$A$13+'Control Room'!$B$13,'Process'!BM2=1),1+('Control Room'!$C$13-1)*EXP(-0.5*(($A311-'Control Room'!$A$13-('Control Room'!$B$13-1)/2)/MAX(0.5,'Control Room'!$B$13/4))^2),1)*IF(AND($A311&gt;='Control Room'!$A$14,$A311&lt;'Control Room'!$A$14+'Control Room'!$B$14,'Process'!BM3=1),1+('Control Room'!$C$14-1)*EXP(-0.5*(($A311-'Control Room'!$A$14-('Control Room'!$B$14-1)/2)/MAX(0.5,'Control Room'!$B$14/4))^2),1)*IF(AND($A311&gt;='Control Room'!$A$15,$A311&lt;'Control Room'!$A$15+'Control Room'!$B$15,'Process'!BM4=1),1+('Control Room'!$C$15-1)*EXP(-0.5*(($A311-'Control Room'!$A$15-('Control Room'!$B$15-1)/2)/MAX(0.5,'Control Room'!$B$15/4))^2),1)*IF(AND($A311&gt;='Control Room'!$A$16,$A311&lt;'Control Room'!$A$16+'Control Room'!$B$16,'Process'!BM5=1),1+('Control Room'!$C$16-1)*EXP(-0.5*(($A311-'Control Room'!$A$16-('Control Room'!$B$16-1)/2)/MAX(0.5,'Control Room'!$B$16/4))^2),1)</x:f>
        <x:v>1</x:v>
      </x:c>
      <x:c r="Q311" s="9" t="n">
        <x:f>MOD(R310*16807,2147483647)</x:f>
        <x:v>17907412</x:v>
      </x:c>
      <x:c r="R311" s="9" t="n">
        <x:f>MOD(Q311*16807,2147483647)</x:f>
        <x:v>322162904</x:v>
      </x:c>
      <x:c r="S311" s="17" t="n">
        <x:f>IF('Control Room'!$B$5="Normal",'Control Room'!$B$7+'Control Room'!$D$7*SQRT(-2*LN(MAX(0.000000000001,Q311/2147483647)))*COS(2*PI()*R311/2147483647),'Control Room'!$B$8+('Control Room'!$D$8-'Control Room'!$B$8)*Q311/2147483647)</x:f>
        <x:v>1163.6552481435986</x:v>
      </x:c>
      <x:c r="T311" s="17" t="n">
        <x:f>IF('Control Room'!$B$5="Normal",'Control Room'!$B$7,('Control Room'!$B$8+'Control Room'!$D$8)/2)+'Control Room'!$B$9*(T310-IF('Control Room'!$B$5="Normal",'Control Room'!$B$7,('Control Room'!$B$8+'Control Room'!$D$8)/2))+SQRT(1-'Control Room'!$B$9^2)*(S311-IF('Control Room'!$B$5="Normal",'Control Room'!$B$7,('Control Room'!$B$8+'Control Room'!$D$8)/2))</x:f>
        <x:v>1071.371645084197</x:v>
      </x:c>
      <x:c r="U311" s="17" t="n">
        <x:f>IF(AND($A311&gt;='Control Room'!$A$13,$A311&lt;'Control Room'!$A$13+'Control Room'!$B$13,'Process'!BN2=1),1+('Control Room'!$C$13-1)*EXP(-0.5*(($A311-'Control Room'!$A$13-('Control Room'!$B$13-1)/2)/MAX(0.5,'Control Room'!$B$13/4))^2),1)*IF(AND($A311&gt;='Control Room'!$A$14,$A311&lt;'Control Room'!$A$14+'Control Room'!$B$14,'Process'!BN3=1),1+('Control Room'!$C$14-1)*EXP(-0.5*(($A311-'Control Room'!$A$14-('Control Room'!$B$14-1)/2)/MAX(0.5,'Control Room'!$B$14/4))^2),1)*IF(AND($A311&gt;='Control Room'!$A$15,$A311&lt;'Control Room'!$A$15+'Control Room'!$B$15,'Process'!BN4=1),1+('Control Room'!$C$15-1)*EXP(-0.5*(($A311-'Control Room'!$A$15-('Control Room'!$B$15-1)/2)/MAX(0.5,'Control Room'!$B$15/4))^2),1)*IF(AND($A311&gt;='Control Room'!$A$16,$A311&lt;'Control Room'!$A$16+'Control Room'!$B$16,'Process'!BN5=1),1+('Control Room'!$C$16-1)*EXP(-0.5*(($A311-'Control Room'!$A$16-('Control Room'!$B$16-1)/2)/MAX(0.5,'Control Room'!$B$16/4))^2),1)</x:f>
        <x:v>1</x:v>
      </x:c>
      <x:c r="V311" s="9" t="n">
        <x:f>MOD(W310*16807,2147483647)</x:f>
        <x:v>2000194122</x:v>
      </x:c>
      <x:c r="W311" s="9" t="n">
        <x:f>MOD(V311*16807,2147483647)</x:f>
        <x:v>553598316</x:v>
      </x:c>
      <x:c r="X311" s="17" t="n">
        <x:f>IF('Control Room'!$B$5="Normal",'Control Room'!$B$7+'Control Room'!$D$7*SQRT(-2*LN(MAX(0.000000000001,V311/2147483647)))*COS(2*PI()*W311/2147483647),'Control Room'!$B$8+('Control Room'!$D$8-'Control Room'!$B$8)*V311/2147483647)</x:f>
        <x:v>998.3402127476513</x:v>
      </x:c>
      <x:c r="Y311" s="17" t="n">
        <x:f>IF('Control Room'!$B$5="Normal",'Control Room'!$B$7,('Control Room'!$B$8+'Control Room'!$D$8)/2)+'Control Room'!$B$9*(Y310-IF('Control Room'!$B$5="Normal",'Control Room'!$B$7,('Control Room'!$B$8+'Control Room'!$D$8)/2))+SQRT(1-'Control Room'!$B$9^2)*(X311-IF('Control Room'!$B$5="Normal",'Control Room'!$B$7,('Control Room'!$B$8+'Control Room'!$D$8)/2))</x:f>
        <x:v>947.428920324193</x:v>
      </x:c>
      <x:c r="Z311" s="17" t="n">
        <x:f>IF(AND($A311&gt;='Control Room'!$A$13,$A311&lt;'Control Room'!$A$13+'Control Room'!$B$13,'Process'!BO2=1),1+('Control Room'!$C$13-1)*EXP(-0.5*(($A311-'Control Room'!$A$13-('Control Room'!$B$13-1)/2)/MAX(0.5,'Control Room'!$B$13/4))^2),1)*IF(AND($A311&gt;='Control Room'!$A$14,$A311&lt;'Control Room'!$A$14+'Control Room'!$B$14,'Process'!BO3=1),1+('Control Room'!$C$14-1)*EXP(-0.5*(($A311-'Control Room'!$A$14-('Control Room'!$B$14-1)/2)/MAX(0.5,'Control Room'!$B$14/4))^2),1)*IF(AND($A311&gt;='Control Room'!$A$15,$A311&lt;'Control Room'!$A$15+'Control Room'!$B$15,'Process'!BO4=1),1+('Control Room'!$C$15-1)*EXP(-0.5*(($A311-'Control Room'!$A$15-('Control Room'!$B$15-1)/2)/MAX(0.5,'Control Room'!$B$15/4))^2),1)*IF(AND($A311&gt;='Control Room'!$A$16,$A311&lt;'Control Room'!$A$16+'Control Room'!$B$16,'Process'!BO5=1),1+('Control Room'!$C$16-1)*EXP(-0.5*(($A311-'Control Room'!$A$16-('Control Room'!$B$16-1)/2)/MAX(0.5,'Control Room'!$B$16/4))^2),1)</x:f>
        <x:v>1</x:v>
      </x:c>
      <x:c r="AA311" s="9" t="n">
        <x:f>MOD(AB310*16807,2147483647)</x:f>
        <x:v>1834997185</x:v>
      </x:c>
      <x:c r="AB311" s="9" t="n">
        <x:f>MOD(AA311*16807,2147483647)</x:f>
        <x:v>785033728</x:v>
      </x:c>
      <x:c r="AC311" s="17" t="n">
        <x:f>IF('Control Room'!$B$5="Normal",'Control Room'!$B$7+'Control Room'!$D$7*SQRT(-2*LN(MAX(0.000000000001,AA311/2147483647)))*COS(2*PI()*AB311/2147483647),'Control Room'!$B$8+('Control Room'!$D$8-'Control Room'!$B$8)*AA311/2147483647)</x:f>
        <x:v>966.4887204966352</x:v>
      </x:c>
      <x:c r="AD311" s="17" t="n">
        <x:f>IF('Control Room'!$B$5="Normal",'Control Room'!$B$7,('Control Room'!$B$8+'Control Room'!$D$8)/2)+'Control Room'!$B$9*(AD310-IF('Control Room'!$B$5="Normal",'Control Room'!$B$7,('Control Room'!$B$8+'Control Room'!$D$8)/2))+SQRT(1-'Control Room'!$B$9^2)*(AC311-IF('Control Room'!$B$5="Normal",'Control Room'!$B$7,('Control Room'!$B$8+'Control Room'!$D$8)/2))</x:f>
        <x:v>843.1351170473567</x:v>
      </x:c>
      <x:c r="AE311" s="17" t="n">
        <x:f>IF(AND($A311&gt;='Control Room'!$A$13,$A311&lt;'Control Room'!$A$13+'Control Room'!$B$13,'Process'!BP2=1),1+('Control Room'!$C$13-1)*EXP(-0.5*(($A311-'Control Room'!$A$13-('Control Room'!$B$13-1)/2)/MAX(0.5,'Control Room'!$B$13/4))^2),1)*IF(AND($A311&gt;='Control Room'!$A$14,$A311&lt;'Control Room'!$A$14+'Control Room'!$B$14,'Process'!BP3=1),1+('Control Room'!$C$14-1)*EXP(-0.5*(($A311-'Control Room'!$A$14-('Control Room'!$B$14-1)/2)/MAX(0.5,'Control Room'!$B$14/4))^2),1)*IF(AND($A311&gt;='Control Room'!$A$15,$A311&lt;'Control Room'!$A$15+'Control Room'!$B$15,'Process'!BP4=1),1+('Control Room'!$C$15-1)*EXP(-0.5*(($A311-'Control Room'!$A$15-('Control Room'!$B$15-1)/2)/MAX(0.5,'Control Room'!$B$15/4))^2),1)*IF(AND($A311&gt;='Control Room'!$A$16,$A311&lt;'Control Room'!$A$16+'Control Room'!$B$16,'Process'!BP5=1),1+('Control Room'!$C$16-1)*EXP(-0.5*(($A311-'Control Room'!$A$16-('Control Room'!$B$16-1)/2)/MAX(0.5,'Control Room'!$B$16/4))^2),1)</x:f>
        <x:v>1</x:v>
      </x:c>
      <x:c r="AF311" s="9" t="n">
        <x:f>MOD(AG310*16807,2147483647)</x:f>
        <x:v>1669800248</x:v>
      </x:c>
      <x:c r="AG311" s="9" t="n">
        <x:f>MOD(AF311*16807,2147483647)</x:f>
        <x:v>1016469140</x:v>
      </x:c>
      <x:c r="AH311" s="17" t="n">
        <x:f>IF('Control Room'!$B$5="Normal",'Control Room'!$B$7+'Control Room'!$D$7*SQRT(-2*LN(MAX(0.000000000001,AF311/2147483647)))*COS(2*PI()*AG311/2147483647),'Control Room'!$B$8+('Control Room'!$D$8-'Control Room'!$B$8)*AF311/2147483647)</x:f>
        <x:v>937.0522294483523</x:v>
      </x:c>
      <x:c r="AI311" s="17" t="n">
        <x:f>IF('Control Room'!$B$5="Normal",'Control Room'!$B$7,('Control Room'!$B$8+'Control Room'!$D$8)/2)+'Control Room'!$B$9*(AI310-IF('Control Room'!$B$5="Normal",'Control Room'!$B$7,('Control Room'!$B$8+'Control Room'!$D$8)/2))+SQRT(1-'Control Room'!$B$9^2)*(AH311-IF('Control Room'!$B$5="Normal",'Control Room'!$B$7,('Control Room'!$B$8+'Control Room'!$D$8)/2))</x:f>
        <x:v>942.5512334866024</x:v>
      </x:c>
      <x:c r="AJ311" s="17" t="n">
        <x:f>IF(AND($A311&gt;='Control Room'!$A$13,$A311&lt;'Control Room'!$A$13+'Control Room'!$B$13,'Process'!BQ2=1),1+('Control Room'!$C$13-1)*EXP(-0.5*(($A311-'Control Room'!$A$13-('Control Room'!$B$13-1)/2)/MAX(0.5,'Control Room'!$B$13/4))^2),1)*IF(AND($A311&gt;='Control Room'!$A$14,$A311&lt;'Control Room'!$A$14+'Control Room'!$B$14,'Process'!BQ3=1),1+('Control Room'!$C$14-1)*EXP(-0.5*(($A311-'Control Room'!$A$14-('Control Room'!$B$14-1)/2)/MAX(0.5,'Control Room'!$B$14/4))^2),1)*IF(AND($A311&gt;='Control Room'!$A$15,$A311&lt;'Control Room'!$A$15+'Control Room'!$B$15,'Process'!BQ4=1),1+('Control Room'!$C$15-1)*EXP(-0.5*(($A311-'Control Room'!$A$15-('Control Room'!$B$15-1)/2)/MAX(0.5,'Control Room'!$B$15/4))^2),1)*IF(AND($A311&gt;='Control Room'!$A$16,$A311&lt;'Control Room'!$A$16+'Control Room'!$B$16,'Process'!BQ5=1),1+('Control Room'!$C$16-1)*EXP(-0.5*(($A311-'Control Room'!$A$16-('Control Room'!$B$16-1)/2)/MAX(0.5,'Control Room'!$B$16/4))^2),1)</x:f>
        <x:v>1</x:v>
      </x:c>
      <x:c r="AK311" s="9" t="n">
        <x:f>MOD(AL310*16807,2147483647)</x:f>
        <x:v>1504603311</x:v>
      </x:c>
      <x:c r="AL311" s="9" t="n">
        <x:f>MOD(AK311*16807,2147483647)</x:f>
        <x:v>1247904552</x:v>
      </x:c>
      <x:c r="AM311" s="17" t="n">
        <x:f>IF('Control Room'!$B$5="Normal",'Control Room'!$B$7+'Control Room'!$D$7*SQRT(-2*LN(MAX(0.000000000001,AK311/2147483647)))*COS(2*PI()*AL311/2147483647),'Control Room'!$B$8+('Control Room'!$D$8-'Control Room'!$B$8)*AK311/2147483647)</x:f>
        <x:v>933.7277418404091</x:v>
      </x:c>
      <x:c r="AN311" s="17" t="n">
        <x:f>IF('Control Room'!$B$5="Normal",'Control Room'!$B$7,('Control Room'!$B$8+'Control Room'!$D$8)/2)+'Control Room'!$B$9*(AN310-IF('Control Room'!$B$5="Normal",'Control Room'!$B$7,('Control Room'!$B$8+'Control Room'!$D$8)/2))+SQRT(1-'Control Room'!$B$9^2)*(AM311-IF('Control Room'!$B$5="Normal",'Control Room'!$B$7,('Control Room'!$B$8+'Control Room'!$D$8)/2))</x:f>
        <x:v>953.3773879054917</x:v>
      </x:c>
      <x:c r="AO311" s="17" t="n">
        <x:f>IF(AND($A311&gt;='Control Room'!$A$13,$A311&lt;'Control Room'!$A$13+'Control Room'!$B$13,'Process'!BR2=1),1+('Control Room'!$C$13-1)*EXP(-0.5*(($A311-'Control Room'!$A$13-('Control Room'!$B$13-1)/2)/MAX(0.5,'Control Room'!$B$13/4))^2),1)*IF(AND($A311&gt;='Control Room'!$A$14,$A311&lt;'Control Room'!$A$14+'Control Room'!$B$14,'Process'!BR3=1),1+('Control Room'!$C$14-1)*EXP(-0.5*(($A311-'Control Room'!$A$14-('Control Room'!$B$14-1)/2)/MAX(0.5,'Control Room'!$B$14/4))^2),1)*IF(AND($A311&gt;='Control Room'!$A$15,$A311&lt;'Control Room'!$A$15+'Control Room'!$B$15,'Process'!BR4=1),1+('Control Room'!$C$15-1)*EXP(-0.5*(($A311-'Control Room'!$A$15-('Control Room'!$B$15-1)/2)/MAX(0.5,'Control Room'!$B$15/4))^2),1)*IF(AND($A311&gt;='Control Room'!$A$16,$A311&lt;'Control Room'!$A$16+'Control Room'!$B$16,'Process'!BR5=1),1+('Control Room'!$C$16-1)*EXP(-0.5*(($A311-'Control Room'!$A$16-('Control Room'!$B$16-1)/2)/MAX(0.5,'Control Room'!$B$16/4))^2),1)</x:f>
        <x:v>1</x:v>
      </x:c>
      <x:c r="AP311" s="9" t="n">
        <x:f>MOD(AQ310*16807,2147483647)</x:f>
        <x:v>1339406374</x:v>
      </x:c>
      <x:c r="AQ311" s="9" t="n">
        <x:f>MOD(AP311*16807,2147483647)</x:f>
        <x:v>1479339964</x:v>
      </x:c>
      <x:c r="AR311" s="17" t="n">
        <x:f>IF('Control Room'!$B$5="Normal",'Control Room'!$B$7+'Control Room'!$D$7*SQRT(-2*LN(MAX(0.000000000001,AP311/2147483647)))*COS(2*PI()*AQ311/2147483647),'Control Room'!$B$8+('Control Room'!$D$8-'Control Room'!$B$8)*AP311/2147483647)</x:f>
        <x:v>967.2316434044525</x:v>
      </x:c>
      <x:c r="AS311" s="17" t="n">
        <x:f>IF('Control Room'!$B$5="Normal",'Control Room'!$B$7,('Control Room'!$B$8+'Control Room'!$D$8)/2)+'Control Room'!$B$9*(AS310-IF('Control Room'!$B$5="Normal",'Control Room'!$B$7,('Control Room'!$B$8+'Control Room'!$D$8)/2))+SQRT(1-'Control Room'!$B$9^2)*(AR311-IF('Control Room'!$B$5="Normal",'Control Room'!$B$7,('Control Room'!$B$8+'Control Room'!$D$8)/2))</x:f>
        <x:v>961.9830536383292</x:v>
      </x:c>
      <x:c r="AT311" s="17" t="n">
        <x:f>IF(AND($A311&gt;='Control Room'!$A$13,$A311&lt;'Control Room'!$A$13+'Control Room'!$B$13,'Process'!BS2=1),1+('Control Room'!$C$13-1)*EXP(-0.5*(($A311-'Control Room'!$A$13-('Control Room'!$B$13-1)/2)/MAX(0.5,'Control Room'!$B$13/4))^2),1)*IF(AND($A311&gt;='Control Room'!$A$14,$A311&lt;'Control Room'!$A$14+'Control Room'!$B$14,'Process'!BS3=1),1+('Control Room'!$C$14-1)*EXP(-0.5*(($A311-'Control Room'!$A$14-('Control Room'!$B$14-1)/2)/MAX(0.5,'Control Room'!$B$14/4))^2),1)*IF(AND($A311&gt;='Control Room'!$A$15,$A311&lt;'Control Room'!$A$15+'Control Room'!$B$15,'Process'!BS4=1),1+('Control Room'!$C$15-1)*EXP(-0.5*(($A311-'Control Room'!$A$15-('Control Room'!$B$15-1)/2)/MAX(0.5,'Control Room'!$B$15/4))^2),1)*IF(AND($A311&gt;='Control Room'!$A$16,$A311&lt;'Control Room'!$A$16+'Control Room'!$B$16,'Process'!BS5=1),1+('Control Room'!$C$16-1)*EXP(-0.5*(($A311-'Control Room'!$A$16-('Control Room'!$B$16-1)/2)/MAX(0.5,'Control Room'!$B$16/4))^2),1)</x:f>
        <x:v>1</x:v>
      </x:c>
      <x:c r="AU311" s="9" t="n">
        <x:f>MOD(AV310*16807,2147483647)</x:f>
        <x:v>1174209437</x:v>
      </x:c>
      <x:c r="AV311" s="9" t="n">
        <x:f>MOD(AU311*16807,2147483647)</x:f>
        <x:v>1710775376</x:v>
      </x:c>
      <x:c r="AW311" s="17" t="n">
        <x:f>IF('Control Room'!$B$5="Normal",'Control Room'!$B$7+'Control Room'!$D$7*SQRT(-2*LN(MAX(0.000000000001,AU311/2147483647)))*COS(2*PI()*AV311/2147483647),'Control Room'!$B$8+('Control Room'!$D$8-'Control Room'!$B$8)*AU311/2147483647)</x:f>
        <x:v>1028.5686741571305</x:v>
      </x:c>
      <x:c r="AX311" s="17" t="n">
        <x:f>IF('Control Room'!$B$5="Normal",'Control Room'!$B$7,('Control Room'!$B$8+'Control Room'!$D$8)/2)+'Control Room'!$B$9*(AX310-IF('Control Room'!$B$5="Normal",'Control Room'!$B$7,('Control Room'!$B$8+'Control Room'!$D$8)/2))+SQRT(1-'Control Room'!$B$9^2)*(AW311-IF('Control Room'!$B$5="Normal",'Control Room'!$B$7,('Control Room'!$B$8+'Control Room'!$D$8)/2))</x:f>
        <x:v>1076.0293892889617</x:v>
      </x:c>
      <x:c r="AY311" s="17" t="n">
        <x:f>IF(AND($A311&gt;='Control Room'!$A$13,$A311&lt;'Control Room'!$A$13+'Control Room'!$B$13,'Process'!BT2=1),1+('Control Room'!$C$13-1)*EXP(-0.5*(($A311-'Control Room'!$A$13-('Control Room'!$B$13-1)/2)/MAX(0.5,'Control Room'!$B$13/4))^2),1)*IF(AND($A311&gt;='Control Room'!$A$14,$A311&lt;'Control Room'!$A$14+'Control Room'!$B$14,'Process'!BT3=1),1+('Control Room'!$C$14-1)*EXP(-0.5*(($A311-'Control Room'!$A$14-('Control Room'!$B$14-1)/2)/MAX(0.5,'Control Room'!$B$14/4))^2),1)*IF(AND($A311&gt;='Control Room'!$A$15,$A311&lt;'Control Room'!$A$15+'Control Room'!$B$15,'Process'!BT4=1),1+('Control Room'!$C$15-1)*EXP(-0.5*(($A311-'Control Room'!$A$15-('Control Room'!$B$15-1)/2)/MAX(0.5,'Control Room'!$B$15/4))^2),1)*IF(AND($A311&gt;='Control Room'!$A$16,$A311&lt;'Control Room'!$A$16+'Control Room'!$B$16,'Process'!BT5=1),1+('Control Room'!$C$16-1)*EXP(-0.5*(($A311-'Control Room'!$A$16-('Control Room'!$B$16-1)/2)/MAX(0.5,'Control Room'!$B$16/4))^2),1)</x:f>
        <x:v>1</x:v>
      </x:c>
      <x:c r="AZ311" s="9" t="n">
        <x:f>MOD(BA310*16807,2147483647)</x:f>
        <x:v>1009012500</x:v>
      </x:c>
      <x:c r="BA311" s="9" t="n">
        <x:f>MOD(AZ311*16807,2147483647)</x:f>
        <x:v>1942210788</x:v>
      </x:c>
      <x:c r="BB311" s="17" t="n">
        <x:f>IF('Control Room'!$B$5="Normal",'Control Room'!$B$7+'Control Room'!$D$7*SQRT(-2*LN(MAX(0.000000000001,AZ311/2147483647)))*COS(2*PI()*BA311/2147483647),'Control Room'!$B$8+('Control Room'!$D$8-'Control Room'!$B$8)*AZ311/2147483647)</x:f>
        <x:v>1091.2595016294288</x:v>
      </x:c>
      <x:c r="BC311" s="17" t="n">
        <x:f>IF('Control Room'!$B$5="Normal",'Control Room'!$B$7,('Control Room'!$B$8+'Control Room'!$D$8)/2)+'Control Room'!$B$9*(BC310-IF('Control Room'!$B$5="Normal",'Control Room'!$B$7,('Control Room'!$B$8+'Control Room'!$D$8)/2))+SQRT(1-'Control Room'!$B$9^2)*(BB311-IF('Control Room'!$B$5="Normal",'Control Room'!$B$7,('Control Room'!$B$8+'Control Room'!$D$8)/2))</x:f>
        <x:v>1109.0662049130292</x:v>
      </x:c>
      <x:c r="BD311" s="17" t="n">
        <x:f>IF(AND($A311&gt;='Control Room'!$A$13,$A311&lt;'Control Room'!$A$13+'Control Room'!$B$13,'Process'!BU2=1),1+('Control Room'!$C$13-1)*EXP(-0.5*(($A311-'Control Room'!$A$13-('Control Room'!$B$13-1)/2)/MAX(0.5,'Control Room'!$B$13/4))^2),1)*IF(AND($A311&gt;='Control Room'!$A$14,$A311&lt;'Control Room'!$A$14+'Control Room'!$B$14,'Process'!BU3=1),1+('Control Room'!$C$14-1)*EXP(-0.5*(($A311-'Control Room'!$A$14-('Control Room'!$B$14-1)/2)/MAX(0.5,'Control Room'!$B$14/4))^2),1)*IF(AND($A311&gt;='Control Room'!$A$15,$A311&lt;'Control Room'!$A$15+'Control Room'!$B$15,'Process'!BU4=1),1+('Control Room'!$C$15-1)*EXP(-0.5*(($A311-'Control Room'!$A$15-('Control Room'!$B$15-1)/2)/MAX(0.5,'Control Room'!$B$15/4))^2),1)*IF(AND($A311&gt;='Control Room'!$A$16,$A311&lt;'Control Room'!$A$16+'Control Room'!$B$16,'Process'!BU5=1),1+('Control Room'!$C$16-1)*EXP(-0.5*(($A311-'Control Room'!$A$16-('Control Room'!$B$16-1)/2)/MAX(0.5,'Control Room'!$B$16/4))^2),1)</x:f>
        <x:v>1</x:v>
      </x:c>
      <x:c r="BE311" s="9" t="n">
        <x:f>MOD(BF310*16807,2147483647)</x:f>
        <x:v>843815563</x:v>
      </x:c>
      <x:c r="BF311" s="9" t="n">
        <x:f>MOD(BE311*16807,2147483647)</x:f>
        <x:v>26162553</x:v>
      </x:c>
      <x:c r="BG311" s="17" t="n">
        <x:f>IF('Control Room'!$B$5="Normal",'Control Room'!$B$7+'Control Room'!$D$7*SQRT(-2*LN(MAX(0.000000000001,BE311/2147483647)))*COS(2*PI()*BF311/2147483647),'Control Room'!$B$8+('Control Room'!$D$8-'Control Room'!$B$8)*BE311/2147483647)</x:f>
        <x:v>1122.6548659012556</x:v>
      </x:c>
      <x:c r="BH311" s="17" t="n">
        <x:f>IF('Control Room'!$B$5="Normal",'Control Room'!$B$7,('Control Room'!$B$8+'Control Room'!$D$8)/2)+'Control Room'!$B$9*(BH310-IF('Control Room'!$B$5="Normal",'Control Room'!$B$7,('Control Room'!$B$8+'Control Room'!$D$8)/2))+SQRT(1-'Control Room'!$B$9^2)*(BG311-IF('Control Room'!$B$5="Normal",'Control Room'!$B$7,('Control Room'!$B$8+'Control Room'!$D$8)/2))</x:f>
        <x:v>1157.5856541562962</x:v>
      </x:c>
      <x:c r="BI311" s="17" t="n">
        <x:f>IF(AND($A311&gt;='Control Room'!$A$13,$A311&lt;'Control Room'!$A$13+'Control Room'!$B$13,'Process'!BV2=1),1+('Control Room'!$C$13-1)*EXP(-0.5*(($A311-'Control Room'!$A$13-('Control Room'!$B$13-1)/2)/MAX(0.5,'Control Room'!$B$13/4))^2),1)*IF(AND($A311&gt;='Control Room'!$A$14,$A311&lt;'Control Room'!$A$14+'Control Room'!$B$14,'Process'!BV3=1),1+('Control Room'!$C$14-1)*EXP(-0.5*(($A311-'Control Room'!$A$14-('Control Room'!$B$14-1)/2)/MAX(0.5,'Control Room'!$B$14/4))^2),1)*IF(AND($A311&gt;='Control Room'!$A$15,$A311&lt;'Control Room'!$A$15+'Control Room'!$B$15,'Process'!BV4=1),1+('Control Room'!$C$15-1)*EXP(-0.5*(($A311-'Control Room'!$A$15-('Control Room'!$B$15-1)/2)/MAX(0.5,'Control Room'!$B$15/4))^2),1)*IF(AND($A311&gt;='Control Room'!$A$16,$A311&lt;'Control Room'!$A$16+'Control Room'!$B$16,'Process'!BV5=1),1+('Control Room'!$C$16-1)*EXP(-0.5*(($A311-'Control Room'!$A$16-('Control Room'!$B$16-1)/2)/MAX(0.5,'Control Room'!$B$16/4))^2),1)</x:f>
        <x:v>1</x:v>
      </x:c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Z311" t="str">
        <x:f>IF('Data'!A311="","",TEXT('Data'!A311,"mm-dd"))</x:f>
      </x:c>
    </x:row>
    <x:row r="312" ht="21" customHeight="1">
      <x:c r="A312" s="15" t="n">
        <x:f>'Control Room'!$B$1+310</x:f>
        <x:v>73301</x:v>
      </x:c>
      <x:c r="B312" s="9" t="n">
        <x:f>MOD(C311*16807,2147483647)</x:f>
        <x:v>1006882787</x:v>
      </x:c>
      <x:c r="C312" s="9" t="n">
        <x:f>MOD(B312*16807,2147483647)</x:f>
        <x:v>507862749</x:v>
      </x:c>
      <x:c r="D312" s="17" t="n">
        <x:f>IF('Control Room'!$B$5="Normal",'Control Room'!$B$7+'Control Room'!$D$7*SQRT(-2*LN(MAX(0.000000000001,B312/2147483647)))*COS(2*PI()*C312/2147483647),'Control Room'!$B$8+('Control Room'!$D$8-'Control Room'!$B$8)*B312/2147483647)</x:f>
        <x:v>1009.3903033339078</x:v>
      </x:c>
      <x:c r="E312" s="17" t="n">
        <x:f>IF('Control Room'!$B$5="Normal",'Control Room'!$B$7,('Control Room'!$B$8+'Control Room'!$D$8)/2)+'Control Room'!$B$9*(E311-IF('Control Room'!$B$5="Normal",'Control Room'!$B$7,('Control Room'!$B$8+'Control Room'!$D$8)/2))+SQRT(1-'Control Room'!$B$9^2)*(D312-IF('Control Room'!$B$5="Normal",'Control Room'!$B$7,('Control Room'!$B$8+'Control Room'!$D$8)/2))</x:f>
        <x:v>1029.7619751970608</x:v>
      </x:c>
      <x:c r="F312" s="17" t="n">
        <x:f>IF(AND($A312&gt;='Control Room'!$A$13,$A312&lt;'Control Room'!$A$13+'Control Room'!$B$13,'Process'!BK2=1),1+('Control Room'!$C$13-1)*EXP(-0.5*(($A312-'Control Room'!$A$13-('Control Room'!$B$13-1)/2)/MAX(0.5,'Control Room'!$B$13/4))^2),1)*IF(AND($A312&gt;='Control Room'!$A$14,$A312&lt;'Control Room'!$A$14+'Control Room'!$B$14,'Process'!BK3=1),1+('Control Room'!$C$14-1)*EXP(-0.5*(($A312-'Control Room'!$A$14-('Control Room'!$B$14-1)/2)/MAX(0.5,'Control Room'!$B$14/4))^2),1)*IF(AND($A312&gt;='Control Room'!$A$15,$A312&lt;'Control Room'!$A$15+'Control Room'!$B$15,'Process'!BK4=1),1+('Control Room'!$C$15-1)*EXP(-0.5*(($A312-'Control Room'!$A$15-('Control Room'!$B$15-1)/2)/MAX(0.5,'Control Room'!$B$15/4))^2),1)*IF(AND($A312&gt;='Control Room'!$A$16,$A312&lt;'Control Room'!$A$16+'Control Room'!$B$16,'Process'!BK5=1),1+('Control Room'!$C$16-1)*EXP(-0.5*(($A312-'Control Room'!$A$16-('Control Room'!$B$16-1)/2)/MAX(0.5,'Control Room'!$B$16/4))^2),1)</x:f>
        <x:v>1</x:v>
      </x:c>
      <x:c r="G312" s="9" t="n">
        <x:f>MOD(H311*16807,2147483647)</x:f>
        <x:v>1648967554</x:v>
      </x:c>
      <x:c r="H312" s="9" t="n">
        <x:f>MOD(G312*16807,2147483647)</x:f>
        <x:v>921215543</x:v>
      </x:c>
      <x:c r="I312" s="17" t="n">
        <x:f>IF('Control Room'!$B$5="Normal",'Control Room'!$B$7+'Control Room'!$D$7*SQRT(-2*LN(MAX(0.000000000001,G312/2147483647)))*COS(2*PI()*H312/2147483647),'Control Room'!$B$8+('Control Room'!$D$8-'Control Room'!$B$8)*G312/2147483647)</x:f>
        <x:v>940.9909928967602</x:v>
      </x:c>
      <x:c r="J312" s="17" t="n">
        <x:f>IF('Control Room'!$B$5="Normal",'Control Room'!$B$7,('Control Room'!$B$8+'Control Room'!$D$8)/2)+'Control Room'!$B$9*(J311-IF('Control Room'!$B$5="Normal",'Control Room'!$B$7,('Control Room'!$B$8+'Control Room'!$D$8)/2))+SQRT(1-'Control Room'!$B$9^2)*(I312-IF('Control Room'!$B$5="Normal",'Control Room'!$B$7,('Control Room'!$B$8+'Control Room'!$D$8)/2))</x:f>
        <x:v>967.046770618124</x:v>
      </x:c>
      <x:c r="K312" s="17" t="n">
        <x:f>IF(AND($A312&gt;='Control Room'!$A$13,$A312&lt;'Control Room'!$A$13+'Control Room'!$B$13,'Process'!BL2=1),1+('Control Room'!$C$13-1)*EXP(-0.5*(($A312-'Control Room'!$A$13-('Control Room'!$B$13-1)/2)/MAX(0.5,'Control Room'!$B$13/4))^2),1)*IF(AND($A312&gt;='Control Room'!$A$14,$A312&lt;'Control Room'!$A$14+'Control Room'!$B$14,'Process'!BL3=1),1+('Control Room'!$C$14-1)*EXP(-0.5*(($A312-'Control Room'!$A$14-('Control Room'!$B$14-1)/2)/MAX(0.5,'Control Room'!$B$14/4))^2),1)*IF(AND($A312&gt;='Control Room'!$A$15,$A312&lt;'Control Room'!$A$15+'Control Room'!$B$15,'Process'!BL4=1),1+('Control Room'!$C$15-1)*EXP(-0.5*(($A312-'Control Room'!$A$15-('Control Room'!$B$15-1)/2)/MAX(0.5,'Control Room'!$B$15/4))^2),1)*IF(AND($A312&gt;='Control Room'!$A$16,$A312&lt;'Control Room'!$A$16+'Control Room'!$B$16,'Process'!BL5=1),1+('Control Room'!$C$16-1)*EXP(-0.5*(($A312-'Control Room'!$A$16-('Control Room'!$B$16-1)/2)/MAX(0.5,'Control Room'!$B$16/4))^2),1)</x:f>
        <x:v>1</x:v>
      </x:c>
      <x:c r="L312" s="9" t="n">
        <x:f>MOD(M311*16807,2147483647)</x:f>
        <x:v>143568674</x:v>
      </x:c>
      <x:c r="M312" s="9" t="n">
        <x:f>MOD(L312*16807,2147483647)</x:f>
        <x:v>1334568337</x:v>
      </x:c>
      <x:c r="N312" s="17" t="n">
        <x:f>IF('Control Room'!$B$5="Normal",'Control Room'!$B$7+'Control Room'!$D$7*SQRT(-2*LN(MAX(0.000000000001,L312/2147483647)))*COS(2*PI()*M312/2147483647),'Control Room'!$B$8+('Control Room'!$D$8-'Control Room'!$B$8)*L312/2147483647)</x:f>
        <x:v>848.7129819917877</x:v>
      </x:c>
      <x:c r="O312" s="17" t="n">
        <x:f>IF('Control Room'!$B$5="Normal",'Control Room'!$B$7,('Control Room'!$B$8+'Control Room'!$D$8)/2)+'Control Room'!$B$9*(O311-IF('Control Room'!$B$5="Normal",'Control Room'!$B$7,('Control Room'!$B$8+'Control Room'!$D$8)/2))+SQRT(1-'Control Room'!$B$9^2)*(N312-IF('Control Room'!$B$5="Normal",'Control Room'!$B$7,('Control Room'!$B$8+'Control Room'!$D$8)/2))</x:f>
        <x:v>987.7253173326345</x:v>
      </x:c>
      <x:c r="P312" s="17" t="n">
        <x:f>IF(AND($A312&gt;='Control Room'!$A$13,$A312&lt;'Control Room'!$A$13+'Control Room'!$B$13,'Process'!BM2=1),1+('Control Room'!$C$13-1)*EXP(-0.5*(($A312-'Control Room'!$A$13-('Control Room'!$B$13-1)/2)/MAX(0.5,'Control Room'!$B$13/4))^2),1)*IF(AND($A312&gt;='Control Room'!$A$14,$A312&lt;'Control Room'!$A$14+'Control Room'!$B$14,'Process'!BM3=1),1+('Control Room'!$C$14-1)*EXP(-0.5*(($A312-'Control Room'!$A$14-('Control Room'!$B$14-1)/2)/MAX(0.5,'Control Room'!$B$14/4))^2),1)*IF(AND($A312&gt;='Control Room'!$A$15,$A312&lt;'Control Room'!$A$15+'Control Room'!$B$15,'Process'!BM4=1),1+('Control Room'!$C$15-1)*EXP(-0.5*(($A312-'Control Room'!$A$15-('Control Room'!$B$15-1)/2)/MAX(0.5,'Control Room'!$B$15/4))^2),1)*IF(AND($A312&gt;='Control Room'!$A$16,$A312&lt;'Control Room'!$A$16+'Control Room'!$B$16,'Process'!BM5=1),1+('Control Room'!$C$16-1)*EXP(-0.5*(($A312-'Control Room'!$A$16-('Control Room'!$B$16-1)/2)/MAX(0.5,'Control Room'!$B$16/4))^2),1)</x:f>
        <x:v>1</x:v>
      </x:c>
      <x:c r="Q312" s="9" t="n">
        <x:f>MOD(R311*16807,2147483647)</x:f>
        <x:v>785653441</x:v>
      </x:c>
      <x:c r="R312" s="9" t="n">
        <x:f>MOD(Q312*16807,2147483647)</x:f>
        <x:v>1747921131</x:v>
      </x:c>
      <x:c r="S312" s="17" t="n">
        <x:f>IF('Control Room'!$B$5="Normal",'Control Room'!$B$7+'Control Room'!$D$7*SQRT(-2*LN(MAX(0.000000000001,Q312/2147483647)))*COS(2*PI()*R312/2147483647),'Control Room'!$B$8+('Control Room'!$D$8-'Control Room'!$B$8)*Q312/2147483647)</x:f>
        <x:v>1049.9065673484351</x:v>
      </x:c>
      <x:c r="T312" s="17" t="n">
        <x:f>IF('Control Room'!$B$5="Normal",'Control Room'!$B$7,('Control Room'!$B$8+'Control Room'!$D$8)/2)+'Control Room'!$B$9*(T311-IF('Control Room'!$B$5="Normal",'Control Room'!$B$7,('Control Room'!$B$8+'Control Room'!$D$8)/2))+SQRT(1-'Control Room'!$B$9^2)*(S312-IF('Control Room'!$B$5="Normal",'Control Room'!$B$7,('Control Room'!$B$8+'Control Room'!$D$8)/2))</x:f>
        <x:v>1086.9003906207204</x:v>
      </x:c>
      <x:c r="U312" s="17" t="n">
        <x:f>IF(AND($A312&gt;='Control Room'!$A$13,$A312&lt;'Control Room'!$A$13+'Control Room'!$B$13,'Process'!BN2=1),1+('Control Room'!$C$13-1)*EXP(-0.5*(($A312-'Control Room'!$A$13-('Control Room'!$B$13-1)/2)/MAX(0.5,'Control Room'!$B$13/4))^2),1)*IF(AND($A312&gt;='Control Room'!$A$14,$A312&lt;'Control Room'!$A$14+'Control Room'!$B$14,'Process'!BN3=1),1+('Control Room'!$C$14-1)*EXP(-0.5*(($A312-'Control Room'!$A$14-('Control Room'!$B$14-1)/2)/MAX(0.5,'Control Room'!$B$14/4))^2),1)*IF(AND($A312&gt;='Control Room'!$A$15,$A312&lt;'Control Room'!$A$15+'Control Room'!$B$15,'Process'!BN4=1),1+('Control Room'!$C$15-1)*EXP(-0.5*(($A312-'Control Room'!$A$15-('Control Room'!$B$15-1)/2)/MAX(0.5,'Control Room'!$B$15/4))^2),1)*IF(AND($A312&gt;='Control Room'!$A$16,$A312&lt;'Control Room'!$A$16+'Control Room'!$B$16,'Process'!BN5=1),1+('Control Room'!$C$16-1)*EXP(-0.5*(($A312-'Control Room'!$A$16-('Control Room'!$B$16-1)/2)/MAX(0.5,'Control Room'!$B$16/4))^2),1)</x:f>
        <x:v>1</x:v>
      </x:c>
      <x:c r="V312" s="9" t="n">
        <x:f>MOD(W311*16807,2147483647)</x:f>
        <x:v>1427738208</x:v>
      </x:c>
      <x:c r="W312" s="9" t="n">
        <x:f>MOD(V312*16807,2147483647)</x:f>
        <x:v>13790278</x:v>
      </x:c>
      <x:c r="X312" s="17" t="n">
        <x:f>IF('Control Room'!$B$5="Normal",'Control Room'!$B$7+'Control Room'!$D$7*SQRT(-2*LN(MAX(0.000000000001,V312/2147483647)))*COS(2*PI()*W312/2147483647),'Control Room'!$B$8+('Control Room'!$D$8-'Control Room'!$B$8)*V312/2147483647)</x:f>
        <x:v>1081.2537082431045</x:v>
      </x:c>
      <x:c r="Y312" s="17" t="n">
        <x:f>IF('Control Room'!$B$5="Normal",'Control Room'!$B$7,('Control Room'!$B$8+'Control Room'!$D$8)/2)+'Control Room'!$B$9*(Y311-IF('Control Room'!$B$5="Normal",'Control Room'!$B$7,('Control Room'!$B$8+'Control Room'!$D$8)/2))+SQRT(1-'Control Room'!$B$9^2)*(X312-IF('Control Room'!$B$5="Normal",'Control Room'!$B$7,('Control Room'!$B$8+'Control Room'!$D$8)/2))</x:f>
        <x:v>1009.8414638987143</x:v>
      </x:c>
      <x:c r="Z312" s="17" t="n">
        <x:f>IF(AND($A312&gt;='Control Room'!$A$13,$A312&lt;'Control Room'!$A$13+'Control Room'!$B$13,'Process'!BO2=1),1+('Control Room'!$C$13-1)*EXP(-0.5*(($A312-'Control Room'!$A$13-('Control Room'!$B$13-1)/2)/MAX(0.5,'Control Room'!$B$13/4))^2),1)*IF(AND($A312&gt;='Control Room'!$A$14,$A312&lt;'Control Room'!$A$14+'Control Room'!$B$14,'Process'!BO3=1),1+('Control Room'!$C$14-1)*EXP(-0.5*(($A312-'Control Room'!$A$14-('Control Room'!$B$14-1)/2)/MAX(0.5,'Control Room'!$B$14/4))^2),1)*IF(AND($A312&gt;='Control Room'!$A$15,$A312&lt;'Control Room'!$A$15+'Control Room'!$B$15,'Process'!BO4=1),1+('Control Room'!$C$15-1)*EXP(-0.5*(($A312-'Control Room'!$A$15-('Control Room'!$B$15-1)/2)/MAX(0.5,'Control Room'!$B$15/4))^2),1)*IF(AND($A312&gt;='Control Room'!$A$16,$A312&lt;'Control Room'!$A$16+'Control Room'!$B$16,'Process'!BO5=1),1+('Control Room'!$C$16-1)*EXP(-0.5*(($A312-'Control Room'!$A$16-('Control Room'!$B$16-1)/2)/MAX(0.5,'Control Room'!$B$16/4))^2),1)</x:f>
        <x:v>1</x:v>
      </x:c>
      <x:c r="AA312" s="9" t="n">
        <x:f>MOD(AB311*16807,2147483647)</x:f>
        <x:v>2069822975</x:v>
      </x:c>
      <x:c r="AB312" s="9" t="n">
        <x:f>MOD(AA312*16807,2147483647)</x:f>
        <x:v>427143072</x:v>
      </x:c>
      <x:c r="AC312" s="17" t="n">
        <x:f>IF('Control Room'!$B$5="Normal",'Control Room'!$B$7+'Control Room'!$D$7*SQRT(-2*LN(MAX(0.000000000001,AA312/2147483647)))*COS(2*PI()*AB312/2147483647),'Control Room'!$B$8+('Control Room'!$D$8-'Control Room'!$B$8)*AA312/2147483647)</x:f>
        <x:v>1007.7083351507869</x:v>
      </x:c>
      <x:c r="AD312" s="17" t="n">
        <x:f>IF('Control Room'!$B$5="Normal",'Control Room'!$B$7,('Control Room'!$B$8+'Control Room'!$D$8)/2)+'Control Room'!$B$9*(AD311-IF('Control Room'!$B$5="Normal",'Control Room'!$B$7,('Control Room'!$B$8+'Control Room'!$D$8)/2))+SQRT(1-'Control Room'!$B$9^2)*(AC312-IF('Control Room'!$B$5="Normal",'Control Room'!$B$7,('Control Room'!$B$8+'Control Room'!$D$8)/2))</x:f>
        <x:v>882.4691095204716</x:v>
      </x:c>
      <x:c r="AE312" s="17" t="n">
        <x:f>IF(AND($A312&gt;='Control Room'!$A$13,$A312&lt;'Control Room'!$A$13+'Control Room'!$B$13,'Process'!BP2=1),1+('Control Room'!$C$13-1)*EXP(-0.5*(($A312-'Control Room'!$A$13-('Control Room'!$B$13-1)/2)/MAX(0.5,'Control Room'!$B$13/4))^2),1)*IF(AND($A312&gt;='Control Room'!$A$14,$A312&lt;'Control Room'!$A$14+'Control Room'!$B$14,'Process'!BP3=1),1+('Control Room'!$C$14-1)*EXP(-0.5*(($A312-'Control Room'!$A$14-('Control Room'!$B$14-1)/2)/MAX(0.5,'Control Room'!$B$14/4))^2),1)*IF(AND($A312&gt;='Control Room'!$A$15,$A312&lt;'Control Room'!$A$15+'Control Room'!$B$15,'Process'!BP4=1),1+('Control Room'!$C$15-1)*EXP(-0.5*(($A312-'Control Room'!$A$15-('Control Room'!$B$15-1)/2)/MAX(0.5,'Control Room'!$B$15/4))^2),1)*IF(AND($A312&gt;='Control Room'!$A$16,$A312&lt;'Control Room'!$A$16+'Control Room'!$B$16,'Process'!BP5=1),1+('Control Room'!$C$16-1)*EXP(-0.5*(($A312-'Control Room'!$A$16-('Control Room'!$B$16-1)/2)/MAX(0.5,'Control Room'!$B$16/4))^2),1)</x:f>
        <x:v>1</x:v>
      </x:c>
      <x:c r="AF312" s="9" t="n">
        <x:f>MOD(AG311*16807,2147483647)</x:f>
        <x:v>564424095</x:v>
      </x:c>
      <x:c r="AG312" s="9" t="n">
        <x:f>MOD(AF312*16807,2147483647)</x:f>
        <x:v>840495866</x:v>
      </x:c>
      <x:c r="AH312" s="17" t="n">
        <x:f>IF('Control Room'!$B$5="Normal",'Control Room'!$B$7+'Control Room'!$D$7*SQRT(-2*LN(MAX(0.000000000001,AF312/2147483647)))*COS(2*PI()*AG312/2147483647),'Control Room'!$B$8+('Control Room'!$D$8-'Control Room'!$B$8)*AF312/2147483647)</x:f>
        <x:v>885.8218815916703</x:v>
      </x:c>
      <x:c r="AI312" s="17" t="n">
        <x:f>IF('Control Room'!$B$5="Normal",'Control Room'!$B$7,('Control Room'!$B$8+'Control Room'!$D$8)/2)+'Control Room'!$B$9*(AI311-IF('Control Room'!$B$5="Normal",'Control Room'!$B$7,('Control Room'!$B$8+'Control Room'!$D$8)/2))+SQRT(1-'Control Room'!$B$9^2)*(AH312-IF('Control Room'!$B$5="Normal",'Control Room'!$B$7,('Control Room'!$B$8+'Control Room'!$D$8)/2))</x:f>
        <x:v>883.7396346855123</x:v>
      </x:c>
      <x:c r="AJ312" s="17" t="n">
        <x:f>IF(AND($A312&gt;='Control Room'!$A$13,$A312&lt;'Control Room'!$A$13+'Control Room'!$B$13,'Process'!BQ2=1),1+('Control Room'!$C$13-1)*EXP(-0.5*(($A312-'Control Room'!$A$13-('Control Room'!$B$13-1)/2)/MAX(0.5,'Control Room'!$B$13/4))^2),1)*IF(AND($A312&gt;='Control Room'!$A$14,$A312&lt;'Control Room'!$A$14+'Control Room'!$B$14,'Process'!BQ3=1),1+('Control Room'!$C$14-1)*EXP(-0.5*(($A312-'Control Room'!$A$14-('Control Room'!$B$14-1)/2)/MAX(0.5,'Control Room'!$B$14/4))^2),1)*IF(AND($A312&gt;='Control Room'!$A$15,$A312&lt;'Control Room'!$A$15+'Control Room'!$B$15,'Process'!BQ4=1),1+('Control Room'!$C$15-1)*EXP(-0.5*(($A312-'Control Room'!$A$15-('Control Room'!$B$15-1)/2)/MAX(0.5,'Control Room'!$B$15/4))^2),1)*IF(AND($A312&gt;='Control Room'!$A$16,$A312&lt;'Control Room'!$A$16+'Control Room'!$B$16,'Process'!BQ5=1),1+('Control Room'!$C$16-1)*EXP(-0.5*(($A312-'Control Room'!$A$16-('Control Room'!$B$16-1)/2)/MAX(0.5,'Control Room'!$B$16/4))^2),1)</x:f>
        <x:v>1</x:v>
      </x:c>
      <x:c r="AK312" s="9" t="n">
        <x:f>MOD(AL311*16807,2147483647)</x:f>
        <x:v>1206508862</x:v>
      </x:c>
      <x:c r="AL312" s="9" t="n">
        <x:f>MOD(AK312*16807,2147483647)</x:f>
        <x:v>1253848660</x:v>
      </x:c>
      <x:c r="AM312" s="17" t="n">
        <x:f>IF('Control Room'!$B$5="Normal",'Control Room'!$B$7+'Control Room'!$D$7*SQRT(-2*LN(MAX(0.000000000001,AK312/2147483647)))*COS(2*PI()*AL312/2147483647),'Control Room'!$B$8+('Control Room'!$D$8-'Control Room'!$B$8)*AK312/2147483647)</x:f>
        <x:v>916.4655283054407</x:v>
      </x:c>
      <x:c r="AN312" s="17" t="n">
        <x:f>IF('Control Room'!$B$5="Normal",'Control Room'!$B$7,('Control Room'!$B$8+'Control Room'!$D$8)/2)+'Control Room'!$B$9*(AN311-IF('Control Room'!$B$5="Normal",'Control Room'!$B$7,('Control Room'!$B$8+'Control Room'!$D$8)/2))+SQRT(1-'Control Room'!$B$9^2)*(AM312-IF('Control Room'!$B$5="Normal",'Control Room'!$B$7,('Control Room'!$B$8+'Control Room'!$D$8)/2))</x:f>
        <x:v>911.3602014764981</x:v>
      </x:c>
      <x:c r="AO312" s="17" t="n">
        <x:f>IF(AND($A312&gt;='Control Room'!$A$13,$A312&lt;'Control Room'!$A$13+'Control Room'!$B$13,'Process'!BR2=1),1+('Control Room'!$C$13-1)*EXP(-0.5*(($A312-'Control Room'!$A$13-('Control Room'!$B$13-1)/2)/MAX(0.5,'Control Room'!$B$13/4))^2),1)*IF(AND($A312&gt;='Control Room'!$A$14,$A312&lt;'Control Room'!$A$14+'Control Room'!$B$14,'Process'!BR3=1),1+('Control Room'!$C$14-1)*EXP(-0.5*(($A312-'Control Room'!$A$14-('Control Room'!$B$14-1)/2)/MAX(0.5,'Control Room'!$B$14/4))^2),1)*IF(AND($A312&gt;='Control Room'!$A$15,$A312&lt;'Control Room'!$A$15+'Control Room'!$B$15,'Process'!BR4=1),1+('Control Room'!$C$15-1)*EXP(-0.5*(($A312-'Control Room'!$A$15-('Control Room'!$B$15-1)/2)/MAX(0.5,'Control Room'!$B$15/4))^2),1)*IF(AND($A312&gt;='Control Room'!$A$16,$A312&lt;'Control Room'!$A$16+'Control Room'!$B$16,'Process'!BR5=1),1+('Control Room'!$C$16-1)*EXP(-0.5*(($A312-'Control Room'!$A$16-('Control Room'!$B$16-1)/2)/MAX(0.5,'Control Room'!$B$16/4))^2),1)</x:f>
        <x:v>1</x:v>
      </x:c>
      <x:c r="AP312" s="9" t="n">
        <x:f>MOD(AQ311*16807,2147483647)</x:f>
        <x:v>1848593629</x:v>
      </x:c>
      <x:c r="AQ312" s="9" t="n">
        <x:f>MOD(AP312*16807,2147483647)</x:f>
        <x:v>1667201454</x:v>
      </x:c>
      <x:c r="AR312" s="17" t="n">
        <x:f>IF('Control Room'!$B$5="Normal",'Control Room'!$B$7+'Control Room'!$D$7*SQRT(-2*LN(MAX(0.000000000001,AP312/2147483647)))*COS(2*PI()*AQ312/2147483647),'Control Room'!$B$8+('Control Room'!$D$8-'Control Room'!$B$8)*AP312/2147483647)</x:f>
        <x:v>1008.1210280114886</x:v>
      </x:c>
      <x:c r="AS312" s="17" t="n">
        <x:f>IF('Control Room'!$B$5="Normal",'Control Room'!$B$7,('Control Room'!$B$8+'Control Room'!$D$8)/2)+'Control Room'!$B$9*(AS311-IF('Control Room'!$B$5="Normal",'Control Room'!$B$7,('Control Room'!$B$8+'Control Room'!$D$8)/2))+SQRT(1-'Control Room'!$B$9^2)*(AR312-IF('Control Room'!$B$5="Normal",'Control Room'!$B$7,('Control Room'!$B$8+'Control Room'!$D$8)/2))</x:f>
        <x:v>975.4287547991847</x:v>
      </x:c>
      <x:c r="AT312" s="17" t="n">
        <x:f>IF(AND($A312&gt;='Control Room'!$A$13,$A312&lt;'Control Room'!$A$13+'Control Room'!$B$13,'Process'!BS2=1),1+('Control Room'!$C$13-1)*EXP(-0.5*(($A312-'Control Room'!$A$13-('Control Room'!$B$13-1)/2)/MAX(0.5,'Control Room'!$B$13/4))^2),1)*IF(AND($A312&gt;='Control Room'!$A$14,$A312&lt;'Control Room'!$A$14+'Control Room'!$B$14,'Process'!BS3=1),1+('Control Room'!$C$14-1)*EXP(-0.5*(($A312-'Control Room'!$A$14-('Control Room'!$B$14-1)/2)/MAX(0.5,'Control Room'!$B$14/4))^2),1)*IF(AND($A312&gt;='Control Room'!$A$15,$A312&lt;'Control Room'!$A$15+'Control Room'!$B$15,'Process'!BS4=1),1+('Control Room'!$C$15-1)*EXP(-0.5*(($A312-'Control Room'!$A$15-('Control Room'!$B$15-1)/2)/MAX(0.5,'Control Room'!$B$15/4))^2),1)*IF(AND($A312&gt;='Control Room'!$A$16,$A312&lt;'Control Room'!$A$16+'Control Room'!$B$16,'Process'!BS5=1),1+('Control Room'!$C$16-1)*EXP(-0.5*(($A312-'Control Room'!$A$16-('Control Room'!$B$16-1)/2)/MAX(0.5,'Control Room'!$B$16/4))^2),1)</x:f>
        <x:v>1</x:v>
      </x:c>
      <x:c r="AU312" s="9" t="n">
        <x:f>MOD(AV311*16807,2147483647)</x:f>
        <x:v>343194749</x:v>
      </x:c>
      <x:c r="AV312" s="9" t="n">
        <x:f>MOD(AU312*16807,2147483647)</x:f>
        <x:v>2080554248</x:v>
      </x:c>
      <x:c r="AW312" s="17" t="n">
        <x:f>IF('Control Room'!$B$5="Normal",'Control Room'!$B$7+'Control Room'!$D$7*SQRT(-2*LN(MAX(0.000000000001,AU312/2147483647)))*COS(2*PI()*AV312/2147483647),'Control Room'!$B$8+('Control Room'!$D$8-'Control Room'!$B$8)*AU312/2147483647)</x:f>
        <x:v>1169.0624967317726</x:v>
      </x:c>
      <x:c r="AX312" s="17" t="n">
        <x:f>IF('Control Room'!$B$5="Normal",'Control Room'!$B$7,('Control Room'!$B$8+'Control Room'!$D$8)/2)+'Control Room'!$B$9*(AX311-IF('Control Room'!$B$5="Normal",'Control Room'!$B$7,('Control Room'!$B$8+'Control Room'!$D$8)/2))+SQRT(1-'Control Room'!$B$9^2)*(AW312-IF('Control Room'!$B$5="Normal",'Control Room'!$B$7,('Control Room'!$B$8+'Control Room'!$D$8)/2))</x:f>
        <x:v>1165.0987706666335</x:v>
      </x:c>
      <x:c r="AY312" s="17" t="n">
        <x:f>IF(AND($A312&gt;='Control Room'!$A$13,$A312&lt;'Control Room'!$A$13+'Control Room'!$B$13,'Process'!BT2=1),1+('Control Room'!$C$13-1)*EXP(-0.5*(($A312-'Control Room'!$A$13-('Control Room'!$B$13-1)/2)/MAX(0.5,'Control Room'!$B$13/4))^2),1)*IF(AND($A312&gt;='Control Room'!$A$14,$A312&lt;'Control Room'!$A$14+'Control Room'!$B$14,'Process'!BT3=1),1+('Control Room'!$C$14-1)*EXP(-0.5*(($A312-'Control Room'!$A$14-('Control Room'!$B$14-1)/2)/MAX(0.5,'Control Room'!$B$14/4))^2),1)*IF(AND($A312&gt;='Control Room'!$A$15,$A312&lt;'Control Room'!$A$15+'Control Room'!$B$15,'Process'!BT4=1),1+('Control Room'!$C$15-1)*EXP(-0.5*(($A312-'Control Room'!$A$15-('Control Room'!$B$15-1)/2)/MAX(0.5,'Control Room'!$B$15/4))^2),1)*IF(AND($A312&gt;='Control Room'!$A$16,$A312&lt;'Control Room'!$A$16+'Control Room'!$B$16,'Process'!BT5=1),1+('Control Room'!$C$16-1)*EXP(-0.5*(($A312-'Control Room'!$A$16-('Control Room'!$B$16-1)/2)/MAX(0.5,'Control Room'!$B$16/4))^2),1)</x:f>
        <x:v>1</x:v>
      </x:c>
      <x:c r="AZ312" s="9" t="n">
        <x:f>MOD(BA311*16807,2147483647)</x:f>
        <x:v>985279516</x:v>
      </x:c>
      <x:c r="BA312" s="9" t="n">
        <x:f>MOD(AZ312*16807,2147483647)</x:f>
        <x:v>346423395</x:v>
      </x:c>
      <x:c r="BB312" s="17" t="n">
        <x:f>IF('Control Room'!$B$5="Normal",'Control Room'!$B$7+'Control Room'!$D$7*SQRT(-2*LN(MAX(0.000000000001,AZ312/2147483647)))*COS(2*PI()*BA312/2147483647),'Control Room'!$B$8+('Control Room'!$D$8-'Control Room'!$B$8)*AZ312/2147483647)</x:f>
        <x:v>1059.4121665826385</x:v>
      </x:c>
      <x:c r="BC312" s="17" t="n">
        <x:f>IF('Control Room'!$B$5="Normal",'Control Room'!$B$7,('Control Room'!$B$8+'Control Room'!$D$8)/2)+'Control Room'!$B$9*(BC311-IF('Control Room'!$B$5="Normal",'Control Room'!$B$7,('Control Room'!$B$8+'Control Room'!$D$8)/2))+SQRT(1-'Control Room'!$B$9^2)*(BB312-IF('Control Room'!$B$5="Normal",'Control Room'!$B$7,('Control Room'!$B$8+'Control Room'!$D$8)/2))</x:f>
        <x:v>1122.250556555189</x:v>
      </x:c>
      <x:c r="BD312" s="17" t="n">
        <x:f>IF(AND($A312&gt;='Control Room'!$A$13,$A312&lt;'Control Room'!$A$13+'Control Room'!$B$13,'Process'!BU2=1),1+('Control Room'!$C$13-1)*EXP(-0.5*(($A312-'Control Room'!$A$13-('Control Room'!$B$13-1)/2)/MAX(0.5,'Control Room'!$B$13/4))^2),1)*IF(AND($A312&gt;='Control Room'!$A$14,$A312&lt;'Control Room'!$A$14+'Control Room'!$B$14,'Process'!BU3=1),1+('Control Room'!$C$14-1)*EXP(-0.5*(($A312-'Control Room'!$A$14-('Control Room'!$B$14-1)/2)/MAX(0.5,'Control Room'!$B$14/4))^2),1)*IF(AND($A312&gt;='Control Room'!$A$15,$A312&lt;'Control Room'!$A$15+'Control Room'!$B$15,'Process'!BU4=1),1+('Control Room'!$C$15-1)*EXP(-0.5*(($A312-'Control Room'!$A$15-('Control Room'!$B$15-1)/2)/MAX(0.5,'Control Room'!$B$15/4))^2),1)*IF(AND($A312&gt;='Control Room'!$A$16,$A312&lt;'Control Room'!$A$16+'Control Room'!$B$16,'Process'!BU5=1),1+('Control Room'!$C$16-1)*EXP(-0.5*(($A312-'Control Room'!$A$16-('Control Room'!$B$16-1)/2)/MAX(0.5,'Control Room'!$B$16/4))^2),1)</x:f>
        <x:v>1</x:v>
      </x:c>
      <x:c r="BE312" s="9" t="n">
        <x:f>MOD(BF311*16807,2147483647)</x:f>
        <x:v>1627364283</x:v>
      </x:c>
      <x:c r="BF312" s="9" t="n">
        <x:f>MOD(BE312*16807,2147483647)</x:f>
        <x:v>759776189</x:v>
      </x:c>
      <x:c r="BG312" s="17" t="n">
        <x:f>IF('Control Room'!$B$5="Normal",'Control Room'!$B$7+'Control Room'!$D$7*SQRT(-2*LN(MAX(0.000000000001,BE312/2147483647)))*COS(2*PI()*BF312/2147483647),'Control Room'!$B$8+('Control Room'!$D$8-'Control Room'!$B$8)*BE312/2147483647)</x:f>
        <x:v>959.3187670605239</x:v>
      </x:c>
      <x:c r="BH312" s="17" t="n">
        <x:f>IF('Control Room'!$B$5="Normal",'Control Room'!$B$7,('Control Room'!$B$8+'Control Room'!$D$8)/2)+'Control Room'!$B$9*(BH311-IF('Control Room'!$B$5="Normal",'Control Room'!$B$7,('Control Room'!$B$8+'Control Room'!$D$8)/2))+SQRT(1-'Control Room'!$B$9^2)*(BG312-IF('Control Room'!$B$5="Normal",'Control Room'!$B$7,('Control Room'!$B$8+'Control Room'!$D$8)/2))</x:f>
        <x:v>1097.459328068743</x:v>
      </x:c>
      <x:c r="BI312" s="17" t="n">
        <x:f>IF(AND($A312&gt;='Control Room'!$A$13,$A312&lt;'Control Room'!$A$13+'Control Room'!$B$13,'Process'!BV2=1),1+('Control Room'!$C$13-1)*EXP(-0.5*(($A312-'Control Room'!$A$13-('Control Room'!$B$13-1)/2)/MAX(0.5,'Control Room'!$B$13/4))^2),1)*IF(AND($A312&gt;='Control Room'!$A$14,$A312&lt;'Control Room'!$A$14+'Control Room'!$B$14,'Process'!BV3=1),1+('Control Room'!$C$14-1)*EXP(-0.5*(($A312-'Control Room'!$A$14-('Control Room'!$B$14-1)/2)/MAX(0.5,'Control Room'!$B$14/4))^2),1)*IF(AND($A312&gt;='Control Room'!$A$15,$A312&lt;'Control Room'!$A$15+'Control Room'!$B$15,'Process'!BV4=1),1+('Control Room'!$C$15-1)*EXP(-0.5*(($A312-'Control Room'!$A$15-('Control Room'!$B$15-1)/2)/MAX(0.5,'Control Room'!$B$15/4))^2),1)*IF(AND($A312&gt;='Control Room'!$A$16,$A312&lt;'Control Room'!$A$16+'Control Room'!$B$16,'Process'!BV5=1),1+('Control Room'!$C$16-1)*EXP(-0.5*(($A312-'Control Room'!$A$16-('Control Room'!$B$16-1)/2)/MAX(0.5,'Control Room'!$B$16/4))^2),1)</x:f>
        <x:v>1</x:v>
      </x:c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Z312" t="str">
        <x:f>IF('Data'!A312="","",TEXT('Data'!A312,"mm-dd"))</x:f>
      </x:c>
    </x:row>
    <x:row r="313" ht="21" customHeight="1">
      <x:c r="A313" s="15" t="n">
        <x:f>'Control Room'!$B$1+311</x:f>
        <x:v>73302</x:v>
      </x:c>
      <x:c r="B313" s="9" t="n">
        <x:f>MOD(C312*16807,2147483647)</x:f>
        <x:v>1549209265</x:v>
      </x:c>
      <x:c r="C313" s="9" t="n">
        <x:f>MOD(B313*16807,2147483647)</x:f>
        <x:v>1468380627</x:v>
      </x:c>
      <x:c r="D313" s="17" t="n">
        <x:f>IF('Control Room'!$B$5="Normal",'Control Room'!$B$7+'Control Room'!$D$7*SQRT(-2*LN(MAX(0.000000000001,B313/2147483647)))*COS(2*PI()*C313/2147483647),'Control Room'!$B$8+('Control Room'!$D$8-'Control Room'!$B$8)*B313/2147483647)</x:f>
        <x:v>970.5982539278818</x:v>
      </x:c>
      <x:c r="E313" s="17" t="n">
        <x:f>IF('Control Room'!$B$5="Normal",'Control Room'!$B$7,('Control Room'!$B$8+'Control Room'!$D$8)/2)+'Control Room'!$B$9*(E312-IF('Control Room'!$B$5="Normal",'Control Room'!$B$7,('Control Room'!$B$8+'Control Room'!$D$8)/2))+SQRT(1-'Control Room'!$B$9^2)*(D313-IF('Control Room'!$B$5="Normal",'Control Room'!$B$7,('Control Room'!$B$8+'Control Room'!$D$8)/2))</x:f>
        <x:v>1004.8153302892836</x:v>
      </x:c>
      <x:c r="F313" s="17" t="n">
        <x:f>IF(AND($A313&gt;='Control Room'!$A$13,$A313&lt;'Control Room'!$A$13+'Control Room'!$B$13,'Process'!BK2=1),1+('Control Room'!$C$13-1)*EXP(-0.5*(($A313-'Control Room'!$A$13-('Control Room'!$B$13-1)/2)/MAX(0.5,'Control Room'!$B$13/4))^2),1)*IF(AND($A313&gt;='Control Room'!$A$14,$A313&lt;'Control Room'!$A$14+'Control Room'!$B$14,'Process'!BK3=1),1+('Control Room'!$C$14-1)*EXP(-0.5*(($A313-'Control Room'!$A$14-('Control Room'!$B$14-1)/2)/MAX(0.5,'Control Room'!$B$14/4))^2),1)*IF(AND($A313&gt;='Control Room'!$A$15,$A313&lt;'Control Room'!$A$15+'Control Room'!$B$15,'Process'!BK4=1),1+('Control Room'!$C$15-1)*EXP(-0.5*(($A313-'Control Room'!$A$15-('Control Room'!$B$15-1)/2)/MAX(0.5,'Control Room'!$B$15/4))^2),1)*IF(AND($A313&gt;='Control Room'!$A$16,$A313&lt;'Control Room'!$A$16+'Control Room'!$B$16,'Process'!BK5=1),1+('Control Room'!$C$16-1)*EXP(-0.5*(($A313-'Control Room'!$A$16-('Control Room'!$B$16-1)/2)/MAX(0.5,'Control Room'!$B$16/4))^2),1)</x:f>
        <x:v>1</x:v>
      </x:c>
      <x:c r="G313" s="9" t="n">
        <x:f>MOD(H312*16807,2147483647)</x:f>
        <x:v>1660019978</x:v>
      </x:c>
      <x:c r="H313" s="9" t="n">
        <x:f>MOD(G313*16807,2147483647)</x:f>
        <x:v>1995712069</x:v>
      </x:c>
      <x:c r="I313" s="17" t="n">
        <x:f>IF('Control Room'!$B$5="Normal",'Control Room'!$B$7+'Control Room'!$D$7*SQRT(-2*LN(MAX(0.000000000001,G313/2147483647)))*COS(2*PI()*H313/2147483647),'Control Room'!$B$8+('Control Room'!$D$8-'Control Room'!$B$8)*G313/2147483647)</x:f>
        <x:v>1058.3194696526675</x:v>
      </x:c>
      <x:c r="J313" s="17" t="n">
        <x:f>IF('Control Room'!$B$5="Normal",'Control Room'!$B$7,('Control Room'!$B$8+'Control Room'!$D$8)/2)+'Control Room'!$B$9*(J312-IF('Control Room'!$B$5="Normal",'Control Room'!$B$7,('Control Room'!$B$8+'Control Room'!$D$8)/2))+SQRT(1-'Control Room'!$B$9^2)*(I313-IF('Control Room'!$B$5="Normal",'Control Room'!$B$7,('Control Room'!$B$8+'Control Room'!$D$8)/2))</x:f>
        <x:v>1010.7916104515004</x:v>
      </x:c>
      <x:c r="K313" s="17" t="n">
        <x:f>IF(AND($A313&gt;='Control Room'!$A$13,$A313&lt;'Control Room'!$A$13+'Control Room'!$B$13,'Process'!BL2=1),1+('Control Room'!$C$13-1)*EXP(-0.5*(($A313-'Control Room'!$A$13-('Control Room'!$B$13-1)/2)/MAX(0.5,'Control Room'!$B$13/4))^2),1)*IF(AND($A313&gt;='Control Room'!$A$14,$A313&lt;'Control Room'!$A$14+'Control Room'!$B$14,'Process'!BL3=1),1+('Control Room'!$C$14-1)*EXP(-0.5*(($A313-'Control Room'!$A$14-('Control Room'!$B$14-1)/2)/MAX(0.5,'Control Room'!$B$14/4))^2),1)*IF(AND($A313&gt;='Control Room'!$A$15,$A313&lt;'Control Room'!$A$15+'Control Room'!$B$15,'Process'!BL4=1),1+('Control Room'!$C$15-1)*EXP(-0.5*(($A313-'Control Room'!$A$15-('Control Room'!$B$15-1)/2)/MAX(0.5,'Control Room'!$B$15/4))^2),1)*IF(AND($A313&gt;='Control Room'!$A$16,$A313&lt;'Control Room'!$A$16+'Control Room'!$B$16,'Process'!BL5=1),1+('Control Room'!$C$16-1)*EXP(-0.5*(($A313-'Control Room'!$A$16-('Control Room'!$B$16-1)/2)/MAX(0.5,'Control Room'!$B$16/4))^2),1)</x:f>
        <x:v>1</x:v>
      </x:c>
      <x:c r="L313" s="9" t="n">
        <x:f>MOD(M312*16807,2147483647)</x:f>
        <x:v>1770830691</x:v>
      </x:c>
      <x:c r="M313" s="9" t="n">
        <x:f>MOD(L313*16807,2147483647)</x:f>
        <x:v>375559864</x:v>
      </x:c>
      <x:c r="N313" s="17" t="n">
        <x:f>IF('Control Room'!$B$5="Normal",'Control Room'!$B$7+'Control Room'!$D$7*SQRT(-2*LN(MAX(0.000000000001,L313/2147483647)))*COS(2*PI()*M313/2147483647),'Control Room'!$B$8+('Control Room'!$D$8-'Control Room'!$B$8)*L313/2147483647)</x:f>
        <x:v>1025.411727153621</x:v>
      </x:c>
      <x:c r="O313" s="17" t="n">
        <x:f>IF('Control Room'!$B$5="Normal",'Control Room'!$B$7,('Control Room'!$B$8+'Control Room'!$D$8)/2)+'Control Room'!$B$9*(O312-IF('Control Room'!$B$5="Normal",'Control Room'!$B$7,('Control Room'!$B$8+'Control Room'!$D$8)/2))+SQRT(1-'Control Room'!$B$9^2)*(N313-IF('Control Room'!$B$5="Normal",'Control Room'!$B$7,('Control Room'!$B$8+'Control Room'!$D$8)/2))</x:f>
        <x:v>1006.3278857846639</x:v>
      </x:c>
      <x:c r="P313" s="17" t="n">
        <x:f>IF(AND($A313&gt;='Control Room'!$A$13,$A313&lt;'Control Room'!$A$13+'Control Room'!$B$13,'Process'!BM2=1),1+('Control Room'!$C$13-1)*EXP(-0.5*(($A313-'Control Room'!$A$13-('Control Room'!$B$13-1)/2)/MAX(0.5,'Control Room'!$B$13/4))^2),1)*IF(AND($A313&gt;='Control Room'!$A$14,$A313&lt;'Control Room'!$A$14+'Control Room'!$B$14,'Process'!BM3=1),1+('Control Room'!$C$14-1)*EXP(-0.5*(($A313-'Control Room'!$A$14-('Control Room'!$B$14-1)/2)/MAX(0.5,'Control Room'!$B$14/4))^2),1)*IF(AND($A313&gt;='Control Room'!$A$15,$A313&lt;'Control Room'!$A$15+'Control Room'!$B$15,'Process'!BM4=1),1+('Control Room'!$C$15-1)*EXP(-0.5*(($A313-'Control Room'!$A$15-('Control Room'!$B$15-1)/2)/MAX(0.5,'Control Room'!$B$15/4))^2),1)*IF(AND($A313&gt;='Control Room'!$A$16,$A313&lt;'Control Room'!$A$16+'Control Room'!$B$16,'Process'!BM5=1),1+('Control Room'!$C$16-1)*EXP(-0.5*(($A313-'Control Room'!$A$16-('Control Room'!$B$16-1)/2)/MAX(0.5,'Control Room'!$B$16/4))^2),1)</x:f>
        <x:v>1</x:v>
      </x:c>
      <x:c r="Q313" s="9" t="n">
        <x:f>MOD(R312*16807,2147483647)</x:f>
        <x:v>1881641404</x:v>
      </x:c>
      <x:c r="R313" s="9" t="n">
        <x:f>MOD(Q313*16807,2147483647)</x:f>
        <x:v>902891306</x:v>
      </x:c>
      <x:c r="S313" s="17" t="n">
        <x:f>IF('Control Room'!$B$5="Normal",'Control Room'!$B$7+'Control Room'!$D$7*SQRT(-2*LN(MAX(0.000000000001,Q313/2147483647)))*COS(2*PI()*R313/2147483647),'Control Room'!$B$8+('Control Room'!$D$8-'Control Room'!$B$8)*Q313/2147483647)</x:f>
        <x:v>959.392043400468</x:v>
      </x:c>
      <x:c r="T313" s="17" t="n">
        <x:f>IF('Control Room'!$B$5="Normal",'Control Room'!$B$7,('Control Room'!$B$8+'Control Room'!$D$8)/2)+'Control Room'!$B$9*(T312-IF('Control Room'!$B$5="Normal",'Control Room'!$B$7,('Control Room'!$B$8+'Control Room'!$D$8)/2))+SQRT(1-'Control Room'!$B$9^2)*(S313-IF('Control Room'!$B$5="Normal",'Control Room'!$B$7,('Control Room'!$B$8+'Control Room'!$D$8)/2))</x:f>
        <x:v>1042.3706773433832</x:v>
      </x:c>
      <x:c r="U313" s="17" t="n">
        <x:f>IF(AND($A313&gt;='Control Room'!$A$13,$A313&lt;'Control Room'!$A$13+'Control Room'!$B$13,'Process'!BN2=1),1+('Control Room'!$C$13-1)*EXP(-0.5*(($A313-'Control Room'!$A$13-('Control Room'!$B$13-1)/2)/MAX(0.5,'Control Room'!$B$13/4))^2),1)*IF(AND($A313&gt;='Control Room'!$A$14,$A313&lt;'Control Room'!$A$14+'Control Room'!$B$14,'Process'!BN3=1),1+('Control Room'!$C$14-1)*EXP(-0.5*(($A313-'Control Room'!$A$14-('Control Room'!$B$14-1)/2)/MAX(0.5,'Control Room'!$B$14/4))^2),1)*IF(AND($A313&gt;='Control Room'!$A$15,$A313&lt;'Control Room'!$A$15+'Control Room'!$B$15,'Process'!BN4=1),1+('Control Room'!$C$15-1)*EXP(-0.5*(($A313-'Control Room'!$A$15-('Control Room'!$B$15-1)/2)/MAX(0.5,'Control Room'!$B$15/4))^2),1)*IF(AND($A313&gt;='Control Room'!$A$16,$A313&lt;'Control Room'!$A$16+'Control Room'!$B$16,'Process'!BN5=1),1+('Control Room'!$C$16-1)*EXP(-0.5*(($A313-'Control Room'!$A$16-('Control Room'!$B$16-1)/2)/MAX(0.5,'Control Room'!$B$16/4))^2),1)</x:f>
        <x:v>1</x:v>
      </x:c>
      <x:c r="V313" s="9" t="n">
        <x:f>MOD(W312*16807,2147483647)</x:f>
        <x:v>1992452117</x:v>
      </x:c>
      <x:c r="W313" s="9" t="n">
        <x:f>MOD(V313*16807,2147483647)</x:f>
        <x:v>1430222748</x:v>
      </x:c>
      <x:c r="X313" s="17" t="n">
        <x:f>IF('Control Room'!$B$5="Normal",'Control Room'!$B$7+'Control Room'!$D$7*SQRT(-2*LN(MAX(0.000000000001,V313/2147483647)))*COS(2*PI()*W313/2147483647),'Control Room'!$B$8+('Control Room'!$D$8-'Control Room'!$B$8)*V313/2147483647)</x:f>
        <x:v>982.453278513105</x:v>
      </x:c>
      <x:c r="Y313" s="17" t="n">
        <x:f>IF('Control Room'!$B$5="Normal",'Control Room'!$B$7,('Control Room'!$B$8+'Control Room'!$D$8)/2)+'Control Room'!$B$9*(Y312-IF('Control Room'!$B$5="Normal",'Control Room'!$B$7,('Control Room'!$B$8+'Control Room'!$D$8)/2))+SQRT(1-'Control Room'!$B$9^2)*(X313-IF('Control Room'!$B$5="Normal",'Control Room'!$B$7,('Control Room'!$B$8+'Control Room'!$D$8)/2))</x:f>
        <x:v>996.6959629986267</x:v>
      </x:c>
      <x:c r="Z313" s="17" t="n">
        <x:f>IF(AND($A313&gt;='Control Room'!$A$13,$A313&lt;'Control Room'!$A$13+'Control Room'!$B$13,'Process'!BO2=1),1+('Control Room'!$C$13-1)*EXP(-0.5*(($A313-'Control Room'!$A$13-('Control Room'!$B$13-1)/2)/MAX(0.5,'Control Room'!$B$13/4))^2),1)*IF(AND($A313&gt;='Control Room'!$A$14,$A313&lt;'Control Room'!$A$14+'Control Room'!$B$14,'Process'!BO3=1),1+('Control Room'!$C$14-1)*EXP(-0.5*(($A313-'Control Room'!$A$14-('Control Room'!$B$14-1)/2)/MAX(0.5,'Control Room'!$B$14/4))^2),1)*IF(AND($A313&gt;='Control Room'!$A$15,$A313&lt;'Control Room'!$A$15+'Control Room'!$B$15,'Process'!BO4=1),1+('Control Room'!$C$15-1)*EXP(-0.5*(($A313-'Control Room'!$A$15-('Control Room'!$B$15-1)/2)/MAX(0.5,'Control Room'!$B$15/4))^2),1)*IF(AND($A313&gt;='Control Room'!$A$16,$A313&lt;'Control Room'!$A$16+'Control Room'!$B$16,'Process'!BO5=1),1+('Control Room'!$C$16-1)*EXP(-0.5*(($A313-'Control Room'!$A$16-('Control Room'!$B$16-1)/2)/MAX(0.5,'Control Room'!$B$16/4))^2),1)</x:f>
        <x:v>1</x:v>
      </x:c>
      <x:c r="AA313" s="9" t="n">
        <x:f>MOD(AB312*16807,2147483647)</x:f>
        <x:v>2103262830</x:v>
      </x:c>
      <x:c r="AB313" s="9" t="n">
        <x:f>MOD(AA313*16807,2147483647)</x:f>
        <x:v>1957554190</x:v>
      </x:c>
      <x:c r="AC313" s="17" t="n">
        <x:f>IF('Control Room'!$B$5="Normal",'Control Room'!$B$7+'Control Room'!$D$7*SQRT(-2*LN(MAX(0.000000000001,AA313/2147483647)))*COS(2*PI()*AB313/2147483647),'Control Room'!$B$8+('Control Room'!$D$8-'Control Room'!$B$8)*AA313/2147483647)</x:f>
        <x:v>1015.59695691831</x:v>
      </x:c>
      <x:c r="AD313" s="17" t="n">
        <x:f>IF('Control Room'!$B$5="Normal",'Control Room'!$B$7,('Control Room'!$B$8+'Control Room'!$D$8)/2)+'Control Room'!$B$9*(AD312-IF('Control Room'!$B$5="Normal",'Control Room'!$B$7,('Control Room'!$B$8+'Control Room'!$D$8)/2))+SQRT(1-'Control Room'!$B$9^2)*(AC313-IF('Control Room'!$B$5="Normal",'Control Room'!$B$7,('Control Room'!$B$8+'Control Room'!$D$8)/2))</x:f>
        <x:v>918.0861615444163</x:v>
      </x:c>
      <x:c r="AE313" s="17" t="n">
        <x:f>IF(AND($A313&gt;='Control Room'!$A$13,$A313&lt;'Control Room'!$A$13+'Control Room'!$B$13,'Process'!BP2=1),1+('Control Room'!$C$13-1)*EXP(-0.5*(($A313-'Control Room'!$A$13-('Control Room'!$B$13-1)/2)/MAX(0.5,'Control Room'!$B$13/4))^2),1)*IF(AND($A313&gt;='Control Room'!$A$14,$A313&lt;'Control Room'!$A$14+'Control Room'!$B$14,'Process'!BP3=1),1+('Control Room'!$C$14-1)*EXP(-0.5*(($A313-'Control Room'!$A$14-('Control Room'!$B$14-1)/2)/MAX(0.5,'Control Room'!$B$14/4))^2),1)*IF(AND($A313&gt;='Control Room'!$A$15,$A313&lt;'Control Room'!$A$15+'Control Room'!$B$15,'Process'!BP4=1),1+('Control Room'!$C$15-1)*EXP(-0.5*(($A313-'Control Room'!$A$15-('Control Room'!$B$15-1)/2)/MAX(0.5,'Control Room'!$B$15/4))^2),1)*IF(AND($A313&gt;='Control Room'!$A$16,$A313&lt;'Control Room'!$A$16+'Control Room'!$B$16,'Process'!BP5=1),1+('Control Room'!$C$16-1)*EXP(-0.5*(($A313-'Control Room'!$A$16-('Control Room'!$B$16-1)/2)/MAX(0.5,'Control Room'!$B$16/4))^2),1)</x:f>
        <x:v>1</x:v>
      </x:c>
      <x:c r="AF313" s="9" t="n">
        <x:f>MOD(AG312*16807,2147483647)</x:f>
        <x:v>66589896</x:v>
      </x:c>
      <x:c r="AG313" s="9" t="n">
        <x:f>MOD(AF313*16807,2147483647)</x:f>
        <x:v>337401985</x:v>
      </x:c>
      <x:c r="AH313" s="17" t="n">
        <x:f>IF('Control Room'!$B$5="Normal",'Control Room'!$B$7+'Control Room'!$D$7*SQRT(-2*LN(MAX(0.000000000001,AF313/2147483647)))*COS(2*PI()*AG313/2147483647),'Control Room'!$B$8+('Control Room'!$D$8-'Control Room'!$B$8)*AF313/2147483647)</x:f>
        <x:v>1130.7153109209228</x:v>
      </x:c>
      <x:c r="AI313" s="17" t="n">
        <x:f>IF('Control Room'!$B$5="Normal",'Control Room'!$B$7,('Control Room'!$B$8+'Control Room'!$D$8)/2)+'Control Room'!$B$9*(AI312-IF('Control Room'!$B$5="Normal",'Control Room'!$B$7,('Control Room'!$B$8+'Control Room'!$D$8)/2))+SQRT(1-'Control Room'!$B$9^2)*(AH313-IF('Control Room'!$B$5="Normal",'Control Room'!$B$7,('Control Room'!$B$8+'Control Room'!$D$8)/2))</x:f>
        <x:v>991.1158787803148</x:v>
      </x:c>
      <x:c r="AJ313" s="17" t="n">
        <x:f>IF(AND($A313&gt;='Control Room'!$A$13,$A313&lt;'Control Room'!$A$13+'Control Room'!$B$13,'Process'!BQ2=1),1+('Control Room'!$C$13-1)*EXP(-0.5*(($A313-'Control Room'!$A$13-('Control Room'!$B$13-1)/2)/MAX(0.5,'Control Room'!$B$13/4))^2),1)*IF(AND($A313&gt;='Control Room'!$A$14,$A313&lt;'Control Room'!$A$14+'Control Room'!$B$14,'Process'!BQ3=1),1+('Control Room'!$C$14-1)*EXP(-0.5*(($A313-'Control Room'!$A$14-('Control Room'!$B$14-1)/2)/MAX(0.5,'Control Room'!$B$14/4))^2),1)*IF(AND($A313&gt;='Control Room'!$A$15,$A313&lt;'Control Room'!$A$15+'Control Room'!$B$15,'Process'!BQ4=1),1+('Control Room'!$C$15-1)*EXP(-0.5*(($A313-'Control Room'!$A$15-('Control Room'!$B$15-1)/2)/MAX(0.5,'Control Room'!$B$15/4))^2),1)*IF(AND($A313&gt;='Control Room'!$A$16,$A313&lt;'Control Room'!$A$16+'Control Room'!$B$16,'Process'!BQ5=1),1+('Control Room'!$C$16-1)*EXP(-0.5*(($A313-'Control Room'!$A$16-('Control Room'!$B$16-1)/2)/MAX(0.5,'Control Room'!$B$16/4))^2),1)</x:f>
        <x:v>1</x:v>
      </x:c>
      <x:c r="AK313" s="9" t="n">
        <x:f>MOD(AL312*16807,2147483647)</x:f>
        <x:v>177400609</x:v>
      </x:c>
      <x:c r="AL313" s="9" t="n">
        <x:f>MOD(AK313*16807,2147483647)</x:f>
        <x:v>864733427</x:v>
      </x:c>
      <x:c r="AM313" s="17" t="n">
        <x:f>IF('Control Room'!$B$5="Normal",'Control Room'!$B$7+'Control Room'!$D$7*SQRT(-2*LN(MAX(0.000000000001,AK313/2147483647)))*COS(2*PI()*AL313/2147483647),'Control Room'!$B$8+('Control Room'!$D$8-'Control Room'!$B$8)*AK313/2147483647)</x:f>
        <x:v>835.4346218265196</x:v>
      </x:c>
      <x:c r="AN313" s="17" t="n">
        <x:f>IF('Control Room'!$B$5="Normal",'Control Room'!$B$7,('Control Room'!$B$8+'Control Room'!$D$8)/2)+'Control Room'!$B$9*(AN312-IF('Control Room'!$B$5="Normal",'Control Room'!$B$7,('Control Room'!$B$8+'Control Room'!$D$8)/2))+SQRT(1-'Control Room'!$B$9^2)*(AM313-IF('Control Room'!$B$5="Normal",'Control Room'!$B$7,('Control Room'!$B$8+'Control Room'!$D$8)/2))</x:f>
        <x:v>827.8793147957232</x:v>
      </x:c>
      <x:c r="AO313" s="17" t="n">
        <x:f>IF(AND($A313&gt;='Control Room'!$A$13,$A313&lt;'Control Room'!$A$13+'Control Room'!$B$13,'Process'!BR2=1),1+('Control Room'!$C$13-1)*EXP(-0.5*(($A313-'Control Room'!$A$13-('Control Room'!$B$13-1)/2)/MAX(0.5,'Control Room'!$B$13/4))^2),1)*IF(AND($A313&gt;='Control Room'!$A$14,$A313&lt;'Control Room'!$A$14+'Control Room'!$B$14,'Process'!BR3=1),1+('Control Room'!$C$14-1)*EXP(-0.5*(($A313-'Control Room'!$A$14-('Control Room'!$B$14-1)/2)/MAX(0.5,'Control Room'!$B$14/4))^2),1)*IF(AND($A313&gt;='Control Room'!$A$15,$A313&lt;'Control Room'!$A$15+'Control Room'!$B$15,'Process'!BR4=1),1+('Control Room'!$C$15-1)*EXP(-0.5*(($A313-'Control Room'!$A$15-('Control Room'!$B$15-1)/2)/MAX(0.5,'Control Room'!$B$15/4))^2),1)*IF(AND($A313&gt;='Control Room'!$A$16,$A313&lt;'Control Room'!$A$16+'Control Room'!$B$16,'Process'!BR5=1),1+('Control Room'!$C$16-1)*EXP(-0.5*(($A313-'Control Room'!$A$16-('Control Room'!$B$16-1)/2)/MAX(0.5,'Control Room'!$B$16/4))^2),1)</x:f>
        <x:v>1</x:v>
      </x:c>
      <x:c r="AP313" s="9" t="n">
        <x:f>MOD(AQ312*16807,2147483647)</x:f>
        <x:v>288211322</x:v>
      </x:c>
      <x:c r="AQ313" s="9" t="n">
        <x:f>MOD(AP313*16807,2147483647)</x:f>
        <x:v>1392064869</x:v>
      </x:c>
      <x:c r="AR313" s="17" t="n">
        <x:f>IF('Control Room'!$B$5="Normal",'Control Room'!$B$7+'Control Room'!$D$7*SQRT(-2*LN(MAX(0.000000000001,AP313/2147483647)))*COS(2*PI()*AQ313/2147483647),'Control Room'!$B$8+('Control Room'!$D$8-'Control Room'!$B$8)*AP313/2147483647)</x:f>
        <x:v>892.362166099821</x:v>
      </x:c>
      <x:c r="AS313" s="17" t="n">
        <x:f>IF('Control Room'!$B$5="Normal",'Control Room'!$B$7,('Control Room'!$B$8+'Control Room'!$D$8)/2)+'Control Room'!$B$9*(AS312-IF('Control Room'!$B$5="Normal",'Control Room'!$B$7,('Control Room'!$B$8+'Control Room'!$D$8)/2))+SQRT(1-'Control Room'!$B$9^2)*(AR313-IF('Control Room'!$B$5="Normal",'Control Room'!$B$7,('Control Room'!$B$8+'Control Room'!$D$8)/2))</x:f>
        <x:v>913.4768773695164</x:v>
      </x:c>
      <x:c r="AT313" s="17" t="n">
        <x:f>IF(AND($A313&gt;='Control Room'!$A$13,$A313&lt;'Control Room'!$A$13+'Control Room'!$B$13,'Process'!BS2=1),1+('Control Room'!$C$13-1)*EXP(-0.5*(($A313-'Control Room'!$A$13-('Control Room'!$B$13-1)/2)/MAX(0.5,'Control Room'!$B$13/4))^2),1)*IF(AND($A313&gt;='Control Room'!$A$14,$A313&lt;'Control Room'!$A$14+'Control Room'!$B$14,'Process'!BS3=1),1+('Control Room'!$C$14-1)*EXP(-0.5*(($A313-'Control Room'!$A$14-('Control Room'!$B$14-1)/2)/MAX(0.5,'Control Room'!$B$14/4))^2),1)*IF(AND($A313&gt;='Control Room'!$A$15,$A313&lt;'Control Room'!$A$15+'Control Room'!$B$15,'Process'!BS4=1),1+('Control Room'!$C$15-1)*EXP(-0.5*(($A313-'Control Room'!$A$15-('Control Room'!$B$15-1)/2)/MAX(0.5,'Control Room'!$B$15/4))^2),1)*IF(AND($A313&gt;='Control Room'!$A$16,$A313&lt;'Control Room'!$A$16+'Control Room'!$B$16,'Process'!BS5=1),1+('Control Room'!$C$16-1)*EXP(-0.5*(($A313-'Control Room'!$A$16-('Control Room'!$B$16-1)/2)/MAX(0.5,'Control Room'!$B$16/4))^2),1)</x:f>
        <x:v>1</x:v>
      </x:c>
      <x:c r="AU313" s="9" t="n">
        <x:f>MOD(AV312*16807,2147483647)</x:f>
        <x:v>399022035</x:v>
      </x:c>
      <x:c r="AV313" s="9" t="n">
        <x:f>MOD(AU313*16807,2147483647)</x:f>
        <x:v>1919396311</x:v>
      </x:c>
      <x:c r="AW313" s="17" t="n">
        <x:f>IF('Control Room'!$B$5="Normal",'Control Room'!$B$7+'Control Room'!$D$7*SQRT(-2*LN(MAX(0.000000000001,AU313/2147483647)))*COS(2*PI()*AV313/2147483647),'Control Room'!$B$8+('Control Room'!$D$8-'Control Room'!$B$8)*AU313/2147483647)</x:f>
        <x:v>1129.6976228410006</x:v>
      </x:c>
      <x:c r="AX313" s="17" t="n">
        <x:f>IF('Control Room'!$B$5="Normal",'Control Room'!$B$7,('Control Room'!$B$8+'Control Room'!$D$8)/2)+'Control Room'!$B$9*(AX312-IF('Control Room'!$B$5="Normal",'Control Room'!$B$7,('Control Room'!$B$8+'Control Room'!$D$8)/2))+SQRT(1-'Control Room'!$B$9^2)*(AW313-IF('Control Room'!$B$5="Normal",'Control Room'!$B$7,('Control Room'!$B$8+'Control Room'!$D$8)/2))</x:f>
        <x:v>1209.9391564936477</x:v>
      </x:c>
      <x:c r="AY313" s="17" t="n">
        <x:f>IF(AND($A313&gt;='Control Room'!$A$13,$A313&lt;'Control Room'!$A$13+'Control Room'!$B$13,'Process'!BT2=1),1+('Control Room'!$C$13-1)*EXP(-0.5*(($A313-'Control Room'!$A$13-('Control Room'!$B$13-1)/2)/MAX(0.5,'Control Room'!$B$13/4))^2),1)*IF(AND($A313&gt;='Control Room'!$A$14,$A313&lt;'Control Room'!$A$14+'Control Room'!$B$14,'Process'!BT3=1),1+('Control Room'!$C$14-1)*EXP(-0.5*(($A313-'Control Room'!$A$14-('Control Room'!$B$14-1)/2)/MAX(0.5,'Control Room'!$B$14/4))^2),1)*IF(AND($A313&gt;='Control Room'!$A$15,$A313&lt;'Control Room'!$A$15+'Control Room'!$B$15,'Process'!BT4=1),1+('Control Room'!$C$15-1)*EXP(-0.5*(($A313-'Control Room'!$A$15-('Control Room'!$B$15-1)/2)/MAX(0.5,'Control Room'!$B$15/4))^2),1)*IF(AND($A313&gt;='Control Room'!$A$16,$A313&lt;'Control Room'!$A$16+'Control Room'!$B$16,'Process'!BT5=1),1+('Control Room'!$C$16-1)*EXP(-0.5*(($A313-'Control Room'!$A$16-('Control Room'!$B$16-1)/2)/MAX(0.5,'Control Room'!$B$16/4))^2),1)</x:f>
        <x:v>1</x:v>
      </x:c>
      <x:c r="AZ313" s="9" t="n">
        <x:f>MOD(BA312*16807,2147483647)</x:f>
        <x:v>509832748</x:v>
      </x:c>
      <x:c r="BA313" s="9" t="n">
        <x:f>MOD(AZ313*16807,2147483647)</x:f>
        <x:v>299244106</x:v>
      </x:c>
      <x:c r="BB313" s="17" t="n">
        <x:f>IF('Control Room'!$B$5="Normal",'Control Room'!$B$7+'Control Room'!$D$7*SQRT(-2*LN(MAX(0.000000000001,AZ313/2147483647)))*COS(2*PI()*BA313/2147483647),'Control Room'!$B$8+('Control Room'!$D$8-'Control Room'!$B$8)*AZ313/2147483647)</x:f>
        <x:v>1097.7704575571922</x:v>
      </x:c>
      <x:c r="BC313" s="17" t="n">
        <x:f>IF('Control Room'!$B$5="Normal",'Control Room'!$B$7,('Control Room'!$B$8+'Control Room'!$D$8)/2)+'Control Room'!$B$9*(BC312-IF('Control Room'!$B$5="Normal",'Control Room'!$B$7,('Control Room'!$B$8+'Control Room'!$D$8)/2))+SQRT(1-'Control Room'!$B$9^2)*(BB313-IF('Control Room'!$B$5="Normal",'Control Room'!$B$7,('Control Room'!$B$8+'Control Room'!$D$8)/2))</x:f>
        <x:v>1156.5381835156459</x:v>
      </x:c>
      <x:c r="BD313" s="17" t="n">
        <x:f>IF(AND($A313&gt;='Control Room'!$A$13,$A313&lt;'Control Room'!$A$13+'Control Room'!$B$13,'Process'!BU2=1),1+('Control Room'!$C$13-1)*EXP(-0.5*(($A313-'Control Room'!$A$13-('Control Room'!$B$13-1)/2)/MAX(0.5,'Control Room'!$B$13/4))^2),1)*IF(AND($A313&gt;='Control Room'!$A$14,$A313&lt;'Control Room'!$A$14+'Control Room'!$B$14,'Process'!BU3=1),1+('Control Room'!$C$14-1)*EXP(-0.5*(($A313-'Control Room'!$A$14-('Control Room'!$B$14-1)/2)/MAX(0.5,'Control Room'!$B$14/4))^2),1)*IF(AND($A313&gt;='Control Room'!$A$15,$A313&lt;'Control Room'!$A$15+'Control Room'!$B$15,'Process'!BU4=1),1+('Control Room'!$C$15-1)*EXP(-0.5*(($A313-'Control Room'!$A$15-('Control Room'!$B$15-1)/2)/MAX(0.5,'Control Room'!$B$15/4))^2),1)*IF(AND($A313&gt;='Control Room'!$A$16,$A313&lt;'Control Room'!$A$16+'Control Room'!$B$16,'Process'!BU5=1),1+('Control Room'!$C$16-1)*EXP(-0.5*(($A313-'Control Room'!$A$16-('Control Room'!$B$16-1)/2)/MAX(0.5,'Control Room'!$B$16/4))^2),1)</x:f>
        <x:v>1</x:v>
      </x:c>
      <x:c r="BE313" s="9" t="n">
        <x:f>MOD(BF312*16807,2147483647)</x:f>
        <x:v>620643461</x:v>
      </x:c>
      <x:c r="BF313" s="9" t="n">
        <x:f>MOD(BE313*16807,2147483647)</x:f>
        <x:v>826575548</x:v>
      </x:c>
      <x:c r="BG313" s="17" t="n">
        <x:f>IF('Control Room'!$B$5="Normal",'Control Room'!$B$7+'Control Room'!$D$7*SQRT(-2*LN(MAX(0.000000000001,BE313/2147483647)))*COS(2*PI()*BF313/2147483647),'Control Room'!$B$8+('Control Room'!$D$8-'Control Room'!$B$8)*BE313/2147483647)</x:f>
        <x:v>893.6860867834873</x:v>
      </x:c>
      <x:c r="BH313" s="17" t="n">
        <x:f>IF('Control Room'!$B$5="Normal",'Control Room'!$B$7,('Control Room'!$B$8+'Control Room'!$D$8)/2)+'Control Room'!$B$9*(BH312-IF('Control Room'!$B$5="Normal",'Control Room'!$B$7,('Control Room'!$B$8+'Control Room'!$D$8)/2))+SQRT(1-'Control Room'!$B$9^2)*(BG313-IF('Control Room'!$B$5="Normal",'Control Room'!$B$7,('Control Room'!$B$8+'Control Room'!$D$8)/2))</x:f>
        <x:v>1009.4892069616205</x:v>
      </x:c>
      <x:c r="BI313" s="17" t="n">
        <x:f>IF(AND($A313&gt;='Control Room'!$A$13,$A313&lt;'Control Room'!$A$13+'Control Room'!$B$13,'Process'!BV2=1),1+('Control Room'!$C$13-1)*EXP(-0.5*(($A313-'Control Room'!$A$13-('Control Room'!$B$13-1)/2)/MAX(0.5,'Control Room'!$B$13/4))^2),1)*IF(AND($A313&gt;='Control Room'!$A$14,$A313&lt;'Control Room'!$A$14+'Control Room'!$B$14,'Process'!BV3=1),1+('Control Room'!$C$14-1)*EXP(-0.5*(($A313-'Control Room'!$A$14-('Control Room'!$B$14-1)/2)/MAX(0.5,'Control Room'!$B$14/4))^2),1)*IF(AND($A313&gt;='Control Room'!$A$15,$A313&lt;'Control Room'!$A$15+'Control Room'!$B$15,'Process'!BV4=1),1+('Control Room'!$C$15-1)*EXP(-0.5*(($A313-'Control Room'!$A$15-('Control Room'!$B$15-1)/2)/MAX(0.5,'Control Room'!$B$15/4))^2),1)*IF(AND($A313&gt;='Control Room'!$A$16,$A313&lt;'Control Room'!$A$16+'Control Room'!$B$16,'Process'!BV5=1),1+('Control Room'!$C$16-1)*EXP(-0.5*(($A313-'Control Room'!$A$16-('Control Room'!$B$16-1)/2)/MAX(0.5,'Control Room'!$B$16/4))^2),1)</x:f>
        <x:v>1</x:v>
      </x:c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Z313" t="str">
        <x:f>IF('Data'!A313="","",TEXT('Data'!A313,"mm-dd"))</x:f>
      </x:c>
    </x:row>
    <x:row r="314" ht="21" customHeight="1">
      <x:c r="A314" s="15" t="n">
        <x:f>'Control Room'!$B$1+312</x:f>
        <x:v>73303</x:v>
      </x:c>
      <x:c r="B314" s="9" t="n">
        <x:f>MOD(C313*16807,2147483647)</x:f>
        <x:v>191126665</x:v>
      </x:c>
      <x:c r="C314" s="9" t="n">
        <x:f>MOD(B314*16807,2147483647)</x:f>
        <x:v>1777806390</x:v>
      </x:c>
      <x:c r="D314" s="17" t="n">
        <x:f>IF('Control Room'!$B$5="Normal",'Control Room'!$B$7+'Control Room'!$D$7*SQRT(-2*LN(MAX(0.000000000001,B314/2147483647)))*COS(2*PI()*C314/2147483647),'Control Room'!$B$8+('Control Room'!$D$8-'Control Room'!$B$8)*B314/2147483647)</x:f>
        <x:v>1093.0238544012232</x:v>
      </x:c>
      <x:c r="E314" s="17" t="n">
        <x:f>IF('Control Room'!$B$5="Normal",'Control Room'!$B$7,('Control Room'!$B$8+'Control Room'!$D$8)/2)+'Control Room'!$B$9*(E313-IF('Control Room'!$B$5="Normal",'Control Room'!$B$7,('Control Room'!$B$8+'Control Room'!$D$8)/2))+SQRT(1-'Control Room'!$B$9^2)*(D314-IF('Control Room'!$B$5="Normal",'Control Room'!$B$7,('Control Room'!$B$8+'Control Room'!$D$8)/2))</x:f>
        <x:v>1061.9683800126854</x:v>
      </x:c>
      <x:c r="F314" s="17" t="n">
        <x:f>IF(AND($A314&gt;='Control Room'!$A$13,$A314&lt;'Control Room'!$A$13+'Control Room'!$B$13,'Process'!BK2=1),1+('Control Room'!$C$13-1)*EXP(-0.5*(($A314-'Control Room'!$A$13-('Control Room'!$B$13-1)/2)/MAX(0.5,'Control Room'!$B$13/4))^2),1)*IF(AND($A314&gt;='Control Room'!$A$14,$A314&lt;'Control Room'!$A$14+'Control Room'!$B$14,'Process'!BK3=1),1+('Control Room'!$C$14-1)*EXP(-0.5*(($A314-'Control Room'!$A$14-('Control Room'!$B$14-1)/2)/MAX(0.5,'Control Room'!$B$14/4))^2),1)*IF(AND($A314&gt;='Control Room'!$A$15,$A314&lt;'Control Room'!$A$15+'Control Room'!$B$15,'Process'!BK4=1),1+('Control Room'!$C$15-1)*EXP(-0.5*(($A314-'Control Room'!$A$15-('Control Room'!$B$15-1)/2)/MAX(0.5,'Control Room'!$B$15/4))^2),1)*IF(AND($A314&gt;='Control Room'!$A$16,$A314&lt;'Control Room'!$A$16+'Control Room'!$B$16,'Process'!BK5=1),1+('Control Room'!$C$16-1)*EXP(-0.5*(($A314-'Control Room'!$A$16-('Control Room'!$B$16-1)/2)/MAX(0.5,'Control Room'!$B$16/4))^2),1)</x:f>
        <x:v>1</x:v>
      </x:c>
      <x:c r="G314" s="9" t="n">
        <x:f>MOD(H313*16807,2147483647)</x:f>
        <x:v>385661190</x:v>
      </x:c>
      <x:c r="H314" s="9" t="n">
        <x:f>MOD(G314*16807,2147483647)</x:f>
        <x:v>701973684</x:v>
      </x:c>
      <x:c r="I314" s="17" t="n">
        <x:f>IF('Control Room'!$B$5="Normal",'Control Room'!$B$7+'Control Room'!$D$7*SQRT(-2*LN(MAX(0.000000000001,G314/2147483647)))*COS(2*PI()*H314/2147483647),'Control Room'!$B$8+('Control Room'!$D$8-'Control Room'!$B$8)*G314/2147483647)</x:f>
        <x:v>922.5297556401791</x:v>
      </x:c>
      <x:c r="J314" s="17" t="n">
        <x:f>IF('Control Room'!$B$5="Normal",'Control Room'!$B$7,('Control Room'!$B$8+'Control Room'!$D$8)/2)+'Control Room'!$B$9*(J313-IF('Control Room'!$B$5="Normal",'Control Room'!$B$7,('Control Room'!$B$8+'Control Room'!$D$8)/2))+SQRT(1-'Control Room'!$B$9^2)*(I314-IF('Control Room'!$B$5="Normal",'Control Room'!$B$7,('Control Room'!$B$8+'Control Room'!$D$8)/2))</x:f>
        <x:v>959.9381642960147</x:v>
      </x:c>
      <x:c r="K314" s="17" t="n">
        <x:f>IF(AND($A314&gt;='Control Room'!$A$13,$A314&lt;'Control Room'!$A$13+'Control Room'!$B$13,'Process'!BL2=1),1+('Control Room'!$C$13-1)*EXP(-0.5*(($A314-'Control Room'!$A$13-('Control Room'!$B$13-1)/2)/MAX(0.5,'Control Room'!$B$13/4))^2),1)*IF(AND($A314&gt;='Control Room'!$A$14,$A314&lt;'Control Room'!$A$14+'Control Room'!$B$14,'Process'!BL3=1),1+('Control Room'!$C$14-1)*EXP(-0.5*(($A314-'Control Room'!$A$14-('Control Room'!$B$14-1)/2)/MAX(0.5,'Control Room'!$B$14/4))^2),1)*IF(AND($A314&gt;='Control Room'!$A$15,$A314&lt;'Control Room'!$A$15+'Control Room'!$B$15,'Process'!BL4=1),1+('Control Room'!$C$15-1)*EXP(-0.5*(($A314-'Control Room'!$A$15-('Control Room'!$B$15-1)/2)/MAX(0.5,'Control Room'!$B$15/4))^2),1)*IF(AND($A314&gt;='Control Room'!$A$16,$A314&lt;'Control Room'!$A$16+'Control Room'!$B$16,'Process'!BL5=1),1+('Control Room'!$C$16-1)*EXP(-0.5*(($A314-'Control Room'!$A$16-('Control Room'!$B$16-1)/2)/MAX(0.5,'Control Room'!$B$16/4))^2),1)</x:f>
        <x:v>1</x:v>
      </x:c>
      <x:c r="L314" s="9" t="n">
        <x:f>MOD(M313*16807,2147483647)</x:f>
        <x:v>580195715</x:v>
      </x:c>
      <x:c r="M314" s="9" t="n">
        <x:f>MOD(L314*16807,2147483647)</x:f>
        <x:v>1773624625</x:v>
      </x:c>
      <x:c r="N314" s="17" t="n">
        <x:f>IF('Control Room'!$B$5="Normal",'Control Room'!$B$7+'Control Room'!$D$7*SQRT(-2*LN(MAX(0.000000000001,L314/2147483647)))*COS(2*PI()*M314/2147483647),'Control Room'!$B$8+('Control Room'!$D$8-'Control Room'!$B$8)*L314/2147483647)</x:f>
        <x:v>1066.8424796379184</x:v>
      </x:c>
      <x:c r="O314" s="17" t="n">
        <x:f>IF('Control Room'!$B$5="Normal",'Control Room'!$B$7,('Control Room'!$B$8+'Control Room'!$D$8)/2)+'Control Room'!$B$9*(O313-IF('Control Room'!$B$5="Normal",'Control Room'!$B$7,('Control Room'!$B$8+'Control Room'!$D$8)/2))+SQRT(1-'Control Room'!$B$9^2)*(N314-IF('Control Room'!$B$5="Normal",'Control Room'!$B$7,('Control Room'!$B$8+'Control Room'!$D$8)/2))</x:f>
        <x:v>1046.7644053268214</x:v>
      </x:c>
      <x:c r="P314" s="17" t="n">
        <x:f>IF(AND($A314&gt;='Control Room'!$A$13,$A314&lt;'Control Room'!$A$13+'Control Room'!$B$13,'Process'!BM2=1),1+('Control Room'!$C$13-1)*EXP(-0.5*(($A314-'Control Room'!$A$13-('Control Room'!$B$13-1)/2)/MAX(0.5,'Control Room'!$B$13/4))^2),1)*IF(AND($A314&gt;='Control Room'!$A$14,$A314&lt;'Control Room'!$A$14+'Control Room'!$B$14,'Process'!BM3=1),1+('Control Room'!$C$14-1)*EXP(-0.5*(($A314-'Control Room'!$A$14-('Control Room'!$B$14-1)/2)/MAX(0.5,'Control Room'!$B$14/4))^2),1)*IF(AND($A314&gt;='Control Room'!$A$15,$A314&lt;'Control Room'!$A$15+'Control Room'!$B$15,'Process'!BM4=1),1+('Control Room'!$C$15-1)*EXP(-0.5*(($A314-'Control Room'!$A$15-('Control Room'!$B$15-1)/2)/MAX(0.5,'Control Room'!$B$15/4))^2),1)*IF(AND($A314&gt;='Control Room'!$A$16,$A314&lt;'Control Room'!$A$16+'Control Room'!$B$16,'Process'!BM5=1),1+('Control Room'!$C$16-1)*EXP(-0.5*(($A314-'Control Room'!$A$16-('Control Room'!$B$16-1)/2)/MAX(0.5,'Control Room'!$B$16/4))^2),1)</x:f>
        <x:v>1</x:v>
      </x:c>
      <x:c r="Q314" s="9" t="n">
        <x:f>MOD(R313*16807,2147483647)</x:f>
        <x:v>774730240</x:v>
      </x:c>
      <x:c r="R314" s="9" t="n">
        <x:f>MOD(Q314*16807,2147483647)</x:f>
        <x:v>697791919</x:v>
      </x:c>
      <x:c r="S314" s="17" t="n">
        <x:f>IF('Control Room'!$B$5="Normal",'Control Room'!$B$7+'Control Room'!$D$7*SQRT(-2*LN(MAX(0.000000000001,Q314/2147483647)))*COS(2*PI()*R314/2147483647),'Control Room'!$B$8+('Control Room'!$D$8-'Control Room'!$B$8)*Q314/2147483647)</x:f>
        <x:v>941.7017094739402</x:v>
      </x:c>
      <x:c r="T314" s="17" t="n">
        <x:f>IF('Control Room'!$B$5="Normal",'Control Room'!$B$7,('Control Room'!$B$8+'Control Room'!$D$8)/2)+'Control Room'!$B$9*(T313-IF('Control Room'!$B$5="Normal",'Control Room'!$B$7,('Control Room'!$B$8+'Control Room'!$D$8)/2))+SQRT(1-'Control Room'!$B$9^2)*(S314-IF('Control Room'!$B$5="Normal",'Control Room'!$B$7,('Control Room'!$B$8+'Control Room'!$D$8)/2))</x:f>
        <x:v>996.5672524220283</x:v>
      </x:c>
      <x:c r="U314" s="17" t="n">
        <x:f>IF(AND($A314&gt;='Control Room'!$A$13,$A314&lt;'Control Room'!$A$13+'Control Room'!$B$13,'Process'!BN2=1),1+('Control Room'!$C$13-1)*EXP(-0.5*(($A314-'Control Room'!$A$13-('Control Room'!$B$13-1)/2)/MAX(0.5,'Control Room'!$B$13/4))^2),1)*IF(AND($A314&gt;='Control Room'!$A$14,$A314&lt;'Control Room'!$A$14+'Control Room'!$B$14,'Process'!BN3=1),1+('Control Room'!$C$14-1)*EXP(-0.5*(($A314-'Control Room'!$A$14-('Control Room'!$B$14-1)/2)/MAX(0.5,'Control Room'!$B$14/4))^2),1)*IF(AND($A314&gt;='Control Room'!$A$15,$A314&lt;'Control Room'!$A$15+'Control Room'!$B$15,'Process'!BN4=1),1+('Control Room'!$C$15-1)*EXP(-0.5*(($A314-'Control Room'!$A$15-('Control Room'!$B$15-1)/2)/MAX(0.5,'Control Room'!$B$15/4))^2),1)*IF(AND($A314&gt;='Control Room'!$A$16,$A314&lt;'Control Room'!$A$16+'Control Room'!$B$16,'Process'!BN5=1),1+('Control Room'!$C$16-1)*EXP(-0.5*(($A314-'Control Room'!$A$16-('Control Room'!$B$16-1)/2)/MAX(0.5,'Control Room'!$B$16/4))^2),1)</x:f>
        <x:v>1</x:v>
      </x:c>
      <x:c r="V314" s="9" t="n">
        <x:f>MOD(W313*16807,2147483647)</x:f>
        <x:v>969264765</x:v>
      </x:c>
      <x:c r="W314" s="9" t="n">
        <x:f>MOD(V314*16807,2147483647)</x:f>
        <x:v>1769442860</x:v>
      </x:c>
      <x:c r="X314" s="17" t="n">
        <x:f>IF('Control Room'!$B$5="Normal",'Control Room'!$B$7+'Control Room'!$D$7*SQRT(-2*LN(MAX(0.000000000001,V314/2147483647)))*COS(2*PI()*W314/2147483647),'Control Room'!$B$8+('Control Room'!$D$8-'Control Room'!$B$8)*V314/2147483647)</x:f>
        <x:v>1050.8766886904216</x:v>
      </x:c>
      <x:c r="Y314" s="17" t="n">
        <x:f>IF('Control Room'!$B$5="Normal",'Control Room'!$B$7,('Control Room'!$B$8+'Control Room'!$D$8)/2)+'Control Room'!$B$9*(Y313-IF('Control Room'!$B$5="Normal",'Control Room'!$B$7,('Control Room'!$B$8+'Control Room'!$D$8)/2))+SQRT(1-'Control Room'!$B$9^2)*(X314-IF('Control Room'!$B$5="Normal",'Control Room'!$B$7,('Control Room'!$B$8+'Control Room'!$D$8)/2))</x:f>
        <x:v>1029.2604406557746</x:v>
      </x:c>
      <x:c r="Z314" s="17" t="n">
        <x:f>IF(AND($A314&gt;='Control Room'!$A$13,$A314&lt;'Control Room'!$A$13+'Control Room'!$B$13,'Process'!BO2=1),1+('Control Room'!$C$13-1)*EXP(-0.5*(($A314-'Control Room'!$A$13-('Control Room'!$B$13-1)/2)/MAX(0.5,'Control Room'!$B$13/4))^2),1)*IF(AND($A314&gt;='Control Room'!$A$14,$A314&lt;'Control Room'!$A$14+'Control Room'!$B$14,'Process'!BO3=1),1+('Control Room'!$C$14-1)*EXP(-0.5*(($A314-'Control Room'!$A$14-('Control Room'!$B$14-1)/2)/MAX(0.5,'Control Room'!$B$14/4))^2),1)*IF(AND($A314&gt;='Control Room'!$A$15,$A314&lt;'Control Room'!$A$15+'Control Room'!$B$15,'Process'!BO4=1),1+('Control Room'!$C$15-1)*EXP(-0.5*(($A314-'Control Room'!$A$15-('Control Room'!$B$15-1)/2)/MAX(0.5,'Control Room'!$B$15/4))^2),1)*IF(AND($A314&gt;='Control Room'!$A$16,$A314&lt;'Control Room'!$A$16+'Control Room'!$B$16,'Process'!BO5=1),1+('Control Room'!$C$16-1)*EXP(-0.5*(($A314-'Control Room'!$A$16-('Control Room'!$B$16-1)/2)/MAX(0.5,'Control Room'!$B$16/4))^2),1)</x:f>
        <x:v>1</x:v>
      </x:c>
      <x:c r="AA314" s="9" t="n">
        <x:f>MOD(AB313*16807,2147483647)</x:f>
        <x:v>1163799290</x:v>
      </x:c>
      <x:c r="AB314" s="9" t="n">
        <x:f>MOD(AA314*16807,2147483647)</x:f>
        <x:v>693610154</x:v>
      </x:c>
      <x:c r="AC314" s="17" t="n">
        <x:f>IF('Control Room'!$B$5="Normal",'Control Room'!$B$7+'Control Room'!$D$7*SQRT(-2*LN(MAX(0.000000000001,AA314/2147483647)))*COS(2*PI()*AB314/2147483647),'Control Room'!$B$8+('Control Room'!$D$8-'Control Room'!$B$8)*AA314/2147483647)</x:f>
        <x:v>955.8993056222822</x:v>
      </x:c>
      <x:c r="AD314" s="17" t="n">
        <x:f>IF('Control Room'!$B$5="Normal",'Control Room'!$B$7,('Control Room'!$B$8+'Control Room'!$D$8)/2)+'Control Room'!$B$9*(AD313-IF('Control Room'!$B$5="Normal",'Control Room'!$B$7,('Control Room'!$B$8+'Control Room'!$D$8)/2))+SQRT(1-'Control Room'!$B$9^2)*(AC314-IF('Control Room'!$B$5="Normal",'Control Room'!$B$7,('Control Room'!$B$8+'Control Room'!$D$8)/2))</x:f>
        <x:v>908.5098949149002</x:v>
      </x:c>
      <x:c r="AE314" s="17" t="n">
        <x:f>IF(AND($A314&gt;='Control Room'!$A$13,$A314&lt;'Control Room'!$A$13+'Control Room'!$B$13,'Process'!BP2=1),1+('Control Room'!$C$13-1)*EXP(-0.5*(($A314-'Control Room'!$A$13-('Control Room'!$B$13-1)/2)/MAX(0.5,'Control Room'!$B$13/4))^2),1)*IF(AND($A314&gt;='Control Room'!$A$14,$A314&lt;'Control Room'!$A$14+'Control Room'!$B$14,'Process'!BP3=1),1+('Control Room'!$C$14-1)*EXP(-0.5*(($A314-'Control Room'!$A$14-('Control Room'!$B$14-1)/2)/MAX(0.5,'Control Room'!$B$14/4))^2),1)*IF(AND($A314&gt;='Control Room'!$A$15,$A314&lt;'Control Room'!$A$15+'Control Room'!$B$15,'Process'!BP4=1),1+('Control Room'!$C$15-1)*EXP(-0.5*(($A314-'Control Room'!$A$15-('Control Room'!$B$15-1)/2)/MAX(0.5,'Control Room'!$B$15/4))^2),1)*IF(AND($A314&gt;='Control Room'!$A$16,$A314&lt;'Control Room'!$A$16+'Control Room'!$B$16,'Process'!BP5=1),1+('Control Room'!$C$16-1)*EXP(-0.5*(($A314-'Control Room'!$A$16-('Control Room'!$B$16-1)/2)/MAX(0.5,'Control Room'!$B$16/4))^2),1)</x:f>
        <x:v>1</x:v>
      </x:c>
      <x:c r="AF314" s="9" t="n">
        <x:f>MOD(AG313*16807,2147483647)</x:f>
        <x:v>1358333815</x:v>
      </x:c>
      <x:c r="AG314" s="9" t="n">
        <x:f>MOD(AF314*16807,2147483647)</x:f>
        <x:v>1765261095</x:v>
      </x:c>
      <x:c r="AH314" s="17" t="n">
        <x:f>IF('Control Room'!$B$5="Normal",'Control Room'!$B$7+'Control Room'!$D$7*SQRT(-2*LN(MAX(0.000000000001,AF314/2147483647)))*COS(2*PI()*AG314/2147483647),'Control Room'!$B$8+('Control Room'!$D$8-'Control Room'!$B$8)*AF314/2147483647)</x:f>
        <x:v>1037.6601396439405</x:v>
      </x:c>
      <x:c r="AI314" s="17" t="n">
        <x:f>IF('Control Room'!$B$5="Normal",'Control Room'!$B$7,('Control Room'!$B$8+'Control Room'!$D$8)/2)+'Control Room'!$B$9*(AI313-IF('Control Room'!$B$5="Normal",'Control Room'!$B$7,('Control Room'!$B$8+'Control Room'!$D$8)/2))+SQRT(1-'Control Room'!$B$9^2)*(AH314-IF('Control Room'!$B$5="Normal",'Control Room'!$B$7,('Control Room'!$B$8+'Control Room'!$D$8)/2))</x:f>
        <x:v>1016.6373293279277</x:v>
      </x:c>
      <x:c r="AJ314" s="17" t="n">
        <x:f>IF(AND($A314&gt;='Control Room'!$A$13,$A314&lt;'Control Room'!$A$13+'Control Room'!$B$13,'Process'!BQ2=1),1+('Control Room'!$C$13-1)*EXP(-0.5*(($A314-'Control Room'!$A$13-('Control Room'!$B$13-1)/2)/MAX(0.5,'Control Room'!$B$13/4))^2),1)*IF(AND($A314&gt;='Control Room'!$A$14,$A314&lt;'Control Room'!$A$14+'Control Room'!$B$14,'Process'!BQ3=1),1+('Control Room'!$C$14-1)*EXP(-0.5*(($A314-'Control Room'!$A$14-('Control Room'!$B$14-1)/2)/MAX(0.5,'Control Room'!$B$14/4))^2),1)*IF(AND($A314&gt;='Control Room'!$A$15,$A314&lt;'Control Room'!$A$15+'Control Room'!$B$15,'Process'!BQ4=1),1+('Control Room'!$C$15-1)*EXP(-0.5*(($A314-'Control Room'!$A$15-('Control Room'!$B$15-1)/2)/MAX(0.5,'Control Room'!$B$15/4))^2),1)*IF(AND($A314&gt;='Control Room'!$A$16,$A314&lt;'Control Room'!$A$16+'Control Room'!$B$16,'Process'!BQ5=1),1+('Control Room'!$C$16-1)*EXP(-0.5*(($A314-'Control Room'!$A$16-('Control Room'!$B$16-1)/2)/MAX(0.5,'Control Room'!$B$16/4))^2),1)</x:f>
        <x:v>1</x:v>
      </x:c>
      <x:c r="AK314" s="9" t="n">
        <x:f>MOD(AL313*16807,2147483647)</x:f>
        <x:v>1552868340</x:v>
      </x:c>
      <x:c r="AL314" s="9" t="n">
        <x:f>MOD(AK314*16807,2147483647)</x:f>
        <x:v>689428389</x:v>
      </x:c>
      <x:c r="AM314" s="17" t="n">
        <x:f>IF('Control Room'!$B$5="Normal",'Control Room'!$B$7+'Control Room'!$D$7*SQRT(-2*LN(MAX(0.000000000001,AK314/2147483647)))*COS(2*PI()*AL314/2147483647),'Control Room'!$B$8+('Control Room'!$D$8-'Control Room'!$B$8)*AK314/2147483647)</x:f>
        <x:v>968.7158280471928</x:v>
      </x:c>
      <x:c r="AN314" s="17" t="n">
        <x:f>IF('Control Room'!$B$5="Normal",'Control Room'!$B$7,('Control Room'!$B$8+'Control Room'!$D$8)/2)+'Control Room'!$B$9*(AN313-IF('Control Room'!$B$5="Normal",'Control Room'!$B$7,('Control Room'!$B$8+'Control Room'!$D$8)/2))+SQRT(1-'Control Room'!$B$9^2)*(AM314-IF('Control Room'!$B$5="Normal",'Control Room'!$B$7,('Control Room'!$B$8+'Control Room'!$D$8)/2))</x:f>
        <x:v>846.1688716236953</x:v>
      </x:c>
      <x:c r="AO314" s="17" t="n">
        <x:f>IF(AND($A314&gt;='Control Room'!$A$13,$A314&lt;'Control Room'!$A$13+'Control Room'!$B$13,'Process'!BR2=1),1+('Control Room'!$C$13-1)*EXP(-0.5*(($A314-'Control Room'!$A$13-('Control Room'!$B$13-1)/2)/MAX(0.5,'Control Room'!$B$13/4))^2),1)*IF(AND($A314&gt;='Control Room'!$A$14,$A314&lt;'Control Room'!$A$14+'Control Room'!$B$14,'Process'!BR3=1),1+('Control Room'!$C$14-1)*EXP(-0.5*(($A314-'Control Room'!$A$14-('Control Room'!$B$14-1)/2)/MAX(0.5,'Control Room'!$B$14/4))^2),1)*IF(AND($A314&gt;='Control Room'!$A$15,$A314&lt;'Control Room'!$A$15+'Control Room'!$B$15,'Process'!BR4=1),1+('Control Room'!$C$15-1)*EXP(-0.5*(($A314-'Control Room'!$A$15-('Control Room'!$B$15-1)/2)/MAX(0.5,'Control Room'!$B$15/4))^2),1)*IF(AND($A314&gt;='Control Room'!$A$16,$A314&lt;'Control Room'!$A$16+'Control Room'!$B$16,'Process'!BR5=1),1+('Control Room'!$C$16-1)*EXP(-0.5*(($A314-'Control Room'!$A$16-('Control Room'!$B$16-1)/2)/MAX(0.5,'Control Room'!$B$16/4))^2),1)</x:f>
        <x:v>1</x:v>
      </x:c>
      <x:c r="AP314" s="9" t="n">
        <x:f>MOD(AQ313*16807,2147483647)</x:f>
        <x:v>1747402865</x:v>
      </x:c>
      <x:c r="AQ314" s="9" t="n">
        <x:f>MOD(AP314*16807,2147483647)</x:f>
        <x:v>1761079330</x:v>
      </x:c>
      <x:c r="AR314" s="17" t="n">
        <x:f>IF('Control Room'!$B$5="Normal",'Control Room'!$B$7+'Control Room'!$D$7*SQRT(-2*LN(MAX(0.000000000001,AP314/2147483647)))*COS(2*PI()*AQ314/2147483647),'Control Room'!$B$8+('Control Room'!$D$8-'Control Room'!$B$8)*AP314/2147483647)</x:f>
        <x:v>1024.6283863506183</x:v>
      </x:c>
      <x:c r="AS314" s="17" t="n">
        <x:f>IF('Control Room'!$B$5="Normal",'Control Room'!$B$7,('Control Room'!$B$8+'Control Room'!$D$8)/2)+'Control Room'!$B$9*(AS313-IF('Control Room'!$B$5="Normal",'Control Room'!$B$7,('Control Room'!$B$8+'Control Room'!$D$8)/2))+SQRT(1-'Control Room'!$B$9^2)*(AR314-IF('Control Room'!$B$5="Normal",'Control Room'!$B$7,('Control Room'!$B$8+'Control Room'!$D$8)/2))</x:f>
        <x:v>947.9239039865212</x:v>
      </x:c>
      <x:c r="AT314" s="17" t="n">
        <x:f>IF(AND($A314&gt;='Control Room'!$A$13,$A314&lt;'Control Room'!$A$13+'Control Room'!$B$13,'Process'!BS2=1),1+('Control Room'!$C$13-1)*EXP(-0.5*(($A314-'Control Room'!$A$13-('Control Room'!$B$13-1)/2)/MAX(0.5,'Control Room'!$B$13/4))^2),1)*IF(AND($A314&gt;='Control Room'!$A$14,$A314&lt;'Control Room'!$A$14+'Control Room'!$B$14,'Process'!BS3=1),1+('Control Room'!$C$14-1)*EXP(-0.5*(($A314-'Control Room'!$A$14-('Control Room'!$B$14-1)/2)/MAX(0.5,'Control Room'!$B$14/4))^2),1)*IF(AND($A314&gt;='Control Room'!$A$15,$A314&lt;'Control Room'!$A$15+'Control Room'!$B$15,'Process'!BS4=1),1+('Control Room'!$C$15-1)*EXP(-0.5*(($A314-'Control Room'!$A$15-('Control Room'!$B$15-1)/2)/MAX(0.5,'Control Room'!$B$15/4))^2),1)*IF(AND($A314&gt;='Control Room'!$A$16,$A314&lt;'Control Room'!$A$16+'Control Room'!$B$16,'Process'!BS5=1),1+('Control Room'!$C$16-1)*EXP(-0.5*(($A314-'Control Room'!$A$16-('Control Room'!$B$16-1)/2)/MAX(0.5,'Control Room'!$B$16/4))^2),1)</x:f>
        <x:v>1</x:v>
      </x:c>
      <x:c r="AU314" s="9" t="n">
        <x:f>MOD(AV313*16807,2147483647)</x:f>
        <x:v>1941937390</x:v>
      </x:c>
      <x:c r="AV314" s="9" t="n">
        <x:f>MOD(AU314*16807,2147483647)</x:f>
        <x:v>685246624</x:v>
      </x:c>
      <x:c r="AW314" s="17" t="n">
        <x:f>IF('Control Room'!$B$5="Normal",'Control Room'!$B$7+'Control Room'!$D$7*SQRT(-2*LN(MAX(0.000000000001,AU314/2147483647)))*COS(2*PI()*AV314/2147483647),'Control Room'!$B$8+('Control Room'!$D$8-'Control Room'!$B$8)*AU314/2147483647)</x:f>
        <x:v>983.0189659278014</x:v>
      </x:c>
      <x:c r="AX314" s="17" t="n">
        <x:f>IF('Control Room'!$B$5="Normal",'Control Room'!$B$7,('Control Room'!$B$8+'Control Room'!$D$8)/2)+'Control Room'!$B$9*(AX313-IF('Control Room'!$B$5="Normal",'Control Room'!$B$7,('Control Room'!$B$8+'Control Room'!$D$8)/2))+SQRT(1-'Control Room'!$B$9^2)*(AW314-IF('Control Room'!$B$5="Normal",'Control Room'!$B$7,('Control Room'!$B$8+'Control Room'!$D$8)/2))</x:f>
        <x:v>1153.126158818055</x:v>
      </x:c>
      <x:c r="AY314" s="17" t="n">
        <x:f>IF(AND($A314&gt;='Control Room'!$A$13,$A314&lt;'Control Room'!$A$13+'Control Room'!$B$13,'Process'!BT2=1),1+('Control Room'!$C$13-1)*EXP(-0.5*(($A314-'Control Room'!$A$13-('Control Room'!$B$13-1)/2)/MAX(0.5,'Control Room'!$B$13/4))^2),1)*IF(AND($A314&gt;='Control Room'!$A$14,$A314&lt;'Control Room'!$A$14+'Control Room'!$B$14,'Process'!BT3=1),1+('Control Room'!$C$14-1)*EXP(-0.5*(($A314-'Control Room'!$A$14-('Control Room'!$B$14-1)/2)/MAX(0.5,'Control Room'!$B$14/4))^2),1)*IF(AND($A314&gt;='Control Room'!$A$15,$A314&lt;'Control Room'!$A$15+'Control Room'!$B$15,'Process'!BT4=1),1+('Control Room'!$C$15-1)*EXP(-0.5*(($A314-'Control Room'!$A$15-('Control Room'!$B$15-1)/2)/MAX(0.5,'Control Room'!$B$15/4))^2),1)*IF(AND($A314&gt;='Control Room'!$A$16,$A314&lt;'Control Room'!$A$16+'Control Room'!$B$16,'Process'!BT5=1),1+('Control Room'!$C$16-1)*EXP(-0.5*(($A314-'Control Room'!$A$16-('Control Room'!$B$16-1)/2)/MAX(0.5,'Control Room'!$B$16/4))^2),1)</x:f>
        <x:v>1</x:v>
      </x:c>
      <x:c r="AZ314" s="9" t="n">
        <x:f>MOD(BA313*16807,2147483647)</x:f>
        <x:v>2136471915</x:v>
      </x:c>
      <x:c r="BA314" s="9" t="n">
        <x:f>MOD(AZ314*16807,2147483647)</x:f>
        <x:v>1756897565</x:v>
      </x:c>
      <x:c r="BB314" s="17" t="n">
        <x:f>IF('Control Room'!$B$5="Normal",'Control Room'!$B$7+'Control Room'!$D$7*SQRT(-2*LN(MAX(0.000000000001,AZ314/2147483647)))*COS(2*PI()*BA314/2147483647),'Control Room'!$B$8+('Control Room'!$D$8-'Control Room'!$B$8)*AZ314/2147483647)</x:f>
        <x:v>1003.7877914156095</x:v>
      </x:c>
      <x:c r="BC314" s="17" t="n">
        <x:f>IF('Control Room'!$B$5="Normal",'Control Room'!$B$7,('Control Room'!$B$8+'Control Room'!$D$8)/2)+'Control Room'!$B$9*(BC313-IF('Control Room'!$B$5="Normal",'Control Room'!$B$7,('Control Room'!$B$8+'Control Room'!$D$8)/2))+SQRT(1-'Control Room'!$B$9^2)*(BB314-IF('Control Room'!$B$5="Normal",'Control Room'!$B$7,('Control Room'!$B$8+'Control Room'!$D$8)/2))</x:f>
        <x:v>1124.470105412967</x:v>
      </x:c>
      <x:c r="BD314" s="17" t="n">
        <x:f>IF(AND($A314&gt;='Control Room'!$A$13,$A314&lt;'Control Room'!$A$13+'Control Room'!$B$13,'Process'!BU2=1),1+('Control Room'!$C$13-1)*EXP(-0.5*(($A314-'Control Room'!$A$13-('Control Room'!$B$13-1)/2)/MAX(0.5,'Control Room'!$B$13/4))^2),1)*IF(AND($A314&gt;='Control Room'!$A$14,$A314&lt;'Control Room'!$A$14+'Control Room'!$B$14,'Process'!BU3=1),1+('Control Room'!$C$14-1)*EXP(-0.5*(($A314-'Control Room'!$A$14-('Control Room'!$B$14-1)/2)/MAX(0.5,'Control Room'!$B$14/4))^2),1)*IF(AND($A314&gt;='Control Room'!$A$15,$A314&lt;'Control Room'!$A$15+'Control Room'!$B$15,'Process'!BU4=1),1+('Control Room'!$C$15-1)*EXP(-0.5*(($A314-'Control Room'!$A$15-('Control Room'!$B$15-1)/2)/MAX(0.5,'Control Room'!$B$15/4))^2),1)*IF(AND($A314&gt;='Control Room'!$A$16,$A314&lt;'Control Room'!$A$16+'Control Room'!$B$16,'Process'!BU5=1),1+('Control Room'!$C$16-1)*EXP(-0.5*(($A314-'Control Room'!$A$16-('Control Room'!$B$16-1)/2)/MAX(0.5,'Control Room'!$B$16/4))^2),1)</x:f>
        <x:v>1</x:v>
      </x:c>
      <x:c r="BE314" s="9" t="n">
        <x:f>MOD(BF313*16807,2147483647)</x:f>
        <x:v>183522793</x:v>
      </x:c>
      <x:c r="BF314" s="9" t="n">
        <x:f>MOD(BE314*16807,2147483647)</x:f>
        <x:v>681064859</x:v>
      </x:c>
      <x:c r="BG314" s="17" t="n">
        <x:f>IF('Control Room'!$B$5="Normal",'Control Room'!$B$7+'Control Room'!$D$7*SQRT(-2*LN(MAX(0.000000000001,BE314/2147483647)))*COS(2*PI()*BF314/2147483647),'Control Room'!$B$8+('Control Room'!$D$8-'Control Room'!$B$8)*BE314/2147483647)</x:f>
        <x:v>918.259712345313</x:v>
      </x:c>
      <x:c r="BH314" s="17" t="n">
        <x:f>IF('Control Room'!$B$5="Normal",'Control Room'!$B$7,('Control Room'!$B$8+'Control Room'!$D$8)/2)+'Control Room'!$B$9*(BH313-IF('Control Room'!$B$5="Normal",'Control Room'!$B$7,('Control Room'!$B$8+'Control Room'!$D$8)/2))+SQRT(1-'Control Room'!$B$9^2)*(BG314-IF('Control Room'!$B$5="Normal",'Control Room'!$B$7,('Control Room'!$B$8+'Control Room'!$D$8)/2))</x:f>
        <x:v>956.2501839565729</x:v>
      </x:c>
      <x:c r="BI314" s="17" t="n">
        <x:f>IF(AND($A314&gt;='Control Room'!$A$13,$A314&lt;'Control Room'!$A$13+'Control Room'!$B$13,'Process'!BV2=1),1+('Control Room'!$C$13-1)*EXP(-0.5*(($A314-'Control Room'!$A$13-('Control Room'!$B$13-1)/2)/MAX(0.5,'Control Room'!$B$13/4))^2),1)*IF(AND($A314&gt;='Control Room'!$A$14,$A314&lt;'Control Room'!$A$14+'Control Room'!$B$14,'Process'!BV3=1),1+('Control Room'!$C$14-1)*EXP(-0.5*(($A314-'Control Room'!$A$14-('Control Room'!$B$14-1)/2)/MAX(0.5,'Control Room'!$B$14/4))^2),1)*IF(AND($A314&gt;='Control Room'!$A$15,$A314&lt;'Control Room'!$A$15+'Control Room'!$B$15,'Process'!BV4=1),1+('Control Room'!$C$15-1)*EXP(-0.5*(($A314-'Control Room'!$A$15-('Control Room'!$B$15-1)/2)/MAX(0.5,'Control Room'!$B$15/4))^2),1)*IF(AND($A314&gt;='Control Room'!$A$16,$A314&lt;'Control Room'!$A$16+'Control Room'!$B$16,'Process'!BV5=1),1+('Control Room'!$C$16-1)*EXP(-0.5*(($A314-'Control Room'!$A$16-('Control Room'!$B$16-1)/2)/MAX(0.5,'Control Room'!$B$16/4))^2),1)</x:f>
        <x:v>1</x:v>
      </x:c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Z314" t="str">
        <x:f>IF('Data'!A314="","",TEXT('Data'!A314,"mm-dd"))</x:f>
      </x:c>
    </x:row>
    <x:row r="315" ht="21" customHeight="1">
      <x:c r="A315" s="15" t="n">
        <x:f>'Control Room'!$B$1+313</x:f>
        <x:v>73304</x:v>
      </x:c>
      <x:c r="B315" s="9" t="n">
        <x:f>MOD(C314*16807,2147483647)</x:f>
        <x:v>1652016019</x:v>
      </x:c>
      <x:c r="C315" s="9" t="n">
        <x:f>MOD(B315*16807,2147483647)</x:f>
        <x:v>617159270</x:v>
      </x:c>
      <x:c r="D315" s="17" t="n">
        <x:f>IF('Control Room'!$B$5="Normal",'Control Room'!$B$7+'Control Room'!$D$7*SQRT(-2*LN(MAX(0.000000000001,B315/2147483647)))*COS(2*PI()*C315/2147483647),'Control Room'!$B$8+('Control Room'!$D$8-'Control Room'!$B$8)*B315/2147483647)</x:f>
        <x:v>984.8274735268507</x:v>
      </x:c>
      <x:c r="E315" s="17" t="n">
        <x:f>IF('Control Room'!$B$5="Normal",'Control Room'!$B$7,('Control Room'!$B$8+'Control Room'!$D$8)/2)+'Control Room'!$B$9*(E314-IF('Control Room'!$B$5="Normal",'Control Room'!$B$7,('Control Room'!$B$8+'Control Room'!$D$8)/2))+SQRT(1-'Control Room'!$B$9^2)*(D315-IF('Control Room'!$B$5="Normal",'Control Room'!$B$7,('Control Room'!$B$8+'Control Room'!$D$8)/2))</x:f>
        <x:v>1038.8406801690974</x:v>
      </x:c>
      <x:c r="F315" s="17" t="n">
        <x:f>IF(AND($A315&gt;='Control Room'!$A$13,$A315&lt;'Control Room'!$A$13+'Control Room'!$B$13,'Process'!BK2=1),1+('Control Room'!$C$13-1)*EXP(-0.5*(($A315-'Control Room'!$A$13-('Control Room'!$B$13-1)/2)/MAX(0.5,'Control Room'!$B$13/4))^2),1)*IF(AND($A315&gt;='Control Room'!$A$14,$A315&lt;'Control Room'!$A$14+'Control Room'!$B$14,'Process'!BK3=1),1+('Control Room'!$C$14-1)*EXP(-0.5*(($A315-'Control Room'!$A$14-('Control Room'!$B$14-1)/2)/MAX(0.5,'Control Room'!$B$14/4))^2),1)*IF(AND($A315&gt;='Control Room'!$A$15,$A315&lt;'Control Room'!$A$15+'Control Room'!$B$15,'Process'!BK4=1),1+('Control Room'!$C$15-1)*EXP(-0.5*(($A315-'Control Room'!$A$15-('Control Room'!$B$15-1)/2)/MAX(0.5,'Control Room'!$B$15/4))^2),1)*IF(AND($A315&gt;='Control Room'!$A$16,$A315&lt;'Control Room'!$A$16+'Control Room'!$B$16,'Process'!BK5=1),1+('Control Room'!$C$16-1)*EXP(-0.5*(($A315-'Control Room'!$A$16-('Control Room'!$B$16-1)/2)/MAX(0.5,'Control Room'!$B$16/4))^2),1)</x:f>
        <x:v>1</x:v>
      </x:c>
      <x:c r="G315" s="9" t="n">
        <x:f>MOD(H314*16807,2147483647)</x:f>
        <x:v>1944034017</x:v>
      </x:c>
      <x:c r="H315" s="9" t="n">
        <x:f>MOD(G315*16807,2147483647)</x:f>
        <x:v>1563518261</x:v>
      </x:c>
      <x:c r="I315" s="17" t="n">
        <x:f>IF('Control Room'!$B$5="Normal",'Control Room'!$B$7+'Control Room'!$D$7*SQRT(-2*LN(MAX(0.000000000001,G315/2147483647)))*COS(2*PI()*H315/2147483647),'Control Room'!$B$8+('Control Room'!$D$8-'Control Room'!$B$8)*G315/2147483647)</x:f>
        <x:v>994.4845276033611</x:v>
      </x:c>
      <x:c r="J315" s="17" t="n">
        <x:f>IF('Control Room'!$B$5="Normal",'Control Room'!$B$7,('Control Room'!$B$8+'Control Room'!$D$8)/2)+'Control Room'!$B$9*(J314-IF('Control Room'!$B$5="Normal",'Control Room'!$B$7,('Control Room'!$B$8+'Control Room'!$D$8)/2))+SQRT(1-'Control Room'!$B$9^2)*(I315-IF('Control Room'!$B$5="Normal",'Control Room'!$B$7,('Control Room'!$B$8+'Control Room'!$D$8)/2))</x:f>
        <x:v>965.3002985156685</x:v>
      </x:c>
      <x:c r="K315" s="17" t="n">
        <x:f>IF(AND($A315&gt;='Control Room'!$A$13,$A315&lt;'Control Room'!$A$13+'Control Room'!$B$13,'Process'!BL2=1),1+('Control Room'!$C$13-1)*EXP(-0.5*(($A315-'Control Room'!$A$13-('Control Room'!$B$13-1)/2)/MAX(0.5,'Control Room'!$B$13/4))^2),1)*IF(AND($A315&gt;='Control Room'!$A$14,$A315&lt;'Control Room'!$A$14+'Control Room'!$B$14,'Process'!BL3=1),1+('Control Room'!$C$14-1)*EXP(-0.5*(($A315-'Control Room'!$A$14-('Control Room'!$B$14-1)/2)/MAX(0.5,'Control Room'!$B$14/4))^2),1)*IF(AND($A315&gt;='Control Room'!$A$15,$A315&lt;'Control Room'!$A$15+'Control Room'!$B$15,'Process'!BL4=1),1+('Control Room'!$C$15-1)*EXP(-0.5*(($A315-'Control Room'!$A$15-('Control Room'!$B$15-1)/2)/MAX(0.5,'Control Room'!$B$15/4))^2),1)*IF(AND($A315&gt;='Control Room'!$A$16,$A315&lt;'Control Room'!$A$16+'Control Room'!$B$16,'Process'!BL5=1),1+('Control Room'!$C$16-1)*EXP(-0.5*(($A315-'Control Room'!$A$16-('Control Room'!$B$16-1)/2)/MAX(0.5,'Control Room'!$B$16/4))^2),1)</x:f>
        <x:v>1</x:v>
      </x:c>
      <x:c r="L315" s="9" t="n">
        <x:f>MOD(M314*16807,2147483647)</x:f>
        <x:v>88568368</x:v>
      </x:c>
      <x:c r="M315" s="9" t="n">
        <x:f>MOD(L315*16807,2147483647)</x:f>
        <x:v>362393605</x:v>
      </x:c>
      <x:c r="N315" s="17" t="n">
        <x:f>IF('Control Room'!$B$5="Normal",'Control Room'!$B$7+'Control Room'!$D$7*SQRT(-2*LN(MAX(0.000000000001,L315/2147483647)))*COS(2*PI()*M315/2147483647),'Control Room'!$B$8+('Control Room'!$D$8-'Control Room'!$B$8)*L315/2147483647)</x:f>
        <x:v>1111.043941390033</x:v>
      </x:c>
      <x:c r="O315" s="17" t="n">
        <x:f>IF('Control Room'!$B$5="Normal",'Control Room'!$B$7,('Control Room'!$B$8+'Control Room'!$D$8)/2)+'Control Room'!$B$9*(O314-IF('Control Room'!$B$5="Normal",'Control Room'!$B$7,('Control Room'!$B$8+'Control Room'!$D$8)/2))+SQRT(1-'Control Room'!$B$9^2)*(N315-IF('Control Room'!$B$5="Normal",'Control Room'!$B$7,('Control Room'!$B$8+'Control Room'!$D$8)/2))</x:f>
        <x:v>1105.9652598180144</x:v>
      </x:c>
      <x:c r="P315" s="17" t="n">
        <x:f>IF(AND($A315&gt;='Control Room'!$A$13,$A315&lt;'Control Room'!$A$13+'Control Room'!$B$13,'Process'!BM2=1),1+('Control Room'!$C$13-1)*EXP(-0.5*(($A315-'Control Room'!$A$13-('Control Room'!$B$13-1)/2)/MAX(0.5,'Control Room'!$B$13/4))^2),1)*IF(AND($A315&gt;='Control Room'!$A$14,$A315&lt;'Control Room'!$A$14+'Control Room'!$B$14,'Process'!BM3=1),1+('Control Room'!$C$14-1)*EXP(-0.5*(($A315-'Control Room'!$A$14-('Control Room'!$B$14-1)/2)/MAX(0.5,'Control Room'!$B$14/4))^2),1)*IF(AND($A315&gt;='Control Room'!$A$15,$A315&lt;'Control Room'!$A$15+'Control Room'!$B$15,'Process'!BM4=1),1+('Control Room'!$C$15-1)*EXP(-0.5*(($A315-'Control Room'!$A$15-('Control Room'!$B$15-1)/2)/MAX(0.5,'Control Room'!$B$15/4))^2),1)*IF(AND($A315&gt;='Control Room'!$A$16,$A315&lt;'Control Room'!$A$16+'Control Room'!$B$16,'Process'!BM5=1),1+('Control Room'!$C$16-1)*EXP(-0.5*(($A315-'Control Room'!$A$16-('Control Room'!$B$16-1)/2)/MAX(0.5,'Control Room'!$B$16/4))^2),1)</x:f>
        <x:v>1</x:v>
      </x:c>
      <x:c r="Q315" s="9" t="n">
        <x:f>MOD(R314*16807,2147483647)</x:f>
        <x:v>380586366</x:v>
      </x:c>
      <x:c r="R315" s="9" t="n">
        <x:f>MOD(Q315*16807,2147483647)</x:f>
        <x:v>1308752596</x:v>
      </x:c>
      <x:c r="S315" s="17" t="n">
        <x:f>IF('Control Room'!$B$5="Normal",'Control Room'!$B$7+'Control Room'!$D$7*SQRT(-2*LN(MAX(0.000000000001,Q315/2147483647)))*COS(2*PI()*R315/2147483647),'Control Room'!$B$8+('Control Room'!$D$8-'Control Room'!$B$8)*Q315/2147483647)</x:f>
        <x:v>870.6182251522466</x:v>
      </x:c>
      <x:c r="T315" s="17" t="n">
        <x:f>IF('Control Room'!$B$5="Normal",'Control Room'!$B$7,('Control Room'!$B$8+'Control Room'!$D$8)/2)+'Control Room'!$B$9*(T314-IF('Control Room'!$B$5="Normal",'Control Room'!$B$7,('Control Room'!$B$8+'Control Room'!$D$8)/2))+SQRT(1-'Control Room'!$B$9^2)*(S315-IF('Control Room'!$B$5="Normal",'Control Room'!$B$7,('Control Room'!$B$8+'Control Room'!$D$8)/2))</x:f>
        <x:v>916.357992719185</x:v>
      </x:c>
      <x:c r="U315" s="17" t="n">
        <x:f>IF(AND($A315&gt;='Control Room'!$A$13,$A315&lt;'Control Room'!$A$13+'Control Room'!$B$13,'Process'!BN2=1),1+('Control Room'!$C$13-1)*EXP(-0.5*(($A315-'Control Room'!$A$13-('Control Room'!$B$13-1)/2)/MAX(0.5,'Control Room'!$B$13/4))^2),1)*IF(AND($A315&gt;='Control Room'!$A$14,$A315&lt;'Control Room'!$A$14+'Control Room'!$B$14,'Process'!BN3=1),1+('Control Room'!$C$14-1)*EXP(-0.5*(($A315-'Control Room'!$A$14-('Control Room'!$B$14-1)/2)/MAX(0.5,'Control Room'!$B$14/4))^2),1)*IF(AND($A315&gt;='Control Room'!$A$15,$A315&lt;'Control Room'!$A$15+'Control Room'!$B$15,'Process'!BN4=1),1+('Control Room'!$C$15-1)*EXP(-0.5*(($A315-'Control Room'!$A$15-('Control Room'!$B$15-1)/2)/MAX(0.5,'Control Room'!$B$15/4))^2),1)*IF(AND($A315&gt;='Control Room'!$A$16,$A315&lt;'Control Room'!$A$16+'Control Room'!$B$16,'Process'!BN5=1),1+('Control Room'!$C$16-1)*EXP(-0.5*(($A315-'Control Room'!$A$16-('Control Room'!$B$16-1)/2)/MAX(0.5,'Control Room'!$B$16/4))^2),1)</x:f>
        <x:v>1</x:v>
      </x:c>
      <x:c r="V315" s="9" t="n">
        <x:f>MOD(W314*16807,2147483647)</x:f>
        <x:v>672604364</x:v>
      </x:c>
      <x:c r="W315" s="9" t="n">
        <x:f>MOD(V315*16807,2147483647)</x:f>
        <x:v>107627940</x:v>
      </x:c>
      <x:c r="X315" s="17" t="n">
        <x:f>IF('Control Room'!$B$5="Normal",'Control Room'!$B$7+'Control Room'!$D$7*SQRT(-2*LN(MAX(0.000000000001,V315/2147483647)))*COS(2*PI()*W315/2147483647),'Control Room'!$B$8+('Control Room'!$D$8-'Control Room'!$B$8)*V315/2147483647)</x:f>
        <x:v>1130.3933238636391</x:v>
      </x:c>
      <x:c r="Y315" s="17" t="n">
        <x:f>IF('Control Room'!$B$5="Normal",'Control Room'!$B$7,('Control Room'!$B$8+'Control Room'!$D$8)/2)+'Control Room'!$B$9*(Y314-IF('Control Room'!$B$5="Normal",'Control Room'!$B$7,('Control Room'!$B$8+'Control Room'!$D$8)/2))+SQRT(1-'Control Room'!$B$9^2)*(X315-IF('Control Room'!$B$5="Normal",'Control Room'!$B$7,('Control Room'!$B$8+'Control Room'!$D$8)/2))</x:f>
        <x:v>1104.4206145329347</x:v>
      </x:c>
      <x:c r="Z315" s="17" t="n">
        <x:f>IF(AND($A315&gt;='Control Room'!$A$13,$A315&lt;'Control Room'!$A$13+'Control Room'!$B$13,'Process'!BO2=1),1+('Control Room'!$C$13-1)*EXP(-0.5*(($A315-'Control Room'!$A$13-('Control Room'!$B$13-1)/2)/MAX(0.5,'Control Room'!$B$13/4))^2),1)*IF(AND($A315&gt;='Control Room'!$A$14,$A315&lt;'Control Room'!$A$14+'Control Room'!$B$14,'Process'!BO3=1),1+('Control Room'!$C$14-1)*EXP(-0.5*(($A315-'Control Room'!$A$14-('Control Room'!$B$14-1)/2)/MAX(0.5,'Control Room'!$B$14/4))^2),1)*IF(AND($A315&gt;='Control Room'!$A$15,$A315&lt;'Control Room'!$A$15+'Control Room'!$B$15,'Process'!BO4=1),1+('Control Room'!$C$15-1)*EXP(-0.5*(($A315-'Control Room'!$A$15-('Control Room'!$B$15-1)/2)/MAX(0.5,'Control Room'!$B$15/4))^2),1)*IF(AND($A315&gt;='Control Room'!$A$16,$A315&lt;'Control Room'!$A$16+'Control Room'!$B$16,'Process'!BO5=1),1+('Control Room'!$C$16-1)*EXP(-0.5*(($A315-'Control Room'!$A$16-('Control Room'!$B$16-1)/2)/MAX(0.5,'Control Room'!$B$16/4))^2),1)</x:f>
        <x:v>1</x:v>
      </x:c>
      <x:c r="AA315" s="9" t="n">
        <x:f>MOD(AB314*16807,2147483647)</x:f>
        <x:v>964622362</x:v>
      </x:c>
      <x:c r="AB315" s="9" t="n">
        <x:f>MOD(AA315*16807,2147483647)</x:f>
        <x:v>1053986931</x:v>
      </x:c>
      <x:c r="AC315" s="17" t="n">
        <x:f>IF('Control Room'!$B$5="Normal",'Control Room'!$B$7+'Control Room'!$D$7*SQRT(-2*LN(MAX(0.000000000001,AA315/2147483647)))*COS(2*PI()*AB315/2147483647),'Control Room'!$B$8+('Control Room'!$D$8-'Control Room'!$B$8)*AA315/2147483647)</x:f>
        <x:v>886.3257146829607</x:v>
      </x:c>
      <x:c r="AD315" s="17" t="n">
        <x:f>IF('Control Room'!$B$5="Normal",'Control Room'!$B$7,('Control Room'!$B$8+'Control Room'!$D$8)/2)+'Control Room'!$B$9*(AD314-IF('Control Room'!$B$5="Normal",'Control Room'!$B$7,('Control Room'!$B$8+'Control Room'!$D$8)/2))+SQRT(1-'Control Room'!$B$9^2)*(AC315-IF('Control Room'!$B$5="Normal",'Control Room'!$B$7,('Control Room'!$B$8+'Control Room'!$D$8)/2))</x:f>
        <x:v>857.5026790265322</x:v>
      </x:c>
      <x:c r="AE315" s="17" t="n">
        <x:f>IF(AND($A315&gt;='Control Room'!$A$13,$A315&lt;'Control Room'!$A$13+'Control Room'!$B$13,'Process'!BP2=1),1+('Control Room'!$C$13-1)*EXP(-0.5*(($A315-'Control Room'!$A$13-('Control Room'!$B$13-1)/2)/MAX(0.5,'Control Room'!$B$13/4))^2),1)*IF(AND($A315&gt;='Control Room'!$A$14,$A315&lt;'Control Room'!$A$14+'Control Room'!$B$14,'Process'!BP3=1),1+('Control Room'!$C$14-1)*EXP(-0.5*(($A315-'Control Room'!$A$14-('Control Room'!$B$14-1)/2)/MAX(0.5,'Control Room'!$B$14/4))^2),1)*IF(AND($A315&gt;='Control Room'!$A$15,$A315&lt;'Control Room'!$A$15+'Control Room'!$B$15,'Process'!BP4=1),1+('Control Room'!$C$15-1)*EXP(-0.5*(($A315-'Control Room'!$A$15-('Control Room'!$B$15-1)/2)/MAX(0.5,'Control Room'!$B$15/4))^2),1)*IF(AND($A315&gt;='Control Room'!$A$16,$A315&lt;'Control Room'!$A$16+'Control Room'!$B$16,'Process'!BP5=1),1+('Control Room'!$C$16-1)*EXP(-0.5*(($A315-'Control Room'!$A$16-('Control Room'!$B$16-1)/2)/MAX(0.5,'Control Room'!$B$16/4))^2),1)</x:f>
        <x:v>1</x:v>
      </x:c>
      <x:c r="AF315" s="9" t="n">
        <x:f>MOD(AG314*16807,2147483647)</x:f>
        <x:v>1256640360</x:v>
      </x:c>
      <x:c r="AG315" s="9" t="n">
        <x:f>MOD(AF315*16807,2147483647)</x:f>
        <x:v>2000345922</x:v>
      </x:c>
      <x:c r="AH315" s="17" t="n">
        <x:f>IF('Control Room'!$B$5="Normal",'Control Room'!$B$7+'Control Room'!$D$7*SQRT(-2*LN(MAX(0.000000000001,AF315/2147483647)))*COS(2*PI()*AG315/2147483647),'Control Room'!$B$8+('Control Room'!$D$8-'Control Room'!$B$8)*AF315/2147483647)</x:f>
        <x:v>1084.6698584278806</x:v>
      </x:c>
      <x:c r="AI315" s="17" t="n">
        <x:f>IF('Control Room'!$B$5="Normal",'Control Room'!$B$7,('Control Room'!$B$8+'Control Room'!$D$8)/2)+'Control Room'!$B$9*(AI314-IF('Control Room'!$B$5="Normal",'Control Room'!$B$7,('Control Room'!$B$8+'Control Room'!$D$8)/2))+SQRT(1-'Control Room'!$B$9^2)*(AH315-IF('Control Room'!$B$5="Normal",'Control Room'!$B$7,('Control Room'!$B$8+'Control Room'!$D$8)/2))</x:f>
        <x:v>1065.9617797236199</x:v>
      </x:c>
      <x:c r="AJ315" s="17" t="n">
        <x:f>IF(AND($A315&gt;='Control Room'!$A$13,$A315&lt;'Control Room'!$A$13+'Control Room'!$B$13,'Process'!BQ2=1),1+('Control Room'!$C$13-1)*EXP(-0.5*(($A315-'Control Room'!$A$13-('Control Room'!$B$13-1)/2)/MAX(0.5,'Control Room'!$B$13/4))^2),1)*IF(AND($A315&gt;='Control Room'!$A$14,$A315&lt;'Control Room'!$A$14+'Control Room'!$B$14,'Process'!BQ3=1),1+('Control Room'!$C$14-1)*EXP(-0.5*(($A315-'Control Room'!$A$14-('Control Room'!$B$14-1)/2)/MAX(0.5,'Control Room'!$B$14/4))^2),1)*IF(AND($A315&gt;='Control Room'!$A$15,$A315&lt;'Control Room'!$A$15+'Control Room'!$B$15,'Process'!BQ4=1),1+('Control Room'!$C$15-1)*EXP(-0.5*(($A315-'Control Room'!$A$15-('Control Room'!$B$15-1)/2)/MAX(0.5,'Control Room'!$B$15/4))^2),1)*IF(AND($A315&gt;='Control Room'!$A$16,$A315&lt;'Control Room'!$A$16+'Control Room'!$B$16,'Process'!BQ5=1),1+('Control Room'!$C$16-1)*EXP(-0.5*(($A315-'Control Room'!$A$16-('Control Room'!$B$16-1)/2)/MAX(0.5,'Control Room'!$B$16/4))^2),1)</x:f>
        <x:v>1</x:v>
      </x:c>
      <x:c r="AK315" s="9" t="n">
        <x:f>MOD(AL314*16807,2147483647)</x:f>
        <x:v>1548658358</x:v>
      </x:c>
      <x:c r="AL315" s="9" t="n">
        <x:f>MOD(AK315*16807,2147483647)</x:f>
        <x:v>799221266</x:v>
      </x:c>
      <x:c r="AM315" s="17" t="n">
        <x:f>IF('Control Room'!$B$5="Normal",'Control Room'!$B$7+'Control Room'!$D$7*SQRT(-2*LN(MAX(0.000000000001,AK315/2147483647)))*COS(2*PI()*AL315/2147483647),'Control Room'!$B$8+('Control Room'!$D$8-'Control Room'!$B$8)*AK315/2147483647)</x:f>
        <x:v>949.466005791418</x:v>
      </x:c>
      <x:c r="AN315" s="17" t="n">
        <x:f>IF('Control Room'!$B$5="Normal",'Control Room'!$B$7,('Control Room'!$B$8+'Control Room'!$D$8)/2)+'Control Room'!$B$9*(AN314-IF('Control Room'!$B$5="Normal",'Control Room'!$B$7,('Control Room'!$B$8+'Control Room'!$D$8)/2))+SQRT(1-'Control Room'!$B$9^2)*(AM315-IF('Control Room'!$B$5="Normal",'Control Room'!$B$7,('Control Room'!$B$8+'Control Room'!$D$8)/2))</x:f>
        <x:v>848.3885815358935</x:v>
      </x:c>
      <x:c r="AO315" s="17" t="n">
        <x:f>IF(AND($A315&gt;='Control Room'!$A$13,$A315&lt;'Control Room'!$A$13+'Control Room'!$B$13,'Process'!BR2=1),1+('Control Room'!$C$13-1)*EXP(-0.5*(($A315-'Control Room'!$A$13-('Control Room'!$B$13-1)/2)/MAX(0.5,'Control Room'!$B$13/4))^2),1)*IF(AND($A315&gt;='Control Room'!$A$14,$A315&lt;'Control Room'!$A$14+'Control Room'!$B$14,'Process'!BR3=1),1+('Control Room'!$C$14-1)*EXP(-0.5*(($A315-'Control Room'!$A$14-('Control Room'!$B$14-1)/2)/MAX(0.5,'Control Room'!$B$14/4))^2),1)*IF(AND($A315&gt;='Control Room'!$A$15,$A315&lt;'Control Room'!$A$15+'Control Room'!$B$15,'Process'!BR4=1),1+('Control Room'!$C$15-1)*EXP(-0.5*(($A315-'Control Room'!$A$15-('Control Room'!$B$15-1)/2)/MAX(0.5,'Control Room'!$B$15/4))^2),1)*IF(AND($A315&gt;='Control Room'!$A$16,$A315&lt;'Control Room'!$A$16+'Control Room'!$B$16,'Process'!BR5=1),1+('Control Room'!$C$16-1)*EXP(-0.5*(($A315-'Control Room'!$A$16-('Control Room'!$B$16-1)/2)/MAX(0.5,'Control Room'!$B$16/4))^2),1)</x:f>
        <x:v>1</x:v>
      </x:c>
      <x:c r="AP315" s="9" t="n">
        <x:f>MOD(AQ314*16807,2147483647)</x:f>
        <x:v>1840676356</x:v>
      </x:c>
      <x:c r="AQ315" s="9" t="n">
        <x:f>MOD(AP315*16807,2147483647)</x:f>
        <x:v>1745580257</x:v>
      </x:c>
      <x:c r="AR315" s="17" t="n">
        <x:f>IF('Control Room'!$B$5="Normal",'Control Room'!$B$7+'Control Room'!$D$7*SQRT(-2*LN(MAX(0.000000000001,AP315/2147483647)))*COS(2*PI()*AQ315/2147483647),'Control Room'!$B$8+('Control Room'!$D$8-'Control Room'!$B$8)*AP315/2147483647)</x:f>
        <x:v>1019.225657706319</x:v>
      </x:c>
      <x:c r="AS315" s="17" t="n">
        <x:f>IF('Control Room'!$B$5="Normal",'Control Room'!$B$7,('Control Room'!$B$8+'Control Room'!$D$8)/2)+'Control Room'!$B$9*(AS314-IF('Control Room'!$B$5="Normal",'Control Room'!$B$7,('Control Room'!$B$8+'Control Room'!$D$8)/2))+SQRT(1-'Control Room'!$B$9^2)*(AR315-IF('Control Room'!$B$5="Normal",'Control Room'!$B$7,('Control Room'!$B$8+'Control Room'!$D$8)/2))</x:f>
        <x:v>971.4116678430947</x:v>
      </x:c>
      <x:c r="AT315" s="17" t="n">
        <x:f>IF(AND($A315&gt;='Control Room'!$A$13,$A315&lt;'Control Room'!$A$13+'Control Room'!$B$13,'Process'!BS2=1),1+('Control Room'!$C$13-1)*EXP(-0.5*(($A315-'Control Room'!$A$13-('Control Room'!$B$13-1)/2)/MAX(0.5,'Control Room'!$B$13/4))^2),1)*IF(AND($A315&gt;='Control Room'!$A$14,$A315&lt;'Control Room'!$A$14+'Control Room'!$B$14,'Process'!BS3=1),1+('Control Room'!$C$14-1)*EXP(-0.5*(($A315-'Control Room'!$A$14-('Control Room'!$B$14-1)/2)/MAX(0.5,'Control Room'!$B$14/4))^2),1)*IF(AND($A315&gt;='Control Room'!$A$15,$A315&lt;'Control Room'!$A$15+'Control Room'!$B$15,'Process'!BS4=1),1+('Control Room'!$C$15-1)*EXP(-0.5*(($A315-'Control Room'!$A$15-('Control Room'!$B$15-1)/2)/MAX(0.5,'Control Room'!$B$15/4))^2),1)*IF(AND($A315&gt;='Control Room'!$A$16,$A315&lt;'Control Room'!$A$16+'Control Room'!$B$16,'Process'!BS5=1),1+('Control Room'!$C$16-1)*EXP(-0.5*(($A315-'Control Room'!$A$16-('Control Room'!$B$16-1)/2)/MAX(0.5,'Control Room'!$B$16/4))^2),1)</x:f>
        <x:v>1</x:v>
      </x:c>
      <x:c r="AU315" s="9" t="n">
        <x:f>MOD(AV314*16807,2147483647)</x:f>
        <x:v>2132694354</x:v>
      </x:c>
      <x:c r="AV315" s="9" t="n">
        <x:f>MOD(AU315*16807,2147483647)</x:f>
        <x:v>544455601</x:v>
      </x:c>
      <x:c r="AW315" s="17" t="n">
        <x:f>IF('Control Room'!$B$5="Normal",'Control Room'!$B$7+'Control Room'!$D$7*SQRT(-2*LN(MAX(0.000000000001,AU315/2147483647)))*COS(2*PI()*AV315/2147483647),'Control Room'!$B$8+('Control Room'!$D$8-'Control Room'!$B$8)*AU315/2147483647)</x:f>
        <x:v>999.7652161016907</x:v>
      </x:c>
      <x:c r="AX315" s="17" t="n">
        <x:f>IF('Control Room'!$B$5="Normal",'Control Room'!$B$7,('Control Room'!$B$8+'Control Room'!$D$8)/2)+'Control Room'!$B$9*(AX314-IF('Control Room'!$B$5="Normal",'Control Room'!$B$7,('Control Room'!$B$8+'Control Room'!$D$8)/2))+SQRT(1-'Control Room'!$B$9^2)*(AW315-IF('Control Room'!$B$5="Normal",'Control Room'!$B$7,('Control Room'!$B$8+'Control Room'!$D$8)/2))</x:f>
        <x:v>1119.2914809243305</x:v>
      </x:c>
      <x:c r="AY315" s="17" t="n">
        <x:f>IF(AND($A315&gt;='Control Room'!$A$13,$A315&lt;'Control Room'!$A$13+'Control Room'!$B$13,'Process'!BT2=1),1+('Control Room'!$C$13-1)*EXP(-0.5*(($A315-'Control Room'!$A$13-('Control Room'!$B$13-1)/2)/MAX(0.5,'Control Room'!$B$13/4))^2),1)*IF(AND($A315&gt;='Control Room'!$A$14,$A315&lt;'Control Room'!$A$14+'Control Room'!$B$14,'Process'!BT3=1),1+('Control Room'!$C$14-1)*EXP(-0.5*(($A315-'Control Room'!$A$14-('Control Room'!$B$14-1)/2)/MAX(0.5,'Control Room'!$B$14/4))^2),1)*IF(AND($A315&gt;='Control Room'!$A$15,$A315&lt;'Control Room'!$A$15+'Control Room'!$B$15,'Process'!BT4=1),1+('Control Room'!$C$15-1)*EXP(-0.5*(($A315-'Control Room'!$A$15-('Control Room'!$B$15-1)/2)/MAX(0.5,'Control Room'!$B$15/4))^2),1)*IF(AND($A315&gt;='Control Room'!$A$16,$A315&lt;'Control Room'!$A$16+'Control Room'!$B$16,'Process'!BT5=1),1+('Control Room'!$C$16-1)*EXP(-0.5*(($A315-'Control Room'!$A$16-('Control Room'!$B$16-1)/2)/MAX(0.5,'Control Room'!$B$16/4))^2),1)</x:f>
        <x:v>1</x:v>
      </x:c>
      <x:c r="AZ315" s="9" t="n">
        <x:f>MOD(BA314*16807,2147483647)</x:f>
        <x:v>277228705</x:v>
      </x:c>
      <x:c r="BA315" s="9" t="n">
        <x:f>MOD(AZ315*16807,2147483647)</x:f>
        <x:v>1490814592</x:v>
      </x:c>
      <x:c r="BB315" s="17" t="n">
        <x:f>IF('Control Room'!$B$5="Normal",'Control Room'!$B$7+'Control Room'!$D$7*SQRT(-2*LN(MAX(0.000000000001,AZ315/2147483647)))*COS(2*PI()*BA315/2147483647),'Control Room'!$B$8+('Control Room'!$D$8-'Control Room'!$B$8)*AZ315/2147483647)</x:f>
        <x:v>937.4669925826872</x:v>
      </x:c>
      <x:c r="BC315" s="17" t="n">
        <x:f>IF('Control Room'!$B$5="Normal",'Control Room'!$B$7,('Control Room'!$B$8+'Control Room'!$D$8)/2)+'Control Room'!$B$9*(BC314-IF('Control Room'!$B$5="Normal",'Control Room'!$B$7,('Control Room'!$B$8+'Control Room'!$D$8)/2))+SQRT(1-'Control Room'!$B$9^2)*(BB315-IF('Control Room'!$B$5="Normal",'Control Room'!$B$7,('Control Room'!$B$8+'Control Room'!$D$8)/2))</x:f>
        <x:v>1057.9548072386488</x:v>
      </x:c>
      <x:c r="BD315" s="17" t="n">
        <x:f>IF(AND($A315&gt;='Control Room'!$A$13,$A315&lt;'Control Room'!$A$13+'Control Room'!$B$13,'Process'!BU2=1),1+('Control Room'!$C$13-1)*EXP(-0.5*(($A315-'Control Room'!$A$13-('Control Room'!$B$13-1)/2)/MAX(0.5,'Control Room'!$B$13/4))^2),1)*IF(AND($A315&gt;='Control Room'!$A$14,$A315&lt;'Control Room'!$A$14+'Control Room'!$B$14,'Process'!BU3=1),1+('Control Room'!$C$14-1)*EXP(-0.5*(($A315-'Control Room'!$A$14-('Control Room'!$B$14-1)/2)/MAX(0.5,'Control Room'!$B$14/4))^2),1)*IF(AND($A315&gt;='Control Room'!$A$15,$A315&lt;'Control Room'!$A$15+'Control Room'!$B$15,'Process'!BU4=1),1+('Control Room'!$C$15-1)*EXP(-0.5*(($A315-'Control Room'!$A$15-('Control Room'!$B$15-1)/2)/MAX(0.5,'Control Room'!$B$15/4))^2),1)*IF(AND($A315&gt;='Control Room'!$A$16,$A315&lt;'Control Room'!$A$16+'Control Room'!$B$16,'Process'!BU5=1),1+('Control Room'!$C$16-1)*EXP(-0.5*(($A315-'Control Room'!$A$16-('Control Room'!$B$16-1)/2)/MAX(0.5,'Control Room'!$B$16/4))^2),1)</x:f>
        <x:v>1</x:v>
      </x:c>
      <x:c r="BE315" s="9" t="n">
        <x:f>MOD(BF314*16807,2147483647)</x:f>
        <x:v>569246703</x:v>
      </x:c>
      <x:c r="BF315" s="9" t="n">
        <x:f>MOD(BE315*16807,2147483647)</x:f>
        <x:v>289689936</x:v>
      </x:c>
      <x:c r="BG315" s="17" t="n">
        <x:f>IF('Control Room'!$B$5="Normal",'Control Room'!$B$7+'Control Room'!$D$7*SQRT(-2*LN(MAX(0.000000000001,BE315/2147483647)))*COS(2*PI()*BF315/2147483647),'Control Room'!$B$8+('Control Room'!$D$8-'Control Room'!$B$8)*BE315/2147483647)</x:f>
        <x:v>1097.059361049136</x:v>
      </x:c>
      <x:c r="BH315" s="17" t="n">
        <x:f>IF('Control Room'!$B$5="Normal",'Control Room'!$B$7,('Control Room'!$B$8+'Control Room'!$D$8)/2)+'Control Room'!$B$9*(BH314-IF('Control Room'!$B$5="Normal",'Control Room'!$B$7,('Control Room'!$B$8+'Control Room'!$D$8)/2))+SQRT(1-'Control Room'!$B$9^2)*(BG315-IF('Control Room'!$B$5="Normal",'Control Room'!$B$7,('Control Room'!$B$8+'Control Room'!$D$8)/2))</x:f>
        <x:v>1026.6129032615875</x:v>
      </x:c>
      <x:c r="BI315" s="17" t="n">
        <x:f>IF(AND($A315&gt;='Control Room'!$A$13,$A315&lt;'Control Room'!$A$13+'Control Room'!$B$13,'Process'!BV2=1),1+('Control Room'!$C$13-1)*EXP(-0.5*(($A315-'Control Room'!$A$13-('Control Room'!$B$13-1)/2)/MAX(0.5,'Control Room'!$B$13/4))^2),1)*IF(AND($A315&gt;='Control Room'!$A$14,$A315&lt;'Control Room'!$A$14+'Control Room'!$B$14,'Process'!BV3=1),1+('Control Room'!$C$14-1)*EXP(-0.5*(($A315-'Control Room'!$A$14-('Control Room'!$B$14-1)/2)/MAX(0.5,'Control Room'!$B$14/4))^2),1)*IF(AND($A315&gt;='Control Room'!$A$15,$A315&lt;'Control Room'!$A$15+'Control Room'!$B$15,'Process'!BV4=1),1+('Control Room'!$C$15-1)*EXP(-0.5*(($A315-'Control Room'!$A$15-('Control Room'!$B$15-1)/2)/MAX(0.5,'Control Room'!$B$15/4))^2),1)*IF(AND($A315&gt;='Control Room'!$A$16,$A315&lt;'Control Room'!$A$16+'Control Room'!$B$16,'Process'!BV5=1),1+('Control Room'!$C$16-1)*EXP(-0.5*(($A315-'Control Room'!$A$16-('Control Room'!$B$16-1)/2)/MAX(0.5,'Control Room'!$B$16/4))^2),1)</x:f>
        <x:v>1</x:v>
      </x:c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Z315" t="str">
        <x:f>IF('Data'!A315="","",TEXT('Data'!A315,"mm-dd"))</x:f>
      </x:c>
    </x:row>
    <x:row r="316" ht="21" customHeight="1">
      <x:c r="A316" s="15" t="n">
        <x:f>'Control Room'!$B$1+314</x:f>
        <x:v>73305</x:v>
      </x:c>
      <x:c r="B316" s="9" t="n">
        <x:f>MOD(C315*16807,2147483647)</x:f>
        <x:v>249835880</x:v>
      </x:c>
      <x:c r="C316" s="9" t="n">
        <x:f>MOD(B316*16807,2147483647)</x:f>
        <x:v>661105275</x:v>
      </x:c>
      <x:c r="D316" s="17" t="n">
        <x:f>IF('Control Room'!$B$5="Normal",'Control Room'!$B$7+'Control Room'!$D$7*SQRT(-2*LN(MAX(0.000000000001,B316/2147483647)))*COS(2*PI()*C316/2147483647),'Control Room'!$B$8+('Control Room'!$D$8-'Control Room'!$B$8)*B316/2147483647)</x:f>
        <x:v>933.6274503571988</x:v>
      </x:c>
      <x:c r="E316" s="17" t="n">
        <x:f>IF('Control Room'!$B$5="Normal",'Control Room'!$B$7,('Control Room'!$B$8+'Control Room'!$D$8)/2)+'Control Room'!$B$9*(E315-IF('Control Room'!$B$5="Normal",'Control Room'!$B$7,('Control Room'!$B$8+'Control Room'!$D$8)/2))+SQRT(1-'Control Room'!$B$9^2)*(D316-IF('Control Room'!$B$5="Normal",'Control Room'!$B$7,('Control Room'!$B$8+'Control Room'!$D$8)/2))</x:f>
        <x:v>988.7611486810175</x:v>
      </x:c>
      <x:c r="F316" s="17" t="n">
        <x:f>IF(AND($A316&gt;='Control Room'!$A$13,$A316&lt;'Control Room'!$A$13+'Control Room'!$B$13,'Process'!BK2=1),1+('Control Room'!$C$13-1)*EXP(-0.5*(($A316-'Control Room'!$A$13-('Control Room'!$B$13-1)/2)/MAX(0.5,'Control Room'!$B$13/4))^2),1)*IF(AND($A316&gt;='Control Room'!$A$14,$A316&lt;'Control Room'!$A$14+'Control Room'!$B$14,'Process'!BK3=1),1+('Control Room'!$C$14-1)*EXP(-0.5*(($A316-'Control Room'!$A$14-('Control Room'!$B$14-1)/2)/MAX(0.5,'Control Room'!$B$14/4))^2),1)*IF(AND($A316&gt;='Control Room'!$A$15,$A316&lt;'Control Room'!$A$15+'Control Room'!$B$15,'Process'!BK4=1),1+('Control Room'!$C$15-1)*EXP(-0.5*(($A316-'Control Room'!$A$15-('Control Room'!$B$15-1)/2)/MAX(0.5,'Control Room'!$B$15/4))^2),1)*IF(AND($A316&gt;='Control Room'!$A$16,$A316&lt;'Control Room'!$A$16+'Control Room'!$B$16,'Process'!BK5=1),1+('Control Room'!$C$16-1)*EXP(-0.5*(($A316-'Control Room'!$A$16-('Control Room'!$B$16-1)/2)/MAX(0.5,'Control Room'!$B$16/4))^2),1)</x:f>
        <x:v>1</x:v>
      </x:c>
      <x:c r="G316" s="9" t="n">
        <x:f>MOD(H315*16807,2147483647)</x:f>
        <x:v>1441507935</x:v>
      </x:c>
      <x:c r="H316" s="9" t="n">
        <x:f>MOD(G316*16807,2147483647)</x:f>
        <x:v>1660841738</x:v>
      </x:c>
      <x:c r="I316" s="17" t="n">
        <x:f>IF('Control Room'!$B$5="Normal",'Control Room'!$B$7+'Control Room'!$D$7*SQRT(-2*LN(MAX(0.000000000001,G316/2147483647)))*COS(2*PI()*H316/2147483647),'Control Room'!$B$8+('Control Room'!$D$8-'Control Room'!$B$8)*G316/2147483647)</x:f>
        <x:v>1011.7671180241314</x:v>
      </x:c>
      <x:c r="J316" s="17" t="n">
        <x:f>IF('Control Room'!$B$5="Normal",'Control Room'!$B$7,('Control Room'!$B$8+'Control Room'!$D$8)/2)+'Control Room'!$B$9*(J315-IF('Control Room'!$B$5="Normal",'Control Room'!$B$7,('Control Room'!$B$8+'Control Room'!$D$8)/2))+SQRT(1-'Control Room'!$B$9^2)*(I316-IF('Control Room'!$B$5="Normal",'Control Room'!$B$7,('Control Room'!$B$8+'Control Room'!$D$8)/2))</x:f>
        <x:v>980.2978542392071</x:v>
      </x:c>
      <x:c r="K316" s="17" t="n">
        <x:f>IF(AND($A316&gt;='Control Room'!$A$13,$A316&lt;'Control Room'!$A$13+'Control Room'!$B$13,'Process'!BL2=1),1+('Control Room'!$C$13-1)*EXP(-0.5*(($A316-'Control Room'!$A$13-('Control Room'!$B$13-1)/2)/MAX(0.5,'Control Room'!$B$13/4))^2),1)*IF(AND($A316&gt;='Control Room'!$A$14,$A316&lt;'Control Room'!$A$14+'Control Room'!$B$14,'Process'!BL3=1),1+('Control Room'!$C$14-1)*EXP(-0.5*(($A316-'Control Room'!$A$14-('Control Room'!$B$14-1)/2)/MAX(0.5,'Control Room'!$B$14/4))^2),1)*IF(AND($A316&gt;='Control Room'!$A$15,$A316&lt;'Control Room'!$A$15+'Control Room'!$B$15,'Process'!BL4=1),1+('Control Room'!$C$15-1)*EXP(-0.5*(($A316-'Control Room'!$A$15-('Control Room'!$B$15-1)/2)/MAX(0.5,'Control Room'!$B$15/4))^2),1)*IF(AND($A316&gt;='Control Room'!$A$16,$A316&lt;'Control Room'!$A$16+'Control Room'!$B$16,'Process'!BL5=1),1+('Control Room'!$C$16-1)*EXP(-0.5*(($A316-'Control Room'!$A$16-('Control Room'!$B$16-1)/2)/MAX(0.5,'Control Room'!$B$16/4))^2),1)</x:f>
        <x:v>1</x:v>
      </x:c>
      <x:c r="L316" s="9" t="n">
        <x:f>MOD(M315*16807,2147483647)</x:f>
        <x:v>485696343</x:v>
      </x:c>
      <x:c r="M316" s="9" t="n">
        <x:f>MOD(L316*16807,2147483647)</x:f>
        <x:v>513094554</x:v>
      </x:c>
      <x:c r="N316" s="17" t="n">
        <x:f>IF('Control Room'!$B$5="Normal",'Control Room'!$B$7+'Control Room'!$D$7*SQRT(-2*LN(MAX(0.000000000001,L316/2147483647)))*COS(2*PI()*M316/2147483647),'Control Room'!$B$8+('Control Room'!$D$8-'Control Room'!$B$8)*L316/2147483647)</x:f>
        <x:v>1010.7864947658087</x:v>
      </x:c>
      <x:c r="O316" s="17" t="n">
        <x:f>IF('Control Room'!$B$5="Normal",'Control Room'!$B$7,('Control Room'!$B$8+'Control Room'!$D$8)/2)+'Control Room'!$B$9*(O315-IF('Control Room'!$B$5="Normal",'Control Room'!$B$7,('Control Room'!$B$8+'Control Room'!$D$8)/2))+SQRT(1-'Control Room'!$B$9^2)*(N316-IF('Control Room'!$B$5="Normal",'Control Room'!$B$7,('Control Room'!$B$8+'Control Room'!$D$8)/2))</x:f>
        <x:v>1089.4028701091381</x:v>
      </x:c>
      <x:c r="P316" s="17" t="n">
        <x:f>IF(AND($A316&gt;='Control Room'!$A$13,$A316&lt;'Control Room'!$A$13+'Control Room'!$B$13,'Process'!BM2=1),1+('Control Room'!$C$13-1)*EXP(-0.5*(($A316-'Control Room'!$A$13-('Control Room'!$B$13-1)/2)/MAX(0.5,'Control Room'!$B$13/4))^2),1)*IF(AND($A316&gt;='Control Room'!$A$14,$A316&lt;'Control Room'!$A$14+'Control Room'!$B$14,'Process'!BM3=1),1+('Control Room'!$C$14-1)*EXP(-0.5*(($A316-'Control Room'!$A$14-('Control Room'!$B$14-1)/2)/MAX(0.5,'Control Room'!$B$14/4))^2),1)*IF(AND($A316&gt;='Control Room'!$A$15,$A316&lt;'Control Room'!$A$15+'Control Room'!$B$15,'Process'!BM4=1),1+('Control Room'!$C$15-1)*EXP(-0.5*(($A316-'Control Room'!$A$15-('Control Room'!$B$15-1)/2)/MAX(0.5,'Control Room'!$B$15/4))^2),1)*IF(AND($A316&gt;='Control Room'!$A$16,$A316&lt;'Control Room'!$A$16+'Control Room'!$B$16,'Process'!BM5=1),1+('Control Room'!$C$16-1)*EXP(-0.5*(($A316-'Control Room'!$A$16-('Control Room'!$B$16-1)/2)/MAX(0.5,'Control Room'!$B$16/4))^2),1)</x:f>
        <x:v>1</x:v>
      </x:c>
      <x:c r="Q316" s="9" t="n">
        <x:f>MOD(R315*16807,2147483647)</x:f>
        <x:v>1677368398</x:v>
      </x:c>
      <x:c r="R316" s="9" t="n">
        <x:f>MOD(Q316*16807,2147483647)</x:f>
        <x:v>1512831017</x:v>
      </x:c>
      <x:c r="S316" s="17" t="n">
        <x:f>IF('Control Room'!$B$5="Normal",'Control Room'!$B$7+'Control Room'!$D$7*SQRT(-2*LN(MAX(0.000000000001,Q316/2147483647)))*COS(2*PI()*R316/2147483647),'Control Room'!$B$8+('Control Room'!$D$8-'Control Room'!$B$8)*Q316/2147483647)</x:f>
        <x:v>982.1460206530579</x:v>
      </x:c>
      <x:c r="T316" s="17" t="n">
        <x:f>IF('Control Room'!$B$5="Normal",'Control Room'!$B$7,('Control Room'!$B$8+'Control Room'!$D$8)/2)+'Control Room'!$B$9*(T315-IF('Control Room'!$B$5="Normal",'Control Room'!$B$7,('Control Room'!$B$8+'Control Room'!$D$8)/2))+SQRT(1-'Control Room'!$B$9^2)*(S316-IF('Control Room'!$B$5="Normal",'Control Room'!$B$7,('Control Room'!$B$8+'Control Room'!$D$8)/2))</x:f>
        <x:v>923.5865798042955</x:v>
      </x:c>
      <x:c r="U316" s="17" t="n">
        <x:f>IF(AND($A316&gt;='Control Room'!$A$13,$A316&lt;'Control Room'!$A$13+'Control Room'!$B$13,'Process'!BN2=1),1+('Control Room'!$C$13-1)*EXP(-0.5*(($A316-'Control Room'!$A$13-('Control Room'!$B$13-1)/2)/MAX(0.5,'Control Room'!$B$13/4))^2),1)*IF(AND($A316&gt;='Control Room'!$A$14,$A316&lt;'Control Room'!$A$14+'Control Room'!$B$14,'Process'!BN3=1),1+('Control Room'!$C$14-1)*EXP(-0.5*(($A316-'Control Room'!$A$14-('Control Room'!$B$14-1)/2)/MAX(0.5,'Control Room'!$B$14/4))^2),1)*IF(AND($A316&gt;='Control Room'!$A$15,$A316&lt;'Control Room'!$A$15+'Control Room'!$B$15,'Process'!BN4=1),1+('Control Room'!$C$15-1)*EXP(-0.5*(($A316-'Control Room'!$A$15-('Control Room'!$B$15-1)/2)/MAX(0.5,'Control Room'!$B$15/4))^2),1)*IF(AND($A316&gt;='Control Room'!$A$16,$A316&lt;'Control Room'!$A$16+'Control Room'!$B$16,'Process'!BN5=1),1+('Control Room'!$C$16-1)*EXP(-0.5*(($A316-'Control Room'!$A$16-('Control Room'!$B$16-1)/2)/MAX(0.5,'Control Room'!$B$16/4))^2),1)</x:f>
        <x:v>1</x:v>
      </x:c>
      <x:c r="V316" s="9" t="n">
        <x:f>MOD(W315*16807,2147483647)</x:f>
        <x:v>721556806</x:v>
      </x:c>
      <x:c r="W316" s="9" t="n">
        <x:f>MOD(V316*16807,2147483647)</x:f>
        <x:v>365083833</x:v>
      </x:c>
      <x:c r="X316" s="17" t="n">
        <x:f>IF('Control Room'!$B$5="Normal",'Control Room'!$B$7+'Control Room'!$D$7*SQRT(-2*LN(MAX(0.000000000001,V316/2147483647)))*COS(2*PI()*W316/2147483647),'Control Room'!$B$8+('Control Room'!$D$8-'Control Room'!$B$8)*V316/2147483647)</x:f>
        <x:v>1064.0319305791388</x:v>
      </x:c>
      <x:c r="Y316" s="17" t="n">
        <x:f>IF('Control Room'!$B$5="Normal",'Control Room'!$B$7,('Control Room'!$B$8+'Control Room'!$D$8)/2)+'Control Room'!$B$9*(Y315-IF('Control Room'!$B$5="Normal",'Control Room'!$B$7,('Control Room'!$B$8+'Control Room'!$D$8)/2))+SQRT(1-'Control Room'!$B$9^2)*(X316-IF('Control Room'!$B$5="Normal",'Control Room'!$B$7,('Control Room'!$B$8+'Control Room'!$D$8)/2))</x:f>
        <x:v>1121.5179497267154</x:v>
      </x:c>
      <x:c r="Z316" s="17" t="n">
        <x:f>IF(AND($A316&gt;='Control Room'!$A$13,$A316&lt;'Control Room'!$A$13+'Control Room'!$B$13,'Process'!BO2=1),1+('Control Room'!$C$13-1)*EXP(-0.5*(($A316-'Control Room'!$A$13-('Control Room'!$B$13-1)/2)/MAX(0.5,'Control Room'!$B$13/4))^2),1)*IF(AND($A316&gt;='Control Room'!$A$14,$A316&lt;'Control Room'!$A$14+'Control Room'!$B$14,'Process'!BO3=1),1+('Control Room'!$C$14-1)*EXP(-0.5*(($A316-'Control Room'!$A$14-('Control Room'!$B$14-1)/2)/MAX(0.5,'Control Room'!$B$14/4))^2),1)*IF(AND($A316&gt;='Control Room'!$A$15,$A316&lt;'Control Room'!$A$15+'Control Room'!$B$15,'Process'!BO4=1),1+('Control Room'!$C$15-1)*EXP(-0.5*(($A316-'Control Room'!$A$15-('Control Room'!$B$15-1)/2)/MAX(0.5,'Control Room'!$B$15/4))^2),1)*IF(AND($A316&gt;='Control Room'!$A$16,$A316&lt;'Control Room'!$A$16+'Control Room'!$B$16,'Process'!BO5=1),1+('Control Room'!$C$16-1)*EXP(-0.5*(($A316-'Control Room'!$A$16-('Control Room'!$B$16-1)/2)/MAX(0.5,'Control Room'!$B$16/4))^2),1)</x:f>
        <x:v>1</x:v>
      </x:c>
      <x:c r="AA316" s="9" t="n">
        <x:f>MOD(AB315*16807,2147483647)</x:f>
        <x:v>1913228861</x:v>
      </x:c>
      <x:c r="AB316" s="9" t="n">
        <x:f>MOD(AA316*16807,2147483647)</x:f>
        <x:v>1364820296</x:v>
      </x:c>
      <x:c r="AC316" s="17" t="n">
        <x:f>IF('Control Room'!$B$5="Normal",'Control Room'!$B$7+'Control Room'!$D$7*SQRT(-2*LN(MAX(0.000000000001,AA316/2147483647)))*COS(2*PI()*AB316/2147483647),'Control Room'!$B$8+('Control Room'!$D$8-'Control Room'!$B$8)*AA316/2147483647)</x:f>
        <x:v>971.5046723469842</x:v>
      </x:c>
      <x:c r="AD316" s="17" t="n">
        <x:f>IF('Control Room'!$B$5="Normal",'Control Room'!$B$7,('Control Room'!$B$8+'Control Room'!$D$8)/2)+'Control Room'!$B$9*(AD315-IF('Control Room'!$B$5="Normal",'Control Room'!$B$7,('Control Room'!$B$8+'Control Room'!$D$8)/2))+SQRT(1-'Control Room'!$B$9^2)*(AC316-IF('Control Room'!$B$5="Normal",'Control Room'!$B$7,('Control Room'!$B$8+'Control Room'!$D$8)/2))</x:f>
        <x:v>871.0202973539549</x:v>
      </x:c>
      <x:c r="AE316" s="17" t="n">
        <x:f>IF(AND($A316&gt;='Control Room'!$A$13,$A316&lt;'Control Room'!$A$13+'Control Room'!$B$13,'Process'!BP2=1),1+('Control Room'!$C$13-1)*EXP(-0.5*(($A316-'Control Room'!$A$13-('Control Room'!$B$13-1)/2)/MAX(0.5,'Control Room'!$B$13/4))^2),1)*IF(AND($A316&gt;='Control Room'!$A$14,$A316&lt;'Control Room'!$A$14+'Control Room'!$B$14,'Process'!BP3=1),1+('Control Room'!$C$14-1)*EXP(-0.5*(($A316-'Control Room'!$A$14-('Control Room'!$B$14-1)/2)/MAX(0.5,'Control Room'!$B$14/4))^2),1)*IF(AND($A316&gt;='Control Room'!$A$15,$A316&lt;'Control Room'!$A$15+'Control Room'!$B$15,'Process'!BP4=1),1+('Control Room'!$C$15-1)*EXP(-0.5*(($A316-'Control Room'!$A$15-('Control Room'!$B$15-1)/2)/MAX(0.5,'Control Room'!$B$15/4))^2),1)*IF(AND($A316&gt;='Control Room'!$A$16,$A316&lt;'Control Room'!$A$16+'Control Room'!$B$16,'Process'!BP5=1),1+('Control Room'!$C$16-1)*EXP(-0.5*(($A316-'Control Room'!$A$16-('Control Room'!$B$16-1)/2)/MAX(0.5,'Control Room'!$B$16/4))^2),1)</x:f>
        <x:v>1</x:v>
      </x:c>
      <x:c r="AF316" s="9" t="n">
        <x:f>MOD(AG315*16807,2147483647)</x:f>
        <x:v>957417269</x:v>
      </x:c>
      <x:c r="AG316" s="9" t="n">
        <x:f>MOD(AF316*16807,2147483647)</x:f>
        <x:v>217073112</x:v>
      </x:c>
      <x:c r="AH316" s="17" t="n">
        <x:f>IF('Control Room'!$B$5="Normal",'Control Room'!$B$7+'Control Room'!$D$7*SQRT(-2*LN(MAX(0.000000000001,AF316/2147483647)))*COS(2*PI()*AG316/2147483647),'Control Room'!$B$8+('Control Room'!$D$8-'Control Room'!$B$8)*AF316/2147483647)</x:f>
        <x:v>1092.0892406866583</x:v>
      </x:c>
      <x:c r="AI316" s="17" t="n">
        <x:f>IF('Control Room'!$B$5="Normal",'Control Room'!$B$7,('Control Room'!$B$8+'Control Room'!$D$8)/2)+'Control Room'!$B$9*(AI315-IF('Control Room'!$B$5="Normal",'Control Room'!$B$7,('Control Room'!$B$8+'Control Room'!$D$8)/2))+SQRT(1-'Control Room'!$B$9^2)*(AH316-IF('Control Room'!$B$5="Normal",'Control Room'!$B$7,('Control Room'!$B$8+'Control Room'!$D$8)/2))</x:f>
        <x:v>1109.0777484554956</x:v>
      </x:c>
      <x:c r="AJ316" s="17" t="n">
        <x:f>IF(AND($A316&gt;='Control Room'!$A$13,$A316&lt;'Control Room'!$A$13+'Control Room'!$B$13,'Process'!BQ2=1),1+('Control Room'!$C$13-1)*EXP(-0.5*(($A316-'Control Room'!$A$13-('Control Room'!$B$13-1)/2)/MAX(0.5,'Control Room'!$B$13/4))^2),1)*IF(AND($A316&gt;='Control Room'!$A$14,$A316&lt;'Control Room'!$A$14+'Control Room'!$B$14,'Process'!BQ3=1),1+('Control Room'!$C$14-1)*EXP(-0.5*(($A316-'Control Room'!$A$14-('Control Room'!$B$14-1)/2)/MAX(0.5,'Control Room'!$B$14/4))^2),1)*IF(AND($A316&gt;='Control Room'!$A$15,$A316&lt;'Control Room'!$A$15+'Control Room'!$B$15,'Process'!BQ4=1),1+('Control Room'!$C$15-1)*EXP(-0.5*(($A316-'Control Room'!$A$15-('Control Room'!$B$15-1)/2)/MAX(0.5,'Control Room'!$B$15/4))^2),1)*IF(AND($A316&gt;='Control Room'!$A$16,$A316&lt;'Control Room'!$A$16+'Control Room'!$B$16,'Process'!BQ5=1),1+('Control Room'!$C$16-1)*EXP(-0.5*(($A316-'Control Room'!$A$16-('Control Room'!$B$16-1)/2)/MAX(0.5,'Control Room'!$B$16/4))^2),1)</x:f>
        <x:v>1</x:v>
      </x:c>
      <x:c r="AK316" s="9" t="n">
        <x:f>MOD(AL315*16807,2147483647)</x:f>
        <x:v>1605677</x:v>
      </x:c>
      <x:c r="AL316" s="9" t="n">
        <x:f>MOD(AK316*16807,2147483647)</x:f>
        <x:v>1216809575</x:v>
      </x:c>
      <x:c r="AM316" s="17" t="n">
        <x:f>IF('Control Room'!$B$5="Normal",'Control Room'!$B$7+'Control Room'!$D$7*SQRT(-2*LN(MAX(0.000000000001,AK316/2147483647)))*COS(2*PI()*AL316/2147483647),'Control Room'!$B$8+('Control Room'!$D$8-'Control Room'!$B$8)*AK316/2147483647)</x:f>
        <x:v>687.993102817627</x:v>
      </x:c>
      <x:c r="AN316" s="17" t="n">
        <x:f>IF('Control Room'!$B$5="Normal",'Control Room'!$B$7,('Control Room'!$B$8+'Control Room'!$D$8)/2)+'Control Room'!$B$9*(AN315-IF('Control Room'!$B$5="Normal",'Control Room'!$B$7,('Control Room'!$B$8+'Control Room'!$D$8)/2))+SQRT(1-'Control Room'!$B$9^2)*(AM316-IF('Control Room'!$B$5="Normal",'Control Room'!$B$7,('Control Room'!$B$8+'Control Room'!$D$8)/2))</x:f>
        <x:v>686.4955691499824</x:v>
      </x:c>
      <x:c r="AO316" s="17" t="n">
        <x:f>IF(AND($A316&gt;='Control Room'!$A$13,$A316&lt;'Control Room'!$A$13+'Control Room'!$B$13,'Process'!BR2=1),1+('Control Room'!$C$13-1)*EXP(-0.5*(($A316-'Control Room'!$A$13-('Control Room'!$B$13-1)/2)/MAX(0.5,'Control Room'!$B$13/4))^2),1)*IF(AND($A316&gt;='Control Room'!$A$14,$A316&lt;'Control Room'!$A$14+'Control Room'!$B$14,'Process'!BR3=1),1+('Control Room'!$C$14-1)*EXP(-0.5*(($A316-'Control Room'!$A$14-('Control Room'!$B$14-1)/2)/MAX(0.5,'Control Room'!$B$14/4))^2),1)*IF(AND($A316&gt;='Control Room'!$A$15,$A316&lt;'Control Room'!$A$15+'Control Room'!$B$15,'Process'!BR4=1),1+('Control Room'!$C$15-1)*EXP(-0.5*(($A316-'Control Room'!$A$15-('Control Room'!$B$15-1)/2)/MAX(0.5,'Control Room'!$B$15/4))^2),1)*IF(AND($A316&gt;='Control Room'!$A$16,$A316&lt;'Control Room'!$A$16+'Control Room'!$B$16,'Process'!BR5=1),1+('Control Room'!$C$16-1)*EXP(-0.5*(($A316-'Control Room'!$A$16-('Control Room'!$B$16-1)/2)/MAX(0.5,'Control Room'!$B$16/4))^2),1)</x:f>
        <x:v>1</x:v>
      </x:c>
      <x:c r="AP316" s="9" t="n">
        <x:f>MOD(AQ315*16807,2147483647)</x:f>
        <x:v>1193277732</x:v>
      </x:c>
      <x:c r="AQ316" s="9" t="n">
        <x:f>MOD(AP316*16807,2147483647)</x:f>
        <x:v>69062391</x:v>
      </x:c>
      <x:c r="AR316" s="17" t="n">
        <x:f>IF('Control Room'!$B$5="Normal",'Control Room'!$B$7+'Control Room'!$D$7*SQRT(-2*LN(MAX(0.000000000001,AP316/2147483647)))*COS(2*PI()*AQ316/2147483647),'Control Room'!$B$8+('Control Room'!$D$8-'Control Room'!$B$8)*AP316/2147483647)</x:f>
        <x:v>1095.580336512258</x:v>
      </x:c>
      <x:c r="AS316" s="17" t="n">
        <x:f>IF('Control Room'!$B$5="Normal",'Control Room'!$B$7,('Control Room'!$B$8+'Control Room'!$D$8)/2)+'Control Room'!$B$9*(AS315-IF('Control Room'!$B$5="Normal",'Control Room'!$B$7,('Control Room'!$B$8+'Control Room'!$D$8)/2))+SQRT(1-'Control Room'!$B$9^2)*(AR316-IF('Control Room'!$B$5="Normal",'Control Room'!$B$7,('Control Room'!$B$8+'Control Room'!$D$8)/2))</x:f>
        <x:v>1037.513317437361</x:v>
      </x:c>
      <x:c r="AT316" s="17" t="n">
        <x:f>IF(AND($A316&gt;='Control Room'!$A$13,$A316&lt;'Control Room'!$A$13+'Control Room'!$B$13,'Process'!BS2=1),1+('Control Room'!$C$13-1)*EXP(-0.5*(($A316-'Control Room'!$A$13-('Control Room'!$B$13-1)/2)/MAX(0.5,'Control Room'!$B$13/4))^2),1)*IF(AND($A316&gt;='Control Room'!$A$14,$A316&lt;'Control Room'!$A$14+'Control Room'!$B$14,'Process'!BS3=1),1+('Control Room'!$C$14-1)*EXP(-0.5*(($A316-'Control Room'!$A$14-('Control Room'!$B$14-1)/2)/MAX(0.5,'Control Room'!$B$14/4))^2),1)*IF(AND($A316&gt;='Control Room'!$A$15,$A316&lt;'Control Room'!$A$15+'Control Room'!$B$15,'Process'!BS4=1),1+('Control Room'!$C$15-1)*EXP(-0.5*(($A316-'Control Room'!$A$15-('Control Room'!$B$15-1)/2)/MAX(0.5,'Control Room'!$B$15/4))^2),1)*IF(AND($A316&gt;='Control Room'!$A$16,$A316&lt;'Control Room'!$A$16+'Control Room'!$B$16,'Process'!BS5=1),1+('Control Room'!$C$16-1)*EXP(-0.5*(($A316-'Control Room'!$A$16-('Control Room'!$B$16-1)/2)/MAX(0.5,'Control Room'!$B$16/4))^2),1)</x:f>
        <x:v>1</x:v>
      </x:c>
      <x:c r="AU316" s="9" t="n">
        <x:f>MOD(AV315*16807,2147483647)</x:f>
        <x:v>237466140</x:v>
      </x:c>
      <x:c r="AV316" s="9" t="n">
        <x:f>MOD(AU316*16807,2147483647)</x:f>
        <x:v>1068798854</x:v>
      </x:c>
      <x:c r="AW316" s="17" t="n">
        <x:f>IF('Control Room'!$B$5="Normal",'Control Room'!$B$7+'Control Room'!$D$7*SQRT(-2*LN(MAX(0.000000000001,AU316/2147483647)))*COS(2*PI()*AV316/2147483647),'Control Room'!$B$8+('Control Room'!$D$8-'Control Room'!$B$8)*AU316/2147483647)</x:f>
        <x:v>811.1472093389289</x:v>
      </x:c>
      <x:c r="AX316" s="17" t="n">
        <x:f>IF('Control Room'!$B$5="Normal",'Control Room'!$B$7,('Control Room'!$B$8+'Control Room'!$D$8)/2)+'Control Room'!$B$9*(AX315-IF('Control Room'!$B$5="Normal",'Control Room'!$B$7,('Control Room'!$B$8+'Control Room'!$D$8)/2))+SQRT(1-'Control Room'!$B$9^2)*(AW316-IF('Control Room'!$B$5="Normal",'Control Room'!$B$7,('Control Room'!$B$8+'Control Room'!$D$8)/2))</x:f>
        <x:v>974.8671475849874</x:v>
      </x:c>
      <x:c r="AY316" s="17" t="n">
        <x:f>IF(AND($A316&gt;='Control Room'!$A$13,$A316&lt;'Control Room'!$A$13+'Control Room'!$B$13,'Process'!BT2=1),1+('Control Room'!$C$13-1)*EXP(-0.5*(($A316-'Control Room'!$A$13-('Control Room'!$B$13-1)/2)/MAX(0.5,'Control Room'!$B$13/4))^2),1)*IF(AND($A316&gt;='Control Room'!$A$14,$A316&lt;'Control Room'!$A$14+'Control Room'!$B$14,'Process'!BT3=1),1+('Control Room'!$C$14-1)*EXP(-0.5*(($A316-'Control Room'!$A$14-('Control Room'!$B$14-1)/2)/MAX(0.5,'Control Room'!$B$14/4))^2),1)*IF(AND($A316&gt;='Control Room'!$A$15,$A316&lt;'Control Room'!$A$15+'Control Room'!$B$15,'Process'!BT4=1),1+('Control Room'!$C$15-1)*EXP(-0.5*(($A316-'Control Room'!$A$15-('Control Room'!$B$15-1)/2)/MAX(0.5,'Control Room'!$B$15/4))^2),1)*IF(AND($A316&gt;='Control Room'!$A$16,$A316&lt;'Control Room'!$A$16+'Control Room'!$B$16,'Process'!BT5=1),1+('Control Room'!$C$16-1)*EXP(-0.5*(($A316-'Control Room'!$A$16-('Control Room'!$B$16-1)/2)/MAX(0.5,'Control Room'!$B$16/4))^2),1)</x:f>
        <x:v>1</x:v>
      </x:c>
      <x:c r="AZ316" s="9" t="n">
        <x:f>MOD(BA315*16807,2147483647)</x:f>
        <x:v>1429138195</x:v>
      </x:c>
      <x:c r="BA316" s="9" t="n">
        <x:f>MOD(AZ316*16807,2147483647)</x:f>
        <x:v>2068535317</x:v>
      </x:c>
      <x:c r="BB316" s="17" t="n">
        <x:f>IF('Control Room'!$B$5="Normal",'Control Room'!$B$7+'Control Room'!$D$7*SQRT(-2*LN(MAX(0.000000000001,AZ316/2147483647)))*COS(2*PI()*BA316/2147483647),'Control Room'!$B$8+('Control Room'!$D$8-'Control Room'!$B$8)*AZ316/2147483647)</x:f>
        <x:v>1079.0649692301622</x:v>
      </x:c>
      <x:c r="BC316" s="17" t="n">
        <x:f>IF('Control Room'!$B$5="Normal",'Control Room'!$B$7,('Control Room'!$B$8+'Control Room'!$D$8)/2)+'Control Room'!$B$9*(BC315-IF('Control Room'!$B$5="Normal",'Control Room'!$B$7,('Control Room'!$B$8+'Control Room'!$D$8)/2))+SQRT(1-'Control Room'!$B$9^2)*(BB316-IF('Control Room'!$B$5="Normal",'Control Room'!$B$7,('Control Room'!$B$8+'Control Room'!$D$8)/2))</x:f>
        <x:v>1094.6819876564464</x:v>
      </x:c>
      <x:c r="BD316" s="17" t="n">
        <x:f>IF(AND($A316&gt;='Control Room'!$A$13,$A316&lt;'Control Room'!$A$13+'Control Room'!$B$13,'Process'!BU2=1),1+('Control Room'!$C$13-1)*EXP(-0.5*(($A316-'Control Room'!$A$13-('Control Room'!$B$13-1)/2)/MAX(0.5,'Control Room'!$B$13/4))^2),1)*IF(AND($A316&gt;='Control Room'!$A$14,$A316&lt;'Control Room'!$A$14+'Control Room'!$B$14,'Process'!BU3=1),1+('Control Room'!$C$14-1)*EXP(-0.5*(($A316-'Control Room'!$A$14-('Control Room'!$B$14-1)/2)/MAX(0.5,'Control Room'!$B$14/4))^2),1)*IF(AND($A316&gt;='Control Room'!$A$15,$A316&lt;'Control Room'!$A$15+'Control Room'!$B$15,'Process'!BU4=1),1+('Control Room'!$C$15-1)*EXP(-0.5*(($A316-'Control Room'!$A$15-('Control Room'!$B$15-1)/2)/MAX(0.5,'Control Room'!$B$15/4))^2),1)*IF(AND($A316&gt;='Control Room'!$A$16,$A316&lt;'Control Room'!$A$16+'Control Room'!$B$16,'Process'!BU5=1),1+('Control Room'!$C$16-1)*EXP(-0.5*(($A316-'Control Room'!$A$16-('Control Room'!$B$16-1)/2)/MAX(0.5,'Control Room'!$B$16/4))^2),1)</x:f>
        <x:v>1</x:v>
      </x:c>
      <x:c r="BE316" s="9" t="n">
        <x:f>MOD(BF315*16807,2147483647)</x:f>
        <x:v>473326603</x:v>
      </x:c>
      <x:c r="BF316" s="9" t="n">
        <x:f>MOD(BE316*16807,2147483647)</x:f>
        <x:v>920788133</x:v>
      </x:c>
      <x:c r="BG316" s="17" t="n">
        <x:f>IF('Control Room'!$B$5="Normal",'Control Room'!$B$7+'Control Room'!$D$7*SQRT(-2*LN(MAX(0.000000000001,BE316/2147483647)))*COS(2*PI()*BF316/2147483647),'Control Room'!$B$8+('Control Room'!$D$8-'Control Room'!$B$8)*BE316/2147483647)</x:f>
        <x:v>858.8928482283311</x:v>
      </x:c>
      <x:c r="BH316" s="17" t="n">
        <x:f>IF('Control Room'!$B$5="Normal",'Control Room'!$B$7,('Control Room'!$B$8+'Control Room'!$D$8)/2)+'Control Room'!$B$9*(BH315-IF('Control Room'!$B$5="Normal",'Control Room'!$B$7,('Control Room'!$B$8+'Control Room'!$D$8)/2))+SQRT(1-'Control Room'!$B$9^2)*(BG316-IF('Control Room'!$B$5="Normal",'Control Room'!$B$7,('Control Room'!$B$8+'Control Room'!$D$8)/2))</x:f>
        <x:v>932.4560997024574</x:v>
      </x:c>
      <x:c r="BI316" s="17" t="n">
        <x:f>IF(AND($A316&gt;='Control Room'!$A$13,$A316&lt;'Control Room'!$A$13+'Control Room'!$B$13,'Process'!BV2=1),1+('Control Room'!$C$13-1)*EXP(-0.5*(($A316-'Control Room'!$A$13-('Control Room'!$B$13-1)/2)/MAX(0.5,'Control Room'!$B$13/4))^2),1)*IF(AND($A316&gt;='Control Room'!$A$14,$A316&lt;'Control Room'!$A$14+'Control Room'!$B$14,'Process'!BV3=1),1+('Control Room'!$C$14-1)*EXP(-0.5*(($A316-'Control Room'!$A$14-('Control Room'!$B$14-1)/2)/MAX(0.5,'Control Room'!$B$14/4))^2),1)*IF(AND($A316&gt;='Control Room'!$A$15,$A316&lt;'Control Room'!$A$15+'Control Room'!$B$15,'Process'!BV4=1),1+('Control Room'!$C$15-1)*EXP(-0.5*(($A316-'Control Room'!$A$15-('Control Room'!$B$15-1)/2)/MAX(0.5,'Control Room'!$B$15/4))^2),1)*IF(AND($A316&gt;='Control Room'!$A$16,$A316&lt;'Control Room'!$A$16+'Control Room'!$B$16,'Process'!BV5=1),1+('Control Room'!$C$16-1)*EXP(-0.5*(($A316-'Control Room'!$A$16-('Control Room'!$B$16-1)/2)/MAX(0.5,'Control Room'!$B$16/4))^2),1)</x:f>
        <x:v>1</x:v>
      </x:c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Z316" t="str">
        <x:f>IF('Data'!A316="","",TEXT('Data'!A316,"mm-dd"))</x:f>
      </x:c>
    </x:row>
    <x:row r="317" ht="21" customHeight="1">
      <x:c r="A317" s="15" t="n">
        <x:f>'Control Room'!$B$1+315</x:f>
        <x:v>73306</x:v>
      </x:c>
      <x:c r="B317" s="9" t="n">
        <x:f>MOD(C316*16807,2147483647)</x:f>
        <x:v>115967347</x:v>
      </x:c>
      <x:c r="C317" s="9" t="n">
        <x:f>MOD(B317*16807,2147483647)</x:f>
        <x:v>1295533200</x:v>
      </x:c>
      <x:c r="D317" s="17" t="n">
        <x:f>IF('Control Room'!$B$5="Normal",'Control Room'!$B$7+'Control Room'!$D$7*SQRT(-2*LN(MAX(0.000000000001,B317/2147483647)))*COS(2*PI()*C317/2147483647),'Control Room'!$B$8+('Control Room'!$D$8-'Control Room'!$B$8)*B317/2147483647)</x:f>
        <x:v>826.7518156611405</x:v>
      </x:c>
      <x:c r="E317" s="17" t="n">
        <x:f>IF('Control Room'!$B$5="Normal",'Control Room'!$B$7,('Control Room'!$B$8+'Control Room'!$D$8)/2)+'Control Room'!$B$9*(E316-IF('Control Room'!$B$5="Normal",'Control Room'!$B$7,('Control Room'!$B$8+'Control Room'!$D$8)/2))+SQRT(1-'Control Room'!$B$9^2)*(D317-IF('Control Room'!$B$5="Normal",'Control Room'!$B$7,('Control Room'!$B$8+'Control Room'!$D$8)/2))</x:f>
        <x:v>882.8185313939068</x:v>
      </x:c>
      <x:c r="F317" s="17" t="n">
        <x:f>IF(AND($A317&gt;='Control Room'!$A$13,$A317&lt;'Control Room'!$A$13+'Control Room'!$B$13,'Process'!BK2=1),1+('Control Room'!$C$13-1)*EXP(-0.5*(($A317-'Control Room'!$A$13-('Control Room'!$B$13-1)/2)/MAX(0.5,'Control Room'!$B$13/4))^2),1)*IF(AND($A317&gt;='Control Room'!$A$14,$A317&lt;'Control Room'!$A$14+'Control Room'!$B$14,'Process'!BK3=1),1+('Control Room'!$C$14-1)*EXP(-0.5*(($A317-'Control Room'!$A$14-('Control Room'!$B$14-1)/2)/MAX(0.5,'Control Room'!$B$14/4))^2),1)*IF(AND($A317&gt;='Control Room'!$A$15,$A317&lt;'Control Room'!$A$15+'Control Room'!$B$15,'Process'!BK4=1),1+('Control Room'!$C$15-1)*EXP(-0.5*(($A317-'Control Room'!$A$15-('Control Room'!$B$15-1)/2)/MAX(0.5,'Control Room'!$B$15/4))^2),1)*IF(AND($A317&gt;='Control Room'!$A$16,$A317&lt;'Control Room'!$A$16+'Control Room'!$B$16,'Process'!BK5=1),1+('Control Room'!$C$16-1)*EXP(-0.5*(($A317-'Control Room'!$A$16-('Control Room'!$B$16-1)/2)/MAX(0.5,'Control Room'!$B$16/4))^2),1)</x:f>
        <x:v>1</x:v>
      </x:c>
      <x:c r="G317" s="9" t="n">
        <x:f>MOD(H316*16807,2147483647)</x:f>
        <x:v>774646860</x:v>
      </x:c>
      <x:c r="H317" s="9" t="n">
        <x:f>MOD(G317*16807,2147483647)</x:f>
        <x:v>1443907906</x:v>
      </x:c>
      <x:c r="I317" s="17" t="n">
        <x:f>IF('Control Room'!$B$5="Normal",'Control Room'!$B$7+'Control Room'!$D$7*SQRT(-2*LN(MAX(0.000000000001,G317/2147483647)))*COS(2*PI()*H317/2147483647),'Control Room'!$B$8+('Control Room'!$D$8-'Control Room'!$B$8)*G317/2147483647)</x:f>
        <x:v>939.7687835803806</x:v>
      </x:c>
      <x:c r="J317" s="17" t="n">
        <x:f>IF('Control Room'!$B$5="Normal",'Control Room'!$B$7,('Control Room'!$B$8+'Control Room'!$D$8)/2)+'Control Room'!$B$9*(J316-IF('Control Room'!$B$5="Normal",'Control Room'!$B$7,('Control Room'!$B$8+'Control Room'!$D$8)/2))+SQRT(1-'Control Room'!$B$9^2)*(I317-IF('Control Room'!$B$5="Normal",'Control Room'!$B$7,('Control Room'!$B$8+'Control Room'!$D$8)/2))</x:f>
        <x:v>946.9408649747207</x:v>
      </x:c>
      <x:c r="K317" s="17" t="n">
        <x:f>IF(AND($A317&gt;='Control Room'!$A$13,$A317&lt;'Control Room'!$A$13+'Control Room'!$B$13,'Process'!BL2=1),1+('Control Room'!$C$13-1)*EXP(-0.5*(($A317-'Control Room'!$A$13-('Control Room'!$B$13-1)/2)/MAX(0.5,'Control Room'!$B$13/4))^2),1)*IF(AND($A317&gt;='Control Room'!$A$14,$A317&lt;'Control Room'!$A$14+'Control Room'!$B$14,'Process'!BL3=1),1+('Control Room'!$C$14-1)*EXP(-0.5*(($A317-'Control Room'!$A$14-('Control Room'!$B$14-1)/2)/MAX(0.5,'Control Room'!$B$14/4))^2),1)*IF(AND($A317&gt;='Control Room'!$A$15,$A317&lt;'Control Room'!$A$15+'Control Room'!$B$15,'Process'!BL4=1),1+('Control Room'!$C$15-1)*EXP(-0.5*(($A317-'Control Room'!$A$15-('Control Room'!$B$15-1)/2)/MAX(0.5,'Control Room'!$B$15/4))^2),1)*IF(AND($A317&gt;='Control Room'!$A$16,$A317&lt;'Control Room'!$A$16+'Control Room'!$B$16,'Process'!BL5=1),1+('Control Room'!$C$16-1)*EXP(-0.5*(($A317-'Control Room'!$A$16-('Control Room'!$B$16-1)/2)/MAX(0.5,'Control Room'!$B$16/4))^2),1)</x:f>
        <x:v>1</x:v>
      </x:c>
      <x:c r="L317" s="9" t="n">
        <x:f>MOD(M316*16807,2147483647)</x:f>
        <x:v>1433326373</x:v>
      </x:c>
      <x:c r="M317" s="9" t="n">
        <x:f>MOD(L317*16807,2147483647)</x:f>
        <x:v>1592282612</x:v>
      </x:c>
      <x:c r="N317" s="17" t="n">
        <x:f>IF('Control Room'!$B$5="Normal",'Control Room'!$B$7+'Control Room'!$D$7*SQRT(-2*LN(MAX(0.000000000001,L317/2147483647)))*COS(2*PI()*M317/2147483647),'Control Room'!$B$8+('Control Room'!$D$8-'Control Room'!$B$8)*L317/2147483647)</x:f>
        <x:v>995.6617362325508</x:v>
      </x:c>
      <x:c r="O317" s="17" t="n">
        <x:f>IF('Control Room'!$B$5="Normal",'Control Room'!$B$7,('Control Room'!$B$8+'Control Room'!$D$8)/2)+'Control Room'!$B$9*(O316-IF('Control Room'!$B$5="Normal",'Control Room'!$B$7,('Control Room'!$B$8+'Control Room'!$D$8)/2))+SQRT(1-'Control Room'!$B$9^2)*(N317-IF('Control Room'!$B$5="Normal",'Control Room'!$B$7,('Control Room'!$B$8+'Control Room'!$D$8)/2))</x:f>
        <x:v>1067.019442093622</x:v>
      </x:c>
      <x:c r="P317" s="17" t="n">
        <x:f>IF(AND($A317&gt;='Control Room'!$A$13,$A317&lt;'Control Room'!$A$13+'Control Room'!$B$13,'Process'!BM2=1),1+('Control Room'!$C$13-1)*EXP(-0.5*(($A317-'Control Room'!$A$13-('Control Room'!$B$13-1)/2)/MAX(0.5,'Control Room'!$B$13/4))^2),1)*IF(AND($A317&gt;='Control Room'!$A$14,$A317&lt;'Control Room'!$A$14+'Control Room'!$B$14,'Process'!BM3=1),1+('Control Room'!$C$14-1)*EXP(-0.5*(($A317-'Control Room'!$A$14-('Control Room'!$B$14-1)/2)/MAX(0.5,'Control Room'!$B$14/4))^2),1)*IF(AND($A317&gt;='Control Room'!$A$15,$A317&lt;'Control Room'!$A$15+'Control Room'!$B$15,'Process'!BM4=1),1+('Control Room'!$C$15-1)*EXP(-0.5*(($A317-'Control Room'!$A$15-('Control Room'!$B$15-1)/2)/MAX(0.5,'Control Room'!$B$15/4))^2),1)*IF(AND($A317&gt;='Control Room'!$A$16,$A317&lt;'Control Room'!$A$16+'Control Room'!$B$16,'Process'!BM5=1),1+('Control Room'!$C$16-1)*EXP(-0.5*(($A317-'Control Room'!$A$16-('Control Room'!$B$16-1)/2)/MAX(0.5,'Control Room'!$B$16/4))^2),1)</x:f>
        <x:v>1</x:v>
      </x:c>
      <x:c r="Q317" s="9" t="n">
        <x:f>MOD(R316*16807,2147483647)</x:f>
        <x:v>2092005886</x:v>
      </x:c>
      <x:c r="R317" s="9" t="n">
        <x:f>MOD(Q317*16807,2147483647)</x:f>
        <x:v>1740657318</x:v>
      </x:c>
      <x:c r="S317" s="17" t="n">
        <x:f>IF('Control Room'!$B$5="Normal",'Control Room'!$B$7+'Control Room'!$D$7*SQRT(-2*LN(MAX(0.000000000001,Q317/2147483647)))*COS(2*PI()*R317/2147483647),'Control Room'!$B$8+('Control Room'!$D$8-'Control Room'!$B$8)*Q317/2147483647)</x:f>
        <x:v>1007.6471544900978</x:v>
      </x:c>
      <x:c r="T317" s="17" t="n">
        <x:f>IF('Control Room'!$B$5="Normal",'Control Room'!$B$7,('Control Room'!$B$8+'Control Room'!$D$8)/2)+'Control Room'!$B$9*(T316-IF('Control Room'!$B$5="Normal",'Control Room'!$B$7,('Control Room'!$B$8+'Control Room'!$D$8)/2))+SQRT(1-'Control Room'!$B$9^2)*(S317-IF('Control Room'!$B$5="Normal",'Control Room'!$B$7,('Control Room'!$B$8+'Control Room'!$D$8)/2))</x:f>
        <x:v>945.1829648667787</x:v>
      </x:c>
      <x:c r="U317" s="17" t="n">
        <x:f>IF(AND($A317&gt;='Control Room'!$A$13,$A317&lt;'Control Room'!$A$13+'Control Room'!$B$13,'Process'!BN2=1),1+('Control Room'!$C$13-1)*EXP(-0.5*(($A317-'Control Room'!$A$13-('Control Room'!$B$13-1)/2)/MAX(0.5,'Control Room'!$B$13/4))^2),1)*IF(AND($A317&gt;='Control Room'!$A$14,$A317&lt;'Control Room'!$A$14+'Control Room'!$B$14,'Process'!BN3=1),1+('Control Room'!$C$14-1)*EXP(-0.5*(($A317-'Control Room'!$A$14-('Control Room'!$B$14-1)/2)/MAX(0.5,'Control Room'!$B$14/4))^2),1)*IF(AND($A317&gt;='Control Room'!$A$15,$A317&lt;'Control Room'!$A$15+'Control Room'!$B$15,'Process'!BN4=1),1+('Control Room'!$C$15-1)*EXP(-0.5*(($A317-'Control Room'!$A$15-('Control Room'!$B$15-1)/2)/MAX(0.5,'Control Room'!$B$15/4))^2),1)*IF(AND($A317&gt;='Control Room'!$A$16,$A317&lt;'Control Room'!$A$16+'Control Room'!$B$16,'Process'!BN5=1),1+('Control Room'!$C$16-1)*EXP(-0.5*(($A317-'Control Room'!$A$16-('Control Room'!$B$16-1)/2)/MAX(0.5,'Control Room'!$B$16/4))^2),1)</x:f>
        <x:v>1</x:v>
      </x:c>
      <x:c r="V317" s="9" t="n">
        <x:f>MOD(W316*16807,2147483647)</x:f>
        <x:v>603201752</x:v>
      </x:c>
      <x:c r="W317" s="9" t="n">
        <x:f>MOD(V317*16807,2147483647)</x:f>
        <x:v>1889032024</x:v>
      </x:c>
      <x:c r="X317" s="17" t="n">
        <x:f>IF('Control Room'!$B$5="Normal",'Control Room'!$B$7+'Control Room'!$D$7*SQRT(-2*LN(MAX(0.000000000001,V317/2147483647)))*COS(2*PI()*W317/2147483647),'Control Room'!$B$8+('Control Room'!$D$8-'Control Room'!$B$8)*V317/2147483647)</x:f>
        <x:v>1104.3356825271574</x:v>
      </x:c>
      <x:c r="Y317" s="17" t="n">
        <x:f>IF('Control Room'!$B$5="Normal",'Control Room'!$B$7,('Control Room'!$B$8+'Control Room'!$D$8)/2)+'Control Room'!$B$9*(Y316-IF('Control Room'!$B$5="Normal",'Control Room'!$B$7,('Control Room'!$B$8+'Control Room'!$D$8)/2))+SQRT(1-'Control Room'!$B$9^2)*(X317-IF('Control Room'!$B$5="Normal",'Control Room'!$B$7,('Control Room'!$B$8+'Control Room'!$D$8)/2))</x:f>
        <x:v>1160.075133479697</x:v>
      </x:c>
      <x:c r="Z317" s="17" t="n">
        <x:f>IF(AND($A317&gt;='Control Room'!$A$13,$A317&lt;'Control Room'!$A$13+'Control Room'!$B$13,'Process'!BO2=1),1+('Control Room'!$C$13-1)*EXP(-0.5*(($A317-'Control Room'!$A$13-('Control Room'!$B$13-1)/2)/MAX(0.5,'Control Room'!$B$13/4))^2),1)*IF(AND($A317&gt;='Control Room'!$A$14,$A317&lt;'Control Room'!$A$14+'Control Room'!$B$14,'Process'!BO3=1),1+('Control Room'!$C$14-1)*EXP(-0.5*(($A317-'Control Room'!$A$14-('Control Room'!$B$14-1)/2)/MAX(0.5,'Control Room'!$B$14/4))^2),1)*IF(AND($A317&gt;='Control Room'!$A$15,$A317&lt;'Control Room'!$A$15+'Control Room'!$B$15,'Process'!BO4=1),1+('Control Room'!$C$15-1)*EXP(-0.5*(($A317-'Control Room'!$A$15-('Control Room'!$B$15-1)/2)/MAX(0.5,'Control Room'!$B$15/4))^2),1)*IF(AND($A317&gt;='Control Room'!$A$16,$A317&lt;'Control Room'!$A$16+'Control Room'!$B$16,'Process'!BO5=1),1+('Control Room'!$C$16-1)*EXP(-0.5*(($A317-'Control Room'!$A$16-('Control Room'!$B$16-1)/2)/MAX(0.5,'Control Room'!$B$16/4))^2),1)</x:f>
        <x:v>1</x:v>
      </x:c>
      <x:c r="AA317" s="9" t="n">
        <x:f>MOD(AB316*16807,2147483647)</x:f>
        <x:v>1261881265</x:v>
      </x:c>
      <x:c r="AB317" s="9" t="n">
        <x:f>MOD(AA317*16807,2147483647)</x:f>
        <x:v>2037406730</x:v>
      </x:c>
      <x:c r="AC317" s="17" t="n">
        <x:f>IF('Control Room'!$B$5="Normal",'Control Room'!$B$7+'Control Room'!$D$7*SQRT(-2*LN(MAX(0.000000000001,AA317/2147483647)))*COS(2*PI()*AB317/2147483647),'Control Room'!$B$8+('Control Room'!$D$8-'Control Room'!$B$8)*AA317/2147483647)</x:f>
        <x:v>1088.0366341718632</x:v>
      </x:c>
      <x:c r="AD317" s="17" t="n">
        <x:f>IF('Control Room'!$B$5="Normal",'Control Room'!$B$7,('Control Room'!$B$8+'Control Room'!$D$8)/2)+'Control Room'!$B$9*(AD316-IF('Control Room'!$B$5="Normal",'Control Room'!$B$7,('Control Room'!$B$8+'Control Room'!$D$8)/2))+SQRT(1-'Control Room'!$B$9^2)*(AC317-IF('Control Room'!$B$5="Normal",'Control Room'!$B$7,('Control Room'!$B$8+'Control Room'!$D$8)/2))</x:f>
        <x:v>954.4873540723553</x:v>
      </x:c>
      <x:c r="AE317" s="17" t="n">
        <x:f>IF(AND($A317&gt;='Control Room'!$A$13,$A317&lt;'Control Room'!$A$13+'Control Room'!$B$13,'Process'!BP2=1),1+('Control Room'!$C$13-1)*EXP(-0.5*(($A317-'Control Room'!$A$13-('Control Room'!$B$13-1)/2)/MAX(0.5,'Control Room'!$B$13/4))^2),1)*IF(AND($A317&gt;='Control Room'!$A$14,$A317&lt;'Control Room'!$A$14+'Control Room'!$B$14,'Process'!BP3=1),1+('Control Room'!$C$14-1)*EXP(-0.5*(($A317-'Control Room'!$A$14-('Control Room'!$B$14-1)/2)/MAX(0.5,'Control Room'!$B$14/4))^2),1)*IF(AND($A317&gt;='Control Room'!$A$15,$A317&lt;'Control Room'!$A$15+'Control Room'!$B$15,'Process'!BP4=1),1+('Control Room'!$C$15-1)*EXP(-0.5*(($A317-'Control Room'!$A$15-('Control Room'!$B$15-1)/2)/MAX(0.5,'Control Room'!$B$15/4))^2),1)*IF(AND($A317&gt;='Control Room'!$A$16,$A317&lt;'Control Room'!$A$16+'Control Room'!$B$16,'Process'!BP5=1),1+('Control Room'!$C$16-1)*EXP(-0.5*(($A317-'Control Room'!$A$16-('Control Room'!$B$16-1)/2)/MAX(0.5,'Control Room'!$B$16/4))^2),1)</x:f>
        <x:v>1</x:v>
      </x:c>
      <x:c r="AF317" s="9" t="n">
        <x:f>MOD(AG316*16807,2147483647)</x:f>
        <x:v>1920560778</x:v>
      </x:c>
      <x:c r="AG317" s="9" t="n">
        <x:f>MOD(AF317*16807,2147483647)</x:f>
        <x:v>38297789</x:v>
      </x:c>
      <x:c r="AH317" s="17" t="n">
        <x:f>IF('Control Room'!$B$5="Normal",'Control Room'!$B$7+'Control Room'!$D$7*SQRT(-2*LN(MAX(0.000000000001,AF317/2147483647)))*COS(2*PI()*AG317/2147483647),'Control Room'!$B$8+('Control Room'!$D$8-'Control Room'!$B$8)*AF317/2147483647)</x:f>
        <x:v>1042.2680413454684</x:v>
      </x:c>
      <x:c r="AI317" s="17" t="n">
        <x:f>IF('Control Room'!$B$5="Normal",'Control Room'!$B$7,('Control Room'!$B$8+'Control Room'!$D$8)/2)+'Control Room'!$B$9*(AI316-IF('Control Room'!$B$5="Normal",'Control Room'!$B$7,('Control Room'!$B$8+'Control Room'!$D$8)/2))+SQRT(1-'Control Room'!$B$9^2)*(AH317-IF('Control Room'!$B$5="Normal",'Control Room'!$B$7,('Control Room'!$B$8+'Control Room'!$D$8)/2))</x:f>
        <x:v>1111.5311181613874</x:v>
      </x:c>
      <x:c r="AJ317" s="17" t="n">
        <x:f>IF(AND($A317&gt;='Control Room'!$A$13,$A317&lt;'Control Room'!$A$13+'Control Room'!$B$13,'Process'!BQ2=1),1+('Control Room'!$C$13-1)*EXP(-0.5*(($A317-'Control Room'!$A$13-('Control Room'!$B$13-1)/2)/MAX(0.5,'Control Room'!$B$13/4))^2),1)*IF(AND($A317&gt;='Control Room'!$A$14,$A317&lt;'Control Room'!$A$14+'Control Room'!$B$14,'Process'!BQ3=1),1+('Control Room'!$C$14-1)*EXP(-0.5*(($A317-'Control Room'!$A$14-('Control Room'!$B$14-1)/2)/MAX(0.5,'Control Room'!$B$14/4))^2),1)*IF(AND($A317&gt;='Control Room'!$A$15,$A317&lt;'Control Room'!$A$15+'Control Room'!$B$15,'Process'!BQ4=1),1+('Control Room'!$C$15-1)*EXP(-0.5*(($A317-'Control Room'!$A$15-('Control Room'!$B$15-1)/2)/MAX(0.5,'Control Room'!$B$15/4))^2),1)*IF(AND($A317&gt;='Control Room'!$A$16,$A317&lt;'Control Room'!$A$16+'Control Room'!$B$16,'Process'!BQ5=1),1+('Control Room'!$C$16-1)*EXP(-0.5*(($A317-'Control Room'!$A$16-('Control Room'!$B$16-1)/2)/MAX(0.5,'Control Room'!$B$16/4))^2),1)</x:f>
        <x:v>1</x:v>
      </x:c>
      <x:c r="AK317" s="9" t="n">
        <x:f>MOD(AL316*16807,2147483647)</x:f>
        <x:v>431756644</x:v>
      </x:c>
      <x:c r="AL317" s="9" t="n">
        <x:f>MOD(AK317*16807,2147483647)</x:f>
        <x:v>186672495</x:v>
      </x:c>
      <x:c r="AM317" s="17" t="n">
        <x:f>IF('Control Room'!$B$5="Normal",'Control Room'!$B$7+'Control Room'!$D$7*SQRT(-2*LN(MAX(0.000000000001,AK317/2147483647)))*COS(2*PI()*AL317/2147483647),'Control Room'!$B$8+('Control Room'!$D$8-'Control Room'!$B$8)*AK317/2147483647)</x:f>
        <x:v>1137.75484554018</x:v>
      </x:c>
      <x:c r="AN317" s="17" t="n">
        <x:f>IF('Control Room'!$B$5="Normal",'Control Room'!$B$7,('Control Room'!$B$8+'Control Room'!$D$8)/2)+'Control Room'!$B$9*(AN316-IF('Control Room'!$B$5="Normal",'Control Room'!$B$7,('Control Room'!$B$8+'Control Room'!$D$8)/2))+SQRT(1-'Control Room'!$B$9^2)*(AM317-IF('Control Room'!$B$5="Normal",'Control Room'!$B$7,('Control Room'!$B$8+'Control Room'!$D$8)/2))</x:f>
        <x:v>841.6707042146272</x:v>
      </x:c>
      <x:c r="AO317" s="17" t="n">
        <x:f>IF(AND($A317&gt;='Control Room'!$A$13,$A317&lt;'Control Room'!$A$13+'Control Room'!$B$13,'Process'!BR2=1),1+('Control Room'!$C$13-1)*EXP(-0.5*(($A317-'Control Room'!$A$13-('Control Room'!$B$13-1)/2)/MAX(0.5,'Control Room'!$B$13/4))^2),1)*IF(AND($A317&gt;='Control Room'!$A$14,$A317&lt;'Control Room'!$A$14+'Control Room'!$B$14,'Process'!BR3=1),1+('Control Room'!$C$14-1)*EXP(-0.5*(($A317-'Control Room'!$A$14-('Control Room'!$B$14-1)/2)/MAX(0.5,'Control Room'!$B$14/4))^2),1)*IF(AND($A317&gt;='Control Room'!$A$15,$A317&lt;'Control Room'!$A$15+'Control Room'!$B$15,'Process'!BR4=1),1+('Control Room'!$C$15-1)*EXP(-0.5*(($A317-'Control Room'!$A$15-('Control Room'!$B$15-1)/2)/MAX(0.5,'Control Room'!$B$15/4))^2),1)*IF(AND($A317&gt;='Control Room'!$A$16,$A317&lt;'Control Room'!$A$16+'Control Room'!$B$16,'Process'!BR5=1),1+('Control Room'!$C$16-1)*EXP(-0.5*(($A317-'Control Room'!$A$16-('Control Room'!$B$16-1)/2)/MAX(0.5,'Control Room'!$B$16/4))^2),1)</x:f>
        <x:v>1</x:v>
      </x:c>
      <x:c r="AP317" s="9" t="n">
        <x:f>MOD(AQ316*16807,2147483647)</x:f>
        <x:v>1090436157</x:v>
      </x:c>
      <x:c r="AQ317" s="9" t="n">
        <x:f>MOD(AP317*16807,2147483647)</x:f>
        <x:v>335047201</x:v>
      </x:c>
      <x:c r="AR317" s="17" t="n">
        <x:f>IF('Control Room'!$B$5="Normal",'Control Room'!$B$7+'Control Room'!$D$7*SQRT(-2*LN(MAX(0.000000000001,AP317/2147483647)))*COS(2*PI()*AQ317/2147483647),'Control Room'!$B$8+('Control Room'!$D$8-'Control Room'!$B$8)*AP317/2147483647)</x:f>
        <x:v>1058.3398342010885</x:v>
      </x:c>
      <x:c r="AS317" s="17" t="n">
        <x:f>IF('Control Room'!$B$5="Normal",'Control Room'!$B$7,('Control Room'!$B$8+'Control Room'!$D$8)/2)+'Control Room'!$B$9*(AS316-IF('Control Room'!$B$5="Normal",'Control Room'!$B$7,('Control Room'!$B$8+'Control Room'!$D$8)/2))+SQRT(1-'Control Room'!$B$9^2)*(AR317-IF('Control Room'!$B$5="Normal",'Control Room'!$B$7,('Control Room'!$B$8+'Control Room'!$D$8)/2))</x:f>
        <x:v>1065.7682606877165</x:v>
      </x:c>
      <x:c r="AT317" s="17" t="n">
        <x:f>IF(AND($A317&gt;='Control Room'!$A$13,$A317&lt;'Control Room'!$A$13+'Control Room'!$B$13,'Process'!BS2=1),1+('Control Room'!$C$13-1)*EXP(-0.5*(($A317-'Control Room'!$A$13-('Control Room'!$B$13-1)/2)/MAX(0.5,'Control Room'!$B$13/4))^2),1)*IF(AND($A317&gt;='Control Room'!$A$14,$A317&lt;'Control Room'!$A$14+'Control Room'!$B$14,'Process'!BS3=1),1+('Control Room'!$C$14-1)*EXP(-0.5*(($A317-'Control Room'!$A$14-('Control Room'!$B$14-1)/2)/MAX(0.5,'Control Room'!$B$14/4))^2),1)*IF(AND($A317&gt;='Control Room'!$A$15,$A317&lt;'Control Room'!$A$15+'Control Room'!$B$15,'Process'!BS4=1),1+('Control Room'!$C$15-1)*EXP(-0.5*(($A317-'Control Room'!$A$15-('Control Room'!$B$15-1)/2)/MAX(0.5,'Control Room'!$B$15/4))^2),1)*IF(AND($A317&gt;='Control Room'!$A$16,$A317&lt;'Control Room'!$A$16+'Control Room'!$B$16,'Process'!BS5=1),1+('Control Room'!$C$16-1)*EXP(-0.5*(($A317-'Control Room'!$A$16-('Control Room'!$B$16-1)/2)/MAX(0.5,'Control Room'!$B$16/4))^2),1)</x:f>
        <x:v>1</x:v>
      </x:c>
      <x:c r="AU317" s="9" t="n">
        <x:f>MOD(AV316*16807,2147483647)</x:f>
        <x:v>1749115670</x:v>
      </x:c>
      <x:c r="AV317" s="9" t="n">
        <x:f>MOD(AU317*16807,2147483647)</x:f>
        <x:v>483421907</x:v>
      </x:c>
      <x:c r="AW317" s="17" t="n">
        <x:f>IF('Control Room'!$B$5="Normal",'Control Room'!$B$7+'Control Room'!$D$7*SQRT(-2*LN(MAX(0.000000000001,AU317/2147483647)))*COS(2*PI()*AV317/2147483647),'Control Room'!$B$8+('Control Room'!$D$8-'Control Room'!$B$8)*AU317/2147483647)</x:f>
        <x:v>1008.979452295788</x:v>
      </x:c>
      <x:c r="AX317" s="17" t="n">
        <x:f>IF('Control Room'!$B$5="Normal",'Control Room'!$B$7,('Control Room'!$B$8+'Control Room'!$D$8)/2)+'Control Room'!$B$9*(AX316-IF('Control Room'!$B$5="Normal",'Control Room'!$B$7,('Control Room'!$B$8+'Control Room'!$D$8)/2))+SQRT(1-'Control Room'!$B$9^2)*(AW317-IF('Control Room'!$B$5="Normal",'Control Room'!$B$7,('Control Room'!$B$8+'Control Room'!$D$8)/2))</x:f>
        <x:v>986.0155324089152</x:v>
      </x:c>
      <x:c r="AY317" s="17" t="n">
        <x:f>IF(AND($A317&gt;='Control Room'!$A$13,$A317&lt;'Control Room'!$A$13+'Control Room'!$B$13,'Process'!BT2=1),1+('Control Room'!$C$13-1)*EXP(-0.5*(($A317-'Control Room'!$A$13-('Control Room'!$B$13-1)/2)/MAX(0.5,'Control Room'!$B$13/4))^2),1)*IF(AND($A317&gt;='Control Room'!$A$14,$A317&lt;'Control Room'!$A$14+'Control Room'!$B$14,'Process'!BT3=1),1+('Control Room'!$C$14-1)*EXP(-0.5*(($A317-'Control Room'!$A$14-('Control Room'!$B$14-1)/2)/MAX(0.5,'Control Room'!$B$14/4))^2),1)*IF(AND($A317&gt;='Control Room'!$A$15,$A317&lt;'Control Room'!$A$15+'Control Room'!$B$15,'Process'!BT4=1),1+('Control Room'!$C$15-1)*EXP(-0.5*(($A317-'Control Room'!$A$15-('Control Room'!$B$15-1)/2)/MAX(0.5,'Control Room'!$B$15/4))^2),1)*IF(AND($A317&gt;='Control Room'!$A$16,$A317&lt;'Control Room'!$A$16+'Control Room'!$B$16,'Process'!BT5=1),1+('Control Room'!$C$16-1)*EXP(-0.5*(($A317-'Control Room'!$A$16-('Control Room'!$B$16-1)/2)/MAX(0.5,'Control Room'!$B$16/4))^2),1)</x:f>
        <x:v>1</x:v>
      </x:c>
      <x:c r="AZ317" s="9" t="n">
        <x:f>MOD(BA316*16807,2147483647)</x:f>
        <x:v>260311536</x:v>
      </x:c>
      <x:c r="BA317" s="9" t="n">
        <x:f>MOD(AZ317*16807,2147483647)</x:f>
        <x:v>631796613</x:v>
      </x:c>
      <x:c r="BB317" s="17" t="n">
        <x:f>IF('Control Room'!$B$5="Normal",'Control Room'!$B$7+'Control Room'!$D$7*SQRT(-2*LN(MAX(0.000000000001,AZ317/2147483647)))*COS(2*PI()*BA317/2147483647),'Control Room'!$B$8+('Control Room'!$D$8-'Control Room'!$B$8)*AZ317/2147483647)</x:f>
        <x:v>949.3064746995038</x:v>
      </x:c>
      <x:c r="BC317" s="17" t="n">
        <x:f>IF('Control Room'!$B$5="Normal",'Control Room'!$B$7,('Control Room'!$B$8+'Control Room'!$D$8)/2)+'Control Room'!$B$9*(BC316-IF('Control Room'!$B$5="Normal",'Control Room'!$B$7,('Control Room'!$B$8+'Control Room'!$D$8)/2))+SQRT(1-'Control Room'!$B$9^2)*(BB317-IF('Control Room'!$B$5="Normal",'Control Room'!$B$7,('Control Room'!$B$8+'Control Room'!$D$8)/2))</x:f>
        <x:v>1042.1289807522917</x:v>
      </x:c>
      <x:c r="BD317" s="17" t="n">
        <x:f>IF(AND($A317&gt;='Control Room'!$A$13,$A317&lt;'Control Room'!$A$13+'Control Room'!$B$13,'Process'!BU2=1),1+('Control Room'!$C$13-1)*EXP(-0.5*(($A317-'Control Room'!$A$13-('Control Room'!$B$13-1)/2)/MAX(0.5,'Control Room'!$B$13/4))^2),1)*IF(AND($A317&gt;='Control Room'!$A$14,$A317&lt;'Control Room'!$A$14+'Control Room'!$B$14,'Process'!BU3=1),1+('Control Room'!$C$14-1)*EXP(-0.5*(($A317-'Control Room'!$A$14-('Control Room'!$B$14-1)/2)/MAX(0.5,'Control Room'!$B$14/4))^2),1)*IF(AND($A317&gt;='Control Room'!$A$15,$A317&lt;'Control Room'!$A$15+'Control Room'!$B$15,'Process'!BU4=1),1+('Control Room'!$C$15-1)*EXP(-0.5*(($A317-'Control Room'!$A$15-('Control Room'!$B$15-1)/2)/MAX(0.5,'Control Room'!$B$15/4))^2),1)*IF(AND($A317&gt;='Control Room'!$A$16,$A317&lt;'Control Room'!$A$16+'Control Room'!$B$16,'Process'!BU5=1),1+('Control Room'!$C$16-1)*EXP(-0.5*(($A317-'Control Room'!$A$16-('Control Room'!$B$16-1)/2)/MAX(0.5,'Control Room'!$B$16/4))^2),1)</x:f>
        <x:v>1</x:v>
      </x:c>
      <x:c r="BE317" s="9" t="n">
        <x:f>MOD(BF316*16807,2147483647)</x:f>
        <x:v>918991049</x:v>
      </x:c>
      <x:c r="BF317" s="9" t="n">
        <x:f>MOD(BE317*16807,2147483647)</x:f>
        <x:v>780171319</x:v>
      </x:c>
      <x:c r="BG317" s="17" t="n">
        <x:f>IF('Control Room'!$B$5="Normal",'Control Room'!$B$7+'Control Room'!$D$7*SQRT(-2*LN(MAX(0.000000000001,BE317/2147483647)))*COS(2*PI()*BF317/2147483647),'Control Room'!$B$8+('Control Room'!$D$8-'Control Room'!$B$8)*BE317/2147483647)</x:f>
        <x:v>923.4002389998235</x:v>
      </x:c>
      <x:c r="BH317" s="17" t="n">
        <x:f>IF('Control Room'!$B$5="Normal",'Control Room'!$B$7,('Control Room'!$B$8+'Control Room'!$D$8)/2)+'Control Room'!$B$9*(BH316-IF('Control Room'!$B$5="Normal",'Control Room'!$B$7,('Control Room'!$B$8+'Control Room'!$D$8)/2))+SQRT(1-'Control Room'!$B$9^2)*(BG317-IF('Control Room'!$B$5="Normal",'Control Room'!$B$7,('Control Room'!$B$8+'Control Room'!$D$8)/2))</x:f>
        <x:v>899.3811965654057</x:v>
      </x:c>
      <x:c r="BI317" s="17" t="n">
        <x:f>IF(AND($A317&gt;='Control Room'!$A$13,$A317&lt;'Control Room'!$A$13+'Control Room'!$B$13,'Process'!BV2=1),1+('Control Room'!$C$13-1)*EXP(-0.5*(($A317-'Control Room'!$A$13-('Control Room'!$B$13-1)/2)/MAX(0.5,'Control Room'!$B$13/4))^2),1)*IF(AND($A317&gt;='Control Room'!$A$14,$A317&lt;'Control Room'!$A$14+'Control Room'!$B$14,'Process'!BV3=1),1+('Control Room'!$C$14-1)*EXP(-0.5*(($A317-'Control Room'!$A$14-('Control Room'!$B$14-1)/2)/MAX(0.5,'Control Room'!$B$14/4))^2),1)*IF(AND($A317&gt;='Control Room'!$A$15,$A317&lt;'Control Room'!$A$15+'Control Room'!$B$15,'Process'!BV4=1),1+('Control Room'!$C$15-1)*EXP(-0.5*(($A317-'Control Room'!$A$15-('Control Room'!$B$15-1)/2)/MAX(0.5,'Control Room'!$B$15/4))^2),1)*IF(AND($A317&gt;='Control Room'!$A$16,$A317&lt;'Control Room'!$A$16+'Control Room'!$B$16,'Process'!BV5=1),1+('Control Room'!$C$16-1)*EXP(-0.5*(($A317-'Control Room'!$A$16-('Control Room'!$B$16-1)/2)/MAX(0.5,'Control Room'!$B$16/4))^2),1)</x:f>
        <x:v>1</x:v>
      </x:c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Z317" t="str">
        <x:f>IF('Data'!A317="","",TEXT('Data'!A317,"mm-dd"))</x:f>
      </x:c>
    </x:row>
    <x:row r="318" ht="21" customHeight="1">
      <x:c r="A318" s="15" t="n">
        <x:f>'Control Room'!$B$1+316</x:f>
        <x:v>73307</x:v>
      </x:c>
      <x:c r="B318" s="9" t="n">
        <x:f>MOD(C317*16807,2147483647)</x:f>
        <x:v>689795467</x:v>
      </x:c>
      <x:c r="C318" s="9" t="n">
        <x:f>MOD(B318*16807,2147483647)</x:f>
        <x:v>1275687363</x:v>
      </x:c>
      <x:c r="D318" s="17" t="n">
        <x:f>IF('Control Room'!$B$5="Normal",'Control Room'!$B$7+'Control Room'!$D$7*SQRT(-2*LN(MAX(0.000000000001,B318/2147483647)))*COS(2*PI()*C318/2147483647),'Control Room'!$B$8+('Control Room'!$D$8-'Control Room'!$B$8)*B318/2147483647)</x:f>
        <x:v>887.3578523568524</x:v>
      </x:c>
      <x:c r="E318" s="17" t="n">
        <x:f>IF('Control Room'!$B$5="Normal",'Control Room'!$B$7,('Control Room'!$B$8+'Control Room'!$D$8)/2)+'Control Room'!$B$9*(E317-IF('Control Room'!$B$5="Normal",'Control Room'!$B$7,('Control Room'!$B$8+'Control Room'!$D$8)/2))+SQRT(1-'Control Room'!$B$9^2)*(D318-IF('Control Room'!$B$5="Normal",'Control Room'!$B$7,('Control Room'!$B$8+'Control Room'!$D$8)/2))</x:f>
        <x:v>838.1093060919892</x:v>
      </x:c>
      <x:c r="F318" s="17" t="n">
        <x:f>IF(AND($A318&gt;='Control Room'!$A$13,$A318&lt;'Control Room'!$A$13+'Control Room'!$B$13,'Process'!BK2=1),1+('Control Room'!$C$13-1)*EXP(-0.5*(($A318-'Control Room'!$A$13-('Control Room'!$B$13-1)/2)/MAX(0.5,'Control Room'!$B$13/4))^2),1)*IF(AND($A318&gt;='Control Room'!$A$14,$A318&lt;'Control Room'!$A$14+'Control Room'!$B$14,'Process'!BK3=1),1+('Control Room'!$C$14-1)*EXP(-0.5*(($A318-'Control Room'!$A$14-('Control Room'!$B$14-1)/2)/MAX(0.5,'Control Room'!$B$14/4))^2),1)*IF(AND($A318&gt;='Control Room'!$A$15,$A318&lt;'Control Room'!$A$15+'Control Room'!$B$15,'Process'!BK4=1),1+('Control Room'!$C$15-1)*EXP(-0.5*(($A318-'Control Room'!$A$15-('Control Room'!$B$15-1)/2)/MAX(0.5,'Control Room'!$B$15/4))^2),1)*IF(AND($A318&gt;='Control Room'!$A$16,$A318&lt;'Control Room'!$A$16+'Control Room'!$B$16,'Process'!BK5=1),1+('Control Room'!$C$16-1)*EXP(-0.5*(($A318-'Control Room'!$A$16-('Control Room'!$B$16-1)/2)/MAX(0.5,'Control Room'!$B$16/4))^2),1)</x:f>
        <x:v>1</x:v>
      </x:c>
      <x:c r="G318" s="9" t="n">
        <x:f>MOD(H317*16807,2147483647)</x:f>
        <x:v>1194965042</x:v>
      </x:c>
      <x:c r="H318" s="9" t="n">
        <x:f>MOD(G318*16807,2147483647)</x:f>
        <x:v>510394150</x:v>
      </x:c>
      <x:c r="I318" s="17" t="n">
        <x:f>IF('Control Room'!$B$5="Normal",'Control Room'!$B$7+'Control Room'!$D$7*SQRT(-2*LN(MAX(0.000000000001,G318/2147483647)))*COS(2*PI()*H318/2147483647),'Control Room'!$B$8+('Control Room'!$D$8-'Control Room'!$B$8)*G318/2147483647)</x:f>
        <x:v>1007.5414238933615</x:v>
      </x:c>
      <x:c r="J318" s="17" t="n">
        <x:f>IF('Control Room'!$B$5="Normal",'Control Room'!$B$7,('Control Room'!$B$8+'Control Room'!$D$8)/2)+'Control Room'!$B$9*(J317-IF('Control Room'!$B$5="Normal",'Control Room'!$B$7,('Control Room'!$B$8+'Control Room'!$D$8)/2))+SQRT(1-'Control Room'!$B$9^2)*(I318-IF('Control Room'!$B$5="Normal",'Control Room'!$B$7,('Control Room'!$B$8+'Control Room'!$D$8)/2))</x:f>
        <x:v>963.3331432582818</x:v>
      </x:c>
      <x:c r="K318" s="17" t="n">
        <x:f>IF(AND($A318&gt;='Control Room'!$A$13,$A318&lt;'Control Room'!$A$13+'Control Room'!$B$13,'Process'!BL2=1),1+('Control Room'!$C$13-1)*EXP(-0.5*(($A318-'Control Room'!$A$13-('Control Room'!$B$13-1)/2)/MAX(0.5,'Control Room'!$B$13/4))^2),1)*IF(AND($A318&gt;='Control Room'!$A$14,$A318&lt;'Control Room'!$A$14+'Control Room'!$B$14,'Process'!BL3=1),1+('Control Room'!$C$14-1)*EXP(-0.5*(($A318-'Control Room'!$A$14-('Control Room'!$B$14-1)/2)/MAX(0.5,'Control Room'!$B$14/4))^2),1)*IF(AND($A318&gt;='Control Room'!$A$15,$A318&lt;'Control Room'!$A$15+'Control Room'!$B$15,'Process'!BL4=1),1+('Control Room'!$C$15-1)*EXP(-0.5*(($A318-'Control Room'!$A$15-('Control Room'!$B$15-1)/2)/MAX(0.5,'Control Room'!$B$15/4))^2),1)*IF(AND($A318&gt;='Control Room'!$A$16,$A318&lt;'Control Room'!$A$16+'Control Room'!$B$16,'Process'!BL5=1),1+('Control Room'!$C$16-1)*EXP(-0.5*(($A318-'Control Room'!$A$16-('Control Room'!$B$16-1)/2)/MAX(0.5,'Control Room'!$B$16/4))^2),1)</x:f>
        <x:v>1</x:v>
      </x:c>
      <x:c r="L318" s="9" t="n">
        <x:f>MOD(M317*16807,2147483647)</x:f>
        <x:v>1700134617</x:v>
      </x:c>
      <x:c r="M318" s="9" t="n">
        <x:f>MOD(L318*16807,2147483647)</x:f>
        <x:v>1892584584</x:v>
      </x:c>
      <x:c r="N318" s="17" t="n">
        <x:f>IF('Control Room'!$B$5="Normal",'Control Room'!$B$7+'Control Room'!$D$7*SQRT(-2*LN(MAX(0.000000000001,L318/2147483647)))*COS(2*PI()*M318/2147483647),'Control Room'!$B$8+('Control Room'!$D$8-'Control Room'!$B$8)*L318/2147483647)</x:f>
        <x:v>1045.1861596080705</x:v>
      </x:c>
      <x:c r="O318" s="17" t="n">
        <x:f>IF('Control Room'!$B$5="Normal",'Control Room'!$B$7,('Control Room'!$B$8+'Control Room'!$D$8)/2)+'Control Room'!$B$9*(O317-IF('Control Room'!$B$5="Normal",'Control Room'!$B$7,('Control Room'!$B$8+'Control Room'!$D$8)/2))+SQRT(1-'Control Room'!$B$9^2)*(N318-IF('Control Room'!$B$5="Normal",'Control Room'!$B$7,('Control Room'!$B$8+'Control Room'!$D$8)/2))</x:f>
        <x:v>1080.5517378269606</x:v>
      </x:c>
      <x:c r="P318" s="17" t="n">
        <x:f>IF(AND($A318&gt;='Control Room'!$A$13,$A318&lt;'Control Room'!$A$13+'Control Room'!$B$13,'Process'!BM2=1),1+('Control Room'!$C$13-1)*EXP(-0.5*(($A318-'Control Room'!$A$13-('Control Room'!$B$13-1)/2)/MAX(0.5,'Control Room'!$B$13/4))^2),1)*IF(AND($A318&gt;='Control Room'!$A$14,$A318&lt;'Control Room'!$A$14+'Control Room'!$B$14,'Process'!BM3=1),1+('Control Room'!$C$14-1)*EXP(-0.5*(($A318-'Control Room'!$A$14-('Control Room'!$B$14-1)/2)/MAX(0.5,'Control Room'!$B$14/4))^2),1)*IF(AND($A318&gt;='Control Room'!$A$15,$A318&lt;'Control Room'!$A$15+'Control Room'!$B$15,'Process'!BM4=1),1+('Control Room'!$C$15-1)*EXP(-0.5*(($A318-'Control Room'!$A$15-('Control Room'!$B$15-1)/2)/MAX(0.5,'Control Room'!$B$15/4))^2),1)*IF(AND($A318&gt;='Control Room'!$A$16,$A318&lt;'Control Room'!$A$16+'Control Room'!$B$16,'Process'!BM5=1),1+('Control Room'!$C$16-1)*EXP(-0.5*(($A318-'Control Room'!$A$16-('Control Room'!$B$16-1)/2)/MAX(0.5,'Control Room'!$B$16/4))^2),1)</x:f>
        <x:v>1</x:v>
      </x:c>
      <x:c r="Q318" s="9" t="n">
        <x:f>MOD(R317*16807,2147483647)</x:f>
        <x:v>57820545</x:v>
      </x:c>
      <x:c r="R318" s="9" t="n">
        <x:f>MOD(Q318*16807,2147483647)</x:f>
        <x:v>1127291371</x:v>
      </x:c>
      <x:c r="S318" s="17" t="n">
        <x:f>IF('Control Room'!$B$5="Normal",'Control Room'!$B$7+'Control Room'!$D$7*SQRT(-2*LN(MAX(0.000000000001,Q318/2147483647)))*COS(2*PI()*R318/2147483647),'Control Room'!$B$8+('Control Room'!$D$8-'Control Room'!$B$8)*Q318/2147483647)</x:f>
        <x:v>760.9759050867913</x:v>
      </x:c>
      <x:c r="T318" s="17" t="n">
        <x:f>IF('Control Room'!$B$5="Normal",'Control Room'!$B$7,('Control Room'!$B$8+'Control Room'!$D$8)/2)+'Control Room'!$B$9*(T317-IF('Control Room'!$B$5="Normal",'Control Room'!$B$7,('Control Room'!$B$8+'Control Room'!$D$8)/2))+SQRT(1-'Control Room'!$B$9^2)*(S318-IF('Control Room'!$B$5="Normal",'Control Room'!$B$7,('Control Room'!$B$8+'Control Room'!$D$8)/2))</x:f>
        <x:v>807.6663306741436</x:v>
      </x:c>
      <x:c r="U318" s="17" t="n">
        <x:f>IF(AND($A318&gt;='Control Room'!$A$13,$A318&lt;'Control Room'!$A$13+'Control Room'!$B$13,'Process'!BN2=1),1+('Control Room'!$C$13-1)*EXP(-0.5*(($A318-'Control Room'!$A$13-('Control Room'!$B$13-1)/2)/MAX(0.5,'Control Room'!$B$13/4))^2),1)*IF(AND($A318&gt;='Control Room'!$A$14,$A318&lt;'Control Room'!$A$14+'Control Room'!$B$14,'Process'!BN3=1),1+('Control Room'!$C$14-1)*EXP(-0.5*(($A318-'Control Room'!$A$14-('Control Room'!$B$14-1)/2)/MAX(0.5,'Control Room'!$B$14/4))^2),1)*IF(AND($A318&gt;='Control Room'!$A$15,$A318&lt;'Control Room'!$A$15+'Control Room'!$B$15,'Process'!BN4=1),1+('Control Room'!$C$15-1)*EXP(-0.5*(($A318-'Control Room'!$A$15-('Control Room'!$B$15-1)/2)/MAX(0.5,'Control Room'!$B$15/4))^2),1)*IF(AND($A318&gt;='Control Room'!$A$16,$A318&lt;'Control Room'!$A$16+'Control Room'!$B$16,'Process'!BN5=1),1+('Control Room'!$C$16-1)*EXP(-0.5*(($A318-'Control Room'!$A$16-('Control Room'!$B$16-1)/2)/MAX(0.5,'Control Room'!$B$16/4))^2),1)</x:f>
        <x:v>1</x:v>
      </x:c>
      <x:c r="V318" s="9" t="n">
        <x:f>MOD(W317*16807,2147483647)</x:f>
        <x:v>562990120</x:v>
      </x:c>
      <x:c r="W318" s="9" t="n">
        <x:f>MOD(V318*16807,2147483647)</x:f>
        <x:v>361998158</x:v>
      </x:c>
      <x:c r="X318" s="17" t="n">
        <x:f>IF('Control Room'!$B$5="Normal",'Control Room'!$B$7+'Control Room'!$D$7*SQRT(-2*LN(MAX(0.000000000001,V318/2147483647)))*COS(2*PI()*W318/2147483647),'Control Room'!$B$8+('Control Room'!$D$8-'Control Room'!$B$8)*V318/2147483647)</x:f>
        <x:v>1072.1056207983495</x:v>
      </x:c>
      <x:c r="Y318" s="17" t="n">
        <x:f>IF('Control Room'!$B$5="Normal",'Control Room'!$B$7,('Control Room'!$B$8+'Control Room'!$D$8)/2)+'Control Room'!$B$9*(Y317-IF('Control Room'!$B$5="Normal",'Control Room'!$B$7,('Control Room'!$B$8+'Control Room'!$D$8)/2))+SQRT(1-'Control Room'!$B$9^2)*(X318-IF('Control Room'!$B$5="Normal",'Control Room'!$B$7,('Control Room'!$B$8+'Control Room'!$D$8)/2))</x:f>
        <x:v>1169.9808244458377</x:v>
      </x:c>
      <x:c r="Z318" s="17" t="n">
        <x:f>IF(AND($A318&gt;='Control Room'!$A$13,$A318&lt;'Control Room'!$A$13+'Control Room'!$B$13,'Process'!BO2=1),1+('Control Room'!$C$13-1)*EXP(-0.5*(($A318-'Control Room'!$A$13-('Control Room'!$B$13-1)/2)/MAX(0.5,'Control Room'!$B$13/4))^2),1)*IF(AND($A318&gt;='Control Room'!$A$14,$A318&lt;'Control Room'!$A$14+'Control Room'!$B$14,'Process'!BO3=1),1+('Control Room'!$C$14-1)*EXP(-0.5*(($A318-'Control Room'!$A$14-('Control Room'!$B$14-1)/2)/MAX(0.5,'Control Room'!$B$14/4))^2),1)*IF(AND($A318&gt;='Control Room'!$A$15,$A318&lt;'Control Room'!$A$15+'Control Room'!$B$15,'Process'!BO4=1),1+('Control Room'!$C$15-1)*EXP(-0.5*(($A318-'Control Room'!$A$15-('Control Room'!$B$15-1)/2)/MAX(0.5,'Control Room'!$B$15/4))^2),1)*IF(AND($A318&gt;='Control Room'!$A$16,$A318&lt;'Control Room'!$A$16+'Control Room'!$B$16,'Process'!BO5=1),1+('Control Room'!$C$16-1)*EXP(-0.5*(($A318-'Control Room'!$A$16-('Control Room'!$B$16-1)/2)/MAX(0.5,'Control Room'!$B$16/4))^2),1)</x:f>
        <x:v>1</x:v>
      </x:c>
      <x:c r="AA318" s="9" t="n">
        <x:f>MOD(AB317*16807,2147483647)</x:f>
        <x:v>1068159695</x:v>
      </x:c>
      <x:c r="AB318" s="9" t="n">
        <x:f>MOD(AA318*16807,2147483647)</x:f>
        <x:v>1744188592</x:v>
      </x:c>
      <x:c r="AC318" s="17" t="n">
        <x:f>IF('Control Room'!$B$5="Normal",'Control Room'!$B$7+'Control Room'!$D$7*SQRT(-2*LN(MAX(0.000000000001,AA318/2147483647)))*COS(2*PI()*AB318/2147483647),'Control Room'!$B$8+('Control Room'!$D$8-'Control Room'!$B$8)*AA318/2147483647)</x:f>
        <x:v>1040.5193426334856</x:v>
      </x:c>
      <x:c r="AD318" s="17" t="n">
        <x:f>IF('Control Room'!$B$5="Normal",'Control Room'!$B$7,('Control Room'!$B$8+'Control Room'!$D$8)/2)+'Control Room'!$B$9*(AD317-IF('Control Room'!$B$5="Normal",'Control Room'!$B$7,('Control Room'!$B$8+'Control Room'!$D$8)/2))+SQRT(1-'Control Room'!$B$9^2)*(AC318-IF('Control Room'!$B$5="Normal",'Control Room'!$B$7,('Control Room'!$B$8+'Control Room'!$D$8)/2))</x:f>
        <x:v>989.8563107126195</x:v>
      </x:c>
      <x:c r="AE318" s="17" t="n">
        <x:f>IF(AND($A318&gt;='Control Room'!$A$13,$A318&lt;'Control Room'!$A$13+'Control Room'!$B$13,'Process'!BP2=1),1+('Control Room'!$C$13-1)*EXP(-0.5*(($A318-'Control Room'!$A$13-('Control Room'!$B$13-1)/2)/MAX(0.5,'Control Room'!$B$13/4))^2),1)*IF(AND($A318&gt;='Control Room'!$A$14,$A318&lt;'Control Room'!$A$14+'Control Room'!$B$14,'Process'!BP3=1),1+('Control Room'!$C$14-1)*EXP(-0.5*(($A318-'Control Room'!$A$14-('Control Room'!$B$14-1)/2)/MAX(0.5,'Control Room'!$B$14/4))^2),1)*IF(AND($A318&gt;='Control Room'!$A$15,$A318&lt;'Control Room'!$A$15+'Control Room'!$B$15,'Process'!BP4=1),1+('Control Room'!$C$15-1)*EXP(-0.5*(($A318-'Control Room'!$A$15-('Control Room'!$B$15-1)/2)/MAX(0.5,'Control Room'!$B$15/4))^2),1)*IF(AND($A318&gt;='Control Room'!$A$16,$A318&lt;'Control Room'!$A$16+'Control Room'!$B$16,'Process'!BP5=1),1+('Control Room'!$C$16-1)*EXP(-0.5*(($A318-'Control Room'!$A$16-('Control Room'!$B$16-1)/2)/MAX(0.5,'Control Room'!$B$16/4))^2),1)</x:f>
        <x:v>1</x:v>
      </x:c>
      <x:c r="AF318" s="9" t="n">
        <x:f>MOD(AG317*16807,2147483647)</x:f>
        <x:v>1573329270</x:v>
      </x:c>
      <x:c r="AG318" s="9" t="n">
        <x:f>MOD(AF318*16807,2147483647)</x:f>
        <x:v>978895379</x:v>
      </x:c>
      <x:c r="AH318" s="17" t="n">
        <x:f>IF('Control Room'!$B$5="Normal",'Control Room'!$B$7+'Control Room'!$D$7*SQRT(-2*LN(MAX(0.000000000001,AF318/2147483647)))*COS(2*PI()*AG318/2147483647),'Control Room'!$B$8+('Control Room'!$D$8-'Control Room'!$B$8)*AF318/2147483647)</x:f>
        <x:v>931.7240060282581</x:v>
      </x:c>
      <x:c r="AI318" s="17" t="n">
        <x:f>IF('Control Room'!$B$5="Normal",'Control Room'!$B$7,('Control Room'!$B$8+'Control Room'!$D$8)/2)+'Control Room'!$B$9*(AI317-IF('Control Room'!$B$5="Normal",'Control Room'!$B$7,('Control Room'!$B$8+'Control Room'!$D$8)/2))+SQRT(1-'Control Room'!$B$9^2)*(AH318-IF('Control Room'!$B$5="Normal",'Control Room'!$B$7,('Control Room'!$B$8+'Control Room'!$D$8)/2))</x:f>
        <x:v>1044.2685538481294</x:v>
      </x:c>
      <x:c r="AJ318" s="17" t="n">
        <x:f>IF(AND($A318&gt;='Control Room'!$A$13,$A318&lt;'Control Room'!$A$13+'Control Room'!$B$13,'Process'!BQ2=1),1+('Control Room'!$C$13-1)*EXP(-0.5*(($A318-'Control Room'!$A$13-('Control Room'!$B$13-1)/2)/MAX(0.5,'Control Room'!$B$13/4))^2),1)*IF(AND($A318&gt;='Control Room'!$A$14,$A318&lt;'Control Room'!$A$14+'Control Room'!$B$14,'Process'!BQ3=1),1+('Control Room'!$C$14-1)*EXP(-0.5*(($A318-'Control Room'!$A$14-('Control Room'!$B$14-1)/2)/MAX(0.5,'Control Room'!$B$14/4))^2),1)*IF(AND($A318&gt;='Control Room'!$A$15,$A318&lt;'Control Room'!$A$15+'Control Room'!$B$15,'Process'!BQ4=1),1+('Control Room'!$C$15-1)*EXP(-0.5*(($A318-'Control Room'!$A$15-('Control Room'!$B$15-1)/2)/MAX(0.5,'Control Room'!$B$15/4))^2),1)*IF(AND($A318&gt;='Control Room'!$A$16,$A318&lt;'Control Room'!$A$16+'Control Room'!$B$16,'Process'!BQ5=1),1+('Control Room'!$C$16-1)*EXP(-0.5*(($A318-'Control Room'!$A$16-('Control Room'!$B$16-1)/2)/MAX(0.5,'Control Room'!$B$16/4))^2),1)</x:f>
        <x:v>1</x:v>
      </x:c>
      <x:c r="AK318" s="9" t="n">
        <x:f>MOD(AL317*16807,2147483647)</x:f>
        <x:v>2078498845</x:v>
      </x:c>
      <x:c r="AL318" s="9" t="n">
        <x:f>MOD(AK318*16807,2147483647)</x:f>
        <x:v>213602166</x:v>
      </x:c>
      <x:c r="AM318" s="17" t="n">
        <x:f>IF('Control Room'!$B$5="Normal",'Control Room'!$B$7+'Control Room'!$D$7*SQRT(-2*LN(MAX(0.000000000001,AK318/2147483647)))*COS(2*PI()*AL318/2147483647),'Control Room'!$B$8+('Control Room'!$D$8-'Control Room'!$B$8)*AK318/2147483647)</x:f>
        <x:v>1018.6516281470778</x:v>
      </x:c>
      <x:c r="AN318" s="17" t="n">
        <x:f>IF('Control Room'!$B$5="Normal",'Control Room'!$B$7,('Control Room'!$B$8+'Control Room'!$D$8)/2)+'Control Room'!$B$9*(AN317-IF('Control Room'!$B$5="Normal",'Control Room'!$B$7,('Control Room'!$B$8+'Control Room'!$D$8)/2))+SQRT(1-'Control Room'!$B$9^2)*(AM318-IF('Control Room'!$B$5="Normal",'Control Room'!$B$7,('Control Room'!$B$8+'Control Room'!$D$8)/2))</x:f>
        <x:v>888.174956082479</x:v>
      </x:c>
      <x:c r="AO318" s="17" t="n">
        <x:f>IF(AND($A318&gt;='Control Room'!$A$13,$A318&lt;'Control Room'!$A$13+'Control Room'!$B$13,'Process'!BR2=1),1+('Control Room'!$C$13-1)*EXP(-0.5*(($A318-'Control Room'!$A$13-('Control Room'!$B$13-1)/2)/MAX(0.5,'Control Room'!$B$13/4))^2),1)*IF(AND($A318&gt;='Control Room'!$A$14,$A318&lt;'Control Room'!$A$14+'Control Room'!$B$14,'Process'!BR3=1),1+('Control Room'!$C$14-1)*EXP(-0.5*(($A318-'Control Room'!$A$14-('Control Room'!$B$14-1)/2)/MAX(0.5,'Control Room'!$B$14/4))^2),1)*IF(AND($A318&gt;='Control Room'!$A$15,$A318&lt;'Control Room'!$A$15+'Control Room'!$B$15,'Process'!BR4=1),1+('Control Room'!$C$15-1)*EXP(-0.5*(($A318-'Control Room'!$A$15-('Control Room'!$B$15-1)/2)/MAX(0.5,'Control Room'!$B$15/4))^2),1)*IF(AND($A318&gt;='Control Room'!$A$16,$A318&lt;'Control Room'!$A$16+'Control Room'!$B$16,'Process'!BR5=1),1+('Control Room'!$C$16-1)*EXP(-0.5*(($A318-'Control Room'!$A$16-('Control Room'!$B$16-1)/2)/MAX(0.5,'Control Room'!$B$16/4))^2),1)</x:f>
        <x:v>1</x:v>
      </x:c>
      <x:c r="AP318" s="9" t="n">
        <x:f>MOD(AQ317*16807,2147483647)</x:f>
        <x:v>436184773</x:v>
      </x:c>
      <x:c r="AQ318" s="9" t="n">
        <x:f>MOD(AP318*16807,2147483647)</x:f>
        <x:v>1595792600</x:v>
      </x:c>
      <x:c r="AR318" s="17" t="n">
        <x:f>IF('Control Room'!$B$5="Normal",'Control Room'!$B$7+'Control Room'!$D$7*SQRT(-2*LN(MAX(0.000000000001,AP318/2147483647)))*COS(2*PI()*AQ318/2147483647),'Control Room'!$B$8+('Control Room'!$D$8-'Control Room'!$B$8)*AP318/2147483647)</x:f>
        <x:v>993.0342827871141</x:v>
      </x:c>
      <x:c r="AS318" s="17" t="n">
        <x:f>IF('Control Room'!$B$5="Normal",'Control Room'!$B$7,('Control Room'!$B$8+'Control Room'!$D$8)/2)+'Control Room'!$B$9*(AS317-IF('Control Room'!$B$5="Normal",'Control Room'!$B$7,('Control Room'!$B$8+'Control Room'!$D$8)/2))+SQRT(1-'Control Room'!$B$9^2)*(AR318-IF('Control Room'!$B$5="Normal",'Control Room'!$B$7,('Control Room'!$B$8+'Control Room'!$D$8)/2))</x:f>
        <x:v>1046.9402402050684</x:v>
      </x:c>
      <x:c r="AT318" s="17" t="n">
        <x:f>IF(AND($A318&gt;='Control Room'!$A$13,$A318&lt;'Control Room'!$A$13+'Control Room'!$B$13,'Process'!BS2=1),1+('Control Room'!$C$13-1)*EXP(-0.5*(($A318-'Control Room'!$A$13-('Control Room'!$B$13-1)/2)/MAX(0.5,'Control Room'!$B$13/4))^2),1)*IF(AND($A318&gt;='Control Room'!$A$14,$A318&lt;'Control Room'!$A$14+'Control Room'!$B$14,'Process'!BS3=1),1+('Control Room'!$C$14-1)*EXP(-0.5*(($A318-'Control Room'!$A$14-('Control Room'!$B$14-1)/2)/MAX(0.5,'Control Room'!$B$14/4))^2),1)*IF(AND($A318&gt;='Control Room'!$A$15,$A318&lt;'Control Room'!$A$15+'Control Room'!$B$15,'Process'!BS4=1),1+('Control Room'!$C$15-1)*EXP(-0.5*(($A318-'Control Room'!$A$15-('Control Room'!$B$15-1)/2)/MAX(0.5,'Control Room'!$B$15/4))^2),1)*IF(AND($A318&gt;='Control Room'!$A$16,$A318&lt;'Control Room'!$A$16+'Control Room'!$B$16,'Process'!BS5=1),1+('Control Room'!$C$16-1)*EXP(-0.5*(($A318-'Control Room'!$A$16-('Control Room'!$B$16-1)/2)/MAX(0.5,'Control Room'!$B$16/4))^2),1)</x:f>
        <x:v>1</x:v>
      </x:c>
      <x:c r="AU318" s="9" t="n">
        <x:f>MOD(AV317*16807,2147483647)</x:f>
        <x:v>941354348</x:v>
      </x:c>
      <x:c r="AV318" s="9" t="n">
        <x:f>MOD(AU318*16807,2147483647)</x:f>
        <x:v>830499387</x:v>
      </x:c>
      <x:c r="AW318" s="17" t="n">
        <x:f>IF('Control Room'!$B$5="Normal",'Control Room'!$B$7+'Control Room'!$D$7*SQRT(-2*LN(MAX(0.000000000001,AU318/2147483647)))*COS(2*PI()*AV318/2147483647),'Control Room'!$B$8+('Control Room'!$D$8-'Control Room'!$B$8)*AU318/2147483647)</x:f>
        <x:v>912.469477250147</x:v>
      </x:c>
      <x:c r="AX318" s="17" t="n">
        <x:f>IF('Control Room'!$B$5="Normal",'Control Room'!$B$7,('Control Room'!$B$8+'Control Room'!$D$8)/2)+'Control Room'!$B$9*(AX317-IF('Control Room'!$B$5="Normal",'Control Room'!$B$7,('Control Room'!$B$8+'Control Room'!$D$8)/2))+SQRT(1-'Control Room'!$B$9^2)*(AW318-IF('Control Room'!$B$5="Normal",'Control Room'!$B$7,('Control Room'!$B$8+'Control Room'!$D$8)/2))</x:f>
        <x:v>934.3173073023213</x:v>
      </x:c>
      <x:c r="AY318" s="17" t="n">
        <x:f>IF(AND($A318&gt;='Control Room'!$A$13,$A318&lt;'Control Room'!$A$13+'Control Room'!$B$13,'Process'!BT2=1),1+('Control Room'!$C$13-1)*EXP(-0.5*(($A318-'Control Room'!$A$13-('Control Room'!$B$13-1)/2)/MAX(0.5,'Control Room'!$B$13/4))^2),1)*IF(AND($A318&gt;='Control Room'!$A$14,$A318&lt;'Control Room'!$A$14+'Control Room'!$B$14,'Process'!BT3=1),1+('Control Room'!$C$14-1)*EXP(-0.5*(($A318-'Control Room'!$A$14-('Control Room'!$B$14-1)/2)/MAX(0.5,'Control Room'!$B$14/4))^2),1)*IF(AND($A318&gt;='Control Room'!$A$15,$A318&lt;'Control Room'!$A$15+'Control Room'!$B$15,'Process'!BT4=1),1+('Control Room'!$C$15-1)*EXP(-0.5*(($A318-'Control Room'!$A$15-('Control Room'!$B$15-1)/2)/MAX(0.5,'Control Room'!$B$15/4))^2),1)*IF(AND($A318&gt;='Control Room'!$A$16,$A318&lt;'Control Room'!$A$16+'Control Room'!$B$16,'Process'!BT5=1),1+('Control Room'!$C$16-1)*EXP(-0.5*(($A318-'Control Room'!$A$16-('Control Room'!$B$16-1)/2)/MAX(0.5,'Control Room'!$B$16/4))^2),1)</x:f>
        <x:v>1</x:v>
      </x:c>
      <x:c r="AZ318" s="9" t="n">
        <x:f>MOD(BA317*16807,2147483647)</x:f>
        <x:v>1446523923</x:v>
      </x:c>
      <x:c r="BA318" s="9" t="n">
        <x:f>MOD(AZ318*16807,2147483647)</x:f>
        <x:v>65206174</x:v>
      </x:c>
      <x:c r="BB318" s="17" t="n">
        <x:f>IF('Control Room'!$B$5="Normal",'Control Room'!$B$7+'Control Room'!$D$7*SQRT(-2*LN(MAX(0.000000000001,AZ318/2147483647)))*COS(2*PI()*BA318/2147483647),'Control Room'!$B$8+('Control Room'!$D$8-'Control Room'!$B$8)*AZ318/2147483647)</x:f>
        <x:v>1078.5556133386942</x:v>
      </x:c>
      <x:c r="BC318" s="17" t="n">
        <x:f>IF('Control Room'!$B$5="Normal",'Control Room'!$B$7,('Control Room'!$B$8+'Control Room'!$D$8)/2)+'Control Room'!$B$9*(BC317-IF('Control Room'!$B$5="Normal",'Control Room'!$B$7,('Control Room'!$B$8+'Control Room'!$D$8)/2))+SQRT(1-'Control Room'!$B$9^2)*(BB318-IF('Control Room'!$B$5="Normal",'Control Room'!$B$7,('Control Room'!$B$8+'Control Room'!$D$8)/2))</x:f>
        <x:v>1082.01909851493</x:v>
      </x:c>
      <x:c r="BD318" s="17" t="n">
        <x:f>IF(AND($A318&gt;='Control Room'!$A$13,$A318&lt;'Control Room'!$A$13+'Control Room'!$B$13,'Process'!BU2=1),1+('Control Room'!$C$13-1)*EXP(-0.5*(($A318-'Control Room'!$A$13-('Control Room'!$B$13-1)/2)/MAX(0.5,'Control Room'!$B$13/4))^2),1)*IF(AND($A318&gt;='Control Room'!$A$14,$A318&lt;'Control Room'!$A$14+'Control Room'!$B$14,'Process'!BU3=1),1+('Control Room'!$C$14-1)*EXP(-0.5*(($A318-'Control Room'!$A$14-('Control Room'!$B$14-1)/2)/MAX(0.5,'Control Room'!$B$14/4))^2),1)*IF(AND($A318&gt;='Control Room'!$A$15,$A318&lt;'Control Room'!$A$15+'Control Room'!$B$15,'Process'!BU4=1),1+('Control Room'!$C$15-1)*EXP(-0.5*(($A318-'Control Room'!$A$15-('Control Room'!$B$15-1)/2)/MAX(0.5,'Control Room'!$B$15/4))^2),1)*IF(AND($A318&gt;='Control Room'!$A$16,$A318&lt;'Control Room'!$A$16+'Control Room'!$B$16,'Process'!BU5=1),1+('Control Room'!$C$16-1)*EXP(-0.5*(($A318-'Control Room'!$A$16-('Control Room'!$B$16-1)/2)/MAX(0.5,'Control Room'!$B$16/4))^2),1)</x:f>
        <x:v>1</x:v>
      </x:c>
      <x:c r="BE318" s="9" t="n">
        <x:f>MOD(BF317*16807,2147483647)</x:f>
        <x:v>1951693498</x:v>
      </x:c>
      <x:c r="BF318" s="9" t="n">
        <x:f>MOD(BE318*16807,2147483647)</x:f>
        <x:v>1447396608</x:v>
      </x:c>
      <x:c r="BG318" s="17" t="n">
        <x:f>IF('Control Room'!$B$5="Normal",'Control Room'!$B$7+'Control Room'!$D$7*SQRT(-2*LN(MAX(0.000000000001,BE318/2147483647)))*COS(2*PI()*BF318/2147483647),'Control Room'!$B$8+('Control Room'!$D$8-'Control Room'!$B$8)*BE318/2147483647)</x:f>
        <x:v>981.9131074595956</x:v>
      </x:c>
      <x:c r="BH318" s="17" t="n">
        <x:f>IF('Control Room'!$B$5="Normal",'Control Room'!$B$7,('Control Room'!$B$8+'Control Room'!$D$8)/2)+'Control Room'!$B$9*(BH317-IF('Control Room'!$B$5="Normal",'Control Room'!$B$7,('Control Room'!$B$8+'Control Room'!$D$8)/2))+SQRT(1-'Control Room'!$B$9^2)*(BG318-IF('Control Room'!$B$5="Normal",'Control Room'!$B$7,('Control Room'!$B$8+'Control Room'!$D$8)/2))</x:f>
        <x:v>910.1989264993653</x:v>
      </x:c>
      <x:c r="BI318" s="17" t="n">
        <x:f>IF(AND($A318&gt;='Control Room'!$A$13,$A318&lt;'Control Room'!$A$13+'Control Room'!$B$13,'Process'!BV2=1),1+('Control Room'!$C$13-1)*EXP(-0.5*(($A318-'Control Room'!$A$13-('Control Room'!$B$13-1)/2)/MAX(0.5,'Control Room'!$B$13/4))^2),1)*IF(AND($A318&gt;='Control Room'!$A$14,$A318&lt;'Control Room'!$A$14+'Control Room'!$B$14,'Process'!BV3=1),1+('Control Room'!$C$14-1)*EXP(-0.5*(($A318-'Control Room'!$A$14-('Control Room'!$B$14-1)/2)/MAX(0.5,'Control Room'!$B$14/4))^2),1)*IF(AND($A318&gt;='Control Room'!$A$15,$A318&lt;'Control Room'!$A$15+'Control Room'!$B$15,'Process'!BV4=1),1+('Control Room'!$C$15-1)*EXP(-0.5*(($A318-'Control Room'!$A$15-('Control Room'!$B$15-1)/2)/MAX(0.5,'Control Room'!$B$15/4))^2),1)*IF(AND($A318&gt;='Control Room'!$A$16,$A318&lt;'Control Room'!$A$16+'Control Room'!$B$16,'Process'!BV5=1),1+('Control Room'!$C$16-1)*EXP(-0.5*(($A318-'Control Room'!$A$16-('Control Room'!$B$16-1)/2)/MAX(0.5,'Control Room'!$B$16/4))^2),1)</x:f>
        <x:v>1</x:v>
      </x:c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Z318" t="str">
        <x:f>IF('Data'!A318="","",TEXT('Data'!A318,"mm-dd"))</x:f>
      </x:c>
    </x:row>
    <x:row r="319" ht="21" customHeight="1">
      <x:c r="A319" s="15" t="n">
        <x:f>'Control Room'!$B$1+317</x:f>
        <x:v>73308</x:v>
      </x:c>
      <x:c r="B319" s="9" t="n">
        <x:f>MOD(C318*16807,2147483647)</x:f>
        <x:v>778293</x:v>
      </x:c>
      <x:c r="C319" s="9" t="n">
        <x:f>MOD(B319*16807,2147483647)</x:f>
        <x:v>195868569</x:v>
      </x:c>
      <x:c r="D319" s="17" t="n">
        <x:f>IF('Control Room'!$B$5="Normal",'Control Room'!$B$7+'Control Room'!$D$7*SQRT(-2*LN(MAX(0.000000000001,B319/2147483647)))*COS(2*PI()*C319/2147483647),'Control Room'!$B$8+('Control Room'!$D$8-'Control Room'!$B$8)*B319/2147483647)</x:f>
        <x:v>1301.0198532723812</x:v>
      </x:c>
      <x:c r="E319" s="17" t="n">
        <x:f>IF('Control Room'!$B$5="Normal",'Control Room'!$B$7,('Control Room'!$B$8+'Control Room'!$D$8)/2)+'Control Room'!$B$9*(E318-IF('Control Room'!$B$5="Normal",'Control Room'!$B$7,('Control Room'!$B$8+'Control Room'!$D$8)/2))+SQRT(1-'Control Room'!$B$9^2)*(D319-IF('Control Room'!$B$5="Normal",'Control Room'!$B$7,('Control Room'!$B$8+'Control Room'!$D$8)/2))</x:f>
        <x:v>1062.097316202722</x:v>
      </x:c>
      <x:c r="F319" s="17" t="n">
        <x:f>IF(AND($A319&gt;='Control Room'!$A$13,$A319&lt;'Control Room'!$A$13+'Control Room'!$B$13,'Process'!BK2=1),1+('Control Room'!$C$13-1)*EXP(-0.5*(($A319-'Control Room'!$A$13-('Control Room'!$B$13-1)/2)/MAX(0.5,'Control Room'!$B$13/4))^2),1)*IF(AND($A319&gt;='Control Room'!$A$14,$A319&lt;'Control Room'!$A$14+'Control Room'!$B$14,'Process'!BK3=1),1+('Control Room'!$C$14-1)*EXP(-0.5*(($A319-'Control Room'!$A$14-('Control Room'!$B$14-1)/2)/MAX(0.5,'Control Room'!$B$14/4))^2),1)*IF(AND($A319&gt;='Control Room'!$A$15,$A319&lt;'Control Room'!$A$15+'Control Room'!$B$15,'Process'!BK4=1),1+('Control Room'!$C$15-1)*EXP(-0.5*(($A319-'Control Room'!$A$15-('Control Room'!$B$15-1)/2)/MAX(0.5,'Control Room'!$B$15/4))^2),1)*IF(AND($A319&gt;='Control Room'!$A$16,$A319&lt;'Control Room'!$A$16+'Control Room'!$B$16,'Process'!BK5=1),1+('Control Room'!$C$16-1)*EXP(-0.5*(($A319-'Control Room'!$A$16-('Control Room'!$B$16-1)/2)/MAX(0.5,'Control Room'!$B$16/4))^2),1)</x:f>
        <x:v>1</x:v>
      </x:c>
      <x:c r="G319" s="9" t="n">
        <x:f>MOD(H318*16807,2147483647)</x:f>
        <x:v>1144792932</x:v>
      </x:c>
      <x:c r="H319" s="9" t="n">
        <x:f>MOD(G319*16807,2147483647)</x:f>
        <x:v>1228814651</x:v>
      </x:c>
      <x:c r="I319" s="17" t="n">
        <x:f>IF('Control Room'!$B$5="Normal",'Control Room'!$B$7+'Control Room'!$D$7*SQRT(-2*LN(MAX(0.000000000001,G319/2147483647)))*COS(2*PI()*H319/2147483647),'Control Room'!$B$8+('Control Room'!$D$8-'Control Room'!$B$8)*G319/2147483647)</x:f>
        <x:v>909.2633800717006</x:v>
      </x:c>
      <x:c r="J319" s="17" t="n">
        <x:f>IF('Control Room'!$B$5="Normal",'Control Room'!$B$7,('Control Room'!$B$8+'Control Room'!$D$8)/2)+'Control Room'!$B$9*(J318-IF('Control Room'!$B$5="Normal",'Control Room'!$B$7,('Control Room'!$B$8+'Control Room'!$D$8)/2))+SQRT(1-'Control Room'!$B$9^2)*(I319-IF('Control Room'!$B$5="Normal",'Control Room'!$B$7,('Control Room'!$B$8+'Control Room'!$D$8)/2))</x:f>
        <x:v>914.6187338310262</x:v>
      </x:c>
      <x:c r="K319" s="17" t="n">
        <x:f>IF(AND($A319&gt;='Control Room'!$A$13,$A319&lt;'Control Room'!$A$13+'Control Room'!$B$13,'Process'!BL2=1),1+('Control Room'!$C$13-1)*EXP(-0.5*(($A319-'Control Room'!$A$13-('Control Room'!$B$13-1)/2)/MAX(0.5,'Control Room'!$B$13/4))^2),1)*IF(AND($A319&gt;='Control Room'!$A$14,$A319&lt;'Control Room'!$A$14+'Control Room'!$B$14,'Process'!BL3=1),1+('Control Room'!$C$14-1)*EXP(-0.5*(($A319-'Control Room'!$A$14-('Control Room'!$B$14-1)/2)/MAX(0.5,'Control Room'!$B$14/4))^2),1)*IF(AND($A319&gt;='Control Room'!$A$15,$A319&lt;'Control Room'!$A$15+'Control Room'!$B$15,'Process'!BL4=1),1+('Control Room'!$C$15-1)*EXP(-0.5*(($A319-'Control Room'!$A$15-('Control Room'!$B$15-1)/2)/MAX(0.5,'Control Room'!$B$15/4))^2),1)*IF(AND($A319&gt;='Control Room'!$A$16,$A319&lt;'Control Room'!$A$16+'Control Room'!$B$16,'Process'!BL5=1),1+('Control Room'!$C$16-1)*EXP(-0.5*(($A319-'Control Room'!$A$16-('Control Room'!$B$16-1)/2)/MAX(0.5,'Control Room'!$B$16/4))^2),1)</x:f>
        <x:v>1</x:v>
      </x:c>
      <x:c r="L319" s="9" t="n">
        <x:f>MOD(M318*16807,2147483647)</x:f>
        <x:v>141323924</x:v>
      </x:c>
      <x:c r="M319" s="9" t="n">
        <x:f>MOD(L319*16807,2147483647)</x:f>
        <x:v>114277086</x:v>
      </x:c>
      <x:c r="N319" s="17" t="n">
        <x:f>IF('Control Room'!$B$5="Normal",'Control Room'!$B$7+'Control Room'!$D$7*SQRT(-2*LN(MAX(0.000000000001,L319/2147483647)))*COS(2*PI()*M319/2147483647),'Control Room'!$B$8+('Control Room'!$D$8-'Control Room'!$B$8)*L319/2147483647)</x:f>
        <x:v>1198.3259544353102</x:v>
      </x:c>
      <x:c r="O319" s="17" t="n">
        <x:f>IF('Control Room'!$B$5="Normal",'Control Room'!$B$7,('Control Room'!$B$8+'Control Room'!$D$8)/2)+'Control Room'!$B$9*(O318-IF('Control Room'!$B$5="Normal",'Control Room'!$B$7,('Control Room'!$B$8+'Control Room'!$D$8)/2))+SQRT(1-'Control Room'!$B$9^2)*(N319-IF('Control Room'!$B$5="Normal",'Control Room'!$B$7,('Control Room'!$B$8+'Control Room'!$D$8)/2))</x:f>
        <x:v>1186.93867486263</x:v>
      </x:c>
      <x:c r="P319" s="17" t="n">
        <x:f>IF(AND($A319&gt;='Control Room'!$A$13,$A319&lt;'Control Room'!$A$13+'Control Room'!$B$13,'Process'!BM2=1),1+('Control Room'!$C$13-1)*EXP(-0.5*(($A319-'Control Room'!$A$13-('Control Room'!$B$13-1)/2)/MAX(0.5,'Control Room'!$B$13/4))^2),1)*IF(AND($A319&gt;='Control Room'!$A$14,$A319&lt;'Control Room'!$A$14+'Control Room'!$B$14,'Process'!BM3=1),1+('Control Room'!$C$14-1)*EXP(-0.5*(($A319-'Control Room'!$A$14-('Control Room'!$B$14-1)/2)/MAX(0.5,'Control Room'!$B$14/4))^2),1)*IF(AND($A319&gt;='Control Room'!$A$15,$A319&lt;'Control Room'!$A$15+'Control Room'!$B$15,'Process'!BM4=1),1+('Control Room'!$C$15-1)*EXP(-0.5*(($A319-'Control Room'!$A$15-('Control Room'!$B$15-1)/2)/MAX(0.5,'Control Room'!$B$15/4))^2),1)*IF(AND($A319&gt;='Control Room'!$A$16,$A319&lt;'Control Room'!$A$16+'Control Room'!$B$16,'Process'!BM5=1),1+('Control Room'!$C$16-1)*EXP(-0.5*(($A319-'Control Room'!$A$16-('Control Room'!$B$16-1)/2)/MAX(0.5,'Control Room'!$B$16/4))^2),1)</x:f>
        <x:v>1</x:v>
      </x:c>
      <x:c r="Q319" s="9" t="n">
        <x:f>MOD(R318*16807,2147483647)</x:f>
        <x:v>1285338563</x:v>
      </x:c>
      <x:c r="R319" s="9" t="n">
        <x:f>MOD(Q319*16807,2147483647)</x:f>
        <x:v>1147223168</x:v>
      </x:c>
      <x:c r="S319" s="17" t="n">
        <x:f>IF('Control Room'!$B$5="Normal",'Control Room'!$B$7+'Control Room'!$D$7*SQRT(-2*LN(MAX(0.000000000001,Q319/2147483647)))*COS(2*PI()*R319/2147483647),'Control Room'!$B$8+('Control Room'!$D$8-'Control Room'!$B$8)*Q319/2147483647)</x:f>
        <x:v>910.9124533796365</x:v>
      </x:c>
      <x:c r="T319" s="17" t="n">
        <x:f>IF('Control Room'!$B$5="Normal",'Control Room'!$B$7,('Control Room'!$B$8+'Control Room'!$D$8)/2)+'Control Room'!$B$9*(T318-IF('Control Room'!$B$5="Normal",'Control Room'!$B$7,('Control Room'!$B$8+'Control Room'!$D$8)/2))+SQRT(1-'Control Room'!$B$9^2)*(S319-IF('Control Room'!$B$5="Normal",'Control Room'!$B$7,('Control Room'!$B$8+'Control Room'!$D$8)/2))</x:f>
        <x:v>794.2305763084019</x:v>
      </x:c>
      <x:c r="U319" s="17" t="n">
        <x:f>IF(AND($A319&gt;='Control Room'!$A$13,$A319&lt;'Control Room'!$A$13+'Control Room'!$B$13,'Process'!BN2=1),1+('Control Room'!$C$13-1)*EXP(-0.5*(($A319-'Control Room'!$A$13-('Control Room'!$B$13-1)/2)/MAX(0.5,'Control Room'!$B$13/4))^2),1)*IF(AND($A319&gt;='Control Room'!$A$14,$A319&lt;'Control Room'!$A$14+'Control Room'!$B$14,'Process'!BN3=1),1+('Control Room'!$C$14-1)*EXP(-0.5*(($A319-'Control Room'!$A$14-('Control Room'!$B$14-1)/2)/MAX(0.5,'Control Room'!$B$14/4))^2),1)*IF(AND($A319&gt;='Control Room'!$A$15,$A319&lt;'Control Room'!$A$15+'Control Room'!$B$15,'Process'!BN4=1),1+('Control Room'!$C$15-1)*EXP(-0.5*(($A319-'Control Room'!$A$15-('Control Room'!$B$15-1)/2)/MAX(0.5,'Control Room'!$B$15/4))^2),1)*IF(AND($A319&gt;='Control Room'!$A$16,$A319&lt;'Control Room'!$A$16+'Control Room'!$B$16,'Process'!BN5=1),1+('Control Room'!$C$16-1)*EXP(-0.5*(($A319-'Control Room'!$A$16-('Control Room'!$B$16-1)/2)/MAX(0.5,'Control Room'!$B$16/4))^2),1)</x:f>
        <x:v>1</x:v>
      </x:c>
      <x:c r="V319" s="9" t="n">
        <x:f>MOD(W318*16807,2147483647)</x:f>
        <x:v>281869555</x:v>
      </x:c>
      <x:c r="W319" s="9" t="n">
        <x:f>MOD(V319*16807,2147483647)</x:f>
        <x:v>32685603</x:v>
      </x:c>
      <x:c r="X319" s="17" t="n">
        <x:f>IF('Control Room'!$B$5="Normal",'Control Room'!$B$7+'Control Room'!$D$7*SQRT(-2*LN(MAX(0.000000000001,V319/2147483647)))*COS(2*PI()*W319/2147483647),'Control Room'!$B$8+('Control Room'!$D$8-'Control Room'!$B$8)*V319/2147483647)</x:f>
        <x:v>1180.543366313526</x:v>
      </x:c>
      <x:c r="Y319" s="17" t="n">
        <x:f>IF('Control Room'!$B$5="Normal",'Control Room'!$B$7,('Control Room'!$B$8+'Control Room'!$D$8)/2)+'Control Room'!$B$9*(Y318-IF('Control Room'!$B$5="Normal",'Control Room'!$B$7,('Control Room'!$B$8+'Control Room'!$D$8)/2))+SQRT(1-'Control Room'!$B$9^2)*(X319-IF('Control Room'!$B$5="Normal",'Control Room'!$B$7,('Control Room'!$B$8+'Control Room'!$D$8)/2))</x:f>
        <x:v>1245.5653830748604</x:v>
      </x:c>
      <x:c r="Z319" s="17" t="n">
        <x:f>IF(AND($A319&gt;='Control Room'!$A$13,$A319&lt;'Control Room'!$A$13+'Control Room'!$B$13,'Process'!BO2=1),1+('Control Room'!$C$13-1)*EXP(-0.5*(($A319-'Control Room'!$A$13-('Control Room'!$B$13-1)/2)/MAX(0.5,'Control Room'!$B$13/4))^2),1)*IF(AND($A319&gt;='Control Room'!$A$14,$A319&lt;'Control Room'!$A$14+'Control Room'!$B$14,'Process'!BO3=1),1+('Control Room'!$C$14-1)*EXP(-0.5*(($A319-'Control Room'!$A$14-('Control Room'!$B$14-1)/2)/MAX(0.5,'Control Room'!$B$14/4))^2),1)*IF(AND($A319&gt;='Control Room'!$A$15,$A319&lt;'Control Room'!$A$15+'Control Room'!$B$15,'Process'!BO4=1),1+('Control Room'!$C$15-1)*EXP(-0.5*(($A319-'Control Room'!$A$15-('Control Room'!$B$15-1)/2)/MAX(0.5,'Control Room'!$B$15/4))^2),1)*IF(AND($A319&gt;='Control Room'!$A$16,$A319&lt;'Control Room'!$A$16+'Control Room'!$B$16,'Process'!BO5=1),1+('Control Room'!$C$16-1)*EXP(-0.5*(($A319-'Control Room'!$A$16-('Control Room'!$B$16-1)/2)/MAX(0.5,'Control Room'!$B$16/4))^2),1)</x:f>
        <x:v>1</x:v>
      </x:c>
      <x:c r="AA319" s="9" t="n">
        <x:f>MOD(AB318*16807,2147483647)</x:f>
        <x:v>1425884194</x:v>
      </x:c>
      <x:c r="AB319" s="9" t="n">
        <x:f>MOD(AA319*16807,2147483647)</x:f>
        <x:v>1065631685</x:v>
      </x:c>
      <x:c r="AC319" s="17" t="n">
        <x:f>IF('Control Room'!$B$5="Normal",'Control Room'!$B$7+'Control Room'!$D$7*SQRT(-2*LN(MAX(0.000000000001,AA319/2147483647)))*COS(2*PI()*AB319/2147483647),'Control Room'!$B$8+('Control Room'!$D$8-'Control Room'!$B$8)*AA319/2147483647)</x:f>
        <x:v>918.5737099262387</x:v>
      </x:c>
      <x:c r="AD319" s="17" t="n">
        <x:f>IF('Control Room'!$B$5="Normal",'Control Room'!$B$7,('Control Room'!$B$8+'Control Room'!$D$8)/2)+'Control Room'!$B$9*(AD318-IF('Control Room'!$B$5="Normal",'Control Room'!$B$7,('Control Room'!$B$8+'Control Room'!$D$8)/2))+SQRT(1-'Control Room'!$B$9^2)*(AC319-IF('Control Room'!$B$5="Normal",'Control Room'!$B$7,('Control Room'!$B$8+'Control Room'!$D$8)/2))</x:f>
        <x:v>941.1330181359052</x:v>
      </x:c>
      <x:c r="AE319" s="17" t="n">
        <x:f>IF(AND($A319&gt;='Control Room'!$A$13,$A319&lt;'Control Room'!$A$13+'Control Room'!$B$13,'Process'!BP2=1),1+('Control Room'!$C$13-1)*EXP(-0.5*(($A319-'Control Room'!$A$13-('Control Room'!$B$13-1)/2)/MAX(0.5,'Control Room'!$B$13/4))^2),1)*IF(AND($A319&gt;='Control Room'!$A$14,$A319&lt;'Control Room'!$A$14+'Control Room'!$B$14,'Process'!BP3=1),1+('Control Room'!$C$14-1)*EXP(-0.5*(($A319-'Control Room'!$A$14-('Control Room'!$B$14-1)/2)/MAX(0.5,'Control Room'!$B$14/4))^2),1)*IF(AND($A319&gt;='Control Room'!$A$15,$A319&lt;'Control Room'!$A$15+'Control Room'!$B$15,'Process'!BP4=1),1+('Control Room'!$C$15-1)*EXP(-0.5*(($A319-'Control Room'!$A$15-('Control Room'!$B$15-1)/2)/MAX(0.5,'Control Room'!$B$15/4))^2),1)*IF(AND($A319&gt;='Control Room'!$A$16,$A319&lt;'Control Room'!$A$16+'Control Room'!$B$16,'Process'!BP5=1),1+('Control Room'!$C$16-1)*EXP(-0.5*(($A319-'Control Room'!$A$16-('Control Room'!$B$16-1)/2)/MAX(0.5,'Control Room'!$B$16/4))^2),1)</x:f>
        <x:v>1</x:v>
      </x:c>
      <x:c r="AF319" s="9" t="n">
        <x:f>MOD(AG318*16807,2147483647)</x:f>
        <x:v>422415186</x:v>
      </x:c>
      <x:c r="AG319" s="9" t="n">
        <x:f>MOD(AF319*16807,2147483647)</x:f>
        <x:v>2098577767</x:v>
      </x:c>
      <x:c r="AH319" s="17" t="n">
        <x:f>IF('Control Room'!$B$5="Normal",'Control Room'!$B$7+'Control Room'!$D$7*SQRT(-2*LN(MAX(0.000000000001,AF319/2147483647)))*COS(2*PI()*AG319/2147483647),'Control Room'!$B$8+('Control Room'!$D$8-'Control Room'!$B$8)*AF319/2147483647)</x:f>
        <x:v>1160.6441486441083</x:v>
      </x:c>
      <x:c r="AI319" s="17" t="n">
        <x:f>IF('Control Room'!$B$5="Normal",'Control Room'!$B$7,('Control Room'!$B$8+'Control Room'!$D$8)/2)+'Control Room'!$B$9*(AI318-IF('Control Room'!$B$5="Normal",'Control Room'!$B$7,('Control Room'!$B$8+'Control Room'!$D$8)/2))+SQRT(1-'Control Room'!$B$9^2)*(AH319-IF('Control Room'!$B$5="Normal",'Control Room'!$B$7,('Control Room'!$B$8+'Control Room'!$D$8)/2))</x:f>
        <x:v>1135.0572892487585</x:v>
      </x:c>
      <x:c r="AJ319" s="17" t="n">
        <x:f>IF(AND($A319&gt;='Control Room'!$A$13,$A319&lt;'Control Room'!$A$13+'Control Room'!$B$13,'Process'!BQ2=1),1+('Control Room'!$C$13-1)*EXP(-0.5*(($A319-'Control Room'!$A$13-('Control Room'!$B$13-1)/2)/MAX(0.5,'Control Room'!$B$13/4))^2),1)*IF(AND($A319&gt;='Control Room'!$A$14,$A319&lt;'Control Room'!$A$14+'Control Room'!$B$14,'Process'!BQ3=1),1+('Control Room'!$C$14-1)*EXP(-0.5*(($A319-'Control Room'!$A$14-('Control Room'!$B$14-1)/2)/MAX(0.5,'Control Room'!$B$14/4))^2),1)*IF(AND($A319&gt;='Control Room'!$A$15,$A319&lt;'Control Room'!$A$15+'Control Room'!$B$15,'Process'!BQ4=1),1+('Control Room'!$C$15-1)*EXP(-0.5*(($A319-'Control Room'!$A$15-('Control Room'!$B$15-1)/2)/MAX(0.5,'Control Room'!$B$15/4))^2),1)*IF(AND($A319&gt;='Control Room'!$A$16,$A319&lt;'Control Room'!$A$16+'Control Room'!$B$16,'Process'!BQ5=1),1+('Control Room'!$C$16-1)*EXP(-0.5*(($A319-'Control Room'!$A$16-('Control Room'!$B$16-1)/2)/MAX(0.5,'Control Room'!$B$16/4))^2),1)</x:f>
        <x:v>1</x:v>
      </x:c>
      <x:c r="AK319" s="9" t="n">
        <x:f>MOD(AL318*16807,2147483647)</x:f>
        <x:v>1566429825</x:v>
      </x:c>
      <x:c r="AL319" s="9" t="n">
        <x:f>MOD(AK319*16807,2147483647)</x:f>
        <x:v>984040202</x:v>
      </x:c>
      <x:c r="AM319" s="17" t="n">
        <x:f>IF('Control Room'!$B$5="Normal",'Control Room'!$B$7+'Control Room'!$D$7*SQRT(-2*LN(MAX(0.000000000001,AK319/2147483647)))*COS(2*PI()*AL319/2147483647),'Control Room'!$B$8+('Control Room'!$D$8-'Control Room'!$B$8)*AK319/2147483647)</x:f>
        <x:v>930.9564154168256</x:v>
      </x:c>
      <x:c r="AN319" s="17" t="n">
        <x:f>IF('Control Room'!$B$5="Normal",'Control Room'!$B$7,('Control Room'!$B$8+'Control Room'!$D$8)/2)+'Control Room'!$B$9*(AN318-IF('Control Room'!$B$5="Normal",'Control Room'!$B$7,('Control Room'!$B$8+'Control Room'!$D$8)/2))+SQRT(1-'Control Room'!$B$9^2)*(AM319-IF('Control Room'!$B$5="Normal",'Control Room'!$B$7,('Control Room'!$B$8+'Control Room'!$D$8)/2))</x:f>
        <x:v>869.5704049468945</x:v>
      </x:c>
      <x:c r="AO319" s="17" t="n">
        <x:f>IF(AND($A319&gt;='Control Room'!$A$13,$A319&lt;'Control Room'!$A$13+'Control Room'!$B$13,'Process'!BR2=1),1+('Control Room'!$C$13-1)*EXP(-0.5*(($A319-'Control Room'!$A$13-('Control Room'!$B$13-1)/2)/MAX(0.5,'Control Room'!$B$13/4))^2),1)*IF(AND($A319&gt;='Control Room'!$A$14,$A319&lt;'Control Room'!$A$14+'Control Room'!$B$14,'Process'!BR3=1),1+('Control Room'!$C$14-1)*EXP(-0.5*(($A319-'Control Room'!$A$14-('Control Room'!$B$14-1)/2)/MAX(0.5,'Control Room'!$B$14/4))^2),1)*IF(AND($A319&gt;='Control Room'!$A$15,$A319&lt;'Control Room'!$A$15+'Control Room'!$B$15,'Process'!BR4=1),1+('Control Room'!$C$15-1)*EXP(-0.5*(($A319-'Control Room'!$A$15-('Control Room'!$B$15-1)/2)/MAX(0.5,'Control Room'!$B$15/4))^2),1)*IF(AND($A319&gt;='Control Room'!$A$16,$A319&lt;'Control Room'!$A$16+'Control Room'!$B$16,'Process'!BR5=1),1+('Control Room'!$C$16-1)*EXP(-0.5*(($A319-'Control Room'!$A$16-('Control Room'!$B$16-1)/2)/MAX(0.5,'Control Room'!$B$16/4))^2),1)</x:f>
        <x:v>1</x:v>
      </x:c>
      <x:c r="AP319" s="9" t="n">
        <x:f>MOD(AQ318*16807,2147483647)</x:f>
        <x:v>562960817</x:v>
      </x:c>
      <x:c r="AQ319" s="9" t="n">
        <x:f>MOD(AP319*16807,2147483647)</x:f>
        <x:v>2016986284</x:v>
      </x:c>
      <x:c r="AR319" s="17" t="n">
        <x:f>IF('Control Room'!$B$5="Normal",'Control Room'!$B$7+'Control Room'!$D$7*SQRT(-2*LN(MAX(0.000000000001,AP319/2147483647)))*COS(2*PI()*AQ319/2147483647),'Control Room'!$B$8+('Control Room'!$D$8-'Control Room'!$B$8)*AP319/2147483647)</x:f>
        <x:v>1136.667612255976</x:v>
      </x:c>
      <x:c r="AS319" s="17" t="n">
        <x:f>IF('Control Room'!$B$5="Normal",'Control Room'!$B$7,('Control Room'!$B$8+'Control Room'!$D$8)/2)+'Control Room'!$B$9*(AS318-IF('Control Room'!$B$5="Normal",'Control Room'!$B$7,('Control Room'!$B$8+'Control Room'!$D$8)/2))+SQRT(1-'Control Room'!$B$9^2)*(AR319-IF('Control Room'!$B$5="Normal",'Control Room'!$B$7,('Control Room'!$B$8+'Control Room'!$D$8)/2))</x:f>
        <x:v>1122.137179321524</x:v>
      </x:c>
      <x:c r="AT319" s="17" t="n">
        <x:f>IF(AND($A319&gt;='Control Room'!$A$13,$A319&lt;'Control Room'!$A$13+'Control Room'!$B$13,'Process'!BS2=1),1+('Control Room'!$C$13-1)*EXP(-0.5*(($A319-'Control Room'!$A$13-('Control Room'!$B$13-1)/2)/MAX(0.5,'Control Room'!$B$13/4))^2),1)*IF(AND($A319&gt;='Control Room'!$A$14,$A319&lt;'Control Room'!$A$14+'Control Room'!$B$14,'Process'!BS3=1),1+('Control Room'!$C$14-1)*EXP(-0.5*(($A319-'Control Room'!$A$14-('Control Room'!$B$14-1)/2)/MAX(0.5,'Control Room'!$B$14/4))^2),1)*IF(AND($A319&gt;='Control Room'!$A$15,$A319&lt;'Control Room'!$A$15+'Control Room'!$B$15,'Process'!BS4=1),1+('Control Room'!$C$15-1)*EXP(-0.5*(($A319-'Control Room'!$A$15-('Control Room'!$B$15-1)/2)/MAX(0.5,'Control Room'!$B$15/4))^2),1)*IF(AND($A319&gt;='Control Room'!$A$16,$A319&lt;'Control Room'!$A$16+'Control Room'!$B$16,'Process'!BS5=1),1+('Control Room'!$C$16-1)*EXP(-0.5*(($A319-'Control Room'!$A$16-('Control Room'!$B$16-1)/2)/MAX(0.5,'Control Room'!$B$16/4))^2),1)</x:f>
        <x:v>1</x:v>
      </x:c>
      <x:c r="AU319" s="9" t="n">
        <x:f>MOD(AV318*16807,2147483647)</x:f>
        <x:v>1706975456</x:v>
      </x:c>
      <x:c r="AV319" s="9" t="n">
        <x:f>MOD(AU319*16807,2147483647)</x:f>
        <x:v>902448719</x:v>
      </x:c>
      <x:c r="AW319" s="17" t="n">
        <x:f>IF('Control Room'!$B$5="Normal",'Control Room'!$B$7+'Control Room'!$D$7*SQRT(-2*LN(MAX(0.000000000001,AU319/2147483647)))*COS(2*PI()*AV319/2147483647),'Control Room'!$B$8+('Control Room'!$D$8-'Control Room'!$B$8)*AU319/2147483647)</x:f>
        <x:v>946.5155843031138</x:v>
      </x:c>
      <x:c r="AX319" s="17" t="n">
        <x:f>IF('Control Room'!$B$5="Normal",'Control Room'!$B$7,('Control Room'!$B$8+'Control Room'!$D$8)/2)+'Control Room'!$B$9*(AX318-IF('Control Room'!$B$5="Normal",'Control Room'!$B$7,('Control Room'!$B$8+'Control Room'!$D$8)/2))+SQRT(1-'Control Room'!$B$9^2)*(AW319-IF('Control Room'!$B$5="Normal",'Control Room'!$B$7,('Control Room'!$B$8+'Control Room'!$D$8)/2))</x:f>
        <x:v>915.2980480405106</x:v>
      </x:c>
      <x:c r="AY319" s="17" t="n">
        <x:f>IF(AND($A319&gt;='Control Room'!$A$13,$A319&lt;'Control Room'!$A$13+'Control Room'!$B$13,'Process'!BT2=1),1+('Control Room'!$C$13-1)*EXP(-0.5*(($A319-'Control Room'!$A$13-('Control Room'!$B$13-1)/2)/MAX(0.5,'Control Room'!$B$13/4))^2),1)*IF(AND($A319&gt;='Control Room'!$A$14,$A319&lt;'Control Room'!$A$14+'Control Room'!$B$14,'Process'!BT3=1),1+('Control Room'!$C$14-1)*EXP(-0.5*(($A319-'Control Room'!$A$14-('Control Room'!$B$14-1)/2)/MAX(0.5,'Control Room'!$B$14/4))^2),1)*IF(AND($A319&gt;='Control Room'!$A$15,$A319&lt;'Control Room'!$A$15+'Control Room'!$B$15,'Process'!BT4=1),1+('Control Room'!$C$15-1)*EXP(-0.5*(($A319-'Control Room'!$A$15-('Control Room'!$B$15-1)/2)/MAX(0.5,'Control Room'!$B$15/4))^2),1)*IF(AND($A319&gt;='Control Room'!$A$16,$A319&lt;'Control Room'!$A$16+'Control Room'!$B$16,'Process'!BT5=1),1+('Control Room'!$C$16-1)*EXP(-0.5*(($A319-'Control Room'!$A$16-('Control Room'!$B$16-1)/2)/MAX(0.5,'Control Room'!$B$16/4))^2),1)</x:f>
        <x:v>1</x:v>
      </x:c>
      <x:c r="AZ319" s="9" t="n">
        <x:f>MOD(BA318*16807,2147483647)</x:f>
        <x:v>703506448</x:v>
      </x:c>
      <x:c r="BA319" s="9" t="n">
        <x:f>MOD(AZ319*16807,2147483647)</x:f>
        <x:v>1935394801</x:v>
      </x:c>
      <x:c r="BB319" s="17" t="n">
        <x:f>IF('Control Room'!$B$5="Normal",'Control Room'!$B$7+'Control Room'!$D$7*SQRT(-2*LN(MAX(0.000000000001,AZ319/2147483647)))*COS(2*PI()*BA319/2147483647),'Control Room'!$B$8+('Control Room'!$D$8-'Control Room'!$B$8)*AZ319/2147483647)</x:f>
        <x:v>1109.3900034546716</x:v>
      </x:c>
      <x:c r="BC319" s="17" t="n">
        <x:f>IF('Control Room'!$B$5="Normal",'Control Room'!$B$7,('Control Room'!$B$8+'Control Room'!$D$8)/2)+'Control Room'!$B$9*(BC318-IF('Control Room'!$B$5="Normal",'Control Room'!$B$7,('Control Room'!$B$8+'Control Room'!$D$8)/2))+SQRT(1-'Control Room'!$B$9^2)*(BB319-IF('Control Room'!$B$5="Normal",'Control Room'!$B$7,('Control Room'!$B$8+'Control Room'!$D$8)/2))</x:f>
        <x:v>1132.4289200275502</x:v>
      </x:c>
      <x:c r="BD319" s="17" t="n">
        <x:f>IF(AND($A319&gt;='Control Room'!$A$13,$A319&lt;'Control Room'!$A$13+'Control Room'!$B$13,'Process'!BU2=1),1+('Control Room'!$C$13-1)*EXP(-0.5*(($A319-'Control Room'!$A$13-('Control Room'!$B$13-1)/2)/MAX(0.5,'Control Room'!$B$13/4))^2),1)*IF(AND($A319&gt;='Control Room'!$A$14,$A319&lt;'Control Room'!$A$14+'Control Room'!$B$14,'Process'!BU3=1),1+('Control Room'!$C$14-1)*EXP(-0.5*(($A319-'Control Room'!$A$14-('Control Room'!$B$14-1)/2)/MAX(0.5,'Control Room'!$B$14/4))^2),1)*IF(AND($A319&gt;='Control Room'!$A$15,$A319&lt;'Control Room'!$A$15+'Control Room'!$B$15,'Process'!BU4=1),1+('Control Room'!$C$15-1)*EXP(-0.5*(($A319-'Control Room'!$A$15-('Control Room'!$B$15-1)/2)/MAX(0.5,'Control Room'!$B$15/4))^2),1)*IF(AND($A319&gt;='Control Room'!$A$16,$A319&lt;'Control Room'!$A$16+'Control Room'!$B$16,'Process'!BU5=1),1+('Control Room'!$C$16-1)*EXP(-0.5*(($A319-'Control Room'!$A$16-('Control Room'!$B$16-1)/2)/MAX(0.5,'Control Room'!$B$16/4))^2),1)</x:f>
        <x:v>1</x:v>
      </x:c>
      <x:c r="BE319" s="9" t="n">
        <x:f>MOD(BF318*16807,2147483647)</x:f>
        <x:v>1847521087</x:v>
      </x:c>
      <x:c r="BF319" s="9" t="n">
        <x:f>MOD(BE319*16807,2147483647)</x:f>
        <x:v>820857236</x:v>
      </x:c>
      <x:c r="BG319" s="17" t="n">
        <x:f>IF('Control Room'!$B$5="Normal",'Control Room'!$B$7+'Control Room'!$D$7*SQRT(-2*LN(MAX(0.000000000001,BE319/2147483647)))*COS(2*PI()*BF319/2147483647),'Control Room'!$B$8+('Control Room'!$D$8-'Control Room'!$B$8)*BE319/2147483647)</x:f>
        <x:v>963.5390014615859</x:v>
      </x:c>
      <x:c r="BH319" s="17" t="n">
        <x:f>IF('Control Room'!$B$5="Normal",'Control Room'!$B$7,('Control Room'!$B$8+'Control Room'!$D$8)/2)+'Control Room'!$B$9*(BH318-IF('Control Room'!$B$5="Normal",'Control Room'!$B$7,('Control Room'!$B$8+'Control Room'!$D$8)/2))+SQRT(1-'Control Room'!$B$9^2)*(BG319-IF('Control Room'!$B$5="Normal",'Control Room'!$B$7,('Control Room'!$B$8+'Control Room'!$D$8)/2))</x:f>
        <x:v>907.1386167283205</x:v>
      </x:c>
      <x:c r="BI319" s="17" t="n">
        <x:f>IF(AND($A319&gt;='Control Room'!$A$13,$A319&lt;'Control Room'!$A$13+'Control Room'!$B$13,'Process'!BV2=1),1+('Control Room'!$C$13-1)*EXP(-0.5*(($A319-'Control Room'!$A$13-('Control Room'!$B$13-1)/2)/MAX(0.5,'Control Room'!$B$13/4))^2),1)*IF(AND($A319&gt;='Control Room'!$A$14,$A319&lt;'Control Room'!$A$14+'Control Room'!$B$14,'Process'!BV3=1),1+('Control Room'!$C$14-1)*EXP(-0.5*(($A319-'Control Room'!$A$14-('Control Room'!$B$14-1)/2)/MAX(0.5,'Control Room'!$B$14/4))^2),1)*IF(AND($A319&gt;='Control Room'!$A$15,$A319&lt;'Control Room'!$A$15+'Control Room'!$B$15,'Process'!BV4=1),1+('Control Room'!$C$15-1)*EXP(-0.5*(($A319-'Control Room'!$A$15-('Control Room'!$B$15-1)/2)/MAX(0.5,'Control Room'!$B$15/4))^2),1)*IF(AND($A319&gt;='Control Room'!$A$16,$A319&lt;'Control Room'!$A$16+'Control Room'!$B$16,'Process'!BV5=1),1+('Control Room'!$C$16-1)*EXP(-0.5*(($A319-'Control Room'!$A$16-('Control Room'!$B$16-1)/2)/MAX(0.5,'Control Room'!$B$16/4))^2),1)</x:f>
        <x:v>1</x:v>
      </x:c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Z319" t="str">
        <x:f>IF('Data'!A319="","",TEXT('Data'!A319,"mm-dd"))</x:f>
      </x:c>
    </x:row>
    <x:row r="320" ht="21" customHeight="1">
      <x:c r="A320" s="15" t="n">
        <x:f>'Control Room'!$B$1+318</x:f>
        <x:v>73309</x:v>
      </x:c>
      <x:c r="B320" s="9" t="n">
        <x:f>MOD(C319*16807,2147483647)</x:f>
        <x:v>2018091979</x:v>
      </x:c>
      <x:c r="C320" s="9" t="n">
        <x:f>MOD(B320*16807,2147483647)</x:f>
        <x:v>715170335</x:v>
      </x:c>
      <x:c r="D320" s="17" t="n">
        <x:f>IF('Control Room'!$B$5="Normal",'Control Room'!$B$7+'Control Room'!$D$7*SQRT(-2*LN(MAX(0.000000000001,B320/2147483647)))*COS(2*PI()*C320/2147483647),'Control Room'!$B$8+('Control Room'!$D$8-'Control Room'!$B$8)*B320/2147483647)</x:f>
        <x:v>984.1883343912019</x:v>
      </x:c>
      <x:c r="E320" s="17" t="n">
        <x:f>IF('Control Room'!$B$5="Normal",'Control Room'!$B$7,('Control Room'!$B$8+'Control Room'!$D$8)/2)+'Control Room'!$B$9*(E319-IF('Control Room'!$B$5="Normal",'Control Room'!$B$7,('Control Room'!$B$8+'Control Room'!$D$8)/2))+SQRT(1-'Control Room'!$B$9^2)*(D320-IF('Control Room'!$B$5="Normal",'Control Room'!$B$7,('Control Room'!$B$8+'Control Room'!$D$8)/2))</x:f>
        <x:v>1038.5412902197138</x:v>
      </x:c>
      <x:c r="F320" s="17" t="n">
        <x:f>IF(AND($A320&gt;='Control Room'!$A$13,$A320&lt;'Control Room'!$A$13+'Control Room'!$B$13,'Process'!BK2=1),1+('Control Room'!$C$13-1)*EXP(-0.5*(($A320-'Control Room'!$A$13-('Control Room'!$B$13-1)/2)/MAX(0.5,'Control Room'!$B$13/4))^2),1)*IF(AND($A320&gt;='Control Room'!$A$14,$A320&lt;'Control Room'!$A$14+'Control Room'!$B$14,'Process'!BK3=1),1+('Control Room'!$C$14-1)*EXP(-0.5*(($A320-'Control Room'!$A$14-('Control Room'!$B$14-1)/2)/MAX(0.5,'Control Room'!$B$14/4))^2),1)*IF(AND($A320&gt;='Control Room'!$A$15,$A320&lt;'Control Room'!$A$15+'Control Room'!$B$15,'Process'!BK4=1),1+('Control Room'!$C$15-1)*EXP(-0.5*(($A320-'Control Room'!$A$15-('Control Room'!$B$15-1)/2)/MAX(0.5,'Control Room'!$B$15/4))^2),1)*IF(AND($A320&gt;='Control Room'!$A$16,$A320&lt;'Control Room'!$A$16+'Control Room'!$B$16,'Process'!BK5=1),1+('Control Room'!$C$16-1)*EXP(-0.5*(($A320-'Control Room'!$A$16-('Control Room'!$B$16-1)/2)/MAX(0.5,'Control Room'!$B$16/4))^2),1)</x:f>
        <x:v>1</x:v>
      </x:c>
      <x:c r="G320" s="9" t="n">
        <x:f>MOD(H319*16807,2147483647)</x:f>
        <x:v>337606158</x:v>
      </x:c>
      <x:c r="H320" s="9" t="n">
        <x:f>MOD(G320*16807,2147483647)</x:f>
        <x:v>494902132</x:v>
      </x:c>
      <x:c r="I320" s="17" t="n">
        <x:f>IF('Control Room'!$B$5="Normal",'Control Room'!$B$7+'Control Room'!$D$7*SQRT(-2*LN(MAX(0.000000000001,G320/2147483647)))*COS(2*PI()*H320/2147483647),'Control Room'!$B$8+('Control Room'!$D$8-'Control Room'!$B$8)*G320/2147483647)</x:f>
        <x:v>1021.2054725632476</x:v>
      </x:c>
      <x:c r="J320" s="17" t="n">
        <x:f>IF('Control Room'!$B$5="Normal",'Control Room'!$B$7,('Control Room'!$B$8+'Control Room'!$D$8)/2)+'Control Room'!$B$9*(J319-IF('Control Room'!$B$5="Normal",'Control Room'!$B$7,('Control Room'!$B$8+'Control Room'!$D$8)/2))+SQRT(1-'Control Room'!$B$9^2)*(I320-IF('Control Room'!$B$5="Normal",'Control Room'!$B$7,('Control Room'!$B$8+'Control Room'!$D$8)/2))</x:f>
        <x:v>946.6725627005627</x:v>
      </x:c>
      <x:c r="K320" s="17" t="n">
        <x:f>IF(AND($A320&gt;='Control Room'!$A$13,$A320&lt;'Control Room'!$A$13+'Control Room'!$B$13,'Process'!BL2=1),1+('Control Room'!$C$13-1)*EXP(-0.5*(($A320-'Control Room'!$A$13-('Control Room'!$B$13-1)/2)/MAX(0.5,'Control Room'!$B$13/4))^2),1)*IF(AND($A320&gt;='Control Room'!$A$14,$A320&lt;'Control Room'!$A$14+'Control Room'!$B$14,'Process'!BL3=1),1+('Control Room'!$C$14-1)*EXP(-0.5*(($A320-'Control Room'!$A$14-('Control Room'!$B$14-1)/2)/MAX(0.5,'Control Room'!$B$14/4))^2),1)*IF(AND($A320&gt;='Control Room'!$A$15,$A320&lt;'Control Room'!$A$15+'Control Room'!$B$15,'Process'!BL4=1),1+('Control Room'!$C$15-1)*EXP(-0.5*(($A320-'Control Room'!$A$15-('Control Room'!$B$15-1)/2)/MAX(0.5,'Control Room'!$B$15/4))^2),1)*IF(AND($A320&gt;='Control Room'!$A$16,$A320&lt;'Control Room'!$A$16+'Control Room'!$B$16,'Process'!BL5=1),1+('Control Room'!$C$16-1)*EXP(-0.5*(($A320-'Control Room'!$A$16-('Control Room'!$B$16-1)/2)/MAX(0.5,'Control Room'!$B$16/4))^2),1)</x:f>
        <x:v>1</x:v>
      </x:c>
      <x:c r="L320" s="9" t="n">
        <x:f>MOD(M319*16807,2147483647)</x:f>
        <x:v>804603984</x:v>
      </x:c>
      <x:c r="M320" s="9" t="n">
        <x:f>MOD(L320*16807,2147483647)</x:f>
        <x:v>274633929</x:v>
      </x:c>
      <x:c r="N320" s="17" t="n">
        <x:f>IF('Control Room'!$B$5="Normal",'Control Room'!$B$7+'Control Room'!$D$7*SQRT(-2*LN(MAX(0.000000000001,L320/2147483647)))*COS(2*PI()*M320/2147483647),'Control Room'!$B$8+('Control Room'!$D$8-'Control Room'!$B$8)*L320/2147483647)</x:f>
        <x:v>1087.5409927371552</x:v>
      </x:c>
      <x:c r="O320" s="17" t="n">
        <x:f>IF('Control Room'!$B$5="Normal",'Control Room'!$B$7,('Control Room'!$B$8+'Control Room'!$D$8)/2)+'Control Room'!$B$9*(O319-IF('Control Room'!$B$5="Normal",'Control Room'!$B$7,('Control Room'!$B$8+'Control Room'!$D$8)/2))+SQRT(1-'Control Room'!$B$9^2)*(N320-IF('Control Room'!$B$5="Normal",'Control Room'!$B$7,('Control Room'!$B$8+'Control Room'!$D$8)/2))</x:f>
        <x:v>1200.5935262730484</x:v>
      </x:c>
      <x:c r="P320" s="17" t="n">
        <x:f>IF(AND($A320&gt;='Control Room'!$A$13,$A320&lt;'Control Room'!$A$13+'Control Room'!$B$13,'Process'!BM2=1),1+('Control Room'!$C$13-1)*EXP(-0.5*(($A320-'Control Room'!$A$13-('Control Room'!$B$13-1)/2)/MAX(0.5,'Control Room'!$B$13/4))^2),1)*IF(AND($A320&gt;='Control Room'!$A$14,$A320&lt;'Control Room'!$A$14+'Control Room'!$B$14,'Process'!BM3=1),1+('Control Room'!$C$14-1)*EXP(-0.5*(($A320-'Control Room'!$A$14-('Control Room'!$B$14-1)/2)/MAX(0.5,'Control Room'!$B$14/4))^2),1)*IF(AND($A320&gt;='Control Room'!$A$15,$A320&lt;'Control Room'!$A$15+'Control Room'!$B$15,'Process'!BM4=1),1+('Control Room'!$C$15-1)*EXP(-0.5*(($A320-'Control Room'!$A$15-('Control Room'!$B$15-1)/2)/MAX(0.5,'Control Room'!$B$15/4))^2),1)*IF(AND($A320&gt;='Control Room'!$A$16,$A320&lt;'Control Room'!$A$16+'Control Room'!$B$16,'Process'!BM5=1),1+('Control Room'!$C$16-1)*EXP(-0.5*(($A320-'Control Room'!$A$16-('Control Room'!$B$16-1)/2)/MAX(0.5,'Control Room'!$B$16/4))^2),1)</x:f>
        <x:v>1</x:v>
      </x:c>
      <x:c r="Q320" s="9" t="n">
        <x:f>MOD(R319*16807,2147483647)</x:f>
        <x:v>1271601810</x:v>
      </x:c>
      <x:c r="R320" s="9" t="n">
        <x:f>MOD(Q320*16807,2147483647)</x:f>
        <x:v>54365726</x:v>
      </x:c>
      <x:c r="S320" s="17" t="n">
        <x:f>IF('Control Room'!$B$5="Normal",'Control Room'!$B$7+'Control Room'!$D$7*SQRT(-2*LN(MAX(0.000000000001,Q320/2147483647)))*COS(2*PI()*R320/2147483647),'Control Room'!$B$8+('Control Room'!$D$8-'Control Room'!$B$8)*Q320/2147483647)</x:f>
        <x:v>1090.9732384731055</x:v>
      </x:c>
      <x:c r="T320" s="17" t="n">
        <x:f>IF('Control Room'!$B$5="Normal",'Control Room'!$B$7,('Control Room'!$B$8+'Control Room'!$D$8)/2)+'Control Room'!$B$9*(T319-IF('Control Room'!$B$5="Normal",'Control Room'!$B$7,('Control Room'!$B$8+'Control Room'!$D$8)/2))+SQRT(1-'Control Room'!$B$9^2)*(S320-IF('Control Room'!$B$5="Normal",'Control Room'!$B$7,('Control Room'!$B$8+'Control Room'!$D$8)/2))</x:f>
        <x:v>896.4290384689323</x:v>
      </x:c>
      <x:c r="U320" s="17" t="n">
        <x:f>IF(AND($A320&gt;='Control Room'!$A$13,$A320&lt;'Control Room'!$A$13+'Control Room'!$B$13,'Process'!BN2=1),1+('Control Room'!$C$13-1)*EXP(-0.5*(($A320-'Control Room'!$A$13-('Control Room'!$B$13-1)/2)/MAX(0.5,'Control Room'!$B$13/4))^2),1)*IF(AND($A320&gt;='Control Room'!$A$14,$A320&lt;'Control Room'!$A$14+'Control Room'!$B$14,'Process'!BN3=1),1+('Control Room'!$C$14-1)*EXP(-0.5*(($A320-'Control Room'!$A$14-('Control Room'!$B$14-1)/2)/MAX(0.5,'Control Room'!$B$14/4))^2),1)*IF(AND($A320&gt;='Control Room'!$A$15,$A320&lt;'Control Room'!$A$15+'Control Room'!$B$15,'Process'!BN4=1),1+('Control Room'!$C$15-1)*EXP(-0.5*(($A320-'Control Room'!$A$15-('Control Room'!$B$15-1)/2)/MAX(0.5,'Control Room'!$B$15/4))^2),1)*IF(AND($A320&gt;='Control Room'!$A$16,$A320&lt;'Control Room'!$A$16+'Control Room'!$B$16,'Process'!BN5=1),1+('Control Room'!$C$16-1)*EXP(-0.5*(($A320-'Control Room'!$A$16-('Control Room'!$B$16-1)/2)/MAX(0.5,'Control Room'!$B$16/4))^2),1)</x:f>
        <x:v>1</x:v>
      </x:c>
      <x:c r="V320" s="9" t="n">
        <x:f>MOD(W319*16807,2147483647)</x:f>
        <x:v>1738599636</x:v>
      </x:c>
      <x:c r="W320" s="9" t="n">
        <x:f>MOD(V320*16807,2147483647)</x:f>
        <x:v>1981581170</x:v>
      </x:c>
      <x:c r="X320" s="17" t="n">
        <x:f>IF('Control Room'!$B$5="Normal",'Control Room'!$B$7+'Control Room'!$D$7*SQRT(-2*LN(MAX(0.000000000001,V320/2147483647)))*COS(2*PI()*W320/2147483647),'Control Room'!$B$8+('Control Room'!$D$8-'Control Room'!$B$8)*V320/2147483647)</x:f>
        <x:v>1051.7384076850983</x:v>
      </x:c>
      <x:c r="Y320" s="17" t="n">
        <x:f>IF('Control Room'!$B$5="Normal",'Control Room'!$B$7,('Control Room'!$B$8+'Control Room'!$D$8)/2)+'Control Room'!$B$9*(Y319-IF('Control Room'!$B$5="Normal",'Control Room'!$B$7,('Control Room'!$B$8+'Control Room'!$D$8)/2))+SQRT(1-'Control Room'!$B$9^2)*(X320-IF('Control Room'!$B$5="Normal",'Control Room'!$B$7,('Control Room'!$B$8+'Control Room'!$D$8)/2))</x:f>
        <x:v>1223.9178344088325</x:v>
      </x:c>
      <x:c r="Z320" s="17" t="n">
        <x:f>IF(AND($A320&gt;='Control Room'!$A$13,$A320&lt;'Control Room'!$A$13+'Control Room'!$B$13,'Process'!BO2=1),1+('Control Room'!$C$13-1)*EXP(-0.5*(($A320-'Control Room'!$A$13-('Control Room'!$B$13-1)/2)/MAX(0.5,'Control Room'!$B$13/4))^2),1)*IF(AND($A320&gt;='Control Room'!$A$14,$A320&lt;'Control Room'!$A$14+'Control Room'!$B$14,'Process'!BO3=1),1+('Control Room'!$C$14-1)*EXP(-0.5*(($A320-'Control Room'!$A$14-('Control Room'!$B$14-1)/2)/MAX(0.5,'Control Room'!$B$14/4))^2),1)*IF(AND($A320&gt;='Control Room'!$A$15,$A320&lt;'Control Room'!$A$15+'Control Room'!$B$15,'Process'!BO4=1),1+('Control Room'!$C$15-1)*EXP(-0.5*(($A320-'Control Room'!$A$15-('Control Room'!$B$15-1)/2)/MAX(0.5,'Control Room'!$B$15/4))^2),1)*IF(AND($A320&gt;='Control Room'!$A$16,$A320&lt;'Control Room'!$A$16+'Control Room'!$B$16,'Process'!BO5=1),1+('Control Room'!$C$16-1)*EXP(-0.5*(($A320-'Control Room'!$A$16-('Control Room'!$B$16-1)/2)/MAX(0.5,'Control Room'!$B$16/4))^2),1)</x:f>
        <x:v>1</x:v>
      </x:c>
      <x:c r="AA320" s="9" t="n">
        <x:f>MOD(AB319*16807,2147483647)</x:f>
        <x:v>58113815</x:v>
      </x:c>
      <x:c r="AB320" s="9" t="n">
        <x:f>MOD(AA320*16807,2147483647)</x:f>
        <x:v>1761312967</x:v>
      </x:c>
      <x:c r="AC320" s="17" t="n">
        <x:f>IF('Control Room'!$B$5="Normal",'Control Room'!$B$7+'Control Room'!$D$7*SQRT(-2*LN(MAX(0.000000000001,AA320/2147483647)))*COS(2*PI()*AB320/2147483647),'Control Room'!$B$8+('Control Room'!$D$8-'Control Room'!$B$8)*AA320/2147483647)</x:f>
        <x:v>1103.2023040488698</x:v>
      </x:c>
      <x:c r="AD320" s="17" t="n">
        <x:f>IF('Control Room'!$B$5="Normal",'Control Room'!$B$7,('Control Room'!$B$8+'Control Room'!$D$8)/2)+'Control Room'!$B$9*(AD319-IF('Control Room'!$B$5="Normal",'Control Room'!$B$7,('Control Room'!$B$8+'Control Room'!$D$8)/2))+SQRT(1-'Control Room'!$B$9^2)*(AC320-IF('Control Room'!$B$5="Normal",'Control Room'!$B$7,('Control Room'!$B$8+'Control Room'!$D$8)/2))</x:f>
        <x:v>1018.6656418056725</x:v>
      </x:c>
      <x:c r="AE320" s="17" t="n">
        <x:f>IF(AND($A320&gt;='Control Room'!$A$13,$A320&lt;'Control Room'!$A$13+'Control Room'!$B$13,'Process'!BP2=1),1+('Control Room'!$C$13-1)*EXP(-0.5*(($A320-'Control Room'!$A$13-('Control Room'!$B$13-1)/2)/MAX(0.5,'Control Room'!$B$13/4))^2),1)*IF(AND($A320&gt;='Control Room'!$A$14,$A320&lt;'Control Room'!$A$14+'Control Room'!$B$14,'Process'!BP3=1),1+('Control Room'!$C$14-1)*EXP(-0.5*(($A320-'Control Room'!$A$14-('Control Room'!$B$14-1)/2)/MAX(0.5,'Control Room'!$B$14/4))^2),1)*IF(AND($A320&gt;='Control Room'!$A$15,$A320&lt;'Control Room'!$A$15+'Control Room'!$B$15,'Process'!BP4=1),1+('Control Room'!$C$15-1)*EXP(-0.5*(($A320-'Control Room'!$A$15-('Control Room'!$B$15-1)/2)/MAX(0.5,'Control Room'!$B$15/4))^2),1)*IF(AND($A320&gt;='Control Room'!$A$16,$A320&lt;'Control Room'!$A$16+'Control Room'!$B$16,'Process'!BP5=1),1+('Control Room'!$C$16-1)*EXP(-0.5*(($A320-'Control Room'!$A$16-('Control Room'!$B$16-1)/2)/MAX(0.5,'Control Room'!$B$16/4))^2),1)</x:f>
        <x:v>1</x:v>
      </x:c>
      <x:c r="AF320" s="9" t="n">
        <x:f>MOD(AG319*16807,2147483647)</x:f>
        <x:v>525111641</x:v>
      </x:c>
      <x:c r="AG320" s="9" t="n">
        <x:f>MOD(AF320*16807,2147483647)</x:f>
        <x:v>1541044764</x:v>
      </x:c>
      <x:c r="AH320" s="17" t="n">
        <x:f>IF('Control Room'!$B$5="Normal",'Control Room'!$B$7+'Control Room'!$D$7*SQRT(-2*LN(MAX(0.000000000001,AF320/2147483647)))*COS(2*PI()*AG320/2147483647),'Control Room'!$B$8+('Control Room'!$D$8-'Control Room'!$B$8)*AF320/2147483647)</x:f>
        <x:v>969.466033854744</x:v>
      </x:c>
      <x:c r="AI320" s="17" t="n">
        <x:f>IF('Control Room'!$B$5="Normal",'Control Room'!$B$7,('Control Room'!$B$8+'Control Room'!$D$8)/2)+'Control Room'!$B$9*(AI319-IF('Control Room'!$B$5="Normal",'Control Room'!$B$7,('Control Room'!$B$8+'Control Room'!$D$8)/2))+SQRT(1-'Control Room'!$B$9^2)*(AH320-IF('Control Room'!$B$5="Normal",'Control Room'!$B$7,('Control Room'!$B$8+'Control Room'!$D$8)/2))</x:f>
        <x:v>1086.2371551226272</x:v>
      </x:c>
      <x:c r="AJ320" s="17" t="n">
        <x:f>IF(AND($A320&gt;='Control Room'!$A$13,$A320&lt;'Control Room'!$A$13+'Control Room'!$B$13,'Process'!BQ2=1),1+('Control Room'!$C$13-1)*EXP(-0.5*(($A320-'Control Room'!$A$13-('Control Room'!$B$13-1)/2)/MAX(0.5,'Control Room'!$B$13/4))^2),1)*IF(AND($A320&gt;='Control Room'!$A$14,$A320&lt;'Control Room'!$A$14+'Control Room'!$B$14,'Process'!BQ3=1),1+('Control Room'!$C$14-1)*EXP(-0.5*(($A320-'Control Room'!$A$14-('Control Room'!$B$14-1)/2)/MAX(0.5,'Control Room'!$B$14/4))^2),1)*IF(AND($A320&gt;='Control Room'!$A$15,$A320&lt;'Control Room'!$A$15+'Control Room'!$B$15,'Process'!BQ4=1),1+('Control Room'!$C$15-1)*EXP(-0.5*(($A320-'Control Room'!$A$15-('Control Room'!$B$15-1)/2)/MAX(0.5,'Control Room'!$B$15/4))^2),1)*IF(AND($A320&gt;='Control Room'!$A$16,$A320&lt;'Control Room'!$A$16+'Control Room'!$B$16,'Process'!BQ5=1),1+('Control Room'!$C$16-1)*EXP(-0.5*(($A320-'Control Room'!$A$16-('Control Room'!$B$16-1)/2)/MAX(0.5,'Control Room'!$B$16/4))^2),1)</x:f>
        <x:v>1</x:v>
      </x:c>
      <x:c r="AK320" s="9" t="n">
        <x:f>MOD(AL319*16807,2147483647)</x:f>
        <x:v>992109467</x:v>
      </x:c>
      <x:c r="AL320" s="9" t="n">
        <x:f>MOD(AK320*16807,2147483647)</x:f>
        <x:v>1320776561</x:v>
      </x:c>
      <x:c r="AM320" s="17" t="n">
        <x:f>IF('Control Room'!$B$5="Normal",'Control Room'!$B$7+'Control Room'!$D$7*SQRT(-2*LN(MAX(0.000000000001,AK320/2147483647)))*COS(2*PI()*AL320/2147483647),'Control Room'!$B$8+('Control Room'!$D$8-'Control Room'!$B$8)*AK320/2147483647)</x:f>
        <x:v>916.117733140396</x:v>
      </x:c>
      <x:c r="AN320" s="17" t="n">
        <x:f>IF('Control Room'!$B$5="Normal",'Control Room'!$B$7,('Control Room'!$B$8+'Control Room'!$D$8)/2)+'Control Room'!$B$9*(AN319-IF('Control Room'!$B$5="Normal",'Control Room'!$B$7,('Control Room'!$B$8+'Control Room'!$D$8)/2))+SQRT(1-'Control Room'!$B$9^2)*(AM320-IF('Control Room'!$B$5="Normal",'Control Room'!$B$7,('Control Room'!$B$8+'Control Room'!$D$8)/2))</x:f>
        <x:v>845.7731116794787</x:v>
      </x:c>
      <x:c r="AO320" s="17" t="n">
        <x:f>IF(AND($A320&gt;='Control Room'!$A$13,$A320&lt;'Control Room'!$A$13+'Control Room'!$B$13,'Process'!BR2=1),1+('Control Room'!$C$13-1)*EXP(-0.5*(($A320-'Control Room'!$A$13-('Control Room'!$B$13-1)/2)/MAX(0.5,'Control Room'!$B$13/4))^2),1)*IF(AND($A320&gt;='Control Room'!$A$14,$A320&lt;'Control Room'!$A$14+'Control Room'!$B$14,'Process'!BR3=1),1+('Control Room'!$C$14-1)*EXP(-0.5*(($A320-'Control Room'!$A$14-('Control Room'!$B$14-1)/2)/MAX(0.5,'Control Room'!$B$14/4))^2),1)*IF(AND($A320&gt;='Control Room'!$A$15,$A320&lt;'Control Room'!$A$15+'Control Room'!$B$15,'Process'!BR4=1),1+('Control Room'!$C$15-1)*EXP(-0.5*(($A320-'Control Room'!$A$15-('Control Room'!$B$15-1)/2)/MAX(0.5,'Control Room'!$B$15/4))^2),1)*IF(AND($A320&gt;='Control Room'!$A$16,$A320&lt;'Control Room'!$A$16+'Control Room'!$B$16,'Process'!BR5=1),1+('Control Room'!$C$16-1)*EXP(-0.5*(($A320-'Control Room'!$A$16-('Control Room'!$B$16-1)/2)/MAX(0.5,'Control Room'!$B$16/4))^2),1)</x:f>
        <x:v>1</x:v>
      </x:c>
      <x:c r="AP320" s="9" t="n">
        <x:f>MOD(AQ319*16807,2147483647)</x:f>
        <x:v>1459107293</x:v>
      </x:c>
      <x:c r="AQ320" s="9" t="n">
        <x:f>MOD(AP320*16807,2147483647)</x:f>
        <x:v>1100508358</x:v>
      </x:c>
      <x:c r="AR320" s="17" t="n">
        <x:f>IF('Control Room'!$B$5="Normal",'Control Room'!$B$7+'Control Room'!$D$7*SQRT(-2*LN(MAX(0.000000000001,AP320/2147483647)))*COS(2*PI()*AQ320/2147483647),'Control Room'!$B$8+('Control Room'!$D$8-'Control Room'!$B$8)*AP320/2147483647)</x:f>
        <x:v>921.1170149506615</x:v>
      </x:c>
      <x:c r="AS320" s="17" t="n">
        <x:f>IF('Control Room'!$B$5="Normal",'Control Room'!$B$7,('Control Room'!$B$8+'Control Room'!$D$8)/2)+'Control Room'!$B$9*(AS319-IF('Control Room'!$B$5="Normal",'Control Room'!$B$7,('Control Room'!$B$8+'Control Room'!$D$8)/2))+SQRT(1-'Control Room'!$B$9^2)*(AR320-IF('Control Room'!$B$5="Normal",'Control Room'!$B$7,('Control Room'!$B$8+'Control Room'!$D$8)/2))</x:f>
        <x:v>1045.9036438326991</x:v>
      </x:c>
      <x:c r="AT320" s="17" t="n">
        <x:f>IF(AND($A320&gt;='Control Room'!$A$13,$A320&lt;'Control Room'!$A$13+'Control Room'!$B$13,'Process'!BS2=1),1+('Control Room'!$C$13-1)*EXP(-0.5*(($A320-'Control Room'!$A$13-('Control Room'!$B$13-1)/2)/MAX(0.5,'Control Room'!$B$13/4))^2),1)*IF(AND($A320&gt;='Control Room'!$A$14,$A320&lt;'Control Room'!$A$14+'Control Room'!$B$14,'Process'!BS3=1),1+('Control Room'!$C$14-1)*EXP(-0.5*(($A320-'Control Room'!$A$14-('Control Room'!$B$14-1)/2)/MAX(0.5,'Control Room'!$B$14/4))^2),1)*IF(AND($A320&gt;='Control Room'!$A$15,$A320&lt;'Control Room'!$A$15+'Control Room'!$B$15,'Process'!BS4=1),1+('Control Room'!$C$15-1)*EXP(-0.5*(($A320-'Control Room'!$A$15-('Control Room'!$B$15-1)/2)/MAX(0.5,'Control Room'!$B$15/4))^2),1)*IF(AND($A320&gt;='Control Room'!$A$16,$A320&lt;'Control Room'!$A$16+'Control Room'!$B$16,'Process'!BS5=1),1+('Control Room'!$C$16-1)*EXP(-0.5*(($A320-'Control Room'!$A$16-('Control Room'!$B$16-1)/2)/MAX(0.5,'Control Room'!$B$16/4))^2),1)</x:f>
        <x:v>1</x:v>
      </x:c>
      <x:c r="AU320" s="9" t="n">
        <x:f>MOD(AV319*16807,2147483647)</x:f>
        <x:v>1926105119</x:v>
      </x:c>
      <x:c r="AV320" s="9" t="n">
        <x:f>MOD(AU320*16807,2147483647)</x:f>
        <x:v>880240155</x:v>
      </x:c>
      <x:c r="AW320" s="17" t="n">
        <x:f>IF('Control Room'!$B$5="Normal",'Control Room'!$B$7+'Control Room'!$D$7*SQRT(-2*LN(MAX(0.000000000001,AU320/2147483647)))*COS(2*PI()*AV320/2147483647),'Control Room'!$B$8+('Control Room'!$D$8-'Control Room'!$B$8)*AU320/2147483647)</x:f>
        <x:v>964.5682377763866</x:v>
      </x:c>
      <x:c r="AX320" s="17" t="n">
        <x:f>IF('Control Room'!$B$5="Normal",'Control Room'!$B$7,('Control Room'!$B$8+'Control Room'!$D$8)/2)+'Control Room'!$B$9*(AX319-IF('Control Room'!$B$5="Normal",'Control Room'!$B$7,('Control Room'!$B$8+'Control Room'!$D$8)/2))+SQRT(1-'Control Room'!$B$9^2)*(AW320-IF('Control Room'!$B$5="Normal",'Control Room'!$B$7,('Control Room'!$B$8+'Control Room'!$D$8)/2))</x:f>
        <x:v>911.7600065311641</x:v>
      </x:c>
      <x:c r="AY320" s="17" t="n">
        <x:f>IF(AND($A320&gt;='Control Room'!$A$13,$A320&lt;'Control Room'!$A$13+'Control Room'!$B$13,'Process'!BT2=1),1+('Control Room'!$C$13-1)*EXP(-0.5*(($A320-'Control Room'!$A$13-('Control Room'!$B$13-1)/2)/MAX(0.5,'Control Room'!$B$13/4))^2),1)*IF(AND($A320&gt;='Control Room'!$A$14,$A320&lt;'Control Room'!$A$14+'Control Room'!$B$14,'Process'!BT3=1),1+('Control Room'!$C$14-1)*EXP(-0.5*(($A320-'Control Room'!$A$14-('Control Room'!$B$14-1)/2)/MAX(0.5,'Control Room'!$B$14/4))^2),1)*IF(AND($A320&gt;='Control Room'!$A$15,$A320&lt;'Control Room'!$A$15+'Control Room'!$B$15,'Process'!BT4=1),1+('Control Room'!$C$15-1)*EXP(-0.5*(($A320-'Control Room'!$A$15-('Control Room'!$B$15-1)/2)/MAX(0.5,'Control Room'!$B$15/4))^2),1)*IF(AND($A320&gt;='Control Room'!$A$16,$A320&lt;'Control Room'!$A$16+'Control Room'!$B$16,'Process'!BT5=1),1+('Control Room'!$C$16-1)*EXP(-0.5*(($A320-'Control Room'!$A$16-('Control Room'!$B$16-1)/2)/MAX(0.5,'Control Room'!$B$16/4))^2),1)</x:f>
        <x:v>1</x:v>
      </x:c>
      <x:c r="AZ320" s="9" t="n">
        <x:f>MOD(BA319*16807,2147483647)</x:f>
        <x:v>245619298</x:v>
      </x:c>
      <x:c r="BA320" s="9" t="n">
        <x:f>MOD(AZ320*16807,2147483647)</x:f>
        <x:v>659971952</x:v>
      </x:c>
      <x:c r="BB320" s="17" t="n">
        <x:f>IF('Control Room'!$B$5="Normal",'Control Room'!$B$7+'Control Room'!$D$7*SQRT(-2*LN(MAX(0.000000000001,AZ320/2147483647)))*COS(2*PI()*BA320/2147483647),'Control Room'!$B$8+('Control Room'!$D$8-'Control Room'!$B$8)*AZ320/2147483647)</x:f>
        <x:v>933.9466123240525</x:v>
      </x:c>
      <x:c r="BC320" s="17" t="n">
        <x:f>IF('Control Room'!$B$5="Normal",'Control Room'!$B$7,('Control Room'!$B$8+'Control Room'!$D$8)/2)+'Control Room'!$B$9*(BC319-IF('Control Room'!$B$5="Normal",'Control Room'!$B$7,('Control Room'!$B$8+'Control Room'!$D$8)/2))+SQRT(1-'Control Room'!$B$9^2)*(BB320-IF('Control Room'!$B$5="Normal",'Control Room'!$B$7,('Control Room'!$B$8+'Control Room'!$D$8)/2))</x:f>
        <x:v>1061.9597007910795</x:v>
      </x:c>
      <x:c r="BD320" s="17" t="n">
        <x:f>IF(AND($A320&gt;='Control Room'!$A$13,$A320&lt;'Control Room'!$A$13+'Control Room'!$B$13,'Process'!BU2=1),1+('Control Room'!$C$13-1)*EXP(-0.5*(($A320-'Control Room'!$A$13-('Control Room'!$B$13-1)/2)/MAX(0.5,'Control Room'!$B$13/4))^2),1)*IF(AND($A320&gt;='Control Room'!$A$14,$A320&lt;'Control Room'!$A$14+'Control Room'!$B$14,'Process'!BU3=1),1+('Control Room'!$C$14-1)*EXP(-0.5*(($A320-'Control Room'!$A$14-('Control Room'!$B$14-1)/2)/MAX(0.5,'Control Room'!$B$14/4))^2),1)*IF(AND($A320&gt;='Control Room'!$A$15,$A320&lt;'Control Room'!$A$15+'Control Room'!$B$15,'Process'!BU4=1),1+('Control Room'!$C$15-1)*EXP(-0.5*(($A320-'Control Room'!$A$15-('Control Room'!$B$15-1)/2)/MAX(0.5,'Control Room'!$B$15/4))^2),1)*IF(AND($A320&gt;='Control Room'!$A$16,$A320&lt;'Control Room'!$A$16+'Control Room'!$B$16,'Process'!BU5=1),1+('Control Room'!$C$16-1)*EXP(-0.5*(($A320-'Control Room'!$A$16-('Control Room'!$B$16-1)/2)/MAX(0.5,'Control Room'!$B$16/4))^2),1)</x:f>
        <x:v>1</x:v>
      </x:c>
      <x:c r="BE320" s="9" t="n">
        <x:f>MOD(BF319*16807,2147483647)</x:f>
        <x:v>712617124</x:v>
      </x:c>
      <x:c r="BF320" s="9" t="n">
        <x:f>MOD(BE320*16807,2147483647)</x:f>
        <x:v>439703749</x:v>
      </x:c>
      <x:c r="BG320" s="17" t="n">
        <x:f>IF('Control Room'!$B$5="Normal",'Control Room'!$B$7+'Control Room'!$D$7*SQRT(-2*LN(MAX(0.000000000001,BE320/2147483647)))*COS(2*PI()*BF320/2147483647),'Control Room'!$B$8+('Control Room'!$D$8-'Control Room'!$B$8)*BE320/2147483647)</x:f>
        <x:v>1037.4947048699844</x:v>
      </x:c>
      <x:c r="BH320" s="17" t="n">
        <x:f>IF('Control Room'!$B$5="Normal",'Control Room'!$B$7,('Control Room'!$B$8+'Control Room'!$D$8)/2)+'Control Room'!$B$9*(BH319-IF('Control Room'!$B$5="Normal",'Control Room'!$B$7,('Control Room'!$B$8+'Control Room'!$D$8)/2))+SQRT(1-'Control Room'!$B$9^2)*(BG320-IF('Control Room'!$B$5="Normal",'Control Room'!$B$7,('Control Room'!$B$8+'Control Room'!$D$8)/2))</x:f>
        <x:v>951.0315392349459</x:v>
      </x:c>
      <x:c r="BI320" s="17" t="n">
        <x:f>IF(AND($A320&gt;='Control Room'!$A$13,$A320&lt;'Control Room'!$A$13+'Control Room'!$B$13,'Process'!BV2=1),1+('Control Room'!$C$13-1)*EXP(-0.5*(($A320-'Control Room'!$A$13-('Control Room'!$B$13-1)/2)/MAX(0.5,'Control Room'!$B$13/4))^2),1)*IF(AND($A320&gt;='Control Room'!$A$14,$A320&lt;'Control Room'!$A$14+'Control Room'!$B$14,'Process'!BV3=1),1+('Control Room'!$C$14-1)*EXP(-0.5*(($A320-'Control Room'!$A$14-('Control Room'!$B$14-1)/2)/MAX(0.5,'Control Room'!$B$14/4))^2),1)*IF(AND($A320&gt;='Control Room'!$A$15,$A320&lt;'Control Room'!$A$15+'Control Room'!$B$15,'Process'!BV4=1),1+('Control Room'!$C$15-1)*EXP(-0.5*(($A320-'Control Room'!$A$15-('Control Room'!$B$15-1)/2)/MAX(0.5,'Control Room'!$B$15/4))^2),1)*IF(AND($A320&gt;='Control Room'!$A$16,$A320&lt;'Control Room'!$A$16+'Control Room'!$B$16,'Process'!BV5=1),1+('Control Room'!$C$16-1)*EXP(-0.5*(($A320-'Control Room'!$A$16-('Control Room'!$B$16-1)/2)/MAX(0.5,'Control Room'!$B$16/4))^2),1)</x:f>
        <x:v>1</x:v>
      </x:c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Z320" t="str">
        <x:f>IF('Data'!A320="","",TEXT('Data'!A320,"mm-dd"))</x:f>
      </x:c>
    </x:row>
    <x:row r="321" ht="21" customHeight="1">
      <x:c r="A321" s="15" t="n">
        <x:f>'Control Room'!$B$1+319</x:f>
        <x:v>73310</x:v>
      </x:c>
      <x:c r="B321" s="9" t="n">
        <x:f>MOD(C320*16807,2147483647)</x:f>
        <x:v>401848086</x:v>
      </x:c>
      <x:c r="C321" s="9" t="n">
        <x:f>MOD(B321*16807,2147483647)</x:f>
        <x:v>24711587</x:v>
      </x:c>
      <x:c r="D321" s="17" t="n">
        <x:f>IF('Control Room'!$B$5="Normal",'Control Room'!$B$7+'Control Room'!$D$7*SQRT(-2*LN(MAX(0.000000000001,B321/2147483647)))*COS(2*PI()*C321/2147483647),'Control Room'!$B$8+('Control Room'!$D$8-'Control Room'!$B$8)*B321/2147483647)</x:f>
        <x:v>1164.3446257614003</x:v>
      </x:c>
      <x:c r="E321" s="17" t="n">
        <x:f>IF('Control Room'!$B$5="Normal",'Control Room'!$B$7,('Control Room'!$B$8+'Control Room'!$D$8)/2)+'Control Room'!$B$9*(E320-IF('Control Room'!$B$5="Normal",'Control Room'!$B$7,('Control Room'!$B$8+'Control Room'!$D$8)/2))+SQRT(1-'Control Room'!$B$9^2)*(D321-IF('Control Room'!$B$5="Normal",'Control Room'!$B$7,('Control Room'!$B$8+'Control Room'!$D$8)/2))</x:f>
        <x:v>1132.9057063902014</x:v>
      </x:c>
      <x:c r="F321" s="17" t="n">
        <x:f>IF(AND($A321&gt;='Control Room'!$A$13,$A321&lt;'Control Room'!$A$13+'Control Room'!$B$13,'Process'!BK2=1),1+('Control Room'!$C$13-1)*EXP(-0.5*(($A321-'Control Room'!$A$13-('Control Room'!$B$13-1)/2)/MAX(0.5,'Control Room'!$B$13/4))^2),1)*IF(AND($A321&gt;='Control Room'!$A$14,$A321&lt;'Control Room'!$A$14+'Control Room'!$B$14,'Process'!BK3=1),1+('Control Room'!$C$14-1)*EXP(-0.5*(($A321-'Control Room'!$A$14-('Control Room'!$B$14-1)/2)/MAX(0.5,'Control Room'!$B$14/4))^2),1)*IF(AND($A321&gt;='Control Room'!$A$15,$A321&lt;'Control Room'!$A$15+'Control Room'!$B$15,'Process'!BK4=1),1+('Control Room'!$C$15-1)*EXP(-0.5*(($A321-'Control Room'!$A$15-('Control Room'!$B$15-1)/2)/MAX(0.5,'Control Room'!$B$15/4))^2),1)*IF(AND($A321&gt;='Control Room'!$A$16,$A321&lt;'Control Room'!$A$16+'Control Room'!$B$16,'Process'!BK5=1),1+('Control Room'!$C$16-1)*EXP(-0.5*(($A321-'Control Room'!$A$16-('Control Room'!$B$16-1)/2)/MAX(0.5,'Control Room'!$B$16/4))^2),1)</x:f>
        <x:v>1</x:v>
      </x:c>
      <x:c r="G321" s="9" t="n">
        <x:f>MOD(H320*16807,2147483647)</x:f>
        <x:v>615967693</x:v>
      </x:c>
      <x:c r="H321" s="9" t="n">
        <x:f>MOD(G321*16807,2147483647)</x:f>
        <x:v>1697837711</x:v>
      </x:c>
      <x:c r="I321" s="17" t="n">
        <x:f>IF('Control Room'!$B$5="Normal",'Control Room'!$B$7+'Control Room'!$D$7*SQRT(-2*LN(MAX(0.000000000001,G321/2147483647)))*COS(2*PI()*H321/2147483647),'Control Room'!$B$8+('Control Room'!$D$8-'Control Room'!$B$8)*G321/2147483647)</x:f>
        <x:v>1035.9070944459925</x:v>
      </x:c>
      <x:c r="J321" s="17" t="n">
        <x:f>IF('Control Room'!$B$5="Normal",'Control Room'!$B$7,('Control Room'!$B$8+'Control Room'!$D$8)/2)+'Control Room'!$B$9*(J320-IF('Control Room'!$B$5="Normal",'Control Room'!$B$7,('Control Room'!$B$8+'Control Room'!$D$8)/2))+SQRT(1-'Control Room'!$B$9^2)*(I321-IF('Control Room'!$B$5="Normal",'Control Room'!$B$7,('Control Room'!$B$8+'Control Room'!$D$8)/2))</x:f>
        <x:v>980.874523013928</x:v>
      </x:c>
      <x:c r="K321" s="17" t="n">
        <x:f>IF(AND($A321&gt;='Control Room'!$A$13,$A321&lt;'Control Room'!$A$13+'Control Room'!$B$13,'Process'!BL2=1),1+('Control Room'!$C$13-1)*EXP(-0.5*(($A321-'Control Room'!$A$13-('Control Room'!$B$13-1)/2)/MAX(0.5,'Control Room'!$B$13/4))^2),1)*IF(AND($A321&gt;='Control Room'!$A$14,$A321&lt;'Control Room'!$A$14+'Control Room'!$B$14,'Process'!BL3=1),1+('Control Room'!$C$14-1)*EXP(-0.5*(($A321-'Control Room'!$A$14-('Control Room'!$B$14-1)/2)/MAX(0.5,'Control Room'!$B$14/4))^2),1)*IF(AND($A321&gt;='Control Room'!$A$15,$A321&lt;'Control Room'!$A$15+'Control Room'!$B$15,'Process'!BL4=1),1+('Control Room'!$C$15-1)*EXP(-0.5*(($A321-'Control Room'!$A$15-('Control Room'!$B$15-1)/2)/MAX(0.5,'Control Room'!$B$15/4))^2),1)*IF(AND($A321&gt;='Control Room'!$A$16,$A321&lt;'Control Room'!$A$16+'Control Room'!$B$16,'Process'!BL5=1),1+('Control Room'!$C$16-1)*EXP(-0.5*(($A321-'Control Room'!$A$16-('Control Room'!$B$16-1)/2)/MAX(0.5,'Control Room'!$B$16/4))^2),1)</x:f>
        <x:v>1</x:v>
      </x:c>
      <x:c r="L321" s="9" t="n">
        <x:f>MOD(M320*16807,2147483647)</x:f>
        <x:v>830087300</x:v>
      </x:c>
      <x:c r="M321" s="9" t="n">
        <x:f>MOD(L321*16807,2147483647)</x:f>
        <x:v>1223480188</x:v>
      </x:c>
      <x:c r="N321" s="17" t="n">
        <x:f>IF('Control Room'!$B$5="Normal",'Control Room'!$B$7+'Control Room'!$D$7*SQRT(-2*LN(MAX(0.000000000001,L321/2147483647)))*COS(2*PI()*M321/2147483647),'Control Room'!$B$8+('Control Room'!$D$8-'Control Room'!$B$8)*L321/2147483647)</x:f>
        <x:v>887.6292482675706</x:v>
      </x:c>
      <x:c r="O321" s="17" t="n">
        <x:f>IF('Control Room'!$B$5="Normal",'Control Room'!$B$7,('Control Room'!$B$8+'Control Room'!$D$8)/2)+'Control Room'!$B$9*(O320-IF('Control Room'!$B$5="Normal",'Control Room'!$B$7,('Control Room'!$B$8+'Control Room'!$D$8)/2))+SQRT(1-'Control Room'!$B$9^2)*(N321-IF('Control Room'!$B$5="Normal",'Control Room'!$B$7,('Control Room'!$B$8+'Control Room'!$D$8)/2))</x:f>
        <x:v>1086.1436360987998</x:v>
      </x:c>
      <x:c r="P321" s="17" t="n">
        <x:f>IF(AND($A321&gt;='Control Room'!$A$13,$A321&lt;'Control Room'!$A$13+'Control Room'!$B$13,'Process'!BM2=1),1+('Control Room'!$C$13-1)*EXP(-0.5*(($A321-'Control Room'!$A$13-('Control Room'!$B$13-1)/2)/MAX(0.5,'Control Room'!$B$13/4))^2),1)*IF(AND($A321&gt;='Control Room'!$A$14,$A321&lt;'Control Room'!$A$14+'Control Room'!$B$14,'Process'!BM3=1),1+('Control Room'!$C$14-1)*EXP(-0.5*(($A321-'Control Room'!$A$14-('Control Room'!$B$14-1)/2)/MAX(0.5,'Control Room'!$B$14/4))^2),1)*IF(AND($A321&gt;='Control Room'!$A$15,$A321&lt;'Control Room'!$A$15+'Control Room'!$B$15,'Process'!BM4=1),1+('Control Room'!$C$15-1)*EXP(-0.5*(($A321-'Control Room'!$A$15-('Control Room'!$B$15-1)/2)/MAX(0.5,'Control Room'!$B$15/4))^2),1)*IF(AND($A321&gt;='Control Room'!$A$16,$A321&lt;'Control Room'!$A$16+'Control Room'!$B$16,'Process'!BM5=1),1+('Control Room'!$C$16-1)*EXP(-0.5*(($A321-'Control Room'!$A$16-('Control Room'!$B$16-1)/2)/MAX(0.5,'Control Room'!$B$16/4))^2),1)</x:f>
        <x:v>1</x:v>
      </x:c>
      <x:c r="Q321" s="9" t="n">
        <x:f>MOD(R320*16807,2147483647)</x:f>
        <x:v>1044206907</x:v>
      </x:c>
      <x:c r="R321" s="9" t="n">
        <x:f>MOD(Q321*16807,2147483647)</x:f>
        <x:v>749122665</x:v>
      </x:c>
      <x:c r="S321" s="17" t="n">
        <x:f>IF('Control Room'!$B$5="Normal",'Control Room'!$B$7+'Control Room'!$D$7*SQRT(-2*LN(MAX(0.000000000001,Q321/2147483647)))*COS(2*PI()*R321/2147483647),'Control Room'!$B$8+('Control Room'!$D$8-'Control Room'!$B$8)*Q321/2147483647)</x:f>
        <x:v>937.113788643725</x:v>
      </x:c>
      <x:c r="T321" s="17" t="n">
        <x:f>IF('Control Room'!$B$5="Normal",'Control Room'!$B$7,('Control Room'!$B$8+'Control Room'!$D$8)/2)+'Control Room'!$B$9*(T320-IF('Control Room'!$B$5="Normal",'Control Room'!$B$7,('Control Room'!$B$8+'Control Room'!$D$8)/2))+SQRT(1-'Control Room'!$B$9^2)*(S321-IF('Control Room'!$B$5="Normal",'Control Room'!$B$7,('Control Room'!$B$8+'Control Room'!$D$8)/2))</x:f>
        <x:v>879.861747233075</x:v>
      </x:c>
      <x:c r="U321" s="17" t="n">
        <x:f>IF(AND($A321&gt;='Control Room'!$A$13,$A321&lt;'Control Room'!$A$13+'Control Room'!$B$13,'Process'!BN2=1),1+('Control Room'!$C$13-1)*EXP(-0.5*(($A321-'Control Room'!$A$13-('Control Room'!$B$13-1)/2)/MAX(0.5,'Control Room'!$B$13/4))^2),1)*IF(AND($A321&gt;='Control Room'!$A$14,$A321&lt;'Control Room'!$A$14+'Control Room'!$B$14,'Process'!BN3=1),1+('Control Room'!$C$14-1)*EXP(-0.5*(($A321-'Control Room'!$A$14-('Control Room'!$B$14-1)/2)/MAX(0.5,'Control Room'!$B$14/4))^2),1)*IF(AND($A321&gt;='Control Room'!$A$15,$A321&lt;'Control Room'!$A$15+'Control Room'!$B$15,'Process'!BN4=1),1+('Control Room'!$C$15-1)*EXP(-0.5*(($A321-'Control Room'!$A$15-('Control Room'!$B$15-1)/2)/MAX(0.5,'Control Room'!$B$15/4))^2),1)*IF(AND($A321&gt;='Control Room'!$A$16,$A321&lt;'Control Room'!$A$16+'Control Room'!$B$16,'Process'!BN5=1),1+('Control Room'!$C$16-1)*EXP(-0.5*(($A321-'Control Room'!$A$16-('Control Room'!$B$16-1)/2)/MAX(0.5,'Control Room'!$B$16/4))^2),1)</x:f>
        <x:v>1</x:v>
      </x:c>
      <x:c r="V321" s="9" t="n">
        <x:f>MOD(W320*16807,2147483647)</x:f>
        <x:v>1258326514</x:v>
      </x:c>
      <x:c r="W321" s="9" t="n">
        <x:f>MOD(V321*16807,2147483647)</x:f>
        <x:v>274765142</x:v>
      </x:c>
      <x:c r="X321" s="17" t="n">
        <x:f>IF('Control Room'!$B$5="Normal",'Control Room'!$B$7+'Control Room'!$D$7*SQRT(-2*LN(MAX(0.000000000001,V321/2147483647)))*COS(2*PI()*W321/2147483647),'Control Room'!$B$8+('Control Room'!$D$8-'Control Room'!$B$8)*V321/2147483647)</x:f>
        <x:v>1064.5696287171709</x:v>
      </x:c>
      <x:c r="Y321" s="17" t="n">
        <x:f>IF('Control Room'!$B$5="Normal",'Control Room'!$B$7,('Control Room'!$B$8+'Control Room'!$D$8)/2)+'Control Room'!$B$9*(Y320-IF('Control Room'!$B$5="Normal",'Control Room'!$B$7,('Control Room'!$B$8+'Control Room'!$D$8)/2))+SQRT(1-'Control Room'!$B$9^2)*(X321-IF('Control Room'!$B$5="Normal",'Control Room'!$B$7,('Control Room'!$B$8+'Control Room'!$D$8)/2))</x:f>
        <x:v>1215.062261709351</x:v>
      </x:c>
      <x:c r="Z321" s="17" t="n">
        <x:f>IF(AND($A321&gt;='Control Room'!$A$13,$A321&lt;'Control Room'!$A$13+'Control Room'!$B$13,'Process'!BO2=1),1+('Control Room'!$C$13-1)*EXP(-0.5*(($A321-'Control Room'!$A$13-('Control Room'!$B$13-1)/2)/MAX(0.5,'Control Room'!$B$13/4))^2),1)*IF(AND($A321&gt;='Control Room'!$A$14,$A321&lt;'Control Room'!$A$14+'Control Room'!$B$14,'Process'!BO3=1),1+('Control Room'!$C$14-1)*EXP(-0.5*(($A321-'Control Room'!$A$14-('Control Room'!$B$14-1)/2)/MAX(0.5,'Control Room'!$B$14/4))^2),1)*IF(AND($A321&gt;='Control Room'!$A$15,$A321&lt;'Control Room'!$A$15+'Control Room'!$B$15,'Process'!BO4=1),1+('Control Room'!$C$15-1)*EXP(-0.5*(($A321-'Control Room'!$A$15-('Control Room'!$B$15-1)/2)/MAX(0.5,'Control Room'!$B$15/4))^2),1)*IF(AND($A321&gt;='Control Room'!$A$16,$A321&lt;'Control Room'!$A$16+'Control Room'!$B$16,'Process'!BO5=1),1+('Control Room'!$C$16-1)*EXP(-0.5*(($A321-'Control Room'!$A$16-('Control Room'!$B$16-1)/2)/MAX(0.5,'Control Room'!$B$16/4))^2),1)</x:f>
        <x:v>1</x:v>
      </x:c>
      <x:c r="AA321" s="9" t="n">
        <x:f>MOD(AB320*16807,2147483647)</x:f>
        <x:v>1472446121</x:v>
      </x:c>
      <x:c r="AB321" s="9" t="n">
        <x:f>MOD(AA321*16807,2147483647)</x:f>
        <x:v>1947891266</x:v>
      </x:c>
      <x:c r="AC321" s="17" t="n">
        <x:f>IF('Control Room'!$B$5="Normal",'Control Room'!$B$7+'Control Room'!$D$7*SQRT(-2*LN(MAX(0.000000000001,AA321/2147483647)))*COS(2*PI()*AB321/2147483647),'Control Room'!$B$8+('Control Room'!$D$8-'Control Room'!$B$8)*AA321/2147483647)</x:f>
        <x:v>1065.2308297819416</x:v>
      </x:c>
      <x:c r="AD321" s="17" t="n">
        <x:f>IF('Control Room'!$B$5="Normal",'Control Room'!$B$7,('Control Room'!$B$8+'Control Room'!$D$8)/2)+'Control Room'!$B$9*(AD320-IF('Control Room'!$B$5="Normal",'Control Room'!$B$7,('Control Room'!$B$8+'Control Room'!$D$8)/2))+SQRT(1-'Control Room'!$B$9^2)*(AC321-IF('Control Room'!$B$5="Normal",'Control Room'!$B$7,('Control Room'!$B$8+'Control Room'!$D$8)/2))</x:f>
        <x:v>1055.3793175597798</x:v>
      </x:c>
      <x:c r="AE321" s="17" t="n">
        <x:f>IF(AND($A321&gt;='Control Room'!$A$13,$A321&lt;'Control Room'!$A$13+'Control Room'!$B$13,'Process'!BP2=1),1+('Control Room'!$C$13-1)*EXP(-0.5*(($A321-'Control Room'!$A$13-('Control Room'!$B$13-1)/2)/MAX(0.5,'Control Room'!$B$13/4))^2),1)*IF(AND($A321&gt;='Control Room'!$A$14,$A321&lt;'Control Room'!$A$14+'Control Room'!$B$14,'Process'!BP3=1),1+('Control Room'!$C$14-1)*EXP(-0.5*(($A321-'Control Room'!$A$14-('Control Room'!$B$14-1)/2)/MAX(0.5,'Control Room'!$B$14/4))^2),1)*IF(AND($A321&gt;='Control Room'!$A$15,$A321&lt;'Control Room'!$A$15+'Control Room'!$B$15,'Process'!BP4=1),1+('Control Room'!$C$15-1)*EXP(-0.5*(($A321-'Control Room'!$A$15-('Control Room'!$B$15-1)/2)/MAX(0.5,'Control Room'!$B$15/4))^2),1)*IF(AND($A321&gt;='Control Room'!$A$16,$A321&lt;'Control Room'!$A$16+'Control Room'!$B$16,'Process'!BP5=1),1+('Control Room'!$C$16-1)*EXP(-0.5*(($A321-'Control Room'!$A$16-('Control Room'!$B$16-1)/2)/MAX(0.5,'Control Room'!$B$16/4))^2),1)</x:f>
        <x:v>1</x:v>
      </x:c>
      <x:c r="AF321" s="9" t="n">
        <x:f>MOD(AG320*16807,2147483647)</x:f>
        <x:v>1686565728</x:v>
      </x:c>
      <x:c r="AG321" s="9" t="n">
        <x:f>MOD(AF321*16807,2147483647)</x:f>
        <x:v>1473533743</x:v>
      </x:c>
      <x:c r="AH321" s="17" t="n">
        <x:f>IF('Control Room'!$B$5="Normal",'Control Room'!$B$7+'Control Room'!$D$7*SQRT(-2*LN(MAX(0.000000000001,AF321/2147483647)))*COS(2*PI()*AG321/2147483647),'Control Room'!$B$8+('Control Room'!$D$8-'Control Room'!$B$8)*AF321/2147483647)</x:f>
        <x:v>975.5756675270649</x:v>
      </x:c>
      <x:c r="AI321" s="17" t="n">
        <x:f>IF('Control Room'!$B$5="Normal",'Control Room'!$B$7,('Control Room'!$B$8+'Control Room'!$D$8)/2)+'Control Room'!$B$9*(AI320-IF('Control Room'!$B$5="Normal",'Control Room'!$B$7,('Control Room'!$B$8+'Control Room'!$D$8)/2))+SQRT(1-'Control Room'!$B$9^2)*(AH321-IF('Control Room'!$B$5="Normal",'Control Room'!$B$7,('Control Room'!$B$8+'Control Room'!$D$8)/2))</x:f>
        <x:v>1051.980734093734</x:v>
      </x:c>
      <x:c r="AJ321" s="17" t="n">
        <x:f>IF(AND($A321&gt;='Control Room'!$A$13,$A321&lt;'Control Room'!$A$13+'Control Room'!$B$13,'Process'!BQ2=1),1+('Control Room'!$C$13-1)*EXP(-0.5*(($A321-'Control Room'!$A$13-('Control Room'!$B$13-1)/2)/MAX(0.5,'Control Room'!$B$13/4))^2),1)*IF(AND($A321&gt;='Control Room'!$A$14,$A321&lt;'Control Room'!$A$14+'Control Room'!$B$14,'Process'!BQ3=1),1+('Control Room'!$C$14-1)*EXP(-0.5*(($A321-'Control Room'!$A$14-('Control Room'!$B$14-1)/2)/MAX(0.5,'Control Room'!$B$14/4))^2),1)*IF(AND($A321&gt;='Control Room'!$A$15,$A321&lt;'Control Room'!$A$15+'Control Room'!$B$15,'Process'!BQ4=1),1+('Control Room'!$C$15-1)*EXP(-0.5*(($A321-'Control Room'!$A$15-('Control Room'!$B$15-1)/2)/MAX(0.5,'Control Room'!$B$15/4))^2),1)*IF(AND($A321&gt;='Control Room'!$A$16,$A321&lt;'Control Room'!$A$16+'Control Room'!$B$16,'Process'!BQ5=1),1+('Control Room'!$C$16-1)*EXP(-0.5*(($A321-'Control Room'!$A$16-('Control Room'!$B$16-1)/2)/MAX(0.5,'Control Room'!$B$16/4))^2),1)</x:f>
        <x:v>1</x:v>
      </x:c>
      <x:c r="AK321" s="9" t="n">
        <x:f>MOD(AL320*16807,2147483647)</x:f>
        <x:v>1900685335</x:v>
      </x:c>
      <x:c r="AL321" s="9" t="n">
        <x:f>MOD(AK321*16807,2147483647)</x:f>
        <x:v>999176220</x:v>
      </x:c>
      <x:c r="AM321" s="17" t="n">
        <x:f>IF('Control Room'!$B$5="Normal",'Control Room'!$B$7+'Control Room'!$D$7*SQRT(-2*LN(MAX(0.000000000001,AK321/2147483647)))*COS(2*PI()*AL321/2147483647),'Control Room'!$B$8+('Control Room'!$D$8-'Control Room'!$B$8)*AK321/2147483647)</x:f>
        <x:v>956.5824610925202</x:v>
      </x:c>
      <x:c r="AN321" s="17" t="n">
        <x:f>IF('Control Room'!$B$5="Normal",'Control Room'!$B$7,('Control Room'!$B$8+'Control Room'!$D$8)/2)+'Control Room'!$B$9*(AN320-IF('Control Room'!$B$5="Normal",'Control Room'!$B$7,('Control Room'!$B$8+'Control Room'!$D$8)/2))+SQRT(1-'Control Room'!$B$9^2)*(AM321-IF('Control Room'!$B$5="Normal",'Control Room'!$B$7,('Control Room'!$B$8+'Control Room'!$D$8)/2))</x:f>
        <x:v>852.5332207183234</x:v>
      </x:c>
      <x:c r="AO321" s="17" t="n">
        <x:f>IF(AND($A321&gt;='Control Room'!$A$13,$A321&lt;'Control Room'!$A$13+'Control Room'!$B$13,'Process'!BR2=1),1+('Control Room'!$C$13-1)*EXP(-0.5*(($A321-'Control Room'!$A$13-('Control Room'!$B$13-1)/2)/MAX(0.5,'Control Room'!$B$13/4))^2),1)*IF(AND($A321&gt;='Control Room'!$A$14,$A321&lt;'Control Room'!$A$14+'Control Room'!$B$14,'Process'!BR3=1),1+('Control Room'!$C$14-1)*EXP(-0.5*(($A321-'Control Room'!$A$14-('Control Room'!$B$14-1)/2)/MAX(0.5,'Control Room'!$B$14/4))^2),1)*IF(AND($A321&gt;='Control Room'!$A$15,$A321&lt;'Control Room'!$A$15+'Control Room'!$B$15,'Process'!BR4=1),1+('Control Room'!$C$15-1)*EXP(-0.5*(($A321-'Control Room'!$A$15-('Control Room'!$B$15-1)/2)/MAX(0.5,'Control Room'!$B$15/4))^2),1)*IF(AND($A321&gt;='Control Room'!$A$16,$A321&lt;'Control Room'!$A$16+'Control Room'!$B$16,'Process'!BR5=1),1+('Control Room'!$C$16-1)*EXP(-0.5*(($A321-'Control Room'!$A$16-('Control Room'!$B$16-1)/2)/MAX(0.5,'Control Room'!$B$16/4))^2),1)</x:f>
        <x:v>1</x:v>
      </x:c>
      <x:c r="AP321" s="9" t="n">
        <x:f>MOD(AQ320*16807,2147483647)</x:f>
        <x:v>2114804942</x:v>
      </x:c>
      <x:c r="AQ321" s="9" t="n">
        <x:f>MOD(AP321*16807,2147483647)</x:f>
        <x:v>524818697</x:v>
      </x:c>
      <x:c r="AR321" s="17" t="n">
        <x:f>IF('Control Room'!$B$5="Normal",'Control Room'!$B$7+'Control Room'!$D$7*SQRT(-2*LN(MAX(0.000000000001,AP321/2147483647)))*COS(2*PI()*AQ321/2147483647),'Control Room'!$B$8+('Control Room'!$D$8-'Control Room'!$B$8)*AP321/2147483647)</x:f>
        <x:v>1000.5556670041955</x:v>
      </x:c>
      <x:c r="AS321" s="17" t="n">
        <x:f>IF('Control Room'!$B$5="Normal",'Control Room'!$B$7,('Control Room'!$B$8+'Control Room'!$D$8)/2)+'Control Room'!$B$9*(AS320-IF('Control Room'!$B$5="Normal",'Control Room'!$B$7,('Control Room'!$B$8+'Control Room'!$D$8)/2))+SQRT(1-'Control Room'!$B$9^2)*(AR321-IF('Control Room'!$B$5="Normal",'Control Room'!$B$7,('Control Room'!$B$8+'Control Room'!$D$8)/2))</x:f>
        <x:v>1036.1525672172734</x:v>
      </x:c>
      <x:c r="AT321" s="17" t="n">
        <x:f>IF(AND($A321&gt;='Control Room'!$A$13,$A321&lt;'Control Room'!$A$13+'Control Room'!$B$13,'Process'!BS2=1),1+('Control Room'!$C$13-1)*EXP(-0.5*(($A321-'Control Room'!$A$13-('Control Room'!$B$13-1)/2)/MAX(0.5,'Control Room'!$B$13/4))^2),1)*IF(AND($A321&gt;='Control Room'!$A$14,$A321&lt;'Control Room'!$A$14+'Control Room'!$B$14,'Process'!BS3=1),1+('Control Room'!$C$14-1)*EXP(-0.5*(($A321-'Control Room'!$A$14-('Control Room'!$B$14-1)/2)/MAX(0.5,'Control Room'!$B$14/4))^2),1)*IF(AND($A321&gt;='Control Room'!$A$15,$A321&lt;'Control Room'!$A$15+'Control Room'!$B$15,'Process'!BS4=1),1+('Control Room'!$C$15-1)*EXP(-0.5*(($A321-'Control Room'!$A$15-('Control Room'!$B$15-1)/2)/MAX(0.5,'Control Room'!$B$15/4))^2),1)*IF(AND($A321&gt;='Control Room'!$A$16,$A321&lt;'Control Room'!$A$16+'Control Room'!$B$16,'Process'!BS5=1),1+('Control Room'!$C$16-1)*EXP(-0.5*(($A321-'Control Room'!$A$16-('Control Room'!$B$16-1)/2)/MAX(0.5,'Control Room'!$B$16/4))^2),1)</x:f>
        <x:v>1</x:v>
      </x:c>
      <x:c r="AU321" s="9" t="n">
        <x:f>MOD(AV320*16807,2147483647)</x:f>
        <x:v>181440902</x:v>
      </x:c>
      <x:c r="AV321" s="9" t="n">
        <x:f>MOD(AU321*16807,2147483647)</x:f>
        <x:v>50461174</x:v>
      </x:c>
      <x:c r="AW321" s="17" t="n">
        <x:f>IF('Control Room'!$B$5="Normal",'Control Room'!$B$7+'Control Room'!$D$7*SQRT(-2*LN(MAX(0.000000000001,AU321/2147483647)))*COS(2*PI()*AV321/2147483647),'Control Room'!$B$8+('Control Room'!$D$8-'Control Room'!$B$8)*AU321/2147483647)</x:f>
        <x:v>1197.9037181995593</x:v>
      </x:c>
      <x:c r="AX321" s="17" t="n">
        <x:f>IF('Control Room'!$B$5="Normal",'Control Room'!$B$7,('Control Room'!$B$8+'Control Room'!$D$8)/2)+'Control Room'!$B$9*(AX320-IF('Control Room'!$B$5="Normal",'Control Room'!$B$7,('Control Room'!$B$8+'Control Room'!$D$8)/2))+SQRT(1-'Control Room'!$B$9^2)*(AW321-IF('Control Room'!$B$5="Normal",'Control Room'!$B$7,('Control Room'!$B$8+'Control Room'!$D$8)/2))</x:f>
        <x:v>1055.0168976655552</x:v>
      </x:c>
      <x:c r="AY321" s="17" t="n">
        <x:f>IF(AND($A321&gt;='Control Room'!$A$13,$A321&lt;'Control Room'!$A$13+'Control Room'!$B$13,'Process'!BT2=1),1+('Control Room'!$C$13-1)*EXP(-0.5*(($A321-'Control Room'!$A$13-('Control Room'!$B$13-1)/2)/MAX(0.5,'Control Room'!$B$13/4))^2),1)*IF(AND($A321&gt;='Control Room'!$A$14,$A321&lt;'Control Room'!$A$14+'Control Room'!$B$14,'Process'!BT3=1),1+('Control Room'!$C$14-1)*EXP(-0.5*(($A321-'Control Room'!$A$14-('Control Room'!$B$14-1)/2)/MAX(0.5,'Control Room'!$B$14/4))^2),1)*IF(AND($A321&gt;='Control Room'!$A$15,$A321&lt;'Control Room'!$A$15+'Control Room'!$B$15,'Process'!BT4=1),1+('Control Room'!$C$15-1)*EXP(-0.5*(($A321-'Control Room'!$A$15-('Control Room'!$B$15-1)/2)/MAX(0.5,'Control Room'!$B$15/4))^2),1)*IF(AND($A321&gt;='Control Room'!$A$16,$A321&lt;'Control Room'!$A$16+'Control Room'!$B$16,'Process'!BT5=1),1+('Control Room'!$C$16-1)*EXP(-0.5*(($A321-'Control Room'!$A$16-('Control Room'!$B$16-1)/2)/MAX(0.5,'Control Room'!$B$16/4))^2),1)</x:f>
        <x:v>1</x:v>
      </x:c>
      <x:c r="AZ321" s="9" t="n">
        <x:f>MOD(BA320*16807,2147483647)</x:f>
        <x:v>395560509</x:v>
      </x:c>
      <x:c r="BA321" s="9" t="n">
        <x:f>MOD(AZ321*16807,2147483647)</x:f>
        <x:v>1723587298</x:v>
      </x:c>
      <x:c r="BB321" s="17" t="n">
        <x:f>IF('Control Room'!$B$5="Normal",'Control Room'!$B$7+'Control Room'!$D$7*SQRT(-2*LN(MAX(0.000000000001,AZ321/2147483647)))*COS(2*PI()*BA321/2147483647),'Control Room'!$B$8+('Control Room'!$D$8-'Control Room'!$B$8)*AZ321/2147483647)</x:f>
        <x:v>1053.730210302055</x:v>
      </x:c>
      <x:c r="BC321" s="17" t="n">
        <x:f>IF('Control Room'!$B$5="Normal",'Control Room'!$B$7,('Control Room'!$B$8+'Control Room'!$D$8)/2)+'Control Room'!$B$9*(BC320-IF('Control Room'!$B$5="Normal",'Control Room'!$B$7,('Control Room'!$B$8+'Control Room'!$D$8)/2))+SQRT(1-'Control Room'!$B$9^2)*(BB321-IF('Control Room'!$B$5="Normal",'Control Room'!$B$7,('Control Room'!$B$8+'Control Room'!$D$8)/2))</x:f>
        <x:v>1081.9518315008804</x:v>
      </x:c>
      <x:c r="BD321" s="17" t="n">
        <x:f>IF(AND($A321&gt;='Control Room'!$A$13,$A321&lt;'Control Room'!$A$13+'Control Room'!$B$13,'Process'!BU2=1),1+('Control Room'!$C$13-1)*EXP(-0.5*(($A321-'Control Room'!$A$13-('Control Room'!$B$13-1)/2)/MAX(0.5,'Control Room'!$B$13/4))^2),1)*IF(AND($A321&gt;='Control Room'!$A$14,$A321&lt;'Control Room'!$A$14+'Control Room'!$B$14,'Process'!BU3=1),1+('Control Room'!$C$14-1)*EXP(-0.5*(($A321-'Control Room'!$A$14-('Control Room'!$B$14-1)/2)/MAX(0.5,'Control Room'!$B$14/4))^2),1)*IF(AND($A321&gt;='Control Room'!$A$15,$A321&lt;'Control Room'!$A$15+'Control Room'!$B$15,'Process'!BU4=1),1+('Control Room'!$C$15-1)*EXP(-0.5*(($A321-'Control Room'!$A$15-('Control Room'!$B$15-1)/2)/MAX(0.5,'Control Room'!$B$15/4))^2),1)*IF(AND($A321&gt;='Control Room'!$A$16,$A321&lt;'Control Room'!$A$16+'Control Room'!$B$16,'Process'!BU5=1),1+('Control Room'!$C$16-1)*EXP(-0.5*(($A321-'Control Room'!$A$16-('Control Room'!$B$16-1)/2)/MAX(0.5,'Control Room'!$B$16/4))^2),1)</x:f>
        <x:v>1</x:v>
      </x:c>
      <x:c r="BE321" s="9" t="n">
        <x:f>MOD(BF320*16807,2147483647)</x:f>
        <x:v>609680116</x:v>
      </x:c>
      <x:c r="BF321" s="9" t="n">
        <x:f>MOD(BE321*16807,2147483647)</x:f>
        <x:v>1249229775</x:v>
      </x:c>
      <x:c r="BG321" s="17" t="n">
        <x:f>IF('Control Room'!$B$5="Normal",'Control Room'!$B$7+'Control Room'!$D$7*SQRT(-2*LN(MAX(0.000000000001,BE321/2147483647)))*COS(2*PI()*BF321/2147483647),'Control Room'!$B$8+('Control Room'!$D$8-'Control Room'!$B$8)*BE321/2147483647)</x:f>
        <x:v>875.5953725887657</x:v>
      </x:c>
      <x:c r="BH321" s="17" t="n">
        <x:f>IF('Control Room'!$B$5="Normal",'Control Room'!$B$7,('Control Room'!$B$8+'Control Room'!$D$8)/2)+'Control Room'!$B$9*(BH320-IF('Control Room'!$B$5="Normal",'Control Room'!$B$7,('Control Room'!$B$8+'Control Room'!$D$8)/2))+SQRT(1-'Control Room'!$B$9^2)*(BG321-IF('Control Room'!$B$5="Normal",'Control Room'!$B$7,('Control Room'!$B$8+'Control Room'!$D$8)/2))</x:f>
        <x:v>883.9547333366269</x:v>
      </x:c>
      <x:c r="BI321" s="17" t="n">
        <x:f>IF(AND($A321&gt;='Control Room'!$A$13,$A321&lt;'Control Room'!$A$13+'Control Room'!$B$13,'Process'!BV2=1),1+('Control Room'!$C$13-1)*EXP(-0.5*(($A321-'Control Room'!$A$13-('Control Room'!$B$13-1)/2)/MAX(0.5,'Control Room'!$B$13/4))^2),1)*IF(AND($A321&gt;='Control Room'!$A$14,$A321&lt;'Control Room'!$A$14+'Control Room'!$B$14,'Process'!BV3=1),1+('Control Room'!$C$14-1)*EXP(-0.5*(($A321-'Control Room'!$A$14-('Control Room'!$B$14-1)/2)/MAX(0.5,'Control Room'!$B$14/4))^2),1)*IF(AND($A321&gt;='Control Room'!$A$15,$A321&lt;'Control Room'!$A$15+'Control Room'!$B$15,'Process'!BV4=1),1+('Control Room'!$C$15-1)*EXP(-0.5*(($A321-'Control Room'!$A$15-('Control Room'!$B$15-1)/2)/MAX(0.5,'Control Room'!$B$15/4))^2),1)*IF(AND($A321&gt;='Control Room'!$A$16,$A321&lt;'Control Room'!$A$16+'Control Room'!$B$16,'Process'!BV5=1),1+('Control Room'!$C$16-1)*EXP(-0.5*(($A321-'Control Room'!$A$16-('Control Room'!$B$16-1)/2)/MAX(0.5,'Control Room'!$B$16/4))^2),1)</x:f>
        <x:v>1</x:v>
      </x:c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Z321" t="str">
        <x:f>IF('Data'!A321="","",TEXT('Data'!A321,"mm-dd"))</x:f>
      </x:c>
    </x:row>
    <x:row r="322" ht="21" customHeight="1">
      <x:c r="A322" s="15" t="n">
        <x:f>'Control Room'!$B$1+320</x:f>
        <x:v>73311</x:v>
      </x:c>
      <x:c r="B322" s="9" t="n">
        <x:f>MOD(C321*16807,2147483647)</x:f>
        <x:v>863298838</x:v>
      </x:c>
      <x:c r="C322" s="9" t="n">
        <x:f>MOD(B322*16807,2147483647)</x:f>
        <x:v>1064051134</x:v>
      </x:c>
      <x:c r="D322" s="17" t="n">
        <x:f>IF('Control Room'!$B$5="Normal",'Control Room'!$B$7+'Control Room'!$D$7*SQRT(-2*LN(MAX(0.000000000001,B322/2147483647)))*COS(2*PI()*C322/2147483647),'Control Room'!$B$8+('Control Room'!$D$8-'Control Room'!$B$8)*B322/2147483647)</x:f>
        <x:v>878.5460936320377</x:v>
      </x:c>
      <x:c r="E322" s="17" t="n">
        <x:f>IF('Control Room'!$B$5="Normal",'Control Room'!$B$7,('Control Room'!$B$8+'Control Room'!$D$8)/2)+'Control Room'!$B$9*(E321-IF('Control Room'!$B$5="Normal",'Control Room'!$B$7,('Control Room'!$B$8+'Control Room'!$D$8)/2))+SQRT(1-'Control Room'!$B$9^2)*(D322-IF('Control Room'!$B$5="Normal",'Control Room'!$B$7,('Control Room'!$B$8+'Control Room'!$D$8)/2))</x:f>
        <x:v>1027.6630844977997</x:v>
      </x:c>
      <x:c r="F322" s="17" t="n">
        <x:f>IF(AND($A322&gt;='Control Room'!$A$13,$A322&lt;'Control Room'!$A$13+'Control Room'!$B$13,'Process'!BK2=1),1+('Control Room'!$C$13-1)*EXP(-0.5*(($A322-'Control Room'!$A$13-('Control Room'!$B$13-1)/2)/MAX(0.5,'Control Room'!$B$13/4))^2),1)*IF(AND($A322&gt;='Control Room'!$A$14,$A322&lt;'Control Room'!$A$14+'Control Room'!$B$14,'Process'!BK3=1),1+('Control Room'!$C$14-1)*EXP(-0.5*(($A322-'Control Room'!$A$14-('Control Room'!$B$14-1)/2)/MAX(0.5,'Control Room'!$B$14/4))^2),1)*IF(AND($A322&gt;='Control Room'!$A$15,$A322&lt;'Control Room'!$A$15+'Control Room'!$B$15,'Process'!BK4=1),1+('Control Room'!$C$15-1)*EXP(-0.5*(($A322-'Control Room'!$A$15-('Control Room'!$B$15-1)/2)/MAX(0.5,'Control Room'!$B$15/4))^2),1)*IF(AND($A322&gt;='Control Room'!$A$16,$A322&lt;'Control Room'!$A$16+'Control Room'!$B$16,'Process'!BK5=1),1+('Control Room'!$C$16-1)*EXP(-0.5*(($A322-'Control Room'!$A$16-('Control Room'!$B$16-1)/2)/MAX(0.5,'Control Room'!$B$16/4))^2),1)</x:f>
        <x:v>1</x:v>
      </x:c>
      <x:c r="G322" s="9" t="n">
        <x:f>MOD(H321*16807,2147483647)</x:f>
        <x:v>1943191088</x:v>
      </x:c>
      <x:c r="H322" s="9" t="n">
        <x:f>MOD(G322*16807,2147483647)</x:f>
        <x:v>281312440</x:v>
      </x:c>
      <x:c r="I322" s="17" t="n">
        <x:f>IF('Control Room'!$B$5="Normal",'Control Room'!$B$7+'Control Room'!$D$7*SQRT(-2*LN(MAX(0.000000000001,G322/2147483647)))*COS(2*PI()*H322/2147483647),'Control Room'!$B$8+('Control Room'!$D$8-'Control Room'!$B$8)*G322/2147483647)</x:f>
        <x:v>1027.3635232721724</x:v>
      </x:c>
      <x:c r="J322" s="17" t="n">
        <x:f>IF('Control Room'!$B$5="Normal",'Control Room'!$B$7,('Control Room'!$B$8+'Control Room'!$D$8)/2)+'Control Room'!$B$9*(J321-IF('Control Room'!$B$5="Normal",'Control Room'!$B$7,('Control Room'!$B$8+'Control Room'!$D$8)/2))+SQRT(1-'Control Room'!$B$9^2)*(I322-IF('Control Room'!$B$5="Normal",'Control Room'!$B$7,('Control Room'!$B$8+'Control Room'!$D$8)/2))</x:f>
        <x:v>1002.2056602423452</x:v>
      </x:c>
      <x:c r="K322" s="17" t="n">
        <x:f>IF(AND($A322&gt;='Control Room'!$A$13,$A322&lt;'Control Room'!$A$13+'Control Room'!$B$13,'Process'!BL2=1),1+('Control Room'!$C$13-1)*EXP(-0.5*(($A322-'Control Room'!$A$13-('Control Room'!$B$13-1)/2)/MAX(0.5,'Control Room'!$B$13/4))^2),1)*IF(AND($A322&gt;='Control Room'!$A$14,$A322&lt;'Control Room'!$A$14+'Control Room'!$B$14,'Process'!BL3=1),1+('Control Room'!$C$14-1)*EXP(-0.5*(($A322-'Control Room'!$A$14-('Control Room'!$B$14-1)/2)/MAX(0.5,'Control Room'!$B$14/4))^2),1)*IF(AND($A322&gt;='Control Room'!$A$15,$A322&lt;'Control Room'!$A$15+'Control Room'!$B$15,'Process'!BL4=1),1+('Control Room'!$C$15-1)*EXP(-0.5*(($A322-'Control Room'!$A$15-('Control Room'!$B$15-1)/2)/MAX(0.5,'Control Room'!$B$15/4))^2),1)*IF(AND($A322&gt;='Control Room'!$A$16,$A322&lt;'Control Room'!$A$16+'Control Room'!$B$16,'Process'!BL5=1),1+('Control Room'!$C$16-1)*EXP(-0.5*(($A322-'Control Room'!$A$16-('Control Room'!$B$16-1)/2)/MAX(0.5,'Control Room'!$B$16/4))^2),1)</x:f>
        <x:v>1</x:v>
      </x:c>
      <x:c r="L322" s="9" t="n">
        <x:f>MOD(M321*16807,2147483647)</x:f>
        <x:v>875599691</x:v>
      </x:c>
      <x:c r="M322" s="9" t="n">
        <x:f>MOD(L322*16807,2147483647)</x:f>
        <x:v>1646057393</x:v>
      </x:c>
      <x:c r="N322" s="17" t="n">
        <x:f>IF('Control Room'!$B$5="Normal",'Control Room'!$B$7+'Control Room'!$D$7*SQRT(-2*LN(MAX(0.000000000001,L322/2147483647)))*COS(2*PI()*M322/2147483647),'Control Room'!$B$8+('Control Room'!$D$8-'Control Room'!$B$8)*L322/2147483647)</x:f>
        <x:v>1012.4798798427017</x:v>
      </x:c>
      <x:c r="O322" s="17" t="n">
        <x:f>IF('Control Room'!$B$5="Normal",'Control Room'!$B$7,('Control Room'!$B$8+'Control Room'!$D$8)/2)+'Control Room'!$B$9*(O321-IF('Control Room'!$B$5="Normal",'Control Room'!$B$7,('Control Room'!$B$8+'Control Room'!$D$8)/2))+SQRT(1-'Control Room'!$B$9^2)*(N322-IF('Control Room'!$B$5="Normal",'Control Room'!$B$7,('Control Room'!$B$8+'Control Room'!$D$8)/2))</x:f>
        <x:v>1075.0016892983913</x:v>
      </x:c>
      <x:c r="P322" s="17" t="n">
        <x:f>IF(AND($A322&gt;='Control Room'!$A$13,$A322&lt;'Control Room'!$A$13+'Control Room'!$B$13,'Process'!BM2=1),1+('Control Room'!$C$13-1)*EXP(-0.5*(($A322-'Control Room'!$A$13-('Control Room'!$B$13-1)/2)/MAX(0.5,'Control Room'!$B$13/4))^2),1)*IF(AND($A322&gt;='Control Room'!$A$14,$A322&lt;'Control Room'!$A$14+'Control Room'!$B$14,'Process'!BM3=1),1+('Control Room'!$C$14-1)*EXP(-0.5*(($A322-'Control Room'!$A$14-('Control Room'!$B$14-1)/2)/MAX(0.5,'Control Room'!$B$14/4))^2),1)*IF(AND($A322&gt;='Control Room'!$A$15,$A322&lt;'Control Room'!$A$15+'Control Room'!$B$15,'Process'!BM4=1),1+('Control Room'!$C$15-1)*EXP(-0.5*(($A322-'Control Room'!$A$15-('Control Room'!$B$15-1)/2)/MAX(0.5,'Control Room'!$B$15/4))^2),1)*IF(AND($A322&gt;='Control Room'!$A$16,$A322&lt;'Control Room'!$A$16+'Control Room'!$B$16,'Process'!BM5=1),1+('Control Room'!$C$16-1)*EXP(-0.5*(($A322-'Control Room'!$A$16-('Control Room'!$B$16-1)/2)/MAX(0.5,'Control Room'!$B$16/4))^2),1)</x:f>
        <x:v>1</x:v>
      </x:c>
      <x:c r="Q322" s="9" t="n">
        <x:f>MOD(R321*16807,2147483647)</x:f>
        <x:v>1955491941</x:v>
      </x:c>
      <x:c r="R322" s="9" t="n">
        <x:f>MOD(Q322*16807,2147483647)</x:f>
        <x:v>863318699</x:v>
      </x:c>
      <x:c r="S322" s="17" t="n">
        <x:f>IF('Control Room'!$B$5="Normal",'Control Room'!$B$7+'Control Room'!$D$7*SQRT(-2*LN(MAX(0.000000000001,Q322/2147483647)))*COS(2*PI()*R322/2147483647),'Control Room'!$B$8+('Control Room'!$D$8-'Control Room'!$B$8)*Q322/2147483647)</x:f>
        <x:v>968.2004624432172</x:v>
      </x:c>
      <x:c r="T322" s="17" t="n">
        <x:f>IF('Control Room'!$B$5="Normal",'Control Room'!$B$7,('Control Room'!$B$8+'Control Room'!$D$8)/2)+'Control Room'!$B$9*(T321-IF('Control Room'!$B$5="Normal",'Control Room'!$B$7,('Control Room'!$B$8+'Control Room'!$D$8)/2))+SQRT(1-'Control Room'!$B$9^2)*(S322-IF('Control Room'!$B$5="Normal",'Control Room'!$B$7,('Control Room'!$B$8+'Control Room'!$D$8)/2))</x:f>
        <x:v>886.3926636877001</x:v>
      </x:c>
      <x:c r="U322" s="17" t="n">
        <x:f>IF(AND($A322&gt;='Control Room'!$A$13,$A322&lt;'Control Room'!$A$13+'Control Room'!$B$13,'Process'!BN2=1),1+('Control Room'!$C$13-1)*EXP(-0.5*(($A322-'Control Room'!$A$13-('Control Room'!$B$13-1)/2)/MAX(0.5,'Control Room'!$B$13/4))^2),1)*IF(AND($A322&gt;='Control Room'!$A$14,$A322&lt;'Control Room'!$A$14+'Control Room'!$B$14,'Process'!BN3=1),1+('Control Room'!$C$14-1)*EXP(-0.5*(($A322-'Control Room'!$A$14-('Control Room'!$B$14-1)/2)/MAX(0.5,'Control Room'!$B$14/4))^2),1)*IF(AND($A322&gt;='Control Room'!$A$15,$A322&lt;'Control Room'!$A$15+'Control Room'!$B$15,'Process'!BN4=1),1+('Control Room'!$C$15-1)*EXP(-0.5*(($A322-'Control Room'!$A$15-('Control Room'!$B$15-1)/2)/MAX(0.5,'Control Room'!$B$15/4))^2),1)*IF(AND($A322&gt;='Control Room'!$A$16,$A322&lt;'Control Room'!$A$16+'Control Room'!$B$16,'Process'!BN5=1),1+('Control Room'!$C$16-1)*EXP(-0.5*(($A322-'Control Room'!$A$16-('Control Room'!$B$16-1)/2)/MAX(0.5,'Control Room'!$B$16/4))^2),1)</x:f>
        <x:v>1</x:v>
      </x:c>
      <x:c r="V322" s="9" t="n">
        <x:f>MOD(W321*16807,2147483647)</x:f>
        <x:v>887900544</x:v>
      </x:c>
      <x:c r="W322" s="9" t="n">
        <x:f>MOD(V322*16807,2147483647)</x:f>
        <x:v>80580005</x:v>
      </x:c>
      <x:c r="X322" s="17" t="n">
        <x:f>IF('Control Room'!$B$5="Normal",'Control Room'!$B$7+'Control Room'!$D$7*SQRT(-2*LN(MAX(0.000000000001,V322/2147483647)))*COS(2*PI()*W322/2147483647),'Control Room'!$B$8+('Control Room'!$D$8-'Control Room'!$B$8)*V322/2147483647)</x:f>
        <x:v>1116.3058596018273</x:v>
      </x:c>
      <x:c r="Y322" s="17" t="n">
        <x:f>IF('Control Room'!$B$5="Normal",'Control Room'!$B$7,('Control Room'!$B$8+'Control Room'!$D$8)/2)+'Control Room'!$B$9*(Y321-IF('Control Room'!$B$5="Normal",'Control Room'!$B$7,('Control Room'!$B$8+'Control Room'!$D$8)/2))+SQRT(1-'Control Room'!$B$9^2)*(X322-IF('Control Room'!$B$5="Normal",'Control Room'!$B$7,('Control Room'!$B$8+'Control Room'!$D$8)/2))</x:f>
        <x:v>1240.5303884170746</x:v>
      </x:c>
      <x:c r="Z322" s="17" t="n">
        <x:f>IF(AND($A322&gt;='Control Room'!$A$13,$A322&lt;'Control Room'!$A$13+'Control Room'!$B$13,'Process'!BO2=1),1+('Control Room'!$C$13-1)*EXP(-0.5*(($A322-'Control Room'!$A$13-('Control Room'!$B$13-1)/2)/MAX(0.5,'Control Room'!$B$13/4))^2),1)*IF(AND($A322&gt;='Control Room'!$A$14,$A322&lt;'Control Room'!$A$14+'Control Room'!$B$14,'Process'!BO3=1),1+('Control Room'!$C$14-1)*EXP(-0.5*(($A322-'Control Room'!$A$14-('Control Room'!$B$14-1)/2)/MAX(0.5,'Control Room'!$B$14/4))^2),1)*IF(AND($A322&gt;='Control Room'!$A$15,$A322&lt;'Control Room'!$A$15+'Control Room'!$B$15,'Process'!BO4=1),1+('Control Room'!$C$15-1)*EXP(-0.5*(($A322-'Control Room'!$A$15-('Control Room'!$B$15-1)/2)/MAX(0.5,'Control Room'!$B$15/4))^2),1)*IF(AND($A322&gt;='Control Room'!$A$16,$A322&lt;'Control Room'!$A$16+'Control Room'!$B$16,'Process'!BO5=1),1+('Control Room'!$C$16-1)*EXP(-0.5*(($A322-'Control Room'!$A$16-('Control Room'!$B$16-1)/2)/MAX(0.5,'Control Room'!$B$16/4))^2),1)</x:f>
        <x:v>1</x:v>
      </x:c>
      <x:c r="AA322" s="9" t="n">
        <x:f>MOD(AB321*16807,2147483647)</x:f>
        <x:v>1967792794</x:v>
      </x:c>
      <x:c r="AB322" s="9" t="n">
        <x:f>MOD(AA322*16807,2147483647)</x:f>
        <x:v>1445324958</x:v>
      </x:c>
      <x:c r="AC322" s="17" t="n">
        <x:f>IF('Control Room'!$B$5="Normal",'Control Room'!$B$7+'Control Room'!$D$7*SQRT(-2*LN(MAX(0.000000000001,AA322/2147483647)))*COS(2*PI()*AB322/2147483647),'Control Room'!$B$8+('Control Room'!$D$8-'Control Room'!$B$8)*AA322/2147483647)</x:f>
        <x:v>982.5054598635483</x:v>
      </x:c>
      <x:c r="AD322" s="17" t="n">
        <x:f>IF('Control Room'!$B$5="Normal",'Control Room'!$B$7,('Control Room'!$B$8+'Control Room'!$D$8)/2)+'Control Room'!$B$9*(AD321-IF('Control Room'!$B$5="Normal",'Control Room'!$B$7,('Control Room'!$B$8+'Control Room'!$D$8)/2))+SQRT(1-'Control Room'!$B$9^2)*(AC322-IF('Control Room'!$B$5="Normal",'Control Room'!$B$7,('Control Room'!$B$8+'Control Room'!$D$8)/2))</x:f>
        <x:v>1032.248142874372</x:v>
      </x:c>
      <x:c r="AE322" s="17" t="n">
        <x:f>IF(AND($A322&gt;='Control Room'!$A$13,$A322&lt;'Control Room'!$A$13+'Control Room'!$B$13,'Process'!BP2=1),1+('Control Room'!$C$13-1)*EXP(-0.5*(($A322-'Control Room'!$A$13-('Control Room'!$B$13-1)/2)/MAX(0.5,'Control Room'!$B$13/4))^2),1)*IF(AND($A322&gt;='Control Room'!$A$14,$A322&lt;'Control Room'!$A$14+'Control Room'!$B$14,'Process'!BP3=1),1+('Control Room'!$C$14-1)*EXP(-0.5*(($A322-'Control Room'!$A$14-('Control Room'!$B$14-1)/2)/MAX(0.5,'Control Room'!$B$14/4))^2),1)*IF(AND($A322&gt;='Control Room'!$A$15,$A322&lt;'Control Room'!$A$15+'Control Room'!$B$15,'Process'!BP4=1),1+('Control Room'!$C$15-1)*EXP(-0.5*(($A322-'Control Room'!$A$15-('Control Room'!$B$15-1)/2)/MAX(0.5,'Control Room'!$B$15/4))^2),1)*IF(AND($A322&gt;='Control Room'!$A$16,$A322&lt;'Control Room'!$A$16+'Control Room'!$B$16,'Process'!BP5=1),1+('Control Room'!$C$16-1)*EXP(-0.5*(($A322-'Control Room'!$A$16-('Control Room'!$B$16-1)/2)/MAX(0.5,'Control Room'!$B$16/4))^2),1)</x:f>
        <x:v>1</x:v>
      </x:c>
      <x:c r="AF322" s="9" t="n">
        <x:f>MOD(AG321*16807,2147483647)</x:f>
        <x:v>900201397</x:v>
      </x:c>
      <x:c r="AG322" s="9" t="n">
        <x:f>MOD(AF322*16807,2147483647)</x:f>
        <x:v>662586264</x:v>
      </x:c>
      <x:c r="AH322" s="17" t="n">
        <x:f>IF('Control Room'!$B$5="Normal",'Control Room'!$B$7+'Control Room'!$D$7*SQRT(-2*LN(MAX(0.000000000001,AF322/2147483647)))*COS(2*PI()*AG322/2147483647),'Control Room'!$B$8+('Control Room'!$D$8-'Control Room'!$B$8)*AF322/2147483647)</x:f>
        <x:v>957.3246975315524</x:v>
      </x:c>
      <x:c r="AI322" s="17" t="n">
        <x:f>IF('Control Room'!$B$5="Normal",'Control Room'!$B$7,('Control Room'!$B$8+'Control Room'!$D$8)/2)+'Control Room'!$B$9*(AI321-IF('Control Room'!$B$5="Normal",'Control Room'!$B$7,('Control Room'!$B$8+'Control Room'!$D$8)/2))+SQRT(1-'Control Room'!$B$9^2)*(AH322-IF('Control Room'!$B$5="Normal",'Control Room'!$B$7,('Control Room'!$B$8+'Control Room'!$D$8)/2))</x:f>
        <x:v>1013.8396425594489</x:v>
      </x:c>
      <x:c r="AJ322" s="17" t="n">
        <x:f>IF(AND($A322&gt;='Control Room'!$A$13,$A322&lt;'Control Room'!$A$13+'Control Room'!$B$13,'Process'!BQ2=1),1+('Control Room'!$C$13-1)*EXP(-0.5*(($A322-'Control Room'!$A$13-('Control Room'!$B$13-1)/2)/MAX(0.5,'Control Room'!$B$13/4))^2),1)*IF(AND($A322&gt;='Control Room'!$A$14,$A322&lt;'Control Room'!$A$14+'Control Room'!$B$14,'Process'!BQ3=1),1+('Control Room'!$C$14-1)*EXP(-0.5*(($A322-'Control Room'!$A$14-('Control Room'!$B$14-1)/2)/MAX(0.5,'Control Room'!$B$14/4))^2),1)*IF(AND($A322&gt;='Control Room'!$A$15,$A322&lt;'Control Room'!$A$15+'Control Room'!$B$15,'Process'!BQ4=1),1+('Control Room'!$C$15-1)*EXP(-0.5*(($A322-'Control Room'!$A$15-('Control Room'!$B$15-1)/2)/MAX(0.5,'Control Room'!$B$15/4))^2),1)*IF(AND($A322&gt;='Control Room'!$A$16,$A322&lt;'Control Room'!$A$16+'Control Room'!$B$16,'Process'!BQ5=1),1+('Control Room'!$C$16-1)*EXP(-0.5*(($A322-'Control Room'!$A$16-('Control Room'!$B$16-1)/2)/MAX(0.5,'Control Room'!$B$16/4))^2),1)</x:f>
        <x:v>1</x:v>
      </x:c>
      <x:c r="AK322" s="9" t="n">
        <x:f>MOD(AL321*16807,2147483647)</x:f>
        <x:v>1980093647</x:v>
      </x:c>
      <x:c r="AL322" s="9" t="n">
        <x:f>MOD(AK322*16807,2147483647)</x:f>
        <x:v>2027331217</x:v>
      </x:c>
      <x:c r="AM322" s="17" t="n">
        <x:f>IF('Control Room'!$B$5="Normal",'Control Room'!$B$7+'Control Room'!$D$7*SQRT(-2*LN(MAX(0.000000000001,AK322/2147483647)))*COS(2*PI()*AL322/2147483647),'Control Room'!$B$8+('Control Room'!$D$8-'Control Room'!$B$8)*AK322/2147483647)</x:f>
        <x:v>1034.0408968073943</x:v>
      </x:c>
      <x:c r="AN322" s="17" t="n">
        <x:f>IF('Control Room'!$B$5="Normal",'Control Room'!$B$7,('Control Room'!$B$8+'Control Room'!$D$8)/2)+'Control Room'!$B$9*(AN321-IF('Control Room'!$B$5="Normal",'Control Room'!$B$7,('Control Room'!$B$8+'Control Room'!$D$8)/2))+SQRT(1-'Control Room'!$B$9^2)*(AM322-IF('Control Room'!$B$5="Normal",'Control Room'!$B$7,('Control Room'!$B$8+'Control Room'!$D$8)/2))</x:f>
        <x:v>906.2780080166833</x:v>
      </x:c>
      <x:c r="AO322" s="17" t="n">
        <x:f>IF(AND($A322&gt;='Control Room'!$A$13,$A322&lt;'Control Room'!$A$13+'Control Room'!$B$13,'Process'!BR2=1),1+('Control Room'!$C$13-1)*EXP(-0.5*(($A322-'Control Room'!$A$13-('Control Room'!$B$13-1)/2)/MAX(0.5,'Control Room'!$B$13/4))^2),1)*IF(AND($A322&gt;='Control Room'!$A$14,$A322&lt;'Control Room'!$A$14+'Control Room'!$B$14,'Process'!BR3=1),1+('Control Room'!$C$14-1)*EXP(-0.5*(($A322-'Control Room'!$A$14-('Control Room'!$B$14-1)/2)/MAX(0.5,'Control Room'!$B$14/4))^2),1)*IF(AND($A322&gt;='Control Room'!$A$15,$A322&lt;'Control Room'!$A$15+'Control Room'!$B$15,'Process'!BR4=1),1+('Control Room'!$C$15-1)*EXP(-0.5*(($A322-'Control Room'!$A$15-('Control Room'!$B$15-1)/2)/MAX(0.5,'Control Room'!$B$15/4))^2),1)*IF(AND($A322&gt;='Control Room'!$A$16,$A322&lt;'Control Room'!$A$16+'Control Room'!$B$16,'Process'!BR5=1),1+('Control Room'!$C$16-1)*EXP(-0.5*(($A322-'Control Room'!$A$16-('Control Room'!$B$16-1)/2)/MAX(0.5,'Control Room'!$B$16/4))^2),1)</x:f>
        <x:v>1</x:v>
      </x:c>
      <x:c r="AP322" s="9" t="n">
        <x:f>MOD(AQ321*16807,2147483647)</x:f>
        <x:v>912502250</x:v>
      </x:c>
      <x:c r="AQ322" s="9" t="n">
        <x:f>MOD(AP322*16807,2147483647)</x:f>
        <x:v>1244592523</x:v>
      </x:c>
      <x:c r="AR322" s="17" t="n">
        <x:f>IF('Control Room'!$B$5="Normal",'Control Room'!$B$7+'Control Room'!$D$7*SQRT(-2*LN(MAX(0.000000000001,AP322/2147483647)))*COS(2*PI()*AQ322/2147483647),'Control Room'!$B$8+('Control Room'!$D$8-'Control Room'!$B$8)*AP322/2147483647)</x:f>
        <x:v>896.6583414792331</x:v>
      </x:c>
      <x:c r="AS322" s="17" t="n">
        <x:f>IF('Control Room'!$B$5="Normal",'Control Room'!$B$7,('Control Room'!$B$8+'Control Room'!$D$8)/2)+'Control Room'!$B$9*(AS321-IF('Control Room'!$B$5="Normal",'Control Room'!$B$7,('Control Room'!$B$8+'Control Room'!$D$8)/2))+SQRT(1-'Control Room'!$B$9^2)*(AR322-IF('Control Room'!$B$5="Normal",'Control Room'!$B$7,('Control Room'!$B$8+'Control Room'!$D$8)/2))</x:f>
        <x:v>963.529909596125</x:v>
      </x:c>
      <x:c r="AT322" s="17" t="n">
        <x:f>IF(AND($A322&gt;='Control Room'!$A$13,$A322&lt;'Control Room'!$A$13+'Control Room'!$B$13,'Process'!BS2=1),1+('Control Room'!$C$13-1)*EXP(-0.5*(($A322-'Control Room'!$A$13-('Control Room'!$B$13-1)/2)/MAX(0.5,'Control Room'!$B$13/4))^2),1)*IF(AND($A322&gt;='Control Room'!$A$14,$A322&lt;'Control Room'!$A$14+'Control Room'!$B$14,'Process'!BS3=1),1+('Control Room'!$C$14-1)*EXP(-0.5*(($A322-'Control Room'!$A$14-('Control Room'!$B$14-1)/2)/MAX(0.5,'Control Room'!$B$14/4))^2),1)*IF(AND($A322&gt;='Control Room'!$A$15,$A322&lt;'Control Room'!$A$15+'Control Room'!$B$15,'Process'!BS4=1),1+('Control Room'!$C$15-1)*EXP(-0.5*(($A322-'Control Room'!$A$15-('Control Room'!$B$15-1)/2)/MAX(0.5,'Control Room'!$B$15/4))^2),1)*IF(AND($A322&gt;='Control Room'!$A$16,$A322&lt;'Control Room'!$A$16+'Control Room'!$B$16,'Process'!BS5=1),1+('Control Room'!$C$16-1)*EXP(-0.5*(($A322-'Control Room'!$A$16-('Control Room'!$B$16-1)/2)/MAX(0.5,'Control Room'!$B$16/4))^2),1)</x:f>
        <x:v>1</x:v>
      </x:c>
      <x:c r="AU322" s="9" t="n">
        <x:f>MOD(AV321*16807,2147483647)</x:f>
        <x:v>1992394500</x:v>
      </x:c>
      <x:c r="AV322" s="9" t="n">
        <x:f>MOD(AU322*16807,2147483647)</x:f>
        <x:v>461853829</x:v>
      </x:c>
      <x:c r="AW322" s="17" t="n">
        <x:f>IF('Control Room'!$B$5="Normal",'Control Room'!$B$7+'Control Room'!$D$7*SQRT(-2*LN(MAX(0.000000000001,AU322/2147483647)))*COS(2*PI()*AV322/2147483647),'Control Room'!$B$8+('Control Room'!$D$8-'Control Room'!$B$8)*AU322/2147483647)</x:f>
        <x:v>1007.5873238291668</x:v>
      </x:c>
      <x:c r="AX322" s="17" t="n">
        <x:f>IF('Control Room'!$B$5="Normal",'Control Room'!$B$7,('Control Room'!$B$8+'Control Room'!$D$8)/2)+'Control Room'!$B$9*(AX321-IF('Control Room'!$B$5="Normal",'Control Room'!$B$7,('Control Room'!$B$8+'Control Room'!$D$8)/2))+SQRT(1-'Control Room'!$B$9^2)*(AW322-IF('Control Room'!$B$5="Normal",'Control Room'!$B$7,('Control Room'!$B$8+'Control Room'!$D$8)/2))</x:f>
        <x:v>1047.6611719966486</x:v>
      </x:c>
      <x:c r="AY322" s="17" t="n">
        <x:f>IF(AND($A322&gt;='Control Room'!$A$13,$A322&lt;'Control Room'!$A$13+'Control Room'!$B$13,'Process'!BT2=1),1+('Control Room'!$C$13-1)*EXP(-0.5*(($A322-'Control Room'!$A$13-('Control Room'!$B$13-1)/2)/MAX(0.5,'Control Room'!$B$13/4))^2),1)*IF(AND($A322&gt;='Control Room'!$A$14,$A322&lt;'Control Room'!$A$14+'Control Room'!$B$14,'Process'!BT3=1),1+('Control Room'!$C$14-1)*EXP(-0.5*(($A322-'Control Room'!$A$14-('Control Room'!$B$14-1)/2)/MAX(0.5,'Control Room'!$B$14/4))^2),1)*IF(AND($A322&gt;='Control Room'!$A$15,$A322&lt;'Control Room'!$A$15+'Control Room'!$B$15,'Process'!BT4=1),1+('Control Room'!$C$15-1)*EXP(-0.5*(($A322-'Control Room'!$A$15-('Control Room'!$B$15-1)/2)/MAX(0.5,'Control Room'!$B$15/4))^2),1)*IF(AND($A322&gt;='Control Room'!$A$16,$A322&lt;'Control Room'!$A$16+'Control Room'!$B$16,'Process'!BT5=1),1+('Control Room'!$C$16-1)*EXP(-0.5*(($A322-'Control Room'!$A$16-('Control Room'!$B$16-1)/2)/MAX(0.5,'Control Room'!$B$16/4))^2),1)</x:f>
        <x:v>1</x:v>
      </x:c>
      <x:c r="AZ322" s="9" t="n">
        <x:f>MOD(BA321*16807,2147483647)</x:f>
        <x:v>924803103</x:v>
      </x:c>
      <x:c r="BA322" s="9" t="n">
        <x:f>MOD(AZ322*16807,2147483647)</x:f>
        <x:v>1826598782</x:v>
      </x:c>
      <x:c r="BB322" s="17" t="n">
        <x:f>IF('Control Room'!$B$5="Normal",'Control Room'!$B$7+'Control Room'!$D$7*SQRT(-2*LN(MAX(0.000000000001,AZ322/2147483647)))*COS(2*PI()*BA322/2147483647),'Control Room'!$B$8+('Control Room'!$D$8-'Control Room'!$B$8)*AZ322/2147483647)</x:f>
        <x:v>1069.0096983845613</x:v>
      </x:c>
      <x:c r="BC322" s="17" t="n">
        <x:f>IF('Control Room'!$B$5="Normal",'Control Room'!$B$7,('Control Room'!$B$8+'Control Room'!$D$8)/2)+'Control Room'!$B$9*(BC321-IF('Control Room'!$B$5="Normal",'Control Room'!$B$7,('Control Room'!$B$8+'Control Room'!$D$8)/2))+SQRT(1-'Control Room'!$B$9^2)*(BB322-IF('Control Room'!$B$5="Normal",'Control Room'!$B$7,('Control Room'!$B$8+'Control Room'!$D$8)/2))</x:f>
        <x:v>1107.10728407923</x:v>
      </x:c>
      <x:c r="BD322" s="17" t="n">
        <x:f>IF(AND($A322&gt;='Control Room'!$A$13,$A322&lt;'Control Room'!$A$13+'Control Room'!$B$13,'Process'!BU2=1),1+('Control Room'!$C$13-1)*EXP(-0.5*(($A322-'Control Room'!$A$13-('Control Room'!$B$13-1)/2)/MAX(0.5,'Control Room'!$B$13/4))^2),1)*IF(AND($A322&gt;='Control Room'!$A$14,$A322&lt;'Control Room'!$A$14+'Control Room'!$B$14,'Process'!BU3=1),1+('Control Room'!$C$14-1)*EXP(-0.5*(($A322-'Control Room'!$A$14-('Control Room'!$B$14-1)/2)/MAX(0.5,'Control Room'!$B$14/4))^2),1)*IF(AND($A322&gt;='Control Room'!$A$15,$A322&lt;'Control Room'!$A$15+'Control Room'!$B$15,'Process'!BU4=1),1+('Control Room'!$C$15-1)*EXP(-0.5*(($A322-'Control Room'!$A$15-('Control Room'!$B$15-1)/2)/MAX(0.5,'Control Room'!$B$15/4))^2),1)*IF(AND($A322&gt;='Control Room'!$A$16,$A322&lt;'Control Room'!$A$16+'Control Room'!$B$16,'Process'!BU5=1),1+('Control Room'!$C$16-1)*EXP(-0.5*(($A322-'Control Room'!$A$16-('Control Room'!$B$16-1)/2)/MAX(0.5,'Control Room'!$B$16/4))^2),1)</x:f>
        <x:v>1</x:v>
      </x:c>
      <x:c r="BE322" s="9" t="n">
        <x:f>MOD(BF321*16807,2147483647)</x:f>
        <x:v>2004695353</x:v>
      </x:c>
      <x:c r="BF322" s="9" t="n">
        <x:f>MOD(BE322*16807,2147483647)</x:f>
        <x:v>1043860088</x:v>
      </x:c>
      <x:c r="BG322" s="17" t="n">
        <x:f>IF('Control Room'!$B$5="Normal",'Control Room'!$B$7+'Control Room'!$D$7*SQRT(-2*LN(MAX(0.000000000001,BE322/2147483647)))*COS(2*PI()*BF322/2147483647),'Control Room'!$B$8+('Control Room'!$D$8-'Control Room'!$B$8)*BE322/2147483647)</x:f>
        <x:v>966.7413621476894</x:v>
      </x:c>
      <x:c r="BH322" s="17" t="n">
        <x:f>IF('Control Room'!$B$5="Normal",'Control Room'!$B$7,('Control Room'!$B$8+'Control Room'!$D$8)/2)+'Control Room'!$B$9*(BH321-IF('Control Room'!$B$5="Normal",'Control Room'!$B$7,('Control Room'!$B$8+'Control Room'!$D$8)/2))+SQRT(1-'Control Room'!$B$9^2)*(BG322-IF('Control Room'!$B$5="Normal",'Control Room'!$B$7,('Control Room'!$B$8+'Control Room'!$D$8)/2))</x:f>
        <x:v>888.6721177748235</x:v>
      </x:c>
      <x:c r="BI322" s="17" t="n">
        <x:f>IF(AND($A322&gt;='Control Room'!$A$13,$A322&lt;'Control Room'!$A$13+'Control Room'!$B$13,'Process'!BV2=1),1+('Control Room'!$C$13-1)*EXP(-0.5*(($A322-'Control Room'!$A$13-('Control Room'!$B$13-1)/2)/MAX(0.5,'Control Room'!$B$13/4))^2),1)*IF(AND($A322&gt;='Control Room'!$A$14,$A322&lt;'Control Room'!$A$14+'Control Room'!$B$14,'Process'!BV3=1),1+('Control Room'!$C$14-1)*EXP(-0.5*(($A322-'Control Room'!$A$14-('Control Room'!$B$14-1)/2)/MAX(0.5,'Control Room'!$B$14/4))^2),1)*IF(AND($A322&gt;='Control Room'!$A$15,$A322&lt;'Control Room'!$A$15+'Control Room'!$B$15,'Process'!BV4=1),1+('Control Room'!$C$15-1)*EXP(-0.5*(($A322-'Control Room'!$A$15-('Control Room'!$B$15-1)/2)/MAX(0.5,'Control Room'!$B$15/4))^2),1)*IF(AND($A322&gt;='Control Room'!$A$16,$A322&lt;'Control Room'!$A$16+'Control Room'!$B$16,'Process'!BV5=1),1+('Control Room'!$C$16-1)*EXP(-0.5*(($A322-'Control Room'!$A$16-('Control Room'!$B$16-1)/2)/MAX(0.5,'Control Room'!$B$16/4))^2),1)</x:f>
        <x:v>1</x:v>
      </x:c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Z322" t="str">
        <x:f>IF('Data'!A322="","",TEXT('Data'!A322,"mm-dd"))</x:f>
      </x:c>
    </x:row>
    <x:row r="323" ht="21" customHeight="1">
      <x:c r="A323" s="15" t="n">
        <x:f>'Control Room'!$B$1+321</x:f>
        <x:v>73312</x:v>
      </x:c>
      <x:c r="B323" s="9" t="n">
        <x:f>MOD(C322*16807,2147483647)</x:f>
        <x:v>1411080569</x:v>
      </x:c>
      <x:c r="C323" s="9" t="n">
        <x:f>MOD(B323*16807,2147483647)</x:f>
        <x:v>1369209362</x:v>
      </x:c>
      <x:c r="D323" s="17" t="n">
        <x:f>IF('Control Room'!$B$5="Normal",'Control Room'!$B$7+'Control Room'!$D$7*SQRT(-2*LN(MAX(0.000000000001,B323/2147483647)))*COS(2*PI()*C323/2147483647),'Control Room'!$B$8+('Control Room'!$D$8-'Control Room'!$B$8)*B323/2147483647)</x:f>
        <x:v>946.4677620232269</x:v>
      </x:c>
      <x:c r="E323" s="17" t="n">
        <x:f>IF('Control Room'!$B$5="Normal",'Control Room'!$B$7,('Control Room'!$B$8+'Control Room'!$D$8)/2)+'Control Room'!$B$9*(E322-IF('Control Room'!$B$5="Normal",'Control Room'!$B$7,('Control Room'!$B$8+'Control Room'!$D$8)/2))+SQRT(1-'Control Room'!$B$9^2)*(D323-IF('Control Room'!$B$5="Normal",'Control Room'!$B$7,('Control Room'!$B$8+'Control Room'!$D$8)/2))</x:f>
        <x:v>988.0778280499233</x:v>
      </x:c>
      <x:c r="F323" s="17" t="n">
        <x:f>IF(AND($A323&gt;='Control Room'!$A$13,$A323&lt;'Control Room'!$A$13+'Control Room'!$B$13,'Process'!BK2=1),1+('Control Room'!$C$13-1)*EXP(-0.5*(($A323-'Control Room'!$A$13-('Control Room'!$B$13-1)/2)/MAX(0.5,'Control Room'!$B$13/4))^2),1)*IF(AND($A323&gt;='Control Room'!$A$14,$A323&lt;'Control Room'!$A$14+'Control Room'!$B$14,'Process'!BK3=1),1+('Control Room'!$C$14-1)*EXP(-0.5*(($A323-'Control Room'!$A$14-('Control Room'!$B$14-1)/2)/MAX(0.5,'Control Room'!$B$14/4))^2),1)*IF(AND($A323&gt;='Control Room'!$A$15,$A323&lt;'Control Room'!$A$15+'Control Room'!$B$15,'Process'!BK4=1),1+('Control Room'!$C$15-1)*EXP(-0.5*(($A323-'Control Room'!$A$15-('Control Room'!$B$15-1)/2)/MAX(0.5,'Control Room'!$B$15/4))^2),1)*IF(AND($A323&gt;='Control Room'!$A$16,$A323&lt;'Control Room'!$A$16+'Control Room'!$B$16,'Process'!BK5=1),1+('Control Room'!$C$16-1)*EXP(-0.5*(($A323-'Control Room'!$A$16-('Control Room'!$B$16-1)/2)/MAX(0.5,'Control Room'!$B$16/4))^2),1)</x:f>
        <x:v>1</x:v>
      </x:c>
      <x:c r="G323" s="9" t="n">
        <x:f>MOD(H322*16807,2147483647)</x:f>
        <x:v>1406672033</x:v>
      </x:c>
      <x:c r="H323" s="9" t="n">
        <x:f>MOD(G323*16807,2147483647)</x:f>
        <x:v>289388808</x:v>
      </x:c>
      <x:c r="I323" s="17" t="n">
        <x:f>IF('Control Room'!$B$5="Normal",'Control Room'!$B$7+'Control Room'!$D$7*SQRT(-2*LN(MAX(0.000000000001,G323/2147483647)))*COS(2*PI()*H323/2147483647),'Control Room'!$B$8+('Control Room'!$D$8-'Control Room'!$B$8)*G323/2147483647)</x:f>
        <x:v>1054.8429049990636</x:v>
      </x:c>
      <x:c r="J323" s="17" t="n">
        <x:f>IF('Control Room'!$B$5="Normal",'Control Room'!$B$7,('Control Room'!$B$8+'Control Room'!$D$8)/2)+'Control Room'!$B$9*(J322-IF('Control Room'!$B$5="Normal",'Control Room'!$B$7,('Control Room'!$B$8+'Control Room'!$D$8)/2))+SQRT(1-'Control Room'!$B$9^2)*(I323-IF('Control Room'!$B$5="Normal",'Control Room'!$B$7,('Control Room'!$B$8+'Control Room'!$D$8)/2))</x:f>
        <x:v>1036.0399814194657</x:v>
      </x:c>
      <x:c r="K323" s="17" t="n">
        <x:f>IF(AND($A323&gt;='Control Room'!$A$13,$A323&lt;'Control Room'!$A$13+'Control Room'!$B$13,'Process'!BL2=1),1+('Control Room'!$C$13-1)*EXP(-0.5*(($A323-'Control Room'!$A$13-('Control Room'!$B$13-1)/2)/MAX(0.5,'Control Room'!$B$13/4))^2),1)*IF(AND($A323&gt;='Control Room'!$A$14,$A323&lt;'Control Room'!$A$14+'Control Room'!$B$14,'Process'!BL3=1),1+('Control Room'!$C$14-1)*EXP(-0.5*(($A323-'Control Room'!$A$14-('Control Room'!$B$14-1)/2)/MAX(0.5,'Control Room'!$B$14/4))^2),1)*IF(AND($A323&gt;='Control Room'!$A$15,$A323&lt;'Control Room'!$A$15+'Control Room'!$B$15,'Process'!BL4=1),1+('Control Room'!$C$15-1)*EXP(-0.5*(($A323-'Control Room'!$A$15-('Control Room'!$B$15-1)/2)/MAX(0.5,'Control Room'!$B$15/4))^2),1)*IF(AND($A323&gt;='Control Room'!$A$16,$A323&lt;'Control Room'!$A$16+'Control Room'!$B$16,'Process'!BL5=1),1+('Control Room'!$C$16-1)*EXP(-0.5*(($A323-'Control Room'!$A$16-('Control Room'!$B$16-1)/2)/MAX(0.5,'Control Room'!$B$16/4))^2),1)</x:f>
        <x:v>1</x:v>
      </x:c>
      <x:c r="L323" s="9" t="n">
        <x:f>MOD(M322*16807,2147483647)</x:f>
        <x:v>1402263497</x:v>
      </x:c>
      <x:c r="M323" s="9" t="n">
        <x:f>MOD(L323*16807,2147483647)</x:f>
        <x:v>1357051901</x:v>
      </x:c>
      <x:c r="N323" s="17" t="n">
        <x:f>IF('Control Room'!$B$5="Normal",'Control Room'!$B$7+'Control Room'!$D$7*SQRT(-2*LN(MAX(0.000000000001,L323/2147483647)))*COS(2*PI()*M323/2147483647),'Control Room'!$B$8+('Control Room'!$D$8-'Control Room'!$B$8)*L323/2147483647)</x:f>
        <x:v>943.8557208931092</x:v>
      </x:c>
      <x:c r="O323" s="17" t="n">
        <x:f>IF('Control Room'!$B$5="Normal",'Control Room'!$B$7,('Control Room'!$B$8+'Control Room'!$D$8)/2)+'Control Room'!$B$9*(O322-IF('Control Room'!$B$5="Normal",'Control Room'!$B$7,('Control Room'!$B$8+'Control Room'!$D$8)/2))+SQRT(1-'Control Room'!$B$9^2)*(N323-IF('Control Room'!$B$5="Normal",'Control Room'!$B$7,('Control Room'!$B$8+'Control Room'!$D$8)/2))</x:f>
        <x:v>1023.3673779657282</x:v>
      </x:c>
      <x:c r="P323" s="17" t="n">
        <x:f>IF(AND($A323&gt;='Control Room'!$A$13,$A323&lt;'Control Room'!$A$13+'Control Room'!$B$13,'Process'!BM2=1),1+('Control Room'!$C$13-1)*EXP(-0.5*(($A323-'Control Room'!$A$13-('Control Room'!$B$13-1)/2)/MAX(0.5,'Control Room'!$B$13/4))^2),1)*IF(AND($A323&gt;='Control Room'!$A$14,$A323&lt;'Control Room'!$A$14+'Control Room'!$B$14,'Process'!BM3=1),1+('Control Room'!$C$14-1)*EXP(-0.5*(($A323-'Control Room'!$A$14-('Control Room'!$B$14-1)/2)/MAX(0.5,'Control Room'!$B$14/4))^2),1)*IF(AND($A323&gt;='Control Room'!$A$15,$A323&lt;'Control Room'!$A$15+'Control Room'!$B$15,'Process'!BM4=1),1+('Control Room'!$C$15-1)*EXP(-0.5*(($A323-'Control Room'!$A$15-('Control Room'!$B$15-1)/2)/MAX(0.5,'Control Room'!$B$15/4))^2),1)*IF(AND($A323&gt;='Control Room'!$A$16,$A323&lt;'Control Room'!$A$16+'Control Room'!$B$16,'Process'!BM5=1),1+('Control Room'!$C$16-1)*EXP(-0.5*(($A323-'Control Room'!$A$16-('Control Room'!$B$16-1)/2)/MAX(0.5,'Control Room'!$B$16/4))^2),1)</x:f>
        <x:v>1</x:v>
      </x:c>
      <x:c r="Q323" s="9" t="n">
        <x:f>MOD(R322*16807,2147483647)</x:f>
        <x:v>1397854961</x:v>
      </x:c>
      <x:c r="R323" s="9" t="n">
        <x:f>MOD(Q323*16807,2147483647)</x:f>
        <x:v>277231347</x:v>
      </x:c>
      <x:c r="S323" s="17" t="n">
        <x:f>IF('Control Room'!$B$5="Normal",'Control Room'!$B$7+'Control Room'!$D$7*SQRT(-2*LN(MAX(0.000000000001,Q323/2147483647)))*COS(2*PI()*R323/2147483647),'Control Room'!$B$8+('Control Room'!$D$8-'Control Room'!$B$8)*Q323/2147483647)</x:f>
        <x:v>1057.435817445257</x:v>
      </x:c>
      <x:c r="T323" s="17" t="n">
        <x:f>IF('Control Room'!$B$5="Normal",'Control Room'!$B$7,('Control Room'!$B$8+'Control Room'!$D$8)/2)+'Control Room'!$B$9*(T322-IF('Control Room'!$B$5="Normal",'Control Room'!$B$7,('Control Room'!$B$8+'Control Room'!$D$8)/2))+SQRT(1-'Control Room'!$B$9^2)*(S323-IF('Control Room'!$B$5="Normal",'Control Room'!$B$7,('Control Room'!$B$8+'Control Room'!$D$8)/2))</x:f>
        <x:v>947.3284355969716</x:v>
      </x:c>
      <x:c r="U323" s="17" t="n">
        <x:f>IF(AND($A323&gt;='Control Room'!$A$13,$A323&lt;'Control Room'!$A$13+'Control Room'!$B$13,'Process'!BN2=1),1+('Control Room'!$C$13-1)*EXP(-0.5*(($A323-'Control Room'!$A$13-('Control Room'!$B$13-1)/2)/MAX(0.5,'Control Room'!$B$13/4))^2),1)*IF(AND($A323&gt;='Control Room'!$A$14,$A323&lt;'Control Room'!$A$14+'Control Room'!$B$14,'Process'!BN3=1),1+('Control Room'!$C$14-1)*EXP(-0.5*(($A323-'Control Room'!$A$14-('Control Room'!$B$14-1)/2)/MAX(0.5,'Control Room'!$B$14/4))^2),1)*IF(AND($A323&gt;='Control Room'!$A$15,$A323&lt;'Control Room'!$A$15+'Control Room'!$B$15,'Process'!BN4=1),1+('Control Room'!$C$15-1)*EXP(-0.5*(($A323-'Control Room'!$A$15-('Control Room'!$B$15-1)/2)/MAX(0.5,'Control Room'!$B$15/4))^2),1)*IF(AND($A323&gt;='Control Room'!$A$16,$A323&lt;'Control Room'!$A$16+'Control Room'!$B$16,'Process'!BN5=1),1+('Control Room'!$C$16-1)*EXP(-0.5*(($A323-'Control Room'!$A$16-('Control Room'!$B$16-1)/2)/MAX(0.5,'Control Room'!$B$16/4))^2),1)</x:f>
        <x:v>1</x:v>
      </x:c>
      <x:c r="V323" s="9" t="n">
        <x:f>MOD(W322*16807,2147483647)</x:f>
        <x:v>1393446425</x:v>
      </x:c>
      <x:c r="W323" s="9" t="n">
        <x:f>MOD(V323*16807,2147483647)</x:f>
        <x:v>1344894440</x:v>
      </x:c>
      <x:c r="X323" s="17" t="n">
        <x:f>IF('Control Room'!$B$5="Normal",'Control Room'!$B$7+'Control Room'!$D$7*SQRT(-2*LN(MAX(0.000000000001,V323/2147483647)))*COS(2*PI()*W323/2147483647),'Control Room'!$B$8+('Control Room'!$D$8-'Control Room'!$B$8)*V323/2147483647)</x:f>
        <x:v>941.283021719673</x:v>
      </x:c>
      <x:c r="Y323" s="17" t="n">
        <x:f>IF('Control Room'!$B$5="Normal",'Control Room'!$B$7,('Control Room'!$B$8+'Control Room'!$D$8)/2)+'Control Room'!$B$9*(Y322-IF('Control Room'!$B$5="Normal",'Control Room'!$B$7,('Control Room'!$B$8+'Control Room'!$D$8)/2))+SQRT(1-'Control Room'!$B$9^2)*(X323-IF('Control Room'!$B$5="Normal",'Control Room'!$B$7,('Control Room'!$B$8+'Control Room'!$D$8)/2))</x:f>
        <x:v>1150.8698208401722</x:v>
      </x:c>
      <x:c r="Z323" s="17" t="n">
        <x:f>IF(AND($A323&gt;='Control Room'!$A$13,$A323&lt;'Control Room'!$A$13+'Control Room'!$B$13,'Process'!BO2=1),1+('Control Room'!$C$13-1)*EXP(-0.5*(($A323-'Control Room'!$A$13-('Control Room'!$B$13-1)/2)/MAX(0.5,'Control Room'!$B$13/4))^2),1)*IF(AND($A323&gt;='Control Room'!$A$14,$A323&lt;'Control Room'!$A$14+'Control Room'!$B$14,'Process'!BO3=1),1+('Control Room'!$C$14-1)*EXP(-0.5*(($A323-'Control Room'!$A$14-('Control Room'!$B$14-1)/2)/MAX(0.5,'Control Room'!$B$14/4))^2),1)*IF(AND($A323&gt;='Control Room'!$A$15,$A323&lt;'Control Room'!$A$15+'Control Room'!$B$15,'Process'!BO4=1),1+('Control Room'!$C$15-1)*EXP(-0.5*(($A323-'Control Room'!$A$15-('Control Room'!$B$15-1)/2)/MAX(0.5,'Control Room'!$B$15/4))^2),1)*IF(AND($A323&gt;='Control Room'!$A$16,$A323&lt;'Control Room'!$A$16+'Control Room'!$B$16,'Process'!BO5=1),1+('Control Room'!$C$16-1)*EXP(-0.5*(($A323-'Control Room'!$A$16-('Control Room'!$B$16-1)/2)/MAX(0.5,'Control Room'!$B$16/4))^2),1)</x:f>
        <x:v>1</x:v>
      </x:c>
      <x:c r="AA323" s="9" t="n">
        <x:f>MOD(AB322*16807,2147483647)</x:f>
        <x:v>1389037889</x:v>
      </x:c>
      <x:c r="AB323" s="9" t="n">
        <x:f>MOD(AA323*16807,2147483647)</x:f>
        <x:v>265073886</x:v>
      </x:c>
      <x:c r="AC323" s="17" t="n">
        <x:f>IF('Control Room'!$B$5="Normal",'Control Room'!$B$7+'Control Room'!$D$7*SQRT(-2*LN(MAX(0.000000000001,AA323/2147483647)))*COS(2*PI()*AB323/2147483647),'Control Room'!$B$8+('Control Room'!$D$8-'Control Room'!$B$8)*AA323/2147483647)</x:f>
        <x:v>1059.9872211994848</x:v>
      </x:c>
      <x:c r="AD323" s="17" t="n">
        <x:f>IF('Control Room'!$B$5="Normal",'Control Room'!$B$7,('Control Room'!$B$8+'Control Room'!$D$8)/2)+'Control Room'!$B$9*(AD322-IF('Control Room'!$B$5="Normal",'Control Room'!$B$7,('Control Room'!$B$8+'Control Room'!$D$8)/2))+SQRT(1-'Control Room'!$B$9^2)*(AC323-IF('Control Room'!$B$5="Normal",'Control Room'!$B$7,('Control Room'!$B$8+'Control Room'!$D$8)/2))</x:f>
        <x:v>1062.6923255636245</x:v>
      </x:c>
      <x:c r="AE323" s="17" t="n">
        <x:f>IF(AND($A323&gt;='Control Room'!$A$13,$A323&lt;'Control Room'!$A$13+'Control Room'!$B$13,'Process'!BP2=1),1+('Control Room'!$C$13-1)*EXP(-0.5*(($A323-'Control Room'!$A$13-('Control Room'!$B$13-1)/2)/MAX(0.5,'Control Room'!$B$13/4))^2),1)*IF(AND($A323&gt;='Control Room'!$A$14,$A323&lt;'Control Room'!$A$14+'Control Room'!$B$14,'Process'!BP3=1),1+('Control Room'!$C$14-1)*EXP(-0.5*(($A323-'Control Room'!$A$14-('Control Room'!$B$14-1)/2)/MAX(0.5,'Control Room'!$B$14/4))^2),1)*IF(AND($A323&gt;='Control Room'!$A$15,$A323&lt;'Control Room'!$A$15+'Control Room'!$B$15,'Process'!BP4=1),1+('Control Room'!$C$15-1)*EXP(-0.5*(($A323-'Control Room'!$A$15-('Control Room'!$B$15-1)/2)/MAX(0.5,'Control Room'!$B$15/4))^2),1)*IF(AND($A323&gt;='Control Room'!$A$16,$A323&lt;'Control Room'!$A$16+'Control Room'!$B$16,'Process'!BP5=1),1+('Control Room'!$C$16-1)*EXP(-0.5*(($A323-'Control Room'!$A$16-('Control Room'!$B$16-1)/2)/MAX(0.5,'Control Room'!$B$16/4))^2),1)</x:f>
        <x:v>1</x:v>
      </x:c>
      <x:c r="AF323" s="9" t="n">
        <x:f>MOD(AG322*16807,2147483647)</x:f>
        <x:v>1384629353</x:v>
      </x:c>
      <x:c r="AG323" s="9" t="n">
        <x:f>MOD(AF323*16807,2147483647)</x:f>
        <x:v>1332736979</x:v>
      </x:c>
      <x:c r="AH323" s="17" t="n">
        <x:f>IF('Control Room'!$B$5="Normal",'Control Room'!$B$7+'Control Room'!$D$7*SQRT(-2*LN(MAX(0.000000000001,AF323/2147483647)))*COS(2*PI()*AG323/2147483647),'Control Room'!$B$8+('Control Room'!$D$8-'Control Room'!$B$8)*AF323/2147483647)</x:f>
        <x:v>938.7539926885462</x:v>
      </x:c>
      <x:c r="AI323" s="17" t="n">
        <x:f>IF('Control Room'!$B$5="Normal",'Control Room'!$B$7,('Control Room'!$B$8+'Control Room'!$D$8)/2)+'Control Room'!$B$9*(AI322-IF('Control Room'!$B$5="Normal",'Control Room'!$B$7,('Control Room'!$B$8+'Control Room'!$D$8)/2))+SQRT(1-'Control Room'!$B$9^2)*(AH323-IF('Control Room'!$B$5="Normal",'Control Room'!$B$7,('Control Room'!$B$8+'Control Room'!$D$8)/2))</x:f>
        <x:v>972.4684245135206</x:v>
      </x:c>
      <x:c r="AJ323" s="17" t="n">
        <x:f>IF(AND($A323&gt;='Control Room'!$A$13,$A323&lt;'Control Room'!$A$13+'Control Room'!$B$13,'Process'!BQ2=1),1+('Control Room'!$C$13-1)*EXP(-0.5*(($A323-'Control Room'!$A$13-('Control Room'!$B$13-1)/2)/MAX(0.5,'Control Room'!$B$13/4))^2),1)*IF(AND($A323&gt;='Control Room'!$A$14,$A323&lt;'Control Room'!$A$14+'Control Room'!$B$14,'Process'!BQ3=1),1+('Control Room'!$C$14-1)*EXP(-0.5*(($A323-'Control Room'!$A$14-('Control Room'!$B$14-1)/2)/MAX(0.5,'Control Room'!$B$14/4))^2),1)*IF(AND($A323&gt;='Control Room'!$A$15,$A323&lt;'Control Room'!$A$15+'Control Room'!$B$15,'Process'!BQ4=1),1+('Control Room'!$C$15-1)*EXP(-0.5*(($A323-'Control Room'!$A$15-('Control Room'!$B$15-1)/2)/MAX(0.5,'Control Room'!$B$15/4))^2),1)*IF(AND($A323&gt;='Control Room'!$A$16,$A323&lt;'Control Room'!$A$16+'Control Room'!$B$16,'Process'!BQ5=1),1+('Control Room'!$C$16-1)*EXP(-0.5*(($A323-'Control Room'!$A$16-('Control Room'!$B$16-1)/2)/MAX(0.5,'Control Room'!$B$16/4))^2),1)</x:f>
        <x:v>1</x:v>
      </x:c>
      <x:c r="AK323" s="9" t="n">
        <x:f>MOD(AL322*16807,2147483647)</x:f>
        <x:v>1380220817</x:v>
      </x:c>
      <x:c r="AL323" s="9" t="n">
        <x:f>MOD(AK323*16807,2147483647)</x:f>
        <x:v>252916425</x:v>
      </x:c>
      <x:c r="AM323" s="17" t="n">
        <x:f>IF('Control Room'!$B$5="Normal",'Control Room'!$B$7+'Control Room'!$D$7*SQRT(-2*LN(MAX(0.000000000001,AK323/2147483647)))*COS(2*PI()*AL323/2147483647),'Control Room'!$B$8+('Control Room'!$D$8-'Control Room'!$B$8)*AK323/2147483647)</x:f>
        <x:v>1062.492799446411</x:v>
      </x:c>
      <x:c r="AN323" s="17" t="n">
        <x:f>IF('Control Room'!$B$5="Normal",'Control Room'!$B$7,('Control Room'!$B$8+'Control Room'!$D$8)/2)+'Control Room'!$B$9*(AN322-IF('Control Room'!$B$5="Normal",'Control Room'!$B$7,('Control Room'!$B$8+'Control Room'!$D$8)/2))+SQRT(1-'Control Room'!$B$9^2)*(AM323-IF('Control Room'!$B$5="Normal",'Control Room'!$B$7,('Control Room'!$B$8+'Control Room'!$D$8)/2))</x:f>
        <x:v>966.0035599119934</x:v>
      </x:c>
      <x:c r="AO323" s="17" t="n">
        <x:f>IF(AND($A323&gt;='Control Room'!$A$13,$A323&lt;'Control Room'!$A$13+'Control Room'!$B$13,'Process'!BR2=1),1+('Control Room'!$C$13-1)*EXP(-0.5*(($A323-'Control Room'!$A$13-('Control Room'!$B$13-1)/2)/MAX(0.5,'Control Room'!$B$13/4))^2),1)*IF(AND($A323&gt;='Control Room'!$A$14,$A323&lt;'Control Room'!$A$14+'Control Room'!$B$14,'Process'!BR3=1),1+('Control Room'!$C$14-1)*EXP(-0.5*(($A323-'Control Room'!$A$14-('Control Room'!$B$14-1)/2)/MAX(0.5,'Control Room'!$B$14/4))^2),1)*IF(AND($A323&gt;='Control Room'!$A$15,$A323&lt;'Control Room'!$A$15+'Control Room'!$B$15,'Process'!BR4=1),1+('Control Room'!$C$15-1)*EXP(-0.5*(($A323-'Control Room'!$A$15-('Control Room'!$B$15-1)/2)/MAX(0.5,'Control Room'!$B$15/4))^2),1)*IF(AND($A323&gt;='Control Room'!$A$16,$A323&lt;'Control Room'!$A$16+'Control Room'!$B$16,'Process'!BR5=1),1+('Control Room'!$C$16-1)*EXP(-0.5*(($A323-'Control Room'!$A$16-('Control Room'!$B$16-1)/2)/MAX(0.5,'Control Room'!$B$16/4))^2),1)</x:f>
        <x:v>1</x:v>
      </x:c>
      <x:c r="AP323" s="9" t="n">
        <x:f>MOD(AQ322*16807,2147483647)</x:f>
        <x:v>1375812281</x:v>
      </x:c>
      <x:c r="AQ323" s="9" t="n">
        <x:f>MOD(AP323*16807,2147483647)</x:f>
        <x:v>1320579518</x:v>
      </x:c>
      <x:c r="AR323" s="17" t="n">
        <x:f>IF('Control Room'!$B$5="Normal",'Control Room'!$B$7+'Control Room'!$D$7*SQRT(-2*LN(MAX(0.000000000001,AP323/2147483647)))*COS(2*PI()*AQ323/2147483647),'Control Room'!$B$8+('Control Room'!$D$8-'Control Room'!$B$8)*AP323/2147483647)</x:f>
        <x:v>936.2729376439748</x:v>
      </x:c>
      <x:c r="AS323" s="17" t="n">
        <x:f>IF('Control Room'!$B$5="Normal",'Control Room'!$B$7,('Control Room'!$B$8+'Control Room'!$D$8)/2)+'Control Room'!$B$9*(AS322-IF('Control Room'!$B$5="Normal",'Control Room'!$B$7,('Control Room'!$B$8+'Control Room'!$D$8)/2))+SQRT(1-'Control Room'!$B$9^2)*(AR323-IF('Control Room'!$B$5="Normal",'Control Room'!$B$7,('Control Room'!$B$8+'Control Room'!$D$8)/2))</x:f>
        <x:v>931.6742393824106</x:v>
      </x:c>
      <x:c r="AT323" s="17" t="n">
        <x:f>IF(AND($A323&gt;='Control Room'!$A$13,$A323&lt;'Control Room'!$A$13+'Control Room'!$B$13,'Process'!BS2=1),1+('Control Room'!$C$13-1)*EXP(-0.5*(($A323-'Control Room'!$A$13-('Control Room'!$B$13-1)/2)/MAX(0.5,'Control Room'!$B$13/4))^2),1)*IF(AND($A323&gt;='Control Room'!$A$14,$A323&lt;'Control Room'!$A$14+'Control Room'!$B$14,'Process'!BS3=1),1+('Control Room'!$C$14-1)*EXP(-0.5*(($A323-'Control Room'!$A$14-('Control Room'!$B$14-1)/2)/MAX(0.5,'Control Room'!$B$14/4))^2),1)*IF(AND($A323&gt;='Control Room'!$A$15,$A323&lt;'Control Room'!$A$15+'Control Room'!$B$15,'Process'!BS4=1),1+('Control Room'!$C$15-1)*EXP(-0.5*(($A323-'Control Room'!$A$15-('Control Room'!$B$15-1)/2)/MAX(0.5,'Control Room'!$B$15/4))^2),1)*IF(AND($A323&gt;='Control Room'!$A$16,$A323&lt;'Control Room'!$A$16+'Control Room'!$B$16,'Process'!BS5=1),1+('Control Room'!$C$16-1)*EXP(-0.5*(($A323-'Control Room'!$A$16-('Control Room'!$B$16-1)/2)/MAX(0.5,'Control Room'!$B$16/4))^2),1)</x:f>
        <x:v>1</x:v>
      </x:c>
      <x:c r="AU323" s="9" t="n">
        <x:f>MOD(AV322*16807,2147483647)</x:f>
        <x:v>1371403745</x:v>
      </x:c>
      <x:c r="AV323" s="9" t="n">
        <x:f>MOD(AU323*16807,2147483647)</x:f>
        <x:v>240758964</x:v>
      </x:c>
      <x:c r="AW323" s="17" t="n">
        <x:f>IF('Control Room'!$B$5="Normal",'Control Room'!$B$7+'Control Room'!$D$7*SQRT(-2*LN(MAX(0.000000000001,AU323/2147483647)))*COS(2*PI()*AV323/2147483647),'Control Room'!$B$8+('Control Room'!$D$8-'Control Room'!$B$8)*AU323/2147483647)</x:f>
        <x:v>1064.9482629133497</x:v>
      </x:c>
      <x:c r="AX323" s="17" t="n">
        <x:f>IF('Control Room'!$B$5="Normal",'Control Room'!$B$7,('Control Room'!$B$8+'Control Room'!$D$8)/2)+'Control Room'!$B$9*(AX322-IF('Control Room'!$B$5="Normal",'Control Room'!$B$7,('Control Room'!$B$8+'Control Room'!$D$8)/2))+SQRT(1-'Control Room'!$B$9^2)*(AW323-IF('Control Room'!$B$5="Normal",'Control Room'!$B$7,('Control Room'!$B$8+'Control Room'!$D$8)/2))</x:f>
        <x:v>1077.8190065510732</x:v>
      </x:c>
      <x:c r="AY323" s="17" t="n">
        <x:f>IF(AND($A323&gt;='Control Room'!$A$13,$A323&lt;'Control Room'!$A$13+'Control Room'!$B$13,'Process'!BT2=1),1+('Control Room'!$C$13-1)*EXP(-0.5*(($A323-'Control Room'!$A$13-('Control Room'!$B$13-1)/2)/MAX(0.5,'Control Room'!$B$13/4))^2),1)*IF(AND($A323&gt;='Control Room'!$A$14,$A323&lt;'Control Room'!$A$14+'Control Room'!$B$14,'Process'!BT3=1),1+('Control Room'!$C$14-1)*EXP(-0.5*(($A323-'Control Room'!$A$14-('Control Room'!$B$14-1)/2)/MAX(0.5,'Control Room'!$B$14/4))^2),1)*IF(AND($A323&gt;='Control Room'!$A$15,$A323&lt;'Control Room'!$A$15+'Control Room'!$B$15,'Process'!BT4=1),1+('Control Room'!$C$15-1)*EXP(-0.5*(($A323-'Control Room'!$A$15-('Control Room'!$B$15-1)/2)/MAX(0.5,'Control Room'!$B$15/4))^2),1)*IF(AND($A323&gt;='Control Room'!$A$16,$A323&lt;'Control Room'!$A$16+'Control Room'!$B$16,'Process'!BT5=1),1+('Control Room'!$C$16-1)*EXP(-0.5*(($A323-'Control Room'!$A$16-('Control Room'!$B$16-1)/2)/MAX(0.5,'Control Room'!$B$16/4))^2),1)</x:f>
        <x:v>1</x:v>
      </x:c>
      <x:c r="AZ323" s="9" t="n">
        <x:f>MOD(BA322*16807,2147483647)</x:f>
        <x:v>1366995209</x:v>
      </x:c>
      <x:c r="BA323" s="9" t="n">
        <x:f>MOD(AZ323*16807,2147483647)</x:f>
        <x:v>1308422057</x:v>
      </x:c>
      <x:c r="BB323" s="17" t="n">
        <x:f>IF('Control Room'!$B$5="Normal",'Control Room'!$B$7+'Control Room'!$D$7*SQRT(-2*LN(MAX(0.000000000001,AZ323/2147483647)))*COS(2*PI()*BA323/2147483647),'Control Room'!$B$8+('Control Room'!$D$8-'Control Room'!$B$8)*AZ323/2147483647)</x:f>
        <x:v>933.8441296874978</x:v>
      </x:c>
      <x:c r="BC323" s="17" t="n">
        <x:f>IF('Control Room'!$B$5="Normal",'Control Room'!$B$7,('Control Room'!$B$8+'Control Room'!$D$8)/2)+'Control Room'!$B$9*(BC322-IF('Control Room'!$B$5="Normal",'Control Room'!$B$7,('Control Room'!$B$8+'Control Room'!$D$8)/2))+SQRT(1-'Control Room'!$B$9^2)*(BB323-IF('Control Room'!$B$5="Normal",'Control Room'!$B$7,('Control Room'!$B$8+'Control Room'!$D$8)/2))</x:f>
        <x:v>1042.144693216905</x:v>
      </x:c>
      <x:c r="BD323" s="17" t="n">
        <x:f>IF(AND($A323&gt;='Control Room'!$A$13,$A323&lt;'Control Room'!$A$13+'Control Room'!$B$13,'Process'!BU2=1),1+('Control Room'!$C$13-1)*EXP(-0.5*(($A323-'Control Room'!$A$13-('Control Room'!$B$13-1)/2)/MAX(0.5,'Control Room'!$B$13/4))^2),1)*IF(AND($A323&gt;='Control Room'!$A$14,$A323&lt;'Control Room'!$A$14+'Control Room'!$B$14,'Process'!BU3=1),1+('Control Room'!$C$14-1)*EXP(-0.5*(($A323-'Control Room'!$A$14-('Control Room'!$B$14-1)/2)/MAX(0.5,'Control Room'!$B$14/4))^2),1)*IF(AND($A323&gt;='Control Room'!$A$15,$A323&lt;'Control Room'!$A$15+'Control Room'!$B$15,'Process'!BU4=1),1+('Control Room'!$C$15-1)*EXP(-0.5*(($A323-'Control Room'!$A$15-('Control Room'!$B$15-1)/2)/MAX(0.5,'Control Room'!$B$15/4))^2),1)*IF(AND($A323&gt;='Control Room'!$A$16,$A323&lt;'Control Room'!$A$16+'Control Room'!$B$16,'Process'!BU5=1),1+('Control Room'!$C$16-1)*EXP(-0.5*(($A323-'Control Room'!$A$16-('Control Room'!$B$16-1)/2)/MAX(0.5,'Control Room'!$B$16/4))^2),1)</x:f>
        <x:v>1</x:v>
      </x:c>
      <x:c r="BE323" s="9" t="n">
        <x:f>MOD(BF322*16807,2147483647)</x:f>
        <x:v>1362586673</x:v>
      </x:c>
      <x:c r="BF323" s="9" t="n">
        <x:f>MOD(BE323*16807,2147483647)</x:f>
        <x:v>228601503</x:v>
      </x:c>
      <x:c r="BG323" s="17" t="n">
        <x:f>IF('Control Room'!$B$5="Normal",'Control Room'!$B$7+'Control Room'!$D$7*SQRT(-2*LN(MAX(0.000000000001,BE323/2147483647)))*COS(2*PI()*BF323/2147483647),'Control Room'!$B$8+('Control Room'!$D$8-'Control Room'!$B$8)*BE323/2147483647)</x:f>
        <x:v>1067.3493562680585</x:v>
      </x:c>
      <x:c r="BH323" s="17" t="n">
        <x:f>IF('Control Room'!$B$5="Normal",'Control Room'!$B$7,('Control Room'!$B$8+'Control Room'!$D$8)/2)+'Control Room'!$B$9*(BH322-IF('Control Room'!$B$5="Normal",'Control Room'!$B$7,('Control Room'!$B$8+'Control Room'!$D$8)/2))+SQRT(1-'Control Room'!$B$9^2)*(BG323-IF('Control Room'!$B$5="Normal",'Control Room'!$B$7,('Control Room'!$B$8+'Control Room'!$D$8)/2))</x:f>
        <x:v>955.3100992903553</x:v>
      </x:c>
      <x:c r="BI323" s="17" t="n">
        <x:f>IF(AND($A323&gt;='Control Room'!$A$13,$A323&lt;'Control Room'!$A$13+'Control Room'!$B$13,'Process'!BV2=1),1+('Control Room'!$C$13-1)*EXP(-0.5*(($A323-'Control Room'!$A$13-('Control Room'!$B$13-1)/2)/MAX(0.5,'Control Room'!$B$13/4))^2),1)*IF(AND($A323&gt;='Control Room'!$A$14,$A323&lt;'Control Room'!$A$14+'Control Room'!$B$14,'Process'!BV3=1),1+('Control Room'!$C$14-1)*EXP(-0.5*(($A323-'Control Room'!$A$14-('Control Room'!$B$14-1)/2)/MAX(0.5,'Control Room'!$B$14/4))^2),1)*IF(AND($A323&gt;='Control Room'!$A$15,$A323&lt;'Control Room'!$A$15+'Control Room'!$B$15,'Process'!BV4=1),1+('Control Room'!$C$15-1)*EXP(-0.5*(($A323-'Control Room'!$A$15-('Control Room'!$B$15-1)/2)/MAX(0.5,'Control Room'!$B$15/4))^2),1)*IF(AND($A323&gt;='Control Room'!$A$16,$A323&lt;'Control Room'!$A$16+'Control Room'!$B$16,'Process'!BV5=1),1+('Control Room'!$C$16-1)*EXP(-0.5*(($A323-'Control Room'!$A$16-('Control Room'!$B$16-1)/2)/MAX(0.5,'Control Room'!$B$16/4))^2),1)</x:f>
        <x:v>1</x:v>
      </x:c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Z323" t="str">
        <x:f>IF('Data'!A323="","",TEXT('Data'!A323,"mm-dd"))</x:f>
      </x:c>
    </x:row>
    <x:row r="324" ht="21" customHeight="1">
      <x:c r="A324" s="15" t="n">
        <x:f>'Control Room'!$B$1+322</x:f>
        <x:v>73313</x:v>
      </x:c>
      <x:c r="B324" s="9" t="n">
        <x:f>MOD(C323*16807,2147483647)</x:f>
        <x:v>2014469529</x:v>
      </x:c>
      <x:c r="C324" s="9" t="n">
        <x:f>MOD(B324*16807,2147483647)</x:f>
        <x:v>2109678948</x:v>
      </x:c>
      <x:c r="D324" s="17" t="n">
        <x:f>IF('Control Room'!$B$5="Normal",'Control Room'!$B$7+'Control Room'!$D$7*SQRT(-2*LN(MAX(0.000000000001,B324/2147483647)))*COS(2*PI()*C324/2147483647),'Control Room'!$B$8+('Control Room'!$D$8-'Control Room'!$B$8)*B324/2147483647)</x:f>
        <x:v>1031.987815984077</x:v>
      </x:c>
      <x:c r="E324" s="17" t="n">
        <x:f>IF('Control Room'!$B$5="Normal",'Control Room'!$B$7,('Control Room'!$B$8+'Control Room'!$D$8)/2)+'Control Room'!$B$9*(E323-IF('Control Room'!$B$5="Normal",'Control Room'!$B$7,('Control Room'!$B$8+'Control Room'!$D$8)/2))+SQRT(1-'Control Room'!$B$9^2)*(D324-IF('Control Room'!$B$5="Normal",'Control Room'!$B$7,('Control Room'!$B$8+'Control Room'!$D$8)/2))</x:f>
        <x:v>1010.718025815746</x:v>
      </x:c>
      <x:c r="F324" s="17" t="n">
        <x:f>IF(AND($A324&gt;='Control Room'!$A$13,$A324&lt;'Control Room'!$A$13+'Control Room'!$B$13,'Process'!BK2=1),1+('Control Room'!$C$13-1)*EXP(-0.5*(($A324-'Control Room'!$A$13-('Control Room'!$B$13-1)/2)/MAX(0.5,'Control Room'!$B$13/4))^2),1)*IF(AND($A324&gt;='Control Room'!$A$14,$A324&lt;'Control Room'!$A$14+'Control Room'!$B$14,'Process'!BK3=1),1+('Control Room'!$C$14-1)*EXP(-0.5*(($A324-'Control Room'!$A$14-('Control Room'!$B$14-1)/2)/MAX(0.5,'Control Room'!$B$14/4))^2),1)*IF(AND($A324&gt;='Control Room'!$A$15,$A324&lt;'Control Room'!$A$15+'Control Room'!$B$15,'Process'!BK4=1),1+('Control Room'!$C$15-1)*EXP(-0.5*(($A324-'Control Room'!$A$15-('Control Room'!$B$15-1)/2)/MAX(0.5,'Control Room'!$B$15/4))^2),1)*IF(AND($A324&gt;='Control Room'!$A$16,$A324&lt;'Control Room'!$A$16+'Control Room'!$B$16,'Process'!BK5=1),1+('Control Room'!$C$16-1)*EXP(-0.5*(($A324-'Control Room'!$A$16-('Control Room'!$B$16-1)/2)/MAX(0.5,'Control Room'!$B$16/4))^2),1)</x:f>
        <x:v>1</x:v>
      </x:c>
      <x:c r="G324" s="9" t="n">
        <x:f>MOD(H323*16807,2147483647)</x:f>
        <x:v>1854719248</x:v>
      </x:c>
      <x:c r="H324" s="9" t="n">
        <x:f>MOD(G324*16807,2147483647)</x:f>
        <x:v>1541264931</x:v>
      </x:c>
      <x:c r="I324" s="17" t="n">
        <x:f>IF('Control Room'!$B$5="Normal",'Control Room'!$B$7+'Control Room'!$D$7*SQRT(-2*LN(MAX(0.000000000001,G324/2147483647)))*COS(2*PI()*H324/2147483647),'Control Room'!$B$8+('Control Room'!$D$8-'Control Room'!$B$8)*G324/2147483647)</x:f>
        <x:v>990.1809595708582</x:v>
      </x:c>
      <x:c r="J324" s="17" t="n">
        <x:f>IF('Control Room'!$B$5="Normal",'Control Room'!$B$7,('Control Room'!$B$8+'Control Room'!$D$8)/2)+'Control Room'!$B$9*(J323-IF('Control Room'!$B$5="Normal",'Control Room'!$B$7,('Control Room'!$B$8+'Control Room'!$D$8)/2))+SQRT(1-'Control Room'!$B$9^2)*(I324-IF('Control Room'!$B$5="Normal",'Control Room'!$B$7,('Control Room'!$B$8+'Control Room'!$D$8)/2))</x:f>
        <x:v>1021.9666311606034</x:v>
      </x:c>
      <x:c r="K324" s="17" t="n">
        <x:f>IF(AND($A324&gt;='Control Room'!$A$13,$A324&lt;'Control Room'!$A$13+'Control Room'!$B$13,'Process'!BL2=1),1+('Control Room'!$C$13-1)*EXP(-0.5*(($A324-'Control Room'!$A$13-('Control Room'!$B$13-1)/2)/MAX(0.5,'Control Room'!$B$13/4))^2),1)*IF(AND($A324&gt;='Control Room'!$A$14,$A324&lt;'Control Room'!$A$14+'Control Room'!$B$14,'Process'!BL3=1),1+('Control Room'!$C$14-1)*EXP(-0.5*(($A324-'Control Room'!$A$14-('Control Room'!$B$14-1)/2)/MAX(0.5,'Control Room'!$B$14/4))^2),1)*IF(AND($A324&gt;='Control Room'!$A$15,$A324&lt;'Control Room'!$A$15+'Control Room'!$B$15,'Process'!BL4=1),1+('Control Room'!$C$15-1)*EXP(-0.5*(($A324-'Control Room'!$A$15-('Control Room'!$B$15-1)/2)/MAX(0.5,'Control Room'!$B$15/4))^2),1)*IF(AND($A324&gt;='Control Room'!$A$16,$A324&lt;'Control Room'!$A$16+'Control Room'!$B$16,'Process'!BL5=1),1+('Control Room'!$C$16-1)*EXP(-0.5*(($A324-'Control Room'!$A$16-('Control Room'!$B$16-1)/2)/MAX(0.5,'Control Room'!$B$16/4))^2),1)</x:f>
        <x:v>1</x:v>
      </x:c>
      <x:c r="L324" s="9" t="n">
        <x:f>MOD(M323*16807,2147483647)</x:f>
        <x:v>1694968967</x:v>
      </x:c>
      <x:c r="M324" s="9" t="n">
        <x:f>MOD(L324*16807,2147483647)</x:f>
        <x:v>972850914</x:v>
      </x:c>
      <x:c r="N324" s="17" t="n">
        <x:f>IF('Control Room'!$B$5="Normal",'Control Room'!$B$7+'Control Room'!$D$7*SQRT(-2*LN(MAX(0.000000000001,L324/2147483647)))*COS(2*PI()*M324/2147483647),'Control Room'!$B$8+('Control Room'!$D$8-'Control Room'!$B$8)*L324/2147483647)</x:f>
        <x:v>940.7632032095385</x:v>
      </x:c>
      <x:c r="O324" s="17" t="n">
        <x:f>IF('Control Room'!$B$5="Normal",'Control Room'!$B$7,('Control Room'!$B$8+'Control Room'!$D$8)/2)+'Control Room'!$B$9*(O323-IF('Control Room'!$B$5="Normal",'Control Room'!$B$7,('Control Room'!$B$8+'Control Room'!$D$8)/2))+SQRT(1-'Control Room'!$B$9^2)*(N324-IF('Control Room'!$B$5="Normal",'Control Room'!$B$7,('Control Room'!$B$8+'Control Room'!$D$8)/2))</x:f>
        <x:v>981.1573809135407</x:v>
      </x:c>
      <x:c r="P324" s="17" t="n">
        <x:f>IF(AND($A324&gt;='Control Room'!$A$13,$A324&lt;'Control Room'!$A$13+'Control Room'!$B$13,'Process'!BM2=1),1+('Control Room'!$C$13-1)*EXP(-0.5*(($A324-'Control Room'!$A$13-('Control Room'!$B$13-1)/2)/MAX(0.5,'Control Room'!$B$13/4))^2),1)*IF(AND($A324&gt;='Control Room'!$A$14,$A324&lt;'Control Room'!$A$14+'Control Room'!$B$14,'Process'!BM3=1),1+('Control Room'!$C$14-1)*EXP(-0.5*(($A324-'Control Room'!$A$14-('Control Room'!$B$14-1)/2)/MAX(0.5,'Control Room'!$B$14/4))^2),1)*IF(AND($A324&gt;='Control Room'!$A$15,$A324&lt;'Control Room'!$A$15+'Control Room'!$B$15,'Process'!BM4=1),1+('Control Room'!$C$15-1)*EXP(-0.5*(($A324-'Control Room'!$A$15-('Control Room'!$B$15-1)/2)/MAX(0.5,'Control Room'!$B$15/4))^2),1)*IF(AND($A324&gt;='Control Room'!$A$16,$A324&lt;'Control Room'!$A$16+'Control Room'!$B$16,'Process'!BM5=1),1+('Control Room'!$C$16-1)*EXP(-0.5*(($A324-'Control Room'!$A$16-('Control Room'!$B$16-1)/2)/MAX(0.5,'Control Room'!$B$16/4))^2),1)</x:f>
        <x:v>1</x:v>
      </x:c>
      <x:c r="Q324" s="9" t="n">
        <x:f>MOD(R323*16807,2147483647)</x:f>
        <x:v>1535218686</x:v>
      </x:c>
      <x:c r="R324" s="9" t="n">
        <x:f>MOD(Q324*16807,2147483647)</x:f>
        <x:v>404436897</x:v>
      </x:c>
      <x:c r="S324" s="17" t="n">
        <x:f>IF('Control Room'!$B$5="Normal",'Control Room'!$B$7+'Control Room'!$D$7*SQRT(-2*LN(MAX(0.000000000001,Q324/2147483647)))*COS(2*PI()*R324/2147483647),'Control Room'!$B$8+('Control Room'!$D$8-'Control Room'!$B$8)*Q324/2147483647)</x:f>
        <x:v>1027.861919533304</x:v>
      </x:c>
      <x:c r="T324" s="17" t="n">
        <x:f>IF('Control Room'!$B$5="Normal",'Control Room'!$B$7,('Control Room'!$B$8+'Control Room'!$D$8)/2)+'Control Room'!$B$9*(T323-IF('Control Room'!$B$5="Normal",'Control Room'!$B$7,('Control Room'!$B$8+'Control Room'!$D$8)/2))+SQRT(1-'Control Room'!$B$9^2)*(S324-IF('Control Room'!$B$5="Normal",'Control Room'!$B$7,('Control Room'!$B$8+'Control Room'!$D$8)/2))</x:f>
        <x:v>976.3515982271332</x:v>
      </x:c>
      <x:c r="U324" s="17" t="n">
        <x:f>IF(AND($A324&gt;='Control Room'!$A$13,$A324&lt;'Control Room'!$A$13+'Control Room'!$B$13,'Process'!BN2=1),1+('Control Room'!$C$13-1)*EXP(-0.5*(($A324-'Control Room'!$A$13-('Control Room'!$B$13-1)/2)/MAX(0.5,'Control Room'!$B$13/4))^2),1)*IF(AND($A324&gt;='Control Room'!$A$14,$A324&lt;'Control Room'!$A$14+'Control Room'!$B$14,'Process'!BN3=1),1+('Control Room'!$C$14-1)*EXP(-0.5*(($A324-'Control Room'!$A$14-('Control Room'!$B$14-1)/2)/MAX(0.5,'Control Room'!$B$14/4))^2),1)*IF(AND($A324&gt;='Control Room'!$A$15,$A324&lt;'Control Room'!$A$15+'Control Room'!$B$15,'Process'!BN4=1),1+('Control Room'!$C$15-1)*EXP(-0.5*(($A324-'Control Room'!$A$15-('Control Room'!$B$15-1)/2)/MAX(0.5,'Control Room'!$B$15/4))^2),1)*IF(AND($A324&gt;='Control Room'!$A$16,$A324&lt;'Control Room'!$A$16+'Control Room'!$B$16,'Process'!BN5=1),1+('Control Room'!$C$16-1)*EXP(-0.5*(($A324-'Control Room'!$A$16-('Control Room'!$B$16-1)/2)/MAX(0.5,'Control Room'!$B$16/4))^2),1)</x:f>
        <x:v>1</x:v>
      </x:c>
      <x:c r="V324" s="9" t="n">
        <x:f>MOD(W323*16807,2147483647)</x:f>
        <x:v>1375468405</x:v>
      </x:c>
      <x:c r="W324" s="9" t="n">
        <x:f>MOD(V324*16807,2147483647)</x:f>
        <x:v>1983506527</x:v>
      </x:c>
      <x:c r="X324" s="17" t="n">
        <x:f>IF('Control Room'!$B$5="Normal",'Control Room'!$B$7+'Control Room'!$D$7*SQRT(-2*LN(MAX(0.000000000001,V324/2147483647)))*COS(2*PI()*W324/2147483647),'Control Room'!$B$8+('Control Room'!$D$8-'Control Room'!$B$8)*V324/2147483647)</x:f>
        <x:v>1075.3625569229425</x:v>
      </x:c>
      <x:c r="Y324" s="17" t="n">
        <x:f>IF('Control Room'!$B$5="Normal",'Control Room'!$B$7,('Control Room'!$B$8+'Control Room'!$D$8)/2)+'Control Room'!$B$9*(Y323-IF('Control Room'!$B$5="Normal",'Control Room'!$B$7,('Control Room'!$B$8+'Control Room'!$D$8)/2))+SQRT(1-'Control Room'!$B$9^2)*(X324-IF('Control Room'!$B$5="Normal",'Control Room'!$B$7,('Control Room'!$B$8+'Control Room'!$D$8)/2))</x:f>
        <x:v>1164.8388044918156</x:v>
      </x:c>
      <x:c r="Z324" s="17" t="n">
        <x:f>IF(AND($A324&gt;='Control Room'!$A$13,$A324&lt;'Control Room'!$A$13+'Control Room'!$B$13,'Process'!BO2=1),1+('Control Room'!$C$13-1)*EXP(-0.5*(($A324-'Control Room'!$A$13-('Control Room'!$B$13-1)/2)/MAX(0.5,'Control Room'!$B$13/4))^2),1)*IF(AND($A324&gt;='Control Room'!$A$14,$A324&lt;'Control Room'!$A$14+'Control Room'!$B$14,'Process'!BO3=1),1+('Control Room'!$C$14-1)*EXP(-0.5*(($A324-'Control Room'!$A$14-('Control Room'!$B$14-1)/2)/MAX(0.5,'Control Room'!$B$14/4))^2),1)*IF(AND($A324&gt;='Control Room'!$A$15,$A324&lt;'Control Room'!$A$15+'Control Room'!$B$15,'Process'!BO4=1),1+('Control Room'!$C$15-1)*EXP(-0.5*(($A324-'Control Room'!$A$15-('Control Room'!$B$15-1)/2)/MAX(0.5,'Control Room'!$B$15/4))^2),1)*IF(AND($A324&gt;='Control Room'!$A$16,$A324&lt;'Control Room'!$A$16+'Control Room'!$B$16,'Process'!BO5=1),1+('Control Room'!$C$16-1)*EXP(-0.5*(($A324-'Control Room'!$A$16-('Control Room'!$B$16-1)/2)/MAX(0.5,'Control Room'!$B$16/4))^2),1)</x:f>
        <x:v>1</x:v>
      </x:c>
      <x:c r="AA324" s="9" t="n">
        <x:f>MOD(AB323*16807,2147483647)</x:f>
        <x:v>1215718124</x:v>
      </x:c>
      <x:c r="AB324" s="9" t="n">
        <x:f>MOD(AA324*16807,2147483647)</x:f>
        <x:v>1415092510</x:v>
      </x:c>
      <x:c r="AC324" s="17" t="n">
        <x:f>IF('Control Room'!$B$5="Normal",'Control Room'!$B$7+'Control Room'!$D$7*SQRT(-2*LN(MAX(0.000000000001,AA324/2147483647)))*COS(2*PI()*AB324/2147483647),'Control Room'!$B$8+('Control Room'!$D$8-'Control Room'!$B$8)*AA324/2147483647)</x:f>
        <x:v>948.0255965904246</x:v>
      </x:c>
      <x:c r="AD324" s="17" t="n">
        <x:f>IF('Control Room'!$B$5="Normal",'Control Room'!$B$7,('Control Room'!$B$8+'Control Room'!$D$8)/2)+'Control Room'!$B$9*(AD323-IF('Control Room'!$B$5="Normal",'Control Room'!$B$7,('Control Room'!$B$8+'Control Room'!$D$8)/2))+SQRT(1-'Control Room'!$B$9^2)*(AC324-IF('Control Room'!$B$5="Normal",'Control Room'!$B$7,('Control Room'!$B$8+'Control Room'!$D$8)/2))</x:f>
        <x:v>1016.3754970394432</x:v>
      </x:c>
      <x:c r="AE324" s="17" t="n">
        <x:f>IF(AND($A324&gt;='Control Room'!$A$13,$A324&lt;'Control Room'!$A$13+'Control Room'!$B$13,'Process'!BP2=1),1+('Control Room'!$C$13-1)*EXP(-0.5*(($A324-'Control Room'!$A$13-('Control Room'!$B$13-1)/2)/MAX(0.5,'Control Room'!$B$13/4))^2),1)*IF(AND($A324&gt;='Control Room'!$A$14,$A324&lt;'Control Room'!$A$14+'Control Room'!$B$14,'Process'!BP3=1),1+('Control Room'!$C$14-1)*EXP(-0.5*(($A324-'Control Room'!$A$14-('Control Room'!$B$14-1)/2)/MAX(0.5,'Control Room'!$B$14/4))^2),1)*IF(AND($A324&gt;='Control Room'!$A$15,$A324&lt;'Control Room'!$A$15+'Control Room'!$B$15,'Process'!BP4=1),1+('Control Room'!$C$15-1)*EXP(-0.5*(($A324-'Control Room'!$A$15-('Control Room'!$B$15-1)/2)/MAX(0.5,'Control Room'!$B$15/4))^2),1)*IF(AND($A324&gt;='Control Room'!$A$16,$A324&lt;'Control Room'!$A$16+'Control Room'!$B$16,'Process'!BP5=1),1+('Control Room'!$C$16-1)*EXP(-0.5*(($A324-'Control Room'!$A$16-('Control Room'!$B$16-1)/2)/MAX(0.5,'Control Room'!$B$16/4))^2),1)</x:f>
        <x:v>1</x:v>
      </x:c>
      <x:c r="AF324" s="9" t="n">
        <x:f>MOD(AG323*16807,2147483647)</x:f>
        <x:v>1055967843</x:v>
      </x:c>
      <x:c r="AG324" s="9" t="n">
        <x:f>MOD(AF324*16807,2147483647)</x:f>
        <x:v>846678493</x:v>
      </x:c>
      <x:c r="AH324" s="17" t="n">
        <x:f>IF('Control Room'!$B$5="Normal",'Control Room'!$B$7+'Control Room'!$D$7*SQRT(-2*LN(MAX(0.000000000001,AF324/2147483647)))*COS(2*PI()*AG324/2147483647),'Control Room'!$B$8+('Control Room'!$D$8-'Control Room'!$B$8)*AF324/2147483647)</x:f>
        <x:v>915.5718198932555</x:v>
      </x:c>
      <x:c r="AI324" s="17" t="n">
        <x:f>IF('Control Room'!$B$5="Normal",'Control Room'!$B$7,('Control Room'!$B$8+'Control Room'!$D$8)/2)+'Control Room'!$B$9*(AI323-IF('Control Room'!$B$5="Normal",'Control Room'!$B$7,('Control Room'!$B$8+'Control Room'!$D$8)/2))+SQRT(1-'Control Room'!$B$9^2)*(AH324-IF('Control Room'!$B$5="Normal",'Control Room'!$B$7,('Control Room'!$B$8+'Control Room'!$D$8)/2))</x:f>
        <x:v>925.6919456150273</x:v>
      </x:c>
      <x:c r="AJ324" s="17" t="n">
        <x:f>IF(AND($A324&gt;='Control Room'!$A$13,$A324&lt;'Control Room'!$A$13+'Control Room'!$B$13,'Process'!BQ2=1),1+('Control Room'!$C$13-1)*EXP(-0.5*(($A324-'Control Room'!$A$13-('Control Room'!$B$13-1)/2)/MAX(0.5,'Control Room'!$B$13/4))^2),1)*IF(AND($A324&gt;='Control Room'!$A$14,$A324&lt;'Control Room'!$A$14+'Control Room'!$B$14,'Process'!BQ3=1),1+('Control Room'!$C$14-1)*EXP(-0.5*(($A324-'Control Room'!$A$14-('Control Room'!$B$14-1)/2)/MAX(0.5,'Control Room'!$B$14/4))^2),1)*IF(AND($A324&gt;='Control Room'!$A$15,$A324&lt;'Control Room'!$A$15+'Control Room'!$B$15,'Process'!BQ4=1),1+('Control Room'!$C$15-1)*EXP(-0.5*(($A324-'Control Room'!$A$15-('Control Room'!$B$15-1)/2)/MAX(0.5,'Control Room'!$B$15/4))^2),1)*IF(AND($A324&gt;='Control Room'!$A$16,$A324&lt;'Control Room'!$A$16+'Control Room'!$B$16,'Process'!BQ5=1),1+('Control Room'!$C$16-1)*EXP(-0.5*(($A324-'Control Room'!$A$16-('Control Room'!$B$16-1)/2)/MAX(0.5,'Control Room'!$B$16/4))^2),1)</x:f>
        <x:v>1</x:v>
      </x:c>
      <x:c r="AK324" s="9" t="n">
        <x:f>MOD(AL323*16807,2147483647)</x:f>
        <x:v>896217562</x:v>
      </x:c>
      <x:c r="AL324" s="9" t="n">
        <x:f>MOD(AK324*16807,2147483647)</x:f>
        <x:v>278264476</x:v>
      </x:c>
      <x:c r="AM324" s="17" t="n">
        <x:f>IF('Control Room'!$B$5="Normal",'Control Room'!$B$7+'Control Room'!$D$7*SQRT(-2*LN(MAX(0.000000000001,AK324/2147483647)))*COS(2*PI()*AL324/2147483647),'Control Room'!$B$8+('Control Room'!$D$8-'Control Room'!$B$8)*AK324/2147483647)</x:f>
        <x:v>1081.67890132457</x:v>
      </x:c>
      <x:c r="AN324" s="17" t="n">
        <x:f>IF('Control Room'!$B$5="Normal",'Control Room'!$B$7,('Control Room'!$B$8+'Control Room'!$D$8)/2)+'Control Room'!$B$9*(AN323-IF('Control Room'!$B$5="Normal",'Control Room'!$B$7,('Control Room'!$B$8+'Control Room'!$D$8)/2))+SQRT(1-'Control Room'!$B$9^2)*(AM324-IF('Control Room'!$B$5="Normal",'Control Room'!$B$7,('Control Room'!$B$8+'Control Room'!$D$8)/2))</x:f>
        <x:v>1024.595759897026</x:v>
      </x:c>
      <x:c r="AO324" s="17" t="n">
        <x:f>IF(AND($A324&gt;='Control Room'!$A$13,$A324&lt;'Control Room'!$A$13+'Control Room'!$B$13,'Process'!BR2=1),1+('Control Room'!$C$13-1)*EXP(-0.5*(($A324-'Control Room'!$A$13-('Control Room'!$B$13-1)/2)/MAX(0.5,'Control Room'!$B$13/4))^2),1)*IF(AND($A324&gt;='Control Room'!$A$14,$A324&lt;'Control Room'!$A$14+'Control Room'!$B$14,'Process'!BR3=1),1+('Control Room'!$C$14-1)*EXP(-0.5*(($A324-'Control Room'!$A$14-('Control Room'!$B$14-1)/2)/MAX(0.5,'Control Room'!$B$14/4))^2),1)*IF(AND($A324&gt;='Control Room'!$A$15,$A324&lt;'Control Room'!$A$15+'Control Room'!$B$15,'Process'!BR4=1),1+('Control Room'!$C$15-1)*EXP(-0.5*(($A324-'Control Room'!$A$15-('Control Room'!$B$15-1)/2)/MAX(0.5,'Control Room'!$B$15/4))^2),1)*IF(AND($A324&gt;='Control Room'!$A$16,$A324&lt;'Control Room'!$A$16+'Control Room'!$B$16,'Process'!BR5=1),1+('Control Room'!$C$16-1)*EXP(-0.5*(($A324-'Control Room'!$A$16-('Control Room'!$B$16-1)/2)/MAX(0.5,'Control Room'!$B$16/4))^2),1)</x:f>
        <x:v>1</x:v>
      </x:c>
      <x:c r="AP324" s="9" t="n">
        <x:f>MOD(AQ323*16807,2147483647)</x:f>
        <x:v>736467281</x:v>
      </x:c>
      <x:c r="AQ324" s="9" t="n">
        <x:f>MOD(AP324*16807,2147483647)</x:f>
        <x:v>1857334106</x:v>
      </x:c>
      <x:c r="AR324" s="17" t="n">
        <x:f>IF('Control Room'!$B$5="Normal",'Control Room'!$B$7+'Control Room'!$D$7*SQRT(-2*LN(MAX(0.000000000001,AP324/2147483647)))*COS(2*PI()*AQ324/2147483647),'Control Room'!$B$8+('Control Room'!$D$8-'Control Room'!$B$8)*AP324/2147483647)</x:f>
        <x:v>1087.0058856917597</x:v>
      </x:c>
      <x:c r="AS324" s="17" t="n">
        <x:f>IF('Control Room'!$B$5="Normal",'Control Room'!$B$7,('Control Room'!$B$8+'Control Room'!$D$8)/2)+'Control Room'!$B$9*(AS323-IF('Control Room'!$B$5="Normal",'Control Room'!$B$7,('Control Room'!$B$8+'Control Room'!$D$8)/2))+SQRT(1-'Control Room'!$B$9^2)*(AR324-IF('Control Room'!$B$5="Normal",'Control Room'!$B$7,('Control Room'!$B$8+'Control Room'!$D$8)/2))</x:f>
        <x:v>1001.1524075717323</x:v>
      </x:c>
      <x:c r="AT324" s="17" t="n">
        <x:f>IF(AND($A324&gt;='Control Room'!$A$13,$A324&lt;'Control Room'!$A$13+'Control Room'!$B$13,'Process'!BS2=1),1+('Control Room'!$C$13-1)*EXP(-0.5*(($A324-'Control Room'!$A$13-('Control Room'!$B$13-1)/2)/MAX(0.5,'Control Room'!$B$13/4))^2),1)*IF(AND($A324&gt;='Control Room'!$A$14,$A324&lt;'Control Room'!$A$14+'Control Room'!$B$14,'Process'!BS3=1),1+('Control Room'!$C$14-1)*EXP(-0.5*(($A324-'Control Room'!$A$14-('Control Room'!$B$14-1)/2)/MAX(0.5,'Control Room'!$B$14/4))^2),1)*IF(AND($A324&gt;='Control Room'!$A$15,$A324&lt;'Control Room'!$A$15+'Control Room'!$B$15,'Process'!BS4=1),1+('Control Room'!$C$15-1)*EXP(-0.5*(($A324-'Control Room'!$A$15-('Control Room'!$B$15-1)/2)/MAX(0.5,'Control Room'!$B$15/4))^2),1)*IF(AND($A324&gt;='Control Room'!$A$16,$A324&lt;'Control Room'!$A$16+'Control Room'!$B$16,'Process'!BS5=1),1+('Control Room'!$C$16-1)*EXP(-0.5*(($A324-'Control Room'!$A$16-('Control Room'!$B$16-1)/2)/MAX(0.5,'Control Room'!$B$16/4))^2),1)</x:f>
        <x:v>1</x:v>
      </x:c>
      <x:c r="AU324" s="9" t="n">
        <x:f>MOD(AV323*16807,2147483647)</x:f>
        <x:v>576717000</x:v>
      </x:c>
      <x:c r="AV324" s="9" t="n">
        <x:f>MOD(AU324*16807,2147483647)</x:f>
        <x:v>1288920089</x:v>
      </x:c>
      <x:c r="AW324" s="17" t="n">
        <x:f>IF('Control Room'!$B$5="Normal",'Control Room'!$B$7+'Control Room'!$D$7*SQRT(-2*LN(MAX(0.000000000001,AU324/2147483647)))*COS(2*PI()*AV324/2147483647),'Control Room'!$B$8+('Control Room'!$D$8-'Control Room'!$B$8)*AU324/2147483647)</x:f>
        <x:v>882.040986010038</x:v>
      </x:c>
      <x:c r="AX324" s="17" t="n">
        <x:f>IF('Control Room'!$B$5="Normal",'Control Room'!$B$7,('Control Room'!$B$8+'Control Room'!$D$8)/2)+'Control Room'!$B$9*(AX323-IF('Control Room'!$B$5="Normal",'Control Room'!$B$7,('Control Room'!$B$8+'Control Room'!$D$8)/2))+SQRT(1-'Control Room'!$B$9^2)*(AW324-IF('Control Room'!$B$5="Normal",'Control Room'!$B$7,('Control Room'!$B$8+'Control Room'!$D$8)/2))</x:f>
        <x:v>986.8824906766702</x:v>
      </x:c>
      <x:c r="AY324" s="17" t="n">
        <x:f>IF(AND($A324&gt;='Control Room'!$A$13,$A324&lt;'Control Room'!$A$13+'Control Room'!$B$13,'Process'!BT2=1),1+('Control Room'!$C$13-1)*EXP(-0.5*(($A324-'Control Room'!$A$13-('Control Room'!$B$13-1)/2)/MAX(0.5,'Control Room'!$B$13/4))^2),1)*IF(AND($A324&gt;='Control Room'!$A$14,$A324&lt;'Control Room'!$A$14+'Control Room'!$B$14,'Process'!BT3=1),1+('Control Room'!$C$14-1)*EXP(-0.5*(($A324-'Control Room'!$A$14-('Control Room'!$B$14-1)/2)/MAX(0.5,'Control Room'!$B$14/4))^2),1)*IF(AND($A324&gt;='Control Room'!$A$15,$A324&lt;'Control Room'!$A$15+'Control Room'!$B$15,'Process'!BT4=1),1+('Control Room'!$C$15-1)*EXP(-0.5*(($A324-'Control Room'!$A$15-('Control Room'!$B$15-1)/2)/MAX(0.5,'Control Room'!$B$15/4))^2),1)*IF(AND($A324&gt;='Control Room'!$A$16,$A324&lt;'Control Room'!$A$16+'Control Room'!$B$16,'Process'!BT5=1),1+('Control Room'!$C$16-1)*EXP(-0.5*(($A324-'Control Room'!$A$16-('Control Room'!$B$16-1)/2)/MAX(0.5,'Control Room'!$B$16/4))^2),1)</x:f>
        <x:v>1</x:v>
      </x:c>
      <x:c r="AZ324" s="9" t="n">
        <x:f>MOD(BA323*16807,2147483647)</x:f>
        <x:v>416966719</x:v>
      </x:c>
      <x:c r="BA324" s="9" t="n">
        <x:f>MOD(AZ324*16807,2147483647)</x:f>
        <x:v>720506072</x:v>
      </x:c>
      <x:c r="BB324" s="17" t="n">
        <x:f>IF('Control Room'!$B$5="Normal",'Control Room'!$B$7+'Control Room'!$D$7*SQRT(-2*LN(MAX(0.000000000001,AZ324/2147483647)))*COS(2*PI()*BA324/2147483647),'Control Room'!$B$8+('Control Room'!$D$8-'Control Room'!$B$8)*AZ324/2147483647)</x:f>
        <x:v>916.6013682659346</x:v>
      </x:c>
      <x:c r="BC324" s="17" t="n">
        <x:f>IF('Control Room'!$B$5="Normal",'Control Room'!$B$7,('Control Room'!$B$8+'Control Room'!$D$8)/2)+'Control Room'!$B$9*(BC323-IF('Control Room'!$B$5="Normal",'Control Room'!$B$7,('Control Room'!$B$8+'Control Room'!$D$8)/2))+SQRT(1-'Control Room'!$B$9^2)*(BB324-IF('Control Room'!$B$5="Normal",'Control Room'!$B$7,('Control Room'!$B$8+'Control Room'!$D$8)/2))</x:f>
        <x:v>980.6837054838447</x:v>
      </x:c>
      <x:c r="BD324" s="17" t="n">
        <x:f>IF(AND($A324&gt;='Control Room'!$A$13,$A324&lt;'Control Room'!$A$13+'Control Room'!$B$13,'Process'!BU2=1),1+('Control Room'!$C$13-1)*EXP(-0.5*(($A324-'Control Room'!$A$13-('Control Room'!$B$13-1)/2)/MAX(0.5,'Control Room'!$B$13/4))^2),1)*IF(AND($A324&gt;='Control Room'!$A$14,$A324&lt;'Control Room'!$A$14+'Control Room'!$B$14,'Process'!BU3=1),1+('Control Room'!$C$14-1)*EXP(-0.5*(($A324-'Control Room'!$A$14-('Control Room'!$B$14-1)/2)/MAX(0.5,'Control Room'!$B$14/4))^2),1)*IF(AND($A324&gt;='Control Room'!$A$15,$A324&lt;'Control Room'!$A$15+'Control Room'!$B$15,'Process'!BU4=1),1+('Control Room'!$C$15-1)*EXP(-0.5*(($A324-'Control Room'!$A$15-('Control Room'!$B$15-1)/2)/MAX(0.5,'Control Room'!$B$15/4))^2),1)*IF(AND($A324&gt;='Control Room'!$A$16,$A324&lt;'Control Room'!$A$16+'Control Room'!$B$16,'Process'!BU5=1),1+('Control Room'!$C$16-1)*EXP(-0.5*(($A324-'Control Room'!$A$16-('Control Room'!$B$16-1)/2)/MAX(0.5,'Control Room'!$B$16/4))^2),1)</x:f>
        <x:v>1</x:v>
      </x:c>
      <x:c r="BE324" s="9" t="n">
        <x:f>MOD(BF323*16807,2147483647)</x:f>
        <x:v>257216438</x:v>
      </x:c>
      <x:c r="BF324" s="9" t="n">
        <x:f>MOD(BE324*16807,2147483647)</x:f>
        <x:v>152092055</x:v>
      </x:c>
      <x:c r="BG324" s="17" t="n">
        <x:f>IF('Control Room'!$B$5="Normal",'Control Room'!$B$7+'Control Room'!$D$7*SQRT(-2*LN(MAX(0.000000000001,BE324/2147483647)))*COS(2*PI()*BF324/2147483647),'Control Room'!$B$8+('Control Room'!$D$8-'Control Room'!$B$8)*BE324/2147483647)</x:f>
        <x:v>1167.3574779640014</x:v>
      </x:c>
      <x:c r="BH324" s="17" t="n">
        <x:f>IF('Control Room'!$B$5="Normal",'Control Room'!$B$7,('Control Room'!$B$8+'Control Room'!$D$8)/2)+'Control Room'!$B$9*(BH323-IF('Control Room'!$B$5="Normal",'Control Room'!$B$7,('Control Room'!$B$8+'Control Room'!$D$8)/2))+SQRT(1-'Control Room'!$B$9^2)*(BG324-IF('Control Room'!$B$5="Normal",'Control Room'!$B$7,('Control Room'!$B$8+'Control Room'!$D$8)/2))</x:f>
        <x:v>1069.8707586520572</x:v>
      </x:c>
      <x:c r="BI324" s="17" t="n">
        <x:f>IF(AND($A324&gt;='Control Room'!$A$13,$A324&lt;'Control Room'!$A$13+'Control Room'!$B$13,'Process'!BV2=1),1+('Control Room'!$C$13-1)*EXP(-0.5*(($A324-'Control Room'!$A$13-('Control Room'!$B$13-1)/2)/MAX(0.5,'Control Room'!$B$13/4))^2),1)*IF(AND($A324&gt;='Control Room'!$A$14,$A324&lt;'Control Room'!$A$14+'Control Room'!$B$14,'Process'!BV3=1),1+('Control Room'!$C$14-1)*EXP(-0.5*(($A324-'Control Room'!$A$14-('Control Room'!$B$14-1)/2)/MAX(0.5,'Control Room'!$B$14/4))^2),1)*IF(AND($A324&gt;='Control Room'!$A$15,$A324&lt;'Control Room'!$A$15+'Control Room'!$B$15,'Process'!BV4=1),1+('Control Room'!$C$15-1)*EXP(-0.5*(($A324-'Control Room'!$A$15-('Control Room'!$B$15-1)/2)/MAX(0.5,'Control Room'!$B$15/4))^2),1)*IF(AND($A324&gt;='Control Room'!$A$16,$A324&lt;'Control Room'!$A$16+'Control Room'!$B$16,'Process'!BV5=1),1+('Control Room'!$C$16-1)*EXP(-0.5*(($A324-'Control Room'!$A$16-('Control Room'!$B$16-1)/2)/MAX(0.5,'Control Room'!$B$16/4))^2),1)</x:f>
        <x:v>1</x:v>
      </x:c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Z324" t="str">
        <x:f>IF('Data'!A324="","",TEXT('Data'!A324,"mm-dd"))</x:f>
      </x:c>
    </x:row>
    <x:row r="325" ht="21" customHeight="1">
      <x:c r="A325" s="15" t="n">
        <x:f>'Control Room'!$B$1+323</x:f>
        <x:v>73314</x:v>
      </x:c>
      <x:c r="B325" s="9" t="n">
        <x:f>MOD(C324*16807,2147483647)</x:f>
        <x:v>271583419</x:v>
      </x:c>
      <x:c r="C325" s="9" t="n">
        <x:f>MOD(B325*16807,2147483647)</x:f>
        <x:v>1099773258</x:v>
      </x:c>
      <x:c r="D325" s="17" t="n">
        <x:f>IF('Control Room'!$B$5="Normal",'Control Room'!$B$7+'Control Room'!$D$7*SQRT(-2*LN(MAX(0.000000000001,B325/2147483647)))*COS(2*PI()*C325/2147483647),'Control Room'!$B$8+('Control Room'!$D$8-'Control Room'!$B$8)*B325/2147483647)</x:f>
        <x:v>817.5057926363988</x:v>
      </x:c>
      <x:c r="E325" s="17" t="n">
        <x:f>IF('Control Room'!$B$5="Normal",'Control Room'!$B$7,('Control Room'!$B$8+'Control Room'!$D$8)/2)+'Control Room'!$B$9*(E324-IF('Control Room'!$B$5="Normal",'Control Room'!$B$7,('Control Room'!$B$8+'Control Room'!$D$8)/2))+SQRT(1-'Control Room'!$B$9^2)*(D325-IF('Control Room'!$B$5="Normal",'Control Room'!$B$7,('Control Room'!$B$8+'Control Room'!$D$8)/2))</x:f>
        <x:v>894.158923765189</x:v>
      </x:c>
      <x:c r="F325" s="17" t="n">
        <x:f>IF(AND($A325&gt;='Control Room'!$A$13,$A325&lt;'Control Room'!$A$13+'Control Room'!$B$13,'Process'!BK2=1),1+('Control Room'!$C$13-1)*EXP(-0.5*(($A325-'Control Room'!$A$13-('Control Room'!$B$13-1)/2)/MAX(0.5,'Control Room'!$B$13/4))^2),1)*IF(AND($A325&gt;='Control Room'!$A$14,$A325&lt;'Control Room'!$A$14+'Control Room'!$B$14,'Process'!BK3=1),1+('Control Room'!$C$14-1)*EXP(-0.5*(($A325-'Control Room'!$A$14-('Control Room'!$B$14-1)/2)/MAX(0.5,'Control Room'!$B$14/4))^2),1)*IF(AND($A325&gt;='Control Room'!$A$15,$A325&lt;'Control Room'!$A$15+'Control Room'!$B$15,'Process'!BK4=1),1+('Control Room'!$C$15-1)*EXP(-0.5*(($A325-'Control Room'!$A$15-('Control Room'!$B$15-1)/2)/MAX(0.5,'Control Room'!$B$15/4))^2),1)*IF(AND($A325&gt;='Control Room'!$A$16,$A325&lt;'Control Room'!$A$16+'Control Room'!$B$16,'Process'!BK5=1),1+('Control Room'!$C$16-1)*EXP(-0.5*(($A325-'Control Room'!$A$16-('Control Room'!$B$16-1)/2)/MAX(0.5,'Control Room'!$B$16/4))^2),1)</x:f>
        <x:v>1</x:v>
      </x:c>
      <x:c r="G325" s="9" t="n">
        <x:f>MOD(H324*16807,2147483647)</x:f>
        <x:v>1091945203</x:v>
      </x:c>
      <x:c r="H325" s="9" t="n">
        <x:f>MOD(G325*16807,2147483647)</x:f>
        <x:v>2075263206</x:v>
      </x:c>
      <x:c r="I325" s="17" t="n">
        <x:f>IF('Control Room'!$B$5="Normal",'Control Room'!$B$7+'Control Room'!$D$7*SQRT(-2*LN(MAX(0.000000000001,G325/2147483647)))*COS(2*PI()*H325/2147483647),'Control Room'!$B$8+('Control Room'!$D$8-'Control Room'!$B$8)*G325/2147483647)</x:f>
        <x:v>1102.3458318651367</x:v>
      </x:c>
      <x:c r="J325" s="17" t="n">
        <x:f>IF('Control Room'!$B$5="Normal",'Control Room'!$B$7,('Control Room'!$B$8+'Control Room'!$D$8)/2)+'Control Room'!$B$9*(J324-IF('Control Room'!$B$5="Normal",'Control Room'!$B$7,('Control Room'!$B$8+'Control Room'!$D$8)/2))+SQRT(1-'Control Room'!$B$9^2)*(I325-IF('Control Room'!$B$5="Normal",'Control Room'!$B$7,('Control Room'!$B$8+'Control Room'!$D$8)/2))</x:f>
        <x:v>1081.1798972181434</x:v>
      </x:c>
      <x:c r="K325" s="17" t="n">
        <x:f>IF(AND($A325&gt;='Control Room'!$A$13,$A325&lt;'Control Room'!$A$13+'Control Room'!$B$13,'Process'!BL2=1),1+('Control Room'!$C$13-1)*EXP(-0.5*(($A325-'Control Room'!$A$13-('Control Room'!$B$13-1)/2)/MAX(0.5,'Control Room'!$B$13/4))^2),1)*IF(AND($A325&gt;='Control Room'!$A$14,$A325&lt;'Control Room'!$A$14+'Control Room'!$B$14,'Process'!BL3=1),1+('Control Room'!$C$14-1)*EXP(-0.5*(($A325-'Control Room'!$A$14-('Control Room'!$B$14-1)/2)/MAX(0.5,'Control Room'!$B$14/4))^2),1)*IF(AND($A325&gt;='Control Room'!$A$15,$A325&lt;'Control Room'!$A$15+'Control Room'!$B$15,'Process'!BL4=1),1+('Control Room'!$C$15-1)*EXP(-0.5*(($A325-'Control Room'!$A$15-('Control Room'!$B$15-1)/2)/MAX(0.5,'Control Room'!$B$15/4))^2),1)*IF(AND($A325&gt;='Control Room'!$A$16,$A325&lt;'Control Room'!$A$16+'Control Room'!$B$16,'Process'!BL5=1),1+('Control Room'!$C$16-1)*EXP(-0.5*(($A325-'Control Room'!$A$16-('Control Room'!$B$16-1)/2)/MAX(0.5,'Control Room'!$B$16/4))^2),1)</x:f>
        <x:v>1</x:v>
      </x:c>
      <x:c r="L325" s="9" t="n">
        <x:f>MOD(M324*16807,2147483647)</x:f>
        <x:v>1912306987</x:v>
      </x:c>
      <x:c r="M325" s="9" t="n">
        <x:f>MOD(L325*16807,2147483647)</x:f>
        <x:v>903269507</x:v>
      </x:c>
      <x:c r="N325" s="17" t="n">
        <x:f>IF('Control Room'!$B$5="Normal",'Control Room'!$B$7+'Control Room'!$D$7*SQRT(-2*LN(MAX(0.000000000001,L325/2147483647)))*COS(2*PI()*M325/2147483647),'Control Room'!$B$8+('Control Room'!$D$8-'Control Room'!$B$8)*L325/2147483647)</x:f>
        <x:v>961.9338054072944</x:v>
      </x:c>
      <x:c r="O325" s="17" t="n">
        <x:f>IF('Control Room'!$B$5="Normal",'Control Room'!$B$7,('Control Room'!$B$8+'Control Room'!$D$8)/2)+'Control Room'!$B$9*(O324-IF('Control Room'!$B$5="Normal",'Control Room'!$B$7,('Control Room'!$B$8+'Control Room'!$D$8)/2))+SQRT(1-'Control Room'!$B$9^2)*(N325-IF('Control Room'!$B$5="Normal",'Control Room'!$B$7,('Control Room'!$B$8+'Control Room'!$D$8)/2))</x:f>
        <x:v>961.4817123648302</x:v>
      </x:c>
      <x:c r="P325" s="17" t="n">
        <x:f>IF(AND($A325&gt;='Control Room'!$A$13,$A325&lt;'Control Room'!$A$13+'Control Room'!$B$13,'Process'!BM2=1),1+('Control Room'!$C$13-1)*EXP(-0.5*(($A325-'Control Room'!$A$13-('Control Room'!$B$13-1)/2)/MAX(0.5,'Control Room'!$B$13/4))^2),1)*IF(AND($A325&gt;='Control Room'!$A$14,$A325&lt;'Control Room'!$A$14+'Control Room'!$B$14,'Process'!BM3=1),1+('Control Room'!$C$14-1)*EXP(-0.5*(($A325-'Control Room'!$A$14-('Control Room'!$B$14-1)/2)/MAX(0.5,'Control Room'!$B$14/4))^2),1)*IF(AND($A325&gt;='Control Room'!$A$15,$A325&lt;'Control Room'!$A$15+'Control Room'!$B$15,'Process'!BM4=1),1+('Control Room'!$C$15-1)*EXP(-0.5*(($A325-'Control Room'!$A$15-('Control Room'!$B$15-1)/2)/MAX(0.5,'Control Room'!$B$15/4))^2),1)*IF(AND($A325&gt;='Control Room'!$A$16,$A325&lt;'Control Room'!$A$16+'Control Room'!$B$16,'Process'!BM5=1),1+('Control Room'!$C$16-1)*EXP(-0.5*(($A325-'Control Room'!$A$16-('Control Room'!$B$16-1)/2)/MAX(0.5,'Control Room'!$B$16/4))^2),1)</x:f>
        <x:v>1</x:v>
      </x:c>
      <x:c r="Q325" s="9" t="n">
        <x:f>MOD(R324*16807,2147483647)</x:f>
        <x:v>585185124</x:v>
      </x:c>
      <x:c r="R325" s="9" t="n">
        <x:f>MOD(Q325*16807,2147483647)</x:f>
        <x:v>1878759455</x:v>
      </x:c>
      <x:c r="S325" s="17" t="n">
        <x:f>IF('Control Room'!$B$5="Normal",'Control Room'!$B$7+'Control Room'!$D$7*SQRT(-2*LN(MAX(0.000000000001,Q325/2147483647)))*COS(2*PI()*R325/2147483647),'Control Room'!$B$8+('Control Room'!$D$8-'Control Room'!$B$8)*Q325/2147483647)</x:f>
        <x:v>1102.533943857531</x:v>
      </x:c>
      <x:c r="T325" s="17" t="n">
        <x:f>IF('Control Room'!$B$5="Normal",'Control Room'!$B$7,('Control Room'!$B$8+'Control Room'!$D$8)/2)+'Control Room'!$B$9*(T324-IF('Control Room'!$B$5="Normal",'Control Room'!$B$7,('Control Room'!$B$8+'Control Room'!$D$8)/2))+SQRT(1-'Control Room'!$B$9^2)*(S325-IF('Control Room'!$B$5="Normal",'Control Room'!$B$7,('Control Room'!$B$8+'Control Room'!$D$8)/2))</x:f>
        <x:v>1045.7178881611935</x:v>
      </x:c>
      <x:c r="U325" s="17" t="n">
        <x:f>IF(AND($A325&gt;='Control Room'!$A$13,$A325&lt;'Control Room'!$A$13+'Control Room'!$B$13,'Process'!BN2=1),1+('Control Room'!$C$13-1)*EXP(-0.5*(($A325-'Control Room'!$A$13-('Control Room'!$B$13-1)/2)/MAX(0.5,'Control Room'!$B$13/4))^2),1)*IF(AND($A325&gt;='Control Room'!$A$14,$A325&lt;'Control Room'!$A$14+'Control Room'!$B$14,'Process'!BN3=1),1+('Control Room'!$C$14-1)*EXP(-0.5*(($A325-'Control Room'!$A$14-('Control Room'!$B$14-1)/2)/MAX(0.5,'Control Room'!$B$14/4))^2),1)*IF(AND($A325&gt;='Control Room'!$A$15,$A325&lt;'Control Room'!$A$15+'Control Room'!$B$15,'Process'!BN4=1),1+('Control Room'!$C$15-1)*EXP(-0.5*(($A325-'Control Room'!$A$15-('Control Room'!$B$15-1)/2)/MAX(0.5,'Control Room'!$B$15/4))^2),1)*IF(AND($A325&gt;='Control Room'!$A$16,$A325&lt;'Control Room'!$A$16+'Control Room'!$B$16,'Process'!BN5=1),1+('Control Room'!$C$16-1)*EXP(-0.5*(($A325-'Control Room'!$A$16-('Control Room'!$B$16-1)/2)/MAX(0.5,'Control Room'!$B$16/4))^2),1)</x:f>
        <x:v>1</x:v>
      </x:c>
      <x:c r="V325" s="9" t="n">
        <x:f>MOD(W324*16807,2147483647)</x:f>
        <x:v>1405546908</x:v>
      </x:c>
      <x:c r="W325" s="9" t="n">
        <x:f>MOD(V325*16807,2147483647)</x:f>
        <x:v>706765756</x:v>
      </x:c>
      <x:c r="X325" s="17" t="n">
        <x:f>IF('Control Room'!$B$5="Normal",'Control Room'!$B$7+'Control Room'!$D$7*SQRT(-2*LN(MAX(0.000000000001,V325/2147483647)))*COS(2*PI()*W325/2147483647),'Control Room'!$B$8+('Control Room'!$D$8-'Control Room'!$B$8)*V325/2147483647)</x:f>
        <x:v>960.484330961379</x:v>
      </x:c>
      <x:c r="Y325" s="17" t="n">
        <x:f>IF('Control Room'!$B$5="Normal",'Control Room'!$B$7,('Control Room'!$B$8+'Control Room'!$D$8)/2)+'Control Room'!$B$9*(Y324-IF('Control Room'!$B$5="Normal",'Control Room'!$B$7,('Control Room'!$B$8+'Control Room'!$D$8)/2))+SQRT(1-'Control Room'!$B$9^2)*(X325-IF('Control Room'!$B$5="Normal",'Control Room'!$B$7,('Control Room'!$B$8+'Control Room'!$D$8)/2))</x:f>
        <x:v>1103.846171341729</x:v>
      </x:c>
      <x:c r="Z325" s="17" t="n">
        <x:f>IF(AND($A325&gt;='Control Room'!$A$13,$A325&lt;'Control Room'!$A$13+'Control Room'!$B$13,'Process'!BO2=1),1+('Control Room'!$C$13-1)*EXP(-0.5*(($A325-'Control Room'!$A$13-('Control Room'!$B$13-1)/2)/MAX(0.5,'Control Room'!$B$13/4))^2),1)*IF(AND($A325&gt;='Control Room'!$A$14,$A325&lt;'Control Room'!$A$14+'Control Room'!$B$14,'Process'!BO3=1),1+('Control Room'!$C$14-1)*EXP(-0.5*(($A325-'Control Room'!$A$14-('Control Room'!$B$14-1)/2)/MAX(0.5,'Control Room'!$B$14/4))^2),1)*IF(AND($A325&gt;='Control Room'!$A$15,$A325&lt;'Control Room'!$A$15+'Control Room'!$B$15,'Process'!BO4=1),1+('Control Room'!$C$15-1)*EXP(-0.5*(($A325-'Control Room'!$A$15-('Control Room'!$B$15-1)/2)/MAX(0.5,'Control Room'!$B$15/4))^2),1)*IF(AND($A325&gt;='Control Room'!$A$16,$A325&lt;'Control Room'!$A$16+'Control Room'!$B$16,'Process'!BO5=1),1+('Control Room'!$C$16-1)*EXP(-0.5*(($A325-'Control Room'!$A$16-('Control Room'!$B$16-1)/2)/MAX(0.5,'Control Room'!$B$16/4))^2),1)</x:f>
        <x:v>1</x:v>
      </x:c>
      <x:c r="AA325" s="9" t="n">
        <x:f>MOD(AB324*16807,2147483647)</x:f>
        <x:v>78425045</x:v>
      </x:c>
      <x:c r="AB325" s="9" t="n">
        <x:f>MOD(AA325*16807,2147483647)</x:f>
        <x:v>1682255704</x:v>
      </x:c>
      <x:c r="AC325" s="17" t="n">
        <x:f>IF('Control Room'!$B$5="Normal",'Control Room'!$B$7+'Control Room'!$D$7*SQRT(-2*LN(MAX(0.000000000001,AA325/2147483647)))*COS(2*PI()*AB325/2147483647),'Control Room'!$B$8+('Control Room'!$D$8-'Control Room'!$B$8)*AA325/2147483647)</x:f>
        <x:v>1048.184131142606</x:v>
      </x:c>
      <x:c r="AD325" s="17" t="n">
        <x:f>IF('Control Room'!$B$5="Normal",'Control Room'!$B$7,('Control Room'!$B$8+'Control Room'!$D$8)/2)+'Control Room'!$B$9*(AD324-IF('Control Room'!$B$5="Normal",'Control Room'!$B$7,('Control Room'!$B$8+'Control Room'!$D$8)/2))+SQRT(1-'Control Room'!$B$9^2)*(AC325-IF('Control Room'!$B$5="Normal",'Control Room'!$B$7,('Control Room'!$B$8+'Control Room'!$D$8)/2))</x:f>
        <x:v>1042.9255298542282</x:v>
      </x:c>
      <x:c r="AE325" s="17" t="n">
        <x:f>IF(AND($A325&gt;='Control Room'!$A$13,$A325&lt;'Control Room'!$A$13+'Control Room'!$B$13,'Process'!BP2=1),1+('Control Room'!$C$13-1)*EXP(-0.5*(($A325-'Control Room'!$A$13-('Control Room'!$B$13-1)/2)/MAX(0.5,'Control Room'!$B$13/4))^2),1)*IF(AND($A325&gt;='Control Room'!$A$14,$A325&lt;'Control Room'!$A$14+'Control Room'!$B$14,'Process'!BP3=1),1+('Control Room'!$C$14-1)*EXP(-0.5*(($A325-'Control Room'!$A$14-('Control Room'!$B$14-1)/2)/MAX(0.5,'Control Room'!$B$14/4))^2),1)*IF(AND($A325&gt;='Control Room'!$A$15,$A325&lt;'Control Room'!$A$15+'Control Room'!$B$15,'Process'!BP4=1),1+('Control Room'!$C$15-1)*EXP(-0.5*(($A325-'Control Room'!$A$15-('Control Room'!$B$15-1)/2)/MAX(0.5,'Control Room'!$B$15/4))^2),1)*IF(AND($A325&gt;='Control Room'!$A$16,$A325&lt;'Control Room'!$A$16+'Control Room'!$B$16,'Process'!BP5=1),1+('Control Room'!$C$16-1)*EXP(-0.5*(($A325-'Control Room'!$A$16-('Control Room'!$B$16-1)/2)/MAX(0.5,'Control Room'!$B$16/4))^2),1)</x:f>
        <x:v>1</x:v>
      </x:c>
      <x:c r="AF325" s="9" t="n">
        <x:f>MOD(AG324*16807,2147483647)</x:f>
        <x:v>898786829</x:v>
      </x:c>
      <x:c r="AG325" s="9" t="n">
        <x:f>MOD(AF325*16807,2147483647)</x:f>
        <x:v>510262005</x:v>
      </x:c>
      <x:c r="AH325" s="17" t="n">
        <x:f>IF('Control Room'!$B$5="Normal",'Control Room'!$B$7+'Control Room'!$D$7*SQRT(-2*LN(MAX(0.000000000001,AF325/2147483647)))*COS(2*PI()*AG325/2147483647),'Control Room'!$B$8+('Control Room'!$D$8-'Control Room'!$B$8)*AF325/2147483647)</x:f>
        <x:v>1009.238603846356</x:v>
      </x:c>
      <x:c r="AI325" s="17" t="n">
        <x:f>IF('Control Room'!$B$5="Normal",'Control Room'!$B$7,('Control Room'!$B$8+'Control Room'!$D$8)/2)+'Control Room'!$B$9*(AI324-IF('Control Room'!$B$5="Normal",'Control Room'!$B$7,('Control Room'!$B$8+'Control Room'!$D$8)/2))+SQRT(1-'Control Room'!$B$9^2)*(AH325-IF('Control Room'!$B$5="Normal",'Control Room'!$B$7,('Control Room'!$B$8+'Control Room'!$D$8)/2))</x:f>
        <x:v>947.8210466036836</x:v>
      </x:c>
      <x:c r="AJ325" s="17" t="n">
        <x:f>IF(AND($A325&gt;='Control Room'!$A$13,$A325&lt;'Control Room'!$A$13+'Control Room'!$B$13,'Process'!BQ2=1),1+('Control Room'!$C$13-1)*EXP(-0.5*(($A325-'Control Room'!$A$13-('Control Room'!$B$13-1)/2)/MAX(0.5,'Control Room'!$B$13/4))^2),1)*IF(AND($A325&gt;='Control Room'!$A$14,$A325&lt;'Control Room'!$A$14+'Control Room'!$B$14,'Process'!BQ3=1),1+('Control Room'!$C$14-1)*EXP(-0.5*(($A325-'Control Room'!$A$14-('Control Room'!$B$14-1)/2)/MAX(0.5,'Control Room'!$B$14/4))^2),1)*IF(AND($A325&gt;='Control Room'!$A$15,$A325&lt;'Control Room'!$A$15+'Control Room'!$B$15,'Process'!BQ4=1),1+('Control Room'!$C$15-1)*EXP(-0.5*(($A325-'Control Room'!$A$15-('Control Room'!$B$15-1)/2)/MAX(0.5,'Control Room'!$B$15/4))^2),1)*IF(AND($A325&gt;='Control Room'!$A$16,$A325&lt;'Control Room'!$A$16+'Control Room'!$B$16,'Process'!BQ5=1),1+('Control Room'!$C$16-1)*EXP(-0.5*(($A325-'Control Room'!$A$16-('Control Room'!$B$16-1)/2)/MAX(0.5,'Control Room'!$B$16/4))^2),1)</x:f>
        <x:v>1</x:v>
      </x:c>
      <x:c r="AK325" s="9" t="n">
        <x:f>MOD(AL324*16807,2147483647)</x:f>
        <x:v>1719148613</x:v>
      </x:c>
      <x:c r="AL325" s="9" t="n">
        <x:f>MOD(AK325*16807,2147483647)</x:f>
        <x:v>1485751953</x:v>
      </x:c>
      <x:c r="AM325" s="17" t="n">
        <x:f>IF('Control Room'!$B$5="Normal",'Control Room'!$B$7+'Control Room'!$D$7*SQRT(-2*LN(MAX(0.000000000001,AK325/2147483647)))*COS(2*PI()*AL325/2147483647),'Control Room'!$B$8+('Control Room'!$D$8-'Control Room'!$B$8)*AK325/2147483647)</x:f>
        <x:v>978.5531551895436</x:v>
      </x:c>
      <x:c r="AN325" s="17" t="n">
        <x:f>IF('Control Room'!$B$5="Normal",'Control Room'!$B$7,('Control Room'!$B$8+'Control Room'!$D$8)/2)+'Control Room'!$B$9*(AN324-IF('Control Room'!$B$5="Normal",'Control Room'!$B$7,('Control Room'!$B$8+'Control Room'!$D$8)/2))+SQRT(1-'Control Room'!$B$9^2)*(AM325-IF('Control Room'!$B$5="Normal",'Control Room'!$B$7,('Control Room'!$B$8+'Control Room'!$D$8)/2))</x:f>
        <x:v>1005.7636965997942</x:v>
      </x:c>
      <x:c r="AO325" s="17" t="n">
        <x:f>IF(AND($A325&gt;='Control Room'!$A$13,$A325&lt;'Control Room'!$A$13+'Control Room'!$B$13,'Process'!BR2=1),1+('Control Room'!$C$13-1)*EXP(-0.5*(($A325-'Control Room'!$A$13-('Control Room'!$B$13-1)/2)/MAX(0.5,'Control Room'!$B$13/4))^2),1)*IF(AND($A325&gt;='Control Room'!$A$14,$A325&lt;'Control Room'!$A$14+'Control Room'!$B$14,'Process'!BR3=1),1+('Control Room'!$C$14-1)*EXP(-0.5*(($A325-'Control Room'!$A$14-('Control Room'!$B$14-1)/2)/MAX(0.5,'Control Room'!$B$14/4))^2),1)*IF(AND($A325&gt;='Control Room'!$A$15,$A325&lt;'Control Room'!$A$15+'Control Room'!$B$15,'Process'!BR4=1),1+('Control Room'!$C$15-1)*EXP(-0.5*(($A325-'Control Room'!$A$15-('Control Room'!$B$15-1)/2)/MAX(0.5,'Control Room'!$B$15/4))^2),1)*IF(AND($A325&gt;='Control Room'!$A$16,$A325&lt;'Control Room'!$A$16+'Control Room'!$B$16,'Process'!BR5=1),1+('Control Room'!$C$16-1)*EXP(-0.5*(($A325-'Control Room'!$A$16-('Control Room'!$B$16-1)/2)/MAX(0.5,'Control Room'!$B$16/4))^2),1)</x:f>
        <x:v>1</x:v>
      </x:c>
      <x:c r="AP325" s="9" t="n">
        <x:f>MOD(AQ324*16807,2147483647)</x:f>
        <x:v>392026750</x:v>
      </x:c>
      <x:c r="AQ325" s="9" t="n">
        <x:f>MOD(AP325*16807,2147483647)</x:f>
        <x:v>313758254</x:v>
      </x:c>
      <x:c r="AR325" s="17" t="n">
        <x:f>IF('Control Room'!$B$5="Normal",'Control Room'!$B$7+'Control Room'!$D$7*SQRT(-2*LN(MAX(0.000000000001,AP325/2147483647)))*COS(2*PI()*AQ325/2147483647),'Control Room'!$B$8+('Control Room'!$D$8-'Control Room'!$B$8)*AP325/2147483647)</x:f>
        <x:v>1100.8215177432141</x:v>
      </x:c>
      <x:c r="AS325" s="17" t="n">
        <x:f>IF('Control Room'!$B$5="Normal",'Control Room'!$B$7,('Control Room'!$B$8+'Control Room'!$D$8)/2)+'Control Room'!$B$9*(AS324-IF('Control Room'!$B$5="Normal",'Control Room'!$B$7,('Control Room'!$B$8+'Control Room'!$D$8)/2))+SQRT(1-'Control Room'!$B$9^2)*(AR325-IF('Control Room'!$B$5="Normal",'Control Room'!$B$7,('Control Room'!$B$8+'Control Room'!$D$8)/2))</x:f>
        <x:v>1063.990918268597</x:v>
      </x:c>
      <x:c r="AT325" s="17" t="n">
        <x:f>IF(AND($A325&gt;='Control Room'!$A$13,$A325&lt;'Control Room'!$A$13+'Control Room'!$B$13,'Process'!BS2=1),1+('Control Room'!$C$13-1)*EXP(-0.5*(($A325-'Control Room'!$A$13-('Control Room'!$B$13-1)/2)/MAX(0.5,'Control Room'!$B$13/4))^2),1)*IF(AND($A325&gt;='Control Room'!$A$14,$A325&lt;'Control Room'!$A$14+'Control Room'!$B$14,'Process'!BS3=1),1+('Control Room'!$C$14-1)*EXP(-0.5*(($A325-'Control Room'!$A$14-('Control Room'!$B$14-1)/2)/MAX(0.5,'Control Room'!$B$14/4))^2),1)*IF(AND($A325&gt;='Control Room'!$A$15,$A325&lt;'Control Room'!$A$15+'Control Room'!$B$15,'Process'!BS4=1),1+('Control Room'!$C$15-1)*EXP(-0.5*(($A325-'Control Room'!$A$15-('Control Room'!$B$15-1)/2)/MAX(0.5,'Control Room'!$B$15/4))^2),1)*IF(AND($A325&gt;='Control Room'!$A$16,$A325&lt;'Control Room'!$A$16+'Control Room'!$B$16,'Process'!BS5=1),1+('Control Room'!$C$16-1)*EXP(-0.5*(($A325-'Control Room'!$A$16-('Control Room'!$B$16-1)/2)/MAX(0.5,'Control Room'!$B$16/4))^2),1)</x:f>
        <x:v>1</x:v>
      </x:c>
      <x:c r="AU325" s="9" t="n">
        <x:f>MOD(AV324*16807,2147483647)</x:f>
        <x:v>1212388534</x:v>
      </x:c>
      <x:c r="AV325" s="9" t="n">
        <x:f>MOD(AU325*16807,2147483647)</x:f>
        <x:v>1289248202</x:v>
      </x:c>
      <x:c r="AW325" s="17" t="n">
        <x:f>IF('Control Room'!$B$5="Normal",'Control Room'!$B$7+'Control Room'!$D$7*SQRT(-2*LN(MAX(0.000000000001,AU325/2147483647)))*COS(2*PI()*AV325/2147483647),'Control Room'!$B$8+('Control Room'!$D$8-'Control Room'!$B$8)*AU325/2147483647)</x:f>
        <x:v>922.2680667026299</x:v>
      </x:c>
      <x:c r="AX325" s="17" t="n">
        <x:f>IF('Control Room'!$B$5="Normal",'Control Room'!$B$7,('Control Room'!$B$8+'Control Room'!$D$8)/2)+'Control Room'!$B$9*(AX324-IF('Control Room'!$B$5="Normal",'Control Room'!$B$7,('Control Room'!$B$8+'Control Room'!$D$8)/2))+SQRT(1-'Control Room'!$B$9^2)*(AW325-IF('Control Room'!$B$5="Normal",'Control Room'!$B$7,('Control Room'!$B$8+'Control Room'!$D$8)/2))</x:f>
        <x:v>941.1252912955181</x:v>
      </x:c>
      <x:c r="AY325" s="17" t="n">
        <x:f>IF(AND($A325&gt;='Control Room'!$A$13,$A325&lt;'Control Room'!$A$13+'Control Room'!$B$13,'Process'!BT2=1),1+('Control Room'!$C$13-1)*EXP(-0.5*(($A325-'Control Room'!$A$13-('Control Room'!$B$13-1)/2)/MAX(0.5,'Control Room'!$B$13/4))^2),1)*IF(AND($A325&gt;='Control Room'!$A$14,$A325&lt;'Control Room'!$A$14+'Control Room'!$B$14,'Process'!BT3=1),1+('Control Room'!$C$14-1)*EXP(-0.5*(($A325-'Control Room'!$A$14-('Control Room'!$B$14-1)/2)/MAX(0.5,'Control Room'!$B$14/4))^2),1)*IF(AND($A325&gt;='Control Room'!$A$15,$A325&lt;'Control Room'!$A$15+'Control Room'!$B$15,'Process'!BT4=1),1+('Control Room'!$C$15-1)*EXP(-0.5*(($A325-'Control Room'!$A$15-('Control Room'!$B$15-1)/2)/MAX(0.5,'Control Room'!$B$15/4))^2),1)*IF(AND($A325&gt;='Control Room'!$A$16,$A325&lt;'Control Room'!$A$16+'Control Room'!$B$16,'Process'!BT5=1),1+('Control Room'!$C$16-1)*EXP(-0.5*(($A325-'Control Room'!$A$16-('Control Room'!$B$16-1)/2)/MAX(0.5,'Control Room'!$B$16/4))^2),1)</x:f>
        <x:v>1</x:v>
      </x:c>
      <x:c r="AZ325" s="9" t="n">
        <x:f>MOD(BA324*16807,2147483647)</x:f>
        <x:v>2032750318</x:v>
      </x:c>
      <x:c r="BA325" s="9" t="n">
        <x:f>MOD(AZ325*16807,2147483647)</x:f>
        <x:v>117254503</x:v>
      </x:c>
      <x:c r="BB325" s="17" t="n">
        <x:f>IF('Control Room'!$B$5="Normal",'Control Room'!$B$7+'Control Room'!$D$7*SQRT(-2*LN(MAX(0.000000000001,AZ325/2147483647)))*COS(2*PI()*BA325/2147483647),'Control Room'!$B$8+('Control Room'!$D$8-'Control Room'!$B$8)*AZ325/2147483647)</x:f>
        <x:v>1028.0864403097298</x:v>
      </x:c>
      <x:c r="BC325" s="17" t="n">
        <x:f>IF('Control Room'!$B$5="Normal",'Control Room'!$B$7,('Control Room'!$B$8+'Control Room'!$D$8)/2)+'Control Room'!$B$9*(BC324-IF('Control Room'!$B$5="Normal",'Control Room'!$B$7,('Control Room'!$B$8+'Control Room'!$D$8)/2))+SQRT(1-'Control Room'!$B$9^2)*(BB325-IF('Control Room'!$B$5="Normal",'Control Room'!$B$7,('Control Room'!$B$8+'Control Room'!$D$8)/2))</x:f>
        <x:v>1002.5092092412233</x:v>
      </x:c>
      <x:c r="BD325" s="17" t="n">
        <x:f>IF(AND($A325&gt;='Control Room'!$A$13,$A325&lt;'Control Room'!$A$13+'Control Room'!$B$13,'Process'!BU2=1),1+('Control Room'!$C$13-1)*EXP(-0.5*(($A325-'Control Room'!$A$13-('Control Room'!$B$13-1)/2)/MAX(0.5,'Control Room'!$B$13/4))^2),1)*IF(AND($A325&gt;='Control Room'!$A$14,$A325&lt;'Control Room'!$A$14+'Control Room'!$B$14,'Process'!BU3=1),1+('Control Room'!$C$14-1)*EXP(-0.5*(($A325-'Control Room'!$A$14-('Control Room'!$B$14-1)/2)/MAX(0.5,'Control Room'!$B$14/4))^2),1)*IF(AND($A325&gt;='Control Room'!$A$15,$A325&lt;'Control Room'!$A$15+'Control Room'!$B$15,'Process'!BU4=1),1+('Control Room'!$C$15-1)*EXP(-0.5*(($A325-'Control Room'!$A$15-('Control Room'!$B$15-1)/2)/MAX(0.5,'Control Room'!$B$15/4))^2),1)*IF(AND($A325&gt;='Control Room'!$A$16,$A325&lt;'Control Room'!$A$16+'Control Room'!$B$16,'Process'!BU5=1),1+('Control Room'!$C$16-1)*EXP(-0.5*(($A325-'Control Room'!$A$16-('Control Room'!$B$16-1)/2)/MAX(0.5,'Control Room'!$B$16/4))^2),1)</x:f>
        <x:v>1</x:v>
      </x:c>
      <x:c r="BE325" s="9" t="n">
        <x:f>MOD(BF324*16807,2147483647)</x:f>
        <x:v>705628455</x:v>
      </x:c>
      <x:c r="BF325" s="9" t="n">
        <x:f>MOD(BE325*16807,2147483647)</x:f>
        <x:v>1092744451</x:v>
      </x:c>
      <x:c r="BG325" s="17" t="n">
        <x:f>IF('Control Room'!$B$5="Normal",'Control Room'!$B$7+'Control Room'!$D$7*SQRT(-2*LN(MAX(0.000000000001,BE325/2147483647)))*COS(2*PI()*BF325/2147483647),'Control Room'!$B$8+('Control Room'!$D$8-'Control Room'!$B$8)*BE325/2147483647)</x:f>
        <x:v>865.9316331348657</x:v>
      </x:c>
      <x:c r="BH325" s="17" t="n">
        <x:f>IF('Control Room'!$B$5="Normal",'Control Room'!$B$7,('Control Room'!$B$8+'Control Room'!$D$8)/2)+'Control Room'!$B$9*(BH324-IF('Control Room'!$B$5="Normal",'Control Room'!$B$7,('Control Room'!$B$8+'Control Room'!$D$8)/2))+SQRT(1-'Control Room'!$B$9^2)*(BG325-IF('Control Room'!$B$5="Normal",'Control Room'!$B$7,('Control Room'!$B$8+'Control Room'!$D$8)/2))</x:f>
        <x:v>970.6019543041866</x:v>
      </x:c>
      <x:c r="BI325" s="17" t="n">
        <x:f>IF(AND($A325&gt;='Control Room'!$A$13,$A325&lt;'Control Room'!$A$13+'Control Room'!$B$13,'Process'!BV2=1),1+('Control Room'!$C$13-1)*EXP(-0.5*(($A325-'Control Room'!$A$13-('Control Room'!$B$13-1)/2)/MAX(0.5,'Control Room'!$B$13/4))^2),1)*IF(AND($A325&gt;='Control Room'!$A$14,$A325&lt;'Control Room'!$A$14+'Control Room'!$B$14,'Process'!BV3=1),1+('Control Room'!$C$14-1)*EXP(-0.5*(($A325-'Control Room'!$A$14-('Control Room'!$B$14-1)/2)/MAX(0.5,'Control Room'!$B$14/4))^2),1)*IF(AND($A325&gt;='Control Room'!$A$15,$A325&lt;'Control Room'!$A$15+'Control Room'!$B$15,'Process'!BV4=1),1+('Control Room'!$C$15-1)*EXP(-0.5*(($A325-'Control Room'!$A$15-('Control Room'!$B$15-1)/2)/MAX(0.5,'Control Room'!$B$15/4))^2),1)*IF(AND($A325&gt;='Control Room'!$A$16,$A325&lt;'Control Room'!$A$16+'Control Room'!$B$16,'Process'!BV5=1),1+('Control Room'!$C$16-1)*EXP(-0.5*(($A325-'Control Room'!$A$16-('Control Room'!$B$16-1)/2)/MAX(0.5,'Control Room'!$B$16/4))^2),1)</x:f>
        <x:v>1</x:v>
      </x:c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Z325" t="str">
        <x:f>IF('Data'!A325="","",TEXT('Data'!A325,"mm-dd"))</x:f>
      </x:c>
    </x:row>
    <x:row r="326" ht="21" customHeight="1">
      <x:c r="A326" s="15" t="n">
        <x:f>'Control Room'!$B$1+324</x:f>
        <x:v>73315</x:v>
      </x:c>
      <x:c r="B326" s="9" t="n">
        <x:f>MOD(C325*16807,2147483647)</x:f>
        <x:v>497397477</x:v>
      </x:c>
      <x:c r="C326" s="9" t="n">
        <x:f>MOD(B326*16807,2147483647)</x:f>
        <x:v>1753041815</x:v>
      </x:c>
      <x:c r="D326" s="17" t="n">
        <x:f>IF('Control Room'!$B$5="Normal",'Control Room'!$B$7+'Control Room'!$D$7*SQRT(-2*LN(MAX(0.000000000001,B326/2147483647)))*COS(2*PI()*C326/2147483647),'Control Room'!$B$8+('Control Room'!$D$8-'Control Room'!$B$8)*B326/2147483647)</x:f>
        <x:v>1062.306710016218</x:v>
      </x:c>
      <x:c r="E326" s="17" t="n">
        <x:f>IF('Control Room'!$B$5="Normal",'Control Room'!$B$7,('Control Room'!$B$8+'Control Room'!$D$8)/2)+'Control Room'!$B$9*(E325-IF('Control Room'!$B$5="Normal",'Control Room'!$B$7,('Control Room'!$B$8+'Control Room'!$D$8)/2))+SQRT(1-'Control Room'!$B$9^2)*(D326-IF('Control Room'!$B$5="Normal",'Control Room'!$B$7,('Control Room'!$B$8+'Control Room'!$D$8)/2))</x:f>
        <x:v>956.4342232426621</x:v>
      </x:c>
      <x:c r="F326" s="17" t="n">
        <x:f>IF(AND($A326&gt;='Control Room'!$A$13,$A326&lt;'Control Room'!$A$13+'Control Room'!$B$13,'Process'!BK2=1),1+('Control Room'!$C$13-1)*EXP(-0.5*(($A326-'Control Room'!$A$13-('Control Room'!$B$13-1)/2)/MAX(0.5,'Control Room'!$B$13/4))^2),1)*IF(AND($A326&gt;='Control Room'!$A$14,$A326&lt;'Control Room'!$A$14+'Control Room'!$B$14,'Process'!BK3=1),1+('Control Room'!$C$14-1)*EXP(-0.5*(($A326-'Control Room'!$A$14-('Control Room'!$B$14-1)/2)/MAX(0.5,'Control Room'!$B$14/4))^2),1)*IF(AND($A326&gt;='Control Room'!$A$15,$A326&lt;'Control Room'!$A$15+'Control Room'!$B$15,'Process'!BK4=1),1+('Control Room'!$C$15-1)*EXP(-0.5*(($A326-'Control Room'!$A$15-('Control Room'!$B$15-1)/2)/MAX(0.5,'Control Room'!$B$15/4))^2),1)*IF(AND($A326&gt;='Control Room'!$A$16,$A326&lt;'Control Room'!$A$16+'Control Room'!$B$16,'Process'!BK5=1),1+('Control Room'!$C$16-1)*EXP(-0.5*(($A326-'Control Room'!$A$16-('Control Room'!$B$16-1)/2)/MAX(0.5,'Control Room'!$B$16/4))^2),1)</x:f>
        <x:v>1</x:v>
      </x:c>
      <x:c r="G326" s="9" t="n">
        <x:f>MOD(H325*16807,2147483647)</x:f>
        <x:v>1666792315</x:v>
      </x:c>
      <x:c r="H326" s="9" t="n">
        <x:f>MOD(G326*16807,2147483647)</x:f>
        <x:v>2001746737</x:v>
      </x:c>
      <x:c r="I326" s="17" t="n">
        <x:f>IF('Control Room'!$B$5="Normal",'Control Room'!$B$7+'Control Room'!$D$7*SQRT(-2*LN(MAX(0.000000000001,G326/2147483647)))*COS(2*PI()*H326/2147483647),'Control Room'!$B$8+('Control Room'!$D$8-'Control Room'!$B$8)*G326/2147483647)</x:f>
        <x:v>1058.3334771895281</x:v>
      </x:c>
      <x:c r="J326" s="17" t="n">
        <x:f>IF('Control Room'!$B$5="Normal",'Control Room'!$B$7,('Control Room'!$B$8+'Control Room'!$D$8)/2)+'Control Room'!$B$9*(J325-IF('Control Room'!$B$5="Normal",'Control Room'!$B$7,('Control Room'!$B$8+'Control Room'!$D$8)/2))+SQRT(1-'Control Room'!$B$9^2)*(I326-IF('Control Room'!$B$5="Normal",'Control Room'!$B$7,('Control Room'!$B$8+'Control Room'!$D$8)/2))</x:f>
        <x:v>1099.8242148291229</x:v>
      </x:c>
      <x:c r="K326" s="17" t="n">
        <x:f>IF(AND($A326&gt;='Control Room'!$A$13,$A326&lt;'Control Room'!$A$13+'Control Room'!$B$13,'Process'!BL2=1),1+('Control Room'!$C$13-1)*EXP(-0.5*(($A326-'Control Room'!$A$13-('Control Room'!$B$13-1)/2)/MAX(0.5,'Control Room'!$B$13/4))^2),1)*IF(AND($A326&gt;='Control Room'!$A$14,$A326&lt;'Control Room'!$A$14+'Control Room'!$B$14,'Process'!BL3=1),1+('Control Room'!$C$14-1)*EXP(-0.5*(($A326-'Control Room'!$A$14-('Control Room'!$B$14-1)/2)/MAX(0.5,'Control Room'!$B$14/4))^2),1)*IF(AND($A326&gt;='Control Room'!$A$15,$A326&lt;'Control Room'!$A$15+'Control Room'!$B$15,'Process'!BL4=1),1+('Control Room'!$C$15-1)*EXP(-0.5*(($A326-'Control Room'!$A$15-('Control Room'!$B$15-1)/2)/MAX(0.5,'Control Room'!$B$15/4))^2),1)*IF(AND($A326&gt;='Control Room'!$A$16,$A326&lt;'Control Room'!$A$16+'Control Room'!$B$16,'Process'!BL5=1),1+('Control Room'!$C$16-1)*EXP(-0.5*(($A326-'Control Room'!$A$16-('Control Room'!$B$16-1)/2)/MAX(0.5,'Control Room'!$B$16/4))^2),1)</x:f>
        <x:v>1</x:v>
      </x:c>
      <x:c r="L326" s="9" t="n">
        <x:f>MOD(M325*16807,2147483647)</x:f>
        <x:v>688703506</x:v>
      </x:c>
      <x:c r="M326" s="9" t="n">
        <x:f>MOD(L326*16807,2147483647)</x:f>
        <x:v>102968012</x:v>
      </x:c>
      <x:c r="N326" s="17" t="n">
        <x:f>IF('Control Room'!$B$5="Normal",'Control Room'!$B$7+'Control Room'!$D$7*SQRT(-2*LN(MAX(0.000000000001,L326/2147483647)))*COS(2*PI()*M326/2147483647),'Control Room'!$B$8+('Control Room'!$D$8-'Control Room'!$B$8)*L326/2147483647)</x:f>
        <x:v>1129.6192476668991</x:v>
      </x:c>
      <x:c r="O326" s="17" t="n">
        <x:f>IF('Control Room'!$B$5="Normal",'Control Room'!$B$7,('Control Room'!$B$8+'Control Room'!$D$8)/2)+'Control Room'!$B$9*(O325-IF('Control Room'!$B$5="Normal",'Control Room'!$B$7,('Control Room'!$B$8+'Control Room'!$D$8)/2))+SQRT(1-'Control Room'!$B$9^2)*(N326-IF('Control Room'!$B$5="Normal",'Control Room'!$B$7,('Control Room'!$B$8+'Control Room'!$D$8)/2))</x:f>
        <x:v>1051.068805439891</x:v>
      </x:c>
      <x:c r="P326" s="17" t="n">
        <x:f>IF(AND($A326&gt;='Control Room'!$A$13,$A326&lt;'Control Room'!$A$13+'Control Room'!$B$13,'Process'!BM2=1),1+('Control Room'!$C$13-1)*EXP(-0.5*(($A326-'Control Room'!$A$13-('Control Room'!$B$13-1)/2)/MAX(0.5,'Control Room'!$B$13/4))^2),1)*IF(AND($A326&gt;='Control Room'!$A$14,$A326&lt;'Control Room'!$A$14+'Control Room'!$B$14,'Process'!BM3=1),1+('Control Room'!$C$14-1)*EXP(-0.5*(($A326-'Control Room'!$A$14-('Control Room'!$B$14-1)/2)/MAX(0.5,'Control Room'!$B$14/4))^2),1)*IF(AND($A326&gt;='Control Room'!$A$15,$A326&lt;'Control Room'!$A$15+'Control Room'!$B$15,'Process'!BM4=1),1+('Control Room'!$C$15-1)*EXP(-0.5*(($A326-'Control Room'!$A$15-('Control Room'!$B$15-1)/2)/MAX(0.5,'Control Room'!$B$15/4))^2),1)*IF(AND($A326&gt;='Control Room'!$A$16,$A326&lt;'Control Room'!$A$16+'Control Room'!$B$16,'Process'!BM5=1),1+('Control Room'!$C$16-1)*EXP(-0.5*(($A326-'Control Room'!$A$16-('Control Room'!$B$16-1)/2)/MAX(0.5,'Control Room'!$B$16/4))^2),1)</x:f>
        <x:v>1</x:v>
      </x:c>
      <x:c r="Q326" s="9" t="n">
        <x:f>MOD(R325*16807,2147483647)</x:f>
        <x:v>1858098344</x:v>
      </x:c>
      <x:c r="R326" s="9" t="n">
        <x:f>MOD(Q326*16807,2147483647)</x:f>
        <x:v>351672934</x:v>
      </x:c>
      <x:c r="S326" s="17" t="n">
        <x:f>IF('Control Room'!$B$5="Normal",'Control Room'!$B$7+'Control Room'!$D$7*SQRT(-2*LN(MAX(0.000000000001,Q326/2147483647)))*COS(2*PI()*R326/2147483647),'Control Room'!$B$8+('Control Room'!$D$8-'Control Room'!$B$8)*Q326/2147483647)</x:f>
        <x:v>1024.9734520791849</x:v>
      </x:c>
      <x:c r="T326" s="17" t="n">
        <x:f>IF('Control Room'!$B$5="Normal",'Control Room'!$B$7,('Control Room'!$B$8+'Control Room'!$D$8)/2)+'Control Room'!$B$9*(T325-IF('Control Room'!$B$5="Normal",'Control Room'!$B$7,('Control Room'!$B$8+'Control Room'!$D$8)/2))+SQRT(1-'Control Room'!$B$9^2)*(S326-IF('Control Room'!$B$5="Normal",'Control Room'!$B$7,('Control Room'!$B$8+'Control Room'!$D$8)/2))</x:f>
        <x:v>1051.2878274679106</x:v>
      </x:c>
      <x:c r="U326" s="17" t="n">
        <x:f>IF(AND($A326&gt;='Control Room'!$A$13,$A326&lt;'Control Room'!$A$13+'Control Room'!$B$13,'Process'!BN2=1),1+('Control Room'!$C$13-1)*EXP(-0.5*(($A326-'Control Room'!$A$13-('Control Room'!$B$13-1)/2)/MAX(0.5,'Control Room'!$B$13/4))^2),1)*IF(AND($A326&gt;='Control Room'!$A$14,$A326&lt;'Control Room'!$A$14+'Control Room'!$B$14,'Process'!BN3=1),1+('Control Room'!$C$14-1)*EXP(-0.5*(($A326-'Control Room'!$A$14-('Control Room'!$B$14-1)/2)/MAX(0.5,'Control Room'!$B$14/4))^2),1)*IF(AND($A326&gt;='Control Room'!$A$15,$A326&lt;'Control Room'!$A$15+'Control Room'!$B$15,'Process'!BN4=1),1+('Control Room'!$C$15-1)*EXP(-0.5*(($A326-'Control Room'!$A$15-('Control Room'!$B$15-1)/2)/MAX(0.5,'Control Room'!$B$15/4))^2),1)*IF(AND($A326&gt;='Control Room'!$A$16,$A326&lt;'Control Room'!$A$16+'Control Room'!$B$16,'Process'!BN5=1),1+('Control Room'!$C$16-1)*EXP(-0.5*(($A326-'Control Room'!$A$16-('Control Room'!$B$16-1)/2)/MAX(0.5,'Control Room'!$B$16/4))^2),1)</x:f>
        <x:v>1</x:v>
      </x:c>
      <x:c r="V326" s="9" t="n">
        <x:f>MOD(W325*16807,2147483647)</x:f>
        <x:v>880009535</x:v>
      </x:c>
      <x:c r="W326" s="9" t="n">
        <x:f>MOD(V326*16807,2147483647)</x:f>
        <x:v>600377856</x:v>
      </x:c>
      <x:c r="X326" s="17" t="n">
        <x:f>IF('Control Room'!$B$5="Normal",'Control Room'!$B$7+'Control Room'!$D$7*SQRT(-2*LN(MAX(0.000000000001,V326/2147483647)))*COS(2*PI()*W326/2147483647),'Control Room'!$B$8+('Control Room'!$D$8-'Control Room'!$B$8)*V326/2147483647)</x:f>
        <x:v>977.7905267863542</x:v>
      </x:c>
      <x:c r="Y326" s="17" t="n">
        <x:f>IF('Control Room'!$B$5="Normal",'Control Room'!$B$7,('Control Room'!$B$8+'Control Room'!$D$8)/2)+'Control Room'!$B$9*(Y325-IF('Control Room'!$B$5="Normal",'Control Room'!$B$7,('Control Room'!$B$8+'Control Room'!$D$8)/2))+SQRT(1-'Control Room'!$B$9^2)*(X326-IF('Control Room'!$B$5="Normal",'Control Room'!$B$7,('Control Room'!$B$8+'Control Room'!$D$8)/2))</x:f>
        <x:v>1067.1017802952385</x:v>
      </x:c>
      <x:c r="Z326" s="17" t="n">
        <x:f>IF(AND($A326&gt;='Control Room'!$A$13,$A326&lt;'Control Room'!$A$13+'Control Room'!$B$13,'Process'!BO2=1),1+('Control Room'!$C$13-1)*EXP(-0.5*(($A326-'Control Room'!$A$13-('Control Room'!$B$13-1)/2)/MAX(0.5,'Control Room'!$B$13/4))^2),1)*IF(AND($A326&gt;='Control Room'!$A$14,$A326&lt;'Control Room'!$A$14+'Control Room'!$B$14,'Process'!BO3=1),1+('Control Room'!$C$14-1)*EXP(-0.5*(($A326-'Control Room'!$A$14-('Control Room'!$B$14-1)/2)/MAX(0.5,'Control Room'!$B$14/4))^2),1)*IF(AND($A326&gt;='Control Room'!$A$15,$A326&lt;'Control Room'!$A$15+'Control Room'!$B$15,'Process'!BO4=1),1+('Control Room'!$C$15-1)*EXP(-0.5*(($A326-'Control Room'!$A$15-('Control Room'!$B$15-1)/2)/MAX(0.5,'Control Room'!$B$15/4))^2),1)*IF(AND($A326&gt;='Control Room'!$A$16,$A326&lt;'Control Room'!$A$16+'Control Room'!$B$16,'Process'!BO5=1),1+('Control Room'!$C$16-1)*EXP(-0.5*(($A326-'Control Room'!$A$16-('Control Room'!$B$16-1)/2)/MAX(0.5,'Control Room'!$B$16/4))^2),1)</x:f>
        <x:v>1</x:v>
      </x:c>
      <x:c r="AA326" s="9" t="n">
        <x:f>MOD(AB325*16807,2147483647)</x:f>
        <x:v>2049404373</x:v>
      </x:c>
      <x:c r="AB326" s="9" t="n">
        <x:f>MOD(AA326*16807,2147483647)</x:f>
        <x:v>849082778</x:v>
      </x:c>
      <x:c r="AC326" s="17" t="n">
        <x:f>IF('Control Room'!$B$5="Normal",'Control Room'!$B$7+'Control Room'!$D$7*SQRT(-2*LN(MAX(0.000000000001,AA326/2147483647)))*COS(2*PI()*AB326/2147483647),'Control Room'!$B$8+('Control Room'!$D$8-'Control Room'!$B$8)*AA326/2147483647)</x:f>
        <x:v>978.2147722438706</x:v>
      </x:c>
      <x:c r="AD326" s="17" t="n">
        <x:f>IF('Control Room'!$B$5="Normal",'Control Room'!$B$7,('Control Room'!$B$8+'Control Room'!$D$8)/2)+'Control Room'!$B$9*(AD325-IF('Control Room'!$B$5="Normal",'Control Room'!$B$7,('Control Room'!$B$8+'Control Room'!$D$8)/2))+SQRT(1-'Control Room'!$B$9^2)*(AC326-IF('Control Room'!$B$5="Normal",'Control Room'!$B$7,('Control Room'!$B$8+'Control Room'!$D$8)/2))</x:f>
        <x:v>1019.8491640511612</x:v>
      </x:c>
      <x:c r="AE326" s="17" t="n">
        <x:f>IF(AND($A326&gt;='Control Room'!$A$13,$A326&lt;'Control Room'!$A$13+'Control Room'!$B$13,'Process'!BP2=1),1+('Control Room'!$C$13-1)*EXP(-0.5*(($A326-'Control Room'!$A$13-('Control Room'!$B$13-1)/2)/MAX(0.5,'Control Room'!$B$13/4))^2),1)*IF(AND($A326&gt;='Control Room'!$A$14,$A326&lt;'Control Room'!$A$14+'Control Room'!$B$14,'Process'!BP3=1),1+('Control Room'!$C$14-1)*EXP(-0.5*(($A326-'Control Room'!$A$14-('Control Room'!$B$14-1)/2)/MAX(0.5,'Control Room'!$B$14/4))^2),1)*IF(AND($A326&gt;='Control Room'!$A$15,$A326&lt;'Control Room'!$A$15+'Control Room'!$B$15,'Process'!BP4=1),1+('Control Room'!$C$15-1)*EXP(-0.5*(($A326-'Control Room'!$A$15-('Control Room'!$B$15-1)/2)/MAX(0.5,'Control Room'!$B$15/4))^2),1)*IF(AND($A326&gt;='Control Room'!$A$16,$A326&lt;'Control Room'!$A$16+'Control Room'!$B$16,'Process'!BP5=1),1+('Control Room'!$C$16-1)*EXP(-0.5*(($A326-'Control Room'!$A$16-('Control Room'!$B$16-1)/2)/MAX(0.5,'Control Room'!$B$16/4))^2),1)</x:f>
        <x:v>1</x:v>
      </x:c>
      <x:c r="AF326" s="9" t="n">
        <x:f>MOD(AG325*16807,2147483647)</x:f>
        <x:v>1071315564</x:v>
      </x:c>
      <x:c r="AG326" s="9" t="n">
        <x:f>MOD(AF326*16807,2147483647)</x:f>
        <x:v>1097787700</x:v>
      </x:c>
      <x:c r="AH326" s="17" t="n">
        <x:f>IF('Control Room'!$B$5="Normal",'Control Room'!$B$7+'Control Room'!$D$7*SQRT(-2*LN(MAX(0.000000000001,AF326/2147483647)))*COS(2*PI()*AG326/2147483647),'Control Room'!$B$8+('Control Room'!$D$8-'Control Room'!$B$8)*AF326/2147483647)</x:f>
        <x:v>894.1228924788977</x:v>
      </x:c>
      <x:c r="AI326" s="17" t="n">
        <x:f>IF('Control Room'!$B$5="Normal",'Control Room'!$B$7,('Control Room'!$B$8+'Control Room'!$D$8)/2)+'Control Room'!$B$9*(AI325-IF('Control Room'!$B$5="Normal",'Control Room'!$B$7,('Control Room'!$B$8+'Control Room'!$D$8)/2))+SQRT(1-'Control Room'!$B$9^2)*(AH326-IF('Control Room'!$B$5="Normal",'Control Room'!$B$7,('Control Room'!$B$8+'Control Room'!$D$8)/2))</x:f>
        <x:v>893.0446914746112</x:v>
      </x:c>
      <x:c r="AJ326" s="17" t="n">
        <x:f>IF(AND($A326&gt;='Control Room'!$A$13,$A326&lt;'Control Room'!$A$13+'Control Room'!$B$13,'Process'!BQ2=1),1+('Control Room'!$C$13-1)*EXP(-0.5*(($A326-'Control Room'!$A$13-('Control Room'!$B$13-1)/2)/MAX(0.5,'Control Room'!$B$13/4))^2),1)*IF(AND($A326&gt;='Control Room'!$A$14,$A326&lt;'Control Room'!$A$14+'Control Room'!$B$14,'Process'!BQ3=1),1+('Control Room'!$C$14-1)*EXP(-0.5*(($A326-'Control Room'!$A$14-('Control Room'!$B$14-1)/2)/MAX(0.5,'Control Room'!$B$14/4))^2),1)*IF(AND($A326&gt;='Control Room'!$A$15,$A326&lt;'Control Room'!$A$15+'Control Room'!$B$15,'Process'!BQ4=1),1+('Control Room'!$C$15-1)*EXP(-0.5*(($A326-'Control Room'!$A$15-('Control Room'!$B$15-1)/2)/MAX(0.5,'Control Room'!$B$15/4))^2),1)*IF(AND($A326&gt;='Control Room'!$A$16,$A326&lt;'Control Room'!$A$16+'Control Room'!$B$16,'Process'!BQ5=1),1+('Control Room'!$C$16-1)*EXP(-0.5*(($A326-'Control Room'!$A$16-('Control Room'!$B$16-1)/2)/MAX(0.5,'Control Room'!$B$16/4))^2),1)</x:f>
        <x:v>1</x:v>
      </x:c>
      <x:c r="AK326" s="9" t="n">
        <x:f>MOD(AL325*16807,2147483647)</x:f>
        <x:v>93226755</x:v>
      </x:c>
      <x:c r="AL326" s="9" t="n">
        <x:f>MOD(AK326*16807,2147483647)</x:f>
        <x:v>1346492622</x:v>
      </x:c>
      <x:c r="AM326" s="17" t="n">
        <x:f>IF('Control Room'!$B$5="Normal",'Control Room'!$B$7+'Control Room'!$D$7*SQRT(-2*LN(MAX(0.000000000001,AK326/2147483647)))*COS(2*PI()*AL326/2147483647),'Control Room'!$B$8+('Control Room'!$D$8-'Control Room'!$B$8)*AK326/2147483647)</x:f>
        <x:v>842.6206504119687</x:v>
      </x:c>
      <x:c r="AN326" s="17" t="n">
        <x:f>IF('Control Room'!$B$5="Normal",'Control Room'!$B$7,('Control Room'!$B$8+'Control Room'!$D$8)/2)+'Control Room'!$B$9*(AN325-IF('Control Room'!$B$5="Normal",'Control Room'!$B$7,('Control Room'!$B$8+'Control Room'!$D$8)/2))+SQRT(1-'Control Room'!$B$9^2)*(AM326-IF('Control Room'!$B$5="Normal",'Control Room'!$B$7,('Control Room'!$B$8+'Control Room'!$D$8)/2))</x:f>
        <x:v>906.0109104668708</x:v>
      </x:c>
      <x:c r="AO326" s="17" t="n">
        <x:f>IF(AND($A326&gt;='Control Room'!$A$13,$A326&lt;'Control Room'!$A$13+'Control Room'!$B$13,'Process'!BR2=1),1+('Control Room'!$C$13-1)*EXP(-0.5*(($A326-'Control Room'!$A$13-('Control Room'!$B$13-1)/2)/MAX(0.5,'Control Room'!$B$13/4))^2),1)*IF(AND($A326&gt;='Control Room'!$A$14,$A326&lt;'Control Room'!$A$14+'Control Room'!$B$14,'Process'!BR3=1),1+('Control Room'!$C$14-1)*EXP(-0.5*(($A326-'Control Room'!$A$14-('Control Room'!$B$14-1)/2)/MAX(0.5,'Control Room'!$B$14/4))^2),1)*IF(AND($A326&gt;='Control Room'!$A$15,$A326&lt;'Control Room'!$A$15+'Control Room'!$B$15,'Process'!BR4=1),1+('Control Room'!$C$15-1)*EXP(-0.5*(($A326-'Control Room'!$A$15-('Control Room'!$B$15-1)/2)/MAX(0.5,'Control Room'!$B$15/4))^2),1)*IF(AND($A326&gt;='Control Room'!$A$16,$A326&lt;'Control Room'!$A$16+'Control Room'!$B$16,'Process'!BR5=1),1+('Control Room'!$C$16-1)*EXP(-0.5*(($A326-'Control Room'!$A$16-('Control Room'!$B$16-1)/2)/MAX(0.5,'Control Room'!$B$16/4))^2),1)</x:f>
        <x:v>1</x:v>
      </x:c>
      <x:c r="AP326" s="9" t="n">
        <x:f>MOD(AQ325*16807,2147483647)</x:f>
        <x:v>1262621593</x:v>
      </x:c>
      <x:c r="AQ326" s="9" t="n">
        <x:f>MOD(AP326*16807,2147483647)</x:f>
        <x:v>1595197544</x:v>
      </x:c>
      <x:c r="AR326" s="17" t="n">
        <x:f>IF('Control Room'!$B$5="Normal",'Control Room'!$B$7+'Control Room'!$D$7*SQRT(-2*LN(MAX(0.000000000001,AP326/2147483647)))*COS(2*PI()*AQ326/2147483647),'Control Room'!$B$8+('Control Room'!$D$8-'Control Room'!$B$8)*AP326/2147483647)</x:f>
        <x:v>995.8178460743926</x:v>
      </x:c>
      <x:c r="AS326" s="17" t="n">
        <x:f>IF('Control Room'!$B$5="Normal",'Control Room'!$B$7,('Control Room'!$B$8+'Control Room'!$D$8)/2)+'Control Room'!$B$9*(AS325-IF('Control Room'!$B$5="Normal",'Control Room'!$B$7,('Control Room'!$B$8+'Control Room'!$D$8)/2))+SQRT(1-'Control Room'!$B$9^2)*(AR326-IF('Control Room'!$B$5="Normal",'Control Room'!$B$7,('Control Room'!$B$8+'Control Room'!$D$8)/2))</x:f>
        <x:v>1047.2958099989405</x:v>
      </x:c>
      <x:c r="AT326" s="17" t="n">
        <x:f>IF(AND($A326&gt;='Control Room'!$A$13,$A326&lt;'Control Room'!$A$13+'Control Room'!$B$13,'Process'!BS2=1),1+('Control Room'!$C$13-1)*EXP(-0.5*(($A326-'Control Room'!$A$13-('Control Room'!$B$13-1)/2)/MAX(0.5,'Control Room'!$B$13/4))^2),1)*IF(AND($A326&gt;='Control Room'!$A$14,$A326&lt;'Control Room'!$A$14+'Control Room'!$B$14,'Process'!BS3=1),1+('Control Room'!$C$14-1)*EXP(-0.5*(($A326-'Control Room'!$A$14-('Control Room'!$B$14-1)/2)/MAX(0.5,'Control Room'!$B$14/4))^2),1)*IF(AND($A326&gt;='Control Room'!$A$15,$A326&lt;'Control Room'!$A$15+'Control Room'!$B$15,'Process'!BS4=1),1+('Control Room'!$C$15-1)*EXP(-0.5*(($A326-'Control Room'!$A$15-('Control Room'!$B$15-1)/2)/MAX(0.5,'Control Room'!$B$15/4))^2),1)*IF(AND($A326&gt;='Control Room'!$A$16,$A326&lt;'Control Room'!$A$16+'Control Room'!$B$16,'Process'!BS5=1),1+('Control Room'!$C$16-1)*EXP(-0.5*(($A326-'Control Room'!$A$16-('Control Room'!$B$16-1)/2)/MAX(0.5,'Control Room'!$B$16/4))^2),1)</x:f>
        <x:v>1</x:v>
      </x:c>
      <x:c r="AU326" s="9" t="n">
        <x:f>MOD(AV325*16807,2147483647)</x:f>
        <x:v>284532784</x:v>
      </x:c>
      <x:c r="AV326" s="9" t="n">
        <x:f>MOD(AU326*16807,2147483647)</x:f>
        <x:v>1843902466</x:v>
      </x:c>
      <x:c r="AW326" s="17" t="n">
        <x:f>IF('Control Room'!$B$5="Normal",'Control Room'!$B$7+'Control Room'!$D$7*SQRT(-2*LN(MAX(0.000000000001,AU326/2147483647)))*COS(2*PI()*AV326/2147483647),'Control Room'!$B$8+('Control Room'!$D$8-'Control Room'!$B$8)*AU326/2147483647)</x:f>
        <x:v>1114.1420156366578</x:v>
      </x:c>
      <x:c r="AX326" s="17" t="n">
        <x:f>IF('Control Room'!$B$5="Normal",'Control Room'!$B$7,('Control Room'!$B$8+'Control Room'!$D$8)/2)+'Control Room'!$B$9*(AX325-IF('Control Room'!$B$5="Normal",'Control Room'!$B$7,('Control Room'!$B$8+'Control Room'!$D$8)/2))+SQRT(1-'Control Room'!$B$9^2)*(AW326-IF('Control Room'!$B$5="Normal",'Control Room'!$B$7,('Control Room'!$B$8+'Control Room'!$D$8)/2))</x:f>
        <x:v>1025.5054622696348</x:v>
      </x:c>
      <x:c r="AY326" s="17" t="n">
        <x:f>IF(AND($A326&gt;='Control Room'!$A$13,$A326&lt;'Control Room'!$A$13+'Control Room'!$B$13,'Process'!BT2=1),1+('Control Room'!$C$13-1)*EXP(-0.5*(($A326-'Control Room'!$A$13-('Control Room'!$B$13-1)/2)/MAX(0.5,'Control Room'!$B$13/4))^2),1)*IF(AND($A326&gt;='Control Room'!$A$14,$A326&lt;'Control Room'!$A$14+'Control Room'!$B$14,'Process'!BT3=1),1+('Control Room'!$C$14-1)*EXP(-0.5*(($A326-'Control Room'!$A$14-('Control Room'!$B$14-1)/2)/MAX(0.5,'Control Room'!$B$14/4))^2),1)*IF(AND($A326&gt;='Control Room'!$A$15,$A326&lt;'Control Room'!$A$15+'Control Room'!$B$15,'Process'!BT4=1),1+('Control Room'!$C$15-1)*EXP(-0.5*(($A326-'Control Room'!$A$15-('Control Room'!$B$15-1)/2)/MAX(0.5,'Control Room'!$B$15/4))^2),1)*IF(AND($A326&gt;='Control Room'!$A$16,$A326&lt;'Control Room'!$A$16+'Control Room'!$B$16,'Process'!BT5=1),1+('Control Room'!$C$16-1)*EXP(-0.5*(($A326-'Control Room'!$A$16-('Control Room'!$B$16-1)/2)/MAX(0.5,'Control Room'!$B$16/4))^2),1)</x:f>
        <x:v>1</x:v>
      </x:c>
      <x:c r="AZ326" s="9" t="n">
        <x:f>MOD(BA325*16807,2147483647)</x:f>
        <x:v>1453927622</x:v>
      </x:c>
      <x:c r="BA326" s="9" t="n">
        <x:f>MOD(AZ326*16807,2147483647)</x:f>
        <x:v>2092607388</x:v>
      </x:c>
      <x:c r="BB326" s="17" t="n">
        <x:f>IF('Control Room'!$B$5="Normal",'Control Room'!$B$7+'Control Room'!$D$7*SQRT(-2*LN(MAX(0.000000000001,AZ326/2147483647)))*COS(2*PI()*BA326/2147483647),'Control Room'!$B$8+('Control Room'!$D$8-'Control Room'!$B$8)*AZ326/2147483647)</x:f>
        <x:v>1078.4663398772727</x:v>
      </x:c>
      <x:c r="BC326" s="17" t="n">
        <x:f>IF('Control Room'!$B$5="Normal",'Control Room'!$B$7,('Control Room'!$B$8+'Control Room'!$D$8)/2)+'Control Room'!$B$9*(BC325-IF('Control Room'!$B$5="Normal",'Control Room'!$B$7,('Control Room'!$B$8+'Control Room'!$D$8)/2))+SQRT(1-'Control Room'!$B$9^2)*(BB326-IF('Control Room'!$B$5="Normal",'Control Room'!$B$7,('Control Room'!$B$8+'Control Room'!$D$8)/2))</x:f>
        <x:v>1051.0598112330053</x:v>
      </x:c>
      <x:c r="BD326" s="17" t="n">
        <x:f>IF(AND($A326&gt;='Control Room'!$A$13,$A326&lt;'Control Room'!$A$13+'Control Room'!$B$13,'Process'!BU2=1),1+('Control Room'!$C$13-1)*EXP(-0.5*(($A326-'Control Room'!$A$13-('Control Room'!$B$13-1)/2)/MAX(0.5,'Control Room'!$B$13/4))^2),1)*IF(AND($A326&gt;='Control Room'!$A$14,$A326&lt;'Control Room'!$A$14+'Control Room'!$B$14,'Process'!BU3=1),1+('Control Room'!$C$14-1)*EXP(-0.5*(($A326-'Control Room'!$A$14-('Control Room'!$B$14-1)/2)/MAX(0.5,'Control Room'!$B$14/4))^2),1)*IF(AND($A326&gt;='Control Room'!$A$15,$A326&lt;'Control Room'!$A$15+'Control Room'!$B$15,'Process'!BU4=1),1+('Control Room'!$C$15-1)*EXP(-0.5*(($A326-'Control Room'!$A$15-('Control Room'!$B$15-1)/2)/MAX(0.5,'Control Room'!$B$15/4))^2),1)*IF(AND($A326&gt;='Control Room'!$A$16,$A326&lt;'Control Room'!$A$16+'Control Room'!$B$16,'Process'!BU5=1),1+('Control Room'!$C$16-1)*EXP(-0.5*(($A326-'Control Room'!$A$16-('Control Room'!$B$16-1)/2)/MAX(0.5,'Control Room'!$B$16/4))^2),1)</x:f>
        <x:v>1</x:v>
      </x:c>
      <x:c r="BE326" s="9" t="n">
        <x:f>MOD(BF325*16807,2147483647)</x:f>
        <x:v>475838813</x:v>
      </x:c>
      <x:c r="BF326" s="9" t="n">
        <x:f>MOD(BE326*16807,2147483647)</x:f>
        <x:v>193828663</x:v>
      </x:c>
      <x:c r="BG326" s="17" t="n">
        <x:f>IF('Control Room'!$B$5="Normal",'Control Room'!$B$7+'Control Room'!$D$7*SQRT(-2*LN(MAX(0.000000000001,BE326/2147483647)))*COS(2*PI()*BF326/2147483647),'Control Room'!$B$8+('Control Room'!$D$8-'Control Room'!$B$8)*BE326/2147483647)</x:f>
        <x:v>1131.7871044049523</x:v>
      </x:c>
      <x:c r="BH326" s="17" t="n">
        <x:f>IF('Control Room'!$B$5="Normal",'Control Room'!$B$7,('Control Room'!$B$8+'Control Room'!$D$8)/2)+'Control Room'!$B$9*(BH325-IF('Control Room'!$B$5="Normal",'Control Room'!$B$7,('Control Room'!$B$8+'Control Room'!$D$8)/2))+SQRT(1-'Control Room'!$B$9^2)*(BG326-IF('Control Room'!$B$5="Normal",'Control Room'!$B$7,('Control Room'!$B$8+'Control Room'!$D$8)/2))</x:f>
        <x:v>1059.5391944883036</x:v>
      </x:c>
      <x:c r="BI326" s="17" t="n">
        <x:f>IF(AND($A326&gt;='Control Room'!$A$13,$A326&lt;'Control Room'!$A$13+'Control Room'!$B$13,'Process'!BV2=1),1+('Control Room'!$C$13-1)*EXP(-0.5*(($A326-'Control Room'!$A$13-('Control Room'!$B$13-1)/2)/MAX(0.5,'Control Room'!$B$13/4))^2),1)*IF(AND($A326&gt;='Control Room'!$A$14,$A326&lt;'Control Room'!$A$14+'Control Room'!$B$14,'Process'!BV3=1),1+('Control Room'!$C$14-1)*EXP(-0.5*(($A326-'Control Room'!$A$14-('Control Room'!$B$14-1)/2)/MAX(0.5,'Control Room'!$B$14/4))^2),1)*IF(AND($A326&gt;='Control Room'!$A$15,$A326&lt;'Control Room'!$A$15+'Control Room'!$B$15,'Process'!BV4=1),1+('Control Room'!$C$15-1)*EXP(-0.5*(($A326-'Control Room'!$A$15-('Control Room'!$B$15-1)/2)/MAX(0.5,'Control Room'!$B$15/4))^2),1)*IF(AND($A326&gt;='Control Room'!$A$16,$A326&lt;'Control Room'!$A$16+'Control Room'!$B$16,'Process'!BV5=1),1+('Control Room'!$C$16-1)*EXP(-0.5*(($A326-'Control Room'!$A$16-('Control Room'!$B$16-1)/2)/MAX(0.5,'Control Room'!$B$16/4))^2),1)</x:f>
        <x:v>1</x:v>
      </x:c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Z326" t="str">
        <x:f>IF('Data'!A326="","",TEXT('Data'!A326,"mm-dd"))</x:f>
      </x:c>
    </x:row>
    <x:row r="327" ht="21" customHeight="1">
      <x:c r="A327" s="15" t="n">
        <x:f>'Control Room'!$B$1+325</x:f>
        <x:v>73316</x:v>
      </x:c>
      <x:c r="B327" s="9" t="n">
        <x:f>MOD(C326*16807,2147483647)</x:f>
        <x:v>2045631512</x:v>
      </x:c>
      <x:c r="C327" s="9" t="n">
        <x:f>MOD(B327*16807,2147483647)</x:f>
        <x:v>1863117361</x:v>
      </x:c>
      <x:c r="D327" s="17" t="n">
        <x:f>IF('Control Room'!$B$5="Normal",'Control Room'!$B$7+'Control Room'!$D$7*SQRT(-2*LN(MAX(0.000000000001,B327/2147483647)))*COS(2*PI()*C327/2147483647),'Control Room'!$B$8+('Control Room'!$D$8-'Control Room'!$B$8)*B327/2147483647)</x:f>
        <x:v>1018.8929469088154</x:v>
      </x:c>
      <x:c r="E327" s="17" t="n">
        <x:f>IF('Control Room'!$B$5="Normal",'Control Room'!$B$7,('Control Room'!$B$8+'Control Room'!$D$8)/2)+'Control Room'!$B$9*(E326-IF('Control Room'!$B$5="Normal",'Control Room'!$B$7,('Control Room'!$B$8+'Control Room'!$D$8)/2))+SQRT(1-'Control Room'!$B$9^2)*(D327-IF('Control Room'!$B$5="Normal",'Control Room'!$B$7,('Control Room'!$B$8+'Control Room'!$D$8)/2))</x:f>
        <x:v>977.841513261758</x:v>
      </x:c>
      <x:c r="F327" s="17" t="n">
        <x:f>IF(AND($A327&gt;='Control Room'!$A$13,$A327&lt;'Control Room'!$A$13+'Control Room'!$B$13,'Process'!BK2=1),1+('Control Room'!$C$13-1)*EXP(-0.5*(($A327-'Control Room'!$A$13-('Control Room'!$B$13-1)/2)/MAX(0.5,'Control Room'!$B$13/4))^2),1)*IF(AND($A327&gt;='Control Room'!$A$14,$A327&lt;'Control Room'!$A$14+'Control Room'!$B$14,'Process'!BK3=1),1+('Control Room'!$C$14-1)*EXP(-0.5*(($A327-'Control Room'!$A$14-('Control Room'!$B$14-1)/2)/MAX(0.5,'Control Room'!$B$14/4))^2),1)*IF(AND($A327&gt;='Control Room'!$A$15,$A327&lt;'Control Room'!$A$15+'Control Room'!$B$15,'Process'!BK4=1),1+('Control Room'!$C$15-1)*EXP(-0.5*(($A327-'Control Room'!$A$15-('Control Room'!$B$15-1)/2)/MAX(0.5,'Control Room'!$B$15/4))^2),1)*IF(AND($A327&gt;='Control Room'!$A$16,$A327&lt;'Control Room'!$A$16+'Control Room'!$B$16,'Process'!BK5=1),1+('Control Room'!$C$16-1)*EXP(-0.5*(($A327-'Control Room'!$A$16-('Control Room'!$B$16-1)/2)/MAX(0.5,'Control Room'!$B$16/4))^2),1)</x:f>
        <x:v>1</x:v>
      </x:c>
      <x:c r="G327" s="9" t="n">
        <x:f>MOD(H326*16807,2147483647)</x:f>
        <x:v>878594857</x:v>
      </x:c>
      <x:c r="H327" s="9" t="n">
        <x:f>MOD(G327*16807,2147483647)</x:f>
        <x:v>446204827</x:v>
      </x:c>
      <x:c r="I327" s="17" t="n">
        <x:f>IF('Control Room'!$B$5="Normal",'Control Room'!$B$7+'Control Room'!$D$7*SQRT(-2*LN(MAX(0.000000000001,G327/2147483647)))*COS(2*PI()*H327/2147483647),'Control Room'!$B$8+('Control Room'!$D$8-'Control Room'!$B$8)*G327/2147483647)</x:f>
        <x:v>1031.5463789459586</x:v>
      </x:c>
      <x:c r="J327" s="17" t="n">
        <x:f>IF('Control Room'!$B$5="Normal",'Control Room'!$B$7,('Control Room'!$B$8+'Control Room'!$D$8)/2)+'Control Room'!$B$9*(J326-IF('Control Room'!$B$5="Normal",'Control Room'!$B$7,('Control Room'!$B$8+'Control Room'!$D$8)/2))+SQRT(1-'Control Room'!$B$9^2)*(I327-IF('Control Room'!$B$5="Normal",'Control Room'!$B$7,('Control Room'!$B$8+'Control Room'!$D$8)/2))</x:f>
        <x:v>1097.6039652483967</x:v>
      </x:c>
      <x:c r="K327" s="17" t="n">
        <x:f>IF(AND($A327&gt;='Control Room'!$A$13,$A327&lt;'Control Room'!$A$13+'Control Room'!$B$13,'Process'!BL2=1),1+('Control Room'!$C$13-1)*EXP(-0.5*(($A327-'Control Room'!$A$13-('Control Room'!$B$13-1)/2)/MAX(0.5,'Control Room'!$B$13/4))^2),1)*IF(AND($A327&gt;='Control Room'!$A$14,$A327&lt;'Control Room'!$A$14+'Control Room'!$B$14,'Process'!BL3=1),1+('Control Room'!$C$14-1)*EXP(-0.5*(($A327-'Control Room'!$A$14-('Control Room'!$B$14-1)/2)/MAX(0.5,'Control Room'!$B$14/4))^2),1)*IF(AND($A327&gt;='Control Room'!$A$15,$A327&lt;'Control Room'!$A$15+'Control Room'!$B$15,'Process'!BL4=1),1+('Control Room'!$C$15-1)*EXP(-0.5*(($A327-'Control Room'!$A$15-('Control Room'!$B$15-1)/2)/MAX(0.5,'Control Room'!$B$15/4))^2),1)*IF(AND($A327&gt;='Control Room'!$A$16,$A327&lt;'Control Room'!$A$16+'Control Room'!$B$16,'Process'!BL5=1),1+('Control Room'!$C$16-1)*EXP(-0.5*(($A327-'Control Room'!$A$16-('Control Room'!$B$16-1)/2)/MAX(0.5,'Control Room'!$B$16/4))^2),1)</x:f>
        <x:v>1</x:v>
      </x:c>
      <x:c r="L327" s="9" t="n">
        <x:f>MOD(M326*16807,2147483647)</x:f>
        <x:v>1859041849</x:v>
      </x:c>
      <x:c r="M327" s="9" t="n">
        <x:f>MOD(L327*16807,2147483647)</x:f>
        <x:v>1176775940</x:v>
      </x:c>
      <x:c r="N327" s="17" t="n">
        <x:f>IF('Control Room'!$B$5="Normal",'Control Room'!$B$7+'Control Room'!$D$7*SQRT(-2*LN(MAX(0.000000000001,L327/2147483647)))*COS(2*PI()*M327/2147483647),'Control Room'!$B$8+('Control Room'!$D$8-'Control Room'!$B$8)*L327/2147483647)</x:f>
        <x:v>953.8413349748757</x:v>
      </x:c>
      <x:c r="O327" s="17" t="n">
        <x:f>IF('Control Room'!$B$5="Normal",'Control Room'!$B$7,('Control Room'!$B$8+'Control Room'!$D$8)/2)+'Control Room'!$B$9*(O326-IF('Control Room'!$B$5="Normal",'Control Room'!$B$7,('Control Room'!$B$8+'Control Room'!$D$8)/2))+SQRT(1-'Control Room'!$B$9^2)*(N327-IF('Control Room'!$B$5="Normal",'Control Room'!$B$7,('Control Room'!$B$8+'Control Room'!$D$8)/2))</x:f>
        <x:v>1010.9485212820438</x:v>
      </x:c>
      <x:c r="P327" s="17" t="n">
        <x:f>IF(AND($A327&gt;='Control Room'!$A$13,$A327&lt;'Control Room'!$A$13+'Control Room'!$B$13,'Process'!BM2=1),1+('Control Room'!$C$13-1)*EXP(-0.5*(($A327-'Control Room'!$A$13-('Control Room'!$B$13-1)/2)/MAX(0.5,'Control Room'!$B$13/4))^2),1)*IF(AND($A327&gt;='Control Room'!$A$14,$A327&lt;'Control Room'!$A$14+'Control Room'!$B$14,'Process'!BM3=1),1+('Control Room'!$C$14-1)*EXP(-0.5*(($A327-'Control Room'!$A$14-('Control Room'!$B$14-1)/2)/MAX(0.5,'Control Room'!$B$14/4))^2),1)*IF(AND($A327&gt;='Control Room'!$A$15,$A327&lt;'Control Room'!$A$15+'Control Room'!$B$15,'Process'!BM4=1),1+('Control Room'!$C$15-1)*EXP(-0.5*(($A327-'Control Room'!$A$15-('Control Room'!$B$15-1)/2)/MAX(0.5,'Control Room'!$B$15/4))^2),1)*IF(AND($A327&gt;='Control Room'!$A$16,$A327&lt;'Control Room'!$A$16+'Control Room'!$B$16,'Process'!BM5=1),1+('Control Room'!$C$16-1)*EXP(-0.5*(($A327-'Control Room'!$A$16-('Control Room'!$B$16-1)/2)/MAX(0.5,'Control Room'!$B$16/4))^2),1)</x:f>
        <x:v>1</x:v>
      </x:c>
      <x:c r="Q327" s="9" t="n">
        <x:f>MOD(R326*16807,2147483647)</x:f>
        <x:v>692005194</x:v>
      </x:c>
      <x:c r="R327" s="9" t="n">
        <x:f>MOD(Q327*16807,2147483647)</x:f>
        <x:v>1907347053</x:v>
      </x:c>
      <x:c r="S327" s="17" t="n">
        <x:f>IF('Control Room'!$B$5="Normal",'Control Room'!$B$7+'Control Room'!$D$7*SQRT(-2*LN(MAX(0.000000000001,Q327/2147483647)))*COS(2*PI()*R327/2147483647),'Control Room'!$B$8+('Control Room'!$D$8-'Control Room'!$B$8)*Q327/2147483647)</x:f>
        <x:v>1103.3681604042922</x:v>
      </x:c>
      <x:c r="T327" s="17" t="n">
        <x:f>IF('Control Room'!$B$5="Normal",'Control Room'!$B$7,('Control Room'!$B$8+'Control Room'!$D$8)/2)+'Control Room'!$B$9*(T326-IF('Control Room'!$B$5="Normal",'Control Room'!$B$7,('Control Room'!$B$8+'Control Room'!$D$8)/2))+SQRT(1-'Control Room'!$B$9^2)*(S327-IF('Control Room'!$B$5="Normal",'Control Room'!$B$7,('Control Room'!$B$8+'Control Room'!$D$8)/2))</x:f>
        <x:v>1104.690182594108</x:v>
      </x:c>
      <x:c r="U327" s="17" t="n">
        <x:f>IF(AND($A327&gt;='Control Room'!$A$13,$A327&lt;'Control Room'!$A$13+'Control Room'!$B$13,'Process'!BN2=1),1+('Control Room'!$C$13-1)*EXP(-0.5*(($A327-'Control Room'!$A$13-('Control Room'!$B$13-1)/2)/MAX(0.5,'Control Room'!$B$13/4))^2),1)*IF(AND($A327&gt;='Control Room'!$A$14,$A327&lt;'Control Room'!$A$14+'Control Room'!$B$14,'Process'!BN3=1),1+('Control Room'!$C$14-1)*EXP(-0.5*(($A327-'Control Room'!$A$14-('Control Room'!$B$14-1)/2)/MAX(0.5,'Control Room'!$B$14/4))^2),1)*IF(AND($A327&gt;='Control Room'!$A$15,$A327&lt;'Control Room'!$A$15+'Control Room'!$B$15,'Process'!BN4=1),1+('Control Room'!$C$15-1)*EXP(-0.5*(($A327-'Control Room'!$A$15-('Control Room'!$B$15-1)/2)/MAX(0.5,'Control Room'!$B$15/4))^2),1)*IF(AND($A327&gt;='Control Room'!$A$16,$A327&lt;'Control Room'!$A$16+'Control Room'!$B$16,'Process'!BN5=1),1+('Control Room'!$C$16-1)*EXP(-0.5*(($A327-'Control Room'!$A$16-('Control Room'!$B$16-1)/2)/MAX(0.5,'Control Room'!$B$16/4))^2),1)</x:f>
        <x:v>1</x:v>
      </x:c>
      <x:c r="V327" s="9" t="n">
        <x:f>MOD(W326*16807,2147483647)</x:f>
        <x:v>1672452186</x:v>
      </x:c>
      <x:c r="W327" s="9" t="n">
        <x:f>MOD(V327*16807,2147483647)</x:f>
        <x:v>490434519</x:v>
      </x:c>
      <x:c r="X327" s="17" t="n">
        <x:f>IF('Control Room'!$B$5="Normal",'Control Room'!$B$7+'Control Room'!$D$7*SQRT(-2*LN(MAX(0.000000000001,V327/2147483647)))*COS(2*PI()*W327/2147483647),'Control Room'!$B$8+('Control Room'!$D$8-'Control Room'!$B$8)*V327/2147483647)</x:f>
        <x:v>1008.6199372023913</x:v>
      </x:c>
      <x:c r="Y327" s="17" t="n">
        <x:f>IF('Control Room'!$B$5="Normal",'Control Room'!$B$7,('Control Room'!$B$8+'Control Room'!$D$8)/2)+'Control Room'!$B$9*(Y326-IF('Control Room'!$B$5="Normal",'Control Room'!$B$7,('Control Room'!$B$8+'Control Room'!$D$8)/2))+SQRT(1-'Control Room'!$B$9^2)*(X327-IF('Control Room'!$B$5="Normal",'Control Room'!$B$7,('Control Room'!$B$8+'Control Room'!$D$8)/2))</x:f>
        <x:v>1057.7335687425305</x:v>
      </x:c>
      <x:c r="Z327" s="17" t="n">
        <x:f>IF(AND($A327&gt;='Control Room'!$A$13,$A327&lt;'Control Room'!$A$13+'Control Room'!$B$13,'Process'!BO2=1),1+('Control Room'!$C$13-1)*EXP(-0.5*(($A327-'Control Room'!$A$13-('Control Room'!$B$13-1)/2)/MAX(0.5,'Control Room'!$B$13/4))^2),1)*IF(AND($A327&gt;='Control Room'!$A$14,$A327&lt;'Control Room'!$A$14+'Control Room'!$B$14,'Process'!BO3=1),1+('Control Room'!$C$14-1)*EXP(-0.5*(($A327-'Control Room'!$A$14-('Control Room'!$B$14-1)/2)/MAX(0.5,'Control Room'!$B$14/4))^2),1)*IF(AND($A327&gt;='Control Room'!$A$15,$A327&lt;'Control Room'!$A$15+'Control Room'!$B$15,'Process'!BO4=1),1+('Control Room'!$C$15-1)*EXP(-0.5*(($A327-'Control Room'!$A$15-('Control Room'!$B$15-1)/2)/MAX(0.5,'Control Room'!$B$15/4))^2),1)*IF(AND($A327&gt;='Control Room'!$A$16,$A327&lt;'Control Room'!$A$16+'Control Room'!$B$16,'Process'!BO5=1),1+('Control Room'!$C$16-1)*EXP(-0.5*(($A327-'Control Room'!$A$16-('Control Room'!$B$16-1)/2)/MAX(0.5,'Control Room'!$B$16/4))^2),1)</x:f>
        <x:v>1</x:v>
      </x:c>
      <x:c r="AA327" s="9" t="n">
        <x:f>MOD(AB326*16807,2147483647)</x:f>
        <x:v>505415531</x:v>
      </x:c>
      <x:c r="AB327" s="9" t="n">
        <x:f>MOD(AA327*16807,2147483647)</x:f>
        <x:v>1221005632</x:v>
      </x:c>
      <x:c r="AC327" s="17" t="n">
        <x:f>IF('Control Room'!$B$5="Normal",'Control Room'!$B$7+'Control Room'!$D$7*SQRT(-2*LN(MAX(0.000000000001,AA327/2147483647)))*COS(2*PI()*AB327/2147483647),'Control Room'!$B$8+('Control Room'!$D$8-'Control Room'!$B$8)*AA327/2147483647)</x:f>
        <x:v>860.9034067262952</x:v>
      </x:c>
      <x:c r="AD327" s="17" t="n">
        <x:f>IF('Control Room'!$B$5="Normal",'Control Room'!$B$7,('Control Room'!$B$8+'Control Room'!$D$8)/2)+'Control Room'!$B$9*(AD326-IF('Control Room'!$B$5="Normal",'Control Room'!$B$7,('Control Room'!$B$8+'Control Room'!$D$8)/2))+SQRT(1-'Control Room'!$B$9^2)*(AC327-IF('Control Room'!$B$5="Normal",'Control Room'!$B$7,('Control Room'!$B$8+'Control Room'!$D$8)/2))</x:f>
        <x:v>928.4385494378213</x:v>
      </x:c>
      <x:c r="AE327" s="17" t="n">
        <x:f>IF(AND($A327&gt;='Control Room'!$A$13,$A327&lt;'Control Room'!$A$13+'Control Room'!$B$13,'Process'!BP2=1),1+('Control Room'!$C$13-1)*EXP(-0.5*(($A327-'Control Room'!$A$13-('Control Room'!$B$13-1)/2)/MAX(0.5,'Control Room'!$B$13/4))^2),1)*IF(AND($A327&gt;='Control Room'!$A$14,$A327&lt;'Control Room'!$A$14+'Control Room'!$B$14,'Process'!BP3=1),1+('Control Room'!$C$14-1)*EXP(-0.5*(($A327-'Control Room'!$A$14-('Control Room'!$B$14-1)/2)/MAX(0.5,'Control Room'!$B$14/4))^2),1)*IF(AND($A327&gt;='Control Room'!$A$15,$A327&lt;'Control Room'!$A$15+'Control Room'!$B$15,'Process'!BP4=1),1+('Control Room'!$C$15-1)*EXP(-0.5*(($A327-'Control Room'!$A$15-('Control Room'!$B$15-1)/2)/MAX(0.5,'Control Room'!$B$15/4))^2),1)*IF(AND($A327&gt;='Control Room'!$A$16,$A327&lt;'Control Room'!$A$16+'Control Room'!$B$16,'Process'!BP5=1),1+('Control Room'!$C$16-1)*EXP(-0.5*(($A327-'Control Room'!$A$16-('Control Room'!$B$16-1)/2)/MAX(0.5,'Control Room'!$B$16/4))^2),1)</x:f>
        <x:v>1</x:v>
      </x:c>
      <x:c r="AF327" s="9" t="n">
        <x:f>MOD(AG326*16807,2147483647)</x:f>
        <x:v>1485862523</x:v>
      </x:c>
      <x:c r="AG327" s="9" t="n">
        <x:f>MOD(AF327*16807,2147483647)</x:f>
        <x:v>1951576745</x:v>
      </x:c>
      <x:c r="AH327" s="17" t="n">
        <x:f>IF('Control Room'!$B$5="Normal",'Control Room'!$B$7+'Control Room'!$D$7*SQRT(-2*LN(MAX(0.000000000001,AF327/2147483647)))*COS(2*PI()*AG327/2147483647),'Control Room'!$B$8+('Control Room'!$D$8-'Control Room'!$B$8)*AF327/2147483647)</x:f>
        <x:v>1064.8975984418694</x:v>
      </x:c>
      <x:c r="AI327" s="17" t="n">
        <x:f>IF('Control Room'!$B$5="Normal",'Control Room'!$B$7,('Control Room'!$B$8+'Control Room'!$D$8)/2)+'Control Room'!$B$9*(AI326-IF('Control Room'!$B$5="Normal",'Control Room'!$B$7,('Control Room'!$B$8+'Control Room'!$D$8)/2))+SQRT(1-'Control Room'!$B$9^2)*(AH327-IF('Control Room'!$B$5="Normal",'Control Room'!$B$7,('Control Room'!$B$8+'Control Room'!$D$8)/2))</x:f>
        <x:v>957.1864469555499</x:v>
      </x:c>
      <x:c r="AJ327" s="17" t="n">
        <x:f>IF(AND($A327&gt;='Control Room'!$A$13,$A327&lt;'Control Room'!$A$13+'Control Room'!$B$13,'Process'!BQ2=1),1+('Control Room'!$C$13-1)*EXP(-0.5*(($A327-'Control Room'!$A$13-('Control Room'!$B$13-1)/2)/MAX(0.5,'Control Room'!$B$13/4))^2),1)*IF(AND($A327&gt;='Control Room'!$A$14,$A327&lt;'Control Room'!$A$14+'Control Room'!$B$14,'Process'!BQ3=1),1+('Control Room'!$C$14-1)*EXP(-0.5*(($A327-'Control Room'!$A$14-('Control Room'!$B$14-1)/2)/MAX(0.5,'Control Room'!$B$14/4))^2),1)*IF(AND($A327&gt;='Control Room'!$A$15,$A327&lt;'Control Room'!$A$15+'Control Room'!$B$15,'Process'!BQ4=1),1+('Control Room'!$C$15-1)*EXP(-0.5*(($A327-'Control Room'!$A$15-('Control Room'!$B$15-1)/2)/MAX(0.5,'Control Room'!$B$15/4))^2),1)*IF(AND($A327&gt;='Control Room'!$A$16,$A327&lt;'Control Room'!$A$16+'Control Room'!$B$16,'Process'!BQ5=1),1+('Control Room'!$C$16-1)*EXP(-0.5*(($A327-'Control Room'!$A$16-('Control Room'!$B$16-1)/2)/MAX(0.5,'Control Room'!$B$16/4))^2),1)</x:f>
        <x:v>1</x:v>
      </x:c>
      <x:c r="AK327" s="9" t="n">
        <x:f>MOD(AL326*16807,2147483647)</x:f>
        <x:v>318825868</x:v>
      </x:c>
      <x:c r="AL327" s="9" t="n">
        <x:f>MOD(AK327*16807,2147483647)</x:f>
        <x:v>534664211</x:v>
      </x:c>
      <x:c r="AM327" s="17" t="n">
        <x:f>IF('Control Room'!$B$5="Normal",'Control Room'!$B$7+'Control Room'!$D$7*SQRT(-2*LN(MAX(0.000000000001,AK327/2147483647)))*COS(2*PI()*AL327/2147483647),'Control Room'!$B$8+('Control Room'!$D$8-'Control Room'!$B$8)*AK327/2147483647)</x:f>
        <x:v>1001.1349314119441</x:v>
      </x:c>
      <x:c r="AN327" s="17" t="n">
        <x:f>IF('Control Room'!$B$5="Normal",'Control Room'!$B$7,('Control Room'!$B$8+'Control Room'!$D$8)/2)+'Control Room'!$B$9*(AN326-IF('Control Room'!$B$5="Normal",'Control Room'!$B$7,('Control Room'!$B$8+'Control Room'!$D$8)/2))+SQRT(1-'Control Room'!$B$9^2)*(AM327-IF('Control Room'!$B$5="Normal",'Control Room'!$B$7,('Control Room'!$B$8+'Control Room'!$D$8)/2))</x:f>
        <x:v>927.3987269914201</x:v>
      </x:c>
      <x:c r="AO327" s="17" t="n">
        <x:f>IF(AND($A327&gt;='Control Room'!$A$13,$A327&lt;'Control Room'!$A$13+'Control Room'!$B$13,'Process'!BR2=1),1+('Control Room'!$C$13-1)*EXP(-0.5*(($A327-'Control Room'!$A$13-('Control Room'!$B$13-1)/2)/MAX(0.5,'Control Room'!$B$13/4))^2),1)*IF(AND($A327&gt;='Control Room'!$A$14,$A327&lt;'Control Room'!$A$14+'Control Room'!$B$14,'Process'!BR3=1),1+('Control Room'!$C$14-1)*EXP(-0.5*(($A327-'Control Room'!$A$14-('Control Room'!$B$14-1)/2)/MAX(0.5,'Control Room'!$B$14/4))^2),1)*IF(AND($A327&gt;='Control Room'!$A$15,$A327&lt;'Control Room'!$A$15+'Control Room'!$B$15,'Process'!BR4=1),1+('Control Room'!$C$15-1)*EXP(-0.5*(($A327-'Control Room'!$A$15-('Control Room'!$B$15-1)/2)/MAX(0.5,'Control Room'!$B$15/4))^2),1)*IF(AND($A327&gt;='Control Room'!$A$16,$A327&lt;'Control Room'!$A$16+'Control Room'!$B$16,'Process'!BR5=1),1+('Control Room'!$C$16-1)*EXP(-0.5*(($A327-'Control Room'!$A$16-('Control Room'!$B$16-1)/2)/MAX(0.5,'Control Room'!$B$16/4))^2),1)</x:f>
        <x:v>1</x:v>
      </x:c>
      <x:c r="AP327" s="9" t="n">
        <x:f>MOD(AQ326*16807,2147483647)</x:f>
        <x:v>1299272860</x:v>
      </x:c>
      <x:c r="AQ327" s="9" t="n">
        <x:f>MOD(AP327*16807,2147483647)</x:f>
        <x:v>1265235324</x:v>
      </x:c>
      <x:c r="AR327" s="17" t="n">
        <x:f>IF('Control Room'!$B$5="Normal",'Control Room'!$B$7+'Control Room'!$D$7*SQRT(-2*LN(MAX(0.000000000001,AP327/2147483647)))*COS(2*PI()*AQ327/2147483647),'Control Room'!$B$8+('Control Room'!$D$8-'Control Room'!$B$8)*AP327/2147483647)</x:f>
        <x:v>923.5706100096041</x:v>
      </x:c>
      <x:c r="AS327" s="17" t="n">
        <x:f>IF('Control Room'!$B$5="Normal",'Control Room'!$B$7,('Control Room'!$B$8+'Control Room'!$D$8)/2)+'Control Room'!$B$9*(AS326-IF('Control Room'!$B$5="Normal",'Control Room'!$B$7,('Control Room'!$B$8+'Control Room'!$D$8)/2))+SQRT(1-'Control Room'!$B$9^2)*(AR327-IF('Control Room'!$B$5="Normal",'Control Room'!$B$7,('Control Room'!$B$8+'Control Room'!$D$8)/2))</x:f>
        <x:v>989.0627852843435</x:v>
      </x:c>
      <x:c r="AT327" s="17" t="n">
        <x:f>IF(AND($A327&gt;='Control Room'!$A$13,$A327&lt;'Control Room'!$A$13+'Control Room'!$B$13,'Process'!BS2=1),1+('Control Room'!$C$13-1)*EXP(-0.5*(($A327-'Control Room'!$A$13-('Control Room'!$B$13-1)/2)/MAX(0.5,'Control Room'!$B$13/4))^2),1)*IF(AND($A327&gt;='Control Room'!$A$14,$A327&lt;'Control Room'!$A$14+'Control Room'!$B$14,'Process'!BS3=1),1+('Control Room'!$C$14-1)*EXP(-0.5*(($A327-'Control Room'!$A$14-('Control Room'!$B$14-1)/2)/MAX(0.5,'Control Room'!$B$14/4))^2),1)*IF(AND($A327&gt;='Control Room'!$A$15,$A327&lt;'Control Room'!$A$15+'Control Room'!$B$15,'Process'!BS4=1),1+('Control Room'!$C$15-1)*EXP(-0.5*(($A327-'Control Room'!$A$15-('Control Room'!$B$15-1)/2)/MAX(0.5,'Control Room'!$B$15/4))^2),1)*IF(AND($A327&gt;='Control Room'!$A$16,$A327&lt;'Control Room'!$A$16+'Control Room'!$B$16,'Process'!BS5=1),1+('Control Room'!$C$16-1)*EXP(-0.5*(($A327-'Control Room'!$A$16-('Control Room'!$B$16-1)/2)/MAX(0.5,'Control Room'!$B$16/4))^2),1)</x:f>
        <x:v>1</x:v>
      </x:c>
      <x:c r="AU327" s="9" t="n">
        <x:f>MOD(AV326*16807,2147483647)</x:f>
        <x:v>132236205</x:v>
      </x:c>
      <x:c r="AV327" s="9" t="n">
        <x:f>MOD(AU327*16807,2147483647)</x:f>
        <x:v>1995806437</x:v>
      </x:c>
      <x:c r="AW327" s="17" t="n">
        <x:f>IF('Control Room'!$B$5="Normal",'Control Room'!$B$7+'Control Room'!$D$7*SQRT(-2*LN(MAX(0.000000000001,AU327/2147483647)))*COS(2*PI()*AV327/2147483647),'Control Room'!$B$8+('Control Room'!$D$8-'Control Room'!$B$8)*AU327/2147483647)</x:f>
        <x:v>1191.9173344968556</x:v>
      </x:c>
      <x:c r="AX327" s="17" t="n">
        <x:f>IF('Control Room'!$B$5="Normal",'Control Room'!$B$7,('Control Room'!$B$8+'Control Room'!$D$8)/2)+'Control Room'!$B$9*(AX326-IF('Control Room'!$B$5="Normal",'Control Room'!$B$7,('Control Room'!$B$8+'Control Room'!$D$8)/2))+SQRT(1-'Control Room'!$B$9^2)*(AW327-IF('Control Room'!$B$5="Normal",'Control Room'!$B$7,('Control Room'!$B$8+'Control Room'!$D$8)/2))</x:f>
        <x:v>1139.9921968581466</x:v>
      </x:c>
      <x:c r="AY327" s="17" t="n">
        <x:f>IF(AND($A327&gt;='Control Room'!$A$13,$A327&lt;'Control Room'!$A$13+'Control Room'!$B$13,'Process'!BT2=1),1+('Control Room'!$C$13-1)*EXP(-0.5*(($A327-'Control Room'!$A$13-('Control Room'!$B$13-1)/2)/MAX(0.5,'Control Room'!$B$13/4))^2),1)*IF(AND($A327&gt;='Control Room'!$A$14,$A327&lt;'Control Room'!$A$14+'Control Room'!$B$14,'Process'!BT3=1),1+('Control Room'!$C$14-1)*EXP(-0.5*(($A327-'Control Room'!$A$14-('Control Room'!$B$14-1)/2)/MAX(0.5,'Control Room'!$B$14/4))^2),1)*IF(AND($A327&gt;='Control Room'!$A$15,$A327&lt;'Control Room'!$A$15+'Control Room'!$B$15,'Process'!BT4=1),1+('Control Room'!$C$15-1)*EXP(-0.5*(($A327-'Control Room'!$A$15-('Control Room'!$B$15-1)/2)/MAX(0.5,'Control Room'!$B$15/4))^2),1)*IF(AND($A327&gt;='Control Room'!$A$16,$A327&lt;'Control Room'!$A$16+'Control Room'!$B$16,'Process'!BT5=1),1+('Control Room'!$C$16-1)*EXP(-0.5*(($A327-'Control Room'!$A$16-('Control Room'!$B$16-1)/2)/MAX(0.5,'Control Room'!$B$16/4))^2),1)</x:f>
        <x:v>1</x:v>
      </x:c>
      <x:c r="AZ327" s="9" t="n">
        <x:f>MOD(BA326*16807,2147483647)</x:f>
        <x:v>1112683197</x:v>
      </x:c>
      <x:c r="BA327" s="9" t="n">
        <x:f>MOD(AZ327*16807,2147483647)</x:f>
        <x:v>578893903</x:v>
      </x:c>
      <x:c r="BB327" s="17" t="n">
        <x:f>IF('Control Room'!$B$5="Normal",'Control Room'!$B$7+'Control Room'!$D$7*SQRT(-2*LN(MAX(0.000000000001,AZ327/2147483647)))*COS(2*PI()*BA327/2147483647),'Control Room'!$B$8+('Control Room'!$D$8-'Control Room'!$B$8)*AZ327/2147483647)</x:f>
        <x:v>987.3422952669821</x:v>
      </x:c>
      <x:c r="BC327" s="17" t="n">
        <x:f>IF('Control Room'!$B$5="Normal",'Control Room'!$B$7,('Control Room'!$B$8+'Control Room'!$D$8)/2)+'Control Room'!$B$9*(BC326-IF('Control Room'!$B$5="Normal",'Control Room'!$B$7,('Control Room'!$B$8+'Control Room'!$D$8)/2))+SQRT(1-'Control Room'!$B$9^2)*(BB327-IF('Control Room'!$B$5="Normal",'Control Room'!$B$7,('Control Room'!$B$8+'Control Room'!$D$8)/2))</x:f>
        <x:v>1031.9057204469975</x:v>
      </x:c>
      <x:c r="BD327" s="17" t="n">
        <x:f>IF(AND($A327&gt;='Control Room'!$A$13,$A327&lt;'Control Room'!$A$13+'Control Room'!$B$13,'Process'!BU2=1),1+('Control Room'!$C$13-1)*EXP(-0.5*(($A327-'Control Room'!$A$13-('Control Room'!$B$13-1)/2)/MAX(0.5,'Control Room'!$B$13/4))^2),1)*IF(AND($A327&gt;='Control Room'!$A$14,$A327&lt;'Control Room'!$A$14+'Control Room'!$B$14,'Process'!BU3=1),1+('Control Room'!$C$14-1)*EXP(-0.5*(($A327-'Control Room'!$A$14-('Control Room'!$B$14-1)/2)/MAX(0.5,'Control Room'!$B$14/4))^2),1)*IF(AND($A327&gt;='Control Room'!$A$15,$A327&lt;'Control Room'!$A$15+'Control Room'!$B$15,'Process'!BU4=1),1+('Control Room'!$C$15-1)*EXP(-0.5*(($A327-'Control Room'!$A$15-('Control Room'!$B$15-1)/2)/MAX(0.5,'Control Room'!$B$15/4))^2),1)*IF(AND($A327&gt;='Control Room'!$A$16,$A327&lt;'Control Room'!$A$16+'Control Room'!$B$16,'Process'!BU5=1),1+('Control Room'!$C$16-1)*EXP(-0.5*(($A327-'Control Room'!$A$16-('Control Room'!$B$16-1)/2)/MAX(0.5,'Control Room'!$B$16/4))^2),1)</x:f>
        <x:v>1</x:v>
      </x:c>
      <x:c r="BE327" s="9" t="n">
        <x:f>MOD(BF326*16807,2147483647)</x:f>
        <x:v>2093130189</x:v>
      </x:c>
      <x:c r="BF327" s="9" t="n">
        <x:f>MOD(BE327*16807,2147483647)</x:f>
        <x:v>1309465016</x:v>
      </x:c>
      <x:c r="BG327" s="17" t="n">
        <x:f>IF('Control Room'!$B$5="Normal",'Control Room'!$B$7+'Control Room'!$D$7*SQRT(-2*LN(MAX(0.000000000001,BE327/2147483647)))*COS(2*PI()*BF327/2147483647),'Control Room'!$B$8+('Control Room'!$D$8-'Control Room'!$B$8)*BE327/2147483647)</x:f>
        <x:v>984.2786963891468</x:v>
      </x:c>
      <x:c r="BH327" s="17" t="n">
        <x:f>IF('Control Room'!$B$5="Normal",'Control Room'!$B$7,('Control Room'!$B$8+'Control Room'!$D$8)/2)+'Control Room'!$B$9*(BH326-IF('Control Room'!$B$5="Normal",'Control Room'!$B$7,('Control Room'!$B$8+'Control Room'!$D$8)/2))+SQRT(1-'Control Room'!$B$9^2)*(BG327-IF('Control Room'!$B$5="Normal",'Control Room'!$B$7,('Control Room'!$B$8+'Control Room'!$D$8)/2))</x:f>
        <x:v>1036.6025019696153</x:v>
      </x:c>
      <x:c r="BI327" s="17" t="n">
        <x:f>IF(AND($A327&gt;='Control Room'!$A$13,$A327&lt;'Control Room'!$A$13+'Control Room'!$B$13,'Process'!BV2=1),1+('Control Room'!$C$13-1)*EXP(-0.5*(($A327-'Control Room'!$A$13-('Control Room'!$B$13-1)/2)/MAX(0.5,'Control Room'!$B$13/4))^2),1)*IF(AND($A327&gt;='Control Room'!$A$14,$A327&lt;'Control Room'!$A$14+'Control Room'!$B$14,'Process'!BV3=1),1+('Control Room'!$C$14-1)*EXP(-0.5*(($A327-'Control Room'!$A$14-('Control Room'!$B$14-1)/2)/MAX(0.5,'Control Room'!$B$14/4))^2),1)*IF(AND($A327&gt;='Control Room'!$A$15,$A327&lt;'Control Room'!$A$15+'Control Room'!$B$15,'Process'!BV4=1),1+('Control Room'!$C$15-1)*EXP(-0.5*(($A327-'Control Room'!$A$15-('Control Room'!$B$15-1)/2)/MAX(0.5,'Control Room'!$B$15/4))^2),1)*IF(AND($A327&gt;='Control Room'!$A$16,$A327&lt;'Control Room'!$A$16+'Control Room'!$B$16,'Process'!BV5=1),1+('Control Room'!$C$16-1)*EXP(-0.5*(($A327-'Control Room'!$A$16-('Control Room'!$B$16-1)/2)/MAX(0.5,'Control Room'!$B$16/4))^2),1)</x:f>
        <x:v>1</x:v>
      </x:c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Z327" t="str">
        <x:f>IF('Data'!A327="","",TEXT('Data'!A327,"mm-dd"))</x:f>
      </x:c>
    </x:row>
    <x:row r="328" ht="21" customHeight="1">
      <x:c r="A328" s="15" t="n">
        <x:f>'Control Room'!$B$1+326</x:f>
        <x:v>73317</x:v>
      </x:c>
      <x:c r="B328" s="9" t="n">
        <x:f>MOD(C327*16807,2147483647)</x:f>
        <x:v>954429420</x:v>
      </x:c>
      <x:c r="C328" s="9" t="n">
        <x:f>MOD(B328*16807,2147483647)</x:f>
        <x:v>1539902497</x:v>
      </x:c>
      <x:c r="D328" s="17" t="n">
        <x:f>IF('Control Room'!$B$5="Normal",'Control Room'!$B$7+'Control Room'!$D$7*SQRT(-2*LN(MAX(0.000000000001,B328/2147483647)))*COS(2*PI()*C328/2147483647),'Control Room'!$B$8+('Control Room'!$D$8-'Control Room'!$B$8)*B328/2147483647)</x:f>
        <x:v>976.455949519249</x:v>
      </x:c>
      <x:c r="E328" s="17" t="n">
        <x:f>IF('Control Room'!$B$5="Normal",'Control Room'!$B$7,('Control Room'!$B$8+'Control Room'!$D$8)/2)+'Control Room'!$B$9*(E327-IF('Control Room'!$B$5="Normal",'Control Room'!$B$7,('Control Room'!$B$8+'Control Room'!$D$8)/2))+SQRT(1-'Control Room'!$B$9^2)*(D328-IF('Control Room'!$B$5="Normal",'Control Room'!$B$7,('Control Room'!$B$8+'Control Room'!$D$8)/2))</x:f>
        <x:v>967.9829958794081</x:v>
      </x:c>
      <x:c r="F328" s="17" t="n">
        <x:f>IF(AND($A328&gt;='Control Room'!$A$13,$A328&lt;'Control Room'!$A$13+'Control Room'!$B$13,'Process'!BK2=1),1+('Control Room'!$C$13-1)*EXP(-0.5*(($A328-'Control Room'!$A$13-('Control Room'!$B$13-1)/2)/MAX(0.5,'Control Room'!$B$13/4))^2),1)*IF(AND($A328&gt;='Control Room'!$A$14,$A328&lt;'Control Room'!$A$14+'Control Room'!$B$14,'Process'!BK3=1),1+('Control Room'!$C$14-1)*EXP(-0.5*(($A328-'Control Room'!$A$14-('Control Room'!$B$14-1)/2)/MAX(0.5,'Control Room'!$B$14/4))^2),1)*IF(AND($A328&gt;='Control Room'!$A$15,$A328&lt;'Control Room'!$A$15+'Control Room'!$B$15,'Process'!BK4=1),1+('Control Room'!$C$15-1)*EXP(-0.5*(($A328-'Control Room'!$A$15-('Control Room'!$B$15-1)/2)/MAX(0.5,'Control Room'!$B$15/4))^2),1)*IF(AND($A328&gt;='Control Room'!$A$16,$A328&lt;'Control Room'!$A$16+'Control Room'!$B$16,'Process'!BK5=1),1+('Control Room'!$C$16-1)*EXP(-0.5*(($A328-'Control Room'!$A$16-('Control Room'!$B$16-1)/2)/MAX(0.5,'Control Room'!$B$16/4))^2),1)</x:f>
        <x:v>1</x:v>
      </x:c>
      <x:c r="G328" s="9" t="n">
        <x:f>MOD(H327*16807,2147483647)</x:f>
        <x:v>351632065</x:v>
      </x:c>
      <x:c r="H328" s="9" t="n">
        <x:f>MOD(G328*16807,2147483647)</x:f>
        <x:v>5119911</x:v>
      </x:c>
      <x:c r="I328" s="17" t="n">
        <x:f>IF('Control Room'!$B$5="Normal",'Control Room'!$B$7+'Control Room'!$D$7*SQRT(-2*LN(MAX(0.000000000001,G328/2147483647)))*COS(2*PI()*H328/2147483647),'Control Room'!$B$8+('Control Room'!$D$8-'Control Room'!$B$8)*G328/2147483647)</x:f>
        <x:v>1171.1922391882886</x:v>
      </x:c>
      <x:c r="J328" s="17" t="n">
        <x:f>IF('Control Room'!$B$5="Normal",'Control Room'!$B$7,('Control Room'!$B$8+'Control Room'!$D$8)/2)+'Control Room'!$B$9*(J327-IF('Control Room'!$B$5="Normal",'Control Room'!$B$7,('Control Room'!$B$8+'Control Room'!$D$8)/2))+SQRT(1-'Control Room'!$B$9^2)*(I328-IF('Control Room'!$B$5="Normal",'Control Room'!$B$7,('Control Room'!$B$8+'Control Room'!$D$8)/2))</x:f>
        <x:v>1183.2596891141347</x:v>
      </x:c>
      <x:c r="K328" s="17" t="n">
        <x:f>IF(AND($A328&gt;='Control Room'!$A$13,$A328&lt;'Control Room'!$A$13+'Control Room'!$B$13,'Process'!BL2=1),1+('Control Room'!$C$13-1)*EXP(-0.5*(($A328-'Control Room'!$A$13-('Control Room'!$B$13-1)/2)/MAX(0.5,'Control Room'!$B$13/4))^2),1)*IF(AND($A328&gt;='Control Room'!$A$14,$A328&lt;'Control Room'!$A$14+'Control Room'!$B$14,'Process'!BL3=1),1+('Control Room'!$C$14-1)*EXP(-0.5*(($A328-'Control Room'!$A$14-('Control Room'!$B$14-1)/2)/MAX(0.5,'Control Room'!$B$14/4))^2),1)*IF(AND($A328&gt;='Control Room'!$A$15,$A328&lt;'Control Room'!$A$15+'Control Room'!$B$15,'Process'!BL4=1),1+('Control Room'!$C$15-1)*EXP(-0.5*(($A328-'Control Room'!$A$15-('Control Room'!$B$15-1)/2)/MAX(0.5,'Control Room'!$B$15/4))^2),1)*IF(AND($A328&gt;='Control Room'!$A$16,$A328&lt;'Control Room'!$A$16+'Control Room'!$B$16,'Process'!BL5=1),1+('Control Room'!$C$16-1)*EXP(-0.5*(($A328-'Control Room'!$A$16-('Control Room'!$B$16-1)/2)/MAX(0.5,'Control Room'!$B$16/4))^2),1)</x:f>
        <x:v>1</x:v>
      </x:c>
      <x:c r="L328" s="9" t="n">
        <x:f>MOD(M327*16807,2147483647)</x:f>
        <x:v>1896318357</x:v>
      </x:c>
      <x:c r="M328" s="9" t="n">
        <x:f>MOD(L328*16807,2147483647)</x:f>
        <x:v>617820972</x:v>
      </x:c>
      <x:c r="N328" s="17" t="n">
        <x:f>IF('Control Room'!$B$5="Normal",'Control Room'!$B$7+'Control Room'!$D$7*SQRT(-2*LN(MAX(0.000000000001,L328/2147483647)))*COS(2*PI()*M328/2147483647),'Control Room'!$B$8+('Control Room'!$D$8-'Control Room'!$B$8)*L328/2147483647)</x:f>
        <x:v>989.467383979503</x:v>
      </x:c>
      <x:c r="O328" s="17" t="n">
        <x:f>IF('Control Room'!$B$5="Normal",'Control Room'!$B$7,('Control Room'!$B$8+'Control Room'!$D$8)/2)+'Control Room'!$B$9*(O327-IF('Control Room'!$B$5="Normal",'Control Room'!$B$7,('Control Room'!$B$8+'Control Room'!$D$8)/2))+SQRT(1-'Control Room'!$B$9^2)*(N328-IF('Control Room'!$B$5="Normal",'Control Room'!$B$7,('Control Room'!$B$8+'Control Room'!$D$8)/2))</x:f>
        <x:v>1001.9487512667346</x:v>
      </x:c>
      <x:c r="P328" s="17" t="n">
        <x:f>IF(AND($A328&gt;='Control Room'!$A$13,$A328&lt;'Control Room'!$A$13+'Control Room'!$B$13,'Process'!BM2=1),1+('Control Room'!$C$13-1)*EXP(-0.5*(($A328-'Control Room'!$A$13-('Control Room'!$B$13-1)/2)/MAX(0.5,'Control Room'!$B$13/4))^2),1)*IF(AND($A328&gt;='Control Room'!$A$14,$A328&lt;'Control Room'!$A$14+'Control Room'!$B$14,'Process'!BM3=1),1+('Control Room'!$C$14-1)*EXP(-0.5*(($A328-'Control Room'!$A$14-('Control Room'!$B$14-1)/2)/MAX(0.5,'Control Room'!$B$14/4))^2),1)*IF(AND($A328&gt;='Control Room'!$A$15,$A328&lt;'Control Room'!$A$15+'Control Room'!$B$15,'Process'!BM4=1),1+('Control Room'!$C$15-1)*EXP(-0.5*(($A328-'Control Room'!$A$15-('Control Room'!$B$15-1)/2)/MAX(0.5,'Control Room'!$B$15/4))^2),1)*IF(AND($A328&gt;='Control Room'!$A$16,$A328&lt;'Control Room'!$A$16+'Control Room'!$B$16,'Process'!BM5=1),1+('Control Room'!$C$16-1)*EXP(-0.5*(($A328-'Control Room'!$A$16-('Control Room'!$B$16-1)/2)/MAX(0.5,'Control Room'!$B$16/4))^2),1)</x:f>
        <x:v>1</x:v>
      </x:c>
      <x:c r="Q328" s="9" t="n">
        <x:f>MOD(R327*16807,2147483647)</x:f>
        <x:v>1293521002</x:v>
      </x:c>
      <x:c r="R328" s="9" t="n">
        <x:f>MOD(Q328*16807,2147483647)</x:f>
        <x:v>1230522033</x:v>
      </x:c>
      <x:c r="S328" s="17" t="n">
        <x:f>IF('Control Room'!$B$5="Normal",'Control Room'!$B$7+'Control Room'!$D$7*SQRT(-2*LN(MAX(0.000000000001,Q328/2147483647)))*COS(2*PI()*R328/2147483647),'Control Room'!$B$8+('Control Room'!$D$8-'Control Room'!$B$8)*Q328/2147483647)</x:f>
        <x:v>918.7467244483777</x:v>
      </x:c>
      <x:c r="T328" s="17" t="n">
        <x:f>IF('Control Room'!$B$5="Normal",'Control Room'!$B$7,('Control Room'!$B$8+'Control Room'!$D$8)/2)+'Control Room'!$B$9*(T327-IF('Control Room'!$B$5="Normal",'Control Room'!$B$7,('Control Room'!$B$8+'Control Room'!$D$8)/2))+SQRT(1-'Control Room'!$B$9^2)*(S328-IF('Control Room'!$B$5="Normal",'Control Room'!$B$7,('Control Room'!$B$8+'Control Room'!$D$8)/2))</x:f>
        <x:v>1030.8117071470256</x:v>
      </x:c>
      <x:c r="U328" s="17" t="n">
        <x:f>IF(AND($A328&gt;='Control Room'!$A$13,$A328&lt;'Control Room'!$A$13+'Control Room'!$B$13,'Process'!BN2=1),1+('Control Room'!$C$13-1)*EXP(-0.5*(($A328-'Control Room'!$A$13-('Control Room'!$B$13-1)/2)/MAX(0.5,'Control Room'!$B$13/4))^2),1)*IF(AND($A328&gt;='Control Room'!$A$14,$A328&lt;'Control Room'!$A$14+'Control Room'!$B$14,'Process'!BN3=1),1+('Control Room'!$C$14-1)*EXP(-0.5*(($A328-'Control Room'!$A$14-('Control Room'!$B$14-1)/2)/MAX(0.5,'Control Room'!$B$14/4))^2),1)*IF(AND($A328&gt;='Control Room'!$A$15,$A328&lt;'Control Room'!$A$15+'Control Room'!$B$15,'Process'!BN4=1),1+('Control Room'!$C$15-1)*EXP(-0.5*(($A328-'Control Room'!$A$15-('Control Room'!$B$15-1)/2)/MAX(0.5,'Control Room'!$B$15/4))^2),1)*IF(AND($A328&gt;='Control Room'!$A$16,$A328&lt;'Control Room'!$A$16+'Control Room'!$B$16,'Process'!BN5=1),1+('Control Room'!$C$16-1)*EXP(-0.5*(($A328-'Control Room'!$A$16-('Control Room'!$B$16-1)/2)/MAX(0.5,'Control Room'!$B$16/4))^2),1)</x:f>
        <x:v>1</x:v>
      </x:c>
      <x:c r="V328" s="9" t="n">
        <x:f>MOD(W327*16807,2147483647)</x:f>
        <x:v>690723647</x:v>
      </x:c>
      <x:c r="W328" s="9" t="n">
        <x:f>MOD(V328*16807,2147483647)</x:f>
        <x:v>1843223094</x:v>
      </x:c>
      <x:c r="X328" s="17" t="n">
        <x:f>IF('Control Room'!$B$5="Normal",'Control Room'!$B$7+'Control Room'!$D$7*SQRT(-2*LN(MAX(0.000000000001,V328/2147483647)))*COS(2*PI()*W328/2147483647),'Control Room'!$B$8+('Control Room'!$D$8-'Control Room'!$B$8)*V328/2147483647)</x:f>
        <x:v>1085.298761882351</x:v>
      </x:c>
      <x:c r="Y328" s="17" t="n">
        <x:f>IF('Control Room'!$B$5="Normal",'Control Room'!$B$7,('Control Room'!$B$8+'Control Room'!$D$8)/2)+'Control Room'!$B$9*(Y327-IF('Control Room'!$B$5="Normal",'Control Room'!$B$7,('Control Room'!$B$8+'Control Room'!$D$8)/2))+SQRT(1-'Control Room'!$B$9^2)*(X328-IF('Control Room'!$B$5="Normal",'Control Room'!$B$7,('Control Room'!$B$8+'Control Room'!$D$8)/2))</x:f>
        <x:v>1098.41040136503</x:v>
      </x:c>
      <x:c r="Z328" s="17" t="n">
        <x:f>IF(AND($A328&gt;='Control Room'!$A$13,$A328&lt;'Control Room'!$A$13+'Control Room'!$B$13,'Process'!BO2=1),1+('Control Room'!$C$13-1)*EXP(-0.5*(($A328-'Control Room'!$A$13-('Control Room'!$B$13-1)/2)/MAX(0.5,'Control Room'!$B$13/4))^2),1)*IF(AND($A328&gt;='Control Room'!$A$14,$A328&lt;'Control Room'!$A$14+'Control Room'!$B$14,'Process'!BO3=1),1+('Control Room'!$C$14-1)*EXP(-0.5*(($A328-'Control Room'!$A$14-('Control Room'!$B$14-1)/2)/MAX(0.5,'Control Room'!$B$14/4))^2),1)*IF(AND($A328&gt;='Control Room'!$A$15,$A328&lt;'Control Room'!$A$15+'Control Room'!$B$15,'Process'!BO4=1),1+('Control Room'!$C$15-1)*EXP(-0.5*(($A328-'Control Room'!$A$15-('Control Room'!$B$15-1)/2)/MAX(0.5,'Control Room'!$B$15/4))^2),1)*IF(AND($A328&gt;='Control Room'!$A$16,$A328&lt;'Control Room'!$A$16+'Control Room'!$B$16,'Process'!BO5=1),1+('Control Room'!$C$16-1)*EXP(-0.5*(($A328-'Control Room'!$A$16-('Control Room'!$B$16-1)/2)/MAX(0.5,'Control Room'!$B$16/4))^2),1)</x:f>
        <x:v>1</x:v>
      </x:c>
      <x:c r="AA328" s="9" t="n">
        <x:f>MOD(AB327*16807,2147483647)</x:f>
        <x:v>87926292</x:v>
      </x:c>
      <x:c r="AB328" s="9" t="n">
        <x:f>MOD(AA328*16807,2147483647)</x:f>
        <x:v>308440508</x:v>
      </x:c>
      <x:c r="AC328" s="17" t="n">
        <x:f>IF('Control Room'!$B$5="Normal",'Control Room'!$B$7+'Control Room'!$D$7*SQRT(-2*LN(MAX(0.000000000001,AA328/2147483647)))*COS(2*PI()*AB328/2147483647),'Control Room'!$B$8+('Control Room'!$D$8-'Control Room'!$B$8)*AA328/2147483647)</x:f>
        <x:v>1140.9958306788662</x:v>
      </x:c>
      <x:c r="AD328" s="17" t="n">
        <x:f>IF('Control Room'!$B$5="Normal",'Control Room'!$B$7,('Control Room'!$B$8+'Control Room'!$D$8)/2)+'Control Room'!$B$9*(AD327-IF('Control Room'!$B$5="Normal",'Control Room'!$B$7,('Control Room'!$B$8+'Control Room'!$D$8)/2))+SQRT(1-'Control Room'!$B$9^2)*(AC328-IF('Control Room'!$B$5="Normal",'Control Room'!$B$7,('Control Room'!$B$8+'Control Room'!$D$8)/2))</x:f>
        <x:v>1032.4143709437421</x:v>
      </x:c>
      <x:c r="AE328" s="17" t="n">
        <x:f>IF(AND($A328&gt;='Control Room'!$A$13,$A328&lt;'Control Room'!$A$13+'Control Room'!$B$13,'Process'!BP2=1),1+('Control Room'!$C$13-1)*EXP(-0.5*(($A328-'Control Room'!$A$13-('Control Room'!$B$13-1)/2)/MAX(0.5,'Control Room'!$B$13/4))^2),1)*IF(AND($A328&gt;='Control Room'!$A$14,$A328&lt;'Control Room'!$A$14+'Control Room'!$B$14,'Process'!BP3=1),1+('Control Room'!$C$14-1)*EXP(-0.5*(($A328-'Control Room'!$A$14-('Control Room'!$B$14-1)/2)/MAX(0.5,'Control Room'!$B$14/4))^2),1)*IF(AND($A328&gt;='Control Room'!$A$15,$A328&lt;'Control Room'!$A$15+'Control Room'!$B$15,'Process'!BP4=1),1+('Control Room'!$C$15-1)*EXP(-0.5*(($A328-'Control Room'!$A$15-('Control Room'!$B$15-1)/2)/MAX(0.5,'Control Room'!$B$15/4))^2),1)*IF(AND($A328&gt;='Control Room'!$A$16,$A328&lt;'Control Room'!$A$16+'Control Room'!$B$16,'Process'!BP5=1),1+('Control Room'!$C$16-1)*EXP(-0.5*(($A328-'Control Room'!$A$16-('Control Room'!$B$16-1)/2)/MAX(0.5,'Control Room'!$B$16/4))^2),1)</x:f>
        <x:v>1</x:v>
      </x:c>
      <x:c r="AF328" s="9" t="n">
        <x:f>MOD(AG327*16807,2147483647)</x:f>
        <x:v>1632612584</x:v>
      </x:c>
      <x:c r="AG328" s="9" t="n">
        <x:f>MOD(AF328*16807,2147483647)</x:f>
        <x:v>921141569</x:v>
      </x:c>
      <x:c r="AH328" s="17" t="n">
        <x:f>IF('Control Room'!$B$5="Normal",'Control Room'!$B$7+'Control Room'!$D$7*SQRT(-2*LN(MAX(0.000000000001,AF328/2147483647)))*COS(2*PI()*AG328/2147483647),'Control Room'!$B$8+('Control Room'!$D$8-'Control Room'!$B$8)*AF328/2147483647)</x:f>
        <x:v>939.8941520101978</x:v>
      </x:c>
      <x:c r="AI328" s="17" t="n">
        <x:f>IF('Control Room'!$B$5="Normal",'Control Room'!$B$7,('Control Room'!$B$8+'Control Room'!$D$8)/2)+'Control Room'!$B$9*(AI327-IF('Control Room'!$B$5="Normal",'Control Room'!$B$7,('Control Room'!$B$8+'Control Room'!$D$8)/2))+SQRT(1-'Control Room'!$B$9^2)*(AH328-IF('Control Room'!$B$5="Normal",'Control Room'!$B$7,('Control Room'!$B$8+'Control Room'!$D$8)/2))</x:f>
        <x:v>928.9924202885358</x:v>
      </x:c>
      <x:c r="AJ328" s="17" t="n">
        <x:f>IF(AND($A328&gt;='Control Room'!$A$13,$A328&lt;'Control Room'!$A$13+'Control Room'!$B$13,'Process'!BQ2=1),1+('Control Room'!$C$13-1)*EXP(-0.5*(($A328-'Control Room'!$A$13-('Control Room'!$B$13-1)/2)/MAX(0.5,'Control Room'!$B$13/4))^2),1)*IF(AND($A328&gt;='Control Room'!$A$14,$A328&lt;'Control Room'!$A$14+'Control Room'!$B$14,'Process'!BQ3=1),1+('Control Room'!$C$14-1)*EXP(-0.5*(($A328-'Control Room'!$A$14-('Control Room'!$B$14-1)/2)/MAX(0.5,'Control Room'!$B$14/4))^2),1)*IF(AND($A328&gt;='Control Room'!$A$15,$A328&lt;'Control Room'!$A$15+'Control Room'!$B$15,'Process'!BQ4=1),1+('Control Room'!$C$15-1)*EXP(-0.5*(($A328-'Control Room'!$A$15-('Control Room'!$B$15-1)/2)/MAX(0.5,'Control Room'!$B$15/4))^2),1)*IF(AND($A328&gt;='Control Room'!$A$16,$A328&lt;'Control Room'!$A$16+'Control Room'!$B$16,'Process'!BQ5=1),1+('Control Room'!$C$16-1)*EXP(-0.5*(($A328-'Control Room'!$A$16-('Control Room'!$B$16-1)/2)/MAX(0.5,'Control Room'!$B$16/4))^2),1)</x:f>
        <x:v>1</x:v>
      </x:c>
      <x:c r="AK328" s="9" t="n">
        <x:f>MOD(AL327*16807,2147483647)</x:f>
        <x:v>1029815229</x:v>
      </x:c>
      <x:c r="AL328" s="9" t="n">
        <x:f>MOD(AK328*16807,2147483647)</x:f>
        <x:v>1533842630</x:v>
      </x:c>
      <x:c r="AM328" s="17" t="n">
        <x:f>IF('Control Room'!$B$5="Normal",'Control Room'!$B$7+'Control Room'!$D$7*SQRT(-2*LN(MAX(0.000000000001,AK328/2147483647)))*COS(2*PI()*AL328/2147483647),'Control Room'!$B$8+('Control Room'!$D$8-'Control Room'!$B$8)*AK328/2147483647)</x:f>
        <x:v>975.6969459971235</x:v>
      </x:c>
      <x:c r="AN328" s="17" t="n">
        <x:f>IF('Control Room'!$B$5="Normal",'Control Room'!$B$7,('Control Room'!$B$8+'Control Room'!$D$8)/2)+'Control Room'!$B$9*(AN327-IF('Control Room'!$B$5="Normal",'Control Room'!$B$7,('Control Room'!$B$8+'Control Room'!$D$8)/2))+SQRT(1-'Control Room'!$B$9^2)*(AM328-IF('Control Room'!$B$5="Normal",'Control Room'!$B$7,('Control Room'!$B$8+'Control Room'!$D$8)/2))</x:f>
        <x:v>928.1626537334307</x:v>
      </x:c>
      <x:c r="AO328" s="17" t="n">
        <x:f>IF(AND($A328&gt;='Control Room'!$A$13,$A328&lt;'Control Room'!$A$13+'Control Room'!$B$13,'Process'!BR2=1),1+('Control Room'!$C$13-1)*EXP(-0.5*(($A328-'Control Room'!$A$13-('Control Room'!$B$13-1)/2)/MAX(0.5,'Control Room'!$B$13/4))^2),1)*IF(AND($A328&gt;='Control Room'!$A$14,$A328&lt;'Control Room'!$A$14+'Control Room'!$B$14,'Process'!BR3=1),1+('Control Room'!$C$14-1)*EXP(-0.5*(($A328-'Control Room'!$A$14-('Control Room'!$B$14-1)/2)/MAX(0.5,'Control Room'!$B$14/4))^2),1)*IF(AND($A328&gt;='Control Room'!$A$15,$A328&lt;'Control Room'!$A$15+'Control Room'!$B$15,'Process'!BR4=1),1+('Control Room'!$C$15-1)*EXP(-0.5*(($A328-'Control Room'!$A$15-('Control Room'!$B$15-1)/2)/MAX(0.5,'Control Room'!$B$15/4))^2),1)*IF(AND($A328&gt;='Control Room'!$A$16,$A328&lt;'Control Room'!$A$16+'Control Room'!$B$16,'Process'!BR5=1),1+('Control Room'!$C$16-1)*EXP(-0.5*(($A328-'Control Room'!$A$16-('Control Room'!$B$16-1)/2)/MAX(0.5,'Control Room'!$B$16/4))^2),1)</x:f>
        <x:v>1</x:v>
      </x:c>
      <x:c r="AP328" s="9" t="n">
        <x:f>MOD(AQ327*16807,2147483647)</x:f>
        <x:v>427017874</x:v>
      </x:c>
      <x:c r="AQ328" s="9" t="n">
        <x:f>MOD(AP328*16807,2147483647)</x:f>
        <x:v>2146543691</x:v>
      </x:c>
      <x:c r="AR328" s="17" t="n">
        <x:f>IF('Control Room'!$B$5="Normal",'Control Room'!$B$7+'Control Room'!$D$7*SQRT(-2*LN(MAX(0.000000000001,AP328/2147483647)))*COS(2*PI()*AQ328/2147483647),'Control Room'!$B$8+('Control Room'!$D$8-'Control Room'!$B$8)*AP328/2147483647)</x:f>
        <x:v>1161.760520521375</x:v>
      </x:c>
      <x:c r="AS328" s="17" t="n">
        <x:f>IF('Control Room'!$B$5="Normal",'Control Room'!$B$7,('Control Room'!$B$8+'Control Room'!$D$8)/2)+'Control Room'!$B$9*(AS327-IF('Control Room'!$B$5="Normal",'Control Room'!$B$7,('Control Room'!$B$8+'Control Room'!$D$8)/2))+SQRT(1-'Control Room'!$B$9^2)*(AR328-IF('Control Room'!$B$5="Normal",'Control Room'!$B$7,('Control Room'!$B$8+'Control Room'!$D$8)/2))</x:f>
        <x:v>1092.695392419678</x:v>
      </x:c>
      <x:c r="AT328" s="17" t="n">
        <x:f>IF(AND($A328&gt;='Control Room'!$A$13,$A328&lt;'Control Room'!$A$13+'Control Room'!$B$13,'Process'!BS2=1),1+('Control Room'!$C$13-1)*EXP(-0.5*(($A328-'Control Room'!$A$13-('Control Room'!$B$13-1)/2)/MAX(0.5,'Control Room'!$B$13/4))^2),1)*IF(AND($A328&gt;='Control Room'!$A$14,$A328&lt;'Control Room'!$A$14+'Control Room'!$B$14,'Process'!BS3=1),1+('Control Room'!$C$14-1)*EXP(-0.5*(($A328-'Control Room'!$A$14-('Control Room'!$B$14-1)/2)/MAX(0.5,'Control Room'!$B$14/4))^2),1)*IF(AND($A328&gt;='Control Room'!$A$15,$A328&lt;'Control Room'!$A$15+'Control Room'!$B$15,'Process'!BS4=1),1+('Control Room'!$C$15-1)*EXP(-0.5*(($A328-'Control Room'!$A$15-('Control Room'!$B$15-1)/2)/MAX(0.5,'Control Room'!$B$15/4))^2),1)*IF(AND($A328&gt;='Control Room'!$A$16,$A328&lt;'Control Room'!$A$16+'Control Room'!$B$16,'Process'!BS5=1),1+('Control Room'!$C$16-1)*EXP(-0.5*(($A328-'Control Room'!$A$16-('Control Room'!$B$16-1)/2)/MAX(0.5,'Control Room'!$B$16/4))^2),1)</x:f>
        <x:v>1</x:v>
      </x:c>
      <x:c r="AU328" s="9" t="n">
        <x:f>MOD(AV327*16807,2147483647)</x:f>
        <x:v>1971704166</x:v>
      </x:c>
      <x:c r="AV328" s="9" t="n">
        <x:f>MOD(AU328*16807,2147483647)</x:f>
        <x:v>611761105</x:v>
      </x:c>
      <x:c r="AW328" s="17" t="n">
        <x:f>IF('Control Room'!$B$5="Normal",'Control Room'!$B$7+'Control Room'!$D$7*SQRT(-2*LN(MAX(0.000000000001,AU328/2147483647)))*COS(2*PI()*AV328/2147483647),'Control Room'!$B$8+('Control Room'!$D$8-'Control Room'!$B$8)*AU328/2147483647)</x:f>
        <x:v>991.9150588937554</x:v>
      </x:c>
      <x:c r="AX328" s="17" t="n">
        <x:f>IF('Control Room'!$B$5="Normal",'Control Room'!$B$7,('Control Room'!$B$8+'Control Room'!$D$8)/2)+'Control Room'!$B$9*(AX327-IF('Control Room'!$B$5="Normal",'Control Room'!$B$7,('Control Room'!$B$8+'Control Room'!$D$8)/2))+SQRT(1-'Control Room'!$B$9^2)*(AW328-IF('Control Room'!$B$5="Normal",'Control Room'!$B$7,('Control Room'!$B$8+'Control Room'!$D$8)/2))</x:f>
        <x:v>1104.1345230340878</x:v>
      </x:c>
      <x:c r="AY328" s="17" t="n">
        <x:f>IF(AND($A328&gt;='Control Room'!$A$13,$A328&lt;'Control Room'!$A$13+'Control Room'!$B$13,'Process'!BT2=1),1+('Control Room'!$C$13-1)*EXP(-0.5*(($A328-'Control Room'!$A$13-('Control Room'!$B$13-1)/2)/MAX(0.5,'Control Room'!$B$13/4))^2),1)*IF(AND($A328&gt;='Control Room'!$A$14,$A328&lt;'Control Room'!$A$14+'Control Room'!$B$14,'Process'!BT3=1),1+('Control Room'!$C$14-1)*EXP(-0.5*(($A328-'Control Room'!$A$14-('Control Room'!$B$14-1)/2)/MAX(0.5,'Control Room'!$B$14/4))^2),1)*IF(AND($A328&gt;='Control Room'!$A$15,$A328&lt;'Control Room'!$A$15+'Control Room'!$B$15,'Process'!BT4=1),1+('Control Room'!$C$15-1)*EXP(-0.5*(($A328-'Control Room'!$A$15-('Control Room'!$B$15-1)/2)/MAX(0.5,'Control Room'!$B$15/4))^2),1)*IF(AND($A328&gt;='Control Room'!$A$16,$A328&lt;'Control Room'!$A$16+'Control Room'!$B$16,'Process'!BT5=1),1+('Control Room'!$C$16-1)*EXP(-0.5*(($A328-'Control Room'!$A$16-('Control Room'!$B$16-1)/2)/MAX(0.5,'Control Room'!$B$16/4))^2),1)</x:f>
        <x:v>1</x:v>
      </x:c>
      <x:c r="AZ328" s="9" t="n">
        <x:f>MOD(BA327*16807,2147483647)</x:f>
        <x:v>1368906811</x:v>
      </x:c>
      <x:c r="BA328" s="9" t="n">
        <x:f>MOD(AZ328*16807,2147483647)</x:f>
        <x:v>1224462166</x:v>
      </x:c>
      <x:c r="BB328" s="17" t="n">
        <x:f>IF('Control Room'!$B$5="Normal",'Control Room'!$B$7+'Control Room'!$D$7*SQRT(-2*LN(MAX(0.000000000001,AZ328/2147483647)))*COS(2*PI()*BA328/2147483647),'Control Room'!$B$8+('Control Room'!$D$8-'Control Room'!$B$8)*AZ328/2147483647)</x:f>
        <x:v>922.7623503555378</x:v>
      </x:c>
      <x:c r="BC328" s="17" t="n">
        <x:f>IF('Control Room'!$B$5="Normal",'Control Room'!$B$7,('Control Room'!$B$8+'Control Room'!$D$8)/2)+'Control Room'!$B$9*(BC327-IF('Control Room'!$B$5="Normal",'Control Room'!$B$7,('Control Room'!$B$8+'Control Room'!$D$8)/2))+SQRT(1-'Control Room'!$B$9^2)*(BB328-IF('Control Room'!$B$5="Normal",'Control Room'!$B$7,('Control Room'!$B$8+'Control Room'!$D$8)/2))</x:f>
        <x:v>976.5527231004122</x:v>
      </x:c>
      <x:c r="BD328" s="17" t="n">
        <x:f>IF(AND($A328&gt;='Control Room'!$A$13,$A328&lt;'Control Room'!$A$13+'Control Room'!$B$13,'Process'!BU2=1),1+('Control Room'!$C$13-1)*EXP(-0.5*(($A328-'Control Room'!$A$13-('Control Room'!$B$13-1)/2)/MAX(0.5,'Control Room'!$B$13/4))^2),1)*IF(AND($A328&gt;='Control Room'!$A$14,$A328&lt;'Control Room'!$A$14+'Control Room'!$B$14,'Process'!BU3=1),1+('Control Room'!$C$14-1)*EXP(-0.5*(($A328-'Control Room'!$A$14-('Control Room'!$B$14-1)/2)/MAX(0.5,'Control Room'!$B$14/4))^2),1)*IF(AND($A328&gt;='Control Room'!$A$15,$A328&lt;'Control Room'!$A$15+'Control Room'!$B$15,'Process'!BU4=1),1+('Control Room'!$C$15-1)*EXP(-0.5*(($A328-'Control Room'!$A$15-('Control Room'!$B$15-1)/2)/MAX(0.5,'Control Room'!$B$15/4))^2),1)*IF(AND($A328&gt;='Control Room'!$A$16,$A328&lt;'Control Room'!$A$16+'Control Room'!$B$16,'Process'!BU5=1),1+('Control Room'!$C$16-1)*EXP(-0.5*(($A328-'Control Room'!$A$16-('Control Room'!$B$16-1)/2)/MAX(0.5,'Control Room'!$B$16/4))^2),1)</x:f>
        <x:v>1</x:v>
      </x:c>
      <x:c r="BE328" s="9" t="n">
        <x:f>MOD(BF327*16807,2147483647)</x:f>
        <x:v>766109456</x:v>
      </x:c>
      <x:c r="BF328" s="9" t="n">
        <x:f>MOD(BE328*16807,2147483647)</x:f>
        <x:v>1837163227</x:v>
      </x:c>
      <x:c r="BG328" s="17" t="n">
        <x:f>IF('Control Room'!$B$5="Normal",'Control Room'!$B$7+'Control Room'!$D$7*SQRT(-2*LN(MAX(0.000000000001,BE328/2147483647)))*COS(2*PI()*BF328/2147483647),'Control Room'!$B$8+('Control Room'!$D$8-'Control Room'!$B$8)*BE328/2147483647)</x:f>
        <x:v>1079.517460467099</x:v>
      </x:c>
      <x:c r="BH328" s="17" t="n">
        <x:f>IF('Control Room'!$B$5="Normal",'Control Room'!$B$7,('Control Room'!$B$8+'Control Room'!$D$8)/2)+'Control Room'!$B$9*(BH327-IF('Control Room'!$B$5="Normal",'Control Room'!$B$7,('Control Room'!$B$8+'Control Room'!$D$8)/2))+SQRT(1-'Control Room'!$B$9^2)*(BG328-IF('Control Room'!$B$5="Normal",'Control Room'!$B$7,('Control Room'!$B$8+'Control Room'!$D$8)/2))</x:f>
        <x:v>1078.3103492928885</x:v>
      </x:c>
      <x:c r="BI328" s="17" t="n">
        <x:f>IF(AND($A328&gt;='Control Room'!$A$13,$A328&lt;'Control Room'!$A$13+'Control Room'!$B$13,'Process'!BV2=1),1+('Control Room'!$C$13-1)*EXP(-0.5*(($A328-'Control Room'!$A$13-('Control Room'!$B$13-1)/2)/MAX(0.5,'Control Room'!$B$13/4))^2),1)*IF(AND($A328&gt;='Control Room'!$A$14,$A328&lt;'Control Room'!$A$14+'Control Room'!$B$14,'Process'!BV3=1),1+('Control Room'!$C$14-1)*EXP(-0.5*(($A328-'Control Room'!$A$14-('Control Room'!$B$14-1)/2)/MAX(0.5,'Control Room'!$B$14/4))^2),1)*IF(AND($A328&gt;='Control Room'!$A$15,$A328&lt;'Control Room'!$A$15+'Control Room'!$B$15,'Process'!BV4=1),1+('Control Room'!$C$15-1)*EXP(-0.5*(($A328-'Control Room'!$A$15-('Control Room'!$B$15-1)/2)/MAX(0.5,'Control Room'!$B$15/4))^2),1)*IF(AND($A328&gt;='Control Room'!$A$16,$A328&lt;'Control Room'!$A$16+'Control Room'!$B$16,'Process'!BV5=1),1+('Control Room'!$C$16-1)*EXP(-0.5*(($A328-'Control Room'!$A$16-('Control Room'!$B$16-1)/2)/MAX(0.5,'Control Room'!$B$16/4))^2),1)</x:f>
        <x:v>1</x:v>
      </x:c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Z328" t="str">
        <x:f>IF('Data'!A328="","",TEXT('Data'!A328,"mm-dd"))</x:f>
      </x:c>
    </x:row>
    <x:row r="329" ht="21" customHeight="1">
      <x:c r="A329" s="15" t="n">
        <x:f>'Control Room'!$B$1+327</x:f>
        <x:v>73318</x:v>
      </x:c>
      <x:c r="B329" s="9" t="n">
        <x:f>MOD(C328*16807,2147483647)</x:f>
        <x:v>1815837082</x:v>
      </x:c>
      <x:c r="C329" s="9" t="n">
        <x:f>MOD(B329*16807,2147483647)</x:f>
        <x:v>883729657</x:v>
      </x:c>
      <x:c r="D329" s="17" t="n">
        <x:f>IF('Control Room'!$B$5="Normal",'Control Room'!$B$7+'Control Room'!$D$7*SQRT(-2*LN(MAX(0.000000000001,B329/2147483647)))*COS(2*PI()*C329/2147483647),'Control Room'!$B$8+('Control Room'!$D$8-'Control Room'!$B$8)*B329/2147483647)</x:f>
        <x:v>955.7205212694943</x:v>
      </x:c>
      <x:c r="E329" s="17" t="n">
        <x:f>IF('Control Room'!$B$5="Normal",'Control Room'!$B$7,('Control Room'!$B$8+'Control Room'!$D$8)/2)+'Control Room'!$B$9*(E328-IF('Control Room'!$B$5="Normal",'Control Room'!$B$7,('Control Room'!$B$8+'Control Room'!$D$8)/2))+SQRT(1-'Control Room'!$B$9^2)*(D329-IF('Control Room'!$B$5="Normal",'Control Room'!$B$7,('Control Room'!$B$8+'Control Room'!$D$8)/2))</x:f>
        <x:v>947.3175461108157</x:v>
      </x:c>
      <x:c r="F329" s="17" t="n">
        <x:f>IF(AND($A329&gt;='Control Room'!$A$13,$A329&lt;'Control Room'!$A$13+'Control Room'!$B$13,'Process'!BK2=1),1+('Control Room'!$C$13-1)*EXP(-0.5*(($A329-'Control Room'!$A$13-('Control Room'!$B$13-1)/2)/MAX(0.5,'Control Room'!$B$13/4))^2),1)*IF(AND($A329&gt;='Control Room'!$A$14,$A329&lt;'Control Room'!$A$14+'Control Room'!$B$14,'Process'!BK3=1),1+('Control Room'!$C$14-1)*EXP(-0.5*(($A329-'Control Room'!$A$14-('Control Room'!$B$14-1)/2)/MAX(0.5,'Control Room'!$B$14/4))^2),1)*IF(AND($A329&gt;='Control Room'!$A$15,$A329&lt;'Control Room'!$A$15+'Control Room'!$B$15,'Process'!BK4=1),1+('Control Room'!$C$15-1)*EXP(-0.5*(($A329-'Control Room'!$A$15-('Control Room'!$B$15-1)/2)/MAX(0.5,'Control Room'!$B$15/4))^2),1)*IF(AND($A329&gt;='Control Room'!$A$16,$A329&lt;'Control Room'!$A$16+'Control Room'!$B$16,'Process'!BK5=1),1+('Control Room'!$C$16-1)*EXP(-0.5*(($A329-'Control Room'!$A$16-('Control Room'!$B$16-1)/2)/MAX(0.5,'Control Room'!$B$16/4))^2),1)</x:f>
        <x:v>1</x:v>
      </x:c>
      <x:c r="G329" s="9" t="n">
        <x:f>MOD(H328*16807,2147483647)</x:f>
        <x:v>150998297</x:v>
      </x:c>
      <x:c r="H329" s="9" t="n">
        <x:f>MOD(G329*16807,2147483647)</x:f>
        <x:v>1650190572</x:v>
      </x:c>
      <x:c r="I329" s="17" t="n">
        <x:f>IF('Control Room'!$B$5="Normal",'Control Room'!$B$7+'Control Room'!$D$7*SQRT(-2*LN(MAX(0.000000000001,G329/2147483647)))*COS(2*PI()*H329/2147483647),'Control Room'!$B$8+('Control Room'!$D$8-'Control Room'!$B$8)*G329/2147483647)</x:f>
        <x:v>1023.9608979273963</x:v>
      </x:c>
      <x:c r="J329" s="17" t="n">
        <x:f>IF('Control Room'!$B$5="Normal",'Control Room'!$B$7,('Control Room'!$B$8+'Control Room'!$D$8)/2)+'Control Room'!$B$9*(J328-IF('Control Room'!$B$5="Normal",'Control Room'!$B$7,('Control Room'!$B$8+'Control Room'!$D$8)/2))+SQRT(1-'Control Room'!$B$9^2)*(I329-IF('Control Room'!$B$5="Normal",'Control Room'!$B$7,('Control Room'!$B$8+'Control Room'!$D$8)/2))</x:f>
        <x:v>1157.9367965663148</x:v>
      </x:c>
      <x:c r="K329" s="17" t="n">
        <x:f>IF(AND($A329&gt;='Control Room'!$A$13,$A329&lt;'Control Room'!$A$13+'Control Room'!$B$13,'Process'!BL2=1),1+('Control Room'!$C$13-1)*EXP(-0.5*(($A329-'Control Room'!$A$13-('Control Room'!$B$13-1)/2)/MAX(0.5,'Control Room'!$B$13/4))^2),1)*IF(AND($A329&gt;='Control Room'!$A$14,$A329&lt;'Control Room'!$A$14+'Control Room'!$B$14,'Process'!BL3=1),1+('Control Room'!$C$14-1)*EXP(-0.5*(($A329-'Control Room'!$A$14-('Control Room'!$B$14-1)/2)/MAX(0.5,'Control Room'!$B$14/4))^2),1)*IF(AND($A329&gt;='Control Room'!$A$15,$A329&lt;'Control Room'!$A$15+'Control Room'!$B$15,'Process'!BL4=1),1+('Control Room'!$C$15-1)*EXP(-0.5*(($A329-'Control Room'!$A$15-('Control Room'!$B$15-1)/2)/MAX(0.5,'Control Room'!$B$15/4))^2),1)*IF(AND($A329&gt;='Control Room'!$A$16,$A329&lt;'Control Room'!$A$16+'Control Room'!$B$16,'Process'!BL5=1),1+('Control Room'!$C$16-1)*EXP(-0.5*(($A329-'Control Room'!$A$16-('Control Room'!$B$16-1)/2)/MAX(0.5,'Control Room'!$B$16/4))^2),1)</x:f>
        <x:v>1</x:v>
      </x:c>
      <x:c r="L329" s="9" t="n">
        <x:f>MOD(M328*16807,2147483647)</x:f>
        <x:v>633643159</x:v>
      </x:c>
      <x:c r="M329" s="9" t="n">
        <x:f>MOD(L329*16807,2147483647)</x:f>
        <x:v>269167840</x:v>
      </x:c>
      <x:c r="N329" s="17" t="n">
        <x:f>IF('Control Room'!$B$5="Normal",'Control Room'!$B$7+'Control Room'!$D$7*SQRT(-2*LN(MAX(0.000000000001,L329/2147483647)))*COS(2*PI()*M329/2147483647),'Control Room'!$B$8+('Control Room'!$D$8-'Control Room'!$B$8)*L329/2147483647)</x:f>
        <x:v>1099.2180162387674</x:v>
      </x:c>
      <x:c r="O329" s="17" t="n">
        <x:f>IF('Control Room'!$B$5="Normal",'Control Room'!$B$7,('Control Room'!$B$8+'Control Room'!$D$8)/2)+'Control Room'!$B$9*(O328-IF('Control Room'!$B$5="Normal",'Control Room'!$B$7,('Control Room'!$B$8+'Control Room'!$D$8)/2))+SQRT(1-'Control Room'!$B$9^2)*(N329-IF('Control Room'!$B$5="Normal",'Control Room'!$B$7,('Control Room'!$B$8+'Control Room'!$D$8)/2))</x:f>
        <x:v>1063.6086279587298</x:v>
      </x:c>
      <x:c r="P329" s="17" t="n">
        <x:f>IF(AND($A329&gt;='Control Room'!$A$13,$A329&lt;'Control Room'!$A$13+'Control Room'!$B$13,'Process'!BM2=1),1+('Control Room'!$C$13-1)*EXP(-0.5*(($A329-'Control Room'!$A$13-('Control Room'!$B$13-1)/2)/MAX(0.5,'Control Room'!$B$13/4))^2),1)*IF(AND($A329&gt;='Control Room'!$A$14,$A329&lt;'Control Room'!$A$14+'Control Room'!$B$14,'Process'!BM3=1),1+('Control Room'!$C$14-1)*EXP(-0.5*(($A329-'Control Room'!$A$14-('Control Room'!$B$14-1)/2)/MAX(0.5,'Control Room'!$B$14/4))^2),1)*IF(AND($A329&gt;='Control Room'!$A$15,$A329&lt;'Control Room'!$A$15+'Control Room'!$B$15,'Process'!BM4=1),1+('Control Room'!$C$15-1)*EXP(-0.5*(($A329-'Control Room'!$A$15-('Control Room'!$B$15-1)/2)/MAX(0.5,'Control Room'!$B$15/4))^2),1)*IF(AND($A329&gt;='Control Room'!$A$16,$A329&lt;'Control Room'!$A$16+'Control Room'!$B$16,'Process'!BM5=1),1+('Control Room'!$C$16-1)*EXP(-0.5*(($A329-'Control Room'!$A$16-('Control Room'!$B$16-1)/2)/MAX(0.5,'Control Room'!$B$16/4))^2),1)</x:f>
        <x:v>1</x:v>
      </x:c>
      <x:c r="Q329" s="9" t="n">
        <x:f>MOD(R328*16807,2147483647)</x:f>
        <x:v>1116288021</x:v>
      </x:c>
      <x:c r="R329" s="9" t="n">
        <x:f>MOD(Q329*16807,2147483647)</x:f>
        <x:v>1035628755</x:v>
      </x:c>
      <x:c r="S329" s="17" t="n">
        <x:f>IF('Control Room'!$B$5="Normal",'Control Room'!$B$7+'Control Room'!$D$7*SQRT(-2*LN(MAX(0.000000000001,Q329/2147483647)))*COS(2*PI()*R329/2147483647),'Control Room'!$B$8+('Control Room'!$D$8-'Control Room'!$B$8)*Q329/2147483647)</x:f>
        <x:v>897.6857605782174</x:v>
      </x:c>
      <x:c r="T329" s="17" t="n">
        <x:f>IF('Control Room'!$B$5="Normal",'Control Room'!$B$7,('Control Room'!$B$8+'Control Room'!$D$8)/2)+'Control Room'!$B$9*(T328-IF('Control Room'!$B$5="Normal",'Control Room'!$B$7,('Control Room'!$B$8+'Control Room'!$D$8)/2))+SQRT(1-'Control Room'!$B$9^2)*(S329-IF('Control Room'!$B$5="Normal",'Control Room'!$B$7,('Control Room'!$B$8+'Control Room'!$D$8)/2))</x:f>
        <x:v>960.0069765656519</x:v>
      </x:c>
      <x:c r="U329" s="17" t="n">
        <x:f>IF(AND($A329&gt;='Control Room'!$A$13,$A329&lt;'Control Room'!$A$13+'Control Room'!$B$13,'Process'!BN2=1),1+('Control Room'!$C$13-1)*EXP(-0.5*(($A329-'Control Room'!$A$13-('Control Room'!$B$13-1)/2)/MAX(0.5,'Control Room'!$B$13/4))^2),1)*IF(AND($A329&gt;='Control Room'!$A$14,$A329&lt;'Control Room'!$A$14+'Control Room'!$B$14,'Process'!BN3=1),1+('Control Room'!$C$14-1)*EXP(-0.5*(($A329-'Control Room'!$A$14-('Control Room'!$B$14-1)/2)/MAX(0.5,'Control Room'!$B$14/4))^2),1)*IF(AND($A329&gt;='Control Room'!$A$15,$A329&lt;'Control Room'!$A$15+'Control Room'!$B$15,'Process'!BN4=1),1+('Control Room'!$C$15-1)*EXP(-0.5*(($A329-'Control Room'!$A$15-('Control Room'!$B$15-1)/2)/MAX(0.5,'Control Room'!$B$15/4))^2),1)*IF(AND($A329&gt;='Control Room'!$A$16,$A329&lt;'Control Room'!$A$16+'Control Room'!$B$16,'Process'!BN5=1),1+('Control Room'!$C$16-1)*EXP(-0.5*(($A329-'Control Room'!$A$16-('Control Room'!$B$16-1)/2)/MAX(0.5,'Control Room'!$B$16/4))^2),1)</x:f>
        <x:v>1</x:v>
      </x:c>
      <x:c r="V329" s="9" t="n">
        <x:f>MOD(W328*16807,2147483647)</x:f>
        <x:v>1598932883</x:v>
      </x:c>
      <x:c r="W329" s="9" t="n">
        <x:f>MOD(V329*16807,2147483647)</x:f>
        <x:v>1802089670</x:v>
      </x:c>
      <x:c r="X329" s="17" t="n">
        <x:f>IF('Control Room'!$B$5="Normal",'Control Room'!$B$7+'Control Room'!$D$7*SQRT(-2*LN(MAX(0.000000000001,V329/2147483647)))*COS(2*PI()*W329/2147483647),'Control Room'!$B$8+('Control Room'!$D$8-'Control Room'!$B$8)*V329/2147483647)</x:f>
        <x:v>1036.7320741792537</x:v>
      </x:c>
      <x:c r="Y329" s="17" t="n">
        <x:f>IF('Control Room'!$B$5="Normal",'Control Room'!$B$7,('Control Room'!$B$8+'Control Room'!$D$8)/2)+'Control Room'!$B$9*(Y328-IF('Control Room'!$B$5="Normal",'Control Room'!$B$7,('Control Room'!$B$8+'Control Room'!$D$8)/2))+SQRT(1-'Control Room'!$B$9^2)*(X329-IF('Control Room'!$B$5="Normal",'Control Room'!$B$7,('Control Room'!$B$8+'Control Room'!$D$8)/2))</x:f>
        <x:v>1099.7462925886591</x:v>
      </x:c>
      <x:c r="Z329" s="17" t="n">
        <x:f>IF(AND($A329&gt;='Control Room'!$A$13,$A329&lt;'Control Room'!$A$13+'Control Room'!$B$13,'Process'!BO2=1),1+('Control Room'!$C$13-1)*EXP(-0.5*(($A329-'Control Room'!$A$13-('Control Room'!$B$13-1)/2)/MAX(0.5,'Control Room'!$B$13/4))^2),1)*IF(AND($A329&gt;='Control Room'!$A$14,$A329&lt;'Control Room'!$A$14+'Control Room'!$B$14,'Process'!BO3=1),1+('Control Room'!$C$14-1)*EXP(-0.5*(($A329-'Control Room'!$A$14-('Control Room'!$B$14-1)/2)/MAX(0.5,'Control Room'!$B$14/4))^2),1)*IF(AND($A329&gt;='Control Room'!$A$15,$A329&lt;'Control Room'!$A$15+'Control Room'!$B$15,'Process'!BO4=1),1+('Control Room'!$C$15-1)*EXP(-0.5*(($A329-'Control Room'!$A$15-('Control Room'!$B$15-1)/2)/MAX(0.5,'Control Room'!$B$15/4))^2),1)*IF(AND($A329&gt;='Control Room'!$A$16,$A329&lt;'Control Room'!$A$16+'Control Room'!$B$16,'Process'!BO5=1),1+('Control Room'!$C$16-1)*EXP(-0.5*(($A329-'Control Room'!$A$16-('Control Room'!$B$16-1)/2)/MAX(0.5,'Control Room'!$B$16/4))^2),1)</x:f>
        <x:v>1</x:v>
      </x:c>
      <x:c r="AA329" s="9" t="n">
        <x:f>MOD(AB328*16807,2147483647)</x:f>
        <x:v>2081577745</x:v>
      </x:c>
      <x:c r="AB329" s="9" t="n">
        <x:f>MOD(AA329*16807,2147483647)</x:f>
        <x:v>421066938</x:v>
      </x:c>
      <x:c r="AC329" s="17" t="n">
        <x:f>IF('Control Room'!$B$5="Normal",'Control Room'!$B$7+'Control Room'!$D$7*SQRT(-2*LN(MAX(0.000000000001,AA329/2147483647)))*COS(2*PI()*AB329/2147483647),'Control Room'!$B$8+('Control Room'!$D$8-'Control Room'!$B$8)*AA329/2147483647)</x:f>
        <x:v>1007.4689934849614</x:v>
      </x:c>
      <x:c r="AD329" s="17" t="n">
        <x:f>IF('Control Room'!$B$5="Normal",'Control Room'!$B$7,('Control Room'!$B$8+'Control Room'!$D$8)/2)+'Control Room'!$B$9*(AD328-IF('Control Room'!$B$5="Normal",'Control Room'!$B$7,('Control Room'!$B$8+'Control Room'!$D$8)/2))+SQRT(1-'Control Room'!$B$9^2)*(AC329-IF('Control Room'!$B$5="Normal",'Control Room'!$B$7,('Control Room'!$B$8+'Control Room'!$D$8)/2))</x:f>
        <x:v>1029.9571524483595</x:v>
      </x:c>
      <x:c r="AE329" s="17" t="n">
        <x:f>IF(AND($A329&gt;='Control Room'!$A$13,$A329&lt;'Control Room'!$A$13+'Control Room'!$B$13,'Process'!BP2=1),1+('Control Room'!$C$13-1)*EXP(-0.5*(($A329-'Control Room'!$A$13-('Control Room'!$B$13-1)/2)/MAX(0.5,'Control Room'!$B$13/4))^2),1)*IF(AND($A329&gt;='Control Room'!$A$14,$A329&lt;'Control Room'!$A$14+'Control Room'!$B$14,'Process'!BP3=1),1+('Control Room'!$C$14-1)*EXP(-0.5*(($A329-'Control Room'!$A$14-('Control Room'!$B$14-1)/2)/MAX(0.5,'Control Room'!$B$14/4))^2),1)*IF(AND($A329&gt;='Control Room'!$A$15,$A329&lt;'Control Room'!$A$15+'Control Room'!$B$15,'Process'!BP4=1),1+('Control Room'!$C$15-1)*EXP(-0.5*(($A329-'Control Room'!$A$15-('Control Room'!$B$15-1)/2)/MAX(0.5,'Control Room'!$B$15/4))^2),1)*IF(AND($A329&gt;='Control Room'!$A$16,$A329&lt;'Control Room'!$A$16+'Control Room'!$B$16,'Process'!BP5=1),1+('Control Room'!$C$16-1)*EXP(-0.5*(($A329-'Control Room'!$A$16-('Control Room'!$B$16-1)/2)/MAX(0.5,'Control Room'!$B$16/4))^2),1)</x:f>
        <x:v>1</x:v>
      </x:c>
      <x:c r="AF329" s="9" t="n">
        <x:f>MOD(AG328*16807,2147483647)</x:f>
        <x:v>416738960</x:v>
      </x:c>
      <x:c r="AG329" s="9" t="n">
        <x:f>MOD(AF329*16807,2147483647)</x:f>
        <x:v>1187527853</x:v>
      </x:c>
      <x:c r="AH329" s="17" t="n">
        <x:f>IF('Control Room'!$B$5="Normal",'Control Room'!$B$7+'Control Room'!$D$7*SQRT(-2*LN(MAX(0.000000000001,AF329/2147483647)))*COS(2*PI()*AG329/2147483647),'Control Room'!$B$8+('Control Room'!$D$8-'Control Room'!$B$8)*AF329/2147483647)</x:f>
        <x:v>845.9720101826172</x:v>
      </x:c>
      <x:c r="AI329" s="17" t="n">
        <x:f>IF('Control Room'!$B$5="Normal",'Control Room'!$B$7,('Control Room'!$B$8+'Control Room'!$D$8)/2)+'Control Room'!$B$9*(AI328-IF('Control Room'!$B$5="Normal",'Control Room'!$B$7,('Control Room'!$B$8+'Control Room'!$D$8)/2))+SQRT(1-'Control Room'!$B$9^2)*(AH329-IF('Control Room'!$B$5="Normal",'Control Room'!$B$7,('Control Room'!$B$8+'Control Room'!$D$8)/2))</x:f>
        <x:v>848.2265272322243</x:v>
      </x:c>
      <x:c r="AJ329" s="17" t="n">
        <x:f>IF(AND($A329&gt;='Control Room'!$A$13,$A329&lt;'Control Room'!$A$13+'Control Room'!$B$13,'Process'!BQ2=1),1+('Control Room'!$C$13-1)*EXP(-0.5*(($A329-'Control Room'!$A$13-('Control Room'!$B$13-1)/2)/MAX(0.5,'Control Room'!$B$13/4))^2),1)*IF(AND($A329&gt;='Control Room'!$A$14,$A329&lt;'Control Room'!$A$14+'Control Room'!$B$14,'Process'!BQ3=1),1+('Control Room'!$C$14-1)*EXP(-0.5*(($A329-'Control Room'!$A$14-('Control Room'!$B$14-1)/2)/MAX(0.5,'Control Room'!$B$14/4))^2),1)*IF(AND($A329&gt;='Control Room'!$A$15,$A329&lt;'Control Room'!$A$15+'Control Room'!$B$15,'Process'!BQ4=1),1+('Control Room'!$C$15-1)*EXP(-0.5*(($A329-'Control Room'!$A$15-('Control Room'!$B$15-1)/2)/MAX(0.5,'Control Room'!$B$15/4))^2),1)*IF(AND($A329&gt;='Control Room'!$A$16,$A329&lt;'Control Room'!$A$16+'Control Room'!$B$16,'Process'!BQ5=1),1+('Control Room'!$C$16-1)*EXP(-0.5*(($A329-'Control Room'!$A$16-('Control Room'!$B$16-1)/2)/MAX(0.5,'Control Room'!$B$16/4))^2),1)</x:f>
        <x:v>1</x:v>
      </x:c>
      <x:c r="AK329" s="9" t="n">
        <x:f>MOD(AL328*16807,2147483647)</x:f>
        <x:v>899383822</x:v>
      </x:c>
      <x:c r="AL329" s="9" t="n">
        <x:f>MOD(AK329*16807,2147483647)</x:f>
        <x:v>1953988768</x:v>
      </x:c>
      <x:c r="AM329" s="17" t="n">
        <x:f>IF('Control Room'!$B$5="Normal",'Control Room'!$B$7+'Control Room'!$D$7*SQRT(-2*LN(MAX(0.000000000001,AK329/2147483647)))*COS(2*PI()*AL329/2147483647),'Control Room'!$B$8+('Control Room'!$D$8-'Control Room'!$B$8)*AK329/2147483647)</x:f>
        <x:v>1100.215534182941</x:v>
      </x:c>
      <x:c r="AN329" s="17" t="n">
        <x:f>IF('Control Room'!$B$5="Normal",'Control Room'!$B$7,('Control Room'!$B$8+'Control Room'!$D$8)/2)+'Control Room'!$B$9*(AN328-IF('Control Room'!$B$5="Normal",'Control Room'!$B$7,('Control Room'!$B$8+'Control Room'!$D$8)/2))+SQRT(1-'Control Room'!$B$9^2)*(AM329-IF('Control Room'!$B$5="Normal",'Control Room'!$B$7,('Control Room'!$B$8+'Control Room'!$D$8)/2))</x:f>
        <x:v>1006.6796981769506</x:v>
      </x:c>
      <x:c r="AO329" s="17" t="n">
        <x:f>IF(AND($A329&gt;='Control Room'!$A$13,$A329&lt;'Control Room'!$A$13+'Control Room'!$B$13,'Process'!BR2=1),1+('Control Room'!$C$13-1)*EXP(-0.5*(($A329-'Control Room'!$A$13-('Control Room'!$B$13-1)/2)/MAX(0.5,'Control Room'!$B$13/4))^2),1)*IF(AND($A329&gt;='Control Room'!$A$14,$A329&lt;'Control Room'!$A$14+'Control Room'!$B$14,'Process'!BR3=1),1+('Control Room'!$C$14-1)*EXP(-0.5*(($A329-'Control Room'!$A$14-('Control Room'!$B$14-1)/2)/MAX(0.5,'Control Room'!$B$14/4))^2),1)*IF(AND($A329&gt;='Control Room'!$A$15,$A329&lt;'Control Room'!$A$15+'Control Room'!$B$15,'Process'!BR4=1),1+('Control Room'!$C$15-1)*EXP(-0.5*(($A329-'Control Room'!$A$15-('Control Room'!$B$15-1)/2)/MAX(0.5,'Control Room'!$B$15/4))^2),1)*IF(AND($A329&gt;='Control Room'!$A$16,$A329&lt;'Control Room'!$A$16+'Control Room'!$B$16,'Process'!BR5=1),1+('Control Room'!$C$16-1)*EXP(-0.5*(($A329-'Control Room'!$A$16-('Control Room'!$B$16-1)/2)/MAX(0.5,'Control Room'!$B$16/4))^2),1)</x:f>
        <x:v>1</x:v>
      </x:c>
      <x:c r="AP329" s="9" t="n">
        <x:f>MOD(AQ328*16807,2147483647)</x:f>
        <x:v>1382028684</x:v>
      </x:c>
      <x:c r="AQ329" s="9" t="n">
        <x:f>MOD(AP329*16807,2147483647)</x:f>
        <x:v>572966036</x:v>
      </x:c>
      <x:c r="AR329" s="17" t="n">
        <x:f>IF('Control Room'!$B$5="Normal",'Control Room'!$B$7+'Control Room'!$D$7*SQRT(-2*LN(MAX(0.000000000001,AP329/2147483647)))*COS(2*PI()*AQ329/2147483647),'Control Room'!$B$8+('Control Room'!$D$8-'Control Room'!$B$8)*AP329/2147483647)</x:f>
        <x:v>991.0927877342199</x:v>
      </x:c>
      <x:c r="AS329" s="17" t="n">
        <x:f>IF('Control Room'!$B$5="Normal",'Control Room'!$B$7,('Control Room'!$B$8+'Control Room'!$D$8)/2)+'Control Room'!$B$9*(AS328-IF('Control Room'!$B$5="Normal",'Control Room'!$B$7,('Control Room'!$B$8+'Control Room'!$D$8)/2))+SQRT(1-'Control Room'!$B$9^2)*(AR329-IF('Control Room'!$B$5="Normal",'Control Room'!$B$7,('Control Room'!$B$8+'Control Room'!$D$8)/2))</x:f>
        <x:v>1066.7284551255852</x:v>
      </x:c>
      <x:c r="AT329" s="17" t="n">
        <x:f>IF(AND($A329&gt;='Control Room'!$A$13,$A329&lt;'Control Room'!$A$13+'Control Room'!$B$13,'Process'!BS2=1),1+('Control Room'!$C$13-1)*EXP(-0.5*(($A329-'Control Room'!$A$13-('Control Room'!$B$13-1)/2)/MAX(0.5,'Control Room'!$B$13/4))^2),1)*IF(AND($A329&gt;='Control Room'!$A$14,$A329&lt;'Control Room'!$A$14+'Control Room'!$B$14,'Process'!BS3=1),1+('Control Room'!$C$14-1)*EXP(-0.5*(($A329-'Control Room'!$A$14-('Control Room'!$B$14-1)/2)/MAX(0.5,'Control Room'!$B$14/4))^2),1)*IF(AND($A329&gt;='Control Room'!$A$15,$A329&lt;'Control Room'!$A$15+'Control Room'!$B$15,'Process'!BS4=1),1+('Control Room'!$C$15-1)*EXP(-0.5*(($A329-'Control Room'!$A$15-('Control Room'!$B$15-1)/2)/MAX(0.5,'Control Room'!$B$15/4))^2),1)*IF(AND($A329&gt;='Control Room'!$A$16,$A329&lt;'Control Room'!$A$16+'Control Room'!$B$16,'Process'!BS5=1),1+('Control Room'!$C$16-1)*EXP(-0.5*(($A329-'Control Room'!$A$16-('Control Room'!$B$16-1)/2)/MAX(0.5,'Control Room'!$B$16/4))^2),1)</x:f>
        <x:v>1</x:v>
      </x:c>
      <x:c r="AU329" s="9" t="n">
        <x:f>MOD(AV328*16807,2147483647)</x:f>
        <x:v>1864673546</x:v>
      </x:c>
      <x:c r="AV329" s="9" t="n">
        <x:f>MOD(AU329*16807,2147483647)</x:f>
        <x:v>1339426951</x:v>
      </x:c>
      <x:c r="AW329" s="17" t="n">
        <x:f>IF('Control Room'!$B$5="Normal",'Control Room'!$B$7+'Control Room'!$D$7*SQRT(-2*LN(MAX(0.000000000001,AU329/2147483647)))*COS(2*PI()*AV329/2147483647),'Control Room'!$B$8+('Control Room'!$D$8-'Control Room'!$B$8)*AU329/2147483647)</x:f>
        <x:v>965.9087275927124</x:v>
      </x:c>
      <x:c r="AX329" s="17" t="n">
        <x:f>IF('Control Room'!$B$5="Normal",'Control Room'!$B$7,('Control Room'!$B$8+'Control Room'!$D$8)/2)+'Control Room'!$B$9*(AX328-IF('Control Room'!$B$5="Normal",'Control Room'!$B$7,('Control Room'!$B$8+'Control Room'!$D$8)/2))+SQRT(1-'Control Room'!$B$9^2)*(AW329-IF('Control Room'!$B$5="Normal",'Control Room'!$B$7,('Control Room'!$B$8+'Control Room'!$D$8)/2))</x:f>
        <x:v>1059.8913080917844</x:v>
      </x:c>
      <x:c r="AY329" s="17" t="n">
        <x:f>IF(AND($A329&gt;='Control Room'!$A$13,$A329&lt;'Control Room'!$A$13+'Control Room'!$B$13,'Process'!BT2=1),1+('Control Room'!$C$13-1)*EXP(-0.5*(($A329-'Control Room'!$A$13-('Control Room'!$B$13-1)/2)/MAX(0.5,'Control Room'!$B$13/4))^2),1)*IF(AND($A329&gt;='Control Room'!$A$14,$A329&lt;'Control Room'!$A$14+'Control Room'!$B$14,'Process'!BT3=1),1+('Control Room'!$C$14-1)*EXP(-0.5*(($A329-'Control Room'!$A$14-('Control Room'!$B$14-1)/2)/MAX(0.5,'Control Room'!$B$14/4))^2),1)*IF(AND($A329&gt;='Control Room'!$A$15,$A329&lt;'Control Room'!$A$15+'Control Room'!$B$15,'Process'!BT4=1),1+('Control Room'!$C$15-1)*EXP(-0.5*(($A329-'Control Room'!$A$15-('Control Room'!$B$15-1)/2)/MAX(0.5,'Control Room'!$B$15/4))^2),1)*IF(AND($A329&gt;='Control Room'!$A$16,$A329&lt;'Control Room'!$A$16+'Control Room'!$B$16,'Process'!BT5=1),1+('Control Room'!$C$16-1)*EXP(-0.5*(($A329-'Control Room'!$A$16-('Control Room'!$B$16-1)/2)/MAX(0.5,'Control Room'!$B$16/4))^2),1)</x:f>
        <x:v>1</x:v>
      </x:c>
      <x:c r="AZ329" s="9" t="n">
        <x:f>MOD(BA328*16807,2147483647)</x:f>
        <x:v>199834761</x:v>
      </x:c>
      <x:c r="BA329" s="9" t="n">
        <x:f>MOD(AZ329*16807,2147483647)</x:f>
        <x:v>2105887866</x:v>
      </x:c>
      <x:c r="BB329" s="17" t="n">
        <x:f>IF('Control Room'!$B$5="Normal",'Control Room'!$B$7+'Control Room'!$D$7*SQRT(-2*LN(MAX(0.000000000001,AZ329/2147483647)))*COS(2*PI()*BA329/2147483647),'Control Room'!$B$8+('Control Room'!$D$8-'Control Room'!$B$8)*AZ329/2147483647)</x:f>
        <x:v>1194.6816183034662</x:v>
      </x:c>
      <x:c r="BC329" s="17" t="n">
        <x:f>IF('Control Room'!$B$5="Normal",'Control Room'!$B$7,('Control Room'!$B$8+'Control Room'!$D$8)/2)+'Control Room'!$B$9*(BC328-IF('Control Room'!$B$5="Normal",'Control Room'!$B$7,('Control Room'!$B$8+'Control Room'!$D$8)/2))+SQRT(1-'Control Room'!$B$9^2)*(BB329-IF('Control Room'!$B$5="Normal",'Control Room'!$B$7,('Control Room'!$B$8+'Control Room'!$D$8)/2))</x:f>
        <x:v>1103.5388924828978</x:v>
      </x:c>
      <x:c r="BD329" s="17" t="n">
        <x:f>IF(AND($A329&gt;='Control Room'!$A$13,$A329&lt;'Control Room'!$A$13+'Control Room'!$B$13,'Process'!BU2=1),1+('Control Room'!$C$13-1)*EXP(-0.5*(($A329-'Control Room'!$A$13-('Control Room'!$B$13-1)/2)/MAX(0.5,'Control Room'!$B$13/4))^2),1)*IF(AND($A329&gt;='Control Room'!$A$14,$A329&lt;'Control Room'!$A$14+'Control Room'!$B$14,'Process'!BU3=1),1+('Control Room'!$C$14-1)*EXP(-0.5*(($A329-'Control Room'!$A$14-('Control Room'!$B$14-1)/2)/MAX(0.5,'Control Room'!$B$14/4))^2),1)*IF(AND($A329&gt;='Control Room'!$A$15,$A329&lt;'Control Room'!$A$15+'Control Room'!$B$15,'Process'!BU4=1),1+('Control Room'!$C$15-1)*EXP(-0.5*(($A329-'Control Room'!$A$15-('Control Room'!$B$15-1)/2)/MAX(0.5,'Control Room'!$B$15/4))^2),1)*IF(AND($A329&gt;='Control Room'!$A$16,$A329&lt;'Control Room'!$A$16+'Control Room'!$B$16,'Process'!BU5=1),1+('Control Room'!$C$16-1)*EXP(-0.5*(($A329-'Control Room'!$A$16-('Control Room'!$B$16-1)/2)/MAX(0.5,'Control Room'!$B$16/4))^2),1)</x:f>
        <x:v>1</x:v>
      </x:c>
      <x:c r="BE329" s="9" t="n">
        <x:f>MOD(BF328*16807,2147483647)</x:f>
        <x:v>682479623</x:v>
      </x:c>
      <x:c r="BF329" s="9" t="n">
        <x:f>MOD(BE329*16807,2147483647)</x:f>
        <x:v>724865134</x:v>
      </x:c>
      <x:c r="BG329" s="17" t="n">
        <x:f>IF('Control Room'!$B$5="Normal",'Control Room'!$B$7+'Control Room'!$D$7*SQRT(-2*LN(MAX(0.000000000001,BE329/2147483647)))*COS(2*PI()*BF329/2147483647),'Control Room'!$B$8+('Control Room'!$D$8-'Control Room'!$B$8)*BE329/2147483647)</x:f>
        <x:v>928.7670792519217</x:v>
      </x:c>
      <x:c r="BH329" s="17" t="n">
        <x:f>IF('Control Room'!$B$5="Normal",'Control Room'!$B$7,('Control Room'!$B$8+'Control Room'!$D$8)/2)+'Control Room'!$B$9*(BH328-IF('Control Room'!$B$5="Normal",'Control Room'!$B$7,('Control Room'!$B$8+'Control Room'!$D$8)/2))+SQRT(1-'Control Room'!$B$9^2)*(BG329-IF('Control Room'!$B$5="Normal",'Control Room'!$B$7,('Control Room'!$B$8+'Control Room'!$D$8)/2))</x:f>
        <x:v>1016.5059699300065</x:v>
      </x:c>
      <x:c r="BI329" s="17" t="n">
        <x:f>IF(AND($A329&gt;='Control Room'!$A$13,$A329&lt;'Control Room'!$A$13+'Control Room'!$B$13,'Process'!BV2=1),1+('Control Room'!$C$13-1)*EXP(-0.5*(($A329-'Control Room'!$A$13-('Control Room'!$B$13-1)/2)/MAX(0.5,'Control Room'!$B$13/4))^2),1)*IF(AND($A329&gt;='Control Room'!$A$14,$A329&lt;'Control Room'!$A$14+'Control Room'!$B$14,'Process'!BV3=1),1+('Control Room'!$C$14-1)*EXP(-0.5*(($A329-'Control Room'!$A$14-('Control Room'!$B$14-1)/2)/MAX(0.5,'Control Room'!$B$14/4))^2),1)*IF(AND($A329&gt;='Control Room'!$A$15,$A329&lt;'Control Room'!$A$15+'Control Room'!$B$15,'Process'!BV4=1),1+('Control Room'!$C$15-1)*EXP(-0.5*(($A329-'Control Room'!$A$15-('Control Room'!$B$15-1)/2)/MAX(0.5,'Control Room'!$B$15/4))^2),1)*IF(AND($A329&gt;='Control Room'!$A$16,$A329&lt;'Control Room'!$A$16+'Control Room'!$B$16,'Process'!BV5=1),1+('Control Room'!$C$16-1)*EXP(-0.5*(($A329-'Control Room'!$A$16-('Control Room'!$B$16-1)/2)/MAX(0.5,'Control Room'!$B$16/4))^2),1)</x:f>
        <x:v>1</x:v>
      </x:c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Z329" t="str">
        <x:f>IF('Data'!A329="","",TEXT('Data'!A329,"mm-dd"))</x:f>
      </x:c>
    </x:row>
    <x:row r="330" ht="21" customHeight="1">
      <x:c r="A330" s="15" t="n">
        <x:f>'Control Room'!$B$1+328</x:f>
        <x:v>73319</x:v>
      </x:c>
      <x:c r="B330" s="9" t="n">
        <x:f>MOD(C329*16807,2147483647)</x:f>
        <x:v>847442547</x:v>
      </x:c>
      <x:c r="C330" s="9" t="n">
        <x:f>MOD(B330*16807,2147483647)</x:f>
        <x:v>855340525</x:v>
      </x:c>
      <x:c r="D330" s="17" t="n">
        <x:f>IF('Control Room'!$B$5="Normal",'Control Room'!$B$7+'Control Room'!$D$7*SQRT(-2*LN(MAX(0.000000000001,B330/2147483647)))*COS(2*PI()*C330/2147483647),'Control Room'!$B$8+('Control Room'!$D$8-'Control Room'!$B$8)*B330/2147483647)</x:f>
        <x:v>901.4841265706688</x:v>
      </x:c>
      <x:c r="E330" s="17" t="n">
        <x:f>IF('Control Room'!$B$5="Normal",'Control Room'!$B$7,('Control Room'!$B$8+'Control Room'!$D$8)/2)+'Control Room'!$B$9*(E329-IF('Control Room'!$B$5="Normal",'Control Room'!$B$7,('Control Room'!$B$8+'Control Room'!$D$8)/2))+SQRT(1-'Control Room'!$B$9^2)*(D330-IF('Control Room'!$B$5="Normal",'Control Room'!$B$7,('Control Room'!$B$8+'Control Room'!$D$8)/2))</x:f>
        <x:v>897.2584705817274</x:v>
      </x:c>
      <x:c r="F330" s="17" t="n">
        <x:f>IF(AND($A330&gt;='Control Room'!$A$13,$A330&lt;'Control Room'!$A$13+'Control Room'!$B$13,'Process'!BK2=1),1+('Control Room'!$C$13-1)*EXP(-0.5*(($A330-'Control Room'!$A$13-('Control Room'!$B$13-1)/2)/MAX(0.5,'Control Room'!$B$13/4))^2),1)*IF(AND($A330&gt;='Control Room'!$A$14,$A330&lt;'Control Room'!$A$14+'Control Room'!$B$14,'Process'!BK3=1),1+('Control Room'!$C$14-1)*EXP(-0.5*(($A330-'Control Room'!$A$14-('Control Room'!$B$14-1)/2)/MAX(0.5,'Control Room'!$B$14/4))^2),1)*IF(AND($A330&gt;='Control Room'!$A$15,$A330&lt;'Control Room'!$A$15+'Control Room'!$B$15,'Process'!BK4=1),1+('Control Room'!$C$15-1)*EXP(-0.5*(($A330-'Control Room'!$A$15-('Control Room'!$B$15-1)/2)/MAX(0.5,'Control Room'!$B$15/4))^2),1)*IF(AND($A330&gt;='Control Room'!$A$16,$A330&lt;'Control Room'!$A$16+'Control Room'!$B$16,'Process'!BK5=1),1+('Control Room'!$C$16-1)*EXP(-0.5*(($A330-'Control Room'!$A$16-('Control Room'!$B$16-1)/2)/MAX(0.5,'Control Room'!$B$16/4))^2),1)</x:f>
        <x:v>1</x:v>
      </x:c>
      <x:c r="G330" s="9" t="n">
        <x:f>MOD(H329*16807,2147483647)</x:f>
        <x:v>1642599</x:v>
      </x:c>
      <x:c r="H330" s="9" t="n">
        <x:f>MOD(G330*16807,2147483647)</x:f>
        <x:v>1837357629</x:v>
      </x:c>
      <x:c r="I330" s="17" t="n">
        <x:f>IF('Control Room'!$B$5="Normal",'Control Room'!$B$7+'Control Room'!$D$7*SQRT(-2*LN(MAX(0.000000000001,G330/2147483647)))*COS(2*PI()*H330/2147483647),'Control Room'!$B$8+('Control Room'!$D$8-'Control Room'!$B$8)*G330/2147483647)</x:f>
        <x:v>1209.96225837337</x:v>
      </x:c>
      <x:c r="J330" s="17" t="n">
        <x:f>IF('Control Room'!$B$5="Normal",'Control Room'!$B$7,('Control Room'!$B$8+'Control Room'!$D$8)/2)+'Control Room'!$B$9*(J329-IF('Control Room'!$B$5="Normal",'Control Room'!$B$7,('Control Room'!$B$8+'Control Room'!$D$8)/2))+SQRT(1-'Control Room'!$B$9^2)*(I330-IF('Control Room'!$B$5="Normal",'Control Room'!$B$7,('Control Room'!$B$8+'Control Room'!$D$8)/2))</x:f>
        <x:v>1254.5807813011206</x:v>
      </x:c>
      <x:c r="K330" s="17" t="n">
        <x:f>IF(AND($A330&gt;='Control Room'!$A$13,$A330&lt;'Control Room'!$A$13+'Control Room'!$B$13,'Process'!BL2=1),1+('Control Room'!$C$13-1)*EXP(-0.5*(($A330-'Control Room'!$A$13-('Control Room'!$B$13-1)/2)/MAX(0.5,'Control Room'!$B$13/4))^2),1)*IF(AND($A330&gt;='Control Room'!$A$14,$A330&lt;'Control Room'!$A$14+'Control Room'!$B$14,'Process'!BL3=1),1+('Control Room'!$C$14-1)*EXP(-0.5*(($A330-'Control Room'!$A$14-('Control Room'!$B$14-1)/2)/MAX(0.5,'Control Room'!$B$14/4))^2),1)*IF(AND($A330&gt;='Control Room'!$A$15,$A330&lt;'Control Room'!$A$15+'Control Room'!$B$15,'Process'!BL4=1),1+('Control Room'!$C$15-1)*EXP(-0.5*(($A330-'Control Room'!$A$15-('Control Room'!$B$15-1)/2)/MAX(0.5,'Control Room'!$B$15/4))^2),1)*IF(AND($A330&gt;='Control Room'!$A$16,$A330&lt;'Control Room'!$A$16+'Control Room'!$B$16,'Process'!BL5=1),1+('Control Room'!$C$16-1)*EXP(-0.5*(($A330-'Control Room'!$A$16-('Control Room'!$B$16-1)/2)/MAX(0.5,'Control Room'!$B$16/4))^2),1)</x:f>
        <x:v>1</x:v>
      </x:c>
      <x:c r="L330" s="9" t="n">
        <x:f>MOD(M329*16807,2147483647)</x:f>
        <x:v>1303326298</x:v>
      </x:c>
      <x:c r="M330" s="9" t="n">
        <x:f>MOD(L330*16807,2147483647)</x:f>
        <x:v>671891086</x:v>
      </x:c>
      <x:c r="N330" s="17" t="n">
        <x:f>IF('Control Room'!$B$5="Normal",'Control Room'!$B$7+'Control Room'!$D$7*SQRT(-2*LN(MAX(0.000000000001,L330/2147483647)))*COS(2*PI()*M330/2147483647),'Control Room'!$B$8+('Control Room'!$D$8-'Control Room'!$B$8)*L330/2147483647)</x:f>
        <x:v>965.3849492339666</x:v>
      </x:c>
      <x:c r="O330" s="17" t="n">
        <x:f>IF('Control Room'!$B$5="Normal",'Control Room'!$B$7,('Control Room'!$B$8+'Control Room'!$D$8)/2)+'Control Room'!$B$9*(O329-IF('Control Room'!$B$5="Normal",'Control Room'!$B$7,('Control Room'!$B$8+'Control Room'!$D$8)/2))+SQRT(1-'Control Room'!$B$9^2)*(N330-IF('Control Room'!$B$5="Normal",'Control Room'!$B$7,('Control Room'!$B$8+'Control Room'!$D$8)/2))</x:f>
        <x:v>1027.953340166285</x:v>
      </x:c>
      <x:c r="P330" s="17" t="n">
        <x:f>IF(AND($A330&gt;='Control Room'!$A$13,$A330&lt;'Control Room'!$A$13+'Control Room'!$B$13,'Process'!BM2=1),1+('Control Room'!$C$13-1)*EXP(-0.5*(($A330-'Control Room'!$A$13-('Control Room'!$B$13-1)/2)/MAX(0.5,'Control Room'!$B$13/4))^2),1)*IF(AND($A330&gt;='Control Room'!$A$14,$A330&lt;'Control Room'!$A$14+'Control Room'!$B$14,'Process'!BM3=1),1+('Control Room'!$C$14-1)*EXP(-0.5*(($A330-'Control Room'!$A$14-('Control Room'!$B$14-1)/2)/MAX(0.5,'Control Room'!$B$14/4))^2),1)*IF(AND($A330&gt;='Control Room'!$A$15,$A330&lt;'Control Room'!$A$15+'Control Room'!$B$15,'Process'!BM4=1),1+('Control Room'!$C$15-1)*EXP(-0.5*(($A330-'Control Room'!$A$15-('Control Room'!$B$15-1)/2)/MAX(0.5,'Control Room'!$B$15/4))^2),1)*IF(AND($A330&gt;='Control Room'!$A$16,$A330&lt;'Control Room'!$A$16+'Control Room'!$B$16,'Process'!BM5=1),1+('Control Room'!$C$16-1)*EXP(-0.5*(($A330-'Control Room'!$A$16-('Control Room'!$B$16-1)/2)/MAX(0.5,'Control Room'!$B$16/4))^2),1)</x:f>
        <x:v>1</x:v>
      </x:c>
      <x:c r="Q330" s="9" t="n">
        <x:f>MOD(R329*16807,2147483647)</x:f>
        <x:v>457526350</x:v>
      </x:c>
      <x:c r="R330" s="9" t="n">
        <x:f>MOD(Q330*16807,2147483647)</x:f>
        <x:v>1653908190</x:v>
      </x:c>
      <x:c r="S330" s="17" t="n">
        <x:f>IF('Control Room'!$B$5="Normal",'Control Room'!$B$7+'Control Room'!$D$7*SQRT(-2*LN(MAX(0.000000000001,Q330/2147483647)))*COS(2*PI()*R330/2147483647),'Control Room'!$B$8+('Control Room'!$D$8-'Control Room'!$B$8)*Q330/2147483647)</x:f>
        <x:v>1019.995073211445</x:v>
      </x:c>
      <x:c r="T330" s="17" t="n">
        <x:f>IF('Control Room'!$B$5="Normal",'Control Room'!$B$7,('Control Room'!$B$8+'Control Room'!$D$8)/2)+'Control Room'!$B$9*(T329-IF('Control Room'!$B$5="Normal",'Control Room'!$B$7,('Control Room'!$B$8+'Control Room'!$D$8)/2))+SQRT(1-'Control Room'!$B$9^2)*(S330-IF('Control Room'!$B$5="Normal",'Control Room'!$B$7,('Control Room'!$B$8+'Control Room'!$D$8)/2))</x:f>
        <x:v>981.317948915591</x:v>
      </x:c>
      <x:c r="U330" s="17" t="n">
        <x:f>IF(AND($A330&gt;='Control Room'!$A$13,$A330&lt;'Control Room'!$A$13+'Control Room'!$B$13,'Process'!BN2=1),1+('Control Room'!$C$13-1)*EXP(-0.5*(($A330-'Control Room'!$A$13-('Control Room'!$B$13-1)/2)/MAX(0.5,'Control Room'!$B$13/4))^2),1)*IF(AND($A330&gt;='Control Room'!$A$14,$A330&lt;'Control Room'!$A$14+'Control Room'!$B$14,'Process'!BN3=1),1+('Control Room'!$C$14-1)*EXP(-0.5*(($A330-'Control Room'!$A$14-('Control Room'!$B$14-1)/2)/MAX(0.5,'Control Room'!$B$14/4))^2),1)*IF(AND($A330&gt;='Control Room'!$A$15,$A330&lt;'Control Room'!$A$15+'Control Room'!$B$15,'Process'!BN4=1),1+('Control Room'!$C$15-1)*EXP(-0.5*(($A330-'Control Room'!$A$15-('Control Room'!$B$15-1)/2)/MAX(0.5,'Control Room'!$B$15/4))^2),1)*IF(AND($A330&gt;='Control Room'!$A$16,$A330&lt;'Control Room'!$A$16+'Control Room'!$B$16,'Process'!BN5=1),1+('Control Room'!$C$16-1)*EXP(-0.5*(($A330-'Control Room'!$A$16-('Control Room'!$B$16-1)/2)/MAX(0.5,'Control Room'!$B$16/4))^2),1)</x:f>
        <x:v>1</x:v>
      </x:c>
      <x:c r="V330" s="9" t="n">
        <x:f>MOD(W329*16807,2147483647)</x:f>
        <x:v>1759210049</x:v>
      </x:c>
      <x:c r="W330" s="9" t="n">
        <x:f>MOD(V330*16807,2147483647)</x:f>
        <x:v>488441647</x:v>
      </x:c>
      <x:c r="X330" s="17" t="n">
        <x:f>IF('Control Room'!$B$5="Normal",'Control Room'!$B$7+'Control Room'!$D$7*SQRT(-2*LN(MAX(0.000000000001,V330/2147483647)))*COS(2*PI()*W330/2147483647),'Control Room'!$B$8+('Control Room'!$D$8-'Control Room'!$B$8)*V330/2147483647)</x:f>
        <x:v>1008.027095564709</x:v>
      </x:c>
      <x:c r="Y330" s="17" t="n">
        <x:f>IF('Control Room'!$B$5="Normal",'Control Room'!$B$7,('Control Room'!$B$8+'Control Room'!$D$8)/2)+'Control Room'!$B$9*(Y329-IF('Control Room'!$B$5="Normal",'Control Room'!$B$7,('Control Room'!$B$8+'Control Room'!$D$8)/2))+SQRT(1-'Control Room'!$B$9^2)*(X330-IF('Control Room'!$B$5="Normal",'Control Room'!$B$7,('Control Room'!$B$8+'Control Room'!$D$8)/2))</x:f>
        <x:v>1082.825300179558</x:v>
      </x:c>
      <x:c r="Z330" s="17" t="n">
        <x:f>IF(AND($A330&gt;='Control Room'!$A$13,$A330&lt;'Control Room'!$A$13+'Control Room'!$B$13,'Process'!BO2=1),1+('Control Room'!$C$13-1)*EXP(-0.5*(($A330-'Control Room'!$A$13-('Control Room'!$B$13-1)/2)/MAX(0.5,'Control Room'!$B$13/4))^2),1)*IF(AND($A330&gt;='Control Room'!$A$14,$A330&lt;'Control Room'!$A$14+'Control Room'!$B$14,'Process'!BO3=1),1+('Control Room'!$C$14-1)*EXP(-0.5*(($A330-'Control Room'!$A$14-('Control Room'!$B$14-1)/2)/MAX(0.5,'Control Room'!$B$14/4))^2),1)*IF(AND($A330&gt;='Control Room'!$A$15,$A330&lt;'Control Room'!$A$15+'Control Room'!$B$15,'Process'!BO4=1),1+('Control Room'!$C$15-1)*EXP(-0.5*(($A330-'Control Room'!$A$15-('Control Room'!$B$15-1)/2)/MAX(0.5,'Control Room'!$B$15/4))^2),1)*IF(AND($A330&gt;='Control Room'!$A$16,$A330&lt;'Control Room'!$A$16+'Control Room'!$B$16,'Process'!BO5=1),1+('Control Room'!$C$16-1)*EXP(-0.5*(($A330-'Control Room'!$A$16-('Control Room'!$B$16-1)/2)/MAX(0.5,'Control Room'!$B$16/4))^2),1)</x:f>
        <x:v>1</x:v>
      </x:c>
      <x:c r="AA330" s="9" t="n">
        <x:f>MOD(AB329*16807,2147483647)</x:f>
        <x:v>913410101</x:v>
      </x:c>
      <x:c r="AB330" s="9" t="n">
        <x:f>MOD(AA330*16807,2147483647)</x:f>
        <x:v>1470458751</x:v>
      </x:c>
      <x:c r="AC330" s="17" t="n">
        <x:f>IF('Control Room'!$B$5="Normal",'Control Room'!$B$7+'Control Room'!$D$7*SQRT(-2*LN(MAX(0.000000000001,AA330/2147483647)))*COS(2*PI()*AB330/2147483647),'Control Room'!$B$8+('Control Room'!$D$8-'Control Room'!$B$8)*AA330/2147483647)</x:f>
        <x:v>953.083911400478</x:v>
      </x:c>
      <x:c r="AD330" s="17" t="n">
        <x:f>IF('Control Room'!$B$5="Normal",'Control Room'!$B$7,('Control Room'!$B$8+'Control Room'!$D$8)/2)+'Control Room'!$B$9*(AD329-IF('Control Room'!$B$5="Normal",'Control Room'!$B$7,('Control Room'!$B$8+'Control Room'!$D$8)/2))+SQRT(1-'Control Room'!$B$9^2)*(AC330-IF('Control Room'!$B$5="Normal",'Control Room'!$B$7,('Control Room'!$B$8+'Control Room'!$D$8)/2))</x:f>
        <x:v>994.0074517924564</x:v>
      </x:c>
      <x:c r="AE330" s="17" t="n">
        <x:f>IF(AND($A330&gt;='Control Room'!$A$13,$A330&lt;'Control Room'!$A$13+'Control Room'!$B$13,'Process'!BP2=1),1+('Control Room'!$C$13-1)*EXP(-0.5*(($A330-'Control Room'!$A$13-('Control Room'!$B$13-1)/2)/MAX(0.5,'Control Room'!$B$13/4))^2),1)*IF(AND($A330&gt;='Control Room'!$A$14,$A330&lt;'Control Room'!$A$14+'Control Room'!$B$14,'Process'!BP3=1),1+('Control Room'!$C$14-1)*EXP(-0.5*(($A330-'Control Room'!$A$14-('Control Room'!$B$14-1)/2)/MAX(0.5,'Control Room'!$B$14/4))^2),1)*IF(AND($A330&gt;='Control Room'!$A$15,$A330&lt;'Control Room'!$A$15+'Control Room'!$B$15,'Process'!BP4=1),1+('Control Room'!$C$15-1)*EXP(-0.5*(($A330-'Control Room'!$A$15-('Control Room'!$B$15-1)/2)/MAX(0.5,'Control Room'!$B$15/4))^2),1)*IF(AND($A330&gt;='Control Room'!$A$16,$A330&lt;'Control Room'!$A$16+'Control Room'!$B$16,'Process'!BP5=1),1+('Control Room'!$C$16-1)*EXP(-0.5*(($A330-'Control Room'!$A$16-('Control Room'!$B$16-1)/2)/MAX(0.5,'Control Room'!$B$16/4))^2),1)</x:f>
        <x:v>1</x:v>
      </x:c>
      <x:c r="AF330" s="9" t="n">
        <x:f>MOD(AG329*16807,2147483647)</x:f>
        <x:v>67610153</x:v>
      </x:c>
      <x:c r="AG330" s="9" t="n">
        <x:f>MOD(AF330*16807,2147483647)</x:f>
        <x:v>304992208</x:v>
      </x:c>
      <x:c r="AH330" s="17" t="n">
        <x:f>IF('Control Room'!$B$5="Normal",'Control Room'!$B$7+'Control Room'!$D$7*SQRT(-2*LN(MAX(0.000000000001,AF330/2147483647)))*COS(2*PI()*AG330/2147483647),'Control Room'!$B$8+('Control Room'!$D$8-'Control Room'!$B$8)*AF330/2147483647)</x:f>
        <x:v>1148.544487958381</x:v>
      </x:c>
      <x:c r="AI330" s="17" t="n">
        <x:f>IF('Control Room'!$B$5="Normal",'Control Room'!$B$7,('Control Room'!$B$8+'Control Room'!$D$8)/2)+'Control Room'!$B$9*(AI329-IF('Control Room'!$B$5="Normal",'Control Room'!$B$7,('Control Room'!$B$8+'Control Room'!$D$8)/2))+SQRT(1-'Control Room'!$B$9^2)*(AH330-IF('Control Room'!$B$5="Normal",'Control Room'!$B$7,('Control Room'!$B$8+'Control Room'!$D$8)/2))</x:f>
        <x:v>974.5727887062468</x:v>
      </x:c>
      <x:c r="AJ330" s="17" t="n">
        <x:f>IF(AND($A330&gt;='Control Room'!$A$13,$A330&lt;'Control Room'!$A$13+'Control Room'!$B$13,'Process'!BQ2=1),1+('Control Room'!$C$13-1)*EXP(-0.5*(($A330-'Control Room'!$A$13-('Control Room'!$B$13-1)/2)/MAX(0.5,'Control Room'!$B$13/4))^2),1)*IF(AND($A330&gt;='Control Room'!$A$14,$A330&lt;'Control Room'!$A$14+'Control Room'!$B$14,'Process'!BQ3=1),1+('Control Room'!$C$14-1)*EXP(-0.5*(($A330-'Control Room'!$A$14-('Control Room'!$B$14-1)/2)/MAX(0.5,'Control Room'!$B$14/4))^2),1)*IF(AND($A330&gt;='Control Room'!$A$15,$A330&lt;'Control Room'!$A$15+'Control Room'!$B$15,'Process'!BQ4=1),1+('Control Room'!$C$15-1)*EXP(-0.5*(($A330-'Control Room'!$A$15-('Control Room'!$B$15-1)/2)/MAX(0.5,'Control Room'!$B$15/4))^2),1)*IF(AND($A330&gt;='Control Room'!$A$16,$A330&lt;'Control Room'!$A$16+'Control Room'!$B$16,'Process'!BQ5=1),1+('Control Room'!$C$16-1)*EXP(-0.5*(($A330-'Control Room'!$A$16-('Control Room'!$B$16-1)/2)/MAX(0.5,'Control Room'!$B$16/4))^2),1)</x:f>
        <x:v>1</x:v>
      </x:c>
      <x:c r="AK330" s="9" t="n">
        <x:f>MOD(AL329*16807,2147483647)</x:f>
        <x:v>1369293852</x:v>
      </x:c>
      <x:c r="AL330" s="9" t="n">
        <x:f>MOD(AK330*16807,2147483647)</x:f>
        <x:v>1287009312</x:v>
      </x:c>
      <x:c r="AM330" s="17" t="n">
        <x:f>IF('Control Room'!$B$5="Normal",'Control Room'!$B$7+'Control Room'!$D$7*SQRT(-2*LN(MAX(0.000000000001,AK330/2147483647)))*COS(2*PI()*AL330/2147483647),'Control Room'!$B$8+('Control Room'!$D$8-'Control Room'!$B$8)*AK330/2147483647)</x:f>
        <x:v>930.707998854926</x:v>
      </x:c>
      <x:c r="AN330" s="17" t="n">
        <x:f>IF('Control Room'!$B$5="Normal",'Control Room'!$B$7,('Control Room'!$B$8+'Control Room'!$D$8)/2)+'Control Room'!$B$9*(AN329-IF('Control Room'!$B$5="Normal",'Control Room'!$B$7,('Control Room'!$B$8+'Control Room'!$D$8)/2))+SQRT(1-'Control Room'!$B$9^2)*(AM330-IF('Control Room'!$B$5="Normal",'Control Room'!$B$7,('Control Room'!$B$8+'Control Room'!$D$8)/2))</x:f>
        <x:v>961.8486497852356</x:v>
      </x:c>
      <x:c r="AO330" s="17" t="n">
        <x:f>IF(AND($A330&gt;='Control Room'!$A$13,$A330&lt;'Control Room'!$A$13+'Control Room'!$B$13,'Process'!BR2=1),1+('Control Room'!$C$13-1)*EXP(-0.5*(($A330-'Control Room'!$A$13-('Control Room'!$B$13-1)/2)/MAX(0.5,'Control Room'!$B$13/4))^2),1)*IF(AND($A330&gt;='Control Room'!$A$14,$A330&lt;'Control Room'!$A$14+'Control Room'!$B$14,'Process'!BR3=1),1+('Control Room'!$C$14-1)*EXP(-0.5*(($A330-'Control Room'!$A$14-('Control Room'!$B$14-1)/2)/MAX(0.5,'Control Room'!$B$14/4))^2),1)*IF(AND($A330&gt;='Control Room'!$A$15,$A330&lt;'Control Room'!$A$15+'Control Room'!$B$15,'Process'!BR4=1),1+('Control Room'!$C$15-1)*EXP(-0.5*(($A330-'Control Room'!$A$15-('Control Room'!$B$15-1)/2)/MAX(0.5,'Control Room'!$B$15/4))^2),1)*IF(AND($A330&gt;='Control Room'!$A$16,$A330&lt;'Control Room'!$A$16+'Control Room'!$B$16,'Process'!BR5=1),1+('Control Room'!$C$16-1)*EXP(-0.5*(($A330-'Control Room'!$A$16-('Control Room'!$B$16-1)/2)/MAX(0.5,'Control Room'!$B$16/4))^2),1)</x:f>
        <x:v>1</x:v>
      </x:c>
      <x:c r="AP330" s="9" t="n">
        <x:f>MOD(AQ329*16807,2147483647)</x:f>
        <x:v>523493904</x:v>
      </x:c>
      <x:c r="AQ330" s="9" t="n">
        <x:f>MOD(AP330*16807,2147483647)</x:f>
        <x:v>121542769</x:v>
      </x:c>
      <x:c r="AR330" s="17" t="n">
        <x:f>IF('Control Room'!$B$5="Normal",'Control Room'!$B$7+'Control Room'!$D$7*SQRT(-2*LN(MAX(0.000000000001,AP330/2147483647)))*COS(2*PI()*AQ330/2147483647),'Control Room'!$B$8+('Control Room'!$D$8-'Control Room'!$B$8)*AP330/2147483647)</x:f>
        <x:v>1141.7562446389366</x:v>
      </x:c>
      <x:c r="AS330" s="17" t="n">
        <x:f>IF('Control Room'!$B$5="Normal",'Control Room'!$B$7,('Control Room'!$B$8+'Control Room'!$D$8)/2)+'Control Room'!$B$9*(AS329-IF('Control Room'!$B$5="Normal",'Control Room'!$B$7,('Control Room'!$B$8+'Control Room'!$D$8)/2))+SQRT(1-'Control Room'!$B$9^2)*(AR330-IF('Control Room'!$B$5="Normal",'Control Room'!$B$7,('Control Room'!$B$8+'Control Room'!$D$8)/2))</x:f>
        <x:v>1140.756348858483</x:v>
      </x:c>
      <x:c r="AT330" s="17" t="n">
        <x:f>IF(AND($A330&gt;='Control Room'!$A$13,$A330&lt;'Control Room'!$A$13+'Control Room'!$B$13,'Process'!BS2=1),1+('Control Room'!$C$13-1)*EXP(-0.5*(($A330-'Control Room'!$A$13-('Control Room'!$B$13-1)/2)/MAX(0.5,'Control Room'!$B$13/4))^2),1)*IF(AND($A330&gt;='Control Room'!$A$14,$A330&lt;'Control Room'!$A$14+'Control Room'!$B$14,'Process'!BS3=1),1+('Control Room'!$C$14-1)*EXP(-0.5*(($A330-'Control Room'!$A$14-('Control Room'!$B$14-1)/2)/MAX(0.5,'Control Room'!$B$14/4))^2),1)*IF(AND($A330&gt;='Control Room'!$A$15,$A330&lt;'Control Room'!$A$15+'Control Room'!$B$15,'Process'!BS4=1),1+('Control Room'!$C$15-1)*EXP(-0.5*(($A330-'Control Room'!$A$15-('Control Room'!$B$15-1)/2)/MAX(0.5,'Control Room'!$B$15/4))^2),1)*IF(AND($A330&gt;='Control Room'!$A$16,$A330&lt;'Control Room'!$A$16+'Control Room'!$B$16,'Process'!BS5=1),1+('Control Room'!$C$16-1)*EXP(-0.5*(($A330-'Control Room'!$A$16-('Control Room'!$B$16-1)/2)/MAX(0.5,'Control Room'!$B$16/4))^2),1)</x:f>
        <x:v>1</x:v>
      </x:c>
      <x:c r="AU330" s="9" t="n">
        <x:f>MOD(AV329*16807,2147483647)</x:f>
        <x:v>1825177603</x:v>
      </x:c>
      <x:c r="AV330" s="9" t="n">
        <x:f>MOD(AU330*16807,2147483647)</x:f>
        <x:v>1103559873</x:v>
      </x:c>
      <x:c r="AW330" s="17" t="n">
        <x:f>IF('Control Room'!$B$5="Normal",'Control Room'!$B$7+'Control Room'!$D$7*SQRT(-2*LN(MAX(0.000000000001,AU330/2147483647)))*COS(2*PI()*AV330/2147483647),'Control Room'!$B$8+('Control Room'!$D$8-'Control Room'!$B$8)*AU330/2147483647)</x:f>
        <x:v>948.8684576014964</x:v>
      </x:c>
      <x:c r="AX330" s="17" t="n">
        <x:f>IF('Control Room'!$B$5="Normal",'Control Room'!$B$7,('Control Room'!$B$8+'Control Room'!$D$8)/2)+'Control Room'!$B$9*(AX329-IF('Control Room'!$B$5="Normal",'Control Room'!$B$7,('Control Room'!$B$8+'Control Room'!$D$8)/2))+SQRT(1-'Control Room'!$B$9^2)*(AW330-IF('Control Room'!$B$5="Normal",'Control Room'!$B$7,('Control Room'!$B$8+'Control Room'!$D$8)/2))</x:f>
        <x:v>1014.7181485651903</x:v>
      </x:c>
      <x:c r="AY330" s="17" t="n">
        <x:f>IF(AND($A330&gt;='Control Room'!$A$13,$A330&lt;'Control Room'!$A$13+'Control Room'!$B$13,'Process'!BT2=1),1+('Control Room'!$C$13-1)*EXP(-0.5*(($A330-'Control Room'!$A$13-('Control Room'!$B$13-1)/2)/MAX(0.5,'Control Room'!$B$13/4))^2),1)*IF(AND($A330&gt;='Control Room'!$A$14,$A330&lt;'Control Room'!$A$14+'Control Room'!$B$14,'Process'!BT3=1),1+('Control Room'!$C$14-1)*EXP(-0.5*(($A330-'Control Room'!$A$14-('Control Room'!$B$14-1)/2)/MAX(0.5,'Control Room'!$B$14/4))^2),1)*IF(AND($A330&gt;='Control Room'!$A$15,$A330&lt;'Control Room'!$A$15+'Control Room'!$B$15,'Process'!BT4=1),1+('Control Room'!$C$15-1)*EXP(-0.5*(($A330-'Control Room'!$A$15-('Control Room'!$B$15-1)/2)/MAX(0.5,'Control Room'!$B$15/4))^2),1)*IF(AND($A330&gt;='Control Room'!$A$16,$A330&lt;'Control Room'!$A$16+'Control Room'!$B$16,'Process'!BT5=1),1+('Control Room'!$C$16-1)*EXP(-0.5*(($A330-'Control Room'!$A$16-('Control Room'!$B$16-1)/2)/MAX(0.5,'Control Room'!$B$16/4))^2),1)</x:f>
        <x:v>1</x:v>
      </x:c>
      <x:c r="AZ330" s="9" t="n">
        <x:f>MOD(BA329*16807,2147483647)</x:f>
        <x:v>979377655</x:v>
      </x:c>
      <x:c r="BA330" s="9" t="n">
        <x:f>MOD(AZ330*16807,2147483647)</x:f>
        <x:v>2085576977</x:v>
      </x:c>
      <x:c r="BB330" s="17" t="n">
        <x:f>IF('Control Room'!$B$5="Normal",'Control Room'!$B$7+'Control Room'!$D$7*SQRT(-2*LN(MAX(0.000000000001,AZ330/2147483647)))*COS(2*PI()*BA330/2147483647),'Control Room'!$B$8+('Control Room'!$D$8-'Control Room'!$B$8)*AZ330/2147483647)</x:f>
        <x:v>1110.9343932008824</x:v>
      </x:c>
      <x:c r="BC330" s="17" t="n">
        <x:f>IF('Control Room'!$B$5="Normal",'Control Room'!$B$7,('Control Room'!$B$8+'Control Room'!$D$8)/2)+'Control Room'!$B$9*(BC329-IF('Control Room'!$B$5="Normal",'Control Room'!$B$7,('Control Room'!$B$8+'Control Room'!$D$8)/2))+SQRT(1-'Control Room'!$B$9^2)*(BB330-IF('Control Room'!$B$5="Normal",'Control Room'!$B$7,('Control Room'!$B$8+'Control Room'!$D$8)/2))</x:f>
        <x:v>1150.1808067872003</x:v>
      </x:c>
      <x:c r="BD330" s="17" t="n">
        <x:f>IF(AND($A330&gt;='Control Room'!$A$13,$A330&lt;'Control Room'!$A$13+'Control Room'!$B$13,'Process'!BU2=1),1+('Control Room'!$C$13-1)*EXP(-0.5*(($A330-'Control Room'!$A$13-('Control Room'!$B$13-1)/2)/MAX(0.5,'Control Room'!$B$13/4))^2),1)*IF(AND($A330&gt;='Control Room'!$A$14,$A330&lt;'Control Room'!$A$14+'Control Room'!$B$14,'Process'!BU3=1),1+('Control Room'!$C$14-1)*EXP(-0.5*(($A330-'Control Room'!$A$14-('Control Room'!$B$14-1)/2)/MAX(0.5,'Control Room'!$B$14/4))^2),1)*IF(AND($A330&gt;='Control Room'!$A$15,$A330&lt;'Control Room'!$A$15+'Control Room'!$B$15,'Process'!BU4=1),1+('Control Room'!$C$15-1)*EXP(-0.5*(($A330-'Control Room'!$A$15-('Control Room'!$B$15-1)/2)/MAX(0.5,'Control Room'!$B$15/4))^2),1)*IF(AND($A330&gt;='Control Room'!$A$16,$A330&lt;'Control Room'!$A$16+'Control Room'!$B$16,'Process'!BU5=1),1+('Control Room'!$C$16-1)*EXP(-0.5*(($A330-'Control Room'!$A$16-('Control Room'!$B$16-1)/2)/MAX(0.5,'Control Room'!$B$16/4))^2),1)</x:f>
        <x:v>1</x:v>
      </x:c>
      <x:c r="BE330" s="9" t="n">
        <x:f>MOD(BF329*16807,2147483647)</x:f>
        <x:v>133577707</x:v>
      </x:c>
      <x:c r="BF330" s="9" t="n">
        <x:f>MOD(BE330*16807,2147483647)</x:f>
        <x:v>920110434</x:v>
      </x:c>
      <x:c r="BG330" s="17" t="n">
        <x:f>IF('Control Room'!$B$5="Normal",'Control Room'!$B$7+'Control Room'!$D$7*SQRT(-2*LN(MAX(0.000000000001,BE330/2147483647)))*COS(2*PI()*BF330/2147483647),'Control Room'!$B$8+('Control Room'!$D$8-'Control Room'!$B$8)*BE330/2147483647)</x:f>
        <x:v>808.9543090268926</x:v>
      </x:c>
      <x:c r="BH330" s="17" t="n">
        <x:f>IF('Control Room'!$B$5="Normal",'Control Room'!$B$7,('Control Room'!$B$8+'Control Room'!$D$8)/2)+'Control Room'!$B$9*(BH329-IF('Control Room'!$B$5="Normal",'Control Room'!$B$7,('Control Room'!$B$8+'Control Room'!$D$8)/2))+SQRT(1-'Control Room'!$B$9^2)*(BG330-IF('Control Room'!$B$5="Normal",'Control Room'!$B$7,('Control Room'!$B$8+'Control Room'!$D$8)/2))</x:f>
        <x:v>893.3221769181471</x:v>
      </x:c>
      <x:c r="BI330" s="17" t="n">
        <x:f>IF(AND($A330&gt;='Control Room'!$A$13,$A330&lt;'Control Room'!$A$13+'Control Room'!$B$13,'Process'!BV2=1),1+('Control Room'!$C$13-1)*EXP(-0.5*(($A330-'Control Room'!$A$13-('Control Room'!$B$13-1)/2)/MAX(0.5,'Control Room'!$B$13/4))^2),1)*IF(AND($A330&gt;='Control Room'!$A$14,$A330&lt;'Control Room'!$A$14+'Control Room'!$B$14,'Process'!BV3=1),1+('Control Room'!$C$14-1)*EXP(-0.5*(($A330-'Control Room'!$A$14-('Control Room'!$B$14-1)/2)/MAX(0.5,'Control Room'!$B$14/4))^2),1)*IF(AND($A330&gt;='Control Room'!$A$15,$A330&lt;'Control Room'!$A$15+'Control Room'!$B$15,'Process'!BV4=1),1+('Control Room'!$C$15-1)*EXP(-0.5*(($A330-'Control Room'!$A$15-('Control Room'!$B$15-1)/2)/MAX(0.5,'Control Room'!$B$15/4))^2),1)*IF(AND($A330&gt;='Control Room'!$A$16,$A330&lt;'Control Room'!$A$16+'Control Room'!$B$16,'Process'!BV5=1),1+('Control Room'!$C$16-1)*EXP(-0.5*(($A330-'Control Room'!$A$16-('Control Room'!$B$16-1)/2)/MAX(0.5,'Control Room'!$B$16/4))^2),1)</x:f>
        <x:v>1</x:v>
      </x:c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Z330" t="str">
        <x:f>IF('Data'!A330="","",TEXT('Data'!A330,"mm-dd"))</x:f>
      </x:c>
    </x:row>
    <x:row r="331" ht="21" customHeight="1">
      <x:c r="A331" s="15" t="n">
        <x:f>'Control Room'!$B$1+329</x:f>
        <x:v>73320</x:v>
      </x:c>
      <x:c r="B331" s="9" t="n">
        <x:f>MOD(C330*16807,2147483647)</x:f>
        <x:v>452670657</x:v>
      </x:c>
      <x:c r="C331" s="9" t="n">
        <x:f>MOD(B331*16807,2147483647)</x:f>
        <x:v>1648654525</x:v>
      </x:c>
      <x:c r="D331" s="17" t="n">
        <x:f>IF('Control Room'!$B$5="Normal",'Control Room'!$B$7+'Control Room'!$D$7*SQRT(-2*LN(MAX(0.000000000001,B331/2147483647)))*COS(2*PI()*C331/2147483647),'Control Room'!$B$8+('Control Room'!$D$8-'Control Room'!$B$8)*B331/2147483647)</x:f>
        <x:v>1017.6400551759979</x:v>
      </x:c>
      <x:c r="E331" s="17" t="n">
        <x:f>IF('Control Room'!$B$5="Normal",'Control Room'!$B$7,('Control Room'!$B$8+'Control Room'!$D$8)/2)+'Control Room'!$B$9*(E330-IF('Control Room'!$B$5="Normal",'Control Room'!$B$7,('Control Room'!$B$8+'Control Room'!$D$8)/2))+SQRT(1-'Control Room'!$B$9^2)*(D331-IF('Control Room'!$B$5="Normal",'Control Room'!$B$7,('Control Room'!$B$8+'Control Room'!$D$8)/2))</x:f>
        <x:v>930.900392206714</x:v>
      </x:c>
      <x:c r="F331" s="17" t="n">
        <x:f>IF(AND($A331&gt;='Control Room'!$A$13,$A331&lt;'Control Room'!$A$13+'Control Room'!$B$13,'Process'!BK2=1),1+('Control Room'!$C$13-1)*EXP(-0.5*(($A331-'Control Room'!$A$13-('Control Room'!$B$13-1)/2)/MAX(0.5,'Control Room'!$B$13/4))^2),1)*IF(AND($A331&gt;='Control Room'!$A$14,$A331&lt;'Control Room'!$A$14+'Control Room'!$B$14,'Process'!BK3=1),1+('Control Room'!$C$14-1)*EXP(-0.5*(($A331-'Control Room'!$A$14-('Control Room'!$B$14-1)/2)/MAX(0.5,'Control Room'!$B$14/4))^2),1)*IF(AND($A331&gt;='Control Room'!$A$15,$A331&lt;'Control Room'!$A$15+'Control Room'!$B$15,'Process'!BK4=1),1+('Control Room'!$C$15-1)*EXP(-0.5*(($A331-'Control Room'!$A$15-('Control Room'!$B$15-1)/2)/MAX(0.5,'Control Room'!$B$15/4))^2),1)*IF(AND($A331&gt;='Control Room'!$A$16,$A331&lt;'Control Room'!$A$16+'Control Room'!$B$16,'Process'!BK5=1),1+('Control Room'!$C$16-1)*EXP(-0.5*(($A331-'Control Room'!$A$16-('Control Room'!$B$16-1)/2)/MAX(0.5,'Control Room'!$B$16/4))^2),1)</x:f>
        <x:v>1</x:v>
      </x:c>
      <x:c r="G331" s="9" t="n">
        <x:f>MOD(H330*16807,2147483647)</x:f>
        <x:v>1802310390</x:v>
      </x:c>
      <x:c r="H331" s="9" t="n">
        <x:f>MOD(G331*16807,2147483647)</x:f>
        <x:v>1173883795</x:v>
      </x:c>
      <x:c r="I331" s="17" t="n">
        <x:f>IF('Control Room'!$B$5="Normal",'Control Room'!$B$7+'Control Room'!$D$7*SQRT(-2*LN(MAX(0.000000000001,G331/2147483647)))*COS(2*PI()*H331/2147483647),'Control Room'!$B$8+('Control Room'!$D$8-'Control Room'!$B$8)*G331/2147483647)</x:f>
        <x:v>948.9913613975256</x:v>
      </x:c>
      <x:c r="J331" s="17" t="n">
        <x:f>IF('Control Room'!$B$5="Normal",'Control Room'!$B$7,('Control Room'!$B$8+'Control Room'!$D$8)/2)+'Control Room'!$B$9*(J330-IF('Control Room'!$B$5="Normal",'Control Room'!$B$7,('Control Room'!$B$8+'Control Room'!$D$8)/2))+SQRT(1-'Control Room'!$B$9^2)*(I331-IF('Control Room'!$B$5="Normal",'Control Room'!$B$7,('Control Room'!$B$8+'Control Room'!$D$8)/2))</x:f>
        <x:v>1166.6528483462066</x:v>
      </x:c>
      <x:c r="K331" s="17" t="n">
        <x:f>IF(AND($A331&gt;='Control Room'!$A$13,$A331&lt;'Control Room'!$A$13+'Control Room'!$B$13,'Process'!BL2=1),1+('Control Room'!$C$13-1)*EXP(-0.5*(($A331-'Control Room'!$A$13-('Control Room'!$B$13-1)/2)/MAX(0.5,'Control Room'!$B$13/4))^2),1)*IF(AND($A331&gt;='Control Room'!$A$14,$A331&lt;'Control Room'!$A$14+'Control Room'!$B$14,'Process'!BL3=1),1+('Control Room'!$C$14-1)*EXP(-0.5*(($A331-'Control Room'!$A$14-('Control Room'!$B$14-1)/2)/MAX(0.5,'Control Room'!$B$14/4))^2),1)*IF(AND($A331&gt;='Control Room'!$A$15,$A331&lt;'Control Room'!$A$15+'Control Room'!$B$15,'Process'!BL4=1),1+('Control Room'!$C$15-1)*EXP(-0.5*(($A331-'Control Room'!$A$15-('Control Room'!$B$15-1)/2)/MAX(0.5,'Control Room'!$B$15/4))^2),1)*IF(AND($A331&gt;='Control Room'!$A$16,$A331&lt;'Control Room'!$A$16+'Control Room'!$B$16,'Process'!BL5=1),1+('Control Room'!$C$16-1)*EXP(-0.5*(($A331-'Control Room'!$A$16-('Control Room'!$B$16-1)/2)/MAX(0.5,'Control Room'!$B$16/4))^2),1)</x:f>
        <x:v>1</x:v>
      </x:c>
      <x:c r="L331" s="9" t="n">
        <x:f>MOD(M330*16807,2147483647)</x:f>
        <x:v>1004466476</x:v>
      </x:c>
      <x:c r="M331" s="9" t="n">
        <x:f>MOD(L331*16807,2147483647)</x:f>
        <x:v>699113065</x:v>
      </x:c>
      <x:c r="N331" s="17" t="n">
        <x:f>IF('Control Room'!$B$5="Normal",'Control Room'!$B$7+'Control Room'!$D$7*SQRT(-2*LN(MAX(0.000000000001,L331/2147483647)))*COS(2*PI()*M331/2147483647),'Control Room'!$B$8+('Control Room'!$D$8-'Control Room'!$B$8)*L331/2147483647)</x:f>
        <x:v>949.2895087834297</x:v>
      </x:c>
      <x:c r="O331" s="17" t="n">
        <x:f>IF('Control Room'!$B$5="Normal",'Control Room'!$B$7,('Control Room'!$B$8+'Control Room'!$D$8)/2)+'Control Room'!$B$9*(O330-IF('Control Room'!$B$5="Normal",'Control Room'!$B$7,('Control Room'!$B$8+'Control Room'!$D$8)/2))+SQRT(1-'Control Room'!$B$9^2)*(N331-IF('Control Room'!$B$5="Normal",'Control Room'!$B$7,('Control Room'!$B$8+'Control Room'!$D$8)/2))</x:f>
        <x:v>990.0700187872524</x:v>
      </x:c>
      <x:c r="P331" s="17" t="n">
        <x:f>IF(AND($A331&gt;='Control Room'!$A$13,$A331&lt;'Control Room'!$A$13+'Control Room'!$B$13,'Process'!BM2=1),1+('Control Room'!$C$13-1)*EXP(-0.5*(($A331-'Control Room'!$A$13-('Control Room'!$B$13-1)/2)/MAX(0.5,'Control Room'!$B$13/4))^2),1)*IF(AND($A331&gt;='Control Room'!$A$14,$A331&lt;'Control Room'!$A$14+'Control Room'!$B$14,'Process'!BM3=1),1+('Control Room'!$C$14-1)*EXP(-0.5*(($A331-'Control Room'!$A$14-('Control Room'!$B$14-1)/2)/MAX(0.5,'Control Room'!$B$14/4))^2),1)*IF(AND($A331&gt;='Control Room'!$A$15,$A331&lt;'Control Room'!$A$15+'Control Room'!$B$15,'Process'!BM4=1),1+('Control Room'!$C$15-1)*EXP(-0.5*(($A331-'Control Room'!$A$15-('Control Room'!$B$15-1)/2)/MAX(0.5,'Control Room'!$B$15/4))^2),1)*IF(AND($A331&gt;='Control Room'!$A$16,$A331&lt;'Control Room'!$A$16+'Control Room'!$B$16,'Process'!BM5=1),1+('Control Room'!$C$16-1)*EXP(-0.5*(($A331-'Control Room'!$A$16-('Control Room'!$B$16-1)/2)/MAX(0.5,'Control Room'!$B$16/4))^2),1)</x:f>
        <x:v>1</x:v>
      </x:c>
      <x:c r="Q331" s="9" t="n">
        <x:f>MOD(R330*16807,2147483647)</x:f>
        <x:v>206622562</x:v>
      </x:c>
      <x:c r="R331" s="9" t="n">
        <x:f>MOD(Q331*16807,2147483647)</x:f>
        <x:v>224342335</x:v>
      </x:c>
      <x:c r="S331" s="17" t="n">
        <x:f>IF('Control Room'!$B$5="Normal",'Control Room'!$B$7+'Control Room'!$D$7*SQRT(-2*LN(MAX(0.000000000001,Q331/2147483647)))*COS(2*PI()*R331/2147483647),'Control Room'!$B$8+('Control Room'!$D$8-'Control Room'!$B$8)*Q331/2147483647)</x:f>
        <x:v>1154.2795390282022</x:v>
      </x:c>
      <x:c r="T331" s="17" t="n">
        <x:f>IF('Control Room'!$B$5="Normal",'Control Room'!$B$7,('Control Room'!$B$8+'Control Room'!$D$8)/2)+'Control Room'!$B$9*(T330-IF('Control Room'!$B$5="Normal",'Control Room'!$B$7,('Control Room'!$B$8+'Control Room'!$D$8)/2))+SQRT(1-'Control Room'!$B$9^2)*(S331-IF('Control Room'!$B$5="Normal",'Control Room'!$B$7,('Control Room'!$B$8+'Control Room'!$D$8)/2))</x:f>
        <x:v>1081.9729750898598</x:v>
      </x:c>
      <x:c r="U331" s="17" t="n">
        <x:f>IF(AND($A331&gt;='Control Room'!$A$13,$A331&lt;'Control Room'!$A$13+'Control Room'!$B$13,'Process'!BN2=1),1+('Control Room'!$C$13-1)*EXP(-0.5*(($A331-'Control Room'!$A$13-('Control Room'!$B$13-1)/2)/MAX(0.5,'Control Room'!$B$13/4))^2),1)*IF(AND($A331&gt;='Control Room'!$A$14,$A331&lt;'Control Room'!$A$14+'Control Room'!$B$14,'Process'!BN3=1),1+('Control Room'!$C$14-1)*EXP(-0.5*(($A331-'Control Room'!$A$14-('Control Room'!$B$14-1)/2)/MAX(0.5,'Control Room'!$B$14/4))^2),1)*IF(AND($A331&gt;='Control Room'!$A$15,$A331&lt;'Control Room'!$A$15+'Control Room'!$B$15,'Process'!BN4=1),1+('Control Room'!$C$15-1)*EXP(-0.5*(($A331-'Control Room'!$A$15-('Control Room'!$B$15-1)/2)/MAX(0.5,'Control Room'!$B$15/4))^2),1)*IF(AND($A331&gt;='Control Room'!$A$16,$A331&lt;'Control Room'!$A$16+'Control Room'!$B$16,'Process'!BN5=1),1+('Control Room'!$C$16-1)*EXP(-0.5*(($A331-'Control Room'!$A$16-('Control Room'!$B$16-1)/2)/MAX(0.5,'Control Room'!$B$16/4))^2),1)</x:f>
        <x:v>1</x:v>
      </x:c>
      <x:c r="V331" s="9" t="n">
        <x:f>MOD(W330*16807,2147483647)</x:f>
        <x:v>1556262295</x:v>
      </x:c>
      <x:c r="W331" s="9" t="n">
        <x:f>MOD(V331*16807,2147483647)</x:f>
        <x:v>1897055252</x:v>
      </x:c>
      <x:c r="X331" s="17" t="n">
        <x:f>IF('Control Room'!$B$5="Normal",'Control Room'!$B$7+'Control Room'!$D$7*SQRT(-2*LN(MAX(0.000000000001,V331/2147483647)))*COS(2*PI()*W331/2147483647),'Control Room'!$B$8+('Control Room'!$D$8-'Control Room'!$B$8)*V331/2147483647)</x:f>
        <x:v>1053.689933651302</x:v>
      </x:c>
      <x:c r="Y331" s="17" t="n">
        <x:f>IF('Control Room'!$B$5="Normal",'Control Room'!$B$7,('Control Room'!$B$8+'Control Room'!$D$8)/2)+'Control Room'!$B$9*(Y330-IF('Control Room'!$B$5="Normal",'Control Room'!$B$7,('Control Room'!$B$8+'Control Room'!$D$8)/2))+SQRT(1-'Control Room'!$B$9^2)*(X331-IF('Control Room'!$B$5="Normal",'Control Room'!$B$7,('Control Room'!$B$8+'Control Room'!$D$8)/2))</x:f>
        <x:v>1098.2017947209645</x:v>
      </x:c>
      <x:c r="Z331" s="17" t="n">
        <x:f>IF(AND($A331&gt;='Control Room'!$A$13,$A331&lt;'Control Room'!$A$13+'Control Room'!$B$13,'Process'!BO2=1),1+('Control Room'!$C$13-1)*EXP(-0.5*(($A331-'Control Room'!$A$13-('Control Room'!$B$13-1)/2)/MAX(0.5,'Control Room'!$B$13/4))^2),1)*IF(AND($A331&gt;='Control Room'!$A$14,$A331&lt;'Control Room'!$A$14+'Control Room'!$B$14,'Process'!BO3=1),1+('Control Room'!$C$14-1)*EXP(-0.5*(($A331-'Control Room'!$A$14-('Control Room'!$B$14-1)/2)/MAX(0.5,'Control Room'!$B$14/4))^2),1)*IF(AND($A331&gt;='Control Room'!$A$15,$A331&lt;'Control Room'!$A$15+'Control Room'!$B$15,'Process'!BO4=1),1+('Control Room'!$C$15-1)*EXP(-0.5*(($A331-'Control Room'!$A$15-('Control Room'!$B$15-1)/2)/MAX(0.5,'Control Room'!$B$15/4))^2),1)*IF(AND($A331&gt;='Control Room'!$A$16,$A331&lt;'Control Room'!$A$16+'Control Room'!$B$16,'Process'!BO5=1),1+('Control Room'!$C$16-1)*EXP(-0.5*(($A331-'Control Room'!$A$16-('Control Room'!$B$16-1)/2)/MAX(0.5,'Control Room'!$B$16/4))^2),1)</x:f>
        <x:v>1</x:v>
      </x:c>
      <x:c r="AA331" s="9" t="n">
        <x:f>MOD(AB330*16807,2147483647)</x:f>
        <x:v>758418381</x:v>
      </x:c>
      <x:c r="AB331" s="9" t="n">
        <x:f>MOD(AA331*16807,2147483647)</x:f>
        <x:v>1422284522</x:v>
      </x:c>
      <x:c r="AC331" s="17" t="n">
        <x:f>IF('Control Room'!$B$5="Normal",'Control Room'!$B$7+'Control Room'!$D$7*SQRT(-2*LN(MAX(0.000000000001,AA331/2147483647)))*COS(2*PI()*AB331/2147483647),'Control Room'!$B$8+('Control Room'!$D$8-'Control Room'!$B$8)*AA331/2147483647)</x:f>
        <x:v>932.0160369639693</x:v>
      </x:c>
      <x:c r="AD331" s="17" t="n">
        <x:f>IF('Control Room'!$B$5="Normal",'Control Room'!$B$7,('Control Room'!$B$8+'Control Room'!$D$8)/2)+'Control Room'!$B$9*(AD330-IF('Control Room'!$B$5="Normal",'Control Room'!$B$7,('Control Room'!$B$8+'Control Room'!$D$8)/2))+SQRT(1-'Control Room'!$B$9^2)*(AC331-IF('Control Room'!$B$5="Normal",'Control Room'!$B$7,('Control Room'!$B$8+'Control Room'!$D$8)/2))</x:f>
        <x:v>952.7828410573522</x:v>
      </x:c>
      <x:c r="AE331" s="17" t="n">
        <x:f>IF(AND($A331&gt;='Control Room'!$A$13,$A331&lt;'Control Room'!$A$13+'Control Room'!$B$13,'Process'!BP2=1),1+('Control Room'!$C$13-1)*EXP(-0.5*(($A331-'Control Room'!$A$13-('Control Room'!$B$13-1)/2)/MAX(0.5,'Control Room'!$B$13/4))^2),1)*IF(AND($A331&gt;='Control Room'!$A$14,$A331&lt;'Control Room'!$A$14+'Control Room'!$B$14,'Process'!BP3=1),1+('Control Room'!$C$14-1)*EXP(-0.5*(($A331-'Control Room'!$A$14-('Control Room'!$B$14-1)/2)/MAX(0.5,'Control Room'!$B$14/4))^2),1)*IF(AND($A331&gt;='Control Room'!$A$15,$A331&lt;'Control Room'!$A$15+'Control Room'!$B$15,'Process'!BP4=1),1+('Control Room'!$C$15-1)*EXP(-0.5*(($A331-'Control Room'!$A$15-('Control Room'!$B$15-1)/2)/MAX(0.5,'Control Room'!$B$15/4))^2),1)*IF(AND($A331&gt;='Control Room'!$A$16,$A331&lt;'Control Room'!$A$16+'Control Room'!$B$16,'Process'!BP5=1),1+('Control Room'!$C$16-1)*EXP(-0.5*(($A331-'Control Room'!$A$16-('Control Room'!$B$16-1)/2)/MAX(0.5,'Control Room'!$B$16/4))^2),1)</x:f>
        <x:v>1</x:v>
      </x:c>
      <x:c r="AF331" s="9" t="n">
        <x:f>MOD(AG330*16807,2147483647)</x:f>
        <x:v>2108058114</x:v>
      </x:c>
      <x:c r="AG331" s="9" t="n">
        <x:f>MOD(AF331*16807,2147483647)</x:f>
        <x:v>947513792</x:v>
      </x:c>
      <x:c r="AH331" s="17" t="n">
        <x:f>IF('Control Room'!$B$5="Normal",'Control Room'!$B$7+'Control Room'!$D$7*SQRT(-2*LN(MAX(0.000000000001,AF331/2147483647)))*COS(2*PI()*AG331/2147483647),'Control Room'!$B$8+('Control Room'!$D$8-'Control Room'!$B$8)*AF331/2147483647)</x:f>
        <x:v>983.8425619180155</x:v>
      </x:c>
      <x:c r="AI331" s="17" t="n">
        <x:f>IF('Control Room'!$B$5="Normal",'Control Room'!$B$7,('Control Room'!$B$8+'Control Room'!$D$8)/2)+'Control Room'!$B$9*(AI330-IF('Control Room'!$B$5="Normal",'Control Room'!$B$7,('Control Room'!$B$8+'Control Room'!$D$8)/2))+SQRT(1-'Control Room'!$B$9^2)*(AH331-IF('Control Room'!$B$5="Normal",'Control Room'!$B$7,('Control Room'!$B$8+'Control Room'!$D$8)/2))</x:f>
        <x:v>970.0557814422773</x:v>
      </x:c>
      <x:c r="AJ331" s="17" t="n">
        <x:f>IF(AND($A331&gt;='Control Room'!$A$13,$A331&lt;'Control Room'!$A$13+'Control Room'!$B$13,'Process'!BQ2=1),1+('Control Room'!$C$13-1)*EXP(-0.5*(($A331-'Control Room'!$A$13-('Control Room'!$B$13-1)/2)/MAX(0.5,'Control Room'!$B$13/4))^2),1)*IF(AND($A331&gt;='Control Room'!$A$14,$A331&lt;'Control Room'!$A$14+'Control Room'!$B$14,'Process'!BQ3=1),1+('Control Room'!$C$14-1)*EXP(-0.5*(($A331-'Control Room'!$A$14-('Control Room'!$B$14-1)/2)/MAX(0.5,'Control Room'!$B$14/4))^2),1)*IF(AND($A331&gt;='Control Room'!$A$15,$A331&lt;'Control Room'!$A$15+'Control Room'!$B$15,'Process'!BQ4=1),1+('Control Room'!$C$15-1)*EXP(-0.5*(($A331-'Control Room'!$A$15-('Control Room'!$B$15-1)/2)/MAX(0.5,'Control Room'!$B$15/4))^2),1)*IF(AND($A331&gt;='Control Room'!$A$16,$A331&lt;'Control Room'!$A$16+'Control Room'!$B$16,'Process'!BQ5=1),1+('Control Room'!$C$16-1)*EXP(-0.5*(($A331-'Control Room'!$A$16-('Control Room'!$B$16-1)/2)/MAX(0.5,'Control Room'!$B$16/4))^2),1)</x:f>
        <x:v>1</x:v>
      </x:c>
      <x:c r="AK331" s="9" t="n">
        <x:f>MOD(AL330*16807,2147483647)</x:f>
        <x:v>1310214200</x:v>
      </x:c>
      <x:c r="AL331" s="9" t="n">
        <x:f>MOD(AK331*16807,2147483647)</x:f>
        <x:v>472743062</x:v>
      </x:c>
      <x:c r="AM331" s="17" t="n">
        <x:f>IF('Control Room'!$B$5="Normal",'Control Room'!$B$7+'Control Room'!$D$7*SQRT(-2*LN(MAX(0.000000000001,AK331/2147483647)))*COS(2*PI()*AL331/2147483647),'Control Room'!$B$8+('Control Room'!$D$8-'Control Room'!$B$8)*AK331/2147483647)</x:f>
        <x:v>1016.6883404704158</x:v>
      </x:c>
      <x:c r="AN331" s="17" t="n">
        <x:f>IF('Control Room'!$B$5="Normal",'Control Room'!$B$7,('Control Room'!$B$8+'Control Room'!$D$8)/2)+'Control Room'!$B$9*(AN330-IF('Control Room'!$B$5="Normal",'Control Room'!$B$7,('Control Room'!$B$8+'Control Room'!$D$8)/2))+SQRT(1-'Control Room'!$B$9^2)*(AM331-IF('Control Room'!$B$5="Normal",'Control Room'!$B$7,('Control Room'!$B$8+'Control Room'!$D$8)/2))</x:f>
        <x:v>980.6851684196326</x:v>
      </x:c>
      <x:c r="AO331" s="17" t="n">
        <x:f>IF(AND($A331&gt;='Control Room'!$A$13,$A331&lt;'Control Room'!$A$13+'Control Room'!$B$13,'Process'!BR2=1),1+('Control Room'!$C$13-1)*EXP(-0.5*(($A331-'Control Room'!$A$13-('Control Room'!$B$13-1)/2)/MAX(0.5,'Control Room'!$B$13/4))^2),1)*IF(AND($A331&gt;='Control Room'!$A$14,$A331&lt;'Control Room'!$A$14+'Control Room'!$B$14,'Process'!BR3=1),1+('Control Room'!$C$14-1)*EXP(-0.5*(($A331-'Control Room'!$A$14-('Control Room'!$B$14-1)/2)/MAX(0.5,'Control Room'!$B$14/4))^2),1)*IF(AND($A331&gt;='Control Room'!$A$15,$A331&lt;'Control Room'!$A$15+'Control Room'!$B$15,'Process'!BR4=1),1+('Control Room'!$C$15-1)*EXP(-0.5*(($A331-'Control Room'!$A$15-('Control Room'!$B$15-1)/2)/MAX(0.5,'Control Room'!$B$15/4))^2),1)*IF(AND($A331&gt;='Control Room'!$A$16,$A331&lt;'Control Room'!$A$16+'Control Room'!$B$16,'Process'!BR5=1),1+('Control Room'!$C$16-1)*EXP(-0.5*(($A331-'Control Room'!$A$16-('Control Room'!$B$16-1)/2)/MAX(0.5,'Control Room'!$B$16/4))^2),1)</x:f>
        <x:v>1</x:v>
      </x:c>
      <x:c r="AP331" s="9" t="n">
        <x:f>MOD(AQ330*16807,2147483647)</x:f>
        <x:v>512370286</x:v>
      </x:c>
      <x:c r="AQ331" s="9" t="n">
        <x:f>MOD(AP331*16807,2147483647)</x:f>
        <x:v>2145455979</x:v>
      </x:c>
      <x:c r="AR331" s="17" t="n">
        <x:f>IF('Control Room'!$B$5="Normal",'Control Room'!$B$7+'Control Room'!$D$7*SQRT(-2*LN(MAX(0.000000000001,AP331/2147483647)))*COS(2*PI()*AQ331/2147483647),'Control Room'!$B$8+('Control Room'!$D$8-'Control Room'!$B$8)*AP331/2147483647)</x:f>
        <x:v>1152.3609372652818</x:v>
      </x:c>
      <x:c r="AS331" s="17" t="n">
        <x:f>IF('Control Room'!$B$5="Normal",'Control Room'!$B$7,('Control Room'!$B$8+'Control Room'!$D$8)/2)+'Control Room'!$B$9*(AS330-IF('Control Room'!$B$5="Normal",'Control Room'!$B$7,('Control Room'!$B$8+'Control Room'!$D$8)/2))+SQRT(1-'Control Room'!$B$9^2)*(AR331-IF('Control Room'!$B$5="Normal",'Control Room'!$B$7,('Control Room'!$B$8+'Control Room'!$D$8)/2))</x:f>
        <x:v>1205.1343053667733</x:v>
      </x:c>
      <x:c r="AT331" s="17" t="n">
        <x:f>IF(AND($A331&gt;='Control Room'!$A$13,$A331&lt;'Control Room'!$A$13+'Control Room'!$B$13,'Process'!BS2=1),1+('Control Room'!$C$13-1)*EXP(-0.5*(($A331-'Control Room'!$A$13-('Control Room'!$B$13-1)/2)/MAX(0.5,'Control Room'!$B$13/4))^2),1)*IF(AND($A331&gt;='Control Room'!$A$14,$A331&lt;'Control Room'!$A$14+'Control Room'!$B$14,'Process'!BS3=1),1+('Control Room'!$C$14-1)*EXP(-0.5*(($A331-'Control Room'!$A$14-('Control Room'!$B$14-1)/2)/MAX(0.5,'Control Room'!$B$14/4))^2),1)*IF(AND($A331&gt;='Control Room'!$A$15,$A331&lt;'Control Room'!$A$15+'Control Room'!$B$15,'Process'!BS4=1),1+('Control Room'!$C$15-1)*EXP(-0.5*(($A331-'Control Room'!$A$15-('Control Room'!$B$15-1)/2)/MAX(0.5,'Control Room'!$B$15/4))^2),1)*IF(AND($A331&gt;='Control Room'!$A$16,$A331&lt;'Control Room'!$A$16+'Control Room'!$B$16,'Process'!BS5=1),1+('Control Room'!$C$16-1)*EXP(-0.5*(($A331-'Control Room'!$A$16-('Control Room'!$B$16-1)/2)/MAX(0.5,'Control Room'!$B$16/4))^2),1)</x:f>
        <x:v>1</x:v>
      </x:c>
      <x:c r="AU331" s="9" t="n">
        <x:f>MOD(AV330*16807,2147483647)</x:f>
        <x:v>1862010019</x:v>
      </x:c>
      <x:c r="AV331" s="9" t="n">
        <x:f>MOD(AU331*16807,2147483647)</x:f>
        <x:v>1670685249</x:v>
      </x:c>
      <x:c r="AW331" s="17" t="n">
        <x:f>IF('Control Room'!$B$5="Normal",'Control Room'!$B$7+'Control Room'!$D$7*SQRT(-2*LN(MAX(0.000000000001,AU331/2147483647)))*COS(2*PI()*AV331/2147483647),'Control Room'!$B$8+('Control Room'!$D$8-'Control Room'!$B$8)*AU331/2147483647)</x:f>
        <x:v>1008.4055456743907</x:v>
      </x:c>
      <x:c r="AX331" s="17" t="n">
        <x:f>IF('Control Room'!$B$5="Normal",'Control Room'!$B$7,('Control Room'!$B$8+'Control Room'!$D$8)/2)+'Control Room'!$B$9*(AX330-IF('Control Room'!$B$5="Normal",'Control Room'!$B$7,('Control Room'!$B$8+'Control Room'!$D$8)/2))+SQRT(1-'Control Room'!$B$9^2)*(AW331-IF('Control Room'!$B$5="Normal",'Control Room'!$B$7,('Control Room'!$B$8+'Control Room'!$D$8)/2))</x:f>
        <x:v>1016.7401741669192</x:v>
      </x:c>
      <x:c r="AY331" s="17" t="n">
        <x:f>IF(AND($A331&gt;='Control Room'!$A$13,$A331&lt;'Control Room'!$A$13+'Control Room'!$B$13,'Process'!BT2=1),1+('Control Room'!$C$13-1)*EXP(-0.5*(($A331-'Control Room'!$A$13-('Control Room'!$B$13-1)/2)/MAX(0.5,'Control Room'!$B$13/4))^2),1)*IF(AND($A331&gt;='Control Room'!$A$14,$A331&lt;'Control Room'!$A$14+'Control Room'!$B$14,'Process'!BT3=1),1+('Control Room'!$C$14-1)*EXP(-0.5*(($A331-'Control Room'!$A$14-('Control Room'!$B$14-1)/2)/MAX(0.5,'Control Room'!$B$14/4))^2),1)*IF(AND($A331&gt;='Control Room'!$A$15,$A331&lt;'Control Room'!$A$15+'Control Room'!$B$15,'Process'!BT4=1),1+('Control Room'!$C$15-1)*EXP(-0.5*(($A331-'Control Room'!$A$15-('Control Room'!$B$15-1)/2)/MAX(0.5,'Control Room'!$B$15/4))^2),1)*IF(AND($A331&gt;='Control Room'!$A$16,$A331&lt;'Control Room'!$A$16+'Control Room'!$B$16,'Process'!BT5=1),1+('Control Room'!$C$16-1)*EXP(-0.5*(($A331-'Control Room'!$A$16-('Control Room'!$B$16-1)/2)/MAX(0.5,'Control Room'!$B$16/4))^2),1)</x:f>
        <x:v>1</x:v>
      </x:c>
      <x:c r="AZ331" s="9" t="n">
        <x:f>MOD(BA330*16807,2147483647)</x:f>
        <x:v>1064166105</x:v>
      </x:c>
      <x:c r="BA331" s="9" t="n">
        <x:f>MOD(AZ331*16807,2147483647)</x:f>
        <x:v>1195914519</x:v>
      </x:c>
      <x:c r="BB331" s="17" t="n">
        <x:f>IF('Control Room'!$B$5="Normal",'Control Room'!$B$7+'Control Room'!$D$7*SQRT(-2*LN(MAX(0.000000000001,AZ331/2147483647)))*COS(2*PI()*BA331/2147483647),'Control Room'!$B$8+('Control Room'!$D$8-'Control Room'!$B$8)*AZ331/2147483647)</x:f>
        <x:v>900.0919113821349</x:v>
      </x:c>
      <x:c r="BC331" s="17" t="n">
        <x:f>IF('Control Room'!$B$5="Normal",'Control Room'!$B$7,('Control Room'!$B$8+'Control Room'!$D$8)/2)+'Control Room'!$B$9*(BC330-IF('Control Room'!$B$5="Normal",'Control Room'!$B$7,('Control Room'!$B$8+'Control Room'!$D$8)/2))+SQRT(1-'Control Room'!$B$9^2)*(BB331-IF('Control Room'!$B$5="Normal",'Control Room'!$B$7,('Control Room'!$B$8+'Control Room'!$D$8)/2))</x:f>
        <x:v>1054.6205941654011</x:v>
      </x:c>
      <x:c r="BD331" s="17" t="n">
        <x:f>IF(AND($A331&gt;='Control Room'!$A$13,$A331&lt;'Control Room'!$A$13+'Control Room'!$B$13,'Process'!BU2=1),1+('Control Room'!$C$13-1)*EXP(-0.5*(($A331-'Control Room'!$A$13-('Control Room'!$B$13-1)/2)/MAX(0.5,'Control Room'!$B$13/4))^2),1)*IF(AND($A331&gt;='Control Room'!$A$14,$A331&lt;'Control Room'!$A$14+'Control Room'!$B$14,'Process'!BU3=1),1+('Control Room'!$C$14-1)*EXP(-0.5*(($A331-'Control Room'!$A$14-('Control Room'!$B$14-1)/2)/MAX(0.5,'Control Room'!$B$14/4))^2),1)*IF(AND($A331&gt;='Control Room'!$A$15,$A331&lt;'Control Room'!$A$15+'Control Room'!$B$15,'Process'!BU4=1),1+('Control Room'!$C$15-1)*EXP(-0.5*(($A331-'Control Room'!$A$15-('Control Room'!$B$15-1)/2)/MAX(0.5,'Control Room'!$B$15/4))^2),1)*IF(AND($A331&gt;='Control Room'!$A$16,$A331&lt;'Control Room'!$A$16+'Control Room'!$B$16,'Process'!BU5=1),1+('Control Room'!$C$16-1)*EXP(-0.5*(($A331-'Control Room'!$A$16-('Control Room'!$B$16-1)/2)/MAX(0.5,'Control Room'!$B$16/4))^2),1)</x:f>
        <x:v>1</x:v>
      </x:c>
      <x:c r="BE331" s="9" t="n">
        <x:f>MOD(BF330*16807,2147483647)</x:f>
        <x:v>266322191</x:v>
      </x:c>
      <x:c r="BF331" s="9" t="n">
        <x:f>MOD(BE331*16807,2147483647)</x:f>
        <x:v>721143789</x:v>
      </x:c>
      <x:c r="BG331" s="17" t="n">
        <x:f>IF('Control Room'!$B$5="Normal",'Control Room'!$B$7+'Control Room'!$D$7*SQRT(-2*LN(MAX(0.000000000001,BE331/2147483647)))*COS(2*PI()*BF331/2147483647),'Control Room'!$B$8+('Control Room'!$D$8-'Control Room'!$B$8)*BE331/2147483647)</x:f>
        <x:v>905.59003060823</x:v>
      </x:c>
      <x:c r="BH331" s="17" t="n">
        <x:f>IF('Control Room'!$B$5="Normal",'Control Room'!$B$7,('Control Room'!$B$8+'Control Room'!$D$8)/2)+'Control Room'!$B$9*(BH330-IF('Control Room'!$B$5="Normal",'Control Room'!$B$7,('Control Room'!$B$8+'Control Room'!$D$8)/2))+SQRT(1-'Control Room'!$B$9^2)*(BG331-IF('Control Room'!$B$5="Normal",'Control Room'!$B$7,('Control Room'!$B$8+'Control Room'!$D$8)/2))</x:f>
        <x:v>857.7114732441354</x:v>
      </x:c>
      <x:c r="BI331" s="17" t="n">
        <x:f>IF(AND($A331&gt;='Control Room'!$A$13,$A331&lt;'Control Room'!$A$13+'Control Room'!$B$13,'Process'!BV2=1),1+('Control Room'!$C$13-1)*EXP(-0.5*(($A331-'Control Room'!$A$13-('Control Room'!$B$13-1)/2)/MAX(0.5,'Control Room'!$B$13/4))^2),1)*IF(AND($A331&gt;='Control Room'!$A$14,$A331&lt;'Control Room'!$A$14+'Control Room'!$B$14,'Process'!BV3=1),1+('Control Room'!$C$14-1)*EXP(-0.5*(($A331-'Control Room'!$A$14-('Control Room'!$B$14-1)/2)/MAX(0.5,'Control Room'!$B$14/4))^2),1)*IF(AND($A331&gt;='Control Room'!$A$15,$A331&lt;'Control Room'!$A$15+'Control Room'!$B$15,'Process'!BV4=1),1+('Control Room'!$C$15-1)*EXP(-0.5*(($A331-'Control Room'!$A$15-('Control Room'!$B$15-1)/2)/MAX(0.5,'Control Room'!$B$15/4))^2),1)*IF(AND($A331&gt;='Control Room'!$A$16,$A331&lt;'Control Room'!$A$16+'Control Room'!$B$16,'Process'!BV5=1),1+('Control Room'!$C$16-1)*EXP(-0.5*(($A331-'Control Room'!$A$16-('Control Room'!$B$16-1)/2)/MAX(0.5,'Control Room'!$B$16/4))^2),1)</x:f>
        <x:v>1</x:v>
      </x:c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Z331" t="str">
        <x:f>IF('Data'!A331="","",TEXT('Data'!A331,"mm-dd"))</x:f>
      </x:c>
    </x:row>
    <x:row r="332" ht="21" customHeight="1">
      <x:c r="A332" s="15" t="n">
        <x:f>'Control Room'!$B$1+330</x:f>
        <x:v>73321</x:v>
      </x:c>
      <x:c r="B332" s="9" t="n">
        <x:f>MOD(C331*16807,2147483647)</x:f>
        <x:v>2102588081</x:v>
      </x:c>
      <x:c r="C332" s="9" t="n">
        <x:f>MOD(B332*16807,2147483647)</x:f>
        <x:v>1354465982</x:v>
      </x:c>
      <x:c r="D332" s="17" t="n">
        <x:f>IF('Control Room'!$B$5="Normal",'Control Room'!$B$7+'Control Room'!$D$7*SQRT(-2*LN(MAX(0.000000000001,B332/2147483647)))*COS(2*PI()*C332/2147483647),'Control Room'!$B$8+('Control Room'!$D$8-'Control Room'!$B$8)*B332/2147483647)</x:f>
        <x:v>987.3968574358627</x:v>
      </x:c>
      <x:c r="E332" s="17" t="n">
        <x:f>IF('Control Room'!$B$5="Normal",'Control Room'!$B$7,('Control Room'!$B$8+'Control Room'!$D$8)/2)+'Control Room'!$B$9*(E331-IF('Control Room'!$B$5="Normal",'Control Room'!$B$7,('Control Room'!$B$8+'Control Room'!$D$8)/2))+SQRT(1-'Control Room'!$B$9^2)*(D332-IF('Control Room'!$B$5="Normal",'Control Room'!$B$7,('Control Room'!$B$8+'Control Room'!$D$8)/2))</x:f>
        <x:v>938.215517494009</x:v>
      </x:c>
      <x:c r="F332" s="17" t="n">
        <x:f>IF(AND($A332&gt;='Control Room'!$A$13,$A332&lt;'Control Room'!$A$13+'Control Room'!$B$13,'Process'!BK2=1),1+('Control Room'!$C$13-1)*EXP(-0.5*(($A332-'Control Room'!$A$13-('Control Room'!$B$13-1)/2)/MAX(0.5,'Control Room'!$B$13/4))^2),1)*IF(AND($A332&gt;='Control Room'!$A$14,$A332&lt;'Control Room'!$A$14+'Control Room'!$B$14,'Process'!BK3=1),1+('Control Room'!$C$14-1)*EXP(-0.5*(($A332-'Control Room'!$A$14-('Control Room'!$B$14-1)/2)/MAX(0.5,'Control Room'!$B$14/4))^2),1)*IF(AND($A332&gt;='Control Room'!$A$15,$A332&lt;'Control Room'!$A$15+'Control Room'!$B$15,'Process'!BK4=1),1+('Control Room'!$C$15-1)*EXP(-0.5*(($A332-'Control Room'!$A$15-('Control Room'!$B$15-1)/2)/MAX(0.5,'Control Room'!$B$15/4))^2),1)*IF(AND($A332&gt;='Control Room'!$A$16,$A332&lt;'Control Room'!$A$16+'Control Room'!$B$16,'Process'!BK5=1),1+('Control Room'!$C$16-1)*EXP(-0.5*(($A332-'Control Room'!$A$16-('Control Room'!$B$16-1)/2)/MAX(0.5,'Control Room'!$B$16/4))^2),1)</x:f>
        <x:v>1</x:v>
      </x:c>
      <x:c r="G332" s="9" t="n">
        <x:f>MOD(H331*16807,2147483647)</x:f>
        <x:v>532677576</x:v>
      </x:c>
      <x:c r="H332" s="9" t="n">
        <x:f>MOD(G332*16807,2147483647)</x:f>
        <x:v>2000179136</x:v>
      </x:c>
      <x:c r="I332" s="17" t="n">
        <x:f>IF('Control Room'!$B$5="Normal",'Control Room'!$B$7+'Control Room'!$D$7*SQRT(-2*LN(MAX(0.000000000001,G332/2147483647)))*COS(2*PI()*H332/2147483647),'Control Room'!$B$8+('Control Room'!$D$8-'Control Room'!$B$8)*G332/2147483647)</x:f>
        <x:v>1136.5401381816034</x:v>
      </x:c>
      <x:c r="J332" s="17" t="n">
        <x:f>IF('Control Room'!$B$5="Normal",'Control Room'!$B$7,('Control Room'!$B$8+'Control Room'!$D$8)/2)+'Control Room'!$B$9*(J331-IF('Control Room'!$B$5="Normal",'Control Room'!$B$7,('Control Room'!$B$8+'Control Room'!$D$8)/2))+SQRT(1-'Control Room'!$B$9^2)*(I332-IF('Control Room'!$B$5="Normal",'Control Room'!$B$7,('Control Room'!$B$8+'Control Room'!$D$8)/2))</x:f>
        <x:v>1215.433243007318</x:v>
      </x:c>
      <x:c r="K332" s="17" t="n">
        <x:f>IF(AND($A332&gt;='Control Room'!$A$13,$A332&lt;'Control Room'!$A$13+'Control Room'!$B$13,'Process'!BL2=1),1+('Control Room'!$C$13-1)*EXP(-0.5*(($A332-'Control Room'!$A$13-('Control Room'!$B$13-1)/2)/MAX(0.5,'Control Room'!$B$13/4))^2),1)*IF(AND($A332&gt;='Control Room'!$A$14,$A332&lt;'Control Room'!$A$14+'Control Room'!$B$14,'Process'!BL3=1),1+('Control Room'!$C$14-1)*EXP(-0.5*(($A332-'Control Room'!$A$14-('Control Room'!$B$14-1)/2)/MAX(0.5,'Control Room'!$B$14/4))^2),1)*IF(AND($A332&gt;='Control Room'!$A$15,$A332&lt;'Control Room'!$A$15+'Control Room'!$B$15,'Process'!BL4=1),1+('Control Room'!$C$15-1)*EXP(-0.5*(($A332-'Control Room'!$A$15-('Control Room'!$B$15-1)/2)/MAX(0.5,'Control Room'!$B$15/4))^2),1)*IF(AND($A332&gt;='Control Room'!$A$16,$A332&lt;'Control Room'!$A$16+'Control Room'!$B$16,'Process'!BL5=1),1+('Control Room'!$C$16-1)*EXP(-0.5*(($A332-'Control Room'!$A$16-('Control Room'!$B$16-1)/2)/MAX(0.5,'Control Room'!$B$16/4))^2),1)</x:f>
        <x:v>1</x:v>
      </x:c>
      <x:c r="L332" s="9" t="n">
        <x:f>MOD(M331*16807,2147483647)</x:f>
        <x:v>1110250718</x:v>
      </x:c>
      <x:c r="M332" s="9" t="n">
        <x:f>MOD(L332*16807,2147483647)</x:f>
        <x:v>498408643</x:v>
      </x:c>
      <x:c r="N332" s="17" t="n">
        <x:f>IF('Control Room'!$B$5="Normal",'Control Room'!$B$7+'Control Room'!$D$7*SQRT(-2*LN(MAX(0.000000000001,L332/2147483647)))*COS(2*PI()*M332/2147483647),'Control Room'!$B$8+('Control Room'!$D$8-'Control Room'!$B$8)*L332/2147483647)</x:f>
        <x:v>1011.6091975567946</x:v>
      </x:c>
      <x:c r="O332" s="17" t="n">
        <x:f>IF('Control Room'!$B$5="Normal",'Control Room'!$B$7,('Control Room'!$B$8+'Control Room'!$D$8)/2)+'Control Room'!$B$9*(O331-IF('Control Room'!$B$5="Normal",'Control Room'!$B$7,('Control Room'!$B$8+'Control Room'!$D$8)/2))+SQRT(1-'Control Room'!$B$9^2)*(N332-IF('Control Room'!$B$5="Normal",'Control Room'!$B$7,('Control Room'!$B$8+'Control Room'!$D$8)/2))</x:f>
        <x:v>999.5194126577599</x:v>
      </x:c>
      <x:c r="P332" s="17" t="n">
        <x:f>IF(AND($A332&gt;='Control Room'!$A$13,$A332&lt;'Control Room'!$A$13+'Control Room'!$B$13,'Process'!BM2=1),1+('Control Room'!$C$13-1)*EXP(-0.5*(($A332-'Control Room'!$A$13-('Control Room'!$B$13-1)/2)/MAX(0.5,'Control Room'!$B$13/4))^2),1)*IF(AND($A332&gt;='Control Room'!$A$14,$A332&lt;'Control Room'!$A$14+'Control Room'!$B$14,'Process'!BM3=1),1+('Control Room'!$C$14-1)*EXP(-0.5*(($A332-'Control Room'!$A$14-('Control Room'!$B$14-1)/2)/MAX(0.5,'Control Room'!$B$14/4))^2),1)*IF(AND($A332&gt;='Control Room'!$A$15,$A332&lt;'Control Room'!$A$15+'Control Room'!$B$15,'Process'!BM4=1),1+('Control Room'!$C$15-1)*EXP(-0.5*(($A332-'Control Room'!$A$15-('Control Room'!$B$15-1)/2)/MAX(0.5,'Control Room'!$B$15/4))^2),1)*IF(AND($A332&gt;='Control Room'!$A$16,$A332&lt;'Control Room'!$A$16+'Control Room'!$B$16,'Process'!BM5=1),1+('Control Room'!$C$16-1)*EXP(-0.5*(($A332-'Control Room'!$A$16-('Control Room'!$B$16-1)/2)/MAX(0.5,'Control Room'!$B$16/4))^2),1)</x:f>
        <x:v>1</x:v>
      </x:c>
      <x:c r="Q332" s="9" t="n">
        <x:f>MOD(R331*16807,2147483647)</x:f>
        <x:v>1687823860</x:v>
      </x:c>
      <x:c r="R332" s="9" t="n">
        <x:f>MOD(Q332*16807,2147483647)</x:f>
        <x:v>1144121797</x:v>
      </x:c>
      <x:c r="S332" s="17" t="n">
        <x:f>IF('Control Room'!$B$5="Normal",'Control Room'!$B$7+'Control Room'!$D$7*SQRT(-2*LN(MAX(0.000000000001,Q332/2147483647)))*COS(2*PI()*R332/2147483647),'Control Room'!$B$8+('Control Room'!$D$8-'Control Room'!$B$8)*Q332/2147483647)</x:f>
        <x:v>938.8546631375374</x:v>
      </x:c>
      <x:c r="T332" s="17" t="n">
        <x:f>IF('Control Room'!$B$5="Normal",'Control Room'!$B$7,('Control Room'!$B$8+'Control Room'!$D$8)/2)+'Control Room'!$B$9*(T331-IF('Control Room'!$B$5="Normal",'Control Room'!$B$7,('Control Room'!$B$8+'Control Room'!$D$8)/2))+SQRT(1-'Control Room'!$B$9^2)*(S332-IF('Control Room'!$B$5="Normal",'Control Room'!$B$7,('Control Room'!$B$8+'Control Room'!$D$8)/2))</x:f>
        <x:v>1025.6754213918737</x:v>
      </x:c>
      <x:c r="U332" s="17" t="n">
        <x:f>IF(AND($A332&gt;='Control Room'!$A$13,$A332&lt;'Control Room'!$A$13+'Control Room'!$B$13,'Process'!BN2=1),1+('Control Room'!$C$13-1)*EXP(-0.5*(($A332-'Control Room'!$A$13-('Control Room'!$B$13-1)/2)/MAX(0.5,'Control Room'!$B$13/4))^2),1)*IF(AND($A332&gt;='Control Room'!$A$14,$A332&lt;'Control Room'!$A$14+'Control Room'!$B$14,'Process'!BN3=1),1+('Control Room'!$C$14-1)*EXP(-0.5*(($A332-'Control Room'!$A$14-('Control Room'!$B$14-1)/2)/MAX(0.5,'Control Room'!$B$14/4))^2),1)*IF(AND($A332&gt;='Control Room'!$A$15,$A332&lt;'Control Room'!$A$15+'Control Room'!$B$15,'Process'!BN4=1),1+('Control Room'!$C$15-1)*EXP(-0.5*(($A332-'Control Room'!$A$15-('Control Room'!$B$15-1)/2)/MAX(0.5,'Control Room'!$B$15/4))^2),1)*IF(AND($A332&gt;='Control Room'!$A$16,$A332&lt;'Control Room'!$A$16+'Control Room'!$B$16,'Process'!BN5=1),1+('Control Room'!$C$16-1)*EXP(-0.5*(($A332-'Control Room'!$A$16-('Control Room'!$B$16-1)/2)/MAX(0.5,'Control Room'!$B$16/4))^2),1)</x:f>
        <x:v>1</x:v>
      </x:c>
      <x:c r="V332" s="9" t="n">
        <x:f>MOD(W331*16807,2147483647)</x:f>
        <x:v>117913355</x:v>
      </x:c>
      <x:c r="W332" s="9" t="n">
        <x:f>MOD(V332*16807,2147483647)</x:f>
        <x:v>1789834951</x:v>
      </x:c>
      <x:c r="X332" s="17" t="n">
        <x:f>IF('Control Room'!$B$5="Normal",'Control Room'!$B$7+'Control Room'!$D$7*SQRT(-2*LN(MAX(0.000000000001,V332/2147483647)))*COS(2*PI()*W332/2147483647),'Control Room'!$B$8+('Control Room'!$D$8-'Control Room'!$B$8)*V332/2147483647)</x:f>
        <x:v>1108.5593147643756</x:v>
      </x:c>
      <x:c r="Y332" s="17" t="n">
        <x:f>IF('Control Room'!$B$5="Normal",'Control Room'!$B$7,('Control Room'!$B$8+'Control Room'!$D$8)/2)+'Control Room'!$B$9*(Y331-IF('Control Room'!$B$5="Normal",'Control Room'!$B$7,('Control Room'!$B$8+'Control Room'!$D$8)/2))+SQRT(1-'Control Room'!$B$9^2)*(X332-IF('Control Room'!$B$5="Normal",'Control Room'!$B$7,('Control Room'!$B$8+'Control Room'!$D$8)/2))</x:f>
        <x:v>1144.5315951034527</x:v>
      </x:c>
      <x:c r="Z332" s="17" t="n">
        <x:f>IF(AND($A332&gt;='Control Room'!$A$13,$A332&lt;'Control Room'!$A$13+'Control Room'!$B$13,'Process'!BO2=1),1+('Control Room'!$C$13-1)*EXP(-0.5*(($A332-'Control Room'!$A$13-('Control Room'!$B$13-1)/2)/MAX(0.5,'Control Room'!$B$13/4))^2),1)*IF(AND($A332&gt;='Control Room'!$A$14,$A332&lt;'Control Room'!$A$14+'Control Room'!$B$14,'Process'!BO3=1),1+('Control Room'!$C$14-1)*EXP(-0.5*(($A332-'Control Room'!$A$14-('Control Room'!$B$14-1)/2)/MAX(0.5,'Control Room'!$B$14/4))^2),1)*IF(AND($A332&gt;='Control Room'!$A$15,$A332&lt;'Control Room'!$A$15+'Control Room'!$B$15,'Process'!BO4=1),1+('Control Room'!$C$15-1)*EXP(-0.5*(($A332-'Control Room'!$A$15-('Control Room'!$B$15-1)/2)/MAX(0.5,'Control Room'!$B$15/4))^2),1)*IF(AND($A332&gt;='Control Room'!$A$16,$A332&lt;'Control Room'!$A$16+'Control Room'!$B$16,'Process'!BO5=1),1+('Control Room'!$C$16-1)*EXP(-0.5*(($A332-'Control Room'!$A$16-('Control Room'!$B$16-1)/2)/MAX(0.5,'Control Room'!$B$16/4))^2),1)</x:f>
        <x:v>1</x:v>
      </x:c>
      <x:c r="AA332" s="9" t="n">
        <x:f>MOD(AB331*16807,2147483647)</x:f>
        <x:v>695486497</x:v>
      </x:c>
      <x:c r="AB332" s="9" t="n">
        <x:f>MOD(AA332*16807,2147483647)</x:f>
        <x:v>288064458</x:v>
      </x:c>
      <x:c r="AC332" s="17" t="n">
        <x:f>IF('Control Room'!$B$5="Normal",'Control Room'!$B$7+'Control Room'!$D$7*SQRT(-2*LN(MAX(0.000000000001,AA332/2147483647)))*COS(2*PI()*AB332/2147483647),'Control Room'!$B$8+('Control Room'!$D$8-'Control Room'!$B$8)*AA332/2147483647)</x:f>
        <x:v>1089.920062442882</x:v>
      </x:c>
      <x:c r="AD332" s="17" t="n">
        <x:f>IF('Control Room'!$B$5="Normal",'Control Room'!$B$7,('Control Room'!$B$8+'Control Room'!$D$8)/2)+'Control Room'!$B$9*(AD331-IF('Control Room'!$B$5="Normal",'Control Room'!$B$7,('Control Room'!$B$8+'Control Room'!$D$8)/2))+SQRT(1-'Control Room'!$B$9^2)*(AC332-IF('Control Room'!$B$5="Normal",'Control Room'!$B$7,('Control Room'!$B$8+'Control Room'!$D$8)/2))</x:f>
        <x:v>1019.4407489888833</x:v>
      </x:c>
      <x:c r="AE332" s="17" t="n">
        <x:f>IF(AND($A332&gt;='Control Room'!$A$13,$A332&lt;'Control Room'!$A$13+'Control Room'!$B$13,'Process'!BP2=1),1+('Control Room'!$C$13-1)*EXP(-0.5*(($A332-'Control Room'!$A$13-('Control Room'!$B$13-1)/2)/MAX(0.5,'Control Room'!$B$13/4))^2),1)*IF(AND($A332&gt;='Control Room'!$A$14,$A332&lt;'Control Room'!$A$14+'Control Room'!$B$14,'Process'!BP3=1),1+('Control Room'!$C$14-1)*EXP(-0.5*(($A332-'Control Room'!$A$14-('Control Room'!$B$14-1)/2)/MAX(0.5,'Control Room'!$B$14/4))^2),1)*IF(AND($A332&gt;='Control Room'!$A$15,$A332&lt;'Control Room'!$A$15+'Control Room'!$B$15,'Process'!BP4=1),1+('Control Room'!$C$15-1)*EXP(-0.5*(($A332-'Control Room'!$A$15-('Control Room'!$B$15-1)/2)/MAX(0.5,'Control Room'!$B$15/4))^2),1)*IF(AND($A332&gt;='Control Room'!$A$16,$A332&lt;'Control Room'!$A$16+'Control Room'!$B$16,'Process'!BP5=1),1+('Control Room'!$C$16-1)*EXP(-0.5*(($A332-'Control Room'!$A$16-('Control Room'!$B$16-1)/2)/MAX(0.5,'Control Room'!$B$16/4))^2),1)</x:f>
        <x:v>1</x:v>
      </x:c>
      <x:c r="AF332" s="9" t="n">
        <x:f>MOD(AG331*16807,2147483647)</x:f>
        <x:v>1273059639</x:v>
      </x:c>
      <x:c r="AG332" s="9" t="n">
        <x:f>MOD(AF332*16807,2147483647)</x:f>
        <x:v>933777612</x:v>
      </x:c>
      <x:c r="AH332" s="17" t="n">
        <x:f>IF('Control Room'!$B$5="Normal",'Control Room'!$B$7+'Control Room'!$D$7*SQRT(-2*LN(MAX(0.000000000001,AF332/2147483647)))*COS(2*PI()*AG332/2147483647),'Control Room'!$B$8+('Control Room'!$D$8-'Control Room'!$B$8)*AF332/2147483647)</x:f>
        <x:v>915.57435219733</x:v>
      </x:c>
      <x:c r="AI332" s="17" t="n">
        <x:f>IF('Control Room'!$B$5="Normal",'Control Room'!$B$7,('Control Room'!$B$8+'Control Room'!$D$8)/2)+'Control Room'!$B$9*(AI331-IF('Control Room'!$B$5="Normal",'Control Room'!$B$7,('Control Room'!$B$8+'Control Room'!$D$8)/2))+SQRT(1-'Control Room'!$B$9^2)*(AH332-IF('Control Room'!$B$5="Normal",'Control Room'!$B$7,('Control Room'!$B$8+'Control Room'!$D$8)/2))</x:f>
        <x:v>923.8116686834702</x:v>
      </x:c>
      <x:c r="AJ332" s="17" t="n">
        <x:f>IF(AND($A332&gt;='Control Room'!$A$13,$A332&lt;'Control Room'!$A$13+'Control Room'!$B$13,'Process'!BQ2=1),1+('Control Room'!$C$13-1)*EXP(-0.5*(($A332-'Control Room'!$A$13-('Control Room'!$B$13-1)/2)/MAX(0.5,'Control Room'!$B$13/4))^2),1)*IF(AND($A332&gt;='Control Room'!$A$14,$A332&lt;'Control Room'!$A$14+'Control Room'!$B$14,'Process'!BQ3=1),1+('Control Room'!$C$14-1)*EXP(-0.5*(($A332-'Control Room'!$A$14-('Control Room'!$B$14-1)/2)/MAX(0.5,'Control Room'!$B$14/4))^2),1)*IF(AND($A332&gt;='Control Room'!$A$15,$A332&lt;'Control Room'!$A$15+'Control Room'!$B$15,'Process'!BQ4=1),1+('Control Room'!$C$15-1)*EXP(-0.5*(($A332-'Control Room'!$A$15-('Control Room'!$B$15-1)/2)/MAX(0.5,'Control Room'!$B$15/4))^2),1)*IF(AND($A332&gt;='Control Room'!$A$16,$A332&lt;'Control Room'!$A$16+'Control Room'!$B$16,'Process'!BQ5=1),1+('Control Room'!$C$16-1)*EXP(-0.5*(($A332-'Control Room'!$A$16-('Control Room'!$B$16-1)/2)/MAX(0.5,'Control Room'!$B$16/4))^2),1)</x:f>
        <x:v>1</x:v>
      </x:c>
      <x:c r="AK332" s="9" t="n">
        <x:f>MOD(AL331*16807,2147483647)</x:f>
        <x:v>1850632781</x:v>
      </x:c>
      <x:c r="AL332" s="9" t="n">
        <x:f>MOD(AK332*16807,2147483647)</x:f>
        <x:v>1579490766</x:v>
      </x:c>
      <x:c r="AM332" s="17" t="n">
        <x:f>IF('Control Room'!$B$5="Normal",'Control Room'!$B$7+'Control Room'!$D$7*SQRT(-2*LN(MAX(0.000000000001,AK332/2147483647)))*COS(2*PI()*AL332/2147483647),'Control Room'!$B$8+('Control Room'!$D$8-'Control Room'!$B$8)*AK332/2147483647)</x:f>
        <x:v>995.5359333197197</x:v>
      </x:c>
      <x:c r="AN332" s="17" t="n">
        <x:f>IF('Control Room'!$B$5="Normal",'Control Room'!$B$7,('Control Room'!$B$8+'Control Room'!$D$8)/2)+'Control Room'!$B$9*(AN331-IF('Control Room'!$B$5="Normal",'Control Room'!$B$7,('Control Room'!$B$8+'Control Room'!$D$8)/2))+SQRT(1-'Control Room'!$B$9^2)*(AM332-IF('Control Room'!$B$5="Normal",'Control Room'!$B$7,('Control Room'!$B$8+'Control Room'!$D$8)/2))</x:f>
        <x:v>982.1409098901707</x:v>
      </x:c>
      <x:c r="AO332" s="17" t="n">
        <x:f>IF(AND($A332&gt;='Control Room'!$A$13,$A332&lt;'Control Room'!$A$13+'Control Room'!$B$13,'Process'!BR2=1),1+('Control Room'!$C$13-1)*EXP(-0.5*(($A332-'Control Room'!$A$13-('Control Room'!$B$13-1)/2)/MAX(0.5,'Control Room'!$B$13/4))^2),1)*IF(AND($A332&gt;='Control Room'!$A$14,$A332&lt;'Control Room'!$A$14+'Control Room'!$B$14,'Process'!BR3=1),1+('Control Room'!$C$14-1)*EXP(-0.5*(($A332-'Control Room'!$A$14-('Control Room'!$B$14-1)/2)/MAX(0.5,'Control Room'!$B$14/4))^2),1)*IF(AND($A332&gt;='Control Room'!$A$15,$A332&lt;'Control Room'!$A$15+'Control Room'!$B$15,'Process'!BR4=1),1+('Control Room'!$C$15-1)*EXP(-0.5*(($A332-'Control Room'!$A$15-('Control Room'!$B$15-1)/2)/MAX(0.5,'Control Room'!$B$15/4))^2),1)*IF(AND($A332&gt;='Control Room'!$A$16,$A332&lt;'Control Room'!$A$16+'Control Room'!$B$16,'Process'!BR5=1),1+('Control Room'!$C$16-1)*EXP(-0.5*(($A332-'Control Room'!$A$16-('Control Room'!$B$16-1)/2)/MAX(0.5,'Control Room'!$B$16/4))^2),1)</x:f>
        <x:v>1</x:v>
      </x:c>
      <x:c r="AP332" s="9" t="n">
        <x:f>MOD(AQ331*16807,2147483647)</x:f>
        <x:v>280722276</x:v>
      </x:c>
      <x:c r="AQ332" s="9" t="n">
        <x:f>MOD(AP332*16807,2147483647)</x:f>
        <x:v>77720273</x:v>
      </x:c>
      <x:c r="AR332" s="17" t="n">
        <x:f>IF('Control Room'!$B$5="Normal",'Control Room'!$B$7+'Control Room'!$D$7*SQRT(-2*LN(MAX(0.000000000001,AP332/2147483647)))*COS(2*PI()*AQ332/2147483647),'Control Room'!$B$8+('Control Room'!$D$8-'Control Room'!$B$8)*AP332/2147483647)</x:f>
        <x:v>1176.8803423265592</x:v>
      </x:c>
      <x:c r="AS332" s="17" t="n">
        <x:f>IF('Control Room'!$B$5="Normal",'Control Room'!$B$7,('Control Room'!$B$8+'Control Room'!$D$8)/2)+'Control Room'!$B$9*(AS331-IF('Control Room'!$B$5="Normal",'Control Room'!$B$7,('Control Room'!$B$8+'Control Room'!$D$8)/2))+SQRT(1-'Control Room'!$B$9^2)*(AR332-IF('Control Room'!$B$5="Normal",'Control Room'!$B$7,('Control Room'!$B$8+'Control Room'!$D$8)/2))</x:f>
        <x:v>1270.6928528232716</x:v>
      </x:c>
      <x:c r="AT332" s="17" t="n">
        <x:f>IF(AND($A332&gt;='Control Room'!$A$13,$A332&lt;'Control Room'!$A$13+'Control Room'!$B$13,'Process'!BS2=1),1+('Control Room'!$C$13-1)*EXP(-0.5*(($A332-'Control Room'!$A$13-('Control Room'!$B$13-1)/2)/MAX(0.5,'Control Room'!$B$13/4))^2),1)*IF(AND($A332&gt;='Control Room'!$A$14,$A332&lt;'Control Room'!$A$14+'Control Room'!$B$14,'Process'!BS3=1),1+('Control Room'!$C$14-1)*EXP(-0.5*(($A332-'Control Room'!$A$14-('Control Room'!$B$14-1)/2)/MAX(0.5,'Control Room'!$B$14/4))^2),1)*IF(AND($A332&gt;='Control Room'!$A$15,$A332&lt;'Control Room'!$A$15+'Control Room'!$B$15,'Process'!BS4=1),1+('Control Room'!$C$15-1)*EXP(-0.5*(($A332-'Control Room'!$A$15-('Control Room'!$B$15-1)/2)/MAX(0.5,'Control Room'!$B$15/4))^2),1)*IF(AND($A332&gt;='Control Room'!$A$16,$A332&lt;'Control Room'!$A$16+'Control Room'!$B$16,'Process'!BS5=1),1+('Control Room'!$C$16-1)*EXP(-0.5*(($A332-'Control Room'!$A$16-('Control Room'!$B$16-1)/2)/MAX(0.5,'Control Room'!$B$16/4))^2),1)</x:f>
        <x:v>1</x:v>
      </x:c>
      <x:c r="AU332" s="9" t="n">
        <x:f>MOD(AV331*16807,2147483647)</x:f>
        <x:v>858295418</x:v>
      </x:c>
      <x:c r="AV332" s="9" t="n">
        <x:f>MOD(AU332*16807,2147483647)</x:f>
        <x:v>723433427</x:v>
      </x:c>
      <x:c r="AW332" s="17" t="n">
        <x:f>IF('Control Room'!$B$5="Normal",'Control Room'!$B$7+'Control Room'!$D$7*SQRT(-2*LN(MAX(0.000000000001,AU332/2147483647)))*COS(2*PI()*AV332/2147483647),'Control Room'!$B$8+('Control Room'!$D$8-'Control Room'!$B$8)*AU332/2147483647)</x:f>
        <x:v>936.7215007194185</x:v>
      </x:c>
      <x:c r="AX332" s="17" t="n">
        <x:f>IF('Control Room'!$B$5="Normal",'Control Room'!$B$7,('Control Room'!$B$8+'Control Room'!$D$8)/2)+'Control Room'!$B$9*(AX331-IF('Control Room'!$B$5="Normal",'Control Room'!$B$7,('Control Room'!$B$8+'Control Room'!$D$8)/2))+SQRT(1-'Control Room'!$B$9^2)*(AW332-IF('Control Room'!$B$5="Normal",'Control Room'!$B$7,('Control Room'!$B$8+'Control Room'!$D$8)/2))</x:f>
        <x:v>973.4589473309287</x:v>
      </x:c>
      <x:c r="AY332" s="17" t="n">
        <x:f>IF(AND($A332&gt;='Control Room'!$A$13,$A332&lt;'Control Room'!$A$13+'Control Room'!$B$13,'Process'!BT2=1),1+('Control Room'!$C$13-1)*EXP(-0.5*(($A332-'Control Room'!$A$13-('Control Room'!$B$13-1)/2)/MAX(0.5,'Control Room'!$B$13/4))^2),1)*IF(AND($A332&gt;='Control Room'!$A$14,$A332&lt;'Control Room'!$A$14+'Control Room'!$B$14,'Process'!BT3=1),1+('Control Room'!$C$14-1)*EXP(-0.5*(($A332-'Control Room'!$A$14-('Control Room'!$B$14-1)/2)/MAX(0.5,'Control Room'!$B$14/4))^2),1)*IF(AND($A332&gt;='Control Room'!$A$15,$A332&lt;'Control Room'!$A$15+'Control Room'!$B$15,'Process'!BT4=1),1+('Control Room'!$C$15-1)*EXP(-0.5*(($A332-'Control Room'!$A$15-('Control Room'!$B$15-1)/2)/MAX(0.5,'Control Room'!$B$15/4))^2),1)*IF(AND($A332&gt;='Control Room'!$A$16,$A332&lt;'Control Room'!$A$16+'Control Room'!$B$16,'Process'!BT5=1),1+('Control Room'!$C$16-1)*EXP(-0.5*(($A332-'Control Room'!$A$16-('Control Room'!$B$16-1)/2)/MAX(0.5,'Control Room'!$B$16/4))^2),1)</x:f>
        <x:v>1</x:v>
      </x:c>
      <x:c r="AZ332" s="9" t="n">
        <x:f>MOD(BA331*16807,2147483647)</x:f>
        <x:v>1435868560</x:v>
      </x:c>
      <x:c r="BA332" s="9" t="n">
        <x:f>MOD(AZ332*16807,2147483647)</x:f>
        <x:v>1369146581</x:v>
      </x:c>
      <x:c r="BB332" s="17" t="n">
        <x:f>IF('Control Room'!$B$5="Normal",'Control Room'!$B$7+'Control Room'!$D$7*SQRT(-2*LN(MAX(0.000000000001,AZ332/2147483647)))*COS(2*PI()*BA332/2147483647),'Control Room'!$B$8+('Control Room'!$D$8-'Control Room'!$B$8)*AZ332/2147483647)</x:f>
        <x:v>947.5781707091345</x:v>
      </x:c>
      <x:c r="BC332" s="17" t="n">
        <x:f>IF('Control Room'!$B$5="Normal",'Control Room'!$B$7,('Control Room'!$B$8+'Control Room'!$D$8)/2)+'Control Room'!$B$9*(BC331-IF('Control Room'!$B$5="Normal",'Control Room'!$B$7,('Control Room'!$B$8+'Control Room'!$D$8)/2))+SQRT(1-'Control Room'!$B$9^2)*(BB332-IF('Control Room'!$B$5="Normal",'Control Room'!$B$7,('Control Room'!$B$8+'Control Room'!$D$8)/2))</x:f>
        <x:v>1009.7995565983351</x:v>
      </x:c>
      <x:c r="BD332" s="17" t="n">
        <x:f>IF(AND($A332&gt;='Control Room'!$A$13,$A332&lt;'Control Room'!$A$13+'Control Room'!$B$13,'Process'!BU2=1),1+('Control Room'!$C$13-1)*EXP(-0.5*(($A332-'Control Room'!$A$13-('Control Room'!$B$13-1)/2)/MAX(0.5,'Control Room'!$B$13/4))^2),1)*IF(AND($A332&gt;='Control Room'!$A$14,$A332&lt;'Control Room'!$A$14+'Control Room'!$B$14,'Process'!BU3=1),1+('Control Room'!$C$14-1)*EXP(-0.5*(($A332-'Control Room'!$A$14-('Control Room'!$B$14-1)/2)/MAX(0.5,'Control Room'!$B$14/4))^2),1)*IF(AND($A332&gt;='Control Room'!$A$15,$A332&lt;'Control Room'!$A$15+'Control Room'!$B$15,'Process'!BU4=1),1+('Control Room'!$C$15-1)*EXP(-0.5*(($A332-'Control Room'!$A$15-('Control Room'!$B$15-1)/2)/MAX(0.5,'Control Room'!$B$15/4))^2),1)*IF(AND($A332&gt;='Control Room'!$A$16,$A332&lt;'Control Room'!$A$16+'Control Room'!$B$16,'Process'!BU5=1),1+('Control Room'!$C$16-1)*EXP(-0.5*(($A332-'Control Room'!$A$16-('Control Room'!$B$16-1)/2)/MAX(0.5,'Control Room'!$B$16/4))^2),1)</x:f>
        <x:v>1</x:v>
      </x:c>
      <x:c r="BE332" s="9" t="n">
        <x:f>MOD(BF331*16807,2147483647)</x:f>
        <x:v>2013441702</x:v>
      </x:c>
      <x:c r="BF332" s="9" t="n">
        <x:f>MOD(BE332*16807,2147483647)</x:f>
        <x:v>2014859735</x:v>
      </x:c>
      <x:c r="BG332" s="17" t="n">
        <x:f>IF('Control Room'!$B$5="Normal",'Control Room'!$B$7+'Control Room'!$D$7*SQRT(-2*LN(MAX(0.000000000001,BE332/2147483647)))*COS(2*PI()*BF332/2147483647),'Control Room'!$B$8+('Control Room'!$D$8-'Control Room'!$B$8)*BE332/2147483647)</x:f>
        <x:v>1029.9103674633755</x:v>
      </x:c>
      <x:c r="BH332" s="17" t="n">
        <x:f>IF('Control Room'!$B$5="Normal",'Control Room'!$B$7,('Control Room'!$B$8+'Control Room'!$D$8)/2)+'Control Room'!$B$9*(BH331-IF('Control Room'!$B$5="Normal",'Control Room'!$B$7,('Control Room'!$B$8+'Control Room'!$D$8)/2))+SQRT(1-'Control Room'!$B$9^2)*(BG332-IF('Control Room'!$B$5="Normal",'Control Room'!$B$7,('Control Room'!$B$8+'Control Room'!$D$8)/2))</x:f>
        <x:v>907.7322443418227</x:v>
      </x:c>
      <x:c r="BI332" s="17" t="n">
        <x:f>IF(AND($A332&gt;='Control Room'!$A$13,$A332&lt;'Control Room'!$A$13+'Control Room'!$B$13,'Process'!BV2=1),1+('Control Room'!$C$13-1)*EXP(-0.5*(($A332-'Control Room'!$A$13-('Control Room'!$B$13-1)/2)/MAX(0.5,'Control Room'!$B$13/4))^2),1)*IF(AND($A332&gt;='Control Room'!$A$14,$A332&lt;'Control Room'!$A$14+'Control Room'!$B$14,'Process'!BV3=1),1+('Control Room'!$C$14-1)*EXP(-0.5*(($A332-'Control Room'!$A$14-('Control Room'!$B$14-1)/2)/MAX(0.5,'Control Room'!$B$14/4))^2),1)*IF(AND($A332&gt;='Control Room'!$A$15,$A332&lt;'Control Room'!$A$15+'Control Room'!$B$15,'Process'!BV4=1),1+('Control Room'!$C$15-1)*EXP(-0.5*(($A332-'Control Room'!$A$15-('Control Room'!$B$15-1)/2)/MAX(0.5,'Control Room'!$B$15/4))^2),1)*IF(AND($A332&gt;='Control Room'!$A$16,$A332&lt;'Control Room'!$A$16+'Control Room'!$B$16,'Process'!BV5=1),1+('Control Room'!$C$16-1)*EXP(-0.5*(($A332-'Control Room'!$A$16-('Control Room'!$B$16-1)/2)/MAX(0.5,'Control Room'!$B$16/4))^2),1)</x:f>
        <x:v>1</x:v>
      </x:c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Z332" t="str">
        <x:f>IF('Data'!A332="","",TEXT('Data'!A332,"mm-dd"))</x:f>
      </x:c>
    </x:row>
    <x:row r="333" ht="21" customHeight="1">
      <x:c r="A333" s="15" t="n">
        <x:f>'Control Room'!$B$1+331</x:f>
        <x:v>73322</x:v>
      </x:c>
      <x:c r="B333" s="9" t="n">
        <x:f>MOD(C332*16807,2147483647)</x:f>
        <x:v>1183101274</x:v>
      </x:c>
      <x:c r="C333" s="9" t="n">
        <x:f>MOD(B333*16807,2147483647)</x:f>
        <x:v>832024545</x:v>
      </x:c>
      <x:c r="D333" s="17" t="n">
        <x:f>IF('Control Room'!$B$5="Normal",'Control Room'!$B$7+'Control Room'!$D$7*SQRT(-2*LN(MAX(0.000000000001,B333/2147483647)))*COS(2*PI()*C333/2147483647),'Control Room'!$B$8+('Control Room'!$D$8-'Control Room'!$B$8)*B333/2147483647)</x:f>
        <x:v>925.295382405927</x:v>
      </x:c>
      <x:c r="E333" s="17" t="n">
        <x:f>IF('Control Room'!$B$5="Normal",'Control Room'!$B$7,('Control Room'!$B$8+'Control Room'!$D$8)/2)+'Control Room'!$B$9*(E332-IF('Control Room'!$B$5="Normal",'Control Room'!$B$7,('Control Room'!$B$8+'Control Room'!$D$8)/2))+SQRT(1-'Control Room'!$B$9^2)*(D333-IF('Control Room'!$B$5="Normal",'Control Room'!$B$7,('Control Room'!$B$8+'Control Room'!$D$8)/2))</x:f>
        <x:v>905.0594843622325</x:v>
      </x:c>
      <x:c r="F333" s="17" t="n">
        <x:f>IF(AND($A333&gt;='Control Room'!$A$13,$A333&lt;'Control Room'!$A$13+'Control Room'!$B$13,'Process'!BK2=1),1+('Control Room'!$C$13-1)*EXP(-0.5*(($A333-'Control Room'!$A$13-('Control Room'!$B$13-1)/2)/MAX(0.5,'Control Room'!$B$13/4))^2),1)*IF(AND($A333&gt;='Control Room'!$A$14,$A333&lt;'Control Room'!$A$14+'Control Room'!$B$14,'Process'!BK3=1),1+('Control Room'!$C$14-1)*EXP(-0.5*(($A333-'Control Room'!$A$14-('Control Room'!$B$14-1)/2)/MAX(0.5,'Control Room'!$B$14/4))^2),1)*IF(AND($A333&gt;='Control Room'!$A$15,$A333&lt;'Control Room'!$A$15+'Control Room'!$B$15,'Process'!BK4=1),1+('Control Room'!$C$15-1)*EXP(-0.5*(($A333-'Control Room'!$A$15-('Control Room'!$B$15-1)/2)/MAX(0.5,'Control Room'!$B$15/4))^2),1)*IF(AND($A333&gt;='Control Room'!$A$16,$A333&lt;'Control Room'!$A$16+'Control Room'!$B$16,'Process'!BK5=1),1+('Control Room'!$C$16-1)*EXP(-0.5*(($A333-'Control Room'!$A$16-('Control Room'!$B$16-1)/2)/MAX(0.5,'Control Room'!$B$16/4))^2),1)</x:f>
        <x:v>1</x:v>
      </x:c>
      <x:c r="G333" s="9" t="n">
        <x:f>MOD(H332*16807,2147483647)</x:f>
        <x:v>301728614</x:v>
      </x:c>
      <x:c r="H333" s="9" t="n">
        <x:f>MOD(G333*16807,2147483647)</x:f>
        <x:v>943924931</x:v>
      </x:c>
      <x:c r="I333" s="17" t="n">
        <x:f>IF('Control Room'!$B$5="Normal",'Control Room'!$B$7+'Control Room'!$D$7*SQRT(-2*LN(MAX(0.000000000001,G333/2147483647)))*COS(2*PI()*H333/2147483647),'Control Room'!$B$8+('Control Room'!$D$8-'Control Room'!$B$8)*G333/2147483647)</x:f>
        <x:v>834.402181486104</x:v>
      </x:c>
      <x:c r="J333" s="17" t="n">
        <x:f>IF('Control Room'!$B$5="Normal",'Control Room'!$B$7,('Control Room'!$B$8+'Control Room'!$D$8)/2)+'Control Room'!$B$9*(J332-IF('Control Room'!$B$5="Normal",'Control Room'!$B$7,('Control Room'!$B$8+'Control Room'!$D$8)/2))+SQRT(1-'Control Room'!$B$9^2)*(I333-IF('Control Room'!$B$5="Normal",'Control Room'!$B$7,('Control Room'!$B$8+'Control Room'!$D$8)/2))</x:f>
        <x:v>1064.4102071754205</x:v>
      </x:c>
      <x:c r="K333" s="17" t="n">
        <x:f>IF(AND($A333&gt;='Control Room'!$A$13,$A333&lt;'Control Room'!$A$13+'Control Room'!$B$13,'Process'!BL2=1),1+('Control Room'!$C$13-1)*EXP(-0.5*(($A333-'Control Room'!$A$13-('Control Room'!$B$13-1)/2)/MAX(0.5,'Control Room'!$B$13/4))^2),1)*IF(AND($A333&gt;='Control Room'!$A$14,$A333&lt;'Control Room'!$A$14+'Control Room'!$B$14,'Process'!BL3=1),1+('Control Room'!$C$14-1)*EXP(-0.5*(($A333-'Control Room'!$A$14-('Control Room'!$B$14-1)/2)/MAX(0.5,'Control Room'!$B$14/4))^2),1)*IF(AND($A333&gt;='Control Room'!$A$15,$A333&lt;'Control Room'!$A$15+'Control Room'!$B$15,'Process'!BL4=1),1+('Control Room'!$C$15-1)*EXP(-0.5*(($A333-'Control Room'!$A$15-('Control Room'!$B$15-1)/2)/MAX(0.5,'Control Room'!$B$15/4))^2),1)*IF(AND($A333&gt;='Control Room'!$A$16,$A333&lt;'Control Room'!$A$16+'Control Room'!$B$16,'Process'!BL5=1),1+('Control Room'!$C$16-1)*EXP(-0.5*(($A333-'Control Room'!$A$16-('Control Room'!$B$16-1)/2)/MAX(0.5,'Control Room'!$B$16/4))^2),1)</x:f>
        <x:v>1</x:v>
      </x:c>
      <x:c r="L333" s="9" t="n">
        <x:f>MOD(M332*16807,2147483647)</x:f>
        <x:v>1567839601</x:v>
      </x:c>
      <x:c r="M333" s="9" t="n">
        <x:f>MOD(L333*16807,2147483647)</x:f>
        <x:v>1055825317</x:v>
      </x:c>
      <x:c r="N333" s="17" t="n">
        <x:f>IF('Control Room'!$B$5="Normal",'Control Room'!$B$7+'Control Room'!$D$7*SQRT(-2*LN(MAX(0.000000000001,L333/2147483647)))*COS(2*PI()*M333/2147483647),'Control Room'!$B$8+('Control Room'!$D$8-'Control Room'!$B$8)*L333/2147483647)</x:f>
        <x:v>928.7083606729624</x:v>
      </x:c>
      <x:c r="O333" s="17" t="n">
        <x:f>IF('Control Room'!$B$5="Normal",'Control Room'!$B$7,('Control Room'!$B$8+'Control Room'!$D$8)/2)+'Control Room'!$B$9*(O332-IF('Control Room'!$B$5="Normal",'Control Room'!$B$7,('Control Room'!$B$8+'Control Room'!$D$8)/2))+SQRT(1-'Control Room'!$B$9^2)*(N333-IF('Control Room'!$B$5="Normal",'Control Room'!$B$7,('Control Room'!$B$8+'Control Room'!$D$8)/2))</x:f>
        <x:v>955.0122944708088</x:v>
      </x:c>
      <x:c r="P333" s="17" t="n">
        <x:f>IF(AND($A333&gt;='Control Room'!$A$13,$A333&lt;'Control Room'!$A$13+'Control Room'!$B$13,'Process'!BM2=1),1+('Control Room'!$C$13-1)*EXP(-0.5*(($A333-'Control Room'!$A$13-('Control Room'!$B$13-1)/2)/MAX(0.5,'Control Room'!$B$13/4))^2),1)*IF(AND($A333&gt;='Control Room'!$A$14,$A333&lt;'Control Room'!$A$14+'Control Room'!$B$14,'Process'!BM3=1),1+('Control Room'!$C$14-1)*EXP(-0.5*(($A333-'Control Room'!$A$14-('Control Room'!$B$14-1)/2)/MAX(0.5,'Control Room'!$B$14/4))^2),1)*IF(AND($A333&gt;='Control Room'!$A$15,$A333&lt;'Control Room'!$A$15+'Control Room'!$B$15,'Process'!BM4=1),1+('Control Room'!$C$15-1)*EXP(-0.5*(($A333-'Control Room'!$A$15-('Control Room'!$B$15-1)/2)/MAX(0.5,'Control Room'!$B$15/4))^2),1)*IF(AND($A333&gt;='Control Room'!$A$16,$A333&lt;'Control Room'!$A$16+'Control Room'!$B$16,'Process'!BM5=1),1+('Control Room'!$C$16-1)*EXP(-0.5*(($A333-'Control Room'!$A$16-('Control Room'!$B$16-1)/2)/MAX(0.5,'Control Room'!$B$16/4))^2),1)</x:f>
        <x:v>1</x:v>
      </x:c>
      <x:c r="Q333" s="9" t="n">
        <x:f>MOD(R332*16807,2147483647)</x:f>
        <x:v>686466941</x:v>
      </x:c>
      <x:c r="R333" s="9" t="n">
        <x:f>MOD(Q333*16807,2147483647)</x:f>
        <x:v>1167725703</x:v>
      </x:c>
      <x:c r="S333" s="17" t="n">
        <x:f>IF('Control Room'!$B$5="Normal",'Control Room'!$B$7+'Control Room'!$D$7*SQRT(-2*LN(MAX(0.000000000001,Q333/2147483647)))*COS(2*PI()*R333/2147483647),'Control Room'!$B$8+('Control Room'!$D$8-'Control Room'!$B$8)*Q333/2147483647)</x:f>
        <x:v>869.1802652972256</x:v>
      </x:c>
      <x:c r="T333" s="17" t="n">
        <x:f>IF('Control Room'!$B$5="Normal",'Control Room'!$B$7,('Control Room'!$B$8+'Control Room'!$D$8)/2)+'Control Room'!$B$9*(T332-IF('Control Room'!$B$5="Normal",'Control Room'!$B$7,('Control Room'!$B$8+'Control Room'!$D$8)/2))+SQRT(1-'Control Room'!$B$9^2)*(S333-IF('Control Room'!$B$5="Normal",'Control Room'!$B$7,('Control Room'!$B$8+'Control Room'!$D$8)/2))</x:f>
        <x:v>938.162518696601</x:v>
      </x:c>
      <x:c r="U333" s="17" t="n">
        <x:f>IF(AND($A333&gt;='Control Room'!$A$13,$A333&lt;'Control Room'!$A$13+'Control Room'!$B$13,'Process'!BN2=1),1+('Control Room'!$C$13-1)*EXP(-0.5*(($A333-'Control Room'!$A$13-('Control Room'!$B$13-1)/2)/MAX(0.5,'Control Room'!$B$13/4))^2),1)*IF(AND($A333&gt;='Control Room'!$A$14,$A333&lt;'Control Room'!$A$14+'Control Room'!$B$14,'Process'!BN3=1),1+('Control Room'!$C$14-1)*EXP(-0.5*(($A333-'Control Room'!$A$14-('Control Room'!$B$14-1)/2)/MAX(0.5,'Control Room'!$B$14/4))^2),1)*IF(AND($A333&gt;='Control Room'!$A$15,$A333&lt;'Control Room'!$A$15+'Control Room'!$B$15,'Process'!BN4=1),1+('Control Room'!$C$15-1)*EXP(-0.5*(($A333-'Control Room'!$A$15-('Control Room'!$B$15-1)/2)/MAX(0.5,'Control Room'!$B$15/4))^2),1)*IF(AND($A333&gt;='Control Room'!$A$16,$A333&lt;'Control Room'!$A$16+'Control Room'!$B$16,'Process'!BN5=1),1+('Control Room'!$C$16-1)*EXP(-0.5*(($A333-'Control Room'!$A$16-('Control Room'!$B$16-1)/2)/MAX(0.5,'Control Room'!$B$16/4))^2),1)</x:f>
        <x:v>1</x:v>
      </x:c>
      <x:c r="V333" s="9" t="n">
        <x:f>MOD(W332*16807,2147483647)</x:f>
        <x:v>1952577928</x:v>
      </x:c>
      <x:c r="W333" s="9" t="n">
        <x:f>MOD(V333*16807,2147483647)</x:f>
        <x:v>1279626089</x:v>
      </x:c>
      <x:c r="X333" s="17" t="n">
        <x:f>IF('Control Room'!$B$5="Normal",'Control Room'!$B$7+'Control Room'!$D$7*SQRT(-2*LN(MAX(0.000000000001,V333/2147483647)))*COS(2*PI()*W333/2147483647),'Control Room'!$B$8+('Control Room'!$D$8-'Control Room'!$B$8)*V333/2147483647)</x:f>
        <x:v>967.6500291849201</x:v>
      </x:c>
      <x:c r="Y333" s="17" t="n">
        <x:f>IF('Control Room'!$B$5="Normal",'Control Room'!$B$7,('Control Room'!$B$8+'Control Room'!$D$8)/2)+'Control Room'!$B$9*(Y332-IF('Control Room'!$B$5="Normal",'Control Room'!$B$7,('Control Room'!$B$8+'Control Room'!$D$8)/2))+SQRT(1-'Control Room'!$B$9^2)*(X333-IF('Control Room'!$B$5="Normal",'Control Room'!$B$7,('Control Room'!$B$8+'Control Room'!$D$8)/2))</x:f>
        <x:v>1092.4906951697906</x:v>
      </x:c>
      <x:c r="Z333" s="17" t="n">
        <x:f>IF(AND($A333&gt;='Control Room'!$A$13,$A333&lt;'Control Room'!$A$13+'Control Room'!$B$13,'Process'!BO2=1),1+('Control Room'!$C$13-1)*EXP(-0.5*(($A333-'Control Room'!$A$13-('Control Room'!$B$13-1)/2)/MAX(0.5,'Control Room'!$B$13/4))^2),1)*IF(AND($A333&gt;='Control Room'!$A$14,$A333&lt;'Control Room'!$A$14+'Control Room'!$B$14,'Process'!BO3=1),1+('Control Room'!$C$14-1)*EXP(-0.5*(($A333-'Control Room'!$A$14-('Control Room'!$B$14-1)/2)/MAX(0.5,'Control Room'!$B$14/4))^2),1)*IF(AND($A333&gt;='Control Room'!$A$15,$A333&lt;'Control Room'!$A$15+'Control Room'!$B$15,'Process'!BO4=1),1+('Control Room'!$C$15-1)*EXP(-0.5*(($A333-'Control Room'!$A$15-('Control Room'!$B$15-1)/2)/MAX(0.5,'Control Room'!$B$15/4))^2),1)*IF(AND($A333&gt;='Control Room'!$A$16,$A333&lt;'Control Room'!$A$16+'Control Room'!$B$16,'Process'!BO5=1),1+('Control Room'!$C$16-1)*EXP(-0.5*(($A333-'Control Room'!$A$16-('Control Room'!$B$16-1)/2)/MAX(0.5,'Control Room'!$B$16/4))^2),1)</x:f>
        <x:v>1</x:v>
      </x:c>
      <x:c r="AA333" s="9" t="n">
        <x:f>MOD(AB332*16807,2147483647)</x:f>
        <x:v>1071205268</x:v>
      </x:c>
      <x:c r="AB333" s="9" t="n">
        <x:f>MOD(AA333*16807,2147483647)</x:f>
        <x:v>1391526475</x:v>
      </x:c>
      <x:c r="AC333" s="17" t="n">
        <x:f>IF('Control Room'!$B$5="Normal",'Control Room'!$B$7+'Control Room'!$D$7*SQRT(-2*LN(MAX(0.000000000001,AA333/2147483647)))*COS(2*PI()*AB333/2147483647),'Control Room'!$B$8+('Control Room'!$D$8-'Control Room'!$B$8)*AA333/2147483647)</x:f>
        <x:v>936.5231722746151</x:v>
      </x:c>
      <x:c r="AD333" s="17" t="n">
        <x:f>IF('Control Room'!$B$5="Normal",'Control Room'!$B$7,('Control Room'!$B$8+'Control Room'!$D$8)/2)+'Control Room'!$B$9*(AD332-IF('Control Room'!$B$5="Normal",'Control Room'!$B$7,('Control Room'!$B$8+'Control Room'!$D$8)/2))+SQRT(1-'Control Room'!$B$9^2)*(AC333-IF('Control Room'!$B$5="Normal",'Control Room'!$B$7,('Control Room'!$B$8+'Control Room'!$D$8)/2))</x:f>
        <x:v>975.4412858142819</x:v>
      </x:c>
      <x:c r="AE333" s="17" t="n">
        <x:f>IF(AND($A333&gt;='Control Room'!$A$13,$A333&lt;'Control Room'!$A$13+'Control Room'!$B$13,'Process'!BP2=1),1+('Control Room'!$C$13-1)*EXP(-0.5*(($A333-'Control Room'!$A$13-('Control Room'!$B$13-1)/2)/MAX(0.5,'Control Room'!$B$13/4))^2),1)*IF(AND($A333&gt;='Control Room'!$A$14,$A333&lt;'Control Room'!$A$14+'Control Room'!$B$14,'Process'!BP3=1),1+('Control Room'!$C$14-1)*EXP(-0.5*(($A333-'Control Room'!$A$14-('Control Room'!$B$14-1)/2)/MAX(0.5,'Control Room'!$B$14/4))^2),1)*IF(AND($A333&gt;='Control Room'!$A$15,$A333&lt;'Control Room'!$A$15+'Control Room'!$B$15,'Process'!BP4=1),1+('Control Room'!$C$15-1)*EXP(-0.5*(($A333-'Control Room'!$A$15-('Control Room'!$B$15-1)/2)/MAX(0.5,'Control Room'!$B$15/4))^2),1)*IF(AND($A333&gt;='Control Room'!$A$16,$A333&lt;'Control Room'!$A$16+'Control Room'!$B$16,'Process'!BP5=1),1+('Control Room'!$C$16-1)*EXP(-0.5*(($A333-'Control Room'!$A$16-('Control Room'!$B$16-1)/2)/MAX(0.5,'Control Room'!$B$16/4))^2),1)</x:f>
        <x:v>1</x:v>
      </x:c>
      <x:c r="AF333" s="9" t="n">
        <x:f>MOD(AG332*16807,2147483647)</x:f>
        <x:v>189832608</x:v>
      </x:c>
      <x:c r="AG333" s="9" t="n">
        <x:f>MOD(AF333*16807,2147483647)</x:f>
        <x:v>1503426861</x:v>
      </x:c>
      <x:c r="AH333" s="17" t="n">
        <x:f>IF('Control Room'!$B$5="Normal",'Control Room'!$B$7+'Control Room'!$D$7*SQRT(-2*LN(MAX(0.000000000001,AF333/2147483647)))*COS(2*PI()*AG333/2147483647),'Control Room'!$B$8+('Control Room'!$D$8-'Control Room'!$B$8)*AF333/2147483647)</x:f>
        <x:v>938.8438632668067</x:v>
      </x:c>
      <x:c r="AI333" s="17" t="n">
        <x:f>IF('Control Room'!$B$5="Normal",'Control Room'!$B$7,('Control Room'!$B$8+'Control Room'!$D$8)/2)+'Control Room'!$B$9*(AI332-IF('Control Room'!$B$5="Normal",'Control Room'!$B$7,('Control Room'!$B$8+'Control Room'!$D$8)/2))+SQRT(1-'Control Room'!$B$9^2)*(AH333-IF('Control Room'!$B$5="Normal",'Control Room'!$B$7,('Control Room'!$B$8+'Control Room'!$D$8)/2))</x:f>
        <x:v>902.3028440570339</x:v>
      </x:c>
      <x:c r="AJ333" s="17" t="n">
        <x:f>IF(AND($A333&gt;='Control Room'!$A$13,$A333&lt;'Control Room'!$A$13+'Control Room'!$B$13,'Process'!BQ2=1),1+('Control Room'!$C$13-1)*EXP(-0.5*(($A333-'Control Room'!$A$13-('Control Room'!$B$13-1)/2)/MAX(0.5,'Control Room'!$B$13/4))^2),1)*IF(AND($A333&gt;='Control Room'!$A$14,$A333&lt;'Control Room'!$A$14+'Control Room'!$B$14,'Process'!BQ3=1),1+('Control Room'!$C$14-1)*EXP(-0.5*(($A333-'Control Room'!$A$14-('Control Room'!$B$14-1)/2)/MAX(0.5,'Control Room'!$B$14/4))^2),1)*IF(AND($A333&gt;='Control Room'!$A$15,$A333&lt;'Control Room'!$A$15+'Control Room'!$B$15,'Process'!BQ4=1),1+('Control Room'!$C$15-1)*EXP(-0.5*(($A333-'Control Room'!$A$15-('Control Room'!$B$15-1)/2)/MAX(0.5,'Control Room'!$B$15/4))^2),1)*IF(AND($A333&gt;='Control Room'!$A$16,$A333&lt;'Control Room'!$A$16+'Control Room'!$B$16,'Process'!BQ5=1),1+('Control Room'!$C$16-1)*EXP(-0.5*(($A333-'Control Room'!$A$16-('Control Room'!$B$16-1)/2)/MAX(0.5,'Control Room'!$B$16/4))^2),1)</x:f>
        <x:v>1</x:v>
      </x:c>
      <x:c r="AK333" s="9" t="n">
        <x:f>MOD(AL332*16807,2147483647)</x:f>
        <x:v>1455943595</x:v>
      </x:c>
      <x:c r="AL333" s="9" t="n">
        <x:f>MOD(AK333*16807,2147483647)</x:f>
        <x:v>1615327247</x:v>
      </x:c>
      <x:c r="AM333" s="17" t="n">
        <x:f>IF('Control Room'!$B$5="Normal",'Control Room'!$B$7+'Control Room'!$D$7*SQRT(-2*LN(MAX(0.000000000001,AK333/2147483647)))*COS(2*PI()*AL333/2147483647),'Control Room'!$B$8+('Control Room'!$D$8-'Control Room'!$B$8)*AK333/2147483647)</x:f>
        <x:v>1001.0944744665312</x:v>
      </x:c>
      <x:c r="AN333" s="17" t="n">
        <x:f>IF('Control Room'!$B$5="Normal",'Control Room'!$B$7,('Control Room'!$B$8+'Control Room'!$D$8)/2)+'Control Room'!$B$9*(AN332-IF('Control Room'!$B$5="Normal",'Control Room'!$B$7,('Control Room'!$B$8+'Control Room'!$D$8)/2))+SQRT(1-'Control Room'!$B$9^2)*(AM333-IF('Control Room'!$B$5="Normal",'Control Room'!$B$7,('Control Room'!$B$8+'Control Room'!$D$8)/2))</x:f>
        <x:v>986.7548094139603</x:v>
      </x:c>
      <x:c r="AO333" s="17" t="n">
        <x:f>IF(AND($A333&gt;='Control Room'!$A$13,$A333&lt;'Control Room'!$A$13+'Control Room'!$B$13,'Process'!BR2=1),1+('Control Room'!$C$13-1)*EXP(-0.5*(($A333-'Control Room'!$A$13-('Control Room'!$B$13-1)/2)/MAX(0.5,'Control Room'!$B$13/4))^2),1)*IF(AND($A333&gt;='Control Room'!$A$14,$A333&lt;'Control Room'!$A$14+'Control Room'!$B$14,'Process'!BR3=1),1+('Control Room'!$C$14-1)*EXP(-0.5*(($A333-'Control Room'!$A$14-('Control Room'!$B$14-1)/2)/MAX(0.5,'Control Room'!$B$14/4))^2),1)*IF(AND($A333&gt;='Control Room'!$A$15,$A333&lt;'Control Room'!$A$15+'Control Room'!$B$15,'Process'!BR4=1),1+('Control Room'!$C$15-1)*EXP(-0.5*(($A333-'Control Room'!$A$15-('Control Room'!$B$15-1)/2)/MAX(0.5,'Control Room'!$B$15/4))^2),1)*IF(AND($A333&gt;='Control Room'!$A$16,$A333&lt;'Control Room'!$A$16+'Control Room'!$B$16,'Process'!BR5=1),1+('Control Room'!$C$16-1)*EXP(-0.5*(($A333-'Control Room'!$A$16-('Control Room'!$B$16-1)/2)/MAX(0.5,'Control Room'!$B$16/4))^2),1)</x:f>
        <x:v>1</x:v>
      </x:c>
      <x:c r="AP333" s="9" t="n">
        <x:f>MOD(AQ332*16807,2147483647)</x:f>
        <x:v>574570935</x:v>
      </x:c>
      <x:c r="AQ333" s="9" t="n">
        <x:f>MOD(AP333*16807,2147483647)</x:f>
        <x:v>1727227633</x:v>
      </x:c>
      <x:c r="AR333" s="17" t="n">
        <x:f>IF('Control Room'!$B$5="Normal",'Control Room'!$B$7+'Control Room'!$D$7*SQRT(-2*LN(MAX(0.000000000001,AP333/2147483647)))*COS(2*PI()*AQ333/2147483647),'Control Room'!$B$8+('Control Room'!$D$8-'Control Room'!$B$8)*AP333/2147483647)</x:f>
        <x:v>1048.9024377835526</x:v>
      </x:c>
      <x:c r="AS333" s="17" t="n">
        <x:f>IF('Control Room'!$B$5="Normal",'Control Room'!$B$7,('Control Room'!$B$8+'Control Room'!$D$8)/2)+'Control Room'!$B$9*(AS332-IF('Control Room'!$B$5="Normal",'Control Room'!$B$7,('Control Room'!$B$8+'Control Room'!$D$8)/2))+SQRT(1-'Control Room'!$B$9^2)*(AR333-IF('Control Room'!$B$5="Normal",'Control Room'!$B$7,('Control Room'!$B$8+'Control Room'!$D$8)/2))</x:f>
        <x:v>1241.7425689462073</x:v>
      </x:c>
      <x:c r="AT333" s="17" t="n">
        <x:f>IF(AND($A333&gt;='Control Room'!$A$13,$A333&lt;'Control Room'!$A$13+'Control Room'!$B$13,'Process'!BS2=1),1+('Control Room'!$C$13-1)*EXP(-0.5*(($A333-'Control Room'!$A$13-('Control Room'!$B$13-1)/2)/MAX(0.5,'Control Room'!$B$13/4))^2),1)*IF(AND($A333&gt;='Control Room'!$A$14,$A333&lt;'Control Room'!$A$14+'Control Room'!$B$14,'Process'!BS3=1),1+('Control Room'!$C$14-1)*EXP(-0.5*(($A333-'Control Room'!$A$14-('Control Room'!$B$14-1)/2)/MAX(0.5,'Control Room'!$B$14/4))^2),1)*IF(AND($A333&gt;='Control Room'!$A$15,$A333&lt;'Control Room'!$A$15+'Control Room'!$B$15,'Process'!BS4=1),1+('Control Room'!$C$15-1)*EXP(-0.5*(($A333-'Control Room'!$A$15-('Control Room'!$B$15-1)/2)/MAX(0.5,'Control Room'!$B$15/4))^2),1)*IF(AND($A333&gt;='Control Room'!$A$16,$A333&lt;'Control Room'!$A$16+'Control Room'!$B$16,'Process'!BS5=1),1+('Control Room'!$C$16-1)*EXP(-0.5*(($A333-'Control Room'!$A$16-('Control Room'!$B$16-1)/2)/MAX(0.5,'Control Room'!$B$16/4))^2),1)</x:f>
        <x:v>1</x:v>
      </x:c>
      <x:c r="AU333" s="9" t="n">
        <x:f>MOD(AV332*16807,2147483647)</x:f>
        <x:v>1840681922</x:v>
      </x:c>
      <x:c r="AV333" s="9" t="n">
        <x:f>MOD(AU333*16807,2147483647)</x:f>
        <x:v>1839128019</x:v>
      </x:c>
      <x:c r="AW333" s="17" t="n">
        <x:f>IF('Control Room'!$B$5="Normal",'Control Room'!$B$7+'Control Room'!$D$7*SQRT(-2*LN(MAX(0.000000000001,AU333/2147483647)))*COS(2*PI()*AV333/2147483647),'Control Room'!$B$8+('Control Room'!$D$8-'Control Room'!$B$8)*AU333/2147483647)</x:f>
        <x:v>1030.9782281164482</x:v>
      </x:c>
      <x:c r="AX333" s="17" t="n">
        <x:f>IF('Control Room'!$B$5="Normal",'Control Room'!$B$7,('Control Room'!$B$8+'Control Room'!$D$8)/2)+'Control Room'!$B$9*(AX332-IF('Control Room'!$B$5="Normal",'Control Room'!$B$7,('Control Room'!$B$8+'Control Room'!$D$8)/2))+SQRT(1-'Control Room'!$B$9^2)*(AW333-IF('Control Room'!$B$5="Normal",'Control Room'!$B$7,('Control Room'!$B$8+'Control Room'!$D$8)/2))</x:f>
        <x:v>998.6835194498999</x:v>
      </x:c>
      <x:c r="AY333" s="17" t="n">
        <x:f>IF(AND($A333&gt;='Control Room'!$A$13,$A333&lt;'Control Room'!$A$13+'Control Room'!$B$13,'Process'!BT2=1),1+('Control Room'!$C$13-1)*EXP(-0.5*(($A333-'Control Room'!$A$13-('Control Room'!$B$13-1)/2)/MAX(0.5,'Control Room'!$B$13/4))^2),1)*IF(AND($A333&gt;='Control Room'!$A$14,$A333&lt;'Control Room'!$A$14+'Control Room'!$B$14,'Process'!BT3=1),1+('Control Room'!$C$14-1)*EXP(-0.5*(($A333-'Control Room'!$A$14-('Control Room'!$B$14-1)/2)/MAX(0.5,'Control Room'!$B$14/4))^2),1)*IF(AND($A333&gt;='Control Room'!$A$15,$A333&lt;'Control Room'!$A$15+'Control Room'!$B$15,'Process'!BT4=1),1+('Control Room'!$C$15-1)*EXP(-0.5*(($A333-'Control Room'!$A$15-('Control Room'!$B$15-1)/2)/MAX(0.5,'Control Room'!$B$15/4))^2),1)*IF(AND($A333&gt;='Control Room'!$A$16,$A333&lt;'Control Room'!$A$16+'Control Room'!$B$16,'Process'!BT5=1),1+('Control Room'!$C$16-1)*EXP(-0.5*(($A333-'Control Room'!$A$16-('Control Room'!$B$16-1)/2)/MAX(0.5,'Control Room'!$B$16/4))^2),1)</x:f>
        <x:v>1</x:v>
      </x:c>
      <x:c r="AZ333" s="9" t="n">
        <x:f>MOD(BA332*16807,2147483647)</x:f>
        <x:v>959309262</x:v>
      </x:c>
      <x:c r="BA333" s="9" t="n">
        <x:f>MOD(AZ333*16807,2147483647)</x:f>
        <x:v>1951028405</x:v>
      </x:c>
      <x:c r="BB333" s="17" t="n">
        <x:f>IF('Control Room'!$B$5="Normal",'Control Room'!$B$7+'Control Room'!$D$7*SQRT(-2*LN(MAX(0.000000000001,AZ333/2147483647)))*COS(2*PI()*BA333/2147483647),'Control Room'!$B$8+('Control Room'!$D$8-'Control Room'!$B$8)*AZ333/2147483647)</x:f>
        <x:v>1095.8959922507179</x:v>
      </x:c>
      <x:c r="BC333" s="17" t="n">
        <x:f>IF('Control Room'!$B$5="Normal",'Control Room'!$B$7,('Control Room'!$B$8+'Control Room'!$D$8)/2)+'Control Room'!$B$9*(BC332-IF('Control Room'!$B$5="Normal",'Control Room'!$B$7,('Control Room'!$B$8+'Control Room'!$D$8)/2))+SQRT(1-'Control Room'!$B$9^2)*(BB333-IF('Control Room'!$B$5="Normal",'Control Room'!$B$7,('Control Room'!$B$8+'Control Room'!$D$8)/2))</x:f>
        <x:v>1067.6534015610173</x:v>
      </x:c>
      <x:c r="BD333" s="17" t="n">
        <x:f>IF(AND($A333&gt;='Control Room'!$A$13,$A333&lt;'Control Room'!$A$13+'Control Room'!$B$13,'Process'!BU2=1),1+('Control Room'!$C$13-1)*EXP(-0.5*(($A333-'Control Room'!$A$13-('Control Room'!$B$13-1)/2)/MAX(0.5,'Control Room'!$B$13/4))^2),1)*IF(AND($A333&gt;='Control Room'!$A$14,$A333&lt;'Control Room'!$A$14+'Control Room'!$B$14,'Process'!BU3=1),1+('Control Room'!$C$14-1)*EXP(-0.5*(($A333-'Control Room'!$A$14-('Control Room'!$B$14-1)/2)/MAX(0.5,'Control Room'!$B$14/4))^2),1)*IF(AND($A333&gt;='Control Room'!$A$15,$A333&lt;'Control Room'!$A$15+'Control Room'!$B$15,'Process'!BU4=1),1+('Control Room'!$C$15-1)*EXP(-0.5*(($A333-'Control Room'!$A$15-('Control Room'!$B$15-1)/2)/MAX(0.5,'Control Room'!$B$15/4))^2),1)*IF(AND($A333&gt;='Control Room'!$A$16,$A333&lt;'Control Room'!$A$16+'Control Room'!$B$16,'Process'!BU5=1),1+('Control Room'!$C$16-1)*EXP(-0.5*(($A333-'Control Room'!$A$16-('Control Room'!$B$16-1)/2)/MAX(0.5,'Control Room'!$B$16/4))^2),1)</x:f>
        <x:v>1</x:v>
      </x:c>
      <x:c r="BE333" s="9" t="n">
        <x:f>MOD(BF332*16807,2147483647)</x:f>
        <x:v>77936602</x:v>
      </x:c>
      <x:c r="BF333" s="9" t="n">
        <x:f>MOD(BE333*16807,2147483647)</x:f>
        <x:v>2062928791</x:v>
      </x:c>
      <x:c r="BG333" s="17" t="n">
        <x:f>IF('Control Room'!$B$5="Normal",'Control Room'!$B$7+'Control Room'!$D$7*SQRT(-2*LN(MAX(0.000000000001,BE333/2147483647)))*COS(2*PI()*BF333/2147483647),'Control Room'!$B$8+('Control Room'!$D$8-'Control Room'!$B$8)*BE333/2147483647)</x:f>
        <x:v>1224.722721509555</x:v>
      </x:c>
      <x:c r="BH333" s="17" t="n">
        <x:f>IF('Control Room'!$B$5="Normal",'Control Room'!$B$7,('Control Room'!$B$8+'Control Room'!$D$8)/2)+'Control Room'!$B$9*(BH332-IF('Control Room'!$B$5="Normal",'Control Room'!$B$7,('Control Room'!$B$8+'Control Room'!$D$8)/2))+SQRT(1-'Control Room'!$B$9^2)*(BG333-IF('Control Room'!$B$5="Normal",'Control Room'!$B$7,('Control Room'!$B$8+'Control Room'!$D$8)/2))</x:f>
        <x:v>1068.658026012118</x:v>
      </x:c>
      <x:c r="BI333" s="17" t="n">
        <x:f>IF(AND($A333&gt;='Control Room'!$A$13,$A333&lt;'Control Room'!$A$13+'Control Room'!$B$13,'Process'!BV2=1),1+('Control Room'!$C$13-1)*EXP(-0.5*(($A333-'Control Room'!$A$13-('Control Room'!$B$13-1)/2)/MAX(0.5,'Control Room'!$B$13/4))^2),1)*IF(AND($A333&gt;='Control Room'!$A$14,$A333&lt;'Control Room'!$A$14+'Control Room'!$B$14,'Process'!BV3=1),1+('Control Room'!$C$14-1)*EXP(-0.5*(($A333-'Control Room'!$A$14-('Control Room'!$B$14-1)/2)/MAX(0.5,'Control Room'!$B$14/4))^2),1)*IF(AND($A333&gt;='Control Room'!$A$15,$A333&lt;'Control Room'!$A$15+'Control Room'!$B$15,'Process'!BV4=1),1+('Control Room'!$C$15-1)*EXP(-0.5*(($A333-'Control Room'!$A$15-('Control Room'!$B$15-1)/2)/MAX(0.5,'Control Room'!$B$15/4))^2),1)*IF(AND($A333&gt;='Control Room'!$A$16,$A333&lt;'Control Room'!$A$16+'Control Room'!$B$16,'Process'!BV5=1),1+('Control Room'!$C$16-1)*EXP(-0.5*(($A333-'Control Room'!$A$16-('Control Room'!$B$16-1)/2)/MAX(0.5,'Control Room'!$B$16/4))^2),1)</x:f>
        <x:v>1</x:v>
      </x:c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Z333" t="str">
        <x:f>IF('Data'!A333="","",TEXT('Data'!A333,"mm-dd"))</x:f>
      </x:c>
    </x:row>
    <x:row r="334" ht="21" customHeight="1">
      <x:c r="A334" s="15" t="n">
        <x:f>'Control Room'!$B$1+332</x:f>
        <x:v>73323</x:v>
      </x:c>
      <x:c r="B334" s="9" t="n">
        <x:f>MOD(C333*16807,2147483647)</x:f>
        <x:v>1570502198</x:v>
      </x:c>
      <x:c r="C334" s="9" t="n">
        <x:f>MOD(B334*16807,2147483647)</x:f>
        <x:v>708936509</x:v>
      </x:c>
      <x:c r="D334" s="17" t="n">
        <x:f>IF('Control Room'!$B$5="Normal",'Control Room'!$B$7+'Control Room'!$D$7*SQRT(-2*LN(MAX(0.000000000001,B334/2147483647)))*COS(2*PI()*C334/2147483647),'Control Room'!$B$8+('Control Room'!$D$8-'Control Room'!$B$8)*B334/2147483647)</x:f>
        <x:v>965.6519107906362</x:v>
      </x:c>
      <x:c r="E334" s="17" t="n">
        <x:f>IF('Control Room'!$B$5="Normal",'Control Room'!$B$7,('Control Room'!$B$8+'Control Room'!$D$8)/2)+'Control Room'!$B$9*(E333-IF('Control Room'!$B$5="Normal",'Control Room'!$B$7,('Control Room'!$B$8+'Control Room'!$D$8)/2))+SQRT(1-'Control Room'!$B$9^2)*(D334-IF('Control Room'!$B$5="Normal",'Control Room'!$B$7,('Control Room'!$B$8+'Control Room'!$D$8)/2))</x:f>
        <x:v>904.4520672341762</x:v>
      </x:c>
      <x:c r="F334" s="17" t="n">
        <x:f>IF(AND($A334&gt;='Control Room'!$A$13,$A334&lt;'Control Room'!$A$13+'Control Room'!$B$13,'Process'!BK2=1),1+('Control Room'!$C$13-1)*EXP(-0.5*(($A334-'Control Room'!$A$13-('Control Room'!$B$13-1)/2)/MAX(0.5,'Control Room'!$B$13/4))^2),1)*IF(AND($A334&gt;='Control Room'!$A$14,$A334&lt;'Control Room'!$A$14+'Control Room'!$B$14,'Process'!BK3=1),1+('Control Room'!$C$14-1)*EXP(-0.5*(($A334-'Control Room'!$A$14-('Control Room'!$B$14-1)/2)/MAX(0.5,'Control Room'!$B$14/4))^2),1)*IF(AND($A334&gt;='Control Room'!$A$15,$A334&lt;'Control Room'!$A$15+'Control Room'!$B$15,'Process'!BK4=1),1+('Control Room'!$C$15-1)*EXP(-0.5*(($A334-'Control Room'!$A$15-('Control Room'!$B$15-1)/2)/MAX(0.5,'Control Room'!$B$15/4))^2),1)*IF(AND($A334&gt;='Control Room'!$A$16,$A334&lt;'Control Room'!$A$16+'Control Room'!$B$16,'Process'!BK5=1),1+('Control Room'!$C$16-1)*EXP(-0.5*(($A334-'Control Room'!$A$16-('Control Room'!$B$16-1)/2)/MAX(0.5,'Control Room'!$B$16/4))^2),1)</x:f>
        <x:v>1</x:v>
      </x:c>
      <x:c r="G334" s="9" t="n">
        <x:f>MOD(H333*16807,2147483647)</x:f>
        <x:v>1084614928</x:v>
      </x:c>
      <x:c r="H334" s="9" t="n">
        <x:f>MOD(G334*16807,2147483647)</x:f>
        <x:v>1281899160</x:v>
      </x:c>
      <x:c r="I334" s="17" t="n">
        <x:f>IF('Control Room'!$B$5="Normal",'Control Room'!$B$7+'Control Room'!$D$7*SQRT(-2*LN(MAX(0.000000000001,G334/2147483647)))*COS(2*PI()*H334/2147483647),'Control Room'!$B$8+('Control Room'!$D$8-'Control Room'!$B$8)*G334/2147483647)</x:f>
        <x:v>913.7198492767353</x:v>
      </x:c>
      <x:c r="J334" s="17" t="n">
        <x:f>IF('Control Room'!$B$5="Normal",'Control Room'!$B$7,('Control Room'!$B$8+'Control Room'!$D$8)/2)+'Control Room'!$B$9*(J333-IF('Control Room'!$B$5="Normal",'Control Room'!$B$7,('Control Room'!$B$8+'Control Room'!$D$8)/2))+SQRT(1-'Control Room'!$B$9^2)*(I334-IF('Control Room'!$B$5="Normal",'Control Room'!$B$7,('Control Room'!$B$8+'Control Room'!$D$8)/2))</x:f>
        <x:v>996.2476108191711</x:v>
      </x:c>
      <x:c r="K334" s="17" t="n">
        <x:f>IF(AND($A334&gt;='Control Room'!$A$13,$A334&lt;'Control Room'!$A$13+'Control Room'!$B$13,'Process'!BL2=1),1+('Control Room'!$C$13-1)*EXP(-0.5*(($A334-'Control Room'!$A$13-('Control Room'!$B$13-1)/2)/MAX(0.5,'Control Room'!$B$13/4))^2),1)*IF(AND($A334&gt;='Control Room'!$A$14,$A334&lt;'Control Room'!$A$14+'Control Room'!$B$14,'Process'!BL3=1),1+('Control Room'!$C$14-1)*EXP(-0.5*(($A334-'Control Room'!$A$14-('Control Room'!$B$14-1)/2)/MAX(0.5,'Control Room'!$B$14/4))^2),1)*IF(AND($A334&gt;='Control Room'!$A$15,$A334&lt;'Control Room'!$A$15+'Control Room'!$B$15,'Process'!BL4=1),1+('Control Room'!$C$15-1)*EXP(-0.5*(($A334-'Control Room'!$A$15-('Control Room'!$B$15-1)/2)/MAX(0.5,'Control Room'!$B$15/4))^2),1)*IF(AND($A334&gt;='Control Room'!$A$16,$A334&lt;'Control Room'!$A$16+'Control Room'!$B$16,'Process'!BL5=1),1+('Control Room'!$C$16-1)*EXP(-0.5*(($A334-'Control Room'!$A$16-('Control Room'!$B$16-1)/2)/MAX(0.5,'Control Room'!$B$16/4))^2),1)</x:f>
        <x:v>1</x:v>
      </x:c>
      <x:c r="L334" s="9" t="n">
        <x:f>MOD(M333*16807,2147483647)</x:f>
        <x:v>598727658</x:v>
      </x:c>
      <x:c r="M334" s="9" t="n">
        <x:f>MOD(L334*16807,2147483647)</x:f>
        <x:v>1854861811</x:v>
      </x:c>
      <x:c r="N334" s="17" t="n">
        <x:f>IF('Control Room'!$B$5="Normal",'Control Room'!$B$7+'Control Room'!$D$7*SQRT(-2*LN(MAX(0.000000000001,L334/2147483647)))*COS(2*PI()*M334/2147483647),'Control Room'!$B$8+('Control Room'!$D$8-'Control Room'!$B$8)*L334/2147483647)</x:f>
        <x:v>1094.267367953984</x:v>
      </x:c>
      <x:c r="O334" s="17" t="n">
        <x:f>IF('Control Room'!$B$5="Normal",'Control Room'!$B$7,('Control Room'!$B$8+'Control Room'!$D$8)/2)+'Control Room'!$B$9*(O333-IF('Control Room'!$B$5="Normal",'Control Room'!$B$7,('Control Room'!$B$8+'Control Room'!$D$8)/2))+SQRT(1-'Control Room'!$B$9^2)*(N334-IF('Control Room'!$B$5="Normal",'Control Room'!$B$7,('Control Room'!$B$8+'Control Room'!$D$8)/2))</x:f>
        <x:v>1023.9001773808329</x:v>
      </x:c>
      <x:c r="P334" s="17" t="n">
        <x:f>IF(AND($A334&gt;='Control Room'!$A$13,$A334&lt;'Control Room'!$A$13+'Control Room'!$B$13,'Process'!BM2=1),1+('Control Room'!$C$13-1)*EXP(-0.5*(($A334-'Control Room'!$A$13-('Control Room'!$B$13-1)/2)/MAX(0.5,'Control Room'!$B$13/4))^2),1)*IF(AND($A334&gt;='Control Room'!$A$14,$A334&lt;'Control Room'!$A$14+'Control Room'!$B$14,'Process'!BM3=1),1+('Control Room'!$C$14-1)*EXP(-0.5*(($A334-'Control Room'!$A$14-('Control Room'!$B$14-1)/2)/MAX(0.5,'Control Room'!$B$14/4))^2),1)*IF(AND($A334&gt;='Control Room'!$A$15,$A334&lt;'Control Room'!$A$15+'Control Room'!$B$15,'Process'!BM4=1),1+('Control Room'!$C$15-1)*EXP(-0.5*(($A334-'Control Room'!$A$15-('Control Room'!$B$15-1)/2)/MAX(0.5,'Control Room'!$B$15/4))^2),1)*IF(AND($A334&gt;='Control Room'!$A$16,$A334&lt;'Control Room'!$A$16+'Control Room'!$B$16,'Process'!BM5=1),1+('Control Room'!$C$16-1)*EXP(-0.5*(($A334-'Control Room'!$A$16-('Control Room'!$B$16-1)/2)/MAX(0.5,'Control Room'!$B$16/4))^2),1)</x:f>
        <x:v>1</x:v>
      </x:c>
      <x:c r="Q334" s="9" t="n">
        <x:f>MOD(R333*16807,2147483647)</x:f>
        <x:v>112840388</x:v>
      </x:c>
      <x:c r="R334" s="9" t="n">
        <x:f>MOD(Q334*16807,2147483647)</x:f>
        <x:v>280340815</x:v>
      </x:c>
      <x:c r="S334" s="17" t="n">
        <x:f>IF('Control Room'!$B$5="Normal",'Control Room'!$B$7+'Control Room'!$D$7*SQRT(-2*LN(MAX(0.000000000001,Q334/2147483647)))*COS(2*PI()*R334/2147483647),'Control Room'!$B$8+('Control Room'!$D$8-'Control Room'!$B$8)*Q334/2147483647)</x:f>
        <x:v>1149.0037313665675</x:v>
      </x:c>
      <x:c r="T334" s="17" t="n">
        <x:f>IF('Control Room'!$B$5="Normal",'Control Room'!$B$7,('Control Room'!$B$8+'Control Room'!$D$8)/2)+'Control Room'!$B$9*(T333-IF('Control Room'!$B$5="Normal",'Control Room'!$B$7,('Control Room'!$B$8+'Control Room'!$D$8)/2))+SQRT(1-'Control Room'!$B$9^2)*(S334-IF('Control Room'!$B$5="Normal",'Control Room'!$B$7,('Control Room'!$B$8+'Control Room'!$D$8)/2))</x:f>
        <x:v>1045.010247165191</x:v>
      </x:c>
      <x:c r="U334" s="17" t="n">
        <x:f>IF(AND($A334&gt;='Control Room'!$A$13,$A334&lt;'Control Room'!$A$13+'Control Room'!$B$13,'Process'!BN2=1),1+('Control Room'!$C$13-1)*EXP(-0.5*(($A334-'Control Room'!$A$13-('Control Room'!$B$13-1)/2)/MAX(0.5,'Control Room'!$B$13/4))^2),1)*IF(AND($A334&gt;='Control Room'!$A$14,$A334&lt;'Control Room'!$A$14+'Control Room'!$B$14,'Process'!BN3=1),1+('Control Room'!$C$14-1)*EXP(-0.5*(($A334-'Control Room'!$A$14-('Control Room'!$B$14-1)/2)/MAX(0.5,'Control Room'!$B$14/4))^2),1)*IF(AND($A334&gt;='Control Room'!$A$15,$A334&lt;'Control Room'!$A$15+'Control Room'!$B$15,'Process'!BN4=1),1+('Control Room'!$C$15-1)*EXP(-0.5*(($A334-'Control Room'!$A$15-('Control Room'!$B$15-1)/2)/MAX(0.5,'Control Room'!$B$15/4))^2),1)*IF(AND($A334&gt;='Control Room'!$A$16,$A334&lt;'Control Room'!$A$16+'Control Room'!$B$16,'Process'!BN5=1),1+('Control Room'!$C$16-1)*EXP(-0.5*(($A334-'Control Room'!$A$16-('Control Room'!$B$16-1)/2)/MAX(0.5,'Control Room'!$B$16/4))^2),1)</x:f>
        <x:v>1</x:v>
      </x:c>
      <x:c r="V334" s="9" t="n">
        <x:f>MOD(W333*16807,2147483647)</x:f>
        <x:v>1774436765</x:v>
      </x:c>
      <x:c r="W334" s="9" t="n">
        <x:f>MOD(V334*16807,2147483647)</x:f>
        <x:v>853303466</x:v>
      </x:c>
      <x:c r="X334" s="17" t="n">
        <x:f>IF('Control Room'!$B$5="Normal",'Control Room'!$B$7+'Control Room'!$D$7*SQRT(-2*LN(MAX(0.000000000001,V334/2147483647)))*COS(2*PI()*W334/2147483647),'Control Room'!$B$8+('Control Room'!$D$8-'Control Room'!$B$8)*V334/2147483647)</x:f>
        <x:v>955.5702130549096</x:v>
      </x:c>
      <x:c r="Y334" s="17" t="n">
        <x:f>IF('Control Room'!$B$5="Normal",'Control Room'!$B$7,('Control Room'!$B$8+'Control Room'!$D$8)/2)+'Control Room'!$B$9*(Y333-IF('Control Room'!$B$5="Normal",'Control Room'!$B$7,('Control Room'!$B$8+'Control Room'!$D$8)/2))+SQRT(1-'Control Room'!$B$9^2)*(X334-IF('Control Room'!$B$5="Normal",'Control Room'!$B$7,('Control Room'!$B$8+'Control Room'!$D$8)/2))</x:f>
        <x:v>1044.339491755858</x:v>
      </x:c>
      <x:c r="Z334" s="17" t="n">
        <x:f>IF(AND($A334&gt;='Control Room'!$A$13,$A334&lt;'Control Room'!$A$13+'Control Room'!$B$13,'Process'!BO2=1),1+('Control Room'!$C$13-1)*EXP(-0.5*(($A334-'Control Room'!$A$13-('Control Room'!$B$13-1)/2)/MAX(0.5,'Control Room'!$B$13/4))^2),1)*IF(AND($A334&gt;='Control Room'!$A$14,$A334&lt;'Control Room'!$A$14+'Control Room'!$B$14,'Process'!BO3=1),1+('Control Room'!$C$14-1)*EXP(-0.5*(($A334-'Control Room'!$A$14-('Control Room'!$B$14-1)/2)/MAX(0.5,'Control Room'!$B$14/4))^2),1)*IF(AND($A334&gt;='Control Room'!$A$15,$A334&lt;'Control Room'!$A$15+'Control Room'!$B$15,'Process'!BO4=1),1+('Control Room'!$C$15-1)*EXP(-0.5*(($A334-'Control Room'!$A$15-('Control Room'!$B$15-1)/2)/MAX(0.5,'Control Room'!$B$15/4))^2),1)*IF(AND($A334&gt;='Control Room'!$A$16,$A334&lt;'Control Room'!$A$16+'Control Room'!$B$16,'Process'!BO5=1),1+('Control Room'!$C$16-1)*EXP(-0.5*(($A334-'Control Room'!$A$16-('Control Room'!$B$16-1)/2)/MAX(0.5,'Control Room'!$B$16/4))^2),1)</x:f>
        <x:v>1</x:v>
      </x:c>
      <x:c r="AA334" s="9" t="n">
        <x:f>MOD(AB333*16807,2147483647)</x:f>
        <x:v>1288549495</x:v>
      </x:c>
      <x:c r="AB334" s="9" t="n">
        <x:f>MOD(AA334*16807,2147483647)</x:f>
        <x:v>1426266117</x:v>
      </x:c>
      <x:c r="AC334" s="17" t="n">
        <x:f>IF('Control Room'!$B$5="Normal",'Control Room'!$B$7+'Control Room'!$D$7*SQRT(-2*LN(MAX(0.000000000001,AA334/2147483647)))*COS(2*PI()*AB334/2147483647),'Control Room'!$B$8+('Control Room'!$D$8-'Control Room'!$B$8)*AA334/2147483647)</x:f>
        <x:v>953.2809432627196</x:v>
      </x:c>
      <x:c r="AD334" s="17" t="n">
        <x:f>IF('Control Room'!$B$5="Normal",'Control Room'!$B$7,('Control Room'!$B$8+'Control Room'!$D$8)/2)+'Control Room'!$B$9*(AD333-IF('Control Room'!$B$5="Normal",'Control Room'!$B$7,('Control Room'!$B$8+'Control Room'!$D$8)/2))+SQRT(1-'Control Room'!$B$9^2)*(AC334-IF('Control Room'!$B$5="Normal",'Control Room'!$B$7,('Control Room'!$B$8+'Control Room'!$D$8)/2))</x:f>
        <x:v>951.6083743208496</x:v>
      </x:c>
      <x:c r="AE334" s="17" t="n">
        <x:f>IF(AND($A334&gt;='Control Room'!$A$13,$A334&lt;'Control Room'!$A$13+'Control Room'!$B$13,'Process'!BP2=1),1+('Control Room'!$C$13-1)*EXP(-0.5*(($A334-'Control Room'!$A$13-('Control Room'!$B$13-1)/2)/MAX(0.5,'Control Room'!$B$13/4))^2),1)*IF(AND($A334&gt;='Control Room'!$A$14,$A334&lt;'Control Room'!$A$14+'Control Room'!$B$14,'Process'!BP3=1),1+('Control Room'!$C$14-1)*EXP(-0.5*(($A334-'Control Room'!$A$14-('Control Room'!$B$14-1)/2)/MAX(0.5,'Control Room'!$B$14/4))^2),1)*IF(AND($A334&gt;='Control Room'!$A$15,$A334&lt;'Control Room'!$A$15+'Control Room'!$B$15,'Process'!BP4=1),1+('Control Room'!$C$15-1)*EXP(-0.5*(($A334-'Control Room'!$A$15-('Control Room'!$B$15-1)/2)/MAX(0.5,'Control Room'!$B$15/4))^2),1)*IF(AND($A334&gt;='Control Room'!$A$16,$A334&lt;'Control Room'!$A$16+'Control Room'!$B$16,'Process'!BP5=1),1+('Control Room'!$C$16-1)*EXP(-0.5*(($A334-'Control Room'!$A$16-('Control Room'!$B$16-1)/2)/MAX(0.5,'Control Room'!$B$16/4))^2),1)</x:f>
        <x:v>1</x:v>
      </x:c>
      <x:c r="AF334" s="9" t="n">
        <x:f>MOD(AG333*16807,2147483647)</x:f>
        <x:v>802662225</x:v>
      </x:c>
      <x:c r="AG334" s="9" t="n">
        <x:f>MOD(AF334*16807,2147483647)</x:f>
        <x:v>1999228768</x:v>
      </x:c>
      <x:c r="AH334" s="17" t="n">
        <x:f>IF('Control Room'!$B$5="Normal",'Control Room'!$B$7+'Control Room'!$D$7*SQRT(-2*LN(MAX(0.000000000001,AF334/2147483647)))*COS(2*PI()*AG334/2147483647),'Control Room'!$B$8+('Control Room'!$D$8-'Control Room'!$B$8)*AF334/2147483647)</x:f>
        <x:v>1114.5708391680714</x:v>
      </x:c>
      <x:c r="AI334" s="17" t="n">
        <x:f>IF('Control Room'!$B$5="Normal",'Control Room'!$B$7,('Control Room'!$B$8+'Control Room'!$D$8)/2)+'Control Room'!$B$9*(AI333-IF('Control Room'!$B$5="Normal",'Control Room'!$B$7,('Control Room'!$B$8+'Control Room'!$D$8)/2))+SQRT(1-'Control Room'!$B$9^2)*(AH334-IF('Control Room'!$B$5="Normal",'Control Room'!$B$7,('Control Room'!$B$8+'Control Room'!$D$8)/2))</x:f>
        <x:v>995.4923024046483</x:v>
      </x:c>
      <x:c r="AJ334" s="17" t="n">
        <x:f>IF(AND($A334&gt;='Control Room'!$A$13,$A334&lt;'Control Room'!$A$13+'Control Room'!$B$13,'Process'!BQ2=1),1+('Control Room'!$C$13-1)*EXP(-0.5*(($A334-'Control Room'!$A$13-('Control Room'!$B$13-1)/2)/MAX(0.5,'Control Room'!$B$13/4))^2),1)*IF(AND($A334&gt;='Control Room'!$A$14,$A334&lt;'Control Room'!$A$14+'Control Room'!$B$14,'Process'!BQ3=1),1+('Control Room'!$C$14-1)*EXP(-0.5*(($A334-'Control Room'!$A$14-('Control Room'!$B$14-1)/2)/MAX(0.5,'Control Room'!$B$14/4))^2),1)*IF(AND($A334&gt;='Control Room'!$A$15,$A334&lt;'Control Room'!$A$15+'Control Room'!$B$15,'Process'!BQ4=1),1+('Control Room'!$C$15-1)*EXP(-0.5*(($A334-'Control Room'!$A$15-('Control Room'!$B$15-1)/2)/MAX(0.5,'Control Room'!$B$15/4))^2),1)*IF(AND($A334&gt;='Control Room'!$A$16,$A334&lt;'Control Room'!$A$16+'Control Room'!$B$16,'Process'!BQ5=1),1+('Control Room'!$C$16-1)*EXP(-0.5*(($A334-'Control Room'!$A$16-('Control Room'!$B$16-1)/2)/MAX(0.5,'Control Room'!$B$16/4))^2),1)</x:f>
        <x:v>1</x:v>
      </x:c>
      <x:c r="AK334" s="9" t="n">
        <x:f>MOD(AL333*16807,2147483647)</x:f>
        <x:v>316774955</x:v>
      </x:c>
      <x:c r="AL334" s="9" t="n">
        <x:f>MOD(AK334*16807,2147483647)</x:f>
        <x:v>424707772</x:v>
      </x:c>
      <x:c r="AM334" s="17" t="n">
        <x:f>IF('Control Room'!$B$5="Normal",'Control Room'!$B$7+'Control Room'!$D$7*SQRT(-2*LN(MAX(0.000000000001,AK334/2147483647)))*COS(2*PI()*AL334/2147483647),'Control Room'!$B$8+('Control Room'!$D$8-'Control Room'!$B$8)*AK334/2147483647)</x:f>
        <x:v>1056.7530640594923</x:v>
      </x:c>
      <x:c r="AN334" s="17" t="n">
        <x:f>IF('Control Room'!$B$5="Normal",'Control Room'!$B$7,('Control Room'!$B$8+'Control Room'!$D$8)/2)+'Control Room'!$B$9*(AN333-IF('Control Room'!$B$5="Normal",'Control Room'!$B$7,('Control Room'!$B$8+'Control Room'!$D$8)/2))+SQRT(1-'Control Room'!$B$9^2)*(AM334-IF('Control Room'!$B$5="Normal",'Control Room'!$B$7,('Control Room'!$B$8+'Control Room'!$D$8)/2))</x:f>
        <x:v>1025.1836561816065</x:v>
      </x:c>
      <x:c r="AO334" s="17" t="n">
        <x:f>IF(AND($A334&gt;='Control Room'!$A$13,$A334&lt;'Control Room'!$A$13+'Control Room'!$B$13,'Process'!BR2=1),1+('Control Room'!$C$13-1)*EXP(-0.5*(($A334-'Control Room'!$A$13-('Control Room'!$B$13-1)/2)/MAX(0.5,'Control Room'!$B$13/4))^2),1)*IF(AND($A334&gt;='Control Room'!$A$14,$A334&lt;'Control Room'!$A$14+'Control Room'!$B$14,'Process'!BR3=1),1+('Control Room'!$C$14-1)*EXP(-0.5*(($A334-'Control Room'!$A$14-('Control Room'!$B$14-1)/2)/MAX(0.5,'Control Room'!$B$14/4))^2),1)*IF(AND($A334&gt;='Control Room'!$A$15,$A334&lt;'Control Room'!$A$15+'Control Room'!$B$15,'Process'!BR4=1),1+('Control Room'!$C$15-1)*EXP(-0.5*(($A334-'Control Room'!$A$15-('Control Room'!$B$15-1)/2)/MAX(0.5,'Control Room'!$B$15/4))^2),1)*IF(AND($A334&gt;='Control Room'!$A$16,$A334&lt;'Control Room'!$A$16+'Control Room'!$B$16,'Process'!BR5=1),1+('Control Room'!$C$16-1)*EXP(-0.5*(($A334-'Control Room'!$A$16-('Control Room'!$B$16-1)/2)/MAX(0.5,'Control Room'!$B$16/4))^2),1)</x:f>
        <x:v>1</x:v>
      </x:c>
      <x:c r="AP334" s="9" t="n">
        <x:f>MOD(AQ333*16807,2147483647)</x:f>
        <x:v>1978371332</x:v>
      </x:c>
      <x:c r="AQ334" s="9" t="n">
        <x:f>MOD(AP334*16807,2147483647)</x:f>
        <x:v>997670423</x:v>
      </x:c>
      <x:c r="AR334" s="17" t="n">
        <x:f>IF('Control Room'!$B$5="Normal",'Control Room'!$B$7+'Control Room'!$D$7*SQRT(-2*LN(MAX(0.000000000001,AP334/2147483647)))*COS(2*PI()*AQ334/2147483647),'Control Room'!$B$8+('Control Room'!$D$8-'Control Room'!$B$8)*AP334/2147483647)</x:f>
        <x:v>964.4468829108262</x:v>
      </x:c>
      <x:c r="AS334" s="17" t="n">
        <x:f>IF('Control Room'!$B$5="Normal",'Control Room'!$B$7,('Control Room'!$B$8+'Control Room'!$D$8)/2)+'Control Room'!$B$9*(AS333-IF('Control Room'!$B$5="Normal",'Control Room'!$B$7,('Control Room'!$B$8+'Control Room'!$D$8)/2))+SQRT(1-'Control Room'!$B$9^2)*(AR334-IF('Control Room'!$B$5="Normal",'Control Room'!$B$7,('Control Room'!$B$8+'Control Room'!$D$8)/2))</x:f>
        <x:v>1166.3107914488291</x:v>
      </x:c>
      <x:c r="AT334" s="17" t="n">
        <x:f>IF(AND($A334&gt;='Control Room'!$A$13,$A334&lt;'Control Room'!$A$13+'Control Room'!$B$13,'Process'!BS2=1),1+('Control Room'!$C$13-1)*EXP(-0.5*(($A334-'Control Room'!$A$13-('Control Room'!$B$13-1)/2)/MAX(0.5,'Control Room'!$B$13/4))^2),1)*IF(AND($A334&gt;='Control Room'!$A$14,$A334&lt;'Control Room'!$A$14+'Control Room'!$B$14,'Process'!BS3=1),1+('Control Room'!$C$14-1)*EXP(-0.5*(($A334-'Control Room'!$A$14-('Control Room'!$B$14-1)/2)/MAX(0.5,'Control Room'!$B$14/4))^2),1)*IF(AND($A334&gt;='Control Room'!$A$15,$A334&lt;'Control Room'!$A$15+'Control Room'!$B$15,'Process'!BS4=1),1+('Control Room'!$C$15-1)*EXP(-0.5*(($A334-'Control Room'!$A$15-('Control Room'!$B$15-1)/2)/MAX(0.5,'Control Room'!$B$15/4))^2),1)*IF(AND($A334&gt;='Control Room'!$A$16,$A334&lt;'Control Room'!$A$16+'Control Room'!$B$16,'Process'!BS5=1),1+('Control Room'!$C$16-1)*EXP(-0.5*(($A334-'Control Room'!$A$16-('Control Room'!$B$16-1)/2)/MAX(0.5,'Control Room'!$B$16/4))^2),1)</x:f>
        <x:v>1</x:v>
      </x:c>
      <x:c r="AU334" s="9" t="n">
        <x:f>MOD(AV333*16807,2147483647)</x:f>
        <x:v>1492484062</x:v>
      </x:c>
      <x:c r="AV334" s="9" t="n">
        <x:f>MOD(AU334*16807,2147483647)</x:f>
        <x:v>1570633074</x:v>
      </x:c>
      <x:c r="AW334" s="17" t="n">
        <x:f>IF('Control Room'!$B$5="Normal",'Control Room'!$B$7+'Control Room'!$D$7*SQRT(-2*LN(MAX(0.000000000001,AU334/2147483647)))*COS(2*PI()*AV334/2147483647),'Control Room'!$B$8+('Control Room'!$D$8-'Control Room'!$B$8)*AU334/2147483647)</x:f>
        <x:v>991.0397554249352</x:v>
      </x:c>
      <x:c r="AX334" s="17" t="n">
        <x:f>IF('Control Room'!$B$5="Normal",'Control Room'!$B$7,('Control Room'!$B$8+'Control Room'!$D$8)/2)+'Control Room'!$B$9*(AX333-IF('Control Room'!$B$5="Normal",'Control Room'!$B$7,('Control Room'!$B$8+'Control Room'!$D$8)/2))+SQRT(1-'Control Room'!$B$9^2)*(AW334-IF('Control Room'!$B$5="Normal",'Control Room'!$B$7,('Control Room'!$B$8+'Control Room'!$D$8)/2))</x:f>
        <x:v>993.3660076764339</x:v>
      </x:c>
      <x:c r="AY334" s="17" t="n">
        <x:f>IF(AND($A334&gt;='Control Room'!$A$13,$A334&lt;'Control Room'!$A$13+'Control Room'!$B$13,'Process'!BT2=1),1+('Control Room'!$C$13-1)*EXP(-0.5*(($A334-'Control Room'!$A$13-('Control Room'!$B$13-1)/2)/MAX(0.5,'Control Room'!$B$13/4))^2),1)*IF(AND($A334&gt;='Control Room'!$A$14,$A334&lt;'Control Room'!$A$14+'Control Room'!$B$14,'Process'!BT3=1),1+('Control Room'!$C$14-1)*EXP(-0.5*(($A334-'Control Room'!$A$14-('Control Room'!$B$14-1)/2)/MAX(0.5,'Control Room'!$B$14/4))^2),1)*IF(AND($A334&gt;='Control Room'!$A$15,$A334&lt;'Control Room'!$A$15+'Control Room'!$B$15,'Process'!BT4=1),1+('Control Room'!$C$15-1)*EXP(-0.5*(($A334-'Control Room'!$A$15-('Control Room'!$B$15-1)/2)/MAX(0.5,'Control Room'!$B$15/4))^2),1)*IF(AND($A334&gt;='Control Room'!$A$16,$A334&lt;'Control Room'!$A$16+'Control Room'!$B$16,'Process'!BT5=1),1+('Control Room'!$C$16-1)*EXP(-0.5*(($A334-'Control Room'!$A$16-('Control Room'!$B$16-1)/2)/MAX(0.5,'Control Room'!$B$16/4))^2),1)</x:f>
        <x:v>1</x:v>
      </x:c>
      <x:c r="AZ334" s="9" t="n">
        <x:f>MOD(BA333*16807,2147483647)</x:f>
        <x:v>1006596792</x:v>
      </x:c>
      <x:c r="BA334" s="9" t="n">
        <x:f>MOD(AZ334*16807,2147483647)</x:f>
        <x:v>2143595725</x:v>
      </x:c>
      <x:c r="BB334" s="17" t="n">
        <x:f>IF('Control Room'!$B$5="Normal",'Control Room'!$B$7+'Control Room'!$D$7*SQRT(-2*LN(MAX(0.000000000001,AZ334/2147483647)))*COS(2*PI()*BA334/2147483647),'Control Room'!$B$8+('Control Room'!$D$8-'Control Room'!$B$8)*AZ334/2147483647)</x:f>
        <x:v>1110.785838896722</x:v>
      </x:c>
      <x:c r="BC334" s="17" t="n">
        <x:f>IF('Control Room'!$B$5="Normal",'Control Room'!$B$7,('Control Room'!$B$8+'Control Room'!$D$8)/2)+'Control Room'!$B$9*(BC333-IF('Control Room'!$B$5="Normal",'Control Room'!$B$7,('Control Room'!$B$8+'Control Room'!$D$8)/2))+SQRT(1-'Control Room'!$B$9^2)*(BB334-IF('Control Room'!$B$5="Normal",'Control Room'!$B$7,('Control Room'!$B$8+'Control Room'!$D$8)/2))</x:f>
        <x:v>1122.09716162789</x:v>
      </x:c>
      <x:c r="BD334" s="17" t="n">
        <x:f>IF(AND($A334&gt;='Control Room'!$A$13,$A334&lt;'Control Room'!$A$13+'Control Room'!$B$13,'Process'!BU2=1),1+('Control Room'!$C$13-1)*EXP(-0.5*(($A334-'Control Room'!$A$13-('Control Room'!$B$13-1)/2)/MAX(0.5,'Control Room'!$B$13/4))^2),1)*IF(AND($A334&gt;='Control Room'!$A$14,$A334&lt;'Control Room'!$A$14+'Control Room'!$B$14,'Process'!BU3=1),1+('Control Room'!$C$14-1)*EXP(-0.5*(($A334-'Control Room'!$A$14-('Control Room'!$B$14-1)/2)/MAX(0.5,'Control Room'!$B$14/4))^2),1)*IF(AND($A334&gt;='Control Room'!$A$15,$A334&lt;'Control Room'!$A$15+'Control Room'!$B$15,'Process'!BU4=1),1+('Control Room'!$C$15-1)*EXP(-0.5*(($A334-'Control Room'!$A$15-('Control Room'!$B$15-1)/2)/MAX(0.5,'Control Room'!$B$15/4))^2),1)*IF(AND($A334&gt;='Control Room'!$A$16,$A334&lt;'Control Room'!$A$16+'Control Room'!$B$16,'Process'!BU5=1),1+('Control Room'!$C$16-1)*EXP(-0.5*(($A334-'Control Room'!$A$16-('Control Room'!$B$16-1)/2)/MAX(0.5,'Control Room'!$B$16/4))^2),1)</x:f>
        <x:v>1</x:v>
      </x:c>
      <x:c r="BE334" s="9" t="n">
        <x:f>MOD(BF333*16807,2147483647)</x:f>
        <x:v>520709522</x:v>
      </x:c>
      <x:c r="BF334" s="9" t="n">
        <x:f>MOD(BE334*16807,2147483647)</x:f>
        <x:v>569074729</x:v>
      </x:c>
      <x:c r="BG334" s="17" t="n">
        <x:f>IF('Control Room'!$B$5="Normal",'Control Room'!$B$7+'Control Room'!$D$7*SQRT(-2*LN(MAX(0.000000000001,BE334/2147483647)))*COS(2*PI()*BF334/2147483647),'Control Room'!$B$8+('Control Room'!$D$8-'Control Room'!$B$8)*BE334/2147483647)</x:f>
        <x:v>985.746041644171</x:v>
      </x:c>
      <x:c r="BH334" s="17" t="n">
        <x:f>IF('Control Room'!$B$5="Normal",'Control Room'!$B$7,('Control Room'!$B$8+'Control Room'!$D$8)/2)+'Control Room'!$B$9*(BH333-IF('Control Room'!$B$5="Normal",'Control Room'!$B$7,('Control Room'!$B$8+'Control Room'!$D$8)/2))+SQRT(1-'Control Room'!$B$9^2)*(BG334-IF('Control Room'!$B$5="Normal",'Control Room'!$B$7,('Control Room'!$B$8+'Control Room'!$D$8)/2))</x:f>
        <x:v>1044.6334251585833</x:v>
      </x:c>
      <x:c r="BI334" s="17" t="n">
        <x:f>IF(AND($A334&gt;='Control Room'!$A$13,$A334&lt;'Control Room'!$A$13+'Control Room'!$B$13,'Process'!BV2=1),1+('Control Room'!$C$13-1)*EXP(-0.5*(($A334-'Control Room'!$A$13-('Control Room'!$B$13-1)/2)/MAX(0.5,'Control Room'!$B$13/4))^2),1)*IF(AND($A334&gt;='Control Room'!$A$14,$A334&lt;'Control Room'!$A$14+'Control Room'!$B$14,'Process'!BV3=1),1+('Control Room'!$C$14-1)*EXP(-0.5*(($A334-'Control Room'!$A$14-('Control Room'!$B$14-1)/2)/MAX(0.5,'Control Room'!$B$14/4))^2),1)*IF(AND($A334&gt;='Control Room'!$A$15,$A334&lt;'Control Room'!$A$15+'Control Room'!$B$15,'Process'!BV4=1),1+('Control Room'!$C$15-1)*EXP(-0.5*(($A334-'Control Room'!$A$15-('Control Room'!$B$15-1)/2)/MAX(0.5,'Control Room'!$B$15/4))^2),1)*IF(AND($A334&gt;='Control Room'!$A$16,$A334&lt;'Control Room'!$A$16+'Control Room'!$B$16,'Process'!BV5=1),1+('Control Room'!$C$16-1)*EXP(-0.5*(($A334-'Control Room'!$A$16-('Control Room'!$B$16-1)/2)/MAX(0.5,'Control Room'!$B$16/4))^2),1)</x:f>
        <x:v>1</x:v>
      </x:c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Z334" t="str">
        <x:f>IF('Data'!A334="","",TEXT('Data'!A334,"mm-dd"))</x:f>
      </x:c>
    </x:row>
    <x:row r="335" ht="21" customHeight="1">
      <x:c r="A335" s="15" t="n">
        <x:f>'Control Room'!$B$1+333</x:f>
        <x:v>73324</x:v>
      </x:c>
      <x:c r="B335" s="9" t="n">
        <x:f>MOD(C334*16807,2147483647)</x:f>
        <x:v>856633207</x:v>
      </x:c>
      <x:c r="C335" s="9" t="n">
        <x:f>MOD(B335*16807,2147483647)</x:f>
        <x:v>703940561</x:v>
      </x:c>
      <x:c r="D335" s="17" t="n">
        <x:f>IF('Control Room'!$B$5="Normal",'Control Room'!$B$7+'Control Room'!$D$7*SQRT(-2*LN(MAX(0.000000000001,B335/2147483647)))*COS(2*PI()*C335/2147483647),'Control Room'!$B$8+('Control Room'!$D$8-'Control Room'!$B$8)*B335/2147483647)</x:f>
        <x:v>942.7022438324544</x:v>
      </x:c>
      <x:c r="E335" s="17" t="n">
        <x:f>IF('Control Room'!$B$5="Normal",'Control Room'!$B$7,('Control Room'!$B$8+'Control Room'!$D$8)/2)+'Control Room'!$B$9*(E334-IF('Control Room'!$B$5="Normal",'Control Room'!$B$7,('Control Room'!$B$8+'Control Room'!$D$8)/2))+SQRT(1-'Control Room'!$B$9^2)*(D335-IF('Control Room'!$B$5="Normal",'Control Room'!$B$7,('Control Room'!$B$8+'Control Room'!$D$8)/2))</x:f>
        <x:v>889.6168504413447</x:v>
      </x:c>
      <x:c r="F335" s="17" t="n">
        <x:f>IF(AND($A335&gt;='Control Room'!$A$13,$A335&lt;'Control Room'!$A$13+'Control Room'!$B$13,'Process'!BK2=1),1+('Control Room'!$C$13-1)*EXP(-0.5*(($A335-'Control Room'!$A$13-('Control Room'!$B$13-1)/2)/MAX(0.5,'Control Room'!$B$13/4))^2),1)*IF(AND($A335&gt;='Control Room'!$A$14,$A335&lt;'Control Room'!$A$14+'Control Room'!$B$14,'Process'!BK3=1),1+('Control Room'!$C$14-1)*EXP(-0.5*(($A335-'Control Room'!$A$14-('Control Room'!$B$14-1)/2)/MAX(0.5,'Control Room'!$B$14/4))^2),1)*IF(AND($A335&gt;='Control Room'!$A$15,$A335&lt;'Control Room'!$A$15+'Control Room'!$B$15,'Process'!BK4=1),1+('Control Room'!$C$15-1)*EXP(-0.5*(($A335-'Control Room'!$A$15-('Control Room'!$B$15-1)/2)/MAX(0.5,'Control Room'!$B$15/4))^2),1)*IF(AND($A335&gt;='Control Room'!$A$16,$A335&lt;'Control Room'!$A$16+'Control Room'!$B$16,'Process'!BK5=1),1+('Control Room'!$C$16-1)*EXP(-0.5*(($A335-'Control Room'!$A$16-('Control Room'!$B$16-1)/2)/MAX(0.5,'Control Room'!$B$16/4))^2),1)</x:f>
        <x:v>1</x:v>
      </x:c>
      <x:c r="G335" s="9" t="n">
        <x:f>MOD(H334*16807,2147483647)</x:f>
        <x:v>1323235416</x:v>
      </x:c>
      <x:c r="H335" s="9" t="n">
        <x:f>MOD(G335*16807,2147483647)</x:f>
        <x:v>276988380</x:v>
      </x:c>
      <x:c r="I335" s="17" t="n">
        <x:f>IF('Control Room'!$B$5="Normal",'Control Room'!$B$7+'Control Room'!$D$7*SQRT(-2*LN(MAX(0.000000000001,G335/2147483647)))*COS(2*PI()*H335/2147483647),'Control Room'!$B$8+('Control Room'!$D$8-'Control Room'!$B$8)*G335/2147483647)</x:f>
        <x:v>1061.0404745914984</x:v>
      </x:c>
      <x:c r="J335" s="17" t="n">
        <x:f>IF('Control Room'!$B$5="Normal",'Control Room'!$B$7,('Control Room'!$B$8+'Control Room'!$D$8)/2)+'Control Room'!$B$9*(J334-IF('Control Room'!$B$5="Normal",'Control Room'!$B$7,('Control Room'!$B$8+'Control Room'!$D$8)/2))+SQRT(1-'Control Room'!$B$9^2)*(I335-IF('Control Room'!$B$5="Normal",'Control Room'!$B$7,('Control Room'!$B$8+'Control Room'!$D$8)/2))</x:f>
        <x:v>1035.2710149562215</x:v>
      </x:c>
      <x:c r="K335" s="17" t="n">
        <x:f>IF(AND($A335&gt;='Control Room'!$A$13,$A335&lt;'Control Room'!$A$13+'Control Room'!$B$13,'Process'!BL2=1),1+('Control Room'!$C$13-1)*EXP(-0.5*(($A335-'Control Room'!$A$13-('Control Room'!$B$13-1)/2)/MAX(0.5,'Control Room'!$B$13/4))^2),1)*IF(AND($A335&gt;='Control Room'!$A$14,$A335&lt;'Control Room'!$A$14+'Control Room'!$B$14,'Process'!BL3=1),1+('Control Room'!$C$14-1)*EXP(-0.5*(($A335-'Control Room'!$A$14-('Control Room'!$B$14-1)/2)/MAX(0.5,'Control Room'!$B$14/4))^2),1)*IF(AND($A335&gt;='Control Room'!$A$15,$A335&lt;'Control Room'!$A$15+'Control Room'!$B$15,'Process'!BL4=1),1+('Control Room'!$C$15-1)*EXP(-0.5*(($A335-'Control Room'!$A$15-('Control Room'!$B$15-1)/2)/MAX(0.5,'Control Room'!$B$15/4))^2),1)*IF(AND($A335&gt;='Control Room'!$A$16,$A335&lt;'Control Room'!$A$16+'Control Room'!$B$16,'Process'!BL5=1),1+('Control Room'!$C$16-1)*EXP(-0.5*(($A335-'Control Room'!$A$16-('Control Room'!$B$16-1)/2)/MAX(0.5,'Control Room'!$B$16/4))^2),1)</x:f>
        <x:v>1</x:v>
      </x:c>
      <x:c r="L335" s="9" t="n">
        <x:f>MOD(M334*16807,2147483647)</x:f>
        <x:v>1789837625</x:v>
      </x:c>
      <x:c r="M335" s="9" t="n">
        <x:f>MOD(L335*16807,2147483647)</x:f>
        <x:v>1997519846</x:v>
      </x:c>
      <x:c r="N335" s="17" t="n">
        <x:f>IF('Control Room'!$B$5="Normal",'Control Room'!$B$7+'Control Room'!$D$7*SQRT(-2*LN(MAX(0.000000000001,L335/2147483647)))*COS(2*PI()*M335/2147483647),'Control Room'!$B$8+('Control Room'!$D$8-'Control Room'!$B$8)*L335/2147483647)</x:f>
        <x:v>1049.1788898032382</x:v>
      </x:c>
      <x:c r="O335" s="17" t="n">
        <x:f>IF('Control Room'!$B$5="Normal",'Control Room'!$B$7,('Control Room'!$B$8+'Control Room'!$D$8)/2)+'Control Room'!$B$9*(O334-IF('Control Room'!$B$5="Normal",'Control Room'!$B$7,('Control Room'!$B$8+'Control Room'!$D$8)/2))+SQRT(1-'Control Room'!$B$9^2)*(N335-IF('Control Room'!$B$5="Normal",'Control Room'!$B$7,('Control Room'!$B$8+'Control Room'!$D$8)/2))</x:f>
        <x:v>1049.417280111597</x:v>
      </x:c>
      <x:c r="P335" s="17" t="n">
        <x:f>IF(AND($A335&gt;='Control Room'!$A$13,$A335&lt;'Control Room'!$A$13+'Control Room'!$B$13,'Process'!BM2=1),1+('Control Room'!$C$13-1)*EXP(-0.5*(($A335-'Control Room'!$A$13-('Control Room'!$B$13-1)/2)/MAX(0.5,'Control Room'!$B$13/4))^2),1)*IF(AND($A335&gt;='Control Room'!$A$14,$A335&lt;'Control Room'!$A$14+'Control Room'!$B$14,'Process'!BM3=1),1+('Control Room'!$C$14-1)*EXP(-0.5*(($A335-'Control Room'!$A$14-('Control Room'!$B$14-1)/2)/MAX(0.5,'Control Room'!$B$14/4))^2),1)*IF(AND($A335&gt;='Control Room'!$A$15,$A335&lt;'Control Room'!$A$15+'Control Room'!$B$15,'Process'!BM4=1),1+('Control Room'!$C$15-1)*EXP(-0.5*(($A335-'Control Room'!$A$15-('Control Room'!$B$15-1)/2)/MAX(0.5,'Control Room'!$B$15/4))^2),1)*IF(AND($A335&gt;='Control Room'!$A$16,$A335&lt;'Control Room'!$A$16+'Control Room'!$B$16,'Process'!BM5=1),1+('Control Room'!$C$16-1)*EXP(-0.5*(($A335-'Control Room'!$A$16-('Control Room'!$B$16-1)/2)/MAX(0.5,'Control Room'!$B$16/4))^2),1)</x:f>
        <x:v>1</x:v>
      </x:c>
      <x:c r="Q335" s="9" t="n">
        <x:f>MOD(R334*16807,2147483647)</x:f>
        <x:v>108956187</x:v>
      </x:c>
      <x:c r="R335" s="9" t="n">
        <x:f>MOD(Q335*16807,2147483647)</x:f>
        <x:v>1570567665</x:v>
      </x:c>
      <x:c r="S335" s="17" t="n">
        <x:f>IF('Control Room'!$B$5="Normal",'Control Room'!$B$7+'Control Room'!$D$7*SQRT(-2*LN(MAX(0.000000000001,Q335/2147483647)))*COS(2*PI()*R335/2147483647),'Control Room'!$B$8+('Control Room'!$D$8-'Control Room'!$B$8)*Q335/2147483647)</x:f>
        <x:v>974.3107637065986</x:v>
      </x:c>
      <x:c r="T335" s="17" t="n">
        <x:f>IF('Control Room'!$B$5="Normal",'Control Room'!$B$7,('Control Room'!$B$8+'Control Room'!$D$8)/2)+'Control Room'!$B$9*(T334-IF('Control Room'!$B$5="Normal",'Control Room'!$B$7,('Control Room'!$B$8+'Control Room'!$D$8)/2))+SQRT(1-'Control Room'!$B$9^2)*(S335-IF('Control Room'!$B$5="Normal",'Control Room'!$B$7,('Control Room'!$B$8+'Control Room'!$D$8)/2))</x:f>
        <x:v>1019.0321949890493</x:v>
      </x:c>
      <x:c r="U335" s="17" t="n">
        <x:f>IF(AND($A335&gt;='Control Room'!$A$13,$A335&lt;'Control Room'!$A$13+'Control Room'!$B$13,'Process'!BN2=1),1+('Control Room'!$C$13-1)*EXP(-0.5*(($A335-'Control Room'!$A$13-('Control Room'!$B$13-1)/2)/MAX(0.5,'Control Room'!$B$13/4))^2),1)*IF(AND($A335&gt;='Control Room'!$A$14,$A335&lt;'Control Room'!$A$14+'Control Room'!$B$14,'Process'!BN3=1),1+('Control Room'!$C$14-1)*EXP(-0.5*(($A335-'Control Room'!$A$14-('Control Room'!$B$14-1)/2)/MAX(0.5,'Control Room'!$B$14/4))^2),1)*IF(AND($A335&gt;='Control Room'!$A$15,$A335&lt;'Control Room'!$A$15+'Control Room'!$B$15,'Process'!BN4=1),1+('Control Room'!$C$15-1)*EXP(-0.5*(($A335-'Control Room'!$A$15-('Control Room'!$B$15-1)/2)/MAX(0.5,'Control Room'!$B$15/4))^2),1)*IF(AND($A335&gt;='Control Room'!$A$16,$A335&lt;'Control Room'!$A$16+'Control Room'!$B$16,'Process'!BN5=1),1+('Control Room'!$C$16-1)*EXP(-0.5*(($A335-'Control Room'!$A$16-('Control Room'!$B$16-1)/2)/MAX(0.5,'Control Room'!$B$16/4))^2),1)</x:f>
        <x:v>1</x:v>
      </x:c>
      <x:c r="V335" s="9" t="n">
        <x:f>MOD(W334*16807,2147483647)</x:f>
        <x:v>575558396</x:v>
      </x:c>
      <x:c r="W335" s="9" t="n">
        <x:f>MOD(V335*16807,2147483647)</x:f>
        <x:v>1143615484</x:v>
      </x:c>
      <x:c r="X335" s="17" t="n">
        <x:f>IF('Control Room'!$B$5="Normal",'Control Room'!$B$7+'Control Room'!$D$7*SQRT(-2*LN(MAX(0.000000000001,V335/2147483647)))*COS(2*PI()*W335/2147483647),'Control Room'!$B$8+('Control Room'!$D$8-'Control Room'!$B$8)*V335/2147483647)</x:f>
        <x:v>856.9910765161299</x:v>
      </x:c>
      <x:c r="Y335" s="17" t="n">
        <x:f>IF('Control Room'!$B$5="Normal",'Control Room'!$B$7,('Control Room'!$B$8+'Control Room'!$D$8)/2)+'Control Room'!$B$9*(Y334-IF('Control Room'!$B$5="Normal",'Control Room'!$B$7,('Control Room'!$B$8+'Control Room'!$D$8)/2))+SQRT(1-'Control Room'!$B$9^2)*(X335-IF('Control Room'!$B$5="Normal",'Control Room'!$B$7,('Control Room'!$B$8+'Control Room'!$D$8)/2))</x:f>
        <x:v>945.092748950404</x:v>
      </x:c>
      <x:c r="Z335" s="17" t="n">
        <x:f>IF(AND($A335&gt;='Control Room'!$A$13,$A335&lt;'Control Room'!$A$13+'Control Room'!$B$13,'Process'!BO2=1),1+('Control Room'!$C$13-1)*EXP(-0.5*(($A335-'Control Room'!$A$13-('Control Room'!$B$13-1)/2)/MAX(0.5,'Control Room'!$B$13/4))^2),1)*IF(AND($A335&gt;='Control Room'!$A$14,$A335&lt;'Control Room'!$A$14+'Control Room'!$B$14,'Process'!BO3=1),1+('Control Room'!$C$14-1)*EXP(-0.5*(($A335-'Control Room'!$A$14-('Control Room'!$B$14-1)/2)/MAX(0.5,'Control Room'!$B$14/4))^2),1)*IF(AND($A335&gt;='Control Room'!$A$15,$A335&lt;'Control Room'!$A$15+'Control Room'!$B$15,'Process'!BO4=1),1+('Control Room'!$C$15-1)*EXP(-0.5*(($A335-'Control Room'!$A$15-('Control Room'!$B$15-1)/2)/MAX(0.5,'Control Room'!$B$15/4))^2),1)*IF(AND($A335&gt;='Control Room'!$A$16,$A335&lt;'Control Room'!$A$16+'Control Room'!$B$16,'Process'!BO5=1),1+('Control Room'!$C$16-1)*EXP(-0.5*(($A335-'Control Room'!$A$16-('Control Room'!$B$16-1)/2)/MAX(0.5,'Control Room'!$B$16/4))^2),1)</x:f>
        <x:v>1</x:v>
      </x:c>
      <x:c r="AA335" s="9" t="n">
        <x:f>MOD(AB334*16807,2147483647)</x:f>
        <x:v>1042160605</x:v>
      </x:c>
      <x:c r="AB335" s="9" t="n">
        <x:f>MOD(AA335*16807,2147483647)</x:f>
        <x:v>716663303</x:v>
      </x:c>
      <x:c r="AC335" s="17" t="n">
        <x:f>IF('Control Room'!$B$5="Normal",'Control Room'!$B$7+'Control Room'!$D$7*SQRT(-2*LN(MAX(0.000000000001,AA335/2147483647)))*COS(2*PI()*AB335/2147483647),'Control Room'!$B$8+('Control Room'!$D$8-'Control Room'!$B$8)*AA335/2147483647)</x:f>
        <x:v>945.6586592666769</x:v>
      </x:c>
      <x:c r="AD335" s="17" t="n">
        <x:f>IF('Control Room'!$B$5="Normal",'Control Room'!$B$7,('Control Room'!$B$8+'Control Room'!$D$8)/2)+'Control Room'!$B$9*(AD334-IF('Control Room'!$B$5="Normal",'Control Room'!$B$7,('Control Room'!$B$8+'Control Room'!$D$8)/2))+SQRT(1-'Control Room'!$B$9^2)*(AC335-IF('Control Room'!$B$5="Normal",'Control Room'!$B$7,('Control Room'!$B$8+'Control Room'!$D$8)/2))</x:f>
        <x:v>928.2488341822242</x:v>
      </x:c>
      <x:c r="AE335" s="17" t="n">
        <x:f>IF(AND($A335&gt;='Control Room'!$A$13,$A335&lt;'Control Room'!$A$13+'Control Room'!$B$13,'Process'!BP2=1),1+('Control Room'!$C$13-1)*EXP(-0.5*(($A335-'Control Room'!$A$13-('Control Room'!$B$13-1)/2)/MAX(0.5,'Control Room'!$B$13/4))^2),1)*IF(AND($A335&gt;='Control Room'!$A$14,$A335&lt;'Control Room'!$A$14+'Control Room'!$B$14,'Process'!BP3=1),1+('Control Room'!$C$14-1)*EXP(-0.5*(($A335-'Control Room'!$A$14-('Control Room'!$B$14-1)/2)/MAX(0.5,'Control Room'!$B$14/4))^2),1)*IF(AND($A335&gt;='Control Room'!$A$15,$A335&lt;'Control Room'!$A$15+'Control Room'!$B$15,'Process'!BP4=1),1+('Control Room'!$C$15-1)*EXP(-0.5*(($A335-'Control Room'!$A$15-('Control Room'!$B$15-1)/2)/MAX(0.5,'Control Room'!$B$15/4))^2),1)*IF(AND($A335&gt;='Control Room'!$A$16,$A335&lt;'Control Room'!$A$16+'Control Room'!$B$16,'Process'!BP5=1),1+('Control Room'!$C$16-1)*EXP(-0.5*(($A335-'Control Room'!$A$16-('Control Room'!$B$16-1)/2)/MAX(0.5,'Control Room'!$B$16/4))^2),1)</x:f>
        <x:v>1</x:v>
      </x:c>
      <x:c r="AF335" s="9" t="n">
        <x:f>MOD(AG334*16807,2147483647)</x:f>
        <x:v>1508762814</x:v>
      </x:c>
      <x:c r="AG335" s="9" t="n">
        <x:f>MOD(AF335*16807,2147483647)</x:f>
        <x:v>289711122</x:v>
      </x:c>
      <x:c r="AH335" s="17" t="n">
        <x:f>IF('Control Room'!$B$5="Normal",'Control Room'!$B$7+'Control Room'!$D$7*SQRT(-2*LN(MAX(0.000000000001,AF335/2147483647)))*COS(2*PI()*AG335/2147483647),'Control Room'!$B$8+('Control Room'!$D$8-'Control Room'!$B$8)*AF335/2147483647)</x:f>
        <x:v>1050.0428732003836</x:v>
      </x:c>
      <x:c r="AI335" s="17" t="n">
        <x:f>IF('Control Room'!$B$5="Normal",'Control Room'!$B$7,('Control Room'!$B$8+'Control Room'!$D$8)/2)+'Control Room'!$B$9*(AI334-IF('Control Room'!$B$5="Normal",'Control Room'!$B$7,('Control Room'!$B$8+'Control Room'!$D$8)/2))+SQRT(1-'Control Room'!$B$9^2)*(AH335-IF('Control Room'!$B$5="Normal",'Control Room'!$B$7,('Control Room'!$B$8+'Control Room'!$D$8)/2))</x:f>
        <x:v>1027.7998007404444</x:v>
      </x:c>
      <x:c r="AJ335" s="17" t="n">
        <x:f>IF(AND($A335&gt;='Control Room'!$A$13,$A335&lt;'Control Room'!$A$13+'Control Room'!$B$13,'Process'!BQ2=1),1+('Control Room'!$C$13-1)*EXP(-0.5*(($A335-'Control Room'!$A$13-('Control Room'!$B$13-1)/2)/MAX(0.5,'Control Room'!$B$13/4))^2),1)*IF(AND($A335&gt;='Control Room'!$A$14,$A335&lt;'Control Room'!$A$14+'Control Room'!$B$14,'Process'!BQ3=1),1+('Control Room'!$C$14-1)*EXP(-0.5*(($A335-'Control Room'!$A$14-('Control Room'!$B$14-1)/2)/MAX(0.5,'Control Room'!$B$14/4))^2),1)*IF(AND($A335&gt;='Control Room'!$A$15,$A335&lt;'Control Room'!$A$15+'Control Room'!$B$15,'Process'!BQ4=1),1+('Control Room'!$C$15-1)*EXP(-0.5*(($A335-'Control Room'!$A$15-('Control Room'!$B$15-1)/2)/MAX(0.5,'Control Room'!$B$15/4))^2),1)*IF(AND($A335&gt;='Control Room'!$A$16,$A335&lt;'Control Room'!$A$16+'Control Room'!$B$16,'Process'!BQ5=1),1+('Control Room'!$C$16-1)*EXP(-0.5*(($A335-'Control Room'!$A$16-('Control Room'!$B$16-1)/2)/MAX(0.5,'Control Room'!$B$16/4))^2),1)</x:f>
        <x:v>1</x:v>
      </x:c>
      <x:c r="AK335" s="9" t="n">
        <x:f>MOD(AL334*16807,2147483647)</x:f>
        <x:v>1975365023</x:v>
      </x:c>
      <x:c r="AL335" s="9" t="n">
        <x:f>MOD(AK335*16807,2147483647)</x:f>
        <x:v>2010242588</x:v>
      </x:c>
      <x:c r="AM335" s="17" t="n">
        <x:f>IF('Control Room'!$B$5="Normal",'Control Room'!$B$7+'Control Room'!$D$7*SQRT(-2*LN(MAX(0.000000000001,AK335/2147483647)))*COS(2*PI()*AL335/2147483647),'Control Room'!$B$8+('Control Room'!$D$8-'Control Room'!$B$8)*AK335/2147483647)</x:f>
        <x:v>1033.8624289468776</x:v>
      </x:c>
      <x:c r="AN335" s="17" t="n">
        <x:f>IF('Control Room'!$B$5="Normal",'Control Room'!$B$7,('Control Room'!$B$8+'Control Room'!$D$8)/2)+'Control Room'!$B$9*(AN334-IF('Control Room'!$B$5="Normal",'Control Room'!$B$7,('Control Room'!$B$8+'Control Room'!$D$8)/2))+SQRT(1-'Control Room'!$B$9^2)*(AM335-IF('Control Room'!$B$5="Normal",'Control Room'!$B$7,('Control Room'!$B$8+'Control Room'!$D$8)/2))</x:f>
        <x:v>1040.8336661470455</x:v>
      </x:c>
      <x:c r="AO335" s="17" t="n">
        <x:f>IF(AND($A335&gt;='Control Room'!$A$13,$A335&lt;'Control Room'!$A$13+'Control Room'!$B$13,'Process'!BR2=1),1+('Control Room'!$C$13-1)*EXP(-0.5*(($A335-'Control Room'!$A$13-('Control Room'!$B$13-1)/2)/MAX(0.5,'Control Room'!$B$13/4))^2),1)*IF(AND($A335&gt;='Control Room'!$A$14,$A335&lt;'Control Room'!$A$14+'Control Room'!$B$14,'Process'!BR3=1),1+('Control Room'!$C$14-1)*EXP(-0.5*(($A335-'Control Room'!$A$14-('Control Room'!$B$14-1)/2)/MAX(0.5,'Control Room'!$B$14/4))^2),1)*IF(AND($A335&gt;='Control Room'!$A$15,$A335&lt;'Control Room'!$A$15+'Control Room'!$B$15,'Process'!BR4=1),1+('Control Room'!$C$15-1)*EXP(-0.5*(($A335-'Control Room'!$A$15-('Control Room'!$B$15-1)/2)/MAX(0.5,'Control Room'!$B$15/4))^2),1)*IF(AND($A335&gt;='Control Room'!$A$16,$A335&lt;'Control Room'!$A$16+'Control Room'!$B$16,'Process'!BR5=1),1+('Control Room'!$C$16-1)*EXP(-0.5*(($A335-'Control Room'!$A$16-('Control Room'!$B$16-1)/2)/MAX(0.5,'Control Room'!$B$16/4))^2),1)</x:f>
        <x:v>1</x:v>
      </x:c>
      <x:c r="AP335" s="9" t="n">
        <x:f>MOD(AQ334*16807,2147483647)</x:f>
        <x:v>294483585</x:v>
      </x:c>
      <x:c r="AQ335" s="9" t="n">
        <x:f>MOD(AP335*16807,2147483647)</x:f>
        <x:v>1583290407</x:v>
      </x:c>
      <x:c r="AR335" s="17" t="n">
        <x:f>IF('Control Room'!$B$5="Normal",'Control Room'!$B$7+'Control Room'!$D$7*SQRT(-2*LN(MAX(0.000000000001,AP335/2147483647)))*COS(2*PI()*AQ335/2147483647),'Control Room'!$B$8+('Control Room'!$D$8-'Control Room'!$B$8)*AP335/2147483647)</x:f>
        <x:v>985.6734118404153</x:v>
      </x:c>
      <x:c r="AS335" s="17" t="n">
        <x:f>IF('Control Room'!$B$5="Normal",'Control Room'!$B$7,('Control Room'!$B$8+'Control Room'!$D$8)/2)+'Control Room'!$B$9*(AS334-IF('Control Room'!$B$5="Normal",'Control Room'!$B$7,('Control Room'!$B$8+'Control Room'!$D$8)/2))+SQRT(1-'Control Room'!$B$9^2)*(AR335-IF('Control Room'!$B$5="Normal",'Control Room'!$B$7,('Control Room'!$B$8+'Control Room'!$D$8)/2))</x:f>
        <x:v>1120.75713195593</x:v>
      </x:c>
      <x:c r="AT335" s="17" t="n">
        <x:f>IF(AND($A335&gt;='Control Room'!$A$13,$A335&lt;'Control Room'!$A$13+'Control Room'!$B$13,'Process'!BS2=1),1+('Control Room'!$C$13-1)*EXP(-0.5*(($A335-'Control Room'!$A$13-('Control Room'!$B$13-1)/2)/MAX(0.5,'Control Room'!$B$13/4))^2),1)*IF(AND($A335&gt;='Control Room'!$A$14,$A335&lt;'Control Room'!$A$14+'Control Room'!$B$14,'Process'!BS3=1),1+('Control Room'!$C$14-1)*EXP(-0.5*(($A335-'Control Room'!$A$14-('Control Room'!$B$14-1)/2)/MAX(0.5,'Control Room'!$B$14/4))^2),1)*IF(AND($A335&gt;='Control Room'!$A$15,$A335&lt;'Control Room'!$A$15+'Control Room'!$B$15,'Process'!BS4=1),1+('Control Room'!$C$15-1)*EXP(-0.5*(($A335-'Control Room'!$A$15-('Control Room'!$B$15-1)/2)/MAX(0.5,'Control Room'!$B$15/4))^2),1)*IF(AND($A335&gt;='Control Room'!$A$16,$A335&lt;'Control Room'!$A$16+'Control Room'!$B$16,'Process'!BS5=1),1+('Control Room'!$C$16-1)*EXP(-0.5*(($A335-'Control Room'!$A$16-('Control Room'!$B$16-1)/2)/MAX(0.5,'Control Room'!$B$16/4))^2),1)</x:f>
        <x:v>1</x:v>
      </x:c>
      <x:c r="AU335" s="9" t="n">
        <x:f>MOD(AV334*16807,2147483647)</x:f>
        <x:v>761085794</x:v>
      </x:c>
      <x:c r="AV335" s="9" t="n">
        <x:f>MOD(AU335*16807,2147483647)</x:f>
        <x:v>1156338226</x:v>
      </x:c>
      <x:c r="AW335" s="17" t="n">
        <x:f>IF('Control Room'!$B$5="Normal",'Control Room'!$B$7+'Control Room'!$D$7*SQRT(-2*LN(MAX(0.000000000001,AU335/2147483647)))*COS(2*PI()*AV335/2147483647),'Control Room'!$B$8+('Control Room'!$D$8-'Control Room'!$B$8)*AU335/2147483647)</x:f>
        <x:v>874.1353209308414</x:v>
      </x:c>
      <x:c r="AX335" s="17" t="n">
        <x:f>IF('Control Room'!$B$5="Normal",'Control Room'!$B$7,('Control Room'!$B$8+'Control Room'!$D$8)/2)+'Control Room'!$B$9*(AX334-IF('Control Room'!$B$5="Normal",'Control Room'!$B$7,('Control Room'!$B$8+'Control Room'!$D$8)/2))+SQRT(1-'Control Room'!$B$9^2)*(AW335-IF('Control Room'!$B$5="Normal",'Control Room'!$B$7,('Control Room'!$B$8+'Control Room'!$D$8)/2))</x:f>
        <x:v>916.0619483042425</x:v>
      </x:c>
      <x:c r="AY335" s="17" t="n">
        <x:f>IF(AND($A335&gt;='Control Room'!$A$13,$A335&lt;'Control Room'!$A$13+'Control Room'!$B$13,'Process'!BT2=1),1+('Control Room'!$C$13-1)*EXP(-0.5*(($A335-'Control Room'!$A$13-('Control Room'!$B$13-1)/2)/MAX(0.5,'Control Room'!$B$13/4))^2),1)*IF(AND($A335&gt;='Control Room'!$A$14,$A335&lt;'Control Room'!$A$14+'Control Room'!$B$14,'Process'!BT3=1),1+('Control Room'!$C$14-1)*EXP(-0.5*(($A335-'Control Room'!$A$14-('Control Room'!$B$14-1)/2)/MAX(0.5,'Control Room'!$B$14/4))^2),1)*IF(AND($A335&gt;='Control Room'!$A$15,$A335&lt;'Control Room'!$A$15+'Control Room'!$B$15,'Process'!BT4=1),1+('Control Room'!$C$15-1)*EXP(-0.5*(($A335-'Control Room'!$A$15-('Control Room'!$B$15-1)/2)/MAX(0.5,'Control Room'!$B$15/4))^2),1)*IF(AND($A335&gt;='Control Room'!$A$16,$A335&lt;'Control Room'!$A$16+'Control Room'!$B$16,'Process'!BT5=1),1+('Control Room'!$C$16-1)*EXP(-0.5*(($A335-'Control Room'!$A$16-('Control Room'!$B$16-1)/2)/MAX(0.5,'Control Room'!$B$16/4))^2),1)</x:f>
        <x:v>1</x:v>
      </x:c>
      <x:c r="AZ335" s="9" t="n">
        <x:f>MOD(BA334*16807,2147483647)</x:f>
        <x:v>1227688003</x:v>
      </x:c>
      <x:c r="BA335" s="9" t="n">
        <x:f>MOD(AZ335*16807,2147483647)</x:f>
        <x:v>729386045</x:v>
      </x:c>
      <x:c r="BB335" s="17" t="n">
        <x:f>IF('Control Room'!$B$5="Normal",'Control Room'!$B$7+'Control Room'!$D$7*SQRT(-2*LN(MAX(0.000000000001,AZ335/2147483647)))*COS(2*PI()*BA335/2147483647),'Control Room'!$B$8+('Control Room'!$D$8-'Control Room'!$B$8)*AZ335/2147483647)</x:f>
        <x:v>949.1806261171296</x:v>
      </x:c>
      <x:c r="BC335" s="17" t="n">
        <x:f>IF('Control Room'!$B$5="Normal",'Control Room'!$B$7,('Control Room'!$B$8+'Control Room'!$D$8)/2)+'Control Room'!$B$9*(BC334-IF('Control Room'!$B$5="Normal",'Control Room'!$B$7,('Control Room'!$B$8+'Control Room'!$D$8)/2))+SQRT(1-'Control Room'!$B$9^2)*(BB335-IF('Control Room'!$B$5="Normal",'Control Room'!$B$7,('Control Room'!$B$8+'Control Room'!$D$8)/2))</x:f>
        <x:v>1063.4340629853164</x:v>
      </x:c>
      <x:c r="BD335" s="17" t="n">
        <x:f>IF(AND($A335&gt;='Control Room'!$A$13,$A335&lt;'Control Room'!$A$13+'Control Room'!$B$13,'Process'!BU2=1),1+('Control Room'!$C$13-1)*EXP(-0.5*(($A335-'Control Room'!$A$13-('Control Room'!$B$13-1)/2)/MAX(0.5,'Control Room'!$B$13/4))^2),1)*IF(AND($A335&gt;='Control Room'!$A$14,$A335&lt;'Control Room'!$A$14+'Control Room'!$B$14,'Process'!BU3=1),1+('Control Room'!$C$14-1)*EXP(-0.5*(($A335-'Control Room'!$A$14-('Control Room'!$B$14-1)/2)/MAX(0.5,'Control Room'!$B$14/4))^2),1)*IF(AND($A335&gt;='Control Room'!$A$15,$A335&lt;'Control Room'!$A$15+'Control Room'!$B$15,'Process'!BU4=1),1+('Control Room'!$C$15-1)*EXP(-0.5*(($A335-'Control Room'!$A$15-('Control Room'!$B$15-1)/2)/MAX(0.5,'Control Room'!$B$15/4))^2),1)*IF(AND($A335&gt;='Control Room'!$A$16,$A335&lt;'Control Room'!$A$16+'Control Room'!$B$16,'Process'!BU5=1),1+('Control Room'!$C$16-1)*EXP(-0.5*(($A335-'Control Room'!$A$16-('Control Room'!$B$16-1)/2)/MAX(0.5,'Control Room'!$B$16/4))^2),1)</x:f>
        <x:v>1</x:v>
      </x:c>
      <x:c r="BE335" s="9" t="n">
        <x:f>MOD(BF334*16807,2147483647)</x:f>
        <x:v>1694290212</x:v>
      </x:c>
      <x:c r="BF335" s="9" t="n">
        <x:f>MOD(BE335*16807,2147483647)</x:f>
        <x:v>302433864</x:v>
      </x:c>
      <x:c r="BG335" s="17" t="n">
        <x:f>IF('Control Room'!$B$5="Normal",'Control Room'!$B$7+'Control Room'!$D$7*SQRT(-2*LN(MAX(0.000000000001,BE335/2147483647)))*COS(2*PI()*BF335/2147483647),'Control Room'!$B$8+('Control Room'!$D$8-'Control Room'!$B$8)*BE335/2147483647)</x:f>
        <x:v>1039.2493106953007</x:v>
      </x:c>
      <x:c r="BH335" s="17" t="n">
        <x:f>IF('Control Room'!$B$5="Normal",'Control Room'!$B$7,('Control Room'!$B$8+'Control Room'!$D$8)/2)+'Control Room'!$B$9*(BH334-IF('Control Room'!$B$5="Normal",'Control Room'!$B$7,('Control Room'!$B$8+'Control Room'!$D$8)/2))+SQRT(1-'Control Room'!$B$9^2)*(BG335-IF('Control Room'!$B$5="Normal",'Control Room'!$B$7,('Control Room'!$B$8+'Control Room'!$D$8)/2))</x:f>
        <x:v>1059.3754861909797</x:v>
      </x:c>
      <x:c r="BI335" s="17" t="n">
        <x:f>IF(AND($A335&gt;='Control Room'!$A$13,$A335&lt;'Control Room'!$A$13+'Control Room'!$B$13,'Process'!BV2=1),1+('Control Room'!$C$13-1)*EXP(-0.5*(($A335-'Control Room'!$A$13-('Control Room'!$B$13-1)/2)/MAX(0.5,'Control Room'!$B$13/4))^2),1)*IF(AND($A335&gt;='Control Room'!$A$14,$A335&lt;'Control Room'!$A$14+'Control Room'!$B$14,'Process'!BV3=1),1+('Control Room'!$C$14-1)*EXP(-0.5*(($A335-'Control Room'!$A$14-('Control Room'!$B$14-1)/2)/MAX(0.5,'Control Room'!$B$14/4))^2),1)*IF(AND($A335&gt;='Control Room'!$A$15,$A335&lt;'Control Room'!$A$15+'Control Room'!$B$15,'Process'!BV4=1),1+('Control Room'!$C$15-1)*EXP(-0.5*(($A335-'Control Room'!$A$15-('Control Room'!$B$15-1)/2)/MAX(0.5,'Control Room'!$B$15/4))^2),1)*IF(AND($A335&gt;='Control Room'!$A$16,$A335&lt;'Control Room'!$A$16+'Control Room'!$B$16,'Process'!BV5=1),1+('Control Room'!$C$16-1)*EXP(-0.5*(($A335-'Control Room'!$A$16-('Control Room'!$B$16-1)/2)/MAX(0.5,'Control Room'!$B$16/4))^2),1)</x:f>
        <x:v>1</x:v>
      </x:c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Z335" t="str">
        <x:f>IF('Data'!A335="","",TEXT('Data'!A335,"mm-dd"))</x:f>
      </x:c>
    </x:row>
    <x:row r="336" ht="21" customHeight="1">
      <x:c r="A336" s="15" t="n">
        <x:f>'Control Room'!$B$1+334</x:f>
        <x:v>73325</x:v>
      </x:c>
      <x:c r="B336" s="9" t="n">
        <x:f>MOD(C335*16807,2147483647)</x:f>
        <x:v>641597404</x:v>
      </x:c>
      <x:c r="C336" s="9" t="n">
        <x:f>MOD(B336*16807,2147483647)</x:f>
        <x:v>812177441</x:v>
      </x:c>
      <x:c r="D336" s="17" t="n">
        <x:f>IF('Control Room'!$B$5="Normal",'Control Room'!$B$7+'Control Room'!$D$7*SQRT(-2*LN(MAX(0.000000000001,B336/2147483647)))*COS(2*PI()*C336/2147483647),'Control Room'!$B$8+('Control Room'!$D$8-'Control Room'!$B$8)*B336/2147483647)</x:f>
        <x:v>899.1095590760265</x:v>
      </x:c>
      <x:c r="E336" s="17" t="n">
        <x:f>IF('Control Room'!$B$5="Normal",'Control Room'!$B$7,('Control Room'!$B$8+'Control Room'!$D$8)/2)+'Control Room'!$B$9*(E335-IF('Control Room'!$B$5="Normal",'Control Room'!$B$7,('Control Room'!$B$8+'Control Room'!$D$8)/2))+SQRT(1-'Control Room'!$B$9^2)*(D336-IF('Control Room'!$B$5="Normal",'Control Room'!$B$7,('Control Room'!$B$8+'Control Room'!$D$8)/2))</x:f>
        <x:v>850.7659722670521</x:v>
      </x:c>
      <x:c r="F336" s="17" t="n">
        <x:f>IF(AND($A336&gt;='Control Room'!$A$13,$A336&lt;'Control Room'!$A$13+'Control Room'!$B$13,'Process'!BK2=1),1+('Control Room'!$C$13-1)*EXP(-0.5*(($A336-'Control Room'!$A$13-('Control Room'!$B$13-1)/2)/MAX(0.5,'Control Room'!$B$13/4))^2),1)*IF(AND($A336&gt;='Control Room'!$A$14,$A336&lt;'Control Room'!$A$14+'Control Room'!$B$14,'Process'!BK3=1),1+('Control Room'!$C$14-1)*EXP(-0.5*(($A336-'Control Room'!$A$14-('Control Room'!$B$14-1)/2)/MAX(0.5,'Control Room'!$B$14/4))^2),1)*IF(AND($A336&gt;='Control Room'!$A$15,$A336&lt;'Control Room'!$A$15+'Control Room'!$B$15,'Process'!BK4=1),1+('Control Room'!$C$15-1)*EXP(-0.5*(($A336-'Control Room'!$A$15-('Control Room'!$B$15-1)/2)/MAX(0.5,'Control Room'!$B$15/4))^2),1)*IF(AND($A336&gt;='Control Room'!$A$16,$A336&lt;'Control Room'!$A$16+'Control Room'!$B$16,'Process'!BK5=1),1+('Control Room'!$C$16-1)*EXP(-0.5*(($A336-'Control Room'!$A$16-('Control Room'!$B$16-1)/2)/MAX(0.5,'Control Room'!$B$16/4))^2),1)</x:f>
        <x:v>1</x:v>
      </x:c>
      <x:c r="G336" s="9" t="n">
        <x:f>MOD(H335*16807,2147483647)</x:f>
        <x:v>1746639611</x:v>
      </x:c>
      <x:c r="H336" s="9" t="n">
        <x:f>MOD(G336*16807,2147483647)</x:f>
        <x:v>1817971234</x:v>
      </x:c>
      <x:c r="I336" s="17" t="n">
        <x:f>IF('Control Room'!$B$5="Normal",'Control Room'!$B$7+'Control Room'!$D$7*SQRT(-2*LN(MAX(0.000000000001,G336/2147483647)))*COS(2*PI()*H336/2147483647),'Control Room'!$B$8+('Control Room'!$D$8-'Control Room'!$B$8)*G336/2147483647)</x:f>
        <x:v>1032.9852933353156</x:v>
      </x:c>
      <x:c r="J336" s="17" t="n">
        <x:f>IF('Control Room'!$B$5="Normal",'Control Room'!$B$7,('Control Room'!$B$8+'Control Room'!$D$8)/2)+'Control Room'!$B$9*(J335-IF('Control Room'!$B$5="Normal",'Control Room'!$B$7,('Control Room'!$B$8+'Control Room'!$D$8)/2))+SQRT(1-'Control Room'!$B$9^2)*(I336-IF('Control Room'!$B$5="Normal",'Control Room'!$B$7,('Control Room'!$B$8+'Control Room'!$D$8)/2))</x:f>
        <x:v>1048.1529124946294</x:v>
      </x:c>
      <x:c r="K336" s="17" t="n">
        <x:f>IF(AND($A336&gt;='Control Room'!$A$13,$A336&lt;'Control Room'!$A$13+'Control Room'!$B$13,'Process'!BL2=1),1+('Control Room'!$C$13-1)*EXP(-0.5*(($A336-'Control Room'!$A$13-('Control Room'!$B$13-1)/2)/MAX(0.5,'Control Room'!$B$13/4))^2),1)*IF(AND($A336&gt;='Control Room'!$A$14,$A336&lt;'Control Room'!$A$14+'Control Room'!$B$14,'Process'!BL3=1),1+('Control Room'!$C$14-1)*EXP(-0.5*(($A336-'Control Room'!$A$14-('Control Room'!$B$14-1)/2)/MAX(0.5,'Control Room'!$B$14/4))^2),1)*IF(AND($A336&gt;='Control Room'!$A$15,$A336&lt;'Control Room'!$A$15+'Control Room'!$B$15,'Process'!BL4=1),1+('Control Room'!$C$15-1)*EXP(-0.5*(($A336-'Control Room'!$A$15-('Control Room'!$B$15-1)/2)/MAX(0.5,'Control Room'!$B$15/4))^2),1)*IF(AND($A336&gt;='Control Room'!$A$16,$A336&lt;'Control Room'!$A$16+'Control Room'!$B$16,'Process'!BL5=1),1+('Control Room'!$C$16-1)*EXP(-0.5*(($A336-'Control Room'!$A$16-('Control Room'!$B$16-1)/2)/MAX(0.5,'Control Room'!$B$16/4))^2),1)</x:f>
        <x:v>1</x:v>
      </x:c>
      <x:c r="L336" s="9" t="n">
        <x:f>MOD(M335*16807,2147483647)</x:f>
        <x:v>704198171</x:v>
      </x:c>
      <x:c r="M336" s="9" t="n">
        <x:f>MOD(L336*16807,2147483647)</x:f>
        <x:v>676281380</x:v>
      </x:c>
      <x:c r="N336" s="17" t="n">
        <x:f>IF('Control Room'!$B$5="Normal",'Control Room'!$B$7+'Control Room'!$D$7*SQRT(-2*LN(MAX(0.000000000001,L336/2147483647)))*COS(2*PI()*M336/2147483647),'Control Room'!$B$8+('Control Room'!$D$8-'Control Room'!$B$8)*L336/2147483647)</x:f>
        <x:v>946.6875531337785</x:v>
      </x:c>
      <x:c r="O336" s="17" t="n">
        <x:f>IF('Control Room'!$B$5="Normal",'Control Room'!$B$7,('Control Room'!$B$8+'Control Room'!$D$8)/2)+'Control Room'!$B$9*(O335-IF('Control Room'!$B$5="Normal",'Control Room'!$B$7,('Control Room'!$B$8+'Control Room'!$D$8)/2))+SQRT(1-'Control Room'!$B$9^2)*(N336-IF('Control Room'!$B$5="Normal",'Control Room'!$B$7,('Control Room'!$B$8+'Control Room'!$D$8)/2))</x:f>
        <x:v>1005.1836414030026</x:v>
      </x:c>
      <x:c r="P336" s="17" t="n">
        <x:f>IF(AND($A336&gt;='Control Room'!$A$13,$A336&lt;'Control Room'!$A$13+'Control Room'!$B$13,'Process'!BM2=1),1+('Control Room'!$C$13-1)*EXP(-0.5*(($A336-'Control Room'!$A$13-('Control Room'!$B$13-1)/2)/MAX(0.5,'Control Room'!$B$13/4))^2),1)*IF(AND($A336&gt;='Control Room'!$A$14,$A336&lt;'Control Room'!$A$14+'Control Room'!$B$14,'Process'!BM3=1),1+('Control Room'!$C$14-1)*EXP(-0.5*(($A336-'Control Room'!$A$14-('Control Room'!$B$14-1)/2)/MAX(0.5,'Control Room'!$B$14/4))^2),1)*IF(AND($A336&gt;='Control Room'!$A$15,$A336&lt;'Control Room'!$A$15+'Control Room'!$B$15,'Process'!BM4=1),1+('Control Room'!$C$15-1)*EXP(-0.5*(($A336-'Control Room'!$A$15-('Control Room'!$B$15-1)/2)/MAX(0.5,'Control Room'!$B$15/4))^2),1)*IF(AND($A336&gt;='Control Room'!$A$16,$A336&lt;'Control Room'!$A$16+'Control Room'!$B$16,'Process'!BM5=1),1+('Control Room'!$C$16-1)*EXP(-0.5*(($A336-'Control Room'!$A$16-('Control Room'!$B$16-1)/2)/MAX(0.5,'Control Room'!$B$16/4))^2),1)</x:f>
        <x:v>1</x:v>
      </x:c>
      <x:c r="Q336" s="9" t="n">
        <x:f>MOD(R335*16807,2147483647)</x:f>
        <x:v>1809240378</x:v>
      </x:c>
      <x:c r="R336" s="9" t="n">
        <x:f>MOD(Q336*16807,2147483647)</x:f>
        <x:v>1682075173</x:v>
      </x:c>
      <x:c r="S336" s="17" t="n">
        <x:f>IF('Control Room'!$B$5="Normal",'Control Room'!$B$7+'Control Room'!$D$7*SQRT(-2*LN(MAX(0.000000000001,Q336/2147483647)))*COS(2*PI()*R336/2147483647),'Control Room'!$B$8+('Control Room'!$D$8-'Control Room'!$B$8)*Q336/2147483647)</x:f>
        <x:v>1010.9372633846783</x:v>
      </x:c>
      <x:c r="T336" s="17" t="n">
        <x:f>IF('Control Room'!$B$5="Normal",'Control Room'!$B$7,('Control Room'!$B$8+'Control Room'!$D$8)/2)+'Control Room'!$B$9*(T335-IF('Control Room'!$B$5="Normal",'Control Room'!$B$7,('Control Room'!$B$8+'Control Room'!$D$8)/2))+SQRT(1-'Control Room'!$B$9^2)*(S336-IF('Control Room'!$B$5="Normal",'Control Room'!$B$7,('Control Room'!$B$8+'Control Room'!$D$8)/2))</x:f>
        <x:v>1021.6894274555709</x:v>
      </x:c>
      <x:c r="U336" s="17" t="n">
        <x:f>IF(AND($A336&gt;='Control Room'!$A$13,$A336&lt;'Control Room'!$A$13+'Control Room'!$B$13,'Process'!BN2=1),1+('Control Room'!$C$13-1)*EXP(-0.5*(($A336-'Control Room'!$A$13-('Control Room'!$B$13-1)/2)/MAX(0.5,'Control Room'!$B$13/4))^2),1)*IF(AND($A336&gt;='Control Room'!$A$14,$A336&lt;'Control Room'!$A$14+'Control Room'!$B$14,'Process'!BN3=1),1+('Control Room'!$C$14-1)*EXP(-0.5*(($A336-'Control Room'!$A$14-('Control Room'!$B$14-1)/2)/MAX(0.5,'Control Room'!$B$14/4))^2),1)*IF(AND($A336&gt;='Control Room'!$A$15,$A336&lt;'Control Room'!$A$15+'Control Room'!$B$15,'Process'!BN4=1),1+('Control Room'!$C$15-1)*EXP(-0.5*(($A336-'Control Room'!$A$15-('Control Room'!$B$15-1)/2)/MAX(0.5,'Control Room'!$B$15/4))^2),1)*IF(AND($A336&gt;='Control Room'!$A$16,$A336&lt;'Control Room'!$A$16+'Control Room'!$B$16,'Process'!BN5=1),1+('Control Room'!$C$16-1)*EXP(-0.5*(($A336-'Control Room'!$A$16-('Control Room'!$B$16-1)/2)/MAX(0.5,'Control Room'!$B$16/4))^2),1)</x:f>
        <x:v>1</x:v>
      </x:c>
      <x:c r="V336" s="9" t="n">
        <x:f>MOD(W335*16807,2147483647)</x:f>
        <x:v>766798938</x:v>
      </x:c>
      <x:c r="W336" s="9" t="n">
        <x:f>MOD(V336*16807,2147483647)</x:f>
        <x:v>540385319</x:v>
      </x:c>
      <x:c r="X336" s="17" t="n">
        <x:f>IF('Control Room'!$B$5="Normal",'Control Room'!$B$7+'Control Room'!$D$7*SQRT(-2*LN(MAX(0.000000000001,V336/2147483647)))*COS(2*PI()*W336/2147483647),'Control Room'!$B$8+('Control Room'!$D$8-'Control Room'!$B$8)*V336/2147483647)</x:f>
        <x:v>998.6718896312301</x:v>
      </x:c>
      <x:c r="Y336" s="17" t="n">
        <x:f>IF('Control Room'!$B$5="Normal",'Control Room'!$B$7,('Control Room'!$B$8+'Control Room'!$D$8)/2)+'Control Room'!$B$9*(Y335-IF('Control Room'!$B$5="Normal",'Control Room'!$B$7,('Control Room'!$B$8+'Control Room'!$D$8)/2))+SQRT(1-'Control Room'!$B$9^2)*(X336-IF('Control Room'!$B$5="Normal",'Control Room'!$B$7,('Control Room'!$B$8+'Control Room'!$D$8)/2))</x:f>
        <x:v>956.3412399203587</x:v>
      </x:c>
      <x:c r="Z336" s="17" t="n">
        <x:f>IF(AND($A336&gt;='Control Room'!$A$13,$A336&lt;'Control Room'!$A$13+'Control Room'!$B$13,'Process'!BO2=1),1+('Control Room'!$C$13-1)*EXP(-0.5*(($A336-'Control Room'!$A$13-('Control Room'!$B$13-1)/2)/MAX(0.5,'Control Room'!$B$13/4))^2),1)*IF(AND($A336&gt;='Control Room'!$A$14,$A336&lt;'Control Room'!$A$14+'Control Room'!$B$14,'Process'!BO3=1),1+('Control Room'!$C$14-1)*EXP(-0.5*(($A336-'Control Room'!$A$14-('Control Room'!$B$14-1)/2)/MAX(0.5,'Control Room'!$B$14/4))^2),1)*IF(AND($A336&gt;='Control Room'!$A$15,$A336&lt;'Control Room'!$A$15+'Control Room'!$B$15,'Process'!BO4=1),1+('Control Room'!$C$15-1)*EXP(-0.5*(($A336-'Control Room'!$A$15-('Control Room'!$B$15-1)/2)/MAX(0.5,'Control Room'!$B$15/4))^2),1)*IF(AND($A336&gt;='Control Room'!$A$16,$A336&lt;'Control Room'!$A$16+'Control Room'!$B$16,'Process'!BO5=1),1+('Control Room'!$C$16-1)*EXP(-0.5*(($A336-'Control Room'!$A$16-('Control Room'!$B$16-1)/2)/MAX(0.5,'Control Room'!$B$16/4))^2),1)</x:f>
        <x:v>1</x:v>
      </x:c>
      <x:c r="AA336" s="9" t="n">
        <x:f>MOD(AB335*16807,2147483647)</x:f>
        <x:v>1871841145</x:v>
      </x:c>
      <x:c r="AB336" s="9" t="n">
        <x:f>MOD(AA336*16807,2147483647)</x:f>
        <x:v>1546179112</x:v>
      </x:c>
      <x:c r="AC336" s="17" t="n">
        <x:f>IF('Control Room'!$B$5="Normal",'Control Room'!$B$7+'Control Room'!$D$7*SQRT(-2*LN(MAX(0.000000000001,AA336/2147483647)))*COS(2*PI()*AB336/2147483647),'Control Room'!$B$8+('Control Room'!$D$8-'Control Room'!$B$8)*AA336/2147483647)</x:f>
        <x:v>991.1590863213468</x:v>
      </x:c>
      <x:c r="AD336" s="17" t="n">
        <x:f>IF('Control Room'!$B$5="Normal",'Control Room'!$B$7,('Control Room'!$B$8+'Control Room'!$D$8)/2)+'Control Room'!$B$9*(AD335-IF('Control Room'!$B$5="Normal",'Control Room'!$B$7,('Control Room'!$B$8+'Control Room'!$D$8)/2))+SQRT(1-'Control Room'!$B$9^2)*(AC336-IF('Control Room'!$B$5="Normal",'Control Room'!$B$7,('Control Room'!$B$8+'Control Room'!$D$8)/2))</x:f>
        <x:v>938.5016279979949</x:v>
      </x:c>
      <x:c r="AE336" s="17" t="n">
        <x:f>IF(AND($A336&gt;='Control Room'!$A$13,$A336&lt;'Control Room'!$A$13+'Control Room'!$B$13,'Process'!BP2=1),1+('Control Room'!$C$13-1)*EXP(-0.5*(($A336-'Control Room'!$A$13-('Control Room'!$B$13-1)/2)/MAX(0.5,'Control Room'!$B$13/4))^2),1)*IF(AND($A336&gt;='Control Room'!$A$14,$A336&lt;'Control Room'!$A$14+'Control Room'!$B$14,'Process'!BP3=1),1+('Control Room'!$C$14-1)*EXP(-0.5*(($A336-'Control Room'!$A$14-('Control Room'!$B$14-1)/2)/MAX(0.5,'Control Room'!$B$14/4))^2),1)*IF(AND($A336&gt;='Control Room'!$A$15,$A336&lt;'Control Room'!$A$15+'Control Room'!$B$15,'Process'!BP4=1),1+('Control Room'!$C$15-1)*EXP(-0.5*(($A336-'Control Room'!$A$15-('Control Room'!$B$15-1)/2)/MAX(0.5,'Control Room'!$B$15/4))^2),1)*IF(AND($A336&gt;='Control Room'!$A$16,$A336&lt;'Control Room'!$A$16+'Control Room'!$B$16,'Process'!BP5=1),1+('Control Room'!$C$16-1)*EXP(-0.5*(($A336-'Control Room'!$A$16-('Control Room'!$B$16-1)/2)/MAX(0.5,'Control Room'!$B$16/4))^2),1)</x:f>
        <x:v>1</x:v>
      </x:c>
      <x:c r="AF336" s="9" t="n">
        <x:f>MOD(AG335*16807,2147483647)</x:f>
        <x:v>829399705</x:v>
      </x:c>
      <x:c r="AG336" s="9" t="n">
        <x:f>MOD(AF336*16807,2147483647)</x:f>
        <x:v>404489258</x:v>
      </x:c>
      <x:c r="AH336" s="17" t="n">
        <x:f>IF('Control Room'!$B$5="Normal",'Control Room'!$B$7+'Control Room'!$D$7*SQRT(-2*LN(MAX(0.000000000001,AF336/2147483647)))*COS(2*PI()*AG336/2147483647),'Control Room'!$B$8+('Control Room'!$D$8-'Control Room'!$B$8)*AF336/2147483647)</x:f>
        <x:v>1046.8912318182317</x:v>
      </x:c>
      <x:c r="AI336" s="17" t="n">
        <x:f>IF('Control Room'!$B$5="Normal",'Control Room'!$B$7,('Control Room'!$B$8+'Control Room'!$D$8)/2)+'Control Room'!$B$9*(AI335-IF('Control Room'!$B$5="Normal",'Control Room'!$B$7,('Control Room'!$B$8+'Control Room'!$D$8)/2))+SQRT(1-'Control Room'!$B$9^2)*(AH336-IF('Control Room'!$B$5="Normal",'Control Room'!$B$7,('Control Room'!$B$8+'Control Room'!$D$8)/2))</x:f>
        <x:v>1051.027416830298</x:v>
      </x:c>
      <x:c r="AJ336" s="17" t="n">
        <x:f>IF(AND($A336&gt;='Control Room'!$A$13,$A336&lt;'Control Room'!$A$13+'Control Room'!$B$13,'Process'!BQ2=1),1+('Control Room'!$C$13-1)*EXP(-0.5*(($A336-'Control Room'!$A$13-('Control Room'!$B$13-1)/2)/MAX(0.5,'Control Room'!$B$13/4))^2),1)*IF(AND($A336&gt;='Control Room'!$A$14,$A336&lt;'Control Room'!$A$14+'Control Room'!$B$14,'Process'!BQ3=1),1+('Control Room'!$C$14-1)*EXP(-0.5*(($A336-'Control Room'!$A$14-('Control Room'!$B$14-1)/2)/MAX(0.5,'Control Room'!$B$14/4))^2),1)*IF(AND($A336&gt;='Control Room'!$A$15,$A336&lt;'Control Room'!$A$15+'Control Room'!$B$15,'Process'!BQ4=1),1+('Control Room'!$C$15-1)*EXP(-0.5*(($A336-'Control Room'!$A$15-('Control Room'!$B$15-1)/2)/MAX(0.5,'Control Room'!$B$15/4))^2),1)*IF(AND($A336&gt;='Control Room'!$A$16,$A336&lt;'Control Room'!$A$16+'Control Room'!$B$16,'Process'!BQ5=1),1+('Control Room'!$C$16-1)*EXP(-0.5*(($A336-'Control Room'!$A$16-('Control Room'!$B$16-1)/2)/MAX(0.5,'Control Room'!$B$16/4))^2),1)</x:f>
        <x:v>1</x:v>
      </x:c>
      <x:c r="AK336" s="9" t="n">
        <x:f>MOD(AL335*16807,2147483647)</x:f>
        <x:v>1934441912</x:v>
      </x:c>
      <x:c r="AL336" s="9" t="n">
        <x:f>MOD(AK336*16807,2147483647)</x:f>
        <x:v>1410283051</x:v>
      </x:c>
      <x:c r="AM336" s="17" t="n">
        <x:f>IF('Control Room'!$B$5="Normal",'Control Room'!$B$7+'Control Room'!$D$7*SQRT(-2*LN(MAX(0.000000000001,AK336/2147483647)))*COS(2*PI()*AL336/2147483647),'Control Room'!$B$8+('Control Room'!$D$8-'Control Room'!$B$8)*AK336/2147483647)</x:f>
        <x:v>977.2434271855179</x:v>
      </x:c>
      <x:c r="AN336" s="17" t="n">
        <x:f>IF('Control Room'!$B$5="Normal",'Control Room'!$B$7,('Control Room'!$B$8+'Control Room'!$D$8)/2)+'Control Room'!$B$9*(AN335-IF('Control Room'!$B$5="Normal",'Control Room'!$B$7,('Control Room'!$B$8+'Control Room'!$D$8)/2))+SQRT(1-'Control Room'!$B$9^2)*(AM336-IF('Control Room'!$B$5="Normal",'Control Room'!$B$7,('Control Room'!$B$8+'Control Room'!$D$8)/2))</x:f>
        <x:v>1017.6096625211266</x:v>
      </x:c>
      <x:c r="AO336" s="17" t="n">
        <x:f>IF(AND($A336&gt;='Control Room'!$A$13,$A336&lt;'Control Room'!$A$13+'Control Room'!$B$13,'Process'!BR2=1),1+('Control Room'!$C$13-1)*EXP(-0.5*(($A336-'Control Room'!$A$13-('Control Room'!$B$13-1)/2)/MAX(0.5,'Control Room'!$B$13/4))^2),1)*IF(AND($A336&gt;='Control Room'!$A$14,$A336&lt;'Control Room'!$A$14+'Control Room'!$B$14,'Process'!BR3=1),1+('Control Room'!$C$14-1)*EXP(-0.5*(($A336-'Control Room'!$A$14-('Control Room'!$B$14-1)/2)/MAX(0.5,'Control Room'!$B$14/4))^2),1)*IF(AND($A336&gt;='Control Room'!$A$15,$A336&lt;'Control Room'!$A$15+'Control Room'!$B$15,'Process'!BR4=1),1+('Control Room'!$C$15-1)*EXP(-0.5*(($A336-'Control Room'!$A$15-('Control Room'!$B$15-1)/2)/MAX(0.5,'Control Room'!$B$15/4))^2),1)*IF(AND($A336&gt;='Control Room'!$A$16,$A336&lt;'Control Room'!$A$16+'Control Room'!$B$16,'Process'!BR5=1),1+('Control Room'!$C$16-1)*EXP(-0.5*(($A336-'Control Room'!$A$16-('Control Room'!$B$16-1)/2)/MAX(0.5,'Control Room'!$B$16/4))^2),1)</x:f>
        <x:v>1</x:v>
      </x:c>
      <x:c r="AP336" s="9" t="n">
        <x:f>MOD(AQ335*16807,2147483647)</x:f>
        <x:v>892000472</x:v>
      </x:c>
      <x:c r="AQ336" s="9" t="n">
        <x:f>MOD(AP336*16807,2147483647)</x:f>
        <x:v>268593197</x:v>
      </x:c>
      <x:c r="AR336" s="17" t="n">
        <x:f>IF('Control Room'!$B$5="Normal",'Control Room'!$B$7+'Control Room'!$D$7*SQRT(-2*LN(MAX(0.000000000001,AP336/2147483647)))*COS(2*PI()*AQ336/2147483647),'Control Room'!$B$8+('Control Room'!$D$8-'Control Room'!$B$8)*AP336/2147483647)</x:f>
        <x:v>1084.3206536800044</x:v>
      </x:c>
      <x:c r="AS336" s="17" t="n">
        <x:f>IF('Control Room'!$B$5="Normal",'Control Room'!$B$7,('Control Room'!$B$8+'Control Room'!$D$8)/2)+'Control Room'!$B$9*(AS335-IF('Control Room'!$B$5="Normal",'Control Room'!$B$7,('Control Room'!$B$8+'Control Room'!$D$8)/2))+SQRT(1-'Control Room'!$B$9^2)*(AR336-IF('Control Room'!$B$5="Normal",'Control Room'!$B$7,('Control Room'!$B$8+'Control Room'!$D$8)/2))</x:f>
        <x:v>1146.9567005960887</x:v>
      </x:c>
      <x:c r="AT336" s="17" t="n">
        <x:f>IF(AND($A336&gt;='Control Room'!$A$13,$A336&lt;'Control Room'!$A$13+'Control Room'!$B$13,'Process'!BS2=1),1+('Control Room'!$C$13-1)*EXP(-0.5*(($A336-'Control Room'!$A$13-('Control Room'!$B$13-1)/2)/MAX(0.5,'Control Room'!$B$13/4))^2),1)*IF(AND($A336&gt;='Control Room'!$A$14,$A336&lt;'Control Room'!$A$14+'Control Room'!$B$14,'Process'!BS3=1),1+('Control Room'!$C$14-1)*EXP(-0.5*(($A336-'Control Room'!$A$14-('Control Room'!$B$14-1)/2)/MAX(0.5,'Control Room'!$B$14/4))^2),1)*IF(AND($A336&gt;='Control Room'!$A$15,$A336&lt;'Control Room'!$A$15+'Control Room'!$B$15,'Process'!BS4=1),1+('Control Room'!$C$15-1)*EXP(-0.5*(($A336-'Control Room'!$A$15-('Control Room'!$B$15-1)/2)/MAX(0.5,'Control Room'!$B$15/4))^2),1)*IF(AND($A336&gt;='Control Room'!$A$16,$A336&lt;'Control Room'!$A$16+'Control Room'!$B$16,'Process'!BS5=1),1+('Control Room'!$C$16-1)*EXP(-0.5*(($A336-'Control Room'!$A$16-('Control Room'!$B$16-1)/2)/MAX(0.5,'Control Room'!$B$16/4))^2),1)</x:f>
        <x:v>1</x:v>
      </x:c>
      <x:c r="AU336" s="9" t="n">
        <x:f>MOD(AV335*16807,2147483647)</x:f>
        <x:v>1997042679</x:v>
      </x:c>
      <x:c r="AV336" s="9" t="n">
        <x:f>MOD(AU336*16807,2147483647)</x:f>
        <x:v>1274386990</x:v>
      </x:c>
      <x:c r="AW336" s="17" t="n">
        <x:f>IF('Control Room'!$B$5="Normal",'Control Room'!$B$7+'Control Room'!$D$7*SQRT(-2*LN(MAX(0.000000000001,AU336/2147483647)))*COS(2*PI()*AV336/2147483647),'Control Room'!$B$8+('Control Room'!$D$8-'Control Room'!$B$8)*AU336/2147483647)</x:f>
        <x:v>971.4413792792468</x:v>
      </x:c>
      <x:c r="AX336" s="17" t="n">
        <x:f>IF('Control Room'!$B$5="Normal",'Control Room'!$B$7,('Control Room'!$B$8+'Control Room'!$D$8)/2)+'Control Room'!$B$9*(AX335-IF('Control Room'!$B$5="Normal",'Control Room'!$B$7,('Control Room'!$B$8+'Control Room'!$D$8)/2))+SQRT(1-'Control Room'!$B$9^2)*(AW336-IF('Control Room'!$B$5="Normal",'Control Room'!$B$7,('Control Room'!$B$8+'Control Room'!$D$8)/2))</x:f>
        <x:v>916.6569198854078</x:v>
      </x:c>
      <x:c r="AY336" s="17" t="n">
        <x:f>IF(AND($A336&gt;='Control Room'!$A$13,$A336&lt;'Control Room'!$A$13+'Control Room'!$B$13,'Process'!BT2=1),1+('Control Room'!$C$13-1)*EXP(-0.5*(($A336-'Control Room'!$A$13-('Control Room'!$B$13-1)/2)/MAX(0.5,'Control Room'!$B$13/4))^2),1)*IF(AND($A336&gt;='Control Room'!$A$14,$A336&lt;'Control Room'!$A$14+'Control Room'!$B$14,'Process'!BT3=1),1+('Control Room'!$C$14-1)*EXP(-0.5*(($A336-'Control Room'!$A$14-('Control Room'!$B$14-1)/2)/MAX(0.5,'Control Room'!$B$14/4))^2),1)*IF(AND($A336&gt;='Control Room'!$A$15,$A336&lt;'Control Room'!$A$15+'Control Room'!$B$15,'Process'!BT4=1),1+('Control Room'!$C$15-1)*EXP(-0.5*(($A336-'Control Room'!$A$15-('Control Room'!$B$15-1)/2)/MAX(0.5,'Control Room'!$B$15/4))^2),1)*IF(AND($A336&gt;='Control Room'!$A$16,$A336&lt;'Control Room'!$A$16+'Control Room'!$B$16,'Process'!BT5=1),1+('Control Room'!$C$16-1)*EXP(-0.5*(($A336-'Control Room'!$A$16-('Control Room'!$B$16-1)/2)/MAX(0.5,'Control Room'!$B$16/4))^2),1)</x:f>
        <x:v>1</x:v>
      </x:c>
      <x:c r="AZ336" s="9" t="n">
        <x:f>MOD(BA335*16807,2147483647)</x:f>
        <x:v>954601239</x:v>
      </x:c>
      <x:c r="BA336" s="9" t="n">
        <x:f>MOD(AZ336*16807,2147483647)</x:f>
        <x:v>132697136</x:v>
      </x:c>
      <x:c r="BB336" s="17" t="n">
        <x:f>IF('Control Room'!$B$5="Normal",'Control Room'!$B$7+'Control Room'!$D$7*SQRT(-2*LN(MAX(0.000000000001,AZ336/2147483647)))*COS(2*PI()*BA336/2147483647),'Control Room'!$B$8+('Control Room'!$D$8-'Control Room'!$B$8)*AZ336/2147483647)</x:f>
        <x:v>1106.0752024498477</x:v>
      </x:c>
      <x:c r="BC336" s="17" t="n">
        <x:f>IF('Control Room'!$B$5="Normal",'Control Room'!$B$7,('Control Room'!$B$8+'Control Room'!$D$8)/2)+'Control Room'!$B$9*(BC335-IF('Control Room'!$B$5="Normal",'Control Room'!$B$7,('Control Room'!$B$8+'Control Room'!$D$8)/2))+SQRT(1-'Control Room'!$B$9^2)*(BB336-IF('Control Room'!$B$5="Normal",'Control Room'!$B$7,('Control Room'!$B$8+'Control Room'!$D$8)/2))</x:f>
        <x:v>1115.8582577530224</x:v>
      </x:c>
      <x:c r="BD336" s="17" t="n">
        <x:f>IF(AND($A336&gt;='Control Room'!$A$13,$A336&lt;'Control Room'!$A$13+'Control Room'!$B$13,'Process'!BU2=1),1+('Control Room'!$C$13-1)*EXP(-0.5*(($A336-'Control Room'!$A$13-('Control Room'!$B$13-1)/2)/MAX(0.5,'Control Room'!$B$13/4))^2),1)*IF(AND($A336&gt;='Control Room'!$A$14,$A336&lt;'Control Room'!$A$14+'Control Room'!$B$14,'Process'!BU3=1),1+('Control Room'!$C$14-1)*EXP(-0.5*(($A336-'Control Room'!$A$14-('Control Room'!$B$14-1)/2)/MAX(0.5,'Control Room'!$B$14/4))^2),1)*IF(AND($A336&gt;='Control Room'!$A$15,$A336&lt;'Control Room'!$A$15+'Control Room'!$B$15,'Process'!BU4=1),1+('Control Room'!$C$15-1)*EXP(-0.5*(($A336-'Control Room'!$A$15-('Control Room'!$B$15-1)/2)/MAX(0.5,'Control Room'!$B$15/4))^2),1)*IF(AND($A336&gt;='Control Room'!$A$16,$A336&lt;'Control Room'!$A$16+'Control Room'!$B$16,'Process'!BU5=1),1+('Control Room'!$C$16-1)*EXP(-0.5*(($A336-'Control Room'!$A$16-('Control Room'!$B$16-1)/2)/MAX(0.5,'Control Room'!$B$16/4))^2),1)</x:f>
        <x:v>1</x:v>
      </x:c>
      <x:c r="BE336" s="9" t="n">
        <x:f>MOD(BF335*16807,2147483647)</x:f>
        <x:v>2059643446</x:v>
      </x:c>
      <x:c r="BF336" s="9" t="n">
        <x:f>MOD(BE336*16807,2147483647)</x:f>
        <x:v>1138490929</x:v>
      </x:c>
      <x:c r="BG336" s="17" t="n">
        <x:f>IF('Control Room'!$B$5="Normal",'Control Room'!$B$7+'Control Room'!$D$7*SQRT(-2*LN(MAX(0.000000000001,BE336/2147483647)))*COS(2*PI()*BF336/2147483647),'Control Room'!$B$8+('Control Room'!$D$8-'Control Room'!$B$8)*BE336/2147483647)</x:f>
        <x:v>974.4543161398092</x:v>
      </x:c>
      <x:c r="BH336" s="17" t="n">
        <x:f>IF('Control Room'!$B$5="Normal",'Control Room'!$B$7,('Control Room'!$B$8+'Control Room'!$D$8)/2)+'Control Room'!$B$9*(BH335-IF('Control Room'!$B$5="Normal",'Control Room'!$B$7,('Control Room'!$B$8+'Control Room'!$D$8)/2))+SQRT(1-'Control Room'!$B$9^2)*(BG336-IF('Control Room'!$B$5="Normal",'Control Room'!$B$7,('Control Room'!$B$8+'Control Room'!$D$8)/2))</x:f>
        <x:v>1030.3269136010363</x:v>
      </x:c>
      <x:c r="BI336" s="17" t="n">
        <x:f>IF(AND($A336&gt;='Control Room'!$A$13,$A336&lt;'Control Room'!$A$13+'Control Room'!$B$13,'Process'!BV2=1),1+('Control Room'!$C$13-1)*EXP(-0.5*(($A336-'Control Room'!$A$13-('Control Room'!$B$13-1)/2)/MAX(0.5,'Control Room'!$B$13/4))^2),1)*IF(AND($A336&gt;='Control Room'!$A$14,$A336&lt;'Control Room'!$A$14+'Control Room'!$B$14,'Process'!BV3=1),1+('Control Room'!$C$14-1)*EXP(-0.5*(($A336-'Control Room'!$A$14-('Control Room'!$B$14-1)/2)/MAX(0.5,'Control Room'!$B$14/4))^2),1)*IF(AND($A336&gt;='Control Room'!$A$15,$A336&lt;'Control Room'!$A$15+'Control Room'!$B$15,'Process'!BV4=1),1+('Control Room'!$C$15-1)*EXP(-0.5*(($A336-'Control Room'!$A$15-('Control Room'!$B$15-1)/2)/MAX(0.5,'Control Room'!$B$15/4))^2),1)*IF(AND($A336&gt;='Control Room'!$A$16,$A336&lt;'Control Room'!$A$16+'Control Room'!$B$16,'Process'!BV5=1),1+('Control Room'!$C$16-1)*EXP(-0.5*(($A336-'Control Room'!$A$16-('Control Room'!$B$16-1)/2)/MAX(0.5,'Control Room'!$B$16/4))^2),1)</x:f>
        <x:v>1</x:v>
      </x:c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Z336" t="str">
        <x:f>IF('Data'!A336="","",TEXT('Data'!A336,"mm-dd"))</x:f>
      </x:c>
    </x:row>
    <x:row r="337" ht="21" customHeight="1">
      <x:c r="A337" s="15" t="n">
        <x:f>'Control Room'!$B$1+335</x:f>
        <x:v>73326</x:v>
      </x:c>
      <x:c r="B337" s="9" t="n">
        <x:f>MOD(C336*16807,2147483647)</x:f>
        <x:v>860190555</x:v>
      </x:c>
      <x:c r="C337" s="9" t="n">
        <x:f>MOD(B337*16807,2147483647)</x:f>
        <x:v>362746281</x:v>
      </x:c>
      <x:c r="D337" s="17" t="n">
        <x:f>IF('Control Room'!$B$5="Normal",'Control Room'!$B$7+'Control Room'!$D$7*SQRT(-2*LN(MAX(0.000000000001,B337/2147483647)))*COS(2*PI()*C337/2147483647),'Control Room'!$B$8+('Control Room'!$D$8-'Control Room'!$B$8)*B337/2147483647)</x:f>
        <x:v>1059.3747758709396</x:v>
      </x:c>
      <x:c r="E337" s="17" t="n">
        <x:f>IF('Control Room'!$B$5="Normal",'Control Room'!$B$7,('Control Room'!$B$8+'Control Room'!$D$8)/2)+'Control Room'!$B$9*(E336-IF('Control Room'!$B$5="Normal",'Control Room'!$B$7,('Control Room'!$B$8+'Control Room'!$D$8)/2))+SQRT(1-'Control Room'!$B$9^2)*(D337-IF('Control Room'!$B$5="Normal",'Control Room'!$B$7,('Control Room'!$B$8+'Control Room'!$D$8)/2))</x:f>
        <x:v>920.752976749936</x:v>
      </x:c>
      <x:c r="F337" s="17" t="n">
        <x:f>IF(AND($A337&gt;='Control Room'!$A$13,$A337&lt;'Control Room'!$A$13+'Control Room'!$B$13,'Process'!BK2=1),1+('Control Room'!$C$13-1)*EXP(-0.5*(($A337-'Control Room'!$A$13-('Control Room'!$B$13-1)/2)/MAX(0.5,'Control Room'!$B$13/4))^2),1)*IF(AND($A337&gt;='Control Room'!$A$14,$A337&lt;'Control Room'!$A$14+'Control Room'!$B$14,'Process'!BK3=1),1+('Control Room'!$C$14-1)*EXP(-0.5*(($A337-'Control Room'!$A$14-('Control Room'!$B$14-1)/2)/MAX(0.5,'Control Room'!$B$14/4))^2),1)*IF(AND($A337&gt;='Control Room'!$A$15,$A337&lt;'Control Room'!$A$15+'Control Room'!$B$15,'Process'!BK4=1),1+('Control Room'!$C$15-1)*EXP(-0.5*(($A337-'Control Room'!$A$15-('Control Room'!$B$15-1)/2)/MAX(0.5,'Control Room'!$B$15/4))^2),1)*IF(AND($A337&gt;='Control Room'!$A$16,$A337&lt;'Control Room'!$A$16+'Control Room'!$B$16,'Process'!BK5=1),1+('Control Room'!$C$16-1)*EXP(-0.5*(($A337-'Control Room'!$A$16-('Control Room'!$B$16-1)/2)/MAX(0.5,'Control Room'!$B$16/4))^2),1)</x:f>
        <x:v>1</x:v>
      </x:c>
      <x:c r="G337" s="9" t="n">
        <x:f>MOD(H336*16807,2147483647)</x:f>
        <x:v>245200322</x:v>
      </x:c>
      <x:c r="H337" s="9" t="n">
        <x:f>MOD(G337*16807,2147483647)</x:f>
        <x:v>60693261</x:v>
      </x:c>
      <x:c r="I337" s="17" t="n">
        <x:f>IF('Control Room'!$B$5="Normal",'Control Room'!$B$7+'Control Room'!$D$7*SQRT(-2*LN(MAX(0.000000000001,G337/2147483647)))*COS(2*PI()*H337/2147483647),'Control Room'!$B$8+('Control Room'!$D$8-'Control Room'!$B$8)*G337/2147483647)</x:f>
        <x:v>1184.5445311645162</x:v>
      </x:c>
      <x:c r="J337" s="17" t="n">
        <x:f>IF('Control Room'!$B$5="Normal",'Control Room'!$B$7,('Control Room'!$B$8+'Control Room'!$D$8)/2)+'Control Room'!$B$9*(J336-IF('Control Room'!$B$5="Normal",'Control Room'!$B$7,('Control Room'!$B$8+'Control Room'!$D$8)/2))+SQRT(1-'Control Room'!$B$9^2)*(I337-IF('Control Room'!$B$5="Normal",'Control Room'!$B$7,('Control Room'!$B$8+'Control Room'!$D$8)/2))</x:f>
        <x:v>1153.0434587483503</x:v>
      </x:c>
      <x:c r="K337" s="17" t="n">
        <x:f>IF(AND($A337&gt;='Control Room'!$A$13,$A337&lt;'Control Room'!$A$13+'Control Room'!$B$13,'Process'!BL2=1),1+('Control Room'!$C$13-1)*EXP(-0.5*(($A337-'Control Room'!$A$13-('Control Room'!$B$13-1)/2)/MAX(0.5,'Control Room'!$B$13/4))^2),1)*IF(AND($A337&gt;='Control Room'!$A$14,$A337&lt;'Control Room'!$A$14+'Control Room'!$B$14,'Process'!BL3=1),1+('Control Room'!$C$14-1)*EXP(-0.5*(($A337-'Control Room'!$A$14-('Control Room'!$B$14-1)/2)/MAX(0.5,'Control Room'!$B$14/4))^2),1)*IF(AND($A337&gt;='Control Room'!$A$15,$A337&lt;'Control Room'!$A$15+'Control Room'!$B$15,'Process'!BL4=1),1+('Control Room'!$C$15-1)*EXP(-0.5*(($A337-'Control Room'!$A$15-('Control Room'!$B$15-1)/2)/MAX(0.5,'Control Room'!$B$15/4))^2),1)*IF(AND($A337&gt;='Control Room'!$A$16,$A337&lt;'Control Room'!$A$16+'Control Room'!$B$16,'Process'!BL5=1),1+('Control Room'!$C$16-1)*EXP(-0.5*(($A337-'Control Room'!$A$16-('Control Room'!$B$16-1)/2)/MAX(0.5,'Control Room'!$B$16/4))^2),1)</x:f>
        <x:v>1</x:v>
      </x:c>
      <x:c r="L337" s="9" t="n">
        <x:f>MOD(M336*16807,2147483647)</x:f>
        <x:v>1777693736</x:v>
      </x:c>
      <x:c r="M337" s="9" t="n">
        <x:f>MOD(L337*16807,2147483647)</x:f>
        <x:v>1906123888</x:v>
      </x:c>
      <x:c r="N337" s="17" t="n">
        <x:f>IF('Control Room'!$B$5="Normal",'Control Room'!$B$7+'Control Room'!$D$7*SQRT(-2*LN(MAX(0.000000000001,L337/2147483647)))*COS(2*PI()*M337/2147483647),'Control Room'!$B$8+('Control Room'!$D$8-'Control Room'!$B$8)*L337/2147483647)</x:f>
        <x:v>1042.0981090876278</x:v>
      </x:c>
      <x:c r="O337" s="17" t="n">
        <x:f>IF('Control Room'!$B$5="Normal",'Control Room'!$B$7,('Control Room'!$B$8+'Control Room'!$D$8)/2)+'Control Room'!$B$9*(O336-IF('Control Room'!$B$5="Normal",'Control Room'!$B$7,('Control Room'!$B$8+'Control Room'!$D$8)/2))+SQRT(1-'Control Room'!$B$9^2)*(N337-IF('Control Room'!$B$5="Normal",'Control Room'!$B$7,('Control Room'!$B$8+'Control Room'!$D$8)/2))</x:f>
        <x:v>1030.3873745347378</x:v>
      </x:c>
      <x:c r="P337" s="17" t="n">
        <x:f>IF(AND($A337&gt;='Control Room'!$A$13,$A337&lt;'Control Room'!$A$13+'Control Room'!$B$13,'Process'!BM2=1),1+('Control Room'!$C$13-1)*EXP(-0.5*(($A337-'Control Room'!$A$13-('Control Room'!$B$13-1)/2)/MAX(0.5,'Control Room'!$B$13/4))^2),1)*IF(AND($A337&gt;='Control Room'!$A$14,$A337&lt;'Control Room'!$A$14+'Control Room'!$B$14,'Process'!BM3=1),1+('Control Room'!$C$14-1)*EXP(-0.5*(($A337-'Control Room'!$A$14-('Control Room'!$B$14-1)/2)/MAX(0.5,'Control Room'!$B$14/4))^2),1)*IF(AND($A337&gt;='Control Room'!$A$15,$A337&lt;'Control Room'!$A$15+'Control Room'!$B$15,'Process'!BM4=1),1+('Control Room'!$C$15-1)*EXP(-0.5*(($A337-'Control Room'!$A$15-('Control Room'!$B$15-1)/2)/MAX(0.5,'Control Room'!$B$15/4))^2),1)*IF(AND($A337&gt;='Control Room'!$A$16,$A337&lt;'Control Room'!$A$16+'Control Room'!$B$16,'Process'!BM5=1),1+('Control Room'!$C$16-1)*EXP(-0.5*(($A337-'Control Room'!$A$16-('Control Room'!$B$16-1)/2)/MAX(0.5,'Control Room'!$B$16/4))^2),1)</x:f>
        <x:v>1</x:v>
      </x:c>
      <x:c r="Q337" s="9" t="n">
        <x:f>MOD(R336*16807,2147483647)</x:f>
        <x:v>1162703503</x:v>
      </x:c>
      <x:c r="R337" s="9" t="n">
        <x:f>MOD(Q337*16807,2147483647)</x:f>
        <x:v>1604070868</x:v>
      </x:c>
      <x:c r="S337" s="17" t="n">
        <x:f>IF('Control Room'!$B$5="Normal",'Control Room'!$B$7+'Control Room'!$D$7*SQRT(-2*LN(MAX(0.000000000001,Q337/2147483647)))*COS(2*PI()*R337/2147483647),'Control Room'!$B$8+('Control Room'!$D$8-'Control Room'!$B$8)*Q337/2147483647)</x:f>
        <x:v>998.0918729153807</x:v>
      </x:c>
      <x:c r="T337" s="17" t="n">
        <x:f>IF('Control Room'!$B$5="Normal",'Control Room'!$B$7,('Control Room'!$B$8+'Control Room'!$D$8)/2)+'Control Room'!$B$9*(T336-IF('Control Room'!$B$5="Normal",'Control Room'!$B$7,('Control Room'!$B$8+'Control Room'!$D$8)/2))+SQRT(1-'Control Room'!$B$9^2)*(S337-IF('Control Room'!$B$5="Normal",'Control Room'!$B$7,('Control Room'!$B$8+'Control Room'!$D$8)/2))</x:f>
        <x:v>1015.7236865758987</x:v>
      </x:c>
      <x:c r="U337" s="17" t="n">
        <x:f>IF(AND($A337&gt;='Control Room'!$A$13,$A337&lt;'Control Room'!$A$13+'Control Room'!$B$13,'Process'!BN2=1),1+('Control Room'!$C$13-1)*EXP(-0.5*(($A337-'Control Room'!$A$13-('Control Room'!$B$13-1)/2)/MAX(0.5,'Control Room'!$B$13/4))^2),1)*IF(AND($A337&gt;='Control Room'!$A$14,$A337&lt;'Control Room'!$A$14+'Control Room'!$B$14,'Process'!BN3=1),1+('Control Room'!$C$14-1)*EXP(-0.5*(($A337-'Control Room'!$A$14-('Control Room'!$B$14-1)/2)/MAX(0.5,'Control Room'!$B$14/4))^2),1)*IF(AND($A337&gt;='Control Room'!$A$15,$A337&lt;'Control Room'!$A$15+'Control Room'!$B$15,'Process'!BN4=1),1+('Control Room'!$C$15-1)*EXP(-0.5*(($A337-'Control Room'!$A$15-('Control Room'!$B$15-1)/2)/MAX(0.5,'Control Room'!$B$15/4))^2),1)*IF(AND($A337&gt;='Control Room'!$A$16,$A337&lt;'Control Room'!$A$16+'Control Room'!$B$16,'Process'!BN5=1),1+('Control Room'!$C$16-1)*EXP(-0.5*(($A337-'Control Room'!$A$16-('Control Room'!$B$16-1)/2)/MAX(0.5,'Control Room'!$B$16/4))^2),1)</x:f>
        <x:v>1</x:v>
      </x:c>
      <x:c r="V337" s="9" t="n">
        <x:f>MOD(W336*16807,2147483647)</x:f>
        <x:v>547713270</x:v>
      </x:c>
      <x:c r="W337" s="9" t="n">
        <x:f>MOD(V337*16807,2147483647)</x:f>
        <x:v>1302017848</x:v>
      </x:c>
      <x:c r="X337" s="17" t="n">
        <x:f>IF('Control Room'!$B$5="Normal",'Control Room'!$B$7+'Control Room'!$D$7*SQRT(-2*LN(MAX(0.000000000001,V337/2147483647)))*COS(2*PI()*W337/2147483647),'Control Room'!$B$8+('Control Room'!$D$8-'Control Room'!$B$8)*V337/2147483647)</x:f>
        <x:v>883.1928525524985</x:v>
      </x:c>
      <x:c r="Y337" s="17" t="n">
        <x:f>IF('Control Room'!$B$5="Normal",'Control Room'!$B$7,('Control Room'!$B$8+'Control Room'!$D$8)/2)+'Control Room'!$B$9*(Y336-IF('Control Room'!$B$5="Normal",'Control Room'!$B$7,('Control Room'!$B$8+'Control Room'!$D$8)/2))+SQRT(1-'Control Room'!$B$9^2)*(X337-IF('Control Room'!$B$5="Normal",'Control Room'!$B$7,('Control Room'!$B$8+'Control Room'!$D$8)/2))</x:f>
        <x:v>892.8506471897158</x:v>
      </x:c>
      <x:c r="Z337" s="17" t="n">
        <x:f>IF(AND($A337&gt;='Control Room'!$A$13,$A337&lt;'Control Room'!$A$13+'Control Room'!$B$13,'Process'!BO2=1),1+('Control Room'!$C$13-1)*EXP(-0.5*(($A337-'Control Room'!$A$13-('Control Room'!$B$13-1)/2)/MAX(0.5,'Control Room'!$B$13/4))^2),1)*IF(AND($A337&gt;='Control Room'!$A$14,$A337&lt;'Control Room'!$A$14+'Control Room'!$B$14,'Process'!BO3=1),1+('Control Room'!$C$14-1)*EXP(-0.5*(($A337-'Control Room'!$A$14-('Control Room'!$B$14-1)/2)/MAX(0.5,'Control Room'!$B$14/4))^2),1)*IF(AND($A337&gt;='Control Room'!$A$15,$A337&lt;'Control Room'!$A$15+'Control Room'!$B$15,'Process'!BO4=1),1+('Control Room'!$C$15-1)*EXP(-0.5*(($A337-'Control Room'!$A$15-('Control Room'!$B$15-1)/2)/MAX(0.5,'Control Room'!$B$15/4))^2),1)*IF(AND($A337&gt;='Control Room'!$A$16,$A337&lt;'Control Room'!$A$16+'Control Room'!$B$16,'Process'!BO5=1),1+('Control Room'!$C$16-1)*EXP(-0.5*(($A337-'Control Room'!$A$16-('Control Room'!$B$16-1)/2)/MAX(0.5,'Control Room'!$B$16/4))^2),1)</x:f>
        <x:v>1</x:v>
      </x:c>
      <x:c r="AA337" s="9" t="n">
        <x:f>MOD(AB336*16807,2147483647)</x:f>
        <x:v>2080206684</x:v>
      </x:c>
      <x:c r="AB337" s="9" t="n">
        <x:f>MOD(AA337*16807,2147483647)</x:f>
        <x:v>999964828</x:v>
      </x:c>
      <x:c r="AC337" s="17" t="n">
        <x:f>IF('Control Room'!$B$5="Normal",'Control Room'!$B$7+'Control Room'!$D$7*SQRT(-2*LN(MAX(0.000000000001,AA337/2147483647)))*COS(2*PI()*AB337/2147483647),'Control Room'!$B$8+('Control Room'!$D$8-'Control Room'!$B$8)*AA337/2147483647)</x:f>
        <x:v>977.8193208686444</x:v>
      </x:c>
      <x:c r="AD337" s="17" t="n">
        <x:f>IF('Control Room'!$B$5="Normal",'Control Room'!$B$7,('Control Room'!$B$8+'Control Room'!$D$8)/2)+'Control Room'!$B$9*(AD336-IF('Control Room'!$B$5="Normal",'Control Room'!$B$7,('Control Room'!$B$8+'Control Room'!$D$8)/2))+SQRT(1-'Control Room'!$B$9^2)*(AC337-IF('Control Room'!$B$5="Normal",'Control Room'!$B$7,('Control Room'!$B$8+'Control Room'!$D$8)/2))</x:f>
        <x:v>938.1510552339444</x:v>
      </x:c>
      <x:c r="AE337" s="17" t="n">
        <x:f>IF(AND($A337&gt;='Control Room'!$A$13,$A337&lt;'Control Room'!$A$13+'Control Room'!$B$13,'Process'!BP2=1),1+('Control Room'!$C$13-1)*EXP(-0.5*(($A337-'Control Room'!$A$13-('Control Room'!$B$13-1)/2)/MAX(0.5,'Control Room'!$B$13/4))^2),1)*IF(AND($A337&gt;='Control Room'!$A$14,$A337&lt;'Control Room'!$A$14+'Control Room'!$B$14,'Process'!BP3=1),1+('Control Room'!$C$14-1)*EXP(-0.5*(($A337-'Control Room'!$A$14-('Control Room'!$B$14-1)/2)/MAX(0.5,'Control Room'!$B$14/4))^2),1)*IF(AND($A337&gt;='Control Room'!$A$15,$A337&lt;'Control Room'!$A$15+'Control Room'!$B$15,'Process'!BP4=1),1+('Control Room'!$C$15-1)*EXP(-0.5*(($A337-'Control Room'!$A$15-('Control Room'!$B$15-1)/2)/MAX(0.5,'Control Room'!$B$15/4))^2),1)*IF(AND($A337&gt;='Control Room'!$A$16,$A337&lt;'Control Room'!$A$16+'Control Room'!$B$16,'Process'!BP5=1),1+('Control Room'!$C$16-1)*EXP(-0.5*(($A337-'Control Room'!$A$16-('Control Room'!$B$16-1)/2)/MAX(0.5,'Control Room'!$B$16/4))^2),1)</x:f>
        <x:v>1</x:v>
      </x:c>
      <x:c r="AF337" s="9" t="n">
        <x:f>MOD(AG336*16807,2147483647)</x:f>
        <x:v>1465216451</x:v>
      </x:c>
      <x:c r="AG337" s="9" t="n">
        <x:f>MOD(AF337*16807,2147483647)</x:f>
        <x:v>697911808</x:v>
      </x:c>
      <x:c r="AH337" s="17" t="n">
        <x:f>IF('Control Room'!$B$5="Normal",'Control Room'!$B$7+'Control Room'!$D$7*SQRT(-2*LN(MAX(0.000000000001,AF337/2147483647)))*COS(2*PI()*AG337/2147483647),'Control Room'!$B$8+('Control Room'!$D$8-'Control Room'!$B$8)*AF337/2147483647)</x:f>
        <x:v>964.2766591896016</x:v>
      </x:c>
      <x:c r="AI337" s="17" t="n">
        <x:f>IF('Control Room'!$B$5="Normal",'Control Room'!$B$7,('Control Room'!$B$8+'Control Room'!$D$8)/2)+'Control Room'!$B$9*(AI336-IF('Control Room'!$B$5="Normal",'Control Room'!$B$7,('Control Room'!$B$8+'Control Room'!$D$8)/2))+SQRT(1-'Control Room'!$B$9^2)*(AH337-IF('Control Room'!$B$5="Normal",'Control Room'!$B$7,('Control Room'!$B$8+'Control Room'!$D$8)/2))</x:f>
        <x:v>1017.4464502809003</x:v>
      </x:c>
      <x:c r="AJ337" s="17" t="n">
        <x:f>IF(AND($A337&gt;='Control Room'!$A$13,$A337&lt;'Control Room'!$A$13+'Control Room'!$B$13,'Process'!BQ2=1),1+('Control Room'!$C$13-1)*EXP(-0.5*(($A337-'Control Room'!$A$13-('Control Room'!$B$13-1)/2)/MAX(0.5,'Control Room'!$B$13/4))^2),1)*IF(AND($A337&gt;='Control Room'!$A$14,$A337&lt;'Control Room'!$A$14+'Control Room'!$B$14,'Process'!BQ3=1),1+('Control Room'!$C$14-1)*EXP(-0.5*(($A337-'Control Room'!$A$14-('Control Room'!$B$14-1)/2)/MAX(0.5,'Control Room'!$B$14/4))^2),1)*IF(AND($A337&gt;='Control Room'!$A$15,$A337&lt;'Control Room'!$A$15+'Control Room'!$B$15,'Process'!BQ4=1),1+('Control Room'!$C$15-1)*EXP(-0.5*(($A337-'Control Room'!$A$15-('Control Room'!$B$15-1)/2)/MAX(0.5,'Control Room'!$B$15/4))^2),1)*IF(AND($A337&gt;='Control Room'!$A$16,$A337&lt;'Control Room'!$A$16+'Control Room'!$B$16,'Process'!BQ5=1),1+('Control Room'!$C$16-1)*EXP(-0.5*(($A337-'Control Room'!$A$16-('Control Room'!$B$16-1)/2)/MAX(0.5,'Control Room'!$B$16/4))^2),1)</x:f>
        <x:v>1</x:v>
      </x:c>
      <x:c r="AK337" s="9" t="n">
        <x:f>MOD(AL336*16807,2147483647)</x:f>
        <x:v>850226218</x:v>
      </x:c>
      <x:c r="AL337" s="9" t="n">
        <x:f>MOD(AK337*16807,2147483647)</x:f>
        <x:v>395858788</x:v>
      </x:c>
      <x:c r="AM337" s="17" t="n">
        <x:f>IF('Control Room'!$B$5="Normal",'Control Room'!$B$7+'Control Room'!$D$7*SQRT(-2*LN(MAX(0.000000000001,AK337/2147483647)))*COS(2*PI()*AL337/2147483647),'Control Room'!$B$8+('Control Room'!$D$8-'Control Room'!$B$8)*AK337/2147483647)</x:f>
        <x:v>1049.125459015701</x:v>
      </x:c>
      <x:c r="AN337" s="17" t="n">
        <x:f>IF('Control Room'!$B$5="Normal",'Control Room'!$B$7,('Control Room'!$B$8+'Control Room'!$D$8)/2)+'Control Room'!$B$9*(AN336-IF('Control Room'!$B$5="Normal",'Control Room'!$B$7,('Control Room'!$B$8+'Control Room'!$D$8)/2))+SQRT(1-'Control Room'!$B$9^2)*(AM337-IF('Control Room'!$B$5="Normal",'Control Room'!$B$7,('Control Room'!$B$8+'Control Room'!$D$8)/2))</x:f>
        <x:v>1044.4772426287743</x:v>
      </x:c>
      <x:c r="AO337" s="17" t="n">
        <x:f>IF(AND($A337&gt;='Control Room'!$A$13,$A337&lt;'Control Room'!$A$13+'Control Room'!$B$13,'Process'!BR2=1),1+('Control Room'!$C$13-1)*EXP(-0.5*(($A337-'Control Room'!$A$13-('Control Room'!$B$13-1)/2)/MAX(0.5,'Control Room'!$B$13/4))^2),1)*IF(AND($A337&gt;='Control Room'!$A$14,$A337&lt;'Control Room'!$A$14+'Control Room'!$B$14,'Process'!BR3=1),1+('Control Room'!$C$14-1)*EXP(-0.5*(($A337-'Control Room'!$A$14-('Control Room'!$B$14-1)/2)/MAX(0.5,'Control Room'!$B$14/4))^2),1)*IF(AND($A337&gt;='Control Room'!$A$15,$A337&lt;'Control Room'!$A$15+'Control Room'!$B$15,'Process'!BR4=1),1+('Control Room'!$C$15-1)*EXP(-0.5*(($A337-'Control Room'!$A$15-('Control Room'!$B$15-1)/2)/MAX(0.5,'Control Room'!$B$15/4))^2),1)*IF(AND($A337&gt;='Control Room'!$A$16,$A337&lt;'Control Room'!$A$16+'Control Room'!$B$16,'Process'!BR5=1),1+('Control Room'!$C$16-1)*EXP(-0.5*(($A337-'Control Room'!$A$16-('Control Room'!$B$16-1)/2)/MAX(0.5,'Control Room'!$B$16/4))^2),1)</x:f>
        <x:v>1</x:v>
      </x:c>
      <x:c r="AP337" s="9" t="n">
        <x:f>MOD(AQ336*16807,2147483647)</x:f>
        <x:v>235235985</x:v>
      </x:c>
      <x:c r="AQ337" s="9" t="n">
        <x:f>MOD(AP337*16807,2147483647)</x:f>
        <x:v>93805768</x:v>
      </x:c>
      <x:c r="AR337" s="17" t="n">
        <x:f>IF('Control Room'!$B$5="Normal",'Control Room'!$B$7+'Control Room'!$D$7*SQRT(-2*LN(MAX(0.000000000001,AP337/2147483647)))*COS(2*PI()*AQ337/2147483647),'Control Room'!$B$8+('Control Room'!$D$8-'Control Room'!$B$8)*AP337/2147483647)</x:f>
        <x:v>1182.1924509253063</x:v>
      </x:c>
      <x:c r="AS337" s="17" t="n">
        <x:f>IF('Control Room'!$B$5="Normal",'Control Room'!$B$7,('Control Room'!$B$8+'Control Room'!$D$8)/2)+'Control Room'!$B$9*(AS336-IF('Control Room'!$B$5="Normal",'Control Room'!$B$7,('Control Room'!$B$8+'Control Room'!$D$8)/2))+SQRT(1-'Control Room'!$B$9^2)*(AR337-IF('Control Room'!$B$5="Normal",'Control Room'!$B$7,('Control Room'!$B$8+'Control Room'!$D$8)/2))</x:f>
        <x:v>1228.6385298387738</x:v>
      </x:c>
      <x:c r="AT337" s="17" t="n">
        <x:f>IF(AND($A337&gt;='Control Room'!$A$13,$A337&lt;'Control Room'!$A$13+'Control Room'!$B$13,'Process'!BS2=1),1+('Control Room'!$C$13-1)*EXP(-0.5*(($A337-'Control Room'!$A$13-('Control Room'!$B$13-1)/2)/MAX(0.5,'Control Room'!$B$13/4))^2),1)*IF(AND($A337&gt;='Control Room'!$A$14,$A337&lt;'Control Room'!$A$14+'Control Room'!$B$14,'Process'!BS3=1),1+('Control Room'!$C$14-1)*EXP(-0.5*(($A337-'Control Room'!$A$14-('Control Room'!$B$14-1)/2)/MAX(0.5,'Control Room'!$B$14/4))^2),1)*IF(AND($A337&gt;='Control Room'!$A$15,$A337&lt;'Control Room'!$A$15+'Control Room'!$B$15,'Process'!BS4=1),1+('Control Room'!$C$15-1)*EXP(-0.5*(($A337-'Control Room'!$A$15-('Control Room'!$B$15-1)/2)/MAX(0.5,'Control Room'!$B$15/4))^2),1)*IF(AND($A337&gt;='Control Room'!$A$16,$A337&lt;'Control Room'!$A$16+'Control Room'!$B$16,'Process'!BS5=1),1+('Control Room'!$C$16-1)*EXP(-0.5*(($A337-'Control Room'!$A$16-('Control Room'!$B$16-1)/2)/MAX(0.5,'Control Room'!$B$16/4))^2),1)</x:f>
        <x:v>1</x:v>
      </x:c>
      <x:c r="AU337" s="9" t="n">
        <x:f>MOD(AV336*16807,2147483647)</x:f>
        <x:v>1767729399</x:v>
      </x:c>
      <x:c r="AV337" s="9" t="n">
        <x:f>MOD(AU337*16807,2147483647)</x:f>
        <x:v>1939236395</x:v>
      </x:c>
      <x:c r="AW337" s="17" t="n">
        <x:f>IF('Control Room'!$B$5="Normal",'Control Room'!$B$7+'Control Room'!$D$7*SQRT(-2*LN(MAX(0.000000000001,AU337/2147483647)))*COS(2*PI()*AV337/2147483647),'Control Room'!$B$8+('Control Room'!$D$8-'Control Room'!$B$8)*AU337/2147483647)</x:f>
        <x:v>1046.0437199633732</x:v>
      </x:c>
      <x:c r="AX337" s="17" t="n">
        <x:f>IF('Control Room'!$B$5="Normal",'Control Room'!$B$7,('Control Room'!$B$8+'Control Room'!$D$8)/2)+'Control Room'!$B$9*(AX336-IF('Control Room'!$B$5="Normal",'Control Room'!$B$7,('Control Room'!$B$8+'Control Room'!$D$8)/2))+SQRT(1-'Control Room'!$B$9^2)*(AW337-IF('Control Room'!$B$5="Normal",'Control Room'!$B$7,('Control Room'!$B$8+'Control Room'!$D$8)/2))</x:f>
        <x:v>963.805614206823</x:v>
      </x:c>
      <x:c r="AY337" s="17" t="n">
        <x:f>IF(AND($A337&gt;='Control Room'!$A$13,$A337&lt;'Control Room'!$A$13+'Control Room'!$B$13,'Process'!BT2=1),1+('Control Room'!$C$13-1)*EXP(-0.5*(($A337-'Control Room'!$A$13-('Control Room'!$B$13-1)/2)/MAX(0.5,'Control Room'!$B$13/4))^2),1)*IF(AND($A337&gt;='Control Room'!$A$14,$A337&lt;'Control Room'!$A$14+'Control Room'!$B$14,'Process'!BT3=1),1+('Control Room'!$C$14-1)*EXP(-0.5*(($A337-'Control Room'!$A$14-('Control Room'!$B$14-1)/2)/MAX(0.5,'Control Room'!$B$14/4))^2),1)*IF(AND($A337&gt;='Control Room'!$A$15,$A337&lt;'Control Room'!$A$15+'Control Room'!$B$15,'Process'!BT4=1),1+('Control Room'!$C$15-1)*EXP(-0.5*(($A337-'Control Room'!$A$15-('Control Room'!$B$15-1)/2)/MAX(0.5,'Control Room'!$B$15/4))^2),1)*IF(AND($A337&gt;='Control Room'!$A$16,$A337&lt;'Control Room'!$A$16+'Control Room'!$B$16,'Process'!BT5=1),1+('Control Room'!$C$16-1)*EXP(-0.5*(($A337-'Control Room'!$A$16-('Control Room'!$B$16-1)/2)/MAX(0.5,'Control Room'!$B$16/4))^2),1)</x:f>
        <x:v>1</x:v>
      </x:c>
      <x:c r="AZ337" s="9" t="n">
        <x:f>MOD(BA336*16807,2147483647)</x:f>
        <x:v>1152739166</x:v>
      </x:c>
      <x:c r="BA337" s="9" t="n">
        <x:f>MOD(AZ337*16807,2147483647)</x:f>
        <x:v>1637183375</x:v>
      </x:c>
      <x:c r="BB337" s="17" t="n">
        <x:f>IF('Control Room'!$B$5="Normal",'Control Room'!$B$7+'Control Room'!$D$7*SQRT(-2*LN(MAX(0.000000000001,AZ337/2147483647)))*COS(2*PI()*BA337/2147483647),'Control Room'!$B$8+('Control Room'!$D$8-'Control Room'!$B$8)*AZ337/2147483647)</x:f>
        <x:v>1007.7968923822682</x:v>
      </x:c>
      <x:c r="BC337" s="17" t="n">
        <x:f>IF('Control Room'!$B$5="Normal",'Control Room'!$B$7,('Control Room'!$B$8+'Control Room'!$D$8)/2)+'Control Room'!$B$9*(BC336-IF('Control Room'!$B$5="Normal",'Control Room'!$B$7,('Control Room'!$B$8+'Control Room'!$D$8)/2))+SQRT(1-'Control Room'!$B$9^2)*(BB337-IF('Control Room'!$B$5="Normal",'Control Room'!$B$7,('Control Room'!$B$8+'Control Room'!$D$8)/2))</x:f>
        <x:v>1095.2485765721585</x:v>
      </x:c>
      <x:c r="BD337" s="17" t="n">
        <x:f>IF(AND($A337&gt;='Control Room'!$A$13,$A337&lt;'Control Room'!$A$13+'Control Room'!$B$13,'Process'!BU2=1),1+('Control Room'!$C$13-1)*EXP(-0.5*(($A337-'Control Room'!$A$13-('Control Room'!$B$13-1)/2)/MAX(0.5,'Control Room'!$B$13/4))^2),1)*IF(AND($A337&gt;='Control Room'!$A$14,$A337&lt;'Control Room'!$A$14+'Control Room'!$B$14,'Process'!BU3=1),1+('Control Room'!$C$14-1)*EXP(-0.5*(($A337-'Control Room'!$A$14-('Control Room'!$B$14-1)/2)/MAX(0.5,'Control Room'!$B$14/4))^2),1)*IF(AND($A337&gt;='Control Room'!$A$15,$A337&lt;'Control Room'!$A$15+'Control Room'!$B$15,'Process'!BU4=1),1+('Control Room'!$C$15-1)*EXP(-0.5*(($A337-'Control Room'!$A$15-('Control Room'!$B$15-1)/2)/MAX(0.5,'Control Room'!$B$15/4))^2),1)*IF(AND($A337&gt;='Control Room'!$A$16,$A337&lt;'Control Room'!$A$16+'Control Room'!$B$16,'Process'!BU5=1),1+('Control Room'!$C$16-1)*EXP(-0.5*(($A337-'Control Room'!$A$16-('Control Room'!$B$16-1)/2)/MAX(0.5,'Control Room'!$B$16/4))^2),1)</x:f>
        <x:v>1</x:v>
      </x:c>
      <x:c r="BE337" s="9" t="n">
        <x:f>MOD(BF336*16807,2147483647)</x:f>
        <x:v>537748933</x:v>
      </x:c>
      <x:c r="BF337" s="9" t="n">
        <x:f>MOD(BE337*16807,2147483647)</x:f>
        <x:v>1335130355</x:v>
      </x:c>
      <x:c r="BG337" s="17" t="n">
        <x:f>IF('Control Room'!$B$5="Normal",'Control Room'!$B$7+'Control Room'!$D$7*SQRT(-2*LN(MAX(0.000000000001,BE337/2147483647)))*COS(2*PI()*BF337/2147483647),'Control Room'!$B$8+('Control Room'!$D$8-'Control Room'!$B$8)*BE337/2147483647)</x:f>
        <x:v>891.9346823985268</x:v>
      </x:c>
      <x:c r="BH337" s="17" t="n">
        <x:f>IF('Control Room'!$B$5="Normal",'Control Room'!$B$7,('Control Room'!$B$8+'Control Room'!$D$8)/2)+'Control Room'!$B$9*(BH336-IF('Control Room'!$B$5="Normal",'Control Room'!$B$7,('Control Room'!$B$8+'Control Room'!$D$8)/2))+SQRT(1-'Control Room'!$B$9^2)*(BG337-IF('Control Room'!$B$5="Normal",'Control Room'!$B$7,('Control Room'!$B$8+'Control Room'!$D$8)/2))</x:f>
        <x:v>956.0299306921702</x:v>
      </x:c>
      <x:c r="BI337" s="17" t="n">
        <x:f>IF(AND($A337&gt;='Control Room'!$A$13,$A337&lt;'Control Room'!$A$13+'Control Room'!$B$13,'Process'!BV2=1),1+('Control Room'!$C$13-1)*EXP(-0.5*(($A337-'Control Room'!$A$13-('Control Room'!$B$13-1)/2)/MAX(0.5,'Control Room'!$B$13/4))^2),1)*IF(AND($A337&gt;='Control Room'!$A$14,$A337&lt;'Control Room'!$A$14+'Control Room'!$B$14,'Process'!BV3=1),1+('Control Room'!$C$14-1)*EXP(-0.5*(($A337-'Control Room'!$A$14-('Control Room'!$B$14-1)/2)/MAX(0.5,'Control Room'!$B$14/4))^2),1)*IF(AND($A337&gt;='Control Room'!$A$15,$A337&lt;'Control Room'!$A$15+'Control Room'!$B$15,'Process'!BV4=1),1+('Control Room'!$C$15-1)*EXP(-0.5*(($A337-'Control Room'!$A$15-('Control Room'!$B$15-1)/2)/MAX(0.5,'Control Room'!$B$15/4))^2),1)*IF(AND($A337&gt;='Control Room'!$A$16,$A337&lt;'Control Room'!$A$16+'Control Room'!$B$16,'Process'!BV5=1),1+('Control Room'!$C$16-1)*EXP(-0.5*(($A337-'Control Room'!$A$16-('Control Room'!$B$16-1)/2)/MAX(0.5,'Control Room'!$B$16/4))^2),1)</x:f>
        <x:v>1</x:v>
      </x:c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Z337" t="str">
        <x:f>IF('Data'!A337="","",TEXT('Data'!A337,"mm-dd"))</x:f>
      </x:c>
    </x:row>
    <x:row r="338" ht="21" customHeight="1">
      <x:c r="A338" s="15" t="n">
        <x:f>'Control Room'!$B$1+336</x:f>
        <x:v>73327</x:v>
      </x:c>
      <x:c r="B338" s="9" t="n">
        <x:f>MOD(C337*16807,2147483647)</x:f>
        <x:v>2118154581</x:v>
      </x:c>
      <x:c r="C338" s="9" t="n">
        <x:f>MOD(B338*16807,2147483647)</x:f>
        <x:v>987626548</x:v>
      </x:c>
      <x:c r="D338" s="17" t="n">
        <x:f>IF('Control Room'!$B$5="Normal",'Control Room'!$B$7+'Control Room'!$D$7*SQRT(-2*LN(MAX(0.000000000001,B338/2147483647)))*COS(2*PI()*C338/2147483647),'Control Room'!$B$8+('Control Room'!$D$8-'Control Room'!$B$8)*B338/2147483647)</x:f>
        <x:v>985.5456220011838</x:v>
      </x:c>
      <x:c r="E338" s="17" t="n">
        <x:f>IF('Control Room'!$B$5="Normal",'Control Room'!$B$7,('Control Room'!$B$8+'Control Room'!$D$8)/2)+'Control Room'!$B$9*(E337-IF('Control Room'!$B$5="Normal",'Control Room'!$B$7,('Control Room'!$B$8+'Control Room'!$D$8)/2))+SQRT(1-'Control Room'!$B$9^2)*(D338-IF('Control Room'!$B$5="Normal",'Control Room'!$B$7,('Control Room'!$B$8+'Control Room'!$D$8)/2))</x:f>
        <x:v>929.1420682273194</x:v>
      </x:c>
      <x:c r="F338" s="17" t="n">
        <x:f>IF(AND($A338&gt;='Control Room'!$A$13,$A338&lt;'Control Room'!$A$13+'Control Room'!$B$13,'Process'!BK2=1),1+('Control Room'!$C$13-1)*EXP(-0.5*(($A338-'Control Room'!$A$13-('Control Room'!$B$13-1)/2)/MAX(0.5,'Control Room'!$B$13/4))^2),1)*IF(AND($A338&gt;='Control Room'!$A$14,$A338&lt;'Control Room'!$A$14+'Control Room'!$B$14,'Process'!BK3=1),1+('Control Room'!$C$14-1)*EXP(-0.5*(($A338-'Control Room'!$A$14-('Control Room'!$B$14-1)/2)/MAX(0.5,'Control Room'!$B$14/4))^2),1)*IF(AND($A338&gt;='Control Room'!$A$15,$A338&lt;'Control Room'!$A$15+'Control Room'!$B$15,'Process'!BK4=1),1+('Control Room'!$C$15-1)*EXP(-0.5*(($A338-'Control Room'!$A$15-('Control Room'!$B$15-1)/2)/MAX(0.5,'Control Room'!$B$15/4))^2),1)*IF(AND($A338&gt;='Control Room'!$A$16,$A338&lt;'Control Room'!$A$16+'Control Room'!$B$16,'Process'!BK5=1),1+('Control Room'!$C$16-1)*EXP(-0.5*(($A338-'Control Room'!$A$16-('Control Room'!$B$16-1)/2)/MAX(0.5,'Control Room'!$B$16/4))^2),1)</x:f>
        <x:v>1</x:v>
      </x:c>
      <x:c r="G338" s="9" t="n">
        <x:f>MOD(H337*16807,2147483647)</x:f>
        <x:v>16905302</x:v>
      </x:c>
      <x:c r="H338" s="9" t="n">
        <x:f>MOD(G338*16807,2147483647)</x:f>
        <x:v>659569310</x:v>
      </x:c>
      <x:c r="I338" s="17" t="n">
        <x:f>IF('Control Room'!$B$5="Normal",'Control Room'!$B$7+'Control Room'!$D$7*SQRT(-2*LN(MAX(0.000000000001,G338/2147483647)))*COS(2*PI()*H338/2147483647),'Control Room'!$B$8+('Control Room'!$D$8-'Control Room'!$B$8)*G338/2147483647)</x:f>
        <x:v>901.5765406689343</x:v>
      </x:c>
      <x:c r="J338" s="17" t="n">
        <x:f>IF('Control Room'!$B$5="Normal",'Control Room'!$B$7,('Control Room'!$B$8+'Control Room'!$D$8)/2)+'Control Room'!$B$9*(J337-IF('Control Room'!$B$5="Normal",'Control Room'!$B$7,('Control Room'!$B$8+'Control Room'!$D$8)/2))+SQRT(1-'Control Room'!$B$9^2)*(I338-IF('Control Room'!$B$5="Normal",'Control Room'!$B$7,('Control Room'!$B$8+'Control Room'!$D$8)/2))</x:f>
        <x:v>1057.782513288493</x:v>
      </x:c>
      <x:c r="K338" s="17" t="n">
        <x:f>IF(AND($A338&gt;='Control Room'!$A$13,$A338&lt;'Control Room'!$A$13+'Control Room'!$B$13,'Process'!BL2=1),1+('Control Room'!$C$13-1)*EXP(-0.5*(($A338-'Control Room'!$A$13-('Control Room'!$B$13-1)/2)/MAX(0.5,'Control Room'!$B$13/4))^2),1)*IF(AND($A338&gt;='Control Room'!$A$14,$A338&lt;'Control Room'!$A$14+'Control Room'!$B$14,'Process'!BL3=1),1+('Control Room'!$C$14-1)*EXP(-0.5*(($A338-'Control Room'!$A$14-('Control Room'!$B$14-1)/2)/MAX(0.5,'Control Room'!$B$14/4))^2),1)*IF(AND($A338&gt;='Control Room'!$A$15,$A338&lt;'Control Room'!$A$15+'Control Room'!$B$15,'Process'!BL4=1),1+('Control Room'!$C$15-1)*EXP(-0.5*(($A338-'Control Room'!$A$15-('Control Room'!$B$15-1)/2)/MAX(0.5,'Control Room'!$B$15/4))^2),1)*IF(AND($A338&gt;='Control Room'!$A$16,$A338&lt;'Control Room'!$A$16+'Control Room'!$B$16,'Process'!BL5=1),1+('Control Room'!$C$16-1)*EXP(-0.5*(($A338-'Control Room'!$A$16-('Control Room'!$B$16-1)/2)/MAX(0.5,'Control Room'!$B$16/4))^2),1)</x:f>
        <x:v>1</x:v>
      </x:c>
      <x:c r="L338" s="9" t="n">
        <x:f>MOD(M337*16807,2147483647)</x:f>
        <x:v>63139670</x:v>
      </x:c>
      <x:c r="M338" s="9" t="n">
        <x:f>MOD(L338*16807,2147483647)</x:f>
        <x:v>331512072</x:v>
      </x:c>
      <x:c r="N338" s="17" t="n">
        <x:f>IF('Control Room'!$B$5="Normal",'Control Room'!$B$7+'Control Room'!$D$7*SQRT(-2*LN(MAX(0.000000000001,L338/2147483647)))*COS(2*PI()*M338/2147483647),'Control Room'!$B$8+('Control Room'!$D$8-'Control Room'!$B$8)*L338/2147483647)</x:f>
        <x:v>1135.130144862531</x:v>
      </x:c>
      <x:c r="O338" s="17" t="n">
        <x:f>IF('Control Room'!$B$5="Normal",'Control Room'!$B$7,('Control Room'!$B$8+'Control Room'!$D$8)/2)+'Control Room'!$B$9*(O337-IF('Control Room'!$B$5="Normal",'Control Room'!$B$7,('Control Room'!$B$8+'Control Room'!$D$8)/2))+SQRT(1-'Control Room'!$B$9^2)*(N338-IF('Control Room'!$B$5="Normal",'Control Room'!$B$7,('Control Room'!$B$8+'Control Room'!$D$8)/2))</x:f>
        <x:v>1108.2638285005798</x:v>
      </x:c>
      <x:c r="P338" s="17" t="n">
        <x:f>IF(AND($A338&gt;='Control Room'!$A$13,$A338&lt;'Control Room'!$A$13+'Control Room'!$B$13,'Process'!BM2=1),1+('Control Room'!$C$13-1)*EXP(-0.5*(($A338-'Control Room'!$A$13-('Control Room'!$B$13-1)/2)/MAX(0.5,'Control Room'!$B$13/4))^2),1)*IF(AND($A338&gt;='Control Room'!$A$14,$A338&lt;'Control Room'!$A$14+'Control Room'!$B$14,'Process'!BM3=1),1+('Control Room'!$C$14-1)*EXP(-0.5*(($A338-'Control Room'!$A$14-('Control Room'!$B$14-1)/2)/MAX(0.5,'Control Room'!$B$14/4))^2),1)*IF(AND($A338&gt;='Control Room'!$A$15,$A338&lt;'Control Room'!$A$15+'Control Room'!$B$15,'Process'!BM4=1),1+('Control Room'!$C$15-1)*EXP(-0.5*(($A338-'Control Room'!$A$15-('Control Room'!$B$15-1)/2)/MAX(0.5,'Control Room'!$B$15/4))^2),1)*IF(AND($A338&gt;='Control Room'!$A$16,$A338&lt;'Control Room'!$A$16+'Control Room'!$B$16,'Process'!BM5=1),1+('Control Room'!$C$16-1)*EXP(-0.5*(($A338-'Control Room'!$A$16-('Control Room'!$B$16-1)/2)/MAX(0.5,'Control Room'!$B$16/4))^2),1)</x:f>
        <x:v>1</x:v>
      </x:c>
      <x:c r="Q338" s="9" t="n">
        <x:f>MOD(R337*16807,2147483647)</x:f>
        <x:v>109374038</x:v>
      </x:c>
      <x:c r="R338" s="9" t="n">
        <x:f>MOD(Q338*16807,2147483647)</x:f>
        <x:v>3454834</x:v>
      </x:c>
      <x:c r="S338" s="17" t="n">
        <x:f>IF('Control Room'!$B$5="Normal",'Control Room'!$B$7+'Control Room'!$D$7*SQRT(-2*LN(MAX(0.000000000001,Q338/2147483647)))*COS(2*PI()*R338/2147483647),'Control Room'!$B$8+('Control Room'!$D$8-'Control Room'!$B$8)*Q338/2147483647)</x:f>
        <x:v>1219.6064286292885</x:v>
      </x:c>
      <x:c r="T338" s="17" t="n">
        <x:f>IF('Control Room'!$B$5="Normal",'Control Room'!$B$7,('Control Room'!$B$8+'Control Room'!$D$8)/2)+'Control Room'!$B$9*(T337-IF('Control Room'!$B$5="Normal",'Control Room'!$B$7,('Control Room'!$B$8+'Control Room'!$D$8)/2))+SQRT(1-'Control Room'!$B$9^2)*(S338-IF('Control Room'!$B$5="Normal",'Control Room'!$B$7,('Control Room'!$B$8+'Control Room'!$D$8)/2))</x:f>
        <x:v>1149.6896796831832</x:v>
      </x:c>
      <x:c r="U338" s="17" t="n">
        <x:f>IF(AND($A338&gt;='Control Room'!$A$13,$A338&lt;'Control Room'!$A$13+'Control Room'!$B$13,'Process'!BN2=1),1+('Control Room'!$C$13-1)*EXP(-0.5*(($A338-'Control Room'!$A$13-('Control Room'!$B$13-1)/2)/MAX(0.5,'Control Room'!$B$13/4))^2),1)*IF(AND($A338&gt;='Control Room'!$A$14,$A338&lt;'Control Room'!$A$14+'Control Room'!$B$14,'Process'!BN3=1),1+('Control Room'!$C$14-1)*EXP(-0.5*(($A338-'Control Room'!$A$14-('Control Room'!$B$14-1)/2)/MAX(0.5,'Control Room'!$B$14/4))^2),1)*IF(AND($A338&gt;='Control Room'!$A$15,$A338&lt;'Control Room'!$A$15+'Control Room'!$B$15,'Process'!BN4=1),1+('Control Room'!$C$15-1)*EXP(-0.5*(($A338-'Control Room'!$A$15-('Control Room'!$B$15-1)/2)/MAX(0.5,'Control Room'!$B$15/4))^2),1)*IF(AND($A338&gt;='Control Room'!$A$16,$A338&lt;'Control Room'!$A$16+'Control Room'!$B$16,'Process'!BN5=1),1+('Control Room'!$C$16-1)*EXP(-0.5*(($A338-'Control Room'!$A$16-('Control Room'!$B$16-1)/2)/MAX(0.5,'Control Room'!$B$16/4))^2),1)</x:f>
        <x:v>1</x:v>
      </x:c>
      <x:c r="V338" s="9" t="n">
        <x:f>MOD(W337*16807,2147483647)</x:f>
        <x:v>155608406</x:v>
      </x:c>
      <x:c r="W338" s="9" t="n">
        <x:f>MOD(V338*16807,2147483647)</x:f>
        <x:v>1822881243</x:v>
      </x:c>
      <x:c r="X338" s="17" t="n">
        <x:f>IF('Control Room'!$B$5="Normal",'Control Room'!$B$7+'Control Room'!$D$7*SQRT(-2*LN(MAX(0.000000000001,V338/2147483647)))*COS(2*PI()*W338/2147483647),'Control Room'!$B$8+('Control Room'!$D$8-'Control Room'!$B$8)*V338/2147483647)</x:f>
        <x:v>1119.9903697019622</x:v>
      </x:c>
      <x:c r="Y338" s="17" t="n">
        <x:f>IF('Control Room'!$B$5="Normal",'Control Room'!$B$7,('Control Room'!$B$8+'Control Room'!$D$8)/2)+'Control Room'!$B$9*(Y337-IF('Control Room'!$B$5="Normal",'Control Room'!$B$7,('Control Room'!$B$8+'Control Room'!$D$8)/2))+SQRT(1-'Control Room'!$B$9^2)*(X338-IF('Control Room'!$B$5="Normal",'Control Room'!$B$7,('Control Room'!$B$8+'Control Room'!$D$8)/2))</x:f>
        <x:v>991.5110200311314</x:v>
      </x:c>
      <x:c r="Z338" s="17" t="n">
        <x:f>IF(AND($A338&gt;='Control Room'!$A$13,$A338&lt;'Control Room'!$A$13+'Control Room'!$B$13,'Process'!BO2=1),1+('Control Room'!$C$13-1)*EXP(-0.5*(($A338-'Control Room'!$A$13-('Control Room'!$B$13-1)/2)/MAX(0.5,'Control Room'!$B$13/4))^2),1)*IF(AND($A338&gt;='Control Room'!$A$14,$A338&lt;'Control Room'!$A$14+'Control Room'!$B$14,'Process'!BO3=1),1+('Control Room'!$C$14-1)*EXP(-0.5*(($A338-'Control Room'!$A$14-('Control Room'!$B$14-1)/2)/MAX(0.5,'Control Room'!$B$14/4))^2),1)*IF(AND($A338&gt;='Control Room'!$A$15,$A338&lt;'Control Room'!$A$15+'Control Room'!$B$15,'Process'!BO4=1),1+('Control Room'!$C$15-1)*EXP(-0.5*(($A338-'Control Room'!$A$15-('Control Room'!$B$15-1)/2)/MAX(0.5,'Control Room'!$B$15/4))^2),1)*IF(AND($A338&gt;='Control Room'!$A$16,$A338&lt;'Control Room'!$A$16+'Control Room'!$B$16,'Process'!BO5=1),1+('Control Room'!$C$16-1)*EXP(-0.5*(($A338-'Control Room'!$A$16-('Control Room'!$B$16-1)/2)/MAX(0.5,'Control Room'!$B$16/4))^2),1)</x:f>
        <x:v>1</x:v>
      </x:c>
      <x:c r="AA338" s="9" t="n">
        <x:f>MOD(AB337*16807,2147483647)</x:f>
        <x:v>201842774</x:v>
      </x:c>
      <x:c r="AB338" s="9" t="n">
        <x:f>MOD(AA338*16807,2147483647)</x:f>
        <x:v>1494824005</x:v>
      </x:c>
      <x:c r="AC338" s="17" t="n">
        <x:f>IF('Control Room'!$B$5="Normal",'Control Room'!$B$7+'Control Room'!$D$7*SQRT(-2*LN(MAX(0.000000000001,AA338/2147483647)))*COS(2*PI()*AB338/2147483647),'Control Room'!$B$8+('Control Room'!$D$8-'Control Room'!$B$8)*AA338/2147483647)</x:f>
        <x:v>934.9556137228129</x:v>
      </x:c>
      <x:c r="AD338" s="17" t="n">
        <x:f>IF('Control Room'!$B$5="Normal",'Control Room'!$B$7,('Control Room'!$B$8+'Control Room'!$D$8)/2)+'Control Room'!$B$9*(AD337-IF('Control Room'!$B$5="Normal",'Control Room'!$B$7,('Control Room'!$B$8+'Control Room'!$D$8)/2))+SQRT(1-'Control Room'!$B$9^2)*(AC338-IF('Control Room'!$B$5="Normal",'Control Room'!$B$7,('Control Room'!$B$8+'Control Room'!$D$8)/2))</x:f>
        <x:v>911.0543786568941</x:v>
      </x:c>
      <x:c r="AE338" s="17" t="n">
        <x:f>IF(AND($A338&gt;='Control Room'!$A$13,$A338&lt;'Control Room'!$A$13+'Control Room'!$B$13,'Process'!BP2=1),1+('Control Room'!$C$13-1)*EXP(-0.5*(($A338-'Control Room'!$A$13-('Control Room'!$B$13-1)/2)/MAX(0.5,'Control Room'!$B$13/4))^2),1)*IF(AND($A338&gt;='Control Room'!$A$14,$A338&lt;'Control Room'!$A$14+'Control Room'!$B$14,'Process'!BP3=1),1+('Control Room'!$C$14-1)*EXP(-0.5*(($A338-'Control Room'!$A$14-('Control Room'!$B$14-1)/2)/MAX(0.5,'Control Room'!$B$14/4))^2),1)*IF(AND($A338&gt;='Control Room'!$A$15,$A338&lt;'Control Room'!$A$15+'Control Room'!$B$15,'Process'!BP4=1),1+('Control Room'!$C$15-1)*EXP(-0.5*(($A338-'Control Room'!$A$15-('Control Room'!$B$15-1)/2)/MAX(0.5,'Control Room'!$B$15/4))^2),1)*IF(AND($A338&gt;='Control Room'!$A$16,$A338&lt;'Control Room'!$A$16+'Control Room'!$B$16,'Process'!BP5=1),1+('Control Room'!$C$16-1)*EXP(-0.5*(($A338-'Control Room'!$A$16-('Control Room'!$B$16-1)/2)/MAX(0.5,'Control Room'!$B$16/4))^2),1)</x:f>
        <x:v>1</x:v>
      </x:c>
      <x:c r="AF338" s="9" t="n">
        <x:f>MOD(AG337*16807,2147483647)</x:f>
        <x:v>248077142</x:v>
      </x:c>
      <x:c r="AG338" s="9" t="n">
        <x:f>MOD(AF338*16807,2147483647)</x:f>
        <x:v>1166766767</x:v>
      </x:c>
      <x:c r="AH338" s="17" t="n">
        <x:f>IF('Control Room'!$B$5="Normal",'Control Room'!$B$7+'Control Room'!$D$7*SQRT(-2*LN(MAX(0.000000000001,AF338/2147483647)))*COS(2*PI()*AG338/2147483647),'Control Room'!$B$8+('Control Room'!$D$8-'Control Room'!$B$8)*AF338/2147483647)</x:f>
        <x:v>819.8949722973052</x:v>
      </x:c>
      <x:c r="AI338" s="17" t="n">
        <x:f>IF('Control Room'!$B$5="Normal",'Control Room'!$B$7,('Control Room'!$B$8+'Control Room'!$D$8)/2)+'Control Room'!$B$9*(AI337-IF('Control Room'!$B$5="Normal",'Control Room'!$B$7,('Control Room'!$B$8+'Control Room'!$D$8)/2))+SQRT(1-'Control Room'!$B$9^2)*(AH338-IF('Control Room'!$B$5="Normal",'Control Room'!$B$7,('Control Room'!$B$8+'Control Room'!$D$8)/2))</x:f>
        <x:v>900.9021945347988</x:v>
      </x:c>
      <x:c r="AJ338" s="17" t="n">
        <x:f>IF(AND($A338&gt;='Control Room'!$A$13,$A338&lt;'Control Room'!$A$13+'Control Room'!$B$13,'Process'!BQ2=1),1+('Control Room'!$C$13-1)*EXP(-0.5*(($A338-'Control Room'!$A$13-('Control Room'!$B$13-1)/2)/MAX(0.5,'Control Room'!$B$13/4))^2),1)*IF(AND($A338&gt;='Control Room'!$A$14,$A338&lt;'Control Room'!$A$14+'Control Room'!$B$14,'Process'!BQ3=1),1+('Control Room'!$C$14-1)*EXP(-0.5*(($A338-'Control Room'!$A$14-('Control Room'!$B$14-1)/2)/MAX(0.5,'Control Room'!$B$14/4))^2),1)*IF(AND($A338&gt;='Control Room'!$A$15,$A338&lt;'Control Room'!$A$15+'Control Room'!$B$15,'Process'!BQ4=1),1+('Control Room'!$C$15-1)*EXP(-0.5*(($A338-'Control Room'!$A$15-('Control Room'!$B$15-1)/2)/MAX(0.5,'Control Room'!$B$15/4))^2),1)*IF(AND($A338&gt;='Control Room'!$A$16,$A338&lt;'Control Room'!$A$16+'Control Room'!$B$16,'Process'!BQ5=1),1+('Control Room'!$C$16-1)*EXP(-0.5*(($A338-'Control Room'!$A$16-('Control Room'!$B$16-1)/2)/MAX(0.5,'Control Room'!$B$16/4))^2),1)</x:f>
        <x:v>1</x:v>
      </x:c>
      <x:c r="AK338" s="9" t="n">
        <x:f>MOD(AL337*16807,2147483647)</x:f>
        <x:v>294311510</x:v>
      </x:c>
      <x:c r="AL338" s="9" t="n">
        <x:f>MOD(AK338*16807,2147483647)</x:f>
        <x:v>838709529</x:v>
      </x:c>
      <x:c r="AM338" s="17" t="n">
        <x:f>IF('Control Room'!$B$5="Normal",'Control Room'!$B$7+'Control Room'!$D$7*SQRT(-2*LN(MAX(0.000000000001,AK338/2147483647)))*COS(2*PI()*AL338/2147483647),'Control Room'!$B$8+('Control Room'!$D$8-'Control Room'!$B$8)*AK338/2147483647)</x:f>
        <x:v>861.3470389411879</x:v>
      </x:c>
      <x:c r="AN338" s="17" t="n">
        <x:f>IF('Control Room'!$B$5="Normal",'Control Room'!$B$7,('Control Room'!$B$8+'Control Room'!$D$8)/2)+'Control Room'!$B$9*(AN337-IF('Control Room'!$B$5="Normal",'Control Room'!$B$7,('Control Room'!$B$8+'Control Room'!$D$8)/2))+SQRT(1-'Control Room'!$B$9^2)*(AM338-IF('Control Room'!$B$5="Normal",'Control Room'!$B$7,('Control Room'!$B$8+'Control Room'!$D$8)/2))</x:f>
        <x:v>947.9260666801392</x:v>
      </x:c>
      <x:c r="AO338" s="17" t="n">
        <x:f>IF(AND($A338&gt;='Control Room'!$A$13,$A338&lt;'Control Room'!$A$13+'Control Room'!$B$13,'Process'!BR2=1),1+('Control Room'!$C$13-1)*EXP(-0.5*(($A338-'Control Room'!$A$13-('Control Room'!$B$13-1)/2)/MAX(0.5,'Control Room'!$B$13/4))^2),1)*IF(AND($A338&gt;='Control Room'!$A$14,$A338&lt;'Control Room'!$A$14+'Control Room'!$B$14,'Process'!BR3=1),1+('Control Room'!$C$14-1)*EXP(-0.5*(($A338-'Control Room'!$A$14-('Control Room'!$B$14-1)/2)/MAX(0.5,'Control Room'!$B$14/4))^2),1)*IF(AND($A338&gt;='Control Room'!$A$15,$A338&lt;'Control Room'!$A$15+'Control Room'!$B$15,'Process'!BR4=1),1+('Control Room'!$C$15-1)*EXP(-0.5*(($A338-'Control Room'!$A$15-('Control Room'!$B$15-1)/2)/MAX(0.5,'Control Room'!$B$15/4))^2),1)*IF(AND($A338&gt;='Control Room'!$A$16,$A338&lt;'Control Room'!$A$16+'Control Room'!$B$16,'Process'!BR5=1),1+('Control Room'!$C$16-1)*EXP(-0.5*(($A338-'Control Room'!$A$16-('Control Room'!$B$16-1)/2)/MAX(0.5,'Control Room'!$B$16/4))^2),1)</x:f>
        <x:v>1</x:v>
      </x:c>
      <x:c r="AP338" s="9" t="n">
        <x:f>MOD(AQ337*16807,2147483647)</x:f>
        <x:v>340545878</x:v>
      </x:c>
      <x:c r="AQ338" s="9" t="n">
        <x:f>MOD(AP338*16807,2147483647)</x:f>
        <x:v>510652291</x:v>
      </x:c>
      <x:c r="AR338" s="17" t="n">
        <x:f>IF('Control Room'!$B$5="Normal",'Control Room'!$B$7+'Control Room'!$D$7*SQRT(-2*LN(MAX(0.000000000001,AP338/2147483647)))*COS(2*PI()*AQ338/2147483647),'Control Room'!$B$8+('Control Room'!$D$8-'Control Room'!$B$8)*AP338/2147483647)</x:f>
        <x:v>1013.2366304256396</x:v>
      </x:c>
      <x:c r="AS338" s="17" t="n">
        <x:f>IF('Control Room'!$B$5="Normal",'Control Room'!$B$7,('Control Room'!$B$8+'Control Room'!$D$8)/2)+'Control Room'!$B$9*(AS337-IF('Control Room'!$B$5="Normal",'Control Room'!$B$7,('Control Room'!$B$8+'Control Room'!$D$8)/2))+SQRT(1-'Control Room'!$B$9^2)*(AR338-IF('Control Room'!$B$5="Normal",'Control Room'!$B$7,('Control Room'!$B$8+'Control Room'!$D$8)/2))</x:f>
        <x:v>1186.6212654274952</x:v>
      </x:c>
      <x:c r="AT338" s="17" t="n">
        <x:f>IF(AND($A338&gt;='Control Room'!$A$13,$A338&lt;'Control Room'!$A$13+'Control Room'!$B$13,'Process'!BS2=1),1+('Control Room'!$C$13-1)*EXP(-0.5*(($A338-'Control Room'!$A$13-('Control Room'!$B$13-1)/2)/MAX(0.5,'Control Room'!$B$13/4))^2),1)*IF(AND($A338&gt;='Control Room'!$A$14,$A338&lt;'Control Room'!$A$14+'Control Room'!$B$14,'Process'!BS3=1),1+('Control Room'!$C$14-1)*EXP(-0.5*(($A338-'Control Room'!$A$14-('Control Room'!$B$14-1)/2)/MAX(0.5,'Control Room'!$B$14/4))^2),1)*IF(AND($A338&gt;='Control Room'!$A$15,$A338&lt;'Control Room'!$A$15+'Control Room'!$B$15,'Process'!BS4=1),1+('Control Room'!$C$15-1)*EXP(-0.5*(($A338-'Control Room'!$A$15-('Control Room'!$B$15-1)/2)/MAX(0.5,'Control Room'!$B$15/4))^2),1)*IF(AND($A338&gt;='Control Room'!$A$16,$A338&lt;'Control Room'!$A$16+'Control Room'!$B$16,'Process'!BS5=1),1+('Control Room'!$C$16-1)*EXP(-0.5*(($A338-'Control Room'!$A$16-('Control Room'!$B$16-1)/2)/MAX(0.5,'Control Room'!$B$16/4))^2),1)</x:f>
        <x:v>1</x:v>
      </x:c>
      <x:c r="AU338" s="9" t="n">
        <x:f>MOD(AV337*16807,2147483647)</x:f>
        <x:v>386780246</x:v>
      </x:c>
      <x:c r="AV338" s="9" t="n">
        <x:f>MOD(AU338*16807,2147483647)</x:f>
        <x:v>182595053</x:v>
      </x:c>
      <x:c r="AW338" s="17" t="n">
        <x:f>IF('Control Room'!$B$5="Normal",'Control Room'!$B$7+'Control Room'!$D$7*SQRT(-2*LN(MAX(0.000000000001,AU338/2147483647)))*COS(2*PI()*AV338/2147483647),'Control Room'!$B$8+('Control Room'!$D$8-'Control Room'!$B$8)*AU338/2147483647)</x:f>
        <x:v>1143.4221963280074</x:v>
      </x:c>
      <x:c r="AX338" s="17" t="n">
        <x:f>IF('Control Room'!$B$5="Normal",'Control Room'!$B$7,('Control Room'!$B$8+'Control Room'!$D$8)/2)+'Control Room'!$B$9*(AX337-IF('Control Room'!$B$5="Normal",'Control Room'!$B$7,('Control Room'!$B$8+'Control Room'!$D$8)/2))+SQRT(1-'Control Room'!$B$9^2)*(AW338-IF('Control Room'!$B$5="Normal",'Control Room'!$B$7,('Control Room'!$B$8+'Control Room'!$D$8)/2))</x:f>
        <x:v>1061.5190513799937</x:v>
      </x:c>
      <x:c r="AY338" s="17" t="n">
        <x:f>IF(AND($A338&gt;='Control Room'!$A$13,$A338&lt;'Control Room'!$A$13+'Control Room'!$B$13,'Process'!BT2=1),1+('Control Room'!$C$13-1)*EXP(-0.5*(($A338-'Control Room'!$A$13-('Control Room'!$B$13-1)/2)/MAX(0.5,'Control Room'!$B$13/4))^2),1)*IF(AND($A338&gt;='Control Room'!$A$14,$A338&lt;'Control Room'!$A$14+'Control Room'!$B$14,'Process'!BT3=1),1+('Control Room'!$C$14-1)*EXP(-0.5*(($A338-'Control Room'!$A$14-('Control Room'!$B$14-1)/2)/MAX(0.5,'Control Room'!$B$14/4))^2),1)*IF(AND($A338&gt;='Control Room'!$A$15,$A338&lt;'Control Room'!$A$15+'Control Room'!$B$15,'Process'!BT4=1),1+('Control Room'!$C$15-1)*EXP(-0.5*(($A338-'Control Room'!$A$15-('Control Room'!$B$15-1)/2)/MAX(0.5,'Control Room'!$B$15/4))^2),1)*IF(AND($A338&gt;='Control Room'!$A$16,$A338&lt;'Control Room'!$A$16+'Control Room'!$B$16,'Process'!BT5=1),1+('Control Room'!$C$16-1)*EXP(-0.5*(($A338-'Control Room'!$A$16-('Control Room'!$B$16-1)/2)/MAX(0.5,'Control Room'!$B$16/4))^2),1)</x:f>
        <x:v>1</x:v>
      </x:c>
      <x:c r="AZ338" s="9" t="n">
        <x:f>MOD(BA337*16807,2147483647)</x:f>
        <x:v>433014614</x:v>
      </x:c>
      <x:c r="BA338" s="9" t="n">
        <x:f>MOD(AZ338*16807,2147483647)</x:f>
        <x:v>2002021462</x:v>
      </x:c>
      <x:c r="BB338" s="17" t="n">
        <x:f>IF('Control Room'!$B$5="Normal",'Control Room'!$B$7+'Control Room'!$D$7*SQRT(-2*LN(MAX(0.000000000001,AZ338/2147483647)))*COS(2*PI()*BA338/2147483647),'Control Room'!$B$8+('Control Room'!$D$8-'Control Room'!$B$8)*AZ338/2147483647)</x:f>
        <x:v>1146.6933169984527</x:v>
      </x:c>
      <x:c r="BC338" s="17" t="n">
        <x:f>IF('Control Room'!$B$5="Normal",'Control Room'!$B$7,('Control Room'!$B$8+'Control Room'!$D$8)/2)+'Control Room'!$B$9*(BC337-IF('Control Room'!$B$5="Normal",'Control Room'!$B$7,('Control Room'!$B$8+'Control Room'!$D$8)/2))+SQRT(1-'Control Room'!$B$9^2)*(BB338-IF('Control Room'!$B$5="Normal",'Control Room'!$B$7,('Control Room'!$B$8+'Control Room'!$D$8)/2))</x:f>
        <x:v>1166.0915623279707</x:v>
      </x:c>
      <x:c r="BD338" s="17" t="n">
        <x:f>IF(AND($A338&gt;='Control Room'!$A$13,$A338&lt;'Control Room'!$A$13+'Control Room'!$B$13,'Process'!BU2=1),1+('Control Room'!$C$13-1)*EXP(-0.5*(($A338-'Control Room'!$A$13-('Control Room'!$B$13-1)/2)/MAX(0.5,'Control Room'!$B$13/4))^2),1)*IF(AND($A338&gt;='Control Room'!$A$14,$A338&lt;'Control Room'!$A$14+'Control Room'!$B$14,'Process'!BU3=1),1+('Control Room'!$C$14-1)*EXP(-0.5*(($A338-'Control Room'!$A$14-('Control Room'!$B$14-1)/2)/MAX(0.5,'Control Room'!$B$14/4))^2),1)*IF(AND($A338&gt;='Control Room'!$A$15,$A338&lt;'Control Room'!$A$15+'Control Room'!$B$15,'Process'!BU4=1),1+('Control Room'!$C$15-1)*EXP(-0.5*(($A338-'Control Room'!$A$15-('Control Room'!$B$15-1)/2)/MAX(0.5,'Control Room'!$B$15/4))^2),1)*IF(AND($A338&gt;='Control Room'!$A$16,$A338&lt;'Control Room'!$A$16+'Control Room'!$B$16,'Process'!BU5=1),1+('Control Room'!$C$16-1)*EXP(-0.5*(($A338-'Control Room'!$A$16-('Control Room'!$B$16-1)/2)/MAX(0.5,'Control Room'!$B$16/4))^2),1)</x:f>
        <x:v>1</x:v>
      </x:c>
      <x:c r="BE338" s="9" t="n">
        <x:f>MOD(BF337*16807,2147483647)</x:f>
        <x:v>479248982</x:v>
      </x:c>
      <x:c r="BF338" s="9" t="n">
        <x:f>MOD(BE338*16807,2147483647)</x:f>
        <x:v>1673964224</x:v>
      </x:c>
      <x:c r="BG338" s="17" t="n">
        <x:f>IF('Control Room'!$B$5="Normal",'Control Room'!$B$7+'Control Room'!$D$7*SQRT(-2*LN(MAX(0.000000000001,BE338/2147483647)))*COS(2*PI()*BF338/2147483647),'Control Room'!$B$8+('Control Room'!$D$8-'Control Room'!$B$8)*BE338/2147483647)</x:f>
        <x:v>1028.727373680996</x:v>
      </x:c>
      <x:c r="BH338" s="17" t="n">
        <x:f>IF('Control Room'!$B$5="Normal",'Control Room'!$B$7,('Control Room'!$B$8+'Control Room'!$D$8)/2)+'Control Room'!$B$9*(BH337-IF('Control Room'!$B$5="Normal",'Control Room'!$B$7,('Control Room'!$B$8+'Control Room'!$D$8)/2))+SQRT(1-'Control Room'!$B$9^2)*(BG338-IF('Control Room'!$B$5="Normal",'Control Room'!$B$7,('Control Room'!$B$8+'Control Room'!$D$8)/2))</x:f>
        <x:v>983.6803478772216</x:v>
      </x:c>
      <x:c r="BI338" s="17" t="n">
        <x:f>IF(AND($A338&gt;='Control Room'!$A$13,$A338&lt;'Control Room'!$A$13+'Control Room'!$B$13,'Process'!BV2=1),1+('Control Room'!$C$13-1)*EXP(-0.5*(($A338-'Control Room'!$A$13-('Control Room'!$B$13-1)/2)/MAX(0.5,'Control Room'!$B$13/4))^2),1)*IF(AND($A338&gt;='Control Room'!$A$14,$A338&lt;'Control Room'!$A$14+'Control Room'!$B$14,'Process'!BV3=1),1+('Control Room'!$C$14-1)*EXP(-0.5*(($A338-'Control Room'!$A$14-('Control Room'!$B$14-1)/2)/MAX(0.5,'Control Room'!$B$14/4))^2),1)*IF(AND($A338&gt;='Control Room'!$A$15,$A338&lt;'Control Room'!$A$15+'Control Room'!$B$15,'Process'!BV4=1),1+('Control Room'!$C$15-1)*EXP(-0.5*(($A338-'Control Room'!$A$15-('Control Room'!$B$15-1)/2)/MAX(0.5,'Control Room'!$B$15/4))^2),1)*IF(AND($A338&gt;='Control Room'!$A$16,$A338&lt;'Control Room'!$A$16+'Control Room'!$B$16,'Process'!BV5=1),1+('Control Room'!$C$16-1)*EXP(-0.5*(($A338-'Control Room'!$A$16-('Control Room'!$B$16-1)/2)/MAX(0.5,'Control Room'!$B$16/4))^2),1)</x:f>
        <x:v>1</x:v>
      </x:c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Z338" t="str">
        <x:f>IF('Data'!A338="","",TEXT('Data'!A338,"mm-dd"))</x:f>
      </x:c>
    </x:row>
    <x:row r="339" ht="21" customHeight="1">
      <x:c r="A339" s="15" t="n">
        <x:f>'Control Room'!$B$1+337</x:f>
        <x:v>73328</x:v>
      </x:c>
      <x:c r="B339" s="9" t="n">
        <x:f>MOD(C338*16807,2147483647)</x:f>
        <x:v>1138284573</x:v>
      </x:c>
      <x:c r="C339" s="9" t="n">
        <x:f>MOD(B339*16807,2147483647)</x:f>
        <x:v>1364490935</x:v>
      </x:c>
      <x:c r="D339" s="17" t="n">
        <x:f>IF('Control Room'!$B$5="Normal",'Control Room'!$B$7+'Control Room'!$D$7*SQRT(-2*LN(MAX(0.000000000001,B339/2147483647)))*COS(2*PI()*C339/2147483647),'Control Room'!$B$8+('Control Room'!$D$8-'Control Room'!$B$8)*B339/2147483647)</x:f>
        <x:v>933.125347705879</x:v>
      </x:c>
      <x:c r="E339" s="17" t="n">
        <x:f>IF('Control Room'!$B$5="Normal",'Control Room'!$B$7,('Control Room'!$B$8+'Control Room'!$D$8)/2)+'Control Room'!$B$9*(E338-IF('Control Room'!$B$5="Normal",'Control Room'!$B$7,('Control Room'!$B$8+'Control Room'!$D$8)/2))+SQRT(1-'Control Room'!$B$9^2)*(D339-IF('Control Room'!$B$5="Normal",'Control Room'!$B$7,('Control Room'!$B$8+'Control Room'!$D$8)/2))</x:f>
        <x:v>902.8820258133667</x:v>
      </x:c>
      <x:c r="F339" s="17" t="n">
        <x:f>IF(AND($A339&gt;='Control Room'!$A$13,$A339&lt;'Control Room'!$A$13+'Control Room'!$B$13,'Process'!BK2=1),1+('Control Room'!$C$13-1)*EXP(-0.5*(($A339-'Control Room'!$A$13-('Control Room'!$B$13-1)/2)/MAX(0.5,'Control Room'!$B$13/4))^2),1)*IF(AND($A339&gt;='Control Room'!$A$14,$A339&lt;'Control Room'!$A$14+'Control Room'!$B$14,'Process'!BK3=1),1+('Control Room'!$C$14-1)*EXP(-0.5*(($A339-'Control Room'!$A$14-('Control Room'!$B$14-1)/2)/MAX(0.5,'Control Room'!$B$14/4))^2),1)*IF(AND($A339&gt;='Control Room'!$A$15,$A339&lt;'Control Room'!$A$15+'Control Room'!$B$15,'Process'!BK4=1),1+('Control Room'!$C$15-1)*EXP(-0.5*(($A339-'Control Room'!$A$15-('Control Room'!$B$15-1)/2)/MAX(0.5,'Control Room'!$B$15/4))^2),1)*IF(AND($A339&gt;='Control Room'!$A$16,$A339&lt;'Control Room'!$A$16+'Control Room'!$B$16,'Process'!BK5=1),1+('Control Room'!$C$16-1)*EXP(-0.5*(($A339-'Control Room'!$A$16-('Control Room'!$B$16-1)/2)/MAX(0.5,'Control Room'!$B$16/4))^2),1)</x:f>
        <x:v>1</x:v>
      </x:c>
      <x:c r="G339" s="9" t="n">
        <x:f>MOD(H338*16807,2147483647)</x:f>
        <x:v>70807356</x:v>
      </x:c>
      <x:c r="H339" s="9" t="n">
        <x:f>MOD(G339*16807,2147483647)</x:f>
        <x:v>353291854</x:v>
      </x:c>
      <x:c r="I339" s="17" t="n">
        <x:f>IF('Control Room'!$B$5="Normal",'Control Room'!$B$7+'Control Room'!$D$7*SQRT(-2*LN(MAX(0.000000000001,G339/2147483647)))*COS(2*PI()*H339/2147483647),'Control Room'!$B$8+('Control Room'!$D$8-'Control Room'!$B$8)*G339/2147483647)</x:f>
        <x:v>1120.2967526552586</x:v>
      </x:c>
      <x:c r="J339" s="17" t="n">
        <x:f>IF('Control Room'!$B$5="Normal",'Control Room'!$B$7,('Control Room'!$B$8+'Control Room'!$D$8)/2)+'Control Room'!$B$9*(J338-IF('Control Room'!$B$5="Normal",'Control Room'!$B$7,('Control Room'!$B$8+'Control Room'!$D$8)/2))+SQRT(1-'Control Room'!$B$9^2)*(I339-IF('Control Room'!$B$5="Normal",'Control Room'!$B$7,('Control Room'!$B$8+'Control Room'!$D$8)/2))</x:f>
        <x:v>1120.3496037637544</x:v>
      </x:c>
      <x:c r="K339" s="17" t="n">
        <x:f>IF(AND($A339&gt;='Control Room'!$A$13,$A339&lt;'Control Room'!$A$13+'Control Room'!$B$13,'Process'!BL2=1),1+('Control Room'!$C$13-1)*EXP(-0.5*(($A339-'Control Room'!$A$13-('Control Room'!$B$13-1)/2)/MAX(0.5,'Control Room'!$B$13/4))^2),1)*IF(AND($A339&gt;='Control Room'!$A$14,$A339&lt;'Control Room'!$A$14+'Control Room'!$B$14,'Process'!BL3=1),1+('Control Room'!$C$14-1)*EXP(-0.5*(($A339-'Control Room'!$A$14-('Control Room'!$B$14-1)/2)/MAX(0.5,'Control Room'!$B$14/4))^2),1)*IF(AND($A339&gt;='Control Room'!$A$15,$A339&lt;'Control Room'!$A$15+'Control Room'!$B$15,'Process'!BL4=1),1+('Control Room'!$C$15-1)*EXP(-0.5*(($A339-'Control Room'!$A$15-('Control Room'!$B$15-1)/2)/MAX(0.5,'Control Room'!$B$15/4))^2),1)*IF(AND($A339&gt;='Control Room'!$A$16,$A339&lt;'Control Room'!$A$16+'Control Room'!$B$16,'Process'!BL5=1),1+('Control Room'!$C$16-1)*EXP(-0.5*(($A339-'Control Room'!$A$16-('Control Room'!$B$16-1)/2)/MAX(0.5,'Control Room'!$B$16/4))^2),1)</x:f>
        <x:v>1</x:v>
      </x:c>
      <x:c r="L339" s="9" t="n">
        <x:f>MOD(M338*16807,2147483647)</x:f>
        <x:v>1150813786</x:v>
      </x:c>
      <x:c r="M339" s="9" t="n">
        <x:f>MOD(L339*16807,2147483647)</x:f>
        <x:v>1489576420</x:v>
      </x:c>
      <x:c r="N339" s="17" t="n">
        <x:f>IF('Control Room'!$B$5="Normal",'Control Room'!$B$7+'Control Room'!$D$7*SQRT(-2*LN(MAX(0.000000000001,L339/2147483647)))*COS(2*PI()*M339/2147483647),'Control Room'!$B$8+('Control Room'!$D$8-'Control Room'!$B$8)*L339/2147483647)</x:f>
        <x:v>965.1390094802398</x:v>
      </x:c>
      <x:c r="O339" s="17" t="n">
        <x:f>IF('Control Room'!$B$5="Normal",'Control Room'!$B$7,('Control Room'!$B$8+'Control Room'!$D$8)/2)+'Control Room'!$B$9*(O338-IF('Control Room'!$B$5="Normal",'Control Room'!$B$7,('Control Room'!$B$8+'Control Room'!$D$8)/2))+SQRT(1-'Control Room'!$B$9^2)*(N339-IF('Control Room'!$B$5="Normal",'Control Room'!$B$7,('Control Room'!$B$8+'Control Room'!$D$8)/2))</x:f>
        <x:v>1062.6304925293955</x:v>
      </x:c>
      <x:c r="P339" s="17" t="n">
        <x:f>IF(AND($A339&gt;='Control Room'!$A$13,$A339&lt;'Control Room'!$A$13+'Control Room'!$B$13,'Process'!BM2=1),1+('Control Room'!$C$13-1)*EXP(-0.5*(($A339-'Control Room'!$A$13-('Control Room'!$B$13-1)/2)/MAX(0.5,'Control Room'!$B$13/4))^2),1)*IF(AND($A339&gt;='Control Room'!$A$14,$A339&lt;'Control Room'!$A$14+'Control Room'!$B$14,'Process'!BM3=1),1+('Control Room'!$C$14-1)*EXP(-0.5*(($A339-'Control Room'!$A$14-('Control Room'!$B$14-1)/2)/MAX(0.5,'Control Room'!$B$14/4))^2),1)*IF(AND($A339&gt;='Control Room'!$A$15,$A339&lt;'Control Room'!$A$15+'Control Room'!$B$15,'Process'!BM4=1),1+('Control Room'!$C$15-1)*EXP(-0.5*(($A339-'Control Room'!$A$15-('Control Room'!$B$15-1)/2)/MAX(0.5,'Control Room'!$B$15/4))^2),1)*IF(AND($A339&gt;='Control Room'!$A$16,$A339&lt;'Control Room'!$A$16+'Control Room'!$B$16,'Process'!BM5=1),1+('Control Room'!$C$16-1)*EXP(-0.5*(($A339-'Control Room'!$A$16-('Control Room'!$B$16-1)/2)/MAX(0.5,'Control Room'!$B$16/4))^2),1)</x:f>
        <x:v>1</x:v>
      </x:c>
      <x:c r="Q339" s="9" t="n">
        <x:f>MOD(R338*16807,2147483647)</x:f>
        <x:v>83336569</x:v>
      </x:c>
      <x:c r="R339" s="9" t="n">
        <x:f>MOD(Q339*16807,2147483647)</x:f>
        <x:v>478377339</x:v>
      </x:c>
      <x:c r="S339" s="17" t="n">
        <x:f>IF('Control Room'!$B$5="Normal",'Control Room'!$B$7+'Control Room'!$D$7*SQRT(-2*LN(MAX(0.000000000001,Q339/2147483647)))*COS(2*PI()*R339/2147483647),'Control Room'!$B$8+('Control Room'!$D$8-'Control Room'!$B$8)*Q339/2147483647)</x:f>
        <x:v>1039.0732354604247</x:v>
      </x:c>
      <x:c r="T339" s="17" t="n">
        <x:f>IF('Control Room'!$B$5="Normal",'Control Room'!$B$7,('Control Room'!$B$8+'Control Room'!$D$8)/2)+'Control Room'!$B$9*(T338-IF('Control Room'!$B$5="Normal",'Control Room'!$B$7,('Control Room'!$B$8+'Control Room'!$D$8)/2))+SQRT(1-'Control Room'!$B$9^2)*(S339-IF('Control Room'!$B$5="Normal",'Control Room'!$B$7,('Control Room'!$B$8+'Control Room'!$D$8)/2))</x:f>
        <x:v>1141.2091804452793</x:v>
      </x:c>
      <x:c r="U339" s="17" t="n">
        <x:f>IF(AND($A339&gt;='Control Room'!$A$13,$A339&lt;'Control Room'!$A$13+'Control Room'!$B$13,'Process'!BN2=1),1+('Control Room'!$C$13-1)*EXP(-0.5*(($A339-'Control Room'!$A$13-('Control Room'!$B$13-1)/2)/MAX(0.5,'Control Room'!$B$13/4))^2),1)*IF(AND($A339&gt;='Control Room'!$A$14,$A339&lt;'Control Room'!$A$14+'Control Room'!$B$14,'Process'!BN3=1),1+('Control Room'!$C$14-1)*EXP(-0.5*(($A339-'Control Room'!$A$14-('Control Room'!$B$14-1)/2)/MAX(0.5,'Control Room'!$B$14/4))^2),1)*IF(AND($A339&gt;='Control Room'!$A$15,$A339&lt;'Control Room'!$A$15+'Control Room'!$B$15,'Process'!BN4=1),1+('Control Room'!$C$15-1)*EXP(-0.5*(($A339-'Control Room'!$A$15-('Control Room'!$B$15-1)/2)/MAX(0.5,'Control Room'!$B$15/4))^2),1)*IF(AND($A339&gt;='Control Room'!$A$16,$A339&lt;'Control Room'!$A$16+'Control Room'!$B$16,'Process'!BN5=1),1+('Control Room'!$C$16-1)*EXP(-0.5*(($A339-'Control Room'!$A$16-('Control Room'!$B$16-1)/2)/MAX(0.5,'Control Room'!$B$16/4))^2),1)</x:f>
        <x:v>1</x:v>
      </x:c>
      <x:c r="V339" s="9" t="n">
        <x:f>MOD(W338*16807,2147483647)</x:f>
        <x:v>1163342999</x:v>
      </x:c>
      <x:c r="W339" s="9" t="n">
        <x:f>MOD(V339*16807,2147483647)</x:f>
        <x:v>1614661905</x:v>
      </x:c>
      <x:c r="X339" s="17" t="n">
        <x:f>IF('Control Room'!$B$5="Normal",'Control Room'!$B$7+'Control Room'!$D$7*SQRT(-2*LN(MAX(0.000000000001,V339/2147483647)))*COS(2*PI()*W339/2147483647),'Control Room'!$B$8+('Control Room'!$D$8-'Control Room'!$B$8)*V339/2147483647)</x:f>
        <x:v>1001.1805740123132</x:v>
      </x:c>
      <x:c r="Y339" s="17" t="n">
        <x:f>IF('Control Room'!$B$5="Normal",'Control Room'!$B$7,('Control Room'!$B$8+'Control Room'!$D$8)/2)+'Control Room'!$B$9*(Y338-IF('Control Room'!$B$5="Normal",'Control Room'!$B$7,('Control Room'!$B$8+'Control Room'!$D$8)/2))+SQRT(1-'Control Room'!$B$9^2)*(X339-IF('Control Room'!$B$5="Normal",'Control Room'!$B$7,('Control Room'!$B$8+'Control Room'!$D$8)/2))</x:f>
        <x:v>994.1173746558147</x:v>
      </x:c>
      <x:c r="Z339" s="17" t="n">
        <x:f>IF(AND($A339&gt;='Control Room'!$A$13,$A339&lt;'Control Room'!$A$13+'Control Room'!$B$13,'Process'!BO2=1),1+('Control Room'!$C$13-1)*EXP(-0.5*(($A339-'Control Room'!$A$13-('Control Room'!$B$13-1)/2)/MAX(0.5,'Control Room'!$B$13/4))^2),1)*IF(AND($A339&gt;='Control Room'!$A$14,$A339&lt;'Control Room'!$A$14+'Control Room'!$B$14,'Process'!BO3=1),1+('Control Room'!$C$14-1)*EXP(-0.5*(($A339-'Control Room'!$A$14-('Control Room'!$B$14-1)/2)/MAX(0.5,'Control Room'!$B$14/4))^2),1)*IF(AND($A339&gt;='Control Room'!$A$15,$A339&lt;'Control Room'!$A$15+'Control Room'!$B$15,'Process'!BO4=1),1+('Control Room'!$C$15-1)*EXP(-0.5*(($A339-'Control Room'!$A$15-('Control Room'!$B$15-1)/2)/MAX(0.5,'Control Room'!$B$15/4))^2),1)*IF(AND($A339&gt;='Control Room'!$A$16,$A339&lt;'Control Room'!$A$16+'Control Room'!$B$16,'Process'!BO5=1),1+('Control Room'!$C$16-1)*EXP(-0.5*(($A339-'Control Room'!$A$16-('Control Room'!$B$16-1)/2)/MAX(0.5,'Control Room'!$B$16/4))^2),1)</x:f>
        <x:v>1</x:v>
      </x:c>
      <x:c r="AA339" s="9" t="n">
        <x:f>MOD(AB338*16807,2147483647)</x:f>
        <x:v>95865782</x:v>
      </x:c>
      <x:c r="AB339" s="9" t="n">
        <x:f>MOD(AA339*16807,2147483647)</x:f>
        <x:v>603462824</x:v>
      </x:c>
      <x:c r="AC339" s="17" t="n">
        <x:f>IF('Control Room'!$B$5="Normal",'Control Room'!$B$7+'Control Room'!$D$7*SQRT(-2*LN(MAX(0.000000000001,AA339/2147483647)))*COS(2*PI()*AB339/2147483647),'Control Room'!$B$8+('Control Room'!$D$8-'Control Room'!$B$8)*AA339/2147483647)</x:f>
        <x:v>956.5494459519407</x:v>
      </x:c>
      <x:c r="AD339" s="17" t="n">
        <x:f>IF('Control Room'!$B$5="Normal",'Control Room'!$B$7,('Control Room'!$B$8+'Control Room'!$D$8)/2)+'Control Room'!$B$9*(AD338-IF('Control Room'!$B$5="Normal",'Control Room'!$B$7,('Control Room'!$B$8+'Control Room'!$D$8)/2))+SQRT(1-'Control Room'!$B$9^2)*(AC339-IF('Control Room'!$B$5="Normal",'Control Room'!$B$7,('Control Room'!$B$8+'Control Room'!$D$8)/2))</x:f>
        <x:v>903.4319487620846</x:v>
      </x:c>
      <x:c r="AE339" s="17" t="n">
        <x:f>IF(AND($A339&gt;='Control Room'!$A$13,$A339&lt;'Control Room'!$A$13+'Control Room'!$B$13,'Process'!BP2=1),1+('Control Room'!$C$13-1)*EXP(-0.5*(($A339-'Control Room'!$A$13-('Control Room'!$B$13-1)/2)/MAX(0.5,'Control Room'!$B$13/4))^2),1)*IF(AND($A339&gt;='Control Room'!$A$14,$A339&lt;'Control Room'!$A$14+'Control Room'!$B$14,'Process'!BP3=1),1+('Control Room'!$C$14-1)*EXP(-0.5*(($A339-'Control Room'!$A$14-('Control Room'!$B$14-1)/2)/MAX(0.5,'Control Room'!$B$14/4))^2),1)*IF(AND($A339&gt;='Control Room'!$A$15,$A339&lt;'Control Room'!$A$15+'Control Room'!$B$15,'Process'!BP4=1),1+('Control Room'!$C$15-1)*EXP(-0.5*(($A339-'Control Room'!$A$15-('Control Room'!$B$15-1)/2)/MAX(0.5,'Control Room'!$B$15/4))^2),1)*IF(AND($A339&gt;='Control Room'!$A$16,$A339&lt;'Control Room'!$A$16+'Control Room'!$B$16,'Process'!BP5=1),1+('Control Room'!$C$16-1)*EXP(-0.5*(($A339-'Control Room'!$A$16-('Control Room'!$B$16-1)/2)/MAX(0.5,'Control Room'!$B$16/4))^2),1)</x:f>
        <x:v>1</x:v>
      </x:c>
      <x:c r="AF339" s="9" t="n">
        <x:f>MOD(AG338*16807,2147483647)</x:f>
        <x:v>1175872212</x:v>
      </x:c>
      <x:c r="AG339" s="9" t="n">
        <x:f>MOD(AF339*16807,2147483647)</x:f>
        <x:v>1739747390</x:v>
      </x:c>
      <x:c r="AH339" s="17" t="n">
        <x:f>IF('Control Room'!$B$5="Normal",'Control Room'!$B$7+'Control Room'!$D$7*SQRT(-2*LN(MAX(0.000000000001,AF339/2147483647)))*COS(2*PI()*AG339/2147483647),'Control Room'!$B$8+('Control Room'!$D$8-'Control Room'!$B$8)*AF339/2147483647)</x:f>
        <x:v>1036.4392538032134</x:v>
      </x:c>
      <x:c r="AI339" s="17" t="n">
        <x:f>IF('Control Room'!$B$5="Normal",'Control Room'!$B$7,('Control Room'!$B$8+'Control Room'!$D$8)/2)+'Control Room'!$B$9*(AI338-IF('Control Room'!$B$5="Normal",'Control Room'!$B$7,('Control Room'!$B$8+'Control Room'!$D$8)/2))+SQRT(1-'Control Room'!$B$9^2)*(AH339-IF('Control Room'!$B$5="Normal",'Control Room'!$B$7,('Control Room'!$B$8+'Control Room'!$D$8)/2))</x:f>
        <x:v>945.506650268504</x:v>
      </x:c>
      <x:c r="AJ339" s="17" t="n">
        <x:f>IF(AND($A339&gt;='Control Room'!$A$13,$A339&lt;'Control Room'!$A$13+'Control Room'!$B$13,'Process'!BQ2=1),1+('Control Room'!$C$13-1)*EXP(-0.5*(($A339-'Control Room'!$A$13-('Control Room'!$B$13-1)/2)/MAX(0.5,'Control Room'!$B$13/4))^2),1)*IF(AND($A339&gt;='Control Room'!$A$14,$A339&lt;'Control Room'!$A$14+'Control Room'!$B$14,'Process'!BQ3=1),1+('Control Room'!$C$14-1)*EXP(-0.5*(($A339-'Control Room'!$A$14-('Control Room'!$B$14-1)/2)/MAX(0.5,'Control Room'!$B$14/4))^2),1)*IF(AND($A339&gt;='Control Room'!$A$15,$A339&lt;'Control Room'!$A$15+'Control Room'!$B$15,'Process'!BQ4=1),1+('Control Room'!$C$15-1)*EXP(-0.5*(($A339-'Control Room'!$A$15-('Control Room'!$B$15-1)/2)/MAX(0.5,'Control Room'!$B$15/4))^2),1)*IF(AND($A339&gt;='Control Room'!$A$16,$A339&lt;'Control Room'!$A$16+'Control Room'!$B$16,'Process'!BQ5=1),1+('Control Room'!$C$16-1)*EXP(-0.5*(($A339-'Control Room'!$A$16-('Control Room'!$B$16-1)/2)/MAX(0.5,'Control Room'!$B$16/4))^2),1)</x:f>
        <x:v>1</x:v>
      </x:c>
      <x:c r="AK339" s="9" t="n">
        <x:f>MOD(AL338*16807,2147483647)</x:f>
        <x:v>108394995</x:v>
      </x:c>
      <x:c r="AL339" s="9" t="n">
        <x:f>MOD(AK339*16807,2147483647)</x:f>
        <x:v>728548309</x:v>
      </x:c>
      <x:c r="AM339" s="17" t="n">
        <x:f>IF('Control Room'!$B$5="Normal",'Control Room'!$B$7+'Control Room'!$D$7*SQRT(-2*LN(MAX(0.000000000001,AK339/2147483647)))*COS(2*PI()*AL339/2147483647),'Control Room'!$B$8+('Control Room'!$D$8-'Control Room'!$B$8)*AK339/2147483647)</x:f>
        <x:v>883.0139627931204</x:v>
      </x:c>
      <x:c r="AN339" s="17" t="n">
        <x:f>IF('Control Room'!$B$5="Normal",'Control Room'!$B$7,('Control Room'!$B$8+'Control Room'!$D$8)/2)+'Control Room'!$B$9*(AN338-IF('Control Room'!$B$5="Normal",'Control Room'!$B$7,('Control Room'!$B$8+'Control Room'!$D$8)/2))+SQRT(1-'Control Room'!$B$9^2)*(AM339-IF('Control Room'!$B$5="Normal",'Control Room'!$B$7,('Control Room'!$B$8+'Control Room'!$D$8)/2))</x:f>
        <x:v>886.1748665156817</x:v>
      </x:c>
      <x:c r="AO339" s="17" t="n">
        <x:f>IF(AND($A339&gt;='Control Room'!$A$13,$A339&lt;'Control Room'!$A$13+'Control Room'!$B$13,'Process'!BR2=1),1+('Control Room'!$C$13-1)*EXP(-0.5*(($A339-'Control Room'!$A$13-('Control Room'!$B$13-1)/2)/MAX(0.5,'Control Room'!$B$13/4))^2),1)*IF(AND($A339&gt;='Control Room'!$A$14,$A339&lt;'Control Room'!$A$14+'Control Room'!$B$14,'Process'!BR3=1),1+('Control Room'!$C$14-1)*EXP(-0.5*(($A339-'Control Room'!$A$14-('Control Room'!$B$14-1)/2)/MAX(0.5,'Control Room'!$B$14/4))^2),1)*IF(AND($A339&gt;='Control Room'!$A$15,$A339&lt;'Control Room'!$A$15+'Control Room'!$B$15,'Process'!BR4=1),1+('Control Room'!$C$15-1)*EXP(-0.5*(($A339-'Control Room'!$A$15-('Control Room'!$B$15-1)/2)/MAX(0.5,'Control Room'!$B$15/4))^2),1)*IF(AND($A339&gt;='Control Room'!$A$16,$A339&lt;'Control Room'!$A$16+'Control Room'!$B$16,'Process'!BR5=1),1+('Control Room'!$C$16-1)*EXP(-0.5*(($A339-'Control Room'!$A$16-('Control Room'!$B$16-1)/2)/MAX(0.5,'Control Room'!$B$16/4))^2),1)</x:f>
        <x:v>1</x:v>
      </x:c>
      <x:c r="AP339" s="9" t="n">
        <x:f>MOD(AQ338*16807,2147483647)</x:f>
        <x:v>1188401425</x:v>
      </x:c>
      <x:c r="AQ339" s="9" t="n">
        <x:f>MOD(AP339*16807,2147483647)</x:f>
        <x:v>1864832875</x:v>
      </x:c>
      <x:c r="AR339" s="17" t="n">
        <x:f>IF('Control Room'!$B$5="Normal",'Control Room'!$B$7+'Control Room'!$D$7*SQRT(-2*LN(MAX(0.000000000001,AP339/2147483647)))*COS(2*PI()*AQ339/2147483647),'Control Room'!$B$8+('Control Room'!$D$8-'Control Room'!$B$8)*AP339/2147483647)</x:f>
        <x:v>1066.2907193078584</x:v>
      </x:c>
      <x:c r="AS339" s="17" t="n">
        <x:f>IF('Control Room'!$B$5="Normal",'Control Room'!$B$7,('Control Room'!$B$8+'Control Room'!$D$8)/2)+'Control Room'!$B$9*(AS338-IF('Control Room'!$B$5="Normal",'Control Room'!$B$7,('Control Room'!$B$8+'Control Room'!$D$8)/2))+SQRT(1-'Control Room'!$B$9^2)*(AR339-IF('Control Room'!$B$5="Normal",'Control Room'!$B$7,('Control Room'!$B$8+'Control Room'!$D$8)/2))</x:f>
        <x:v>1187.047961137103</x:v>
      </x:c>
      <x:c r="AT339" s="17" t="n">
        <x:f>IF(AND($A339&gt;='Control Room'!$A$13,$A339&lt;'Control Room'!$A$13+'Control Room'!$B$13,'Process'!BS2=1),1+('Control Room'!$C$13-1)*EXP(-0.5*(($A339-'Control Room'!$A$13-('Control Room'!$B$13-1)/2)/MAX(0.5,'Control Room'!$B$13/4))^2),1)*IF(AND($A339&gt;='Control Room'!$A$14,$A339&lt;'Control Room'!$A$14+'Control Room'!$B$14,'Process'!BS3=1),1+('Control Room'!$C$14-1)*EXP(-0.5*(($A339-'Control Room'!$A$14-('Control Room'!$B$14-1)/2)/MAX(0.5,'Control Room'!$B$14/4))^2),1)*IF(AND($A339&gt;='Control Room'!$A$15,$A339&lt;'Control Room'!$A$15+'Control Room'!$B$15,'Process'!BS4=1),1+('Control Room'!$C$15-1)*EXP(-0.5*(($A339-'Control Room'!$A$15-('Control Room'!$B$15-1)/2)/MAX(0.5,'Control Room'!$B$15/4))^2),1)*IF(AND($A339&gt;='Control Room'!$A$16,$A339&lt;'Control Room'!$A$16+'Control Room'!$B$16,'Process'!BS5=1),1+('Control Room'!$C$16-1)*EXP(-0.5*(($A339-'Control Room'!$A$16-('Control Room'!$B$16-1)/2)/MAX(0.5,'Control Room'!$B$16/4))^2),1)</x:f>
        <x:v>1</x:v>
      </x:c>
      <x:c r="AU339" s="9" t="n">
        <x:f>MOD(AV338*16807,2147483647)</x:f>
        <x:v>120924208</x:v>
      </x:c>
      <x:c r="AV339" s="9" t="n">
        <x:f>MOD(AU339*16807,2147483647)</x:f>
        <x:v>853633794</x:v>
      </x:c>
      <x:c r="AW339" s="17" t="n">
        <x:f>IF('Control Room'!$B$5="Normal",'Control Room'!$B$7+'Control Room'!$D$7*SQRT(-2*LN(MAX(0.000000000001,AU339/2147483647)))*COS(2*PI()*AV339/2147483647),'Control Room'!$B$8+('Control Room'!$D$8-'Control Room'!$B$8)*AU339/2147483647)</x:f>
        <x:v>827.3580301105048</x:v>
      </x:c>
      <x:c r="AX339" s="17" t="n">
        <x:f>IF('Control Room'!$B$5="Normal",'Control Room'!$B$7,('Control Room'!$B$8+'Control Room'!$D$8)/2)+'Control Room'!$B$9*(AX338-IF('Control Room'!$B$5="Normal",'Control Room'!$B$7,('Control Room'!$B$8+'Control Room'!$D$8)/2))+SQRT(1-'Control Room'!$B$9^2)*(AW339-IF('Control Room'!$B$5="Normal",'Control Room'!$B$7,('Control Room'!$B$8+'Control Room'!$D$8)/2))</x:f>
        <x:v>939.9490520825424</x:v>
      </x:c>
      <x:c r="AY339" s="17" t="n">
        <x:f>IF(AND($A339&gt;='Control Room'!$A$13,$A339&lt;'Control Room'!$A$13+'Control Room'!$B$13,'Process'!BT2=1),1+('Control Room'!$C$13-1)*EXP(-0.5*(($A339-'Control Room'!$A$13-('Control Room'!$B$13-1)/2)/MAX(0.5,'Control Room'!$B$13/4))^2),1)*IF(AND($A339&gt;='Control Room'!$A$14,$A339&lt;'Control Room'!$A$14+'Control Room'!$B$14,'Process'!BT3=1),1+('Control Room'!$C$14-1)*EXP(-0.5*(($A339-'Control Room'!$A$14-('Control Room'!$B$14-1)/2)/MAX(0.5,'Control Room'!$B$14/4))^2),1)*IF(AND($A339&gt;='Control Room'!$A$15,$A339&lt;'Control Room'!$A$15+'Control Room'!$B$15,'Process'!BT4=1),1+('Control Room'!$C$15-1)*EXP(-0.5*(($A339-'Control Room'!$A$15-('Control Room'!$B$15-1)/2)/MAX(0.5,'Control Room'!$B$15/4))^2),1)*IF(AND($A339&gt;='Control Room'!$A$16,$A339&lt;'Control Room'!$A$16+'Control Room'!$B$16,'Process'!BT5=1),1+('Control Room'!$C$16-1)*EXP(-0.5*(($A339-'Control Room'!$A$16-('Control Room'!$B$16-1)/2)/MAX(0.5,'Control Room'!$B$16/4))^2),1)</x:f>
        <x:v>1</x:v>
      </x:c>
      <x:c r="AZ339" s="9" t="n">
        <x:f>MOD(BA338*16807,2147483647)</x:f>
        <x:v>1200930638</x:v>
      </x:c>
      <x:c r="BA339" s="9" t="n">
        <x:f>MOD(AZ339*16807,2147483647)</x:f>
        <x:v>1989918360</x:v>
      </x:c>
      <x:c r="BB339" s="17" t="n">
        <x:f>IF('Control Room'!$B$5="Normal",'Control Room'!$B$7+'Control Room'!$D$7*SQRT(-2*LN(MAX(0.000000000001,AZ339/2147483647)))*COS(2*PI()*BA339/2147483647),'Control Room'!$B$8+('Control Room'!$D$8-'Control Room'!$B$8)*AZ339/2147483647)</x:f>
        <x:v>1086.9032682644379</x:v>
      </x:c>
      <x:c r="BC339" s="17" t="n">
        <x:f>IF('Control Room'!$B$5="Normal",'Control Room'!$B$7,('Control Room'!$B$8+'Control Room'!$D$8)/2)+'Control Room'!$B$9*(BC338-IF('Control Room'!$B$5="Normal",'Control Room'!$B$7,('Control Room'!$B$8+'Control Room'!$D$8)/2))+SQRT(1-'Control Room'!$B$9^2)*(BB339-IF('Control Room'!$B$5="Normal",'Control Room'!$B$7,('Control Room'!$B$8+'Control Room'!$D$8)/2))</x:f>
        <x:v>1183.9337035854835</x:v>
      </x:c>
      <x:c r="BD339" s="17" t="n">
        <x:f>IF(AND($A339&gt;='Control Room'!$A$13,$A339&lt;'Control Room'!$A$13+'Control Room'!$B$13,'Process'!BU2=1),1+('Control Room'!$C$13-1)*EXP(-0.5*(($A339-'Control Room'!$A$13-('Control Room'!$B$13-1)/2)/MAX(0.5,'Control Room'!$B$13/4))^2),1)*IF(AND($A339&gt;='Control Room'!$A$14,$A339&lt;'Control Room'!$A$14+'Control Room'!$B$14,'Process'!BU3=1),1+('Control Room'!$C$14-1)*EXP(-0.5*(($A339-'Control Room'!$A$14-('Control Room'!$B$14-1)/2)/MAX(0.5,'Control Room'!$B$14/4))^2),1)*IF(AND($A339&gt;='Control Room'!$A$15,$A339&lt;'Control Room'!$A$15+'Control Room'!$B$15,'Process'!BU4=1),1+('Control Room'!$C$15-1)*EXP(-0.5*(($A339-'Control Room'!$A$15-('Control Room'!$B$15-1)/2)/MAX(0.5,'Control Room'!$B$15/4))^2),1)*IF(AND($A339&gt;='Control Room'!$A$16,$A339&lt;'Control Room'!$A$16+'Control Room'!$B$16,'Process'!BU5=1),1+('Control Room'!$C$16-1)*EXP(-0.5*(($A339-'Control Room'!$A$16-('Control Room'!$B$16-1)/2)/MAX(0.5,'Control Room'!$B$16/4))^2),1)</x:f>
        <x:v>1</x:v>
      </x:c>
      <x:c r="BE339" s="9" t="n">
        <x:f>MOD(BF338*16807,2147483647)</x:f>
        <x:v>133453421</x:v>
      </x:c>
      <x:c r="BF339" s="9" t="n">
        <x:f>MOD(BE339*16807,2147483647)</x:f>
        <x:v>978719279</x:v>
      </x:c>
      <x:c r="BG339" s="17" t="n">
        <x:f>IF('Control Room'!$B$5="Normal",'Control Room'!$B$7+'Control Room'!$D$7*SQRT(-2*LN(MAX(0.000000000001,BE339/2147483647)))*COS(2*PI()*BF339/2147483647),'Control Room'!$B$8+('Control Room'!$D$8-'Control Room'!$B$8)*BE339/2147483647)</x:f>
        <x:v>795.9945457530185</x:v>
      </x:c>
      <x:c r="BH339" s="17" t="n">
        <x:f>IF('Control Room'!$B$5="Normal",'Control Room'!$B$7,('Control Room'!$B$8+'Control Room'!$D$8)/2)+'Control Room'!$B$9*(BH338-IF('Control Room'!$B$5="Normal",'Control Room'!$B$7,('Control Room'!$B$8+'Control Room'!$D$8)/2))+SQRT(1-'Control Room'!$B$9^2)*(BG339-IF('Control Room'!$B$5="Normal",'Control Room'!$B$7,('Control Room'!$B$8+'Control Room'!$D$8)/2))</x:f>
        <x:v>859.6082373553661</x:v>
      </x:c>
      <x:c r="BI339" s="17" t="n">
        <x:f>IF(AND($A339&gt;='Control Room'!$A$13,$A339&lt;'Control Room'!$A$13+'Control Room'!$B$13,'Process'!BV2=1),1+('Control Room'!$C$13-1)*EXP(-0.5*(($A339-'Control Room'!$A$13-('Control Room'!$B$13-1)/2)/MAX(0.5,'Control Room'!$B$13/4))^2),1)*IF(AND($A339&gt;='Control Room'!$A$14,$A339&lt;'Control Room'!$A$14+'Control Room'!$B$14,'Process'!BV3=1),1+('Control Room'!$C$14-1)*EXP(-0.5*(($A339-'Control Room'!$A$14-('Control Room'!$B$14-1)/2)/MAX(0.5,'Control Room'!$B$14/4))^2),1)*IF(AND($A339&gt;='Control Room'!$A$15,$A339&lt;'Control Room'!$A$15+'Control Room'!$B$15,'Process'!BV4=1),1+('Control Room'!$C$15-1)*EXP(-0.5*(($A339-'Control Room'!$A$15-('Control Room'!$B$15-1)/2)/MAX(0.5,'Control Room'!$B$15/4))^2),1)*IF(AND($A339&gt;='Control Room'!$A$16,$A339&lt;'Control Room'!$A$16+'Control Room'!$B$16,'Process'!BV5=1),1+('Control Room'!$C$16-1)*EXP(-0.5*(($A339-'Control Room'!$A$16-('Control Room'!$B$16-1)/2)/MAX(0.5,'Control Room'!$B$16/4))^2),1)</x:f>
        <x:v>1</x:v>
      </x:c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Z339" t="str">
        <x:f>IF('Data'!A339="","",TEXT('Data'!A339,"mm-dd"))</x:f>
      </x:c>
    </x:row>
    <x:row r="340" ht="21" customHeight="1">
      <x:c r="A340" s="15" t="n">
        <x:f>'Control Room'!$B$1+338</x:f>
        <x:v>73329</x:v>
      </x:c>
      <x:c r="B340" s="9" t="n">
        <x:f>MOD(C339*16807,2147483647)</x:f>
        <x:v>21278232</x:v>
      </x:c>
      <x:c r="C340" s="9" t="n">
        <x:f>MOD(B340*16807,2147483647)</x:f>
        <x:v>1140959822</x:v>
      </x:c>
      <x:c r="D340" s="17" t="n">
        <x:f>IF('Control Room'!$B$5="Normal",'Control Room'!$B$7+'Control Room'!$D$7*SQRT(-2*LN(MAX(0.000000000001,B340/2147483647)))*COS(2*PI()*C340/2147483647),'Control Room'!$B$8+('Control Room'!$D$8-'Control Room'!$B$8)*B340/2147483647)</x:f>
        <x:v>731.8610356647812</x:v>
      </x:c>
      <x:c r="E340" s="17" t="n">
        <x:f>IF('Control Room'!$B$5="Normal",'Control Room'!$B$7,('Control Room'!$B$8+'Control Room'!$D$8)/2)+'Control Room'!$B$9*(E339-IF('Control Room'!$B$5="Normal",'Control Room'!$B$7,('Control Room'!$B$8+'Control Room'!$D$8)/2))+SQRT(1-'Control Room'!$B$9^2)*(D340-IF('Control Room'!$B$5="Normal",'Control Room'!$B$7,('Control Room'!$B$8+'Control Room'!$D$8)/2))</x:f>
        <x:v>756.4521093787084</x:v>
      </x:c>
      <x:c r="F340" s="17" t="n">
        <x:f>IF(AND($A340&gt;='Control Room'!$A$13,$A340&lt;'Control Room'!$A$13+'Control Room'!$B$13,'Process'!BK2=1),1+('Control Room'!$C$13-1)*EXP(-0.5*(($A340-'Control Room'!$A$13-('Control Room'!$B$13-1)/2)/MAX(0.5,'Control Room'!$B$13/4))^2),1)*IF(AND($A340&gt;='Control Room'!$A$14,$A340&lt;'Control Room'!$A$14+'Control Room'!$B$14,'Process'!BK3=1),1+('Control Room'!$C$14-1)*EXP(-0.5*(($A340-'Control Room'!$A$14-('Control Room'!$B$14-1)/2)/MAX(0.5,'Control Room'!$B$14/4))^2),1)*IF(AND($A340&gt;='Control Room'!$A$15,$A340&lt;'Control Room'!$A$15+'Control Room'!$B$15,'Process'!BK4=1),1+('Control Room'!$C$15-1)*EXP(-0.5*(($A340-'Control Room'!$A$15-('Control Room'!$B$15-1)/2)/MAX(0.5,'Control Room'!$B$15/4))^2),1)*IF(AND($A340&gt;='Control Room'!$A$16,$A340&lt;'Control Room'!$A$16+'Control Room'!$B$16,'Process'!BK5=1),1+('Control Room'!$C$16-1)*EXP(-0.5*(($A340-'Control Room'!$A$16-('Control Room'!$B$16-1)/2)/MAX(0.5,'Control Room'!$B$16/4))^2),1)</x:f>
        <x:v>1</x:v>
      </x:c>
      <x:c r="G340" s="9" t="n">
        <x:f>MOD(H339*16807,2147483647)</x:f>
        <x:v>2131389870</x:v>
      </x:c>
      <x:c r="H340" s="9" t="n">
        <x:f>MOD(G340*16807,2147483647)</x:f>
        <x:v>94829483</x:v>
      </x:c>
      <x:c r="I340" s="17" t="n">
        <x:f>IF('Control Room'!$B$5="Normal",'Control Room'!$B$7+'Control Room'!$D$7*SQRT(-2*LN(MAX(0.000000000001,G340/2147483647)))*COS(2*PI()*H340/2147483647),'Control Room'!$B$8+('Control Room'!$D$8-'Control Room'!$B$8)*G340/2147483647)</x:f>
        <x:v>1010.6170160798212</x:v>
      </x:c>
      <x:c r="J340" s="17" t="n">
        <x:f>IF('Control Room'!$B$5="Normal",'Control Room'!$B$7,('Control Room'!$B$8+'Control Room'!$D$8)/2)+'Control Room'!$B$9*(J339-IF('Control Room'!$B$5="Normal",'Control Room'!$B$7,('Control Room'!$B$8+'Control Room'!$D$8)/2))+SQRT(1-'Control Room'!$B$9^2)*(I340-IF('Control Room'!$B$5="Normal",'Control Room'!$B$7,('Control Room'!$B$8+'Control Room'!$D$8)/2))</x:f>
        <x:v>1100.516602097084</x:v>
      </x:c>
      <x:c r="K340" s="17" t="n">
        <x:f>IF(AND($A340&gt;='Control Room'!$A$13,$A340&lt;'Control Room'!$A$13+'Control Room'!$B$13,'Process'!BL2=1),1+('Control Room'!$C$13-1)*EXP(-0.5*(($A340-'Control Room'!$A$13-('Control Room'!$B$13-1)/2)/MAX(0.5,'Control Room'!$B$13/4))^2),1)*IF(AND($A340&gt;='Control Room'!$A$14,$A340&lt;'Control Room'!$A$14+'Control Room'!$B$14,'Process'!BL3=1),1+('Control Room'!$C$14-1)*EXP(-0.5*(($A340-'Control Room'!$A$14-('Control Room'!$B$14-1)/2)/MAX(0.5,'Control Room'!$B$14/4))^2),1)*IF(AND($A340&gt;='Control Room'!$A$15,$A340&lt;'Control Room'!$A$15+'Control Room'!$B$15,'Process'!BL4=1),1+('Control Room'!$C$15-1)*EXP(-0.5*(($A340-'Control Room'!$A$15-('Control Room'!$B$15-1)/2)/MAX(0.5,'Control Room'!$B$15/4))^2),1)*IF(AND($A340&gt;='Control Room'!$A$16,$A340&lt;'Control Room'!$A$16+'Control Room'!$B$16,'Process'!BL5=1),1+('Control Room'!$C$16-1)*EXP(-0.5*(($A340-'Control Room'!$A$16-('Control Room'!$B$16-1)/2)/MAX(0.5,'Control Room'!$B$16/4))^2),1)</x:f>
        <x:v>1</x:v>
      </x:c>
      <x:c r="L340" s="9" t="n">
        <x:f>MOD(M339*16807,2147483647)</x:f>
        <x:v>2094017861</x:v>
      </x:c>
      <x:c r="M340" s="9" t="n">
        <x:f>MOD(L340*16807,2147483647)</x:f>
        <x:v>1196182791</x:v>
      </x:c>
      <x:c r="N340" s="17" t="n">
        <x:f>IF('Control Room'!$B$5="Normal",'Control Room'!$B$7+'Control Room'!$D$7*SQRT(-2*LN(MAX(0.000000000001,L340/2147483647)))*COS(2*PI()*M340/2147483647),'Control Room'!$B$8+('Control Room'!$D$8-'Control Room'!$B$8)*L340/2147483647)</x:f>
        <x:v>981.073220385409</x:v>
      </x:c>
      <x:c r="O340" s="17" t="n">
        <x:f>IF('Control Room'!$B$5="Normal",'Control Room'!$B$7,('Control Room'!$B$8+'Control Room'!$D$8)/2)+'Control Room'!$B$9*(O339-IF('Control Room'!$B$5="Normal",'Control Room'!$B$7,('Control Room'!$B$8+'Control Room'!$D$8)/2))+SQRT(1-'Control Room'!$B$9^2)*(N340-IF('Control Room'!$B$5="Normal",'Control Room'!$B$7,('Control Room'!$B$8+'Control Room'!$D$8)/2))</x:f>
        <x:v>1037.0077932262732</x:v>
      </x:c>
      <x:c r="P340" s="17" t="n">
        <x:f>IF(AND($A340&gt;='Control Room'!$A$13,$A340&lt;'Control Room'!$A$13+'Control Room'!$B$13,'Process'!BM2=1),1+('Control Room'!$C$13-1)*EXP(-0.5*(($A340-'Control Room'!$A$13-('Control Room'!$B$13-1)/2)/MAX(0.5,'Control Room'!$B$13/4))^2),1)*IF(AND($A340&gt;='Control Room'!$A$14,$A340&lt;'Control Room'!$A$14+'Control Room'!$B$14,'Process'!BM3=1),1+('Control Room'!$C$14-1)*EXP(-0.5*(($A340-'Control Room'!$A$14-('Control Room'!$B$14-1)/2)/MAX(0.5,'Control Room'!$B$14/4))^2),1)*IF(AND($A340&gt;='Control Room'!$A$15,$A340&lt;'Control Room'!$A$15+'Control Room'!$B$15,'Process'!BM4=1),1+('Control Room'!$C$15-1)*EXP(-0.5*(($A340-'Control Room'!$A$15-('Control Room'!$B$15-1)/2)/MAX(0.5,'Control Room'!$B$15/4))^2),1)*IF(AND($A340&gt;='Control Room'!$A$16,$A340&lt;'Control Room'!$A$16+'Control Room'!$B$16,'Process'!BM5=1),1+('Control Room'!$C$16-1)*EXP(-0.5*(($A340-'Control Room'!$A$16-('Control Room'!$B$16-1)/2)/MAX(0.5,'Control Room'!$B$16/4))^2),1)</x:f>
        <x:v>1</x:v>
      </x:c>
      <x:c r="Q340" s="9" t="n">
        <x:f>MOD(R339*16807,2147483647)</x:f>
        <x:v>2056645852</x:v>
      </x:c>
      <x:c r="R340" s="9" t="n">
        <x:f>MOD(Q340*16807,2147483647)</x:f>
        <x:v>150052452</x:v>
      </x:c>
      <x:c r="S340" s="17" t="n">
        <x:f>IF('Control Room'!$B$5="Normal",'Control Room'!$B$7+'Control Room'!$D$7*SQRT(-2*LN(MAX(0.000000000001,Q340/2147483647)))*COS(2*PI()*R340/2147483647),'Control Room'!$B$8+('Control Room'!$D$8-'Control Room'!$B$8)*Q340/2147483647)</x:f>
        <x:v>1023.9513084600813</x:v>
      </x:c>
      <x:c r="T340" s="17" t="n">
        <x:f>IF('Control Room'!$B$5="Normal",'Control Room'!$B$7,('Control Room'!$B$8+'Control Room'!$D$8)/2)+'Control Room'!$B$9*(T339-IF('Control Room'!$B$5="Normal",'Control Room'!$B$7,('Control Room'!$B$8+'Control Room'!$D$8)/2))+SQRT(1-'Control Room'!$B$9^2)*(S340-IF('Control Room'!$B$5="Normal",'Control Room'!$B$7,('Control Room'!$B$8+'Control Room'!$D$8)/2))</x:f>
        <x:v>1125.1313989124126</x:v>
      </x:c>
      <x:c r="U340" s="17" t="n">
        <x:f>IF(AND($A340&gt;='Control Room'!$A$13,$A340&lt;'Control Room'!$A$13+'Control Room'!$B$13,'Process'!BN2=1),1+('Control Room'!$C$13-1)*EXP(-0.5*(($A340-'Control Room'!$A$13-('Control Room'!$B$13-1)/2)/MAX(0.5,'Control Room'!$B$13/4))^2),1)*IF(AND($A340&gt;='Control Room'!$A$14,$A340&lt;'Control Room'!$A$14+'Control Room'!$B$14,'Process'!BN3=1),1+('Control Room'!$C$14-1)*EXP(-0.5*(($A340-'Control Room'!$A$14-('Control Room'!$B$14-1)/2)/MAX(0.5,'Control Room'!$B$14/4))^2),1)*IF(AND($A340&gt;='Control Room'!$A$15,$A340&lt;'Control Room'!$A$15+'Control Room'!$B$15,'Process'!BN4=1),1+('Control Room'!$C$15-1)*EXP(-0.5*(($A340-'Control Room'!$A$15-('Control Room'!$B$15-1)/2)/MAX(0.5,'Control Room'!$B$15/4))^2),1)*IF(AND($A340&gt;='Control Room'!$A$16,$A340&lt;'Control Room'!$A$16+'Control Room'!$B$16,'Process'!BN5=1),1+('Control Room'!$C$16-1)*EXP(-0.5*(($A340-'Control Room'!$A$16-('Control Room'!$B$16-1)/2)/MAX(0.5,'Control Room'!$B$16/4))^2),1)</x:f>
        <x:v>1</x:v>
      </x:c>
      <x:c r="V340" s="9" t="n">
        <x:f>MOD(W339*16807,2147483647)</x:f>
        <x:v>2019273843</x:v>
      </x:c>
      <x:c r="W340" s="9" t="n">
        <x:f>MOD(V340*16807,2147483647)</x:f>
        <x:v>1251405760</x:v>
      </x:c>
      <x:c r="X340" s="17" t="n">
        <x:f>IF('Control Room'!$B$5="Normal",'Control Room'!$B$7+'Control Room'!$D$7*SQRT(-2*LN(MAX(0.000000000001,V340/2147483647)))*COS(2*PI()*W340/2147483647),'Control Room'!$B$8+('Control Room'!$D$8-'Control Room'!$B$8)*V340/2147483647)</x:f>
        <x:v>972.5919799277251</x:v>
      </x:c>
      <x:c r="Y340" s="17" t="n">
        <x:f>IF('Control Room'!$B$5="Normal",'Control Room'!$B$7,('Control Room'!$B$8+'Control Room'!$D$8)/2)+'Control Room'!$B$9*(Y339-IF('Control Room'!$B$5="Normal",'Control Room'!$B$7,('Control Room'!$B$8+'Control Room'!$D$8)/2))+SQRT(1-'Control Room'!$B$9^2)*(X340-IF('Control Room'!$B$5="Normal",'Control Room'!$B$7,('Control Room'!$B$8+'Control Room'!$D$8)/2))</x:f>
        <x:v>978.2601747541164</x:v>
      </x:c>
      <x:c r="Z340" s="17" t="n">
        <x:f>IF(AND($A340&gt;='Control Room'!$A$13,$A340&lt;'Control Room'!$A$13+'Control Room'!$B$13,'Process'!BO2=1),1+('Control Room'!$C$13-1)*EXP(-0.5*(($A340-'Control Room'!$A$13-('Control Room'!$B$13-1)/2)/MAX(0.5,'Control Room'!$B$13/4))^2),1)*IF(AND($A340&gt;='Control Room'!$A$14,$A340&lt;'Control Room'!$A$14+'Control Room'!$B$14,'Process'!BO3=1),1+('Control Room'!$C$14-1)*EXP(-0.5*(($A340-'Control Room'!$A$14-('Control Room'!$B$14-1)/2)/MAX(0.5,'Control Room'!$B$14/4))^2),1)*IF(AND($A340&gt;='Control Room'!$A$15,$A340&lt;'Control Room'!$A$15+'Control Room'!$B$15,'Process'!BO4=1),1+('Control Room'!$C$15-1)*EXP(-0.5*(($A340-'Control Room'!$A$15-('Control Room'!$B$15-1)/2)/MAX(0.5,'Control Room'!$B$15/4))^2),1)*IF(AND($A340&gt;='Control Room'!$A$16,$A340&lt;'Control Room'!$A$16+'Control Room'!$B$16,'Process'!BO5=1),1+('Control Room'!$C$16-1)*EXP(-0.5*(($A340-'Control Room'!$A$16-('Control Room'!$B$16-1)/2)/MAX(0.5,'Control Room'!$B$16/4))^2),1)</x:f>
        <x:v>1</x:v>
      </x:c>
      <x:c r="AA340" s="9" t="n">
        <x:f>MOD(AB339*16807,2147483647)</x:f>
        <x:v>1981901834</x:v>
      </x:c>
      <x:c r="AB340" s="9" t="n">
        <x:f>MOD(AA340*16807,2147483647)</x:f>
        <x:v>205275421</x:v>
      </x:c>
      <x:c r="AC340" s="17" t="n">
        <x:f>IF('Control Room'!$B$5="Normal",'Control Room'!$B$7+'Control Room'!$D$7*SQRT(-2*LN(MAX(0.000000000001,AA340/2147483647)))*COS(2*PI()*AB340/2147483647),'Control Room'!$B$8+('Control Room'!$D$8-'Control Room'!$B$8)*AA340/2147483647)</x:f>
        <x:v>1029.7443240795371</x:v>
      </x:c>
      <x:c r="AD340" s="17" t="n">
        <x:f>IF('Control Room'!$B$5="Normal",'Control Room'!$B$7,('Control Room'!$B$8+'Control Room'!$D$8)/2)+'Control Room'!$B$9*(AD339-IF('Control Room'!$B$5="Normal",'Control Room'!$B$7,('Control Room'!$B$8+'Control Room'!$D$8)/2))+SQRT(1-'Control Room'!$B$9^2)*(AC340-IF('Control Room'!$B$5="Normal",'Control Room'!$B$7,('Control Room'!$B$8+'Control Room'!$D$8)/2))</x:f>
        <x:v>943.2903086978007</x:v>
      </x:c>
      <x:c r="AE340" s="17" t="n">
        <x:f>IF(AND($A340&gt;='Control Room'!$A$13,$A340&lt;'Control Room'!$A$13+'Control Room'!$B$13,'Process'!BP2=1),1+('Control Room'!$C$13-1)*EXP(-0.5*(($A340-'Control Room'!$A$13-('Control Room'!$B$13-1)/2)/MAX(0.5,'Control Room'!$B$13/4))^2),1)*IF(AND($A340&gt;='Control Room'!$A$14,$A340&lt;'Control Room'!$A$14+'Control Room'!$B$14,'Process'!BP3=1),1+('Control Room'!$C$14-1)*EXP(-0.5*(($A340-'Control Room'!$A$14-('Control Room'!$B$14-1)/2)/MAX(0.5,'Control Room'!$B$14/4))^2),1)*IF(AND($A340&gt;='Control Room'!$A$15,$A340&lt;'Control Room'!$A$15+'Control Room'!$B$15,'Process'!BP4=1),1+('Control Room'!$C$15-1)*EXP(-0.5*(($A340-'Control Room'!$A$15-('Control Room'!$B$15-1)/2)/MAX(0.5,'Control Room'!$B$15/4))^2),1)*IF(AND($A340&gt;='Control Room'!$A$16,$A340&lt;'Control Room'!$A$16+'Control Room'!$B$16,'Process'!BP5=1),1+('Control Room'!$C$16-1)*EXP(-0.5*(($A340-'Control Room'!$A$16-('Control Room'!$B$16-1)/2)/MAX(0.5,'Control Room'!$B$16/4))^2),1)</x:f>
        <x:v>1</x:v>
      </x:c>
      <x:c r="AF340" s="9" t="n">
        <x:f>MOD(AG339*16807,2147483647)</x:f>
        <x:v>1944529825</x:v>
      </x:c>
      <x:c r="AG340" s="9" t="n">
        <x:f>MOD(AF340*16807,2147483647)</x:f>
        <x:v>1306628729</x:v>
      </x:c>
      <x:c r="AH340" s="17" t="n">
        <x:f>IF('Control Room'!$B$5="Normal",'Control Room'!$B$7+'Control Room'!$D$7*SQRT(-2*LN(MAX(0.000000000001,AF340/2147483647)))*COS(2*PI()*AG340/2147483647),'Control Room'!$B$8+('Control Room'!$D$8-'Control Room'!$B$8)*AF340/2147483647)</x:f>
        <x:v>968.8517699837189</x:v>
      </x:c>
      <x:c r="AI340" s="17" t="n">
        <x:f>IF('Control Room'!$B$5="Normal",'Control Room'!$B$7,('Control Room'!$B$8+'Control Room'!$D$8)/2)+'Control Room'!$B$9*(AI339-IF('Control Room'!$B$5="Normal",'Control Room'!$B$7,('Control Room'!$B$8+'Control Room'!$D$8)/2))+SQRT(1-'Control Room'!$B$9^2)*(AH340-IF('Control Room'!$B$5="Normal",'Control Room'!$B$7,('Control Room'!$B$8+'Control Room'!$D$8)/2))</x:f>
        <x:v>938.0032629714204</x:v>
      </x:c>
      <x:c r="AJ340" s="17" t="n">
        <x:f>IF(AND($A340&gt;='Control Room'!$A$13,$A340&lt;'Control Room'!$A$13+'Control Room'!$B$13,'Process'!BQ2=1),1+('Control Room'!$C$13-1)*EXP(-0.5*(($A340-'Control Room'!$A$13-('Control Room'!$B$13-1)/2)/MAX(0.5,'Control Room'!$B$13/4))^2),1)*IF(AND($A340&gt;='Control Room'!$A$14,$A340&lt;'Control Room'!$A$14+'Control Room'!$B$14,'Process'!BQ3=1),1+('Control Room'!$C$14-1)*EXP(-0.5*(($A340-'Control Room'!$A$14-('Control Room'!$B$14-1)/2)/MAX(0.5,'Control Room'!$B$14/4))^2),1)*IF(AND($A340&gt;='Control Room'!$A$15,$A340&lt;'Control Room'!$A$15+'Control Room'!$B$15,'Process'!BQ4=1),1+('Control Room'!$C$15-1)*EXP(-0.5*(($A340-'Control Room'!$A$15-('Control Room'!$B$15-1)/2)/MAX(0.5,'Control Room'!$B$15/4))^2),1)*IF(AND($A340&gt;='Control Room'!$A$16,$A340&lt;'Control Room'!$A$16+'Control Room'!$B$16,'Process'!BQ5=1),1+('Control Room'!$C$16-1)*EXP(-0.5*(($A340-'Control Room'!$A$16-('Control Room'!$B$16-1)/2)/MAX(0.5,'Control Room'!$B$16/4))^2),1)</x:f>
        <x:v>1</x:v>
      </x:c>
      <x:c r="AK340" s="9" t="n">
        <x:f>MOD(AL339*16807,2147483647)</x:f>
        <x:v>1907157816</x:v>
      </x:c>
      <x:c r="AL340" s="9" t="n">
        <x:f>MOD(AK340*16807,2147483647)</x:f>
        <x:v>260498390</x:v>
      </x:c>
      <x:c r="AM340" s="17" t="n">
        <x:f>IF('Control Room'!$B$5="Normal",'Control Room'!$B$7+'Control Room'!$D$7*SQRT(-2*LN(MAX(0.000000000001,AK340/2147483647)))*COS(2*PI()*AL340/2147483647),'Control Room'!$B$8+('Control Room'!$D$8-'Control Room'!$B$8)*AK340/2147483647)</x:f>
        <x:v>1031.7169154405485</x:v>
      </x:c>
      <x:c r="AN340" s="17" t="n">
        <x:f>IF('Control Room'!$B$5="Normal",'Control Room'!$B$7,('Control Room'!$B$8+'Control Room'!$D$8)/2)+'Control Room'!$B$9*(AN339-IF('Control Room'!$B$5="Normal",'Control Room'!$B$7,('Control Room'!$B$8+'Control Room'!$D$8)/2))+SQRT(1-'Control Room'!$B$9^2)*(AM340-IF('Control Room'!$B$5="Normal",'Control Room'!$B$7,('Control Room'!$B$8+'Control Room'!$D$8)/2))</x:f>
        <x:v>931.0641918085968</x:v>
      </x:c>
      <x:c r="AO340" s="17" t="n">
        <x:f>IF(AND($A340&gt;='Control Room'!$A$13,$A340&lt;'Control Room'!$A$13+'Control Room'!$B$13,'Process'!BR2=1),1+('Control Room'!$C$13-1)*EXP(-0.5*(($A340-'Control Room'!$A$13-('Control Room'!$B$13-1)/2)/MAX(0.5,'Control Room'!$B$13/4))^2),1)*IF(AND($A340&gt;='Control Room'!$A$14,$A340&lt;'Control Room'!$A$14+'Control Room'!$B$14,'Process'!BR3=1),1+('Control Room'!$C$14-1)*EXP(-0.5*(($A340-'Control Room'!$A$14-('Control Room'!$B$14-1)/2)/MAX(0.5,'Control Room'!$B$14/4))^2),1)*IF(AND($A340&gt;='Control Room'!$A$15,$A340&lt;'Control Room'!$A$15+'Control Room'!$B$15,'Process'!BR4=1),1+('Control Room'!$C$15-1)*EXP(-0.5*(($A340-'Control Room'!$A$15-('Control Room'!$B$15-1)/2)/MAX(0.5,'Control Room'!$B$15/4))^2),1)*IF(AND($A340&gt;='Control Room'!$A$16,$A340&lt;'Control Room'!$A$16+'Control Room'!$B$16,'Process'!BR5=1),1+('Control Room'!$C$16-1)*EXP(-0.5*(($A340-'Control Room'!$A$16-('Control Room'!$B$16-1)/2)/MAX(0.5,'Control Room'!$B$16/4))^2),1)</x:f>
        <x:v>1</x:v>
      </x:c>
      <x:c r="AP340" s="9" t="n">
        <x:f>MOD(AQ339*16807,2147483647)</x:f>
        <x:v>1869785807</x:v>
      </x:c>
      <x:c r="AQ340" s="9" t="n">
        <x:f>MOD(AP340*16807,2147483647)</x:f>
        <x:v>1361851698</x:v>
      </x:c>
      <x:c r="AR340" s="17" t="n">
        <x:f>IF('Control Room'!$B$5="Normal",'Control Room'!$B$7+'Control Room'!$D$7*SQRT(-2*LN(MAX(0.000000000001,AP340/2147483647)))*COS(2*PI()*AQ340/2147483647),'Control Room'!$B$8+('Control Room'!$D$8-'Control Room'!$B$8)*AP340/2147483647)</x:f>
        <x:v>968.4915242447645</x:v>
      </x:c>
      <x:c r="AS340" s="17" t="n">
        <x:f>IF('Control Room'!$B$5="Normal",'Control Room'!$B$7,('Control Room'!$B$8+'Control Room'!$D$8)/2)+'Control Room'!$B$9*(AS339-IF('Control Room'!$B$5="Normal",'Control Room'!$B$7,('Control Room'!$B$8+'Control Room'!$D$8)/2))+SQRT(1-'Control Room'!$B$9^2)*(AR340-IF('Control Room'!$B$5="Normal",'Control Room'!$B$7,('Control Room'!$B$8+'Control Room'!$D$8)/2))</x:f>
        <x:v>1126.180051045525</x:v>
      </x:c>
      <x:c r="AT340" s="17" t="n">
        <x:f>IF(AND($A340&gt;='Control Room'!$A$13,$A340&lt;'Control Room'!$A$13+'Control Room'!$B$13,'Process'!BS2=1),1+('Control Room'!$C$13-1)*EXP(-0.5*(($A340-'Control Room'!$A$13-('Control Room'!$B$13-1)/2)/MAX(0.5,'Control Room'!$B$13/4))^2),1)*IF(AND($A340&gt;='Control Room'!$A$14,$A340&lt;'Control Room'!$A$14+'Control Room'!$B$14,'Process'!BS3=1),1+('Control Room'!$C$14-1)*EXP(-0.5*(($A340-'Control Room'!$A$14-('Control Room'!$B$14-1)/2)/MAX(0.5,'Control Room'!$B$14/4))^2),1)*IF(AND($A340&gt;='Control Room'!$A$15,$A340&lt;'Control Room'!$A$15+'Control Room'!$B$15,'Process'!BS4=1),1+('Control Room'!$C$15-1)*EXP(-0.5*(($A340-'Control Room'!$A$15-('Control Room'!$B$15-1)/2)/MAX(0.5,'Control Room'!$B$15/4))^2),1)*IF(AND($A340&gt;='Control Room'!$A$16,$A340&lt;'Control Room'!$A$16+'Control Room'!$B$16,'Process'!BS5=1),1+('Control Room'!$C$16-1)*EXP(-0.5*(($A340-'Control Room'!$A$16-('Control Room'!$B$16-1)/2)/MAX(0.5,'Control Room'!$B$16/4))^2),1)</x:f>
        <x:v>1</x:v>
      </x:c>
      <x:c r="AU340" s="9" t="n">
        <x:f>MOD(AV339*16807,2147483647)</x:f>
        <x:v>1832413798</x:v>
      </x:c>
      <x:c r="AV340" s="9" t="n">
        <x:f>MOD(AU340*16807,2147483647)</x:f>
        <x:v>315721359</x:v>
      </x:c>
      <x:c r="AW340" s="17" t="n">
        <x:f>IF('Control Room'!$B$5="Normal",'Control Room'!$B$7+'Control Room'!$D$7*SQRT(-2*LN(MAX(0.000000000001,AU340/2147483647)))*COS(2*PI()*AV340/2147483647),'Control Room'!$B$8+('Control Room'!$D$8-'Control Room'!$B$8)*AU340/2147483647)</x:f>
        <x:v>1030.5627220782023</x:v>
      </x:c>
      <x:c r="AX340" s="17" t="n">
        <x:f>IF('Control Room'!$B$5="Normal",'Control Room'!$B$7,('Control Room'!$B$8+'Control Room'!$D$8)/2)+'Control Room'!$B$9*(AX339-IF('Control Room'!$B$5="Normal",'Control Room'!$B$7,('Control Room'!$B$8+'Control Room'!$D$8)/2))+SQRT(1-'Control Room'!$B$9^2)*(AW340-IF('Control Room'!$B$5="Normal",'Control Room'!$B$7,('Control Room'!$B$8+'Control Room'!$D$8)/2))</x:f>
        <x:v>972.2857859895281</x:v>
      </x:c>
      <x:c r="AY340" s="17" t="n">
        <x:f>IF(AND($A340&gt;='Control Room'!$A$13,$A340&lt;'Control Room'!$A$13+'Control Room'!$B$13,'Process'!BT2=1),1+('Control Room'!$C$13-1)*EXP(-0.5*(($A340-'Control Room'!$A$13-('Control Room'!$B$13-1)/2)/MAX(0.5,'Control Room'!$B$13/4))^2),1)*IF(AND($A340&gt;='Control Room'!$A$14,$A340&lt;'Control Room'!$A$14+'Control Room'!$B$14,'Process'!BT3=1),1+('Control Room'!$C$14-1)*EXP(-0.5*(($A340-'Control Room'!$A$14-('Control Room'!$B$14-1)/2)/MAX(0.5,'Control Room'!$B$14/4))^2),1)*IF(AND($A340&gt;='Control Room'!$A$15,$A340&lt;'Control Room'!$A$15+'Control Room'!$B$15,'Process'!BT4=1),1+('Control Room'!$C$15-1)*EXP(-0.5*(($A340-'Control Room'!$A$15-('Control Room'!$B$15-1)/2)/MAX(0.5,'Control Room'!$B$15/4))^2),1)*IF(AND($A340&gt;='Control Room'!$A$16,$A340&lt;'Control Room'!$A$16+'Control Room'!$B$16,'Process'!BT5=1),1+('Control Room'!$C$16-1)*EXP(-0.5*(($A340-'Control Room'!$A$16-('Control Room'!$B$16-1)/2)/MAX(0.5,'Control Room'!$B$16/4))^2),1)</x:f>
        <x:v>1</x:v>
      </x:c>
      <x:c r="AZ340" s="9" t="n">
        <x:f>MOD(BA339*16807,2147483647)</x:f>
        <x:v>1795041789</x:v>
      </x:c>
      <x:c r="BA340" s="9" t="n">
        <x:f>MOD(AZ340*16807,2147483647)</x:f>
        <x:v>1417074667</x:v>
      </x:c>
      <x:c r="BB340" s="17" t="n">
        <x:f>IF('Control Room'!$B$5="Normal",'Control Room'!$B$7+'Control Room'!$D$7*SQRT(-2*LN(MAX(0.000000000001,AZ340/2147483647)))*COS(2*PI()*BA340/2147483647),'Control Room'!$B$8+('Control Room'!$D$8-'Control Room'!$B$8)*AZ340/2147483647)</x:f>
        <x:v>971.0890008157359</x:v>
      </x:c>
      <x:c r="BC340" s="17" t="n">
        <x:f>IF('Control Room'!$B$5="Normal",'Control Room'!$B$7,('Control Room'!$B$8+'Control Room'!$D$8)/2)+'Control Room'!$B$9*(BC339-IF('Control Room'!$B$5="Normal",'Control Room'!$B$7,('Control Room'!$B$8+'Control Room'!$D$8)/2))+SQRT(1-'Control Room'!$B$9^2)*(BB340-IF('Control Room'!$B$5="Normal",'Control Room'!$B$7,('Control Room'!$B$8+'Control Room'!$D$8)/2))</x:f>
        <x:v>1125.376377781176</x:v>
      </x:c>
      <x:c r="BD340" s="17" t="n">
        <x:f>IF(AND($A340&gt;='Control Room'!$A$13,$A340&lt;'Control Room'!$A$13+'Control Room'!$B$13,'Process'!BU2=1),1+('Control Room'!$C$13-1)*EXP(-0.5*(($A340-'Control Room'!$A$13-('Control Room'!$B$13-1)/2)/MAX(0.5,'Control Room'!$B$13/4))^2),1)*IF(AND($A340&gt;='Control Room'!$A$14,$A340&lt;'Control Room'!$A$14+'Control Room'!$B$14,'Process'!BU3=1),1+('Control Room'!$C$14-1)*EXP(-0.5*(($A340-'Control Room'!$A$14-('Control Room'!$B$14-1)/2)/MAX(0.5,'Control Room'!$B$14/4))^2),1)*IF(AND($A340&gt;='Control Room'!$A$15,$A340&lt;'Control Room'!$A$15+'Control Room'!$B$15,'Process'!BU4=1),1+('Control Room'!$C$15-1)*EXP(-0.5*(($A340-'Control Room'!$A$15-('Control Room'!$B$15-1)/2)/MAX(0.5,'Control Room'!$B$15/4))^2),1)*IF(AND($A340&gt;='Control Room'!$A$16,$A340&lt;'Control Room'!$A$16+'Control Room'!$B$16,'Process'!BU5=1),1+('Control Room'!$C$16-1)*EXP(-0.5*(($A340-'Control Room'!$A$16-('Control Room'!$B$16-1)/2)/MAX(0.5,'Control Room'!$B$16/4))^2),1)</x:f>
        <x:v>1</x:v>
      </x:c>
      <x:c r="BE340" s="9" t="n">
        <x:f>MOD(BF339*16807,2147483647)</x:f>
        <x:v>1757669780</x:v>
      </x:c>
      <x:c r="BF340" s="9" t="n">
        <x:f>MOD(BE340*16807,2147483647)</x:f>
        <x:v>370944328</x:v>
      </x:c>
      <x:c r="BG340" s="17" t="n">
        <x:f>IF('Control Room'!$B$5="Normal",'Control Room'!$B$7+'Control Room'!$D$7*SQRT(-2*LN(MAX(0.000000000001,BE340/2147483647)))*COS(2*PI()*BF340/2147483647),'Control Room'!$B$8+('Control Room'!$D$8-'Control Room'!$B$8)*BE340/2147483647)</x:f>
        <x:v>1026.5813428859608</x:v>
      </x:c>
      <x:c r="BH340" s="17" t="n">
        <x:f>IF('Control Room'!$B$5="Normal",'Control Room'!$B$7,('Control Room'!$B$8+'Control Room'!$D$8)/2)+'Control Room'!$B$9*(BH339-IF('Control Room'!$B$5="Normal",'Control Room'!$B$7,('Control Room'!$B$8+'Control Room'!$D$8)/2))+SQRT(1-'Control Room'!$B$9^2)*(BG340-IF('Control Room'!$B$5="Normal",'Control Room'!$B$7,('Control Room'!$B$8+'Control Room'!$D$8)/2))</x:f>
        <x:v>907.1284849668119</x:v>
      </x:c>
      <x:c r="BI340" s="17" t="n">
        <x:f>IF(AND($A340&gt;='Control Room'!$A$13,$A340&lt;'Control Room'!$A$13+'Control Room'!$B$13,'Process'!BV2=1),1+('Control Room'!$C$13-1)*EXP(-0.5*(($A340-'Control Room'!$A$13-('Control Room'!$B$13-1)/2)/MAX(0.5,'Control Room'!$B$13/4))^2),1)*IF(AND($A340&gt;='Control Room'!$A$14,$A340&lt;'Control Room'!$A$14+'Control Room'!$B$14,'Process'!BV3=1),1+('Control Room'!$C$14-1)*EXP(-0.5*(($A340-'Control Room'!$A$14-('Control Room'!$B$14-1)/2)/MAX(0.5,'Control Room'!$B$14/4))^2),1)*IF(AND($A340&gt;='Control Room'!$A$15,$A340&lt;'Control Room'!$A$15+'Control Room'!$B$15,'Process'!BV4=1),1+('Control Room'!$C$15-1)*EXP(-0.5*(($A340-'Control Room'!$A$15-('Control Room'!$B$15-1)/2)/MAX(0.5,'Control Room'!$B$15/4))^2),1)*IF(AND($A340&gt;='Control Room'!$A$16,$A340&lt;'Control Room'!$A$16+'Control Room'!$B$16,'Process'!BV5=1),1+('Control Room'!$C$16-1)*EXP(-0.5*(($A340-'Control Room'!$A$16-('Control Room'!$B$16-1)/2)/MAX(0.5,'Control Room'!$B$16/4))^2),1)</x:f>
        <x:v>1</x:v>
      </x:c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Z340" t="str">
        <x:f>IF('Data'!A340="","",TEXT('Data'!A340,"mm-dd"))</x:f>
      </x:c>
    </x:row>
    <x:row r="341" ht="21" customHeight="1">
      <x:c r="A341" s="15" t="n">
        <x:f>'Control Room'!$B$1+339</x:f>
        <x:v>73330</x:v>
      </x:c>
      <x:c r="B341" s="9" t="n">
        <x:f>MOD(C340*16807,2147483647)</x:f>
        <x:v>1230244291</x:v>
      </x:c>
      <x:c r="C341" s="9" t="n">
        <x:f>MOD(B341*16807,2147483647)</x:f>
        <x:v>743245521</x:v>
      </x:c>
      <x:c r="D341" s="17" t="n">
        <x:f>IF('Control Room'!$B$5="Normal",'Control Room'!$B$7+'Control Room'!$D$7*SQRT(-2*LN(MAX(0.000000000001,B341/2147483647)))*COS(2*PI()*C341/2147483647),'Control Room'!$B$8+('Control Room'!$D$8-'Control Room'!$B$8)*B341/2147483647)</x:f>
        <x:v>946.0606910663244</x:v>
      </x:c>
      <x:c r="E341" s="17" t="n">
        <x:f>IF('Control Room'!$B$5="Normal",'Control Room'!$B$7,('Control Room'!$B$8+'Control Room'!$D$8)/2)+'Control Room'!$B$9*(E340-IF('Control Room'!$B$5="Normal",'Control Room'!$B$7,('Control Room'!$B$8+'Control Room'!$D$8)/2))+SQRT(1-'Control Room'!$B$9^2)*(D341-IF('Control Room'!$B$5="Normal",'Control Room'!$B$7,('Control Room'!$B$8+'Control Room'!$D$8)/2))</x:f>
        <x:v>776.2785307915043</x:v>
      </x:c>
      <x:c r="F341" s="17" t="n">
        <x:f>IF(AND($A341&gt;='Control Room'!$A$13,$A341&lt;'Control Room'!$A$13+'Control Room'!$B$13,'Process'!BK2=1),1+('Control Room'!$C$13-1)*EXP(-0.5*(($A341-'Control Room'!$A$13-('Control Room'!$B$13-1)/2)/MAX(0.5,'Control Room'!$B$13/4))^2),1)*IF(AND($A341&gt;='Control Room'!$A$14,$A341&lt;'Control Room'!$A$14+'Control Room'!$B$14,'Process'!BK3=1),1+('Control Room'!$C$14-1)*EXP(-0.5*(($A341-'Control Room'!$A$14-('Control Room'!$B$14-1)/2)/MAX(0.5,'Control Room'!$B$14/4))^2),1)*IF(AND($A341&gt;='Control Room'!$A$15,$A341&lt;'Control Room'!$A$15+'Control Room'!$B$15,'Process'!BK4=1),1+('Control Room'!$C$15-1)*EXP(-0.5*(($A341-'Control Room'!$A$15-('Control Room'!$B$15-1)/2)/MAX(0.5,'Control Room'!$B$15/4))^2),1)*IF(AND($A341&gt;='Control Room'!$A$16,$A341&lt;'Control Room'!$A$16+'Control Room'!$B$16,'Process'!BK5=1),1+('Control Room'!$C$16-1)*EXP(-0.5*(($A341-'Control Room'!$A$16-('Control Room'!$B$16-1)/2)/MAX(0.5,'Control Room'!$B$16/4))^2),1)</x:f>
        <x:v>1</x:v>
      </x:c>
      <x:c r="G341" s="9" t="n">
        <x:f>MOD(H340*16807,2147483647)</x:f>
        <x:v>366254707</x:v>
      </x:c>
      <x:c r="H341" s="9" t="n">
        <x:f>MOD(G341*16807,2147483647)</x:f>
        <x:v>954728247</x:v>
      </x:c>
      <x:c r="I341" s="17" t="n">
        <x:f>IF('Control Room'!$B$5="Normal",'Control Room'!$B$7+'Control Room'!$D$7*SQRT(-2*LN(MAX(0.000000000001,G341/2147483647)))*COS(2*PI()*H341/2147483647),'Control Room'!$B$8+('Control Room'!$D$8-'Control Room'!$B$8)*G341/2147483647)</x:f>
        <x:v>840.8862626178025</x:v>
      </x:c>
      <x:c r="J341" s="17" t="n">
        <x:f>IF('Control Room'!$B$5="Normal",'Control Room'!$B$7,('Control Room'!$B$8+'Control Room'!$D$8)/2)+'Control Room'!$B$9*(J340-IF('Control Room'!$B$5="Normal",'Control Room'!$B$7,('Control Room'!$B$8+'Control Room'!$D$8)/2))+SQRT(1-'Control Room'!$B$9^2)*(I341-IF('Control Room'!$B$5="Normal",'Control Room'!$B$7,('Control Room'!$B$8+'Control Room'!$D$8)/2))</x:f>
        <x:v>978.8328324040327</x:v>
      </x:c>
      <x:c r="K341" s="17" t="n">
        <x:f>IF(AND($A341&gt;='Control Room'!$A$13,$A341&lt;'Control Room'!$A$13+'Control Room'!$B$13,'Process'!BL2=1),1+('Control Room'!$C$13-1)*EXP(-0.5*(($A341-'Control Room'!$A$13-('Control Room'!$B$13-1)/2)/MAX(0.5,'Control Room'!$B$13/4))^2),1)*IF(AND($A341&gt;='Control Room'!$A$14,$A341&lt;'Control Room'!$A$14+'Control Room'!$B$14,'Process'!BL3=1),1+('Control Room'!$C$14-1)*EXP(-0.5*(($A341-'Control Room'!$A$14-('Control Room'!$B$14-1)/2)/MAX(0.5,'Control Room'!$B$14/4))^2),1)*IF(AND($A341&gt;='Control Room'!$A$15,$A341&lt;'Control Room'!$A$15+'Control Room'!$B$15,'Process'!BL4=1),1+('Control Room'!$C$15-1)*EXP(-0.5*(($A341-'Control Room'!$A$15-('Control Room'!$B$15-1)/2)/MAX(0.5,'Control Room'!$B$15/4))^2),1)*IF(AND($A341&gt;='Control Room'!$A$16,$A341&lt;'Control Room'!$A$16+'Control Room'!$B$16,'Process'!BL5=1),1+('Control Room'!$C$16-1)*EXP(-0.5*(($A341-'Control Room'!$A$16-('Control Room'!$B$16-1)/2)/MAX(0.5,'Control Room'!$B$16/4))^2),1)</x:f>
        <x:v>1</x:v>
      </x:c>
      <x:c r="L341" s="9" t="n">
        <x:f>MOD(M340*16807,2147483647)</x:f>
        <x:v>1649748770</x:v>
      </x:c>
      <x:c r="M341" s="9" t="n">
        <x:f>MOD(L341*16807,2147483647)</x:f>
        <x:v>1166210973</x:v>
      </x:c>
      <x:c r="N341" s="17" t="n">
        <x:f>IF('Control Room'!$B$5="Normal",'Control Room'!$B$7+'Control Room'!$D$7*SQRT(-2*LN(MAX(0.000000000001,L341/2147483647)))*COS(2*PI()*M341/2147483647),'Control Room'!$B$8+('Control Room'!$D$8-'Control Room'!$B$8)*L341/2147483647)</x:f>
        <x:v>937.0205837866353</x:v>
      </x:c>
      <x:c r="O341" s="17" t="n">
        <x:f>IF('Control Room'!$B$5="Normal",'Control Room'!$B$7,('Control Room'!$B$8+'Control Room'!$D$8)/2)+'Control Room'!$B$9*(O340-IF('Control Room'!$B$5="Normal",'Control Room'!$B$7,('Control Room'!$B$8+'Control Room'!$D$8)/2))+SQRT(1-'Control Room'!$B$9^2)*(N341-IF('Control Room'!$B$5="Normal",'Control Room'!$B$7,('Control Room'!$B$8+'Control Room'!$D$8)/2))</x:f>
        <x:v>989.4548502536394</x:v>
      </x:c>
      <x:c r="P341" s="17" t="n">
        <x:f>IF(AND($A341&gt;='Control Room'!$A$13,$A341&lt;'Control Room'!$A$13+'Control Room'!$B$13,'Process'!BM2=1),1+('Control Room'!$C$13-1)*EXP(-0.5*(($A341-'Control Room'!$A$13-('Control Room'!$B$13-1)/2)/MAX(0.5,'Control Room'!$B$13/4))^2),1)*IF(AND($A341&gt;='Control Room'!$A$14,$A341&lt;'Control Room'!$A$14+'Control Room'!$B$14,'Process'!BM3=1),1+('Control Room'!$C$14-1)*EXP(-0.5*(($A341-'Control Room'!$A$14-('Control Room'!$B$14-1)/2)/MAX(0.5,'Control Room'!$B$14/4))^2),1)*IF(AND($A341&gt;='Control Room'!$A$15,$A341&lt;'Control Room'!$A$15+'Control Room'!$B$15,'Process'!BM4=1),1+('Control Room'!$C$15-1)*EXP(-0.5*(($A341-'Control Room'!$A$15-('Control Room'!$B$15-1)/2)/MAX(0.5,'Control Room'!$B$15/4))^2),1)*IF(AND($A341&gt;='Control Room'!$A$16,$A341&lt;'Control Room'!$A$16+'Control Room'!$B$16,'Process'!BM5=1),1+('Control Room'!$C$16-1)*EXP(-0.5*(($A341-'Control Room'!$A$16-('Control Room'!$B$16-1)/2)/MAX(0.5,'Control Room'!$B$16/4))^2),1)</x:f>
        <x:v>1</x:v>
      </x:c>
      <x:c r="Q341" s="9" t="n">
        <x:f>MOD(R340*16807,2147483647)</x:f>
        <x:v>785759186</x:v>
      </x:c>
      <x:c r="R341" s="9" t="n">
        <x:f>MOD(Q341*16807,2147483647)</x:f>
        <x:v>1377693699</x:v>
      </x:c>
      <x:c r="S341" s="17" t="n">
        <x:f>IF('Control Room'!$B$5="Normal",'Control Room'!$B$7+'Control Room'!$D$7*SQRT(-2*LN(MAX(0.000000000001,Q341/2147483647)))*COS(2*PI()*R341/2147483647),'Control Room'!$B$8+('Control Room'!$D$8-'Control Room'!$B$8)*Q341/2147483647)</x:f>
        <x:v>919.6047786972454</x:v>
      </x:c>
      <x:c r="T341" s="17" t="n">
        <x:f>IF('Control Room'!$B$5="Normal",'Control Room'!$B$7,('Control Room'!$B$8+'Control Room'!$D$8)/2)+'Control Room'!$B$9*(T340-IF('Control Room'!$B$5="Normal",'Control Room'!$B$7,('Control Room'!$B$8+'Control Room'!$D$8)/2))+SQRT(1-'Control Room'!$B$9^2)*(S341-IF('Control Room'!$B$5="Normal",'Control Room'!$B$7,('Control Room'!$B$8+'Control Room'!$D$8)/2))</x:f>
        <x:v>1047.292808646048</x:v>
      </x:c>
      <x:c r="U341" s="17" t="n">
        <x:f>IF(AND($A341&gt;='Control Room'!$A$13,$A341&lt;'Control Room'!$A$13+'Control Room'!$B$13,'Process'!BN2=1),1+('Control Room'!$C$13-1)*EXP(-0.5*(($A341-'Control Room'!$A$13-('Control Room'!$B$13-1)/2)/MAX(0.5,'Control Room'!$B$13/4))^2),1)*IF(AND($A341&gt;='Control Room'!$A$14,$A341&lt;'Control Room'!$A$14+'Control Room'!$B$14,'Process'!BN3=1),1+('Control Room'!$C$14-1)*EXP(-0.5*(($A341-'Control Room'!$A$14-('Control Room'!$B$14-1)/2)/MAX(0.5,'Control Room'!$B$14/4))^2),1)*IF(AND($A341&gt;='Control Room'!$A$15,$A341&lt;'Control Room'!$A$15+'Control Room'!$B$15,'Process'!BN4=1),1+('Control Room'!$C$15-1)*EXP(-0.5*(($A341-'Control Room'!$A$15-('Control Room'!$B$15-1)/2)/MAX(0.5,'Control Room'!$B$15/4))^2),1)*IF(AND($A341&gt;='Control Room'!$A$16,$A341&lt;'Control Room'!$A$16+'Control Room'!$B$16,'Process'!BN5=1),1+('Control Room'!$C$16-1)*EXP(-0.5*(($A341-'Control Room'!$A$16-('Control Room'!$B$16-1)/2)/MAX(0.5,'Control Room'!$B$16/4))^2),1)</x:f>
        <x:v>1</x:v>
      </x:c>
      <x:c r="V341" s="9" t="n">
        <x:f>MOD(W340*16807,2147483647)</x:f>
        <x:v>2069253249</x:v>
      </x:c>
      <x:c r="W341" s="9" t="n">
        <x:f>MOD(V341*16807,2147483647)</x:f>
        <x:v>1589176425</x:v>
      </x:c>
      <x:c r="X341" s="17" t="n">
        <x:f>IF('Control Room'!$B$5="Normal",'Control Room'!$B$7+'Control Room'!$D$7*SQRT(-2*LN(MAX(0.000000000001,V341/2147483647)))*COS(2*PI()*W341/2147483647),'Control Room'!$B$8+('Control Room'!$D$8-'Control Room'!$B$8)*V341/2147483647)</x:f>
        <x:v>998.4632181960092</x:v>
      </x:c>
      <x:c r="Y341" s="17" t="n">
        <x:f>IF('Control Room'!$B$5="Normal",'Control Room'!$B$7,('Control Room'!$B$8+'Control Room'!$D$8)/2)+'Control Room'!$B$9*(Y340-IF('Control Room'!$B$5="Normal",'Control Room'!$B$7,('Control Room'!$B$8+'Control Room'!$D$8)/2))+SQRT(1-'Control Room'!$B$9^2)*(X341-IF('Control Room'!$B$5="Normal",'Control Room'!$B$7,('Control Room'!$B$8+'Control Room'!$D$8)/2))</x:f>
        <x:v>982.0812497379598</x:v>
      </x:c>
      <x:c r="Z341" s="17" t="n">
        <x:f>IF(AND($A341&gt;='Control Room'!$A$13,$A341&lt;'Control Room'!$A$13+'Control Room'!$B$13,'Process'!BO2=1),1+('Control Room'!$C$13-1)*EXP(-0.5*(($A341-'Control Room'!$A$13-('Control Room'!$B$13-1)/2)/MAX(0.5,'Control Room'!$B$13/4))^2),1)*IF(AND($A341&gt;='Control Room'!$A$14,$A341&lt;'Control Room'!$A$14+'Control Room'!$B$14,'Process'!BO3=1),1+('Control Room'!$C$14-1)*EXP(-0.5*(($A341-'Control Room'!$A$14-('Control Room'!$B$14-1)/2)/MAX(0.5,'Control Room'!$B$14/4))^2),1)*IF(AND($A341&gt;='Control Room'!$A$15,$A341&lt;'Control Room'!$A$15+'Control Room'!$B$15,'Process'!BO4=1),1+('Control Room'!$C$15-1)*EXP(-0.5*(($A341-'Control Room'!$A$15-('Control Room'!$B$15-1)/2)/MAX(0.5,'Control Room'!$B$15/4))^2),1)*IF(AND($A341&gt;='Control Room'!$A$16,$A341&lt;'Control Room'!$A$16+'Control Room'!$B$16,'Process'!BO5=1),1+('Control Room'!$C$16-1)*EXP(-0.5*(($A341-'Control Room'!$A$16-('Control Room'!$B$16-1)/2)/MAX(0.5,'Control Room'!$B$16/4))^2),1)</x:f>
        <x:v>1</x:v>
      </x:c>
      <x:c r="AA341" s="9" t="n">
        <x:f>MOD(AB340*16807,2147483647)</x:f>
        <x:v>1205263665</x:v>
      </x:c>
      <x:c r="AB341" s="9" t="n">
        <x:f>MOD(AA341*16807,2147483647)</x:f>
        <x:v>1800659151</x:v>
      </x:c>
      <x:c r="AC341" s="17" t="n">
        <x:f>IF('Control Room'!$B$5="Normal",'Control Room'!$B$7+'Control Room'!$D$7*SQRT(-2*LN(MAX(0.000000000001,AA341/2147483647)))*COS(2*PI()*AB341/2147483647),'Control Room'!$B$8+('Control Room'!$D$8-'Control Room'!$B$8)*AA341/2147483647)</x:f>
        <x:v>1051.0581761628066</x:v>
      </x:c>
      <x:c r="AD341" s="17" t="n">
        <x:f>IF('Control Room'!$B$5="Normal",'Control Room'!$B$7,('Control Room'!$B$8+'Control Room'!$D$8)/2)+'Control Room'!$B$9*(AD340-IF('Control Room'!$B$5="Normal",'Control Room'!$B$7,('Control Room'!$B$8+'Control Room'!$D$8)/2))+SQRT(1-'Control Room'!$B$9^2)*(AC341-IF('Control Room'!$B$5="Normal",'Control Room'!$B$7,('Control Room'!$B$8+'Control Room'!$D$8)/2))</x:f>
        <x:v>987.717601443376</x:v>
      </x:c>
      <x:c r="AE341" s="17" t="n">
        <x:f>IF(AND($A341&gt;='Control Room'!$A$13,$A341&lt;'Control Room'!$A$13+'Control Room'!$B$13,'Process'!BP2=1),1+('Control Room'!$C$13-1)*EXP(-0.5*(($A341-'Control Room'!$A$13-('Control Room'!$B$13-1)/2)/MAX(0.5,'Control Room'!$B$13/4))^2),1)*IF(AND($A341&gt;='Control Room'!$A$14,$A341&lt;'Control Room'!$A$14+'Control Room'!$B$14,'Process'!BP3=1),1+('Control Room'!$C$14-1)*EXP(-0.5*(($A341-'Control Room'!$A$14-('Control Room'!$B$14-1)/2)/MAX(0.5,'Control Room'!$B$14/4))^2),1)*IF(AND($A341&gt;='Control Room'!$A$15,$A341&lt;'Control Room'!$A$15+'Control Room'!$B$15,'Process'!BP4=1),1+('Control Room'!$C$15-1)*EXP(-0.5*(($A341-'Control Room'!$A$15-('Control Room'!$B$15-1)/2)/MAX(0.5,'Control Room'!$B$15/4))^2),1)*IF(AND($A341&gt;='Control Room'!$A$16,$A341&lt;'Control Room'!$A$16+'Control Room'!$B$16,'Process'!BP5=1),1+('Control Room'!$C$16-1)*EXP(-0.5*(($A341-'Control Room'!$A$16-('Control Room'!$B$16-1)/2)/MAX(0.5,'Control Room'!$B$16/4))^2),1)</x:f>
        <x:v>1</x:v>
      </x:c>
      <x:c r="AF341" s="9" t="n">
        <x:f>MOD(AG340*16807,2147483647)</x:f>
        <x:v>341274081</x:v>
      </x:c>
      <x:c r="AG341" s="9" t="n">
        <x:f>MOD(AF341*16807,2147483647)</x:f>
        <x:v>2012141877</x:v>
      </x:c>
      <x:c r="AH341" s="17" t="n">
        <x:f>IF('Control Room'!$B$5="Normal",'Control Room'!$B$7+'Control Room'!$D$7*SQRT(-2*LN(MAX(0.000000000001,AF341/2147483647)))*COS(2*PI()*AG341/2147483647),'Control Room'!$B$8+('Control Room'!$D$8-'Control Room'!$B$8)*AF341/2147483647)</x:f>
        <x:v>1159.2621497588063</x:v>
      </x:c>
      <x:c r="AI341" s="17" t="n">
        <x:f>IF('Control Room'!$B$5="Normal",'Control Room'!$B$7,('Control Room'!$B$8+'Control Room'!$D$8)/2)+'Control Room'!$B$9*(AI340-IF('Control Room'!$B$5="Normal",'Control Room'!$B$7,('Control Room'!$B$8+'Control Room'!$D$8)/2))+SQRT(1-'Control Room'!$B$9^2)*(AH341-IF('Control Room'!$B$5="Normal",'Control Room'!$B$7,('Control Room'!$B$8+'Control Room'!$D$8)/2))</x:f>
        <x:v>1051.3055357742896</x:v>
      </x:c>
      <x:c r="AJ341" s="17" t="n">
        <x:f>IF(AND($A341&gt;='Control Room'!$A$13,$A341&lt;'Control Room'!$A$13+'Control Room'!$B$13,'Process'!BQ2=1),1+('Control Room'!$C$13-1)*EXP(-0.5*(($A341-'Control Room'!$A$13-('Control Room'!$B$13-1)/2)/MAX(0.5,'Control Room'!$B$13/4))^2),1)*IF(AND($A341&gt;='Control Room'!$A$14,$A341&lt;'Control Room'!$A$14+'Control Room'!$B$14,'Process'!BQ3=1),1+('Control Room'!$C$14-1)*EXP(-0.5*(($A341-'Control Room'!$A$14-('Control Room'!$B$14-1)/2)/MAX(0.5,'Control Room'!$B$14/4))^2),1)*IF(AND($A341&gt;='Control Room'!$A$15,$A341&lt;'Control Room'!$A$15+'Control Room'!$B$15,'Process'!BQ4=1),1+('Control Room'!$C$15-1)*EXP(-0.5*(($A341-'Control Room'!$A$15-('Control Room'!$B$15-1)/2)/MAX(0.5,'Control Room'!$B$15/4))^2),1)*IF(AND($A341&gt;='Control Room'!$A$16,$A341&lt;'Control Room'!$A$16+'Control Room'!$B$16,'Process'!BQ5=1),1+('Control Room'!$C$16-1)*EXP(-0.5*(($A341-'Control Room'!$A$16-('Control Room'!$B$16-1)/2)/MAX(0.5,'Control Room'!$B$16/4))^2),1)</x:f>
        <x:v>1</x:v>
      </x:c>
      <x:c r="AK341" s="9" t="n">
        <x:f>MOD(AL340*16807,2147483647)</x:f>
        <x:v>1624768144</x:v>
      </x:c>
      <x:c r="AL341" s="9" t="n">
        <x:f>MOD(AK341*16807,2147483647)</x:f>
        <x:v>76140956</x:v>
      </x:c>
      <x:c r="AM341" s="17" t="n">
        <x:f>IF('Control Room'!$B$5="Normal",'Control Room'!$B$7+'Control Room'!$D$7*SQRT(-2*LN(MAX(0.000000000001,AK341/2147483647)))*COS(2*PI()*AL341/2147483647),'Control Room'!$B$8+('Control Room'!$D$8-'Control Room'!$B$8)*AK341/2147483647)</x:f>
        <x:v>1065.560042497961</x:v>
      </x:c>
      <x:c r="AN341" s="17" t="n">
        <x:f>IF('Control Room'!$B$5="Normal",'Control Room'!$B$7,('Control Room'!$B$8+'Control Room'!$D$8)/2)+'Control Room'!$B$9*(AN340-IF('Control Room'!$B$5="Normal",'Control Room'!$B$7,('Control Room'!$B$8+'Control Room'!$D$8)/2))+SQRT(1-'Control Room'!$B$9^2)*(AM341-IF('Control Room'!$B$5="Normal",'Control Room'!$B$7,('Control Room'!$B$8+'Control Room'!$D$8)/2))</x:f>
        <x:v>987.2562011354565</x:v>
      </x:c>
      <x:c r="AO341" s="17" t="n">
        <x:f>IF(AND($A341&gt;='Control Room'!$A$13,$A341&lt;'Control Room'!$A$13+'Control Room'!$B$13,'Process'!BR2=1),1+('Control Room'!$C$13-1)*EXP(-0.5*(($A341-'Control Room'!$A$13-('Control Room'!$B$13-1)/2)/MAX(0.5,'Control Room'!$B$13/4))^2),1)*IF(AND($A341&gt;='Control Room'!$A$14,$A341&lt;'Control Room'!$A$14+'Control Room'!$B$14,'Process'!BR3=1),1+('Control Room'!$C$14-1)*EXP(-0.5*(($A341-'Control Room'!$A$14-('Control Room'!$B$14-1)/2)/MAX(0.5,'Control Room'!$B$14/4))^2),1)*IF(AND($A341&gt;='Control Room'!$A$15,$A341&lt;'Control Room'!$A$15+'Control Room'!$B$15,'Process'!BR4=1),1+('Control Room'!$C$15-1)*EXP(-0.5*(($A341-'Control Room'!$A$15-('Control Room'!$B$15-1)/2)/MAX(0.5,'Control Room'!$B$15/4))^2),1)*IF(AND($A341&gt;='Control Room'!$A$16,$A341&lt;'Control Room'!$A$16+'Control Room'!$B$16,'Process'!BR5=1),1+('Control Room'!$C$16-1)*EXP(-0.5*(($A341-'Control Room'!$A$16-('Control Room'!$B$16-1)/2)/MAX(0.5,'Control Room'!$B$16/4))^2),1)</x:f>
        <x:v>1</x:v>
      </x:c>
      <x:c r="AP341" s="9" t="n">
        <x:f>MOD(AQ340*16807,2147483647)</x:f>
        <x:v>760778560</x:v>
      </x:c>
      <x:c r="AQ341" s="9" t="n">
        <x:f>MOD(AP341*16807,2147483647)</x:f>
        <x:v>287623682</x:v>
      </x:c>
      <x:c r="AR341" s="17" t="n">
        <x:f>IF('Control Room'!$B$5="Normal",'Control Room'!$B$7+'Control Room'!$D$7*SQRT(-2*LN(MAX(0.000000000001,AP341/2147483647)))*COS(2*PI()*AQ341/2147483647),'Control Room'!$B$8+('Control Room'!$D$8-'Control Room'!$B$8)*AP341/2147483647)</x:f>
        <x:v>1086.392359425055</x:v>
      </x:c>
      <x:c r="AS341" s="17" t="n">
        <x:f>IF('Control Room'!$B$5="Normal",'Control Room'!$B$7,('Control Room'!$B$8+'Control Room'!$D$8)/2)+'Control Room'!$B$9*(AS340-IF('Control Room'!$B$5="Normal",'Control Room'!$B$7,('Control Room'!$B$8+'Control Room'!$D$8)/2))+SQRT(1-'Control Room'!$B$9^2)*(AR341-IF('Control Room'!$B$5="Normal",'Control Room'!$B$7,('Control Room'!$B$8+'Control Room'!$D$8)/2))</x:f>
        <x:v>1152.4830085000267</x:v>
      </x:c>
      <x:c r="AT341" s="17" t="n">
        <x:f>IF(AND($A341&gt;='Control Room'!$A$13,$A341&lt;'Control Room'!$A$13+'Control Room'!$B$13,'Process'!BS2=1),1+('Control Room'!$C$13-1)*EXP(-0.5*(($A341-'Control Room'!$A$13-('Control Room'!$B$13-1)/2)/MAX(0.5,'Control Room'!$B$13/4))^2),1)*IF(AND($A341&gt;='Control Room'!$A$14,$A341&lt;'Control Room'!$A$14+'Control Room'!$B$14,'Process'!BS3=1),1+('Control Room'!$C$14-1)*EXP(-0.5*(($A341-'Control Room'!$A$14-('Control Room'!$B$14-1)/2)/MAX(0.5,'Control Room'!$B$14/4))^2),1)*IF(AND($A341&gt;='Control Room'!$A$15,$A341&lt;'Control Room'!$A$15+'Control Room'!$B$15,'Process'!BS4=1),1+('Control Room'!$C$15-1)*EXP(-0.5*(($A341-'Control Room'!$A$15-('Control Room'!$B$15-1)/2)/MAX(0.5,'Control Room'!$B$15/4))^2),1)*IF(AND($A341&gt;='Control Room'!$A$16,$A341&lt;'Control Room'!$A$16+'Control Room'!$B$16,'Process'!BS5=1),1+('Control Room'!$C$16-1)*EXP(-0.5*(($A341-'Control Room'!$A$16-('Control Room'!$B$16-1)/2)/MAX(0.5,'Control Room'!$B$16/4))^2),1)</x:f>
        <x:v>1</x:v>
      </x:c>
      <x:c r="AU341" s="9" t="n">
        <x:f>MOD(AV340*16807,2147483647)</x:f>
        <x:v>2044272623</x:v>
      </x:c>
      <x:c r="AV341" s="9" t="n">
        <x:f>MOD(AU341*16807,2147483647)</x:f>
        <x:v>499106408</x:v>
      </x:c>
      <x:c r="AW341" s="17" t="n">
        <x:f>IF('Control Room'!$B$5="Normal",'Control Room'!$B$7+'Control Room'!$D$7*SQRT(-2*LN(MAX(0.000000000001,AU341/2147483647)))*COS(2*PI()*AV341/2147483647),'Control Room'!$B$8+('Control Room'!$D$8-'Control Room'!$B$8)*AU341/2147483647)</x:f>
        <x:v>1003.1148071667998</x:v>
      </x:c>
      <x:c r="AX341" s="17" t="n">
        <x:f>IF('Control Room'!$B$5="Normal",'Control Room'!$B$7,('Control Room'!$B$8+'Control Room'!$D$8)/2)+'Control Room'!$B$9*(AX340-IF('Control Room'!$B$5="Normal",'Control Room'!$B$7,('Control Room'!$B$8+'Control Room'!$D$8)/2))+SQRT(1-'Control Room'!$B$9^2)*(AW341-IF('Control Room'!$B$5="Normal",'Control Room'!$B$7,('Control Room'!$B$8+'Control Room'!$D$8)/2))</x:f>
        <x:v>980.332095586522</x:v>
      </x:c>
      <x:c r="AY341" s="17" t="n">
        <x:f>IF(AND($A341&gt;='Control Room'!$A$13,$A341&lt;'Control Room'!$A$13+'Control Room'!$B$13,'Process'!BT2=1),1+('Control Room'!$C$13-1)*EXP(-0.5*(($A341-'Control Room'!$A$13-('Control Room'!$B$13-1)/2)/MAX(0.5,'Control Room'!$B$13/4))^2),1)*IF(AND($A341&gt;='Control Room'!$A$14,$A341&lt;'Control Room'!$A$14+'Control Room'!$B$14,'Process'!BT3=1),1+('Control Room'!$C$14-1)*EXP(-0.5*(($A341-'Control Room'!$A$14-('Control Room'!$B$14-1)/2)/MAX(0.5,'Control Room'!$B$14/4))^2),1)*IF(AND($A341&gt;='Control Room'!$A$15,$A341&lt;'Control Room'!$A$15+'Control Room'!$B$15,'Process'!BT4=1),1+('Control Room'!$C$15-1)*EXP(-0.5*(($A341-'Control Room'!$A$15-('Control Room'!$B$15-1)/2)/MAX(0.5,'Control Room'!$B$15/4))^2),1)*IF(AND($A341&gt;='Control Room'!$A$16,$A341&lt;'Control Room'!$A$16+'Control Room'!$B$16,'Process'!BT5=1),1+('Control Room'!$C$16-1)*EXP(-0.5*(($A341-'Control Room'!$A$16-('Control Room'!$B$16-1)/2)/MAX(0.5,'Control Room'!$B$16/4))^2),1)</x:f>
        <x:v>1</x:v>
      </x:c>
      <x:c r="AZ341" s="9" t="n">
        <x:f>MOD(BA340*16807,2147483647)</x:f>
        <x:v>1180283039</x:v>
      </x:c>
      <x:c r="BA341" s="9" t="n">
        <x:f>MOD(AZ341*16807,2147483647)</x:f>
        <x:v>710589134</x:v>
      </x:c>
      <x:c r="BB341" s="17" t="n">
        <x:f>IF('Control Room'!$B$5="Normal",'Control Room'!$B$7+'Control Room'!$D$7*SQRT(-2*LN(MAX(0.000000000001,AZ341/2147483647)))*COS(2*PI()*BA341/2147483647),'Control Room'!$B$8+('Control Room'!$D$8-'Control Room'!$B$8)*AZ341/2147483647)</x:f>
        <x:v>952.0777251358162</x:v>
      </x:c>
      <x:c r="BC341" s="17" t="n">
        <x:f>IF('Control Room'!$B$5="Normal",'Control Room'!$B$7,('Control Room'!$B$8+'Control Room'!$D$8)/2)+'Control Room'!$B$9*(BC340-IF('Control Room'!$B$5="Normal",'Control Room'!$B$7,('Control Room'!$B$8+'Control Room'!$D$8)/2))+SQRT(1-'Control Room'!$B$9^2)*(BB341-IF('Control Room'!$B$5="Normal",'Control Room'!$B$7,('Control Room'!$B$8+'Control Room'!$D$8)/2))</x:f>
        <x:v>1067.804796800474</x:v>
      </x:c>
      <x:c r="BD341" s="17" t="n">
        <x:f>IF(AND($A341&gt;='Control Room'!$A$13,$A341&lt;'Control Room'!$A$13+'Control Room'!$B$13,'Process'!BU2=1),1+('Control Room'!$C$13-1)*EXP(-0.5*(($A341-'Control Room'!$A$13-('Control Room'!$B$13-1)/2)/MAX(0.5,'Control Room'!$B$13/4))^2),1)*IF(AND($A341&gt;='Control Room'!$A$14,$A341&lt;'Control Room'!$A$14+'Control Room'!$B$14,'Process'!BU3=1),1+('Control Room'!$C$14-1)*EXP(-0.5*(($A341-'Control Room'!$A$14-('Control Room'!$B$14-1)/2)/MAX(0.5,'Control Room'!$B$14/4))^2),1)*IF(AND($A341&gt;='Control Room'!$A$15,$A341&lt;'Control Room'!$A$15+'Control Room'!$B$15,'Process'!BU4=1),1+('Control Room'!$C$15-1)*EXP(-0.5*(($A341-'Control Room'!$A$15-('Control Room'!$B$15-1)/2)/MAX(0.5,'Control Room'!$B$15/4))^2),1)*IF(AND($A341&gt;='Control Room'!$A$16,$A341&lt;'Control Room'!$A$16+'Control Room'!$B$16,'Process'!BU5=1),1+('Control Room'!$C$16-1)*EXP(-0.5*(($A341-'Control Room'!$A$16-('Control Room'!$B$16-1)/2)/MAX(0.5,'Control Room'!$B$16/4))^2),1)</x:f>
        <x:v>1</x:v>
      </x:c>
      <x:c r="BE341" s="9" t="n">
        <x:f>MOD(BF340*16807,2147483647)</x:f>
        <x:v>316293455</x:v>
      </x:c>
      <x:c r="BF341" s="9" t="n">
        <x:f>MOD(BE341*16807,2147483647)</x:f>
        <x:v>922071860</x:v>
      </x:c>
      <x:c r="BG341" s="17" t="n">
        <x:f>IF('Control Room'!$B$5="Normal",'Control Room'!$B$7+'Control Room'!$D$7*SQRT(-2*LN(MAX(0.000000000001,BE341/2147483647)))*COS(2*PI()*BF341/2147483647),'Control Room'!$B$8+('Control Room'!$D$8-'Control Room'!$B$8)*BE341/2147483647)</x:f>
        <x:v>840.910419601126</x:v>
      </x:c>
      <x:c r="BH341" s="17" t="n">
        <x:f>IF('Control Room'!$B$5="Normal",'Control Room'!$B$7,('Control Room'!$B$8+'Control Room'!$D$8)/2)+'Control Room'!$B$9*(BH340-IF('Control Room'!$B$5="Normal",'Control Room'!$B$7,('Control Room'!$B$8+'Control Room'!$D$8)/2))+SQRT(1-'Control Room'!$B$9^2)*(BG341-IF('Control Room'!$B$5="Normal",'Control Room'!$B$7,('Control Room'!$B$8+'Control Room'!$D$8)/2))</x:f>
        <x:v>828.0052179877017</x:v>
      </x:c>
      <x:c r="BI341" s="17" t="n">
        <x:f>IF(AND($A341&gt;='Control Room'!$A$13,$A341&lt;'Control Room'!$A$13+'Control Room'!$B$13,'Process'!BV2=1),1+('Control Room'!$C$13-1)*EXP(-0.5*(($A341-'Control Room'!$A$13-('Control Room'!$B$13-1)/2)/MAX(0.5,'Control Room'!$B$13/4))^2),1)*IF(AND($A341&gt;='Control Room'!$A$14,$A341&lt;'Control Room'!$A$14+'Control Room'!$B$14,'Process'!BV3=1),1+('Control Room'!$C$14-1)*EXP(-0.5*(($A341-'Control Room'!$A$14-('Control Room'!$B$14-1)/2)/MAX(0.5,'Control Room'!$B$14/4))^2),1)*IF(AND($A341&gt;='Control Room'!$A$15,$A341&lt;'Control Room'!$A$15+'Control Room'!$B$15,'Process'!BV4=1),1+('Control Room'!$C$15-1)*EXP(-0.5*(($A341-'Control Room'!$A$15-('Control Room'!$B$15-1)/2)/MAX(0.5,'Control Room'!$B$15/4))^2),1)*IF(AND($A341&gt;='Control Room'!$A$16,$A341&lt;'Control Room'!$A$16+'Control Room'!$B$16,'Process'!BV5=1),1+('Control Room'!$C$16-1)*EXP(-0.5*(($A341-'Control Room'!$A$16-('Control Room'!$B$16-1)/2)/MAX(0.5,'Control Room'!$B$16/4))^2),1)</x:f>
        <x:v>1</x:v>
      </x:c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Z341" t="str">
        <x:f>IF('Data'!A341="","",TEXT('Data'!A341,"mm-dd"))</x:f>
      </x:c>
    </x:row>
    <x:row r="342" ht="21" customHeight="1">
      <x:c r="A342" s="15" t="n">
        <x:f>'Control Room'!$B$1+340</x:f>
        <x:v>73331</x:v>
      </x:c>
      <x:c r="B342" s="9" t="n">
        <x:f>MOD(C341*16807,2147483647)</x:f>
        <x:v>1962580495</x:v>
      </x:c>
      <x:c r="C342" s="9" t="n">
        <x:f>MOD(B342*16807,2147483647)</x:f>
        <x:v>1889045192</x:v>
      </x:c>
      <x:c r="D342" s="17" t="n">
        <x:f>IF('Control Room'!$B$5="Normal",'Control Room'!$B$7+'Control Room'!$D$7*SQRT(-2*LN(MAX(0.000000000001,B342/2147483647)))*COS(2*PI()*C342/2147483647),'Control Room'!$B$8+('Control Room'!$D$8-'Control Room'!$B$8)*B342/2147483647)</x:f>
        <x:v>1027.7837208461542</x:v>
      </x:c>
      <x:c r="E342" s="17" t="n">
        <x:f>IF('Control Room'!$B$5="Normal",'Control Room'!$B$7,('Control Room'!$B$8+'Control Room'!$D$8)/2)+'Control Room'!$B$9*(E341-IF('Control Room'!$B$5="Normal",'Control Room'!$B$7,('Control Room'!$B$8+'Control Room'!$D$8)/2))+SQRT(1-'Control Room'!$B$9^2)*(D342-IF('Control Room'!$B$5="Normal",'Control Room'!$B$7,('Control Room'!$B$8+'Control Room'!$D$8)/2))</x:f>
        <x:v>842.8837373424374</x:v>
      </x:c>
      <x:c r="F342" s="17" t="n">
        <x:f>IF(AND($A342&gt;='Control Room'!$A$13,$A342&lt;'Control Room'!$A$13+'Control Room'!$B$13,'Process'!BK2=1),1+('Control Room'!$C$13-1)*EXP(-0.5*(($A342-'Control Room'!$A$13-('Control Room'!$B$13-1)/2)/MAX(0.5,'Control Room'!$B$13/4))^2),1)*IF(AND($A342&gt;='Control Room'!$A$14,$A342&lt;'Control Room'!$A$14+'Control Room'!$B$14,'Process'!BK3=1),1+('Control Room'!$C$14-1)*EXP(-0.5*(($A342-'Control Room'!$A$14-('Control Room'!$B$14-1)/2)/MAX(0.5,'Control Room'!$B$14/4))^2),1)*IF(AND($A342&gt;='Control Room'!$A$15,$A342&lt;'Control Room'!$A$15+'Control Room'!$B$15,'Process'!BK4=1),1+('Control Room'!$C$15-1)*EXP(-0.5*(($A342-'Control Room'!$A$15-('Control Room'!$B$15-1)/2)/MAX(0.5,'Control Room'!$B$15/4))^2),1)*IF(AND($A342&gt;='Control Room'!$A$16,$A342&lt;'Control Room'!$A$16+'Control Room'!$B$16,'Process'!BK5=1),1+('Control Room'!$C$16-1)*EXP(-0.5*(($A342-'Control Room'!$A$16-('Control Room'!$B$16-1)/2)/MAX(0.5,'Control Room'!$B$16/4))^2),1)</x:f>
        <x:v>1</x:v>
      </x:c>
      <x:c r="G342" s="9" t="n">
        <x:f>MOD(H341*16807,2147483647)</x:f>
        <x:v>119836945</x:v>
      </x:c>
      <x:c r="H342" s="9" t="n">
        <x:f>MOD(G342*16807,2147483647)</x:f>
        <x:v>1907357376</x:v>
      </x:c>
      <x:c r="I342" s="17" t="n">
        <x:f>IF('Control Room'!$B$5="Normal",'Control Room'!$B$7+'Control Room'!$D$7*SQRT(-2*LN(MAX(0.000000000001,G342/2147483647)))*COS(2*PI()*H342/2147483647),'Control Room'!$B$8+('Control Room'!$D$8-'Control Room'!$B$8)*G342/2147483647)</x:f>
        <x:v>1165.0170716612972</x:v>
      </x:c>
      <x:c r="J342" s="17" t="n">
        <x:f>IF('Control Room'!$B$5="Normal",'Control Room'!$B$7,('Control Room'!$B$8+'Control Room'!$D$8)/2)+'Control Room'!$B$9*(J341-IF('Control Room'!$B$5="Normal",'Control Room'!$B$7,('Control Room'!$B$8+'Control Room'!$D$8)/2))+SQRT(1-'Control Room'!$B$9^2)*(I342-IF('Control Room'!$B$5="Normal",'Control Room'!$B$7,('Control Room'!$B$8+'Control Room'!$D$8)/2))</x:f>
        <x:v>1086.7539121623226</x:v>
      </x:c>
      <x:c r="K342" s="17" t="n">
        <x:f>IF(AND($A342&gt;='Control Room'!$A$13,$A342&lt;'Control Room'!$A$13+'Control Room'!$B$13,'Process'!BL2=1),1+('Control Room'!$C$13-1)*EXP(-0.5*(($A342-'Control Room'!$A$13-('Control Room'!$B$13-1)/2)/MAX(0.5,'Control Room'!$B$13/4))^2),1)*IF(AND($A342&gt;='Control Room'!$A$14,$A342&lt;'Control Room'!$A$14+'Control Room'!$B$14,'Process'!BL3=1),1+('Control Room'!$C$14-1)*EXP(-0.5*(($A342-'Control Room'!$A$14-('Control Room'!$B$14-1)/2)/MAX(0.5,'Control Room'!$B$14/4))^2),1)*IF(AND($A342&gt;='Control Room'!$A$15,$A342&lt;'Control Room'!$A$15+'Control Room'!$B$15,'Process'!BL4=1),1+('Control Room'!$C$15-1)*EXP(-0.5*(($A342-'Control Room'!$A$15-('Control Room'!$B$15-1)/2)/MAX(0.5,'Control Room'!$B$15/4))^2),1)*IF(AND($A342&gt;='Control Room'!$A$16,$A342&lt;'Control Room'!$A$16+'Control Room'!$B$16,'Process'!BL5=1),1+('Control Room'!$C$16-1)*EXP(-0.5*(($A342-'Control Room'!$A$16-('Control Room'!$B$16-1)/2)/MAX(0.5,'Control Room'!$B$16/4))^2),1)</x:f>
        <x:v>1</x:v>
      </x:c>
      <x:c r="L342" s="9" t="n">
        <x:f>MOD(M341*16807,2147483647)</x:f>
        <x:v>424577042</x:v>
      </x:c>
      <x:c r="M342" s="9" t="n">
        <x:f>MOD(L342*16807,2147483647)</x:f>
        <x:v>1925669560</x:v>
      </x:c>
      <x:c r="N342" s="17" t="n">
        <x:f>IF('Control Room'!$B$5="Normal",'Control Room'!$B$7+'Control Room'!$D$7*SQRT(-2*LN(MAX(0.000000000001,L342/2147483647)))*COS(2*PI()*M342/2147483647),'Control Room'!$B$8+('Control Room'!$D$8-'Control Room'!$B$8)*L342/2147483647)</x:f>
        <x:v>1129.1025443391202</x:v>
      </x:c>
      <x:c r="O342" s="17" t="n">
        <x:f>IF('Control Room'!$B$5="Normal",'Control Room'!$B$7,('Control Room'!$B$8+'Control Room'!$D$8)/2)+'Control Room'!$B$9*(O341-IF('Control Room'!$B$5="Normal",'Control Room'!$B$7,('Control Room'!$B$8+'Control Room'!$D$8)/2))+SQRT(1-'Control Room'!$B$9^2)*(N342-IF('Control Room'!$B$5="Normal",'Control Room'!$B$7,('Control Room'!$B$8+'Control Room'!$D$8)/2))</x:f>
        <x:v>1072.564510635881</x:v>
      </x:c>
      <x:c r="P342" s="17" t="n">
        <x:f>IF(AND($A342&gt;='Control Room'!$A$13,$A342&lt;'Control Room'!$A$13+'Control Room'!$B$13,'Process'!BM2=1),1+('Control Room'!$C$13-1)*EXP(-0.5*(($A342-'Control Room'!$A$13-('Control Room'!$B$13-1)/2)/MAX(0.5,'Control Room'!$B$13/4))^2),1)*IF(AND($A342&gt;='Control Room'!$A$14,$A342&lt;'Control Room'!$A$14+'Control Room'!$B$14,'Process'!BM3=1),1+('Control Room'!$C$14-1)*EXP(-0.5*(($A342-'Control Room'!$A$14-('Control Room'!$B$14-1)/2)/MAX(0.5,'Control Room'!$B$14/4))^2),1)*IF(AND($A342&gt;='Control Room'!$A$15,$A342&lt;'Control Room'!$A$15+'Control Room'!$B$15,'Process'!BM4=1),1+('Control Room'!$C$15-1)*EXP(-0.5*(($A342-'Control Room'!$A$15-('Control Room'!$B$15-1)/2)/MAX(0.5,'Control Room'!$B$15/4))^2),1)*IF(AND($A342&gt;='Control Room'!$A$16,$A342&lt;'Control Room'!$A$16+'Control Room'!$B$16,'Process'!BM5=1),1+('Control Room'!$C$16-1)*EXP(-0.5*(($A342-'Control Room'!$A$16-('Control Room'!$B$16-1)/2)/MAX(0.5,'Control Room'!$B$16/4))^2),1)</x:f>
        <x:v>1</x:v>
      </x:c>
      <x:c r="Q342" s="9" t="n">
        <x:f>MOD(R341*16807,2147483647)</x:f>
        <x:v>729317139</x:v>
      </x:c>
      <x:c r="R342" s="9" t="n">
        <x:f>MOD(Q342*16807,2147483647)</x:f>
        <x:v>1943981744</x:v>
      </x:c>
      <x:c r="S342" s="17" t="n">
        <x:f>IF('Control Room'!$B$5="Normal",'Control Room'!$B$7+'Control Room'!$D$7*SQRT(-2*LN(MAX(0.000000000001,Q342/2147483647)))*COS(2*PI()*R342/2147483647),'Control Room'!$B$8+('Control Room'!$D$8-'Control Room'!$B$8)*Q342/2147483647)</x:f>
        <x:v>1109.5077105704695</x:v>
      </x:c>
      <x:c r="T342" s="17" t="n">
        <x:f>IF('Control Room'!$B$5="Normal",'Control Room'!$B$7,('Control Room'!$B$8+'Control Room'!$D$8)/2)+'Control Room'!$B$9*(T341-IF('Control Room'!$B$5="Normal",'Control Room'!$B$7,('Control Room'!$B$8+'Control Room'!$D$8)/2))+SQRT(1-'Control Room'!$B$9^2)*(S342-IF('Control Room'!$B$5="Normal",'Control Room'!$B$7,('Control Room'!$B$8+'Control Room'!$D$8)/2))</x:f>
        <x:v>1105.4160726315272</x:v>
      </x:c>
      <x:c r="U342" s="17" t="n">
        <x:f>IF(AND($A342&gt;='Control Room'!$A$13,$A342&lt;'Control Room'!$A$13+'Control Room'!$B$13,'Process'!BN2=1),1+('Control Room'!$C$13-1)*EXP(-0.5*(($A342-'Control Room'!$A$13-('Control Room'!$B$13-1)/2)/MAX(0.5,'Control Room'!$B$13/4))^2),1)*IF(AND($A342&gt;='Control Room'!$A$14,$A342&lt;'Control Room'!$A$14+'Control Room'!$B$14,'Process'!BN3=1),1+('Control Room'!$C$14-1)*EXP(-0.5*(($A342-'Control Room'!$A$14-('Control Room'!$B$14-1)/2)/MAX(0.5,'Control Room'!$B$14/4))^2),1)*IF(AND($A342&gt;='Control Room'!$A$15,$A342&lt;'Control Room'!$A$15+'Control Room'!$B$15,'Process'!BN4=1),1+('Control Room'!$C$15-1)*EXP(-0.5*(($A342-'Control Room'!$A$15-('Control Room'!$B$15-1)/2)/MAX(0.5,'Control Room'!$B$15/4))^2),1)*IF(AND($A342&gt;='Control Room'!$A$16,$A342&lt;'Control Room'!$A$16+'Control Room'!$B$16,'Process'!BN5=1),1+('Control Room'!$C$16-1)*EXP(-0.5*(($A342-'Control Room'!$A$16-('Control Room'!$B$16-1)/2)/MAX(0.5,'Control Room'!$B$16/4))^2),1)</x:f>
        <x:v>1</x:v>
      </x:c>
      <x:c r="V342" s="9" t="n">
        <x:f>MOD(W341*16807,2147483647)</x:f>
        <x:v>1034057236</x:v>
      </x:c>
      <x:c r="W342" s="9" t="n">
        <x:f>MOD(V342*16807,2147483647)</x:f>
        <x:v>1962293928</x:v>
      </x:c>
      <x:c r="X342" s="17" t="n">
        <x:f>IF('Control Room'!$B$5="Normal",'Control Room'!$B$7+'Control Room'!$D$7*SQRT(-2*LN(MAX(0.000000000001,V342/2147483647)))*COS(2*PI()*W342/2147483647),'Control Room'!$B$8+('Control Room'!$D$8-'Control Room'!$B$8)*V342/2147483647)</x:f>
        <x:v>1093.2223213191596</x:v>
      </x:c>
      <x:c r="Y342" s="17" t="n">
        <x:f>IF('Control Room'!$B$5="Normal",'Control Room'!$B$7,('Control Room'!$B$8+'Control Room'!$D$8)/2)+'Control Room'!$B$9*(Y341-IF('Control Room'!$B$5="Normal",'Control Room'!$B$7,('Control Room'!$B$8+'Control Room'!$D$8)/2))+SQRT(1-'Control Room'!$B$9^2)*(X342-IF('Control Room'!$B$5="Normal",'Control Room'!$B$7,('Control Room'!$B$8+'Control Room'!$D$8)/2))</x:f>
        <x:v>1044.3599937140816</x:v>
      </x:c>
      <x:c r="Z342" s="17" t="n">
        <x:f>IF(AND($A342&gt;='Control Room'!$A$13,$A342&lt;'Control Room'!$A$13+'Control Room'!$B$13,'Process'!BO2=1),1+('Control Room'!$C$13-1)*EXP(-0.5*(($A342-'Control Room'!$A$13-('Control Room'!$B$13-1)/2)/MAX(0.5,'Control Room'!$B$13/4))^2),1)*IF(AND($A342&gt;='Control Room'!$A$14,$A342&lt;'Control Room'!$A$14+'Control Room'!$B$14,'Process'!BO3=1),1+('Control Room'!$C$14-1)*EXP(-0.5*(($A342-'Control Room'!$A$14-('Control Room'!$B$14-1)/2)/MAX(0.5,'Control Room'!$B$14/4))^2),1)*IF(AND($A342&gt;='Control Room'!$A$15,$A342&lt;'Control Room'!$A$15+'Control Room'!$B$15,'Process'!BO4=1),1+('Control Room'!$C$15-1)*EXP(-0.5*(($A342-'Control Room'!$A$15-('Control Room'!$B$15-1)/2)/MAX(0.5,'Control Room'!$B$15/4))^2),1)*IF(AND($A342&gt;='Control Room'!$A$16,$A342&lt;'Control Room'!$A$16+'Control Room'!$B$16,'Process'!BO5=1),1+('Control Room'!$C$16-1)*EXP(-0.5*(($A342-'Control Room'!$A$16-('Control Room'!$B$16-1)/2)/MAX(0.5,'Control Room'!$B$16/4))^2),1)</x:f>
        <x:v>1</x:v>
      </x:c>
      <x:c r="AA342" s="9" t="n">
        <x:f>MOD(AB341*16807,2147483647)</x:f>
        <x:v>1338797333</x:v>
      </x:c>
      <x:c r="AB342" s="9" t="n">
        <x:f>MOD(AA342*16807,2147483647)</x:f>
        <x:v>1980606112</x:v>
      </x:c>
      <x:c r="AC342" s="17" t="n">
        <x:f>IF('Control Room'!$B$5="Normal",'Control Room'!$B$7+'Control Room'!$D$7*SQRT(-2*LN(MAX(0.000000000001,AA342/2147483647)))*COS(2*PI()*AB342/2147483647),'Control Room'!$B$8+('Control Room'!$D$8-'Control Room'!$B$8)*AA342/2147483647)</x:f>
        <x:v>1077.2690288946103</x:v>
      </x:c>
      <x:c r="AD342" s="17" t="n">
        <x:f>IF('Control Room'!$B$5="Normal",'Control Room'!$B$7,('Control Room'!$B$8+'Control Room'!$D$8)/2)+'Control Room'!$B$9*(AD341-IF('Control Room'!$B$5="Normal",'Control Room'!$B$7,('Control Room'!$B$8+'Control Room'!$D$8)/2))+SQRT(1-'Control Room'!$B$9^2)*(AC342-IF('Control Room'!$B$5="Normal",'Control Room'!$B$7,('Control Room'!$B$8+'Control Room'!$D$8)/2))</x:f>
        <x:v>1038.773104465983</x:v>
      </x:c>
      <x:c r="AE342" s="17" t="n">
        <x:f>IF(AND($A342&gt;='Control Room'!$A$13,$A342&lt;'Control Room'!$A$13+'Control Room'!$B$13,'Process'!BP2=1),1+('Control Room'!$C$13-1)*EXP(-0.5*(($A342-'Control Room'!$A$13-('Control Room'!$B$13-1)/2)/MAX(0.5,'Control Room'!$B$13/4))^2),1)*IF(AND($A342&gt;='Control Room'!$A$14,$A342&lt;'Control Room'!$A$14+'Control Room'!$B$14,'Process'!BP3=1),1+('Control Room'!$C$14-1)*EXP(-0.5*(($A342-'Control Room'!$A$14-('Control Room'!$B$14-1)/2)/MAX(0.5,'Control Room'!$B$14/4))^2),1)*IF(AND($A342&gt;='Control Room'!$A$15,$A342&lt;'Control Room'!$A$15+'Control Room'!$B$15,'Process'!BP4=1),1+('Control Room'!$C$15-1)*EXP(-0.5*(($A342-'Control Room'!$A$15-('Control Room'!$B$15-1)/2)/MAX(0.5,'Control Room'!$B$15/4))^2),1)*IF(AND($A342&gt;='Control Room'!$A$16,$A342&lt;'Control Room'!$A$16+'Control Room'!$B$16,'Process'!BP5=1),1+('Control Room'!$C$16-1)*EXP(-0.5*(($A342-'Control Room'!$A$16-('Control Room'!$B$16-1)/2)/MAX(0.5,'Control Room'!$B$16/4))^2),1)</x:f>
        <x:v>1</x:v>
      </x:c>
      <x:c r="AF342" s="9" t="n">
        <x:f>MOD(AG341*16807,2147483647)</x:f>
        <x:v>1643537430</x:v>
      </x:c>
      <x:c r="AG342" s="9" t="n">
        <x:f>MOD(AF342*16807,2147483647)</x:f>
        <x:v>1998918296</x:v>
      </x:c>
      <x:c r="AH342" s="17" t="n">
        <x:f>IF('Control Room'!$B$5="Normal",'Control Room'!$B$7+'Control Room'!$D$7*SQRT(-2*LN(MAX(0.000000000001,AF342/2147483647)))*COS(2*PI()*AG342/2147483647),'Control Room'!$B$8+('Control Room'!$D$8-'Control Room'!$B$8)*AF342/2147483647)</x:f>
        <x:v>1059.7015343321418</x:v>
      </x:c>
      <x:c r="AI342" s="17" t="n">
        <x:f>IF('Control Room'!$B$5="Normal",'Control Room'!$B$7,('Control Room'!$B$8+'Control Room'!$D$8)/2)+'Control Room'!$B$9*(AI341-IF('Control Room'!$B$5="Normal",'Control Room'!$B$7,('Control Room'!$B$8+'Control Room'!$D$8)/2))+SQRT(1-'Control Room'!$B$9^2)*(AH342-IF('Control Room'!$B$5="Normal",'Control Room'!$B$7,('Control Room'!$B$8+'Control Room'!$D$8)/2))</x:f>
        <x:v>1077.3783150365907</x:v>
      </x:c>
      <x:c r="AJ342" s="17" t="n">
        <x:f>IF(AND($A342&gt;='Control Room'!$A$13,$A342&lt;'Control Room'!$A$13+'Control Room'!$B$13,'Process'!BQ2=1),1+('Control Room'!$C$13-1)*EXP(-0.5*(($A342-'Control Room'!$A$13-('Control Room'!$B$13-1)/2)/MAX(0.5,'Control Room'!$B$13/4))^2),1)*IF(AND($A342&gt;='Control Room'!$A$14,$A342&lt;'Control Room'!$A$14+'Control Room'!$B$14,'Process'!BQ3=1),1+('Control Room'!$C$14-1)*EXP(-0.5*(($A342-'Control Room'!$A$14-('Control Room'!$B$14-1)/2)/MAX(0.5,'Control Room'!$B$14/4))^2),1)*IF(AND($A342&gt;='Control Room'!$A$15,$A342&lt;'Control Room'!$A$15+'Control Room'!$B$15,'Process'!BQ4=1),1+('Control Room'!$C$15-1)*EXP(-0.5*(($A342-'Control Room'!$A$15-('Control Room'!$B$15-1)/2)/MAX(0.5,'Control Room'!$B$15/4))^2),1)*IF(AND($A342&gt;='Control Room'!$A$16,$A342&lt;'Control Room'!$A$16+'Control Room'!$B$16,'Process'!BQ5=1),1+('Control Room'!$C$16-1)*EXP(-0.5*(($A342-'Control Room'!$A$16-('Control Room'!$B$16-1)/2)/MAX(0.5,'Control Room'!$B$16/4))^2),1)</x:f>
        <x:v>1</x:v>
      </x:c>
      <x:c r="AK342" s="9" t="n">
        <x:f>MOD(AL341*16807,2147483647)</x:f>
        <x:v>1948277527</x:v>
      </x:c>
      <x:c r="AL342" s="9" t="n">
        <x:f>MOD(AK342*16807,2147483647)</x:f>
        <x:v>2017230480</x:v>
      </x:c>
      <x:c r="AM342" s="17" t="n">
        <x:f>IF('Control Room'!$B$5="Normal",'Control Room'!$B$7+'Control Room'!$D$7*SQRT(-2*LN(MAX(0.000000000001,AK342/2147483647)))*COS(2*PI()*AL342/2147483647),'Control Room'!$B$8+('Control Room'!$D$8-'Control Room'!$B$8)*AK342/2147483647)</x:f>
        <x:v>1036.8634371358667</x:v>
      </x:c>
      <x:c r="AN342" s="17" t="n">
        <x:f>IF('Control Room'!$B$5="Normal",'Control Room'!$B$7,('Control Room'!$B$8+'Control Room'!$D$8)/2)+'Control Room'!$B$9*(AN341-IF('Control Room'!$B$5="Normal",'Control Room'!$B$7,('Control Room'!$B$8+'Control Room'!$D$8)/2))+SQRT(1-'Control Room'!$B$9^2)*(AM342-IF('Control Room'!$B$5="Normal",'Control Room'!$B$7,('Control Room'!$B$8+'Control Room'!$D$8)/2))</x:f>
        <x:v>1013.1282206567236</x:v>
      </x:c>
      <x:c r="AO342" s="17" t="n">
        <x:f>IF(AND($A342&gt;='Control Room'!$A$13,$A342&lt;'Control Room'!$A$13+'Control Room'!$B$13,'Process'!BR2=1),1+('Control Room'!$C$13-1)*EXP(-0.5*(($A342-'Control Room'!$A$13-('Control Room'!$B$13-1)/2)/MAX(0.5,'Control Room'!$B$13/4))^2),1)*IF(AND($A342&gt;='Control Room'!$A$14,$A342&lt;'Control Room'!$A$14+'Control Room'!$B$14,'Process'!BR3=1),1+('Control Room'!$C$14-1)*EXP(-0.5*(($A342-'Control Room'!$A$14-('Control Room'!$B$14-1)/2)/MAX(0.5,'Control Room'!$B$14/4))^2),1)*IF(AND($A342&gt;='Control Room'!$A$15,$A342&lt;'Control Room'!$A$15+'Control Room'!$B$15,'Process'!BR4=1),1+('Control Room'!$C$15-1)*EXP(-0.5*(($A342-'Control Room'!$A$15-('Control Room'!$B$15-1)/2)/MAX(0.5,'Control Room'!$B$15/4))^2),1)*IF(AND($A342&gt;='Control Room'!$A$16,$A342&lt;'Control Room'!$A$16+'Control Room'!$B$16,'Process'!BR5=1),1+('Control Room'!$C$16-1)*EXP(-0.5*(($A342-'Control Room'!$A$16-('Control Room'!$B$16-1)/2)/MAX(0.5,'Control Room'!$B$16/4))^2),1)</x:f>
        <x:v>1</x:v>
      </x:c>
      <x:c r="AP342" s="9" t="n">
        <x:f>MOD(AQ341*16807,2147483647)</x:f>
        <x:v>105533977</x:v>
      </x:c>
      <x:c r="AQ342" s="9" t="n">
        <x:f>MOD(AP342*16807,2147483647)</x:f>
        <x:v>2035542664</x:v>
      </x:c>
      <x:c r="AR342" s="17" t="n">
        <x:f>IF('Control Room'!$B$5="Normal",'Control Room'!$B$7+'Control Room'!$D$7*SQRT(-2*LN(MAX(0.000000000001,AP342/2147483647)))*COS(2*PI()*AQ342/2147483647),'Control Room'!$B$8+('Control Room'!$D$8-'Control Room'!$B$8)*AP342/2147483647)</x:f>
        <x:v>1209.1877769410835</x:v>
      </x:c>
      <x:c r="AS342" s="17" t="n">
        <x:f>IF('Control Room'!$B$5="Normal",'Control Room'!$B$7,('Control Room'!$B$8+'Control Room'!$D$8)/2)+'Control Room'!$B$9*(AS341-IF('Control Room'!$B$5="Normal",'Control Room'!$B$7,('Control Room'!$B$8+'Control Room'!$D$8)/2))+SQRT(1-'Control Room'!$B$9^2)*(AR342-IF('Control Room'!$B$5="Normal",'Control Room'!$B$7,('Control Room'!$B$8+'Control Room'!$D$8)/2))</x:f>
        <x:v>1249.8421719952057</x:v>
      </x:c>
      <x:c r="AT342" s="17" t="n">
        <x:f>IF(AND($A342&gt;='Control Room'!$A$13,$A342&lt;'Control Room'!$A$13+'Control Room'!$B$13,'Process'!BS2=1),1+('Control Room'!$C$13-1)*EXP(-0.5*(($A342-'Control Room'!$A$13-('Control Room'!$B$13-1)/2)/MAX(0.5,'Control Room'!$B$13/4))^2),1)*IF(AND($A342&gt;='Control Room'!$A$14,$A342&lt;'Control Room'!$A$14+'Control Room'!$B$14,'Process'!BS3=1),1+('Control Room'!$C$14-1)*EXP(-0.5*(($A342-'Control Room'!$A$14-('Control Room'!$B$14-1)/2)/MAX(0.5,'Control Room'!$B$14/4))^2),1)*IF(AND($A342&gt;='Control Room'!$A$15,$A342&lt;'Control Room'!$A$15+'Control Room'!$B$15,'Process'!BS4=1),1+('Control Room'!$C$15-1)*EXP(-0.5*(($A342-'Control Room'!$A$15-('Control Room'!$B$15-1)/2)/MAX(0.5,'Control Room'!$B$15/4))^2),1)*IF(AND($A342&gt;='Control Room'!$A$16,$A342&lt;'Control Room'!$A$16+'Control Room'!$B$16,'Process'!BS5=1),1+('Control Room'!$C$16-1)*EXP(-0.5*(($A342-'Control Room'!$A$16-('Control Room'!$B$16-1)/2)/MAX(0.5,'Control Room'!$B$16/4))^2),1)</x:f>
        <x:v>1</x:v>
      </x:c>
      <x:c r="AU342" s="9" t="n">
        <x:f>MOD(AV341*16807,2147483647)</x:f>
        <x:v>410274074</x:v>
      </x:c>
      <x:c r="AV342" s="9" t="n">
        <x:f>MOD(AU342*16807,2147483647)</x:f>
        <x:v>2053854848</x:v>
      </x:c>
      <x:c r="AW342" s="17" t="n">
        <x:f>IF('Control Room'!$B$5="Normal",'Control Room'!$B$7+'Control Room'!$D$7*SQRT(-2*LN(MAX(0.000000000001,AU342/2147483647)))*COS(2*PI()*AV342/2147483647),'Control Room'!$B$8+('Control Room'!$D$8-'Control Room'!$B$8)*AU342/2147483647)</x:f>
        <x:v>1157.6458493249474</x:v>
      </x:c>
      <x:c r="AX342" s="17" t="n">
        <x:f>IF('Control Room'!$B$5="Normal",'Control Room'!$B$7,('Control Room'!$B$8+'Control Room'!$D$8)/2)+'Control Room'!$B$9*(AX341-IF('Control Room'!$B$5="Normal",'Control Room'!$B$7,('Control Room'!$B$8+'Control Room'!$D$8)/2))+SQRT(1-'Control Room'!$B$9^2)*(AW342-IF('Control Room'!$B$5="Normal",'Control Room'!$B$7,('Control Room'!$B$8+'Control Room'!$D$8)/2))</x:f>
        <x:v>1083.3105775142742</x:v>
      </x:c>
      <x:c r="AY342" s="17" t="n">
        <x:f>IF(AND($A342&gt;='Control Room'!$A$13,$A342&lt;'Control Room'!$A$13+'Control Room'!$B$13,'Process'!BT2=1),1+('Control Room'!$C$13-1)*EXP(-0.5*(($A342-'Control Room'!$A$13-('Control Room'!$B$13-1)/2)/MAX(0.5,'Control Room'!$B$13/4))^2),1)*IF(AND($A342&gt;='Control Room'!$A$14,$A342&lt;'Control Room'!$A$14+'Control Room'!$B$14,'Process'!BT3=1),1+('Control Room'!$C$14-1)*EXP(-0.5*(($A342-'Control Room'!$A$14-('Control Room'!$B$14-1)/2)/MAX(0.5,'Control Room'!$B$14/4))^2),1)*IF(AND($A342&gt;='Control Room'!$A$15,$A342&lt;'Control Room'!$A$15+'Control Room'!$B$15,'Process'!BT4=1),1+('Control Room'!$C$15-1)*EXP(-0.5*(($A342-'Control Room'!$A$15-('Control Room'!$B$15-1)/2)/MAX(0.5,'Control Room'!$B$15/4))^2),1)*IF(AND($A342&gt;='Control Room'!$A$16,$A342&lt;'Control Room'!$A$16+'Control Room'!$B$16,'Process'!BT5=1),1+('Control Room'!$C$16-1)*EXP(-0.5*(($A342-'Control Room'!$A$16-('Control Room'!$B$16-1)/2)/MAX(0.5,'Control Room'!$B$16/4))^2),1)</x:f>
        <x:v>1</x:v>
      </x:c>
      <x:c r="AZ342" s="9" t="n">
        <x:f>MOD(BA341*16807,2147483647)</x:f>
        <x:v>715014171</x:v>
      </x:c>
      <x:c r="BA342" s="9" t="n">
        <x:f>MOD(AZ342*16807,2147483647)</x:f>
        <x:v>2072167032</x:v>
      </x:c>
      <x:c r="BB342" s="17" t="n">
        <x:f>IF('Control Room'!$B$5="Normal",'Control Room'!$B$7+'Control Room'!$D$7*SQRT(-2*LN(MAX(0.000000000001,AZ342/2147483647)))*COS(2*PI()*BA342/2147483647),'Control Room'!$B$8+('Control Room'!$D$8-'Control Room'!$B$8)*AZ342/2147483647)</x:f>
        <x:v>1130.2486479095733</x:v>
      </x:c>
      <x:c r="BC342" s="17" t="n">
        <x:f>IF('Control Room'!$B$5="Normal",'Control Room'!$B$7,('Control Room'!$B$8+'Control Room'!$D$8)/2)+'Control Room'!$B$9*(BC341-IF('Control Room'!$B$5="Normal",'Control Room'!$B$7,('Control Room'!$B$8+'Control Room'!$D$8)/2))+SQRT(1-'Control Room'!$B$9^2)*(BB342-IF('Control Room'!$B$5="Normal",'Control Room'!$B$7,('Control Room'!$B$8+'Control Room'!$D$8)/2))</x:f>
        <x:v>1134.3946770775938</x:v>
      </x:c>
      <x:c r="BD342" s="17" t="n">
        <x:f>IF(AND($A342&gt;='Control Room'!$A$13,$A342&lt;'Control Room'!$A$13+'Control Room'!$B$13,'Process'!BU2=1),1+('Control Room'!$C$13-1)*EXP(-0.5*(($A342-'Control Room'!$A$13-('Control Room'!$B$13-1)/2)/MAX(0.5,'Control Room'!$B$13/4))^2),1)*IF(AND($A342&gt;='Control Room'!$A$14,$A342&lt;'Control Room'!$A$14+'Control Room'!$B$14,'Process'!BU3=1),1+('Control Room'!$C$14-1)*EXP(-0.5*(($A342-'Control Room'!$A$14-('Control Room'!$B$14-1)/2)/MAX(0.5,'Control Room'!$B$14/4))^2),1)*IF(AND($A342&gt;='Control Room'!$A$15,$A342&lt;'Control Room'!$A$15+'Control Room'!$B$15,'Process'!BU4=1),1+('Control Room'!$C$15-1)*EXP(-0.5*(($A342-'Control Room'!$A$15-('Control Room'!$B$15-1)/2)/MAX(0.5,'Control Room'!$B$15/4))^2),1)*IF(AND($A342&gt;='Control Room'!$A$16,$A342&lt;'Control Room'!$A$16+'Control Room'!$B$16,'Process'!BU5=1),1+('Control Room'!$C$16-1)*EXP(-0.5*(($A342-'Control Room'!$A$16-('Control Room'!$B$16-1)/2)/MAX(0.5,'Control Room'!$B$16/4))^2),1)</x:f>
        <x:v>1</x:v>
      </x:c>
      <x:c r="BE342" s="9" t="n">
        <x:f>MOD(BF341*16807,2147483647)</x:f>
        <x:v>1019754268</x:v>
      </x:c>
      <x:c r="BF342" s="9" t="n">
        <x:f>MOD(BE342*16807,2147483647)</x:f>
        <x:v>2090479216</x:v>
      </x:c>
      <x:c r="BG342" s="17" t="n">
        <x:f>IF('Control Room'!$B$5="Normal",'Control Room'!$B$7+'Control Room'!$D$7*SQRT(-2*LN(MAX(0.000000000001,BE342/2147483647)))*COS(2*PI()*BF342/2147483647),'Control Room'!$B$8+('Control Room'!$D$8-'Control Room'!$B$8)*BE342/2147483647)</x:f>
        <x:v>1108.315277214233</x:v>
      </x:c>
      <x:c r="BH342" s="17" t="n">
        <x:f>IF('Control Room'!$B$5="Normal",'Control Room'!$B$7,('Control Room'!$B$8+'Control Room'!$D$8)/2)+'Control Room'!$B$9*(BH341-IF('Control Room'!$B$5="Normal",'Control Room'!$B$7,('Control Room'!$B$8+'Control Room'!$D$8)/2))+SQRT(1-'Control Room'!$B$9^2)*(BG342-IF('Control Room'!$B$5="Normal",'Control Room'!$B$7,('Control Room'!$B$8+'Control Room'!$D$8)/2))</x:f>
        <x:v>933.6255515520095</x:v>
      </x:c>
      <x:c r="BI342" s="17" t="n">
        <x:f>IF(AND($A342&gt;='Control Room'!$A$13,$A342&lt;'Control Room'!$A$13+'Control Room'!$B$13,'Process'!BV2=1),1+('Control Room'!$C$13-1)*EXP(-0.5*(($A342-'Control Room'!$A$13-('Control Room'!$B$13-1)/2)/MAX(0.5,'Control Room'!$B$13/4))^2),1)*IF(AND($A342&gt;='Control Room'!$A$14,$A342&lt;'Control Room'!$A$14+'Control Room'!$B$14,'Process'!BV3=1),1+('Control Room'!$C$14-1)*EXP(-0.5*(($A342-'Control Room'!$A$14-('Control Room'!$B$14-1)/2)/MAX(0.5,'Control Room'!$B$14/4))^2),1)*IF(AND($A342&gt;='Control Room'!$A$15,$A342&lt;'Control Room'!$A$15+'Control Room'!$B$15,'Process'!BV4=1),1+('Control Room'!$C$15-1)*EXP(-0.5*(($A342-'Control Room'!$A$15-('Control Room'!$B$15-1)/2)/MAX(0.5,'Control Room'!$B$15/4))^2),1)*IF(AND($A342&gt;='Control Room'!$A$16,$A342&lt;'Control Room'!$A$16+'Control Room'!$B$16,'Process'!BV5=1),1+('Control Room'!$C$16-1)*EXP(-0.5*(($A342-'Control Room'!$A$16-('Control Room'!$B$16-1)/2)/MAX(0.5,'Control Room'!$B$16/4))^2),1)</x:f>
        <x:v>1</x:v>
      </x:c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Z342" t="str">
        <x:f>IF('Data'!A342="","",TEXT('Data'!A342,"mm-dd"))</x:f>
      </x:c>
    </x:row>
    <x:row r="343" ht="21" customHeight="1">
      <x:c r="A343" s="15" t="n">
        <x:f>'Control Room'!$B$1+341</x:f>
        <x:v>73332</x:v>
      </x:c>
      <x:c r="B343" s="9" t="n">
        <x:f>MOD(C342*16807,2147483647)</x:f>
        <x:v>784304696</x:v>
      </x:c>
      <x:c r="C343" s="9" t="n">
        <x:f>MOD(B343*16807,2147483647)</x:f>
        <x:v>554400386</x:v>
      </x:c>
      <x:c r="D343" s="17" t="n">
        <x:f>IF('Control Room'!$B$5="Normal",'Control Room'!$B$7+'Control Room'!$D$7*SQRT(-2*LN(MAX(0.000000000001,B343/2147483647)))*COS(2*PI()*C343/2147483647),'Control Room'!$B$8+('Control Room'!$D$8-'Control Room'!$B$8)*B343/2147483647)</x:f>
        <x:v>993.4512926916109</x:v>
      </x:c>
      <x:c r="E343" s="17" t="n">
        <x:f>IF('Control Room'!$B$5="Normal",'Control Room'!$B$7,('Control Room'!$B$8+'Control Room'!$D$8)/2)+'Control Room'!$B$9*(E342-IF('Control Room'!$B$5="Normal",'Control Room'!$B$7,('Control Room'!$B$8+'Control Room'!$D$8)/2))+SQRT(1-'Control Room'!$B$9^2)*(D343-IF('Control Room'!$B$5="Normal",'Control Room'!$B$7,('Control Room'!$B$8+'Control Room'!$D$8)/2))</x:f>
        <x:v>873.3512682510726</x:v>
      </x:c>
      <x:c r="F343" s="17" t="n">
        <x:f>IF(AND($A343&gt;='Control Room'!$A$13,$A343&lt;'Control Room'!$A$13+'Control Room'!$B$13,'Process'!BK2=1),1+('Control Room'!$C$13-1)*EXP(-0.5*(($A343-'Control Room'!$A$13-('Control Room'!$B$13-1)/2)/MAX(0.5,'Control Room'!$B$13/4))^2),1)*IF(AND($A343&gt;='Control Room'!$A$14,$A343&lt;'Control Room'!$A$14+'Control Room'!$B$14,'Process'!BK3=1),1+('Control Room'!$C$14-1)*EXP(-0.5*(($A343-'Control Room'!$A$14-('Control Room'!$B$14-1)/2)/MAX(0.5,'Control Room'!$B$14/4))^2),1)*IF(AND($A343&gt;='Control Room'!$A$15,$A343&lt;'Control Room'!$A$15+'Control Room'!$B$15,'Process'!BK4=1),1+('Control Room'!$C$15-1)*EXP(-0.5*(($A343-'Control Room'!$A$15-('Control Room'!$B$15-1)/2)/MAX(0.5,'Control Room'!$B$15/4))^2),1)*IF(AND($A343&gt;='Control Room'!$A$16,$A343&lt;'Control Room'!$A$16+'Control Room'!$B$16,'Process'!BK5=1),1+('Control Room'!$C$16-1)*EXP(-0.5*(($A343-'Control Room'!$A$16-('Control Room'!$B$16-1)/2)/MAX(0.5,'Control Room'!$B$16/4))^2),1)</x:f>
        <x:v>1</x:v>
      </x:c>
      <x:c r="G343" s="9" t="n">
        <x:f>MOD(H342*16807,2147483647)</x:f>
        <x:v>1467019663</x:v>
      </x:c>
      <x:c r="H343" s="9" t="n">
        <x:f>MOD(G343*16807,2147483647)</x:f>
        <x:v>939724834</x:v>
      </x:c>
      <x:c r="I343" s="17" t="n">
        <x:f>IF('Control Room'!$B$5="Normal",'Control Room'!$B$7+'Control Room'!$D$7*SQRT(-2*LN(MAX(0.000000000001,G343/2147483647)))*COS(2*PI()*H343/2147483647),'Control Room'!$B$8+('Control Room'!$D$8-'Control Room'!$B$8)*G343/2147483647)</x:f>
        <x:v>927.3931994365662</x:v>
      </x:c>
      <x:c r="J343" s="17" t="n">
        <x:f>IF('Control Room'!$B$5="Normal",'Control Room'!$B$7,('Control Room'!$B$8+'Control Room'!$D$8)/2)+'Control Room'!$B$9*(J342-IF('Control Room'!$B$5="Normal",'Control Room'!$B$7,('Control Room'!$B$8+'Control Room'!$D$8)/2))+SQRT(1-'Control Room'!$B$9^2)*(I343-IF('Control Room'!$B$5="Normal",'Control Room'!$B$7,('Control Room'!$B$8+'Control Room'!$D$8)/2))</x:f>
        <x:v>1022.2322031251733</x:v>
      </x:c>
      <x:c r="K343" s="17" t="n">
        <x:f>IF(AND($A343&gt;='Control Room'!$A$13,$A343&lt;'Control Room'!$A$13+'Control Room'!$B$13,'Process'!BL2=1),1+('Control Room'!$C$13-1)*EXP(-0.5*(($A343-'Control Room'!$A$13-('Control Room'!$B$13-1)/2)/MAX(0.5,'Control Room'!$B$13/4))^2),1)*IF(AND($A343&gt;='Control Room'!$A$14,$A343&lt;'Control Room'!$A$14+'Control Room'!$B$14,'Process'!BL3=1),1+('Control Room'!$C$14-1)*EXP(-0.5*(($A343-'Control Room'!$A$14-('Control Room'!$B$14-1)/2)/MAX(0.5,'Control Room'!$B$14/4))^2),1)*IF(AND($A343&gt;='Control Room'!$A$15,$A343&lt;'Control Room'!$A$15+'Control Room'!$B$15,'Process'!BL4=1),1+('Control Room'!$C$15-1)*EXP(-0.5*(($A343-'Control Room'!$A$15-('Control Room'!$B$15-1)/2)/MAX(0.5,'Control Room'!$B$15/4))^2),1)*IF(AND($A343&gt;='Control Room'!$A$16,$A343&lt;'Control Room'!$A$16+'Control Room'!$B$16,'Process'!BL5=1),1+('Control Room'!$C$16-1)*EXP(-0.5*(($A343-'Control Room'!$A$16-('Control Room'!$B$16-1)/2)/MAX(0.5,'Control Room'!$B$16/4))^2),1)</x:f>
        <x:v>1</x:v>
      </x:c>
      <x:c r="L343" s="9" t="n">
        <x:f>MOD(M342*16807,2147483647)</x:f>
        <x:v>2250983</x:v>
      </x:c>
      <x:c r="M343" s="9" t="n">
        <x:f>MOD(L343*16807,2147483647)</x:f>
        <x:v>1325049282</x:v>
      </x:c>
      <x:c r="N343" s="17" t="n">
        <x:f>IF('Control Room'!$B$5="Normal",'Control Room'!$B$7+'Control Room'!$D$7*SQRT(-2*LN(MAX(0.000000000001,L343/2147483647)))*COS(2*PI()*M343/2147483647),'Control Room'!$B$8+('Control Room'!$D$8-'Control Room'!$B$8)*L343/2147483647)</x:f>
        <x:v>752.7510939043918</x:v>
      </x:c>
      <x:c r="O343" s="17" t="n">
        <x:f>IF('Control Room'!$B$5="Normal",'Control Room'!$B$7,('Control Room'!$B$8+'Control Room'!$D$8)/2)+'Control Room'!$B$9*(O342-IF('Control Room'!$B$5="Normal",'Control Room'!$B$7,('Control Room'!$B$8+'Control Room'!$D$8)/2))+SQRT(1-'Control Room'!$B$9^2)*(N343-IF('Control Room'!$B$5="Normal",'Control Room'!$B$7,('Control Room'!$B$8+'Control Room'!$D$8)/2))</x:f>
        <x:v>901.8770180305136</x:v>
      </x:c>
      <x:c r="P343" s="17" t="n">
        <x:f>IF(AND($A343&gt;='Control Room'!$A$13,$A343&lt;'Control Room'!$A$13+'Control Room'!$B$13,'Process'!BM2=1),1+('Control Room'!$C$13-1)*EXP(-0.5*(($A343-'Control Room'!$A$13-('Control Room'!$B$13-1)/2)/MAX(0.5,'Control Room'!$B$13/4))^2),1)*IF(AND($A343&gt;='Control Room'!$A$14,$A343&lt;'Control Room'!$A$14+'Control Room'!$B$14,'Process'!BM3=1),1+('Control Room'!$C$14-1)*EXP(-0.5*(($A343-'Control Room'!$A$14-('Control Room'!$B$14-1)/2)/MAX(0.5,'Control Room'!$B$14/4))^2),1)*IF(AND($A343&gt;='Control Room'!$A$15,$A343&lt;'Control Room'!$A$15+'Control Room'!$B$15,'Process'!BM4=1),1+('Control Room'!$C$15-1)*EXP(-0.5*(($A343-'Control Room'!$A$15-('Control Room'!$B$15-1)/2)/MAX(0.5,'Control Room'!$B$15/4))^2),1)*IF(AND($A343&gt;='Control Room'!$A$16,$A343&lt;'Control Room'!$A$16+'Control Room'!$B$16,'Process'!BM5=1),1+('Control Room'!$C$16-1)*EXP(-0.5*(($A343-'Control Room'!$A$16-('Control Room'!$B$16-1)/2)/MAX(0.5,'Control Room'!$B$16/4))^2),1)</x:f>
        <x:v>1</x:v>
      </x:c>
      <x:c r="Q343" s="9" t="n">
        <x:f>MOD(R342*16807,2147483647)</x:f>
        <x:v>684965950</x:v>
      </x:c>
      <x:c r="R343" s="9" t="n">
        <x:f>MOD(Q343*16807,2147483647)</x:f>
        <x:v>1710373730</x:v>
      </x:c>
      <x:c r="S343" s="17" t="n">
        <x:f>IF('Control Room'!$B$5="Normal",'Control Room'!$B$7+'Control Room'!$D$7*SQRT(-2*LN(MAX(0.000000000001,Q343/2147483647)))*COS(2*PI()*R343/2147483647),'Control Room'!$B$8+('Control Room'!$D$8-'Control Room'!$B$8)*Q343/2147483647)</x:f>
        <x:v>1039.1513564881468</x:v>
      </x:c>
      <x:c r="T343" s="17" t="n">
        <x:f>IF('Control Room'!$B$5="Normal",'Control Room'!$B$7,('Control Room'!$B$8+'Control Room'!$D$8)/2)+'Control Room'!$B$9*(T342-IF('Control Room'!$B$5="Normal",'Control Room'!$B$7,('Control Room'!$B$8+'Control Room'!$D$8)/2))+SQRT(1-'Control Room'!$B$9^2)*(S343-IF('Control Room'!$B$5="Normal",'Control Room'!$B$7,('Control Room'!$B$8+'Control Room'!$D$8)/2))</x:f>
        <x:v>1106.72465348374</x:v>
      </x:c>
      <x:c r="U343" s="17" t="n">
        <x:f>IF(AND($A343&gt;='Control Room'!$A$13,$A343&lt;'Control Room'!$A$13+'Control Room'!$B$13,'Process'!BN2=1),1+('Control Room'!$C$13-1)*EXP(-0.5*(($A343-'Control Room'!$A$13-('Control Room'!$B$13-1)/2)/MAX(0.5,'Control Room'!$B$13/4))^2),1)*IF(AND($A343&gt;='Control Room'!$A$14,$A343&lt;'Control Room'!$A$14+'Control Room'!$B$14,'Process'!BN3=1),1+('Control Room'!$C$14-1)*EXP(-0.5*(($A343-'Control Room'!$A$14-('Control Room'!$B$14-1)/2)/MAX(0.5,'Control Room'!$B$14/4))^2),1)*IF(AND($A343&gt;='Control Room'!$A$15,$A343&lt;'Control Room'!$A$15+'Control Room'!$B$15,'Process'!BN4=1),1+('Control Room'!$C$15-1)*EXP(-0.5*(($A343-'Control Room'!$A$15-('Control Room'!$B$15-1)/2)/MAX(0.5,'Control Room'!$B$15/4))^2),1)*IF(AND($A343&gt;='Control Room'!$A$16,$A343&lt;'Control Room'!$A$16+'Control Room'!$B$16,'Process'!BN5=1),1+('Control Room'!$C$16-1)*EXP(-0.5*(($A343-'Control Room'!$A$16-('Control Room'!$B$16-1)/2)/MAX(0.5,'Control Room'!$B$16/4))^2),1)</x:f>
        <x:v>1</x:v>
      </x:c>
      <x:c r="V343" s="9" t="n">
        <x:f>MOD(W342*16807,2147483647)</x:f>
        <x:v>1367680917</x:v>
      </x:c>
      <x:c r="W343" s="9" t="n">
        <x:f>MOD(V343*16807,2147483647)</x:f>
        <x:v>2095698178</x:v>
      </x:c>
      <x:c r="X343" s="17" t="n">
        <x:f>IF('Control Room'!$B$5="Normal",'Control Room'!$B$7+'Control Room'!$D$7*SQRT(-2*LN(MAX(0.000000000001,V343/2147483647)))*COS(2*PI()*W343/2147483647),'Control Room'!$B$8+('Control Room'!$D$8-'Control Room'!$B$8)*V343/2147483647)</x:f>
        <x:v>1084.5139271116163</x:v>
      </x:c>
      <x:c r="Y343" s="17" t="n">
        <x:f>IF('Control Room'!$B$5="Normal",'Control Room'!$B$7,('Control Room'!$B$8+'Control Room'!$D$8)/2)+'Control Room'!$B$9*(Y342-IF('Control Room'!$B$5="Normal",'Control Room'!$B$7,('Control Room'!$B$8+'Control Room'!$D$8)/2))+SQRT(1-'Control Room'!$B$9^2)*(X343-IF('Control Room'!$B$5="Normal",'Control Room'!$B$7,('Control Room'!$B$8+'Control Room'!$D$8)/2))</x:f>
        <x:v>1087.4878793215282</x:v>
      </x:c>
      <x:c r="Z343" s="17" t="n">
        <x:f>IF(AND($A343&gt;='Control Room'!$A$13,$A343&lt;'Control Room'!$A$13+'Control Room'!$B$13,'Process'!BO2=1),1+('Control Room'!$C$13-1)*EXP(-0.5*(($A343-'Control Room'!$A$13-('Control Room'!$B$13-1)/2)/MAX(0.5,'Control Room'!$B$13/4))^2),1)*IF(AND($A343&gt;='Control Room'!$A$14,$A343&lt;'Control Room'!$A$14+'Control Room'!$B$14,'Process'!BO3=1),1+('Control Room'!$C$14-1)*EXP(-0.5*(($A343-'Control Room'!$A$14-('Control Room'!$B$14-1)/2)/MAX(0.5,'Control Room'!$B$14/4))^2),1)*IF(AND($A343&gt;='Control Room'!$A$15,$A343&lt;'Control Room'!$A$15+'Control Room'!$B$15,'Process'!BO4=1),1+('Control Room'!$C$15-1)*EXP(-0.5*(($A343-'Control Room'!$A$15-('Control Room'!$B$15-1)/2)/MAX(0.5,'Control Room'!$B$15/4))^2),1)*IF(AND($A343&gt;='Control Room'!$A$16,$A343&lt;'Control Room'!$A$16+'Control Room'!$B$16,'Process'!BO5=1),1+('Control Room'!$C$16-1)*EXP(-0.5*(($A343-'Control Room'!$A$16-('Control Room'!$B$16-1)/2)/MAX(0.5,'Control Room'!$B$16/4))^2),1)</x:f>
        <x:v>1</x:v>
      </x:c>
      <x:c r="AA343" s="9" t="n">
        <x:f>MOD(AB342*16807,2147483647)</x:f>
        <x:v>2050395884</x:v>
      </x:c>
      <x:c r="AB343" s="9" t="n">
        <x:f>MOD(AA343*16807,2147483647)</x:f>
        <x:v>333538979</x:v>
      </x:c>
      <x:c r="AC343" s="17" t="n">
        <x:f>IF('Control Room'!$B$5="Normal",'Control Room'!$B$7+'Control Room'!$D$7*SQRT(-2*LN(MAX(0.000000000001,AA343/2147483647)))*COS(2*PI()*AB343/2147483647),'Control Room'!$B$8+('Control Room'!$D$8-'Control Room'!$B$8)*AA343/2147483647)</x:f>
        <x:v>1015.3428817370616</x:v>
      </x:c>
      <x:c r="AD343" s="17" t="n">
        <x:f>IF('Control Room'!$B$5="Normal",'Control Room'!$B$7,('Control Room'!$B$8+'Control Room'!$D$8)/2)+'Control Room'!$B$9*(AD342-IF('Control Room'!$B$5="Normal",'Control Room'!$B$7,('Control Room'!$B$8+'Control Room'!$D$8)/2))+SQRT(1-'Control Room'!$B$9^2)*(AC343-IF('Control Room'!$B$5="Normal",'Control Room'!$B$7,('Control Room'!$B$8+'Control Room'!$D$8)/2))</x:f>
        <x:v>1039.8442825585028</x:v>
      </x:c>
      <x:c r="AE343" s="17" t="n">
        <x:f>IF(AND($A343&gt;='Control Room'!$A$13,$A343&lt;'Control Room'!$A$13+'Control Room'!$B$13,'Process'!BP2=1),1+('Control Room'!$C$13-1)*EXP(-0.5*(($A343-'Control Room'!$A$13-('Control Room'!$B$13-1)/2)/MAX(0.5,'Control Room'!$B$13/4))^2),1)*IF(AND($A343&gt;='Control Room'!$A$14,$A343&lt;'Control Room'!$A$14+'Control Room'!$B$14,'Process'!BP3=1),1+('Control Room'!$C$14-1)*EXP(-0.5*(($A343-'Control Room'!$A$14-('Control Room'!$B$14-1)/2)/MAX(0.5,'Control Room'!$B$14/4))^2),1)*IF(AND($A343&gt;='Control Room'!$A$15,$A343&lt;'Control Room'!$A$15+'Control Room'!$B$15,'Process'!BP4=1),1+('Control Room'!$C$15-1)*EXP(-0.5*(($A343-'Control Room'!$A$15-('Control Room'!$B$15-1)/2)/MAX(0.5,'Control Room'!$B$15/4))^2),1)*IF(AND($A343&gt;='Control Room'!$A$16,$A343&lt;'Control Room'!$A$16+'Control Room'!$B$16,'Process'!BP5=1),1+('Control Room'!$C$16-1)*EXP(-0.5*(($A343-'Control Room'!$A$16-('Control Room'!$B$16-1)/2)/MAX(0.5,'Control Room'!$B$16/4))^2),1)</x:f>
        <x:v>1</x:v>
      </x:c>
      <x:c r="AF343" s="9" t="n">
        <x:f>MOD(AG342*16807,2147483647)</x:f>
        <x:v>585627204</x:v>
      </x:c>
      <x:c r="AG343" s="9" t="n">
        <x:f>MOD(AF343*16807,2147483647)</x:f>
        <x:v>718863427</x:v>
      </x:c>
      <x:c r="AH343" s="17" t="n">
        <x:f>IF('Control Room'!$B$5="Normal",'Control Room'!$B$7+'Control Room'!$D$7*SQRT(-2*LN(MAX(0.000000000001,AF343/2147483647)))*COS(2*PI()*AG343/2147483647),'Control Room'!$B$8+('Control Room'!$D$8-'Control Room'!$B$8)*AF343/2147483647)</x:f>
        <x:v>926.3442382628909</x:v>
      </x:c>
      <x:c r="AI343" s="17" t="n">
        <x:f>IF('Control Room'!$B$5="Normal",'Control Room'!$B$7,('Control Room'!$B$8+'Control Room'!$D$8)/2)+'Control Room'!$B$9*(AI342-IF('Control Room'!$B$5="Normal",'Control Room'!$B$7,('Control Room'!$B$8+'Control Room'!$D$8)/2))+SQRT(1-'Control Room'!$B$9^2)*(AH343-IF('Control Room'!$B$5="Normal",'Control Room'!$B$7,('Control Room'!$B$8+'Control Room'!$D$8)/2))</x:f>
        <x:v>1014.2628189537543</x:v>
      </x:c>
      <x:c r="AJ343" s="17" t="n">
        <x:f>IF(AND($A343&gt;='Control Room'!$A$13,$A343&lt;'Control Room'!$A$13+'Control Room'!$B$13,'Process'!BQ2=1),1+('Control Room'!$C$13-1)*EXP(-0.5*(($A343-'Control Room'!$A$13-('Control Room'!$B$13-1)/2)/MAX(0.5,'Control Room'!$B$13/4))^2),1)*IF(AND($A343&gt;='Control Room'!$A$14,$A343&lt;'Control Room'!$A$14+'Control Room'!$B$14,'Process'!BQ3=1),1+('Control Room'!$C$14-1)*EXP(-0.5*(($A343-'Control Room'!$A$14-('Control Room'!$B$14-1)/2)/MAX(0.5,'Control Room'!$B$14/4))^2),1)*IF(AND($A343&gt;='Control Room'!$A$15,$A343&lt;'Control Room'!$A$15+'Control Room'!$B$15,'Process'!BQ4=1),1+('Control Room'!$C$15-1)*EXP(-0.5*(($A343-'Control Room'!$A$15-('Control Room'!$B$15-1)/2)/MAX(0.5,'Control Room'!$B$15/4))^2),1)*IF(AND($A343&gt;='Control Room'!$A$16,$A343&lt;'Control Room'!$A$16+'Control Room'!$B$16,'Process'!BQ5=1),1+('Control Room'!$C$16-1)*EXP(-0.5*(($A343-'Control Room'!$A$16-('Control Room'!$B$16-1)/2)/MAX(0.5,'Control Room'!$B$16/4))^2),1)</x:f>
        <x:v>1</x:v>
      </x:c>
      <x:c r="AK343" s="9" t="n">
        <x:f>MOD(AL342*16807,2147483647)</x:f>
        <x:v>1268342171</x:v>
      </x:c>
      <x:c r="AL343" s="9" t="n">
        <x:f>MOD(AK343*16807,2147483647)</x:f>
        <x:v>1104187875</x:v>
      </x:c>
      <x:c r="AM343" s="17" t="n">
        <x:f>IF('Control Room'!$B$5="Normal",'Control Room'!$B$7+'Control Room'!$D$7*SQRT(-2*LN(MAX(0.000000000001,AK343/2147483647)))*COS(2*PI()*AL343/2147483647),'Control Room'!$B$8+('Control Room'!$D$8-'Control Room'!$B$8)*AK343/2147483647)</x:f>
        <x:v>908.0044560358774</x:v>
      </x:c>
      <x:c r="AN343" s="17" t="n">
        <x:f>IF('Control Room'!$B$5="Normal",'Control Room'!$B$7,('Control Room'!$B$8+'Control Room'!$D$8)/2)+'Control Room'!$B$9*(AN342-IF('Control Room'!$B$5="Normal",'Control Room'!$B$7,('Control Room'!$B$8+'Control Room'!$D$8)/2))+SQRT(1-'Control Room'!$B$9^2)*(AM343-IF('Control Room'!$B$5="Normal",'Control Room'!$B$7,('Control Room'!$B$8+'Control Room'!$D$8)/2))</x:f>
        <x:v>952.6710853306533</x:v>
      </x:c>
      <x:c r="AO343" s="17" t="n">
        <x:f>IF(AND($A343&gt;='Control Room'!$A$13,$A343&lt;'Control Room'!$A$13+'Control Room'!$B$13,'Process'!BR2=1),1+('Control Room'!$C$13-1)*EXP(-0.5*(($A343-'Control Room'!$A$13-('Control Room'!$B$13-1)/2)/MAX(0.5,'Control Room'!$B$13/4))^2),1)*IF(AND($A343&gt;='Control Room'!$A$14,$A343&lt;'Control Room'!$A$14+'Control Room'!$B$14,'Process'!BR3=1),1+('Control Room'!$C$14-1)*EXP(-0.5*(($A343-'Control Room'!$A$14-('Control Room'!$B$14-1)/2)/MAX(0.5,'Control Room'!$B$14/4))^2),1)*IF(AND($A343&gt;='Control Room'!$A$15,$A343&lt;'Control Room'!$A$15+'Control Room'!$B$15,'Process'!BR4=1),1+('Control Room'!$C$15-1)*EXP(-0.5*(($A343-'Control Room'!$A$15-('Control Room'!$B$15-1)/2)/MAX(0.5,'Control Room'!$B$15/4))^2),1)*IF(AND($A343&gt;='Control Room'!$A$16,$A343&lt;'Control Room'!$A$16+'Control Room'!$B$16,'Process'!BR5=1),1+('Control Room'!$C$16-1)*EXP(-0.5*(($A343-'Control Room'!$A$16-('Control Room'!$B$16-1)/2)/MAX(0.5,'Control Room'!$B$16/4))^2),1)</x:f>
        <x:v>1</x:v>
      </x:c>
      <x:c r="AP343" s="9" t="n">
        <x:f>MOD(AQ342*16807,2147483647)</x:f>
        <x:v>1951057138</x:v>
      </x:c>
      <x:c r="AQ343" s="9" t="n">
        <x:f>MOD(AP343*16807,2147483647)</x:f>
        <x:v>1489512323</x:v>
      </x:c>
      <x:c r="AR343" s="17" t="n">
        <x:f>IF('Control Room'!$B$5="Normal",'Control Room'!$B$7+'Control Room'!$D$7*SQRT(-2*LN(MAX(0.000000000001,AP343/2147483647)))*COS(2*PI()*AQ343/2147483647),'Control Room'!$B$8+('Control Room'!$D$8-'Control Room'!$B$8)*AP343/2147483647)</x:f>
        <x:v>986.3228831737368</x:v>
      </x:c>
      <x:c r="AS343" s="17" t="n">
        <x:f>IF('Control Room'!$B$5="Normal",'Control Room'!$B$7,('Control Room'!$B$8+'Control Room'!$D$8)/2)+'Control Room'!$B$9*(AS342-IF('Control Room'!$B$5="Normal",'Control Room'!$B$7,('Control Room'!$B$8+'Control Room'!$D$8)/2))+SQRT(1-'Control Room'!$B$9^2)*(AR343-IF('Control Room'!$B$5="Normal",'Control Room'!$B$7,('Control Room'!$B$8+'Control Room'!$D$8)/2))</x:f>
        <x:v>1186.3180346373529</x:v>
      </x:c>
      <x:c r="AT343" s="17" t="n">
        <x:f>IF(AND($A343&gt;='Control Room'!$A$13,$A343&lt;'Control Room'!$A$13+'Control Room'!$B$13,'Process'!BS2=1),1+('Control Room'!$C$13-1)*EXP(-0.5*(($A343-'Control Room'!$A$13-('Control Room'!$B$13-1)/2)/MAX(0.5,'Control Room'!$B$13/4))^2),1)*IF(AND($A343&gt;='Control Room'!$A$14,$A343&lt;'Control Room'!$A$14+'Control Room'!$B$14,'Process'!BS3=1),1+('Control Room'!$C$14-1)*EXP(-0.5*(($A343-'Control Room'!$A$14-('Control Room'!$B$14-1)/2)/MAX(0.5,'Control Room'!$B$14/4))^2),1)*IF(AND($A343&gt;='Control Room'!$A$15,$A343&lt;'Control Room'!$A$15+'Control Room'!$B$15,'Process'!BS4=1),1+('Control Room'!$C$15-1)*EXP(-0.5*(($A343-'Control Room'!$A$15-('Control Room'!$B$15-1)/2)/MAX(0.5,'Control Room'!$B$15/4))^2),1)*IF(AND($A343&gt;='Control Room'!$A$16,$A343&lt;'Control Room'!$A$16+'Control Room'!$B$16,'Process'!BS5=1),1+('Control Room'!$C$16-1)*EXP(-0.5*(($A343-'Control Room'!$A$16-('Control Room'!$B$16-1)/2)/MAX(0.5,'Control Room'!$B$16/4))^2),1)</x:f>
        <x:v>1</x:v>
      </x:c>
      <x:c r="AU343" s="9" t="n">
        <x:f>MOD(AV342*16807,2147483647)</x:f>
        <x:v>486288458</x:v>
      </x:c>
      <x:c r="AV343" s="9" t="n">
        <x:f>MOD(AU343*16807,2147483647)</x:f>
        <x:v>1874836771</x:v>
      </x:c>
      <x:c r="AW343" s="17" t="n">
        <x:f>IF('Control Room'!$B$5="Normal",'Control Room'!$B$7+'Control Room'!$D$7*SQRT(-2*LN(MAX(0.000000000001,AU343/2147483647)))*COS(2*PI()*AV343/2147483647),'Control Room'!$B$8+('Control Room'!$D$8-'Control Room'!$B$8)*AU343/2147483647)</x:f>
        <x:v>1108.323944682489</x:v>
      </x:c>
      <x:c r="AX343" s="17" t="n">
        <x:f>IF('Control Room'!$B$5="Normal",'Control Room'!$B$7,('Control Room'!$B$8+'Control Room'!$D$8)/2)+'Control Room'!$B$9*(AX342-IF('Control Room'!$B$5="Normal",'Control Room'!$B$7,('Control Room'!$B$8+'Control Room'!$D$8)/2))+SQRT(1-'Control Room'!$B$9^2)*(AW343-IF('Control Room'!$B$5="Normal",'Control Room'!$B$7,('Control Room'!$B$8+'Control Room'!$D$8)/2))</x:f>
        <x:v>1132.7691559068078</x:v>
      </x:c>
      <x:c r="AY343" s="17" t="n">
        <x:f>IF(AND($A343&gt;='Control Room'!$A$13,$A343&lt;'Control Room'!$A$13+'Control Room'!$B$13,'Process'!BT2=1),1+('Control Room'!$C$13-1)*EXP(-0.5*(($A343-'Control Room'!$A$13-('Control Room'!$B$13-1)/2)/MAX(0.5,'Control Room'!$B$13/4))^2),1)*IF(AND($A343&gt;='Control Room'!$A$14,$A343&lt;'Control Room'!$A$14+'Control Room'!$B$14,'Process'!BT3=1),1+('Control Room'!$C$14-1)*EXP(-0.5*(($A343-'Control Room'!$A$14-('Control Room'!$B$14-1)/2)/MAX(0.5,'Control Room'!$B$14/4))^2),1)*IF(AND($A343&gt;='Control Room'!$A$15,$A343&lt;'Control Room'!$A$15+'Control Room'!$B$15,'Process'!BT4=1),1+('Control Room'!$C$15-1)*EXP(-0.5*(($A343-'Control Room'!$A$15-('Control Room'!$B$15-1)/2)/MAX(0.5,'Control Room'!$B$15/4))^2),1)*IF(AND($A343&gt;='Control Room'!$A$16,$A343&lt;'Control Room'!$A$16+'Control Room'!$B$16,'Process'!BT5=1),1+('Control Room'!$C$16-1)*EXP(-0.5*(($A343-'Control Room'!$A$16-('Control Room'!$B$16-1)/2)/MAX(0.5,'Control Room'!$B$16/4))^2),1)</x:f>
        <x:v>1</x:v>
      </x:c>
      <x:c r="AZ343" s="9" t="n">
        <x:f>MOD(BA342*16807,2147483647)</x:f>
        <x:v>1169003425</x:v>
      </x:c>
      <x:c r="BA343" s="9" t="n">
        <x:f>MOD(AZ343*16807,2147483647)</x:f>
        <x:v>112677572</x:v>
      </x:c>
      <x:c r="BB343" s="17" t="n">
        <x:f>IF('Control Room'!$B$5="Normal",'Control Room'!$B$7+'Control Room'!$D$7*SQRT(-2*LN(MAX(0.000000000001,AZ343/2147483647)))*COS(2*PI()*BA343/2147483647),'Control Room'!$B$8+('Control Room'!$D$8-'Control Room'!$B$8)*AZ343/2147483647)</x:f>
        <x:v>1093.9117341328322</x:v>
      </x:c>
      <x:c r="BC343" s="17" t="n">
        <x:f>IF('Control Room'!$B$5="Normal",'Control Room'!$B$7,('Control Room'!$B$8+'Control Room'!$D$8)/2)+'Control Room'!$B$9*(BC342-IF('Control Room'!$B$5="Normal",'Control Room'!$B$7,('Control Room'!$B$8+'Control Room'!$D$8)/2))+SQRT(1-'Control Room'!$B$9^2)*(BB343-IF('Control Room'!$B$5="Normal",'Control Room'!$B$7,('Control Room'!$B$8+'Control Room'!$D$8)/2))</x:f>
        <x:v>1163.5958874544033</x:v>
      </x:c>
      <x:c r="BD343" s="17" t="n">
        <x:f>IF(AND($A343&gt;='Control Room'!$A$13,$A343&lt;'Control Room'!$A$13+'Control Room'!$B$13,'Process'!BU2=1),1+('Control Room'!$C$13-1)*EXP(-0.5*(($A343-'Control Room'!$A$13-('Control Room'!$B$13-1)/2)/MAX(0.5,'Control Room'!$B$13/4))^2),1)*IF(AND($A343&gt;='Control Room'!$A$14,$A343&lt;'Control Room'!$A$14+'Control Room'!$B$14,'Process'!BU3=1),1+('Control Room'!$C$14-1)*EXP(-0.5*(($A343-'Control Room'!$A$14-('Control Room'!$B$14-1)/2)/MAX(0.5,'Control Room'!$B$14/4))^2),1)*IF(AND($A343&gt;='Control Room'!$A$15,$A343&lt;'Control Room'!$A$15+'Control Room'!$B$15,'Process'!BU4=1),1+('Control Room'!$C$15-1)*EXP(-0.5*(($A343-'Control Room'!$A$15-('Control Room'!$B$15-1)/2)/MAX(0.5,'Control Room'!$B$15/4))^2),1)*IF(AND($A343&gt;='Control Room'!$A$16,$A343&lt;'Control Room'!$A$16+'Control Room'!$B$16,'Process'!BU5=1),1+('Control Room'!$C$16-1)*EXP(-0.5*(($A343-'Control Room'!$A$16-('Control Room'!$B$16-1)/2)/MAX(0.5,'Control Room'!$B$16/4))^2),1)</x:f>
        <x:v>1</x:v>
      </x:c>
      <x:c r="BE343" s="9" t="n">
        <x:f>MOD(BF342*16807,2147483647)</x:f>
        <x:v>1851718392</x:v>
      </x:c>
      <x:c r="BF343" s="9" t="n">
        <x:f>MOD(BE343*16807,2147483647)</x:f>
        <x:v>498002020</x:v>
      </x:c>
      <x:c r="BG343" s="17" t="n">
        <x:f>IF('Control Room'!$B$5="Normal",'Control Room'!$B$7+'Control Room'!$D$7*SQRT(-2*LN(MAX(0.000000000001,BE343/2147483647)))*COS(2*PI()*BF343/2147483647),'Control Room'!$B$8+('Control Room'!$D$8-'Control Room'!$B$8)*BE343/2147483647)</x:f>
        <x:v>1005.5599626096778</x:v>
      </x:c>
      <x:c r="BH343" s="17" t="n">
        <x:f>IF('Control Room'!$B$5="Normal",'Control Room'!$B$7,('Control Room'!$B$8+'Control Room'!$D$8)/2)+'Control Room'!$B$9*(BH342-IF('Control Room'!$B$5="Normal",'Control Room'!$B$7,('Control Room'!$B$8+'Control Room'!$D$8)/2))+SQRT(1-'Control Room'!$B$9^2)*(BG343-IF('Control Room'!$B$5="Normal",'Control Room'!$B$7,('Control Room'!$B$8+'Control Room'!$D$8)/2))</x:f>
        <x:v>951.7072409096785</x:v>
      </x:c>
      <x:c r="BI343" s="17" t="n">
        <x:f>IF(AND($A343&gt;='Control Room'!$A$13,$A343&lt;'Control Room'!$A$13+'Control Room'!$B$13,'Process'!BV2=1),1+('Control Room'!$C$13-1)*EXP(-0.5*(($A343-'Control Room'!$A$13-('Control Room'!$B$13-1)/2)/MAX(0.5,'Control Room'!$B$13/4))^2),1)*IF(AND($A343&gt;='Control Room'!$A$14,$A343&lt;'Control Room'!$A$14+'Control Room'!$B$14,'Process'!BV3=1),1+('Control Room'!$C$14-1)*EXP(-0.5*(($A343-'Control Room'!$A$14-('Control Room'!$B$14-1)/2)/MAX(0.5,'Control Room'!$B$14/4))^2),1)*IF(AND($A343&gt;='Control Room'!$A$15,$A343&lt;'Control Room'!$A$15+'Control Room'!$B$15,'Process'!BV4=1),1+('Control Room'!$C$15-1)*EXP(-0.5*(($A343-'Control Room'!$A$15-('Control Room'!$B$15-1)/2)/MAX(0.5,'Control Room'!$B$15/4))^2),1)*IF(AND($A343&gt;='Control Room'!$A$16,$A343&lt;'Control Room'!$A$16+'Control Room'!$B$16,'Process'!BV5=1),1+('Control Room'!$C$16-1)*EXP(-0.5*(($A343-'Control Room'!$A$16-('Control Room'!$B$16-1)/2)/MAX(0.5,'Control Room'!$B$16/4))^2),1)</x:f>
        <x:v>1</x:v>
      </x:c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Z343" t="str">
        <x:f>IF('Data'!A343="","",TEXT('Data'!A343,"mm-dd"))</x:f>
      </x:c>
    </x:row>
    <x:row r="344" ht="21" customHeight="1">
      <x:c r="A344" s="15" t="n">
        <x:f>'Control Room'!$B$1+342</x:f>
        <x:v>73333</x:v>
      </x:c>
      <x:c r="B344" s="9" t="n">
        <x:f>MOD(C343*16807,2147483647)</x:f>
        <x:v>2023226816</x:v>
      </x:c>
      <x:c r="C344" s="9" t="n">
        <x:f>MOD(B344*16807,2147483647)</x:f>
        <x:v>1117029914</x:v>
      </x:c>
      <x:c r="D344" s="17" t="n">
        <x:f>IF('Control Room'!$B$5="Normal",'Control Room'!$B$7+'Control Room'!$D$7*SQRT(-2*LN(MAX(0.000000000001,B344/2147483647)))*COS(2*PI()*C344/2147483647),'Control Room'!$B$8+('Control Room'!$D$8-'Control Room'!$B$8)*B344/2147483647)</x:f>
        <x:v>969.1752730899746</x:v>
      </x:c>
      <x:c r="E344" s="17" t="n">
        <x:f>IF('Control Room'!$B$5="Normal",'Control Room'!$B$7,('Control Room'!$B$8+'Control Room'!$D$8)/2)+'Control Room'!$B$9*(E343-IF('Control Room'!$B$5="Normal",'Control Room'!$B$7,('Control Room'!$B$8+'Control Room'!$D$8)/2))+SQRT(1-'Control Room'!$B$9^2)*(D344-IF('Control Room'!$B$5="Normal",'Control Room'!$B$7,('Control Room'!$B$8+'Control Room'!$D$8)/2))</x:f>
        <x:v>881.9245066143974</x:v>
      </x:c>
      <x:c r="F344" s="17" t="n">
        <x:f>IF(AND($A344&gt;='Control Room'!$A$13,$A344&lt;'Control Room'!$A$13+'Control Room'!$B$13,'Process'!BK2=1),1+('Control Room'!$C$13-1)*EXP(-0.5*(($A344-'Control Room'!$A$13-('Control Room'!$B$13-1)/2)/MAX(0.5,'Control Room'!$B$13/4))^2),1)*IF(AND($A344&gt;='Control Room'!$A$14,$A344&lt;'Control Room'!$A$14+'Control Room'!$B$14,'Process'!BK3=1),1+('Control Room'!$C$14-1)*EXP(-0.5*(($A344-'Control Room'!$A$14-('Control Room'!$B$14-1)/2)/MAX(0.5,'Control Room'!$B$14/4))^2),1)*IF(AND($A344&gt;='Control Room'!$A$15,$A344&lt;'Control Room'!$A$15+'Control Room'!$B$15,'Process'!BK4=1),1+('Control Room'!$C$15-1)*EXP(-0.5*(($A344-'Control Room'!$A$15-('Control Room'!$B$15-1)/2)/MAX(0.5,'Control Room'!$B$15/4))^2),1)*IF(AND($A344&gt;='Control Room'!$A$16,$A344&lt;'Control Room'!$A$16+'Control Room'!$B$16,'Process'!BK5=1),1+('Control Room'!$C$16-1)*EXP(-0.5*(($A344-'Control Room'!$A$16-('Control Room'!$B$16-1)/2)/MAX(0.5,'Control Room'!$B$16/4))^2),1)</x:f>
        <x:v>1</x:v>
      </x:c>
      <x:c r="G344" s="9" t="n">
        <x:f>MOD(H343*16807,2147483647)</x:f>
        <x:v>1360545000</x:v>
      </x:c>
      <x:c r="H344" s="9" t="n">
        <x:f>MOD(G344*16807,2147483647)</x:f>
        <x:v>273941744</x:v>
      </x:c>
      <x:c r="I344" s="17" t="n">
        <x:f>IF('Control Room'!$B$5="Normal",'Control Room'!$B$7+'Control Room'!$D$7*SQRT(-2*LN(MAX(0.000000000001,G344/2147483647)))*COS(2*PI()*H344/2147483647),'Control Room'!$B$8+('Control Room'!$D$8-'Control Room'!$B$8)*G344/2147483647)</x:f>
        <x:v>1059.8149994304492</x:v>
      </x:c>
      <x:c r="J344" s="17" t="n">
        <x:f>IF('Control Room'!$B$5="Normal",'Control Room'!$B$7,('Control Room'!$B$8+'Control Room'!$D$8)/2)+'Control Room'!$B$9*(J343-IF('Control Room'!$B$5="Normal",'Control Room'!$B$7,('Control Room'!$B$8+'Control Room'!$D$8)/2))+SQRT(1-'Control Room'!$B$9^2)*(I344-IF('Control Room'!$B$5="Normal",'Control Room'!$B$7,('Control Room'!$B$8+'Control Room'!$D$8)/2))</x:f>
        <x:v>1054.7721197043418</x:v>
      </x:c>
      <x:c r="K344" s="17" t="n">
        <x:f>IF(AND($A344&gt;='Control Room'!$A$13,$A344&lt;'Control Room'!$A$13+'Control Room'!$B$13,'Process'!BL2=1),1+('Control Room'!$C$13-1)*EXP(-0.5*(($A344-'Control Room'!$A$13-('Control Room'!$B$13-1)/2)/MAX(0.5,'Control Room'!$B$13/4))^2),1)*IF(AND($A344&gt;='Control Room'!$A$14,$A344&lt;'Control Room'!$A$14+'Control Room'!$B$14,'Process'!BL3=1),1+('Control Room'!$C$14-1)*EXP(-0.5*(($A344-'Control Room'!$A$14-('Control Room'!$B$14-1)/2)/MAX(0.5,'Control Room'!$B$14/4))^2),1)*IF(AND($A344&gt;='Control Room'!$A$15,$A344&lt;'Control Room'!$A$15+'Control Room'!$B$15,'Process'!BL4=1),1+('Control Room'!$C$15-1)*EXP(-0.5*(($A344-'Control Room'!$A$15-('Control Room'!$B$15-1)/2)/MAX(0.5,'Control Room'!$B$15/4))^2),1)*IF(AND($A344&gt;='Control Room'!$A$16,$A344&lt;'Control Room'!$A$16+'Control Room'!$B$16,'Process'!BL5=1),1+('Control Room'!$C$16-1)*EXP(-0.5*(($A344-'Control Room'!$A$16-('Control Room'!$B$16-1)/2)/MAX(0.5,'Control Room'!$B$16/4))^2),1)</x:f>
        <x:v>1</x:v>
      </x:c>
      <x:c r="L344" s="9" t="n">
        <x:f>MOD(M343*16807,2147483647)</x:f>
        <x:v>697863184</x:v>
      </x:c>
      <x:c r="M344" s="9" t="n">
        <x:f>MOD(L344*16807,2147483647)</x:f>
        <x:v>1578337221</x:v>
      </x:c>
      <x:c r="N344" s="17" t="n">
        <x:f>IF('Control Room'!$B$5="Normal",'Control Room'!$B$7+'Control Room'!$D$7*SQRT(-2*LN(MAX(0.000000000001,L344/2147483647)))*COS(2*PI()*M344/2147483647),'Control Room'!$B$8+('Control Room'!$D$8-'Control Room'!$B$8)*L344/2147483647)</x:f>
        <x:v>987.275996917308</x:v>
      </x:c>
      <x:c r="O344" s="17" t="n">
        <x:f>IF('Control Room'!$B$5="Normal",'Control Room'!$B$7,('Control Room'!$B$8+'Control Room'!$D$8)/2)+'Control Room'!$B$9*(O343-IF('Control Room'!$B$5="Normal",'Control Room'!$B$7,('Control Room'!$B$8+'Control Room'!$D$8)/2))+SQRT(1-'Control Room'!$B$9^2)*(N344-IF('Control Room'!$B$5="Normal",'Control Room'!$B$7,('Control Room'!$B$8+'Control Room'!$D$8)/2))</x:f>
        <x:v>915.5016536000235</x:v>
      </x:c>
      <x:c r="P344" s="17" t="n">
        <x:f>IF(AND($A344&gt;='Control Room'!$A$13,$A344&lt;'Control Room'!$A$13+'Control Room'!$B$13,'Process'!BM2=1),1+('Control Room'!$C$13-1)*EXP(-0.5*(($A344-'Control Room'!$A$13-('Control Room'!$B$13-1)/2)/MAX(0.5,'Control Room'!$B$13/4))^2),1)*IF(AND($A344&gt;='Control Room'!$A$14,$A344&lt;'Control Room'!$A$14+'Control Room'!$B$14,'Process'!BM3=1),1+('Control Room'!$C$14-1)*EXP(-0.5*(($A344-'Control Room'!$A$14-('Control Room'!$B$14-1)/2)/MAX(0.5,'Control Room'!$B$14/4))^2),1)*IF(AND($A344&gt;='Control Room'!$A$15,$A344&lt;'Control Room'!$A$15+'Control Room'!$B$15,'Process'!BM4=1),1+('Control Room'!$C$15-1)*EXP(-0.5*(($A344-'Control Room'!$A$15-('Control Room'!$B$15-1)/2)/MAX(0.5,'Control Room'!$B$15/4))^2),1)*IF(AND($A344&gt;='Control Room'!$A$16,$A344&lt;'Control Room'!$A$16+'Control Room'!$B$16,'Process'!BM5=1),1+('Control Room'!$C$16-1)*EXP(-0.5*(($A344-'Control Room'!$A$16-('Control Room'!$B$16-1)/2)/MAX(0.5,'Control Room'!$B$16/4))^2),1)</x:f>
        <x:v>1</x:v>
      </x:c>
      <x:c r="Q344" s="9" t="n">
        <x:f>MOD(R343*16807,2147483647)</x:f>
        <x:v>35181368</x:v>
      </x:c>
      <x:c r="R344" s="9" t="n">
        <x:f>MOD(Q344*16807,2147483647)</x:f>
        <x:v>735249051</x:v>
      </x:c>
      <x:c r="S344" s="17" t="n">
        <x:f>IF('Control Room'!$B$5="Normal",'Control Room'!$B$7+'Control Room'!$D$7*SQRT(-2*LN(MAX(0.000000000001,Q344/2147483647)))*COS(2*PI()*R344/2147483647),'Control Room'!$B$8+('Control Room'!$D$8-'Control Room'!$B$8)*Q344/2147483647)</x:f>
        <x:v>858.4732240879007</x:v>
      </x:c>
      <x:c r="T344" s="17" t="n">
        <x:f>IF('Control Room'!$B$5="Normal",'Control Room'!$B$7,('Control Room'!$B$8+'Control Room'!$D$8)/2)+'Control Room'!$B$9*(T343-IF('Control Room'!$B$5="Normal",'Control Room'!$B$7,('Control Room'!$B$8+'Control Room'!$D$8)/2))+SQRT(1-'Control Room'!$B$9^2)*(S344-IF('Control Room'!$B$5="Normal",'Control Room'!$B$7,('Control Room'!$B$8+'Control Room'!$D$8)/2))</x:f>
        <x:v>994.6806726851229</x:v>
      </x:c>
      <x:c r="U344" s="17" t="n">
        <x:f>IF(AND($A344&gt;='Control Room'!$A$13,$A344&lt;'Control Room'!$A$13+'Control Room'!$B$13,'Process'!BN2=1),1+('Control Room'!$C$13-1)*EXP(-0.5*(($A344-'Control Room'!$A$13-('Control Room'!$B$13-1)/2)/MAX(0.5,'Control Room'!$B$13/4))^2),1)*IF(AND($A344&gt;='Control Room'!$A$14,$A344&lt;'Control Room'!$A$14+'Control Room'!$B$14,'Process'!BN3=1),1+('Control Room'!$C$14-1)*EXP(-0.5*(($A344-'Control Room'!$A$14-('Control Room'!$B$14-1)/2)/MAX(0.5,'Control Room'!$B$14/4))^2),1)*IF(AND($A344&gt;='Control Room'!$A$15,$A344&lt;'Control Room'!$A$15+'Control Room'!$B$15,'Process'!BN4=1),1+('Control Room'!$C$15-1)*EXP(-0.5*(($A344-'Control Room'!$A$15-('Control Room'!$B$15-1)/2)/MAX(0.5,'Control Room'!$B$15/4))^2),1)*IF(AND($A344&gt;='Control Room'!$A$16,$A344&lt;'Control Room'!$A$16+'Control Room'!$B$16,'Process'!BN5=1),1+('Control Room'!$C$16-1)*EXP(-0.5*(($A344-'Control Room'!$A$16-('Control Room'!$B$16-1)/2)/MAX(0.5,'Control Room'!$B$16/4))^2),1)</x:f>
        <x:v>1</x:v>
      </x:c>
      <x:c r="V344" s="9" t="n">
        <x:f>MOD(W343*16807,2147483647)</x:f>
        <x:v>1519983199</x:v>
      </x:c>
      <x:c r="W344" s="9" t="n">
        <x:f>MOD(V344*16807,2147483647)</x:f>
        <x:v>2039644528</x:v>
      </x:c>
      <x:c r="X344" s="17" t="n">
        <x:f>IF('Control Room'!$B$5="Normal",'Control Room'!$B$7+'Control Room'!$D$7*SQRT(-2*LN(MAX(0.000000000001,V344/2147483647)))*COS(2*PI()*W344/2147483647),'Control Room'!$B$8+('Control Room'!$D$8-'Control Room'!$B$8)*V344/2147483647)</x:f>
        <x:v>1071.1306396088946</x:v>
      </x:c>
      <x:c r="Y344" s="17" t="n">
        <x:f>IF('Control Room'!$B$5="Normal",'Control Room'!$B$7,('Control Room'!$B$8+'Control Room'!$D$8)/2)+'Control Room'!$B$9*(Y343-IF('Control Room'!$B$5="Normal",'Control Room'!$B$7,('Control Room'!$B$8+'Control Room'!$D$8)/2))+SQRT(1-'Control Room'!$B$9^2)*(X344-IF('Control Room'!$B$5="Normal",'Control Room'!$B$7,('Control Room'!$B$8+'Control Room'!$D$8)/2))</x:f>
        <x:v>1112.7526429476804</x:v>
      </x:c>
      <x:c r="Z344" s="17" t="n">
        <x:f>IF(AND($A344&gt;='Control Room'!$A$13,$A344&lt;'Control Room'!$A$13+'Control Room'!$B$13,'Process'!BO2=1),1+('Control Room'!$C$13-1)*EXP(-0.5*(($A344-'Control Room'!$A$13-('Control Room'!$B$13-1)/2)/MAX(0.5,'Control Room'!$B$13/4))^2),1)*IF(AND($A344&gt;='Control Room'!$A$14,$A344&lt;'Control Room'!$A$14+'Control Room'!$B$14,'Process'!BO3=1),1+('Control Room'!$C$14-1)*EXP(-0.5*(($A344-'Control Room'!$A$14-('Control Room'!$B$14-1)/2)/MAX(0.5,'Control Room'!$B$14/4))^2),1)*IF(AND($A344&gt;='Control Room'!$A$15,$A344&lt;'Control Room'!$A$15+'Control Room'!$B$15,'Process'!BO4=1),1+('Control Room'!$C$15-1)*EXP(-0.5*(($A344-'Control Room'!$A$15-('Control Room'!$B$15-1)/2)/MAX(0.5,'Control Room'!$B$15/4))^2),1)*IF(AND($A344&gt;='Control Room'!$A$16,$A344&lt;'Control Room'!$A$16+'Control Room'!$B$16,'Process'!BO5=1),1+('Control Room'!$C$16-1)*EXP(-0.5*(($A344-'Control Room'!$A$16-('Control Room'!$B$16-1)/2)/MAX(0.5,'Control Room'!$B$16/4))^2),1)</x:f>
        <x:v>1</x:v>
      </x:c>
      <x:c r="AA344" s="9" t="n">
        <x:f>MOD(AB343*16807,2147483647)</x:f>
        <x:v>857301383</x:v>
      </x:c>
      <x:c r="AB344" s="9" t="n">
        <x:f>MOD(AA344*16807,2147483647)</x:f>
        <x:v>1196556358</x:v>
      </x:c>
      <x:c r="AC344" s="17" t="n">
        <x:f>IF('Control Room'!$B$5="Normal",'Control Room'!$B$7+'Control Room'!$D$7*SQRT(-2*LN(MAX(0.000000000001,AA344/2147483647)))*COS(2*PI()*AB344/2147483647),'Control Room'!$B$8+('Control Room'!$D$8-'Control Room'!$B$8)*AA344/2147483647)</x:f>
        <x:v>885.8233039558775</x:v>
      </x:c>
      <x:c r="AD344" s="17" t="n">
        <x:f>IF('Control Room'!$B$5="Normal",'Control Room'!$B$7,('Control Room'!$B$8+'Control Room'!$D$8)/2)+'Control Room'!$B$9*(AD343-IF('Control Room'!$B$5="Normal",'Control Room'!$B$7,('Control Room'!$B$8+'Control Room'!$D$8)/2))+SQRT(1-'Control Room'!$B$9^2)*(AC344-IF('Control Room'!$B$5="Normal",'Control Room'!$B$7,('Control Room'!$B$8+'Control Room'!$D$8)/2))</x:f>
        <x:v>959.6291030479767</x:v>
      </x:c>
      <x:c r="AE344" s="17" t="n">
        <x:f>IF(AND($A344&gt;='Control Room'!$A$13,$A344&lt;'Control Room'!$A$13+'Control Room'!$B$13,'Process'!BP2=1),1+('Control Room'!$C$13-1)*EXP(-0.5*(($A344-'Control Room'!$A$13-('Control Room'!$B$13-1)/2)/MAX(0.5,'Control Room'!$B$13/4))^2),1)*IF(AND($A344&gt;='Control Room'!$A$14,$A344&lt;'Control Room'!$A$14+'Control Room'!$B$14,'Process'!BP3=1),1+('Control Room'!$C$14-1)*EXP(-0.5*(($A344-'Control Room'!$A$14-('Control Room'!$B$14-1)/2)/MAX(0.5,'Control Room'!$B$14/4))^2),1)*IF(AND($A344&gt;='Control Room'!$A$15,$A344&lt;'Control Room'!$A$15+'Control Room'!$B$15,'Process'!BP4=1),1+('Control Room'!$C$15-1)*EXP(-0.5*(($A344-'Control Room'!$A$15-('Control Room'!$B$15-1)/2)/MAX(0.5,'Control Room'!$B$15/4))^2),1)*IF(AND($A344&gt;='Control Room'!$A$16,$A344&lt;'Control Room'!$A$16+'Control Room'!$B$16,'Process'!BP5=1),1+('Control Room'!$C$16-1)*EXP(-0.5*(($A344-'Control Room'!$A$16-('Control Room'!$B$16-1)/2)/MAX(0.5,'Control Room'!$B$16/4))^2),1)</x:f>
        <x:v>1</x:v>
      </x:c>
      <x:c r="AF344" s="9" t="n">
        <x:f>MOD(AG343*16807,2147483647)</x:f>
        <x:v>194619567</x:v>
      </x:c>
      <x:c r="AG344" s="9" t="n">
        <x:f>MOD(AF344*16807,2147483647)</x:f>
        <x:v>353468188</x:v>
      </x:c>
      <x:c r="AH344" s="17" t="n">
        <x:f>IF('Control Room'!$B$5="Normal",'Control Room'!$B$7+'Control Room'!$D$7*SQRT(-2*LN(MAX(0.000000000001,AF344/2147483647)))*COS(2*PI()*AG344/2147483647),'Control Room'!$B$8+('Control Room'!$D$8-'Control Room'!$B$8)*AF344/2147483647)</x:f>
        <x:v>1100.8239748883593</x:v>
      </x:c>
      <x:c r="AI344" s="17" t="n">
        <x:f>IF('Control Room'!$B$5="Normal",'Control Room'!$B$7,('Control Room'!$B$8+'Control Room'!$D$8)/2)+'Control Room'!$B$9*(AI343-IF('Control Room'!$B$5="Normal",'Control Room'!$B$7,('Control Room'!$B$8+'Control Room'!$D$8)/2))+SQRT(1-'Control Room'!$B$9^2)*(AH344-IF('Control Room'!$B$5="Normal",'Control Room'!$B$7,('Control Room'!$B$8+'Control Room'!$D$8)/2))</x:f>
        <x:v>1074.2185767776687</x:v>
      </x:c>
      <x:c r="AJ344" s="17" t="n">
        <x:f>IF(AND($A344&gt;='Control Room'!$A$13,$A344&lt;'Control Room'!$A$13+'Control Room'!$B$13,'Process'!BQ2=1),1+('Control Room'!$C$13-1)*EXP(-0.5*(($A344-'Control Room'!$A$13-('Control Room'!$B$13-1)/2)/MAX(0.5,'Control Room'!$B$13/4))^2),1)*IF(AND($A344&gt;='Control Room'!$A$14,$A344&lt;'Control Room'!$A$14+'Control Room'!$B$14,'Process'!BQ3=1),1+('Control Room'!$C$14-1)*EXP(-0.5*(($A344-'Control Room'!$A$14-('Control Room'!$B$14-1)/2)/MAX(0.5,'Control Room'!$B$14/4))^2),1)*IF(AND($A344&gt;='Control Room'!$A$15,$A344&lt;'Control Room'!$A$15+'Control Room'!$B$15,'Process'!BQ4=1),1+('Control Room'!$C$15-1)*EXP(-0.5*(($A344-'Control Room'!$A$15-('Control Room'!$B$15-1)/2)/MAX(0.5,'Control Room'!$B$15/4))^2),1)*IF(AND($A344&gt;='Control Room'!$A$16,$A344&lt;'Control Room'!$A$16+'Control Room'!$B$16,'Process'!BQ5=1),1+('Control Room'!$C$16-1)*EXP(-0.5*(($A344-'Control Room'!$A$16-('Control Room'!$B$16-1)/2)/MAX(0.5,'Control Room'!$B$16/4))^2),1)</x:f>
        <x:v>1</x:v>
      </x:c>
      <x:c r="AK344" s="9" t="n">
        <x:f>MOD(AL343*16807,2147483647)</x:f>
        <x:v>1679421398</x:v>
      </x:c>
      <x:c r="AL344" s="9" t="n">
        <x:f>MOD(AK344*16807,2147483647)</x:f>
        <x:v>1657863665</x:v>
      </x:c>
      <x:c r="AM344" s="17" t="n">
        <x:f>IF('Control Room'!$B$5="Normal",'Control Room'!$B$7+'Control Room'!$D$7*SQRT(-2*LN(MAX(0.000000000001,AK344/2147483647)))*COS(2*PI()*AL344/2147483647),'Control Room'!$B$8+('Control Room'!$D$8-'Control Room'!$B$8)*AK344/2147483647)</x:f>
        <x:v>1008.6969386220576</x:v>
      </x:c>
      <x:c r="AN344" s="17" t="n">
        <x:f>IF('Control Room'!$B$5="Normal",'Control Room'!$B$7,('Control Room'!$B$8+'Control Room'!$D$8)/2)+'Control Room'!$B$9*(AN343-IF('Control Room'!$B$5="Normal",'Control Room'!$B$7,('Control Room'!$B$8+'Control Room'!$D$8)/2))+SQRT(1-'Control Room'!$B$9^2)*(AM344-IF('Control Room'!$B$5="Normal",'Control Room'!$B$7,('Control Room'!$B$8+'Control Room'!$D$8)/2))</x:f>
        <x:v>968.5258125811214</x:v>
      </x:c>
      <x:c r="AO344" s="17" t="n">
        <x:f>IF(AND($A344&gt;='Control Room'!$A$13,$A344&lt;'Control Room'!$A$13+'Control Room'!$B$13,'Process'!BR2=1),1+('Control Room'!$C$13-1)*EXP(-0.5*(($A344-'Control Room'!$A$13-('Control Room'!$B$13-1)/2)/MAX(0.5,'Control Room'!$B$13/4))^2),1)*IF(AND($A344&gt;='Control Room'!$A$14,$A344&lt;'Control Room'!$A$14+'Control Room'!$B$14,'Process'!BR3=1),1+('Control Room'!$C$14-1)*EXP(-0.5*(($A344-'Control Room'!$A$14-('Control Room'!$B$14-1)/2)/MAX(0.5,'Control Room'!$B$14/4))^2),1)*IF(AND($A344&gt;='Control Room'!$A$15,$A344&lt;'Control Room'!$A$15+'Control Room'!$B$15,'Process'!BR4=1),1+('Control Room'!$C$15-1)*EXP(-0.5*(($A344-'Control Room'!$A$15-('Control Room'!$B$15-1)/2)/MAX(0.5,'Control Room'!$B$15/4))^2),1)*IF(AND($A344&gt;='Control Room'!$A$16,$A344&lt;'Control Room'!$A$16+'Control Room'!$B$16,'Process'!BR5=1),1+('Control Room'!$C$16-1)*EXP(-0.5*(($A344-'Control Room'!$A$16-('Control Room'!$B$16-1)/2)/MAX(0.5,'Control Room'!$B$16/4))^2),1)</x:f>
        <x:v>1</x:v>
      </x:c>
      <x:c r="AP344" s="9" t="n">
        <x:f>MOD(AQ343*16807,2147483647)</x:f>
        <x:v>1016739582</x:v>
      </x:c>
      <x:c r="AQ344" s="9" t="n">
        <x:f>MOD(AP344*16807,2147483647)</x:f>
        <x:v>814775495</x:v>
      </x:c>
      <x:c r="AR344" s="17" t="n">
        <x:f>IF('Control Room'!$B$5="Normal",'Control Room'!$B$7+'Control Room'!$D$7*SQRT(-2*LN(MAX(0.000000000001,AP344/2147483647)))*COS(2*PI()*AQ344/2147483647),'Control Room'!$B$8+('Control Room'!$D$8-'Control Room'!$B$8)*AP344/2147483647)</x:f>
        <x:v>920.0515994643918</x:v>
      </x:c>
      <x:c r="AS344" s="17" t="n">
        <x:f>IF('Control Room'!$B$5="Normal",'Control Room'!$B$7,('Control Room'!$B$8+'Control Room'!$D$8)/2)+'Control Room'!$B$9*(AS343-IF('Control Room'!$B$5="Normal",'Control Room'!$B$7,('Control Room'!$B$8+'Control Room'!$D$8)/2))+SQRT(1-'Control Room'!$B$9^2)*(AR344-IF('Control Room'!$B$5="Normal",'Control Room'!$B$7,('Control Room'!$B$8+'Control Room'!$D$8)/2))</x:f>
        <x:v>1095.2979957939606</x:v>
      </x:c>
      <x:c r="AT344" s="17" t="n">
        <x:f>IF(AND($A344&gt;='Control Room'!$A$13,$A344&lt;'Control Room'!$A$13+'Control Room'!$B$13,'Process'!BS2=1),1+('Control Room'!$C$13-1)*EXP(-0.5*(($A344-'Control Room'!$A$13-('Control Room'!$B$13-1)/2)/MAX(0.5,'Control Room'!$B$13/4))^2),1)*IF(AND($A344&gt;='Control Room'!$A$14,$A344&lt;'Control Room'!$A$14+'Control Room'!$B$14,'Process'!BS3=1),1+('Control Room'!$C$14-1)*EXP(-0.5*(($A344-'Control Room'!$A$14-('Control Room'!$B$14-1)/2)/MAX(0.5,'Control Room'!$B$14/4))^2),1)*IF(AND($A344&gt;='Control Room'!$A$15,$A344&lt;'Control Room'!$A$15+'Control Room'!$B$15,'Process'!BS4=1),1+('Control Room'!$C$15-1)*EXP(-0.5*(($A344-'Control Room'!$A$15-('Control Room'!$B$15-1)/2)/MAX(0.5,'Control Room'!$B$15/4))^2),1)*IF(AND($A344&gt;='Control Room'!$A$16,$A344&lt;'Control Room'!$A$16+'Control Room'!$B$16,'Process'!BS5=1),1+('Control Room'!$C$16-1)*EXP(-0.5*(($A344-'Control Room'!$A$16-('Control Room'!$B$16-1)/2)/MAX(0.5,'Control Room'!$B$16/4))^2),1)</x:f>
        <x:v>1</x:v>
      </x:c>
      <x:c r="AU344" s="9" t="n">
        <x:f>MOD(AV343*16807,2147483647)</x:f>
        <x:v>354057766</x:v>
      </x:c>
      <x:c r="AV344" s="9" t="n">
        <x:f>MOD(AU344*16807,2147483647)</x:f>
        <x:v>2119170972</x:v>
      </x:c>
      <x:c r="AW344" s="17" t="n">
        <x:f>IF('Control Room'!$B$5="Normal",'Control Room'!$B$7+'Control Room'!$D$7*SQRT(-2*LN(MAX(0.000000000001,AU344/2147483647)))*COS(2*PI()*AV344/2147483647),'Control Room'!$B$8+('Control Room'!$D$8-'Control Room'!$B$8)*AU344/2147483647)</x:f>
        <x:v>1170.2999075135535</x:v>
      </x:c>
      <x:c r="AX344" s="17" t="n">
        <x:f>IF('Control Room'!$B$5="Normal",'Control Room'!$B$7,('Control Room'!$B$8+'Control Room'!$D$8)/2)+'Control Room'!$B$9*(AX343-IF('Control Room'!$B$5="Normal",'Control Room'!$B$7,('Control Room'!$B$8+'Control Room'!$D$8)/2))+SQRT(1-'Control Room'!$B$9^2)*(AW344-IF('Control Room'!$B$5="Normal",'Control Room'!$B$7,('Control Room'!$B$8+'Control Room'!$D$8)/2))</x:f>
        <x:v>1210.130134946054</x:v>
      </x:c>
      <x:c r="AY344" s="17" t="n">
        <x:f>IF(AND($A344&gt;='Control Room'!$A$13,$A344&lt;'Control Room'!$A$13+'Control Room'!$B$13,'Process'!BT2=1),1+('Control Room'!$C$13-1)*EXP(-0.5*(($A344-'Control Room'!$A$13-('Control Room'!$B$13-1)/2)/MAX(0.5,'Control Room'!$B$13/4))^2),1)*IF(AND($A344&gt;='Control Room'!$A$14,$A344&lt;'Control Room'!$A$14+'Control Room'!$B$14,'Process'!BT3=1),1+('Control Room'!$C$14-1)*EXP(-0.5*(($A344-'Control Room'!$A$14-('Control Room'!$B$14-1)/2)/MAX(0.5,'Control Room'!$B$14/4))^2),1)*IF(AND($A344&gt;='Control Room'!$A$15,$A344&lt;'Control Room'!$A$15+'Control Room'!$B$15,'Process'!BT4=1),1+('Control Room'!$C$15-1)*EXP(-0.5*(($A344-'Control Room'!$A$15-('Control Room'!$B$15-1)/2)/MAX(0.5,'Control Room'!$B$15/4))^2),1)*IF(AND($A344&gt;='Control Room'!$A$16,$A344&lt;'Control Room'!$A$16+'Control Room'!$B$16,'Process'!BT5=1),1+('Control Room'!$C$16-1)*EXP(-0.5*(($A344-'Control Room'!$A$16-('Control Room'!$B$16-1)/2)/MAX(0.5,'Control Room'!$B$16/4))^2),1)</x:f>
        <x:v>1</x:v>
      </x:c>
      <x:c r="AZ344" s="9" t="n">
        <x:f>MOD(BA343*16807,2147483647)</x:f>
        <x:v>1838859597</x:v>
      </x:c>
      <x:c r="BA344" s="9" t="n">
        <x:f>MOD(AZ344*16807,2147483647)</x:f>
        <x:v>1276082802</x:v>
      </x:c>
      <x:c r="BB344" s="17" t="n">
        <x:f>IF('Control Room'!$B$5="Normal",'Control Room'!$B$7+'Control Room'!$D$7*SQRT(-2*LN(MAX(0.000000000001,AZ344/2147483647)))*COS(2*PI()*BA344/2147483647),'Control Room'!$B$8+('Control Room'!$D$8-'Control Room'!$B$8)*AZ344/2147483647)</x:f>
        <x:v>958.3976957003154</x:v>
      </x:c>
      <x:c r="BC344" s="17" t="n">
        <x:f>IF('Control Room'!$B$5="Normal",'Control Room'!$B$7,('Control Room'!$B$8+'Control Room'!$D$8)/2)+'Control Room'!$B$9*(BC343-IF('Control Room'!$B$5="Normal",'Control Room'!$B$7,('Control Room'!$B$8+'Control Room'!$D$8)/2))+SQRT(1-'Control Room'!$B$9^2)*(BB344-IF('Control Room'!$B$5="Normal",'Control Room'!$B$7,('Control Room'!$B$8+'Control Room'!$D$8)/2))</x:f>
        <x:v>1101.5709224532204</x:v>
      </x:c>
      <x:c r="BD344" s="17" t="n">
        <x:f>IF(AND($A344&gt;='Control Room'!$A$13,$A344&lt;'Control Room'!$A$13+'Control Room'!$B$13,'Process'!BU2=1),1+('Control Room'!$C$13-1)*EXP(-0.5*(($A344-'Control Room'!$A$13-('Control Room'!$B$13-1)/2)/MAX(0.5,'Control Room'!$B$13/4))^2),1)*IF(AND($A344&gt;='Control Room'!$A$14,$A344&lt;'Control Room'!$A$14+'Control Room'!$B$14,'Process'!BU3=1),1+('Control Room'!$C$14-1)*EXP(-0.5*(($A344-'Control Room'!$A$14-('Control Room'!$B$14-1)/2)/MAX(0.5,'Control Room'!$B$14/4))^2),1)*IF(AND($A344&gt;='Control Room'!$A$15,$A344&lt;'Control Room'!$A$15+'Control Room'!$B$15,'Process'!BU4=1),1+('Control Room'!$C$15-1)*EXP(-0.5*(($A344-'Control Room'!$A$15-('Control Room'!$B$15-1)/2)/MAX(0.5,'Control Room'!$B$15/4))^2),1)*IF(AND($A344&gt;='Control Room'!$A$16,$A344&lt;'Control Room'!$A$16+'Control Room'!$B$16,'Process'!BU5=1),1+('Control Room'!$C$16-1)*EXP(-0.5*(($A344-'Control Room'!$A$16-('Control Room'!$B$16-1)/2)/MAX(0.5,'Control Room'!$B$16/4))^2),1)</x:f>
        <x:v>1</x:v>
      </x:c>
      <x:c r="BE344" s="9" t="n">
        <x:f>MOD(BF343*16807,2147483647)</x:f>
        <x:v>1176177781</x:v>
      </x:c>
      <x:c r="BF344" s="9" t="n">
        <x:f>MOD(BE344*16807,2147483647)</x:f>
        <x:v>432994632</x:v>
      </x:c>
      <x:c r="BG344" s="17" t="n">
        <x:f>IF('Control Room'!$B$5="Normal",'Control Room'!$B$7+'Control Room'!$D$7*SQRT(-2*LN(MAX(0.000000000001,BE344/2147483647)))*COS(2*PI()*BF344/2147483647),'Control Room'!$B$8+('Control Room'!$D$8-'Control Room'!$B$8)*BE344/2147483647)</x:f>
        <x:v>1029.5546003780678</x:v>
      </x:c>
      <x:c r="BH344" s="17" t="n">
        <x:f>IF('Control Room'!$B$5="Normal",'Control Room'!$B$7,('Control Room'!$B$8+'Control Room'!$D$8)/2)+'Control Room'!$B$9*(BH343-IF('Control Room'!$B$5="Normal",'Control Room'!$B$7,('Control Room'!$B$8+'Control Room'!$D$8)/2))+SQRT(1-'Control Room'!$B$9^2)*(BG344-IF('Control Room'!$B$5="Normal",'Control Room'!$B$7,('Control Room'!$B$8+'Control Room'!$D$8)/2))</x:f>
        <x:v>980.8263113672457</x:v>
      </x:c>
      <x:c r="BI344" s="17" t="n">
        <x:f>IF(AND($A344&gt;='Control Room'!$A$13,$A344&lt;'Control Room'!$A$13+'Control Room'!$B$13,'Process'!BV2=1),1+('Control Room'!$C$13-1)*EXP(-0.5*(($A344-'Control Room'!$A$13-('Control Room'!$B$13-1)/2)/MAX(0.5,'Control Room'!$B$13/4))^2),1)*IF(AND($A344&gt;='Control Room'!$A$14,$A344&lt;'Control Room'!$A$14+'Control Room'!$B$14,'Process'!BV3=1),1+('Control Room'!$C$14-1)*EXP(-0.5*(($A344-'Control Room'!$A$14-('Control Room'!$B$14-1)/2)/MAX(0.5,'Control Room'!$B$14/4))^2),1)*IF(AND($A344&gt;='Control Room'!$A$15,$A344&lt;'Control Room'!$A$15+'Control Room'!$B$15,'Process'!BV4=1),1+('Control Room'!$C$15-1)*EXP(-0.5*(($A344-'Control Room'!$A$15-('Control Room'!$B$15-1)/2)/MAX(0.5,'Control Room'!$B$15/4))^2),1)*IF(AND($A344&gt;='Control Room'!$A$16,$A344&lt;'Control Room'!$A$16+'Control Room'!$B$16,'Process'!BV5=1),1+('Control Room'!$C$16-1)*EXP(-0.5*(($A344-'Control Room'!$A$16-('Control Room'!$B$16-1)/2)/MAX(0.5,'Control Room'!$B$16/4))^2),1)</x:f>
        <x:v>1</x:v>
      </x:c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Z344" t="str">
        <x:f>IF('Data'!A344="","",TEXT('Data'!A344,"mm-dd"))</x:f>
      </x:c>
    </x:row>
    <x:row r="345" ht="21" customHeight="1">
      <x:c r="A345" s="15" t="n">
        <x:f>'Control Room'!$B$1+343</x:f>
        <x:v>73334</x:v>
      </x:c>
      <x:c r="B345" s="9" t="n">
        <x:f>MOD(C344*16807,2147483647)</x:f>
        <x:v>619722524</x:v>
      </x:c>
      <x:c r="C345" s="9" t="n">
        <x:f>MOD(B345*16807,2147483647)</x:f>
        <x:v>380772918</x:v>
      </x:c>
      <x:c r="D345" s="17" t="n">
        <x:f>IF('Control Room'!$B$5="Normal",'Control Room'!$B$7+'Control Room'!$D$7*SQRT(-2*LN(MAX(0.000000000001,B345/2147483647)))*COS(2*PI()*C345/2147483647),'Control Room'!$B$8+('Control Room'!$D$8-'Control Room'!$B$8)*B345/2147483647)</x:f>
        <x:v>1062.5744895508178</x:v>
      </x:c>
      <x:c r="E345" s="17" t="n">
        <x:f>IF('Control Room'!$B$5="Normal",'Control Room'!$B$7,('Control Room'!$B$8+'Control Room'!$D$8)/2)+'Control Room'!$B$9*(E344-IF('Control Room'!$B$5="Normal",'Control Room'!$B$7,('Control Room'!$B$8+'Control Room'!$D$8)/2))+SQRT(1-'Control Room'!$B$9^2)*(D345-IF('Control Room'!$B$5="Normal",'Control Room'!$B$7,('Control Room'!$B$8+'Control Room'!$D$8)/2))</x:f>
        <x:v>947.0589488120353</x:v>
      </x:c>
      <x:c r="F345" s="17" t="n">
        <x:f>IF(AND($A345&gt;='Control Room'!$A$13,$A345&lt;'Control Room'!$A$13+'Control Room'!$B$13,'Process'!BK2=1),1+('Control Room'!$C$13-1)*EXP(-0.5*(($A345-'Control Room'!$A$13-('Control Room'!$B$13-1)/2)/MAX(0.5,'Control Room'!$B$13/4))^2),1)*IF(AND($A345&gt;='Control Room'!$A$14,$A345&lt;'Control Room'!$A$14+'Control Room'!$B$14,'Process'!BK3=1),1+('Control Room'!$C$14-1)*EXP(-0.5*(($A345-'Control Room'!$A$14-('Control Room'!$B$14-1)/2)/MAX(0.5,'Control Room'!$B$14/4))^2),1)*IF(AND($A345&gt;='Control Room'!$A$15,$A345&lt;'Control Room'!$A$15+'Control Room'!$B$15,'Process'!BK4=1),1+('Control Room'!$C$15-1)*EXP(-0.5*(($A345-'Control Room'!$A$15-('Control Room'!$B$15-1)/2)/MAX(0.5,'Control Room'!$B$15/4))^2),1)*IF(AND($A345&gt;='Control Room'!$A$16,$A345&lt;'Control Room'!$A$16+'Control Room'!$B$16,'Process'!BK5=1),1+('Control Room'!$C$16-1)*EXP(-0.5*(($A345-'Control Room'!$A$16-('Control Room'!$B$16-1)/2)/MAX(0.5,'Control Room'!$B$16/4))^2),1)</x:f>
        <x:v>1</x:v>
      </x:c>
      <x:c r="G345" s="9" t="n">
        <x:f>MOD(H344*16807,2147483647)</x:f>
        <x:v>2081435887</x:v>
      </x:c>
      <x:c r="H345" s="9" t="n">
        <x:f>MOD(G345*16807,2147483647)</x:f>
        <x:v>184343179</x:v>
      </x:c>
      <x:c r="I345" s="17" t="n">
        <x:f>IF('Control Room'!$B$5="Normal",'Control Room'!$B$7+'Control Room'!$D$7*SQRT(-2*LN(MAX(0.000000000001,G345/2147483647)))*COS(2*PI()*H345/2147483647),'Control Room'!$B$8+('Control Room'!$D$8-'Control Room'!$B$8)*G345/2147483647)</x:f>
        <x:v>1019.3024008334824</x:v>
      </x:c>
      <x:c r="J345" s="17" t="n">
        <x:f>IF('Control Room'!$B$5="Normal",'Control Room'!$B$7,('Control Room'!$B$8+'Control Room'!$D$8)/2)+'Control Room'!$B$9*(J344-IF('Control Room'!$B$5="Normal",'Control Room'!$B$7,('Control Room'!$B$8+'Control Room'!$D$8)/2))+SQRT(1-'Control Room'!$B$9^2)*(I345-IF('Control Room'!$B$5="Normal",'Control Room'!$B$7,('Control Room'!$B$8+'Control Room'!$D$8)/2))</x:f>
        <x:v>1054.8013003798053</x:v>
      </x:c>
      <x:c r="K345" s="17" t="n">
        <x:f>IF(AND($A345&gt;='Control Room'!$A$13,$A345&lt;'Control Room'!$A$13+'Control Room'!$B$13,'Process'!BL2=1),1+('Control Room'!$C$13-1)*EXP(-0.5*(($A345-'Control Room'!$A$13-('Control Room'!$B$13-1)/2)/MAX(0.5,'Control Room'!$B$13/4))^2),1)*IF(AND($A345&gt;='Control Room'!$A$14,$A345&lt;'Control Room'!$A$14+'Control Room'!$B$14,'Process'!BL3=1),1+('Control Room'!$C$14-1)*EXP(-0.5*(($A345-'Control Room'!$A$14-('Control Room'!$B$14-1)/2)/MAX(0.5,'Control Room'!$B$14/4))^2),1)*IF(AND($A345&gt;='Control Room'!$A$15,$A345&lt;'Control Room'!$A$15+'Control Room'!$B$15,'Process'!BL4=1),1+('Control Room'!$C$15-1)*EXP(-0.5*(($A345-'Control Room'!$A$15-('Control Room'!$B$15-1)/2)/MAX(0.5,'Control Room'!$B$15/4))^2),1)*IF(AND($A345&gt;='Control Room'!$A$16,$A345&lt;'Control Room'!$A$16+'Control Room'!$B$16,'Process'!BL5=1),1+('Control Room'!$C$16-1)*EXP(-0.5*(($A345-'Control Room'!$A$16-('Control Room'!$B$16-1)/2)/MAX(0.5,'Control Room'!$B$16/4))^2),1)</x:f>
        <x:v>1</x:v>
      </x:c>
      <x:c r="L345" s="9" t="n">
        <x:f>MOD(M344*16807,2147483647)</x:f>
        <x:v>1395665603</x:v>
      </x:c>
      <x:c r="M345" s="9" t="n">
        <x:f>MOD(L345*16807,2147483647)</x:f>
        <x:v>2135397087</x:v>
      </x:c>
      <x:c r="N345" s="17" t="n">
        <x:f>IF('Control Room'!$B$5="Normal",'Control Room'!$B$7+'Control Room'!$D$7*SQRT(-2*LN(MAX(0.000000000001,L345/2147483647)))*COS(2*PI()*M345/2147483647),'Control Room'!$B$8+('Control Room'!$D$8-'Control Room'!$B$8)*L345/2147483647)</x:f>
        <x:v>1083.500082139598</x:v>
      </x:c>
      <x:c r="O345" s="17" t="n">
        <x:f>IF('Control Room'!$B$5="Normal",'Control Room'!$B$7,('Control Room'!$B$8+'Control Room'!$D$8)/2)+'Control Room'!$B$9*(O344-IF('Control Room'!$B$5="Normal",'Control Room'!$B$7,('Control Room'!$B$8+'Control Room'!$D$8)/2))+SQRT(1-'Control Room'!$B$9^2)*(N345-IF('Control Room'!$B$5="Normal",'Control Room'!$B$7,('Control Room'!$B$8+'Control Room'!$D$8)/2))</x:f>
        <x:v>986.343930618817</x:v>
      </x:c>
      <x:c r="P345" s="17" t="n">
        <x:f>IF(AND($A345&gt;='Control Room'!$A$13,$A345&lt;'Control Room'!$A$13+'Control Room'!$B$13,'Process'!BM2=1),1+('Control Room'!$C$13-1)*EXP(-0.5*(($A345-'Control Room'!$A$13-('Control Room'!$B$13-1)/2)/MAX(0.5,'Control Room'!$B$13/4))^2),1)*IF(AND($A345&gt;='Control Room'!$A$14,$A345&lt;'Control Room'!$A$14+'Control Room'!$B$14,'Process'!BM3=1),1+('Control Room'!$C$14-1)*EXP(-0.5*(($A345-'Control Room'!$A$14-('Control Room'!$B$14-1)/2)/MAX(0.5,'Control Room'!$B$14/4))^2),1)*IF(AND($A345&gt;='Control Room'!$A$15,$A345&lt;'Control Room'!$A$15+'Control Room'!$B$15,'Process'!BM4=1),1+('Control Room'!$C$15-1)*EXP(-0.5*(($A345-'Control Room'!$A$15-('Control Room'!$B$15-1)/2)/MAX(0.5,'Control Room'!$B$15/4))^2),1)*IF(AND($A345&gt;='Control Room'!$A$16,$A345&lt;'Control Room'!$A$16+'Control Room'!$B$16,'Process'!BM5=1),1+('Control Room'!$C$16-1)*EXP(-0.5*(($A345-'Control Room'!$A$16-('Control Room'!$B$16-1)/2)/MAX(0.5,'Control Room'!$B$16/4))^2),1)</x:f>
        <x:v>1</x:v>
      </x:c>
      <x:c r="Q345" s="9" t="n">
        <x:f>MOD(R344*16807,2147483647)</x:f>
        <x:v>709895319</x:v>
      </x:c>
      <x:c r="R345" s="9" t="n">
        <x:f>MOD(Q345*16807,2147483647)</x:f>
        <x:v>1938967348</x:v>
      </x:c>
      <x:c r="S345" s="17" t="n">
        <x:f>IF('Control Room'!$B$5="Normal",'Control Room'!$B$7+'Control Room'!$D$7*SQRT(-2*LN(MAX(0.000000000001,Q345/2147483647)))*COS(2*PI()*R345/2147483647),'Control Room'!$B$8+('Control Room'!$D$8-'Control Room'!$B$8)*Q345/2147483647)</x:f>
        <x:v>1109.753961782995</x:v>
      </x:c>
      <x:c r="T345" s="17" t="n">
        <x:f>IF('Control Room'!$B$5="Normal",'Control Room'!$B$7,('Control Room'!$B$8+'Control Room'!$D$8)/2)+'Control Room'!$B$9*(T344-IF('Control Room'!$B$5="Normal",'Control Room'!$B$7,('Control Room'!$B$8+'Control Room'!$D$8)/2))+SQRT(1-'Control Room'!$B$9^2)*(S345-IF('Control Room'!$B$5="Normal",'Control Room'!$B$7,('Control Room'!$B$8+'Control Room'!$D$8)/2))</x:f>
        <x:v>1064.5327055460739</x:v>
      </x:c>
      <x:c r="U345" s="17" t="n">
        <x:f>IF(AND($A345&gt;='Control Room'!$A$13,$A345&lt;'Control Room'!$A$13+'Control Room'!$B$13,'Process'!BN2=1),1+('Control Room'!$C$13-1)*EXP(-0.5*(($A345-'Control Room'!$A$13-('Control Room'!$B$13-1)/2)/MAX(0.5,'Control Room'!$B$13/4))^2),1)*IF(AND($A345&gt;='Control Room'!$A$14,$A345&lt;'Control Room'!$A$14+'Control Room'!$B$14,'Process'!BN3=1),1+('Control Room'!$C$14-1)*EXP(-0.5*(($A345-'Control Room'!$A$14-('Control Room'!$B$14-1)/2)/MAX(0.5,'Control Room'!$B$14/4))^2),1)*IF(AND($A345&gt;='Control Room'!$A$15,$A345&lt;'Control Room'!$A$15+'Control Room'!$B$15,'Process'!BN4=1),1+('Control Room'!$C$15-1)*EXP(-0.5*(($A345-'Control Room'!$A$15-('Control Room'!$B$15-1)/2)/MAX(0.5,'Control Room'!$B$15/4))^2),1)*IF(AND($A345&gt;='Control Room'!$A$16,$A345&lt;'Control Room'!$A$16+'Control Room'!$B$16,'Process'!BN5=1),1+('Control Room'!$C$16-1)*EXP(-0.5*(($A345-'Control Room'!$A$16-('Control Room'!$B$16-1)/2)/MAX(0.5,'Control Room'!$B$16/4))^2),1)</x:f>
        <x:v>1</x:v>
      </x:c>
      <x:c r="V345" s="9" t="n">
        <x:f>MOD(W344*16807,2147483647)</x:f>
        <x:v>24125035</x:v>
      </x:c>
      <x:c r="W345" s="9" t="n">
        <x:f>MOD(V345*16807,2147483647)</x:f>
        <x:v>1742537609</x:v>
      </x:c>
      <x:c r="X345" s="17" t="n">
        <x:f>IF('Control Room'!$B$5="Normal",'Control Room'!$B$7+'Control Room'!$D$7*SQRT(-2*LN(MAX(0.000000000001,V345/2147483647)))*COS(2*PI()*W345/2147483647),'Control Room'!$B$8+('Control Room'!$D$8-'Control Room'!$B$8)*V345/2147483647)</x:f>
        <x:v>1101.5222388565885</x:v>
      </x:c>
      <x:c r="Y345" s="17" t="n">
        <x:f>IF('Control Room'!$B$5="Normal",'Control Room'!$B$7,('Control Room'!$B$8+'Control Room'!$D$8)/2)+'Control Room'!$B$9*(Y344-IF('Control Room'!$B$5="Normal",'Control Room'!$B$7,('Control Room'!$B$8+'Control Room'!$D$8)/2))+SQRT(1-'Control Room'!$B$9^2)*(X345-IF('Control Room'!$B$5="Normal",'Control Room'!$B$7,('Control Room'!$B$8+'Control Room'!$D$8)/2))</x:f>
        <x:v>1151.477598779534</x:v>
      </x:c>
      <x:c r="Z345" s="17" t="n">
        <x:f>IF(AND($A345&gt;='Control Room'!$A$13,$A345&lt;'Control Room'!$A$13+'Control Room'!$B$13,'Process'!BO2=1),1+('Control Room'!$C$13-1)*EXP(-0.5*(($A345-'Control Room'!$A$13-('Control Room'!$B$13-1)/2)/MAX(0.5,'Control Room'!$B$13/4))^2),1)*IF(AND($A345&gt;='Control Room'!$A$14,$A345&lt;'Control Room'!$A$14+'Control Room'!$B$14,'Process'!BO3=1),1+('Control Room'!$C$14-1)*EXP(-0.5*(($A345-'Control Room'!$A$14-('Control Room'!$B$14-1)/2)/MAX(0.5,'Control Room'!$B$14/4))^2),1)*IF(AND($A345&gt;='Control Room'!$A$15,$A345&lt;'Control Room'!$A$15+'Control Room'!$B$15,'Process'!BO4=1),1+('Control Room'!$C$15-1)*EXP(-0.5*(($A345-'Control Room'!$A$15-('Control Room'!$B$15-1)/2)/MAX(0.5,'Control Room'!$B$15/4))^2),1)*IF(AND($A345&gt;='Control Room'!$A$16,$A345&lt;'Control Room'!$A$16+'Control Room'!$B$16,'Process'!BO5=1),1+('Control Room'!$C$16-1)*EXP(-0.5*(($A345-'Control Room'!$A$16-('Control Room'!$B$16-1)/2)/MAX(0.5,'Control Room'!$B$16/4))^2),1)</x:f>
        <x:v>1</x:v>
      </x:c>
      <x:c r="AA345" s="9" t="n">
        <x:f>MOD(AB344*16807,2147483647)</x:f>
        <x:v>1485838398</x:v>
      </x:c>
      <x:c r="AB345" s="9" t="n">
        <x:f>MOD(AA345*16807,2147483647)</x:f>
        <x:v>1546107870</x:v>
      </x:c>
      <x:c r="AC345" s="17" t="n">
        <x:f>IF('Control Room'!$B$5="Normal",'Control Room'!$B$7+'Control Room'!$D$7*SQRT(-2*LN(MAX(0.000000000001,AA345/2147483647)))*COS(2*PI()*AB345/2147483647),'Control Room'!$B$8+('Control Room'!$D$8-'Control Room'!$B$8)*AA345/2147483647)</x:f>
        <x:v>985.5079466536588</x:v>
      </x:c>
      <x:c r="AD345" s="17" t="n">
        <x:f>IF('Control Room'!$B$5="Normal",'Control Room'!$B$7,('Control Room'!$B$8+'Control Room'!$D$8)/2)+'Control Room'!$B$9*(AD344-IF('Control Room'!$B$5="Normal",'Control Room'!$B$7,('Control Room'!$B$8+'Control Room'!$D$8)/2))+SQRT(1-'Control Room'!$B$9^2)*(AC345-IF('Control Room'!$B$5="Normal",'Control Room'!$B$7,('Control Room'!$B$8+'Control Room'!$D$8)/2))</x:f>
        <x:v>959.4418702791314</x:v>
      </x:c>
      <x:c r="AE345" s="17" t="n">
        <x:f>IF(AND($A345&gt;='Control Room'!$A$13,$A345&lt;'Control Room'!$A$13+'Control Room'!$B$13,'Process'!BP2=1),1+('Control Room'!$C$13-1)*EXP(-0.5*(($A345-'Control Room'!$A$13-('Control Room'!$B$13-1)/2)/MAX(0.5,'Control Room'!$B$13/4))^2),1)*IF(AND($A345&gt;='Control Room'!$A$14,$A345&lt;'Control Room'!$A$14+'Control Room'!$B$14,'Process'!BP3=1),1+('Control Room'!$C$14-1)*EXP(-0.5*(($A345-'Control Room'!$A$14-('Control Room'!$B$14-1)/2)/MAX(0.5,'Control Room'!$B$14/4))^2),1)*IF(AND($A345&gt;='Control Room'!$A$15,$A345&lt;'Control Room'!$A$15+'Control Room'!$B$15,'Process'!BP4=1),1+('Control Room'!$C$15-1)*EXP(-0.5*(($A345-'Control Room'!$A$15-('Control Room'!$B$15-1)/2)/MAX(0.5,'Control Room'!$B$15/4))^2),1)*IF(AND($A345&gt;='Control Room'!$A$16,$A345&lt;'Control Room'!$A$16+'Control Room'!$B$16,'Process'!BP5=1),1+('Control Room'!$C$16-1)*EXP(-0.5*(($A345-'Control Room'!$A$16-('Control Room'!$B$16-1)/2)/MAX(0.5,'Control Room'!$B$16/4))^2),1)</x:f>
        <x:v>1</x:v>
      </x:c>
      <x:c r="AF345" s="9" t="n">
        <x:f>MOD(AG344*16807,2147483647)</x:f>
        <x:v>800068114</x:v>
      </x:c>
      <x:c r="AG345" s="9" t="n">
        <x:f>MOD(AF345*16807,2147483647)</x:f>
        <x:v>1349678131</x:v>
      </x:c>
      <x:c r="AH345" s="17" t="n">
        <x:f>IF('Control Room'!$B$5="Normal",'Control Room'!$B$7+'Control Room'!$D$7*SQRT(-2*LN(MAX(0.000000000001,AF345/2147483647)))*COS(2*PI()*AG345/2147483647),'Control Room'!$B$8+('Control Room'!$D$8-'Control Room'!$B$8)*AF345/2147483647)</x:f>
        <x:v>912.554841476283</x:v>
      </x:c>
      <x:c r="AI345" s="17" t="n">
        <x:f>IF('Control Room'!$B$5="Normal",'Control Room'!$B$7,('Control Room'!$B$8+'Control Room'!$D$8)/2)+'Control Room'!$B$9*(AI344-IF('Control Room'!$B$5="Normal",'Control Room'!$B$7,('Control Room'!$B$8+'Control Room'!$D$8)/2))+SQRT(1-'Control Room'!$B$9^2)*(AH345-IF('Control Room'!$B$5="Normal",'Control Room'!$B$7,('Control Room'!$B$8+'Control Room'!$D$8)/2))</x:f>
        <x:v>1003.1691010938836</x:v>
      </x:c>
      <x:c r="AJ345" s="17" t="n">
        <x:f>IF(AND($A345&gt;='Control Room'!$A$13,$A345&lt;'Control Room'!$A$13+'Control Room'!$B$13,'Process'!BQ2=1),1+('Control Room'!$C$13-1)*EXP(-0.5*(($A345-'Control Room'!$A$13-('Control Room'!$B$13-1)/2)/MAX(0.5,'Control Room'!$B$13/4))^2),1)*IF(AND($A345&gt;='Control Room'!$A$14,$A345&lt;'Control Room'!$A$14+'Control Room'!$B$14,'Process'!BQ3=1),1+('Control Room'!$C$14-1)*EXP(-0.5*(($A345-'Control Room'!$A$14-('Control Room'!$B$14-1)/2)/MAX(0.5,'Control Room'!$B$14/4))^2),1)*IF(AND($A345&gt;='Control Room'!$A$15,$A345&lt;'Control Room'!$A$15+'Control Room'!$B$15,'Process'!BQ4=1),1+('Control Room'!$C$15-1)*EXP(-0.5*(($A345-'Control Room'!$A$15-('Control Room'!$B$15-1)/2)/MAX(0.5,'Control Room'!$B$15/4))^2),1)*IF(AND($A345&gt;='Control Room'!$A$16,$A345&lt;'Control Room'!$A$16+'Control Room'!$B$16,'Process'!BQ5=1),1+('Control Room'!$C$16-1)*EXP(-0.5*(($A345-'Control Room'!$A$16-('Control Room'!$B$16-1)/2)/MAX(0.5,'Control Room'!$B$16/4))^2),1)</x:f>
        <x:v>1</x:v>
      </x:c>
      <x:c r="AK345" s="9" t="n">
        <x:f>MOD(AL344*16807,2147483647)</x:f>
        <x:v>114297830</x:v>
      </x:c>
      <x:c r="AL345" s="9" t="n">
        <x:f>MOD(AK345*16807,2147483647)</x:f>
        <x:v>1153248392</x:v>
      </x:c>
      <x:c r="AM345" s="17" t="n">
        <x:f>IF('Control Room'!$B$5="Normal",'Control Room'!$B$7+'Control Room'!$D$7*SQRT(-2*LN(MAX(0.000000000001,AK345/2147483647)))*COS(2*PI()*AL345/2147483647),'Control Room'!$B$8+('Control Room'!$D$8-'Control Room'!$B$8)*AK345/2147483647)</x:f>
        <x:v>787.883967383963</x:v>
      </x:c>
      <x:c r="AN345" s="17" t="n">
        <x:f>IF('Control Room'!$B$5="Normal",'Control Room'!$B$7,('Control Room'!$B$8+'Control Room'!$D$8)/2)+'Control Room'!$B$9*(AN344-IF('Control Room'!$B$5="Normal",'Control Room'!$B$7,('Control Room'!$B$8+'Control Room'!$D$8)/2))+SQRT(1-'Control Room'!$B$9^2)*(AM345-IF('Control Room'!$B$5="Normal",'Control Room'!$B$7,('Control Room'!$B$8+'Control Room'!$D$8)/2))</x:f>
        <x:v>842.7122660352821</x:v>
      </x:c>
      <x:c r="AO345" s="17" t="n">
        <x:f>IF(AND($A345&gt;='Control Room'!$A$13,$A345&lt;'Control Room'!$A$13+'Control Room'!$B$13,'Process'!BR2=1),1+('Control Room'!$C$13-1)*EXP(-0.5*(($A345-'Control Room'!$A$13-('Control Room'!$B$13-1)/2)/MAX(0.5,'Control Room'!$B$13/4))^2),1)*IF(AND($A345&gt;='Control Room'!$A$14,$A345&lt;'Control Room'!$A$14+'Control Room'!$B$14,'Process'!BR3=1),1+('Control Room'!$C$14-1)*EXP(-0.5*(($A345-'Control Room'!$A$14-('Control Room'!$B$14-1)/2)/MAX(0.5,'Control Room'!$B$14/4))^2),1)*IF(AND($A345&gt;='Control Room'!$A$15,$A345&lt;'Control Room'!$A$15+'Control Room'!$B$15,'Process'!BR4=1),1+('Control Room'!$C$15-1)*EXP(-0.5*(($A345-'Control Room'!$A$15-('Control Room'!$B$15-1)/2)/MAX(0.5,'Control Room'!$B$15/4))^2),1)*IF(AND($A345&gt;='Control Room'!$A$16,$A345&lt;'Control Room'!$A$16+'Control Room'!$B$16,'Process'!BR5=1),1+('Control Room'!$C$16-1)*EXP(-0.5*(($A345-'Control Room'!$A$16-('Control Room'!$B$16-1)/2)/MAX(0.5,'Control Room'!$B$16/4))^2),1)</x:f>
        <x:v>1</x:v>
      </x:c>
      <x:c r="AP345" s="9" t="n">
        <x:f>MOD(AQ344*16807,2147483647)</x:f>
        <x:v>1576011193</x:v>
      </x:c>
      <x:c r="AQ345" s="9" t="n">
        <x:f>MOD(AP345*16807,2147483647)</x:f>
        <x:v>956818653</x:v>
      </x:c>
      <x:c r="AR345" s="17" t="n">
        <x:f>IF('Control Room'!$B$5="Normal",'Control Room'!$B$7+'Control Room'!$D$7*SQRT(-2*LN(MAX(0.000000000001,AP345/2147483647)))*COS(2*PI()*AQ345/2147483647),'Control Room'!$B$8+('Control Room'!$D$8-'Control Room'!$B$8)*AP345/2147483647)</x:f>
        <x:v>933.3050841854845</x:v>
      </x:c>
      <x:c r="AS345" s="17" t="n">
        <x:f>IF('Control Room'!$B$5="Normal",'Control Room'!$B$7,('Control Room'!$B$8+'Control Room'!$D$8)/2)+'Control Room'!$B$9*(AS344-IF('Control Room'!$B$5="Normal",'Control Room'!$B$7,('Control Room'!$B$8+'Control Room'!$D$8)/2))+SQRT(1-'Control Room'!$B$9^2)*(AR345-IF('Control Room'!$B$5="Normal",'Control Room'!$B$7,('Control Room'!$B$8+'Control Room'!$D$8)/2))</x:f>
        <x:v>1032.596124722182</x:v>
      </x:c>
      <x:c r="AT345" s="17" t="n">
        <x:f>IF(AND($A345&gt;='Control Room'!$A$13,$A345&lt;'Control Room'!$A$13+'Control Room'!$B$13,'Process'!BS2=1),1+('Control Room'!$C$13-1)*EXP(-0.5*(($A345-'Control Room'!$A$13-('Control Room'!$B$13-1)/2)/MAX(0.5,'Control Room'!$B$13/4))^2),1)*IF(AND($A345&gt;='Control Room'!$A$14,$A345&lt;'Control Room'!$A$14+'Control Room'!$B$14,'Process'!BS3=1),1+('Control Room'!$C$14-1)*EXP(-0.5*(($A345-'Control Room'!$A$14-('Control Room'!$B$14-1)/2)/MAX(0.5,'Control Room'!$B$14/4))^2),1)*IF(AND($A345&gt;='Control Room'!$A$15,$A345&lt;'Control Room'!$A$15+'Control Room'!$B$15,'Process'!BS4=1),1+('Control Room'!$C$15-1)*EXP(-0.5*(($A345-'Control Room'!$A$15-('Control Room'!$B$15-1)/2)/MAX(0.5,'Control Room'!$B$15/4))^2),1)*IF(AND($A345&gt;='Control Room'!$A$16,$A345&lt;'Control Room'!$A$16+'Control Room'!$B$16,'Process'!BS5=1),1+('Control Room'!$C$16-1)*EXP(-0.5*(($A345-'Control Room'!$A$16-('Control Room'!$B$16-1)/2)/MAX(0.5,'Control Room'!$B$16/4))^2),1)</x:f>
        <x:v>1</x:v>
      </x:c>
      <x:c r="AU345" s="9" t="n">
        <x:f>MOD(AV344*16807,2147483647)</x:f>
        <x:v>890240909</x:v>
      </x:c>
      <x:c r="AV345" s="9" t="n">
        <x:f>MOD(AU345*16807,2147483647)</x:f>
        <x:v>760388914</x:v>
      </x:c>
      <x:c r="AW345" s="17" t="n">
        <x:f>IF('Control Room'!$B$5="Normal",'Control Room'!$B$7+'Control Room'!$D$7*SQRT(-2*LN(MAX(0.000000000001,AU345/2147483647)))*COS(2*PI()*AV345/2147483647),'Control Room'!$B$8+('Control Room'!$D$8-'Control Room'!$B$8)*AU345/2147483647)</x:f>
        <x:v>927.3410994679666</x:v>
      </x:c>
      <x:c r="AX345" s="17" t="n">
        <x:f>IF('Control Room'!$B$5="Normal",'Control Room'!$B$7,('Control Room'!$B$8+'Control Room'!$D$8)/2)+'Control Room'!$B$9*(AX344-IF('Control Room'!$B$5="Normal",'Control Room'!$B$7,('Control Room'!$B$8+'Control Room'!$D$8)/2))+SQRT(1-'Control Room'!$B$9^2)*(AW345-IF('Control Room'!$B$5="Normal",'Control Room'!$B$7,('Control Room'!$B$8+'Control Room'!$D$8)/2))</x:f>
        <x:v>1118.4330538034603</x:v>
      </x:c>
      <x:c r="AY345" s="17" t="n">
        <x:f>IF(AND($A345&gt;='Control Room'!$A$13,$A345&lt;'Control Room'!$A$13+'Control Room'!$B$13,'Process'!BT2=1),1+('Control Room'!$C$13-1)*EXP(-0.5*(($A345-'Control Room'!$A$13-('Control Room'!$B$13-1)/2)/MAX(0.5,'Control Room'!$B$13/4))^2),1)*IF(AND($A345&gt;='Control Room'!$A$14,$A345&lt;'Control Room'!$A$14+'Control Room'!$B$14,'Process'!BT3=1),1+('Control Room'!$C$14-1)*EXP(-0.5*(($A345-'Control Room'!$A$14-('Control Room'!$B$14-1)/2)/MAX(0.5,'Control Room'!$B$14/4))^2),1)*IF(AND($A345&gt;='Control Room'!$A$15,$A345&lt;'Control Room'!$A$15+'Control Room'!$B$15,'Process'!BT4=1),1+('Control Room'!$C$15-1)*EXP(-0.5*(($A345-'Control Room'!$A$15-('Control Room'!$B$15-1)/2)/MAX(0.5,'Control Room'!$B$15/4))^2),1)*IF(AND($A345&gt;='Control Room'!$A$16,$A345&lt;'Control Room'!$A$16+'Control Room'!$B$16,'Process'!BT5=1),1+('Control Room'!$C$16-1)*EXP(-0.5*(($A345-'Control Room'!$A$16-('Control Room'!$B$16-1)/2)/MAX(0.5,'Control Room'!$B$16/4))^2),1)</x:f>
        <x:v>1</x:v>
      </x:c>
      <x:c r="AZ345" s="9" t="n">
        <x:f>MOD(BA344*16807,2147483647)</x:f>
        <x:v>204470625</x:v>
      </x:c>
      <x:c r="BA345" s="9" t="n">
        <x:f>MOD(AZ345*16807,2147483647)</x:f>
        <x:v>563959175</x:v>
      </x:c>
      <x:c r="BB345" s="17" t="n">
        <x:f>IF('Control Room'!$B$5="Normal",'Control Room'!$B$7+'Control Room'!$D$7*SQRT(-2*LN(MAX(0.000000000001,AZ345/2147483647)))*COS(2*PI()*BA345/2147483647),'Control Room'!$B$8+('Control Room'!$D$8-'Control Room'!$B$8)*AZ345/2147483647)</x:f>
        <x:v>984.5468082894954</x:v>
      </x:c>
      <x:c r="BC345" s="17" t="n">
        <x:f>IF('Control Room'!$B$5="Normal",'Control Room'!$B$7,('Control Room'!$B$8+'Control Room'!$D$8)/2)+'Control Room'!$B$9*(BC344-IF('Control Room'!$B$5="Normal",'Control Room'!$B$7,('Control Room'!$B$8+'Control Room'!$D$8)/2))+SQRT(1-'Control Room'!$B$9^2)*(BB345-IF('Control Room'!$B$5="Normal",'Control Room'!$B$7,('Control Room'!$B$8+'Control Room'!$D$8)/2))</x:f>
        <x:v>1069.5550287169178</x:v>
      </x:c>
      <x:c r="BD345" s="17" t="n">
        <x:f>IF(AND($A345&gt;='Control Room'!$A$13,$A345&lt;'Control Room'!$A$13+'Control Room'!$B$13,'Process'!BU2=1),1+('Control Room'!$C$13-1)*EXP(-0.5*(($A345-'Control Room'!$A$13-('Control Room'!$B$13-1)/2)/MAX(0.5,'Control Room'!$B$13/4))^2),1)*IF(AND($A345&gt;='Control Room'!$A$14,$A345&lt;'Control Room'!$A$14+'Control Room'!$B$14,'Process'!BU3=1),1+('Control Room'!$C$14-1)*EXP(-0.5*(($A345-'Control Room'!$A$14-('Control Room'!$B$14-1)/2)/MAX(0.5,'Control Room'!$B$14/4))^2),1)*IF(AND($A345&gt;='Control Room'!$A$15,$A345&lt;'Control Room'!$A$15+'Control Room'!$B$15,'Process'!BU4=1),1+('Control Room'!$C$15-1)*EXP(-0.5*(($A345-'Control Room'!$A$15-('Control Room'!$B$15-1)/2)/MAX(0.5,'Control Room'!$B$15/4))^2),1)*IF(AND($A345&gt;='Control Room'!$A$16,$A345&lt;'Control Room'!$A$16+'Control Room'!$B$16,'Process'!BU5=1),1+('Control Room'!$C$16-1)*EXP(-0.5*(($A345-'Control Room'!$A$16-('Control Room'!$B$16-1)/2)/MAX(0.5,'Control Room'!$B$16/4))^2),1)</x:f>
        <x:v>1</x:v>
      </x:c>
      <x:c r="BE345" s="9" t="n">
        <x:f>MOD(BF344*16807,2147483647)</x:f>
        <x:v>1666183988</x:v>
      </x:c>
      <x:c r="BF345" s="9" t="n">
        <x:f>MOD(BE345*16807,2147483647)</x:f>
        <x:v>367529436</x:v>
      </x:c>
      <x:c r="BG345" s="17" t="n">
        <x:f>IF('Control Room'!$B$5="Normal",'Control Room'!$B$7+'Control Room'!$D$7*SQRT(-2*LN(MAX(0.000000000001,BE345/2147483647)))*COS(2*PI()*BF345/2147483647),'Control Room'!$B$8+('Control Room'!$D$8-'Control Room'!$B$8)*BE345/2147483647)</x:f>
        <x:v>1030.483619264958</x:v>
      </x:c>
      <x:c r="BH345" s="17" t="n">
        <x:f>IF('Control Room'!$B$5="Normal",'Control Room'!$B$7,('Control Room'!$B$8+'Control Room'!$D$8)/2)+'Control Room'!$B$9*(BH344-IF('Control Room'!$B$5="Normal",'Control Room'!$B$7,('Control Room'!$B$8+'Control Room'!$D$8)/2))+SQRT(1-'Control Room'!$B$9^2)*(BG345-IF('Control Room'!$B$5="Normal",'Control Room'!$B$7,('Control Room'!$B$8+'Control Room'!$D$8)/2))</x:f>
        <x:v>1004.1205473115776</x:v>
      </x:c>
      <x:c r="BI345" s="17" t="n">
        <x:f>IF(AND($A345&gt;='Control Room'!$A$13,$A345&lt;'Control Room'!$A$13+'Control Room'!$B$13,'Process'!BV2=1),1+('Control Room'!$C$13-1)*EXP(-0.5*(($A345-'Control Room'!$A$13-('Control Room'!$B$13-1)/2)/MAX(0.5,'Control Room'!$B$13/4))^2),1)*IF(AND($A345&gt;='Control Room'!$A$14,$A345&lt;'Control Room'!$A$14+'Control Room'!$B$14,'Process'!BV3=1),1+('Control Room'!$C$14-1)*EXP(-0.5*(($A345-'Control Room'!$A$14-('Control Room'!$B$14-1)/2)/MAX(0.5,'Control Room'!$B$14/4))^2),1)*IF(AND($A345&gt;='Control Room'!$A$15,$A345&lt;'Control Room'!$A$15+'Control Room'!$B$15,'Process'!BV4=1),1+('Control Room'!$C$15-1)*EXP(-0.5*(($A345-'Control Room'!$A$15-('Control Room'!$B$15-1)/2)/MAX(0.5,'Control Room'!$B$15/4))^2),1)*IF(AND($A345&gt;='Control Room'!$A$16,$A345&lt;'Control Room'!$A$16+'Control Room'!$B$16,'Process'!BV5=1),1+('Control Room'!$C$16-1)*EXP(-0.5*(($A345-'Control Room'!$A$16-('Control Room'!$B$16-1)/2)/MAX(0.5,'Control Room'!$B$16/4))^2),1)</x:f>
        <x:v>1</x:v>
      </x:c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Z345" t="str">
        <x:f>IF('Data'!A345="","",TEXT('Data'!A345,"mm-dd"))</x:f>
      </x:c>
    </x:row>
    <x:row r="346" ht="21" customHeight="1">
      <x:c r="A346" s="15" t="n">
        <x:f>'Control Room'!$B$1+344</x:f>
        <x:v>73335</x:v>
      </x:c>
      <x:c r="B346" s="9" t="n">
        <x:f>MOD(C345*16807,2147483647)</x:f>
        <x:v>149164766</x:v>
      </x:c>
      <x:c r="C346" s="9" t="n">
        <x:f>MOD(B346*16807,2147483647)</x:f>
        <x:v>898806113</x:v>
      </x:c>
      <x:c r="D346" s="17" t="n">
        <x:f>IF('Control Room'!$B$5="Normal",'Control Room'!$B$7+'Control Room'!$D$7*SQRT(-2*LN(MAX(0.000000000001,B346/2147483647)))*COS(2*PI()*C346/2147483647),'Control Room'!$B$8+('Control Room'!$D$8-'Control Room'!$B$8)*B346/2147483647)</x:f>
        <x:v>818.7784316102102</x:v>
      </x:c>
      <x:c r="E346" s="17" t="n">
        <x:f>IF('Control Room'!$B$5="Normal",'Control Room'!$B$7,('Control Room'!$B$8+'Control Room'!$D$8)/2)+'Control Room'!$B$9*(E345-IF('Control Room'!$B$5="Normal",'Control Room'!$B$7,('Control Room'!$B$8+'Control Room'!$D$8)/2))+SQRT(1-'Control Room'!$B$9^2)*(D346-IF('Control Room'!$B$5="Normal",'Control Room'!$B$7,('Control Room'!$B$8+'Control Room'!$D$8)/2))</x:f>
        <x:v>845.3012351006793</x:v>
      </x:c>
      <x:c r="F346" s="17" t="n">
        <x:f>IF(AND($A346&gt;='Control Room'!$A$13,$A346&lt;'Control Room'!$A$13+'Control Room'!$B$13,'Process'!BK2=1),1+('Control Room'!$C$13-1)*EXP(-0.5*(($A346-'Control Room'!$A$13-('Control Room'!$B$13-1)/2)/MAX(0.5,'Control Room'!$B$13/4))^2),1)*IF(AND($A346&gt;='Control Room'!$A$14,$A346&lt;'Control Room'!$A$14+'Control Room'!$B$14,'Process'!BK3=1),1+('Control Room'!$C$14-1)*EXP(-0.5*(($A346-'Control Room'!$A$14-('Control Room'!$B$14-1)/2)/MAX(0.5,'Control Room'!$B$14/4))^2),1)*IF(AND($A346&gt;='Control Room'!$A$15,$A346&lt;'Control Room'!$A$15+'Control Room'!$B$15,'Process'!BK4=1),1+('Control Room'!$C$15-1)*EXP(-0.5*(($A346-'Control Room'!$A$15-('Control Room'!$B$15-1)/2)/MAX(0.5,'Control Room'!$B$15/4))^2),1)*IF(AND($A346&gt;='Control Room'!$A$16,$A346&lt;'Control Room'!$A$16+'Control Room'!$B$16,'Process'!BK5=1),1+('Control Room'!$C$16-1)*EXP(-0.5*(($A346-'Control Room'!$A$16-('Control Room'!$B$16-1)/2)/MAX(0.5,'Control Room'!$B$16/4))^2),1)</x:f>
        <x:v>1</x:v>
      </x:c>
      <x:c r="G346" s="9" t="n">
        <x:f>MOD(H345*16807,2147483647)</x:f>
        <x:v>1584390479</x:v>
      </x:c>
      <x:c r="H346" s="9" t="n">
        <x:f>MOD(G346*16807,2147483647)</x:f>
        <x:v>53557753</x:v>
      </x:c>
      <x:c r="I346" s="17" t="n">
        <x:f>IF('Control Room'!$B$5="Normal",'Control Room'!$B$7+'Control Room'!$D$7*SQRT(-2*LN(MAX(0.000000000001,G346/2147483647)))*COS(2*PI()*H346/2147483647),'Control Room'!$B$8+('Control Room'!$D$8-'Control Room'!$B$8)*G346/2147483647)</x:f>
        <x:v>1069.328130267889</x:v>
      </x:c>
      <x:c r="J346" s="17" t="n">
        <x:f>IF('Control Room'!$B$5="Normal",'Control Room'!$B$7,('Control Room'!$B$8+'Control Room'!$D$8)/2)+'Control Room'!$B$9*(J345-IF('Control Room'!$B$5="Normal",'Control Room'!$B$7,('Control Room'!$B$8+'Control Room'!$D$8)/2))+SQRT(1-'Control Room'!$B$9^2)*(I346-IF('Control Room'!$B$5="Normal",'Control Room'!$B$7,('Control Room'!$B$8+'Control Room'!$D$8)/2))</x:f>
        <x:v>1086.1291379539464</x:v>
      </x:c>
      <x:c r="K346" s="17" t="n">
        <x:f>IF(AND($A346&gt;='Control Room'!$A$13,$A346&lt;'Control Room'!$A$13+'Control Room'!$B$13,'Process'!BL2=1),1+('Control Room'!$C$13-1)*EXP(-0.5*(($A346-'Control Room'!$A$13-('Control Room'!$B$13-1)/2)/MAX(0.5,'Control Room'!$B$13/4))^2),1)*IF(AND($A346&gt;='Control Room'!$A$14,$A346&lt;'Control Room'!$A$14+'Control Room'!$B$14,'Process'!BL3=1),1+('Control Room'!$C$14-1)*EXP(-0.5*(($A346-'Control Room'!$A$14-('Control Room'!$B$14-1)/2)/MAX(0.5,'Control Room'!$B$14/4))^2),1)*IF(AND($A346&gt;='Control Room'!$A$15,$A346&lt;'Control Room'!$A$15+'Control Room'!$B$15,'Process'!BL4=1),1+('Control Room'!$C$15-1)*EXP(-0.5*(($A346-'Control Room'!$A$15-('Control Room'!$B$15-1)/2)/MAX(0.5,'Control Room'!$B$15/4))^2),1)*IF(AND($A346&gt;='Control Room'!$A$16,$A346&lt;'Control Room'!$A$16+'Control Room'!$B$16,'Process'!BL5=1),1+('Control Room'!$C$16-1)*EXP(-0.5*(($A346-'Control Room'!$A$16-('Control Room'!$B$16-1)/2)/MAX(0.5,'Control Room'!$B$16/4))^2),1)</x:f>
        <x:v>1</x:v>
      </x:c>
      <x:c r="L346" s="9" t="n">
        <x:f>MOD(M345*16807,2147483647)</x:f>
        <x:v>872132545</x:v>
      </x:c>
      <x:c r="M346" s="9" t="n">
        <x:f>MOD(L346*16807,2147483647)</x:f>
        <x:v>1355793040</x:v>
      </x:c>
      <x:c r="N346" s="17" t="n">
        <x:f>IF('Control Room'!$B$5="Normal",'Control Room'!$B$7+'Control Room'!$D$7*SQRT(-2*LN(MAX(0.000000000001,L346/2147483647)))*COS(2*PI()*M346/2147483647),'Control Room'!$B$8+('Control Room'!$D$8-'Control Room'!$B$8)*L346/2147483647)</x:f>
        <x:v>918.0362039185759</x:v>
      </x:c>
      <x:c r="O346" s="17" t="n">
        <x:f>IF('Control Room'!$B$5="Normal",'Control Room'!$B$7,('Control Room'!$B$8+'Control Room'!$D$8)/2)+'Control Room'!$B$9*(O345-IF('Control Room'!$B$5="Normal",'Control Room'!$B$7,('Control Room'!$B$8+'Control Room'!$D$8)/2))+SQRT(1-'Control Room'!$B$9^2)*(N346-IF('Control Room'!$B$5="Normal",'Control Room'!$B$7,('Control Room'!$B$8+'Control Room'!$D$8)/2))</x:f>
        <x:v>938.0570014145532</x:v>
      </x:c>
      <x:c r="P346" s="17" t="n">
        <x:f>IF(AND($A346&gt;='Control Room'!$A$13,$A346&lt;'Control Room'!$A$13+'Control Room'!$B$13,'Process'!BM2=1),1+('Control Room'!$C$13-1)*EXP(-0.5*(($A346-'Control Room'!$A$13-('Control Room'!$B$13-1)/2)/MAX(0.5,'Control Room'!$B$13/4))^2),1)*IF(AND($A346&gt;='Control Room'!$A$14,$A346&lt;'Control Room'!$A$14+'Control Room'!$B$14,'Process'!BM3=1),1+('Control Room'!$C$14-1)*EXP(-0.5*(($A346-'Control Room'!$A$14-('Control Room'!$B$14-1)/2)/MAX(0.5,'Control Room'!$B$14/4))^2),1)*IF(AND($A346&gt;='Control Room'!$A$15,$A346&lt;'Control Room'!$A$15+'Control Room'!$B$15,'Process'!BM4=1),1+('Control Room'!$C$15-1)*EXP(-0.5*(($A346-'Control Room'!$A$15-('Control Room'!$B$15-1)/2)/MAX(0.5,'Control Room'!$B$15/4))^2),1)*IF(AND($A346&gt;='Control Room'!$A$16,$A346&lt;'Control Room'!$A$16+'Control Room'!$B$16,'Process'!BM5=1),1+('Control Room'!$C$16-1)*EXP(-0.5*(($A346-'Control Room'!$A$16-('Control Room'!$B$16-1)/2)/MAX(0.5,'Control Room'!$B$16/4))^2),1)</x:f>
        <x:v>1</x:v>
      </x:c>
      <x:c r="Q346" s="9" t="n">
        <x:f>MOD(R345*16807,2147483647)</x:f>
        <x:v>159874611</x:v>
      </x:c>
      <x:c r="R346" s="9" t="n">
        <x:f>MOD(Q346*16807,2147483647)</x:f>
        <x:v>510544680</x:v>
      </x:c>
      <x:c r="S346" s="17" t="n">
        <x:f>IF('Control Room'!$B$5="Normal",'Control Room'!$B$7+'Control Room'!$D$7*SQRT(-2*LN(MAX(0.000000000001,Q346/2147483647)))*COS(2*PI()*R346/2147483647),'Control Room'!$B$8+('Control Room'!$D$8-'Control Room'!$B$8)*Q346/2147483647)</x:f>
        <x:v>1015.7854881254435</x:v>
      </x:c>
      <x:c r="T346" s="17" t="n">
        <x:f>IF('Control Room'!$B$5="Normal",'Control Room'!$B$7,('Control Room'!$B$8+'Control Room'!$D$8)/2)+'Control Room'!$B$9*(T345-IF('Control Room'!$B$5="Normal",'Control Room'!$B$7,('Control Room'!$B$8+'Control Room'!$D$8)/2))+SQRT(1-'Control Room'!$B$9^2)*(S346-IF('Control Room'!$B$5="Normal",'Control Room'!$B$7,('Control Room'!$B$8+'Control Room'!$D$8)/2))</x:f>
        <x:v>1060.2137454115384</x:v>
      </x:c>
      <x:c r="U346" s="17" t="n">
        <x:f>IF(AND($A346&gt;='Control Room'!$A$13,$A346&lt;'Control Room'!$A$13+'Control Room'!$B$13,'Process'!BN2=1),1+('Control Room'!$C$13-1)*EXP(-0.5*(($A346-'Control Room'!$A$13-('Control Room'!$B$13-1)/2)/MAX(0.5,'Control Room'!$B$13/4))^2),1)*IF(AND($A346&gt;='Control Room'!$A$14,$A346&lt;'Control Room'!$A$14+'Control Room'!$B$14,'Process'!BN3=1),1+('Control Room'!$C$14-1)*EXP(-0.5*(($A346-'Control Room'!$A$14-('Control Room'!$B$14-1)/2)/MAX(0.5,'Control Room'!$B$14/4))^2),1)*IF(AND($A346&gt;='Control Room'!$A$15,$A346&lt;'Control Room'!$A$15+'Control Room'!$B$15,'Process'!BN4=1),1+('Control Room'!$C$15-1)*EXP(-0.5*(($A346-'Control Room'!$A$15-('Control Room'!$B$15-1)/2)/MAX(0.5,'Control Room'!$B$15/4))^2),1)*IF(AND($A346&gt;='Control Room'!$A$16,$A346&lt;'Control Room'!$A$16+'Control Room'!$B$16,'Process'!BN5=1),1+('Control Room'!$C$16-1)*EXP(-0.5*(($A346-'Control Room'!$A$16-('Control Room'!$B$16-1)/2)/MAX(0.5,'Control Room'!$B$16/4))^2),1)</x:f>
        <x:v>1</x:v>
      </x:c>
      <x:c r="V346" s="9" t="n">
        <x:f>MOD(W345*16807,2147483647)</x:f>
        <x:v>1595100324</x:v>
      </x:c>
      <x:c r="W346" s="9" t="n">
        <x:f>MOD(V346*16807,2147483647)</x:f>
        <x:v>1812779967</x:v>
      </x:c>
      <x:c r="X346" s="17" t="n">
        <x:f>IF('Control Room'!$B$5="Normal",'Control Room'!$B$7+'Control Room'!$D$7*SQRT(-2*LN(MAX(0.000000000001,V346/2147483647)))*COS(2*PI()*W346/2147483647),'Control Room'!$B$8+('Control Room'!$D$8-'Control Room'!$B$8)*V346/2147483647)</x:f>
        <x:v>1038.7018959118807</x:v>
      </x:c>
      <x:c r="Y346" s="17" t="n">
        <x:f>IF('Control Room'!$B$5="Normal",'Control Room'!$B$7,('Control Room'!$B$8+'Control Room'!$D$8)/2)+'Control Room'!$B$9*(Y345-IF('Control Room'!$B$5="Normal",'Control Room'!$B$7,('Control Room'!$B$8+'Control Room'!$D$8)/2))+SQRT(1-'Control Room'!$B$9^2)*(X346-IF('Control Room'!$B$5="Normal",'Control Room'!$B$7,('Control Room'!$B$8+'Control Room'!$D$8)/2))</x:f>
        <x:v>1142.3713806582584</x:v>
      </x:c>
      <x:c r="Z346" s="17" t="n">
        <x:f>IF(AND($A346&gt;='Control Room'!$A$13,$A346&lt;'Control Room'!$A$13+'Control Room'!$B$13,'Process'!BO2=1),1+('Control Room'!$C$13-1)*EXP(-0.5*(($A346-'Control Room'!$A$13-('Control Room'!$B$13-1)/2)/MAX(0.5,'Control Room'!$B$13/4))^2),1)*IF(AND($A346&gt;='Control Room'!$A$14,$A346&lt;'Control Room'!$A$14+'Control Room'!$B$14,'Process'!BO3=1),1+('Control Room'!$C$14-1)*EXP(-0.5*(($A346-'Control Room'!$A$14-('Control Room'!$B$14-1)/2)/MAX(0.5,'Control Room'!$B$14/4))^2),1)*IF(AND($A346&gt;='Control Room'!$A$15,$A346&lt;'Control Room'!$A$15+'Control Room'!$B$15,'Process'!BO4=1),1+('Control Room'!$C$15-1)*EXP(-0.5*(($A346-'Control Room'!$A$15-('Control Room'!$B$15-1)/2)/MAX(0.5,'Control Room'!$B$15/4))^2),1)*IF(AND($A346&gt;='Control Room'!$A$16,$A346&lt;'Control Room'!$A$16+'Control Room'!$B$16,'Process'!BO5=1),1+('Control Room'!$C$16-1)*EXP(-0.5*(($A346-'Control Room'!$A$16-('Control Room'!$B$16-1)/2)/MAX(0.5,'Control Room'!$B$16/4))^2),1)</x:f>
        <x:v>1</x:v>
      </x:c>
      <x:c r="AA346" s="9" t="n">
        <x:f>MOD(AB345*16807,2147483647)</x:f>
        <x:v>882842390</x:v>
      </x:c>
      <x:c r="AB346" s="9" t="n">
        <x:f>MOD(AA346*16807,2147483647)</x:f>
        <x:v>967531607</x:v>
      </x:c>
      <x:c r="AC346" s="17" t="n">
        <x:f>IF('Control Room'!$B$5="Normal",'Control Room'!$B$7+'Control Room'!$D$7*SQRT(-2*LN(MAX(0.000000000001,AA346/2147483647)))*COS(2*PI()*AB346/2147483647),'Control Room'!$B$8+('Control Room'!$D$8-'Control Room'!$B$8)*AA346/2147483647)</x:f>
        <x:v>885.7465367253221</x:v>
      </x:c>
      <x:c r="AD346" s="17" t="n">
        <x:f>IF('Control Room'!$B$5="Normal",'Control Room'!$B$7,('Control Room'!$B$8+'Control Room'!$D$8)/2)+'Control Room'!$B$9*(AD345-IF('Control Room'!$B$5="Normal",'Control Room'!$B$7,('Control Room'!$B$8+'Control Room'!$D$8)/2))+SQRT(1-'Control Room'!$B$9^2)*(AC346-IF('Control Room'!$B$5="Normal",'Control Room'!$B$7,('Control Room'!$B$8+'Control Room'!$D$8)/2))</x:f>
        <x:v>896.8671821098478</x:v>
      </x:c>
      <x:c r="AE346" s="17" t="n">
        <x:f>IF(AND($A346&gt;='Control Room'!$A$13,$A346&lt;'Control Room'!$A$13+'Control Room'!$B$13,'Process'!BP2=1),1+('Control Room'!$C$13-1)*EXP(-0.5*(($A346-'Control Room'!$A$13-('Control Room'!$B$13-1)/2)/MAX(0.5,'Control Room'!$B$13/4))^2),1)*IF(AND($A346&gt;='Control Room'!$A$14,$A346&lt;'Control Room'!$A$14+'Control Room'!$B$14,'Process'!BP3=1),1+('Control Room'!$C$14-1)*EXP(-0.5*(($A346-'Control Room'!$A$14-('Control Room'!$B$14-1)/2)/MAX(0.5,'Control Room'!$B$14/4))^2),1)*IF(AND($A346&gt;='Control Room'!$A$15,$A346&lt;'Control Room'!$A$15+'Control Room'!$B$15,'Process'!BP4=1),1+('Control Room'!$C$15-1)*EXP(-0.5*(($A346-'Control Room'!$A$15-('Control Room'!$B$15-1)/2)/MAX(0.5,'Control Room'!$B$15/4))^2),1)*IF(AND($A346&gt;='Control Room'!$A$16,$A346&lt;'Control Room'!$A$16+'Control Room'!$B$16,'Process'!BP5=1),1+('Control Room'!$C$16-1)*EXP(-0.5*(($A346-'Control Room'!$A$16-('Control Room'!$B$16-1)/2)/MAX(0.5,'Control Room'!$B$16/4))^2),1)</x:f>
        <x:v>1</x:v>
      </x:c>
      <x:c r="AF346" s="9" t="n">
        <x:f>MOD(AG345*16807,2147483647)</x:f>
        <x:v>170584456</x:v>
      </x:c>
      <x:c r="AG346" s="9" t="n">
        <x:f>MOD(AF346*16807,2147483647)</x:f>
        <x:v>122283247</x:v>
      </x:c>
      <x:c r="AH346" s="17" t="n">
        <x:f>IF('Control Room'!$B$5="Normal",'Control Room'!$B$7+'Control Room'!$D$7*SQRT(-2*LN(MAX(0.000000000001,AF346/2147483647)))*COS(2*PI()*AG346/2147483647),'Control Room'!$B$8+('Control Room'!$D$8-'Control Room'!$B$8)*AF346/2147483647)</x:f>
        <x:v>1189.7358227945942</x:v>
      </x:c>
      <x:c r="AI346" s="17" t="n">
        <x:f>IF('Control Room'!$B$5="Normal",'Control Room'!$B$7,('Control Room'!$B$8+'Control Room'!$D$8)/2)+'Control Room'!$B$9*(AI345-IF('Control Room'!$B$5="Normal",'Control Room'!$B$7,('Control Room'!$B$8+'Control Room'!$D$8)/2))+SQRT(1-'Control Room'!$B$9^2)*(AH346-IF('Control Room'!$B$5="Normal",'Control Room'!$B$7,('Control Room'!$B$8+'Control Room'!$D$8)/2))</x:f>
        <x:v>1121.2046898084818</x:v>
      </x:c>
      <x:c r="AJ346" s="17" t="n">
        <x:f>IF(AND($A346&gt;='Control Room'!$A$13,$A346&lt;'Control Room'!$A$13+'Control Room'!$B$13,'Process'!BQ2=1),1+('Control Room'!$C$13-1)*EXP(-0.5*(($A346-'Control Room'!$A$13-('Control Room'!$B$13-1)/2)/MAX(0.5,'Control Room'!$B$13/4))^2),1)*IF(AND($A346&gt;='Control Room'!$A$14,$A346&lt;'Control Room'!$A$14+'Control Room'!$B$14,'Process'!BQ3=1),1+('Control Room'!$C$14-1)*EXP(-0.5*(($A346-'Control Room'!$A$14-('Control Room'!$B$14-1)/2)/MAX(0.5,'Control Room'!$B$14/4))^2),1)*IF(AND($A346&gt;='Control Room'!$A$15,$A346&lt;'Control Room'!$A$15+'Control Room'!$B$15,'Process'!BQ4=1),1+('Control Room'!$C$15-1)*EXP(-0.5*(($A346-'Control Room'!$A$15-('Control Room'!$B$15-1)/2)/MAX(0.5,'Control Room'!$B$15/4))^2),1)*IF(AND($A346&gt;='Control Room'!$A$16,$A346&lt;'Control Room'!$A$16+'Control Room'!$B$16,'Process'!BQ5=1),1+('Control Room'!$C$16-1)*EXP(-0.5*(($A346-'Control Room'!$A$16-('Control Room'!$B$16-1)/2)/MAX(0.5,'Control Room'!$B$16/4))^2),1)</x:f>
        <x:v>1</x:v>
      </x:c>
      <x:c r="AK346" s="9" t="n">
        <x:f>MOD(AL345*16807,2147483647)</x:f>
        <x:v>1605810169</x:v>
      </x:c>
      <x:c r="AL346" s="9" t="n">
        <x:f>MOD(AK346*16807,2147483647)</x:f>
        <x:v>1424518534</x:v>
      </x:c>
      <x:c r="AM346" s="17" t="n">
        <x:f>IF('Control Room'!$B$5="Normal",'Control Room'!$B$7+'Control Room'!$D$7*SQRT(-2*LN(MAX(0.000000000001,AK346/2147483647)))*COS(2*PI()*AL346/2147483647),'Control Room'!$B$8+('Control Room'!$D$8-'Control Room'!$B$8)*AK346/2147483647)</x:f>
        <x:v>964.4561374408247</x:v>
      </x:c>
      <x:c r="AN346" s="17" t="n">
        <x:f>IF('Control Room'!$B$5="Normal",'Control Room'!$B$7,('Control Room'!$B$8+'Control Room'!$D$8)/2)+'Control Room'!$B$9*(AN345-IF('Control Room'!$B$5="Normal",'Control Room'!$B$7,('Control Room'!$B$8+'Control Room'!$D$8)/2))+SQRT(1-'Control Room'!$B$9^2)*(AM346-IF('Control Room'!$B$5="Normal",'Control Room'!$B$7,('Control Room'!$B$8+'Control Room'!$D$8)/2))</x:f>
        <x:v>855.0729464735915</x:v>
      </x:c>
      <x:c r="AO346" s="17" t="n">
        <x:f>IF(AND($A346&gt;='Control Room'!$A$13,$A346&lt;'Control Room'!$A$13+'Control Room'!$B$13,'Process'!BR2=1),1+('Control Room'!$C$13-1)*EXP(-0.5*(($A346-'Control Room'!$A$13-('Control Room'!$B$13-1)/2)/MAX(0.5,'Control Room'!$B$13/4))^2),1)*IF(AND($A346&gt;='Control Room'!$A$14,$A346&lt;'Control Room'!$A$14+'Control Room'!$B$14,'Process'!BR3=1),1+('Control Room'!$C$14-1)*EXP(-0.5*(($A346-'Control Room'!$A$14-('Control Room'!$B$14-1)/2)/MAX(0.5,'Control Room'!$B$14/4))^2),1)*IF(AND($A346&gt;='Control Room'!$A$15,$A346&lt;'Control Room'!$A$15+'Control Room'!$B$15,'Process'!BR4=1),1+('Control Room'!$C$15-1)*EXP(-0.5*(($A346-'Control Room'!$A$15-('Control Room'!$B$15-1)/2)/MAX(0.5,'Control Room'!$B$15/4))^2),1)*IF(AND($A346&gt;='Control Room'!$A$16,$A346&lt;'Control Room'!$A$16+'Control Room'!$B$16,'Process'!BR5=1),1+('Control Room'!$C$16-1)*EXP(-0.5*(($A346-'Control Room'!$A$16-('Control Room'!$B$16-1)/2)/MAX(0.5,'Control Room'!$B$16/4))^2),1)</x:f>
        <x:v>1</x:v>
      </x:c>
      <x:c r="AP346" s="9" t="n">
        <x:f>MOD(AQ345*16807,2147483647)</x:f>
        <x:v>893552235</x:v>
      </x:c>
      <x:c r="AQ346" s="9" t="n">
        <x:f>MOD(AP346*16807,2147483647)</x:f>
        <x:v>579270174</x:v>
      </x:c>
      <x:c r="AR346" s="17" t="n">
        <x:f>IF('Control Room'!$B$5="Normal",'Control Room'!$B$7+'Control Room'!$D$7*SQRT(-2*LN(MAX(0.000000000001,AP346/2147483647)))*COS(2*PI()*AQ346/2147483647),'Control Room'!$B$8+('Control Room'!$D$8-'Control Room'!$B$8)*AP346/2147483647)</x:f>
        <x:v>985.2526733397062</x:v>
      </x:c>
      <x:c r="AS346" s="17" t="n">
        <x:f>IF('Control Room'!$B$5="Normal",'Control Room'!$B$7,('Control Room'!$B$8+'Control Room'!$D$8)/2)+'Control Room'!$B$9*(AS345-IF('Control Room'!$B$5="Normal",'Control Room'!$B$7,('Control Room'!$B$8+'Control Room'!$D$8)/2))+SQRT(1-'Control Room'!$B$9^2)*(AR346-IF('Control Room'!$B$5="Normal",'Control Room'!$B$7,('Control Room'!$B$8+'Control Room'!$D$8)/2))</x:f>
        <x:v>1016.1964023746981</x:v>
      </x:c>
      <x:c r="AT346" s="17" t="n">
        <x:f>IF(AND($A346&gt;='Control Room'!$A$13,$A346&lt;'Control Room'!$A$13+'Control Room'!$B$13,'Process'!BS2=1),1+('Control Room'!$C$13-1)*EXP(-0.5*(($A346-'Control Room'!$A$13-('Control Room'!$B$13-1)/2)/MAX(0.5,'Control Room'!$B$13/4))^2),1)*IF(AND($A346&gt;='Control Room'!$A$14,$A346&lt;'Control Room'!$A$14+'Control Room'!$B$14,'Process'!BS3=1),1+('Control Room'!$C$14-1)*EXP(-0.5*(($A346-'Control Room'!$A$14-('Control Room'!$B$14-1)/2)/MAX(0.5,'Control Room'!$B$14/4))^2),1)*IF(AND($A346&gt;='Control Room'!$A$15,$A346&lt;'Control Room'!$A$15+'Control Room'!$B$15,'Process'!BS4=1),1+('Control Room'!$C$15-1)*EXP(-0.5*(($A346-'Control Room'!$A$15-('Control Room'!$B$15-1)/2)/MAX(0.5,'Control Room'!$B$15/4))^2),1)*IF(AND($A346&gt;='Control Room'!$A$16,$A346&lt;'Control Room'!$A$16+'Control Room'!$B$16,'Process'!BS5=1),1+('Control Room'!$C$16-1)*EXP(-0.5*(($A346-'Control Room'!$A$16-('Control Room'!$B$16-1)/2)/MAX(0.5,'Control Room'!$B$16/4))^2),1)</x:f>
        <x:v>1</x:v>
      </x:c>
      <x:c r="AU346" s="9" t="n">
        <x:f>MOD(AV345*16807,2147483647)</x:f>
        <x:v>181294301</x:v>
      </x:c>
      <x:c r="AV346" s="9" t="n">
        <x:f>MOD(AU346*16807,2147483647)</x:f>
        <x:v>1881505461</x:v>
      </x:c>
      <x:c r="AW346" s="17" t="n">
        <x:f>IF('Control Room'!$B$5="Normal",'Control Room'!$B$7+'Control Room'!$D$7*SQRT(-2*LN(MAX(0.000000000001,AU346/2147483647)))*COS(2*PI()*AV346/2147483647),'Control Room'!$B$8+('Control Room'!$D$8-'Control Room'!$B$8)*AU346/2147483647)</x:f>
        <x:v>1142.5150315125786</x:v>
      </x:c>
      <x:c r="AX346" s="17" t="n">
        <x:f>IF('Control Room'!$B$5="Normal",'Control Room'!$B$7,('Control Room'!$B$8+'Control Room'!$D$8)/2)+'Control Room'!$B$9*(AX345-IF('Control Room'!$B$5="Normal",'Control Room'!$B$7,('Control Room'!$B$8+'Control Room'!$D$8)/2))+SQRT(1-'Control Room'!$B$9^2)*(AW346-IF('Control Room'!$B$5="Normal",'Control Room'!$B$7,('Control Room'!$B$8+'Control Room'!$D$8)/2))</x:f>
        <x:v>1181.560769108157</x:v>
      </x:c>
      <x:c r="AY346" s="17" t="n">
        <x:f>IF(AND($A346&gt;='Control Room'!$A$13,$A346&lt;'Control Room'!$A$13+'Control Room'!$B$13,'Process'!BT2=1),1+('Control Room'!$C$13-1)*EXP(-0.5*(($A346-'Control Room'!$A$13-('Control Room'!$B$13-1)/2)/MAX(0.5,'Control Room'!$B$13/4))^2),1)*IF(AND($A346&gt;='Control Room'!$A$14,$A346&lt;'Control Room'!$A$14+'Control Room'!$B$14,'Process'!BT3=1),1+('Control Room'!$C$14-1)*EXP(-0.5*(($A346-'Control Room'!$A$14-('Control Room'!$B$14-1)/2)/MAX(0.5,'Control Room'!$B$14/4))^2),1)*IF(AND($A346&gt;='Control Room'!$A$15,$A346&lt;'Control Room'!$A$15+'Control Room'!$B$15,'Process'!BT4=1),1+('Control Room'!$C$15-1)*EXP(-0.5*(($A346-'Control Room'!$A$15-('Control Room'!$B$15-1)/2)/MAX(0.5,'Control Room'!$B$15/4))^2),1)*IF(AND($A346&gt;='Control Room'!$A$16,$A346&lt;'Control Room'!$A$16+'Control Room'!$B$16,'Process'!BT5=1),1+('Control Room'!$C$16-1)*EXP(-0.5*(($A346-'Control Room'!$A$16-('Control Room'!$B$16-1)/2)/MAX(0.5,'Control Room'!$B$16/4))^2),1)</x:f>
        <x:v>1</x:v>
      </x:c>
      <x:c r="AZ346" s="9" t="n">
        <x:f>MOD(BA345*16807,2147483647)</x:f>
        <x:v>1616520014</x:v>
      </x:c>
      <x:c r="BA346" s="9" t="n">
        <x:f>MOD(AZ346*16807,2147483647)</x:f>
        <x:v>1036257101</x:v>
      </x:c>
      <x:c r="BB346" s="17" t="n">
        <x:f>IF('Control Room'!$B$5="Normal",'Control Room'!$B$7+'Control Room'!$D$7*SQRT(-2*LN(MAX(0.000000000001,AZ346/2147483647)))*COS(2*PI()*BA346/2147483647),'Control Room'!$B$8+('Control Room'!$D$8-'Control Room'!$B$8)*AZ346/2147483647)</x:f>
        <x:v>932.575833193296</x:v>
      </x:c>
      <x:c r="BC346" s="17" t="n">
        <x:f>IF('Control Room'!$B$5="Normal",'Control Room'!$B$7,('Control Room'!$B$8+'Control Room'!$D$8)/2)+'Control Room'!$B$9*(BC345-IF('Control Room'!$B$5="Normal",'Control Room'!$B$7,('Control Room'!$B$8+'Control Room'!$D$8)/2))+SQRT(1-'Control Room'!$B$9^2)*(BB346-IF('Control Room'!$B$5="Normal",'Control Room'!$B$7,('Control Room'!$B$8+'Control Room'!$D$8)/2))</x:f>
        <x:v>1012.0602600706958</x:v>
      </x:c>
      <x:c r="BD346" s="17" t="n">
        <x:f>IF(AND($A346&gt;='Control Room'!$A$13,$A346&lt;'Control Room'!$A$13+'Control Room'!$B$13,'Process'!BU2=1),1+('Control Room'!$C$13-1)*EXP(-0.5*(($A346-'Control Room'!$A$13-('Control Room'!$B$13-1)/2)/MAX(0.5,'Control Room'!$B$13/4))^2),1)*IF(AND($A346&gt;='Control Room'!$A$14,$A346&lt;'Control Room'!$A$14+'Control Room'!$B$14,'Process'!BU3=1),1+('Control Room'!$C$14-1)*EXP(-0.5*(($A346-'Control Room'!$A$14-('Control Room'!$B$14-1)/2)/MAX(0.5,'Control Room'!$B$14/4))^2),1)*IF(AND($A346&gt;='Control Room'!$A$15,$A346&lt;'Control Room'!$A$15+'Control Room'!$B$15,'Process'!BU4=1),1+('Control Room'!$C$15-1)*EXP(-0.5*(($A346-'Control Room'!$A$15-('Control Room'!$B$15-1)/2)/MAX(0.5,'Control Room'!$B$15/4))^2),1)*IF(AND($A346&gt;='Control Room'!$A$16,$A346&lt;'Control Room'!$A$16+'Control Room'!$B$16,'Process'!BU5=1),1+('Control Room'!$C$16-1)*EXP(-0.5*(($A346-'Control Room'!$A$16-('Control Room'!$B$16-1)/2)/MAX(0.5,'Control Room'!$B$16/4))^2),1)</x:f>
        <x:v>1</x:v>
      </x:c>
      <x:c r="BE346" s="9" t="n">
        <x:f>MOD(BF345*16807,2147483647)</x:f>
        <x:v>904262080</x:v>
      </x:c>
      <x:c r="BF346" s="9" t="n">
        <x:f>MOD(BE346*16807,2147483647)</x:f>
        <x:v>191008741</x:v>
      </x:c>
      <x:c r="BG346" s="17" t="n">
        <x:f>IF('Control Room'!$B$5="Normal",'Control Room'!$B$7+'Control Room'!$D$7*SQRT(-2*LN(MAX(0.000000000001,BE346/2147483647)))*COS(2*PI()*BF346/2147483647),'Control Room'!$B$8+('Control Room'!$D$8-'Control Room'!$B$8)*BE346/2147483647)</x:f>
        <x:v>1100.362811988775</x:v>
      </x:c>
      <x:c r="BH346" s="17" t="n">
        <x:f>IF('Control Room'!$B$5="Normal",'Control Room'!$B$7,('Control Room'!$B$8+'Control Room'!$D$8)/2)+'Control Room'!$B$9*(BH345-IF('Control Room'!$B$5="Normal",'Control Room'!$B$7,('Control Room'!$B$8+'Control Room'!$D$8)/2))+SQRT(1-'Control Room'!$B$9^2)*(BG346-IF('Control Room'!$B$5="Normal",'Control Room'!$B$7,('Control Room'!$B$8+'Control Room'!$D$8)/2))</x:f>
        <x:v>1066.0190186016464</x:v>
      </x:c>
      <x:c r="BI346" s="17" t="n">
        <x:f>IF(AND($A346&gt;='Control Room'!$A$13,$A346&lt;'Control Room'!$A$13+'Control Room'!$B$13,'Process'!BV2=1),1+('Control Room'!$C$13-1)*EXP(-0.5*(($A346-'Control Room'!$A$13-('Control Room'!$B$13-1)/2)/MAX(0.5,'Control Room'!$B$13/4))^2),1)*IF(AND($A346&gt;='Control Room'!$A$14,$A346&lt;'Control Room'!$A$14+'Control Room'!$B$14,'Process'!BV3=1),1+('Control Room'!$C$14-1)*EXP(-0.5*(($A346-'Control Room'!$A$14-('Control Room'!$B$14-1)/2)/MAX(0.5,'Control Room'!$B$14/4))^2),1)*IF(AND($A346&gt;='Control Room'!$A$15,$A346&lt;'Control Room'!$A$15+'Control Room'!$B$15,'Process'!BV4=1),1+('Control Room'!$C$15-1)*EXP(-0.5*(($A346-'Control Room'!$A$15-('Control Room'!$B$15-1)/2)/MAX(0.5,'Control Room'!$B$15/4))^2),1)*IF(AND($A346&gt;='Control Room'!$A$16,$A346&lt;'Control Room'!$A$16+'Control Room'!$B$16,'Process'!BV5=1),1+('Control Room'!$C$16-1)*EXP(-0.5*(($A346-'Control Room'!$A$16-('Control Room'!$B$16-1)/2)/MAX(0.5,'Control Room'!$B$16/4))^2),1)</x:f>
        <x:v>1</x:v>
      </x:c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Z346" t="str">
        <x:f>IF('Data'!A346="","",TEXT('Data'!A346,"mm-dd"))</x:f>
      </x:c>
    </x:row>
    <x:row r="347" ht="21" customHeight="1">
      <x:c r="A347" s="15" t="n">
        <x:f>'Control Room'!$B$1+345</x:f>
        <x:v>73336</x:v>
      </x:c>
      <x:c r="B347" s="9" t="n">
        <x:f>MOD(C346*16807,2147483647)</x:f>
        <x:v>834368193</x:v>
      </x:c>
      <x:c r="C347" s="9" t="n">
        <x:f>MOD(B347*16807,2147483647)</x:f>
        <x:v>158004841</x:v>
      </x:c>
      <x:c r="D347" s="17" t="n">
        <x:f>IF('Control Room'!$B$5="Normal",'Control Room'!$B$7+'Control Room'!$D$7*SQRT(-2*LN(MAX(0.000000000001,B347/2147483647)))*COS(2*PI()*C347/2147483647),'Control Room'!$B$8+('Control Room'!$D$8-'Control Room'!$B$8)*B347/2147483647)</x:f>
        <x:v>1110.7638436915925</x:v>
      </x:c>
      <x:c r="E347" s="17" t="n">
        <x:f>IF('Control Room'!$B$5="Normal",'Control Room'!$B$7,('Control Room'!$B$8+'Control Room'!$D$8)/2)+'Control Room'!$B$9*(E346-IF('Control Room'!$B$5="Normal",'Control Room'!$B$7,('Control Room'!$B$8+'Control Room'!$D$8)/2))+SQRT(1-'Control Room'!$B$9^2)*(D347-IF('Control Room'!$B$5="Normal",'Control Room'!$B$7,('Control Room'!$B$8+'Control Room'!$D$8)/2))</x:f>
        <x:v>948.6487076400526</x:v>
      </x:c>
      <x:c r="F347" s="17" t="n">
        <x:f>IF(AND($A347&gt;='Control Room'!$A$13,$A347&lt;'Control Room'!$A$13+'Control Room'!$B$13,'Process'!BK2=1),1+('Control Room'!$C$13-1)*EXP(-0.5*(($A347-'Control Room'!$A$13-('Control Room'!$B$13-1)/2)/MAX(0.5,'Control Room'!$B$13/4))^2),1)*IF(AND($A347&gt;='Control Room'!$A$14,$A347&lt;'Control Room'!$A$14+'Control Room'!$B$14,'Process'!BK3=1),1+('Control Room'!$C$14-1)*EXP(-0.5*(($A347-'Control Room'!$A$14-('Control Room'!$B$14-1)/2)/MAX(0.5,'Control Room'!$B$14/4))^2),1)*IF(AND($A347&gt;='Control Room'!$A$15,$A347&lt;'Control Room'!$A$15+'Control Room'!$B$15,'Process'!BK4=1),1+('Control Room'!$C$15-1)*EXP(-0.5*(($A347-'Control Room'!$A$15-('Control Room'!$B$15-1)/2)/MAX(0.5,'Control Room'!$B$15/4))^2),1)*IF(AND($A347&gt;='Control Room'!$A$16,$A347&lt;'Control Room'!$A$16+'Control Room'!$B$16,'Process'!BK5=1),1+('Control Room'!$C$16-1)*EXP(-0.5*(($A347-'Control Room'!$A$16-('Control Room'!$B$16-1)/2)/MAX(0.5,'Control Room'!$B$16/4))^2),1)</x:f>
        <x:v>1</x:v>
      </x:c>
      <x:c r="G347" s="9" t="n">
        <x:f>MOD(H346*16807,2147483647)</x:f>
        <x:v>349506578</x:v>
      </x:c>
      <x:c r="H347" s="9" t="n">
        <x:f>MOD(G347*16807,2147483647)</x:f>
        <x:v>789281901</x:v>
      </x:c>
      <x:c r="I347" s="17" t="n">
        <x:f>IF('Control Room'!$B$5="Normal",'Control Room'!$B$7+'Control Room'!$D$7*SQRT(-2*LN(MAX(0.000000000001,G347/2147483647)))*COS(2*PI()*H347/2147483647),'Control Room'!$B$8+('Control Room'!$D$8-'Control Room'!$B$8)*G347/2147483647)</x:f>
        <x:v>884.5493643936629</x:v>
      </x:c>
      <x:c r="J347" s="17" t="n">
        <x:f>IF('Control Room'!$B$5="Normal",'Control Room'!$B$7,('Control Room'!$B$8+'Control Room'!$D$8)/2)+'Control Room'!$B$9*(J346-IF('Control Room'!$B$5="Normal",'Control Room'!$B$7,('Control Room'!$B$8+'Control Room'!$D$8)/2))+SQRT(1-'Control Room'!$B$9^2)*(I347-IF('Control Room'!$B$5="Normal",'Control Room'!$B$7,('Control Room'!$B$8+'Control Room'!$D$8)/2))</x:f>
        <x:v>994.9340849764593</x:v>
      </x:c>
      <x:c r="K347" s="17" t="n">
        <x:f>IF(AND($A347&gt;='Control Room'!$A$13,$A347&lt;'Control Room'!$A$13+'Control Room'!$B$13,'Process'!BL2=1),1+('Control Room'!$C$13-1)*EXP(-0.5*(($A347-'Control Room'!$A$13-('Control Room'!$B$13-1)/2)/MAX(0.5,'Control Room'!$B$13/4))^2),1)*IF(AND($A347&gt;='Control Room'!$A$14,$A347&lt;'Control Room'!$A$14+'Control Room'!$B$14,'Process'!BL3=1),1+('Control Room'!$C$14-1)*EXP(-0.5*(($A347-'Control Room'!$A$14-('Control Room'!$B$14-1)/2)/MAX(0.5,'Control Room'!$B$14/4))^2),1)*IF(AND($A347&gt;='Control Room'!$A$15,$A347&lt;'Control Room'!$A$15+'Control Room'!$B$15,'Process'!BL4=1),1+('Control Room'!$C$15-1)*EXP(-0.5*(($A347-'Control Room'!$A$15-('Control Room'!$B$15-1)/2)/MAX(0.5,'Control Room'!$B$15/4))^2),1)*IF(AND($A347&gt;='Control Room'!$A$16,$A347&lt;'Control Room'!$A$16+'Control Room'!$B$16,'Process'!BL5=1),1+('Control Room'!$C$16-1)*EXP(-0.5*(($A347-'Control Room'!$A$16-('Control Room'!$B$16-1)/2)/MAX(0.5,'Control Room'!$B$16/4))^2),1)</x:f>
        <x:v>1</x:v>
      </x:c>
      <x:c r="L347" s="9" t="n">
        <x:f>MOD(M346*16807,2147483647)</x:f>
        <x:v>2012128610</x:v>
      </x:c>
      <x:c r="M347" s="9" t="n">
        <x:f>MOD(L347*16807,2147483647)</x:f>
        <x:v>1420558961</x:v>
      </x:c>
      <x:c r="N347" s="17" t="n">
        <x:f>IF('Control Room'!$B$5="Normal",'Control Room'!$B$7+'Control Room'!$D$7*SQRT(-2*LN(MAX(0.000000000001,L347/2147483647)))*COS(2*PI()*M347/2147483647),'Control Room'!$B$8+('Control Room'!$D$8-'Control Room'!$B$8)*L347/2147483647)</x:f>
        <x:v>982.8576715440245</x:v>
      </x:c>
      <x:c r="O347" s="17" t="n">
        <x:f>IF('Control Room'!$B$5="Normal",'Control Room'!$B$7,('Control Room'!$B$8+'Control Room'!$D$8)/2)+'Control Room'!$B$9*(O346-IF('Control Room'!$B$5="Normal",'Control Room'!$B$7,('Control Room'!$B$8+'Control Room'!$D$8)/2))+SQRT(1-'Control Room'!$B$9^2)*(N347-IF('Control Room'!$B$5="Normal",'Control Room'!$B$7,('Control Room'!$B$8+'Control Room'!$D$8)/2))</x:f>
        <x:v>940.9571431352888</x:v>
      </x:c>
      <x:c r="P347" s="17" t="n">
        <x:f>IF(AND($A347&gt;='Control Room'!$A$13,$A347&lt;'Control Room'!$A$13+'Control Room'!$B$13,'Process'!BM2=1),1+('Control Room'!$C$13-1)*EXP(-0.5*(($A347-'Control Room'!$A$13-('Control Room'!$B$13-1)/2)/MAX(0.5,'Control Room'!$B$13/4))^2),1)*IF(AND($A347&gt;='Control Room'!$A$14,$A347&lt;'Control Room'!$A$14+'Control Room'!$B$14,'Process'!BM3=1),1+('Control Room'!$C$14-1)*EXP(-0.5*(($A347-'Control Room'!$A$14-('Control Room'!$B$14-1)/2)/MAX(0.5,'Control Room'!$B$14/4))^2),1)*IF(AND($A347&gt;='Control Room'!$A$15,$A347&lt;'Control Room'!$A$15+'Control Room'!$B$15,'Process'!BM4=1),1+('Control Room'!$C$15-1)*EXP(-0.5*(($A347-'Control Room'!$A$15-('Control Room'!$B$15-1)/2)/MAX(0.5,'Control Room'!$B$15/4))^2),1)*IF(AND($A347&gt;='Control Room'!$A$16,$A347&lt;'Control Room'!$A$16+'Control Room'!$B$16,'Process'!BM5=1),1+('Control Room'!$C$16-1)*EXP(-0.5*(($A347-'Control Room'!$A$16-('Control Room'!$B$16-1)/2)/MAX(0.5,'Control Room'!$B$16/4))^2),1)</x:f>
        <x:v>1</x:v>
      </x:c>
      <x:c r="Q347" s="9" t="n">
        <x:f>MOD(R346*16807,2147483647)</x:f>
        <x:v>1527266995</x:v>
      </x:c>
      <x:c r="R347" s="9" t="n">
        <x:f>MOD(Q347*16807,2147483647)</x:f>
        <x:v>2051836021</x:v>
      </x:c>
      <x:c r="S347" s="17" t="n">
        <x:f>IF('Control Room'!$B$5="Normal",'Control Room'!$B$7+'Control Room'!$D$7*SQRT(-2*LN(MAX(0.000000000001,Q347/2147483647)))*COS(2*PI()*R347/2147483647),'Control Room'!$B$8+('Control Room'!$D$8-'Control Room'!$B$8)*Q347/2147483647)</x:f>
        <x:v>1071.4143232943854</x:v>
      </x:c>
      <x:c r="T347" s="17" t="n">
        <x:f>IF('Control Room'!$B$5="Normal",'Control Room'!$B$7,('Control Room'!$B$8+'Control Room'!$D$8)/2)+'Control Room'!$B$9*(T346-IF('Control Room'!$B$5="Normal",'Control Room'!$B$7,('Control Room'!$B$8+'Control Room'!$D$8)/2))+SQRT(1-'Control Room'!$B$9^2)*(S347-IF('Control Room'!$B$5="Normal",'Control Room'!$B$7,('Control Room'!$B$8+'Control Room'!$D$8)/2))</x:f>
        <x:v>1091.6563419366923</x:v>
      </x:c>
      <x:c r="U347" s="17" t="n">
        <x:f>IF(AND($A347&gt;='Control Room'!$A$13,$A347&lt;'Control Room'!$A$13+'Control Room'!$B$13,'Process'!BN2=1),1+('Control Room'!$C$13-1)*EXP(-0.5*(($A347-'Control Room'!$A$13-('Control Room'!$B$13-1)/2)/MAX(0.5,'Control Room'!$B$13/4))^2),1)*IF(AND($A347&gt;='Control Room'!$A$14,$A347&lt;'Control Room'!$A$14+'Control Room'!$B$14,'Process'!BN3=1),1+('Control Room'!$C$14-1)*EXP(-0.5*(($A347-'Control Room'!$A$14-('Control Room'!$B$14-1)/2)/MAX(0.5,'Control Room'!$B$14/4))^2),1)*IF(AND($A347&gt;='Control Room'!$A$15,$A347&lt;'Control Room'!$A$15+'Control Room'!$B$15,'Process'!BN4=1),1+('Control Room'!$C$15-1)*EXP(-0.5*(($A347-'Control Room'!$A$15-('Control Room'!$B$15-1)/2)/MAX(0.5,'Control Room'!$B$15/4))^2),1)*IF(AND($A347&gt;='Control Room'!$A$16,$A347&lt;'Control Room'!$A$16+'Control Room'!$B$16,'Process'!BN5=1),1+('Control Room'!$C$16-1)*EXP(-0.5*(($A347-'Control Room'!$A$16-('Control Room'!$B$16-1)/2)/MAX(0.5,'Control Room'!$B$16/4))^2),1)</x:f>
        <x:v>1</x:v>
      </x:c>
      <x:c r="V347" s="9" t="n">
        <x:f>MOD(W346*16807,2147483647)</x:f>
        <x:v>1042405380</x:v>
      </x:c>
      <x:c r="W347" s="9" t="n">
        <x:f>MOD(V347*16807,2147483647)</x:f>
        <x:v>535629434</x:v>
      </x:c>
      <x:c r="X347" s="17" t="n">
        <x:f>IF('Control Room'!$B$5="Normal",'Control Room'!$B$7+'Control Room'!$D$7*SQRT(-2*LN(MAX(0.000000000001,V347/2147483647)))*COS(2*PI()*W347/2147483647),'Control Room'!$B$8+('Control Room'!$D$8-'Control Room'!$B$8)*V347/2147483647)</x:f>
        <x:v>1000.3930468395064</x:v>
      </x:c>
      <x:c r="Y347" s="17" t="n">
        <x:f>IF('Control Room'!$B$5="Normal",'Control Room'!$B$7,('Control Room'!$B$8+'Control Room'!$D$8)/2)+'Control Room'!$B$9*(Y346-IF('Control Room'!$B$5="Normal",'Control Room'!$B$7,('Control Room'!$B$8+'Control Room'!$D$8)/2))+SQRT(1-'Control Room'!$B$9^2)*(X347-IF('Control Room'!$B$5="Normal",'Control Room'!$B$7,('Control Room'!$B$8+'Control Room'!$D$8)/2))</x:f>
        <x:v>1111.2956375736026</x:v>
      </x:c>
      <x:c r="Z347" s="17" t="n">
        <x:f>IF(AND($A347&gt;='Control Room'!$A$13,$A347&lt;'Control Room'!$A$13+'Control Room'!$B$13,'Process'!BO2=1),1+('Control Room'!$C$13-1)*EXP(-0.5*(($A347-'Control Room'!$A$13-('Control Room'!$B$13-1)/2)/MAX(0.5,'Control Room'!$B$13/4))^2),1)*IF(AND($A347&gt;='Control Room'!$A$14,$A347&lt;'Control Room'!$A$14+'Control Room'!$B$14,'Process'!BO3=1),1+('Control Room'!$C$14-1)*EXP(-0.5*(($A347-'Control Room'!$A$14-('Control Room'!$B$14-1)/2)/MAX(0.5,'Control Room'!$B$14/4))^2),1)*IF(AND($A347&gt;='Control Room'!$A$15,$A347&lt;'Control Room'!$A$15+'Control Room'!$B$15,'Process'!BO4=1),1+('Control Room'!$C$15-1)*EXP(-0.5*(($A347-'Control Room'!$A$15-('Control Room'!$B$15-1)/2)/MAX(0.5,'Control Room'!$B$15/4))^2),1)*IF(AND($A347&gt;='Control Room'!$A$16,$A347&lt;'Control Room'!$A$16+'Control Room'!$B$16,'Process'!BO5=1),1+('Control Room'!$C$16-1)*EXP(-0.5*(($A347-'Control Room'!$A$16-('Control Room'!$B$16-1)/2)/MAX(0.5,'Control Room'!$B$16/4))^2),1)</x:f>
        <x:v>1</x:v>
      </x:c>
      <x:c r="AA347" s="9" t="n">
        <x:f>MOD(AB346*16807,2147483647)</x:f>
        <x:v>557543765</x:v>
      </x:c>
      <x:c r="AB347" s="9" t="n">
        <x:f>MOD(AA347*16807,2147483647)</x:f>
        <x:v>1166906494</x:v>
      </x:c>
      <x:c r="AC347" s="17" t="n">
        <x:f>IF('Control Room'!$B$5="Normal",'Control Room'!$B$7+'Control Room'!$D$7*SQRT(-2*LN(MAX(0.000000000001,AA347/2147483647)))*COS(2*PI()*AB347/2147483647),'Control Room'!$B$8+('Control Room'!$D$8-'Control Room'!$B$8)*AA347/2147483647)</x:f>
        <x:v>857.6536437190023</x:v>
      </x:c>
      <x:c r="AD347" s="17" t="n">
        <x:f>IF('Control Room'!$B$5="Normal",'Control Room'!$B$7,('Control Room'!$B$8+'Control Room'!$D$8)/2)+'Control Room'!$B$9*(AD346-IF('Control Room'!$B$5="Normal",'Control Room'!$B$7,('Control Room'!$B$8+'Control Room'!$D$8)/2))+SQRT(1-'Control Room'!$B$9^2)*(AC347-IF('Control Room'!$B$5="Normal",'Control Room'!$B$7,('Control Room'!$B$8+'Control Room'!$D$8)/2))</x:f>
        <x:v>830.4789684086468</x:v>
      </x:c>
      <x:c r="AE347" s="17" t="n">
        <x:f>IF(AND($A347&gt;='Control Room'!$A$13,$A347&lt;'Control Room'!$A$13+'Control Room'!$B$13,'Process'!BP2=1),1+('Control Room'!$C$13-1)*EXP(-0.5*(($A347-'Control Room'!$A$13-('Control Room'!$B$13-1)/2)/MAX(0.5,'Control Room'!$B$13/4))^2),1)*IF(AND($A347&gt;='Control Room'!$A$14,$A347&lt;'Control Room'!$A$14+'Control Room'!$B$14,'Process'!BP3=1),1+('Control Room'!$C$14-1)*EXP(-0.5*(($A347-'Control Room'!$A$14-('Control Room'!$B$14-1)/2)/MAX(0.5,'Control Room'!$B$14/4))^2),1)*IF(AND($A347&gt;='Control Room'!$A$15,$A347&lt;'Control Room'!$A$15+'Control Room'!$B$15,'Process'!BP4=1),1+('Control Room'!$C$15-1)*EXP(-0.5*(($A347-'Control Room'!$A$15-('Control Room'!$B$15-1)/2)/MAX(0.5,'Control Room'!$B$15/4))^2),1)*IF(AND($A347&gt;='Control Room'!$A$16,$A347&lt;'Control Room'!$A$16+'Control Room'!$B$16,'Process'!BP5=1),1+('Control Room'!$C$16-1)*EXP(-0.5*(($A347-'Control Room'!$A$16-('Control Room'!$B$16-1)/2)/MAX(0.5,'Control Room'!$B$16/4))^2),1)</x:f>
        <x:v>1</x:v>
      </x:c>
      <x:c r="AF347" s="9" t="n">
        <x:f>MOD(AG346*16807,2147483647)</x:f>
        <x:v>72682150</x:v>
      </x:c>
      <x:c r="AG347" s="9" t="n">
        <x:f>MOD(AF347*16807,2147483647)</x:f>
        <x:v>1798183554</x:v>
      </x:c>
      <x:c r="AH347" s="17" t="n">
        <x:f>IF('Control Room'!$B$5="Normal",'Control Room'!$B$7+'Control Room'!$D$7*SQRT(-2*LN(MAX(0.000000000001,AF347/2147483647)))*COS(2*PI()*AG347/2147483647),'Control Room'!$B$8+('Control Room'!$D$8-'Control Room'!$B$8)*AF347/2147483647)</x:f>
        <x:v>1122.177138763836</x:v>
      </x:c>
      <x:c r="AI347" s="17" t="n">
        <x:f>IF('Control Room'!$B$5="Normal",'Control Room'!$B$7,('Control Room'!$B$8+'Control Room'!$D$8)/2)+'Control Room'!$B$9*(AI346-IF('Control Room'!$B$5="Normal",'Control Room'!$B$7,('Control Room'!$B$8+'Control Room'!$D$8)/2))+SQRT(1-'Control Room'!$B$9^2)*(AH347-IF('Control Room'!$B$5="Normal",'Control Room'!$B$7,('Control Room'!$B$8+'Control Room'!$D$8)/2))</x:f>
        <x:v>1170.9956085542901</x:v>
      </x:c>
      <x:c r="AJ347" s="17" t="n">
        <x:f>IF(AND($A347&gt;='Control Room'!$A$13,$A347&lt;'Control Room'!$A$13+'Control Room'!$B$13,'Process'!BQ2=1),1+('Control Room'!$C$13-1)*EXP(-0.5*(($A347-'Control Room'!$A$13-('Control Room'!$B$13-1)/2)/MAX(0.5,'Control Room'!$B$13/4))^2),1)*IF(AND($A347&gt;='Control Room'!$A$14,$A347&lt;'Control Room'!$A$14+'Control Room'!$B$14,'Process'!BQ3=1),1+('Control Room'!$C$14-1)*EXP(-0.5*(($A347-'Control Room'!$A$14-('Control Room'!$B$14-1)/2)/MAX(0.5,'Control Room'!$B$14/4))^2),1)*IF(AND($A347&gt;='Control Room'!$A$15,$A347&lt;'Control Room'!$A$15+'Control Room'!$B$15,'Process'!BQ4=1),1+('Control Room'!$C$15-1)*EXP(-0.5*(($A347-'Control Room'!$A$15-('Control Room'!$B$15-1)/2)/MAX(0.5,'Control Room'!$B$15/4))^2),1)*IF(AND($A347&gt;='Control Room'!$A$16,$A347&lt;'Control Room'!$A$16+'Control Room'!$B$16,'Process'!BQ5=1),1+('Control Room'!$C$16-1)*EXP(-0.5*(($A347-'Control Room'!$A$16-('Control Room'!$B$16-1)/2)/MAX(0.5,'Control Room'!$B$16/4))^2),1)</x:f>
        <x:v>1</x:v>
      </x:c>
      <x:c r="AK347" s="9" t="n">
        <x:f>MOD(AL346*16807,2147483647)</x:f>
        <x:v>1735304182</x:v>
      </x:c>
      <x:c r="AL347" s="9" t="n">
        <x:f>MOD(AK347*16807,2147483647)</x:f>
        <x:v>281976967</x:v>
      </x:c>
      <x:c r="AM347" s="17" t="n">
        <x:f>IF('Control Room'!$B$5="Normal",'Control Room'!$B$7+'Control Room'!$D$7*SQRT(-2*LN(MAX(0.000000000001,AK347/2147483647)))*COS(2*PI()*AL347/2147483647),'Control Room'!$B$8+('Control Room'!$D$8-'Control Room'!$B$8)*AK347/2147483647)</x:f>
        <x:v>1039.8695375910236</x:v>
      </x:c>
      <x:c r="AN347" s="17" t="n">
        <x:f>IF('Control Room'!$B$5="Normal",'Control Room'!$B$7,('Control Room'!$B$8+'Control Room'!$D$8)/2)+'Control Room'!$B$9*(AN346-IF('Control Room'!$B$5="Normal",'Control Room'!$B$7,('Control Room'!$B$8+'Control Room'!$D$8)/2))+SQRT(1-'Control Room'!$B$9^2)*(AM347-IF('Control Room'!$B$5="Normal",'Control Room'!$B$7,('Control Room'!$B$8+'Control Room'!$D$8)/2))</x:f>
        <x:v>911.9064381019908</x:v>
      </x:c>
      <x:c r="AO347" s="17" t="n">
        <x:f>IF(AND($A347&gt;='Control Room'!$A$13,$A347&lt;'Control Room'!$A$13+'Control Room'!$B$13,'Process'!BR2=1),1+('Control Room'!$C$13-1)*EXP(-0.5*(($A347-'Control Room'!$A$13-('Control Room'!$B$13-1)/2)/MAX(0.5,'Control Room'!$B$13/4))^2),1)*IF(AND($A347&gt;='Control Room'!$A$14,$A347&lt;'Control Room'!$A$14+'Control Room'!$B$14,'Process'!BR3=1),1+('Control Room'!$C$14-1)*EXP(-0.5*(($A347-'Control Room'!$A$14-('Control Room'!$B$14-1)/2)/MAX(0.5,'Control Room'!$B$14/4))^2),1)*IF(AND($A347&gt;='Control Room'!$A$15,$A347&lt;'Control Room'!$A$15+'Control Room'!$B$15,'Process'!BR4=1),1+('Control Room'!$C$15-1)*EXP(-0.5*(($A347-'Control Room'!$A$15-('Control Room'!$B$15-1)/2)/MAX(0.5,'Control Room'!$B$15/4))^2),1)*IF(AND($A347&gt;='Control Room'!$A$16,$A347&lt;'Control Room'!$A$16+'Control Room'!$B$16,'Process'!BR5=1),1+('Control Room'!$C$16-1)*EXP(-0.5*(($A347-'Control Room'!$A$16-('Control Room'!$B$16-1)/2)/MAX(0.5,'Control Room'!$B$16/4))^2),1)</x:f>
        <x:v>1</x:v>
      </x:c>
      <x:c r="AP347" s="9" t="n">
        <x:f>MOD(AQ346*16807,2147483647)</x:f>
        <x:v>1250442567</x:v>
      </x:c>
      <x:c r="AQ347" s="9" t="n">
        <x:f>MOD(AP347*16807,2147483647)</x:f>
        <x:v>913254027</x:v>
      </x:c>
      <x:c r="AR347" s="17" t="n">
        <x:f>IF('Control Room'!$B$5="Normal",'Control Room'!$B$7+'Control Room'!$D$7*SQRT(-2*LN(MAX(0.000000000001,AP347/2147483647)))*COS(2*PI()*AQ347/2147483647),'Control Room'!$B$8+('Control Room'!$D$8-'Control Room'!$B$8)*AP347/2147483647)</x:f>
        <x:v>916.530667285182</x:v>
      </x:c>
      <x:c r="AS347" s="17" t="n">
        <x:f>IF('Control Room'!$B$5="Normal",'Control Room'!$B$7,('Control Room'!$B$8+'Control Room'!$D$8)/2)+'Control Room'!$B$9*(AS346-IF('Control Room'!$B$5="Normal",'Control Room'!$B$7,('Control Room'!$B$8+'Control Room'!$D$8)/2))+SQRT(1-'Control Room'!$B$9^2)*(AR347-IF('Control Room'!$B$5="Normal",'Control Room'!$B$7,('Control Room'!$B$8+'Control Room'!$D$8)/2))</x:f>
        <x:v>960.3997954015567</x:v>
      </x:c>
      <x:c r="AT347" s="17" t="n">
        <x:f>IF(AND($A347&gt;='Control Room'!$A$13,$A347&lt;'Control Room'!$A$13+'Control Room'!$B$13,'Process'!BS2=1),1+('Control Room'!$C$13-1)*EXP(-0.5*(($A347-'Control Room'!$A$13-('Control Room'!$B$13-1)/2)/MAX(0.5,'Control Room'!$B$13/4))^2),1)*IF(AND($A347&gt;='Control Room'!$A$14,$A347&lt;'Control Room'!$A$14+'Control Room'!$B$14,'Process'!BS3=1),1+('Control Room'!$C$14-1)*EXP(-0.5*(($A347-'Control Room'!$A$14-('Control Room'!$B$14-1)/2)/MAX(0.5,'Control Room'!$B$14/4))^2),1)*IF(AND($A347&gt;='Control Room'!$A$15,$A347&lt;'Control Room'!$A$15+'Control Room'!$B$15,'Process'!BS4=1),1+('Control Room'!$C$15-1)*EXP(-0.5*(($A347-'Control Room'!$A$15-('Control Room'!$B$15-1)/2)/MAX(0.5,'Control Room'!$B$15/4))^2),1)*IF(AND($A347&gt;='Control Room'!$A$16,$A347&lt;'Control Room'!$A$16+'Control Room'!$B$16,'Process'!BS5=1),1+('Control Room'!$C$16-1)*EXP(-0.5*(($A347-'Control Room'!$A$16-('Control Room'!$B$16-1)/2)/MAX(0.5,'Control Room'!$B$16/4))^2),1)</x:f>
        <x:v>1</x:v>
      </x:c>
      <x:c r="AU347" s="9" t="n">
        <x:f>MOD(AV346*16807,2147483647)</x:f>
        <x:v>765580952</x:v>
      </x:c>
      <x:c r="AV347" s="9" t="n">
        <x:f>MOD(AU347*16807,2147483647)</x:f>
        <x:v>1544531087</x:v>
      </x:c>
      <x:c r="AW347" s="17" t="n">
        <x:f>IF('Control Room'!$B$5="Normal",'Control Room'!$B$7+'Control Room'!$D$7*SQRT(-2*LN(MAX(0.000000000001,AU347/2147483647)))*COS(2*PI()*AV347/2147483647),'Control Room'!$B$8+('Control Room'!$D$8-'Control Room'!$B$8)*AU347/2147483647)</x:f>
        <x:v>975.1631586993263</x:v>
      </x:c>
      <x:c r="AX347" s="17" t="n">
        <x:f>IF('Control Room'!$B$5="Normal",'Control Room'!$B$7,('Control Room'!$B$8+'Control Room'!$D$8)/2)+'Control Room'!$B$9*(AX346-IF('Control Room'!$B$5="Normal",'Control Room'!$B$7,('Control Room'!$B$8+'Control Room'!$D$8)/2))+SQRT(1-'Control Room'!$B$9^2)*(AW347-IF('Control Room'!$B$5="Normal",'Control Room'!$B$7,('Control Room'!$B$8+'Control Room'!$D$8)/2))</x:f>
        <x:v>1126.0750134287514</x:v>
      </x:c>
      <x:c r="AY347" s="17" t="n">
        <x:f>IF(AND($A347&gt;='Control Room'!$A$13,$A347&lt;'Control Room'!$A$13+'Control Room'!$B$13,'Process'!BT2=1),1+('Control Room'!$C$13-1)*EXP(-0.5*(($A347-'Control Room'!$A$13-('Control Room'!$B$13-1)/2)/MAX(0.5,'Control Room'!$B$13/4))^2),1)*IF(AND($A347&gt;='Control Room'!$A$14,$A347&lt;'Control Room'!$A$14+'Control Room'!$B$14,'Process'!BT3=1),1+('Control Room'!$C$14-1)*EXP(-0.5*(($A347-'Control Room'!$A$14-('Control Room'!$B$14-1)/2)/MAX(0.5,'Control Room'!$B$14/4))^2),1)*IF(AND($A347&gt;='Control Room'!$A$15,$A347&lt;'Control Room'!$A$15+'Control Room'!$B$15,'Process'!BT4=1),1+('Control Room'!$C$15-1)*EXP(-0.5*(($A347-'Control Room'!$A$15-('Control Room'!$B$15-1)/2)/MAX(0.5,'Control Room'!$B$15/4))^2),1)*IF(AND($A347&gt;='Control Room'!$A$16,$A347&lt;'Control Room'!$A$16+'Control Room'!$B$16,'Process'!BT5=1),1+('Control Room'!$C$16-1)*EXP(-0.5*(($A347-'Control Room'!$A$16-('Control Room'!$B$16-1)/2)/MAX(0.5,'Control Room'!$B$16/4))^2),1)</x:f>
        <x:v>1</x:v>
      </x:c>
      <x:c r="AZ347" s="9" t="n">
        <x:f>MOD(BA346*16807,2147483647)</x:f>
        <x:v>280719337</x:v>
      </x:c>
      <x:c r="BA347" s="9" t="n">
        <x:f>MOD(AZ347*16807,2147483647)</x:f>
        <x:v>28324500</x:v>
      </x:c>
      <x:c r="BB347" s="17" t="n">
        <x:f>IF('Control Room'!$B$5="Normal",'Control Room'!$B$7+'Control Room'!$D$7*SQRT(-2*LN(MAX(0.000000000001,AZ347/2147483647)))*COS(2*PI()*BA347/2147483647),'Control Room'!$B$8+('Control Room'!$D$8-'Control Room'!$B$8)*AZ347/2147483647)</x:f>
        <x:v>1180.9315429334588</x:v>
      </x:c>
      <x:c r="BC347" s="17" t="n">
        <x:f>IF('Control Room'!$B$5="Normal",'Control Room'!$B$7,('Control Room'!$B$8+'Control Room'!$D$8)/2)+'Control Room'!$B$9*(BC346-IF('Control Room'!$B$5="Normal",'Control Room'!$B$7,('Control Room'!$B$8+'Control Room'!$D$8)/2))+SQRT(1-'Control Room'!$B$9^2)*(BB347-IF('Control Room'!$B$5="Normal",'Control Room'!$B$7,('Control Room'!$B$8+'Control Room'!$D$8)/2))</x:f>
        <x:v>1122.6302558387736</x:v>
      </x:c>
      <x:c r="BD347" s="17" t="n">
        <x:f>IF(AND($A347&gt;='Control Room'!$A$13,$A347&lt;'Control Room'!$A$13+'Control Room'!$B$13,'Process'!BU2=1),1+('Control Room'!$C$13-1)*EXP(-0.5*(($A347-'Control Room'!$A$13-('Control Room'!$B$13-1)/2)/MAX(0.5,'Control Room'!$B$13/4))^2),1)*IF(AND($A347&gt;='Control Room'!$A$14,$A347&lt;'Control Room'!$A$14+'Control Room'!$B$14,'Process'!BU3=1),1+('Control Room'!$C$14-1)*EXP(-0.5*(($A347-'Control Room'!$A$14-('Control Room'!$B$14-1)/2)/MAX(0.5,'Control Room'!$B$14/4))^2),1)*IF(AND($A347&gt;='Control Room'!$A$15,$A347&lt;'Control Room'!$A$15+'Control Room'!$B$15,'Process'!BU4=1),1+('Control Room'!$C$15-1)*EXP(-0.5*(($A347-'Control Room'!$A$15-('Control Room'!$B$15-1)/2)/MAX(0.5,'Control Room'!$B$15/4))^2),1)*IF(AND($A347&gt;='Control Room'!$A$16,$A347&lt;'Control Room'!$A$16+'Control Room'!$B$16,'Process'!BU5=1),1+('Control Room'!$C$16-1)*EXP(-0.5*(($A347-'Control Room'!$A$16-('Control Room'!$B$16-1)/2)/MAX(0.5,'Control Room'!$B$16/4))^2),1)</x:f>
        <x:v>1</x:v>
      </x:c>
      <x:c r="BE347" s="9" t="n">
        <x:f>MOD(BF346*16807,2147483647)</x:f>
        <x:v>1943341369</x:v>
      </x:c>
      <x:c r="BF347" s="9" t="n">
        <x:f>MOD(BE347*16807,2147483647)</x:f>
        <x:v>659601560</x:v>
      </x:c>
      <x:c r="BG347" s="17" t="n">
        <x:f>IF('Control Room'!$B$5="Normal",'Control Room'!$B$7+'Control Room'!$D$7*SQRT(-2*LN(MAX(0.000000000001,BE347/2147483647)))*COS(2*PI()*BF347/2147483647),'Control Room'!$B$8+('Control Room'!$D$8-'Control Room'!$B$8)*BE347/2147483647)</x:f>
        <x:v>985.8634583643327</x:v>
      </x:c>
      <x:c r="BH347" s="17" t="n">
        <x:f>IF('Control Room'!$B$5="Normal",'Control Room'!$B$7,('Control Room'!$B$8+'Control Room'!$D$8)/2)+'Control Room'!$B$9*(BH346-IF('Control Room'!$B$5="Normal",'Control Room'!$B$7,('Control Room'!$B$8+'Control Room'!$D$8)/2))+SQRT(1-'Control Room'!$B$9^2)*(BG347-IF('Control Room'!$B$5="Normal",'Control Room'!$B$7,('Control Room'!$B$8+'Control Room'!$D$8)/2))</x:f>
        <x:v>1042.6484763564802</x:v>
      </x:c>
      <x:c r="BI347" s="17" t="n">
        <x:f>IF(AND($A347&gt;='Control Room'!$A$13,$A347&lt;'Control Room'!$A$13+'Control Room'!$B$13,'Process'!BV2=1),1+('Control Room'!$C$13-1)*EXP(-0.5*(($A347-'Control Room'!$A$13-('Control Room'!$B$13-1)/2)/MAX(0.5,'Control Room'!$B$13/4))^2),1)*IF(AND($A347&gt;='Control Room'!$A$14,$A347&lt;'Control Room'!$A$14+'Control Room'!$B$14,'Process'!BV3=1),1+('Control Room'!$C$14-1)*EXP(-0.5*(($A347-'Control Room'!$A$14-('Control Room'!$B$14-1)/2)/MAX(0.5,'Control Room'!$B$14/4))^2),1)*IF(AND($A347&gt;='Control Room'!$A$15,$A347&lt;'Control Room'!$A$15+'Control Room'!$B$15,'Process'!BV4=1),1+('Control Room'!$C$15-1)*EXP(-0.5*(($A347-'Control Room'!$A$15-('Control Room'!$B$15-1)/2)/MAX(0.5,'Control Room'!$B$15/4))^2),1)*IF(AND($A347&gt;='Control Room'!$A$16,$A347&lt;'Control Room'!$A$16+'Control Room'!$B$16,'Process'!BV5=1),1+('Control Room'!$C$16-1)*EXP(-0.5*(($A347-'Control Room'!$A$16-('Control Room'!$B$16-1)/2)/MAX(0.5,'Control Room'!$B$16/4))^2),1)</x:f>
        <x:v>1</x:v>
      </x:c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Z347" t="str">
        <x:f>IF('Data'!A347="","",TEXT('Data'!A347,"mm-dd"))</x:f>
      </x:c>
    </x:row>
    <x:row r="348" ht="21" customHeight="1">
      <x:c r="A348" s="15" t="n">
        <x:f>'Control Room'!$B$1+346</x:f>
        <x:v>73337</x:v>
      </x:c>
      <x:c r="B348" s="9" t="n">
        <x:f>MOD(C347*16807,2147483647)</x:f>
        <x:v>1297574995</x:v>
      </x:c>
      <x:c r="C348" s="9" t="n">
        <x:f>MOD(B348*16807,2147483647)</x:f>
        <x:v>646505680</x:v>
      </x:c>
      <x:c r="D348" s="17" t="n">
        <x:f>IF('Control Room'!$B$5="Normal",'Control Room'!$B$7+'Control Room'!$D$7*SQRT(-2*LN(MAX(0.000000000001,B348/2147483647)))*COS(2*PI()*C348/2147483647),'Control Room'!$B$8+('Control Room'!$D$8-'Control Room'!$B$8)*B348/2147483647)</x:f>
        <x:v>971.5153300423331</x:v>
      </x:c>
      <x:c r="E348" s="17" t="n">
        <x:f>IF('Control Room'!$B$5="Normal",'Control Room'!$B$7,('Control Room'!$B$8+'Control Room'!$D$8)/2)+'Control Room'!$B$9*(E347-IF('Control Room'!$B$5="Normal",'Control Room'!$B$7,('Control Room'!$B$8+'Control Room'!$D$8)/2))+SQRT(1-'Control Room'!$B$9^2)*(D348-IF('Control Room'!$B$5="Normal",'Control Room'!$B$7,('Control Room'!$B$8+'Control Room'!$D$8)/2))</x:f>
        <x:v>942.1208690399154</x:v>
      </x:c>
      <x:c r="F348" s="17" t="n">
        <x:f>IF(AND($A348&gt;='Control Room'!$A$13,$A348&lt;'Control Room'!$A$13+'Control Room'!$B$13,'Process'!BK2=1),1+('Control Room'!$C$13-1)*EXP(-0.5*(($A348-'Control Room'!$A$13-('Control Room'!$B$13-1)/2)/MAX(0.5,'Control Room'!$B$13/4))^2),1)*IF(AND($A348&gt;='Control Room'!$A$14,$A348&lt;'Control Room'!$A$14+'Control Room'!$B$14,'Process'!BK3=1),1+('Control Room'!$C$14-1)*EXP(-0.5*(($A348-'Control Room'!$A$14-('Control Room'!$B$14-1)/2)/MAX(0.5,'Control Room'!$B$14/4))^2),1)*IF(AND($A348&gt;='Control Room'!$A$15,$A348&lt;'Control Room'!$A$15+'Control Room'!$B$15,'Process'!BK4=1),1+('Control Room'!$C$15-1)*EXP(-0.5*(($A348-'Control Room'!$A$15-('Control Room'!$B$15-1)/2)/MAX(0.5,'Control Room'!$B$15/4))^2),1)*IF(AND($A348&gt;='Control Room'!$A$16,$A348&lt;'Control Room'!$A$16+'Control Room'!$B$16,'Process'!BK5=1),1+('Control Room'!$C$16-1)*EXP(-0.5*(($A348-'Control Room'!$A$16-('Control Room'!$B$16-1)/2)/MAX(0.5,'Control Room'!$B$16/4))^2),1)</x:f>
        <x:v>1</x:v>
      </x:c>
      <x:c r="G348" s="9" t="n">
        <x:f>MOD(H347*16807,2147483647)</x:f>
        <x:v>454422588</x:v>
      </x:c>
      <x:c r="H348" s="9" t="n">
        <x:f>MOD(G348*16807,2147483647)</x:f>
        <x:v>1028587784</x:v>
      </x:c>
      <x:c r="I348" s="17" t="n">
        <x:f>IF('Control Room'!$B$5="Normal",'Control Room'!$B$7+'Control Room'!$D$7*SQRT(-2*LN(MAX(0.000000000001,G348/2147483647)))*COS(2*PI()*H348/2147483647),'Control Room'!$B$8+('Control Room'!$D$8-'Control Room'!$B$8)*G348/2147483647)</x:f>
        <x:v>842.7663464063428</x:v>
      </x:c>
      <x:c r="J348" s="17" t="n">
        <x:f>IF('Control Room'!$B$5="Normal",'Control Room'!$B$7,('Control Room'!$B$8+'Control Room'!$D$8)/2)+'Control Room'!$B$9*(J347-IF('Control Room'!$B$5="Normal",'Control Room'!$B$7,('Control Room'!$B$8+'Control Room'!$D$8)/2))+SQRT(1-'Control Room'!$B$9^2)*(I348-IF('Control Room'!$B$5="Normal",'Control Room'!$B$7,('Control Room'!$B$8+'Control Room'!$D$8)/2))</x:f>
        <x:v>897.6549869692042</x:v>
      </x:c>
      <x:c r="K348" s="17" t="n">
        <x:f>IF(AND($A348&gt;='Control Room'!$A$13,$A348&lt;'Control Room'!$A$13+'Control Room'!$B$13,'Process'!BL2=1),1+('Control Room'!$C$13-1)*EXP(-0.5*(($A348-'Control Room'!$A$13-('Control Room'!$B$13-1)/2)/MAX(0.5,'Control Room'!$B$13/4))^2),1)*IF(AND($A348&gt;='Control Room'!$A$14,$A348&lt;'Control Room'!$A$14+'Control Room'!$B$14,'Process'!BL3=1),1+('Control Room'!$C$14-1)*EXP(-0.5*(($A348-'Control Room'!$A$14-('Control Room'!$B$14-1)/2)/MAX(0.5,'Control Room'!$B$14/4))^2),1)*IF(AND($A348&gt;='Control Room'!$A$15,$A348&lt;'Control Room'!$A$15+'Control Room'!$B$15,'Process'!BL4=1),1+('Control Room'!$C$15-1)*EXP(-0.5*(($A348-'Control Room'!$A$15-('Control Room'!$B$15-1)/2)/MAX(0.5,'Control Room'!$B$15/4))^2),1)*IF(AND($A348&gt;='Control Room'!$A$16,$A348&lt;'Control Room'!$A$16+'Control Room'!$B$16,'Process'!BL5=1),1+('Control Room'!$C$16-1)*EXP(-0.5*(($A348-'Control Room'!$A$16-('Control Room'!$B$16-1)/2)/MAX(0.5,'Control Room'!$B$16/4))^2),1)</x:f>
        <x:v>1</x:v>
      </x:c>
      <x:c r="L348" s="9" t="n">
        <x:f>MOD(M347*16807,2147483647)</x:f>
        <x:v>1758753828</x:v>
      </x:c>
      <x:c r="M348" s="9" t="n">
        <x:f>MOD(L348*16807,2147483647)</x:f>
        <x:v>1410669888</x:v>
      </x:c>
      <x:c r="N348" s="17" t="n">
        <x:f>IF('Control Room'!$B$5="Normal",'Control Room'!$B$7+'Control Room'!$D$7*SQRT(-2*LN(MAX(0.000000000001,L348/2147483647)))*COS(2*PI()*M348/2147483647),'Control Room'!$B$8+('Control Room'!$D$8-'Control Room'!$B$8)*L348/2147483647)</x:f>
        <x:v>968.5925299732261</x:v>
      </x:c>
      <x:c r="O348" s="17" t="n">
        <x:f>IF('Control Room'!$B$5="Normal",'Control Room'!$B$7,('Control Room'!$B$8+'Control Room'!$D$8)/2)+'Control Room'!$B$9*(O347-IF('Control Room'!$B$5="Normal",'Control Room'!$B$7,('Control Room'!$B$8+'Control Room'!$D$8)/2))+SQRT(1-'Control Room'!$B$9^2)*(N348-IF('Control Room'!$B$5="Normal",'Control Room'!$B$7,('Control Room'!$B$8+'Control Room'!$D$8)/2))</x:f>
        <x:v>934.2924203197665</x:v>
      </x:c>
      <x:c r="P348" s="17" t="n">
        <x:f>IF(AND($A348&gt;='Control Room'!$A$13,$A348&lt;'Control Room'!$A$13+'Control Room'!$B$13,'Process'!BM2=1),1+('Control Room'!$C$13-1)*EXP(-0.5*(($A348-'Control Room'!$A$13-('Control Room'!$B$13-1)/2)/MAX(0.5,'Control Room'!$B$13/4))^2),1)*IF(AND($A348&gt;='Control Room'!$A$14,$A348&lt;'Control Room'!$A$14+'Control Room'!$B$14,'Process'!BM3=1),1+('Control Room'!$C$14-1)*EXP(-0.5*(($A348-'Control Room'!$A$14-('Control Room'!$B$14-1)/2)/MAX(0.5,'Control Room'!$B$14/4))^2),1)*IF(AND($A348&gt;='Control Room'!$A$15,$A348&lt;'Control Room'!$A$15+'Control Room'!$B$15,'Process'!BM4=1),1+('Control Room'!$C$15-1)*EXP(-0.5*(($A348-'Control Room'!$A$15-('Control Room'!$B$15-1)/2)/MAX(0.5,'Control Room'!$B$15/4))^2),1)*IF(AND($A348&gt;='Control Room'!$A$16,$A348&lt;'Control Room'!$A$16+'Control Room'!$B$16,'Process'!BM5=1),1+('Control Room'!$C$16-1)*EXP(-0.5*(($A348-'Control Room'!$A$16-('Control Room'!$B$16-1)/2)/MAX(0.5,'Control Room'!$B$16/4))^2),1)</x:f>
        <x:v>1</x:v>
      </x:c>
      <x:c r="Q348" s="9" t="n">
        <x:f>MOD(R347*16807,2147483647)</x:f>
        <x:v>915601421</x:v>
      </x:c>
      <x:c r="R348" s="9" t="n">
        <x:f>MOD(Q348*16807,2147483647)</x:f>
        <x:v>1792751992</x:v>
      </x:c>
      <x:c r="S348" s="17" t="n">
        <x:f>IF('Control Room'!$B$5="Normal",'Control Room'!$B$7+'Control Room'!$D$7*SQRT(-2*LN(MAX(0.000000000001,Q348/2147483647)))*COS(2*PI()*R348/2147483647),'Control Room'!$B$8+('Control Room'!$D$8-'Control Room'!$B$8)*Q348/2147483647)</x:f>
        <x:v>1059.7030611143778</x:v>
      </x:c>
      <x:c r="T348" s="17" t="n">
        <x:f>IF('Control Room'!$B$5="Normal",'Control Room'!$B$7,('Control Room'!$B$8+'Control Room'!$D$8)/2)+'Control Room'!$B$9*(T347-IF('Control Room'!$B$5="Normal",'Control Room'!$B$7,('Control Room'!$B$8+'Control Room'!$D$8)/2))+SQRT(1-'Control Room'!$B$9^2)*(S348-IF('Control Room'!$B$5="Normal",'Control Room'!$B$7,('Control Room'!$B$8+'Control Room'!$D$8)/2))</x:f>
        <x:v>1108.8528992723102</x:v>
      </x:c>
      <x:c r="U348" s="17" t="n">
        <x:f>IF(AND($A348&gt;='Control Room'!$A$13,$A348&lt;'Control Room'!$A$13+'Control Room'!$B$13,'Process'!BN2=1),1+('Control Room'!$C$13-1)*EXP(-0.5*(($A348-'Control Room'!$A$13-('Control Room'!$B$13-1)/2)/MAX(0.5,'Control Room'!$B$13/4))^2),1)*IF(AND($A348&gt;='Control Room'!$A$14,$A348&lt;'Control Room'!$A$14+'Control Room'!$B$14,'Process'!BN3=1),1+('Control Room'!$C$14-1)*EXP(-0.5*(($A348-'Control Room'!$A$14-('Control Room'!$B$14-1)/2)/MAX(0.5,'Control Room'!$B$14/4))^2),1)*IF(AND($A348&gt;='Control Room'!$A$15,$A348&lt;'Control Room'!$A$15+'Control Room'!$B$15,'Process'!BN4=1),1+('Control Room'!$C$15-1)*EXP(-0.5*(($A348-'Control Room'!$A$15-('Control Room'!$B$15-1)/2)/MAX(0.5,'Control Room'!$B$15/4))^2),1)*IF(AND($A348&gt;='Control Room'!$A$16,$A348&lt;'Control Room'!$A$16+'Control Room'!$B$16,'Process'!BN5=1),1+('Control Room'!$C$16-1)*EXP(-0.5*(($A348-'Control Room'!$A$16-('Control Room'!$B$16-1)/2)/MAX(0.5,'Control Room'!$B$16/4))^2),1)</x:f>
        <x:v>1</x:v>
      </x:c>
      <x:c r="V348" s="9" t="n">
        <x:f>MOD(W347*16807,2147483647)</x:f>
        <x:v>72449014</x:v>
      </x:c>
      <x:c r="W348" s="9" t="n">
        <x:f>MOD(V348*16807,2147483647)</x:f>
        <x:v>27350449</x:v>
      </x:c>
      <x:c r="X348" s="17" t="n">
        <x:f>IF('Control Room'!$B$5="Normal",'Control Room'!$B$7+'Control Room'!$D$7*SQRT(-2*LN(MAX(0.000000000001,V348/2147483647)))*COS(2*PI()*W348/2147483647),'Control Room'!$B$8+('Control Room'!$D$8-'Control Room'!$B$8)*V348/2147483647)</x:f>
        <x:v>1233.5673281810007</x:v>
      </x:c>
      <x:c r="Y348" s="17" t="n">
        <x:f>IF('Control Room'!$B$5="Normal",'Control Room'!$B$7,('Control Room'!$B$8+'Control Room'!$D$8)/2)+'Control Room'!$B$9*(Y347-IF('Control Room'!$B$5="Normal",'Control Room'!$B$7,('Control Room'!$B$8+'Control Room'!$D$8)/2))+SQRT(1-'Control Room'!$B$9^2)*(X348-IF('Control Room'!$B$5="Normal",'Control Room'!$B$7,('Control Room'!$B$8+'Control Room'!$D$8)/2))</x:f>
        <x:v>1232.9722463962808</x:v>
      </x:c>
      <x:c r="Z348" s="17" t="n">
        <x:f>IF(AND($A348&gt;='Control Room'!$A$13,$A348&lt;'Control Room'!$A$13+'Control Room'!$B$13,'Process'!BO2=1),1+('Control Room'!$C$13-1)*EXP(-0.5*(($A348-'Control Room'!$A$13-('Control Room'!$B$13-1)/2)/MAX(0.5,'Control Room'!$B$13/4))^2),1)*IF(AND($A348&gt;='Control Room'!$A$14,$A348&lt;'Control Room'!$A$14+'Control Room'!$B$14,'Process'!BO3=1),1+('Control Room'!$C$14-1)*EXP(-0.5*(($A348-'Control Room'!$A$14-('Control Room'!$B$14-1)/2)/MAX(0.5,'Control Room'!$B$14/4))^2),1)*IF(AND($A348&gt;='Control Room'!$A$15,$A348&lt;'Control Room'!$A$15+'Control Room'!$B$15,'Process'!BO4=1),1+('Control Room'!$C$15-1)*EXP(-0.5*(($A348-'Control Room'!$A$15-('Control Room'!$B$15-1)/2)/MAX(0.5,'Control Room'!$B$15/4))^2),1)*IF(AND($A348&gt;='Control Room'!$A$16,$A348&lt;'Control Room'!$A$16+'Control Room'!$B$16,'Process'!BO5=1),1+('Control Room'!$C$16-1)*EXP(-0.5*(($A348-'Control Room'!$A$16-('Control Room'!$B$16-1)/2)/MAX(0.5,'Control Room'!$B$16/4))^2),1)</x:f>
        <x:v>1</x:v>
      </x:c>
      <x:c r="AA348" s="9" t="n">
        <x:f>MOD(AB347*16807,2147483647)</x:f>
        <x:v>1376780254</x:v>
      </x:c>
      <x:c r="AB348" s="9" t="n">
        <x:f>MOD(AA348*16807,2147483647)</x:f>
        <x:v>409432553</x:v>
      </x:c>
      <x:c r="AC348" s="17" t="n">
        <x:f>IF('Control Room'!$B$5="Normal",'Control Room'!$B$7+'Control Room'!$D$7*SQRT(-2*LN(MAX(0.000000000001,AA348/2147483647)))*COS(2*PI()*AB348/2147483647),'Control Room'!$B$8+('Control Room'!$D$8-'Control Room'!$B$8)*AA348/2147483647)</x:f>
        <x:v>1030.9141547552726</x:v>
      </x:c>
      <x:c r="AD348" s="17" t="n">
        <x:f>IF('Control Room'!$B$5="Normal",'Control Room'!$B$7,('Control Room'!$B$8+'Control Room'!$D$8)/2)+'Control Room'!$B$9*(AD347-IF('Control Room'!$B$5="Normal",'Control Room'!$B$7,('Control Room'!$B$8+'Control Room'!$D$8)/2))+SQRT(1-'Control Room'!$B$9^2)*(AC348-IF('Control Room'!$B$5="Normal",'Control Room'!$B$7,('Control Room'!$B$8+'Control Room'!$D$8)/2))</x:f>
        <x:v>887.1190400937104</x:v>
      </x:c>
      <x:c r="AE348" s="17" t="n">
        <x:f>IF(AND($A348&gt;='Control Room'!$A$13,$A348&lt;'Control Room'!$A$13+'Control Room'!$B$13,'Process'!BP2=1),1+('Control Room'!$C$13-1)*EXP(-0.5*(($A348-'Control Room'!$A$13-('Control Room'!$B$13-1)/2)/MAX(0.5,'Control Room'!$B$13/4))^2),1)*IF(AND($A348&gt;='Control Room'!$A$14,$A348&lt;'Control Room'!$A$14+'Control Room'!$B$14,'Process'!BP3=1),1+('Control Room'!$C$14-1)*EXP(-0.5*(($A348-'Control Room'!$A$14-('Control Room'!$B$14-1)/2)/MAX(0.5,'Control Room'!$B$14/4))^2),1)*IF(AND($A348&gt;='Control Room'!$A$15,$A348&lt;'Control Room'!$A$15+'Control Room'!$B$15,'Process'!BP4=1),1+('Control Room'!$C$15-1)*EXP(-0.5*(($A348-'Control Room'!$A$15-('Control Room'!$B$15-1)/2)/MAX(0.5,'Control Room'!$B$15/4))^2),1)*IF(AND($A348&gt;='Control Room'!$A$16,$A348&lt;'Control Room'!$A$16+'Control Room'!$B$16,'Process'!BP5=1),1+('Control Room'!$C$16-1)*EXP(-0.5*(($A348-'Control Room'!$A$16-('Control Room'!$B$16-1)/2)/MAX(0.5,'Control Room'!$B$16/4))^2),1)</x:f>
        <x:v>1</x:v>
      </x:c>
      <x:c r="AF348" s="9" t="n">
        <x:f>MOD(AG347*16807,2147483647)</x:f>
        <x:v>533627847</x:v>
      </x:c>
      <x:c r="AG348" s="9" t="n">
        <x:f>MOD(AF348*16807,2147483647)</x:f>
        <x:v>791514657</x:v>
      </x:c>
      <x:c r="AH348" s="17" t="n">
        <x:f>IF('Control Room'!$B$5="Normal",'Control Room'!$B$7+'Control Room'!$D$7*SQRT(-2*LN(MAX(0.000000000001,AF348/2147483647)))*COS(2*PI()*AG348/2147483647),'Control Room'!$B$8+('Control Room'!$D$8-'Control Room'!$B$8)*AF348/2147483647)</x:f>
        <x:v>898.1724067109049</x:v>
      </x:c>
      <x:c r="AI348" s="17" t="n">
        <x:f>IF('Control Room'!$B$5="Normal",'Control Room'!$B$7,('Control Room'!$B$8+'Control Room'!$D$8)/2)+'Control Room'!$B$9*(AI347-IF('Control Room'!$B$5="Normal",'Control Room'!$B$7,('Control Room'!$B$8+'Control Room'!$D$8)/2))+SQRT(1-'Control Room'!$B$9^2)*(AH348-IF('Control Room'!$B$5="Normal",'Control Room'!$B$7,('Control Room'!$B$8+'Control Room'!$D$8)/2))</x:f>
        <x:v>1069.6549528436663</x:v>
      </x:c>
      <x:c r="AJ348" s="17" t="n">
        <x:f>IF(AND($A348&gt;='Control Room'!$A$13,$A348&lt;'Control Room'!$A$13+'Control Room'!$B$13,'Process'!BQ2=1),1+('Control Room'!$C$13-1)*EXP(-0.5*(($A348-'Control Room'!$A$13-('Control Room'!$B$13-1)/2)/MAX(0.5,'Control Room'!$B$13/4))^2),1)*IF(AND($A348&gt;='Control Room'!$A$14,$A348&lt;'Control Room'!$A$14+'Control Room'!$B$14,'Process'!BQ3=1),1+('Control Room'!$C$14-1)*EXP(-0.5*(($A348-'Control Room'!$A$14-('Control Room'!$B$14-1)/2)/MAX(0.5,'Control Room'!$B$14/4))^2),1)*IF(AND($A348&gt;='Control Room'!$A$15,$A348&lt;'Control Room'!$A$15+'Control Room'!$B$15,'Process'!BQ4=1),1+('Control Room'!$C$15-1)*EXP(-0.5*(($A348-'Control Room'!$A$15-('Control Room'!$B$15-1)/2)/MAX(0.5,'Control Room'!$B$15/4))^2),1)*IF(AND($A348&gt;='Control Room'!$A$16,$A348&lt;'Control Room'!$A$16+'Control Room'!$B$16,'Process'!BQ5=1),1+('Control Room'!$C$16-1)*EXP(-0.5*(($A348-'Control Room'!$A$16-('Control Room'!$B$16-1)/2)/MAX(0.5,'Control Room'!$B$16/4))^2),1)</x:f>
        <x:v>1</x:v>
      </x:c>
      <x:c r="AK348" s="9" t="n">
        <x:f>MOD(AL347*16807,2147483647)</x:f>
        <x:v>1837959087</x:v>
      </x:c>
      <x:c r="AL348" s="9" t="n">
        <x:f>MOD(AK348*16807,2147483647)</x:f>
        <x:v>1173596761</x:v>
      </x:c>
      <x:c r="AM348" s="17" t="n">
        <x:f>IF('Control Room'!$B$5="Normal",'Control Room'!$B$7+'Control Room'!$D$7*SQRT(-2*LN(MAX(0.000000000001,AK348/2147483647)))*COS(2*PI()*AL348/2147483647),'Control Room'!$B$8+('Control Room'!$D$8-'Control Room'!$B$8)*AK348/2147483647)</x:f>
        <x:v>951.9144455173698</x:v>
      </x:c>
      <x:c r="AN348" s="17" t="n">
        <x:f>IF('Control Room'!$B$5="Normal",'Control Room'!$B$7,('Control Room'!$B$8+'Control Room'!$D$8)/2)+'Control Room'!$B$9*(AN347-IF('Control Room'!$B$5="Normal",'Control Room'!$B$7,('Control Room'!$B$8+'Control Room'!$D$8)/2))+SQRT(1-'Control Room'!$B$9^2)*(AM348-IF('Control Room'!$B$5="Normal",'Control Room'!$B$7,('Control Room'!$B$8+'Control Room'!$D$8)/2))</x:f>
        <x:v>901.1960668104507</x:v>
      </x:c>
      <x:c r="AO348" s="17" t="n">
        <x:f>IF(AND($A348&gt;='Control Room'!$A$13,$A348&lt;'Control Room'!$A$13+'Control Room'!$B$13,'Process'!BR2=1),1+('Control Room'!$C$13-1)*EXP(-0.5*(($A348-'Control Room'!$A$13-('Control Room'!$B$13-1)/2)/MAX(0.5,'Control Room'!$B$13/4))^2),1)*IF(AND($A348&gt;='Control Room'!$A$14,$A348&lt;'Control Room'!$A$14+'Control Room'!$B$14,'Process'!BR3=1),1+('Control Room'!$C$14-1)*EXP(-0.5*(($A348-'Control Room'!$A$14-('Control Room'!$B$14-1)/2)/MAX(0.5,'Control Room'!$B$14/4))^2),1)*IF(AND($A348&gt;='Control Room'!$A$15,$A348&lt;'Control Room'!$A$15+'Control Room'!$B$15,'Process'!BR4=1),1+('Control Room'!$C$15-1)*EXP(-0.5*(($A348-'Control Room'!$A$15-('Control Room'!$B$15-1)/2)/MAX(0.5,'Control Room'!$B$15/4))^2),1)*IF(AND($A348&gt;='Control Room'!$A$16,$A348&lt;'Control Room'!$A$16+'Control Room'!$B$16,'Process'!BR5=1),1+('Control Room'!$C$16-1)*EXP(-0.5*(($A348-'Control Room'!$A$16-('Control Room'!$B$16-1)/2)/MAX(0.5,'Control Room'!$B$16/4))^2),1)</x:f>
        <x:v>1</x:v>
      </x:c>
      <x:c r="AP348" s="9" t="n">
        <x:f>MOD(AQ347*16807,2147483647)</x:f>
        <x:v>994806680</x:v>
      </x:c>
      <x:c r="AQ348" s="9" t="n">
        <x:f>MOD(AP348*16807,2147483647)</x:f>
        <x:v>1555678865</x:v>
      </x:c>
      <x:c r="AR348" s="17" t="n">
        <x:f>IF('Control Room'!$B$5="Normal",'Control Room'!$B$7+'Control Room'!$D$7*SQRT(-2*LN(MAX(0.000000000001,AP348/2147483647)))*COS(2*PI()*AQ348/2147483647),'Control Room'!$B$8+('Control Room'!$D$8-'Control Room'!$B$8)*AP348/2147483647)</x:f>
        <x:v>982.1317694517261</x:v>
      </x:c>
      <x:c r="AS348" s="17" t="n">
        <x:f>IF('Control Room'!$B$5="Normal",'Control Room'!$B$7,('Control Room'!$B$8+'Control Room'!$D$8)/2)+'Control Room'!$B$9*(AS347-IF('Control Room'!$B$5="Normal",'Control Room'!$B$7,('Control Room'!$B$8+'Control Room'!$D$8)/2))+SQRT(1-'Control Room'!$B$9^2)*(AR348-IF('Control Room'!$B$5="Normal",'Control Room'!$B$7,('Control Room'!$B$8+'Control Room'!$D$8)/2))</x:f>
        <x:v>957.9302677867039</x:v>
      </x:c>
      <x:c r="AT348" s="17" t="n">
        <x:f>IF(AND($A348&gt;='Control Room'!$A$13,$A348&lt;'Control Room'!$A$13+'Control Room'!$B$13,'Process'!BS2=1),1+('Control Room'!$C$13-1)*EXP(-0.5*(($A348-'Control Room'!$A$13-('Control Room'!$B$13-1)/2)/MAX(0.5,'Control Room'!$B$13/4))^2),1)*IF(AND($A348&gt;='Control Room'!$A$14,$A348&lt;'Control Room'!$A$14+'Control Room'!$B$14,'Process'!BS3=1),1+('Control Room'!$C$14-1)*EXP(-0.5*(($A348-'Control Room'!$A$14-('Control Room'!$B$14-1)/2)/MAX(0.5,'Control Room'!$B$14/4))^2),1)*IF(AND($A348&gt;='Control Room'!$A$15,$A348&lt;'Control Room'!$A$15+'Control Room'!$B$15,'Process'!BS4=1),1+('Control Room'!$C$15-1)*EXP(-0.5*(($A348-'Control Room'!$A$15-('Control Room'!$B$15-1)/2)/MAX(0.5,'Control Room'!$B$15/4))^2),1)*IF(AND($A348&gt;='Control Room'!$A$16,$A348&lt;'Control Room'!$A$16+'Control Room'!$B$16,'Process'!BS5=1),1+('Control Room'!$C$16-1)*EXP(-0.5*(($A348-'Control Room'!$A$16-('Control Room'!$B$16-1)/2)/MAX(0.5,'Control Room'!$B$16/4))^2),1)</x:f>
        <x:v>1</x:v>
      </x:c>
      <x:c r="AU348" s="9" t="n">
        <x:f>MOD(AV347*16807,2147483647)</x:f>
        <x:v>151654273</x:v>
      </x:c>
      <x:c r="AV348" s="9" t="n">
        <x:f>MOD(AU348*16807,2147483647)</x:f>
        <x:v>1937760969</x:v>
      </x:c>
      <x:c r="AW348" s="17" t="n">
        <x:f>IF('Control Room'!$B$5="Normal",'Control Room'!$B$7+'Control Room'!$D$7*SQRT(-2*LN(MAX(0.000000000001,AU348/2147483647)))*COS(2*PI()*AV348/2147483647),'Control Room'!$B$8+('Control Room'!$D$8-'Control Room'!$B$8)*AU348/2147483647)</x:f>
        <x:v>1169.4116709976558</x:v>
      </x:c>
      <x:c r="AX348" s="17" t="n">
        <x:f>IF('Control Room'!$B$5="Normal",'Control Room'!$B$7,('Control Room'!$B$8+'Control Room'!$D$8)/2)+'Control Room'!$B$9*(AX347-IF('Control Room'!$B$5="Normal",'Control Room'!$B$7,('Control Room'!$B$8+'Control Room'!$D$8)/2))+SQRT(1-'Control Room'!$B$9^2)*(AW348-IF('Control Room'!$B$5="Normal",'Control Room'!$B$7,('Control Room'!$B$8+'Control Room'!$D$8)/2))</x:f>
        <x:v>1204.3528635980356</x:v>
      </x:c>
      <x:c r="AY348" s="17" t="n">
        <x:f>IF(AND($A348&gt;='Control Room'!$A$13,$A348&lt;'Control Room'!$A$13+'Control Room'!$B$13,'Process'!BT2=1),1+('Control Room'!$C$13-1)*EXP(-0.5*(($A348-'Control Room'!$A$13-('Control Room'!$B$13-1)/2)/MAX(0.5,'Control Room'!$B$13/4))^2),1)*IF(AND($A348&gt;='Control Room'!$A$14,$A348&lt;'Control Room'!$A$14+'Control Room'!$B$14,'Process'!BT3=1),1+('Control Room'!$C$14-1)*EXP(-0.5*(($A348-'Control Room'!$A$14-('Control Room'!$B$14-1)/2)/MAX(0.5,'Control Room'!$B$14/4))^2),1)*IF(AND($A348&gt;='Control Room'!$A$15,$A348&lt;'Control Room'!$A$15+'Control Room'!$B$15,'Process'!BT4=1),1+('Control Room'!$C$15-1)*EXP(-0.5*(($A348-'Control Room'!$A$15-('Control Room'!$B$15-1)/2)/MAX(0.5,'Control Room'!$B$15/4))^2),1)*IF(AND($A348&gt;='Control Room'!$A$16,$A348&lt;'Control Room'!$A$16+'Control Room'!$B$16,'Process'!BT5=1),1+('Control Room'!$C$16-1)*EXP(-0.5*(($A348-'Control Room'!$A$16-('Control Room'!$B$16-1)/2)/MAX(0.5,'Control Room'!$B$16/4))^2),1)</x:f>
        <x:v>1</x:v>
      </x:c>
      <x:c r="AZ348" s="9" t="n">
        <x:f>MOD(BA347*16807,2147483647)</x:f>
        <x:v>1455985513</x:v>
      </x:c>
      <x:c r="BA348" s="9" t="n">
        <x:f>MOD(AZ348*16807,2147483647)</x:f>
        <x:v>172359426</x:v>
      </x:c>
      <x:c r="BB348" s="17" t="n">
        <x:f>IF('Control Room'!$B$5="Normal",'Control Room'!$B$7+'Control Room'!$D$7*SQRT(-2*LN(MAX(0.000000000001,AZ348/2147483647)))*COS(2*PI()*BA348/2147483647),'Control Room'!$B$8+('Control Room'!$D$8-'Control Room'!$B$8)*AZ348/2147483647)</x:f>
        <x:v>1069.4672727411353</x:v>
      </x:c>
      <x:c r="BC348" s="17" t="n">
        <x:f>IF('Control Room'!$B$5="Normal",'Control Room'!$B$7,('Control Room'!$B$8+'Control Room'!$D$8)/2)+'Control Room'!$B$9*(BC347-IF('Control Room'!$B$5="Normal",'Control Room'!$B$7,('Control Room'!$B$8+'Control Room'!$D$8)/2))+SQRT(1-'Control Room'!$B$9^2)*(BB348-IF('Control Room'!$B$5="Normal",'Control Room'!$B$7,('Control Room'!$B$8+'Control Room'!$D$8)/2))</x:f>
        <x:v>1139.1227957212107</x:v>
      </x:c>
      <x:c r="BD348" s="17" t="n">
        <x:f>IF(AND($A348&gt;='Control Room'!$A$13,$A348&lt;'Control Room'!$A$13+'Control Room'!$B$13,'Process'!BU2=1),1+('Control Room'!$C$13-1)*EXP(-0.5*(($A348-'Control Room'!$A$13-('Control Room'!$B$13-1)/2)/MAX(0.5,'Control Room'!$B$13/4))^2),1)*IF(AND($A348&gt;='Control Room'!$A$14,$A348&lt;'Control Room'!$A$14+'Control Room'!$B$14,'Process'!BU3=1),1+('Control Room'!$C$14-1)*EXP(-0.5*(($A348-'Control Room'!$A$14-('Control Room'!$B$14-1)/2)/MAX(0.5,'Control Room'!$B$14/4))^2),1)*IF(AND($A348&gt;='Control Room'!$A$15,$A348&lt;'Control Room'!$A$15+'Control Room'!$B$15,'Process'!BU4=1),1+('Control Room'!$C$15-1)*EXP(-0.5*(($A348-'Control Room'!$A$15-('Control Room'!$B$15-1)/2)/MAX(0.5,'Control Room'!$B$15/4))^2),1)*IF(AND($A348&gt;='Control Room'!$A$16,$A348&lt;'Control Room'!$A$16+'Control Room'!$B$16,'Process'!BU5=1),1+('Control Room'!$C$16-1)*EXP(-0.5*(($A348-'Control Room'!$A$16-('Control Room'!$B$16-1)/2)/MAX(0.5,'Control Room'!$B$16/4))^2),1)</x:f>
        <x:v>1</x:v>
      </x:c>
      <x:c r="BE348" s="9" t="n">
        <x:f>MOD(BF347*16807,2147483647)</x:f>
        <x:v>612833106</x:v>
      </x:c>
      <x:c r="BF348" s="9" t="n">
        <x:f>MOD(BE348*16807,2147483647)</x:f>
        <x:v>554441530</x:v>
      </x:c>
      <x:c r="BG348" s="17" t="n">
        <x:f>IF('Control Room'!$B$5="Normal",'Control Room'!$B$7+'Control Room'!$D$7*SQRT(-2*LN(MAX(0.000000000001,BE348/2147483647)))*COS(2*PI()*BF348/2147483647),'Control Room'!$B$8+('Control Room'!$D$8-'Control Room'!$B$8)*BE348/2147483647)</x:f>
        <x:v>992.6760566359741</x:v>
      </x:c>
      <x:c r="BH348" s="17" t="n">
        <x:f>IF('Control Room'!$B$5="Normal",'Control Room'!$B$7,('Control Room'!$B$8+'Control Room'!$D$8)/2)+'Control Room'!$B$9*(BH347-IF('Control Room'!$B$5="Normal",'Control Room'!$B$7,('Control Room'!$B$8+'Control Room'!$D$8)/2))+SQRT(1-'Control Room'!$B$9^2)*(BG348-IF('Control Room'!$B$5="Normal",'Control Room'!$B$7,('Control Room'!$B$8+'Control Room'!$D$8)/2))</x:f>
        <x:v>1028.6826378399824</x:v>
      </x:c>
      <x:c r="BI348" s="17" t="n">
        <x:f>IF(AND($A348&gt;='Control Room'!$A$13,$A348&lt;'Control Room'!$A$13+'Control Room'!$B$13,'Process'!BV2=1),1+('Control Room'!$C$13-1)*EXP(-0.5*(($A348-'Control Room'!$A$13-('Control Room'!$B$13-1)/2)/MAX(0.5,'Control Room'!$B$13/4))^2),1)*IF(AND($A348&gt;='Control Room'!$A$14,$A348&lt;'Control Room'!$A$14+'Control Room'!$B$14,'Process'!BV3=1),1+('Control Room'!$C$14-1)*EXP(-0.5*(($A348-'Control Room'!$A$14-('Control Room'!$B$14-1)/2)/MAX(0.5,'Control Room'!$B$14/4))^2),1)*IF(AND($A348&gt;='Control Room'!$A$15,$A348&lt;'Control Room'!$A$15+'Control Room'!$B$15,'Process'!BV4=1),1+('Control Room'!$C$15-1)*EXP(-0.5*(($A348-'Control Room'!$A$15-('Control Room'!$B$15-1)/2)/MAX(0.5,'Control Room'!$B$15/4))^2),1)*IF(AND($A348&gt;='Control Room'!$A$16,$A348&lt;'Control Room'!$A$16+'Control Room'!$B$16,'Process'!BV5=1),1+('Control Room'!$C$16-1)*EXP(-0.5*(($A348-'Control Room'!$A$16-('Control Room'!$B$16-1)/2)/MAX(0.5,'Control Room'!$B$16/4))^2),1)</x:f>
        <x:v>1</x:v>
      </x:c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Z348" t="str">
        <x:f>IF('Data'!A348="","",TEXT('Data'!A348,"mm-dd"))</x:f>
      </x:c>
    </x:row>
    <x:row r="349" ht="21" customHeight="1">
      <x:c r="A349" s="15" t="n">
        <x:f>'Control Room'!$B$1+347</x:f>
        <x:v>73338</x:v>
      </x:c>
      <x:c r="B349" s="9" t="n">
        <x:f>MOD(C348*16807,2147483647)</x:f>
        <x:v>1701193587</x:v>
      </x:c>
      <x:c r="C349" s="9" t="n">
        <x:f>MOD(B349*16807,2147483647)</x:f>
        <x:v>363340551</x:v>
      </x:c>
      <x:c r="D349" s="17" t="n">
        <x:f>IF('Control Room'!$B$5="Normal",'Control Room'!$B$7+'Control Room'!$D$7*SQRT(-2*LN(MAX(0.000000000001,B349/2147483647)))*COS(2*PI()*C349/2147483647),'Control Room'!$B$8+('Control Room'!$D$8-'Control Room'!$B$8)*B349/2147483647)</x:f>
        <x:v>1029.8681301106933</x:v>
      </x:c>
      <x:c r="E349" s="17" t="n">
        <x:f>IF('Control Room'!$B$5="Normal",'Control Room'!$B$7,('Control Room'!$B$8+'Control Room'!$D$8)/2)+'Control Room'!$B$9*(E348-IF('Control Room'!$B$5="Normal",'Control Room'!$B$7,('Control Room'!$B$8+'Control Room'!$D$8)/2))+SQRT(1-'Control Room'!$B$9^2)*(D349-IF('Control Room'!$B$5="Normal",'Control Room'!$B$7,('Control Room'!$B$8+'Control Room'!$D$8)/2))</x:f>
        <x:v>973.5451417925018</x:v>
      </x:c>
      <x:c r="F349" s="17" t="n">
        <x:f>IF(AND($A349&gt;='Control Room'!$A$13,$A349&lt;'Control Room'!$A$13+'Control Room'!$B$13,'Process'!BK2=1),1+('Control Room'!$C$13-1)*EXP(-0.5*(($A349-'Control Room'!$A$13-('Control Room'!$B$13-1)/2)/MAX(0.5,'Control Room'!$B$13/4))^2),1)*IF(AND($A349&gt;='Control Room'!$A$14,$A349&lt;'Control Room'!$A$14+'Control Room'!$B$14,'Process'!BK3=1),1+('Control Room'!$C$14-1)*EXP(-0.5*(($A349-'Control Room'!$A$14-('Control Room'!$B$14-1)/2)/MAX(0.5,'Control Room'!$B$14/4))^2),1)*IF(AND($A349&gt;='Control Room'!$A$15,$A349&lt;'Control Room'!$A$15+'Control Room'!$B$15,'Process'!BK4=1),1+('Control Room'!$C$15-1)*EXP(-0.5*(($A349-'Control Room'!$A$15-('Control Room'!$B$15-1)/2)/MAX(0.5,'Control Room'!$B$15/4))^2),1)*IF(AND($A349&gt;='Control Room'!$A$16,$A349&lt;'Control Room'!$A$16+'Control Room'!$B$16,'Process'!BK5=1),1+('Control Room'!$C$16-1)*EXP(-0.5*(($A349-'Control Room'!$A$16-('Control Room'!$B$16-1)/2)/MAX(0.5,'Control Room'!$B$16/4))^2),1)</x:f>
        <x:v>1</x:v>
      </x:c>
      <x:c r="G349" s="9" t="n">
        <x:f>MOD(H348*16807,2147483647)</x:f>
        <x:v>231527338</x:v>
      </x:c>
      <x:c r="H349" s="9" t="n">
        <x:f>MOD(G349*16807,2147483647)</x:f>
        <x:v>39601402</x:v>
      </x:c>
      <x:c r="I349" s="17" t="n">
        <x:f>IF('Control Room'!$B$5="Normal",'Control Room'!$B$7+'Control Room'!$D$7*SQRT(-2*LN(MAX(0.000000000001,G349/2147483647)))*COS(2*PI()*H349/2147483647),'Control Room'!$B$8+('Control Room'!$D$8-'Control Room'!$B$8)*G349/2147483647)</x:f>
        <x:v>1188.681944951626</x:v>
      </x:c>
      <x:c r="J349" s="17" t="n">
        <x:f>IF('Control Room'!$B$5="Normal",'Control Room'!$B$7,('Control Room'!$B$8+'Control Room'!$D$8)/2)+'Control Room'!$B$9*(J348-IF('Control Room'!$B$5="Normal",'Control Room'!$B$7,('Control Room'!$B$8+'Control Room'!$D$8)/2))+SQRT(1-'Control Room'!$B$9^2)*(I349-IF('Control Room'!$B$5="Normal",'Control Room'!$B$7,('Control Room'!$B$8+'Control Room'!$D$8)/2))</x:f>
        <x:v>1038.2441856269634</x:v>
      </x:c>
      <x:c r="K349" s="17" t="n">
        <x:f>IF(AND($A349&gt;='Control Room'!$A$13,$A349&lt;'Control Room'!$A$13+'Control Room'!$B$13,'Process'!BL2=1),1+('Control Room'!$C$13-1)*EXP(-0.5*(($A349-'Control Room'!$A$13-('Control Room'!$B$13-1)/2)/MAX(0.5,'Control Room'!$B$13/4))^2),1)*IF(AND($A349&gt;='Control Room'!$A$14,$A349&lt;'Control Room'!$A$14+'Control Room'!$B$14,'Process'!BL3=1),1+('Control Room'!$C$14-1)*EXP(-0.5*(($A349-'Control Room'!$A$14-('Control Room'!$B$14-1)/2)/MAX(0.5,'Control Room'!$B$14/4))^2),1)*IF(AND($A349&gt;='Control Room'!$A$15,$A349&lt;'Control Room'!$A$15+'Control Room'!$B$15,'Process'!BL4=1),1+('Control Room'!$C$15-1)*EXP(-0.5*(($A349-'Control Room'!$A$15-('Control Room'!$B$15-1)/2)/MAX(0.5,'Control Room'!$B$15/4))^2),1)*IF(AND($A349&gt;='Control Room'!$A$16,$A349&lt;'Control Room'!$A$16+'Control Room'!$B$16,'Process'!BL5=1),1+('Control Room'!$C$16-1)*EXP(-0.5*(($A349-'Control Room'!$A$16-('Control Room'!$B$16-1)/2)/MAX(0.5,'Control Room'!$B$16/4))^2),1)</x:f>
        <x:v>1</x:v>
      </x:c>
      <x:c r="L349" s="9" t="n">
        <x:f>MOD(M348*16807,2147483647)</x:f>
        <x:v>909344736</x:v>
      </x:c>
      <x:c r="M349" s="9" t="n">
        <x:f>MOD(L349*16807,2147483647)</x:f>
        <x:v>1863345900</x:v>
      </x:c>
      <x:c r="N349" s="17" t="n">
        <x:f>IF('Control Room'!$B$5="Normal",'Control Room'!$B$7+'Control Room'!$D$7*SQRT(-2*LN(MAX(0.000000000001,L349/2147483647)))*COS(2*PI()*M349/2147483647),'Control Room'!$B$8+('Control Room'!$D$8-'Control Room'!$B$8)*L349/2147483647)</x:f>
        <x:v>1079.5102903247146</x:v>
      </x:c>
      <x:c r="O349" s="17" t="n">
        <x:f>IF('Control Room'!$B$5="Normal",'Control Room'!$B$7,('Control Room'!$B$8+'Control Room'!$D$8)/2)+'Control Room'!$B$9*(O348-IF('Control Room'!$B$5="Normal",'Control Room'!$B$7,('Control Room'!$B$8+'Control Room'!$D$8)/2))+SQRT(1-'Control Room'!$B$9^2)*(N349-IF('Control Room'!$B$5="Normal",'Control Room'!$B$7,('Control Room'!$B$8+'Control Room'!$D$8)/2))</x:f>
        <x:v>998.5039986777907</x:v>
      </x:c>
      <x:c r="P349" s="17" t="n">
        <x:f>IF(AND($A349&gt;='Control Room'!$A$13,$A349&lt;'Control Room'!$A$13+'Control Room'!$B$13,'Process'!BM2=1),1+('Control Room'!$C$13-1)*EXP(-0.5*(($A349-'Control Room'!$A$13-('Control Room'!$B$13-1)/2)/MAX(0.5,'Control Room'!$B$13/4))^2),1)*IF(AND($A349&gt;='Control Room'!$A$14,$A349&lt;'Control Room'!$A$14+'Control Room'!$B$14,'Process'!BM3=1),1+('Control Room'!$C$14-1)*EXP(-0.5*(($A349-'Control Room'!$A$14-('Control Room'!$B$14-1)/2)/MAX(0.5,'Control Room'!$B$14/4))^2),1)*IF(AND($A349&gt;='Control Room'!$A$15,$A349&lt;'Control Room'!$A$15+'Control Room'!$B$15,'Process'!BM4=1),1+('Control Room'!$C$15-1)*EXP(-0.5*(($A349-'Control Room'!$A$15-('Control Room'!$B$15-1)/2)/MAX(0.5,'Control Room'!$B$15/4))^2),1)*IF(AND($A349&gt;='Control Room'!$A$16,$A349&lt;'Control Room'!$A$16+'Control Room'!$B$16,'Process'!BM5=1),1+('Control Room'!$C$16-1)*EXP(-0.5*(($A349-'Control Room'!$A$16-('Control Room'!$B$16-1)/2)/MAX(0.5,'Control Room'!$B$16/4))^2),1)</x:f>
        <x:v>1</x:v>
      </x:c>
      <x:c r="Q349" s="9" t="n">
        <x:f>MOD(R348*16807,2147483647)</x:f>
        <x:v>1587162134</x:v>
      </x:c>
      <x:c r="R349" s="9" t="n">
        <x:f>MOD(Q349*16807,2147483647)</x:f>
        <x:v>1539606751</x:v>
      </x:c>
      <x:c r="S349" s="17" t="n">
        <x:f>IF('Control Room'!$B$5="Normal",'Control Room'!$B$7+'Control Room'!$D$7*SQRT(-2*LN(MAX(0.000000000001,Q349/2147483647)))*COS(2*PI()*R349/2147483647),'Control Room'!$B$8+('Control Room'!$D$8-'Control Room'!$B$8)*Q349/2147483647)</x:f>
        <x:v>985.5646189582095</x:v>
      </x:c>
      <x:c r="T349" s="17" t="n">
        <x:f>IF('Control Room'!$B$5="Normal",'Control Room'!$B$7,('Control Room'!$B$8+'Control Room'!$D$8)/2)+'Control Room'!$B$9*(T348-IF('Control Room'!$B$5="Normal",'Control Room'!$B$7,('Control Room'!$B$8+'Control Room'!$D$8)/2))+SQRT(1-'Control Room'!$B$9^2)*(S349-IF('Control Room'!$B$5="Normal",'Control Room'!$B$7,('Control Room'!$B$8+'Control Room'!$D$8)/2))</x:f>
        <x:v>1075.871895701304</x:v>
      </x:c>
      <x:c r="U349" s="17" t="n">
        <x:f>IF(AND($A349&gt;='Control Room'!$A$13,$A349&lt;'Control Room'!$A$13+'Control Room'!$B$13,'Process'!BN2=1),1+('Control Room'!$C$13-1)*EXP(-0.5*(($A349-'Control Room'!$A$13-('Control Room'!$B$13-1)/2)/MAX(0.5,'Control Room'!$B$13/4))^2),1)*IF(AND($A349&gt;='Control Room'!$A$14,$A349&lt;'Control Room'!$A$14+'Control Room'!$B$14,'Process'!BN3=1),1+('Control Room'!$C$14-1)*EXP(-0.5*(($A349-'Control Room'!$A$14-('Control Room'!$B$14-1)/2)/MAX(0.5,'Control Room'!$B$14/4))^2),1)*IF(AND($A349&gt;='Control Room'!$A$15,$A349&lt;'Control Room'!$A$15+'Control Room'!$B$15,'Process'!BN4=1),1+('Control Room'!$C$15-1)*EXP(-0.5*(($A349-'Control Room'!$A$15-('Control Room'!$B$15-1)/2)/MAX(0.5,'Control Room'!$B$15/4))^2),1)*IF(AND($A349&gt;='Control Room'!$A$16,$A349&lt;'Control Room'!$A$16+'Control Room'!$B$16,'Process'!BN5=1),1+('Control Room'!$C$16-1)*EXP(-0.5*(($A349-'Control Room'!$A$16-('Control Room'!$B$16-1)/2)/MAX(0.5,'Control Room'!$B$16/4))^2),1)</x:f>
        <x:v>1</x:v>
      </x:c>
      <x:c r="V349" s="9" t="n">
        <x:f>MOD(W348*16807,2147483647)</x:f>
        <x:v>117495885</x:v>
      </x:c>
      <x:c r="W349" s="9" t="n">
        <x:f>MOD(V349*16807,2147483647)</x:f>
        <x:v>1215867602</x:v>
      </x:c>
      <x:c r="X349" s="17" t="n">
        <x:f>IF('Control Room'!$B$5="Normal",'Control Room'!$B$7+'Control Room'!$D$7*SQRT(-2*LN(MAX(0.000000000001,V349/2147483647)))*COS(2*PI()*W349/2147483647),'Control Room'!$B$8+('Control Room'!$D$8-'Control Room'!$B$8)*V349/2147483647)</x:f>
        <x:v>801.529906256465</x:v>
      </x:c>
      <x:c r="Y349" s="17" t="n">
        <x:f>IF('Control Room'!$B$5="Normal",'Control Room'!$B$7,('Control Room'!$B$8+'Control Room'!$D$8)/2)+'Control Room'!$B$9*(Y348-IF('Control Room'!$B$5="Normal",'Control Room'!$B$7,('Control Room'!$B$8+'Control Room'!$D$8)/2))+SQRT(1-'Control Room'!$B$9^2)*(X349-IF('Control Room'!$B$5="Normal",'Control Room'!$B$7,('Control Room'!$B$8+'Control Room'!$D$8)/2))</x:f>
        <x:v>1057.5198334052654</x:v>
      </x:c>
      <x:c r="Z349" s="17" t="n">
        <x:f>IF(AND($A349&gt;='Control Room'!$A$13,$A349&lt;'Control Room'!$A$13+'Control Room'!$B$13,'Process'!BO2=1),1+('Control Room'!$C$13-1)*EXP(-0.5*(($A349-'Control Room'!$A$13-('Control Room'!$B$13-1)/2)/MAX(0.5,'Control Room'!$B$13/4))^2),1)*IF(AND($A349&gt;='Control Room'!$A$14,$A349&lt;'Control Room'!$A$14+'Control Room'!$B$14,'Process'!BO3=1),1+('Control Room'!$C$14-1)*EXP(-0.5*(($A349-'Control Room'!$A$14-('Control Room'!$B$14-1)/2)/MAX(0.5,'Control Room'!$B$14/4))^2),1)*IF(AND($A349&gt;='Control Room'!$A$15,$A349&lt;'Control Room'!$A$15+'Control Room'!$B$15,'Process'!BO4=1),1+('Control Room'!$C$15-1)*EXP(-0.5*(($A349-'Control Room'!$A$15-('Control Room'!$B$15-1)/2)/MAX(0.5,'Control Room'!$B$15/4))^2),1)*IF(AND($A349&gt;='Control Room'!$A$16,$A349&lt;'Control Room'!$A$16+'Control Room'!$B$16,'Process'!BO5=1),1+('Control Room'!$C$16-1)*EXP(-0.5*(($A349-'Control Room'!$A$16-('Control Room'!$B$16-1)/2)/MAX(0.5,'Control Room'!$B$16/4))^2),1)</x:f>
        <x:v>1</x:v>
      </x:c>
      <x:c r="AA349" s="9" t="n">
        <x:f>MOD(AB348*16807,2147483647)</x:f>
        <x:v>795313283</x:v>
      </x:c>
      <x:c r="AB349" s="9" t="n">
        <x:f>MOD(AA349*16807,2147483647)</x:f>
        <x:v>892128453</x:v>
      </x:c>
      <x:c r="AC349" s="17" t="n">
        <x:f>IF('Control Room'!$B$5="Normal",'Control Room'!$B$7+'Control Room'!$D$7*SQRT(-2*LN(MAX(0.000000000001,AA349/2147483647)))*COS(2*PI()*AB349/2147483647),'Control Room'!$B$8+('Control Room'!$D$8-'Control Room'!$B$8)*AA349/2147483647)</x:f>
        <x:v>890.6382380576051</x:v>
      </x:c>
      <x:c r="AD349" s="17" t="n">
        <x:f>IF('Control Room'!$B$5="Normal",'Control Room'!$B$7,('Control Room'!$B$8+'Control Room'!$D$8)/2)+'Control Room'!$B$9*(AD348-IF('Control Room'!$B$5="Normal",'Control Room'!$B$7,('Control Room'!$B$8+'Control Room'!$D$8)/2))+SQRT(1-'Control Room'!$B$9^2)*(AC349-IF('Control Room'!$B$5="Normal",'Control Room'!$B$7,('Control Room'!$B$8+'Control Room'!$D$8)/2))</x:f>
        <x:v>843.5165010470132</x:v>
      </x:c>
      <x:c r="AE349" s="17" t="n">
        <x:f>IF(AND($A349&gt;='Control Room'!$A$13,$A349&lt;'Control Room'!$A$13+'Control Room'!$B$13,'Process'!BP2=1),1+('Control Room'!$C$13-1)*EXP(-0.5*(($A349-'Control Room'!$A$13-('Control Room'!$B$13-1)/2)/MAX(0.5,'Control Room'!$B$13/4))^2),1)*IF(AND($A349&gt;='Control Room'!$A$14,$A349&lt;'Control Room'!$A$14+'Control Room'!$B$14,'Process'!BP3=1),1+('Control Room'!$C$14-1)*EXP(-0.5*(($A349-'Control Room'!$A$14-('Control Room'!$B$14-1)/2)/MAX(0.5,'Control Room'!$B$14/4))^2),1)*IF(AND($A349&gt;='Control Room'!$A$15,$A349&lt;'Control Room'!$A$15+'Control Room'!$B$15,'Process'!BP4=1),1+('Control Room'!$C$15-1)*EXP(-0.5*(($A349-'Control Room'!$A$15-('Control Room'!$B$15-1)/2)/MAX(0.5,'Control Room'!$B$15/4))^2),1)*IF(AND($A349&gt;='Control Room'!$A$16,$A349&lt;'Control Room'!$A$16+'Control Room'!$B$16,'Process'!BP5=1),1+('Control Room'!$C$16-1)*EXP(-0.5*(($A349-'Control Room'!$A$16-('Control Room'!$B$16-1)/2)/MAX(0.5,'Control Room'!$B$16/4))^2),1)</x:f>
        <x:v>1</x:v>
      </x:c>
      <x:c r="AF349" s="9" t="n">
        <x:f>MOD(AG348*16807,2147483647)</x:f>
        <x:v>1473130681</x:v>
      </x:c>
      <x:c r="AG349" s="9" t="n">
        <x:f>MOD(AF349*16807,2147483647)</x:f>
        <x:v>568389304</x:v>
      </x:c>
      <x:c r="AH349" s="17" t="n">
        <x:f>IF('Control Room'!$B$5="Normal",'Control Room'!$B$7+'Control Room'!$D$7*SQRT(-2*LN(MAX(0.000000000001,AF349/2147483647)))*COS(2*PI()*AG349/2147483647),'Control Room'!$B$8+('Control Room'!$D$8-'Control Room'!$B$8)*AF349/2147483647)</x:f>
        <x:v>992.804302563368</x:v>
      </x:c>
      <x:c r="AI349" s="17" t="n">
        <x:f>IF('Control Room'!$B$5="Normal",'Control Room'!$B$7,('Control Room'!$B$8+'Control Room'!$D$8)/2)+'Control Room'!$B$9*(AI348-IF('Control Room'!$B$5="Normal",'Control Room'!$B$7,('Control Room'!$B$8+'Control Room'!$D$8)/2))+SQRT(1-'Control Room'!$B$9^2)*(AH349-IF('Control Room'!$B$5="Normal",'Control Room'!$B$7,('Control Room'!$B$8+'Control Room'!$D$8)/2))</x:f>
        <x:v>1049.8279431740898</x:v>
      </x:c>
      <x:c r="AJ349" s="17" t="n">
        <x:f>IF(AND($A349&gt;='Control Room'!$A$13,$A349&lt;'Control Room'!$A$13+'Control Room'!$B$13,'Process'!BQ2=1),1+('Control Room'!$C$13-1)*EXP(-0.5*(($A349-'Control Room'!$A$13-('Control Room'!$B$13-1)/2)/MAX(0.5,'Control Room'!$B$13/4))^2),1)*IF(AND($A349&gt;='Control Room'!$A$14,$A349&lt;'Control Room'!$A$14+'Control Room'!$B$14,'Process'!BQ3=1),1+('Control Room'!$C$14-1)*EXP(-0.5*(($A349-'Control Room'!$A$14-('Control Room'!$B$14-1)/2)/MAX(0.5,'Control Room'!$B$14/4))^2),1)*IF(AND($A349&gt;='Control Room'!$A$15,$A349&lt;'Control Room'!$A$15+'Control Room'!$B$15,'Process'!BQ4=1),1+('Control Room'!$C$15-1)*EXP(-0.5*(($A349-'Control Room'!$A$15-('Control Room'!$B$15-1)/2)/MAX(0.5,'Control Room'!$B$15/4))^2),1)*IF(AND($A349&gt;='Control Room'!$A$16,$A349&lt;'Control Room'!$A$16+'Control Room'!$B$16,'Process'!BQ5=1),1+('Control Room'!$C$16-1)*EXP(-0.5*(($A349-'Control Room'!$A$16-('Control Room'!$B$16-1)/2)/MAX(0.5,'Control Room'!$B$16/4))^2),1)</x:f>
        <x:v>1</x:v>
      </x:c>
      <x:c r="AK349" s="9" t="n">
        <x:f>MOD(AL348*16807,2147483647)</x:f>
        <x:v>3464432</x:v>
      </x:c>
      <x:c r="AL349" s="9" t="n">
        <x:f>MOD(AK349*16807,2147483647)</x:f>
        <x:v>244650155</x:v>
      </x:c>
      <x:c r="AM349" s="17" t="n">
        <x:f>IF('Control Room'!$B$5="Normal",'Control Room'!$B$7+'Control Room'!$D$7*SQRT(-2*LN(MAX(0.000000000001,AK349/2147483647)))*COS(2*PI()*AL349/2147483647),'Control Room'!$B$8+('Control Room'!$D$8-'Control Room'!$B$8)*AK349/2147483647)</x:f>
        <x:v>1243.5244252423197</x:v>
      </x:c>
      <x:c r="AN349" s="17" t="n">
        <x:f>IF('Control Room'!$B$5="Normal",'Control Room'!$B$7,('Control Room'!$B$8+'Control Room'!$D$8)/2)+'Control Room'!$B$9*(AN348-IF('Control Room'!$B$5="Normal",'Control Room'!$B$7,('Control Room'!$B$8+'Control Room'!$D$8)/2))+SQRT(1-'Control Room'!$B$9^2)*(AM349-IF('Control Room'!$B$5="Normal",'Control Room'!$B$7,('Control Room'!$B$8+'Control Room'!$D$8)/2))</x:f>
        <x:v>1075.325528559775</x:v>
      </x:c>
      <x:c r="AO349" s="17" t="n">
        <x:f>IF(AND($A349&gt;='Control Room'!$A$13,$A349&lt;'Control Room'!$A$13+'Control Room'!$B$13,'Process'!BR2=1),1+('Control Room'!$C$13-1)*EXP(-0.5*(($A349-'Control Room'!$A$13-('Control Room'!$B$13-1)/2)/MAX(0.5,'Control Room'!$B$13/4))^2),1)*IF(AND($A349&gt;='Control Room'!$A$14,$A349&lt;'Control Room'!$A$14+'Control Room'!$B$14,'Process'!BR3=1),1+('Control Room'!$C$14-1)*EXP(-0.5*(($A349-'Control Room'!$A$14-('Control Room'!$B$14-1)/2)/MAX(0.5,'Control Room'!$B$14/4))^2),1)*IF(AND($A349&gt;='Control Room'!$A$15,$A349&lt;'Control Room'!$A$15+'Control Room'!$B$15,'Process'!BR4=1),1+('Control Room'!$C$15-1)*EXP(-0.5*(($A349-'Control Room'!$A$15-('Control Room'!$B$15-1)/2)/MAX(0.5,'Control Room'!$B$15/4))^2),1)*IF(AND($A349&gt;='Control Room'!$A$16,$A349&lt;'Control Room'!$A$16+'Control Room'!$B$16,'Process'!BR5=1),1+('Control Room'!$C$16-1)*EXP(-0.5*(($A349-'Control Room'!$A$16-('Control Room'!$B$16-1)/2)/MAX(0.5,'Control Room'!$B$16/4))^2),1)</x:f>
        <x:v>1</x:v>
      </x:c>
      <x:c r="AP349" s="9" t="n">
        <x:f>MOD(AQ348*16807,2147483647)</x:f>
        <x:v>681281830</x:v>
      </x:c>
      <x:c r="AQ349" s="9" t="n">
        <x:f>MOD(AP349*16807,2147483647)</x:f>
        <x:v>2068394653</x:v>
      </x:c>
      <x:c r="AR349" s="17" t="n">
        <x:f>IF('Control Room'!$B$5="Normal",'Control Room'!$B$7+'Control Room'!$D$7*SQRT(-2*LN(MAX(0.000000000001,AP349/2147483647)))*COS(2*PI()*AQ349/2147483647),'Control Room'!$B$8+('Control Room'!$D$8-'Control Room'!$B$8)*AP349/2147483647)</x:f>
        <x:v>1132.742515624172</x:v>
      </x:c>
      <x:c r="AS349" s="17" t="n">
        <x:f>IF('Control Room'!$B$5="Normal",'Control Room'!$B$7,('Control Room'!$B$8+'Control Room'!$D$8)/2)+'Control Room'!$B$9*(AS348-IF('Control Room'!$B$5="Normal",'Control Room'!$B$7,('Control Room'!$B$8+'Control Room'!$D$8)/2))+SQRT(1-'Control Room'!$B$9^2)*(AR349-IF('Control Room'!$B$5="Normal",'Control Room'!$B$7,('Control Room'!$B$8+'Control Room'!$D$8)/2))</x:f>
        <x:v>1050.253155772992</x:v>
      </x:c>
      <x:c r="AT349" s="17" t="n">
        <x:f>IF(AND($A349&gt;='Control Room'!$A$13,$A349&lt;'Control Room'!$A$13+'Control Room'!$B$13,'Process'!BS2=1),1+('Control Room'!$C$13-1)*EXP(-0.5*(($A349-'Control Room'!$A$13-('Control Room'!$B$13-1)/2)/MAX(0.5,'Control Room'!$B$13/4))^2),1)*IF(AND($A349&gt;='Control Room'!$A$14,$A349&lt;'Control Room'!$A$14+'Control Room'!$B$14,'Process'!BS3=1),1+('Control Room'!$C$14-1)*EXP(-0.5*(($A349-'Control Room'!$A$14-('Control Room'!$B$14-1)/2)/MAX(0.5,'Control Room'!$B$14/4))^2),1)*IF(AND($A349&gt;='Control Room'!$A$15,$A349&lt;'Control Room'!$A$15+'Control Room'!$B$15,'Process'!BS4=1),1+('Control Room'!$C$15-1)*EXP(-0.5*(($A349-'Control Room'!$A$15-('Control Room'!$B$15-1)/2)/MAX(0.5,'Control Room'!$B$15/4))^2),1)*IF(AND($A349&gt;='Control Room'!$A$16,$A349&lt;'Control Room'!$A$16+'Control Room'!$B$16,'Process'!BS5=1),1+('Control Room'!$C$16-1)*EXP(-0.5*(($A349-'Control Room'!$A$16-('Control Room'!$B$16-1)/2)/MAX(0.5,'Control Room'!$B$16/4))^2),1)</x:f>
        <x:v>1</x:v>
      </x:c>
      <x:c r="AU349" s="9" t="n">
        <x:f>MOD(AV348*16807,2147483647)</x:f>
        <x:v>1359099228</x:v>
      </x:c>
      <x:c r="AV349" s="9" t="n">
        <x:f>MOD(AU349*16807,2147483647)</x:f>
        <x:v>1744655504</x:v>
      </x:c>
      <x:c r="AW349" s="17" t="n">
        <x:f>IF('Control Room'!$B$5="Normal",'Control Room'!$B$7+'Control Room'!$D$7*SQRT(-2*LN(MAX(0.000000000001,AU349/2147483647)))*COS(2*PI()*AV349/2147483647),'Control Room'!$B$8+('Control Room'!$D$8-'Control Room'!$B$8)*AU349/2147483647)</x:f>
        <x:v>1032.9036107620816</x:v>
      </x:c>
      <x:c r="AX349" s="17" t="n">
        <x:f>IF('Control Room'!$B$5="Normal",'Control Room'!$B$7,('Control Room'!$B$8+'Control Room'!$D$8)/2)+'Control Room'!$B$9*(AX348-IF('Control Room'!$B$5="Normal",'Control Room'!$B$7,('Control Room'!$B$8+'Control Room'!$D$8)/2))+SQRT(1-'Control Room'!$B$9^2)*(AW349-IF('Control Room'!$B$5="Normal",'Control Room'!$B$7,('Control Room'!$B$8+'Control Room'!$D$8)/2))</x:f>
        <x:v>1179.9856391542733</x:v>
      </x:c>
      <x:c r="AY349" s="17" t="n">
        <x:f>IF(AND($A349&gt;='Control Room'!$A$13,$A349&lt;'Control Room'!$A$13+'Control Room'!$B$13,'Process'!BT2=1),1+('Control Room'!$C$13-1)*EXP(-0.5*(($A349-'Control Room'!$A$13-('Control Room'!$B$13-1)/2)/MAX(0.5,'Control Room'!$B$13/4))^2),1)*IF(AND($A349&gt;='Control Room'!$A$14,$A349&lt;'Control Room'!$A$14+'Control Room'!$B$14,'Process'!BT3=1),1+('Control Room'!$C$14-1)*EXP(-0.5*(($A349-'Control Room'!$A$14-('Control Room'!$B$14-1)/2)/MAX(0.5,'Control Room'!$B$14/4))^2),1)*IF(AND($A349&gt;='Control Room'!$A$15,$A349&lt;'Control Room'!$A$15+'Control Room'!$B$15,'Process'!BT4=1),1+('Control Room'!$C$15-1)*EXP(-0.5*(($A349-'Control Room'!$A$15-('Control Room'!$B$15-1)/2)/MAX(0.5,'Control Room'!$B$15/4))^2),1)*IF(AND($A349&gt;='Control Room'!$A$16,$A349&lt;'Control Room'!$A$16+'Control Room'!$B$16,'Process'!BT5=1),1+('Control Room'!$C$16-1)*EXP(-0.5*(($A349-'Control Room'!$A$16-('Control Room'!$B$16-1)/2)/MAX(0.5,'Control Room'!$B$16/4))^2),1)</x:f>
        <x:v>1</x:v>
      </x:c>
      <x:c r="AZ349" s="9" t="n">
        <x:f>MOD(BA348*16807,2147483647)</x:f>
        <x:v>2036916626</x:v>
      </x:c>
      <x:c r="BA349" s="9" t="n">
        <x:f>MOD(AZ349*16807,2147483647)</x:f>
        <x:v>1420916355</x:v>
      </x:c>
      <x:c r="BB349" s="17" t="n">
        <x:f>IF('Control Room'!$B$5="Normal",'Control Room'!$B$7+'Control Room'!$D$7*SQRT(-2*LN(MAX(0.000000000001,AZ349/2147483647)))*COS(2*PI()*BA349/2147483647),'Control Room'!$B$8+('Control Room'!$D$8-'Control Room'!$B$8)*AZ349/2147483647)</x:f>
        <x:v>984.5795332847993</x:v>
      </x:c>
      <x:c r="BC349" s="17" t="n">
        <x:f>IF('Control Room'!$B$5="Normal",'Control Room'!$B$7,('Control Room'!$B$8+'Control Room'!$D$8)/2)+'Control Room'!$B$9*(BC348-IF('Control Room'!$B$5="Normal",'Control Room'!$B$7,('Control Room'!$B$8+'Control Room'!$D$8)/2))+SQRT(1-'Control Room'!$B$9^2)*(BB349-IF('Control Room'!$B$5="Normal",'Control Room'!$B$7,('Control Room'!$B$8+'Control Room'!$D$8)/2))</x:f>
        <x:v>1098.8659684976033</x:v>
      </x:c>
      <x:c r="BD349" s="17" t="n">
        <x:f>IF(AND($A349&gt;='Control Room'!$A$13,$A349&lt;'Control Room'!$A$13+'Control Room'!$B$13,'Process'!BU2=1),1+('Control Room'!$C$13-1)*EXP(-0.5*(($A349-'Control Room'!$A$13-('Control Room'!$B$13-1)/2)/MAX(0.5,'Control Room'!$B$13/4))^2),1)*IF(AND($A349&gt;='Control Room'!$A$14,$A349&lt;'Control Room'!$A$14+'Control Room'!$B$14,'Process'!BU3=1),1+('Control Room'!$C$14-1)*EXP(-0.5*(($A349-'Control Room'!$A$14-('Control Room'!$B$14-1)/2)/MAX(0.5,'Control Room'!$B$14/4))^2),1)*IF(AND($A349&gt;='Control Room'!$A$15,$A349&lt;'Control Room'!$A$15+'Control Room'!$B$15,'Process'!BU4=1),1+('Control Room'!$C$15-1)*EXP(-0.5*(($A349-'Control Room'!$A$15-('Control Room'!$B$15-1)/2)/MAX(0.5,'Control Room'!$B$15/4))^2),1)*IF(AND($A349&gt;='Control Room'!$A$16,$A349&lt;'Control Room'!$A$16+'Control Room'!$B$16,'Process'!BU5=1),1+('Control Room'!$C$16-1)*EXP(-0.5*(($A349-'Control Room'!$A$16-('Control Room'!$B$16-1)/2)/MAX(0.5,'Control Room'!$B$16/4))^2),1)</x:f>
        <x:v>1</x:v>
      </x:c>
      <x:c r="BE349" s="9" t="n">
        <x:f>MOD(BF348*16807,2147483647)</x:f>
        <x:v>567250377</x:v>
      </x:c>
      <x:c r="BF349" s="9" t="n">
        <x:f>MOD(BE349*16807,2147483647)</x:f>
        <x:v>1097177206</x:v>
      </x:c>
      <x:c r="BG349" s="17" t="n">
        <x:f>IF('Control Room'!$B$5="Normal",'Control Room'!$B$7+'Control Room'!$D$7*SQRT(-2*LN(MAX(0.000000000001,BE349/2147483647)))*COS(2*PI()*BF349/2147483647),'Control Room'!$B$8+('Control Room'!$D$8-'Control Room'!$B$8)*BE349/2147483647)</x:f>
        <x:v>853.4905004439435</x:v>
      </x:c>
      <x:c r="BH349" s="17" t="n">
        <x:f>IF('Control Room'!$B$5="Normal",'Control Room'!$B$7,('Control Room'!$B$8+'Control Room'!$D$8)/2)+'Control Room'!$B$9*(BH348-IF('Control Room'!$B$5="Normal",'Control Room'!$B$7,('Control Room'!$B$8+'Control Room'!$D$8)/2))+SQRT(1-'Control Room'!$B$9^2)*(BG349-IF('Control Room'!$B$5="Normal",'Control Room'!$B$7,('Control Room'!$B$8+'Control Room'!$D$8)/2))</x:f>
        <x:v>930.6898141032457</x:v>
      </x:c>
      <x:c r="BI349" s="17" t="n">
        <x:f>IF(AND($A349&gt;='Control Room'!$A$13,$A349&lt;'Control Room'!$A$13+'Control Room'!$B$13,'Process'!BV2=1),1+('Control Room'!$C$13-1)*EXP(-0.5*(($A349-'Control Room'!$A$13-('Control Room'!$B$13-1)/2)/MAX(0.5,'Control Room'!$B$13/4))^2),1)*IF(AND($A349&gt;='Control Room'!$A$14,$A349&lt;'Control Room'!$A$14+'Control Room'!$B$14,'Process'!BV3=1),1+('Control Room'!$C$14-1)*EXP(-0.5*(($A349-'Control Room'!$A$14-('Control Room'!$B$14-1)/2)/MAX(0.5,'Control Room'!$B$14/4))^2),1)*IF(AND($A349&gt;='Control Room'!$A$15,$A349&lt;'Control Room'!$A$15+'Control Room'!$B$15,'Process'!BV4=1),1+('Control Room'!$C$15-1)*EXP(-0.5*(($A349-'Control Room'!$A$15-('Control Room'!$B$15-1)/2)/MAX(0.5,'Control Room'!$B$15/4))^2),1)*IF(AND($A349&gt;='Control Room'!$A$16,$A349&lt;'Control Room'!$A$16+'Control Room'!$B$16,'Process'!BV5=1),1+('Control Room'!$C$16-1)*EXP(-0.5*(($A349-'Control Room'!$A$16-('Control Room'!$B$16-1)/2)/MAX(0.5,'Control Room'!$B$16/4))^2),1)</x:f>
        <x:v>1</x:v>
      </x:c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Z349" t="str">
        <x:f>IF('Data'!A349="","",TEXT('Data'!A349,"mm-dd"))</x:f>
      </x:c>
    </x:row>
    <x:row r="350" ht="21" customHeight="1">
      <x:c r="A350" s="15" t="n">
        <x:f>'Control Room'!$B$1+348</x:f>
        <x:v>73339</x:v>
      </x:c>
      <x:c r="B350" s="9" t="n">
        <x:f>MOD(C349*16807,2147483647)</x:f>
        <x:v>1368632236</x:v>
      </x:c>
      <x:c r="C350" s="9" t="n">
        <x:f>MOD(B350*16807,2147483647)</x:f>
        <x:v>904647435</x:v>
      </x:c>
      <x:c r="D350" s="17" t="n">
        <x:f>IF('Control Room'!$B$5="Normal",'Control Room'!$B$7+'Control Room'!$D$7*SQRT(-2*LN(MAX(0.000000000001,B350/2147483647)))*COS(2*PI()*C350/2147483647),'Control Room'!$B$8+('Control Room'!$D$8-'Control Room'!$B$8)*B350/2147483647)</x:f>
        <x:v>924.8160383754744</x:v>
      </x:c>
      <x:c r="E350" s="17" t="n">
        <x:f>IF('Control Room'!$B$5="Normal",'Control Room'!$B$7,('Control Room'!$B$8+'Control Room'!$D$8)/2)+'Control Room'!$B$9*(E349-IF('Control Room'!$B$5="Normal",'Control Room'!$B$7,('Control Room'!$B$8+'Control Room'!$D$8)/2))+SQRT(1-'Control Room'!$B$9^2)*(D350-IF('Control Room'!$B$5="Normal",'Control Room'!$B$7,('Control Room'!$B$8+'Control Room'!$D$8)/2))</x:f>
        <x:v>932.316627640696</x:v>
      </x:c>
      <x:c r="F350" s="17" t="n">
        <x:f>IF(AND($A350&gt;='Control Room'!$A$13,$A350&lt;'Control Room'!$A$13+'Control Room'!$B$13,'Process'!BK2=1),1+('Control Room'!$C$13-1)*EXP(-0.5*(($A350-'Control Room'!$A$13-('Control Room'!$B$13-1)/2)/MAX(0.5,'Control Room'!$B$13/4))^2),1)*IF(AND($A350&gt;='Control Room'!$A$14,$A350&lt;'Control Room'!$A$14+'Control Room'!$B$14,'Process'!BK3=1),1+('Control Room'!$C$14-1)*EXP(-0.5*(($A350-'Control Room'!$A$14-('Control Room'!$B$14-1)/2)/MAX(0.5,'Control Room'!$B$14/4))^2),1)*IF(AND($A350&gt;='Control Room'!$A$15,$A350&lt;'Control Room'!$A$15+'Control Room'!$B$15,'Process'!BK4=1),1+('Control Room'!$C$15-1)*EXP(-0.5*(($A350-'Control Room'!$A$15-('Control Room'!$B$15-1)/2)/MAX(0.5,'Control Room'!$B$15/4))^2),1)*IF(AND($A350&gt;='Control Room'!$A$16,$A350&lt;'Control Room'!$A$16+'Control Room'!$B$16,'Process'!BK5=1),1+('Control Room'!$C$16-1)*EXP(-0.5*(($A350-'Control Room'!$A$16-('Control Room'!$B$16-1)/2)/MAX(0.5,'Control Room'!$B$16/4))^2),1)</x:f>
        <x:v>1</x:v>
      </x:c>
      <x:c r="G350" s="9" t="n">
        <x:f>MOD(H349*16807,2147483647)</x:f>
        <x:v>2008316491</x:v>
      </x:c>
      <x:c r="H350" s="9" t="n">
        <x:f>MOD(G350*16807,2147483647)</x:f>
        <x:v>1774784338</x:v>
      </x:c>
      <x:c r="I350" s="17" t="n">
        <x:f>IF('Control Room'!$B$5="Normal",'Control Room'!$B$7+'Control Room'!$D$7*SQRT(-2*LN(MAX(0.000000000001,G350/2147483647)))*COS(2*PI()*H350/2147483647),'Control Room'!$B$8+('Control Room'!$D$8-'Control Room'!$B$8)*G350/2147483647)</x:f>
        <x:v>1015.2234106407637</x:v>
      </x:c>
      <x:c r="J350" s="17" t="n">
        <x:f>IF('Control Room'!$B$5="Normal",'Control Room'!$B$7,('Control Room'!$B$8+'Control Room'!$D$8)/2)+'Control Room'!$B$9*(J349-IF('Control Room'!$B$5="Normal",'Control Room'!$B$7,('Control Room'!$B$8+'Control Room'!$D$8)/2))+SQRT(1-'Control Room'!$B$9^2)*(I350-IF('Control Room'!$B$5="Normal",'Control Room'!$B$7,('Control Room'!$B$8+'Control Room'!$D$8)/2))</x:f>
        <x:v>1039.3569632995027</x:v>
      </x:c>
      <x:c r="K350" s="17" t="n">
        <x:f>IF(AND($A350&gt;='Control Room'!$A$13,$A350&lt;'Control Room'!$A$13+'Control Room'!$B$13,'Process'!BL2=1),1+('Control Room'!$C$13-1)*EXP(-0.5*(($A350-'Control Room'!$A$13-('Control Room'!$B$13-1)/2)/MAX(0.5,'Control Room'!$B$13/4))^2),1)*IF(AND($A350&gt;='Control Room'!$A$14,$A350&lt;'Control Room'!$A$14+'Control Room'!$B$14,'Process'!BL3=1),1+('Control Room'!$C$14-1)*EXP(-0.5*(($A350-'Control Room'!$A$14-('Control Room'!$B$14-1)/2)/MAX(0.5,'Control Room'!$B$14/4))^2),1)*IF(AND($A350&gt;='Control Room'!$A$15,$A350&lt;'Control Room'!$A$15+'Control Room'!$B$15,'Process'!BL4=1),1+('Control Room'!$C$15-1)*EXP(-0.5*(($A350-'Control Room'!$A$15-('Control Room'!$B$15-1)/2)/MAX(0.5,'Control Room'!$B$15/4))^2),1)*IF(AND($A350&gt;='Control Room'!$A$16,$A350&lt;'Control Room'!$A$16+'Control Room'!$B$16,'Process'!BL5=1),1+('Control Room'!$C$16-1)*EXP(-0.5*(($A350-'Control Room'!$A$16-('Control Room'!$B$16-1)/2)/MAX(0.5,'Control Room'!$B$16/4))^2),1)</x:f>
        <x:v>1</x:v>
      </x:c>
      <x:c r="L350" s="9" t="n">
        <x:f>MOD(M349*16807,2147483647)</x:f>
        <x:v>500517099</x:v>
      </x:c>
      <x:c r="M350" s="9" t="n">
        <x:f>MOD(L350*16807,2147483647)</x:f>
        <x:v>497437594</x:v>
      </x:c>
      <x:c r="N350" s="17" t="n">
        <x:f>IF('Control Room'!$B$5="Normal",'Control Room'!$B$7+'Control Room'!$D$7*SQRT(-2*LN(MAX(0.000000000001,L350/2147483647)))*COS(2*PI()*M350/2147483647),'Control Room'!$B$8+('Control Room'!$D$8-'Control Room'!$B$8)*L350/2147483647)</x:f>
        <x:v>1017.6827069812225</x:v>
      </x:c>
      <x:c r="O350" s="17" t="n">
        <x:f>IF('Control Room'!$B$5="Normal",'Control Room'!$B$7,('Control Room'!$B$8+'Control Room'!$D$8)/2)+'Control Room'!$B$9*(O349-IF('Control Room'!$B$5="Normal",'Control Room'!$B$7,('Control Room'!$B$8+'Control Room'!$D$8)/2))+SQRT(1-'Control Room'!$B$9^2)*(N350-IF('Control Room'!$B$5="Normal",'Control Room'!$B$7,('Control Room'!$B$8+'Control Room'!$D$8)/2))</x:f>
        <x:v>1009.8985947475833</x:v>
      </x:c>
      <x:c r="P350" s="17" t="n">
        <x:f>IF(AND($A350&gt;='Control Room'!$A$13,$A350&lt;'Control Room'!$A$13+'Control Room'!$B$13,'Process'!BM2=1),1+('Control Room'!$C$13-1)*EXP(-0.5*(($A350-'Control Room'!$A$13-('Control Room'!$B$13-1)/2)/MAX(0.5,'Control Room'!$B$13/4))^2),1)*IF(AND($A350&gt;='Control Room'!$A$14,$A350&lt;'Control Room'!$A$14+'Control Room'!$B$14,'Process'!BM3=1),1+('Control Room'!$C$14-1)*EXP(-0.5*(($A350-'Control Room'!$A$14-('Control Room'!$B$14-1)/2)/MAX(0.5,'Control Room'!$B$14/4))^2),1)*IF(AND($A350&gt;='Control Room'!$A$15,$A350&lt;'Control Room'!$A$15+'Control Room'!$B$15,'Process'!BM4=1),1+('Control Room'!$C$15-1)*EXP(-0.5*(($A350-'Control Room'!$A$15-('Control Room'!$B$15-1)/2)/MAX(0.5,'Control Room'!$B$15/4))^2),1)*IF(AND($A350&gt;='Control Room'!$A$16,$A350&lt;'Control Room'!$A$16+'Control Room'!$B$16,'Process'!BM5=1),1+('Control Room'!$C$16-1)*EXP(-0.5*(($A350-'Control Room'!$A$16-('Control Room'!$B$16-1)/2)/MAX(0.5,'Control Room'!$B$16/4))^2),1)</x:f>
        <x:v>1</x:v>
      </x:c>
      <x:c r="Q350" s="9" t="n">
        <x:f>MOD(R349*16807,2147483647)</x:f>
        <x:v>1140201354</x:v>
      </x:c>
      <x:c r="R350" s="9" t="n">
        <x:f>MOD(Q350*16807,2147483647)</x:f>
        <x:v>1367574497</x:v>
      </x:c>
      <x:c r="S350" s="17" t="n">
        <x:f>IF('Control Room'!$B$5="Normal",'Control Room'!$B$7+'Control Room'!$D$7*SQRT(-2*LN(MAX(0.000000000001,Q350/2147483647)))*COS(2*PI()*R350/2147483647),'Control Room'!$B$8+('Control Room'!$D$8-'Control Room'!$B$8)*Q350/2147483647)</x:f>
        <x:v>933.9035841940882</x:v>
      </x:c>
      <x:c r="T350" s="17" t="n">
        <x:f>IF('Control Room'!$B$5="Normal",'Control Room'!$B$7,('Control Room'!$B$8+'Control Room'!$D$8)/2)+'Control Room'!$B$9*(T349-IF('Control Room'!$B$5="Normal",'Control Room'!$B$7,('Control Room'!$B$8+'Control Room'!$D$8)/2))+SQRT(1-'Control Room'!$B$9^2)*(S350-IF('Control Room'!$B$5="Normal",'Control Room'!$B$7,('Control Room'!$B$8+'Control Room'!$D$8)/2))</x:f>
        <x:v>1017.818295694355</x:v>
      </x:c>
      <x:c r="U350" s="17" t="n">
        <x:f>IF(AND($A350&gt;='Control Room'!$A$13,$A350&lt;'Control Room'!$A$13+'Control Room'!$B$13,'Process'!BN2=1),1+('Control Room'!$C$13-1)*EXP(-0.5*(($A350-'Control Room'!$A$13-('Control Room'!$B$13-1)/2)/MAX(0.5,'Control Room'!$B$13/4))^2),1)*IF(AND($A350&gt;='Control Room'!$A$14,$A350&lt;'Control Room'!$A$14+'Control Room'!$B$14,'Process'!BN3=1),1+('Control Room'!$C$14-1)*EXP(-0.5*(($A350-'Control Room'!$A$14-('Control Room'!$B$14-1)/2)/MAX(0.5,'Control Room'!$B$14/4))^2),1)*IF(AND($A350&gt;='Control Room'!$A$15,$A350&lt;'Control Room'!$A$15+'Control Room'!$B$15,'Process'!BN4=1),1+('Control Room'!$C$15-1)*EXP(-0.5*(($A350-'Control Room'!$A$15-('Control Room'!$B$15-1)/2)/MAX(0.5,'Control Room'!$B$15/4))^2),1)*IF(AND($A350&gt;='Control Room'!$A$16,$A350&lt;'Control Room'!$A$16+'Control Room'!$B$16,'Process'!BN5=1),1+('Control Room'!$C$16-1)*EXP(-0.5*(($A350-'Control Room'!$A$16-('Control Room'!$B$16-1)/2)/MAX(0.5,'Control Room'!$B$16/4))^2),1)</x:f>
        <x:v>1</x:v>
      </x:c>
      <x:c r="V350" s="9" t="n">
        <x:f>MOD(W349*16807,2147483647)</x:f>
        <x:v>1779885609</x:v>
      </x:c>
      <x:c r="W350" s="9" t="n">
        <x:f>MOD(V350*16807,2147483647)</x:f>
        <x:v>90227753</x:v>
      </x:c>
      <x:c r="X350" s="17" t="n">
        <x:f>IF('Control Room'!$B$5="Normal",'Control Room'!$B$7+'Control Room'!$D$7*SQRT(-2*LN(MAX(0.000000000001,V350/2147483647)))*COS(2*PI()*W350/2147483647),'Control Room'!$B$8+('Control Room'!$D$8-'Control Room'!$B$8)*V350/2147483647)</x:f>
        <x:v>1053.2392989024984</x:v>
      </x:c>
      <x:c r="Y350" s="17" t="n">
        <x:f>IF('Control Room'!$B$5="Normal",'Control Room'!$B$7,('Control Room'!$B$8+'Control Room'!$D$8)/2)+'Control Room'!$B$9*(Y349-IF('Control Room'!$B$5="Normal",'Control Room'!$B$7,('Control Room'!$B$8+'Control Room'!$D$8)/2))+SQRT(1-'Control Room'!$B$9^2)*(X350-IF('Control Room'!$B$5="Normal",'Control Room'!$B$7,('Control Room'!$B$8+'Control Room'!$D$8)/2))</x:f>
        <x:v>1078.1815326429696</x:v>
      </x:c>
      <x:c r="Z350" s="17" t="n">
        <x:f>IF(AND($A350&gt;='Control Room'!$A$13,$A350&lt;'Control Room'!$A$13+'Control Room'!$B$13,'Process'!BO2=1),1+('Control Room'!$C$13-1)*EXP(-0.5*(($A350-'Control Room'!$A$13-('Control Room'!$B$13-1)/2)/MAX(0.5,'Control Room'!$B$13/4))^2),1)*IF(AND($A350&gt;='Control Room'!$A$14,$A350&lt;'Control Room'!$A$14+'Control Room'!$B$14,'Process'!BO3=1),1+('Control Room'!$C$14-1)*EXP(-0.5*(($A350-'Control Room'!$A$14-('Control Room'!$B$14-1)/2)/MAX(0.5,'Control Room'!$B$14/4))^2),1)*IF(AND($A350&gt;='Control Room'!$A$15,$A350&lt;'Control Room'!$A$15+'Control Room'!$B$15,'Process'!BO4=1),1+('Control Room'!$C$15-1)*EXP(-0.5*(($A350-'Control Room'!$A$15-('Control Room'!$B$15-1)/2)/MAX(0.5,'Control Room'!$B$15/4))^2),1)*IF(AND($A350&gt;='Control Room'!$A$16,$A350&lt;'Control Room'!$A$16+'Control Room'!$B$16,'Process'!BO5=1),1+('Control Room'!$C$16-1)*EXP(-0.5*(($A350-'Control Room'!$A$16-('Control Room'!$B$16-1)/2)/MAX(0.5,'Control Room'!$B$16/4))^2),1)</x:f>
        <x:v>1</x:v>
      </x:c>
      <x:c r="AA350" s="9" t="n">
        <x:f>MOD(AB349*16807,2147483647)</x:f>
        <x:v>272086217</x:v>
      </x:c>
      <x:c r="AB350" s="9" t="n">
        <x:f>MOD(AA350*16807,2147483647)</x:f>
        <x:v>960364656</x:v>
      </x:c>
      <x:c r="AC350" s="17" t="n">
        <x:f>IF('Control Room'!$B$5="Normal",'Control Room'!$B$7+'Control Room'!$D$7*SQRT(-2*LN(MAX(0.000000000001,AA350/2147483647)))*COS(2*PI()*AB350/2147483647),'Control Room'!$B$8+('Control Room'!$D$8-'Control Room'!$B$8)*AA350/2147483647)</x:f>
        <x:v>827.0306420626264</x:v>
      </x:c>
      <x:c r="AD350" s="17" t="n">
        <x:f>IF('Control Room'!$B$5="Normal",'Control Room'!$B$7,('Control Room'!$B$8+'Control Room'!$D$8)/2)+'Control Room'!$B$9*(AD349-IF('Control Room'!$B$5="Normal",'Control Room'!$B$7,('Control Room'!$B$8+'Control Room'!$D$8)/2))+SQRT(1-'Control Room'!$B$9^2)*(AC350-IF('Control Room'!$B$5="Normal",'Control Room'!$B$7,('Control Room'!$B$8+'Control Room'!$D$8)/2))</x:f>
        <x:v>769.702190089364</x:v>
      </x:c>
      <x:c r="AE350" s="17" t="n">
        <x:f>IF(AND($A350&gt;='Control Room'!$A$13,$A350&lt;'Control Room'!$A$13+'Control Room'!$B$13,'Process'!BP2=1),1+('Control Room'!$C$13-1)*EXP(-0.5*(($A350-'Control Room'!$A$13-('Control Room'!$B$13-1)/2)/MAX(0.5,'Control Room'!$B$13/4))^2),1)*IF(AND($A350&gt;='Control Room'!$A$14,$A350&lt;'Control Room'!$A$14+'Control Room'!$B$14,'Process'!BP3=1),1+('Control Room'!$C$14-1)*EXP(-0.5*(($A350-'Control Room'!$A$14-('Control Room'!$B$14-1)/2)/MAX(0.5,'Control Room'!$B$14/4))^2),1)*IF(AND($A350&gt;='Control Room'!$A$15,$A350&lt;'Control Room'!$A$15+'Control Room'!$B$15,'Process'!BP4=1),1+('Control Room'!$C$15-1)*EXP(-0.5*(($A350-'Control Room'!$A$15-('Control Room'!$B$15-1)/2)/MAX(0.5,'Control Room'!$B$15/4))^2),1)*IF(AND($A350&gt;='Control Room'!$A$16,$A350&lt;'Control Room'!$A$16+'Control Room'!$B$16,'Process'!BP5=1),1+('Control Room'!$C$16-1)*EXP(-0.5*(($A350-'Control Room'!$A$16-('Control Room'!$B$16-1)/2)/MAX(0.5,'Control Room'!$B$16/4))^2),1)</x:f>
        <x:v>1</x:v>
      </x:c>
      <x:c r="AF350" s="9" t="n">
        <x:f>MOD(AG349*16807,2147483647)</x:f>
        <x:v>911770472</x:v>
      </x:c>
      <x:c r="AG350" s="9" t="n">
        <x:f>MOD(AF350*16807,2147483647)</x:f>
        <x:v>1830501559</x:v>
      </x:c>
      <x:c r="AH350" s="17" t="n">
        <x:f>IF('Control Room'!$B$5="Normal",'Control Room'!$B$7+'Control Room'!$D$7*SQRT(-2*LN(MAX(0.000000000001,AF350/2147483647)))*COS(2*PI()*AG350/2147483647),'Control Room'!$B$8+('Control Room'!$D$8-'Control Room'!$B$8)*AF350/2147483647)</x:f>
        <x:v>1070.6694094896413</x:v>
      </x:c>
      <x:c r="AI350" s="17" t="n">
        <x:f>IF('Control Room'!$B$5="Normal",'Control Room'!$B$7,('Control Room'!$B$8+'Control Room'!$D$8)/2)+'Control Room'!$B$9*(AI349-IF('Control Room'!$B$5="Normal",'Control Room'!$B$7,('Control Room'!$B$8+'Control Room'!$D$8)/2))+SQRT(1-'Control Room'!$B$9^2)*(AH350-IF('Control Room'!$B$5="Normal",'Control Room'!$B$7,('Control Room'!$B$8+'Control Room'!$D$8)/2))</x:f>
        <x:v>1083.0892643928623</x:v>
      </x:c>
      <x:c r="AJ350" s="17" t="n">
        <x:f>IF(AND($A350&gt;='Control Room'!$A$13,$A350&lt;'Control Room'!$A$13+'Control Room'!$B$13,'Process'!BQ2=1),1+('Control Room'!$C$13-1)*EXP(-0.5*(($A350-'Control Room'!$A$13-('Control Room'!$B$13-1)/2)/MAX(0.5,'Control Room'!$B$13/4))^2),1)*IF(AND($A350&gt;='Control Room'!$A$14,$A350&lt;'Control Room'!$A$14+'Control Room'!$B$14,'Process'!BQ3=1),1+('Control Room'!$C$14-1)*EXP(-0.5*(($A350-'Control Room'!$A$14-('Control Room'!$B$14-1)/2)/MAX(0.5,'Control Room'!$B$14/4))^2),1)*IF(AND($A350&gt;='Control Room'!$A$15,$A350&lt;'Control Room'!$A$15+'Control Room'!$B$15,'Process'!BQ4=1),1+('Control Room'!$C$15-1)*EXP(-0.5*(($A350-'Control Room'!$A$15-('Control Room'!$B$15-1)/2)/MAX(0.5,'Control Room'!$B$15/4))^2),1)*IF(AND($A350&gt;='Control Room'!$A$16,$A350&lt;'Control Room'!$A$16+'Control Room'!$B$16,'Process'!BQ5=1),1+('Control Room'!$C$16-1)*EXP(-0.5*(($A350-'Control Room'!$A$16-('Control Room'!$B$16-1)/2)/MAX(0.5,'Control Room'!$B$16/4))^2),1)</x:f>
        <x:v>1</x:v>
      </x:c>
      <x:c r="AK350" s="9" t="n">
        <x:f>MOD(AL349*16807,2147483647)</x:f>
        <x:v>1551454727</x:v>
      </x:c>
      <x:c r="AL350" s="9" t="n">
        <x:f>MOD(AK350*16807,2147483647)</x:f>
        <x:v>553154815</x:v>
      </x:c>
      <x:c r="AM350" s="17" t="n">
        <x:f>IF('Control Room'!$B$5="Normal",'Control Room'!$B$7+'Control Room'!$D$7*SQRT(-2*LN(MAX(0.000000000001,AK350/2147483647)))*COS(2*PI()*AL350/2147483647),'Control Room'!$B$8+('Control Room'!$D$8-'Control Room'!$B$8)*AK350/2147483647)</x:f>
        <x:v>996.5436900121266</x:v>
      </x:c>
      <x:c r="AN350" s="17" t="n">
        <x:f>IF('Control Room'!$B$5="Normal",'Control Room'!$B$7,('Control Room'!$B$8+'Control Room'!$D$8)/2)+'Control Room'!$B$9*(AN349-IF('Control Room'!$B$5="Normal",'Control Room'!$B$7,('Control Room'!$B$8+'Control Room'!$D$8)/2))+SQRT(1-'Control Room'!$B$9^2)*(AM350-IF('Control Room'!$B$5="Normal",'Control Room'!$B$7,('Control Room'!$B$8+'Control Room'!$D$8)/2))</x:f>
        <x:v>1056.5910242925722</x:v>
      </x:c>
      <x:c r="AO350" s="17" t="n">
        <x:f>IF(AND($A350&gt;='Control Room'!$A$13,$A350&lt;'Control Room'!$A$13+'Control Room'!$B$13,'Process'!BR2=1),1+('Control Room'!$C$13-1)*EXP(-0.5*(($A350-'Control Room'!$A$13-('Control Room'!$B$13-1)/2)/MAX(0.5,'Control Room'!$B$13/4))^2),1)*IF(AND($A350&gt;='Control Room'!$A$14,$A350&lt;'Control Room'!$A$14+'Control Room'!$B$14,'Process'!BR3=1),1+('Control Room'!$C$14-1)*EXP(-0.5*(($A350-'Control Room'!$A$14-('Control Room'!$B$14-1)/2)/MAX(0.5,'Control Room'!$B$14/4))^2),1)*IF(AND($A350&gt;='Control Room'!$A$15,$A350&lt;'Control Room'!$A$15+'Control Room'!$B$15,'Process'!BR4=1),1+('Control Room'!$C$15-1)*EXP(-0.5*(($A350-'Control Room'!$A$15-('Control Room'!$B$15-1)/2)/MAX(0.5,'Control Room'!$B$15/4))^2),1)*IF(AND($A350&gt;='Control Room'!$A$16,$A350&lt;'Control Room'!$A$16+'Control Room'!$B$16,'Process'!BR5=1),1+('Control Room'!$C$16-1)*EXP(-0.5*(($A350-'Control Room'!$A$16-('Control Room'!$B$16-1)/2)/MAX(0.5,'Control Room'!$B$16/4))^2),1)</x:f>
        <x:v>1</x:v>
      </x:c>
      <x:c r="AP350" s="9" t="n">
        <x:f>MOD(AQ349*16807,2147483647)</x:f>
        <x:v>43655335</x:v>
      </x:c>
      <x:c r="AQ350" s="9" t="n">
        <x:f>MOD(AP350*16807,2147483647)</x:f>
        <x:v>1423291718</x:v>
      </x:c>
      <x:c r="AR350" s="17" t="n">
        <x:f>IF('Control Room'!$B$5="Normal",'Control Room'!$B$7+'Control Room'!$D$7*SQRT(-2*LN(MAX(0.000000000001,AP350/2147483647)))*COS(2*PI()*AQ350/2147483647),'Control Room'!$B$8+('Control Room'!$D$8-'Control Room'!$B$8)*AP350/2147483647)</x:f>
        <x:v>869.104724212233</x:v>
      </x:c>
      <x:c r="AS350" s="17" t="n">
        <x:f>IF('Control Room'!$B$5="Normal",'Control Room'!$B$7,('Control Room'!$B$8+'Control Room'!$D$8)/2)+'Control Room'!$B$9*(AS349-IF('Control Room'!$B$5="Normal",'Control Room'!$B$7,('Control Room'!$B$8+'Control Room'!$D$8)/2))+SQRT(1-'Control Room'!$B$9^2)*(AR350-IF('Control Room'!$B$5="Normal",'Control Room'!$B$7,('Control Room'!$B$8+'Control Room'!$D$8)/2))</x:f>
        <x:v>957.2858794504281</x:v>
      </x:c>
      <x:c r="AT350" s="17" t="n">
        <x:f>IF(AND($A350&gt;='Control Room'!$A$13,$A350&lt;'Control Room'!$A$13+'Control Room'!$B$13,'Process'!BS2=1),1+('Control Room'!$C$13-1)*EXP(-0.5*(($A350-'Control Room'!$A$13-('Control Room'!$B$13-1)/2)/MAX(0.5,'Control Room'!$B$13/4))^2),1)*IF(AND($A350&gt;='Control Room'!$A$14,$A350&lt;'Control Room'!$A$14+'Control Room'!$B$14,'Process'!BS3=1),1+('Control Room'!$C$14-1)*EXP(-0.5*(($A350-'Control Room'!$A$14-('Control Room'!$B$14-1)/2)/MAX(0.5,'Control Room'!$B$14/4))^2),1)*IF(AND($A350&gt;='Control Room'!$A$15,$A350&lt;'Control Room'!$A$15+'Control Room'!$B$15,'Process'!BS4=1),1+('Control Room'!$C$15-1)*EXP(-0.5*(($A350-'Control Room'!$A$15-('Control Room'!$B$15-1)/2)/MAX(0.5,'Control Room'!$B$15/4))^2),1)*IF(AND($A350&gt;='Control Room'!$A$16,$A350&lt;'Control Room'!$A$16+'Control Room'!$B$16,'Process'!BS5=1),1+('Control Room'!$C$16-1)*EXP(-0.5*(($A350-'Control Room'!$A$16-('Control Room'!$B$16-1)/2)/MAX(0.5,'Control Room'!$B$16/4))^2),1)</x:f>
        <x:v>1</x:v>
      </x:c>
      <x:c r="AU350" s="9" t="n">
        <x:f>MOD(AV349*16807,2147483647)</x:f>
        <x:v>683339590</x:v>
      </x:c>
      <x:c r="AV350" s="9" t="n">
        <x:f>MOD(AU350*16807,2147483647)</x:f>
        <x:v>145944974</x:v>
      </x:c>
      <x:c r="AW350" s="17" t="n">
        <x:f>IF('Control Room'!$B$5="Normal",'Control Room'!$B$7+'Control Room'!$D$7*SQRT(-2*LN(MAX(0.000000000001,AU350/2147483647)))*COS(2*PI()*AV350/2147483647),'Control Room'!$B$8+('Control Room'!$D$8-'Control Room'!$B$8)*AU350/2147483647)</x:f>
        <x:v>1123.9687276172274</x:v>
      </x:c>
      <x:c r="AX350" s="17" t="n">
        <x:f>IF('Control Room'!$B$5="Normal",'Control Room'!$B$7,('Control Room'!$B$8+'Control Room'!$D$8)/2)+'Control Room'!$B$9*(AX349-IF('Control Room'!$B$5="Normal",'Control Room'!$B$7,('Control Room'!$B$8+'Control Room'!$D$8)/2))+SQRT(1-'Control Room'!$B$9^2)*(AW350-IF('Control Room'!$B$5="Normal",'Control Room'!$B$7,('Control Room'!$B$8+'Control Room'!$D$8)/2))</x:f>
        <x:v>1217.965888645767</x:v>
      </x:c>
      <x:c r="AY350" s="17" t="n">
        <x:f>IF(AND($A350&gt;='Control Room'!$A$13,$A350&lt;'Control Room'!$A$13+'Control Room'!$B$13,'Process'!BT2=1),1+('Control Room'!$C$13-1)*EXP(-0.5*(($A350-'Control Room'!$A$13-('Control Room'!$B$13-1)/2)/MAX(0.5,'Control Room'!$B$13/4))^2),1)*IF(AND($A350&gt;='Control Room'!$A$14,$A350&lt;'Control Room'!$A$14+'Control Room'!$B$14,'Process'!BT3=1),1+('Control Room'!$C$14-1)*EXP(-0.5*(($A350-'Control Room'!$A$14-('Control Room'!$B$14-1)/2)/MAX(0.5,'Control Room'!$B$14/4))^2),1)*IF(AND($A350&gt;='Control Room'!$A$15,$A350&lt;'Control Room'!$A$15+'Control Room'!$B$15,'Process'!BT4=1),1+('Control Room'!$C$15-1)*EXP(-0.5*(($A350-'Control Room'!$A$15-('Control Room'!$B$15-1)/2)/MAX(0.5,'Control Room'!$B$15/4))^2),1)*IF(AND($A350&gt;='Control Room'!$A$16,$A350&lt;'Control Room'!$A$16+'Control Room'!$B$16,'Process'!BT5=1),1+('Control Room'!$C$16-1)*EXP(-0.5*(($A350-'Control Room'!$A$16-('Control Room'!$B$16-1)/2)/MAX(0.5,'Control Room'!$B$16/4))^2),1)</x:f>
        <x:v>1</x:v>
      </x:c>
      <x:c r="AZ350" s="9" t="n">
        <x:f>MOD(BA349*16807,2147483647)</x:f>
        <x:v>1323023845</x:v>
      </x:c>
      <x:c r="BA350" s="9" t="n">
        <x:f>MOD(AZ350*16807,2147483647)</x:f>
        <x:v>1016081877</x:v>
      </x:c>
      <x:c r="BB350" s="17" t="n">
        <x:f>IF('Control Room'!$B$5="Normal",'Control Room'!$B$7+'Control Room'!$D$7*SQRT(-2*LN(MAX(0.000000000001,AZ350/2147483647)))*COS(2*PI()*BA350/2147483647),'Control Room'!$B$8+('Control Room'!$D$8-'Control Room'!$B$8)*AZ350/2147483647)</x:f>
        <x:v>912.6748272590609</x:v>
      </x:c>
      <x:c r="BC350" s="17" t="n">
        <x:f>IF('Control Room'!$B$5="Normal",'Control Room'!$B$7,('Control Room'!$B$8+'Control Room'!$D$8)/2)+'Control Room'!$B$9*(BC349-IF('Control Room'!$B$5="Normal",'Control Room'!$B$7,('Control Room'!$B$8+'Control Room'!$D$8)/2))+SQRT(1-'Control Room'!$B$9^2)*(BB350-IF('Control Room'!$B$5="Normal",'Control Room'!$B$7,('Control Room'!$B$8+'Control Room'!$D$8)/2))</x:f>
        <x:v>1022.4691512802528</x:v>
      </x:c>
      <x:c r="BD350" s="17" t="n">
        <x:f>IF(AND($A350&gt;='Control Room'!$A$13,$A350&lt;'Control Room'!$A$13+'Control Room'!$B$13,'Process'!BU2=1),1+('Control Room'!$C$13-1)*EXP(-0.5*(($A350-'Control Room'!$A$13-('Control Room'!$B$13-1)/2)/MAX(0.5,'Control Room'!$B$13/4))^2),1)*IF(AND($A350&gt;='Control Room'!$A$14,$A350&lt;'Control Room'!$A$14+'Control Room'!$B$14,'Process'!BU3=1),1+('Control Room'!$C$14-1)*EXP(-0.5*(($A350-'Control Room'!$A$14-('Control Room'!$B$14-1)/2)/MAX(0.5,'Control Room'!$B$14/4))^2),1)*IF(AND($A350&gt;='Control Room'!$A$15,$A350&lt;'Control Room'!$A$15+'Control Room'!$B$15,'Process'!BU4=1),1+('Control Room'!$C$15-1)*EXP(-0.5*(($A350-'Control Room'!$A$15-('Control Room'!$B$15-1)/2)/MAX(0.5,'Control Room'!$B$15/4))^2),1)*IF(AND($A350&gt;='Control Room'!$A$16,$A350&lt;'Control Room'!$A$16+'Control Room'!$B$16,'Process'!BU5=1),1+('Control Room'!$C$16-1)*EXP(-0.5*(($A350-'Control Room'!$A$16-('Control Room'!$B$16-1)/2)/MAX(0.5,'Control Room'!$B$16/4))^2),1)</x:f>
        <x:v>1</x:v>
      </x:c>
      <x:c r="BE350" s="9" t="n">
        <x:f>MOD(BF349*16807,2147483647)</x:f>
        <x:v>1962708100</x:v>
      </x:c>
      <x:c r="BF350" s="9" t="n">
        <x:f>MOD(BE350*16807,2147483647)</x:f>
        <x:v>1886218780</x:v>
      </x:c>
      <x:c r="BG350" s="17" t="n">
        <x:f>IF('Control Room'!$B$5="Normal",'Control Room'!$B$7+'Control Room'!$D$7*SQRT(-2*LN(MAX(0.000000000001,BE350/2147483647)))*COS(2*PI()*BF350/2147483647),'Control Room'!$B$8+('Control Room'!$D$8-'Control Room'!$B$8)*BE350/2147483647)</x:f>
        <x:v>1027.5561202498986</x:v>
      </x:c>
      <x:c r="BH350" s="17" t="n">
        <x:f>IF('Control Room'!$B$5="Normal",'Control Room'!$B$7,('Control Room'!$B$8+'Control Room'!$D$8)/2)+'Control Room'!$B$9*(BH349-IF('Control Room'!$B$5="Normal",'Control Room'!$B$7,('Control Room'!$B$8+'Control Room'!$D$8)/2))+SQRT(1-'Control Room'!$B$9^2)*(BG350-IF('Control Room'!$B$5="Normal",'Control Room'!$B$7,('Control Room'!$B$8+'Control Room'!$D$8)/2))</x:f>
        <x:v>963.1821105351106</x:v>
      </x:c>
      <x:c r="BI350" s="17" t="n">
        <x:f>IF(AND($A350&gt;='Control Room'!$A$13,$A350&lt;'Control Room'!$A$13+'Control Room'!$B$13,'Process'!BV2=1),1+('Control Room'!$C$13-1)*EXP(-0.5*(($A350-'Control Room'!$A$13-('Control Room'!$B$13-1)/2)/MAX(0.5,'Control Room'!$B$13/4))^2),1)*IF(AND($A350&gt;='Control Room'!$A$14,$A350&lt;'Control Room'!$A$14+'Control Room'!$B$14,'Process'!BV3=1),1+('Control Room'!$C$14-1)*EXP(-0.5*(($A350-'Control Room'!$A$14-('Control Room'!$B$14-1)/2)/MAX(0.5,'Control Room'!$B$14/4))^2),1)*IF(AND($A350&gt;='Control Room'!$A$15,$A350&lt;'Control Room'!$A$15+'Control Room'!$B$15,'Process'!BV4=1),1+('Control Room'!$C$15-1)*EXP(-0.5*(($A350-'Control Room'!$A$15-('Control Room'!$B$15-1)/2)/MAX(0.5,'Control Room'!$B$15/4))^2),1)*IF(AND($A350&gt;='Control Room'!$A$16,$A350&lt;'Control Room'!$A$16+'Control Room'!$B$16,'Process'!BV5=1),1+('Control Room'!$C$16-1)*EXP(-0.5*(($A350-'Control Room'!$A$16-('Control Room'!$B$16-1)/2)/MAX(0.5,'Control Room'!$B$16/4))^2),1)</x:f>
        <x:v>1</x:v>
      </x:c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Z350" t="str">
        <x:f>IF('Data'!A350="","",TEXT('Data'!A350,"mm-dd"))</x:f>
      </x:c>
    </x:row>
    <x:row r="351" ht="21" customHeight="1">
      <x:c r="A351" s="15" t="n">
        <x:f>'Control Room'!$B$1+349</x:f>
        <x:v>73340</x:v>
      </x:c>
      <x:c r="B351" s="9" t="n">
        <x:f>MOD(C350*16807,2147483647)</x:f>
        <x:v>225219285</x:v>
      </x:c>
      <x:c r="C351" s="9" t="n">
        <x:f>MOD(B351*16807,2147483647)</x:f>
        <x:v>1394336981</x:v>
      </x:c>
      <x:c r="D351" s="17" t="n">
        <x:f>IF('Control Room'!$B$5="Normal",'Control Room'!$B$7+'Control Room'!$D$7*SQRT(-2*LN(MAX(0.000000000001,B351/2147483647)))*COS(2*PI()*C351/2147483647),'Control Room'!$B$8+('Control Room'!$D$8-'Control Room'!$B$8)*B351/2147483647)</x:f>
        <x:v>886.9667794315853</x:v>
      </x:c>
      <x:c r="E351" s="17" t="n">
        <x:f>IF('Control Room'!$B$5="Normal",'Control Room'!$B$7,('Control Room'!$B$8+'Control Room'!$D$8)/2)+'Control Room'!$B$9*(E350-IF('Control Room'!$B$5="Normal",'Control Room'!$B$7,('Control Room'!$B$8+'Control Room'!$D$8)/2))+SQRT(1-'Control Room'!$B$9^2)*(D351-IF('Control Room'!$B$5="Normal",'Control Room'!$B$7,('Control Room'!$B$8+'Control Room'!$D$8)/2))</x:f>
        <x:v>876.473095739417</x:v>
      </x:c>
      <x:c r="F351" s="17" t="n">
        <x:f>IF(AND($A351&gt;='Control Room'!$A$13,$A351&lt;'Control Room'!$A$13+'Control Room'!$B$13,'Process'!BK2=1),1+('Control Room'!$C$13-1)*EXP(-0.5*(($A351-'Control Room'!$A$13-('Control Room'!$B$13-1)/2)/MAX(0.5,'Control Room'!$B$13/4))^2),1)*IF(AND($A351&gt;='Control Room'!$A$14,$A351&lt;'Control Room'!$A$14+'Control Room'!$B$14,'Process'!BK3=1),1+('Control Room'!$C$14-1)*EXP(-0.5*(($A351-'Control Room'!$A$14-('Control Room'!$B$14-1)/2)/MAX(0.5,'Control Room'!$B$14/4))^2),1)*IF(AND($A351&gt;='Control Room'!$A$15,$A351&lt;'Control Room'!$A$15+'Control Room'!$B$15,'Process'!BK4=1),1+('Control Room'!$C$15-1)*EXP(-0.5*(($A351-'Control Room'!$A$15-('Control Room'!$B$15-1)/2)/MAX(0.5,'Control Room'!$B$15/4))^2),1)*IF(AND($A351&gt;='Control Room'!$A$16,$A351&lt;'Control Room'!$A$16+'Control Room'!$B$16,'Process'!BK5=1),1+('Control Room'!$C$16-1)*EXP(-0.5*(($A351-'Control Room'!$A$16-('Control Room'!$B$16-1)/2)/MAX(0.5,'Control Room'!$B$16/4))^2),1)</x:f>
        <x:v>1</x:v>
      </x:c>
      <x:c r="G351" s="9" t="n">
        <x:f>MOD(H350*16807,2147483647)</x:f>
        <x:v>252511936</x:v>
      </x:c>
      <x:c r="H351" s="9" t="n">
        <x:f>MOD(G351*16807,2147483647)</x:f>
        <x:v>540421880</x:v>
      </x:c>
      <x:c r="I351" s="17" t="n">
        <x:f>IF('Control Room'!$B$5="Normal",'Control Room'!$B$7+'Control Room'!$D$7*SQRT(-2*LN(MAX(0.000000000001,G351/2147483647)))*COS(2*PI()*H351/2147483647),'Control Room'!$B$8+('Control Room'!$D$8-'Control Room'!$B$8)*G351/2147483647)</x:f>
        <x:v>998.0653001879821</x:v>
      </x:c>
      <x:c r="J351" s="17" t="n">
        <x:f>IF('Control Room'!$B$5="Normal",'Control Room'!$B$7,('Control Room'!$B$8+'Control Room'!$D$8)/2)+'Control Room'!$B$9*(J350-IF('Control Room'!$B$5="Normal",'Control Room'!$B$7,('Control Room'!$B$8+'Control Room'!$D$8)/2))+SQRT(1-'Control Room'!$B$9^2)*(I351-IF('Control Room'!$B$5="Normal",'Control Room'!$B$7,('Control Room'!$B$8+'Control Room'!$D$8)/2))</x:f>
        <x:v>1029.487735865731</x:v>
      </x:c>
      <x:c r="K351" s="17" t="n">
        <x:f>IF(AND($A351&gt;='Control Room'!$A$13,$A351&lt;'Control Room'!$A$13+'Control Room'!$B$13,'Process'!BL2=1),1+('Control Room'!$C$13-1)*EXP(-0.5*(($A351-'Control Room'!$A$13-('Control Room'!$B$13-1)/2)/MAX(0.5,'Control Room'!$B$13/4))^2),1)*IF(AND($A351&gt;='Control Room'!$A$14,$A351&lt;'Control Room'!$A$14+'Control Room'!$B$14,'Process'!BL3=1),1+('Control Room'!$C$14-1)*EXP(-0.5*(($A351-'Control Room'!$A$14-('Control Room'!$B$14-1)/2)/MAX(0.5,'Control Room'!$B$14/4))^2),1)*IF(AND($A351&gt;='Control Room'!$A$15,$A351&lt;'Control Room'!$A$15+'Control Room'!$B$15,'Process'!BL4=1),1+('Control Room'!$C$15-1)*EXP(-0.5*(($A351-'Control Room'!$A$15-('Control Room'!$B$15-1)/2)/MAX(0.5,'Control Room'!$B$15/4))^2),1)*IF(AND($A351&gt;='Control Room'!$A$16,$A351&lt;'Control Room'!$A$16+'Control Room'!$B$16,'Process'!BL5=1),1+('Control Room'!$C$16-1)*EXP(-0.5*(($A351-'Control Room'!$A$16-('Control Room'!$B$16-1)/2)/MAX(0.5,'Control Room'!$B$16/4))^2),1)</x:f>
        <x:v>1</x:v>
      </x:c>
      <x:c r="L351" s="9" t="n">
        <x:f>MOD(M350*16807,2147483647)</x:f>
        <x:v>279804587</x:v>
      </x:c>
      <x:c r="M351" s="9" t="n">
        <x:f>MOD(L351*16807,2147483647)</x:f>
        <x:v>1833990426</x:v>
      </x:c>
      <x:c r="N351" s="17" t="n">
        <x:f>IF('Control Room'!$B$5="Normal",'Control Room'!$B$7+'Control Room'!$D$7*SQRT(-2*LN(MAX(0.000000000001,L351/2147483647)))*COS(2*PI()*M351/2147483647),'Control Room'!$B$8+('Control Room'!$D$8-'Control Room'!$B$8)*L351/2147483647)</x:f>
        <x:v>1110.4776812151295</x:v>
      </x:c>
      <x:c r="O351" s="17" t="n">
        <x:f>IF('Control Room'!$B$5="Normal",'Control Room'!$B$7,('Control Room'!$B$8+'Control Room'!$D$8)/2)+'Control Room'!$B$9*(O350-IF('Control Room'!$B$5="Normal",'Control Room'!$B$7,('Control Room'!$B$8+'Control Room'!$D$8)/2))+SQRT(1-'Control Room'!$B$9^2)*(N351-IF('Control Room'!$B$5="Normal",'Control Room'!$B$7,('Control Room'!$B$8+'Control Room'!$D$8)/2))</x:f>
        <x:v>1076.8555735492241</x:v>
      </x:c>
      <x:c r="P351" s="17" t="n">
        <x:f>IF(AND($A351&gt;='Control Room'!$A$13,$A351&lt;'Control Room'!$A$13+'Control Room'!$B$13,'Process'!BM2=1),1+('Control Room'!$C$13-1)*EXP(-0.5*(($A351-'Control Room'!$A$13-('Control Room'!$B$13-1)/2)/MAX(0.5,'Control Room'!$B$13/4))^2),1)*IF(AND($A351&gt;='Control Room'!$A$14,$A351&lt;'Control Room'!$A$14+'Control Room'!$B$14,'Process'!BM3=1),1+('Control Room'!$C$14-1)*EXP(-0.5*(($A351-'Control Room'!$A$14-('Control Room'!$B$14-1)/2)/MAX(0.5,'Control Room'!$B$14/4))^2),1)*IF(AND($A351&gt;='Control Room'!$A$15,$A351&lt;'Control Room'!$A$15+'Control Room'!$B$15,'Process'!BM4=1),1+('Control Room'!$C$15-1)*EXP(-0.5*(($A351-'Control Room'!$A$15-('Control Room'!$B$15-1)/2)/MAX(0.5,'Control Room'!$B$15/4))^2),1)*IF(AND($A351&gt;='Control Room'!$A$16,$A351&lt;'Control Room'!$A$16+'Control Room'!$B$16,'Process'!BM5=1),1+('Control Room'!$C$16-1)*EXP(-0.5*(($A351-'Control Room'!$A$16-('Control Room'!$B$16-1)/2)/MAX(0.5,'Control Room'!$B$16/4))^2),1)</x:f>
        <x:v>1</x:v>
      </x:c>
      <x:c r="Q351" s="9" t="n">
        <x:f>MOD(R350*16807,2147483647)</x:f>
        <x:v>307097238</x:v>
      </x:c>
      <x:c r="R351" s="9" t="n">
        <x:f>MOD(Q351*16807,2147483647)</x:f>
        <x:v>980075325</x:v>
      </x:c>
      <x:c r="S351" s="17" t="n">
        <x:f>IF('Control Room'!$B$5="Normal",'Control Room'!$B$7+'Control Room'!$D$7*SQRT(-2*LN(MAX(0.000000000001,Q351/2147483647)))*COS(2*PI()*R351/2147483647),'Control Room'!$B$8+('Control Room'!$D$8-'Control Room'!$B$8)*Q351/2147483647)</x:f>
        <x:v>829.1214309915097</x:v>
      </x:c>
      <x:c r="T351" s="17" t="n">
        <x:f>IF('Control Room'!$B$5="Normal",'Control Room'!$B$7,('Control Room'!$B$8+'Control Room'!$D$8)/2)+'Control Room'!$B$9*(T350-IF('Control Room'!$B$5="Normal",'Control Room'!$B$7,('Control Room'!$B$8+'Control Room'!$D$8)/2))+SQRT(1-'Control Room'!$B$9^2)*(S351-IF('Control Room'!$B$5="Normal",'Control Room'!$B$7,('Control Room'!$B$8+'Control Room'!$D$8)/2))</x:f>
        <x:v>906.9659627938464</x:v>
      </x:c>
      <x:c r="U351" s="17" t="n">
        <x:f>IF(AND($A351&gt;='Control Room'!$A$13,$A351&lt;'Control Room'!$A$13+'Control Room'!$B$13,'Process'!BN2=1),1+('Control Room'!$C$13-1)*EXP(-0.5*(($A351-'Control Room'!$A$13-('Control Room'!$B$13-1)/2)/MAX(0.5,'Control Room'!$B$13/4))^2),1)*IF(AND($A351&gt;='Control Room'!$A$14,$A351&lt;'Control Room'!$A$14+'Control Room'!$B$14,'Process'!BN3=1),1+('Control Room'!$C$14-1)*EXP(-0.5*(($A351-'Control Room'!$A$14-('Control Room'!$B$14-1)/2)/MAX(0.5,'Control Room'!$B$14/4))^2),1)*IF(AND($A351&gt;='Control Room'!$A$15,$A351&lt;'Control Room'!$A$15+'Control Room'!$B$15,'Process'!BN4=1),1+('Control Room'!$C$15-1)*EXP(-0.5*(($A351-'Control Room'!$A$15-('Control Room'!$B$15-1)/2)/MAX(0.5,'Control Room'!$B$15/4))^2),1)*IF(AND($A351&gt;='Control Room'!$A$16,$A351&lt;'Control Room'!$A$16+'Control Room'!$B$16,'Process'!BN5=1),1+('Control Room'!$C$16-1)*EXP(-0.5*(($A351-'Control Room'!$A$16-('Control Room'!$B$16-1)/2)/MAX(0.5,'Control Room'!$B$16/4))^2),1)</x:f>
        <x:v>1</x:v>
      </x:c>
      <x:c r="V351" s="9" t="n">
        <x:f>MOD(W350*16807,2147483647)</x:f>
        <x:v>334389889</x:v>
      </x:c>
      <x:c r="W351" s="9" t="n">
        <x:f>MOD(V351*16807,2147483647)</x:f>
        <x:v>126160224</x:v>
      </x:c>
      <x:c r="X351" s="17" t="n">
        <x:f>IF('Control Room'!$B$5="Normal",'Control Room'!$B$7+'Control Room'!$D$7*SQRT(-2*LN(MAX(0.000000000001,V351/2147483647)))*COS(2*PI()*W351/2147483647),'Control Room'!$B$8+('Control Room'!$D$8-'Control Room'!$B$8)*V351/2147483647)</x:f>
        <x:v>1161.882499834399</x:v>
      </x:c>
      <x:c r="Y351" s="17" t="n">
        <x:f>IF('Control Room'!$B$5="Normal",'Control Room'!$B$7,('Control Room'!$B$8+'Control Room'!$D$8)/2)+'Control Room'!$B$9*(Y350-IF('Control Room'!$B$5="Normal",'Control Room'!$B$7,('Control Room'!$B$8+'Control Room'!$D$8)/2))+SQRT(1-'Control Room'!$B$9^2)*(X351-IF('Control Room'!$B$5="Normal",'Control Room'!$B$7,('Control Room'!$B$8+'Control Room'!$D$8)/2))</x:f>
        <x:v>1162.2843475146146</x:v>
      </x:c>
      <x:c r="Z351" s="17" t="n">
        <x:f>IF(AND($A351&gt;='Control Room'!$A$13,$A351&lt;'Control Room'!$A$13+'Control Room'!$B$13,'Process'!BO2=1),1+('Control Room'!$C$13-1)*EXP(-0.5*(($A351-'Control Room'!$A$13-('Control Room'!$B$13-1)/2)/MAX(0.5,'Control Room'!$B$13/4))^2),1)*IF(AND($A351&gt;='Control Room'!$A$14,$A351&lt;'Control Room'!$A$14+'Control Room'!$B$14,'Process'!BO3=1),1+('Control Room'!$C$14-1)*EXP(-0.5*(($A351-'Control Room'!$A$14-('Control Room'!$B$14-1)/2)/MAX(0.5,'Control Room'!$B$14/4))^2),1)*IF(AND($A351&gt;='Control Room'!$A$15,$A351&lt;'Control Room'!$A$15+'Control Room'!$B$15,'Process'!BO4=1),1+('Control Room'!$C$15-1)*EXP(-0.5*(($A351-'Control Room'!$A$15-('Control Room'!$B$15-1)/2)/MAX(0.5,'Control Room'!$B$15/4))^2),1)*IF(AND($A351&gt;='Control Room'!$A$16,$A351&lt;'Control Room'!$A$16+'Control Room'!$B$16,'Process'!BO5=1),1+('Control Room'!$C$16-1)*EXP(-0.5*(($A351-'Control Room'!$A$16-('Control Room'!$B$16-1)/2)/MAX(0.5,'Control Room'!$B$16/4))^2),1)</x:f>
        <x:v>1</x:v>
      </x:c>
      <x:c r="AA351" s="9" t="n">
        <x:f>MOD(AB350*16807,2147483647)</x:f>
        <x:v>361682540</x:v>
      </x:c>
      <x:c r="AB351" s="9" t="n">
        <x:f>MOD(AA351*16807,2147483647)</x:f>
        <x:v>1419728770</x:v>
      </x:c>
      <x:c r="AC351" s="17" t="n">
        <x:f>IF('Control Room'!$B$5="Normal",'Control Room'!$B$7+'Control Room'!$D$7*SQRT(-2*LN(MAX(0.000000000001,AA351/2147483647)))*COS(2*PI()*AB351/2147483647),'Control Room'!$B$8+('Control Room'!$D$8-'Control Room'!$B$8)*AA351/2147483647)</x:f>
        <x:v>909.9825129037915</x:v>
      </x:c>
      <x:c r="AD351" s="17" t="n">
        <x:f>IF('Control Room'!$B$5="Normal",'Control Room'!$B$7,('Control Room'!$B$8+'Control Room'!$D$8)/2)+'Control Room'!$B$9*(AD350-IF('Control Room'!$B$5="Normal",'Control Room'!$B$7,('Control Room'!$B$8+'Control Room'!$D$8)/2))+SQRT(1-'Control Room'!$B$9^2)*(AC351-IF('Control Room'!$B$5="Normal",'Control Room'!$B$7,('Control Room'!$B$8+'Control Room'!$D$8)/2))</x:f>
        <x:v>764.036608953356</x:v>
      </x:c>
      <x:c r="AE351" s="17" t="n">
        <x:f>IF(AND($A351&gt;='Control Room'!$A$13,$A351&lt;'Control Room'!$A$13+'Control Room'!$B$13,'Process'!BP2=1),1+('Control Room'!$C$13-1)*EXP(-0.5*(($A351-'Control Room'!$A$13-('Control Room'!$B$13-1)/2)/MAX(0.5,'Control Room'!$B$13/4))^2),1)*IF(AND($A351&gt;='Control Room'!$A$14,$A351&lt;'Control Room'!$A$14+'Control Room'!$B$14,'Process'!BP3=1),1+('Control Room'!$C$14-1)*EXP(-0.5*(($A351-'Control Room'!$A$14-('Control Room'!$B$14-1)/2)/MAX(0.5,'Control Room'!$B$14/4))^2),1)*IF(AND($A351&gt;='Control Room'!$A$15,$A351&lt;'Control Room'!$A$15+'Control Room'!$B$15,'Process'!BP4=1),1+('Control Room'!$C$15-1)*EXP(-0.5*(($A351-'Control Room'!$A$15-('Control Room'!$B$15-1)/2)/MAX(0.5,'Control Room'!$B$15/4))^2),1)*IF(AND($A351&gt;='Control Room'!$A$16,$A351&lt;'Control Room'!$A$16+'Control Room'!$B$16,'Process'!BP5=1),1+('Control Room'!$C$16-1)*EXP(-0.5*(($A351-'Control Room'!$A$16-('Control Room'!$B$16-1)/2)/MAX(0.5,'Control Room'!$B$16/4))^2),1)</x:f>
        <x:v>1</x:v>
      </x:c>
      <x:c r="AF351" s="9" t="n">
        <x:f>MOD(AG350*16807,2147483647)</x:f>
        <x:v>388975191</x:v>
      </x:c>
      <x:c r="AG351" s="9" t="n">
        <x:f>MOD(AF351*16807,2147483647)</x:f>
        <x:v>565813669</x:v>
      </x:c>
      <x:c r="AH351" s="17" t="n">
        <x:f>IF('Control Room'!$B$5="Normal",'Control Room'!$B$7+'Control Room'!$D$7*SQRT(-2*LN(MAX(0.000000000001,AF351/2147483647)))*COS(2*PI()*AG351/2147483647),'Control Room'!$B$8+('Control Room'!$D$8-'Control Room'!$B$8)*AF351/2147483647)</x:f>
        <x:v>985.928501099739</x:v>
      </x:c>
      <x:c r="AI351" s="17" t="n">
        <x:f>IF('Control Room'!$B$5="Normal",'Control Room'!$B$7,('Control Room'!$B$8+'Control Room'!$D$8)/2)+'Control Room'!$B$9*(AI350-IF('Control Room'!$B$5="Normal",'Control Room'!$B$7,('Control Room'!$B$8+'Control Room'!$D$8)/2))+SQRT(1-'Control Room'!$B$9^2)*(AH351-IF('Control Room'!$B$5="Normal",'Control Room'!$B$7,('Control Room'!$B$8+'Control Room'!$D$8)/2))</x:f>
        <x:v>1056.003970484973</x:v>
      </x:c>
      <x:c r="AJ351" s="17" t="n">
        <x:f>IF(AND($A351&gt;='Control Room'!$A$13,$A351&lt;'Control Room'!$A$13+'Control Room'!$B$13,'Process'!BQ2=1),1+('Control Room'!$C$13-1)*EXP(-0.5*(($A351-'Control Room'!$A$13-('Control Room'!$B$13-1)/2)/MAX(0.5,'Control Room'!$B$13/4))^2),1)*IF(AND($A351&gt;='Control Room'!$A$14,$A351&lt;'Control Room'!$A$14+'Control Room'!$B$14,'Process'!BQ3=1),1+('Control Room'!$C$14-1)*EXP(-0.5*(($A351-'Control Room'!$A$14-('Control Room'!$B$14-1)/2)/MAX(0.5,'Control Room'!$B$14/4))^2),1)*IF(AND($A351&gt;='Control Room'!$A$15,$A351&lt;'Control Room'!$A$15+'Control Room'!$B$15,'Process'!BQ4=1),1+('Control Room'!$C$15-1)*EXP(-0.5*(($A351-'Control Room'!$A$15-('Control Room'!$B$15-1)/2)/MAX(0.5,'Control Room'!$B$15/4))^2),1)*IF(AND($A351&gt;='Control Room'!$A$16,$A351&lt;'Control Room'!$A$16+'Control Room'!$B$16,'Process'!BQ5=1),1+('Control Room'!$C$16-1)*EXP(-0.5*(($A351-'Control Room'!$A$16-('Control Room'!$B$16-1)/2)/MAX(0.5,'Control Room'!$B$16/4))^2),1)</x:f>
        <x:v>1</x:v>
      </x:c>
      <x:c r="AK351" s="9" t="n">
        <x:f>MOD(AL350*16807,2147483647)</x:f>
        <x:v>416267842</x:v>
      </x:c>
      <x:c r="AL351" s="9" t="n">
        <x:f>MOD(AK351*16807,2147483647)</x:f>
        <x:v>1859382215</x:v>
      </x:c>
      <x:c r="AM351" s="17" t="n">
        <x:f>IF('Control Room'!$B$5="Normal",'Control Room'!$B$7+'Control Room'!$D$7*SQRT(-2*LN(MAX(0.000000000001,AK351/2147483647)))*COS(2*PI()*AL351/2147483647),'Control Room'!$B$8+('Control Room'!$D$8-'Control Room'!$B$8)*AK351/2147483647)</x:f>
        <x:v>1108.46128024948</x:v>
      </x:c>
      <x:c r="AN351" s="17" t="n">
        <x:f>IF('Control Room'!$B$5="Normal",'Control Room'!$B$7,('Control Room'!$B$8+'Control Room'!$D$8)/2)+'Control Room'!$B$9*(AN350-IF('Control Room'!$B$5="Normal",'Control Room'!$B$7,('Control Room'!$B$8+'Control Room'!$D$8)/2))+SQRT(1-'Control Room'!$B$9^2)*(AM351-IF('Control Room'!$B$5="Normal",'Control Room'!$B$7,('Control Room'!$B$8+'Control Room'!$D$8)/2))</x:f>
        <x:v>1112.0138461782312</x:v>
      </x:c>
      <x:c r="AO351" s="17" t="n">
        <x:f>IF(AND($A351&gt;='Control Room'!$A$13,$A351&lt;'Control Room'!$A$13+'Control Room'!$B$13,'Process'!BR2=1),1+('Control Room'!$C$13-1)*EXP(-0.5*(($A351-'Control Room'!$A$13-('Control Room'!$B$13-1)/2)/MAX(0.5,'Control Room'!$B$13/4))^2),1)*IF(AND($A351&gt;='Control Room'!$A$14,$A351&lt;'Control Room'!$A$14+'Control Room'!$B$14,'Process'!BR3=1),1+('Control Room'!$C$14-1)*EXP(-0.5*(($A351-'Control Room'!$A$14-('Control Room'!$B$14-1)/2)/MAX(0.5,'Control Room'!$B$14/4))^2),1)*IF(AND($A351&gt;='Control Room'!$A$15,$A351&lt;'Control Room'!$A$15+'Control Room'!$B$15,'Process'!BR4=1),1+('Control Room'!$C$15-1)*EXP(-0.5*(($A351-'Control Room'!$A$15-('Control Room'!$B$15-1)/2)/MAX(0.5,'Control Room'!$B$15/4))^2),1)*IF(AND($A351&gt;='Control Room'!$A$16,$A351&lt;'Control Room'!$A$16+'Control Room'!$B$16,'Process'!BR5=1),1+('Control Room'!$C$16-1)*EXP(-0.5*(($A351-'Control Room'!$A$16-('Control Room'!$B$16-1)/2)/MAX(0.5,'Control Room'!$B$16/4))^2),1)</x:f>
        <x:v>1</x:v>
      </x:c>
      <x:c r="AP351" s="9" t="n">
        <x:f>MOD(AQ350*16807,2147483647)</x:f>
        <x:v>443560493</x:v>
      </x:c>
      <x:c r="AQ351" s="9" t="n">
        <x:f>MOD(AP351*16807,2147483647)</x:f>
        <x:v>1005467114</x:v>
      </x:c>
      <x:c r="AR351" s="17" t="n">
        <x:f>IF('Control Room'!$B$5="Normal",'Control Room'!$B$7+'Control Room'!$D$7*SQRT(-2*LN(MAX(0.000000000001,AP351/2147483647)))*COS(2*PI()*AQ351/2147483647),'Control Room'!$B$8+('Control Room'!$D$8-'Control Room'!$B$8)*AP351/2147483647)</x:f>
        <x:v>843.3321117866178</x:v>
      </x:c>
      <x:c r="AS351" s="17" t="n">
        <x:f>IF('Control Room'!$B$5="Normal",'Control Room'!$B$7,('Control Room'!$B$8+'Control Room'!$D$8)/2)+'Control Room'!$B$9*(AS350-IF('Control Room'!$B$5="Normal",'Control Room'!$B$7,('Control Room'!$B$8+'Control Room'!$D$8)/2))+SQRT(1-'Control Room'!$B$9^2)*(AR351-IF('Control Room'!$B$5="Normal",'Control Room'!$B$7,('Control Room'!$B$8+'Control Room'!$D$8)/2))</x:f>
        <x:v>868.6434310435421</x:v>
      </x:c>
      <x:c r="AT351" s="17" t="n">
        <x:f>IF(AND($A351&gt;='Control Room'!$A$13,$A351&lt;'Control Room'!$A$13+'Control Room'!$B$13,'Process'!BS2=1),1+('Control Room'!$C$13-1)*EXP(-0.5*(($A351-'Control Room'!$A$13-('Control Room'!$B$13-1)/2)/MAX(0.5,'Control Room'!$B$13/4))^2),1)*IF(AND($A351&gt;='Control Room'!$A$14,$A351&lt;'Control Room'!$A$14+'Control Room'!$B$14,'Process'!BS3=1),1+('Control Room'!$C$14-1)*EXP(-0.5*(($A351-'Control Room'!$A$14-('Control Room'!$B$14-1)/2)/MAX(0.5,'Control Room'!$B$14/4))^2),1)*IF(AND($A351&gt;='Control Room'!$A$15,$A351&lt;'Control Room'!$A$15+'Control Room'!$B$15,'Process'!BS4=1),1+('Control Room'!$C$15-1)*EXP(-0.5*(($A351-'Control Room'!$A$15-('Control Room'!$B$15-1)/2)/MAX(0.5,'Control Room'!$B$15/4))^2),1)*IF(AND($A351&gt;='Control Room'!$A$16,$A351&lt;'Control Room'!$A$16+'Control Room'!$B$16,'Process'!BS5=1),1+('Control Room'!$C$16-1)*EXP(-0.5*(($A351-'Control Room'!$A$16-('Control Room'!$B$16-1)/2)/MAX(0.5,'Control Room'!$B$16/4))^2),1)</x:f>
        <x:v>1</x:v>
      </x:c>
      <x:c r="AU351" s="9" t="n">
        <x:f>MOD(AV350*16807,2147483647)</x:f>
        <x:v>470853144</x:v>
      </x:c>
      <x:c r="AV351" s="9" t="n">
        <x:f>MOD(AU351*16807,2147483647)</x:f>
        <x:v>151552013</x:v>
      </x:c>
      <x:c r="AW351" s="17" t="n">
        <x:f>IF('Control Room'!$B$5="Normal",'Control Room'!$B$7+'Control Room'!$D$7*SQRT(-2*LN(MAX(0.000000000001,AU351/2147483647)))*COS(2*PI()*AV351/2147483647),'Control Room'!$B$8+('Control Room'!$D$8-'Control Room'!$B$8)*AU351/2147483647)</x:f>
        <x:v>1141.6284415566527</x:v>
      </x:c>
      <x:c r="AX351" s="17" t="n">
        <x:f>IF('Control Room'!$B$5="Normal",'Control Room'!$B$7,('Control Room'!$B$8+'Control Room'!$D$8)/2)+'Control Room'!$B$9*(AX350-IF('Control Room'!$B$5="Normal",'Control Room'!$B$7,('Control Room'!$B$8+'Control Room'!$D$8)/2))+SQRT(1-'Control Room'!$B$9^2)*(AW351-IF('Control Room'!$B$5="Normal",'Control Room'!$B$7,('Control Room'!$B$8+'Control Room'!$D$8)/2))</x:f>
        <x:v>1258.6415704535202</x:v>
      </x:c>
      <x:c r="AY351" s="17" t="n">
        <x:f>IF(AND($A351&gt;='Control Room'!$A$13,$A351&lt;'Control Room'!$A$13+'Control Room'!$B$13,'Process'!BT2=1),1+('Control Room'!$C$13-1)*EXP(-0.5*(($A351-'Control Room'!$A$13-('Control Room'!$B$13-1)/2)/MAX(0.5,'Control Room'!$B$13/4))^2),1)*IF(AND($A351&gt;='Control Room'!$A$14,$A351&lt;'Control Room'!$A$14+'Control Room'!$B$14,'Process'!BT3=1),1+('Control Room'!$C$14-1)*EXP(-0.5*(($A351-'Control Room'!$A$14-('Control Room'!$B$14-1)/2)/MAX(0.5,'Control Room'!$B$14/4))^2),1)*IF(AND($A351&gt;='Control Room'!$A$15,$A351&lt;'Control Room'!$A$15+'Control Room'!$B$15,'Process'!BT4=1),1+('Control Room'!$C$15-1)*EXP(-0.5*(($A351-'Control Room'!$A$15-('Control Room'!$B$15-1)/2)/MAX(0.5,'Control Room'!$B$15/4))^2),1)*IF(AND($A351&gt;='Control Room'!$A$16,$A351&lt;'Control Room'!$A$16+'Control Room'!$B$16,'Process'!BT5=1),1+('Control Room'!$C$16-1)*EXP(-0.5*(($A351-'Control Room'!$A$16-('Control Room'!$B$16-1)/2)/MAX(0.5,'Control Room'!$B$16/4))^2),1)</x:f>
        <x:v>1</x:v>
      </x:c>
      <x:c r="AZ351" s="9" t="n">
        <x:f>MOD(BA350*16807,2147483647)</x:f>
        <x:v>498145795</x:v>
      </x:c>
      <x:c r="BA351" s="9" t="n">
        <x:f>MOD(AZ351*16807,2147483647)</x:f>
        <x:v>1445120559</x:v>
      </x:c>
      <x:c r="BB351" s="17" t="n">
        <x:f>IF('Control Room'!$B$5="Normal",'Control Room'!$B$7+'Control Room'!$D$7*SQRT(-2*LN(MAX(0.000000000001,AZ351/2147483647)))*COS(2*PI()*BA351/2147483647),'Control Room'!$B$8+('Control Room'!$D$8-'Control Room'!$B$8)*AZ351/2147483647)</x:f>
        <x:v>928.3808968749918</x:v>
      </x:c>
      <x:c r="BC351" s="17" t="n">
        <x:f>IF('Control Room'!$B$5="Normal",'Control Room'!$B$7,('Control Room'!$B$8+'Control Room'!$D$8)/2)+'Control Room'!$B$9*(BC350-IF('Control Room'!$B$5="Normal",'Control Room'!$B$7,('Control Room'!$B$8+'Control Room'!$D$8)/2))+SQRT(1-'Control Room'!$B$9^2)*(BB351-IF('Control Room'!$B$5="Normal",'Control Room'!$B$7,('Control Room'!$B$8+'Control Room'!$D$8)/2))</x:f>
        <x:v>972.7081704600439</x:v>
      </x:c>
      <x:c r="BD351" s="17" t="n">
        <x:f>IF(AND($A351&gt;='Control Room'!$A$13,$A351&lt;'Control Room'!$A$13+'Control Room'!$B$13,'Process'!BU2=1),1+('Control Room'!$C$13-1)*EXP(-0.5*(($A351-'Control Room'!$A$13-('Control Room'!$B$13-1)/2)/MAX(0.5,'Control Room'!$B$13/4))^2),1)*IF(AND($A351&gt;='Control Room'!$A$14,$A351&lt;'Control Room'!$A$14+'Control Room'!$B$14,'Process'!BU3=1),1+('Control Room'!$C$14-1)*EXP(-0.5*(($A351-'Control Room'!$A$14-('Control Room'!$B$14-1)/2)/MAX(0.5,'Control Room'!$B$14/4))^2),1)*IF(AND($A351&gt;='Control Room'!$A$15,$A351&lt;'Control Room'!$A$15+'Control Room'!$B$15,'Process'!BU4=1),1+('Control Room'!$C$15-1)*EXP(-0.5*(($A351-'Control Room'!$A$15-('Control Room'!$B$15-1)/2)/MAX(0.5,'Control Room'!$B$15/4))^2),1)*IF(AND($A351&gt;='Control Room'!$A$16,$A351&lt;'Control Room'!$A$16+'Control Room'!$B$16,'Process'!BU5=1),1+('Control Room'!$C$16-1)*EXP(-0.5*(($A351-'Control Room'!$A$16-('Control Room'!$B$16-1)/2)/MAX(0.5,'Control Room'!$B$16/4))^2),1)</x:f>
        <x:v>1</x:v>
      </x:c>
      <x:c r="BE351" s="9" t="n">
        <x:f>MOD(BF350*16807,2147483647)</x:f>
        <x:v>525438446</x:v>
      </x:c>
      <x:c r="BF351" s="9" t="n">
        <x:f>MOD(BE351*16807,2147483647)</x:f>
        <x:v>591205458</x:v>
      </x:c>
      <x:c r="BG351" s="17" t="n">
        <x:f>IF('Control Room'!$B$5="Normal",'Control Room'!$B$7+'Control Room'!$D$7*SQRT(-2*LN(MAX(0.000000000001,BE351/2147483647)))*COS(2*PI()*BF351/2147483647),'Control Room'!$B$8+('Control Room'!$D$8-'Control Room'!$B$8)*BE351/2147483647)</x:f>
        <x:v>976.0929428420363</x:v>
      </x:c>
      <x:c r="BH351" s="17" t="n">
        <x:f>IF('Control Room'!$B$5="Normal",'Control Room'!$B$7,('Control Room'!$B$8+'Control Room'!$D$8)/2)+'Control Room'!$B$9*(BH350-IF('Control Room'!$B$5="Normal",'Control Room'!$B$7,('Control Room'!$B$8+'Control Room'!$D$8)/2))+SQRT(1-'Control Room'!$B$9^2)*(BG351-IF('Control Room'!$B$5="Normal",'Control Room'!$B$7,('Control Room'!$B$8+'Control Room'!$D$8)/2))</x:f>
        <x:v>956.3214996106195</x:v>
      </x:c>
      <x:c r="BI351" s="17" t="n">
        <x:f>IF(AND($A351&gt;='Control Room'!$A$13,$A351&lt;'Control Room'!$A$13+'Control Room'!$B$13,'Process'!BV2=1),1+('Control Room'!$C$13-1)*EXP(-0.5*(($A351-'Control Room'!$A$13-('Control Room'!$B$13-1)/2)/MAX(0.5,'Control Room'!$B$13/4))^2),1)*IF(AND($A351&gt;='Control Room'!$A$14,$A351&lt;'Control Room'!$A$14+'Control Room'!$B$14,'Process'!BV3=1),1+('Control Room'!$C$14-1)*EXP(-0.5*(($A351-'Control Room'!$A$14-('Control Room'!$B$14-1)/2)/MAX(0.5,'Control Room'!$B$14/4))^2),1)*IF(AND($A351&gt;='Control Room'!$A$15,$A351&lt;'Control Room'!$A$15+'Control Room'!$B$15,'Process'!BV4=1),1+('Control Room'!$C$15-1)*EXP(-0.5*(($A351-'Control Room'!$A$15-('Control Room'!$B$15-1)/2)/MAX(0.5,'Control Room'!$B$15/4))^2),1)*IF(AND($A351&gt;='Control Room'!$A$16,$A351&lt;'Control Room'!$A$16+'Control Room'!$B$16,'Process'!BV5=1),1+('Control Room'!$C$16-1)*EXP(-0.5*(($A351-'Control Room'!$A$16-('Control Room'!$B$16-1)/2)/MAX(0.5,'Control Room'!$B$16/4))^2),1)</x:f>
        <x:v>1</x:v>
      </x:c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Z351" t="str">
        <x:f>IF('Data'!A351="","",TEXT('Data'!A351,"mm-dd"))</x:f>
      </x:c>
    </x:row>
    <x:row r="352" ht="21" customHeight="1">
      <x:c r="A352" s="15" t="n">
        <x:f>'Control Room'!$B$1+350</x:f>
        <x:v>73341</x:v>
      </x:c>
      <x:c r="B352" s="9" t="n">
        <x:f>MOD(C351*16807,2147483647)</x:f>
        <x:v>1280083603</x:v>
      </x:c>
      <x:c r="C352" s="9" t="n">
        <x:f>MOD(B352*16807,2147483647)</x:f>
        <x:v>873939975</x:v>
      </x:c>
      <x:c r="D352" s="17" t="n">
        <x:f>IF('Control Room'!$B$5="Normal",'Control Room'!$B$7+'Control Room'!$D$7*SQRT(-2*LN(MAX(0.000000000001,B352/2147483647)))*COS(2*PI()*C352/2147483647),'Control Room'!$B$8+('Control Room'!$D$8-'Control Room'!$B$8)*B352/2147483647)</x:f>
        <x:v>923.6527478917918</x:v>
      </x:c>
      <x:c r="E352" s="17" t="n">
        <x:f>IF('Control Room'!$B$5="Normal",'Control Room'!$B$7,('Control Room'!$B$8+'Control Room'!$D$8)/2)+'Control Room'!$B$9*(E351-IF('Control Room'!$B$5="Normal",'Control Room'!$B$7,('Control Room'!$B$8+'Control Room'!$D$8)/2))+SQRT(1-'Control Room'!$B$9^2)*(D352-IF('Control Room'!$B$5="Normal",'Control Room'!$B$7,('Control Room'!$B$8+'Control Room'!$D$8)/2))</x:f>
        <x:v>855.8724683659021</x:v>
      </x:c>
      <x:c r="F352" s="17" t="n">
        <x:f>IF(AND($A352&gt;='Control Room'!$A$13,$A352&lt;'Control Room'!$A$13+'Control Room'!$B$13,'Process'!BK2=1),1+('Control Room'!$C$13-1)*EXP(-0.5*(($A352-'Control Room'!$A$13-('Control Room'!$B$13-1)/2)/MAX(0.5,'Control Room'!$B$13/4))^2),1)*IF(AND($A352&gt;='Control Room'!$A$14,$A352&lt;'Control Room'!$A$14+'Control Room'!$B$14,'Process'!BK3=1),1+('Control Room'!$C$14-1)*EXP(-0.5*(($A352-'Control Room'!$A$14-('Control Room'!$B$14-1)/2)/MAX(0.5,'Control Room'!$B$14/4))^2),1)*IF(AND($A352&gt;='Control Room'!$A$15,$A352&lt;'Control Room'!$A$15+'Control Room'!$B$15,'Process'!BK4=1),1+('Control Room'!$C$15-1)*EXP(-0.5*(($A352-'Control Room'!$A$15-('Control Room'!$B$15-1)/2)/MAX(0.5,'Control Room'!$B$15/4))^2),1)*IF(AND($A352&gt;='Control Room'!$A$16,$A352&lt;'Control Room'!$A$16+'Control Room'!$B$16,'Process'!BK5=1),1+('Control Room'!$C$16-1)*EXP(-0.5*(($A352-'Control Room'!$A$16-('Control Room'!$B$16-1)/2)/MAX(0.5,'Control Room'!$B$16/4))^2),1)</x:f>
        <x:v>1</x:v>
      </x:c>
      <x:c r="G352" s="9" t="n">
        <x:f>MOD(H351*16807,2147483647)</x:f>
        <x:v>1162193997</x:v>
      </x:c>
      <x:c r="H352" s="9" t="n">
        <x:f>MOD(G352*16807,2147483647)</x:f>
        <x:v>1630738114</x:v>
      </x:c>
      <x:c r="I352" s="17" t="n">
        <x:f>IF('Control Room'!$B$5="Normal",'Control Room'!$B$7+'Control Room'!$D$7*SQRT(-2*LN(MAX(0.000000000001,G352/2147483647)))*COS(2*PI()*H352/2147483647),'Control Room'!$B$8+('Control Room'!$D$8-'Control Room'!$B$8)*G352/2147483647)</x:f>
        <x:v>1005.8692177197187</x:v>
      </x:c>
      <x:c r="J352" s="17" t="n">
        <x:f>IF('Control Room'!$B$5="Normal",'Control Room'!$B$7,('Control Room'!$B$8+'Control Room'!$D$8)/2)+'Control Room'!$B$9*(J351-IF('Control Room'!$B$5="Normal",'Control Room'!$B$7,('Control Room'!$B$8+'Control Room'!$D$8)/2))+SQRT(1-'Control Room'!$B$9^2)*(I352-IF('Control Room'!$B$5="Normal",'Control Room'!$B$7,('Control Room'!$B$8+'Control Room'!$D$8)/2))</x:f>
        <x:v>1026.6732701868098</x:v>
      </x:c>
      <x:c r="K352" s="17" t="n">
        <x:f>IF(AND($A352&gt;='Control Room'!$A$13,$A352&lt;'Control Room'!$A$13+'Control Room'!$B$13,'Process'!BL2=1),1+('Control Room'!$C$13-1)*EXP(-0.5*(($A352-'Control Room'!$A$13-('Control Room'!$B$13-1)/2)/MAX(0.5,'Control Room'!$B$13/4))^2),1)*IF(AND($A352&gt;='Control Room'!$A$14,$A352&lt;'Control Room'!$A$14+'Control Room'!$B$14,'Process'!BL3=1),1+('Control Room'!$C$14-1)*EXP(-0.5*(($A352-'Control Room'!$A$14-('Control Room'!$B$14-1)/2)/MAX(0.5,'Control Room'!$B$14/4))^2),1)*IF(AND($A352&gt;='Control Room'!$A$15,$A352&lt;'Control Room'!$A$15+'Control Room'!$B$15,'Process'!BL4=1),1+('Control Room'!$C$15-1)*EXP(-0.5*(($A352-'Control Room'!$A$15-('Control Room'!$B$15-1)/2)/MAX(0.5,'Control Room'!$B$15/4))^2),1)*IF(AND($A352&gt;='Control Room'!$A$16,$A352&lt;'Control Room'!$A$16+'Control Room'!$B$16,'Process'!BL5=1),1+('Control Room'!$C$16-1)*EXP(-0.5*(($A352-'Control Room'!$A$16-('Control Room'!$B$16-1)/2)/MAX(0.5,'Control Room'!$B$16/4))^2),1)</x:f>
        <x:v>1</x:v>
      </x:c>
      <x:c r="L352" s="9" t="n">
        <x:f>MOD(M351*16807,2147483647)</x:f>
        <x:v>1044304391</x:v>
      </x:c>
      <x:c r="M352" s="9" t="n">
        <x:f>MOD(L352*16807,2147483647)</x:f>
        <x:v>240052606</x:v>
      </x:c>
      <x:c r="N352" s="17" t="n">
        <x:f>IF('Control Room'!$B$5="Normal",'Control Room'!$B$7+'Control Room'!$D$7*SQRT(-2*LN(MAX(0.000000000001,L352/2147483647)))*COS(2*PI()*M352/2147483647),'Control Room'!$B$8+('Control Room'!$D$8-'Control Room'!$B$8)*L352/2147483647)</x:f>
        <x:v>1082.4930309970957</x:v>
      </x:c>
      <x:c r="O352" s="17" t="n">
        <x:f>IF('Control Room'!$B$5="Normal",'Control Room'!$B$7,('Control Room'!$B$8+'Control Room'!$D$8)/2)+'Control Room'!$B$9*(O351-IF('Control Room'!$B$5="Normal",'Control Room'!$B$7,('Control Room'!$B$8+'Control Room'!$D$8)/2))+SQRT(1-'Control Room'!$B$9^2)*(N352-IF('Control Room'!$B$5="Normal",'Control Room'!$B$7,('Control Room'!$B$8+'Control Room'!$D$8)/2))</x:f>
        <x:v>1111.5697962047798</x:v>
      </x:c>
      <x:c r="P352" s="17" t="n">
        <x:f>IF(AND($A352&gt;='Control Room'!$A$13,$A352&lt;'Control Room'!$A$13+'Control Room'!$B$13,'Process'!BM2=1),1+('Control Room'!$C$13-1)*EXP(-0.5*(($A352-'Control Room'!$A$13-('Control Room'!$B$13-1)/2)/MAX(0.5,'Control Room'!$B$13/4))^2),1)*IF(AND($A352&gt;='Control Room'!$A$14,$A352&lt;'Control Room'!$A$14+'Control Room'!$B$14,'Process'!BM3=1),1+('Control Room'!$C$14-1)*EXP(-0.5*(($A352-'Control Room'!$A$14-('Control Room'!$B$14-1)/2)/MAX(0.5,'Control Room'!$B$14/4))^2),1)*IF(AND($A352&gt;='Control Room'!$A$15,$A352&lt;'Control Room'!$A$15+'Control Room'!$B$15,'Process'!BM4=1),1+('Control Room'!$C$15-1)*EXP(-0.5*(($A352-'Control Room'!$A$15-('Control Room'!$B$15-1)/2)/MAX(0.5,'Control Room'!$B$15/4))^2),1)*IF(AND($A352&gt;='Control Room'!$A$16,$A352&lt;'Control Room'!$A$16+'Control Room'!$B$16,'Process'!BM5=1),1+('Control Room'!$C$16-1)*EXP(-0.5*(($A352-'Control Room'!$A$16-('Control Room'!$B$16-1)/2)/MAX(0.5,'Control Room'!$B$16/4))^2),1)</x:f>
        <x:v>1</x:v>
      </x:c>
      <x:c r="Q352" s="9" t="n">
        <x:f>MOD(R351*16807,2147483647)</x:f>
        <x:v>926414785</x:v>
      </x:c>
      <x:c r="R352" s="9" t="n">
        <x:f>MOD(Q352*16807,2147483647)</x:f>
        <x:v>996850745</x:v>
      </x:c>
      <x:c r="S352" s="17" t="n">
        <x:f>IF('Control Room'!$B$5="Normal",'Control Room'!$B$7+'Control Room'!$D$7*SQRT(-2*LN(MAX(0.000000000001,Q352/2147483647)))*COS(2*PI()*R352/2147483647),'Control Room'!$B$8+('Control Room'!$D$8-'Control Room'!$B$8)*Q352/2147483647)</x:f>
        <x:v>886.2368575222472</x:v>
      </x:c>
      <x:c r="T352" s="17" t="n">
        <x:f>IF('Control Room'!$B$5="Normal",'Control Room'!$B$7,('Control Room'!$B$8+'Control Room'!$D$8)/2)+'Control Room'!$B$9*(T351-IF('Control Room'!$B$5="Normal",'Control Room'!$B$7,('Control Room'!$B$8+'Control Room'!$D$8)/2))+SQRT(1-'Control Room'!$B$9^2)*(S352-IF('Control Room'!$B$5="Normal",'Control Room'!$B$7,('Control Room'!$B$8+'Control Room'!$D$8)/2))</x:f>
        <x:v>856.2428069812736</x:v>
      </x:c>
      <x:c r="U352" s="17" t="n">
        <x:f>IF(AND($A352&gt;='Control Room'!$A$13,$A352&lt;'Control Room'!$A$13+'Control Room'!$B$13,'Process'!BN2=1),1+('Control Room'!$C$13-1)*EXP(-0.5*(($A352-'Control Room'!$A$13-('Control Room'!$B$13-1)/2)/MAX(0.5,'Control Room'!$B$13/4))^2),1)*IF(AND($A352&gt;='Control Room'!$A$14,$A352&lt;'Control Room'!$A$14+'Control Room'!$B$14,'Process'!BN3=1),1+('Control Room'!$C$14-1)*EXP(-0.5*(($A352-'Control Room'!$A$14-('Control Room'!$B$14-1)/2)/MAX(0.5,'Control Room'!$B$14/4))^2),1)*IF(AND($A352&gt;='Control Room'!$A$15,$A352&lt;'Control Room'!$A$15+'Control Room'!$B$15,'Process'!BN4=1),1+('Control Room'!$C$15-1)*EXP(-0.5*(($A352-'Control Room'!$A$15-('Control Room'!$B$15-1)/2)/MAX(0.5,'Control Room'!$B$15/4))^2),1)*IF(AND($A352&gt;='Control Room'!$A$16,$A352&lt;'Control Room'!$A$16+'Control Room'!$B$16,'Process'!BN5=1),1+('Control Room'!$C$16-1)*EXP(-0.5*(($A352-'Control Room'!$A$16-('Control Room'!$B$16-1)/2)/MAX(0.5,'Control Room'!$B$16/4))^2),1)</x:f>
        <x:v>1</x:v>
      </x:c>
      <x:c r="V352" s="9" t="n">
        <x:f>MOD(W351*16807,2147483647)</x:f>
        <x:v>808525179</x:v>
      </x:c>
      <x:c r="W352" s="9" t="n">
        <x:f>MOD(V352*16807,2147483647)</x:f>
        <x:v>1753648884</x:v>
      </x:c>
      <x:c r="X352" s="17" t="n">
        <x:f>IF('Control Room'!$B$5="Normal",'Control Room'!$B$7+'Control Room'!$D$7*SQRT(-2*LN(MAX(0.000000000001,V352/2147483647)))*COS(2*PI()*W352/2147483647),'Control Room'!$B$8+('Control Room'!$D$8-'Control Room'!$B$8)*V352/2147483647)</x:f>
        <x:v>1051.1226079178005</x:v>
      </x:c>
      <x:c r="Y352" s="17" t="n">
        <x:f>IF('Control Room'!$B$5="Normal",'Control Room'!$B$7,('Control Room'!$B$8+'Control Room'!$D$8)/2)+'Control Room'!$B$9*(Y351-IF('Control Room'!$B$5="Normal",'Control Room'!$B$7,('Control Room'!$B$8+'Control Room'!$D$8)/2))+SQRT(1-'Control Room'!$B$9^2)*(X352-IF('Control Room'!$B$5="Normal",'Control Room'!$B$7,('Control Room'!$B$8+'Control Room'!$D$8)/2))</x:f>
        <x:v>1158.5732717928097</x:v>
      </x:c>
      <x:c r="Z352" s="17" t="n">
        <x:f>IF(AND($A352&gt;='Control Room'!$A$13,$A352&lt;'Control Room'!$A$13+'Control Room'!$B$13,'Process'!BO2=1),1+('Control Room'!$C$13-1)*EXP(-0.5*(($A352-'Control Room'!$A$13-('Control Room'!$B$13-1)/2)/MAX(0.5,'Control Room'!$B$13/4))^2),1)*IF(AND($A352&gt;='Control Room'!$A$14,$A352&lt;'Control Room'!$A$14+'Control Room'!$B$14,'Process'!BO3=1),1+('Control Room'!$C$14-1)*EXP(-0.5*(($A352-'Control Room'!$A$14-('Control Room'!$B$14-1)/2)/MAX(0.5,'Control Room'!$B$14/4))^2),1)*IF(AND($A352&gt;='Control Room'!$A$15,$A352&lt;'Control Room'!$A$15+'Control Room'!$B$15,'Process'!BO4=1),1+('Control Room'!$C$15-1)*EXP(-0.5*(($A352-'Control Room'!$A$15-('Control Room'!$B$15-1)/2)/MAX(0.5,'Control Room'!$B$15/4))^2),1)*IF(AND($A352&gt;='Control Room'!$A$16,$A352&lt;'Control Room'!$A$16+'Control Room'!$B$16,'Process'!BO5=1),1+('Control Room'!$C$16-1)*EXP(-0.5*(($A352-'Control Room'!$A$16-('Control Room'!$B$16-1)/2)/MAX(0.5,'Control Room'!$B$16/4))^2),1)</x:f>
        <x:v>1</x:v>
      </x:c>
      <x:c r="AA352" s="9" t="n">
        <x:f>MOD(AB351*16807,2147483647)</x:f>
        <x:v>690635573</x:v>
      </x:c>
      <x:c r="AB352" s="9" t="n">
        <x:f>MOD(AA352*16807,2147483647)</x:f>
        <x:v>362963376</x:v>
      </x:c>
      <x:c r="AC352" s="17" t="n">
        <x:f>IF('Control Room'!$B$5="Normal",'Control Room'!$B$7+'Control Room'!$D$7*SQRT(-2*LN(MAX(0.000000000001,AA352/2147483647)))*COS(2*PI()*AB352/2147483647),'Control Room'!$B$8+('Control Room'!$D$8-'Control Room'!$B$8)*AA352/2147483647)</x:f>
        <x:v>1066.0407773709208</x:v>
      </x:c>
      <x:c r="AD352" s="17" t="n">
        <x:f>IF('Control Room'!$B$5="Normal",'Control Room'!$B$7,('Control Room'!$B$8+'Control Room'!$D$8)/2)+'Control Room'!$B$9*(AD351-IF('Control Room'!$B$5="Normal",'Control Room'!$B$7,('Control Room'!$B$8+'Control Room'!$D$8)/2))+SQRT(1-'Control Room'!$B$9^2)*(AC352-IF('Control Room'!$B$5="Normal",'Control Room'!$B$7,('Control Room'!$B$8+'Control Room'!$D$8)/2))</x:f>
        <x:v>857.2755205434778</x:v>
      </x:c>
      <x:c r="AE352" s="17" t="n">
        <x:f>IF(AND($A352&gt;='Control Room'!$A$13,$A352&lt;'Control Room'!$A$13+'Control Room'!$B$13,'Process'!BP2=1),1+('Control Room'!$C$13-1)*EXP(-0.5*(($A352-'Control Room'!$A$13-('Control Room'!$B$13-1)/2)/MAX(0.5,'Control Room'!$B$13/4))^2),1)*IF(AND($A352&gt;='Control Room'!$A$14,$A352&lt;'Control Room'!$A$14+'Control Room'!$B$14,'Process'!BP3=1),1+('Control Room'!$C$14-1)*EXP(-0.5*(($A352-'Control Room'!$A$14-('Control Room'!$B$14-1)/2)/MAX(0.5,'Control Room'!$B$14/4))^2),1)*IF(AND($A352&gt;='Control Room'!$A$15,$A352&lt;'Control Room'!$A$15+'Control Room'!$B$15,'Process'!BP4=1),1+('Control Room'!$C$15-1)*EXP(-0.5*(($A352-'Control Room'!$A$15-('Control Room'!$B$15-1)/2)/MAX(0.5,'Control Room'!$B$15/4))^2),1)*IF(AND($A352&gt;='Control Room'!$A$16,$A352&lt;'Control Room'!$A$16+'Control Room'!$B$16,'Process'!BP5=1),1+('Control Room'!$C$16-1)*EXP(-0.5*(($A352-'Control Room'!$A$16-('Control Room'!$B$16-1)/2)/MAX(0.5,'Control Room'!$B$16/4))^2),1)</x:f>
        <x:v>1</x:v>
      </x:c>
      <x:c r="AF352" s="9" t="n">
        <x:f>MOD(AG351*16807,2147483647)</x:f>
        <x:v>572745967</x:v>
      </x:c>
      <x:c r="AG352" s="9" t="n">
        <x:f>MOD(AF352*16807,2147483647)</x:f>
        <x:v>1119761515</x:v>
      </x:c>
      <x:c r="AH352" s="17" t="n">
        <x:f>IF('Control Room'!$B$5="Normal",'Control Room'!$B$7+'Control Room'!$D$7*SQRT(-2*LN(MAX(0.000000000001,AF352/2147483647)))*COS(2*PI()*AG352/2147483647),'Control Room'!$B$8+('Control Room'!$D$8-'Control Room'!$B$8)*AF352/2147483647)</x:f>
        <x:v>855.0025424251488</x:v>
      </x:c>
      <x:c r="AI352" s="17" t="n">
        <x:f>IF('Control Room'!$B$5="Normal",'Control Room'!$B$7,('Control Room'!$B$8+'Control Room'!$D$8)/2)+'Control Room'!$B$9*(AI351-IF('Control Room'!$B$5="Normal",'Control Room'!$B$7,('Control Room'!$B$8+'Control Room'!$D$8)/2))+SQRT(1-'Control Room'!$B$9^2)*(AH352-IF('Control Room'!$B$5="Normal",'Control Room'!$B$7,('Control Room'!$B$8+'Control Room'!$D$8)/2))</x:f>
        <x:v>952.9466584623129</x:v>
      </x:c>
      <x:c r="AJ352" s="17" t="n">
        <x:f>IF(AND($A352&gt;='Control Room'!$A$13,$A352&lt;'Control Room'!$A$13+'Control Room'!$B$13,'Process'!BQ2=1),1+('Control Room'!$C$13-1)*EXP(-0.5*(($A352-'Control Room'!$A$13-('Control Room'!$B$13-1)/2)/MAX(0.5,'Control Room'!$B$13/4))^2),1)*IF(AND($A352&gt;='Control Room'!$A$14,$A352&lt;'Control Room'!$A$14+'Control Room'!$B$14,'Process'!BQ3=1),1+('Control Room'!$C$14-1)*EXP(-0.5*(($A352-'Control Room'!$A$14-('Control Room'!$B$14-1)/2)/MAX(0.5,'Control Room'!$B$14/4))^2),1)*IF(AND($A352&gt;='Control Room'!$A$15,$A352&lt;'Control Room'!$A$15+'Control Room'!$B$15,'Process'!BQ4=1),1+('Control Room'!$C$15-1)*EXP(-0.5*(($A352-'Control Room'!$A$15-('Control Room'!$B$15-1)/2)/MAX(0.5,'Control Room'!$B$15/4))^2),1)*IF(AND($A352&gt;='Control Room'!$A$16,$A352&lt;'Control Room'!$A$16+'Control Room'!$B$16,'Process'!BQ5=1),1+('Control Room'!$C$16-1)*EXP(-0.5*(($A352-'Control Room'!$A$16-('Control Room'!$B$16-1)/2)/MAX(0.5,'Control Room'!$B$16/4))^2),1)</x:f>
        <x:v>1</x:v>
      </x:c>
      <x:c r="AK352" s="9" t="n">
        <x:f>MOD(AL351*16807,2147483647)</x:f>
        <x:v>454856361</x:v>
      </x:c>
      <x:c r="AL352" s="9" t="n">
        <x:f>MOD(AK352*16807,2147483647)</x:f>
        <x:v>1876559654</x:v>
      </x:c>
      <x:c r="AM352" s="17" t="n">
        <x:f>IF('Control Room'!$B$5="Normal",'Control Room'!$B$7+'Control Room'!$D$7*SQRT(-2*LN(MAX(0.000000000001,AK352/2147483647)))*COS(2*PI()*AL352/2147483647),'Control Room'!$B$8+('Control Room'!$D$8-'Control Room'!$B$8)*AK352/2147483647)</x:f>
        <x:v>1111.3045595065496</x:v>
      </x:c>
      <x:c r="AN352" s="17" t="n">
        <x:f>IF('Control Room'!$B$5="Normal",'Control Room'!$B$7,('Control Room'!$B$8+'Control Room'!$D$8)/2)+'Control Room'!$B$9*(AN351-IF('Control Room'!$B$5="Normal",'Control Room'!$B$7,('Control Room'!$B$8+'Control Room'!$D$8)/2))+SQRT(1-'Control Room'!$B$9^2)*(AM352-IF('Control Room'!$B$5="Normal",'Control Room'!$B$7,('Control Room'!$B$8+'Control Room'!$D$8)/2))</x:f>
        <x:v>1157.0229131603778</x:v>
      </x:c>
      <x:c r="AO352" s="17" t="n">
        <x:f>IF(AND($A352&gt;='Control Room'!$A$13,$A352&lt;'Control Room'!$A$13+'Control Room'!$B$13,'Process'!BR2=1),1+('Control Room'!$C$13-1)*EXP(-0.5*(($A352-'Control Room'!$A$13-('Control Room'!$B$13-1)/2)/MAX(0.5,'Control Room'!$B$13/4))^2),1)*IF(AND($A352&gt;='Control Room'!$A$14,$A352&lt;'Control Room'!$A$14+'Control Room'!$B$14,'Process'!BR3=1),1+('Control Room'!$C$14-1)*EXP(-0.5*(($A352-'Control Room'!$A$14-('Control Room'!$B$14-1)/2)/MAX(0.5,'Control Room'!$B$14/4))^2),1)*IF(AND($A352&gt;='Control Room'!$A$15,$A352&lt;'Control Room'!$A$15+'Control Room'!$B$15,'Process'!BR4=1),1+('Control Room'!$C$15-1)*EXP(-0.5*(($A352-'Control Room'!$A$15-('Control Room'!$B$15-1)/2)/MAX(0.5,'Control Room'!$B$15/4))^2),1)*IF(AND($A352&gt;='Control Room'!$A$16,$A352&lt;'Control Room'!$A$16+'Control Room'!$B$16,'Process'!BR5=1),1+('Control Room'!$C$16-1)*EXP(-0.5*(($A352-'Control Room'!$A$16-('Control Room'!$B$16-1)/2)/MAX(0.5,'Control Room'!$B$16/4))^2),1)</x:f>
        <x:v>1</x:v>
      </x:c>
      <x:c r="AP352" s="9" t="n">
        <x:f>MOD(AQ351*16807,2147483647)</x:f>
        <x:v>336966755</x:v>
      </x:c>
      <x:c r="AQ352" s="9" t="n">
        <x:f>MOD(AP352*16807,2147483647)</x:f>
        <x:v>485874146</x:v>
      </x:c>
      <x:c r="AR352" s="17" t="n">
        <x:f>IF('Control Room'!$B$5="Normal",'Control Room'!$B$7+'Control Room'!$D$7*SQRT(-2*LN(MAX(0.000000000001,AP352/2147483647)))*COS(2*PI()*AQ352/2147483647),'Control Room'!$B$8+('Control Room'!$D$8-'Control Room'!$B$8)*AP352/2147483647)</x:f>
        <x:v>1025.7493296432872</x:v>
      </x:c>
      <x:c r="AS352" s="17" t="n">
        <x:f>IF('Control Room'!$B$5="Normal",'Control Room'!$B$7,('Control Room'!$B$8+'Control Room'!$D$8)/2)+'Control Room'!$B$9*(AS351-IF('Control Room'!$B$5="Normal",'Control Room'!$B$7,('Control Room'!$B$8+'Control Room'!$D$8)/2))+SQRT(1-'Control Room'!$B$9^2)*(AR352-IF('Control Room'!$B$5="Normal",'Control Room'!$B$7,('Control Room'!$B$8+'Control Room'!$D$8)/2))</x:f>
        <x:v>913.6552792010418</x:v>
      </x:c>
      <x:c r="AT352" s="17" t="n">
        <x:f>IF(AND($A352&gt;='Control Room'!$A$13,$A352&lt;'Control Room'!$A$13+'Control Room'!$B$13,'Process'!BS2=1),1+('Control Room'!$C$13-1)*EXP(-0.5*(($A352-'Control Room'!$A$13-('Control Room'!$B$13-1)/2)/MAX(0.5,'Control Room'!$B$13/4))^2),1)*IF(AND($A352&gt;='Control Room'!$A$14,$A352&lt;'Control Room'!$A$14+'Control Room'!$B$14,'Process'!BS3=1),1+('Control Room'!$C$14-1)*EXP(-0.5*(($A352-'Control Room'!$A$14-('Control Room'!$B$14-1)/2)/MAX(0.5,'Control Room'!$B$14/4))^2),1)*IF(AND($A352&gt;='Control Room'!$A$15,$A352&lt;'Control Room'!$A$15+'Control Room'!$B$15,'Process'!BS4=1),1+('Control Room'!$C$15-1)*EXP(-0.5*(($A352-'Control Room'!$A$15-('Control Room'!$B$15-1)/2)/MAX(0.5,'Control Room'!$B$15/4))^2),1)*IF(AND($A352&gt;='Control Room'!$A$16,$A352&lt;'Control Room'!$A$16+'Control Room'!$B$16,'Process'!BS5=1),1+('Control Room'!$C$16-1)*EXP(-0.5*(($A352-'Control Room'!$A$16-('Control Room'!$B$16-1)/2)/MAX(0.5,'Control Room'!$B$16/4))^2),1)</x:f>
        <x:v>1</x:v>
      </x:c>
      <x:c r="AU352" s="9" t="n">
        <x:f>MOD(AV351*16807,2147483647)</x:f>
        <x:v>219077149</x:v>
      </x:c>
      <x:c r="AV352" s="9" t="n">
        <x:f>MOD(AU352*16807,2147483647)</x:f>
        <x:v>1242672285</x:v>
      </x:c>
      <x:c r="AW352" s="17" t="n">
        <x:f>IF('Control Room'!$B$5="Normal",'Control Room'!$B$7+'Control Room'!$D$7*SQRT(-2*LN(MAX(0.000000000001,AU352/2147483647)))*COS(2*PI()*AV352/2147483647),'Control Room'!$B$8+('Control Room'!$D$8-'Control Room'!$B$8)*AU352/2147483647)</x:f>
        <x:v>830.7163620781652</x:v>
      </x:c>
      <x:c r="AX352" s="17" t="n">
        <x:f>IF('Control Room'!$B$5="Normal",'Control Room'!$B$7,('Control Room'!$B$8+'Control Room'!$D$8)/2)+'Control Room'!$B$9*(AX351-IF('Control Room'!$B$5="Normal",'Control Room'!$B$7,('Control Room'!$B$8+'Control Room'!$D$8)/2))+SQRT(1-'Control Room'!$B$9^2)*(AW352-IF('Control Room'!$B$5="Normal",'Control Room'!$B$7,('Control Room'!$B$8+'Control Room'!$D$8)/2))</x:f>
        <x:v>1095.806192306085</x:v>
      </x:c>
      <x:c r="AY352" s="17" t="n">
        <x:f>IF(AND($A352&gt;='Control Room'!$A$13,$A352&lt;'Control Room'!$A$13+'Control Room'!$B$13,'Process'!BT2=1),1+('Control Room'!$C$13-1)*EXP(-0.5*(($A352-'Control Room'!$A$13-('Control Room'!$B$13-1)/2)/MAX(0.5,'Control Room'!$B$13/4))^2),1)*IF(AND($A352&gt;='Control Room'!$A$14,$A352&lt;'Control Room'!$A$14+'Control Room'!$B$14,'Process'!BT3=1),1+('Control Room'!$C$14-1)*EXP(-0.5*(($A352-'Control Room'!$A$14-('Control Room'!$B$14-1)/2)/MAX(0.5,'Control Room'!$B$14/4))^2),1)*IF(AND($A352&gt;='Control Room'!$A$15,$A352&lt;'Control Room'!$A$15+'Control Room'!$B$15,'Process'!BT4=1),1+('Control Room'!$C$15-1)*EXP(-0.5*(($A352-'Control Room'!$A$15-('Control Room'!$B$15-1)/2)/MAX(0.5,'Control Room'!$B$15/4))^2),1)*IF(AND($A352&gt;='Control Room'!$A$16,$A352&lt;'Control Room'!$A$16+'Control Room'!$B$16,'Process'!BT5=1),1+('Control Room'!$C$16-1)*EXP(-0.5*(($A352-'Control Room'!$A$16-('Control Room'!$B$16-1)/2)/MAX(0.5,'Control Room'!$B$16/4))^2),1)</x:f>
        <x:v>1</x:v>
      </x:c>
      <x:c r="AZ352" s="9" t="n">
        <x:f>MOD(BA351*16807,2147483647)</x:f>
        <x:v>101187543</x:v>
      </x:c>
      <x:c r="BA352" s="9" t="n">
        <x:f>MOD(AZ352*16807,2147483647)</x:f>
        <x:v>1999470424</x:v>
      </x:c>
      <x:c r="BB352" s="17" t="n">
        <x:f>IF('Control Room'!$B$5="Normal",'Control Room'!$B$7+'Control Room'!$D$7*SQRT(-2*LN(MAX(0.000000000001,AZ352/2147483647)))*COS(2*PI()*BA352/2147483647),'Control Room'!$B$8+('Control Room'!$D$8-'Control Room'!$B$8)*AZ352/2147483647)</x:f>
        <x:v>1201.9312944553524</x:v>
      </x:c>
      <x:c r="BC352" s="17" t="n">
        <x:f>IF('Control Room'!$B$5="Normal",'Control Room'!$B$7,('Control Room'!$B$8+'Control Room'!$D$8)/2)+'Control Room'!$B$9*(BC351-IF('Control Room'!$B$5="Normal",'Control Room'!$B$7,('Control Room'!$B$8+'Control Room'!$D$8)/2))+SQRT(1-'Control Room'!$B$9^2)*(BB352-IF('Control Room'!$B$5="Normal",'Control Room'!$B$7,('Control Room'!$B$8+'Control Room'!$D$8)/2))</x:f>
        <x:v>1105.0768402415724</x:v>
      </x:c>
      <x:c r="BD352" s="17" t="n">
        <x:f>IF(AND($A352&gt;='Control Room'!$A$13,$A352&lt;'Control Room'!$A$13+'Control Room'!$B$13,'Process'!BU2=1),1+('Control Room'!$C$13-1)*EXP(-0.5*(($A352-'Control Room'!$A$13-('Control Room'!$B$13-1)/2)/MAX(0.5,'Control Room'!$B$13/4))^2),1)*IF(AND($A352&gt;='Control Room'!$A$14,$A352&lt;'Control Room'!$A$14+'Control Room'!$B$14,'Process'!BU3=1),1+('Control Room'!$C$14-1)*EXP(-0.5*(($A352-'Control Room'!$A$14-('Control Room'!$B$14-1)/2)/MAX(0.5,'Control Room'!$B$14/4))^2),1)*IF(AND($A352&gt;='Control Room'!$A$15,$A352&lt;'Control Room'!$A$15+'Control Room'!$B$15,'Process'!BU4=1),1+('Control Room'!$C$15-1)*EXP(-0.5*(($A352-'Control Room'!$A$15-('Control Room'!$B$15-1)/2)/MAX(0.5,'Control Room'!$B$15/4))^2),1)*IF(AND($A352&gt;='Control Room'!$A$16,$A352&lt;'Control Room'!$A$16+'Control Room'!$B$16,'Process'!BU5=1),1+('Control Room'!$C$16-1)*EXP(-0.5*(($A352-'Control Room'!$A$16-('Control Room'!$B$16-1)/2)/MAX(0.5,'Control Room'!$B$16/4))^2),1)</x:f>
        <x:v>1</x:v>
      </x:c>
      <x:c r="BE352" s="9" t="n">
        <x:f>MOD(BF351*16807,2147483647)</x:f>
        <x:v>2130781584</x:v>
      </x:c>
      <x:c r="BF352" s="9" t="n">
        <x:f>MOD(BE352*16807,2147483647)</x:f>
        <x:v>608784916</x:v>
      </x:c>
      <x:c r="BG352" s="17" t="n">
        <x:f>IF('Control Room'!$B$5="Normal",'Control Room'!$B$7+'Control Room'!$D$7*SQRT(-2*LN(MAX(0.000000000001,BE352/2147483647)))*COS(2*PI()*BF352/2147483647),'Control Room'!$B$8+('Control Room'!$D$8-'Control Room'!$B$8)*BE352/2147483647)</x:f>
        <x:v>997.6510214633811</x:v>
      </x:c>
      <x:c r="BH352" s="17" t="n">
        <x:f>IF('Control Room'!$B$5="Normal",'Control Room'!$B$7,('Control Room'!$B$8+'Control Room'!$D$8)/2)+'Control Room'!$B$9*(BH351-IF('Control Room'!$B$5="Normal",'Control Room'!$B$7,('Control Room'!$B$8+'Control Room'!$D$8)/2))+SQRT(1-'Control Room'!$B$9^2)*(BG352-IF('Control Room'!$B$5="Normal",'Control Room'!$B$7,('Control Room'!$B$8+'Control Room'!$D$8)/2))</x:f>
        <x:v>964.4608270495081</x:v>
      </x:c>
      <x:c r="BI352" s="17" t="n">
        <x:f>IF(AND($A352&gt;='Control Room'!$A$13,$A352&lt;'Control Room'!$A$13+'Control Room'!$B$13,'Process'!BV2=1),1+('Control Room'!$C$13-1)*EXP(-0.5*(($A352-'Control Room'!$A$13-('Control Room'!$B$13-1)/2)/MAX(0.5,'Control Room'!$B$13/4))^2),1)*IF(AND($A352&gt;='Control Room'!$A$14,$A352&lt;'Control Room'!$A$14+'Control Room'!$B$14,'Process'!BV3=1),1+('Control Room'!$C$14-1)*EXP(-0.5*(($A352-'Control Room'!$A$14-('Control Room'!$B$14-1)/2)/MAX(0.5,'Control Room'!$B$14/4))^2),1)*IF(AND($A352&gt;='Control Room'!$A$15,$A352&lt;'Control Room'!$A$15+'Control Room'!$B$15,'Process'!BV4=1),1+('Control Room'!$C$15-1)*EXP(-0.5*(($A352-'Control Room'!$A$15-('Control Room'!$B$15-1)/2)/MAX(0.5,'Control Room'!$B$15/4))^2),1)*IF(AND($A352&gt;='Control Room'!$A$16,$A352&lt;'Control Room'!$A$16+'Control Room'!$B$16,'Process'!BV5=1),1+('Control Room'!$C$16-1)*EXP(-0.5*(($A352-'Control Room'!$A$16-('Control Room'!$B$16-1)/2)/MAX(0.5,'Control Room'!$B$16/4))^2),1)</x:f>
        <x:v>1</x:v>
      </x:c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Z352" t="str">
        <x:f>IF('Data'!A352="","",TEXT('Data'!A352,"mm-dd"))</x:f>
      </x:c>
    </x:row>
    <x:row r="353" ht="21" customHeight="1">
      <x:c r="A353" s="15" t="n">
        <x:f>'Control Room'!$B$1+351</x:f>
        <x:v>73342</x:v>
      </x:c>
      <x:c r="B353" s="9" t="n">
        <x:f>MOD(C352*16807,2147483647)</x:f>
        <x:v>1668497992</x:v>
      </x:c>
      <x:c r="C353" s="9" t="n">
        <x:f>MOD(B353*16807,2147483647)</x:f>
        <x:v>604289018</x:v>
      </x:c>
      <x:c r="D353" s="17" t="n">
        <x:f>IF('Control Room'!$B$5="Normal",'Control Room'!$B$7+'Control Room'!$D$7*SQRT(-2*LN(MAX(0.000000000001,B353/2147483647)))*COS(2*PI()*C353/2147483647),'Control Room'!$B$8+('Control Room'!$D$8-'Control Room'!$B$8)*B353/2147483647)</x:f>
        <x:v>987.4690081429065</x:v>
      </x:c>
      <x:c r="E353" s="17" t="n">
        <x:f>IF('Control Room'!$B$5="Normal",'Control Room'!$B$7,('Control Room'!$B$8+'Control Room'!$D$8)/2)+'Control Room'!$B$9*(E352-IF('Control Room'!$B$5="Normal",'Control Room'!$B$7,('Control Room'!$B$8+'Control Room'!$D$8)/2))+SQRT(1-'Control Room'!$B$9^2)*(D353-IF('Control Room'!$B$5="Normal",'Control Room'!$B$7,('Control Room'!$B$8+'Control Room'!$D$8)/2))</x:f>
        <x:v>879.7388873325563</x:v>
      </x:c>
      <x:c r="F353" s="17" t="n">
        <x:f>IF(AND($A353&gt;='Control Room'!$A$13,$A353&lt;'Control Room'!$A$13+'Control Room'!$B$13,'Process'!BK2=1),1+('Control Room'!$C$13-1)*EXP(-0.5*(($A353-'Control Room'!$A$13-('Control Room'!$B$13-1)/2)/MAX(0.5,'Control Room'!$B$13/4))^2),1)*IF(AND($A353&gt;='Control Room'!$A$14,$A353&lt;'Control Room'!$A$14+'Control Room'!$B$14,'Process'!BK3=1),1+('Control Room'!$C$14-1)*EXP(-0.5*(($A353-'Control Room'!$A$14-('Control Room'!$B$14-1)/2)/MAX(0.5,'Control Room'!$B$14/4))^2),1)*IF(AND($A353&gt;='Control Room'!$A$15,$A353&lt;'Control Room'!$A$15+'Control Room'!$B$15,'Process'!BK4=1),1+('Control Room'!$C$15-1)*EXP(-0.5*(($A353-'Control Room'!$A$15-('Control Room'!$B$15-1)/2)/MAX(0.5,'Control Room'!$B$15/4))^2),1)*IF(AND($A353&gt;='Control Room'!$A$16,$A353&lt;'Control Room'!$A$16+'Control Room'!$B$16,'Process'!BK5=1),1+('Control Room'!$C$16-1)*EXP(-0.5*(($A353-'Control Room'!$A$16-('Control Room'!$B$16-1)/2)/MAX(0.5,'Control Room'!$B$16/4))^2),1)</x:f>
        <x:v>1</x:v>
      </x:c>
      <x:c r="G353" s="9" t="n">
        <x:f>MOD(H352*16807,2147483647)</x:f>
        <x:v>1629178984</x:v>
      </x:c>
      <x:c r="H353" s="9" t="n">
        <x:f>MOD(G353*16807,2147483647)</x:f>
        <x:v>1194684838</x:v>
      </x:c>
      <x:c r="I353" s="17" t="n">
        <x:f>IF('Control Room'!$B$5="Normal",'Control Room'!$B$7+'Control Room'!$D$7*SQRT(-2*LN(MAX(0.000000000001,G353/2147483647)))*COS(2*PI()*H353/2147483647),'Control Room'!$B$8+('Control Room'!$D$8-'Control Room'!$B$8)*G353/2147483647)</x:f>
        <x:v>937.2508359462279</x:v>
      </x:c>
      <x:c r="J353" s="17" t="n">
        <x:f>IF('Control Room'!$B$5="Normal",'Control Room'!$B$7,('Control Room'!$B$8+'Control Room'!$D$8)/2)+'Control Room'!$B$9*(J352-IF('Control Room'!$B$5="Normal",'Control Room'!$B$7,('Control Room'!$B$8+'Control Room'!$D$8)/2))+SQRT(1-'Control Room'!$B$9^2)*(I353-IF('Control Room'!$B$5="Normal",'Control Room'!$B$7,('Control Room'!$B$8+'Control Room'!$D$8)/2))</x:f>
        <x:v>981.5380093673591</x:v>
      </x:c>
      <x:c r="K353" s="17" t="n">
        <x:f>IF(AND($A353&gt;='Control Room'!$A$13,$A353&lt;'Control Room'!$A$13+'Control Room'!$B$13,'Process'!BL2=1),1+('Control Room'!$C$13-1)*EXP(-0.5*(($A353-'Control Room'!$A$13-('Control Room'!$B$13-1)/2)/MAX(0.5,'Control Room'!$B$13/4))^2),1)*IF(AND($A353&gt;='Control Room'!$A$14,$A353&lt;'Control Room'!$A$14+'Control Room'!$B$14,'Process'!BL3=1),1+('Control Room'!$C$14-1)*EXP(-0.5*(($A353-'Control Room'!$A$14-('Control Room'!$B$14-1)/2)/MAX(0.5,'Control Room'!$B$14/4))^2),1)*IF(AND($A353&gt;='Control Room'!$A$15,$A353&lt;'Control Room'!$A$15+'Control Room'!$B$15,'Process'!BL4=1),1+('Control Room'!$C$15-1)*EXP(-0.5*(($A353-'Control Room'!$A$15-('Control Room'!$B$15-1)/2)/MAX(0.5,'Control Room'!$B$15/4))^2),1)*IF(AND($A353&gt;='Control Room'!$A$16,$A353&lt;'Control Room'!$A$16+'Control Room'!$B$16,'Process'!BL5=1),1+('Control Room'!$C$16-1)*EXP(-0.5*(($A353-'Control Room'!$A$16-('Control Room'!$B$16-1)/2)/MAX(0.5,'Control Room'!$B$16/4))^2),1)</x:f>
        <x:v>1</x:v>
      </x:c>
      <x:c r="L353" s="9" t="n">
        <x:f>MOD(M352*16807,2147483647)</x:f>
        <x:v>1589859976</x:v>
      </x:c>
      <x:c r="M353" s="9" t="n">
        <x:f>MOD(L353*16807,2147483647)</x:f>
        <x:v>1785080658</x:v>
      </x:c>
      <x:c r="N353" s="17" t="n">
        <x:f>IF('Control Room'!$B$5="Normal",'Control Room'!$B$7+'Control Room'!$D$7*SQRT(-2*LN(MAX(0.000000000001,L353/2147483647)))*COS(2*PI()*M353/2147483647),'Control Room'!$B$8+('Control Room'!$D$8-'Control Room'!$B$8)*L353/2147483647)</x:f>
        <x:v>1034.097828724994</x:v>
      </x:c>
      <x:c r="O353" s="17" t="n">
        <x:f>IF('Control Room'!$B$5="Normal",'Control Room'!$B$7,('Control Room'!$B$8+'Control Room'!$D$8)/2)+'Control Room'!$B$9*(O352-IF('Control Room'!$B$5="Normal",'Control Room'!$B$7,('Control Room'!$B$8+'Control Room'!$D$8)/2))+SQRT(1-'Control Room'!$B$9^2)*(N353-IF('Control Room'!$B$5="Normal",'Control Room'!$B$7,('Control Room'!$B$8+'Control Room'!$D$8)/2))</x:f>
        <x:v>1108.3621637238393</x:v>
      </x:c>
      <x:c r="P353" s="17" t="n">
        <x:f>IF(AND($A353&gt;='Control Room'!$A$13,$A353&lt;'Control Room'!$A$13+'Control Room'!$B$13,'Process'!BM2=1),1+('Control Room'!$C$13-1)*EXP(-0.5*(($A353-'Control Room'!$A$13-('Control Room'!$B$13-1)/2)/MAX(0.5,'Control Room'!$B$13/4))^2),1)*IF(AND($A353&gt;='Control Room'!$A$14,$A353&lt;'Control Room'!$A$14+'Control Room'!$B$14,'Process'!BM3=1),1+('Control Room'!$C$14-1)*EXP(-0.5*(($A353-'Control Room'!$A$14-('Control Room'!$B$14-1)/2)/MAX(0.5,'Control Room'!$B$14/4))^2),1)*IF(AND($A353&gt;='Control Room'!$A$15,$A353&lt;'Control Room'!$A$15+'Control Room'!$B$15,'Process'!BM4=1),1+('Control Room'!$C$15-1)*EXP(-0.5*(($A353-'Control Room'!$A$15-('Control Room'!$B$15-1)/2)/MAX(0.5,'Control Room'!$B$15/4))^2),1)*IF(AND($A353&gt;='Control Room'!$A$16,$A353&lt;'Control Room'!$A$16+'Control Room'!$B$16,'Process'!BM5=1),1+('Control Room'!$C$16-1)*EXP(-0.5*(($A353-'Control Room'!$A$16-('Control Room'!$B$16-1)/2)/MAX(0.5,'Control Room'!$B$16/4))^2),1)</x:f>
        <x:v>1</x:v>
      </x:c>
      <x:c r="Q353" s="9" t="n">
        <x:f>MOD(R352*16807,2147483647)</x:f>
        <x:v>1550540968</x:v>
      </x:c>
      <x:c r="R353" s="9" t="n">
        <x:f>MOD(Q353*16807,2147483647)</x:f>
        <x:v>227992831</x:v>
      </x:c>
      <x:c r="S353" s="17" t="n">
        <x:f>IF('Control Room'!$B$5="Normal",'Control Room'!$B$7+'Control Room'!$D$7*SQRT(-2*LN(MAX(0.000000000001,Q353/2147483647)))*COS(2*PI()*R353/2147483647),'Control Room'!$B$8+('Control Room'!$D$8-'Control Room'!$B$8)*Q353/2147483647)</x:f>
        <x:v>1057.06687821729</x:v>
      </x:c>
      <x:c r="T353" s="17" t="n">
        <x:f>IF('Control Room'!$B$5="Normal",'Control Room'!$B$7,('Control Room'!$B$8+'Control Room'!$D$8)/2)+'Control Room'!$B$9*(T352-IF('Control Room'!$B$5="Normal",'Control Room'!$B$7,('Control Room'!$B$8+'Control Room'!$D$8)/2))+SQRT(1-'Control Room'!$B$9^2)*(S353-IF('Control Room'!$B$5="Normal",'Control Room'!$B$7,('Control Room'!$B$8+'Control Room'!$D$8)/2))</x:f>
        <x:v>923.5806727552281</x:v>
      </x:c>
      <x:c r="U353" s="17" t="n">
        <x:f>IF(AND($A353&gt;='Control Room'!$A$13,$A353&lt;'Control Room'!$A$13+'Control Room'!$B$13,'Process'!BN2=1),1+('Control Room'!$C$13-1)*EXP(-0.5*(($A353-'Control Room'!$A$13-('Control Room'!$B$13-1)/2)/MAX(0.5,'Control Room'!$B$13/4))^2),1)*IF(AND($A353&gt;='Control Room'!$A$14,$A353&lt;'Control Room'!$A$14+'Control Room'!$B$14,'Process'!BN3=1),1+('Control Room'!$C$14-1)*EXP(-0.5*(($A353-'Control Room'!$A$14-('Control Room'!$B$14-1)/2)/MAX(0.5,'Control Room'!$B$14/4))^2),1)*IF(AND($A353&gt;='Control Room'!$A$15,$A353&lt;'Control Room'!$A$15+'Control Room'!$B$15,'Process'!BN4=1),1+('Control Room'!$C$15-1)*EXP(-0.5*(($A353-'Control Room'!$A$15-('Control Room'!$B$15-1)/2)/MAX(0.5,'Control Room'!$B$15/4))^2),1)*IF(AND($A353&gt;='Control Room'!$A$16,$A353&lt;'Control Room'!$A$16+'Control Room'!$B$16,'Process'!BN5=1),1+('Control Room'!$C$16-1)*EXP(-0.5*(($A353-'Control Room'!$A$16-('Control Room'!$B$16-1)/2)/MAX(0.5,'Control Room'!$B$16/4))^2),1)</x:f>
        <x:v>1</x:v>
      </x:c>
      <x:c r="V353" s="9" t="n">
        <x:f>MOD(W352*16807,2147483647)</x:f>
        <x:v>1511221960</x:v>
      </x:c>
      <x:c r="W353" s="9" t="n">
        <x:f>MOD(V353*16807,2147483647)</x:f>
        <x:v>818388651</x:v>
      </x:c>
      <x:c r="X353" s="17" t="n">
        <x:f>IF('Control Room'!$B$5="Normal",'Control Room'!$B$7+'Control Room'!$D$7*SQRT(-2*LN(MAX(0.000000000001,V353/2147483647)))*COS(2*PI()*W353/2147483647),'Control Room'!$B$8+('Control Room'!$D$8-'Control Room'!$B$8)*V353/2147483647)</x:f>
        <x:v>944.6480929690642</x:v>
      </x:c>
      <x:c r="Y353" s="17" t="n">
        <x:f>IF('Control Room'!$B$5="Normal",'Control Room'!$B$7,('Control Room'!$B$8+'Control Room'!$D$8)/2)+'Control Room'!$B$9*(Y352-IF('Control Room'!$B$5="Normal",'Control Room'!$B$7,('Control Room'!$B$8+'Control Room'!$D$8)/2))+SQRT(1-'Control Room'!$B$9^2)*(X353-IF('Control Room'!$B$5="Normal",'Control Room'!$B$7,('Control Room'!$B$8+'Control Room'!$D$8)/2))</x:f>
        <x:v>1089.0490625238829</x:v>
      </x:c>
      <x:c r="Z353" s="17" t="n">
        <x:f>IF(AND($A353&gt;='Control Room'!$A$13,$A353&lt;'Control Room'!$A$13+'Control Room'!$B$13,'Process'!BO2=1),1+('Control Room'!$C$13-1)*EXP(-0.5*(($A353-'Control Room'!$A$13-('Control Room'!$B$13-1)/2)/MAX(0.5,'Control Room'!$B$13/4))^2),1)*IF(AND($A353&gt;='Control Room'!$A$14,$A353&lt;'Control Room'!$A$14+'Control Room'!$B$14,'Process'!BO3=1),1+('Control Room'!$C$14-1)*EXP(-0.5*(($A353-'Control Room'!$A$14-('Control Room'!$B$14-1)/2)/MAX(0.5,'Control Room'!$B$14/4))^2),1)*IF(AND($A353&gt;='Control Room'!$A$15,$A353&lt;'Control Room'!$A$15+'Control Room'!$B$15,'Process'!BO4=1),1+('Control Room'!$C$15-1)*EXP(-0.5*(($A353-'Control Room'!$A$15-('Control Room'!$B$15-1)/2)/MAX(0.5,'Control Room'!$B$15/4))^2),1)*IF(AND($A353&gt;='Control Room'!$A$16,$A353&lt;'Control Room'!$A$16+'Control Room'!$B$16,'Process'!BO5=1),1+('Control Room'!$C$16-1)*EXP(-0.5*(($A353-'Control Room'!$A$16-('Control Room'!$B$16-1)/2)/MAX(0.5,'Control Room'!$B$16/4))^2),1)</x:f>
        <x:v>1</x:v>
      </x:c>
      <x:c r="AA353" s="9" t="n">
        <x:f>MOD(AB352*16807,2147483647)</x:f>
        <x:v>1471902952</x:v>
      </x:c>
      <x:c r="AB353" s="9" t="n">
        <x:f>MOD(AA353*16807,2147483647)</x:f>
        <x:v>1408784471</x:v>
      </x:c>
      <x:c r="AC353" s="17" t="n">
        <x:f>IF('Control Room'!$B$5="Normal",'Control Room'!$B$7+'Control Room'!$D$7*SQRT(-2*LN(MAX(0.000000000001,AA353/2147483647)))*COS(2*PI()*AB353/2147483647),'Control Room'!$B$8+('Control Room'!$D$8-'Control Room'!$B$8)*AA353/2147483647)</x:f>
        <x:v>956.444212948488</x:v>
      </x:c>
      <x:c r="AD353" s="17" t="n">
        <x:f>IF('Control Room'!$B$5="Normal",'Control Room'!$B$7,('Control Room'!$B$8+'Control Room'!$D$8)/2)+'Control Room'!$B$9*(AD352-IF('Control Room'!$B$5="Normal",'Control Room'!$B$7,('Control Room'!$B$8+'Control Room'!$D$8)/2))+SQRT(1-'Control Room'!$B$9^2)*(AC353-IF('Control Room'!$B$5="Normal",'Control Room'!$B$7,('Control Room'!$B$8+'Control Room'!$D$8)/2))</x:f>
        <x:v>861.4185867758744</x:v>
      </x:c>
      <x:c r="AE353" s="17" t="n">
        <x:f>IF(AND($A353&gt;='Control Room'!$A$13,$A353&lt;'Control Room'!$A$13+'Control Room'!$B$13,'Process'!BP2=1),1+('Control Room'!$C$13-1)*EXP(-0.5*(($A353-'Control Room'!$A$13-('Control Room'!$B$13-1)/2)/MAX(0.5,'Control Room'!$B$13/4))^2),1)*IF(AND($A353&gt;='Control Room'!$A$14,$A353&lt;'Control Room'!$A$14+'Control Room'!$B$14,'Process'!BP3=1),1+('Control Room'!$C$14-1)*EXP(-0.5*(($A353-'Control Room'!$A$14-('Control Room'!$B$14-1)/2)/MAX(0.5,'Control Room'!$B$14/4))^2),1)*IF(AND($A353&gt;='Control Room'!$A$15,$A353&lt;'Control Room'!$A$15+'Control Room'!$B$15,'Process'!BP4=1),1+('Control Room'!$C$15-1)*EXP(-0.5*(($A353-'Control Room'!$A$15-('Control Room'!$B$15-1)/2)/MAX(0.5,'Control Room'!$B$15/4))^2),1)*IF(AND($A353&gt;='Control Room'!$A$16,$A353&lt;'Control Room'!$A$16+'Control Room'!$B$16,'Process'!BP5=1),1+('Control Room'!$C$16-1)*EXP(-0.5*(($A353-'Control Room'!$A$16-('Control Room'!$B$16-1)/2)/MAX(0.5,'Control Room'!$B$16/4))^2),1)</x:f>
        <x:v>1</x:v>
      </x:c>
      <x:c r="AF353" s="9" t="n">
        <x:f>MOD(AG352*16807,2147483647)</x:f>
        <x:v>1432583944</x:v>
      </x:c>
      <x:c r="AG353" s="9" t="n">
        <x:f>MOD(AF353*16807,2147483647)</x:f>
        <x:v>1999180291</x:v>
      </x:c>
      <x:c r="AH353" s="17" t="n">
        <x:f>IF('Control Room'!$B$5="Normal",'Control Room'!$B$7+'Control Room'!$D$7*SQRT(-2*LN(MAX(0.000000000001,AF353/2147483647)))*COS(2*PI()*AG353/2147483647),'Control Room'!$B$8+('Control Room'!$D$8-'Control Room'!$B$8)*AF353/2147483647)</x:f>
        <x:v>1073.4769844267985</x:v>
      </x:c>
      <x:c r="AI353" s="17" t="n">
        <x:f>IF('Control Room'!$B$5="Normal",'Control Room'!$B$7,('Control Room'!$B$8+'Control Room'!$D$8)/2)+'Control Room'!$B$9*(AI352-IF('Control Room'!$B$5="Normal",'Control Room'!$B$7,('Control Room'!$B$8+'Control Room'!$D$8)/2))+SQRT(1-'Control Room'!$B$9^2)*(AH353-IF('Control Room'!$B$5="Normal",'Control Room'!$B$7,('Control Room'!$B$8+'Control Room'!$D$8)/2))</x:f>
        <x:v>1009.2787851970505</x:v>
      </x:c>
      <x:c r="AJ353" s="17" t="n">
        <x:f>IF(AND($A353&gt;='Control Room'!$A$13,$A353&lt;'Control Room'!$A$13+'Control Room'!$B$13,'Process'!BQ2=1),1+('Control Room'!$C$13-1)*EXP(-0.5*(($A353-'Control Room'!$A$13-('Control Room'!$B$13-1)/2)/MAX(0.5,'Control Room'!$B$13/4))^2),1)*IF(AND($A353&gt;='Control Room'!$A$14,$A353&lt;'Control Room'!$A$14+'Control Room'!$B$14,'Process'!BQ3=1),1+('Control Room'!$C$14-1)*EXP(-0.5*(($A353-'Control Room'!$A$14-('Control Room'!$B$14-1)/2)/MAX(0.5,'Control Room'!$B$14/4))^2),1)*IF(AND($A353&gt;='Control Room'!$A$15,$A353&lt;'Control Room'!$A$15+'Control Room'!$B$15,'Process'!BQ4=1),1+('Control Room'!$C$15-1)*EXP(-0.5*(($A353-'Control Room'!$A$15-('Control Room'!$B$15-1)/2)/MAX(0.5,'Control Room'!$B$15/4))^2),1)*IF(AND($A353&gt;='Control Room'!$A$16,$A353&lt;'Control Room'!$A$16+'Control Room'!$B$16,'Process'!BQ5=1),1+('Control Room'!$C$16-1)*EXP(-0.5*(($A353-'Control Room'!$A$16-('Control Room'!$B$16-1)/2)/MAX(0.5,'Control Room'!$B$16/4))^2),1)</x:f>
        <x:v>1</x:v>
      </x:c>
      <x:c r="AK353" s="9" t="n">
        <x:f>MOD(AL352*16807,2147483647)</x:f>
        <x:v>1393264936</x:v>
      </x:c>
      <x:c r="AL353" s="9" t="n">
        <x:f>MOD(AK353*16807,2147483647)</x:f>
        <x:v>442092464</x:v>
      </x:c>
      <x:c r="AM353" s="17" t="n">
        <x:f>IF('Control Room'!$B$5="Normal",'Control Room'!$B$7+'Control Room'!$D$7*SQRT(-2*LN(MAX(0.000000000001,AK353/2147483647)))*COS(2*PI()*AL353/2147483647),'Control Room'!$B$8+('Control Room'!$D$8-'Control Room'!$B$8)*AK353/2147483647)</x:f>
        <x:v>1022.9194104705641</x:v>
      </x:c>
      <x:c r="AN353" s="17" t="n">
        <x:f>IF('Control Room'!$B$5="Normal",'Control Room'!$B$7,('Control Room'!$B$8+'Control Room'!$D$8)/2)+'Control Room'!$B$9*(AN352-IF('Control Room'!$B$5="Normal",'Control Room'!$B$7,('Control Room'!$B$8+'Control Room'!$D$8)/2))+SQRT(1-'Control Room'!$B$9^2)*(AM353-IF('Control Room'!$B$5="Normal",'Control Room'!$B$7,('Control Room'!$B$8+'Control Room'!$D$8)/2))</x:f>
        <x:v>1136.820369807929</x:v>
      </x:c>
      <x:c r="AO353" s="17" t="n">
        <x:f>IF(AND($A353&gt;='Control Room'!$A$13,$A353&lt;'Control Room'!$A$13+'Control Room'!$B$13,'Process'!BR2=1),1+('Control Room'!$C$13-1)*EXP(-0.5*(($A353-'Control Room'!$A$13-('Control Room'!$B$13-1)/2)/MAX(0.5,'Control Room'!$B$13/4))^2),1)*IF(AND($A353&gt;='Control Room'!$A$14,$A353&lt;'Control Room'!$A$14+'Control Room'!$B$14,'Process'!BR3=1),1+('Control Room'!$C$14-1)*EXP(-0.5*(($A353-'Control Room'!$A$14-('Control Room'!$B$14-1)/2)/MAX(0.5,'Control Room'!$B$14/4))^2),1)*IF(AND($A353&gt;='Control Room'!$A$15,$A353&lt;'Control Room'!$A$15+'Control Room'!$B$15,'Process'!BR4=1),1+('Control Room'!$C$15-1)*EXP(-0.5*(($A353-'Control Room'!$A$15-('Control Room'!$B$15-1)/2)/MAX(0.5,'Control Room'!$B$15/4))^2),1)*IF(AND($A353&gt;='Control Room'!$A$16,$A353&lt;'Control Room'!$A$16+'Control Room'!$B$16,'Process'!BR5=1),1+('Control Room'!$C$16-1)*EXP(-0.5*(($A353-'Control Room'!$A$16-('Control Room'!$B$16-1)/2)/MAX(0.5,'Control Room'!$B$16/4))^2),1)</x:f>
        <x:v>1</x:v>
      </x:c>
      <x:c r="AP353" s="9" t="n">
        <x:f>MOD(AQ352*16807,2147483647)</x:f>
        <x:v>1353945928</x:v>
      </x:c>
      <x:c r="AQ353" s="9" t="n">
        <x:f>MOD(AP353*16807,2147483647)</x:f>
        <x:v>1032488284</x:v>
      </x:c>
      <x:c r="AR353" s="17" t="n">
        <x:f>IF('Control Room'!$B$5="Normal",'Control Room'!$B$7+'Control Room'!$D$7*SQRT(-2*LN(MAX(0.000000000001,AP353/2147483647)))*COS(2*PI()*AQ353/2147483647),'Control Room'!$B$8+('Control Room'!$D$8-'Control Room'!$B$8)*AP353/2147483647)</x:f>
        <x:v>914.1845481679305</x:v>
      </x:c>
      <x:c r="AS353" s="17" t="n">
        <x:f>IF('Control Room'!$B$5="Normal",'Control Room'!$B$7,('Control Room'!$B$8+'Control Room'!$D$8)/2)+'Control Room'!$B$9*(AS352-IF('Control Room'!$B$5="Normal",'Control Room'!$B$7,('Control Room'!$B$8+'Control Room'!$D$8)/2))+SQRT(1-'Control Room'!$B$9^2)*(AR353-IF('Control Room'!$B$5="Normal",'Control Room'!$B$7,('Control Room'!$B$8+'Control Room'!$D$8)/2))</x:f>
        <x:v>878.9495660453915</x:v>
      </x:c>
      <x:c r="AT353" s="17" t="n">
        <x:f>IF(AND($A353&gt;='Control Room'!$A$13,$A353&lt;'Control Room'!$A$13+'Control Room'!$B$13,'Process'!BS2=1),1+('Control Room'!$C$13-1)*EXP(-0.5*(($A353-'Control Room'!$A$13-('Control Room'!$B$13-1)/2)/MAX(0.5,'Control Room'!$B$13/4))^2),1)*IF(AND($A353&gt;='Control Room'!$A$14,$A353&lt;'Control Room'!$A$14+'Control Room'!$B$14,'Process'!BS3=1),1+('Control Room'!$C$14-1)*EXP(-0.5*(($A353-'Control Room'!$A$14-('Control Room'!$B$14-1)/2)/MAX(0.5,'Control Room'!$B$14/4))^2),1)*IF(AND($A353&gt;='Control Room'!$A$15,$A353&lt;'Control Room'!$A$15+'Control Room'!$B$15,'Process'!BS4=1),1+('Control Room'!$C$15-1)*EXP(-0.5*(($A353-'Control Room'!$A$15-('Control Room'!$B$15-1)/2)/MAX(0.5,'Control Room'!$B$15/4))^2),1)*IF(AND($A353&gt;='Control Room'!$A$16,$A353&lt;'Control Room'!$A$16+'Control Room'!$B$16,'Process'!BS5=1),1+('Control Room'!$C$16-1)*EXP(-0.5*(($A353-'Control Room'!$A$16-('Control Room'!$B$16-1)/2)/MAX(0.5,'Control Room'!$B$16/4))^2),1)</x:f>
        <x:v>1</x:v>
      </x:c>
      <x:c r="AU353" s="9" t="n">
        <x:f>MOD(AV352*16807,2147483647)</x:f>
        <x:v>1314626920</x:v>
      </x:c>
      <x:c r="AV353" s="9" t="n">
        <x:f>MOD(AU353*16807,2147483647)</x:f>
        <x:v>1622884104</x:v>
      </x:c>
      <x:c r="AW353" s="17" t="n">
        <x:f>IF('Control Room'!$B$5="Normal",'Control Room'!$B$7+'Control Room'!$D$7*SQRT(-2*LN(MAX(0.000000000001,AU353/2147483647)))*COS(2*PI()*AV353/2147483647),'Control Room'!$B$8+('Control Room'!$D$8-'Control Room'!$B$8)*AU353/2147483647)</x:f>
        <x:v>1003.2006238401761</x:v>
      </x:c>
      <x:c r="AX353" s="17" t="n">
        <x:f>IF('Control Room'!$B$5="Normal",'Control Room'!$B$7,('Control Room'!$B$8+'Control Room'!$D$8)/2)+'Control Room'!$B$9*(AX352-IF('Control Room'!$B$5="Normal",'Control Room'!$B$7,('Control Room'!$B$8+'Control Room'!$D$8)/2))+SQRT(1-'Control Room'!$B$9^2)*(AW353-IF('Control Room'!$B$5="Normal",'Control Room'!$B$7,('Control Room'!$B$8+'Control Room'!$D$8)/2))</x:f>
        <x:v>1076.7317148295851</x:v>
      </x:c>
      <x:c r="AY353" s="17" t="n">
        <x:f>IF(AND($A353&gt;='Control Room'!$A$13,$A353&lt;'Control Room'!$A$13+'Control Room'!$B$13,'Process'!BT2=1),1+('Control Room'!$C$13-1)*EXP(-0.5*(($A353-'Control Room'!$A$13-('Control Room'!$B$13-1)/2)/MAX(0.5,'Control Room'!$B$13/4))^2),1)*IF(AND($A353&gt;='Control Room'!$A$14,$A353&lt;'Control Room'!$A$14+'Control Room'!$B$14,'Process'!BT3=1),1+('Control Room'!$C$14-1)*EXP(-0.5*(($A353-'Control Room'!$A$14-('Control Room'!$B$14-1)/2)/MAX(0.5,'Control Room'!$B$14/4))^2),1)*IF(AND($A353&gt;='Control Room'!$A$15,$A353&lt;'Control Room'!$A$15+'Control Room'!$B$15,'Process'!BT4=1),1+('Control Room'!$C$15-1)*EXP(-0.5*(($A353-'Control Room'!$A$15-('Control Room'!$B$15-1)/2)/MAX(0.5,'Control Room'!$B$15/4))^2),1)*IF(AND($A353&gt;='Control Room'!$A$16,$A353&lt;'Control Room'!$A$16+'Control Room'!$B$16,'Process'!BT5=1),1+('Control Room'!$C$16-1)*EXP(-0.5*(($A353-'Control Room'!$A$16-('Control Room'!$B$16-1)/2)/MAX(0.5,'Control Room'!$B$16/4))^2),1)</x:f>
        <x:v>1</x:v>
      </x:c>
      <x:c r="AZ353" s="9" t="n">
        <x:f>MOD(BA352*16807,2147483647)</x:f>
        <x:v>1275307912</x:v>
      </x:c>
      <x:c r="BA353" s="9" t="n">
        <x:f>MOD(AZ353*16807,2147483647)</x:f>
        <x:v>65796277</x:v>
      </x:c>
      <x:c r="BB353" s="17" t="n">
        <x:f>IF('Control Room'!$B$5="Normal",'Control Room'!$B$7+'Control Room'!$D$7*SQRT(-2*LN(MAX(0.000000000001,AZ353/2147483647)))*COS(2*PI()*BA353/2147483647),'Control Room'!$B$8+('Control Room'!$D$8-'Control Room'!$B$8)*AZ353/2147483647)</x:f>
        <x:v>1090.1829032079488</x:v>
      </x:c>
      <x:c r="BC353" s="17" t="n">
        <x:f>IF('Control Room'!$B$5="Normal",'Control Room'!$B$7,('Control Room'!$B$8+'Control Room'!$D$8)/2)+'Control Room'!$B$9*(BC352-IF('Control Room'!$B$5="Normal",'Control Room'!$B$7,('Control Room'!$B$8+'Control Room'!$D$8)/2))+SQRT(1-'Control Room'!$B$9^2)*(BB353-IF('Control Room'!$B$5="Normal",'Control Room'!$B$7,('Control Room'!$B$8+'Control Room'!$D$8)/2))</x:f>
        <x:v>1138.3945487187682</x:v>
      </x:c>
      <x:c r="BD353" s="17" t="n">
        <x:f>IF(AND($A353&gt;='Control Room'!$A$13,$A353&lt;'Control Room'!$A$13+'Control Room'!$B$13,'Process'!BU2=1),1+('Control Room'!$C$13-1)*EXP(-0.5*(($A353-'Control Room'!$A$13-('Control Room'!$B$13-1)/2)/MAX(0.5,'Control Room'!$B$13/4))^2),1)*IF(AND($A353&gt;='Control Room'!$A$14,$A353&lt;'Control Room'!$A$14+'Control Room'!$B$14,'Process'!BU3=1),1+('Control Room'!$C$14-1)*EXP(-0.5*(($A353-'Control Room'!$A$14-('Control Room'!$B$14-1)/2)/MAX(0.5,'Control Room'!$B$14/4))^2),1)*IF(AND($A353&gt;='Control Room'!$A$15,$A353&lt;'Control Room'!$A$15+'Control Room'!$B$15,'Process'!BU4=1),1+('Control Room'!$C$15-1)*EXP(-0.5*(($A353-'Control Room'!$A$15-('Control Room'!$B$15-1)/2)/MAX(0.5,'Control Room'!$B$15/4))^2),1)*IF(AND($A353&gt;='Control Room'!$A$16,$A353&lt;'Control Room'!$A$16+'Control Room'!$B$16,'Process'!BU5=1),1+('Control Room'!$C$16-1)*EXP(-0.5*(($A353-'Control Room'!$A$16-('Control Room'!$B$16-1)/2)/MAX(0.5,'Control Room'!$B$16/4))^2),1)</x:f>
        <x:v>1</x:v>
      </x:c>
      <x:c r="BE353" s="9" t="n">
        <x:f>MOD(BF352*16807,2147483647)</x:f>
        <x:v>1235988904</x:v>
      </x:c>
      <x:c r="BF353" s="9" t="n">
        <x:f>MOD(BE353*16807,2147483647)</x:f>
        <x:v>656192097</x:v>
      </x:c>
      <x:c r="BG353" s="17" t="n">
        <x:f>IF('Control Room'!$B$5="Normal",'Control Room'!$B$7+'Control Room'!$D$7*SQRT(-2*LN(MAX(0.000000000001,BE353/2147483647)))*COS(2*PI()*BF353/2147483647),'Control Room'!$B$8+('Control Room'!$D$8-'Control Room'!$B$8)*BE353/2147483647)</x:f>
        <x:v>967.6403559538097</x:v>
      </x:c>
      <x:c r="BH353" s="17" t="n">
        <x:f>IF('Control Room'!$B$5="Normal",'Control Room'!$B$7,('Control Room'!$B$8+'Control Room'!$D$8)/2)+'Control Room'!$B$9*(BH352-IF('Control Room'!$B$5="Normal",'Control Room'!$B$7,('Control Room'!$B$8+'Control Room'!$D$8)/2))+SQRT(1-'Control Room'!$B$9^2)*(BG353-IF('Control Room'!$B$5="Normal",'Control Room'!$B$7,('Control Room'!$B$8+'Control Room'!$D$8)/2))</x:f>
        <x:v>952.0294427778518</x:v>
      </x:c>
      <x:c r="BI353" s="17" t="n">
        <x:f>IF(AND($A353&gt;='Control Room'!$A$13,$A353&lt;'Control Room'!$A$13+'Control Room'!$B$13,'Process'!BV2=1),1+('Control Room'!$C$13-1)*EXP(-0.5*(($A353-'Control Room'!$A$13-('Control Room'!$B$13-1)/2)/MAX(0.5,'Control Room'!$B$13/4))^2),1)*IF(AND($A353&gt;='Control Room'!$A$14,$A353&lt;'Control Room'!$A$14+'Control Room'!$B$14,'Process'!BV3=1),1+('Control Room'!$C$14-1)*EXP(-0.5*(($A353-'Control Room'!$A$14-('Control Room'!$B$14-1)/2)/MAX(0.5,'Control Room'!$B$14/4))^2),1)*IF(AND($A353&gt;='Control Room'!$A$15,$A353&lt;'Control Room'!$A$15+'Control Room'!$B$15,'Process'!BV4=1),1+('Control Room'!$C$15-1)*EXP(-0.5*(($A353-'Control Room'!$A$15-('Control Room'!$B$15-1)/2)/MAX(0.5,'Control Room'!$B$15/4))^2),1)*IF(AND($A353&gt;='Control Room'!$A$16,$A353&lt;'Control Room'!$A$16+'Control Room'!$B$16,'Process'!BV5=1),1+('Control Room'!$C$16-1)*EXP(-0.5*(($A353-'Control Room'!$A$16-('Control Room'!$B$16-1)/2)/MAX(0.5,'Control Room'!$B$16/4))^2),1)</x:f>
        <x:v>1</x:v>
      </x:c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Z353" t="str">
        <x:f>IF('Data'!A353="","",TEXT('Data'!A353,"mm-dd"))</x:f>
      </x:c>
    </x:row>
    <x:row r="354" ht="21" customHeight="1">
      <x:c r="A354" s="15" t="n">
        <x:f>'Control Room'!$B$1+352</x:f>
        <x:v>73343</x:v>
      </x:c>
      <x:c r="B354" s="9" t="n">
        <x:f>MOD(C353*16807,2147483647)</x:f>
        <x:v>835358863</x:v>
      </x:c>
      <x:c r="C354" s="9" t="n">
        <x:f>MOD(B354*16807,2147483647)</x:f>
        <x:v>1775810002</x:v>
      </x:c>
      <x:c r="D354" s="17" t="n">
        <x:f>IF('Control Room'!$B$5="Normal",'Control Room'!$B$7+'Control Room'!$D$7*SQRT(-2*LN(MAX(0.000000000001,B354/2147483647)))*COS(2*PI()*C354/2147483647),'Control Room'!$B$8+('Control Room'!$D$8-'Control Room'!$B$8)*B354/2147483647)</x:f>
        <x:v>1057.4773490705973</x:v>
      </x:c>
      <x:c r="E354" s="17" t="n">
        <x:f>IF('Control Room'!$B$5="Normal",'Control Room'!$B$7,('Control Room'!$B$8+'Control Room'!$D$8)/2)+'Control Room'!$B$9*(E353-IF('Control Room'!$B$5="Normal",'Control Room'!$B$7,('Control Room'!$B$8+'Control Room'!$D$8)/2))+SQRT(1-'Control Room'!$B$9^2)*(D354-IF('Control Room'!$B$5="Normal",'Control Room'!$B$7,('Control Room'!$B$8+'Control Room'!$D$8)/2))</x:f>
        <x:v>942.1644796802758</x:v>
      </x:c>
      <x:c r="F354" s="17" t="n">
        <x:f>IF(AND($A354&gt;='Control Room'!$A$13,$A354&lt;'Control Room'!$A$13+'Control Room'!$B$13,'Process'!BK2=1),1+('Control Room'!$C$13-1)*EXP(-0.5*(($A354-'Control Room'!$A$13-('Control Room'!$B$13-1)/2)/MAX(0.5,'Control Room'!$B$13/4))^2),1)*IF(AND($A354&gt;='Control Room'!$A$14,$A354&lt;'Control Room'!$A$14+'Control Room'!$B$14,'Process'!BK3=1),1+('Control Room'!$C$14-1)*EXP(-0.5*(($A354-'Control Room'!$A$14-('Control Room'!$B$14-1)/2)/MAX(0.5,'Control Room'!$B$14/4))^2),1)*IF(AND($A354&gt;='Control Room'!$A$15,$A354&lt;'Control Room'!$A$15+'Control Room'!$B$15,'Process'!BK4=1),1+('Control Room'!$C$15-1)*EXP(-0.5*(($A354-'Control Room'!$A$15-('Control Room'!$B$15-1)/2)/MAX(0.5,'Control Room'!$B$15/4))^2),1)*IF(AND($A354&gt;='Control Room'!$A$16,$A354&lt;'Control Room'!$A$16+'Control Room'!$B$16,'Process'!BK5=1),1+('Control Room'!$C$16-1)*EXP(-0.5*(($A354-'Control Room'!$A$16-('Control Room'!$B$16-1)/2)/MAX(0.5,'Control Room'!$B$16/4))^2),1)</x:f>
        <x:v>1</x:v>
      </x:c>
      <x:c r="G354" s="9" t="n">
        <x:f>MOD(H353*16807,2147483647)</x:f>
        <x:v>95972816</x:v>
      </x:c>
      <x:c r="H354" s="9" t="n">
        <x:f>MOD(G354*16807,2147483647)</x:f>
        <x:v>254899615</x:v>
      </x:c>
      <x:c r="I354" s="17" t="n">
        <x:f>IF('Control Room'!$B$5="Normal",'Control Room'!$B$7+'Control Room'!$D$7*SQRT(-2*LN(MAX(0.000000000001,G354/2147483647)))*COS(2*PI()*H354/2147483647),'Control Room'!$B$8+('Control Room'!$D$8-'Control Room'!$B$8)*G354/2147483647)</x:f>
        <x:v>1164.8230279607399</x:v>
      </x:c>
      <x:c r="J354" s="17" t="n">
        <x:f>IF('Control Room'!$B$5="Normal",'Control Room'!$B$7,('Control Room'!$B$8+'Control Room'!$D$8)/2)+'Control Room'!$B$9*(J353-IF('Control Room'!$B$5="Normal",'Control Room'!$B$7,('Control Room'!$B$8+'Control Room'!$D$8)/2))+SQRT(1-'Control Room'!$B$9^2)*(I354-IF('Control Room'!$B$5="Normal",'Control Room'!$B$7,('Control Room'!$B$8+'Control Room'!$D$8)/2))</x:f>
        <x:v>1088.7425216211097</x:v>
      </x:c>
      <x:c r="K354" s="17" t="n">
        <x:f>IF(AND($A354&gt;='Control Room'!$A$13,$A354&lt;'Control Room'!$A$13+'Control Room'!$B$13,'Process'!BL2=1),1+('Control Room'!$C$13-1)*EXP(-0.5*(($A354-'Control Room'!$A$13-('Control Room'!$B$13-1)/2)/MAX(0.5,'Control Room'!$B$13/4))^2),1)*IF(AND($A354&gt;='Control Room'!$A$14,$A354&lt;'Control Room'!$A$14+'Control Room'!$B$14,'Process'!BL3=1),1+('Control Room'!$C$14-1)*EXP(-0.5*(($A354-'Control Room'!$A$14-('Control Room'!$B$14-1)/2)/MAX(0.5,'Control Room'!$B$14/4))^2),1)*IF(AND($A354&gt;='Control Room'!$A$15,$A354&lt;'Control Room'!$A$15+'Control Room'!$B$15,'Process'!BL4=1),1+('Control Room'!$C$15-1)*EXP(-0.5*(($A354-'Control Room'!$A$15-('Control Room'!$B$15-1)/2)/MAX(0.5,'Control Room'!$B$15/4))^2),1)*IF(AND($A354&gt;='Control Room'!$A$16,$A354&lt;'Control Room'!$A$16+'Control Room'!$B$16,'Process'!BL5=1),1+('Control Room'!$C$16-1)*EXP(-0.5*(($A354-'Control Room'!$A$16-('Control Room'!$B$16-1)/2)/MAX(0.5,'Control Room'!$B$16/4))^2),1)</x:f>
        <x:v>1</x:v>
      </x:c>
      <x:c r="L354" s="9" t="n">
        <x:f>MOD(M353*16807,2147483647)</x:f>
        <x:v>1504070416</x:v>
      </x:c>
      <x:c r="M354" s="9" t="n">
        <x:f>MOD(L354*16807,2147483647)</x:f>
        <x:v>881472875</x:v>
      </x:c>
      <x:c r="N354" s="17" t="n">
        <x:f>IF('Control Room'!$B$5="Normal",'Control Room'!$B$7+'Control Room'!$D$7*SQRT(-2*LN(MAX(0.000000000001,L354/2147483647)))*COS(2*PI()*M354/2147483647),'Control Room'!$B$8+('Control Room'!$D$8-'Control Room'!$B$8)*L354/2147483647)</x:f>
        <x:v>935.749672004516</x:v>
      </x:c>
      <x:c r="O354" s="17" t="n">
        <x:f>IF('Control Room'!$B$5="Normal",'Control Room'!$B$7,('Control Room'!$B$8+'Control Room'!$D$8)/2)+'Control Room'!$B$9*(O353-IF('Control Room'!$B$5="Normal",'Control Room'!$B$7,('Control Room'!$B$8+'Control Room'!$D$8)/2))+SQRT(1-'Control Room'!$B$9^2)*(N354-IF('Control Room'!$B$5="Normal",'Control Room'!$B$7,('Control Room'!$B$8+'Control Room'!$D$8)/2))</x:f>
        <x:v>1044.3159486845336</x:v>
      </x:c>
      <x:c r="P354" s="17" t="n">
        <x:f>IF(AND($A354&gt;='Control Room'!$A$13,$A354&lt;'Control Room'!$A$13+'Control Room'!$B$13,'Process'!BM2=1),1+('Control Room'!$C$13-1)*EXP(-0.5*(($A354-'Control Room'!$A$13-('Control Room'!$B$13-1)/2)/MAX(0.5,'Control Room'!$B$13/4))^2),1)*IF(AND($A354&gt;='Control Room'!$A$14,$A354&lt;'Control Room'!$A$14+'Control Room'!$B$14,'Process'!BM3=1),1+('Control Room'!$C$14-1)*EXP(-0.5*(($A354-'Control Room'!$A$14-('Control Room'!$B$14-1)/2)/MAX(0.5,'Control Room'!$B$14/4))^2),1)*IF(AND($A354&gt;='Control Room'!$A$15,$A354&lt;'Control Room'!$A$15+'Control Room'!$B$15,'Process'!BM4=1),1+('Control Room'!$C$15-1)*EXP(-0.5*(($A354-'Control Room'!$A$15-('Control Room'!$B$15-1)/2)/MAX(0.5,'Control Room'!$B$15/4))^2),1)*IF(AND($A354&gt;='Control Room'!$A$16,$A354&lt;'Control Room'!$A$16+'Control Room'!$B$16,'Process'!BM5=1),1+('Control Room'!$C$16-1)*EXP(-0.5*(($A354-'Control Room'!$A$16-('Control Room'!$B$16-1)/2)/MAX(0.5,'Control Room'!$B$16/4))^2),1)</x:f>
        <x:v>1</x:v>
      </x:c>
      <x:c r="Q354" s="9" t="n">
        <x:f>MOD(R353*16807,2147483647)</x:f>
        <x:v>764684369</x:v>
      </x:c>
      <x:c r="R354" s="9" t="n">
        <x:f>MOD(Q354*16807,2147483647)</x:f>
        <x:v>1508046135</x:v>
      </x:c>
      <x:c r="S354" s="17" t="n">
        <x:f>IF('Control Room'!$B$5="Normal",'Control Room'!$B$7+'Control Room'!$D$7*SQRT(-2*LN(MAX(0.000000000001,Q354/2147483647)))*COS(2*PI()*R354/2147483647),'Control Room'!$B$8+('Control Room'!$D$8-'Control Room'!$B$8)*Q354/2147483647)</x:f>
        <x:v>961.7669405156572</x:v>
      </x:c>
      <x:c r="T354" s="17" t="n">
        <x:f>IF('Control Room'!$B$5="Normal",'Control Room'!$B$7,('Control Room'!$B$8+'Control Room'!$D$8)/2)+'Control Room'!$B$9*(T353-IF('Control Room'!$B$5="Normal",'Control Room'!$B$7,('Control Room'!$B$8+'Control Room'!$D$8)/2))+SQRT(1-'Control Room'!$B$9^2)*(S354-IF('Control Room'!$B$5="Normal",'Control Room'!$B$7,('Control Room'!$B$8+'Control Room'!$D$8)/2))</x:f>
        <x:v>916.467459370573</x:v>
      </x:c>
      <x:c r="U354" s="17" t="n">
        <x:f>IF(AND($A354&gt;='Control Room'!$A$13,$A354&lt;'Control Room'!$A$13+'Control Room'!$B$13,'Process'!BN2=1),1+('Control Room'!$C$13-1)*EXP(-0.5*(($A354-'Control Room'!$A$13-('Control Room'!$B$13-1)/2)/MAX(0.5,'Control Room'!$B$13/4))^2),1)*IF(AND($A354&gt;='Control Room'!$A$14,$A354&lt;'Control Room'!$A$14+'Control Room'!$B$14,'Process'!BN3=1),1+('Control Room'!$C$14-1)*EXP(-0.5*(($A354-'Control Room'!$A$14-('Control Room'!$B$14-1)/2)/MAX(0.5,'Control Room'!$B$14/4))^2),1)*IF(AND($A354&gt;='Control Room'!$A$15,$A354&lt;'Control Room'!$A$15+'Control Room'!$B$15,'Process'!BN4=1),1+('Control Room'!$C$15-1)*EXP(-0.5*(($A354-'Control Room'!$A$15-('Control Room'!$B$15-1)/2)/MAX(0.5,'Control Room'!$B$15/4))^2),1)*IF(AND($A354&gt;='Control Room'!$A$16,$A354&lt;'Control Room'!$A$16+'Control Room'!$B$16,'Process'!BN5=1),1+('Control Room'!$C$16-1)*EXP(-0.5*(($A354-'Control Room'!$A$16-('Control Room'!$B$16-1)/2)/MAX(0.5,'Control Room'!$B$16/4))^2),1)</x:f>
        <x:v>1</x:v>
      </x:c>
      <x:c r="V354" s="9" t="n">
        <x:f>MOD(W353*16807,2147483647)</x:f>
        <x:v>25298322</x:v>
      </x:c>
      <x:c r="W354" s="9" t="n">
        <x:f>MOD(V354*16807,2147483647)</x:f>
        <x:v>2134619395</x:v>
      </x:c>
      <x:c r="X354" s="17" t="n">
        <x:f>IF('Control Room'!$B$5="Normal",'Control Room'!$B$7+'Control Room'!$D$7*SQRT(-2*LN(MAX(0.000000000001,V354/2147483647)))*COS(2*PI()*W354/2147483647),'Control Room'!$B$8+('Control Room'!$D$8-'Control Room'!$B$8)*V354/2147483647)</x:f>
        <x:v>1268.0436642485006</x:v>
      </x:c>
      <x:c r="Y354" s="17" t="n">
        <x:f>IF('Control Room'!$B$5="Normal",'Control Room'!$B$7,('Control Room'!$B$8+'Control Room'!$D$8)/2)+'Control Room'!$B$9*(Y353-IF('Control Room'!$B$5="Normal",'Control Room'!$B$7,('Control Room'!$B$8+'Control Room'!$D$8)/2))+SQRT(1-'Control Room'!$B$9^2)*(X354-IF('Control Room'!$B$5="Normal",'Control Room'!$B$7,('Control Room'!$B$8+'Control Room'!$D$8)/2))</x:f>
        <x:v>1237.1945026824064</x:v>
      </x:c>
      <x:c r="Z354" s="17" t="n">
        <x:f>IF(AND($A354&gt;='Control Room'!$A$13,$A354&lt;'Control Room'!$A$13+'Control Room'!$B$13,'Process'!BO2=1),1+('Control Room'!$C$13-1)*EXP(-0.5*(($A354-'Control Room'!$A$13-('Control Room'!$B$13-1)/2)/MAX(0.5,'Control Room'!$B$13/4))^2),1)*IF(AND($A354&gt;='Control Room'!$A$14,$A354&lt;'Control Room'!$A$14+'Control Room'!$B$14,'Process'!BO3=1),1+('Control Room'!$C$14-1)*EXP(-0.5*(($A354-'Control Room'!$A$14-('Control Room'!$B$14-1)/2)/MAX(0.5,'Control Room'!$B$14/4))^2),1)*IF(AND($A354&gt;='Control Room'!$A$15,$A354&lt;'Control Room'!$A$15+'Control Room'!$B$15,'Process'!BO4=1),1+('Control Room'!$C$15-1)*EXP(-0.5*(($A354-'Control Room'!$A$15-('Control Room'!$B$15-1)/2)/MAX(0.5,'Control Room'!$B$15/4))^2),1)*IF(AND($A354&gt;='Control Room'!$A$16,$A354&lt;'Control Room'!$A$16+'Control Room'!$B$16,'Process'!BO5=1),1+('Control Room'!$C$16-1)*EXP(-0.5*(($A354-'Control Room'!$A$16-('Control Room'!$B$16-1)/2)/MAX(0.5,'Control Room'!$B$16/4))^2),1)</x:f>
        <x:v>1</x:v>
      </x:c>
      <x:c r="AA354" s="9" t="n">
        <x:f>MOD(AB353*16807,2147483647)</x:f>
        <x:v>1433395922</x:v>
      </x:c>
      <x:c r="AB354" s="9" t="n">
        <x:f>MOD(AA354*16807,2147483647)</x:f>
        <x:v>613709008</x:v>
      </x:c>
      <x:c r="AC354" s="17" t="n">
        <x:f>IF('Control Room'!$B$5="Normal",'Control Room'!$B$7+'Control Room'!$D$7*SQRT(-2*LN(MAX(0.000000000001,AA354/2147483647)))*COS(2*PI()*AB354/2147483647),'Control Room'!$B$8+('Control Room'!$D$8-'Control Room'!$B$8)*AA354/2147483647)</x:f>
        <x:v>981.9596577437615</x:v>
      </x:c>
      <x:c r="AD354" s="17" t="n">
        <x:f>IF('Control Room'!$B$5="Normal",'Control Room'!$B$7,('Control Room'!$B$8+'Control Room'!$D$8)/2)+'Control Room'!$B$9*(AD353-IF('Control Room'!$B$5="Normal",'Control Room'!$B$7,('Control Room'!$B$8+'Control Room'!$D$8)/2))+SQRT(1-'Control Room'!$B$9^2)*(AC354-IF('Control Room'!$B$5="Normal",'Control Room'!$B$7,('Control Room'!$B$8+'Control Room'!$D$8)/2))</x:f>
        <x:v>880.6172210777273</x:v>
      </x:c>
      <x:c r="AE354" s="17" t="n">
        <x:f>IF(AND($A354&gt;='Control Room'!$A$13,$A354&lt;'Control Room'!$A$13+'Control Room'!$B$13,'Process'!BP2=1),1+('Control Room'!$C$13-1)*EXP(-0.5*(($A354-'Control Room'!$A$13-('Control Room'!$B$13-1)/2)/MAX(0.5,'Control Room'!$B$13/4))^2),1)*IF(AND($A354&gt;='Control Room'!$A$14,$A354&lt;'Control Room'!$A$14+'Control Room'!$B$14,'Process'!BP3=1),1+('Control Room'!$C$14-1)*EXP(-0.5*(($A354-'Control Room'!$A$14-('Control Room'!$B$14-1)/2)/MAX(0.5,'Control Room'!$B$14/4))^2),1)*IF(AND($A354&gt;='Control Room'!$A$15,$A354&lt;'Control Room'!$A$15+'Control Room'!$B$15,'Process'!BP4=1),1+('Control Room'!$C$15-1)*EXP(-0.5*(($A354-'Control Room'!$A$15-('Control Room'!$B$15-1)/2)/MAX(0.5,'Control Room'!$B$15/4))^2),1)*IF(AND($A354&gt;='Control Room'!$A$16,$A354&lt;'Control Room'!$A$16+'Control Room'!$B$16,'Process'!BP5=1),1+('Control Room'!$C$16-1)*EXP(-0.5*(($A354-'Control Room'!$A$16-('Control Room'!$B$16-1)/2)/MAX(0.5,'Control Room'!$B$16/4))^2),1)</x:f>
        <x:v>1</x:v>
      </x:c>
      <x:c r="AF354" s="9" t="n">
        <x:f>MOD(AG353*16807,2147483647)</x:f>
        <x:v>694009875</x:v>
      </x:c>
      <x:c r="AG354" s="9" t="n">
        <x:f>MOD(AF354*16807,2147483647)</x:f>
        <x:v>1240282268</x:v>
      </x:c>
      <x:c r="AH354" s="17" t="n">
        <x:f>IF('Control Room'!$B$5="Normal",'Control Room'!$B$7+'Control Room'!$D$7*SQRT(-2*LN(MAX(0.000000000001,AF354/2147483647)))*COS(2*PI()*AG354/2147483647),'Control Room'!$B$8+('Control Room'!$D$8-'Control Room'!$B$8)*AF354/2147483647)</x:f>
        <x:v>880.4702405666444</x:v>
      </x:c>
      <x:c r="AI354" s="17" t="n">
        <x:f>IF('Control Room'!$B$5="Normal",'Control Room'!$B$7,('Control Room'!$B$8+'Control Room'!$D$8)/2)+'Control Room'!$B$9*(AI353-IF('Control Room'!$B$5="Normal",'Control Room'!$B$7,('Control Room'!$B$8+'Control Room'!$D$8)/2))+SQRT(1-'Control Room'!$B$9^2)*(AH354-IF('Control Room'!$B$5="Normal",'Control Room'!$B$7,('Control Room'!$B$8+'Control Room'!$D$8)/2))</x:f>
        <x:v>932.4381777005262</x:v>
      </x:c>
      <x:c r="AJ354" s="17" t="n">
        <x:f>IF(AND($A354&gt;='Control Room'!$A$13,$A354&lt;'Control Room'!$A$13+'Control Room'!$B$13,'Process'!BQ2=1),1+('Control Room'!$C$13-1)*EXP(-0.5*(($A354-'Control Room'!$A$13-('Control Room'!$B$13-1)/2)/MAX(0.5,'Control Room'!$B$13/4))^2),1)*IF(AND($A354&gt;='Control Room'!$A$14,$A354&lt;'Control Room'!$A$14+'Control Room'!$B$14,'Process'!BQ3=1),1+('Control Room'!$C$14-1)*EXP(-0.5*(($A354-'Control Room'!$A$14-('Control Room'!$B$14-1)/2)/MAX(0.5,'Control Room'!$B$14/4))^2),1)*IF(AND($A354&gt;='Control Room'!$A$15,$A354&lt;'Control Room'!$A$15+'Control Room'!$B$15,'Process'!BQ4=1),1+('Control Room'!$C$15-1)*EXP(-0.5*(($A354-'Control Room'!$A$15-('Control Room'!$B$15-1)/2)/MAX(0.5,'Control Room'!$B$15/4))^2),1)*IF(AND($A354&gt;='Control Room'!$A$16,$A354&lt;'Control Room'!$A$16+'Control Room'!$B$16,'Process'!BQ5=1),1+('Control Room'!$C$16-1)*EXP(-0.5*(($A354-'Control Room'!$A$16-('Control Room'!$B$16-1)/2)/MAX(0.5,'Control Room'!$B$16/4))^2),1)</x:f>
        <x:v>1</x:v>
      </x:c>
      <x:c r="AK354" s="9" t="n">
        <x:f>MOD(AL353*16807,2147483647)</x:f>
        <x:v>2102107475</x:v>
      </x:c>
      <x:c r="AL354" s="9" t="n">
        <x:f>MOD(AK354*16807,2147483647)</x:f>
        <x:v>1866855528</x:v>
      </x:c>
      <x:c r="AM354" s="17" t="n">
        <x:f>IF('Control Room'!$B$5="Normal",'Control Room'!$B$7+'Control Room'!$D$7*SQRT(-2*LN(MAX(0.000000000001,AK354/2147483647)))*COS(2*PI()*AL354/2147483647),'Control Room'!$B$8+('Control Room'!$D$8-'Control Room'!$B$8)*AK354/2147483647)</x:f>
        <x:v>1012.6749684927521</x:v>
      </x:c>
      <x:c r="AN354" s="17" t="n">
        <x:f>IF('Control Room'!$B$5="Normal",'Control Room'!$B$7,('Control Room'!$B$8+'Control Room'!$D$8)/2)+'Control Room'!$B$9*(AN353-IF('Control Room'!$B$5="Normal",'Control Room'!$B$7,('Control Room'!$B$8+'Control Room'!$D$8)/2))+SQRT(1-'Control Room'!$B$9^2)*(AM354-IF('Control Room'!$B$5="Normal",'Control Room'!$B$7,('Control Room'!$B$8+'Control Room'!$D$8)/2))</x:f>
        <x:v>1114.6516240721053</x:v>
      </x:c>
      <x:c r="AO354" s="17" t="n">
        <x:f>IF(AND($A354&gt;='Control Room'!$A$13,$A354&lt;'Control Room'!$A$13+'Control Room'!$B$13,'Process'!BR2=1),1+('Control Room'!$C$13-1)*EXP(-0.5*(($A354-'Control Room'!$A$13-('Control Room'!$B$13-1)/2)/MAX(0.5,'Control Room'!$B$13/4))^2),1)*IF(AND($A354&gt;='Control Room'!$A$14,$A354&lt;'Control Room'!$A$14+'Control Room'!$B$14,'Process'!BR3=1),1+('Control Room'!$C$14-1)*EXP(-0.5*(($A354-'Control Room'!$A$14-('Control Room'!$B$14-1)/2)/MAX(0.5,'Control Room'!$B$14/4))^2),1)*IF(AND($A354&gt;='Control Room'!$A$15,$A354&lt;'Control Room'!$A$15+'Control Room'!$B$15,'Process'!BR4=1),1+('Control Room'!$C$15-1)*EXP(-0.5*(($A354-'Control Room'!$A$15-('Control Room'!$B$15-1)/2)/MAX(0.5,'Control Room'!$B$15/4))^2),1)*IF(AND($A354&gt;='Control Room'!$A$16,$A354&lt;'Control Room'!$A$16+'Control Room'!$B$16,'Process'!BR5=1),1+('Control Room'!$C$16-1)*EXP(-0.5*(($A354-'Control Room'!$A$16-('Control Room'!$B$16-1)/2)/MAX(0.5,'Control Room'!$B$16/4))^2),1)</x:f>
        <x:v>1</x:v>
      </x:c>
      <x:c r="AP354" s="9" t="n">
        <x:f>MOD(AQ353*16807,2147483647)</x:f>
        <x:v>1362721428</x:v>
      </x:c>
      <x:c r="AQ354" s="9" t="n">
        <x:f>MOD(AP354*16807,2147483647)</x:f>
        <x:v>345945141</x:v>
      </x:c>
      <x:c r="AR354" s="17" t="n">
        <x:f>IF('Control Room'!$B$5="Normal",'Control Room'!$B$7+'Control Room'!$D$7*SQRT(-2*LN(MAX(0.000000000001,AP354/2147483647)))*COS(2*PI()*AQ354/2147483647),'Control Room'!$B$8+('Control Room'!$D$8-'Control Room'!$B$8)*AP354/2147483647)</x:f>
        <x:v>1045.494783231602</x:v>
      </x:c>
      <x:c r="AS354" s="17" t="n">
        <x:f>IF('Control Room'!$B$5="Normal",'Control Room'!$B$7,('Control Room'!$B$8+'Control Room'!$D$8)/2)+'Control Room'!$B$9*(AS353-IF('Control Room'!$B$5="Normal",'Control Room'!$B$7,('Control Room'!$B$8+'Control Room'!$D$8)/2))+SQRT(1-'Control Room'!$B$9^2)*(AR354-IF('Control Room'!$B$5="Normal",'Control Room'!$B$7,('Control Room'!$B$8+'Control Room'!$D$8)/2))</x:f>
        <x:v>934.0503648504481</x:v>
      </x:c>
      <x:c r="AT354" s="17" t="n">
        <x:f>IF(AND($A354&gt;='Control Room'!$A$13,$A354&lt;'Control Room'!$A$13+'Control Room'!$B$13,'Process'!BS2=1),1+('Control Room'!$C$13-1)*EXP(-0.5*(($A354-'Control Room'!$A$13-('Control Room'!$B$13-1)/2)/MAX(0.5,'Control Room'!$B$13/4))^2),1)*IF(AND($A354&gt;='Control Room'!$A$14,$A354&lt;'Control Room'!$A$14+'Control Room'!$B$14,'Process'!BS3=1),1+('Control Room'!$C$14-1)*EXP(-0.5*(($A354-'Control Room'!$A$14-('Control Room'!$B$14-1)/2)/MAX(0.5,'Control Room'!$B$14/4))^2),1)*IF(AND($A354&gt;='Control Room'!$A$15,$A354&lt;'Control Room'!$A$15+'Control Room'!$B$15,'Process'!BS4=1),1+('Control Room'!$C$15-1)*EXP(-0.5*(($A354-'Control Room'!$A$15-('Control Room'!$B$15-1)/2)/MAX(0.5,'Control Room'!$B$15/4))^2),1)*IF(AND($A354&gt;='Control Room'!$A$16,$A354&lt;'Control Room'!$A$16+'Control Room'!$B$16,'Process'!BS5=1),1+('Control Room'!$C$16-1)*EXP(-0.5*(($A354-'Control Room'!$A$16-('Control Room'!$B$16-1)/2)/MAX(0.5,'Control Room'!$B$16/4))^2),1)</x:f>
        <x:v>1</x:v>
      </x:c>
      <x:c r="AU354" s="9" t="n">
        <x:f>MOD(AV353*16807,2147483647)</x:f>
        <x:v>623335381</x:v>
      </x:c>
      <x:c r="AV354" s="9" t="n">
        <x:f>MOD(AU354*16807,2147483647)</x:f>
        <x:v>972518401</x:v>
      </x:c>
      <x:c r="AW354" s="17" t="n">
        <x:f>IF('Control Room'!$B$5="Normal",'Control Room'!$B$7+'Control Room'!$D$7*SQRT(-2*LN(MAX(0.000000000001,AU354/2147483647)))*COS(2*PI()*AV354/2147483647),'Control Room'!$B$8+('Control Room'!$D$8-'Control Room'!$B$8)*AU354/2147483647)</x:f>
        <x:v>864.604277940238</x:v>
      </x:c>
      <x:c r="AX354" s="17" t="n">
        <x:f>IF('Control Room'!$B$5="Normal",'Control Room'!$B$7,('Control Room'!$B$8+'Control Room'!$D$8)/2)+'Control Room'!$B$9*(AX353-IF('Control Room'!$B$5="Normal",'Control Room'!$B$7,('Control Room'!$B$8+'Control Room'!$D$8)/2))+SQRT(1-'Control Room'!$B$9^2)*(AW354-IF('Control Room'!$B$5="Normal",'Control Room'!$B$7,('Control Room'!$B$8+'Control Room'!$D$8)/2))</x:f>
        <x:v>975.1228684342096</x:v>
      </x:c>
      <x:c r="AY354" s="17" t="n">
        <x:f>IF(AND($A354&gt;='Control Room'!$A$13,$A354&lt;'Control Room'!$A$13+'Control Room'!$B$13,'Process'!BT2=1),1+('Control Room'!$C$13-1)*EXP(-0.5*(($A354-'Control Room'!$A$13-('Control Room'!$B$13-1)/2)/MAX(0.5,'Control Room'!$B$13/4))^2),1)*IF(AND($A354&gt;='Control Room'!$A$14,$A354&lt;'Control Room'!$A$14+'Control Room'!$B$14,'Process'!BT3=1),1+('Control Room'!$C$14-1)*EXP(-0.5*(($A354-'Control Room'!$A$14-('Control Room'!$B$14-1)/2)/MAX(0.5,'Control Room'!$B$14/4))^2),1)*IF(AND($A354&gt;='Control Room'!$A$15,$A354&lt;'Control Room'!$A$15+'Control Room'!$B$15,'Process'!BT4=1),1+('Control Room'!$C$15-1)*EXP(-0.5*(($A354-'Control Room'!$A$15-('Control Room'!$B$15-1)/2)/MAX(0.5,'Control Room'!$B$15/4))^2),1)*IF(AND($A354&gt;='Control Room'!$A$16,$A354&lt;'Control Room'!$A$16+'Control Room'!$B$16,'Process'!BT5=1),1+('Control Room'!$C$16-1)*EXP(-0.5*(($A354-'Control Room'!$A$16-('Control Room'!$B$16-1)/2)/MAX(0.5,'Control Room'!$B$16/4))^2),1)</x:f>
        <x:v>1</x:v>
      </x:c>
      <x:c r="AZ354" s="9" t="n">
        <x:f>MOD(BA353*16807,2147483647)</x:f>
        <x:v>2031432981</x:v>
      </x:c>
      <x:c r="BA354" s="9" t="n">
        <x:f>MOD(AZ354*16807,2147483647)</x:f>
        <x:v>1599091661</x:v>
      </x:c>
      <x:c r="BB354" s="17" t="n">
        <x:f>IF('Control Room'!$B$5="Normal",'Control Room'!$B$7+'Control Room'!$D$7*SQRT(-2*LN(MAX(0.000000000001,AZ354/2147483647)))*COS(2*PI()*BA354/2147483647),'Control Room'!$B$8+('Control Room'!$D$8-'Control Room'!$B$8)*AZ354/2147483647)</x:f>
        <x:v>998.9889304316682</x:v>
      </x:c>
      <x:c r="BC354" s="17" t="n">
        <x:f>IF('Control Room'!$B$5="Normal",'Control Room'!$B$7,('Control Room'!$B$8+'Control Room'!$D$8)/2)+'Control Room'!$B$9*(BC353-IF('Control Room'!$B$5="Normal",'Control Room'!$B$7,('Control Room'!$B$8+'Control Room'!$D$8)/2))+SQRT(1-'Control Room'!$B$9^2)*(BB354-IF('Control Room'!$B$5="Normal",'Control Room'!$B$7,('Control Room'!$B$8+'Control Room'!$D$8)/2))</x:f>
        <x:v>1107.3150413776632</x:v>
      </x:c>
      <x:c r="BD354" s="17" t="n">
        <x:f>IF(AND($A354&gt;='Control Room'!$A$13,$A354&lt;'Control Room'!$A$13+'Control Room'!$B$13,'Process'!BU2=1),1+('Control Room'!$C$13-1)*EXP(-0.5*(($A354-'Control Room'!$A$13-('Control Room'!$B$13-1)/2)/MAX(0.5,'Control Room'!$B$13/4))^2),1)*IF(AND($A354&gt;='Control Room'!$A$14,$A354&lt;'Control Room'!$A$14+'Control Room'!$B$14,'Process'!BU3=1),1+('Control Room'!$C$14-1)*EXP(-0.5*(($A354-'Control Room'!$A$14-('Control Room'!$B$14-1)/2)/MAX(0.5,'Control Room'!$B$14/4))^2),1)*IF(AND($A354&gt;='Control Room'!$A$15,$A354&lt;'Control Room'!$A$15+'Control Room'!$B$15,'Process'!BU4=1),1+('Control Room'!$C$15-1)*EXP(-0.5*(($A354-'Control Room'!$A$15-('Control Room'!$B$15-1)/2)/MAX(0.5,'Control Room'!$B$15/4))^2),1)*IF(AND($A354&gt;='Control Room'!$A$16,$A354&lt;'Control Room'!$A$16+'Control Room'!$B$16,'Process'!BU5=1),1+('Control Room'!$C$16-1)*EXP(-0.5*(($A354-'Control Room'!$A$16-('Control Room'!$B$16-1)/2)/MAX(0.5,'Control Room'!$B$16/4))^2),1)</x:f>
        <x:v>1</x:v>
      </x:c>
      <x:c r="BE354" s="9" t="n">
        <x:f>MOD(BF353*16807,2147483647)</x:f>
        <x:v>1292046934</x:v>
      </x:c>
      <x:c r="BF354" s="9" t="n">
        <x:f>MOD(BE354*16807,2147483647)</x:f>
        <x:v>78181274</x:v>
      </x:c>
      <x:c r="BG354" s="17" t="n">
        <x:f>IF('Control Room'!$B$5="Normal",'Control Room'!$B$7+'Control Room'!$D$7*SQRT(-2*LN(MAX(0.000000000001,BE354/2147483647)))*COS(2*PI()*BF354/2147483647),'Control Room'!$B$8+('Control Room'!$D$8-'Control Room'!$B$8)*BE354/2147483647)</x:f>
        <x:v>1088.3601094850872</x:v>
      </x:c>
      <x:c r="BH354" s="17" t="n">
        <x:f>IF('Control Room'!$B$5="Normal",'Control Room'!$B$7,('Control Room'!$B$8+'Control Room'!$D$8)/2)+'Control Room'!$B$9*(BH353-IF('Control Room'!$B$5="Normal",'Control Room'!$B$7,('Control Room'!$B$8+'Control Room'!$D$8)/2))+SQRT(1-'Control Room'!$B$9^2)*(BG354-IF('Control Room'!$B$5="Normal",'Control Room'!$B$7,('Control Room'!$B$8+'Control Room'!$D$8)/2))</x:f>
        <x:v>1017.8769117272585</x:v>
      </x:c>
      <x:c r="BI354" s="17" t="n">
        <x:f>IF(AND($A354&gt;='Control Room'!$A$13,$A354&lt;'Control Room'!$A$13+'Control Room'!$B$13,'Process'!BV2=1),1+('Control Room'!$C$13-1)*EXP(-0.5*(($A354-'Control Room'!$A$13-('Control Room'!$B$13-1)/2)/MAX(0.5,'Control Room'!$B$13/4))^2),1)*IF(AND($A354&gt;='Control Room'!$A$14,$A354&lt;'Control Room'!$A$14+'Control Room'!$B$14,'Process'!BV3=1),1+('Control Room'!$C$14-1)*EXP(-0.5*(($A354-'Control Room'!$A$14-('Control Room'!$B$14-1)/2)/MAX(0.5,'Control Room'!$B$14/4))^2),1)*IF(AND($A354&gt;='Control Room'!$A$15,$A354&lt;'Control Room'!$A$15+'Control Room'!$B$15,'Process'!BV4=1),1+('Control Room'!$C$15-1)*EXP(-0.5*(($A354-'Control Room'!$A$15-('Control Room'!$B$15-1)/2)/MAX(0.5,'Control Room'!$B$15/4))^2),1)*IF(AND($A354&gt;='Control Room'!$A$16,$A354&lt;'Control Room'!$A$16+'Control Room'!$B$16,'Process'!BV5=1),1+('Control Room'!$C$16-1)*EXP(-0.5*(($A354-'Control Room'!$A$16-('Control Room'!$B$16-1)/2)/MAX(0.5,'Control Room'!$B$16/4))^2),1)</x:f>
        <x:v>1</x:v>
      </x:c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Z354" t="str">
        <x:f>IF('Data'!A354="","",TEXT('Data'!A354,"mm-dd"))</x:f>
      </x:c>
    </x:row>
    <x:row r="355" ht="21" customHeight="1">
      <x:c r="A355" s="15" t="n">
        <x:f>'Control Room'!$B$1+353</x:f>
        <x:v>73344</x:v>
      </x:c>
      <x:c r="B355" s="9" t="n">
        <x:f>MOD(C354*16807,2147483647)</x:f>
        <x:v>310977608</x:v>
      </x:c>
      <x:c r="C355" s="9" t="n">
        <x:f>MOD(B355*16807,2147483647)</x:f>
        <x:v>1772944505</x:v>
      </x:c>
      <x:c r="D355" s="17" t="n">
        <x:f>IF('Control Room'!$B$5="Normal",'Control Room'!$B$7+'Control Room'!$D$7*SQRT(-2*LN(MAX(0.000000000001,B355/2147483647)))*COS(2*PI()*C355/2147483647),'Control Room'!$B$8+('Control Room'!$D$8-'Control Room'!$B$8)*B355/2147483647)</x:f>
        <x:v>1080.9093985227403</x:v>
      </x:c>
      <x:c r="E355" s="17" t="n">
        <x:f>IF('Control Room'!$B$5="Normal",'Control Room'!$B$7,('Control Room'!$B$8+'Control Room'!$D$8)/2)+'Control Room'!$B$9*(E354-IF('Control Room'!$B$5="Normal",'Control Room'!$B$7,('Control Room'!$B$8+'Control Room'!$D$8)/2))+SQRT(1-'Control Room'!$B$9^2)*(D355-IF('Control Room'!$B$5="Normal",'Control Room'!$B$7,('Control Room'!$B$8+'Control Room'!$D$8)/2))</x:f>
        <x:v>1005.519738227023</x:v>
      </x:c>
      <x:c r="F355" s="17" t="n">
        <x:f>IF(AND($A355&gt;='Control Room'!$A$13,$A355&lt;'Control Room'!$A$13+'Control Room'!$B$13,'Process'!BK2=1),1+('Control Room'!$C$13-1)*EXP(-0.5*(($A355-'Control Room'!$A$13-('Control Room'!$B$13-1)/2)/MAX(0.5,'Control Room'!$B$13/4))^2),1)*IF(AND($A355&gt;='Control Room'!$A$14,$A355&lt;'Control Room'!$A$14+'Control Room'!$B$14,'Process'!BK3=1),1+('Control Room'!$C$14-1)*EXP(-0.5*(($A355-'Control Room'!$A$14-('Control Room'!$B$14-1)/2)/MAX(0.5,'Control Room'!$B$14/4))^2),1)*IF(AND($A355&gt;='Control Room'!$A$15,$A355&lt;'Control Room'!$A$15+'Control Room'!$B$15,'Process'!BK4=1),1+('Control Room'!$C$15-1)*EXP(-0.5*(($A355-'Control Room'!$A$15-('Control Room'!$B$15-1)/2)/MAX(0.5,'Control Room'!$B$15/4))^2),1)*IF(AND($A355&gt;='Control Room'!$A$16,$A355&lt;'Control Room'!$A$16+'Control Room'!$B$16,'Process'!BK5=1),1+('Control Room'!$C$16-1)*EXP(-0.5*(($A355-'Control Room'!$A$16-('Control Room'!$B$16-1)/2)/MAX(0.5,'Control Room'!$B$16/4))^2),1)</x:f>
        <x:v>1</x:v>
      </x:c>
      <x:c r="G355" s="9" t="n">
        <x:f>MOD(H354*16807,2147483647)</x:f>
        <x:v>2015437187</x:v>
      </x:c>
      <x:c r="H355" s="9" t="n">
        <x:f>MOD(G355*16807,2147483647)</x:f>
        <x:v>1193237778</x:v>
      </x:c>
      <x:c r="I355" s="17" t="n">
        <x:f>IF('Control Room'!$B$5="Normal",'Control Room'!$B$7+'Control Room'!$D$7*SQRT(-2*LN(MAX(0.000000000001,G355/2147483647)))*COS(2*PI()*H355/2147483647),'Control Room'!$B$8+('Control Room'!$D$8-'Control Room'!$B$8)*G355/2147483647)</x:f>
        <x:v>969.8763959196045</x:v>
      </x:c>
      <x:c r="J355" s="17" t="n">
        <x:f>IF('Control Room'!$B$5="Normal",'Control Room'!$B$7,('Control Room'!$B$8+'Control Room'!$D$8)/2)+'Control Room'!$B$9*(J354-IF('Control Room'!$B$5="Normal",'Control Room'!$B$7,('Control Room'!$B$8+'Control Room'!$D$8)/2))+SQRT(1-'Control Room'!$B$9^2)*(I355-IF('Control Room'!$B$5="Normal",'Control Room'!$B$7,('Control Room'!$B$8+'Control Room'!$D$8)/2))</x:f>
        <x:v>1050.368432546527</x:v>
      </x:c>
      <x:c r="K355" s="17" t="n">
        <x:f>IF(AND($A355&gt;='Control Room'!$A$13,$A355&lt;'Control Room'!$A$13+'Control Room'!$B$13,'Process'!BL2=1),1+('Control Room'!$C$13-1)*EXP(-0.5*(($A355-'Control Room'!$A$13-('Control Room'!$B$13-1)/2)/MAX(0.5,'Control Room'!$B$13/4))^2),1)*IF(AND($A355&gt;='Control Room'!$A$14,$A355&lt;'Control Room'!$A$14+'Control Room'!$B$14,'Process'!BL3=1),1+('Control Room'!$C$14-1)*EXP(-0.5*(($A355-'Control Room'!$A$14-('Control Room'!$B$14-1)/2)/MAX(0.5,'Control Room'!$B$14/4))^2),1)*IF(AND($A355&gt;='Control Room'!$A$15,$A355&lt;'Control Room'!$A$15+'Control Room'!$B$15,'Process'!BL4=1),1+('Control Room'!$C$15-1)*EXP(-0.5*(($A355-'Control Room'!$A$15-('Control Room'!$B$15-1)/2)/MAX(0.5,'Control Room'!$B$15/4))^2),1)*IF(AND($A355&gt;='Control Room'!$A$16,$A355&lt;'Control Room'!$A$16+'Control Room'!$B$16,'Process'!BL5=1),1+('Control Room'!$C$16-1)*EXP(-0.5*(($A355-'Control Room'!$A$16-('Control Room'!$B$16-1)/2)/MAX(0.5,'Control Room'!$B$16/4))^2),1)</x:f>
        <x:v>1</x:v>
      </x:c>
      <x:c r="L355" s="9" t="n">
        <x:f>MOD(M354*16807,2147483647)</x:f>
        <x:v>1572413119</x:v>
      </x:c>
      <x:c r="M355" s="9" t="n">
        <x:f>MOD(L355*16807,2147483647)</x:f>
        <x:v>613531051</x:v>
      </x:c>
      <x:c r="N355" s="17" t="n">
        <x:f>IF('Control Room'!$B$5="Normal",'Control Room'!$B$7+'Control Room'!$D$7*SQRT(-2*LN(MAX(0.000000000001,L355/2147483647)))*COS(2*PI()*M355/2147483647),'Control Room'!$B$8+('Control Room'!$D$8-'Control Room'!$B$8)*L355/2147483647)</x:f>
        <x:v>984.1952468553245</x:v>
      </x:c>
      <x:c r="O355" s="17" t="n">
        <x:f>IF('Control Room'!$B$5="Normal",'Control Room'!$B$7,('Control Room'!$B$8+'Control Room'!$D$8)/2)+'Control Room'!$B$9*(O354-IF('Control Room'!$B$5="Normal",'Control Room'!$B$7,('Control Room'!$B$8+'Control Room'!$D$8)/2))+SQRT(1-'Control Room'!$B$9^2)*(N355-IF('Control Room'!$B$5="Normal",'Control Room'!$B$7,('Control Room'!$B$8+'Control Room'!$D$8)/2))</x:f>
        <x:v>1024.6761492339654</x:v>
      </x:c>
      <x:c r="P355" s="17" t="n">
        <x:f>IF(AND($A355&gt;='Control Room'!$A$13,$A355&lt;'Control Room'!$A$13+'Control Room'!$B$13,'Process'!BM2=1),1+('Control Room'!$C$13-1)*EXP(-0.5*(($A355-'Control Room'!$A$13-('Control Room'!$B$13-1)/2)/MAX(0.5,'Control Room'!$B$13/4))^2),1)*IF(AND($A355&gt;='Control Room'!$A$14,$A355&lt;'Control Room'!$A$14+'Control Room'!$B$14,'Process'!BM3=1),1+('Control Room'!$C$14-1)*EXP(-0.5*(($A355-'Control Room'!$A$14-('Control Room'!$B$14-1)/2)/MAX(0.5,'Control Room'!$B$14/4))^2),1)*IF(AND($A355&gt;='Control Room'!$A$15,$A355&lt;'Control Room'!$A$15+'Control Room'!$B$15,'Process'!BM4=1),1+('Control Room'!$C$15-1)*EXP(-0.5*(($A355-'Control Room'!$A$15-('Control Room'!$B$15-1)/2)/MAX(0.5,'Control Room'!$B$15/4))^2),1)*IF(AND($A355&gt;='Control Room'!$A$16,$A355&lt;'Control Room'!$A$16+'Control Room'!$B$16,'Process'!BM5=1),1+('Control Room'!$C$16-1)*EXP(-0.5*(($A355-'Control Room'!$A$16-('Control Room'!$B$16-1)/2)/MAX(0.5,'Control Room'!$B$16/4))^2),1)</x:f>
        <x:v>1</x:v>
      </x:c>
      <x:c r="Q355" s="9" t="n">
        <x:f>MOD(R354*16807,2147483647)</x:f>
        <x:v>1129389051</x:v>
      </x:c>
      <x:c r="R355" s="9" t="n">
        <x:f>MOD(Q355*16807,2147483647)</x:f>
        <x:v>33824324</x:v>
      </x:c>
      <x:c r="S355" s="17" t="n">
        <x:f>IF('Control Room'!$B$5="Normal",'Control Room'!$B$7+'Control Room'!$D$7*SQRT(-2*LN(MAX(0.000000000001,Q355/2147483647)))*COS(2*PI()*R355/2147483647),'Control Room'!$B$8+('Control Room'!$D$8-'Control Room'!$B$8)*Q355/2147483647)</x:f>
        <x:v>1101.5323394264494</x:v>
      </x:c>
      <x:c r="T355" s="17" t="n">
        <x:f>IF('Control Room'!$B$5="Normal",'Control Room'!$B$7,('Control Room'!$B$8+'Control Room'!$D$8)/2)+'Control Room'!$B$9*(T354-IF('Control Room'!$B$5="Normal",'Control Room'!$B$7,('Control Room'!$B$8+'Control Room'!$D$8)/2))+SQRT(1-'Control Room'!$B$9^2)*(S355-IF('Control Room'!$B$5="Normal",'Control Room'!$B$7,('Control Room'!$B$8+'Control Room'!$D$8)/2))</x:f>
        <x:v>998.3814763190876</x:v>
      </x:c>
      <x:c r="U355" s="17" t="n">
        <x:f>IF(AND($A355&gt;='Control Room'!$A$13,$A355&lt;'Control Room'!$A$13+'Control Room'!$B$13,'Process'!BN2=1),1+('Control Room'!$C$13-1)*EXP(-0.5*(($A355-'Control Room'!$A$13-('Control Room'!$B$13-1)/2)/MAX(0.5,'Control Room'!$B$13/4))^2),1)*IF(AND($A355&gt;='Control Room'!$A$14,$A355&lt;'Control Room'!$A$14+'Control Room'!$B$14,'Process'!BN3=1),1+('Control Room'!$C$14-1)*EXP(-0.5*(($A355-'Control Room'!$A$14-('Control Room'!$B$14-1)/2)/MAX(0.5,'Control Room'!$B$14/4))^2),1)*IF(AND($A355&gt;='Control Room'!$A$15,$A355&lt;'Control Room'!$A$15+'Control Room'!$B$15,'Process'!BN4=1),1+('Control Room'!$C$15-1)*EXP(-0.5*(($A355-'Control Room'!$A$15-('Control Room'!$B$15-1)/2)/MAX(0.5,'Control Room'!$B$15/4))^2),1)*IF(AND($A355&gt;='Control Room'!$A$16,$A355&lt;'Control Room'!$A$16+'Control Room'!$B$16,'Process'!BN5=1),1+('Control Room'!$C$16-1)*EXP(-0.5*(($A355-'Control Room'!$A$16-('Control Room'!$B$16-1)/2)/MAX(0.5,'Control Room'!$B$16/4))^2),1)</x:f>
        <x:v>1</x:v>
      </x:c>
      <x:c r="V355" s="9" t="n">
        <x:f>MOD(W354*16807,2147483647)</x:f>
        <x:v>686364983</x:v>
      </x:c>
      <x:c r="W355" s="9" t="n">
        <x:f>MOD(V355*16807,2147483647)</x:f>
        <x:v>1601601244</x:v>
      </x:c>
      <x:c r="X355" s="17" t="n">
        <x:f>IF('Control Room'!$B$5="Normal",'Control Room'!$B$7+'Control Room'!$D$7*SQRT(-2*LN(MAX(0.000000000001,V355/2147483647)))*COS(2*PI()*W355/2147483647),'Control Room'!$B$8+('Control Room'!$D$8-'Control Room'!$B$8)*V355/2147483647)</x:f>
        <x:v>996.416324875471</x:v>
      </x:c>
      <x:c r="Y355" s="17" t="n">
        <x:f>IF('Control Room'!$B$5="Normal",'Control Room'!$B$7,('Control Room'!$B$8+'Control Room'!$D$8)/2)+'Control Room'!$B$9*(Y354-IF('Control Room'!$B$5="Normal",'Control Room'!$B$7,('Control Room'!$B$8+'Control Room'!$D$8)/2))+SQRT(1-'Control Room'!$B$9^2)*(X355-IF('Control Room'!$B$5="Normal",'Control Room'!$B$7,('Control Room'!$B$8+'Control Room'!$D$8)/2))</x:f>
        <x:v>1182.7691216149224</x:v>
      </x:c>
      <x:c r="Z355" s="17" t="n">
        <x:f>IF(AND($A355&gt;='Control Room'!$A$13,$A355&lt;'Control Room'!$A$13+'Control Room'!$B$13,'Process'!BO2=1),1+('Control Room'!$C$13-1)*EXP(-0.5*(($A355-'Control Room'!$A$13-('Control Room'!$B$13-1)/2)/MAX(0.5,'Control Room'!$B$13/4))^2),1)*IF(AND($A355&gt;='Control Room'!$A$14,$A355&lt;'Control Room'!$A$14+'Control Room'!$B$14,'Process'!BO3=1),1+('Control Room'!$C$14-1)*EXP(-0.5*(($A355-'Control Room'!$A$14-('Control Room'!$B$14-1)/2)/MAX(0.5,'Control Room'!$B$14/4))^2),1)*IF(AND($A355&gt;='Control Room'!$A$15,$A355&lt;'Control Room'!$A$15+'Control Room'!$B$15,'Process'!BO4=1),1+('Control Room'!$C$15-1)*EXP(-0.5*(($A355-'Control Room'!$A$15-('Control Room'!$B$15-1)/2)/MAX(0.5,'Control Room'!$B$15/4))^2),1)*IF(AND($A355&gt;='Control Room'!$A$16,$A355&lt;'Control Room'!$A$16+'Control Room'!$B$16,'Process'!BO5=1),1+('Control Room'!$C$16-1)*EXP(-0.5*(($A355-'Control Room'!$A$16-('Control Room'!$B$16-1)/2)/MAX(0.5,'Control Room'!$B$16/4))^2),1)</x:f>
        <x:v>1</x:v>
      </x:c>
      <x:c r="AA355" s="9" t="n">
        <x:f>MOD(AB354*16807,2147483647)</x:f>
        <x:v>243340915</x:v>
      </x:c>
      <x:c r="AB355" s="9" t="n">
        <x:f>MOD(AA355*16807,2147483647)</x:f>
        <x:v>1021894517</x:v>
      </x:c>
      <x:c r="AC355" s="17" t="n">
        <x:f>IF('Control Room'!$B$5="Normal",'Control Room'!$B$7+'Control Room'!$D$7*SQRT(-2*LN(MAX(0.000000000001,AA355/2147483647)))*COS(2*PI()*AB355/2147483647),'Control Room'!$B$8+('Control Room'!$D$8-'Control Room'!$B$8)*AA355/2147483647)</x:f>
        <x:v>814.3353706627768</x:v>
      </x:c>
      <x:c r="AD355" s="17" t="n">
        <x:f>IF('Control Room'!$B$5="Normal",'Control Room'!$B$7,('Control Room'!$B$8+'Control Room'!$D$8)/2)+'Control Room'!$B$9*(AD354-IF('Control Room'!$B$5="Normal",'Control Room'!$B$7,('Control Room'!$B$8+'Control Room'!$D$8)/2))+SQRT(1-'Control Room'!$B$9^2)*(AC355-IF('Control Room'!$B$5="Normal",'Control Room'!$B$7,('Control Room'!$B$8+'Control Room'!$D$8)/2))</x:f>
        <x:v>790.6963109480662</x:v>
      </x:c>
      <x:c r="AE355" s="17" t="n">
        <x:f>IF(AND($A355&gt;='Control Room'!$A$13,$A355&lt;'Control Room'!$A$13+'Control Room'!$B$13,'Process'!BP2=1),1+('Control Room'!$C$13-1)*EXP(-0.5*(($A355-'Control Room'!$A$13-('Control Room'!$B$13-1)/2)/MAX(0.5,'Control Room'!$B$13/4))^2),1)*IF(AND($A355&gt;='Control Room'!$A$14,$A355&lt;'Control Room'!$A$14+'Control Room'!$B$14,'Process'!BP3=1),1+('Control Room'!$C$14-1)*EXP(-0.5*(($A355-'Control Room'!$A$14-('Control Room'!$B$14-1)/2)/MAX(0.5,'Control Room'!$B$14/4))^2),1)*IF(AND($A355&gt;='Control Room'!$A$15,$A355&lt;'Control Room'!$A$15+'Control Room'!$B$15,'Process'!BP4=1),1+('Control Room'!$C$15-1)*EXP(-0.5*(($A355-'Control Room'!$A$15-('Control Room'!$B$15-1)/2)/MAX(0.5,'Control Room'!$B$15/4))^2),1)*IF(AND($A355&gt;='Control Room'!$A$16,$A355&lt;'Control Room'!$A$16+'Control Room'!$B$16,'Process'!BP5=1),1+('Control Room'!$C$16-1)*EXP(-0.5*(($A355-'Control Room'!$A$16-('Control Room'!$B$16-1)/2)/MAX(0.5,'Control Room'!$B$16/4))^2),1)</x:f>
        <x:v>1</x:v>
      </x:c>
      <x:c r="AF355" s="9" t="n">
        <x:f>MOD(AG354*16807,2147483647)</x:f>
        <x:v>1947800494</x:v>
      </x:c>
      <x:c r="AG355" s="9" t="n">
        <x:f>MOD(AF355*16807,2147483647)</x:f>
        <x:v>442187790</x:v>
      </x:c>
      <x:c r="AH355" s="17" t="n">
        <x:f>IF('Control Room'!$B$5="Normal",'Control Room'!$B$7+'Control Room'!$D$7*SQRT(-2*LN(MAX(0.000000000001,AF355/2147483647)))*COS(2*PI()*AG355/2147483647),'Control Room'!$B$8+('Control Room'!$D$8-'Control Room'!$B$8)*AF355/2147483647)</x:f>
        <x:v>1010.8749389850882</x:v>
      </x:c>
      <x:c r="AI355" s="17" t="n">
        <x:f>IF('Control Room'!$B$5="Normal",'Control Room'!$B$7,('Control Room'!$B$8+'Control Room'!$D$8)/2)+'Control Room'!$B$9*(AI354-IF('Control Room'!$B$5="Normal",'Control Room'!$B$7,('Control Room'!$B$8+'Control Room'!$D$8)/2))+SQRT(1-'Control Room'!$B$9^2)*(AH355-IF('Control Room'!$B$5="Normal",'Control Room'!$B$7,('Control Room'!$B$8+'Control Room'!$D$8)/2))</x:f>
        <x:v>954.1070926380442</x:v>
      </x:c>
      <x:c r="AJ355" s="17" t="n">
        <x:f>IF(AND($A355&gt;='Control Room'!$A$13,$A355&lt;'Control Room'!$A$13+'Control Room'!$B$13,'Process'!BQ2=1),1+('Control Room'!$C$13-1)*EXP(-0.5*(($A355-'Control Room'!$A$13-('Control Room'!$B$13-1)/2)/MAX(0.5,'Control Room'!$B$13/4))^2),1)*IF(AND($A355&gt;='Control Room'!$A$14,$A355&lt;'Control Room'!$A$14+'Control Room'!$B$14,'Process'!BQ3=1),1+('Control Room'!$C$14-1)*EXP(-0.5*(($A355-'Control Room'!$A$14-('Control Room'!$B$14-1)/2)/MAX(0.5,'Control Room'!$B$14/4))^2),1)*IF(AND($A355&gt;='Control Room'!$A$15,$A355&lt;'Control Room'!$A$15+'Control Room'!$B$15,'Process'!BQ4=1),1+('Control Room'!$C$15-1)*EXP(-0.5*(($A355-'Control Room'!$A$15-('Control Room'!$B$15-1)/2)/MAX(0.5,'Control Room'!$B$15/4))^2),1)*IF(AND($A355&gt;='Control Room'!$A$16,$A355&lt;'Control Room'!$A$16+'Control Room'!$B$16,'Process'!BQ5=1),1+('Control Room'!$C$16-1)*EXP(-0.5*(($A355-'Control Room'!$A$16-('Control Room'!$B$16-1)/2)/MAX(0.5,'Control Room'!$B$16/4))^2),1)</x:f>
        <x:v>1</x:v>
      </x:c>
      <x:c r="AK355" s="9" t="n">
        <x:f>MOD(AL354*16807,2147483647)</x:f>
        <x:v>1504776426</x:v>
      </x:c>
      <x:c r="AL355" s="9" t="n">
        <x:f>MOD(AK355*16807,2147483647)</x:f>
        <x:v>2009964710</x:v>
      </x:c>
      <x:c r="AM355" s="17" t="n">
        <x:f>IF('Control Room'!$B$5="Normal",'Control Room'!$B$7+'Control Room'!$D$7*SQRT(-2*LN(MAX(0.000000000001,AK355/2147483647)))*COS(2*PI()*AL355/2147483647),'Control Room'!$B$8+('Control Room'!$D$8-'Control Room'!$B$8)*AK355/2147483647)</x:f>
        <x:v>1069.84324617735</x:v>
      </x:c>
      <x:c r="AN355" s="17" t="n">
        <x:f>IF('Control Room'!$B$5="Normal",'Control Room'!$B$7,('Control Room'!$B$8+'Control Room'!$D$8)/2)+'Control Room'!$B$9*(AN354-IF('Control Room'!$B$5="Normal",'Control Room'!$B$7,('Control Room'!$B$8+'Control Room'!$D$8)/2))+SQRT(1-'Control Room'!$B$9^2)*(AM355-IF('Control Room'!$B$5="Normal",'Control Room'!$B$7,('Control Room'!$B$8+'Control Room'!$D$8)/2))</x:f>
        <x:v>1133.1347394173579</x:v>
      </x:c>
      <x:c r="AO355" s="17" t="n">
        <x:f>IF(AND($A355&gt;='Control Room'!$A$13,$A355&lt;'Control Room'!$A$13+'Control Room'!$B$13,'Process'!BR2=1),1+('Control Room'!$C$13-1)*EXP(-0.5*(($A355-'Control Room'!$A$13-('Control Room'!$B$13-1)/2)/MAX(0.5,'Control Room'!$B$13/4))^2),1)*IF(AND($A355&gt;='Control Room'!$A$14,$A355&lt;'Control Room'!$A$14+'Control Room'!$B$14,'Process'!BR3=1),1+('Control Room'!$C$14-1)*EXP(-0.5*(($A355-'Control Room'!$A$14-('Control Room'!$B$14-1)/2)/MAX(0.5,'Control Room'!$B$14/4))^2),1)*IF(AND($A355&gt;='Control Room'!$A$15,$A355&lt;'Control Room'!$A$15+'Control Room'!$B$15,'Process'!BR4=1),1+('Control Room'!$C$15-1)*EXP(-0.5*(($A355-'Control Room'!$A$15-('Control Room'!$B$15-1)/2)/MAX(0.5,'Control Room'!$B$15/4))^2),1)*IF(AND($A355&gt;='Control Room'!$A$16,$A355&lt;'Control Room'!$A$16+'Control Room'!$B$16,'Process'!BR5=1),1+('Control Room'!$C$16-1)*EXP(-0.5*(($A355-'Control Room'!$A$16-('Control Room'!$B$16-1)/2)/MAX(0.5,'Control Room'!$B$16/4))^2),1)</x:f>
        <x:v>1</x:v>
      </x:c>
      <x:c r="AP355" s="9" t="n">
        <x:f>MOD(AQ354*16807,2147483647)</x:f>
        <x:v>1061752358</x:v>
      </x:c>
      <x:c r="AQ355" s="9" t="n">
        <x:f>MOD(AP355*16807,2147483647)</x:f>
        <x:v>1430257983</x:v>
      </x:c>
      <x:c r="AR355" s="17" t="n">
        <x:f>IF('Control Room'!$B$5="Normal",'Control Room'!$B$7+'Control Room'!$D$7*SQRT(-2*LN(MAX(0.000000000001,AP355/2147483647)))*COS(2*PI()*AQ355/2147483647),'Control Room'!$B$8+('Control Room'!$D$8-'Control Room'!$B$8)*AP355/2147483647)</x:f>
        <x:v>946.2112214987526</x:v>
      </x:c>
      <x:c r="AS355" s="17" t="n">
        <x:f>IF('Control Room'!$B$5="Normal",'Control Room'!$B$7,('Control Room'!$B$8+'Control Room'!$D$8)/2)+'Control Room'!$B$9*(AS354-IF('Control Room'!$B$5="Normal",'Control Room'!$B$7,('Control Room'!$B$8+'Control Room'!$D$8)/2))+SQRT(1-'Control Room'!$B$9^2)*(AR355-IF('Control Room'!$B$5="Normal",'Control Room'!$B$7,('Control Room'!$B$8+'Control Room'!$D$8)/2))</x:f>
        <x:v>914.8993689202913</x:v>
      </x:c>
      <x:c r="AT355" s="17" t="n">
        <x:f>IF(AND($A355&gt;='Control Room'!$A$13,$A355&lt;'Control Room'!$A$13+'Control Room'!$B$13,'Process'!BS2=1),1+('Control Room'!$C$13-1)*EXP(-0.5*(($A355-'Control Room'!$A$13-('Control Room'!$B$13-1)/2)/MAX(0.5,'Control Room'!$B$13/4))^2),1)*IF(AND($A355&gt;='Control Room'!$A$14,$A355&lt;'Control Room'!$A$14+'Control Room'!$B$14,'Process'!BS3=1),1+('Control Room'!$C$14-1)*EXP(-0.5*(($A355-'Control Room'!$A$14-('Control Room'!$B$14-1)/2)/MAX(0.5,'Control Room'!$B$14/4))^2),1)*IF(AND($A355&gt;='Control Room'!$A$15,$A355&lt;'Control Room'!$A$15+'Control Room'!$B$15,'Process'!BS4=1),1+('Control Room'!$C$15-1)*EXP(-0.5*(($A355-'Control Room'!$A$15-('Control Room'!$B$15-1)/2)/MAX(0.5,'Control Room'!$B$15/4))^2),1)*IF(AND($A355&gt;='Control Room'!$A$16,$A355&lt;'Control Room'!$A$16+'Control Room'!$B$16,'Process'!BS5=1),1+('Control Room'!$C$16-1)*EXP(-0.5*(($A355-'Control Room'!$A$16-('Control Room'!$B$16-1)/2)/MAX(0.5,'Control Room'!$B$16/4))^2),1)</x:f>
        <x:v>1</x:v>
      </x:c>
      <x:c r="AU355" s="9" t="n">
        <x:f>MOD(AV354*16807,2147483647)</x:f>
        <x:v>618728290</x:v>
      </x:c>
      <x:c r="AV355" s="9" t="n">
        <x:f>MOD(AU355*16807,2147483647)</x:f>
        <x:v>850551256</x:v>
      </x:c>
      <x:c r="AW355" s="17" t="n">
        <x:f>IF('Control Room'!$B$5="Normal",'Control Room'!$B$7+'Control Room'!$D$7*SQRT(-2*LN(MAX(0.000000000001,AU355/2147483647)))*COS(2*PI()*AV355/2147483647),'Control Room'!$B$8+('Control Room'!$D$8-'Control Room'!$B$8)*AU355/2147483647)</x:f>
        <x:v>887.2299043063784</x:v>
      </x:c>
      <x:c r="AX355" s="17" t="n">
        <x:f>IF('Control Room'!$B$5="Normal",'Control Room'!$B$7,('Control Room'!$B$8+'Control Room'!$D$8)/2)+'Control Room'!$B$9*(AX354-IF('Control Room'!$B$5="Normal",'Control Room'!$B$7,('Control Room'!$B$8+'Control Room'!$D$8)/2))+SQRT(1-'Control Room'!$B$9^2)*(AW355-IF('Control Room'!$B$5="Normal",'Control Room'!$B$7,('Control Room'!$B$8+'Control Room'!$D$8)/2))</x:f>
        <x:v>910.0266217145971</x:v>
      </x:c>
      <x:c r="AY355" s="17" t="n">
        <x:f>IF(AND($A355&gt;='Control Room'!$A$13,$A355&lt;'Control Room'!$A$13+'Control Room'!$B$13,'Process'!BT2=1),1+('Control Room'!$C$13-1)*EXP(-0.5*(($A355-'Control Room'!$A$13-('Control Room'!$B$13-1)/2)/MAX(0.5,'Control Room'!$B$13/4))^2),1)*IF(AND($A355&gt;='Control Room'!$A$14,$A355&lt;'Control Room'!$A$14+'Control Room'!$B$14,'Process'!BT3=1),1+('Control Room'!$C$14-1)*EXP(-0.5*(($A355-'Control Room'!$A$14-('Control Room'!$B$14-1)/2)/MAX(0.5,'Control Room'!$B$14/4))^2),1)*IF(AND($A355&gt;='Control Room'!$A$15,$A355&lt;'Control Room'!$A$15+'Control Room'!$B$15,'Process'!BT4=1),1+('Control Room'!$C$15-1)*EXP(-0.5*(($A355-'Control Room'!$A$15-('Control Room'!$B$15-1)/2)/MAX(0.5,'Control Room'!$B$15/4))^2),1)*IF(AND($A355&gt;='Control Room'!$A$16,$A355&lt;'Control Room'!$A$16+'Control Room'!$B$16,'Process'!BT5=1),1+('Control Room'!$C$16-1)*EXP(-0.5*(($A355-'Control Room'!$A$16-('Control Room'!$B$16-1)/2)/MAX(0.5,'Control Room'!$B$16/4))^2),1)</x:f>
        <x:v>1</x:v>
      </x:c>
      <x:c r="AZ355" s="9" t="n">
        <x:f>MOD(BA354*16807,2147483647)</x:f>
        <x:v>175704222</x:v>
      </x:c>
      <x:c r="BA355" s="9" t="n">
        <x:f>MOD(AZ355*16807,2147483647)</x:f>
        <x:v>270844529</x:v>
      </x:c>
      <x:c r="BB355" s="17" t="n">
        <x:f>IF('Control Room'!$B$5="Normal",'Control Room'!$B$7+'Control Room'!$D$7*SQRT(-2*LN(MAX(0.000000000001,AZ355/2147483647)))*COS(2*PI()*BA355/2147483647),'Control Room'!$B$8+('Control Room'!$D$8-'Control Room'!$B$8)*AZ355/2147483647)</x:f>
        <x:v>1141.3877543108574</x:v>
      </x:c>
      <x:c r="BC355" s="17" t="n">
        <x:f>IF('Control Room'!$B$5="Normal",'Control Room'!$B$7,('Control Room'!$B$8+'Control Room'!$D$8)/2)+'Control Room'!$B$9*(BC354-IF('Control Room'!$B$5="Normal",'Control Room'!$B$7,('Control Room'!$B$8+'Control Room'!$D$8)/2))+SQRT(1-'Control Room'!$B$9^2)*(BB355-IF('Control Room'!$B$5="Normal",'Control Room'!$B$7,('Control Room'!$B$8+'Control Room'!$D$8)/2))</x:f>
        <x:v>1172.1832924367268</x:v>
      </x:c>
      <x:c r="BD355" s="17" t="n">
        <x:f>IF(AND($A355&gt;='Control Room'!$A$13,$A355&lt;'Control Room'!$A$13+'Control Room'!$B$13,'Process'!BU2=1),1+('Control Room'!$C$13-1)*EXP(-0.5*(($A355-'Control Room'!$A$13-('Control Room'!$B$13-1)/2)/MAX(0.5,'Control Room'!$B$13/4))^2),1)*IF(AND($A355&gt;='Control Room'!$A$14,$A355&lt;'Control Room'!$A$14+'Control Room'!$B$14,'Process'!BU3=1),1+('Control Room'!$C$14-1)*EXP(-0.5*(($A355-'Control Room'!$A$14-('Control Room'!$B$14-1)/2)/MAX(0.5,'Control Room'!$B$14/4))^2),1)*IF(AND($A355&gt;='Control Room'!$A$15,$A355&lt;'Control Room'!$A$15+'Control Room'!$B$15,'Process'!BU4=1),1+('Control Room'!$C$15-1)*EXP(-0.5*(($A355-'Control Room'!$A$15-('Control Room'!$B$15-1)/2)/MAX(0.5,'Control Room'!$B$15/4))^2),1)*IF(AND($A355&gt;='Control Room'!$A$16,$A355&lt;'Control Room'!$A$16+'Control Room'!$B$16,'Process'!BU5=1),1+('Control Room'!$C$16-1)*EXP(-0.5*(($A355-'Control Room'!$A$16-('Control Room'!$B$16-1)/2)/MAX(0.5,'Control Room'!$B$16/4))^2),1)</x:f>
        <x:v>1</x:v>
      </x:c>
      <x:c r="BE355" s="9" t="n">
        <x:f>MOD(BF354*16807,2147483647)</x:f>
        <x:v>1880163801</x:v>
      </x:c>
      <x:c r="BF355" s="9" t="n">
        <x:f>MOD(BE355*16807,2147483647)</x:f>
        <x:v>1838621449</x:v>
      </x:c>
      <x:c r="BG355" s="17" t="n">
        <x:f>IF('Control Room'!$B$5="Normal",'Control Room'!$B$7+'Control Room'!$D$7*SQRT(-2*LN(MAX(0.000000000001,BE355/2147483647)))*COS(2*PI()*BF355/2147483647),'Control Room'!$B$8+('Control Room'!$D$8-'Control Room'!$B$8)*BE355/2147483647)</x:f>
        <x:v>1028.7129682125967</x:v>
      </x:c>
      <x:c r="BH355" s="17" t="n">
        <x:f>IF('Control Room'!$B$5="Normal",'Control Room'!$B$7,('Control Room'!$B$8+'Control Room'!$D$8)/2)+'Control Room'!$B$9*(BH354-IF('Control Room'!$B$5="Normal",'Control Room'!$B$7,('Control Room'!$B$8+'Control Room'!$D$8)/2))+SQRT(1-'Control Room'!$B$9^2)*(BG355-IF('Control Room'!$B$5="Normal",'Control Room'!$B$7,('Control Room'!$B$8+'Control Room'!$D$8)/2))</x:f>
        <x:v>1031.9119784375785</x:v>
      </x:c>
      <x:c r="BI355" s="17" t="n">
        <x:f>IF(AND($A355&gt;='Control Room'!$A$13,$A355&lt;'Control Room'!$A$13+'Control Room'!$B$13,'Process'!BV2=1),1+('Control Room'!$C$13-1)*EXP(-0.5*(($A355-'Control Room'!$A$13-('Control Room'!$B$13-1)/2)/MAX(0.5,'Control Room'!$B$13/4))^2),1)*IF(AND($A355&gt;='Control Room'!$A$14,$A355&lt;'Control Room'!$A$14+'Control Room'!$B$14,'Process'!BV3=1),1+('Control Room'!$C$14-1)*EXP(-0.5*(($A355-'Control Room'!$A$14-('Control Room'!$B$14-1)/2)/MAX(0.5,'Control Room'!$B$14/4))^2),1)*IF(AND($A355&gt;='Control Room'!$A$15,$A355&lt;'Control Room'!$A$15+'Control Room'!$B$15,'Process'!BV4=1),1+('Control Room'!$C$15-1)*EXP(-0.5*(($A355-'Control Room'!$A$15-('Control Room'!$B$15-1)/2)/MAX(0.5,'Control Room'!$B$15/4))^2),1)*IF(AND($A355&gt;='Control Room'!$A$16,$A355&lt;'Control Room'!$A$16+'Control Room'!$B$16,'Process'!BV5=1),1+('Control Room'!$C$16-1)*EXP(-0.5*(($A355-'Control Room'!$A$16-('Control Room'!$B$16-1)/2)/MAX(0.5,'Control Room'!$B$16/4))^2),1)</x:f>
        <x:v>1</x:v>
      </x:c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Z355" t="str">
        <x:f>IF('Data'!A355="","",TEXT('Data'!A355,"mm-dd"))</x:f>
      </x:c>
    </x:row>
    <x:row r="356" ht="21" customHeight="1">
      <x:c r="A356" s="15" t="n">
        <x:f>'Control Room'!$B$1+354</x:f>
        <x:v>73345</x:v>
      </x:c>
      <x:c r="B356" s="9" t="n">
        <x:f>MOD(C355*16807,2147483647)</x:f>
        <x:v>1542693410</x:v>
      </x:c>
      <x:c r="C356" s="9" t="n">
        <x:f>MOD(B356*16807,2147483647)</x:f>
        <x:v>1478071639</x:v>
      </x:c>
      <x:c r="D356" s="17" t="n">
        <x:f>IF('Control Room'!$B$5="Normal",'Control Room'!$B$7+'Control Room'!$D$7*SQRT(-2*LN(MAX(0.000000000001,B356/2147483647)))*COS(2*PI()*C356/2147483647),'Control Room'!$B$8+('Control Room'!$D$8-'Control Room'!$B$8)*B356/2147483647)</x:f>
        <x:v>972.3191860443882</x:v>
      </x:c>
      <x:c r="E356" s="17" t="n">
        <x:f>IF('Control Room'!$B$5="Normal",'Control Room'!$B$7,('Control Room'!$B$8+'Control Room'!$D$8)/2)+'Control Room'!$B$9*(E355-IF('Control Room'!$B$5="Normal",'Control Room'!$B$7,('Control Room'!$B$8+'Control Room'!$D$8)/2))+SQRT(1-'Control Room'!$B$9^2)*(D356-IF('Control Room'!$B$5="Normal",'Control Room'!$B$7,('Control Room'!$B$8+'Control Room'!$D$8)/2))</x:f>
        <x:v>986.9833095159531</x:v>
      </x:c>
      <x:c r="F356" s="17" t="n">
        <x:f>IF(AND($A356&gt;='Control Room'!$A$13,$A356&lt;'Control Room'!$A$13+'Control Room'!$B$13,'Process'!BK2=1),1+('Control Room'!$C$13-1)*EXP(-0.5*(($A356-'Control Room'!$A$13-('Control Room'!$B$13-1)/2)/MAX(0.5,'Control Room'!$B$13/4))^2),1)*IF(AND($A356&gt;='Control Room'!$A$14,$A356&lt;'Control Room'!$A$14+'Control Room'!$B$14,'Process'!BK3=1),1+('Control Room'!$C$14-1)*EXP(-0.5*(($A356-'Control Room'!$A$14-('Control Room'!$B$14-1)/2)/MAX(0.5,'Control Room'!$B$14/4))^2),1)*IF(AND($A356&gt;='Control Room'!$A$15,$A356&lt;'Control Room'!$A$15+'Control Room'!$B$15,'Process'!BK4=1),1+('Control Room'!$C$15-1)*EXP(-0.5*(($A356-'Control Room'!$A$15-('Control Room'!$B$15-1)/2)/MAX(0.5,'Control Room'!$B$15/4))^2),1)*IF(AND($A356&gt;='Control Room'!$A$16,$A356&lt;'Control Room'!$A$16+'Control Room'!$B$16,'Process'!BK5=1),1+('Control Room'!$C$16-1)*EXP(-0.5*(($A356-'Control Room'!$A$16-('Control Room'!$B$16-1)/2)/MAX(0.5,'Control Room'!$B$16/4))^2),1)</x:f>
        <x:v>1</x:v>
      </x:c>
      <x:c r="G356" s="9" t="n">
        <x:f>MOD(H355*16807,2147483647)</x:f>
        <x:v>1545039160</x:v>
      </x:c>
      <x:c r="H356" s="9" t="n">
        <x:f>MOD(G356*16807,2147483647)</x:f>
        <x:v>100902596</x:v>
      </x:c>
      <x:c r="I356" s="17" t="n">
        <x:f>IF('Control Room'!$B$5="Normal",'Control Room'!$B$7+'Control Room'!$D$7*SQRT(-2*LN(MAX(0.000000000001,G356/2147483647)))*COS(2*PI()*H356/2147483647),'Control Room'!$B$8+('Control Room'!$D$8-'Control Room'!$B$8)*G356/2147483647)</x:f>
        <x:v>1069.8733004980404</x:v>
      </x:c>
      <x:c r="J356" s="17" t="n">
        <x:f>IF('Control Room'!$B$5="Normal",'Control Room'!$B$7,('Control Room'!$B$8+'Control Room'!$D$8)/2)+'Control Room'!$B$9*(J355-IF('Control Room'!$B$5="Normal",'Control Room'!$B$7,('Control Room'!$B$8+'Control Room'!$D$8)/2))+SQRT(1-'Control Room'!$B$9^2)*(I356-IF('Control Room'!$B$5="Normal",'Control Room'!$B$7,('Control Room'!$B$8+'Control Room'!$D$8)/2))</x:f>
        <x:v>1083.0126574055987</x:v>
      </x:c>
      <x:c r="K356" s="17" t="n">
        <x:f>IF(AND($A356&gt;='Control Room'!$A$13,$A356&lt;'Control Room'!$A$13+'Control Room'!$B$13,'Process'!BL2=1),1+('Control Room'!$C$13-1)*EXP(-0.5*(($A356-'Control Room'!$A$13-('Control Room'!$B$13-1)/2)/MAX(0.5,'Control Room'!$B$13/4))^2),1)*IF(AND($A356&gt;='Control Room'!$A$14,$A356&lt;'Control Room'!$A$14+'Control Room'!$B$14,'Process'!BL3=1),1+('Control Room'!$C$14-1)*EXP(-0.5*(($A356-'Control Room'!$A$14-('Control Room'!$B$14-1)/2)/MAX(0.5,'Control Room'!$B$14/4))^2),1)*IF(AND($A356&gt;='Control Room'!$A$15,$A356&lt;'Control Room'!$A$15+'Control Room'!$B$15,'Process'!BL4=1),1+('Control Room'!$C$15-1)*EXP(-0.5*(($A356-'Control Room'!$A$15-('Control Room'!$B$15-1)/2)/MAX(0.5,'Control Room'!$B$15/4))^2),1)*IF(AND($A356&gt;='Control Room'!$A$16,$A356&lt;'Control Room'!$A$16+'Control Room'!$B$16,'Process'!BL5=1),1+('Control Room'!$C$16-1)*EXP(-0.5*(($A356-'Control Room'!$A$16-('Control Room'!$B$16-1)/2)/MAX(0.5,'Control Room'!$B$16/4))^2),1)</x:f>
        <x:v>1</x:v>
      </x:c>
      <x:c r="L356" s="9" t="n">
        <x:f>MOD(M355*16807,2147483647)</x:f>
        <x:v>1547384910</x:v>
      </x:c>
      <x:c r="M356" s="9" t="n">
        <x:f>MOD(L356*16807,2147483647)</x:f>
        <x:v>871217200</x:v>
      </x:c>
      <x:c r="N356" s="17" t="n">
        <x:f>IF('Control Room'!$B$5="Normal",'Control Room'!$B$7+'Control Room'!$D$7*SQRT(-2*LN(MAX(0.000000000001,L356/2147483647)))*COS(2*PI()*M356/2147483647),'Control Room'!$B$8+('Control Room'!$D$8-'Control Room'!$B$8)*L356/2147483647)</x:f>
        <x:v>939.5576669354223</x:v>
      </x:c>
      <x:c r="O356" s="17" t="n">
        <x:f>IF('Control Room'!$B$5="Normal",'Control Room'!$B$7,('Control Room'!$B$8+'Control Room'!$D$8)/2)+'Control Room'!$B$9*(O355-IF('Control Room'!$B$5="Normal",'Control Room'!$B$7,('Control Room'!$B$8+'Control Room'!$D$8)/2))+SQRT(1-'Control Room'!$B$9^2)*(N356-IF('Control Room'!$B$5="Normal",'Control Room'!$B$7,('Control Room'!$B$8+'Control Room'!$D$8)/2))</x:f>
        <x:v>981.4238225991768</x:v>
      </x:c>
      <x:c r="P356" s="17" t="n">
        <x:f>IF(AND($A356&gt;='Control Room'!$A$13,$A356&lt;'Control Room'!$A$13+'Control Room'!$B$13,'Process'!BM2=1),1+('Control Room'!$C$13-1)*EXP(-0.5*(($A356-'Control Room'!$A$13-('Control Room'!$B$13-1)/2)/MAX(0.5,'Control Room'!$B$13/4))^2),1)*IF(AND($A356&gt;='Control Room'!$A$14,$A356&lt;'Control Room'!$A$14+'Control Room'!$B$14,'Process'!BM3=1),1+('Control Room'!$C$14-1)*EXP(-0.5*(($A356-'Control Room'!$A$14-('Control Room'!$B$14-1)/2)/MAX(0.5,'Control Room'!$B$14/4))^2),1)*IF(AND($A356&gt;='Control Room'!$A$15,$A356&lt;'Control Room'!$A$15+'Control Room'!$B$15,'Process'!BM4=1),1+('Control Room'!$C$15-1)*EXP(-0.5*(($A356-'Control Room'!$A$15-('Control Room'!$B$15-1)/2)/MAX(0.5,'Control Room'!$B$15/4))^2),1)*IF(AND($A356&gt;='Control Room'!$A$16,$A356&lt;'Control Room'!$A$16+'Control Room'!$B$16,'Process'!BM5=1),1+('Control Room'!$C$16-1)*EXP(-0.5*(($A356-'Control Room'!$A$16-('Control Room'!$B$16-1)/2)/MAX(0.5,'Control Room'!$B$16/4))^2),1)</x:f>
        <x:v>1</x:v>
      </x:c>
      <x:c r="Q356" s="9" t="n">
        <x:f>MOD(R355*16807,2147483647)</x:f>
        <x:v>1549730660</x:v>
      </x:c>
      <x:c r="R356" s="9" t="n">
        <x:f>MOD(Q356*16807,2147483647)</x:f>
        <x:v>1641531804</x:v>
      </x:c>
      <x:c r="S356" s="17" t="n">
        <x:f>IF('Control Room'!$B$5="Normal",'Control Room'!$B$7+'Control Room'!$D$7*SQRT(-2*LN(MAX(0.000000000001,Q356/2147483647)))*COS(2*PI()*R356/2147483647),'Control Room'!$B$8+('Control Room'!$D$8-'Control Room'!$B$8)*Q356/2147483647)</x:f>
        <x:v>1006.5674044671592</x:v>
      </x:c>
      <x:c r="T356" s="17" t="n">
        <x:f>IF('Control Room'!$B$5="Normal",'Control Room'!$B$7,('Control Room'!$B$8+'Control Room'!$D$8)/2)+'Control Room'!$B$9*(T355-IF('Control Room'!$B$5="Normal",'Control Room'!$B$7,('Control Room'!$B$8+'Control Room'!$D$8)/2))+SQRT(1-'Control Room'!$B$9^2)*(S356-IF('Control Room'!$B$5="Normal",'Control Room'!$B$7,('Control Room'!$B$8+'Control Room'!$D$8)/2))</x:f>
        <x:v>1002.8472987038431</x:v>
      </x:c>
      <x:c r="U356" s="17" t="n">
        <x:f>IF(AND($A356&gt;='Control Room'!$A$13,$A356&lt;'Control Room'!$A$13+'Control Room'!$B$13,'Process'!BN2=1),1+('Control Room'!$C$13-1)*EXP(-0.5*(($A356-'Control Room'!$A$13-('Control Room'!$B$13-1)/2)/MAX(0.5,'Control Room'!$B$13/4))^2),1)*IF(AND($A356&gt;='Control Room'!$A$14,$A356&lt;'Control Room'!$A$14+'Control Room'!$B$14,'Process'!BN3=1),1+('Control Room'!$C$14-1)*EXP(-0.5*(($A356-'Control Room'!$A$14-('Control Room'!$B$14-1)/2)/MAX(0.5,'Control Room'!$B$14/4))^2),1)*IF(AND($A356&gt;='Control Room'!$A$15,$A356&lt;'Control Room'!$A$15+'Control Room'!$B$15,'Process'!BN4=1),1+('Control Room'!$C$15-1)*EXP(-0.5*(($A356-'Control Room'!$A$15-('Control Room'!$B$15-1)/2)/MAX(0.5,'Control Room'!$B$15/4))^2),1)*IF(AND($A356&gt;='Control Room'!$A$16,$A356&lt;'Control Room'!$A$16+'Control Room'!$B$16,'Process'!BN5=1),1+('Control Room'!$C$16-1)*EXP(-0.5*(($A356-'Control Room'!$A$16-('Control Room'!$B$16-1)/2)/MAX(0.5,'Control Room'!$B$16/4))^2),1)</x:f>
        <x:v>1</x:v>
      </x:c>
      <x:c r="V356" s="9" t="n">
        <x:f>MOD(W355*16807,2147483647)</x:f>
        <x:v>1552076410</x:v>
      </x:c>
      <x:c r="W356" s="9" t="n">
        <x:f>MOD(V356*16807,2147483647)</x:f>
        <x:v>264362761</x:v>
      </x:c>
      <x:c r="X356" s="17" t="n">
        <x:f>IF('Control Room'!$B$5="Normal",'Control Room'!$B$7+'Control Room'!$D$7*SQRT(-2*LN(MAX(0.000000000001,V356/2147483647)))*COS(2*PI()*W356/2147483647),'Control Room'!$B$8+('Control Room'!$D$8-'Control Room'!$B$8)*V356/2147483647)</x:f>
        <x:v>1051.8919054760668</x:v>
      </x:c>
      <x:c r="Y356" s="17" t="n">
        <x:f>IF('Control Room'!$B$5="Normal",'Control Room'!$B$7,('Control Room'!$B$8+'Control Room'!$D$8)/2)+'Control Room'!$B$9*(Y355-IF('Control Room'!$B$5="Normal",'Control Room'!$B$7,('Control Room'!$B$8+'Control Room'!$D$8)/2))+SQRT(1-'Control Room'!$B$9^2)*(X356-IF('Control Room'!$B$5="Normal",'Control Room'!$B$7,('Control Room'!$B$8+'Control Room'!$D$8)/2))</x:f>
        <x:v>1175.0328062430958</x:v>
      </x:c>
      <x:c r="Z356" s="17" t="n">
        <x:f>IF(AND($A356&gt;='Control Room'!$A$13,$A356&lt;'Control Room'!$A$13+'Control Room'!$B$13,'Process'!BO2=1),1+('Control Room'!$C$13-1)*EXP(-0.5*(($A356-'Control Room'!$A$13-('Control Room'!$B$13-1)/2)/MAX(0.5,'Control Room'!$B$13/4))^2),1)*IF(AND($A356&gt;='Control Room'!$A$14,$A356&lt;'Control Room'!$A$14+'Control Room'!$B$14,'Process'!BO3=1),1+('Control Room'!$C$14-1)*EXP(-0.5*(($A356-'Control Room'!$A$14-('Control Room'!$B$14-1)/2)/MAX(0.5,'Control Room'!$B$14/4))^2),1)*IF(AND($A356&gt;='Control Room'!$A$15,$A356&lt;'Control Room'!$A$15+'Control Room'!$B$15,'Process'!BO4=1),1+('Control Room'!$C$15-1)*EXP(-0.5*(($A356-'Control Room'!$A$15-('Control Room'!$B$15-1)/2)/MAX(0.5,'Control Room'!$B$15/4))^2),1)*IF(AND($A356&gt;='Control Room'!$A$16,$A356&lt;'Control Room'!$A$16+'Control Room'!$B$16,'Process'!BO5=1),1+('Control Room'!$C$16-1)*EXP(-0.5*(($A356-'Control Room'!$A$16-('Control Room'!$B$16-1)/2)/MAX(0.5,'Control Room'!$B$16/4))^2),1)</x:f>
        <x:v>1</x:v>
      </x:c>
      <x:c r="AA356" s="9" t="n">
        <x:f>MOD(AB355*16807,2147483647)</x:f>
        <x:v>1554422160</x:v>
      </x:c>
      <x:c r="AB356" s="9" t="n">
        <x:f>MOD(AA356*16807,2147483647)</x:f>
        <x:v>1034677365</x:v>
      </x:c>
      <x:c r="AC356" s="17" t="n">
        <x:f>IF('Control Room'!$B$5="Normal",'Control Room'!$B$7+'Control Room'!$D$7*SQRT(-2*LN(MAX(0.000000000001,AA356/2147483647)))*COS(2*PI()*AB356/2147483647),'Control Room'!$B$8+('Control Room'!$D$8-'Control Room'!$B$8)*AA356/2147483647)</x:f>
        <x:v>928.1138085478909</x:v>
      </x:c>
      <x:c r="AD356" s="17" t="n">
        <x:f>IF('Control Room'!$B$5="Normal",'Control Room'!$B$7,('Control Room'!$B$8+'Control Room'!$D$8)/2)+'Control Room'!$B$9*(AD355-IF('Control Room'!$B$5="Normal",'Control Room'!$B$7,('Control Room'!$B$8+'Control Room'!$D$8)/2))+SQRT(1-'Control Room'!$B$9^2)*(AC356-IF('Control Room'!$B$5="Normal",'Control Room'!$B$7,('Control Room'!$B$8+'Control Room'!$D$8)/2))</x:f>
        <x:v>791.7582165974403</x:v>
      </x:c>
      <x:c r="AE356" s="17" t="n">
        <x:f>IF(AND($A356&gt;='Control Room'!$A$13,$A356&lt;'Control Room'!$A$13+'Control Room'!$B$13,'Process'!BP2=1),1+('Control Room'!$C$13-1)*EXP(-0.5*(($A356-'Control Room'!$A$13-('Control Room'!$B$13-1)/2)/MAX(0.5,'Control Room'!$B$13/4))^2),1)*IF(AND($A356&gt;='Control Room'!$A$14,$A356&lt;'Control Room'!$A$14+'Control Room'!$B$14,'Process'!BP3=1),1+('Control Room'!$C$14-1)*EXP(-0.5*(($A356-'Control Room'!$A$14-('Control Room'!$B$14-1)/2)/MAX(0.5,'Control Room'!$B$14/4))^2),1)*IF(AND($A356&gt;='Control Room'!$A$15,$A356&lt;'Control Room'!$A$15+'Control Room'!$B$15,'Process'!BP4=1),1+('Control Room'!$C$15-1)*EXP(-0.5*(($A356-'Control Room'!$A$15-('Control Room'!$B$15-1)/2)/MAX(0.5,'Control Room'!$B$15/4))^2),1)*IF(AND($A356&gt;='Control Room'!$A$16,$A356&lt;'Control Room'!$A$16+'Control Room'!$B$16,'Process'!BP5=1),1+('Control Room'!$C$16-1)*EXP(-0.5*(($A356-'Control Room'!$A$16-('Control Room'!$B$16-1)/2)/MAX(0.5,'Control Room'!$B$16/4))^2),1)</x:f>
        <x:v>1</x:v>
      </x:c>
      <x:c r="AF356" s="9" t="n">
        <x:f>MOD(AG355*16807,2147483647)</x:f>
        <x:v>1556767910</x:v>
      </x:c>
      <x:c r="AG356" s="9" t="n">
        <x:f>MOD(AF356*16807,2147483647)</x:f>
        <x:v>1804991969</x:v>
      </x:c>
      <x:c r="AH356" s="17" t="n">
        <x:f>IF('Control Room'!$B$5="Normal",'Control Room'!$B$7+'Control Room'!$D$7*SQRT(-2*LN(MAX(0.000000000001,AF356/2147483647)))*COS(2*PI()*AG356/2147483647),'Control Room'!$B$8+('Control Room'!$D$8-'Control Room'!$B$8)*AF356/2147483647)</x:f>
        <x:v>1038.8779470406353</x:v>
      </x:c>
      <x:c r="AI356" s="17" t="n">
        <x:f>IF('Control Room'!$B$5="Normal",'Control Room'!$B$7,('Control Room'!$B$8+'Control Room'!$D$8)/2)+'Control Room'!$B$9*(AI355-IF('Control Room'!$B$5="Normal",'Control Room'!$B$7,('Control Room'!$B$8+'Control Room'!$D$8)/2))+SQRT(1-'Control Room'!$B$9^2)*(AH356-IF('Control Room'!$B$5="Normal",'Control Room'!$B$7,('Control Room'!$B$8+'Control Room'!$D$8)/2))</x:f>
        <x:v>988.5325550576674</x:v>
      </x:c>
      <x:c r="AJ356" s="17" t="n">
        <x:f>IF(AND($A356&gt;='Control Room'!$A$13,$A356&lt;'Control Room'!$A$13+'Control Room'!$B$13,'Process'!BQ2=1),1+('Control Room'!$C$13-1)*EXP(-0.5*(($A356-'Control Room'!$A$13-('Control Room'!$B$13-1)/2)/MAX(0.5,'Control Room'!$B$13/4))^2),1)*IF(AND($A356&gt;='Control Room'!$A$14,$A356&lt;'Control Room'!$A$14+'Control Room'!$B$14,'Process'!BQ3=1),1+('Control Room'!$C$14-1)*EXP(-0.5*(($A356-'Control Room'!$A$14-('Control Room'!$B$14-1)/2)/MAX(0.5,'Control Room'!$B$14/4))^2),1)*IF(AND($A356&gt;='Control Room'!$A$15,$A356&lt;'Control Room'!$A$15+'Control Room'!$B$15,'Process'!BQ4=1),1+('Control Room'!$C$15-1)*EXP(-0.5*(($A356-'Control Room'!$A$15-('Control Room'!$B$15-1)/2)/MAX(0.5,'Control Room'!$B$15/4))^2),1)*IF(AND($A356&gt;='Control Room'!$A$16,$A356&lt;'Control Room'!$A$16+'Control Room'!$B$16,'Process'!BQ5=1),1+('Control Room'!$C$16-1)*EXP(-0.5*(($A356-'Control Room'!$A$16-('Control Room'!$B$16-1)/2)/MAX(0.5,'Control Room'!$B$16/4))^2),1)</x:f>
        <x:v>1</x:v>
      </x:c>
      <x:c r="AK356" s="9" t="n">
        <x:f>MOD(AL355*16807,2147483647)</x:f>
        <x:v>1559113660</x:v>
      </x:c>
      <x:c r="AL356" s="9" t="n">
        <x:f>MOD(AK356*16807,2147483647)</x:f>
        <x:v>427822926</x:v>
      </x:c>
      <x:c r="AM356" s="17" t="n">
        <x:f>IF('Control Room'!$B$5="Normal",'Control Room'!$B$7+'Control Room'!$D$7*SQRT(-2*LN(MAX(0.000000000001,AK356/2147483647)))*COS(2*PI()*AL356/2147483647),'Control Room'!$B$8+('Control Room'!$D$8-'Control Room'!$B$8)*AK356/2147483647)</x:f>
        <x:v>1022.5906266351043</x:v>
      </x:c>
      <x:c r="AN356" s="17" t="n">
        <x:f>IF('Control Room'!$B$5="Normal",'Control Room'!$B$7,('Control Room'!$B$8+'Control Room'!$D$8)/2)+'Control Room'!$B$9*(AN355-IF('Control Room'!$B$5="Normal",'Control Room'!$B$7,('Control Room'!$B$8+'Control Room'!$D$8)/2))+SQRT(1-'Control Room'!$B$9^2)*(AM356-IF('Control Room'!$B$5="Normal",'Control Room'!$B$7,('Control Room'!$B$8+'Control Room'!$D$8)/2))</x:f>
        <x:v>1117.9818480996457</x:v>
      </x:c>
      <x:c r="AO356" s="17" t="n">
        <x:f>IF(AND($A356&gt;='Control Room'!$A$13,$A356&lt;'Control Room'!$A$13+'Control Room'!$B$13,'Process'!BR2=1),1+('Control Room'!$C$13-1)*EXP(-0.5*(($A356-'Control Room'!$A$13-('Control Room'!$B$13-1)/2)/MAX(0.5,'Control Room'!$B$13/4))^2),1)*IF(AND($A356&gt;='Control Room'!$A$14,$A356&lt;'Control Room'!$A$14+'Control Room'!$B$14,'Process'!BR3=1),1+('Control Room'!$C$14-1)*EXP(-0.5*(($A356-'Control Room'!$A$14-('Control Room'!$B$14-1)/2)/MAX(0.5,'Control Room'!$B$14/4))^2),1)*IF(AND($A356&gt;='Control Room'!$A$15,$A356&lt;'Control Room'!$A$15+'Control Room'!$B$15,'Process'!BR4=1),1+('Control Room'!$C$15-1)*EXP(-0.5*(($A356-'Control Room'!$A$15-('Control Room'!$B$15-1)/2)/MAX(0.5,'Control Room'!$B$15/4))^2),1)*IF(AND($A356&gt;='Control Room'!$A$16,$A356&lt;'Control Room'!$A$16+'Control Room'!$B$16,'Process'!BR5=1),1+('Control Room'!$C$16-1)*EXP(-0.5*(($A356-'Control Room'!$A$16-('Control Room'!$B$16-1)/2)/MAX(0.5,'Control Room'!$B$16/4))^2),1)</x:f>
        <x:v>1</x:v>
      </x:c>
      <x:c r="AP356" s="9" t="n">
        <x:f>MOD(AQ355*16807,2147483647)</x:f>
        <x:v>1561459410</x:v>
      </x:c>
      <x:c r="AQ356" s="9" t="n">
        <x:f>MOD(AP356*16807,2147483647)</x:f>
        <x:v>1198137530</x:v>
      </x:c>
      <x:c r="AR356" s="17" t="n">
        <x:f>IF('Control Room'!$B$5="Normal",'Control Room'!$B$7+'Control Room'!$D$7*SQRT(-2*LN(MAX(0.000000000001,AP356/2147483647)))*COS(2*PI()*AQ356/2147483647),'Control Room'!$B$8+('Control Room'!$D$8-'Control Room'!$B$8)*AP356/2147483647)</x:f>
        <x:v>932.8557867741431</x:v>
      </x:c>
      <x:c r="AS356" s="17" t="n">
        <x:f>IF('Control Room'!$B$5="Normal",'Control Room'!$B$7,('Control Room'!$B$8+'Control Room'!$D$8)/2)+'Control Room'!$B$9*(AS355-IF('Control Room'!$B$5="Normal",'Control Room'!$B$7,('Control Room'!$B$8+'Control Room'!$D$8)/2))+SQRT(1-'Control Room'!$B$9^2)*(AR356-IF('Control Room'!$B$5="Normal",'Control Room'!$B$7,('Control Room'!$B$8+'Control Room'!$D$8)/2))</x:f>
        <x:v>891.6040346450603</x:v>
      </x:c>
      <x:c r="AT356" s="17" t="n">
        <x:f>IF(AND($A356&gt;='Control Room'!$A$13,$A356&lt;'Control Room'!$A$13+'Control Room'!$B$13,'Process'!BS2=1),1+('Control Room'!$C$13-1)*EXP(-0.5*(($A356-'Control Room'!$A$13-('Control Room'!$B$13-1)/2)/MAX(0.5,'Control Room'!$B$13/4))^2),1)*IF(AND($A356&gt;='Control Room'!$A$14,$A356&lt;'Control Room'!$A$14+'Control Room'!$B$14,'Process'!BS3=1),1+('Control Room'!$C$14-1)*EXP(-0.5*(($A356-'Control Room'!$A$14-('Control Room'!$B$14-1)/2)/MAX(0.5,'Control Room'!$B$14/4))^2),1)*IF(AND($A356&gt;='Control Room'!$A$15,$A356&lt;'Control Room'!$A$15+'Control Room'!$B$15,'Process'!BS4=1),1+('Control Room'!$C$15-1)*EXP(-0.5*(($A356-'Control Room'!$A$15-('Control Room'!$B$15-1)/2)/MAX(0.5,'Control Room'!$B$15/4))^2),1)*IF(AND($A356&gt;='Control Room'!$A$16,$A356&lt;'Control Room'!$A$16+'Control Room'!$B$16,'Process'!BS5=1),1+('Control Room'!$C$16-1)*EXP(-0.5*(($A356-'Control Room'!$A$16-('Control Room'!$B$16-1)/2)/MAX(0.5,'Control Room'!$B$16/4))^2),1)</x:f>
        <x:v>1</x:v>
      </x:c>
      <x:c r="AU356" s="9" t="n">
        <x:f>MOD(AV355*16807,2147483647)</x:f>
        <x:v>1563805160</x:v>
      </x:c>
      <x:c r="AV356" s="9" t="n">
        <x:f>MOD(AU356*16807,2147483647)</x:f>
        <x:v>1968452134</x:v>
      </x:c>
      <x:c r="AW356" s="17" t="n">
        <x:f>IF('Control Room'!$B$5="Normal",'Control Room'!$B$7+'Control Room'!$D$7*SQRT(-2*LN(MAX(0.000000000001,AU356/2147483647)))*COS(2*PI()*AV356/2147483647),'Control Room'!$B$8+('Control Room'!$D$8-'Control Room'!$B$8)*AU356/2147483647)</x:f>
        <x:v>1062.0701379222671</x:v>
      </x:c>
      <x:c r="AX356" s="17" t="n">
        <x:f>IF('Control Room'!$B$5="Normal",'Control Room'!$B$7,('Control Room'!$B$8+'Control Room'!$D$8)/2)+'Control Room'!$B$9*(AX355-IF('Control Room'!$B$5="Normal",'Control Room'!$B$7,('Control Room'!$B$8+'Control Room'!$D$8)/2))+SQRT(1-'Control Room'!$B$9^2)*(AW356-IF('Control Room'!$B$5="Normal",'Control Room'!$B$7,('Control Room'!$B$8+'Control Room'!$D$8)/2))</x:f>
        <x:v>968.6629856732488</x:v>
      </x:c>
      <x:c r="AY356" s="17" t="n">
        <x:f>IF(AND($A356&gt;='Control Room'!$A$13,$A356&lt;'Control Room'!$A$13+'Control Room'!$B$13,'Process'!BT2=1),1+('Control Room'!$C$13-1)*EXP(-0.5*(($A356-'Control Room'!$A$13-('Control Room'!$B$13-1)/2)/MAX(0.5,'Control Room'!$B$13/4))^2),1)*IF(AND($A356&gt;='Control Room'!$A$14,$A356&lt;'Control Room'!$A$14+'Control Room'!$B$14,'Process'!BT3=1),1+('Control Room'!$C$14-1)*EXP(-0.5*(($A356-'Control Room'!$A$14-('Control Room'!$B$14-1)/2)/MAX(0.5,'Control Room'!$B$14/4))^2),1)*IF(AND($A356&gt;='Control Room'!$A$15,$A356&lt;'Control Room'!$A$15+'Control Room'!$B$15,'Process'!BT4=1),1+('Control Room'!$C$15-1)*EXP(-0.5*(($A356-'Control Room'!$A$15-('Control Room'!$B$15-1)/2)/MAX(0.5,'Control Room'!$B$15/4))^2),1)*IF(AND($A356&gt;='Control Room'!$A$16,$A356&lt;'Control Room'!$A$16+'Control Room'!$B$16,'Process'!BT5=1),1+('Control Room'!$C$16-1)*EXP(-0.5*(($A356-'Control Room'!$A$16-('Control Room'!$B$16-1)/2)/MAX(0.5,'Control Room'!$B$16/4))^2),1)</x:f>
        <x:v>1</x:v>
      </x:c>
      <x:c r="AZ356" s="9" t="n">
        <x:f>MOD(BA355*16807,2147483647)</x:f>
        <x:v>1566150910</x:v>
      </x:c>
      <x:c r="BA356" s="9" t="n">
        <x:f>MOD(AZ356*16807,2147483647)</x:f>
        <x:v>591283091</x:v>
      </x:c>
      <x:c r="BB356" s="17" t="n">
        <x:f>IF('Control Room'!$B$5="Normal",'Control Room'!$B$7+'Control Room'!$D$7*SQRT(-2*LN(MAX(0.000000000001,AZ356/2147483647)))*COS(2*PI()*BA356/2147483647),'Control Room'!$B$8+('Control Room'!$D$8-'Control Room'!$B$8)*AZ356/2147483647)</x:f>
        <x:v>988.663259880349</x:v>
      </x:c>
      <x:c r="BC356" s="17" t="n">
        <x:f>IF('Control Room'!$B$5="Normal",'Control Room'!$B$7,('Control Room'!$B$8+'Control Room'!$D$8)/2)+'Control Room'!$B$9*(BC355-IF('Control Room'!$B$5="Normal",'Control Room'!$B$7,('Control Room'!$B$8+'Control Room'!$D$8)/2))+SQRT(1-'Control Room'!$B$9^2)*(BB356-IF('Control Room'!$B$5="Normal",'Control Room'!$B$7,('Control Room'!$B$8+'Control Room'!$D$8)/2))</x:f>
        <x:v>1127.2086683795144</x:v>
      </x:c>
      <x:c r="BD356" s="17" t="n">
        <x:f>IF(AND($A356&gt;='Control Room'!$A$13,$A356&lt;'Control Room'!$A$13+'Control Room'!$B$13,'Process'!BU2=1),1+('Control Room'!$C$13-1)*EXP(-0.5*(($A356-'Control Room'!$A$13-('Control Room'!$B$13-1)/2)/MAX(0.5,'Control Room'!$B$13/4))^2),1)*IF(AND($A356&gt;='Control Room'!$A$14,$A356&lt;'Control Room'!$A$14+'Control Room'!$B$14,'Process'!BU3=1),1+('Control Room'!$C$14-1)*EXP(-0.5*(($A356-'Control Room'!$A$14-('Control Room'!$B$14-1)/2)/MAX(0.5,'Control Room'!$B$14/4))^2),1)*IF(AND($A356&gt;='Control Room'!$A$15,$A356&lt;'Control Room'!$A$15+'Control Room'!$B$15,'Process'!BU4=1),1+('Control Room'!$C$15-1)*EXP(-0.5*(($A356-'Control Room'!$A$15-('Control Room'!$B$15-1)/2)/MAX(0.5,'Control Room'!$B$15/4))^2),1)*IF(AND($A356&gt;='Control Room'!$A$16,$A356&lt;'Control Room'!$A$16+'Control Room'!$B$16,'Process'!BU5=1),1+('Control Room'!$C$16-1)*EXP(-0.5*(($A356-'Control Room'!$A$16-('Control Room'!$B$16-1)/2)/MAX(0.5,'Control Room'!$B$16/4))^2),1)</x:f>
        <x:v>1</x:v>
      </x:c>
      <x:c r="BE356" s="9" t="n">
        <x:f>MOD(BF355*16807,2147483647)</x:f>
        <x:v>1568496660</x:v>
      </x:c>
      <x:c r="BF356" s="9" t="n">
        <x:f>MOD(BE356*16807,2147483647)</x:f>
        <x:v>1361597695</x:v>
      </x:c>
      <x:c r="BG356" s="17" t="n">
        <x:f>IF('Control Room'!$B$5="Normal",'Control Room'!$B$7+'Control Room'!$D$7*SQRT(-2*LN(MAX(0.000000000001,BE356/2147483647)))*COS(2*PI()*BF356/2147483647),'Control Room'!$B$8+('Control Room'!$D$8-'Control Room'!$B$8)*BE356/2147483647)</x:f>
        <x:v>952.4997748352766</x:v>
      </x:c>
      <x:c r="BH356" s="17" t="n">
        <x:f>IF('Control Room'!$B$5="Normal",'Control Room'!$B$7,('Control Room'!$B$8+'Control Room'!$D$8)/2)+'Control Room'!$B$9*(BH355-IF('Control Room'!$B$5="Normal",'Control Room'!$B$7,('Control Room'!$B$8+'Control Room'!$D$8)/2))+SQRT(1-'Control Room'!$B$9^2)*(BG356-IF('Control Room'!$B$5="Normal",'Control Room'!$B$7,('Control Room'!$B$8+'Control Room'!$D$8)/2))</x:f>
        <x:v>995.1666753682322</x:v>
      </x:c>
      <x:c r="BI356" s="17" t="n">
        <x:f>IF(AND($A356&gt;='Control Room'!$A$13,$A356&lt;'Control Room'!$A$13+'Control Room'!$B$13,'Process'!BV2=1),1+('Control Room'!$C$13-1)*EXP(-0.5*(($A356-'Control Room'!$A$13-('Control Room'!$B$13-1)/2)/MAX(0.5,'Control Room'!$B$13/4))^2),1)*IF(AND($A356&gt;='Control Room'!$A$14,$A356&lt;'Control Room'!$A$14+'Control Room'!$B$14,'Process'!BV3=1),1+('Control Room'!$C$14-1)*EXP(-0.5*(($A356-'Control Room'!$A$14-('Control Room'!$B$14-1)/2)/MAX(0.5,'Control Room'!$B$14/4))^2),1)*IF(AND($A356&gt;='Control Room'!$A$15,$A356&lt;'Control Room'!$A$15+'Control Room'!$B$15,'Process'!BV4=1),1+('Control Room'!$C$15-1)*EXP(-0.5*(($A356-'Control Room'!$A$15-('Control Room'!$B$15-1)/2)/MAX(0.5,'Control Room'!$B$15/4))^2),1)*IF(AND($A356&gt;='Control Room'!$A$16,$A356&lt;'Control Room'!$A$16+'Control Room'!$B$16,'Process'!BV5=1),1+('Control Room'!$C$16-1)*EXP(-0.5*(($A356-'Control Room'!$A$16-('Control Room'!$B$16-1)/2)/MAX(0.5,'Control Room'!$B$16/4))^2),1)</x:f>
        <x:v>1</x:v>
      </x:c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Z356" t="str">
        <x:f>IF('Data'!A356="","",TEXT('Data'!A356,"mm-dd"))</x:f>
      </x:c>
    </x:row>
    <x:row r="357" ht="21" customHeight="1">
      <x:c r="A357" s="15" t="n">
        <x:f>'Control Room'!$B$1+355</x:f>
        <x:v>73346</x:v>
      </x:c>
      <x:c r="B357" s="9" t="n">
        <x:f>MOD(C356*16807,2147483647)</x:f>
        <x:v>2006691824</x:v>
      </x:c>
      <x:c r="C357" s="9" t="n">
        <x:f>MOD(B357*16807,2147483647)</x:f>
        <x:v>238809833</x:v>
      </x:c>
      <x:c r="D357" s="17" t="n">
        <x:f>IF('Control Room'!$B$5="Normal",'Control Room'!$B$7+'Control Room'!$D$7*SQRT(-2*LN(MAX(0.000000000001,B357/2147483647)))*COS(2*PI()*C357/2147483647),'Control Room'!$B$8+('Control Room'!$D$8-'Control Room'!$B$8)*B357/2147483647)</x:f>
        <x:v>1025.3771008599215</x:v>
      </x:c>
      <x:c r="E357" s="17" t="n">
        <x:f>IF('Control Room'!$B$5="Normal",'Control Room'!$B$7,('Control Room'!$B$8+'Control Room'!$D$8)/2)+'Control Room'!$B$9*(E356-IF('Control Room'!$B$5="Normal",'Control Room'!$B$7,('Control Room'!$B$8+'Control Room'!$D$8)/2))+SQRT(1-'Control Room'!$B$9^2)*(D357-IF('Control Room'!$B$5="Normal",'Control Room'!$B$7,('Control Room'!$B$8+'Control Room'!$D$8)/2))</x:f>
        <x:v>1005.7274512624133</x:v>
      </x:c>
      <x:c r="F357" s="17" t="n">
        <x:f>IF(AND($A357&gt;='Control Room'!$A$13,$A357&lt;'Control Room'!$A$13+'Control Room'!$B$13,'Process'!BK2=1),1+('Control Room'!$C$13-1)*EXP(-0.5*(($A357-'Control Room'!$A$13-('Control Room'!$B$13-1)/2)/MAX(0.5,'Control Room'!$B$13/4))^2),1)*IF(AND($A357&gt;='Control Room'!$A$14,$A357&lt;'Control Room'!$A$14+'Control Room'!$B$14,'Process'!BK3=1),1+('Control Room'!$C$14-1)*EXP(-0.5*(($A357-'Control Room'!$A$14-('Control Room'!$B$14-1)/2)/MAX(0.5,'Control Room'!$B$14/4))^2),1)*IF(AND($A357&gt;='Control Room'!$A$15,$A357&lt;'Control Room'!$A$15+'Control Room'!$B$15,'Process'!BK4=1),1+('Control Room'!$C$15-1)*EXP(-0.5*(($A357-'Control Room'!$A$15-('Control Room'!$B$15-1)/2)/MAX(0.5,'Control Room'!$B$15/4))^2),1)*IF(AND($A357&gt;='Control Room'!$A$16,$A357&lt;'Control Room'!$A$16+'Control Room'!$B$16,'Process'!BK5=1),1+('Control Room'!$C$16-1)*EXP(-0.5*(($A357-'Control Room'!$A$16-('Control Room'!$B$16-1)/2)/MAX(0.5,'Control Room'!$B$16/4))^2),1)</x:f>
        <x:v>1</x:v>
      </x:c>
      <x:c r="G357" s="9" t="n">
        <x:f>MOD(H356*16807,2147483647)</x:f>
        <x:v>1505333489</x:v>
      </x:c>
      <x:c r="H357" s="9" t="n">
        <x:f>MOD(G357*16807,2147483647)</x:f>
        <x:v>635104316</x:v>
      </x:c>
      <x:c r="I357" s="17" t="n">
        <x:f>IF('Control Room'!$B$5="Normal",'Control Room'!$B$7+'Control Room'!$D$7*SQRT(-2*LN(MAX(0.000000000001,G357/2147483647)))*COS(2*PI()*H357/2147483647),'Control Room'!$B$8+('Control Room'!$D$8-'Control Room'!$B$8)*G357/2147483647)</x:f>
        <x:v>978.4940999346363</x:v>
      </x:c>
      <x:c r="J357" s="17" t="n">
        <x:f>IF('Control Room'!$B$5="Normal",'Control Room'!$B$7,('Control Room'!$B$8+'Control Room'!$D$8)/2)+'Control Room'!$B$9*(J356-IF('Control Room'!$B$5="Normal",'Control Room'!$B$7,('Control Room'!$B$8+'Control Room'!$D$8)/2))+SQRT(1-'Control Room'!$B$9^2)*(I357-IF('Control Room'!$B$5="Normal",'Control Room'!$B$7,('Control Room'!$B$8+'Control Room'!$D$8)/2))</x:f>
        <x:v>1051.2919210877726</x:v>
      </x:c>
      <x:c r="K357" s="17" t="n">
        <x:f>IF(AND($A357&gt;='Control Room'!$A$13,$A357&lt;'Control Room'!$A$13+'Control Room'!$B$13,'Process'!BL2=1),1+('Control Room'!$C$13-1)*EXP(-0.5*(($A357-'Control Room'!$A$13-('Control Room'!$B$13-1)/2)/MAX(0.5,'Control Room'!$B$13/4))^2),1)*IF(AND($A357&gt;='Control Room'!$A$14,$A357&lt;'Control Room'!$A$14+'Control Room'!$B$14,'Process'!BL3=1),1+('Control Room'!$C$14-1)*EXP(-0.5*(($A357-'Control Room'!$A$14-('Control Room'!$B$14-1)/2)/MAX(0.5,'Control Room'!$B$14/4))^2),1)*IF(AND($A357&gt;='Control Room'!$A$15,$A357&lt;'Control Room'!$A$15+'Control Room'!$B$15,'Process'!BL4=1),1+('Control Room'!$C$15-1)*EXP(-0.5*(($A357-'Control Room'!$A$15-('Control Room'!$B$15-1)/2)/MAX(0.5,'Control Room'!$B$15/4))^2),1)*IF(AND($A357&gt;='Control Room'!$A$16,$A357&lt;'Control Room'!$A$16+'Control Room'!$B$16,'Process'!BL5=1),1+('Control Room'!$C$16-1)*EXP(-0.5*(($A357-'Control Room'!$A$16-('Control Room'!$B$16-1)/2)/MAX(0.5,'Control Room'!$B$16/4))^2),1)</x:f>
        <x:v>1</x:v>
      </x:c>
      <x:c r="L357" s="9" t="n">
        <x:f>MOD(M356*16807,2147483647)</x:f>
        <x:v>1003975154</x:v>
      </x:c>
      <x:c r="M357" s="9" t="n">
        <x:f>MOD(L357*16807,2147483647)</x:f>
        <x:v>1031398799</x:v>
      </x:c>
      <x:c r="N357" s="17" t="n">
        <x:f>IF('Control Room'!$B$5="Normal",'Control Room'!$B$7+'Control Room'!$D$7*SQRT(-2*LN(MAX(0.000000000001,L357/2147483647)))*COS(2*PI()*M357/2147483647),'Control Room'!$B$8+('Control Room'!$D$8-'Control Room'!$B$8)*L357/2147483647)</x:f>
        <x:v>889.8671202445436</x:v>
      </x:c>
      <x:c r="O357" s="17" t="n">
        <x:f>IF('Control Room'!$B$5="Normal",'Control Room'!$B$7,('Control Room'!$B$8+'Control Room'!$D$8)/2)+'Control Room'!$B$9*(O356-IF('Control Room'!$B$5="Normal",'Control Room'!$B$7,('Control Room'!$B$8+'Control Room'!$D$8)/2))+SQRT(1-'Control Room'!$B$9^2)*(N357-IF('Control Room'!$B$5="Normal",'Control Room'!$B$7,('Control Room'!$B$8+'Control Room'!$D$8)/2))</x:f>
        <x:v>916.5916816710701</x:v>
      </x:c>
      <x:c r="P357" s="17" t="n">
        <x:f>IF(AND($A357&gt;='Control Room'!$A$13,$A357&lt;'Control Room'!$A$13+'Control Room'!$B$13,'Process'!BM2=1),1+('Control Room'!$C$13-1)*EXP(-0.5*(($A357-'Control Room'!$A$13-('Control Room'!$B$13-1)/2)/MAX(0.5,'Control Room'!$B$13/4))^2),1)*IF(AND($A357&gt;='Control Room'!$A$14,$A357&lt;'Control Room'!$A$14+'Control Room'!$B$14,'Process'!BM3=1),1+('Control Room'!$C$14-1)*EXP(-0.5*(($A357-'Control Room'!$A$14-('Control Room'!$B$14-1)/2)/MAX(0.5,'Control Room'!$B$14/4))^2),1)*IF(AND($A357&gt;='Control Room'!$A$15,$A357&lt;'Control Room'!$A$15+'Control Room'!$B$15,'Process'!BM4=1),1+('Control Room'!$C$15-1)*EXP(-0.5*(($A357-'Control Room'!$A$15-('Control Room'!$B$15-1)/2)/MAX(0.5,'Control Room'!$B$15/4))^2),1)*IF(AND($A357&gt;='Control Room'!$A$16,$A357&lt;'Control Room'!$A$16+'Control Room'!$B$16,'Process'!BM5=1),1+('Control Room'!$C$16-1)*EXP(-0.5*(($A357-'Control Room'!$A$16-('Control Room'!$B$16-1)/2)/MAX(0.5,'Control Room'!$B$16/4))^2),1)</x:f>
        <x:v>1</x:v>
      </x:c>
      <x:c r="Q357" s="9" t="n">
        <x:f>MOD(R356*16807,2147483647)</x:f>
        <x:v>502616819</x:v>
      </x:c>
      <x:c r="R357" s="9" t="n">
        <x:f>MOD(Q357*16807,2147483647)</x:f>
        <x:v>1427693282</x:v>
      </x:c>
      <x:c r="S357" s="17" t="n">
        <x:f>IF('Control Room'!$B$5="Normal",'Control Room'!$B$7+'Control Room'!$D$7*SQRT(-2*LN(MAX(0.000000000001,Q357/2147483647)))*COS(2*PI()*R357/2147483647),'Control Room'!$B$8+('Control Room'!$D$8-'Control Room'!$B$8)*Q357/2147483647)</x:f>
        <x:v>921.7741990250025</x:v>
      </x:c>
      <x:c r="T357" s="17" t="n">
        <x:f>IF('Control Room'!$B$5="Normal",'Control Room'!$B$7,('Control Room'!$B$8+'Control Room'!$D$8)/2)+'Control Room'!$B$9*(T356-IF('Control Room'!$B$5="Normal",'Control Room'!$B$7,('Control Room'!$B$8+'Control Room'!$D$8)/2))+SQRT(1-'Control Room'!$B$9^2)*(S357-IF('Control Room'!$B$5="Normal",'Control Room'!$B$7,('Control Room'!$B$8+'Control Room'!$D$8)/2))</x:f>
        <x:v>953.268789281483</x:v>
      </x:c>
      <x:c r="U357" s="17" t="n">
        <x:f>IF(AND($A357&gt;='Control Room'!$A$13,$A357&lt;'Control Room'!$A$13+'Control Room'!$B$13,'Process'!BN2=1),1+('Control Room'!$C$13-1)*EXP(-0.5*(($A357-'Control Room'!$A$13-('Control Room'!$B$13-1)/2)/MAX(0.5,'Control Room'!$B$13/4))^2),1)*IF(AND($A357&gt;='Control Room'!$A$14,$A357&lt;'Control Room'!$A$14+'Control Room'!$B$14,'Process'!BN3=1),1+('Control Room'!$C$14-1)*EXP(-0.5*(($A357-'Control Room'!$A$14-('Control Room'!$B$14-1)/2)/MAX(0.5,'Control Room'!$B$14/4))^2),1)*IF(AND($A357&gt;='Control Room'!$A$15,$A357&lt;'Control Room'!$A$15+'Control Room'!$B$15,'Process'!BN4=1),1+('Control Room'!$C$15-1)*EXP(-0.5*(($A357-'Control Room'!$A$15-('Control Room'!$B$15-1)/2)/MAX(0.5,'Control Room'!$B$15/4))^2),1)*IF(AND($A357&gt;='Control Room'!$A$16,$A357&lt;'Control Room'!$A$16+'Control Room'!$B$16,'Process'!BN5=1),1+('Control Room'!$C$16-1)*EXP(-0.5*(($A357-'Control Room'!$A$16-('Control Room'!$B$16-1)/2)/MAX(0.5,'Control Room'!$B$16/4))^2),1)</x:f>
        <x:v>1</x:v>
      </x:c>
      <x:c r="V357" s="9" t="n">
        <x:f>MOD(W356*16807,2147483647)</x:f>
        <x:v>1258484</x:v>
      </x:c>
      <x:c r="W357" s="9" t="n">
        <x:f>MOD(V357*16807,2147483647)</x:f>
        <x:v>1823987765</x:v>
      </x:c>
      <x:c r="X357" s="17" t="n">
        <x:f>IF('Control Room'!$B$5="Normal",'Control Room'!$B$7+'Control Room'!$D$7*SQRT(-2*LN(MAX(0.000000000001,V357/2147483647)))*COS(2*PI()*W357/2147483647),'Control Room'!$B$8+('Control Room'!$D$8-'Control Room'!$B$8)*V357/2147483647)</x:f>
        <x:v>1202.9612723080575</x:v>
      </x:c>
      <x:c r="Y357" s="17" t="n">
        <x:f>IF('Control Room'!$B$5="Normal",'Control Room'!$B$7,('Control Room'!$B$8+'Control Room'!$D$8)/2)+'Control Room'!$B$9*(Y356-IF('Control Room'!$B$5="Normal",'Control Room'!$B$7,('Control Room'!$B$8+'Control Room'!$D$8)/2))+SQRT(1-'Control Room'!$B$9^2)*(X357-IF('Control Room'!$B$5="Normal",'Control Room'!$B$7,('Control Room'!$B$8+'Control Room'!$D$8)/2))</x:f>
        <x:v>1263.5345951923325</x:v>
      </x:c>
      <x:c r="Z357" s="17" t="n">
        <x:f>IF(AND($A357&gt;='Control Room'!$A$13,$A357&lt;'Control Room'!$A$13+'Control Room'!$B$13,'Process'!BO2=1),1+('Control Room'!$C$13-1)*EXP(-0.5*(($A357-'Control Room'!$A$13-('Control Room'!$B$13-1)/2)/MAX(0.5,'Control Room'!$B$13/4))^2),1)*IF(AND($A357&gt;='Control Room'!$A$14,$A357&lt;'Control Room'!$A$14+'Control Room'!$B$14,'Process'!BO3=1),1+('Control Room'!$C$14-1)*EXP(-0.5*(($A357-'Control Room'!$A$14-('Control Room'!$B$14-1)/2)/MAX(0.5,'Control Room'!$B$14/4))^2),1)*IF(AND($A357&gt;='Control Room'!$A$15,$A357&lt;'Control Room'!$A$15+'Control Room'!$B$15,'Process'!BO4=1),1+('Control Room'!$C$15-1)*EXP(-0.5*(($A357-'Control Room'!$A$15-('Control Room'!$B$15-1)/2)/MAX(0.5,'Control Room'!$B$15/4))^2),1)*IF(AND($A357&gt;='Control Room'!$A$16,$A357&lt;'Control Room'!$A$16+'Control Room'!$B$16,'Process'!BO5=1),1+('Control Room'!$C$16-1)*EXP(-0.5*(($A357-'Control Room'!$A$16-('Control Room'!$B$16-1)/2)/MAX(0.5,'Control Room'!$B$16/4))^2),1)</x:f>
        <x:v>1</x:v>
      </x:c>
      <x:c r="AA357" s="9" t="n">
        <x:f>MOD(AB356*16807,2147483647)</x:f>
        <x:v>1647383796</x:v>
      </x:c>
      <x:c r="AB357" s="9" t="n">
        <x:f>MOD(AA357*16807,2147483647)</x:f>
        <x:v>72798601</x:v>
      </x:c>
      <x:c r="AC357" s="17" t="n">
        <x:f>IF('Control Room'!$B$5="Normal",'Control Room'!$B$7+'Control Room'!$D$7*SQRT(-2*LN(MAX(0.000000000001,AA357/2147483647)))*COS(2*PI()*AB357/2147483647),'Control Room'!$B$8+('Control Room'!$D$8-'Control Room'!$B$8)*AA357/2147483647)</x:f>
        <x:v>1064.0534192938223</x:v>
      </x:c>
      <x:c r="AD357" s="17" t="n">
        <x:f>IF('Control Room'!$B$5="Normal",'Control Room'!$B$7,('Control Room'!$B$8+'Control Room'!$D$8)/2)+'Control Room'!$B$9*(AD356-IF('Control Room'!$B$5="Normal",'Control Room'!$B$7,('Control Room'!$B$8+'Control Room'!$D$8)/2))+SQRT(1-'Control Room'!$B$9^2)*(AC357-IF('Control Room'!$B$5="Normal",'Control Room'!$B$7,('Control Room'!$B$8+'Control Room'!$D$8)/2))</x:f>
        <x:v>877.6547265344585</x:v>
      </x:c>
      <x:c r="AE357" s="17" t="n">
        <x:f>IF(AND($A357&gt;='Control Room'!$A$13,$A357&lt;'Control Room'!$A$13+'Control Room'!$B$13,'Process'!BP2=1),1+('Control Room'!$C$13-1)*EXP(-0.5*(($A357-'Control Room'!$A$13-('Control Room'!$B$13-1)/2)/MAX(0.5,'Control Room'!$B$13/4))^2),1)*IF(AND($A357&gt;='Control Room'!$A$14,$A357&lt;'Control Room'!$A$14+'Control Room'!$B$14,'Process'!BP3=1),1+('Control Room'!$C$14-1)*EXP(-0.5*(($A357-'Control Room'!$A$14-('Control Room'!$B$14-1)/2)/MAX(0.5,'Control Room'!$B$14/4))^2),1)*IF(AND($A357&gt;='Control Room'!$A$15,$A357&lt;'Control Room'!$A$15+'Control Room'!$B$15,'Process'!BP4=1),1+('Control Room'!$C$15-1)*EXP(-0.5*(($A357-'Control Room'!$A$15-('Control Room'!$B$15-1)/2)/MAX(0.5,'Control Room'!$B$15/4))^2),1)*IF(AND($A357&gt;='Control Room'!$A$16,$A357&lt;'Control Room'!$A$16+'Control Room'!$B$16,'Process'!BP5=1),1+('Control Room'!$C$16-1)*EXP(-0.5*(($A357-'Control Room'!$A$16-('Control Room'!$B$16-1)/2)/MAX(0.5,'Control Room'!$B$16/4))^2),1)</x:f>
        <x:v>1</x:v>
      </x:c>
      <x:c r="AF357" s="9" t="n">
        <x:f>MOD(AG356*16807,2147483647)</x:f>
        <x:v>1146025461</x:v>
      </x:c>
      <x:c r="AG357" s="9" t="n">
        <x:f>MOD(AF357*16807,2147483647)</x:f>
        <x:v>469093084</x:v>
      </x:c>
      <x:c r="AH357" s="17" t="n">
        <x:f>IF('Control Room'!$B$5="Normal",'Control Room'!$B$7+'Control Room'!$D$7*SQRT(-2*LN(MAX(0.000000000001,AF357/2147483647)))*COS(2*PI()*AG357/2147483647),'Control Room'!$B$8+('Control Room'!$D$8-'Control Room'!$B$8)*AF357/2147483647)</x:f>
        <x:v>1019.8711816023913</x:v>
      </x:c>
      <x:c r="AI357" s="17" t="n">
        <x:f>IF('Control Room'!$B$5="Normal",'Control Room'!$B$7,('Control Room'!$B$8+'Control Room'!$D$8)/2)+'Control Room'!$B$9*(AI356-IF('Control Room'!$B$5="Normal",'Control Room'!$B$7,('Control Room'!$B$8+'Control Room'!$D$8)/2))+SQRT(1-'Control Room'!$B$9^2)*(AH357-IF('Control Room'!$B$5="Normal",'Control Room'!$B$7,('Control Room'!$B$8+'Control Room'!$D$8)/2))</x:f>
        <x:v>1003.490371308475</x:v>
      </x:c>
      <x:c r="AJ357" s="17" t="n">
        <x:f>IF(AND($A357&gt;='Control Room'!$A$13,$A357&lt;'Control Room'!$A$13+'Control Room'!$B$13,'Process'!BQ2=1),1+('Control Room'!$C$13-1)*EXP(-0.5*(($A357-'Control Room'!$A$13-('Control Room'!$B$13-1)/2)/MAX(0.5,'Control Room'!$B$13/4))^2),1)*IF(AND($A357&gt;='Control Room'!$A$14,$A357&lt;'Control Room'!$A$14+'Control Room'!$B$14,'Process'!BQ3=1),1+('Control Room'!$C$14-1)*EXP(-0.5*(($A357-'Control Room'!$A$14-('Control Room'!$B$14-1)/2)/MAX(0.5,'Control Room'!$B$14/4))^2),1)*IF(AND($A357&gt;='Control Room'!$A$15,$A357&lt;'Control Room'!$A$15+'Control Room'!$B$15,'Process'!BQ4=1),1+('Control Room'!$C$15-1)*EXP(-0.5*(($A357-'Control Room'!$A$15-('Control Room'!$B$15-1)/2)/MAX(0.5,'Control Room'!$B$15/4))^2),1)*IF(AND($A357&gt;='Control Room'!$A$16,$A357&lt;'Control Room'!$A$16+'Control Room'!$B$16,'Process'!BQ5=1),1+('Control Room'!$C$16-1)*EXP(-0.5*(($A357-'Control Room'!$A$16-('Control Room'!$B$16-1)/2)/MAX(0.5,'Control Room'!$B$16/4))^2),1)</x:f>
        <x:v>1</x:v>
      </x:c>
      <x:c r="AK357" s="9" t="n">
        <x:f>MOD(AL356*16807,2147483647)</x:f>
        <x:v>644667126</x:v>
      </x:c>
      <x:c r="AL357" s="9" t="n">
        <x:f>MOD(AK357*16807,2147483647)</x:f>
        <x:v>865387567</x:v>
      </x:c>
      <x:c r="AM357" s="17" t="n">
        <x:f>IF('Control Room'!$B$5="Normal",'Control Room'!$B$7+'Control Room'!$D$7*SQRT(-2*LN(MAX(0.000000000001,AK357/2147483647)))*COS(2*PI()*AL357/2147483647),'Control Room'!$B$8+('Control Room'!$D$8-'Control Room'!$B$8)*AK357/2147483647)</x:f>
        <x:v>885.5295739397118</x:v>
      </x:c>
      <x:c r="AN357" s="17" t="n">
        <x:f>IF('Control Room'!$B$5="Normal",'Control Room'!$B$7,('Control Room'!$B$8+'Control Room'!$D$8)/2)+'Control Room'!$B$9*(AN356-IF('Control Room'!$B$5="Normal",'Control Room'!$B$7,('Control Room'!$B$8+'Control Room'!$D$8)/2))+SQRT(1-'Control Room'!$B$9^2)*(AM357-IF('Control Room'!$B$5="Normal",'Control Room'!$B$7,('Control Room'!$B$8+'Control Room'!$D$8)/2))</x:f>
        <x:v>1020.3925939433382</x:v>
      </x:c>
      <x:c r="AO357" s="17" t="n">
        <x:f>IF(AND($A357&gt;='Control Room'!$A$13,$A357&lt;'Control Room'!$A$13+'Control Room'!$B$13,'Process'!BR2=1),1+('Control Room'!$C$13-1)*EXP(-0.5*(($A357-'Control Room'!$A$13-('Control Room'!$B$13-1)/2)/MAX(0.5,'Control Room'!$B$13/4))^2),1)*IF(AND($A357&gt;='Control Room'!$A$14,$A357&lt;'Control Room'!$A$14+'Control Room'!$B$14,'Process'!BR3=1),1+('Control Room'!$C$14-1)*EXP(-0.5*(($A357-'Control Room'!$A$14-('Control Room'!$B$14-1)/2)/MAX(0.5,'Control Room'!$B$14/4))^2),1)*IF(AND($A357&gt;='Control Room'!$A$15,$A357&lt;'Control Room'!$A$15+'Control Room'!$B$15,'Process'!BR4=1),1+('Control Room'!$C$15-1)*EXP(-0.5*(($A357-'Control Room'!$A$15-('Control Room'!$B$15-1)/2)/MAX(0.5,'Control Room'!$B$15/4))^2),1)*IF(AND($A357&gt;='Control Room'!$A$16,$A357&lt;'Control Room'!$A$16+'Control Room'!$B$16,'Process'!BR5=1),1+('Control Room'!$C$16-1)*EXP(-0.5*(($A357-'Control Room'!$A$16-('Control Room'!$B$16-1)/2)/MAX(0.5,'Control Room'!$B$16/4))^2),1)</x:f>
        <x:v>1</x:v>
      </x:c>
      <x:c r="AP357" s="9" t="n">
        <x:f>MOD(AQ356*16807,2147483647)</x:f>
        <x:v>143308791</x:v>
      </x:c>
      <x:c r="AQ357" s="9" t="n">
        <x:f>MOD(AP357*16807,2147483647)</x:f>
        <x:v>1261682050</x:v>
      </x:c>
      <x:c r="AR357" s="17" t="n">
        <x:f>IF('Control Room'!$B$5="Normal",'Control Room'!$B$7+'Control Room'!$D$7*SQRT(-2*LN(MAX(0.000000000001,AP357/2147483647)))*COS(2*PI()*AQ357/2147483647),'Control Room'!$B$8+('Control Room'!$D$8-'Control Room'!$B$8)*AP357/2147483647)</x:f>
        <x:v>821.4565643496154</x:v>
      </x:c>
      <x:c r="AS357" s="17" t="n">
        <x:f>IF('Control Room'!$B$5="Normal",'Control Room'!$B$7,('Control Room'!$B$8+'Control Room'!$D$8)/2)+'Control Room'!$B$9*(AS356-IF('Control Room'!$B$5="Normal",'Control Room'!$B$7,('Control Room'!$B$8+'Control Room'!$D$8)/2))+SQRT(1-'Control Room'!$B$9^2)*(AR357-IF('Control Room'!$B$5="Normal",'Control Room'!$B$7,('Control Room'!$B$8+'Control Room'!$D$8)/2))</x:f>
        <x:v>803.7223226542272</x:v>
      </x:c>
      <x:c r="AT357" s="17" t="n">
        <x:f>IF(AND($A357&gt;='Control Room'!$A$13,$A357&lt;'Control Room'!$A$13+'Control Room'!$B$13,'Process'!BS2=1),1+('Control Room'!$C$13-1)*EXP(-0.5*(($A357-'Control Room'!$A$13-('Control Room'!$B$13-1)/2)/MAX(0.5,'Control Room'!$B$13/4))^2),1)*IF(AND($A357&gt;='Control Room'!$A$14,$A357&lt;'Control Room'!$A$14+'Control Room'!$B$14,'Process'!BS3=1),1+('Control Room'!$C$14-1)*EXP(-0.5*(($A357-'Control Room'!$A$14-('Control Room'!$B$14-1)/2)/MAX(0.5,'Control Room'!$B$14/4))^2),1)*IF(AND($A357&gt;='Control Room'!$A$15,$A357&lt;'Control Room'!$A$15+'Control Room'!$B$15,'Process'!BS4=1),1+('Control Room'!$C$15-1)*EXP(-0.5*(($A357-'Control Room'!$A$15-('Control Room'!$B$15-1)/2)/MAX(0.5,'Control Room'!$B$15/4))^2),1)*IF(AND($A357&gt;='Control Room'!$A$16,$A357&lt;'Control Room'!$A$16+'Control Room'!$B$16,'Process'!BS5=1),1+('Control Room'!$C$16-1)*EXP(-0.5*(($A357-'Control Room'!$A$16-('Control Room'!$B$16-1)/2)/MAX(0.5,'Control Room'!$B$16/4))^2),1)</x:f>
        <x:v>1</x:v>
      </x:c>
      <x:c r="AU357" s="9" t="n">
        <x:f>MOD(AV356*16807,2147483647)</x:f>
        <x:v>1789434103</x:v>
      </x:c>
      <x:c r="AV357" s="9" t="n">
        <x:f>MOD(AU357*16807,2147483647)</x:f>
        <x:v>1657976533</x:v>
      </x:c>
      <x:c r="AW357" s="17" t="n">
        <x:f>IF('Control Room'!$B$5="Normal",'Control Room'!$B$7+'Control Room'!$D$7*SQRT(-2*LN(MAX(0.000000000001,AU357/2147483647)))*COS(2*PI()*AV357/2147483647),'Control Room'!$B$8+('Control Room'!$D$8-'Control Room'!$B$8)*AU357/2147483647)</x:f>
        <x:v>1007.508831241467</x:v>
      </x:c>
      <x:c r="AX357" s="17" t="n">
        <x:f>IF('Control Room'!$B$5="Normal",'Control Room'!$B$7,('Control Room'!$B$8+'Control Room'!$D$8)/2)+'Control Room'!$B$9*(AX356-IF('Control Room'!$B$5="Normal",'Control Room'!$B$7,('Control Room'!$B$8+'Control Room'!$D$8)/2))+SQRT(1-'Control Room'!$B$9^2)*(AW357-IF('Control Room'!$B$5="Normal",'Control Room'!$B$7,('Control Room'!$B$8+'Control Room'!$D$8)/2))</x:f>
        <x:v>980.2560015892749</x:v>
      </x:c>
      <x:c r="AY357" s="17" t="n">
        <x:f>IF(AND($A357&gt;='Control Room'!$A$13,$A357&lt;'Control Room'!$A$13+'Control Room'!$B$13,'Process'!BT2=1),1+('Control Room'!$C$13-1)*EXP(-0.5*(($A357-'Control Room'!$A$13-('Control Room'!$B$13-1)/2)/MAX(0.5,'Control Room'!$B$13/4))^2),1)*IF(AND($A357&gt;='Control Room'!$A$14,$A357&lt;'Control Room'!$A$14+'Control Room'!$B$14,'Process'!BT3=1),1+('Control Room'!$C$14-1)*EXP(-0.5*(($A357-'Control Room'!$A$14-('Control Room'!$B$14-1)/2)/MAX(0.5,'Control Room'!$B$14/4))^2),1)*IF(AND($A357&gt;='Control Room'!$A$15,$A357&lt;'Control Room'!$A$15+'Control Room'!$B$15,'Process'!BT4=1),1+('Control Room'!$C$15-1)*EXP(-0.5*(($A357-'Control Room'!$A$15-('Control Room'!$B$15-1)/2)/MAX(0.5,'Control Room'!$B$15/4))^2),1)*IF(AND($A357&gt;='Control Room'!$A$16,$A357&lt;'Control Room'!$A$16+'Control Room'!$B$16,'Process'!BT5=1),1+('Control Room'!$C$16-1)*EXP(-0.5*(($A357-'Control Room'!$A$16-('Control Room'!$B$16-1)/2)/MAX(0.5,'Control Room'!$B$16/4))^2),1)</x:f>
        <x:v>1</x:v>
      </x:c>
      <x:c r="AZ357" s="9" t="n">
        <x:f>MOD(BA356*16807,2147483647)</x:f>
        <x:v>1288075768</x:v>
      </x:c>
      <x:c r="BA357" s="9" t="n">
        <x:f>MOD(AZ357*16807,2147483647)</x:f>
        <x:v>2054271016</x:v>
      </x:c>
      <x:c r="BB357" s="17" t="n">
        <x:f>IF('Control Room'!$B$5="Normal",'Control Room'!$B$7+'Control Room'!$D$7*SQRT(-2*LN(MAX(0.000000000001,AZ357/2147483647)))*COS(2*PI()*BA357/2147483647),'Control Room'!$B$8+('Control Room'!$D$8-'Control Room'!$B$8)*AZ357/2147483647)</x:f>
        <x:v>1087.63449745767</x:v>
      </x:c>
      <x:c r="BC357" s="17" t="n">
        <x:f>IF('Control Room'!$B$5="Normal",'Control Room'!$B$7,('Control Room'!$B$8+'Control Room'!$D$8)/2)+'Control Room'!$B$9*(BC356-IF('Control Room'!$B$5="Normal",'Control Room'!$B$7,('Control Room'!$B$8+'Control Room'!$D$8)/2))+SQRT(1-'Control Room'!$B$9^2)*(BB357-IF('Control Room'!$B$5="Normal",'Control Room'!$B$7,('Control Room'!$B$8+'Control Room'!$D$8)/2))</x:f>
        <x:v>1154.062634554768</x:v>
      </x:c>
      <x:c r="BD357" s="17" t="n">
        <x:f>IF(AND($A357&gt;='Control Room'!$A$13,$A357&lt;'Control Room'!$A$13+'Control Room'!$B$13,'Process'!BU2=1),1+('Control Room'!$C$13-1)*EXP(-0.5*(($A357-'Control Room'!$A$13-('Control Room'!$B$13-1)/2)/MAX(0.5,'Control Room'!$B$13/4))^2),1)*IF(AND($A357&gt;='Control Room'!$A$14,$A357&lt;'Control Room'!$A$14+'Control Room'!$B$14,'Process'!BU3=1),1+('Control Room'!$C$14-1)*EXP(-0.5*(($A357-'Control Room'!$A$14-('Control Room'!$B$14-1)/2)/MAX(0.5,'Control Room'!$B$14/4))^2),1)*IF(AND($A357&gt;='Control Room'!$A$15,$A357&lt;'Control Room'!$A$15+'Control Room'!$B$15,'Process'!BU4=1),1+('Control Room'!$C$15-1)*EXP(-0.5*(($A357-'Control Room'!$A$15-('Control Room'!$B$15-1)/2)/MAX(0.5,'Control Room'!$B$15/4))^2),1)*IF(AND($A357&gt;='Control Room'!$A$16,$A357&lt;'Control Room'!$A$16+'Control Room'!$B$16,'Process'!BU5=1),1+('Control Room'!$C$16-1)*EXP(-0.5*(($A357-'Control Room'!$A$16-('Control Room'!$B$16-1)/2)/MAX(0.5,'Control Room'!$B$16/4))^2),1)</x:f>
        <x:v>1</x:v>
      </x:c>
      <x:c r="BE357" s="9" t="n">
        <x:f>MOD(BF356*16807,2147483647)</x:f>
        <x:v>786717433</x:v>
      </x:c>
      <x:c r="BF357" s="9" t="n">
        <x:f>MOD(BE357*16807,2147483647)</x:f>
        <x:v>303081852</x:v>
      </x:c>
      <x:c r="BG357" s="17" t="n">
        <x:f>IF('Control Room'!$B$5="Normal",'Control Room'!$B$7+'Control Room'!$D$7*SQRT(-2*LN(MAX(0.000000000001,BE357/2147483647)))*COS(2*PI()*BF357/2147483647),'Control Room'!$B$8+('Control Room'!$D$8-'Control Room'!$B$8)*BE357/2147483647)</x:f>
        <x:v>1080.5983704442287</x:v>
      </x:c>
      <x:c r="BH357" s="17" t="n">
        <x:f>IF('Control Room'!$B$5="Normal",'Control Room'!$B$7,('Control Room'!$B$8+'Control Room'!$D$8)/2)+'Control Room'!$B$9*(BH356-IF('Control Room'!$B$5="Normal",'Control Room'!$B$7,('Control Room'!$B$8+'Control Room'!$D$8)/2))+SQRT(1-'Control Room'!$B$9^2)*(BG357-IF('Control Room'!$B$5="Normal",'Control Room'!$B$7,('Control Room'!$B$8+'Control Room'!$D$8)/2))</x:f>
        <x:v>1046.6668158638531</x:v>
      </x:c>
      <x:c r="BI357" s="17" t="n">
        <x:f>IF(AND($A357&gt;='Control Room'!$A$13,$A357&lt;'Control Room'!$A$13+'Control Room'!$B$13,'Process'!BV2=1),1+('Control Room'!$C$13-1)*EXP(-0.5*(($A357-'Control Room'!$A$13-('Control Room'!$B$13-1)/2)/MAX(0.5,'Control Room'!$B$13/4))^2),1)*IF(AND($A357&gt;='Control Room'!$A$14,$A357&lt;'Control Room'!$A$14+'Control Room'!$B$14,'Process'!BV3=1),1+('Control Room'!$C$14-1)*EXP(-0.5*(($A357-'Control Room'!$A$14-('Control Room'!$B$14-1)/2)/MAX(0.5,'Control Room'!$B$14/4))^2),1)*IF(AND($A357&gt;='Control Room'!$A$15,$A357&lt;'Control Room'!$A$15+'Control Room'!$B$15,'Process'!BV4=1),1+('Control Room'!$C$15-1)*EXP(-0.5*(($A357-'Control Room'!$A$15-('Control Room'!$B$15-1)/2)/MAX(0.5,'Control Room'!$B$15/4))^2),1)*IF(AND($A357&gt;='Control Room'!$A$16,$A357&lt;'Control Room'!$A$16+'Control Room'!$B$16,'Process'!BV5=1),1+('Control Room'!$C$16-1)*EXP(-0.5*(($A357-'Control Room'!$A$16-('Control Room'!$B$16-1)/2)/MAX(0.5,'Control Room'!$B$16/4))^2),1)</x:f>
        <x:v>1</x:v>
      </x:c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Z357" t="str">
        <x:f>IF('Data'!A357="","",TEXT('Data'!A357,"mm-dd"))</x:f>
      </x:c>
    </x:row>
    <x:row r="358" ht="21" customHeight="1">
      <x:c r="A358" s="15" t="n">
        <x:f>'Control Room'!$B$1+356</x:f>
        <x:v>73347</x:v>
      </x:c>
      <x:c r="B358" s="9" t="n">
        <x:f>MOD(C357*16807,2147483647)</x:f>
        <x:v>29926988</x:v>
      </x:c>
      <x:c r="C358" s="9" t="n">
        <x:f>MOD(B358*16807,2147483647)</x:f>
        <x:v>471713918</x:v>
      </x:c>
      <x:c r="D358" s="17" t="n">
        <x:f>IF('Control Room'!$B$5="Normal",'Control Room'!$B$7+'Control Room'!$D$7*SQRT(-2*LN(MAX(0.000000000001,B358/2147483647)))*COS(2*PI()*C358/2147483647),'Control Room'!$B$8+('Control Room'!$D$8-'Control Room'!$B$8)*B358/2147483647)</x:f>
        <x:v>1049.8558361853445</x:v>
      </x:c>
      <x:c r="E358" s="17" t="n">
        <x:f>IF('Control Room'!$B$5="Normal",'Control Room'!$B$7,('Control Room'!$B$8+'Control Room'!$D$8)/2)+'Control Room'!$B$9*(E357-IF('Control Room'!$B$5="Normal",'Control Room'!$B$7,('Control Room'!$B$8+'Control Room'!$D$8)/2))+SQRT(1-'Control Room'!$B$9^2)*(D358-IF('Control Room'!$B$5="Normal",'Control Room'!$B$7,('Control Room'!$B$8+'Control Room'!$D$8)/2))</x:f>
        <x:v>1035.6661729171512</x:v>
      </x:c>
      <x:c r="F358" s="17" t="n">
        <x:f>IF(AND($A358&gt;='Control Room'!$A$13,$A358&lt;'Control Room'!$A$13+'Control Room'!$B$13,'Process'!BK2=1),1+('Control Room'!$C$13-1)*EXP(-0.5*(($A358-'Control Room'!$A$13-('Control Room'!$B$13-1)/2)/MAX(0.5,'Control Room'!$B$13/4))^2),1)*IF(AND($A358&gt;='Control Room'!$A$14,$A358&lt;'Control Room'!$A$14+'Control Room'!$B$14,'Process'!BK3=1),1+('Control Room'!$C$14-1)*EXP(-0.5*(($A358-'Control Room'!$A$14-('Control Room'!$B$14-1)/2)/MAX(0.5,'Control Room'!$B$14/4))^2),1)*IF(AND($A358&gt;='Control Room'!$A$15,$A358&lt;'Control Room'!$A$15+'Control Room'!$B$15,'Process'!BK4=1),1+('Control Room'!$C$15-1)*EXP(-0.5*(($A358-'Control Room'!$A$15-('Control Room'!$B$15-1)/2)/MAX(0.5,'Control Room'!$B$15/4))^2),1)*IF(AND($A358&gt;='Control Room'!$A$16,$A358&lt;'Control Room'!$A$16+'Control Room'!$B$16,'Process'!BK5=1),1+('Control Room'!$C$16-1)*EXP(-0.5*(($A358-'Control Room'!$A$16-('Control Room'!$B$16-1)/2)/MAX(0.5,'Control Room'!$B$16/4))^2),1)</x:f>
        <x:v>1</x:v>
      </x:c>
      <x:c r="G358" s="9" t="n">
        <x:f>MOD(H357*16807,2147483647)</x:f>
        <x:v>1204513422</x:v>
      </x:c>
      <x:c r="H358" s="9" t="n">
        <x:f>MOD(G358*16807,2147483647)</x:f>
        <x:v>2076226932</x:v>
      </x:c>
      <x:c r="I358" s="17" t="n">
        <x:f>IF('Control Room'!$B$5="Normal",'Control Room'!$B$7+'Control Room'!$D$7*SQRT(-2*LN(MAX(0.000000000001,G358/2147483647)))*COS(2*PI()*H358/2147483647),'Control Room'!$B$8+('Control Room'!$D$8-'Control Room'!$B$8)*G358/2147483647)</x:f>
        <x:v>1094.6883877276327</x:v>
      </x:c>
      <x:c r="J358" s="17" t="n">
        <x:f>IF('Control Room'!$B$5="Normal",'Control Room'!$B$7,('Control Room'!$B$8+'Control Room'!$D$8)/2)+'Control Room'!$B$9*(J357-IF('Control Room'!$B$5="Normal",'Control Room'!$B$7,('Control Room'!$B$8+'Control Room'!$D$8)/2))+SQRT(1-'Control Room'!$B$9^2)*(I358-IF('Control Room'!$B$5="Normal",'Control Room'!$B$7,('Control Room'!$B$8+'Control Room'!$D$8)/2))</x:f>
        <x:v>1099.2617516913551</x:v>
      </x:c>
      <x:c r="K358" s="17" t="n">
        <x:f>IF(AND($A358&gt;='Control Room'!$A$13,$A358&lt;'Control Room'!$A$13+'Control Room'!$B$13,'Process'!BL2=1),1+('Control Room'!$C$13-1)*EXP(-0.5*(($A358-'Control Room'!$A$13-('Control Room'!$B$13-1)/2)/MAX(0.5,'Control Room'!$B$13/4))^2),1)*IF(AND($A358&gt;='Control Room'!$A$14,$A358&lt;'Control Room'!$A$14+'Control Room'!$B$14,'Process'!BL3=1),1+('Control Room'!$C$14-1)*EXP(-0.5*(($A358-'Control Room'!$A$14-('Control Room'!$B$14-1)/2)/MAX(0.5,'Control Room'!$B$14/4))^2),1)*IF(AND($A358&gt;='Control Room'!$A$15,$A358&lt;'Control Room'!$A$15+'Control Room'!$B$15,'Process'!BL4=1),1+('Control Room'!$C$15-1)*EXP(-0.5*(($A358-'Control Room'!$A$15-('Control Room'!$B$15-1)/2)/MAX(0.5,'Control Room'!$B$15/4))^2),1)*IF(AND($A358&gt;='Control Room'!$A$16,$A358&lt;'Control Room'!$A$16+'Control Room'!$B$16,'Process'!BL5=1),1+('Control Room'!$C$16-1)*EXP(-0.5*(($A358-'Control Room'!$A$16-('Control Room'!$B$16-1)/2)/MAX(0.5,'Control Room'!$B$16/4))^2),1)</x:f>
        <x:v>1</x:v>
      </x:c>
      <x:c r="L358" s="9" t="n">
        <x:f>MOD(M357*16807,2147483647)</x:f>
        <x:v>231616209</x:v>
      </x:c>
      <x:c r="M358" s="9" t="n">
        <x:f>MOD(L358*16807,2147483647)</x:f>
        <x:v>1533256299</x:v>
      </x:c>
      <x:c r="N358" s="17" t="n">
        <x:f>IF('Control Room'!$B$5="Normal",'Control Room'!$B$7+'Control Room'!$D$7*SQRT(-2*LN(MAX(0.000000000001,L358/2147483647)))*COS(2*PI()*M358/2147483647),'Control Room'!$B$8+('Control Room'!$D$8-'Control Room'!$B$8)*L358/2147483647)</x:f>
        <x:v>957.3767125512364</x:v>
      </x:c>
      <x:c r="O358" s="17" t="n">
        <x:f>IF('Control Room'!$B$5="Normal",'Control Room'!$B$7,('Control Room'!$B$8+'Control Room'!$D$8)/2)+'Control Room'!$B$9*(O357-IF('Control Room'!$B$5="Normal",'Control Room'!$B$7,('Control Room'!$B$8+'Control Room'!$D$8)/2))+SQRT(1-'Control Room'!$B$9^2)*(N358-IF('Control Room'!$B$5="Normal",'Control Room'!$B$7,('Control Room'!$B$8+'Control Room'!$D$8)/2))</x:f>
        <x:v>908.2687316035037</x:v>
      </x:c>
      <x:c r="P358" s="17" t="n">
        <x:f>IF(AND($A358&gt;='Control Room'!$A$13,$A358&lt;'Control Room'!$A$13+'Control Room'!$B$13,'Process'!BM2=1),1+('Control Room'!$C$13-1)*EXP(-0.5*(($A358-'Control Room'!$A$13-('Control Room'!$B$13-1)/2)/MAX(0.5,'Control Room'!$B$13/4))^2),1)*IF(AND($A358&gt;='Control Room'!$A$14,$A358&lt;'Control Room'!$A$14+'Control Room'!$B$14,'Process'!BM3=1),1+('Control Room'!$C$14-1)*EXP(-0.5*(($A358-'Control Room'!$A$14-('Control Room'!$B$14-1)/2)/MAX(0.5,'Control Room'!$B$14/4))^2),1)*IF(AND($A358&gt;='Control Room'!$A$15,$A358&lt;'Control Room'!$A$15+'Control Room'!$B$15,'Process'!BM4=1),1+('Control Room'!$C$15-1)*EXP(-0.5*(($A358-'Control Room'!$A$15-('Control Room'!$B$15-1)/2)/MAX(0.5,'Control Room'!$B$15/4))^2),1)*IF(AND($A358&gt;='Control Room'!$A$16,$A358&lt;'Control Room'!$A$16+'Control Room'!$B$16,'Process'!BM5=1),1+('Control Room'!$C$16-1)*EXP(-0.5*(($A358-'Control Room'!$A$16-('Control Room'!$B$16-1)/2)/MAX(0.5,'Control Room'!$B$16/4))^2),1)</x:f>
        <x:v>1</x:v>
      </x:c>
      <x:c r="Q358" s="9" t="n">
        <x:f>MOD(R357*16807,2147483647)</x:f>
        <x:v>1406202643</x:v>
      </x:c>
      <x:c r="R358" s="9" t="n">
        <x:f>MOD(Q358*16807,2147483647)</x:f>
        <x:v>990285666</x:v>
      </x:c>
      <x:c r="S358" s="17" t="n">
        <x:f>IF('Control Room'!$B$5="Normal",'Control Room'!$B$7+'Control Room'!$D$7*SQRT(-2*LN(MAX(0.000000000001,Q358/2147483647)))*COS(2*PI()*R358/2147483647),'Control Room'!$B$8+('Control Room'!$D$8-'Control Room'!$B$8)*Q358/2147483647)</x:f>
        <x:v>919.6368208157845</x:v>
      </x:c>
      <x:c r="T358" s="17" t="n">
        <x:f>IF('Control Room'!$B$5="Normal",'Control Room'!$B$7,('Control Room'!$B$8+'Control Room'!$D$8)/2)+'Control Room'!$B$9*(T357-IF('Control Room'!$B$5="Normal",'Control Room'!$B$7,('Control Room'!$B$8+'Control Room'!$D$8)/2))+SQRT(1-'Control Room'!$B$9^2)*(S358-IF('Control Room'!$B$5="Normal",'Control Room'!$B$7,('Control Room'!$B$8+'Control Room'!$D$8)/2))</x:f>
        <x:v>913.2600244352863</x:v>
      </x:c>
      <x:c r="U358" s="17" t="n">
        <x:f>IF(AND($A358&gt;='Control Room'!$A$13,$A358&lt;'Control Room'!$A$13+'Control Room'!$B$13,'Process'!BN2=1),1+('Control Room'!$C$13-1)*EXP(-0.5*(($A358-'Control Room'!$A$13-('Control Room'!$B$13-1)/2)/MAX(0.5,'Control Room'!$B$13/4))^2),1)*IF(AND($A358&gt;='Control Room'!$A$14,$A358&lt;'Control Room'!$A$14+'Control Room'!$B$14,'Process'!BN3=1),1+('Control Room'!$C$14-1)*EXP(-0.5*(($A358-'Control Room'!$A$14-('Control Room'!$B$14-1)/2)/MAX(0.5,'Control Room'!$B$14/4))^2),1)*IF(AND($A358&gt;='Control Room'!$A$15,$A358&lt;'Control Room'!$A$15+'Control Room'!$B$15,'Process'!BN4=1),1+('Control Room'!$C$15-1)*EXP(-0.5*(($A358-'Control Room'!$A$15-('Control Room'!$B$15-1)/2)/MAX(0.5,'Control Room'!$B$15/4))^2),1)*IF(AND($A358&gt;='Control Room'!$A$16,$A358&lt;'Control Room'!$A$16+'Control Room'!$B$16,'Process'!BN5=1),1+('Control Room'!$C$16-1)*EXP(-0.5*(($A358-'Control Room'!$A$16-('Control Room'!$B$16-1)/2)/MAX(0.5,'Control Room'!$B$16/4))^2),1)</x:f>
        <x:v>1</x:v>
      </x:c>
      <x:c r="V358" s="9" t="n">
        <x:f>MOD(W357*16807,2147483647)</x:f>
        <x:v>433305430</x:v>
      </x:c>
      <x:c r="W358" s="9" t="n">
        <x:f>MOD(V358*16807,2147483647)</x:f>
        <x:v>447315033</x:v>
      </x:c>
      <x:c r="X358" s="17" t="n">
        <x:f>IF('Control Room'!$B$5="Normal",'Control Room'!$B$7+'Control Room'!$D$7*SQRT(-2*LN(MAX(0.000000000001,V358/2147483647)))*COS(2*PI()*W358/2147483647),'Control Room'!$B$8+('Control Room'!$D$8-'Control Room'!$B$8)*V358/2147483647)</x:f>
        <x:v>1041.7122138294117</x:v>
      </x:c>
      <x:c r="Y358" s="17" t="n">
        <x:f>IF('Control Room'!$B$5="Normal",'Control Room'!$B$7,('Control Room'!$B$8+'Control Room'!$D$8)/2)+'Control Room'!$B$9*(Y357-IF('Control Room'!$B$5="Normal",'Control Room'!$B$7,('Control Room'!$B$8+'Control Room'!$D$8)/2))+SQRT(1-'Control Room'!$B$9^2)*(X358-IF('Control Room'!$B$5="Normal",'Control Room'!$B$7,('Control Room'!$B$8+'Control Room'!$D$8)/2))</x:f>
        <x:v>1231.6596331433177</x:v>
      </x:c>
      <x:c r="Z358" s="17" t="n">
        <x:f>IF(AND($A358&gt;='Control Room'!$A$13,$A358&lt;'Control Room'!$A$13+'Control Room'!$B$13,'Process'!BO2=1),1+('Control Room'!$C$13-1)*EXP(-0.5*(($A358-'Control Room'!$A$13-('Control Room'!$B$13-1)/2)/MAX(0.5,'Control Room'!$B$13/4))^2),1)*IF(AND($A358&gt;='Control Room'!$A$14,$A358&lt;'Control Room'!$A$14+'Control Room'!$B$14,'Process'!BO3=1),1+('Control Room'!$C$14-1)*EXP(-0.5*(($A358-'Control Room'!$A$14-('Control Room'!$B$14-1)/2)/MAX(0.5,'Control Room'!$B$14/4))^2),1)*IF(AND($A358&gt;='Control Room'!$A$15,$A358&lt;'Control Room'!$A$15+'Control Room'!$B$15,'Process'!BO4=1),1+('Control Room'!$C$15-1)*EXP(-0.5*(($A358-'Control Room'!$A$15-('Control Room'!$B$15-1)/2)/MAX(0.5,'Control Room'!$B$15/4))^2),1)*IF(AND($A358&gt;='Control Room'!$A$16,$A358&lt;'Control Room'!$A$16+'Control Room'!$B$16,'Process'!BO5=1),1+('Control Room'!$C$16-1)*EXP(-0.5*(($A358-'Control Room'!$A$16-('Control Room'!$B$16-1)/2)/MAX(0.5,'Control Room'!$B$16/4))^2),1)</x:f>
        <x:v>1</x:v>
      </x:c>
      <x:c r="AA358" s="9" t="n">
        <x:f>MOD(AB357*16807,2147483647)</x:f>
        <x:v>1607891864</x:v>
      </x:c>
      <x:c r="AB358" s="9" t="n">
        <x:f>MOD(AA358*16807,2147483647)</x:f>
        <x:v>2051828047</x:v>
      </x:c>
      <x:c r="AC358" s="17" t="n">
        <x:f>IF('Control Room'!$B$5="Normal",'Control Room'!$B$7+'Control Room'!$D$7*SQRT(-2*LN(MAX(0.000000000001,AA358/2147483647)))*COS(2*PI()*AB358/2147483647),'Control Room'!$B$8+('Control Room'!$D$8-'Control Room'!$B$8)*AA358/2147483647)</x:f>
        <x:v>1065.8037639751344</x:v>
      </x:c>
      <x:c r="AD358" s="17" t="n">
        <x:f>IF('Control Room'!$B$5="Normal",'Control Room'!$B$7,('Control Room'!$B$8+'Control Room'!$D$8)/2)+'Control Room'!$B$9*(AD357-IF('Control Room'!$B$5="Normal",'Control Room'!$B$7,('Control Room'!$B$8+'Control Room'!$D$8)/2))+SQRT(1-'Control Room'!$B$9^2)*(AC358-IF('Control Room'!$B$5="Normal",'Control Room'!$B$7,('Control Room'!$B$8+'Control Room'!$D$8)/2))</x:f>
        <x:v>945.7493341291379</x:v>
      </x:c>
      <x:c r="AE358" s="17" t="n">
        <x:f>IF(AND($A358&gt;='Control Room'!$A$13,$A358&lt;'Control Room'!$A$13+'Control Room'!$B$13,'Process'!BP2=1),1+('Control Room'!$C$13-1)*EXP(-0.5*(($A358-'Control Room'!$A$13-('Control Room'!$B$13-1)/2)/MAX(0.5,'Control Room'!$B$13/4))^2),1)*IF(AND($A358&gt;='Control Room'!$A$14,$A358&lt;'Control Room'!$A$14+'Control Room'!$B$14,'Process'!BP3=1),1+('Control Room'!$C$14-1)*EXP(-0.5*(($A358-'Control Room'!$A$14-('Control Room'!$B$14-1)/2)/MAX(0.5,'Control Room'!$B$14/4))^2),1)*IF(AND($A358&gt;='Control Room'!$A$15,$A358&lt;'Control Room'!$A$15+'Control Room'!$B$15,'Process'!BP4=1),1+('Control Room'!$C$15-1)*EXP(-0.5*(($A358-'Control Room'!$A$15-('Control Room'!$B$15-1)/2)/MAX(0.5,'Control Room'!$B$15/4))^2),1)*IF(AND($A358&gt;='Control Room'!$A$16,$A358&lt;'Control Room'!$A$16+'Control Room'!$B$16,'Process'!BP5=1),1+('Control Room'!$C$16-1)*EXP(-0.5*(($A358-'Control Room'!$A$16-('Control Room'!$B$16-1)/2)/MAX(0.5,'Control Room'!$B$16/4))^2),1)</x:f>
        <x:v>1</x:v>
      </x:c>
      <x:c r="AF358" s="9" t="n">
        <x:f>MOD(AG357*16807,2147483647)</x:f>
        <x:v>634994651</x:v>
      </x:c>
      <x:c r="AG358" s="9" t="n">
        <x:f>MOD(AF358*16807,2147483647)</x:f>
        <x:v>1508857414</x:v>
      </x:c>
      <x:c r="AH358" s="17" t="n">
        <x:f>IF('Control Room'!$B$5="Normal",'Control Room'!$B$7+'Control Room'!$D$7*SQRT(-2*LN(MAX(0.000000000001,AF358/2147483647)))*COS(2*PI()*AG358/2147483647),'Control Room'!$B$8+('Control Room'!$D$8-'Control Room'!$B$8)*AF358/2147483647)</x:f>
        <x:v>958.7872975108405</x:v>
      </x:c>
      <x:c r="AI358" s="17" t="n">
        <x:f>IF('Control Room'!$B$5="Normal",'Control Room'!$B$7,('Control Room'!$B$8+'Control Room'!$D$8)/2)+'Control Room'!$B$9*(AI357-IF('Control Room'!$B$5="Normal",'Control Room'!$B$7,('Control Room'!$B$8+'Control Room'!$D$8)/2))+SQRT(1-'Control Room'!$B$9^2)*(AH358-IF('Control Room'!$B$5="Normal",'Control Room'!$B$7,('Control Room'!$B$8+'Control Room'!$D$8)/2))</x:f>
        <x:v>976.9324246909962</x:v>
      </x:c>
      <x:c r="AJ358" s="17" t="n">
        <x:f>IF(AND($A358&gt;='Control Room'!$A$13,$A358&lt;'Control Room'!$A$13+'Control Room'!$B$13,'Process'!BQ2=1),1+('Control Room'!$C$13-1)*EXP(-0.5*(($A358-'Control Room'!$A$13-('Control Room'!$B$13-1)/2)/MAX(0.5,'Control Room'!$B$13/4))^2),1)*IF(AND($A358&gt;='Control Room'!$A$14,$A358&lt;'Control Room'!$A$14+'Control Room'!$B$14,'Process'!BQ3=1),1+('Control Room'!$C$14-1)*EXP(-0.5*(($A358-'Control Room'!$A$14-('Control Room'!$B$14-1)/2)/MAX(0.5,'Control Room'!$B$14/4))^2),1)*IF(AND($A358&gt;='Control Room'!$A$15,$A358&lt;'Control Room'!$A$15+'Control Room'!$B$15,'Process'!BQ4=1),1+('Control Room'!$C$15-1)*EXP(-0.5*(($A358-'Control Room'!$A$15-('Control Room'!$B$15-1)/2)/MAX(0.5,'Control Room'!$B$15/4))^2),1)*IF(AND($A358&gt;='Control Room'!$A$16,$A358&lt;'Control Room'!$A$16+'Control Room'!$B$16,'Process'!BQ5=1),1+('Control Room'!$C$16-1)*EXP(-0.5*(($A358-'Control Room'!$A$16-('Control Room'!$B$16-1)/2)/MAX(0.5,'Control Room'!$B$16/4))^2),1)</x:f>
        <x:v>1</x:v>
      </x:c>
      <x:c r="AK358" s="9" t="n">
        <x:f>MOD(AL357*16807,2147483647)</x:f>
        <x:v>1809581085</x:v>
      </x:c>
      <x:c r="AL358" s="9" t="n">
        <x:f>MOD(AK358*16807,2147483647)</x:f>
        <x:v>965886781</x:v>
      </x:c>
      <x:c r="AM358" s="17" t="n">
        <x:f>IF('Control Room'!$B$5="Normal",'Control Room'!$B$7+'Control Room'!$D$7*SQRT(-2*LN(MAX(0.000000000001,AK358/2147483647)))*COS(2*PI()*AL358/2147483647),'Control Room'!$B$8+('Control Room'!$D$8-'Control Room'!$B$8)*AK358/2147483647)</x:f>
        <x:v>949.936816301494</x:v>
      </x:c>
      <x:c r="AN358" s="17" t="n">
        <x:f>IF('Control Room'!$B$5="Normal",'Control Room'!$B$7,('Control Room'!$B$8+'Control Room'!$D$8)/2)+'Control Room'!$B$9*(AN357-IF('Control Room'!$B$5="Normal",'Control Room'!$B$7,('Control Room'!$B$8+'Control Room'!$D$8)/2))+SQRT(1-'Control Room'!$B$9^2)*(AM358-IF('Control Room'!$B$5="Normal",'Control Room'!$B$7,('Control Room'!$B$8+'Control Room'!$D$8)/2))</x:f>
        <x:v>984.5777085173431</x:v>
      </x:c>
      <x:c r="AO358" s="17" t="n">
        <x:f>IF(AND($A358&gt;='Control Room'!$A$13,$A358&lt;'Control Room'!$A$13+'Control Room'!$B$13,'Process'!BR2=1),1+('Control Room'!$C$13-1)*EXP(-0.5*(($A358-'Control Room'!$A$13-('Control Room'!$B$13-1)/2)/MAX(0.5,'Control Room'!$B$13/4))^2),1)*IF(AND($A358&gt;='Control Room'!$A$14,$A358&lt;'Control Room'!$A$14+'Control Room'!$B$14,'Process'!BR3=1),1+('Control Room'!$C$14-1)*EXP(-0.5*(($A358-'Control Room'!$A$14-('Control Room'!$B$14-1)/2)/MAX(0.5,'Control Room'!$B$14/4))^2),1)*IF(AND($A358&gt;='Control Room'!$A$15,$A358&lt;'Control Room'!$A$15+'Control Room'!$B$15,'Process'!BR4=1),1+('Control Room'!$C$15-1)*EXP(-0.5*(($A358-'Control Room'!$A$15-('Control Room'!$B$15-1)/2)/MAX(0.5,'Control Room'!$B$15/4))^2),1)*IF(AND($A358&gt;='Control Room'!$A$16,$A358&lt;'Control Room'!$A$16+'Control Room'!$B$16,'Process'!BR5=1),1+('Control Room'!$C$16-1)*EXP(-0.5*(($A358-'Control Room'!$A$16-('Control Room'!$B$16-1)/2)/MAX(0.5,'Control Room'!$B$16/4))^2),1)</x:f>
        <x:v>1</x:v>
      </x:c>
      <x:c r="AP358" s="9" t="n">
        <x:f>MOD(AQ357*16807,2147483647)</x:f>
        <x:v>836683872</x:v>
      </x:c>
      <x:c r="AQ358" s="9" t="n">
        <x:f>MOD(AP358*16807,2147483647)</x:f>
        <x:v>422916148</x:v>
      </x:c>
      <x:c r="AR358" s="17" t="n">
        <x:f>IF('Control Room'!$B$5="Normal",'Control Room'!$B$7+'Control Room'!$D$7*SQRT(-2*LN(MAX(0.000000000001,AP358/2147483647)))*COS(2*PI()*AQ358/2147483647),'Control Room'!$B$8+('Control Room'!$D$8-'Control Room'!$B$8)*AP358/2147483647)</x:f>
        <x:v>1040.441631915673</x:v>
      </x:c>
      <x:c r="AS358" s="17" t="n">
        <x:f>IF('Control Room'!$B$5="Normal",'Control Room'!$B$7,('Control Room'!$B$8+'Control Room'!$D$8)/2)+'Control Room'!$B$9*(AS357-IF('Control Room'!$B$5="Normal",'Control Room'!$B$7,('Control Room'!$B$8+'Control Room'!$D$8)/2))+SQRT(1-'Control Room'!$B$9^2)*(AR358-IF('Control Room'!$B$5="Normal",'Control Room'!$B$7,('Control Room'!$B$8+'Control Room'!$D$8)/2))</x:f>
        <x:v>872.2109564312631</x:v>
      </x:c>
      <x:c r="AT358" s="17" t="n">
        <x:f>IF(AND($A358&gt;='Control Room'!$A$13,$A358&lt;'Control Room'!$A$13+'Control Room'!$B$13,'Process'!BS2=1),1+('Control Room'!$C$13-1)*EXP(-0.5*(($A358-'Control Room'!$A$13-('Control Room'!$B$13-1)/2)/MAX(0.5,'Control Room'!$B$13/4))^2),1)*IF(AND($A358&gt;='Control Room'!$A$14,$A358&lt;'Control Room'!$A$14+'Control Room'!$B$14,'Process'!BS3=1),1+('Control Room'!$C$14-1)*EXP(-0.5*(($A358-'Control Room'!$A$14-('Control Room'!$B$14-1)/2)/MAX(0.5,'Control Room'!$B$14/4))^2),1)*IF(AND($A358&gt;='Control Room'!$A$15,$A358&lt;'Control Room'!$A$15+'Control Room'!$B$15,'Process'!BS4=1),1+('Control Room'!$C$15-1)*EXP(-0.5*(($A358-'Control Room'!$A$15-('Control Room'!$B$15-1)/2)/MAX(0.5,'Control Room'!$B$15/4))^2),1)*IF(AND($A358&gt;='Control Room'!$A$16,$A358&lt;'Control Room'!$A$16+'Control Room'!$B$16,'Process'!BS5=1),1+('Control Room'!$C$16-1)*EXP(-0.5*(($A358-'Control Room'!$A$16-('Control Room'!$B$16-1)/2)/MAX(0.5,'Control Room'!$B$16/4))^2),1)</x:f>
        <x:v>1</x:v>
      </x:c>
      <x:c r="AU358" s="9" t="n">
        <x:f>MOD(AV357*16807,2147483647)</x:f>
        <x:v>2011270306</x:v>
      </x:c>
      <x:c r="AV358" s="9" t="n">
        <x:f>MOD(AU358*16807,2147483647)</x:f>
        <x:v>2027429162</x:v>
      </x:c>
      <x:c r="AW358" s="17" t="n">
        <x:f>IF('Control Room'!$B$5="Normal",'Control Room'!$B$7+'Control Room'!$D$7*SQRT(-2*LN(MAX(0.000000000001,AU358/2147483647)))*COS(2*PI()*AV358/2147483647),'Control Room'!$B$8+('Control Room'!$D$8-'Control Room'!$B$8)*AU358/2147483647)</x:f>
        <x:v>1030.5925897413078</x:v>
      </x:c>
      <x:c r="AX358" s="17" t="n">
        <x:f>IF('Control Room'!$B$5="Normal",'Control Room'!$B$7,('Control Room'!$B$8+'Control Room'!$D$8)/2)+'Control Room'!$B$9*(AX357-IF('Control Room'!$B$5="Normal",'Control Room'!$B$7,('Control Room'!$B$8+'Control Room'!$D$8)/2))+SQRT(1-'Control Room'!$B$9^2)*(AW358-IF('Control Room'!$B$5="Normal",'Control Room'!$B$7,('Control Room'!$B$8+'Control Room'!$D$8)/2))</x:f>
        <x:v>1003.7438971764785</x:v>
      </x:c>
      <x:c r="AY358" s="17" t="n">
        <x:f>IF(AND($A358&gt;='Control Room'!$A$13,$A358&lt;'Control Room'!$A$13+'Control Room'!$B$13,'Process'!BT2=1),1+('Control Room'!$C$13-1)*EXP(-0.5*(($A358-'Control Room'!$A$13-('Control Room'!$B$13-1)/2)/MAX(0.5,'Control Room'!$B$13/4))^2),1)*IF(AND($A358&gt;='Control Room'!$A$14,$A358&lt;'Control Room'!$A$14+'Control Room'!$B$14,'Process'!BT3=1),1+('Control Room'!$C$14-1)*EXP(-0.5*(($A358-'Control Room'!$A$14-('Control Room'!$B$14-1)/2)/MAX(0.5,'Control Room'!$B$14/4))^2),1)*IF(AND($A358&gt;='Control Room'!$A$15,$A358&lt;'Control Room'!$A$15+'Control Room'!$B$15,'Process'!BT4=1),1+('Control Room'!$C$15-1)*EXP(-0.5*(($A358-'Control Room'!$A$15-('Control Room'!$B$15-1)/2)/MAX(0.5,'Control Room'!$B$15/4))^2),1)*IF(AND($A358&gt;='Control Room'!$A$16,$A358&lt;'Control Room'!$A$16+'Control Room'!$B$16,'Process'!BT5=1),1+('Control Room'!$C$16-1)*EXP(-0.5*(($A358-'Control Room'!$A$16-('Control Room'!$B$16-1)/2)/MAX(0.5,'Control Room'!$B$16/4))^2),1)</x:f>
        <x:v>1</x:v>
      </x:c>
      <x:c r="AZ358" s="9" t="n">
        <x:f>MOD(BA357*16807,2147483647)</x:f>
        <x:v>1038373093</x:v>
      </x:c>
      <x:c r="BA358" s="9" t="n">
        <x:f>MOD(AZ358*16807,2147483647)</x:f>
        <x:v>1484458529</x:v>
      </x:c>
      <x:c r="BB358" s="17" t="n">
        <x:f>IF('Control Room'!$B$5="Normal",'Control Room'!$B$7+'Control Room'!$D$7*SQRT(-2*LN(MAX(0.000000000001,AZ358/2147483647)))*COS(2*PI()*BA358/2147483647),'Control Room'!$B$8+('Control Room'!$D$8-'Control Room'!$B$8)*AZ358/2147483647)</x:f>
        <x:v>960.8562123055415</x:v>
      </x:c>
      <x:c r="BC358" s="17" t="n">
        <x:f>IF('Control Room'!$B$5="Normal",'Control Room'!$B$7,('Control Room'!$B$8+'Control Room'!$D$8)/2)+'Control Room'!$B$9*(BC357-IF('Control Room'!$B$5="Normal",'Control Room'!$B$7,('Control Room'!$B$8+'Control Room'!$D$8)/2))+SQRT(1-'Control Room'!$B$9^2)*(BB358-IF('Control Room'!$B$5="Normal",'Control Room'!$B$7,('Control Room'!$B$8+'Control Room'!$D$8)/2))</x:f>
        <x:v>1095.6734745176052</x:v>
      </x:c>
      <x:c r="BD358" s="17" t="n">
        <x:f>IF(AND($A358&gt;='Control Room'!$A$13,$A358&lt;'Control Room'!$A$13+'Control Room'!$B$13,'Process'!BU2=1),1+('Control Room'!$C$13-1)*EXP(-0.5*(($A358-'Control Room'!$A$13-('Control Room'!$B$13-1)/2)/MAX(0.5,'Control Room'!$B$13/4))^2),1)*IF(AND($A358&gt;='Control Room'!$A$14,$A358&lt;'Control Room'!$A$14+'Control Room'!$B$14,'Process'!BU3=1),1+('Control Room'!$C$14-1)*EXP(-0.5*(($A358-'Control Room'!$A$14-('Control Room'!$B$14-1)/2)/MAX(0.5,'Control Room'!$B$14/4))^2),1)*IF(AND($A358&gt;='Control Room'!$A$15,$A358&lt;'Control Room'!$A$15+'Control Room'!$B$15,'Process'!BU4=1),1+('Control Room'!$C$15-1)*EXP(-0.5*(($A358-'Control Room'!$A$15-('Control Room'!$B$15-1)/2)/MAX(0.5,'Control Room'!$B$15/4))^2),1)*IF(AND($A358&gt;='Control Room'!$A$16,$A358&lt;'Control Room'!$A$16+'Control Room'!$B$16,'Process'!BU5=1),1+('Control Room'!$C$16-1)*EXP(-0.5*(($A358-'Control Room'!$A$16-('Control Room'!$B$16-1)/2)/MAX(0.5,'Control Room'!$B$16/4))^2),1)</x:f>
        <x:v>1</x:v>
      </x:c>
      <x:c r="BE358" s="9" t="n">
        <x:f>MOD(BF357*16807,2147483647)</x:f>
        <x:v>65475880</x:v>
      </x:c>
      <x:c r="BF358" s="9" t="n">
        <x:f>MOD(BE358*16807,2147483647)</x:f>
        <x:v>941487896</x:v>
      </x:c>
      <x:c r="BG358" s="17" t="n">
        <x:f>IF('Control Room'!$B$5="Normal",'Control Room'!$B$7+'Control Room'!$D$7*SQRT(-2*LN(MAX(0.000000000001,BE358/2147483647)))*COS(2*PI()*BF358/2147483647),'Control Room'!$B$8+('Control Room'!$D$8-'Control Room'!$B$8)*BE358/2147483647)</x:f>
        <x:v>779.7916298835698</x:v>
      </x:c>
      <x:c r="BH358" s="17" t="n">
        <x:f>IF('Control Room'!$B$5="Normal",'Control Room'!$B$7,('Control Room'!$B$8+'Control Room'!$D$8)/2)+'Control Room'!$B$9*(BH357-IF('Control Room'!$B$5="Normal",'Control Room'!$B$7,('Control Room'!$B$8+'Control Room'!$D$8)/2))+SQRT(1-'Control Room'!$B$9^2)*(BG358-IF('Control Room'!$B$5="Normal",'Control Room'!$B$7,('Control Room'!$B$8+'Control Room'!$D$8)/2))</x:f>
        <x:v>898.5982295686117</x:v>
      </x:c>
      <x:c r="BI358" s="17" t="n">
        <x:f>IF(AND($A358&gt;='Control Room'!$A$13,$A358&lt;'Control Room'!$A$13+'Control Room'!$B$13,'Process'!BV2=1),1+('Control Room'!$C$13-1)*EXP(-0.5*(($A358-'Control Room'!$A$13-('Control Room'!$B$13-1)/2)/MAX(0.5,'Control Room'!$B$13/4))^2),1)*IF(AND($A358&gt;='Control Room'!$A$14,$A358&lt;'Control Room'!$A$14+'Control Room'!$B$14,'Process'!BV3=1),1+('Control Room'!$C$14-1)*EXP(-0.5*(($A358-'Control Room'!$A$14-('Control Room'!$B$14-1)/2)/MAX(0.5,'Control Room'!$B$14/4))^2),1)*IF(AND($A358&gt;='Control Room'!$A$15,$A358&lt;'Control Room'!$A$15+'Control Room'!$B$15,'Process'!BV4=1),1+('Control Room'!$C$15-1)*EXP(-0.5*(($A358-'Control Room'!$A$15-('Control Room'!$B$15-1)/2)/MAX(0.5,'Control Room'!$B$15/4))^2),1)*IF(AND($A358&gt;='Control Room'!$A$16,$A358&lt;'Control Room'!$A$16+'Control Room'!$B$16,'Process'!BV5=1),1+('Control Room'!$C$16-1)*EXP(-0.5*(($A358-'Control Room'!$A$16-('Control Room'!$B$16-1)/2)/MAX(0.5,'Control Room'!$B$16/4))^2),1)</x:f>
        <x:v>1</x:v>
      </x:c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Z358" t="str">
        <x:f>IF('Data'!A358="","",TEXT('Data'!A358,"mm-dd"))</x:f>
      </x:c>
    </x:row>
    <x:row r="359" ht="21" customHeight="1">
      <x:c r="A359" s="15" t="n">
        <x:f>'Control Room'!$B$1+357</x:f>
        <x:v>73348</x:v>
      </x:c>
      <x:c r="B359" s="9" t="n">
        <x:f>MOD(C358*16807,2147483647)</x:f>
        <x:v>1733678749</x:v>
      </x:c>
      <x:c r="C359" s="9" t="n">
        <x:f>MOD(B359*16807,2147483647)</x:f>
        <x:v>880611947</x:v>
      </x:c>
      <x:c r="D359" s="17" t="n">
        <x:f>IF('Control Room'!$B$5="Normal",'Control Room'!$B$7+'Control Room'!$D$7*SQRT(-2*LN(MAX(0.000000000001,B359/2147483647)))*COS(2*PI()*C359/2147483647),'Control Room'!$B$8+('Control Room'!$D$8-'Control Room'!$B$8)*B359/2147483647)</x:f>
        <x:v>950.2671618232152</x:v>
      </x:c>
      <x:c r="E359" s="17" t="n">
        <x:f>IF('Control Room'!$B$5="Normal",'Control Room'!$B$7,('Control Room'!$B$8+'Control Room'!$D$8)/2)+'Control Room'!$B$9*(E358-IF('Control Room'!$B$5="Normal",'Control Room'!$B$7,('Control Room'!$B$8+'Control Room'!$D$8)/2))+SQRT(1-'Control Room'!$B$9^2)*(D359-IF('Control Room'!$B$5="Normal",'Control Room'!$B$7,('Control Room'!$B$8+'Control Room'!$D$8)/2))</x:f>
        <x:v>996.6978235769146</x:v>
      </x:c>
      <x:c r="F359" s="17" t="n">
        <x:f>IF(AND($A359&gt;='Control Room'!$A$13,$A359&lt;'Control Room'!$A$13+'Control Room'!$B$13,'Process'!BK2=1),1+('Control Room'!$C$13-1)*EXP(-0.5*(($A359-'Control Room'!$A$13-('Control Room'!$B$13-1)/2)/MAX(0.5,'Control Room'!$B$13/4))^2),1)*IF(AND($A359&gt;='Control Room'!$A$14,$A359&lt;'Control Room'!$A$14+'Control Room'!$B$14,'Process'!BK3=1),1+('Control Room'!$C$14-1)*EXP(-0.5*(($A359-'Control Room'!$A$14-('Control Room'!$B$14-1)/2)/MAX(0.5,'Control Room'!$B$14/4))^2),1)*IF(AND($A359&gt;='Control Room'!$A$15,$A359&lt;'Control Room'!$A$15+'Control Room'!$B$15,'Process'!BK4=1),1+('Control Room'!$C$15-1)*EXP(-0.5*(($A359-'Control Room'!$A$15-('Control Room'!$B$15-1)/2)/MAX(0.5,'Control Room'!$B$15/4))^2),1)*IF(AND($A359&gt;='Control Room'!$A$16,$A359&lt;'Control Room'!$A$16+'Control Room'!$B$16,'Process'!BK5=1),1+('Control Room'!$C$16-1)*EXP(-0.5*(($A359-'Control Room'!$A$16-('Control Room'!$B$16-1)/2)/MAX(0.5,'Control Room'!$B$16/4))^2),1)</x:f>
        <x:v>1</x:v>
      </x:c>
      <x:c r="G359" s="9" t="n">
        <x:f>MOD(H358*16807,2147483647)</x:f>
        <x:v>684266021</x:v>
      </x:c>
      <x:c r="H359" s="9" t="n">
        <x:f>MOD(G359*16807,2147483647)</x:f>
        <x:v>684085262</x:v>
      </x:c>
      <x:c r="I359" s="17" t="n">
        <x:f>IF('Control Room'!$B$5="Normal",'Control Room'!$B$7+'Control Room'!$D$7*SQRT(-2*LN(MAX(0.000000000001,G359/2147483647)))*COS(2*PI()*H359/2147483647),'Control Room'!$B$8+('Control Room'!$D$8-'Control Room'!$B$8)*G359/2147483647)</x:f>
        <x:v>943.1668141825655</x:v>
      </x:c>
      <x:c r="J359" s="17" t="n">
        <x:f>IF('Control Room'!$B$5="Normal",'Control Room'!$B$7,('Control Room'!$B$8+'Control Room'!$D$8)/2)+'Control Room'!$B$9*(J358-IF('Control Room'!$B$5="Normal",'Control Room'!$B$7,('Control Room'!$B$8+'Control Room'!$D$8)/2))+SQRT(1-'Control Room'!$B$9^2)*(I359-IF('Control Room'!$B$5="Normal",'Control Room'!$B$7,('Control Room'!$B$8+'Control Room'!$D$8)/2))</x:f>
        <x:v>1041.859122925803</x:v>
      </x:c>
      <x:c r="K359" s="17" t="n">
        <x:f>IF(AND($A359&gt;='Control Room'!$A$13,$A359&lt;'Control Room'!$A$13+'Control Room'!$B$13,'Process'!BL2=1),1+('Control Room'!$C$13-1)*EXP(-0.5*(($A359-'Control Room'!$A$13-('Control Room'!$B$13-1)/2)/MAX(0.5,'Control Room'!$B$13/4))^2),1)*IF(AND($A359&gt;='Control Room'!$A$14,$A359&lt;'Control Room'!$A$14+'Control Room'!$B$14,'Process'!BL3=1),1+('Control Room'!$C$14-1)*EXP(-0.5*(($A359-'Control Room'!$A$14-('Control Room'!$B$14-1)/2)/MAX(0.5,'Control Room'!$B$14/4))^2),1)*IF(AND($A359&gt;='Control Room'!$A$15,$A359&lt;'Control Room'!$A$15+'Control Room'!$B$15,'Process'!BL4=1),1+('Control Room'!$C$15-1)*EXP(-0.5*(($A359-'Control Room'!$A$15-('Control Room'!$B$15-1)/2)/MAX(0.5,'Control Room'!$B$15/4))^2),1)*IF(AND($A359&gt;='Control Room'!$A$16,$A359&lt;'Control Room'!$A$16+'Control Room'!$B$16,'Process'!BL5=1),1+('Control Room'!$C$16-1)*EXP(-0.5*(($A359-'Control Room'!$A$16-('Control Room'!$B$16-1)/2)/MAX(0.5,'Control Room'!$B$16/4))^2),1)</x:f>
        <x:v>1</x:v>
      </x:c>
      <x:c r="L359" s="9" t="n">
        <x:f>MOD(M358*16807,2147483647)</x:f>
        <x:v>1782336940</x:v>
      </x:c>
      <x:c r="M359" s="9" t="n">
        <x:f>MOD(L359*16807,2147483647)</x:f>
        <x:v>487558577</x:v>
      </x:c>
      <x:c r="N359" s="17" t="n">
        <x:f>IF('Control Room'!$B$5="Normal",'Control Room'!$B$7+'Control Room'!$D$7*SQRT(-2*LN(MAX(0.000000000001,L359/2147483647)))*COS(2*PI()*M359/2147483647),'Control Room'!$B$8+('Control Room'!$D$8-'Control Room'!$B$8)*L359/2147483647)</x:f>
        <x:v>1007.9003233345459</x:v>
      </x:c>
      <x:c r="O359" s="17" t="n">
        <x:f>IF('Control Room'!$B$5="Normal",'Control Room'!$B$7,('Control Room'!$B$8+'Control Room'!$D$8)/2)+'Control Room'!$B$9*(O358-IF('Control Room'!$B$5="Normal",'Control Room'!$B$7,('Control Room'!$B$8+'Control Room'!$D$8)/2))+SQRT(1-'Control Room'!$B$9^2)*(N359-IF('Control Room'!$B$5="Normal",'Control Room'!$B$7,('Control Room'!$B$8+'Control Room'!$D$8)/2))</x:f>
        <x:v>933.3934711465711</x:v>
      </x:c>
      <x:c r="P359" s="17" t="n">
        <x:f>IF(AND($A359&gt;='Control Room'!$A$13,$A359&lt;'Control Room'!$A$13+'Control Room'!$B$13,'Process'!BM2=1),1+('Control Room'!$C$13-1)*EXP(-0.5*(($A359-'Control Room'!$A$13-('Control Room'!$B$13-1)/2)/MAX(0.5,'Control Room'!$B$13/4))^2),1)*IF(AND($A359&gt;='Control Room'!$A$14,$A359&lt;'Control Room'!$A$14+'Control Room'!$B$14,'Process'!BM3=1),1+('Control Room'!$C$14-1)*EXP(-0.5*(($A359-'Control Room'!$A$14-('Control Room'!$B$14-1)/2)/MAX(0.5,'Control Room'!$B$14/4))^2),1)*IF(AND($A359&gt;='Control Room'!$A$15,$A359&lt;'Control Room'!$A$15+'Control Room'!$B$15,'Process'!BM4=1),1+('Control Room'!$C$15-1)*EXP(-0.5*(($A359-'Control Room'!$A$15-('Control Room'!$B$15-1)/2)/MAX(0.5,'Control Room'!$B$15/4))^2),1)*IF(AND($A359&gt;='Control Room'!$A$16,$A359&lt;'Control Room'!$A$16+'Control Room'!$B$16,'Process'!BM5=1),1+('Control Room'!$C$16-1)*EXP(-0.5*(($A359-'Control Room'!$A$16-('Control Room'!$B$16-1)/2)/MAX(0.5,'Control Room'!$B$16/4))^2),1)</x:f>
        <x:v>1</x:v>
      </x:c>
      <x:c r="Q359" s="9" t="n">
        <x:f>MOD(R358*16807,2147483647)</x:f>
        <x:v>732924212</x:v>
      </x:c>
      <x:c r="R359" s="9" t="n">
        <x:f>MOD(Q359*16807,2147483647)</x:f>
        <x:v>291031892</x:v>
      </x:c>
      <x:c r="S359" s="17" t="n">
        <x:f>IF('Control Room'!$B$5="Normal",'Control Room'!$B$7+'Control Room'!$D$7*SQRT(-2*LN(MAX(0.000000000001,Q359/2147483647)))*COS(2*PI()*R359/2147483647),'Control Room'!$B$8+('Control Room'!$D$8-'Control Room'!$B$8)*Q359/2147483647)</x:f>
        <x:v>1086.9456987587525</x:v>
      </x:c>
      <x:c r="T359" s="17" t="n">
        <x:f>IF('Control Room'!$B$5="Normal",'Control Room'!$B$7,('Control Room'!$B$8+'Control Room'!$D$8)/2)+'Control Room'!$B$9*(T358-IF('Control Room'!$B$5="Normal",'Control Room'!$B$7,('Control Room'!$B$8+'Control Room'!$D$8)/2))+SQRT(1-'Control Room'!$B$9^2)*(S359-IF('Control Room'!$B$5="Normal",'Control Room'!$B$7,('Control Room'!$B$8+'Control Room'!$D$8)/2))</x:f>
        <x:v>986.7516561632958</x:v>
      </x:c>
      <x:c r="U359" s="17" t="n">
        <x:f>IF(AND($A359&gt;='Control Room'!$A$13,$A359&lt;'Control Room'!$A$13+'Control Room'!$B$13,'Process'!BN2=1),1+('Control Room'!$C$13-1)*EXP(-0.5*(($A359-'Control Room'!$A$13-('Control Room'!$B$13-1)/2)/MAX(0.5,'Control Room'!$B$13/4))^2),1)*IF(AND($A359&gt;='Control Room'!$A$14,$A359&lt;'Control Room'!$A$14+'Control Room'!$B$14,'Process'!BN3=1),1+('Control Room'!$C$14-1)*EXP(-0.5*(($A359-'Control Room'!$A$14-('Control Room'!$B$14-1)/2)/MAX(0.5,'Control Room'!$B$14/4))^2),1)*IF(AND($A359&gt;='Control Room'!$A$15,$A359&lt;'Control Room'!$A$15+'Control Room'!$B$15,'Process'!BN4=1),1+('Control Room'!$C$15-1)*EXP(-0.5*(($A359-'Control Room'!$A$15-('Control Room'!$B$15-1)/2)/MAX(0.5,'Control Room'!$B$15/4))^2),1)*IF(AND($A359&gt;='Control Room'!$A$16,$A359&lt;'Control Room'!$A$16+'Control Room'!$B$16,'Process'!BN5=1),1+('Control Room'!$C$16-1)*EXP(-0.5*(($A359-'Control Room'!$A$16-('Control Room'!$B$16-1)/2)/MAX(0.5,'Control Room'!$B$16/4))^2),1)</x:f>
        <x:v>1</x:v>
      </x:c>
      <x:c r="V359" s="9" t="n">
        <x:f>MOD(W358*16807,2147483647)</x:f>
        <x:v>1830995131</x:v>
      </x:c>
      <x:c r="W359" s="9" t="n">
        <x:f>MOD(V359*16807,2147483647)</x:f>
        <x:v>94505207</x:v>
      </x:c>
      <x:c r="X359" s="17" t="n">
        <x:f>IF('Control Room'!$B$5="Normal",'Control Room'!$B$7+'Control Room'!$D$7*SQRT(-2*LN(MAX(0.000000000001,V359/2147483647)))*COS(2*PI()*W359/2147483647),'Control Room'!$B$8+('Control Room'!$D$8-'Control Room'!$B$8)*V359/2147483647)</x:f>
        <x:v>1048.891582560263</x:v>
      </x:c>
      <x:c r="Y359" s="17" t="n">
        <x:f>IF('Control Room'!$B$5="Normal",'Control Room'!$B$7,('Control Room'!$B$8+'Control Room'!$D$8)/2)+'Control Room'!$B$9*(Y358-IF('Control Room'!$B$5="Normal",'Control Room'!$B$7,('Control Room'!$B$8+'Control Room'!$D$8)/2))+SQRT(1-'Control Room'!$B$9^2)*(X359-IF('Control Room'!$B$5="Normal",'Control Room'!$B$7,('Control Room'!$B$8+'Control Room'!$D$8)/2))</x:f>
        <x:v>1211.28986461949</x:v>
      </x:c>
      <x:c r="Z359" s="17" t="n">
        <x:f>IF(AND($A359&gt;='Control Room'!$A$13,$A359&lt;'Control Room'!$A$13+'Control Room'!$B$13,'Process'!BO2=1),1+('Control Room'!$C$13-1)*EXP(-0.5*(($A359-'Control Room'!$A$13-('Control Room'!$B$13-1)/2)/MAX(0.5,'Control Room'!$B$13/4))^2),1)*IF(AND($A359&gt;='Control Room'!$A$14,$A359&lt;'Control Room'!$A$14+'Control Room'!$B$14,'Process'!BO3=1),1+('Control Room'!$C$14-1)*EXP(-0.5*(($A359-'Control Room'!$A$14-('Control Room'!$B$14-1)/2)/MAX(0.5,'Control Room'!$B$14/4))^2),1)*IF(AND($A359&gt;='Control Room'!$A$15,$A359&lt;'Control Room'!$A$15+'Control Room'!$B$15,'Process'!BO4=1),1+('Control Room'!$C$15-1)*EXP(-0.5*(($A359-'Control Room'!$A$15-('Control Room'!$B$15-1)/2)/MAX(0.5,'Control Room'!$B$15/4))^2),1)*IF(AND($A359&gt;='Control Room'!$A$16,$A359&lt;'Control Room'!$A$16+'Control Room'!$B$16,'Process'!BO5=1),1+('Control Room'!$C$16-1)*EXP(-0.5*(($A359-'Control Room'!$A$16-('Control Room'!$B$16-1)/2)/MAX(0.5,'Control Room'!$B$16/4))^2),1)</x:f>
        <x:v>1</x:v>
      </x:c>
      <x:c r="AA359" s="9" t="n">
        <x:f>MOD(AB358*16807,2147483647)</x:f>
        <x:v>781582403</x:v>
      </x:c>
      <x:c r="AB359" s="9" t="n">
        <x:f>MOD(AA359*16807,2147483647)</x:f>
        <x:v>2045462169</x:v>
      </x:c>
      <x:c r="AC359" s="17" t="n">
        <x:f>IF('Control Room'!$B$5="Normal",'Control Room'!$B$7+'Control Room'!$D$7*SQRT(-2*LN(MAX(0.000000000001,AA359/2147483647)))*COS(2*PI()*AB359/2147483647),'Control Room'!$B$8+('Control Room'!$D$8-'Control Room'!$B$8)*AA359/2147483647)</x:f>
        <x:v>1122.3018405360212</x:v>
      </x:c>
      <x:c r="AD359" s="17" t="n">
        <x:f>IF('Control Room'!$B$5="Normal",'Control Room'!$B$7,('Control Room'!$B$8+'Control Room'!$D$8)/2)+'Control Room'!$B$9*(AD358-IF('Control Room'!$B$5="Normal",'Control Room'!$B$7,('Control Room'!$B$8+'Control Room'!$D$8)/2))+SQRT(1-'Control Room'!$B$9^2)*(AC359-IF('Control Room'!$B$5="Normal",'Control Room'!$B$7,('Control Room'!$B$8+'Control Room'!$D$8)/2))</x:f>
        <x:v>1034.2184669387807</x:v>
      </x:c>
      <x:c r="AE359" s="17" t="n">
        <x:f>IF(AND($A359&gt;='Control Room'!$A$13,$A359&lt;'Control Room'!$A$13+'Control Room'!$B$13,'Process'!BP2=1),1+('Control Room'!$C$13-1)*EXP(-0.5*(($A359-'Control Room'!$A$13-('Control Room'!$B$13-1)/2)/MAX(0.5,'Control Room'!$B$13/4))^2),1)*IF(AND($A359&gt;='Control Room'!$A$14,$A359&lt;'Control Room'!$A$14+'Control Room'!$B$14,'Process'!BP3=1),1+('Control Room'!$C$14-1)*EXP(-0.5*(($A359-'Control Room'!$A$14-('Control Room'!$B$14-1)/2)/MAX(0.5,'Control Room'!$B$14/4))^2),1)*IF(AND($A359&gt;='Control Room'!$A$15,$A359&lt;'Control Room'!$A$15+'Control Room'!$B$15,'Process'!BP4=1),1+('Control Room'!$C$15-1)*EXP(-0.5*(($A359-'Control Room'!$A$15-('Control Room'!$B$15-1)/2)/MAX(0.5,'Control Room'!$B$15/4))^2),1)*IF(AND($A359&gt;='Control Room'!$A$16,$A359&lt;'Control Room'!$A$16+'Control Room'!$B$16,'Process'!BP5=1),1+('Control Room'!$C$16-1)*EXP(-0.5*(($A359-'Control Room'!$A$16-('Control Room'!$B$16-1)/2)/MAX(0.5,'Control Room'!$B$16/4))^2),1)</x:f>
        <x:v>1</x:v>
      </x:c>
      <x:c r="AF359" s="9" t="n">
        <x:f>MOD(AG358*16807,2147483647)</x:f>
        <x:v>1879653322</x:v>
      </x:c>
      <x:c r="AG359" s="9" t="n">
        <x:f>MOD(AF359*16807,2147483647)</x:f>
        <x:v>1848935484</x:v>
      </x:c>
      <x:c r="AH359" s="17" t="n">
        <x:f>IF('Control Room'!$B$5="Normal",'Control Room'!$B$7+'Control Room'!$D$7*SQRT(-2*LN(MAX(0.000000000001,AF359/2147483647)))*COS(2*PI()*AG359/2147483647),'Control Room'!$B$8+('Control Room'!$D$8-'Control Room'!$B$8)*AF359/2147483647)</x:f>
        <x:v>1029.8303364246976</x:v>
      </x:c>
      <x:c r="AI359" s="17" t="n">
        <x:f>IF('Control Room'!$B$5="Normal",'Control Room'!$B$7,('Control Room'!$B$8+'Control Room'!$D$8)/2)+'Control Room'!$B$9*(AI358-IF('Control Room'!$B$5="Normal",'Control Room'!$B$7,('Control Room'!$B$8+'Control Room'!$D$8)/2))+SQRT(1-'Control Room'!$B$9^2)*(AH359-IF('Control Room'!$B$5="Normal",'Control Room'!$B$7,('Control Room'!$B$8+'Control Room'!$D$8)/2))</x:f>
        <x:v>1000.6745046858945</x:v>
      </x:c>
      <x:c r="AJ359" s="17" t="n">
        <x:f>IF(AND($A359&gt;='Control Room'!$A$13,$A359&lt;'Control Room'!$A$13+'Control Room'!$B$13,'Process'!BQ2=1),1+('Control Room'!$C$13-1)*EXP(-0.5*(($A359-'Control Room'!$A$13-('Control Room'!$B$13-1)/2)/MAX(0.5,'Control Room'!$B$13/4))^2),1)*IF(AND($A359&gt;='Control Room'!$A$14,$A359&lt;'Control Room'!$A$14+'Control Room'!$B$14,'Process'!BQ3=1),1+('Control Room'!$C$14-1)*EXP(-0.5*(($A359-'Control Room'!$A$14-('Control Room'!$B$14-1)/2)/MAX(0.5,'Control Room'!$B$14/4))^2),1)*IF(AND($A359&gt;='Control Room'!$A$15,$A359&lt;'Control Room'!$A$15+'Control Room'!$B$15,'Process'!BQ4=1),1+('Control Room'!$C$15-1)*EXP(-0.5*(($A359-'Control Room'!$A$15-('Control Room'!$B$15-1)/2)/MAX(0.5,'Control Room'!$B$15/4))^2),1)*IF(AND($A359&gt;='Control Room'!$A$16,$A359&lt;'Control Room'!$A$16+'Control Room'!$B$16,'Process'!BQ5=1),1+('Control Room'!$C$16-1)*EXP(-0.5*(($A359-'Control Room'!$A$16-('Control Room'!$B$16-1)/2)/MAX(0.5,'Control Room'!$B$16/4))^2),1)</x:f>
        <x:v>1</x:v>
      </x:c>
      <x:c r="AK359" s="9" t="n">
        <x:f>MOD(AL358*16807,2147483647)</x:f>
        <x:v>830240594</x:v>
      </x:c>
      <x:c r="AL359" s="9" t="n">
        <x:f>MOD(AK359*16807,2147483647)</x:f>
        <x:v>1652408799</x:v>
      </x:c>
      <x:c r="AM359" s="17" t="n">
        <x:f>IF('Control Room'!$B$5="Normal",'Control Room'!$B$7+'Control Room'!$D$7*SQRT(-2*LN(MAX(0.000000000001,AK359/2147483647)))*COS(2*PI()*AL359/2147483647),'Control Room'!$B$8+('Control Room'!$D$8-'Control Room'!$B$8)*AK359/2147483647)</x:f>
        <x:v>1015.1355643808221</x:v>
      </x:c>
      <x:c r="AN359" s="17" t="n">
        <x:f>IF('Control Room'!$B$5="Normal",'Control Room'!$B$7,('Control Room'!$B$8+'Control Room'!$D$8)/2)+'Control Room'!$B$9*(AN358-IF('Control Room'!$B$5="Normal",'Control Room'!$B$7,('Control Room'!$B$8+'Control Room'!$D$8)/2))+SQRT(1-'Control Room'!$B$9^2)*(AM359-IF('Control Room'!$B$5="Normal",'Control Room'!$B$7,('Control Room'!$B$8+'Control Room'!$D$8)/2))</x:f>
        <x:v>997.442138764156</x:v>
      </x:c>
      <x:c r="AO359" s="17" t="n">
        <x:f>IF(AND($A359&gt;='Control Room'!$A$13,$A359&lt;'Control Room'!$A$13+'Control Room'!$B$13,'Process'!BR2=1),1+('Control Room'!$C$13-1)*EXP(-0.5*(($A359-'Control Room'!$A$13-('Control Room'!$B$13-1)/2)/MAX(0.5,'Control Room'!$B$13/4))^2),1)*IF(AND($A359&gt;='Control Room'!$A$14,$A359&lt;'Control Room'!$A$14+'Control Room'!$B$14,'Process'!BR3=1),1+('Control Room'!$C$14-1)*EXP(-0.5*(($A359-'Control Room'!$A$14-('Control Room'!$B$14-1)/2)/MAX(0.5,'Control Room'!$B$14/4))^2),1)*IF(AND($A359&gt;='Control Room'!$A$15,$A359&lt;'Control Room'!$A$15+'Control Room'!$B$15,'Process'!BR4=1),1+('Control Room'!$C$15-1)*EXP(-0.5*(($A359-'Control Room'!$A$15-('Control Room'!$B$15-1)/2)/MAX(0.5,'Control Room'!$B$15/4))^2),1)*IF(AND($A359&gt;='Control Room'!$A$16,$A359&lt;'Control Room'!$A$16+'Control Room'!$B$16,'Process'!BR5=1),1+('Control Room'!$C$16-1)*EXP(-0.5*(($A359-'Control Room'!$A$16-('Control Room'!$B$16-1)/2)/MAX(0.5,'Control Room'!$B$16/4))^2),1)</x:f>
        <x:v>1</x:v>
      </x:c>
      <x:c r="AP359" s="9" t="n">
        <x:f>MOD(AQ358*16807,2147483647)</x:f>
        <x:v>1928311513</x:v>
      </x:c>
      <x:c r="AQ359" s="9" t="n">
        <x:f>MOD(AP359*16807,2147483647)</x:f>
        <x:v>1455882114</x:v>
      </x:c>
      <x:c r="AR359" s="17" t="n">
        <x:f>IF('Control Room'!$B$5="Normal",'Control Room'!$B$7+'Control Room'!$D$7*SQRT(-2*LN(MAX(0.000000000001,AP359/2147483647)))*COS(2*PI()*AQ359/2147483647),'Control Room'!$B$8+('Control Room'!$D$8-'Control Room'!$B$8)*AP359/2147483647)</x:f>
        <x:v>981.7334211085562</x:v>
      </x:c>
      <x:c r="AS359" s="17" t="n">
        <x:f>IF('Control Room'!$B$5="Normal",'Control Room'!$B$7,('Control Room'!$B$8+'Control Room'!$D$8)/2)+'Control Room'!$B$9*(AS358-IF('Control Room'!$B$5="Normal",'Control Room'!$B$7,('Control Room'!$B$8+'Control Room'!$D$8)/2))+SQRT(1-'Control Room'!$B$9^2)*(AR359-IF('Control Room'!$B$5="Normal",'Control Room'!$B$7,('Control Room'!$B$8+'Control Room'!$D$8)/2))</x:f>
        <x:v>888.8936951573284</x:v>
      </x:c>
      <x:c r="AT359" s="17" t="n">
        <x:f>IF(AND($A359&gt;='Control Room'!$A$13,$A359&lt;'Control Room'!$A$13+'Control Room'!$B$13,'Process'!BS2=1),1+('Control Room'!$C$13-1)*EXP(-0.5*(($A359-'Control Room'!$A$13-('Control Room'!$B$13-1)/2)/MAX(0.5,'Control Room'!$B$13/4))^2),1)*IF(AND($A359&gt;='Control Room'!$A$14,$A359&lt;'Control Room'!$A$14+'Control Room'!$B$14,'Process'!BS3=1),1+('Control Room'!$C$14-1)*EXP(-0.5*(($A359-'Control Room'!$A$14-('Control Room'!$B$14-1)/2)/MAX(0.5,'Control Room'!$B$14/4))^2),1)*IF(AND($A359&gt;='Control Room'!$A$15,$A359&lt;'Control Room'!$A$15+'Control Room'!$B$15,'Process'!BS4=1),1+('Control Room'!$C$15-1)*EXP(-0.5*(($A359-'Control Room'!$A$15-('Control Room'!$B$15-1)/2)/MAX(0.5,'Control Room'!$B$15/4))^2),1)*IF(AND($A359&gt;='Control Room'!$A$16,$A359&lt;'Control Room'!$A$16+'Control Room'!$B$16,'Process'!BS5=1),1+('Control Room'!$C$16-1)*EXP(-0.5*(($A359-'Control Room'!$A$16-('Control Room'!$B$16-1)/2)/MAX(0.5,'Control Room'!$B$16/4))^2),1)</x:f>
        <x:v>1</x:v>
      </x:c>
      <x:c r="AU359" s="9" t="n">
        <x:f>MOD(AV358*16807,2147483647)</x:f>
        <x:v>878898785</x:v>
      </x:c>
      <x:c r="AV359" s="9" t="n">
        <x:f>MOD(AU359*16807,2147483647)</x:f>
        <x:v>1259355429</x:v>
      </x:c>
      <x:c r="AW359" s="17" t="n">
        <x:f>IF('Control Room'!$B$5="Normal",'Control Room'!$B$7+'Control Room'!$D$7*SQRT(-2*LN(MAX(0.000000000001,AU359/2147483647)))*COS(2*PI()*AV359/2147483647),'Control Room'!$B$8+('Control Room'!$D$8-'Control Room'!$B$8)*AU359/2147483647)</x:f>
        <x:v>897.0058214256845</x:v>
      </x:c>
      <x:c r="AX359" s="17" t="n">
        <x:f>IF('Control Room'!$B$5="Normal",'Control Room'!$B$7,('Control Room'!$B$8+'Control Room'!$D$8)/2)+'Control Room'!$B$9*(AX358-IF('Control Room'!$B$5="Normal",'Control Room'!$B$7,('Control Room'!$B$8+'Control Room'!$D$8)/2))+SQRT(1-'Control Room'!$B$9^2)*(AW359-IF('Control Room'!$B$5="Normal",'Control Room'!$B$7,('Control Room'!$B$8+'Control Room'!$D$8)/2))</x:f>
        <x:v>938.4685927962807</x:v>
      </x:c>
      <x:c r="AY359" s="17" t="n">
        <x:f>IF(AND($A359&gt;='Control Room'!$A$13,$A359&lt;'Control Room'!$A$13+'Control Room'!$B$13,'Process'!BT2=1),1+('Control Room'!$C$13-1)*EXP(-0.5*(($A359-'Control Room'!$A$13-('Control Room'!$B$13-1)/2)/MAX(0.5,'Control Room'!$B$13/4))^2),1)*IF(AND($A359&gt;='Control Room'!$A$14,$A359&lt;'Control Room'!$A$14+'Control Room'!$B$14,'Process'!BT3=1),1+('Control Room'!$C$14-1)*EXP(-0.5*(($A359-'Control Room'!$A$14-('Control Room'!$B$14-1)/2)/MAX(0.5,'Control Room'!$B$14/4))^2),1)*IF(AND($A359&gt;='Control Room'!$A$15,$A359&lt;'Control Room'!$A$15+'Control Room'!$B$15,'Process'!BT4=1),1+('Control Room'!$C$15-1)*EXP(-0.5*(($A359-'Control Room'!$A$15-('Control Room'!$B$15-1)/2)/MAX(0.5,'Control Room'!$B$15/4))^2),1)*IF(AND($A359&gt;='Control Room'!$A$16,$A359&lt;'Control Room'!$A$16+'Control Room'!$B$16,'Process'!BT5=1),1+('Control Room'!$C$16-1)*EXP(-0.5*(($A359-'Control Room'!$A$16-('Control Room'!$B$16-1)/2)/MAX(0.5,'Control Room'!$B$16/4))^2),1)</x:f>
        <x:v>1</x:v>
      </x:c>
      <x:c r="AZ359" s="9" t="n">
        <x:f>MOD(BA358*16807,2147483647)</x:f>
        <x:v>1976969704</x:v>
      </x:c>
      <x:c r="BA359" s="9" t="n">
        <x:f>MOD(AZ359*16807,2147483647)</x:f>
        <x:v>1062828744</x:v>
      </x:c>
      <x:c r="BB359" s="17" t="n">
        <x:f>IF('Control Room'!$B$5="Normal",'Control Room'!$B$7+'Control Room'!$D$7*SQRT(-2*LN(MAX(0.000000000001,AZ359/2147483647)))*COS(2*PI()*BA359/2147483647),'Control Room'!$B$8+('Control Room'!$D$8-'Control Room'!$B$8)*AZ359/2147483647)</x:f>
        <x:v>963.4092224077036</x:v>
      </x:c>
      <x:c r="BC359" s="17" t="n">
        <x:f>IF('Control Room'!$B$5="Normal",'Control Room'!$B$7,('Control Room'!$B$8+'Control Room'!$D$8)/2)+'Control Room'!$B$9*(BC358-IF('Control Room'!$B$5="Normal",'Control Room'!$B$7,('Control Room'!$B$8+'Control Room'!$D$8)/2))+SQRT(1-'Control Room'!$B$9^2)*(BB359-IF('Control Room'!$B$5="Normal",'Control Room'!$B$7,('Control Room'!$B$8+'Control Room'!$D$8)/2))</x:f>
        <x:v>1051.7275511092967</x:v>
      </x:c>
      <x:c r="BD359" s="17" t="n">
        <x:f>IF(AND($A359&gt;='Control Room'!$A$13,$A359&lt;'Control Room'!$A$13+'Control Room'!$B$13,'Process'!BU2=1),1+('Control Room'!$C$13-1)*EXP(-0.5*(($A359-'Control Room'!$A$13-('Control Room'!$B$13-1)/2)/MAX(0.5,'Control Room'!$B$13/4))^2),1)*IF(AND($A359&gt;='Control Room'!$A$14,$A359&lt;'Control Room'!$A$14+'Control Room'!$B$14,'Process'!BU3=1),1+('Control Room'!$C$14-1)*EXP(-0.5*(($A359-'Control Room'!$A$14-('Control Room'!$B$14-1)/2)/MAX(0.5,'Control Room'!$B$14/4))^2),1)*IF(AND($A359&gt;='Control Room'!$A$15,$A359&lt;'Control Room'!$A$15+'Control Room'!$B$15,'Process'!BU4=1),1+('Control Room'!$C$15-1)*EXP(-0.5*(($A359-'Control Room'!$A$15-('Control Room'!$B$15-1)/2)/MAX(0.5,'Control Room'!$B$15/4))^2),1)*IF(AND($A359&gt;='Control Room'!$A$16,$A359&lt;'Control Room'!$A$16+'Control Room'!$B$16,'Process'!BU5=1),1+('Control Room'!$C$16-1)*EXP(-0.5*(($A359-'Control Room'!$A$16-('Control Room'!$B$16-1)/2)/MAX(0.5,'Control Room'!$B$16/4))^2),1)</x:f>
        <x:v>1</x:v>
      </x:c>
      <x:c r="BE359" s="9" t="n">
        <x:f>MOD(BF358*16807,2147483647)</x:f>
        <x:v>927556976</x:v>
      </x:c>
      <x:c r="BF359" s="9" t="n">
        <x:f>MOD(BE359*16807,2147483647)</x:f>
        <x:v>866302059</x:v>
      </x:c>
      <x:c r="BG359" s="17" t="n">
        <x:f>IF('Control Room'!$B$5="Normal",'Control Room'!$B$7+'Control Room'!$D$7*SQRT(-2*LN(MAX(0.000000000001,BE359/2147483647)))*COS(2*PI()*BF359/2147483647),'Control Room'!$B$8+('Control Room'!$D$8-'Control Room'!$B$8)*BE359/2147483647)</x:f>
        <x:v>904.2095828553445</x:v>
      </x:c>
      <x:c r="BH359" s="17" t="n">
        <x:f>IF('Control Room'!$B$5="Normal",'Control Room'!$B$7,('Control Room'!$B$8+'Control Room'!$D$8)/2)+'Control Room'!$B$9*(BH358-IF('Control Room'!$B$5="Normal",'Control Room'!$B$7,('Control Room'!$B$8+'Control Room'!$D$8)/2))+SQRT(1-'Control Room'!$B$9^2)*(BG359-IF('Control Room'!$B$5="Normal",'Control Room'!$B$7,('Control Room'!$B$8+'Control Room'!$D$8)/2))</x:f>
        <x:v>860.9629383877515</x:v>
      </x:c>
      <x:c r="BI359" s="17" t="n">
        <x:f>IF(AND($A359&gt;='Control Room'!$A$13,$A359&lt;'Control Room'!$A$13+'Control Room'!$B$13,'Process'!BV2=1),1+('Control Room'!$C$13-1)*EXP(-0.5*(($A359-'Control Room'!$A$13-('Control Room'!$B$13-1)/2)/MAX(0.5,'Control Room'!$B$13/4))^2),1)*IF(AND($A359&gt;='Control Room'!$A$14,$A359&lt;'Control Room'!$A$14+'Control Room'!$B$14,'Process'!BV3=1),1+('Control Room'!$C$14-1)*EXP(-0.5*(($A359-'Control Room'!$A$14-('Control Room'!$B$14-1)/2)/MAX(0.5,'Control Room'!$B$14/4))^2),1)*IF(AND($A359&gt;='Control Room'!$A$15,$A359&lt;'Control Room'!$A$15+'Control Room'!$B$15,'Process'!BV4=1),1+('Control Room'!$C$15-1)*EXP(-0.5*(($A359-'Control Room'!$A$15-('Control Room'!$B$15-1)/2)/MAX(0.5,'Control Room'!$B$15/4))^2),1)*IF(AND($A359&gt;='Control Room'!$A$16,$A359&lt;'Control Room'!$A$16+'Control Room'!$B$16,'Process'!BV5=1),1+('Control Room'!$C$16-1)*EXP(-0.5*(($A359-'Control Room'!$A$16-('Control Room'!$B$16-1)/2)/MAX(0.5,'Control Room'!$B$16/4))^2),1)</x:f>
        <x:v>1</x:v>
      </x:c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Z359" t="str">
        <x:f>IF('Data'!A359="","",TEXT('Data'!A359,"mm-dd"))</x:f>
      </x:c>
    </x:row>
    <x:row r="360" ht="21" customHeight="1">
      <x:c r="A360" s="15" t="n">
        <x:f>'Control Room'!$B$1+358</x:f>
        <x:v>73349</x:v>
      </x:c>
      <x:c r="B360" s="9" t="n">
        <x:f>MOD(C359*16807,2147483647)</x:f>
        <x:v>2135181752</x:v>
      </x:c>
      <x:c r="C360" s="9" t="n">
        <x:f>MOD(B360*16807,2147483647)</x:f>
        <x:v>1547964494</x:v>
      </x:c>
      <x:c r="D360" s="17" t="n">
        <x:f>IF('Control Room'!$B$5="Normal",'Control Room'!$B$7+'Control Room'!$D$7*SQRT(-2*LN(MAX(0.000000000001,B360/2147483647)))*COS(2*PI()*C360/2147483647),'Control Room'!$B$8+('Control Room'!$D$8-'Control Room'!$B$8)*B360/2147483647)</x:f>
        <x:v>998.241565215449</x:v>
      </x:c>
      <x:c r="E360" s="17" t="n">
        <x:f>IF('Control Room'!$B$5="Normal",'Control Room'!$B$7,('Control Room'!$B$8+'Control Room'!$D$8)/2)+'Control Room'!$B$9*(E359-IF('Control Room'!$B$5="Normal",'Control Room'!$B$7,('Control Room'!$B$8+'Control Room'!$D$8)/2))+SQRT(1-'Control Room'!$B$9^2)*(D360-IF('Control Room'!$B$5="Normal",'Control Room'!$B$7,('Control Room'!$B$8+'Control Room'!$D$8)/2))</x:f>
        <x:v>996.323909925316</x:v>
      </x:c>
      <x:c r="F360" s="17" t="n">
        <x:f>IF(AND($A360&gt;='Control Room'!$A$13,$A360&lt;'Control Room'!$A$13+'Control Room'!$B$13,'Process'!BK2=1),1+('Control Room'!$C$13-1)*EXP(-0.5*(($A360-'Control Room'!$A$13-('Control Room'!$B$13-1)/2)/MAX(0.5,'Control Room'!$B$13/4))^2),1)*IF(AND($A360&gt;='Control Room'!$A$14,$A360&lt;'Control Room'!$A$14+'Control Room'!$B$14,'Process'!BK3=1),1+('Control Room'!$C$14-1)*EXP(-0.5*(($A360-'Control Room'!$A$14-('Control Room'!$B$14-1)/2)/MAX(0.5,'Control Room'!$B$14/4))^2),1)*IF(AND($A360&gt;='Control Room'!$A$15,$A360&lt;'Control Room'!$A$15+'Control Room'!$B$15,'Process'!BK4=1),1+('Control Room'!$C$15-1)*EXP(-0.5*(($A360-'Control Room'!$A$15-('Control Room'!$B$15-1)/2)/MAX(0.5,'Control Room'!$B$15/4))^2),1)*IF(AND($A360&gt;='Control Room'!$A$16,$A360&lt;'Control Room'!$A$16+'Control Room'!$B$16,'Process'!BK5=1),1+('Control Room'!$C$16-1)*EXP(-0.5*(($A360-'Control Room'!$A$16-('Control Room'!$B$16-1)/2)/MAX(0.5,'Control Room'!$B$16/4))^2),1)</x:f>
        <x:v>1</x:v>
      </x:c>
      <x:c r="G360" s="9" t="n">
        <x:f>MOD(H359*16807,2147483647)</x:f>
        <x:v>1941036043</x:v>
      </x:c>
      <x:c r="H360" s="9" t="n">
        <x:f>MOD(G360*16807,2147483647)</x:f>
        <x:v>568693124</x:v>
      </x:c>
      <x:c r="I360" s="17" t="n">
        <x:f>IF('Control Room'!$B$5="Normal",'Control Room'!$B$7+'Control Room'!$D$7*SQRT(-2*LN(MAX(0.000000000001,G360/2147483647)))*COS(2*PI()*H360/2147483647),'Control Room'!$B$8+('Control Room'!$D$8-'Control Room'!$B$8)*G360/2147483647)</x:f>
        <x:v>996.2378868166305</x:v>
      </x:c>
      <x:c r="J360" s="17" t="n">
        <x:f>IF('Control Room'!$B$5="Normal",'Control Room'!$B$7,('Control Room'!$B$8+'Control Room'!$D$8)/2)+'Control Room'!$B$9*(J359-IF('Control Room'!$B$5="Normal",'Control Room'!$B$7,('Control Room'!$B$8+'Control Room'!$D$8)/2))+SQRT(1-'Control Room'!$B$9^2)*(I360-IF('Control Room'!$B$5="Normal",'Control Room'!$B$7,('Control Room'!$B$8+'Control Room'!$D$8)/2))</x:f>
        <x:v>1030.2958625230515</x:v>
      </x:c>
      <x:c r="K360" s="17" t="n">
        <x:f>IF(AND($A360&gt;='Control Room'!$A$13,$A360&lt;'Control Room'!$A$13+'Control Room'!$B$13,'Process'!BL2=1),1+('Control Room'!$C$13-1)*EXP(-0.5*(($A360-'Control Room'!$A$13-('Control Room'!$B$13-1)/2)/MAX(0.5,'Control Room'!$B$13/4))^2),1)*IF(AND($A360&gt;='Control Room'!$A$14,$A360&lt;'Control Room'!$A$14+'Control Room'!$B$14,'Process'!BL3=1),1+('Control Room'!$C$14-1)*EXP(-0.5*(($A360-'Control Room'!$A$14-('Control Room'!$B$14-1)/2)/MAX(0.5,'Control Room'!$B$14/4))^2),1)*IF(AND($A360&gt;='Control Room'!$A$15,$A360&lt;'Control Room'!$A$15+'Control Room'!$B$15,'Process'!BL4=1),1+('Control Room'!$C$15-1)*EXP(-0.5*(($A360-'Control Room'!$A$15-('Control Room'!$B$15-1)/2)/MAX(0.5,'Control Room'!$B$15/4))^2),1)*IF(AND($A360&gt;='Control Room'!$A$16,$A360&lt;'Control Room'!$A$16+'Control Room'!$B$16,'Process'!BL5=1),1+('Control Room'!$C$16-1)*EXP(-0.5*(($A360-'Control Room'!$A$16-('Control Room'!$B$16-1)/2)/MAX(0.5,'Control Room'!$B$16/4))^2),1)</x:f>
        <x:v>1</x:v>
      </x:c>
      <x:c r="L360" s="9" t="n">
        <x:f>MOD(M359*16807,2147483647)</x:f>
        <x:v>1746890334</x:v>
      </x:c>
      <x:c r="M360" s="9" t="n">
        <x:f>MOD(L360*16807,2147483647)</x:f>
        <x:v>1736905401</x:v>
      </x:c>
      <x:c r="N360" s="17" t="n">
        <x:f>IF('Control Room'!$B$5="Normal",'Control Room'!$B$7+'Control Room'!$D$7*SQRT(-2*LN(MAX(0.000000000001,L360/2147483647)))*COS(2*PI()*M360/2147483647),'Control Room'!$B$8+('Control Room'!$D$8-'Control Room'!$B$8)*L360/2147483647)</x:f>
        <x:v>1020.8869340029307</x:v>
      </x:c>
      <x:c r="O360" s="17" t="n">
        <x:f>IF('Control Room'!$B$5="Normal",'Control Room'!$B$7,('Control Room'!$B$8+'Control Room'!$D$8)/2)+'Control Room'!$B$9*(O359-IF('Control Room'!$B$5="Normal",'Control Room'!$B$7,('Control Room'!$B$8+'Control Room'!$D$8)/2))+SQRT(1-'Control Room'!$B$9^2)*(N360-IF('Control Room'!$B$5="Normal",'Control Room'!$B$7,('Control Room'!$B$8+'Control Room'!$D$8)/2))</x:f>
        <x:v>961.1175229012584</x:v>
      </x:c>
      <x:c r="P360" s="17" t="n">
        <x:f>IF(AND($A360&gt;='Control Room'!$A$13,$A360&lt;'Control Room'!$A$13+'Control Room'!$B$13,'Process'!BM2=1),1+('Control Room'!$C$13-1)*EXP(-0.5*(($A360-'Control Room'!$A$13-('Control Room'!$B$13-1)/2)/MAX(0.5,'Control Room'!$B$13/4))^2),1)*IF(AND($A360&gt;='Control Room'!$A$14,$A360&lt;'Control Room'!$A$14+'Control Room'!$B$14,'Process'!BM3=1),1+('Control Room'!$C$14-1)*EXP(-0.5*(($A360-'Control Room'!$A$14-('Control Room'!$B$14-1)/2)/MAX(0.5,'Control Room'!$B$14/4))^2),1)*IF(AND($A360&gt;='Control Room'!$A$15,$A360&lt;'Control Room'!$A$15+'Control Room'!$B$15,'Process'!BM4=1),1+('Control Room'!$C$15-1)*EXP(-0.5*(($A360-'Control Room'!$A$15-('Control Room'!$B$15-1)/2)/MAX(0.5,'Control Room'!$B$15/4))^2),1)*IF(AND($A360&gt;='Control Room'!$A$16,$A360&lt;'Control Room'!$A$16+'Control Room'!$B$16,'Process'!BM5=1),1+('Control Room'!$C$16-1)*EXP(-0.5*(($A360-'Control Room'!$A$16-('Control Room'!$B$16-1)/2)/MAX(0.5,'Control Room'!$B$16/4))^2),1)</x:f>
        <x:v>1</x:v>
      </x:c>
      <x:c r="Q360" s="9" t="n">
        <x:f>MOD(R359*16807,2147483647)</x:f>
        <x:v>1552744625</x:v>
      </x:c>
      <x:c r="R360" s="9" t="n">
        <x:f>MOD(Q360*16807,2147483647)</x:f>
        <x:v>757634031</x:v>
      </x:c>
      <x:c r="S360" s="17" t="n">
        <x:f>IF('Control Room'!$B$5="Normal",'Control Room'!$B$7+'Control Room'!$D$7*SQRT(-2*LN(MAX(0.000000000001,Q360/2147483647)))*COS(2*PI()*R360/2147483647),'Control Room'!$B$8+('Control Room'!$D$8-'Control Room'!$B$8)*Q360/2147483647)</x:f>
        <x:v>956.372613324179</x:v>
      </x:c>
      <x:c r="T360" s="17" t="n">
        <x:f>IF('Control Room'!$B$5="Normal",'Control Room'!$B$7,('Control Room'!$B$8+'Control Room'!$D$8)/2)+'Control Room'!$B$9*(T359-IF('Control Room'!$B$5="Normal",'Control Room'!$B$7,('Control Room'!$B$8+'Control Room'!$D$8)/2))+SQRT(1-'Control Room'!$B$9^2)*(S360-IF('Control Room'!$B$5="Normal",'Control Room'!$B$7,('Control Room'!$B$8+'Control Room'!$D$8)/2))</x:f>
        <x:v>962.365166981238</x:v>
      </x:c>
      <x:c r="U360" s="17" t="n">
        <x:f>IF(AND($A360&gt;='Control Room'!$A$13,$A360&lt;'Control Room'!$A$13+'Control Room'!$B$13,'Process'!BN2=1),1+('Control Room'!$C$13-1)*EXP(-0.5*(($A360-'Control Room'!$A$13-('Control Room'!$B$13-1)/2)/MAX(0.5,'Control Room'!$B$13/4))^2),1)*IF(AND($A360&gt;='Control Room'!$A$14,$A360&lt;'Control Room'!$A$14+'Control Room'!$B$14,'Process'!BN3=1),1+('Control Room'!$C$14-1)*EXP(-0.5*(($A360-'Control Room'!$A$14-('Control Room'!$B$14-1)/2)/MAX(0.5,'Control Room'!$B$14/4))^2),1)*IF(AND($A360&gt;='Control Room'!$A$15,$A360&lt;'Control Room'!$A$15+'Control Room'!$B$15,'Process'!BN4=1),1+('Control Room'!$C$15-1)*EXP(-0.5*(($A360-'Control Room'!$A$15-('Control Room'!$B$15-1)/2)/MAX(0.5,'Control Room'!$B$15/4))^2),1)*IF(AND($A360&gt;='Control Room'!$A$16,$A360&lt;'Control Room'!$A$16+'Control Room'!$B$16,'Process'!BN5=1),1+('Control Room'!$C$16-1)*EXP(-0.5*(($A360-'Control Room'!$A$16-('Control Room'!$B$16-1)/2)/MAX(0.5,'Control Room'!$B$16/4))^2),1)</x:f>
        <x:v>1</x:v>
      </x:c>
      <x:c r="V360" s="9" t="n">
        <x:f>MOD(W359*16807,2147483647)</x:f>
        <x:v>1358598916</x:v>
      </x:c>
      <x:c r="W360" s="9" t="n">
        <x:f>MOD(V360*16807,2147483647)</x:f>
        <x:v>1925846308</x:v>
      </x:c>
      <x:c r="X360" s="17" t="n">
        <x:f>IF('Control Room'!$B$5="Normal",'Control Room'!$B$7+'Control Room'!$D$7*SQRT(-2*LN(MAX(0.000000000001,V360/2147483647)))*COS(2*PI()*W360/2147483647),'Control Room'!$B$8+('Control Room'!$D$8-'Control Room'!$B$8)*V360/2147483647)</x:f>
        <x:v>1068.6400078952663</x:v>
      </x:c>
      <x:c r="Y360" s="17" t="n">
        <x:f>IF('Control Room'!$B$5="Normal",'Control Room'!$B$7,('Control Room'!$B$8+'Control Room'!$D$8)/2)+'Control Room'!$B$9*(Y359-IF('Control Room'!$B$5="Normal",'Control Room'!$B$7,('Control Room'!$B$8+'Control Room'!$D$8)/2))+SQRT(1-'Control Room'!$B$9^2)*(X360-IF('Control Room'!$B$5="Normal",'Control Room'!$B$7,('Control Room'!$B$8+'Control Room'!$D$8)/2))</x:f>
        <x:v>1207.759605177066</x:v>
      </x:c>
      <x:c r="Z360" s="17" t="n">
        <x:f>IF(AND($A360&gt;='Control Room'!$A$13,$A360&lt;'Control Room'!$A$13+'Control Room'!$B$13,'Process'!BO2=1),1+('Control Room'!$C$13-1)*EXP(-0.5*(($A360-'Control Room'!$A$13-('Control Room'!$B$13-1)/2)/MAX(0.5,'Control Room'!$B$13/4))^2),1)*IF(AND($A360&gt;='Control Room'!$A$14,$A360&lt;'Control Room'!$A$14+'Control Room'!$B$14,'Process'!BO3=1),1+('Control Room'!$C$14-1)*EXP(-0.5*(($A360-'Control Room'!$A$14-('Control Room'!$B$14-1)/2)/MAX(0.5,'Control Room'!$B$14/4))^2),1)*IF(AND($A360&gt;='Control Room'!$A$15,$A360&lt;'Control Room'!$A$15+'Control Room'!$B$15,'Process'!BO4=1),1+('Control Room'!$C$15-1)*EXP(-0.5*(($A360-'Control Room'!$A$15-('Control Room'!$B$15-1)/2)/MAX(0.5,'Control Room'!$B$15/4))^2),1)*IF(AND($A360&gt;='Control Room'!$A$16,$A360&lt;'Control Room'!$A$16+'Control Room'!$B$16,'Process'!BO5=1),1+('Control Room'!$C$16-1)*EXP(-0.5*(($A360-'Control Room'!$A$16-('Control Room'!$B$16-1)/2)/MAX(0.5,'Control Room'!$B$16/4))^2),1)</x:f>
        <x:v>1</x:v>
      </x:c>
      <x:c r="AA360" s="9" t="n">
        <x:f>MOD(AB359*16807,2147483647)</x:f>
        <x:v>1164453207</x:v>
      </x:c>
      <x:c r="AB360" s="9" t="n">
        <x:f>MOD(AA360*16807,2147483647)</x:f>
        <x:v>946574938</x:v>
      </x:c>
      <x:c r="AC360" s="17" t="n">
        <x:f>IF('Control Room'!$B$5="Normal",'Control Room'!$B$7+'Control Room'!$D$7*SQRT(-2*LN(MAX(0.000000000001,AA360/2147483647)))*COS(2*PI()*AB360/2147483647),'Control Room'!$B$8+('Control Room'!$D$8-'Control Room'!$B$8)*AA360/2147483647)</x:f>
        <x:v>907.2384519397224</x:v>
      </x:c>
      <x:c r="AD360" s="17" t="n">
        <x:f>IF('Control Room'!$B$5="Normal",'Control Room'!$B$7,('Control Room'!$B$8+'Control Room'!$D$8)/2)+'Control Room'!$B$9*(AD359-IF('Control Room'!$B$5="Normal",'Control Room'!$B$7,('Control Room'!$B$8+'Control Room'!$D$8)/2))+SQRT(1-'Control Room'!$B$9^2)*(AC360-IF('Control Room'!$B$5="Normal",'Control Room'!$B$7,('Control Room'!$B$8+'Control Room'!$D$8)/2))</x:f>
        <x:v>968.642127759731</x:v>
      </x:c>
      <x:c r="AE360" s="17" t="n">
        <x:f>IF(AND($A360&gt;='Control Room'!$A$13,$A360&lt;'Control Room'!$A$13+'Control Room'!$B$13,'Process'!BP2=1),1+('Control Room'!$C$13-1)*EXP(-0.5*(($A360-'Control Room'!$A$13-('Control Room'!$B$13-1)/2)/MAX(0.5,'Control Room'!$B$13/4))^2),1)*IF(AND($A360&gt;='Control Room'!$A$14,$A360&lt;'Control Room'!$A$14+'Control Room'!$B$14,'Process'!BP3=1),1+('Control Room'!$C$14-1)*EXP(-0.5*(($A360-'Control Room'!$A$14-('Control Room'!$B$14-1)/2)/MAX(0.5,'Control Room'!$B$14/4))^2),1)*IF(AND($A360&gt;='Control Room'!$A$15,$A360&lt;'Control Room'!$A$15+'Control Room'!$B$15,'Process'!BP4=1),1+('Control Room'!$C$15-1)*EXP(-0.5*(($A360-'Control Room'!$A$15-('Control Room'!$B$15-1)/2)/MAX(0.5,'Control Room'!$B$15/4))^2),1)*IF(AND($A360&gt;='Control Room'!$A$16,$A360&lt;'Control Room'!$A$16+'Control Room'!$B$16,'Process'!BP5=1),1+('Control Room'!$C$16-1)*EXP(-0.5*(($A360-'Control Room'!$A$16-('Control Room'!$B$16-1)/2)/MAX(0.5,'Control Room'!$B$16/4))^2),1)</x:f>
        <x:v>1</x:v>
      </x:c>
      <x:c r="AF360" s="9" t="n">
        <x:f>MOD(AG359*16807,2147483647)</x:f>
        <x:v>970307498</x:v>
      </x:c>
      <x:c r="AG360" s="9" t="n">
        <x:f>MOD(AF360*16807,2147483647)</x:f>
        <x:v>2114787215</x:v>
      </x:c>
      <x:c r="AH360" s="17" t="n">
        <x:f>IF('Control Room'!$B$5="Normal",'Control Room'!$B$7+'Control Room'!$D$7*SQRT(-2*LN(MAX(0.000000000001,AF360/2147483647)))*COS(2*PI()*AG360/2147483647),'Control Room'!$B$8+('Control Room'!$D$8-'Control Room'!$B$8)*AF360/2147483647)</x:f>
        <x:v>1112.9269211617543</x:v>
      </x:c>
      <x:c r="AI360" s="17" t="n">
        <x:f>IF('Control Room'!$B$5="Normal",'Control Room'!$B$7,('Control Room'!$B$8+'Control Room'!$D$8)/2)+'Control Room'!$B$9*(AI359-IF('Control Room'!$B$5="Normal",'Control Room'!$B$7,('Control Room'!$B$8+'Control Room'!$D$8)/2))+SQRT(1-'Control Room'!$B$9^2)*(AH360-IF('Control Room'!$B$5="Normal",'Control Room'!$B$7,('Control Room'!$B$8+'Control Room'!$D$8)/2))</x:f>
        <x:v>1071.1934674842973</x:v>
      </x:c>
      <x:c r="AJ360" s="17" t="n">
        <x:f>IF(AND($A360&gt;='Control Room'!$A$13,$A360&lt;'Control Room'!$A$13+'Control Room'!$B$13,'Process'!BQ2=1),1+('Control Room'!$C$13-1)*EXP(-0.5*(($A360-'Control Room'!$A$13-('Control Room'!$B$13-1)/2)/MAX(0.5,'Control Room'!$B$13/4))^2),1)*IF(AND($A360&gt;='Control Room'!$A$14,$A360&lt;'Control Room'!$A$14+'Control Room'!$B$14,'Process'!BQ3=1),1+('Control Room'!$C$14-1)*EXP(-0.5*(($A360-'Control Room'!$A$14-('Control Room'!$B$14-1)/2)/MAX(0.5,'Control Room'!$B$14/4))^2),1)*IF(AND($A360&gt;='Control Room'!$A$15,$A360&lt;'Control Room'!$A$15+'Control Room'!$B$15,'Process'!BQ4=1),1+('Control Room'!$C$15-1)*EXP(-0.5*(($A360-'Control Room'!$A$15-('Control Room'!$B$15-1)/2)/MAX(0.5,'Control Room'!$B$15/4))^2),1)*IF(AND($A360&gt;='Control Room'!$A$16,$A360&lt;'Control Room'!$A$16+'Control Room'!$B$16,'Process'!BQ5=1),1+('Control Room'!$C$16-1)*EXP(-0.5*(($A360-'Control Room'!$A$16-('Control Room'!$B$16-1)/2)/MAX(0.5,'Control Room'!$B$16/4))^2),1)</x:f>
        <x:v>1</x:v>
      </x:c>
      <x:c r="AK360" s="9" t="n">
        <x:f>MOD(AL359*16807,2147483647)</x:f>
        <x:v>776161789</x:v>
      </x:c>
      <x:c r="AL360" s="9" t="n">
        <x:f>MOD(AK360*16807,2147483647)</x:f>
        <x:v>1135515845</x:v>
      </x:c>
      <x:c r="AM360" s="17" t="n">
        <x:f>IF('Control Room'!$B$5="Normal",'Control Room'!$B$7+'Control Room'!$D$7*SQRT(-2*LN(MAX(0.000000000001,AK360/2147483647)))*COS(2*PI()*AL360/2147483647),'Control Room'!$B$8+('Control Room'!$D$8-'Control Room'!$B$8)*AK360/2147483647)</x:f>
        <x:v>873.6913963949287</x:v>
      </x:c>
      <x:c r="AN360" s="17" t="n">
        <x:f>IF('Control Room'!$B$5="Normal",'Control Room'!$B$7,('Control Room'!$B$8+'Control Room'!$D$8)/2)+'Control Room'!$B$9*(AN359-IF('Control Room'!$B$5="Normal",'Control Room'!$B$7,('Control Room'!$B$8+'Control Room'!$D$8)/2))+SQRT(1-'Control Room'!$B$9^2)*(AM360-IF('Control Room'!$B$5="Normal",'Control Room'!$B$7,('Control Room'!$B$8+'Control Room'!$D$8)/2))</x:f>
        <x:v>918.9635316723799</x:v>
      </x:c>
      <x:c r="AO360" s="17" t="n">
        <x:f>IF(AND($A360&gt;='Control Room'!$A$13,$A360&lt;'Control Room'!$A$13+'Control Room'!$B$13,'Process'!BR2=1),1+('Control Room'!$C$13-1)*EXP(-0.5*(($A360-'Control Room'!$A$13-('Control Room'!$B$13-1)/2)/MAX(0.5,'Control Room'!$B$13/4))^2),1)*IF(AND($A360&gt;='Control Room'!$A$14,$A360&lt;'Control Room'!$A$14+'Control Room'!$B$14,'Process'!BR3=1),1+('Control Room'!$C$14-1)*EXP(-0.5*(($A360-'Control Room'!$A$14-('Control Room'!$B$14-1)/2)/MAX(0.5,'Control Room'!$B$14/4))^2),1)*IF(AND($A360&gt;='Control Room'!$A$15,$A360&lt;'Control Room'!$A$15+'Control Room'!$B$15,'Process'!BR4=1),1+('Control Room'!$C$15-1)*EXP(-0.5*(($A360-'Control Room'!$A$15-('Control Room'!$B$15-1)/2)/MAX(0.5,'Control Room'!$B$15/4))^2),1)*IF(AND($A360&gt;='Control Room'!$A$16,$A360&lt;'Control Room'!$A$16+'Control Room'!$B$16,'Process'!BR5=1),1+('Control Room'!$C$16-1)*EXP(-0.5*(($A360-'Control Room'!$A$16-('Control Room'!$B$16-1)/2)/MAX(0.5,'Control Room'!$B$16/4))^2),1)</x:f>
        <x:v>1</x:v>
      </x:c>
      <x:c r="AP360" s="9" t="n">
        <x:f>MOD(AQ359*16807,2147483647)</x:f>
        <x:v>582016080</x:v>
      </x:c>
      <x:c r="AQ360" s="9" t="n">
        <x:f>MOD(AP360*16807,2147483647)</x:f>
        <x:v>156244475</x:v>
      </x:c>
      <x:c r="AR360" s="17" t="n">
        <x:f>IF('Control Room'!$B$5="Normal",'Control Room'!$B$7+'Control Room'!$D$7*SQRT(-2*LN(MAX(0.000000000001,AP360/2147483647)))*COS(2*PI()*AQ360/2147483647),'Control Room'!$B$8+('Control Room'!$D$8-'Control Room'!$B$8)*AP360/2147483647)</x:f>
        <x:v>1130.496940121583</x:v>
      </x:c>
      <x:c r="AS360" s="17" t="n">
        <x:f>IF('Control Room'!$B$5="Normal",'Control Room'!$B$7,('Control Room'!$B$8+'Control Room'!$D$8)/2)+'Control Room'!$B$9*(AS359-IF('Control Room'!$B$5="Normal",'Control Room'!$B$7,('Control Room'!$B$8+'Control Room'!$D$8)/2))+SQRT(1-'Control Room'!$B$9^2)*(AR360-IF('Control Room'!$B$5="Normal",'Control Room'!$B$7,('Control Room'!$B$8+'Control Room'!$D$8)/2))</x:f>
        <x:v>994.9993939756736</x:v>
      </x:c>
      <x:c r="AT360" s="17" t="n">
        <x:f>IF(AND($A360&gt;='Control Room'!$A$13,$A360&lt;'Control Room'!$A$13+'Control Room'!$B$13,'Process'!BS2=1),1+('Control Room'!$C$13-1)*EXP(-0.5*(($A360-'Control Room'!$A$13-('Control Room'!$B$13-1)/2)/MAX(0.5,'Control Room'!$B$13/4))^2),1)*IF(AND($A360&gt;='Control Room'!$A$14,$A360&lt;'Control Room'!$A$14+'Control Room'!$B$14,'Process'!BS3=1),1+('Control Room'!$C$14-1)*EXP(-0.5*(($A360-'Control Room'!$A$14-('Control Room'!$B$14-1)/2)/MAX(0.5,'Control Room'!$B$14/4))^2),1)*IF(AND($A360&gt;='Control Room'!$A$15,$A360&lt;'Control Room'!$A$15+'Control Room'!$B$15,'Process'!BS4=1),1+('Control Room'!$C$15-1)*EXP(-0.5*(($A360-'Control Room'!$A$15-('Control Room'!$B$15-1)/2)/MAX(0.5,'Control Room'!$B$15/4))^2),1)*IF(AND($A360&gt;='Control Room'!$A$16,$A360&lt;'Control Room'!$A$16+'Control Room'!$B$16,'Process'!BS5=1),1+('Control Room'!$C$16-1)*EXP(-0.5*(($A360-'Control Room'!$A$16-('Control Room'!$B$16-1)/2)/MAX(0.5,'Control Room'!$B$16/4))^2),1)</x:f>
        <x:v>1</x:v>
      </x:c>
      <x:c r="AU360" s="9" t="n">
        <x:f>MOD(AV359*16807,2147483647)</x:f>
        <x:v>387870371</x:v>
      </x:c>
      <x:c r="AV360" s="9" t="n">
        <x:f>MOD(AU360*16807,2147483647)</x:f>
        <x:v>1324456752</x:v>
      </x:c>
      <x:c r="AW360" s="17" t="n">
        <x:f>IF('Control Room'!$B$5="Normal",'Control Room'!$B$7+'Control Room'!$D$7*SQRT(-2*LN(MAX(0.000000000001,AU360/2147483647)))*COS(2*PI()*AV360/2147483647),'Control Room'!$B$8+('Control Room'!$D$8-'Control Room'!$B$8)*AU360/2147483647)</x:f>
        <x:v>876.3187741772704</x:v>
      </x:c>
      <x:c r="AX360" s="17" t="n">
        <x:f>IF('Control Room'!$B$5="Normal",'Control Room'!$B$7,('Control Room'!$B$8+'Control Room'!$D$8)/2)+'Control Room'!$B$9*(AX359-IF('Control Room'!$B$5="Normal",'Control Room'!$B$7,('Control Room'!$B$8+'Control Room'!$D$8)/2))+SQRT(1-'Control Room'!$B$9^2)*(AW360-IF('Control Room'!$B$5="Normal",'Control Room'!$B$7,('Control Room'!$B$8+'Control Room'!$D$8)/2))</x:f>
        <x:v>874.6083250088672</x:v>
      </x:c>
      <x:c r="AY360" s="17" t="n">
        <x:f>IF(AND($A360&gt;='Control Room'!$A$13,$A360&lt;'Control Room'!$A$13+'Control Room'!$B$13,'Process'!BT2=1),1+('Control Room'!$C$13-1)*EXP(-0.5*(($A360-'Control Room'!$A$13-('Control Room'!$B$13-1)/2)/MAX(0.5,'Control Room'!$B$13/4))^2),1)*IF(AND($A360&gt;='Control Room'!$A$14,$A360&lt;'Control Room'!$A$14+'Control Room'!$B$14,'Process'!BT3=1),1+('Control Room'!$C$14-1)*EXP(-0.5*(($A360-'Control Room'!$A$14-('Control Room'!$B$14-1)/2)/MAX(0.5,'Control Room'!$B$14/4))^2),1)*IF(AND($A360&gt;='Control Room'!$A$15,$A360&lt;'Control Room'!$A$15+'Control Room'!$B$15,'Process'!BT4=1),1+('Control Room'!$C$15-1)*EXP(-0.5*(($A360-'Control Room'!$A$15-('Control Room'!$B$15-1)/2)/MAX(0.5,'Control Room'!$B$15/4))^2),1)*IF(AND($A360&gt;='Control Room'!$A$16,$A360&lt;'Control Room'!$A$16+'Control Room'!$B$16,'Process'!BT5=1),1+('Control Room'!$C$16-1)*EXP(-0.5*(($A360-'Control Room'!$A$16-('Control Room'!$B$16-1)/2)/MAX(0.5,'Control Room'!$B$16/4))^2),1)</x:f>
        <x:v>1</x:v>
      </x:c>
      <x:c r="AZ360" s="9" t="n">
        <x:f>MOD(BA359*16807,2147483647)</x:f>
        <x:v>193724662</x:v>
      </x:c>
      <x:c r="BA360" s="9" t="n">
        <x:f>MOD(AZ360*16807,2147483647)</x:f>
        <x:v>345185382</x:v>
      </x:c>
      <x:c r="BB360" s="17" t="n">
        <x:f>IF('Control Room'!$B$5="Normal",'Control Room'!$B$7+'Control Room'!$D$7*SQRT(-2*LN(MAX(0.000000000001,AZ360/2147483647)))*COS(2*PI()*BA360/2147483647),'Control Room'!$B$8+('Control Room'!$D$8-'Control Room'!$B$8)*AZ360/2147483647)</x:f>
        <x:v>1105.0023268093748</x:v>
      </x:c>
      <x:c r="BC360" s="17" t="n">
        <x:f>IF('Control Room'!$B$5="Normal",'Control Room'!$B$7,('Control Room'!$B$8+'Control Room'!$D$8)/2)+'Control Room'!$B$9*(BC359-IF('Control Room'!$B$5="Normal",'Control Room'!$B$7,('Control Room'!$B$8+'Control Room'!$D$8)/2))+SQRT(1-'Control Room'!$B$9^2)*(BB360-IF('Control Room'!$B$5="Normal",'Control Room'!$B$7,('Control Room'!$B$8+'Control Room'!$D$8)/2))</x:f>
        <x:v>1106.0557948929713</x:v>
      </x:c>
      <x:c r="BD360" s="17" t="n">
        <x:f>IF(AND($A360&gt;='Control Room'!$A$13,$A360&lt;'Control Room'!$A$13+'Control Room'!$B$13,'Process'!BU2=1),1+('Control Room'!$C$13-1)*EXP(-0.5*(($A360-'Control Room'!$A$13-('Control Room'!$B$13-1)/2)/MAX(0.5,'Control Room'!$B$13/4))^2),1)*IF(AND($A360&gt;='Control Room'!$A$14,$A360&lt;'Control Room'!$A$14+'Control Room'!$B$14,'Process'!BU3=1),1+('Control Room'!$C$14-1)*EXP(-0.5*(($A360-'Control Room'!$A$14-('Control Room'!$B$14-1)/2)/MAX(0.5,'Control Room'!$B$14/4))^2),1)*IF(AND($A360&gt;='Control Room'!$A$15,$A360&lt;'Control Room'!$A$15+'Control Room'!$B$15,'Process'!BU4=1),1+('Control Room'!$C$15-1)*EXP(-0.5*(($A360-'Control Room'!$A$15-('Control Room'!$B$15-1)/2)/MAX(0.5,'Control Room'!$B$15/4))^2),1)*IF(AND($A360&gt;='Control Room'!$A$16,$A360&lt;'Control Room'!$A$16+'Control Room'!$B$16,'Process'!BU5=1),1+('Control Room'!$C$16-1)*EXP(-0.5*(($A360-'Control Room'!$A$16-('Control Room'!$B$16-1)/2)/MAX(0.5,'Control Room'!$B$16/4))^2),1)</x:f>
        <x:v>1</x:v>
      </x:c>
      <x:c r="BE360" s="9" t="n">
        <x:f>MOD(BF359*16807,2147483647)</x:f>
        <x:v>2147062600</x:v>
      </x:c>
      <x:c r="BF360" s="9" t="n">
        <x:f>MOD(BE360*16807,2147483647)</x:f>
        <x:v>1513397659</x:v>
      </x:c>
      <x:c r="BG360" s="17" t="n">
        <x:f>IF('Control Room'!$B$5="Normal",'Control Room'!$B$7+'Control Room'!$D$7*SQRT(-2*LN(MAX(0.000000000001,BE360/2147483647)))*COS(2*PI()*BF360/2147483647),'Control Room'!$B$8+('Control Room'!$D$8-'Control Room'!$B$8)*BE360/2147483647)</x:f>
        <x:v>999.499860779494</x:v>
      </x:c>
      <x:c r="BH360" s="17" t="n">
        <x:f>IF('Control Room'!$B$5="Normal",'Control Room'!$B$7,('Control Room'!$B$8+'Control Room'!$D$8)/2)+'Control Room'!$B$9*(BH359-IF('Control Room'!$B$5="Normal",'Control Room'!$B$7,('Control Room'!$B$8+'Control Room'!$D$8)/2))+SQRT(1-'Control Room'!$B$9^2)*(BG360-IF('Control Room'!$B$5="Normal",'Control Room'!$B$7,('Control Room'!$B$8+'Control Room'!$D$8)/2))</x:f>
        <x:v>891.2381150641625</x:v>
      </x:c>
      <x:c r="BI360" s="17" t="n">
        <x:f>IF(AND($A360&gt;='Control Room'!$A$13,$A360&lt;'Control Room'!$A$13+'Control Room'!$B$13,'Process'!BV2=1),1+('Control Room'!$C$13-1)*EXP(-0.5*(($A360-'Control Room'!$A$13-('Control Room'!$B$13-1)/2)/MAX(0.5,'Control Room'!$B$13/4))^2),1)*IF(AND($A360&gt;='Control Room'!$A$14,$A360&lt;'Control Room'!$A$14+'Control Room'!$B$14,'Process'!BV3=1),1+('Control Room'!$C$14-1)*EXP(-0.5*(($A360-'Control Room'!$A$14-('Control Room'!$B$14-1)/2)/MAX(0.5,'Control Room'!$B$14/4))^2),1)*IF(AND($A360&gt;='Control Room'!$A$15,$A360&lt;'Control Room'!$A$15+'Control Room'!$B$15,'Process'!BV4=1),1+('Control Room'!$C$15-1)*EXP(-0.5*(($A360-'Control Room'!$A$15-('Control Room'!$B$15-1)/2)/MAX(0.5,'Control Room'!$B$15/4))^2),1)*IF(AND($A360&gt;='Control Room'!$A$16,$A360&lt;'Control Room'!$A$16+'Control Room'!$B$16,'Process'!BV5=1),1+('Control Room'!$C$16-1)*EXP(-0.5*(($A360-'Control Room'!$A$16-('Control Room'!$B$16-1)/2)/MAX(0.5,'Control Room'!$B$16/4))^2),1)</x:f>
        <x:v>1</x:v>
      </x:c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Z360" t="str">
        <x:f>IF('Data'!A360="","",TEXT('Data'!A360,"mm-dd"))</x:f>
      </x:c>
    </x:row>
    <x:row r="361" ht="21" customHeight="1">
      <x:c r="A361" s="15" t="n">
        <x:f>'Control Room'!$B$1+359</x:f>
        <x:v>73350</x:v>
      </x:c>
      <x:c r="B361" s="9" t="n">
        <x:f>MOD(C360*16807,2147483647)</x:f>
        <x:v>2022350900</x:v>
      </x:c>
      <x:c r="C361" s="9" t="n">
        <x:f>MOD(B361*16807,2147483647)</x:f>
        <x:v>1427895231</x:v>
      </x:c>
      <x:c r="D361" s="17" t="n">
        <x:f>IF('Control Room'!$B$5="Normal",'Control Room'!$B$7+'Control Room'!$D$7*SQRT(-2*LN(MAX(0.000000000001,B361/2147483647)))*COS(2*PI()*C361/2147483647),'Control Room'!$B$8+('Control Room'!$D$8-'Control Room'!$B$8)*B361/2147483647)</x:f>
        <x:v>984.1106395763071</x:v>
      </x:c>
      <x:c r="E361" s="17" t="n">
        <x:f>IF('Control Room'!$B$5="Normal",'Control Room'!$B$7,('Control Room'!$B$8+'Control Room'!$D$8)/2)+'Control Room'!$B$9*(E360-IF('Control Room'!$B$5="Normal",'Control Room'!$B$7,('Control Room'!$B$8+'Control Room'!$D$8)/2))+SQRT(1-'Control Room'!$B$9^2)*(D361-IF('Control Room'!$B$5="Normal",'Control Room'!$B$7,('Control Room'!$B$8+'Control Room'!$D$8)/2))</x:f>
        <x:v>987.1894134998408</x:v>
      </x:c>
      <x:c r="F361" s="17" t="n">
        <x:f>IF(AND($A361&gt;='Control Room'!$A$13,$A361&lt;'Control Room'!$A$13+'Control Room'!$B$13,'Process'!BK2=1),1+('Control Room'!$C$13-1)*EXP(-0.5*(($A361-'Control Room'!$A$13-('Control Room'!$B$13-1)/2)/MAX(0.5,'Control Room'!$B$13/4))^2),1)*IF(AND($A361&gt;='Control Room'!$A$14,$A361&lt;'Control Room'!$A$14+'Control Room'!$B$14,'Process'!BK3=1),1+('Control Room'!$C$14-1)*EXP(-0.5*(($A361-'Control Room'!$A$14-('Control Room'!$B$14-1)/2)/MAX(0.5,'Control Room'!$B$14/4))^2),1)*IF(AND($A361&gt;='Control Room'!$A$15,$A361&lt;'Control Room'!$A$15+'Control Room'!$B$15,'Process'!BK4=1),1+('Control Room'!$C$15-1)*EXP(-0.5*(($A361-'Control Room'!$A$15-('Control Room'!$B$15-1)/2)/MAX(0.5,'Control Room'!$B$15/4))^2),1)*IF(AND($A361&gt;='Control Room'!$A$16,$A361&lt;'Control Room'!$A$16+'Control Room'!$B$16,'Process'!BK5=1),1+('Control Room'!$C$16-1)*EXP(-0.5*(($A361-'Control Room'!$A$16-('Control Room'!$B$16-1)/2)/MAX(0.5,'Control Room'!$B$16/4))^2),1)</x:f>
        <x:v>1</x:v>
      </x:c>
      <x:c r="G361" s="9" t="n">
        <x:f>MOD(H360*16807,2147483647)</x:f>
        <x:v>1723105918</x:v>
      </x:c>
      <x:c r="H361" s="9" t="n">
        <x:f>MOD(G361*16807,2147483647)</x:f>
        <x:v>1424184031</x:v>
      </x:c>
      <x:c r="I361" s="17" t="n">
        <x:f>IF('Control Room'!$B$5="Normal",'Control Room'!$B$7+'Control Room'!$D$7*SQRT(-2*LN(MAX(0.000000000001,G361/2147483647)))*COS(2*PI()*H361/2147483647),'Control Room'!$B$8+('Control Room'!$D$8-'Control Room'!$B$8)*G361/2147483647)</x:f>
        <x:v>969.0155118162361</x:v>
      </x:c>
      <x:c r="J361" s="17" t="n">
        <x:f>IF('Control Room'!$B$5="Normal",'Control Room'!$B$7,('Control Room'!$B$8+'Control Room'!$D$8)/2)+'Control Room'!$B$9*(J360-IF('Control Room'!$B$5="Normal",'Control Room'!$B$7,('Control Room'!$B$8+'Control Room'!$D$8)/2))+SQRT(1-'Control Room'!$B$9^2)*(I361-IF('Control Room'!$B$5="Normal",'Control Room'!$B$7,('Control Room'!$B$8+'Control Room'!$D$8)/2))</x:f>
        <x:v>1004.241314814323</x:v>
      </x:c>
      <x:c r="K361" s="17" t="n">
        <x:f>IF(AND($A361&gt;='Control Room'!$A$13,$A361&lt;'Control Room'!$A$13+'Control Room'!$B$13,'Process'!BL2=1),1+('Control Room'!$C$13-1)*EXP(-0.5*(($A361-'Control Room'!$A$13-('Control Room'!$B$13-1)/2)/MAX(0.5,'Control Room'!$B$13/4))^2),1)*IF(AND($A361&gt;='Control Room'!$A$14,$A361&lt;'Control Room'!$A$14+'Control Room'!$B$14,'Process'!BL3=1),1+('Control Room'!$C$14-1)*EXP(-0.5*(($A361-'Control Room'!$A$14-('Control Room'!$B$14-1)/2)/MAX(0.5,'Control Room'!$B$14/4))^2),1)*IF(AND($A361&gt;='Control Room'!$A$15,$A361&lt;'Control Room'!$A$15+'Control Room'!$B$15,'Process'!BL4=1),1+('Control Room'!$C$15-1)*EXP(-0.5*(($A361-'Control Room'!$A$15-('Control Room'!$B$15-1)/2)/MAX(0.5,'Control Room'!$B$15/4))^2),1)*IF(AND($A361&gt;='Control Room'!$A$16,$A361&lt;'Control Room'!$A$16+'Control Room'!$B$16,'Process'!BL5=1),1+('Control Room'!$C$16-1)*EXP(-0.5*(($A361-'Control Room'!$A$16-('Control Room'!$B$16-1)/2)/MAX(0.5,'Control Room'!$B$16/4))^2),1)</x:f>
        <x:v>1</x:v>
      </x:c>
      <x:c r="L361" s="9" t="n">
        <x:f>MOD(M360*16807,2147483647)</x:f>
        <x:v>1423860936</x:v>
      </x:c>
      <x:c r="M361" s="9" t="n">
        <x:f>MOD(L361*16807,2147483647)</x:f>
        <x:v>1420472831</x:v>
      </x:c>
      <x:c r="N361" s="17" t="n">
        <x:f>IF('Control Room'!$B$5="Normal",'Control Room'!$B$7+'Control Room'!$D$7*SQRT(-2*LN(MAX(0.000000000001,L361/2147483647)))*COS(2*PI()*M361/2147483647),'Control Room'!$B$8+('Control Room'!$D$8-'Control Room'!$B$8)*L361/2147483647)</x:f>
        <x:v>956.9151609356766</x:v>
      </x:c>
      <x:c r="O361" s="17" t="n">
        <x:f>IF('Control Room'!$B$5="Normal",'Control Room'!$B$7,('Control Room'!$B$8+'Control Room'!$D$8)/2)+'Control Room'!$B$9*(O360-IF('Control Room'!$B$5="Normal",'Control Room'!$B$7,('Control Room'!$B$8+'Control Room'!$D$8)/2))+SQRT(1-'Control Room'!$B$9^2)*(N361-IF('Control Room'!$B$5="Normal",'Control Room'!$B$7,('Control Room'!$B$8+'Control Room'!$D$8)/2))</x:f>
        <x:v>942.7100582174321</x:v>
      </x:c>
      <x:c r="P361" s="17" t="n">
        <x:f>IF(AND($A361&gt;='Control Room'!$A$13,$A361&lt;'Control Room'!$A$13+'Control Room'!$B$13,'Process'!BM2=1),1+('Control Room'!$C$13-1)*EXP(-0.5*(($A361-'Control Room'!$A$13-('Control Room'!$B$13-1)/2)/MAX(0.5,'Control Room'!$B$13/4))^2),1)*IF(AND($A361&gt;='Control Room'!$A$14,$A361&lt;'Control Room'!$A$14+'Control Room'!$B$14,'Process'!BM3=1),1+('Control Room'!$C$14-1)*EXP(-0.5*(($A361-'Control Room'!$A$14-('Control Room'!$B$14-1)/2)/MAX(0.5,'Control Room'!$B$14/4))^2),1)*IF(AND($A361&gt;='Control Room'!$A$15,$A361&lt;'Control Room'!$A$15+'Control Room'!$B$15,'Process'!BM4=1),1+('Control Room'!$C$15-1)*EXP(-0.5*(($A361-'Control Room'!$A$15-('Control Room'!$B$15-1)/2)/MAX(0.5,'Control Room'!$B$15/4))^2),1)*IF(AND($A361&gt;='Control Room'!$A$16,$A361&lt;'Control Room'!$A$16+'Control Room'!$B$16,'Process'!BM5=1),1+('Control Room'!$C$16-1)*EXP(-0.5*(($A361-'Control Room'!$A$16-('Control Room'!$B$16-1)/2)/MAX(0.5,'Control Room'!$B$16/4))^2),1)</x:f>
        <x:v>1</x:v>
      </x:c>
      <x:c r="Q361" s="9" t="n">
        <x:f>MOD(R360*16807,2147483647)</x:f>
        <x:v>1124615954</x:v>
      </x:c>
      <x:c r="R361" s="9" t="n">
        <x:f>MOD(Q361*16807,2147483647)</x:f>
        <x:v>1416761631</x:v>
      </x:c>
      <x:c r="S361" s="17" t="n">
        <x:f>IF('Control Room'!$B$5="Normal",'Control Room'!$B$7+'Control Room'!$D$7*SQRT(-2*LN(MAX(0.000000000001,Q361/2147483647)))*COS(2*PI()*R361/2147483647),'Control Room'!$B$8+('Control Room'!$D$8-'Control Room'!$B$8)*Q361/2147483647)</x:f>
        <x:v>945.0029037669757</x:v>
      </x:c>
      <x:c r="T361" s="17" t="n">
        <x:f>IF('Control Room'!$B$5="Normal",'Control Room'!$B$7,('Control Room'!$B$8+'Control Room'!$D$8)/2)+'Control Room'!$B$9*(T360-IF('Control Room'!$B$5="Normal",'Control Room'!$B$7,('Control Room'!$B$8+'Control Room'!$D$8)/2))+SQRT(1-'Control Room'!$B$9^2)*(S361-IF('Control Room'!$B$5="Normal",'Control Room'!$B$7,('Control Room'!$B$8+'Control Room'!$D$8)/2))</x:f>
        <x:v>936.2287740994957</x:v>
      </x:c>
      <x:c r="U361" s="17" t="n">
        <x:f>IF(AND($A361&gt;='Control Room'!$A$13,$A361&lt;'Control Room'!$A$13+'Control Room'!$B$13,'Process'!BN2=1),1+('Control Room'!$C$13-1)*EXP(-0.5*(($A361-'Control Room'!$A$13-('Control Room'!$B$13-1)/2)/MAX(0.5,'Control Room'!$B$13/4))^2),1)*IF(AND($A361&gt;='Control Room'!$A$14,$A361&lt;'Control Room'!$A$14+'Control Room'!$B$14,'Process'!BN3=1),1+('Control Room'!$C$14-1)*EXP(-0.5*(($A361-'Control Room'!$A$14-('Control Room'!$B$14-1)/2)/MAX(0.5,'Control Room'!$B$14/4))^2),1)*IF(AND($A361&gt;='Control Room'!$A$15,$A361&lt;'Control Room'!$A$15+'Control Room'!$B$15,'Process'!BN4=1),1+('Control Room'!$C$15-1)*EXP(-0.5*(($A361-'Control Room'!$A$15-('Control Room'!$B$15-1)/2)/MAX(0.5,'Control Room'!$B$15/4))^2),1)*IF(AND($A361&gt;='Control Room'!$A$16,$A361&lt;'Control Room'!$A$16+'Control Room'!$B$16,'Process'!BN5=1),1+('Control Room'!$C$16-1)*EXP(-0.5*(($A361-'Control Room'!$A$16-('Control Room'!$B$16-1)/2)/MAX(0.5,'Control Room'!$B$16/4))^2),1)</x:f>
        <x:v>1</x:v>
      </x:c>
      <x:c r="V361" s="9" t="n">
        <x:f>MOD(W360*16807,2147483647)</x:f>
        <x:v>825370972</x:v>
      </x:c>
      <x:c r="W361" s="9" t="n">
        <x:f>MOD(V361*16807,2147483647)</x:f>
        <x:v>1413050431</x:v>
      </x:c>
      <x:c r="X361" s="17" t="n">
        <x:f>IF('Control Room'!$B$5="Normal",'Control Room'!$B$7+'Control Room'!$D$7*SQRT(-2*LN(MAX(0.000000000001,V361/2147483647)))*COS(2*PI()*W361/2147483647),'Control Room'!$B$8+('Control Room'!$D$8-'Control Room'!$B$8)*V361/2147483647)</x:f>
        <x:v>931.9966432913158</x:v>
      </x:c>
      <x:c r="Y361" s="17" t="n">
        <x:f>IF('Control Room'!$B$5="Normal",'Control Room'!$B$7,('Control Room'!$B$8+'Control Room'!$D$8)/2)+'Control Room'!$B$9*(Y360-IF('Control Room'!$B$5="Normal",'Control Room'!$B$7,('Control Room'!$B$8+'Control Room'!$D$8)/2))+SQRT(1-'Control Room'!$B$9^2)*(X361-IF('Control Room'!$B$5="Normal",'Control Room'!$B$7,('Control Room'!$B$8+'Control Room'!$D$8)/2))</x:f>
        <x:v>1119.4973845343022</x:v>
      </x:c>
      <x:c r="Z361" s="17" t="n">
        <x:f>IF(AND($A361&gt;='Control Room'!$A$13,$A361&lt;'Control Room'!$A$13+'Control Room'!$B$13,'Process'!BO2=1),1+('Control Room'!$C$13-1)*EXP(-0.5*(($A361-'Control Room'!$A$13-('Control Room'!$B$13-1)/2)/MAX(0.5,'Control Room'!$B$13/4))^2),1)*IF(AND($A361&gt;='Control Room'!$A$14,$A361&lt;'Control Room'!$A$14+'Control Room'!$B$14,'Process'!BO3=1),1+('Control Room'!$C$14-1)*EXP(-0.5*(($A361-'Control Room'!$A$14-('Control Room'!$B$14-1)/2)/MAX(0.5,'Control Room'!$B$14/4))^2),1)*IF(AND($A361&gt;='Control Room'!$A$15,$A361&lt;'Control Room'!$A$15+'Control Room'!$B$15,'Process'!BO4=1),1+('Control Room'!$C$15-1)*EXP(-0.5*(($A361-'Control Room'!$A$15-('Control Room'!$B$15-1)/2)/MAX(0.5,'Control Room'!$B$15/4))^2),1)*IF(AND($A361&gt;='Control Room'!$A$16,$A361&lt;'Control Room'!$A$16+'Control Room'!$B$16,'Process'!BO5=1),1+('Control Room'!$C$16-1)*EXP(-0.5*(($A361-'Control Room'!$A$16-('Control Room'!$B$16-1)/2)/MAX(0.5,'Control Room'!$B$16/4))^2),1)</x:f>
        <x:v>1</x:v>
      </x:c>
      <x:c r="AA361" s="9" t="n">
        <x:f>MOD(AB360*16807,2147483647)</x:f>
        <x:v>526125990</x:v>
      </x:c>
      <x:c r="AB361" s="9" t="n">
        <x:f>MOD(AA361*16807,2147483647)</x:f>
        <x:v>1409339231</x:v>
      </x:c>
      <x:c r="AC361" s="17" t="n">
        <x:f>IF('Control Room'!$B$5="Normal",'Control Room'!$B$7+'Control Room'!$D$7*SQRT(-2*LN(MAX(0.000000000001,AA361/2147483647)))*COS(2*PI()*AB361/2147483647),'Control Room'!$B$8+('Control Room'!$D$8-'Control Room'!$B$8)*AA361/2147483647)</x:f>
        <x:v>916.156940126942</x:v>
      </x:c>
      <x:c r="AD361" s="17" t="n">
        <x:f>IF('Control Room'!$B$5="Normal",'Control Room'!$B$7,('Control Room'!$B$8+'Control Room'!$D$8)/2)+'Control Room'!$B$9*(AD360-IF('Control Room'!$B$5="Normal",'Control Room'!$B$7,('Control Room'!$B$8+'Control Room'!$D$8)/2))+SQRT(1-'Control Room'!$B$9^2)*(AC361-IF('Control Room'!$B$5="Normal",'Control Room'!$B$7,('Control Room'!$B$8+'Control Room'!$D$8)/2))</x:f>
        <x:v>923.0735904024729</x:v>
      </x:c>
      <x:c r="AE361" s="17" t="n">
        <x:f>IF(AND($A361&gt;='Control Room'!$A$13,$A361&lt;'Control Room'!$A$13+'Control Room'!$B$13,'Process'!BP2=1),1+('Control Room'!$C$13-1)*EXP(-0.5*(($A361-'Control Room'!$A$13-('Control Room'!$B$13-1)/2)/MAX(0.5,'Control Room'!$B$13/4))^2),1)*IF(AND($A361&gt;='Control Room'!$A$14,$A361&lt;'Control Room'!$A$14+'Control Room'!$B$14,'Process'!BP3=1),1+('Control Room'!$C$14-1)*EXP(-0.5*(($A361-'Control Room'!$A$14-('Control Room'!$B$14-1)/2)/MAX(0.5,'Control Room'!$B$14/4))^2),1)*IF(AND($A361&gt;='Control Room'!$A$15,$A361&lt;'Control Room'!$A$15+'Control Room'!$B$15,'Process'!BP4=1),1+('Control Room'!$C$15-1)*EXP(-0.5*(($A361-'Control Room'!$A$15-('Control Room'!$B$15-1)/2)/MAX(0.5,'Control Room'!$B$15/4))^2),1)*IF(AND($A361&gt;='Control Room'!$A$16,$A361&lt;'Control Room'!$A$16+'Control Room'!$B$16,'Process'!BP5=1),1+('Control Room'!$C$16-1)*EXP(-0.5*(($A361-'Control Room'!$A$16-('Control Room'!$B$16-1)/2)/MAX(0.5,'Control Room'!$B$16/4))^2),1)</x:f>
        <x:v>1</x:v>
      </x:c>
      <x:c r="AF361" s="9" t="n">
        <x:f>MOD(AG360*16807,2147483647)</x:f>
        <x:v>226881008</x:v>
      </x:c>
      <x:c r="AG361" s="9" t="n">
        <x:f>MOD(AF361*16807,2147483647)</x:f>
        <x:v>1405628031</x:v>
      </x:c>
      <x:c r="AH361" s="17" t="n">
        <x:f>IF('Control Room'!$B$5="Normal",'Control Room'!$B$7+'Control Room'!$D$7*SQRT(-2*LN(MAX(0.000000000001,AF361/2147483647)))*COS(2*PI()*AG361/2147483647),'Control Room'!$B$8+('Control Room'!$D$8-'Control Room'!$B$8)*AF361/2147483647)</x:f>
        <x:v>892.2951107463484</x:v>
      </x:c>
      <x:c r="AI361" s="17" t="n">
        <x:f>IF('Control Room'!$B$5="Normal",'Control Room'!$B$7,('Control Room'!$B$8+'Control Room'!$D$8)/2)+'Control Room'!$B$9*(AI360-IF('Control Room'!$B$5="Normal",'Control Room'!$B$7,('Control Room'!$B$8+'Control Room'!$D$8)/2))+SQRT(1-'Control Room'!$B$9^2)*(AH361-IF('Control Room'!$B$5="Normal",'Control Room'!$B$7,('Control Room'!$B$8+'Control Room'!$D$8)/2))</x:f>
        <x:v>988.1313913974046</x:v>
      </x:c>
      <x:c r="AJ361" s="17" t="n">
        <x:f>IF(AND($A361&gt;='Control Room'!$A$13,$A361&lt;'Control Room'!$A$13+'Control Room'!$B$13,'Process'!BQ2=1),1+('Control Room'!$C$13-1)*EXP(-0.5*(($A361-'Control Room'!$A$13-('Control Room'!$B$13-1)/2)/MAX(0.5,'Control Room'!$B$13/4))^2),1)*IF(AND($A361&gt;='Control Room'!$A$14,$A361&lt;'Control Room'!$A$14+'Control Room'!$B$14,'Process'!BQ3=1),1+('Control Room'!$C$14-1)*EXP(-0.5*(($A361-'Control Room'!$A$14-('Control Room'!$B$14-1)/2)/MAX(0.5,'Control Room'!$B$14/4))^2),1)*IF(AND($A361&gt;='Control Room'!$A$15,$A361&lt;'Control Room'!$A$15+'Control Room'!$B$15,'Process'!BQ4=1),1+('Control Room'!$C$15-1)*EXP(-0.5*(($A361-'Control Room'!$A$15-('Control Room'!$B$15-1)/2)/MAX(0.5,'Control Room'!$B$15/4))^2),1)*IF(AND($A361&gt;='Control Room'!$A$16,$A361&lt;'Control Room'!$A$16+'Control Room'!$B$16,'Process'!BQ5=1),1+('Control Room'!$C$16-1)*EXP(-0.5*(($A361-'Control Room'!$A$16-('Control Room'!$B$16-1)/2)/MAX(0.5,'Control Room'!$B$16/4))^2),1)</x:f>
        <x:v>1</x:v>
      </x:c>
      <x:c r="AK361" s="9" t="n">
        <x:f>MOD(AL360*16807,2147483647)</x:f>
        <x:v>2075119673</x:v>
      </x:c>
      <x:c r="AL361" s="9" t="n">
        <x:f>MOD(AK361*16807,2147483647)</x:f>
        <x:v>1401916831</x:v>
      </x:c>
      <x:c r="AM361" s="17" t="n">
        <x:f>IF('Control Room'!$B$5="Normal",'Control Room'!$B$7+'Control Room'!$D$7*SQRT(-2*LN(MAX(0.000000000001,AK361/2147483647)))*COS(2*PI()*AL361/2147483647),'Control Room'!$B$8+('Control Room'!$D$8-'Control Room'!$B$8)*AK361/2147483647)</x:f>
        <x:v>986.4886796179433</x:v>
      </x:c>
      <x:c r="AN361" s="17" t="n">
        <x:f>IF('Control Room'!$B$5="Normal",'Control Room'!$B$7,('Control Room'!$B$8+'Control Room'!$D$8)/2)+'Control Room'!$B$9*(AN360-IF('Control Room'!$B$5="Normal",'Control Room'!$B$7,('Control Room'!$B$8+'Control Room'!$D$8)/2))+SQRT(1-'Control Room'!$B$9^2)*(AM361-IF('Control Room'!$B$5="Normal",'Control Room'!$B$7,('Control Room'!$B$8+'Control Room'!$D$8)/2))</x:f>
        <x:v>928.3364472038083</x:v>
      </x:c>
      <x:c r="AO361" s="17" t="n">
        <x:f>IF(AND($A361&gt;='Control Room'!$A$13,$A361&lt;'Control Room'!$A$13+'Control Room'!$B$13,'Process'!BR2=1),1+('Control Room'!$C$13-1)*EXP(-0.5*(($A361-'Control Room'!$A$13-('Control Room'!$B$13-1)/2)/MAX(0.5,'Control Room'!$B$13/4))^2),1)*IF(AND($A361&gt;='Control Room'!$A$14,$A361&lt;'Control Room'!$A$14+'Control Room'!$B$14,'Process'!BR3=1),1+('Control Room'!$C$14-1)*EXP(-0.5*(($A361-'Control Room'!$A$14-('Control Room'!$B$14-1)/2)/MAX(0.5,'Control Room'!$B$14/4))^2),1)*IF(AND($A361&gt;='Control Room'!$A$15,$A361&lt;'Control Room'!$A$15+'Control Room'!$B$15,'Process'!BR4=1),1+('Control Room'!$C$15-1)*EXP(-0.5*(($A361-'Control Room'!$A$15-('Control Room'!$B$15-1)/2)/MAX(0.5,'Control Room'!$B$15/4))^2),1)*IF(AND($A361&gt;='Control Room'!$A$16,$A361&lt;'Control Room'!$A$16+'Control Room'!$B$16,'Process'!BR5=1),1+('Control Room'!$C$16-1)*EXP(-0.5*(($A361-'Control Room'!$A$16-('Control Room'!$B$16-1)/2)/MAX(0.5,'Control Room'!$B$16/4))^2),1)</x:f>
        <x:v>1</x:v>
      </x:c>
      <x:c r="AP361" s="9" t="n">
        <x:f>MOD(AQ360*16807,2147483647)</x:f>
        <x:v>1775874691</x:v>
      </x:c>
      <x:c r="AQ361" s="9" t="n">
        <x:f>MOD(AP361*16807,2147483647)</x:f>
        <x:v>1398205631</x:v>
      </x:c>
      <x:c r="AR361" s="17" t="n">
        <x:f>IF('Control Room'!$B$5="Normal",'Control Room'!$B$7+'Control Room'!$D$7*SQRT(-2*LN(MAX(0.000000000001,AP361/2147483647)))*COS(2*PI()*AQ361/2147483647),'Control Room'!$B$8+('Control Room'!$D$8-'Control Room'!$B$8)*AP361/2147483647)</x:f>
        <x:v>967.69774773774</x:v>
      </x:c>
      <x:c r="AS361" s="17" t="n">
        <x:f>IF('Control Room'!$B$5="Normal",'Control Room'!$B$7,('Control Room'!$B$8+'Control Room'!$D$8)/2)+'Control Room'!$B$9*(AS360-IF('Control Room'!$B$5="Normal",'Control Room'!$B$7,('Control Room'!$B$8+'Control Room'!$D$8)/2))+SQRT(1-'Control Room'!$B$9^2)*(AR361-IF('Control Room'!$B$5="Normal",'Control Room'!$B$7,('Control Room'!$B$8+'Control Room'!$D$8)/2))</x:f>
        <x:v>975.8854395829098</x:v>
      </x:c>
      <x:c r="AT361" s="17" t="n">
        <x:f>IF(AND($A361&gt;='Control Room'!$A$13,$A361&lt;'Control Room'!$A$13+'Control Room'!$B$13,'Process'!BS2=1),1+('Control Room'!$C$13-1)*EXP(-0.5*(($A361-'Control Room'!$A$13-('Control Room'!$B$13-1)/2)/MAX(0.5,'Control Room'!$B$13/4))^2),1)*IF(AND($A361&gt;='Control Room'!$A$14,$A361&lt;'Control Room'!$A$14+'Control Room'!$B$14,'Process'!BS3=1),1+('Control Room'!$C$14-1)*EXP(-0.5*(($A361-'Control Room'!$A$14-('Control Room'!$B$14-1)/2)/MAX(0.5,'Control Room'!$B$14/4))^2),1)*IF(AND($A361&gt;='Control Room'!$A$15,$A361&lt;'Control Room'!$A$15+'Control Room'!$B$15,'Process'!BS4=1),1+('Control Room'!$C$15-1)*EXP(-0.5*(($A361-'Control Room'!$A$15-('Control Room'!$B$15-1)/2)/MAX(0.5,'Control Room'!$B$15/4))^2),1)*IF(AND($A361&gt;='Control Room'!$A$16,$A361&lt;'Control Room'!$A$16+'Control Room'!$B$16,'Process'!BS5=1),1+('Control Room'!$C$16-1)*EXP(-0.5*(($A361-'Control Room'!$A$16-('Control Room'!$B$16-1)/2)/MAX(0.5,'Control Room'!$B$16/4))^2),1)</x:f>
        <x:v>1</x:v>
      </x:c>
      <x:c r="AU361" s="9" t="n">
        <x:f>MOD(AV360*16807,2147483647)</x:f>
        <x:v>1476629709</x:v>
      </x:c>
      <x:c r="AV361" s="9" t="n">
        <x:f>MOD(AU361*16807,2147483647)</x:f>
        <x:v>1394494431</x:v>
      </x:c>
      <x:c r="AW361" s="17" t="n">
        <x:f>IF('Control Room'!$B$5="Normal",'Control Room'!$B$7+'Control Room'!$D$7*SQRT(-2*LN(MAX(0.000000000001,AU361/2147483647)))*COS(2*PI()*AV361/2147483647),'Control Room'!$B$8+('Control Room'!$D$8-'Control Room'!$B$8)*AU361/2147483647)</x:f>
        <x:v>953.9628982478586</x:v>
      </x:c>
      <x:c r="AX361" s="17" t="n">
        <x:f>IF('Control Room'!$B$5="Normal",'Control Room'!$B$7,('Control Room'!$B$8+'Control Room'!$D$8)/2)+'Control Room'!$B$9*(AX360-IF('Control Room'!$B$5="Normal",'Control Room'!$B$7,('Control Room'!$B$8+'Control Room'!$D$8)/2))+SQRT(1-'Control Room'!$B$9^2)*(AW361-IF('Control Room'!$B$5="Normal",'Control Room'!$B$7,('Control Room'!$B$8+'Control Room'!$D$8)/2))</x:f>
        <x:v>873.3854183517188</x:v>
      </x:c>
      <x:c r="AY361" s="17" t="n">
        <x:f>IF(AND($A361&gt;='Control Room'!$A$13,$A361&lt;'Control Room'!$A$13+'Control Room'!$B$13,'Process'!BT2=1),1+('Control Room'!$C$13-1)*EXP(-0.5*(($A361-'Control Room'!$A$13-('Control Room'!$B$13-1)/2)/MAX(0.5,'Control Room'!$B$13/4))^2),1)*IF(AND($A361&gt;='Control Room'!$A$14,$A361&lt;'Control Room'!$A$14+'Control Room'!$B$14,'Process'!BT3=1),1+('Control Room'!$C$14-1)*EXP(-0.5*(($A361-'Control Room'!$A$14-('Control Room'!$B$14-1)/2)/MAX(0.5,'Control Room'!$B$14/4))^2),1)*IF(AND($A361&gt;='Control Room'!$A$15,$A361&lt;'Control Room'!$A$15+'Control Room'!$B$15,'Process'!BT4=1),1+('Control Room'!$C$15-1)*EXP(-0.5*(($A361-'Control Room'!$A$15-('Control Room'!$B$15-1)/2)/MAX(0.5,'Control Room'!$B$15/4))^2),1)*IF(AND($A361&gt;='Control Room'!$A$16,$A361&lt;'Control Room'!$A$16+'Control Room'!$B$16,'Process'!BT5=1),1+('Control Room'!$C$16-1)*EXP(-0.5*(($A361-'Control Room'!$A$16-('Control Room'!$B$16-1)/2)/MAX(0.5,'Control Room'!$B$16/4))^2),1)</x:f>
        <x:v>1</x:v>
      </x:c>
      <x:c r="AZ361" s="9" t="n">
        <x:f>MOD(BA360*16807,2147483647)</x:f>
        <x:v>1177384727</x:v>
      </x:c>
      <x:c r="BA361" s="9" t="n">
        <x:f>MOD(AZ361*16807,2147483647)</x:f>
        <x:v>1390783231</x:v>
      </x:c>
      <x:c r="BB361" s="17" t="n">
        <x:f>IF('Control Room'!$B$5="Normal",'Control Room'!$B$7+'Control Room'!$D$7*SQRT(-2*LN(MAX(0.000000000001,AZ361/2147483647)))*COS(2*PI()*BA361/2147483647),'Control Room'!$B$8+('Control Room'!$D$8-'Control Room'!$B$8)*AZ361/2147483647)</x:f>
        <x:v>940.82158141246</x:v>
      </x:c>
      <x:c r="BC361" s="17" t="n">
        <x:f>IF('Control Room'!$B$5="Normal",'Control Room'!$B$7,('Control Room'!$B$8+'Control Room'!$D$8)/2)+'Control Room'!$B$9*(BC360-IF('Control Room'!$B$5="Normal",'Control Room'!$B$7,('Control Room'!$B$8+'Control Room'!$D$8)/2))+SQRT(1-'Control Room'!$B$9^2)*(BB361-IF('Control Room'!$B$5="Normal",'Control Room'!$B$7,('Control Room'!$B$8+'Control Room'!$D$8)/2))</x:f>
        <x:v>1045.6908780002361</x:v>
      </x:c>
      <x:c r="BD361" s="17" t="n">
        <x:f>IF(AND($A361&gt;='Control Room'!$A$13,$A361&lt;'Control Room'!$A$13+'Control Room'!$B$13,'Process'!BU2=1),1+('Control Room'!$C$13-1)*EXP(-0.5*(($A361-'Control Room'!$A$13-('Control Room'!$B$13-1)/2)/MAX(0.5,'Control Room'!$B$13/4))^2),1)*IF(AND($A361&gt;='Control Room'!$A$14,$A361&lt;'Control Room'!$A$14+'Control Room'!$B$14,'Process'!BU3=1),1+('Control Room'!$C$14-1)*EXP(-0.5*(($A361-'Control Room'!$A$14-('Control Room'!$B$14-1)/2)/MAX(0.5,'Control Room'!$B$14/4))^2),1)*IF(AND($A361&gt;='Control Room'!$A$15,$A361&lt;'Control Room'!$A$15+'Control Room'!$B$15,'Process'!BU4=1),1+('Control Room'!$C$15-1)*EXP(-0.5*(($A361-'Control Room'!$A$15-('Control Room'!$B$15-1)/2)/MAX(0.5,'Control Room'!$B$15/4))^2),1)*IF(AND($A361&gt;='Control Room'!$A$16,$A361&lt;'Control Room'!$A$16+'Control Room'!$B$16,'Process'!BU5=1),1+('Control Room'!$C$16-1)*EXP(-0.5*(($A361-'Control Room'!$A$16-('Control Room'!$B$16-1)/2)/MAX(0.5,'Control Room'!$B$16/4))^2),1)</x:f>
        <x:v>1</x:v>
      </x:c>
      <x:c r="BE361" s="9" t="n">
        <x:f>MOD(BF360*16807,2147483647)</x:f>
        <x:v>878139745</x:v>
      </x:c>
      <x:c r="BF361" s="9" t="n">
        <x:f>MOD(BE361*16807,2147483647)</x:f>
        <x:v>1387072031</x:v>
      </x:c>
      <x:c r="BG361" s="17" t="n">
        <x:f>IF('Control Room'!$B$5="Normal",'Control Room'!$B$7+'Control Room'!$D$7*SQRT(-2*LN(MAX(0.000000000001,BE361/2147483647)))*COS(2*PI()*BF361/2147483647),'Control Room'!$B$8+('Control Room'!$D$8-'Control Room'!$B$8)*BE361/2147483647)</x:f>
        <x:v>926.7722703507342</x:v>
      </x:c>
      <x:c r="BH361" s="17" t="n">
        <x:f>IF('Control Room'!$B$5="Normal",'Control Room'!$B$7,('Control Room'!$B$8+'Control Room'!$D$8)/2)+'Control Room'!$B$9*(BH360-IF('Control Room'!$B$5="Normal",'Control Room'!$B$7,('Control Room'!$B$8+'Control Room'!$D$8)/2))+SQRT(1-'Control Room'!$B$9^2)*(BG361-IF('Control Room'!$B$5="Normal",'Control Room'!$B$7,('Control Room'!$B$8+'Control Room'!$D$8)/2))</x:f>
        <x:v>869.3413166871185</x:v>
      </x:c>
      <x:c r="BI361" s="17" t="n">
        <x:f>IF(AND($A361&gt;='Control Room'!$A$13,$A361&lt;'Control Room'!$A$13+'Control Room'!$B$13,'Process'!BV2=1),1+('Control Room'!$C$13-1)*EXP(-0.5*(($A361-'Control Room'!$A$13-('Control Room'!$B$13-1)/2)/MAX(0.5,'Control Room'!$B$13/4))^2),1)*IF(AND($A361&gt;='Control Room'!$A$14,$A361&lt;'Control Room'!$A$14+'Control Room'!$B$14,'Process'!BV3=1),1+('Control Room'!$C$14-1)*EXP(-0.5*(($A361-'Control Room'!$A$14-('Control Room'!$B$14-1)/2)/MAX(0.5,'Control Room'!$B$14/4))^2),1)*IF(AND($A361&gt;='Control Room'!$A$15,$A361&lt;'Control Room'!$A$15+'Control Room'!$B$15,'Process'!BV4=1),1+('Control Room'!$C$15-1)*EXP(-0.5*(($A361-'Control Room'!$A$15-('Control Room'!$B$15-1)/2)/MAX(0.5,'Control Room'!$B$15/4))^2),1)*IF(AND($A361&gt;='Control Room'!$A$16,$A361&lt;'Control Room'!$A$16+'Control Room'!$B$16,'Process'!BV5=1),1+('Control Room'!$C$16-1)*EXP(-0.5*(($A361-'Control Room'!$A$16-('Control Room'!$B$16-1)/2)/MAX(0.5,'Control Room'!$B$16/4))^2),1)</x:f>
        <x:v>1</x:v>
      </x:c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Z361" t="str">
        <x:f>IF('Data'!A361="","",TEXT('Data'!A361,"mm-dd"))</x:f>
      </x:c>
    </x:row>
    <x:row r="362" ht="21" customHeight="1">
      <x:c r="A362" s="15" t="n">
        <x:f>'Control Room'!$B$1+360</x:f>
        <x:v>73351</x:v>
      </x:c>
      <x:c r="B362" s="9" t="n">
        <x:f>MOD(C361*16807,2147483647)</x:f>
        <x:v>505392192</x:v>
      </x:c>
      <x:c r="C362" s="9" t="n">
        <x:f>MOD(B362*16807,2147483647)</x:f>
        <x:v>828747059</x:v>
      </x:c>
      <x:c r="D362" s="17" t="n">
        <x:f>IF('Control Room'!$B$5="Normal",'Control Room'!$B$7+'Control Room'!$D$7*SQRT(-2*LN(MAX(0.000000000001,B362/2147483647)))*COS(2*PI()*C362/2147483647),'Control Room'!$B$8+('Control Room'!$D$8-'Control Room'!$B$8)*B362/2147483647)</x:f>
        <x:v>884.5844187447613</x:v>
      </x:c>
      <x:c r="E362" s="17" t="n">
        <x:f>IF('Control Room'!$B$5="Normal",'Control Room'!$B$7,('Control Room'!$B$8+'Control Room'!$D$8)/2)+'Control Room'!$B$9*(E361-IF('Control Room'!$B$5="Normal",'Control Room'!$B$7,('Control Room'!$B$8+'Control Room'!$D$8)/2))+SQRT(1-'Control Room'!$B$9^2)*(D362-IF('Control Room'!$B$5="Normal",'Control Room'!$B$7,('Control Room'!$B$8+'Control Room'!$D$8)/2))</x:f>
        <x:v>917.783036197047</x:v>
      </x:c>
      <x:c r="F362" s="17" t="n">
        <x:f>IF(AND($A362&gt;='Control Room'!$A$13,$A362&lt;'Control Room'!$A$13+'Control Room'!$B$13,'Process'!BK2=1),1+('Control Room'!$C$13-1)*EXP(-0.5*(($A362-'Control Room'!$A$13-('Control Room'!$B$13-1)/2)/MAX(0.5,'Control Room'!$B$13/4))^2),1)*IF(AND($A362&gt;='Control Room'!$A$14,$A362&lt;'Control Room'!$A$14+'Control Room'!$B$14,'Process'!BK3=1),1+('Control Room'!$C$14-1)*EXP(-0.5*(($A362-'Control Room'!$A$14-('Control Room'!$B$14-1)/2)/MAX(0.5,'Control Room'!$B$14/4))^2),1)*IF(AND($A362&gt;='Control Room'!$A$15,$A362&lt;'Control Room'!$A$15+'Control Room'!$B$15,'Process'!BK4=1),1+('Control Room'!$C$15-1)*EXP(-0.5*(($A362-'Control Room'!$A$15-('Control Room'!$B$15-1)/2)/MAX(0.5,'Control Room'!$B$15/4))^2),1)*IF(AND($A362&gt;='Control Room'!$A$16,$A362&lt;'Control Room'!$A$16+'Control Room'!$B$16,'Process'!BK5=1),1+('Control Room'!$C$16-1)*EXP(-0.5*(($A362-'Control Room'!$A$16-('Control Room'!$B$16-1)/2)/MAX(0.5,'Control Room'!$B$16/4))^2),1)</x:f>
        <x:v>1</x:v>
      </x:c>
      <x:c r="G362" s="9" t="n">
        <x:f>MOD(H361*16807,2147483647)</x:f>
        <x:v>408279555</x:v>
      </x:c>
      <x:c r="H362" s="9" t="n">
        <x:f>MOD(G362*16807,2147483647)</x:f>
        <x:v>744228720</x:v>
      </x:c>
      <x:c r="I362" s="17" t="n">
        <x:f>IF('Control Room'!$B$5="Normal",'Control Room'!$B$7+'Control Room'!$D$7*SQRT(-2*LN(MAX(0.000000000001,G362/2147483647)))*COS(2*PI()*H362/2147483647),'Control Room'!$B$8+('Control Room'!$D$8-'Control Room'!$B$8)*G362/2147483647)</x:f>
        <x:v>906.4986576242574</x:v>
      </x:c>
      <x:c r="J362" s="17" t="n">
        <x:f>IF('Control Room'!$B$5="Normal",'Control Room'!$B$7,('Control Room'!$B$8+'Control Room'!$D$8)/2)+'Control Room'!$B$9*(J361-IF('Control Room'!$B$5="Normal",'Control Room'!$B$7,('Control Room'!$B$8+'Control Room'!$D$8)/2))+SQRT(1-'Control Room'!$B$9^2)*(I362-IF('Control Room'!$B$5="Normal",'Control Room'!$B$7,('Control Room'!$B$8+'Control Room'!$D$8)/2))</x:f>
        <x:v>944.7970009755463</x:v>
      </x:c>
      <x:c r="K362" s="17" t="n">
        <x:f>IF(AND($A362&gt;='Control Room'!$A$13,$A362&lt;'Control Room'!$A$13+'Control Room'!$B$13,'Process'!BL2=1),1+('Control Room'!$C$13-1)*EXP(-0.5*(($A362-'Control Room'!$A$13-('Control Room'!$B$13-1)/2)/MAX(0.5,'Control Room'!$B$13/4))^2),1)*IF(AND($A362&gt;='Control Room'!$A$14,$A362&lt;'Control Room'!$A$14+'Control Room'!$B$14,'Process'!BL3=1),1+('Control Room'!$C$14-1)*EXP(-0.5*(($A362-'Control Room'!$A$14-('Control Room'!$B$14-1)/2)/MAX(0.5,'Control Room'!$B$14/4))^2),1)*IF(AND($A362&gt;='Control Room'!$A$15,$A362&lt;'Control Room'!$A$15+'Control Room'!$B$15,'Process'!BL4=1),1+('Control Room'!$C$15-1)*EXP(-0.5*(($A362-'Control Room'!$A$15-('Control Room'!$B$15-1)/2)/MAX(0.5,'Control Room'!$B$15/4))^2),1)*IF(AND($A362&gt;='Control Room'!$A$16,$A362&lt;'Control Room'!$A$16+'Control Room'!$B$16,'Process'!BL5=1),1+('Control Room'!$C$16-1)*EXP(-0.5*(($A362-'Control Room'!$A$16-('Control Room'!$B$16-1)/2)/MAX(0.5,'Control Room'!$B$16/4))^2),1)</x:f>
        <x:v>1</x:v>
      </x:c>
      <x:c r="L362" s="9" t="n">
        <x:f>MOD(M361*16807,2147483647)</x:f>
        <x:v>311166918</x:v>
      </x:c>
      <x:c r="M362" s="9" t="n">
        <x:f>MOD(L362*16807,2147483647)</x:f>
        <x:v>659710381</x:v>
      </x:c>
      <x:c r="N362" s="17" t="n">
        <x:f>IF('Control Room'!$B$5="Normal",'Control Room'!$B$7+'Control Room'!$D$7*SQRT(-2*LN(MAX(0.000000000001,L362/2147483647)))*COS(2*PI()*M362/2147483647),'Control Room'!$B$8+('Control Room'!$D$8-'Control Room'!$B$8)*L362/2147483647)</x:f>
        <x:v>937.7803903108704</x:v>
      </x:c>
      <x:c r="O362" s="17" t="n">
        <x:f>IF('Control Room'!$B$5="Normal",'Control Room'!$B$7,('Control Room'!$B$8+'Control Room'!$D$8)/2)+'Control Room'!$B$9*(O361-IF('Control Room'!$B$5="Normal",'Control Room'!$B$7,('Control Room'!$B$8+'Control Room'!$D$8)/2))+SQRT(1-'Control Room'!$B$9^2)*(N362-IF('Control Room'!$B$5="Normal",'Control Room'!$B$7,('Control Room'!$B$8+'Control Room'!$D$8)/2))</x:f>
        <x:v>916.378088304127</x:v>
      </x:c>
      <x:c r="P362" s="17" t="n">
        <x:f>IF(AND($A362&gt;='Control Room'!$A$13,$A362&lt;'Control Room'!$A$13+'Control Room'!$B$13,'Process'!BM2=1),1+('Control Room'!$C$13-1)*EXP(-0.5*(($A362-'Control Room'!$A$13-('Control Room'!$B$13-1)/2)/MAX(0.5,'Control Room'!$B$13/4))^2),1)*IF(AND($A362&gt;='Control Room'!$A$14,$A362&lt;'Control Room'!$A$14+'Control Room'!$B$14,'Process'!BM3=1),1+('Control Room'!$C$14-1)*EXP(-0.5*(($A362-'Control Room'!$A$14-('Control Room'!$B$14-1)/2)/MAX(0.5,'Control Room'!$B$14/4))^2),1)*IF(AND($A362&gt;='Control Room'!$A$15,$A362&lt;'Control Room'!$A$15+'Control Room'!$B$15,'Process'!BM4=1),1+('Control Room'!$C$15-1)*EXP(-0.5*(($A362-'Control Room'!$A$15-('Control Room'!$B$15-1)/2)/MAX(0.5,'Control Room'!$B$15/4))^2),1)*IF(AND($A362&gt;='Control Room'!$A$16,$A362&lt;'Control Room'!$A$16+'Control Room'!$B$16,'Process'!BM5=1),1+('Control Room'!$C$16-1)*EXP(-0.5*(($A362-'Control Room'!$A$16-('Control Room'!$B$16-1)/2)/MAX(0.5,'Control Room'!$B$16/4))^2),1)</x:f>
        <x:v>1</x:v>
      </x:c>
      <x:c r="Q362" s="9" t="n">
        <x:f>MOD(R361*16807,2147483647)</x:f>
        <x:v>214054281</x:v>
      </x:c>
      <x:c r="R362" s="9" t="n">
        <x:f>MOD(Q362*16807,2147483647)</x:f>
        <x:v>575192042</x:v>
      </x:c>
      <x:c r="S362" s="17" t="n">
        <x:f>IF('Control Room'!$B$5="Normal",'Control Room'!$B$7+'Control Room'!$D$7*SQRT(-2*LN(MAX(0.000000000001,Q362/2147483647)))*COS(2*PI()*R362/2147483647),'Control Room'!$B$8+('Control Room'!$D$8-'Control Room'!$B$8)*Q362/2147483647)</x:f>
        <x:v>978.3753825977898</x:v>
      </x:c>
      <x:c r="T362" s="17" t="n">
        <x:f>IF('Control Room'!$B$5="Normal",'Control Room'!$B$7,('Control Room'!$B$8+'Control Room'!$D$8)/2)+'Control Room'!$B$9*(T361-IF('Control Room'!$B$5="Normal",'Control Room'!$B$7,('Control Room'!$B$8+'Control Room'!$D$8)/2))+SQRT(1-'Control Room'!$B$9^2)*(S362-IF('Control Room'!$B$5="Normal",'Control Room'!$B$7,('Control Room'!$B$8+'Control Room'!$D$8)/2))</x:f>
        <x:v>936.7262012316704</x:v>
      </x:c>
      <x:c r="U362" s="17" t="n">
        <x:f>IF(AND($A362&gt;='Control Room'!$A$13,$A362&lt;'Control Room'!$A$13+'Control Room'!$B$13,'Process'!BN2=1),1+('Control Room'!$C$13-1)*EXP(-0.5*(($A362-'Control Room'!$A$13-('Control Room'!$B$13-1)/2)/MAX(0.5,'Control Room'!$B$13/4))^2),1)*IF(AND($A362&gt;='Control Room'!$A$14,$A362&lt;'Control Room'!$A$14+'Control Room'!$B$14,'Process'!BN3=1),1+('Control Room'!$C$14-1)*EXP(-0.5*(($A362-'Control Room'!$A$14-('Control Room'!$B$14-1)/2)/MAX(0.5,'Control Room'!$B$14/4))^2),1)*IF(AND($A362&gt;='Control Room'!$A$15,$A362&lt;'Control Room'!$A$15+'Control Room'!$B$15,'Process'!BN4=1),1+('Control Room'!$C$15-1)*EXP(-0.5*(($A362-'Control Room'!$A$15-('Control Room'!$B$15-1)/2)/MAX(0.5,'Control Room'!$B$15/4))^2),1)*IF(AND($A362&gt;='Control Room'!$A$16,$A362&lt;'Control Room'!$A$16+'Control Room'!$B$16,'Process'!BN5=1),1+('Control Room'!$C$16-1)*EXP(-0.5*(($A362-'Control Room'!$A$16-('Control Room'!$B$16-1)/2)/MAX(0.5,'Control Room'!$B$16/4))^2),1)</x:f>
        <x:v>1</x:v>
      </x:c>
      <x:c r="V362" s="9" t="n">
        <x:f>MOD(W361*16807,2147483647)</x:f>
        <x:v>116941644</x:v>
      </x:c>
      <x:c r="W362" s="9" t="n">
        <x:f>MOD(V362*16807,2147483647)</x:f>
        <x:v>490673703</x:v>
      </x:c>
      <x:c r="X362" s="17" t="n">
        <x:f>IF('Control Room'!$B$5="Normal",'Control Room'!$B$7+'Control Room'!$D$7*SQRT(-2*LN(MAX(0.000000000001,V362/2147483647)))*COS(2*PI()*W362/2147483647),'Control Room'!$B$8+('Control Room'!$D$8-'Control Room'!$B$8)*V362/2147483647)</x:f>
        <x:v>1029.2600227586915</x:v>
      </x:c>
      <x:c r="Y362" s="17" t="n">
        <x:f>IF('Control Room'!$B$5="Normal",'Control Room'!$B$7,('Control Room'!$B$8+'Control Room'!$D$8)/2)+'Control Room'!$B$9*(Y361-IF('Control Room'!$B$5="Normal",'Control Room'!$B$7,('Control Room'!$B$8+'Control Room'!$D$8)/2))+SQRT(1-'Control Room'!$B$9^2)*(X362-IF('Control Room'!$B$5="Normal",'Control Room'!$B$7,('Control Room'!$B$8+'Control Room'!$D$8)/2))</x:f>
        <x:v>1111.518282754997</x:v>
      </x:c>
      <x:c r="Z362" s="17" t="n">
        <x:f>IF(AND($A362&gt;='Control Room'!$A$13,$A362&lt;'Control Room'!$A$13+'Control Room'!$B$13,'Process'!BO2=1),1+('Control Room'!$C$13-1)*EXP(-0.5*(($A362-'Control Room'!$A$13-('Control Room'!$B$13-1)/2)/MAX(0.5,'Control Room'!$B$13/4))^2),1)*IF(AND($A362&gt;='Control Room'!$A$14,$A362&lt;'Control Room'!$A$14+'Control Room'!$B$14,'Process'!BO3=1),1+('Control Room'!$C$14-1)*EXP(-0.5*(($A362-'Control Room'!$A$14-('Control Room'!$B$14-1)/2)/MAX(0.5,'Control Room'!$B$14/4))^2),1)*IF(AND($A362&gt;='Control Room'!$A$15,$A362&lt;'Control Room'!$A$15+'Control Room'!$B$15,'Process'!BO4=1),1+('Control Room'!$C$15-1)*EXP(-0.5*(($A362-'Control Room'!$A$15-('Control Room'!$B$15-1)/2)/MAX(0.5,'Control Room'!$B$15/4))^2),1)*IF(AND($A362&gt;='Control Room'!$A$16,$A362&lt;'Control Room'!$A$16+'Control Room'!$B$16,'Process'!BO5=1),1+('Control Room'!$C$16-1)*EXP(-0.5*(($A362-'Control Room'!$A$16-('Control Room'!$B$16-1)/2)/MAX(0.5,'Control Room'!$B$16/4))^2),1)</x:f>
        <x:v>1</x:v>
      </x:c>
      <x:c r="AA362" s="9" t="n">
        <x:f>MOD(AB361*16807,2147483647)</x:f>
        <x:v>19829007</x:v>
      </x:c>
      <x:c r="AB362" s="9" t="n">
        <x:f>MOD(AA362*16807,2147483647)</x:f>
        <x:v>406155364</x:v>
      </x:c>
      <x:c r="AC362" s="17" t="n">
        <x:f>IF('Control Room'!$B$5="Normal",'Control Room'!$B$7+'Control Room'!$D$7*SQRT(-2*LN(MAX(0.000000000001,AA362/2147483647)))*COS(2*PI()*AB362/2147483647),'Control Room'!$B$8+('Control Room'!$D$8-'Control Room'!$B$8)*AA362/2147483647)</x:f>
        <x:v>1102.8124584150103</x:v>
      </x:c>
      <x:c r="AD362" s="17" t="n">
        <x:f>IF('Control Room'!$B$5="Normal",'Control Room'!$B$7,('Control Room'!$B$8+'Control Room'!$D$8)/2)+'Control Room'!$B$9*(AD361-IF('Control Room'!$B$5="Normal",'Control Room'!$B$7,('Control Room'!$B$8+'Control Room'!$D$8)/2))+SQRT(1-'Control Room'!$B$9^2)*(AC362-IF('Control Room'!$B$5="Normal",'Control Room'!$B$7,('Control Room'!$B$8+'Control Room'!$D$8)/2))</x:f>
        <x:v>1004.3353307623479</x:v>
      </x:c>
      <x:c r="AE362" s="17" t="n">
        <x:f>IF(AND($A362&gt;='Control Room'!$A$13,$A362&lt;'Control Room'!$A$13+'Control Room'!$B$13,'Process'!BP2=1),1+('Control Room'!$C$13-1)*EXP(-0.5*(($A362-'Control Room'!$A$13-('Control Room'!$B$13-1)/2)/MAX(0.5,'Control Room'!$B$13/4))^2),1)*IF(AND($A362&gt;='Control Room'!$A$14,$A362&lt;'Control Room'!$A$14+'Control Room'!$B$14,'Process'!BP3=1),1+('Control Room'!$C$14-1)*EXP(-0.5*(($A362-'Control Room'!$A$14-('Control Room'!$B$14-1)/2)/MAX(0.5,'Control Room'!$B$14/4))^2),1)*IF(AND($A362&gt;='Control Room'!$A$15,$A362&lt;'Control Room'!$A$15+'Control Room'!$B$15,'Process'!BP4=1),1+('Control Room'!$C$15-1)*EXP(-0.5*(($A362-'Control Room'!$A$15-('Control Room'!$B$15-1)/2)/MAX(0.5,'Control Room'!$B$15/4))^2),1)*IF(AND($A362&gt;='Control Room'!$A$16,$A362&lt;'Control Room'!$A$16+'Control Room'!$B$16,'Process'!BP5=1),1+('Control Room'!$C$16-1)*EXP(-0.5*(($A362-'Control Room'!$A$16-('Control Room'!$B$16-1)/2)/MAX(0.5,'Control Room'!$B$16/4))^2),1)</x:f>
        <x:v>1</x:v>
      </x:c>
      <x:c r="AF362" s="9" t="n">
        <x:f>MOD(AG361*16807,2147483647)</x:f>
        <x:v>2070200017</x:v>
      </x:c>
      <x:c r="AG362" s="9" t="n">
        <x:f>MOD(AF362*16807,2147483647)</x:f>
        <x:v>321637025</x:v>
      </x:c>
      <x:c r="AH362" s="17" t="n">
        <x:f>IF('Control Room'!$B$5="Normal",'Control Room'!$B$7+'Control Room'!$D$7*SQRT(-2*LN(MAX(0.000000000001,AF362/2147483647)))*COS(2*PI()*AG362/2147483647),'Control Room'!$B$8+('Control Room'!$D$8-'Control Room'!$B$8)*AF362/2147483647)</x:f>
        <x:v>1014.3506023524881</x:v>
      </x:c>
      <x:c r="AI362" s="17" t="n">
        <x:f>IF('Control Room'!$B$5="Normal",'Control Room'!$B$7,('Control Room'!$B$8+'Control Room'!$D$8)/2)+'Control Room'!$B$9*(AI361-IF('Control Room'!$B$5="Normal",'Control Room'!$B$7,('Control Room'!$B$8+'Control Room'!$D$8)/2))+SQRT(1-'Control Room'!$B$9^2)*(AH362-IF('Control Room'!$B$5="Normal",'Control Room'!$B$7,('Control Room'!$B$8+'Control Room'!$D$8)/2))</x:f>
        <x:v>999.7227982540938</x:v>
      </x:c>
      <x:c r="AJ362" s="17" t="n">
        <x:f>IF(AND($A362&gt;='Control Room'!$A$13,$A362&lt;'Control Room'!$A$13+'Control Room'!$B$13,'Process'!BQ2=1),1+('Control Room'!$C$13-1)*EXP(-0.5*(($A362-'Control Room'!$A$13-('Control Room'!$B$13-1)/2)/MAX(0.5,'Control Room'!$B$13/4))^2),1)*IF(AND($A362&gt;='Control Room'!$A$14,$A362&lt;'Control Room'!$A$14+'Control Room'!$B$14,'Process'!BQ3=1),1+('Control Room'!$C$14-1)*EXP(-0.5*(($A362-'Control Room'!$A$14-('Control Room'!$B$14-1)/2)/MAX(0.5,'Control Room'!$B$14/4))^2),1)*IF(AND($A362&gt;='Control Room'!$A$15,$A362&lt;'Control Room'!$A$15+'Control Room'!$B$15,'Process'!BQ4=1),1+('Control Room'!$C$15-1)*EXP(-0.5*(($A362-'Control Room'!$A$15-('Control Room'!$B$15-1)/2)/MAX(0.5,'Control Room'!$B$15/4))^2),1)*IF(AND($A362&gt;='Control Room'!$A$16,$A362&lt;'Control Room'!$A$16+'Control Room'!$B$16,'Process'!BQ5=1),1+('Control Room'!$C$16-1)*EXP(-0.5*(($A362-'Control Room'!$A$16-('Control Room'!$B$16-1)/2)/MAX(0.5,'Control Room'!$B$16/4))^2),1)</x:f>
        <x:v>1</x:v>
      </x:c>
      <x:c r="AK362" s="9" t="n">
        <x:f>MOD(AL361*16807,2147483647)</x:f>
        <x:v>1973087380</x:v>
      </x:c>
      <x:c r="AL362" s="9" t="n">
        <x:f>MOD(AK362*16807,2147483647)</x:f>
        <x:v>237118686</x:v>
      </x:c>
      <x:c r="AM362" s="17" t="n">
        <x:f>IF('Control Room'!$B$5="Normal",'Control Room'!$B$7+'Control Room'!$D$7*SQRT(-2*LN(MAX(0.000000000001,AK362/2147483647)))*COS(2*PI()*AL362/2147483647),'Control Room'!$B$8+('Control Room'!$D$8-'Control Room'!$B$8)*AK362/2147483647)</x:f>
        <x:v>1028.4792414110848</x:v>
      </x:c>
      <x:c r="AN362" s="17" t="n">
        <x:f>IF('Control Room'!$B$5="Normal",'Control Room'!$B$7,('Control Room'!$B$8+'Control Room'!$D$8)/2)+'Control Room'!$B$9*(AN361-IF('Control Room'!$B$5="Normal",'Control Room'!$B$7,('Control Room'!$B$8+'Control Room'!$D$8)/2))+SQRT(1-'Control Room'!$B$9^2)*(AM362-IF('Control Room'!$B$5="Normal",'Control Room'!$B$7,('Control Room'!$B$8+'Control Room'!$D$8)/2))</x:f>
        <x:v>961.924154665055</x:v>
      </x:c>
      <x:c r="AO362" s="17" t="n">
        <x:f>IF(AND($A362&gt;='Control Room'!$A$13,$A362&lt;'Control Room'!$A$13+'Control Room'!$B$13,'Process'!BR2=1),1+('Control Room'!$C$13-1)*EXP(-0.5*(($A362-'Control Room'!$A$13-('Control Room'!$B$13-1)/2)/MAX(0.5,'Control Room'!$B$13/4))^2),1)*IF(AND($A362&gt;='Control Room'!$A$14,$A362&lt;'Control Room'!$A$14+'Control Room'!$B$14,'Process'!BR3=1),1+('Control Room'!$C$14-1)*EXP(-0.5*(($A362-'Control Room'!$A$14-('Control Room'!$B$14-1)/2)/MAX(0.5,'Control Room'!$B$14/4))^2),1)*IF(AND($A362&gt;='Control Room'!$A$15,$A362&lt;'Control Room'!$A$15+'Control Room'!$B$15,'Process'!BR4=1),1+('Control Room'!$C$15-1)*EXP(-0.5*(($A362-'Control Room'!$A$15-('Control Room'!$B$15-1)/2)/MAX(0.5,'Control Room'!$B$15/4))^2),1)*IF(AND($A362&gt;='Control Room'!$A$16,$A362&lt;'Control Room'!$A$16+'Control Room'!$B$16,'Process'!BR5=1),1+('Control Room'!$C$16-1)*EXP(-0.5*(($A362-'Control Room'!$A$16-('Control Room'!$B$16-1)/2)/MAX(0.5,'Control Room'!$B$16/4))^2),1)</x:f>
        <x:v>1</x:v>
      </x:c>
      <x:c r="AP362" s="9" t="n">
        <x:f>MOD(AQ361*16807,2147483647)</x:f>
        <x:v>1875974743</x:v>
      </x:c>
      <x:c r="AQ362" s="9" t="n">
        <x:f>MOD(AP362*16807,2147483647)</x:f>
        <x:v>152600347</x:v>
      </x:c>
      <x:c r="AR362" s="17" t="n">
        <x:f>IF('Control Room'!$B$5="Normal",'Control Room'!$B$7+'Control Room'!$D$7*SQRT(-2*LN(MAX(0.000000000001,AP362/2147483647)))*COS(2*PI()*AQ362/2147483647),'Control Room'!$B$8+('Control Room'!$D$8-'Control Room'!$B$8)*AP362/2147483647)</x:f>
        <x:v>1042.2073069936462</x:v>
      </x:c>
      <x:c r="AS362" s="17" t="n">
        <x:f>IF('Control Room'!$B$5="Normal",'Control Room'!$B$7,('Control Room'!$B$8+'Control Room'!$D$8)/2)+'Control Room'!$B$9*(AS361-IF('Control Room'!$B$5="Normal",'Control Room'!$B$7,('Control Room'!$B$8+'Control Room'!$D$8)/2))+SQRT(1-'Control Room'!$B$9^2)*(AR362-IF('Control Room'!$B$5="Normal",'Control Room'!$B$7,('Control Room'!$B$8+'Control Room'!$D$8)/2))</x:f>
        <x:v>1007.603110927611</x:v>
      </x:c>
      <x:c r="AT362" s="17" t="n">
        <x:f>IF(AND($A362&gt;='Control Room'!$A$13,$A362&lt;'Control Room'!$A$13+'Control Room'!$B$13,'Process'!BS2=1),1+('Control Room'!$C$13-1)*EXP(-0.5*(($A362-'Control Room'!$A$13-('Control Room'!$B$13-1)/2)/MAX(0.5,'Control Room'!$B$13/4))^2),1)*IF(AND($A362&gt;='Control Room'!$A$14,$A362&lt;'Control Room'!$A$14+'Control Room'!$B$14,'Process'!BS3=1),1+('Control Room'!$C$14-1)*EXP(-0.5*(($A362-'Control Room'!$A$14-('Control Room'!$B$14-1)/2)/MAX(0.5,'Control Room'!$B$14/4))^2),1)*IF(AND($A362&gt;='Control Room'!$A$15,$A362&lt;'Control Room'!$A$15+'Control Room'!$B$15,'Process'!BS4=1),1+('Control Room'!$C$15-1)*EXP(-0.5*(($A362-'Control Room'!$A$15-('Control Room'!$B$15-1)/2)/MAX(0.5,'Control Room'!$B$15/4))^2),1)*IF(AND($A362&gt;='Control Room'!$A$16,$A362&lt;'Control Room'!$A$16+'Control Room'!$B$16,'Process'!BS5=1),1+('Control Room'!$C$16-1)*EXP(-0.5*(($A362-'Control Room'!$A$16-('Control Room'!$B$16-1)/2)/MAX(0.5,'Control Room'!$B$16/4))^2),1)</x:f>
        <x:v>1</x:v>
      </x:c>
      <x:c r="AU362" s="9" t="n">
        <x:f>MOD(AV361*16807,2147483647)</x:f>
        <x:v>1778862106</x:v>
      </x:c>
      <x:c r="AV362" s="9" t="n">
        <x:f>MOD(AU362*16807,2147483647)</x:f>
        <x:v>68082008</x:v>
      </x:c>
      <x:c r="AW362" s="17" t="n">
        <x:f>IF('Control Room'!$B$5="Normal",'Control Room'!$B$7+'Control Room'!$D$7*SQRT(-2*LN(MAX(0.000000000001,AU362/2147483647)))*COS(2*PI()*AV362/2147483647),'Control Room'!$B$8+('Control Room'!$D$8-'Control Room'!$B$8)*AU362/2147483647)</x:f>
        <x:v>1054.1421102368838</x:v>
      </x:c>
      <x:c r="AX362" s="17" t="n">
        <x:f>IF('Control Room'!$B$5="Normal",'Control Room'!$B$7,('Control Room'!$B$8+'Control Room'!$D$8)/2)+'Control Room'!$B$9*(AX361-IF('Control Room'!$B$5="Normal",'Control Room'!$B$7,('Control Room'!$B$8+'Control Room'!$D$8)/2))+SQRT(1-'Control Room'!$B$9^2)*(AW362-IF('Control Room'!$B$5="Normal",'Control Room'!$B$7,('Control Room'!$B$8+'Control Room'!$D$8)/2))</x:f>
        <x:v>935.1216497391661</x:v>
      </x:c>
      <x:c r="AY362" s="17" t="n">
        <x:f>IF(AND($A362&gt;='Control Room'!$A$13,$A362&lt;'Control Room'!$A$13+'Control Room'!$B$13,'Process'!BT2=1),1+('Control Room'!$C$13-1)*EXP(-0.5*(($A362-'Control Room'!$A$13-('Control Room'!$B$13-1)/2)/MAX(0.5,'Control Room'!$B$13/4))^2),1)*IF(AND($A362&gt;='Control Room'!$A$14,$A362&lt;'Control Room'!$A$14+'Control Room'!$B$14,'Process'!BT3=1),1+('Control Room'!$C$14-1)*EXP(-0.5*(($A362-'Control Room'!$A$14-('Control Room'!$B$14-1)/2)/MAX(0.5,'Control Room'!$B$14/4))^2),1)*IF(AND($A362&gt;='Control Room'!$A$15,$A362&lt;'Control Room'!$A$15+'Control Room'!$B$15,'Process'!BT4=1),1+('Control Room'!$C$15-1)*EXP(-0.5*(($A362-'Control Room'!$A$15-('Control Room'!$B$15-1)/2)/MAX(0.5,'Control Room'!$B$15/4))^2),1)*IF(AND($A362&gt;='Control Room'!$A$16,$A362&lt;'Control Room'!$A$16+'Control Room'!$B$16,'Process'!BT5=1),1+('Control Room'!$C$16-1)*EXP(-0.5*(($A362-'Control Room'!$A$16-('Control Room'!$B$16-1)/2)/MAX(0.5,'Control Room'!$B$16/4))^2),1)</x:f>
        <x:v>1</x:v>
      </x:c>
      <x:c r="AZ362" s="9" t="n">
        <x:f>MOD(BA361*16807,2147483647)</x:f>
        <x:v>1681749469</x:v>
      </x:c>
      <x:c r="BA362" s="9" t="n">
        <x:f>MOD(AZ362*16807,2147483647)</x:f>
        <x:v>2131047316</x:v>
      </x:c>
      <x:c r="BB362" s="17" t="n">
        <x:f>IF('Control Room'!$B$5="Normal",'Control Room'!$B$7+'Control Room'!$D$7*SQRT(-2*LN(MAX(0.000000000001,AZ362/2147483647)))*COS(2*PI()*BA362/2147483647),'Control Room'!$B$8+('Control Room'!$D$8-'Control Room'!$B$8)*AZ362/2147483647)</x:f>
        <x:v>1062.858056440172</x:v>
      </x:c>
      <x:c r="BC362" s="17" t="n">
        <x:f>IF('Control Room'!$B$5="Normal",'Control Room'!$B$7,('Control Room'!$B$8+'Control Room'!$D$8)/2)+'Control Room'!$B$9*(BC361-IF('Control Room'!$B$5="Normal",'Control Room'!$B$7,('Control Room'!$B$8+'Control Room'!$D$8)/2))+SQRT(1-'Control Room'!$B$9^2)*(BB362-IF('Control Room'!$B$5="Normal",'Control Room'!$B$7,('Control Room'!$B$8+'Control Room'!$D$8)/2))</x:f>
        <x:v>1074.9741688431639</x:v>
      </x:c>
      <x:c r="BD362" s="17" t="n">
        <x:f>IF(AND($A362&gt;='Control Room'!$A$13,$A362&lt;'Control Room'!$A$13+'Control Room'!$B$13,'Process'!BU2=1),1+('Control Room'!$C$13-1)*EXP(-0.5*(($A362-'Control Room'!$A$13-('Control Room'!$B$13-1)/2)/MAX(0.5,'Control Room'!$B$13/4))^2),1)*IF(AND($A362&gt;='Control Room'!$A$14,$A362&lt;'Control Room'!$A$14+'Control Room'!$B$14,'Process'!BU3=1),1+('Control Room'!$C$14-1)*EXP(-0.5*(($A362-'Control Room'!$A$14-('Control Room'!$B$14-1)/2)/MAX(0.5,'Control Room'!$B$14/4))^2),1)*IF(AND($A362&gt;='Control Room'!$A$15,$A362&lt;'Control Room'!$A$15+'Control Room'!$B$15,'Process'!BU4=1),1+('Control Room'!$C$15-1)*EXP(-0.5*(($A362-'Control Room'!$A$15-('Control Room'!$B$15-1)/2)/MAX(0.5,'Control Room'!$B$15/4))^2),1)*IF(AND($A362&gt;='Control Room'!$A$16,$A362&lt;'Control Room'!$A$16+'Control Room'!$B$16,'Process'!BU5=1),1+('Control Room'!$C$16-1)*EXP(-0.5*(($A362-'Control Room'!$A$16-('Control Room'!$B$16-1)/2)/MAX(0.5,'Control Room'!$B$16/4))^2),1)</x:f>
        <x:v>1</x:v>
      </x:c>
      <x:c r="BE362" s="9" t="n">
        <x:f>MOD(BF361*16807,2147483647)</x:f>
        <x:v>1584636832</x:v>
      </x:c>
      <x:c r="BF362" s="9" t="n">
        <x:f>MOD(BE362*16807,2147483647)</x:f>
        <x:v>2046528977</x:v>
      </x:c>
      <x:c r="BG362" s="17" t="n">
        <x:f>IF('Control Room'!$B$5="Normal",'Control Room'!$B$7+'Control Room'!$D$7*SQRT(-2*LN(MAX(0.000000000001,BE362/2147483647)))*COS(2*PI()*BF362/2147483647),'Control Room'!$B$8+('Control Room'!$D$8-'Control Room'!$B$8)*BE362/2147483647)</x:f>
        <x:v>1067.1312741765119</x:v>
      </x:c>
      <x:c r="BH362" s="17" t="n">
        <x:f>IF('Control Room'!$B$5="Normal",'Control Room'!$B$7,('Control Room'!$B$8+'Control Room'!$D$8)/2)+'Control Room'!$B$9*(BH361-IF('Control Room'!$B$5="Normal",'Control Room'!$B$7,('Control Room'!$B$8+'Control Room'!$D$8)/2))+SQRT(1-'Control Room'!$B$9^2)*(BG362-IF('Control Room'!$B$5="Normal",'Control Room'!$B$7,('Control Room'!$B$8+'Control Room'!$D$8)/2))</x:f>
        <x:v>940.0956031367101</x:v>
      </x:c>
      <x:c r="BI362" s="17" t="n">
        <x:f>IF(AND($A362&gt;='Control Room'!$A$13,$A362&lt;'Control Room'!$A$13+'Control Room'!$B$13,'Process'!BV2=1),1+('Control Room'!$C$13-1)*EXP(-0.5*(($A362-'Control Room'!$A$13-('Control Room'!$B$13-1)/2)/MAX(0.5,'Control Room'!$B$13/4))^2),1)*IF(AND($A362&gt;='Control Room'!$A$14,$A362&lt;'Control Room'!$A$14+'Control Room'!$B$14,'Process'!BV3=1),1+('Control Room'!$C$14-1)*EXP(-0.5*(($A362-'Control Room'!$A$14-('Control Room'!$B$14-1)/2)/MAX(0.5,'Control Room'!$B$14/4))^2),1)*IF(AND($A362&gt;='Control Room'!$A$15,$A362&lt;'Control Room'!$A$15+'Control Room'!$B$15,'Process'!BV4=1),1+('Control Room'!$C$15-1)*EXP(-0.5*(($A362-'Control Room'!$A$15-('Control Room'!$B$15-1)/2)/MAX(0.5,'Control Room'!$B$15/4))^2),1)*IF(AND($A362&gt;='Control Room'!$A$16,$A362&lt;'Control Room'!$A$16+'Control Room'!$B$16,'Process'!BV5=1),1+('Control Room'!$C$16-1)*EXP(-0.5*(($A362-'Control Room'!$A$16-('Control Room'!$B$16-1)/2)/MAX(0.5,'Control Room'!$B$16/4))^2),1)</x:f>
        <x:v>1</x:v>
      </x:c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Z362" t="str">
        <x:f>IF('Data'!A362="","",TEXT('Data'!A362,"mm-dd"))</x:f>
      </x:c>
    </x:row>
    <x:row r="363" ht="21" customHeight="1">
      <x:c r="A363" s="15" t="n">
        <x:f>'Control Room'!$B$1+361</x:f>
        <x:v>73352</x:v>
      </x:c>
      <x:c r="B363" s="9" t="n">
        <x:f>MOD(C362*16807,2147483647)</x:f>
        <x:v>172886171</x:v>
      </x:c>
      <x:c r="C363" s="9" t="n">
        <x:f>MOD(B363*16807,2147483647)</x:f>
        <x:v>152501606</x:v>
      </x:c>
      <x:c r="D363" s="17" t="n">
        <x:f>IF('Control Room'!$B$5="Normal",'Control Room'!$B$7+'Control Room'!$D$7*SQRT(-2*LN(MAX(0.000000000001,B363/2147483647)))*COS(2*PI()*C363/2147483647),'Control Room'!$B$8+('Control Room'!$D$8-'Control Room'!$B$8)*B363/2147483647)</x:f>
        <x:v>1182.2469677837814</x:v>
      </x:c>
      <x:c r="E363" s="17" t="n">
        <x:f>IF('Control Room'!$B$5="Normal",'Control Room'!$B$7,('Control Room'!$B$8+'Control Room'!$D$8)/2)+'Control Room'!$B$9*(E362-IF('Control Room'!$B$5="Normal",'Control Room'!$B$7,('Control Room'!$B$8+'Control Room'!$D$8)/2))+SQRT(1-'Control Room'!$B$9^2)*(D363-IF('Control Room'!$B$5="Normal",'Control Room'!$B$7,('Control Room'!$B$8+'Control Room'!$D$8)/2))</x:f>
        <x:v>1049.9171871407164</x:v>
      </x:c>
      <x:c r="F363" s="17" t="n">
        <x:f>IF(AND($A363&gt;='Control Room'!$A$13,$A363&lt;'Control Room'!$A$13+'Control Room'!$B$13,'Process'!BK2=1),1+('Control Room'!$C$13-1)*EXP(-0.5*(($A363-'Control Room'!$A$13-('Control Room'!$B$13-1)/2)/MAX(0.5,'Control Room'!$B$13/4))^2),1)*IF(AND($A363&gt;='Control Room'!$A$14,$A363&lt;'Control Room'!$A$14+'Control Room'!$B$14,'Process'!BK3=1),1+('Control Room'!$C$14-1)*EXP(-0.5*(($A363-'Control Room'!$A$14-('Control Room'!$B$14-1)/2)/MAX(0.5,'Control Room'!$B$14/4))^2),1)*IF(AND($A363&gt;='Control Room'!$A$15,$A363&lt;'Control Room'!$A$15+'Control Room'!$B$15,'Process'!BK4=1),1+('Control Room'!$C$15-1)*EXP(-0.5*(($A363-'Control Room'!$A$15-('Control Room'!$B$15-1)/2)/MAX(0.5,'Control Room'!$B$15/4))^2),1)*IF(AND($A363&gt;='Control Room'!$A$16,$A363&lt;'Control Room'!$A$16+'Control Room'!$B$16,'Process'!BK5=1),1+('Control Room'!$C$16-1)*EXP(-0.5*(($A363-'Control Room'!$A$16-('Control Room'!$B$16-1)/2)/MAX(0.5,'Control Room'!$B$16/4))^2),1)</x:f>
        <x:v>1</x:v>
      </x:c>
      <x:c r="G363" s="9" t="n">
        <x:f>MOD(H362*16807,2147483647)</x:f>
        <x:v>1307336912</x:v>
      </x:c>
      <x:c r="H363" s="9" t="n">
        <x:f>MOD(G363*16807,2147483647)</x:f>
        <x:v>1506287527</x:v>
      </x:c>
      <x:c r="I363" s="17" t="n">
        <x:f>IF('Control Room'!$B$5="Normal",'Control Room'!$B$7+'Control Room'!$D$7*SQRT(-2*LN(MAX(0.000000000001,G363/2147483647)))*COS(2*PI()*H363/2147483647),'Control Room'!$B$8+('Control Room'!$D$8-'Control Room'!$B$8)*G363/2147483647)</x:f>
        <x:v>973.0532782983609</x:v>
      </x:c>
      <x:c r="J363" s="17" t="n">
        <x:f>IF('Control Room'!$B$5="Normal",'Control Room'!$B$7,('Control Room'!$B$8+'Control Room'!$D$8)/2)+'Control Room'!$B$9*(J362-IF('Control Room'!$B$5="Normal",'Control Room'!$B$7,('Control Room'!$B$8+'Control Room'!$D$8)/2))+SQRT(1-'Control Room'!$B$9^2)*(I363-IF('Control Room'!$B$5="Normal",'Control Room'!$B$7,('Control Room'!$B$8+'Control Room'!$D$8)/2))</x:f>
        <x:v>940.07895435364</x:v>
      </x:c>
      <x:c r="K363" s="17" t="n">
        <x:f>IF(AND($A363&gt;='Control Room'!$A$13,$A363&lt;'Control Room'!$A$13+'Control Room'!$B$13,'Process'!BL2=1),1+('Control Room'!$C$13-1)*EXP(-0.5*(($A363-'Control Room'!$A$13-('Control Room'!$B$13-1)/2)/MAX(0.5,'Control Room'!$B$13/4))^2),1)*IF(AND($A363&gt;='Control Room'!$A$14,$A363&lt;'Control Room'!$A$14+'Control Room'!$B$14,'Process'!BL3=1),1+('Control Room'!$C$14-1)*EXP(-0.5*(($A363-'Control Room'!$A$14-('Control Room'!$B$14-1)/2)/MAX(0.5,'Control Room'!$B$14/4))^2),1)*IF(AND($A363&gt;='Control Room'!$A$15,$A363&lt;'Control Room'!$A$15+'Control Room'!$B$15,'Process'!BL4=1),1+('Control Room'!$C$15-1)*EXP(-0.5*(($A363-'Control Room'!$A$15-('Control Room'!$B$15-1)/2)/MAX(0.5,'Control Room'!$B$15/4))^2),1)*IF(AND($A363&gt;='Control Room'!$A$16,$A363&lt;'Control Room'!$A$16+'Control Room'!$B$16,'Process'!BL5=1),1+('Control Room'!$C$16-1)*EXP(-0.5*(($A363-'Control Room'!$A$16-('Control Room'!$B$16-1)/2)/MAX(0.5,'Control Room'!$B$16/4))^2),1)</x:f>
        <x:v>1</x:v>
      </x:c>
      <x:c r="L363" s="9" t="n">
        <x:f>MOD(M362*16807,2147483647)</x:f>
        <x:v>294304006</x:v>
      </x:c>
      <x:c r="M363" s="9" t="n">
        <x:f>MOD(L363*16807,2147483647)</x:f>
        <x:v>712589801</x:v>
      </x:c>
      <x:c r="N363" s="17" t="n">
        <x:f>IF('Control Room'!$B$5="Normal",'Control Room'!$B$7+'Control Room'!$D$7*SQRT(-2*LN(MAX(0.000000000001,L363/2147483647)))*COS(2*PI()*M363/2147483647),'Control Room'!$B$8+('Control Room'!$D$8-'Control Room'!$B$8)*L363/2147483647)</x:f>
        <x:v>911.7592973812675</x:v>
      </x:c>
      <x:c r="O363" s="17" t="n">
        <x:f>IF('Control Room'!$B$5="Normal",'Control Room'!$B$7,('Control Room'!$B$8+'Control Room'!$D$8)/2)+'Control Room'!$B$9*(O362-IF('Control Room'!$B$5="Normal",'Control Room'!$B$7,('Control Room'!$B$8+'Control Room'!$D$8)/2))+SQRT(1-'Control Room'!$B$9^2)*(N363-IF('Control Room'!$B$5="Normal",'Control Room'!$B$7,('Control Room'!$B$8+'Control Room'!$D$8)/2))</x:f>
        <x:v>879.5556848874672</x:v>
      </x:c>
      <x:c r="P363" s="17" t="n">
        <x:f>IF(AND($A363&gt;='Control Room'!$A$13,$A363&lt;'Control Room'!$A$13+'Control Room'!$B$13,'Process'!BM2=1),1+('Control Room'!$C$13-1)*EXP(-0.5*(($A363-'Control Room'!$A$13-('Control Room'!$B$13-1)/2)/MAX(0.5,'Control Room'!$B$13/4))^2),1)*IF(AND($A363&gt;='Control Room'!$A$14,$A363&lt;'Control Room'!$A$14+'Control Room'!$B$14,'Process'!BM3=1),1+('Control Room'!$C$14-1)*EXP(-0.5*(($A363-'Control Room'!$A$14-('Control Room'!$B$14-1)/2)/MAX(0.5,'Control Room'!$B$14/4))^2),1)*IF(AND($A363&gt;='Control Room'!$A$15,$A363&lt;'Control Room'!$A$15+'Control Room'!$B$15,'Process'!BM4=1),1+('Control Room'!$C$15-1)*EXP(-0.5*(($A363-'Control Room'!$A$15-('Control Room'!$B$15-1)/2)/MAX(0.5,'Control Room'!$B$15/4))^2),1)*IF(AND($A363&gt;='Control Room'!$A$16,$A363&lt;'Control Room'!$A$16+'Control Room'!$B$16,'Process'!BM5=1),1+('Control Room'!$C$16-1)*EXP(-0.5*(($A363-'Control Room'!$A$16-('Control Room'!$B$16-1)/2)/MAX(0.5,'Control Room'!$B$16/4))^2),1)</x:f>
        <x:v>1</x:v>
      </x:c>
      <x:c r="Q363" s="9" t="n">
        <x:f>MOD(R362*16807,2147483647)</x:f>
        <x:v>1428754747</x:v>
      </x:c>
      <x:c r="R363" s="9" t="n">
        <x:f>MOD(Q363*16807,2147483647)</x:f>
        <x:v>2066375722</x:v>
      </x:c>
      <x:c r="S363" s="17" t="n">
        <x:f>IF('Control Room'!$B$5="Normal",'Control Room'!$B$7+'Control Room'!$D$7*SQRT(-2*LN(MAX(0.000000000001,Q363/2147483647)))*COS(2*PI()*R363/2147483647),'Control Room'!$B$8+('Control Room'!$D$8-'Control Room'!$B$8)*Q363/2147483647)</x:f>
        <x:v>1078.9719028364061</x:v>
      </x:c>
      <x:c r="T363" s="17" t="n">
        <x:f>IF('Control Room'!$B$5="Normal",'Control Room'!$B$7,('Control Room'!$B$8+'Control Room'!$D$8)/2)+'Control Room'!$B$9*(T362-IF('Control Room'!$B$5="Normal",'Control Room'!$B$7,('Control Room'!$B$8+'Control Room'!$D$8)/2))+SQRT(1-'Control Room'!$B$9^2)*(S363-IF('Control Room'!$B$5="Normal",'Control Room'!$B$7,('Control Room'!$B$8+'Control Room'!$D$8)/2))</x:f>
        <x:v>1000.0654359283594</x:v>
      </x:c>
      <x:c r="U363" s="17" t="n">
        <x:f>IF(AND($A363&gt;='Control Room'!$A$13,$A363&lt;'Control Room'!$A$13+'Control Room'!$B$13,'Process'!BN2=1),1+('Control Room'!$C$13-1)*EXP(-0.5*(($A363-'Control Room'!$A$13-('Control Room'!$B$13-1)/2)/MAX(0.5,'Control Room'!$B$13/4))^2),1)*IF(AND($A363&gt;='Control Room'!$A$14,$A363&lt;'Control Room'!$A$14+'Control Room'!$B$14,'Process'!BN3=1),1+('Control Room'!$C$14-1)*EXP(-0.5*(($A363-'Control Room'!$A$14-('Control Room'!$B$14-1)/2)/MAX(0.5,'Control Room'!$B$14/4))^2),1)*IF(AND($A363&gt;='Control Room'!$A$15,$A363&lt;'Control Room'!$A$15+'Control Room'!$B$15,'Process'!BN4=1),1+('Control Room'!$C$15-1)*EXP(-0.5*(($A363-'Control Room'!$A$15-('Control Room'!$B$15-1)/2)/MAX(0.5,'Control Room'!$B$15/4))^2),1)*IF(AND($A363&gt;='Control Room'!$A$16,$A363&lt;'Control Room'!$A$16+'Control Room'!$B$16,'Process'!BN5=1),1+('Control Room'!$C$16-1)*EXP(-0.5*(($A363-'Control Room'!$A$16-('Control Room'!$B$16-1)/2)/MAX(0.5,'Control Room'!$B$16/4))^2),1)</x:f>
        <x:v>1</x:v>
      </x:c>
      <x:c r="V363" s="9" t="n">
        <x:f>MOD(W362*16807,2147483647)</x:f>
        <x:v>415721841</x:v>
      </x:c>
      <x:c r="W363" s="9" t="n">
        <x:f>MOD(V363*16807,2147483647)</x:f>
        <x:v>1272677996</x:v>
      </x:c>
      <x:c r="X363" s="17" t="n">
        <x:f>IF('Control Room'!$B$5="Normal",'Control Room'!$B$7+'Control Room'!$D$7*SQRT(-2*LN(MAX(0.000000000001,V363/2147483647)))*COS(2*PI()*W363/2147483647),'Control Room'!$B$8+('Control Room'!$D$8-'Control Room'!$B$8)*V363/2147483647)</x:f>
        <x:v>863.7584990305858</x:v>
      </x:c>
      <x:c r="Y363" s="17" t="n">
        <x:f>IF('Control Room'!$B$5="Normal",'Control Room'!$B$7,('Control Room'!$B$8+'Control Room'!$D$8)/2)+'Control Room'!$B$9*(Y362-IF('Control Room'!$B$5="Normal",'Control Room'!$B$7,('Control Room'!$B$8+'Control Room'!$D$8)/2))+SQRT(1-'Control Room'!$B$9^2)*(X363-IF('Control Room'!$B$5="Normal",'Control Room'!$B$7,('Control Room'!$B$8+'Control Room'!$D$8)/2))</x:f>
        <x:v>1001.7271203010932</x:v>
      </x:c>
      <x:c r="Z363" s="17" t="n">
        <x:f>IF(AND($A363&gt;='Control Room'!$A$13,$A363&lt;'Control Room'!$A$13+'Control Room'!$B$13,'Process'!BO2=1),1+('Control Room'!$C$13-1)*EXP(-0.5*(($A363-'Control Room'!$A$13-('Control Room'!$B$13-1)/2)/MAX(0.5,'Control Room'!$B$13/4))^2),1)*IF(AND($A363&gt;='Control Room'!$A$14,$A363&lt;'Control Room'!$A$14+'Control Room'!$B$14,'Process'!BO3=1),1+('Control Room'!$C$14-1)*EXP(-0.5*(($A363-'Control Room'!$A$14-('Control Room'!$B$14-1)/2)/MAX(0.5,'Control Room'!$B$14/4))^2),1)*IF(AND($A363&gt;='Control Room'!$A$15,$A363&lt;'Control Room'!$A$15+'Control Room'!$B$15,'Process'!BO4=1),1+('Control Room'!$C$15-1)*EXP(-0.5*(($A363-'Control Room'!$A$15-('Control Room'!$B$15-1)/2)/MAX(0.5,'Control Room'!$B$15/4))^2),1)*IF(AND($A363&gt;='Control Room'!$A$16,$A363&lt;'Control Room'!$A$16+'Control Room'!$B$16,'Process'!BO5=1),1+('Control Room'!$C$16-1)*EXP(-0.5*(($A363-'Control Room'!$A$16-('Control Room'!$B$16-1)/2)/MAX(0.5,'Control Room'!$B$16/4))^2),1)</x:f>
        <x:v>1</x:v>
      </x:c>
      <x:c r="AA363" s="9" t="n">
        <x:f>MOD(AB362*16807,2147483647)</x:f>
        <x:v>1550172582</x:v>
      </x:c>
      <x:c r="AB363" s="9" t="n">
        <x:f>MOD(AA363*16807,2147483647)</x:f>
        <x:v>478980270</x:v>
      </x:c>
      <x:c r="AC363" s="17" t="n">
        <x:f>IF('Control Room'!$B$5="Normal",'Control Room'!$B$7+'Control Room'!$D$7*SQRT(-2*LN(MAX(0.000000000001,AA363/2147483647)))*COS(2*PI()*AB363/2147483647),'Control Room'!$B$8+('Control Room'!$D$8-'Control Room'!$B$8)*AA363/2147483647)</x:f>
        <x:v>1012.2489763318318</x:v>
      </x:c>
      <x:c r="AD363" s="17" t="n">
        <x:f>IF('Control Room'!$B$5="Normal",'Control Room'!$B$7,('Control Room'!$B$8+'Control Room'!$D$8)/2)+'Control Room'!$B$9*(AD362-IF('Control Room'!$B$5="Normal",'Control Room'!$B$7,('Control Room'!$B$8+'Control Room'!$D$8)/2))+SQRT(1-'Control Room'!$B$9^2)*(AC363-IF('Control Room'!$B$5="Normal",'Control Room'!$B$7,('Control Room'!$B$8+'Control Room'!$D$8)/2))</x:f>
        <x:v>1011.0467164491721</x:v>
      </x:c>
      <x:c r="AE363" s="17" t="n">
        <x:f>IF(AND($A363&gt;='Control Room'!$A$13,$A363&lt;'Control Room'!$A$13+'Control Room'!$B$13,'Process'!BP2=1),1+('Control Room'!$C$13-1)*EXP(-0.5*(($A363-'Control Room'!$A$13-('Control Room'!$B$13-1)/2)/MAX(0.5,'Control Room'!$B$13/4))^2),1)*IF(AND($A363&gt;='Control Room'!$A$14,$A363&lt;'Control Room'!$A$14+'Control Room'!$B$14,'Process'!BP3=1),1+('Control Room'!$C$14-1)*EXP(-0.5*(($A363-'Control Room'!$A$14-('Control Room'!$B$14-1)/2)/MAX(0.5,'Control Room'!$B$14/4))^2),1)*IF(AND($A363&gt;='Control Room'!$A$15,$A363&lt;'Control Room'!$A$15+'Control Room'!$B$15,'Process'!BP4=1),1+('Control Room'!$C$15-1)*EXP(-0.5*(($A363-'Control Room'!$A$15-('Control Room'!$B$15-1)/2)/MAX(0.5,'Control Room'!$B$15/4))^2),1)*IF(AND($A363&gt;='Control Room'!$A$16,$A363&lt;'Control Room'!$A$16+'Control Room'!$B$16,'Process'!BP5=1),1+('Control Room'!$C$16-1)*EXP(-0.5*(($A363-'Control Room'!$A$16-('Control Room'!$B$16-1)/2)/MAX(0.5,'Control Room'!$B$16/4))^2),1)</x:f>
        <x:v>1</x:v>
      </x:c>
      <x:c r="AF363" s="9" t="n">
        <x:f>MOD(AG362*16807,2147483647)</x:f>
        <x:v>537139676</x:v>
      </x:c>
      <x:c r="AG363" s="9" t="n">
        <x:f>MOD(AF363*16807,2147483647)</x:f>
        <x:v>1832766191</x:v>
      </x:c>
      <x:c r="AH363" s="17" t="n">
        <x:f>IF('Control Room'!$B$5="Normal",'Control Room'!$B$7+'Control Room'!$D$7*SQRT(-2*LN(MAX(0.000000000001,AF363/2147483647)))*COS(2*PI()*AG363/2147483647),'Control Room'!$B$8+('Control Room'!$D$8-'Control Room'!$B$8)*AF363/2147483647)</x:f>
        <x:v>1090.6749238986094</x:v>
      </x:c>
      <x:c r="AI363" s="17" t="n">
        <x:f>IF('Control Room'!$B$5="Normal",'Control Room'!$B$7,('Control Room'!$B$8+'Control Room'!$D$8)/2)+'Control Room'!$B$9*(AI362-IF('Control Room'!$B$5="Normal",'Control Room'!$B$7,('Control Room'!$B$8+'Control Room'!$D$8)/2))+SQRT(1-'Control Room'!$B$9^2)*(AH363-IF('Control Room'!$B$5="Normal",'Control Room'!$B$7,('Control Room'!$B$8+'Control Room'!$D$8)/2))</x:f>
        <x:v>1056.5262924371586</x:v>
      </x:c>
      <x:c r="AJ363" s="17" t="n">
        <x:f>IF(AND($A363&gt;='Control Room'!$A$13,$A363&lt;'Control Room'!$A$13+'Control Room'!$B$13,'Process'!BQ2=1),1+('Control Room'!$C$13-1)*EXP(-0.5*(($A363-'Control Room'!$A$13-('Control Room'!$B$13-1)/2)/MAX(0.5,'Control Room'!$B$13/4))^2),1)*IF(AND($A363&gt;='Control Room'!$A$14,$A363&lt;'Control Room'!$A$14+'Control Room'!$B$14,'Process'!BQ3=1),1+('Control Room'!$C$14-1)*EXP(-0.5*(($A363-'Control Room'!$A$14-('Control Room'!$B$14-1)/2)/MAX(0.5,'Control Room'!$B$14/4))^2),1)*IF(AND($A363&gt;='Control Room'!$A$15,$A363&lt;'Control Room'!$A$15+'Control Room'!$B$15,'Process'!BQ4=1),1+('Control Room'!$C$15-1)*EXP(-0.5*(($A363-'Control Room'!$A$15-('Control Room'!$B$15-1)/2)/MAX(0.5,'Control Room'!$B$15/4))^2),1)*IF(AND($A363&gt;='Control Room'!$A$16,$A363&lt;'Control Room'!$A$16+'Control Room'!$B$16,'Process'!BQ5=1),1+('Control Room'!$C$16-1)*EXP(-0.5*(($A363-'Control Room'!$A$16-('Control Room'!$B$16-1)/2)/MAX(0.5,'Control Room'!$B$16/4))^2),1)</x:f>
        <x:v>1</x:v>
      </x:c>
      <x:c r="AK363" s="9" t="n">
        <x:f>MOD(AL362*16807,2147483647)</x:f>
        <x:v>1671590417</x:v>
      </x:c>
      <x:c r="AL363" s="9" t="n">
        <x:f>MOD(AK363*16807,2147483647)</x:f>
        <x:v>1039068465</x:v>
      </x:c>
      <x:c r="AM363" s="17" t="n">
        <x:f>IF('Control Room'!$B$5="Normal",'Control Room'!$B$7+'Control Room'!$D$7*SQRT(-2*LN(MAX(0.000000000001,AK363/2147483647)))*COS(2*PI()*AL363/2147483647),'Control Room'!$B$8+('Control Room'!$D$8-'Control Room'!$B$8)*AK363/2147483647)</x:f>
        <x:v>936.621624657874</x:v>
      </x:c>
      <x:c r="AN363" s="17" t="n">
        <x:f>IF('Control Room'!$B$5="Normal",'Control Room'!$B$7,('Control Room'!$B$8+'Control Room'!$D$8)/2)+'Control Room'!$B$9*(AN362-IF('Control Room'!$B$5="Normal",'Control Room'!$B$7,('Control Room'!$B$8+'Control Room'!$D$8)/2))+SQRT(1-'Control Room'!$B$9^2)*(AM363-IF('Control Room'!$B$5="Normal",'Control Room'!$B$7,('Control Room'!$B$8+'Control Room'!$D$8)/2))</x:f>
        <x:v>930.6399517262324</x:v>
      </x:c>
      <x:c r="AO363" s="17" t="n">
        <x:f>IF(AND($A363&gt;='Control Room'!$A$13,$A363&lt;'Control Room'!$A$13+'Control Room'!$B$13,'Process'!BR2=1),1+('Control Room'!$C$13-1)*EXP(-0.5*(($A363-'Control Room'!$A$13-('Control Room'!$B$13-1)/2)/MAX(0.5,'Control Room'!$B$13/4))^2),1)*IF(AND($A363&gt;='Control Room'!$A$14,$A363&lt;'Control Room'!$A$14+'Control Room'!$B$14,'Process'!BR3=1),1+('Control Room'!$C$14-1)*EXP(-0.5*(($A363-'Control Room'!$A$14-('Control Room'!$B$14-1)/2)/MAX(0.5,'Control Room'!$B$14/4))^2),1)*IF(AND($A363&gt;='Control Room'!$A$15,$A363&lt;'Control Room'!$A$15+'Control Room'!$B$15,'Process'!BR4=1),1+('Control Room'!$C$15-1)*EXP(-0.5*(($A363-'Control Room'!$A$15-('Control Room'!$B$15-1)/2)/MAX(0.5,'Control Room'!$B$15/4))^2),1)*IF(AND($A363&gt;='Control Room'!$A$16,$A363&lt;'Control Room'!$A$16+'Control Room'!$B$16,'Process'!BR5=1),1+('Control Room'!$C$16-1)*EXP(-0.5*(($A363-'Control Room'!$A$16-('Control Room'!$B$16-1)/2)/MAX(0.5,'Control Room'!$B$16/4))^2),1)</x:f>
        <x:v>1</x:v>
      </x:c>
      <x:c r="AP363" s="9" t="n">
        <x:f>MOD(AQ362*16807,2147483647)</x:f>
        <x:v>658557511</x:v>
      </x:c>
      <x:c r="AQ363" s="9" t="n">
        <x:f>MOD(AP363*16807,2147483647)</x:f>
        <x:v>245370739</x:v>
      </x:c>
      <x:c r="AR363" s="17" t="n">
        <x:f>IF('Control Room'!$B$5="Normal",'Control Room'!$B$7+'Control Room'!$D$7*SQRT(-2*LN(MAX(0.000000000001,AP363/2147483647)))*COS(2*PI()*AQ363/2147483647),'Control Room'!$B$8+('Control Room'!$D$8-'Control Room'!$B$8)*AP363/2147483647)</x:f>
        <x:v>1104.223244773683</x:v>
      </x:c>
      <x:c r="AS363" s="17" t="n">
        <x:f>IF('Control Room'!$B$5="Normal",'Control Room'!$B$7,('Control Room'!$B$8+'Control Room'!$D$8)/2)+'Control Room'!$B$9*(AS362-IF('Control Room'!$B$5="Normal",'Control Room'!$B$7,('Control Room'!$B$8+'Control Room'!$D$8)/2))+SQRT(1-'Control Room'!$B$9^2)*(AR363-IF('Control Room'!$B$5="Normal",'Control Room'!$B$7,('Control Room'!$B$8+'Control Room'!$D$8)/2))</x:f>
        <x:v>1071.1511979736838</x:v>
      </x:c>
      <x:c r="AT363" s="17" t="n">
        <x:f>IF(AND($A363&gt;='Control Room'!$A$13,$A363&lt;'Control Room'!$A$13+'Control Room'!$B$13,'Process'!BS2=1),1+('Control Room'!$C$13-1)*EXP(-0.5*(($A363-'Control Room'!$A$13-('Control Room'!$B$13-1)/2)/MAX(0.5,'Control Room'!$B$13/4))^2),1)*IF(AND($A363&gt;='Control Room'!$A$14,$A363&lt;'Control Room'!$A$14+'Control Room'!$B$14,'Process'!BS3=1),1+('Control Room'!$C$14-1)*EXP(-0.5*(($A363-'Control Room'!$A$14-('Control Room'!$B$14-1)/2)/MAX(0.5,'Control Room'!$B$14/4))^2),1)*IF(AND($A363&gt;='Control Room'!$A$15,$A363&lt;'Control Room'!$A$15+'Control Room'!$B$15,'Process'!BS4=1),1+('Control Room'!$C$15-1)*EXP(-0.5*(($A363-'Control Room'!$A$15-('Control Room'!$B$15-1)/2)/MAX(0.5,'Control Room'!$B$15/4))^2),1)*IF(AND($A363&gt;='Control Room'!$A$16,$A363&lt;'Control Room'!$A$16+'Control Room'!$B$16,'Process'!BS5=1),1+('Control Room'!$C$16-1)*EXP(-0.5*(($A363-'Control Room'!$A$16-('Control Room'!$B$16-1)/2)/MAX(0.5,'Control Room'!$B$16/4))^2),1)</x:f>
        <x:v>1</x:v>
      </x:c>
      <x:c r="AU363" s="9" t="n">
        <x:f>MOD(AV362*16807,2147483647)</x:f>
        <x:v>1793008252</x:v>
      </x:c>
      <x:c r="AV363" s="9" t="n">
        <x:f>MOD(AU363*16807,2147483647)</x:f>
        <x:v>1599156660</x:v>
      </x:c>
      <x:c r="AW363" s="17" t="n">
        <x:f>IF('Control Room'!$B$5="Normal",'Control Room'!$B$7+'Control Room'!$D$7*SQRT(-2*LN(MAX(0.000000000001,AU363/2147483647)))*COS(2*PI()*AV363/2147483647),'Control Room'!$B$8+('Control Room'!$D$8-'Control Room'!$B$8)*AU363/2147483647)</x:f>
        <x:v>998.188315065261</x:v>
      </x:c>
      <x:c r="AX363" s="17" t="n">
        <x:f>IF('Control Room'!$B$5="Normal",'Control Room'!$B$7,('Control Room'!$B$8+'Control Room'!$D$8)/2)+'Control Room'!$B$9*(AX362-IF('Control Room'!$B$5="Normal",'Control Room'!$B$7,('Control Room'!$B$8+'Control Room'!$D$8)/2))+SQRT(1-'Control Room'!$B$9^2)*(AW363-IF('Control Room'!$B$5="Normal",'Control Room'!$B$7,('Control Room'!$B$8+'Control Room'!$D$8)/2))</x:f>
        <x:v>948.261171478773</x:v>
      </x:c>
      <x:c r="AY363" s="17" t="n">
        <x:f>IF(AND($A363&gt;='Control Room'!$A$13,$A363&lt;'Control Room'!$A$13+'Control Room'!$B$13,'Process'!BT2=1),1+('Control Room'!$C$13-1)*EXP(-0.5*(($A363-'Control Room'!$A$13-('Control Room'!$B$13-1)/2)/MAX(0.5,'Control Room'!$B$13/4))^2),1)*IF(AND($A363&gt;='Control Room'!$A$14,$A363&lt;'Control Room'!$A$14+'Control Room'!$B$14,'Process'!BT3=1),1+('Control Room'!$C$14-1)*EXP(-0.5*(($A363-'Control Room'!$A$14-('Control Room'!$B$14-1)/2)/MAX(0.5,'Control Room'!$B$14/4))^2),1)*IF(AND($A363&gt;='Control Room'!$A$15,$A363&lt;'Control Room'!$A$15+'Control Room'!$B$15,'Process'!BT4=1),1+('Control Room'!$C$15-1)*EXP(-0.5*(($A363-'Control Room'!$A$15-('Control Room'!$B$15-1)/2)/MAX(0.5,'Control Room'!$B$15/4))^2),1)*IF(AND($A363&gt;='Control Room'!$A$16,$A363&lt;'Control Room'!$A$16+'Control Room'!$B$16,'Process'!BT5=1),1+('Control Room'!$C$16-1)*EXP(-0.5*(($A363-'Control Room'!$A$16-('Control Room'!$B$16-1)/2)/MAX(0.5,'Control Room'!$B$16/4))^2),1)</x:f>
        <x:v>1</x:v>
      </x:c>
      <x:c r="AZ363" s="9" t="n">
        <x:f>MOD(BA362*16807,2147483647)</x:f>
        <x:v>779975346</x:v>
      </x:c>
      <x:c r="BA363" s="9" t="n">
        <x:f>MOD(AZ363*16807,2147483647)</x:f>
        <x:v>805458934</x:v>
      </x:c>
      <x:c r="BB363" s="17" t="n">
        <x:f>IF('Control Room'!$B$5="Normal",'Control Room'!$B$7+'Control Room'!$D$7*SQRT(-2*LN(MAX(0.000000000001,AZ363/2147483647)))*COS(2*PI()*BA363/2147483647),'Control Room'!$B$8+('Control Room'!$D$8-'Control Room'!$B$8)*AZ363/2147483647)</x:f>
        <x:v>909.3858691841015</x:v>
      </x:c>
      <x:c r="BC363" s="17" t="n">
        <x:f>IF('Control Room'!$B$5="Normal",'Control Room'!$B$7,('Control Room'!$B$8+'Control Room'!$D$8)/2)+'Control Room'!$B$9*(BC362-IF('Control Room'!$B$5="Normal",'Control Room'!$B$7,('Control Room'!$B$8+'Control Room'!$D$8)/2))+SQRT(1-'Control Room'!$B$9^2)*(BB363-IF('Control Room'!$B$5="Normal",'Control Room'!$B$7,('Control Room'!$B$8+'Control Room'!$D$8)/2))</x:f>
        <x:v>1001.7753849644488</x:v>
      </x:c>
      <x:c r="BD363" s="17" t="n">
        <x:f>IF(AND($A363&gt;='Control Room'!$A$13,$A363&lt;'Control Room'!$A$13+'Control Room'!$B$13,'Process'!BU2=1),1+('Control Room'!$C$13-1)*EXP(-0.5*(($A363-'Control Room'!$A$13-('Control Room'!$B$13-1)/2)/MAX(0.5,'Control Room'!$B$13/4))^2),1)*IF(AND($A363&gt;='Control Room'!$A$14,$A363&lt;'Control Room'!$A$14+'Control Room'!$B$14,'Process'!BU3=1),1+('Control Room'!$C$14-1)*EXP(-0.5*(($A363-'Control Room'!$A$14-('Control Room'!$B$14-1)/2)/MAX(0.5,'Control Room'!$B$14/4))^2),1)*IF(AND($A363&gt;='Control Room'!$A$15,$A363&lt;'Control Room'!$A$15+'Control Room'!$B$15,'Process'!BU4=1),1+('Control Room'!$C$15-1)*EXP(-0.5*(($A363-'Control Room'!$A$15-('Control Room'!$B$15-1)/2)/MAX(0.5,'Control Room'!$B$15/4))^2),1)*IF(AND($A363&gt;='Control Room'!$A$16,$A363&lt;'Control Room'!$A$16+'Control Room'!$B$16,'Process'!BU5=1),1+('Control Room'!$C$16-1)*EXP(-0.5*(($A363-'Control Room'!$A$16-('Control Room'!$B$16-1)/2)/MAX(0.5,'Control Room'!$B$16/4))^2),1)</x:f>
        <x:v>1</x:v>
      </x:c>
      <x:c r="BE363" s="9" t="n">
        <x:f>MOD(BF362*16807,2147483647)</x:f>
        <x:v>1914426087</x:v>
      </x:c>
      <x:c r="BF363" s="9" t="n">
        <x:f>MOD(BE363*16807,2147483647)</x:f>
        <x:v>11761208</x:v>
      </x:c>
      <x:c r="BG363" s="17" t="n">
        <x:f>IF('Control Room'!$B$5="Normal",'Control Room'!$B$7+'Control Room'!$D$7*SQRT(-2*LN(MAX(0.000000000001,BE363/2147483647)))*COS(2*PI()*BF363/2147483647),'Control Room'!$B$8+('Control Room'!$D$8-'Control Room'!$B$8)*BE363/2147483647)</x:f>
        <x:v>1043.1142078980668</x:v>
      </x:c>
      <x:c r="BH363" s="17" t="n">
        <x:f>IF('Control Room'!$B$5="Normal",'Control Room'!$B$7,('Control Room'!$B$8+'Control Room'!$D$8)/2)+'Control Room'!$B$9*(BH362-IF('Control Room'!$B$5="Normal",'Control Room'!$B$7,('Control Room'!$B$8+'Control Room'!$D$8)/2))+SQRT(1-'Control Room'!$B$9^2)*(BG363-IF('Control Room'!$B$5="Normal",'Control Room'!$B$7,('Control Room'!$B$8+'Control Room'!$D$8)/2))</x:f>
        <x:v>980.2545585066867</x:v>
      </x:c>
      <x:c r="BI363" s="17" t="n">
        <x:f>IF(AND($A363&gt;='Control Room'!$A$13,$A363&lt;'Control Room'!$A$13+'Control Room'!$B$13,'Process'!BV2=1),1+('Control Room'!$C$13-1)*EXP(-0.5*(($A363-'Control Room'!$A$13-('Control Room'!$B$13-1)/2)/MAX(0.5,'Control Room'!$B$13/4))^2),1)*IF(AND($A363&gt;='Control Room'!$A$14,$A363&lt;'Control Room'!$A$14+'Control Room'!$B$14,'Process'!BV3=1),1+('Control Room'!$C$14-1)*EXP(-0.5*(($A363-'Control Room'!$A$14-('Control Room'!$B$14-1)/2)/MAX(0.5,'Control Room'!$B$14/4))^2),1)*IF(AND($A363&gt;='Control Room'!$A$15,$A363&lt;'Control Room'!$A$15+'Control Room'!$B$15,'Process'!BV4=1),1+('Control Room'!$C$15-1)*EXP(-0.5*(($A363-'Control Room'!$A$15-('Control Room'!$B$15-1)/2)/MAX(0.5,'Control Room'!$B$15/4))^2),1)*IF(AND($A363&gt;='Control Room'!$A$16,$A363&lt;'Control Room'!$A$16+'Control Room'!$B$16,'Process'!BV5=1),1+('Control Room'!$C$16-1)*EXP(-0.5*(($A363-'Control Room'!$A$16-('Control Room'!$B$16-1)/2)/MAX(0.5,'Control Room'!$B$16/4))^2),1)</x:f>
        <x:v>1</x:v>
      </x:c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Z363" t="str">
        <x:f>IF('Data'!A363="","",TEXT('Data'!A363,"mm-dd"))</x:f>
      </x:c>
    </x:row>
    <x:row r="364" ht="21" customHeight="1">
      <x:c r="A364" s="15" t="n">
        <x:f>'Control Room'!$B$1+362</x:f>
        <x:v>73353</x:v>
      </x:c>
      <x:c r="B364" s="9" t="n">
        <x:f>MOD(C363*16807,2147483647)</x:f>
        <x:v>1146501171</x:v>
      </x:c>
      <x:c r="C364" s="9" t="n">
        <x:f>MOD(B364*16807,2147483647)</x:f>
        <x:v>2021900113</x:v>
      </x:c>
      <x:c r="D364" s="17" t="n">
        <x:f>IF('Control Room'!$B$5="Normal",'Control Room'!$B$7+'Control Room'!$D$7*SQRT(-2*LN(MAX(0.000000000001,B364/2147483647)))*COS(2*PI()*C364/2147483647),'Control Room'!$B$8+('Control Room'!$D$8-'Control Room'!$B$8)*B364/2147483647)</x:f>
        <x:v>1094.1003535366276</x:v>
      </x:c>
      <x:c r="E364" s="17" t="n">
        <x:f>IF('Control Room'!$B$5="Normal",'Control Room'!$B$7,('Control Room'!$B$8+'Control Room'!$D$8)/2)+'Control Room'!$B$9*(E363-IF('Control Room'!$B$5="Normal",'Control Room'!$B$7,('Control Room'!$B$8+'Control Room'!$D$8)/2))+SQRT(1-'Control Room'!$B$9^2)*(D364-IF('Control Room'!$B$5="Normal",'Control Room'!$B$7,('Control Room'!$B$8+'Control Room'!$D$8)/2))</x:f>
        <x:v>1097.8214794624555</x:v>
      </x:c>
      <x:c r="F364" s="17" t="n">
        <x:f>IF(AND($A364&gt;='Control Room'!$A$13,$A364&lt;'Control Room'!$A$13+'Control Room'!$B$13,'Process'!BK2=1),1+('Control Room'!$C$13-1)*EXP(-0.5*(($A364-'Control Room'!$A$13-('Control Room'!$B$13-1)/2)/MAX(0.5,'Control Room'!$B$13/4))^2),1)*IF(AND($A364&gt;='Control Room'!$A$14,$A364&lt;'Control Room'!$A$14+'Control Room'!$B$14,'Process'!BK3=1),1+('Control Room'!$C$14-1)*EXP(-0.5*(($A364-'Control Room'!$A$14-('Control Room'!$B$14-1)/2)/MAX(0.5,'Control Room'!$B$14/4))^2),1)*IF(AND($A364&gt;='Control Room'!$A$15,$A364&lt;'Control Room'!$A$15+'Control Room'!$B$15,'Process'!BK4=1),1+('Control Room'!$C$15-1)*EXP(-0.5*(($A364-'Control Room'!$A$15-('Control Room'!$B$15-1)/2)/MAX(0.5,'Control Room'!$B$15/4))^2),1)*IF(AND($A364&gt;='Control Room'!$A$16,$A364&lt;'Control Room'!$A$16+'Control Room'!$B$16,'Process'!BK5=1),1+('Control Room'!$C$16-1)*EXP(-0.5*(($A364-'Control Room'!$A$16-('Control Room'!$B$16-1)/2)/MAX(0.5,'Control Room'!$B$16/4))^2),1)</x:f>
        <x:v>1</x:v>
      </x:c>
      <x:c r="G364" s="9" t="n">
        <x:f>MOD(H363*16807,2147483647)</x:f>
        <x:v>1637235453</x:v>
      </x:c>
      <x:c r="H364" s="9" t="n">
        <x:f>MOD(G364*16807,2147483647)</x:f>
        <x:v>1308289560</x:v>
      </x:c>
      <x:c r="I364" s="17" t="n">
        <x:f>IF('Control Room'!$B$5="Normal",'Control Room'!$B$7+'Control Room'!$D$7*SQRT(-2*LN(MAX(0.000000000001,G364/2147483647)))*COS(2*PI()*H364/2147483647),'Control Room'!$B$8+('Control Room'!$D$8-'Control Room'!$B$8)*G364/2147483647)</x:f>
        <x:v>948.7132605436655</x:v>
      </x:c>
      <x:c r="J364" s="17" t="n">
        <x:f>IF('Control Room'!$B$5="Normal",'Control Room'!$B$7,('Control Room'!$B$8+'Control Room'!$D$8)/2)+'Control Room'!$B$9*(J363-IF('Control Room'!$B$5="Normal",'Control Room'!$B$7,('Control Room'!$B$8+'Control Room'!$D$8)/2))+SQRT(1-'Control Room'!$B$9^2)*(I364-IF('Control Room'!$B$5="Normal",'Control Room'!$B$7,('Control Room'!$B$8+'Control Room'!$D$8)/2))</x:f>
        <x:v>921.1673935100316</x:v>
      </x:c>
      <x:c r="K364" s="17" t="n">
        <x:f>IF(AND($A364&gt;='Control Room'!$A$13,$A364&lt;'Control Room'!$A$13+'Control Room'!$B$13,'Process'!BL2=1),1+('Control Room'!$C$13-1)*EXP(-0.5*(($A364-'Control Room'!$A$13-('Control Room'!$B$13-1)/2)/MAX(0.5,'Control Room'!$B$13/4))^2),1)*IF(AND($A364&gt;='Control Room'!$A$14,$A364&lt;'Control Room'!$A$14+'Control Room'!$B$14,'Process'!BL3=1),1+('Control Room'!$C$14-1)*EXP(-0.5*(($A364-'Control Room'!$A$14-('Control Room'!$B$14-1)/2)/MAX(0.5,'Control Room'!$B$14/4))^2),1)*IF(AND($A364&gt;='Control Room'!$A$15,$A364&lt;'Control Room'!$A$15+'Control Room'!$B$15,'Process'!BL4=1),1+('Control Room'!$C$15-1)*EXP(-0.5*(($A364-'Control Room'!$A$15-('Control Room'!$B$15-1)/2)/MAX(0.5,'Control Room'!$B$15/4))^2),1)*IF(AND($A364&gt;='Control Room'!$A$16,$A364&lt;'Control Room'!$A$16+'Control Room'!$B$16,'Process'!BL5=1),1+('Control Room'!$C$16-1)*EXP(-0.5*(($A364-'Control Room'!$A$16-('Control Room'!$B$16-1)/2)/MAX(0.5,'Control Room'!$B$16/4))^2),1)</x:f>
        <x:v>1</x:v>
      </x:c>
      <x:c r="L364" s="9" t="n">
        <x:f>MOD(M363*16807,2147483647)</x:f>
        <x:v>2127969735</x:v>
      </x:c>
      <x:c r="M364" s="9" t="n">
        <x:f>MOD(L364*16807,2147483647)</x:f>
        <x:v>594679007</x:v>
      </x:c>
      <x:c r="N364" s="17" t="n">
        <x:f>IF('Control Room'!$B$5="Normal",'Control Room'!$B$7+'Control Room'!$D$7*SQRT(-2*LN(MAX(0.000000000001,L364/2147483647)))*COS(2*PI()*M364/2147483647),'Control Room'!$B$8+('Control Room'!$D$8-'Control Room'!$B$8)*L364/2147483647)</x:f>
        <x:v>997.9529845836782</x:v>
      </x:c>
      <x:c r="O364" s="17" t="n">
        <x:f>IF('Control Room'!$B$5="Normal",'Control Room'!$B$7,('Control Room'!$B$8+'Control Room'!$D$8)/2)+'Control Room'!$B$9*(O363-IF('Control Room'!$B$5="Normal",'Control Room'!$B$7,('Control Room'!$B$8+'Control Room'!$D$8)/2))+SQRT(1-'Control Room'!$B$9^2)*(N364-IF('Control Room'!$B$5="Normal",'Control Room'!$B$7,('Control Room'!$B$8+'Control Room'!$D$8)/2))</x:f>
        <x:v>904.7724539000806</x:v>
      </x:c>
      <x:c r="P364" s="17" t="n">
        <x:f>IF(AND($A364&gt;='Control Room'!$A$13,$A364&lt;'Control Room'!$A$13+'Control Room'!$B$13,'Process'!BM2=1),1+('Control Room'!$C$13-1)*EXP(-0.5*(($A364-'Control Room'!$A$13-('Control Room'!$B$13-1)/2)/MAX(0.5,'Control Room'!$B$13/4))^2),1)*IF(AND($A364&gt;='Control Room'!$A$14,$A364&lt;'Control Room'!$A$14+'Control Room'!$B$14,'Process'!BM3=1),1+('Control Room'!$C$14-1)*EXP(-0.5*(($A364-'Control Room'!$A$14-('Control Room'!$B$14-1)/2)/MAX(0.5,'Control Room'!$B$14/4))^2),1)*IF(AND($A364&gt;='Control Room'!$A$15,$A364&lt;'Control Room'!$A$15+'Control Room'!$B$15,'Process'!BM4=1),1+('Control Room'!$C$15-1)*EXP(-0.5*(($A364-'Control Room'!$A$15-('Control Room'!$B$15-1)/2)/MAX(0.5,'Control Room'!$B$15/4))^2),1)*IF(AND($A364&gt;='Control Room'!$A$16,$A364&lt;'Control Room'!$A$16+'Control Room'!$B$16,'Process'!BM5=1),1+('Control Room'!$C$16-1)*EXP(-0.5*(($A364-'Control Room'!$A$16-('Control Room'!$B$16-1)/2)/MAX(0.5,'Control Room'!$B$16/4))^2),1)</x:f>
        <x:v>1</x:v>
      </x:c>
      <x:c r="Q364" s="9" t="n">
        <x:f>MOD(R363*16807,2147483647)</x:f>
        <x:v>471220370</x:v>
      </x:c>
      <x:c r="R364" s="9" t="n">
        <x:f>MOD(Q364*16807,2147483647)</x:f>
        <x:v>2028552101</x:v>
      </x:c>
      <x:c r="S364" s="17" t="n">
        <x:f>IF('Control Room'!$B$5="Normal",'Control Room'!$B$7+'Control Room'!$D$7*SQRT(-2*LN(MAX(0.000000000001,Q364/2147483647)))*COS(2*PI()*R364/2147483647),'Control Room'!$B$8+('Control Room'!$D$8-'Control Room'!$B$8)*Q364/2147483647)</x:f>
        <x:v>1147.3564589271266</x:v>
      </x:c>
      <x:c r="T364" s="17" t="n">
        <x:f>IF('Control Room'!$B$5="Normal",'Control Room'!$B$7,('Control Room'!$B$8+'Control Room'!$D$8)/2)+'Control Room'!$B$9*(T363-IF('Control Room'!$B$5="Normal",'Control Room'!$B$7,('Control Room'!$B$8+'Control Room'!$D$8)/2))+SQRT(1-'Control Room'!$B$9^2)*(S364-IF('Control Room'!$B$5="Normal",'Control Room'!$B$7,('Control Room'!$B$8+'Control Room'!$D$8)/2))</x:f>
        <x:v>1092.2636932595708</x:v>
      </x:c>
      <x:c r="U364" s="17" t="n">
        <x:f>IF(AND($A364&gt;='Control Room'!$A$13,$A364&lt;'Control Room'!$A$13+'Control Room'!$B$13,'Process'!BN2=1),1+('Control Room'!$C$13-1)*EXP(-0.5*(($A364-'Control Room'!$A$13-('Control Room'!$B$13-1)/2)/MAX(0.5,'Control Room'!$B$13/4))^2),1)*IF(AND($A364&gt;='Control Room'!$A$14,$A364&lt;'Control Room'!$A$14+'Control Room'!$B$14,'Process'!BN3=1),1+('Control Room'!$C$14-1)*EXP(-0.5*(($A364-'Control Room'!$A$14-('Control Room'!$B$14-1)/2)/MAX(0.5,'Control Room'!$B$14/4))^2),1)*IF(AND($A364&gt;='Control Room'!$A$15,$A364&lt;'Control Room'!$A$15+'Control Room'!$B$15,'Process'!BN4=1),1+('Control Room'!$C$15-1)*EXP(-0.5*(($A364-'Control Room'!$A$15-('Control Room'!$B$15-1)/2)/MAX(0.5,'Control Room'!$B$15/4))^2),1)*IF(AND($A364&gt;='Control Room'!$A$16,$A364&lt;'Control Room'!$A$16+'Control Room'!$B$16,'Process'!BN5=1),1+('Control Room'!$C$16-1)*EXP(-0.5*(($A364-'Control Room'!$A$16-('Control Room'!$B$16-1)/2)/MAX(0.5,'Control Room'!$B$16/4))^2),1)</x:f>
        <x:v>1</x:v>
      </x:c>
      <x:c r="V364" s="9" t="n">
        <x:f>MOD(W363*16807,2147483647)</x:f>
        <x:v>961954652</x:v>
      </x:c>
      <x:c r="W364" s="9" t="n">
        <x:f>MOD(V364*16807,2147483647)</x:f>
        <x:v>1314941548</x:v>
      </x:c>
      <x:c r="X364" s="17" t="n">
        <x:f>IF('Control Room'!$B$5="Normal",'Control Room'!$B$7+'Control Room'!$D$7*SQRT(-2*LN(MAX(0.000000000001,V364/2147483647)))*COS(2*PI()*W364/2147483647),'Control Room'!$B$8+('Control Room'!$D$8-'Control Room'!$B$8)*V364/2147483647)</x:f>
        <x:v>913.1821882488559</x:v>
      </x:c>
      <x:c r="Y364" s="17" t="n">
        <x:f>IF('Control Room'!$B$5="Normal",'Control Room'!$B$7,('Control Room'!$B$8+'Control Room'!$D$8)/2)+'Control Room'!$B$9*(Y363-IF('Control Room'!$B$5="Normal",'Control Room'!$B$7,('Control Room'!$B$8+'Control Room'!$D$8)/2))+SQRT(1-'Control Room'!$B$9^2)*(X364-IF('Control Room'!$B$5="Normal",'Control Room'!$B$7,('Control Room'!$B$8+'Control Room'!$D$8)/2))</x:f>
        <x:v>947.0183458005338</x:v>
      </x:c>
      <x:c r="Z364" s="17" t="n">
        <x:f>IF(AND($A364&gt;='Control Room'!$A$13,$A364&lt;'Control Room'!$A$13+'Control Room'!$B$13,'Process'!BO2=1),1+('Control Room'!$C$13-1)*EXP(-0.5*(($A364-'Control Room'!$A$13-('Control Room'!$B$13-1)/2)/MAX(0.5,'Control Room'!$B$13/4))^2),1)*IF(AND($A364&gt;='Control Room'!$A$14,$A364&lt;'Control Room'!$A$14+'Control Room'!$B$14,'Process'!BO3=1),1+('Control Room'!$C$14-1)*EXP(-0.5*(($A364-'Control Room'!$A$14-('Control Room'!$B$14-1)/2)/MAX(0.5,'Control Room'!$B$14/4))^2),1)*IF(AND($A364&gt;='Control Room'!$A$15,$A364&lt;'Control Room'!$A$15+'Control Room'!$B$15,'Process'!BO4=1),1+('Control Room'!$C$15-1)*EXP(-0.5*(($A364-'Control Room'!$A$15-('Control Room'!$B$15-1)/2)/MAX(0.5,'Control Room'!$B$15/4))^2),1)*IF(AND($A364&gt;='Control Room'!$A$16,$A364&lt;'Control Room'!$A$16+'Control Room'!$B$16,'Process'!BO5=1),1+('Control Room'!$C$16-1)*EXP(-0.5*(($A364-'Control Room'!$A$16-('Control Room'!$B$16-1)/2)/MAX(0.5,'Control Room'!$B$16/4))^2),1)</x:f>
        <x:v>1</x:v>
      </x:c>
      <x:c r="AA364" s="9" t="n">
        <x:f>MOD(AB363*16807,2147483647)</x:f>
        <x:v>1452688934</x:v>
      </x:c>
      <x:c r="AB364" s="9" t="n">
        <x:f>MOD(AA364*16807,2147483647)</x:f>
        <x:v>601330995</x:v>
      </x:c>
      <x:c r="AC364" s="17" t="n">
        <x:f>IF('Control Room'!$B$5="Normal",'Control Room'!$B$7+'Control Room'!$D$7*SQRT(-2*LN(MAX(0.000000000001,AA364/2147483647)))*COS(2*PI()*AB364/2147483647),'Control Room'!$B$8+('Control Room'!$D$8-'Control Room'!$B$8)*AA364/2147483647)</x:f>
        <x:v>985.0808982311362</x:v>
      </x:c>
      <x:c r="AD364" s="17" t="n">
        <x:f>IF('Control Room'!$B$5="Normal",'Control Room'!$B$7,('Control Room'!$B$8+'Control Room'!$D$8)/2)+'Control Room'!$B$9*(AD363-IF('Control Room'!$B$5="Normal",'Control Room'!$B$7,('Control Room'!$B$8+'Control Room'!$D$8)/2))+SQRT(1-'Control Room'!$B$9^2)*(AC364-IF('Control Room'!$B$5="Normal",'Control Room'!$B$7,('Control Room'!$B$8+'Control Room'!$D$8)/2))</x:f>
        <x:v>999.2803705778117</x:v>
      </x:c>
      <x:c r="AE364" s="17" t="n">
        <x:f>IF(AND($A364&gt;='Control Room'!$A$13,$A364&lt;'Control Room'!$A$13+'Control Room'!$B$13,'Process'!BP2=1),1+('Control Room'!$C$13-1)*EXP(-0.5*(($A364-'Control Room'!$A$13-('Control Room'!$B$13-1)/2)/MAX(0.5,'Control Room'!$B$13/4))^2),1)*IF(AND($A364&gt;='Control Room'!$A$14,$A364&lt;'Control Room'!$A$14+'Control Room'!$B$14,'Process'!BP3=1),1+('Control Room'!$C$14-1)*EXP(-0.5*(($A364-'Control Room'!$A$14-('Control Room'!$B$14-1)/2)/MAX(0.5,'Control Room'!$B$14/4))^2),1)*IF(AND($A364&gt;='Control Room'!$A$15,$A364&lt;'Control Room'!$A$15+'Control Room'!$B$15,'Process'!BP4=1),1+('Control Room'!$C$15-1)*EXP(-0.5*(($A364-'Control Room'!$A$15-('Control Room'!$B$15-1)/2)/MAX(0.5,'Control Room'!$B$15/4))^2),1)*IF(AND($A364&gt;='Control Room'!$A$16,$A364&lt;'Control Room'!$A$16+'Control Room'!$B$16,'Process'!BP5=1),1+('Control Room'!$C$16-1)*EXP(-0.5*(($A364-'Control Room'!$A$16-('Control Room'!$B$16-1)/2)/MAX(0.5,'Control Room'!$B$16/4))^2),1)</x:f>
        <x:v>1</x:v>
      </x:c>
      <x:c r="AF364" s="9" t="n">
        <x:f>MOD(AG363*16807,2147483647)</x:f>
        <x:v>1943423216</x:v>
      </x:c>
      <x:c r="AG364" s="9" t="n">
        <x:f>MOD(AF364*16807,2147483647)</x:f>
        <x:v>2035204089</x:v>
      </x:c>
      <x:c r="AH364" s="17" t="n">
        <x:f>IF('Control Room'!$B$5="Normal",'Control Room'!$B$7+'Control Room'!$D$7*SQRT(-2*LN(MAX(0.000000000001,AF364/2147483647)))*COS(2*PI()*AG364/2147483647),'Control Room'!$B$8+('Control Room'!$D$8-'Control Room'!$B$8)*AF364/2147483647)</x:f>
        <x:v>1038.0674557093093</x:v>
      </x:c>
      <x:c r="AI364" s="17" t="n">
        <x:f>IF('Control Room'!$B$5="Normal",'Control Room'!$B$7,('Control Room'!$B$8+'Control Room'!$D$8)/2)+'Control Room'!$B$9*(AI363-IF('Control Room'!$B$5="Normal",'Control Room'!$B$7,('Control Room'!$B$8+'Control Room'!$D$8)/2))+SQRT(1-'Control Room'!$B$9^2)*(AH364-IF('Control Room'!$B$5="Normal",'Control Room'!$B$7,('Control Room'!$B$8+'Control Room'!$D$8)/2))</x:f>
        <x:v>1067.9123420296505</x:v>
      </x:c>
      <x:c r="AJ364" s="17" t="n">
        <x:f>IF(AND($A364&gt;='Control Room'!$A$13,$A364&lt;'Control Room'!$A$13+'Control Room'!$B$13,'Process'!BQ2=1),1+('Control Room'!$C$13-1)*EXP(-0.5*(($A364-'Control Room'!$A$13-('Control Room'!$B$13-1)/2)/MAX(0.5,'Control Room'!$B$13/4))^2),1)*IF(AND($A364&gt;='Control Room'!$A$14,$A364&lt;'Control Room'!$A$14+'Control Room'!$B$14,'Process'!BQ3=1),1+('Control Room'!$C$14-1)*EXP(-0.5*(($A364-'Control Room'!$A$14-('Control Room'!$B$14-1)/2)/MAX(0.5,'Control Room'!$B$14/4))^2),1)*IF(AND($A364&gt;='Control Room'!$A$15,$A364&lt;'Control Room'!$A$15+'Control Room'!$B$15,'Process'!BQ4=1),1+('Control Room'!$C$15-1)*EXP(-0.5*(($A364-'Control Room'!$A$15-('Control Room'!$B$15-1)/2)/MAX(0.5,'Control Room'!$B$15/4))^2),1)*IF(AND($A364&gt;='Control Room'!$A$16,$A364&lt;'Control Room'!$A$16+'Control Room'!$B$16,'Process'!BQ5=1),1+('Control Room'!$C$16-1)*EXP(-0.5*(($A364-'Control Room'!$A$16-('Control Room'!$B$16-1)/2)/MAX(0.5,'Control Room'!$B$16/4))^2),1)</x:f>
        <x:v>1</x:v>
      </x:c>
      <x:c r="AK364" s="9" t="n">
        <x:f>MOD(AL363*16807,2147483647)</x:f>
        <x:v>286673851</x:v>
      </x:c>
      <x:c r="AL364" s="9" t="n">
        <x:f>MOD(AK364*16807,2147483647)</x:f>
        <x:v>1321593536</x:v>
      </x:c>
      <x:c r="AM364" s="17" t="n">
        <x:f>IF('Control Room'!$B$5="Normal",'Control Room'!$B$7+'Control Room'!$D$7*SQRT(-2*LN(MAX(0.000000000001,AK364/2147483647)))*COS(2*PI()*AL364/2147483647),'Control Room'!$B$8+('Control Room'!$D$8-'Control Room'!$B$8)*AK364/2147483647)</x:f>
        <x:v>864.8299937705056</x:v>
      </x:c>
      <x:c r="AN364" s="17" t="n">
        <x:f>IF('Control Room'!$B$5="Normal",'Control Room'!$B$7,('Control Room'!$B$8+'Control Room'!$D$8)/2)+'Control Room'!$B$9*(AN363-IF('Control Room'!$B$5="Normal",'Control Room'!$B$7,('Control Room'!$B$8+'Control Room'!$D$8)/2))+SQRT(1-'Control Room'!$B$9^2)*(AM364-IF('Control Room'!$B$5="Normal",'Control Room'!$B$7,('Control Room'!$B$8+'Control Room'!$D$8)/2))</x:f>
        <x:v>861.3125415561357</x:v>
      </x:c>
      <x:c r="AO364" s="17" t="n">
        <x:f>IF(AND($A364&gt;='Control Room'!$A$13,$A364&lt;'Control Room'!$A$13+'Control Room'!$B$13,'Process'!BR2=1),1+('Control Room'!$C$13-1)*EXP(-0.5*(($A364-'Control Room'!$A$13-('Control Room'!$B$13-1)/2)/MAX(0.5,'Control Room'!$B$13/4))^2),1)*IF(AND($A364&gt;='Control Room'!$A$14,$A364&lt;'Control Room'!$A$14+'Control Room'!$B$14,'Process'!BR3=1),1+('Control Room'!$C$14-1)*EXP(-0.5*(($A364-'Control Room'!$A$14-('Control Room'!$B$14-1)/2)/MAX(0.5,'Control Room'!$B$14/4))^2),1)*IF(AND($A364&gt;='Control Room'!$A$15,$A364&lt;'Control Room'!$A$15+'Control Room'!$B$15,'Process'!BR4=1),1+('Control Room'!$C$15-1)*EXP(-0.5*(($A364-'Control Room'!$A$15-('Control Room'!$B$15-1)/2)/MAX(0.5,'Control Room'!$B$15/4))^2),1)*IF(AND($A364&gt;='Control Room'!$A$16,$A364&lt;'Control Room'!$A$16+'Control Room'!$B$16,'Process'!BR5=1),1+('Control Room'!$C$16-1)*EXP(-0.5*(($A364-'Control Room'!$A$16-('Control Room'!$B$16-1)/2)/MAX(0.5,'Control Room'!$B$16/4))^2),1)</x:f>
        <x:v>1</x:v>
      </x:c>
      <x:c r="AP364" s="9" t="n">
        <x:f>MOD(AQ363*16807,2147483647)</x:f>
        <x:v>777408133</x:v>
      </x:c>
      <x:c r="AQ364" s="9" t="n">
        <x:f>MOD(AP364*16807,2147483647)</x:f>
        <x:v>607982983</x:v>
      </x:c>
      <x:c r="AR364" s="17" t="n">
        <x:f>IF('Control Room'!$B$5="Normal",'Control Room'!$B$7+'Control Room'!$D$7*SQRT(-2*LN(MAX(0.000000000001,AP364/2147483647)))*COS(2*PI()*AQ364/2147483647),'Control Room'!$B$8+('Control Room'!$D$8-'Control Room'!$B$8)*AP364/2147483647)</x:f>
        <x:v>973.4980256237416</x:v>
      </x:c>
      <x:c r="AS364" s="17" t="n">
        <x:f>IF('Control Room'!$B$5="Normal",'Control Room'!$B$7,('Control Room'!$B$8+'Control Room'!$D$8)/2)+'Control Room'!$B$9*(AS363-IF('Control Room'!$B$5="Normal",'Control Room'!$B$7,('Control Room'!$B$8+'Control Room'!$D$8)/2))+SQRT(1-'Control Room'!$B$9^2)*(AR364-IF('Control Room'!$B$5="Normal",'Control Room'!$B$7,('Control Room'!$B$8+'Control Room'!$D$8)/2))</x:f>
        <x:v>1038.9135417772663</x:v>
      </x:c>
      <x:c r="AT364" s="17" t="n">
        <x:f>IF(AND($A364&gt;='Control Room'!$A$13,$A364&lt;'Control Room'!$A$13+'Control Room'!$B$13,'Process'!BS2=1),1+('Control Room'!$C$13-1)*EXP(-0.5*(($A364-'Control Room'!$A$13-('Control Room'!$B$13-1)/2)/MAX(0.5,'Control Room'!$B$13/4))^2),1)*IF(AND($A364&gt;='Control Room'!$A$14,$A364&lt;'Control Room'!$A$14+'Control Room'!$B$14,'Process'!BS3=1),1+('Control Room'!$C$14-1)*EXP(-0.5*(($A364-'Control Room'!$A$14-('Control Room'!$B$14-1)/2)/MAX(0.5,'Control Room'!$B$14/4))^2),1)*IF(AND($A364&gt;='Control Room'!$A$15,$A364&lt;'Control Room'!$A$15+'Control Room'!$B$15,'Process'!BS4=1),1+('Control Room'!$C$15-1)*EXP(-0.5*(($A364-'Control Room'!$A$15-('Control Room'!$B$15-1)/2)/MAX(0.5,'Control Room'!$B$15/4))^2),1)*IF(AND($A364&gt;='Control Room'!$A$16,$A364&lt;'Control Room'!$A$16+'Control Room'!$B$16,'Process'!BS5=1),1+('Control Room'!$C$16-1)*EXP(-0.5*(($A364-'Control Room'!$A$16-('Control Room'!$B$16-1)/2)/MAX(0.5,'Control Room'!$B$16/4))^2),1)</x:f>
        <x:v>1</x:v>
      </x:c>
      <x:c r="AU364" s="9" t="n">
        <x:f>MOD(AV363*16807,2147483647)</x:f>
        <x:v>1268142415</x:v>
      </x:c>
      <x:c r="AV364" s="9" t="n">
        <x:f>MOD(AU364*16807,2147483647)</x:f>
        <x:v>2041856077</x:v>
      </x:c>
      <x:c r="AW364" s="17" t="n">
        <x:f>IF('Control Room'!$B$5="Normal",'Control Room'!$B$7+'Control Room'!$D$7*SQRT(-2*LN(MAX(0.000000000001,AU364/2147483647)))*COS(2*PI()*AV364/2147483647),'Control Room'!$B$8+('Control Room'!$D$8-'Control Room'!$B$8)*AU364/2147483647)</x:f>
        <x:v>1087.9991183539544</x:v>
      </x:c>
      <x:c r="AX364" s="17" t="n">
        <x:f>IF('Control Room'!$B$5="Normal",'Control Room'!$B$7,('Control Room'!$B$8+'Control Room'!$D$8)/2)+'Control Room'!$B$9*(AX363-IF('Control Room'!$B$5="Normal",'Control Room'!$B$7,('Control Room'!$B$8+'Control Room'!$D$8)/2))+SQRT(1-'Control Room'!$B$9^2)*(AW364-IF('Control Room'!$B$5="Normal",'Control Room'!$B$7,('Control Room'!$B$8+'Control Room'!$D$8)/2))</x:f>
        <x:v>1014.7117592594194</x:v>
      </x:c>
      <x:c r="AY364" s="17" t="n">
        <x:f>IF(AND($A364&gt;='Control Room'!$A$13,$A364&lt;'Control Room'!$A$13+'Control Room'!$B$13,'Process'!BT2=1),1+('Control Room'!$C$13-1)*EXP(-0.5*(($A364-'Control Room'!$A$13-('Control Room'!$B$13-1)/2)/MAX(0.5,'Control Room'!$B$13/4))^2),1)*IF(AND($A364&gt;='Control Room'!$A$14,$A364&lt;'Control Room'!$A$14+'Control Room'!$B$14,'Process'!BT3=1),1+('Control Room'!$C$14-1)*EXP(-0.5*(($A364-'Control Room'!$A$14-('Control Room'!$B$14-1)/2)/MAX(0.5,'Control Room'!$B$14/4))^2),1)*IF(AND($A364&gt;='Control Room'!$A$15,$A364&lt;'Control Room'!$A$15+'Control Room'!$B$15,'Process'!BT4=1),1+('Control Room'!$C$15-1)*EXP(-0.5*(($A364-'Control Room'!$A$15-('Control Room'!$B$15-1)/2)/MAX(0.5,'Control Room'!$B$15/4))^2),1)*IF(AND($A364&gt;='Control Room'!$A$16,$A364&lt;'Control Room'!$A$16+'Control Room'!$B$16,'Process'!BT5=1),1+('Control Room'!$C$16-1)*EXP(-0.5*(($A364-'Control Room'!$A$16-('Control Room'!$B$16-1)/2)/MAX(0.5,'Control Room'!$B$16/4))^2),1)</x:f>
        <x:v>1</x:v>
      </x:c>
      <x:c r="AZ364" s="9" t="n">
        <x:f>MOD(BA363*16807,2147483647)</x:f>
        <x:v>1758876697</x:v>
      </x:c>
      <x:c r="BA364" s="9" t="n">
        <x:f>MOD(AZ364*16807,2147483647)</x:f>
        <x:v>1328245524</x:v>
      </x:c>
      <x:c r="BB364" s="17" t="n">
        <x:f>IF('Control Room'!$B$5="Normal",'Control Room'!$B$7+'Control Room'!$D$7*SQRT(-2*LN(MAX(0.000000000001,AZ364/2147483647)))*COS(2*PI()*BA364/2147483647),'Control Room'!$B$8+('Control Room'!$D$8-'Control Room'!$B$8)*AZ364/2147483647)</x:f>
        <x:v>958.183659750961</x:v>
      </x:c>
      <x:c r="BC364" s="17" t="n">
        <x:f>IF('Control Room'!$B$5="Normal",'Control Room'!$B$7,('Control Room'!$B$8+'Control Room'!$D$8)/2)+'Control Room'!$B$9*(BC363-IF('Control Room'!$B$5="Normal",'Control Room'!$B$7,('Control Room'!$B$8+'Control Room'!$D$8)/2))+SQRT(1-'Control Room'!$B$9^2)*(BB364-IF('Control Room'!$B$5="Normal",'Control Room'!$B$7,('Control Room'!$B$8+'Control Room'!$D$8)/2))</x:f>
        <x:v>975.2169911987147</x:v>
      </x:c>
      <x:c r="BD364" s="17" t="n">
        <x:f>IF(AND($A364&gt;='Control Room'!$A$13,$A364&lt;'Control Room'!$A$13+'Control Room'!$B$13,'Process'!BU2=1),1+('Control Room'!$C$13-1)*EXP(-0.5*(($A364-'Control Room'!$A$13-('Control Room'!$B$13-1)/2)/MAX(0.5,'Control Room'!$B$13/4))^2),1)*IF(AND($A364&gt;='Control Room'!$A$14,$A364&lt;'Control Room'!$A$14+'Control Room'!$B$14,'Process'!BU3=1),1+('Control Room'!$C$14-1)*EXP(-0.5*(($A364-'Control Room'!$A$14-('Control Room'!$B$14-1)/2)/MAX(0.5,'Control Room'!$B$14/4))^2),1)*IF(AND($A364&gt;='Control Room'!$A$15,$A364&lt;'Control Room'!$A$15+'Control Room'!$B$15,'Process'!BU4=1),1+('Control Room'!$C$15-1)*EXP(-0.5*(($A364-'Control Room'!$A$15-('Control Room'!$B$15-1)/2)/MAX(0.5,'Control Room'!$B$15/4))^2),1)*IF(AND($A364&gt;='Control Room'!$A$16,$A364&lt;'Control Room'!$A$16+'Control Room'!$B$16,'Process'!BU5=1),1+('Control Room'!$C$16-1)*EXP(-0.5*(($A364-'Control Room'!$A$16-('Control Room'!$B$16-1)/2)/MAX(0.5,'Control Room'!$B$16/4))^2),1)</x:f>
        <x:v>1</x:v>
      </x:c>
      <x:c r="BE364" s="9" t="n">
        <x:f>MOD(BF363*16807,2147483647)</x:f>
        <x:v>102127332</x:v>
      </x:c>
      <x:c r="BF364" s="9" t="n">
        <x:f>MOD(BE364*16807,2147483647)</x:f>
        <x:v>614634971</x:v>
      </x:c>
      <x:c r="BG364" s="17" t="n">
        <x:f>IF('Control Room'!$B$5="Normal",'Control Room'!$B$7+'Control Room'!$D$7*SQRT(-2*LN(MAX(0.000000000001,BE364/2147483647)))*COS(2*PI()*BF364/2147483647),'Control Room'!$B$8+('Control Room'!$D$8-'Control Room'!$B$8)*BE364/2147483647)</x:f>
        <x:v>949.8944503140609</x:v>
      </x:c>
      <x:c r="BH364" s="17" t="n">
        <x:f>IF('Control Room'!$B$5="Normal",'Control Room'!$B$7,('Control Room'!$B$8+'Control Room'!$D$8)/2)+'Control Room'!$B$9*(BH363-IF('Control Room'!$B$5="Normal",'Control Room'!$B$7,('Control Room'!$B$8+'Control Room'!$D$8)/2))+SQRT(1-'Control Room'!$B$9^2)*(BG364-IF('Control Room'!$B$5="Normal",'Control Room'!$B$7,('Control Room'!$B$8+'Control Room'!$D$8)/2))</x:f>
        <x:v>953.2435291097338</x:v>
      </x:c>
      <x:c r="BI364" s="17" t="n">
        <x:f>IF(AND($A364&gt;='Control Room'!$A$13,$A364&lt;'Control Room'!$A$13+'Control Room'!$B$13,'Process'!BV2=1),1+('Control Room'!$C$13-1)*EXP(-0.5*(($A364-'Control Room'!$A$13-('Control Room'!$B$13-1)/2)/MAX(0.5,'Control Room'!$B$13/4))^2),1)*IF(AND($A364&gt;='Control Room'!$A$14,$A364&lt;'Control Room'!$A$14+'Control Room'!$B$14,'Process'!BV3=1),1+('Control Room'!$C$14-1)*EXP(-0.5*(($A364-'Control Room'!$A$14-('Control Room'!$B$14-1)/2)/MAX(0.5,'Control Room'!$B$14/4))^2),1)*IF(AND($A364&gt;='Control Room'!$A$15,$A364&lt;'Control Room'!$A$15+'Control Room'!$B$15,'Process'!BV4=1),1+('Control Room'!$C$15-1)*EXP(-0.5*(($A364-'Control Room'!$A$15-('Control Room'!$B$15-1)/2)/MAX(0.5,'Control Room'!$B$15/4))^2),1)*IF(AND($A364&gt;='Control Room'!$A$16,$A364&lt;'Control Room'!$A$16+'Control Room'!$B$16,'Process'!BV5=1),1+('Control Room'!$C$16-1)*EXP(-0.5*(($A364-'Control Room'!$A$16-('Control Room'!$B$16-1)/2)/MAX(0.5,'Control Room'!$B$16/4))^2),1)</x:f>
        <x:v>1</x:v>
      </x:c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Z364" t="str">
        <x:f>IF('Data'!A364="","",TEXT('Data'!A364,"mm-dd"))</x:f>
      </x:c>
    </x:row>
    <x:row r="365" ht="21" customHeight="1">
      <x:c r="A365" s="15" t="n">
        <x:f>'Control Room'!$B$1+363</x:f>
        <x:v>73354</x:v>
      </x:c>
      <x:c r="B365" s="9" t="n">
        <x:f>MOD(C364*16807,2147483647)</x:f>
        <x:v>293969063</x:v>
      </x:c>
      <x:c r="C365" s="9" t="n">
        <x:f>MOD(B365*16807,2147483647)</x:f>
        <x:v>1525653741</x:v>
      </x:c>
      <x:c r="D365" s="17" t="n">
        <x:f>IF('Control Room'!$B$5="Normal",'Control Room'!$B$7+'Control Room'!$D$7*SQRT(-2*LN(MAX(0.000000000001,B365/2147483647)))*COS(2*PI()*C365/2147483647),'Control Room'!$B$8+('Control Room'!$D$8-'Control Room'!$B$8)*B365/2147483647)</x:f>
        <x:v>955.8423074958614</x:v>
      </x:c>
      <x:c r="E365" s="17" t="n">
        <x:f>IF('Control Room'!$B$5="Normal",'Control Room'!$B$7,('Control Room'!$B$8+'Control Room'!$D$8)/2)+'Control Room'!$B$9*(E364-IF('Control Room'!$B$5="Normal",'Control Room'!$B$7,('Control Room'!$B$8+'Control Room'!$D$8)/2))+SQRT(1-'Control Room'!$B$9^2)*(D365-IF('Control Room'!$B$5="Normal",'Control Room'!$B$7,('Control Room'!$B$8+'Control Room'!$D$8)/2))</x:f>
        <x:v>1048.6677746311268</x:v>
      </x:c>
      <x:c r="F365" s="17" t="n">
        <x:f>IF(AND($A365&gt;='Control Room'!$A$13,$A365&lt;'Control Room'!$A$13+'Control Room'!$B$13,'Process'!BK2=1),1+('Control Room'!$C$13-1)*EXP(-0.5*(($A365-'Control Room'!$A$13-('Control Room'!$B$13-1)/2)/MAX(0.5,'Control Room'!$B$13/4))^2),1)*IF(AND($A365&gt;='Control Room'!$A$14,$A365&lt;'Control Room'!$A$14+'Control Room'!$B$14,'Process'!BK3=1),1+('Control Room'!$C$14-1)*EXP(-0.5*(($A365-'Control Room'!$A$14-('Control Room'!$B$14-1)/2)/MAX(0.5,'Control Room'!$B$14/4))^2),1)*IF(AND($A365&gt;='Control Room'!$A$15,$A365&lt;'Control Room'!$A$15+'Control Room'!$B$15,'Process'!BK4=1),1+('Control Room'!$C$15-1)*EXP(-0.5*(($A365-'Control Room'!$A$15-('Control Room'!$B$15-1)/2)/MAX(0.5,'Control Room'!$B$15/4))^2),1)*IF(AND($A365&gt;='Control Room'!$A$16,$A365&lt;'Control Room'!$A$16+'Control Room'!$B$16,'Process'!BK5=1),1+('Control Room'!$C$16-1)*EXP(-0.5*(($A365-'Control Room'!$A$16-('Control Room'!$B$16-1)/2)/MAX(0.5,'Control Room'!$B$16/4))^2),1)</x:f>
        <x:v>1</x:v>
      </x:c>
      <x:c r="G365" s="9" t="n">
        <x:f>MOD(H364*16807,2147483647)</x:f>
        <x:v>337573287</x:v>
      </x:c>
      <x:c r="H365" s="9" t="n">
        <x:f>MOD(G365*16807,2147483647)</x:f>
        <x:v>2089922882</x:v>
      </x:c>
      <x:c r="I365" s="17" t="n">
        <x:f>IF('Control Room'!$B$5="Normal",'Control Room'!$B$7+'Control Room'!$D$7*SQRT(-2*LN(MAX(0.000000000001,G365/2147483647)))*COS(2*PI()*H365/2147483647),'Control Room'!$B$8+('Control Room'!$D$8-'Control Room'!$B$8)*G365/2147483647)</x:f>
        <x:v>1170.68159545224</x:v>
      </x:c>
      <x:c r="J365" s="17" t="n">
        <x:f>IF('Control Room'!$B$5="Normal",'Control Room'!$B$7,('Control Room'!$B$8+'Control Room'!$D$8)/2)+'Control Room'!$B$9*(J364-IF('Control Room'!$B$5="Normal",'Control Room'!$B$7,('Control Room'!$B$8+'Control Room'!$D$8)/2))+SQRT(1-'Control Room'!$B$9^2)*(I365-IF('Control Room'!$B$5="Normal",'Control Room'!$B$7,('Control Room'!$B$8+'Control Room'!$D$8)/2))</x:f>
        <x:v>1045.3196127692963</x:v>
      </x:c>
      <x:c r="K365" s="17" t="n">
        <x:f>IF(AND($A365&gt;='Control Room'!$A$13,$A365&lt;'Control Room'!$A$13+'Control Room'!$B$13,'Process'!BL2=1),1+('Control Room'!$C$13-1)*EXP(-0.5*(($A365-'Control Room'!$A$13-('Control Room'!$B$13-1)/2)/MAX(0.5,'Control Room'!$B$13/4))^2),1)*IF(AND($A365&gt;='Control Room'!$A$14,$A365&lt;'Control Room'!$A$14+'Control Room'!$B$14,'Process'!BL3=1),1+('Control Room'!$C$14-1)*EXP(-0.5*(($A365-'Control Room'!$A$14-('Control Room'!$B$14-1)/2)/MAX(0.5,'Control Room'!$B$14/4))^2),1)*IF(AND($A365&gt;='Control Room'!$A$15,$A365&lt;'Control Room'!$A$15+'Control Room'!$B$15,'Process'!BL4=1),1+('Control Room'!$C$15-1)*EXP(-0.5*(($A365-'Control Room'!$A$15-('Control Room'!$B$15-1)/2)/MAX(0.5,'Control Room'!$B$15/4))^2),1)*IF(AND($A365&gt;='Control Room'!$A$16,$A365&lt;'Control Room'!$A$16+'Control Room'!$B$16,'Process'!BL5=1),1+('Control Room'!$C$16-1)*EXP(-0.5*(($A365-'Control Room'!$A$16-('Control Room'!$B$16-1)/2)/MAX(0.5,'Control Room'!$B$16/4))^2),1)</x:f>
        <x:v>1</x:v>
      </x:c>
      <x:c r="L365" s="9" t="n">
        <x:f>MOD(M364*16807,2147483647)</x:f>
        <x:v>381177511</x:v>
      </x:c>
      <x:c r="M365" s="9" t="n">
        <x:f>MOD(L365*16807,2147483647)</x:f>
        <x:v>506708376</x:v>
      </x:c>
      <x:c r="N365" s="17" t="n">
        <x:f>IF('Control Room'!$B$5="Normal",'Control Room'!$B$7+'Control Room'!$D$7*SQRT(-2*LN(MAX(0.000000000001,L365/2147483647)))*COS(2*PI()*M365/2147483647),'Control Room'!$B$8+('Control Room'!$D$8-'Control Room'!$B$8)*L365/2147483647)</x:f>
        <x:v>1014.7496669362802</x:v>
      </x:c>
      <x:c r="O365" s="17" t="n">
        <x:f>IF('Control Room'!$B$5="Normal",'Control Room'!$B$7,('Control Room'!$B$8+'Control Room'!$D$8)/2)+'Control Room'!$B$9*(O364-IF('Control Room'!$B$5="Normal",'Control Room'!$B$7,('Control Room'!$B$8+'Control Room'!$D$8)/2))+SQRT(1-'Control Room'!$B$9^2)*(N365-IF('Control Room'!$B$5="Normal",'Control Room'!$B$7,('Control Room'!$B$8+'Control Room'!$D$8)/2))</x:f>
        <x:v>934.9525534474357</x:v>
      </x:c>
      <x:c r="P365" s="17" t="n">
        <x:f>IF(AND($A365&gt;='Control Room'!$A$13,$A365&lt;'Control Room'!$A$13+'Control Room'!$B$13,'Process'!BM2=1),1+('Control Room'!$C$13-1)*EXP(-0.5*(($A365-'Control Room'!$A$13-('Control Room'!$B$13-1)/2)/MAX(0.5,'Control Room'!$B$13/4))^2),1)*IF(AND($A365&gt;='Control Room'!$A$14,$A365&lt;'Control Room'!$A$14+'Control Room'!$B$14,'Process'!BM3=1),1+('Control Room'!$C$14-1)*EXP(-0.5*(($A365-'Control Room'!$A$14-('Control Room'!$B$14-1)/2)/MAX(0.5,'Control Room'!$B$14/4))^2),1)*IF(AND($A365&gt;='Control Room'!$A$15,$A365&lt;'Control Room'!$A$15+'Control Room'!$B$15,'Process'!BM4=1),1+('Control Room'!$C$15-1)*EXP(-0.5*(($A365-'Control Room'!$A$15-('Control Room'!$B$15-1)/2)/MAX(0.5,'Control Room'!$B$15/4))^2),1)*IF(AND($A365&gt;='Control Room'!$A$16,$A365&lt;'Control Room'!$A$16+'Control Room'!$B$16,'Process'!BM5=1),1+('Control Room'!$C$16-1)*EXP(-0.5*(($A365-'Control Room'!$A$16-('Control Room'!$B$16-1)/2)/MAX(0.5,'Control Room'!$B$16/4))^2),1)</x:f>
        <x:v>1</x:v>
      </x:c>
      <x:c r="Q365" s="9" t="n">
        <x:f>MOD(R364*16807,2147483647)</x:f>
        <x:v>424781735</x:v>
      </x:c>
      <x:c r="R365" s="9" t="n">
        <x:f>MOD(Q365*16807,2147483647)</x:f>
        <x:v>1070977517</x:v>
      </x:c>
      <x:c r="S365" s="17" t="n">
        <x:f>IF('Control Room'!$B$5="Normal",'Control Room'!$B$7+'Control Room'!$D$7*SQRT(-2*LN(MAX(0.000000000001,Q365/2147483647)))*COS(2*PI()*R365/2147483647),'Control Room'!$B$8+('Control Room'!$D$8-'Control Room'!$B$8)*Q365/2147483647)</x:f>
        <x:v>837.9814727257316</x:v>
      </x:c>
      <x:c r="T365" s="17" t="n">
        <x:f>IF('Control Room'!$B$5="Normal",'Control Room'!$B$7,('Control Room'!$B$8+'Control Room'!$D$8)/2)+'Control Room'!$B$9*(T364-IF('Control Room'!$B$5="Normal",'Control Room'!$B$7,('Control Room'!$B$8+'Control Room'!$D$8)/2))+SQRT(1-'Control Room'!$B$9^2)*(S365-IF('Control Room'!$B$5="Normal",'Control Room'!$B$7,('Control Room'!$B$8+'Control Room'!$D$8)/2))</x:f>
        <x:v>970.5778055041701</x:v>
      </x:c>
      <x:c r="U365" s="17" t="n">
        <x:f>IF(AND($A365&gt;='Control Room'!$A$13,$A365&lt;'Control Room'!$A$13+'Control Room'!$B$13,'Process'!BN2=1),1+('Control Room'!$C$13-1)*EXP(-0.5*(($A365-'Control Room'!$A$13-('Control Room'!$B$13-1)/2)/MAX(0.5,'Control Room'!$B$13/4))^2),1)*IF(AND($A365&gt;='Control Room'!$A$14,$A365&lt;'Control Room'!$A$14+'Control Room'!$B$14,'Process'!BN3=1),1+('Control Room'!$C$14-1)*EXP(-0.5*(($A365-'Control Room'!$A$14-('Control Room'!$B$14-1)/2)/MAX(0.5,'Control Room'!$B$14/4))^2),1)*IF(AND($A365&gt;='Control Room'!$A$15,$A365&lt;'Control Room'!$A$15+'Control Room'!$B$15,'Process'!BN4=1),1+('Control Room'!$C$15-1)*EXP(-0.5*(($A365-'Control Room'!$A$15-('Control Room'!$B$15-1)/2)/MAX(0.5,'Control Room'!$B$15/4))^2),1)*IF(AND($A365&gt;='Control Room'!$A$16,$A365&lt;'Control Room'!$A$16+'Control Room'!$B$16,'Process'!BN5=1),1+('Control Room'!$C$16-1)*EXP(-0.5*(($A365-'Control Room'!$A$16-('Control Room'!$B$16-1)/2)/MAX(0.5,'Control Room'!$B$16/4))^2),1)</x:f>
        <x:v>1</x:v>
      </x:c>
      <x:c r="V365" s="9" t="n">
        <x:f>MOD(W364*16807,2147483647)</x:f>
        <x:v>468385959</x:v>
      </x:c>
      <x:c r="W365" s="9" t="n">
        <x:f>MOD(V365*16807,2147483647)</x:f>
        <x:v>1635246658</x:v>
      </x:c>
      <x:c r="X365" s="17" t="n">
        <x:f>IF('Control Room'!$B$5="Normal",'Control Room'!$B$7+'Control Room'!$D$7*SQRT(-2*LN(MAX(0.000000000001,V365/2147483647)))*COS(2*PI()*W365/2147483647),'Control Room'!$B$8+('Control Room'!$D$8-'Control Room'!$B$8)*V365/2147483647)</x:f>
        <x:v>1011.310469992505</x:v>
      </x:c>
      <x:c r="Y365" s="17" t="n">
        <x:f>IF('Control Room'!$B$5="Normal",'Control Room'!$B$7,('Control Room'!$B$8+'Control Room'!$D$8)/2)+'Control Room'!$B$9*(Y364-IF('Control Room'!$B$5="Normal",'Control Room'!$B$7,('Control Room'!$B$8+'Control Room'!$D$8)/2))+SQRT(1-'Control Room'!$B$9^2)*(X365-IF('Control Room'!$B$5="Normal",'Control Room'!$B$7,('Control Room'!$B$8+'Control Room'!$D$8)/2))</x:f>
        <x:v>965.7521701381538</x:v>
      </x:c>
      <x:c r="Z365" s="17" t="n">
        <x:f>IF(AND($A365&gt;='Control Room'!$A$13,$A365&lt;'Control Room'!$A$13+'Control Room'!$B$13,'Process'!BO2=1),1+('Control Room'!$C$13-1)*EXP(-0.5*(($A365-'Control Room'!$A$13-('Control Room'!$B$13-1)/2)/MAX(0.5,'Control Room'!$B$13/4))^2),1)*IF(AND($A365&gt;='Control Room'!$A$14,$A365&lt;'Control Room'!$A$14+'Control Room'!$B$14,'Process'!BO3=1),1+('Control Room'!$C$14-1)*EXP(-0.5*(($A365-'Control Room'!$A$14-('Control Room'!$B$14-1)/2)/MAX(0.5,'Control Room'!$B$14/4))^2),1)*IF(AND($A365&gt;='Control Room'!$A$15,$A365&lt;'Control Room'!$A$15+'Control Room'!$B$15,'Process'!BO4=1),1+('Control Room'!$C$15-1)*EXP(-0.5*(($A365-'Control Room'!$A$15-('Control Room'!$B$15-1)/2)/MAX(0.5,'Control Room'!$B$15/4))^2),1)*IF(AND($A365&gt;='Control Room'!$A$16,$A365&lt;'Control Room'!$A$16+'Control Room'!$B$16,'Process'!BO5=1),1+('Control Room'!$C$16-1)*EXP(-0.5*(($A365-'Control Room'!$A$16-('Control Room'!$B$16-1)/2)/MAX(0.5,'Control Room'!$B$16/4))^2),1)</x:f>
        <x:v>1</x:v>
      </x:c>
      <x:c r="AA365" s="9" t="n">
        <x:f>MOD(AB364*16807,2147483647)</x:f>
        <x:v>511990183</x:v>
      </x:c>
      <x:c r="AB365" s="9" t="n">
        <x:f>MOD(AA365*16807,2147483647)</x:f>
        <x:v>52032152</x:v>
      </x:c>
      <x:c r="AC365" s="17" t="n">
        <x:f>IF('Control Room'!$B$5="Normal",'Control Room'!$B$7+'Control Room'!$D$7*SQRT(-2*LN(MAX(0.000000000001,AA365/2147483647)))*COS(2*PI()*AB365/2147483647),'Control Room'!$B$8+('Control Room'!$D$8-'Control Room'!$B$8)*AA365/2147483647)</x:f>
        <x:v>1150.6404074432921</x:v>
      </x:c>
      <x:c r="AD365" s="17" t="n">
        <x:f>IF('Control Room'!$B$5="Normal",'Control Room'!$B$7,('Control Room'!$B$8+'Control Room'!$D$8)/2)+'Control Room'!$B$9*(AD364-IF('Control Room'!$B$5="Normal",'Control Room'!$B$7,('Control Room'!$B$8+'Control Room'!$D$8)/2))+SQRT(1-'Control Room'!$B$9^2)*(AC365-IF('Control Room'!$B$5="Normal",'Control Room'!$B$7,('Control Room'!$B$8+'Control Room'!$D$8)/2))</x:f>
        <x:v>1093.7063699922178</x:v>
      </x:c>
      <x:c r="AE365" s="17" t="n">
        <x:f>IF(AND($A365&gt;='Control Room'!$A$13,$A365&lt;'Control Room'!$A$13+'Control Room'!$B$13,'Process'!BP2=1),1+('Control Room'!$C$13-1)*EXP(-0.5*(($A365-'Control Room'!$A$13-('Control Room'!$B$13-1)/2)/MAX(0.5,'Control Room'!$B$13/4))^2),1)*IF(AND($A365&gt;='Control Room'!$A$14,$A365&lt;'Control Room'!$A$14+'Control Room'!$B$14,'Process'!BP3=1),1+('Control Room'!$C$14-1)*EXP(-0.5*(($A365-'Control Room'!$A$14-('Control Room'!$B$14-1)/2)/MAX(0.5,'Control Room'!$B$14/4))^2),1)*IF(AND($A365&gt;='Control Room'!$A$15,$A365&lt;'Control Room'!$A$15+'Control Room'!$B$15,'Process'!BP4=1),1+('Control Room'!$C$15-1)*EXP(-0.5*(($A365-'Control Room'!$A$15-('Control Room'!$B$15-1)/2)/MAX(0.5,'Control Room'!$B$15/4))^2),1)*IF(AND($A365&gt;='Control Room'!$A$16,$A365&lt;'Control Room'!$A$16+'Control Room'!$B$16,'Process'!BP5=1),1+('Control Room'!$C$16-1)*EXP(-0.5*(($A365-'Control Room'!$A$16-('Control Room'!$B$16-1)/2)/MAX(0.5,'Control Room'!$B$16/4))^2),1)</x:f>
        <x:v>1</x:v>
      </x:c>
      <x:c r="AF365" s="9" t="n">
        <x:f>MOD(AG364*16807,2147483647)</x:f>
        <x:v>555594407</x:v>
      </x:c>
      <x:c r="AG365" s="9" t="n">
        <x:f>MOD(AF365*16807,2147483647)</x:f>
        <x:v>616301293</x:v>
      </x:c>
      <x:c r="AH365" s="17" t="n">
        <x:f>IF('Control Room'!$B$5="Normal",'Control Room'!$B$7+'Control Room'!$D$7*SQRT(-2*LN(MAX(0.000000000001,AF365/2147483647)))*COS(2*PI()*AG365/2147483647),'Control Room'!$B$8+('Control Room'!$D$8-'Control Room'!$B$8)*AF365/2147483647)</x:f>
        <x:v>965.9146120102776</x:v>
      </x:c>
      <x:c r="AI365" s="17" t="n">
        <x:f>IF('Control Room'!$B$5="Normal",'Control Room'!$B$7,('Control Room'!$B$8+'Control Room'!$D$8)/2)+'Control Room'!$B$9*(AI364-IF('Control Room'!$B$5="Normal",'Control Room'!$B$7,('Control Room'!$B$8+'Control Room'!$D$8)/2))+SQRT(1-'Control Room'!$B$9^2)*(AH365-IF('Control Room'!$B$5="Normal",'Control Room'!$B$7,('Control Room'!$B$8+'Control Room'!$D$8)/2))</x:f>
        <x:v>1031.6416892562868</x:v>
      </x:c>
      <x:c r="AJ365" s="17" t="n">
        <x:f>IF(AND($A365&gt;='Control Room'!$A$13,$A365&lt;'Control Room'!$A$13+'Control Room'!$B$13,'Process'!BQ2=1),1+('Control Room'!$C$13-1)*EXP(-0.5*(($A365-'Control Room'!$A$13-('Control Room'!$B$13-1)/2)/MAX(0.5,'Control Room'!$B$13/4))^2),1)*IF(AND($A365&gt;='Control Room'!$A$14,$A365&lt;'Control Room'!$A$14+'Control Room'!$B$14,'Process'!BQ3=1),1+('Control Room'!$C$14-1)*EXP(-0.5*(($A365-'Control Room'!$A$14-('Control Room'!$B$14-1)/2)/MAX(0.5,'Control Room'!$B$14/4))^2),1)*IF(AND($A365&gt;='Control Room'!$A$15,$A365&lt;'Control Room'!$A$15+'Control Room'!$B$15,'Process'!BQ4=1),1+('Control Room'!$C$15-1)*EXP(-0.5*(($A365-'Control Room'!$A$15-('Control Room'!$B$15-1)/2)/MAX(0.5,'Control Room'!$B$15/4))^2),1)*IF(AND($A365&gt;='Control Room'!$A$16,$A365&lt;'Control Room'!$A$16+'Control Room'!$B$16,'Process'!BQ5=1),1+('Control Room'!$C$16-1)*EXP(-0.5*(($A365-'Control Room'!$A$16-('Control Room'!$B$16-1)/2)/MAX(0.5,'Control Room'!$B$16/4))^2),1)</x:f>
        <x:v>1</x:v>
      </x:c>
      <x:c r="AK365" s="9" t="n">
        <x:f>MOD(AL364*16807,2147483647)</x:f>
        <x:v>599198631</x:v>
      </x:c>
      <x:c r="AL365" s="9" t="n">
        <x:f>MOD(AK365*16807,2147483647)</x:f>
        <x:v>1180570434</x:v>
      </x:c>
      <x:c r="AM365" s="17" t="n">
        <x:f>IF('Control Room'!$B$5="Normal",'Control Room'!$B$7+'Control Room'!$D$7*SQRT(-2*LN(MAX(0.000000000001,AK365/2147483647)))*COS(2*PI()*AL365/2147483647),'Control Room'!$B$8+('Control Room'!$D$8-'Control Room'!$B$8)*AK365/2147483647)</x:f>
        <x:v>863.1666730593078</x:v>
      </x:c>
      <x:c r="AN365" s="17" t="n">
        <x:f>IF('Control Room'!$B$5="Normal",'Control Room'!$B$7,('Control Room'!$B$8+'Control Room'!$D$8)/2)+'Control Room'!$B$9*(AN364-IF('Control Room'!$B$5="Normal",'Control Room'!$B$7,('Control Room'!$B$8+'Control Room'!$D$8)/2))+SQRT(1-'Control Room'!$B$9^2)*(AM365-IF('Control Room'!$B$5="Normal",'Control Room'!$B$7,('Control Room'!$B$8+'Control Room'!$D$8)/2))</x:f>
        <x:v>806.1962895973695</x:v>
      </x:c>
      <x:c r="AO365" s="17" t="n">
        <x:f>IF(AND($A365&gt;='Control Room'!$A$13,$A365&lt;'Control Room'!$A$13+'Control Room'!$B$13,'Process'!BR2=1),1+('Control Room'!$C$13-1)*EXP(-0.5*(($A365-'Control Room'!$A$13-('Control Room'!$B$13-1)/2)/MAX(0.5,'Control Room'!$B$13/4))^2),1)*IF(AND($A365&gt;='Control Room'!$A$14,$A365&lt;'Control Room'!$A$14+'Control Room'!$B$14,'Process'!BR3=1),1+('Control Room'!$C$14-1)*EXP(-0.5*(($A365-'Control Room'!$A$14-('Control Room'!$B$14-1)/2)/MAX(0.5,'Control Room'!$B$14/4))^2),1)*IF(AND($A365&gt;='Control Room'!$A$15,$A365&lt;'Control Room'!$A$15+'Control Room'!$B$15,'Process'!BR4=1),1+('Control Room'!$C$15-1)*EXP(-0.5*(($A365-'Control Room'!$A$15-('Control Room'!$B$15-1)/2)/MAX(0.5,'Control Room'!$B$15/4))^2),1)*IF(AND($A365&gt;='Control Room'!$A$16,$A365&lt;'Control Room'!$A$16+'Control Room'!$B$16,'Process'!BR5=1),1+('Control Room'!$C$16-1)*EXP(-0.5*(($A365-'Control Room'!$A$16-('Control Room'!$B$16-1)/2)/MAX(0.5,'Control Room'!$B$16/4))^2),1)</x:f>
        <x:v>1</x:v>
      </x:c>
      <x:c r="AP365" s="9" t="n">
        <x:f>MOD(AQ364*16807,2147483647)</x:f>
        <x:v>642802855</x:v>
      </x:c>
      <x:c r="AQ365" s="9" t="n">
        <x:f>MOD(AP365*16807,2147483647)</x:f>
        <x:v>1744839575</x:v>
      </x:c>
      <x:c r="AR365" s="17" t="n">
        <x:f>IF('Control Room'!$B$5="Normal",'Control Room'!$B$7+'Control Room'!$D$7*SQRT(-2*LN(MAX(0.000000000001,AP365/2147483647)))*COS(2*PI()*AQ365/2147483647),'Control Room'!$B$8+('Control Room'!$D$8-'Control Room'!$B$8)*AP365/2147483647)</x:f>
        <x:v>1053.4979690031669</x:v>
      </x:c>
      <x:c r="AS365" s="17" t="n">
        <x:f>IF('Control Room'!$B$5="Normal",'Control Room'!$B$7,('Control Room'!$B$8+'Control Room'!$D$8)/2)+'Control Room'!$B$9*(AS364-IF('Control Room'!$B$5="Normal",'Control Room'!$B$7,('Control Room'!$B$8+'Control Room'!$D$8)/2))+SQRT(1-'Control Room'!$B$9^2)*(AR365-IF('Control Room'!$B$5="Normal",'Control Room'!$B$7,('Control Room'!$B$8+'Control Room'!$D$8)/2))</x:f>
        <x:v>1063.8304956229836</x:v>
      </x:c>
      <x:c r="AT365" s="17" t="n">
        <x:f>IF(AND($A365&gt;='Control Room'!$A$13,$A365&lt;'Control Room'!$A$13+'Control Room'!$B$13,'Process'!BS2=1),1+('Control Room'!$C$13-1)*EXP(-0.5*(($A365-'Control Room'!$A$13-('Control Room'!$B$13-1)/2)/MAX(0.5,'Control Room'!$B$13/4))^2),1)*IF(AND($A365&gt;='Control Room'!$A$14,$A365&lt;'Control Room'!$A$14+'Control Room'!$B$14,'Process'!BS3=1),1+('Control Room'!$C$14-1)*EXP(-0.5*(($A365-'Control Room'!$A$14-('Control Room'!$B$14-1)/2)/MAX(0.5,'Control Room'!$B$14/4))^2),1)*IF(AND($A365&gt;='Control Room'!$A$15,$A365&lt;'Control Room'!$A$15+'Control Room'!$B$15,'Process'!BS4=1),1+('Control Room'!$C$15-1)*EXP(-0.5*(($A365-'Control Room'!$A$15-('Control Room'!$B$15-1)/2)/MAX(0.5,'Control Room'!$B$15/4))^2),1)*IF(AND($A365&gt;='Control Room'!$A$16,$A365&lt;'Control Room'!$A$16+'Control Room'!$B$16,'Process'!BS5=1),1+('Control Room'!$C$16-1)*EXP(-0.5*(($A365-'Control Room'!$A$16-('Control Room'!$B$16-1)/2)/MAX(0.5,'Control Room'!$B$16/4))^2),1)</x:f>
        <x:v>1</x:v>
      </x:c>
      <x:c r="AU365" s="9" t="n">
        <x:f>MOD(AV364*16807,2147483647)</x:f>
        <x:v>686407079</x:v>
      </x:c>
      <x:c r="AV365" s="9" t="n">
        <x:f>MOD(AU365*16807,2147483647)</x:f>
        <x:v>161625069</x:v>
      </x:c>
      <x:c r="AW365" s="17" t="n">
        <x:f>IF('Control Room'!$B$5="Normal",'Control Room'!$B$7+'Control Room'!$D$7*SQRT(-2*LN(MAX(0.000000000001,AU365/2147483647)))*COS(2*PI()*AV365/2147483647),'Control Room'!$B$8+('Control Room'!$D$8-'Control Room'!$B$8)*AU365/2147483647)</x:f>
        <x:v>1121.0140295831409</x:v>
      </x:c>
      <x:c r="AX365" s="17" t="n">
        <x:f>IF('Control Room'!$B$5="Normal",'Control Room'!$B$7,('Control Room'!$B$8+'Control Room'!$D$8)/2)+'Control Room'!$B$9*(AX364-IF('Control Room'!$B$5="Normal",'Control Room'!$B$7,('Control Room'!$B$8+'Control Room'!$D$8)/2))+SQRT(1-'Control Room'!$B$9^2)*(AW365-IF('Control Room'!$B$5="Normal",'Control Room'!$B$7,('Control Room'!$B$8+'Control Room'!$D$8)/2))</x:f>
        <x:v>1087.2032728283293</x:v>
      </x:c>
      <x:c r="AY365" s="17" t="n">
        <x:f>IF(AND($A365&gt;='Control Room'!$A$13,$A365&lt;'Control Room'!$A$13+'Control Room'!$B$13,'Process'!BT2=1),1+('Control Room'!$C$13-1)*EXP(-0.5*(($A365-'Control Room'!$A$13-('Control Room'!$B$13-1)/2)/MAX(0.5,'Control Room'!$B$13/4))^2),1)*IF(AND($A365&gt;='Control Room'!$A$14,$A365&lt;'Control Room'!$A$14+'Control Room'!$B$14,'Process'!BT3=1),1+('Control Room'!$C$14-1)*EXP(-0.5*(($A365-'Control Room'!$A$14-('Control Room'!$B$14-1)/2)/MAX(0.5,'Control Room'!$B$14/4))^2),1)*IF(AND($A365&gt;='Control Room'!$A$15,$A365&lt;'Control Room'!$A$15+'Control Room'!$B$15,'Process'!BT4=1),1+('Control Room'!$C$15-1)*EXP(-0.5*(($A365-'Control Room'!$A$15-('Control Room'!$B$15-1)/2)/MAX(0.5,'Control Room'!$B$15/4))^2),1)*IF(AND($A365&gt;='Control Room'!$A$16,$A365&lt;'Control Room'!$A$16+'Control Room'!$B$16,'Process'!BT5=1),1+('Control Room'!$C$16-1)*EXP(-0.5*(($A365-'Control Room'!$A$16-('Control Room'!$B$16-1)/2)/MAX(0.5,'Control Room'!$B$16/4))^2),1)</x:f>
        <x:v>1</x:v>
      </x:c>
      <x:c r="AZ365" s="9" t="n">
        <x:f>MOD(BA364*16807,2147483647)</x:f>
        <x:v>730011303</x:v>
      </x:c>
      <x:c r="BA365" s="9" t="n">
        <x:f>MOD(AZ365*16807,2147483647)</x:f>
        <x:v>725894210</x:v>
      </x:c>
      <x:c r="BB365" s="17" t="n">
        <x:f>IF('Control Room'!$B$5="Normal",'Control Room'!$B$7+'Control Room'!$D$7*SQRT(-2*LN(MAX(0.000000000001,AZ365/2147483647)))*COS(2*PI()*BA365/2147483647),'Control Room'!$B$8+('Control Room'!$D$8-'Control Room'!$B$8)*AZ365/2147483647)</x:f>
        <x:v>930.5515650986365</x:v>
      </x:c>
      <x:c r="BC365" s="17" t="n">
        <x:f>IF('Control Room'!$B$5="Normal",'Control Room'!$B$7,('Control Room'!$B$8+'Control Room'!$D$8)/2)+'Control Room'!$B$9*(BC364-IF('Control Room'!$B$5="Normal",'Control Room'!$B$7,('Control Room'!$B$8+'Control Room'!$D$8)/2))+SQRT(1-'Control Room'!$B$9^2)*(BB365-IF('Control Room'!$B$5="Normal",'Control Room'!$B$7,('Control Room'!$B$8+'Control Room'!$D$8)/2))</x:f>
        <x:v>937.2098453022453</x:v>
      </x:c>
      <x:c r="BD365" s="17" t="n">
        <x:f>IF(AND($A365&gt;='Control Room'!$A$13,$A365&lt;'Control Room'!$A$13+'Control Room'!$B$13,'Process'!BU2=1),1+('Control Room'!$C$13-1)*EXP(-0.5*(($A365-'Control Room'!$A$13-('Control Room'!$B$13-1)/2)/MAX(0.5,'Control Room'!$B$13/4))^2),1)*IF(AND($A365&gt;='Control Room'!$A$14,$A365&lt;'Control Room'!$A$14+'Control Room'!$B$14,'Process'!BU3=1),1+('Control Room'!$C$14-1)*EXP(-0.5*(($A365-'Control Room'!$A$14-('Control Room'!$B$14-1)/2)/MAX(0.5,'Control Room'!$B$14/4))^2),1)*IF(AND($A365&gt;='Control Room'!$A$15,$A365&lt;'Control Room'!$A$15+'Control Room'!$B$15,'Process'!BU4=1),1+('Control Room'!$C$15-1)*EXP(-0.5*(($A365-'Control Room'!$A$15-('Control Room'!$B$15-1)/2)/MAX(0.5,'Control Room'!$B$15/4))^2),1)*IF(AND($A365&gt;='Control Room'!$A$16,$A365&lt;'Control Room'!$A$16+'Control Room'!$B$16,'Process'!BU5=1),1+('Control Room'!$C$16-1)*EXP(-0.5*(($A365-'Control Room'!$A$16-('Control Room'!$B$16-1)/2)/MAX(0.5,'Control Room'!$B$16/4))^2),1)</x:f>
        <x:v>1</x:v>
      </x:c>
      <x:c r="BE365" s="9" t="n">
        <x:f>MOD(BF364*16807,2147483647)</x:f>
        <x:v>773615527</x:v>
      </x:c>
      <x:c r="BF365" s="9" t="n">
        <x:f>MOD(BE365*16807,2147483647)</x:f>
        <x:v>1290163351</x:v>
      </x:c>
      <x:c r="BG365" s="17" t="n">
        <x:f>IF('Control Room'!$B$5="Normal",'Control Room'!$B$7+'Control Room'!$D$7*SQRT(-2*LN(MAX(0.000000000001,BE365/2147483647)))*COS(2*PI()*BF365/2147483647),'Control Room'!$B$8+('Control Room'!$D$8-'Control Room'!$B$8)*BE365/2147483647)</x:f>
        <x:v>896.3258450476862</x:v>
      </x:c>
      <x:c r="BH365" s="17" t="n">
        <x:f>IF('Control Room'!$B$5="Normal",'Control Room'!$B$7,('Control Room'!$B$8+'Control Room'!$D$8)/2)+'Control Room'!$B$9*(BH364-IF('Control Room'!$B$5="Normal",'Control Room'!$B$7,('Control Room'!$B$8+'Control Room'!$D$8)/2))+SQRT(1-'Control Room'!$B$9^2)*(BG365-IF('Control Room'!$B$5="Normal",'Control Room'!$B$7,('Control Room'!$B$8+'Control Room'!$D$8)/2))</x:f>
        <x:v>898.6527904169418</x:v>
      </x:c>
      <x:c r="BI365" s="17" t="n">
        <x:f>IF(AND($A365&gt;='Control Room'!$A$13,$A365&lt;'Control Room'!$A$13+'Control Room'!$B$13,'Process'!BV2=1),1+('Control Room'!$C$13-1)*EXP(-0.5*(($A365-'Control Room'!$A$13-('Control Room'!$B$13-1)/2)/MAX(0.5,'Control Room'!$B$13/4))^2),1)*IF(AND($A365&gt;='Control Room'!$A$14,$A365&lt;'Control Room'!$A$14+'Control Room'!$B$14,'Process'!BV3=1),1+('Control Room'!$C$14-1)*EXP(-0.5*(($A365-'Control Room'!$A$14-('Control Room'!$B$14-1)/2)/MAX(0.5,'Control Room'!$B$14/4))^2),1)*IF(AND($A365&gt;='Control Room'!$A$15,$A365&lt;'Control Room'!$A$15+'Control Room'!$B$15,'Process'!BV4=1),1+('Control Room'!$C$15-1)*EXP(-0.5*(($A365-'Control Room'!$A$15-('Control Room'!$B$15-1)/2)/MAX(0.5,'Control Room'!$B$15/4))^2),1)*IF(AND($A365&gt;='Control Room'!$A$16,$A365&lt;'Control Room'!$A$16+'Control Room'!$B$16,'Process'!BV5=1),1+('Control Room'!$C$16-1)*EXP(-0.5*(($A365-'Control Room'!$A$16-('Control Room'!$B$16-1)/2)/MAX(0.5,'Control Room'!$B$16/4))^2),1)</x:f>
        <x:v>1</x:v>
      </x:c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Z365" t="str">
        <x:f>IF('Data'!A365="","",TEXT('Data'!A365,"mm-dd"))</x:f>
      </x:c>
    </x:row>
    <x:row r="366" ht="21" customHeight="1">
      <x:c r="A366" s="15" t="n">
        <x:f>'Control Room'!$B$1+364</x:f>
        <x:v>73355</x:v>
      </x:c>
      <x:c r="B366" s="9" t="n">
        <x:f>MOD(C365*16807,2147483647)</x:f>
        <x:v>707679807</x:v>
      </x:c>
      <x:c r="C366" s="9" t="n">
        <x:f>MOD(B366*16807,2147483647)</x:f>
        <x:v>1210079163</x:v>
      </x:c>
      <x:c r="D366" s="17" t="n">
        <x:f>IF('Control Room'!$B$5="Normal",'Control Room'!$B$7+'Control Room'!$D$7*SQRT(-2*LN(MAX(0.000000000001,B366/2147483647)))*COS(2*PI()*C366/2147483647),'Control Room'!$B$8+('Control Room'!$D$8-'Control Room'!$B$8)*B366/2147483647)</x:f>
        <x:v>876.4278165686096</x:v>
      </x:c>
      <x:c r="E366" s="17" t="n">
        <x:f>IF('Control Room'!$B$5="Normal",'Control Room'!$B$7,('Control Room'!$B$8+'Control Room'!$D$8)/2)+'Control Room'!$B$9*(E365-IF('Control Room'!$B$5="Normal",'Control Room'!$B$7,('Control Room'!$B$8+'Control Room'!$D$8)/2))+SQRT(1-'Control Room'!$B$9^2)*(D366-IF('Control Room'!$B$5="Normal",'Control Room'!$B$7,('Control Room'!$B$8+'Control Room'!$D$8)/2))</x:f>
        <x:v>960.6319233346924</x:v>
      </x:c>
      <x:c r="F366" s="17" t="n">
        <x:f>IF(AND($A366&gt;='Control Room'!$A$13,$A366&lt;'Control Room'!$A$13+'Control Room'!$B$13,'Process'!BK2=1),1+('Control Room'!$C$13-1)*EXP(-0.5*(($A366-'Control Room'!$A$13-('Control Room'!$B$13-1)/2)/MAX(0.5,'Control Room'!$B$13/4))^2),1)*IF(AND($A366&gt;='Control Room'!$A$14,$A366&lt;'Control Room'!$A$14+'Control Room'!$B$14,'Process'!BK3=1),1+('Control Room'!$C$14-1)*EXP(-0.5*(($A366-'Control Room'!$A$14-('Control Room'!$B$14-1)/2)/MAX(0.5,'Control Room'!$B$14/4))^2),1)*IF(AND($A366&gt;='Control Room'!$A$15,$A366&lt;'Control Room'!$A$15+'Control Room'!$B$15,'Process'!BK4=1),1+('Control Room'!$C$15-1)*EXP(-0.5*(($A366-'Control Room'!$A$15-('Control Room'!$B$15-1)/2)/MAX(0.5,'Control Room'!$B$15/4))^2),1)*IF(AND($A366&gt;='Control Room'!$A$16,$A366&lt;'Control Room'!$A$16+'Control Room'!$B$16,'Process'!BK5=1),1+('Control Room'!$C$16-1)*EXP(-0.5*(($A366-'Control Room'!$A$16-('Control Room'!$B$16-1)/2)/MAX(0.5,'Control Room'!$B$16/4))^2),1)</x:f>
        <x:v>1</x:v>
      </x:c>
      <x:c r="G366" s="9" t="n">
        <x:f>MOD(H365*16807,2147483647)</x:f>
        <x:v>1091347442</x:v>
      </x:c>
      <x:c r="H366" s="9" t="n">
        <x:f>MOD(G366*16807,2147483647)</x:f>
        <x:v>618628667</x:v>
      </x:c>
      <x:c r="I366" s="17" t="n">
        <x:f>IF('Control Room'!$B$5="Normal",'Control Room'!$B$7+'Control Room'!$D$7*SQRT(-2*LN(MAX(0.000000000001,G366/2147483647)))*COS(2*PI()*H366/2147483647),'Control Room'!$B$8+('Control Room'!$D$8-'Control Room'!$B$8)*G366/2147483647)</x:f>
        <x:v>975.1890306678171</x:v>
      </x:c>
      <x:c r="J366" s="17" t="n">
        <x:f>IF('Control Room'!$B$5="Normal",'Control Room'!$B$7,('Control Room'!$B$8+'Control Room'!$D$8)/2)+'Control Room'!$B$9*(J365-IF('Control Room'!$B$5="Normal",'Control Room'!$B$7,('Control Room'!$B$8+'Control Room'!$D$8)/2))+SQRT(1-'Control Room'!$B$9^2)*(I366-IF('Control Room'!$B$5="Normal",'Control Room'!$B$7,('Control Room'!$B$8+'Control Room'!$D$8)/2))</x:f>
        <x:v>1019.8231016323055</x:v>
      </x:c>
      <x:c r="K366" s="17" t="n">
        <x:f>IF(AND($A366&gt;='Control Room'!$A$13,$A366&lt;'Control Room'!$A$13+'Control Room'!$B$13,'Process'!BL2=1),1+('Control Room'!$C$13-1)*EXP(-0.5*(($A366-'Control Room'!$A$13-('Control Room'!$B$13-1)/2)/MAX(0.5,'Control Room'!$B$13/4))^2),1)*IF(AND($A366&gt;='Control Room'!$A$14,$A366&lt;'Control Room'!$A$14+'Control Room'!$B$14,'Process'!BL3=1),1+('Control Room'!$C$14-1)*EXP(-0.5*(($A366-'Control Room'!$A$14-('Control Room'!$B$14-1)/2)/MAX(0.5,'Control Room'!$B$14/4))^2),1)*IF(AND($A366&gt;='Control Room'!$A$15,$A366&lt;'Control Room'!$A$15+'Control Room'!$B$15,'Process'!BL4=1),1+('Control Room'!$C$15-1)*EXP(-0.5*(($A366-'Control Room'!$A$15-('Control Room'!$B$15-1)/2)/MAX(0.5,'Control Room'!$B$15/4))^2),1)*IF(AND($A366&gt;='Control Room'!$A$16,$A366&lt;'Control Room'!$A$16+'Control Room'!$B$16,'Process'!BL5=1),1+('Control Room'!$C$16-1)*EXP(-0.5*(($A366-'Control Room'!$A$16-('Control Room'!$B$16-1)/2)/MAX(0.5,'Control Room'!$B$16/4))^2),1)</x:f>
        <x:v>1</x:v>
      </x:c>
      <x:c r="L366" s="9" t="n">
        <x:f>MOD(M365*16807,2147483647)</x:f>
        <x:v>1475015077</x:v>
      </x:c>
      <x:c r="M366" s="9" t="n">
        <x:f>MOD(L366*16807,2147483647)</x:f>
        <x:v>27178171</x:v>
      </x:c>
      <x:c r="N366" s="17" t="n">
        <x:f>IF('Control Room'!$B$5="Normal",'Control Room'!$B$7+'Control Room'!$D$7*SQRT(-2*LN(MAX(0.000000000001,L366/2147483647)))*COS(2*PI()*M366/2147483647),'Control Room'!$B$8+('Control Room'!$D$8-'Control Room'!$B$8)*L366/2147483647)</x:f>
        <x:v>1077.7610788263567</x:v>
      </x:c>
      <x:c r="O366" s="17" t="n">
        <x:f>IF('Control Room'!$B$5="Normal",'Control Room'!$B$7,('Control Room'!$B$8+'Control Room'!$D$8)/2)+'Control Room'!$B$9*(O365-IF('Control Room'!$B$5="Normal",'Control Room'!$B$7,('Control Room'!$B$8+'Control Room'!$D$8)/2))+SQRT(1-'Control Room'!$B$9^2)*(N366-IF('Control Room'!$B$5="Normal",'Control Room'!$B$7,('Control Room'!$B$8+'Control Room'!$D$8)/2))</x:f>
        <x:v>997.9242817962456</x:v>
      </x:c>
      <x:c r="P366" s="17" t="n">
        <x:f>IF(AND($A366&gt;='Control Room'!$A$13,$A366&lt;'Control Room'!$A$13+'Control Room'!$B$13,'Process'!BM2=1),1+('Control Room'!$C$13-1)*EXP(-0.5*(($A366-'Control Room'!$A$13-('Control Room'!$B$13-1)/2)/MAX(0.5,'Control Room'!$B$13/4))^2),1)*IF(AND($A366&gt;='Control Room'!$A$14,$A366&lt;'Control Room'!$A$14+'Control Room'!$B$14,'Process'!BM3=1),1+('Control Room'!$C$14-1)*EXP(-0.5*(($A366-'Control Room'!$A$14-('Control Room'!$B$14-1)/2)/MAX(0.5,'Control Room'!$B$14/4))^2),1)*IF(AND($A366&gt;='Control Room'!$A$15,$A366&lt;'Control Room'!$A$15+'Control Room'!$B$15,'Process'!BM4=1),1+('Control Room'!$C$15-1)*EXP(-0.5*(($A366-'Control Room'!$A$15-('Control Room'!$B$15-1)/2)/MAX(0.5,'Control Room'!$B$15/4))^2),1)*IF(AND($A366&gt;='Control Room'!$A$16,$A366&lt;'Control Room'!$A$16+'Control Room'!$B$16,'Process'!BM5=1),1+('Control Room'!$C$16-1)*EXP(-0.5*(($A366-'Control Room'!$A$16-('Control Room'!$B$16-1)/2)/MAX(0.5,'Control Room'!$B$16/4))^2),1)</x:f>
        <x:v>1</x:v>
      </x:c>
      <x:c r="Q366" s="9" t="n">
        <x:f>MOD(R365*16807,2147483647)</x:f>
        <x:v>1858682712</x:v>
      </x:c>
      <x:c r="R366" s="9" t="n">
        <x:f>MOD(Q366*16807,2147483647)</x:f>
        <x:v>1583211322</x:v>
      </x:c>
      <x:c r="S366" s="17" t="n">
        <x:f>IF('Control Room'!$B$5="Normal",'Control Room'!$B$7+'Control Room'!$D$7*SQRT(-2*LN(MAX(0.000000000001,Q366/2147483647)))*COS(2*PI()*R366/2147483647),'Control Room'!$B$8+('Control Room'!$D$8-'Control Room'!$B$8)*Q366/2147483647)</x:f>
        <x:v>996.1261576213228</x:v>
      </x:c>
      <x:c r="T366" s="17" t="n">
        <x:f>IF('Control Room'!$B$5="Normal",'Control Room'!$B$7,('Control Room'!$B$8+'Control Room'!$D$8)/2)+'Control Room'!$B$9*(T365-IF('Control Room'!$B$5="Normal",'Control Room'!$B$7,('Control Room'!$B$8+'Control Room'!$D$8)/2))+SQRT(1-'Control Room'!$B$9^2)*(S366-IF('Control Room'!$B$5="Normal",'Control Room'!$B$7,('Control Room'!$B$8+'Control Room'!$D$8)/2))</x:f>
        <x:v>974.6265170926513</x:v>
      </x:c>
      <x:c r="U366" s="17" t="n">
        <x:f>IF(AND($A366&gt;='Control Room'!$A$13,$A366&lt;'Control Room'!$A$13+'Control Room'!$B$13,'Process'!BN2=1),1+('Control Room'!$C$13-1)*EXP(-0.5*(($A366-'Control Room'!$A$13-('Control Room'!$B$13-1)/2)/MAX(0.5,'Control Room'!$B$13/4))^2),1)*IF(AND($A366&gt;='Control Room'!$A$14,$A366&lt;'Control Room'!$A$14+'Control Room'!$B$14,'Process'!BN3=1),1+('Control Room'!$C$14-1)*EXP(-0.5*(($A366-'Control Room'!$A$14-('Control Room'!$B$14-1)/2)/MAX(0.5,'Control Room'!$B$14/4))^2),1)*IF(AND($A366&gt;='Control Room'!$A$15,$A366&lt;'Control Room'!$A$15+'Control Room'!$B$15,'Process'!BN4=1),1+('Control Room'!$C$15-1)*EXP(-0.5*(($A366-'Control Room'!$A$15-('Control Room'!$B$15-1)/2)/MAX(0.5,'Control Room'!$B$15/4))^2),1)*IF(AND($A366&gt;='Control Room'!$A$16,$A366&lt;'Control Room'!$A$16+'Control Room'!$B$16,'Process'!BN5=1),1+('Control Room'!$C$16-1)*EXP(-0.5*(($A366-'Control Room'!$A$16-('Control Room'!$B$16-1)/2)/MAX(0.5,'Control Room'!$B$16/4))^2),1)</x:f>
        <x:v>1</x:v>
      </x:c>
      <x:c r="V366" s="9" t="n">
        <x:f>MOD(W365*16807,2147483647)</x:f>
        <x:v>94866700</x:v>
      </x:c>
      <x:c r="W366" s="9" t="n">
        <x:f>MOD(V366*16807,2147483647)</x:f>
        <x:v>991760826</x:v>
      </x:c>
      <x:c r="X366" s="17" t="n">
        <x:f>IF('Control Room'!$B$5="Normal",'Control Room'!$B$7+'Control Room'!$D$7*SQRT(-2*LN(MAX(0.000000000001,V366/2147483647)))*COS(2*PI()*W366/2147483647),'Control Room'!$B$8+('Control Room'!$D$8-'Control Room'!$B$8)*V366/2147483647)</x:f>
        <x:v>781.6312696596569</x:v>
      </x:c>
      <x:c r="Y366" s="17" t="n">
        <x:f>IF('Control Room'!$B$5="Normal",'Control Room'!$B$7,('Control Room'!$B$8+'Control Room'!$D$8)/2)+'Control Room'!$B$9*(Y365-IF('Control Room'!$B$5="Normal",'Control Room'!$B$7,('Control Room'!$B$8+'Control Room'!$D$8)/2))+SQRT(1-'Control Room'!$B$9^2)*(X366-IF('Control Room'!$B$5="Normal",'Control Room'!$B$7,('Control Room'!$B$8+'Control Room'!$D$8)/2))</x:f>
        <x:v>836.6360147873721</x:v>
      </x:c>
      <x:c r="Z366" s="17" t="n">
        <x:f>IF(AND($A366&gt;='Control Room'!$A$13,$A366&lt;'Control Room'!$A$13+'Control Room'!$B$13,'Process'!BO2=1),1+('Control Room'!$C$13-1)*EXP(-0.5*(($A366-'Control Room'!$A$13-('Control Room'!$B$13-1)/2)/MAX(0.5,'Control Room'!$B$13/4))^2),1)*IF(AND($A366&gt;='Control Room'!$A$14,$A366&lt;'Control Room'!$A$14+'Control Room'!$B$14,'Process'!BO3=1),1+('Control Room'!$C$14-1)*EXP(-0.5*(($A366-'Control Room'!$A$14-('Control Room'!$B$14-1)/2)/MAX(0.5,'Control Room'!$B$14/4))^2),1)*IF(AND($A366&gt;='Control Room'!$A$15,$A366&lt;'Control Room'!$A$15+'Control Room'!$B$15,'Process'!BO4=1),1+('Control Room'!$C$15-1)*EXP(-0.5*(($A366-'Control Room'!$A$15-('Control Room'!$B$15-1)/2)/MAX(0.5,'Control Room'!$B$15/4))^2),1)*IF(AND($A366&gt;='Control Room'!$A$16,$A366&lt;'Control Room'!$A$16+'Control Room'!$B$16,'Process'!BO5=1),1+('Control Room'!$C$16-1)*EXP(-0.5*(($A366-'Control Room'!$A$16-('Control Room'!$B$16-1)/2)/MAX(0.5,'Control Room'!$B$16/4))^2),1)</x:f>
        <x:v>1</x:v>
      </x:c>
      <x:c r="AA366" s="9" t="n">
        <x:f>MOD(AB365*16807,2147483647)</x:f>
        <x:v>478534335</x:v>
      </x:c>
      <x:c r="AB366" s="9" t="n">
        <x:f>MOD(AA366*16807,2147483647)</x:f>
        <x:v>400310330</x:v>
      </x:c>
      <x:c r="AC366" s="17" t="n">
        <x:f>IF('Control Room'!$B$5="Normal",'Control Room'!$B$7+'Control Room'!$D$7*SQRT(-2*LN(MAX(0.000000000001,AA366/2147483647)))*COS(2*PI()*AB366/2147483647),'Control Room'!$B$8+('Control Room'!$D$8-'Control Room'!$B$8)*AA366/2147483647)</x:f>
        <x:v>1060.6670116372256</x:v>
      </x:c>
      <x:c r="AD366" s="17" t="n">
        <x:f>IF('Control Room'!$B$5="Normal",'Control Room'!$B$7,('Control Room'!$B$8+'Control Room'!$D$8)/2)+'Control Room'!$B$9*(AD365-IF('Control Room'!$B$5="Normal",'Control Room'!$B$7,('Control Room'!$B$8+'Control Room'!$D$8)/2))+SQRT(1-'Control Room'!$B$9^2)*(AC366-IF('Control Room'!$B$5="Normal",'Control Room'!$B$7,('Control Room'!$B$8+'Control Room'!$D$8)/2))</x:f>
        <x:v>1111.0551416452183</x:v>
      </x:c>
      <x:c r="AE366" s="17" t="n">
        <x:f>IF(AND($A366&gt;='Control Room'!$A$13,$A366&lt;'Control Room'!$A$13+'Control Room'!$B$13,'Process'!BP2=1),1+('Control Room'!$C$13-1)*EXP(-0.5*(($A366-'Control Room'!$A$13-('Control Room'!$B$13-1)/2)/MAX(0.5,'Control Room'!$B$13/4))^2),1)*IF(AND($A366&gt;='Control Room'!$A$14,$A366&lt;'Control Room'!$A$14+'Control Room'!$B$14,'Process'!BP3=1),1+('Control Room'!$C$14-1)*EXP(-0.5*(($A366-'Control Room'!$A$14-('Control Room'!$B$14-1)/2)/MAX(0.5,'Control Room'!$B$14/4))^2),1)*IF(AND($A366&gt;='Control Room'!$A$15,$A366&lt;'Control Room'!$A$15+'Control Room'!$B$15,'Process'!BP4=1),1+('Control Room'!$C$15-1)*EXP(-0.5*(($A366-'Control Room'!$A$15-('Control Room'!$B$15-1)/2)/MAX(0.5,'Control Room'!$B$15/4))^2),1)*IF(AND($A366&gt;='Control Room'!$A$16,$A366&lt;'Control Room'!$A$16+'Control Room'!$B$16,'Process'!BP5=1),1+('Control Room'!$C$16-1)*EXP(-0.5*(($A366-'Control Room'!$A$16-('Control Room'!$B$16-1)/2)/MAX(0.5,'Control Room'!$B$16/4))^2),1)</x:f>
        <x:v>1</x:v>
      </x:c>
      <x:c r="AF366" s="9" t="n">
        <x:f>MOD(AG365*16807,2147483647)</x:f>
        <x:v>862201970</x:v>
      </x:c>
      <x:c r="AG366" s="9" t="n">
        <x:f>MOD(AF366*16807,2147483647)</x:f>
        <x:v>1956343481</x:v>
      </x:c>
      <x:c r="AH366" s="17" t="n">
        <x:f>IF('Control Room'!$B$5="Normal",'Control Room'!$B$7+'Control Room'!$D$7*SQRT(-2*LN(MAX(0.000000000001,AF366/2147483647)))*COS(2*PI()*AG366/2147483647),'Control Room'!$B$8+('Control Room'!$D$8-'Control Room'!$B$8)*AF366/2147483647)</x:f>
        <x:v>1103.0643487234788</x:v>
      </x:c>
      <x:c r="AI366" s="17" t="n">
        <x:f>IF('Control Room'!$B$5="Normal",'Control Room'!$B$7,('Control Room'!$B$8+'Control Room'!$D$8)/2)+'Control Room'!$B$9*(AI365-IF('Control Room'!$B$5="Normal",'Control Room'!$B$7,('Control Room'!$B$8+'Control Room'!$D$8)/2))+SQRT(1-'Control Room'!$B$9^2)*(AH366-IF('Control Room'!$B$5="Normal",'Control Room'!$B$7,('Control Room'!$B$8+'Control Room'!$D$8)/2))</x:f>
        <x:v>1089.176075663109</x:v>
      </x:c>
      <x:c r="AJ366" s="17" t="n">
        <x:f>IF(AND($A366&gt;='Control Room'!$A$13,$A366&lt;'Control Room'!$A$13+'Control Room'!$B$13,'Process'!BQ2=1),1+('Control Room'!$C$13-1)*EXP(-0.5*(($A366-'Control Room'!$A$13-('Control Room'!$B$13-1)/2)/MAX(0.5,'Control Room'!$B$13/4))^2),1)*IF(AND($A366&gt;='Control Room'!$A$14,$A366&lt;'Control Room'!$A$14+'Control Room'!$B$14,'Process'!BQ3=1),1+('Control Room'!$C$14-1)*EXP(-0.5*(($A366-'Control Room'!$A$14-('Control Room'!$B$14-1)/2)/MAX(0.5,'Control Room'!$B$14/4))^2),1)*IF(AND($A366&gt;='Control Room'!$A$15,$A366&lt;'Control Room'!$A$15+'Control Room'!$B$15,'Process'!BQ4=1),1+('Control Room'!$C$15-1)*EXP(-0.5*(($A366-'Control Room'!$A$15-('Control Room'!$B$15-1)/2)/MAX(0.5,'Control Room'!$B$15/4))^2),1)*IF(AND($A366&gt;='Control Room'!$A$16,$A366&lt;'Control Room'!$A$16+'Control Room'!$B$16,'Process'!BQ5=1),1+('Control Room'!$C$16-1)*EXP(-0.5*(($A366-'Control Room'!$A$16-('Control Room'!$B$16-1)/2)/MAX(0.5,'Control Room'!$B$16/4))^2),1)</x:f>
        <x:v>1</x:v>
      </x:c>
      <x:c r="AK366" s="9" t="n">
        <x:f>MOD(AL365*16807,2147483647)</x:f>
        <x:v>1245869605</x:v>
      </x:c>
      <x:c r="AL366" s="9" t="n">
        <x:f>MOD(AK366*16807,2147483647)</x:f>
        <x:v>1364892985</x:v>
      </x:c>
      <x:c r="AM366" s="17" t="n">
        <x:f>IF('Control Room'!$B$5="Normal",'Control Room'!$B$7+'Control Room'!$D$7*SQRT(-2*LN(MAX(0.000000000001,AK366/2147483647)))*COS(2*PI()*AL366/2147483647),'Control Room'!$B$8+('Control Room'!$D$8-'Control Room'!$B$8)*AK366/2147483647)</x:f>
        <x:v>938.1481089358613</x:v>
      </x:c>
      <x:c r="AN366" s="17" t="n">
        <x:f>IF('Control Room'!$B$5="Normal",'Control Room'!$B$7,('Control Room'!$B$8+'Control Room'!$D$8)/2)+'Control Room'!$B$9*(AN365-IF('Control Room'!$B$5="Normal",'Control Room'!$B$7,('Control Room'!$B$8+'Control Room'!$D$8)/2))+SQRT(1-'Control Room'!$B$9^2)*(AM366-IF('Control Room'!$B$5="Normal",'Control Room'!$B$7,('Control Room'!$B$8+'Control Room'!$D$8)/2))</x:f>
        <x:v>810.127459562872</x:v>
      </x:c>
      <x:c r="AO366" s="17" t="n">
        <x:f>IF(AND($A366&gt;='Control Room'!$A$13,$A366&lt;'Control Room'!$A$13+'Control Room'!$B$13,'Process'!BR2=1),1+('Control Room'!$C$13-1)*EXP(-0.5*(($A366-'Control Room'!$A$13-('Control Room'!$B$13-1)/2)/MAX(0.5,'Control Room'!$B$13/4))^2),1)*IF(AND($A366&gt;='Control Room'!$A$14,$A366&lt;'Control Room'!$A$14+'Control Room'!$B$14,'Process'!BR3=1),1+('Control Room'!$C$14-1)*EXP(-0.5*(($A366-'Control Room'!$A$14-('Control Room'!$B$14-1)/2)/MAX(0.5,'Control Room'!$B$14/4))^2),1)*IF(AND($A366&gt;='Control Room'!$A$15,$A366&lt;'Control Room'!$A$15+'Control Room'!$B$15,'Process'!BR4=1),1+('Control Room'!$C$15-1)*EXP(-0.5*(($A366-'Control Room'!$A$15-('Control Room'!$B$15-1)/2)/MAX(0.5,'Control Room'!$B$15/4))^2),1)*IF(AND($A366&gt;='Control Room'!$A$16,$A366&lt;'Control Room'!$A$16+'Control Room'!$B$16,'Process'!BR5=1),1+('Control Room'!$C$16-1)*EXP(-0.5*(($A366-'Control Room'!$A$16-('Control Room'!$B$16-1)/2)/MAX(0.5,'Control Room'!$B$16/4))^2),1)</x:f>
        <x:v>1</x:v>
      </x:c>
      <x:c r="AP366" s="9" t="n">
        <x:f>MOD(AQ365*16807,2147483647)</x:f>
        <x:v>1629537240</x:v>
      </x:c>
      <x:c r="AQ366" s="9" t="n">
        <x:f>MOD(AP366*16807,2147483647)</x:f>
        <x:v>773442489</x:v>
      </x:c>
      <x:c r="AR366" s="17" t="n">
        <x:f>IF('Control Room'!$B$5="Normal",'Control Room'!$B$7+'Control Room'!$D$7*SQRT(-2*LN(MAX(0.000000000001,AP366/2147483647)))*COS(2*PI()*AQ366/2147483647),'Control Room'!$B$8+('Control Room'!$D$8-'Control Room'!$B$8)*AP366/2147483647)</x:f>
        <x:v>957.324802686441</x:v>
      </x:c>
      <x:c r="AS366" s="17" t="n">
        <x:f>IF('Control Room'!$B$5="Normal",'Control Room'!$B$7,('Control Room'!$B$8+'Control Room'!$D$8)/2)+'Control Room'!$B$9*(AS365-IF('Control Room'!$B$5="Normal",'Control Room'!$B$7,('Control Room'!$B$8+'Control Room'!$D$8)/2))+SQRT(1-'Control Room'!$B$9^2)*(AR366-IF('Control Room'!$B$5="Normal",'Control Room'!$B$7,('Control Room'!$B$8+'Control Room'!$D$8)/2))</x:f>
        <x:v>1023.0825223560387</x:v>
      </x:c>
      <x:c r="AT366" s="17" t="n">
        <x:f>IF(AND($A366&gt;='Control Room'!$A$13,$A366&lt;'Control Room'!$A$13+'Control Room'!$B$13,'Process'!BS2=1),1+('Control Room'!$C$13-1)*EXP(-0.5*(($A366-'Control Room'!$A$13-('Control Room'!$B$13-1)/2)/MAX(0.5,'Control Room'!$B$13/4))^2),1)*IF(AND($A366&gt;='Control Room'!$A$14,$A366&lt;'Control Room'!$A$14+'Control Room'!$B$14,'Process'!BS3=1),1+('Control Room'!$C$14-1)*EXP(-0.5*(($A366-'Control Room'!$A$14-('Control Room'!$B$14-1)/2)/MAX(0.5,'Control Room'!$B$14/4))^2),1)*IF(AND($A366&gt;='Control Room'!$A$15,$A366&lt;'Control Room'!$A$15+'Control Room'!$B$15,'Process'!BS4=1),1+('Control Room'!$C$15-1)*EXP(-0.5*(($A366-'Control Room'!$A$15-('Control Room'!$B$15-1)/2)/MAX(0.5,'Control Room'!$B$15/4))^2),1)*IF(AND($A366&gt;='Control Room'!$A$16,$A366&lt;'Control Room'!$A$16+'Control Room'!$B$16,'Process'!BS5=1),1+('Control Room'!$C$16-1)*EXP(-0.5*(($A366-'Control Room'!$A$16-('Control Room'!$B$16-1)/2)/MAX(0.5,'Control Room'!$B$16/4))^2),1)</x:f>
        <x:v>1</x:v>
      </x:c>
      <x:c r="AU366" s="9" t="n">
        <x:f>MOD(AV365*16807,2147483647)</x:f>
        <x:v>2013204875</x:v>
      </x:c>
      <x:c r="AV366" s="9" t="n">
        <x:f>MOD(AU366*16807,2147483647)</x:f>
        <x:v>181991993</x:v>
      </x:c>
      <x:c r="AW366" s="17" t="n">
        <x:f>IF('Control Room'!$B$5="Normal",'Control Room'!$B$7+'Control Room'!$D$7*SQRT(-2*LN(MAX(0.000000000001,AU366/2147483647)))*COS(2*PI()*AV366/2147483647),'Control Room'!$B$8+('Control Room'!$D$8-'Control Room'!$B$8)*AU366/2147483647)</x:f>
        <x:v>1027.8644300485503</x:v>
      </x:c>
      <x:c r="AX366" s="17" t="n">
        <x:f>IF('Control Room'!$B$5="Normal",'Control Room'!$B$7,('Control Room'!$B$8+'Control Room'!$D$8)/2)+'Control Room'!$B$9*(AX365-IF('Control Room'!$B$5="Normal",'Control Room'!$B$7,('Control Room'!$B$8+'Control Room'!$D$8)/2))+SQRT(1-'Control Room'!$B$9^2)*(AW366-IF('Control Room'!$B$5="Normal",'Control Room'!$B$7,('Control Room'!$B$8+'Control Room'!$D$8)/2))</x:f>
        <x:v>1085.4555422966025</x:v>
      </x:c>
      <x:c r="AY366" s="17" t="n">
        <x:f>IF(AND($A366&gt;='Control Room'!$A$13,$A366&lt;'Control Room'!$A$13+'Control Room'!$B$13,'Process'!BT2=1),1+('Control Room'!$C$13-1)*EXP(-0.5*(($A366-'Control Room'!$A$13-('Control Room'!$B$13-1)/2)/MAX(0.5,'Control Room'!$B$13/4))^2),1)*IF(AND($A366&gt;='Control Room'!$A$14,$A366&lt;'Control Room'!$A$14+'Control Room'!$B$14,'Process'!BT3=1),1+('Control Room'!$C$14-1)*EXP(-0.5*(($A366-'Control Room'!$A$14-('Control Room'!$B$14-1)/2)/MAX(0.5,'Control Room'!$B$14/4))^2),1)*IF(AND($A366&gt;='Control Room'!$A$15,$A366&lt;'Control Room'!$A$15+'Control Room'!$B$15,'Process'!BT4=1),1+('Control Room'!$C$15-1)*EXP(-0.5*(($A366-'Control Room'!$A$15-('Control Room'!$B$15-1)/2)/MAX(0.5,'Control Room'!$B$15/4))^2),1)*IF(AND($A366&gt;='Control Room'!$A$16,$A366&lt;'Control Room'!$A$16+'Control Room'!$B$16,'Process'!BT5=1),1+('Control Room'!$C$16-1)*EXP(-0.5*(($A366-'Control Room'!$A$16-('Control Room'!$B$16-1)/2)/MAX(0.5,'Control Room'!$B$16/4))^2),1)</x:f>
        <x:v>1</x:v>
      </x:c>
      <x:c r="AZ366" s="9" t="n">
        <x:f>MOD(BA365*16807,2147483647)</x:f>
        <x:v>249388863</x:v>
      </x:c>
      <x:c r="BA366" s="9" t="n">
        <x:f>MOD(AZ366*16807,2147483647)</x:f>
        <x:v>1738025144</x:v>
      </x:c>
      <x:c r="BB366" s="17" t="n">
        <x:f>IF('Control Room'!$B$5="Normal",'Control Room'!$B$7+'Control Room'!$D$7*SQRT(-2*LN(MAX(0.000000000001,AZ366/2147483647)))*COS(2*PI()*BA366/2147483647),'Control Room'!$B$8+('Control Room'!$D$8-'Control Room'!$B$8)*AZ366/2147483647)</x:f>
        <x:v>1068.020386993792</x:v>
      </x:c>
      <x:c r="BC366" s="17" t="n">
        <x:f>IF('Control Room'!$B$5="Normal",'Control Room'!$B$7,('Control Room'!$B$8+'Control Room'!$D$8)/2)+'Control Room'!$B$9*(BC365-IF('Control Room'!$B$5="Normal",'Control Room'!$B$7,('Control Room'!$B$8+'Control Room'!$D$8)/2))+SQRT(1-'Control Room'!$B$9^2)*(BB366-IF('Control Room'!$B$5="Normal",'Control Room'!$B$7,('Control Room'!$B$8+'Control Room'!$D$8)/2))</x:f>
        <x:v>993.5894440430968</x:v>
      </x:c>
      <x:c r="BD366" s="17" t="n">
        <x:f>IF(AND($A366&gt;='Control Room'!$A$13,$A366&lt;'Control Room'!$A$13+'Control Room'!$B$13,'Process'!BU2=1),1+('Control Room'!$C$13-1)*EXP(-0.5*(($A366-'Control Room'!$A$13-('Control Room'!$B$13-1)/2)/MAX(0.5,'Control Room'!$B$13/4))^2),1)*IF(AND($A366&gt;='Control Room'!$A$14,$A366&lt;'Control Room'!$A$14+'Control Room'!$B$14,'Process'!BU3=1),1+('Control Room'!$C$14-1)*EXP(-0.5*(($A366-'Control Room'!$A$14-('Control Room'!$B$14-1)/2)/MAX(0.5,'Control Room'!$B$14/4))^2),1)*IF(AND($A366&gt;='Control Room'!$A$15,$A366&lt;'Control Room'!$A$15+'Control Room'!$B$15,'Process'!BU4=1),1+('Control Room'!$C$15-1)*EXP(-0.5*(($A366-'Control Room'!$A$15-('Control Room'!$B$15-1)/2)/MAX(0.5,'Control Room'!$B$15/4))^2),1)*IF(AND($A366&gt;='Control Room'!$A$16,$A366&lt;'Control Room'!$A$16+'Control Room'!$B$16,'Process'!BU5=1),1+('Control Room'!$C$16-1)*EXP(-0.5*(($A366-'Control Room'!$A$16-('Control Room'!$B$16-1)/2)/MAX(0.5,'Control Room'!$B$16/4))^2),1)</x:f>
        <x:v>1</x:v>
      </x:c>
      <x:c r="BE366" s="9" t="n">
        <x:f>MOD(BF365*16807,2147483647)</x:f>
        <x:v>633056498</x:v>
      </x:c>
      <x:c r="BF366" s="9" t="n">
        <x:f>MOD(BE366*16807,2147483647)</x:f>
        <x:v>1146574648</x:v>
      </x:c>
      <x:c r="BG366" s="17" t="n">
        <x:f>IF('Control Room'!$B$5="Normal",'Control Room'!$B$7+'Control Room'!$D$7*SQRT(-2*LN(MAX(0.000000000001,BE366/2147483647)))*COS(2*PI()*BF366/2147483647),'Control Room'!$B$8+('Control Room'!$D$8-'Control Room'!$B$8)*BE366/2147483647)</x:f>
        <x:v>862.511422120778</x:v>
      </x:c>
      <x:c r="BH366" s="17" t="n">
        <x:f>IF('Control Room'!$B$5="Normal",'Control Room'!$B$7,('Control Room'!$B$8+'Control Room'!$D$8)/2)+'Control Room'!$B$9*(BH365-IF('Control Room'!$B$5="Normal",'Control Room'!$B$7,('Control Room'!$B$8+'Control Room'!$D$8)/2))+SQRT(1-'Control Room'!$B$9^2)*(BG366-IF('Control Room'!$B$5="Normal",'Control Room'!$B$7,('Control Room'!$B$8+'Control Room'!$D$8)/2))</x:f>
        <x:v>834.9116410950115</x:v>
      </x:c>
      <x:c r="BI366" s="17" t="n">
        <x:f>IF(AND($A366&gt;='Control Room'!$A$13,$A366&lt;'Control Room'!$A$13+'Control Room'!$B$13,'Process'!BV2=1),1+('Control Room'!$C$13-1)*EXP(-0.5*(($A366-'Control Room'!$A$13-('Control Room'!$B$13-1)/2)/MAX(0.5,'Control Room'!$B$13/4))^2),1)*IF(AND($A366&gt;='Control Room'!$A$14,$A366&lt;'Control Room'!$A$14+'Control Room'!$B$14,'Process'!BV3=1),1+('Control Room'!$C$14-1)*EXP(-0.5*(($A366-'Control Room'!$A$14-('Control Room'!$B$14-1)/2)/MAX(0.5,'Control Room'!$B$14/4))^2),1)*IF(AND($A366&gt;='Control Room'!$A$15,$A366&lt;'Control Room'!$A$15+'Control Room'!$B$15,'Process'!BV4=1),1+('Control Room'!$C$15-1)*EXP(-0.5*(($A366-'Control Room'!$A$15-('Control Room'!$B$15-1)/2)/MAX(0.5,'Control Room'!$B$15/4))^2),1)*IF(AND($A366&gt;='Control Room'!$A$16,$A366&lt;'Control Room'!$A$16+'Control Room'!$B$16,'Process'!BV5=1),1+('Control Room'!$C$16-1)*EXP(-0.5*(($A366-'Control Room'!$A$16-('Control Room'!$B$16-1)/2)/MAX(0.5,'Control Room'!$B$16/4))^2),1)</x:f>
        <x:v>1</x:v>
      </x:c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Z366" t="str">
        <x:f>IF('Data'!A366="","",TEXT('Data'!A366,"mm-dd"))</x:f>
      </x:c>
    </x:row>
    <x:row r="367" ht="21" customHeight="1">
      <x:c r="A367" s="15" t="n">
        <x:f>'Control Room'!$B$1+365</x:f>
        <x:v>73356</x:v>
      </x:c>
      <x:c r="B367" s="9" t="n">
        <x:f>MOD(C366*16807,2147483647)</x:f>
        <x:v>1130355451</x:v>
      </x:c>
      <x:c r="C367" s="9" t="n">
        <x:f>MOD(B367*16807,2147483647)</x:f>
        <x:v>1243723595</x:v>
      </x:c>
      <x:c r="D367" s="17" t="n">
        <x:f>IF('Control Room'!$B$5="Normal",'Control Room'!$B$7+'Control Room'!$D$7*SQRT(-2*LN(MAX(0.000000000001,B367/2147483647)))*COS(2*PI()*C367/2147483647),'Control Room'!$B$8+('Control Room'!$D$8-'Control Room'!$B$8)*B367/2147483647)</x:f>
        <x:v>910.3887025826276</x:v>
      </x:c>
      <x:c r="E367" s="17" t="n">
        <x:f>IF('Control Room'!$B$5="Normal",'Control Room'!$B$7,('Control Room'!$B$8+'Control Room'!$D$8)/2)+'Control Room'!$B$9*(E366-IF('Control Room'!$B$5="Normal",'Control Room'!$B$7,('Control Room'!$B$8+'Control Room'!$D$8)/2))+SQRT(1-'Control Room'!$B$9^2)*(D367-IF('Control Room'!$B$5="Normal",'Control Room'!$B$7,('Control Room'!$B$8+'Control Room'!$D$8)/2))</x:f>
        <x:v>913.2159860644799</x:v>
      </x:c>
      <x:c r="F367" s="17" t="n">
        <x:f>IF(AND($A367&gt;='Control Room'!$A$13,$A367&lt;'Control Room'!$A$13+'Control Room'!$B$13,'Process'!BK2=1),1+('Control Room'!$C$13-1)*EXP(-0.5*(($A367-'Control Room'!$A$13-('Control Room'!$B$13-1)/2)/MAX(0.5,'Control Room'!$B$13/4))^2),1)*IF(AND($A367&gt;='Control Room'!$A$14,$A367&lt;'Control Room'!$A$14+'Control Room'!$B$14,'Process'!BK3=1),1+('Control Room'!$C$14-1)*EXP(-0.5*(($A367-'Control Room'!$A$14-('Control Room'!$B$14-1)/2)/MAX(0.5,'Control Room'!$B$14/4))^2),1)*IF(AND($A367&gt;='Control Room'!$A$15,$A367&lt;'Control Room'!$A$15+'Control Room'!$B$15,'Process'!BK4=1),1+('Control Room'!$C$15-1)*EXP(-0.5*(($A367-'Control Room'!$A$15-('Control Room'!$B$15-1)/2)/MAX(0.5,'Control Room'!$B$15/4))^2),1)*IF(AND($A367&gt;='Control Room'!$A$16,$A367&lt;'Control Room'!$A$16+'Control Room'!$B$16,'Process'!BK5=1),1+('Control Room'!$C$16-1)*EXP(-0.5*(($A367-'Control Room'!$A$16-('Control Room'!$B$16-1)/2)/MAX(0.5,'Control Room'!$B$16/4))^2),1)</x:f>
        <x:v>1</x:v>
      </x:c>
      <x:c r="G367" s="9" t="n">
        <x:f>MOD(H366*16807,2147483647)</x:f>
        <x:v>1323671142</x:v>
      </x:c>
      <x:c r="H367" s="9" t="n">
        <x:f>MOD(G367*16807,2147483647)</x:f>
        <x:v>1157784321</x:v>
      </x:c>
      <x:c r="I367" s="17" t="n">
        <x:f>IF('Control Room'!$B$5="Normal",'Control Room'!$B$7+'Control Room'!$D$7*SQRT(-2*LN(MAX(0.000000000001,G367/2147483647)))*COS(2*PI()*H367/2147483647),'Control Room'!$B$8+('Control Room'!$D$8-'Control Room'!$B$8)*G367/2147483647)</x:f>
        <x:v>914.1252079330195</x:v>
      </x:c>
      <x:c r="J367" s="17" t="n">
        <x:f>IF('Control Room'!$B$5="Normal",'Control Room'!$B$7,('Control Room'!$B$8+'Control Room'!$D$8)/2)+'Control Room'!$B$9*(J366-IF('Control Room'!$B$5="Normal",'Control Room'!$B$7,('Control Room'!$B$8+'Control Room'!$D$8)/2))+SQRT(1-'Control Room'!$B$9^2)*(I367-IF('Control Room'!$B$5="Normal",'Control Room'!$B$7,('Control Room'!$B$8+'Control Room'!$D$8)/2))</x:f>
        <x:v>961.7233336384206</x:v>
      </x:c>
      <x:c r="K367" s="17" t="n">
        <x:f>IF(AND($A367&gt;='Control Room'!$A$13,$A367&lt;'Control Room'!$A$13+'Control Room'!$B$13,'Process'!BL2=1),1+('Control Room'!$C$13-1)*EXP(-0.5*(($A367-'Control Room'!$A$13-('Control Room'!$B$13-1)/2)/MAX(0.5,'Control Room'!$B$13/4))^2),1)*IF(AND($A367&gt;='Control Room'!$A$14,$A367&lt;'Control Room'!$A$14+'Control Room'!$B$14,'Process'!BL3=1),1+('Control Room'!$C$14-1)*EXP(-0.5*(($A367-'Control Room'!$A$14-('Control Room'!$B$14-1)/2)/MAX(0.5,'Control Room'!$B$14/4))^2),1)*IF(AND($A367&gt;='Control Room'!$A$15,$A367&lt;'Control Room'!$A$15+'Control Room'!$B$15,'Process'!BL4=1),1+('Control Room'!$C$15-1)*EXP(-0.5*(($A367-'Control Room'!$A$15-('Control Room'!$B$15-1)/2)/MAX(0.5,'Control Room'!$B$15/4))^2),1)*IF(AND($A367&gt;='Control Room'!$A$16,$A367&lt;'Control Room'!$A$16+'Control Room'!$B$16,'Process'!BL5=1),1+('Control Room'!$C$16-1)*EXP(-0.5*(($A367-'Control Room'!$A$16-('Control Room'!$B$16-1)/2)/MAX(0.5,'Control Room'!$B$16/4))^2),1)</x:f>
        <x:v>1</x:v>
      </x:c>
      <x:c r="L367" s="9" t="n">
        <x:f>MOD(M366*16807,2147483647)</x:f>
        <x:v>1516986833</x:v>
      </x:c>
      <x:c r="M367" s="9" t="n">
        <x:f>MOD(L367*16807,2147483647)</x:f>
        <x:v>1071845047</x:v>
      </x:c>
      <x:c r="N367" s="17" t="n">
        <x:f>IF('Control Room'!$B$5="Normal",'Control Room'!$B$7+'Control Room'!$D$7*SQRT(-2*LN(MAX(0.000000000001,L367/2147483647)))*COS(2*PI()*M367/2147483647),'Control Room'!$B$8+('Control Room'!$D$8-'Control Room'!$B$8)*L367/2147483647)</x:f>
        <x:v>924.9635251291015</x:v>
      </x:c>
      <x:c r="O367" s="17" t="n">
        <x:f>IF('Control Room'!$B$5="Normal",'Control Room'!$B$7,('Control Room'!$B$8+'Control Room'!$D$8)/2)+'Control Room'!$B$9*(O366-IF('Control Room'!$B$5="Normal",'Control Room'!$B$7,('Control Room'!$B$8+'Control Room'!$D$8)/2))+SQRT(1-'Control Room'!$B$9^2)*(N367-IF('Control Room'!$B$5="Normal",'Control Room'!$B$7,('Control Room'!$B$8+'Control Room'!$D$8)/2))</x:f>
        <x:v>951.4246510326057</x:v>
      </x:c>
      <x:c r="P367" s="17" t="n">
        <x:f>IF(AND($A367&gt;='Control Room'!$A$13,$A367&lt;'Control Room'!$A$13+'Control Room'!$B$13,'Process'!BM2=1),1+('Control Room'!$C$13-1)*EXP(-0.5*(($A367-'Control Room'!$A$13-('Control Room'!$B$13-1)/2)/MAX(0.5,'Control Room'!$B$13/4))^2),1)*IF(AND($A367&gt;='Control Room'!$A$14,$A367&lt;'Control Room'!$A$14+'Control Room'!$B$14,'Process'!BM3=1),1+('Control Room'!$C$14-1)*EXP(-0.5*(($A367-'Control Room'!$A$14-('Control Room'!$B$14-1)/2)/MAX(0.5,'Control Room'!$B$14/4))^2),1)*IF(AND($A367&gt;='Control Room'!$A$15,$A367&lt;'Control Room'!$A$15+'Control Room'!$B$15,'Process'!BM4=1),1+('Control Room'!$C$15-1)*EXP(-0.5*(($A367-'Control Room'!$A$15-('Control Room'!$B$15-1)/2)/MAX(0.5,'Control Room'!$B$15/4))^2),1)*IF(AND($A367&gt;='Control Room'!$A$16,$A367&lt;'Control Room'!$A$16+'Control Room'!$B$16,'Process'!BM5=1),1+('Control Room'!$C$16-1)*EXP(-0.5*(($A367-'Control Room'!$A$16-('Control Room'!$B$16-1)/2)/MAX(0.5,'Control Room'!$B$16/4))^2),1)</x:f>
        <x:v>1</x:v>
      </x:c>
      <x:c r="Q367" s="9" t="n">
        <x:f>MOD(R366*16807,2147483647)</x:f>
        <x:v>1710302524</x:v>
      </x:c>
      <x:c r="R367" s="9" t="n">
        <x:f>MOD(Q367*16807,2147483647)</x:f>
        <x:v>985905773</x:v>
      </x:c>
      <x:c r="S367" s="17" t="n">
        <x:f>IF('Control Room'!$B$5="Normal",'Control Room'!$B$7+'Control Room'!$D$7*SQRT(-2*LN(MAX(0.000000000001,Q367/2147483647)))*COS(2*PI()*R367/2147483647),'Control Room'!$B$8+('Control Room'!$D$8-'Control Room'!$B$8)*Q367/2147483647)</x:f>
        <x:v>941.2691175076486</x:v>
      </x:c>
      <x:c r="T367" s="17" t="n">
        <x:f>IF('Control Room'!$B$5="Normal",'Control Room'!$B$7,('Control Room'!$B$8+'Control Room'!$D$8)/2)+'Control Room'!$B$9*(T366-IF('Control Room'!$B$5="Normal",'Control Room'!$B$7,('Control Room'!$B$8+'Control Room'!$D$8)/2))+SQRT(1-'Control Room'!$B$9^2)*(S367-IF('Control Room'!$B$5="Normal",'Control Room'!$B$7,('Control Room'!$B$8+'Control Room'!$D$8)/2))</x:f>
        <x:v>943.4561002360804</x:v>
      </x:c>
      <x:c r="U367" s="17" t="n">
        <x:f>IF(AND($A367&gt;='Control Room'!$A$13,$A367&lt;'Control Room'!$A$13+'Control Room'!$B$13,'Process'!BN2=1),1+('Control Room'!$C$13-1)*EXP(-0.5*(($A367-'Control Room'!$A$13-('Control Room'!$B$13-1)/2)/MAX(0.5,'Control Room'!$B$13/4))^2),1)*IF(AND($A367&gt;='Control Room'!$A$14,$A367&lt;'Control Room'!$A$14+'Control Room'!$B$14,'Process'!BN3=1),1+('Control Room'!$C$14-1)*EXP(-0.5*(($A367-'Control Room'!$A$14-('Control Room'!$B$14-1)/2)/MAX(0.5,'Control Room'!$B$14/4))^2),1)*IF(AND($A367&gt;='Control Room'!$A$15,$A367&lt;'Control Room'!$A$15+'Control Room'!$B$15,'Process'!BN4=1),1+('Control Room'!$C$15-1)*EXP(-0.5*(($A367-'Control Room'!$A$15-('Control Room'!$B$15-1)/2)/MAX(0.5,'Control Room'!$B$15/4))^2),1)*IF(AND($A367&gt;='Control Room'!$A$16,$A367&lt;'Control Room'!$A$16+'Control Room'!$B$16,'Process'!BN5=1),1+('Control Room'!$C$16-1)*EXP(-0.5*(($A367-'Control Room'!$A$16-('Control Room'!$B$16-1)/2)/MAX(0.5,'Control Room'!$B$16/4))^2),1)</x:f>
        <x:v>1</x:v>
      </x:c>
      <x:c r="V367" s="9" t="n">
        <x:f>MOD(W366*16807,2147483647)</x:f>
        <x:v>1903618215</x:v>
      </x:c>
      <x:c r="W367" s="9" t="n">
        <x:f>MOD(V367*16807,2147483647)</x:f>
        <x:v>899966499</x:v>
      </x:c>
      <x:c r="X367" s="17" t="n">
        <x:f>IF('Control Room'!$B$5="Normal",'Control Room'!$B$7+'Control Room'!$D$7*SQRT(-2*LN(MAX(0.000000000001,V367/2147483647)))*COS(2*PI()*W367/2147483647),'Control Room'!$B$8+('Control Room'!$D$8-'Control Room'!$B$8)*V367/2147483647)</x:f>
        <x:v>961.399795951412</x:v>
      </x:c>
      <x:c r="Y367" s="17" t="n">
        <x:f>IF('Control Room'!$B$5="Normal",'Control Room'!$B$7,('Control Room'!$B$8+'Control Room'!$D$8)/2)+'Control Room'!$B$9*(Y366-IF('Control Room'!$B$5="Normal",'Control Room'!$B$7,('Control Room'!$B$8+'Control Room'!$D$8)/2))+SQRT(1-'Control Room'!$B$9^2)*(X367-IF('Control Room'!$B$5="Normal",'Control Room'!$B$7,('Control Room'!$B$8+'Control Room'!$D$8)/2))</x:f>
        <x:v>848.4208746087058</x:v>
      </x:c>
      <x:c r="Z367" s="17" t="n">
        <x:f>IF(AND($A367&gt;='Control Room'!$A$13,$A367&lt;'Control Room'!$A$13+'Control Room'!$B$13,'Process'!BO2=1),1+('Control Room'!$C$13-1)*EXP(-0.5*(($A367-'Control Room'!$A$13-('Control Room'!$B$13-1)/2)/MAX(0.5,'Control Room'!$B$13/4))^2),1)*IF(AND($A367&gt;='Control Room'!$A$14,$A367&lt;'Control Room'!$A$14+'Control Room'!$B$14,'Process'!BO3=1),1+('Control Room'!$C$14-1)*EXP(-0.5*(($A367-'Control Room'!$A$14-('Control Room'!$B$14-1)/2)/MAX(0.5,'Control Room'!$B$14/4))^2),1)*IF(AND($A367&gt;='Control Room'!$A$15,$A367&lt;'Control Room'!$A$15+'Control Room'!$B$15,'Process'!BO4=1),1+('Control Room'!$C$15-1)*EXP(-0.5*(($A367-'Control Room'!$A$15-('Control Room'!$B$15-1)/2)/MAX(0.5,'Control Room'!$B$15/4))^2),1)*IF(AND($A367&gt;='Control Room'!$A$16,$A367&lt;'Control Room'!$A$16+'Control Room'!$B$16,'Process'!BO5=1),1+('Control Room'!$C$16-1)*EXP(-0.5*(($A367-'Control Room'!$A$16-('Control Room'!$B$16-1)/2)/MAX(0.5,'Control Room'!$B$16/4))^2),1)</x:f>
        <x:v>1</x:v>
      </x:c>
      <x:c r="AA367" s="9" t="n">
        <x:f>MOD(AB366*16807,2147483647)</x:f>
        <x:v>2096933906</x:v>
      </x:c>
      <x:c r="AB367" s="9" t="n">
        <x:f>MOD(AA367*16807,2147483647)</x:f>
        <x:v>814027225</x:v>
      </x:c>
      <x:c r="AC367" s="17" t="n">
        <x:f>IF('Control Room'!$B$5="Normal",'Control Room'!$B$7+'Control Room'!$D$7*SQRT(-2*LN(MAX(0.000000000001,AA367/2147483647)))*COS(2*PI()*AB367/2147483647),'Control Room'!$B$8+('Control Room'!$D$8-'Control Room'!$B$8)*AA367/2147483647)</x:f>
        <x:v>985.7596225007744</x:v>
      </x:c>
      <x:c r="AD367" s="17" t="n">
        <x:f>IF('Control Room'!$B$5="Normal",'Control Room'!$B$7,('Control Room'!$B$8+'Control Room'!$D$8)/2)+'Control Room'!$B$9*(AD366-IF('Control Room'!$B$5="Normal",'Control Room'!$B$7,('Control Room'!$B$8+'Control Room'!$D$8)/2))+SQRT(1-'Control Room'!$B$9^2)*(AC367-IF('Control Room'!$B$5="Normal",'Control Room'!$B$7,('Control Room'!$B$8+'Control Room'!$D$8)/2))</x:f>
        <x:v>1077.7116739742448</x:v>
      </x:c>
      <x:c r="AE367" s="17" t="n">
        <x:f>IF(AND($A367&gt;='Control Room'!$A$13,$A367&lt;'Control Room'!$A$13+'Control Room'!$B$13,'Process'!BP2=1),1+('Control Room'!$C$13-1)*EXP(-0.5*(($A367-'Control Room'!$A$13-('Control Room'!$B$13-1)/2)/MAX(0.5,'Control Room'!$B$13/4))^2),1)*IF(AND($A367&gt;='Control Room'!$A$14,$A367&lt;'Control Room'!$A$14+'Control Room'!$B$14,'Process'!BP3=1),1+('Control Room'!$C$14-1)*EXP(-0.5*(($A367-'Control Room'!$A$14-('Control Room'!$B$14-1)/2)/MAX(0.5,'Control Room'!$B$14/4))^2),1)*IF(AND($A367&gt;='Control Room'!$A$15,$A367&lt;'Control Room'!$A$15+'Control Room'!$B$15,'Process'!BP4=1),1+('Control Room'!$C$15-1)*EXP(-0.5*(($A367-'Control Room'!$A$15-('Control Room'!$B$15-1)/2)/MAX(0.5,'Control Room'!$B$15/4))^2),1)*IF(AND($A367&gt;='Control Room'!$A$16,$A367&lt;'Control Room'!$A$16+'Control Room'!$B$16,'Process'!BP5=1),1+('Control Room'!$C$16-1)*EXP(-0.5*(($A367-'Control Room'!$A$16-('Control Room'!$B$16-1)/2)/MAX(0.5,'Control Room'!$B$16/4))^2),1)</x:f>
        <x:v>1</x:v>
      </x:c>
      <x:c r="AF367" s="9" t="n">
        <x:f>MOD(AG366*16807,2147483647)</x:f>
        <x:v>142765950</x:v>
      </x:c>
      <x:c r="AG367" s="9" t="n">
        <x:f>MOD(AF367*16807,2147483647)</x:f>
        <x:v>728087951</x:v>
      </x:c>
      <x:c r="AH367" s="17" t="n">
        <x:f>IF('Control Room'!$B$5="Normal",'Control Room'!$B$7+'Control Room'!$D$7*SQRT(-2*LN(MAX(0.000000000001,AF367/2147483647)))*COS(2*PI()*AG367/2147483647),'Control Room'!$B$8+('Control Room'!$D$8-'Control Room'!$B$8)*AF367/2147483647)</x:f>
        <x:v>888.7784026855472</x:v>
      </x:c>
      <x:c r="AI367" s="17" t="n">
        <x:f>IF('Control Room'!$B$5="Normal",'Control Room'!$B$7,('Control Room'!$B$8+'Control Room'!$D$8)/2)+'Control Room'!$B$9*(AI366-IF('Control Room'!$B$5="Normal",'Control Room'!$B$7,('Control Room'!$B$8+'Control Room'!$D$8)/2))+SQRT(1-'Control Room'!$B$9^2)*(AH367-IF('Control Room'!$B$5="Normal",'Control Room'!$B$7,('Control Room'!$B$8+'Control Room'!$D$8)/2))</x:f>
        <x:v>999.957141916109</x:v>
      </x:c>
      <x:c r="AJ367" s="17" t="n">
        <x:f>IF(AND($A367&gt;='Control Room'!$A$13,$A367&lt;'Control Room'!$A$13+'Control Room'!$B$13,'Process'!BQ2=1),1+('Control Room'!$C$13-1)*EXP(-0.5*(($A367-'Control Room'!$A$13-('Control Room'!$B$13-1)/2)/MAX(0.5,'Control Room'!$B$13/4))^2),1)*IF(AND($A367&gt;='Control Room'!$A$14,$A367&lt;'Control Room'!$A$14+'Control Room'!$B$14,'Process'!BQ3=1),1+('Control Room'!$C$14-1)*EXP(-0.5*(($A367-'Control Room'!$A$14-('Control Room'!$B$14-1)/2)/MAX(0.5,'Control Room'!$B$14/4))^2),1)*IF(AND($A367&gt;='Control Room'!$A$15,$A367&lt;'Control Room'!$A$15+'Control Room'!$B$15,'Process'!BQ4=1),1+('Control Room'!$C$15-1)*EXP(-0.5*(($A367-'Control Room'!$A$15-('Control Room'!$B$15-1)/2)/MAX(0.5,'Control Room'!$B$15/4))^2),1)*IF(AND($A367&gt;='Control Room'!$A$16,$A367&lt;'Control Room'!$A$16+'Control Room'!$B$16,'Process'!BQ5=1),1+('Control Room'!$C$16-1)*EXP(-0.5*(($A367-'Control Room'!$A$16-('Control Room'!$B$16-1)/2)/MAX(0.5,'Control Room'!$B$16/4))^2),1)</x:f>
        <x:v>1</x:v>
      </x:c>
      <x:c r="AK367" s="9" t="n">
        <x:f>MOD(AL366*16807,2147483647)</x:f>
        <x:v>336081641</x:v>
      </x:c>
      <x:c r="AL367" s="9" t="n">
        <x:f>MOD(AK367*16807,2147483647)</x:f>
        <x:v>642148677</x:v>
      </x:c>
      <x:c r="AM367" s="17" t="n">
        <x:f>IF('Control Room'!$B$5="Normal",'Control Room'!$B$7+'Control Room'!$D$7*SQRT(-2*LN(MAX(0.000000000001,AK367/2147483647)))*COS(2*PI()*AL367/2147483647),'Control Room'!$B$8+('Control Room'!$D$8-'Control Room'!$B$8)*AK367/2147483647)</x:f>
        <x:v>947.4477532977212</x:v>
      </x:c>
      <x:c r="AN367" s="17" t="n">
        <x:f>IF('Control Room'!$B$5="Normal",'Control Room'!$B$7,('Control Room'!$B$8+'Control Room'!$D$8)/2)+'Control Room'!$B$9*(AN366-IF('Control Room'!$B$5="Normal",'Control Room'!$B$7,('Control Room'!$B$8+'Control Room'!$D$8)/2))+SQRT(1-'Control Room'!$B$9^2)*(AM367-IF('Control Room'!$B$5="Normal",'Control Room'!$B$7,('Control Room'!$B$8+'Control Room'!$D$8)/2))</x:f>
        <x:v>819.0132990640457</x:v>
      </x:c>
      <x:c r="AO367" s="17" t="n">
        <x:f>IF(AND($A367&gt;='Control Room'!$A$13,$A367&lt;'Control Room'!$A$13+'Control Room'!$B$13,'Process'!BR2=1),1+('Control Room'!$C$13-1)*EXP(-0.5*(($A367-'Control Room'!$A$13-('Control Room'!$B$13-1)/2)/MAX(0.5,'Control Room'!$B$13/4))^2),1)*IF(AND($A367&gt;='Control Room'!$A$14,$A367&lt;'Control Room'!$A$14+'Control Room'!$B$14,'Process'!BR3=1),1+('Control Room'!$C$14-1)*EXP(-0.5*(($A367-'Control Room'!$A$14-('Control Room'!$B$14-1)/2)/MAX(0.5,'Control Room'!$B$14/4))^2),1)*IF(AND($A367&gt;='Control Room'!$A$15,$A367&lt;'Control Room'!$A$15+'Control Room'!$B$15,'Process'!BR4=1),1+('Control Room'!$C$15-1)*EXP(-0.5*(($A367-'Control Room'!$A$15-('Control Room'!$B$15-1)/2)/MAX(0.5,'Control Room'!$B$15/4))^2),1)*IF(AND($A367&gt;='Control Room'!$A$16,$A367&lt;'Control Room'!$A$16+'Control Room'!$B$16,'Process'!BR5=1),1+('Control Room'!$C$16-1)*EXP(-0.5*(($A367-'Control Room'!$A$16-('Control Room'!$B$16-1)/2)/MAX(0.5,'Control Room'!$B$16/4))^2),1)</x:f>
        <x:v>1</x:v>
      </x:c>
      <x:c r="AP367" s="9" t="n">
        <x:f>MOD(AQ366*16807,2147483647)</x:f>
        <x:v>529397332</x:v>
      </x:c>
      <x:c r="AQ367" s="9" t="n">
        <x:f>MOD(AP367*16807,2147483647)</x:f>
        <x:v>556209403</x:v>
      </x:c>
      <x:c r="AR367" s="17" t="n">
        <x:f>IF('Control Room'!$B$5="Normal",'Control Room'!$B$7+'Control Room'!$D$7*SQRT(-2*LN(MAX(0.000000000001,AP367/2147483647)))*COS(2*PI()*AQ367/2147483647),'Control Room'!$B$8+('Control Room'!$D$8-'Control Room'!$B$8)*AP367/2147483647)</x:f>
        <x:v>991.4825248821882</x:v>
      </x:c>
      <x:c r="AS367" s="17" t="n">
        <x:f>IF('Control Room'!$B$5="Normal",'Control Room'!$B$7,('Control Room'!$B$8+'Control Room'!$D$8)/2)+'Control Room'!$B$9*(AS366-IF('Control Room'!$B$5="Normal",'Control Room'!$B$7,('Control Room'!$B$8+'Control Room'!$D$8)/2))+SQRT(1-'Control Room'!$B$9^2)*(AR367-IF('Control Room'!$B$5="Normal",'Control Room'!$B$7,('Control Room'!$B$8+'Control Room'!$D$8)/2))</x:f>
        <x:v>1012.6743059989457</x:v>
      </x:c>
      <x:c r="AT367" s="17" t="n">
        <x:f>IF(AND($A367&gt;='Control Room'!$A$13,$A367&lt;'Control Room'!$A$13+'Control Room'!$B$13,'Process'!BS2=1),1+('Control Room'!$C$13-1)*EXP(-0.5*(($A367-'Control Room'!$A$13-('Control Room'!$B$13-1)/2)/MAX(0.5,'Control Room'!$B$13/4))^2),1)*IF(AND($A367&gt;='Control Room'!$A$14,$A367&lt;'Control Room'!$A$14+'Control Room'!$B$14,'Process'!BS3=1),1+('Control Room'!$C$14-1)*EXP(-0.5*(($A367-'Control Room'!$A$14-('Control Room'!$B$14-1)/2)/MAX(0.5,'Control Room'!$B$14/4))^2),1)*IF(AND($A367&gt;='Control Room'!$A$15,$A367&lt;'Control Room'!$A$15+'Control Room'!$B$15,'Process'!BS4=1),1+('Control Room'!$C$15-1)*EXP(-0.5*(($A367-'Control Room'!$A$15-('Control Room'!$B$15-1)/2)/MAX(0.5,'Control Room'!$B$15/4))^2),1)*IF(AND($A367&gt;='Control Room'!$A$16,$A367&lt;'Control Room'!$A$16+'Control Room'!$B$16,'Process'!BS5=1),1+('Control Room'!$C$16-1)*EXP(-0.5*(($A367-'Control Room'!$A$16-('Control Room'!$B$16-1)/2)/MAX(0.5,'Control Room'!$B$16/4))^2),1)</x:f>
        <x:v>1</x:v>
      </x:c>
      <x:c r="AU367" s="9" t="n">
        <x:f>MOD(AV366*16807,2147483647)</x:f>
        <x:v>722713023</x:v>
      </x:c>
      <x:c r="AV367" s="9" t="n">
        <x:f>MOD(AU367*16807,2147483647)</x:f>
        <x:v>470270129</x:v>
      </x:c>
      <x:c r="AW367" s="17" t="n">
        <x:f>IF('Control Room'!$B$5="Normal",'Control Room'!$B$7+'Control Room'!$D$7*SQRT(-2*LN(MAX(0.000000000001,AU367/2147483647)))*COS(2*PI()*AV367/2147483647),'Control Room'!$B$8+('Control Room'!$D$8-'Control Room'!$B$8)*AU367/2147483647)</x:f>
        <x:v>1025.7191589119195</x:v>
      </x:c>
      <x:c r="AX367" s="17" t="n">
        <x:f>IF('Control Room'!$B$5="Normal",'Control Room'!$B$7,('Control Room'!$B$8+'Control Room'!$D$8)/2)+'Control Room'!$B$9*(AX366-IF('Control Room'!$B$5="Normal",'Control Room'!$B$7,('Control Room'!$B$8+'Control Room'!$D$8)/2))+SQRT(1-'Control Room'!$B$9^2)*(AW367-IF('Control Room'!$B$5="Normal",'Control Room'!$B$7,('Control Room'!$B$8+'Control Room'!$D$8)/2))</x:f>
        <x:v>1082.7498457528202</x:v>
      </x:c>
      <x:c r="AY367" s="17" t="n">
        <x:f>IF(AND($A367&gt;='Control Room'!$A$13,$A367&lt;'Control Room'!$A$13+'Control Room'!$B$13,'Process'!BT2=1),1+('Control Room'!$C$13-1)*EXP(-0.5*(($A367-'Control Room'!$A$13-('Control Room'!$B$13-1)/2)/MAX(0.5,'Control Room'!$B$13/4))^2),1)*IF(AND($A367&gt;='Control Room'!$A$14,$A367&lt;'Control Room'!$A$14+'Control Room'!$B$14,'Process'!BT3=1),1+('Control Room'!$C$14-1)*EXP(-0.5*(($A367-'Control Room'!$A$14-('Control Room'!$B$14-1)/2)/MAX(0.5,'Control Room'!$B$14/4))^2),1)*IF(AND($A367&gt;='Control Room'!$A$15,$A367&lt;'Control Room'!$A$15+'Control Room'!$B$15,'Process'!BT4=1),1+('Control Room'!$C$15-1)*EXP(-0.5*(($A367-'Control Room'!$A$15-('Control Room'!$B$15-1)/2)/MAX(0.5,'Control Room'!$B$15/4))^2),1)*IF(AND($A367&gt;='Control Room'!$A$16,$A367&lt;'Control Room'!$A$16+'Control Room'!$B$16,'Process'!BT5=1),1+('Control Room'!$C$16-1)*EXP(-0.5*(($A367-'Control Room'!$A$16-('Control Room'!$B$16-1)/2)/MAX(0.5,'Control Room'!$B$16/4))^2),1)</x:f>
        <x:v>1</x:v>
      </x:c>
      <x:c r="AZ367" s="9" t="n">
        <x:f>MOD(BA366*16807,2147483647)</x:f>
        <x:v>916028714</x:v>
      </x:c>
      <x:c r="BA367" s="9" t="n">
        <x:f>MOD(AZ367*16807,2147483647)</x:f>
        <x:v>384330855</x:v>
      </x:c>
      <x:c r="BB367" s="17" t="n">
        <x:f>IF('Control Room'!$B$5="Normal",'Control Room'!$B$7+'Control Room'!$D$7*SQRT(-2*LN(MAX(0.000000000001,AZ367/2147483647)))*COS(2*PI()*BA367/2147483647),'Control Room'!$B$8+('Control Room'!$D$8-'Control Room'!$B$8)*AZ367/2147483647)</x:f>
        <x:v>1050.7104533273482</x:v>
      </x:c>
      <x:c r="BC367" s="17" t="n">
        <x:f>IF('Control Room'!$B$5="Normal",'Control Room'!$B$7,('Control Room'!$B$8+'Control Room'!$D$8)/2)+'Control Room'!$B$9*(BC366-IF('Control Room'!$B$5="Normal",'Control Room'!$B$7,('Control Room'!$B$8+'Control Room'!$D$8)/2))+SQRT(1-'Control Room'!$B$9^2)*(BB367-IF('Control Room'!$B$5="Normal",'Control Room'!$B$7,('Control Room'!$B$8+'Control Room'!$D$8)/2))</x:f>
        <x:v>1026.7333291857665</x:v>
      </x:c>
      <x:c r="BD367" s="17" t="n">
        <x:f>IF(AND($A367&gt;='Control Room'!$A$13,$A367&lt;'Control Room'!$A$13+'Control Room'!$B$13,'Process'!BU2=1),1+('Control Room'!$C$13-1)*EXP(-0.5*(($A367-'Control Room'!$A$13-('Control Room'!$B$13-1)/2)/MAX(0.5,'Control Room'!$B$13/4))^2),1)*IF(AND($A367&gt;='Control Room'!$A$14,$A367&lt;'Control Room'!$A$14+'Control Room'!$B$14,'Process'!BU3=1),1+('Control Room'!$C$14-1)*EXP(-0.5*(($A367-'Control Room'!$A$14-('Control Room'!$B$14-1)/2)/MAX(0.5,'Control Room'!$B$14/4))^2),1)*IF(AND($A367&gt;='Control Room'!$A$15,$A367&lt;'Control Room'!$A$15+'Control Room'!$B$15,'Process'!BU4=1),1+('Control Room'!$C$15-1)*EXP(-0.5*(($A367-'Control Room'!$A$15-('Control Room'!$B$15-1)/2)/MAX(0.5,'Control Room'!$B$15/4))^2),1)*IF(AND($A367&gt;='Control Room'!$A$16,$A367&lt;'Control Room'!$A$16+'Control Room'!$B$16,'Process'!BU5=1),1+('Control Room'!$C$16-1)*EXP(-0.5*(($A367-'Control Room'!$A$16-('Control Room'!$B$16-1)/2)/MAX(0.5,'Control Room'!$B$16/4))^2),1)</x:f>
        <x:v>1</x:v>
      </x:c>
      <x:c r="BE367" s="9" t="n">
        <x:f>MOD(BF366*16807,2147483647)</x:f>
        <x:v>1109344405</x:v>
      </x:c>
      <x:c r="BF367" s="9" t="n">
        <x:f>MOD(BE367*16807,2147483647)</x:f>
        <x:v>298391581</x:v>
      </x:c>
      <x:c r="BG367" s="17" t="n">
        <x:f>IF('Control Room'!$B$5="Normal",'Control Room'!$B$7+'Control Room'!$D$7*SQRT(-2*LN(MAX(0.000000000001,BE367/2147483647)))*COS(2*PI()*BF367/2147483647),'Control Room'!$B$8+('Control Room'!$D$8-'Control Room'!$B$8)*BE367/2147483647)</x:f>
        <x:v>1066.4620276979952</x:v>
      </x:c>
      <x:c r="BH367" s="17" t="n">
        <x:f>IF('Control Room'!$B$5="Normal",'Control Room'!$B$7,('Control Room'!$B$8+'Control Room'!$D$8)/2)+'Control Room'!$B$9*(BH366-IF('Control Room'!$B$5="Normal",'Control Room'!$B$7,('Control Room'!$B$8+'Control Room'!$D$8)/2))+SQRT(1-'Control Room'!$B$9^2)*(BG367-IF('Control Room'!$B$5="Normal",'Control Room'!$B$7,('Control Room'!$B$8+'Control Room'!$D$8)/2))</x:f>
        <x:v>912.8216554388703</x:v>
      </x:c>
      <x:c r="BI367" s="17" t="n">
        <x:f>IF(AND($A367&gt;='Control Room'!$A$13,$A367&lt;'Control Room'!$A$13+'Control Room'!$B$13,'Process'!BV2=1),1+('Control Room'!$C$13-1)*EXP(-0.5*(($A367-'Control Room'!$A$13-('Control Room'!$B$13-1)/2)/MAX(0.5,'Control Room'!$B$13/4))^2),1)*IF(AND($A367&gt;='Control Room'!$A$14,$A367&lt;'Control Room'!$A$14+'Control Room'!$B$14,'Process'!BV3=1),1+('Control Room'!$C$14-1)*EXP(-0.5*(($A367-'Control Room'!$A$14-('Control Room'!$B$14-1)/2)/MAX(0.5,'Control Room'!$B$14/4))^2),1)*IF(AND($A367&gt;='Control Room'!$A$15,$A367&lt;'Control Room'!$A$15+'Control Room'!$B$15,'Process'!BV4=1),1+('Control Room'!$C$15-1)*EXP(-0.5*(($A367-'Control Room'!$A$15-('Control Room'!$B$15-1)/2)/MAX(0.5,'Control Room'!$B$15/4))^2),1)*IF(AND($A367&gt;='Control Room'!$A$16,$A367&lt;'Control Room'!$A$16+'Control Room'!$B$16,'Process'!BV5=1),1+('Control Room'!$C$16-1)*EXP(-0.5*(($A367-'Control Room'!$A$16-('Control Room'!$B$16-1)/2)/MAX(0.5,'Control Room'!$B$16/4))^2),1)</x:f>
        <x:v>1</x:v>
      </x:c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Z367" t="str">
        <x:f>IF('Data'!A367="","",TEXT('Data'!A367,"mm-dd"))</x:f>
      </x:c>
    </x:row>
    <x:row r="368" ht="21" customHeight="1">
      <x:c r="A368" s="15" t="n">
        <x:f>'Control Room'!$B$1+366</x:f>
        <x:v>73357</x:v>
      </x:c>
      <x:c r="B368" s="9" t="n">
        <x:f>MOD(C367*16807,2147483647)</x:f>
        <x:v>1804124914</x:v>
      </x:c>
      <x:c r="C368" s="9" t="n">
        <x:f>MOD(B368*16807,2147483647)</x:f>
        <x:v>1605817605</x:v>
      </x:c>
      <x:c r="D368" s="17" t="n">
        <x:f>IF('Control Room'!$B$5="Normal",'Control Room'!$B$7+'Control Room'!$D$7*SQRT(-2*LN(MAX(0.000000000001,B368/2147483647)))*COS(2*PI()*C368/2147483647),'Control Room'!$B$8+('Control Room'!$D$8-'Control Room'!$B$8)*B368/2147483647)</x:f>
        <x:v>999.2546778221125</x:v>
      </x:c>
      <x:c r="E368" s="17" t="n">
        <x:f>IF('Control Room'!$B$5="Normal",'Control Room'!$B$7,('Control Room'!$B$8+'Control Room'!$D$8)/2)+'Control Room'!$B$9*(E367-IF('Control Room'!$B$5="Normal",'Control Room'!$B$7,('Control Room'!$B$8+'Control Room'!$D$8)/2))+SQRT(1-'Control Room'!$B$9^2)*(D368-IF('Control Room'!$B$5="Normal",'Control Room'!$B$7,('Control Room'!$B$8+'Control Room'!$D$8)/2))</x:f>
        <x:v>931.8420617801271</x:v>
      </x:c>
      <x:c r="F368" s="17" t="n">
        <x:f>IF(AND($A368&gt;='Control Room'!$A$13,$A368&lt;'Control Room'!$A$13+'Control Room'!$B$13,'Process'!BK2=1),1+('Control Room'!$C$13-1)*EXP(-0.5*(($A368-'Control Room'!$A$13-('Control Room'!$B$13-1)/2)/MAX(0.5,'Control Room'!$B$13/4))^2),1)*IF(AND($A368&gt;='Control Room'!$A$14,$A368&lt;'Control Room'!$A$14+'Control Room'!$B$14,'Process'!BK3=1),1+('Control Room'!$C$14-1)*EXP(-0.5*(($A368-'Control Room'!$A$14-('Control Room'!$B$14-1)/2)/MAX(0.5,'Control Room'!$B$14/4))^2),1)*IF(AND($A368&gt;='Control Room'!$A$15,$A368&lt;'Control Room'!$A$15+'Control Room'!$B$15,'Process'!BK4=1),1+('Control Room'!$C$15-1)*EXP(-0.5*(($A368-'Control Room'!$A$15-('Control Room'!$B$15-1)/2)/MAX(0.5,'Control Room'!$B$15/4))^2),1)*IF(AND($A368&gt;='Control Room'!$A$16,$A368&lt;'Control Room'!$A$16+'Control Room'!$B$16,'Process'!BK5=1),1+('Control Room'!$C$16-1)*EXP(-0.5*(($A368-'Control Room'!$A$16-('Control Room'!$B$16-1)/2)/MAX(0.5,'Control Room'!$B$16/4))^2),1)</x:f>
        <x:v>1</x:v>
      </x:c>
      <x:c r="G368" s="9" t="n">
        <x:f>MOD(H367*16807,2147483647)</x:f>
        <x:v>531757580</x:v>
      </x:c>
      <x:c r="H368" s="9" t="n">
        <x:f>MOD(G368*16807,2147483647)</x:f>
        <x:v>1570191893</x:v>
      </x:c>
      <x:c r="I368" s="17" t="n">
        <x:f>IF('Control Room'!$B$5="Normal",'Control Room'!$B$7+'Control Room'!$D$7*SQRT(-2*LN(MAX(0.000000000001,G368/2147483647)))*COS(2*PI()*H368/2147483647),'Control Room'!$B$8+('Control Room'!$D$8-'Control Room'!$B$8)*G368/2147483647)</x:f>
        <x:v>982.2572219150604</x:v>
      </x:c>
      <x:c r="J368" s="17" t="n">
        <x:f>IF('Control Room'!$B$5="Normal",'Control Room'!$B$7,('Control Room'!$B$8+'Control Room'!$D$8)/2)+'Control Room'!$B$9*(J367-IF('Control Room'!$B$5="Normal",'Control Room'!$B$7,('Control Room'!$B$8+'Control Room'!$D$8)/2))+SQRT(1-'Control Room'!$B$9^2)*(I368-IF('Control Room'!$B$5="Normal",'Control Room'!$B$7,('Control Room'!$B$8+'Control Room'!$D$8)/2))</x:f>
        <x:v>959.0411331929789</x:v>
      </x:c>
      <x:c r="K368" s="17" t="n">
        <x:f>IF(AND($A368&gt;='Control Room'!$A$13,$A368&lt;'Control Room'!$A$13+'Control Room'!$B$13,'Process'!BL2=1),1+('Control Room'!$C$13-1)*EXP(-0.5*(($A368-'Control Room'!$A$13-('Control Room'!$B$13-1)/2)/MAX(0.5,'Control Room'!$B$13/4))^2),1)*IF(AND($A368&gt;='Control Room'!$A$14,$A368&lt;'Control Room'!$A$14+'Control Room'!$B$14,'Process'!BL3=1),1+('Control Room'!$C$14-1)*EXP(-0.5*(($A368-'Control Room'!$A$14-('Control Room'!$B$14-1)/2)/MAX(0.5,'Control Room'!$B$14/4))^2),1)*IF(AND($A368&gt;='Control Room'!$A$15,$A368&lt;'Control Room'!$A$15+'Control Room'!$B$15,'Process'!BL4=1),1+('Control Room'!$C$15-1)*EXP(-0.5*(($A368-'Control Room'!$A$15-('Control Room'!$B$15-1)/2)/MAX(0.5,'Control Room'!$B$15/4))^2),1)*IF(AND($A368&gt;='Control Room'!$A$16,$A368&lt;'Control Room'!$A$16+'Control Room'!$B$16,'Process'!BL5=1),1+('Control Room'!$C$16-1)*EXP(-0.5*(($A368-'Control Room'!$A$16-('Control Room'!$B$16-1)/2)/MAX(0.5,'Control Room'!$B$16/4))^2),1)</x:f>
        <x:v>1</x:v>
      </x:c>
      <x:c r="L368" s="9" t="n">
        <x:f>MOD(M367*16807,2147483647)</x:f>
        <x:v>1406873893</x:v>
      </x:c>
      <x:c r="M368" s="9" t="n">
        <x:f>MOD(L368*16807,2147483647)</x:f>
        <x:v>1534566181</x:v>
      </x:c>
      <x:c r="N368" s="17" t="n">
        <x:f>IF('Control Room'!$B$5="Normal",'Control Room'!$B$7+'Control Room'!$D$7*SQRT(-2*LN(MAX(0.000000000001,L368/2147483647)))*COS(2*PI()*M368/2147483647),'Control Room'!$B$8+('Control Room'!$D$8-'Control Room'!$B$8)*L368/2147483647)</x:f>
        <x:v>981.7345552070042</x:v>
      </x:c>
      <x:c r="O368" s="17" t="n">
        <x:f>IF('Control Room'!$B$5="Normal",'Control Room'!$B$7,('Control Room'!$B$8+'Control Room'!$D$8)/2)+'Control Room'!$B$9*(O367-IF('Control Room'!$B$5="Normal",'Control Room'!$B$7,('Control Room'!$B$8+'Control Room'!$D$8)/2))+SQRT(1-'Control Room'!$B$9^2)*(N368-IF('Control Room'!$B$5="Normal",'Control Room'!$B$7,('Control Room'!$B$8+'Control Room'!$D$8)/2))</x:f>
        <x:v>950.6810866419512</x:v>
      </x:c>
      <x:c r="P368" s="17" t="n">
        <x:f>IF(AND($A368&gt;='Control Room'!$A$13,$A368&lt;'Control Room'!$A$13+'Control Room'!$B$13,'Process'!BM2=1),1+('Control Room'!$C$13-1)*EXP(-0.5*(($A368-'Control Room'!$A$13-('Control Room'!$B$13-1)/2)/MAX(0.5,'Control Room'!$B$13/4))^2),1)*IF(AND($A368&gt;='Control Room'!$A$14,$A368&lt;'Control Room'!$A$14+'Control Room'!$B$14,'Process'!BM3=1),1+('Control Room'!$C$14-1)*EXP(-0.5*(($A368-'Control Room'!$A$14-('Control Room'!$B$14-1)/2)/MAX(0.5,'Control Room'!$B$14/4))^2),1)*IF(AND($A368&gt;='Control Room'!$A$15,$A368&lt;'Control Room'!$A$15+'Control Room'!$B$15,'Process'!BM4=1),1+('Control Room'!$C$15-1)*EXP(-0.5*(($A368-'Control Room'!$A$15-('Control Room'!$B$15-1)/2)/MAX(0.5,'Control Room'!$B$15/4))^2),1)*IF(AND($A368&gt;='Control Room'!$A$16,$A368&lt;'Control Room'!$A$16+'Control Room'!$B$16,'Process'!BM5=1),1+('Control Room'!$C$16-1)*EXP(-0.5*(($A368-'Control Room'!$A$16-('Control Room'!$B$16-1)/2)/MAX(0.5,'Control Room'!$B$16/4))^2),1)</x:f>
        <x:v>1</x:v>
      </x:c>
      <x:c r="Q368" s="9" t="n">
        <x:f>MOD(R367*16807,2147483647)</x:f>
        <x:v>134506559</x:v>
      </x:c>
      <x:c r="R368" s="9" t="n">
        <x:f>MOD(Q368*16807,2147483647)</x:f>
        <x:v>1498940469</x:v>
      </x:c>
      <x:c r="S368" s="17" t="n">
        <x:f>IF('Control Room'!$B$5="Normal",'Control Room'!$B$7+'Control Room'!$D$7*SQRT(-2*LN(MAX(0.000000000001,Q368/2147483647)))*COS(2*PI()*R368/2147483647),'Control Room'!$B$8+('Control Room'!$D$8-'Control Room'!$B$8)*Q368/2147483647)</x:f>
        <x:v>932.0057436025273</x:v>
      </x:c>
      <x:c r="T368" s="17" t="n">
        <x:f>IF('Control Room'!$B$5="Normal",'Control Room'!$B$7,('Control Room'!$B$8+'Control Room'!$D$8)/2)+'Control Room'!$B$9*(T367-IF('Control Room'!$B$5="Normal",'Control Room'!$B$7,('Control Room'!$B$8+'Control Room'!$D$8)/2))+SQRT(1-'Control Room'!$B$9^2)*(S368-IF('Control Room'!$B$5="Normal",'Control Room'!$B$7,('Control Room'!$B$8+'Control Room'!$D$8)/2))</x:f>
        <x:v>913.3463454686595</x:v>
      </x:c>
      <x:c r="U368" s="17" t="n">
        <x:f>IF(AND($A368&gt;='Control Room'!$A$13,$A368&lt;'Control Room'!$A$13+'Control Room'!$B$13,'Process'!BN2=1),1+('Control Room'!$C$13-1)*EXP(-0.5*(($A368-'Control Room'!$A$13-('Control Room'!$B$13-1)/2)/MAX(0.5,'Control Room'!$B$13/4))^2),1)*IF(AND($A368&gt;='Control Room'!$A$14,$A368&lt;'Control Room'!$A$14+'Control Room'!$B$14,'Process'!BN3=1),1+('Control Room'!$C$14-1)*EXP(-0.5*(($A368-'Control Room'!$A$14-('Control Room'!$B$14-1)/2)/MAX(0.5,'Control Room'!$B$14/4))^2),1)*IF(AND($A368&gt;='Control Room'!$A$15,$A368&lt;'Control Room'!$A$15+'Control Room'!$B$15,'Process'!BN4=1),1+('Control Room'!$C$15-1)*EXP(-0.5*(($A368-'Control Room'!$A$15-('Control Room'!$B$15-1)/2)/MAX(0.5,'Control Room'!$B$15/4))^2),1)*IF(AND($A368&gt;='Control Room'!$A$16,$A368&lt;'Control Room'!$A$16+'Control Room'!$B$16,'Process'!BN5=1),1+('Control Room'!$C$16-1)*EXP(-0.5*(($A368-'Control Room'!$A$16-('Control Room'!$B$16-1)/2)/MAX(0.5,'Control Room'!$B$16/4))^2),1)</x:f>
        <x:v>1</x:v>
      </x:c>
      <x:c r="V368" s="9" t="n">
        <x:f>MOD(W367*16807,2147483647)</x:f>
        <x:v>1009622872</x:v>
      </x:c>
      <x:c r="W368" s="9" t="n">
        <x:f>MOD(V368*16807,2147483647)</x:f>
        <x:v>1463314757</x:v>
      </x:c>
      <x:c r="X368" s="17" t="n">
        <x:f>IF('Control Room'!$B$5="Normal",'Control Room'!$B$7+'Control Room'!$D$7*SQRT(-2*LN(MAX(0.000000000001,V368/2147483647)))*COS(2*PI()*W368/2147483647),'Control Room'!$B$8+('Control Room'!$D$8-'Control Room'!$B$8)*V368/2147483647)</x:f>
        <x:v>953.8077599497909</x:v>
      </x:c>
      <x:c r="Y368" s="17" t="n">
        <x:f>IF('Control Room'!$B$5="Normal",'Control Room'!$B$7,('Control Room'!$B$8+'Control Room'!$D$8)/2)+'Control Room'!$B$9*(Y367-IF('Control Room'!$B$5="Normal",'Control Room'!$B$7,('Control Room'!$B$8+'Control Room'!$D$8)/2))+SQRT(1-'Control Room'!$B$9^2)*(X368-IF('Control Room'!$B$5="Normal",'Control Room'!$B$7,('Control Room'!$B$8+'Control Room'!$D$8)/2))</x:f>
        <x:v>852.8621246708431</x:v>
      </x:c>
      <x:c r="Z368" s="17" t="n">
        <x:f>IF(AND($A368&gt;='Control Room'!$A$13,$A368&lt;'Control Room'!$A$13+'Control Room'!$B$13,'Process'!BO2=1),1+('Control Room'!$C$13-1)*EXP(-0.5*(($A368-'Control Room'!$A$13-('Control Room'!$B$13-1)/2)/MAX(0.5,'Control Room'!$B$13/4))^2),1)*IF(AND($A368&gt;='Control Room'!$A$14,$A368&lt;'Control Room'!$A$14+'Control Room'!$B$14,'Process'!BO3=1),1+('Control Room'!$C$14-1)*EXP(-0.5*(($A368-'Control Room'!$A$14-('Control Room'!$B$14-1)/2)/MAX(0.5,'Control Room'!$B$14/4))^2),1)*IF(AND($A368&gt;='Control Room'!$A$15,$A368&lt;'Control Room'!$A$15+'Control Room'!$B$15,'Process'!BO4=1),1+('Control Room'!$C$15-1)*EXP(-0.5*(($A368-'Control Room'!$A$15-('Control Room'!$B$15-1)/2)/MAX(0.5,'Control Room'!$B$15/4))^2),1)*IF(AND($A368&gt;='Control Room'!$A$16,$A368&lt;'Control Room'!$A$16+'Control Room'!$B$16,'Process'!BO5=1),1+('Control Room'!$C$16-1)*EXP(-0.5*(($A368-'Control Room'!$A$16-('Control Room'!$B$16-1)/2)/MAX(0.5,'Control Room'!$B$16/4))^2),1)</x:f>
        <x:v>1</x:v>
      </x:c>
      <x:c r="AA368" s="9" t="n">
        <x:f>MOD(AB367*16807,2147483647)</x:f>
        <x:v>1884739185</x:v>
      </x:c>
      <x:c r="AB368" s="9" t="n">
        <x:f>MOD(AA368*16807,2147483647)</x:f>
        <x:v>1427689045</x:v>
      </x:c>
      <x:c r="AC368" s="17" t="n">
        <x:f>IF('Control Room'!$B$5="Normal",'Control Room'!$B$7+'Control Room'!$D$7*SQRT(-2*LN(MAX(0.000000000001,AA368/2147483647)))*COS(2*PI()*AB368/2147483647),'Control Room'!$B$8+('Control Room'!$D$8-'Control Room'!$B$8)*AA368/2147483647)</x:f>
        <x:v>976.5490887094381</x:v>
      </x:c>
      <x:c r="AD368" s="17" t="n">
        <x:f>IF('Control Room'!$B$5="Normal",'Control Room'!$B$7,('Control Room'!$B$8+'Control Room'!$D$8)/2)+'Control Room'!$B$9*(AD367-IF('Control Room'!$B$5="Normal",'Control Room'!$B$7,('Control Room'!$B$8+'Control Room'!$D$8)/2))+SQRT(1-'Control Room'!$B$9^2)*(AC368-IF('Control Room'!$B$5="Normal",'Control Room'!$B$7,('Control Room'!$B$8+'Control Room'!$D$8)/2))</x:f>
        <x:v>1045.9400058323083</x:v>
      </x:c>
      <x:c r="AE368" s="17" t="n">
        <x:f>IF(AND($A368&gt;='Control Room'!$A$13,$A368&lt;'Control Room'!$A$13+'Control Room'!$B$13,'Process'!BP2=1),1+('Control Room'!$C$13-1)*EXP(-0.5*(($A368-'Control Room'!$A$13-('Control Room'!$B$13-1)/2)/MAX(0.5,'Control Room'!$B$13/4))^2),1)*IF(AND($A368&gt;='Control Room'!$A$14,$A368&lt;'Control Room'!$A$14+'Control Room'!$B$14,'Process'!BP3=1),1+('Control Room'!$C$14-1)*EXP(-0.5*(($A368-'Control Room'!$A$14-('Control Room'!$B$14-1)/2)/MAX(0.5,'Control Room'!$B$14/4))^2),1)*IF(AND($A368&gt;='Control Room'!$A$15,$A368&lt;'Control Room'!$A$15+'Control Room'!$B$15,'Process'!BP4=1),1+('Control Room'!$C$15-1)*EXP(-0.5*(($A368-'Control Room'!$A$15-('Control Room'!$B$15-1)/2)/MAX(0.5,'Control Room'!$B$15/4))^2),1)*IF(AND($A368&gt;='Control Room'!$A$16,$A368&lt;'Control Room'!$A$16+'Control Room'!$B$16,'Process'!BP5=1),1+('Control Room'!$C$16-1)*EXP(-0.5*(($A368-'Control Room'!$A$16-('Control Room'!$B$16-1)/2)/MAX(0.5,'Control Room'!$B$16/4))^2),1)</x:f>
        <x:v>1</x:v>
      </x:c>
      <x:c r="AF368" s="9" t="n">
        <x:f>MOD(AG367*16807,2147483647)</x:f>
        <x:v>612371851</x:v>
      </x:c>
      <x:c r="AG368" s="9" t="n">
        <x:f>MOD(AF368*16807,2147483647)</x:f>
        <x:v>1392063333</x:v>
      </x:c>
      <x:c r="AH368" s="17" t="n">
        <x:f>IF('Control Room'!$B$5="Normal",'Control Room'!$B$7+'Control Room'!$D$7*SQRT(-2*LN(MAX(0.000000000001,AF368/2147483647)))*COS(2*PI()*AG368/2147483647),'Control Room'!$B$8+('Control Room'!$D$8-'Control Room'!$B$8)*AF368/2147483647)</x:f>
        <x:v>914.9216446731369</x:v>
      </x:c>
      <x:c r="AI368" s="17" t="n">
        <x:f>IF('Control Room'!$B$5="Normal",'Control Room'!$B$7,('Control Room'!$B$8+'Control Room'!$D$8)/2)+'Control Room'!$B$9*(AI367-IF('Control Room'!$B$5="Normal",'Control Room'!$B$7,('Control Room'!$B$8+'Control Room'!$D$8)/2))+SQRT(1-'Control Room'!$B$9^2)*(AH368-IF('Control Room'!$B$5="Normal",'Control Room'!$B$7,('Control Room'!$B$8+'Control Room'!$D$8)/2))</x:f>
        <x:v>946.7262788558594</x:v>
      </x:c>
      <x:c r="AJ368" s="17" t="n">
        <x:f>IF(AND($A368&gt;='Control Room'!$A$13,$A368&lt;'Control Room'!$A$13+'Control Room'!$B$13,'Process'!BQ2=1),1+('Control Room'!$C$13-1)*EXP(-0.5*(($A368-'Control Room'!$A$13-('Control Room'!$B$13-1)/2)/MAX(0.5,'Control Room'!$B$13/4))^2),1)*IF(AND($A368&gt;='Control Room'!$A$14,$A368&lt;'Control Room'!$A$14+'Control Room'!$B$14,'Process'!BQ3=1),1+('Control Room'!$C$14-1)*EXP(-0.5*(($A368-'Control Room'!$A$14-('Control Room'!$B$14-1)/2)/MAX(0.5,'Control Room'!$B$14/4))^2),1)*IF(AND($A368&gt;='Control Room'!$A$15,$A368&lt;'Control Room'!$A$15+'Control Room'!$B$15,'Process'!BQ4=1),1+('Control Room'!$C$15-1)*EXP(-0.5*(($A368-'Control Room'!$A$15-('Control Room'!$B$15-1)/2)/MAX(0.5,'Control Room'!$B$15/4))^2),1)*IF(AND($A368&gt;='Control Room'!$A$16,$A368&lt;'Control Room'!$A$16+'Control Room'!$B$16,'Process'!BQ5=1),1+('Control Room'!$C$16-1)*EXP(-0.5*(($A368-'Control Room'!$A$16-('Control Room'!$B$16-1)/2)/MAX(0.5,'Control Room'!$B$16/4))^2),1)</x:f>
        <x:v>1</x:v>
      </x:c>
      <x:c r="AK368" s="9" t="n">
        <x:f>MOD(AL367*16807,2147483647)</x:f>
        <x:v>1487488164</x:v>
      </x:c>
      <x:c r="AL368" s="9" t="n">
        <x:f>MOD(AK368*16807,2147483647)</x:f>
        <x:v>1356437621</x:v>
      </x:c>
      <x:c r="AM368" s="17" t="n">
        <x:f>IF('Control Room'!$B$5="Normal",'Control Room'!$B$7+'Control Room'!$D$7*SQRT(-2*LN(MAX(0.000000000001,AK368/2147483647)))*COS(2*PI()*AL368/2147483647),'Control Room'!$B$8+('Control Room'!$D$8-'Control Room'!$B$8)*AK368/2147483647)</x:f>
        <x:v>947.7844020145095</x:v>
      </x:c>
      <x:c r="AN368" s="17" t="n">
        <x:f>IF('Control Room'!$B$5="Normal",'Control Room'!$B$7,('Control Room'!$B$8+'Control Room'!$D$8)/2)+'Control Room'!$B$9*(AN367-IF('Control Room'!$B$5="Normal",'Control Room'!$B$7,('Control Room'!$B$8+'Control Room'!$D$8)/2))+SQRT(1-'Control Room'!$B$9^2)*(AM368-IF('Control Room'!$B$5="Normal",'Control Room'!$B$7,('Control Room'!$B$8+'Control Room'!$D$8)/2))</x:f>
        <x:v>826.1549217453036</x:v>
      </x:c>
      <x:c r="AO368" s="17" t="n">
        <x:f>IF(AND($A368&gt;='Control Room'!$A$13,$A368&lt;'Control Room'!$A$13+'Control Room'!$B$13,'Process'!BR2=1),1+('Control Room'!$C$13-1)*EXP(-0.5*(($A368-'Control Room'!$A$13-('Control Room'!$B$13-1)/2)/MAX(0.5,'Control Room'!$B$13/4))^2),1)*IF(AND($A368&gt;='Control Room'!$A$14,$A368&lt;'Control Room'!$A$14+'Control Room'!$B$14,'Process'!BR3=1),1+('Control Room'!$C$14-1)*EXP(-0.5*(($A368-'Control Room'!$A$14-('Control Room'!$B$14-1)/2)/MAX(0.5,'Control Room'!$B$14/4))^2),1)*IF(AND($A368&gt;='Control Room'!$A$15,$A368&lt;'Control Room'!$A$15+'Control Room'!$B$15,'Process'!BR4=1),1+('Control Room'!$C$15-1)*EXP(-0.5*(($A368-'Control Room'!$A$15-('Control Room'!$B$15-1)/2)/MAX(0.5,'Control Room'!$B$15/4))^2),1)*IF(AND($A368&gt;='Control Room'!$A$16,$A368&lt;'Control Room'!$A$16+'Control Room'!$B$16,'Process'!BR5=1),1+('Control Room'!$C$16-1)*EXP(-0.5*(($A368-'Control Room'!$A$16-('Control Room'!$B$16-1)/2)/MAX(0.5,'Control Room'!$B$16/4))^2),1)</x:f>
        <x:v>1</x:v>
      </x:c>
      <x:c r="AP368" s="9" t="n">
        <x:f>MOD(AQ367*16807,2147483647)</x:f>
        <x:v>215120830</x:v>
      </x:c>
      <x:c r="AQ368" s="9" t="n">
        <x:f>MOD(AP368*16807,2147483647)</x:f>
        <x:v>1320811909</x:v>
      </x:c>
      <x:c r="AR368" s="17" t="n">
        <x:f>IF('Control Room'!$B$5="Normal",'Control Room'!$B$7+'Control Room'!$D$7*SQRT(-2*LN(MAX(0.000000000001,AP368/2147483647)))*COS(2*PI()*AQ368/2147483647),'Control Room'!$B$8+('Control Room'!$D$8-'Control Room'!$B$8)*AP368/2147483647)</x:f>
        <x:v>855.22126732133</x:v>
      </x:c>
      <x:c r="AS368" s="17" t="n">
        <x:f>IF('Control Room'!$B$5="Normal",'Control Room'!$B$7,('Control Room'!$B$8+'Control Room'!$D$8)/2)+'Control Room'!$B$9*(AS367-IF('Control Room'!$B$5="Normal",'Control Room'!$B$7,('Control Room'!$B$8+'Control Room'!$D$8)/2))+SQRT(1-'Control Room'!$B$9^2)*(AR368-IF('Control Room'!$B$5="Normal",'Control Room'!$B$7,('Control Room'!$B$8+'Control Room'!$D$8)/2))</x:f>
        <x:v>919.2863937224188</x:v>
      </x:c>
      <x:c r="AT368" s="17" t="n">
        <x:f>IF(AND($A368&gt;='Control Room'!$A$13,$A368&lt;'Control Room'!$A$13+'Control Room'!$B$13,'Process'!BS2=1),1+('Control Room'!$C$13-1)*EXP(-0.5*(($A368-'Control Room'!$A$13-('Control Room'!$B$13-1)/2)/MAX(0.5,'Control Room'!$B$13/4))^2),1)*IF(AND($A368&gt;='Control Room'!$A$14,$A368&lt;'Control Room'!$A$14+'Control Room'!$B$14,'Process'!BS3=1),1+('Control Room'!$C$14-1)*EXP(-0.5*(($A368-'Control Room'!$A$14-('Control Room'!$B$14-1)/2)/MAX(0.5,'Control Room'!$B$14/4))^2),1)*IF(AND($A368&gt;='Control Room'!$A$15,$A368&lt;'Control Room'!$A$15+'Control Room'!$B$15,'Process'!BS4=1),1+('Control Room'!$C$15-1)*EXP(-0.5*(($A368-'Control Room'!$A$15-('Control Room'!$B$15-1)/2)/MAX(0.5,'Control Room'!$B$15/4))^2),1)*IF(AND($A368&gt;='Control Room'!$A$16,$A368&lt;'Control Room'!$A$16+'Control Room'!$B$16,'Process'!BS5=1),1+('Control Room'!$C$16-1)*EXP(-0.5*(($A368-'Control Room'!$A$16-('Control Room'!$B$16-1)/2)/MAX(0.5,'Control Room'!$B$16/4))^2),1)</x:f>
        <x:v>1</x:v>
      </x:c>
      <x:c r="AU368" s="9" t="n">
        <x:f>MOD(AV367*16807,2147483647)</x:f>
        <x:v>1090237143</x:v>
      </x:c>
      <x:c r="AV368" s="9" t="n">
        <x:f>MOD(AU368*16807,2147483647)</x:f>
        <x:v>1285186197</x:v>
      </x:c>
      <x:c r="AW368" s="17" t="n">
        <x:f>IF('Control Room'!$B$5="Normal",'Control Room'!$B$7+'Control Room'!$D$7*SQRT(-2*LN(MAX(0.000000000001,AU368/2147483647)))*COS(2*PI()*AV368/2147483647),'Control Room'!$B$8+('Control Room'!$D$8-'Control Room'!$B$8)*AU368/2147483647)</x:f>
        <x:v>914.6275315240789</x:v>
      </x:c>
      <x:c r="AX368" s="17" t="n">
        <x:f>IF('Control Room'!$B$5="Normal",'Control Room'!$B$7,('Control Room'!$B$8+'Control Room'!$D$8)/2)+'Control Room'!$B$9*(AX367-IF('Control Room'!$B$5="Normal",'Control Room'!$B$7,('Control Room'!$B$8+'Control Room'!$D$8)/2))+SQRT(1-'Control Room'!$B$9^2)*(AW368-IF('Control Room'!$B$5="Normal",'Control Room'!$B$7,('Control Room'!$B$8+'Control Room'!$D$8)/2))</x:f>
        <x:v>1011.1205378650488</x:v>
      </x:c>
      <x:c r="AY368" s="17" t="n">
        <x:f>IF(AND($A368&gt;='Control Room'!$A$13,$A368&lt;'Control Room'!$A$13+'Control Room'!$B$13,'Process'!BT2=1),1+('Control Room'!$C$13-1)*EXP(-0.5*(($A368-'Control Room'!$A$13-('Control Room'!$B$13-1)/2)/MAX(0.5,'Control Room'!$B$13/4))^2),1)*IF(AND($A368&gt;='Control Room'!$A$14,$A368&lt;'Control Room'!$A$14+'Control Room'!$B$14,'Process'!BT3=1),1+('Control Room'!$C$14-1)*EXP(-0.5*(($A368-'Control Room'!$A$14-('Control Room'!$B$14-1)/2)/MAX(0.5,'Control Room'!$B$14/4))^2),1)*IF(AND($A368&gt;='Control Room'!$A$15,$A368&lt;'Control Room'!$A$15+'Control Room'!$B$15,'Process'!BT4=1),1+('Control Room'!$C$15-1)*EXP(-0.5*(($A368-'Control Room'!$A$15-('Control Room'!$B$15-1)/2)/MAX(0.5,'Control Room'!$B$15/4))^2),1)*IF(AND($A368&gt;='Control Room'!$A$16,$A368&lt;'Control Room'!$A$16+'Control Room'!$B$16,'Process'!BT5=1),1+('Control Room'!$C$16-1)*EXP(-0.5*(($A368-'Control Room'!$A$16-('Control Room'!$B$16-1)/2)/MAX(0.5,'Control Room'!$B$16/4))^2),1)</x:f>
        <x:v>1</x:v>
      </x:c>
      <x:c r="AZ368" s="9" t="n">
        <x:f>MOD(BA367*16807,2147483647)</x:f>
        <x:v>1965353456</x:v>
      </x:c>
      <x:c r="BA368" s="9" t="n">
        <x:f>MOD(AZ368*16807,2147483647)</x:f>
        <x:v>1249560485</x:v>
      </x:c>
      <x:c r="BB368" s="17" t="n">
        <x:f>IF('Control Room'!$B$5="Normal",'Control Room'!$B$7+'Control Room'!$D$7*SQRT(-2*LN(MAX(0.000000000001,AZ368/2147483647)))*COS(2*PI()*BA368/2147483647),'Control Room'!$B$8+('Control Room'!$D$8-'Control Room'!$B$8)*AZ368/2147483647)</x:f>
        <x:v>967.0129535483874</x:v>
      </x:c>
      <x:c r="BC368" s="17" t="n">
        <x:f>IF('Control Room'!$B$5="Normal",'Control Room'!$B$7,('Control Room'!$B$8+'Control Room'!$D$8)/2)+'Control Room'!$B$9*(BC367-IF('Control Room'!$B$5="Normal",'Control Room'!$B$7,('Control Room'!$B$8+'Control Room'!$D$8)/2))+SQRT(1-'Control Room'!$B$9^2)*(BB368-IF('Control Room'!$B$5="Normal",'Control Room'!$B$7,('Control Room'!$B$8+'Control Room'!$D$8)/2))</x:f>
        <x:v>1000.209378871857</x:v>
      </x:c>
      <x:c r="BD368" s="17" t="n">
        <x:f>IF(AND($A368&gt;='Control Room'!$A$13,$A368&lt;'Control Room'!$A$13+'Control Room'!$B$13,'Process'!BU2=1),1+('Control Room'!$C$13-1)*EXP(-0.5*(($A368-'Control Room'!$A$13-('Control Room'!$B$13-1)/2)/MAX(0.5,'Control Room'!$B$13/4))^2),1)*IF(AND($A368&gt;='Control Room'!$A$14,$A368&lt;'Control Room'!$A$14+'Control Room'!$B$14,'Process'!BU3=1),1+('Control Room'!$C$14-1)*EXP(-0.5*(($A368-'Control Room'!$A$14-('Control Room'!$B$14-1)/2)/MAX(0.5,'Control Room'!$B$14/4))^2),1)*IF(AND($A368&gt;='Control Room'!$A$15,$A368&lt;'Control Room'!$A$15+'Control Room'!$B$15,'Process'!BU4=1),1+('Control Room'!$C$15-1)*EXP(-0.5*(($A368-'Control Room'!$A$15-('Control Room'!$B$15-1)/2)/MAX(0.5,'Control Room'!$B$15/4))^2),1)*IF(AND($A368&gt;='Control Room'!$A$16,$A368&lt;'Control Room'!$A$16+'Control Room'!$B$16,'Process'!BU5=1),1+('Control Room'!$C$16-1)*EXP(-0.5*(($A368-'Control Room'!$A$16-('Control Room'!$B$16-1)/2)/MAX(0.5,'Control Room'!$B$16/4))^2),1)</x:f>
        <x:v>1</x:v>
      </x:c>
      <x:c r="BE368" s="9" t="n">
        <x:f>MOD(BF367*16807,2147483647)</x:f>
        <x:v>692986122</x:v>
      </x:c>
      <x:c r="BF368" s="9" t="n">
        <x:f>MOD(BE368*16807,2147483647)</x:f>
        <x:v>1213934773</x:v>
      </x:c>
      <x:c r="BG368" s="17" t="n">
        <x:f>IF('Control Room'!$B$5="Normal",'Control Room'!$B$7+'Control Room'!$D$7*SQRT(-2*LN(MAX(0.000000000001,BE368/2147483647)))*COS(2*PI()*BF368/2147483647),'Control Room'!$B$8+('Control Room'!$D$8-'Control Room'!$B$8)*BE368/2147483647)</x:f>
        <x:v>875.8664564844587</x:v>
      </x:c>
      <x:c r="BH368" s="17" t="n">
        <x:f>IF('Control Room'!$B$5="Normal",'Control Room'!$B$7,('Control Room'!$B$8+'Control Room'!$D$8)/2)+'Control Room'!$B$9*(BH367-IF('Control Room'!$B$5="Normal",'Control Room'!$B$7,('Control Room'!$B$8+'Control Room'!$D$8)/2))+SQRT(1-'Control Room'!$B$9^2)*(BG368-IF('Control Room'!$B$5="Normal",'Control Room'!$B$7,('Control Room'!$B$8+'Control Room'!$D$8)/2))</x:f>
        <x:v>854.3206627241572</x:v>
      </x:c>
      <x:c r="BI368" s="17" t="n">
        <x:f>IF(AND($A368&gt;='Control Room'!$A$13,$A368&lt;'Control Room'!$A$13+'Control Room'!$B$13,'Process'!BV2=1),1+('Control Room'!$C$13-1)*EXP(-0.5*(($A368-'Control Room'!$A$13-('Control Room'!$B$13-1)/2)/MAX(0.5,'Control Room'!$B$13/4))^2),1)*IF(AND($A368&gt;='Control Room'!$A$14,$A368&lt;'Control Room'!$A$14+'Control Room'!$B$14,'Process'!BV3=1),1+('Control Room'!$C$14-1)*EXP(-0.5*(($A368-'Control Room'!$A$14-('Control Room'!$B$14-1)/2)/MAX(0.5,'Control Room'!$B$14/4))^2),1)*IF(AND($A368&gt;='Control Room'!$A$15,$A368&lt;'Control Room'!$A$15+'Control Room'!$B$15,'Process'!BV4=1),1+('Control Room'!$C$15-1)*EXP(-0.5*(($A368-'Control Room'!$A$15-('Control Room'!$B$15-1)/2)/MAX(0.5,'Control Room'!$B$15/4))^2),1)*IF(AND($A368&gt;='Control Room'!$A$16,$A368&lt;'Control Room'!$A$16+'Control Room'!$B$16,'Process'!BV5=1),1+('Control Room'!$C$16-1)*EXP(-0.5*(($A368-'Control Room'!$A$16-('Control Room'!$B$16-1)/2)/MAX(0.5,'Control Room'!$B$16/4))^2),1)</x:f>
        <x:v>1</x:v>
      </x:c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Z368" t="str">
        <x:f>IF('Data'!A368="","",TEXT('Data'!A368,"mm-dd"))</x:f>
      </x:c>
    </x:row>
    <x:row r="369" ht="21" customHeight="1">
      <x:c r="A369" s="15" t="n">
        <x:f>'Control Room'!$B$1+367</x:f>
        <x:v>73358</x:v>
      </x:c>
      <x:c r="B369" s="9" t="n">
        <x:f>MOD(C368*16807,2147483647)</x:f>
        <x:v>1549495386</x:v>
      </x:c>
      <x:c r="C369" s="9" t="n">
        <x:f>MOD(B369*16807,2147483647)</x:f>
        <x:v>1982248980</x:v>
      </x:c>
      <x:c r="D369" s="17" t="n">
        <x:f>IF('Control Room'!$B$5="Normal",'Control Room'!$B$7+'Control Room'!$D$7*SQRT(-2*LN(MAX(0.000000000001,B369/2147483647)))*COS(2*PI()*C369/2147483647),'Control Room'!$B$8+('Control Room'!$D$8-'Control Room'!$B$8)*B369/2147483647)</x:f>
        <x:v>1064.3796815545106</x:v>
      </x:c>
      <x:c r="E369" s="17" t="n">
        <x:f>IF('Control Room'!$B$5="Normal",'Control Room'!$B$7,('Control Room'!$B$8+'Control Room'!$D$8)/2)+'Control Room'!$B$9*(E368-IF('Control Room'!$B$5="Normal",'Control Room'!$B$7,('Control Room'!$B$8+'Control Room'!$D$8)/2))+SQRT(1-'Control Room'!$B$9^2)*(D369-IF('Control Room'!$B$5="Normal",'Control Room'!$B$7,('Control Room'!$B$8+'Control Room'!$D$8)/2))</x:f>
        <x:v>987.1242940158472</x:v>
      </x:c>
      <x:c r="F369" s="17" t="n">
        <x:f>IF(AND($A369&gt;='Control Room'!$A$13,$A369&lt;'Control Room'!$A$13+'Control Room'!$B$13,'Process'!BK2=1),1+('Control Room'!$C$13-1)*EXP(-0.5*(($A369-'Control Room'!$A$13-('Control Room'!$B$13-1)/2)/MAX(0.5,'Control Room'!$B$13/4))^2),1)*IF(AND($A369&gt;='Control Room'!$A$14,$A369&lt;'Control Room'!$A$14+'Control Room'!$B$14,'Process'!BK3=1),1+('Control Room'!$C$14-1)*EXP(-0.5*(($A369-'Control Room'!$A$14-('Control Room'!$B$14-1)/2)/MAX(0.5,'Control Room'!$B$14/4))^2),1)*IF(AND($A369&gt;='Control Room'!$A$15,$A369&lt;'Control Room'!$A$15+'Control Room'!$B$15,'Process'!BK4=1),1+('Control Room'!$C$15-1)*EXP(-0.5*(($A369-'Control Room'!$A$15-('Control Room'!$B$15-1)/2)/MAX(0.5,'Control Room'!$B$15/4))^2),1)*IF(AND($A369&gt;='Control Room'!$A$16,$A369&lt;'Control Room'!$A$16+'Control Room'!$B$16,'Process'!BK5=1),1+('Control Room'!$C$16-1)*EXP(-0.5*(($A369-'Control Room'!$A$16-('Control Room'!$B$16-1)/2)/MAX(0.5,'Control Room'!$B$16/4))^2),1)</x:f>
        <x:v>1</x:v>
      </x:c>
      <x:c r="G369" s="9" t="n">
        <x:f>MOD(H368*16807,2147483647)</x:f>
        <x:v>1936091315</x:v>
      </x:c>
      <x:c r="H369" s="9" t="n">
        <x:f>MOD(G369*16807,2147483647)</x:f>
        <x:v>1214511861</x:v>
      </x:c>
      <x:c r="I369" s="17" t="n">
        <x:f>IF('Control Room'!$B$5="Normal",'Control Room'!$B$7+'Control Room'!$D$7*SQRT(-2*LN(MAX(0.000000000001,G369/2147483647)))*COS(2*PI()*H369/2147483647),'Control Room'!$B$8+('Control Room'!$D$8-'Control Room'!$B$8)*G369/2147483647)</x:f>
        <x:v>962.4539971750331</x:v>
      </x:c>
      <x:c r="J369" s="17" t="n">
        <x:f>IF('Control Room'!$B$5="Normal",'Control Room'!$B$7,('Control Room'!$B$8+'Control Room'!$D$8)/2)+'Control Room'!$B$9*(J368-IF('Control Room'!$B$5="Normal",'Control Room'!$B$7,('Control Room'!$B$8+'Control Room'!$D$8)/2))+SQRT(1-'Control Room'!$B$9^2)*(I369-IF('Control Room'!$B$5="Normal",'Control Room'!$B$7,('Control Room'!$B$8+'Control Room'!$D$8)/2))</x:f>
        <x:v>944.5565644943354</x:v>
      </x:c>
      <x:c r="K369" s="17" t="n">
        <x:f>IF(AND($A369&gt;='Control Room'!$A$13,$A369&lt;'Control Room'!$A$13+'Control Room'!$B$13,'Process'!BL2=1),1+('Control Room'!$C$13-1)*EXP(-0.5*(($A369-'Control Room'!$A$13-('Control Room'!$B$13-1)/2)/MAX(0.5,'Control Room'!$B$13/4))^2),1)*IF(AND($A369&gt;='Control Room'!$A$14,$A369&lt;'Control Room'!$A$14+'Control Room'!$B$14,'Process'!BL3=1),1+('Control Room'!$C$14-1)*EXP(-0.5*(($A369-'Control Room'!$A$14-('Control Room'!$B$14-1)/2)/MAX(0.5,'Control Room'!$B$14/4))^2),1)*IF(AND($A369&gt;='Control Room'!$A$15,$A369&lt;'Control Room'!$A$15+'Control Room'!$B$15,'Process'!BL4=1),1+('Control Room'!$C$15-1)*EXP(-0.5*(($A369-'Control Room'!$A$15-('Control Room'!$B$15-1)/2)/MAX(0.5,'Control Room'!$B$15/4))^2),1)*IF(AND($A369&gt;='Control Room'!$A$16,$A369&lt;'Control Room'!$A$16+'Control Room'!$B$16,'Process'!BL5=1),1+('Control Room'!$C$16-1)*EXP(-0.5*(($A369-'Control Room'!$A$16-('Control Room'!$B$16-1)/2)/MAX(0.5,'Control Room'!$B$16/4))^2),1)</x:f>
        <x:v>1</x:v>
      </x:c>
      <x:c r="L369" s="9" t="n">
        <x:f>MOD(M368*16807,2147483647)</x:f>
        <x:v>175203597</x:v>
      </x:c>
      <x:c r="M369" s="9" t="n">
        <x:f>MOD(L369*16807,2147483647)</x:f>
        <x:v>446774742</x:v>
      </x:c>
      <x:c r="N369" s="17" t="n">
        <x:f>IF('Control Room'!$B$5="Normal",'Control Room'!$B$7+'Control Room'!$D$7*SQRT(-2*LN(MAX(0.000000000001,L369/2147483647)))*COS(2*PI()*M369/2147483647),'Control Room'!$B$8+('Control Room'!$D$8-'Control Room'!$B$8)*L369/2147483647)</x:f>
        <x:v>1052.5015204887611</x:v>
      </x:c>
      <x:c r="O369" s="17" t="n">
        <x:f>IF('Control Room'!$B$5="Normal",'Control Room'!$B$7,('Control Room'!$B$8+'Control Room'!$D$8)/2)+'Control Room'!$B$9*(O368-IF('Control Room'!$B$5="Normal",'Control Room'!$B$7,('Control Room'!$B$8+'Control Room'!$D$8)/2))+SQRT(1-'Control Room'!$B$9^2)*(N369-IF('Control Room'!$B$5="Normal",'Control Room'!$B$7,('Control Room'!$B$8+'Control Room'!$D$8)/2))</x:f>
        <x:v>994.38562355048</x:v>
      </x:c>
      <x:c r="P369" s="17" t="n">
        <x:f>IF(AND($A369&gt;='Control Room'!$A$13,$A369&lt;'Control Room'!$A$13+'Control Room'!$B$13,'Process'!BM2=1),1+('Control Room'!$C$13-1)*EXP(-0.5*(($A369-'Control Room'!$A$13-('Control Room'!$B$13-1)/2)/MAX(0.5,'Control Room'!$B$13/4))^2),1)*IF(AND($A369&gt;='Control Room'!$A$14,$A369&lt;'Control Room'!$A$14+'Control Room'!$B$14,'Process'!BM3=1),1+('Control Room'!$C$14-1)*EXP(-0.5*(($A369-'Control Room'!$A$14-('Control Room'!$B$14-1)/2)/MAX(0.5,'Control Room'!$B$14/4))^2),1)*IF(AND($A369&gt;='Control Room'!$A$15,$A369&lt;'Control Room'!$A$15+'Control Room'!$B$15,'Process'!BM4=1),1+('Control Room'!$C$15-1)*EXP(-0.5*(($A369-'Control Room'!$A$15-('Control Room'!$B$15-1)/2)/MAX(0.5,'Control Room'!$B$15/4))^2),1)*IF(AND($A369&gt;='Control Room'!$A$16,$A369&lt;'Control Room'!$A$16+'Control Room'!$B$16,'Process'!BM5=1),1+('Control Room'!$C$16-1)*EXP(-0.5*(($A369-'Control Room'!$A$16-('Control Room'!$B$16-1)/2)/MAX(0.5,'Control Room'!$B$16/4))^2),1)</x:f>
        <x:v>1</x:v>
      </x:c>
      <x:c r="Q369" s="9" t="n">
        <x:f>MOD(R368*16807,2147483647)</x:f>
        <x:v>561799526</x:v>
      </x:c>
      <x:c r="R369" s="9" t="n">
        <x:f>MOD(Q369*16807,2147483647)</x:f>
        <x:v>1826521270</x:v>
      </x:c>
      <x:c r="S369" s="17" t="n">
        <x:f>IF('Control Room'!$B$5="Normal",'Control Room'!$B$7+'Control Room'!$D$7*SQRT(-2*LN(MAX(0.000000000001,Q369/2147483647)))*COS(2*PI()*R369/2147483647),'Control Room'!$B$8+('Control Room'!$D$8-'Control Room'!$B$8)*Q369/2147483647)</x:f>
        <x:v>1087.0356860498155</x:v>
      </x:c>
      <x:c r="T369" s="17" t="n">
        <x:f>IF('Control Room'!$B$5="Normal",'Control Room'!$B$7,('Control Room'!$B$8+'Control Room'!$D$8)/2)+'Control Room'!$B$9*(T368-IF('Control Room'!$B$5="Normal",'Control Room'!$B$7,('Control Room'!$B$8+'Control Room'!$D$8)/2))+SQRT(1-'Control Room'!$B$9^2)*(S369-IF('Control Room'!$B$5="Normal",'Control Room'!$B$7,('Control Room'!$B$8+'Control Room'!$D$8)/2))</x:f>
        <x:v>986.8752987725842</x:v>
      </x:c>
      <x:c r="U369" s="17" t="n">
        <x:f>IF(AND($A369&gt;='Control Room'!$A$13,$A369&lt;'Control Room'!$A$13+'Control Room'!$B$13,'Process'!BN2=1),1+('Control Room'!$C$13-1)*EXP(-0.5*(($A369-'Control Room'!$A$13-('Control Room'!$B$13-1)/2)/MAX(0.5,'Control Room'!$B$13/4))^2),1)*IF(AND($A369&gt;='Control Room'!$A$14,$A369&lt;'Control Room'!$A$14+'Control Room'!$B$14,'Process'!BN3=1),1+('Control Room'!$C$14-1)*EXP(-0.5*(($A369-'Control Room'!$A$14-('Control Room'!$B$14-1)/2)/MAX(0.5,'Control Room'!$B$14/4))^2),1)*IF(AND($A369&gt;='Control Room'!$A$15,$A369&lt;'Control Room'!$A$15+'Control Room'!$B$15,'Process'!BN4=1),1+('Control Room'!$C$15-1)*EXP(-0.5*(($A369-'Control Room'!$A$15-('Control Room'!$B$15-1)/2)/MAX(0.5,'Control Room'!$B$15/4))^2),1)*IF(AND($A369&gt;='Control Room'!$A$16,$A369&lt;'Control Room'!$A$16+'Control Room'!$B$16,'Process'!BN5=1),1+('Control Room'!$C$16-1)*EXP(-0.5*(($A369-'Control Room'!$A$16-('Control Room'!$B$16-1)/2)/MAX(0.5,'Control Room'!$B$16/4))^2),1)</x:f>
        <x:v>1</x:v>
      </x:c>
      <x:c r="V369" s="9" t="n">
        <x:f>MOD(W368*16807,2147483647)</x:f>
        <x:v>948395455</x:v>
      </x:c>
      <x:c r="W369" s="9" t="n">
        <x:f>MOD(V369*16807,2147483647)</x:f>
        <x:v>1058784151</x:v>
      </x:c>
      <x:c r="X369" s="17" t="n">
        <x:f>IF('Control Room'!$B$5="Normal",'Control Room'!$B$7+'Control Room'!$D$7*SQRT(-2*LN(MAX(0.000000000001,V369/2147483647)))*COS(2*PI()*W369/2147483647),'Control Room'!$B$8+('Control Room'!$D$8-'Control Room'!$B$8)*V369/2147483647)</x:f>
        <x:v>885.0452177583993</x:v>
      </x:c>
      <x:c r="Y369" s="17" t="n">
        <x:f>IF('Control Room'!$B$5="Normal",'Control Room'!$B$7,('Control Room'!$B$8+'Control Room'!$D$8)/2)+'Control Room'!$B$9*(Y368-IF('Control Room'!$B$5="Normal",'Control Room'!$B$7,('Control Room'!$B$8+'Control Room'!$D$8)/2))+SQRT(1-'Control Room'!$B$9^2)*(X369-IF('Control Room'!$B$5="Normal",'Control Room'!$B$7,('Control Room'!$B$8+'Control Room'!$D$8)/2))</x:f>
        <x:v>813.2961094931825</x:v>
      </x:c>
      <x:c r="Z369" s="17" t="n">
        <x:f>IF(AND($A369&gt;='Control Room'!$A$13,$A369&lt;'Control Room'!$A$13+'Control Room'!$B$13,'Process'!BO2=1),1+('Control Room'!$C$13-1)*EXP(-0.5*(($A369-'Control Room'!$A$13-('Control Room'!$B$13-1)/2)/MAX(0.5,'Control Room'!$B$13/4))^2),1)*IF(AND($A369&gt;='Control Room'!$A$14,$A369&lt;'Control Room'!$A$14+'Control Room'!$B$14,'Process'!BO3=1),1+('Control Room'!$C$14-1)*EXP(-0.5*(($A369-'Control Room'!$A$14-('Control Room'!$B$14-1)/2)/MAX(0.5,'Control Room'!$B$14/4))^2),1)*IF(AND($A369&gt;='Control Room'!$A$15,$A369&lt;'Control Room'!$A$15+'Control Room'!$B$15,'Process'!BO4=1),1+('Control Room'!$C$15-1)*EXP(-0.5*(($A369-'Control Room'!$A$15-('Control Room'!$B$15-1)/2)/MAX(0.5,'Control Room'!$B$15/4))^2),1)*IF(AND($A369&gt;='Control Room'!$A$16,$A369&lt;'Control Room'!$A$16+'Control Room'!$B$16,'Process'!BO5=1),1+('Control Room'!$C$16-1)*EXP(-0.5*(($A369-'Control Room'!$A$16-('Control Room'!$B$16-1)/2)/MAX(0.5,'Control Room'!$B$16/4))^2),1)</x:f>
        <x:v>1</x:v>
      </x:c>
      <x:c r="AA369" s="9" t="n">
        <x:f>MOD(AB368*16807,2147483647)</x:f>
        <x:v>1334991384</x:v>
      </x:c>
      <x:c r="AB369" s="9" t="n">
        <x:f>MOD(AA369*16807,2147483647)</x:f>
        <x:v>291047032</x:v>
      </x:c>
      <x:c r="AC369" s="17" t="n">
        <x:f>IF('Control Room'!$B$5="Normal",'Control Room'!$B$7+'Control Room'!$D$7*SQRT(-2*LN(MAX(0.000000000001,AA369/2147483647)))*COS(2*PI()*AB369/2147483647),'Control Room'!$B$8+('Control Room'!$D$8-'Control Room'!$B$8)*AA369/2147483647)</x:f>
        <x:v>1057.8144900526836</x:v>
      </x:c>
      <x:c r="AD369" s="17" t="n">
        <x:f>IF('Control Room'!$B$5="Normal",'Control Room'!$B$7,('Control Room'!$B$8+'Control Room'!$D$8)/2)+'Control Room'!$B$9*(AD368-IF('Control Room'!$B$5="Normal",'Control Room'!$B$7,('Control Room'!$B$8+'Control Room'!$D$8)/2))+SQRT(1-'Control Room'!$B$9^2)*(AC369-IF('Control Room'!$B$5="Normal",'Control Room'!$B$7,('Control Room'!$B$8+'Control Room'!$D$8)/2))</x:f>
        <x:v>1072.0123280299636</x:v>
      </x:c>
      <x:c r="AE369" s="17" t="n">
        <x:f>IF(AND($A369&gt;='Control Room'!$A$13,$A369&lt;'Control Room'!$A$13+'Control Room'!$B$13,'Process'!BP2=1),1+('Control Room'!$C$13-1)*EXP(-0.5*(($A369-'Control Room'!$A$13-('Control Room'!$B$13-1)/2)/MAX(0.5,'Control Room'!$B$13/4))^2),1)*IF(AND($A369&gt;='Control Room'!$A$14,$A369&lt;'Control Room'!$A$14+'Control Room'!$B$14,'Process'!BP3=1),1+('Control Room'!$C$14-1)*EXP(-0.5*(($A369-'Control Room'!$A$14-('Control Room'!$B$14-1)/2)/MAX(0.5,'Control Room'!$B$14/4))^2),1)*IF(AND($A369&gt;='Control Room'!$A$15,$A369&lt;'Control Room'!$A$15+'Control Room'!$B$15,'Process'!BP4=1),1+('Control Room'!$C$15-1)*EXP(-0.5*(($A369-'Control Room'!$A$15-('Control Room'!$B$15-1)/2)/MAX(0.5,'Control Room'!$B$15/4))^2),1)*IF(AND($A369&gt;='Control Room'!$A$16,$A369&lt;'Control Room'!$A$16+'Control Room'!$B$16,'Process'!BP5=1),1+('Control Room'!$C$16-1)*EXP(-0.5*(($A369-'Control Room'!$A$16-('Control Room'!$B$16-1)/2)/MAX(0.5,'Control Room'!$B$16/4))^2),1)</x:f>
        <x:v>1</x:v>
      </x:c>
      <x:c r="AF369" s="9" t="n">
        <x:f>MOD(AG368*16807,2147483647)</x:f>
        <x:v>1721587313</x:v>
      </x:c>
      <x:c r="AG369" s="9" t="n">
        <x:f>MOD(AF369*16807,2147483647)</x:f>
        <x:v>1670793560</x:v>
      </x:c>
      <x:c r="AH369" s="17" t="n">
        <x:f>IF('Control Room'!$B$5="Normal",'Control Room'!$B$7+'Control Room'!$D$7*SQRT(-2*LN(MAX(0.000000000001,AF369/2147483647)))*COS(2*PI()*AG369/2147483647),'Control Room'!$B$8+('Control Room'!$D$8-'Control Room'!$B$8)*AF369/2147483647)</x:f>
        <x:v>1010.4824906107781</x:v>
      </x:c>
      <x:c r="AI369" s="17" t="n">
        <x:f>IF('Control Room'!$B$5="Normal",'Control Room'!$B$7,('Control Room'!$B$8+'Control Room'!$D$8)/2)+'Control Room'!$B$9*(AI368-IF('Control Room'!$B$5="Normal",'Control Room'!$B$7,('Control Room'!$B$8+'Control Room'!$D$8)/2))+SQRT(1-'Control Room'!$B$9^2)*(AH369-IF('Control Room'!$B$5="Normal",'Control Room'!$B$7,('Control Room'!$B$8+'Control Room'!$D$8)/2))</x:f>
        <x:v>965.0062253863027</x:v>
      </x:c>
      <x:c r="AJ369" s="17" t="n">
        <x:f>IF(AND($A369&gt;='Control Room'!$A$13,$A369&lt;'Control Room'!$A$13+'Control Room'!$B$13,'Process'!BQ2=1),1+('Control Room'!$C$13-1)*EXP(-0.5*(($A369-'Control Room'!$A$13-('Control Room'!$B$13-1)/2)/MAX(0.5,'Control Room'!$B$13/4))^2),1)*IF(AND($A369&gt;='Control Room'!$A$14,$A369&lt;'Control Room'!$A$14+'Control Room'!$B$14,'Process'!BQ3=1),1+('Control Room'!$C$14-1)*EXP(-0.5*(($A369-'Control Room'!$A$14-('Control Room'!$B$14-1)/2)/MAX(0.5,'Control Room'!$B$14/4))^2),1)*IF(AND($A369&gt;='Control Room'!$A$15,$A369&lt;'Control Room'!$A$15+'Control Room'!$B$15,'Process'!BQ4=1),1+('Control Room'!$C$15-1)*EXP(-0.5*(($A369-'Control Room'!$A$15-('Control Room'!$B$15-1)/2)/MAX(0.5,'Control Room'!$B$15/4))^2),1)*IF(AND($A369&gt;='Control Room'!$A$16,$A369&lt;'Control Room'!$A$16+'Control Room'!$B$16,'Process'!BQ5=1),1+('Control Room'!$C$16-1)*EXP(-0.5*(($A369-'Control Room'!$A$16-('Control Room'!$B$16-1)/2)/MAX(0.5,'Control Room'!$B$16/4))^2),1)</x:f>
        <x:v>1</x:v>
      </x:c>
      <x:c r="AK369" s="9" t="n">
        <x:f>MOD(AL368*16807,2147483647)</x:f>
        <x:v>2108183242</x:v>
      </x:c>
      <x:c r="AL369" s="9" t="n">
        <x:f>MOD(AK369*16807,2147483647)</x:f>
        <x:v>903056441</x:v>
      </x:c>
      <x:c r="AM369" s="17" t="n">
        <x:f>IF('Control Room'!$B$5="Normal",'Control Room'!$B$7+'Control Room'!$D$7*SQRT(-2*LN(MAX(0.000000000001,AK369/2147483647)))*COS(2*PI()*AL369/2147483647),'Control Room'!$B$8+('Control Room'!$D$8-'Control Room'!$B$8)*AK369/2147483647)</x:f>
        <x:v>984.8146706368996</x:v>
      </x:c>
      <x:c r="AN369" s="17" t="n">
        <x:f>IF('Control Room'!$B$5="Normal",'Control Room'!$B$7,('Control Room'!$B$8+'Control Room'!$D$8)/2)+'Control Room'!$B$9*(AN368-IF('Control Room'!$B$5="Normal",'Control Room'!$B$7,('Control Room'!$B$8+'Control Room'!$D$8)/2))+SQRT(1-'Control Room'!$B$9^2)*(AM369-IF('Control Room'!$B$5="Normal",'Control Room'!$B$7,('Control Room'!$B$8+'Control Room'!$D$8)/2))</x:f>
        <x:v>854.8981709342897</x:v>
      </x:c>
      <x:c r="AO369" s="17" t="n">
        <x:f>IF(AND($A369&gt;='Control Room'!$A$13,$A369&lt;'Control Room'!$A$13+'Control Room'!$B$13,'Process'!BR2=1),1+('Control Room'!$C$13-1)*EXP(-0.5*(($A369-'Control Room'!$A$13-('Control Room'!$B$13-1)/2)/MAX(0.5,'Control Room'!$B$13/4))^2),1)*IF(AND($A369&gt;='Control Room'!$A$14,$A369&lt;'Control Room'!$A$14+'Control Room'!$B$14,'Process'!BR3=1),1+('Control Room'!$C$14-1)*EXP(-0.5*(($A369-'Control Room'!$A$14-('Control Room'!$B$14-1)/2)/MAX(0.5,'Control Room'!$B$14/4))^2),1)*IF(AND($A369&gt;='Control Room'!$A$15,$A369&lt;'Control Room'!$A$15+'Control Room'!$B$15,'Process'!BR4=1),1+('Control Room'!$C$15-1)*EXP(-0.5*(($A369-'Control Room'!$A$15-('Control Room'!$B$15-1)/2)/MAX(0.5,'Control Room'!$B$15/4))^2),1)*IF(AND($A369&gt;='Control Room'!$A$16,$A369&lt;'Control Room'!$A$16+'Control Room'!$B$16,'Process'!BR5=1),1+('Control Room'!$C$16-1)*EXP(-0.5*(($A369-'Control Room'!$A$16-('Control Room'!$B$16-1)/2)/MAX(0.5,'Control Room'!$B$16/4))^2),1)</x:f>
        <x:v>1</x:v>
      </x:c>
      <x:c r="AP369" s="9" t="n">
        <x:f>MOD(AQ368*16807,2147483647)</x:f>
        <x:v>347295524</x:v>
      </x:c>
      <x:c r="AQ369" s="9" t="n">
        <x:f>MOD(AP369*16807,2147483647)</x:f>
        <x:v>135319322</x:v>
      </x:c>
      <x:c r="AR369" s="17" t="n">
        <x:f>IF('Control Room'!$B$5="Normal",'Control Room'!$B$7+'Control Room'!$D$7*SQRT(-2*LN(MAX(0.000000000001,AP369/2147483647)))*COS(2*PI()*AQ369/2147483647),'Control Room'!$B$8+('Control Room'!$D$8-'Control Room'!$B$8)*AP369/2147483647)</x:f>
        <x:v>1158.5074972874268</x:v>
      </x:c>
      <x:c r="AS369" s="17" t="n">
        <x:f>IF('Control Room'!$B$5="Normal",'Control Room'!$B$7,('Control Room'!$B$8+'Control Room'!$D$8)/2)+'Control Room'!$B$9*(AS368-IF('Control Room'!$B$5="Normal",'Control Room'!$B$7,('Control Room'!$B$8+'Control Room'!$D$8)/2))+SQRT(1-'Control Room'!$B$9^2)*(AR369-IF('Control Room'!$B$5="Normal",'Control Room'!$B$7,('Control Room'!$B$8+'Control Room'!$D$8)/2))</x:f>
        <x:v>1036.2341317033752</x:v>
      </x:c>
      <x:c r="AT369" s="17" t="n">
        <x:f>IF(AND($A369&gt;='Control Room'!$A$13,$A369&lt;'Control Room'!$A$13+'Control Room'!$B$13,'Process'!BS2=1),1+('Control Room'!$C$13-1)*EXP(-0.5*(($A369-'Control Room'!$A$13-('Control Room'!$B$13-1)/2)/MAX(0.5,'Control Room'!$B$13/4))^2),1)*IF(AND($A369&gt;='Control Room'!$A$14,$A369&lt;'Control Room'!$A$14+'Control Room'!$B$14,'Process'!BS3=1),1+('Control Room'!$C$14-1)*EXP(-0.5*(($A369-'Control Room'!$A$14-('Control Room'!$B$14-1)/2)/MAX(0.5,'Control Room'!$B$14/4))^2),1)*IF(AND($A369&gt;='Control Room'!$A$15,$A369&lt;'Control Room'!$A$15+'Control Room'!$B$15,'Process'!BS4=1),1+('Control Room'!$C$15-1)*EXP(-0.5*(($A369-'Control Room'!$A$15-('Control Room'!$B$15-1)/2)/MAX(0.5,'Control Room'!$B$15/4))^2),1)*IF(AND($A369&gt;='Control Room'!$A$16,$A369&lt;'Control Room'!$A$16+'Control Room'!$B$16,'Process'!BS5=1),1+('Control Room'!$C$16-1)*EXP(-0.5*(($A369-'Control Room'!$A$16-('Control Room'!$B$16-1)/2)/MAX(0.5,'Control Room'!$B$16/4))^2),1)</x:f>
        <x:v>1</x:v>
      </x:c>
      <x:c r="AU369" s="9" t="n">
        <x:f>MOD(AV368*16807,2147483647)</x:f>
        <x:v>733891453</x:v>
      </x:c>
      <x:c r="AV369" s="9" t="n">
        <x:f>MOD(AU369*16807,2147483647)</x:f>
        <x:v>1515065850</x:v>
      </x:c>
      <x:c r="AW369" s="17" t="n">
        <x:f>IF('Control Room'!$B$5="Normal",'Control Room'!$B$7+'Control Room'!$D$7*SQRT(-2*LN(MAX(0.000000000001,AU369/2147483647)))*COS(2*PI()*AV369/2147483647),'Control Room'!$B$8+('Control Room'!$D$8-'Control Room'!$B$8)*AU369/2147483647)</x:f>
        <x:v>963.6091555879485</x:v>
      </x:c>
      <x:c r="AX369" s="17" t="n">
        <x:f>IF('Control Room'!$B$5="Normal",'Control Room'!$B$7,('Control Room'!$B$8+'Control Room'!$D$8)/2)+'Control Room'!$B$9*(AX368-IF('Control Room'!$B$5="Normal",'Control Room'!$B$7,('Control Room'!$B$8+'Control Room'!$D$8)/2))+SQRT(1-'Control Room'!$B$9^2)*(AW369-IF('Control Room'!$B$5="Normal",'Control Room'!$B$7,('Control Room'!$B$8+'Control Room'!$D$8)/2))</x:f>
        <x:v>985.901374608646</x:v>
      </x:c>
      <x:c r="AY369" s="17" t="n">
        <x:f>IF(AND($A369&gt;='Control Room'!$A$13,$A369&lt;'Control Room'!$A$13+'Control Room'!$B$13,'Process'!BT2=1),1+('Control Room'!$C$13-1)*EXP(-0.5*(($A369-'Control Room'!$A$13-('Control Room'!$B$13-1)/2)/MAX(0.5,'Control Room'!$B$13/4))^2),1)*IF(AND($A369&gt;='Control Room'!$A$14,$A369&lt;'Control Room'!$A$14+'Control Room'!$B$14,'Process'!BT3=1),1+('Control Room'!$C$14-1)*EXP(-0.5*(($A369-'Control Room'!$A$14-('Control Room'!$B$14-1)/2)/MAX(0.5,'Control Room'!$B$14/4))^2),1)*IF(AND($A369&gt;='Control Room'!$A$15,$A369&lt;'Control Room'!$A$15+'Control Room'!$B$15,'Process'!BT4=1),1+('Control Room'!$C$15-1)*EXP(-0.5*(($A369-'Control Room'!$A$15-('Control Room'!$B$15-1)/2)/MAX(0.5,'Control Room'!$B$15/4))^2),1)*IF(AND($A369&gt;='Control Room'!$A$16,$A369&lt;'Control Room'!$A$16+'Control Room'!$B$16,'Process'!BT5=1),1+('Control Room'!$C$16-1)*EXP(-0.5*(($A369-'Control Room'!$A$16-('Control Room'!$B$16-1)/2)/MAX(0.5,'Control Room'!$B$16/4))^2),1)</x:f>
        <x:v>1</x:v>
      </x:c>
      <x:c r="AZ369" s="9" t="n">
        <x:f>MOD(BA368*16807,2147483647)</x:f>
        <x:v>1120487382</x:v>
      </x:c>
      <x:c r="BA369" s="9" t="n">
        <x:f>MOD(AZ369*16807,2147483647)</x:f>
        <x:v>747328731</x:v>
      </x:c>
      <x:c r="BB369" s="17" t="n">
        <x:f>IF('Control Room'!$B$5="Normal",'Control Room'!$B$7+'Control Room'!$D$7*SQRT(-2*LN(MAX(0.000000000001,AZ369/2147483647)))*COS(2*PI()*BA369/2147483647),'Control Room'!$B$8+('Control Room'!$D$8-'Control Room'!$B$8)*AZ369/2147483647)</x:f>
        <x:v>940.7065423069976</x:v>
      </x:c>
      <x:c r="BC369" s="17" t="n">
        <x:f>IF('Control Room'!$B$5="Normal",'Control Room'!$B$7,('Control Room'!$B$8+'Control Room'!$D$8)/2)+'Control Room'!$B$9*(BC368-IF('Control Room'!$B$5="Normal",'Control Room'!$B$7,('Control Room'!$B$8+'Control Room'!$D$8)/2))+SQRT(1-'Control Room'!$B$9^2)*(BB369-IF('Control Room'!$B$5="Normal",'Control Room'!$B$7,('Control Room'!$B$8+'Control Room'!$D$8)/2))</x:f>
        <x:v>963.0586843882727</x:v>
      </x:c>
      <x:c r="BD369" s="17" t="n">
        <x:f>IF(AND($A369&gt;='Control Room'!$A$13,$A369&lt;'Control Room'!$A$13+'Control Room'!$B$13,'Process'!BU2=1),1+('Control Room'!$C$13-1)*EXP(-0.5*(($A369-'Control Room'!$A$13-('Control Room'!$B$13-1)/2)/MAX(0.5,'Control Room'!$B$13/4))^2),1)*IF(AND($A369&gt;='Control Room'!$A$14,$A369&lt;'Control Room'!$A$14+'Control Room'!$B$14,'Process'!BU3=1),1+('Control Room'!$C$14-1)*EXP(-0.5*(($A369-'Control Room'!$A$14-('Control Room'!$B$14-1)/2)/MAX(0.5,'Control Room'!$B$14/4))^2),1)*IF(AND($A369&gt;='Control Room'!$A$15,$A369&lt;'Control Room'!$A$15+'Control Room'!$B$15,'Process'!BU4=1),1+('Control Room'!$C$15-1)*EXP(-0.5*(($A369-'Control Room'!$A$15-('Control Room'!$B$15-1)/2)/MAX(0.5,'Control Room'!$B$15/4))^2),1)*IF(AND($A369&gt;='Control Room'!$A$16,$A369&lt;'Control Room'!$A$16+'Control Room'!$B$16,'Process'!BU5=1),1+('Control Room'!$C$16-1)*EXP(-0.5*(($A369-'Control Room'!$A$16-('Control Room'!$B$16-1)/2)/MAX(0.5,'Control Room'!$B$16/4))^2),1)</x:f>
        <x:v>1</x:v>
      </x:c>
      <x:c r="BE369" s="9" t="n">
        <x:f>MOD(BF368*16807,2147483647)</x:f>
        <x:v>1507083311</x:v>
      </x:c>
      <x:c r="BF369" s="9" t="n">
        <x:f>MOD(BE369*16807,2147483647)</x:f>
        <x:v>2127075259</x:v>
      </x:c>
      <x:c r="BG369" s="17" t="n">
        <x:f>IF('Control Room'!$B$5="Normal",'Control Room'!$B$7+'Control Room'!$D$7*SQRT(-2*LN(MAX(0.000000000001,BE369/2147483647)))*COS(2*PI()*BF369/2147483647),'Control Room'!$B$8+('Control Room'!$D$8-'Control Room'!$B$8)*BE369/2147483647)</x:f>
        <x:v>1075.6063694806683</x:v>
      </x:c>
      <x:c r="BH369" s="17" t="n">
        <x:f>IF('Control Room'!$B$5="Normal",'Control Room'!$B$7,('Control Room'!$B$8+'Control Room'!$D$8)/2)+'Control Room'!$B$9*(BH368-IF('Control Room'!$B$5="Normal",'Control Room'!$B$7,('Control Room'!$B$8+'Control Room'!$D$8)/2))+SQRT(1-'Control Room'!$B$9^2)*(BG369-IF('Control Room'!$B$5="Normal",'Control Room'!$B$7,('Control Room'!$B$8+'Control Room'!$D$8)/2))</x:f>
        <x:v>933.6830340651768</x:v>
      </x:c>
      <x:c r="BI369" s="17" t="n">
        <x:f>IF(AND($A369&gt;='Control Room'!$A$13,$A369&lt;'Control Room'!$A$13+'Control Room'!$B$13,'Process'!BV2=1),1+('Control Room'!$C$13-1)*EXP(-0.5*(($A369-'Control Room'!$A$13-('Control Room'!$B$13-1)/2)/MAX(0.5,'Control Room'!$B$13/4))^2),1)*IF(AND($A369&gt;='Control Room'!$A$14,$A369&lt;'Control Room'!$A$14+'Control Room'!$B$14,'Process'!BV3=1),1+('Control Room'!$C$14-1)*EXP(-0.5*(($A369-'Control Room'!$A$14-('Control Room'!$B$14-1)/2)/MAX(0.5,'Control Room'!$B$14/4))^2),1)*IF(AND($A369&gt;='Control Room'!$A$15,$A369&lt;'Control Room'!$A$15+'Control Room'!$B$15,'Process'!BV4=1),1+('Control Room'!$C$15-1)*EXP(-0.5*(($A369-'Control Room'!$A$15-('Control Room'!$B$15-1)/2)/MAX(0.5,'Control Room'!$B$15/4))^2),1)*IF(AND($A369&gt;='Control Room'!$A$16,$A369&lt;'Control Room'!$A$16+'Control Room'!$B$16,'Process'!BV5=1),1+('Control Room'!$C$16-1)*EXP(-0.5*(($A369-'Control Room'!$A$16-('Control Room'!$B$16-1)/2)/MAX(0.5,'Control Room'!$B$16/4))^2),1)</x:f>
        <x:v>1</x:v>
      </x:c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Z369" t="str">
        <x:f>IF('Data'!A369="","",TEXT('Data'!A369,"mm-dd"))</x:f>
      </x:c>
    </x:row>
    <x:row r="370" ht="21" customHeight="1">
      <x:c r="A370" s="15" t="n">
        <x:f>'Control Room'!$B$1+368</x:f>
        <x:v>73359</x:v>
      </x:c>
      <x:c r="B370" s="9" t="n">
        <x:f>MOD(C369*16807,2147483647)</x:f>
        <x:v>1744790949</x:v>
      </x:c>
      <x:c r="C370" s="9" t="n">
        <x:f>MOD(B370*16807,2147483647)</x:f>
        <x:v>812280058</x:v>
      </x:c>
      <x:c r="D370" s="17" t="n">
        <x:f>IF('Control Room'!$B$5="Normal",'Control Room'!$B$7+'Control Room'!$D$7*SQRT(-2*LN(MAX(0.000000000001,B370/2147483647)))*COS(2*PI()*C370/2147483647),'Control Room'!$B$8+('Control Room'!$D$8-'Control Room'!$B$8)*B370/2147483647)</x:f>
        <x:v>958.1588190589739</x:v>
      </x:c>
      <x:c r="E370" s="17" t="n">
        <x:f>IF('Control Room'!$B$5="Normal",'Control Room'!$B$7,('Control Room'!$B$8+'Control Room'!$D$8)/2)+'Control Room'!$B$9*(E369-IF('Control Room'!$B$5="Normal",'Control Room'!$B$7,('Control Room'!$B$8+'Control Room'!$D$8)/2))+SQRT(1-'Control Room'!$B$9^2)*(D370-IF('Control Room'!$B$5="Normal",'Control Room'!$B$7,('Control Room'!$B$8+'Control Room'!$D$8)/2))</x:f>
        <x:v>963.7735954626493</x:v>
      </x:c>
      <x:c r="F370" s="17" t="n">
        <x:f>IF(AND($A370&gt;='Control Room'!$A$13,$A370&lt;'Control Room'!$A$13+'Control Room'!$B$13,'Process'!BK2=1),1+('Control Room'!$C$13-1)*EXP(-0.5*(($A370-'Control Room'!$A$13-('Control Room'!$B$13-1)/2)/MAX(0.5,'Control Room'!$B$13/4))^2),1)*IF(AND($A370&gt;='Control Room'!$A$14,$A370&lt;'Control Room'!$A$14+'Control Room'!$B$14,'Process'!BK3=1),1+('Control Room'!$C$14-1)*EXP(-0.5*(($A370-'Control Room'!$A$14-('Control Room'!$B$14-1)/2)/MAX(0.5,'Control Room'!$B$14/4))^2),1)*IF(AND($A370&gt;='Control Room'!$A$15,$A370&lt;'Control Room'!$A$15+'Control Room'!$B$15,'Process'!BK4=1),1+('Control Room'!$C$15-1)*EXP(-0.5*(($A370-'Control Room'!$A$15-('Control Room'!$B$15-1)/2)/MAX(0.5,'Control Room'!$B$15/4))^2),1)*IF(AND($A370&gt;='Control Room'!$A$16,$A370&lt;'Control Room'!$A$16+'Control Room'!$B$16,'Process'!BK5=1),1+('Control Room'!$C$16-1)*EXP(-0.5*(($A370-'Control Room'!$A$16-('Control Room'!$B$16-1)/2)/MAX(0.5,'Control Room'!$B$16/4))^2),1)</x:f>
        <x:v>1</x:v>
      </x:c>
      <x:c r="G370" s="9" t="n">
        <x:f>MOD(H369*16807,2147483647)</x:f>
        <x:v>468783092</x:v>
      </x:c>
      <x:c r="H370" s="9" t="n">
        <x:f>MOD(G370*16807,2147483647)</x:f>
        <x:v>1867410048</x:v>
      </x:c>
      <x:c r="I370" s="17" t="n">
        <x:f>IF('Control Room'!$B$5="Normal",'Control Room'!$B$7+'Control Room'!$D$7*SQRT(-2*LN(MAX(0.000000000001,G370/2147483647)))*COS(2*PI()*H370/2147483647),'Control Room'!$B$8+('Control Room'!$D$8-'Control Room'!$B$8)*G370/2147483647)</x:f>
        <x:v>1107.1848920197344</x:v>
      </x:c>
      <x:c r="J370" s="17" t="n">
        <x:f>IF('Control Room'!$B$5="Normal",'Control Room'!$B$7,('Control Room'!$B$8+'Control Room'!$D$8)/2)+'Control Room'!$B$9*(J369-IF('Control Room'!$B$5="Normal",'Control Room'!$B$7,('Control Room'!$B$8+'Control Room'!$D$8)/2))+SQRT(1-'Control Room'!$B$9^2)*(I370-IF('Control Room'!$B$5="Normal",'Control Room'!$B$7,('Control Room'!$B$8+'Control Room'!$D$8)/2))</x:f>
        <x:v>1023.828229929666</x:v>
      </x:c>
      <x:c r="K370" s="17" t="n">
        <x:f>IF(AND($A370&gt;='Control Room'!$A$13,$A370&lt;'Control Room'!$A$13+'Control Room'!$B$13,'Process'!BL2=1),1+('Control Room'!$C$13-1)*EXP(-0.5*(($A370-'Control Room'!$A$13-('Control Room'!$B$13-1)/2)/MAX(0.5,'Control Room'!$B$13/4))^2),1)*IF(AND($A370&gt;='Control Room'!$A$14,$A370&lt;'Control Room'!$A$14+'Control Room'!$B$14,'Process'!BL3=1),1+('Control Room'!$C$14-1)*EXP(-0.5*(($A370-'Control Room'!$A$14-('Control Room'!$B$14-1)/2)/MAX(0.5,'Control Room'!$B$14/4))^2),1)*IF(AND($A370&gt;='Control Room'!$A$15,$A370&lt;'Control Room'!$A$15+'Control Room'!$B$15,'Process'!BL4=1),1+('Control Room'!$C$15-1)*EXP(-0.5*(($A370-'Control Room'!$A$15-('Control Room'!$B$15-1)/2)/MAX(0.5,'Control Room'!$B$15/4))^2),1)*IF(AND($A370&gt;='Control Room'!$A$16,$A370&lt;'Control Room'!$A$16+'Control Room'!$B$16,'Process'!BL5=1),1+('Control Room'!$C$16-1)*EXP(-0.5*(($A370-'Control Room'!$A$16-('Control Room'!$B$16-1)/2)/MAX(0.5,'Control Room'!$B$16/4))^2),1)</x:f>
        <x:v>1</x:v>
      </x:c>
      <x:c r="L370" s="9" t="n">
        <x:f>MOD(M369*16807,2147483647)</x:f>
        <x:v>1340258882</x:v>
      </x:c>
      <x:c r="M370" s="9" t="n">
        <x:f>MOD(L370*16807,2147483647)</x:f>
        <x:v>775056391</x:v>
      </x:c>
      <x:c r="N370" s="17" t="n">
        <x:f>IF('Control Room'!$B$5="Normal",'Control Room'!$B$7+'Control Room'!$D$7*SQRT(-2*LN(MAX(0.000000000001,L370/2147483647)))*COS(2*PI()*M370/2147483647),'Control Room'!$B$8+('Control Room'!$D$8-'Control Room'!$B$8)*L370/2147483647)</x:f>
        <x:v>943.9090448686105</x:v>
      </x:c>
      <x:c r="O370" s="17" t="n">
        <x:f>IF('Control Room'!$B$5="Normal",'Control Room'!$B$7,('Control Room'!$B$8+'Control Room'!$D$8)/2)+'Control Room'!$B$9*(O369-IF('Control Room'!$B$5="Normal",'Control Room'!$B$7,('Control Room'!$B$8+'Control Room'!$D$8)/2))+SQRT(1-'Control Room'!$B$9^2)*(N370-IF('Control Room'!$B$5="Normal",'Control Room'!$B$7,('Control Room'!$B$8+'Control Room'!$D$8)/2))</x:f>
        <x:v>960.5202157338251</x:v>
      </x:c>
      <x:c r="P370" s="17" t="n">
        <x:f>IF(AND($A370&gt;='Control Room'!$A$13,$A370&lt;'Control Room'!$A$13+'Control Room'!$B$13,'Process'!BM2=1),1+('Control Room'!$C$13-1)*EXP(-0.5*(($A370-'Control Room'!$A$13-('Control Room'!$B$13-1)/2)/MAX(0.5,'Control Room'!$B$13/4))^2),1)*IF(AND($A370&gt;='Control Room'!$A$14,$A370&lt;'Control Room'!$A$14+'Control Room'!$B$14,'Process'!BM3=1),1+('Control Room'!$C$14-1)*EXP(-0.5*(($A370-'Control Room'!$A$14-('Control Room'!$B$14-1)/2)/MAX(0.5,'Control Room'!$B$14/4))^2),1)*IF(AND($A370&gt;='Control Room'!$A$15,$A370&lt;'Control Room'!$A$15+'Control Room'!$B$15,'Process'!BM4=1),1+('Control Room'!$C$15-1)*EXP(-0.5*(($A370-'Control Room'!$A$15-('Control Room'!$B$15-1)/2)/MAX(0.5,'Control Room'!$B$15/4))^2),1)*IF(AND($A370&gt;='Control Room'!$A$16,$A370&lt;'Control Room'!$A$16+'Control Room'!$B$16,'Process'!BM5=1),1+('Control Room'!$C$16-1)*EXP(-0.5*(($A370-'Control Room'!$A$16-('Control Room'!$B$16-1)/2)/MAX(0.5,'Control Room'!$B$16/4))^2),1)</x:f>
        <x:v>1</x:v>
      </x:c>
      <x:c r="Q370" s="9" t="n">
        <x:f>MOD(R369*16807,2147483647)</x:f>
        <x:v>64251025</x:v>
      </x:c>
      <x:c r="R370" s="9" t="n">
        <x:f>MOD(Q370*16807,2147483647)</x:f>
        <x:v>1830186381</x:v>
      </x:c>
      <x:c r="S370" s="17" t="n">
        <x:f>IF('Control Room'!$B$5="Normal",'Control Room'!$B$7+'Control Room'!$D$7*SQRT(-2*LN(MAX(0.000000000001,Q370/2147483647)))*COS(2*PI()*R370/2147483647),'Control Room'!$B$8+('Control Room'!$D$8-'Control Room'!$B$8)*Q370/2147483647)</x:f>
        <x:v>1142.8561801160477</x:v>
      </x:c>
      <x:c r="T370" s="17" t="n">
        <x:f>IF('Control Room'!$B$5="Normal",'Control Room'!$B$7,('Control Room'!$B$8+'Control Room'!$D$8)/2)+'Control Room'!$B$9*(T369-IF('Control Room'!$B$5="Normal",'Control Room'!$B$7,('Control Room'!$B$8+'Control Room'!$D$8)/2))+SQRT(1-'Control Room'!$B$9^2)*(S370-IF('Control Room'!$B$5="Normal",'Control Room'!$B$7,('Control Room'!$B$8+'Control Room'!$D$8)/2))</x:f>
        <x:v>1079.1592039913155</x:v>
      </x:c>
      <x:c r="U370" s="17" t="n">
        <x:f>IF(AND($A370&gt;='Control Room'!$A$13,$A370&lt;'Control Room'!$A$13+'Control Room'!$B$13,'Process'!BN2=1),1+('Control Room'!$C$13-1)*EXP(-0.5*(($A370-'Control Room'!$A$13-('Control Room'!$B$13-1)/2)/MAX(0.5,'Control Room'!$B$13/4))^2),1)*IF(AND($A370&gt;='Control Room'!$A$14,$A370&lt;'Control Room'!$A$14+'Control Room'!$B$14,'Process'!BN3=1),1+('Control Room'!$C$14-1)*EXP(-0.5*(($A370-'Control Room'!$A$14-('Control Room'!$B$14-1)/2)/MAX(0.5,'Control Room'!$B$14/4))^2),1)*IF(AND($A370&gt;='Control Room'!$A$15,$A370&lt;'Control Room'!$A$15+'Control Room'!$B$15,'Process'!BN4=1),1+('Control Room'!$C$15-1)*EXP(-0.5*(($A370-'Control Room'!$A$15-('Control Room'!$B$15-1)/2)/MAX(0.5,'Control Room'!$B$15/4))^2),1)*IF(AND($A370&gt;='Control Room'!$A$16,$A370&lt;'Control Room'!$A$16+'Control Room'!$B$16,'Process'!BN5=1),1+('Control Room'!$C$16-1)*EXP(-0.5*(($A370-'Control Room'!$A$16-('Control Room'!$B$16-1)/2)/MAX(0.5,'Control Room'!$B$16/4))^2),1)</x:f>
        <x:v>1</x:v>
      </x:c>
      <x:c r="V370" s="9" t="n">
        <x:f>MOD(W369*16807,2147483647)</x:f>
        <x:v>935726815</x:v>
      </x:c>
      <x:c r="W370" s="9" t="n">
        <x:f>MOD(V370*16807,2147483647)</x:f>
        <x:v>737832724</x:v>
      </x:c>
      <x:c r="X370" s="17" t="n">
        <x:f>IF('Control Room'!$B$5="Normal",'Control Room'!$B$7+'Control Room'!$D$7*SQRT(-2*LN(MAX(0.000000000001,V370/2147483647)))*COS(2*PI()*W370/2147483647),'Control Room'!$B$8+('Control Room'!$D$8-'Control Room'!$B$8)*V370/2147483647)</x:f>
        <x:v>935.652523544673</x:v>
      </x:c>
      <x:c r="Y370" s="17" t="n">
        <x:f>IF('Control Room'!$B$5="Normal",'Control Room'!$B$7,('Control Room'!$B$8+'Control Room'!$D$8)/2)+'Control Room'!$B$9*(Y369-IF('Control Room'!$B$5="Normal",'Control Room'!$B$7,('Control Room'!$B$8+'Control Room'!$D$8)/2))+SQRT(1-'Control Room'!$B$9^2)*(X370-IF('Control Room'!$B$5="Normal",'Control Room'!$B$7,('Control Room'!$B$8+'Control Room'!$D$8)/2))</x:f>
        <x:v>814.1036328686461</x:v>
      </x:c>
      <x:c r="Z370" s="17" t="n">
        <x:f>IF(AND($A370&gt;='Control Room'!$A$13,$A370&lt;'Control Room'!$A$13+'Control Room'!$B$13,'Process'!BO2=1),1+('Control Room'!$C$13-1)*EXP(-0.5*(($A370-'Control Room'!$A$13-('Control Room'!$B$13-1)/2)/MAX(0.5,'Control Room'!$B$13/4))^2),1)*IF(AND($A370&gt;='Control Room'!$A$14,$A370&lt;'Control Room'!$A$14+'Control Room'!$B$14,'Process'!BO3=1),1+('Control Room'!$C$14-1)*EXP(-0.5*(($A370-'Control Room'!$A$14-('Control Room'!$B$14-1)/2)/MAX(0.5,'Control Room'!$B$14/4))^2),1)*IF(AND($A370&gt;='Control Room'!$A$15,$A370&lt;'Control Room'!$A$15+'Control Room'!$B$15,'Process'!BO4=1),1+('Control Room'!$C$15-1)*EXP(-0.5*(($A370-'Control Room'!$A$15-('Control Room'!$B$15-1)/2)/MAX(0.5,'Control Room'!$B$15/4))^2),1)*IF(AND($A370&gt;='Control Room'!$A$16,$A370&lt;'Control Room'!$A$16+'Control Room'!$B$16,'Process'!BO5=1),1+('Control Room'!$C$16-1)*EXP(-0.5*(($A370-'Control Room'!$A$16-('Control Room'!$B$16-1)/2)/MAX(0.5,'Control Room'!$B$16/4))^2),1)</x:f>
        <x:v>1</x:v>
      </x:c>
      <x:c r="AA370" s="9" t="n">
        <x:f>MOD(AB369*16807,2147483647)</x:f>
        <x:v>1807202605</x:v>
      </x:c>
      <x:c r="AB370" s="9" t="n">
        <x:f>MOD(AA370*16807,2147483647)</x:f>
        <x:v>1792962714</x:v>
      </x:c>
      <x:c r="AC370" s="17" t="n">
        <x:f>IF('Control Room'!$B$5="Normal",'Control Room'!$B$7+'Control Room'!$D$7*SQRT(-2*LN(MAX(0.000000000001,AA370/2147483647)))*COS(2*PI()*AB370/2147483647),'Control Room'!$B$8+('Control Room'!$D$8-'Control Room'!$B$8)*AA370/2147483647)</x:f>
        <x:v>1026.8859843940413</x:v>
      </x:c>
      <x:c r="AD370" s="17" t="n">
        <x:f>IF('Control Room'!$B$5="Normal",'Control Room'!$B$7,('Control Room'!$B$8+'Control Room'!$D$8)/2)+'Control Room'!$B$9*(AD369-IF('Control Room'!$B$5="Normal",'Control Room'!$B$7,('Control Room'!$B$8+'Control Room'!$D$8)/2))+SQRT(1-'Control Room'!$B$9^2)*(AC370-IF('Control Room'!$B$5="Normal",'Control Room'!$B$7,('Control Room'!$B$8+'Control Room'!$D$8)/2))</x:f>
        <x:v>1072.9943141078343</x:v>
      </x:c>
      <x:c r="AE370" s="17" t="n">
        <x:f>IF(AND($A370&gt;='Control Room'!$A$13,$A370&lt;'Control Room'!$A$13+'Control Room'!$B$13,'Process'!BP2=1),1+('Control Room'!$C$13-1)*EXP(-0.5*(($A370-'Control Room'!$A$13-('Control Room'!$B$13-1)/2)/MAX(0.5,'Control Room'!$B$13/4))^2),1)*IF(AND($A370&gt;='Control Room'!$A$14,$A370&lt;'Control Room'!$A$14+'Control Room'!$B$14,'Process'!BP3=1),1+('Control Room'!$C$14-1)*EXP(-0.5*(($A370-'Control Room'!$A$14-('Control Room'!$B$14-1)/2)/MAX(0.5,'Control Room'!$B$14/4))^2),1)*IF(AND($A370&gt;='Control Room'!$A$15,$A370&lt;'Control Room'!$A$15+'Control Room'!$B$15,'Process'!BP4=1),1+('Control Room'!$C$15-1)*EXP(-0.5*(($A370-'Control Room'!$A$15-('Control Room'!$B$15-1)/2)/MAX(0.5,'Control Room'!$B$15/4))^2),1)*IF(AND($A370&gt;='Control Room'!$A$16,$A370&lt;'Control Room'!$A$16+'Control Room'!$B$16,'Process'!BP5=1),1+('Control Room'!$C$16-1)*EXP(-0.5*(($A370-'Control Room'!$A$16-('Control Room'!$B$16-1)/2)/MAX(0.5,'Control Room'!$B$16/4))^2),1)</x:f>
        <x:v>1</x:v>
      </x:c>
      <x:c r="AF370" s="9" t="n">
        <x:f>MOD(AG369*16807,2147483647)</x:f>
        <x:v>531194748</x:v>
      </x:c>
      <x:c r="AG370" s="9" t="n">
        <x:f>MOD(AF370*16807,2147483647)</x:f>
        <x:v>700609057</x:v>
      </x:c>
      <x:c r="AH370" s="17" t="n">
        <x:f>IF('Control Room'!$B$5="Normal",'Control Room'!$B$7+'Control Room'!$D$7*SQRT(-2*LN(MAX(0.000000000001,AF370/2147483647)))*COS(2*PI()*AG370/2147483647),'Control Room'!$B$8+('Control Room'!$D$8-'Control Room'!$B$8)*AF370/2147483647)</x:f>
        <x:v>930.6570567451151</x:v>
      </x:c>
      <x:c r="AI370" s="17" t="n">
        <x:f>IF('Control Room'!$B$5="Normal",'Control Room'!$B$7,('Control Room'!$B$8+'Control Room'!$D$8)/2)+'Control Room'!$B$9*(AI369-IF('Control Room'!$B$5="Normal",'Control Room'!$B$7,('Control Room'!$B$8+'Control Room'!$D$8)/2))+SQRT(1-'Control Room'!$B$9^2)*(AH370-IF('Control Room'!$B$5="Normal",'Control Room'!$B$7,('Control Room'!$B$8+'Control Room'!$D$8)/2))</x:f>
        <x:v>929.3114624798166</x:v>
      </x:c>
      <x:c r="AJ370" s="17" t="n">
        <x:f>IF(AND($A370&gt;='Control Room'!$A$13,$A370&lt;'Control Room'!$A$13+'Control Room'!$B$13,'Process'!BQ2=1),1+('Control Room'!$C$13-1)*EXP(-0.5*(($A370-'Control Room'!$A$13-('Control Room'!$B$13-1)/2)/MAX(0.5,'Control Room'!$B$13/4))^2),1)*IF(AND($A370&gt;='Control Room'!$A$14,$A370&lt;'Control Room'!$A$14+'Control Room'!$B$14,'Process'!BQ3=1),1+('Control Room'!$C$14-1)*EXP(-0.5*(($A370-'Control Room'!$A$14-('Control Room'!$B$14-1)/2)/MAX(0.5,'Control Room'!$B$14/4))^2),1)*IF(AND($A370&gt;='Control Room'!$A$15,$A370&lt;'Control Room'!$A$15+'Control Room'!$B$15,'Process'!BQ4=1),1+('Control Room'!$C$15-1)*EXP(-0.5*(($A370-'Control Room'!$A$15-('Control Room'!$B$15-1)/2)/MAX(0.5,'Control Room'!$B$15/4))^2),1)*IF(AND($A370&gt;='Control Room'!$A$16,$A370&lt;'Control Room'!$A$16+'Control Room'!$B$16,'Process'!BQ5=1),1+('Control Room'!$C$16-1)*EXP(-0.5*(($A370-'Control Room'!$A$16-('Control Room'!$B$16-1)/2)/MAX(0.5,'Control Room'!$B$16/4))^2),1)</x:f>
        <x:v>1</x:v>
      </x:c>
      <x:c r="AK370" s="9" t="n">
        <x:f>MOD(AL369*16807,2147483647)</x:f>
        <x:v>1402670538</x:v>
      </x:c>
      <x:c r="AL370" s="9" t="n">
        <x:f>MOD(AK370*16807,2147483647)</x:f>
        <x:v>1755739047</x:v>
      </x:c>
      <x:c r="AM370" s="17" t="n">
        <x:f>IF('Control Room'!$B$5="Normal",'Control Room'!$B$7+'Control Room'!$D$7*SQRT(-2*LN(MAX(0.000000000001,AK370/2147483647)))*COS(2*PI()*AL370/2147483647),'Control Room'!$B$8+('Control Room'!$D$8-'Control Room'!$B$8)*AK370/2147483647)</x:f>
        <x:v>1034.2205740581935</x:v>
      </x:c>
      <x:c r="AN370" s="17" t="n">
        <x:f>IF('Control Room'!$B$5="Normal",'Control Room'!$B$7,('Control Room'!$B$8+'Control Room'!$D$8)/2)+'Control Room'!$B$9*(AN369-IF('Control Room'!$B$5="Normal",'Control Room'!$B$7,('Control Room'!$B$8+'Control Room'!$D$8)/2))+SQRT(1-'Control Room'!$B$9^2)*(AM370-IF('Control Room'!$B$5="Normal",'Control Room'!$B$7,('Control Room'!$B$8+'Control Room'!$D$8)/2))</x:f>
        <x:v>908.2351075277986</x:v>
      </x:c>
      <x:c r="AO370" s="17" t="n">
        <x:f>IF(AND($A370&gt;='Control Room'!$A$13,$A370&lt;'Control Room'!$A$13+'Control Room'!$B$13,'Process'!BR2=1),1+('Control Room'!$C$13-1)*EXP(-0.5*(($A370-'Control Room'!$A$13-('Control Room'!$B$13-1)/2)/MAX(0.5,'Control Room'!$B$13/4))^2),1)*IF(AND($A370&gt;='Control Room'!$A$14,$A370&lt;'Control Room'!$A$14+'Control Room'!$B$14,'Process'!BR3=1),1+('Control Room'!$C$14-1)*EXP(-0.5*(($A370-'Control Room'!$A$14-('Control Room'!$B$14-1)/2)/MAX(0.5,'Control Room'!$B$14/4))^2),1)*IF(AND($A370&gt;='Control Room'!$A$15,$A370&lt;'Control Room'!$A$15+'Control Room'!$B$15,'Process'!BR4=1),1+('Control Room'!$C$15-1)*EXP(-0.5*(($A370-'Control Room'!$A$15-('Control Room'!$B$15-1)/2)/MAX(0.5,'Control Room'!$B$15/4))^2),1)*IF(AND($A370&gt;='Control Room'!$A$16,$A370&lt;'Control Room'!$A$16+'Control Room'!$B$16,'Process'!BR5=1),1+('Control Room'!$C$16-1)*EXP(-0.5*(($A370-'Control Room'!$A$16-('Control Room'!$B$16-1)/2)/MAX(0.5,'Control Room'!$B$16/4))^2),1)</x:f>
        <x:v>1</x:v>
      </x:c>
      <x:c r="AP370" s="9" t="n">
        <x:f>MOD(AQ369*16807,2147483647)</x:f>
        <x:v>126662681</x:v>
      </x:c>
      <x:c r="AQ370" s="9" t="n">
        <x:f>MOD(AP370*16807,2147483647)</x:f>
        <x:v>663385390</x:v>
      </x:c>
      <x:c r="AR370" s="17" t="n">
        <x:f>IF('Control Room'!$B$5="Normal",'Control Room'!$B$7+'Control Room'!$D$7*SQRT(-2*LN(MAX(0.000000000001,AP370/2147483647)))*COS(2*PI()*AQ370/2147483647),'Control Room'!$B$8+('Control Room'!$D$8-'Control Room'!$B$8)*AP370/2147483647)</x:f>
        <x:v>922.5328198913231</x:v>
      </x:c>
      <x:c r="AS370" s="17" t="n">
        <x:f>IF('Control Room'!$B$5="Normal",'Control Room'!$B$7,('Control Room'!$B$8+'Control Room'!$D$8)/2)+'Control Room'!$B$9*(AS369-IF('Control Room'!$B$5="Normal",'Control Room'!$B$7,('Control Room'!$B$8+'Control Room'!$D$8)/2))+SQRT(1-'Control Room'!$B$9^2)*(AR370-IF('Control Room'!$B$5="Normal",'Control Room'!$B$7,('Control Room'!$B$8+'Control Room'!$D$8)/2))</x:f>
        <x:v>979.7852484180682</x:v>
      </x:c>
      <x:c r="AT370" s="17" t="n">
        <x:f>IF(AND($A370&gt;='Control Room'!$A$13,$A370&lt;'Control Room'!$A$13+'Control Room'!$B$13,'Process'!BS2=1),1+('Control Room'!$C$13-1)*EXP(-0.5*(($A370-'Control Room'!$A$13-('Control Room'!$B$13-1)/2)/MAX(0.5,'Control Room'!$B$13/4))^2),1)*IF(AND($A370&gt;='Control Room'!$A$14,$A370&lt;'Control Room'!$A$14+'Control Room'!$B$14,'Process'!BS3=1),1+('Control Room'!$C$14-1)*EXP(-0.5*(($A370-'Control Room'!$A$14-('Control Room'!$B$14-1)/2)/MAX(0.5,'Control Room'!$B$14/4))^2),1)*IF(AND($A370&gt;='Control Room'!$A$15,$A370&lt;'Control Room'!$A$15+'Control Room'!$B$15,'Process'!BS4=1),1+('Control Room'!$C$15-1)*EXP(-0.5*(($A370-'Control Room'!$A$15-('Control Room'!$B$15-1)/2)/MAX(0.5,'Control Room'!$B$15/4))^2),1)*IF(AND($A370&gt;='Control Room'!$A$16,$A370&lt;'Control Room'!$A$16+'Control Room'!$B$16,'Process'!BS5=1),1+('Control Room'!$C$16-1)*EXP(-0.5*(($A370-'Control Room'!$A$16-('Control Room'!$B$16-1)/2)/MAX(0.5,'Control Room'!$B$16/4))^2),1)</x:f>
        <x:v>1</x:v>
      </x:c>
      <x:c r="AU370" s="9" t="n">
        <x:f>MOD(AV369*16807,2147483647)</x:f>
        <x:v>998138471</x:v>
      </x:c>
      <x:c r="AV370" s="9" t="n">
        <x:f>MOD(AU370*16807,2147483647)</x:f>
        <x:v>1718515380</x:v>
      </x:c>
      <x:c r="AW370" s="17" t="n">
        <x:f>IF('Control Room'!$B$5="Normal",'Control Room'!$B$7+'Control Room'!$D$7*SQRT(-2*LN(MAX(0.000000000001,AU370/2147483647)))*COS(2*PI()*AV370/2147483647),'Control Room'!$B$8+('Control Room'!$D$8-'Control Room'!$B$8)*AU370/2147483647)</x:f>
        <x:v>1034.5908211524666</x:v>
      </x:c>
      <x:c r="AX370" s="17" t="n">
        <x:f>IF('Control Room'!$B$5="Normal",'Control Room'!$B$7,('Control Room'!$B$8+'Control Room'!$D$8)/2)+'Control Room'!$B$9*(AX369-IF('Control Room'!$B$5="Normal",'Control Room'!$B$7,('Control Room'!$B$8+'Control Room'!$D$8)/2))+SQRT(1-'Control Room'!$B$9^2)*(AW370-IF('Control Room'!$B$5="Normal",'Control Room'!$B$7,('Control Room'!$B$8+'Control Room'!$D$8)/2))</x:f>
        <x:v>1010.6492994404687</x:v>
      </x:c>
      <x:c r="AY370" s="17" t="n">
        <x:f>IF(AND($A370&gt;='Control Room'!$A$13,$A370&lt;'Control Room'!$A$13+'Control Room'!$B$13,'Process'!BT2=1),1+('Control Room'!$C$13-1)*EXP(-0.5*(($A370-'Control Room'!$A$13-('Control Room'!$B$13-1)/2)/MAX(0.5,'Control Room'!$B$13/4))^2),1)*IF(AND($A370&gt;='Control Room'!$A$14,$A370&lt;'Control Room'!$A$14+'Control Room'!$B$14,'Process'!BT3=1),1+('Control Room'!$C$14-1)*EXP(-0.5*(($A370-'Control Room'!$A$14-('Control Room'!$B$14-1)/2)/MAX(0.5,'Control Room'!$B$14/4))^2),1)*IF(AND($A370&gt;='Control Room'!$A$15,$A370&lt;'Control Room'!$A$15+'Control Room'!$B$15,'Process'!BT4=1),1+('Control Room'!$C$15-1)*EXP(-0.5*(($A370-'Control Room'!$A$15-('Control Room'!$B$15-1)/2)/MAX(0.5,'Control Room'!$B$15/4))^2),1)*IF(AND($A370&gt;='Control Room'!$A$16,$A370&lt;'Control Room'!$A$16+'Control Room'!$B$16,'Process'!BT5=1),1+('Control Room'!$C$16-1)*EXP(-0.5*(($A370-'Control Room'!$A$16-('Control Room'!$B$16-1)/2)/MAX(0.5,'Control Room'!$B$16/4))^2),1)</x:f>
        <x:v>1</x:v>
      </x:c>
      <x:c r="AZ370" s="9" t="n">
        <x:f>MOD(BA369*16807,2147483647)</x:f>
        <x:v>1869614261</x:v>
      </x:c>
      <x:c r="BA370" s="9" t="n">
        <x:f>MOD(AZ370*16807,2147483647)</x:f>
        <x:v>626161723</x:v>
      </x:c>
      <x:c r="BB370" s="17" t="n">
        <x:f>IF('Control Room'!$B$5="Normal",'Control Room'!$B$7+'Control Room'!$D$7*SQRT(-2*LN(MAX(0.000000000001,AZ370/2147483647)))*COS(2*PI()*BA370/2147483647),'Control Room'!$B$8+('Control Room'!$D$8-'Control Room'!$B$8)*AZ370/2147483647)</x:f>
        <x:v>987.7626056020678</x:v>
      </x:c>
      <x:c r="BC370" s="17" t="n">
        <x:f>IF('Control Room'!$B$5="Normal",'Control Room'!$B$7,('Control Room'!$B$8+'Control Room'!$D$8)/2)+'Control Room'!$B$9*(BC369-IF('Control Room'!$B$5="Normal",'Control Room'!$B$7,('Control Room'!$B$8+'Control Room'!$D$8)/2))+SQRT(1-'Control Room'!$B$9^2)*(BB370-IF('Control Room'!$B$5="Normal",'Control Room'!$B$7,('Control Room'!$B$8+'Control Room'!$D$8)/2))</x:f>
        <x:v>963.5278631052776</x:v>
      </x:c>
      <x:c r="BD370" s="17" t="n">
        <x:f>IF(AND($A370&gt;='Control Room'!$A$13,$A370&lt;'Control Room'!$A$13+'Control Room'!$B$13,'Process'!BU2=1),1+('Control Room'!$C$13-1)*EXP(-0.5*(($A370-'Control Room'!$A$13-('Control Room'!$B$13-1)/2)/MAX(0.5,'Control Room'!$B$13/4))^2),1)*IF(AND($A370&gt;='Control Room'!$A$14,$A370&lt;'Control Room'!$A$14+'Control Room'!$B$14,'Process'!BU3=1),1+('Control Room'!$C$14-1)*EXP(-0.5*(($A370-'Control Room'!$A$14-('Control Room'!$B$14-1)/2)/MAX(0.5,'Control Room'!$B$14/4))^2),1)*IF(AND($A370&gt;='Control Room'!$A$15,$A370&lt;'Control Room'!$A$15+'Control Room'!$B$15,'Process'!BU4=1),1+('Control Room'!$C$15-1)*EXP(-0.5*(($A370-'Control Room'!$A$15-('Control Room'!$B$15-1)/2)/MAX(0.5,'Control Room'!$B$15/4))^2),1)*IF(AND($A370&gt;='Control Room'!$A$16,$A370&lt;'Control Room'!$A$16+'Control Room'!$B$16,'Process'!BU5=1),1+('Control Room'!$C$16-1)*EXP(-0.5*(($A370-'Control Room'!$A$16-('Control Room'!$B$16-1)/2)/MAX(0.5,'Control Room'!$B$16/4))^2),1)</x:f>
        <x:v>1</x:v>
      </x:c>
      <x:c r="BE370" s="9" t="n">
        <x:f>MOD(BF369*16807,2147483647)</x:f>
        <x:v>593606404</x:v>
      </x:c>
      <x:c r="BF370" s="9" t="n">
        <x:f>MOD(BE370*16807,2147483647)</x:f>
        <x:v>1681291713</x:v>
      </x:c>
      <x:c r="BG370" s="17" t="n">
        <x:f>IF('Control Room'!$B$5="Normal",'Control Room'!$B$7+'Control Room'!$D$7*SQRT(-2*LN(MAX(0.000000000001,BE370/2147483647)))*COS(2*PI()*BF370/2147483647),'Control Room'!$B$8+('Control Room'!$D$8-'Control Room'!$B$8)*BE370/2147483647)</x:f>
        <x:v>1029.6340278014393</x:v>
      </x:c>
      <x:c r="BH370" s="17" t="n">
        <x:f>IF('Control Room'!$B$5="Normal",'Control Room'!$B$7,('Control Room'!$B$8+'Control Room'!$D$8)/2)+'Control Room'!$B$9*(BH369-IF('Control Room'!$B$5="Normal",'Control Room'!$B$7,('Control Room'!$B$8+'Control Room'!$D$8)/2))+SQRT(1-'Control Room'!$B$9^2)*(BG370-IF('Control Room'!$B$5="Normal",'Control Room'!$B$7,('Control Room'!$B$8+'Control Room'!$D$8)/2))</x:f>
        <x:v>966.817134082921</x:v>
      </x:c>
      <x:c r="BI370" s="17" t="n">
        <x:f>IF(AND($A370&gt;='Control Room'!$A$13,$A370&lt;'Control Room'!$A$13+'Control Room'!$B$13,'Process'!BV2=1),1+('Control Room'!$C$13-1)*EXP(-0.5*(($A370-'Control Room'!$A$13-('Control Room'!$B$13-1)/2)/MAX(0.5,'Control Room'!$B$13/4))^2),1)*IF(AND($A370&gt;='Control Room'!$A$14,$A370&lt;'Control Room'!$A$14+'Control Room'!$B$14,'Process'!BV3=1),1+('Control Room'!$C$14-1)*EXP(-0.5*(($A370-'Control Room'!$A$14-('Control Room'!$B$14-1)/2)/MAX(0.5,'Control Room'!$B$14/4))^2),1)*IF(AND($A370&gt;='Control Room'!$A$15,$A370&lt;'Control Room'!$A$15+'Control Room'!$B$15,'Process'!BV4=1),1+('Control Room'!$C$15-1)*EXP(-0.5*(($A370-'Control Room'!$A$15-('Control Room'!$B$15-1)/2)/MAX(0.5,'Control Room'!$B$15/4))^2),1)*IF(AND($A370&gt;='Control Room'!$A$16,$A370&lt;'Control Room'!$A$16+'Control Room'!$B$16,'Process'!BV5=1),1+('Control Room'!$C$16-1)*EXP(-0.5*(($A370-'Control Room'!$A$16-('Control Room'!$B$16-1)/2)/MAX(0.5,'Control Room'!$B$16/4))^2),1)</x:f>
        <x:v>1</x:v>
      </x:c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Z370" t="str">
        <x:f>IF('Data'!A370="","",TEXT('Data'!A370,"mm-dd"))</x:f>
      </x:c>
    </x:row>
    <x:row r="371" ht="21" customHeight="1">
      <x:c r="A371" s="15" t="n">
        <x:f>'Control Room'!$B$1+369</x:f>
        <x:v>73360</x:v>
      </x:c>
      <x:c r="B371" s="9" t="n">
        <x:f>MOD(C370*16807,2147483647)</x:f>
        <x:v>437390827</x:v>
      </x:c>
      <x:c r="C371" s="9" t="n">
        <x:f>MOD(B371*16807,2147483647)</x:f>
        <x:v>391105708</x:v>
      </x:c>
      <x:c r="D371" s="17" t="n">
        <x:f>IF('Control Room'!$B$5="Normal",'Control Room'!$B$7+'Control Room'!$D$7*SQRT(-2*LN(MAX(0.000000000001,B371/2147483647)))*COS(2*PI()*C371/2147483647),'Control Room'!$B$8+('Control Room'!$D$8-'Control Room'!$B$8)*B371/2147483647)</x:f>
        <x:v>1066.4172356719157</x:v>
      </x:c>
      <x:c r="E371" s="17" t="n">
        <x:f>IF('Control Room'!$B$5="Normal",'Control Room'!$B$7,('Control Room'!$B$8+'Control Room'!$D$8)/2)+'Control Room'!$B$9*(E370-IF('Control Room'!$B$5="Normal",'Control Room'!$B$7,('Control Room'!$B$8+'Control Room'!$D$8)/2))+SQRT(1-'Control Room'!$B$9^2)*(D371-IF('Control Room'!$B$5="Normal",'Control Room'!$B$7,('Control Room'!$B$8+'Control Room'!$D$8)/2))</x:f>
        <x:v>1013.3059499133217</x:v>
      </x:c>
      <x:c r="F371" s="17" t="n">
        <x:f>IF(AND($A371&gt;='Control Room'!$A$13,$A371&lt;'Control Room'!$A$13+'Control Room'!$B$13,'Process'!BK2=1),1+('Control Room'!$C$13-1)*EXP(-0.5*(($A371-'Control Room'!$A$13-('Control Room'!$B$13-1)/2)/MAX(0.5,'Control Room'!$B$13/4))^2),1)*IF(AND($A371&gt;='Control Room'!$A$14,$A371&lt;'Control Room'!$A$14+'Control Room'!$B$14,'Process'!BK3=1),1+('Control Room'!$C$14-1)*EXP(-0.5*(($A371-'Control Room'!$A$14-('Control Room'!$B$14-1)/2)/MAX(0.5,'Control Room'!$B$14/4))^2),1)*IF(AND($A371&gt;='Control Room'!$A$15,$A371&lt;'Control Room'!$A$15+'Control Room'!$B$15,'Process'!BK4=1),1+('Control Room'!$C$15-1)*EXP(-0.5*(($A371-'Control Room'!$A$15-('Control Room'!$B$15-1)/2)/MAX(0.5,'Control Room'!$B$15/4))^2),1)*IF(AND($A371&gt;='Control Room'!$A$16,$A371&lt;'Control Room'!$A$16+'Control Room'!$B$16,'Process'!BK5=1),1+('Control Room'!$C$16-1)*EXP(-0.5*(($A371-'Control Room'!$A$16-('Control Room'!$B$16-1)/2)/MAX(0.5,'Control Room'!$B$16/4))^2),1)</x:f>
        <x:v>1</x:v>
      </x:c>
      <x:c r="G371" s="9" t="n">
        <x:f>MOD(H370*16807,2147483647)</x:f>
        <x:v>87175831</x:v>
      </x:c>
      <x:c r="H371" s="9" t="n">
        <x:f>MOD(G371*16807,2147483647)</x:f>
        <x:v>580344363</x:v>
      </x:c>
      <x:c r="I371" s="17" t="n">
        <x:f>IF('Control Room'!$B$5="Normal",'Control Room'!$B$7+'Control Room'!$D$7*SQRT(-2*LN(MAX(0.000000000001,G371/2147483647)))*COS(2*PI()*H371/2147483647),'Control Room'!$B$8+('Control Room'!$D$8-'Control Room'!$B$8)*G371/2147483647)</x:f>
        <x:v>971.0988814931409</x:v>
      </x:c>
      <x:c r="J371" s="17" t="n">
        <x:f>IF('Control Room'!$B$5="Normal",'Control Room'!$B$7,('Control Room'!$B$8+'Control Room'!$D$8)/2)+'Control Room'!$B$9*(J370-IF('Control Room'!$B$5="Normal",'Control Room'!$B$7,('Control Room'!$B$8+'Control Room'!$D$8)/2))+SQRT(1-'Control Room'!$B$9^2)*(I371-IF('Control Room'!$B$5="Normal",'Control Room'!$B$7,('Control Room'!$B$8+'Control Room'!$D$8)/2))</x:f>
        <x:v>1000.5002914551416</x:v>
      </x:c>
      <x:c r="K371" s="17" t="n">
        <x:f>IF(AND($A371&gt;='Control Room'!$A$13,$A371&lt;'Control Room'!$A$13+'Control Room'!$B$13,'Process'!BL2=1),1+('Control Room'!$C$13-1)*EXP(-0.5*(($A371-'Control Room'!$A$13-('Control Room'!$B$13-1)/2)/MAX(0.5,'Control Room'!$B$13/4))^2),1)*IF(AND($A371&gt;='Control Room'!$A$14,$A371&lt;'Control Room'!$A$14+'Control Room'!$B$14,'Process'!BL3=1),1+('Control Room'!$C$14-1)*EXP(-0.5*(($A371-'Control Room'!$A$14-('Control Room'!$B$14-1)/2)/MAX(0.5,'Control Room'!$B$14/4))^2),1)*IF(AND($A371&gt;='Control Room'!$A$15,$A371&lt;'Control Room'!$A$15+'Control Room'!$B$15,'Process'!BL4=1),1+('Control Room'!$C$15-1)*EXP(-0.5*(($A371-'Control Room'!$A$15-('Control Room'!$B$15-1)/2)/MAX(0.5,'Control Room'!$B$15/4))^2),1)*IF(AND($A371&gt;='Control Room'!$A$16,$A371&lt;'Control Room'!$A$16+'Control Room'!$B$16,'Process'!BL5=1),1+('Control Room'!$C$16-1)*EXP(-0.5*(($A371-'Control Room'!$A$16-('Control Room'!$B$16-1)/2)/MAX(0.5,'Control Room'!$B$16/4))^2),1)</x:f>
        <x:v>1</x:v>
      </x:c>
      <x:c r="L371" s="9" t="n">
        <x:f>MOD(M370*16807,2147483647)</x:f>
        <x:v>1884444482</x:v>
      </x:c>
      <x:c r="M371" s="9" t="n">
        <x:f>MOD(L371*16807,2147483647)</x:f>
        <x:v>769583018</x:v>
      </x:c>
      <x:c r="N371" s="17" t="n">
        <x:f>IF('Control Room'!$B$5="Normal",'Control Room'!$B$7+'Control Room'!$D$7*SQRT(-2*LN(MAX(0.000000000001,L371/2147483647)))*COS(2*PI()*M371/2147483647),'Control Room'!$B$8+('Control Room'!$D$8-'Control Room'!$B$8)*L371/2147483647)</x:f>
        <x:v>971.039002514626</x:v>
      </x:c>
      <x:c r="O371" s="17" t="n">
        <x:f>IF('Control Room'!$B$5="Normal",'Control Room'!$B$7,('Control Room'!$B$8+'Control Room'!$D$8)/2)+'Control Room'!$B$9*(O370-IF('Control Room'!$B$5="Normal",'Control Room'!$B$7,('Control Room'!$B$8+'Control Room'!$D$8)/2))+SQRT(1-'Control Room'!$B$9^2)*(N371-IF('Control Room'!$B$5="Normal",'Control Room'!$B$7,('Control Room'!$B$8+'Control Room'!$D$8)/2))</x:f>
        <x:v>951.0825693443186</x:v>
      </x:c>
      <x:c r="P371" s="17" t="n">
        <x:f>IF(AND($A371&gt;='Control Room'!$A$13,$A371&lt;'Control Room'!$A$13+'Control Room'!$B$13,'Process'!BM2=1),1+('Control Room'!$C$13-1)*EXP(-0.5*(($A371-'Control Room'!$A$13-('Control Room'!$B$13-1)/2)/MAX(0.5,'Control Room'!$B$13/4))^2),1)*IF(AND($A371&gt;='Control Room'!$A$14,$A371&lt;'Control Room'!$A$14+'Control Room'!$B$14,'Process'!BM3=1),1+('Control Room'!$C$14-1)*EXP(-0.5*(($A371-'Control Room'!$A$14-('Control Room'!$B$14-1)/2)/MAX(0.5,'Control Room'!$B$14/4))^2),1)*IF(AND($A371&gt;='Control Room'!$A$15,$A371&lt;'Control Room'!$A$15+'Control Room'!$B$15,'Process'!BM4=1),1+('Control Room'!$C$15-1)*EXP(-0.5*(($A371-'Control Room'!$A$15-('Control Room'!$B$15-1)/2)/MAX(0.5,'Control Room'!$B$15/4))^2),1)*IF(AND($A371&gt;='Control Room'!$A$16,$A371&lt;'Control Room'!$A$16+'Control Room'!$B$16,'Process'!BM5=1),1+('Control Room'!$C$16-1)*EXP(-0.5*(($A371-'Control Room'!$A$16-('Control Room'!$B$16-1)/2)/MAX(0.5,'Control Room'!$B$16/4))^2),1)</x:f>
        <x:v>1</x:v>
      </x:c>
      <x:c r="Q371" s="9" t="n">
        <x:f>MOD(R370*16807,2147483647)</x:f>
        <x:v>1534229486</x:v>
      </x:c>
      <x:c r="R371" s="9" t="n">
        <x:f>MOD(Q371*16807,2147483647)</x:f>
        <x:v>958821673</x:v>
      </x:c>
      <x:c r="S371" s="17" t="n">
        <x:f>IF('Control Room'!$B$5="Normal",'Control Room'!$B$7+'Control Room'!$D$7*SQRT(-2*LN(MAX(0.000000000001,Q371/2147483647)))*COS(2*PI()*R371/2147483647),'Control Room'!$B$8+('Control Room'!$D$8-'Control Room'!$B$8)*Q371/2147483647)</x:f>
        <x:v>930.3255052916913</x:v>
      </x:c>
      <x:c r="T371" s="17" t="n">
        <x:f>IF('Control Room'!$B$5="Normal",'Control Room'!$B$7,('Control Room'!$B$8+'Control Room'!$D$8)/2)+'Control Room'!$B$9*(T370-IF('Control Room'!$B$5="Normal",'Control Room'!$B$7,('Control Room'!$B$8+'Control Room'!$D$8)/2))+SQRT(1-'Control Room'!$B$9^2)*(S371-IF('Control Room'!$B$5="Normal",'Control Room'!$B$7,('Control Room'!$B$8+'Control Room'!$D$8)/2))</x:f>
        <x:v>1018.1433076843745</x:v>
      </x:c>
      <x:c r="U371" s="17" t="n">
        <x:f>IF(AND($A371&gt;='Control Room'!$A$13,$A371&lt;'Control Room'!$A$13+'Control Room'!$B$13,'Process'!BN2=1),1+('Control Room'!$C$13-1)*EXP(-0.5*(($A371-'Control Room'!$A$13-('Control Room'!$B$13-1)/2)/MAX(0.5,'Control Room'!$B$13/4))^2),1)*IF(AND($A371&gt;='Control Room'!$A$14,$A371&lt;'Control Room'!$A$14+'Control Room'!$B$14,'Process'!BN3=1),1+('Control Room'!$C$14-1)*EXP(-0.5*(($A371-'Control Room'!$A$14-('Control Room'!$B$14-1)/2)/MAX(0.5,'Control Room'!$B$14/4))^2),1)*IF(AND($A371&gt;='Control Room'!$A$15,$A371&lt;'Control Room'!$A$15+'Control Room'!$B$15,'Process'!BN4=1),1+('Control Room'!$C$15-1)*EXP(-0.5*(($A371-'Control Room'!$A$15-('Control Room'!$B$15-1)/2)/MAX(0.5,'Control Room'!$B$15/4))^2),1)*IF(AND($A371&gt;='Control Room'!$A$16,$A371&lt;'Control Room'!$A$16+'Control Room'!$B$16,'Process'!BN5=1),1+('Control Room'!$C$16-1)*EXP(-0.5*(($A371-'Control Room'!$A$16-('Control Room'!$B$16-1)/2)/MAX(0.5,'Control Room'!$B$16/4))^2),1)</x:f>
        <x:v>1</x:v>
      </x:c>
      <x:c r="V371" s="9" t="n">
        <x:f>MOD(W370*16807,2147483647)</x:f>
        <x:v>1184014490</x:v>
      </x:c>
      <x:c r="W371" s="9" t="n">
        <x:f>MOD(V371*16807,2147483647)</x:f>
        <x:v>1148060328</x:v>
      </x:c>
      <x:c r="X371" s="17" t="n">
        <x:f>IF('Control Room'!$B$5="Normal",'Control Room'!$B$7+'Control Room'!$D$7*SQRT(-2*LN(MAX(0.000000000001,V371/2147483647)))*COS(2*PI()*W371/2147483647),'Control Room'!$B$8+('Control Room'!$D$8-'Control Room'!$B$8)*V371/2147483647)</x:f>
        <x:v>904.1023957691722</x:v>
      </x:c>
      <x:c r="Y371" s="17" t="n">
        <x:f>IF('Control Room'!$B$5="Normal",'Control Room'!$B$7,('Control Room'!$B$8+'Control Room'!$D$8)/2)+'Control Room'!$B$9*(Y370-IF('Control Room'!$B$5="Normal",'Control Room'!$B$7,('Control Room'!$B$8+'Control Room'!$D$8)/2))+SQRT(1-'Control Room'!$B$9^2)*(X371-IF('Control Room'!$B$5="Normal",'Control Room'!$B$7,('Control Room'!$B$8+'Control Room'!$D$8)/2))</x:f>
        <x:v>794.9900774790983</x:v>
      </x:c>
      <x:c r="Z371" s="17" t="n">
        <x:f>IF(AND($A371&gt;='Control Room'!$A$13,$A371&lt;'Control Room'!$A$13+'Control Room'!$B$13,'Process'!BO2=1),1+('Control Room'!$C$13-1)*EXP(-0.5*(($A371-'Control Room'!$A$13-('Control Room'!$B$13-1)/2)/MAX(0.5,'Control Room'!$B$13/4))^2),1)*IF(AND($A371&gt;='Control Room'!$A$14,$A371&lt;'Control Room'!$A$14+'Control Room'!$B$14,'Process'!BO3=1),1+('Control Room'!$C$14-1)*EXP(-0.5*(($A371-'Control Room'!$A$14-('Control Room'!$B$14-1)/2)/MAX(0.5,'Control Room'!$B$14/4))^2),1)*IF(AND($A371&gt;='Control Room'!$A$15,$A371&lt;'Control Room'!$A$15+'Control Room'!$B$15,'Process'!BO4=1),1+('Control Room'!$C$15-1)*EXP(-0.5*(($A371-'Control Room'!$A$15-('Control Room'!$B$15-1)/2)/MAX(0.5,'Control Room'!$B$15/4))^2),1)*IF(AND($A371&gt;='Control Room'!$A$16,$A371&lt;'Control Room'!$A$16+'Control Room'!$B$16,'Process'!BO5=1),1+('Control Room'!$C$16-1)*EXP(-0.5*(($A371-'Control Room'!$A$16-('Control Room'!$B$16-1)/2)/MAX(0.5,'Control Room'!$B$16/4))^2),1)</x:f>
        <x:v>1</x:v>
      </x:c>
      <x:c r="AA371" s="9" t="n">
        <x:f>MOD(AB370*16807,2147483647)</x:f>
        <x:v>833799494</x:v>
      </x:c>
      <x:c r="AB371" s="9" t="n">
        <x:f>MOD(AA371*16807,2147483647)</x:f>
        <x:v>1337298983</x:v>
      </x:c>
      <x:c r="AC371" s="17" t="n">
        <x:f>IF('Control Room'!$B$5="Normal",'Control Room'!$B$7+'Control Room'!$D$7*SQRT(-2*LN(MAX(0.000000000001,AA371/2147483647)))*COS(2*PI()*AB371/2147483647),'Control Room'!$B$8+('Control Room'!$D$8-'Control Room'!$B$8)*AA371/2147483647)</x:f>
        <x:v>911.2204947468933</x:v>
      </x:c>
      <x:c r="AD371" s="17" t="n">
        <x:f>IF('Control Room'!$B$5="Normal",'Control Room'!$B$7,('Control Room'!$B$8+'Control Room'!$D$8)/2)+'Control Room'!$B$9*(AD370-IF('Control Room'!$B$5="Normal",'Control Room'!$B$7,('Control Room'!$B$8+'Control Room'!$D$8)/2))+SQRT(1-'Control Room'!$B$9^2)*(AC371-IF('Control Room'!$B$5="Normal",'Control Room'!$B$7,('Control Room'!$B$8+'Control Room'!$D$8)/2))</x:f>
        <x:v>1001.3791693637394</x:v>
      </x:c>
      <x:c r="AE371" s="17" t="n">
        <x:f>IF(AND($A371&gt;='Control Room'!$A$13,$A371&lt;'Control Room'!$A$13+'Control Room'!$B$13,'Process'!BP2=1),1+('Control Room'!$C$13-1)*EXP(-0.5*(($A371-'Control Room'!$A$13-('Control Room'!$B$13-1)/2)/MAX(0.5,'Control Room'!$B$13/4))^2),1)*IF(AND($A371&gt;='Control Room'!$A$14,$A371&lt;'Control Room'!$A$14+'Control Room'!$B$14,'Process'!BP3=1),1+('Control Room'!$C$14-1)*EXP(-0.5*(($A371-'Control Room'!$A$14-('Control Room'!$B$14-1)/2)/MAX(0.5,'Control Room'!$B$14/4))^2),1)*IF(AND($A371&gt;='Control Room'!$A$15,$A371&lt;'Control Room'!$A$15+'Control Room'!$B$15,'Process'!BP4=1),1+('Control Room'!$C$15-1)*EXP(-0.5*(($A371-'Control Room'!$A$15-('Control Room'!$B$15-1)/2)/MAX(0.5,'Control Room'!$B$15/4))^2),1)*IF(AND($A371&gt;='Control Room'!$A$16,$A371&lt;'Control Room'!$A$16+'Control Room'!$B$16,'Process'!BP5=1),1+('Control Room'!$C$16-1)*EXP(-0.5*(($A371-'Control Room'!$A$16-('Control Room'!$B$16-1)/2)/MAX(0.5,'Control Room'!$B$16/4))^2),1)</x:f>
        <x:v>1</x:v>
      </x:c>
      <x:c r="AF371" s="9" t="n">
        <x:f>MOD(AG370*16807,2147483647)</x:f>
        <x:v>483584498</x:v>
      </x:c>
      <x:c r="AG371" s="9" t="n">
        <x:f>MOD(AF371*16807,2147483647)</x:f>
        <x:v>1526537638</x:v>
      </x:c>
      <x:c r="AH371" s="17" t="n">
        <x:f>IF('Control Room'!$B$5="Normal",'Control Room'!$B$7+'Control Room'!$D$7*SQRT(-2*LN(MAX(0.000000000001,AF371/2147483647)))*COS(2*PI()*AG371/2147483647),'Control Room'!$B$8+('Control Room'!$D$8-'Control Room'!$B$8)*AF371/2147483647)</x:f>
        <x:v>962.1557799524882</x:v>
      </x:c>
      <x:c r="AI371" s="17" t="n">
        <x:f>IF('Control Room'!$B$5="Normal",'Control Room'!$B$7,('Control Room'!$B$8+'Control Room'!$D$8)/2)+'Control Room'!$B$9*(AI370-IF('Control Room'!$B$5="Normal",'Control Room'!$B$7,('Control Room'!$B$8+'Control Room'!$D$8)/2))+SQRT(1-'Control Room'!$B$9^2)*(AH371-IF('Control Room'!$B$5="Normal",'Control Room'!$B$7,('Control Room'!$B$8+'Control Room'!$D$8)/2))</x:f>
        <x:v>921.1808031095119</x:v>
      </x:c>
      <x:c r="AJ371" s="17" t="n">
        <x:f>IF(AND($A371&gt;='Control Room'!$A$13,$A371&lt;'Control Room'!$A$13+'Control Room'!$B$13,'Process'!BQ2=1),1+('Control Room'!$C$13-1)*EXP(-0.5*(($A371-'Control Room'!$A$13-('Control Room'!$B$13-1)/2)/MAX(0.5,'Control Room'!$B$13/4))^2),1)*IF(AND($A371&gt;='Control Room'!$A$14,$A371&lt;'Control Room'!$A$14+'Control Room'!$B$14,'Process'!BQ3=1),1+('Control Room'!$C$14-1)*EXP(-0.5*(($A371-'Control Room'!$A$14-('Control Room'!$B$14-1)/2)/MAX(0.5,'Control Room'!$B$14/4))^2),1)*IF(AND($A371&gt;='Control Room'!$A$15,$A371&lt;'Control Room'!$A$15+'Control Room'!$B$15,'Process'!BQ4=1),1+('Control Room'!$C$15-1)*EXP(-0.5*(($A371-'Control Room'!$A$15-('Control Room'!$B$15-1)/2)/MAX(0.5,'Control Room'!$B$15/4))^2),1)*IF(AND($A371&gt;='Control Room'!$A$16,$A371&lt;'Control Room'!$A$16+'Control Room'!$B$16,'Process'!BQ5=1),1+('Control Room'!$C$16-1)*EXP(-0.5*(($A371-'Control Room'!$A$16-('Control Room'!$B$16-1)/2)/MAX(0.5,'Control Room'!$B$16/4))^2),1)</x:f>
        <x:v>1</x:v>
      </x:c>
      <x:c r="AK371" s="9" t="n">
        <x:f>MOD(AL370*16807,2147483647)</x:f>
        <x:v>133369502</x:v>
      </x:c>
      <x:c r="AL371" s="9" t="n">
        <x:f>MOD(AK371*16807,2147483647)</x:f>
        <x:v>1715776293</x:v>
      </x:c>
      <x:c r="AM371" s="17" t="n">
        <x:f>IF('Control Room'!$B$5="Normal",'Control Room'!$B$7+'Control Room'!$D$7*SQRT(-2*LN(MAX(0.000000000001,AK371/2147483647)))*COS(2*PI()*AL371/2147483647),'Control Room'!$B$8+('Control Room'!$D$8-'Control Room'!$B$8)*AK371/2147483647)</x:f>
        <x:v>1064.2594470781323</x:v>
      </x:c>
      <x:c r="AN371" s="17" t="n">
        <x:f>IF('Control Room'!$B$5="Normal",'Control Room'!$B$7,('Control Room'!$B$8+'Control Room'!$D$8)/2)+'Control Room'!$B$9*(AN370-IF('Control Room'!$B$5="Normal",'Control Room'!$B$7,('Control Room'!$B$8+'Control Room'!$D$8)/2))+SQRT(1-'Control Room'!$B$9^2)*(AM371-IF('Control Room'!$B$5="Normal",'Control Room'!$B$7,('Control Room'!$B$8+'Control Room'!$D$8)/2))</x:f>
        <x:v>968.6356294268506</x:v>
      </x:c>
      <x:c r="AO371" s="17" t="n">
        <x:f>IF(AND($A371&gt;='Control Room'!$A$13,$A371&lt;'Control Room'!$A$13+'Control Room'!$B$13,'Process'!BR2=1),1+('Control Room'!$C$13-1)*EXP(-0.5*(($A371-'Control Room'!$A$13-('Control Room'!$B$13-1)/2)/MAX(0.5,'Control Room'!$B$13/4))^2),1)*IF(AND($A371&gt;='Control Room'!$A$14,$A371&lt;'Control Room'!$A$14+'Control Room'!$B$14,'Process'!BR3=1),1+('Control Room'!$C$14-1)*EXP(-0.5*(($A371-'Control Room'!$A$14-('Control Room'!$B$14-1)/2)/MAX(0.5,'Control Room'!$B$14/4))^2),1)*IF(AND($A371&gt;='Control Room'!$A$15,$A371&lt;'Control Room'!$A$15+'Control Room'!$B$15,'Process'!BR4=1),1+('Control Room'!$C$15-1)*EXP(-0.5*(($A371-'Control Room'!$A$15-('Control Room'!$B$15-1)/2)/MAX(0.5,'Control Room'!$B$15/4))^2),1)*IF(AND($A371&gt;='Control Room'!$A$16,$A371&lt;'Control Room'!$A$16+'Control Room'!$B$16,'Process'!BR5=1),1+('Control Room'!$C$16-1)*EXP(-0.5*(($A371-'Control Room'!$A$16-('Control Room'!$B$16-1)/2)/MAX(0.5,'Control Room'!$B$16/4))^2),1)</x:f>
        <x:v>1</x:v>
      </x:c>
      <x:c r="AP371" s="9" t="n">
        <x:f>MOD(AQ370*16807,2147483647)</x:f>
        <x:v>1930638153</x:v>
      </x:c>
      <x:c r="AQ371" s="9" t="n">
        <x:f>MOD(AP371*16807,2147483647)</x:f>
        <x:v>1905014948</x:v>
      </x:c>
      <x:c r="AR371" s="17" t="n">
        <x:f>IF('Control Room'!$B$5="Normal",'Control Room'!$B$7+'Control Room'!$D$7*SQRT(-2*LN(MAX(0.000000000001,AP371/2147483647)))*COS(2*PI()*AQ371/2147483647),'Control Room'!$B$8+('Control Room'!$D$8-'Control Room'!$B$8)*AP371/2147483647)</x:f>
        <x:v>1031.507504696884</x:v>
      </x:c>
      <x:c r="AS371" s="17" t="n">
        <x:f>IF('Control Room'!$B$5="Normal",'Control Room'!$B$7,('Control Room'!$B$8+'Control Room'!$D$8)/2)+'Control Room'!$B$9*(AS370-IF('Control Room'!$B$5="Normal",'Control Room'!$B$7,('Control Room'!$B$8+'Control Room'!$D$8)/2))+SQRT(1-'Control Room'!$B$9^2)*(AR371-IF('Control Room'!$B$5="Normal",'Control Room'!$B$7,('Control Room'!$B$8+'Control Room'!$D$8)/2))</x:f>
        <x:v>1003.9492447390854</x:v>
      </x:c>
      <x:c r="AT371" s="17" t="n">
        <x:f>IF(AND($A371&gt;='Control Room'!$A$13,$A371&lt;'Control Room'!$A$13+'Control Room'!$B$13,'Process'!BS2=1),1+('Control Room'!$C$13-1)*EXP(-0.5*(($A371-'Control Room'!$A$13-('Control Room'!$B$13-1)/2)/MAX(0.5,'Control Room'!$B$13/4))^2),1)*IF(AND($A371&gt;='Control Room'!$A$14,$A371&lt;'Control Room'!$A$14+'Control Room'!$B$14,'Process'!BS3=1),1+('Control Room'!$C$14-1)*EXP(-0.5*(($A371-'Control Room'!$A$14-('Control Room'!$B$14-1)/2)/MAX(0.5,'Control Room'!$B$14/4))^2),1)*IF(AND($A371&gt;='Control Room'!$A$15,$A371&lt;'Control Room'!$A$15+'Control Room'!$B$15,'Process'!BS4=1),1+('Control Room'!$C$15-1)*EXP(-0.5*(($A371-'Control Room'!$A$15-('Control Room'!$B$15-1)/2)/MAX(0.5,'Control Room'!$B$15/4))^2),1)*IF(AND($A371&gt;='Control Room'!$A$16,$A371&lt;'Control Room'!$A$16+'Control Room'!$B$16,'Process'!BS5=1),1+('Control Room'!$C$16-1)*EXP(-0.5*(($A371-'Control Room'!$A$16-('Control Room'!$B$16-1)/2)/MAX(0.5,'Control Room'!$B$16/4))^2),1)</x:f>
        <x:v>1</x:v>
      </x:c>
      <x:c r="AU371" s="9" t="n">
        <x:f>MOD(AV370*16807,2147483647)</x:f>
        <x:v>1580423157</x:v>
      </x:c>
      <x:c r="AV371" s="9" t="n">
        <x:f>MOD(AU371*16807,2147483647)</x:f>
        <x:v>2094253603</x:v>
      </x:c>
      <x:c r="AW371" s="17" t="n">
        <x:f>IF('Control Room'!$B$5="Normal",'Control Room'!$B$7+'Control Room'!$D$7*SQRT(-2*LN(MAX(0.000000000001,AU371/2147483647)))*COS(2*PI()*AV371/2147483647),'Control Room'!$B$8+('Control Room'!$D$8-'Control Room'!$B$8)*AU371/2147483647)</x:f>
        <x:v>1069.6238473272244</x:v>
      </x:c>
      <x:c r="AX371" s="17" t="n">
        <x:f>IF('Control Room'!$B$5="Normal",'Control Room'!$B$7,('Control Room'!$B$8+'Control Room'!$D$8)/2)+'Control Room'!$B$9*(AX370-IF('Control Room'!$B$5="Normal",'Control Room'!$B$7,('Control Room'!$B$8+'Control Room'!$D$8)/2))+SQRT(1-'Control Room'!$B$9^2)*(AW371-IF('Control Room'!$B$5="Normal",'Control Room'!$B$7,('Control Room'!$B$8+'Control Room'!$D$8)/2))</x:f>
        <x:v>1051.8756308989027</x:v>
      </x:c>
      <x:c r="AY371" s="17" t="n">
        <x:f>IF(AND($A371&gt;='Control Room'!$A$13,$A371&lt;'Control Room'!$A$13+'Control Room'!$B$13,'Process'!BT2=1),1+('Control Room'!$C$13-1)*EXP(-0.5*(($A371-'Control Room'!$A$13-('Control Room'!$B$13-1)/2)/MAX(0.5,'Control Room'!$B$13/4))^2),1)*IF(AND($A371&gt;='Control Room'!$A$14,$A371&lt;'Control Room'!$A$14+'Control Room'!$B$14,'Process'!BT3=1),1+('Control Room'!$C$14-1)*EXP(-0.5*(($A371-'Control Room'!$A$14-('Control Room'!$B$14-1)/2)/MAX(0.5,'Control Room'!$B$14/4))^2),1)*IF(AND($A371&gt;='Control Room'!$A$15,$A371&lt;'Control Room'!$A$15+'Control Room'!$B$15,'Process'!BT4=1),1+('Control Room'!$C$15-1)*EXP(-0.5*(($A371-'Control Room'!$A$15-('Control Room'!$B$15-1)/2)/MAX(0.5,'Control Room'!$B$15/4))^2),1)*IF(AND($A371&gt;='Control Room'!$A$16,$A371&lt;'Control Room'!$A$16+'Control Room'!$B$16,'Process'!BT5=1),1+('Control Room'!$C$16-1)*EXP(-0.5*(($A371-'Control Room'!$A$16-('Control Room'!$B$16-1)/2)/MAX(0.5,'Control Room'!$B$16/4))^2),1)</x:f>
        <x:v>1</x:v>
      </x:c>
      <x:c r="AZ371" s="9" t="n">
        <x:f>MOD(BA370*16807,2147483647)</x:f>
        <x:v>1230208161</x:v>
      </x:c>
      <x:c r="BA371" s="9" t="n">
        <x:f>MOD(AZ371*16807,2147483647)</x:f>
        <x:v>136008611</x:v>
      </x:c>
      <x:c r="BB371" s="17" t="n">
        <x:f>IF('Control Room'!$B$5="Normal",'Control Room'!$B$7+'Control Room'!$D$7*SQRT(-2*LN(MAX(0.000000000001,AZ371/2147483647)))*COS(2*PI()*BA371/2147483647),'Control Room'!$B$8+('Control Room'!$D$8-'Control Room'!$B$8)*AZ371/2147483647)</x:f>
        <x:v>1087.5780057261652</x:v>
      </x:c>
      <x:c r="BC371" s="17" t="n">
        <x:f>IF('Control Room'!$B$5="Normal",'Control Room'!$B$7,('Control Room'!$B$8+'Control Room'!$D$8)/2)+'Control Room'!$B$9*(BC370-IF('Control Room'!$B$5="Normal",'Control Room'!$B$7,('Control Room'!$B$8+'Control Room'!$D$8)/2))+SQRT(1-'Control Room'!$B$9^2)*(BB371-IF('Control Room'!$B$5="Normal",'Control Room'!$B$7,('Control Room'!$B$8+'Control Room'!$D$8)/2))</x:f>
        <x:v>1026.3562550725835</x:v>
      </x:c>
      <x:c r="BD371" s="17" t="n">
        <x:f>IF(AND($A371&gt;='Control Room'!$A$13,$A371&lt;'Control Room'!$A$13+'Control Room'!$B$13,'Process'!BU2=1),1+('Control Room'!$C$13-1)*EXP(-0.5*(($A371-'Control Room'!$A$13-('Control Room'!$B$13-1)/2)/MAX(0.5,'Control Room'!$B$13/4))^2),1)*IF(AND($A371&gt;='Control Room'!$A$14,$A371&lt;'Control Room'!$A$14+'Control Room'!$B$14,'Process'!BU3=1),1+('Control Room'!$C$14-1)*EXP(-0.5*(($A371-'Control Room'!$A$14-('Control Room'!$B$14-1)/2)/MAX(0.5,'Control Room'!$B$14/4))^2),1)*IF(AND($A371&gt;='Control Room'!$A$15,$A371&lt;'Control Room'!$A$15+'Control Room'!$B$15,'Process'!BU4=1),1+('Control Room'!$C$15-1)*EXP(-0.5*(($A371-'Control Room'!$A$15-('Control Room'!$B$15-1)/2)/MAX(0.5,'Control Room'!$B$15/4))^2),1)*IF(AND($A371&gt;='Control Room'!$A$16,$A371&lt;'Control Room'!$A$16+'Control Room'!$B$16,'Process'!BU5=1),1+('Control Room'!$C$16-1)*EXP(-0.5*(($A371-'Control Room'!$A$16-('Control Room'!$B$16-1)/2)/MAX(0.5,'Control Room'!$B$16/4))^2),1)</x:f>
        <x:v>1</x:v>
      </x:c>
      <x:c r="BE371" s="9" t="n">
        <x:f>MOD(BF370*16807,2147483647)</x:f>
        <x:v>879993165</x:v>
      </x:c>
      <x:c r="BF371" s="9" t="n">
        <x:f>MOD(BE371*16807,2147483647)</x:f>
        <x:v>325247266</x:v>
      </x:c>
      <x:c r="BG371" s="17" t="n">
        <x:f>IF('Control Room'!$B$5="Normal",'Control Room'!$B$7+'Control Room'!$D$7*SQRT(-2*LN(MAX(0.000000000001,BE371/2147483647)))*COS(2*PI()*BF371/2147483647),'Control Room'!$B$8+('Control Room'!$D$8-'Control Room'!$B$8)*BE371/2147483647)</x:f>
        <x:v>1069.7708930967142</x:v>
      </x:c>
      <x:c r="BH371" s="17" t="n">
        <x:f>IF('Control Room'!$B$5="Normal",'Control Room'!$B$7,('Control Room'!$B$8+'Control Room'!$D$8)/2)+'Control Room'!$B$9*(BH370-IF('Control Room'!$B$5="Normal",'Control Room'!$B$7,('Control Room'!$B$8+'Control Room'!$D$8)/2))+SQRT(1-'Control Room'!$B$9^2)*(BG371-IF('Control Room'!$B$5="Normal",'Control Room'!$B$7,('Control Room'!$B$8+'Control Room'!$D$8)/2))</x:f>
        <x:v>1017.7785601501658</x:v>
      </x:c>
      <x:c r="BI371" s="17" t="n">
        <x:f>IF(AND($A371&gt;='Control Room'!$A$13,$A371&lt;'Control Room'!$A$13+'Control Room'!$B$13,'Process'!BV2=1),1+('Control Room'!$C$13-1)*EXP(-0.5*(($A371-'Control Room'!$A$13-('Control Room'!$B$13-1)/2)/MAX(0.5,'Control Room'!$B$13/4))^2),1)*IF(AND($A371&gt;='Control Room'!$A$14,$A371&lt;'Control Room'!$A$14+'Control Room'!$B$14,'Process'!BV3=1),1+('Control Room'!$C$14-1)*EXP(-0.5*(($A371-'Control Room'!$A$14-('Control Room'!$B$14-1)/2)/MAX(0.5,'Control Room'!$B$14/4))^2),1)*IF(AND($A371&gt;='Control Room'!$A$15,$A371&lt;'Control Room'!$A$15+'Control Room'!$B$15,'Process'!BV4=1),1+('Control Room'!$C$15-1)*EXP(-0.5*(($A371-'Control Room'!$A$15-('Control Room'!$B$15-1)/2)/MAX(0.5,'Control Room'!$B$15/4))^2),1)*IF(AND($A371&gt;='Control Room'!$A$16,$A371&lt;'Control Room'!$A$16+'Control Room'!$B$16,'Process'!BV5=1),1+('Control Room'!$C$16-1)*EXP(-0.5*(($A371-'Control Room'!$A$16-('Control Room'!$B$16-1)/2)/MAX(0.5,'Control Room'!$B$16/4))^2),1)</x:f>
        <x:v>1</x:v>
      </x:c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Z371" t="str">
        <x:f>IF('Data'!A371="","",TEXT('Data'!A371,"mm-dd"))</x:f>
      </x:c>
    </x:row>
    <x:row r="372" ht="21" customHeight="1">
      <x:c r="A372" s="15" t="n">
        <x:f>'Control Room'!$B$1+370</x:f>
        <x:v>73361</x:v>
      </x:c>
      <x:c r="B372" s="9" t="n">
        <x:f>MOD(C371*16807,2147483647)</x:f>
        <x:v>2013674536</x:v>
      </x:c>
      <x:c r="C372" s="9" t="n">
        <x:f>MOD(B372*16807,2147483647)</x:f>
        <x:v>1633133479</x:v>
      </x:c>
      <x:c r="D372" s="17" t="n">
        <x:f>IF('Control Room'!$B$5="Normal",'Control Room'!$B$7+'Control Room'!$D$7*SQRT(-2*LN(MAX(0.000000000001,B372/2147483647)))*COS(2*PI()*C372/2147483647),'Control Room'!$B$8+('Control Room'!$D$8-'Control Room'!$B$8)*B372/2147483647)</x:f>
        <x:v>1002.1256978612904</x:v>
      </x:c>
      <x:c r="E372" s="17" t="n">
        <x:f>IF('Control Room'!$B$5="Normal",'Control Room'!$B$7,('Control Room'!$B$8+'Control Room'!$D$8)/2)+'Control Room'!$B$9*(E371-IF('Control Room'!$B$5="Normal",'Control Room'!$B$7,('Control Room'!$B$8+'Control Room'!$D$8)/2))+SQRT(1-'Control Room'!$B$9^2)*(D372-IF('Control Room'!$B$5="Normal",'Control Room'!$B$7,('Control Room'!$B$8+'Control Room'!$D$8)/2))</x:f>
        <x:v>1011.7088591066987</x:v>
      </x:c>
      <x:c r="F372" s="17" t="n">
        <x:f>IF(AND($A372&gt;='Control Room'!$A$13,$A372&lt;'Control Room'!$A$13+'Control Room'!$B$13,'Process'!BK2=1),1+('Control Room'!$C$13-1)*EXP(-0.5*(($A372-'Control Room'!$A$13-('Control Room'!$B$13-1)/2)/MAX(0.5,'Control Room'!$B$13/4))^2),1)*IF(AND($A372&gt;='Control Room'!$A$14,$A372&lt;'Control Room'!$A$14+'Control Room'!$B$14,'Process'!BK3=1),1+('Control Room'!$C$14-1)*EXP(-0.5*(($A372-'Control Room'!$A$14-('Control Room'!$B$14-1)/2)/MAX(0.5,'Control Room'!$B$14/4))^2),1)*IF(AND($A372&gt;='Control Room'!$A$15,$A372&lt;'Control Room'!$A$15+'Control Room'!$B$15,'Process'!BK4=1),1+('Control Room'!$C$15-1)*EXP(-0.5*(($A372-'Control Room'!$A$15-('Control Room'!$B$15-1)/2)/MAX(0.5,'Control Room'!$B$15/4))^2),1)*IF(AND($A372&gt;='Control Room'!$A$16,$A372&lt;'Control Room'!$A$16+'Control Room'!$B$16,'Process'!BK5=1),1+('Control Room'!$C$16-1)*EXP(-0.5*(($A372-'Control Room'!$A$16-('Control Room'!$B$16-1)/2)/MAX(0.5,'Control Room'!$B$16/4))^2),1)</x:f>
        <x:v>1</x:v>
      </x:c>
      <x:c r="G372" s="9" t="n">
        <x:f>MOD(H371*16807,2147483647)</x:f>
        <x:v>2124467914</x:v>
      </x:c>
      <x:c r="H372" s="9" t="n">
        <x:f>MOD(G372*16807,2147483647)</x:f>
        <x:v>1869115576</x:v>
      </x:c>
      <x:c r="I372" s="17" t="n">
        <x:f>IF('Control Room'!$B$5="Normal",'Control Room'!$B$7+'Control Room'!$D$7*SQRT(-2*LN(MAX(0.000000000001,G372/2147483647)))*COS(2*PI()*H372/2147483647),'Control Room'!$B$8+('Control Room'!$D$8-'Control Room'!$B$8)*G372/2147483647)</x:f>
        <x:v>1009.0670002834169</x:v>
      </x:c>
      <x:c r="J372" s="17" t="n">
        <x:f>IF('Control Room'!$B$5="Normal",'Control Room'!$B$7,('Control Room'!$B$8+'Control Room'!$D$8)/2)+'Control Room'!$B$9*(J371-IF('Control Room'!$B$5="Normal",'Control Room'!$B$7,('Control Room'!$B$8+'Control Room'!$D$8)/2))+SQRT(1-'Control Room'!$B$9^2)*(I372-IF('Control Room'!$B$5="Normal",'Control Room'!$B$7,('Control Room'!$B$8+'Control Room'!$D$8)/2))</x:f>
        <x:v>1006.0641703647756</x:v>
      </x:c>
      <x:c r="K372" s="17" t="n">
        <x:f>IF(AND($A372&gt;='Control Room'!$A$13,$A372&lt;'Control Room'!$A$13+'Control Room'!$B$13,'Process'!BL2=1),1+('Control Room'!$C$13-1)*EXP(-0.5*(($A372-'Control Room'!$A$13-('Control Room'!$B$13-1)/2)/MAX(0.5,'Control Room'!$B$13/4))^2),1)*IF(AND($A372&gt;='Control Room'!$A$14,$A372&lt;'Control Room'!$A$14+'Control Room'!$B$14,'Process'!BL3=1),1+('Control Room'!$C$14-1)*EXP(-0.5*(($A372-'Control Room'!$A$14-('Control Room'!$B$14-1)/2)/MAX(0.5,'Control Room'!$B$14/4))^2),1)*IF(AND($A372&gt;='Control Room'!$A$15,$A372&lt;'Control Room'!$A$15+'Control Room'!$B$15,'Process'!BL4=1),1+('Control Room'!$C$15-1)*EXP(-0.5*(($A372-'Control Room'!$A$15-('Control Room'!$B$15-1)/2)/MAX(0.5,'Control Room'!$B$15/4))^2),1)*IF(AND($A372&gt;='Control Room'!$A$16,$A372&lt;'Control Room'!$A$16+'Control Room'!$B$16,'Process'!BL5=1),1+('Control Room'!$C$16-1)*EXP(-0.5*(($A372-'Control Room'!$A$16-('Control Room'!$B$16-1)/2)/MAX(0.5,'Control Room'!$B$16/4))^2),1)</x:f>
        <x:v>1</x:v>
      </x:c>
      <x:c r="L372" s="9" t="n">
        <x:f>MOD(M371*16807,2147483647)</x:f>
        <x:v>87777645</x:v>
      </x:c>
      <x:c r="M372" s="9" t="n">
        <x:f>MOD(L372*16807,2147483647)</x:f>
        <x:v>2105097673</x:v>
      </x:c>
      <x:c r="N372" s="17" t="n">
        <x:f>IF('Control Room'!$B$5="Normal",'Control Room'!$B$7+'Control Room'!$D$7*SQRT(-2*LN(MAX(0.000000000001,L372/2147483647)))*COS(2*PI()*M372/2147483647),'Control Room'!$B$8+('Control Room'!$D$8-'Control Room'!$B$8)*L372/2147483647)</x:f>
        <x:v>1225.8381201884738</x:v>
      </x:c>
      <x:c r="O372" s="17" t="n">
        <x:f>IF('Control Room'!$B$5="Normal",'Control Room'!$B$7,('Control Room'!$B$8+'Control Room'!$D$8)/2)+'Control Room'!$B$9*(O371-IF('Control Room'!$B$5="Normal",'Control Room'!$B$7,('Control Room'!$B$8+'Control Room'!$D$8)/2))+SQRT(1-'Control Room'!$B$9^2)*(N372-IF('Control Room'!$B$5="Normal",'Control Room'!$B$7,('Control Room'!$B$8+'Control Room'!$D$8)/2))</x:f>
        <x:v>1103.1692731571482</x:v>
      </x:c>
      <x:c r="P372" s="17" t="n">
        <x:f>IF(AND($A372&gt;='Control Room'!$A$13,$A372&lt;'Control Room'!$A$13+'Control Room'!$B$13,'Process'!BM2=1),1+('Control Room'!$C$13-1)*EXP(-0.5*(($A372-'Control Room'!$A$13-('Control Room'!$B$13-1)/2)/MAX(0.5,'Control Room'!$B$13/4))^2),1)*IF(AND($A372&gt;='Control Room'!$A$14,$A372&lt;'Control Room'!$A$14+'Control Room'!$B$14,'Process'!BM3=1),1+('Control Room'!$C$14-1)*EXP(-0.5*(($A372-'Control Room'!$A$14-('Control Room'!$B$14-1)/2)/MAX(0.5,'Control Room'!$B$14/4))^2),1)*IF(AND($A372&gt;='Control Room'!$A$15,$A372&lt;'Control Room'!$A$15+'Control Room'!$B$15,'Process'!BM4=1),1+('Control Room'!$C$15-1)*EXP(-0.5*(($A372-'Control Room'!$A$15-('Control Room'!$B$15-1)/2)/MAX(0.5,'Control Room'!$B$15/4))^2),1)*IF(AND($A372&gt;='Control Room'!$A$16,$A372&lt;'Control Room'!$A$16+'Control Room'!$B$16,'Process'!BM5=1),1+('Control Room'!$C$16-1)*EXP(-0.5*(($A372-'Control Room'!$A$16-('Control Room'!$B$16-1)/2)/MAX(0.5,'Control Room'!$B$16/4))^2),1)</x:f>
        <x:v>1</x:v>
      </x:c>
      <x:c r="Q372" s="9" t="n">
        <x:f>MOD(R371*16807,2147483647)</x:f>
        <x:v>198571023</x:v>
      </x:c>
      <x:c r="R372" s="9" t="n">
        <x:f>MOD(Q372*16807,2147483647)</x:f>
        <x:v>193596123</x:v>
      </x:c>
      <x:c r="S372" s="17" t="n">
        <x:f>IF('Control Room'!$B$5="Normal",'Control Room'!$B$7+'Control Room'!$D$7*SQRT(-2*LN(MAX(0.000000000001,Q372/2147483647)))*COS(2*PI()*R372/2147483647),'Control Room'!$B$8+('Control Room'!$D$8-'Control Room'!$B$8)*Q372/2147483647)</x:f>
        <x:v>1165.7216706383695</x:v>
      </x:c>
      <x:c r="T372" s="17" t="n">
        <x:f>IF('Control Room'!$B$5="Normal",'Control Room'!$B$7,('Control Room'!$B$8+'Control Room'!$D$8)/2)+'Control Room'!$B$9*(T371-IF('Control Room'!$B$5="Normal",'Control Room'!$B$7,('Control Room'!$B$8+'Control Room'!$D$8)/2))+SQRT(1-'Control Room'!$B$9^2)*(S372-IF('Control Room'!$B$5="Normal",'Control Room'!$B$7,('Control Room'!$B$8+'Control Room'!$D$8)/2))</x:f>
        <x:v>1117.8570064863463</x:v>
      </x:c>
      <x:c r="U372" s="17" t="n">
        <x:f>IF(AND($A372&gt;='Control Room'!$A$13,$A372&lt;'Control Room'!$A$13+'Control Room'!$B$13,'Process'!BN2=1),1+('Control Room'!$C$13-1)*EXP(-0.5*(($A372-'Control Room'!$A$13-('Control Room'!$B$13-1)/2)/MAX(0.5,'Control Room'!$B$13/4))^2),1)*IF(AND($A372&gt;='Control Room'!$A$14,$A372&lt;'Control Room'!$A$14+'Control Room'!$B$14,'Process'!BN3=1),1+('Control Room'!$C$14-1)*EXP(-0.5*(($A372-'Control Room'!$A$14-('Control Room'!$B$14-1)/2)/MAX(0.5,'Control Room'!$B$14/4))^2),1)*IF(AND($A372&gt;='Control Room'!$A$15,$A372&lt;'Control Room'!$A$15+'Control Room'!$B$15,'Process'!BN4=1),1+('Control Room'!$C$15-1)*EXP(-0.5*(($A372-'Control Room'!$A$15-('Control Room'!$B$15-1)/2)/MAX(0.5,'Control Room'!$B$15/4))^2),1)*IF(AND($A372&gt;='Control Room'!$A$16,$A372&lt;'Control Room'!$A$16+'Control Room'!$B$16,'Process'!BN5=1),1+('Control Room'!$C$16-1)*EXP(-0.5*(($A372-'Control Room'!$A$16-('Control Room'!$B$16-1)/2)/MAX(0.5,'Control Room'!$B$16/4))^2),1)</x:f>
        <x:v>1</x:v>
      </x:c>
      <x:c r="V372" s="9" t="n">
        <x:f>MOD(W371*16807,2147483647)</x:f>
        <x:v>309364401</x:v>
      </x:c>
      <x:c r="W372" s="9" t="n">
        <x:f>MOD(V372*16807,2147483647)</x:f>
        <x:v>429578220</x:v>
      </x:c>
      <x:c r="X372" s="17" t="n">
        <x:f>IF('Control Room'!$B$5="Normal",'Control Room'!$B$7+'Control Room'!$D$7*SQRT(-2*LN(MAX(0.000000000001,V372/2147483647)))*COS(2*PI()*W372/2147483647),'Control Room'!$B$8+('Control Room'!$D$8-'Control Room'!$B$8)*V372/2147483647)</x:f>
        <x:v>1054.7073293738558</x:v>
      </x:c>
      <x:c r="Y372" s="17" t="n">
        <x:f>IF('Control Room'!$B$5="Normal",'Control Room'!$B$7,('Control Room'!$B$8+'Control Room'!$D$8)/2)+'Control Room'!$B$9*(Y371-IF('Control Room'!$B$5="Normal",'Control Room'!$B$7,('Control Room'!$B$8+'Control Room'!$D$8)/2))+SQRT(1-'Control Room'!$B$9^2)*(X372-IF('Control Room'!$B$5="Normal",'Control Room'!$B$7,('Control Room'!$B$8+'Control Room'!$D$8)/2))</x:f>
        <x:v>874.3269864152958</x:v>
      </x:c>
      <x:c r="Z372" s="17" t="n">
        <x:f>IF(AND($A372&gt;='Control Room'!$A$13,$A372&lt;'Control Room'!$A$13+'Control Room'!$B$13,'Process'!BO2=1),1+('Control Room'!$C$13-1)*EXP(-0.5*(($A372-'Control Room'!$A$13-('Control Room'!$B$13-1)/2)/MAX(0.5,'Control Room'!$B$13/4))^2),1)*IF(AND($A372&gt;='Control Room'!$A$14,$A372&lt;'Control Room'!$A$14+'Control Room'!$B$14,'Process'!BO3=1),1+('Control Room'!$C$14-1)*EXP(-0.5*(($A372-'Control Room'!$A$14-('Control Room'!$B$14-1)/2)/MAX(0.5,'Control Room'!$B$14/4))^2),1)*IF(AND($A372&gt;='Control Room'!$A$15,$A372&lt;'Control Room'!$A$15+'Control Room'!$B$15,'Process'!BO4=1),1+('Control Room'!$C$15-1)*EXP(-0.5*(($A372-'Control Room'!$A$15-('Control Room'!$B$15-1)/2)/MAX(0.5,'Control Room'!$B$15/4))^2),1)*IF(AND($A372&gt;='Control Room'!$A$16,$A372&lt;'Control Room'!$A$16+'Control Room'!$B$16,'Process'!BO5=1),1+('Control Room'!$C$16-1)*EXP(-0.5*(($A372-'Control Room'!$A$16-('Control Room'!$B$16-1)/2)/MAX(0.5,'Control Room'!$B$16/4))^2),1)</x:f>
        <x:v>1</x:v>
      </x:c>
      <x:c r="AA372" s="9" t="n">
        <x:f>MOD(AB371*16807,2147483647)</x:f>
        <x:v>420157779</x:v>
      </x:c>
      <x:c r="AB372" s="9" t="n">
        <x:f>MOD(AA372*16807,2147483647)</x:f>
        <x:v>665560317</x:v>
      </x:c>
      <x:c r="AC372" s="17" t="n">
        <x:f>IF('Control Room'!$B$5="Normal",'Control Room'!$B$7+'Control Room'!$D$7*SQRT(-2*LN(MAX(0.000000000001,AA372/2147483647)))*COS(2*PI()*AB372/2147483647),'Control Room'!$B$8+('Control Room'!$D$8-'Control Room'!$B$8)*AA372/2147483647)</x:f>
        <x:v>940.2245565302375</x:v>
      </x:c>
      <x:c r="AD372" s="17" t="n">
        <x:f>IF('Control Room'!$B$5="Normal",'Control Room'!$B$7,('Control Room'!$B$8+'Control Room'!$D$8)/2)+'Control Room'!$B$9*(AD371-IF('Control Room'!$B$5="Normal",'Control Room'!$B$7,('Control Room'!$B$8+'Control Room'!$D$8)/2))+SQRT(1-'Control Room'!$B$9^2)*(AC372-IF('Control Room'!$B$5="Normal",'Control Room'!$B$7,('Control Room'!$B$8+'Control Room'!$D$8)/2))</x:f>
        <x:v>963.6695041468599</x:v>
      </x:c>
      <x:c r="AE372" s="17" t="n">
        <x:f>IF(AND($A372&gt;='Control Room'!$A$13,$A372&lt;'Control Room'!$A$13+'Control Room'!$B$13,'Process'!BP2=1),1+('Control Room'!$C$13-1)*EXP(-0.5*(($A372-'Control Room'!$A$13-('Control Room'!$B$13-1)/2)/MAX(0.5,'Control Room'!$B$13/4))^2),1)*IF(AND($A372&gt;='Control Room'!$A$14,$A372&lt;'Control Room'!$A$14+'Control Room'!$B$14,'Process'!BP3=1),1+('Control Room'!$C$14-1)*EXP(-0.5*(($A372-'Control Room'!$A$14-('Control Room'!$B$14-1)/2)/MAX(0.5,'Control Room'!$B$14/4))^2),1)*IF(AND($A372&gt;='Control Room'!$A$15,$A372&lt;'Control Room'!$A$15+'Control Room'!$B$15,'Process'!BP4=1),1+('Control Room'!$C$15-1)*EXP(-0.5*(($A372-'Control Room'!$A$15-('Control Room'!$B$15-1)/2)/MAX(0.5,'Control Room'!$B$15/4))^2),1)*IF(AND($A372&gt;='Control Room'!$A$16,$A372&lt;'Control Room'!$A$16+'Control Room'!$B$16,'Process'!BP5=1),1+('Control Room'!$C$16-1)*EXP(-0.5*(($A372-'Control Room'!$A$16-('Control Room'!$B$16-1)/2)/MAX(0.5,'Control Room'!$B$16/4))^2),1)</x:f>
        <x:v>1</x:v>
      </x:c>
      <x:c r="AF372" s="9" t="n">
        <x:f>MOD(AG371*16807,2147483647)</x:f>
        <x:v>530951157</x:v>
      </x:c>
      <x:c r="AG372" s="9" t="n">
        <x:f>MOD(AF372*16807,2147483647)</x:f>
        <x:v>901542414</x:v>
      </x:c>
      <x:c r="AH372" s="17" t="n">
        <x:f>IF('Control Room'!$B$5="Normal",'Control Room'!$B$7+'Control Room'!$D$7*SQRT(-2*LN(MAX(0.000000000001,AF372/2147483647)))*COS(2*PI()*AG372/2147483647),'Control Room'!$B$8+('Control Room'!$D$8-'Control Room'!$B$8)*AF372/2147483647)</x:f>
        <x:v>868.2377844542598</x:v>
      </x:c>
      <x:c r="AI372" s="17" t="n">
        <x:f>IF('Control Room'!$B$5="Normal",'Control Room'!$B$7,('Control Room'!$B$8+'Control Room'!$D$8)/2)+'Control Room'!$B$9*(AI371-IF('Control Room'!$B$5="Normal",'Control Room'!$B$7,('Control Room'!$B$8+'Control Room'!$D$8)/2))+SQRT(1-'Control Room'!$B$9^2)*(AH372-IF('Control Room'!$B$5="Normal",'Control Room'!$B$7,('Control Room'!$B$8+'Control Room'!$D$8)/2))</x:f>
        <x:v>856.0669312326003</x:v>
      </x:c>
      <x:c r="AJ372" s="17" t="n">
        <x:f>IF(AND($A372&gt;='Control Room'!$A$13,$A372&lt;'Control Room'!$A$13+'Control Room'!$B$13,'Process'!BQ2=1),1+('Control Room'!$C$13-1)*EXP(-0.5*(($A372-'Control Room'!$A$13-('Control Room'!$B$13-1)/2)/MAX(0.5,'Control Room'!$B$13/4))^2),1)*IF(AND($A372&gt;='Control Room'!$A$14,$A372&lt;'Control Room'!$A$14+'Control Room'!$B$14,'Process'!BQ3=1),1+('Control Room'!$C$14-1)*EXP(-0.5*(($A372-'Control Room'!$A$14-('Control Room'!$B$14-1)/2)/MAX(0.5,'Control Room'!$B$14/4))^2),1)*IF(AND($A372&gt;='Control Room'!$A$15,$A372&lt;'Control Room'!$A$15+'Control Room'!$B$15,'Process'!BQ4=1),1+('Control Room'!$C$15-1)*EXP(-0.5*(($A372-'Control Room'!$A$15-('Control Room'!$B$15-1)/2)/MAX(0.5,'Control Room'!$B$15/4))^2),1)*IF(AND($A372&gt;='Control Room'!$A$16,$A372&lt;'Control Room'!$A$16+'Control Room'!$B$16,'Process'!BQ5=1),1+('Control Room'!$C$16-1)*EXP(-0.5*(($A372-'Control Room'!$A$16-('Control Room'!$B$16-1)/2)/MAX(0.5,'Control Room'!$B$16/4))^2),1)</x:f>
        <x:v>1</x:v>
      </x:c>
      <x:c r="AK372" s="9" t="n">
        <x:f>MOD(AL371*16807,2147483647)</x:f>
        <x:v>641744535</x:v>
      </x:c>
      <x:c r="AL372" s="9" t="n">
        <x:f>MOD(AK372*16807,2147483647)</x:f>
        <x:v>1137524511</x:v>
      </x:c>
      <x:c r="AM372" s="17" t="n">
        <x:f>IF('Control Room'!$B$5="Normal",'Control Room'!$B$7+'Control Room'!$D$7*SQRT(-2*LN(MAX(0.000000000001,AK372/2147483647)))*COS(2*PI()*AL372/2147483647),'Control Room'!$B$8+('Control Room'!$D$8-'Control Room'!$B$8)*AK372/2147483647)</x:f>
        <x:v>862.5453594262244</x:v>
      </x:c>
      <x:c r="AN372" s="17" t="n">
        <x:f>IF('Control Room'!$B$5="Normal",'Control Room'!$B$7,('Control Room'!$B$8+'Control Room'!$D$8)/2)+'Control Room'!$B$9*(AN371-IF('Control Room'!$B$5="Normal",'Control Room'!$B$7,('Control Room'!$B$8+'Control Room'!$D$8)/2))+SQRT(1-'Control Room'!$B$9^2)*(AM372-IF('Control Room'!$B$5="Normal",'Control Room'!$B$7,('Control Room'!$B$8+'Control Room'!$D$8)/2))</x:f>
        <x:v>889.5194927932453</x:v>
      </x:c>
      <x:c r="AO372" s="17" t="n">
        <x:f>IF(AND($A372&gt;='Control Room'!$A$13,$A372&lt;'Control Room'!$A$13+'Control Room'!$B$13,'Process'!BR2=1),1+('Control Room'!$C$13-1)*EXP(-0.5*(($A372-'Control Room'!$A$13-('Control Room'!$B$13-1)/2)/MAX(0.5,'Control Room'!$B$13/4))^2),1)*IF(AND($A372&gt;='Control Room'!$A$14,$A372&lt;'Control Room'!$A$14+'Control Room'!$B$14,'Process'!BR3=1),1+('Control Room'!$C$14-1)*EXP(-0.5*(($A372-'Control Room'!$A$14-('Control Room'!$B$14-1)/2)/MAX(0.5,'Control Room'!$B$14/4))^2),1)*IF(AND($A372&gt;='Control Room'!$A$15,$A372&lt;'Control Room'!$A$15+'Control Room'!$B$15,'Process'!BR4=1),1+('Control Room'!$C$15-1)*EXP(-0.5*(($A372-'Control Room'!$A$15-('Control Room'!$B$15-1)/2)/MAX(0.5,'Control Room'!$B$15/4))^2),1)*IF(AND($A372&gt;='Control Room'!$A$16,$A372&lt;'Control Room'!$A$16+'Control Room'!$B$16,'Process'!BR5=1),1+('Control Room'!$C$16-1)*EXP(-0.5*(($A372-'Control Room'!$A$16-('Control Room'!$B$16-1)/2)/MAX(0.5,'Control Room'!$B$16/4))^2),1)</x:f>
        <x:v>1</x:v>
      </x:c>
      <x:c r="AP372" s="9" t="n">
        <x:f>MOD(AQ371*16807,2147483647)</x:f>
        <x:v>752537913</x:v>
      </x:c>
      <x:c r="AQ372" s="9" t="n">
        <x:f>MOD(AP372*16807,2147483647)</x:f>
        <x:v>1373506608</x:v>
      </x:c>
      <x:c r="AR372" s="17" t="n">
        <x:f>IF('Control Room'!$B$5="Normal",'Control Room'!$B$7+'Control Room'!$D$7*SQRT(-2*LN(MAX(0.000000000001,AP372/2147483647)))*COS(2*PI()*AQ372/2147483647),'Control Room'!$B$8+('Control Room'!$D$8-'Control Room'!$B$8)*AP372/2147483647)</x:f>
        <x:v>916.661903964188</x:v>
      </x:c>
      <x:c r="AS372" s="17" t="n">
        <x:f>IF('Control Room'!$B$5="Normal",'Control Room'!$B$7,('Control Room'!$B$8+'Control Room'!$D$8)/2)+'Control Room'!$B$9*(AS371-IF('Control Room'!$B$5="Normal",'Control Room'!$B$7,('Control Room'!$B$8+'Control Room'!$D$8)/2))+SQRT(1-'Control Room'!$B$9^2)*(AR372-IF('Control Room'!$B$5="Normal",'Control Room'!$B$7,('Control Room'!$B$8+'Control Room'!$D$8)/2))</x:f>
        <x:v>950.9291376709714</x:v>
      </x:c>
      <x:c r="AT372" s="17" t="n">
        <x:f>IF(AND($A372&gt;='Control Room'!$A$13,$A372&lt;'Control Room'!$A$13+'Control Room'!$B$13,'Process'!BS2=1),1+('Control Room'!$C$13-1)*EXP(-0.5*(($A372-'Control Room'!$A$13-('Control Room'!$B$13-1)/2)/MAX(0.5,'Control Room'!$B$13/4))^2),1)*IF(AND($A372&gt;='Control Room'!$A$14,$A372&lt;'Control Room'!$A$14+'Control Room'!$B$14,'Process'!BS3=1),1+('Control Room'!$C$14-1)*EXP(-0.5*(($A372-'Control Room'!$A$14-('Control Room'!$B$14-1)/2)/MAX(0.5,'Control Room'!$B$14/4))^2),1)*IF(AND($A372&gt;='Control Room'!$A$15,$A372&lt;'Control Room'!$A$15+'Control Room'!$B$15,'Process'!BS4=1),1+('Control Room'!$C$15-1)*EXP(-0.5*(($A372-'Control Room'!$A$15-('Control Room'!$B$15-1)/2)/MAX(0.5,'Control Room'!$B$15/4))^2),1)*IF(AND($A372&gt;='Control Room'!$A$16,$A372&lt;'Control Room'!$A$16+'Control Room'!$B$16,'Process'!BS5=1),1+('Control Room'!$C$16-1)*EXP(-0.5*(($A372-'Control Room'!$A$16-('Control Room'!$B$16-1)/2)/MAX(0.5,'Control Room'!$B$16/4))^2),1)</x:f>
        <x:v>1</x:v>
      </x:c>
      <x:c r="AU372" s="9" t="n">
        <x:f>MOD(AV371*16807,2147483647)</x:f>
        <x:v>863331291</x:v>
      </x:c>
      <x:c r="AV372" s="9" t="n">
        <x:f>MOD(AU372*16807,2147483647)</x:f>
        <x:v>1609488705</x:v>
      </x:c>
      <x:c r="AW372" s="17" t="n">
        <x:f>IF('Control Room'!$B$5="Normal",'Control Room'!$B$7+'Control Room'!$D$7*SQRT(-2*LN(MAX(0.000000000001,AU372/2147483647)))*COS(2*PI()*AV372/2147483647),'Control Room'!$B$8+('Control Room'!$D$8-'Control Room'!$B$8)*AU372/2147483647)</x:f>
        <x:v>999.6004194499166</x:v>
      </x:c>
      <x:c r="AX372" s="17" t="n">
        <x:f>IF('Control Room'!$B$5="Normal",'Control Room'!$B$7,('Control Room'!$B$8+'Control Room'!$D$8)/2)+'Control Room'!$B$9*(AX371-IF('Control Room'!$B$5="Normal",'Control Room'!$B$7,('Control Room'!$B$8+'Control Room'!$D$8)/2))+SQRT(1-'Control Room'!$B$9^2)*(AW372-IF('Control Room'!$B$5="Normal",'Control Room'!$B$7,('Control Room'!$B$8+'Control Room'!$D$8)/2))</x:f>
        <x:v>1040.2129427787545</x:v>
      </x:c>
      <x:c r="AY372" s="17" t="n">
        <x:f>IF(AND($A372&gt;='Control Room'!$A$13,$A372&lt;'Control Room'!$A$13+'Control Room'!$B$13,'Process'!BT2=1),1+('Control Room'!$C$13-1)*EXP(-0.5*(($A372-'Control Room'!$A$13-('Control Room'!$B$13-1)/2)/MAX(0.5,'Control Room'!$B$13/4))^2),1)*IF(AND($A372&gt;='Control Room'!$A$14,$A372&lt;'Control Room'!$A$14+'Control Room'!$B$14,'Process'!BT3=1),1+('Control Room'!$C$14-1)*EXP(-0.5*(($A372-'Control Room'!$A$14-('Control Room'!$B$14-1)/2)/MAX(0.5,'Control Room'!$B$14/4))^2),1)*IF(AND($A372&gt;='Control Room'!$A$15,$A372&lt;'Control Room'!$A$15+'Control Room'!$B$15,'Process'!BT4=1),1+('Control Room'!$C$15-1)*EXP(-0.5*(($A372-'Control Room'!$A$15-('Control Room'!$B$15-1)/2)/MAX(0.5,'Control Room'!$B$15/4))^2),1)*IF(AND($A372&gt;='Control Room'!$A$16,$A372&lt;'Control Room'!$A$16+'Control Room'!$B$16,'Process'!BT5=1),1+('Control Room'!$C$16-1)*EXP(-0.5*(($A372-'Control Room'!$A$16-('Control Room'!$B$16-1)/2)/MAX(0.5,'Control Room'!$B$16/4))^2),1)</x:f>
        <x:v>1</x:v>
      </x:c>
      <x:c r="AZ372" s="9" t="n">
        <x:f>MOD(BA371*16807,2147483647)</x:f>
        <x:v>974124669</x:v>
      </x:c>
      <x:c r="BA372" s="9" t="n">
        <x:f>MOD(AZ372*16807,2147483647)</x:f>
        <x:v>1845470802</x:v>
      </x:c>
      <x:c r="BB372" s="17" t="n">
        <x:f>IF('Control Room'!$B$5="Normal",'Control Room'!$B$7+'Control Room'!$D$7*SQRT(-2*LN(MAX(0.000000000001,AZ372/2147483647)))*COS(2*PI()*BA372/2147483647),'Control Room'!$B$8+('Control Room'!$D$8-'Control Room'!$B$8)*AZ372/2147483647)</x:f>
        <x:v>1071.7852099881484</x:v>
      </x:c>
      <x:c r="BC372" s="17" t="n">
        <x:f>IF('Control Room'!$B$5="Normal",'Control Room'!$B$7,('Control Room'!$B$8+'Control Room'!$D$8)/2)+'Control Room'!$B$9*(BC371-IF('Control Room'!$B$5="Normal",'Control Room'!$B$7,('Control Room'!$B$8+'Control Room'!$D$8)/2))+SQRT(1-'Control Room'!$B$9^2)*(BB372-IF('Control Room'!$B$5="Normal",'Control Room'!$B$7,('Control Room'!$B$8+'Control Room'!$D$8)/2))</x:f>
        <x:v>1065.4795927672376</x:v>
      </x:c>
      <x:c r="BD372" s="17" t="n">
        <x:f>IF(AND($A372&gt;='Control Room'!$A$13,$A372&lt;'Control Room'!$A$13+'Control Room'!$B$13,'Process'!BU2=1),1+('Control Room'!$C$13-1)*EXP(-0.5*(($A372-'Control Room'!$A$13-('Control Room'!$B$13-1)/2)/MAX(0.5,'Control Room'!$B$13/4))^2),1)*IF(AND($A372&gt;='Control Room'!$A$14,$A372&lt;'Control Room'!$A$14+'Control Room'!$B$14,'Process'!BU3=1),1+('Control Room'!$C$14-1)*EXP(-0.5*(($A372-'Control Room'!$A$14-('Control Room'!$B$14-1)/2)/MAX(0.5,'Control Room'!$B$14/4))^2),1)*IF(AND($A372&gt;='Control Room'!$A$15,$A372&lt;'Control Room'!$A$15+'Control Room'!$B$15,'Process'!BU4=1),1+('Control Room'!$C$15-1)*EXP(-0.5*(($A372-'Control Room'!$A$15-('Control Room'!$B$15-1)/2)/MAX(0.5,'Control Room'!$B$15/4))^2),1)*IF(AND($A372&gt;='Control Room'!$A$16,$A372&lt;'Control Room'!$A$16+'Control Room'!$B$16,'Process'!BU5=1),1+('Control Room'!$C$16-1)*EXP(-0.5*(($A372-'Control Room'!$A$16-('Control Room'!$B$16-1)/2)/MAX(0.5,'Control Room'!$B$16/4))^2),1)</x:f>
        <x:v>1</x:v>
      </x:c>
      <x:c r="BE372" s="9" t="n">
        <x:f>MOD(BF371*16807,2147483647)</x:f>
        <x:v>1084918047</x:v>
      </x:c>
      <x:c r="BF372" s="9" t="n">
        <x:f>MOD(BE372*16807,2147483647)</x:f>
        <x:v>2081452899</x:v>
      </x:c>
      <x:c r="BG372" s="17" t="n">
        <x:f>IF('Control Room'!$B$5="Normal",'Control Room'!$B$7+'Control Room'!$D$7*SQRT(-2*LN(MAX(0.000000000001,BE372/2147483647)))*COS(2*PI()*BF372/2147483647),'Control Room'!$B$8+('Control Room'!$D$8-'Control Room'!$B$8)*BE372/2147483647)</x:f>
        <x:v>1103.2157585091816</x:v>
      </x:c>
      <x:c r="BH372" s="17" t="n">
        <x:f>IF('Control Room'!$B$5="Normal",'Control Room'!$B$7,('Control Room'!$B$8+'Control Room'!$D$8)/2)+'Control Room'!$B$9*(BH371-IF('Control Room'!$B$5="Normal",'Control Room'!$B$7,('Control Room'!$B$8+'Control Room'!$D$8)/2))+SQRT(1-'Control Room'!$B$9^2)*(BG372-IF('Control Room'!$B$5="Normal",'Control Room'!$B$7,('Control Room'!$B$8+'Control Room'!$D$8)/2))</x:f>
        <x:v>1078.4575841024293</x:v>
      </x:c>
      <x:c r="BI372" s="17" t="n">
        <x:f>IF(AND($A372&gt;='Control Room'!$A$13,$A372&lt;'Control Room'!$A$13+'Control Room'!$B$13,'Process'!BV2=1),1+('Control Room'!$C$13-1)*EXP(-0.5*(($A372-'Control Room'!$A$13-('Control Room'!$B$13-1)/2)/MAX(0.5,'Control Room'!$B$13/4))^2),1)*IF(AND($A372&gt;='Control Room'!$A$14,$A372&lt;'Control Room'!$A$14+'Control Room'!$B$14,'Process'!BV3=1),1+('Control Room'!$C$14-1)*EXP(-0.5*(($A372-'Control Room'!$A$14-('Control Room'!$B$14-1)/2)/MAX(0.5,'Control Room'!$B$14/4))^2),1)*IF(AND($A372&gt;='Control Room'!$A$15,$A372&lt;'Control Room'!$A$15+'Control Room'!$B$15,'Process'!BV4=1),1+('Control Room'!$C$15-1)*EXP(-0.5*(($A372-'Control Room'!$A$15-('Control Room'!$B$15-1)/2)/MAX(0.5,'Control Room'!$B$15/4))^2),1)*IF(AND($A372&gt;='Control Room'!$A$16,$A372&lt;'Control Room'!$A$16+'Control Room'!$B$16,'Process'!BV5=1),1+('Control Room'!$C$16-1)*EXP(-0.5*(($A372-'Control Room'!$A$16-('Control Room'!$B$16-1)/2)/MAX(0.5,'Control Room'!$B$16/4))^2),1)</x:f>
        <x:v>1</x:v>
      </x:c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Z372" t="str">
        <x:f>IF('Data'!A372="","",TEXT('Data'!A372,"mm-dd"))</x:f>
      </x:c>
    </x:row>
    <x:row r="373" ht="21" customHeight="1">
      <x:c r="A373" s="15" t="n">
        <x:f>'Control Room'!$B$1+371</x:f>
        <x:v>73362</x:v>
      </x:c>
      <x:c r="B373" s="9" t="n">
        <x:f>MOD(C372*16807,2147483647)</x:f>
        <x:v>1085889246</x:v>
      </x:c>
      <x:c r="C373" s="9" t="n">
        <x:f>MOD(B373*16807,2147483647)</x:f>
        <x:v>1224525316</x:v>
      </x:c>
      <x:c r="D373" s="17" t="n">
        <x:f>IF('Control Room'!$B$5="Normal",'Control Room'!$B$7+'Control Room'!$D$7*SQRT(-2*LN(MAX(0.000000000001,B373/2147483647)))*COS(2*PI()*C373/2147483647),'Control Room'!$B$8+('Control Room'!$D$8-'Control Room'!$B$8)*B373/2147483647)</x:f>
        <x:v>904.9598027463711</x:v>
      </x:c>
      <x:c r="E373" s="17" t="n">
        <x:f>IF('Control Room'!$B$5="Normal",'Control Room'!$B$7,('Control Room'!$B$8+'Control Room'!$D$8)/2)+'Control Room'!$B$9*(E372-IF('Control Room'!$B$5="Normal",'Control Room'!$B$7,('Control Room'!$B$8+'Control Room'!$D$8)/2))+SQRT(1-'Control Room'!$B$9^2)*(D373-IF('Control Room'!$B$5="Normal",'Control Room'!$B$7,('Control Room'!$B$8+'Control Room'!$D$8)/2))</x:f>
        <x:v>949.6587016661739</x:v>
      </x:c>
      <x:c r="F373" s="17" t="n">
        <x:f>IF(AND($A373&gt;='Control Room'!$A$13,$A373&lt;'Control Room'!$A$13+'Control Room'!$B$13,'Process'!BK2=1),1+('Control Room'!$C$13-1)*EXP(-0.5*(($A373-'Control Room'!$A$13-('Control Room'!$B$13-1)/2)/MAX(0.5,'Control Room'!$B$13/4))^2),1)*IF(AND($A373&gt;='Control Room'!$A$14,$A373&lt;'Control Room'!$A$14+'Control Room'!$B$14,'Process'!BK3=1),1+('Control Room'!$C$14-1)*EXP(-0.5*(($A373-'Control Room'!$A$14-('Control Room'!$B$14-1)/2)/MAX(0.5,'Control Room'!$B$14/4))^2),1)*IF(AND($A373&gt;='Control Room'!$A$15,$A373&lt;'Control Room'!$A$15+'Control Room'!$B$15,'Process'!BK4=1),1+('Control Room'!$C$15-1)*EXP(-0.5*(($A373-'Control Room'!$A$15-('Control Room'!$B$15-1)/2)/MAX(0.5,'Control Room'!$B$15/4))^2),1)*IF(AND($A373&gt;='Control Room'!$A$16,$A373&lt;'Control Room'!$A$16+'Control Room'!$B$16,'Process'!BK5=1),1+('Control Room'!$C$16-1)*EXP(-0.5*(($A373-'Control Room'!$A$16-('Control Room'!$B$16-1)/2)/MAX(0.5,'Control Room'!$B$16/4))^2),1)</x:f>
        <x:v>1</x:v>
      </x:c>
      <x:c r="G373" s="9" t="n">
        <x:f>MOD(H372*16807,2147483647)</x:f>
        <x:v>834697516</x:v>
      </x:c>
      <x:c r="H373" s="9" t="n">
        <x:f>MOD(G373*16807,2147483647)</x:f>
        <x:v>1397969208</x:v>
      </x:c>
      <x:c r="I373" s="17" t="n">
        <x:f>IF('Control Room'!$B$5="Normal",'Control Room'!$B$7+'Control Room'!$D$7*SQRT(-2*LN(MAX(0.000000000001,G373/2147483647)))*COS(2*PI()*H373/2147483647),'Control Room'!$B$8+('Control Room'!$D$8-'Control Room'!$B$8)*G373/2147483647)</x:f>
        <x:v>927.8920891037565</x:v>
      </x:c>
      <x:c r="J373" s="17" t="n">
        <x:f>IF('Control Room'!$B$5="Normal",'Control Room'!$B$7,('Control Room'!$B$8+'Control Room'!$D$8)/2)+'Control Room'!$B$9*(J372-IF('Control Room'!$B$5="Normal",'Control Room'!$B$7,('Control Room'!$B$8+'Control Room'!$D$8)/2))+SQRT(1-'Control Room'!$B$9^2)*(I373-IF('Control Room'!$B$5="Normal",'Control Room'!$B$7,('Control Room'!$B$8+'Control Room'!$D$8)/2))</x:f>
        <x:v>959.606399456504</x:v>
      </x:c>
      <x:c r="K373" s="17" t="n">
        <x:f>IF(AND($A373&gt;='Control Room'!$A$13,$A373&lt;'Control Room'!$A$13+'Control Room'!$B$13,'Process'!BL2=1),1+('Control Room'!$C$13-1)*EXP(-0.5*(($A373-'Control Room'!$A$13-('Control Room'!$B$13-1)/2)/MAX(0.5,'Control Room'!$B$13/4))^2),1)*IF(AND($A373&gt;='Control Room'!$A$14,$A373&lt;'Control Room'!$A$14+'Control Room'!$B$14,'Process'!BL3=1),1+('Control Room'!$C$14-1)*EXP(-0.5*(($A373-'Control Room'!$A$14-('Control Room'!$B$14-1)/2)/MAX(0.5,'Control Room'!$B$14/4))^2),1)*IF(AND($A373&gt;='Control Room'!$A$15,$A373&lt;'Control Room'!$A$15+'Control Room'!$B$15,'Process'!BL4=1),1+('Control Room'!$C$15-1)*EXP(-0.5*(($A373-'Control Room'!$A$15-('Control Room'!$B$15-1)/2)/MAX(0.5,'Control Room'!$B$15/4))^2),1)*IF(AND($A373&gt;='Control Room'!$A$16,$A373&lt;'Control Room'!$A$16+'Control Room'!$B$16,'Process'!BL5=1),1+('Control Room'!$C$16-1)*EXP(-0.5*(($A373-'Control Room'!$A$16-('Control Room'!$B$16-1)/2)/MAX(0.5,'Control Room'!$B$16/4))^2),1)</x:f>
        <x:v>1</x:v>
      </x:c>
      <x:c r="L373" s="9" t="n">
        <x:f>MOD(M372*16807,2147483647)</x:f>
        <x:v>583505786</x:v>
      </x:c>
      <x:c r="M373" s="9" t="n">
        <x:f>MOD(L373*16807,2147483647)</x:f>
        <x:v>1571413100</x:v>
      </x:c>
      <x:c r="N373" s="17" t="n">
        <x:f>IF('Control Room'!$B$5="Normal",'Control Room'!$B$7+'Control Room'!$D$7*SQRT(-2*LN(MAX(0.000000000001,L373/2147483647)))*COS(2*PI()*M373/2147483647),'Control Room'!$B$8+('Control Room'!$D$8-'Control Room'!$B$8)*L373/2147483647)</x:f>
        <x:v>983.3731948912472</x:v>
      </x:c>
      <x:c r="O373" s="17" t="n">
        <x:f>IF('Control Room'!$B$5="Normal",'Control Room'!$B$7,('Control Room'!$B$8+'Control Room'!$D$8)/2)+'Control Room'!$B$9*(O372-IF('Control Room'!$B$5="Normal",'Control Room'!$B$7,('Control Room'!$B$8+'Control Room'!$D$8)/2))+SQRT(1-'Control Room'!$B$9^2)*(N373-IF('Control Room'!$B$5="Normal",'Control Room'!$B$7,('Control Room'!$B$8+'Control Room'!$D$8)/2))</x:f>
        <x:v>1070.0673190441348</x:v>
      </x:c>
      <x:c r="P373" s="17" t="n">
        <x:f>IF(AND($A373&gt;='Control Room'!$A$13,$A373&lt;'Control Room'!$A$13+'Control Room'!$B$13,'Process'!BM2=1),1+('Control Room'!$C$13-1)*EXP(-0.5*(($A373-'Control Room'!$A$13-('Control Room'!$B$13-1)/2)/MAX(0.5,'Control Room'!$B$13/4))^2),1)*IF(AND($A373&gt;='Control Room'!$A$14,$A373&lt;'Control Room'!$A$14+'Control Room'!$B$14,'Process'!BM3=1),1+('Control Room'!$C$14-1)*EXP(-0.5*(($A373-'Control Room'!$A$14-('Control Room'!$B$14-1)/2)/MAX(0.5,'Control Room'!$B$14/4))^2),1)*IF(AND($A373&gt;='Control Room'!$A$15,$A373&lt;'Control Room'!$A$15+'Control Room'!$B$15,'Process'!BM4=1),1+('Control Room'!$C$15-1)*EXP(-0.5*(($A373-'Control Room'!$A$15-('Control Room'!$B$15-1)/2)/MAX(0.5,'Control Room'!$B$15/4))^2),1)*IF(AND($A373&gt;='Control Room'!$A$16,$A373&lt;'Control Room'!$A$16+'Control Room'!$B$16,'Process'!BM5=1),1+('Control Room'!$C$16-1)*EXP(-0.5*(($A373-'Control Room'!$A$16-('Control Room'!$B$16-1)/2)/MAX(0.5,'Control Room'!$B$16/4))^2),1)</x:f>
        <x:v>1</x:v>
      </x:c>
      <x:c r="Q373" s="9" t="n">
        <x:f>MOD(R372*16807,2147483647)</x:f>
        <x:v>332314056</x:v>
      </x:c>
      <x:c r="R373" s="9" t="n">
        <x:f>MOD(Q373*16807,2147483647)</x:f>
        <x:v>1744856992</x:v>
      </x:c>
      <x:c r="S373" s="17" t="n">
        <x:f>IF('Control Room'!$B$5="Normal",'Control Room'!$B$7+'Control Room'!$D$7*SQRT(-2*LN(MAX(0.000000000001,Q373/2147483647)))*COS(2*PI()*R373/2147483647),'Control Room'!$B$8+('Control Room'!$D$8-'Control Room'!$B$8)*Q373/2147483647)</x:f>
        <x:v>1066.5473937547747</x:v>
      </x:c>
      <x:c r="T373" s="17" t="n">
        <x:f>IF('Control Room'!$B$5="Normal",'Control Room'!$B$7,('Control Room'!$B$8+'Control Room'!$D$8)/2)+'Control Room'!$B$9*(T372-IF('Control Room'!$B$5="Normal",'Control Room'!$B$7,('Control Room'!$B$8+'Control Room'!$D$8)/2))+SQRT(1-'Control Room'!$B$9^2)*(S373-IF('Control Room'!$B$5="Normal",'Control Room'!$B$7,('Control Room'!$B$8+'Control Room'!$D$8)/2))</x:f>
        <x:v>1133.5724607736254</x:v>
      </x:c>
      <x:c r="U373" s="17" t="n">
        <x:f>IF(AND($A373&gt;='Control Room'!$A$13,$A373&lt;'Control Room'!$A$13+'Control Room'!$B$13,'Process'!BN2=1),1+('Control Room'!$C$13-1)*EXP(-0.5*(($A373-'Control Room'!$A$13-('Control Room'!$B$13-1)/2)/MAX(0.5,'Control Room'!$B$13/4))^2),1)*IF(AND($A373&gt;='Control Room'!$A$14,$A373&lt;'Control Room'!$A$14+'Control Room'!$B$14,'Process'!BN3=1),1+('Control Room'!$C$14-1)*EXP(-0.5*(($A373-'Control Room'!$A$14-('Control Room'!$B$14-1)/2)/MAX(0.5,'Control Room'!$B$14/4))^2),1)*IF(AND($A373&gt;='Control Room'!$A$15,$A373&lt;'Control Room'!$A$15+'Control Room'!$B$15,'Process'!BN4=1),1+('Control Room'!$C$15-1)*EXP(-0.5*(($A373-'Control Room'!$A$15-('Control Room'!$B$15-1)/2)/MAX(0.5,'Control Room'!$B$15/4))^2),1)*IF(AND($A373&gt;='Control Room'!$A$16,$A373&lt;'Control Room'!$A$16+'Control Room'!$B$16,'Process'!BN5=1),1+('Control Room'!$C$16-1)*EXP(-0.5*(($A373-'Control Room'!$A$16-('Control Room'!$B$16-1)/2)/MAX(0.5,'Control Room'!$B$16/4))^2),1)</x:f>
        <x:v>1</x:v>
      </x:c>
      <x:c r="V373" s="9" t="n">
        <x:f>MOD(W372*16807,2147483647)</x:f>
        <x:v>81122326</x:v>
      </x:c>
      <x:c r="W373" s="9" t="n">
        <x:f>MOD(V373*16807,2147483647)</x:f>
        <x:v>1918300884</x:v>
      </x:c>
      <x:c r="X373" s="17" t="n">
        <x:f>IF('Control Room'!$B$5="Normal",'Control Room'!$B$7+'Control Room'!$D$7*SQRT(-2*LN(MAX(0.000000000001,V373/2147483647)))*COS(2*PI()*W373/2147483647),'Control Room'!$B$8+('Control Room'!$D$8-'Control Room'!$B$8)*V373/2147483647)</x:f>
        <x:v>1180.494167134166</x:v>
      </x:c>
      <x:c r="Y373" s="17" t="n">
        <x:f>IF('Control Room'!$B$5="Normal",'Control Room'!$B$7,('Control Room'!$B$8+'Control Room'!$D$8)/2)+'Control Room'!$B$9*(Y372-IF('Control Room'!$B$5="Normal",'Control Room'!$B$7,('Control Room'!$B$8+'Control Room'!$D$8)/2))+SQRT(1-'Control Room'!$B$9^2)*(X373-IF('Control Room'!$B$5="Normal",'Control Room'!$B$7,('Control Room'!$B$8+'Control Room'!$D$8)/2))</x:f>
        <x:v>1014.9246015724943</x:v>
      </x:c>
      <x:c r="Z373" s="17" t="n">
        <x:f>IF(AND($A373&gt;='Control Room'!$A$13,$A373&lt;'Control Room'!$A$13+'Control Room'!$B$13,'Process'!BO2=1),1+('Control Room'!$C$13-1)*EXP(-0.5*(($A373-'Control Room'!$A$13-('Control Room'!$B$13-1)/2)/MAX(0.5,'Control Room'!$B$13/4))^2),1)*IF(AND($A373&gt;='Control Room'!$A$14,$A373&lt;'Control Room'!$A$14+'Control Room'!$B$14,'Process'!BO3=1),1+('Control Room'!$C$14-1)*EXP(-0.5*(($A373-'Control Room'!$A$14-('Control Room'!$B$14-1)/2)/MAX(0.5,'Control Room'!$B$14/4))^2),1)*IF(AND($A373&gt;='Control Room'!$A$15,$A373&lt;'Control Room'!$A$15+'Control Room'!$B$15,'Process'!BO4=1),1+('Control Room'!$C$15-1)*EXP(-0.5*(($A373-'Control Room'!$A$15-('Control Room'!$B$15-1)/2)/MAX(0.5,'Control Room'!$B$15/4))^2),1)*IF(AND($A373&gt;='Control Room'!$A$16,$A373&lt;'Control Room'!$A$16+'Control Room'!$B$16,'Process'!BO5=1),1+('Control Room'!$C$16-1)*EXP(-0.5*(($A373-'Control Room'!$A$16-('Control Room'!$B$16-1)/2)/MAX(0.5,'Control Room'!$B$16/4))^2),1)</x:f>
        <x:v>1</x:v>
      </x:c>
      <x:c r="AA373" s="9" t="n">
        <x:f>MOD(AB372*16807,2147483647)</x:f>
        <x:v>1977414243</x:v>
      </x:c>
      <x:c r="AB373" s="9" t="n">
        <x:f>MOD(AA373*16807,2147483647)</x:f>
        <x:v>2091744776</x:v>
      </x:c>
      <x:c r="AC373" s="17" t="n">
        <x:f>IF('Control Room'!$B$5="Normal",'Control Room'!$B$7+'Control Room'!$D$7*SQRT(-2*LN(MAX(0.000000000001,AA373/2147483647)))*COS(2*PI()*AB373/2147483647),'Control Room'!$B$8+('Control Room'!$D$8-'Control Room'!$B$8)*AA373/2147483647)</x:f>
        <x:v>1036.0745649357586</x:v>
      </x:c>
      <x:c r="AD373" s="17" t="n">
        <x:f>IF('Control Room'!$B$5="Normal",'Control Room'!$B$7,('Control Room'!$B$8+'Control Room'!$D$8)/2)+'Control Room'!$B$9*(AD372-IF('Control Room'!$B$5="Normal",'Control Room'!$B$7,('Control Room'!$B$8+'Control Room'!$D$8)/2))+SQRT(1-'Control Room'!$B$9^2)*(AC373-IF('Control Room'!$B$5="Normal",'Control Room'!$B$7,('Control Room'!$B$8+'Control Room'!$D$8)/2))</x:f>
        <x:v>994.2369369437162</x:v>
      </x:c>
      <x:c r="AE373" s="17" t="n">
        <x:f>IF(AND($A373&gt;='Control Room'!$A$13,$A373&lt;'Control Room'!$A$13+'Control Room'!$B$13,'Process'!BP2=1),1+('Control Room'!$C$13-1)*EXP(-0.5*(($A373-'Control Room'!$A$13-('Control Room'!$B$13-1)/2)/MAX(0.5,'Control Room'!$B$13/4))^2),1)*IF(AND($A373&gt;='Control Room'!$A$14,$A373&lt;'Control Room'!$A$14+'Control Room'!$B$14,'Process'!BP3=1),1+('Control Room'!$C$14-1)*EXP(-0.5*(($A373-'Control Room'!$A$14-('Control Room'!$B$14-1)/2)/MAX(0.5,'Control Room'!$B$14/4))^2),1)*IF(AND($A373&gt;='Control Room'!$A$15,$A373&lt;'Control Room'!$A$15+'Control Room'!$B$15,'Process'!BP4=1),1+('Control Room'!$C$15-1)*EXP(-0.5*(($A373-'Control Room'!$A$15-('Control Room'!$B$15-1)/2)/MAX(0.5,'Control Room'!$B$15/4))^2),1)*IF(AND($A373&gt;='Control Room'!$A$16,$A373&lt;'Control Room'!$A$16+'Control Room'!$B$16,'Process'!BP5=1),1+('Control Room'!$C$16-1)*EXP(-0.5*(($A373-'Control Room'!$A$16-('Control Room'!$B$16-1)/2)/MAX(0.5,'Control Room'!$B$16/4))^2),1)</x:f>
        <x:v>1</x:v>
      </x:c>
      <x:c r="AF373" s="9" t="n">
        <x:f>MOD(AG372*16807,2147483647)</x:f>
        <x:v>1726222513</x:v>
      </x:c>
      <x:c r="AG373" s="9" t="n">
        <x:f>MOD(AF373*16807,2147483647)</x:f>
        <x:v>117705021</x:v>
      </x:c>
      <x:c r="AH373" s="17" t="n">
        <x:f>IF('Control Room'!$B$5="Normal",'Control Room'!$B$7+'Control Room'!$D$7*SQRT(-2*LN(MAX(0.000000000001,AF373/2147483647)))*COS(2*PI()*AG373/2147483647),'Control Room'!$B$8+('Control Room'!$D$8-'Control Room'!$B$8)*AF373/2147483647)</x:f>
        <x:v>1055.984208636391</x:v>
      </x:c>
      <x:c r="AI373" s="17" t="n">
        <x:f>IF('Control Room'!$B$5="Normal",'Control Room'!$B$7,('Control Room'!$B$8+'Control Room'!$D$8)/2)+'Control Room'!$B$9*(AI372-IF('Control Room'!$B$5="Normal",'Control Room'!$B$7,('Control Room'!$B$8+'Control Room'!$D$8)/2))+SQRT(1-'Control Room'!$B$9^2)*(AH373-IF('Control Room'!$B$5="Normal",'Control Room'!$B$7,('Control Room'!$B$8+'Control Room'!$D$8)/2))</x:f>
        <x:v>922.7659772272283</x:v>
      </x:c>
      <x:c r="AJ373" s="17" t="n">
        <x:f>IF(AND($A373&gt;='Control Room'!$A$13,$A373&lt;'Control Room'!$A$13+'Control Room'!$B$13,'Process'!BQ2=1),1+('Control Room'!$C$13-1)*EXP(-0.5*(($A373-'Control Room'!$A$13-('Control Room'!$B$13-1)/2)/MAX(0.5,'Control Room'!$B$13/4))^2),1)*IF(AND($A373&gt;='Control Room'!$A$14,$A373&lt;'Control Room'!$A$14+'Control Room'!$B$14,'Process'!BQ3=1),1+('Control Room'!$C$14-1)*EXP(-0.5*(($A373-'Control Room'!$A$14-('Control Room'!$B$14-1)/2)/MAX(0.5,'Control Room'!$B$14/4))^2),1)*IF(AND($A373&gt;='Control Room'!$A$15,$A373&lt;'Control Room'!$A$15+'Control Room'!$B$15,'Process'!BQ4=1),1+('Control Room'!$C$15-1)*EXP(-0.5*(($A373-'Control Room'!$A$15-('Control Room'!$B$15-1)/2)/MAX(0.5,'Control Room'!$B$15/4))^2),1)*IF(AND($A373&gt;='Control Room'!$A$16,$A373&lt;'Control Room'!$A$16+'Control Room'!$B$16,'Process'!BQ5=1),1+('Control Room'!$C$16-1)*EXP(-0.5*(($A373-'Control Room'!$A$16-('Control Room'!$B$16-1)/2)/MAX(0.5,'Control Room'!$B$16/4))^2),1)</x:f>
        <x:v>1</x:v>
      </x:c>
      <x:c r="AK373" s="9" t="n">
        <x:f>MOD(AL372*16807,2147483647)</x:f>
        <x:v>1475030783</x:v>
      </x:c>
      <x:c r="AL373" s="9" t="n">
        <x:f>MOD(AK373*16807,2147483647)</x:f>
        <x:v>291148913</x:v>
      </x:c>
      <x:c r="AM373" s="17" t="n">
        <x:f>IF('Control Room'!$B$5="Normal",'Control Room'!$B$7+'Control Room'!$D$7*SQRT(-2*LN(MAX(0.000000000001,AK373/2147483647)))*COS(2*PI()*AL373/2147483647),'Control Room'!$B$8+('Control Room'!$D$8-'Control Room'!$B$8)*AK373/2147483647)</x:f>
        <x:v>1051.3742154918982</x:v>
      </x:c>
      <x:c r="AN373" s="17" t="n">
        <x:f>IF('Control Room'!$B$5="Normal",'Control Room'!$B$7,('Control Room'!$B$8+'Control Room'!$D$8)/2)+'Control Room'!$B$9*(AN372-IF('Control Room'!$B$5="Normal",'Control Room'!$B$7,('Control Room'!$B$8+'Control Room'!$D$8)/2))+SQRT(1-'Control Room'!$B$9^2)*(AM373-IF('Control Room'!$B$5="Normal",'Control Room'!$B$7,('Control Room'!$B$8+'Control Room'!$D$8)/2))</x:f>
        <x:v>945.9741359755507</x:v>
      </x:c>
      <x:c r="AO373" s="17" t="n">
        <x:f>IF(AND($A373&gt;='Control Room'!$A$13,$A373&lt;'Control Room'!$A$13+'Control Room'!$B$13,'Process'!BR2=1),1+('Control Room'!$C$13-1)*EXP(-0.5*(($A373-'Control Room'!$A$13-('Control Room'!$B$13-1)/2)/MAX(0.5,'Control Room'!$B$13/4))^2),1)*IF(AND($A373&gt;='Control Room'!$A$14,$A373&lt;'Control Room'!$A$14+'Control Room'!$B$14,'Process'!BR3=1),1+('Control Room'!$C$14-1)*EXP(-0.5*(($A373-'Control Room'!$A$14-('Control Room'!$B$14-1)/2)/MAX(0.5,'Control Room'!$B$14/4))^2),1)*IF(AND($A373&gt;='Control Room'!$A$15,$A373&lt;'Control Room'!$A$15+'Control Room'!$B$15,'Process'!BR4=1),1+('Control Room'!$C$15-1)*EXP(-0.5*(($A373-'Control Room'!$A$15-('Control Room'!$B$15-1)/2)/MAX(0.5,'Control Room'!$B$15/4))^2),1)*IF(AND($A373&gt;='Control Room'!$A$16,$A373&lt;'Control Room'!$A$16+'Control Room'!$B$16,'Process'!BR5=1),1+('Control Room'!$C$16-1)*EXP(-0.5*(($A373-'Control Room'!$A$16-('Control Room'!$B$16-1)/2)/MAX(0.5,'Control Room'!$B$16/4))^2),1)</x:f>
        <x:v>1</x:v>
      </x:c>
      <x:c r="AP373" s="9" t="n">
        <x:f>MOD(AQ372*16807,2147483647)</x:f>
        <x:v>1223839053</x:v>
      </x:c>
      <x:c r="AQ373" s="9" t="n">
        <x:f>MOD(AP373*16807,2147483647)</x:f>
        <x:v>464592805</x:v>
      </x:c>
      <x:c r="AR373" s="17" t="n">
        <x:f>IF('Control Room'!$B$5="Normal",'Control Room'!$B$7+'Control Room'!$D$7*SQRT(-2*LN(MAX(0.000000000001,AP373/2147483647)))*COS(2*PI()*AQ373/2147483647),'Control Room'!$B$8+('Control Room'!$D$8-'Control Room'!$B$8)*AP373/2147483647)</x:f>
        <x:v>1020.0335551687474</x:v>
      </x:c>
      <x:c r="AS373" s="17" t="n">
        <x:f>IF('Control Room'!$B$5="Normal",'Control Room'!$B$7,('Control Room'!$B$8+'Control Room'!$D$8)/2)+'Control Room'!$B$9*(AS372-IF('Control Room'!$B$5="Normal",'Control Room'!$B$7,('Control Room'!$B$8+'Control Room'!$D$8)/2))+SQRT(1-'Control Room'!$B$9^2)*(AR373-IF('Control Room'!$B$5="Normal",'Control Room'!$B$7,('Control Room'!$B$8+'Control Room'!$D$8)/2))</x:f>
        <x:v>974.2613157982745</x:v>
      </x:c>
      <x:c r="AT373" s="17" t="n">
        <x:f>IF(AND($A373&gt;='Control Room'!$A$13,$A373&lt;'Control Room'!$A$13+'Control Room'!$B$13,'Process'!BS2=1),1+('Control Room'!$C$13-1)*EXP(-0.5*(($A373-'Control Room'!$A$13-('Control Room'!$B$13-1)/2)/MAX(0.5,'Control Room'!$B$13/4))^2),1)*IF(AND($A373&gt;='Control Room'!$A$14,$A373&lt;'Control Room'!$A$14+'Control Room'!$B$14,'Process'!BS3=1),1+('Control Room'!$C$14-1)*EXP(-0.5*(($A373-'Control Room'!$A$14-('Control Room'!$B$14-1)/2)/MAX(0.5,'Control Room'!$B$14/4))^2),1)*IF(AND($A373&gt;='Control Room'!$A$15,$A373&lt;'Control Room'!$A$15+'Control Room'!$B$15,'Process'!BS4=1),1+('Control Room'!$C$15-1)*EXP(-0.5*(($A373-'Control Room'!$A$15-('Control Room'!$B$15-1)/2)/MAX(0.5,'Control Room'!$B$15/4))^2),1)*IF(AND($A373&gt;='Control Room'!$A$16,$A373&lt;'Control Room'!$A$16+'Control Room'!$B$16,'Process'!BS5=1),1+('Control Room'!$C$16-1)*EXP(-0.5*(($A373-'Control Room'!$A$16-('Control Room'!$B$16-1)/2)/MAX(0.5,'Control Room'!$B$16/4))^2),1)</x:f>
        <x:v>1</x:v>
      </x:c>
      <x:c r="AU373" s="9" t="n">
        <x:f>MOD(AV372*16807,2147483647)</x:f>
        <x:v>972647323</x:v>
      </x:c>
      <x:c r="AV373" s="9" t="n">
        <x:f>MOD(AU373*16807,2147483647)</x:f>
        <x:v>638036697</x:v>
      </x:c>
      <x:c r="AW373" s="17" t="n">
        <x:f>IF('Control Room'!$B$5="Normal",'Control Room'!$B$7+'Control Room'!$D$7*SQRT(-2*LN(MAX(0.000000000001,AU373/2147483647)))*COS(2*PI()*AV373/2147483647),'Control Room'!$B$8+('Control Room'!$D$8-'Control Room'!$B$8)*AU373/2147483647)</x:f>
        <x:v>966.9590998957419</x:v>
      </x:c>
      <x:c r="AX373" s="17" t="n">
        <x:f>IF('Control Room'!$B$5="Normal",'Control Room'!$B$7,('Control Room'!$B$8+'Control Room'!$D$8)/2)+'Control Room'!$B$9*(AX372-IF('Control Room'!$B$5="Normal",'Control Room'!$B$7,('Control Room'!$B$8+'Control Room'!$D$8)/2))+SQRT(1-'Control Room'!$B$9^2)*(AW373-IF('Control Room'!$B$5="Normal",'Control Room'!$B$7,('Control Room'!$B$8+'Control Room'!$D$8)/2))</x:f>
        <x:v>1010.689776961814</x:v>
      </x:c>
      <x:c r="AY373" s="17" t="n">
        <x:f>IF(AND($A373&gt;='Control Room'!$A$13,$A373&lt;'Control Room'!$A$13+'Control Room'!$B$13,'Process'!BT2=1),1+('Control Room'!$C$13-1)*EXP(-0.5*(($A373-'Control Room'!$A$13-('Control Room'!$B$13-1)/2)/MAX(0.5,'Control Room'!$B$13/4))^2),1)*IF(AND($A373&gt;='Control Room'!$A$14,$A373&lt;'Control Room'!$A$14+'Control Room'!$B$14,'Process'!BT3=1),1+('Control Room'!$C$14-1)*EXP(-0.5*(($A373-'Control Room'!$A$14-('Control Room'!$B$14-1)/2)/MAX(0.5,'Control Room'!$B$14/4))^2),1)*IF(AND($A373&gt;='Control Room'!$A$15,$A373&lt;'Control Room'!$A$15+'Control Room'!$B$15,'Process'!BT4=1),1+('Control Room'!$C$15-1)*EXP(-0.5*(($A373-'Control Room'!$A$15-('Control Room'!$B$15-1)/2)/MAX(0.5,'Control Room'!$B$15/4))^2),1)*IF(AND($A373&gt;='Control Room'!$A$16,$A373&lt;'Control Room'!$A$16+'Control Room'!$B$16,'Process'!BT5=1),1+('Control Room'!$C$16-1)*EXP(-0.5*(($A373-'Control Room'!$A$16-('Control Room'!$B$16-1)/2)/MAX(0.5,'Control Room'!$B$16/4))^2),1)</x:f>
        <x:v>1</x:v>
      </x:c>
      <x:c r="AZ373" s="9" t="n">
        <x:f>MOD(BA372*16807,2147483647)</x:f>
        <x:v>721455593</x:v>
      </x:c>
      <x:c r="BA373" s="9" t="n">
        <x:f>MOD(AZ373*16807,2147483647)</x:f>
        <x:v>811480589</x:v>
      </x:c>
      <x:c r="BB373" s="17" t="n">
        <x:f>IF('Control Room'!$B$5="Normal",'Control Room'!$B$7+'Control Room'!$D$7*SQRT(-2*LN(MAX(0.000000000001,AZ373/2147483647)))*COS(2*PI()*BA373/2147483647),'Control Room'!$B$8+('Control Room'!$D$8-'Control Room'!$B$8)*AZ373/2147483647)</x:f>
        <x:v>904.3209818216183</x:v>
      </x:c>
      <x:c r="BC373" s="17" t="n">
        <x:f>IF('Control Room'!$B$5="Normal",'Control Room'!$B$7,('Control Room'!$B$8+'Control Room'!$D$8)/2)+'Control Room'!$B$9*(BC372-IF('Control Room'!$B$5="Normal",'Control Room'!$B$7,('Control Room'!$B$8+'Control Room'!$D$8)/2))+SQRT(1-'Control Room'!$B$9^2)*(BB373-IF('Control Room'!$B$5="Normal",'Control Room'!$B$7,('Control Room'!$B$8+'Control Room'!$D$8)/2))</x:f>
        <x:v>991.200112873642</x:v>
      </x:c>
      <x:c r="BD373" s="17" t="n">
        <x:f>IF(AND($A373&gt;='Control Room'!$A$13,$A373&lt;'Control Room'!$A$13+'Control Room'!$B$13,'Process'!BU2=1),1+('Control Room'!$C$13-1)*EXP(-0.5*(($A373-'Control Room'!$A$13-('Control Room'!$B$13-1)/2)/MAX(0.5,'Control Room'!$B$13/4))^2),1)*IF(AND($A373&gt;='Control Room'!$A$14,$A373&lt;'Control Room'!$A$14+'Control Room'!$B$14,'Process'!BU3=1),1+('Control Room'!$C$14-1)*EXP(-0.5*(($A373-'Control Room'!$A$14-('Control Room'!$B$14-1)/2)/MAX(0.5,'Control Room'!$B$14/4))^2),1)*IF(AND($A373&gt;='Control Room'!$A$15,$A373&lt;'Control Room'!$A$15+'Control Room'!$B$15,'Process'!BU4=1),1+('Control Room'!$C$15-1)*EXP(-0.5*(($A373-'Control Room'!$A$15-('Control Room'!$B$15-1)/2)/MAX(0.5,'Control Room'!$B$15/4))^2),1)*IF(AND($A373&gt;='Control Room'!$A$16,$A373&lt;'Control Room'!$A$16+'Control Room'!$B$16,'Process'!BU5=1),1+('Control Room'!$C$16-1)*EXP(-0.5*(($A373-'Control Room'!$A$16-('Control Room'!$B$16-1)/2)/MAX(0.5,'Control Room'!$B$16/4))^2),1)</x:f>
        <x:v>1</x:v>
      </x:c>
      <x:c r="BE373" s="9" t="n">
        <x:f>MOD(BF372*16807,2147483647)</x:f>
        <x:v>470263863</x:v>
      </x:c>
      <x:c r="BF373" s="9" t="n">
        <x:f>MOD(BE373*16807,2147483647)</x:f>
        <x:v>984924481</x:v>
      </x:c>
      <x:c r="BG373" s="17" t="n">
        <x:f>IF('Control Room'!$B$5="Normal",'Control Room'!$B$7+'Control Room'!$D$7*SQRT(-2*LN(MAX(0.000000000001,BE373/2147483647)))*COS(2*PI()*BF373/2147483647),'Control Room'!$B$8+('Control Room'!$D$8-'Control Room'!$B$8)*BE373/2147483647)</x:f>
        <x:v>848.4102556625542</x:v>
      </x:c>
      <x:c r="BH373" s="17" t="n">
        <x:f>IF('Control Room'!$B$5="Normal",'Control Room'!$B$7,('Control Room'!$B$8+'Control Room'!$D$8)/2)+'Control Room'!$B$9*(BH372-IF('Control Room'!$B$5="Normal",'Control Room'!$B$7,('Control Room'!$B$8+'Control Room'!$D$8)/2))+SQRT(1-'Control Room'!$B$9^2)*(BG373-IF('Control Room'!$B$5="Normal",'Control Room'!$B$7,('Control Room'!$B$8+'Control Room'!$D$8)/2))</x:f>
        <x:v>966.3351590782322</x:v>
      </x:c>
      <x:c r="BI373" s="17" t="n">
        <x:f>IF(AND($A373&gt;='Control Room'!$A$13,$A373&lt;'Control Room'!$A$13+'Control Room'!$B$13,'Process'!BV2=1),1+('Control Room'!$C$13-1)*EXP(-0.5*(($A373-'Control Room'!$A$13-('Control Room'!$B$13-1)/2)/MAX(0.5,'Control Room'!$B$13/4))^2),1)*IF(AND($A373&gt;='Control Room'!$A$14,$A373&lt;'Control Room'!$A$14+'Control Room'!$B$14,'Process'!BV3=1),1+('Control Room'!$C$14-1)*EXP(-0.5*(($A373-'Control Room'!$A$14-('Control Room'!$B$14-1)/2)/MAX(0.5,'Control Room'!$B$14/4))^2),1)*IF(AND($A373&gt;='Control Room'!$A$15,$A373&lt;'Control Room'!$A$15+'Control Room'!$B$15,'Process'!BV4=1),1+('Control Room'!$C$15-1)*EXP(-0.5*(($A373-'Control Room'!$A$15-('Control Room'!$B$15-1)/2)/MAX(0.5,'Control Room'!$B$15/4))^2),1)*IF(AND($A373&gt;='Control Room'!$A$16,$A373&lt;'Control Room'!$A$16+'Control Room'!$B$16,'Process'!BV5=1),1+('Control Room'!$C$16-1)*EXP(-0.5*(($A373-'Control Room'!$A$16-('Control Room'!$B$16-1)/2)/MAX(0.5,'Control Room'!$B$16/4))^2),1)</x:f>
        <x:v>1</x:v>
      </x:c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Z373" t="str">
        <x:f>IF('Data'!A373="","",TEXT('Data'!A373,"mm-dd"))</x:f>
      </x:c>
    </x:row>
    <x:row r="374" ht="21" customHeight="1">
      <x:c r="A374" s="15" t="n">
        <x:f>'Control Room'!$B$1+372</x:f>
        <x:v>73363</x:v>
      </x:c>
      <x:c r="B374" s="9" t="n">
        <x:f>MOD(C373*16807,2147483647)</x:f>
        <x:v>1261196811</x:v>
      </x:c>
      <x:c r="C374" s="9" t="n">
        <x:f>MOD(B374*16807,2147483647)</x:f>
        <x:v>1271206587</x:v>
      </x:c>
      <x:c r="D374" s="17" t="n">
        <x:f>IF('Control Room'!$B$5="Normal",'Control Room'!$B$7+'Control Room'!$D$7*SQRT(-2*LN(MAX(0.000000000001,B374/2147483647)))*COS(2*PI()*C374/2147483647),'Control Room'!$B$8+('Control Room'!$D$8-'Control Room'!$B$8)*B374/2147483647)</x:f>
        <x:v>922.2151887522476</x:v>
      </x:c>
      <x:c r="E374" s="17" t="n">
        <x:f>IF('Control Room'!$B$5="Normal",'Control Room'!$B$7,('Control Room'!$B$8+'Control Room'!$D$8)/2)+'Control Room'!$B$9*(E373-IF('Control Room'!$B$5="Normal",'Control Room'!$B$7,('Control Room'!$B$8+'Control Room'!$D$8)/2))+SQRT(1-'Control Room'!$B$9^2)*(D374-IF('Control Room'!$B$5="Normal",'Control Room'!$B$7,('Control Room'!$B$8+'Control Room'!$D$8)/2))</x:f>
        <x:v>912.0576459292455</x:v>
      </x:c>
      <x:c r="F374" s="17" t="n">
        <x:f>IF(AND($A374&gt;='Control Room'!$A$13,$A374&lt;'Control Room'!$A$13+'Control Room'!$B$13,'Process'!BK2=1),1+('Control Room'!$C$13-1)*EXP(-0.5*(($A374-'Control Room'!$A$13-('Control Room'!$B$13-1)/2)/MAX(0.5,'Control Room'!$B$13/4))^2),1)*IF(AND($A374&gt;='Control Room'!$A$14,$A374&lt;'Control Room'!$A$14+'Control Room'!$B$14,'Process'!BK3=1),1+('Control Room'!$C$14-1)*EXP(-0.5*(($A374-'Control Room'!$A$14-('Control Room'!$B$14-1)/2)/MAX(0.5,'Control Room'!$B$14/4))^2),1)*IF(AND($A374&gt;='Control Room'!$A$15,$A374&lt;'Control Room'!$A$15+'Control Room'!$B$15,'Process'!BK4=1),1+('Control Room'!$C$15-1)*EXP(-0.5*(($A374-'Control Room'!$A$15-('Control Room'!$B$15-1)/2)/MAX(0.5,'Control Room'!$B$15/4))^2),1)*IF(AND($A374&gt;='Control Room'!$A$16,$A374&lt;'Control Room'!$A$16+'Control Room'!$B$16,'Process'!BK5=1),1+('Control Room'!$C$16-1)*EXP(-0.5*(($A374-'Control Room'!$A$16-('Control Room'!$B$16-1)/2)/MAX(0.5,'Control Room'!$B$16/4))^2),1)</x:f>
        <x:v>1</x:v>
      </x:c>
      <x:c r="G374" s="9" t="n">
        <x:f>MOD(H373*16807,2147483647)</x:f>
        <x:v>49897029</x:v>
      </x:c>
      <x:c r="H374" s="9" t="n">
        <x:f>MOD(G374*16807,2147483647)</x:f>
        <x:v>1100744073</x:v>
      </x:c>
      <x:c r="I374" s="17" t="n">
        <x:f>IF('Control Room'!$B$5="Normal",'Control Room'!$B$7+'Control Room'!$D$7*SQRT(-2*LN(MAX(0.000000000001,G374/2147483647)))*COS(2*PI()*H374/2147483647),'Control Room'!$B$8+('Control Room'!$D$8-'Control Room'!$B$8)*G374/2147483647)</x:f>
        <x:v>753.8978770106436</x:v>
      </x:c>
      <x:c r="J374" s="17" t="n">
        <x:f>IF('Control Room'!$B$5="Normal",'Control Room'!$B$7,('Control Room'!$B$8+'Control Room'!$D$8)/2)+'Control Room'!$B$9*(J373-IF('Control Room'!$B$5="Normal",'Control Room'!$B$7,('Control Room'!$B$8+'Control Room'!$D$8)/2))+SQRT(1-'Control Room'!$B$9^2)*(I374-IF('Control Room'!$B$5="Normal",'Control Room'!$B$7,('Control Room'!$B$8+'Control Room'!$D$8)/2))</x:f>
        <x:v>814.4873246853629</x:v>
      </x:c>
      <x:c r="K374" s="17" t="n">
        <x:f>IF(AND($A374&gt;='Control Room'!$A$13,$A374&lt;'Control Room'!$A$13+'Control Room'!$B$13,'Process'!BL2=1),1+('Control Room'!$C$13-1)*EXP(-0.5*(($A374-'Control Room'!$A$13-('Control Room'!$B$13-1)/2)/MAX(0.5,'Control Room'!$B$13/4))^2),1)*IF(AND($A374&gt;='Control Room'!$A$14,$A374&lt;'Control Room'!$A$14+'Control Room'!$B$14,'Process'!BL3=1),1+('Control Room'!$C$14-1)*EXP(-0.5*(($A374-'Control Room'!$A$14-('Control Room'!$B$14-1)/2)/MAX(0.5,'Control Room'!$B$14/4))^2),1)*IF(AND($A374&gt;='Control Room'!$A$15,$A374&lt;'Control Room'!$A$15+'Control Room'!$B$15,'Process'!BL4=1),1+('Control Room'!$C$15-1)*EXP(-0.5*(($A374-'Control Room'!$A$15-('Control Room'!$B$15-1)/2)/MAX(0.5,'Control Room'!$B$15/4))^2),1)*IF(AND($A374&gt;='Control Room'!$A$16,$A374&lt;'Control Room'!$A$16+'Control Room'!$B$16,'Process'!BL5=1),1+('Control Room'!$C$16-1)*EXP(-0.5*(($A374-'Control Room'!$A$16-('Control Room'!$B$16-1)/2)/MAX(0.5,'Control Room'!$B$16/4))^2),1)</x:f>
        <x:v>1</x:v>
      </x:c>
      <x:c r="L374" s="9" t="n">
        <x:f>MOD(M373*16807,2147483647)</x:f>
        <x:v>986080894</x:v>
      </x:c>
      <x:c r="M374" s="9" t="n">
        <x:f>MOD(L374*16807,2147483647)</x:f>
        <x:v>930281559</x:v>
      </x:c>
      <x:c r="N374" s="17" t="n">
        <x:f>IF('Control Room'!$B$5="Normal",'Control Room'!$B$7+'Control Room'!$D$7*SQRT(-2*LN(MAX(0.000000000001,L374/2147483647)))*COS(2*PI()*M374/2147483647),'Control Room'!$B$8+('Control Room'!$D$8-'Control Room'!$B$8)*L374/2147483647)</x:f>
        <x:v>897.4588741400813</x:v>
      </x:c>
      <x:c r="O374" s="17" t="n">
        <x:f>IF('Control Room'!$B$5="Normal",'Control Room'!$B$7,('Control Room'!$B$8+'Control Room'!$D$8)/2)+'Control Room'!$B$9*(O373-IF('Control Room'!$B$5="Normal",'Control Room'!$B$7,('Control Room'!$B$8+'Control Room'!$D$8)/2))+SQRT(1-'Control Room'!$B$9^2)*(N374-IF('Control Room'!$B$5="Normal",'Control Room'!$B$7,('Control Room'!$B$8+'Control Room'!$D$8)/2))</x:f>
        <x:v>990.4843729604328</x:v>
      </x:c>
      <x:c r="P374" s="17" t="n">
        <x:f>IF(AND($A374&gt;='Control Room'!$A$13,$A374&lt;'Control Room'!$A$13+'Control Room'!$B$13,'Process'!BM2=1),1+('Control Room'!$C$13-1)*EXP(-0.5*(($A374-'Control Room'!$A$13-('Control Room'!$B$13-1)/2)/MAX(0.5,'Control Room'!$B$13/4))^2),1)*IF(AND($A374&gt;='Control Room'!$A$14,$A374&lt;'Control Room'!$A$14+'Control Room'!$B$14,'Process'!BM3=1),1+('Control Room'!$C$14-1)*EXP(-0.5*(($A374-'Control Room'!$A$14-('Control Room'!$B$14-1)/2)/MAX(0.5,'Control Room'!$B$14/4))^2),1)*IF(AND($A374&gt;='Control Room'!$A$15,$A374&lt;'Control Room'!$A$15+'Control Room'!$B$15,'Process'!BM4=1),1+('Control Room'!$C$15-1)*EXP(-0.5*(($A374-'Control Room'!$A$15-('Control Room'!$B$15-1)/2)/MAX(0.5,'Control Room'!$B$15/4))^2),1)*IF(AND($A374&gt;='Control Room'!$A$16,$A374&lt;'Control Room'!$A$16+'Control Room'!$B$16,'Process'!BM5=1),1+('Control Room'!$C$16-1)*EXP(-0.5*(($A374-'Control Room'!$A$16-('Control Room'!$B$16-1)/2)/MAX(0.5,'Control Room'!$B$16/4))^2),1)</x:f>
        <x:v>1</x:v>
      </x:c>
      <x:c r="Q374" s="9" t="n">
        <x:f>MOD(R373*16807,2147483647)</x:f>
        <x:v>1922264759</x:v>
      </x:c>
      <x:c r="R374" s="9" t="n">
        <x:f>MOD(Q374*16807,2147483647)</x:f>
        <x:v>759819045</x:v>
      </x:c>
      <x:c r="S374" s="17" t="n">
        <x:f>IF('Control Room'!$B$5="Normal",'Control Room'!$B$7+'Control Room'!$D$7*SQRT(-2*LN(MAX(0.000000000001,Q374/2147483647)))*COS(2*PI()*R374/2147483647),'Control Room'!$B$8+('Control Room'!$D$8-'Control Room'!$B$8)*Q374/2147483647)</x:f>
        <x:v>974.283100500185</x:v>
      </x:c>
      <x:c r="T374" s="17" t="n">
        <x:f>IF('Control Room'!$B$5="Normal",'Control Room'!$B$7,('Control Room'!$B$8+'Control Room'!$D$8)/2)+'Control Room'!$B$9*(T373-IF('Control Room'!$B$5="Normal",'Control Room'!$B$7,('Control Room'!$B$8+'Control Room'!$D$8)/2))+SQRT(1-'Control Room'!$B$9^2)*(S374-IF('Control Room'!$B$5="Normal",'Control Room'!$B$7,('Control Room'!$B$8+'Control Room'!$D$8)/2))</x:f>
        <x:v>1088.0934105357662</x:v>
      </x:c>
      <x:c r="U374" s="17" t="n">
        <x:f>IF(AND($A374&gt;='Control Room'!$A$13,$A374&lt;'Control Room'!$A$13+'Control Room'!$B$13,'Process'!BN2=1),1+('Control Room'!$C$13-1)*EXP(-0.5*(($A374-'Control Room'!$A$13-('Control Room'!$B$13-1)/2)/MAX(0.5,'Control Room'!$B$13/4))^2),1)*IF(AND($A374&gt;='Control Room'!$A$14,$A374&lt;'Control Room'!$A$14+'Control Room'!$B$14,'Process'!BN3=1),1+('Control Room'!$C$14-1)*EXP(-0.5*(($A374-'Control Room'!$A$14-('Control Room'!$B$14-1)/2)/MAX(0.5,'Control Room'!$B$14/4))^2),1)*IF(AND($A374&gt;='Control Room'!$A$15,$A374&lt;'Control Room'!$A$15+'Control Room'!$B$15,'Process'!BN4=1),1+('Control Room'!$C$15-1)*EXP(-0.5*(($A374-'Control Room'!$A$15-('Control Room'!$B$15-1)/2)/MAX(0.5,'Control Room'!$B$15/4))^2),1)*IF(AND($A374&gt;='Control Room'!$A$16,$A374&lt;'Control Room'!$A$16+'Control Room'!$B$16,'Process'!BN5=1),1+('Control Room'!$C$16-1)*EXP(-0.5*(($A374-'Control Room'!$A$16-('Control Room'!$B$16-1)/2)/MAX(0.5,'Control Room'!$B$16/4))^2),1)</x:f>
        <x:v>1</x:v>
      </x:c>
      <x:c r="V374" s="9" t="n">
        <x:f>MOD(W373*16807,2147483647)</x:f>
        <x:v>710964977</x:v>
      </x:c>
      <x:c r="W374" s="9" t="n">
        <x:f>MOD(V374*16807,2147483647)</x:f>
        <x:v>589356531</x:v>
      </x:c>
      <x:c r="X374" s="17" t="n">
        <x:f>IF('Control Room'!$B$5="Normal",'Control Room'!$B$7+'Control Room'!$D$7*SQRT(-2*LN(MAX(0.000000000001,V374/2147483647)))*COS(2*PI()*W374/2147483647),'Control Room'!$B$8+('Control Room'!$D$8-'Control Room'!$B$8)*V374/2147483647)</x:f>
        <x:v>979.5306066800706</x:v>
      </x:c>
      <x:c r="Y374" s="17" t="n">
        <x:f>IF('Control Room'!$B$5="Normal",'Control Room'!$B$7,('Control Room'!$B$8+'Control Room'!$D$8)/2)+'Control Room'!$B$9*(Y373-IF('Control Room'!$B$5="Normal",'Control Room'!$B$7,('Control Room'!$B$8+'Control Room'!$D$8)/2))+SQRT(1-'Control Room'!$B$9^2)*(X374-IF('Control Room'!$B$5="Normal",'Control Room'!$B$7,('Control Room'!$B$8+'Control Room'!$D$8)/2))</x:f>
        <x:v>998.8318622252491</x:v>
      </x:c>
      <x:c r="Z374" s="17" t="n">
        <x:f>IF(AND($A374&gt;='Control Room'!$A$13,$A374&lt;'Control Room'!$A$13+'Control Room'!$B$13,'Process'!BO2=1),1+('Control Room'!$C$13-1)*EXP(-0.5*(($A374-'Control Room'!$A$13-('Control Room'!$B$13-1)/2)/MAX(0.5,'Control Room'!$B$13/4))^2),1)*IF(AND($A374&gt;='Control Room'!$A$14,$A374&lt;'Control Room'!$A$14+'Control Room'!$B$14,'Process'!BO3=1),1+('Control Room'!$C$14-1)*EXP(-0.5*(($A374-'Control Room'!$A$14-('Control Room'!$B$14-1)/2)/MAX(0.5,'Control Room'!$B$14/4))^2),1)*IF(AND($A374&gt;='Control Room'!$A$15,$A374&lt;'Control Room'!$A$15+'Control Room'!$B$15,'Process'!BO4=1),1+('Control Room'!$C$15-1)*EXP(-0.5*(($A374-'Control Room'!$A$15-('Control Room'!$B$15-1)/2)/MAX(0.5,'Control Room'!$B$15/4))^2),1)*IF(AND($A374&gt;='Control Room'!$A$16,$A374&lt;'Control Room'!$A$16+'Control Room'!$B$16,'Process'!BO5=1),1+('Control Room'!$C$16-1)*EXP(-0.5*(($A374-'Control Room'!$A$16-('Control Room'!$B$16-1)/2)/MAX(0.5,'Control Room'!$B$16/4))^2),1)</x:f>
        <x:v>1</x:v>
      </x:c>
      <x:c r="AA374" s="9" t="n">
        <x:f>MOD(AB373*16807,2147483647)</x:f>
        <x:v>1647148842</x:v>
      </x:c>
      <x:c r="AB374" s="9" t="n">
        <x:f>MOD(AA374*16807,2147483647)</x:f>
        <x:v>418894017</x:v>
      </x:c>
      <x:c r="AC374" s="17" t="n">
        <x:f>IF('Control Room'!$B$5="Normal",'Control Room'!$B$7+'Control Room'!$D$7*SQRT(-2*LN(MAX(0.000000000001,AA374/2147483647)))*COS(2*PI()*AB374/2147483647),'Control Room'!$B$8+('Control Room'!$D$8-'Control Room'!$B$8)*AA374/2147483647)</x:f>
        <x:v>1022.1806393963407</x:v>
      </x:c>
      <x:c r="AD374" s="17" t="n">
        <x:f>IF('Control Room'!$B$5="Normal",'Control Room'!$B$7,('Control Room'!$B$8+'Control Room'!$D$8)/2)+'Control Room'!$B$9*(AD373-IF('Control Room'!$B$5="Normal",'Control Room'!$B$7,('Control Room'!$B$8+'Control Room'!$D$8)/2))+SQRT(1-'Control Room'!$B$9^2)*(AC374-IF('Control Room'!$B$5="Normal",'Control Room'!$B$7,('Control Room'!$B$8+'Control Room'!$D$8)/2))</x:f>
        <x:v>1009.385000555232</x:v>
      </x:c>
      <x:c r="AE374" s="17" t="n">
        <x:f>IF(AND($A374&gt;='Control Room'!$A$13,$A374&lt;'Control Room'!$A$13+'Control Room'!$B$13,'Process'!BP2=1),1+('Control Room'!$C$13-1)*EXP(-0.5*(($A374-'Control Room'!$A$13-('Control Room'!$B$13-1)/2)/MAX(0.5,'Control Room'!$B$13/4))^2),1)*IF(AND($A374&gt;='Control Room'!$A$14,$A374&lt;'Control Room'!$A$14+'Control Room'!$B$14,'Process'!BP3=1),1+('Control Room'!$C$14-1)*EXP(-0.5*(($A374-'Control Room'!$A$14-('Control Room'!$B$14-1)/2)/MAX(0.5,'Control Room'!$B$14/4))^2),1)*IF(AND($A374&gt;='Control Room'!$A$15,$A374&lt;'Control Room'!$A$15+'Control Room'!$B$15,'Process'!BP4=1),1+('Control Room'!$C$15-1)*EXP(-0.5*(($A374-'Control Room'!$A$15-('Control Room'!$B$15-1)/2)/MAX(0.5,'Control Room'!$B$15/4))^2),1)*IF(AND($A374&gt;='Control Room'!$A$16,$A374&lt;'Control Room'!$A$16+'Control Room'!$B$16,'Process'!BP5=1),1+('Control Room'!$C$16-1)*EXP(-0.5*(($A374-'Control Room'!$A$16-('Control Room'!$B$16-1)/2)/MAX(0.5,'Control Room'!$B$16/4))^2),1)</x:f>
        <x:v>1</x:v>
      </x:c>
      <x:c r="AF374" s="9" t="n">
        <x:f>MOD(AG373*16807,2147483647)</x:f>
        <x:v>435849060</x:v>
      </x:c>
      <x:c r="AG374" s="9" t="n">
        <x:f>MOD(AF374*16807,2147483647)</x:f>
        <x:v>248431503</x:v>
      </x:c>
      <x:c r="AH374" s="17" t="n">
        <x:f>IF('Control Room'!$B$5="Normal",'Control Room'!$B$7+'Control Room'!$D$7*SQRT(-2*LN(MAX(0.000000000001,AF374/2147483647)))*COS(2*PI()*AG374/2147483647),'Control Room'!$B$8+('Control Room'!$D$8-'Control Room'!$B$8)*AF374/2147483647)</x:f>
        <x:v>1120.1089270233888</x:v>
      </x:c>
      <x:c r="AI374" s="17" t="n">
        <x:f>IF('Control Room'!$B$5="Normal",'Control Room'!$B$7,('Control Room'!$B$8+'Control Room'!$D$8)/2)+'Control Room'!$B$9*(AI373-IF('Control Room'!$B$5="Normal",'Control Room'!$B$7,('Control Room'!$B$8+'Control Room'!$D$8)/2))+SQRT(1-'Control Room'!$B$9^2)*(AH374-IF('Control Room'!$B$5="Normal",'Control Room'!$B$7,('Control Room'!$B$8+'Control Room'!$D$8)/2))</x:f>
        <x:v>1014.9191682033611</x:v>
      </x:c>
      <x:c r="AJ374" s="17" t="n">
        <x:f>IF(AND($A374&gt;='Control Room'!$A$13,$A374&lt;'Control Room'!$A$13+'Control Room'!$B$13,'Process'!BQ2=1),1+('Control Room'!$C$13-1)*EXP(-0.5*(($A374-'Control Room'!$A$13-('Control Room'!$B$13-1)/2)/MAX(0.5,'Control Room'!$B$13/4))^2),1)*IF(AND($A374&gt;='Control Room'!$A$14,$A374&lt;'Control Room'!$A$14+'Control Room'!$B$14,'Process'!BQ3=1),1+('Control Room'!$C$14-1)*EXP(-0.5*(($A374-'Control Room'!$A$14-('Control Room'!$B$14-1)/2)/MAX(0.5,'Control Room'!$B$14/4))^2),1)*IF(AND($A374&gt;='Control Room'!$A$15,$A374&lt;'Control Room'!$A$15+'Control Room'!$B$15,'Process'!BQ4=1),1+('Control Room'!$C$15-1)*EXP(-0.5*(($A374-'Control Room'!$A$15-('Control Room'!$B$15-1)/2)/MAX(0.5,'Control Room'!$B$15/4))^2),1)*IF(AND($A374&gt;='Control Room'!$A$16,$A374&lt;'Control Room'!$A$16+'Control Room'!$B$16,'Process'!BQ5=1),1+('Control Room'!$C$16-1)*EXP(-0.5*(($A374-'Control Room'!$A$16-('Control Room'!$B$16-1)/2)/MAX(0.5,'Control Room'!$B$16/4))^2),1)</x:f>
        <x:v>1</x:v>
      </x:c>
      <x:c r="AK374" s="9" t="n">
        <x:f>MOD(AL373*16807,2147483647)</x:f>
        <x:v>1372032925</x:v>
      </x:c>
      <x:c r="AL374" s="9" t="n">
        <x:f>MOD(AK374*16807,2147483647)</x:f>
        <x:v>77968989</x:v>
      </x:c>
      <x:c r="AM374" s="17" t="n">
        <x:f>IF('Control Room'!$B$5="Normal",'Control Room'!$B$7+'Control Room'!$D$7*SQRT(-2*LN(MAX(0.000000000001,AK374/2147483647)))*COS(2*PI()*AL374/2147483647),'Control Room'!$B$8+('Control Room'!$D$8-'Control Room'!$B$8)*AK374/2147483647)</x:f>
        <x:v>1082.9847275640234</x:v>
      </x:c>
      <x:c r="AN374" s="17" t="n">
        <x:f>IF('Control Room'!$B$5="Normal",'Control Room'!$B$7,('Control Room'!$B$8+'Control Room'!$D$8)/2)+'Control Room'!$B$9*(AN373-IF('Control Room'!$B$5="Normal",'Control Room'!$B$7,('Control Room'!$B$8+'Control Room'!$D$8)/2))+SQRT(1-'Control Room'!$B$9^2)*(AM374-IF('Control Room'!$B$5="Normal",'Control Room'!$B$7,('Control Room'!$B$8+'Control Room'!$D$8)/2))</x:f>
        <x:v>1009.7899685359462</x:v>
      </x:c>
      <x:c r="AO374" s="17" t="n">
        <x:f>IF(AND($A374&gt;='Control Room'!$A$13,$A374&lt;'Control Room'!$A$13+'Control Room'!$B$13,'Process'!BR2=1),1+('Control Room'!$C$13-1)*EXP(-0.5*(($A374-'Control Room'!$A$13-('Control Room'!$B$13-1)/2)/MAX(0.5,'Control Room'!$B$13/4))^2),1)*IF(AND($A374&gt;='Control Room'!$A$14,$A374&lt;'Control Room'!$A$14+'Control Room'!$B$14,'Process'!BR3=1),1+('Control Room'!$C$14-1)*EXP(-0.5*(($A374-'Control Room'!$A$14-('Control Room'!$B$14-1)/2)/MAX(0.5,'Control Room'!$B$14/4))^2),1)*IF(AND($A374&gt;='Control Room'!$A$15,$A374&lt;'Control Room'!$A$15+'Control Room'!$B$15,'Process'!BR4=1),1+('Control Room'!$C$15-1)*EXP(-0.5*(($A374-'Control Room'!$A$15-('Control Room'!$B$15-1)/2)/MAX(0.5,'Control Room'!$B$15/4))^2),1)*IF(AND($A374&gt;='Control Room'!$A$16,$A374&lt;'Control Room'!$A$16+'Control Room'!$B$16,'Process'!BR5=1),1+('Control Room'!$C$16-1)*EXP(-0.5*(($A374-'Control Room'!$A$16-('Control Room'!$B$16-1)/2)/MAX(0.5,'Control Room'!$B$16/4))^2),1)</x:f>
        <x:v>1</x:v>
      </x:c>
      <x:c r="AP374" s="9" t="n">
        <x:f>MOD(AQ373*16807,2147483647)</x:f>
        <x:v>160733143</x:v>
      </x:c>
      <x:c r="AQ374" s="9" t="n">
        <x:f>MOD(AP374*16807,2147483647)</x:f>
        <x:v>2054990122</x:v>
      </x:c>
      <x:c r="AR374" s="17" t="n">
        <x:f>IF('Control Room'!$B$5="Normal",'Control Room'!$B$7+'Control Room'!$D$7*SQRT(-2*LN(MAX(0.000000000001,AP374/2147483647)))*COS(2*PI()*AQ374/2147483647),'Control Room'!$B$8+('Control Room'!$D$8-'Control Room'!$B$8)*AP374/2147483647)</x:f>
        <x:v>1197.4693852236487</x:v>
      </x:c>
      <x:c r="AS374" s="17" t="n">
        <x:f>IF('Control Room'!$B$5="Normal",'Control Room'!$B$7,('Control Room'!$B$8+'Control Room'!$D$8)/2)+'Control Room'!$B$9*(AS373-IF('Control Room'!$B$5="Normal",'Control Room'!$B$7,('Control Room'!$B$8+'Control Room'!$D$8)/2))+SQRT(1-'Control Room'!$B$9^2)*(AR374-IF('Control Room'!$B$5="Normal",'Control Room'!$B$7,('Control Room'!$B$8+'Control Room'!$D$8)/2))</x:f>
        <x:v>1103.496122215371</x:v>
      </x:c>
      <x:c r="AT374" s="17" t="n">
        <x:f>IF(AND($A374&gt;='Control Room'!$A$13,$A374&lt;'Control Room'!$A$13+'Control Room'!$B$13,'Process'!BS2=1),1+('Control Room'!$C$13-1)*EXP(-0.5*(($A374-'Control Room'!$A$13-('Control Room'!$B$13-1)/2)/MAX(0.5,'Control Room'!$B$13/4))^2),1)*IF(AND($A374&gt;='Control Room'!$A$14,$A374&lt;'Control Room'!$A$14+'Control Room'!$B$14,'Process'!BS3=1),1+('Control Room'!$C$14-1)*EXP(-0.5*(($A374-'Control Room'!$A$14-('Control Room'!$B$14-1)/2)/MAX(0.5,'Control Room'!$B$14/4))^2),1)*IF(AND($A374&gt;='Control Room'!$A$15,$A374&lt;'Control Room'!$A$15+'Control Room'!$B$15,'Process'!BS4=1),1+('Control Room'!$C$15-1)*EXP(-0.5*(($A374-'Control Room'!$A$15-('Control Room'!$B$15-1)/2)/MAX(0.5,'Control Room'!$B$15/4))^2),1)*IF(AND($A374&gt;='Control Room'!$A$16,$A374&lt;'Control Room'!$A$16+'Control Room'!$B$16,'Process'!BS5=1),1+('Control Room'!$C$16-1)*EXP(-0.5*(($A374-'Control Room'!$A$16-('Control Room'!$B$16-1)/2)/MAX(0.5,'Control Room'!$B$16/4))^2),1)</x:f>
        <x:v>1</x:v>
      </x:c>
      <x:c r="AU374" s="9" t="n">
        <x:f>MOD(AV373*16807,2147483647)</x:f>
        <x:v>1096917008</x:v>
      </x:c>
      <x:c r="AV374" s="9" t="n">
        <x:f>MOD(AU374*16807,2147483647)</x:f>
        <x:v>1884527608</x:v>
      </x:c>
      <x:c r="AW374" s="17" t="n">
        <x:f>IF('Control Room'!$B$5="Normal",'Control Room'!$B$7+'Control Room'!$D$7*SQRT(-2*LN(MAX(0.000000000001,AU374/2147483647)))*COS(2*PI()*AV374/2147483647),'Control Room'!$B$8+('Control Room'!$D$8-'Control Room'!$B$8)*AU374/2147483647)</x:f>
        <x:v>1074.939782659025</x:v>
      </x:c>
      <x:c r="AX374" s="17" t="n">
        <x:f>IF('Control Room'!$B$5="Normal",'Control Room'!$B$7,('Control Room'!$B$8+'Control Room'!$D$8)/2)+'Control Room'!$B$9*(AX373-IF('Control Room'!$B$5="Normal",'Control Room'!$B$7,('Control Room'!$B$8+'Control Room'!$D$8)/2))+SQRT(1-'Control Room'!$B$9^2)*(AW374-IF('Control Room'!$B$5="Normal",'Control Room'!$B$7,('Control Room'!$B$8+'Control Room'!$D$8)/2))</x:f>
        <x:v>1055.233806793338</x:v>
      </x:c>
      <x:c r="AY374" s="17" t="n">
        <x:f>IF(AND($A374&gt;='Control Room'!$A$13,$A374&lt;'Control Room'!$A$13+'Control Room'!$B$13,'Process'!BT2=1),1+('Control Room'!$C$13-1)*EXP(-0.5*(($A374-'Control Room'!$A$13-('Control Room'!$B$13-1)/2)/MAX(0.5,'Control Room'!$B$13/4))^2),1)*IF(AND($A374&gt;='Control Room'!$A$14,$A374&lt;'Control Room'!$A$14+'Control Room'!$B$14,'Process'!BT3=1),1+('Control Room'!$C$14-1)*EXP(-0.5*(($A374-'Control Room'!$A$14-('Control Room'!$B$14-1)/2)/MAX(0.5,'Control Room'!$B$14/4))^2),1)*IF(AND($A374&gt;='Control Room'!$A$15,$A374&lt;'Control Room'!$A$15+'Control Room'!$B$15,'Process'!BT4=1),1+('Control Room'!$C$15-1)*EXP(-0.5*(($A374-'Control Room'!$A$15-('Control Room'!$B$15-1)/2)/MAX(0.5,'Control Room'!$B$15/4))^2),1)*IF(AND($A374&gt;='Control Room'!$A$16,$A374&lt;'Control Room'!$A$16+'Control Room'!$B$16,'Process'!BT5=1),1+('Control Room'!$C$16-1)*EXP(-0.5*(($A374-'Control Room'!$A$16-('Control Room'!$B$16-1)/2)/MAX(0.5,'Control Room'!$B$16/4))^2),1)</x:f>
        <x:v>1</x:v>
      </x:c>
      <x:c r="AZ374" s="9" t="n">
        <x:f>MOD(BA373*16807,2147483647)</x:f>
        <x:v>2033100873</x:v>
      </x:c>
      <x:c r="BA374" s="9" t="n">
        <x:f>MOD(AZ374*16807,2147483647)</x:f>
        <x:v>1714065094</x:v>
      </x:c>
      <x:c r="BB374" s="17" t="n">
        <x:f>IF('Control Room'!$B$5="Normal",'Control Room'!$B$7+'Control Room'!$D$7*SQRT(-2*LN(MAX(0.000000000001,AZ374/2147483647)))*COS(2*PI()*BA374/2147483647),'Control Room'!$B$8+('Control Room'!$D$8-'Control Room'!$B$8)*AZ374/2147483647)</x:f>
        <x:v>1008.8761986578709</x:v>
      </x:c>
      <x:c r="BC374" s="17" t="n">
        <x:f>IF('Control Room'!$B$5="Normal",'Control Room'!$B$7,('Control Room'!$B$8+'Control Room'!$D$8)/2)+'Control Room'!$B$9*(BC373-IF('Control Room'!$B$5="Normal",'Control Room'!$B$7,('Control Room'!$B$8+'Control Room'!$D$8)/2))+SQRT(1-'Control Room'!$B$9^2)*(BB374-IF('Control Room'!$B$5="Normal",'Control Room'!$B$7,('Control Room'!$B$8+'Control Room'!$D$8)/2))</x:f>
        <x:v>998.690631322723</x:v>
      </x:c>
      <x:c r="BD374" s="17" t="n">
        <x:f>IF(AND($A374&gt;='Control Room'!$A$13,$A374&lt;'Control Room'!$A$13+'Control Room'!$B$13,'Process'!BU2=1),1+('Control Room'!$C$13-1)*EXP(-0.5*(($A374-'Control Room'!$A$13-('Control Room'!$B$13-1)/2)/MAX(0.5,'Control Room'!$B$13/4))^2),1)*IF(AND($A374&gt;='Control Room'!$A$14,$A374&lt;'Control Room'!$A$14+'Control Room'!$B$14,'Process'!BU3=1),1+('Control Room'!$C$14-1)*EXP(-0.5*(($A374-'Control Room'!$A$14-('Control Room'!$B$14-1)/2)/MAX(0.5,'Control Room'!$B$14/4))^2),1)*IF(AND($A374&gt;='Control Room'!$A$15,$A374&lt;'Control Room'!$A$15+'Control Room'!$B$15,'Process'!BU4=1),1+('Control Room'!$C$15-1)*EXP(-0.5*(($A374-'Control Room'!$A$15-('Control Room'!$B$15-1)/2)/MAX(0.5,'Control Room'!$B$15/4))^2),1)*IF(AND($A374&gt;='Control Room'!$A$16,$A374&lt;'Control Room'!$A$16+'Control Room'!$B$16,'Process'!BU5=1),1+('Control Room'!$C$16-1)*EXP(-0.5*(($A374-'Control Room'!$A$16-('Control Room'!$B$16-1)/2)/MAX(0.5,'Control Room'!$B$16/4))^2),1)</x:f>
        <x:v>1</x:v>
      </x:c>
      <x:c r="BE374" s="9" t="n">
        <x:f>MOD(BF373*16807,2147483647)</x:f>
        <x:v>821801091</x:v>
      </x:c>
      <x:c r="BF374" s="9" t="n">
        <x:f>MOD(BE374*16807,2147483647)</x:f>
        <x:v>1543602580</x:v>
      </x:c>
      <x:c r="BG374" s="17" t="n">
        <x:f>IF('Control Room'!$B$5="Normal",'Control Room'!$B$7+'Control Room'!$D$7*SQRT(-2*LN(MAX(0.000000000001,BE374/2147483647)))*COS(2*PI()*BF374/2147483647),'Control Room'!$B$8+('Control Room'!$D$8-'Control Room'!$B$8)*BE374/2147483647)</x:f>
        <x:v>975.6990636134111</x:v>
      </x:c>
      <x:c r="BH374" s="17" t="n">
        <x:f>IF('Control Room'!$B$5="Normal",'Control Room'!$B$7,('Control Room'!$B$8+'Control Room'!$D$8)/2)+'Control Room'!$B$9*(BH373-IF('Control Room'!$B$5="Normal",'Control Room'!$B$7,('Control Room'!$B$8+'Control Room'!$D$8)/2))+SQRT(1-'Control Room'!$B$9^2)*(BG374-IF('Control Room'!$B$5="Normal",'Control Room'!$B$7,('Control Room'!$B$8+'Control Room'!$D$8)/2))</x:f>
        <x:v>958.5343959220353</x:v>
      </x:c>
      <x:c r="BI374" s="17" t="n">
        <x:f>IF(AND($A374&gt;='Control Room'!$A$13,$A374&lt;'Control Room'!$A$13+'Control Room'!$B$13,'Process'!BV2=1),1+('Control Room'!$C$13-1)*EXP(-0.5*(($A374-'Control Room'!$A$13-('Control Room'!$B$13-1)/2)/MAX(0.5,'Control Room'!$B$13/4))^2),1)*IF(AND($A374&gt;='Control Room'!$A$14,$A374&lt;'Control Room'!$A$14+'Control Room'!$B$14,'Process'!BV3=1),1+('Control Room'!$C$14-1)*EXP(-0.5*(($A374-'Control Room'!$A$14-('Control Room'!$B$14-1)/2)/MAX(0.5,'Control Room'!$B$14/4))^2),1)*IF(AND($A374&gt;='Control Room'!$A$15,$A374&lt;'Control Room'!$A$15+'Control Room'!$B$15,'Process'!BV4=1),1+('Control Room'!$C$15-1)*EXP(-0.5*(($A374-'Control Room'!$A$15-('Control Room'!$B$15-1)/2)/MAX(0.5,'Control Room'!$B$15/4))^2),1)*IF(AND($A374&gt;='Control Room'!$A$16,$A374&lt;'Control Room'!$A$16+'Control Room'!$B$16,'Process'!BV5=1),1+('Control Room'!$C$16-1)*EXP(-0.5*(($A374-'Control Room'!$A$16-('Control Room'!$B$16-1)/2)/MAX(0.5,'Control Room'!$B$16/4))^2),1)</x:f>
        <x:v>1</x:v>
      </x:c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Z374" t="str">
        <x:f>IF('Data'!A374="","",TEXT('Data'!A374,"mm-dd"))</x:f>
      </x:c>
    </x:row>
    <x:row r="375" ht="21" customHeight="1">
      <x:c r="A375" s="15" t="n">
        <x:f>'Control Room'!$B$1+373</x:f>
        <x:v>73364</x:v>
      </x:c>
      <x:c r="B375" s="9" t="n">
        <x:f>MOD(C374*16807,2147483647)</x:f>
        <x:v>2001787353</x:v>
      </x:c>
      <x:c r="C375" s="9" t="n">
        <x:f>MOD(B375*16807,2147483647)</x:f>
        <x:v>1561227969</x:v>
      </x:c>
      <x:c r="D375" s="17" t="n">
        <x:f>IF('Control Room'!$B$5="Normal",'Control Room'!$B$7+'Control Room'!$D$7*SQRT(-2*LN(MAX(0.000000000001,B375/2147483647)))*COS(2*PI()*C375/2147483647),'Control Room'!$B$8+('Control Room'!$D$8-'Control Room'!$B$8)*B375/2147483647)</x:f>
        <x:v>995.1422975103296</x:v>
      </x:c>
      <x:c r="E375" s="17" t="n">
        <x:f>IF('Control Room'!$B$5="Normal",'Control Room'!$B$7,('Control Room'!$B$8+'Control Room'!$D$8)/2)+'Control Room'!$B$9*(E374-IF('Control Room'!$B$5="Normal",'Control Room'!$B$7,('Control Room'!$B$8+'Control Room'!$D$8)/2))+SQRT(1-'Control Room'!$B$9^2)*(D375-IF('Control Room'!$B$5="Normal",'Control Room'!$B$7,('Control Room'!$B$8+'Control Room'!$D$8)/2))</x:f>
        <x:v>928.3651131222205</x:v>
      </x:c>
      <x:c r="F375" s="17" t="n">
        <x:f>IF(AND($A375&gt;='Control Room'!$A$13,$A375&lt;'Control Room'!$A$13+'Control Room'!$B$13,'Process'!BK2=1),1+('Control Room'!$C$13-1)*EXP(-0.5*(($A375-'Control Room'!$A$13-('Control Room'!$B$13-1)/2)/MAX(0.5,'Control Room'!$B$13/4))^2),1)*IF(AND($A375&gt;='Control Room'!$A$14,$A375&lt;'Control Room'!$A$14+'Control Room'!$B$14,'Process'!BK3=1),1+('Control Room'!$C$14-1)*EXP(-0.5*(($A375-'Control Room'!$A$14-('Control Room'!$B$14-1)/2)/MAX(0.5,'Control Room'!$B$14/4))^2),1)*IF(AND($A375&gt;='Control Room'!$A$15,$A375&lt;'Control Room'!$A$15+'Control Room'!$B$15,'Process'!BK4=1),1+('Control Room'!$C$15-1)*EXP(-0.5*(($A375-'Control Room'!$A$15-('Control Room'!$B$15-1)/2)/MAX(0.5,'Control Room'!$B$15/4))^2),1)*IF(AND($A375&gt;='Control Room'!$A$16,$A375&lt;'Control Room'!$A$16+'Control Room'!$B$16,'Process'!BK5=1),1+('Control Room'!$C$16-1)*EXP(-0.5*(($A375-'Control Room'!$A$16-('Control Room'!$B$16-1)/2)/MAX(0.5,'Control Room'!$B$16/4))^2),1)</x:f>
        <x:v>1</x:v>
      </x:c>
      <x:c r="G375" s="9" t="n">
        <x:f>MOD(H374*16807,2147483647)</x:f>
        <x:v>1781499653</x:v>
      </x:c>
      <x:c r="H375" s="9" t="n">
        <x:f>MOD(G375*16807,2147483647)</x:f>
        <x:v>1447661497</x:v>
      </x:c>
      <x:c r="I375" s="17" t="n">
        <x:f>IF('Control Room'!$B$5="Normal",'Control Room'!$B$7+'Control Room'!$D$7*SQRT(-2*LN(MAX(0.000000000001,G375/2147483647)))*COS(2*PI()*H375/2147483647),'Control Room'!$B$8+('Control Room'!$D$8-'Control Room'!$B$8)*G375/2147483647)</x:f>
        <x:v>974.7522933292912</x:v>
      </x:c>
      <x:c r="J375" s="17" t="n">
        <x:f>IF('Control Room'!$B$5="Normal",'Control Room'!$B$7,('Control Room'!$B$8+'Control Room'!$D$8)/2)+'Control Room'!$B$9*(J374-IF('Control Room'!$B$5="Normal",'Control Room'!$B$7,('Control Room'!$B$8+'Control Room'!$D$8)/2))+SQRT(1-'Control Room'!$B$9^2)*(I375-IF('Control Room'!$B$5="Normal",'Control Room'!$B$7,('Control Room'!$B$8+'Control Room'!$D$8)/2))</x:f>
        <x:v>839.5006156474384</x:v>
      </x:c>
      <x:c r="K375" s="17" t="n">
        <x:f>IF(AND($A375&gt;='Control Room'!$A$13,$A375&lt;'Control Room'!$A$13+'Control Room'!$B$13,'Process'!BL2=1),1+('Control Room'!$C$13-1)*EXP(-0.5*(($A375-'Control Room'!$A$13-('Control Room'!$B$13-1)/2)/MAX(0.5,'Control Room'!$B$13/4))^2),1)*IF(AND($A375&gt;='Control Room'!$A$14,$A375&lt;'Control Room'!$A$14+'Control Room'!$B$14,'Process'!BL3=1),1+('Control Room'!$C$14-1)*EXP(-0.5*(($A375-'Control Room'!$A$14-('Control Room'!$B$14-1)/2)/MAX(0.5,'Control Room'!$B$14/4))^2),1)*IF(AND($A375&gt;='Control Room'!$A$15,$A375&lt;'Control Room'!$A$15+'Control Room'!$B$15,'Process'!BL4=1),1+('Control Room'!$C$15-1)*EXP(-0.5*(($A375-'Control Room'!$A$15-('Control Room'!$B$15-1)/2)/MAX(0.5,'Control Room'!$B$15/4))^2),1)*IF(AND($A375&gt;='Control Room'!$A$16,$A375&lt;'Control Room'!$A$16+'Control Room'!$B$16,'Process'!BL5=1),1+('Control Room'!$C$16-1)*EXP(-0.5*(($A375-'Control Room'!$A$16-('Control Room'!$B$16-1)/2)/MAX(0.5,'Control Room'!$B$16/4))^2),1)</x:f>
        <x:v>1</x:v>
      </x:c>
      <x:c r="L375" s="9" t="n">
        <x:f>MOD(M374*16807,2147483647)</x:f>
        <x:v>1561211953</x:v>
      </x:c>
      <x:c r="M375" s="9" t="n">
        <x:f>MOD(L375*16807,2147483647)</x:f>
        <x:v>1334095025</x:v>
      </x:c>
      <x:c r="N375" s="17" t="n">
        <x:f>IF('Control Room'!$B$5="Normal",'Control Room'!$B$7+'Control Room'!$D$7*SQRT(-2*LN(MAX(0.000000000001,L375/2147483647)))*COS(2*PI()*M375/2147483647),'Control Room'!$B$8+('Control Room'!$D$8-'Control Room'!$B$8)*L375/2147483647)</x:f>
        <x:v>947.993711808409</x:v>
      </x:c>
      <x:c r="O375" s="17" t="n">
        <x:f>IF('Control Room'!$B$5="Normal",'Control Room'!$B$7,('Control Room'!$B$8+'Control Room'!$D$8)/2)+'Control Room'!$B$9*(O374-IF('Control Room'!$B$5="Normal",'Control Room'!$B$7,('Control Room'!$B$8+'Control Room'!$D$8)/2))+SQRT(1-'Control Room'!$B$9^2)*(N375-IF('Control Room'!$B$5="Normal",'Control Room'!$B$7,('Control Room'!$B$8+'Control Room'!$D$8)/2))</x:f>
        <x:v>960.0333411655636</x:v>
      </x:c>
      <x:c r="P375" s="17" t="n">
        <x:f>IF(AND($A375&gt;='Control Room'!$A$13,$A375&lt;'Control Room'!$A$13+'Control Room'!$B$13,'Process'!BM2=1),1+('Control Room'!$C$13-1)*EXP(-0.5*(($A375-'Control Room'!$A$13-('Control Room'!$B$13-1)/2)/MAX(0.5,'Control Room'!$B$13/4))^2),1)*IF(AND($A375&gt;='Control Room'!$A$14,$A375&lt;'Control Room'!$A$14+'Control Room'!$B$14,'Process'!BM3=1),1+('Control Room'!$C$14-1)*EXP(-0.5*(($A375-'Control Room'!$A$14-('Control Room'!$B$14-1)/2)/MAX(0.5,'Control Room'!$B$14/4))^2),1)*IF(AND($A375&gt;='Control Room'!$A$15,$A375&lt;'Control Room'!$A$15+'Control Room'!$B$15,'Process'!BM4=1),1+('Control Room'!$C$15-1)*EXP(-0.5*(($A375-'Control Room'!$A$15-('Control Room'!$B$15-1)/2)/MAX(0.5,'Control Room'!$B$15/4))^2),1)*IF(AND($A375&gt;='Control Room'!$A$16,$A375&lt;'Control Room'!$A$16+'Control Room'!$B$16,'Process'!BM5=1),1+('Control Room'!$C$16-1)*EXP(-0.5*(($A375-'Control Room'!$A$16-('Control Room'!$B$16-1)/2)/MAX(0.5,'Control Room'!$B$16/4))^2),1)</x:f>
        <x:v>1</x:v>
      </x:c>
      <x:c r="Q375" s="9" t="n">
        <x:f>MOD(R374*16807,2147483647)</x:f>
        <x:v>1340924253</x:v>
      </x:c>
      <x:c r="R375" s="9" t="n">
        <x:f>MOD(Q375*16807,2147483647)</x:f>
        <x:v>1220528553</x:v>
      </x:c>
      <x:c r="S375" s="17" t="n">
        <x:f>IF('Control Room'!$B$5="Normal",'Control Room'!$B$7+'Control Room'!$D$7*SQRT(-2*LN(MAX(0.000000000001,Q375/2147483647)))*COS(2*PI()*R375/2147483647),'Control Room'!$B$8+('Control Room'!$D$8-'Control Room'!$B$8)*Q375/2147483647)</x:f>
        <x:v>920.5870299360687</x:v>
      </x:c>
      <x:c r="T375" s="17" t="n">
        <x:f>IF('Control Room'!$B$5="Normal",'Control Room'!$B$7,('Control Room'!$B$8+'Control Room'!$D$8)/2)+'Control Room'!$B$9*(T374-IF('Control Room'!$B$5="Normal",'Control Room'!$B$7,('Control Room'!$B$8+'Control Room'!$D$8)/2))+SQRT(1-'Control Room'!$B$9^2)*(S375-IF('Control Room'!$B$5="Normal",'Control Room'!$B$7,('Control Room'!$B$8+'Control Room'!$D$8)/2))</x:f>
        <x:v>1019.0178504150092</x:v>
      </x:c>
      <x:c r="U375" s="17" t="n">
        <x:f>IF(AND($A375&gt;='Control Room'!$A$13,$A375&lt;'Control Room'!$A$13+'Control Room'!$B$13,'Process'!BN2=1),1+('Control Room'!$C$13-1)*EXP(-0.5*(($A375-'Control Room'!$A$13-('Control Room'!$B$13-1)/2)/MAX(0.5,'Control Room'!$B$13/4))^2),1)*IF(AND($A375&gt;='Control Room'!$A$14,$A375&lt;'Control Room'!$A$14+'Control Room'!$B$14,'Process'!BN3=1),1+('Control Room'!$C$14-1)*EXP(-0.5*(($A375-'Control Room'!$A$14-('Control Room'!$B$14-1)/2)/MAX(0.5,'Control Room'!$B$14/4))^2),1)*IF(AND($A375&gt;='Control Room'!$A$15,$A375&lt;'Control Room'!$A$15+'Control Room'!$B$15,'Process'!BN4=1),1+('Control Room'!$C$15-1)*EXP(-0.5*(($A375-'Control Room'!$A$15-('Control Room'!$B$15-1)/2)/MAX(0.5,'Control Room'!$B$15/4))^2),1)*IF(AND($A375&gt;='Control Room'!$A$16,$A375&lt;'Control Room'!$A$16+'Control Room'!$B$16,'Process'!BN5=1),1+('Control Room'!$C$16-1)*EXP(-0.5*(($A375-'Control Room'!$A$16-('Control Room'!$B$16-1)/2)/MAX(0.5,'Control Room'!$B$16/4))^2),1)</x:f>
        <x:v>1</x:v>
      </x:c>
      <x:c r="V375" s="9" t="n">
        <x:f>MOD(W374*16807,2147483647)</x:f>
        <x:v>1120636553</x:v>
      </x:c>
      <x:c r="W375" s="9" t="n">
        <x:f>MOD(V375*16807,2147483647)</x:f>
        <x:v>1106962081</x:v>
      </x:c>
      <x:c r="X375" s="17" t="n">
        <x:f>IF('Control Room'!$B$5="Normal",'Control Room'!$B$7+'Control Room'!$D$7*SQRT(-2*LN(MAX(0.000000000001,V375/2147483647)))*COS(2*PI()*W375/2147483647),'Control Room'!$B$8+('Control Room'!$D$8-'Control Room'!$B$8)*V375/2147483647)</x:f>
        <x:v>897.8371382010828</x:v>
      </x:c>
      <x:c r="Y375" s="17" t="n">
        <x:f>IF('Control Room'!$B$5="Normal",'Control Room'!$B$7,('Control Room'!$B$8+'Control Room'!$D$8)/2)+'Control Room'!$B$9*(Y374-IF('Control Room'!$B$5="Normal",'Control Room'!$B$7,('Control Room'!$B$8+'Control Room'!$D$8)/2))+SQRT(1-'Control Room'!$B$9^2)*(X375-IF('Control Room'!$B$5="Normal",'Control Room'!$B$7,('Control Room'!$B$8+'Control Room'!$D$8)/2))</x:f>
        <x:v>935.1574265419162</x:v>
      </x:c>
      <x:c r="Z375" s="17" t="n">
        <x:f>IF(AND($A375&gt;='Control Room'!$A$13,$A375&lt;'Control Room'!$A$13+'Control Room'!$B$13,'Process'!BO2=1),1+('Control Room'!$C$13-1)*EXP(-0.5*(($A375-'Control Room'!$A$13-('Control Room'!$B$13-1)/2)/MAX(0.5,'Control Room'!$B$13/4))^2),1)*IF(AND($A375&gt;='Control Room'!$A$14,$A375&lt;'Control Room'!$A$14+'Control Room'!$B$14,'Process'!BO3=1),1+('Control Room'!$C$14-1)*EXP(-0.5*(($A375-'Control Room'!$A$14-('Control Room'!$B$14-1)/2)/MAX(0.5,'Control Room'!$B$14/4))^2),1)*IF(AND($A375&gt;='Control Room'!$A$15,$A375&lt;'Control Room'!$A$15+'Control Room'!$B$15,'Process'!BO4=1),1+('Control Room'!$C$15-1)*EXP(-0.5*(($A375-'Control Room'!$A$15-('Control Room'!$B$15-1)/2)/MAX(0.5,'Control Room'!$B$15/4))^2),1)*IF(AND($A375&gt;='Control Room'!$A$16,$A375&lt;'Control Room'!$A$16+'Control Room'!$B$16,'Process'!BO5=1),1+('Control Room'!$C$16-1)*EXP(-0.5*(($A375-'Control Room'!$A$16-('Control Room'!$B$16-1)/2)/MAX(0.5,'Control Room'!$B$16/4))^2),1)</x:f>
        <x:v>1</x:v>
      </x:c>
      <x:c r="AA375" s="9" t="n">
        <x:f>MOD(AB374*16807,2147483647)</x:f>
        <x:v>900348853</x:v>
      </x:c>
      <x:c r="AB375" s="9" t="n">
        <x:f>MOD(AA375*16807,2147483647)</x:f>
        <x:v>993395609</x:v>
      </x:c>
      <x:c r="AC375" s="17" t="n">
        <x:f>IF('Control Room'!$B$5="Normal",'Control Room'!$B$7+'Control Room'!$D$7*SQRT(-2*LN(MAX(0.000000000001,AA375/2147483647)))*COS(2*PI()*AB375/2147483647),'Control Room'!$B$8+('Control Room'!$D$8-'Control Room'!$B$8)*AA375/2147483647)</x:f>
        <x:v>884.5955657362352</x:v>
      </x:c>
      <x:c r="AD375" s="17" t="n">
        <x:f>IF('Control Room'!$B$5="Normal",'Control Room'!$B$7,('Control Room'!$B$8+'Control Room'!$D$8)/2)+'Control Room'!$B$9*(AD374-IF('Control Room'!$B$5="Normal",'Control Room'!$B$7,('Control Room'!$B$8+'Control Room'!$D$8)/2))+SQRT(1-'Control Room'!$B$9^2)*(AC375-IF('Control Room'!$B$5="Normal",'Control Room'!$B$7,('Control Room'!$B$8+'Control Room'!$D$8)/2))</x:f>
        <x:v>935.1025696591579</x:v>
      </x:c>
      <x:c r="AE375" s="17" t="n">
        <x:f>IF(AND($A375&gt;='Control Room'!$A$13,$A375&lt;'Control Room'!$A$13+'Control Room'!$B$13,'Process'!BP2=1),1+('Control Room'!$C$13-1)*EXP(-0.5*(($A375-'Control Room'!$A$13-('Control Room'!$B$13-1)/2)/MAX(0.5,'Control Room'!$B$13/4))^2),1)*IF(AND($A375&gt;='Control Room'!$A$14,$A375&lt;'Control Room'!$A$14+'Control Room'!$B$14,'Process'!BP3=1),1+('Control Room'!$C$14-1)*EXP(-0.5*(($A375-'Control Room'!$A$14-('Control Room'!$B$14-1)/2)/MAX(0.5,'Control Room'!$B$14/4))^2),1)*IF(AND($A375&gt;='Control Room'!$A$15,$A375&lt;'Control Room'!$A$15+'Control Room'!$B$15,'Process'!BP4=1),1+('Control Room'!$C$15-1)*EXP(-0.5*(($A375-'Control Room'!$A$15-('Control Room'!$B$15-1)/2)/MAX(0.5,'Control Room'!$B$15/4))^2),1)*IF(AND($A375&gt;='Control Room'!$A$16,$A375&lt;'Control Room'!$A$16+'Control Room'!$B$16,'Process'!BP5=1),1+('Control Room'!$C$16-1)*EXP(-0.5*(($A375-'Control Room'!$A$16-('Control Room'!$B$16-1)/2)/MAX(0.5,'Control Room'!$B$16/4))^2),1)</x:f>
        <x:v>1</x:v>
      </x:c>
      <x:c r="AF375" s="9" t="n">
        <x:f>MOD(AG374*16807,2147483647)</x:f>
        <x:v>680061153</x:v>
      </x:c>
      <x:c r="AG375" s="9" t="n">
        <x:f>MOD(AF375*16807,2147483647)</x:f>
        <x:v>879829137</x:v>
      </x:c>
      <x:c r="AH375" s="17" t="n">
        <x:f>IF('Control Room'!$B$5="Normal",'Control Room'!$B$7+'Control Room'!$D$7*SQRT(-2*LN(MAX(0.000000000001,AF375/2147483647)))*COS(2*PI()*AG375/2147483647),'Control Room'!$B$8+('Control Room'!$D$8-'Control Room'!$B$8)*AF375/2147483647)</x:f>
        <x:v>884.8997086231498</x:v>
      </x:c>
      <x:c r="AI375" s="17" t="n">
        <x:f>IF('Control Room'!$B$5="Normal",'Control Room'!$B$7,('Control Room'!$B$8+'Control Room'!$D$8)/2)+'Control Room'!$B$9*(AI374-IF('Control Room'!$B$5="Normal",'Control Room'!$B$7,('Control Room'!$B$8+'Control Room'!$D$8)/2))+SQRT(1-'Control Room'!$B$9^2)*(AH375-IF('Control Room'!$B$5="Normal",'Control Room'!$B$7,('Control Room'!$B$8+'Control Room'!$D$8)/2))</x:f>
        <x:v>939.6095468126241</x:v>
      </x:c>
      <x:c r="AJ375" s="17" t="n">
        <x:f>IF(AND($A375&gt;='Control Room'!$A$13,$A375&lt;'Control Room'!$A$13+'Control Room'!$B$13,'Process'!BQ2=1),1+('Control Room'!$C$13-1)*EXP(-0.5*(($A375-'Control Room'!$A$13-('Control Room'!$B$13-1)/2)/MAX(0.5,'Control Room'!$B$13/4))^2),1)*IF(AND($A375&gt;='Control Room'!$A$14,$A375&lt;'Control Room'!$A$14+'Control Room'!$B$14,'Process'!BQ3=1),1+('Control Room'!$C$14-1)*EXP(-0.5*(($A375-'Control Room'!$A$14-('Control Room'!$B$14-1)/2)/MAX(0.5,'Control Room'!$B$14/4))^2),1)*IF(AND($A375&gt;='Control Room'!$A$15,$A375&lt;'Control Room'!$A$15+'Control Room'!$B$15,'Process'!BQ4=1),1+('Control Room'!$C$15-1)*EXP(-0.5*(($A375-'Control Room'!$A$15-('Control Room'!$B$15-1)/2)/MAX(0.5,'Control Room'!$B$15/4))^2),1)*IF(AND($A375&gt;='Control Room'!$A$16,$A375&lt;'Control Room'!$A$16+'Control Room'!$B$16,'Process'!BQ5=1),1+('Control Room'!$C$16-1)*EXP(-0.5*(($A375-'Control Room'!$A$16-('Control Room'!$B$16-1)/2)/MAX(0.5,'Control Room'!$B$16/4))^2),1)</x:f>
        <x:v>1</x:v>
      </x:c>
      <x:c r="AK375" s="9" t="n">
        <x:f>MOD(AL374*16807,2147483647)</x:f>
        <x:v>459773453</x:v>
      </x:c>
      <x:c r="AL375" s="9" t="n">
        <x:f>MOD(AK375*16807,2147483647)</x:f>
        <x:v>766262665</x:v>
      </x:c>
      <x:c r="AM375" s="17" t="n">
        <x:f>IF('Control Room'!$B$5="Normal",'Control Room'!$B$7+'Control Room'!$D$7*SQRT(-2*LN(MAX(0.000000000001,AK375/2147483647)))*COS(2*PI()*AL375/2147483647),'Control Room'!$B$8+('Control Room'!$D$8-'Control Room'!$B$8)*AK375/2147483647)</x:f>
        <x:v>901.729752094097</x:v>
      </x:c>
      <x:c r="AN375" s="17" t="n">
        <x:f>IF('Control Room'!$B$5="Normal",'Control Room'!$B$7,('Control Room'!$B$8+'Control Room'!$D$8)/2)+'Control Room'!$B$9*(AN374-IF('Control Room'!$B$5="Normal",'Control Room'!$B$7,('Control Room'!$B$8+'Control Room'!$D$8)/2))+SQRT(1-'Control Room'!$B$9^2)*(AM375-IF('Control Room'!$B$5="Normal",'Control Room'!$B$7,('Control Room'!$B$8+'Control Room'!$D$8)/2))</x:f>
        <x:v>946.1406674939781</x:v>
      </x:c>
      <x:c r="AO375" s="17" t="n">
        <x:f>IF(AND($A375&gt;='Control Room'!$A$13,$A375&lt;'Control Room'!$A$13+'Control Room'!$B$13,'Process'!BR2=1),1+('Control Room'!$C$13-1)*EXP(-0.5*(($A375-'Control Room'!$A$13-('Control Room'!$B$13-1)/2)/MAX(0.5,'Control Room'!$B$13/4))^2),1)*IF(AND($A375&gt;='Control Room'!$A$14,$A375&lt;'Control Room'!$A$14+'Control Room'!$B$14,'Process'!BR3=1),1+('Control Room'!$C$14-1)*EXP(-0.5*(($A375-'Control Room'!$A$14-('Control Room'!$B$14-1)/2)/MAX(0.5,'Control Room'!$B$14/4))^2),1)*IF(AND($A375&gt;='Control Room'!$A$15,$A375&lt;'Control Room'!$A$15+'Control Room'!$B$15,'Process'!BR4=1),1+('Control Room'!$C$15-1)*EXP(-0.5*(($A375-'Control Room'!$A$15-('Control Room'!$B$15-1)/2)/MAX(0.5,'Control Room'!$B$15/4))^2),1)*IF(AND($A375&gt;='Control Room'!$A$16,$A375&lt;'Control Room'!$A$16+'Control Room'!$B$16,'Process'!BR5=1),1+('Control Room'!$C$16-1)*EXP(-0.5*(($A375-'Control Room'!$A$16-('Control Room'!$B$16-1)/2)/MAX(0.5,'Control Room'!$B$16/4))^2),1)</x:f>
        <x:v>1</x:v>
      </x:c>
      <x:c r="AP375" s="9" t="n">
        <x:f>MOD(AQ374*16807,2147483647)</x:f>
        <x:v>239485753</x:v>
      </x:c>
      <x:c r="AQ375" s="9" t="n">
        <x:f>MOD(AP375*16807,2147483647)</x:f>
        <x:v>652696193</x:v>
      </x:c>
      <x:c r="AR375" s="17" t="n">
        <x:f>IF('Control Room'!$B$5="Normal",'Control Room'!$B$7+'Control Room'!$D$7*SQRT(-2*LN(MAX(0.000000000001,AP375/2147483647)))*COS(2*PI()*AQ375/2147483647),'Control Room'!$B$8+('Control Room'!$D$8-'Control Room'!$B$8)*AP375/2147483647)</x:f>
        <x:v>937.3327360190069</x:v>
      </x:c>
      <x:c r="AS375" s="17" t="n">
        <x:f>IF('Control Room'!$B$5="Normal",'Control Room'!$B$7,('Control Room'!$B$8+'Control Room'!$D$8)/2)+'Control Room'!$B$9*(AS374-IF('Control Room'!$B$5="Normal",'Control Room'!$B$7,('Control Room'!$B$8+'Control Room'!$D$8)/2))+SQRT(1-'Control Room'!$B$9^2)*(AR375-IF('Control Room'!$B$5="Normal",'Control Room'!$B$7,('Control Room'!$B$8+'Control Room'!$D$8)/2))</x:f>
        <x:v>1041.5110853373678</x:v>
      </x:c>
      <x:c r="AT375" s="17" t="n">
        <x:f>IF(AND($A375&gt;='Control Room'!$A$13,$A375&lt;'Control Room'!$A$13+'Control Room'!$B$13,'Process'!BS2=1),1+('Control Room'!$C$13-1)*EXP(-0.5*(($A375-'Control Room'!$A$13-('Control Room'!$B$13-1)/2)/MAX(0.5,'Control Room'!$B$13/4))^2),1)*IF(AND($A375&gt;='Control Room'!$A$14,$A375&lt;'Control Room'!$A$14+'Control Room'!$B$14,'Process'!BS3=1),1+('Control Room'!$C$14-1)*EXP(-0.5*(($A375-'Control Room'!$A$14-('Control Room'!$B$14-1)/2)/MAX(0.5,'Control Room'!$B$14/4))^2),1)*IF(AND($A375&gt;='Control Room'!$A$15,$A375&lt;'Control Room'!$A$15+'Control Room'!$B$15,'Process'!BS4=1),1+('Control Room'!$C$15-1)*EXP(-0.5*(($A375-'Control Room'!$A$15-('Control Room'!$B$15-1)/2)/MAX(0.5,'Control Room'!$B$15/4))^2),1)*IF(AND($A375&gt;='Control Room'!$A$16,$A375&lt;'Control Room'!$A$16+'Control Room'!$B$16,'Process'!BS5=1),1+('Control Room'!$C$16-1)*EXP(-0.5*(($A375-'Control Room'!$A$16-('Control Room'!$B$16-1)/2)/MAX(0.5,'Control Room'!$B$16/4))^2),1)</x:f>
        <x:v>1</x:v>
      </x:c>
      <x:c r="AU375" s="9" t="n">
        <x:f>MOD(AV374*16807,2147483647)</x:f>
        <x:v>19198053</x:v>
      </x:c>
      <x:c r="AV375" s="9" t="n">
        <x:f>MOD(AU375*16807,2147483647)</x:f>
        <x:v>539129721</x:v>
      </x:c>
      <x:c r="AW375" s="17" t="n">
        <x:f>IF('Control Room'!$B$5="Normal",'Control Room'!$B$7+'Control Room'!$D$7*SQRT(-2*LN(MAX(0.000000000001,AU375/2147483647)))*COS(2*PI()*AV375/2147483647),'Control Room'!$B$8+('Control Room'!$D$8-'Control Room'!$B$8)*AU375/2147483647)</x:f>
        <x:v>998.173044208258</x:v>
      </x:c>
      <x:c r="AX375" s="17" t="n">
        <x:f>IF('Control Room'!$B$5="Normal",'Control Room'!$B$7,('Control Room'!$B$8+'Control Room'!$D$8)/2)+'Control Room'!$B$9*(AX374-IF('Control Room'!$B$5="Normal",'Control Room'!$B$7,('Control Room'!$B$8+'Control Room'!$D$8)/2))+SQRT(1-'Control Room'!$B$9^2)*(AW375-IF('Control Room'!$B$5="Normal",'Control Room'!$B$7,('Control Room'!$B$8+'Control Room'!$D$8)/2))</x:f>
        <x:v>1041.9390977915555</x:v>
      </x:c>
      <x:c r="AY375" s="17" t="n">
        <x:f>IF(AND($A375&gt;='Control Room'!$A$13,$A375&lt;'Control Room'!$A$13+'Control Room'!$B$13,'Process'!BT2=1),1+('Control Room'!$C$13-1)*EXP(-0.5*(($A375-'Control Room'!$A$13-('Control Room'!$B$13-1)/2)/MAX(0.5,'Control Room'!$B$13/4))^2),1)*IF(AND($A375&gt;='Control Room'!$A$14,$A375&lt;'Control Room'!$A$14+'Control Room'!$B$14,'Process'!BT3=1),1+('Control Room'!$C$14-1)*EXP(-0.5*(($A375-'Control Room'!$A$14-('Control Room'!$B$14-1)/2)/MAX(0.5,'Control Room'!$B$14/4))^2),1)*IF(AND($A375&gt;='Control Room'!$A$15,$A375&lt;'Control Room'!$A$15+'Control Room'!$B$15,'Process'!BT4=1),1+('Control Room'!$C$15-1)*EXP(-0.5*(($A375-'Control Room'!$A$15-('Control Room'!$B$15-1)/2)/MAX(0.5,'Control Room'!$B$15/4))^2),1)*IF(AND($A375&gt;='Control Room'!$A$16,$A375&lt;'Control Room'!$A$16+'Control Room'!$B$16,'Process'!BT5=1),1+('Control Room'!$C$16-1)*EXP(-0.5*(($A375-'Control Room'!$A$16-('Control Room'!$B$16-1)/2)/MAX(0.5,'Control Room'!$B$16/4))^2),1)</x:f>
        <x:v>1</x:v>
      </x:c>
      <x:c r="AZ375" s="9" t="n">
        <x:f>MOD(BA374*16807,2147483647)</x:f>
        <x:v>1946394000</x:v>
      </x:c>
      <x:c r="BA375" s="9" t="n">
        <x:f>MOD(AZ375*16807,2147483647)</x:f>
        <x:v>425563249</x:v>
      </x:c>
      <x:c r="BB375" s="17" t="n">
        <x:f>IF('Control Room'!$B$5="Normal",'Control Room'!$B$7+'Control Room'!$D$7*SQRT(-2*LN(MAX(0.000000000001,AZ375/2147483647)))*COS(2*PI()*BA375/2147483647),'Control Room'!$B$8+('Control Room'!$D$8-'Control Room'!$B$8)*AZ375/2147483647)</x:f>
        <x:v>1012.7686694321061</x:v>
      </x:c>
      <x:c r="BC375" s="17" t="n">
        <x:f>IF('Control Room'!$B$5="Normal",'Control Room'!$B$7,('Control Room'!$B$8+'Control Room'!$D$8)/2)+'Control Room'!$B$9*(BC374-IF('Control Room'!$B$5="Normal",'Control Room'!$B$7,('Control Room'!$B$8+'Control Room'!$D$8)/2))+SQRT(1-'Control Room'!$B$9^2)*(BB375-IF('Control Room'!$B$5="Normal",'Control Room'!$B$7,('Control Room'!$B$8+'Control Room'!$D$8)/2))</x:f>
        <x:v>1006.9690641819245</x:v>
      </x:c>
      <x:c r="BD375" s="17" t="n">
        <x:f>IF(AND($A375&gt;='Control Room'!$A$13,$A375&lt;'Control Room'!$A$13+'Control Room'!$B$13,'Process'!BU2=1),1+('Control Room'!$C$13-1)*EXP(-0.5*(($A375-'Control Room'!$A$13-('Control Room'!$B$13-1)/2)/MAX(0.5,'Control Room'!$B$13/4))^2),1)*IF(AND($A375&gt;='Control Room'!$A$14,$A375&lt;'Control Room'!$A$14+'Control Room'!$B$14,'Process'!BU3=1),1+('Control Room'!$C$14-1)*EXP(-0.5*(($A375-'Control Room'!$A$14-('Control Room'!$B$14-1)/2)/MAX(0.5,'Control Room'!$B$14/4))^2),1)*IF(AND($A375&gt;='Control Room'!$A$15,$A375&lt;'Control Room'!$A$15+'Control Room'!$B$15,'Process'!BU4=1),1+('Control Room'!$C$15-1)*EXP(-0.5*(($A375-'Control Room'!$A$15-('Control Room'!$B$15-1)/2)/MAX(0.5,'Control Room'!$B$15/4))^2),1)*IF(AND($A375&gt;='Control Room'!$A$16,$A375&lt;'Control Room'!$A$16+'Control Room'!$B$16,'Process'!BU5=1),1+('Control Room'!$C$16-1)*EXP(-0.5*(($A375-'Control Room'!$A$16-('Control Room'!$B$16-1)/2)/MAX(0.5,'Control Room'!$B$16/4))^2),1)</x:f>
        <x:v>1</x:v>
      </x:c>
      <x:c r="BE375" s="9" t="n">
        <x:f>MOD(BF374*16807,2147483647)</x:f>
        <x:v>1726106300</x:v>
      </x:c>
      <x:c r="BF375" s="9" t="n">
        <x:f>MOD(BE375*16807,2147483647)</x:f>
        <x:v>311996777</x:v>
      </x:c>
      <x:c r="BG375" s="17" t="n">
        <x:f>IF('Control Room'!$B$5="Normal",'Control Room'!$B$7+'Control Room'!$D$7*SQRT(-2*LN(MAX(0.000000000001,BE375/2147483647)))*COS(2*PI()*BF375/2147483647),'Control Room'!$B$8+('Control Room'!$D$8-'Control Room'!$B$8)*BE375/2147483647)</x:f>
        <x:v>1036.3750030082285</x:v>
      </x:c>
      <x:c r="BH375" s="17" t="n">
        <x:f>IF('Control Room'!$B$5="Normal",'Control Room'!$B$7,('Control Room'!$B$8+'Control Room'!$D$8)/2)+'Control Room'!$B$9*(BH374-IF('Control Room'!$B$5="Normal",'Control Room'!$B$7,('Control Room'!$B$8+'Control Room'!$D$8)/2))+SQRT(1-'Control Room'!$B$9^2)*(BG375-IF('Control Room'!$B$5="Normal",'Control Room'!$B$7,('Control Room'!$B$8+'Control Room'!$D$8)/2))</x:f>
        <x:v>990.4195605192959</x:v>
      </x:c>
      <x:c r="BI375" s="17" t="n">
        <x:f>IF(AND($A375&gt;='Control Room'!$A$13,$A375&lt;'Control Room'!$A$13+'Control Room'!$B$13,'Process'!BV2=1),1+('Control Room'!$C$13-1)*EXP(-0.5*(($A375-'Control Room'!$A$13-('Control Room'!$B$13-1)/2)/MAX(0.5,'Control Room'!$B$13/4))^2),1)*IF(AND($A375&gt;='Control Room'!$A$14,$A375&lt;'Control Room'!$A$14+'Control Room'!$B$14,'Process'!BV3=1),1+('Control Room'!$C$14-1)*EXP(-0.5*(($A375-'Control Room'!$A$14-('Control Room'!$B$14-1)/2)/MAX(0.5,'Control Room'!$B$14/4))^2),1)*IF(AND($A375&gt;='Control Room'!$A$15,$A375&lt;'Control Room'!$A$15+'Control Room'!$B$15,'Process'!BV4=1),1+('Control Room'!$C$15-1)*EXP(-0.5*(($A375-'Control Room'!$A$15-('Control Room'!$B$15-1)/2)/MAX(0.5,'Control Room'!$B$15/4))^2),1)*IF(AND($A375&gt;='Control Room'!$A$16,$A375&lt;'Control Room'!$A$16+'Control Room'!$B$16,'Process'!BV5=1),1+('Control Room'!$C$16-1)*EXP(-0.5*(($A375-'Control Room'!$A$16-('Control Room'!$B$16-1)/2)/MAX(0.5,'Control Room'!$B$16/4))^2),1)</x:f>
        <x:v>1</x:v>
      </x:c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Z375" t="str">
        <x:f>IF('Data'!A375="","",TEXT('Data'!A375,"mm-dd"))</x:f>
      </x:c>
    </x:row>
    <x:row r="376" ht="21" customHeight="1">
      <x:c r="A376" s="15" t="n">
        <x:f>'Control Room'!$B$1+374</x:f>
        <x:v>73365</x:v>
      </x:c>
      <x:c r="B376" s="9" t="n">
        <x:f>MOD(C375*16807,2147483647)</x:f>
        <x:v>1603275937</x:v>
      </x:c>
      <x:c r="C376" s="9" t="n">
        <x:f>MOD(B376*16807,2147483647)</x:f>
        <x:v>1781354250</x:v>
      </x:c>
      <x:c r="D376" s="17" t="n">
        <x:f>IF('Control Room'!$B$5="Normal",'Control Room'!$B$7+'Control Room'!$D$7*SQRT(-2*LN(MAX(0.000000000001,B376/2147483647)))*COS(2*PI()*C376/2147483647),'Control Room'!$B$8+('Control Room'!$D$8-'Control Room'!$B$8)*B376/2147483647)</x:f>
        <x:v>1032.96140011381</x:v>
      </x:c>
      <x:c r="E376" s="17" t="n">
        <x:f>IF('Control Room'!$B$5="Normal",'Control Room'!$B$7,('Control Room'!$B$8+'Control Room'!$D$8)/2)+'Control Room'!$B$9*(E375-IF('Control Room'!$B$5="Normal",'Control Room'!$B$7,('Control Room'!$B$8+'Control Room'!$D$8)/2))+SQRT(1-'Control Room'!$B$9^2)*(D376-IF('Control Room'!$B$5="Normal",'Control Room'!$B$7,('Control Room'!$B$8+'Control Room'!$D$8)/2))</x:f>
        <x:v>964.7513571755698</x:v>
      </x:c>
      <x:c r="F376" s="17" t="n">
        <x:f>IF(AND($A376&gt;='Control Room'!$A$13,$A376&lt;'Control Room'!$A$13+'Control Room'!$B$13,'Process'!BK2=1),1+('Control Room'!$C$13-1)*EXP(-0.5*(($A376-'Control Room'!$A$13-('Control Room'!$B$13-1)/2)/MAX(0.5,'Control Room'!$B$13/4))^2),1)*IF(AND($A376&gt;='Control Room'!$A$14,$A376&lt;'Control Room'!$A$14+'Control Room'!$B$14,'Process'!BK3=1),1+('Control Room'!$C$14-1)*EXP(-0.5*(($A376-'Control Room'!$A$14-('Control Room'!$B$14-1)/2)/MAX(0.5,'Control Room'!$B$14/4))^2),1)*IF(AND($A376&gt;='Control Room'!$A$15,$A376&lt;'Control Room'!$A$15+'Control Room'!$B$15,'Process'!BK4=1),1+('Control Room'!$C$15-1)*EXP(-0.5*(($A376-'Control Room'!$A$15-('Control Room'!$B$15-1)/2)/MAX(0.5,'Control Room'!$B$15/4))^2),1)*IF(AND($A376&gt;='Control Room'!$A$16,$A376&lt;'Control Room'!$A$16+'Control Room'!$B$16,'Process'!BK5=1),1+('Control Room'!$C$16-1)*EXP(-0.5*(($A376-'Control Room'!$A$16-('Control Room'!$B$16-1)/2)/MAX(0.5,'Control Room'!$B$16/4))^2),1)</x:f>
        <x:v>1</x:v>
      </x:c>
      <x:c r="G376" s="9" t="n">
        <x:f>MOD(H375*16807,2147483647)</x:f>
        <x:v>2004543216</x:v>
      </x:c>
      <x:c r="H376" s="9" t="n">
        <x:f>MOD(G376*16807,2147483647)</x:f>
        <x:v>634377176</x:v>
      </x:c>
      <x:c r="I376" s="17" t="n">
        <x:f>IF('Control Room'!$B$5="Normal",'Control Room'!$B$7+'Control Room'!$D$7*SQRT(-2*LN(MAX(0.000000000001,G376/2147483647)))*COS(2*PI()*H376/2147483647),'Control Room'!$B$8+('Control Room'!$D$8-'Control Room'!$B$8)*G376/2147483647)</x:f>
        <x:v>990.5988466956456</x:v>
      </x:c>
      <x:c r="J376" s="17" t="n">
        <x:f>IF('Control Room'!$B$5="Normal",'Control Room'!$B$7,('Control Room'!$B$8+'Control Room'!$D$8)/2)+'Control Room'!$B$9*(J375-IF('Control Room'!$B$5="Normal",'Control Room'!$B$7,('Control Room'!$B$8+'Control Room'!$D$8)/2))+SQRT(1-'Control Room'!$B$9^2)*(I376-IF('Control Room'!$B$5="Normal",'Control Room'!$B$7,('Control Room'!$B$8+'Control Room'!$D$8)/2))</x:f>
        <x:v>868.9274310602308</x:v>
      </x:c>
      <x:c r="K376" s="17" t="n">
        <x:f>IF(AND($A376&gt;='Control Room'!$A$13,$A376&lt;'Control Room'!$A$13+'Control Room'!$B$13,'Process'!BL2=1),1+('Control Room'!$C$13-1)*EXP(-0.5*(($A376-'Control Room'!$A$13-('Control Room'!$B$13-1)/2)/MAX(0.5,'Control Room'!$B$13/4))^2),1)*IF(AND($A376&gt;='Control Room'!$A$14,$A376&lt;'Control Room'!$A$14+'Control Room'!$B$14,'Process'!BL3=1),1+('Control Room'!$C$14-1)*EXP(-0.5*(($A376-'Control Room'!$A$14-('Control Room'!$B$14-1)/2)/MAX(0.5,'Control Room'!$B$14/4))^2),1)*IF(AND($A376&gt;='Control Room'!$A$15,$A376&lt;'Control Room'!$A$15+'Control Room'!$B$15,'Process'!BL4=1),1+('Control Room'!$C$15-1)*EXP(-0.5*(($A376-'Control Room'!$A$15-('Control Room'!$B$15-1)/2)/MAX(0.5,'Control Room'!$B$15/4))^2),1)*IF(AND($A376&gt;='Control Room'!$A$16,$A376&lt;'Control Room'!$A$16+'Control Room'!$B$16,'Process'!BL5=1),1+('Control Room'!$C$16-1)*EXP(-0.5*(($A376-'Control Room'!$A$16-('Control Room'!$B$16-1)/2)/MAX(0.5,'Control Room'!$B$16/4))^2),1)</x:f>
        <x:v>1</x:v>
      </x:c>
      <x:c r="L376" s="9" t="n">
        <x:f>MOD(M375*16807,2147483647)</x:f>
        <x:v>258326848</x:v>
      </x:c>
      <x:c r="M376" s="9" t="n">
        <x:f>MOD(L376*16807,2147483647)</x:f>
        <x:v>1634883749</x:v>
      </x:c>
      <x:c r="N376" s="17" t="n">
        <x:f>IF('Control Room'!$B$5="Normal",'Control Room'!$B$7+'Control Room'!$D$7*SQRT(-2*LN(MAX(0.000000000001,L376/2147483647)))*COS(2*PI()*M376/2147483647),'Control Room'!$B$8+('Control Room'!$D$8-'Control Room'!$B$8)*L376/2147483647)</x:f>
        <x:v>1013.1424257133143</x:v>
      </x:c>
      <x:c r="O376" s="17" t="n">
        <x:f>IF('Control Room'!$B$5="Normal",'Control Room'!$B$7,('Control Room'!$B$8+'Control Room'!$D$8)/2)+'Control Room'!$B$9*(O375-IF('Control Room'!$B$5="Normal",'Control Room'!$B$7,('Control Room'!$B$8+'Control Room'!$D$8)/2))+SQRT(1-'Control Room'!$B$9^2)*(N376-IF('Control Room'!$B$5="Normal",'Control Room'!$B$7,('Control Room'!$B$8+'Control Room'!$D$8)/2))</x:f>
        <x:v>977.0502668833066</x:v>
      </x:c>
      <x:c r="P376" s="17" t="n">
        <x:f>IF(AND($A376&gt;='Control Room'!$A$13,$A376&lt;'Control Room'!$A$13+'Control Room'!$B$13,'Process'!BM2=1),1+('Control Room'!$C$13-1)*EXP(-0.5*(($A376-'Control Room'!$A$13-('Control Room'!$B$13-1)/2)/MAX(0.5,'Control Room'!$B$13/4))^2),1)*IF(AND($A376&gt;='Control Room'!$A$14,$A376&lt;'Control Room'!$A$14+'Control Room'!$B$14,'Process'!BM3=1),1+('Control Room'!$C$14-1)*EXP(-0.5*(($A376-'Control Room'!$A$14-('Control Room'!$B$14-1)/2)/MAX(0.5,'Control Room'!$B$14/4))^2),1)*IF(AND($A376&gt;='Control Room'!$A$15,$A376&lt;'Control Room'!$A$15+'Control Room'!$B$15,'Process'!BM4=1),1+('Control Room'!$C$15-1)*EXP(-0.5*(($A376-'Control Room'!$A$15-('Control Room'!$B$15-1)/2)/MAX(0.5,'Control Room'!$B$15/4))^2),1)*IF(AND($A376&gt;='Control Room'!$A$16,$A376&lt;'Control Room'!$A$16+'Control Room'!$B$16,'Process'!BM5=1),1+('Control Room'!$C$16-1)*EXP(-0.5*(($A376-'Control Room'!$A$16-('Control Room'!$B$16-1)/2)/MAX(0.5,'Control Room'!$B$16/4))^2),1)</x:f>
        <x:v>1</x:v>
      </x:c>
      <x:c r="Q376" s="9" t="n">
        <x:f>MOD(R375*16807,2147483647)</x:f>
        <x:v>659594127</x:v>
      </x:c>
      <x:c r="R376" s="9" t="n">
        <x:f>MOD(Q376*16807,2147483647)</x:f>
        <x:v>487906675</x:v>
      </x:c>
      <x:c r="S376" s="17" t="n">
        <x:f>IF('Control Room'!$B$5="Normal",'Control Room'!$B$7+'Control Room'!$D$7*SQRT(-2*LN(MAX(0.000000000001,Q376/2147483647)))*COS(2*PI()*R376/2147483647),'Control Room'!$B$8+('Control Room'!$D$8-'Control Room'!$B$8)*Q376/2147483647)</x:f>
        <x:v>1019.7432911921313</x:v>
      </x:c>
      <x:c r="T376" s="17" t="n">
        <x:f>IF('Control Room'!$B$5="Normal",'Control Room'!$B$7,('Control Room'!$B$8+'Control Room'!$D$8)/2)+'Control Room'!$B$9*(T375-IF('Control Room'!$B$5="Normal",'Control Room'!$B$7,('Control Room'!$B$8+'Control Room'!$D$8)/2))+SQRT(1-'Control Room'!$B$9^2)*(S376-IF('Control Room'!$B$5="Normal",'Control Room'!$B$7,('Control Room'!$B$8+'Control Room'!$D$8)/2))</x:f>
        <x:v>1027.1888704884384</x:v>
      </x:c>
      <x:c r="U376" s="17" t="n">
        <x:f>IF(AND($A376&gt;='Control Room'!$A$13,$A376&lt;'Control Room'!$A$13+'Control Room'!$B$13,'Process'!BN2=1),1+('Control Room'!$C$13-1)*EXP(-0.5*(($A376-'Control Room'!$A$13-('Control Room'!$B$13-1)/2)/MAX(0.5,'Control Room'!$B$13/4))^2),1)*IF(AND($A376&gt;='Control Room'!$A$14,$A376&lt;'Control Room'!$A$14+'Control Room'!$B$14,'Process'!BN3=1),1+('Control Room'!$C$14-1)*EXP(-0.5*(($A376-'Control Room'!$A$14-('Control Room'!$B$14-1)/2)/MAX(0.5,'Control Room'!$B$14/4))^2),1)*IF(AND($A376&gt;='Control Room'!$A$15,$A376&lt;'Control Room'!$A$15+'Control Room'!$B$15,'Process'!BN4=1),1+('Control Room'!$C$15-1)*EXP(-0.5*(($A376-'Control Room'!$A$15-('Control Room'!$B$15-1)/2)/MAX(0.5,'Control Room'!$B$15/4))^2),1)*IF(AND($A376&gt;='Control Room'!$A$16,$A376&lt;'Control Room'!$A$16+'Control Room'!$B$16,'Process'!BN5=1),1+('Control Room'!$C$16-1)*EXP(-0.5*(($A376-'Control Room'!$A$16-('Control Room'!$B$16-1)/2)/MAX(0.5,'Control Room'!$B$16/4))^2),1)</x:f>
        <x:v>1</x:v>
      </x:c>
      <x:c r="V376" s="9" t="n">
        <x:f>MOD(W375*16807,2147483647)</x:f>
        <x:v>1060861406</x:v>
      </x:c>
      <x:c r="W376" s="9" t="n">
        <x:f>MOD(V376*16807,2147483647)</x:f>
        <x:v>1488413248</x:v>
      </x:c>
      <x:c r="X376" s="17" t="n">
        <x:f>IF('Control Room'!$B$5="Normal",'Control Room'!$B$7+'Control Room'!$D$7*SQRT(-2*LN(MAX(0.000000000001,V376/2147483647)))*COS(2*PI()*W376/2147483647),'Control Room'!$B$8+('Control Room'!$D$8-'Control Room'!$B$8)*V376/2147483647)</x:f>
        <x:v>962.5936521654313</x:v>
      </x:c>
      <x:c r="Y376" s="17" t="n">
        <x:f>IF('Control Room'!$B$5="Normal",'Control Room'!$B$7,('Control Room'!$B$8+'Control Room'!$D$8)/2)+'Control Room'!$B$9*(Y375-IF('Control Room'!$B$5="Normal",'Control Room'!$B$7,('Control Room'!$B$8+'Control Room'!$D$8)/2))+SQRT(1-'Control Room'!$B$9^2)*(X376-IF('Control Room'!$B$5="Normal",'Control Room'!$B$7,('Control Room'!$B$8+'Control Room'!$D$8)/2))</x:f>
        <x:v>926.0146665385096</x:v>
      </x:c>
      <x:c r="Z376" s="17" t="n">
        <x:f>IF(AND($A376&gt;='Control Room'!$A$13,$A376&lt;'Control Room'!$A$13+'Control Room'!$B$13,'Process'!BO2=1),1+('Control Room'!$C$13-1)*EXP(-0.5*(($A376-'Control Room'!$A$13-('Control Room'!$B$13-1)/2)/MAX(0.5,'Control Room'!$B$13/4))^2),1)*IF(AND($A376&gt;='Control Room'!$A$14,$A376&lt;'Control Room'!$A$14+'Control Room'!$B$14,'Process'!BO3=1),1+('Control Room'!$C$14-1)*EXP(-0.5*(($A376-'Control Room'!$A$14-('Control Room'!$B$14-1)/2)/MAX(0.5,'Control Room'!$B$14/4))^2),1)*IF(AND($A376&gt;='Control Room'!$A$15,$A376&lt;'Control Room'!$A$15+'Control Room'!$B$15,'Process'!BO4=1),1+('Control Room'!$C$15-1)*EXP(-0.5*(($A376-'Control Room'!$A$15-('Control Room'!$B$15-1)/2)/MAX(0.5,'Control Room'!$B$15/4))^2),1)*IF(AND($A376&gt;='Control Room'!$A$16,$A376&lt;'Control Room'!$A$16+'Control Room'!$B$16,'Process'!BO5=1),1+('Control Room'!$C$16-1)*EXP(-0.5*(($A376-'Control Room'!$A$16-('Control Room'!$B$16-1)/2)/MAX(0.5,'Control Room'!$B$16/4))^2),1)</x:f>
        <x:v>1</x:v>
      </x:c>
      <x:c r="AA376" s="9" t="n">
        <x:f>MOD(AB375*16807,2147483647)</x:f>
        <x:v>1462128685</x:v>
      </x:c>
      <x:c r="AB376" s="9" t="n">
        <x:f>MOD(AA376*16807,2147483647)</x:f>
        <x:v>341436174</x:v>
      </x:c>
      <x:c r="AC376" s="17" t="n">
        <x:f>IF('Control Room'!$B$5="Normal",'Control Room'!$B$7+'Control Room'!$D$7*SQRT(-2*LN(MAX(0.000000000001,AA376/2147483647)))*COS(2*PI()*AB376/2147483647),'Control Room'!$B$8+('Control Room'!$D$8-'Control Room'!$B$8)*AA376/2147483647)</x:f>
        <x:v>1042.7044174789912</x:v>
      </x:c>
      <x:c r="AD376" s="17" t="n">
        <x:f>IF('Control Room'!$B$5="Normal",'Control Room'!$B$7,('Control Room'!$B$8+'Control Room'!$D$8)/2)+'Control Room'!$B$9*(AD375-IF('Control Room'!$B$5="Normal",'Control Room'!$B$7,('Control Room'!$B$8+'Control Room'!$D$8)/2))+SQRT(1-'Control Room'!$B$9^2)*(AC376-IF('Control Room'!$B$5="Normal",'Control Room'!$B$7,('Control Room'!$B$8+'Control Room'!$D$8)/2))</x:f>
        <x:v>976.1035539449515</x:v>
      </x:c>
      <x:c r="AE376" s="17" t="n">
        <x:f>IF(AND($A376&gt;='Control Room'!$A$13,$A376&lt;'Control Room'!$A$13+'Control Room'!$B$13,'Process'!BP2=1),1+('Control Room'!$C$13-1)*EXP(-0.5*(($A376-'Control Room'!$A$13-('Control Room'!$B$13-1)/2)/MAX(0.5,'Control Room'!$B$13/4))^2),1)*IF(AND($A376&gt;='Control Room'!$A$14,$A376&lt;'Control Room'!$A$14+'Control Room'!$B$14,'Process'!BP3=1),1+('Control Room'!$C$14-1)*EXP(-0.5*(($A376-'Control Room'!$A$14-('Control Room'!$B$14-1)/2)/MAX(0.5,'Control Room'!$B$14/4))^2),1)*IF(AND($A376&gt;='Control Room'!$A$15,$A376&lt;'Control Room'!$A$15+'Control Room'!$B$15,'Process'!BP4=1),1+('Control Room'!$C$15-1)*EXP(-0.5*(($A376-'Control Room'!$A$15-('Control Room'!$B$15-1)/2)/MAX(0.5,'Control Room'!$B$15/4))^2),1)*IF(AND($A376&gt;='Control Room'!$A$16,$A376&lt;'Control Room'!$A$16+'Control Room'!$B$16,'Process'!BP5=1),1+('Control Room'!$C$16-1)*EXP(-0.5*(($A376-'Control Room'!$A$16-('Control Room'!$B$16-1)/2)/MAX(0.5,'Control Room'!$B$16/4))^2),1)</x:f>
        <x:v>1</x:v>
      </x:c>
      <x:c r="AF376" s="9" t="n">
        <x:f>MOD(AG375*16807,2147483647)</x:f>
        <x:v>1863395964</x:v>
      </x:c>
      <x:c r="AG376" s="9" t="n">
        <x:f>MOD(AF376*16807,2147483647)</x:f>
        <x:v>1341942747</x:v>
      </x:c>
      <x:c r="AH376" s="17" t="n">
        <x:f>IF('Control Room'!$B$5="Normal",'Control Room'!$B$7+'Control Room'!$D$7*SQRT(-2*LN(MAX(0.000000000001,AF376/2147483647)))*COS(2*PI()*AG376/2147483647),'Control Room'!$B$8+('Control Room'!$D$8-'Control Room'!$B$8)*AF376/2147483647)</x:f>
        <x:v>966.0745493633418</x:v>
      </x:c>
      <x:c r="AI376" s="17" t="n">
        <x:f>IF('Control Room'!$B$5="Normal",'Control Room'!$B$7,('Control Room'!$B$8+'Control Room'!$D$8)/2)+'Control Room'!$B$9*(AI375-IF('Control Room'!$B$5="Normal",'Control Room'!$B$7,('Control Room'!$B$8+'Control Room'!$D$8)/2))+SQRT(1-'Control Room'!$B$9^2)*(AH376-IF('Control Room'!$B$5="Normal",'Control Room'!$B$7,('Control Room'!$B$8+'Control Room'!$D$8)/2))</x:f>
        <x:v>931.665594506059</x:v>
      </x:c>
      <x:c r="AJ376" s="17" t="n">
        <x:f>IF(AND($A376&gt;='Control Room'!$A$13,$A376&lt;'Control Room'!$A$13+'Control Room'!$B$13,'Process'!BQ2=1),1+('Control Room'!$C$13-1)*EXP(-0.5*(($A376-'Control Room'!$A$13-('Control Room'!$B$13-1)/2)/MAX(0.5,'Control Room'!$B$13/4))^2),1)*IF(AND($A376&gt;='Control Room'!$A$14,$A376&lt;'Control Room'!$A$14+'Control Room'!$B$14,'Process'!BQ3=1),1+('Control Room'!$C$14-1)*EXP(-0.5*(($A376-'Control Room'!$A$14-('Control Room'!$B$14-1)/2)/MAX(0.5,'Control Room'!$B$14/4))^2),1)*IF(AND($A376&gt;='Control Room'!$A$15,$A376&lt;'Control Room'!$A$15+'Control Room'!$B$15,'Process'!BQ4=1),1+('Control Room'!$C$15-1)*EXP(-0.5*(($A376-'Control Room'!$A$15-('Control Room'!$B$15-1)/2)/MAX(0.5,'Control Room'!$B$15/4))^2),1)*IF(AND($A376&gt;='Control Room'!$A$16,$A376&lt;'Control Room'!$A$16+'Control Room'!$B$16,'Process'!BQ5=1),1+('Control Room'!$C$16-1)*EXP(-0.5*(($A376-'Control Room'!$A$16-('Control Room'!$B$16-1)/2)/MAX(0.5,'Control Room'!$B$16/4))^2),1)</x:f>
        <x:v>1</x:v>
      </x:c>
      <x:c r="AK376" s="9" t="n">
        <x:f>MOD(AL375*16807,2147483647)</x:f>
        <x:v>117179596</x:v>
      </x:c>
      <x:c r="AL376" s="9" t="n">
        <x:f>MOD(AK376*16807,2147483647)</x:f>
        <x:v>194965673</x:v>
      </x:c>
      <x:c r="AM376" s="17" t="n">
        <x:f>IF('Control Room'!$B$5="Normal",'Control Room'!$B$7+'Control Room'!$D$7*SQRT(-2*LN(MAX(0.000000000001,AK376/2147483647)))*COS(2*PI()*AL376/2147483647),'Control Room'!$B$8+('Control Room'!$D$8-'Control Room'!$B$8)*AK376/2147483647)</x:f>
        <x:v>1182.6920081510034</x:v>
      </x:c>
      <x:c r="AN376" s="17" t="n">
        <x:f>IF('Control Room'!$B$5="Normal",'Control Room'!$B$7,('Control Room'!$B$8+'Control Room'!$D$8)/2)+'Control Room'!$B$9*(AN375-IF('Control Room'!$B$5="Normal",'Control Room'!$B$7,('Control Room'!$B$8+'Control Room'!$D$8)/2))+SQRT(1-'Control Room'!$B$9^2)*(AM376-IF('Control Room'!$B$5="Normal",'Control Room'!$B$7,('Control Room'!$B$8+'Control Room'!$D$8)/2))</x:f>
        <x:v>1072.3146366969827</x:v>
      </x:c>
      <x:c r="AO376" s="17" t="n">
        <x:f>IF(AND($A376&gt;='Control Room'!$A$13,$A376&lt;'Control Room'!$A$13+'Control Room'!$B$13,'Process'!BR2=1),1+('Control Room'!$C$13-1)*EXP(-0.5*(($A376-'Control Room'!$A$13-('Control Room'!$B$13-1)/2)/MAX(0.5,'Control Room'!$B$13/4))^2),1)*IF(AND($A376&gt;='Control Room'!$A$14,$A376&lt;'Control Room'!$A$14+'Control Room'!$B$14,'Process'!BR3=1),1+('Control Room'!$C$14-1)*EXP(-0.5*(($A376-'Control Room'!$A$14-('Control Room'!$B$14-1)/2)/MAX(0.5,'Control Room'!$B$14/4))^2),1)*IF(AND($A376&gt;='Control Room'!$A$15,$A376&lt;'Control Room'!$A$15+'Control Room'!$B$15,'Process'!BR4=1),1+('Control Room'!$C$15-1)*EXP(-0.5*(($A376-'Control Room'!$A$15-('Control Room'!$B$15-1)/2)/MAX(0.5,'Control Room'!$B$15/4))^2),1)*IF(AND($A376&gt;='Control Room'!$A$16,$A376&lt;'Control Room'!$A$16+'Control Room'!$B$16,'Process'!BR5=1),1+('Control Room'!$C$16-1)*EXP(-0.5*(($A376-'Control Room'!$A$16-('Control Room'!$B$16-1)/2)/MAX(0.5,'Control Room'!$B$16/4))^2),1)</x:f>
        <x:v>1</x:v>
      </x:c>
      <x:c r="AP376" s="9" t="n">
        <x:f>MOD(AQ375*16807,2147483647)</x:f>
        <x:v>518446875</x:v>
      </x:c>
      <x:c r="AQ376" s="9" t="n">
        <x:f>MOD(AP376*16807,2147483647)</x:f>
        <x:v>1195472246</x:v>
      </x:c>
      <x:c r="AR376" s="17" t="n">
        <x:f>IF('Control Room'!$B$5="Normal",'Control Room'!$B$7+'Control Room'!$D$7*SQRT(-2*LN(MAX(0.000000000001,AP376/2147483647)))*COS(2*PI()*AQ376/2147483647),'Control Room'!$B$8+('Control Room'!$D$8-'Control Room'!$B$8)*AP376/2147483647)</x:f>
        <x:v>857.7871517580894</x:v>
      </x:c>
      <x:c r="AS376" s="17" t="n">
        <x:f>IF('Control Room'!$B$5="Normal",'Control Room'!$B$7,('Control Room'!$B$8+'Control Room'!$D$8)/2)+'Control Room'!$B$9*(AS375-IF('Control Room'!$B$5="Normal",'Control Room'!$B$7,('Control Room'!$B$8+'Control Room'!$D$8)/2))+SQRT(1-'Control Room'!$B$9^2)*(AR376-IF('Control Room'!$B$5="Normal",'Control Room'!$B$7,('Control Room'!$B$8+'Control Room'!$D$8)/2))</x:f>
        <x:v>943.3847595219123</x:v>
      </x:c>
      <x:c r="AT376" s="17" t="n">
        <x:f>IF(AND($A376&gt;='Control Room'!$A$13,$A376&lt;'Control Room'!$A$13+'Control Room'!$B$13,'Process'!BS2=1),1+('Control Room'!$C$13-1)*EXP(-0.5*(($A376-'Control Room'!$A$13-('Control Room'!$B$13-1)/2)/MAX(0.5,'Control Room'!$B$13/4))^2),1)*IF(AND($A376&gt;='Control Room'!$A$14,$A376&lt;'Control Room'!$A$14+'Control Room'!$B$14,'Process'!BS3=1),1+('Control Room'!$C$14-1)*EXP(-0.5*(($A376-'Control Room'!$A$14-('Control Room'!$B$14-1)/2)/MAX(0.5,'Control Room'!$B$14/4))^2),1)*IF(AND($A376&gt;='Control Room'!$A$15,$A376&lt;'Control Room'!$A$15+'Control Room'!$B$15,'Process'!BS4=1),1+('Control Room'!$C$15-1)*EXP(-0.5*(($A376-'Control Room'!$A$15-('Control Room'!$B$15-1)/2)/MAX(0.5,'Control Room'!$B$15/4))^2),1)*IF(AND($A376&gt;='Control Room'!$A$16,$A376&lt;'Control Room'!$A$16+'Control Room'!$B$16,'Process'!BS5=1),1+('Control Room'!$C$16-1)*EXP(-0.5*(($A376-'Control Room'!$A$16-('Control Room'!$B$16-1)/2)/MAX(0.5,'Control Room'!$B$16/4))^2),1)</x:f>
        <x:v>1</x:v>
      </x:c>
      <x:c r="AU376" s="9" t="n">
        <x:f>MOD(AV375*16807,2147483647)</x:f>
        <x:v>919714154</x:v>
      </x:c>
      <x:c r="AV376" s="9" t="n">
        <x:f>MOD(AU376*16807,2147483647)</x:f>
        <x:v>48495172</x:v>
      </x:c>
      <x:c r="AW376" s="17" t="n">
        <x:f>IF('Control Room'!$B$5="Normal",'Control Room'!$B$7+'Control Room'!$D$7*SQRT(-2*LN(MAX(0.000000000001,AU376/2147483647)))*COS(2*PI()*AV376/2147483647),'Control Room'!$B$8+('Control Room'!$D$8-'Control Room'!$B$8)*AU376/2147483647)</x:f>
        <x:v>1116.0289038008825</x:v>
      </x:c>
      <x:c r="AX376" s="17" t="n">
        <x:f>IF('Control Room'!$B$5="Normal",'Control Room'!$B$7,('Control Room'!$B$8+'Control Room'!$D$8)/2)+'Control Room'!$B$9*(AX375-IF('Control Room'!$B$5="Normal",'Control Room'!$B$7,('Control Room'!$B$8+'Control Room'!$D$8)/2))+SQRT(1-'Control Room'!$B$9^2)*(AW376-IF('Control Room'!$B$5="Normal",'Control Room'!$B$7,('Control Room'!$B$8+'Control Room'!$D$8)/2))</x:f>
        <x:v>1105.3210072947109</x:v>
      </x:c>
      <x:c r="AY376" s="17" t="n">
        <x:f>IF(AND($A376&gt;='Control Room'!$A$13,$A376&lt;'Control Room'!$A$13+'Control Room'!$B$13,'Process'!BT2=1),1+('Control Room'!$C$13-1)*EXP(-0.5*(($A376-'Control Room'!$A$13-('Control Room'!$B$13-1)/2)/MAX(0.5,'Control Room'!$B$13/4))^2),1)*IF(AND($A376&gt;='Control Room'!$A$14,$A376&lt;'Control Room'!$A$14+'Control Room'!$B$14,'Process'!BT3=1),1+('Control Room'!$C$14-1)*EXP(-0.5*(($A376-'Control Room'!$A$14-('Control Room'!$B$14-1)/2)/MAX(0.5,'Control Room'!$B$14/4))^2),1)*IF(AND($A376&gt;='Control Room'!$A$15,$A376&lt;'Control Room'!$A$15+'Control Room'!$B$15,'Process'!BT4=1),1+('Control Room'!$C$15-1)*EXP(-0.5*(($A376-'Control Room'!$A$15-('Control Room'!$B$15-1)/2)/MAX(0.5,'Control Room'!$B$15/4))^2),1)*IF(AND($A376&gt;='Control Room'!$A$16,$A376&lt;'Control Room'!$A$16+'Control Room'!$B$16,'Process'!BT5=1),1+('Control Room'!$C$16-1)*EXP(-0.5*(($A376-'Control Room'!$A$16-('Control Room'!$B$16-1)/2)/MAX(0.5,'Control Room'!$B$16/4))^2),1)</x:f>
        <x:v>1</x:v>
      </x:c>
      <x:c r="AZ376" s="9" t="n">
        <x:f>MOD(BA375*16807,2147483647)</x:f>
        <x:v>1320981433</x:v>
      </x:c>
      <x:c r="BA376" s="9" t="n">
        <x:f>MOD(AZ376*16807,2147483647)</x:f>
        <x:v>1049001745</x:v>
      </x:c>
      <x:c r="BB376" s="17" t="n">
        <x:f>IF('Control Room'!$B$5="Normal",'Control Room'!$B$7+'Control Room'!$D$7*SQRT(-2*LN(MAX(0.000000000001,AZ376/2147483647)))*COS(2*PI()*BA376/2147483647),'Control Room'!$B$8+('Control Room'!$D$8-'Control Room'!$B$8)*AZ376/2147483647)</x:f>
        <x:v>911.5084251437257</x:v>
      </x:c>
      <x:c r="BC376" s="17" t="n">
        <x:f>IF('Control Room'!$B$5="Normal",'Control Room'!$B$7,('Control Room'!$B$8+'Control Room'!$D$8)/2)+'Control Room'!$B$9*(BC375-IF('Control Room'!$B$5="Normal",'Control Room'!$B$7,('Control Room'!$B$8+'Control Room'!$D$8)/2))+SQRT(1-'Control Room'!$B$9^2)*(BB376-IF('Control Room'!$B$5="Normal",'Control Room'!$B$7,('Control Room'!$B$8+'Control Room'!$D$8)/2))</x:f>
        <x:v>950.0596553652928</x:v>
      </x:c>
      <x:c r="BD376" s="17" t="n">
        <x:f>IF(AND($A376&gt;='Control Room'!$A$13,$A376&lt;'Control Room'!$A$13+'Control Room'!$B$13,'Process'!BU2=1),1+('Control Room'!$C$13-1)*EXP(-0.5*(($A376-'Control Room'!$A$13-('Control Room'!$B$13-1)/2)/MAX(0.5,'Control Room'!$B$13/4))^2),1)*IF(AND($A376&gt;='Control Room'!$A$14,$A376&lt;'Control Room'!$A$14+'Control Room'!$B$14,'Process'!BU3=1),1+('Control Room'!$C$14-1)*EXP(-0.5*(($A376-'Control Room'!$A$14-('Control Room'!$B$14-1)/2)/MAX(0.5,'Control Room'!$B$14/4))^2),1)*IF(AND($A376&gt;='Control Room'!$A$15,$A376&lt;'Control Room'!$A$15+'Control Room'!$B$15,'Process'!BU4=1),1+('Control Room'!$C$15-1)*EXP(-0.5*(($A376-'Control Room'!$A$15-('Control Room'!$B$15-1)/2)/MAX(0.5,'Control Room'!$B$15/4))^2),1)*IF(AND($A376&gt;='Control Room'!$A$16,$A376&lt;'Control Room'!$A$16+'Control Room'!$B$16,'Process'!BU5=1),1+('Control Room'!$C$16-1)*EXP(-0.5*(($A376-'Control Room'!$A$16-('Control Room'!$B$16-1)/2)/MAX(0.5,'Control Room'!$B$16/4))^2),1)</x:f>
        <x:v>1</x:v>
      </x:c>
      <x:c r="BE376" s="9" t="n">
        <x:f>MOD(BF375*16807,2147483647)</x:f>
        <x:v>1722248712</x:v>
      </x:c>
      <x:c r="BF376" s="9" t="n">
        <x:f>MOD(BE376*16807,2147483647)</x:f>
        <x:v>2049508318</x:v>
      </x:c>
      <x:c r="BG376" s="17" t="n">
        <x:f>IF('Control Room'!$B$5="Normal",'Control Room'!$B$7+'Control Room'!$D$7*SQRT(-2*LN(MAX(0.000000000001,BE376/2147483647)))*COS(2*PI()*BF376/2147483647),'Control Room'!$B$8+('Control Room'!$D$8-'Control Room'!$B$8)*BE376/2147483647)</x:f>
        <x:v>1057.3497407804184</x:v>
      </x:c>
      <x:c r="BH376" s="17" t="n">
        <x:f>IF('Control Room'!$B$5="Normal",'Control Room'!$B$7,('Control Room'!$B$8+'Control Room'!$D$8)/2)+'Control Room'!$B$9*(BH375-IF('Control Room'!$B$5="Normal",'Control Room'!$B$7,('Control Room'!$B$8+'Control Room'!$D$8)/2))+SQRT(1-'Control Room'!$B$9^2)*(BG376-IF('Control Room'!$B$5="Normal",'Control Room'!$B$7,('Control Room'!$B$8+'Control Room'!$D$8)/2))</x:f>
        <x:v>1028.4155501121368</x:v>
      </x:c>
      <x:c r="BI376" s="17" t="n">
        <x:f>IF(AND($A376&gt;='Control Room'!$A$13,$A376&lt;'Control Room'!$A$13+'Control Room'!$B$13,'Process'!BV2=1),1+('Control Room'!$C$13-1)*EXP(-0.5*(($A376-'Control Room'!$A$13-('Control Room'!$B$13-1)/2)/MAX(0.5,'Control Room'!$B$13/4))^2),1)*IF(AND($A376&gt;='Control Room'!$A$14,$A376&lt;'Control Room'!$A$14+'Control Room'!$B$14,'Process'!BV3=1),1+('Control Room'!$C$14-1)*EXP(-0.5*(($A376-'Control Room'!$A$14-('Control Room'!$B$14-1)/2)/MAX(0.5,'Control Room'!$B$14/4))^2),1)*IF(AND($A376&gt;='Control Room'!$A$15,$A376&lt;'Control Room'!$A$15+'Control Room'!$B$15,'Process'!BV4=1),1+('Control Room'!$C$15-1)*EXP(-0.5*(($A376-'Control Room'!$A$15-('Control Room'!$B$15-1)/2)/MAX(0.5,'Control Room'!$B$15/4))^2),1)*IF(AND($A376&gt;='Control Room'!$A$16,$A376&lt;'Control Room'!$A$16+'Control Room'!$B$16,'Process'!BV5=1),1+('Control Room'!$C$16-1)*EXP(-0.5*(($A376-'Control Room'!$A$16-('Control Room'!$B$16-1)/2)/MAX(0.5,'Control Room'!$B$16/4))^2),1)</x:f>
        <x:v>1</x:v>
      </x:c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Z376" t="str">
        <x:f>IF('Data'!A376="","",TEXT('Data'!A376,"mm-dd"))</x:f>
      </x:c>
    </x:row>
    <x:row r="377" ht="21" customHeight="1">
      <x:c r="A377" s="15" t="n">
        <x:f>'Control Room'!$B$1+375</x:f>
        <x:v>73366</x:v>
      </x:c>
      <x:c r="B377" s="9" t="n">
        <x:f>MOD(C376*16807,2147483647)</x:f>
        <x:v>1151356923</x:v>
      </x:c>
      <x:c r="C377" s="9" t="n">
        <x:f>MOD(B377*16807,2147483647)</x:f>
        <x:v>2028145391</x:v>
      </x:c>
      <x:c r="D377" s="17" t="n">
        <x:f>IF('Control Room'!$B$5="Normal",'Control Room'!$B$7+'Control Room'!$D$7*SQRT(-2*LN(MAX(0.000000000001,B377/2147483647)))*COS(2*PI()*C377/2147483647),'Control Room'!$B$8+('Control Room'!$D$8-'Control Room'!$B$8)*B377/2147483647)</x:f>
        <x:v>1094.426893732655</x:v>
      </x:c>
      <x:c r="E377" s="17" t="n">
        <x:f>IF('Control Room'!$B$5="Normal",'Control Room'!$B$7,('Control Room'!$B$8+'Control Room'!$D$8)/2)+'Control Room'!$B$9*(E376-IF('Control Room'!$B$5="Normal",'Control Room'!$B$7,('Control Room'!$B$8+'Control Room'!$D$8)/2))+SQRT(1-'Control Room'!$B$9^2)*(D377-IF('Control Room'!$B$5="Normal",'Control Room'!$B$7,('Control Room'!$B$8+'Control Room'!$D$8)/2))</x:f>
        <x:v>1031.5964742547756</x:v>
      </x:c>
      <x:c r="F377" s="17" t="n">
        <x:f>IF(AND($A377&gt;='Control Room'!$A$13,$A377&lt;'Control Room'!$A$13+'Control Room'!$B$13,'Process'!BK2=1),1+('Control Room'!$C$13-1)*EXP(-0.5*(($A377-'Control Room'!$A$13-('Control Room'!$B$13-1)/2)/MAX(0.5,'Control Room'!$B$13/4))^2),1)*IF(AND($A377&gt;='Control Room'!$A$14,$A377&lt;'Control Room'!$A$14+'Control Room'!$B$14,'Process'!BK3=1),1+('Control Room'!$C$14-1)*EXP(-0.5*(($A377-'Control Room'!$A$14-('Control Room'!$B$14-1)/2)/MAX(0.5,'Control Room'!$B$14/4))^2),1)*IF(AND($A377&gt;='Control Room'!$A$15,$A377&lt;'Control Room'!$A$15+'Control Room'!$B$15,'Process'!BK4=1),1+('Control Room'!$C$15-1)*EXP(-0.5*(($A377-'Control Room'!$A$15-('Control Room'!$B$15-1)/2)/MAX(0.5,'Control Room'!$B$15/4))^2),1)*IF(AND($A377&gt;='Control Room'!$A$16,$A377&lt;'Control Room'!$A$16+'Control Room'!$B$16,'Process'!BK5=1),1+('Control Room'!$C$16-1)*EXP(-0.5*(($A377-'Control Room'!$A$16-('Control Room'!$B$16-1)/2)/MAX(0.5,'Control Room'!$B$16/4))^2),1)</x:f>
        <x:v>1</x:v>
      </x:c>
      <x:c r="G377" s="9" t="n">
        <x:f>MOD(H376*16807,2147483647)</x:f>
        <x:v>1868373324</x:v>
      </x:c>
      <x:c r="H377" s="9" t="n">
        <x:f>MOD(G377*16807,2147483647)</x:f>
        <x:v>1244570034</x:v>
      </x:c>
      <x:c r="I377" s="17" t="n">
        <x:f>IF('Control Room'!$B$5="Normal",'Control Room'!$B$7+'Control Room'!$D$7*SQRT(-2*LN(MAX(0.000000000001,G377/2147483647)))*COS(2*PI()*H377/2147483647),'Control Room'!$B$8+('Control Room'!$D$8-'Control Room'!$B$8)*G377/2147483647)</x:f>
        <x:v>958.3175248606515</x:v>
      </x:c>
      <x:c r="J377" s="17" t="n">
        <x:f>IF('Control Room'!$B$5="Normal",'Control Room'!$B$7,('Control Room'!$B$8+'Control Room'!$D$8)/2)+'Control Room'!$B$9*(J376-IF('Control Room'!$B$5="Normal",'Control Room'!$B$7,('Control Room'!$B$8+'Control Room'!$D$8)/2))+SQRT(1-'Control Room'!$B$9^2)*(I377-IF('Control Room'!$B$5="Normal",'Control Room'!$B$7,('Control Room'!$B$8+'Control Room'!$D$8)/2))</x:f>
        <x:v>871.6793571966932</x:v>
      </x:c>
      <x:c r="K377" s="17" t="n">
        <x:f>IF(AND($A377&gt;='Control Room'!$A$13,$A377&lt;'Control Room'!$A$13+'Control Room'!$B$13,'Process'!BL2=1),1+('Control Room'!$C$13-1)*EXP(-0.5*(($A377-'Control Room'!$A$13-('Control Room'!$B$13-1)/2)/MAX(0.5,'Control Room'!$B$13/4))^2),1)*IF(AND($A377&gt;='Control Room'!$A$14,$A377&lt;'Control Room'!$A$14+'Control Room'!$B$14,'Process'!BL3=1),1+('Control Room'!$C$14-1)*EXP(-0.5*(($A377-'Control Room'!$A$14-('Control Room'!$B$14-1)/2)/MAX(0.5,'Control Room'!$B$14/4))^2),1)*IF(AND($A377&gt;='Control Room'!$A$15,$A377&lt;'Control Room'!$A$15+'Control Room'!$B$15,'Process'!BL4=1),1+('Control Room'!$C$15-1)*EXP(-0.5*(($A377-'Control Room'!$A$15-('Control Room'!$B$15-1)/2)/MAX(0.5,'Control Room'!$B$15/4))^2),1)*IF(AND($A377&gt;='Control Room'!$A$16,$A377&lt;'Control Room'!$A$16+'Control Room'!$B$16,'Process'!BL5=1),1+('Control Room'!$C$16-1)*EXP(-0.5*(($A377-'Control Room'!$A$16-('Control Room'!$B$16-1)/2)/MAX(0.5,'Control Room'!$B$16/4))^2),1)</x:f>
        <x:v>1</x:v>
      </x:c>
      <x:c r="L377" s="9" t="n">
        <x:f>MOD(M376*16807,2147483647)</x:f>
        <x:v>437906078</x:v>
      </x:c>
      <x:c r="M377" s="9" t="n">
        <x:f>MOD(L377*16807,2147483647)</x:f>
        <x:v>460994677</x:v>
      </x:c>
      <x:c r="N377" s="17" t="n">
        <x:f>IF('Control Room'!$B$5="Normal",'Control Room'!$B$7+'Control Room'!$D$7*SQRT(-2*LN(MAX(0.000000000001,L377/2147483647)))*COS(2*PI()*M377/2147483647),'Control Room'!$B$8+('Control Room'!$D$8-'Control Room'!$B$8)*L377/2147483647)</x:f>
        <x:v>1035.338256832118</x:v>
      </x:c>
      <x:c r="O377" s="17" t="n">
        <x:f>IF('Control Room'!$B$5="Normal",'Control Room'!$B$7,('Control Room'!$B$8+'Control Room'!$D$8)/2)+'Control Room'!$B$9*(O376-IF('Control Room'!$B$5="Normal",'Control Room'!$B$7,('Control Room'!$B$8+'Control Room'!$D$8)/2))+SQRT(1-'Control Room'!$B$9^2)*(N377-IF('Control Room'!$B$5="Normal",'Control Room'!$B$7,('Control Room'!$B$8+'Control Room'!$D$8)/2))</x:f>
        <x:v>1004.2131653509775</x:v>
      </x:c>
      <x:c r="P377" s="17" t="n">
        <x:f>IF(AND($A377&gt;='Control Room'!$A$13,$A377&lt;'Control Room'!$A$13+'Control Room'!$B$13,'Process'!BM2=1),1+('Control Room'!$C$13-1)*EXP(-0.5*(($A377-'Control Room'!$A$13-('Control Room'!$B$13-1)/2)/MAX(0.5,'Control Room'!$B$13/4))^2),1)*IF(AND($A377&gt;='Control Room'!$A$14,$A377&lt;'Control Room'!$A$14+'Control Room'!$B$14,'Process'!BM3=1),1+('Control Room'!$C$14-1)*EXP(-0.5*(($A377-'Control Room'!$A$14-('Control Room'!$B$14-1)/2)/MAX(0.5,'Control Room'!$B$14/4))^2),1)*IF(AND($A377&gt;='Control Room'!$A$15,$A377&lt;'Control Room'!$A$15+'Control Room'!$B$15,'Process'!BM4=1),1+('Control Room'!$C$15-1)*EXP(-0.5*(($A377-'Control Room'!$A$15-('Control Room'!$B$15-1)/2)/MAX(0.5,'Control Room'!$B$15/4))^2),1)*IF(AND($A377&gt;='Control Room'!$A$16,$A377&lt;'Control Room'!$A$16+'Control Room'!$B$16,'Process'!BM5=1),1+('Control Room'!$C$16-1)*EXP(-0.5*(($A377-'Control Room'!$A$16-('Control Room'!$B$16-1)/2)/MAX(0.5,'Control Room'!$B$16/4))^2),1)</x:f>
        <x:v>1</x:v>
      </x:c>
      <x:c r="Q377" s="9" t="n">
        <x:f>MOD(R376*16807,2147483647)</x:f>
        <x:v>1154922479</x:v>
      </x:c>
      <x:c r="R377" s="9" t="n">
        <x:f>MOD(Q377*16807,2147483647)</x:f>
        <x:v>1824902967</x:v>
      </x:c>
      <x:c r="S377" s="17" t="n">
        <x:f>IF('Control Room'!$B$5="Normal",'Control Room'!$B$7+'Control Room'!$D$7*SQRT(-2*LN(MAX(0.000000000001,Q377/2147483647)))*COS(2*PI()*R377/2147483647),'Control Room'!$B$8+('Control Room'!$D$8-'Control Room'!$B$8)*Q377/2147483647)</x:f>
        <x:v>1058.8114575971397</x:v>
      </x:c>
      <x:c r="T377" s="17" t="n">
        <x:f>IF('Control Room'!$B$5="Normal",'Control Room'!$B$7,('Control Room'!$B$8+'Control Room'!$D$8)/2)+'Control Room'!$B$9*(T376-IF('Control Room'!$B$5="Normal",'Control Room'!$B$7,('Control Room'!$B$8+'Control Room'!$D$8)/2))+SQRT(1-'Control Room'!$B$9^2)*(S377-IF('Control Room'!$B$5="Normal",'Control Room'!$B$7,('Control Room'!$B$8+'Control Room'!$D$8)/2))</x:f>
        <x:v>1058.0103243270755</x:v>
      </x:c>
      <x:c r="U377" s="17" t="n">
        <x:f>IF(AND($A377&gt;='Control Room'!$A$13,$A377&lt;'Control Room'!$A$13+'Control Room'!$B$13,'Process'!BN2=1),1+('Control Room'!$C$13-1)*EXP(-0.5*(($A377-'Control Room'!$A$13-('Control Room'!$B$13-1)/2)/MAX(0.5,'Control Room'!$B$13/4))^2),1)*IF(AND($A377&gt;='Control Room'!$A$14,$A377&lt;'Control Room'!$A$14+'Control Room'!$B$14,'Process'!BN3=1),1+('Control Room'!$C$14-1)*EXP(-0.5*(($A377-'Control Room'!$A$14-('Control Room'!$B$14-1)/2)/MAX(0.5,'Control Room'!$B$14/4))^2),1)*IF(AND($A377&gt;='Control Room'!$A$15,$A377&lt;'Control Room'!$A$15+'Control Room'!$B$15,'Process'!BN4=1),1+('Control Room'!$C$15-1)*EXP(-0.5*(($A377-'Control Room'!$A$15-('Control Room'!$B$15-1)/2)/MAX(0.5,'Control Room'!$B$15/4))^2),1)*IF(AND($A377&gt;='Control Room'!$A$16,$A377&lt;'Control Room'!$A$16+'Control Room'!$B$16,'Process'!BN5=1),1+('Control Room'!$C$16-1)*EXP(-0.5*(($A377-'Control Room'!$A$16-('Control Room'!$B$16-1)/2)/MAX(0.5,'Control Room'!$B$16/4))^2),1)</x:f>
        <x:v>1</x:v>
      </x:c>
      <x:c r="V377" s="9" t="n">
        <x:f>MOD(W376*16807,2147483647)</x:f>
        <x:v>1871938880</x:v>
      </x:c>
      <x:c r="W377" s="9" t="n">
        <x:f>MOD(V377*16807,2147483647)</x:f>
        <x:v>1041327610</x:v>
      </x:c>
      <x:c r="X377" s="17" t="n">
        <x:f>IF('Control Room'!$B$5="Normal",'Control Room'!$B$7+'Control Room'!$D$7*SQRT(-2*LN(MAX(0.000000000001,V377/2147483647)))*COS(2*PI()*W377/2147483647),'Control Room'!$B$8+('Control Room'!$D$8-'Control Room'!$B$8)*V377/2147483647)</x:f>
        <x:v>953.046109877729</x:v>
      </x:c>
      <x:c r="Y377" s="17" t="n">
        <x:f>IF('Control Room'!$B$5="Normal",'Control Room'!$B$7,('Control Room'!$B$8+'Control Room'!$D$8)/2)+'Control Room'!$B$9*(Y376-IF('Control Room'!$B$5="Normal",'Control Room'!$B$7,('Control Room'!$B$8+'Control Room'!$D$8)/2))+SQRT(1-'Control Room'!$B$9^2)*(X377-IF('Control Room'!$B$5="Normal",'Control Room'!$B$7,('Control Room'!$B$8+'Control Room'!$D$8)/2))</x:f>
        <x:v>912.9086573642436</x:v>
      </x:c>
      <x:c r="Z377" s="17" t="n">
        <x:f>IF(AND($A377&gt;='Control Room'!$A$13,$A377&lt;'Control Room'!$A$13+'Control Room'!$B$13,'Process'!BO2=1),1+('Control Room'!$C$13-1)*EXP(-0.5*(($A377-'Control Room'!$A$13-('Control Room'!$B$13-1)/2)/MAX(0.5,'Control Room'!$B$13/4))^2),1)*IF(AND($A377&gt;='Control Room'!$A$14,$A377&lt;'Control Room'!$A$14+'Control Room'!$B$14,'Process'!BO3=1),1+('Control Room'!$C$14-1)*EXP(-0.5*(($A377-'Control Room'!$A$14-('Control Room'!$B$14-1)/2)/MAX(0.5,'Control Room'!$B$14/4))^2),1)*IF(AND($A377&gt;='Control Room'!$A$15,$A377&lt;'Control Room'!$A$15+'Control Room'!$B$15,'Process'!BO4=1),1+('Control Room'!$C$15-1)*EXP(-0.5*(($A377-'Control Room'!$A$15-('Control Room'!$B$15-1)/2)/MAX(0.5,'Control Room'!$B$15/4))^2),1)*IF(AND($A377&gt;='Control Room'!$A$16,$A377&lt;'Control Room'!$A$16+'Control Room'!$B$16,'Process'!BO5=1),1+('Control Room'!$C$16-1)*EXP(-0.5*(($A377-'Control Room'!$A$16-('Control Room'!$B$16-1)/2)/MAX(0.5,'Control Room'!$B$16/4))^2),1)</x:f>
        <x:v>1</x:v>
      </x:c>
      <x:c r="AA377" s="9" t="n">
        <x:f>MOD(AB376*16807,2147483647)</x:f>
        <x:v>441471634</x:v>
      </x:c>
      <x:c r="AB377" s="9" t="n">
        <x:f>MOD(AA377*16807,2147483647)</x:f>
        <x:v>257752253</x:v>
      </x:c>
      <x:c r="AC377" s="17" t="n">
        <x:f>IF('Control Room'!$B$5="Normal",'Control Room'!$B$7+'Control Room'!$D$7*SQRT(-2*LN(MAX(0.000000000001,AA377/2147483647)))*COS(2*PI()*AB377/2147483647),'Control Room'!$B$8+('Control Room'!$D$8-'Control Room'!$B$8)*AA377/2147483647)</x:f>
        <x:v>1116.6799969804422</x:v>
      </x:c>
      <x:c r="AD377" s="17" t="n">
        <x:f>IF('Control Room'!$B$5="Normal",'Control Room'!$B$7,('Control Room'!$B$8+'Control Room'!$D$8)/2)+'Control Room'!$B$9*(AD376-IF('Control Room'!$B$5="Normal",'Control Room'!$B$7,('Control Room'!$B$8+'Control Room'!$D$8)/2))+SQRT(1-'Control Room'!$B$9^2)*(AC377-IF('Control Room'!$B$5="Normal",'Control Room'!$B$7,('Control Room'!$B$8+'Control Room'!$D$8)/2))</x:f>
        <x:v>1054.3767238677592</x:v>
      </x:c>
      <x:c r="AE377" s="17" t="n">
        <x:f>IF(AND($A377&gt;='Control Room'!$A$13,$A377&lt;'Control Room'!$A$13+'Control Room'!$B$13,'Process'!BP2=1),1+('Control Room'!$C$13-1)*EXP(-0.5*(($A377-'Control Room'!$A$13-('Control Room'!$B$13-1)/2)/MAX(0.5,'Control Room'!$B$13/4))^2),1)*IF(AND($A377&gt;='Control Room'!$A$14,$A377&lt;'Control Room'!$A$14+'Control Room'!$B$14,'Process'!BP3=1),1+('Control Room'!$C$14-1)*EXP(-0.5*(($A377-'Control Room'!$A$14-('Control Room'!$B$14-1)/2)/MAX(0.5,'Control Room'!$B$14/4))^2),1)*IF(AND($A377&gt;='Control Room'!$A$15,$A377&lt;'Control Room'!$A$15+'Control Room'!$B$15,'Process'!BP4=1),1+('Control Room'!$C$15-1)*EXP(-0.5*(($A377-'Control Room'!$A$15-('Control Room'!$B$15-1)/2)/MAX(0.5,'Control Room'!$B$15/4))^2),1)*IF(AND($A377&gt;='Control Room'!$A$16,$A377&lt;'Control Room'!$A$16+'Control Room'!$B$16,'Process'!BP5=1),1+('Control Room'!$C$16-1)*EXP(-0.5*(($A377-'Control Room'!$A$16-('Control Room'!$B$16-1)/2)/MAX(0.5,'Control Room'!$B$16/4))^2),1)</x:f>
        <x:v>1</x:v>
      </x:c>
      <x:c r="AF377" s="9" t="n">
        <x:f>MOD(AG376*16807,2147483647)</x:f>
        <x:v>1158488035</x:v>
      </x:c>
      <x:c r="AG377" s="9" t="n">
        <x:f>MOD(AF377*16807,2147483647)</x:f>
        <x:v>1621660543</x:v>
      </x:c>
      <x:c r="AH377" s="17" t="n">
        <x:f>IF('Control Room'!$B$5="Normal",'Control Room'!$B$7+'Control Room'!$D$7*SQRT(-2*LN(MAX(0.000000000001,AF377/2147483647)))*COS(2*PI()*AG377/2147483647),'Control Room'!$B$8+('Control Room'!$D$8-'Control Room'!$B$8)*AF377/2147483647)</x:f>
        <x:v>1003.231575220821</x:v>
      </x:c>
      <x:c r="AI377" s="17" t="n">
        <x:f>IF('Control Room'!$B$5="Normal",'Control Room'!$B$7,('Control Room'!$B$8+'Control Room'!$D$8)/2)+'Control Room'!$B$9*(AI376-IF('Control Room'!$B$5="Normal",'Control Room'!$B$7,('Control Room'!$B$8+'Control Room'!$D$8)/2))+SQRT(1-'Control Room'!$B$9^2)*(AH377-IF('Control Room'!$B$5="Normal",'Control Room'!$B$7,('Control Room'!$B$8+'Control Room'!$D$8)/2))</x:f>
        <x:v>948.721417285499</x:v>
      </x:c>
      <x:c r="AJ377" s="17" t="n">
        <x:f>IF(AND($A377&gt;='Control Room'!$A$13,$A377&lt;'Control Room'!$A$13+'Control Room'!$B$13,'Process'!BQ2=1),1+('Control Room'!$C$13-1)*EXP(-0.5*(($A377-'Control Room'!$A$13-('Control Room'!$B$13-1)/2)/MAX(0.5,'Control Room'!$B$13/4))^2),1)*IF(AND($A377&gt;='Control Room'!$A$14,$A377&lt;'Control Room'!$A$14+'Control Room'!$B$14,'Process'!BQ3=1),1+('Control Room'!$C$14-1)*EXP(-0.5*(($A377-'Control Room'!$A$14-('Control Room'!$B$14-1)/2)/MAX(0.5,'Control Room'!$B$14/4))^2),1)*IF(AND($A377&gt;='Control Room'!$A$15,$A377&lt;'Control Room'!$A$15+'Control Room'!$B$15,'Process'!BQ4=1),1+('Control Room'!$C$15-1)*EXP(-0.5*(($A377-'Control Room'!$A$15-('Control Room'!$B$15-1)/2)/MAX(0.5,'Control Room'!$B$15/4))^2),1)*IF(AND($A377&gt;='Control Room'!$A$16,$A377&lt;'Control Room'!$A$16+'Control Room'!$B$16,'Process'!BQ5=1),1+('Control Room'!$C$16-1)*EXP(-0.5*(($A377-'Control Room'!$A$16-('Control Room'!$B$16-1)/2)/MAX(0.5,'Control Room'!$B$16/4))^2),1)</x:f>
        <x:v>1</x:v>
      </x:c>
      <x:c r="AK377" s="9" t="n">
        <x:f>MOD(AL376*16807,2147483647)</x:f>
        <x:v>1875504436</x:v>
      </x:c>
      <x:c r="AL377" s="9" t="n">
        <x:f>MOD(AK377*16807,2147483647)</x:f>
        <x:v>838085186</x:v>
      </x:c>
      <x:c r="AM377" s="17" t="n">
        <x:f>IF('Control Room'!$B$5="Normal",'Control Room'!$B$7+'Control Room'!$D$7*SQRT(-2*LN(MAX(0.000000000001,AK377/2147483647)))*COS(2*PI()*AL377/2147483647),'Control Room'!$B$8+('Control Room'!$D$8-'Control Room'!$B$8)*AK377/2147483647)</x:f>
        <x:v>963.86133155098</x:v>
      </x:c>
      <x:c r="AN377" s="17" t="n">
        <x:f>IF('Control Room'!$B$5="Normal",'Control Room'!$B$7,('Control Room'!$B$8+'Control Room'!$D$8)/2)+'Control Room'!$B$9*(AN376-IF('Control Room'!$B$5="Normal",'Control Room'!$B$7,('Control Room'!$B$8+'Control Room'!$D$8)/2))+SQRT(1-'Control Room'!$B$9^2)*(AM377-IF('Control Room'!$B$5="Normal",'Control Room'!$B$7,('Control Room'!$B$8+'Control Room'!$D$8)/2))</x:f>
        <x:v>1033.790578249114</x:v>
      </x:c>
      <x:c r="AO377" s="17" t="n">
        <x:f>IF(AND($A377&gt;='Control Room'!$A$13,$A377&lt;'Control Room'!$A$13+'Control Room'!$B$13,'Process'!BR2=1),1+('Control Room'!$C$13-1)*EXP(-0.5*(($A377-'Control Room'!$A$13-('Control Room'!$B$13-1)/2)/MAX(0.5,'Control Room'!$B$13/4))^2),1)*IF(AND($A377&gt;='Control Room'!$A$14,$A377&lt;'Control Room'!$A$14+'Control Room'!$B$14,'Process'!BR3=1),1+('Control Room'!$C$14-1)*EXP(-0.5*(($A377-'Control Room'!$A$14-('Control Room'!$B$14-1)/2)/MAX(0.5,'Control Room'!$B$14/4))^2),1)*IF(AND($A377&gt;='Control Room'!$A$15,$A377&lt;'Control Room'!$A$15+'Control Room'!$B$15,'Process'!BR4=1),1+('Control Room'!$C$15-1)*EXP(-0.5*(($A377-'Control Room'!$A$15-('Control Room'!$B$15-1)/2)/MAX(0.5,'Control Room'!$B$15/4))^2),1)*IF(AND($A377&gt;='Control Room'!$A$16,$A377&lt;'Control Room'!$A$16+'Control Room'!$B$16,'Process'!BR5=1),1+('Control Room'!$C$16-1)*EXP(-0.5*(($A377-'Control Room'!$A$16-('Control Room'!$B$16-1)/2)/MAX(0.5,'Control Room'!$B$16/4))^2),1)</x:f>
        <x:v>1</x:v>
      </x:c>
      <x:c r="AP377" s="9" t="n">
        <x:f>MOD(AQ376*16807,2147483647)</x:f>
        <x:v>445037190</x:v>
      </x:c>
      <x:c r="AQ377" s="9" t="n">
        <x:f>MOD(AP377*16807,2147483647)</x:f>
        <x:v>54509829</x:v>
      </x:c>
      <x:c r="AR377" s="17" t="n">
        <x:f>IF('Control Room'!$B$5="Normal",'Control Room'!$B$7+'Control Room'!$D$7*SQRT(-2*LN(MAX(0.000000000001,AP377/2147483647)))*COS(2*PI()*AQ377/2147483647),'Control Room'!$B$8+('Control Room'!$D$8-'Control Room'!$B$8)*AP377/2147483647)</x:f>
        <x:v>1157.651580750148</x:v>
      </x:c>
      <x:c r="AS377" s="17" t="n">
        <x:f>IF('Control Room'!$B$5="Normal",'Control Room'!$B$7,('Control Room'!$B$8+'Control Room'!$D$8)/2)+'Control Room'!$B$9*(AS376-IF('Control Room'!$B$5="Normal",'Control Room'!$B$7,('Control Room'!$B$8+'Control Room'!$D$8)/2))+SQRT(1-'Control Room'!$B$9^2)*(AR377-IF('Control Room'!$B$5="Normal",'Control Room'!$B$7,('Control Room'!$B$8+'Control Room'!$D$8)/2))</x:f>
        <x:v>1054.4952419923545</x:v>
      </x:c>
      <x:c r="AT377" s="17" t="n">
        <x:f>IF(AND($A377&gt;='Control Room'!$A$13,$A377&lt;'Control Room'!$A$13+'Control Room'!$B$13,'Process'!BS2=1),1+('Control Room'!$C$13-1)*EXP(-0.5*(($A377-'Control Room'!$A$13-('Control Room'!$B$13-1)/2)/MAX(0.5,'Control Room'!$B$13/4))^2),1)*IF(AND($A377&gt;='Control Room'!$A$14,$A377&lt;'Control Room'!$A$14+'Control Room'!$B$14,'Process'!BS3=1),1+('Control Room'!$C$14-1)*EXP(-0.5*(($A377-'Control Room'!$A$14-('Control Room'!$B$14-1)/2)/MAX(0.5,'Control Room'!$B$14/4))^2),1)*IF(AND($A377&gt;='Control Room'!$A$15,$A377&lt;'Control Room'!$A$15+'Control Room'!$B$15,'Process'!BS4=1),1+('Control Room'!$C$15-1)*EXP(-0.5*(($A377-'Control Room'!$A$15-('Control Room'!$B$15-1)/2)/MAX(0.5,'Control Room'!$B$15/4))^2),1)*IF(AND($A377&gt;='Control Room'!$A$16,$A377&lt;'Control Room'!$A$16+'Control Room'!$B$16,'Process'!BS5=1),1+('Control Room'!$C$16-1)*EXP(-0.5*(($A377-'Control Room'!$A$16-('Control Room'!$B$16-1)/2)/MAX(0.5,'Control Room'!$B$16/4))^2),1)</x:f>
        <x:v>1</x:v>
      </x:c>
      <x:c r="AU377" s="9" t="n">
        <x:f>MOD(AV376*16807,2147483647)</x:f>
        <x:v>1162053591</x:v>
      </x:c>
      <x:c r="AV377" s="9" t="n">
        <x:f>MOD(AU377*16807,2147483647)</x:f>
        <x:v>1418418119</x:v>
      </x:c>
      <x:c r="AW377" s="17" t="n">
        <x:f>IF('Control Room'!$B$5="Normal",'Control Room'!$B$7+'Control Room'!$D$7*SQRT(-2*LN(MAX(0.000000000001,AU377/2147483647)))*COS(2*PI()*AV377/2147483647),'Control Room'!$B$8+('Control Room'!$D$8-'Control Room'!$B$8)*AU377/2147483647)</x:f>
        <x:v>946.8214514751501</x:v>
      </x:c>
      <x:c r="AX377" s="17" t="n">
        <x:f>IF('Control Room'!$B$5="Normal",'Control Room'!$B$7,('Control Room'!$B$8+'Control Room'!$D$8)/2)+'Control Room'!$B$9*(AX376-IF('Control Room'!$B$5="Normal",'Control Room'!$B$7,('Control Room'!$B$8+'Control Room'!$D$8)/2))+SQRT(1-'Control Room'!$B$9^2)*(AW377-IF('Control Room'!$B$5="Normal",'Control Room'!$B$7,('Control Room'!$B$8+'Control Room'!$D$8)/2))</x:f>
        <x:v>1048.8723394448052</x:v>
      </x:c>
      <x:c r="AY377" s="17" t="n">
        <x:f>IF(AND($A377&gt;='Control Room'!$A$13,$A377&lt;'Control Room'!$A$13+'Control Room'!$B$13,'Process'!BT2=1),1+('Control Room'!$C$13-1)*EXP(-0.5*(($A377-'Control Room'!$A$13-('Control Room'!$B$13-1)/2)/MAX(0.5,'Control Room'!$B$13/4))^2),1)*IF(AND($A377&gt;='Control Room'!$A$14,$A377&lt;'Control Room'!$A$14+'Control Room'!$B$14,'Process'!BT3=1),1+('Control Room'!$C$14-1)*EXP(-0.5*(($A377-'Control Room'!$A$14-('Control Room'!$B$14-1)/2)/MAX(0.5,'Control Room'!$B$14/4))^2),1)*IF(AND($A377&gt;='Control Room'!$A$15,$A377&lt;'Control Room'!$A$15+'Control Room'!$B$15,'Process'!BT4=1),1+('Control Room'!$C$15-1)*EXP(-0.5*(($A377-'Control Room'!$A$15-('Control Room'!$B$15-1)/2)/MAX(0.5,'Control Room'!$B$15/4))^2),1)*IF(AND($A377&gt;='Control Room'!$A$16,$A377&lt;'Control Room'!$A$16+'Control Room'!$B$16,'Process'!BT5=1),1+('Control Room'!$C$16-1)*EXP(-0.5*(($A377-'Control Room'!$A$16-('Control Room'!$B$16-1)/2)/MAX(0.5,'Control Room'!$B$16/4))^2),1)</x:f>
        <x:v>1</x:v>
      </x:c>
      <x:c r="AZ377" s="9" t="n">
        <x:f>MOD(BA376*16807,2147483647)</x:f>
        <x:v>1879069992</x:v>
      </x:c>
      <x:c r="BA377" s="9" t="n">
        <x:f>MOD(AZ377*16807,2147483647)</x:f>
        <x:v>634842762</x:v>
      </x:c>
      <x:c r="BB377" s="17" t="n">
        <x:f>IF('Control Room'!$B$5="Normal",'Control Room'!$B$7+'Control Room'!$D$7*SQRT(-2*LN(MAX(0.000000000001,AZ377/2147483647)))*COS(2*PI()*BA377/2147483647),'Control Room'!$B$8+('Control Room'!$D$8-'Control Room'!$B$8)*AZ377/2147483647)</x:f>
        <x:v>986.8502423376829</x:v>
      </x:c>
      <x:c r="BC377" s="17" t="n">
        <x:f>IF('Control Room'!$B$5="Normal",'Control Room'!$B$7,('Control Room'!$B$8+'Control Room'!$D$8)/2)+'Control Room'!$B$9*(BC376-IF('Control Room'!$B$5="Normal",'Control Room'!$B$7,('Control Room'!$B$8+'Control Room'!$D$8)/2))+SQRT(1-'Control Room'!$B$9^2)*(BB377-IF('Control Room'!$B$5="Normal",'Control Room'!$B$7,('Control Room'!$B$8+'Control Room'!$D$8)/2))</x:f>
        <x:v>952.8176822272785</x:v>
      </x:c>
      <x:c r="BD377" s="17" t="n">
        <x:f>IF(AND($A377&gt;='Control Room'!$A$13,$A377&lt;'Control Room'!$A$13+'Control Room'!$B$13,'Process'!BU2=1),1+('Control Room'!$C$13-1)*EXP(-0.5*(($A377-'Control Room'!$A$13-('Control Room'!$B$13-1)/2)/MAX(0.5,'Control Room'!$B$13/4))^2),1)*IF(AND($A377&gt;='Control Room'!$A$14,$A377&lt;'Control Room'!$A$14+'Control Room'!$B$14,'Process'!BU3=1),1+('Control Room'!$C$14-1)*EXP(-0.5*(($A377-'Control Room'!$A$14-('Control Room'!$B$14-1)/2)/MAX(0.5,'Control Room'!$B$14/4))^2),1)*IF(AND($A377&gt;='Control Room'!$A$15,$A377&lt;'Control Room'!$A$15+'Control Room'!$B$15,'Process'!BU4=1),1+('Control Room'!$C$15-1)*EXP(-0.5*(($A377-'Control Room'!$A$15-('Control Room'!$B$15-1)/2)/MAX(0.5,'Control Room'!$B$15/4))^2),1)*IF(AND($A377&gt;='Control Room'!$A$16,$A377&lt;'Control Room'!$A$16+'Control Room'!$B$16,'Process'!BU5=1),1+('Control Room'!$C$16-1)*EXP(-0.5*(($A377-'Control Room'!$A$16-('Control Room'!$B$16-1)/2)/MAX(0.5,'Control Room'!$B$16/4))^2),1)</x:f>
        <x:v>1</x:v>
      </x:c>
      <x:c r="BE377" s="9" t="n">
        <x:f>MOD(BF376*16807,2147483647)</x:f>
        <x:v>448602746</x:v>
      </x:c>
      <x:c r="BF377" s="9" t="n">
        <x:f>MOD(BE377*16807,2147483647)</x:f>
        <x:v>1998751052</x:v>
      </x:c>
      <x:c r="BG377" s="17" t="n">
        <x:f>IF('Control Room'!$B$5="Normal",'Control Room'!$B$7+'Control Room'!$D$7*SQRT(-2*LN(MAX(0.000000000001,BE377/2147483647)))*COS(2*PI()*BF377/2147483647),'Control Room'!$B$8+('Control Room'!$D$8-'Control Room'!$B$8)*BE377/2147483647)</x:f>
        <x:v>1144.4284685471625</x:v>
      </x:c>
      <x:c r="BH377" s="17" t="n">
        <x:f>IF('Control Room'!$B$5="Normal",'Control Room'!$B$7,('Control Room'!$B$8+'Control Room'!$D$8)/2)+'Control Room'!$B$9*(BH376-IF('Control Room'!$B$5="Normal",'Control Room'!$B$7,('Control Room'!$B$8+'Control Room'!$D$8)/2))+SQRT(1-'Control Room'!$B$9^2)*(BG377-IF('Control Room'!$B$5="Normal",'Control Room'!$B$7,('Control Room'!$B$8+'Control Room'!$D$8)/2))</x:f>
        <x:v>1112.5445059262788</x:v>
      </x:c>
      <x:c r="BI377" s="17" t="n">
        <x:f>IF(AND($A377&gt;='Control Room'!$A$13,$A377&lt;'Control Room'!$A$13+'Control Room'!$B$13,'Process'!BV2=1),1+('Control Room'!$C$13-1)*EXP(-0.5*(($A377-'Control Room'!$A$13-('Control Room'!$B$13-1)/2)/MAX(0.5,'Control Room'!$B$13/4))^2),1)*IF(AND($A377&gt;='Control Room'!$A$14,$A377&lt;'Control Room'!$A$14+'Control Room'!$B$14,'Process'!BV3=1),1+('Control Room'!$C$14-1)*EXP(-0.5*(($A377-'Control Room'!$A$14-('Control Room'!$B$14-1)/2)/MAX(0.5,'Control Room'!$B$14/4))^2),1)*IF(AND($A377&gt;='Control Room'!$A$15,$A377&lt;'Control Room'!$A$15+'Control Room'!$B$15,'Process'!BV4=1),1+('Control Room'!$C$15-1)*EXP(-0.5*(($A377-'Control Room'!$A$15-('Control Room'!$B$15-1)/2)/MAX(0.5,'Control Room'!$B$15/4))^2),1)*IF(AND($A377&gt;='Control Room'!$A$16,$A377&lt;'Control Room'!$A$16+'Control Room'!$B$16,'Process'!BV5=1),1+('Control Room'!$C$16-1)*EXP(-0.5*(($A377-'Control Room'!$A$16-('Control Room'!$B$16-1)/2)/MAX(0.5,'Control Room'!$B$16/4))^2),1)</x:f>
        <x:v>1</x:v>
      </x:c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Z377" t="str">
        <x:f>IF('Data'!A377="","",TEXT('Data'!A377,"mm-dd"))</x:f>
      </x:c>
    </x:row>
    <x:row r="378" ht="21" customHeight="1">
      <x:c r="A378" s="15" t="n">
        <x:f>'Control Room'!$B$1+376</x:f>
        <x:v>73367</x:v>
      </x:c>
      <x:c r="B378" s="9" t="n">
        <x:f>MOD(C377*16807,2147483647)</x:f>
        <x:v>31657706</x:v>
      </x:c>
      <x:c r="C378" s="9" t="n">
        <x:f>MOD(B378*16807,2147483647)</x:f>
        <x:v>1642603933</x:v>
      </x:c>
      <x:c r="D378" s="17" t="n">
        <x:f>IF('Control Room'!$B$5="Normal",'Control Room'!$B$7+'Control Room'!$D$7*SQRT(-2*LN(MAX(0.000000000001,B378/2147483647)))*COS(2*PI()*C378/2147483647),'Control Room'!$B$8+('Control Room'!$D$8-'Control Room'!$B$8)*B378/2147483647)</x:f>
        <x:v>1024.429191850691</x:v>
      </x:c>
      <x:c r="E378" s="17" t="n">
        <x:f>IF('Control Room'!$B$5="Normal",'Control Room'!$B$7,('Control Room'!$B$8+'Control Room'!$D$8)/2)+'Control Room'!$B$9*(E377-IF('Control Room'!$B$5="Normal",'Control Room'!$B$7,('Control Room'!$B$8+'Control Room'!$D$8)/2))+SQRT(1-'Control Room'!$B$9^2)*(D378-IF('Control Room'!$B$5="Normal",'Control Room'!$B$7,('Control Room'!$B$8+'Control Room'!$D$8)/2))</x:f>
        <x:v>1039.93253771969</x:v>
      </x:c>
      <x:c r="F378" s="17" t="n">
        <x:f>IF(AND($A378&gt;='Control Room'!$A$13,$A378&lt;'Control Room'!$A$13+'Control Room'!$B$13,'Process'!BK2=1),1+('Control Room'!$C$13-1)*EXP(-0.5*(($A378-'Control Room'!$A$13-('Control Room'!$B$13-1)/2)/MAX(0.5,'Control Room'!$B$13/4))^2),1)*IF(AND($A378&gt;='Control Room'!$A$14,$A378&lt;'Control Room'!$A$14+'Control Room'!$B$14,'Process'!BK3=1),1+('Control Room'!$C$14-1)*EXP(-0.5*(($A378-'Control Room'!$A$14-('Control Room'!$B$14-1)/2)/MAX(0.5,'Control Room'!$B$14/4))^2),1)*IF(AND($A378&gt;='Control Room'!$A$15,$A378&lt;'Control Room'!$A$15+'Control Room'!$B$15,'Process'!BK4=1),1+('Control Room'!$C$15-1)*EXP(-0.5*(($A378-'Control Room'!$A$15-('Control Room'!$B$15-1)/2)/MAX(0.5,'Control Room'!$B$15/4))^2),1)*IF(AND($A378&gt;='Control Room'!$A$16,$A378&lt;'Control Room'!$A$16+'Control Room'!$B$16,'Process'!BK5=1),1+('Control Room'!$C$16-1)*EXP(-0.5*(($A378-'Control Room'!$A$16-('Control Room'!$B$16-1)/2)/MAX(0.5,'Control Room'!$B$16/4))^2),1)</x:f>
        <x:v>1</x:v>
      </x:c>
      <x:c r="G378" s="9" t="n">
        <x:f>MOD(H377*16807,2147483647)</x:f>
        <x:v>997839658</x:v>
      </x:c>
      <x:c r="H378" s="9" t="n">
        <x:f>MOD(G378*16807,2147483647)</x:f>
        <x:v>991332583</x:v>
      </x:c>
      <x:c r="I378" s="17" t="n">
        <x:f>IF('Control Room'!$B$5="Normal",'Control Room'!$B$7+'Control Room'!$D$7*SQRT(-2*LN(MAX(0.000000000001,G378/2147483647)))*COS(2*PI()*H378/2147483647),'Control Room'!$B$8+('Control Room'!$D$8-'Control Room'!$B$8)*G378/2147483647)</x:f>
        <x:v>891.7934435416328</x:v>
      </x:c>
      <x:c r="J378" s="17" t="n">
        <x:f>IF('Control Room'!$B$5="Normal",'Control Room'!$B$7,('Control Room'!$B$8+'Control Room'!$D$8)/2)+'Control Room'!$B$9*(J377-IF('Control Room'!$B$5="Normal",'Control Room'!$B$7,('Control Room'!$B$8+'Control Room'!$D$8)/2))+SQRT(1-'Control Room'!$B$9^2)*(I378-IF('Control Room'!$B$5="Normal",'Control Room'!$B$7,('Control Room'!$B$8+'Control Room'!$D$8)/2))</x:f>
        <x:v>832.1964523135737</x:v>
      </x:c>
      <x:c r="K378" s="17" t="n">
        <x:f>IF(AND($A378&gt;='Control Room'!$A$13,$A378&lt;'Control Room'!$A$13+'Control Room'!$B$13,'Process'!BL2=1),1+('Control Room'!$C$13-1)*EXP(-0.5*(($A378-'Control Room'!$A$13-('Control Room'!$B$13-1)/2)/MAX(0.5,'Control Room'!$B$13/4))^2),1)*IF(AND($A378&gt;='Control Room'!$A$14,$A378&lt;'Control Room'!$A$14+'Control Room'!$B$14,'Process'!BL3=1),1+('Control Room'!$C$14-1)*EXP(-0.5*(($A378-'Control Room'!$A$14-('Control Room'!$B$14-1)/2)/MAX(0.5,'Control Room'!$B$14/4))^2),1)*IF(AND($A378&gt;='Control Room'!$A$15,$A378&lt;'Control Room'!$A$15+'Control Room'!$B$15,'Process'!BL4=1),1+('Control Room'!$C$15-1)*EXP(-0.5*(($A378-'Control Room'!$A$15-('Control Room'!$B$15-1)/2)/MAX(0.5,'Control Room'!$B$15/4))^2),1)*IF(AND($A378&gt;='Control Room'!$A$16,$A378&lt;'Control Room'!$A$16+'Control Room'!$B$16,'Process'!BL5=1),1+('Control Room'!$C$16-1)*EXP(-0.5*(($A378-'Control Room'!$A$16-('Control Room'!$B$16-1)/2)/MAX(0.5,'Control Room'!$B$16/4))^2),1)</x:f>
        <x:v>1</x:v>
      </x:c>
      <x:c r="L378" s="9" t="n">
        <x:f>MOD(M377*16807,2147483647)</x:f>
        <x:v>1964021610</x:v>
      </x:c>
      <x:c r="M378" s="9" t="n">
        <x:f>MOD(L378*16807,2147483647)</x:f>
        <x:v>340061233</x:v>
      </x:c>
      <x:c r="N378" s="17" t="n">
        <x:f>IF('Control Room'!$B$5="Normal",'Control Room'!$B$7+'Control Room'!$D$7*SQRT(-2*LN(MAX(0.000000000001,L378/2147483647)))*COS(2*PI()*M378/2147483647),'Control Room'!$B$8+('Control Room'!$D$8-'Control Room'!$B$8)*L378/2147483647)</x:f>
        <x:v>1020.7116199405144</x:v>
      </x:c>
      <x:c r="O378" s="17" t="n">
        <x:f>IF('Control Room'!$B$5="Normal",'Control Room'!$B$7,('Control Room'!$B$8+'Control Room'!$D$8)/2)+'Control Room'!$B$9*(O377-IF('Control Room'!$B$5="Normal",'Control Room'!$B$7,('Control Room'!$B$8+'Control Room'!$D$8)/2))+SQRT(1-'Control Room'!$B$9^2)*(N378-IF('Control Room'!$B$5="Normal",'Control Room'!$B$7,('Control Room'!$B$8+'Control Room'!$D$8)/2))</x:f>
        <x:v>1016.2471764319391</x:v>
      </x:c>
      <x:c r="P378" s="17" t="n">
        <x:f>IF(AND($A378&gt;='Control Room'!$A$13,$A378&lt;'Control Room'!$A$13+'Control Room'!$B$13,'Process'!BM2=1),1+('Control Room'!$C$13-1)*EXP(-0.5*(($A378-'Control Room'!$A$13-('Control Room'!$B$13-1)/2)/MAX(0.5,'Control Room'!$B$13/4))^2),1)*IF(AND($A378&gt;='Control Room'!$A$14,$A378&lt;'Control Room'!$A$14+'Control Room'!$B$14,'Process'!BM3=1),1+('Control Room'!$C$14-1)*EXP(-0.5*(($A378-'Control Room'!$A$14-('Control Room'!$B$14-1)/2)/MAX(0.5,'Control Room'!$B$14/4))^2),1)*IF(AND($A378&gt;='Control Room'!$A$15,$A378&lt;'Control Room'!$A$15+'Control Room'!$B$15,'Process'!BM4=1),1+('Control Room'!$C$15-1)*EXP(-0.5*(($A378-'Control Room'!$A$15-('Control Room'!$B$15-1)/2)/MAX(0.5,'Control Room'!$B$15/4))^2),1)*IF(AND($A378&gt;='Control Room'!$A$16,$A378&lt;'Control Room'!$A$16+'Control Room'!$B$16,'Process'!BM5=1),1+('Control Room'!$C$16-1)*EXP(-0.5*(($A378-'Control Room'!$A$16-('Control Room'!$B$16-1)/2)/MAX(0.5,'Control Room'!$B$16/4))^2),1)</x:f>
        <x:v>1</x:v>
      </x:c>
      <x:c r="Q378" s="9" t="n">
        <x:f>MOD(R377*16807,2147483647)</x:f>
        <x:v>782719915</x:v>
      </x:c>
      <x:c r="R378" s="9" t="n">
        <x:f>MOD(Q378*16807,2147483647)</x:f>
        <x:v>1836273530</x:v>
      </x:c>
      <x:c r="S378" s="17" t="n">
        <x:f>IF('Control Room'!$B$5="Normal",'Control Room'!$B$7+'Control Room'!$D$7*SQRT(-2*LN(MAX(0.000000000001,Q378/2147483647)))*COS(2*PI()*R378/2147483647),'Control Room'!$B$8+('Control Room'!$D$8-'Control Room'!$B$8)*Q378/2147483647)</x:f>
        <x:v>1078.4230777834764</x:v>
      </x:c>
      <x:c r="T378" s="17" t="n">
        <x:f>IF('Control Room'!$B$5="Normal",'Control Room'!$B$7,('Control Room'!$B$8+'Control Room'!$D$8)/2)+'Control Room'!$B$9*(T377-IF('Control Room'!$B$5="Normal",'Control Room'!$B$7,('Control Room'!$B$8+'Control Room'!$D$8)/2))+SQRT(1-'Control Room'!$B$9^2)*(S378-IF('Control Room'!$B$5="Normal",'Control Room'!$B$7,('Control Room'!$B$8+'Control Room'!$D$8)/2))</x:f>
        <x:v>1094.3236084679445</x:v>
      </x:c>
      <x:c r="U378" s="17" t="n">
        <x:f>IF(AND($A378&gt;='Control Room'!$A$13,$A378&lt;'Control Room'!$A$13+'Control Room'!$B$13,'Process'!BN2=1),1+('Control Room'!$C$13-1)*EXP(-0.5*(($A378-'Control Room'!$A$13-('Control Room'!$B$13-1)/2)/MAX(0.5,'Control Room'!$B$13/4))^2),1)*IF(AND($A378&gt;='Control Room'!$A$14,$A378&lt;'Control Room'!$A$14+'Control Room'!$B$14,'Process'!BN3=1),1+('Control Room'!$C$14-1)*EXP(-0.5*(($A378-'Control Room'!$A$14-('Control Room'!$B$14-1)/2)/MAX(0.5,'Control Room'!$B$14/4))^2),1)*IF(AND($A378&gt;='Control Room'!$A$15,$A378&lt;'Control Room'!$A$15+'Control Room'!$B$15,'Process'!BN4=1),1+('Control Room'!$C$15-1)*EXP(-0.5*(($A378-'Control Room'!$A$15-('Control Room'!$B$15-1)/2)/MAX(0.5,'Control Room'!$B$15/4))^2),1)*IF(AND($A378&gt;='Control Room'!$A$16,$A378&lt;'Control Room'!$A$16+'Control Room'!$B$16,'Process'!BN5=1),1+('Control Room'!$C$16-1)*EXP(-0.5*(($A378-'Control Room'!$A$16-('Control Room'!$B$16-1)/2)/MAX(0.5,'Control Room'!$B$16/4))^2),1)</x:f>
        <x:v>1</x:v>
      </x:c>
      <x:c r="V378" s="9" t="n">
        <x:f>MOD(W377*16807,2147483647)</x:f>
        <x:v>1748901867</x:v>
      </x:c>
      <x:c r="W378" s="9" t="n">
        <x:f>MOD(V378*16807,2147483647)</x:f>
        <x:v>1185002180</x:v>
      </x:c>
      <x:c r="X378" s="17" t="n">
        <x:f>IF('Control Room'!$B$5="Normal",'Control Room'!$B$7+'Control Room'!$D$7*SQRT(-2*LN(MAX(0.000000000001,V378/2147483647)))*COS(2*PI()*W378/2147483647),'Control Room'!$B$8+('Control Room'!$D$8-'Control Room'!$B$8)*V378/2147483647)</x:f>
        <x:v>945.3573324195404</x:v>
      </x:c>
      <x:c r="Y378" s="17" t="n">
        <x:f>IF('Control Room'!$B$5="Normal",'Control Room'!$B$7,('Control Room'!$B$8+'Control Room'!$D$8)/2)+'Control Room'!$B$9*(Y377-IF('Control Room'!$B$5="Normal",'Control Room'!$B$7,('Control Room'!$B$8+'Control Room'!$D$8)/2))+SQRT(1-'Control Room'!$B$9^2)*(X378-IF('Control Room'!$B$5="Normal",'Control Room'!$B$7,('Control Room'!$B$8+'Control Room'!$D$8)/2))</x:f>
        <x:v>897.8744907881495</x:v>
      </x:c>
      <x:c r="Z378" s="17" t="n">
        <x:f>IF(AND($A378&gt;='Control Room'!$A$13,$A378&lt;'Control Room'!$A$13+'Control Room'!$B$13,'Process'!BO2=1),1+('Control Room'!$C$13-1)*EXP(-0.5*(($A378-'Control Room'!$A$13-('Control Room'!$B$13-1)/2)/MAX(0.5,'Control Room'!$B$13/4))^2),1)*IF(AND($A378&gt;='Control Room'!$A$14,$A378&lt;'Control Room'!$A$14+'Control Room'!$B$14,'Process'!BO3=1),1+('Control Room'!$C$14-1)*EXP(-0.5*(($A378-'Control Room'!$A$14-('Control Room'!$B$14-1)/2)/MAX(0.5,'Control Room'!$B$14/4))^2),1)*IF(AND($A378&gt;='Control Room'!$A$15,$A378&lt;'Control Room'!$A$15+'Control Room'!$B$15,'Process'!BO4=1),1+('Control Room'!$C$15-1)*EXP(-0.5*(($A378-'Control Room'!$A$15-('Control Room'!$B$15-1)/2)/MAX(0.5,'Control Room'!$B$15/4))^2),1)*IF(AND($A378&gt;='Control Room'!$A$16,$A378&lt;'Control Room'!$A$16+'Control Room'!$B$16,'Process'!BO5=1),1+('Control Room'!$C$16-1)*EXP(-0.5*(($A378-'Control Room'!$A$16-('Control Room'!$B$16-1)/2)/MAX(0.5,'Control Room'!$B$16/4))^2),1)</x:f>
        <x:v>1</x:v>
      </x:c>
      <x:c r="AA378" s="9" t="n">
        <x:f>MOD(AB377*16807,2147483647)</x:f>
        <x:v>567600172</x:v>
      </x:c>
      <x:c r="AB378" s="9" t="n">
        <x:f>MOD(AA378*16807,2147483647)</x:f>
        <x:v>533730830</x:v>
      </x:c>
      <x:c r="AC378" s="17" t="n">
        <x:f>IF('Control Room'!$B$5="Normal",'Control Room'!$B$7+'Control Room'!$D$7*SQRT(-2*LN(MAX(0.000000000001,AA378/2147483647)))*COS(2*PI()*AB378/2147483647),'Control Room'!$B$8+('Control Room'!$D$8-'Control Room'!$B$8)*AA378/2147483647)</x:f>
        <x:v>1001.3488752701656</x:v>
      </x:c>
      <x:c r="AD378" s="17" t="n">
        <x:f>IF('Control Room'!$B$5="Normal",'Control Room'!$B$7,('Control Room'!$B$8+'Control Room'!$D$8)/2)+'Control Room'!$B$9*(AD377-IF('Control Room'!$B$5="Normal",'Control Room'!$B$7,('Control Room'!$B$8+'Control Room'!$D$8)/2))+SQRT(1-'Control Room'!$B$9^2)*(AC378-IF('Control Room'!$B$5="Normal",'Control Room'!$B$7,('Control Room'!$B$8+'Control Room'!$D$8)/2))</x:f>
        <x:v>1043.25794312771</x:v>
      </x:c>
      <x:c r="AE378" s="17" t="n">
        <x:f>IF(AND($A378&gt;='Control Room'!$A$13,$A378&lt;'Control Room'!$A$13+'Control Room'!$B$13,'Process'!BP2=1),1+('Control Room'!$C$13-1)*EXP(-0.5*(($A378-'Control Room'!$A$13-('Control Room'!$B$13-1)/2)/MAX(0.5,'Control Room'!$B$13/4))^2),1)*IF(AND($A378&gt;='Control Room'!$A$14,$A378&lt;'Control Room'!$A$14+'Control Room'!$B$14,'Process'!BP3=1),1+('Control Room'!$C$14-1)*EXP(-0.5*(($A378-'Control Room'!$A$14-('Control Room'!$B$14-1)/2)/MAX(0.5,'Control Room'!$B$14/4))^2),1)*IF(AND($A378&gt;='Control Room'!$A$15,$A378&lt;'Control Room'!$A$15+'Control Room'!$B$15,'Process'!BP4=1),1+('Control Room'!$C$15-1)*EXP(-0.5*(($A378-'Control Room'!$A$15-('Control Room'!$B$15-1)/2)/MAX(0.5,'Control Room'!$B$15/4))^2),1)*IF(AND($A378&gt;='Control Room'!$A$16,$A378&lt;'Control Room'!$A$16+'Control Room'!$B$16,'Process'!BP5=1),1+('Control Room'!$C$16-1)*EXP(-0.5*(($A378-'Control Room'!$A$16-('Control Room'!$B$16-1)/2)/MAX(0.5,'Control Room'!$B$16/4))^2),1)</x:f>
        <x:v>1</x:v>
      </x:c>
      <x:c r="AF378" s="9" t="n">
        <x:f>MOD(AG377*16807,2147483647)</x:f>
        <x:v>1533782124</x:v>
      </x:c>
      <x:c r="AG378" s="9" t="n">
        <x:f>MOD(AF378*16807,2147483647)</x:f>
        <x:v>2029943127</x:v>
      </x:c>
      <x:c r="AH378" s="17" t="n">
        <x:f>IF('Control Room'!$B$5="Normal",'Control Room'!$B$7+'Control Room'!$D$7*SQRT(-2*LN(MAX(0.000000000001,AF378/2147483647)))*COS(2*PI()*AG378/2147483647),'Control Room'!$B$8+('Control Room'!$D$8-'Control Room'!$B$8)*AF378/2147483647)</x:f>
        <x:v>1069.5158728819488</x:v>
      </x:c>
      <x:c r="AI378" s="17" t="n">
        <x:f>IF('Control Room'!$B$5="Normal",'Control Room'!$B$7,('Control Room'!$B$8+'Control Room'!$D$8)/2)+'Control Room'!$B$9*(AI377-IF('Control Room'!$B$5="Normal",'Control Room'!$B$7,('Control Room'!$B$8+'Control Room'!$D$8)/2))+SQRT(1-'Control Room'!$B$9^2)*(AH378-IF('Control Room'!$B$5="Normal",'Control Room'!$B$7,('Control Room'!$B$8+'Control Room'!$D$8)/2))</x:f>
        <x:v>1003.5043146221494</x:v>
      </x:c>
      <x:c r="AJ378" s="17" t="n">
        <x:f>IF(AND($A378&gt;='Control Room'!$A$13,$A378&lt;'Control Room'!$A$13+'Control Room'!$B$13,'Process'!BQ2=1),1+('Control Room'!$C$13-1)*EXP(-0.5*(($A378-'Control Room'!$A$13-('Control Room'!$B$13-1)/2)/MAX(0.5,'Control Room'!$B$13/4))^2),1)*IF(AND($A378&gt;='Control Room'!$A$14,$A378&lt;'Control Room'!$A$14+'Control Room'!$B$14,'Process'!BQ3=1),1+('Control Room'!$C$14-1)*EXP(-0.5*(($A378-'Control Room'!$A$14-('Control Room'!$B$14-1)/2)/MAX(0.5,'Control Room'!$B$14/4))^2),1)*IF(AND($A378&gt;='Control Room'!$A$15,$A378&lt;'Control Room'!$A$15+'Control Room'!$B$15,'Process'!BQ4=1),1+('Control Room'!$C$15-1)*EXP(-0.5*(($A378-'Control Room'!$A$15-('Control Room'!$B$15-1)/2)/MAX(0.5,'Control Room'!$B$15/4))^2),1)*IF(AND($A378&gt;='Control Room'!$A$16,$A378&lt;'Control Room'!$A$16+'Control Room'!$B$16,'Process'!BQ5=1),1+('Control Room'!$C$16-1)*EXP(-0.5*(($A378-'Control Room'!$A$16-('Control Room'!$B$16-1)/2)/MAX(0.5,'Control Room'!$B$16/4))^2),1)</x:f>
        <x:v>1</x:v>
      </x:c>
      <x:c r="AK378" s="9" t="n">
        <x:f>MOD(AL377*16807,2147483647)</x:f>
        <x:v>352480429</x:v>
      </x:c>
      <x:c r="AL378" s="9" t="n">
        <x:f>MOD(AK378*16807,2147483647)</x:f>
        <x:v>1378671777</x:v>
      </x:c>
      <x:c r="AM378" s="17" t="n">
        <x:f>IF('Control Room'!$B$5="Normal",'Control Room'!$B$7+'Control Room'!$D$7*SQRT(-2*LN(MAX(0.000000000001,AK378/2147483647)))*COS(2*PI()*AL378/2147483647),'Control Room'!$B$8+('Control Room'!$D$8-'Control Room'!$B$8)*AK378/2147483647)</x:f>
        <x:v>892.5986775680433</x:v>
      </x:c>
      <x:c r="AN378" s="17" t="n">
        <x:f>IF('Control Room'!$B$5="Normal",'Control Room'!$B$7,('Control Room'!$B$8+'Control Room'!$D$8)/2)+'Control Room'!$B$9*(AN377-IF('Control Room'!$B$5="Normal",'Control Room'!$B$7,('Control Room'!$B$8+'Control Room'!$D$8)/2))+SQRT(1-'Control Room'!$B$9^2)*(AM378-IF('Control Room'!$B$5="Normal",'Control Room'!$B$7,('Control Room'!$B$8+'Control Room'!$D$8)/2))</x:f>
        <x:v>959.1471036920739</x:v>
      </x:c>
      <x:c r="AO378" s="17" t="n">
        <x:f>IF(AND($A378&gt;='Control Room'!$A$13,$A378&lt;'Control Room'!$A$13+'Control Room'!$B$13,'Process'!BR2=1),1+('Control Room'!$C$13-1)*EXP(-0.5*(($A378-'Control Room'!$A$13-('Control Room'!$B$13-1)/2)/MAX(0.5,'Control Room'!$B$13/4))^2),1)*IF(AND($A378&gt;='Control Room'!$A$14,$A378&lt;'Control Room'!$A$14+'Control Room'!$B$14,'Process'!BR3=1),1+('Control Room'!$C$14-1)*EXP(-0.5*(($A378-'Control Room'!$A$14-('Control Room'!$B$14-1)/2)/MAX(0.5,'Control Room'!$B$14/4))^2),1)*IF(AND($A378&gt;='Control Room'!$A$15,$A378&lt;'Control Room'!$A$15+'Control Room'!$B$15,'Process'!BR4=1),1+('Control Room'!$C$15-1)*EXP(-0.5*(($A378-'Control Room'!$A$15-('Control Room'!$B$15-1)/2)/MAX(0.5,'Control Room'!$B$15/4))^2),1)*IF(AND($A378&gt;='Control Room'!$A$16,$A378&lt;'Control Room'!$A$16+'Control Room'!$B$16,'Process'!BR5=1),1+('Control Room'!$C$16-1)*EXP(-0.5*(($A378-'Control Room'!$A$16-('Control Room'!$B$16-1)/2)/MAX(0.5,'Control Room'!$B$16/4))^2),1)</x:f>
        <x:v>1</x:v>
      </x:c>
      <x:c r="AP378" s="9" t="n">
        <x:f>MOD(AQ377*16807,2147483647)</x:f>
        <x:v>1318662381</x:v>
      </x:c>
      <x:c r="AQ378" s="9" t="n">
        <x:f>MOD(AP378*16807,2147483647)</x:f>
        <x:v>727400427</x:v>
      </x:c>
      <x:c r="AR378" s="17" t="n">
        <x:f>IF('Control Room'!$B$5="Normal",'Control Room'!$B$7+'Control Room'!$D$7*SQRT(-2*LN(MAX(0.000000000001,AP378/2147483647)))*COS(2*PI()*AQ378/2147483647),'Control Room'!$B$8+('Control Room'!$D$8-'Control Room'!$B$8)*AP378/2147483647)</x:f>
        <x:v>952.9775221796168</x:v>
      </x:c>
      <x:c r="AS378" s="17" t="n">
        <x:f>IF('Control Room'!$B$5="Normal",'Control Room'!$B$7,('Control Room'!$B$8+'Control Room'!$D$8)/2)+'Control Room'!$B$9*(AS377-IF('Control Room'!$B$5="Normal",'Control Room'!$B$7,('Control Room'!$B$8+'Control Room'!$D$8)/2))+SQRT(1-'Control Room'!$B$9^2)*(AR378-IF('Control Room'!$B$5="Normal",'Control Room'!$B$7,('Control Room'!$B$8+'Control Room'!$D$8)/2))</x:f>
        <x:v>1013.0805854418594</x:v>
      </x:c>
      <x:c r="AT378" s="17" t="n">
        <x:f>IF(AND($A378&gt;='Control Room'!$A$13,$A378&lt;'Control Room'!$A$13+'Control Room'!$B$13,'Process'!BS2=1),1+('Control Room'!$C$13-1)*EXP(-0.5*(($A378-'Control Room'!$A$13-('Control Room'!$B$13-1)/2)/MAX(0.5,'Control Room'!$B$13/4))^2),1)*IF(AND($A378&gt;='Control Room'!$A$14,$A378&lt;'Control Room'!$A$14+'Control Room'!$B$14,'Process'!BS3=1),1+('Control Room'!$C$14-1)*EXP(-0.5*(($A378-'Control Room'!$A$14-('Control Room'!$B$14-1)/2)/MAX(0.5,'Control Room'!$B$14/4))^2),1)*IF(AND($A378&gt;='Control Room'!$A$15,$A378&lt;'Control Room'!$A$15+'Control Room'!$B$15,'Process'!BS4=1),1+('Control Room'!$C$15-1)*EXP(-0.5*(($A378-'Control Room'!$A$15-('Control Room'!$B$15-1)/2)/MAX(0.5,'Control Room'!$B$15/4))^2),1)*IF(AND($A378&gt;='Control Room'!$A$16,$A378&lt;'Control Room'!$A$16+'Control Room'!$B$16,'Process'!BS5=1),1+('Control Room'!$C$16-1)*EXP(-0.5*(($A378-'Control Room'!$A$16-('Control Room'!$B$16-1)/2)/MAX(0.5,'Control Room'!$B$16/4))^2),1)</x:f>
        <x:v>1</x:v>
      </x:c>
      <x:c r="AU378" s="9" t="n">
        <x:f>MOD(AV377*16807,2147483647)</x:f>
        <x:v>137360686</x:v>
      </x:c>
      <x:c r="AV378" s="9" t="n">
        <x:f>MOD(AU378*16807,2147483647)</x:f>
        <x:v>76129077</x:v>
      </x:c>
      <x:c r="AW378" s="17" t="n">
        <x:f>IF('Control Room'!$B$5="Normal",'Control Room'!$B$7+'Control Room'!$D$7*SQRT(-2*LN(MAX(0.000000000001,AU378/2147483647)))*COS(2*PI()*AV378/2147483647),'Control Room'!$B$8+('Control Room'!$D$8-'Control Room'!$B$8)*AU378/2147483647)</x:f>
        <x:v>1205.8334849220153</x:v>
      </x:c>
      <x:c r="AX378" s="17" t="n">
        <x:f>IF('Control Room'!$B$5="Normal",'Control Room'!$B$7,('Control Room'!$B$8+'Control Room'!$D$8)/2)+'Control Room'!$B$9*(AX377-IF('Control Room'!$B$5="Normal",'Control Room'!$B$7,('Control Room'!$B$8+'Control Room'!$D$8)/2))+SQRT(1-'Control Room'!$B$9^2)*(AW378-IF('Control Room'!$B$5="Normal",'Control Room'!$B$7,('Control Room'!$B$8+'Control Room'!$D$8)/2))</x:f>
        <x:v>1166.9268029030068</x:v>
      </x:c>
      <x:c r="AY378" s="17" t="n">
        <x:f>IF(AND($A378&gt;='Control Room'!$A$13,$A378&lt;'Control Room'!$A$13+'Control Room'!$B$13,'Process'!BT2=1),1+('Control Room'!$C$13-1)*EXP(-0.5*(($A378-'Control Room'!$A$13-('Control Room'!$B$13-1)/2)/MAX(0.5,'Control Room'!$B$13/4))^2),1)*IF(AND($A378&gt;='Control Room'!$A$14,$A378&lt;'Control Room'!$A$14+'Control Room'!$B$14,'Process'!BT3=1),1+('Control Room'!$C$14-1)*EXP(-0.5*(($A378-'Control Room'!$A$14-('Control Room'!$B$14-1)/2)/MAX(0.5,'Control Room'!$B$14/4))^2),1)*IF(AND($A378&gt;='Control Room'!$A$15,$A378&lt;'Control Room'!$A$15+'Control Room'!$B$15,'Process'!BT4=1),1+('Control Room'!$C$15-1)*EXP(-0.5*(($A378-'Control Room'!$A$15-('Control Room'!$B$15-1)/2)/MAX(0.5,'Control Room'!$B$15/4))^2),1)*IF(AND($A378&gt;='Control Room'!$A$16,$A378&lt;'Control Room'!$A$16+'Control Room'!$B$16,'Process'!BT5=1),1+('Control Room'!$C$16-1)*EXP(-0.5*(($A378-'Control Room'!$A$16-('Control Room'!$B$16-1)/2)/MAX(0.5,'Control Room'!$B$16/4))^2),1)</x:f>
        <x:v>1</x:v>
      </x:c>
      <x:c r="AZ378" s="9" t="n">
        <x:f>MOD(BA377*16807,2147483647)</x:f>
        <x:v>1103542638</x:v>
      </x:c>
      <x:c r="BA378" s="9" t="n">
        <x:f>MOD(AZ378*16807,2147483647)</x:f>
        <x:v>1572341374</x:v>
      </x:c>
      <x:c r="BB378" s="17" t="n">
        <x:f>IF('Control Room'!$B$5="Normal",'Control Room'!$B$7+'Control Room'!$D$7*SQRT(-2*LN(MAX(0.000000000001,AZ378/2147483647)))*COS(2*PI()*BA378/2147483647),'Control Room'!$B$8+('Control Room'!$D$8-'Control Room'!$B$8)*AZ378/2147483647)</x:f>
        <x:v>988.3952453537546</x:v>
      </x:c>
      <x:c r="BC378" s="17" t="n">
        <x:f>IF('Control Room'!$B$5="Normal",'Control Room'!$B$7,('Control Room'!$B$8+'Control Room'!$D$8)/2)+'Control Room'!$B$9*(BC377-IF('Control Room'!$B$5="Normal",'Control Room'!$B$7,('Control Room'!$B$8+'Control Room'!$D$8)/2))+SQRT(1-'Control Room'!$B$9^2)*(BB378-IF('Control Room'!$B$5="Normal",'Control Room'!$B$7,('Control Room'!$B$8+'Control Room'!$D$8)/2))</x:f>
        <x:v>955.9357744159779</x:v>
      </x:c>
      <x:c r="BD378" s="17" t="n">
        <x:f>IF(AND($A378&gt;='Control Room'!$A$13,$A378&lt;'Control Room'!$A$13+'Control Room'!$B$13,'Process'!BU2=1),1+('Control Room'!$C$13-1)*EXP(-0.5*(($A378-'Control Room'!$A$13-('Control Room'!$B$13-1)/2)/MAX(0.5,'Control Room'!$B$13/4))^2),1)*IF(AND($A378&gt;='Control Room'!$A$14,$A378&lt;'Control Room'!$A$14+'Control Room'!$B$14,'Process'!BU3=1),1+('Control Room'!$C$14-1)*EXP(-0.5*(($A378-'Control Room'!$A$14-('Control Room'!$B$14-1)/2)/MAX(0.5,'Control Room'!$B$14/4))^2),1)*IF(AND($A378&gt;='Control Room'!$A$15,$A378&lt;'Control Room'!$A$15+'Control Room'!$B$15,'Process'!BU4=1),1+('Control Room'!$C$15-1)*EXP(-0.5*(($A378-'Control Room'!$A$15-('Control Room'!$B$15-1)/2)/MAX(0.5,'Control Room'!$B$15/4))^2),1)*IF(AND($A378&gt;='Control Room'!$A$16,$A378&lt;'Control Room'!$A$16+'Control Room'!$B$16,'Process'!BU5=1),1+('Control Room'!$C$16-1)*EXP(-0.5*(($A378-'Control Room'!$A$16-('Control Room'!$B$16-1)/2)/MAX(0.5,'Control Room'!$B$16/4))^2),1)</x:f>
        <x:v>1</x:v>
      </x:c>
      <x:c r="BE378" s="9" t="n">
        <x:f>MOD(BF377*16807,2147483647)</x:f>
        <x:v>2069724590</x:v>
      </x:c>
      <x:c r="BF378" s="9" t="n">
        <x:f>MOD(BE378*16807,2147483647)</x:f>
        <x:v>921070024</x:v>
      </x:c>
      <x:c r="BG378" s="17" t="n">
        <x:f>IF('Control Room'!$B$5="Normal",'Control Room'!$B$7+'Control Room'!$D$7*SQRT(-2*LN(MAX(0.000000000001,BE378/2147483647)))*COS(2*PI()*BF378/2147483647),'Control Room'!$B$8+('Control Room'!$D$8-'Control Room'!$B$8)*BE378/2147483647)</x:f>
        <x:v>977.9550456657809</x:v>
      </x:c>
      <x:c r="BH378" s="17" t="n">
        <x:f>IF('Control Room'!$B$5="Normal",'Control Room'!$B$7,('Control Room'!$B$8+'Control Room'!$D$8)/2)+'Control Room'!$B$9*(BH377-IF('Control Room'!$B$5="Normal",'Control Room'!$B$7,('Control Room'!$B$8+'Control Room'!$D$8)/2))+SQRT(1-'Control Room'!$B$9^2)*(BG378-IF('Control Room'!$B$5="Normal",'Control Room'!$B$7,('Control Room'!$B$8+'Control Room'!$D$8)/2))</x:f>
        <x:v>1073.98943381558</x:v>
      </x:c>
      <x:c r="BI378" s="17" t="n">
        <x:f>IF(AND($A378&gt;='Control Room'!$A$13,$A378&lt;'Control Room'!$A$13+'Control Room'!$B$13,'Process'!BV2=1),1+('Control Room'!$C$13-1)*EXP(-0.5*(($A378-'Control Room'!$A$13-('Control Room'!$B$13-1)/2)/MAX(0.5,'Control Room'!$B$13/4))^2),1)*IF(AND($A378&gt;='Control Room'!$A$14,$A378&lt;'Control Room'!$A$14+'Control Room'!$B$14,'Process'!BV3=1),1+('Control Room'!$C$14-1)*EXP(-0.5*(($A378-'Control Room'!$A$14-('Control Room'!$B$14-1)/2)/MAX(0.5,'Control Room'!$B$14/4))^2),1)*IF(AND($A378&gt;='Control Room'!$A$15,$A378&lt;'Control Room'!$A$15+'Control Room'!$B$15,'Process'!BV4=1),1+('Control Room'!$C$15-1)*EXP(-0.5*(($A378-'Control Room'!$A$15-('Control Room'!$B$15-1)/2)/MAX(0.5,'Control Room'!$B$15/4))^2),1)*IF(AND($A378&gt;='Control Room'!$A$16,$A378&lt;'Control Room'!$A$16+'Control Room'!$B$16,'Process'!BV5=1),1+('Control Room'!$C$16-1)*EXP(-0.5*(($A378-'Control Room'!$A$16-('Control Room'!$B$16-1)/2)/MAX(0.5,'Control Room'!$B$16/4))^2),1)</x:f>
        <x:v>1</x:v>
      </x:c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Z378" t="str">
        <x:f>IF('Data'!A378="","",TEXT('Data'!A378,"mm-dd"))</x:f>
      </x:c>
    </x:row>
    <x:row r="379" ht="21" customHeight="1">
      <x:c r="A379" s="15" t="n">
        <x:f>'Control Room'!$B$1+377</x:f>
        <x:v>73368</x:v>
      </x:c>
      <x:c r="B379" s="9" t="n">
        <x:f>MOD(C378*16807,2147483647)</x:f>
        <x:v>1342019746</x:v>
      </x:c>
      <x:c r="C379" s="9" t="n">
        <x:f>MOD(B379*16807,2147483647)</x:f>
        <x:v>305126581</x:v>
      </x:c>
      <x:c r="D379" s="17" t="n">
        <x:f>IF('Control Room'!$B$5="Normal",'Control Room'!$B$7+'Control Room'!$D$7*SQRT(-2*LN(MAX(0.000000000001,B379/2147483647)))*COS(2*PI()*C379/2147483647),'Control Room'!$B$8+('Control Room'!$D$8-'Control Room'!$B$8)*B379/2147483647)</x:f>
        <x:v>1054.741729895353</x:v>
      </x:c>
      <x:c r="E379" s="17" t="n">
        <x:f>IF('Control Room'!$B$5="Normal",'Control Room'!$B$7,('Control Room'!$B$8+'Control Room'!$D$8)/2)+'Control Room'!$B$9*(E378-IF('Control Room'!$B$5="Normal",'Control Room'!$B$7,('Control Room'!$B$8+'Control Room'!$D$8)/2))+SQRT(1-'Control Room'!$B$9^2)*(D379-IF('Control Room'!$B$5="Normal",'Control Room'!$B$7,('Control Room'!$B$8+'Control Room'!$D$8)/2))</x:f>
        <x:v>1065.4036325445772</x:v>
      </x:c>
      <x:c r="F379" s="17" t="n">
        <x:f>IF(AND($A379&gt;='Control Room'!$A$13,$A379&lt;'Control Room'!$A$13+'Control Room'!$B$13,'Process'!BK2=1),1+('Control Room'!$C$13-1)*EXP(-0.5*(($A379-'Control Room'!$A$13-('Control Room'!$B$13-1)/2)/MAX(0.5,'Control Room'!$B$13/4))^2),1)*IF(AND($A379&gt;='Control Room'!$A$14,$A379&lt;'Control Room'!$A$14+'Control Room'!$B$14,'Process'!BK3=1),1+('Control Room'!$C$14-1)*EXP(-0.5*(($A379-'Control Room'!$A$14-('Control Room'!$B$14-1)/2)/MAX(0.5,'Control Room'!$B$14/4))^2),1)*IF(AND($A379&gt;='Control Room'!$A$15,$A379&lt;'Control Room'!$A$15+'Control Room'!$B$15,'Process'!BK4=1),1+('Control Room'!$C$15-1)*EXP(-0.5*(($A379-'Control Room'!$A$15-('Control Room'!$B$15-1)/2)/MAX(0.5,'Control Room'!$B$15/4))^2),1)*IF(AND($A379&gt;='Control Room'!$A$16,$A379&lt;'Control Room'!$A$16+'Control Room'!$B$16,'Process'!BK5=1),1+('Control Room'!$C$16-1)*EXP(-0.5*(($A379-'Control Room'!$A$16-('Control Room'!$B$16-1)/2)/MAX(0.5,'Control Room'!$B$16/4))^2),1)</x:f>
        <x:v>1</x:v>
      </x:c>
      <x:c r="G379" s="9" t="n">
        <x:f>MOD(H378*16807,2147483647)</x:f>
        <x:v>1148589055</x:v>
      </x:c>
      <x:c r="H379" s="9" t="n">
        <x:f>MOD(G379*16807,2147483647)</x:f>
        <x:v>605744502</x:v>
      </x:c>
      <x:c r="I379" s="17" t="n">
        <x:f>IF('Control Room'!$B$5="Normal",'Control Room'!$B$7+'Control Room'!$D$7*SQRT(-2*LN(MAX(0.000000000001,G379/2147483647)))*COS(2*PI()*H379/2147483647),'Control Room'!$B$8+('Control Room'!$D$8-'Control Room'!$B$8)*G379/2147483647)</x:f>
        <x:v>979.847833613778</x:v>
      </x:c>
      <x:c r="J379" s="17" t="n">
        <x:f>IF('Control Room'!$B$5="Normal",'Control Room'!$B$7,('Control Room'!$B$8+'Control Room'!$D$8)/2)+'Control Room'!$B$9*(J378-IF('Control Room'!$B$5="Normal",'Control Room'!$B$7,('Control Room'!$B$8+'Control Room'!$D$8)/2))+SQRT(1-'Control Room'!$B$9^2)*(I379-IF('Control Room'!$B$5="Normal",'Control Room'!$B$7,('Control Room'!$B$8+'Control Room'!$D$8)/2))</x:f>
        <x:v>856.502419919658</x:v>
      </x:c>
      <x:c r="K379" s="17" t="n">
        <x:f>IF(AND($A379&gt;='Control Room'!$A$13,$A379&lt;'Control Room'!$A$13+'Control Room'!$B$13,'Process'!BL2=1),1+('Control Room'!$C$13-1)*EXP(-0.5*(($A379-'Control Room'!$A$13-('Control Room'!$B$13-1)/2)/MAX(0.5,'Control Room'!$B$13/4))^2),1)*IF(AND($A379&gt;='Control Room'!$A$14,$A379&lt;'Control Room'!$A$14+'Control Room'!$B$14,'Process'!BL3=1),1+('Control Room'!$C$14-1)*EXP(-0.5*(($A379-'Control Room'!$A$14-('Control Room'!$B$14-1)/2)/MAX(0.5,'Control Room'!$B$14/4))^2),1)*IF(AND($A379&gt;='Control Room'!$A$15,$A379&lt;'Control Room'!$A$15+'Control Room'!$B$15,'Process'!BL4=1),1+('Control Room'!$C$15-1)*EXP(-0.5*(($A379-'Control Room'!$A$15-('Control Room'!$B$15-1)/2)/MAX(0.5,'Control Room'!$B$15/4))^2),1)*IF(AND($A379&gt;='Control Room'!$A$16,$A379&lt;'Control Room'!$A$16+'Control Room'!$B$16,'Process'!BL5=1),1+('Control Room'!$C$16-1)*EXP(-0.5*(($A379-'Control Room'!$A$16-('Control Room'!$B$16-1)/2)/MAX(0.5,'Control Room'!$B$16/4))^2),1)</x:f>
        <x:v>1</x:v>
      </x:c>
      <x:c r="L379" s="9" t="n">
        <x:f>MOD(M378*16807,2147483647)</x:f>
        <x:v>955158364</x:v>
      </x:c>
      <x:c r="M379" s="9" t="n">
        <x:f>MOD(L379*16807,2147483647)</x:f>
        <x:v>906362423</x:v>
      </x:c>
      <x:c r="N379" s="17" t="n">
        <x:f>IF('Control Room'!$B$5="Normal",'Control Room'!$B$7+'Control Room'!$D$7*SQRT(-2*LN(MAX(0.000000000001,L379/2147483647)))*COS(2*PI()*M379/2147483647),'Control Room'!$B$8+('Control Room'!$D$8-'Control Room'!$B$8)*L379/2147483647)</x:f>
        <x:v>898.9018753922853</x:v>
      </x:c>
      <x:c r="O379" s="17" t="n">
        <x:f>IF('Control Room'!$B$5="Normal",'Control Room'!$B$7,('Control Room'!$B$8+'Control Room'!$D$8)/2)+'Control Room'!$B$9*(O378-IF('Control Room'!$B$5="Normal",'Control Room'!$B$7,('Control Room'!$B$8+'Control Room'!$D$8)/2))+SQRT(1-'Control Room'!$B$9^2)*(N379-IF('Control Room'!$B$5="Normal",'Control Room'!$B$7,('Control Room'!$B$8+'Control Room'!$D$8)/2))</x:f>
        <x:v>949.4076623450619</x:v>
      </x:c>
      <x:c r="P379" s="17" t="n">
        <x:f>IF(AND($A379&gt;='Control Room'!$A$13,$A379&lt;'Control Room'!$A$13+'Control Room'!$B$13,'Process'!BM2=1),1+('Control Room'!$C$13-1)*EXP(-0.5*(($A379-'Control Room'!$A$13-('Control Room'!$B$13-1)/2)/MAX(0.5,'Control Room'!$B$13/4))^2),1)*IF(AND($A379&gt;='Control Room'!$A$14,$A379&lt;'Control Room'!$A$14+'Control Room'!$B$14,'Process'!BM3=1),1+('Control Room'!$C$14-1)*EXP(-0.5*(($A379-'Control Room'!$A$14-('Control Room'!$B$14-1)/2)/MAX(0.5,'Control Room'!$B$14/4))^2),1)*IF(AND($A379&gt;='Control Room'!$A$15,$A379&lt;'Control Room'!$A$15+'Control Room'!$B$15,'Process'!BM4=1),1+('Control Room'!$C$15-1)*EXP(-0.5*(($A379-'Control Room'!$A$15-('Control Room'!$B$15-1)/2)/MAX(0.5,'Control Room'!$B$15/4))^2),1)*IF(AND($A379&gt;='Control Room'!$A$16,$A379&lt;'Control Room'!$A$16+'Control Room'!$B$16,'Process'!BM5=1),1+('Control Room'!$C$16-1)*EXP(-0.5*(($A379-'Control Room'!$A$16-('Control Room'!$B$16-1)/2)/MAX(0.5,'Control Room'!$B$16/4))^2),1)</x:f>
        <x:v>1</x:v>
      </x:c>
      <x:c r="Q379" s="9" t="n">
        <x:f>MOD(R378*16807,2147483647)</x:f>
        <x:v>761727673</x:v>
      </x:c>
      <x:c r="R379" s="9" t="n">
        <x:f>MOD(Q379*16807,2147483647)</x:f>
        <x:v>1206980344</x:v>
      </x:c>
      <x:c r="S379" s="17" t="n">
        <x:f>IF('Control Room'!$B$5="Normal",'Control Room'!$B$7+'Control Room'!$D$7*SQRT(-2*LN(MAX(0.000000000001,Q379/2147483647)))*COS(2*PI()*R379/2147483647),'Control Room'!$B$8+('Control Room'!$D$8-'Control Room'!$B$8)*Q379/2147483647)</x:f>
        <x:v>880.1431000322063</x:v>
      </x:c>
      <x:c r="T379" s="17" t="n">
        <x:f>IF('Control Room'!$B$5="Normal",'Control Room'!$B$7,('Control Room'!$B$8+'Control Room'!$D$8)/2)+'Control Room'!$B$9*(T378-IF('Control Room'!$B$5="Normal",'Control Room'!$B$7,('Control Room'!$B$8+'Control Room'!$D$8)/2))+SQRT(1-'Control Room'!$B$9^2)*(S379-IF('Control Room'!$B$5="Normal",'Control Room'!$B$7,('Control Room'!$B$8+'Control Room'!$D$8)/2))</x:f>
        <x:v>998.5684220072103</x:v>
      </x:c>
      <x:c r="U379" s="17" t="n">
        <x:f>IF(AND($A379&gt;='Control Room'!$A$13,$A379&lt;'Control Room'!$A$13+'Control Room'!$B$13,'Process'!BN2=1),1+('Control Room'!$C$13-1)*EXP(-0.5*(($A379-'Control Room'!$A$13-('Control Room'!$B$13-1)/2)/MAX(0.5,'Control Room'!$B$13/4))^2),1)*IF(AND($A379&gt;='Control Room'!$A$14,$A379&lt;'Control Room'!$A$14+'Control Room'!$B$14,'Process'!BN3=1),1+('Control Room'!$C$14-1)*EXP(-0.5*(($A379-'Control Room'!$A$14-('Control Room'!$B$14-1)/2)/MAX(0.5,'Control Room'!$B$14/4))^2),1)*IF(AND($A379&gt;='Control Room'!$A$15,$A379&lt;'Control Room'!$A$15+'Control Room'!$B$15,'Process'!BN4=1),1+('Control Room'!$C$15-1)*EXP(-0.5*(($A379-'Control Room'!$A$15-('Control Room'!$B$15-1)/2)/MAX(0.5,'Control Room'!$B$15/4))^2),1)*IF(AND($A379&gt;='Control Room'!$A$16,$A379&lt;'Control Room'!$A$16+'Control Room'!$B$16,'Process'!BN5=1),1+('Control Room'!$C$16-1)*EXP(-0.5*(($A379-'Control Room'!$A$16-('Control Room'!$B$16-1)/2)/MAX(0.5,'Control Room'!$B$16/4))^2),1)</x:f>
        <x:v>1</x:v>
      </x:c>
      <x:c r="V379" s="9" t="n">
        <x:f>MOD(W378*16807,2147483647)</x:f>
        <x:v>568296982</x:v>
      </x:c>
      <x:c r="W379" s="9" t="n">
        <x:f>MOD(V379*16807,2147483647)</x:f>
        <x:v>1507598265</x:v>
      </x:c>
      <x:c r="X379" s="17" t="n">
        <x:f>IF('Control Room'!$B$5="Normal",'Control Room'!$B$7+'Control Room'!$D$7*SQRT(-2*LN(MAX(0.000000000001,V379/2147483647)))*COS(2*PI()*W379/2147483647),'Control Room'!$B$8+('Control Room'!$D$8-'Control Room'!$B$8)*V379/2147483647)</x:f>
        <x:v>956.4348380291511</x:v>
      </x:c>
      <x:c r="Y379" s="17" t="n">
        <x:f>IF('Control Room'!$B$5="Normal",'Control Room'!$B$7,('Control Room'!$B$8+'Control Room'!$D$8)/2)+'Control Room'!$B$9*(Y378-IF('Control Room'!$B$5="Normal",'Control Room'!$B$7,('Control Room'!$B$8+'Control Room'!$D$8)/2))+SQRT(1-'Control Room'!$B$9^2)*(X379-IF('Control Room'!$B$5="Normal",'Control Room'!$B$7,('Control Room'!$B$8+'Control Room'!$D$8)/2))</x:f>
        <x:v>893.079916934253</x:v>
      </x:c>
      <x:c r="Z379" s="17" t="n">
        <x:f>IF(AND($A379&gt;='Control Room'!$A$13,$A379&lt;'Control Room'!$A$13+'Control Room'!$B$13,'Process'!BO2=1),1+('Control Room'!$C$13-1)*EXP(-0.5*(($A379-'Control Room'!$A$13-('Control Room'!$B$13-1)/2)/MAX(0.5,'Control Room'!$B$13/4))^2),1)*IF(AND($A379&gt;='Control Room'!$A$14,$A379&lt;'Control Room'!$A$14+'Control Room'!$B$14,'Process'!BO3=1),1+('Control Room'!$C$14-1)*EXP(-0.5*(($A379-'Control Room'!$A$14-('Control Room'!$B$14-1)/2)/MAX(0.5,'Control Room'!$B$14/4))^2),1)*IF(AND($A379&gt;='Control Room'!$A$15,$A379&lt;'Control Room'!$A$15+'Control Room'!$B$15,'Process'!BO4=1),1+('Control Room'!$C$15-1)*EXP(-0.5*(($A379-'Control Room'!$A$15-('Control Room'!$B$15-1)/2)/MAX(0.5,'Control Room'!$B$15/4))^2),1)*IF(AND($A379&gt;='Control Room'!$A$16,$A379&lt;'Control Room'!$A$16+'Control Room'!$B$16,'Process'!BO5=1),1+('Control Room'!$C$16-1)*EXP(-0.5*(($A379-'Control Room'!$A$16-('Control Room'!$B$16-1)/2)/MAX(0.5,'Control Room'!$B$16/4))^2),1)</x:f>
        <x:v>1</x:v>
      </x:c>
      <x:c r="AA379" s="9" t="n">
        <x:f>MOD(AB378*16807,2147483647)</x:f>
        <x:v>374866291</x:v>
      </x:c>
      <x:c r="AB379" s="9" t="n">
        <x:f>MOD(AA379*16807,2147483647)</x:f>
        <x:v>1808216186</x:v>
      </x:c>
      <x:c r="AC379" s="17" t="n">
        <x:f>IF('Control Room'!$B$5="Normal",'Control Room'!$B$7+'Control Room'!$D$7*SQRT(-2*LN(MAX(0.000000000001,AA379/2147483647)))*COS(2*PI()*AB379/2147483647),'Control Room'!$B$8+('Control Room'!$D$8-'Control Room'!$B$8)*AA379/2147483647)</x:f>
        <x:v>1091.8945057396827</x:v>
      </x:c>
      <x:c r="AD379" s="17" t="n">
        <x:f>IF('Control Room'!$B$5="Normal",'Control Room'!$B$7,('Control Room'!$B$8+'Control Room'!$D$8)/2)+'Control Room'!$B$9*(AD378-IF('Control Room'!$B$5="Normal",'Control Room'!$B$7,('Control Room'!$B$8+'Control Room'!$D$8)/2))+SQRT(1-'Control Room'!$B$9^2)*(AC379-IF('Control Room'!$B$5="Normal",'Control Room'!$B$7,('Control Room'!$B$8+'Control Room'!$D$8)/2))</x:f>
        <x:v>1091.246894770231</x:v>
      </x:c>
      <x:c r="AE379" s="17" t="n">
        <x:f>IF(AND($A379&gt;='Control Room'!$A$13,$A379&lt;'Control Room'!$A$13+'Control Room'!$B$13,'Process'!BP2=1),1+('Control Room'!$C$13-1)*EXP(-0.5*(($A379-'Control Room'!$A$13-('Control Room'!$B$13-1)/2)/MAX(0.5,'Control Room'!$B$13/4))^2),1)*IF(AND($A379&gt;='Control Room'!$A$14,$A379&lt;'Control Room'!$A$14+'Control Room'!$B$14,'Process'!BP3=1),1+('Control Room'!$C$14-1)*EXP(-0.5*(($A379-'Control Room'!$A$14-('Control Room'!$B$14-1)/2)/MAX(0.5,'Control Room'!$B$14/4))^2),1)*IF(AND($A379&gt;='Control Room'!$A$15,$A379&lt;'Control Room'!$A$15+'Control Room'!$B$15,'Process'!BP4=1),1+('Control Room'!$C$15-1)*EXP(-0.5*(($A379-'Control Room'!$A$15-('Control Room'!$B$15-1)/2)/MAX(0.5,'Control Room'!$B$15/4))^2),1)*IF(AND($A379&gt;='Control Room'!$A$16,$A379&lt;'Control Room'!$A$16+'Control Room'!$B$16,'Process'!BP5=1),1+('Control Room'!$C$16-1)*EXP(-0.5*(($A379-'Control Room'!$A$16-('Control Room'!$B$16-1)/2)/MAX(0.5,'Control Room'!$B$16/4))^2),1)</x:f>
        <x:v>1</x:v>
      </x:c>
      <x:c r="AF379" s="9" t="n">
        <x:f>MOD(AG378*16807,2147483647)</x:f>
        <x:v>181435600</x:v>
      </x:c>
      <x:c r="AG379" s="9" t="n">
        <x:f>MOD(AF379*16807,2147483647)</x:f>
        <x:v>2108834107</x:v>
      </x:c>
      <x:c r="AH379" s="17" t="n">
        <x:f>IF('Control Room'!$B$5="Normal",'Control Room'!$B$7+'Control Room'!$D$7*SQRT(-2*LN(MAX(0.000000000001,AF379/2147483647)))*COS(2*PI()*AG379/2147483647),'Control Room'!$B$8+('Control Room'!$D$8-'Control Room'!$B$8)*AF379/2147483647)</x:f>
        <x:v>1198.803691728823</x:v>
      </x:c>
      <x:c r="AI379" s="17" t="n">
        <x:f>IF('Control Room'!$B$5="Normal",'Control Room'!$B$7,('Control Room'!$B$8+'Control Room'!$D$8)/2)+'Control Room'!$B$9*(AI378-IF('Control Room'!$B$5="Normal",'Control Room'!$B$7,('Control Room'!$B$8+'Control Room'!$D$8)/2))+SQRT(1-'Control Room'!$B$9^2)*(AH379-IF('Control Room'!$B$5="Normal",'Control Room'!$B$7,('Control Room'!$B$8+'Control Room'!$D$8)/2))</x:f>
        <x:v>1127.1406429741771</x:v>
      </x:c>
      <x:c r="AJ379" s="17" t="n">
        <x:f>IF(AND($A379&gt;='Control Room'!$A$13,$A379&lt;'Control Room'!$A$13+'Control Room'!$B$13,'Process'!BQ2=1),1+('Control Room'!$C$13-1)*EXP(-0.5*(($A379-'Control Room'!$A$13-('Control Room'!$B$13-1)/2)/MAX(0.5,'Control Room'!$B$13/4))^2),1)*IF(AND($A379&gt;='Control Room'!$A$14,$A379&lt;'Control Room'!$A$14+'Control Room'!$B$14,'Process'!BQ3=1),1+('Control Room'!$C$14-1)*EXP(-0.5*(($A379-'Control Room'!$A$14-('Control Room'!$B$14-1)/2)/MAX(0.5,'Control Room'!$B$14/4))^2),1)*IF(AND($A379&gt;='Control Room'!$A$15,$A379&lt;'Control Room'!$A$15+'Control Room'!$B$15,'Process'!BQ4=1),1+('Control Room'!$C$15-1)*EXP(-0.5*(($A379-'Control Room'!$A$15-('Control Room'!$B$15-1)/2)/MAX(0.5,'Control Room'!$B$15/4))^2),1)*IF(AND($A379&gt;='Control Room'!$A$16,$A379&lt;'Control Room'!$A$16+'Control Room'!$B$16,'Process'!BQ5=1),1+('Control Room'!$C$16-1)*EXP(-0.5*(($A379-'Control Room'!$A$16-('Control Room'!$B$16-1)/2)/MAX(0.5,'Control Room'!$B$16/4))^2),1)</x:f>
        <x:v>1</x:v>
      </x:c>
      <x:c r="AK379" s="9" t="n">
        <x:f>MOD(AL378*16807,2147483647)</x:f>
        <x:v>2135488556</x:v>
      </x:c>
      <x:c r="AL379" s="9" t="n">
        <x:f>MOD(AK379*16807,2147483647)</x:f>
        <x:v>261968381</x:v>
      </x:c>
      <x:c r="AM379" s="17" t="n">
        <x:f>IF('Control Room'!$B$5="Normal",'Control Room'!$B$7+'Control Room'!$D$7*SQRT(-2*LN(MAX(0.000000000001,AK379/2147483647)))*COS(2*PI()*AL379/2147483647),'Control Room'!$B$8+('Control Room'!$D$8-'Control Room'!$B$8)*AK379/2147483647)</x:f>
        <x:v>1006.8620077403965</x:v>
      </x:c>
      <x:c r="AN379" s="17" t="n">
        <x:f>IF('Control Room'!$B$5="Normal",'Control Room'!$B$7,('Control Room'!$B$8+'Control Room'!$D$8)/2)+'Control Room'!$B$9*(AN378-IF('Control Room'!$B$5="Normal",'Control Room'!$B$7,('Control Room'!$B$8+'Control Room'!$D$8)/2))+SQRT(1-'Control Room'!$B$9^2)*(AM379-IF('Control Room'!$B$5="Normal",'Control Room'!$B$7,('Control Room'!$B$8+'Control Room'!$D$8)/2))</x:f>
        <x:v>972.4288447478882</x:v>
      </x:c>
      <x:c r="AO379" s="17" t="n">
        <x:f>IF(AND($A379&gt;='Control Room'!$A$13,$A379&lt;'Control Room'!$A$13+'Control Room'!$B$13,'Process'!BR2=1),1+('Control Room'!$C$13-1)*EXP(-0.5*(($A379-'Control Room'!$A$13-('Control Room'!$B$13-1)/2)/MAX(0.5,'Control Room'!$B$13/4))^2),1)*IF(AND($A379&gt;='Control Room'!$A$14,$A379&lt;'Control Room'!$A$14+'Control Room'!$B$14,'Process'!BR3=1),1+('Control Room'!$C$14-1)*EXP(-0.5*(($A379-'Control Room'!$A$14-('Control Room'!$B$14-1)/2)/MAX(0.5,'Control Room'!$B$14/4))^2),1)*IF(AND($A379&gt;='Control Room'!$A$15,$A379&lt;'Control Room'!$A$15+'Control Room'!$B$15,'Process'!BR4=1),1+('Control Room'!$C$15-1)*EXP(-0.5*(($A379-'Control Room'!$A$15-('Control Room'!$B$15-1)/2)/MAX(0.5,'Control Room'!$B$15/4))^2),1)*IF(AND($A379&gt;='Control Room'!$A$16,$A379&lt;'Control Room'!$A$16+'Control Room'!$B$16,'Process'!BR5=1),1+('Control Room'!$C$16-1)*EXP(-0.5*(($A379-'Control Room'!$A$16-('Control Room'!$B$16-1)/2)/MAX(0.5,'Control Room'!$B$16/4))^2),1)</x:f>
        <x:v>1</x:v>
      </x:c>
      <x:c r="AP379" s="9" t="n">
        <x:f>MOD(AQ378*16807,2147483647)</x:f>
        <x:v>1942057865</x:v>
      </x:c>
      <x:c r="AQ379" s="9" t="n">
        <x:f>MOD(AP379*16807,2147483647)</x:f>
        <x:v>562586302</x:v>
      </x:c>
      <x:c r="AR379" s="17" t="n">
        <x:f>IF('Control Room'!$B$5="Normal",'Control Room'!$B$7+'Control Room'!$D$7*SQRT(-2*LN(MAX(0.000000000001,AP379/2147483647)))*COS(2*PI()*AQ379/2147483647),'Control Room'!$B$8+('Control Room'!$D$8-'Control Room'!$B$8)*AP379/2147483647)</x:f>
        <x:v>996.9662568907015</x:v>
      </x:c>
      <x:c r="AS379" s="17" t="n">
        <x:f>IF('Control Room'!$B$5="Normal",'Control Room'!$B$7,('Control Room'!$B$8+'Control Room'!$D$8)/2)+'Control Room'!$B$9*(AS378-IF('Control Room'!$B$5="Normal",'Control Room'!$B$7,('Control Room'!$B$8+'Control Room'!$D$8)/2))+SQRT(1-'Control Room'!$B$9^2)*(AR379-IF('Control Room'!$B$5="Normal",'Control Room'!$B$7,('Control Room'!$B$8+'Control Room'!$D$8)/2))</x:f>
        <x:v>1008.304402356457</x:v>
      </x:c>
      <x:c r="AT379" s="17" t="n">
        <x:f>IF(AND($A379&gt;='Control Room'!$A$13,$A379&lt;'Control Room'!$A$13+'Control Room'!$B$13,'Process'!BS2=1),1+('Control Room'!$C$13-1)*EXP(-0.5*(($A379-'Control Room'!$A$13-('Control Room'!$B$13-1)/2)/MAX(0.5,'Control Room'!$B$13/4))^2),1)*IF(AND($A379&gt;='Control Room'!$A$14,$A379&lt;'Control Room'!$A$14+'Control Room'!$B$14,'Process'!BS3=1),1+('Control Room'!$C$14-1)*EXP(-0.5*(($A379-'Control Room'!$A$14-('Control Room'!$B$14-1)/2)/MAX(0.5,'Control Room'!$B$14/4))^2),1)*IF(AND($A379&gt;='Control Room'!$A$15,$A379&lt;'Control Room'!$A$15+'Control Room'!$B$15,'Process'!BS4=1),1+('Control Room'!$C$15-1)*EXP(-0.5*(($A379-'Control Room'!$A$15-('Control Room'!$B$15-1)/2)/MAX(0.5,'Control Room'!$B$15/4))^2),1)*IF(AND($A379&gt;='Control Room'!$A$16,$A379&lt;'Control Room'!$A$16+'Control Room'!$B$16,'Process'!BS5=1),1+('Control Room'!$C$16-1)*EXP(-0.5*(($A379-'Control Room'!$A$16-('Control Room'!$B$16-1)/2)/MAX(0.5,'Control Room'!$B$16/4))^2),1)</x:f>
        <x:v>1</x:v>
      </x:c>
      <x:c r="AU379" s="9" t="n">
        <x:f>MOD(AV378*16807,2147483647)</x:f>
        <x:v>1748627174</x:v>
      </x:c>
      <x:c r="AV379" s="9" t="n">
        <x:f>MOD(AU379*16807,2147483647)</x:f>
        <x:v>863204223</x:v>
      </x:c>
      <x:c r="AW379" s="17" t="n">
        <x:f>IF('Control Room'!$B$5="Normal",'Control Room'!$B$7+'Control Room'!$D$7*SQRT(-2*LN(MAX(0.000000000001,AU379/2147483647)))*COS(2*PI()*AV379/2147483647),'Control Room'!$B$8+('Control Room'!$D$8-'Control Room'!$B$8)*AU379/2147483647)</x:f>
        <x:v>952.9107052198015</x:v>
      </x:c>
      <x:c r="AX379" s="17" t="n">
        <x:f>IF('Control Room'!$B$5="Normal",'Control Room'!$B$7,('Control Room'!$B$8+'Control Room'!$D$8)/2)+'Control Room'!$B$9*(AX378-IF('Control Room'!$B$5="Normal",'Control Room'!$B$7,('Control Room'!$B$8+'Control Room'!$D$8)/2))+SQRT(1-'Control Room'!$B$9^2)*(AW379-IF('Control Room'!$B$5="Normal",'Control Room'!$B$7,('Control Room'!$B$8+'Control Room'!$D$8)/2))</x:f>
        <x:v>1100.7353902675354</x:v>
      </x:c>
      <x:c r="AY379" s="17" t="n">
        <x:f>IF(AND($A379&gt;='Control Room'!$A$13,$A379&lt;'Control Room'!$A$13+'Control Room'!$B$13,'Process'!BT2=1),1+('Control Room'!$C$13-1)*EXP(-0.5*(($A379-'Control Room'!$A$13-('Control Room'!$B$13-1)/2)/MAX(0.5,'Control Room'!$B$13/4))^2),1)*IF(AND($A379&gt;='Control Room'!$A$14,$A379&lt;'Control Room'!$A$14+'Control Room'!$B$14,'Process'!BT3=1),1+('Control Room'!$C$14-1)*EXP(-0.5*(($A379-'Control Room'!$A$14-('Control Room'!$B$14-1)/2)/MAX(0.5,'Control Room'!$B$14/4))^2),1)*IF(AND($A379&gt;='Control Room'!$A$15,$A379&lt;'Control Room'!$A$15+'Control Room'!$B$15,'Process'!BT4=1),1+('Control Room'!$C$15-1)*EXP(-0.5*(($A379-'Control Room'!$A$15-('Control Room'!$B$15-1)/2)/MAX(0.5,'Control Room'!$B$15/4))^2),1)*IF(AND($A379&gt;='Control Room'!$A$16,$A379&lt;'Control Room'!$A$16+'Control Room'!$B$16,'Process'!BT5=1),1+('Control Room'!$C$16-1)*EXP(-0.5*(($A379-'Control Room'!$A$16-('Control Room'!$B$16-1)/2)/MAX(0.5,'Control Room'!$B$16/4))^2),1)</x:f>
        <x:v>1</x:v>
      </x:c>
      <x:c r="AZ379" s="9" t="n">
        <x:f>MOD(BA378*16807,2147483647)</x:f>
        <x:v>1555196483</x:v>
      </x:c>
      <x:c r="BA379" s="9" t="n">
        <x:f>MOD(AZ379*16807,2147483647)</x:f>
        <x:v>1163822144</x:v>
      </x:c>
      <x:c r="BB379" s="17" t="n">
        <x:f>IF('Control Room'!$B$5="Normal",'Control Room'!$B$7+'Control Room'!$D$7*SQRT(-2*LN(MAX(0.000000000001,AZ379/2147483647)))*COS(2*PI()*BA379/2147483647),'Control Room'!$B$8+('Control Room'!$D$8-'Control Room'!$B$8)*AZ379/2147483647)</x:f>
        <x:v>930.1941722374852</x:v>
      </x:c>
      <x:c r="BC379" s="17" t="n">
        <x:f>IF('Control Room'!$B$5="Normal",'Control Room'!$B$7,('Control Room'!$B$8+'Control Room'!$D$8)/2)+'Control Room'!$B$9*(BC378-IF('Control Room'!$B$5="Normal",'Control Room'!$B$7,('Control Room'!$B$8+'Control Room'!$D$8)/2))+SQRT(1-'Control Room'!$B$9^2)*(BB379-IF('Control Room'!$B$5="Normal",'Control Room'!$B$7,('Control Room'!$B$8+'Control Room'!$D$8)/2))</x:f>
        <x:v>921.946847080793</x:v>
      </x:c>
      <x:c r="BD379" s="17" t="n">
        <x:f>IF(AND($A379&gt;='Control Room'!$A$13,$A379&lt;'Control Room'!$A$13+'Control Room'!$B$13,'Process'!BU2=1),1+('Control Room'!$C$13-1)*EXP(-0.5*(($A379-'Control Room'!$A$13-('Control Room'!$B$13-1)/2)/MAX(0.5,'Control Room'!$B$13/4))^2),1)*IF(AND($A379&gt;='Control Room'!$A$14,$A379&lt;'Control Room'!$A$14+'Control Room'!$B$14,'Process'!BU3=1),1+('Control Room'!$C$14-1)*EXP(-0.5*(($A379-'Control Room'!$A$14-('Control Room'!$B$14-1)/2)/MAX(0.5,'Control Room'!$B$14/4))^2),1)*IF(AND($A379&gt;='Control Room'!$A$15,$A379&lt;'Control Room'!$A$15+'Control Room'!$B$15,'Process'!BU4=1),1+('Control Room'!$C$15-1)*EXP(-0.5*(($A379-'Control Room'!$A$15-('Control Room'!$B$15-1)/2)/MAX(0.5,'Control Room'!$B$15/4))^2),1)*IF(AND($A379&gt;='Control Room'!$A$16,$A379&lt;'Control Room'!$A$16+'Control Room'!$B$16,'Process'!BU5=1),1+('Control Room'!$C$16-1)*EXP(-0.5*(($A379-'Control Room'!$A$16-('Control Room'!$B$16-1)/2)/MAX(0.5,'Control Room'!$B$16/4))^2),1)</x:f>
        <x:v>1</x:v>
      </x:c>
      <x:c r="BE379" s="9" t="n">
        <x:f>MOD(BF378*16807,2147483647)</x:f>
        <x:v>1361765792</x:v>
      </x:c>
      <x:c r="BF379" s="9" t="n">
        <x:f>MOD(BE379*16807,2147483647)</x:f>
        <x:v>1464440065</x:v>
      </x:c>
      <x:c r="BG379" s="17" t="n">
        <x:f>IF('Control Room'!$B$5="Normal",'Control Room'!$B$7+'Control Room'!$D$7*SQRT(-2*LN(MAX(0.000000000001,BE379/2147483647)))*COS(2*PI()*BF379/2147483647),'Control Room'!$B$8+('Control Room'!$D$8-'Control Room'!$B$8)*BE379/2147483647)</x:f>
        <x:v>964.3709843195948</x:v>
      </x:c>
      <x:c r="BH379" s="17" t="n">
        <x:f>IF('Control Room'!$B$5="Normal",'Control Room'!$B$7,('Control Room'!$B$8+'Control Room'!$D$8)/2)+'Control Room'!$B$9*(BH378-IF('Control Room'!$B$5="Normal",'Control Room'!$B$7,('Control Room'!$B$8+'Control Room'!$D$8)/2))+SQRT(1-'Control Room'!$B$9^2)*(BG379-IF('Control Room'!$B$5="Normal",'Control Room'!$B$7,('Control Room'!$B$8+'Control Room'!$D$8)/2))</x:f>
        <x:v>1035.4158502634145</x:v>
      </x:c>
      <x:c r="BI379" s="17" t="n">
        <x:f>IF(AND($A379&gt;='Control Room'!$A$13,$A379&lt;'Control Room'!$A$13+'Control Room'!$B$13,'Process'!BV2=1),1+('Control Room'!$C$13-1)*EXP(-0.5*(($A379-'Control Room'!$A$13-('Control Room'!$B$13-1)/2)/MAX(0.5,'Control Room'!$B$13/4))^2),1)*IF(AND($A379&gt;='Control Room'!$A$14,$A379&lt;'Control Room'!$A$14+'Control Room'!$B$14,'Process'!BV3=1),1+('Control Room'!$C$14-1)*EXP(-0.5*(($A379-'Control Room'!$A$14-('Control Room'!$B$14-1)/2)/MAX(0.5,'Control Room'!$B$14/4))^2),1)*IF(AND($A379&gt;='Control Room'!$A$15,$A379&lt;'Control Room'!$A$15+'Control Room'!$B$15,'Process'!BV4=1),1+('Control Room'!$C$15-1)*EXP(-0.5*(($A379-'Control Room'!$A$15-('Control Room'!$B$15-1)/2)/MAX(0.5,'Control Room'!$B$15/4))^2),1)*IF(AND($A379&gt;='Control Room'!$A$16,$A379&lt;'Control Room'!$A$16+'Control Room'!$B$16,'Process'!BV5=1),1+('Control Room'!$C$16-1)*EXP(-0.5*(($A379-'Control Room'!$A$16-('Control Room'!$B$16-1)/2)/MAX(0.5,'Control Room'!$B$16/4))^2),1)</x:f>
        <x:v>1</x:v>
      </x:c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Z379" t="str">
        <x:f>IF('Data'!A379="","",TEXT('Data'!A379,"mm-dd"))</x:f>
      </x:c>
    </x:row>
    <x:row r="380" ht="21" customHeight="1">
      <x:c r="A380" s="15" t="n">
        <x:f>'Control Room'!$B$1+378</x:f>
        <x:v>73369</x:v>
      </x:c>
      <x:c r="B380" s="9" t="n">
        <x:f>MOD(C379*16807,2147483647)</x:f>
        <x:v>71497831</x:v>
      </x:c>
      <x:c r="C380" s="9" t="n">
        <x:f>MOD(B380*16807,2147483647)</x:f>
        <x:v>1220686944</x:v>
      </x:c>
      <x:c r="D380" s="17" t="n">
        <x:f>IF('Control Room'!$B$5="Normal",'Control Room'!$B$7+'Control Room'!$D$7*SQRT(-2*LN(MAX(0.000000000001,B380/2147483647)))*COS(2*PI()*C380/2147483647),'Control Room'!$B$8+('Control Room'!$D$8-'Control Room'!$B$8)*B380/2147483647)</x:f>
        <x:v>786.5927216872236</x:v>
      </x:c>
      <x:c r="E380" s="17" t="n">
        <x:f>IF('Control Room'!$B$5="Normal",'Control Room'!$B$7,('Control Room'!$B$8+'Control Room'!$D$8)/2)+'Control Room'!$B$9*(E379-IF('Control Room'!$B$5="Normal",'Control Room'!$B$7,('Control Room'!$B$8+'Control Room'!$D$8)/2))+SQRT(1-'Control Room'!$B$9^2)*(D380-IF('Control Room'!$B$5="Normal",'Control Room'!$B$7,('Control Room'!$B$8+'Control Room'!$D$8)/2))</x:f>
        <x:v>917.4689305023643</x:v>
      </x:c>
      <x:c r="F380" s="17" t="n">
        <x:f>IF(AND($A380&gt;='Control Room'!$A$13,$A380&lt;'Control Room'!$A$13+'Control Room'!$B$13,'Process'!BK2=1),1+('Control Room'!$C$13-1)*EXP(-0.5*(($A380-'Control Room'!$A$13-('Control Room'!$B$13-1)/2)/MAX(0.5,'Control Room'!$B$13/4))^2),1)*IF(AND($A380&gt;='Control Room'!$A$14,$A380&lt;'Control Room'!$A$14+'Control Room'!$B$14,'Process'!BK3=1),1+('Control Room'!$C$14-1)*EXP(-0.5*(($A380-'Control Room'!$A$14-('Control Room'!$B$14-1)/2)/MAX(0.5,'Control Room'!$B$14/4))^2),1)*IF(AND($A380&gt;='Control Room'!$A$15,$A380&lt;'Control Room'!$A$15+'Control Room'!$B$15,'Process'!BK4=1),1+('Control Room'!$C$15-1)*EXP(-0.5*(($A380-'Control Room'!$A$15-('Control Room'!$B$15-1)/2)/MAX(0.5,'Control Room'!$B$15/4))^2),1)*IF(AND($A380&gt;='Control Room'!$A$16,$A380&lt;'Control Room'!$A$16+'Control Room'!$B$16,'Process'!BK5=1),1+('Control Room'!$C$16-1)*EXP(-0.5*(($A380-'Control Room'!$A$16-('Control Room'!$B$16-1)/2)/MAX(0.5,'Control Room'!$B$16/4))^2),1)</x:f>
        <x:v>1</x:v>
      </x:c>
      <x:c r="G380" s="9" t="n">
        <x:f>MOD(H379*16807,2147483647)</x:f>
        <x:v>1675358334</x:v>
      </x:c>
      <x:c r="H380" s="9" t="n">
        <x:f>MOD(G380*16807,2147483647)</x:f>
        <x:v>2089423721</x:v>
      </x:c>
      <x:c r="I380" s="17" t="n">
        <x:f>IF('Control Room'!$B$5="Normal",'Control Room'!$B$7+'Control Room'!$D$7*SQRT(-2*LN(MAX(0.000000000001,G380/2147483647)))*COS(2*PI()*H380/2147483647),'Control Room'!$B$8+('Control Room'!$D$8-'Control Room'!$B$8)*G380/2147483647)</x:f>
        <x:v>1062.5061486177126</x:v>
      </x:c>
      <x:c r="J380" s="17" t="n">
        <x:f>IF('Control Room'!$B$5="Normal",'Control Room'!$B$7,('Control Room'!$B$8+'Control Room'!$D$8)/2)+'Control Room'!$B$9*(J379-IF('Control Room'!$B$5="Normal",'Control Room'!$B$7,('Control Room'!$B$8+'Control Room'!$D$8)/2))+SQRT(1-'Control Room'!$B$9^2)*(I380-IF('Control Room'!$B$5="Normal",'Control Room'!$B$7,('Control Room'!$B$8+'Control Room'!$D$8)/2))</x:f>
        <x:v>927.1869548342415</x:v>
      </x:c>
      <x:c r="K380" s="17" t="n">
        <x:f>IF(AND($A380&gt;='Control Room'!$A$13,$A380&lt;'Control Room'!$A$13+'Control Room'!$B$13,'Process'!BL2=1),1+('Control Room'!$C$13-1)*EXP(-0.5*(($A380-'Control Room'!$A$13-('Control Room'!$B$13-1)/2)/MAX(0.5,'Control Room'!$B$13/4))^2),1)*IF(AND($A380&gt;='Control Room'!$A$14,$A380&lt;'Control Room'!$A$14+'Control Room'!$B$14,'Process'!BL3=1),1+('Control Room'!$C$14-1)*EXP(-0.5*(($A380-'Control Room'!$A$14-('Control Room'!$B$14-1)/2)/MAX(0.5,'Control Room'!$B$14/4))^2),1)*IF(AND($A380&gt;='Control Room'!$A$15,$A380&lt;'Control Room'!$A$15+'Control Room'!$B$15,'Process'!BL4=1),1+('Control Room'!$C$15-1)*EXP(-0.5*(($A380-'Control Room'!$A$15-('Control Room'!$B$15-1)/2)/MAX(0.5,'Control Room'!$B$15/4))^2),1)*IF(AND($A380&gt;='Control Room'!$A$16,$A380&lt;'Control Room'!$A$16+'Control Room'!$B$16,'Process'!BL5=1),1+('Control Room'!$C$16-1)*EXP(-0.5*(($A380-'Control Room'!$A$16-('Control Room'!$B$16-1)/2)/MAX(0.5,'Control Room'!$B$16/4))^2),1)</x:f>
        <x:v>1</x:v>
      </x:c>
      <x:c r="L380" s="9" t="n">
        <x:f>MOD(M379*16807,2147483647)</x:f>
        <x:v>1131735190</x:v>
      </x:c>
      <x:c r="M380" s="9" t="n">
        <x:f>MOD(L380*16807,2147483647)</x:f>
        <x:v>810676851</x:v>
      </x:c>
      <x:c r="N380" s="17" t="n">
        <x:f>IF('Control Room'!$B$5="Normal",'Control Room'!$B$7+'Control Room'!$D$7*SQRT(-2*LN(MAX(0.000000000001,L380/2147483647)))*COS(2*PI()*M380/2147483647),'Control Room'!$B$8+('Control Room'!$D$8-'Control Room'!$B$8)*L380/2147483647)</x:f>
        <x:v>926.8464751657216</x:v>
      </x:c>
      <x:c r="O380" s="17" t="n">
        <x:f>IF('Control Room'!$B$5="Normal",'Control Room'!$B$7,('Control Room'!$B$8+'Control Room'!$D$8)/2)+'Control Room'!$B$9*(O379-IF('Control Room'!$B$5="Normal",'Control Room'!$B$7,('Control Room'!$B$8+'Control Room'!$D$8)/2))+SQRT(1-'Control Room'!$B$9^2)*(N380-IF('Control Room'!$B$5="Normal",'Control Room'!$B$7,('Control Room'!$B$8+'Control Room'!$D$8)/2))</x:f>
        <x:v>914.7599994192709</x:v>
      </x:c>
      <x:c r="P380" s="17" t="n">
        <x:f>IF(AND($A380&gt;='Control Room'!$A$13,$A380&lt;'Control Room'!$A$13+'Control Room'!$B$13,'Process'!BM2=1),1+('Control Room'!$C$13-1)*EXP(-0.5*(($A380-'Control Room'!$A$13-('Control Room'!$B$13-1)/2)/MAX(0.5,'Control Room'!$B$13/4))^2),1)*IF(AND($A380&gt;='Control Room'!$A$14,$A380&lt;'Control Room'!$A$14+'Control Room'!$B$14,'Process'!BM3=1),1+('Control Room'!$C$14-1)*EXP(-0.5*(($A380-'Control Room'!$A$14-('Control Room'!$B$14-1)/2)/MAX(0.5,'Control Room'!$B$14/4))^2),1)*IF(AND($A380&gt;='Control Room'!$A$15,$A380&lt;'Control Room'!$A$15+'Control Room'!$B$15,'Process'!BM4=1),1+('Control Room'!$C$15-1)*EXP(-0.5*(($A380-'Control Room'!$A$15-('Control Room'!$B$15-1)/2)/MAX(0.5,'Control Room'!$B$15/4))^2),1)*IF(AND($A380&gt;='Control Room'!$A$16,$A380&lt;'Control Room'!$A$16+'Control Room'!$B$16,'Process'!BM5=1),1+('Control Room'!$C$16-1)*EXP(-0.5*(($A380-'Control Room'!$A$16-('Control Room'!$B$16-1)/2)/MAX(0.5,'Control Room'!$B$16/4))^2),1)</x:f>
        <x:v>1</x:v>
      </x:c>
      <x:c r="Q380" s="9" t="n">
        <x:f>MOD(R379*16807,2147483647)</x:f>
        <x:v>588112046</x:v>
      </x:c>
      <x:c r="R380" s="9" t="n">
        <x:f>MOD(Q380*16807,2147483647)</x:f>
        <x:v>1679413628</x:v>
      </x:c>
      <x:c r="S380" s="17" t="n">
        <x:f>IF('Control Room'!$B$5="Normal",'Control Room'!$B$7+'Control Room'!$D$7*SQRT(-2*LN(MAX(0.000000000001,Q380/2147483647)))*COS(2*PI()*R380/2147483647),'Control Room'!$B$8+('Control Room'!$D$8-'Control Room'!$B$8)*Q380/2147483647)</x:f>
        <x:v>1028.961562948364</x:v>
      </x:c>
      <x:c r="T380" s="17" t="n">
        <x:f>IF('Control Room'!$B$5="Normal",'Control Room'!$B$7,('Control Room'!$B$8+'Control Room'!$D$8)/2)+'Control Room'!$B$9*(T379-IF('Control Room'!$B$5="Normal",'Control Room'!$B$7,('Control Room'!$B$8+'Control Room'!$D$8)/2))+SQRT(1-'Control Room'!$B$9^2)*(S380-IF('Control Room'!$B$5="Normal",'Control Room'!$B$7,('Control Room'!$B$8+'Control Room'!$D$8)/2))</x:f>
        <x:v>1017.0069219488439</x:v>
      </x:c>
      <x:c r="U380" s="17" t="n">
        <x:f>IF(AND($A380&gt;='Control Room'!$A$13,$A380&lt;'Control Room'!$A$13+'Control Room'!$B$13,'Process'!BN2=1),1+('Control Room'!$C$13-1)*EXP(-0.5*(($A380-'Control Room'!$A$13-('Control Room'!$B$13-1)/2)/MAX(0.5,'Control Room'!$B$13/4))^2),1)*IF(AND($A380&gt;='Control Room'!$A$14,$A380&lt;'Control Room'!$A$14+'Control Room'!$B$14,'Process'!BN3=1),1+('Control Room'!$C$14-1)*EXP(-0.5*(($A380-'Control Room'!$A$14-('Control Room'!$B$14-1)/2)/MAX(0.5,'Control Room'!$B$14/4))^2),1)*IF(AND($A380&gt;='Control Room'!$A$15,$A380&lt;'Control Room'!$A$15+'Control Room'!$B$15,'Process'!BN4=1),1+('Control Room'!$C$15-1)*EXP(-0.5*(($A380-'Control Room'!$A$15-('Control Room'!$B$15-1)/2)/MAX(0.5,'Control Room'!$B$15/4))^2),1)*IF(AND($A380&gt;='Control Room'!$A$16,$A380&lt;'Control Room'!$A$16+'Control Room'!$B$16,'Process'!BN5=1),1+('Control Room'!$C$16-1)*EXP(-0.5*(($A380-'Control Room'!$A$16-('Control Room'!$B$16-1)/2)/MAX(0.5,'Control Room'!$B$16/4))^2),1)</x:f>
        <x:v>1</x:v>
      </x:c>
      <x:c r="V380" s="9" t="n">
        <x:f>MOD(W379*16807,2147483647)</x:f>
        <x:v>44488902</x:v>
      </x:c>
      <x:c r="W380" s="9" t="n">
        <x:f>MOD(V380*16807,2147483647)</x:f>
        <x:v>400666758</x:v>
      </x:c>
      <x:c r="X380" s="17" t="n">
        <x:f>IF('Control Room'!$B$5="Normal",'Control Room'!$B$7+'Control Room'!$D$7*SQRT(-2*LN(MAX(0.000000000001,V380/2147483647)))*COS(2*PI()*W380/2147483647),'Control Room'!$B$8+('Control Room'!$D$8-'Control Room'!$B$8)*V380/2147483647)</x:f>
        <x:v>1097.247545504419</x:v>
      </x:c>
      <x:c r="Y380" s="17" t="n">
        <x:f>IF('Control Room'!$B$5="Normal",'Control Room'!$B$7,('Control Room'!$B$8+'Control Room'!$D$8)/2)+'Control Room'!$B$9*(Y379-IF('Control Room'!$B$5="Normal",'Control Room'!$B$7,('Control Room'!$B$8+'Control Room'!$D$8)/2))+SQRT(1-'Control Room'!$B$9^2)*(X380-IF('Control Room'!$B$5="Normal",'Control Room'!$B$7,('Control Room'!$B$8+'Control Room'!$D$8)/2))</x:f>
        <x:v>977.457856961126</x:v>
      </x:c>
      <x:c r="Z380" s="17" t="n">
        <x:f>IF(AND($A380&gt;='Control Room'!$A$13,$A380&lt;'Control Room'!$A$13+'Control Room'!$B$13,'Process'!BO2=1),1+('Control Room'!$C$13-1)*EXP(-0.5*(($A380-'Control Room'!$A$13-('Control Room'!$B$13-1)/2)/MAX(0.5,'Control Room'!$B$13/4))^2),1)*IF(AND($A380&gt;='Control Room'!$A$14,$A380&lt;'Control Room'!$A$14+'Control Room'!$B$14,'Process'!BO3=1),1+('Control Room'!$C$14-1)*EXP(-0.5*(($A380-'Control Room'!$A$14-('Control Room'!$B$14-1)/2)/MAX(0.5,'Control Room'!$B$14/4))^2),1)*IF(AND($A380&gt;='Control Room'!$A$15,$A380&lt;'Control Room'!$A$15+'Control Room'!$B$15,'Process'!BO4=1),1+('Control Room'!$C$15-1)*EXP(-0.5*(($A380-'Control Room'!$A$15-('Control Room'!$B$15-1)/2)/MAX(0.5,'Control Room'!$B$15/4))^2),1)*IF(AND($A380&gt;='Control Room'!$A$16,$A380&lt;'Control Room'!$A$16+'Control Room'!$B$16,'Process'!BO5=1),1+('Control Room'!$C$16-1)*EXP(-0.5*(($A380-'Control Room'!$A$16-('Control Room'!$B$16-1)/2)/MAX(0.5,'Control Room'!$B$16/4))^2),1)</x:f>
        <x:v>1</x:v>
      </x:c>
      <x:c r="AA380" s="9" t="n">
        <x:f>MOD(AB379*16807,2147483647)</x:f>
        <x:v>1648349405</x:v>
      </x:c>
      <x:c r="AB380" s="9" t="n">
        <x:f>MOD(AA380*16807,2147483647)</x:f>
        <x:v>1269403535</x:v>
      </x:c>
      <x:c r="AC380" s="17" t="n">
        <x:f>IF('Control Room'!$B$5="Normal",'Control Room'!$B$7+'Control Room'!$D$7*SQRT(-2*LN(MAX(0.000000000001,AA380/2147483647)))*COS(2*PI()*AB380/2147483647),'Control Room'!$B$8+('Control Room'!$D$8-'Control Room'!$B$8)*AA380/2147483647)</x:f>
        <x:v>944.9751206400928</x:v>
      </x:c>
      <x:c r="AD380" s="17" t="n">
        <x:f>IF('Control Room'!$B$5="Normal",'Control Room'!$B$7,('Control Room'!$B$8+'Control Room'!$D$8)/2)+'Control Room'!$B$9*(AD379-IF('Control Room'!$B$5="Normal",'Control Room'!$B$7,('Control Room'!$B$8+'Control Room'!$D$8)/2))+SQRT(1-'Control Room'!$B$9^2)*(AC380-IF('Control Room'!$B$5="Normal",'Control Room'!$B$7,('Control Room'!$B$8+'Control Room'!$D$8)/2))</x:f>
        <x:v>1036.7391356632752</x:v>
      </x:c>
      <x:c r="AE380" s="17" t="n">
        <x:f>IF(AND($A380&gt;='Control Room'!$A$13,$A380&lt;'Control Room'!$A$13+'Control Room'!$B$13,'Process'!BP2=1),1+('Control Room'!$C$13-1)*EXP(-0.5*(($A380-'Control Room'!$A$13-('Control Room'!$B$13-1)/2)/MAX(0.5,'Control Room'!$B$13/4))^2),1)*IF(AND($A380&gt;='Control Room'!$A$14,$A380&lt;'Control Room'!$A$14+'Control Room'!$B$14,'Process'!BP3=1),1+('Control Room'!$C$14-1)*EXP(-0.5*(($A380-'Control Room'!$A$14-('Control Room'!$B$14-1)/2)/MAX(0.5,'Control Room'!$B$14/4))^2),1)*IF(AND($A380&gt;='Control Room'!$A$15,$A380&lt;'Control Room'!$A$15+'Control Room'!$B$15,'Process'!BP4=1),1+('Control Room'!$C$15-1)*EXP(-0.5*(($A380-'Control Room'!$A$15-('Control Room'!$B$15-1)/2)/MAX(0.5,'Control Room'!$B$15/4))^2),1)*IF(AND($A380&gt;='Control Room'!$A$16,$A380&lt;'Control Room'!$A$16+'Control Room'!$B$16,'Process'!BP5=1),1+('Control Room'!$C$16-1)*EXP(-0.5*(($A380-'Control Room'!$A$16-('Control Room'!$B$16-1)/2)/MAX(0.5,'Control Room'!$B$16/4))^2),1)</x:f>
        <x:v>1</x:v>
      </x:c>
      <x:c r="AF380" s="9" t="n">
        <x:f>MOD(AG379*16807,2147483647)</x:f>
        <x:v>1104726261</x:v>
      </x:c>
      <x:c r="AG380" s="9" t="n">
        <x:f>MOD(AF380*16807,2147483647)</x:f>
        <x:v>2138140312</x:v>
      </x:c>
      <x:c r="AH380" s="17" t="n">
        <x:f>IF('Control Room'!$B$5="Normal",'Control Room'!$B$7+'Control Room'!$D$7*SQRT(-2*LN(MAX(0.000000000001,AF380/2147483647)))*COS(2*PI()*AG380/2147483647),'Control Room'!$B$8+('Control Room'!$D$8-'Control Room'!$B$8)*AF380/2147483647)</x:f>
        <x:v>1103.7308131075074</x:v>
      </x:c>
      <x:c r="AI380" s="17" t="n">
        <x:f>IF('Control Room'!$B$5="Normal",'Control Room'!$B$7,('Control Room'!$B$8+'Control Room'!$D$8)/2)+'Control Room'!$B$9*(AI379-IF('Control Room'!$B$5="Normal",'Control Room'!$B$7,('Control Room'!$B$8+'Control Room'!$D$8)/2))+SQRT(1-'Control Room'!$B$9^2)*(AH380-IF('Control Room'!$B$5="Normal",'Control Room'!$B$7,('Control Room'!$B$8+'Control Room'!$D$8)/2))</x:f>
        <x:v>1164.0823193213234</x:v>
      </x:c>
      <x:c r="AJ380" s="17" t="n">
        <x:f>IF(AND($A380&gt;='Control Room'!$A$13,$A380&lt;'Control Room'!$A$13+'Control Room'!$B$13,'Process'!BQ2=1),1+('Control Room'!$C$13-1)*EXP(-0.5*(($A380-'Control Room'!$A$13-('Control Room'!$B$13-1)/2)/MAX(0.5,'Control Room'!$B$13/4))^2),1)*IF(AND($A380&gt;='Control Room'!$A$14,$A380&lt;'Control Room'!$A$14+'Control Room'!$B$14,'Process'!BQ3=1),1+('Control Room'!$C$14-1)*EXP(-0.5*(($A380-'Control Room'!$A$14-('Control Room'!$B$14-1)/2)/MAX(0.5,'Control Room'!$B$14/4))^2),1)*IF(AND($A380&gt;='Control Room'!$A$15,$A380&lt;'Control Room'!$A$15+'Control Room'!$B$15,'Process'!BQ4=1),1+('Control Room'!$C$15-1)*EXP(-0.5*(($A380-'Control Room'!$A$15-('Control Room'!$B$15-1)/2)/MAX(0.5,'Control Room'!$B$15/4))^2),1)*IF(AND($A380&gt;='Control Room'!$A$16,$A380&lt;'Control Room'!$A$16+'Control Room'!$B$16,'Process'!BQ5=1),1+('Control Room'!$C$16-1)*EXP(-0.5*(($A380-'Control Room'!$A$16-('Control Room'!$B$16-1)/2)/MAX(0.5,'Control Room'!$B$16/4))^2),1)</x:f>
        <x:v>1</x:v>
      </x:c>
      <x:c r="AK380" s="9" t="n">
        <x:f>MOD(AL379*16807,2147483647)</x:f>
        <x:v>561103117</x:v>
      </x:c>
      <x:c r="AL380" s="9" t="n">
        <x:f>MOD(AK380*16807,2147483647)</x:f>
        <x:v>859393442</x:v>
      </x:c>
      <x:c r="AM380" s="17" t="n">
        <x:f>IF('Control Room'!$B$5="Normal",'Control Room'!$B$7+'Control Room'!$D$7*SQRT(-2*LN(MAX(0.000000000001,AK380/2147483647)))*COS(2*PI()*AL380/2147483647),'Control Room'!$B$8+('Control Room'!$D$8-'Control Room'!$B$8)*AK380/2147483647)</x:f>
        <x:v>880.6055719268584</x:v>
      </x:c>
      <x:c r="AN380" s="17" t="n">
        <x:f>IF('Control Room'!$B$5="Normal",'Control Room'!$B$7,('Control Room'!$B$8+'Control Room'!$D$8)/2)+'Control Room'!$B$9*(AN379-IF('Control Room'!$B$5="Normal",'Control Room'!$B$7,('Control Room'!$B$8+'Control Room'!$D$8)/2))+SQRT(1-'Control Room'!$B$9^2)*(AM380-IF('Control Room'!$B$5="Normal",'Control Room'!$B$7,('Control Room'!$B$8+'Control Room'!$D$8)/2))</x:f>
        <x:v>903.7799117429879</x:v>
      </x:c>
      <x:c r="AO380" s="17" t="n">
        <x:f>IF(AND($A380&gt;='Control Room'!$A$13,$A380&lt;'Control Room'!$A$13+'Control Room'!$B$13,'Process'!BR2=1),1+('Control Room'!$C$13-1)*EXP(-0.5*(($A380-'Control Room'!$A$13-('Control Room'!$B$13-1)/2)/MAX(0.5,'Control Room'!$B$13/4))^2),1)*IF(AND($A380&gt;='Control Room'!$A$14,$A380&lt;'Control Room'!$A$14+'Control Room'!$B$14,'Process'!BR3=1),1+('Control Room'!$C$14-1)*EXP(-0.5*(($A380-'Control Room'!$A$14-('Control Room'!$B$14-1)/2)/MAX(0.5,'Control Room'!$B$14/4))^2),1)*IF(AND($A380&gt;='Control Room'!$A$15,$A380&lt;'Control Room'!$A$15+'Control Room'!$B$15,'Process'!BR4=1),1+('Control Room'!$C$15-1)*EXP(-0.5*(($A380-'Control Room'!$A$15-('Control Room'!$B$15-1)/2)/MAX(0.5,'Control Room'!$B$15/4))^2),1)*IF(AND($A380&gt;='Control Room'!$A$16,$A380&lt;'Control Room'!$A$16+'Control Room'!$B$16,'Process'!BR5=1),1+('Control Room'!$C$16-1)*EXP(-0.5*(($A380-'Control Room'!$A$16-('Control Room'!$B$16-1)/2)/MAX(0.5,'Control Room'!$B$16/4))^2),1)</x:f>
        <x:v>1</x:v>
      </x:c>
      <x:c r="AP380" s="9" t="n">
        <x:f>MOD(AQ379*16807,2147483647)</x:f>
        <x:v>17479973</x:v>
      </x:c>
      <x:c r="AQ380" s="9" t="n">
        <x:f>MOD(AP380*16807,2147483647)</x:f>
        <x:v>1728130219</x:v>
      </x:c>
      <x:c r="AR380" s="17" t="n">
        <x:f>IF('Control Room'!$B$5="Normal",'Control Room'!$B$7+'Control Room'!$D$7*SQRT(-2*LN(MAX(0.000000000001,AP380/2147483647)))*COS(2*PI()*AQ380/2147483647),'Control Room'!$B$8+('Control Room'!$D$8-'Control Room'!$B$8)*AP380/2147483647)</x:f>
        <x:v>1094.1100921066839</x:v>
      </x:c>
      <x:c r="AS380" s="17" t="n">
        <x:f>IF('Control Room'!$B$5="Normal",'Control Room'!$B$7,('Control Room'!$B$8+'Control Room'!$D$8)/2)+'Control Room'!$B$9*(AS379-IF('Control Room'!$B$5="Normal",'Control Room'!$B$7,('Control Room'!$B$8+'Control Room'!$D$8)/2))+SQRT(1-'Control Room'!$B$9^2)*(AR380-IF('Control Room'!$B$5="Normal",'Control Room'!$B$7,('Control Room'!$B$8+'Control Room'!$D$8)/2))</x:f>
        <x:v>1065.369601528369</x:v>
      </x:c>
      <x:c r="AT380" s="17" t="n">
        <x:f>IF(AND($A380&gt;='Control Room'!$A$13,$A380&lt;'Control Room'!$A$13+'Control Room'!$B$13,'Process'!BS2=1),1+('Control Room'!$C$13-1)*EXP(-0.5*(($A380-'Control Room'!$A$13-('Control Room'!$B$13-1)/2)/MAX(0.5,'Control Room'!$B$13/4))^2),1)*IF(AND($A380&gt;='Control Room'!$A$14,$A380&lt;'Control Room'!$A$14+'Control Room'!$B$14,'Process'!BS3=1),1+('Control Room'!$C$14-1)*EXP(-0.5*(($A380-'Control Room'!$A$14-('Control Room'!$B$14-1)/2)/MAX(0.5,'Control Room'!$B$14/4))^2),1)*IF(AND($A380&gt;='Control Room'!$A$15,$A380&lt;'Control Room'!$A$15+'Control Room'!$B$15,'Process'!BS4=1),1+('Control Room'!$C$15-1)*EXP(-0.5*(($A380-'Control Room'!$A$15-('Control Room'!$B$15-1)/2)/MAX(0.5,'Control Room'!$B$15/4))^2),1)*IF(AND($A380&gt;='Control Room'!$A$16,$A380&lt;'Control Room'!$A$16+'Control Room'!$B$16,'Process'!BS5=1),1+('Control Room'!$C$16-1)*EXP(-0.5*(($A380-'Control Room'!$A$16-('Control Room'!$B$16-1)/2)/MAX(0.5,'Control Room'!$B$16/4))^2),1)</x:f>
        <x:v>1</x:v>
      </x:c>
      <x:c r="AU380" s="9" t="n">
        <x:f>MOD(AV379*16807,2147483647)</x:f>
        <x:v>1621340476</x:v>
      </x:c>
      <x:c r="AV380" s="9" t="n">
        <x:f>MOD(AU380*16807,2147483647)</x:f>
        <x:v>449383349</x:v>
      </x:c>
      <x:c r="AW380" s="17" t="n">
        <x:f>IF('Control Room'!$B$5="Normal",'Control Room'!$B$7+'Control Room'!$D$7*SQRT(-2*LN(MAX(0.000000000001,AU380/2147483647)))*COS(2*PI()*AV380/2147483647),'Control Room'!$B$8+('Control Room'!$D$8-'Control Room'!$B$8)*AU380/2147483647)</x:f>
        <x:v>1017.0839187569048</x:v>
      </x:c>
      <x:c r="AX380" s="17" t="n">
        <x:f>IF('Control Room'!$B$5="Normal",'Control Room'!$B$7,('Control Room'!$B$8+'Control Room'!$D$8)/2)+'Control Room'!$B$9*(AX379-IF('Control Room'!$B$5="Normal",'Control Room'!$B$7,('Control Room'!$B$8+'Control Room'!$D$8)/2))+SQRT(1-'Control Room'!$B$9^2)*(AW380-IF('Control Room'!$B$5="Normal",'Control Room'!$B$7,('Control Room'!$B$8+'Control Room'!$D$8)/2))</x:f>
        <x:v>1089.2643707836498</x:v>
      </x:c>
      <x:c r="AY380" s="17" t="n">
        <x:f>IF(AND($A380&gt;='Control Room'!$A$13,$A380&lt;'Control Room'!$A$13+'Control Room'!$B$13,'Process'!BT2=1),1+('Control Room'!$C$13-1)*EXP(-0.5*(($A380-'Control Room'!$A$13-('Control Room'!$B$13-1)/2)/MAX(0.5,'Control Room'!$B$13/4))^2),1)*IF(AND($A380&gt;='Control Room'!$A$14,$A380&lt;'Control Room'!$A$14+'Control Room'!$B$14,'Process'!BT3=1),1+('Control Room'!$C$14-1)*EXP(-0.5*(($A380-'Control Room'!$A$14-('Control Room'!$B$14-1)/2)/MAX(0.5,'Control Room'!$B$14/4))^2),1)*IF(AND($A380&gt;='Control Room'!$A$15,$A380&lt;'Control Room'!$A$15+'Control Room'!$B$15,'Process'!BT4=1),1+('Control Room'!$C$15-1)*EXP(-0.5*(($A380-'Control Room'!$A$15-('Control Room'!$B$15-1)/2)/MAX(0.5,'Control Room'!$B$15/4))^2),1)*IF(AND($A380&gt;='Control Room'!$A$16,$A380&lt;'Control Room'!$A$16+'Control Room'!$B$16,'Process'!BT5=1),1+('Control Room'!$C$16-1)*EXP(-0.5*(($A380-'Control Room'!$A$16-('Control Room'!$B$16-1)/2)/MAX(0.5,'Control Room'!$B$16/4))^2),1)</x:f>
        <x:v>1</x:v>
      </x:c>
      <x:c r="AZ380" s="9" t="n">
        <x:f>MOD(BA379*16807,2147483647)</x:f>
        <x:v>1077717332</x:v>
      </x:c>
      <x:c r="BA380" s="9" t="n">
        <x:f>MOD(AZ380*16807,2147483647)</x:f>
        <x:v>1318120126</x:v>
      </x:c>
      <x:c r="BB380" s="17" t="n">
        <x:f>IF('Control Room'!$B$5="Normal",'Control Room'!$B$7+'Control Room'!$D$7*SQRT(-2*LN(MAX(0.000000000001,AZ380/2147483647)))*COS(2*PI()*BA380/2147483647),'Control Room'!$B$8+('Control Room'!$D$8-'Control Room'!$B$8)*AZ380/2147483647)</x:f>
        <x:v>920.199454186494</x:v>
      </x:c>
      <x:c r="BC380" s="17" t="n">
        <x:f>IF('Control Room'!$B$5="Normal",'Control Room'!$B$7,('Control Room'!$B$8+'Control Room'!$D$8)/2)+'Control Room'!$B$9*(BC379-IF('Control Room'!$B$5="Normal",'Control Room'!$B$7,('Control Room'!$B$8+'Control Room'!$D$8)/2))+SQRT(1-'Control Room'!$B$9^2)*(BB380-IF('Control Room'!$B$5="Normal",'Control Room'!$B$7,('Control Room'!$B$8+'Control Room'!$D$8)/2))</x:f>
        <x:v>889.180993955967</x:v>
      </x:c>
      <x:c r="BD380" s="17" t="n">
        <x:f>IF(AND($A380&gt;='Control Room'!$A$13,$A380&lt;'Control Room'!$A$13+'Control Room'!$B$13,'Process'!BU2=1),1+('Control Room'!$C$13-1)*EXP(-0.5*(($A380-'Control Room'!$A$13-('Control Room'!$B$13-1)/2)/MAX(0.5,'Control Room'!$B$13/4))^2),1)*IF(AND($A380&gt;='Control Room'!$A$14,$A380&lt;'Control Room'!$A$14+'Control Room'!$B$14,'Process'!BU3=1),1+('Control Room'!$C$14-1)*EXP(-0.5*(($A380-'Control Room'!$A$14-('Control Room'!$B$14-1)/2)/MAX(0.5,'Control Room'!$B$14/4))^2),1)*IF(AND($A380&gt;='Control Room'!$A$15,$A380&lt;'Control Room'!$A$15+'Control Room'!$B$15,'Process'!BU4=1),1+('Control Room'!$C$15-1)*EXP(-0.5*(($A380-'Control Room'!$A$15-('Control Room'!$B$15-1)/2)/MAX(0.5,'Control Room'!$B$15/4))^2),1)*IF(AND($A380&gt;='Control Room'!$A$16,$A380&lt;'Control Room'!$A$16+'Control Room'!$B$16,'Process'!BU5=1),1+('Control Room'!$C$16-1)*EXP(-0.5*(($A380-'Control Room'!$A$16-('Control Room'!$B$16-1)/2)/MAX(0.5,'Control Room'!$B$16/4))^2),1)</x:f>
        <x:v>1</x:v>
      </x:c>
      <x:c r="BE380" s="9" t="n">
        <x:f>MOD(BF379*16807,2147483647)</x:f>
        <x:v>534094188</x:v>
      </x:c>
      <x:c r="BF380" s="9" t="n">
        <x:f>MOD(BE380*16807,2147483647)</x:f>
        <x:v>39373256</x:v>
      </x:c>
      <x:c r="BG380" s="17" t="n">
        <x:f>IF('Control Room'!$B$5="Normal",'Control Room'!$B$7+'Control Room'!$D$7*SQRT(-2*LN(MAX(0.000000000001,BE380/2147483647)))*COS(2*PI()*BF380/2147483647),'Control Room'!$B$8+('Control Room'!$D$8-'Control Room'!$B$8)*BE380/2147483647)</x:f>
        <x:v>1149.1446964058293</x:v>
      </x:c>
      <x:c r="BH380" s="17" t="n">
        <x:f>IF('Control Room'!$B$5="Normal",'Control Room'!$B$7,('Control Room'!$B$8+'Control Room'!$D$8)/2)+'Control Room'!$B$9*(BH379-IF('Control Room'!$B$5="Normal",'Control Room'!$B$7,('Control Room'!$B$8+'Control Room'!$D$8)/2))+SQRT(1-'Control Room'!$B$9^2)*(BG380-IF('Control Room'!$B$5="Normal",'Control Room'!$B$7,('Control Room'!$B$8+'Control Room'!$D$8)/2))</x:f>
        <x:v>1120.95605882105</x:v>
      </x:c>
      <x:c r="BI380" s="17" t="n">
        <x:f>IF(AND($A380&gt;='Control Room'!$A$13,$A380&lt;'Control Room'!$A$13+'Control Room'!$B$13,'Process'!BV2=1),1+('Control Room'!$C$13-1)*EXP(-0.5*(($A380-'Control Room'!$A$13-('Control Room'!$B$13-1)/2)/MAX(0.5,'Control Room'!$B$13/4))^2),1)*IF(AND($A380&gt;='Control Room'!$A$14,$A380&lt;'Control Room'!$A$14+'Control Room'!$B$14,'Process'!BV3=1),1+('Control Room'!$C$14-1)*EXP(-0.5*(($A380-'Control Room'!$A$14-('Control Room'!$B$14-1)/2)/MAX(0.5,'Control Room'!$B$14/4))^2),1)*IF(AND($A380&gt;='Control Room'!$A$15,$A380&lt;'Control Room'!$A$15+'Control Room'!$B$15,'Process'!BV4=1),1+('Control Room'!$C$15-1)*EXP(-0.5*(($A380-'Control Room'!$A$15-('Control Room'!$B$15-1)/2)/MAX(0.5,'Control Room'!$B$15/4))^2),1)*IF(AND($A380&gt;='Control Room'!$A$16,$A380&lt;'Control Room'!$A$16+'Control Room'!$B$16,'Process'!BV5=1),1+('Control Room'!$C$16-1)*EXP(-0.5*(($A380-'Control Room'!$A$16-('Control Room'!$B$16-1)/2)/MAX(0.5,'Control Room'!$B$16/4))^2),1)</x:f>
        <x:v>1</x:v>
      </x:c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Z380" t="str">
        <x:f>IF('Data'!A380="","",TEXT('Data'!A380,"mm-dd"))</x:f>
      </x:c>
    </x:row>
    <x:row r="381" ht="21" customHeight="1">
      <x:c r="A381" s="15" t="n">
        <x:f>'Control Room'!$B$1+379</x:f>
        <x:v>73370</x:v>
      </x:c>
      <x:c r="B381" s="9" t="n">
        <x:f>MOD(C380*16807,2147483647)</x:f>
        <x:v>1174188017</x:v>
      </x:c>
      <x:c r="C381" s="9" t="n">
        <x:f>MOD(B381*16807,2147483647)</x:f>
        <x:v>1350769436</x:v>
      </x:c>
      <x:c r="D381" s="17" t="n">
        <x:f>IF('Control Room'!$B$5="Normal",'Control Room'!$B$7+'Control Room'!$D$7*SQRT(-2*LN(MAX(0.000000000001,B381/2147483647)))*COS(2*PI()*C381/2147483647),'Control Room'!$B$8+('Control Room'!$D$8-'Control Room'!$B$8)*B381/2147483647)</x:f>
        <x:v>931.8504117188513</x:v>
      </x:c>
      <x:c r="E381" s="17" t="n">
        <x:f>IF('Control Room'!$B$5="Normal",'Control Room'!$B$7,('Control Room'!$B$8+'Control Room'!$D$8)/2)+'Control Room'!$B$9*(E380-IF('Control Room'!$B$5="Normal",'Control Room'!$B$7,('Control Room'!$B$8+'Control Room'!$D$8)/2))+SQRT(1-'Control Room'!$B$9^2)*(D381-IF('Control Room'!$B$5="Normal",'Control Room'!$B$7,('Control Room'!$B$8+'Control Room'!$D$8)/2))</x:f>
        <x:v>892.9791495657032</x:v>
      </x:c>
      <x:c r="F381" s="17" t="n">
        <x:f>IF(AND($A381&gt;='Control Room'!$A$13,$A381&lt;'Control Room'!$A$13+'Control Room'!$B$13,'Process'!BK2=1),1+('Control Room'!$C$13-1)*EXP(-0.5*(($A381-'Control Room'!$A$13-('Control Room'!$B$13-1)/2)/MAX(0.5,'Control Room'!$B$13/4))^2),1)*IF(AND($A381&gt;='Control Room'!$A$14,$A381&lt;'Control Room'!$A$14+'Control Room'!$B$14,'Process'!BK3=1),1+('Control Room'!$C$14-1)*EXP(-0.5*(($A381-'Control Room'!$A$14-('Control Room'!$B$14-1)/2)/MAX(0.5,'Control Room'!$B$14/4))^2),1)*IF(AND($A381&gt;='Control Room'!$A$15,$A381&lt;'Control Room'!$A$15+'Control Room'!$B$15,'Process'!BK4=1),1+('Control Room'!$C$15-1)*EXP(-0.5*(($A381-'Control Room'!$A$15-('Control Room'!$B$15-1)/2)/MAX(0.5,'Control Room'!$B$15/4))^2),1)*IF(AND($A381&gt;='Control Room'!$A$16,$A381&lt;'Control Room'!$A$16+'Control Room'!$B$16,'Process'!BK5=1),1+('Control Room'!$C$16-1)*EXP(-0.5*(($A381-'Control Room'!$A$16-('Control Room'!$B$16-1)/2)/MAX(0.5,'Control Room'!$B$16/4))^2),1)</x:f>
        <x:v>1</x:v>
      </x:c>
      <x:c r="G381" s="9" t="n">
        <x:f>MOD(H380*16807,2147483647)</x:f>
        <x:v>1291883103</x:v>
      </x:c>
      <x:c r="H381" s="9" t="n">
        <x:f>MOD(G381*16807,2147483647)</x:f>
        <x:v>1619640951</x:v>
      </x:c>
      <x:c r="I381" s="17" t="n">
        <x:f>IF('Control Room'!$B$5="Normal",'Control Room'!$B$7+'Control Room'!$D$7*SQRT(-2*LN(MAX(0.000000000001,G381/2147483647)))*COS(2*PI()*H381/2147483647),'Control Room'!$B$8+('Control Room'!$D$8-'Control Room'!$B$8)*G381/2147483647)</x:f>
        <x:v>1002.3964837252355</x:v>
      </x:c>
      <x:c r="J381" s="17" t="n">
        <x:f>IF('Control Room'!$B$5="Normal",'Control Room'!$B$7,('Control Room'!$B$8+'Control Room'!$D$8)/2)+'Control Room'!$B$9*(J380-IF('Control Room'!$B$5="Normal",'Control Room'!$B$7,('Control Room'!$B$8+'Control Room'!$D$8)/2))+SQRT(1-'Control Room'!$B$9^2)*(I381-IF('Control Room'!$B$5="Normal",'Control Room'!$B$7,('Control Room'!$B$8+'Control Room'!$D$8)/2))</x:f>
        <x:v>944.7054951913232</x:v>
      </x:c>
      <x:c r="K381" s="17" t="n">
        <x:f>IF(AND($A381&gt;='Control Room'!$A$13,$A381&lt;'Control Room'!$A$13+'Control Room'!$B$13,'Process'!BL2=1),1+('Control Room'!$C$13-1)*EXP(-0.5*(($A381-'Control Room'!$A$13-('Control Room'!$B$13-1)/2)/MAX(0.5,'Control Room'!$B$13/4))^2),1)*IF(AND($A381&gt;='Control Room'!$A$14,$A381&lt;'Control Room'!$A$14+'Control Room'!$B$14,'Process'!BL3=1),1+('Control Room'!$C$14-1)*EXP(-0.5*(($A381-'Control Room'!$A$14-('Control Room'!$B$14-1)/2)/MAX(0.5,'Control Room'!$B$14/4))^2),1)*IF(AND($A381&gt;='Control Room'!$A$15,$A381&lt;'Control Room'!$A$15+'Control Room'!$B$15,'Process'!BL4=1),1+('Control Room'!$C$15-1)*EXP(-0.5*(($A381-'Control Room'!$A$15-('Control Room'!$B$15-1)/2)/MAX(0.5,'Control Room'!$B$15/4))^2),1)*IF(AND($A381&gt;='Control Room'!$A$16,$A381&lt;'Control Room'!$A$16+'Control Room'!$B$16,'Process'!BL5=1),1+('Control Room'!$C$16-1)*EXP(-0.5*(($A381-'Control Room'!$A$16-('Control Room'!$B$16-1)/2)/MAX(0.5,'Control Room'!$B$16/4))^2),1)</x:f>
        <x:v>1</x:v>
      </x:c>
      <x:c r="L381" s="9" t="n">
        <x:f>MOD(M380*16807,2147483647)</x:f>
        <x:v>1409578189</x:v>
      </x:c>
      <x:c r="M381" s="9" t="n">
        <x:f>MOD(L381*16807,2147483647)</x:f>
        <x:v>1888512466</x:v>
      </x:c>
      <x:c r="N381" s="17" t="n">
        <x:f>IF('Control Room'!$B$5="Normal",'Control Room'!$B$7+'Control Room'!$D$7*SQRT(-2*LN(MAX(0.000000000001,L381/2147483647)))*COS(2*PI()*M381/2147483647),'Control Room'!$B$8+('Control Room'!$D$8-'Control Room'!$B$8)*L381/2147483647)</x:f>
        <x:v>1059.990953956303</x:v>
      </x:c>
      <x:c r="O381" s="17" t="n">
        <x:f>IF('Control Room'!$B$5="Normal",'Control Room'!$B$7,('Control Room'!$B$8+'Control Room'!$D$8)/2)+'Control Room'!$B$9*(O380-IF('Control Room'!$B$5="Normal",'Control Room'!$B$7,('Control Room'!$B$8+'Control Room'!$D$8)/2))+SQRT(1-'Control Room'!$B$9^2)*(N381-IF('Control Room'!$B$5="Normal",'Control Room'!$B$7,('Control Room'!$B$8+'Control Room'!$D$8)/2))</x:f>
        <x:v>971.0539095513928</x:v>
      </x:c>
      <x:c r="P381" s="17" t="n">
        <x:f>IF(AND($A381&gt;='Control Room'!$A$13,$A381&lt;'Control Room'!$A$13+'Control Room'!$B$13,'Process'!BM2=1),1+('Control Room'!$C$13-1)*EXP(-0.5*(($A381-'Control Room'!$A$13-('Control Room'!$B$13-1)/2)/MAX(0.5,'Control Room'!$B$13/4))^2),1)*IF(AND($A381&gt;='Control Room'!$A$14,$A381&lt;'Control Room'!$A$14+'Control Room'!$B$14,'Process'!BM3=1),1+('Control Room'!$C$14-1)*EXP(-0.5*(($A381-'Control Room'!$A$14-('Control Room'!$B$14-1)/2)/MAX(0.5,'Control Room'!$B$14/4))^2),1)*IF(AND($A381&gt;='Control Room'!$A$15,$A381&lt;'Control Room'!$A$15+'Control Room'!$B$15,'Process'!BM4=1),1+('Control Room'!$C$15-1)*EXP(-0.5*(($A381-'Control Room'!$A$15-('Control Room'!$B$15-1)/2)/MAX(0.5,'Control Room'!$B$15/4))^2),1)*IF(AND($A381&gt;='Control Room'!$A$16,$A381&lt;'Control Room'!$A$16+'Control Room'!$B$16,'Process'!BM5=1),1+('Control Room'!$C$16-1)*EXP(-0.5*(($A381-'Control Room'!$A$16-('Control Room'!$B$16-1)/2)/MAX(0.5,'Control Room'!$B$16/4))^2),1)</x:f>
        <x:v>1</x:v>
      </x:c>
      <x:c r="Q381" s="9" t="n">
        <x:f>MOD(R380*16807,2147483647)</x:f>
        <x:v>1527273275</x:v>
      </x:c>
      <x:c r="R381" s="9" t="n">
        <x:f>MOD(Q381*16807,2147483647)</x:f>
        <x:v>9900334</x:v>
      </x:c>
      <x:c r="S381" s="17" t="n">
        <x:f>IF('Control Room'!$B$5="Normal",'Control Room'!$B$7+'Control Room'!$D$7*SQRT(-2*LN(MAX(0.000000000001,Q381/2147483647)))*COS(2*PI()*R381/2147483647),'Control Room'!$B$8+('Control Room'!$D$8-'Control Room'!$B$8)*Q381/2147483647)</x:f>
        <x:v>1074.2733855065128</x:v>
      </x:c>
      <x:c r="T381" s="17" t="n">
        <x:f>IF('Control Room'!$B$5="Normal",'Control Room'!$B$7,('Control Room'!$B$8+'Control Room'!$D$8)/2)+'Control Room'!$B$9*(T380-IF('Control Room'!$B$5="Normal",'Control Room'!$B$7,('Control Room'!$B$8+'Control Room'!$D$8)/2))+SQRT(1-'Control Room'!$B$9^2)*(S381-IF('Control Room'!$B$5="Normal",'Control Room'!$B$7,('Control Room'!$B$8+'Control Room'!$D$8)/2))</x:f>
        <x:v>1059.744162197067</x:v>
      </x:c>
      <x:c r="U381" s="17" t="n">
        <x:f>IF(AND($A381&gt;='Control Room'!$A$13,$A381&lt;'Control Room'!$A$13+'Control Room'!$B$13,'Process'!BN2=1),1+('Control Room'!$C$13-1)*EXP(-0.5*(($A381-'Control Room'!$A$13-('Control Room'!$B$13-1)/2)/MAX(0.5,'Control Room'!$B$13/4))^2),1)*IF(AND($A381&gt;='Control Room'!$A$14,$A381&lt;'Control Room'!$A$14+'Control Room'!$B$14,'Process'!BN3=1),1+('Control Room'!$C$14-1)*EXP(-0.5*(($A381-'Control Room'!$A$14-('Control Room'!$B$14-1)/2)/MAX(0.5,'Control Room'!$B$14/4))^2),1)*IF(AND($A381&gt;='Control Room'!$A$15,$A381&lt;'Control Room'!$A$15+'Control Room'!$B$15,'Process'!BN4=1),1+('Control Room'!$C$15-1)*EXP(-0.5*(($A381-'Control Room'!$A$15-('Control Room'!$B$15-1)/2)/MAX(0.5,'Control Room'!$B$15/4))^2),1)*IF(AND($A381&gt;='Control Room'!$A$16,$A381&lt;'Control Room'!$A$16+'Control Room'!$B$16,'Process'!BN5=1),1+('Control Room'!$C$16-1)*EXP(-0.5*(($A381-'Control Room'!$A$16-('Control Room'!$B$16-1)/2)/MAX(0.5,'Control Room'!$B$16/4))^2),1)</x:f>
        <x:v>1</x:v>
      </x:c>
      <x:c r="V381" s="9" t="n">
        <x:f>MOD(W380*16807,2147483647)</x:f>
        <x:v>1644968361</x:v>
      </x:c>
      <x:c r="W381" s="9" t="n">
        <x:f>MOD(V381*16807,2147483647)</x:f>
        <x:v>278771849</x:v>
      </x:c>
      <x:c r="X381" s="17" t="n">
        <x:f>IF('Control Room'!$B$5="Normal",'Control Room'!$B$7+'Control Room'!$D$7*SQRT(-2*LN(MAX(0.000000000001,V381/2147483647)))*COS(2*PI()*W381/2147483647),'Control Room'!$B$8+('Control Room'!$D$8-'Control Room'!$B$8)*V381/2147483647)</x:f>
        <x:v>1045.041521584051</x:v>
      </x:c>
      <x:c r="Y381" s="17" t="n">
        <x:f>IF('Control Room'!$B$5="Normal",'Control Room'!$B$7,('Control Room'!$B$8+'Control Room'!$D$8)/2)+'Control Room'!$B$9*(Y380-IF('Control Room'!$B$5="Normal",'Control Room'!$B$7,('Control Room'!$B$8+'Control Room'!$D$8)/2))+SQRT(1-'Control Room'!$B$9^2)*(X381-IF('Control Room'!$B$5="Normal",'Control Room'!$B$7,('Control Room'!$B$8+'Control Room'!$D$8)/2))</x:f>
        <x:v>1010.6031899112531</x:v>
      </x:c>
      <x:c r="Z381" s="17" t="n">
        <x:f>IF(AND($A381&gt;='Control Room'!$A$13,$A381&lt;'Control Room'!$A$13+'Control Room'!$B$13,'Process'!BO2=1),1+('Control Room'!$C$13-1)*EXP(-0.5*(($A381-'Control Room'!$A$13-('Control Room'!$B$13-1)/2)/MAX(0.5,'Control Room'!$B$13/4))^2),1)*IF(AND($A381&gt;='Control Room'!$A$14,$A381&lt;'Control Room'!$A$14+'Control Room'!$B$14,'Process'!BO3=1),1+('Control Room'!$C$14-1)*EXP(-0.5*(($A381-'Control Room'!$A$14-('Control Room'!$B$14-1)/2)/MAX(0.5,'Control Room'!$B$14/4))^2),1)*IF(AND($A381&gt;='Control Room'!$A$15,$A381&lt;'Control Room'!$A$15+'Control Room'!$B$15,'Process'!BO4=1),1+('Control Room'!$C$15-1)*EXP(-0.5*(($A381-'Control Room'!$A$15-('Control Room'!$B$15-1)/2)/MAX(0.5,'Control Room'!$B$15/4))^2),1)*IF(AND($A381&gt;='Control Room'!$A$16,$A381&lt;'Control Room'!$A$16+'Control Room'!$B$16,'Process'!BO5=1),1+('Control Room'!$C$16-1)*EXP(-0.5*(($A381-'Control Room'!$A$16-('Control Room'!$B$16-1)/2)/MAX(0.5,'Control Room'!$B$16/4))^2),1)</x:f>
        <x:v>1</x:v>
      </x:c>
      <x:c r="AA381" s="9" t="n">
        <x:f>MOD(AB380*16807,2147483647)</x:f>
        <x:v>1762663447</x:v>
      </x:c>
      <x:c r="AB381" s="9" t="n">
        <x:f>MOD(AA381*16807,2147483647)</x:f>
        <x:v>547643364</x:v>
      </x:c>
      <x:c r="AC381" s="17" t="n">
        <x:f>IF('Control Room'!$B$5="Normal",'Control Room'!$B$7+'Control Room'!$D$7*SQRT(-2*LN(MAX(0.000000000001,AA381/2147483647)))*COS(2*PI()*AB381/2147483647),'Control Room'!$B$8+('Control Room'!$D$8-'Control Room'!$B$8)*AA381/2147483647)</x:f>
        <x:v>998.2176146956076</x:v>
      </x:c>
      <x:c r="AD381" s="17" t="n">
        <x:f>IF('Control Room'!$B$5="Normal",'Control Room'!$B$7,('Control Room'!$B$8+'Control Room'!$D$8)/2)+'Control Room'!$B$9*(AD380-IF('Control Room'!$B$5="Normal",'Control Room'!$B$7,('Control Room'!$B$8+'Control Room'!$D$8)/2))+SQRT(1-'Control Room'!$B$9^2)*(AC381-IF('Control Room'!$B$5="Normal",'Control Room'!$B$7,('Control Room'!$B$8+'Control Room'!$D$8)/2))</x:f>
        <x:v>1027.5411456080135</x:v>
      </x:c>
      <x:c r="AE381" s="17" t="n">
        <x:f>IF(AND($A381&gt;='Control Room'!$A$13,$A381&lt;'Control Room'!$A$13+'Control Room'!$B$13,'Process'!BP2=1),1+('Control Room'!$C$13-1)*EXP(-0.5*(($A381-'Control Room'!$A$13-('Control Room'!$B$13-1)/2)/MAX(0.5,'Control Room'!$B$13/4))^2),1)*IF(AND($A381&gt;='Control Room'!$A$14,$A381&lt;'Control Room'!$A$14+'Control Room'!$B$14,'Process'!BP3=1),1+('Control Room'!$C$14-1)*EXP(-0.5*(($A381-'Control Room'!$A$14-('Control Room'!$B$14-1)/2)/MAX(0.5,'Control Room'!$B$14/4))^2),1)*IF(AND($A381&gt;='Control Room'!$A$15,$A381&lt;'Control Room'!$A$15+'Control Room'!$B$15,'Process'!BP4=1),1+('Control Room'!$C$15-1)*EXP(-0.5*(($A381-'Control Room'!$A$15-('Control Room'!$B$15-1)/2)/MAX(0.5,'Control Room'!$B$15/4))^2),1)*IF(AND($A381&gt;='Control Room'!$A$16,$A381&lt;'Control Room'!$A$16+'Control Room'!$B$16,'Process'!BP5=1),1+('Control Room'!$C$16-1)*EXP(-0.5*(($A381-'Control Room'!$A$16-('Control Room'!$B$16-1)/2)/MAX(0.5,'Control Room'!$B$16/4))^2),1)</x:f>
        <x:v>1</x:v>
      </x:c>
      <x:c r="AF381" s="9" t="n">
        <x:f>MOD(AG380*16807,2147483647)</x:f>
        <x:v>1880358533</x:v>
      </x:c>
      <x:c r="AG381" s="9" t="n">
        <x:f>MOD(AF381*16807,2147483647)</x:f>
        <x:v>816514879</x:v>
      </x:c>
      <x:c r="AH381" s="17" t="n">
        <x:f>IF('Control Room'!$B$5="Normal",'Control Room'!$B$7+'Control Room'!$D$7*SQRT(-2*LN(MAX(0.000000000001,AF381/2147483647)))*COS(2*PI()*AG381/2147483647),'Control Room'!$B$8+('Control Room'!$D$8-'Control Room'!$B$8)*AF381/2147483647)</x:f>
        <x:v>966.1403237582042</x:v>
      </x:c>
      <x:c r="AI381" s="17" t="n">
        <x:f>IF('Control Room'!$B$5="Normal",'Control Room'!$B$7,('Control Room'!$B$8+'Control Room'!$D$8)/2)+'Control Room'!$B$9*(AI380-IF('Control Room'!$B$5="Normal",'Control Room'!$B$7,('Control Room'!$B$8+'Control Room'!$D$8)/2))+SQRT(1-'Control Room'!$B$9^2)*(AH381-IF('Control Room'!$B$5="Normal",'Control Room'!$B$7,('Control Room'!$B$8+'Control Room'!$D$8)/2))</x:f>
        <x:v>1106.7955173316877</x:v>
      </x:c>
      <x:c r="AJ381" s="17" t="n">
        <x:f>IF(AND($A381&gt;='Control Room'!$A$13,$A381&lt;'Control Room'!$A$13+'Control Room'!$B$13,'Process'!BQ2=1),1+('Control Room'!$C$13-1)*EXP(-0.5*(($A381-'Control Room'!$A$13-('Control Room'!$B$13-1)/2)/MAX(0.5,'Control Room'!$B$13/4))^2),1)*IF(AND($A381&gt;='Control Room'!$A$14,$A381&lt;'Control Room'!$A$14+'Control Room'!$B$14,'Process'!BQ3=1),1+('Control Room'!$C$14-1)*EXP(-0.5*(($A381-'Control Room'!$A$14-('Control Room'!$B$14-1)/2)/MAX(0.5,'Control Room'!$B$14/4))^2),1)*IF(AND($A381&gt;='Control Room'!$A$15,$A381&lt;'Control Room'!$A$15+'Control Room'!$B$15,'Process'!BQ4=1),1+('Control Room'!$C$15-1)*EXP(-0.5*(($A381-'Control Room'!$A$15-('Control Room'!$B$15-1)/2)/MAX(0.5,'Control Room'!$B$15/4))^2),1)*IF(AND($A381&gt;='Control Room'!$A$16,$A381&lt;'Control Room'!$A$16+'Control Room'!$B$16,'Process'!BQ5=1),1+('Control Room'!$C$16-1)*EXP(-0.5*(($A381-'Control Room'!$A$16-('Control Room'!$B$16-1)/2)/MAX(0.5,'Control Room'!$B$16/4))^2),1)</x:f>
        <x:v>1</x:v>
      </x:c>
      <x:c r="AK381" s="9" t="n">
        <x:f>MOD(AL380*16807,2147483647)</x:f>
        <x:v>1998053619</x:v>
      </x:c>
      <x:c r="AL381" s="9" t="n">
        <x:f>MOD(AK381*16807,2147483647)</x:f>
        <x:v>1085386394</x:v>
      </x:c>
      <x:c r="AM381" s="17" t="n">
        <x:f>IF('Control Room'!$B$5="Normal",'Control Room'!$B$7+'Control Room'!$D$7*SQRT(-2*LN(MAX(0.000000000001,AK381/2147483647)))*COS(2*PI()*AL381/2147483647),'Control Room'!$B$8+('Control Room'!$D$8-'Control Room'!$B$8)*AK381/2147483647)</x:f>
        <x:v>965.8380206774992</x:v>
      </x:c>
      <x:c r="AN381" s="17" t="n">
        <x:f>IF('Control Room'!$B$5="Normal",'Control Room'!$B$7,('Control Room'!$B$8+'Control Room'!$D$8)/2)+'Control Room'!$B$9*(AN380-IF('Control Room'!$B$5="Normal",'Control Room'!$B$7,('Control Room'!$B$8+'Control Room'!$D$8)/2))+SQRT(1-'Control Room'!$B$9^2)*(AM381-IF('Control Room'!$B$5="Normal",'Control Room'!$B$7,('Control Room'!$B$8+'Control Room'!$D$8)/2))</x:f>
        <x:v>903.570464345696</x:v>
      </x:c>
      <x:c r="AO381" s="17" t="n">
        <x:f>IF(AND($A381&gt;='Control Room'!$A$13,$A381&lt;'Control Room'!$A$13+'Control Room'!$B$13,'Process'!BR2=1),1+('Control Room'!$C$13-1)*EXP(-0.5*(($A381-'Control Room'!$A$13-('Control Room'!$B$13-1)/2)/MAX(0.5,'Control Room'!$B$13/4))^2),1)*IF(AND($A381&gt;='Control Room'!$A$14,$A381&lt;'Control Room'!$A$14+'Control Room'!$B$14,'Process'!BR3=1),1+('Control Room'!$C$14-1)*EXP(-0.5*(($A381-'Control Room'!$A$14-('Control Room'!$B$14-1)/2)/MAX(0.5,'Control Room'!$B$14/4))^2),1)*IF(AND($A381&gt;='Control Room'!$A$15,$A381&lt;'Control Room'!$A$15+'Control Room'!$B$15,'Process'!BR4=1),1+('Control Room'!$C$15-1)*EXP(-0.5*(($A381-'Control Room'!$A$15-('Control Room'!$B$15-1)/2)/MAX(0.5,'Control Room'!$B$15/4))^2),1)*IF(AND($A381&gt;='Control Room'!$A$16,$A381&lt;'Control Room'!$A$16+'Control Room'!$B$16,'Process'!BR5=1),1+('Control Room'!$C$16-1)*EXP(-0.5*(($A381-'Control Room'!$A$16-('Control Room'!$B$16-1)/2)/MAX(0.5,'Control Room'!$B$16/4))^2),1)</x:f>
        <x:v>1</x:v>
      </x:c>
      <x:c r="AP381" s="9" t="n">
        <x:f>MOD(AQ380*16807,2147483647)</x:f>
        <x:v>2115748705</x:v>
      </x:c>
      <x:c r="AQ381" s="9" t="n">
        <x:f>MOD(AP381*16807,2147483647)</x:f>
        <x:v>1354257909</x:v>
      </x:c>
      <x:c r="AR381" s="17" t="n">
        <x:f>IF('Control Room'!$B$5="Normal",'Control Room'!$B$7+'Control Room'!$D$7*SQRT(-2*LN(MAX(0.000000000001,AP381/2147483647)))*COS(2*PI()*AQ381/2147483647),'Control Room'!$B$8+('Control Room'!$D$8-'Control Room'!$B$8)*AP381/2147483647)</x:f>
        <x:v>989.4134491051854</x:v>
      </x:c>
      <x:c r="AS381" s="17" t="n">
        <x:f>IF('Control Room'!$B$5="Normal",'Control Room'!$B$7,('Control Room'!$B$8+'Control Room'!$D$8)/2)+'Control Room'!$B$9*(AS380-IF('Control Room'!$B$5="Normal",'Control Room'!$B$7,('Control Room'!$B$8+'Control Room'!$D$8)/2))+SQRT(1-'Control Room'!$B$9^2)*(AR381-IF('Control Room'!$B$5="Normal",'Control Room'!$B$7,('Control Room'!$B$8+'Control Room'!$D$8)/2))</x:f>
        <x:v>1044.3634425194364</x:v>
      </x:c>
      <x:c r="AT381" s="17" t="n">
        <x:f>IF(AND($A381&gt;='Control Room'!$A$13,$A381&lt;'Control Room'!$A$13+'Control Room'!$B$13,'Process'!BS2=1),1+('Control Room'!$C$13-1)*EXP(-0.5*(($A381-'Control Room'!$A$13-('Control Room'!$B$13-1)/2)/MAX(0.5,'Control Room'!$B$13/4))^2),1)*IF(AND($A381&gt;='Control Room'!$A$14,$A381&lt;'Control Room'!$A$14+'Control Room'!$B$14,'Process'!BS3=1),1+('Control Room'!$C$14-1)*EXP(-0.5*(($A381-'Control Room'!$A$14-('Control Room'!$B$14-1)/2)/MAX(0.5,'Control Room'!$B$14/4))^2),1)*IF(AND($A381&gt;='Control Room'!$A$15,$A381&lt;'Control Room'!$A$15+'Control Room'!$B$15,'Process'!BS4=1),1+('Control Room'!$C$15-1)*EXP(-0.5*(($A381-'Control Room'!$A$15-('Control Room'!$B$15-1)/2)/MAX(0.5,'Control Room'!$B$15/4))^2),1)*IF(AND($A381&gt;='Control Room'!$A$16,$A381&lt;'Control Room'!$A$16+'Control Room'!$B$16,'Process'!BS5=1),1+('Control Room'!$C$16-1)*EXP(-0.5*(($A381-'Control Room'!$A$16-('Control Room'!$B$16-1)/2)/MAX(0.5,'Control Room'!$B$16/4))^2),1)</x:f>
        <x:v>1</x:v>
      </x:c>
      <x:c r="AU381" s="9" t="n">
        <x:f>MOD(AV380*16807,2147483647)</x:f>
        <x:v>85960144</x:v>
      </x:c>
      <x:c r="AV381" s="9" t="n">
        <x:f>MOD(AU381*16807,2147483647)</x:f>
        <x:v>1623129424</x:v>
      </x:c>
      <x:c r="AW381" s="17" t="n">
        <x:f>IF('Control Room'!$B$5="Normal",'Control Room'!$B$7+'Control Room'!$D$7*SQRT(-2*LN(MAX(0.000000000001,AU381/2147483647)))*COS(2*PI()*AV381/2147483647),'Control Room'!$B$8+('Control Room'!$D$8-'Control Room'!$B$8)*AU381/2147483647)</x:f>
        <x:v>1008.3599611360239</x:v>
      </x:c>
      <x:c r="AX381" s="17" t="n">
        <x:f>IF('Control Room'!$B$5="Normal",'Control Room'!$B$7,('Control Room'!$B$8+'Control Room'!$D$8)/2)+'Control Room'!$B$9*(AX380-IF('Control Room'!$B$5="Normal",'Control Room'!$B$7,('Control Room'!$B$8+'Control Room'!$D$8)/2))+SQRT(1-'Control Room'!$B$9^2)*(AW381-IF('Control Room'!$B$5="Normal",'Control Room'!$B$7,('Control Room'!$B$8+'Control Room'!$D$8)/2))</x:f>
        <x:v>1074.8577016270578</x:v>
      </x:c>
      <x:c r="AY381" s="17" t="n">
        <x:f>IF(AND($A381&gt;='Control Room'!$A$13,$A381&lt;'Control Room'!$A$13+'Control Room'!$B$13,'Process'!BT2=1),1+('Control Room'!$C$13-1)*EXP(-0.5*(($A381-'Control Room'!$A$13-('Control Room'!$B$13-1)/2)/MAX(0.5,'Control Room'!$B$13/4))^2),1)*IF(AND($A381&gt;='Control Room'!$A$14,$A381&lt;'Control Room'!$A$14+'Control Room'!$B$14,'Process'!BT3=1),1+('Control Room'!$C$14-1)*EXP(-0.5*(($A381-'Control Room'!$A$14-('Control Room'!$B$14-1)/2)/MAX(0.5,'Control Room'!$B$14/4))^2),1)*IF(AND($A381&gt;='Control Room'!$A$15,$A381&lt;'Control Room'!$A$15+'Control Room'!$B$15,'Process'!BT4=1),1+('Control Room'!$C$15-1)*EXP(-0.5*(($A381-'Control Room'!$A$15-('Control Room'!$B$15-1)/2)/MAX(0.5,'Control Room'!$B$15/4))^2),1)*IF(AND($A381&gt;='Control Room'!$A$16,$A381&lt;'Control Room'!$A$16+'Control Room'!$B$16,'Process'!BT5=1),1+('Control Room'!$C$16-1)*EXP(-0.5*(($A381-'Control Room'!$A$16-('Control Room'!$B$16-1)/2)/MAX(0.5,'Control Room'!$B$16/4))^2),1)</x:f>
        <x:v>1</x:v>
      </x:c>
      <x:c r="AZ381" s="9" t="n">
        <x:f>MOD(BA380*16807,2147483647)</x:f>
        <x:v>203655230</x:v>
      </x:c>
      <x:c r="BA381" s="9" t="n">
        <x:f>MOD(AZ381*16807,2147483647)</x:f>
        <x:v>1892000939</x:v>
      </x:c>
      <x:c r="BB381" s="17" t="n">
        <x:f>IF('Control Room'!$B$5="Normal",'Control Room'!$B$7+'Control Room'!$D$7*SQRT(-2*LN(MAX(0.000000000001,AZ381/2147483647)))*COS(2*PI()*BA381/2147483647),'Control Room'!$B$8+('Control Room'!$D$8-'Control Room'!$B$8)*AZ381/2147483647)</x:f>
        <x:v>1143.2668176701065</x:v>
      </x:c>
      <x:c r="BC381" s="17" t="n">
        <x:f>IF('Control Room'!$B$5="Normal",'Control Room'!$B$7,('Control Room'!$B$8+'Control Room'!$D$8)/2)+'Control Room'!$B$9*(BC380-IF('Control Room'!$B$5="Normal",'Control Room'!$B$7,('Control Room'!$B$8+'Control Room'!$D$8)/2))+SQRT(1-'Control Room'!$B$9^2)*(BB381-IF('Control Room'!$B$5="Normal",'Control Room'!$B$7,('Control Room'!$B$8+'Control Room'!$D$8)/2))</x:f>
        <x:v>1003.2146148033166</x:v>
      </x:c>
      <x:c r="BD381" s="17" t="n">
        <x:f>IF(AND($A381&gt;='Control Room'!$A$13,$A381&lt;'Control Room'!$A$13+'Control Room'!$B$13,'Process'!BU2=1),1+('Control Room'!$C$13-1)*EXP(-0.5*(($A381-'Control Room'!$A$13-('Control Room'!$B$13-1)/2)/MAX(0.5,'Control Room'!$B$13/4))^2),1)*IF(AND($A381&gt;='Control Room'!$A$14,$A381&lt;'Control Room'!$A$14+'Control Room'!$B$14,'Process'!BU3=1),1+('Control Room'!$C$14-1)*EXP(-0.5*(($A381-'Control Room'!$A$14-('Control Room'!$B$14-1)/2)/MAX(0.5,'Control Room'!$B$14/4))^2),1)*IF(AND($A381&gt;='Control Room'!$A$15,$A381&lt;'Control Room'!$A$15+'Control Room'!$B$15,'Process'!BU4=1),1+('Control Room'!$C$15-1)*EXP(-0.5*(($A381-'Control Room'!$A$15-('Control Room'!$B$15-1)/2)/MAX(0.5,'Control Room'!$B$15/4))^2),1)*IF(AND($A381&gt;='Control Room'!$A$16,$A381&lt;'Control Room'!$A$16+'Control Room'!$B$16,'Process'!BU5=1),1+('Control Room'!$C$16-1)*EXP(-0.5*(($A381-'Control Room'!$A$16-('Control Room'!$B$16-1)/2)/MAX(0.5,'Control Room'!$B$16/4))^2),1)</x:f>
        <x:v>1</x:v>
      </x:c>
      <x:c r="BE381" s="9" t="n">
        <x:f>MOD(BF380*16807,2147483647)</x:f>
        <x:v>321350316</x:v>
      </x:c>
      <x:c r="BF381" s="9" t="n">
        <x:f>MOD(BE381*16807,2147483647)</x:f>
        <x:v>13388807</x:v>
      </x:c>
      <x:c r="BG381" s="17" t="n">
        <x:f>IF('Control Room'!$B$5="Normal",'Control Room'!$B$7+'Control Room'!$D$7*SQRT(-2*LN(MAX(0.000000000001,BE381/2147483647)))*COS(2*PI()*BF381/2147483647),'Control Room'!$B$8+('Control Room'!$D$8-'Control Room'!$B$8)*BE381/2147483647)</x:f>
        <x:v>1175.2855650351166</x:v>
      </x:c>
      <x:c r="BH381" s="17" t="n">
        <x:f>IF('Control Room'!$B$5="Normal",'Control Room'!$B$7,('Control Room'!$B$8+'Control Room'!$D$8)/2)+'Control Room'!$B$9*(BH380-IF('Control Room'!$B$5="Normal",'Control Room'!$B$7,('Control Room'!$B$8+'Control Room'!$D$8)/2))+SQRT(1-'Control Room'!$B$9^2)*(BG381-IF('Control Room'!$B$5="Normal",'Control Room'!$B$7,('Control Room'!$B$8+'Control Room'!$D$8)/2))</x:f>
        <x:v>1204.0358415594114</x:v>
      </x:c>
      <x:c r="BI381" s="17" t="n">
        <x:f>IF(AND($A381&gt;='Control Room'!$A$13,$A381&lt;'Control Room'!$A$13+'Control Room'!$B$13,'Process'!BV2=1),1+('Control Room'!$C$13-1)*EXP(-0.5*(($A381-'Control Room'!$A$13-('Control Room'!$B$13-1)/2)/MAX(0.5,'Control Room'!$B$13/4))^2),1)*IF(AND($A381&gt;='Control Room'!$A$14,$A381&lt;'Control Room'!$A$14+'Control Room'!$B$14,'Process'!BV3=1),1+('Control Room'!$C$14-1)*EXP(-0.5*(($A381-'Control Room'!$A$14-('Control Room'!$B$14-1)/2)/MAX(0.5,'Control Room'!$B$14/4))^2),1)*IF(AND($A381&gt;='Control Room'!$A$15,$A381&lt;'Control Room'!$A$15+'Control Room'!$B$15,'Process'!BV4=1),1+('Control Room'!$C$15-1)*EXP(-0.5*(($A381-'Control Room'!$A$15-('Control Room'!$B$15-1)/2)/MAX(0.5,'Control Room'!$B$15/4))^2),1)*IF(AND($A381&gt;='Control Room'!$A$16,$A381&lt;'Control Room'!$A$16+'Control Room'!$B$16,'Process'!BV5=1),1+('Control Room'!$C$16-1)*EXP(-0.5*(($A381-'Control Room'!$A$16-('Control Room'!$B$16-1)/2)/MAX(0.5,'Control Room'!$B$16/4))^2),1)</x:f>
        <x:v>1</x:v>
      </x:c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Z381" t="str">
        <x:f>IF('Data'!A381="","",TEXT('Data'!A381,"mm-dd"))</x:f>
      </x:c>
    </x:row>
    <x:row r="382" ht="21" customHeight="1">
      <x:c r="A382" s="15" t="n">
        <x:f>'Control Room'!$B$1+380</x:f>
        <x:v>73371</x:v>
      </x:c>
      <x:c r="B382" s="9" t="n">
        <x:f>MOD(C381*16807,2147483647)</x:f>
        <x:v>1332278415</x:v>
      </x:c>
      <x:c r="C382" s="9" t="n">
        <x:f>MOD(B382*16807,2147483647)</x:f>
        <x:v>1938817283</x:v>
      </x:c>
      <x:c r="D382" s="17" t="n">
        <x:f>IF('Control Room'!$B$5="Normal",'Control Room'!$B$7+'Control Room'!$D$7*SQRT(-2*LN(MAX(0.000000000001,B382/2147483647)))*COS(2*PI()*C382/2147483647),'Control Room'!$B$8+('Control Room'!$D$8-'Control Room'!$B$8)*B382/2147483647)</x:f>
        <x:v>1072.0559593126004</x:v>
      </x:c>
      <x:c r="E382" s="17" t="n">
        <x:f>IF('Control Room'!$B$5="Normal",'Control Room'!$B$7,('Control Room'!$B$8+'Control Room'!$D$8)/2)+'Control Room'!$B$9*(E381-IF('Control Room'!$B$5="Normal",'Control Room'!$B$7,('Control Room'!$B$8+'Control Room'!$D$8)/2))+SQRT(1-'Control Room'!$B$9^2)*(D382-IF('Control Room'!$B$5="Normal",'Control Room'!$B$7,('Control Room'!$B$8+'Control Room'!$D$8)/2))</x:f>
        <x:v>961.6148798525115</x:v>
      </x:c>
      <x:c r="F382" s="17" t="n">
        <x:f>IF(AND($A382&gt;='Control Room'!$A$13,$A382&lt;'Control Room'!$A$13+'Control Room'!$B$13,'Process'!BK2=1),1+('Control Room'!$C$13-1)*EXP(-0.5*(($A382-'Control Room'!$A$13-('Control Room'!$B$13-1)/2)/MAX(0.5,'Control Room'!$B$13/4))^2),1)*IF(AND($A382&gt;='Control Room'!$A$14,$A382&lt;'Control Room'!$A$14+'Control Room'!$B$14,'Process'!BK3=1),1+('Control Room'!$C$14-1)*EXP(-0.5*(($A382-'Control Room'!$A$14-('Control Room'!$B$14-1)/2)/MAX(0.5,'Control Room'!$B$14/4))^2),1)*IF(AND($A382&gt;='Control Room'!$A$15,$A382&lt;'Control Room'!$A$15+'Control Room'!$B$15,'Process'!BK4=1),1+('Control Room'!$C$15-1)*EXP(-0.5*(($A382-'Control Room'!$A$15-('Control Room'!$B$15-1)/2)/MAX(0.5,'Control Room'!$B$15/4))^2),1)*IF(AND($A382&gt;='Control Room'!$A$16,$A382&lt;'Control Room'!$A$16+'Control Room'!$B$16,'Process'!BK5=1),1+('Control Room'!$C$16-1)*EXP(-0.5*(($A382-'Control Room'!$A$16-('Control Room'!$B$16-1)/2)/MAX(0.5,'Control Room'!$B$16/4))^2),1)</x:f>
        <x:v>1</x:v>
      </x:c>
      <x:c r="G382" s="9" t="n">
        <x:f>MOD(H381*16807,2147483647)</x:f>
        <x:v>1950237732</x:v>
      </x:c>
      <x:c r="H382" s="9" t="n">
        <x:f>MOD(G382*16807,2147483647)</x:f>
        <x:v>602657563</x:v>
      </x:c>
      <x:c r="I382" s="17" t="n">
        <x:f>IF('Control Room'!$B$5="Normal",'Control Room'!$B$7+'Control Room'!$D$7*SQRT(-2*LN(MAX(0.000000000001,G382/2147483647)))*COS(2*PI()*H382/2147483647),'Control Room'!$B$8+('Control Room'!$D$8-'Control Room'!$B$8)*G382/2147483647)</x:f>
        <x:v>992.4425383015604</x:v>
      </x:c>
      <x:c r="J382" s="17" t="n">
        <x:f>IF('Control Room'!$B$5="Normal",'Control Room'!$B$7,('Control Room'!$B$8+'Control Room'!$D$8)/2)+'Control Room'!$B$9*(J381-IF('Control Room'!$B$5="Normal",'Control Room'!$B$7,('Control Room'!$B$8+'Control Room'!$D$8)/2))+SQRT(1-'Control Room'!$B$9^2)*(I382-IF('Control Room'!$B$5="Normal",'Control Room'!$B$7,('Control Room'!$B$8+'Control Room'!$D$8)/2))</x:f>
        <x:v>952.1409815413668</x:v>
      </x:c>
      <x:c r="K382" s="17" t="n">
        <x:f>IF(AND($A382&gt;='Control Room'!$A$13,$A382&lt;'Control Room'!$A$13+'Control Room'!$B$13,'Process'!BL2=1),1+('Control Room'!$C$13-1)*EXP(-0.5*(($A382-'Control Room'!$A$13-('Control Room'!$B$13-1)/2)/MAX(0.5,'Control Room'!$B$13/4))^2),1)*IF(AND($A382&gt;='Control Room'!$A$14,$A382&lt;'Control Room'!$A$14+'Control Room'!$B$14,'Process'!BL3=1),1+('Control Room'!$C$14-1)*EXP(-0.5*(($A382-'Control Room'!$A$14-('Control Room'!$B$14-1)/2)/MAX(0.5,'Control Room'!$B$14/4))^2),1)*IF(AND($A382&gt;='Control Room'!$A$15,$A382&lt;'Control Room'!$A$15+'Control Room'!$B$15,'Process'!BL4=1),1+('Control Room'!$C$15-1)*EXP(-0.5*(($A382-'Control Room'!$A$15-('Control Room'!$B$15-1)/2)/MAX(0.5,'Control Room'!$B$15/4))^2),1)*IF(AND($A382&gt;='Control Room'!$A$16,$A382&lt;'Control Room'!$A$16+'Control Room'!$B$16,'Process'!BL5=1),1+('Control Room'!$C$16-1)*EXP(-0.5*(($A382-'Control Room'!$A$16-('Control Room'!$B$16-1)/2)/MAX(0.5,'Control Room'!$B$16/4))^2),1)</x:f>
        <x:v>1</x:v>
      </x:c>
      <x:c r="L382" s="9" t="n">
        <x:f>MOD(M381*16807,2147483647)</x:f>
        <x:v>420713402</x:v>
      </x:c>
      <x:c r="M382" s="9" t="n">
        <x:f>MOD(L382*16807,2147483647)</x:f>
        <x:v>1413981490</x:v>
      </x:c>
      <x:c r="N382" s="17" t="n">
        <x:f>IF('Control Room'!$B$5="Normal",'Control Room'!$B$7+'Control Room'!$D$7*SQRT(-2*LN(MAX(0.000000000001,L382/2147483647)))*COS(2*PI()*M382/2147483647),'Control Room'!$B$8+('Control Room'!$D$8-'Control Room'!$B$8)*L382/2147483647)</x:f>
        <x:v>911.5821675899642</x:v>
      </x:c>
      <x:c r="O382" s="17" t="n">
        <x:f>IF('Control Room'!$B$5="Normal",'Control Room'!$B$7,('Control Room'!$B$8+'Control Room'!$D$8)/2)+'Control Room'!$B$9*(O381-IF('Control Room'!$B$5="Normal",'Control Room'!$B$7,('Control Room'!$B$8+'Control Room'!$D$8)/2))+SQRT(1-'Control Room'!$B$9^2)*(N382-IF('Control Room'!$B$5="Normal",'Control Room'!$B$7,('Control Room'!$B$8+'Control Room'!$D$8)/2))</x:f>
        <x:v>922.091981265638</x:v>
      </x:c>
      <x:c r="P382" s="17" t="n">
        <x:f>IF(AND($A382&gt;='Control Room'!$A$13,$A382&lt;'Control Room'!$A$13+'Control Room'!$B$13,'Process'!BM2=1),1+('Control Room'!$C$13-1)*EXP(-0.5*(($A382-'Control Room'!$A$13-('Control Room'!$B$13-1)/2)/MAX(0.5,'Control Room'!$B$13/4))^2),1)*IF(AND($A382&gt;='Control Room'!$A$14,$A382&lt;'Control Room'!$A$14+'Control Room'!$B$14,'Process'!BM3=1),1+('Control Room'!$C$14-1)*EXP(-0.5*(($A382-'Control Room'!$A$14-('Control Room'!$B$14-1)/2)/MAX(0.5,'Control Room'!$B$14/4))^2),1)*IF(AND($A382&gt;='Control Room'!$A$15,$A382&lt;'Control Room'!$A$15+'Control Room'!$B$15,'Process'!BM4=1),1+('Control Room'!$C$15-1)*EXP(-0.5*(($A382-'Control Room'!$A$15-('Control Room'!$B$15-1)/2)/MAX(0.5,'Control Room'!$B$15/4))^2),1)*IF(AND($A382&gt;='Control Room'!$A$16,$A382&lt;'Control Room'!$A$16+'Control Room'!$B$16,'Process'!BM5=1),1+('Control Room'!$C$16-1)*EXP(-0.5*(($A382-'Control Room'!$A$16-('Control Room'!$B$16-1)/2)/MAX(0.5,'Control Room'!$B$16/4))^2),1)</x:f>
        <x:v>1</x:v>
      </x:c>
      <x:c r="Q382" s="9" t="n">
        <x:f>MOD(R381*16807,2147483647)</x:f>
        <x:v>1038672719</x:v>
      </x:c>
      <x:c r="R382" s="9" t="n">
        <x:f>MOD(Q382*16807,2147483647)</x:f>
        <x:v>77821770</x:v>
      </x:c>
      <x:c r="S382" s="17" t="n">
        <x:f>IF('Control Room'!$B$5="Normal",'Control Room'!$B$7+'Control Room'!$D$7*SQRT(-2*LN(MAX(0.000000000001,Q382/2147483647)))*COS(2*PI()*R382/2147483647),'Control Room'!$B$8+('Control Room'!$D$8-'Control Room'!$B$8)*Q382/2147483647)</x:f>
        <x:v>1105.6756388444078</x:v>
      </x:c>
      <x:c r="T382" s="17" t="n">
        <x:f>IF('Control Room'!$B$5="Normal",'Control Room'!$B$7,('Control Room'!$B$8+'Control Room'!$D$8)/2)+'Control Room'!$B$9*(T381-IF('Control Room'!$B$5="Normal",'Control Room'!$B$7,('Control Room'!$B$8+'Control Room'!$D$8)/2))+SQRT(1-'Control Room'!$B$9^2)*(S382-IF('Control Room'!$B$5="Normal",'Control Room'!$B$7,('Control Room'!$B$8+'Control Room'!$D$8)/2))</x:f>
        <x:v>1112.7300964194092</x:v>
      </x:c>
      <x:c r="U382" s="17" t="n">
        <x:f>IF(AND($A382&gt;='Control Room'!$A$13,$A382&lt;'Control Room'!$A$13+'Control Room'!$B$13,'Process'!BN2=1),1+('Control Room'!$C$13-1)*EXP(-0.5*(($A382-'Control Room'!$A$13-('Control Room'!$B$13-1)/2)/MAX(0.5,'Control Room'!$B$13/4))^2),1)*IF(AND($A382&gt;='Control Room'!$A$14,$A382&lt;'Control Room'!$A$14+'Control Room'!$B$14,'Process'!BN3=1),1+('Control Room'!$C$14-1)*EXP(-0.5*(($A382-'Control Room'!$A$14-('Control Room'!$B$14-1)/2)/MAX(0.5,'Control Room'!$B$14/4))^2),1)*IF(AND($A382&gt;='Control Room'!$A$15,$A382&lt;'Control Room'!$A$15+'Control Room'!$B$15,'Process'!BN4=1),1+('Control Room'!$C$15-1)*EXP(-0.5*(($A382-'Control Room'!$A$15-('Control Room'!$B$15-1)/2)/MAX(0.5,'Control Room'!$B$15/4))^2),1)*IF(AND($A382&gt;='Control Room'!$A$16,$A382&lt;'Control Room'!$A$16+'Control Room'!$B$16,'Process'!BN5=1),1+('Control Room'!$C$16-1)*EXP(-0.5*(($A382-'Control Room'!$A$16-('Control Room'!$B$16-1)/2)/MAX(0.5,'Control Room'!$B$16/4))^2),1)</x:f>
        <x:v>1</x:v>
      </x:c>
      <x:c r="V382" s="9" t="n">
        <x:f>MOD(W381*16807,2147483647)</x:f>
        <x:v>1656632036</x:v>
      </x:c>
      <x:c r="W382" s="9" t="n">
        <x:f>MOD(V382*16807,2147483647)</x:f>
        <x:v>889145697</x:v>
      </x:c>
      <x:c r="X382" s="17" t="n">
        <x:f>IF('Control Room'!$B$5="Normal",'Control Room'!$B$7+'Control Room'!$D$7*SQRT(-2*LN(MAX(0.000000000001,V382/2147483647)))*COS(2*PI()*W382/2147483647),'Control Room'!$B$8+('Control Room'!$D$8-'Control Room'!$B$8)*V382/2147483647)</x:f>
        <x:v>944.3905070270937</x:v>
      </x:c>
      <x:c r="Y382" s="17" t="n">
        <x:f>IF('Control Room'!$B$5="Normal",'Control Room'!$B$7,('Control Room'!$B$8+'Control Room'!$D$8)/2)+'Control Room'!$B$9*(Y381-IF('Control Room'!$B$5="Normal",'Control Room'!$B$7,('Control Room'!$B$8+'Control Room'!$D$8)/2))+SQRT(1-'Control Room'!$B$9^2)*(X382-IF('Control Room'!$B$5="Normal",'Control Room'!$B$7,('Control Room'!$B$8+'Control Room'!$D$8)/2))</x:f>
        <x:v>973.4712066507185</x:v>
      </x:c>
      <x:c r="Z382" s="17" t="n">
        <x:f>IF(AND($A382&gt;='Control Room'!$A$13,$A382&lt;'Control Room'!$A$13+'Control Room'!$B$13,'Process'!BO2=1),1+('Control Room'!$C$13-1)*EXP(-0.5*(($A382-'Control Room'!$A$13-('Control Room'!$B$13-1)/2)/MAX(0.5,'Control Room'!$B$13/4))^2),1)*IF(AND($A382&gt;='Control Room'!$A$14,$A382&lt;'Control Room'!$A$14+'Control Room'!$B$14,'Process'!BO3=1),1+('Control Room'!$C$14-1)*EXP(-0.5*(($A382-'Control Room'!$A$14-('Control Room'!$B$14-1)/2)/MAX(0.5,'Control Room'!$B$14/4))^2),1)*IF(AND($A382&gt;='Control Room'!$A$15,$A382&lt;'Control Room'!$A$15+'Control Room'!$B$15,'Process'!BO4=1),1+('Control Room'!$C$15-1)*EXP(-0.5*(($A382-'Control Room'!$A$15-('Control Room'!$B$15-1)/2)/MAX(0.5,'Control Room'!$B$15/4))^2),1)*IF(AND($A382&gt;='Control Room'!$A$16,$A382&lt;'Control Room'!$A$16+'Control Room'!$B$16,'Process'!BO5=1),1+('Control Room'!$C$16-1)*EXP(-0.5*(($A382-'Control Room'!$A$16-('Control Room'!$B$16-1)/2)/MAX(0.5,'Control Room'!$B$16/4))^2),1)</x:f>
        <x:v>1</x:v>
      </x:c>
      <x:c r="AA382" s="9" t="n">
        <x:f>MOD(AB381*16807,2147483647)</x:f>
        <x:v>127107706</x:v>
      </x:c>
      <x:c r="AB382" s="9" t="n">
        <x:f>MOD(AA382*16807,2147483647)</x:f>
        <x:v>1700469624</x:v>
      </x:c>
      <x:c r="AC382" s="17" t="n">
        <x:f>IF('Control Room'!$B$5="Normal",'Control Room'!$B$7+'Control Room'!$D$7*SQRT(-2*LN(MAX(0.000000000001,AA382/2147483647)))*COS(2*PI()*AB382/2147483647),'Control Room'!$B$8+('Control Room'!$D$8-'Control Room'!$B$8)*AA382/2147483647)</x:f>
        <x:v>1055.6171174558435</x:v>
      </x:c>
      <x:c r="AD382" s="17" t="n">
        <x:f>IF('Control Room'!$B$5="Normal",'Control Room'!$B$7,('Control Room'!$B$8+'Control Room'!$D$8)/2)+'Control Room'!$B$9*(AD381-IF('Control Room'!$B$5="Normal",'Control Room'!$B$7,('Control Room'!$B$8+'Control Room'!$D$8)/2))+SQRT(1-'Control Room'!$B$9^2)*(AC382-IF('Control Room'!$B$5="Normal",'Control Room'!$B$7,('Control Room'!$B$8+'Control Room'!$D$8)/2))</x:f>
        <x:v>1056.2861462995356</x:v>
      </x:c>
      <x:c r="AE382" s="17" t="n">
        <x:f>IF(AND($A382&gt;='Control Room'!$A$13,$A382&lt;'Control Room'!$A$13+'Control Room'!$B$13,'Process'!BP2=1),1+('Control Room'!$C$13-1)*EXP(-0.5*(($A382-'Control Room'!$A$13-('Control Room'!$B$13-1)/2)/MAX(0.5,'Control Room'!$B$13/4))^2),1)*IF(AND($A382&gt;='Control Room'!$A$14,$A382&lt;'Control Room'!$A$14+'Control Room'!$B$14,'Process'!BP3=1),1+('Control Room'!$C$14-1)*EXP(-0.5*(($A382-'Control Room'!$A$14-('Control Room'!$B$14-1)/2)/MAX(0.5,'Control Room'!$B$14/4))^2),1)*IF(AND($A382&gt;='Control Room'!$A$15,$A382&lt;'Control Room'!$A$15+'Control Room'!$B$15,'Process'!BP4=1),1+('Control Room'!$C$15-1)*EXP(-0.5*(($A382-'Control Room'!$A$15-('Control Room'!$B$15-1)/2)/MAX(0.5,'Control Room'!$B$15/4))^2),1)*IF(AND($A382&gt;='Control Room'!$A$16,$A382&lt;'Control Room'!$A$16+'Control Room'!$B$16,'Process'!BP5=1),1+('Control Room'!$C$16-1)*EXP(-0.5*(($A382-'Control Room'!$A$16-('Control Room'!$B$16-1)/2)/MAX(0.5,'Control Room'!$B$16/4))^2),1)</x:f>
        <x:v>1</x:v>
      </x:c>
      <x:c r="AF382" s="9" t="n">
        <x:f>MOD(AG381*16807,2147483647)</x:f>
        <x:v>745067023</x:v>
      </x:c>
      <x:c r="AG382" s="9" t="n">
        <x:f>MOD(AF382*16807,2147483647)</x:f>
        <x:v>364309904</x:v>
      </x:c>
      <x:c r="AH382" s="17" t="n">
        <x:f>IF('Control Room'!$B$5="Normal",'Control Room'!$B$7+'Control Room'!$D$7*SQRT(-2*LN(MAX(0.000000000001,AF382/2147483647)))*COS(2*PI()*AG382/2147483647),'Control Room'!$B$8+('Control Room'!$D$8-'Control Room'!$B$8)*AF382/2147483647)</x:f>
        <x:v>1063.343387066159</x:v>
      </x:c>
      <x:c r="AI382" s="17" t="n">
        <x:f>IF('Control Room'!$B$5="Normal",'Control Room'!$B$7,('Control Room'!$B$8+'Control Room'!$D$8)/2)+'Control Room'!$B$9*(AI381-IF('Control Room'!$B$5="Normal",'Control Room'!$B$7,('Control Room'!$B$8+'Control Room'!$D$8)/2))+SQRT(1-'Control Room'!$B$9^2)*(AH382-IF('Control Room'!$B$5="Normal",'Control Room'!$B$7,('Control Room'!$B$8+'Control Room'!$D$8)/2))</x:f>
        <x:v>1122.9394974849006</x:v>
      </x:c>
      <x:c r="AJ382" s="17" t="n">
        <x:f>IF(AND($A382&gt;='Control Room'!$A$13,$A382&lt;'Control Room'!$A$13+'Control Room'!$B$13,'Process'!BQ2=1),1+('Control Room'!$C$13-1)*EXP(-0.5*(($A382-'Control Room'!$A$13-('Control Room'!$B$13-1)/2)/MAX(0.5,'Control Room'!$B$13/4))^2),1)*IF(AND($A382&gt;='Control Room'!$A$14,$A382&lt;'Control Room'!$A$14+'Control Room'!$B$14,'Process'!BQ3=1),1+('Control Room'!$C$14-1)*EXP(-0.5*(($A382-'Control Room'!$A$14-('Control Room'!$B$14-1)/2)/MAX(0.5,'Control Room'!$B$14/4))^2),1)*IF(AND($A382&gt;='Control Room'!$A$15,$A382&lt;'Control Room'!$A$15+'Control Room'!$B$15,'Process'!BQ4=1),1+('Control Room'!$C$15-1)*EXP(-0.5*(($A382-'Control Room'!$A$15-('Control Room'!$B$15-1)/2)/MAX(0.5,'Control Room'!$B$15/4))^2),1)*IF(AND($A382&gt;='Control Room'!$A$16,$A382&lt;'Control Room'!$A$16+'Control Room'!$B$16,'Process'!BQ5=1),1+('Control Room'!$C$16-1)*EXP(-0.5*(($A382-'Control Room'!$A$16-('Control Room'!$B$16-1)/2)/MAX(0.5,'Control Room'!$B$16/4))^2),1)</x:f>
        <x:v>1</x:v>
      </x:c>
      <x:c r="AK382" s="9" t="n">
        <x:f>MOD(AL381*16807,2147483647)</x:f>
        <x:v>1363026340</x:v>
      </x:c>
      <x:c r="AL382" s="9" t="n">
        <x:f>MOD(AK382*16807,2147483647)</x:f>
        <x:v>1175633831</x:v>
      </x:c>
      <x:c r="AM382" s="17" t="n">
        <x:f>IF('Control Room'!$B$5="Normal",'Control Room'!$B$7+'Control Room'!$D$7*SQRT(-2*LN(MAX(0.000000000001,AK382/2147483647)))*COS(2*PI()*AL382/2147483647),'Control Room'!$B$8+('Control Room'!$D$8-'Control Room'!$B$8)*AK382/2147483647)</x:f>
        <x:v>917.9695140228966</x:v>
      </x:c>
      <x:c r="AN382" s="17" t="n">
        <x:f>IF('Control Room'!$B$5="Normal",'Control Room'!$B$7,('Control Room'!$B$8+'Control Room'!$D$8)/2)+'Control Room'!$B$9*(AN381-IF('Control Room'!$B$5="Normal",'Control Room'!$B$7,('Control Room'!$B$8+'Control Room'!$D$8)/2))+SQRT(1-'Control Room'!$B$9^2)*(AM382-IF('Control Room'!$B$5="Normal",'Control Room'!$B$7,('Control Room'!$B$8+'Control Room'!$D$8)/2))</x:f>
        <x:v>873.4519645510194</x:v>
      </x:c>
      <x:c r="AO382" s="17" t="n">
        <x:f>IF(AND($A382&gt;='Control Room'!$A$13,$A382&lt;'Control Room'!$A$13+'Control Room'!$B$13,'Process'!BR2=1),1+('Control Room'!$C$13-1)*EXP(-0.5*(($A382-'Control Room'!$A$13-('Control Room'!$B$13-1)/2)/MAX(0.5,'Control Room'!$B$13/4))^2),1)*IF(AND($A382&gt;='Control Room'!$A$14,$A382&lt;'Control Room'!$A$14+'Control Room'!$B$14,'Process'!BR3=1),1+('Control Room'!$C$14-1)*EXP(-0.5*(($A382-'Control Room'!$A$14-('Control Room'!$B$14-1)/2)/MAX(0.5,'Control Room'!$B$14/4))^2),1)*IF(AND($A382&gt;='Control Room'!$A$15,$A382&lt;'Control Room'!$A$15+'Control Room'!$B$15,'Process'!BR4=1),1+('Control Room'!$C$15-1)*EXP(-0.5*(($A382-'Control Room'!$A$15-('Control Room'!$B$15-1)/2)/MAX(0.5,'Control Room'!$B$15/4))^2),1)*IF(AND($A382&gt;='Control Room'!$A$16,$A382&lt;'Control Room'!$A$16+'Control Room'!$B$16,'Process'!BR5=1),1+('Control Room'!$C$16-1)*EXP(-0.5*(($A382-'Control Room'!$A$16-('Control Room'!$B$16-1)/2)/MAX(0.5,'Control Room'!$B$16/4))^2),1)</x:f>
        <x:v>1</x:v>
      </x:c>
      <x:c r="AP382" s="9" t="n">
        <x:f>MOD(AQ381*16807,2147483647)</x:f>
        <x:v>1980985657</x:v>
      </x:c>
      <x:c r="AQ382" s="9" t="n">
        <x:f>MOD(AP382*16807,2147483647)</x:f>
        <x:v>1986957758</x:v>
      </x:c>
      <x:c r="AR382" s="17" t="n">
        <x:f>IF('Control Room'!$B$5="Normal",'Control Room'!$B$7+'Control Room'!$D$7*SQRT(-2*LN(MAX(0.000000000001,AP382/2147483647)))*COS(2*PI()*AQ382/2147483647),'Control Room'!$B$8+('Control Room'!$D$8-'Control Room'!$B$8)*AP382/2147483647)</x:f>
        <x:v>1032.2423824398204</x:v>
      </x:c>
      <x:c r="AS382" s="17" t="n">
        <x:f>IF('Control Room'!$B$5="Normal",'Control Room'!$B$7,('Control Room'!$B$8+'Control Room'!$D$8)/2)+'Control Room'!$B$9*(AS381-IF('Control Room'!$B$5="Normal",'Control Room'!$B$7,('Control Room'!$B$8+'Control Room'!$D$8)/2))+SQRT(1-'Control Room'!$B$9^2)*(AR382-IF('Control Room'!$B$5="Normal",'Control Room'!$B$7,('Control Room'!$B$8+'Control Room'!$D$8)/2))</x:f>
        <x:v>1054.7801075748932</x:v>
      </x:c>
      <x:c r="AT382" s="17" t="n">
        <x:f>IF(AND($A382&gt;='Control Room'!$A$13,$A382&lt;'Control Room'!$A$13+'Control Room'!$B$13,'Process'!BS2=1),1+('Control Room'!$C$13-1)*EXP(-0.5*(($A382-'Control Room'!$A$13-('Control Room'!$B$13-1)/2)/MAX(0.5,'Control Room'!$B$13/4))^2),1)*IF(AND($A382&gt;='Control Room'!$A$14,$A382&lt;'Control Room'!$A$14+'Control Room'!$B$14,'Process'!BS3=1),1+('Control Room'!$C$14-1)*EXP(-0.5*(($A382-'Control Room'!$A$14-('Control Room'!$B$14-1)/2)/MAX(0.5,'Control Room'!$B$14/4))^2),1)*IF(AND($A382&gt;='Control Room'!$A$15,$A382&lt;'Control Room'!$A$15+'Control Room'!$B$15,'Process'!BS4=1),1+('Control Room'!$C$15-1)*EXP(-0.5*(($A382-'Control Room'!$A$15-('Control Room'!$B$15-1)/2)/MAX(0.5,'Control Room'!$B$15/4))^2),1)*IF(AND($A382&gt;='Control Room'!$A$16,$A382&lt;'Control Room'!$A$16+'Control Room'!$B$16,'Process'!BS5=1),1+('Control Room'!$C$16-1)*EXP(-0.5*(($A382-'Control Room'!$A$16-('Control Room'!$B$16-1)/2)/MAX(0.5,'Control Room'!$B$16/4))^2),1)</x:f>
        <x:v>1</x:v>
      </x:c>
      <x:c r="AU382" s="9" t="n">
        <x:f>MOD(AV381*16807,2147483647)</x:f>
        <x:v>451461327</x:v>
      </x:c>
      <x:c r="AV382" s="9" t="n">
        <x:f>MOD(AU382*16807,2147483647)</x:f>
        <x:v>650798038</x:v>
      </x:c>
      <x:c r="AW382" s="17" t="n">
        <x:f>IF('Control Room'!$B$5="Normal",'Control Room'!$B$7+'Control Room'!$D$7*SQRT(-2*LN(MAX(0.000000000001,AU382/2147483647)))*COS(2*PI()*AV382/2147483647),'Control Room'!$B$8+('Control Room'!$D$8-'Control Room'!$B$8)*AU382/2147483647)</x:f>
        <x:v>947.9927858403188</x:v>
      </x:c>
      <x:c r="AX382" s="17" t="n">
        <x:f>IF('Control Room'!$B$5="Normal",'Control Room'!$B$7,('Control Room'!$B$8+'Control Room'!$D$8)/2)+'Control Room'!$B$9*(AX381-IF('Control Room'!$B$5="Normal",'Control Room'!$B$7,('Control Room'!$B$8+'Control Room'!$D$8)/2))+SQRT(1-'Control Room'!$B$9^2)*(AW382-IF('Control Room'!$B$5="Normal",'Control Room'!$B$7,('Control Room'!$B$8+'Control Room'!$D$8)/2))</x:f>
        <x:v>1025.8439580736697</x:v>
      </x:c>
      <x:c r="AY382" s="17" t="n">
        <x:f>IF(AND($A382&gt;='Control Room'!$A$13,$A382&lt;'Control Room'!$A$13+'Control Room'!$B$13,'Process'!BT2=1),1+('Control Room'!$C$13-1)*EXP(-0.5*(($A382-'Control Room'!$A$13-('Control Room'!$B$13-1)/2)/MAX(0.5,'Control Room'!$B$13/4))^2),1)*IF(AND($A382&gt;='Control Room'!$A$14,$A382&lt;'Control Room'!$A$14+'Control Room'!$B$14,'Process'!BT3=1),1+('Control Room'!$C$14-1)*EXP(-0.5*(($A382-'Control Room'!$A$14-('Control Room'!$B$14-1)/2)/MAX(0.5,'Control Room'!$B$14/4))^2),1)*IF(AND($A382&gt;='Control Room'!$A$15,$A382&lt;'Control Room'!$A$15+'Control Room'!$B$15,'Process'!BT4=1),1+('Control Room'!$C$15-1)*EXP(-0.5*(($A382-'Control Room'!$A$15-('Control Room'!$B$15-1)/2)/MAX(0.5,'Control Room'!$B$15/4))^2),1)*IF(AND($A382&gt;='Control Room'!$A$16,$A382&lt;'Control Room'!$A$16+'Control Room'!$B$16,'Process'!BT5=1),1+('Control Room'!$C$16-1)*EXP(-0.5*(($A382-'Control Room'!$A$16-('Control Room'!$B$16-1)/2)/MAX(0.5,'Control Room'!$B$16/4))^2),1)</x:f>
        <x:v>1</x:v>
      </x:c>
      <x:c r="AZ382" s="9" t="n">
        <x:f>MOD(BA381*16807,2147483647)</x:f>
        <x:v>1069420644</x:v>
      </x:c>
      <x:c r="BA382" s="9" t="n">
        <x:f>MOD(AZ382*16807,2147483647)</x:f>
        <x:v>1462121965</x:v>
      </x:c>
      <x:c r="BB382" s="17" t="n">
        <x:f>IF('Control Room'!$B$5="Normal",'Control Room'!$B$7+'Control Room'!$D$7*SQRT(-2*LN(MAX(0.000000000001,AZ382/2147483647)))*COS(2*PI()*BA382/2147483647),'Control Room'!$B$8+('Control Room'!$D$8-'Control Room'!$B$8)*AZ382/2147483647)</x:f>
        <x:v>955.2668196341197</x:v>
      </x:c>
      <x:c r="BC382" s="17" t="n">
        <x:f>IF('Control Room'!$B$5="Normal",'Control Room'!$B$7,('Control Room'!$B$8+'Control Room'!$D$8)/2)+'Control Room'!$B$9*(BC381-IF('Control Room'!$B$5="Normal",'Control Room'!$B$7,('Control Room'!$B$8+'Control Room'!$D$8)/2))+SQRT(1-'Control Room'!$B$9^2)*(BB382-IF('Control Room'!$B$5="Normal",'Control Room'!$B$7,('Control Room'!$B$8+'Control Room'!$D$8)/2))</x:f>
        <x:v>974.5142916826301</x:v>
      </x:c>
      <x:c r="BD382" s="17" t="n">
        <x:f>IF(AND($A382&gt;='Control Room'!$A$13,$A382&lt;'Control Room'!$A$13+'Control Room'!$B$13,'Process'!BU2=1),1+('Control Room'!$C$13-1)*EXP(-0.5*(($A382-'Control Room'!$A$13-('Control Room'!$B$13-1)/2)/MAX(0.5,'Control Room'!$B$13/4))^2),1)*IF(AND($A382&gt;='Control Room'!$A$14,$A382&lt;'Control Room'!$A$14+'Control Room'!$B$14,'Process'!BU3=1),1+('Control Room'!$C$14-1)*EXP(-0.5*(($A382-'Control Room'!$A$14-('Control Room'!$B$14-1)/2)/MAX(0.5,'Control Room'!$B$14/4))^2),1)*IF(AND($A382&gt;='Control Room'!$A$15,$A382&lt;'Control Room'!$A$15+'Control Room'!$B$15,'Process'!BU4=1),1+('Control Room'!$C$15-1)*EXP(-0.5*(($A382-'Control Room'!$A$15-('Control Room'!$B$15-1)/2)/MAX(0.5,'Control Room'!$B$15/4))^2),1)*IF(AND($A382&gt;='Control Room'!$A$16,$A382&lt;'Control Room'!$A$16+'Control Room'!$B$16,'Process'!BU5=1),1+('Control Room'!$C$16-1)*EXP(-0.5*(($A382-'Control Room'!$A$16-('Control Room'!$B$16-1)/2)/MAX(0.5,'Control Room'!$B$16/4))^2),1)</x:f>
        <x:v>1</x:v>
      </x:c>
      <x:c r="BE382" s="9" t="n">
        <x:f>MOD(BF381*16807,2147483647)</x:f>
        <x:v>1687379961</x:v>
      </x:c>
      <x:c r="BF382" s="9" t="n">
        <x:f>MOD(BE382*16807,2147483647)</x:f>
        <x:v>125962245</x:v>
      </x:c>
      <x:c r="BG382" s="17" t="n">
        <x:f>IF('Control Room'!$B$5="Normal",'Control Room'!$B$7+'Control Room'!$D$7*SQRT(-2*LN(MAX(0.000000000001,BE382/2147483647)))*COS(2*PI()*BF382/2147483647),'Control Room'!$B$8+('Control Room'!$D$8-'Control Room'!$B$8)*BE382/2147483647)</x:f>
        <x:v>1058.302463327374</x:v>
      </x:c>
      <x:c r="BH382" s="17" t="n">
        <x:f>IF('Control Room'!$B$5="Normal",'Control Room'!$B$7,('Control Room'!$B$8+'Control Room'!$D$8)/2)+'Control Room'!$B$9*(BH381-IF('Control Room'!$B$5="Normal",'Control Room'!$B$7,('Control Room'!$B$8+'Control Room'!$D$8)/2))+SQRT(1-'Control Room'!$B$9^2)*(BG382-IF('Control Room'!$B$5="Normal",'Control Room'!$B$7,('Control Room'!$B$8+'Control Room'!$D$8)/2))</x:f>
        <x:v>1195.6324435757294</x:v>
      </x:c>
      <x:c r="BI382" s="17" t="n">
        <x:f>IF(AND($A382&gt;='Control Room'!$A$13,$A382&lt;'Control Room'!$A$13+'Control Room'!$B$13,'Process'!BV2=1),1+('Control Room'!$C$13-1)*EXP(-0.5*(($A382-'Control Room'!$A$13-('Control Room'!$B$13-1)/2)/MAX(0.5,'Control Room'!$B$13/4))^2),1)*IF(AND($A382&gt;='Control Room'!$A$14,$A382&lt;'Control Room'!$A$14+'Control Room'!$B$14,'Process'!BV3=1),1+('Control Room'!$C$14-1)*EXP(-0.5*(($A382-'Control Room'!$A$14-('Control Room'!$B$14-1)/2)/MAX(0.5,'Control Room'!$B$14/4))^2),1)*IF(AND($A382&gt;='Control Room'!$A$15,$A382&lt;'Control Room'!$A$15+'Control Room'!$B$15,'Process'!BV4=1),1+('Control Room'!$C$15-1)*EXP(-0.5*(($A382-'Control Room'!$A$15-('Control Room'!$B$15-1)/2)/MAX(0.5,'Control Room'!$B$15/4))^2),1)*IF(AND($A382&gt;='Control Room'!$A$16,$A382&lt;'Control Room'!$A$16+'Control Room'!$B$16,'Process'!BV5=1),1+('Control Room'!$C$16-1)*EXP(-0.5*(($A382-'Control Room'!$A$16-('Control Room'!$B$16-1)/2)/MAX(0.5,'Control Room'!$B$16/4))^2),1)</x:f>
        <x:v>1</x:v>
      </x:c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Z382" t="str">
        <x:f>IF('Data'!A382="","",TEXT('Data'!A382,"mm-dd"))</x:f>
      </x:c>
    </x:row>
    <x:row r="383" ht="21" customHeight="1">
      <x:c r="A383" s="15" t="n">
        <x:f>'Control Room'!$B$1+381</x:f>
        <x:v>73372</x:v>
      </x:c>
      <x:c r="B383" s="9" t="n">
        <x:f>MOD(C382*16807,2147483647)</x:f>
        <x:v>1932699450</x:v>
      </x:c>
      <x:c r="C383" s="9" t="n">
        <x:f>MOD(B383*16807,2147483647)</x:f>
        <x:v>42011628</x:v>
      </x:c>
      <x:c r="D383" s="17" t="n">
        <x:f>IF('Control Room'!$B$5="Normal",'Control Room'!$B$7+'Control Room'!$D$7*SQRT(-2*LN(MAX(0.000000000001,B383/2147483647)))*COS(2*PI()*C383/2147483647),'Control Room'!$B$8+('Control Room'!$D$8-'Control Room'!$B$8)*B383/2147483647)</x:f>
        <x:v>1041.0058161449726</x:v>
      </x:c>
      <x:c r="E383" s="17" t="n">
        <x:f>IF('Control Room'!$B$5="Normal",'Control Room'!$B$7,('Control Room'!$B$8+'Control Room'!$D$8)/2)+'Control Room'!$B$9*(E382-IF('Control Room'!$B$5="Normal",'Control Room'!$B$7,('Control Room'!$B$8+'Control Room'!$D$8)/2))+SQRT(1-'Control Room'!$B$9^2)*(D383-IF('Control Room'!$B$5="Normal",'Control Room'!$B$7,('Control Room'!$B$8+'Control Room'!$D$8)/2))</x:f>
        <x:v>995.7202059786785</x:v>
      </x:c>
      <x:c r="F383" s="17" t="n">
        <x:f>IF(AND($A383&gt;='Control Room'!$A$13,$A383&lt;'Control Room'!$A$13+'Control Room'!$B$13,'Process'!BK2=1),1+('Control Room'!$C$13-1)*EXP(-0.5*(($A383-'Control Room'!$A$13-('Control Room'!$B$13-1)/2)/MAX(0.5,'Control Room'!$B$13/4))^2),1)*IF(AND($A383&gt;='Control Room'!$A$14,$A383&lt;'Control Room'!$A$14+'Control Room'!$B$14,'Process'!BK3=1),1+('Control Room'!$C$14-1)*EXP(-0.5*(($A383-'Control Room'!$A$14-('Control Room'!$B$14-1)/2)/MAX(0.5,'Control Room'!$B$14/4))^2),1)*IF(AND($A383&gt;='Control Room'!$A$15,$A383&lt;'Control Room'!$A$15+'Control Room'!$B$15,'Process'!BK4=1),1+('Control Room'!$C$15-1)*EXP(-0.5*(($A383-'Control Room'!$A$15-('Control Room'!$B$15-1)/2)/MAX(0.5,'Control Room'!$B$15/4))^2),1)*IF(AND($A383&gt;='Control Room'!$A$16,$A383&lt;'Control Room'!$A$16+'Control Room'!$B$16,'Process'!BK5=1),1+('Control Room'!$C$16-1)*EXP(-0.5*(($A383-'Control Room'!$A$16-('Control Room'!$B$16-1)/2)/MAX(0.5,'Control Room'!$B$16/4))^2),1)</x:f>
        <x:v>1</x:v>
      </x:c>
      <x:c r="G383" s="9" t="n">
        <x:f>MOD(H382*16807,2147483647)</x:f>
        <x:v>1332782089</x:v>
      </x:c>
      <x:c r="H383" s="9" t="n">
        <x:f>MOD(G383*16807,2147483647)</x:f>
        <x:v>1814131613</x:v>
      </x:c>
      <x:c r="I383" s="17" t="n">
        <x:f>IF('Control Room'!$B$5="Normal",'Control Room'!$B$7+'Control Room'!$D$7*SQRT(-2*LN(MAX(0.000000000001,G383/2147483647)))*COS(2*PI()*H383/2147483647),'Control Room'!$B$8+('Control Room'!$D$8-'Control Room'!$B$8)*G383/2147483647)</x:f>
        <x:v>1049.307026366087</x:v>
      </x:c>
      <x:c r="J383" s="17" t="n">
        <x:f>IF('Control Room'!$B$5="Normal",'Control Room'!$B$7,('Control Room'!$B$8+'Control Room'!$D$8)/2)+'Control Room'!$B$9*(J382-IF('Control Room'!$B$5="Normal",'Control Room'!$B$7,('Control Room'!$B$8+'Control Room'!$D$8)/2))+SQRT(1-'Control Room'!$B$9^2)*(I383-IF('Control Room'!$B$5="Normal",'Control Room'!$B$7,('Control Room'!$B$8+'Control Room'!$D$8)/2))</x:f>
        <x:v>993.5252925928239</x:v>
      </x:c>
      <x:c r="K383" s="17" t="n">
        <x:f>IF(AND($A383&gt;='Control Room'!$A$13,$A383&lt;'Control Room'!$A$13+'Control Room'!$B$13,'Process'!BL2=1),1+('Control Room'!$C$13-1)*EXP(-0.5*(($A383-'Control Room'!$A$13-('Control Room'!$B$13-1)/2)/MAX(0.5,'Control Room'!$B$13/4))^2),1)*IF(AND($A383&gt;='Control Room'!$A$14,$A383&lt;'Control Room'!$A$14+'Control Room'!$B$14,'Process'!BL3=1),1+('Control Room'!$C$14-1)*EXP(-0.5*(($A383-'Control Room'!$A$14-('Control Room'!$B$14-1)/2)/MAX(0.5,'Control Room'!$B$14/4))^2),1)*IF(AND($A383&gt;='Control Room'!$A$15,$A383&lt;'Control Room'!$A$15+'Control Room'!$B$15,'Process'!BL4=1),1+('Control Room'!$C$15-1)*EXP(-0.5*(($A383-'Control Room'!$A$15-('Control Room'!$B$15-1)/2)/MAX(0.5,'Control Room'!$B$15/4))^2),1)*IF(AND($A383&gt;='Control Room'!$A$16,$A383&lt;'Control Room'!$A$16+'Control Room'!$B$16,'Process'!BL5=1),1+('Control Room'!$C$16-1)*EXP(-0.5*(($A383-'Control Room'!$A$16-('Control Room'!$B$16-1)/2)/MAX(0.5,'Control Room'!$B$16/4))^2),1)</x:f>
        <x:v>1</x:v>
      </x:c>
      <x:c r="L383" s="9" t="n">
        <x:f>MOD(M382*16807,2147483647)</x:f>
        <x:v>732864728</x:v>
      </x:c>
      <x:c r="M383" s="9" t="n">
        <x:f>MOD(L383*16807,2147483647)</x:f>
        <x:v>1438767951</x:v>
      </x:c>
      <x:c r="N383" s="17" t="n">
        <x:f>IF('Control Room'!$B$5="Normal",'Control Room'!$B$7+'Control Room'!$D$7*SQRT(-2*LN(MAX(0.000000000001,L383/2147483647)))*COS(2*PI()*M383/2147483647),'Control Room'!$B$8+('Control Room'!$D$8-'Control Room'!$B$8)*L383/2147483647)</x:f>
        <x:v>936.4066571941074</x:v>
      </x:c>
      <x:c r="O383" s="17" t="n">
        <x:f>IF('Control Room'!$B$5="Normal",'Control Room'!$B$7,('Control Room'!$B$8+'Control Room'!$D$8)/2)+'Control Room'!$B$9*(O382-IF('Control Room'!$B$5="Normal",'Control Room'!$B$7,('Control Room'!$B$8+'Control Room'!$D$8)/2))+SQRT(1-'Control Room'!$B$9^2)*(N383-IF('Control Room'!$B$5="Normal",'Control Room'!$B$7,('Control Room'!$B$8+'Control Room'!$D$8)/2))</x:f>
        <x:v>899.4363342397098</x:v>
      </x:c>
      <x:c r="P383" s="17" t="n">
        <x:f>IF(AND($A383&gt;='Control Room'!$A$13,$A383&lt;'Control Room'!$A$13+'Control Room'!$B$13,'Process'!BM2=1),1+('Control Room'!$C$13-1)*EXP(-0.5*(($A383-'Control Room'!$A$13-('Control Room'!$B$13-1)/2)/MAX(0.5,'Control Room'!$B$13/4))^2),1)*IF(AND($A383&gt;='Control Room'!$A$14,$A383&lt;'Control Room'!$A$14+'Control Room'!$B$14,'Process'!BM3=1),1+('Control Room'!$C$14-1)*EXP(-0.5*(($A383-'Control Room'!$A$14-('Control Room'!$B$14-1)/2)/MAX(0.5,'Control Room'!$B$14/4))^2),1)*IF(AND($A383&gt;='Control Room'!$A$15,$A383&lt;'Control Room'!$A$15+'Control Room'!$B$15,'Process'!BM4=1),1+('Control Room'!$C$15-1)*EXP(-0.5*(($A383-'Control Room'!$A$15-('Control Room'!$B$15-1)/2)/MAX(0.5,'Control Room'!$B$15/4))^2),1)*IF(AND($A383&gt;='Control Room'!$A$16,$A383&lt;'Control Room'!$A$16+'Control Room'!$B$16,'Process'!BM5=1),1+('Control Room'!$C$16-1)*EXP(-0.5*(($A383-'Control Room'!$A$16-('Control Room'!$B$16-1)/2)/MAX(0.5,'Control Room'!$B$16/4))^2),1)</x:f>
        <x:v>1</x:v>
      </x:c>
      <x:c r="Q383" s="9" t="n">
        <x:f>MOD(R382*16807,2147483647)</x:f>
        <x:v>132947367</x:v>
      </x:c>
      <x:c r="R383" s="9" t="n">
        <x:f>MOD(Q383*16807,2147483647)</x:f>
        <x:v>1063404289</x:v>
      </x:c>
      <x:c r="S383" s="17" t="n">
        <x:f>IF('Control Room'!$B$5="Normal",'Control Room'!$B$7+'Control Room'!$D$7*SQRT(-2*LN(MAX(0.000000000001,Q383/2147483647)))*COS(2*PI()*R383/2147483647),'Control Room'!$B$8+('Control Room'!$D$8-'Control Room'!$B$8)*Q383/2147483647)</x:f>
        <x:v>787.8001386543024</x:v>
      </x:c>
      <x:c r="T383" s="17" t="n">
        <x:f>IF('Control Room'!$B$5="Normal",'Control Room'!$B$7,('Control Room'!$B$8+'Control Room'!$D$8)/2)+'Control Room'!$B$9*(T382-IF('Control Room'!$B$5="Normal",'Control Room'!$B$7,('Control Room'!$B$8+'Control Room'!$D$8)/2))+SQRT(1-'Control Room'!$B$9^2)*(S383-IF('Control Room'!$B$5="Normal",'Control Room'!$B$7,('Control Room'!$B$8+'Control Room'!$D$8)/2))</x:f>
        <x:v>955.1391491274499</x:v>
      </x:c>
      <x:c r="U383" s="17" t="n">
        <x:f>IF(AND($A383&gt;='Control Room'!$A$13,$A383&lt;'Control Room'!$A$13+'Control Room'!$B$13,'Process'!BN2=1),1+('Control Room'!$C$13-1)*EXP(-0.5*(($A383-'Control Room'!$A$13-('Control Room'!$B$13-1)/2)/MAX(0.5,'Control Room'!$B$13/4))^2),1)*IF(AND($A383&gt;='Control Room'!$A$14,$A383&lt;'Control Room'!$A$14+'Control Room'!$B$14,'Process'!BN3=1),1+('Control Room'!$C$14-1)*EXP(-0.5*(($A383-'Control Room'!$A$14-('Control Room'!$B$14-1)/2)/MAX(0.5,'Control Room'!$B$14/4))^2),1)*IF(AND($A383&gt;='Control Room'!$A$15,$A383&lt;'Control Room'!$A$15+'Control Room'!$B$15,'Process'!BN4=1),1+('Control Room'!$C$15-1)*EXP(-0.5*(($A383-'Control Room'!$A$15-('Control Room'!$B$15-1)/2)/MAX(0.5,'Control Room'!$B$15/4))^2),1)*IF(AND($A383&gt;='Control Room'!$A$16,$A383&lt;'Control Room'!$A$16+'Control Room'!$B$16,'Process'!BN5=1),1+('Control Room'!$C$16-1)*EXP(-0.5*(($A383-'Control Room'!$A$16-('Control Room'!$B$16-1)/2)/MAX(0.5,'Control Room'!$B$16/4))^2),1)</x:f>
        <x:v>1</x:v>
      </x:c>
      <x:c r="V383" s="9" t="n">
        <x:f>MOD(W382*16807,2147483647)</x:f>
        <x:v>1680513653</x:v>
      </x:c>
      <x:c r="W383" s="9" t="n">
        <x:f>MOD(V383*16807,2147483647)</x:f>
        <x:v>688040627</x:v>
      </x:c>
      <x:c r="X383" s="17" t="n">
        <x:f>IF('Control Room'!$B$5="Normal",'Control Room'!$B$7+'Control Room'!$D$7*SQRT(-2*LN(MAX(0.000000000001,V383/2147483647)))*COS(2*PI()*W383/2147483647),'Control Room'!$B$8+('Control Room'!$D$8-'Control Room'!$B$8)*V383/2147483647)</x:f>
        <x:v>973.0240568493429</x:v>
      </x:c>
      <x:c r="Y383" s="17" t="n">
        <x:f>IF('Control Room'!$B$5="Normal",'Control Room'!$B$7,('Control Room'!$B$8+'Control Room'!$D$8)/2)+'Control Room'!$B$9*(Y382-IF('Control Room'!$B$5="Normal",'Control Room'!$B$7,('Control Room'!$B$8+'Control Room'!$D$8)/2))+SQRT(1-'Control Room'!$B$9^2)*(X383-IF('Control Room'!$B$5="Normal",'Control Room'!$B$7,('Control Room'!$B$8+'Control Room'!$D$8)/2))</x:f>
        <x:v>962.4265485961129</x:v>
      </x:c>
      <x:c r="Z383" s="17" t="n">
        <x:f>IF(AND($A383&gt;='Control Room'!$A$13,$A383&lt;'Control Room'!$A$13+'Control Room'!$B$13,'Process'!BO2=1),1+('Control Room'!$C$13-1)*EXP(-0.5*(($A383-'Control Room'!$A$13-('Control Room'!$B$13-1)/2)/MAX(0.5,'Control Room'!$B$13/4))^2),1)*IF(AND($A383&gt;='Control Room'!$A$14,$A383&lt;'Control Room'!$A$14+'Control Room'!$B$14,'Process'!BO3=1),1+('Control Room'!$C$14-1)*EXP(-0.5*(($A383-'Control Room'!$A$14-('Control Room'!$B$14-1)/2)/MAX(0.5,'Control Room'!$B$14/4))^2),1)*IF(AND($A383&gt;='Control Room'!$A$15,$A383&lt;'Control Room'!$A$15+'Control Room'!$B$15,'Process'!BO4=1),1+('Control Room'!$C$15-1)*EXP(-0.5*(($A383-'Control Room'!$A$15-('Control Room'!$B$15-1)/2)/MAX(0.5,'Control Room'!$B$15/4))^2),1)*IF(AND($A383&gt;='Control Room'!$A$16,$A383&lt;'Control Room'!$A$16+'Control Room'!$B$16,'Process'!BO5=1),1+('Control Room'!$C$16-1)*EXP(-0.5*(($A383-'Control Room'!$A$16-('Control Room'!$B$16-1)/2)/MAX(0.5,'Control Room'!$B$16/4))^2),1)</x:f>
        <x:v>1</x:v>
      </x:c>
      <x:c r="AA383" s="9" t="n">
        <x:f>MOD(AB382*16807,2147483647)</x:f>
        <x:v>1080596292</x:v>
      </x:c>
      <x:c r="AB383" s="9" t="n">
        <x:f>MOD(AA383*16807,2147483647)</x:f>
        <x:v>312676965</x:v>
      </x:c>
      <x:c r="AC383" s="17" t="n">
        <x:f>IF('Control Room'!$B$5="Normal",'Control Room'!$B$7+'Control Room'!$D$7*SQRT(-2*LN(MAX(0.000000000001,AA383/2147483647)))*COS(2*PI()*AB383/2147483647),'Control Room'!$B$8+('Control Room'!$D$8-'Control Room'!$B$8)*AA383/2147483647)</x:f>
        <x:v>1064.3335672593303</x:v>
      </x:c>
      <x:c r="AD383" s="17" t="n">
        <x:f>IF('Control Room'!$B$5="Normal",'Control Room'!$B$7,('Control Room'!$B$8+'Control Room'!$D$8)/2)+'Control Room'!$B$9*(AD382-IF('Control Room'!$B$5="Normal",'Control Room'!$B$7,('Control Room'!$B$8+'Control Room'!$D$8)/2))+SQRT(1-'Control Room'!$B$9^2)*(AC383-IF('Control Room'!$B$5="Normal",'Control Room'!$B$7,('Control Room'!$B$8+'Control Room'!$D$8)/2))</x:f>
        <x:v>1084.1618225597647</x:v>
      </x:c>
      <x:c r="AE383" s="17" t="n">
        <x:f>IF(AND($A383&gt;='Control Room'!$A$13,$A383&lt;'Control Room'!$A$13+'Control Room'!$B$13,'Process'!BP2=1),1+('Control Room'!$C$13-1)*EXP(-0.5*(($A383-'Control Room'!$A$13-('Control Room'!$B$13-1)/2)/MAX(0.5,'Control Room'!$B$13/4))^2),1)*IF(AND($A383&gt;='Control Room'!$A$14,$A383&lt;'Control Room'!$A$14+'Control Room'!$B$14,'Process'!BP3=1),1+('Control Room'!$C$14-1)*EXP(-0.5*(($A383-'Control Room'!$A$14-('Control Room'!$B$14-1)/2)/MAX(0.5,'Control Room'!$B$14/4))^2),1)*IF(AND($A383&gt;='Control Room'!$A$15,$A383&lt;'Control Room'!$A$15+'Control Room'!$B$15,'Process'!BP4=1),1+('Control Room'!$C$15-1)*EXP(-0.5*(($A383-'Control Room'!$A$15-('Control Room'!$B$15-1)/2)/MAX(0.5,'Control Room'!$B$15/4))^2),1)*IF(AND($A383&gt;='Control Room'!$A$16,$A383&lt;'Control Room'!$A$16+'Control Room'!$B$16,'Process'!BP5=1),1+('Control Room'!$C$16-1)*EXP(-0.5*(($A383-'Control Room'!$A$16-('Control Room'!$B$16-1)/2)/MAX(0.5,'Control Room'!$B$16/4))^2),1)</x:f>
        <x:v>1</x:v>
      </x:c>
      <x:c r="AF383" s="9" t="n">
        <x:f>MOD(AG382*16807,2147483647)</x:f>
        <x:v>480678931</x:v>
      </x:c>
      <x:c r="AG383" s="9" t="n">
        <x:f>MOD(AF383*16807,2147483647)</x:f>
        <x:v>2084796950</x:v>
      </x:c>
      <x:c r="AH383" s="17" t="n">
        <x:f>IF('Control Room'!$B$5="Normal",'Control Room'!$B$7+'Control Room'!$D$7*SQRT(-2*LN(MAX(0.000000000001,AF383/2147483647)))*COS(2*PI()*AG383/2147483647),'Control Room'!$B$8+('Control Room'!$D$8-'Control Room'!$B$8)*AF383/2147483647)</x:f>
        <x:v>1153.109077019725</x:v>
      </x:c>
      <x:c r="AI383" s="17" t="n">
        <x:f>IF('Control Room'!$B$5="Normal",'Control Room'!$B$7,('Control Room'!$B$8+'Control Room'!$D$8)/2)+'Control Room'!$B$9*(AI382-IF('Control Room'!$B$5="Normal",'Control Room'!$B$7,('Control Room'!$B$8+'Control Room'!$D$8)/2))+SQRT(1-'Control Room'!$B$9^2)*(AH383-IF('Control Room'!$B$5="Normal",'Control Room'!$B$7,('Control Room'!$B$8+'Control Room'!$D$8)/2))</x:f>
        <x:v>1191.7053318272337</x:v>
      </x:c>
      <x:c r="AJ383" s="17" t="n">
        <x:f>IF(AND($A383&gt;='Control Room'!$A$13,$A383&lt;'Control Room'!$A$13+'Control Room'!$B$13,'Process'!BQ2=1),1+('Control Room'!$C$13-1)*EXP(-0.5*(($A383-'Control Room'!$A$13-('Control Room'!$B$13-1)/2)/MAX(0.5,'Control Room'!$B$13/4))^2),1)*IF(AND($A383&gt;='Control Room'!$A$14,$A383&lt;'Control Room'!$A$14+'Control Room'!$B$14,'Process'!BQ3=1),1+('Control Room'!$C$14-1)*EXP(-0.5*(($A383-'Control Room'!$A$14-('Control Room'!$B$14-1)/2)/MAX(0.5,'Control Room'!$B$14/4))^2),1)*IF(AND($A383&gt;='Control Room'!$A$15,$A383&lt;'Control Room'!$A$15+'Control Room'!$B$15,'Process'!BQ4=1),1+('Control Room'!$C$15-1)*EXP(-0.5*(($A383-'Control Room'!$A$15-('Control Room'!$B$15-1)/2)/MAX(0.5,'Control Room'!$B$15/4))^2),1)*IF(AND($A383&gt;='Control Room'!$A$16,$A383&lt;'Control Room'!$A$16+'Control Room'!$B$16,'Process'!BQ5=1),1+('Control Room'!$C$16-1)*EXP(-0.5*(($A383-'Control Room'!$A$16-('Control Room'!$B$16-1)/2)/MAX(0.5,'Control Room'!$B$16/4))^2),1)</x:f>
        <x:v>1</x:v>
      </x:c>
      <x:c r="AK383" s="9" t="n">
        <x:f>MOD(AL382*16807,2147483647)</x:f>
        <x:v>2028245217</x:v>
      </x:c>
      <x:c r="AL383" s="9" t="n">
        <x:f>MOD(AK383*16807,2147483647)</x:f>
        <x:v>1709433288</x:v>
      </x:c>
      <x:c r="AM383" s="17" t="n">
        <x:f>IF('Control Room'!$B$5="Normal",'Control Room'!$B$7+'Control Room'!$D$7*SQRT(-2*LN(MAX(0.000000000001,AK383/2147483647)))*COS(2*PI()*AL383/2147483647),'Control Room'!$B$8+('Control Room'!$D$8-'Control Room'!$B$8)*AK383/2147483647)</x:f>
        <x:v>1008.6736690719022</x:v>
      </x:c>
      <x:c r="AN383" s="17" t="n">
        <x:f>IF('Control Room'!$B$5="Normal",'Control Room'!$B$7,('Control Room'!$B$8+'Control Room'!$D$8)/2)+'Control Room'!$B$9*(AN382-IF('Control Room'!$B$5="Normal",'Control Room'!$B$7,('Control Room'!$B$8+'Control Room'!$D$8)/2))+SQRT(1-'Control Room'!$B$9^2)*(AM383-IF('Control Room'!$B$5="Normal",'Control Room'!$B$7,('Control Room'!$B$8+'Control Room'!$D$8)/2))</x:f>
        <x:v>906.7203367652222</x:v>
      </x:c>
      <x:c r="AO383" s="17" t="n">
        <x:f>IF(AND($A383&gt;='Control Room'!$A$13,$A383&lt;'Control Room'!$A$13+'Control Room'!$B$13,'Process'!BR2=1),1+('Control Room'!$C$13-1)*EXP(-0.5*(($A383-'Control Room'!$A$13-('Control Room'!$B$13-1)/2)/MAX(0.5,'Control Room'!$B$13/4))^2),1)*IF(AND($A383&gt;='Control Room'!$A$14,$A383&lt;'Control Room'!$A$14+'Control Room'!$B$14,'Process'!BR3=1),1+('Control Room'!$C$14-1)*EXP(-0.5*(($A383-'Control Room'!$A$14-('Control Room'!$B$14-1)/2)/MAX(0.5,'Control Room'!$B$14/4))^2),1)*IF(AND($A383&gt;='Control Room'!$A$15,$A383&lt;'Control Room'!$A$15+'Control Room'!$B$15,'Process'!BR4=1),1+('Control Room'!$C$15-1)*EXP(-0.5*(($A383-'Control Room'!$A$15-('Control Room'!$B$15-1)/2)/MAX(0.5,'Control Room'!$B$15/4))^2),1)*IF(AND($A383&gt;='Control Room'!$A$16,$A383&lt;'Control Room'!$A$16+'Control Room'!$B$16,'Process'!BR5=1),1+('Control Room'!$C$16-1)*EXP(-0.5*(($A383-'Control Room'!$A$16-('Control Room'!$B$16-1)/2)/MAX(0.5,'Control Room'!$B$16/4))^2),1)</x:f>
        <x:v>1</x:v>
      </x:c>
      <x:c r="AP383" s="9" t="n">
        <x:f>MOD(AQ382*16807,2147483647)</x:f>
        <x:v>1428327856</x:v>
      </x:c>
      <x:c r="AQ383" s="9" t="n">
        <x:f>MOD(AP383*16807,2147483647)</x:f>
        <x:v>1334069626</x:v>
      </x:c>
      <x:c r="AR383" s="17" t="n">
        <x:f>IF('Control Room'!$B$5="Normal",'Control Room'!$B$7+'Control Room'!$D$7*SQRT(-2*LN(MAX(0.000000000001,AP383/2147483647)))*COS(2*PI()*AQ383/2147483647),'Control Room'!$B$8+('Control Room'!$D$8-'Control Room'!$B$8)*AP383/2147483647)</x:f>
        <x:v>941.1801902778939</x:v>
      </x:c>
      <x:c r="AS383" s="17" t="n">
        <x:f>IF('Control Room'!$B$5="Normal",'Control Room'!$B$7,('Control Room'!$B$8+'Control Room'!$D$8)/2)+'Control Room'!$B$9*(AS382-IF('Control Room'!$B$5="Normal",'Control Room'!$B$7,('Control Room'!$B$8+'Control Room'!$D$8)/2))+SQRT(1-'Control Room'!$B$9^2)*(AR383-IF('Control Room'!$B$5="Normal",'Control Room'!$B$7,('Control Room'!$B$8+'Control Room'!$D$8)/2))</x:f>
        <x:v>1005.9202519736219</x:v>
      </x:c>
      <x:c r="AT383" s="17" t="n">
        <x:f>IF(AND($A383&gt;='Control Room'!$A$13,$A383&lt;'Control Room'!$A$13+'Control Room'!$B$13,'Process'!BS2=1),1+('Control Room'!$C$13-1)*EXP(-0.5*(($A383-'Control Room'!$A$13-('Control Room'!$B$13-1)/2)/MAX(0.5,'Control Room'!$B$13/4))^2),1)*IF(AND($A383&gt;='Control Room'!$A$14,$A383&lt;'Control Room'!$A$14+'Control Room'!$B$14,'Process'!BS3=1),1+('Control Room'!$C$14-1)*EXP(-0.5*(($A383-'Control Room'!$A$14-('Control Room'!$B$14-1)/2)/MAX(0.5,'Control Room'!$B$14/4))^2),1)*IF(AND($A383&gt;='Control Room'!$A$15,$A383&lt;'Control Room'!$A$15+'Control Room'!$B$15,'Process'!BS4=1),1+('Control Room'!$C$15-1)*EXP(-0.5*(($A383-'Control Room'!$A$15-('Control Room'!$B$15-1)/2)/MAX(0.5,'Control Room'!$B$15/4))^2),1)*IF(AND($A383&gt;='Control Room'!$A$16,$A383&lt;'Control Room'!$A$16+'Control Room'!$B$16,'Process'!BS5=1),1+('Control Room'!$C$16-1)*EXP(-0.5*(($A383-'Control Room'!$A$16-('Control Room'!$B$16-1)/2)/MAX(0.5,'Control Room'!$B$16/4))^2),1)</x:f>
        <x:v>1</x:v>
      </x:c>
      <x:c r="AU383" s="9" t="n">
        <x:f>MOD(AV382*16807,2147483647)</x:f>
        <x:v>828410495</x:v>
      </x:c>
      <x:c r="AV383" s="9" t="n">
        <x:f>MOD(AU383*16807,2147483647)</x:f>
        <x:v>958705964</x:v>
      </x:c>
      <x:c r="AW383" s="17" t="n">
        <x:f>IF('Control Room'!$B$5="Normal",'Control Room'!$B$7+'Control Room'!$D$7*SQRT(-2*LN(MAX(0.000000000001,AU383/2147483647)))*COS(2*PI()*AV383/2147483647),'Control Room'!$B$8+('Control Room'!$D$8-'Control Room'!$B$8)*AU383/2147483647)</x:f>
        <x:v>882.7476140438747</x:v>
      </x:c>
      <x:c r="AX383" s="17" t="n">
        <x:f>IF('Control Room'!$B$5="Normal",'Control Room'!$B$7,('Control Room'!$B$8+'Control Room'!$D$8)/2)+'Control Room'!$B$9*(AX382-IF('Control Room'!$B$5="Normal",'Control Room'!$B$7,('Control Room'!$B$8+'Control Room'!$D$8)/2))+SQRT(1-'Control Room'!$B$9^2)*(AW383-IF('Control Room'!$B$5="Normal",'Control Room'!$B$7,('Control Room'!$B$8+'Control Room'!$D$8)/2))</x:f>
        <x:v>946.7841462118083</x:v>
      </x:c>
      <x:c r="AY383" s="17" t="n">
        <x:f>IF(AND($A383&gt;='Control Room'!$A$13,$A383&lt;'Control Room'!$A$13+'Control Room'!$B$13,'Process'!BT2=1),1+('Control Room'!$C$13-1)*EXP(-0.5*(($A383-'Control Room'!$A$13-('Control Room'!$B$13-1)/2)/MAX(0.5,'Control Room'!$B$13/4))^2),1)*IF(AND($A383&gt;='Control Room'!$A$14,$A383&lt;'Control Room'!$A$14+'Control Room'!$B$14,'Process'!BT3=1),1+('Control Room'!$C$14-1)*EXP(-0.5*(($A383-'Control Room'!$A$14-('Control Room'!$B$14-1)/2)/MAX(0.5,'Control Room'!$B$14/4))^2),1)*IF(AND($A383&gt;='Control Room'!$A$15,$A383&lt;'Control Room'!$A$15+'Control Room'!$B$15,'Process'!BT4=1),1+('Control Room'!$C$15-1)*EXP(-0.5*(($A383-'Control Room'!$A$15-('Control Room'!$B$15-1)/2)/MAX(0.5,'Control Room'!$B$15/4))^2),1)*IF(AND($A383&gt;='Control Room'!$A$16,$A383&lt;'Control Room'!$A$16+'Control Room'!$B$16,'Process'!BT5=1),1+('Control Room'!$C$16-1)*EXP(-0.5*(($A383-'Control Room'!$A$16-('Control Room'!$B$16-1)/2)/MAX(0.5,'Control Room'!$B$16/4))^2),1)</x:f>
        <x:v>1</x:v>
      </x:c>
      <x:c r="AZ383" s="9" t="n">
        <x:f>MOD(BA382*16807,2147483647)</x:f>
        <x:v>228493134</x:v>
      </x:c>
      <x:c r="BA383" s="9" t="n">
        <x:f>MOD(AZ383*16807,2147483647)</x:f>
        <x:v>583342302</x:v>
      </x:c>
      <x:c r="BB383" s="17" t="n">
        <x:f>IF('Control Room'!$B$5="Normal",'Control Room'!$B$7+'Control Room'!$D$7*SQRT(-2*LN(MAX(0.000000000001,AZ383/2147483647)))*COS(2*PI()*BA383/2147483647),'Control Room'!$B$8+('Control Room'!$D$8-'Control Room'!$B$8)*AZ383/2147483647)</x:f>
        <x:v>974.1755475830169</x:v>
      </x:c>
      <x:c r="BC383" s="17" t="n">
        <x:f>IF('Control Room'!$B$5="Normal",'Control Room'!$B$7,('Control Room'!$B$8+'Control Room'!$D$8)/2)+'Control Room'!$B$9*(BC382-IF('Control Room'!$B$5="Normal",'Control Room'!$B$7,('Control Room'!$B$8+'Control Room'!$D$8)/2))+SQRT(1-'Control Room'!$B$9^2)*(BB383-IF('Control Room'!$B$5="Normal",'Control Room'!$B$7,('Control Room'!$B$8+'Control Room'!$D$8)/2))</x:f>
        <x:v>963.9607342325672</x:v>
      </x:c>
      <x:c r="BD383" s="17" t="n">
        <x:f>IF(AND($A383&gt;='Control Room'!$A$13,$A383&lt;'Control Room'!$A$13+'Control Room'!$B$13,'Process'!BU2=1),1+('Control Room'!$C$13-1)*EXP(-0.5*(($A383-'Control Room'!$A$13-('Control Room'!$B$13-1)/2)/MAX(0.5,'Control Room'!$B$13/4))^2),1)*IF(AND($A383&gt;='Control Room'!$A$14,$A383&lt;'Control Room'!$A$14+'Control Room'!$B$14,'Process'!BU3=1),1+('Control Room'!$C$14-1)*EXP(-0.5*(($A383-'Control Room'!$A$14-('Control Room'!$B$14-1)/2)/MAX(0.5,'Control Room'!$B$14/4))^2),1)*IF(AND($A383&gt;='Control Room'!$A$15,$A383&lt;'Control Room'!$A$15+'Control Room'!$B$15,'Process'!BU4=1),1+('Control Room'!$C$15-1)*EXP(-0.5*(($A383-'Control Room'!$A$15-('Control Room'!$B$15-1)/2)/MAX(0.5,'Control Room'!$B$15/4))^2),1)*IF(AND($A383&gt;='Control Room'!$A$16,$A383&lt;'Control Room'!$A$16+'Control Room'!$B$16,'Process'!BU5=1),1+('Control Room'!$C$16-1)*EXP(-0.5*(($A383-'Control Room'!$A$16-('Control Room'!$B$16-1)/2)/MAX(0.5,'Control Room'!$B$16/4))^2),1)</x:f>
        <x:v>1</x:v>
      </x:c>
      <x:c r="BE383" s="9" t="n">
        <x:f>MOD(BF382*16807,2147483647)</x:f>
        <x:v>1776059420</x:v>
      </x:c>
      <x:c r="BF383" s="9" t="n">
        <x:f>MOD(BE383*16807,2147483647)</x:f>
        <x:v>207978640</x:v>
      </x:c>
      <x:c r="BG383" s="17" t="n">
        <x:f>IF('Control Room'!$B$5="Normal",'Control Room'!$B$7+'Control Room'!$D$7*SQRT(-2*LN(MAX(0.000000000001,BE383/2147483647)))*COS(2*PI()*BF383/2147483647),'Control Room'!$B$8+('Control Room'!$D$8-'Control Room'!$B$8)*BE383/2147483647)</x:f>
        <x:v>1045.5090860277949</x:v>
      </x:c>
      <x:c r="BH383" s="17" t="n">
        <x:f>IF('Control Room'!$B$5="Normal",'Control Room'!$B$7,('Control Room'!$B$8+'Control Room'!$D$8)/2)+'Control Room'!$B$9*(BH382-IF('Control Room'!$B$5="Normal",'Control Room'!$B$7,('Control Room'!$B$8+'Control Room'!$D$8)/2))+SQRT(1-'Control Room'!$B$9^2)*(BG383-IF('Control Room'!$B$5="Normal",'Control Room'!$B$7,('Control Room'!$B$8+'Control Room'!$D$8)/2))</x:f>
        <x:v>1181.0719597209604</x:v>
      </x:c>
      <x:c r="BI383" s="17" t="n">
        <x:f>IF(AND($A383&gt;='Control Room'!$A$13,$A383&lt;'Control Room'!$A$13+'Control Room'!$B$13,'Process'!BV2=1),1+('Control Room'!$C$13-1)*EXP(-0.5*(($A383-'Control Room'!$A$13-('Control Room'!$B$13-1)/2)/MAX(0.5,'Control Room'!$B$13/4))^2),1)*IF(AND($A383&gt;='Control Room'!$A$14,$A383&lt;'Control Room'!$A$14+'Control Room'!$B$14,'Process'!BV3=1),1+('Control Room'!$C$14-1)*EXP(-0.5*(($A383-'Control Room'!$A$14-('Control Room'!$B$14-1)/2)/MAX(0.5,'Control Room'!$B$14/4))^2),1)*IF(AND($A383&gt;='Control Room'!$A$15,$A383&lt;'Control Room'!$A$15+'Control Room'!$B$15,'Process'!BV4=1),1+('Control Room'!$C$15-1)*EXP(-0.5*(($A383-'Control Room'!$A$15-('Control Room'!$B$15-1)/2)/MAX(0.5,'Control Room'!$B$15/4))^2),1)*IF(AND($A383&gt;='Control Room'!$A$16,$A383&lt;'Control Room'!$A$16+'Control Room'!$B$16,'Process'!BV5=1),1+('Control Room'!$C$16-1)*EXP(-0.5*(($A383-'Control Room'!$A$16-('Control Room'!$B$16-1)/2)/MAX(0.5,'Control Room'!$B$16/4))^2),1)</x:f>
        <x:v>1</x:v>
      </x:c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Z383" t="str">
        <x:f>IF('Data'!A383="","",TEXT('Data'!A383,"mm-dd"))</x:f>
      </x:c>
    </x:row>
    <x:row r="384" ht="21" customHeight="1">
      <x:c r="A384" s="15" t="n">
        <x:f>'Control Room'!$B$1+382</x:f>
        <x:v>73373</x:v>
      </x:c>
      <x:c r="B384" s="9" t="n">
        <x:f>MOD(C383*16807,2147483647)</x:f>
        <x:v>1714795580</x:v>
      </x:c>
      <x:c r="C384" s="9" t="n">
        <x:f>MOD(B384*16807,2147483647)</x:f>
        <x:v>1338770320</x:v>
      </x:c>
      <x:c r="D384" s="17" t="n">
        <x:f>IF('Control Room'!$B$5="Normal",'Control Room'!$B$7+'Control Room'!$D$7*SQRT(-2*LN(MAX(0.000000000001,B384/2147483647)))*COS(2*PI()*C384/2147483647),'Control Room'!$B$8+('Control Room'!$D$8-'Control Room'!$B$8)*B384/2147483647)</x:f>
        <x:v>956.8855533748697</x:v>
      </x:c>
      <x:c r="E384" s="17" t="n">
        <x:f>IF('Control Room'!$B$5="Normal",'Control Room'!$B$7,('Control Room'!$B$8+'Control Room'!$D$8)/2)+'Control Room'!$B$9*(E383-IF('Control Room'!$B$5="Normal",'Control Room'!$B$7,('Control Room'!$B$8+'Control Room'!$D$8)/2))+SQRT(1-'Control Room'!$B$9^2)*(D384-IF('Control Room'!$B$5="Normal",'Control Room'!$B$7,('Control Room'!$B$8+'Control Room'!$D$8)/2))</x:f>
        <x:v>969.6816232128105</x:v>
      </x:c>
      <x:c r="F384" s="17" t="n">
        <x:f>IF(AND($A384&gt;='Control Room'!$A$13,$A384&lt;'Control Room'!$A$13+'Control Room'!$B$13,'Process'!BK2=1),1+('Control Room'!$C$13-1)*EXP(-0.5*(($A384-'Control Room'!$A$13-('Control Room'!$B$13-1)/2)/MAX(0.5,'Control Room'!$B$13/4))^2),1)*IF(AND($A384&gt;='Control Room'!$A$14,$A384&lt;'Control Room'!$A$14+'Control Room'!$B$14,'Process'!BK3=1),1+('Control Room'!$C$14-1)*EXP(-0.5*(($A384-'Control Room'!$A$14-('Control Room'!$B$14-1)/2)/MAX(0.5,'Control Room'!$B$14/4))^2),1)*IF(AND($A384&gt;='Control Room'!$A$15,$A384&lt;'Control Room'!$A$15+'Control Room'!$B$15,'Process'!BK4=1),1+('Control Room'!$C$15-1)*EXP(-0.5*(($A384-'Control Room'!$A$15-('Control Room'!$B$15-1)/2)/MAX(0.5,'Control Room'!$B$15/4))^2),1)*IF(AND($A384&gt;='Control Room'!$A$16,$A384&lt;'Control Room'!$A$16+'Control Room'!$B$16,'Process'!BK5=1),1+('Control Room'!$C$16-1)*EXP(-0.5*(($A384-'Control Room'!$A$16-('Control Room'!$B$16-1)/2)/MAX(0.5,'Control Room'!$B$16/4))^2),1)</x:f>
        <x:v>1</x:v>
      </x:c>
      <x:c r="G384" s="9" t="n">
        <x:f>MOD(H383*16807,2147483647)</x:f>
        <x:v>137199585</x:v>
      </x:c>
      <x:c r="H384" s="9" t="n">
        <x:f>MOD(G384*16807,2147483647)</x:f>
        <x:v>1663471864</x:v>
      </x:c>
      <x:c r="I384" s="17" t="n">
        <x:f>IF('Control Room'!$B$5="Normal",'Control Room'!$B$7+'Control Room'!$D$7*SQRT(-2*LN(MAX(0.000000000001,G384/2147483647)))*COS(2*PI()*H384/2147483647),'Control Room'!$B$8+('Control Room'!$D$8-'Control Room'!$B$8)*G384/2147483647)</x:f>
        <x:v>1032.5169464993155</x:v>
      </x:c>
      <x:c r="J384" s="17" t="n">
        <x:f>IF('Control Room'!$B$5="Normal",'Control Room'!$B$7,('Control Room'!$B$8+'Control Room'!$D$8)/2)+'Control Room'!$B$9*(J383-IF('Control Room'!$B$5="Normal",'Control Room'!$B$7,('Control Room'!$B$8+'Control Room'!$D$8)/2))+SQRT(1-'Control Room'!$B$9^2)*(I384-IF('Control Room'!$B$5="Normal",'Control Room'!$B$7,('Control Room'!$B$8+'Control Room'!$D$8)/2))</x:f>
        <x:v>1015.298167195817</x:v>
      </x:c>
      <x:c r="K384" s="17" t="n">
        <x:f>IF(AND($A384&gt;='Control Room'!$A$13,$A384&lt;'Control Room'!$A$13+'Control Room'!$B$13,'Process'!BL2=1),1+('Control Room'!$C$13-1)*EXP(-0.5*(($A384-'Control Room'!$A$13-('Control Room'!$B$13-1)/2)/MAX(0.5,'Control Room'!$B$13/4))^2),1)*IF(AND($A384&gt;='Control Room'!$A$14,$A384&lt;'Control Room'!$A$14+'Control Room'!$B$14,'Process'!BL3=1),1+('Control Room'!$C$14-1)*EXP(-0.5*(($A384-'Control Room'!$A$14-('Control Room'!$B$14-1)/2)/MAX(0.5,'Control Room'!$B$14/4))^2),1)*IF(AND($A384&gt;='Control Room'!$A$15,$A384&lt;'Control Room'!$A$15+'Control Room'!$B$15,'Process'!BL4=1),1+('Control Room'!$C$15-1)*EXP(-0.5*(($A384-'Control Room'!$A$15-('Control Room'!$B$15-1)/2)/MAX(0.5,'Control Room'!$B$15/4))^2),1)*IF(AND($A384&gt;='Control Room'!$A$16,$A384&lt;'Control Room'!$A$16+'Control Room'!$B$16,'Process'!BL5=1),1+('Control Room'!$C$16-1)*EXP(-0.5*(($A384-'Control Room'!$A$16-('Control Room'!$B$16-1)/2)/MAX(0.5,'Control Room'!$B$16/4))^2),1)</x:f>
        <x:v>1</x:v>
      </x:c>
      <x:c r="L384" s="9" t="n">
        <x:f>MOD(M383*16807,2147483647)</x:f>
        <x:v>707087237</x:v>
      </x:c>
      <x:c r="M384" s="9" t="n">
        <x:f>MOD(L384*16807,2147483647)</x:f>
        <x:v>1988173408</x:v>
      </x:c>
      <x:c r="N384" s="17" t="n">
        <x:f>IF('Control Room'!$B$5="Normal",'Control Room'!$B$7+'Control Room'!$D$7*SQRT(-2*LN(MAX(0.000000000001,L384/2147483647)))*COS(2*PI()*M384/2147483647),'Control Room'!$B$8+('Control Room'!$D$8-'Control Room'!$B$8)*L384/2147483647)</x:f>
        <x:v>1119.8400568999152</x:v>
      </x:c>
      <x:c r="O384" s="17" t="n">
        <x:f>IF('Control Room'!$B$5="Normal",'Control Room'!$B$7,('Control Room'!$B$8+'Control Room'!$D$8)/2)+'Control Room'!$B$9*(O383-IF('Control Room'!$B$5="Normal",'Control Room'!$B$7,('Control Room'!$B$8+'Control Room'!$D$8)/2))+SQRT(1-'Control Room'!$B$9^2)*(N384-IF('Control Room'!$B$5="Normal",'Control Room'!$B$7,('Control Room'!$B$8+'Control Room'!$D$8)/2))</x:f>
        <x:v>996.5537932579308</x:v>
      </x:c>
      <x:c r="P384" s="17" t="n">
        <x:f>IF(AND($A384&gt;='Control Room'!$A$13,$A384&lt;'Control Room'!$A$13+'Control Room'!$B$13,'Process'!BM2=1),1+('Control Room'!$C$13-1)*EXP(-0.5*(($A384-'Control Room'!$A$13-('Control Room'!$B$13-1)/2)/MAX(0.5,'Control Room'!$B$13/4))^2),1)*IF(AND($A384&gt;='Control Room'!$A$14,$A384&lt;'Control Room'!$A$14+'Control Room'!$B$14,'Process'!BM3=1),1+('Control Room'!$C$14-1)*EXP(-0.5*(($A384-'Control Room'!$A$14-('Control Room'!$B$14-1)/2)/MAX(0.5,'Control Room'!$B$14/4))^2),1)*IF(AND($A384&gt;='Control Room'!$A$15,$A384&lt;'Control Room'!$A$15+'Control Room'!$B$15,'Process'!BM4=1),1+('Control Room'!$C$15-1)*EXP(-0.5*(($A384-'Control Room'!$A$15-('Control Room'!$B$15-1)/2)/MAX(0.5,'Control Room'!$B$15/4))^2),1)*IF(AND($A384&gt;='Control Room'!$A$16,$A384&lt;'Control Room'!$A$16+'Control Room'!$B$16,'Process'!BM5=1),1+('Control Room'!$C$16-1)*EXP(-0.5*(($A384-'Control Room'!$A$16-('Control Room'!$B$16-1)/2)/MAX(0.5,'Control Room'!$B$16/4))^2),1)</x:f>
        <x:v>1</x:v>
      </x:c>
      <x:c r="Q384" s="9" t="n">
        <x:f>MOD(R383*16807,2147483647)</x:f>
        <x:v>1276974889</x:v>
      </x:c>
      <x:c r="R384" s="9" t="n">
        <x:f>MOD(Q384*16807,2147483647)</x:f>
        <x:v>165391305</x:v>
      </x:c>
      <x:c r="S384" s="17" t="n">
        <x:f>IF('Control Room'!$B$5="Normal",'Control Room'!$B$7+'Control Room'!$D$7*SQRT(-2*LN(MAX(0.000000000001,Q384/2147483647)))*COS(2*PI()*R384/2147483647),'Control Room'!$B$8+('Control Room'!$D$8-'Control Room'!$B$8)*Q384/2147483647)</x:f>
        <x:v>1081.2288278613207</x:v>
      </x:c>
      <x:c r="T384" s="17" t="n">
        <x:f>IF('Control Room'!$B$5="Normal",'Control Room'!$B$7,('Control Room'!$B$8+'Control Room'!$D$8)/2)+'Control Room'!$B$9*(T383-IF('Control Room'!$B$5="Normal",'Control Room'!$B$7,('Control Room'!$B$8+'Control Room'!$D$8)/2))+SQRT(1-'Control Room'!$B$9^2)*(S384-IF('Control Room'!$B$5="Normal",'Control Room'!$B$7,('Control Room'!$B$8+'Control Room'!$D$8)/2))</x:f>
        <x:v>1015.8398727320367</x:v>
      </x:c>
      <x:c r="U384" s="17" t="n">
        <x:f>IF(AND($A384&gt;='Control Room'!$A$13,$A384&lt;'Control Room'!$A$13+'Control Room'!$B$13,'Process'!BN2=1),1+('Control Room'!$C$13-1)*EXP(-0.5*(($A384-'Control Room'!$A$13-('Control Room'!$B$13-1)/2)/MAX(0.5,'Control Room'!$B$13/4))^2),1)*IF(AND($A384&gt;='Control Room'!$A$14,$A384&lt;'Control Room'!$A$14+'Control Room'!$B$14,'Process'!BN3=1),1+('Control Room'!$C$14-1)*EXP(-0.5*(($A384-'Control Room'!$A$14-('Control Room'!$B$14-1)/2)/MAX(0.5,'Control Room'!$B$14/4))^2),1)*IF(AND($A384&gt;='Control Room'!$A$15,$A384&lt;'Control Room'!$A$15+'Control Room'!$B$15,'Process'!BN4=1),1+('Control Room'!$C$15-1)*EXP(-0.5*(($A384-'Control Room'!$A$15-('Control Room'!$B$15-1)/2)/MAX(0.5,'Control Room'!$B$15/4))^2),1)*IF(AND($A384&gt;='Control Room'!$A$16,$A384&lt;'Control Room'!$A$16+'Control Room'!$B$16,'Process'!BN5=1),1+('Control Room'!$C$16-1)*EXP(-0.5*(($A384-'Control Room'!$A$16-('Control Room'!$B$16-1)/2)/MAX(0.5,'Control Room'!$B$16/4))^2),1)</x:f>
        <x:v>1</x:v>
      </x:c>
      <x:c r="V384" s="9" t="n">
        <x:f>MOD(W383*16807,2147483647)</x:f>
        <x:v>1846862541</x:v>
      </x:c>
      <x:c r="W384" s="9" t="n">
        <x:f>MOD(V384*16807,2147483647)</x:f>
        <x:v>490092849</x:v>
      </x:c>
      <x:c r="X384" s="17" t="n">
        <x:f>IF('Control Room'!$B$5="Normal",'Control Room'!$B$7+'Control Room'!$D$7*SQRT(-2*LN(MAX(0.000000000001,V384/2147483647)))*COS(2*PI()*W384/2147483647),'Control Room'!$B$8+('Control Room'!$D$8-'Control Room'!$B$8)*V384/2147483647)</x:f>
        <x:v>1006.7438191309029</x:v>
      </x:c>
      <x:c r="Y384" s="17" t="n">
        <x:f>IF('Control Room'!$B$5="Normal",'Control Room'!$B$7,('Control Room'!$B$8+'Control Room'!$D$8)/2)+'Control Room'!$B$9*(Y383-IF('Control Room'!$B$5="Normal",'Control Room'!$B$7,('Control Room'!$B$8+'Control Room'!$D$8)/2))+SQRT(1-'Control Room'!$B$9^2)*(X384-IF('Control Room'!$B$5="Normal",'Control Room'!$B$7,('Control Room'!$B$8+'Control Room'!$D$8)/2))</x:f>
        <x:v>974.9128517624429</x:v>
      </x:c>
      <x:c r="Z384" s="17" t="n">
        <x:f>IF(AND($A384&gt;='Control Room'!$A$13,$A384&lt;'Control Room'!$A$13+'Control Room'!$B$13,'Process'!BO2=1),1+('Control Room'!$C$13-1)*EXP(-0.5*(($A384-'Control Room'!$A$13-('Control Room'!$B$13-1)/2)/MAX(0.5,'Control Room'!$B$13/4))^2),1)*IF(AND($A384&gt;='Control Room'!$A$14,$A384&lt;'Control Room'!$A$14+'Control Room'!$B$14,'Process'!BO3=1),1+('Control Room'!$C$14-1)*EXP(-0.5*(($A384-'Control Room'!$A$14-('Control Room'!$B$14-1)/2)/MAX(0.5,'Control Room'!$B$14/4))^2),1)*IF(AND($A384&gt;='Control Room'!$A$15,$A384&lt;'Control Room'!$A$15+'Control Room'!$B$15,'Process'!BO4=1),1+('Control Room'!$C$15-1)*EXP(-0.5*(($A384-'Control Room'!$A$15-('Control Room'!$B$15-1)/2)/MAX(0.5,'Control Room'!$B$15/4))^2),1)*IF(AND($A384&gt;='Control Room'!$A$16,$A384&lt;'Control Room'!$A$16+'Control Room'!$B$16,'Process'!BO5=1),1+('Control Room'!$C$16-1)*EXP(-0.5*(($A384-'Control Room'!$A$16-('Control Room'!$B$16-1)/2)/MAX(0.5,'Control Room'!$B$16/4))^2),1)</x:f>
        <x:v>1</x:v>
      </x:c>
      <x:c r="AA384" s="9" t="n">
        <x:f>MOD(AB383*16807,2147483647)</x:f>
        <x:v>269266546</x:v>
      </x:c>
      <x:c r="AB384" s="9" t="n">
        <x:f>MOD(AA384*16807,2147483647)</x:f>
        <x:v>814794393</x:v>
      </x:c>
      <x:c r="AC384" s="17" t="n">
        <x:f>IF('Control Room'!$B$5="Normal",'Control Room'!$B$7+'Control Room'!$D$7*SQRT(-2*LN(MAX(0.000000000001,AA384/2147483647)))*COS(2*PI()*AB384/2147483647),'Control Room'!$B$8+('Control Room'!$D$8-'Control Room'!$B$8)*AA384/2147483647)</x:f>
        <x:v>866.7643782806999</x:v>
      </x:c>
      <x:c r="AD384" s="17" t="n">
        <x:f>IF('Control Room'!$B$5="Normal",'Control Room'!$B$7,('Control Room'!$B$8+'Control Room'!$D$8)/2)+'Control Room'!$B$9*(AD383-IF('Control Room'!$B$5="Normal",'Control Room'!$B$7,('Control Room'!$B$8+'Control Room'!$D$8)/2))+SQRT(1-'Control Room'!$B$9^2)*(AC384-IF('Control Room'!$B$5="Normal",'Control Room'!$B$7,('Control Room'!$B$8+'Control Room'!$D$8)/2))</x:f>
        <x:v>982.2700990047498</x:v>
      </x:c>
      <x:c r="AE384" s="17" t="n">
        <x:f>IF(AND($A384&gt;='Control Room'!$A$13,$A384&lt;'Control Room'!$A$13+'Control Room'!$B$13,'Process'!BP2=1),1+('Control Room'!$C$13-1)*EXP(-0.5*(($A384-'Control Room'!$A$13-('Control Room'!$B$13-1)/2)/MAX(0.5,'Control Room'!$B$13/4))^2),1)*IF(AND($A384&gt;='Control Room'!$A$14,$A384&lt;'Control Room'!$A$14+'Control Room'!$B$14,'Process'!BP3=1),1+('Control Room'!$C$14-1)*EXP(-0.5*(($A384-'Control Room'!$A$14-('Control Room'!$B$14-1)/2)/MAX(0.5,'Control Room'!$B$14/4))^2),1)*IF(AND($A384&gt;='Control Room'!$A$15,$A384&lt;'Control Room'!$A$15+'Control Room'!$B$15,'Process'!BP4=1),1+('Control Room'!$C$15-1)*EXP(-0.5*(($A384-'Control Room'!$A$15-('Control Room'!$B$15-1)/2)/MAX(0.5,'Control Room'!$B$15/4))^2),1)*IF(AND($A384&gt;='Control Room'!$A$16,$A384&lt;'Control Room'!$A$16+'Control Room'!$B$16,'Process'!BP5=1),1+('Control Room'!$C$16-1)*EXP(-0.5*(($A384-'Control Room'!$A$16-('Control Room'!$B$16-1)/2)/MAX(0.5,'Control Room'!$B$16/4))^2),1)</x:f>
        <x:v>1</x:v>
      </x:c>
      <x:c r="AF384" s="9" t="n">
        <x:f>MOD(AG383*16807,2147483647)</x:f>
        <x:v>839154198</x:v>
      </x:c>
      <x:c r="AG384" s="9" t="n">
        <x:f>MOD(AF384*16807,2147483647)</x:f>
        <x:v>1139495937</x:v>
      </x:c>
      <x:c r="AH384" s="17" t="n">
        <x:f>IF('Control Room'!$B$5="Normal",'Control Room'!$B$7+'Control Room'!$D$7*SQRT(-2*LN(MAX(0.000000000001,AF384/2147483647)))*COS(2*PI()*AG384/2147483647),'Control Room'!$B$8+('Control Room'!$D$8-'Control Room'!$B$8)*AF384/2147483647)</x:f>
        <x:v>878.8969376645489</x:v>
      </x:c>
      <x:c r="AI384" s="17" t="n">
        <x:f>IF('Control Room'!$B$5="Normal",'Control Room'!$B$7,('Control Room'!$B$8+'Control Room'!$D$8)/2)+'Control Room'!$B$9*(AI383-IF('Control Room'!$B$5="Normal",'Control Room'!$B$7,('Control Room'!$B$8+'Control Room'!$D$8)/2))+SQRT(1-'Control Room'!$B$9^2)*(AH384-IF('Control Room'!$B$5="Normal",'Control Room'!$B$7,('Control Room'!$B$8+'Control Room'!$D$8)/2))</x:f>
        <x:v>1073.7463433467997</x:v>
      </x:c>
      <x:c r="AJ384" s="17" t="n">
        <x:f>IF(AND($A384&gt;='Control Room'!$A$13,$A384&lt;'Control Room'!$A$13+'Control Room'!$B$13,'Process'!BQ2=1),1+('Control Room'!$C$13-1)*EXP(-0.5*(($A384-'Control Room'!$A$13-('Control Room'!$B$13-1)/2)/MAX(0.5,'Control Room'!$B$13/4))^2),1)*IF(AND($A384&gt;='Control Room'!$A$14,$A384&lt;'Control Room'!$A$14+'Control Room'!$B$14,'Process'!BQ3=1),1+('Control Room'!$C$14-1)*EXP(-0.5*(($A384-'Control Room'!$A$14-('Control Room'!$B$14-1)/2)/MAX(0.5,'Control Room'!$B$14/4))^2),1)*IF(AND($A384&gt;='Control Room'!$A$15,$A384&lt;'Control Room'!$A$15+'Control Room'!$B$15,'Process'!BQ4=1),1+('Control Room'!$C$15-1)*EXP(-0.5*(($A384-'Control Room'!$A$15-('Control Room'!$B$15-1)/2)/MAX(0.5,'Control Room'!$B$15/4))^2),1)*IF(AND($A384&gt;='Control Room'!$A$16,$A384&lt;'Control Room'!$A$16+'Control Room'!$B$16,'Process'!BQ5=1),1+('Control Room'!$C$16-1)*EXP(-0.5*(($A384-'Control Room'!$A$16-('Control Room'!$B$16-1)/2)/MAX(0.5,'Control Room'!$B$16/4))^2),1)</x:f>
        <x:v>1</x:v>
      </x:c>
      <x:c r="AK384" s="9" t="n">
        <x:f>MOD(AL383*16807,2147483647)</x:f>
        <x:v>1409041850</x:v>
      </x:c>
      <x:c r="AL384" s="9" t="n">
        <x:f>MOD(AK384*16807,2147483647)</x:f>
        <x:v>1464197481</x:v>
      </x:c>
      <x:c r="AM384" s="17" t="n">
        <x:f>IF('Control Room'!$B$5="Normal",'Control Room'!$B$7+'Control Room'!$D$7*SQRT(-2*LN(MAX(0.000000000001,AK384/2147483647)))*COS(2*PI()*AL384/2147483647),'Control Room'!$B$8+('Control Room'!$D$8-'Control Room'!$B$8)*AK384/2147483647)</x:f>
        <x:v>965.6782989113606</x:v>
      </x:c>
      <x:c r="AN384" s="17" t="n">
        <x:f>IF('Control Room'!$B$5="Normal",'Control Room'!$B$7,('Control Room'!$B$8+'Control Room'!$D$8)/2)+'Control Room'!$B$9*(AN383-IF('Control Room'!$B$5="Normal",'Control Room'!$B$7,('Control Room'!$B$8+'Control Room'!$D$8)/2))+SQRT(1-'Control Room'!$B$9^2)*(AM384-IF('Control Room'!$B$5="Normal",'Control Room'!$B$7,('Control Room'!$B$8+'Control Room'!$D$8)/2))</x:f>
        <x:v>905.7640452538675</x:v>
      </x:c>
      <x:c r="AO384" s="17" t="n">
        <x:f>IF(AND($A384&gt;='Control Room'!$A$13,$A384&lt;'Control Room'!$A$13+'Control Room'!$B$13,'Process'!BR2=1),1+('Control Room'!$C$13-1)*EXP(-0.5*(($A384-'Control Room'!$A$13-('Control Room'!$B$13-1)/2)/MAX(0.5,'Control Room'!$B$13/4))^2),1)*IF(AND($A384&gt;='Control Room'!$A$14,$A384&lt;'Control Room'!$A$14+'Control Room'!$B$14,'Process'!BR3=1),1+('Control Room'!$C$14-1)*EXP(-0.5*(($A384-'Control Room'!$A$14-('Control Room'!$B$14-1)/2)/MAX(0.5,'Control Room'!$B$14/4))^2),1)*IF(AND($A384&gt;='Control Room'!$A$15,$A384&lt;'Control Room'!$A$15+'Control Room'!$B$15,'Process'!BR4=1),1+('Control Room'!$C$15-1)*EXP(-0.5*(($A384-'Control Room'!$A$15-('Control Room'!$B$15-1)/2)/MAX(0.5,'Control Room'!$B$15/4))^2),1)*IF(AND($A384&gt;='Control Room'!$A$16,$A384&lt;'Control Room'!$A$16+'Control Room'!$B$16,'Process'!BR5=1),1+('Control Room'!$C$16-1)*EXP(-0.5*(($A384-'Control Room'!$A$16-('Control Room'!$B$16-1)/2)/MAX(0.5,'Control Room'!$B$16/4))^2),1)</x:f>
        <x:v>1</x:v>
      </x:c>
      <x:c r="AP384" s="9" t="n">
        <x:f>MOD(AQ383*16807,2147483647)</x:f>
        <x:v>1978929502</x:v>
      </x:c>
      <x:c r="AQ384" s="9" t="n">
        <x:f>MOD(AP384*16807,2147483647)</x:f>
        <x:v>1788899025</x:v>
      </x:c>
      <x:c r="AR384" s="17" t="n">
        <x:f>IF('Control Room'!$B$5="Normal",'Control Room'!$B$7+'Control Room'!$D$7*SQRT(-2*LN(MAX(0.000000000001,AP384/2147483647)))*COS(2*PI()*AQ384/2147483647),'Control Room'!$B$8+('Control Room'!$D$8-'Control Room'!$B$8)*AP384/2147483647)</x:f>
        <x:v>1018.1329013001533</x:v>
      </x:c>
      <x:c r="AS384" s="17" t="n">
        <x:f>IF('Control Room'!$B$5="Normal",'Control Room'!$B$7,('Control Room'!$B$8+'Control Room'!$D$8)/2)+'Control Room'!$B$9*(AS383-IF('Control Room'!$B$5="Normal",'Control Room'!$B$7,('Control Room'!$B$8+'Control Room'!$D$8)/2))+SQRT(1-'Control Room'!$B$9^2)*(AR384-IF('Control Room'!$B$5="Normal",'Control Room'!$B$7,('Control Room'!$B$8+'Control Room'!$D$8)/2))</x:f>
        <x:v>1015.9649947003866</x:v>
      </x:c>
      <x:c r="AT384" s="17" t="n">
        <x:f>IF(AND($A384&gt;='Control Room'!$A$13,$A384&lt;'Control Room'!$A$13+'Control Room'!$B$13,'Process'!BS2=1),1+('Control Room'!$C$13-1)*EXP(-0.5*(($A384-'Control Room'!$A$13-('Control Room'!$B$13-1)/2)/MAX(0.5,'Control Room'!$B$13/4))^2),1)*IF(AND($A384&gt;='Control Room'!$A$14,$A384&lt;'Control Room'!$A$14+'Control Room'!$B$14,'Process'!BS3=1),1+('Control Room'!$C$14-1)*EXP(-0.5*(($A384-'Control Room'!$A$14-('Control Room'!$B$14-1)/2)/MAX(0.5,'Control Room'!$B$14/4))^2),1)*IF(AND($A384&gt;='Control Room'!$A$15,$A384&lt;'Control Room'!$A$15+'Control Room'!$B$15,'Process'!BS4=1),1+('Control Room'!$C$15-1)*EXP(-0.5*(($A384-'Control Room'!$A$15-('Control Room'!$B$15-1)/2)/MAX(0.5,'Control Room'!$B$15/4))^2),1)*IF(AND($A384&gt;='Control Room'!$A$16,$A384&lt;'Control Room'!$A$16+'Control Room'!$B$16,'Process'!BS5=1),1+('Control Room'!$C$16-1)*EXP(-0.5*(($A384-'Control Room'!$A$16-('Control Room'!$B$16-1)/2)/MAX(0.5,'Control Room'!$B$16/4))^2),1)</x:f>
        <x:v>1</x:v>
      </x:c>
      <x:c r="AU384" s="9" t="n">
        <x:f>MOD(AV383*16807,2147483647)</x:f>
        <x:v>401333507</x:v>
      </x:c>
      <x:c r="AV384" s="9" t="n">
        <x:f>MOD(AU384*16807,2147483647)</x:f>
        <x:v>2113600569</x:v>
      </x:c>
      <x:c r="AW384" s="17" t="n">
        <x:f>IF('Control Room'!$B$5="Normal",'Control Room'!$B$7+'Control Room'!$D$7*SQRT(-2*LN(MAX(0.000000000001,AU384/2147483647)))*COS(2*PI()*AV384/2147483647),'Control Room'!$B$8+('Control Room'!$D$8-'Control Room'!$B$8)*AU384/2147483647)</x:f>
        <x:v>1164.028750557298</x:v>
      </x:c>
      <x:c r="AX384" s="17" t="n">
        <x:f>IF('Control Room'!$B$5="Normal",'Control Room'!$B$7,('Control Room'!$B$8+'Control Room'!$D$8)/2)+'Control Room'!$B$9*(AX383-IF('Control Room'!$B$5="Normal",'Control Room'!$B$7,('Control Room'!$B$8+'Control Room'!$D$8)/2))+SQRT(1-'Control Room'!$B$9^2)*(AW384-IF('Control Room'!$B$5="Normal",'Control Room'!$B$7,('Control Room'!$B$8+'Control Room'!$D$8)/2))</x:f>
        <x:v>1061.1374658323632</x:v>
      </x:c>
      <x:c r="AY384" s="17" t="n">
        <x:f>IF(AND($A384&gt;='Control Room'!$A$13,$A384&lt;'Control Room'!$A$13+'Control Room'!$B$13,'Process'!BT2=1),1+('Control Room'!$C$13-1)*EXP(-0.5*(($A384-'Control Room'!$A$13-('Control Room'!$B$13-1)/2)/MAX(0.5,'Control Room'!$B$13/4))^2),1)*IF(AND($A384&gt;='Control Room'!$A$14,$A384&lt;'Control Room'!$A$14+'Control Room'!$B$14,'Process'!BT3=1),1+('Control Room'!$C$14-1)*EXP(-0.5*(($A384-'Control Room'!$A$14-('Control Room'!$B$14-1)/2)/MAX(0.5,'Control Room'!$B$14/4))^2),1)*IF(AND($A384&gt;='Control Room'!$A$15,$A384&lt;'Control Room'!$A$15+'Control Room'!$B$15,'Process'!BT4=1),1+('Control Room'!$C$15-1)*EXP(-0.5*(($A384-'Control Room'!$A$15-('Control Room'!$B$15-1)/2)/MAX(0.5,'Control Room'!$B$15/4))^2),1)*IF(AND($A384&gt;='Control Room'!$A$16,$A384&lt;'Control Room'!$A$16+'Control Room'!$B$16,'Process'!BT5=1),1+('Control Room'!$C$16-1)*EXP(-0.5*(($A384-'Control Room'!$A$16-('Control Room'!$B$16-1)/2)/MAX(0.5,'Control Room'!$B$16/4))^2),1)</x:f>
        <x:v>1</x:v>
      </x:c>
      <x:c r="AZ384" s="9" t="n">
        <x:f>MOD(BA383*16807,2147483647)</x:f>
        <x:v>971221159</x:v>
      </x:c>
      <x:c r="BA384" s="9" t="n">
        <x:f>MOD(AZ384*16807,2147483647)</x:f>
        <x:v>290818466</x:v>
      </x:c>
      <x:c r="BB384" s="17" t="n">
        <x:f>IF('Control Room'!$B$5="Normal",'Control Room'!$B$7+'Control Room'!$D$7*SQRT(-2*LN(MAX(0.000000000001,AZ384/2147483647)))*COS(2*PI()*BA384/2147483647),'Control Room'!$B$8+('Control Room'!$D$8-'Control Room'!$B$8)*AZ384/2147483647)</x:f>
        <x:v>1074.752243858126</x:v>
      </x:c>
      <x:c r="BC384" s="17" t="n">
        <x:f>IF('Control Room'!$B$5="Normal",'Control Room'!$B$7,('Control Room'!$B$8+'Control Room'!$D$8)/2)+'Control Room'!$B$9*(BC383-IF('Control Room'!$B$5="Normal",'Control Room'!$B$7,('Control Room'!$B$8+'Control Room'!$D$8)/2))+SQRT(1-'Control Room'!$B$9^2)*(BB384-IF('Control Room'!$B$5="Normal",'Control Room'!$B$7,('Control Room'!$B$8+'Control Room'!$D$8)/2))</x:f>
        <x:v>1018.6677955248641</x:v>
      </x:c>
      <x:c r="BD384" s="17" t="n">
        <x:f>IF(AND($A384&gt;='Control Room'!$A$13,$A384&lt;'Control Room'!$A$13+'Control Room'!$B$13,'Process'!BU2=1),1+('Control Room'!$C$13-1)*EXP(-0.5*(($A384-'Control Room'!$A$13-('Control Room'!$B$13-1)/2)/MAX(0.5,'Control Room'!$B$13/4))^2),1)*IF(AND($A384&gt;='Control Room'!$A$14,$A384&lt;'Control Room'!$A$14+'Control Room'!$B$14,'Process'!BU3=1),1+('Control Room'!$C$14-1)*EXP(-0.5*(($A384-'Control Room'!$A$14-('Control Room'!$B$14-1)/2)/MAX(0.5,'Control Room'!$B$14/4))^2),1)*IF(AND($A384&gt;='Control Room'!$A$15,$A384&lt;'Control Room'!$A$15+'Control Room'!$B$15,'Process'!BU4=1),1+('Control Room'!$C$15-1)*EXP(-0.5*(($A384-'Control Room'!$A$15-('Control Room'!$B$15-1)/2)/MAX(0.5,'Control Room'!$B$15/4))^2),1)*IF(AND($A384&gt;='Control Room'!$A$16,$A384&lt;'Control Room'!$A$16+'Control Room'!$B$16,'Process'!BU5=1),1+('Control Room'!$C$16-1)*EXP(-0.5*(($A384-'Control Room'!$A$16-('Control Room'!$B$16-1)/2)/MAX(0.5,'Control Room'!$B$16/4))^2),1)</x:f>
        <x:v>1</x:v>
      </x:c>
      <x:c r="BE384" s="9" t="n">
        <x:f>MOD(BF383*16807,2147483647)</x:f>
        <x:v>1541108811</x:v>
      </x:c>
      <x:c r="BF384" s="9" t="n">
        <x:f>MOD(BE384*16807,2147483647)</x:f>
        <x:v>615520010</x:v>
      </x:c>
      <x:c r="BG384" s="17" t="n">
        <x:f>IF('Control Room'!$B$5="Normal",'Control Room'!$B$7+'Control Room'!$D$7*SQRT(-2*LN(MAX(0.000000000001,BE384/2147483647)))*COS(2*PI()*BF384/2147483647),'Control Room'!$B$8+('Control Room'!$D$8-'Control Room'!$B$8)*BE384/2147483647)</x:f>
        <x:v>983.2776894428399</x:v>
      </x:c>
      <x:c r="BH384" s="17" t="n">
        <x:f>IF('Control Room'!$B$5="Normal",'Control Room'!$B$7,('Control Room'!$B$8+'Control Room'!$D$8)/2)+'Control Room'!$B$9*(BH383-IF('Control Room'!$B$5="Normal",'Control Room'!$B$7,('Control Room'!$B$8+'Control Room'!$D$8)/2))+SQRT(1-'Control Room'!$B$9^2)*(BG384-IF('Control Room'!$B$5="Normal",'Control Room'!$B$7,('Control Room'!$B$8+'Control Room'!$D$8)/2))</x:f>
        <x:v>1130.7716492108307</x:v>
      </x:c>
      <x:c r="BI384" s="17" t="n">
        <x:f>IF(AND($A384&gt;='Control Room'!$A$13,$A384&lt;'Control Room'!$A$13+'Control Room'!$B$13,'Process'!BV2=1),1+('Control Room'!$C$13-1)*EXP(-0.5*(($A384-'Control Room'!$A$13-('Control Room'!$B$13-1)/2)/MAX(0.5,'Control Room'!$B$13/4))^2),1)*IF(AND($A384&gt;='Control Room'!$A$14,$A384&lt;'Control Room'!$A$14+'Control Room'!$B$14,'Process'!BV3=1),1+('Control Room'!$C$14-1)*EXP(-0.5*(($A384-'Control Room'!$A$14-('Control Room'!$B$14-1)/2)/MAX(0.5,'Control Room'!$B$14/4))^2),1)*IF(AND($A384&gt;='Control Room'!$A$15,$A384&lt;'Control Room'!$A$15+'Control Room'!$B$15,'Process'!BV4=1),1+('Control Room'!$C$15-1)*EXP(-0.5*(($A384-'Control Room'!$A$15-('Control Room'!$B$15-1)/2)/MAX(0.5,'Control Room'!$B$15/4))^2),1)*IF(AND($A384&gt;='Control Room'!$A$16,$A384&lt;'Control Room'!$A$16+'Control Room'!$B$16,'Process'!BV5=1),1+('Control Room'!$C$16-1)*EXP(-0.5*(($A384-'Control Room'!$A$16-('Control Room'!$B$16-1)/2)/MAX(0.5,'Control Room'!$B$16/4))^2),1)</x:f>
        <x:v>1</x:v>
      </x:c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Z384" t="str">
        <x:f>IF('Data'!A384="","",TEXT('Data'!A384,"mm-dd"))</x:f>
      </x:c>
    </x:row>
    <x:row r="385" ht="21" customHeight="1">
      <x:c r="A385" s="15" t="n">
        <x:f>'Control Room'!$B$1+383</x:f>
        <x:v>73374</x:v>
      </x:c>
      <x:c r="B385" s="9" t="n">
        <x:f>MOD(C384*16807,2147483647)</x:f>
        <x:v>1526598621</x:v>
      </x:c>
      <x:c r="C385" s="9" t="n">
        <x:f>MOD(B385*16807,2147483647)</x:f>
        <x:v>1555892438</x:v>
      </x:c>
      <x:c r="D385" s="17" t="n">
        <x:f>IF('Control Room'!$B$5="Normal",'Control Room'!$B$7+'Control Room'!$D$7*SQRT(-2*LN(MAX(0.000000000001,B385/2147483647)))*COS(2*PI()*C385/2147483647),'Control Room'!$B$8+('Control Room'!$D$8-'Control Room'!$B$8)*B385/2147483647)</x:f>
        <x:v>988.1467273453596</x:v>
      </x:c>
      <x:c r="E385" s="17" t="n">
        <x:f>IF('Control Room'!$B$5="Normal",'Control Room'!$B$7,('Control Room'!$B$8+'Control Room'!$D$8)/2)+'Control Room'!$B$9*(E384-IF('Control Room'!$B$5="Normal",'Control Room'!$B$7,('Control Room'!$B$8+'Control Room'!$D$8)/2))+SQRT(1-'Control Room'!$B$9^2)*(D385-IF('Control Room'!$B$5="Normal",'Control Room'!$B$7,('Control Room'!$B$8+'Control Room'!$D$8)/2))</x:f>
        <x:v>968.9341309062074</x:v>
      </x:c>
      <x:c r="F385" s="17" t="n">
        <x:f>IF(AND($A385&gt;='Control Room'!$A$13,$A385&lt;'Control Room'!$A$13+'Control Room'!$B$13,'Process'!BK2=1),1+('Control Room'!$C$13-1)*EXP(-0.5*(($A385-'Control Room'!$A$13-('Control Room'!$B$13-1)/2)/MAX(0.5,'Control Room'!$B$13/4))^2),1)*IF(AND($A385&gt;='Control Room'!$A$14,$A385&lt;'Control Room'!$A$14+'Control Room'!$B$14,'Process'!BK3=1),1+('Control Room'!$C$14-1)*EXP(-0.5*(($A385-'Control Room'!$A$14-('Control Room'!$B$14-1)/2)/MAX(0.5,'Control Room'!$B$14/4))^2),1)*IF(AND($A385&gt;='Control Room'!$A$15,$A385&lt;'Control Room'!$A$15+'Control Room'!$B$15,'Process'!BK4=1),1+('Control Room'!$C$15-1)*EXP(-0.5*(($A385-'Control Room'!$A$15-('Control Room'!$B$15-1)/2)/MAX(0.5,'Control Room'!$B$15/4))^2),1)*IF(AND($A385&gt;='Control Room'!$A$16,$A385&lt;'Control Room'!$A$16+'Control Room'!$B$16,'Process'!BK5=1),1+('Control Room'!$C$16-1)*EXP(-0.5*(($A385-'Control Room'!$A$16-('Control Room'!$B$16-1)/2)/MAX(0.5,'Control Room'!$B$16/4))^2),1)</x:f>
        <x:v>1</x:v>
      </x:c>
      <x:c r="G385" s="9" t="n">
        <x:f>MOD(H384*16807,2147483647)</x:f>
        <x:v>2029501602</x:v>
      </x:c>
      <x:c r="H385" s="9" t="n">
        <x:f>MOD(G385*16807,2147483647)</x:f>
        <x:v>1350659513</x:v>
      </x:c>
      <x:c r="I385" s="17" t="n">
        <x:f>IF('Control Room'!$B$5="Normal",'Control Room'!$B$7+'Control Room'!$D$7*SQRT(-2*LN(MAX(0.000000000001,G385/2147483647)))*COS(2*PI()*H385/2147483647),'Control Room'!$B$8+('Control Room'!$D$8-'Control Room'!$B$8)*G385/2147483647)</x:f>
        <x:v>979.1434927841419</x:v>
      </x:c>
      <x:c r="J385" s="17" t="n">
        <x:f>IF('Control Room'!$B$5="Normal",'Control Room'!$B$7,('Control Room'!$B$8+'Control Room'!$D$8)/2)+'Control Room'!$B$9*(J384-IF('Control Room'!$B$5="Normal",'Control Room'!$B$7,('Control Room'!$B$8+'Control Room'!$D$8)/2))+SQRT(1-'Control Room'!$B$9^2)*(I385-IF('Control Room'!$B$5="Normal",'Control Room'!$B$7,('Control Room'!$B$8+'Control Room'!$D$8)/2))</x:f>
        <x:v>998.8809954658277</x:v>
      </x:c>
      <x:c r="K385" s="17" t="n">
        <x:f>IF(AND($A385&gt;='Control Room'!$A$13,$A385&lt;'Control Room'!$A$13+'Control Room'!$B$13,'Process'!BL2=1),1+('Control Room'!$C$13-1)*EXP(-0.5*(($A385-'Control Room'!$A$13-('Control Room'!$B$13-1)/2)/MAX(0.5,'Control Room'!$B$13/4))^2),1)*IF(AND($A385&gt;='Control Room'!$A$14,$A385&lt;'Control Room'!$A$14+'Control Room'!$B$14,'Process'!BL3=1),1+('Control Room'!$C$14-1)*EXP(-0.5*(($A385-'Control Room'!$A$14-('Control Room'!$B$14-1)/2)/MAX(0.5,'Control Room'!$B$14/4))^2),1)*IF(AND($A385&gt;='Control Room'!$A$15,$A385&lt;'Control Room'!$A$15+'Control Room'!$B$15,'Process'!BL4=1),1+('Control Room'!$C$15-1)*EXP(-0.5*(($A385-'Control Room'!$A$15-('Control Room'!$B$15-1)/2)/MAX(0.5,'Control Room'!$B$15/4))^2),1)*IF(AND($A385&gt;='Control Room'!$A$16,$A385&lt;'Control Room'!$A$16+'Control Room'!$B$16,'Process'!BL5=1),1+('Control Room'!$C$16-1)*EXP(-0.5*(($A385-'Control Room'!$A$16-('Control Room'!$B$16-1)/2)/MAX(0.5,'Control Room'!$B$16/4))^2),1)</x:f>
        <x:v>1</x:v>
      </x:c>
      <x:c r="L385" s="9" t="n">
        <x:f>MOD(M384*16807,2147483647)</x:f>
        <x:v>384920936</x:v>
      </x:c>
      <x:c r="M385" s="9" t="n">
        <x:f>MOD(L385*16807,2147483647)</x:f>
        <x:v>1145426588</x:v>
      </x:c>
      <x:c r="N385" s="17" t="n">
        <x:f>IF('Control Room'!$B$5="Normal",'Control Room'!$B$7+'Control Room'!$D$7*SQRT(-2*LN(MAX(0.000000000001,L385/2147483647)))*COS(2*PI()*M385/2147483647),'Control Room'!$B$8+('Control Room'!$D$8-'Control Room'!$B$8)*L385/2147483647)</x:f>
        <x:v>836.77974347608</x:v>
      </x:c>
      <x:c r="O385" s="17" t="n">
        <x:f>IF('Control Room'!$B$5="Normal",'Control Room'!$B$7,('Control Room'!$B$8+'Control Room'!$D$8)/2)+'Control Room'!$B$9*(O384-IF('Control Room'!$B$5="Normal",'Control Room'!$B$7,('Control Room'!$B$8+'Control Room'!$D$8)/2))+SQRT(1-'Control Room'!$B$9^2)*(N385-IF('Control Room'!$B$5="Normal",'Control Room'!$B$7,('Control Room'!$B$8+'Control Room'!$D$8)/2))</x:f>
        <x:v>895.1720659572206</x:v>
      </x:c>
      <x:c r="P385" s="17" t="n">
        <x:f>IF(AND($A385&gt;='Control Room'!$A$13,$A385&lt;'Control Room'!$A$13+'Control Room'!$B$13,'Process'!BM2=1),1+('Control Room'!$C$13-1)*EXP(-0.5*(($A385-'Control Room'!$A$13-('Control Room'!$B$13-1)/2)/MAX(0.5,'Control Room'!$B$13/4))^2),1)*IF(AND($A385&gt;='Control Room'!$A$14,$A385&lt;'Control Room'!$A$14+'Control Room'!$B$14,'Process'!BM3=1),1+('Control Room'!$C$14-1)*EXP(-0.5*(($A385-'Control Room'!$A$14-('Control Room'!$B$14-1)/2)/MAX(0.5,'Control Room'!$B$14/4))^2),1)*IF(AND($A385&gt;='Control Room'!$A$15,$A385&lt;'Control Room'!$A$15+'Control Room'!$B$15,'Process'!BM4=1),1+('Control Room'!$C$15-1)*EXP(-0.5*(($A385-'Control Room'!$A$15-('Control Room'!$B$15-1)/2)/MAX(0.5,'Control Room'!$B$15/4))^2),1)*IF(AND($A385&gt;='Control Room'!$A$16,$A385&lt;'Control Room'!$A$16+'Control Room'!$B$16,'Process'!BM5=1),1+('Control Room'!$C$16-1)*EXP(-0.5*(($A385-'Control Room'!$A$16-('Control Room'!$B$16-1)/2)/MAX(0.5,'Control Room'!$B$16/4))^2),1)</x:f>
        <x:v>1</x:v>
      </x:c>
      <x:c r="Q385" s="9" t="n">
        <x:f>MOD(R384*16807,2147483647)</x:f>
        <x:v>887823917</x:v>
      </x:c>
      <x:c r="R385" s="9" t="n">
        <x:f>MOD(Q385*16807,2147483647)</x:f>
        <x:v>940193663</x:v>
      </x:c>
      <x:c r="S385" s="17" t="n">
        <x:f>IF('Control Room'!$B$5="Normal",'Control Room'!$B$7+'Control Room'!$D$7*SQRT(-2*LN(MAX(0.000000000001,Q385/2147483647)))*COS(2*PI()*R385/2147483647),'Control Room'!$B$8+('Control Room'!$D$8-'Control Room'!$B$8)*Q385/2147483647)</x:f>
        <x:v>889.395410757021</x:v>
      </x:c>
      <x:c r="T385" s="17" t="n">
        <x:f>IF('Control Room'!$B$5="Normal",'Control Room'!$B$7,('Control Room'!$B$8+'Control Room'!$D$8)/2)+'Control Room'!$B$9*(T384-IF('Control Room'!$B$5="Normal",'Control Room'!$B$7,('Control Room'!$B$8+'Control Room'!$D$8)/2))+SQRT(1-'Control Room'!$B$9^2)*(S385-IF('Control Room'!$B$5="Normal",'Control Room'!$B$7,('Control Room'!$B$8+'Control Room'!$D$8)/2))</x:f>
        <x:v>943.1410146409033</x:v>
      </x:c>
      <x:c r="U385" s="17" t="n">
        <x:f>IF(AND($A385&gt;='Control Room'!$A$13,$A385&lt;'Control Room'!$A$13+'Control Room'!$B$13,'Process'!BN2=1),1+('Control Room'!$C$13-1)*EXP(-0.5*(($A385-'Control Room'!$A$13-('Control Room'!$B$13-1)/2)/MAX(0.5,'Control Room'!$B$13/4))^2),1)*IF(AND($A385&gt;='Control Room'!$A$14,$A385&lt;'Control Room'!$A$14+'Control Room'!$B$14,'Process'!BN3=1),1+('Control Room'!$C$14-1)*EXP(-0.5*(($A385-'Control Room'!$A$14-('Control Room'!$B$14-1)/2)/MAX(0.5,'Control Room'!$B$14/4))^2),1)*IF(AND($A385&gt;='Control Room'!$A$15,$A385&lt;'Control Room'!$A$15+'Control Room'!$B$15,'Process'!BN4=1),1+('Control Room'!$C$15-1)*EXP(-0.5*(($A385-'Control Room'!$A$15-('Control Room'!$B$15-1)/2)/MAX(0.5,'Control Room'!$B$15/4))^2),1)*IF(AND($A385&gt;='Control Room'!$A$16,$A385&lt;'Control Room'!$A$16+'Control Room'!$B$16,'Process'!BN5=1),1+('Control Room'!$C$16-1)*EXP(-0.5*(($A385-'Control Room'!$A$16-('Control Room'!$B$16-1)/2)/MAX(0.5,'Control Room'!$B$16/4))^2),1)</x:f>
        <x:v>1</x:v>
      </x:c>
      <x:c r="V385" s="9" t="n">
        <x:f>MOD(W384*16807,2147483647)</x:f>
        <x:v>1390726898</x:v>
      </x:c>
      <x:c r="W385" s="9" t="n">
        <x:f>MOD(V385*16807,2147483647)</x:f>
        <x:v>734960738</x:v>
      </x:c>
      <x:c r="X385" s="17" t="n">
        <x:f>IF('Control Room'!$B$5="Normal",'Control Room'!$B$7+'Control Room'!$D$7*SQRT(-2*LN(MAX(0.000000000001,V385/2147483647)))*COS(2*PI()*W385/2147483647),'Control Room'!$B$8+('Control Room'!$D$8-'Control Room'!$B$8)*V385/2147483647)</x:f>
        <x:v>954.0529724333447</x:v>
      </x:c>
      <x:c r="Y385" s="17" t="n">
        <x:f>IF('Control Room'!$B$5="Normal",'Control Room'!$B$7,('Control Room'!$B$8+'Control Room'!$D$8)/2)+'Control Room'!$B$9*(Y384-IF('Control Room'!$B$5="Normal",'Control Room'!$B$7,('Control Room'!$B$8+'Control Room'!$D$8)/2))+SQRT(1-'Control Room'!$B$9^2)*(X385-IF('Control Room'!$B$5="Normal",'Control Room'!$B$7,('Control Room'!$B$8+'Control Room'!$D$8)/2))</x:f>
        <x:v>951.6793157995152</x:v>
      </x:c>
      <x:c r="Z385" s="17" t="n">
        <x:f>IF(AND($A385&gt;='Control Room'!$A$13,$A385&lt;'Control Room'!$A$13+'Control Room'!$B$13,'Process'!BO2=1),1+('Control Room'!$C$13-1)*EXP(-0.5*(($A385-'Control Room'!$A$13-('Control Room'!$B$13-1)/2)/MAX(0.5,'Control Room'!$B$13/4))^2),1)*IF(AND($A385&gt;='Control Room'!$A$14,$A385&lt;'Control Room'!$A$14+'Control Room'!$B$14,'Process'!BO3=1),1+('Control Room'!$C$14-1)*EXP(-0.5*(($A385-'Control Room'!$A$14-('Control Room'!$B$14-1)/2)/MAX(0.5,'Control Room'!$B$14/4))^2),1)*IF(AND($A385&gt;='Control Room'!$A$15,$A385&lt;'Control Room'!$A$15+'Control Room'!$B$15,'Process'!BO4=1),1+('Control Room'!$C$15-1)*EXP(-0.5*(($A385-'Control Room'!$A$15-('Control Room'!$B$15-1)/2)/MAX(0.5,'Control Room'!$B$15/4))^2),1)*IF(AND($A385&gt;='Control Room'!$A$16,$A385&lt;'Control Room'!$A$16+'Control Room'!$B$16,'Process'!BO5=1),1+('Control Room'!$C$16-1)*EXP(-0.5*(($A385-'Control Room'!$A$16-('Control Room'!$B$16-1)/2)/MAX(0.5,'Control Room'!$B$16/4))^2),1)</x:f>
        <x:v>1</x:v>
      </x:c>
      <x:c r="AA385" s="9" t="n">
        <x:f>MOD(AB384*16807,2147483647)</x:f>
        <x:v>1893629879</x:v>
      </x:c>
      <x:c r="AB385" s="9" t="n">
        <x:f>MOD(AA385*16807,2147483647)</x:f>
        <x:v>529727813</x:v>
      </x:c>
      <x:c r="AC385" s="17" t="n">
        <x:f>IF('Control Room'!$B$5="Normal",'Control Room'!$B$7+'Control Room'!$D$7*SQRT(-2*LN(MAX(0.000000000001,AA385/2147483647)))*COS(2*PI()*AB385/2147483647),'Control Room'!$B$8+('Control Room'!$D$8-'Control Room'!$B$8)*AA385/2147483647)</x:f>
        <x:v>1000.9434197052143</x:v>
      </x:c>
      <x:c r="AD385" s="17" t="n">
        <x:f>IF('Control Room'!$B$5="Normal",'Control Room'!$B$7,('Control Room'!$B$8+'Control Room'!$D$8)/2)+'Control Room'!$B$9*(AD384-IF('Control Room'!$B$5="Normal",'Control Room'!$B$7,('Control Room'!$B$8+'Control Room'!$D$8)/2))+SQRT(1-'Control Room'!$B$9^2)*(AC385-IF('Control Room'!$B$5="Normal",'Control Room'!$B$7,('Control Room'!$B$8+'Control Room'!$D$8)/2))</x:f>
        <x:v>986.7610499482248</x:v>
      </x:c>
      <x:c r="AE385" s="17" t="n">
        <x:f>IF(AND($A385&gt;='Control Room'!$A$13,$A385&lt;'Control Room'!$A$13+'Control Room'!$B$13,'Process'!BP2=1),1+('Control Room'!$C$13-1)*EXP(-0.5*(($A385-'Control Room'!$A$13-('Control Room'!$B$13-1)/2)/MAX(0.5,'Control Room'!$B$13/4))^2),1)*IF(AND($A385&gt;='Control Room'!$A$14,$A385&lt;'Control Room'!$A$14+'Control Room'!$B$14,'Process'!BP3=1),1+('Control Room'!$C$14-1)*EXP(-0.5*(($A385-'Control Room'!$A$14-('Control Room'!$B$14-1)/2)/MAX(0.5,'Control Room'!$B$14/4))^2),1)*IF(AND($A385&gt;='Control Room'!$A$15,$A385&lt;'Control Room'!$A$15+'Control Room'!$B$15,'Process'!BP4=1),1+('Control Room'!$C$15-1)*EXP(-0.5*(($A385-'Control Room'!$A$15-('Control Room'!$B$15-1)/2)/MAX(0.5,'Control Room'!$B$15/4))^2),1)*IF(AND($A385&gt;='Control Room'!$A$16,$A385&lt;'Control Room'!$A$16+'Control Room'!$B$16,'Process'!BP5=1),1+('Control Room'!$C$16-1)*EXP(-0.5*(($A385-'Control Room'!$A$16-('Control Room'!$B$16-1)/2)/MAX(0.5,'Control Room'!$B$16/4))^2),1)</x:f>
        <x:v>1</x:v>
      </x:c>
      <x:c r="AF385" s="9" t="n">
        <x:f>MOD(AG384*16807,2147483647)</x:f>
        <x:v>249049213</x:v>
      </x:c>
      <x:c r="AG385" s="9" t="n">
        <x:f>MOD(AF385*16807,2147483647)</x:f>
        <x:v>324494888</x:v>
      </x:c>
      <x:c r="AH385" s="17" t="n">
        <x:f>IF('Control Room'!$B$5="Normal",'Control Room'!$B$7+'Control Room'!$D$7*SQRT(-2*LN(MAX(0.000000000001,AF385/2147483647)))*COS(2*PI()*AG385/2147483647),'Control Room'!$B$8+('Control Room'!$D$8-'Control Room'!$B$8)*AF385/2147483647)</x:f>
        <x:v>1108.7576898381485</x:v>
      </x:c>
      <x:c r="AI385" s="17" t="n">
        <x:f>IF('Control Room'!$B$5="Normal",'Control Room'!$B$7,('Control Room'!$B$8+'Control Room'!$D$8)/2)+'Control Room'!$B$9*(AI384-IF('Control Room'!$B$5="Normal",'Control Room'!$B$7,('Control Room'!$B$8+'Control Room'!$D$8)/2))+SQRT(1-'Control Room'!$B$9^2)*(AH385-IF('Control Room'!$B$5="Normal",'Control Room'!$B$7,('Control Room'!$B$8+'Control Room'!$D$8)/2))</x:f>
        <x:v>1125.580482088837</x:v>
      </x:c>
      <x:c r="AJ385" s="17" t="n">
        <x:f>IF(AND($A385&gt;='Control Room'!$A$13,$A385&lt;'Control Room'!$A$13+'Control Room'!$B$13,'Process'!BQ2=1),1+('Control Room'!$C$13-1)*EXP(-0.5*(($A385-'Control Room'!$A$13-('Control Room'!$B$13-1)/2)/MAX(0.5,'Control Room'!$B$13/4))^2),1)*IF(AND($A385&gt;='Control Room'!$A$14,$A385&lt;'Control Room'!$A$14+'Control Room'!$B$14,'Process'!BQ3=1),1+('Control Room'!$C$14-1)*EXP(-0.5*(($A385-'Control Room'!$A$14-('Control Room'!$B$14-1)/2)/MAX(0.5,'Control Room'!$B$14/4))^2),1)*IF(AND($A385&gt;='Control Room'!$A$15,$A385&lt;'Control Room'!$A$15+'Control Room'!$B$15,'Process'!BQ4=1),1+('Control Room'!$C$15-1)*EXP(-0.5*(($A385-'Control Room'!$A$15-('Control Room'!$B$15-1)/2)/MAX(0.5,'Control Room'!$B$15/4))^2),1)*IF(AND($A385&gt;='Control Room'!$A$16,$A385&lt;'Control Room'!$A$16+'Control Room'!$B$16,'Process'!BQ5=1),1+('Control Room'!$C$16-1)*EXP(-0.5*(($A385-'Control Room'!$A$16-('Control Room'!$B$16-1)/2)/MAX(0.5,'Control Room'!$B$16/4))^2),1)</x:f>
        <x:v>1</x:v>
      </x:c>
      <x:c r="AK385" s="9" t="n">
        <x:f>MOD(AL384*16807,2147483647)</x:f>
        <x:v>751952194</x:v>
      </x:c>
      <x:c r="AL385" s="9" t="n">
        <x:f>MOD(AK385*16807,2147483647)</x:f>
        <x:v>119261963</x:v>
      </x:c>
      <x:c r="AM385" s="17" t="n">
        <x:f>IF('Control Room'!$B$5="Normal",'Control Room'!$B$7+'Control Room'!$D$7*SQRT(-2*LN(MAX(0.000000000001,AK385/2147483647)))*COS(2*PI()*AL385/2147483647),'Control Room'!$B$8+('Control Room'!$D$8-'Control Room'!$B$8)*AK385/2147483647)</x:f>
        <x:v>1122.5262960199527</x:v>
      </x:c>
      <x:c r="AN385" s="17" t="n">
        <x:f>IF('Control Room'!$B$5="Normal",'Control Room'!$B$7,('Control Room'!$B$8+'Control Room'!$D$8)/2)+'Control Room'!$B$9*(AN384-IF('Control Room'!$B$5="Normal",'Control Room'!$B$7,('Control Room'!$B$8+'Control Room'!$D$8)/2))+SQRT(1-'Control Room'!$B$9^2)*(AM385-IF('Control Room'!$B$5="Normal",'Control Room'!$B$7,('Control Room'!$B$8+'Control Room'!$D$8)/2))</x:f>
        <x:v>1003.1704012596937</x:v>
      </x:c>
      <x:c r="AO385" s="17" t="n">
        <x:f>IF(AND($A385&gt;='Control Room'!$A$13,$A385&lt;'Control Room'!$A$13+'Control Room'!$B$13,'Process'!BR2=1),1+('Control Room'!$C$13-1)*EXP(-0.5*(($A385-'Control Room'!$A$13-('Control Room'!$B$13-1)/2)/MAX(0.5,'Control Room'!$B$13/4))^2),1)*IF(AND($A385&gt;='Control Room'!$A$14,$A385&lt;'Control Room'!$A$14+'Control Room'!$B$14,'Process'!BR3=1),1+('Control Room'!$C$14-1)*EXP(-0.5*(($A385-'Control Room'!$A$14-('Control Room'!$B$14-1)/2)/MAX(0.5,'Control Room'!$B$14/4))^2),1)*IF(AND($A385&gt;='Control Room'!$A$15,$A385&lt;'Control Room'!$A$15+'Control Room'!$B$15,'Process'!BR4=1),1+('Control Room'!$C$15-1)*EXP(-0.5*(($A385-'Control Room'!$A$15-('Control Room'!$B$15-1)/2)/MAX(0.5,'Control Room'!$B$15/4))^2),1)*IF(AND($A385&gt;='Control Room'!$A$16,$A385&lt;'Control Room'!$A$16+'Control Room'!$B$16,'Process'!BR5=1),1+('Control Room'!$C$16-1)*EXP(-0.5*(($A385-'Control Room'!$A$16-('Control Room'!$B$16-1)/2)/MAX(0.5,'Control Room'!$B$16/4))^2),1)</x:f>
        <x:v>1</x:v>
      </x:c>
      <x:c r="AP385" s="9" t="n">
        <x:f>MOD(AQ384*16807,2147483647)</x:f>
        <x:v>1254855175</x:v>
      </x:c>
      <x:c r="AQ385" s="9" t="n">
        <x:f>MOD(AP385*16807,2147483647)</x:f>
        <x:v>2061512685</x:v>
      </x:c>
      <x:c r="AR385" s="17" t="n">
        <x:f>IF('Control Room'!$B$5="Normal",'Control Room'!$B$7+'Control Room'!$D$7*SQRT(-2*LN(MAX(0.000000000001,AP385/2147483647)))*COS(2*PI()*AQ385/2147483647),'Control Room'!$B$8+('Control Room'!$D$8-'Control Room'!$B$8)*AP385/2147483647)</x:f>
        <x:v>1090.3587067803276</x:v>
      </x:c>
      <x:c r="AS385" s="17" t="n">
        <x:f>IF('Control Room'!$B$5="Normal",'Control Room'!$B$7,('Control Room'!$B$8+'Control Room'!$D$8)/2)+'Control Room'!$B$9*(AS384-IF('Control Room'!$B$5="Normal",'Control Room'!$B$7,('Control Room'!$B$8+'Control Room'!$D$8)/2))+SQRT(1-'Control Room'!$B$9^2)*(AR385-IF('Control Room'!$B$5="Normal",'Control Room'!$B$7,('Control Room'!$B$8+'Control Room'!$D$8)/2))</x:f>
        <x:v>1068.9973234707059</x:v>
      </x:c>
      <x:c r="AT385" s="17" t="n">
        <x:f>IF(AND($A385&gt;='Control Room'!$A$13,$A385&lt;'Control Room'!$A$13+'Control Room'!$B$13,'Process'!BS2=1),1+('Control Room'!$C$13-1)*EXP(-0.5*(($A385-'Control Room'!$A$13-('Control Room'!$B$13-1)/2)/MAX(0.5,'Control Room'!$B$13/4))^2),1)*IF(AND($A385&gt;='Control Room'!$A$14,$A385&lt;'Control Room'!$A$14+'Control Room'!$B$14,'Process'!BS3=1),1+('Control Room'!$C$14-1)*EXP(-0.5*(($A385-'Control Room'!$A$14-('Control Room'!$B$14-1)/2)/MAX(0.5,'Control Room'!$B$14/4))^2),1)*IF(AND($A385&gt;='Control Room'!$A$15,$A385&lt;'Control Room'!$A$15+'Control Room'!$B$15,'Process'!BS4=1),1+('Control Room'!$C$15-1)*EXP(-0.5*(($A385-'Control Room'!$A$15-('Control Room'!$B$15-1)/2)/MAX(0.5,'Control Room'!$B$15/4))^2),1)*IF(AND($A385&gt;='Control Room'!$A$16,$A385&lt;'Control Room'!$A$16+'Control Room'!$B$16,'Process'!BS5=1),1+('Control Room'!$C$16-1)*EXP(-0.5*(($A385-'Control Room'!$A$16-('Control Room'!$B$16-1)/2)/MAX(0.5,'Control Room'!$B$16/4))^2),1)</x:f>
        <x:v>1</x:v>
      </x:c>
      <x:c r="AU385" s="9" t="n">
        <x:f>MOD(AV384*16807,2147483647)</x:f>
        <x:v>1757758156</x:v>
      </x:c>
      <x:c r="AV385" s="9" t="n">
        <x:f>MOD(AU385*16807,2147483647)</x:f>
        <x:v>1856279760</x:v>
      </x:c>
      <x:c r="AW385" s="17" t="n">
        <x:f>IF('Control Room'!$B$5="Normal",'Control Room'!$B$7+'Control Room'!$D$7*SQRT(-2*LN(MAX(0.000000000001,AU385/2147483647)))*COS(2*PI()*AV385/2147483647),'Control Room'!$B$8+('Control Room'!$D$8-'Control Room'!$B$8)*AU385/2147483647)</x:f>
        <x:v>1037.5047841757257</x:v>
      </x:c>
      <x:c r="AX385" s="17" t="n">
        <x:f>IF('Control Room'!$B$5="Normal",'Control Room'!$B$7,('Control Room'!$B$8+'Control Room'!$D$8)/2)+'Control Room'!$B$9*(AX384-IF('Control Room'!$B$5="Normal",'Control Room'!$B$7,('Control Room'!$B$8+'Control Room'!$D$8)/2))+SQRT(1-'Control Room'!$B$9^2)*(AW385-IF('Control Room'!$B$5="Normal",'Control Room'!$B$7,('Control Room'!$B$8+'Control Room'!$D$8)/2))</x:f>
        <x:v>1071.1569489591463</x:v>
      </x:c>
      <x:c r="AY385" s="17" t="n">
        <x:f>IF(AND($A385&gt;='Control Room'!$A$13,$A385&lt;'Control Room'!$A$13+'Control Room'!$B$13,'Process'!BT2=1),1+('Control Room'!$C$13-1)*EXP(-0.5*(($A385-'Control Room'!$A$13-('Control Room'!$B$13-1)/2)/MAX(0.5,'Control Room'!$B$13/4))^2),1)*IF(AND($A385&gt;='Control Room'!$A$14,$A385&lt;'Control Room'!$A$14+'Control Room'!$B$14,'Process'!BT3=1),1+('Control Room'!$C$14-1)*EXP(-0.5*(($A385-'Control Room'!$A$14-('Control Room'!$B$14-1)/2)/MAX(0.5,'Control Room'!$B$14/4))^2),1)*IF(AND($A385&gt;='Control Room'!$A$15,$A385&lt;'Control Room'!$A$15+'Control Room'!$B$15,'Process'!BT4=1),1+('Control Room'!$C$15-1)*EXP(-0.5*(($A385-'Control Room'!$A$15-('Control Room'!$B$15-1)/2)/MAX(0.5,'Control Room'!$B$15/4))^2),1)*IF(AND($A385&gt;='Control Room'!$A$16,$A385&lt;'Control Room'!$A$16+'Control Room'!$B$16,'Process'!BT5=1),1+('Control Room'!$C$16-1)*EXP(-0.5*(($A385-'Control Room'!$A$16-('Control Room'!$B$16-1)/2)/MAX(0.5,'Control Room'!$B$16/4))^2),1)</x:f>
        <x:v>1</x:v>
      </x:c>
      <x:c r="AZ385" s="9" t="n">
        <x:f>MOD(BA384*16807,2147483647)</x:f>
        <x:v>113177490</x:v>
      </x:c>
      <x:c r="BA385" s="9" t="n">
        <x:f>MOD(AZ385*16807,2147483647)</x:f>
        <x:v>1651046835</x:v>
      </x:c>
      <x:c r="BB385" s="17" t="n">
        <x:f>IF('Control Room'!$B$5="Normal",'Control Room'!$B$7+'Control Room'!$D$7*SQRT(-2*LN(MAX(0.000000000001,AZ385/2147483647)))*COS(2*PI()*BA385/2147483647),'Control Room'!$B$8+('Control Room'!$D$8-'Control Room'!$B$8)*AZ385/2147483647)</x:f>
        <x:v>1025.7717489574022</x:v>
      </x:c>
      <x:c r="BC385" s="17" t="n">
        <x:f>IF('Control Room'!$B$5="Normal",'Control Room'!$B$7,('Control Room'!$B$8+'Control Room'!$D$8)/2)+'Control Room'!$B$9*(BC384-IF('Control Room'!$B$5="Normal",'Control Room'!$B$7,('Control Room'!$B$8+'Control Room'!$D$8)/2))+SQRT(1-'Control Room'!$B$9^2)*(BB385-IF('Control Room'!$B$5="Normal",'Control Room'!$B$7,('Control Room'!$B$8+'Control Room'!$D$8)/2))</x:f>
        <x:v>1030.6883130439617</x:v>
      </x:c>
      <x:c r="BD385" s="17" t="n">
        <x:f>IF(AND($A385&gt;='Control Room'!$A$13,$A385&lt;'Control Room'!$A$13+'Control Room'!$B$13,'Process'!BU2=1),1+('Control Room'!$C$13-1)*EXP(-0.5*(($A385-'Control Room'!$A$13-('Control Room'!$B$13-1)/2)/MAX(0.5,'Control Room'!$B$13/4))^2),1)*IF(AND($A385&gt;='Control Room'!$A$14,$A385&lt;'Control Room'!$A$14+'Control Room'!$B$14,'Process'!BU3=1),1+('Control Room'!$C$14-1)*EXP(-0.5*(($A385-'Control Room'!$A$14-('Control Room'!$B$14-1)/2)/MAX(0.5,'Control Room'!$B$14/4))^2),1)*IF(AND($A385&gt;='Control Room'!$A$15,$A385&lt;'Control Room'!$A$15+'Control Room'!$B$15,'Process'!BU4=1),1+('Control Room'!$C$15-1)*EXP(-0.5*(($A385-'Control Room'!$A$15-('Control Room'!$B$15-1)/2)/MAX(0.5,'Control Room'!$B$15/4))^2),1)*IF(AND($A385&gt;='Control Room'!$A$16,$A385&lt;'Control Room'!$A$16+'Control Room'!$B$16,'Process'!BU5=1),1+('Control Room'!$C$16-1)*EXP(-0.5*(($A385-'Control Room'!$A$16-('Control Room'!$B$16-1)/2)/MAX(0.5,'Control Room'!$B$16/4))^2),1)</x:f>
        <x:v>1</x:v>
      </x:c>
      <x:c r="BE385" s="9" t="n">
        <x:f>MOD(BF384*16807,2147483647)</x:f>
        <x:v>616080471</x:v>
      </x:c>
      <x:c r="BF385" s="9" t="n">
        <x:f>MOD(BE385*16807,2147483647)</x:f>
        <x:v>1445813910</x:v>
      </x:c>
      <x:c r="BG385" s="17" t="n">
        <x:f>IF('Control Room'!$B$5="Normal",'Control Room'!$B$7+'Control Room'!$D$7*SQRT(-2*LN(MAX(0.000000000001,BE385/2147483647)))*COS(2*PI()*BF385/2147483647),'Control Room'!$B$8+('Control Room'!$D$8-'Control Room'!$B$8)*BE385/2147483647)</x:f>
        <x:v>934.0483721689692</x:v>
      </x:c>
      <x:c r="BH385" s="17" t="n">
        <x:f>IF('Control Room'!$B$5="Normal",'Control Room'!$B$7,('Control Room'!$B$8+'Control Room'!$D$8)/2)+'Control Room'!$B$9*(BH384-IF('Control Room'!$B$5="Normal",'Control Room'!$B$7,('Control Room'!$B$8+'Control Room'!$D$8)/2))+SQRT(1-'Control Room'!$B$9^2)*(BG385-IF('Control Room'!$B$5="Normal",'Control Room'!$B$7,('Control Room'!$B$8+'Control Room'!$D$8)/2))</x:f>
        <x:v>1060.7307087803235</x:v>
      </x:c>
      <x:c r="BI385" s="17" t="n">
        <x:f>IF(AND($A385&gt;='Control Room'!$A$13,$A385&lt;'Control Room'!$A$13+'Control Room'!$B$13,'Process'!BV2=1),1+('Control Room'!$C$13-1)*EXP(-0.5*(($A385-'Control Room'!$A$13-('Control Room'!$B$13-1)/2)/MAX(0.5,'Control Room'!$B$13/4))^2),1)*IF(AND($A385&gt;='Control Room'!$A$14,$A385&lt;'Control Room'!$A$14+'Control Room'!$B$14,'Process'!BV3=1),1+('Control Room'!$C$14-1)*EXP(-0.5*(($A385-'Control Room'!$A$14-('Control Room'!$B$14-1)/2)/MAX(0.5,'Control Room'!$B$14/4))^2),1)*IF(AND($A385&gt;='Control Room'!$A$15,$A385&lt;'Control Room'!$A$15+'Control Room'!$B$15,'Process'!BV4=1),1+('Control Room'!$C$15-1)*EXP(-0.5*(($A385-'Control Room'!$A$15-('Control Room'!$B$15-1)/2)/MAX(0.5,'Control Room'!$B$15/4))^2),1)*IF(AND($A385&gt;='Control Room'!$A$16,$A385&lt;'Control Room'!$A$16+'Control Room'!$B$16,'Process'!BV5=1),1+('Control Room'!$C$16-1)*EXP(-0.5*(($A385-'Control Room'!$A$16-('Control Room'!$B$16-1)/2)/MAX(0.5,'Control Room'!$B$16/4))^2),1)</x:f>
        <x:v>1</x:v>
      </x:c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Z385" t="str">
        <x:f>IF('Data'!A385="","",TEXT('Data'!A385,"mm-dd"))</x:f>
      </x:c>
    </x:row>
    <x:row r="386" ht="21" customHeight="1">
      <x:c r="A386" s="15" t="n">
        <x:f>'Control Room'!$B$1+384</x:f>
        <x:v>73375</x:v>
      </x:c>
      <x:c r="B386" s="9" t="n">
        <x:f>MOD(C385*16807,2147483647)</x:f>
        <x:v>2123319594</x:v>
      </x:c>
      <x:c r="C386" s="9" t="n">
        <x:f>MOD(B386*16807,2147483647)</x:f>
        <x:v>1896654159</x:v>
      </x:c>
      <x:c r="D386" s="17" t="n">
        <x:f>IF('Control Room'!$B$5="Normal",'Control Room'!$B$7+'Control Room'!$D$7*SQRT(-2*LN(MAX(0.000000000001,B386/2147483647)))*COS(2*PI()*C386/2147483647),'Control Room'!$B$8+('Control Room'!$D$8-'Control Room'!$B$8)*B386/2147483647)</x:f>
        <x:v>1010.0541791782794</x:v>
      </x:c>
      <x:c r="E386" s="17" t="n">
        <x:f>IF('Control Room'!$B$5="Normal",'Control Room'!$B$7,('Control Room'!$B$8+'Control Room'!$D$8)/2)+'Control Room'!$B$9*(E385-IF('Control Room'!$B$5="Normal",'Control Room'!$B$7,('Control Room'!$B$8+'Control Room'!$D$8)/2))+SQRT(1-'Control Room'!$B$9^2)*(D386-IF('Control Room'!$B$5="Normal",'Control Room'!$B$7,('Control Room'!$B$8+'Control Room'!$D$8)/2))</x:f>
        <x:v>982.060321465553</x:v>
      </x:c>
      <x:c r="F386" s="17" t="n">
        <x:f>IF(AND($A386&gt;='Control Room'!$A$13,$A386&lt;'Control Room'!$A$13+'Control Room'!$B$13,'Process'!BK2=1),1+('Control Room'!$C$13-1)*EXP(-0.5*(($A386-'Control Room'!$A$13-('Control Room'!$B$13-1)/2)/MAX(0.5,'Control Room'!$B$13/4))^2),1)*IF(AND($A386&gt;='Control Room'!$A$14,$A386&lt;'Control Room'!$A$14+'Control Room'!$B$14,'Process'!BK3=1),1+('Control Room'!$C$14-1)*EXP(-0.5*(($A386-'Control Room'!$A$14-('Control Room'!$B$14-1)/2)/MAX(0.5,'Control Room'!$B$14/4))^2),1)*IF(AND($A386&gt;='Control Room'!$A$15,$A386&lt;'Control Room'!$A$15+'Control Room'!$B$15,'Process'!BK4=1),1+('Control Room'!$C$15-1)*EXP(-0.5*(($A386-'Control Room'!$A$15-('Control Room'!$B$15-1)/2)/MAX(0.5,'Control Room'!$B$15/4))^2),1)*IF(AND($A386&gt;='Control Room'!$A$16,$A386&lt;'Control Room'!$A$16+'Control Room'!$B$16,'Process'!BK5=1),1+('Control Room'!$C$16-1)*EXP(-0.5*(($A386-'Control Room'!$A$16-('Control Room'!$B$16-1)/2)/MAX(0.5,'Control Room'!$B$16/4))^2),1)</x:f>
        <x:v>1</x:v>
      </x:c>
      <x:c r="G386" s="9" t="n">
        <x:f>MOD(H385*16807,2147483647)</x:f>
        <x:v>1632286201</x:v>
      </x:c>
      <x:c r="H386" s="9" t="n">
        <x:f>MOD(G386*16807,2147483647)</x:f>
        <x:v>1878073429</x:v>
      </x:c>
      <x:c r="I386" s="17" t="n">
        <x:f>IF('Control Room'!$B$5="Normal",'Control Room'!$B$7+'Control Room'!$D$7*SQRT(-2*LN(MAX(0.000000000001,G386/2147483647)))*COS(2*PI()*H386/2147483647),'Control Room'!$B$8+('Control Room'!$D$8-'Control Room'!$B$8)*G386/2147483647)</x:f>
        <x:v>1047.0029658114995</x:v>
      </x:c>
      <x:c r="J386" s="17" t="n">
        <x:f>IF('Control Room'!$B$5="Normal",'Control Room'!$B$7,('Control Room'!$B$8+'Control Room'!$D$8)/2)+'Control Room'!$B$9*(J385-IF('Control Room'!$B$5="Normal",'Control Room'!$B$7,('Control Room'!$B$8+'Control Room'!$D$8)/2))+SQRT(1-'Control Room'!$B$9^2)*(I386-IF('Control Room'!$B$5="Normal",'Control Room'!$B$7,('Control Room'!$B$8+'Control Room'!$D$8)/2))</x:f>
        <x:v>1028.5406695600886</x:v>
      </x:c>
      <x:c r="K386" s="17" t="n">
        <x:f>IF(AND($A386&gt;='Control Room'!$A$13,$A386&lt;'Control Room'!$A$13+'Control Room'!$B$13,'Process'!BL2=1),1+('Control Room'!$C$13-1)*EXP(-0.5*(($A386-'Control Room'!$A$13-('Control Room'!$B$13-1)/2)/MAX(0.5,'Control Room'!$B$13/4))^2),1)*IF(AND($A386&gt;='Control Room'!$A$14,$A386&lt;'Control Room'!$A$14+'Control Room'!$B$14,'Process'!BL3=1),1+('Control Room'!$C$14-1)*EXP(-0.5*(($A386-'Control Room'!$A$14-('Control Room'!$B$14-1)/2)/MAX(0.5,'Control Room'!$B$14/4))^2),1)*IF(AND($A386&gt;='Control Room'!$A$15,$A386&lt;'Control Room'!$A$15+'Control Room'!$B$15,'Process'!BL4=1),1+('Control Room'!$C$15-1)*EXP(-0.5*(($A386-'Control Room'!$A$15-('Control Room'!$B$15-1)/2)/MAX(0.5,'Control Room'!$B$15/4))^2),1)*IF(AND($A386&gt;='Control Room'!$A$16,$A386&lt;'Control Room'!$A$16+'Control Room'!$B$16,'Process'!BL5=1),1+('Control Room'!$C$16-1)*EXP(-0.5*(($A386-'Control Room'!$A$16-('Control Room'!$B$16-1)/2)/MAX(0.5,'Control Room'!$B$16/4))^2),1)</x:f>
        <x:v>1</x:v>
      </x:c>
      <x:c r="L386" s="9" t="n">
        <x:f>MOD(M385*16807,2147483647)</x:f>
        <x:v>1141252808</x:v>
      </x:c>
      <x:c r="M386" s="9" t="n">
        <x:f>MOD(L386*16807,2147483647)</x:f>
        <x:v>1859492699</x:v>
      </x:c>
      <x:c r="N386" s="17" t="n">
        <x:f>IF('Control Room'!$B$5="Normal",'Control Room'!$B$7+'Control Room'!$D$7*SQRT(-2*LN(MAX(0.000000000001,L386/2147483647)))*COS(2*PI()*M386/2147483647),'Control Room'!$B$8+('Control Room'!$D$8-'Control Room'!$B$8)*L386/2147483647)</x:f>
        <x:v>1067.3490644375343</x:v>
      </x:c>
      <x:c r="O386" s="17" t="n">
        <x:f>IF('Control Room'!$B$5="Normal",'Control Room'!$B$7,('Control Room'!$B$8+'Control Room'!$D$8)/2)+'Control Room'!$B$9*(O385-IF('Control Room'!$B$5="Normal",'Control Room'!$B$7,('Control Room'!$B$8+'Control Room'!$D$8)/2))+SQRT(1-'Control Room'!$B$9^2)*(N386-IF('Control Room'!$B$5="Normal",'Control Room'!$B$7,('Control Room'!$B$8+'Control Room'!$D$8)/2))</x:f>
        <x:v>960.3798762510615</x:v>
      </x:c>
      <x:c r="P386" s="17" t="n">
        <x:f>IF(AND($A386&gt;='Control Room'!$A$13,$A386&lt;'Control Room'!$A$13+'Control Room'!$B$13,'Process'!BM2=1),1+('Control Room'!$C$13-1)*EXP(-0.5*(($A386-'Control Room'!$A$13-('Control Room'!$B$13-1)/2)/MAX(0.5,'Control Room'!$B$13/4))^2),1)*IF(AND($A386&gt;='Control Room'!$A$14,$A386&lt;'Control Room'!$A$14+'Control Room'!$B$14,'Process'!BM3=1),1+('Control Room'!$C$14-1)*EXP(-0.5*(($A386-'Control Room'!$A$14-('Control Room'!$B$14-1)/2)/MAX(0.5,'Control Room'!$B$14/4))^2),1)*IF(AND($A386&gt;='Control Room'!$A$15,$A386&lt;'Control Room'!$A$15+'Control Room'!$B$15,'Process'!BM4=1),1+('Control Room'!$C$15-1)*EXP(-0.5*(($A386-'Control Room'!$A$15-('Control Room'!$B$15-1)/2)/MAX(0.5,'Control Room'!$B$15/4))^2),1)*IF(AND($A386&gt;='Control Room'!$A$16,$A386&lt;'Control Room'!$A$16+'Control Room'!$B$16,'Process'!BM5=1),1+('Control Room'!$C$16-1)*EXP(-0.5*(($A386-'Control Room'!$A$16-('Control Room'!$B$16-1)/2)/MAX(0.5,'Control Room'!$B$16/4))^2),1)</x:f>
        <x:v>1</x:v>
      </x:c>
      <x:c r="Q386" s="9" t="n">
        <x:f>MOD(R385*16807,2147483647)</x:f>
        <x:v>650219415</x:v>
      </x:c>
      <x:c r="R386" s="9" t="n">
        <x:f>MOD(Q386*16807,2147483647)</x:f>
        <x:v>1840911969</x:v>
      </x:c>
      <x:c r="S386" s="17" t="n">
        <x:f>IF('Control Room'!$B$5="Normal",'Control Room'!$B$7+'Control Room'!$D$7*SQRT(-2*LN(MAX(0.000000000001,Q386/2147483647)))*COS(2*PI()*R386/2147483647),'Control Room'!$B$8+('Control Room'!$D$8-'Control Room'!$B$8)*Q386/2147483647)</x:f>
        <x:v>1086.808262139789</x:v>
      </x:c>
      <x:c r="T386" s="17" t="n">
        <x:f>IF('Control Room'!$B$5="Normal",'Control Room'!$B$7,('Control Room'!$B$8+'Control Room'!$D$8)/2)+'Control Room'!$B$9*(T385-IF('Control Room'!$B$5="Normal",'Control Room'!$B$7,('Control Room'!$B$8+'Control Room'!$D$8)/2))+SQRT(1-'Control Room'!$B$9^2)*(S386-IF('Control Room'!$B$5="Normal",'Control Room'!$B$7,('Control Room'!$B$8+'Control Room'!$D$8)/2))</x:f>
        <x:v>1009.9728235030718</x:v>
      </x:c>
      <x:c r="U386" s="17" t="n">
        <x:f>IF(AND($A386&gt;='Control Room'!$A$13,$A386&lt;'Control Room'!$A$13+'Control Room'!$B$13,'Process'!BN2=1),1+('Control Room'!$C$13-1)*EXP(-0.5*(($A386-'Control Room'!$A$13-('Control Room'!$B$13-1)/2)/MAX(0.5,'Control Room'!$B$13/4))^2),1)*IF(AND($A386&gt;='Control Room'!$A$14,$A386&lt;'Control Room'!$A$14+'Control Room'!$B$14,'Process'!BN3=1),1+('Control Room'!$C$14-1)*EXP(-0.5*(($A386-'Control Room'!$A$14-('Control Room'!$B$14-1)/2)/MAX(0.5,'Control Room'!$B$14/4))^2),1)*IF(AND($A386&gt;='Control Room'!$A$15,$A386&lt;'Control Room'!$A$15+'Control Room'!$B$15,'Process'!BN4=1),1+('Control Room'!$C$15-1)*EXP(-0.5*(($A386-'Control Room'!$A$15-('Control Room'!$B$15-1)/2)/MAX(0.5,'Control Room'!$B$15/4))^2),1)*IF(AND($A386&gt;='Control Room'!$A$16,$A386&lt;'Control Room'!$A$16+'Control Room'!$B$16,'Process'!BN5=1),1+('Control Room'!$C$16-1)*EXP(-0.5*(($A386-'Control Room'!$A$16-('Control Room'!$B$16-1)/2)/MAX(0.5,'Control Room'!$B$16/4))^2),1)</x:f>
        <x:v>1</x:v>
      </x:c>
      <x:c r="V386" s="9" t="n">
        <x:f>MOD(W385*16807,2147483647)</x:f>
        <x:v>159186022</x:v>
      </x:c>
      <x:c r="W386" s="9" t="n">
        <x:f>MOD(V386*16807,2147483647)</x:f>
        <x:v>1822331239</x:v>
      </x:c>
      <x:c r="X386" s="17" t="n">
        <x:f>IF('Control Room'!$B$5="Normal",'Control Room'!$B$7+'Control Room'!$D$7*SQRT(-2*LN(MAX(0.000000000001,V386/2147483647)))*COS(2*PI()*W386/2147483647),'Control Room'!$B$8+('Control Room'!$D$8-'Control Room'!$B$8)*V386/2147483647)</x:f>
        <x:v>1119.2008154715477</x:v>
      </x:c>
      <x:c r="Y386" s="17" t="n">
        <x:f>IF('Control Room'!$B$5="Normal",'Control Room'!$B$7,('Control Room'!$B$8+'Control Room'!$D$8)/2)+'Control Room'!$B$9*(Y385-IF('Control Room'!$B$5="Normal",'Control Room'!$B$7,('Control Room'!$B$8+'Control Room'!$D$8)/2))+SQRT(1-'Control Room'!$B$9^2)*(X386-IF('Control Room'!$B$5="Normal",'Control Room'!$B$7,('Control Room'!$B$8+'Control Room'!$D$8)/2))</x:f>
        <x:v>1036.903294684279</x:v>
      </x:c>
      <x:c r="Z386" s="17" t="n">
        <x:f>IF(AND($A386&gt;='Control Room'!$A$13,$A386&lt;'Control Room'!$A$13+'Control Room'!$B$13,'Process'!BO2=1),1+('Control Room'!$C$13-1)*EXP(-0.5*(($A386-'Control Room'!$A$13-('Control Room'!$B$13-1)/2)/MAX(0.5,'Control Room'!$B$13/4))^2),1)*IF(AND($A386&gt;='Control Room'!$A$14,$A386&lt;'Control Room'!$A$14+'Control Room'!$B$14,'Process'!BO3=1),1+('Control Room'!$C$14-1)*EXP(-0.5*(($A386-'Control Room'!$A$14-('Control Room'!$B$14-1)/2)/MAX(0.5,'Control Room'!$B$14/4))^2),1)*IF(AND($A386&gt;='Control Room'!$A$15,$A386&lt;'Control Room'!$A$15+'Control Room'!$B$15,'Process'!BO4=1),1+('Control Room'!$C$15-1)*EXP(-0.5*(($A386-'Control Room'!$A$15-('Control Room'!$B$15-1)/2)/MAX(0.5,'Control Room'!$B$15/4))^2),1)*IF(AND($A386&gt;='Control Room'!$A$16,$A386&lt;'Control Room'!$A$16+'Control Room'!$B$16,'Process'!BO5=1),1+('Control Room'!$C$16-1)*EXP(-0.5*(($A386-'Control Room'!$A$16-('Control Room'!$B$16-1)/2)/MAX(0.5,'Control Room'!$B$16/4))^2),1)</x:f>
        <x:v>1</x:v>
      </x:c>
      <x:c r="AA386" s="9" t="n">
        <x:f>MOD(AB385*16807,2147483647)</x:f>
        <x:v>1815636276</x:v>
      </x:c>
      <x:c r="AB386" s="9" t="n">
        <x:f>MOD(AA386*16807,2147483647)</x:f>
        <x:v>1803750509</x:v>
      </x:c>
      <x:c r="AC386" s="17" t="n">
        <x:f>IF('Control Room'!$B$5="Normal",'Control Room'!$B$7+'Control Room'!$D$7*SQRT(-2*LN(MAX(0.000000000001,AA386/2147483647)))*COS(2*PI()*AB386/2147483647),'Control Room'!$B$8+('Control Room'!$D$8-'Control Room'!$B$8)*AA386/2147483647)</x:f>
        <x:v>1027.9244500324737</x:v>
      </x:c>
      <x:c r="AD386" s="17" t="n">
        <x:f>IF('Control Room'!$B$5="Normal",'Control Room'!$B$7,('Control Room'!$B$8+'Control Room'!$D$8)/2)+'Control Room'!$B$9*(AD385-IF('Control Room'!$B$5="Normal",'Control Room'!$B$7,('Control Room'!$B$8+'Control Room'!$D$8)/2))+SQRT(1-'Control Room'!$B$9^2)*(AC386-IF('Control Room'!$B$5="Normal",'Control Room'!$B$7,('Control Room'!$B$8+'Control Room'!$D$8)/2))</x:f>
        <x:v>1007.1481677264841</x:v>
      </x:c>
      <x:c r="AE386" s="17" t="n">
        <x:f>IF(AND($A386&gt;='Control Room'!$A$13,$A386&lt;'Control Room'!$A$13+'Control Room'!$B$13,'Process'!BP2=1),1+('Control Room'!$C$13-1)*EXP(-0.5*(($A386-'Control Room'!$A$13-('Control Room'!$B$13-1)/2)/MAX(0.5,'Control Room'!$B$13/4))^2),1)*IF(AND($A386&gt;='Control Room'!$A$14,$A386&lt;'Control Room'!$A$14+'Control Room'!$B$14,'Process'!BP3=1),1+('Control Room'!$C$14-1)*EXP(-0.5*(($A386-'Control Room'!$A$14-('Control Room'!$B$14-1)/2)/MAX(0.5,'Control Room'!$B$14/4))^2),1)*IF(AND($A386&gt;='Control Room'!$A$15,$A386&lt;'Control Room'!$A$15+'Control Room'!$B$15,'Process'!BP4=1),1+('Control Room'!$C$15-1)*EXP(-0.5*(($A386-'Control Room'!$A$15-('Control Room'!$B$15-1)/2)/MAX(0.5,'Control Room'!$B$15/4))^2),1)*IF(AND($A386&gt;='Control Room'!$A$16,$A386&lt;'Control Room'!$A$16+'Control Room'!$B$16,'Process'!BP5=1),1+('Control Room'!$C$16-1)*EXP(-0.5*(($A386-'Control Room'!$A$16-('Control Room'!$B$16-1)/2)/MAX(0.5,'Control Room'!$B$16/4))^2),1)</x:f>
        <x:v>1</x:v>
      </x:c>
      <x:c r="AF386" s="9" t="n">
        <x:f>MOD(AG385*16807,2147483647)</x:f>
        <x:v>1324602883</x:v>
      </x:c>
      <x:c r="AG386" s="9" t="n">
        <x:f>MOD(AF386*16807,2147483647)</x:f>
        <x:v>1785169779</x:v>
      </x:c>
      <x:c r="AH386" s="17" t="n">
        <x:f>IF('Control Room'!$B$5="Normal",'Control Room'!$B$7+'Control Room'!$D$7*SQRT(-2*LN(MAX(0.000000000001,AF386/2147483647)))*COS(2*PI()*AG386/2147483647),'Control Room'!$B$8+('Control Room'!$D$8-'Control Room'!$B$8)*AF386/2147483647)</x:f>
        <x:v>1043.2468023921094</x:v>
      </x:c>
      <x:c r="AI386" s="17" t="n">
        <x:f>IF('Control Room'!$B$5="Normal",'Control Room'!$B$7,('Control Room'!$B$8+'Control Room'!$D$8)/2)+'Control Room'!$B$9*(AI385-IF('Control Room'!$B$5="Normal",'Control Room'!$B$7,('Control Room'!$B$8+'Control Room'!$D$8)/2))+SQRT(1-'Control Room'!$B$9^2)*(AH386-IF('Control Room'!$B$5="Normal",'Control Room'!$B$7,('Control Room'!$B$8+'Control Room'!$D$8)/2))</x:f>
        <x:v>1125.0157390073718</x:v>
      </x:c>
      <x:c r="AJ386" s="17" t="n">
        <x:f>IF(AND($A386&gt;='Control Room'!$A$13,$A386&lt;'Control Room'!$A$13+'Control Room'!$B$13,'Process'!BQ2=1),1+('Control Room'!$C$13-1)*EXP(-0.5*(($A386-'Control Room'!$A$13-('Control Room'!$B$13-1)/2)/MAX(0.5,'Control Room'!$B$13/4))^2),1)*IF(AND($A386&gt;='Control Room'!$A$14,$A386&lt;'Control Room'!$A$14+'Control Room'!$B$14,'Process'!BQ3=1),1+('Control Room'!$C$14-1)*EXP(-0.5*(($A386-'Control Room'!$A$14-('Control Room'!$B$14-1)/2)/MAX(0.5,'Control Room'!$B$14/4))^2),1)*IF(AND($A386&gt;='Control Room'!$A$15,$A386&lt;'Control Room'!$A$15+'Control Room'!$B$15,'Process'!BQ4=1),1+('Control Room'!$C$15-1)*EXP(-0.5*(($A386-'Control Room'!$A$15-('Control Room'!$B$15-1)/2)/MAX(0.5,'Control Room'!$B$15/4))^2),1)*IF(AND($A386&gt;='Control Room'!$A$16,$A386&lt;'Control Room'!$A$16+'Control Room'!$B$16,'Process'!BQ5=1),1+('Control Room'!$C$16-1)*EXP(-0.5*(($A386-'Control Room'!$A$16-('Control Room'!$B$16-1)/2)/MAX(0.5,'Control Room'!$B$16/4))^2),1)</x:f>
        <x:v>1</x:v>
      </x:c>
      <x:c r="AK386" s="9" t="n">
        <x:f>MOD(AL385*16807,2147483647)</x:f>
        <x:v>833569490</x:v>
      </x:c>
      <x:c r="AL386" s="9" t="n">
        <x:f>MOD(AK386*16807,2147483647)</x:f>
        <x:v>1766589049</x:v>
      </x:c>
      <x:c r="AM386" s="17" t="n">
        <x:f>IF('Control Room'!$B$5="Normal",'Control Room'!$B$7+'Control Room'!$D$7*SQRT(-2*LN(MAX(0.000000000001,AK386/2147483647)))*COS(2*PI()*AL386/2147483647),'Control Room'!$B$8+('Control Room'!$D$8-'Control Room'!$B$8)*AK386/2147483647)</x:f>
        <x:v>1054.5641997827001</x:v>
      </x:c>
      <x:c r="AN386" s="17" t="n">
        <x:f>IF('Control Room'!$B$5="Normal",'Control Room'!$B$7,('Control Room'!$B$8+'Control Room'!$D$8)/2)+'Control Room'!$B$9*(AN385-IF('Control Room'!$B$5="Normal",'Control Room'!$B$7,('Control Room'!$B$8+'Control Room'!$D$8)/2))+SQRT(1-'Control Room'!$B$9^2)*(AM386-IF('Control Room'!$B$5="Normal",'Control Room'!$B$7,('Control Room'!$B$8+'Control Room'!$D$8)/2))</x:f>
        <x:v>1036.618071398184</x:v>
      </x:c>
      <x:c r="AO386" s="17" t="n">
        <x:f>IF(AND($A386&gt;='Control Room'!$A$13,$A386&lt;'Control Room'!$A$13+'Control Room'!$B$13,'Process'!BR2=1),1+('Control Room'!$C$13-1)*EXP(-0.5*(($A386-'Control Room'!$A$13-('Control Room'!$B$13-1)/2)/MAX(0.5,'Control Room'!$B$13/4))^2),1)*IF(AND($A386&gt;='Control Room'!$A$14,$A386&lt;'Control Room'!$A$14+'Control Room'!$B$14,'Process'!BR3=1),1+('Control Room'!$C$14-1)*EXP(-0.5*(($A386-'Control Room'!$A$14-('Control Room'!$B$14-1)/2)/MAX(0.5,'Control Room'!$B$14/4))^2),1)*IF(AND($A386&gt;='Control Room'!$A$15,$A386&lt;'Control Room'!$A$15+'Control Room'!$B$15,'Process'!BR4=1),1+('Control Room'!$C$15-1)*EXP(-0.5*(($A386-'Control Room'!$A$15-('Control Room'!$B$15-1)/2)/MAX(0.5,'Control Room'!$B$15/4))^2),1)*IF(AND($A386&gt;='Control Room'!$A$16,$A386&lt;'Control Room'!$A$16+'Control Room'!$B$16,'Process'!BR5=1),1+('Control Room'!$C$16-1)*EXP(-0.5*(($A386-'Control Room'!$A$16-('Control Room'!$B$16-1)/2)/MAX(0.5,'Control Room'!$B$16/4))^2),1)</x:f>
        <x:v>1</x:v>
      </x:c>
      <x:c r="AP386" s="9" t="n">
        <x:f>MOD(AQ385*16807,2147483647)</x:f>
        <x:v>342536097</x:v>
      </x:c>
      <x:c r="AQ386" s="9" t="n">
        <x:f>MOD(AP386*16807,2147483647)</x:f>
        <x:v>1748008319</x:v>
      </x:c>
      <x:c r="AR386" s="17" t="n">
        <x:f>IF('Control Room'!$B$5="Normal",'Control Room'!$B$7+'Control Room'!$D$7*SQRT(-2*LN(MAX(0.000000000001,AP386/2147483647)))*COS(2*PI()*AQ386/2147483647),'Control Room'!$B$8+('Control Room'!$D$8-'Control Room'!$B$8)*AP386/2147483647)</x:f>
        <x:v>1067.4710401255688</x:v>
      </x:c>
      <x:c r="AS386" s="17" t="n">
        <x:f>IF('Control Room'!$B$5="Normal",'Control Room'!$B$7,('Control Room'!$B$8+'Control Room'!$D$8)/2)+'Control Room'!$B$9*(AS385-IF('Control Room'!$B$5="Normal",'Control Room'!$B$7,('Control Room'!$B$8+'Control Room'!$D$8)/2))+SQRT(1-'Control Room'!$B$9^2)*(AR386-IF('Control Room'!$B$5="Normal",'Control Room'!$B$7,('Control Room'!$B$8+'Control Room'!$D$8)/2))</x:f>
        <x:v>1096.0399069983443</x:v>
      </x:c>
      <x:c r="AT386" s="17" t="n">
        <x:f>IF(AND($A386&gt;='Control Room'!$A$13,$A386&lt;'Control Room'!$A$13+'Control Room'!$B$13,'Process'!BS2=1),1+('Control Room'!$C$13-1)*EXP(-0.5*(($A386-'Control Room'!$A$13-('Control Room'!$B$13-1)/2)/MAX(0.5,'Control Room'!$B$13/4))^2),1)*IF(AND($A386&gt;='Control Room'!$A$14,$A386&lt;'Control Room'!$A$14+'Control Room'!$B$14,'Process'!BS3=1),1+('Control Room'!$C$14-1)*EXP(-0.5*(($A386-'Control Room'!$A$14-('Control Room'!$B$14-1)/2)/MAX(0.5,'Control Room'!$B$14/4))^2),1)*IF(AND($A386&gt;='Control Room'!$A$15,$A386&lt;'Control Room'!$A$15+'Control Room'!$B$15,'Process'!BS4=1),1+('Control Room'!$C$15-1)*EXP(-0.5*(($A386-'Control Room'!$A$15-('Control Room'!$B$15-1)/2)/MAX(0.5,'Control Room'!$B$15/4))^2),1)*IF(AND($A386&gt;='Control Room'!$A$16,$A386&lt;'Control Room'!$A$16+'Control Room'!$B$16,'Process'!BS5=1),1+('Control Room'!$C$16-1)*EXP(-0.5*(($A386-'Control Room'!$A$16-('Control Room'!$B$16-1)/2)/MAX(0.5,'Control Room'!$B$16/4))^2),1)</x:f>
        <x:v>1</x:v>
      </x:c>
      <x:c r="AU386" s="9" t="n">
        <x:f>MOD(AV385*16807,2147483647)</x:f>
        <x:v>1998986351</x:v>
      </x:c>
      <x:c r="AV386" s="9" t="n">
        <x:f>MOD(AU386*16807,2147483647)</x:f>
        <x:v>1729427589</x:v>
      </x:c>
      <x:c r="AW386" s="17" t="n">
        <x:f>IF('Control Room'!$B$5="Normal",'Control Room'!$B$7+'Control Room'!$D$7*SQRT(-2*LN(MAX(0.000000000001,AU386/2147483647)))*COS(2*PI()*AV386/2147483647),'Control Room'!$B$8+('Control Room'!$D$8-'Control Room'!$B$8)*AU386/2147483647)</x:f>
        <x:v>1011.6070891977199</x:v>
      </x:c>
      <x:c r="AX386" s="17" t="n">
        <x:f>IF('Control Room'!$B$5="Normal",'Control Room'!$B$7,('Control Room'!$B$8+'Control Room'!$D$8)/2)+'Control Room'!$B$9*(AX385-IF('Control Room'!$B$5="Normal",'Control Room'!$B$7,('Control Room'!$B$8+'Control Room'!$D$8)/2))+SQRT(1-'Control Room'!$B$9^2)*(AW386-IF('Control Room'!$B$5="Normal",'Control Room'!$B$7,('Control Room'!$B$8+'Control Room'!$D$8)/2))</x:f>
        <x:v>1062.7658988239205</x:v>
      </x:c>
      <x:c r="AY386" s="17" t="n">
        <x:f>IF(AND($A386&gt;='Control Room'!$A$13,$A386&lt;'Control Room'!$A$13+'Control Room'!$B$13,'Process'!BT2=1),1+('Control Room'!$C$13-1)*EXP(-0.5*(($A386-'Control Room'!$A$13-('Control Room'!$B$13-1)/2)/MAX(0.5,'Control Room'!$B$13/4))^2),1)*IF(AND($A386&gt;='Control Room'!$A$14,$A386&lt;'Control Room'!$A$14+'Control Room'!$B$14,'Process'!BT3=1),1+('Control Room'!$C$14-1)*EXP(-0.5*(($A386-'Control Room'!$A$14-('Control Room'!$B$14-1)/2)/MAX(0.5,'Control Room'!$B$14/4))^2),1)*IF(AND($A386&gt;='Control Room'!$A$15,$A386&lt;'Control Room'!$A$15+'Control Room'!$B$15,'Process'!BT4=1),1+('Control Room'!$C$15-1)*EXP(-0.5*(($A386-'Control Room'!$A$15-('Control Room'!$B$15-1)/2)/MAX(0.5,'Control Room'!$B$15/4))^2),1)*IF(AND($A386&gt;='Control Room'!$A$16,$A386&lt;'Control Room'!$A$16+'Control Room'!$B$16,'Process'!BT5=1),1+('Control Room'!$C$16-1)*EXP(-0.5*(($A386-'Control Room'!$A$16-('Control Room'!$B$16-1)/2)/MAX(0.5,'Control Room'!$B$16/4))^2),1)</x:f>
        <x:v>1</x:v>
      </x:c>
      <x:c r="AZ386" s="9" t="n">
        <x:f>MOD(BA385*16807,2147483647)</x:f>
        <x:v>1507952958</x:v>
      </x:c>
      <x:c r="BA386" s="9" t="n">
        <x:f>MOD(AZ386*16807,2147483647)</x:f>
        <x:v>1710846859</x:v>
      </x:c>
      <x:c r="BB386" s="17" t="n">
        <x:f>IF('Control Room'!$B$5="Normal",'Control Room'!$B$7+'Control Room'!$D$7*SQRT(-2*LN(MAX(0.000000000001,AZ386/2147483647)))*COS(2*PI()*BA386/2147483647),'Control Room'!$B$8+('Control Room'!$D$8-'Control Room'!$B$8)*AZ386/2147483647)</x:f>
        <x:v>1021.8776841709681</x:v>
      </x:c>
      <x:c r="BC386" s="17" t="n">
        <x:f>IF('Control Room'!$B$5="Normal",'Control Room'!$B$7,('Control Room'!$B$8+'Control Room'!$D$8)/2)+'Control Room'!$B$9*(BC385-IF('Control Room'!$B$5="Normal",'Control Room'!$B$7,('Control Room'!$B$8+'Control Room'!$D$8)/2))+SQRT(1-'Control Room'!$B$9^2)*(BB386-IF('Control Room'!$B$5="Normal",'Control Room'!$B$7,('Control Room'!$B$8+'Control Room'!$D$8)/2))</x:f>
        <x:v>1037.6274907397603</x:v>
      </x:c>
      <x:c r="BD386" s="17" t="n">
        <x:f>IF(AND($A386&gt;='Control Room'!$A$13,$A386&lt;'Control Room'!$A$13+'Control Room'!$B$13,'Process'!BU2=1),1+('Control Room'!$C$13-1)*EXP(-0.5*(($A386-'Control Room'!$A$13-('Control Room'!$B$13-1)/2)/MAX(0.5,'Control Room'!$B$13/4))^2),1)*IF(AND($A386&gt;='Control Room'!$A$14,$A386&lt;'Control Room'!$A$14+'Control Room'!$B$14,'Process'!BU3=1),1+('Control Room'!$C$14-1)*EXP(-0.5*(($A386-'Control Room'!$A$14-('Control Room'!$B$14-1)/2)/MAX(0.5,'Control Room'!$B$14/4))^2),1)*IF(AND($A386&gt;='Control Room'!$A$15,$A386&lt;'Control Room'!$A$15+'Control Room'!$B$15,'Process'!BU4=1),1+('Control Room'!$C$15-1)*EXP(-0.5*(($A386-'Control Room'!$A$15-('Control Room'!$B$15-1)/2)/MAX(0.5,'Control Room'!$B$15/4))^2),1)*IF(AND($A386&gt;='Control Room'!$A$16,$A386&lt;'Control Room'!$A$16+'Control Room'!$B$16,'Process'!BU5=1),1+('Control Room'!$C$16-1)*EXP(-0.5*(($A386-'Control Room'!$A$16-('Control Room'!$B$16-1)/2)/MAX(0.5,'Control Room'!$B$16/4))^2),1)</x:f>
        <x:v>1</x:v>
      </x:c>
      <x:c r="BE386" s="9" t="n">
        <x:f>MOD(BF385*16807,2147483647)</x:f>
        <x:v>1016919565</x:v>
      </x:c>
      <x:c r="BF386" s="9" t="n">
        <x:f>MOD(BE386*16807,2147483647)</x:f>
        <x:v>1692266129</x:v>
      </x:c>
      <x:c r="BG386" s="17" t="n">
        <x:f>IF('Control Room'!$B$5="Normal",'Control Room'!$B$7+'Control Room'!$D$7*SQRT(-2*LN(MAX(0.000000000001,BE386/2147483647)))*COS(2*PI()*BF386/2147483647),'Control Room'!$B$8+('Control Room'!$D$8-'Control Room'!$B$8)*BE386/2147483647)</x:f>
        <x:v>1026.0407598541124</x:v>
      </x:c>
      <x:c r="BH386" s="17" t="n">
        <x:f>IF('Control Room'!$B$5="Normal",'Control Room'!$B$7,('Control Room'!$B$8+'Control Room'!$D$8)/2)+'Control Room'!$B$9*(BH385-IF('Control Room'!$B$5="Normal",'Control Room'!$B$7,('Control Room'!$B$8+'Control Room'!$D$8)/2))+SQRT(1-'Control Room'!$B$9^2)*(BG386-IF('Control Room'!$B$5="Normal",'Control Room'!$B$7,('Control Room'!$B$8+'Control Room'!$D$8)/2))</x:f>
        <x:v>1063.6657268913932</x:v>
      </x:c>
      <x:c r="BI386" s="17" t="n">
        <x:f>IF(AND($A386&gt;='Control Room'!$A$13,$A386&lt;'Control Room'!$A$13+'Control Room'!$B$13,'Process'!BV2=1),1+('Control Room'!$C$13-1)*EXP(-0.5*(($A386-'Control Room'!$A$13-('Control Room'!$B$13-1)/2)/MAX(0.5,'Control Room'!$B$13/4))^2),1)*IF(AND($A386&gt;='Control Room'!$A$14,$A386&lt;'Control Room'!$A$14+'Control Room'!$B$14,'Process'!BV3=1),1+('Control Room'!$C$14-1)*EXP(-0.5*(($A386-'Control Room'!$A$14-('Control Room'!$B$14-1)/2)/MAX(0.5,'Control Room'!$B$14/4))^2),1)*IF(AND($A386&gt;='Control Room'!$A$15,$A386&lt;'Control Room'!$A$15+'Control Room'!$B$15,'Process'!BV4=1),1+('Control Room'!$C$15-1)*EXP(-0.5*(($A386-'Control Room'!$A$15-('Control Room'!$B$15-1)/2)/MAX(0.5,'Control Room'!$B$15/4))^2),1)*IF(AND($A386&gt;='Control Room'!$A$16,$A386&lt;'Control Room'!$A$16+'Control Room'!$B$16,'Process'!BV5=1),1+('Control Room'!$C$16-1)*EXP(-0.5*(($A386-'Control Room'!$A$16-('Control Room'!$B$16-1)/2)/MAX(0.5,'Control Room'!$B$16/4))^2),1)</x:f>
        <x:v>1</x:v>
      </x:c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Z386" t="str">
        <x:f>IF('Data'!A386="","",TEXT('Data'!A386,"mm-dd"))</x:f>
      </x:c>
    </x:row>
    <x:row r="387" ht="21" customHeight="1">
      <x:c r="A387" s="15" t="n">
        <x:f>'Control Room'!$B$1+385</x:f>
        <x:v>73376</x:v>
      </x:c>
      <x:c r="B387" s="9" t="n">
        <x:f>MOD(C386*16807,2147483647)</x:f>
        <x:v>1966677892</x:v>
      </x:c>
      <x:c r="C387" s="9" t="n">
        <x:f>MOD(B387*16807,2147483647)</x:f>
        <x:v>2034519867</x:v>
      </x:c>
      <x:c r="D387" s="17" t="n">
        <x:f>IF('Control Room'!$B$5="Normal",'Control Room'!$B$7+'Control Room'!$D$7*SQRT(-2*LN(MAX(0.000000000001,B387/2147483647)))*COS(2*PI()*C387/2147483647),'Control Room'!$B$8+('Control Room'!$D$8-'Control Room'!$B$8)*B387/2147483647)</x:f>
        <x:v>1035.7035990005404</x:v>
      </x:c>
      <x:c r="E387" s="17" t="n">
        <x:f>IF('Control Room'!$B$5="Normal",'Control Room'!$B$7,('Control Room'!$B$8+'Control Room'!$D$8)/2)+'Control Room'!$B$9*(E386-IF('Control Room'!$B$5="Normal",'Control Room'!$B$7,('Control Room'!$B$8+'Control Room'!$D$8)/2))+SQRT(1-'Control Room'!$B$9^2)*(D387-IF('Control Room'!$B$5="Normal",'Control Room'!$B$7,('Control Room'!$B$8+'Control Room'!$D$8)/2))</x:f>
        <x:v>1008.3496315696874</x:v>
      </x:c>
      <x:c r="F387" s="17" t="n">
        <x:f>IF(AND($A387&gt;='Control Room'!$A$13,$A387&lt;'Control Room'!$A$13+'Control Room'!$B$13,'Process'!BK2=1),1+('Control Room'!$C$13-1)*EXP(-0.5*(($A387-'Control Room'!$A$13-('Control Room'!$B$13-1)/2)/MAX(0.5,'Control Room'!$B$13/4))^2),1)*IF(AND($A387&gt;='Control Room'!$A$14,$A387&lt;'Control Room'!$A$14+'Control Room'!$B$14,'Process'!BK3=1),1+('Control Room'!$C$14-1)*EXP(-0.5*(($A387-'Control Room'!$A$14-('Control Room'!$B$14-1)/2)/MAX(0.5,'Control Room'!$B$14/4))^2),1)*IF(AND($A387&gt;='Control Room'!$A$15,$A387&lt;'Control Room'!$A$15+'Control Room'!$B$15,'Process'!BK4=1),1+('Control Room'!$C$15-1)*EXP(-0.5*(($A387-'Control Room'!$A$15-('Control Room'!$B$15-1)/2)/MAX(0.5,'Control Room'!$B$15/4))^2),1)*IF(AND($A387&gt;='Control Room'!$A$16,$A387&lt;'Control Room'!$A$16+'Control Room'!$B$16,'Process'!BK5=1),1+('Control Room'!$C$16-1)*EXP(-0.5*(($A387-'Control Room'!$A$16-('Control Room'!$B$16-1)/2)/MAX(0.5,'Control Room'!$B$16/4))^2),1)</x:f>
        <x:v>1</x:v>
      </x:c>
      <x:c r="G387" s="9" t="n">
        <x:f>MOD(H386*16807,2147483647)</x:f>
        <x:v>1065477597</x:v>
      </x:c>
      <x:c r="H387" s="9" t="n">
        <x:f>MOD(G387*16807,2147483647)</x:f>
        <x:v>1763324093</x:v>
      </x:c>
      <x:c r="I387" s="17" t="n">
        <x:f>IF('Control Room'!$B$5="Normal",'Control Room'!$B$7+'Control Room'!$D$7*SQRT(-2*LN(MAX(0.000000000001,G387/2147483647)))*COS(2*PI()*H387/2147483647),'Control Room'!$B$8+('Control Room'!$D$8-'Control Room'!$B$8)*G387/2147483647)</x:f>
        <x:v>1046.0416673651932</x:v>
      </x:c>
      <x:c r="J387" s="17" t="n">
        <x:f>IF('Control Room'!$B$5="Normal",'Control Room'!$B$7,('Control Room'!$B$8+'Control Room'!$D$8)/2)+'Control Room'!$B$9*(J386-IF('Control Room'!$B$5="Normal",'Control Room'!$B$7,('Control Room'!$B$8+'Control Room'!$D$8)/2))+SQRT(1-'Control Room'!$B$9^2)*(I387-IF('Control Room'!$B$5="Normal",'Control Room'!$B$7,('Control Room'!$B$8+'Control Room'!$D$8)/2))</x:f>
        <x:v>1051.0736544791828</x:v>
      </x:c>
      <x:c r="K387" s="17" t="n">
        <x:f>IF(AND($A387&gt;='Control Room'!$A$13,$A387&lt;'Control Room'!$A$13+'Control Room'!$B$13,'Process'!BL2=1),1+('Control Room'!$C$13-1)*EXP(-0.5*(($A387-'Control Room'!$A$13-('Control Room'!$B$13-1)/2)/MAX(0.5,'Control Room'!$B$13/4))^2),1)*IF(AND($A387&gt;='Control Room'!$A$14,$A387&lt;'Control Room'!$A$14+'Control Room'!$B$14,'Process'!BL3=1),1+('Control Room'!$C$14-1)*EXP(-0.5*(($A387-'Control Room'!$A$14-('Control Room'!$B$14-1)/2)/MAX(0.5,'Control Room'!$B$14/4))^2),1)*IF(AND($A387&gt;='Control Room'!$A$15,$A387&lt;'Control Room'!$A$15+'Control Room'!$B$15,'Process'!BL4=1),1+('Control Room'!$C$15-1)*EXP(-0.5*(($A387-'Control Room'!$A$15-('Control Room'!$B$15-1)/2)/MAX(0.5,'Control Room'!$B$15/4))^2),1)*IF(AND($A387&gt;='Control Room'!$A$16,$A387&lt;'Control Room'!$A$16+'Control Room'!$B$16,'Process'!BL5=1),1+('Control Room'!$C$16-1)*EXP(-0.5*(($A387-'Control Room'!$A$16-('Control Room'!$B$16-1)/2)/MAX(0.5,'Control Room'!$B$16/4))^2),1)</x:f>
        <x:v>1</x:v>
      </x:c>
      <x:c r="L387" s="9" t="n">
        <x:f>MOD(M386*16807,2147483647)</x:f>
        <x:v>164277302</x:v>
      </x:c>
      <x:c r="M387" s="9" t="n">
        <x:f>MOD(L387*16807,2147483647)</x:f>
        <x:v>1492128319</x:v>
      </x:c>
      <x:c r="N387" s="17" t="n">
        <x:f>IF('Control Room'!$B$5="Normal",'Control Room'!$B$7+'Control Room'!$D$7*SQRT(-2*LN(MAX(0.000000000001,L387/2147483647)))*COS(2*PI()*M387/2147483647),'Control Room'!$B$8+('Control Room'!$D$8-'Control Room'!$B$8)*L387/2147483647)</x:f>
        <x:v>930.6664582043209</x:v>
      </x:c>
      <x:c r="O387" s="17" t="n">
        <x:f>IF('Control Room'!$B$5="Normal",'Control Room'!$B$7,('Control Room'!$B$8+'Control Room'!$D$8)/2)+'Control Room'!$B$9*(O386-IF('Control Room'!$B$5="Normal",'Control Room'!$B$7,('Control Room'!$B$8+'Control Room'!$D$8)/2))+SQRT(1-'Control Room'!$B$9^2)*(N387-IF('Control Room'!$B$5="Normal",'Control Room'!$B$7,('Control Room'!$B$8+'Control Room'!$D$8)/2))</x:f>
        <x:v>925.7087933948999</x:v>
      </x:c>
      <x:c r="P387" s="17" t="n">
        <x:f>IF(AND($A387&gt;='Control Room'!$A$13,$A387&lt;'Control Room'!$A$13+'Control Room'!$B$13,'Process'!BM2=1),1+('Control Room'!$C$13-1)*EXP(-0.5*(($A387-'Control Room'!$A$13-('Control Room'!$B$13-1)/2)/MAX(0.5,'Control Room'!$B$13/4))^2),1)*IF(AND($A387&gt;='Control Room'!$A$14,$A387&lt;'Control Room'!$A$14+'Control Room'!$B$14,'Process'!BM3=1),1+('Control Room'!$C$14-1)*EXP(-0.5*(($A387-'Control Room'!$A$14-('Control Room'!$B$14-1)/2)/MAX(0.5,'Control Room'!$B$14/4))^2),1)*IF(AND($A387&gt;='Control Room'!$A$15,$A387&lt;'Control Room'!$A$15+'Control Room'!$B$15,'Process'!BM4=1),1+('Control Room'!$C$15-1)*EXP(-0.5*(($A387-'Control Room'!$A$15-('Control Room'!$B$15-1)/2)/MAX(0.5,'Control Room'!$B$15/4))^2),1)*IF(AND($A387&gt;='Control Room'!$A$16,$A387&lt;'Control Room'!$A$16+'Control Room'!$B$16,'Process'!BM5=1),1+('Control Room'!$C$16-1)*EXP(-0.5*(($A387-'Control Room'!$A$16-('Control Room'!$B$16-1)/2)/MAX(0.5,'Control Room'!$B$16/4))^2),1)</x:f>
        <x:v>1</x:v>
      </x:c>
      <x:c r="Q387" s="9" t="n">
        <x:f>MOD(R386*16807,2147483647)</x:f>
        <x:v>1410560654</x:v>
      </x:c>
      <x:c r="R387" s="9" t="n">
        <x:f>MOD(Q387*16807,2147483647)</x:f>
        <x:v>1220932545</x:v>
      </x:c>
      <x:c r="S387" s="17" t="n">
        <x:f>IF('Control Room'!$B$5="Normal",'Control Room'!$B$7+'Control Room'!$D$7*SQRT(-2*LN(MAX(0.000000000001,Q387/2147483647)))*COS(2*PI()*R387/2147483647),'Control Room'!$B$8+('Control Room'!$D$8-'Control Room'!$B$8)*Q387/2147483647)</x:f>
        <x:v>925.0176800519904</x:v>
      </x:c>
      <x:c r="T387" s="17" t="n">
        <x:f>IF('Control Room'!$B$5="Normal",'Control Room'!$B$7,('Control Room'!$B$8+'Control Room'!$D$8)/2)+'Control Room'!$B$9*(T386-IF('Control Room'!$B$5="Normal",'Control Room'!$B$7,('Control Room'!$B$8+'Control Room'!$D$8)/2))+SQRT(1-'Control Room'!$B$9^2)*(S387-IF('Control Room'!$B$5="Normal",'Control Room'!$B$7,('Control Room'!$B$8+'Control Room'!$D$8)/2))</x:f>
        <x:v>960.85640260525</x:v>
      </x:c>
      <x:c r="U387" s="17" t="n">
        <x:f>IF(AND($A387&gt;='Control Room'!$A$13,$A387&lt;'Control Room'!$A$13+'Control Room'!$B$13,'Process'!BN2=1),1+('Control Room'!$C$13-1)*EXP(-0.5*(($A387-'Control Room'!$A$13-('Control Room'!$B$13-1)/2)/MAX(0.5,'Control Room'!$B$13/4))^2),1)*IF(AND($A387&gt;='Control Room'!$A$14,$A387&lt;'Control Room'!$A$14+'Control Room'!$B$14,'Process'!BN3=1),1+('Control Room'!$C$14-1)*EXP(-0.5*(($A387-'Control Room'!$A$14-('Control Room'!$B$14-1)/2)/MAX(0.5,'Control Room'!$B$14/4))^2),1)*IF(AND($A387&gt;='Control Room'!$A$15,$A387&lt;'Control Room'!$A$15+'Control Room'!$B$15,'Process'!BN4=1),1+('Control Room'!$C$15-1)*EXP(-0.5*(($A387-'Control Room'!$A$15-('Control Room'!$B$15-1)/2)/MAX(0.5,'Control Room'!$B$15/4))^2),1)*IF(AND($A387&gt;='Control Room'!$A$16,$A387&lt;'Control Room'!$A$16+'Control Room'!$B$16,'Process'!BN5=1),1+('Control Room'!$C$16-1)*EXP(-0.5*(($A387-'Control Room'!$A$16-('Control Room'!$B$16-1)/2)/MAX(0.5,'Control Room'!$B$16/4))^2),1)</x:f>
        <x:v>1</x:v>
      </x:c>
      <x:c r="V387" s="9" t="n">
        <x:f>MOD(W386*16807,2147483647)</x:f>
        <x:v>509360359</x:v>
      </x:c>
      <x:c r="W387" s="9" t="n">
        <x:f>MOD(V387*16807,2147483647)</x:f>
        <x:v>949736771</x:v>
      </x:c>
      <x:c r="X387" s="17" t="n">
        <x:f>IF('Control Room'!$B$5="Normal",'Control Room'!$B$7+'Control Room'!$D$7*SQRT(-2*LN(MAX(0.000000000001,V387/2147483647)))*COS(2*PI()*W387/2147483647),'Control Room'!$B$8+('Control Room'!$D$8-'Control Room'!$B$8)*V387/2147483647)</x:f>
        <x:v>857.2626847979076</x:v>
      </x:c>
      <x:c r="Y387" s="17" t="n">
        <x:f>IF('Control Room'!$B$5="Normal",'Control Room'!$B$7,('Control Room'!$B$8+'Control Room'!$D$8)/2)+'Control Room'!$B$9*(Y386-IF('Control Room'!$B$5="Normal",'Control Room'!$B$7,('Control Room'!$B$8+'Control Room'!$D$8)/2))+SQRT(1-'Control Room'!$B$9^2)*(X387-IF('Control Room'!$B$5="Normal",'Control Room'!$B$7,('Control Room'!$B$8+'Control Room'!$D$8)/2))</x:f>
        <x:v>939.4624821331108</x:v>
      </x:c>
      <x:c r="Z387" s="17" t="n">
        <x:f>IF(AND($A387&gt;='Control Room'!$A$13,$A387&lt;'Control Room'!$A$13+'Control Room'!$B$13,'Process'!BO2=1),1+('Control Room'!$C$13-1)*EXP(-0.5*(($A387-'Control Room'!$A$13-('Control Room'!$B$13-1)/2)/MAX(0.5,'Control Room'!$B$13/4))^2),1)*IF(AND($A387&gt;='Control Room'!$A$14,$A387&lt;'Control Room'!$A$14+'Control Room'!$B$14,'Process'!BO3=1),1+('Control Room'!$C$14-1)*EXP(-0.5*(($A387-'Control Room'!$A$14-('Control Room'!$B$14-1)/2)/MAX(0.5,'Control Room'!$B$14/4))^2),1)*IF(AND($A387&gt;='Control Room'!$A$15,$A387&lt;'Control Room'!$A$15+'Control Room'!$B$15,'Process'!BO4=1),1+('Control Room'!$C$15-1)*EXP(-0.5*(($A387-'Control Room'!$A$15-('Control Room'!$B$15-1)/2)/MAX(0.5,'Control Room'!$B$15/4))^2),1)*IF(AND($A387&gt;='Control Room'!$A$16,$A387&lt;'Control Room'!$A$16+'Control Room'!$B$16,'Process'!BO5=1),1+('Control Room'!$C$16-1)*EXP(-0.5*(($A387-'Control Room'!$A$16-('Control Room'!$B$16-1)/2)/MAX(0.5,'Control Room'!$B$16/4))^2),1)</x:f>
        <x:v>1</x:v>
      </x:c>
      <x:c r="AA387" s="9" t="n">
        <x:f>MOD(AB386*16807,2147483647)</x:f>
        <x:v>1755643711</x:v>
      </x:c>
      <x:c r="AB387" s="9" t="n">
        <x:f>MOD(AA387*16807,2147483647)</x:f>
        <x:v>678540997</x:v>
      </x:c>
      <x:c r="AC387" s="17" t="n">
        <x:f>IF('Control Room'!$B$5="Normal",'Control Room'!$B$7+'Control Room'!$D$7*SQRT(-2*LN(MAX(0.000000000001,AA387/2147483647)))*COS(2*PI()*AB387/2147483647),'Control Room'!$B$8+('Control Room'!$D$8-'Control Room'!$B$8)*AA387/2147483647)</x:f>
        <x:v>976.9923057743335</x:v>
      </x:c>
      <x:c r="AD387" s="17" t="n">
        <x:f>IF('Control Room'!$B$5="Normal",'Control Room'!$B$7,('Control Room'!$B$8+'Control Room'!$D$8)/2)+'Control Room'!$B$9*(AD386-IF('Control Room'!$B$5="Normal",'Control Room'!$B$7,('Control Room'!$B$8+'Control Room'!$D$8)/2))+SQRT(1-'Control Room'!$B$9^2)*(AC387-IF('Control Room'!$B$5="Normal",'Control Room'!$B$7,('Control Room'!$B$8+'Control Room'!$D$8)/2))</x:f>
        <x:v>991.1778271184712</x:v>
      </x:c>
      <x:c r="AE387" s="17" t="n">
        <x:f>IF(AND($A387&gt;='Control Room'!$A$13,$A387&lt;'Control Room'!$A$13+'Control Room'!$B$13,'Process'!BP2=1),1+('Control Room'!$C$13-1)*EXP(-0.5*(($A387-'Control Room'!$A$13-('Control Room'!$B$13-1)/2)/MAX(0.5,'Control Room'!$B$13/4))^2),1)*IF(AND($A387&gt;='Control Room'!$A$14,$A387&lt;'Control Room'!$A$14+'Control Room'!$B$14,'Process'!BP3=1),1+('Control Room'!$C$14-1)*EXP(-0.5*(($A387-'Control Room'!$A$14-('Control Room'!$B$14-1)/2)/MAX(0.5,'Control Room'!$B$14/4))^2),1)*IF(AND($A387&gt;='Control Room'!$A$15,$A387&lt;'Control Room'!$A$15+'Control Room'!$B$15,'Process'!BP4=1),1+('Control Room'!$C$15-1)*EXP(-0.5*(($A387-'Control Room'!$A$15-('Control Room'!$B$15-1)/2)/MAX(0.5,'Control Room'!$B$15/4))^2),1)*IF(AND($A387&gt;='Control Room'!$A$16,$A387&lt;'Control Room'!$A$16+'Control Room'!$B$16,'Process'!BP5=1),1+('Control Room'!$C$16-1)*EXP(-0.5*(($A387-'Control Room'!$A$16-('Control Room'!$B$16-1)/2)/MAX(0.5,'Control Room'!$B$16/4))^2),1)</x:f>
        <x:v>1</x:v>
      </x:c>
      <x:c r="AF387" s="9" t="n">
        <x:f>MOD(AG386*16807,2147483647)</x:f>
        <x:v>854443416</x:v>
      </x:c>
      <x:c r="AG387" s="9" t="n">
        <x:f>MOD(AF387*16807,2147483647)</x:f>
        <x:v>407345223</x:v>
      </x:c>
      <x:c r="AH387" s="17" t="n">
        <x:f>IF('Control Room'!$B$5="Normal",'Control Room'!$B$7+'Control Room'!$D$7*SQRT(-2*LN(MAX(0.000000000001,AF387/2147483647)))*COS(2*PI()*AG387/2147483647),'Control Room'!$B$8+('Control Room'!$D$8-'Control Room'!$B$8)*AF387/2147483647)</x:f>
        <x:v>1045.205299869044</x:v>
      </x:c>
      <x:c r="AI387" s="17" t="n">
        <x:f>IF('Control Room'!$B$5="Normal",'Control Room'!$B$7,('Control Room'!$B$8+'Control Room'!$D$8)/2)+'Control Room'!$B$9*(AI386-IF('Control Room'!$B$5="Normal",'Control Room'!$B$7,('Control Room'!$B$8+'Control Room'!$D$8)/2))+SQRT(1-'Control Room'!$B$9^2)*(AH387-IF('Control Room'!$B$5="Normal",'Control Room'!$B$7,('Control Room'!$B$8+'Control Room'!$D$8)/2))</x:f>
        <x:v>1125.8008270028931</x:v>
      </x:c>
      <x:c r="AJ387" s="17" t="n">
        <x:f>IF(AND($A387&gt;='Control Room'!$A$13,$A387&lt;'Control Room'!$A$13+'Control Room'!$B$13,'Process'!BQ2=1),1+('Control Room'!$C$13-1)*EXP(-0.5*(($A387-'Control Room'!$A$13-('Control Room'!$B$13-1)/2)/MAX(0.5,'Control Room'!$B$13/4))^2),1)*IF(AND($A387&gt;='Control Room'!$A$14,$A387&lt;'Control Room'!$A$14+'Control Room'!$B$14,'Process'!BQ3=1),1+('Control Room'!$C$14-1)*EXP(-0.5*(($A387-'Control Room'!$A$14-('Control Room'!$B$14-1)/2)/MAX(0.5,'Control Room'!$B$14/4))^2),1)*IF(AND($A387&gt;='Control Room'!$A$15,$A387&lt;'Control Room'!$A$15+'Control Room'!$B$15,'Process'!BQ4=1),1+('Control Room'!$C$15-1)*EXP(-0.5*(($A387-'Control Room'!$A$15-('Control Room'!$B$15-1)/2)/MAX(0.5,'Control Room'!$B$15/4))^2),1)*IF(AND($A387&gt;='Control Room'!$A$16,$A387&lt;'Control Room'!$A$16+'Control Room'!$B$16,'Process'!BQ5=1),1+('Control Room'!$C$16-1)*EXP(-0.5*(($A387-'Control Room'!$A$16-('Control Room'!$B$16-1)/2)/MAX(0.5,'Control Room'!$B$16/4))^2),1)</x:f>
        <x:v>1</x:v>
      </x:c>
      <x:c r="AK387" s="9" t="n">
        <x:f>MOD(AL386*16807,2147483647)</x:f>
        <x:v>2100726768</x:v>
      </x:c>
      <x:c r="AL387" s="9" t="n">
        <x:f>MOD(AK387*16807,2147483647)</x:f>
        <x:v>136149449</x:v>
      </x:c>
      <x:c r="AM387" s="17" t="n">
        <x:f>IF('Control Room'!$B$5="Normal",'Control Room'!$B$7+'Control Room'!$D$7*SQRT(-2*LN(MAX(0.000000000001,AK387/2147483647)))*COS(2*PI()*AL387/2147483647),'Control Room'!$B$8+('Control Room'!$D$8-'Control Room'!$B$8)*AK387/2147483647)</x:f>
        <x:v>1017.4057004045328</x:v>
      </x:c>
      <x:c r="AN387" s="17" t="n">
        <x:f>IF('Control Room'!$B$5="Normal",'Control Room'!$B$7,('Control Room'!$B$8+'Control Room'!$D$8)/2)+'Control Room'!$B$9*(AN386-IF('Control Room'!$B$5="Normal",'Control Room'!$B$7,('Control Room'!$B$8+'Control Room'!$D$8)/2))+SQRT(1-'Control Room'!$B$9^2)*(AM387-IF('Control Room'!$B$5="Normal",'Control Room'!$B$7,('Control Room'!$B$8+'Control Room'!$D$8)/2))</x:f>
        <x:v>1039.4542264285856</x:v>
      </x:c>
      <x:c r="AO387" s="17" t="n">
        <x:f>IF(AND($A387&gt;='Control Room'!$A$13,$A387&lt;'Control Room'!$A$13+'Control Room'!$B$13,'Process'!BR2=1),1+('Control Room'!$C$13-1)*EXP(-0.5*(($A387-'Control Room'!$A$13-('Control Room'!$B$13-1)/2)/MAX(0.5,'Control Room'!$B$13/4))^2),1)*IF(AND($A387&gt;='Control Room'!$A$14,$A387&lt;'Control Room'!$A$14+'Control Room'!$B$14,'Process'!BR3=1),1+('Control Room'!$C$14-1)*EXP(-0.5*(($A387-'Control Room'!$A$14-('Control Room'!$B$14-1)/2)/MAX(0.5,'Control Room'!$B$14/4))^2),1)*IF(AND($A387&gt;='Control Room'!$A$15,$A387&lt;'Control Room'!$A$15+'Control Room'!$B$15,'Process'!BR4=1),1+('Control Room'!$C$15-1)*EXP(-0.5*(($A387-'Control Room'!$A$15-('Control Room'!$B$15-1)/2)/MAX(0.5,'Control Room'!$B$15/4))^2),1)*IF(AND($A387&gt;='Control Room'!$A$16,$A387&lt;'Control Room'!$A$16+'Control Room'!$B$16,'Process'!BR5=1),1+('Control Room'!$C$16-1)*EXP(-0.5*(($A387-'Control Room'!$A$16-('Control Room'!$B$16-1)/2)/MAX(0.5,'Control Room'!$B$16/4))^2),1)</x:f>
        <x:v>1</x:v>
      </x:c>
      <x:c r="AP387" s="9" t="n">
        <x:f>MOD(AQ386*16807,2147483647)</x:f>
        <x:v>1199526473</x:v>
      </x:c>
      <x:c r="AQ387" s="9" t="n">
        <x:f>MOD(AP387*16807,2147483647)</x:f>
        <x:v>2012437322</x:v>
      </x:c>
      <x:c r="AR387" s="17" t="n">
        <x:f>IF('Control Room'!$B$5="Normal",'Control Room'!$B$7+'Control Room'!$D$7*SQRT(-2*LN(MAX(0.000000000001,AP387/2147483647)))*COS(2*PI()*AQ387/2147483647),'Control Room'!$B$8+('Control Room'!$D$8-'Control Room'!$B$8)*AP387/2147483647)</x:f>
        <x:v>1089.6467802679122</x:v>
      </x:c>
      <x:c r="AS387" s="17" t="n">
        <x:f>IF('Control Room'!$B$5="Normal",'Control Room'!$B$7,('Control Room'!$B$8+'Control Room'!$D$8)/2)+'Control Room'!$B$9*(AS386-IF('Control Room'!$B$5="Normal",'Control Room'!$B$7,('Control Room'!$B$8+'Control Room'!$D$8)/2))+SQRT(1-'Control Room'!$B$9^2)*(AR387-IF('Control Room'!$B$5="Normal",'Control Room'!$B$7,('Control Room'!$B$8+'Control Room'!$D$8)/2))</x:f>
        <x:v>1131.0102460362507</x:v>
      </x:c>
      <x:c r="AT387" s="17" t="n">
        <x:f>IF(AND($A387&gt;='Control Room'!$A$13,$A387&lt;'Control Room'!$A$13+'Control Room'!$B$13,'Process'!BS2=1),1+('Control Room'!$C$13-1)*EXP(-0.5*(($A387-'Control Room'!$A$13-('Control Room'!$B$13-1)/2)/MAX(0.5,'Control Room'!$B$13/4))^2),1)*IF(AND($A387&gt;='Control Room'!$A$14,$A387&lt;'Control Room'!$A$14+'Control Room'!$B$14,'Process'!BS3=1),1+('Control Room'!$C$14-1)*EXP(-0.5*(($A387-'Control Room'!$A$14-('Control Room'!$B$14-1)/2)/MAX(0.5,'Control Room'!$B$14/4))^2),1)*IF(AND($A387&gt;='Control Room'!$A$15,$A387&lt;'Control Room'!$A$15+'Control Room'!$B$15,'Process'!BS4=1),1+('Control Room'!$C$15-1)*EXP(-0.5*(($A387-'Control Room'!$A$15-('Control Room'!$B$15-1)/2)/MAX(0.5,'Control Room'!$B$15/4))^2),1)*IF(AND($A387&gt;='Control Room'!$A$16,$A387&lt;'Control Room'!$A$16+'Control Room'!$B$16,'Process'!BS5=1),1+('Control Room'!$C$16-1)*EXP(-0.5*(($A387-'Control Room'!$A$16-('Control Room'!$B$16-1)/2)/MAX(0.5,'Control Room'!$B$16/4))^2),1)</x:f>
        <x:v>1</x:v>
      </x:c>
      <x:c r="AU387" s="9" t="n">
        <x:f>MOD(AV386*16807,2147483647)</x:f>
        <x:v>298326178</x:v>
      </x:c>
      <x:c r="AV387" s="9" t="n">
        <x:f>MOD(AU387*16807,2147483647)</x:f>
        <x:v>1741241548</x:v>
      </x:c>
      <x:c r="AW387" s="17" t="n">
        <x:f>IF('Control Room'!$B$5="Normal",'Control Room'!$B$7+'Control Room'!$D$7*SQRT(-2*LN(MAX(0.000000000001,AU387/2147483647)))*COS(2*PI()*AV387/2147483647),'Control Room'!$B$8+('Control Room'!$D$8-'Control Room'!$B$8)*AU387/2147483647)</x:f>
        <x:v>1066.6929443028162</x:v>
      </x:c>
      <x:c r="AX387" s="17" t="n">
        <x:f>IF('Control Room'!$B$5="Normal",'Control Room'!$B$7,('Control Room'!$B$8+'Control Room'!$D$8)/2)+'Control Room'!$B$9*(AX386-IF('Control Room'!$B$5="Normal",'Control Room'!$B$7,('Control Room'!$B$8+'Control Room'!$D$8)/2))+SQRT(1-'Control Room'!$B$9^2)*(AW387-IF('Control Room'!$B$5="Normal",'Control Room'!$B$7,('Control Room'!$B$8+'Control Room'!$D$8)/2))</x:f>
        <x:v>1090.6924793481323</x:v>
      </x:c>
      <x:c r="AY387" s="17" t="n">
        <x:f>IF(AND($A387&gt;='Control Room'!$A$13,$A387&lt;'Control Room'!$A$13+'Control Room'!$B$13,'Process'!BT2=1),1+('Control Room'!$C$13-1)*EXP(-0.5*(($A387-'Control Room'!$A$13-('Control Room'!$B$13-1)/2)/MAX(0.5,'Control Room'!$B$13/4))^2),1)*IF(AND($A387&gt;='Control Room'!$A$14,$A387&lt;'Control Room'!$A$14+'Control Room'!$B$14,'Process'!BT3=1),1+('Control Room'!$C$14-1)*EXP(-0.5*(($A387-'Control Room'!$A$14-('Control Room'!$B$14-1)/2)/MAX(0.5,'Control Room'!$B$14/4))^2),1)*IF(AND($A387&gt;='Control Room'!$A$15,$A387&lt;'Control Room'!$A$15+'Control Room'!$B$15,'Process'!BT4=1),1+('Control Room'!$C$15-1)*EXP(-0.5*(($A387-'Control Room'!$A$15-('Control Room'!$B$15-1)/2)/MAX(0.5,'Control Room'!$B$15/4))^2),1)*IF(AND($A387&gt;='Control Room'!$A$16,$A387&lt;'Control Room'!$A$16+'Control Room'!$B$16,'Process'!BT5=1),1+('Control Room'!$C$16-1)*EXP(-0.5*(($A387-'Control Room'!$A$16-('Control Room'!$B$16-1)/2)/MAX(0.5,'Control Room'!$B$16/4))^2),1)</x:f>
        <x:v>1</x:v>
      </x:c>
      <x:c r="AZ387" s="9" t="n">
        <x:f>MOD(BA386*16807,2147483647)</x:f>
        <x:v>1544609530</x:v>
      </x:c>
      <x:c r="BA387" s="9" t="n">
        <x:f>MOD(AZ387*16807,2147483647)</x:f>
        <x:v>1470045774</x:v>
      </x:c>
      <x:c r="BB387" s="17" t="n">
        <x:f>IF('Control Room'!$B$5="Normal",'Control Room'!$B$7+'Control Room'!$D$7*SQRT(-2*LN(MAX(0.000000000001,AZ387/2147483647)))*COS(2*PI()*BA387/2147483647),'Control Room'!$B$8+('Control Room'!$D$8-'Control Room'!$B$8)*AZ387/2147483647)</x:f>
        <x:v>970.7906264878818</x:v>
      </x:c>
      <x:c r="BC387" s="17" t="n">
        <x:f>IF('Control Room'!$B$5="Normal",'Control Room'!$B$7,('Control Room'!$B$8+'Control Room'!$D$8)/2)+'Control Room'!$B$9*(BC386-IF('Control Room'!$B$5="Normal",'Control Room'!$B$7,('Control Room'!$B$8+'Control Room'!$D$8)/2))+SQRT(1-'Control Room'!$B$9^2)*(BB387-IF('Control Room'!$B$5="Normal",'Control Room'!$B$7,('Control Room'!$B$8+'Control Room'!$D$8)/2))</x:f>
        <x:v>1011.0708152196712</x:v>
      </x:c>
      <x:c r="BD387" s="17" t="n">
        <x:f>IF(AND($A387&gt;='Control Room'!$A$13,$A387&lt;'Control Room'!$A$13+'Control Room'!$B$13,'Process'!BU2=1),1+('Control Room'!$C$13-1)*EXP(-0.5*(($A387-'Control Room'!$A$13-('Control Room'!$B$13-1)/2)/MAX(0.5,'Control Room'!$B$13/4))^2),1)*IF(AND($A387&gt;='Control Room'!$A$14,$A387&lt;'Control Room'!$A$14+'Control Room'!$B$14,'Process'!BU3=1),1+('Control Room'!$C$14-1)*EXP(-0.5*(($A387-'Control Room'!$A$14-('Control Room'!$B$14-1)/2)/MAX(0.5,'Control Room'!$B$14/4))^2),1)*IF(AND($A387&gt;='Control Room'!$A$15,$A387&lt;'Control Room'!$A$15+'Control Room'!$B$15,'Process'!BU4=1),1+('Control Room'!$C$15-1)*EXP(-0.5*(($A387-'Control Room'!$A$15-('Control Room'!$B$15-1)/2)/MAX(0.5,'Control Room'!$B$15/4))^2),1)*IF(AND($A387&gt;='Control Room'!$A$16,$A387&lt;'Control Room'!$A$16+'Control Room'!$B$16,'Process'!BU5=1),1+('Control Room'!$C$16-1)*EXP(-0.5*(($A387-'Control Room'!$A$16-('Control Room'!$B$16-1)/2)/MAX(0.5,'Control Room'!$B$16/4))^2),1)</x:f>
        <x:v>1</x:v>
      </x:c>
      <x:c r="BE387" s="9" t="n">
        <x:f>MOD(BF386*16807,2147483647)</x:f>
        <x:v>643409235</x:v>
      </x:c>
      <x:c r="BF387" s="9" t="n">
        <x:f>MOD(BE387*16807,2147483647)</x:f>
        <x:v>1198850000</x:v>
      </x:c>
      <x:c r="BG387" s="17" t="n">
        <x:f>IF('Control Room'!$B$5="Normal",'Control Room'!$B$7+'Control Room'!$D$7*SQRT(-2*LN(MAX(0.000000000001,BE387/2147483647)))*COS(2*PI()*BF387/2147483647),'Control Room'!$B$8+('Control Room'!$D$8-'Control Room'!$B$8)*BE387/2147483647)</x:f>
        <x:v>869.5240616902926</x:v>
      </x:c>
      <x:c r="BH387" s="17" t="n">
        <x:f>IF('Control Room'!$B$5="Normal",'Control Room'!$B$7,('Control Room'!$B$8+'Control Room'!$D$8)/2)+'Control Room'!$B$9*(BH386-IF('Control Room'!$B$5="Normal",'Control Room'!$B$7,('Control Room'!$B$8+'Control Room'!$D$8)/2))+SQRT(1-'Control Room'!$B$9^2)*(BG387-IF('Control Room'!$B$5="Normal",'Control Room'!$B$7,('Control Room'!$B$8+'Control Room'!$D$8)/2))</x:f>
        <x:v>968.0100977259556</x:v>
      </x:c>
      <x:c r="BI387" s="17" t="n">
        <x:f>IF(AND($A387&gt;='Control Room'!$A$13,$A387&lt;'Control Room'!$A$13+'Control Room'!$B$13,'Process'!BV2=1),1+('Control Room'!$C$13-1)*EXP(-0.5*(($A387-'Control Room'!$A$13-('Control Room'!$B$13-1)/2)/MAX(0.5,'Control Room'!$B$13/4))^2),1)*IF(AND($A387&gt;='Control Room'!$A$14,$A387&lt;'Control Room'!$A$14+'Control Room'!$B$14,'Process'!BV3=1),1+('Control Room'!$C$14-1)*EXP(-0.5*(($A387-'Control Room'!$A$14-('Control Room'!$B$14-1)/2)/MAX(0.5,'Control Room'!$B$14/4))^2),1)*IF(AND($A387&gt;='Control Room'!$A$15,$A387&lt;'Control Room'!$A$15+'Control Room'!$B$15,'Process'!BV4=1),1+('Control Room'!$C$15-1)*EXP(-0.5*(($A387-'Control Room'!$A$15-('Control Room'!$B$15-1)/2)/MAX(0.5,'Control Room'!$B$15/4))^2),1)*IF(AND($A387&gt;='Control Room'!$A$16,$A387&lt;'Control Room'!$A$16+'Control Room'!$B$16,'Process'!BV5=1),1+('Control Room'!$C$16-1)*EXP(-0.5*(($A387-'Control Room'!$A$16-('Control Room'!$B$16-1)/2)/MAX(0.5,'Control Room'!$B$16/4))^2),1)</x:f>
        <x:v>1</x:v>
      </x:c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Z387" t="str">
        <x:f>IF('Data'!A387="","",TEXT('Data'!A387,"mm-dd"))</x:f>
      </x:c>
    </x:row>
    <x:row r="388" ht="21" customHeight="1">
      <x:c r="A388" s="15" t="n">
        <x:f>'Control Room'!$B$1+386</x:f>
        <x:v>73377</x:v>
      </x:c>
      <x:c r="B388" s="9" t="n">
        <x:f>MOD(C387*16807,2147483647)</x:f>
        <x:v>1940777135</x:v>
      </x:c>
      <x:c r="C388" s="9" t="n">
        <x:f>MOD(B388*16807,2147483647)</x:f>
        <x:v>512193662</x:v>
      </x:c>
      <x:c r="D388" s="17" t="n">
        <x:f>IF('Control Room'!$B$5="Normal",'Control Room'!$B$7+'Control Room'!$D$7*SQRT(-2*LN(MAX(0.000000000001,B388/2147483647)))*COS(2*PI()*C388/2147483647),'Control Room'!$B$8+('Control Room'!$D$8-'Control Room'!$B$8)*B388/2147483647)</x:f>
        <x:v>1002.9210224379451</x:v>
      </x:c>
      <x:c r="E388" s="17" t="n">
        <x:f>IF('Control Room'!$B$5="Normal",'Control Room'!$B$7,('Control Room'!$B$8+'Control Room'!$D$8)/2)+'Control Room'!$B$9*(E387-IF('Control Room'!$B$5="Normal",'Control Room'!$B$7,('Control Room'!$B$8+'Control Room'!$D$8)/2))+SQRT(1-'Control Room'!$B$9^2)*(D388-IF('Control Room'!$B$5="Normal",'Control Room'!$B$7,('Control Room'!$B$8+'Control Room'!$D$8)/2))</x:f>
        <x:v>1008.340628625625</x:v>
      </x:c>
      <x:c r="F388" s="17" t="n">
        <x:f>IF(AND($A388&gt;='Control Room'!$A$13,$A388&lt;'Control Room'!$A$13+'Control Room'!$B$13,'Process'!BK2=1),1+('Control Room'!$C$13-1)*EXP(-0.5*(($A388-'Control Room'!$A$13-('Control Room'!$B$13-1)/2)/MAX(0.5,'Control Room'!$B$13/4))^2),1)*IF(AND($A388&gt;='Control Room'!$A$14,$A388&lt;'Control Room'!$A$14+'Control Room'!$B$14,'Process'!BK3=1),1+('Control Room'!$C$14-1)*EXP(-0.5*(($A388-'Control Room'!$A$14-('Control Room'!$B$14-1)/2)/MAX(0.5,'Control Room'!$B$14/4))^2),1)*IF(AND($A388&gt;='Control Room'!$A$15,$A388&lt;'Control Room'!$A$15+'Control Room'!$B$15,'Process'!BK4=1),1+('Control Room'!$C$15-1)*EXP(-0.5*(($A388-'Control Room'!$A$15-('Control Room'!$B$15-1)/2)/MAX(0.5,'Control Room'!$B$15/4))^2),1)*IF(AND($A388&gt;='Control Room'!$A$16,$A388&lt;'Control Room'!$A$16+'Control Room'!$B$16,'Process'!BK5=1),1+('Control Room'!$C$16-1)*EXP(-0.5*(($A388-'Control Room'!$A$16-('Control Room'!$B$16-1)/2)/MAX(0.5,'Control Room'!$B$16/4))^2),1)</x:f>
        <x:v>1</x:v>
      </x:c>
      <x:c r="G388" s="9" t="n">
        <x:f>MOD(H387*16807,2147483647)</x:f>
        <x:v>913702451</x:v>
      </x:c>
      <x:c r="H388" s="9" t="n">
        <x:f>MOD(G388*16807,2147483647)</x:f>
        <x:v>2089017907</x:v>
      </x:c>
      <x:c r="I388" s="17" t="n">
        <x:f>IF('Control Room'!$B$5="Normal",'Control Room'!$B$7+'Control Room'!$D$7*SQRT(-2*LN(MAX(0.000000000001,G388/2147483647)))*COS(2*PI()*H388/2147483647),'Control Room'!$B$8+('Control Room'!$D$8-'Control Room'!$B$8)*G388/2147483647)</x:f>
        <x:v>1115.9418221552687</x:v>
      </x:c>
      <x:c r="J388" s="17" t="n">
        <x:f>IF('Control Room'!$B$5="Normal",'Control Room'!$B$7,('Control Room'!$B$8+'Control Room'!$D$8)/2)+'Control Room'!$B$9*(J387-IF('Control Room'!$B$5="Normal",'Control Room'!$B$7,('Control Room'!$B$8+'Control Room'!$D$8)/2))+SQRT(1-'Control Room'!$B$9^2)*(I388-IF('Control Room'!$B$5="Normal",'Control Room'!$B$7,('Control Room'!$B$8+'Control Room'!$D$8)/2))</x:f>
        <x:v>1112.3914676011996</x:v>
      </x:c>
      <x:c r="K388" s="17" t="n">
        <x:f>IF(AND($A388&gt;='Control Room'!$A$13,$A388&lt;'Control Room'!$A$13+'Control Room'!$B$13,'Process'!BL2=1),1+('Control Room'!$C$13-1)*EXP(-0.5*(($A388-'Control Room'!$A$13-('Control Room'!$B$13-1)/2)/MAX(0.5,'Control Room'!$B$13/4))^2),1)*IF(AND($A388&gt;='Control Room'!$A$14,$A388&lt;'Control Room'!$A$14+'Control Room'!$B$14,'Process'!BL3=1),1+('Control Room'!$C$14-1)*EXP(-0.5*(($A388-'Control Room'!$A$14-('Control Room'!$B$14-1)/2)/MAX(0.5,'Control Room'!$B$14/4))^2),1)*IF(AND($A388&gt;='Control Room'!$A$15,$A388&lt;'Control Room'!$A$15+'Control Room'!$B$15,'Process'!BL4=1),1+('Control Room'!$C$15-1)*EXP(-0.5*(($A388-'Control Room'!$A$15-('Control Room'!$B$15-1)/2)/MAX(0.5,'Control Room'!$B$15/4))^2),1)*IF(AND($A388&gt;='Control Room'!$A$16,$A388&lt;'Control Room'!$A$16+'Control Room'!$B$16,'Process'!BL5=1),1+('Control Room'!$C$16-1)*EXP(-0.5*(($A388-'Control Room'!$A$16-('Control Room'!$B$16-1)/2)/MAX(0.5,'Control Room'!$B$16/4))^2),1)</x:f>
        <x:v>1</x:v>
      </x:c>
      <x:c r="L388" s="9" t="n">
        <x:f>MOD(M387*16807,2147483647)</x:f>
        <x:v>2034111414</x:v>
      </x:c>
      <x:c r="M388" s="9" t="n">
        <x:f>MOD(L388*16807,2147483647)</x:f>
        <x:v>1518358505</x:v>
      </x:c>
      <x:c r="N388" s="17" t="n">
        <x:f>IF('Control Room'!$B$5="Normal",'Control Room'!$B$7+'Control Room'!$D$7*SQRT(-2*LN(MAX(0.000000000001,L388/2147483647)))*COS(2*PI()*M388/2147483647),'Control Room'!$B$8+('Control Room'!$D$8-'Control Room'!$B$8)*L388/2147483647)</x:f>
        <x:v>992.0957997224898</x:v>
      </x:c>
      <x:c r="O388" s="17" t="n">
        <x:f>IF('Control Room'!$B$5="Normal",'Control Room'!$B$7,('Control Room'!$B$8+'Control Room'!$D$8)/2)+'Control Room'!$B$9*(O387-IF('Control Room'!$B$5="Normal",'Control Room'!$B$7,('Control Room'!$B$8+'Control Room'!$D$8)/2))+SQRT(1-'Control Room'!$B$9^2)*(N388-IF('Control Room'!$B$5="Normal",'Control Room'!$B$7,('Control Room'!$B$8+'Control Room'!$D$8)/2))</x:f>
        <x:v>937.1065722407002</x:v>
      </x:c>
      <x:c r="P388" s="17" t="n">
        <x:f>IF(AND($A388&gt;='Control Room'!$A$13,$A388&lt;'Control Room'!$A$13+'Control Room'!$B$13,'Process'!BM2=1),1+('Control Room'!$C$13-1)*EXP(-0.5*(($A388-'Control Room'!$A$13-('Control Room'!$B$13-1)/2)/MAX(0.5,'Control Room'!$B$13/4))^2),1)*IF(AND($A388&gt;='Control Room'!$A$14,$A388&lt;'Control Room'!$A$14+'Control Room'!$B$14,'Process'!BM3=1),1+('Control Room'!$C$14-1)*EXP(-0.5*(($A388-'Control Room'!$A$14-('Control Room'!$B$14-1)/2)/MAX(0.5,'Control Room'!$B$14/4))^2),1)*IF(AND($A388&gt;='Control Room'!$A$15,$A388&lt;'Control Room'!$A$15+'Control Room'!$B$15,'Process'!BM4=1),1+('Control Room'!$C$15-1)*EXP(-0.5*(($A388-'Control Room'!$A$15-('Control Room'!$B$15-1)/2)/MAX(0.5,'Control Room'!$B$15/4))^2),1)*IF(AND($A388&gt;='Control Room'!$A$16,$A388&lt;'Control Room'!$A$16+'Control Room'!$B$16,'Process'!BM5=1),1+('Control Room'!$C$16-1)*EXP(-0.5*(($A388-'Control Room'!$A$16-('Control Room'!$B$16-1)/2)/MAX(0.5,'Control Room'!$B$16/4))^2),1)</x:f>
        <x:v>1</x:v>
      </x:c>
      <x:c r="Q388" s="9" t="n">
        <x:f>MOD(R387*16807,2147483647)</x:f>
        <x:v>1007036730</x:v>
      </x:c>
      <x:c r="R388" s="9" t="n">
        <x:f>MOD(Q388*16807,2147483647)</x:f>
        <x:v>947699103</x:v>
      </x:c>
      <x:c r="S388" s="17" t="n">
        <x:f>IF('Control Room'!$B$5="Normal",'Control Room'!$B$7+'Control Room'!$D$7*SQRT(-2*LN(MAX(0.000000000001,Q388/2147483647)))*COS(2*PI()*R388/2147483647),'Control Room'!$B$8+('Control Room'!$D$8-'Control Room'!$B$8)*Q388/2147483647)</x:f>
        <x:v>896.6856642384638</x:v>
      </x:c>
      <x:c r="T388" s="17" t="n">
        <x:f>IF('Control Room'!$B$5="Normal",'Control Room'!$B$7,('Control Room'!$B$8+'Control Room'!$D$8)/2)+'Control Room'!$B$9*(T387-IF('Control Room'!$B$5="Normal",'Control Room'!$B$7,('Control Room'!$B$8+'Control Room'!$D$8)/2))+SQRT(1-'Control Room'!$B$9^2)*(S388-IF('Control Room'!$B$5="Normal",'Control Room'!$B$7,('Control Room'!$B$8+'Control Room'!$D$8)/2))</x:f>
        <x:v>904.8159992217363</x:v>
      </x:c>
      <x:c r="U388" s="17" t="n">
        <x:f>IF(AND($A388&gt;='Control Room'!$A$13,$A388&lt;'Control Room'!$A$13+'Control Room'!$B$13,'Process'!BN2=1),1+('Control Room'!$C$13-1)*EXP(-0.5*(($A388-'Control Room'!$A$13-('Control Room'!$B$13-1)/2)/MAX(0.5,'Control Room'!$B$13/4))^2),1)*IF(AND($A388&gt;='Control Room'!$A$14,$A388&lt;'Control Room'!$A$14+'Control Room'!$B$14,'Process'!BN3=1),1+('Control Room'!$C$14-1)*EXP(-0.5*(($A388-'Control Room'!$A$14-('Control Room'!$B$14-1)/2)/MAX(0.5,'Control Room'!$B$14/4))^2),1)*IF(AND($A388&gt;='Control Room'!$A$15,$A388&lt;'Control Room'!$A$15+'Control Room'!$B$15,'Process'!BN4=1),1+('Control Room'!$C$15-1)*EXP(-0.5*(($A388-'Control Room'!$A$15-('Control Room'!$B$15-1)/2)/MAX(0.5,'Control Room'!$B$15/4))^2),1)*IF(AND($A388&gt;='Control Room'!$A$16,$A388&lt;'Control Room'!$A$16+'Control Room'!$B$16,'Process'!BN5=1),1+('Control Room'!$C$16-1)*EXP(-0.5*(($A388-'Control Room'!$A$16-('Control Room'!$B$16-1)/2)/MAX(0.5,'Control Room'!$B$16/4))^2),1)</x:f>
        <x:v>1</x:v>
      </x:c>
      <x:c r="V388" s="9" t="n">
        <x:f>MOD(W387*16807,2147483647)</x:f>
        <x:v>2127445693</x:v>
      </x:c>
      <x:c r="W388" s="9" t="n">
        <x:f>MOD(V388*16807,2147483647)</x:f>
        <x:v>377039701</x:v>
      </x:c>
      <x:c r="X388" s="17" t="n">
        <x:f>IF('Control Room'!$B$5="Normal",'Control Room'!$B$7+'Control Room'!$D$7*SQRT(-2*LN(MAX(0.000000000001,V388/2147483647)))*COS(2*PI()*W388/2147483647),'Control Room'!$B$8+('Control Room'!$D$8-'Control Room'!$B$8)*V388/2147483647)</x:f>
        <x:v>1005.5552267185623</x:v>
      </x:c>
      <x:c r="Y388" s="17" t="n">
        <x:f>IF('Control Room'!$B$5="Normal",'Control Room'!$B$7,('Control Room'!$B$8+'Control Room'!$D$8)/2)+'Control Room'!$B$9*(Y387-IF('Control Room'!$B$5="Normal",'Control Room'!$B$7,('Control Room'!$B$8+'Control Room'!$D$8)/2))+SQRT(1-'Control Room'!$B$9^2)*(X388-IF('Control Room'!$B$5="Normal",'Control Room'!$B$7,('Control Room'!$B$8+'Control Room'!$D$8)/2))</x:f>
        <x:v>956.2570831392975</x:v>
      </x:c>
      <x:c r="Z388" s="17" t="n">
        <x:f>IF(AND($A388&gt;='Control Room'!$A$13,$A388&lt;'Control Room'!$A$13+'Control Room'!$B$13,'Process'!BO2=1),1+('Control Room'!$C$13-1)*EXP(-0.5*(($A388-'Control Room'!$A$13-('Control Room'!$B$13-1)/2)/MAX(0.5,'Control Room'!$B$13/4))^2),1)*IF(AND($A388&gt;='Control Room'!$A$14,$A388&lt;'Control Room'!$A$14+'Control Room'!$B$14,'Process'!BO3=1),1+('Control Room'!$C$14-1)*EXP(-0.5*(($A388-'Control Room'!$A$14-('Control Room'!$B$14-1)/2)/MAX(0.5,'Control Room'!$B$14/4))^2),1)*IF(AND($A388&gt;='Control Room'!$A$15,$A388&lt;'Control Room'!$A$15+'Control Room'!$B$15,'Process'!BO4=1),1+('Control Room'!$C$15-1)*EXP(-0.5*(($A388-'Control Room'!$A$15-('Control Room'!$B$15-1)/2)/MAX(0.5,'Control Room'!$B$15/4))^2),1)*IF(AND($A388&gt;='Control Room'!$A$16,$A388&lt;'Control Room'!$A$16+'Control Room'!$B$16,'Process'!BO5=1),1+('Control Room'!$C$16-1)*EXP(-0.5*(($A388-'Control Room'!$A$16-('Control Room'!$B$16-1)/2)/MAX(0.5,'Control Room'!$B$16/4))^2),1)</x:f>
        <x:v>1</x:v>
      </x:c>
      <x:c r="AA388" s="9" t="n">
        <x:f>MOD(AB387*16807,2147483647)</x:f>
        <x:v>1100371009</x:v>
      </x:c>
      <x:c r="AB388" s="9" t="n">
        <x:f>MOD(AA388*16807,2147483647)</x:f>
        <x:v>1953863946</x:v>
      </x:c>
      <x:c r="AC388" s="17" t="n">
        <x:f>IF('Control Room'!$B$5="Normal",'Control Room'!$B$7+'Control Room'!$D$7*SQRT(-2*LN(MAX(0.000000000001,AA388/2147483647)))*COS(2*PI()*AB388/2147483647),'Control Room'!$B$8+('Control Room'!$D$8-'Control Room'!$B$8)*AA388/2147483647)</x:f>
        <x:v>1087.818984671019</x:v>
      </x:c>
      <x:c r="AD388" s="17" t="n">
        <x:f>IF('Control Room'!$B$5="Normal",'Control Room'!$B$7,('Control Room'!$B$8+'Control Room'!$D$8)/2)+'Control Room'!$B$9*(AD387-IF('Control Room'!$B$5="Normal",'Control Room'!$B$7,('Control Room'!$B$8+'Control Room'!$D$8)/2))+SQRT(1-'Control Room'!$B$9^2)*(AC388-IF('Control Room'!$B$5="Normal",'Control Room'!$B$7,('Control Room'!$B$8+'Control Room'!$D$8)/2))</x:f>
        <x:v>1048.0740266898422</x:v>
      </x:c>
      <x:c r="AE388" s="17" t="n">
        <x:f>IF(AND($A388&gt;='Control Room'!$A$13,$A388&lt;'Control Room'!$A$13+'Control Room'!$B$13,'Process'!BP2=1),1+('Control Room'!$C$13-1)*EXP(-0.5*(($A388-'Control Room'!$A$13-('Control Room'!$B$13-1)/2)/MAX(0.5,'Control Room'!$B$13/4))^2),1)*IF(AND($A388&gt;='Control Room'!$A$14,$A388&lt;'Control Room'!$A$14+'Control Room'!$B$14,'Process'!BP3=1),1+('Control Room'!$C$14-1)*EXP(-0.5*(($A388-'Control Room'!$A$14-('Control Room'!$B$14-1)/2)/MAX(0.5,'Control Room'!$B$14/4))^2),1)*IF(AND($A388&gt;='Control Room'!$A$15,$A388&lt;'Control Room'!$A$15+'Control Room'!$B$15,'Process'!BP4=1),1+('Control Room'!$C$15-1)*EXP(-0.5*(($A388-'Control Room'!$A$15-('Control Room'!$B$15-1)/2)/MAX(0.5,'Control Room'!$B$15/4))^2),1)*IF(AND($A388&gt;='Control Room'!$A$16,$A388&lt;'Control Room'!$A$16+'Control Room'!$B$16,'Process'!BP5=1),1+('Control Room'!$C$16-1)*EXP(-0.5*(($A388-'Control Room'!$A$16-('Control Room'!$B$16-1)/2)/MAX(0.5,'Control Room'!$B$16/4))^2),1)</x:f>
        <x:v>1</x:v>
      </x:c>
      <x:c r="AF388" s="9" t="n">
        <x:f>MOD(AG387*16807,2147483647)</x:f>
        <x:v>73296325</x:v>
      </x:c>
      <x:c r="AG388" s="9" t="n">
        <x:f>MOD(AF388*16807,2147483647)</x:f>
        <x:v>1383204544</x:v>
      </x:c>
      <x:c r="AH388" s="17" t="n">
        <x:f>IF('Control Room'!$B$5="Normal",'Control Room'!$B$7+'Control Room'!$D$7*SQRT(-2*LN(MAX(0.000000000001,AF388/2147483647)))*COS(2*PI()*AG388/2147483647),'Control Room'!$B$8+('Control Room'!$D$8-'Control Room'!$B$8)*AF388/2147483647)</x:f>
        <x:v>855.5945915214659</x:v>
      </x:c>
      <x:c r="AI388" s="17" t="n">
        <x:f>IF('Control Room'!$B$5="Normal",'Control Room'!$B$7,('Control Room'!$B$8+'Control Room'!$D$8)/2)+'Control Room'!$B$9*(AI387-IF('Control Room'!$B$5="Normal",'Control Room'!$B$7,('Control Room'!$B$8+'Control Room'!$D$8)/2))+SQRT(1-'Control Room'!$B$9^2)*(AH388-IF('Control Room'!$B$5="Normal",'Control Room'!$B$7,('Control Room'!$B$8+'Control Room'!$D$8)/2))</x:f>
        <x:v>1007.7586987419809</x:v>
      </x:c>
      <x:c r="AJ388" s="17" t="n">
        <x:f>IF(AND($A388&gt;='Control Room'!$A$13,$A388&lt;'Control Room'!$A$13+'Control Room'!$B$13,'Process'!BQ2=1),1+('Control Room'!$C$13-1)*EXP(-0.5*(($A388-'Control Room'!$A$13-('Control Room'!$B$13-1)/2)/MAX(0.5,'Control Room'!$B$13/4))^2),1)*IF(AND($A388&gt;='Control Room'!$A$14,$A388&lt;'Control Room'!$A$14+'Control Room'!$B$14,'Process'!BQ3=1),1+('Control Room'!$C$14-1)*EXP(-0.5*(($A388-'Control Room'!$A$14-('Control Room'!$B$14-1)/2)/MAX(0.5,'Control Room'!$B$14/4))^2),1)*IF(AND($A388&gt;='Control Room'!$A$15,$A388&lt;'Control Room'!$A$15+'Control Room'!$B$15,'Process'!BQ4=1),1+('Control Room'!$C$15-1)*EXP(-0.5*(($A388-'Control Room'!$A$15-('Control Room'!$B$15-1)/2)/MAX(0.5,'Control Room'!$B$15/4))^2),1)*IF(AND($A388&gt;='Control Room'!$A$16,$A388&lt;'Control Room'!$A$16+'Control Room'!$B$16,'Process'!BQ5=1),1+('Control Room'!$C$16-1)*EXP(-0.5*(($A388-'Control Room'!$A$16-('Control Room'!$B$16-1)/2)/MAX(0.5,'Control Room'!$B$16/4))^2),1)</x:f>
        <x:v>1</x:v>
      </x:c>
      <x:c r="AK388" s="9" t="n">
        <x:f>MOD(AL387*16807,2147483647)</x:f>
        <x:v>1193705288</x:v>
      </x:c>
      <x:c r="AL388" s="9" t="n">
        <x:f>MOD(AK388*16807,2147483647)</x:f>
        <x:v>812545142</x:v>
      </x:c>
      <x:c r="AM388" s="17" t="n">
        <x:f>IF('Control Room'!$B$5="Normal",'Control Room'!$B$7+'Control Room'!$D$7*SQRT(-2*LN(MAX(0.000000000001,AK388/2147483647)))*COS(2*PI()*AL388/2147483647),'Control Room'!$B$8+('Control Room'!$D$8-'Control Room'!$B$8)*AK388/2147483647)</x:f>
        <x:v>929.5867586243684</x:v>
      </x:c>
      <x:c r="AN388" s="17" t="n">
        <x:f>IF('Control Room'!$B$5="Normal",'Control Room'!$B$7,('Control Room'!$B$8+'Control Room'!$D$8)/2)+'Control Room'!$B$9*(AN387-IF('Control Room'!$B$5="Normal",'Control Room'!$B$7,('Control Room'!$B$8+'Control Room'!$D$8)/2))+SQRT(1-'Control Room'!$B$9^2)*(AM388-IF('Control Room'!$B$5="Normal",'Control Room'!$B$7,('Control Room'!$B$8+'Control Room'!$D$8)/2))</x:f>
        <x:v>986.7111326550825</x:v>
      </x:c>
      <x:c r="AO388" s="17" t="n">
        <x:f>IF(AND($A388&gt;='Control Room'!$A$13,$A388&lt;'Control Room'!$A$13+'Control Room'!$B$13,'Process'!BR2=1),1+('Control Room'!$C$13-1)*EXP(-0.5*(($A388-'Control Room'!$A$13-('Control Room'!$B$13-1)/2)/MAX(0.5,'Control Room'!$B$13/4))^2),1)*IF(AND($A388&gt;='Control Room'!$A$14,$A388&lt;'Control Room'!$A$14+'Control Room'!$B$14,'Process'!BR3=1),1+('Control Room'!$C$14-1)*EXP(-0.5*(($A388-'Control Room'!$A$14-('Control Room'!$B$14-1)/2)/MAX(0.5,'Control Room'!$B$14/4))^2),1)*IF(AND($A388&gt;='Control Room'!$A$15,$A388&lt;'Control Room'!$A$15+'Control Room'!$B$15,'Process'!BR4=1),1+('Control Room'!$C$15-1)*EXP(-0.5*(($A388-'Control Room'!$A$15-('Control Room'!$B$15-1)/2)/MAX(0.5,'Control Room'!$B$15/4))^2),1)*IF(AND($A388&gt;='Control Room'!$A$16,$A388&lt;'Control Room'!$A$16+'Control Room'!$B$16,'Process'!BR5=1),1+('Control Room'!$C$16-1)*EXP(-0.5*(($A388-'Control Room'!$A$16-('Control Room'!$B$16-1)/2)/MAX(0.5,'Control Room'!$B$16/4))^2),1)</x:f>
        <x:v>1</x:v>
      </x:c>
      <x:c r="AP388" s="9" t="n">
        <x:f>MOD(AQ387*16807,2147483647)</x:f>
        <x:v>166630604</x:v>
      </x:c>
      <x:c r="AQ388" s="9" t="n">
        <x:f>MOD(AP388*16807,2147483647)</x:f>
        <x:v>241885740</x:v>
      </x:c>
      <x:c r="AR388" s="17" t="n">
        <x:f>IF('Control Room'!$B$5="Normal",'Control Room'!$B$7+'Control Room'!$D$7*SQRT(-2*LN(MAX(0.000000000001,AP388/2147483647)))*COS(2*PI()*AQ388/2147483647),'Control Room'!$B$8+('Control Room'!$D$8-'Control Room'!$B$8)*AP388/2147483647)</x:f>
        <x:v>1154.6277543332114</x:v>
      </x:c>
      <x:c r="AS388" s="17" t="n">
        <x:f>IF('Control Room'!$B$5="Normal",'Control Room'!$B$7,('Control Room'!$B$8+'Control Room'!$D$8)/2)+'Control Room'!$B$9*(AS387-IF('Control Room'!$B$5="Normal",'Control Room'!$B$7,('Control Room'!$B$8+'Control Room'!$D$8)/2))+SQRT(1-'Control Room'!$B$9^2)*(AR388-IF('Control Room'!$B$5="Normal",'Control Room'!$B$7,('Control Room'!$B$8+'Control Room'!$D$8)/2))</x:f>
        <x:v>1198.9508728482708</x:v>
      </x:c>
      <x:c r="AT388" s="17" t="n">
        <x:f>IF(AND($A388&gt;='Control Room'!$A$13,$A388&lt;'Control Room'!$A$13+'Control Room'!$B$13,'Process'!BS2=1),1+('Control Room'!$C$13-1)*EXP(-0.5*(($A388-'Control Room'!$A$13-('Control Room'!$B$13-1)/2)/MAX(0.5,'Control Room'!$B$13/4))^2),1)*IF(AND($A388&gt;='Control Room'!$A$14,$A388&lt;'Control Room'!$A$14+'Control Room'!$B$14,'Process'!BS3=1),1+('Control Room'!$C$14-1)*EXP(-0.5*(($A388-'Control Room'!$A$14-('Control Room'!$B$14-1)/2)/MAX(0.5,'Control Room'!$B$14/4))^2),1)*IF(AND($A388&gt;='Control Room'!$A$15,$A388&lt;'Control Room'!$A$15+'Control Room'!$B$15,'Process'!BS4=1),1+('Control Room'!$C$15-1)*EXP(-0.5*(($A388-'Control Room'!$A$15-('Control Room'!$B$15-1)/2)/MAX(0.5,'Control Room'!$B$15/4))^2),1)*IF(AND($A388&gt;='Control Room'!$A$16,$A388&lt;'Control Room'!$A$16+'Control Room'!$B$16,'Process'!BS5=1),1+('Control Room'!$C$16-1)*EXP(-0.5*(($A388-'Control Room'!$A$16-('Control Room'!$B$16-1)/2)/MAX(0.5,'Control Room'!$B$16/4))^2),1)</x:f>
        <x:v>1</x:v>
      </x:c>
      <x:c r="AU388" s="9" t="n">
        <x:f>MOD(AV387*16807,2147483647)</x:f>
        <x:v>1287039567</x:v>
      </x:c>
      <x:c r="AV388" s="9" t="n">
        <x:f>MOD(AU388*16807,2147483647)</x:f>
        <x:v>1818709985</x:v>
      </x:c>
      <x:c r="AW388" s="17" t="n">
        <x:f>IF('Control Room'!$B$5="Normal",'Control Room'!$B$7+'Control Room'!$D$7*SQRT(-2*LN(MAX(0.000000000001,AU388/2147483647)))*COS(2*PI()*AV388/2147483647),'Control Room'!$B$8+('Control Room'!$D$8-'Control Room'!$B$8)*AU388/2147483647)</x:f>
        <x:v>1052.085414656013</x:v>
      </x:c>
      <x:c r="AX388" s="17" t="n">
        <x:f>IF('Control Room'!$B$5="Normal",'Control Room'!$B$7,('Control Room'!$B$8+'Control Room'!$D$8)/2)+'Control Room'!$B$9*(AX387-IF('Control Room'!$B$5="Normal",'Control Room'!$B$7,('Control Room'!$B$8+'Control Room'!$D$8)/2))+SQRT(1-'Control Room'!$B$9^2)*(AW388-IF('Control Room'!$B$5="Normal",'Control Room'!$B$7,('Control Room'!$B$8+'Control Room'!$D$8)/2))</x:f>
        <x:v>1103.3341193555589</x:v>
      </x:c>
      <x:c r="AY388" s="17" t="n">
        <x:f>IF(AND($A388&gt;='Control Room'!$A$13,$A388&lt;'Control Room'!$A$13+'Control Room'!$B$13,'Process'!BT2=1),1+('Control Room'!$C$13-1)*EXP(-0.5*(($A388-'Control Room'!$A$13-('Control Room'!$B$13-1)/2)/MAX(0.5,'Control Room'!$B$13/4))^2),1)*IF(AND($A388&gt;='Control Room'!$A$14,$A388&lt;'Control Room'!$A$14+'Control Room'!$B$14,'Process'!BT3=1),1+('Control Room'!$C$14-1)*EXP(-0.5*(($A388-'Control Room'!$A$14-('Control Room'!$B$14-1)/2)/MAX(0.5,'Control Room'!$B$14/4))^2),1)*IF(AND($A388&gt;='Control Room'!$A$15,$A388&lt;'Control Room'!$A$15+'Control Room'!$B$15,'Process'!BT4=1),1+('Control Room'!$C$15-1)*EXP(-0.5*(($A388-'Control Room'!$A$15-('Control Room'!$B$15-1)/2)/MAX(0.5,'Control Room'!$B$15/4))^2),1)*IF(AND($A388&gt;='Control Room'!$A$16,$A388&lt;'Control Room'!$A$16+'Control Room'!$B$16,'Process'!BT5=1),1+('Control Room'!$C$16-1)*EXP(-0.5*(($A388-'Control Room'!$A$16-('Control Room'!$B$16-1)/2)/MAX(0.5,'Control Room'!$B$16/4))^2),1)</x:f>
        <x:v>1</x:v>
      </x:c>
      <x:c r="AZ388" s="9" t="n">
        <x:f>MOD(BA387*16807,2147483647)</x:f>
        <x:v>259964883</x:v>
      </x:c>
      <x:c r="BA388" s="9" t="n">
        <x:f>MOD(AZ388*16807,2147483647)</x:f>
        <x:v>1248050583</x:v>
      </x:c>
      <x:c r="BB388" s="17" t="n">
        <x:f>IF('Control Room'!$B$5="Normal",'Control Room'!$B$7+'Control Room'!$D$7*SQRT(-2*LN(MAX(0.000000000001,AZ388/2147483647)))*COS(2*PI()*BA388/2147483647),'Control Room'!$B$8+('Control Room'!$D$8-'Control Room'!$B$8)*AZ388/2147483647)</x:f>
        <x:v>838.5860696525249</x:v>
      </x:c>
      <x:c r="BC388" s="17" t="n">
        <x:f>IF('Control Room'!$B$5="Normal",'Control Room'!$B$7,('Control Room'!$B$8+'Control Room'!$D$8)/2)+'Control Room'!$B$9*(BC387-IF('Control Room'!$B$5="Normal",'Control Room'!$B$7,('Control Room'!$B$8+'Control Room'!$D$8)/2))+SQRT(1-'Control Room'!$B$9^2)*(BB388-IF('Control Room'!$B$5="Normal",'Control Room'!$B$7,('Control Room'!$B$8+'Control Room'!$D$8)/2))</x:f>
        <x:v>907.6257050039943</x:v>
      </x:c>
      <x:c r="BD388" s="17" t="n">
        <x:f>IF(AND($A388&gt;='Control Room'!$A$13,$A388&lt;'Control Room'!$A$13+'Control Room'!$B$13,'Process'!BU2=1),1+('Control Room'!$C$13-1)*EXP(-0.5*(($A388-'Control Room'!$A$13-('Control Room'!$B$13-1)/2)/MAX(0.5,'Control Room'!$B$13/4))^2),1)*IF(AND($A388&gt;='Control Room'!$A$14,$A388&lt;'Control Room'!$A$14+'Control Room'!$B$14,'Process'!BU3=1),1+('Control Room'!$C$14-1)*EXP(-0.5*(($A388-'Control Room'!$A$14-('Control Room'!$B$14-1)/2)/MAX(0.5,'Control Room'!$B$14/4))^2),1)*IF(AND($A388&gt;='Control Room'!$A$15,$A388&lt;'Control Room'!$A$15+'Control Room'!$B$15,'Process'!BU4=1),1+('Control Room'!$C$15-1)*EXP(-0.5*(($A388-'Control Room'!$A$15-('Control Room'!$B$15-1)/2)/MAX(0.5,'Control Room'!$B$15/4))^2),1)*IF(AND($A388&gt;='Control Room'!$A$16,$A388&lt;'Control Room'!$A$16+'Control Room'!$B$16,'Process'!BU5=1),1+('Control Room'!$C$16-1)*EXP(-0.5*(($A388-'Control Room'!$A$16-('Control Room'!$B$16-1)/2)/MAX(0.5,'Control Room'!$B$16/4))^2),1)</x:f>
        <x:v>1</x:v>
      </x:c>
      <x:c r="BE388" s="9" t="n">
        <x:f>MOD(BF387*16807,2147483647)</x:f>
        <x:v>1380373846</x:v>
      </x:c>
      <x:c r="BF388" s="9" t="n">
        <x:f>MOD(BE388*16807,2147483647)</x:f>
        <x:v>677391181</x:v>
      </x:c>
      <x:c r="BG388" s="17" t="n">
        <x:f>IF('Control Room'!$B$5="Normal",'Control Room'!$B$7+'Control Room'!$D$7*SQRT(-2*LN(MAX(0.000000000001,BE388/2147483647)))*COS(2*PI()*BF388/2147483647),'Control Room'!$B$8+('Control Room'!$D$8-'Control Room'!$B$8)*BE388/2147483647)</x:f>
        <x:v>966.1838291825361</x:v>
      </x:c>
      <x:c r="BH388" s="17" t="n">
        <x:f>IF('Control Room'!$B$5="Normal",'Control Room'!$B$7,('Control Room'!$B$8+'Control Room'!$D$8)/2)+'Control Room'!$B$9*(BH387-IF('Control Room'!$B$5="Normal",'Control Room'!$B$7,('Control Room'!$B$8+'Control Room'!$D$8)/2))+SQRT(1-'Control Room'!$B$9^2)*(BG388-IF('Control Room'!$B$5="Normal",'Control Room'!$B$7,('Control Room'!$B$8+'Control Room'!$D$8)/2))</x:f>
        <x:v>953.8864092905906</x:v>
      </x:c>
      <x:c r="BI388" s="17" t="n">
        <x:f>IF(AND($A388&gt;='Control Room'!$A$13,$A388&lt;'Control Room'!$A$13+'Control Room'!$B$13,'Process'!BV2=1),1+('Control Room'!$C$13-1)*EXP(-0.5*(($A388-'Control Room'!$A$13-('Control Room'!$B$13-1)/2)/MAX(0.5,'Control Room'!$B$13/4))^2),1)*IF(AND($A388&gt;='Control Room'!$A$14,$A388&lt;'Control Room'!$A$14+'Control Room'!$B$14,'Process'!BV3=1),1+('Control Room'!$C$14-1)*EXP(-0.5*(($A388-'Control Room'!$A$14-('Control Room'!$B$14-1)/2)/MAX(0.5,'Control Room'!$B$14/4))^2),1)*IF(AND($A388&gt;='Control Room'!$A$15,$A388&lt;'Control Room'!$A$15+'Control Room'!$B$15,'Process'!BV4=1),1+('Control Room'!$C$15-1)*EXP(-0.5*(($A388-'Control Room'!$A$15-('Control Room'!$B$15-1)/2)/MAX(0.5,'Control Room'!$B$15/4))^2),1)*IF(AND($A388&gt;='Control Room'!$A$16,$A388&lt;'Control Room'!$A$16+'Control Room'!$B$16,'Process'!BV5=1),1+('Control Room'!$C$16-1)*EXP(-0.5*(($A388-'Control Room'!$A$16-('Control Room'!$B$16-1)/2)/MAX(0.5,'Control Room'!$B$16/4))^2),1)</x:f>
        <x:v>1</x:v>
      </x:c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Z388" t="str">
        <x:f>IF('Data'!A388="","",TEXT('Data'!A388,"mm-dd"))</x:f>
      </x:c>
    </x:row>
    <x:row r="389" ht="21" customHeight="1">
      <x:c r="A389" s="15" t="n">
        <x:f>'Control Room'!$B$1+387</x:f>
        <x:v>73378</x:v>
      </x:c>
      <x:c r="B389" s="9" t="n">
        <x:f>MOD(C388*16807,2147483647)</x:f>
        <x:v>1324420058</x:v>
      </x:c>
      <x:c r="C389" s="9" t="n">
        <x:f>MOD(B389*16807,2147483647)</x:f>
        <x:v>859913651</x:v>
      </x:c>
      <x:c r="D389" s="17" t="n">
        <x:f>IF('Control Room'!$B$5="Normal",'Control Room'!$B$7+'Control Room'!$D$7*SQRT(-2*LN(MAX(0.000000000001,B389/2147483647)))*COS(2*PI()*C389/2147483647),'Control Room'!$B$8+('Control Room'!$D$8-'Control Room'!$B$8)*B389/2147483647)</x:f>
        <x:v>928.2733425995037</x:v>
      </x:c>
      <x:c r="E389" s="17" t="n">
        <x:f>IF('Control Room'!$B$5="Normal",'Control Room'!$B$7,('Control Room'!$B$8+'Control Room'!$D$8)/2)+'Control Room'!$B$9*(E388-IF('Control Room'!$B$5="Normal",'Control Room'!$B$7,('Control Room'!$B$8+'Control Room'!$D$8)/2))+SQRT(1-'Control Room'!$B$9^2)*(D389-IF('Control Room'!$B$5="Normal",'Control Room'!$B$7,('Control Room'!$B$8+'Control Room'!$D$8)/2))</x:f>
        <x:v>961.6206175272029</x:v>
      </x:c>
      <x:c r="F389" s="17" t="n">
        <x:f>IF(AND($A389&gt;='Control Room'!$A$13,$A389&lt;'Control Room'!$A$13+'Control Room'!$B$13,'Process'!BK2=1),1+('Control Room'!$C$13-1)*EXP(-0.5*(($A389-'Control Room'!$A$13-('Control Room'!$B$13-1)/2)/MAX(0.5,'Control Room'!$B$13/4))^2),1)*IF(AND($A389&gt;='Control Room'!$A$14,$A389&lt;'Control Room'!$A$14+'Control Room'!$B$14,'Process'!BK3=1),1+('Control Room'!$C$14-1)*EXP(-0.5*(($A389-'Control Room'!$A$14-('Control Room'!$B$14-1)/2)/MAX(0.5,'Control Room'!$B$14/4))^2),1)*IF(AND($A389&gt;='Control Room'!$A$15,$A389&lt;'Control Room'!$A$15+'Control Room'!$B$15,'Process'!BK4=1),1+('Control Room'!$C$15-1)*EXP(-0.5*(($A389-'Control Room'!$A$15-('Control Room'!$B$15-1)/2)/MAX(0.5,'Control Room'!$B$15/4))^2),1)*IF(AND($A389&gt;='Control Room'!$A$16,$A389&lt;'Control Room'!$A$16+'Control Room'!$B$16,'Process'!BK5=1),1+('Control Room'!$C$16-1)*EXP(-0.5*(($A389-'Control Room'!$A$16-('Control Room'!$B$16-1)/2)/MAX(0.5,'Control Room'!$B$16/4))^2),1)</x:f>
        <x:v>1</x:v>
      </x:c>
      <x:c r="G389" s="9" t="n">
        <x:f>MOD(H388*16807,2147483647)</x:f>
        <x:v>913818146</x:v>
      </x:c>
      <x:c r="H389" s="9" t="n">
        <x:f>MOD(G389*16807,2147483647)</x:f>
        <x:v>1886020125</x:v>
      </x:c>
      <x:c r="I389" s="17" t="n">
        <x:f>IF('Control Room'!$B$5="Normal",'Control Room'!$B$7+'Control Room'!$D$7*SQRT(-2*LN(MAX(0.000000000001,G389/2147483647)))*COS(2*PI()*H389/2147483647),'Control Room'!$B$8+('Control Room'!$D$8-'Control Room'!$B$8)*G389/2147483647)</x:f>
        <x:v>1084.870953349715</x:v>
      </x:c>
      <x:c r="J389" s="17" t="n">
        <x:f>IF('Control Room'!$B$5="Normal",'Control Room'!$B$7,('Control Room'!$B$8+'Control Room'!$D$8)/2)+'Control Room'!$B$9*(J388-IF('Control Room'!$B$5="Normal",'Control Room'!$B$7,('Control Room'!$B$8+'Control Room'!$D$8)/2))+SQRT(1-'Control Room'!$B$9^2)*(I389-IF('Control Room'!$B$5="Normal",'Control Room'!$B$7,('Control Room'!$B$8+'Control Room'!$D$8)/2))</x:f>
        <x:v>1140.7758486592024</x:v>
      </x:c>
      <x:c r="K389" s="17" t="n">
        <x:f>IF(AND($A389&gt;='Control Room'!$A$13,$A389&lt;'Control Room'!$A$13+'Control Room'!$B$13,'Process'!BL2=1),1+('Control Room'!$C$13-1)*EXP(-0.5*(($A389-'Control Room'!$A$13-('Control Room'!$B$13-1)/2)/MAX(0.5,'Control Room'!$B$13/4))^2),1)*IF(AND($A389&gt;='Control Room'!$A$14,$A389&lt;'Control Room'!$A$14+'Control Room'!$B$14,'Process'!BL3=1),1+('Control Room'!$C$14-1)*EXP(-0.5*(($A389-'Control Room'!$A$14-('Control Room'!$B$14-1)/2)/MAX(0.5,'Control Room'!$B$14/4))^2),1)*IF(AND($A389&gt;='Control Room'!$A$15,$A389&lt;'Control Room'!$A$15+'Control Room'!$B$15,'Process'!BL4=1),1+('Control Room'!$C$15-1)*EXP(-0.5*(($A389-'Control Room'!$A$15-('Control Room'!$B$15-1)/2)/MAX(0.5,'Control Room'!$B$15/4))^2),1)*IF(AND($A389&gt;='Control Room'!$A$16,$A389&lt;'Control Room'!$A$16+'Control Room'!$B$16,'Process'!BL5=1),1+('Control Room'!$C$16-1)*EXP(-0.5*(($A389-'Control Room'!$A$16-('Control Room'!$B$16-1)/2)/MAX(0.5,'Control Room'!$B$16/4))^2),1)</x:f>
        <x:v>1</x:v>
      </x:c>
      <x:c r="L389" s="9" t="n">
        <x:f>MOD(M388*16807,2147483647)</x:f>
        <x:v>503216234</x:v>
      </x:c>
      <x:c r="M389" s="9" t="n">
        <x:f>MOD(L389*16807,2147483647)</x:f>
        <x:v>764642952</x:v>
      </x:c>
      <x:c r="N389" s="17" t="n">
        <x:f>IF('Control Room'!$B$5="Normal",'Control Room'!$B$7+'Control Room'!$D$7*SQRT(-2*LN(MAX(0.000000000001,L389/2147483647)))*COS(2*PI()*M389/2147483647),'Control Room'!$B$8+('Control Room'!$D$8-'Control Room'!$B$8)*L389/2147483647)</x:f>
        <x:v>905.2214341031935</x:v>
      </x:c>
      <x:c r="O389" s="17" t="n">
        <x:f>IF('Control Room'!$B$5="Normal",'Control Room'!$B$7,('Control Room'!$B$8+'Control Room'!$D$8)/2)+'Control Room'!$B$9*(O388-IF('Control Room'!$B$5="Normal",'Control Room'!$B$7,('Control Room'!$B$8+'Control Room'!$D$8)/2))+SQRT(1-'Control Room'!$B$9^2)*(N389-IF('Control Room'!$B$5="Normal",'Control Room'!$B$7,('Control Room'!$B$8+'Control Room'!$D$8)/2))</x:f>
        <x:v>891.6326414539848</x:v>
      </x:c>
      <x:c r="P389" s="17" t="n">
        <x:f>IF(AND($A389&gt;='Control Room'!$A$13,$A389&lt;'Control Room'!$A$13+'Control Room'!$B$13,'Process'!BM2=1),1+('Control Room'!$C$13-1)*EXP(-0.5*(($A389-'Control Room'!$A$13-('Control Room'!$B$13-1)/2)/MAX(0.5,'Control Room'!$B$13/4))^2),1)*IF(AND($A389&gt;='Control Room'!$A$14,$A389&lt;'Control Room'!$A$14+'Control Room'!$B$14,'Process'!BM3=1),1+('Control Room'!$C$14-1)*EXP(-0.5*(($A389-'Control Room'!$A$14-('Control Room'!$B$14-1)/2)/MAX(0.5,'Control Room'!$B$14/4))^2),1)*IF(AND($A389&gt;='Control Room'!$A$15,$A389&lt;'Control Room'!$A$15+'Control Room'!$B$15,'Process'!BM4=1),1+('Control Room'!$C$15-1)*EXP(-0.5*(($A389-'Control Room'!$A$15-('Control Room'!$B$15-1)/2)/MAX(0.5,'Control Room'!$B$15/4))^2),1)*IF(AND($A389&gt;='Control Room'!$A$16,$A389&lt;'Control Room'!$A$16+'Control Room'!$B$16,'Process'!BM5=1),1+('Control Room'!$C$16-1)*EXP(-0.5*(($A389-'Control Room'!$A$16-('Control Room'!$B$16-1)/2)/MAX(0.5,'Control Room'!$B$16/4))^2),1)</x:f>
        <x:v>1</x:v>
      </x:c>
      <x:c r="Q389" s="9" t="n">
        <x:f>MOD(R388*16807,2147483647)</x:f>
        <x:v>92614322</x:v>
      </x:c>
      <x:c r="R389" s="9" t="n">
        <x:f>MOD(Q389*16807,2147483647)</x:f>
        <x:v>1790749426</x:v>
      </x:c>
      <x:c r="S389" s="17" t="n">
        <x:f>IF('Control Room'!$B$5="Normal",'Control Room'!$B$7+'Control Room'!$D$7*SQRT(-2*LN(MAX(0.000000000001,Q389/2147483647)))*COS(2*PI()*R389/2147483647),'Control Room'!$B$8+('Control Room'!$D$8-'Control Room'!$B$8)*Q389/2147483647)</x:f>
        <x:v>1113.5083544814906</x:v>
      </x:c>
      <x:c r="T389" s="17" t="n">
        <x:f>IF('Control Room'!$B$5="Normal",'Control Room'!$B$7,('Control Room'!$B$8+'Control Room'!$D$8)/2)+'Control Room'!$B$9*(T388-IF('Control Room'!$B$5="Normal",'Control Room'!$B$7,('Control Room'!$B$8+'Control Room'!$D$8)/2))+SQRT(1-'Control Room'!$B$9^2)*(S389-IF('Control Room'!$B$5="Normal",'Control Room'!$B$7,('Control Room'!$B$8+'Control Room'!$D$8)/2))</x:f>
        <x:v>996.7876822824359</x:v>
      </x:c>
      <x:c r="U389" s="17" t="n">
        <x:f>IF(AND($A389&gt;='Control Room'!$A$13,$A389&lt;'Control Room'!$A$13+'Control Room'!$B$13,'Process'!BN2=1),1+('Control Room'!$C$13-1)*EXP(-0.5*(($A389-'Control Room'!$A$13-('Control Room'!$B$13-1)/2)/MAX(0.5,'Control Room'!$B$13/4))^2),1)*IF(AND($A389&gt;='Control Room'!$A$14,$A389&lt;'Control Room'!$A$14+'Control Room'!$B$14,'Process'!BN3=1),1+('Control Room'!$C$14-1)*EXP(-0.5*(($A389-'Control Room'!$A$14-('Control Room'!$B$14-1)/2)/MAX(0.5,'Control Room'!$B$14/4))^2),1)*IF(AND($A389&gt;='Control Room'!$A$15,$A389&lt;'Control Room'!$A$15+'Control Room'!$B$15,'Process'!BN4=1),1+('Control Room'!$C$15-1)*EXP(-0.5*(($A389-'Control Room'!$A$15-('Control Room'!$B$15-1)/2)/MAX(0.5,'Control Room'!$B$15/4))^2),1)*IF(AND($A389&gt;='Control Room'!$A$16,$A389&lt;'Control Room'!$A$16+'Control Room'!$B$16,'Process'!BN5=1),1+('Control Room'!$C$16-1)*EXP(-0.5*(($A389-'Control Room'!$A$16-('Control Room'!$B$16-1)/2)/MAX(0.5,'Control Room'!$B$16/4))^2),1)</x:f>
        <x:v>1</x:v>
      </x:c>
      <x:c r="V389" s="9" t="n">
        <x:f>MOD(W388*16807,2147483647)</x:f>
        <x:v>1829496057</x:v>
      </x:c>
      <x:c r="W389" s="9" t="n">
        <x:f>MOD(V389*16807,2147483647)</x:f>
        <x:v>669372253</x:v>
      </x:c>
      <x:c r="X389" s="17" t="n">
        <x:f>IF('Control Room'!$B$5="Normal",'Control Room'!$B$7+'Control Room'!$D$7*SQRT(-2*LN(MAX(0.000000000001,V389/2147483647)))*COS(2*PI()*W389/2147483647),'Control Room'!$B$8+('Control Room'!$D$8-'Control Room'!$B$8)*V389/2147483647)</x:f>
        <x:v>980.7379911812764</x:v>
      </x:c>
      <x:c r="Y389" s="17" t="n">
        <x:f>IF('Control Room'!$B$5="Normal",'Control Room'!$B$7,('Control Room'!$B$8+'Control Room'!$D$8)/2)+'Control Room'!$B$9*(Y388-IF('Control Room'!$B$5="Normal",'Control Room'!$B$7,('Control Room'!$B$8+'Control Room'!$D$8)/2))+SQRT(1-'Control Room'!$B$9^2)*(X389-IF('Control Room'!$B$5="Normal",'Control Room'!$B$7,('Control Room'!$B$8+'Control Room'!$D$8)/2))</x:f>
        <x:v>953.8267543335941</x:v>
      </x:c>
      <x:c r="Z389" s="17" t="n">
        <x:f>IF(AND($A389&gt;='Control Room'!$A$13,$A389&lt;'Control Room'!$A$13+'Control Room'!$B$13,'Process'!BO2=1),1+('Control Room'!$C$13-1)*EXP(-0.5*(($A389-'Control Room'!$A$13-('Control Room'!$B$13-1)/2)/MAX(0.5,'Control Room'!$B$13/4))^2),1)*IF(AND($A389&gt;='Control Room'!$A$14,$A389&lt;'Control Room'!$A$14+'Control Room'!$B$14,'Process'!BO3=1),1+('Control Room'!$C$14-1)*EXP(-0.5*(($A389-'Control Room'!$A$14-('Control Room'!$B$14-1)/2)/MAX(0.5,'Control Room'!$B$14/4))^2),1)*IF(AND($A389&gt;='Control Room'!$A$15,$A389&lt;'Control Room'!$A$15+'Control Room'!$B$15,'Process'!BO4=1),1+('Control Room'!$C$15-1)*EXP(-0.5*(($A389-'Control Room'!$A$15-('Control Room'!$B$15-1)/2)/MAX(0.5,'Control Room'!$B$15/4))^2),1)*IF(AND($A389&gt;='Control Room'!$A$16,$A389&lt;'Control Room'!$A$16+'Control Room'!$B$16,'Process'!BO5=1),1+('Control Room'!$C$16-1)*EXP(-0.5*(($A389-'Control Room'!$A$16-('Control Room'!$B$16-1)/2)/MAX(0.5,'Control Room'!$B$16/4))^2),1)</x:f>
        <x:v>1</x:v>
      </x:c>
      <x:c r="AA389" s="9" t="n">
        <x:f>MOD(AB388*16807,2147483647)</x:f>
        <x:v>1418894145</x:v>
      </x:c>
      <x:c r="AB389" s="9" t="n">
        <x:f>MOD(AA389*16807,2147483647)</x:f>
        <x:v>1695478727</x:v>
      </x:c>
      <x:c r="AC389" s="17" t="n">
        <x:f>IF('Control Room'!$B$5="Normal",'Control Room'!$B$7+'Control Room'!$D$7*SQRT(-2*LN(MAX(0.000000000001,AA389/2147483647)))*COS(2*PI()*AB389/2147483647),'Control Room'!$B$8+('Control Room'!$D$8-'Control Room'!$B$8)*AA389/2147483647)</x:f>
        <x:v>1020.1367359270174</x:v>
      </x:c>
      <x:c r="AD389" s="17" t="n">
        <x:f>IF('Control Room'!$B$5="Normal",'Control Room'!$B$7,('Control Room'!$B$8+'Control Room'!$D$8)/2)+'Control Room'!$B$9*(AD388-IF('Control Room'!$B$5="Normal",'Control Room'!$B$7,('Control Room'!$B$8+'Control Room'!$D$8)/2))+SQRT(1-'Control Room'!$B$9^2)*(AC389-IF('Control Room'!$B$5="Normal",'Control Room'!$B$7,('Control Room'!$B$8+'Control Room'!$D$8)/2))</x:f>
        <x:v>1050.0988976377462</x:v>
      </x:c>
      <x:c r="AE389" s="17" t="n">
        <x:f>IF(AND($A389&gt;='Control Room'!$A$13,$A389&lt;'Control Room'!$A$13+'Control Room'!$B$13,'Process'!BP2=1),1+('Control Room'!$C$13-1)*EXP(-0.5*(($A389-'Control Room'!$A$13-('Control Room'!$B$13-1)/2)/MAX(0.5,'Control Room'!$B$13/4))^2),1)*IF(AND($A389&gt;='Control Room'!$A$14,$A389&lt;'Control Room'!$A$14+'Control Room'!$B$14,'Process'!BP3=1),1+('Control Room'!$C$14-1)*EXP(-0.5*(($A389-'Control Room'!$A$14-('Control Room'!$B$14-1)/2)/MAX(0.5,'Control Room'!$B$14/4))^2),1)*IF(AND($A389&gt;='Control Room'!$A$15,$A389&lt;'Control Room'!$A$15+'Control Room'!$B$15,'Process'!BP4=1),1+('Control Room'!$C$15-1)*EXP(-0.5*(($A389-'Control Room'!$A$15-('Control Room'!$B$15-1)/2)/MAX(0.5,'Control Room'!$B$15/4))^2),1)*IF(AND($A389&gt;='Control Room'!$A$16,$A389&lt;'Control Room'!$A$16+'Control Room'!$B$16,'Process'!BP5=1),1+('Control Room'!$C$16-1)*EXP(-0.5*(($A389-'Control Room'!$A$16-('Control Room'!$B$16-1)/2)/MAX(0.5,'Control Room'!$B$16/4))^2),1)</x:f>
        <x:v>1</x:v>
      </x:c>
      <x:c r="AF389" s="9" t="n">
        <x:f>MOD(AG388*16807,2147483647)</x:f>
        <x:v>1008292233</x:v>
      </x:c>
      <x:c r="AG389" s="9" t="n">
        <x:f>MOD(AF389*16807,2147483647)</x:f>
        <x:v>574101554</x:v>
      </x:c>
      <x:c r="AH389" s="17" t="n">
        <x:f>IF('Control Room'!$B$5="Normal",'Control Room'!$B$7+'Control Room'!$D$7*SQRT(-2*LN(MAX(0.000000000001,AF389/2147483647)))*COS(2*PI()*AG389/2147483647),'Control Room'!$B$8+('Control Room'!$D$8-'Control Room'!$B$8)*AF389/2147483647)</x:f>
        <x:v>987.96847067713</x:v>
      </x:c>
      <x:c r="AI389" s="17" t="n">
        <x:f>IF('Control Room'!$B$5="Normal",'Control Room'!$B$7,('Control Room'!$B$8+'Control Room'!$D$8)/2)+'Control Room'!$B$9*(AI388-IF('Control Room'!$B$5="Normal",'Control Room'!$B$7,('Control Room'!$B$8+'Control Room'!$D$8)/2))+SQRT(1-'Control Room'!$B$9^2)*(AH389-IF('Control Room'!$B$5="Normal",'Control Room'!$B$7,('Control Room'!$B$8+'Control Room'!$D$8)/2))</x:f>
        <x:v>998.5227004477686</x:v>
      </x:c>
      <x:c r="AJ389" s="17" t="n">
        <x:f>IF(AND($A389&gt;='Control Room'!$A$13,$A389&lt;'Control Room'!$A$13+'Control Room'!$B$13,'Process'!BQ2=1),1+('Control Room'!$C$13-1)*EXP(-0.5*(($A389-'Control Room'!$A$13-('Control Room'!$B$13-1)/2)/MAX(0.5,'Control Room'!$B$13/4))^2),1)*IF(AND($A389&gt;='Control Room'!$A$14,$A389&lt;'Control Room'!$A$14+'Control Room'!$B$14,'Process'!BQ3=1),1+('Control Room'!$C$14-1)*EXP(-0.5*(($A389-'Control Room'!$A$14-('Control Room'!$B$14-1)/2)/MAX(0.5,'Control Room'!$B$14/4))^2),1)*IF(AND($A389&gt;='Control Room'!$A$15,$A389&lt;'Control Room'!$A$15+'Control Room'!$B$15,'Process'!BQ4=1),1+('Control Room'!$C$15-1)*EXP(-0.5*(($A389-'Control Room'!$A$15-('Control Room'!$B$15-1)/2)/MAX(0.5,'Control Room'!$B$15/4))^2),1)*IF(AND($A389&gt;='Control Room'!$A$16,$A389&lt;'Control Room'!$A$16+'Control Room'!$B$16,'Process'!BQ5=1),1+('Control Room'!$C$16-1)*EXP(-0.5*(($A389-'Control Room'!$A$16-('Control Room'!$B$16-1)/2)/MAX(0.5,'Control Room'!$B$16/4))^2),1)</x:f>
        <x:v>1</x:v>
      </x:c>
      <x:c r="AK389" s="9" t="n">
        <x:f>MOD(AL388*16807,2147483647)</x:f>
        <x:v>597690321</x:v>
      </x:c>
      <x:c r="AL389" s="9" t="n">
        <x:f>MOD(AK389*16807,2147483647)</x:f>
        <x:v>1600208028</x:v>
      </x:c>
      <x:c r="AM389" s="17" t="n">
        <x:f>IF('Control Room'!$B$5="Normal",'Control Room'!$B$7+'Control Room'!$D$7*SQRT(-2*LN(MAX(0.000000000001,AK389/2147483647)))*COS(2*PI()*AL389/2147483647),'Control Room'!$B$8+('Control Room'!$D$8-'Control Room'!$B$8)*AK389/2147483647)</x:f>
        <x:v>995.6187095253404</x:v>
      </x:c>
      <x:c r="AN389" s="17" t="n">
        <x:f>IF('Control Room'!$B$5="Normal",'Control Room'!$B$7,('Control Room'!$B$8+'Control Room'!$D$8)/2)+'Control Room'!$B$9*(AN388-IF('Control Room'!$B$5="Normal",'Control Room'!$B$7,('Control Room'!$B$8+'Control Room'!$D$8)/2))+SQRT(1-'Control Room'!$B$9^2)*(AM389-IF('Control Room'!$B$5="Normal",'Control Room'!$B$7,('Control Room'!$B$8+'Control Room'!$D$8)/2))</x:f>
        <x:v>986.8929616475364</x:v>
      </x:c>
      <x:c r="AO389" s="17" t="n">
        <x:f>IF(AND($A389&gt;='Control Room'!$A$13,$A389&lt;'Control Room'!$A$13+'Control Room'!$B$13,'Process'!BR2=1),1+('Control Room'!$C$13-1)*EXP(-0.5*(($A389-'Control Room'!$A$13-('Control Room'!$B$13-1)/2)/MAX(0.5,'Control Room'!$B$13/4))^2),1)*IF(AND($A389&gt;='Control Room'!$A$14,$A389&lt;'Control Room'!$A$14+'Control Room'!$B$14,'Process'!BR3=1),1+('Control Room'!$C$14-1)*EXP(-0.5*(($A389-'Control Room'!$A$14-('Control Room'!$B$14-1)/2)/MAX(0.5,'Control Room'!$B$14/4))^2),1)*IF(AND($A389&gt;='Control Room'!$A$15,$A389&lt;'Control Room'!$A$15+'Control Room'!$B$15,'Process'!BR4=1),1+('Control Room'!$C$15-1)*EXP(-0.5*(($A389-'Control Room'!$A$15-('Control Room'!$B$15-1)/2)/MAX(0.5,'Control Room'!$B$15/4))^2),1)*IF(AND($A389&gt;='Control Room'!$A$16,$A389&lt;'Control Room'!$A$16+'Control Room'!$B$16,'Process'!BR5=1),1+('Control Room'!$C$16-1)*EXP(-0.5*(($A389-'Control Room'!$A$16-('Control Room'!$B$16-1)/2)/MAX(0.5,'Control Room'!$B$16/4))^2),1)</x:f>
        <x:v>1</x:v>
      </x:c>
      <x:c r="AP389" s="9" t="n">
        <x:f>MOD(AQ388*16807,2147483647)</x:f>
        <x:v>187088409</x:v>
      </x:c>
      <x:c r="AQ389" s="9" t="n">
        <x:f>MOD(AP389*16807,2147483647)</x:f>
        <x:v>478830855</x:v>
      </x:c>
      <x:c r="AR389" s="17" t="n">
        <x:f>IF('Control Room'!$B$5="Normal",'Control Room'!$B$7+'Control Room'!$D$7*SQRT(-2*LN(MAX(0.000000000001,AP389/2147483647)))*COS(2*PI()*AQ389/2147483647),'Control Room'!$B$8+('Control Room'!$D$8-'Control Room'!$B$8)*AP389/2147483647)</x:f>
        <x:v>1033.603368475508</x:v>
      </x:c>
      <x:c r="AS389" s="17" t="n">
        <x:f>IF('Control Room'!$B$5="Normal",'Control Room'!$B$7,('Control Room'!$B$8+'Control Room'!$D$8)/2)+'Control Room'!$B$9*(AS388-IF('Control Room'!$B$5="Normal",'Control Room'!$B$7,('Control Room'!$B$8+'Control Room'!$D$8)/2))+SQRT(1-'Control Room'!$B$9^2)*(AR389-IF('Control Room'!$B$5="Normal",'Control Room'!$B$7,('Control Room'!$B$8+'Control Room'!$D$8)/2))</x:f>
        <x:v>1176.2099804112029</x:v>
      </x:c>
      <x:c r="AT389" s="17" t="n">
        <x:f>IF(AND($A389&gt;='Control Room'!$A$13,$A389&lt;'Control Room'!$A$13+'Control Room'!$B$13,'Process'!BS2=1),1+('Control Room'!$C$13-1)*EXP(-0.5*(($A389-'Control Room'!$A$13-('Control Room'!$B$13-1)/2)/MAX(0.5,'Control Room'!$B$13/4))^2),1)*IF(AND($A389&gt;='Control Room'!$A$14,$A389&lt;'Control Room'!$A$14+'Control Room'!$B$14,'Process'!BS3=1),1+('Control Room'!$C$14-1)*EXP(-0.5*(($A389-'Control Room'!$A$14-('Control Room'!$B$14-1)/2)/MAX(0.5,'Control Room'!$B$14/4))^2),1)*IF(AND($A389&gt;='Control Room'!$A$15,$A389&lt;'Control Room'!$A$15+'Control Room'!$B$15,'Process'!BS4=1),1+('Control Room'!$C$15-1)*EXP(-0.5*(($A389-'Control Room'!$A$15-('Control Room'!$B$15-1)/2)/MAX(0.5,'Control Room'!$B$15/4))^2),1)*IF(AND($A389&gt;='Control Room'!$A$16,$A389&lt;'Control Room'!$A$16+'Control Room'!$B$16,'Process'!BS5=1),1+('Control Room'!$C$16-1)*EXP(-0.5*(($A389-'Control Room'!$A$16-('Control Room'!$B$16-1)/2)/MAX(0.5,'Control Room'!$B$16/4))^2),1)</x:f>
        <x:v>1</x:v>
      </x:c>
      <x:c r="AU389" s="9" t="n">
        <x:f>MOD(AV388*16807,2147483647)</x:f>
        <x:v>1923970144</x:v>
      </x:c>
      <x:c r="AV389" s="9" t="n">
        <x:f>MOD(AU389*16807,2147483647)</x:f>
        <x:v>1504937329</x:v>
      </x:c>
      <x:c r="AW389" s="17" t="n">
        <x:f>IF('Control Room'!$B$5="Normal",'Control Room'!$B$7+'Control Room'!$D$7*SQRT(-2*LN(MAX(0.000000000001,AU389/2147483647)))*COS(2*PI()*AV389/2147483647),'Control Room'!$B$8+('Control Room'!$D$8-'Control Room'!$B$8)*AU389/2147483647)</x:f>
        <x:v>987.1604380651779</x:v>
      </x:c>
      <x:c r="AX389" s="17" t="n">
        <x:f>IF('Control Room'!$B$5="Normal",'Control Room'!$B$7,('Control Room'!$B$8+'Control Room'!$D$8)/2)+'Control Room'!$B$9*(AX388-IF('Control Room'!$B$5="Normal",'Control Room'!$B$7,('Control Room'!$B$8+'Control Room'!$D$8)/2))+SQRT(1-'Control Room'!$B$9^2)*(AW389-IF('Control Room'!$B$5="Normal",'Control Room'!$B$7,('Control Room'!$B$8+'Control Room'!$D$8)/2))</x:f>
        <x:v>1072.5658782712476</x:v>
      </x:c>
      <x:c r="AY389" s="17" t="n">
        <x:f>IF(AND($A389&gt;='Control Room'!$A$13,$A389&lt;'Control Room'!$A$13+'Control Room'!$B$13,'Process'!BT2=1),1+('Control Room'!$C$13-1)*EXP(-0.5*(($A389-'Control Room'!$A$13-('Control Room'!$B$13-1)/2)/MAX(0.5,'Control Room'!$B$13/4))^2),1)*IF(AND($A389&gt;='Control Room'!$A$14,$A389&lt;'Control Room'!$A$14+'Control Room'!$B$14,'Process'!BT3=1),1+('Control Room'!$C$14-1)*EXP(-0.5*(($A389-'Control Room'!$A$14-('Control Room'!$B$14-1)/2)/MAX(0.5,'Control Room'!$B$14/4))^2),1)*IF(AND($A389&gt;='Control Room'!$A$15,$A389&lt;'Control Room'!$A$15+'Control Room'!$B$15,'Process'!BT4=1),1+('Control Room'!$C$15-1)*EXP(-0.5*(($A389-'Control Room'!$A$15-('Control Room'!$B$15-1)/2)/MAX(0.5,'Control Room'!$B$15/4))^2),1)*IF(AND($A389&gt;='Control Room'!$A$16,$A389&lt;'Control Room'!$A$16+'Control Room'!$B$16,'Process'!BT5=1),1+('Control Room'!$C$16-1)*EXP(-0.5*(($A389-'Control Room'!$A$16-('Control Room'!$B$16-1)/2)/MAX(0.5,'Control Room'!$B$16/4))^2),1)</x:f>
        <x:v>1</x:v>
      </x:c>
      <x:c r="AZ389" s="9" t="n">
        <x:f>MOD(BA388*16807,2147483647)</x:f>
        <x:v>1513368232</x:v>
      </x:c>
      <x:c r="BA389" s="9" t="n">
        <x:f>MOD(AZ389*16807,2147483647)</x:f>
        <x:v>383560156</x:v>
      </x:c>
      <x:c r="BB389" s="17" t="n">
        <x:f>IF('Control Room'!$B$5="Normal",'Control Room'!$B$7+'Control Room'!$D$7*SQRT(-2*LN(MAX(0.000000000001,AZ389/2147483647)))*COS(2*PI()*BA389/2147483647),'Control Room'!$B$8+('Control Room'!$D$8-'Control Room'!$B$8)*AZ389/2147483647)</x:f>
        <x:v>1032.6532065902584</x:v>
      </x:c>
      <x:c r="BC389" s="17" t="n">
        <x:f>IF('Control Room'!$B$5="Normal",'Control Room'!$B$7,('Control Room'!$B$8+'Control Room'!$D$8)/2)+'Control Room'!$B$9*(BC388-IF('Control Room'!$B$5="Normal",'Control Room'!$B$7,('Control Room'!$B$8+'Control Room'!$D$8)/2))+SQRT(1-'Control Room'!$B$9^2)*(BB389-IF('Control Room'!$B$5="Normal",'Control Room'!$B$7,('Control Room'!$B$8+'Control Room'!$D$8)/2))</x:f>
        <x:v>948.3817576500023</x:v>
      </x:c>
      <x:c r="BD389" s="17" t="n">
        <x:f>IF(AND($A389&gt;='Control Room'!$A$13,$A389&lt;'Control Room'!$A$13+'Control Room'!$B$13,'Process'!BU2=1),1+('Control Room'!$C$13-1)*EXP(-0.5*(($A389-'Control Room'!$A$13-('Control Room'!$B$13-1)/2)/MAX(0.5,'Control Room'!$B$13/4))^2),1)*IF(AND($A389&gt;='Control Room'!$A$14,$A389&lt;'Control Room'!$A$14+'Control Room'!$B$14,'Process'!BU3=1),1+('Control Room'!$C$14-1)*EXP(-0.5*(($A389-'Control Room'!$A$14-('Control Room'!$B$14-1)/2)/MAX(0.5,'Control Room'!$B$14/4))^2),1)*IF(AND($A389&gt;='Control Room'!$A$15,$A389&lt;'Control Room'!$A$15+'Control Room'!$B$15,'Process'!BU4=1),1+('Control Room'!$C$15-1)*EXP(-0.5*(($A389-'Control Room'!$A$15-('Control Room'!$B$15-1)/2)/MAX(0.5,'Control Room'!$B$15/4))^2),1)*IF(AND($A389&gt;='Control Room'!$A$16,$A389&lt;'Control Room'!$A$16+'Control Room'!$B$16,'Process'!BU5=1),1+('Control Room'!$C$16-1)*EXP(-0.5*(($A389-'Control Room'!$A$16-('Control Room'!$B$16-1)/2)/MAX(0.5,'Control Room'!$B$16/4))^2),1)</x:f>
        <x:v>1</x:v>
      </x:c>
      <x:c r="BE389" s="9" t="n">
        <x:f>MOD(BF388*16807,2147483647)</x:f>
        <x:v>1102766320</x:v>
      </x:c>
      <x:c r="BF389" s="9" t="n">
        <x:f>MOD(BE389*16807,2147483647)</x:f>
        <x:v>1409666630</x:v>
      </x:c>
      <x:c r="BG389" s="17" t="n">
        <x:f>IF('Control Room'!$B$5="Normal",'Control Room'!$B$7+'Control Room'!$D$7*SQRT(-2*LN(MAX(0.000000000001,BE389/2147483647)))*COS(2*PI()*BF389/2147483647),'Control Room'!$B$8+('Control Room'!$D$8-'Control Room'!$B$8)*BE389/2147483647)</x:f>
        <x:v>942.3679681324157</x:v>
      </x:c>
      <x:c r="BH389" s="17" t="n">
        <x:f>IF('Control Room'!$B$5="Normal",'Control Room'!$B$7,('Control Room'!$B$8+'Control Room'!$D$8)/2)+'Control Room'!$B$9*(BH388-IF('Control Room'!$B$5="Normal",'Control Room'!$B$7,('Control Room'!$B$8+'Control Room'!$D$8)/2))+SQRT(1-'Control Room'!$B$9^2)*(BG389-IF('Control Room'!$B$5="Normal",'Control Room'!$B$7,('Control Room'!$B$8+'Control Room'!$D$8)/2))</x:f>
        <x:v>927.9664543602736</x:v>
      </x:c>
      <x:c r="BI389" s="17" t="n">
        <x:f>IF(AND($A389&gt;='Control Room'!$A$13,$A389&lt;'Control Room'!$A$13+'Control Room'!$B$13,'Process'!BV2=1),1+('Control Room'!$C$13-1)*EXP(-0.5*(($A389-'Control Room'!$A$13-('Control Room'!$B$13-1)/2)/MAX(0.5,'Control Room'!$B$13/4))^2),1)*IF(AND($A389&gt;='Control Room'!$A$14,$A389&lt;'Control Room'!$A$14+'Control Room'!$B$14,'Process'!BV3=1),1+('Control Room'!$C$14-1)*EXP(-0.5*(($A389-'Control Room'!$A$14-('Control Room'!$B$14-1)/2)/MAX(0.5,'Control Room'!$B$14/4))^2),1)*IF(AND($A389&gt;='Control Room'!$A$15,$A389&lt;'Control Room'!$A$15+'Control Room'!$B$15,'Process'!BV4=1),1+('Control Room'!$C$15-1)*EXP(-0.5*(($A389-'Control Room'!$A$15-('Control Room'!$B$15-1)/2)/MAX(0.5,'Control Room'!$B$15/4))^2),1)*IF(AND($A389&gt;='Control Room'!$A$16,$A389&lt;'Control Room'!$A$16+'Control Room'!$B$16,'Process'!BV5=1),1+('Control Room'!$C$16-1)*EXP(-0.5*(($A389-'Control Room'!$A$16-('Control Room'!$B$16-1)/2)/MAX(0.5,'Control Room'!$B$16/4))^2),1)</x:f>
        <x:v>1</x:v>
      </x:c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Z389" t="str">
        <x:f>IF('Data'!A389="","",TEXT('Data'!A389,"mm-dd"))</x:f>
      </x:c>
    </x:row>
    <x:row r="390" ht="21" customHeight="1">
      <x:c r="A390" s="15" t="n">
        <x:f>'Control Room'!$B$1+388</x:f>
        <x:v>73379</x:v>
      </x:c>
      <x:c r="B390" s="9" t="n">
        <x:f>MOD(C389*16807,2147483647)</x:f>
        <x:v>3788047</x:v>
      </x:c>
      <x:c r="C390" s="9" t="n">
        <x:f>MOD(B390*16807,2147483647)</x:f>
        <x:v>1388680166</x:v>
      </x:c>
      <x:c r="D390" s="17" t="n">
        <x:f>IF('Control Room'!$B$5="Normal",'Control Room'!$B$7+'Control Room'!$D$7*SQRT(-2*LN(MAX(0.000000000001,B390/2147483647)))*COS(2*PI()*C390/2147483647),'Control Room'!$B$8+('Control Room'!$D$8-'Control Room'!$B$8)*B390/2147483647)</x:f>
        <x:v>806.2150966577339</x:v>
      </x:c>
      <x:c r="E390" s="17" t="n">
        <x:f>IF('Control Room'!$B$5="Normal",'Control Room'!$B$7,('Control Room'!$B$8+'Control Room'!$D$8)/2)+'Control Room'!$B$9*(E389-IF('Control Room'!$B$5="Normal",'Control Room'!$B$7,('Control Room'!$B$8+'Control Room'!$D$8)/2))+SQRT(1-'Control Room'!$B$9^2)*(D390-IF('Control Room'!$B$5="Normal",'Control Room'!$B$7,('Control Room'!$B$8+'Control Room'!$D$8)/2))</x:f>
        <x:v>848.7974590591563</x:v>
      </x:c>
      <x:c r="F390" s="17" t="n">
        <x:f>IF(AND($A390&gt;='Control Room'!$A$13,$A390&lt;'Control Room'!$A$13+'Control Room'!$B$13,'Process'!BK2=1),1+('Control Room'!$C$13-1)*EXP(-0.5*(($A390-'Control Room'!$A$13-('Control Room'!$B$13-1)/2)/MAX(0.5,'Control Room'!$B$13/4))^2),1)*IF(AND($A390&gt;='Control Room'!$A$14,$A390&lt;'Control Room'!$A$14+'Control Room'!$B$14,'Process'!BK3=1),1+('Control Room'!$C$14-1)*EXP(-0.5*(($A390-'Control Room'!$A$14-('Control Room'!$B$14-1)/2)/MAX(0.5,'Control Room'!$B$14/4))^2),1)*IF(AND($A390&gt;='Control Room'!$A$15,$A390&lt;'Control Room'!$A$15+'Control Room'!$B$15,'Process'!BK4=1),1+('Control Room'!$C$15-1)*EXP(-0.5*(($A390-'Control Room'!$A$15-('Control Room'!$B$15-1)/2)/MAX(0.5,'Control Room'!$B$15/4))^2),1)*IF(AND($A390&gt;='Control Room'!$A$16,$A390&lt;'Control Room'!$A$16+'Control Room'!$B$16,'Process'!BK5=1),1+('Control Room'!$C$16-1)*EXP(-0.5*(($A390-'Control Room'!$A$16-('Control Room'!$B$16-1)/2)/MAX(0.5,'Control Room'!$B$16/4))^2),1)</x:f>
        <x:v>1</x:v>
      </x:c>
      <x:c r="G390" s="9" t="n">
        <x:f>MOD(H389*16807,2147483647)</x:f>
        <x:v>1481611155</x:v>
      </x:c>
      <x:c r="H390" s="9" t="n">
        <x:f>MOD(G390*16807,2147483647)</x:f>
        <x:v>1365795120</x:v>
      </x:c>
      <x:c r="I390" s="17" t="n">
        <x:f>IF('Control Room'!$B$5="Normal",'Control Room'!$B$7+'Control Room'!$D$7*SQRT(-2*LN(MAX(0.000000000001,G390/2147483647)))*COS(2*PI()*H390/2147483647),'Control Room'!$B$8+('Control Room'!$D$8-'Control Room'!$B$8)*G390/2147483647)</x:f>
        <x:v>949.0856769504368</x:v>
      </x:c>
      <x:c r="J390" s="17" t="n">
        <x:f>IF('Control Room'!$B$5="Normal",'Control Room'!$B$7,('Control Room'!$B$8+'Control Room'!$D$8)/2)+'Control Room'!$B$9*(J389-IF('Control Room'!$B$5="Normal",'Control Room'!$B$7,('Control Room'!$B$8+'Control Room'!$D$8)/2))+SQRT(1-'Control Room'!$B$9^2)*(I390-IF('Control Room'!$B$5="Normal",'Control Room'!$B$7,('Control Room'!$B$8+'Control Room'!$D$8)/2))</x:f>
        <x:v>1077.944021626363</x:v>
      </x:c>
      <x:c r="K390" s="17" t="n">
        <x:f>IF(AND($A390&gt;='Control Room'!$A$13,$A390&lt;'Control Room'!$A$13+'Control Room'!$B$13,'Process'!BL2=1),1+('Control Room'!$C$13-1)*EXP(-0.5*(($A390-'Control Room'!$A$13-('Control Room'!$B$13-1)/2)/MAX(0.5,'Control Room'!$B$13/4))^2),1)*IF(AND($A390&gt;='Control Room'!$A$14,$A390&lt;'Control Room'!$A$14+'Control Room'!$B$14,'Process'!BL3=1),1+('Control Room'!$C$14-1)*EXP(-0.5*(($A390-'Control Room'!$A$14-('Control Room'!$B$14-1)/2)/MAX(0.5,'Control Room'!$B$14/4))^2),1)*IF(AND($A390&gt;='Control Room'!$A$15,$A390&lt;'Control Room'!$A$15+'Control Room'!$B$15,'Process'!BL4=1),1+('Control Room'!$C$15-1)*EXP(-0.5*(($A390-'Control Room'!$A$15-('Control Room'!$B$15-1)/2)/MAX(0.5,'Control Room'!$B$15/4))^2),1)*IF(AND($A390&gt;='Control Room'!$A$16,$A390&lt;'Control Room'!$A$16+'Control Room'!$B$16,'Process'!BL5=1),1+('Control Room'!$C$16-1)*EXP(-0.5*(($A390-'Control Room'!$A$16-('Control Room'!$B$16-1)/2)/MAX(0.5,'Control Room'!$B$16/4))^2),1)</x:f>
        <x:v>1</x:v>
      </x:c>
      <x:c r="L390" s="9" t="n">
        <x:f>MOD(M389*16807,2147483647)</x:f>
        <x:v>811950616</x:v>
      </x:c>
      <x:c r="M390" s="9" t="n">
        <x:f>MOD(L390*16807,2147483647)</x:f>
        <x:v>1342910074</x:v>
      </x:c>
      <x:c r="N390" s="17" t="n">
        <x:f>IF('Control Room'!$B$5="Normal",'Control Room'!$B$7+'Control Room'!$D$7*SQRT(-2*LN(MAX(0.000000000001,L390/2147483647)))*COS(2*PI()*M390/2147483647),'Control Room'!$B$8+('Control Room'!$D$8-'Control Room'!$B$8)*L390/2147483647)</x:f>
        <x:v>911.4314990365046</x:v>
      </x:c>
      <x:c r="O390" s="17" t="n">
        <x:f>IF('Control Room'!$B$5="Normal",'Control Room'!$B$7,('Control Room'!$B$8+'Control Room'!$D$8)/2)+'Control Room'!$B$9*(O389-IF('Control Room'!$B$5="Normal",'Control Room'!$B$7,('Control Room'!$B$8+'Control Room'!$D$8)/2))+SQRT(1-'Control Room'!$B$9^2)*(N390-IF('Control Room'!$B$5="Normal",'Control Room'!$B$7,('Control Room'!$B$8+'Control Room'!$D$8)/2))</x:f>
        <x:v>860.0491068555177</x:v>
      </x:c>
      <x:c r="P390" s="17" t="n">
        <x:f>IF(AND($A390&gt;='Control Room'!$A$13,$A390&lt;'Control Room'!$A$13+'Control Room'!$B$13,'Process'!BM2=1),1+('Control Room'!$C$13-1)*EXP(-0.5*(($A390-'Control Room'!$A$13-('Control Room'!$B$13-1)/2)/MAX(0.5,'Control Room'!$B$13/4))^2),1)*IF(AND($A390&gt;='Control Room'!$A$14,$A390&lt;'Control Room'!$A$14+'Control Room'!$B$14,'Process'!BM3=1),1+('Control Room'!$C$14-1)*EXP(-0.5*(($A390-'Control Room'!$A$14-('Control Room'!$B$14-1)/2)/MAX(0.5,'Control Room'!$B$14/4))^2),1)*IF(AND($A390&gt;='Control Room'!$A$15,$A390&lt;'Control Room'!$A$15+'Control Room'!$B$15,'Process'!BM4=1),1+('Control Room'!$C$15-1)*EXP(-0.5*(($A390-'Control Room'!$A$15-('Control Room'!$B$15-1)/2)/MAX(0.5,'Control Room'!$B$15/4))^2),1)*IF(AND($A390&gt;='Control Room'!$A$16,$A390&lt;'Control Room'!$A$16+'Control Room'!$B$16,'Process'!BM5=1),1+('Control Room'!$C$16-1)*EXP(-0.5*(($A390-'Control Room'!$A$16-('Control Room'!$B$16-1)/2)/MAX(0.5,'Control Room'!$B$16/4))^2),1)</x:f>
        <x:v>1</x:v>
      </x:c>
      <x:c r="Q390" s="9" t="n">
        <x:f>MOD(R389*16807,2147483647)</x:f>
        <x:v>142290077</x:v>
      </x:c>
      <x:c r="R390" s="9" t="n">
        <x:f>MOD(Q390*16807,2147483647)</x:f>
        <x:v>1320025028</x:v>
      </x:c>
      <x:c r="S390" s="17" t="n">
        <x:f>IF('Control Room'!$B$5="Normal",'Control Room'!$B$7+'Control Room'!$D$7*SQRT(-2*LN(MAX(0.000000000001,Q390/2147483647)))*COS(2*PI()*R390/2147483647),'Control Room'!$B$8+('Control Room'!$D$8-'Control Room'!$B$8)*Q390/2147483647)</x:f>
        <x:v>842.434872110472</x:v>
      </x:c>
      <x:c r="T390" s="17" t="n">
        <x:f>IF('Control Room'!$B$5="Normal",'Control Room'!$B$7,('Control Room'!$B$8+'Control Room'!$D$8)/2)+'Control Room'!$B$9*(T389-IF('Control Room'!$B$5="Normal",'Control Room'!$B$7,('Control Room'!$B$8+'Control Room'!$D$8)/2))+SQRT(1-'Control Room'!$B$9^2)*(S390-IF('Control Room'!$B$5="Normal",'Control Room'!$B$7,('Control Room'!$B$8+'Control Room'!$D$8)/2))</x:f>
        <x:v>898.8933630441301</x:v>
      </x:c>
      <x:c r="U390" s="17" t="n">
        <x:f>IF(AND($A390&gt;='Control Room'!$A$13,$A390&lt;'Control Room'!$A$13+'Control Room'!$B$13,'Process'!BN2=1),1+('Control Room'!$C$13-1)*EXP(-0.5*(($A390-'Control Room'!$A$13-('Control Room'!$B$13-1)/2)/MAX(0.5,'Control Room'!$B$13/4))^2),1)*IF(AND($A390&gt;='Control Room'!$A$14,$A390&lt;'Control Room'!$A$14+'Control Room'!$B$14,'Process'!BN3=1),1+('Control Room'!$C$14-1)*EXP(-0.5*(($A390-'Control Room'!$A$14-('Control Room'!$B$14-1)/2)/MAX(0.5,'Control Room'!$B$14/4))^2),1)*IF(AND($A390&gt;='Control Room'!$A$15,$A390&lt;'Control Room'!$A$15+'Control Room'!$B$15,'Process'!BN4=1),1+('Control Room'!$C$15-1)*EXP(-0.5*(($A390-'Control Room'!$A$15-('Control Room'!$B$15-1)/2)/MAX(0.5,'Control Room'!$B$15/4))^2),1)*IF(AND($A390&gt;='Control Room'!$A$16,$A390&lt;'Control Room'!$A$16+'Control Room'!$B$16,'Process'!BN5=1),1+('Control Room'!$C$16-1)*EXP(-0.5*(($A390-'Control Room'!$A$16-('Control Room'!$B$16-1)/2)/MAX(0.5,'Control Room'!$B$16/4))^2),1)</x:f>
        <x:v>1</x:v>
      </x:c>
      <x:c r="V390" s="9" t="n">
        <x:f>MOD(W389*16807,2147483647)</x:f>
        <x:v>1620113185</x:v>
      </x:c>
      <x:c r="W390" s="9" t="n">
        <x:f>MOD(V390*16807,2147483647)</x:f>
        <x:v>1297139982</x:v>
      </x:c>
      <x:c r="X390" s="17" t="n">
        <x:f>IF('Control Room'!$B$5="Normal",'Control Room'!$B$7+'Control Room'!$D$7*SQRT(-2*LN(MAX(0.000000000001,V390/2147483647)))*COS(2*PI()*W390/2147483647),'Control Room'!$B$8+('Control Room'!$D$8-'Control Room'!$B$8)*V390/2147483647)</x:f>
        <x:v>946.3603940298525</x:v>
      </x:c>
      <x:c r="Y390" s="17" t="n">
        <x:f>IF('Control Room'!$B$5="Normal",'Control Room'!$B$7,('Control Room'!$B$8+'Control Room'!$D$8)/2)+'Control Room'!$B$9*(Y389-IF('Control Room'!$B$5="Normal",'Control Room'!$B$7,('Control Room'!$B$8+'Control Room'!$D$8)/2))+SQRT(1-'Control Room'!$B$9^2)*(X390-IF('Control Room'!$B$5="Normal",'Control Room'!$B$7,('Control Room'!$B$8+'Control Room'!$D$8)/2))</x:f>
        <x:v>930.4183018311421</x:v>
      </x:c>
      <x:c r="Z390" s="17" t="n">
        <x:f>IF(AND($A390&gt;='Control Room'!$A$13,$A390&lt;'Control Room'!$A$13+'Control Room'!$B$13,'Process'!BO2=1),1+('Control Room'!$C$13-1)*EXP(-0.5*(($A390-'Control Room'!$A$13-('Control Room'!$B$13-1)/2)/MAX(0.5,'Control Room'!$B$13/4))^2),1)*IF(AND($A390&gt;='Control Room'!$A$14,$A390&lt;'Control Room'!$A$14+'Control Room'!$B$14,'Process'!BO3=1),1+('Control Room'!$C$14-1)*EXP(-0.5*(($A390-'Control Room'!$A$14-('Control Room'!$B$14-1)/2)/MAX(0.5,'Control Room'!$B$14/4))^2),1)*IF(AND($A390&gt;='Control Room'!$A$15,$A390&lt;'Control Room'!$A$15+'Control Room'!$B$15,'Process'!BO4=1),1+('Control Room'!$C$15-1)*EXP(-0.5*(($A390-'Control Room'!$A$15-('Control Room'!$B$15-1)/2)/MAX(0.5,'Control Room'!$B$15/4))^2),1)*IF(AND($A390&gt;='Control Room'!$A$16,$A390&lt;'Control Room'!$A$16+'Control Room'!$B$16,'Process'!BO5=1),1+('Control Room'!$C$16-1)*EXP(-0.5*(($A390-'Control Room'!$A$16-('Control Room'!$B$16-1)/2)/MAX(0.5,'Control Room'!$B$16/4))^2),1)</x:f>
        <x:v>1</x:v>
      </x:c>
      <x:c r="AA390" s="9" t="n">
        <x:f>MOD(AB389*16807,2147483647)</x:f>
        <x:v>950452646</x:v>
      </x:c>
      <x:c r="AB390" s="9" t="n">
        <x:f>MOD(AA390*16807,2147483647)</x:f>
        <x:v>1274254936</x:v>
      </x:c>
      <x:c r="AC390" s="17" t="n">
        <x:f>IF('Control Room'!$B$5="Normal",'Control Room'!$B$7+'Control Room'!$D$7*SQRT(-2*LN(MAX(0.000000000001,AA390/2147483647)))*COS(2*PI()*AB390/2147483647),'Control Room'!$B$8+('Control Room'!$D$8-'Control Room'!$B$8)*AA390/2147483647)</x:f>
        <x:v>904.3022158507397</x:v>
      </x:c>
      <x:c r="AD390" s="17" t="n">
        <x:f>IF('Control Room'!$B$5="Normal",'Control Room'!$B$7,('Control Room'!$B$8+'Control Room'!$D$8)/2)+'Control Room'!$B$9*(AD389-IF('Control Room'!$B$5="Normal",'Control Room'!$B$7,('Control Room'!$B$8+'Control Room'!$D$8)/2))+SQRT(1-'Control Room'!$B$9^2)*(AC390-IF('Control Room'!$B$5="Normal",'Control Room'!$B$7,('Control Room'!$B$8+'Control Room'!$D$8)/2))</x:f>
        <x:v>979.1914273125046</x:v>
      </x:c>
      <x:c r="AE390" s="17" t="n">
        <x:f>IF(AND($A390&gt;='Control Room'!$A$13,$A390&lt;'Control Room'!$A$13+'Control Room'!$B$13,'Process'!BP2=1),1+('Control Room'!$C$13-1)*EXP(-0.5*(($A390-'Control Room'!$A$13-('Control Room'!$B$13-1)/2)/MAX(0.5,'Control Room'!$B$13/4))^2),1)*IF(AND($A390&gt;='Control Room'!$A$14,$A390&lt;'Control Room'!$A$14+'Control Room'!$B$14,'Process'!BP3=1),1+('Control Room'!$C$14-1)*EXP(-0.5*(($A390-'Control Room'!$A$14-('Control Room'!$B$14-1)/2)/MAX(0.5,'Control Room'!$B$14/4))^2),1)*IF(AND($A390&gt;='Control Room'!$A$15,$A390&lt;'Control Room'!$A$15+'Control Room'!$B$15,'Process'!BP4=1),1+('Control Room'!$C$15-1)*EXP(-0.5*(($A390-'Control Room'!$A$15-('Control Room'!$B$15-1)/2)/MAX(0.5,'Control Room'!$B$15/4))^2),1)*IF(AND($A390&gt;='Control Room'!$A$16,$A390&lt;'Control Room'!$A$16+'Control Room'!$B$16,'Process'!BP5=1),1+('Control Room'!$C$16-1)*EXP(-0.5*(($A390-'Control Room'!$A$16-('Control Room'!$B$16-1)/2)/MAX(0.5,'Control Room'!$B$16/4))^2),1)</x:f>
        <x:v>1</x:v>
      </x:c>
      <x:c r="AF390" s="9" t="n">
        <x:f>MOD(AG389*16807,2147483647)</x:f>
        <x:v>280792107</x:v>
      </x:c>
      <x:c r="AG390" s="9" t="n">
        <x:f>MOD(AF390*16807,2147483647)</x:f>
        <x:v>1251369890</x:v>
      </x:c>
      <x:c r="AH390" s="17" t="n">
        <x:f>IF('Control Room'!$B$5="Normal",'Control Room'!$B$7+'Control Room'!$D$7*SQRT(-2*LN(MAX(0.000000000001,AF390/2147483647)))*COS(2*PI()*AG390/2147483647),'Control Room'!$B$8+('Control Room'!$D$8-'Control Room'!$B$8)*AF390/2147483647)</x:f>
        <x:v>842.4273429178762</x:v>
      </x:c>
      <x:c r="AI390" s="17" t="n">
        <x:f>IF('Control Room'!$B$5="Normal",'Control Room'!$B$7,('Control Room'!$B$8+'Control Room'!$D$8)/2)+'Control Room'!$B$9*(AI389-IF('Control Room'!$B$5="Normal",'Control Room'!$B$7,('Control Room'!$B$8+'Control Room'!$D$8)/2))+SQRT(1-'Control Room'!$B$9^2)*(AH390-IF('Control Room'!$B$5="Normal",'Control Room'!$B$7,('Control Room'!$B$8+'Control Room'!$D$8)/2))</x:f>
        <x:v>900.241965598607</x:v>
      </x:c>
      <x:c r="AJ390" s="17" t="n">
        <x:f>IF(AND($A390&gt;='Control Room'!$A$13,$A390&lt;'Control Room'!$A$13+'Control Room'!$B$13,'Process'!BQ2=1),1+('Control Room'!$C$13-1)*EXP(-0.5*(($A390-'Control Room'!$A$13-('Control Room'!$B$13-1)/2)/MAX(0.5,'Control Room'!$B$13/4))^2),1)*IF(AND($A390&gt;='Control Room'!$A$14,$A390&lt;'Control Room'!$A$14+'Control Room'!$B$14,'Process'!BQ3=1),1+('Control Room'!$C$14-1)*EXP(-0.5*(($A390-'Control Room'!$A$14-('Control Room'!$B$14-1)/2)/MAX(0.5,'Control Room'!$B$14/4))^2),1)*IF(AND($A390&gt;='Control Room'!$A$15,$A390&lt;'Control Room'!$A$15+'Control Room'!$B$15,'Process'!BQ4=1),1+('Control Room'!$C$15-1)*EXP(-0.5*(($A390-'Control Room'!$A$15-('Control Room'!$B$15-1)/2)/MAX(0.5,'Control Room'!$B$15/4))^2),1)*IF(AND($A390&gt;='Control Room'!$A$16,$A390&lt;'Control Room'!$A$16+'Control Room'!$B$16,'Process'!BQ5=1),1+('Control Room'!$C$16-1)*EXP(-0.5*(($A390-'Control Room'!$A$16-('Control Room'!$B$16-1)/2)/MAX(0.5,'Control Room'!$B$16/4))^2),1)</x:f>
        <x:v>1</x:v>
      </x:c>
      <x:c r="AK390" s="9" t="n">
        <x:f>MOD(AL389*16807,2147483647)</x:f>
        <x:v>1758615215</x:v>
      </x:c>
      <x:c r="AL390" s="9" t="n">
        <x:f>MOD(AK390*16807,2147483647)</x:f>
        <x:v>1228484844</x:v>
      </x:c>
      <x:c r="AM390" s="17" t="n">
        <x:f>IF('Control Room'!$B$5="Normal",'Control Room'!$B$7+'Control Room'!$D$7*SQRT(-2*LN(MAX(0.000000000001,AK390/2147483647)))*COS(2*PI()*AL390/2147483647),'Control Room'!$B$8+('Control Room'!$D$8-'Control Room'!$B$8)*AK390/2147483647)</x:f>
        <x:v>948.8434317309724</x:v>
      </x:c>
      <x:c r="AN390" s="17" t="n">
        <x:f>IF('Control Room'!$B$5="Normal",'Control Room'!$B$7,('Control Room'!$B$8+'Control Room'!$D$8)/2)+'Control Room'!$B$9*(AN389-IF('Control Room'!$B$5="Normal",'Control Room'!$B$7,('Control Room'!$B$8+'Control Room'!$D$8)/2))+SQRT(1-'Control Room'!$B$9^2)*(AM390-IF('Control Room'!$B$5="Normal",'Control Room'!$B$7,('Control Room'!$B$8+'Control Room'!$D$8)/2))</x:f>
        <x:v>957.7637776615857</x:v>
      </x:c>
      <x:c r="AO390" s="17" t="n">
        <x:f>IF(AND($A390&gt;='Control Room'!$A$13,$A390&lt;'Control Room'!$A$13+'Control Room'!$B$13,'Process'!BR2=1),1+('Control Room'!$C$13-1)*EXP(-0.5*(($A390-'Control Room'!$A$13-('Control Room'!$B$13-1)/2)/MAX(0.5,'Control Room'!$B$13/4))^2),1)*IF(AND($A390&gt;='Control Room'!$A$14,$A390&lt;'Control Room'!$A$14+'Control Room'!$B$14,'Process'!BR3=1),1+('Control Room'!$C$14-1)*EXP(-0.5*(($A390-'Control Room'!$A$14-('Control Room'!$B$14-1)/2)/MAX(0.5,'Control Room'!$B$14/4))^2),1)*IF(AND($A390&gt;='Control Room'!$A$15,$A390&lt;'Control Room'!$A$15+'Control Room'!$B$15,'Process'!BR4=1),1+('Control Room'!$C$15-1)*EXP(-0.5*(($A390-'Control Room'!$A$15-('Control Room'!$B$15-1)/2)/MAX(0.5,'Control Room'!$B$15/4))^2),1)*IF(AND($A390&gt;='Control Room'!$A$16,$A390&lt;'Control Room'!$A$16+'Control Room'!$B$16,'Process'!BR5=1),1+('Control Room'!$C$16-1)*EXP(-0.5*(($A390-'Control Room'!$A$16-('Control Room'!$B$16-1)/2)/MAX(0.5,'Control Room'!$B$16/4))^2),1)</x:f>
        <x:v>1</x:v>
      </x:c>
      <x:c r="AP390" s="9" t="n">
        <x:f>MOD(AQ389*16807,2147483647)</x:f>
        <x:v>1088954676</x:v>
      </x:c>
      <x:c r="AQ390" s="9" t="n">
        <x:f>MOD(AP390*16807,2147483647)</x:f>
        <x:v>1205599798</x:v>
      </x:c>
      <x:c r="AR390" s="17" t="n">
        <x:f>IF('Control Room'!$B$5="Normal",'Control Room'!$B$7+'Control Room'!$D$7*SQRT(-2*LN(MAX(0.000000000001,AP390/2147483647)))*COS(2*PI()*AQ390/2147483647),'Control Room'!$B$8+('Control Room'!$D$8-'Control Room'!$B$8)*AP390/2147483647)</x:f>
        <x:v>902.8231624478148</x:v>
      </x:c>
      <x:c r="AS390" s="17" t="n">
        <x:f>IF('Control Room'!$B$5="Normal",'Control Room'!$B$7,('Control Room'!$B$8+'Control Room'!$D$8)/2)+'Control Room'!$B$9*(AS389-IF('Control Room'!$B$5="Normal",'Control Room'!$B$7,('Control Room'!$B$8+'Control Room'!$D$8)/2))+SQRT(1-'Control Room'!$B$9^2)*(AR390-IF('Control Room'!$B$5="Normal",'Control Room'!$B$7,('Control Room'!$B$8+'Control Room'!$D$8)/2))</x:f>
        <x:v>1076.6325105563062</x:v>
      </x:c>
      <x:c r="AT390" s="17" t="n">
        <x:f>IF(AND($A390&gt;='Control Room'!$A$13,$A390&lt;'Control Room'!$A$13+'Control Room'!$B$13,'Process'!BS2=1),1+('Control Room'!$C$13-1)*EXP(-0.5*(($A390-'Control Room'!$A$13-('Control Room'!$B$13-1)/2)/MAX(0.5,'Control Room'!$B$13/4))^2),1)*IF(AND($A390&gt;='Control Room'!$A$14,$A390&lt;'Control Room'!$A$14+'Control Room'!$B$14,'Process'!BS3=1),1+('Control Room'!$C$14-1)*EXP(-0.5*(($A390-'Control Room'!$A$14-('Control Room'!$B$14-1)/2)/MAX(0.5,'Control Room'!$B$14/4))^2),1)*IF(AND($A390&gt;='Control Room'!$A$15,$A390&lt;'Control Room'!$A$15+'Control Room'!$B$15,'Process'!BS4=1),1+('Control Room'!$C$15-1)*EXP(-0.5*(($A390-'Control Room'!$A$15-('Control Room'!$B$15-1)/2)/MAX(0.5,'Control Room'!$B$15/4))^2),1)*IF(AND($A390&gt;='Control Room'!$A$16,$A390&lt;'Control Room'!$A$16+'Control Room'!$B$16,'Process'!BS5=1),1+('Control Room'!$C$16-1)*EXP(-0.5*(($A390-'Control Room'!$A$16-('Control Room'!$B$16-1)/2)/MAX(0.5,'Control Room'!$B$16/4))^2),1)</x:f>
        <x:v>1</x:v>
      </x:c>
      <x:c r="AU390" s="9" t="n">
        <x:f>MOD(AV389*16807,2147483647)</x:f>
        <x:v>419294137</x:v>
      </x:c>
      <x:c r="AV390" s="9" t="n">
        <x:f>MOD(AU390*16807,2147483647)</x:f>
        <x:v>1182714752</x:v>
      </x:c>
      <x:c r="AW390" s="17" t="n">
        <x:f>IF('Control Room'!$B$5="Normal",'Control Room'!$B$7+'Control Room'!$D$7*SQRT(-2*LN(MAX(0.000000000001,AU390/2147483647)))*COS(2*PI()*AV390/2147483647),'Control Room'!$B$8+('Control Room'!$D$8-'Control Room'!$B$8)*AU390/2147483647)</x:f>
        <x:v>845.5260217150521</x:v>
      </x:c>
      <x:c r="AX390" s="17" t="n">
        <x:f>IF('Control Room'!$B$5="Normal",'Control Room'!$B$7,('Control Room'!$B$8+'Control Room'!$D$8)/2)+'Control Room'!$B$9*(AX389-IF('Control Room'!$B$5="Normal",'Control Room'!$B$7,('Control Room'!$B$8+'Control Room'!$D$8)/2))+SQRT(1-'Control Room'!$B$9^2)*(AW390-IF('Control Room'!$B$5="Normal",'Control Room'!$B$7,('Control Room'!$B$8+'Control Room'!$D$8)/2))</x:f>
        <x:v>959.9347340123077</x:v>
      </x:c>
      <x:c r="AY390" s="17" t="n">
        <x:f>IF(AND($A390&gt;='Control Room'!$A$13,$A390&lt;'Control Room'!$A$13+'Control Room'!$B$13,'Process'!BT2=1),1+('Control Room'!$C$13-1)*EXP(-0.5*(($A390-'Control Room'!$A$13-('Control Room'!$B$13-1)/2)/MAX(0.5,'Control Room'!$B$13/4))^2),1)*IF(AND($A390&gt;='Control Room'!$A$14,$A390&lt;'Control Room'!$A$14+'Control Room'!$B$14,'Process'!BT3=1),1+('Control Room'!$C$14-1)*EXP(-0.5*(($A390-'Control Room'!$A$14-('Control Room'!$B$14-1)/2)/MAX(0.5,'Control Room'!$B$14/4))^2),1)*IF(AND($A390&gt;='Control Room'!$A$15,$A390&lt;'Control Room'!$A$15+'Control Room'!$B$15,'Process'!BT4=1),1+('Control Room'!$C$15-1)*EXP(-0.5*(($A390-'Control Room'!$A$15-('Control Room'!$B$15-1)/2)/MAX(0.5,'Control Room'!$B$15/4))^2),1)*IF(AND($A390&gt;='Control Room'!$A$16,$A390&lt;'Control Room'!$A$16+'Control Room'!$B$16,'Process'!BT5=1),1+('Control Room'!$C$16-1)*EXP(-0.5*(($A390-'Control Room'!$A$16-('Control Room'!$B$16-1)/2)/MAX(0.5,'Control Room'!$B$16/4))^2),1)</x:f>
        <x:v>1</x:v>
      </x:c>
      <x:c r="AZ390" s="9" t="n">
        <x:f>MOD(BA389*16807,2147483647)</x:f>
        <x:v>1897117245</x:v>
      </x:c>
      <x:c r="BA390" s="9" t="n">
        <x:f>MOD(AZ390*16807,2147483647)</x:f>
        <x:v>1159829706</x:v>
      </x:c>
      <x:c r="BB390" s="17" t="n">
        <x:f>IF('Control Room'!$B$5="Normal",'Control Room'!$B$7+'Control Room'!$D$7*SQRT(-2*LN(MAX(0.000000000001,AZ390/2147483647)))*COS(2*PI()*BA390/2147483647),'Control Room'!$B$8+('Control Room'!$D$8-'Control Room'!$B$8)*AZ390/2147483647)</x:f>
        <x:v>956.6013878802709</x:v>
      </x:c>
      <x:c r="BC390" s="17" t="n">
        <x:f>IF('Control Room'!$B$5="Normal",'Control Room'!$B$7,('Control Room'!$B$8+'Control Room'!$D$8)/2)+'Control Room'!$B$9*(BC389-IF('Control Room'!$B$5="Normal",'Control Room'!$B$7,('Control Room'!$B$8+'Control Room'!$D$8)/2))+SQRT(1-'Control Room'!$B$9^2)*(BB390-IF('Control Room'!$B$5="Normal",'Control Room'!$B$7,('Control Room'!$B$8+'Control Room'!$D$8)/2))</x:f>
        <x:v>932.5798085713698</x:v>
      </x:c>
      <x:c r="BD390" s="17" t="n">
        <x:f>IF(AND($A390&gt;='Control Room'!$A$13,$A390&lt;'Control Room'!$A$13+'Control Room'!$B$13,'Process'!BU2=1),1+('Control Room'!$C$13-1)*EXP(-0.5*(($A390-'Control Room'!$A$13-('Control Room'!$B$13-1)/2)/MAX(0.5,'Control Room'!$B$13/4))^2),1)*IF(AND($A390&gt;='Control Room'!$A$14,$A390&lt;'Control Room'!$A$14+'Control Room'!$B$14,'Process'!BU3=1),1+('Control Room'!$C$14-1)*EXP(-0.5*(($A390-'Control Room'!$A$14-('Control Room'!$B$14-1)/2)/MAX(0.5,'Control Room'!$B$14/4))^2),1)*IF(AND($A390&gt;='Control Room'!$A$15,$A390&lt;'Control Room'!$A$15+'Control Room'!$B$15,'Process'!BU4=1),1+('Control Room'!$C$15-1)*EXP(-0.5*(($A390-'Control Room'!$A$15-('Control Room'!$B$15-1)/2)/MAX(0.5,'Control Room'!$B$15/4))^2),1)*IF(AND($A390&gt;='Control Room'!$A$16,$A390&lt;'Control Room'!$A$16+'Control Room'!$B$16,'Process'!BU5=1),1+('Control Room'!$C$16-1)*EXP(-0.5*(($A390-'Control Room'!$A$16-('Control Room'!$B$16-1)/2)/MAX(0.5,'Control Room'!$B$16/4))^2),1)</x:f>
        <x:v>1</x:v>
      </x:c>
      <x:c r="BE390" s="9" t="n">
        <x:f>MOD(BF389*16807,2147483647)</x:f>
        <x:v>1227456706</x:v>
      </x:c>
      <x:c r="BF390" s="9" t="n">
        <x:f>MOD(BE390*16807,2147483647)</x:f>
        <x:v>1136944660</x:v>
      </x:c>
      <x:c r="BG390" s="17" t="n">
        <x:f>IF('Control Room'!$B$5="Normal",'Control Room'!$B$7+'Control Room'!$D$7*SQRT(-2*LN(MAX(0.000000000001,BE390/2147483647)))*COS(2*PI()*BF390/2147483647),'Control Room'!$B$8+('Control Room'!$D$8-'Control Room'!$B$8)*BE390/2147483647)</x:f>
        <x:v>906.4309889853434</x:v>
      </x:c>
      <x:c r="BH390" s="17" t="n">
        <x:f>IF('Control Room'!$B$5="Normal",'Control Room'!$B$7,('Control Room'!$B$8+'Control Room'!$D$8)/2)+'Control Room'!$B$9*(BH389-IF('Control Room'!$B$5="Normal",'Control Room'!$B$7,('Control Room'!$B$8+'Control Room'!$D$8)/2))+SQRT(1-'Control Room'!$B$9^2)*(BG390-IF('Control Room'!$B$5="Normal",'Control Room'!$B$7,('Control Room'!$B$8+'Control Room'!$D$8)/2))</x:f>
        <x:v>885.2602641734229</x:v>
      </x:c>
      <x:c r="BI390" s="17" t="n">
        <x:f>IF(AND($A390&gt;='Control Room'!$A$13,$A390&lt;'Control Room'!$A$13+'Control Room'!$B$13,'Process'!BV2=1),1+('Control Room'!$C$13-1)*EXP(-0.5*(($A390-'Control Room'!$A$13-('Control Room'!$B$13-1)/2)/MAX(0.5,'Control Room'!$B$13/4))^2),1)*IF(AND($A390&gt;='Control Room'!$A$14,$A390&lt;'Control Room'!$A$14+'Control Room'!$B$14,'Process'!BV3=1),1+('Control Room'!$C$14-1)*EXP(-0.5*(($A390-'Control Room'!$A$14-('Control Room'!$B$14-1)/2)/MAX(0.5,'Control Room'!$B$14/4))^2),1)*IF(AND($A390&gt;='Control Room'!$A$15,$A390&lt;'Control Room'!$A$15+'Control Room'!$B$15,'Process'!BV4=1),1+('Control Room'!$C$15-1)*EXP(-0.5*(($A390-'Control Room'!$A$15-('Control Room'!$B$15-1)/2)/MAX(0.5,'Control Room'!$B$15/4))^2),1)*IF(AND($A390&gt;='Control Room'!$A$16,$A390&lt;'Control Room'!$A$16+'Control Room'!$B$16,'Process'!BV5=1),1+('Control Room'!$C$16-1)*EXP(-0.5*(($A390-'Control Room'!$A$16-('Control Room'!$B$16-1)/2)/MAX(0.5,'Control Room'!$B$16/4))^2),1)</x:f>
        <x:v>1</x:v>
      </x:c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Z390" t="str">
        <x:f>IF('Data'!A390="","",TEXT('Data'!A390,"mm-dd"))</x:f>
      </x:c>
    </x:row>
    <x:row r="391" ht="21" customHeight="1">
      <x:c r="A391" s="15" t="n">
        <x:f>'Control Room'!$B$1+389</x:f>
        <x:v>73380</x:v>
      </x:c>
      <x:c r="B391" s="9" t="n">
        <x:f>MOD(C390*16807,2147483647)</x:f>
        <x:v>695274366</x:v>
      </x:c>
      <x:c r="C391" s="9" t="n">
        <x:f>MOD(B391*16807,2147483647)</x:f>
        <x:v>1017746035</x:v>
      </x:c>
      <x:c r="D391" s="17" t="n">
        <x:f>IF('Control Room'!$B$5="Normal",'Control Room'!$B$7+'Control Room'!$D$7*SQRT(-2*LN(MAX(0.000000000001,B391/2147483647)))*COS(2*PI()*C391/2147483647),'Control Room'!$B$8+('Control Room'!$D$8-'Control Room'!$B$8)*B391/2147483647)</x:f>
        <x:v>866.6453435832339</x:v>
      </x:c>
      <x:c r="E391" s="17" t="n">
        <x:f>IF('Control Room'!$B$5="Normal",'Control Room'!$B$7,('Control Room'!$B$8+'Control Room'!$D$8)/2)+'Control Room'!$B$9*(E390-IF('Control Room'!$B$5="Normal",'Control Room'!$B$7,('Control Room'!$B$8+'Control Room'!$D$8)/2))+SQRT(1-'Control Room'!$B$9^2)*(D391-IF('Control Room'!$B$5="Normal",'Control Room'!$B$7,('Control Room'!$B$8+'Control Room'!$D$8)/2))</x:f>
        <x:v>798.6114059991594</x:v>
      </x:c>
      <x:c r="F391" s="17" t="n">
        <x:f>IF(AND($A391&gt;='Control Room'!$A$13,$A391&lt;'Control Room'!$A$13+'Control Room'!$B$13,'Process'!BK2=1),1+('Control Room'!$C$13-1)*EXP(-0.5*(($A391-'Control Room'!$A$13-('Control Room'!$B$13-1)/2)/MAX(0.5,'Control Room'!$B$13/4))^2),1)*IF(AND($A391&gt;='Control Room'!$A$14,$A391&lt;'Control Room'!$A$14+'Control Room'!$B$14,'Process'!BK3=1),1+('Control Room'!$C$14-1)*EXP(-0.5*(($A391-'Control Room'!$A$14-('Control Room'!$B$14-1)/2)/MAX(0.5,'Control Room'!$B$14/4))^2),1)*IF(AND($A391&gt;='Control Room'!$A$15,$A391&lt;'Control Room'!$A$15+'Control Room'!$B$15,'Process'!BK4=1),1+('Control Room'!$C$15-1)*EXP(-0.5*(($A391-'Control Room'!$A$15-('Control Room'!$B$15-1)/2)/MAX(0.5,'Control Room'!$B$15/4))^2),1)*IF(AND($A391&gt;='Control Room'!$A$16,$A391&lt;'Control Room'!$A$16+'Control Room'!$B$16,'Process'!BK5=1),1+('Control Room'!$C$16-1)*EXP(-0.5*(($A391-'Control Room'!$A$16-('Control Room'!$B$16-1)/2)/MAX(0.5,'Control Room'!$B$16/4))^2),1)</x:f>
        <x:v>1</x:v>
      </x:c>
      <x:c r="G391" s="9" t="n">
        <x:f>MOD(H390*16807,2147483647)</x:f>
        <x:v>465879057</x:v>
      </x:c>
      <x:c r="H391" s="9" t="n">
        <x:f>MOD(G391*16807,2147483647)</x:f>
        <x:v>303934037</x:v>
      </x:c>
      <x:c r="I391" s="17" t="n">
        <x:f>IF('Control Room'!$B$5="Normal",'Control Room'!$B$7+'Control Room'!$D$7*SQRT(-2*LN(MAX(0.000000000001,G391/2147483647)))*COS(2*PI()*H391/2147483647),'Control Room'!$B$8+('Control Room'!$D$8-'Control Room'!$B$8)*G391/2147483647)</x:f>
        <x:v>1099.1215205946962</x:v>
      </x:c>
      <x:c r="J391" s="17" t="n">
        <x:f>IF('Control Room'!$B$5="Normal",'Control Room'!$B$7,('Control Room'!$B$8+'Control Room'!$D$8)/2)+'Control Room'!$B$9*(J390-IF('Control Room'!$B$5="Normal",'Control Room'!$B$7,('Control Room'!$B$8+'Control Room'!$D$8)/2))+SQRT(1-'Control Room'!$B$9^2)*(I391-IF('Control Room'!$B$5="Normal",'Control Room'!$B$7,('Control Room'!$B$8+'Control Room'!$D$8)/2))</x:f>
        <x:v>1122.824553842001</x:v>
      </x:c>
      <x:c r="K391" s="17" t="n">
        <x:f>IF(AND($A391&gt;='Control Room'!$A$13,$A391&lt;'Control Room'!$A$13+'Control Room'!$B$13,'Process'!BL2=1),1+('Control Room'!$C$13-1)*EXP(-0.5*(($A391-'Control Room'!$A$13-('Control Room'!$B$13-1)/2)/MAX(0.5,'Control Room'!$B$13/4))^2),1)*IF(AND($A391&gt;='Control Room'!$A$14,$A391&lt;'Control Room'!$A$14+'Control Room'!$B$14,'Process'!BL3=1),1+('Control Room'!$C$14-1)*EXP(-0.5*(($A391-'Control Room'!$A$14-('Control Room'!$B$14-1)/2)/MAX(0.5,'Control Room'!$B$14/4))^2),1)*IF(AND($A391&gt;='Control Room'!$A$15,$A391&lt;'Control Room'!$A$15+'Control Room'!$B$15,'Process'!BL4=1),1+('Control Room'!$C$15-1)*EXP(-0.5*(($A391-'Control Room'!$A$15-('Control Room'!$B$15-1)/2)/MAX(0.5,'Control Room'!$B$15/4))^2),1)*IF(AND($A391&gt;='Control Room'!$A$16,$A391&lt;'Control Room'!$A$16+'Control Room'!$B$16,'Process'!BL5=1),1+('Control Room'!$C$16-1)*EXP(-0.5*(($A391-'Control Room'!$A$16-('Control Room'!$B$16-1)/2)/MAX(0.5,'Control Room'!$B$16/4))^2),1)</x:f>
        <x:v>1</x:v>
      </x:c>
      <x:c r="L391" s="9" t="n">
        <x:f>MOD(M390*16807,2147483647)</x:f>
        <x:v>236483748</x:v>
      </x:c>
      <x:c r="M391" s="9" t="n">
        <x:f>MOD(L391*16807,2147483647)</x:f>
        <x:v>1737605686</x:v>
      </x:c>
      <x:c r="N391" s="17" t="n">
        <x:f>IF('Control Room'!$B$5="Normal",'Control Room'!$B$7+'Control Room'!$D$7*SQRT(-2*LN(MAX(0.000000000001,L391/2147483647)))*COS(2*PI()*M391/2147483647),'Control Room'!$B$8+('Control Room'!$D$8-'Control Room'!$B$8)*L391/2147483647)</x:f>
        <x:v>1068.6384633270106</x:v>
      </x:c>
      <x:c r="O391" s="17" t="n">
        <x:f>IF('Control Room'!$B$5="Normal",'Control Room'!$B$7,('Control Room'!$B$8+'Control Room'!$D$8)/2)+'Control Room'!$B$9*(O390-IF('Control Room'!$B$5="Normal",'Control Room'!$B$7,('Control Room'!$B$8+'Control Room'!$D$8)/2))+SQRT(1-'Control Room'!$B$9^2)*(N391-IF('Control Room'!$B$5="Normal",'Control Room'!$B$7,('Control Room'!$B$8+'Control Room'!$D$8)/2))</x:f>
        <x:v>933.7908475619956</x:v>
      </x:c>
      <x:c r="P391" s="17" t="n">
        <x:f>IF(AND($A391&gt;='Control Room'!$A$13,$A391&lt;'Control Room'!$A$13+'Control Room'!$B$13,'Process'!BM2=1),1+('Control Room'!$C$13-1)*EXP(-0.5*(($A391-'Control Room'!$A$13-('Control Room'!$B$13-1)/2)/MAX(0.5,'Control Room'!$B$13/4))^2),1)*IF(AND($A391&gt;='Control Room'!$A$14,$A391&lt;'Control Room'!$A$14+'Control Room'!$B$14,'Process'!BM3=1),1+('Control Room'!$C$14-1)*EXP(-0.5*(($A391-'Control Room'!$A$14-('Control Room'!$B$14-1)/2)/MAX(0.5,'Control Room'!$B$14/4))^2),1)*IF(AND($A391&gt;='Control Room'!$A$15,$A391&lt;'Control Room'!$A$15+'Control Room'!$B$15,'Process'!BM4=1),1+('Control Room'!$C$15-1)*EXP(-0.5*(($A391-'Control Room'!$A$15-('Control Room'!$B$15-1)/2)/MAX(0.5,'Control Room'!$B$15/4))^2),1)*IF(AND($A391&gt;='Control Room'!$A$16,$A391&lt;'Control Room'!$A$16+'Control Room'!$B$16,'Process'!BM5=1),1+('Control Room'!$C$16-1)*EXP(-0.5*(($A391-'Control Room'!$A$16-('Control Room'!$B$16-1)/2)/MAX(0.5,'Control Room'!$B$16/4))^2),1)</x:f>
        <x:v>1</x:v>
      </x:c>
      <x:c r="Q391" s="9" t="n">
        <x:f>MOD(R390*16807,2147483647)</x:f>
        <x:v>7088439</x:v>
      </x:c>
      <x:c r="R391" s="9" t="n">
        <x:f>MOD(Q391*16807,2147483647)</x:f>
        <x:v>1023793688</x:v>
      </x:c>
      <x:c r="S391" s="17" t="n">
        <x:f>IF('Control Room'!$B$5="Normal",'Control Room'!$B$7+'Control Room'!$D$7*SQRT(-2*LN(MAX(0.000000000001,Q391/2147483647)))*COS(2*PI()*R391/2147483647),'Control Room'!$B$8+('Control Room'!$D$8-'Control Room'!$B$8)*Q391/2147483647)</x:f>
        <x:v>699.0060767468565</x:v>
      </x:c>
      <x:c r="T391" s="17" t="n">
        <x:f>IF('Control Room'!$B$5="Normal",'Control Room'!$B$7,('Control Room'!$B$8+'Control Room'!$D$8)/2)+'Control Room'!$B$9*(T390-IF('Control Room'!$B$5="Normal",'Control Room'!$B$7,('Control Room'!$B$8+'Control Room'!$D$8)/2))+SQRT(1-'Control Room'!$B$9^2)*(S391-IF('Control Room'!$B$5="Normal",'Control Room'!$B$7,('Control Room'!$B$8+'Control Room'!$D$8)/2))</x:f>
        <x:v>732.7809921982847</x:v>
      </x:c>
      <x:c r="U391" s="17" t="n">
        <x:f>IF(AND($A391&gt;='Control Room'!$A$13,$A391&lt;'Control Room'!$A$13+'Control Room'!$B$13,'Process'!BN2=1),1+('Control Room'!$C$13-1)*EXP(-0.5*(($A391-'Control Room'!$A$13-('Control Room'!$B$13-1)/2)/MAX(0.5,'Control Room'!$B$13/4))^2),1)*IF(AND($A391&gt;='Control Room'!$A$14,$A391&lt;'Control Room'!$A$14+'Control Room'!$B$14,'Process'!BN3=1),1+('Control Room'!$C$14-1)*EXP(-0.5*(($A391-'Control Room'!$A$14-('Control Room'!$B$14-1)/2)/MAX(0.5,'Control Room'!$B$14/4))^2),1)*IF(AND($A391&gt;='Control Room'!$A$15,$A391&lt;'Control Room'!$A$15+'Control Room'!$B$15,'Process'!BN4=1),1+('Control Room'!$C$15-1)*EXP(-0.5*(($A391-'Control Room'!$A$15-('Control Room'!$B$15-1)/2)/MAX(0.5,'Control Room'!$B$15/4))^2),1)*IF(AND($A391&gt;='Control Room'!$A$16,$A391&lt;'Control Room'!$A$16+'Control Room'!$B$16,'Process'!BN5=1),1+('Control Room'!$C$16-1)*EXP(-0.5*(($A391-'Control Room'!$A$16-('Control Room'!$B$16-1)/2)/MAX(0.5,'Control Room'!$B$16/4))^2),1)</x:f>
        <x:v>1</x:v>
      </x:c>
      <x:c r="V391" s="9" t="n">
        <x:f>MOD(W390*16807,2147483647)</x:f>
        <x:v>1925176777</x:v>
      </x:c>
      <x:c r="W391" s="9" t="n">
        <x:f>MOD(V391*16807,2147483647)</x:f>
        <x:v>309981690</x:v>
      </x:c>
      <x:c r="X391" s="17" t="n">
        <x:f>IF('Control Room'!$B$5="Normal",'Control Room'!$B$7+'Control Room'!$D$7*SQRT(-2*LN(MAX(0.000000000001,V391/2147483647)))*COS(2*PI()*W391/2147483647),'Control Room'!$B$8+('Control Room'!$D$8-'Control Room'!$B$8)*V391/2147483647)</x:f>
        <x:v>1025.924460890067</x:v>
      </x:c>
      <x:c r="Y391" s="17" t="n">
        <x:f>IF('Control Room'!$B$5="Normal",'Control Room'!$B$7,('Control Room'!$B$8+'Control Room'!$D$8)/2)+'Control Room'!$B$9*(Y390-IF('Control Room'!$B$5="Normal",'Control Room'!$B$7,('Control Room'!$B$8+'Control Room'!$D$8)/2))+SQRT(1-'Control Room'!$B$9^2)*(X391-IF('Control Room'!$B$5="Normal",'Control Room'!$B$7,('Control Room'!$B$8+'Control Room'!$D$8)/2))</x:f>
        <x:v>961.949271961846</x:v>
      </x:c>
      <x:c r="Z391" s="17" t="n">
        <x:f>IF(AND($A391&gt;='Control Room'!$A$13,$A391&lt;'Control Room'!$A$13+'Control Room'!$B$13,'Process'!BO2=1),1+('Control Room'!$C$13-1)*EXP(-0.5*(($A391-'Control Room'!$A$13-('Control Room'!$B$13-1)/2)/MAX(0.5,'Control Room'!$B$13/4))^2),1)*IF(AND($A391&gt;='Control Room'!$A$14,$A391&lt;'Control Room'!$A$14+'Control Room'!$B$14,'Process'!BO3=1),1+('Control Room'!$C$14-1)*EXP(-0.5*(($A391-'Control Room'!$A$14-('Control Room'!$B$14-1)/2)/MAX(0.5,'Control Room'!$B$14/4))^2),1)*IF(AND($A391&gt;='Control Room'!$A$15,$A391&lt;'Control Room'!$A$15+'Control Room'!$B$15,'Process'!BO4=1),1+('Control Room'!$C$15-1)*EXP(-0.5*(($A391-'Control Room'!$A$15-('Control Room'!$B$15-1)/2)/MAX(0.5,'Control Room'!$B$15/4))^2),1)*IF(AND($A391&gt;='Control Room'!$A$16,$A391&lt;'Control Room'!$A$16+'Control Room'!$B$16,'Process'!BO5=1),1+('Control Room'!$C$16-1)*EXP(-0.5*(($A391-'Control Room'!$A$16-('Control Room'!$B$16-1)/2)/MAX(0.5,'Control Room'!$B$16/4))^2),1)</x:f>
        <x:v>1</x:v>
      </x:c>
      <x:c r="AA391" s="9" t="n">
        <x:f>MOD(AB390*16807,2147483647)</x:f>
        <x:v>1695781468</x:v>
      </x:c>
      <x:c r="AB391" s="9" t="n">
        <x:f>MOD(AA391*16807,2147483647)</x:f>
        <x:v>1743653339</x:v>
      </x:c>
      <x:c r="AC391" s="17" t="n">
        <x:f>IF('Control Room'!$B$5="Normal",'Control Room'!$B$7+'Control Room'!$D$7*SQRT(-2*LN(MAX(0.000000000001,AA391/2147483647)))*COS(2*PI()*AB391/2147483647),'Control Room'!$B$8+('Control Room'!$D$8-'Control Room'!$B$8)*AA391/2147483647)</x:f>
        <x:v>1023.4728190544399</x:v>
      </x:c>
      <x:c r="AD391" s="17" t="n">
        <x:f>IF('Control Room'!$B$5="Normal",'Control Room'!$B$7,('Control Room'!$B$8+'Control Room'!$D$8)/2)+'Control Room'!$B$9*(AD390-IF('Control Room'!$B$5="Normal",'Control Room'!$B$7,('Control Room'!$B$8+'Control Room'!$D$8)/2))+SQRT(1-'Control Room'!$B$9^2)*(AC391-IF('Control Room'!$B$5="Normal",'Control Room'!$B$7,('Control Room'!$B$8+'Control Room'!$D$8)/2))</x:f>
        <x:v>998.4581226011863</x:v>
      </x:c>
      <x:c r="AE391" s="17" t="n">
        <x:f>IF(AND($A391&gt;='Control Room'!$A$13,$A391&lt;'Control Room'!$A$13+'Control Room'!$B$13,'Process'!BP2=1),1+('Control Room'!$C$13-1)*EXP(-0.5*(($A391-'Control Room'!$A$13-('Control Room'!$B$13-1)/2)/MAX(0.5,'Control Room'!$B$13/4))^2),1)*IF(AND($A391&gt;='Control Room'!$A$14,$A391&lt;'Control Room'!$A$14+'Control Room'!$B$14,'Process'!BP3=1),1+('Control Room'!$C$14-1)*EXP(-0.5*(($A391-'Control Room'!$A$14-('Control Room'!$B$14-1)/2)/MAX(0.5,'Control Room'!$B$14/4))^2),1)*IF(AND($A391&gt;='Control Room'!$A$15,$A391&lt;'Control Room'!$A$15+'Control Room'!$B$15,'Process'!BP4=1),1+('Control Room'!$C$15-1)*EXP(-0.5*(($A391-'Control Room'!$A$15-('Control Room'!$B$15-1)/2)/MAX(0.5,'Control Room'!$B$15/4))^2),1)*IF(AND($A391&gt;='Control Room'!$A$16,$A391&lt;'Control Room'!$A$16+'Control Room'!$B$16,'Process'!BP5=1),1+('Control Room'!$C$16-1)*EXP(-0.5*(($A391-'Control Room'!$A$16-('Control Room'!$B$16-1)/2)/MAX(0.5,'Control Room'!$B$16/4))^2),1)</x:f>
        <x:v>1</x:v>
      </x:c>
      <x:c r="AF391" s="9" t="n">
        <x:f>MOD(AG390*16807,2147483647)</x:f>
        <x:v>1466386159</x:v>
      </x:c>
      <x:c r="AG391" s="9" t="n">
        <x:f>MOD(AF391*16807,2147483647)</x:f>
        <x:v>1029841341</x:v>
      </x:c>
      <x:c r="AH391" s="17" t="n">
        <x:f>IF('Control Room'!$B$5="Normal",'Control Room'!$B$7+'Control Room'!$D$7*SQRT(-2*LN(MAX(0.000000000001,AF391/2147483647)))*COS(2*PI()*AG391/2147483647),'Control Room'!$B$8+('Control Room'!$D$8-'Control Room'!$B$8)*AF391/2147483647)</x:f>
        <x:v>922.0331609708347</x:v>
      </x:c>
      <x:c r="AI391" s="17" t="n">
        <x:f>IF('Control Room'!$B$5="Normal",'Control Room'!$B$7,('Control Room'!$B$8+'Control Room'!$D$8)/2)+'Control Room'!$B$9*(AI390-IF('Control Room'!$B$5="Normal",'Control Room'!$B$7,('Control Room'!$B$8+'Control Room'!$D$8)/2))+SQRT(1-'Control Room'!$B$9^2)*(AH391-IF('Control Room'!$B$5="Normal",'Control Room'!$B$7,('Control Room'!$B$8+'Control Room'!$D$8)/2))</x:f>
        <x:v>873.3986825399769</x:v>
      </x:c>
      <x:c r="AJ391" s="17" t="n">
        <x:f>IF(AND($A391&gt;='Control Room'!$A$13,$A391&lt;'Control Room'!$A$13+'Control Room'!$B$13,'Process'!BQ2=1),1+('Control Room'!$C$13-1)*EXP(-0.5*(($A391-'Control Room'!$A$13-('Control Room'!$B$13-1)/2)/MAX(0.5,'Control Room'!$B$13/4))^2),1)*IF(AND($A391&gt;='Control Room'!$A$14,$A391&lt;'Control Room'!$A$14+'Control Room'!$B$14,'Process'!BQ3=1),1+('Control Room'!$C$14-1)*EXP(-0.5*(($A391-'Control Room'!$A$14-('Control Room'!$B$14-1)/2)/MAX(0.5,'Control Room'!$B$14/4))^2),1)*IF(AND($A391&gt;='Control Room'!$A$15,$A391&lt;'Control Room'!$A$15+'Control Room'!$B$15,'Process'!BQ4=1),1+('Control Room'!$C$15-1)*EXP(-0.5*(($A391-'Control Room'!$A$15-('Control Room'!$B$15-1)/2)/MAX(0.5,'Control Room'!$B$15/4))^2),1)*IF(AND($A391&gt;='Control Room'!$A$16,$A391&lt;'Control Room'!$A$16+'Control Room'!$B$16,'Process'!BQ5=1),1+('Control Room'!$C$16-1)*EXP(-0.5*(($A391-'Control Room'!$A$16-('Control Room'!$B$16-1)/2)/MAX(0.5,'Control Room'!$B$16/4))^2),1)</x:f>
        <x:v>1</x:v>
      </x:c>
      <x:c r="AK391" s="9" t="n">
        <x:f>MOD(AL390*16807,2147483647)</x:f>
        <x:v>1236990850</x:v>
      </x:c>
      <x:c r="AL391" s="9" t="n">
        <x:f>MOD(AK391*16807,2147483647)</x:f>
        <x:v>316029343</x:v>
      </x:c>
      <x:c r="AM391" s="17" t="n">
        <x:f>IF('Control Room'!$B$5="Normal",'Control Room'!$B$7+'Control Room'!$D$7*SQRT(-2*LN(MAX(0.000000000001,AK391/2147483647)))*COS(2*PI()*AL391/2147483647),'Control Room'!$B$8+('Control Room'!$D$8-'Control Room'!$B$8)*AK391/2147483647)</x:f>
        <x:v>1056.918611617149</x:v>
      </x:c>
      <x:c r="AN391" s="17" t="n">
        <x:f>IF('Control Room'!$B$5="Normal",'Control Room'!$B$7,('Control Room'!$B$8+'Control Room'!$D$8)/2)+'Control Room'!$B$9*(AN390-IF('Control Room'!$B$5="Normal",'Control Room'!$B$7,('Control Room'!$B$8+'Control Room'!$D$8)/2))+SQRT(1-'Control Room'!$B$9^2)*(AM391-IF('Control Room'!$B$5="Normal",'Control Room'!$B$7,('Control Room'!$B$8+'Control Room'!$D$8)/2))</x:f>
        <x:v>1002.6742476849097</x:v>
      </x:c>
      <x:c r="AO391" s="17" t="n">
        <x:f>IF(AND($A391&gt;='Control Room'!$A$13,$A391&lt;'Control Room'!$A$13+'Control Room'!$B$13,'Process'!BR2=1),1+('Control Room'!$C$13-1)*EXP(-0.5*(($A391-'Control Room'!$A$13-('Control Room'!$B$13-1)/2)/MAX(0.5,'Control Room'!$B$13/4))^2),1)*IF(AND($A391&gt;='Control Room'!$A$14,$A391&lt;'Control Room'!$A$14+'Control Room'!$B$14,'Process'!BR3=1),1+('Control Room'!$C$14-1)*EXP(-0.5*(($A391-'Control Room'!$A$14-('Control Room'!$B$14-1)/2)/MAX(0.5,'Control Room'!$B$14/4))^2),1)*IF(AND($A391&gt;='Control Room'!$A$15,$A391&lt;'Control Room'!$A$15+'Control Room'!$B$15,'Process'!BR4=1),1+('Control Room'!$C$15-1)*EXP(-0.5*(($A391-'Control Room'!$A$15-('Control Room'!$B$15-1)/2)/MAX(0.5,'Control Room'!$B$15/4))^2),1)*IF(AND($A391&gt;='Control Room'!$A$16,$A391&lt;'Control Room'!$A$16+'Control Room'!$B$16,'Process'!BR5=1),1+('Control Room'!$C$16-1)*EXP(-0.5*(($A391-'Control Room'!$A$16-('Control Room'!$B$16-1)/2)/MAX(0.5,'Control Room'!$B$16/4))^2),1)</x:f>
        <x:v>1</x:v>
      </x:c>
      <x:c r="AP391" s="9" t="n">
        <x:f>MOD(AQ390*16807,2147483647)</x:f>
        <x:v>1007595541</x:v>
      </x:c>
      <x:c r="AQ391" s="9" t="n">
        <x:f>MOD(AP391*16807,2147483647)</x:f>
        <x:v>1749700992</x:v>
      </x:c>
      <x:c r="AR391" s="17" t="n">
        <x:f>IF('Control Room'!$B$5="Normal",'Control Room'!$B$7+'Control Room'!$D$7*SQRT(-2*LN(MAX(0.000000000001,AP391/2147483647)))*COS(2*PI()*AQ391/2147483647),'Control Room'!$B$8+('Control Room'!$D$8-'Control Room'!$B$8)*AP391/2147483647)</x:f>
        <x:v>1043.8242461496934</x:v>
      </x:c>
      <x:c r="AS391" s="17" t="n">
        <x:f>IF('Control Room'!$B$5="Normal",'Control Room'!$B$7,('Control Room'!$B$8+'Control Room'!$D$8)/2)+'Control Room'!$B$9*(AS390-IF('Control Room'!$B$5="Normal",'Control Room'!$B$7,('Control Room'!$B$8+'Control Room'!$D$8)/2))+SQRT(1-'Control Room'!$B$9^2)*(AR391-IF('Control Room'!$B$5="Normal",'Control Room'!$B$7,('Control Room'!$B$8+'Control Room'!$D$8)/2))</x:f>
        <x:v>1087.1976736859153</x:v>
      </x:c>
      <x:c r="AT391" s="17" t="n">
        <x:f>IF(AND($A391&gt;='Control Room'!$A$13,$A391&lt;'Control Room'!$A$13+'Control Room'!$B$13,'Process'!BS2=1),1+('Control Room'!$C$13-1)*EXP(-0.5*(($A391-'Control Room'!$A$13-('Control Room'!$B$13-1)/2)/MAX(0.5,'Control Room'!$B$13/4))^2),1)*IF(AND($A391&gt;='Control Room'!$A$14,$A391&lt;'Control Room'!$A$14+'Control Room'!$B$14,'Process'!BS3=1),1+('Control Room'!$C$14-1)*EXP(-0.5*(($A391-'Control Room'!$A$14-('Control Room'!$B$14-1)/2)/MAX(0.5,'Control Room'!$B$14/4))^2),1)*IF(AND($A391&gt;='Control Room'!$A$15,$A391&lt;'Control Room'!$A$15+'Control Room'!$B$15,'Process'!BS4=1),1+('Control Room'!$C$15-1)*EXP(-0.5*(($A391-'Control Room'!$A$15-('Control Room'!$B$15-1)/2)/MAX(0.5,'Control Room'!$B$15/4))^2),1)*IF(AND($A391&gt;='Control Room'!$A$16,$A391&lt;'Control Room'!$A$16+'Control Room'!$B$16,'Process'!BS5=1),1+('Control Room'!$C$16-1)*EXP(-0.5*(($A391-'Control Room'!$A$16-('Control Room'!$B$16-1)/2)/MAX(0.5,'Control Room'!$B$16/4))^2),1)</x:f>
        <x:v>1</x:v>
      </x:c>
      <x:c r="AU391" s="9" t="n">
        <x:f>MOD(AV390*16807,2147483647)</x:f>
        <x:v>778200232</x:v>
      </x:c>
      <x:c r="AV391" s="9" t="n">
        <x:f>MOD(AU391*16807,2147483647)</x:f>
        <x:v>1035888994</x:v>
      </x:c>
      <x:c r="AW391" s="17" t="n">
        <x:f>IF('Control Room'!$B$5="Normal",'Control Room'!$B$7+'Control Room'!$D$7*SQRT(-2*LN(MAX(0.000000000001,AU391/2147483647)))*COS(2*PI()*AV391/2147483647),'Control Room'!$B$8+('Control Room'!$D$8-'Control Room'!$B$8)*AU391/2147483647)</x:f>
        <x:v>872.5510793816416</x:v>
      </x:c>
      <x:c r="AX391" s="17" t="n">
        <x:f>IF('Control Room'!$B$5="Normal",'Control Room'!$B$7,('Control Room'!$B$8+'Control Room'!$D$8)/2)+'Control Room'!$B$9*(AX390-IF('Control Room'!$B$5="Normal",'Control Room'!$B$7,('Control Room'!$B$8+'Control Room'!$D$8)/2))+SQRT(1-'Control Room'!$B$9^2)*(AW391-IF('Control Room'!$B$5="Normal",'Control Room'!$B$7,('Control Room'!$B$8+'Control Room'!$D$8)/2))</x:f>
        <x:v>888.994168939687</x:v>
      </x:c>
      <x:c r="AY391" s="17" t="n">
        <x:f>IF(AND($A391&gt;='Control Room'!$A$13,$A391&lt;'Control Room'!$A$13+'Control Room'!$B$13,'Process'!BT2=1),1+('Control Room'!$C$13-1)*EXP(-0.5*(($A391-'Control Room'!$A$13-('Control Room'!$B$13-1)/2)/MAX(0.5,'Control Room'!$B$13/4))^2),1)*IF(AND($A391&gt;='Control Room'!$A$14,$A391&lt;'Control Room'!$A$14+'Control Room'!$B$14,'Process'!BT3=1),1+('Control Room'!$C$14-1)*EXP(-0.5*(($A391-'Control Room'!$A$14-('Control Room'!$B$14-1)/2)/MAX(0.5,'Control Room'!$B$14/4))^2),1)*IF(AND($A391&gt;='Control Room'!$A$15,$A391&lt;'Control Room'!$A$15+'Control Room'!$B$15,'Process'!BT4=1),1+('Control Room'!$C$15-1)*EXP(-0.5*(($A391-'Control Room'!$A$15-('Control Room'!$B$15-1)/2)/MAX(0.5,'Control Room'!$B$15/4))^2),1)*IF(AND($A391&gt;='Control Room'!$A$16,$A391&lt;'Control Room'!$A$16+'Control Room'!$B$16,'Process'!BT5=1),1+('Control Room'!$C$16-1)*EXP(-0.5*(($A391-'Control Room'!$A$16-('Control Room'!$B$16-1)/2)/MAX(0.5,'Control Room'!$B$16/4))^2),1)</x:f>
        <x:v>1</x:v>
      </x:c>
      <x:c r="AZ391" s="9" t="n">
        <x:f>MOD(BA390*16807,2147483647)</x:f>
        <x:v>548804923</x:v>
      </x:c>
      <x:c r="BA391" s="9" t="n">
        <x:f>MOD(AZ391*16807,2147483647)</x:f>
        <x:v>322076996</x:v>
      </x:c>
      <x:c r="BB391" s="17" t="n">
        <x:f>IF('Control Room'!$B$5="Normal",'Control Room'!$B$7+'Control Room'!$D$7*SQRT(-2*LN(MAX(0.000000000001,AZ391/2147483647)))*COS(2*PI()*BA391/2147483647),'Control Room'!$B$8+('Control Room'!$D$8-'Control Room'!$B$8)*AZ391/2147483647)</x:f>
        <x:v>1087.400158038014</x:v>
      </x:c>
      <x:c r="BC391" s="17" t="n">
        <x:f>IF('Control Room'!$B$5="Normal",'Control Room'!$B$7,('Control Room'!$B$8+'Control Room'!$D$8)/2)+'Control Room'!$B$9*(BC390-IF('Control Room'!$B$5="Normal",'Control Room'!$B$7,('Control Room'!$B$8+'Control Room'!$D$8)/2))+SQRT(1-'Control Room'!$B$9^2)*(BB391-IF('Control Room'!$B$5="Normal",'Control Room'!$B$7,('Control Room'!$B$8+'Control Room'!$D$8)/2))</x:f>
        <x:v>1002.1054790962984</x:v>
      </x:c>
      <x:c r="BD391" s="17" t="n">
        <x:f>IF(AND($A391&gt;='Control Room'!$A$13,$A391&lt;'Control Room'!$A$13+'Control Room'!$B$13,'Process'!BU2=1),1+('Control Room'!$C$13-1)*EXP(-0.5*(($A391-'Control Room'!$A$13-('Control Room'!$B$13-1)/2)/MAX(0.5,'Control Room'!$B$13/4))^2),1)*IF(AND($A391&gt;='Control Room'!$A$14,$A391&lt;'Control Room'!$A$14+'Control Room'!$B$14,'Process'!BU3=1),1+('Control Room'!$C$14-1)*EXP(-0.5*(($A391-'Control Room'!$A$14-('Control Room'!$B$14-1)/2)/MAX(0.5,'Control Room'!$B$14/4))^2),1)*IF(AND($A391&gt;='Control Room'!$A$15,$A391&lt;'Control Room'!$A$15+'Control Room'!$B$15,'Process'!BU4=1),1+('Control Room'!$C$15-1)*EXP(-0.5*(($A391-'Control Room'!$A$15-('Control Room'!$B$15-1)/2)/MAX(0.5,'Control Room'!$B$15/4))^2),1)*IF(AND($A391&gt;='Control Room'!$A$16,$A391&lt;'Control Room'!$A$16+'Control Room'!$B$16,'Process'!BU5=1),1+('Control Room'!$C$16-1)*EXP(-0.5*(($A391-'Control Room'!$A$16-('Control Room'!$B$16-1)/2)/MAX(0.5,'Control Room'!$B$16/4))^2),1)</x:f>
        <x:v>1</x:v>
      </x:c>
      <x:c r="BE391" s="9" t="n">
        <x:f>MOD(BF390*16807,2147483647)</x:f>
        <x:v>319409614</x:v>
      </x:c>
      <x:c r="BF391" s="9" t="n">
        <x:f>MOD(BE391*16807,2147483647)</x:f>
        <x:v>1755748645</x:v>
      </x:c>
      <x:c r="BG391" s="17" t="n">
        <x:f>IF('Control Room'!$B$5="Normal",'Control Room'!$B$7+'Control Room'!$D$7*SQRT(-2*LN(MAX(0.000000000001,BE391/2147483647)))*COS(2*PI()*BF391/2147483647),'Control Room'!$B$8+('Control Room'!$D$8-'Control Room'!$B$8)*BE391/2147483647)</x:f>
        <x:v>1072.3876010339272</x:v>
      </x:c>
      <x:c r="BH391" s="17" t="n">
        <x:f>IF('Control Room'!$B$5="Normal",'Control Room'!$B$7,('Control Room'!$B$8+'Control Room'!$D$8)/2)+'Control Room'!$B$9*(BH390-IF('Control Room'!$B$5="Normal",'Control Room'!$B$7,('Control Room'!$B$8+'Control Room'!$D$8)/2))+SQRT(1-'Control Room'!$B$9^2)*(BG391-IF('Control Room'!$B$5="Normal",'Control Room'!$B$7,('Control Room'!$B$8+'Control Room'!$D$8)/2))</x:f>
        <x:v>955.8016838416894</x:v>
      </x:c>
      <x:c r="BI391" s="17" t="n">
        <x:f>IF(AND($A391&gt;='Control Room'!$A$13,$A391&lt;'Control Room'!$A$13+'Control Room'!$B$13,'Process'!BV2=1),1+('Control Room'!$C$13-1)*EXP(-0.5*(($A391-'Control Room'!$A$13-('Control Room'!$B$13-1)/2)/MAX(0.5,'Control Room'!$B$13/4))^2),1)*IF(AND($A391&gt;='Control Room'!$A$14,$A391&lt;'Control Room'!$A$14+'Control Room'!$B$14,'Process'!BV3=1),1+('Control Room'!$C$14-1)*EXP(-0.5*(($A391-'Control Room'!$A$14-('Control Room'!$B$14-1)/2)/MAX(0.5,'Control Room'!$B$14/4))^2),1)*IF(AND($A391&gt;='Control Room'!$A$15,$A391&lt;'Control Room'!$A$15+'Control Room'!$B$15,'Process'!BV4=1),1+('Control Room'!$C$15-1)*EXP(-0.5*(($A391-'Control Room'!$A$15-('Control Room'!$B$15-1)/2)/MAX(0.5,'Control Room'!$B$15/4))^2),1)*IF(AND($A391&gt;='Control Room'!$A$16,$A391&lt;'Control Room'!$A$16+'Control Room'!$B$16,'Process'!BV5=1),1+('Control Room'!$C$16-1)*EXP(-0.5*(($A391-'Control Room'!$A$16-('Control Room'!$B$16-1)/2)/MAX(0.5,'Control Room'!$B$16/4))^2),1)</x:f>
        <x:v>1</x:v>
      </x:c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Z391" t="str">
        <x:f>IF('Data'!A391="","",TEXT('Data'!A391,"mm-dd"))</x:f>
      </x:c>
    </x:row>
    <x:row r="392" ht="21" customHeight="1">
      <x:c r="A392" s="15" t="n">
        <x:f>'Control Room'!$B$1+390</x:f>
        <x:v>73381</x:v>
      </x:c>
      <x:c r="B392" s="9" t="n">
        <x:f>MOD(C391*16807,2147483647)</x:f>
        <x:v>550361890</x:v>
      </x:c>
      <x:c r="C392" s="9" t="n">
        <x:f>MOD(B392*16807,2147483647)</x:f>
        <x:v>720217601</x:v>
      </x:c>
      <x:c r="D392" s="17" t="n">
        <x:f>IF('Control Room'!$B$5="Normal",'Control Room'!$B$7+'Control Room'!$D$7*SQRT(-2*LN(MAX(0.000000000001,B392/2147483647)))*COS(2*PI()*C392/2147483647),'Control Room'!$B$8+('Control Room'!$D$8-'Control Room'!$B$8)*B392/2147483647)</x:f>
        <x:v>924.0981215994827</x:v>
      </x:c>
      <x:c r="E392" s="17" t="n">
        <x:f>IF('Control Room'!$B$5="Normal",'Control Room'!$B$7,('Control Room'!$B$8+'Control Room'!$D$8)/2)+'Control Room'!$B$9*(E391-IF('Control Room'!$B$5="Normal",'Control Room'!$B$7,('Control Room'!$B$8+'Control Room'!$D$8)/2))+SQRT(1-'Control Room'!$B$9^2)*(D392-IF('Control Room'!$B$5="Normal",'Control Room'!$B$7,('Control Room'!$B$8+'Control Room'!$D$8)/2))</x:f>
        <x:v>795.4190561107978</x:v>
      </x:c>
      <x:c r="F392" s="17" t="n">
        <x:f>IF(AND($A392&gt;='Control Room'!$A$13,$A392&lt;'Control Room'!$A$13+'Control Room'!$B$13,'Process'!BK2=1),1+('Control Room'!$C$13-1)*EXP(-0.5*(($A392-'Control Room'!$A$13-('Control Room'!$B$13-1)/2)/MAX(0.5,'Control Room'!$B$13/4))^2),1)*IF(AND($A392&gt;='Control Room'!$A$14,$A392&lt;'Control Room'!$A$14+'Control Room'!$B$14,'Process'!BK3=1),1+('Control Room'!$C$14-1)*EXP(-0.5*(($A392-'Control Room'!$A$14-('Control Room'!$B$14-1)/2)/MAX(0.5,'Control Room'!$B$14/4))^2),1)*IF(AND($A392&gt;='Control Room'!$A$15,$A392&lt;'Control Room'!$A$15+'Control Room'!$B$15,'Process'!BK4=1),1+('Control Room'!$C$15-1)*EXP(-0.5*(($A392-'Control Room'!$A$15-('Control Room'!$B$15-1)/2)/MAX(0.5,'Control Room'!$B$15/4))^2),1)*IF(AND($A392&gt;='Control Room'!$A$16,$A392&lt;'Control Room'!$A$16+'Control Room'!$B$16,'Process'!BK5=1),1+('Control Room'!$C$16-1)*EXP(-0.5*(($A392-'Control Room'!$A$16-('Control Room'!$B$16-1)/2)/MAX(0.5,'Control Room'!$B$16/4))^2),1)</x:f>
        <x:v>1</x:v>
      </x:c>
      <x:c r="G392" s="9" t="n">
        <x:f>MOD(H391*16807,2147483647)</x:f>
        <x:v>1503247293</x:v>
      </x:c>
      <x:c r="H392" s="9" t="n">
        <x:f>MOD(G392*16807,2147483647)</x:f>
        <x:v>2079630143</x:v>
      </x:c>
      <x:c r="I392" s="17" t="n">
        <x:f>IF('Control Room'!$B$5="Normal",'Control Room'!$B$7+'Control Room'!$D$7*SQRT(-2*LN(MAX(0.000000000001,G392/2147483647)))*COS(2*PI()*H392/2147483647),'Control Room'!$B$8+('Control Room'!$D$8-'Control Room'!$B$8)*G392/2147483647)</x:f>
        <x:v>1074.5203568595657</x:v>
      </x:c>
      <x:c r="J392" s="17" t="n">
        <x:f>IF('Control Room'!$B$5="Normal",'Control Room'!$B$7,('Control Room'!$B$8+'Control Room'!$D$8)/2)+'Control Room'!$B$9*(J391-IF('Control Room'!$B$5="Normal",'Control Room'!$B$7,('Control Room'!$B$8+'Control Room'!$D$8)/2))+SQRT(1-'Control Room'!$B$9^2)*(I392-IF('Control Room'!$B$5="Normal",'Control Room'!$B$7,('Control Room'!$B$8+'Control Room'!$D$8)/2))</x:f>
        <x:v>1142.436464686987</x:v>
      </x:c>
      <x:c r="K392" s="17" t="n">
        <x:f>IF(AND($A392&gt;='Control Room'!$A$13,$A392&lt;'Control Room'!$A$13+'Control Room'!$B$13,'Process'!BL2=1),1+('Control Room'!$C$13-1)*EXP(-0.5*(($A392-'Control Room'!$A$13-('Control Room'!$B$13-1)/2)/MAX(0.5,'Control Room'!$B$13/4))^2),1)*IF(AND($A392&gt;='Control Room'!$A$14,$A392&lt;'Control Room'!$A$14+'Control Room'!$B$14,'Process'!BL3=1),1+('Control Room'!$C$14-1)*EXP(-0.5*(($A392-'Control Room'!$A$14-('Control Room'!$B$14-1)/2)/MAX(0.5,'Control Room'!$B$14/4))^2),1)*IF(AND($A392&gt;='Control Room'!$A$15,$A392&lt;'Control Room'!$A$15+'Control Room'!$B$15,'Process'!BL4=1),1+('Control Room'!$C$15-1)*EXP(-0.5*(($A392-'Control Room'!$A$15-('Control Room'!$B$15-1)/2)/MAX(0.5,'Control Room'!$B$15/4))^2),1)*IF(AND($A392&gt;='Control Room'!$A$16,$A392&lt;'Control Room'!$A$16+'Control Room'!$B$16,'Process'!BL5=1),1+('Control Room'!$C$16-1)*EXP(-0.5*(($A392-'Control Room'!$A$16-('Control Room'!$B$16-1)/2)/MAX(0.5,'Control Room'!$B$16/4))^2),1)</x:f>
        <x:v>1</x:v>
      </x:c>
      <x:c r="L392" s="9" t="n">
        <x:f>MOD(M391*16807,2147483647)</x:f>
        <x:v>308649049</x:v>
      </x:c>
      <x:c r="M392" s="9" t="n">
        <x:f>MOD(L392*16807,2147483647)</x:f>
        <x:v>1291559038</x:v>
      </x:c>
      <x:c r="N392" s="17" t="n">
        <x:f>IF('Control Room'!$B$5="Normal",'Control Room'!$B$7+'Control Room'!$D$7*SQRT(-2*LN(MAX(0.000000000001,L392/2147483647)))*COS(2*PI()*M392/2147483647),'Control Room'!$B$8+('Control Room'!$D$8-'Control Room'!$B$8)*L392/2147483647)</x:f>
        <x:v>857.5249279313331</x:v>
      </x:c>
      <x:c r="O392" s="17" t="n">
        <x:f>IF('Control Room'!$B$5="Normal",'Control Room'!$B$7,('Control Room'!$B$8+'Control Room'!$D$8)/2)+'Control Room'!$B$9*(O391-IF('Control Room'!$B$5="Normal",'Control Room'!$B$7,('Control Room'!$B$8+'Control Room'!$D$8)/2))+SQRT(1-'Control Room'!$B$9^2)*(N392-IF('Control Room'!$B$5="Normal",'Control Room'!$B$7,('Control Room'!$B$8+'Control Room'!$D$8)/2))</x:f>
        <x:v>859.1988797582849</x:v>
      </x:c>
      <x:c r="P392" s="17" t="n">
        <x:f>IF(AND($A392&gt;='Control Room'!$A$13,$A392&lt;'Control Room'!$A$13+'Control Room'!$B$13,'Process'!BM2=1),1+('Control Room'!$C$13-1)*EXP(-0.5*(($A392-'Control Room'!$A$13-('Control Room'!$B$13-1)/2)/MAX(0.5,'Control Room'!$B$13/4))^2),1)*IF(AND($A392&gt;='Control Room'!$A$14,$A392&lt;'Control Room'!$A$14+'Control Room'!$B$14,'Process'!BM3=1),1+('Control Room'!$C$14-1)*EXP(-0.5*(($A392-'Control Room'!$A$14-('Control Room'!$B$14-1)/2)/MAX(0.5,'Control Room'!$B$14/4))^2),1)*IF(AND($A392&gt;='Control Room'!$A$15,$A392&lt;'Control Room'!$A$15+'Control Room'!$B$15,'Process'!BM4=1),1+('Control Room'!$C$15-1)*EXP(-0.5*(($A392-'Control Room'!$A$15-('Control Room'!$B$15-1)/2)/MAX(0.5,'Control Room'!$B$15/4))^2),1)*IF(AND($A392&gt;='Control Room'!$A$16,$A392&lt;'Control Room'!$A$16+'Control Room'!$B$16,'Process'!BM5=1),1+('Control Room'!$C$16-1)*EXP(-0.5*(($A392-'Control Room'!$A$16-('Control Room'!$B$16-1)/2)/MAX(0.5,'Control Room'!$B$16/4))^2),1)</x:f>
        <x:v>1</x:v>
      </x:c>
      <x:c r="Q392" s="9" t="n">
        <x:f>MOD(R391*16807,2147483647)</x:f>
        <x:v>1261534452</x:v>
      </x:c>
      <x:c r="R392" s="9" t="n">
        <x:f>MOD(Q392*16807,2147483647)</x:f>
        <x:v>503487933</x:v>
      </x:c>
      <x:c r="S392" s="17" t="n">
        <x:f>IF('Control Room'!$B$5="Normal",'Control Room'!$B$7+'Control Room'!$D$7*SQRT(-2*LN(MAX(0.000000000001,Q392/2147483647)))*COS(2*PI()*R392/2147483647),'Control Room'!$B$8+('Control Room'!$D$8-'Control Room'!$B$8)*Q392/2147483647)</x:f>
        <x:v>1009.0528345597357</x:v>
      </x:c>
      <x:c r="T392" s="17" t="n">
        <x:f>IF('Control Room'!$B$5="Normal",'Control Room'!$B$7,('Control Room'!$B$8+'Control Room'!$D$8)/2)+'Control Room'!$B$9*(T391-IF('Control Room'!$B$5="Normal",'Control Room'!$B$7,('Control Room'!$B$8+'Control Room'!$D$8)/2))+SQRT(1-'Control Room'!$B$9^2)*(S392-IF('Control Room'!$B$5="Normal",'Control Room'!$B$7,('Control Room'!$B$8+'Control Room'!$D$8)/2))</x:f>
        <x:v>797.2342523247482</x:v>
      </x:c>
      <x:c r="U392" s="17" t="n">
        <x:f>IF(AND($A392&gt;='Control Room'!$A$13,$A392&lt;'Control Room'!$A$13+'Control Room'!$B$13,'Process'!BN2=1),1+('Control Room'!$C$13-1)*EXP(-0.5*(($A392-'Control Room'!$A$13-('Control Room'!$B$13-1)/2)/MAX(0.5,'Control Room'!$B$13/4))^2),1)*IF(AND($A392&gt;='Control Room'!$A$14,$A392&lt;'Control Room'!$A$14+'Control Room'!$B$14,'Process'!BN3=1),1+('Control Room'!$C$14-1)*EXP(-0.5*(($A392-'Control Room'!$A$14-('Control Room'!$B$14-1)/2)/MAX(0.5,'Control Room'!$B$14/4))^2),1)*IF(AND($A392&gt;='Control Room'!$A$15,$A392&lt;'Control Room'!$A$15+'Control Room'!$B$15,'Process'!BN4=1),1+('Control Room'!$C$15-1)*EXP(-0.5*(($A392-'Control Room'!$A$15-('Control Room'!$B$15-1)/2)/MAX(0.5,'Control Room'!$B$15/4))^2),1)*IF(AND($A392&gt;='Control Room'!$A$16,$A392&lt;'Control Room'!$A$16+'Control Room'!$B$16,'Process'!BN5=1),1+('Control Room'!$C$16-1)*EXP(-0.5*(($A392-'Control Room'!$A$16-('Control Room'!$B$16-1)/2)/MAX(0.5,'Control Room'!$B$16/4))^2),1)</x:f>
        <x:v>1</x:v>
      </x:c>
      <x:c r="V392" s="9" t="n">
        <x:f>MOD(W391*16807,2147483647)</x:f>
        <x:v>66936208</x:v>
      </x:c>
      <x:c r="W392" s="9" t="n">
        <x:f>MOD(V392*16807,2147483647)</x:f>
        <x:v>1862900475</x:v>
      </x:c>
      <x:c r="X392" s="17" t="n">
        <x:f>IF('Control Room'!$B$5="Normal",'Control Room'!$B$7+'Control Room'!$D$7*SQRT(-2*LN(MAX(0.000000000001,V392/2147483647)))*COS(2*PI()*W392/2147483647),'Control Room'!$B$8+('Control Room'!$D$8-'Control Room'!$B$8)*V392/2147483647)</x:f>
        <x:v>1159.5076958225225</x:v>
      </x:c>
      <x:c r="Y392" s="17" t="n">
        <x:f>IF('Control Room'!$B$5="Normal",'Control Room'!$B$7,('Control Room'!$B$8+'Control Room'!$D$8)/2)+'Control Room'!$B$9*(Y391-IF('Control Room'!$B$5="Normal",'Control Room'!$B$7,('Control Room'!$B$8+'Control Room'!$D$8)/2))+SQRT(1-'Control Room'!$B$9^2)*(X392-IF('Control Room'!$B$5="Normal",'Control Room'!$B$7,('Control Room'!$B$8+'Control Room'!$D$8)/2))</x:f>
        <x:v>1070.1370804832106</x:v>
      </x:c>
      <x:c r="Z392" s="17" t="n">
        <x:f>IF(AND($A392&gt;='Control Room'!$A$13,$A392&lt;'Control Room'!$A$13+'Control Room'!$B$13,'Process'!BO2=1),1+('Control Room'!$C$13-1)*EXP(-0.5*(($A392-'Control Room'!$A$13-('Control Room'!$B$13-1)/2)/MAX(0.5,'Control Room'!$B$13/4))^2),1)*IF(AND($A392&gt;='Control Room'!$A$14,$A392&lt;'Control Room'!$A$14+'Control Room'!$B$14,'Process'!BO3=1),1+('Control Room'!$C$14-1)*EXP(-0.5*(($A392-'Control Room'!$A$14-('Control Room'!$B$14-1)/2)/MAX(0.5,'Control Room'!$B$14/4))^2),1)*IF(AND($A392&gt;='Control Room'!$A$15,$A392&lt;'Control Room'!$A$15+'Control Room'!$B$15,'Process'!BO4=1),1+('Control Room'!$C$15-1)*EXP(-0.5*(($A392-'Control Room'!$A$15-('Control Room'!$B$15-1)/2)/MAX(0.5,'Control Room'!$B$15/4))^2),1)*IF(AND($A392&gt;='Control Room'!$A$16,$A392&lt;'Control Room'!$A$16+'Control Room'!$B$16,'Process'!BO5=1),1+('Control Room'!$C$16-1)*EXP(-0.5*(($A392-'Control Room'!$A$16-('Control Room'!$B$16-1)/2)/MAX(0.5,'Control Room'!$B$16/4))^2),1)</x:f>
        <x:v>1</x:v>
      </x:c>
      <x:c r="AA392" s="9" t="n">
        <x:f>MOD(AB391*16807,2147483647)</x:f>
        <x:v>1019821611</x:v>
      </x:c>
      <x:c r="AB392" s="9" t="n">
        <x:f>MOD(AA392*16807,2147483647)</x:f>
        <x:v>1074829370</x:v>
      </x:c>
      <x:c r="AC392" s="17" t="n">
        <x:f>IF('Control Room'!$B$5="Normal",'Control Room'!$B$7+'Control Room'!$D$7*SQRT(-2*LN(MAX(0.000000000001,AA392/2147483647)))*COS(2*PI()*AB392/2147483647),'Control Room'!$B$8+('Control Room'!$D$8-'Control Room'!$B$8)*AA392/2147483647)</x:f>
        <x:v>890.1659602415327</x:v>
      </x:c>
      <x:c r="AD392" s="17" t="n">
        <x:f>IF('Control Room'!$B$5="Normal",'Control Room'!$B$7,('Control Room'!$B$8+'Control Room'!$D$8)/2)+'Control Room'!$B$9*(AD391-IF('Control Room'!$B$5="Normal",'Control Room'!$B$7,('Control Room'!$B$8+'Control Room'!$D$8)/2))+SQRT(1-'Control Room'!$B$9^2)*(AC392-IF('Control Room'!$B$5="Normal",'Control Room'!$B$7,('Control Room'!$B$8+'Control Room'!$D$8)/2))</x:f>
        <x:v>930.0654436206833</x:v>
      </x:c>
      <x:c r="AE392" s="17" t="n">
        <x:f>IF(AND($A392&gt;='Control Room'!$A$13,$A392&lt;'Control Room'!$A$13+'Control Room'!$B$13,'Process'!BP2=1),1+('Control Room'!$C$13-1)*EXP(-0.5*(($A392-'Control Room'!$A$13-('Control Room'!$B$13-1)/2)/MAX(0.5,'Control Room'!$B$13/4))^2),1)*IF(AND($A392&gt;='Control Room'!$A$14,$A392&lt;'Control Room'!$A$14+'Control Room'!$B$14,'Process'!BP3=1),1+('Control Room'!$C$14-1)*EXP(-0.5*(($A392-'Control Room'!$A$14-('Control Room'!$B$14-1)/2)/MAX(0.5,'Control Room'!$B$14/4))^2),1)*IF(AND($A392&gt;='Control Room'!$A$15,$A392&lt;'Control Room'!$A$15+'Control Room'!$B$15,'Process'!BP4=1),1+('Control Room'!$C$15-1)*EXP(-0.5*(($A392-'Control Room'!$A$15-('Control Room'!$B$15-1)/2)/MAX(0.5,'Control Room'!$B$15/4))^2),1)*IF(AND($A392&gt;='Control Room'!$A$16,$A392&lt;'Control Room'!$A$16+'Control Room'!$B$16,'Process'!BP5=1),1+('Control Room'!$C$16-1)*EXP(-0.5*(($A392-'Control Room'!$A$16-('Control Room'!$B$16-1)/2)/MAX(0.5,'Control Room'!$B$16/4))^2),1)</x:f>
        <x:v>1</x:v>
      </x:c>
      <x:c r="AF392" s="9" t="n">
        <x:f>MOD(AG391*16807,2147483647)</x:f>
        <x:v>1972707014</x:v>
      </x:c>
      <x:c r="AG392" s="9" t="n">
        <x:f>MOD(AF392*16807,2147483647)</x:f>
        <x:v>286758265</x:v>
      </x:c>
      <x:c r="AH392" s="17" t="n">
        <x:f>IF('Control Room'!$B$5="Normal",'Control Room'!$B$7+'Control Room'!$D$7*SQRT(-2*LN(MAX(0.000000000001,AF392/2147483647)))*COS(2*PI()*AG392/2147483647),'Control Room'!$B$8+('Control Room'!$D$8-'Control Room'!$B$8)*AF392/2147483647)</x:f>
        <x:v>1024.7795414613975</x:v>
      </x:c>
      <x:c r="AI392" s="17" t="n">
        <x:f>IF('Control Room'!$B$5="Normal",'Control Room'!$B$7,('Control Room'!$B$8+'Control Room'!$D$8)/2)+'Control Room'!$B$9*(AI391-IF('Control Room'!$B$5="Normal",'Control Room'!$B$7,('Control Room'!$B$8+'Control Room'!$D$8)/2))+SQRT(1-'Control Room'!$B$9^2)*(AH392-IF('Control Room'!$B$5="Normal",'Control Room'!$B$7,('Control Room'!$B$8+'Control Room'!$D$8)/2))</x:f>
        <x:v>916.7575017912252</x:v>
      </x:c>
      <x:c r="AJ392" s="17" t="n">
        <x:f>IF(AND($A392&gt;='Control Room'!$A$13,$A392&lt;'Control Room'!$A$13+'Control Room'!$B$13,'Process'!BQ2=1),1+('Control Room'!$C$13-1)*EXP(-0.5*(($A392-'Control Room'!$A$13-('Control Room'!$B$13-1)/2)/MAX(0.5,'Control Room'!$B$13/4))^2),1)*IF(AND($A392&gt;='Control Room'!$A$14,$A392&lt;'Control Room'!$A$14+'Control Room'!$B$14,'Process'!BQ3=1),1+('Control Room'!$C$14-1)*EXP(-0.5*(($A392-'Control Room'!$A$14-('Control Room'!$B$14-1)/2)/MAX(0.5,'Control Room'!$B$14/4))^2),1)*IF(AND($A392&gt;='Control Room'!$A$15,$A392&lt;'Control Room'!$A$15+'Control Room'!$B$15,'Process'!BQ4=1),1+('Control Room'!$C$15-1)*EXP(-0.5*(($A392-'Control Room'!$A$15-('Control Room'!$B$15-1)/2)/MAX(0.5,'Control Room'!$B$15/4))^2),1)*IF(AND($A392&gt;='Control Room'!$A$16,$A392&lt;'Control Room'!$A$16+'Control Room'!$B$16,'Process'!BQ5=1),1+('Control Room'!$C$16-1)*EXP(-0.5*(($A392-'Control Room'!$A$16-('Control Room'!$B$16-1)/2)/MAX(0.5,'Control Room'!$B$16/4))^2),1)</x:f>
        <x:v>1</x:v>
      </x:c>
      <x:c r="AK392" s="9" t="n">
        <x:f>MOD(AL391*16807,2147483647)</x:f>
        <x:v>778108770</x:v>
      </x:c>
      <x:c r="AL392" s="9" t="n">
        <x:f>MOD(AK392*16807,2147483647)</x:f>
        <x:v>1646170807</x:v>
      </x:c>
      <x:c r="AM392" s="17" t="n">
        <x:f>IF('Control Room'!$B$5="Normal",'Control Room'!$B$7+'Control Room'!$D$7*SQRT(-2*LN(MAX(0.000000000001,AK392/2147483647)))*COS(2*PI()*AL392/2147483647),'Control Room'!$B$8+('Control Room'!$D$8-'Control Room'!$B$8)*AK392/2147483647)</x:f>
        <x:v>1013.3178687986036</x:v>
      </x:c>
      <x:c r="AN392" s="17" t="n">
        <x:f>IF('Control Room'!$B$5="Normal",'Control Room'!$B$7,('Control Room'!$B$8+'Control Room'!$D$8)/2)+'Control Room'!$B$9*(AN391-IF('Control Room'!$B$5="Normal",'Control Room'!$B$7,('Control Room'!$B$8+'Control Room'!$D$8)/2))+SQRT(1-'Control Room'!$B$9^2)*(AM392-IF('Control Room'!$B$5="Normal",'Control Room'!$B$7,('Control Room'!$B$8+'Control Room'!$D$8)/2))</x:f>
        <x:v>1010.4199626570237</x:v>
      </x:c>
      <x:c r="AO392" s="17" t="n">
        <x:f>IF(AND($A392&gt;='Control Room'!$A$13,$A392&lt;'Control Room'!$A$13+'Control Room'!$B$13,'Process'!BR2=1),1+('Control Room'!$C$13-1)*EXP(-0.5*(($A392-'Control Room'!$A$13-('Control Room'!$B$13-1)/2)/MAX(0.5,'Control Room'!$B$13/4))^2),1)*IF(AND($A392&gt;='Control Room'!$A$14,$A392&lt;'Control Room'!$A$14+'Control Room'!$B$14,'Process'!BR3=1),1+('Control Room'!$C$14-1)*EXP(-0.5*(($A392-'Control Room'!$A$14-('Control Room'!$B$14-1)/2)/MAX(0.5,'Control Room'!$B$14/4))^2),1)*IF(AND($A392&gt;='Control Room'!$A$15,$A392&lt;'Control Room'!$A$15+'Control Room'!$B$15,'Process'!BR4=1),1+('Control Room'!$C$15-1)*EXP(-0.5*(($A392-'Control Room'!$A$15-('Control Room'!$B$15-1)/2)/MAX(0.5,'Control Room'!$B$15/4))^2),1)*IF(AND($A392&gt;='Control Room'!$A$16,$A392&lt;'Control Room'!$A$16+'Control Room'!$B$16,'Process'!BR5=1),1+('Control Room'!$C$16-1)*EXP(-0.5*(($A392-'Control Room'!$A$16-('Control Room'!$B$16-1)/2)/MAX(0.5,'Control Room'!$B$16/4))^2),1)</x:f>
        <x:v>1</x:v>
      </x:c>
      <x:c r="AP392" s="9" t="n">
        <x:f>MOD(AQ391*16807,2147483647)</x:f>
        <x:v>1730994173</x:v>
      </x:c>
      <x:c r="AQ392" s="9" t="n">
        <x:f>MOD(AP392*16807,2147483647)</x:f>
        <x:v>858099702</x:v>
      </x:c>
      <x:c r="AR392" s="17" t="n">
        <x:f>IF('Control Room'!$B$5="Normal",'Control Room'!$B$7+'Control Room'!$D$7*SQRT(-2*LN(MAX(0.000000000001,AP392/2147483647)))*COS(2*PI()*AQ392/2147483647),'Control Room'!$B$8+('Control Room'!$D$8-'Control Room'!$B$8)*AP392/2147483647)</x:f>
        <x:v>952.2786194325722</x:v>
      </x:c>
      <x:c r="AS392" s="17" t="n">
        <x:f>IF('Control Room'!$B$5="Normal",'Control Room'!$B$7,('Control Room'!$B$8+'Control Room'!$D$8)/2)+'Control Room'!$B$9*(AS391-IF('Control Room'!$B$5="Normal",'Control Room'!$B$7,('Control Room'!$B$8+'Control Room'!$D$8)/2))+SQRT(1-'Control Room'!$B$9^2)*(AR392-IF('Control Room'!$B$5="Normal",'Control Room'!$B$7,('Control Room'!$B$8+'Control Room'!$D$8)/2))</x:f>
        <x:v>1038.1511231415375</x:v>
      </x:c>
      <x:c r="AT392" s="17" t="n">
        <x:f>IF(AND($A392&gt;='Control Room'!$A$13,$A392&lt;'Control Room'!$A$13+'Control Room'!$B$13,'Process'!BS2=1),1+('Control Room'!$C$13-1)*EXP(-0.5*(($A392-'Control Room'!$A$13-('Control Room'!$B$13-1)/2)/MAX(0.5,'Control Room'!$B$13/4))^2),1)*IF(AND($A392&gt;='Control Room'!$A$14,$A392&lt;'Control Room'!$A$14+'Control Room'!$B$14,'Process'!BS3=1),1+('Control Room'!$C$14-1)*EXP(-0.5*(($A392-'Control Room'!$A$14-('Control Room'!$B$14-1)/2)/MAX(0.5,'Control Room'!$B$14/4))^2),1)*IF(AND($A392&gt;='Control Room'!$A$15,$A392&lt;'Control Room'!$A$15+'Control Room'!$B$15,'Process'!BS4=1),1+('Control Room'!$C$15-1)*EXP(-0.5*(($A392-'Control Room'!$A$15-('Control Room'!$B$15-1)/2)/MAX(0.5,'Control Room'!$B$15/4))^2),1)*IF(AND($A392&gt;='Control Room'!$A$16,$A392&lt;'Control Room'!$A$16+'Control Room'!$B$16,'Process'!BS5=1),1+('Control Room'!$C$16-1)*EXP(-0.5*(($A392-'Control Room'!$A$16-('Control Room'!$B$16-1)/2)/MAX(0.5,'Control Room'!$B$16/4))^2),1)</x:f>
        <x:v>1</x:v>
      </x:c>
      <x:c r="AU392" s="9" t="n">
        <x:f>MOD(AV391*16807,2147483647)</x:f>
        <x:v>536395929</x:v>
      </x:c>
      <x:c r="AV392" s="9" t="n">
        <x:f>MOD(AU392*16807,2147483647)</x:f>
        <x:v>70028597</x:v>
      </x:c>
      <x:c r="AW392" s="17" t="n">
        <x:f>IF('Control Room'!$B$5="Normal",'Control Room'!$B$7+'Control Room'!$D$7*SQRT(-2*LN(MAX(0.000000000001,AU392/2147483647)))*COS(2*PI()*AV392/2147483647),'Control Room'!$B$8+('Control Room'!$D$8-'Control Room'!$B$8)*AU392/2147483647)</x:f>
        <x:v>1146.7720332177319</x:v>
      </x:c>
      <x:c r="AX392" s="17" t="n">
        <x:f>IF('Control Room'!$B$5="Normal",'Control Room'!$B$7,('Control Room'!$B$8+'Control Room'!$D$8)/2)+'Control Room'!$B$9*(AX391-IF('Control Room'!$B$5="Normal",'Control Room'!$B$7,('Control Room'!$B$8+'Control Room'!$D$8)/2))+SQRT(1-'Control Room'!$B$9^2)*(AW392-IF('Control Room'!$B$5="Normal",'Control Room'!$B$7,('Control Room'!$B$8+'Control Room'!$D$8)/2))</x:f>
        <x:v>1005.2623833720785</x:v>
      </x:c>
      <x:c r="AY392" s="17" t="n">
        <x:f>IF(AND($A392&gt;='Control Room'!$A$13,$A392&lt;'Control Room'!$A$13+'Control Room'!$B$13,'Process'!BT2=1),1+('Control Room'!$C$13-1)*EXP(-0.5*(($A392-'Control Room'!$A$13-('Control Room'!$B$13-1)/2)/MAX(0.5,'Control Room'!$B$13/4))^2),1)*IF(AND($A392&gt;='Control Room'!$A$14,$A392&lt;'Control Room'!$A$14+'Control Room'!$B$14,'Process'!BT3=1),1+('Control Room'!$C$14-1)*EXP(-0.5*(($A392-'Control Room'!$A$14-('Control Room'!$B$14-1)/2)/MAX(0.5,'Control Room'!$B$14/4))^2),1)*IF(AND($A392&gt;='Control Room'!$A$15,$A392&lt;'Control Room'!$A$15+'Control Room'!$B$15,'Process'!BT4=1),1+('Control Room'!$C$15-1)*EXP(-0.5*(($A392-'Control Room'!$A$15-('Control Room'!$B$15-1)/2)/MAX(0.5,'Control Room'!$B$15/4))^2),1)*IF(AND($A392&gt;='Control Room'!$A$16,$A392&lt;'Control Room'!$A$16+'Control Room'!$B$16,'Process'!BT5=1),1+('Control Room'!$C$16-1)*EXP(-0.5*(($A392-'Control Room'!$A$16-('Control Room'!$B$16-1)/2)/MAX(0.5,'Control Room'!$B$16/4))^2),1)</x:f>
        <x:v>1</x:v>
      </x:c>
      <x:c r="AZ392" s="9" t="n">
        <x:f>MOD(BA391*16807,2147483647)</x:f>
        <x:v>1489281332</x:v>
      </x:c>
      <x:c r="BA392" s="9" t="n">
        <x:f>MOD(AZ392*16807,2147483647)</x:f>
        <x:v>1429441139</x:v>
      </x:c>
      <x:c r="BB392" s="17" t="n">
        <x:f>IF('Control Room'!$B$5="Normal",'Control Room'!$B$7+'Control Room'!$D$7*SQRT(-2*LN(MAX(0.000000000001,AZ392/2147483647)))*COS(2*PI()*BA392/2147483647),'Control Room'!$B$8+('Control Room'!$D$8-'Control Room'!$B$8)*AZ392/2147483647)</x:f>
        <x:v>961.0679031217234</x:v>
      </x:c>
      <x:c r="BC392" s="17" t="n">
        <x:f>IF('Control Room'!$B$5="Normal",'Control Room'!$B$7,('Control Room'!$B$8+'Control Room'!$D$8)/2)+'Control Room'!$B$9*(BC391-IF('Control Room'!$B$5="Normal",'Control Room'!$B$7,('Control Room'!$B$8+'Control Room'!$D$8)/2))+SQRT(1-'Control Room'!$B$9^2)*(BB392-IF('Control Room'!$B$5="Normal",'Control Room'!$B$7,('Control Room'!$B$8+'Control Room'!$D$8)/2))</x:f>
        <x:v>977.2793650360434</x:v>
      </x:c>
      <x:c r="BD392" s="17" t="n">
        <x:f>IF(AND($A392&gt;='Control Room'!$A$13,$A392&lt;'Control Room'!$A$13+'Control Room'!$B$13,'Process'!BU2=1),1+('Control Room'!$C$13-1)*EXP(-0.5*(($A392-'Control Room'!$A$13-('Control Room'!$B$13-1)/2)/MAX(0.5,'Control Room'!$B$13/4))^2),1)*IF(AND($A392&gt;='Control Room'!$A$14,$A392&lt;'Control Room'!$A$14+'Control Room'!$B$14,'Process'!BU3=1),1+('Control Room'!$C$14-1)*EXP(-0.5*(($A392-'Control Room'!$A$14-('Control Room'!$B$14-1)/2)/MAX(0.5,'Control Room'!$B$14/4))^2),1)*IF(AND($A392&gt;='Control Room'!$A$15,$A392&lt;'Control Room'!$A$15+'Control Room'!$B$15,'Process'!BU4=1),1+('Control Room'!$C$15-1)*EXP(-0.5*(($A392-'Control Room'!$A$15-('Control Room'!$B$15-1)/2)/MAX(0.5,'Control Room'!$B$15/4))^2),1)*IF(AND($A392&gt;='Control Room'!$A$16,$A392&lt;'Control Room'!$A$16+'Control Room'!$B$16,'Process'!BU5=1),1+('Control Room'!$C$16-1)*EXP(-0.5*(($A392-'Control Room'!$A$16-('Control Room'!$B$16-1)/2)/MAX(0.5,'Control Room'!$B$16/4))^2),1)</x:f>
        <x:v>1</x:v>
      </x:c>
      <x:c r="BE392" s="9" t="n">
        <x:f>MOD(BF391*16807,2147483647)</x:f>
        <x:v>294683088</x:v>
      </x:c>
      <x:c r="BF392" s="9" t="n">
        <x:f>MOD(BE392*16807,2147483647)</x:f>
        <x:v>641370034</x:v>
      </x:c>
      <x:c r="BG392" s="17" t="n">
        <x:f>IF('Control Room'!$B$5="Normal",'Control Room'!$B$7+'Control Room'!$D$7*SQRT(-2*LN(MAX(0.000000000001,BE392/2147483647)))*COS(2*PI()*BF392/2147483647),'Control Room'!$B$8+('Control Room'!$D$8-'Control Room'!$B$8)*BE392/2147483647)</x:f>
        <x:v>946.0068429305979</x:v>
      </x:c>
      <x:c r="BH392" s="17" t="n">
        <x:f>IF('Control Room'!$B$5="Normal",'Control Room'!$B$7,('Control Room'!$B$8+'Control Room'!$D$8)/2)+'Control Room'!$B$9*(BH391-IF('Control Room'!$B$5="Normal",'Control Room'!$B$7,('Control Room'!$B$8+'Control Room'!$D$8)/2))+SQRT(1-'Control Room'!$B$9^2)*(BG392-IF('Control Room'!$B$5="Normal",'Control Room'!$B$7,('Control Room'!$B$8+'Control Room'!$D$8)/2))</x:f>
        <x:v>931.7375018124309</x:v>
      </x:c>
      <x:c r="BI392" s="17" t="n">
        <x:f>IF(AND($A392&gt;='Control Room'!$A$13,$A392&lt;'Control Room'!$A$13+'Control Room'!$B$13,'Process'!BV2=1),1+('Control Room'!$C$13-1)*EXP(-0.5*(($A392-'Control Room'!$A$13-('Control Room'!$B$13-1)/2)/MAX(0.5,'Control Room'!$B$13/4))^2),1)*IF(AND($A392&gt;='Control Room'!$A$14,$A392&lt;'Control Room'!$A$14+'Control Room'!$B$14,'Process'!BV3=1),1+('Control Room'!$C$14-1)*EXP(-0.5*(($A392-'Control Room'!$A$14-('Control Room'!$B$14-1)/2)/MAX(0.5,'Control Room'!$B$14/4))^2),1)*IF(AND($A392&gt;='Control Room'!$A$15,$A392&lt;'Control Room'!$A$15+'Control Room'!$B$15,'Process'!BV4=1),1+('Control Room'!$C$15-1)*EXP(-0.5*(($A392-'Control Room'!$A$15-('Control Room'!$B$15-1)/2)/MAX(0.5,'Control Room'!$B$15/4))^2),1)*IF(AND($A392&gt;='Control Room'!$A$16,$A392&lt;'Control Room'!$A$16+'Control Room'!$B$16,'Process'!BV5=1),1+('Control Room'!$C$16-1)*EXP(-0.5*(($A392-'Control Room'!$A$16-('Control Room'!$B$16-1)/2)/MAX(0.5,'Control Room'!$B$16/4))^2),1)</x:f>
        <x:v>1</x:v>
      </x:c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Z392" t="str">
        <x:f>IF('Data'!A392="","",TEXT('Data'!A392,"mm-dd"))</x:f>
      </x:c>
    </x:row>
    <x:row r="393" ht="21" customHeight="1">
      <x:c r="A393" s="15" t="n">
        <x:f>'Control Room'!$B$1+391</x:f>
        <x:v>73382</x:v>
      </x:c>
      <x:c r="B393" s="9" t="n">
        <x:f>MOD(C392*16807,2147483647)</x:f>
        <x:v>1479385515</x:v>
      </x:c>
      <x:c r="C393" s="9" t="n">
        <x:f>MOD(B393*16807,2147483647)</x:f>
        <x:v>466685639</x:v>
      </x:c>
      <x:c r="D393" s="17" t="n">
        <x:f>IF('Control Room'!$B$5="Normal",'Control Room'!$B$7+'Control Room'!$D$7*SQRT(-2*LN(MAX(0.000000000001,B393/2147483647)))*COS(2*PI()*C393/2147483647),'Control Room'!$B$8+('Control Room'!$D$8-'Control Room'!$B$8)*B393/2147483647)</x:f>
        <x:v>1015.8437909559634</x:v>
      </x:c>
      <x:c r="E393" s="17" t="n">
        <x:f>IF('Control Room'!$B$5="Normal",'Control Room'!$B$7,('Control Room'!$B$8+'Control Room'!$D$8)/2)+'Control Room'!$B$9*(E392-IF('Control Room'!$B$5="Normal",'Control Room'!$B$7,('Control Room'!$B$8+'Control Room'!$D$8)/2))+SQRT(1-'Control Room'!$B$9^2)*(D393-IF('Control Room'!$B$5="Normal",'Control Room'!$B$7,('Control Room'!$B$8+'Control Room'!$D$8)/2))</x:f>
        <x:v>850.341583568964</x:v>
      </x:c>
      <x:c r="F393" s="17" t="n">
        <x:f>IF(AND($A393&gt;='Control Room'!$A$13,$A393&lt;'Control Room'!$A$13+'Control Room'!$B$13,'Process'!BK2=1),1+('Control Room'!$C$13-1)*EXP(-0.5*(($A393-'Control Room'!$A$13-('Control Room'!$B$13-1)/2)/MAX(0.5,'Control Room'!$B$13/4))^2),1)*IF(AND($A393&gt;='Control Room'!$A$14,$A393&lt;'Control Room'!$A$14+'Control Room'!$B$14,'Process'!BK3=1),1+('Control Room'!$C$14-1)*EXP(-0.5*(($A393-'Control Room'!$A$14-('Control Room'!$B$14-1)/2)/MAX(0.5,'Control Room'!$B$14/4))^2),1)*IF(AND($A393&gt;='Control Room'!$A$15,$A393&lt;'Control Room'!$A$15+'Control Room'!$B$15,'Process'!BK4=1),1+('Control Room'!$C$15-1)*EXP(-0.5*(($A393-'Control Room'!$A$15-('Control Room'!$B$15-1)/2)/MAX(0.5,'Control Room'!$B$15/4))^2),1)*IF(AND($A393&gt;='Control Room'!$A$16,$A393&lt;'Control Room'!$A$16+'Control Room'!$B$16,'Process'!BK5=1),1+('Control Room'!$C$16-1)*EXP(-0.5*(($A393-'Control Room'!$A$16-('Control Room'!$B$16-1)/2)/MAX(0.5,'Control Room'!$B$16/4))^2),1)</x:f>
        <x:v>1</x:v>
      </x:c>
      <x:c r="G393" s="9" t="n">
        <x:f>MOD(H392*16807,2147483647)</x:f>
        <x:v>2047458476</x:v>
      </x:c>
      <x:c r="H393" s="9" t="n">
        <x:f>MOD(G393*16807,2147483647)</x:f>
        <x:v>356646604</x:v>
      </x:c>
      <x:c r="I393" s="17" t="n">
        <x:f>IF('Control Room'!$B$5="Normal",'Control Room'!$B$7+'Control Room'!$D$7*SQRT(-2*LN(MAX(0.000000000001,G393/2147483647)))*COS(2*PI()*H393/2147483647),'Control Room'!$B$8+('Control Room'!$D$8-'Control Room'!$B$8)*G393/2147483647)</x:f>
        <x:v>1013.9879056141874</x:v>
      </x:c>
      <x:c r="J393" s="17" t="n">
        <x:f>IF('Control Room'!$B$5="Normal",'Control Room'!$B$7,('Control Room'!$B$8+'Control Room'!$D$8)/2)+'Control Room'!$B$9*(J392-IF('Control Room'!$B$5="Normal",'Control Room'!$B$7,('Control Room'!$B$8+'Control Room'!$D$8)/2))+SQRT(1-'Control Room'!$B$9^2)*(I393-IF('Control Room'!$B$5="Normal",'Control Room'!$B$7,('Control Room'!$B$8+'Control Room'!$D$8)/2))</x:f>
        <x:v>1119.853787231386</x:v>
      </x:c>
      <x:c r="K393" s="17" t="n">
        <x:f>IF(AND($A393&gt;='Control Room'!$A$13,$A393&lt;'Control Room'!$A$13+'Control Room'!$B$13,'Process'!BL2=1),1+('Control Room'!$C$13-1)*EXP(-0.5*(($A393-'Control Room'!$A$13-('Control Room'!$B$13-1)/2)/MAX(0.5,'Control Room'!$B$13/4))^2),1)*IF(AND($A393&gt;='Control Room'!$A$14,$A393&lt;'Control Room'!$A$14+'Control Room'!$B$14,'Process'!BL3=1),1+('Control Room'!$C$14-1)*EXP(-0.5*(($A393-'Control Room'!$A$14-('Control Room'!$B$14-1)/2)/MAX(0.5,'Control Room'!$B$14/4))^2),1)*IF(AND($A393&gt;='Control Room'!$A$15,$A393&lt;'Control Room'!$A$15+'Control Room'!$B$15,'Process'!BL4=1),1+('Control Room'!$C$15-1)*EXP(-0.5*(($A393-'Control Room'!$A$15-('Control Room'!$B$15-1)/2)/MAX(0.5,'Control Room'!$B$15/4))^2),1)*IF(AND($A393&gt;='Control Room'!$A$16,$A393&lt;'Control Room'!$A$16+'Control Room'!$B$16,'Process'!BL5=1),1+('Control Room'!$C$16-1)*EXP(-0.5*(($A393-'Control Room'!$A$16-('Control Room'!$B$16-1)/2)/MAX(0.5,'Control Room'!$B$16/4))^2),1)</x:f>
        <x:v>1</x:v>
      </x:c>
      <x:c r="L393" s="9" t="n">
        <x:f>MOD(M392*16807,2147483647)</x:f>
        <x:v>468047790</x:v>
      </x:c>
      <x:c r="M393" s="9" t="n">
        <x:f>MOD(L393*16807,2147483647)</x:f>
        <x:v>246607569</x:v>
      </x:c>
      <x:c r="N393" s="17" t="n">
        <x:f>IF('Control Room'!$B$5="Normal",'Control Room'!$B$7+'Control Room'!$D$7*SQRT(-2*LN(MAX(0.000000000001,L393/2147483647)))*COS(2*PI()*M393/2147483647),'Control Room'!$B$8+('Control Room'!$D$8-'Control Room'!$B$8)*L393/2147483647)</x:f>
        <x:v>1117.9496852846821</x:v>
      </x:c>
      <x:c r="O393" s="17" t="n">
        <x:f>IF('Control Room'!$B$5="Normal",'Control Room'!$B$7,('Control Room'!$B$8+'Control Room'!$D$8)/2)+'Control Room'!$B$9*(O392-IF('Control Room'!$B$5="Normal",'Control Room'!$B$7,('Control Room'!$B$8+'Control Room'!$D$8)/2))+SQRT(1-'Control Room'!$B$9^2)*(N393-IF('Control Room'!$B$5="Normal",'Control Room'!$B$7,('Control Room'!$B$8+'Control Room'!$D$8)/2))</x:f>
        <x:v>963.9856229319739</x:v>
      </x:c>
      <x:c r="P393" s="17" t="n">
        <x:f>IF(AND($A393&gt;='Control Room'!$A$13,$A393&lt;'Control Room'!$A$13+'Control Room'!$B$13,'Process'!BM2=1),1+('Control Room'!$C$13-1)*EXP(-0.5*(($A393-'Control Room'!$A$13-('Control Room'!$B$13-1)/2)/MAX(0.5,'Control Room'!$B$13/4))^2),1)*IF(AND($A393&gt;='Control Room'!$A$14,$A393&lt;'Control Room'!$A$14+'Control Room'!$B$14,'Process'!BM3=1),1+('Control Room'!$C$14-1)*EXP(-0.5*(($A393-'Control Room'!$A$14-('Control Room'!$B$14-1)/2)/MAX(0.5,'Control Room'!$B$14/4))^2),1)*IF(AND($A393&gt;='Control Room'!$A$15,$A393&lt;'Control Room'!$A$15+'Control Room'!$B$15,'Process'!BM4=1),1+('Control Room'!$C$15-1)*EXP(-0.5*(($A393-'Control Room'!$A$15-('Control Room'!$B$15-1)/2)/MAX(0.5,'Control Room'!$B$15/4))^2),1)*IF(AND($A393&gt;='Control Room'!$A$16,$A393&lt;'Control Room'!$A$16+'Control Room'!$B$16,'Process'!BM5=1),1+('Control Room'!$C$16-1)*EXP(-0.5*(($A393-'Control Room'!$A$16-('Control Room'!$B$16-1)/2)/MAX(0.5,'Control Room'!$B$16/4))^2),1)</x:f>
        <x:v>1</x:v>
      </x:c>
      <x:c r="Q393" s="9" t="n">
        <x:f>MOD(R392*16807,2147483647)</x:f>
        <x:v>1036120751</x:v>
      </x:c>
      <x:c r="R393" s="9" t="n">
        <x:f>MOD(Q393*16807,2147483647)</x:f>
        <x:v>136568534</x:v>
      </x:c>
      <x:c r="S393" s="17" t="n">
        <x:f>IF('Control Room'!$B$5="Normal",'Control Room'!$B$7+'Control Room'!$D$7*SQRT(-2*LN(MAX(0.000000000001,Q393/2147483647)))*COS(2*PI()*R393/2147483647),'Control Room'!$B$8+('Control Room'!$D$8-'Control Room'!$B$8)*Q393/2147483647)</x:f>
        <x:v>1100.0994218795527</x:v>
      </x:c>
      <x:c r="T393" s="17" t="n">
        <x:f>IF('Control Room'!$B$5="Normal",'Control Room'!$B$7,('Control Room'!$B$8+'Control Room'!$D$8)/2)+'Control Room'!$B$9*(T392-IF('Control Room'!$B$5="Normal",'Control Room'!$B$7,('Control Room'!$B$8+'Control Room'!$D$8)/2))+SQRT(1-'Control Room'!$B$9^2)*(S393-IF('Control Room'!$B$5="Normal",'Control Room'!$B$7,('Control Room'!$B$8+'Control Room'!$D$8)/2))</x:f>
        <x:v>904.4828843774078</x:v>
      </x:c>
      <x:c r="U393" s="17" t="n">
        <x:f>IF(AND($A393&gt;='Control Room'!$A$13,$A393&lt;'Control Room'!$A$13+'Control Room'!$B$13,'Process'!BN2=1),1+('Control Room'!$C$13-1)*EXP(-0.5*(($A393-'Control Room'!$A$13-('Control Room'!$B$13-1)/2)/MAX(0.5,'Control Room'!$B$13/4))^2),1)*IF(AND($A393&gt;='Control Room'!$A$14,$A393&lt;'Control Room'!$A$14+'Control Room'!$B$14,'Process'!BN3=1),1+('Control Room'!$C$14-1)*EXP(-0.5*(($A393-'Control Room'!$A$14-('Control Room'!$B$14-1)/2)/MAX(0.5,'Control Room'!$B$14/4))^2),1)*IF(AND($A393&gt;='Control Room'!$A$15,$A393&lt;'Control Room'!$A$15+'Control Room'!$B$15,'Process'!BN4=1),1+('Control Room'!$C$15-1)*EXP(-0.5*(($A393-'Control Room'!$A$15-('Control Room'!$B$15-1)/2)/MAX(0.5,'Control Room'!$B$15/4))^2),1)*IF(AND($A393&gt;='Control Room'!$A$16,$A393&lt;'Control Room'!$A$16+'Control Room'!$B$16,'Process'!BN5=1),1+('Control Room'!$C$16-1)*EXP(-0.5*(($A393-'Control Room'!$A$16-('Control Room'!$B$16-1)/2)/MAX(0.5,'Control Room'!$B$16/4))^2),1)</x:f>
        <x:v>1</x:v>
      </x:c>
      <x:c r="V393" s="9" t="n">
        <x:f>MOD(W392*16807,2147483647)</x:f>
        <x:v>1604193712</x:v>
      </x:c>
      <x:c r="W393" s="9" t="n">
        <x:f>MOD(V393*16807,2147483647)</x:f>
        <x:v>26529499</x:v>
      </x:c>
      <x:c r="X393" s="17" t="n">
        <x:f>IF('Control Room'!$B$5="Normal",'Control Room'!$B$7+'Control Room'!$D$7*SQRT(-2*LN(MAX(0.000000000001,V393/2147483647)))*COS(2*PI()*W393/2147483647),'Control Room'!$B$8+('Control Room'!$D$8-'Control Room'!$B$8)*V393/2147483647)</x:f>
        <x:v>1068.5327002811223</x:v>
      </x:c>
      <x:c r="Y393" s="17" t="n">
        <x:f>IF('Control Room'!$B$5="Normal",'Control Room'!$B$7,('Control Room'!$B$8+'Control Room'!$D$8)/2)+'Control Room'!$B$9*(Y392-IF('Control Room'!$B$5="Normal",'Control Room'!$B$7,('Control Room'!$B$8+'Control Room'!$D$8)/2))+SQRT(1-'Control Room'!$B$9^2)*(X393-IF('Control Room'!$B$5="Normal",'Control Room'!$B$7,('Control Room'!$B$8+'Control Room'!$D$8)/2))</x:f>
        <x:v>1097.5932826441529</x:v>
      </x:c>
      <x:c r="Z393" s="17" t="n">
        <x:f>IF(AND($A393&gt;='Control Room'!$A$13,$A393&lt;'Control Room'!$A$13+'Control Room'!$B$13,'Process'!BO2=1),1+('Control Room'!$C$13-1)*EXP(-0.5*(($A393-'Control Room'!$A$13-('Control Room'!$B$13-1)/2)/MAX(0.5,'Control Room'!$B$13/4))^2),1)*IF(AND($A393&gt;='Control Room'!$A$14,$A393&lt;'Control Room'!$A$14+'Control Room'!$B$14,'Process'!BO3=1),1+('Control Room'!$C$14-1)*EXP(-0.5*(($A393-'Control Room'!$A$14-('Control Room'!$B$14-1)/2)/MAX(0.5,'Control Room'!$B$14/4))^2),1)*IF(AND($A393&gt;='Control Room'!$A$15,$A393&lt;'Control Room'!$A$15+'Control Room'!$B$15,'Process'!BO4=1),1+('Control Room'!$C$15-1)*EXP(-0.5*(($A393-'Control Room'!$A$15-('Control Room'!$B$15-1)/2)/MAX(0.5,'Control Room'!$B$15/4))^2),1)*IF(AND($A393&gt;='Control Room'!$A$16,$A393&lt;'Control Room'!$A$16+'Control Room'!$B$16,'Process'!BO5=1),1+('Control Room'!$C$16-1)*EXP(-0.5*(($A393-'Control Room'!$A$16-('Control Room'!$B$16-1)/2)/MAX(0.5,'Control Room'!$B$16/4))^2),1)</x:f>
        <x:v>1</x:v>
      </x:c>
      <x:c r="AA393" s="9" t="n">
        <x:f>MOD(AB392*16807,2147483647)</x:f>
        <x:v>24783026</x:v>
      </x:c>
      <x:c r="AB393" s="9" t="n">
        <x:f>MOD(AA393*16807,2147483647)</x:f>
        <x:v>2063974111</x:v>
      </x:c>
      <x:c r="AC393" s="17" t="n">
        <x:f>IF('Control Room'!$B$5="Normal",'Control Room'!$B$7+'Control Room'!$D$7*SQRT(-2*LN(MAX(0.000000000001,AA393/2147483647)))*COS(2*PI()*AB393/2147483647),'Control Room'!$B$8+('Control Room'!$D$8-'Control Room'!$B$8)*AA393/2147483647)</x:f>
        <x:v>1260.868944921844</x:v>
      </x:c>
      <x:c r="AD393" s="17" t="n">
        <x:f>IF('Control Room'!$B$5="Normal",'Control Room'!$B$7,('Control Room'!$B$8+'Control Room'!$D$8)/2)+'Control Room'!$B$9*(AD392-IF('Control Room'!$B$5="Normal",'Control Room'!$B$7,('Control Room'!$B$8+'Control Room'!$D$8)/2))+SQRT(1-'Control Room'!$B$9^2)*(AC393-IF('Control Room'!$B$5="Normal",'Control Room'!$B$7,('Control Room'!$B$8+'Control Room'!$D$8)/2))</x:f>
        <x:v>1108.6974875654037</x:v>
      </x:c>
      <x:c r="AE393" s="17" t="n">
        <x:f>IF(AND($A393&gt;='Control Room'!$A$13,$A393&lt;'Control Room'!$A$13+'Control Room'!$B$13,'Process'!BP2=1),1+('Control Room'!$C$13-1)*EXP(-0.5*(($A393-'Control Room'!$A$13-('Control Room'!$B$13-1)/2)/MAX(0.5,'Control Room'!$B$13/4))^2),1)*IF(AND($A393&gt;='Control Room'!$A$14,$A393&lt;'Control Room'!$A$14+'Control Room'!$B$14,'Process'!BP3=1),1+('Control Room'!$C$14-1)*EXP(-0.5*(($A393-'Control Room'!$A$14-('Control Room'!$B$14-1)/2)/MAX(0.5,'Control Room'!$B$14/4))^2),1)*IF(AND($A393&gt;='Control Room'!$A$15,$A393&lt;'Control Room'!$A$15+'Control Room'!$B$15,'Process'!BP4=1),1+('Control Room'!$C$15-1)*EXP(-0.5*(($A393-'Control Room'!$A$15-('Control Room'!$B$15-1)/2)/MAX(0.5,'Control Room'!$B$15/4))^2),1)*IF(AND($A393&gt;='Control Room'!$A$16,$A393&lt;'Control Room'!$A$16+'Control Room'!$B$16,'Process'!BP5=1),1+('Control Room'!$C$16-1)*EXP(-0.5*(($A393-'Control Room'!$A$16-('Control Room'!$B$16-1)/2)/MAX(0.5,'Control Room'!$B$16/4))^2),1)</x:f>
        <x:v>1</x:v>
      </x:c>
      <x:c r="AF393" s="9" t="n">
        <x:f>MOD(AG392*16807,2147483647)</x:f>
        <x:v>592855987</x:v>
      </x:c>
      <x:c r="AG393" s="9" t="n">
        <x:f>MOD(AF393*16807,2147483647)</x:f>
        <x:v>1953935076</x:v>
      </x:c>
      <x:c r="AH393" s="17" t="n">
        <x:f>IF('Control Room'!$B$5="Normal",'Control Room'!$B$7+'Control Room'!$D$7*SQRT(-2*LN(MAX(0.000000000001,AF393/2147483647)))*COS(2*PI()*AG393/2147483647),'Control Room'!$B$8+('Control Room'!$D$8-'Control Room'!$B$8)*AF393/2147483647)</x:f>
        <x:v>1121.8576795910508</x:v>
      </x:c>
      <x:c r="AI393" s="17" t="n">
        <x:f>IF('Control Room'!$B$5="Normal",'Control Room'!$B$7,('Control Room'!$B$8+'Control Room'!$D$8)/2)+'Control Room'!$B$9*(AI392-IF('Control Room'!$B$5="Normal",'Control Room'!$B$7,('Control Room'!$B$8+'Control Room'!$D$8)/2))+SQRT(1-'Control Room'!$B$9^2)*(AH393-IF('Control Room'!$B$5="Normal",'Control Room'!$B$7,('Control Room'!$B$8+'Control Room'!$D$8)/2))</x:f>
        <x:v>1011.3268908949779</x:v>
      </x:c>
      <x:c r="AJ393" s="17" t="n">
        <x:f>IF(AND($A393&gt;='Control Room'!$A$13,$A393&lt;'Control Room'!$A$13+'Control Room'!$B$13,'Process'!BQ2=1),1+('Control Room'!$C$13-1)*EXP(-0.5*(($A393-'Control Room'!$A$13-('Control Room'!$B$13-1)/2)/MAX(0.5,'Control Room'!$B$13/4))^2),1)*IF(AND($A393&gt;='Control Room'!$A$14,$A393&lt;'Control Room'!$A$14+'Control Room'!$B$14,'Process'!BQ3=1),1+('Control Room'!$C$14-1)*EXP(-0.5*(($A393-'Control Room'!$A$14-('Control Room'!$B$14-1)/2)/MAX(0.5,'Control Room'!$B$14/4))^2),1)*IF(AND($A393&gt;='Control Room'!$A$15,$A393&lt;'Control Room'!$A$15+'Control Room'!$B$15,'Process'!BQ4=1),1+('Control Room'!$C$15-1)*EXP(-0.5*(($A393-'Control Room'!$A$15-('Control Room'!$B$15-1)/2)/MAX(0.5,'Control Room'!$B$15/4))^2),1)*IF(AND($A393&gt;='Control Room'!$A$16,$A393&lt;'Control Room'!$A$16+'Control Room'!$B$16,'Process'!BQ5=1),1+('Control Room'!$C$16-1)*EXP(-0.5*(($A393-'Control Room'!$A$16-('Control Room'!$B$16-1)/2)/MAX(0.5,'Control Room'!$B$16/4))^2),1)</x:f>
        <x:v>1</x:v>
      </x:c>
      <x:c r="AK393" s="9" t="n">
        <x:f>MOD(AL392*16807,2147483647)</x:f>
        <x:v>1160928948</x:v>
      </x:c>
      <x:c r="AL393" s="9" t="n">
        <x:f>MOD(AK393*16807,2147483647)</x:f>
        <x:v>1843896041</x:v>
      </x:c>
      <x:c r="AM393" s="17" t="n">
        <x:f>IF('Control Room'!$B$5="Normal",'Control Room'!$B$7+'Control Room'!$D$7*SQRT(-2*LN(MAX(0.000000000001,AK393/2147483647)))*COS(2*PI()*AL393/2147483647),'Control Room'!$B$8+('Control Room'!$D$8-'Control Room'!$B$8)*AK393/2147483647)</x:f>
        <x:v>1062.964382579851</x:v>
      </x:c>
      <x:c r="AN393" s="17" t="n">
        <x:f>IF('Control Room'!$B$5="Normal",'Control Room'!$B$7,('Control Room'!$B$8+'Control Room'!$D$8)/2)+'Control Room'!$B$9*(AN392-IF('Control Room'!$B$5="Normal",'Control Room'!$B$7,('Control Room'!$B$8+'Control Room'!$D$8)/2))+SQRT(1-'Control Room'!$B$9^2)*(AM393-IF('Control Room'!$B$5="Normal",'Control Room'!$B$7,('Control Room'!$B$8+'Control Room'!$D$8)/2))</x:f>
        <x:v>1047.52939159546</x:v>
      </x:c>
      <x:c r="AO393" s="17" t="n">
        <x:f>IF(AND($A393&gt;='Control Room'!$A$13,$A393&lt;'Control Room'!$A$13+'Control Room'!$B$13,'Process'!BR2=1),1+('Control Room'!$C$13-1)*EXP(-0.5*(($A393-'Control Room'!$A$13-('Control Room'!$B$13-1)/2)/MAX(0.5,'Control Room'!$B$13/4))^2),1)*IF(AND($A393&gt;='Control Room'!$A$14,$A393&lt;'Control Room'!$A$14+'Control Room'!$B$14,'Process'!BR3=1),1+('Control Room'!$C$14-1)*EXP(-0.5*(($A393-'Control Room'!$A$14-('Control Room'!$B$14-1)/2)/MAX(0.5,'Control Room'!$B$14/4))^2),1)*IF(AND($A393&gt;='Control Room'!$A$15,$A393&lt;'Control Room'!$A$15+'Control Room'!$B$15,'Process'!BR4=1),1+('Control Room'!$C$15-1)*EXP(-0.5*(($A393-'Control Room'!$A$15-('Control Room'!$B$15-1)/2)/MAX(0.5,'Control Room'!$B$15/4))^2),1)*IF(AND($A393&gt;='Control Room'!$A$16,$A393&lt;'Control Room'!$A$16+'Control Room'!$B$16,'Process'!BR5=1),1+('Control Room'!$C$16-1)*EXP(-0.5*(($A393-'Control Room'!$A$16-('Control Room'!$B$16-1)/2)/MAX(0.5,'Control Room'!$B$16/4))^2),1)</x:f>
        <x:v>1</x:v>
      </x:c>
      <x:c r="AP393" s="9" t="n">
        <x:f>MOD(AQ392*16807,2147483647)</x:f>
        <x:v>1729001909</x:v>
      </x:c>
      <x:c r="AQ393" s="9" t="n">
        <x:f>MOD(AP393*16807,2147483647)</x:f>
        <x:v>1733857006</x:v>
      </x:c>
      <x:c r="AR393" s="17" t="n">
        <x:f>IF('Control Room'!$B$5="Normal",'Control Room'!$B$7+'Control Room'!$D$7*SQRT(-2*LN(MAX(0.000000000001,AP393/2147483647)))*COS(2*PI()*AQ393/2147483647),'Control Room'!$B$8+('Control Room'!$D$8-'Control Room'!$B$8)*AP393/2147483647)</x:f>
        <x:v>1020.907565067106</x:v>
      </x:c>
      <x:c r="AS393" s="17" t="n">
        <x:f>IF('Control Room'!$B$5="Normal",'Control Room'!$B$7,('Control Room'!$B$8+'Control Room'!$D$8)/2)+'Control Room'!$B$9*(AS392-IF('Control Room'!$B$5="Normal",'Control Room'!$B$7,('Control Room'!$B$8+'Control Room'!$D$8)/2))+SQRT(1-'Control Room'!$B$9^2)*(AR393-IF('Control Room'!$B$5="Normal",'Control Room'!$B$7,('Control Room'!$B$8+'Control Room'!$D$8)/2))</x:f>
        <x:v>1042.8414019546428</x:v>
      </x:c>
      <x:c r="AT393" s="17" t="n">
        <x:f>IF(AND($A393&gt;='Control Room'!$A$13,$A393&lt;'Control Room'!$A$13+'Control Room'!$B$13,'Process'!BS2=1),1+('Control Room'!$C$13-1)*EXP(-0.5*(($A393-'Control Room'!$A$13-('Control Room'!$B$13-1)/2)/MAX(0.5,'Control Room'!$B$13/4))^2),1)*IF(AND($A393&gt;='Control Room'!$A$14,$A393&lt;'Control Room'!$A$14+'Control Room'!$B$14,'Process'!BS3=1),1+('Control Room'!$C$14-1)*EXP(-0.5*(($A393-'Control Room'!$A$14-('Control Room'!$B$14-1)/2)/MAX(0.5,'Control Room'!$B$14/4))^2),1)*IF(AND($A393&gt;='Control Room'!$A$15,$A393&lt;'Control Room'!$A$15+'Control Room'!$B$15,'Process'!BS4=1),1+('Control Room'!$C$15-1)*EXP(-0.5*(($A393-'Control Room'!$A$15-('Control Room'!$B$15-1)/2)/MAX(0.5,'Control Room'!$B$15/4))^2),1)*IF(AND($A393&gt;='Control Room'!$A$16,$A393&lt;'Control Room'!$A$16+'Control Room'!$B$16,'Process'!BS5=1),1+('Control Room'!$C$16-1)*EXP(-0.5*(($A393-'Control Room'!$A$16-('Control Room'!$B$16-1)/2)/MAX(0.5,'Control Room'!$B$16/4))^2),1)</x:f>
        <x:v>1</x:v>
      </x:c>
      <x:c r="AU393" s="9" t="n">
        <x:f>MOD(AV392*16807,2147483647)</x:f>
        <x:v>149591223</x:v>
      </x:c>
      <x:c r="AV393" s="9" t="n">
        <x:f>MOD(AU393*16807,2147483647)</x:f>
        <x:v>1623817971</x:v>
      </x:c>
      <x:c r="AW393" s="17" t="n">
        <x:f>IF('Control Room'!$B$5="Normal",'Control Room'!$B$7+'Control Room'!$D$7*SQRT(-2*LN(MAX(0.000000000001,AU393/2147483647)))*COS(2*PI()*AV393/2147483647),'Control Room'!$B$8+('Control Room'!$D$8-'Control Room'!$B$8)*AU393/2147483647)</x:f>
        <x:v>1008.0246222083005</x:v>
      </x:c>
      <x:c r="AX393" s="17" t="n">
        <x:f>IF('Control Room'!$B$5="Normal",'Control Room'!$B$7,('Control Room'!$B$8+'Control Room'!$D$8)/2)+'Control Room'!$B$9*(AX392-IF('Control Room'!$B$5="Normal",'Control Room'!$B$7,('Control Room'!$B$8+'Control Room'!$D$8)/2))+SQRT(1-'Control Room'!$B$9^2)*(AW393-IF('Control Room'!$B$5="Normal",'Control Room'!$B$7,('Control Room'!$B$8+'Control Room'!$D$8)/2))</x:f>
        <x:v>1009.1263032148541</x:v>
      </x:c>
      <x:c r="AY393" s="17" t="n">
        <x:f>IF(AND($A393&gt;='Control Room'!$A$13,$A393&lt;'Control Room'!$A$13+'Control Room'!$B$13,'Process'!BT2=1),1+('Control Room'!$C$13-1)*EXP(-0.5*(($A393-'Control Room'!$A$13-('Control Room'!$B$13-1)/2)/MAX(0.5,'Control Room'!$B$13/4))^2),1)*IF(AND($A393&gt;='Control Room'!$A$14,$A393&lt;'Control Room'!$A$14+'Control Room'!$B$14,'Process'!BT3=1),1+('Control Room'!$C$14-1)*EXP(-0.5*(($A393-'Control Room'!$A$14-('Control Room'!$B$14-1)/2)/MAX(0.5,'Control Room'!$B$14/4))^2),1)*IF(AND($A393&gt;='Control Room'!$A$15,$A393&lt;'Control Room'!$A$15+'Control Room'!$B$15,'Process'!BT4=1),1+('Control Room'!$C$15-1)*EXP(-0.5*(($A393-'Control Room'!$A$15-('Control Room'!$B$15-1)/2)/MAX(0.5,'Control Room'!$B$15/4))^2),1)*IF(AND($A393&gt;='Control Room'!$A$16,$A393&lt;'Control Room'!$A$16+'Control Room'!$B$16,'Process'!BT5=1),1+('Control Room'!$C$16-1)*EXP(-0.5*(($A393-'Control Room'!$A$16-('Control Room'!$B$16-1)/2)/MAX(0.5,'Control Room'!$B$16/4))^2),1)</x:f>
        <x:v>1</x:v>
      </x:c>
      <x:c r="AZ393" s="9" t="n">
        <x:f>MOD(BA392*16807,2147483647)</x:f>
        <x:v>717664184</x:v>
      </x:c>
      <x:c r="BA393" s="9" t="n">
        <x:f>MOD(AZ393*16807,2147483647)</x:f>
        <x:v>1513778936</x:v>
      </x:c>
      <x:c r="BB393" s="17" t="n">
        <x:f>IF('Control Room'!$B$5="Normal",'Control Room'!$B$7+'Control Room'!$D$7*SQRT(-2*LN(MAX(0.000000000001,AZ393/2147483647)))*COS(2*PI()*BA393/2147483647),'Control Room'!$B$8+('Control Room'!$D$8-'Control Room'!$B$8)*AZ393/2147483647)</x:f>
        <x:v>962.7501994957863</x:v>
      </x:c>
      <x:c r="BC393" s="17" t="n">
        <x:f>IF('Control Room'!$B$5="Normal",'Control Room'!$B$7,('Control Room'!$B$8+'Control Room'!$D$8)/2)+'Control Room'!$B$9*(BC392-IF('Control Room'!$B$5="Normal",'Control Room'!$B$7,('Control Room'!$B$8+'Control Room'!$D$8)/2))+SQRT(1-'Control Room'!$B$9^2)*(BB393-IF('Control Room'!$B$5="Normal",'Control Room'!$B$7,('Control Room'!$B$8+'Control Room'!$D$8)/2))</x:f>
        <x:v>958.9677426762187</x:v>
      </x:c>
      <x:c r="BD393" s="17" t="n">
        <x:f>IF(AND($A393&gt;='Control Room'!$A$13,$A393&lt;'Control Room'!$A$13+'Control Room'!$B$13,'Process'!BU2=1),1+('Control Room'!$C$13-1)*EXP(-0.5*(($A393-'Control Room'!$A$13-('Control Room'!$B$13-1)/2)/MAX(0.5,'Control Room'!$B$13/4))^2),1)*IF(AND($A393&gt;='Control Room'!$A$14,$A393&lt;'Control Room'!$A$14+'Control Room'!$B$14,'Process'!BU3=1),1+('Control Room'!$C$14-1)*EXP(-0.5*(($A393-'Control Room'!$A$14-('Control Room'!$B$14-1)/2)/MAX(0.5,'Control Room'!$B$14/4))^2),1)*IF(AND($A393&gt;='Control Room'!$A$15,$A393&lt;'Control Room'!$A$15+'Control Room'!$B$15,'Process'!BU4=1),1+('Control Room'!$C$15-1)*EXP(-0.5*(($A393-'Control Room'!$A$15-('Control Room'!$B$15-1)/2)/MAX(0.5,'Control Room'!$B$15/4))^2),1)*IF(AND($A393&gt;='Control Room'!$A$16,$A393&lt;'Control Room'!$A$16+'Control Room'!$B$16,'Process'!BU5=1),1+('Control Room'!$C$16-1)*EXP(-0.5*(($A393-'Control Room'!$A$16-('Control Room'!$B$16-1)/2)/MAX(0.5,'Control Room'!$B$16/4))^2),1)</x:f>
        <x:v>1</x:v>
      </x:c>
      <x:c r="BE393" s="9" t="n">
        <x:f>MOD(BF392*16807,2147483647)</x:f>
        <x:v>1285737145</x:v>
      </x:c>
      <x:c r="BF393" s="9" t="n">
        <x:f>MOD(BE393*16807,2147483647)</x:f>
        <x:v>1403739901</x:v>
      </x:c>
      <x:c r="BG393" s="17" t="n">
        <x:f>IF('Control Room'!$B$5="Normal",'Control Room'!$B$7+'Control Room'!$D$7*SQRT(-2*LN(MAX(0.000000000001,BE393/2147483647)))*COS(2*PI()*BF393/2147483647),'Control Room'!$B$8+('Control Room'!$D$8-'Control Room'!$B$8)*BE393/2147483647)</x:f>
        <x:v>948.1313294353753</x:v>
      </x:c>
      <x:c r="BH393" s="17" t="n">
        <x:f>IF('Control Room'!$B$5="Normal",'Control Room'!$B$7,('Control Room'!$B$8+'Control Room'!$D$8)/2)+'Control Room'!$B$9*(BH392-IF('Control Room'!$B$5="Normal",'Control Room'!$B$7,('Control Room'!$B$8+'Control Room'!$D$8)/2))+SQRT(1-'Control Room'!$B$9^2)*(BG393-IF('Control Room'!$B$5="Normal",'Control Room'!$B$7,('Control Room'!$B$8+'Control Room'!$D$8)/2))</x:f>
        <x:v>914.2968999618272</x:v>
      </x:c>
      <x:c r="BI393" s="17" t="n">
        <x:f>IF(AND($A393&gt;='Control Room'!$A$13,$A393&lt;'Control Room'!$A$13+'Control Room'!$B$13,'Process'!BV2=1),1+('Control Room'!$C$13-1)*EXP(-0.5*(($A393-'Control Room'!$A$13-('Control Room'!$B$13-1)/2)/MAX(0.5,'Control Room'!$B$13/4))^2),1)*IF(AND($A393&gt;='Control Room'!$A$14,$A393&lt;'Control Room'!$A$14+'Control Room'!$B$14,'Process'!BV3=1),1+('Control Room'!$C$14-1)*EXP(-0.5*(($A393-'Control Room'!$A$14-('Control Room'!$B$14-1)/2)/MAX(0.5,'Control Room'!$B$14/4))^2),1)*IF(AND($A393&gt;='Control Room'!$A$15,$A393&lt;'Control Room'!$A$15+'Control Room'!$B$15,'Process'!BV4=1),1+('Control Room'!$C$15-1)*EXP(-0.5*(($A393-'Control Room'!$A$15-('Control Room'!$B$15-1)/2)/MAX(0.5,'Control Room'!$B$15/4))^2),1)*IF(AND($A393&gt;='Control Room'!$A$16,$A393&lt;'Control Room'!$A$16+'Control Room'!$B$16,'Process'!BV5=1),1+('Control Room'!$C$16-1)*EXP(-0.5*(($A393-'Control Room'!$A$16-('Control Room'!$B$16-1)/2)/MAX(0.5,'Control Room'!$B$16/4))^2),1)</x:f>
        <x:v>1</x:v>
      </x:c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Z393" t="str">
        <x:f>IF('Data'!A393="","",TEXT('Data'!A393,"mm-dd"))</x:f>
      </x:c>
    </x:row>
    <x:row r="394" ht="21" customHeight="1">
      <x:c r="A394" s="15" t="n">
        <x:f>'Control Room'!$B$1+392</x:f>
        <x:v>73383</x:v>
      </x:c>
      <x:c r="B394" s="9" t="n">
        <x:f>MOD(C393*16807,2147483647)</x:f>
        <x:v>975255829</x:v>
      </x:c>
      <x:c r="C394" s="9" t="n">
        <x:f>MOD(B394*16807,2147483647)</x:f>
        <x:v>1529524099</x:v>
      </x:c>
      <x:c r="D394" s="17" t="n">
        <x:f>IF('Control Room'!$B$5="Normal",'Control Room'!$B$7+'Control Room'!$D$7*SQRT(-2*LN(MAX(0.000000000001,B394/2147483647)))*COS(2*PI()*C394/2147483647),'Control Room'!$B$8+('Control Room'!$D$8-'Control Room'!$B$8)*B394/2147483647)</x:f>
        <x:v>973.4220824476162</x:v>
      </x:c>
      <x:c r="E394" s="17" t="n">
        <x:f>IF('Control Room'!$B$5="Normal",'Control Room'!$B$7,('Control Room'!$B$8+'Control Room'!$D$8)/2)+'Control Room'!$B$9*(E393-IF('Control Room'!$B$5="Normal",'Control Room'!$B$7,('Control Room'!$B$8+'Control Room'!$D$8)/2))+SQRT(1-'Control Room'!$B$9^2)*(D394-IF('Control Room'!$B$5="Normal",'Control Room'!$B$7,('Control Room'!$B$8+'Control Room'!$D$8)/2))</x:f>
        <x:v>866.6345188577462</x:v>
      </x:c>
      <x:c r="F394" s="17" t="n">
        <x:f>IF(AND($A394&gt;='Control Room'!$A$13,$A394&lt;'Control Room'!$A$13+'Control Room'!$B$13,'Process'!BK2=1),1+('Control Room'!$C$13-1)*EXP(-0.5*(($A394-'Control Room'!$A$13-('Control Room'!$B$13-1)/2)/MAX(0.5,'Control Room'!$B$13/4))^2),1)*IF(AND($A394&gt;='Control Room'!$A$14,$A394&lt;'Control Room'!$A$14+'Control Room'!$B$14,'Process'!BK3=1),1+('Control Room'!$C$14-1)*EXP(-0.5*(($A394-'Control Room'!$A$14-('Control Room'!$B$14-1)/2)/MAX(0.5,'Control Room'!$B$14/4))^2),1)*IF(AND($A394&gt;='Control Room'!$A$15,$A394&lt;'Control Room'!$A$15+'Control Room'!$B$15,'Process'!BK4=1),1+('Control Room'!$C$15-1)*EXP(-0.5*(($A394-'Control Room'!$A$15-('Control Room'!$B$15-1)/2)/MAX(0.5,'Control Room'!$B$15/4))^2),1)*IF(AND($A394&gt;='Control Room'!$A$16,$A394&lt;'Control Room'!$A$16+'Control Room'!$B$16,'Process'!BK5=1),1+('Control Room'!$C$16-1)*EXP(-0.5*(($A394-'Control Room'!$A$16-('Control Room'!$B$16-1)/2)/MAX(0.5,'Control Room'!$B$16/4))^2),1)</x:f>
        <x:v>1</x:v>
      </x:c>
      <x:c r="G394" s="9" t="n">
        <x:f>MOD(H393*16807,2147483647)</x:f>
        <x:v>532614651</x:v>
      </x:c>
      <x:c r="H394" s="9" t="n">
        <x:f>MOD(G394*16807,2147483647)</x:f>
        <x:v>942598661</x:v>
      </x:c>
      <x:c r="I394" s="17" t="n">
        <x:f>IF('Control Room'!$B$5="Normal",'Control Room'!$B$7+'Control Room'!$D$7*SQRT(-2*LN(MAX(0.000000000001,G394/2147483647)))*COS(2*PI()*H394/2147483647),'Control Room'!$B$8+('Control Room'!$D$8-'Control Room'!$B$8)*G394/2147483647)</x:f>
        <x:v>860.6389267495625</x:v>
      </x:c>
      <x:c r="J394" s="17" t="n">
        <x:f>IF('Control Room'!$B$5="Normal",'Control Room'!$B$7,('Control Room'!$B$8+'Control Room'!$D$8)/2)+'Control Room'!$B$9*(J393-IF('Control Room'!$B$5="Normal",'Control Room'!$B$7,('Control Room'!$B$8+'Control Room'!$D$8)/2))+SQRT(1-'Control Room'!$B$9^2)*(I394-IF('Control Room'!$B$5="Normal",'Control Room'!$B$7,('Control Room'!$B$8+'Control Room'!$D$8)/2))</x:f>
        <x:v>1006.2766493671239</x:v>
      </x:c>
      <x:c r="K394" s="17" t="n">
        <x:f>IF(AND($A394&gt;='Control Room'!$A$13,$A394&lt;'Control Room'!$A$13+'Control Room'!$B$13,'Process'!BL2=1),1+('Control Room'!$C$13-1)*EXP(-0.5*(($A394-'Control Room'!$A$13-('Control Room'!$B$13-1)/2)/MAX(0.5,'Control Room'!$B$13/4))^2),1)*IF(AND($A394&gt;='Control Room'!$A$14,$A394&lt;'Control Room'!$A$14+'Control Room'!$B$14,'Process'!BL3=1),1+('Control Room'!$C$14-1)*EXP(-0.5*(($A394-'Control Room'!$A$14-('Control Room'!$B$14-1)/2)/MAX(0.5,'Control Room'!$B$14/4))^2),1)*IF(AND($A394&gt;='Control Room'!$A$15,$A394&lt;'Control Room'!$A$15+'Control Room'!$B$15,'Process'!BL4=1),1+('Control Room'!$C$15-1)*EXP(-0.5*(($A394-'Control Room'!$A$15-('Control Room'!$B$15-1)/2)/MAX(0.5,'Control Room'!$B$15/4))^2),1)*IF(AND($A394&gt;='Control Room'!$A$16,$A394&lt;'Control Room'!$A$16+'Control Room'!$B$16,'Process'!BL5=1),1+('Control Room'!$C$16-1)*EXP(-0.5*(($A394-'Control Room'!$A$16-('Control Room'!$B$16-1)/2)/MAX(0.5,'Control Room'!$B$16/4))^2),1)</x:f>
        <x:v>1</x:v>
      </x:c>
      <x:c r="L394" s="9" t="n">
        <x:f>MOD(M393*16807,2147483647)</x:f>
        <x:v>89973473</x:v>
      </x:c>
      <x:c r="M394" s="9" t="n">
        <x:f>MOD(L394*16807,2147483647)</x:f>
        <x:v>355673223</x:v>
      </x:c>
      <x:c r="N394" s="17" t="n">
        <x:f>IF('Control Room'!$B$5="Normal",'Control Room'!$B$7+'Control Room'!$D$7*SQRT(-2*LN(MAX(0.000000000001,L394/2147483647)))*COS(2*PI()*M394/2147483647),'Control Room'!$B$8+('Control Room'!$D$8-'Control Room'!$B$8)*L394/2147483647)</x:f>
        <x:v>1114.6371427881427</x:v>
      </x:c>
      <x:c r="O394" s="17" t="n">
        <x:f>IF('Control Room'!$B$5="Normal",'Control Room'!$B$7,('Control Room'!$B$8+'Control Room'!$D$8)/2)+'Control Room'!$B$9*(O393-IF('Control Room'!$B$5="Normal",'Control Room'!$B$7,('Control Room'!$B$8+'Control Room'!$D$8)/2))+SQRT(1-'Control Room'!$B$9^2)*(N394-IF('Control Room'!$B$5="Normal",'Control Room'!$B$7,('Control Room'!$B$8+'Control Room'!$D$8)/2))</x:f>
        <x:v>1043.6463613742387</x:v>
      </x:c>
      <x:c r="P394" s="17" t="n">
        <x:f>IF(AND($A394&gt;='Control Room'!$A$13,$A394&lt;'Control Room'!$A$13+'Control Room'!$B$13,'Process'!BM2=1),1+('Control Room'!$C$13-1)*EXP(-0.5*(($A394-'Control Room'!$A$13-('Control Room'!$B$13-1)/2)/MAX(0.5,'Control Room'!$B$13/4))^2),1)*IF(AND($A394&gt;='Control Room'!$A$14,$A394&lt;'Control Room'!$A$14+'Control Room'!$B$14,'Process'!BM3=1),1+('Control Room'!$C$14-1)*EXP(-0.5*(($A394-'Control Room'!$A$14-('Control Room'!$B$14-1)/2)/MAX(0.5,'Control Room'!$B$14/4))^2),1)*IF(AND($A394&gt;='Control Room'!$A$15,$A394&lt;'Control Room'!$A$15+'Control Room'!$B$15,'Process'!BM4=1),1+('Control Room'!$C$15-1)*EXP(-0.5*(($A394-'Control Room'!$A$15-('Control Room'!$B$15-1)/2)/MAX(0.5,'Control Room'!$B$15/4))^2),1)*IF(AND($A394&gt;='Control Room'!$A$16,$A394&lt;'Control Room'!$A$16+'Control Room'!$B$16,'Process'!BM5=1),1+('Control Room'!$C$16-1)*EXP(-0.5*(($A394-'Control Room'!$A$16-('Control Room'!$B$16-1)/2)/MAX(0.5,'Control Room'!$B$16/4))^2),1)</x:f>
        <x:v>1</x:v>
      </x:c>
      <x:c r="Q394" s="9" t="n">
        <x:f>MOD(R393*16807,2147483647)</x:f>
        <x:v>1794815942</x:v>
      </x:c>
      <x:c r="R394" s="9" t="n">
        <x:f>MOD(Q394*16807,2147483647)</x:f>
        <x:v>1916231432</x:v>
      </x:c>
      <x:c r="S394" s="17" t="n">
        <x:f>IF('Control Room'!$B$5="Normal",'Control Room'!$B$7+'Control Room'!$D$7*SQRT(-2*LN(MAX(0.000000000001,Q394/2147483647)))*COS(2*PI()*R394/2147483647),'Control Room'!$B$8+('Control Room'!$D$8-'Control Room'!$B$8)*Q394/2147483647)</x:f>
        <x:v>1042.033022694442</x:v>
      </x:c>
      <x:c r="T394" s="17" t="n">
        <x:f>IF('Control Room'!$B$5="Normal",'Control Room'!$B$7,('Control Room'!$B$8+'Control Room'!$D$8)/2)+'Control Room'!$B$9*(T393-IF('Control Room'!$B$5="Normal",'Control Room'!$B$7,('Control Room'!$B$8+'Control Room'!$D$8)/2))+SQRT(1-'Control Room'!$B$9^2)*(S394-IF('Control Room'!$B$5="Normal",'Control Room'!$B$7,('Control Room'!$B$8+'Control Room'!$D$8)/2))</x:f>
        <x:v>951.8000543232854</x:v>
      </x:c>
      <x:c r="U394" s="17" t="n">
        <x:f>IF(AND($A394&gt;='Control Room'!$A$13,$A394&lt;'Control Room'!$A$13+'Control Room'!$B$13,'Process'!BN2=1),1+('Control Room'!$C$13-1)*EXP(-0.5*(($A394-'Control Room'!$A$13-('Control Room'!$B$13-1)/2)/MAX(0.5,'Control Room'!$B$13/4))^2),1)*IF(AND($A394&gt;='Control Room'!$A$14,$A394&lt;'Control Room'!$A$14+'Control Room'!$B$14,'Process'!BN3=1),1+('Control Room'!$C$14-1)*EXP(-0.5*(($A394-'Control Room'!$A$14-('Control Room'!$B$14-1)/2)/MAX(0.5,'Control Room'!$B$14/4))^2),1)*IF(AND($A394&gt;='Control Room'!$A$15,$A394&lt;'Control Room'!$A$15+'Control Room'!$B$15,'Process'!BN4=1),1+('Control Room'!$C$15-1)*EXP(-0.5*(($A394-'Control Room'!$A$15-('Control Room'!$B$15-1)/2)/MAX(0.5,'Control Room'!$B$15/4))^2),1)*IF(AND($A394&gt;='Control Room'!$A$16,$A394&lt;'Control Room'!$A$16+'Control Room'!$B$16,'Process'!BN5=1),1+('Control Room'!$C$16-1)*EXP(-0.5*(($A394-'Control Room'!$A$16-('Control Room'!$B$16-1)/2)/MAX(0.5,'Control Room'!$B$16/4))^2),1)</x:f>
        <x:v>1</x:v>
      </x:c>
      <x:c r="V394" s="9" t="n">
        <x:f>MOD(W393*16807,2147483647)</x:f>
        <x:v>1352174764</x:v>
      </x:c>
      <x:c r="W394" s="9" t="n">
        <x:f>MOD(V394*16807,2147483647)</x:f>
        <x:v>1329305994</x:v>
      </x:c>
      <x:c r="X394" s="17" t="n">
        <x:f>IF('Control Room'!$B$5="Normal",'Control Room'!$B$7+'Control Room'!$D$7*SQRT(-2*LN(MAX(0.000000000001,V394/2147483647)))*COS(2*PI()*W394/2147483647),'Control Room'!$B$8+('Control Room'!$D$8-'Control Room'!$B$8)*V394/2147483647)</x:f>
        <x:v>936.5266657087734</x:v>
      </x:c>
      <x:c r="Y394" s="17" t="n">
        <x:f>IF('Control Room'!$B$5="Normal",'Control Room'!$B$7,('Control Room'!$B$8+'Control Room'!$D$8)/2)+'Control Room'!$B$9*(Y393-IF('Control Room'!$B$5="Normal",'Control Room'!$B$7,('Control Room'!$B$8+'Control Room'!$D$8)/2))+SQRT(1-'Control Room'!$B$9^2)*(X394-IF('Control Room'!$B$5="Normal",'Control Room'!$B$7,('Control Room'!$B$8+'Control Room'!$D$8)/2))</x:f>
        <x:v>1036.4024481849212</x:v>
      </x:c>
      <x:c r="Z394" s="17" t="n">
        <x:f>IF(AND($A394&gt;='Control Room'!$A$13,$A394&lt;'Control Room'!$A$13+'Control Room'!$B$13,'Process'!BO2=1),1+('Control Room'!$C$13-1)*EXP(-0.5*(($A394-'Control Room'!$A$13-('Control Room'!$B$13-1)/2)/MAX(0.5,'Control Room'!$B$13/4))^2),1)*IF(AND($A394&gt;='Control Room'!$A$14,$A394&lt;'Control Room'!$A$14+'Control Room'!$B$14,'Process'!BO3=1),1+('Control Room'!$C$14-1)*EXP(-0.5*(($A394-'Control Room'!$A$14-('Control Room'!$B$14-1)/2)/MAX(0.5,'Control Room'!$B$14/4))^2),1)*IF(AND($A394&gt;='Control Room'!$A$15,$A394&lt;'Control Room'!$A$15+'Control Room'!$B$15,'Process'!BO4=1),1+('Control Room'!$C$15-1)*EXP(-0.5*(($A394-'Control Room'!$A$15-('Control Room'!$B$15-1)/2)/MAX(0.5,'Control Room'!$B$15/4))^2),1)*IF(AND($A394&gt;='Control Room'!$A$16,$A394&lt;'Control Room'!$A$16+'Control Room'!$B$16,'Process'!BO5=1),1+('Control Room'!$C$16-1)*EXP(-0.5*(($A394-'Control Room'!$A$16-('Control Room'!$B$16-1)/2)/MAX(0.5,'Control Room'!$B$16/4))^2),1)</x:f>
        <x:v>1</x:v>
      </x:c>
      <x:c r="AA394" s="9" t="n">
        <x:f>MOD(AB393*16807,2147483647)</x:f>
        <x:v>909533586</x:v>
      </x:c>
      <x:c r="AB394" s="9" t="n">
        <x:f>MOD(AA394*16807,2147483647)</x:f>
        <x:v>742380556</x:v>
      </x:c>
      <x:c r="AC394" s="17" t="n">
        <x:f>IF('Control Room'!$B$5="Normal",'Control Room'!$B$7+'Control Room'!$D$7*SQRT(-2*LN(MAX(0.000000000001,AA394/2147483647)))*COS(2*PI()*AB394/2147483647),'Control Room'!$B$8+('Control Room'!$D$8-'Control Room'!$B$8)*AA394/2147483647)</x:f>
        <x:v>933.2618428161525</x:v>
      </x:c>
      <x:c r="AD394" s="17" t="n">
        <x:f>IF('Control Room'!$B$5="Normal",'Control Room'!$B$7,('Control Room'!$B$8+'Control Room'!$D$8)/2)+'Control Room'!$B$9*(AD393-IF('Control Room'!$B$5="Normal",'Control Room'!$B$7,('Control Room'!$B$8+'Control Room'!$D$8)/2))+SQRT(1-'Control Room'!$B$9^2)*(AC394-IF('Control Room'!$B$5="Normal",'Control Room'!$B$7,('Control Room'!$B$8+'Control Room'!$D$8)/2))</x:f>
        <x:v>1043.0206687408272</x:v>
      </x:c>
      <x:c r="AE394" s="17" t="n">
        <x:f>IF(AND($A394&gt;='Control Room'!$A$13,$A394&lt;'Control Room'!$A$13+'Control Room'!$B$13,'Process'!BP2=1),1+('Control Room'!$C$13-1)*EXP(-0.5*(($A394-'Control Room'!$A$13-('Control Room'!$B$13-1)/2)/MAX(0.5,'Control Room'!$B$13/4))^2),1)*IF(AND($A394&gt;='Control Room'!$A$14,$A394&lt;'Control Room'!$A$14+'Control Room'!$B$14,'Process'!BP3=1),1+('Control Room'!$C$14-1)*EXP(-0.5*(($A394-'Control Room'!$A$14-('Control Room'!$B$14-1)/2)/MAX(0.5,'Control Room'!$B$14/4))^2),1)*IF(AND($A394&gt;='Control Room'!$A$15,$A394&lt;'Control Room'!$A$15+'Control Room'!$B$15,'Process'!BP4=1),1+('Control Room'!$C$15-1)*EXP(-0.5*(($A394-'Control Room'!$A$15-('Control Room'!$B$15-1)/2)/MAX(0.5,'Control Room'!$B$15/4))^2),1)*IF(AND($A394&gt;='Control Room'!$A$16,$A394&lt;'Control Room'!$A$16+'Control Room'!$B$16,'Process'!BP5=1),1+('Control Room'!$C$16-1)*EXP(-0.5*(($A394-'Control Room'!$A$16-('Control Room'!$B$16-1)/2)/MAX(0.5,'Control Room'!$B$16/4))^2),1)</x:f>
        <x:v>1</x:v>
      </x:c>
      <x:c r="AF394" s="9" t="n">
        <x:f>MOD(AG393*16807,2147483647)</x:f>
        <x:v>466892408</x:v>
      </x:c>
      <x:c r="AG394" s="9" t="n">
        <x:f>MOD(AF394*16807,2147483647)</x:f>
        <x:v>155455118</x:v>
      </x:c>
      <x:c r="AH394" s="17" t="n">
        <x:f>IF('Control Room'!$B$5="Normal",'Control Room'!$B$7+'Control Room'!$D$7*SQRT(-2*LN(MAX(0.000000000001,AF394/2147483647)))*COS(2*PI()*AG394/2147483647),'Control Room'!$B$8+('Control Room'!$D$8-'Control Room'!$B$8)*AF394/2147483647)</x:f>
        <x:v>1141.2425229561786</x:v>
      </x:c>
      <x:c r="AI394" s="17" t="n">
        <x:f>IF('Control Room'!$B$5="Normal",'Control Room'!$B$7,('Control Room'!$B$8+'Control Room'!$D$8)/2)+'Control Room'!$B$9*(AI393-IF('Control Room'!$B$5="Normal",'Control Room'!$B$7,('Control Room'!$B$8+'Control Room'!$D$8)/2))+SQRT(1-'Control Room'!$B$9^2)*(AH394-IF('Control Room'!$B$5="Normal",'Control Room'!$B$7,('Control Room'!$B$8+'Control Room'!$D$8)/2))</x:f>
        <x:v>1097.2216522537003</x:v>
      </x:c>
      <x:c r="AJ394" s="17" t="n">
        <x:f>IF(AND($A394&gt;='Control Room'!$A$13,$A394&lt;'Control Room'!$A$13+'Control Room'!$B$13,'Process'!BQ2=1),1+('Control Room'!$C$13-1)*EXP(-0.5*(($A394-'Control Room'!$A$13-('Control Room'!$B$13-1)/2)/MAX(0.5,'Control Room'!$B$13/4))^2),1)*IF(AND($A394&gt;='Control Room'!$A$14,$A394&lt;'Control Room'!$A$14+'Control Room'!$B$14,'Process'!BQ3=1),1+('Control Room'!$C$14-1)*EXP(-0.5*(($A394-'Control Room'!$A$14-('Control Room'!$B$14-1)/2)/MAX(0.5,'Control Room'!$B$14/4))^2),1)*IF(AND($A394&gt;='Control Room'!$A$15,$A394&lt;'Control Room'!$A$15+'Control Room'!$B$15,'Process'!BQ4=1),1+('Control Room'!$C$15-1)*EXP(-0.5*(($A394-'Control Room'!$A$15-('Control Room'!$B$15-1)/2)/MAX(0.5,'Control Room'!$B$15/4))^2),1)*IF(AND($A394&gt;='Control Room'!$A$16,$A394&lt;'Control Room'!$A$16+'Control Room'!$B$16,'Process'!BQ5=1),1+('Control Room'!$C$16-1)*EXP(-0.5*(($A394-'Control Room'!$A$16-('Control Room'!$B$16-1)/2)/MAX(0.5,'Control Room'!$B$16/4))^2),1)</x:f>
        <x:v>1</x:v>
      </x:c>
      <x:c r="AK394" s="9" t="n">
        <x:f>MOD(AL393*16807,2147483647)</x:f>
        <x:v>24251230</x:v>
      </x:c>
      <x:c r="AL394" s="9" t="n">
        <x:f>MOD(AK394*16807,2147483647)</x:f>
        <x:v>1716013327</x:v>
      </x:c>
      <x:c r="AM394" s="17" t="n">
        <x:f>IF('Control Room'!$B$5="Normal",'Control Room'!$B$7+'Control Room'!$D$7*SQRT(-2*LN(MAX(0.000000000001,AK394/2147483647)))*COS(2*PI()*AL394/2147483647),'Control Room'!$B$8+('Control Room'!$D$8-'Control Room'!$B$8)*AK394/2147483647)</x:f>
        <x:v>1081.8008164590278</x:v>
      </x:c>
      <x:c r="AN394" s="17" t="n">
        <x:f>IF('Control Room'!$B$5="Normal",'Control Room'!$B$7,('Control Room'!$B$8+'Control Room'!$D$8)/2)+'Control Room'!$B$9*(AN393-IF('Control Room'!$B$5="Normal",'Control Room'!$B$7,('Control Room'!$B$8+'Control Room'!$D$8)/2))+SQRT(1-'Control Room'!$B$9^2)*(AM394-IF('Control Room'!$B$5="Normal",'Control Room'!$B$7,('Control Room'!$B$8+'Control Room'!$D$8)/2))</x:f>
        <x:v>1088.2622006037066</x:v>
      </x:c>
      <x:c r="AO394" s="17" t="n">
        <x:f>IF(AND($A394&gt;='Control Room'!$A$13,$A394&lt;'Control Room'!$A$13+'Control Room'!$B$13,'Process'!BR2=1),1+('Control Room'!$C$13-1)*EXP(-0.5*(($A394-'Control Room'!$A$13-('Control Room'!$B$13-1)/2)/MAX(0.5,'Control Room'!$B$13/4))^2),1)*IF(AND($A394&gt;='Control Room'!$A$14,$A394&lt;'Control Room'!$A$14+'Control Room'!$B$14,'Process'!BR3=1),1+('Control Room'!$C$14-1)*EXP(-0.5*(($A394-'Control Room'!$A$14-('Control Room'!$B$14-1)/2)/MAX(0.5,'Control Room'!$B$14/4))^2),1)*IF(AND($A394&gt;='Control Room'!$A$15,$A394&lt;'Control Room'!$A$15+'Control Room'!$B$15,'Process'!BR4=1),1+('Control Room'!$C$15-1)*EXP(-0.5*(($A394-'Control Room'!$A$15-('Control Room'!$B$15-1)/2)/MAX(0.5,'Control Room'!$B$15/4))^2),1)*IF(AND($A394&gt;='Control Room'!$A$16,$A394&lt;'Control Room'!$A$16+'Control Room'!$B$16,'Process'!BR5=1),1+('Control Room'!$C$16-1)*EXP(-0.5*(($A394-'Control Room'!$A$16-('Control Room'!$B$16-1)/2)/MAX(0.5,'Control Room'!$B$16/4))^2),1)</x:f>
        <x:v>1</x:v>
      </x:c>
      <x:c r="AP394" s="9" t="n">
        <x:f>MOD(AQ393*16807,2147483647)</x:f>
        <x:v>1729093699</x:v>
      </x:c>
      <x:c r="AQ394" s="9" t="n">
        <x:f>MOD(AP394*16807,2147483647)</x:f>
        <x:v>1129087889</x:v>
      </x:c>
      <x:c r="AR394" s="17" t="n">
        <x:f>IF('Control Room'!$B$5="Normal",'Control Room'!$B$7+'Control Room'!$D$7*SQRT(-2*LN(MAX(0.000000000001,AP394/2147483647)))*COS(2*PI()*AQ394/2147483647),'Control Room'!$B$8+('Control Room'!$D$8-'Control Room'!$B$8)*AP394/2147483647)</x:f>
        <x:v>941.5254179007152</x:v>
      </x:c>
      <x:c r="AS394" s="17" t="n">
        <x:f>IF('Control Room'!$B$5="Normal",'Control Room'!$B$7,('Control Room'!$B$8+'Control Room'!$D$8)/2)+'Control Room'!$B$9*(AS393-IF('Control Room'!$B$5="Normal",'Control Room'!$B$7,('Control Room'!$B$8+'Control Room'!$D$8)/2))+SQRT(1-'Control Room'!$B$9^2)*(AR394-IF('Control Room'!$B$5="Normal",'Control Room'!$B$7,('Control Room'!$B$8+'Control Room'!$D$8)/2))</x:f>
        <x:v>996.8240979638158</x:v>
      </x:c>
      <x:c r="AT394" s="17" t="n">
        <x:f>IF(AND($A394&gt;='Control Room'!$A$13,$A394&lt;'Control Room'!$A$13+'Control Room'!$B$13,'Process'!BS2=1),1+('Control Room'!$C$13-1)*EXP(-0.5*(($A394-'Control Room'!$A$13-('Control Room'!$B$13-1)/2)/MAX(0.5,'Control Room'!$B$13/4))^2),1)*IF(AND($A394&gt;='Control Room'!$A$14,$A394&lt;'Control Room'!$A$14+'Control Room'!$B$14,'Process'!BS3=1),1+('Control Room'!$C$14-1)*EXP(-0.5*(($A394-'Control Room'!$A$14-('Control Room'!$B$14-1)/2)/MAX(0.5,'Control Room'!$B$14/4))^2),1)*IF(AND($A394&gt;='Control Room'!$A$15,$A394&lt;'Control Room'!$A$15+'Control Room'!$B$15,'Process'!BS4=1),1+('Control Room'!$C$15-1)*EXP(-0.5*(($A394-'Control Room'!$A$15-('Control Room'!$B$15-1)/2)/MAX(0.5,'Control Room'!$B$15/4))^2),1)*IF(AND($A394&gt;='Control Room'!$A$16,$A394&lt;'Control Room'!$A$16+'Control Room'!$B$16,'Process'!BS5=1),1+('Control Room'!$C$16-1)*EXP(-0.5*(($A394-'Control Room'!$A$16-('Control Room'!$B$16-1)/2)/MAX(0.5,'Control Room'!$B$16/4))^2),1)</x:f>
        <x:v>1</x:v>
      </x:c>
      <x:c r="AU394" s="9" t="n">
        <x:f>MOD(AV393*16807,2147483647)</x:f>
        <x:v>1286452521</x:v>
      </x:c>
      <x:c r="AV394" s="9" t="n">
        <x:f>MOD(AU394*16807,2147483647)</x:f>
        <x:v>542162451</x:v>
      </x:c>
      <x:c r="AW394" s="17" t="n">
        <x:f>IF('Control Room'!$B$5="Normal",'Control Room'!$B$7+'Control Room'!$D$7*SQRT(-2*LN(MAX(0.000000000001,AU394/2147483647)))*COS(2*PI()*AV394/2147483647),'Control Room'!$B$8+('Control Room'!$D$8-'Control Room'!$B$8)*AU394/2147483647)</x:f>
        <x:v>998.5894766962672</x:v>
      </x:c>
      <x:c r="AX394" s="17" t="n">
        <x:f>IF('Control Room'!$B$5="Normal",'Control Room'!$B$7,('Control Room'!$B$8+'Control Room'!$D$8)/2)+'Control Room'!$B$9*(AX393-IF('Control Room'!$B$5="Normal",'Control Room'!$B$7,('Control Room'!$B$8+'Control Room'!$D$8)/2))+SQRT(1-'Control Room'!$B$9^2)*(AW394-IF('Control Room'!$B$5="Normal",'Control Room'!$B$7,('Control Room'!$B$8+'Control Room'!$D$8)/2))</x:f>
        <x:v>1006.2358399202508</x:v>
      </x:c>
      <x:c r="AY394" s="17" t="n">
        <x:f>IF(AND($A394&gt;='Control Room'!$A$13,$A394&lt;'Control Room'!$A$13+'Control Room'!$B$13,'Process'!BT2=1),1+('Control Room'!$C$13-1)*EXP(-0.5*(($A394-'Control Room'!$A$13-('Control Room'!$B$13-1)/2)/MAX(0.5,'Control Room'!$B$13/4))^2),1)*IF(AND($A394&gt;='Control Room'!$A$14,$A394&lt;'Control Room'!$A$14+'Control Room'!$B$14,'Process'!BT3=1),1+('Control Room'!$C$14-1)*EXP(-0.5*(($A394-'Control Room'!$A$14-('Control Room'!$B$14-1)/2)/MAX(0.5,'Control Room'!$B$14/4))^2),1)*IF(AND($A394&gt;='Control Room'!$A$15,$A394&lt;'Control Room'!$A$15+'Control Room'!$B$15,'Process'!BT4=1),1+('Control Room'!$C$15-1)*EXP(-0.5*(($A394-'Control Room'!$A$15-('Control Room'!$B$15-1)/2)/MAX(0.5,'Control Room'!$B$15/4))^2),1)*IF(AND($A394&gt;='Control Room'!$A$16,$A394&lt;'Control Room'!$A$16+'Control Room'!$B$16,'Process'!BT5=1),1+('Control Room'!$C$16-1)*EXP(-0.5*(($A394-'Control Room'!$A$16-('Control Room'!$B$16-1)/2)/MAX(0.5,'Control Room'!$B$16/4))^2),1)</x:f>
        <x:v>1</x:v>
      </x:c>
      <x:c r="AZ394" s="9" t="n">
        <x:f>MOD(BA393*16807,2147483647)</x:f>
        <x:v>843811343</x:v>
      </x:c>
      <x:c r="BA394" s="9" t="n">
        <x:f>MOD(AZ394*16807,2147483647)</x:f>
        <x:v>2102720660</x:v>
      </x:c>
      <x:c r="BB394" s="17" t="n">
        <x:f>IF('Control Room'!$B$5="Normal",'Control Room'!$B$7+'Control Room'!$D$7*SQRT(-2*LN(MAX(0.000000000001,AZ394/2147483647)))*COS(2*PI()*BA394/2147483647),'Control Room'!$B$8+('Control Room'!$D$8-'Control Room'!$B$8)*AZ394/2147483647)</x:f>
        <x:v>1121.961892684159</x:v>
      </x:c>
      <x:c r="BC394" s="17" t="n">
        <x:f>IF('Control Room'!$B$5="Normal",'Control Room'!$B$7,('Control Room'!$B$8+'Control Room'!$D$8)/2)+'Control Room'!$B$9*(BC393-IF('Control Room'!$B$5="Normal",'Control Room'!$B$7,('Control Room'!$B$8+'Control Room'!$D$8)/2))+SQRT(1-'Control Room'!$B$9^2)*(BB394-IF('Control Room'!$B$5="Normal",'Control Room'!$B$7,('Control Room'!$B$8+'Control Room'!$D$8)/2))</x:f>
        <x:v>1044.3160932040187</x:v>
      </x:c>
      <x:c r="BD394" s="17" t="n">
        <x:f>IF(AND($A394&gt;='Control Room'!$A$13,$A394&lt;'Control Room'!$A$13+'Control Room'!$B$13,'Process'!BU2=1),1+('Control Room'!$C$13-1)*EXP(-0.5*(($A394-'Control Room'!$A$13-('Control Room'!$B$13-1)/2)/MAX(0.5,'Control Room'!$B$13/4))^2),1)*IF(AND($A394&gt;='Control Room'!$A$14,$A394&lt;'Control Room'!$A$14+'Control Room'!$B$14,'Process'!BU3=1),1+('Control Room'!$C$14-1)*EXP(-0.5*(($A394-'Control Room'!$A$14-('Control Room'!$B$14-1)/2)/MAX(0.5,'Control Room'!$B$14/4))^2),1)*IF(AND($A394&gt;='Control Room'!$A$15,$A394&lt;'Control Room'!$A$15+'Control Room'!$B$15,'Process'!BU4=1),1+('Control Room'!$C$15-1)*EXP(-0.5*(($A394-'Control Room'!$A$15-('Control Room'!$B$15-1)/2)/MAX(0.5,'Control Room'!$B$15/4))^2),1)*IF(AND($A394&gt;='Control Room'!$A$16,$A394&lt;'Control Room'!$A$16+'Control Room'!$B$16,'Process'!BU5=1),1+('Control Room'!$C$16-1)*EXP(-0.5*(($A394-'Control Room'!$A$16-('Control Room'!$B$16-1)/2)/MAX(0.5,'Control Room'!$B$16/4))^2),1)</x:f>
        <x:v>1</x:v>
      </x:c>
      <x:c r="BE394" s="9" t="n">
        <x:f>MOD(BF393*16807,2147483647)</x:f>
        <x:v>401170165</x:v>
      </x:c>
      <x:c r="BF394" s="9" t="n">
        <x:f>MOD(BE394*16807,2147483647)</x:f>
        <x:v>1515795222</x:v>
      </x:c>
      <x:c r="BG394" s="17" t="n">
        <x:f>IF('Control Room'!$B$5="Normal",'Control Room'!$B$7+'Control Room'!$D$7*SQRT(-2*LN(MAX(0.000000000001,BE394/2147483647)))*COS(2*PI()*BF394/2147483647),'Control Room'!$B$8+('Control Room'!$D$8-'Control Room'!$B$8)*BE394/2147483647)</x:f>
        <x:v>954.8493713639242</x:v>
      </x:c>
      <x:c r="BH394" s="17" t="n">
        <x:f>IF('Control Room'!$B$5="Normal",'Control Room'!$B$7,('Control Room'!$B$8+'Control Room'!$D$8)/2)+'Control Room'!$B$9*(BH393-IF('Control Room'!$B$5="Normal",'Control Room'!$B$7,('Control Room'!$B$8+'Control Room'!$D$8)/2))+SQRT(1-'Control Room'!$B$9^2)*(BG394-IF('Control Room'!$B$5="Normal",'Control Room'!$B$7,('Control Room'!$B$8+'Control Room'!$D$8)/2))</x:f>
        <x:v>904.8972435306727</x:v>
      </x:c>
      <x:c r="BI394" s="17" t="n">
        <x:f>IF(AND($A394&gt;='Control Room'!$A$13,$A394&lt;'Control Room'!$A$13+'Control Room'!$B$13,'Process'!BV2=1),1+('Control Room'!$C$13-1)*EXP(-0.5*(($A394-'Control Room'!$A$13-('Control Room'!$B$13-1)/2)/MAX(0.5,'Control Room'!$B$13/4))^2),1)*IF(AND($A394&gt;='Control Room'!$A$14,$A394&lt;'Control Room'!$A$14+'Control Room'!$B$14,'Process'!BV3=1),1+('Control Room'!$C$14-1)*EXP(-0.5*(($A394-'Control Room'!$A$14-('Control Room'!$B$14-1)/2)/MAX(0.5,'Control Room'!$B$14/4))^2),1)*IF(AND($A394&gt;='Control Room'!$A$15,$A394&lt;'Control Room'!$A$15+'Control Room'!$B$15,'Process'!BV4=1),1+('Control Room'!$C$15-1)*EXP(-0.5*(($A394-'Control Room'!$A$15-('Control Room'!$B$15-1)/2)/MAX(0.5,'Control Room'!$B$15/4))^2),1)*IF(AND($A394&gt;='Control Room'!$A$16,$A394&lt;'Control Room'!$A$16+'Control Room'!$B$16,'Process'!BV5=1),1+('Control Room'!$C$16-1)*EXP(-0.5*(($A394-'Control Room'!$A$16-('Control Room'!$B$16-1)/2)/MAX(0.5,'Control Room'!$B$16/4))^2),1)</x:f>
        <x:v>1</x:v>
      </x:c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Z394" t="str">
        <x:f>IF('Data'!A394="","",TEXT('Data'!A394,"mm-dd"))</x:f>
      </x:c>
    </x:row>
    <x:row r="395" ht="21" customHeight="1">
      <x:c r="A395" s="15" t="n">
        <x:f>'Control Room'!$B$1+393</x:f>
        <x:v>73384</x:v>
      </x:c>
      <x:c r="B395" s="9" t="n">
        <x:f>MOD(C394*16807,2147483647)</x:f>
        <x:v>1332277303</x:v>
      </x:c>
      <x:c r="C395" s="9" t="n">
        <x:f>MOD(B395*16807,2147483647)</x:f>
        <x:v>1920127899</x:v>
      </x:c>
      <x:c r="D395" s="17" t="n">
        <x:f>IF('Control Room'!$B$5="Normal",'Control Room'!$B$7+'Control Room'!$D$7*SQRT(-2*LN(MAX(0.000000000001,B395/2147483647)))*COS(2*PI()*C395/2147483647),'Control Room'!$B$8+('Control Room'!$D$8-'Control Room'!$B$8)*B395/2147483647)</x:f>
        <x:v>1069.1927613805533</x:v>
      </x:c>
      <x:c r="E395" s="17" t="n">
        <x:f>IF('Control Room'!$B$5="Normal",'Control Room'!$B$7,('Control Room'!$B$8+'Control Room'!$D$8)/2)+'Control Room'!$B$9*(E394-IF('Control Room'!$B$5="Normal",'Control Room'!$B$7,('Control Room'!$B$8+'Control Room'!$D$8)/2))+SQRT(1-'Control Room'!$B$9^2)*(D395-IF('Control Room'!$B$5="Normal",'Control Room'!$B$7,('Control Room'!$B$8+'Control Room'!$D$8)/2))</x:f>
        <x:v>939.2743372902279</x:v>
      </x:c>
      <x:c r="F395" s="17" t="n">
        <x:f>IF(AND($A395&gt;='Control Room'!$A$13,$A395&lt;'Control Room'!$A$13+'Control Room'!$B$13,'Process'!BK2=1),1+('Control Room'!$C$13-1)*EXP(-0.5*(($A395-'Control Room'!$A$13-('Control Room'!$B$13-1)/2)/MAX(0.5,'Control Room'!$B$13/4))^2),1)*IF(AND($A395&gt;='Control Room'!$A$14,$A395&lt;'Control Room'!$A$14+'Control Room'!$B$14,'Process'!BK3=1),1+('Control Room'!$C$14-1)*EXP(-0.5*(($A395-'Control Room'!$A$14-('Control Room'!$B$14-1)/2)/MAX(0.5,'Control Room'!$B$14/4))^2),1)*IF(AND($A395&gt;='Control Room'!$A$15,$A395&lt;'Control Room'!$A$15+'Control Room'!$B$15,'Process'!BK4=1),1+('Control Room'!$C$15-1)*EXP(-0.5*(($A395-'Control Room'!$A$15-('Control Room'!$B$15-1)/2)/MAX(0.5,'Control Room'!$B$15/4))^2),1)*IF(AND($A395&gt;='Control Room'!$A$16,$A395&lt;'Control Room'!$A$16+'Control Room'!$B$16,'Process'!BK5=1),1+('Control Room'!$C$16-1)*EXP(-0.5*(($A395-'Control Room'!$A$16-('Control Room'!$B$16-1)/2)/MAX(0.5,'Control Room'!$B$16/4))^2),1)</x:f>
        <x:v>1</x:v>
      </x:c>
      <x:c r="G395" s="9" t="n">
        <x:f>MOD(H394*16807,2147483647)</x:f>
        <x:v>268831508</x:v>
      </x:c>
      <x:c r="H395" s="9" t="n">
        <x:f>MOD(G395*16807,2147483647)</x:f>
        <x:v>2093045315</x:v>
      </x:c>
      <x:c r="I395" s="17" t="n">
        <x:f>IF('Control Room'!$B$5="Normal",'Control Room'!$B$7+'Control Room'!$D$7*SQRT(-2*LN(MAX(0.000000000001,G395/2147483647)))*COS(2*PI()*H395/2147483647),'Control Room'!$B$8+('Control Room'!$D$8-'Control Room'!$B$8)*G395/2147483647)</x:f>
        <x:v>1181.1525758618318</x:v>
      </x:c>
      <x:c r="J395" s="17" t="n">
        <x:f>IF('Control Room'!$B$5="Normal",'Control Room'!$B$7,('Control Room'!$B$8+'Control Room'!$D$8)/2)+'Control Room'!$B$9*(J394-IF('Control Room'!$B$5="Normal",'Control Room'!$B$7,('Control Room'!$B$8+'Control Room'!$D$8)/2))+SQRT(1-'Control Room'!$B$9^2)*(I395-IF('Control Room'!$B$5="Normal",'Control Room'!$B$7,('Control Room'!$B$8+'Control Room'!$D$8)/2))</x:f>
        <x:v>1118.2573573684576</x:v>
      </x:c>
      <x:c r="K395" s="17" t="n">
        <x:f>IF(AND($A395&gt;='Control Room'!$A$13,$A395&lt;'Control Room'!$A$13+'Control Room'!$B$13,'Process'!BL2=1),1+('Control Room'!$C$13-1)*EXP(-0.5*(($A395-'Control Room'!$A$13-('Control Room'!$B$13-1)/2)/MAX(0.5,'Control Room'!$B$13/4))^2),1)*IF(AND($A395&gt;='Control Room'!$A$14,$A395&lt;'Control Room'!$A$14+'Control Room'!$B$14,'Process'!BL3=1),1+('Control Room'!$C$14-1)*EXP(-0.5*(($A395-'Control Room'!$A$14-('Control Room'!$B$14-1)/2)/MAX(0.5,'Control Room'!$B$14/4))^2),1)*IF(AND($A395&gt;='Control Room'!$A$15,$A395&lt;'Control Room'!$A$15+'Control Room'!$B$15,'Process'!BL4=1),1+('Control Room'!$C$15-1)*EXP(-0.5*(($A395-'Control Room'!$A$15-('Control Room'!$B$15-1)/2)/MAX(0.5,'Control Room'!$B$15/4))^2),1)*IF(AND($A395&gt;='Control Room'!$A$16,$A395&lt;'Control Room'!$A$16+'Control Room'!$B$16,'Process'!BL5=1),1+('Control Room'!$C$16-1)*EXP(-0.5*(($A395-'Control Room'!$A$16-('Control Room'!$B$16-1)/2)/MAX(0.5,'Control Room'!$B$16/4))^2),1)</x:f>
        <x:v>1</x:v>
      </x:c>
      <x:c r="L395" s="9" t="n">
        <x:f>MOD(M394*16807,2147483647)</x:f>
        <x:v>1352869360</x:v>
      </x:c>
      <x:c r="M395" s="9" t="n">
        <x:f>MOD(L395*16807,2147483647)</x:f>
        <x:v>118479084</x:v>
      </x:c>
      <x:c r="N395" s="17" t="n">
        <x:f>IF('Control Room'!$B$5="Normal",'Control Room'!$B$7+'Control Room'!$D$7*SQRT(-2*LN(MAX(0.000000000001,L395/2147483647)))*COS(2*PI()*M395/2147483647),'Control Room'!$B$8+('Control Room'!$D$8-'Control Room'!$B$8)*L395/2147483647)</x:f>
        <x:v>1081.3723962844385</x:v>
      </x:c>
      <x:c r="O395" s="17" t="n">
        <x:f>IF('Control Room'!$B$5="Normal",'Control Room'!$B$7,('Control Room'!$B$8+'Control Room'!$D$8)/2)+'Control Room'!$B$9*(O394-IF('Control Room'!$B$5="Normal",'Control Room'!$B$7,('Control Room'!$B$8+'Control Room'!$D$8)/2))+SQRT(1-'Control Room'!$B$9^2)*(N395-IF('Control Room'!$B$5="Normal",'Control Room'!$B$7,('Control Room'!$B$8+'Control Room'!$D$8)/2))</x:f>
        <x:v>1084.9653404625603</x:v>
      </x:c>
      <x:c r="P395" s="17" t="n">
        <x:f>IF(AND($A395&gt;='Control Room'!$A$13,$A395&lt;'Control Room'!$A$13+'Control Room'!$B$13,'Process'!BM2=1),1+('Control Room'!$C$13-1)*EXP(-0.5*(($A395-'Control Room'!$A$13-('Control Room'!$B$13-1)/2)/MAX(0.5,'Control Room'!$B$13/4))^2),1)*IF(AND($A395&gt;='Control Room'!$A$14,$A395&lt;'Control Room'!$A$14+'Control Room'!$B$14,'Process'!BM3=1),1+('Control Room'!$C$14-1)*EXP(-0.5*(($A395-'Control Room'!$A$14-('Control Room'!$B$14-1)/2)/MAX(0.5,'Control Room'!$B$14/4))^2),1)*IF(AND($A395&gt;='Control Room'!$A$15,$A395&lt;'Control Room'!$A$15+'Control Room'!$B$15,'Process'!BM4=1),1+('Control Room'!$C$15-1)*EXP(-0.5*(($A395-'Control Room'!$A$15-('Control Room'!$B$15-1)/2)/MAX(0.5,'Control Room'!$B$15/4))^2),1)*IF(AND($A395&gt;='Control Room'!$A$16,$A395&lt;'Control Room'!$A$16+'Control Room'!$B$16,'Process'!BM5=1),1+('Control Room'!$C$16-1)*EXP(-0.5*(($A395-'Control Room'!$A$16-('Control Room'!$B$16-1)/2)/MAX(0.5,'Control Room'!$B$16/4))^2),1)</x:f>
        <x:v>1</x:v>
      </x:c>
      <x:c r="Q395" s="9" t="n">
        <x:f>MOD(R394*16807,2147483647)</x:f>
        <x:v>289423565</x:v>
      </x:c>
      <x:c r="R395" s="9" t="n">
        <x:f>MOD(Q395*16807,2147483647)</x:f>
        <x:v>291396500</x:v>
      </x:c>
      <x:c r="S395" s="17" t="n">
        <x:f>IF('Control Room'!$B$5="Normal",'Control Room'!$B$7+'Control Room'!$D$7*SQRT(-2*LN(MAX(0.000000000001,Q395/2147483647)))*COS(2*PI()*R395/2147483647),'Control Room'!$B$8+('Control Room'!$D$8-'Control Room'!$B$8)*Q395/2147483647)</x:f>
        <x:v>1118.5710367692318</x:v>
      </x:c>
      <x:c r="T395" s="17" t="n">
        <x:f>IF('Control Room'!$B$5="Normal",'Control Room'!$B$7,('Control Room'!$B$8+'Control Room'!$D$8)/2)+'Control Room'!$B$9*(T394-IF('Control Room'!$B$5="Normal",'Control Room'!$B$7,('Control Room'!$B$8+'Control Room'!$D$8)/2))+SQRT(1-'Control Room'!$B$9^2)*(S395-IF('Control Room'!$B$5="Normal",'Control Room'!$B$7,('Control Room'!$B$8+'Control Room'!$D$8)/2))</x:f>
        <x:v>1036.6033681226286</x:v>
      </x:c>
      <x:c r="U395" s="17" t="n">
        <x:f>IF(AND($A395&gt;='Control Room'!$A$13,$A395&lt;'Control Room'!$A$13+'Control Room'!$B$13,'Process'!BN2=1),1+('Control Room'!$C$13-1)*EXP(-0.5*(($A395-'Control Room'!$A$13-('Control Room'!$B$13-1)/2)/MAX(0.5,'Control Room'!$B$13/4))^2),1)*IF(AND($A395&gt;='Control Room'!$A$14,$A395&lt;'Control Room'!$A$14+'Control Room'!$B$14,'Process'!BN3=1),1+('Control Room'!$C$14-1)*EXP(-0.5*(($A395-'Control Room'!$A$14-('Control Room'!$B$14-1)/2)/MAX(0.5,'Control Room'!$B$14/4))^2),1)*IF(AND($A395&gt;='Control Room'!$A$15,$A395&lt;'Control Room'!$A$15+'Control Room'!$B$15,'Process'!BN4=1),1+('Control Room'!$C$15-1)*EXP(-0.5*(($A395-'Control Room'!$A$15-('Control Room'!$B$15-1)/2)/MAX(0.5,'Control Room'!$B$15/4))^2),1)*IF(AND($A395&gt;='Control Room'!$A$16,$A395&lt;'Control Room'!$A$16+'Control Room'!$B$16,'Process'!BN5=1),1+('Control Room'!$C$16-1)*EXP(-0.5*(($A395-'Control Room'!$A$16-('Control Room'!$B$16-1)/2)/MAX(0.5,'Control Room'!$B$16/4))^2),1)</x:f>
        <x:v>1</x:v>
      </x:c>
      <x:c r="V395" s="9" t="n">
        <x:f>MOD(W394*16807,2147483647)</x:f>
        <x:v>1373461417</x:v>
      </x:c>
      <x:c r="W395" s="9" t="n">
        <x:f>MOD(V395*16807,2147483647)</x:f>
        <x:v>464313916</x:v>
      </x:c>
      <x:c r="X395" s="17" t="n">
        <x:f>IF('Control Room'!$B$5="Normal",'Control Room'!$B$7+'Control Room'!$D$7*SQRT(-2*LN(MAX(0.000000000001,V395/2147483647)))*COS(2*PI()*W395/2147483647),'Control Room'!$B$8+('Control Room'!$D$8-'Control Room'!$B$8)*V395/2147483647)</x:f>
        <x:v>1017.9289738871798</x:v>
      </x:c>
      <x:c r="Y395" s="17" t="n">
        <x:f>IF('Control Room'!$B$5="Normal",'Control Room'!$B$7,('Control Room'!$B$8+'Control Room'!$D$8)/2)+'Control Room'!$B$9*(Y394-IF('Control Room'!$B$5="Normal",'Control Room'!$B$7,('Control Room'!$B$8+'Control Room'!$D$8)/2))+SQRT(1-'Control Room'!$B$9^2)*(X395-IF('Control Room'!$B$5="Normal",'Control Room'!$B$7,('Control Room'!$B$8+'Control Room'!$D$8)/2))</x:f>
        <x:v>1039.6134941478415</x:v>
      </x:c>
      <x:c r="Z395" s="17" t="n">
        <x:f>IF(AND($A395&gt;='Control Room'!$A$13,$A395&lt;'Control Room'!$A$13+'Control Room'!$B$13,'Process'!BO2=1),1+('Control Room'!$C$13-1)*EXP(-0.5*(($A395-'Control Room'!$A$13-('Control Room'!$B$13-1)/2)/MAX(0.5,'Control Room'!$B$13/4))^2),1)*IF(AND($A395&gt;='Control Room'!$A$14,$A395&lt;'Control Room'!$A$14+'Control Room'!$B$14,'Process'!BO3=1),1+('Control Room'!$C$14-1)*EXP(-0.5*(($A395-'Control Room'!$A$14-('Control Room'!$B$14-1)/2)/MAX(0.5,'Control Room'!$B$14/4))^2),1)*IF(AND($A395&gt;='Control Room'!$A$15,$A395&lt;'Control Room'!$A$15+'Control Room'!$B$15,'Process'!BO4=1),1+('Control Room'!$C$15-1)*EXP(-0.5*(($A395-'Control Room'!$A$15-('Control Room'!$B$15-1)/2)/MAX(0.5,'Control Room'!$B$15/4))^2),1)*IF(AND($A395&gt;='Control Room'!$A$16,$A395&lt;'Control Room'!$A$16+'Control Room'!$B$16,'Process'!BO5=1),1+('Control Room'!$C$16-1)*EXP(-0.5*(($A395-'Control Room'!$A$16-('Control Room'!$B$16-1)/2)/MAX(0.5,'Control Room'!$B$16/4))^2),1)</x:f>
        <x:v>1</x:v>
      </x:c>
      <x:c r="AA395" s="9" t="n">
        <x:f>MOD(AB394*16807,2147483647)</x:f>
        <x:v>310015622</x:v>
      </x:c>
      <x:c r="AB395" s="9" t="n">
        <x:f>MOD(AA395*16807,2147483647)</x:f>
        <x:v>637231332</x:v>
      </x:c>
      <x:c r="AC395" s="17" t="n">
        <x:f>IF('Control Room'!$B$5="Normal",'Control Room'!$B$7+'Control Room'!$D$7*SQRT(-2*LN(MAX(0.000000000001,AA395/2147483647)))*COS(2*PI()*AB395/2147483647),'Control Room'!$B$8+('Control Room'!$D$8-'Control Room'!$B$8)*AA395/2147483647)</x:f>
        <x:v>948.7493295181268</x:v>
      </x:c>
      <x:c r="AD395" s="17" t="n">
        <x:f>IF('Control Room'!$B$5="Normal",'Control Room'!$B$7,('Control Room'!$B$8+'Control Room'!$D$8)/2)+'Control Room'!$B$9*(AD394-IF('Control Room'!$B$5="Normal",'Control Room'!$B$7,('Control Room'!$B$8+'Control Room'!$D$8)/2))+SQRT(1-'Control Room'!$B$9^2)*(AC395-IF('Control Room'!$B$5="Normal",'Control Room'!$B$7,('Control Room'!$B$8+'Control Room'!$D$8)/2))</x:f>
        <x:v>1001.4845019573426</x:v>
      </x:c>
      <x:c r="AE395" s="17" t="n">
        <x:f>IF(AND($A395&gt;='Control Room'!$A$13,$A395&lt;'Control Room'!$A$13+'Control Room'!$B$13,'Process'!BP2=1),1+('Control Room'!$C$13-1)*EXP(-0.5*(($A395-'Control Room'!$A$13-('Control Room'!$B$13-1)/2)/MAX(0.5,'Control Room'!$B$13/4))^2),1)*IF(AND($A395&gt;='Control Room'!$A$14,$A395&lt;'Control Room'!$A$14+'Control Room'!$B$14,'Process'!BP3=1),1+('Control Room'!$C$14-1)*EXP(-0.5*(($A395-'Control Room'!$A$14-('Control Room'!$B$14-1)/2)/MAX(0.5,'Control Room'!$B$14/4))^2),1)*IF(AND($A395&gt;='Control Room'!$A$15,$A395&lt;'Control Room'!$A$15+'Control Room'!$B$15,'Process'!BP4=1),1+('Control Room'!$C$15-1)*EXP(-0.5*(($A395-'Control Room'!$A$15-('Control Room'!$B$15-1)/2)/MAX(0.5,'Control Room'!$B$15/4))^2),1)*IF(AND($A395&gt;='Control Room'!$A$16,$A395&lt;'Control Room'!$A$16+'Control Room'!$B$16,'Process'!BP5=1),1+('Control Room'!$C$16-1)*EXP(-0.5*(($A395-'Control Room'!$A$16-('Control Room'!$B$16-1)/2)/MAX(0.5,'Control Room'!$B$16/4))^2),1)</x:f>
        <x:v>1</x:v>
      </x:c>
      <x:c r="AF395" s="9" t="n">
        <x:f>MOD(AG394*16807,2147483647)</x:f>
        <x:v>1394053474</x:v>
      </x:c>
      <x:c r="AG395" s="9" t="n">
        <x:f>MOD(AF395*16807,2147483647)</x:f>
        <x:v>810148748</x:v>
      </x:c>
      <x:c r="AH395" s="17" t="n">
        <x:f>IF('Control Room'!$B$5="Normal",'Control Room'!$B$7+'Control Room'!$D$7*SQRT(-2*LN(MAX(0.000000000001,AF395/2147483647)))*COS(2*PI()*AG395/2147483647),'Control Room'!$B$8+('Control Room'!$D$8-'Control Room'!$B$8)*AF395/2147483647)</x:f>
        <x:v>940.0082041632171</x:v>
      </x:c>
      <x:c r="AI395" s="17" t="n">
        <x:f>IF('Control Room'!$B$5="Normal",'Control Room'!$B$7,('Control Room'!$B$8+'Control Room'!$D$8)/2)+'Control Room'!$B$9*(AI394-IF('Control Room'!$B$5="Normal",'Control Room'!$B$7,('Control Room'!$B$8+'Control Room'!$D$8)/2))+SQRT(1-'Control Room'!$B$9^2)*(AH395-IF('Control Room'!$B$5="Normal",'Control Room'!$B$7,('Control Room'!$B$8+'Control Room'!$D$8)/2))</x:f>
        <x:v>1038.2912519219672</x:v>
      </x:c>
      <x:c r="AJ395" s="17" t="n">
        <x:f>IF(AND($A395&gt;='Control Room'!$A$13,$A395&lt;'Control Room'!$A$13+'Control Room'!$B$13,'Process'!BQ2=1),1+('Control Room'!$C$13-1)*EXP(-0.5*(($A395-'Control Room'!$A$13-('Control Room'!$B$13-1)/2)/MAX(0.5,'Control Room'!$B$13/4))^2),1)*IF(AND($A395&gt;='Control Room'!$A$14,$A395&lt;'Control Room'!$A$14+'Control Room'!$B$14,'Process'!BQ3=1),1+('Control Room'!$C$14-1)*EXP(-0.5*(($A395-'Control Room'!$A$14-('Control Room'!$B$14-1)/2)/MAX(0.5,'Control Room'!$B$14/4))^2),1)*IF(AND($A395&gt;='Control Room'!$A$15,$A395&lt;'Control Room'!$A$15+'Control Room'!$B$15,'Process'!BQ4=1),1+('Control Room'!$C$15-1)*EXP(-0.5*(($A395-'Control Room'!$A$15-('Control Room'!$B$15-1)/2)/MAX(0.5,'Control Room'!$B$15/4))^2),1)*IF(AND($A395&gt;='Control Room'!$A$16,$A395&lt;'Control Room'!$A$16+'Control Room'!$B$16,'Process'!BQ5=1),1+('Control Room'!$C$16-1)*EXP(-0.5*(($A395-'Control Room'!$A$16-('Control Room'!$B$16-1)/2)/MAX(0.5,'Control Room'!$B$16/4))^2),1)</x:f>
        <x:v>1</x:v>
      </x:c>
      <x:c r="AK395" s="9" t="n">
        <x:f>MOD(AL394*16807,2147483647)</x:f>
        <x:v>330607679</x:v>
      </x:c>
      <x:c r="AL395" s="9" t="n">
        <x:f>MOD(AK395*16807,2147483647)</x:f>
        <x:v>983066164</x:v>
      </x:c>
      <x:c r="AM395" s="17" t="n">
        <x:f>IF('Control Room'!$B$5="Normal",'Control Room'!$B$7+'Control Room'!$D$7*SQRT(-2*LN(MAX(0.000000000001,AK395/2147483647)))*COS(2*PI()*AL395/2147483647),'Control Room'!$B$8+('Control Room'!$D$8-'Control Room'!$B$8)*AK395/2147483647)</x:f>
        <x:v>831.987499332288</x:v>
      </x:c>
      <x:c r="AN395" s="17" t="n">
        <x:f>IF('Control Room'!$B$5="Normal",'Control Room'!$B$7,('Control Room'!$B$8+'Control Room'!$D$8)/2)+'Control Room'!$B$9*(AN394-IF('Control Room'!$B$5="Normal",'Control Room'!$B$7,('Control Room'!$B$8+'Control Room'!$D$8)/2))+SQRT(1-'Control Room'!$B$9^2)*(AM395-IF('Control Room'!$B$5="Normal",'Control Room'!$B$7,('Control Room'!$B$8+'Control Room'!$D$8)/2))</x:f>
        <x:v>963.7057354761985</x:v>
      </x:c>
      <x:c r="AO395" s="17" t="n">
        <x:f>IF(AND($A395&gt;='Control Room'!$A$13,$A395&lt;'Control Room'!$A$13+'Control Room'!$B$13,'Process'!BR2=1),1+('Control Room'!$C$13-1)*EXP(-0.5*(($A395-'Control Room'!$A$13-('Control Room'!$B$13-1)/2)/MAX(0.5,'Control Room'!$B$13/4))^2),1)*IF(AND($A395&gt;='Control Room'!$A$14,$A395&lt;'Control Room'!$A$14+'Control Room'!$B$14,'Process'!BR3=1),1+('Control Room'!$C$14-1)*EXP(-0.5*(($A395-'Control Room'!$A$14-('Control Room'!$B$14-1)/2)/MAX(0.5,'Control Room'!$B$14/4))^2),1)*IF(AND($A395&gt;='Control Room'!$A$15,$A395&lt;'Control Room'!$A$15+'Control Room'!$B$15,'Process'!BR4=1),1+('Control Room'!$C$15-1)*EXP(-0.5*(($A395-'Control Room'!$A$15-('Control Room'!$B$15-1)/2)/MAX(0.5,'Control Room'!$B$15/4))^2),1)*IF(AND($A395&gt;='Control Room'!$A$16,$A395&lt;'Control Room'!$A$16+'Control Room'!$B$16,'Process'!BR5=1),1+('Control Room'!$C$16-1)*EXP(-0.5*(($A395-'Control Room'!$A$16-('Control Room'!$B$16-1)/2)/MAX(0.5,'Control Room'!$B$16/4))^2),1)</x:f>
        <x:v>1</x:v>
      </x:c>
      <x:c r="AP395" s="9" t="n">
        <x:f>MOD(AQ394*16807,2147483647)</x:f>
        <x:v>1414645531</x:v>
      </x:c>
      <x:c r="AQ395" s="9" t="n">
        <x:f>MOD(AP395*16807,2147483647)</x:f>
        <x:v>1155983580</x:v>
      </x:c>
      <x:c r="AR395" s="17" t="n">
        <x:f>IF('Control Room'!$B$5="Normal",'Control Room'!$B$7+'Control Room'!$D$7*SQRT(-2*LN(MAX(0.000000000001,AP395/2147483647)))*COS(2*PI()*AQ395/2147483647),'Control Room'!$B$8+('Control Room'!$D$8-'Control Room'!$B$8)*AP395/2147483647)</x:f>
        <x:v>920.1367958345464</x:v>
      </x:c>
      <x:c r="AS395" s="17" t="n">
        <x:f>IF('Control Room'!$B$5="Normal",'Control Room'!$B$7,('Control Room'!$B$8+'Control Room'!$D$8)/2)+'Control Room'!$B$9*(AS394-IF('Control Room'!$B$5="Normal",'Control Room'!$B$7,('Control Room'!$B$8+'Control Room'!$D$8)/2))+SQRT(1-'Control Room'!$B$9^2)*(AR395-IF('Control Room'!$B$5="Normal",'Control Room'!$B$7,('Control Room'!$B$8+'Control Room'!$D$8)/2))</x:f>
        <x:v>947.546039331702</x:v>
      </x:c>
      <x:c r="AT395" s="17" t="n">
        <x:f>IF(AND($A395&gt;='Control Room'!$A$13,$A395&lt;'Control Room'!$A$13+'Control Room'!$B$13,'Process'!BS2=1),1+('Control Room'!$C$13-1)*EXP(-0.5*(($A395-'Control Room'!$A$13-('Control Room'!$B$13-1)/2)/MAX(0.5,'Control Room'!$B$13/4))^2),1)*IF(AND($A395&gt;='Control Room'!$A$14,$A395&lt;'Control Room'!$A$14+'Control Room'!$B$14,'Process'!BS3=1),1+('Control Room'!$C$14-1)*EXP(-0.5*(($A395-'Control Room'!$A$14-('Control Room'!$B$14-1)/2)/MAX(0.5,'Control Room'!$B$14/4))^2),1)*IF(AND($A395&gt;='Control Room'!$A$15,$A395&lt;'Control Room'!$A$15+'Control Room'!$B$15,'Process'!BS4=1),1+('Control Room'!$C$15-1)*EXP(-0.5*(($A395-'Control Room'!$A$15-('Control Room'!$B$15-1)/2)/MAX(0.5,'Control Room'!$B$15/4))^2),1)*IF(AND($A395&gt;='Control Room'!$A$16,$A395&lt;'Control Room'!$A$16+'Control Room'!$B$16,'Process'!BS5=1),1+('Control Room'!$C$16-1)*EXP(-0.5*(($A395-'Control Room'!$A$16-('Control Room'!$B$16-1)/2)/MAX(0.5,'Control Room'!$B$16/4))^2),1)</x:f>
        <x:v>1</x:v>
      </x:c>
      <x:c r="AU395" s="9" t="n">
        <x:f>MOD(AV394*16807,2147483647)</x:f>
        <x:v>351199736</x:v>
      </x:c>
      <x:c r="AV395" s="9" t="n">
        <x:f>MOD(AU395*16807,2147483647)</x:f>
        <x:v>1328900996</x:v>
      </x:c>
      <x:c r="AW395" s="17" t="n">
        <x:f>IF('Control Room'!$B$5="Normal",'Control Room'!$B$7+'Control Room'!$D$7*SQRT(-2*LN(MAX(0.000000000001,AU395/2147483647)))*COS(2*PI()*AV395/2147483647),'Control Room'!$B$8+('Control Room'!$D$8-'Control Room'!$B$8)*AU395/2147483647)</x:f>
        <x:v>874.2823466185581</x:v>
      </x:c>
      <x:c r="AX395" s="17" t="n">
        <x:f>IF('Control Room'!$B$5="Normal",'Control Room'!$B$7,('Control Room'!$B$8+'Control Room'!$D$8)/2)+'Control Room'!$B$9*(AX394-IF('Control Room'!$B$5="Normal",'Control Room'!$B$7,('Control Room'!$B$8+'Control Room'!$D$8)/2))+SQRT(1-'Control Room'!$B$9^2)*(AW395-IF('Control Room'!$B$5="Normal",'Control Room'!$B$7,('Control Room'!$B$8+'Control Room'!$D$8)/2))</x:f>
        <x:v>926.1924231178078</x:v>
      </x:c>
      <x:c r="AY395" s="17" t="n">
        <x:f>IF(AND($A395&gt;='Control Room'!$A$13,$A395&lt;'Control Room'!$A$13+'Control Room'!$B$13,'Process'!BT2=1),1+('Control Room'!$C$13-1)*EXP(-0.5*(($A395-'Control Room'!$A$13-('Control Room'!$B$13-1)/2)/MAX(0.5,'Control Room'!$B$13/4))^2),1)*IF(AND($A395&gt;='Control Room'!$A$14,$A395&lt;'Control Room'!$A$14+'Control Room'!$B$14,'Process'!BT3=1),1+('Control Room'!$C$14-1)*EXP(-0.5*(($A395-'Control Room'!$A$14-('Control Room'!$B$14-1)/2)/MAX(0.5,'Control Room'!$B$14/4))^2),1)*IF(AND($A395&gt;='Control Room'!$A$15,$A395&lt;'Control Room'!$A$15+'Control Room'!$B$15,'Process'!BT4=1),1+('Control Room'!$C$15-1)*EXP(-0.5*(($A395-'Control Room'!$A$15-('Control Room'!$B$15-1)/2)/MAX(0.5,'Control Room'!$B$15/4))^2),1)*IF(AND($A395&gt;='Control Room'!$A$16,$A395&lt;'Control Room'!$A$16+'Control Room'!$B$16,'Process'!BT5=1),1+('Control Room'!$C$16-1)*EXP(-0.5*(($A395-'Control Room'!$A$16-('Control Room'!$B$16-1)/2)/MAX(0.5,'Control Room'!$B$16/4))^2),1)</x:f>
        <x:v>1</x:v>
      </x:c>
      <x:c r="AZ395" s="9" t="n">
        <x:f>MOD(BA394*16807,2147483647)</x:f>
        <x:v>1435237588</x:v>
      </x:c>
      <x:c r="BA395" s="9" t="n">
        <x:f>MOD(AZ395*16807,2147483647)</x:f>
        <x:v>1501818412</x:v>
      </x:c>
      <x:c r="BB395" s="17" t="n">
        <x:f>IF('Control Room'!$B$5="Normal",'Control Room'!$B$7+'Control Room'!$D$7*SQRT(-2*LN(MAX(0.000000000001,AZ395/2147483647)))*COS(2*PI()*BA395/2147483647),'Control Room'!$B$8+('Control Room'!$D$8-'Control Room'!$B$8)*AZ395/2147483647)</x:f>
        <x:v>974.7134761431073</x:v>
      </x:c>
      <x:c r="BC395" s="17" t="n">
        <x:f>IF('Control Room'!$B$5="Normal",'Control Room'!$B$7,('Control Room'!$B$8+'Control Room'!$D$8)/2)+'Control Room'!$B$9*(BC394-IF('Control Room'!$B$5="Normal",'Control Room'!$B$7,('Control Room'!$B$8+'Control Room'!$D$8)/2))+SQRT(1-'Control Room'!$B$9^2)*(BB395-IF('Control Room'!$B$5="Normal",'Control Room'!$B$7,('Control Room'!$B$8+'Control Room'!$D$8)/2))</x:f>
        <x:v>1018.7427640920893</x:v>
      </x:c>
      <x:c r="BD395" s="17" t="n">
        <x:f>IF(AND($A395&gt;='Control Room'!$A$13,$A395&lt;'Control Room'!$A$13+'Control Room'!$B$13,'Process'!BU2=1),1+('Control Room'!$C$13-1)*EXP(-0.5*(($A395-'Control Room'!$A$13-('Control Room'!$B$13-1)/2)/MAX(0.5,'Control Room'!$B$13/4))^2),1)*IF(AND($A395&gt;='Control Room'!$A$14,$A395&lt;'Control Room'!$A$14+'Control Room'!$B$14,'Process'!BU3=1),1+('Control Room'!$C$14-1)*EXP(-0.5*(($A395-'Control Room'!$A$14-('Control Room'!$B$14-1)/2)/MAX(0.5,'Control Room'!$B$14/4))^2),1)*IF(AND($A395&gt;='Control Room'!$A$15,$A395&lt;'Control Room'!$A$15+'Control Room'!$B$15,'Process'!BU4=1),1+('Control Room'!$C$15-1)*EXP(-0.5*(($A395-'Control Room'!$A$15-('Control Room'!$B$15-1)/2)/MAX(0.5,'Control Room'!$B$15/4))^2),1)*IF(AND($A395&gt;='Control Room'!$A$16,$A395&lt;'Control Room'!$A$16+'Control Room'!$B$16,'Process'!BU5=1),1+('Control Room'!$C$16-1)*EXP(-0.5*(($A395-'Control Room'!$A$16-('Control Room'!$B$16-1)/2)/MAX(0.5,'Control Room'!$B$16/4))^2),1)</x:f>
        <x:v>1</x:v>
      </x:c>
      <x:c r="BE395" s="9" t="n">
        <x:f>MOD(BF394*16807,2147483647)</x:f>
        <x:v>371791793</x:v>
      </x:c>
      <x:c r="BF395" s="9" t="n">
        <x:f>MOD(BE395*16807,2147483647)</x:f>
        <x:v>1674735828</x:v>
      </x:c>
      <x:c r="BG395" s="17" t="n">
        <x:f>IF('Control Room'!$B$5="Normal",'Control Room'!$B$7+'Control Room'!$D$7*SQRT(-2*LN(MAX(0.000000000001,BE395/2147483647)))*COS(2*PI()*BF395/2147483647),'Control Room'!$B$8+('Control Room'!$D$8-'Control Room'!$B$8)*BE395/2147483647)</x:f>
        <x:v>1031.4377227187663</x:v>
      </x:c>
      <x:c r="BH395" s="17" t="n">
        <x:f>IF('Control Room'!$B$5="Normal",'Control Room'!$B$7,('Control Room'!$B$8+'Control Room'!$D$8)/2)+'Control Room'!$B$9*(BH394-IF('Control Room'!$B$5="Normal",'Control Room'!$B$7,('Control Room'!$B$8+'Control Room'!$D$8)/2))+SQRT(1-'Control Room'!$B$9^2)*(BG395-IF('Control Room'!$B$5="Normal",'Control Room'!$B$7,('Control Room'!$B$8+'Control Room'!$D$8)/2))</x:f>
        <x:v>945.4929327945722</x:v>
      </x:c>
      <x:c r="BI395" s="17" t="n">
        <x:f>IF(AND($A395&gt;='Control Room'!$A$13,$A395&lt;'Control Room'!$A$13+'Control Room'!$B$13,'Process'!BV2=1),1+('Control Room'!$C$13-1)*EXP(-0.5*(($A395-'Control Room'!$A$13-('Control Room'!$B$13-1)/2)/MAX(0.5,'Control Room'!$B$13/4))^2),1)*IF(AND($A395&gt;='Control Room'!$A$14,$A395&lt;'Control Room'!$A$14+'Control Room'!$B$14,'Process'!BV3=1),1+('Control Room'!$C$14-1)*EXP(-0.5*(($A395-'Control Room'!$A$14-('Control Room'!$B$14-1)/2)/MAX(0.5,'Control Room'!$B$14/4))^2),1)*IF(AND($A395&gt;='Control Room'!$A$15,$A395&lt;'Control Room'!$A$15+'Control Room'!$B$15,'Process'!BV4=1),1+('Control Room'!$C$15-1)*EXP(-0.5*(($A395-'Control Room'!$A$15-('Control Room'!$B$15-1)/2)/MAX(0.5,'Control Room'!$B$15/4))^2),1)*IF(AND($A395&gt;='Control Room'!$A$16,$A395&lt;'Control Room'!$A$16+'Control Room'!$B$16,'Process'!BV5=1),1+('Control Room'!$C$16-1)*EXP(-0.5*(($A395-'Control Room'!$A$16-('Control Room'!$B$16-1)/2)/MAX(0.5,'Control Room'!$B$16/4))^2),1)</x:f>
        <x:v>1</x:v>
      </x:c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Z395" t="str">
        <x:f>IF('Data'!A395="","",TEXT('Data'!A395,"mm-dd"))</x:f>
      </x:c>
    </x:row>
    <x:row r="396" ht="21" customHeight="1">
      <x:c r="A396" s="15" t="n">
        <x:f>'Control Room'!$B$1+394</x:f>
        <x:v>73385</x:v>
      </x:c>
      <x:c r="B396" s="9" t="n">
        <x:f>MOD(C395*16807,2147483647)</x:f>
        <x:v>1352835024</x:v>
      </x:c>
      <x:c r="C396" s="9" t="n">
        <x:f>MOD(B396*16807,2147483647)</x:f>
        <x:v>1688877579</x:v>
      </x:c>
      <x:c r="D396" s="17" t="n">
        <x:f>IF('Control Room'!$B$5="Normal",'Control Room'!$B$7+'Control Room'!$D$7*SQRT(-2*LN(MAX(0.000000000001,B396/2147483647)))*COS(2*PI()*C396/2147483647),'Control Room'!$B$8+('Control Room'!$D$8-'Control Room'!$B$8)*B396/2147483647)</x:f>
        <x:v>1019.6398166152317</x:v>
      </x:c>
      <x:c r="E396" s="17" t="n">
        <x:f>IF('Control Room'!$B$5="Normal",'Control Room'!$B$7,('Control Room'!$B$8+'Control Room'!$D$8)/2)+'Control Room'!$B$9*(E395-IF('Control Room'!$B$5="Normal",'Control Room'!$B$7,('Control Room'!$B$8+'Control Room'!$D$8)/2))+SQRT(1-'Control Room'!$B$9^2)*(D396-IF('Control Room'!$B$5="Normal",'Control Room'!$B$7,('Control Room'!$B$8+'Control Room'!$D$8)/2))</x:f>
        <x:v>964.924177980677</x:v>
      </x:c>
      <x:c r="F396" s="17" t="n">
        <x:f>IF(AND($A396&gt;='Control Room'!$A$13,$A396&lt;'Control Room'!$A$13+'Control Room'!$B$13,'Process'!BK2=1),1+('Control Room'!$C$13-1)*EXP(-0.5*(($A396-'Control Room'!$A$13-('Control Room'!$B$13-1)/2)/MAX(0.5,'Control Room'!$B$13/4))^2),1)*IF(AND($A396&gt;='Control Room'!$A$14,$A396&lt;'Control Room'!$A$14+'Control Room'!$B$14,'Process'!BK3=1),1+('Control Room'!$C$14-1)*EXP(-0.5*(($A396-'Control Room'!$A$14-('Control Room'!$B$14-1)/2)/MAX(0.5,'Control Room'!$B$14/4))^2),1)*IF(AND($A396&gt;='Control Room'!$A$15,$A396&lt;'Control Room'!$A$15+'Control Room'!$B$15,'Process'!BK4=1),1+('Control Room'!$C$15-1)*EXP(-0.5*(($A396-'Control Room'!$A$15-('Control Room'!$B$15-1)/2)/MAX(0.5,'Control Room'!$B$15/4))^2),1)*IF(AND($A396&gt;='Control Room'!$A$16,$A396&lt;'Control Room'!$A$16+'Control Room'!$B$16,'Process'!BK5=1),1+('Control Room'!$C$16-1)*EXP(-0.5*(($A396-'Control Room'!$A$16-('Control Room'!$B$16-1)/2)/MAX(0.5,'Control Room'!$B$16/4))^2),1)</x:f>
        <x:v>1</x:v>
      </x:c>
      <x:c r="G396" s="9" t="n">
        <x:f>MOD(H395*16807,2147483647)</x:f>
        <x:v>2030471345</x:v>
      </x:c>
      <x:c r="H396" s="9" t="n">
        <x:f>MOD(G396*16807,2147483647)</x:f>
        <x:v>469260938</x:v>
      </x:c>
      <x:c r="I396" s="17" t="n">
        <x:f>IF('Control Room'!$B$5="Normal",'Control Room'!$B$7+'Control Room'!$D$7*SQRT(-2*LN(MAX(0.000000000001,G396/2147483647)))*COS(2*PI()*H396/2147483647),'Control Room'!$B$8+('Control Room'!$D$8-'Control Room'!$B$8)*G396/2147483647)</x:f>
        <x:v>1005.9209016948597</x:v>
      </x:c>
      <x:c r="J396" s="17" t="n">
        <x:f>IF('Control Room'!$B$5="Normal",'Control Room'!$B$7,('Control Room'!$B$8+'Control Room'!$D$8)/2)+'Control Room'!$B$9*(J395-IF('Control Room'!$B$5="Normal",'Control Room'!$B$7,('Control Room'!$B$8+'Control Room'!$D$8)/2))+SQRT(1-'Control Room'!$B$9^2)*(I396-IF('Control Room'!$B$5="Normal",'Control Room'!$B$7,('Control Room'!$B$8+'Control Room'!$D$8)/2))</x:f>
        <x:v>1095.945917731776</x:v>
      </x:c>
      <x:c r="K396" s="17" t="n">
        <x:f>IF(AND($A396&gt;='Control Room'!$A$13,$A396&lt;'Control Room'!$A$13+'Control Room'!$B$13,'Process'!BL2=1),1+('Control Room'!$C$13-1)*EXP(-0.5*(($A396-'Control Room'!$A$13-('Control Room'!$B$13-1)/2)/MAX(0.5,'Control Room'!$B$13/4))^2),1)*IF(AND($A396&gt;='Control Room'!$A$14,$A396&lt;'Control Room'!$A$14+'Control Room'!$B$14,'Process'!BL3=1),1+('Control Room'!$C$14-1)*EXP(-0.5*(($A396-'Control Room'!$A$14-('Control Room'!$B$14-1)/2)/MAX(0.5,'Control Room'!$B$14/4))^2),1)*IF(AND($A396&gt;='Control Room'!$A$15,$A396&lt;'Control Room'!$A$15+'Control Room'!$B$15,'Process'!BL4=1),1+('Control Room'!$C$15-1)*EXP(-0.5*(($A396-'Control Room'!$A$15-('Control Room'!$B$15-1)/2)/MAX(0.5,'Control Room'!$B$15/4))^2),1)*IF(AND($A396&gt;='Control Room'!$A$16,$A396&lt;'Control Room'!$A$16+'Control Room'!$B$16,'Process'!BL5=1),1+('Control Room'!$C$16-1)*EXP(-0.5*(($A396-'Control Room'!$A$16-('Control Room'!$B$16-1)/2)/MAX(0.5,'Control Room'!$B$16/4))^2),1)</x:f>
        <x:v>1</x:v>
      </x:c>
      <x:c r="L396" s="9" t="n">
        <x:f>MOD(M395*16807,2147483647)</x:f>
        <x:v>560624019</x:v>
      </x:c>
      <x:c r="M396" s="9" t="n">
        <x:f>MOD(L396*16807,2147483647)</x:f>
        <x:v>1397127944</x:v>
      </x:c>
      <x:c r="N396" s="17" t="n">
        <x:f>IF('Control Room'!$B$5="Normal",'Control Room'!$B$7+'Control Room'!$D$7*SQRT(-2*LN(MAX(0.000000000001,L396/2147483647)))*COS(2*PI()*M396/2147483647),'Control Room'!$B$8+('Control Room'!$D$8-'Control Room'!$B$8)*L396/2147483647)</x:f>
        <x:v>913.7426870843163</x:v>
      </x:c>
      <x:c r="O396" s="17" t="n">
        <x:f>IF('Control Room'!$B$5="Normal",'Control Room'!$B$7,('Control Room'!$B$8+'Control Room'!$D$8)/2)+'Control Room'!$B$9*(O395-IF('Control Room'!$B$5="Normal",'Control Room'!$B$7,('Control Room'!$B$8+'Control Room'!$D$8)/2))+SQRT(1-'Control Room'!$B$9^2)*(N396-IF('Control Room'!$B$5="Normal",'Control Room'!$B$7,('Control Room'!$B$8+'Control Room'!$D$8)/2))</x:f>
        <x:v>1012.2949062152665</x:v>
      </x:c>
      <x:c r="P396" s="17" t="n">
        <x:f>IF(AND($A396&gt;='Control Room'!$A$13,$A396&lt;'Control Room'!$A$13+'Control Room'!$B$13,'Process'!BM2=1),1+('Control Room'!$C$13-1)*EXP(-0.5*(($A396-'Control Room'!$A$13-('Control Room'!$B$13-1)/2)/MAX(0.5,'Control Room'!$B$13/4))^2),1)*IF(AND($A396&gt;='Control Room'!$A$14,$A396&lt;'Control Room'!$A$14+'Control Room'!$B$14,'Process'!BM3=1),1+('Control Room'!$C$14-1)*EXP(-0.5*(($A396-'Control Room'!$A$14-('Control Room'!$B$14-1)/2)/MAX(0.5,'Control Room'!$B$14/4))^2),1)*IF(AND($A396&gt;='Control Room'!$A$15,$A396&lt;'Control Room'!$A$15+'Control Room'!$B$15,'Process'!BM4=1),1+('Control Room'!$C$15-1)*EXP(-0.5*(($A396-'Control Room'!$A$15-('Control Room'!$B$15-1)/2)/MAX(0.5,'Control Room'!$B$15/4))^2),1)*IF(AND($A396&gt;='Control Room'!$A$16,$A396&lt;'Control Room'!$A$16+'Control Room'!$B$16,'Process'!BM5=1),1+('Control Room'!$C$16-1)*EXP(-0.5*(($A396-'Control Room'!$A$16-('Control Room'!$B$16-1)/2)/MAX(0.5,'Control Room'!$B$16/4))^2),1)</x:f>
        <x:v>1</x:v>
      </x:c>
      <x:c r="Q396" s="9" t="n">
        <x:f>MOD(R395*16807,2147483647)</x:f>
        <x:v>1238260340</x:v>
      </x:c>
      <x:c r="R396" s="9" t="n">
        <x:f>MOD(Q396*16807,2147483647)</x:f>
        <x:v>177511303</x:v>
      </x:c>
      <x:c r="S396" s="17" t="n">
        <x:f>IF('Control Room'!$B$5="Normal",'Control Room'!$B$7+'Control Room'!$D$7*SQRT(-2*LN(MAX(0.000000000001,Q396/2147483647)))*COS(2*PI()*R396/2147483647),'Control Room'!$B$8+('Control Room'!$D$8-'Control Room'!$B$8)*Q396/2147483647)</x:f>
        <x:v>1081.9893483158176</x:v>
      </x:c>
      <x:c r="T396" s="17" t="n">
        <x:f>IF('Control Room'!$B$5="Normal",'Control Room'!$B$7,('Control Room'!$B$8+'Control Room'!$D$8)/2)+'Control Room'!$B$9*(T395-IF('Control Room'!$B$5="Normal",'Control Room'!$B$7,('Control Room'!$B$8+'Control Room'!$D$8)/2))+SQRT(1-'Control Room'!$B$9^2)*(S396-IF('Control Room'!$B$5="Normal",'Control Room'!$B$7,('Control Room'!$B$8+'Control Room'!$D$8)/2))</x:f>
        <x:v>1079.857881668592</x:v>
      </x:c>
      <x:c r="U396" s="17" t="n">
        <x:f>IF(AND($A396&gt;='Control Room'!$A$13,$A396&lt;'Control Room'!$A$13+'Control Room'!$B$13,'Process'!BN2=1),1+('Control Room'!$C$13-1)*EXP(-0.5*(($A396-'Control Room'!$A$13-('Control Room'!$B$13-1)/2)/MAX(0.5,'Control Room'!$B$13/4))^2),1)*IF(AND($A396&gt;='Control Room'!$A$14,$A396&lt;'Control Room'!$A$14+'Control Room'!$B$14,'Process'!BN3=1),1+('Control Room'!$C$14-1)*EXP(-0.5*(($A396-'Control Room'!$A$14-('Control Room'!$B$14-1)/2)/MAX(0.5,'Control Room'!$B$14/4))^2),1)*IF(AND($A396&gt;='Control Room'!$A$15,$A396&lt;'Control Room'!$A$15+'Control Room'!$B$15,'Process'!BN4=1),1+('Control Room'!$C$15-1)*EXP(-0.5*(($A396-'Control Room'!$A$15-('Control Room'!$B$15-1)/2)/MAX(0.5,'Control Room'!$B$15/4))^2),1)*IF(AND($A396&gt;='Control Room'!$A$16,$A396&lt;'Control Room'!$A$16+'Control Room'!$B$16,'Process'!BN5=1),1+('Control Room'!$C$16-1)*EXP(-0.5*(($A396-'Control Room'!$A$16-('Control Room'!$B$16-1)/2)/MAX(0.5,'Control Room'!$B$16/4))^2),1)</x:f>
        <x:v>1</x:v>
      </x:c>
      <x:c r="V396" s="9" t="n">
        <x:f>MOD(W395*16807,2147483647)</x:f>
        <x:v>1915896661</x:v>
      </x:c>
      <x:c r="W396" s="9" t="n">
        <x:f>MOD(V396*16807,2147483647)</x:f>
        <x:v>1105378309</x:v>
      </x:c>
      <x:c r="X396" s="17" t="n">
        <x:f>IF('Control Room'!$B$5="Normal",'Control Room'!$B$7+'Control Room'!$D$7*SQRT(-2*LN(MAX(0.000000000001,V396/2147483647)))*COS(2*PI()*W396/2147483647),'Control Room'!$B$8+('Control Room'!$D$8-'Control Room'!$B$8)*V396/2147483647)</x:f>
        <x:v>957.1887284731764</x:v>
      </x:c>
      <x:c r="Y396" s="17" t="n">
        <x:f>IF('Control Room'!$B$5="Normal",'Control Room'!$B$7,('Control Room'!$B$8+'Control Room'!$D$8)/2)+'Control Room'!$B$9*(Y395-IF('Control Room'!$B$5="Normal",'Control Room'!$B$7,('Control Room'!$B$8+'Control Room'!$D$8)/2))+SQRT(1-'Control Room'!$B$9^2)*(X396-IF('Control Room'!$B$5="Normal",'Control Room'!$B$7,('Control Room'!$B$8+'Control Room'!$D$8)/2))</x:f>
        <x:v>1004.1081087503985</x:v>
      </x:c>
      <x:c r="Z396" s="17" t="n">
        <x:f>IF(AND($A396&gt;='Control Room'!$A$13,$A396&lt;'Control Room'!$A$13+'Control Room'!$B$13,'Process'!BO2=1),1+('Control Room'!$C$13-1)*EXP(-0.5*(($A396-'Control Room'!$A$13-('Control Room'!$B$13-1)/2)/MAX(0.5,'Control Room'!$B$13/4))^2),1)*IF(AND($A396&gt;='Control Room'!$A$14,$A396&lt;'Control Room'!$A$14+'Control Room'!$B$14,'Process'!BO3=1),1+('Control Room'!$C$14-1)*EXP(-0.5*(($A396-'Control Room'!$A$14-('Control Room'!$B$14-1)/2)/MAX(0.5,'Control Room'!$B$14/4))^2),1)*IF(AND($A396&gt;='Control Room'!$A$15,$A396&lt;'Control Room'!$A$15+'Control Room'!$B$15,'Process'!BO4=1),1+('Control Room'!$C$15-1)*EXP(-0.5*(($A396-'Control Room'!$A$15-('Control Room'!$B$15-1)/2)/MAX(0.5,'Control Room'!$B$15/4))^2),1)*IF(AND($A396&gt;='Control Room'!$A$16,$A396&lt;'Control Room'!$A$16+'Control Room'!$B$16,'Process'!BO5=1),1+('Control Room'!$C$16-1)*EXP(-0.5*(($A396-'Control Room'!$A$16-('Control Room'!$B$16-1)/2)/MAX(0.5,'Control Room'!$B$16/4))^2),1)</x:f>
        <x:v>1</x:v>
      </x:c>
      <x:c r="AA396" s="9" t="n">
        <x:f>MOD(AB395*16807,2147483647)</x:f>
        <x:v>446049335</x:v>
      </x:c>
      <x:c r="AB396" s="9" t="n">
        <x:f>MOD(AA396*16807,2147483647)</x:f>
        <x:v>2033245315</x:v>
      </x:c>
      <x:c r="AC396" s="17" t="n">
        <x:f>IF('Control Room'!$B$5="Normal",'Control Room'!$B$7+'Control Room'!$D$7*SQRT(-2*LN(MAX(0.000000000001,AA396/2147483647)))*COS(2*PI()*AB396/2147483647),'Control Room'!$B$8+('Control Room'!$D$8-'Control Room'!$B$8)*AA396/2147483647)</x:f>
        <x:v>1150.7324316364763</x:v>
      </x:c>
      <x:c r="AD396" s="17" t="n">
        <x:f>IF('Control Room'!$B$5="Normal",'Control Room'!$B$7,('Control Room'!$B$8+'Control Room'!$D$8)/2)+'Control Room'!$B$9*(AD395-IF('Control Room'!$B$5="Normal",'Control Room'!$B$7,('Control Room'!$B$8+'Control Room'!$D$8)/2))+SQRT(1-'Control Room'!$B$9^2)*(AC396-IF('Control Room'!$B$5="Normal",'Control Room'!$B$7,('Control Room'!$B$8+'Control Room'!$D$8)/2))</x:f>
        <x:v>1095.4831793231285</x:v>
      </x:c>
      <x:c r="AE396" s="17" t="n">
        <x:f>IF(AND($A396&gt;='Control Room'!$A$13,$A396&lt;'Control Room'!$A$13+'Control Room'!$B$13,'Process'!BP2=1),1+('Control Room'!$C$13-1)*EXP(-0.5*(($A396-'Control Room'!$A$13-('Control Room'!$B$13-1)/2)/MAX(0.5,'Control Room'!$B$13/4))^2),1)*IF(AND($A396&gt;='Control Room'!$A$14,$A396&lt;'Control Room'!$A$14+'Control Room'!$B$14,'Process'!BP3=1),1+('Control Room'!$C$14-1)*EXP(-0.5*(($A396-'Control Room'!$A$14-('Control Room'!$B$14-1)/2)/MAX(0.5,'Control Room'!$B$14/4))^2),1)*IF(AND($A396&gt;='Control Room'!$A$15,$A396&lt;'Control Room'!$A$15+'Control Room'!$B$15,'Process'!BP4=1),1+('Control Room'!$C$15-1)*EXP(-0.5*(($A396-'Control Room'!$A$15-('Control Room'!$B$15-1)/2)/MAX(0.5,'Control Room'!$B$15/4))^2),1)*IF(AND($A396&gt;='Control Room'!$A$16,$A396&lt;'Control Room'!$A$16+'Control Room'!$B$16,'Process'!BP5=1),1+('Control Room'!$C$16-1)*EXP(-0.5*(($A396-'Control Room'!$A$16-('Control Room'!$B$16-1)/2)/MAX(0.5,'Control Room'!$B$16/4))^2),1)</x:f>
        <x:v>1</x:v>
      </x:c>
      <x:c r="AF396" s="9" t="n">
        <x:f>MOD(AG395*16807,2147483647)</x:f>
        <x:v>1123685656</x:v>
      </x:c>
      <x:c r="AG396" s="9" t="n">
        <x:f>MOD(AF396*16807,2147483647)</x:f>
        <x:v>813628674</x:v>
      </x:c>
      <x:c r="AH396" s="17" t="n">
        <x:f>IF('Control Room'!$B$5="Normal",'Control Room'!$B$7+'Control Room'!$D$7*SQRT(-2*LN(MAX(0.000000000001,AF396/2147483647)))*COS(2*PI()*AG396/2147483647),'Control Room'!$B$8+('Control Room'!$D$8-'Control Room'!$B$8)*AF396/2147483647)</x:f>
        <x:v>925.827112067775</x:v>
      </x:c>
      <x:c r="AI396" s="17" t="n">
        <x:f>IF('Control Room'!$B$5="Normal",'Control Room'!$B$7,('Control Room'!$B$8+'Control Room'!$D$8)/2)+'Control Room'!$B$9*(AI395-IF('Control Room'!$B$5="Normal",'Control Room'!$B$7,('Control Room'!$B$8+'Control Room'!$D$8)/2))+SQRT(1-'Control Room'!$B$9^2)*(AH396-IF('Control Room'!$B$5="Normal",'Control Room'!$B$7,('Control Room'!$B$8+'Control Room'!$D$8)/2))</x:f>
        <x:v>983.4513027453502</x:v>
      </x:c>
      <x:c r="AJ396" s="17" t="n">
        <x:f>IF(AND($A396&gt;='Control Room'!$A$13,$A396&lt;'Control Room'!$A$13+'Control Room'!$B$13,'Process'!BQ2=1),1+('Control Room'!$C$13-1)*EXP(-0.5*(($A396-'Control Room'!$A$13-('Control Room'!$B$13-1)/2)/MAX(0.5,'Control Room'!$B$13/4))^2),1)*IF(AND($A396&gt;='Control Room'!$A$14,$A396&lt;'Control Room'!$A$14+'Control Room'!$B$14,'Process'!BQ3=1),1+('Control Room'!$C$14-1)*EXP(-0.5*(($A396-'Control Room'!$A$14-('Control Room'!$B$14-1)/2)/MAX(0.5,'Control Room'!$B$14/4))^2),1)*IF(AND($A396&gt;='Control Room'!$A$15,$A396&lt;'Control Room'!$A$15+'Control Room'!$B$15,'Process'!BQ4=1),1+('Control Room'!$C$15-1)*EXP(-0.5*(($A396-'Control Room'!$A$15-('Control Room'!$B$15-1)/2)/MAX(0.5,'Control Room'!$B$15/4))^2),1)*IF(AND($A396&gt;='Control Room'!$A$16,$A396&lt;'Control Room'!$A$16+'Control Room'!$B$16,'Process'!BQ5=1),1+('Control Room'!$C$16-1)*EXP(-0.5*(($A396-'Control Room'!$A$16-('Control Room'!$B$16-1)/2)/MAX(0.5,'Control Room'!$B$16/4))^2),1)</x:f>
        <x:v>1</x:v>
      </x:c>
      <x:c r="AK396" s="9" t="n">
        <x:f>MOD(AL395*16807,2147483647)</x:f>
        <x:v>1801321977</x:v>
      </x:c>
      <x:c r="AL396" s="9" t="n">
        <x:f>MOD(AK396*16807,2147483647)</x:f>
        <x:v>1741495680</x:v>
      </x:c>
      <x:c r="AM396" s="17" t="n">
        <x:f>IF('Control Room'!$B$5="Normal",'Control Room'!$B$7+'Control Room'!$D$7*SQRT(-2*LN(MAX(0.000000000001,AK396/2147483647)))*COS(2*PI()*AL396/2147483647),'Control Room'!$B$8+('Control Room'!$D$8-'Control Room'!$B$8)*AK396/2147483647)</x:f>
        <x:v>1019.9390016266867</x:v>
      </x:c>
      <x:c r="AN396" s="17" t="n">
        <x:f>IF('Control Room'!$B$5="Normal",'Control Room'!$B$7,('Control Room'!$B$8+'Control Room'!$D$8)/2)+'Control Room'!$B$9*(AN395-IF('Control Room'!$B$5="Normal",'Control Room'!$B$7,('Control Room'!$B$8+'Control Room'!$D$8)/2))+SQRT(1-'Control Room'!$B$9^2)*(AM396-IF('Control Room'!$B$5="Normal",'Control Room'!$B$7,('Control Room'!$B$8+'Control Room'!$D$8)/2))</x:f>
        <x:v>984.1678924167645</x:v>
      </x:c>
      <x:c r="AO396" s="17" t="n">
        <x:f>IF(AND($A396&gt;='Control Room'!$A$13,$A396&lt;'Control Room'!$A$13+'Control Room'!$B$13,'Process'!BR2=1),1+('Control Room'!$C$13-1)*EXP(-0.5*(($A396-'Control Room'!$A$13-('Control Room'!$B$13-1)/2)/MAX(0.5,'Control Room'!$B$13/4))^2),1)*IF(AND($A396&gt;='Control Room'!$A$14,$A396&lt;'Control Room'!$A$14+'Control Room'!$B$14,'Process'!BR3=1),1+('Control Room'!$C$14-1)*EXP(-0.5*(($A396-'Control Room'!$A$14-('Control Room'!$B$14-1)/2)/MAX(0.5,'Control Room'!$B$14/4))^2),1)*IF(AND($A396&gt;='Control Room'!$A$15,$A396&lt;'Control Room'!$A$15+'Control Room'!$B$15,'Process'!BR4=1),1+('Control Room'!$C$15-1)*EXP(-0.5*(($A396-'Control Room'!$A$15-('Control Room'!$B$15-1)/2)/MAX(0.5,'Control Room'!$B$15/4))^2),1)*IF(AND($A396&gt;='Control Room'!$A$16,$A396&lt;'Control Room'!$A$16+'Control Room'!$B$16,'Process'!BR5=1),1+('Control Room'!$C$16-1)*EXP(-0.5*(($A396-'Control Room'!$A$16-('Control Room'!$B$16-1)/2)/MAX(0.5,'Control Room'!$B$16/4))^2),1)</x:f>
        <x:v>1</x:v>
      </x:c>
      <x:c r="AP396" s="9" t="n">
        <x:f>MOD(AQ395*16807,2147483647)</x:f>
        <x:v>331474651</x:v>
      </x:c>
      <x:c r="AQ396" s="9" t="n">
        <x:f>MOD(AP396*16807,2147483647)</x:f>
        <x:v>521879039</x:v>
      </x:c>
      <x:c r="AR396" s="17" t="n">
        <x:f>IF('Control Room'!$B$5="Normal",'Control Room'!$B$7+'Control Room'!$D$7*SQRT(-2*LN(MAX(0.000000000001,AP396/2147483647)))*COS(2*PI()*AQ396/2147483647),'Control Room'!$B$8+('Control Room'!$D$8-'Control Room'!$B$8)*AP396/2147483647)</x:f>
        <x:v>1007.629055162636</x:v>
      </x:c>
      <x:c r="AS396" s="17" t="n">
        <x:f>IF('Control Room'!$B$5="Normal",'Control Room'!$B$7,('Control Room'!$B$8+'Control Room'!$D$8)/2)+'Control Room'!$B$9*(AS395-IF('Control Room'!$B$5="Normal",'Control Room'!$B$7,('Control Room'!$B$8+'Control Room'!$D$8)/2))+SQRT(1-'Control Room'!$B$9^2)*(AR396-IF('Control Room'!$B$5="Normal",'Control Room'!$B$7,('Control Room'!$B$8+'Control Room'!$D$8)/2))</x:f>
        <x:v>963.8600171098151</x:v>
      </x:c>
      <x:c r="AT396" s="17" t="n">
        <x:f>IF(AND($A396&gt;='Control Room'!$A$13,$A396&lt;'Control Room'!$A$13+'Control Room'!$B$13,'Process'!BS2=1),1+('Control Room'!$C$13-1)*EXP(-0.5*(($A396-'Control Room'!$A$13-('Control Room'!$B$13-1)/2)/MAX(0.5,'Control Room'!$B$13/4))^2),1)*IF(AND($A396&gt;='Control Room'!$A$14,$A396&lt;'Control Room'!$A$14+'Control Room'!$B$14,'Process'!BS3=1),1+('Control Room'!$C$14-1)*EXP(-0.5*(($A396-'Control Room'!$A$14-('Control Room'!$B$14-1)/2)/MAX(0.5,'Control Room'!$B$14/4))^2),1)*IF(AND($A396&gt;='Control Room'!$A$15,$A396&lt;'Control Room'!$A$15+'Control Room'!$B$15,'Process'!BS4=1),1+('Control Room'!$C$15-1)*EXP(-0.5*(($A396-'Control Room'!$A$15-('Control Room'!$B$15-1)/2)/MAX(0.5,'Control Room'!$B$15/4))^2),1)*IF(AND($A396&gt;='Control Room'!$A$16,$A396&lt;'Control Room'!$A$16+'Control Room'!$B$16,'Process'!BS5=1),1+('Control Room'!$C$16-1)*EXP(-0.5*(($A396-'Control Room'!$A$16-('Control Room'!$B$16-1)/2)/MAX(0.5,'Control Room'!$B$16/4))^2),1)</x:f>
        <x:v>1</x:v>
      </x:c>
      <x:c r="AU396" s="9" t="n">
        <x:f>MOD(AV395*16807,2147483647)</x:f>
        <x:v>1009110972</x:v>
      </x:c>
      <x:c r="AV396" s="9" t="n">
        <x:f>MOD(AU396*16807,2147483647)</x:f>
        <x:v>1449746045</x:v>
      </x:c>
      <x:c r="AW396" s="17" t="n">
        <x:f>IF('Control Room'!$B$5="Normal",'Control Room'!$B$7+'Control Room'!$D$7*SQRT(-2*LN(MAX(0.000000000001,AU396/2147483647)))*COS(2*PI()*AV396/2147483647),'Control Room'!$B$8+('Control Room'!$D$8-'Control Room'!$B$8)*AU396/2147483647)</x:f>
        <x:v>949.8400104678524</x:v>
      </x:c>
      <x:c r="AX396" s="17" t="n">
        <x:f>IF('Control Room'!$B$5="Normal",'Control Room'!$B$7,('Control Room'!$B$8+'Control Room'!$D$8)/2)+'Control Room'!$B$9*(AX395-IF('Control Room'!$B$5="Normal",'Control Room'!$B$7,('Control Room'!$B$8+'Control Room'!$D$8)/2))+SQRT(1-'Control Room'!$B$9^2)*(AW396-IF('Control Room'!$B$5="Normal",'Control Room'!$B$7,('Control Room'!$B$8+'Control Room'!$D$8)/2))</x:f>
        <x:v>911.0409961659118</x:v>
      </x:c>
      <x:c r="AY396" s="17" t="n">
        <x:f>IF(AND($A396&gt;='Control Room'!$A$13,$A396&lt;'Control Room'!$A$13+'Control Room'!$B$13,'Process'!BT2=1),1+('Control Room'!$C$13-1)*EXP(-0.5*(($A396-'Control Room'!$A$13-('Control Room'!$B$13-1)/2)/MAX(0.5,'Control Room'!$B$13/4))^2),1)*IF(AND($A396&gt;='Control Room'!$A$14,$A396&lt;'Control Room'!$A$14+'Control Room'!$B$14,'Process'!BT3=1),1+('Control Room'!$C$14-1)*EXP(-0.5*(($A396-'Control Room'!$A$14-('Control Room'!$B$14-1)/2)/MAX(0.5,'Control Room'!$B$14/4))^2),1)*IF(AND($A396&gt;='Control Room'!$A$15,$A396&lt;'Control Room'!$A$15+'Control Room'!$B$15,'Process'!BT4=1),1+('Control Room'!$C$15-1)*EXP(-0.5*(($A396-'Control Room'!$A$15-('Control Room'!$B$15-1)/2)/MAX(0.5,'Control Room'!$B$15/4))^2),1)*IF(AND($A396&gt;='Control Room'!$A$16,$A396&lt;'Control Room'!$A$16+'Control Room'!$B$16,'Process'!BT5=1),1+('Control Room'!$C$16-1)*EXP(-0.5*(($A396-'Control Room'!$A$16-('Control Room'!$B$16-1)/2)/MAX(0.5,'Control Room'!$B$16/4))^2),1)</x:f>
        <x:v>1</x:v>
      </x:c>
      <x:c r="AZ396" s="9" t="n">
        <x:f>MOD(BA395*16807,2147483647)</x:f>
        <x:v>1686747293</x:v>
      </x:c>
      <x:c r="BA396" s="9" t="n">
        <x:f>MOD(AZ396*16807,2147483647)</x:f>
        <x:v>230129404</x:v>
      </x:c>
      <x:c r="BB396" s="17" t="n">
        <x:f>IF('Control Room'!$B$5="Normal",'Control Room'!$B$7+'Control Room'!$D$7*SQRT(-2*LN(MAX(0.000000000001,AZ396/2147483647)))*COS(2*PI()*BA396/2147483647),'Control Room'!$B$8+('Control Room'!$D$8-'Control Room'!$B$8)*AZ396/2147483647)</x:f>
        <x:v>1048.8969857194181</x:v>
      </x:c>
      <x:c r="BC396" s="17" t="n">
        <x:f>IF('Control Room'!$B$5="Normal",'Control Room'!$B$7,('Control Room'!$B$8+'Control Room'!$D$8)/2)+'Control Room'!$B$9*(BC395-IF('Control Room'!$B$5="Normal",'Control Room'!$B$7,('Control Room'!$B$8+'Control Room'!$D$8)/2))+SQRT(1-'Control Room'!$B$9^2)*(BB396-IF('Control Room'!$B$5="Normal",'Control Room'!$B$7,('Control Room'!$B$8+'Control Room'!$D$8)/2))</x:f>
        <x:v>1045.2180879458413</x:v>
      </x:c>
      <x:c r="BD396" s="17" t="n">
        <x:f>IF(AND($A396&gt;='Control Room'!$A$13,$A396&lt;'Control Room'!$A$13+'Control Room'!$B$13,'Process'!BU2=1),1+('Control Room'!$C$13-1)*EXP(-0.5*(($A396-'Control Room'!$A$13-('Control Room'!$B$13-1)/2)/MAX(0.5,'Control Room'!$B$13/4))^2),1)*IF(AND($A396&gt;='Control Room'!$A$14,$A396&lt;'Control Room'!$A$14+'Control Room'!$B$14,'Process'!BU3=1),1+('Control Room'!$C$14-1)*EXP(-0.5*(($A396-'Control Room'!$A$14-('Control Room'!$B$14-1)/2)/MAX(0.5,'Control Room'!$B$14/4))^2),1)*IF(AND($A396&gt;='Control Room'!$A$15,$A396&lt;'Control Room'!$A$15+'Control Room'!$B$15,'Process'!BU4=1),1+('Control Room'!$C$15-1)*EXP(-0.5*(($A396-'Control Room'!$A$15-('Control Room'!$B$15-1)/2)/MAX(0.5,'Control Room'!$B$15/4))^2),1)*IF(AND($A396&gt;='Control Room'!$A$16,$A396&lt;'Control Room'!$A$16+'Control Room'!$B$16,'Process'!BU5=1),1+('Control Room'!$C$16-1)*EXP(-0.5*(($A396-'Control Room'!$A$16-('Control Room'!$B$16-1)/2)/MAX(0.5,'Control Room'!$B$16/4))^2),1)</x:f>
        <x:v>1</x:v>
      </x:c>
      <x:c r="BE396" s="9" t="n">
        <x:f>MOD(BF395*16807,2147483647)</x:f>
        <x:v>216899967</x:v>
      </x:c>
      <x:c r="BF396" s="9" t="n">
        <x:f>MOD(BE396*16807,2147483647)</x:f>
        <x:v>1157996410</x:v>
      </x:c>
      <x:c r="BG396" s="17" t="n">
        <x:f>IF('Control Room'!$B$5="Normal",'Control Room'!$B$7+'Control Room'!$D$7*SQRT(-2*LN(MAX(0.000000000001,BE396/2147483647)))*COS(2*PI()*BF396/2147483647),'Control Room'!$B$8+('Control Room'!$D$8-'Control Room'!$B$8)*BE396/2147483647)</x:f>
        <x:v>813.1077412374085</x:v>
      </x:c>
      <x:c r="BH396" s="17" t="n">
        <x:f>IF('Control Room'!$B$5="Normal",'Control Room'!$B$7,('Control Room'!$B$8+'Control Room'!$D$8)/2)+'Control Room'!$B$9*(BH395-IF('Control Room'!$B$5="Normal",'Control Room'!$B$7,('Control Room'!$B$8+'Control Room'!$D$8)/2))+SQRT(1-'Control Room'!$B$9^2)*(BG396-IF('Control Room'!$B$5="Normal",'Control Room'!$B$7,('Control Room'!$B$8+'Control Room'!$D$8)/2))</x:f>
        <x:v>840.5311407421655</x:v>
      </x:c>
      <x:c r="BI396" s="17" t="n">
        <x:f>IF(AND($A396&gt;='Control Room'!$A$13,$A396&lt;'Control Room'!$A$13+'Control Room'!$B$13,'Process'!BV2=1),1+('Control Room'!$C$13-1)*EXP(-0.5*(($A396-'Control Room'!$A$13-('Control Room'!$B$13-1)/2)/MAX(0.5,'Control Room'!$B$13/4))^2),1)*IF(AND($A396&gt;='Control Room'!$A$14,$A396&lt;'Control Room'!$A$14+'Control Room'!$B$14,'Process'!BV3=1),1+('Control Room'!$C$14-1)*EXP(-0.5*(($A396-'Control Room'!$A$14-('Control Room'!$B$14-1)/2)/MAX(0.5,'Control Room'!$B$14/4))^2),1)*IF(AND($A396&gt;='Control Room'!$A$15,$A396&lt;'Control Room'!$A$15+'Control Room'!$B$15,'Process'!BV4=1),1+('Control Room'!$C$15-1)*EXP(-0.5*(($A396-'Control Room'!$A$15-('Control Room'!$B$15-1)/2)/MAX(0.5,'Control Room'!$B$15/4))^2),1)*IF(AND($A396&gt;='Control Room'!$A$16,$A396&lt;'Control Room'!$A$16+'Control Room'!$B$16,'Process'!BV5=1),1+('Control Room'!$C$16-1)*EXP(-0.5*(($A396-'Control Room'!$A$16-('Control Room'!$B$16-1)/2)/MAX(0.5,'Control Room'!$B$16/4))^2),1)</x:f>
        <x:v>1</x:v>
      </x:c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Z396" t="str">
        <x:f>IF('Data'!A396="","",TEXT('Data'!A396,"mm-dd"))</x:f>
      </x:c>
    </x:row>
    <x:row r="397" ht="21" customHeight="1">
      <x:c r="A397" s="15" t="n">
        <x:f>'Control Room'!$B$1+395</x:f>
        <x:v>73386</x:v>
      </x:c>
      <x:c r="B397" s="9" t="n">
        <x:f>MOD(C396*16807,2147483647)</x:f>
        <x:v>1674107854</x:v>
      </x:c>
      <x:c r="C397" s="9" t="n">
        <x:f>MOD(B397*16807,2147483647)</x:f>
        <x:v>399959184</x:v>
      </x:c>
      <x:c r="D397" s="17" t="n">
        <x:f>IF('Control Room'!$B$5="Normal",'Control Room'!$B$7+'Control Room'!$D$7*SQRT(-2*LN(MAX(0.000000000001,B397/2147483647)))*COS(2*PI()*C397/2147483647),'Control Room'!$B$8+('Control Room'!$D$8-'Control Room'!$B$8)*B397/2147483647)</x:f>
        <x:v>1024.7676308004773</x:v>
      </x:c>
      <x:c r="E397" s="17" t="n">
        <x:f>IF('Control Room'!$B$5="Normal",'Control Room'!$B$7,('Control Room'!$B$8+'Control Room'!$D$8)/2)+'Control Room'!$B$9*(E396-IF('Control Room'!$B$5="Normal",'Control Room'!$B$7,('Control Room'!$B$8+'Control Room'!$D$8)/2))+SQRT(1-'Control Room'!$B$9^2)*(D397-IF('Control Room'!$B$5="Normal",'Control Room'!$B$7,('Control Room'!$B$8+'Control Room'!$D$8)/2))</x:f>
        <x:v>988.1399347873705</x:v>
      </x:c>
      <x:c r="F397" s="17" t="n">
        <x:f>IF(AND($A397&gt;='Control Room'!$A$13,$A397&lt;'Control Room'!$A$13+'Control Room'!$B$13,'Process'!BK2=1),1+('Control Room'!$C$13-1)*EXP(-0.5*(($A397-'Control Room'!$A$13-('Control Room'!$B$13-1)/2)/MAX(0.5,'Control Room'!$B$13/4))^2),1)*IF(AND($A397&gt;='Control Room'!$A$14,$A397&lt;'Control Room'!$A$14+'Control Room'!$B$14,'Process'!BK3=1),1+('Control Room'!$C$14-1)*EXP(-0.5*(($A397-'Control Room'!$A$14-('Control Room'!$B$14-1)/2)/MAX(0.5,'Control Room'!$B$14/4))^2),1)*IF(AND($A397&gt;='Control Room'!$A$15,$A397&lt;'Control Room'!$A$15+'Control Room'!$B$15,'Process'!BK4=1),1+('Control Room'!$C$15-1)*EXP(-0.5*(($A397-'Control Room'!$A$15-('Control Room'!$B$15-1)/2)/MAX(0.5,'Control Room'!$B$15/4))^2),1)*IF(AND($A397&gt;='Control Room'!$A$16,$A397&lt;'Control Room'!$A$16+'Control Room'!$B$16,'Process'!BK5=1),1+('Control Room'!$C$16-1)*EXP(-0.5*(($A397-'Control Room'!$A$16-('Control Room'!$B$16-1)/2)/MAX(0.5,'Control Room'!$B$16/4))^2),1)</x:f>
        <x:v>1</x:v>
      </x:c>
      <x:c r="G397" s="9" t="n">
        <x:f>MOD(H396*16807,2147483647)</x:f>
        <x:v>1308633182</x:v>
      </x:c>
      <x:c r="H397" s="9" t="n">
        <x:f>MOD(G397*16807,2147483647)</x:f>
        <x:v>1817860947</x:v>
      </x:c>
      <x:c r="I397" s="17" t="n">
        <x:f>IF('Control Room'!$B$5="Normal",'Control Room'!$B$7+'Control Room'!$D$7*SQRT(-2*LN(MAX(0.000000000001,G397/2147483647)))*COS(2*PI()*H397/2147483647),'Control Room'!$B$8+('Control Room'!$D$8-'Control Room'!$B$8)*G397/2147483647)</x:f>
        <x:v>1051.0493364877984</x:v>
      </x:c>
      <x:c r="J397" s="17" t="n">
        <x:f>IF('Control Room'!$B$5="Normal",'Control Room'!$B$7,('Control Room'!$B$8+'Control Room'!$D$8)/2)+'Control Room'!$B$9*(J396-IF('Control Room'!$B$5="Normal",'Control Room'!$B$7,('Control Room'!$B$8+'Control Room'!$D$8)/2))+SQRT(1-'Control Room'!$B$9^2)*(I397-IF('Control Room'!$B$5="Normal",'Control Room'!$B$7,('Control Room'!$B$8+'Control Room'!$D$8)/2))</x:f>
        <x:v>1106.7834448023473</x:v>
      </x:c>
      <x:c r="K397" s="17" t="n">
        <x:f>IF(AND($A397&gt;='Control Room'!$A$13,$A397&lt;'Control Room'!$A$13+'Control Room'!$B$13,'Process'!BL2=1),1+('Control Room'!$C$13-1)*EXP(-0.5*(($A397-'Control Room'!$A$13-('Control Room'!$B$13-1)/2)/MAX(0.5,'Control Room'!$B$13/4))^2),1)*IF(AND($A397&gt;='Control Room'!$A$14,$A397&lt;'Control Room'!$A$14+'Control Room'!$B$14,'Process'!BL3=1),1+('Control Room'!$C$14-1)*EXP(-0.5*(($A397-'Control Room'!$A$14-('Control Room'!$B$14-1)/2)/MAX(0.5,'Control Room'!$B$14/4))^2),1)*IF(AND($A397&gt;='Control Room'!$A$15,$A397&lt;'Control Room'!$A$15+'Control Room'!$B$15,'Process'!BL4=1),1+('Control Room'!$C$15-1)*EXP(-0.5*(($A397-'Control Room'!$A$15-('Control Room'!$B$15-1)/2)/MAX(0.5,'Control Room'!$B$15/4))^2),1)*IF(AND($A397&gt;='Control Room'!$A$16,$A397&lt;'Control Room'!$A$16+'Control Room'!$B$16,'Process'!BL5=1),1+('Control Room'!$C$16-1)*EXP(-0.5*(($A397-'Control Room'!$A$16-('Control Room'!$B$16-1)/2)/MAX(0.5,'Control Room'!$B$16/4))^2),1)</x:f>
        <x:v>1</x:v>
      </x:c>
      <x:c r="L397" s="9" t="n">
        <x:f>MOD(M396*16807,2147483647)</x:f>
        <x:v>943158510</x:v>
      </x:c>
      <x:c r="M397" s="9" t="n">
        <x:f>MOD(L397*16807,2147483647)</x:f>
        <x:v>1088279063</x:v>
      </x:c>
      <x:c r="N397" s="17" t="n">
        <x:f>IF('Control Room'!$B$5="Normal",'Control Room'!$B$7+'Control Room'!$D$7*SQRT(-2*LN(MAX(0.000000000001,L397/2147483647)))*COS(2*PI()*M397/2147483647),'Control Room'!$B$8+('Control Room'!$D$8-'Control Room'!$B$8)*L397/2147483647)</x:f>
        <x:v>884.6503307107242</x:v>
      </x:c>
      <x:c r="O397" s="17" t="n">
        <x:f>IF('Control Room'!$B$5="Normal",'Control Room'!$B$7,('Control Room'!$B$8+'Control Room'!$D$8)/2)+'Control Room'!$B$9*(O396-IF('Control Room'!$B$5="Normal",'Control Room'!$B$7,('Control Room'!$B$8+'Control Room'!$D$8)/2))+SQRT(1-'Control Room'!$B$9^2)*(N397-IF('Control Room'!$B$5="Normal",'Control Room'!$B$7,('Control Room'!$B$8+'Control Room'!$D$8)/2))</x:f>
        <x:v>937.4065668730985</x:v>
      </x:c>
      <x:c r="P397" s="17" t="n">
        <x:f>IF(AND($A397&gt;='Control Room'!$A$13,$A397&lt;'Control Room'!$A$13+'Control Room'!$B$13,'Process'!BM2=1),1+('Control Room'!$C$13-1)*EXP(-0.5*(($A397-'Control Room'!$A$13-('Control Room'!$B$13-1)/2)/MAX(0.5,'Control Room'!$B$13/4))^2),1)*IF(AND($A397&gt;='Control Room'!$A$14,$A397&lt;'Control Room'!$A$14+'Control Room'!$B$14,'Process'!BM3=1),1+('Control Room'!$C$14-1)*EXP(-0.5*(($A397-'Control Room'!$A$14-('Control Room'!$B$14-1)/2)/MAX(0.5,'Control Room'!$B$14/4))^2),1)*IF(AND($A397&gt;='Control Room'!$A$15,$A397&lt;'Control Room'!$A$15+'Control Room'!$B$15,'Process'!BM4=1),1+('Control Room'!$C$15-1)*EXP(-0.5*(($A397-'Control Room'!$A$15-('Control Room'!$B$15-1)/2)/MAX(0.5,'Control Room'!$B$15/4))^2),1)*IF(AND($A397&gt;='Control Room'!$A$16,$A397&lt;'Control Room'!$A$16+'Control Room'!$B$16,'Process'!BM5=1),1+('Control Room'!$C$16-1)*EXP(-0.5*(($A397-'Control Room'!$A$16-('Control Room'!$B$16-1)/2)/MAX(0.5,'Control Room'!$B$16/4))^2),1)</x:f>
        <x:v>1</x:v>
      </x:c>
      <x:c r="Q397" s="9" t="n">
        <x:f>MOD(R396*16807,2147483647)</x:f>
        <x:v>577683838</x:v>
      </x:c>
      <x:c r="R397" s="9" t="n">
        <x:f>MOD(Q397*16807,2147483647)</x:f>
        <x:v>358697179</x:v>
      </x:c>
      <x:c r="S397" s="17" t="n">
        <x:f>IF('Control Room'!$B$5="Normal",'Control Room'!$B$7+'Control Room'!$D$7*SQRT(-2*LN(MAX(0.000000000001,Q397/2147483647)))*COS(2*PI()*R397/2147483647),'Control Room'!$B$8+('Control Room'!$D$8-'Control Room'!$B$8)*Q397/2147483647)</x:f>
        <x:v>1072.6332840007678</x:v>
      </x:c>
      <x:c r="T397" s="17" t="n">
        <x:f>IF('Control Room'!$B$5="Normal",'Control Room'!$B$7,('Control Room'!$B$8+'Control Room'!$D$8)/2)+'Control Room'!$B$9*(T396-IF('Control Room'!$B$5="Normal",'Control Room'!$B$7,('Control Room'!$B$8+'Control Room'!$D$8)/2))+SQRT(1-'Control Room'!$B$9^2)*(S397-IF('Control Room'!$B$5="Normal",'Control Room'!$B$7,('Control Room'!$B$8+'Control Room'!$D$8)/2))</x:f>
        <x:v>1107.7415688554809</x:v>
      </x:c>
      <x:c r="U397" s="17" t="n">
        <x:f>IF(AND($A397&gt;='Control Room'!$A$13,$A397&lt;'Control Room'!$A$13+'Control Room'!$B$13,'Process'!BN2=1),1+('Control Room'!$C$13-1)*EXP(-0.5*(($A397-'Control Room'!$A$13-('Control Room'!$B$13-1)/2)/MAX(0.5,'Control Room'!$B$13/4))^2),1)*IF(AND($A397&gt;='Control Room'!$A$14,$A397&lt;'Control Room'!$A$14+'Control Room'!$B$14,'Process'!BN3=1),1+('Control Room'!$C$14-1)*EXP(-0.5*(($A397-'Control Room'!$A$14-('Control Room'!$B$14-1)/2)/MAX(0.5,'Control Room'!$B$14/4))^2),1)*IF(AND($A397&gt;='Control Room'!$A$15,$A397&lt;'Control Room'!$A$15+'Control Room'!$B$15,'Process'!BN4=1),1+('Control Room'!$C$15-1)*EXP(-0.5*(($A397-'Control Room'!$A$15-('Control Room'!$B$15-1)/2)/MAX(0.5,'Control Room'!$B$15/4))^2),1)*IF(AND($A397&gt;='Control Room'!$A$16,$A397&lt;'Control Room'!$A$16+'Control Room'!$B$16,'Process'!BN5=1),1+('Control Room'!$C$16-1)*EXP(-0.5*(($A397-'Control Room'!$A$16-('Control Room'!$B$16-1)/2)/MAX(0.5,'Control Room'!$B$16/4))^2),1)</x:f>
        <x:v>1</x:v>
      </x:c>
      <x:c r="V397" s="9" t="n">
        <x:f>MOD(W396*16807,2147483647)</x:f>
        <x:v>212209166</x:v>
      </x:c>
      <x:c r="W397" s="9" t="n">
        <x:f>MOD(V397*16807,2147483647)</x:f>
        <x:v>1776598942</x:v>
      </x:c>
      <x:c r="X397" s="17" t="n">
        <x:f>IF('Control Room'!$B$5="Normal",'Control Room'!$B$7+'Control Room'!$D$7*SQRT(-2*LN(MAX(0.000000000001,V397/2147483647)))*COS(2*PI()*W397/2147483647),'Control Room'!$B$8+('Control Room'!$D$8-'Control Room'!$B$8)*V397/2147483647)</x:f>
        <x:v>1090.3853862838916</x:v>
      </x:c>
      <x:c r="Y397" s="17" t="n">
        <x:f>IF('Control Room'!$B$5="Normal",'Control Room'!$B$7,('Control Room'!$B$8+'Control Room'!$D$8)/2)+'Control Room'!$B$9*(Y396-IF('Control Room'!$B$5="Normal",'Control Room'!$B$7,('Control Room'!$B$8+'Control Room'!$D$8)/2))+SQRT(1-'Control Room'!$B$9^2)*(X397-IF('Control Room'!$B$5="Normal",'Control Room'!$B$7,('Control Room'!$B$8+'Control Room'!$D$8)/2))</x:f>
        <x:v>1059.7656479164864</x:v>
      </x:c>
      <x:c r="Z397" s="17" t="n">
        <x:f>IF(AND($A397&gt;='Control Room'!$A$13,$A397&lt;'Control Room'!$A$13+'Control Room'!$B$13,'Process'!BO2=1),1+('Control Room'!$C$13-1)*EXP(-0.5*(($A397-'Control Room'!$A$13-('Control Room'!$B$13-1)/2)/MAX(0.5,'Control Room'!$B$13/4))^2),1)*IF(AND($A397&gt;='Control Room'!$A$14,$A397&lt;'Control Room'!$A$14+'Control Room'!$B$14,'Process'!BO3=1),1+('Control Room'!$C$14-1)*EXP(-0.5*(($A397-'Control Room'!$A$14-('Control Room'!$B$14-1)/2)/MAX(0.5,'Control Room'!$B$14/4))^2),1)*IF(AND($A397&gt;='Control Room'!$A$15,$A397&lt;'Control Room'!$A$15+'Control Room'!$B$15,'Process'!BO4=1),1+('Control Room'!$C$15-1)*EXP(-0.5*(($A397-'Control Room'!$A$15-('Control Room'!$B$15-1)/2)/MAX(0.5,'Control Room'!$B$15/4))^2),1)*IF(AND($A397&gt;='Control Room'!$A$16,$A397&lt;'Control Room'!$A$16+'Control Room'!$B$16,'Process'!BO5=1),1+('Control Room'!$C$16-1)*EXP(-0.5*(($A397-'Control Room'!$A$16-('Control Room'!$B$16-1)/2)/MAX(0.5,'Control Room'!$B$16/4))^2),1)</x:f>
        <x:v>1</x:v>
      </x:c>
      <x:c r="AA397" s="9" t="n">
        <x:f>MOD(AB396*16807,2147483647)</x:f>
        <x:v>1994218141</x:v>
      </x:c>
      <x:c r="AB397" s="9" t="n">
        <x:f>MOD(AA397*16807,2147483647)</x:f>
        <x:v>1047017058</x:v>
      </x:c>
      <x:c r="AC397" s="17" t="n">
        <x:f>IF('Control Room'!$B$5="Normal",'Control Room'!$B$7+'Control Room'!$D$7*SQRT(-2*LN(MAX(0.000000000001,AA397/2147483647)))*COS(2*PI()*AB397/2147483647),'Control Room'!$B$8+('Control Room'!$D$8-'Control Room'!$B$8)*AA397/2147483647)</x:f>
        <x:v>965.4716772145309</x:v>
      </x:c>
      <x:c r="AD397" s="17" t="n">
        <x:f>IF('Control Room'!$B$5="Normal",'Control Room'!$B$7,('Control Room'!$B$8+'Control Room'!$D$8)/2)+'Control Room'!$B$9*(AD396-IF('Control Room'!$B$5="Normal",'Control Room'!$B$7,('Control Room'!$B$8+'Control Room'!$D$8)/2))+SQRT(1-'Control Room'!$B$9^2)*(AC397-IF('Control Room'!$B$5="Normal",'Control Room'!$B$7,('Control Room'!$B$8+'Control Room'!$D$8)/2))</x:f>
        <x:v>1052.8697628240338</x:v>
      </x:c>
      <x:c r="AE397" s="17" t="n">
        <x:f>IF(AND($A397&gt;='Control Room'!$A$13,$A397&lt;'Control Room'!$A$13+'Control Room'!$B$13,'Process'!BP2=1),1+('Control Room'!$C$13-1)*EXP(-0.5*(($A397-'Control Room'!$A$13-('Control Room'!$B$13-1)/2)/MAX(0.5,'Control Room'!$B$13/4))^2),1)*IF(AND($A397&gt;='Control Room'!$A$14,$A397&lt;'Control Room'!$A$14+'Control Room'!$B$14,'Process'!BP3=1),1+('Control Room'!$C$14-1)*EXP(-0.5*(($A397-'Control Room'!$A$14-('Control Room'!$B$14-1)/2)/MAX(0.5,'Control Room'!$B$14/4))^2),1)*IF(AND($A397&gt;='Control Room'!$A$15,$A397&lt;'Control Room'!$A$15+'Control Room'!$B$15,'Process'!BP4=1),1+('Control Room'!$C$15-1)*EXP(-0.5*(($A397-'Control Room'!$A$15-('Control Room'!$B$15-1)/2)/MAX(0.5,'Control Room'!$B$15/4))^2),1)*IF(AND($A397&gt;='Control Room'!$A$16,$A397&lt;'Control Room'!$A$16+'Control Room'!$B$16,'Process'!BP5=1),1+('Control Room'!$C$16-1)*EXP(-0.5*(($A397-'Control Room'!$A$16-('Control Room'!$B$16-1)/2)/MAX(0.5,'Control Room'!$B$16/4))^2),1)</x:f>
        <x:v>1</x:v>
      </x:c>
      <x:c r="AF397" s="9" t="n">
        <x:f>MOD(AG396*16807,2147483647)</x:f>
        <x:v>1628743469</x:v>
      </x:c>
      <x:c r="AG397" s="9" t="n">
        <x:f>MOD(AF397*16807,2147483647)</x:f>
        <x:v>317435174</x:v>
      </x:c>
      <x:c r="AH397" s="17" t="n">
        <x:f>IF('Control Room'!$B$5="Normal",'Control Room'!$B$7+'Control Room'!$D$7*SQRT(-2*LN(MAX(0.000000000001,AF397/2147483647)))*COS(2*PI()*AG397/2147483647),'Control Room'!$B$8+('Control Room'!$D$8-'Control Room'!$B$8)*AF397/2147483647)</x:f>
        <x:v>1040.0770202676122</x:v>
      </x:c>
      <x:c r="AI397" s="17" t="n">
        <x:f>IF('Control Room'!$B$5="Normal",'Control Room'!$B$7,('Control Room'!$B$8+'Control Room'!$D$8)/2)+'Control Room'!$B$9*(AI396-IF('Control Room'!$B$5="Normal",'Control Room'!$B$7,('Control Room'!$B$8+'Control Room'!$D$8)/2))+SQRT(1-'Control Room'!$B$9^2)*(AH397-IF('Control Room'!$B$5="Normal",'Control Room'!$B$7,('Control Room'!$B$8+'Control Room'!$D$8)/2))</x:f>
        <x:v>1012.1713944024582</x:v>
      </x:c>
      <x:c r="AJ397" s="17" t="n">
        <x:f>IF(AND($A397&gt;='Control Room'!$A$13,$A397&lt;'Control Room'!$A$13+'Control Room'!$B$13,'Process'!BQ2=1),1+('Control Room'!$C$13-1)*EXP(-0.5*(($A397-'Control Room'!$A$13-('Control Room'!$B$13-1)/2)/MAX(0.5,'Control Room'!$B$13/4))^2),1)*IF(AND($A397&gt;='Control Room'!$A$14,$A397&lt;'Control Room'!$A$14+'Control Room'!$B$14,'Process'!BQ3=1),1+('Control Room'!$C$14-1)*EXP(-0.5*(($A397-'Control Room'!$A$14-('Control Room'!$B$14-1)/2)/MAX(0.5,'Control Room'!$B$14/4))^2),1)*IF(AND($A397&gt;='Control Room'!$A$15,$A397&lt;'Control Room'!$A$15+'Control Room'!$B$15,'Process'!BQ4=1),1+('Control Room'!$C$15-1)*EXP(-0.5*(($A397-'Control Room'!$A$15-('Control Room'!$B$15-1)/2)/MAX(0.5,'Control Room'!$B$15/4))^2),1)*IF(AND($A397&gt;='Control Room'!$A$16,$A397&lt;'Control Room'!$A$16+'Control Room'!$B$16,'Process'!BQ5=1),1+('Control Room'!$C$16-1)*EXP(-0.5*(($A397-'Control Room'!$A$16-('Control Room'!$B$16-1)/2)/MAX(0.5,'Control Room'!$B$16/4))^2),1)</x:f>
        <x:v>1</x:v>
      </x:c>
      <x:c r="AK397" s="9" t="n">
        <x:f>MOD(AL396*16807,2147483647)</x:f>
        <x:v>1263268797</x:v>
      </x:c>
      <x:c r="AL397" s="9" t="n">
        <x:f>MOD(AK397*16807,2147483647)</x:f>
        <x:v>1735336937</x:v>
      </x:c>
      <x:c r="AM397" s="17" t="n">
        <x:f>IF('Control Room'!$B$5="Normal",'Control Room'!$B$7+'Control Room'!$D$7*SQRT(-2*LN(MAX(0.000000000001,AK397/2147483647)))*COS(2*PI()*AL397/2147483647),'Control Room'!$B$8+('Control Room'!$D$8-'Control Room'!$B$8)*AK397/2147483647)</x:f>
        <x:v>1033.0869890977767</x:v>
      </x:c>
      <x:c r="AN397" s="17" t="n">
        <x:f>IF('Control Room'!$B$5="Normal",'Control Room'!$B$7,('Control Room'!$B$8+'Control Room'!$D$8)/2)+'Control Room'!$B$9*(AN396-IF('Control Room'!$B$5="Normal",'Control Room'!$B$7,('Control Room'!$B$8+'Control Room'!$D$8)/2))+SQRT(1-'Control Room'!$B$9^2)*(AM397-IF('Control Room'!$B$5="Normal",'Control Room'!$B$7,('Control Room'!$B$8+'Control Room'!$D$8)/2))</x:f>
        <x:v>1008.3561160386504</x:v>
      </x:c>
      <x:c r="AO397" s="17" t="n">
        <x:f>IF(AND($A397&gt;='Control Room'!$A$13,$A397&lt;'Control Room'!$A$13+'Control Room'!$B$13,'Process'!BR2=1),1+('Control Room'!$C$13-1)*EXP(-0.5*(($A397-'Control Room'!$A$13-('Control Room'!$B$13-1)/2)/MAX(0.5,'Control Room'!$B$13/4))^2),1)*IF(AND($A397&gt;='Control Room'!$A$14,$A397&lt;'Control Room'!$A$14+'Control Room'!$B$14,'Process'!BR3=1),1+('Control Room'!$C$14-1)*EXP(-0.5*(($A397-'Control Room'!$A$14-('Control Room'!$B$14-1)/2)/MAX(0.5,'Control Room'!$B$14/4))^2),1)*IF(AND($A397&gt;='Control Room'!$A$15,$A397&lt;'Control Room'!$A$15+'Control Room'!$B$15,'Process'!BR4=1),1+('Control Room'!$C$15-1)*EXP(-0.5*(($A397-'Control Room'!$A$15-('Control Room'!$B$15-1)/2)/MAX(0.5,'Control Room'!$B$15/4))^2),1)*IF(AND($A397&gt;='Control Room'!$A$16,$A397&lt;'Control Room'!$A$16+'Control Room'!$B$16,'Process'!BR5=1),1+('Control Room'!$C$16-1)*EXP(-0.5*(($A397-'Control Room'!$A$16-('Control Room'!$B$16-1)/2)/MAX(0.5,'Control Room'!$B$16/4))^2),1)</x:f>
        <x:v>1</x:v>
      </x:c>
      <x:c r="AP397" s="9" t="n">
        <x:f>MOD(AQ396*16807,2147483647)</x:f>
        <x:v>897794125</x:v>
      </x:c>
      <x:c r="AQ397" s="9" t="n">
        <x:f>MOD(AP397*16807,2147483647)</x:f>
        <x:v>1005755053</x:v>
      </x:c>
      <x:c r="AR397" s="17" t="n">
        <x:f>IF('Control Room'!$B$5="Normal",'Control Room'!$B$7+'Control Room'!$D$7*SQRT(-2*LN(MAX(0.000000000001,AP397/2147483647)))*COS(2*PI()*AQ397/2147483647),'Control Room'!$B$8+('Control Room'!$D$8-'Control Room'!$B$8)*AP397/2147483647)</x:f>
        <x:v>883.4817349650533</x:v>
      </x:c>
      <x:c r="AS397" s="17" t="n">
        <x:f>IF('Control Room'!$B$5="Normal",'Control Room'!$B$7,('Control Room'!$B$8+'Control Room'!$D$8)/2)+'Control Room'!$B$9*(AS396-IF('Control Room'!$B$5="Normal",'Control Room'!$B$7,('Control Room'!$B$8+'Control Room'!$D$8)/2))+SQRT(1-'Control Room'!$B$9^2)*(AR397-IF('Control Room'!$B$5="Normal",'Control Room'!$B$7,('Control Room'!$B$8+'Control Room'!$D$8)/2))</x:f>
        <x:v>898.8960700931907</x:v>
      </x:c>
      <x:c r="AT397" s="17" t="n">
        <x:f>IF(AND($A397&gt;='Control Room'!$A$13,$A397&lt;'Control Room'!$A$13+'Control Room'!$B$13,'Process'!BS2=1),1+('Control Room'!$C$13-1)*EXP(-0.5*(($A397-'Control Room'!$A$13-('Control Room'!$B$13-1)/2)/MAX(0.5,'Control Room'!$B$13/4))^2),1)*IF(AND($A397&gt;='Control Room'!$A$14,$A397&lt;'Control Room'!$A$14+'Control Room'!$B$14,'Process'!BS3=1),1+('Control Room'!$C$14-1)*EXP(-0.5*(($A397-'Control Room'!$A$14-('Control Room'!$B$14-1)/2)/MAX(0.5,'Control Room'!$B$14/4))^2),1)*IF(AND($A397&gt;='Control Room'!$A$15,$A397&lt;'Control Room'!$A$15+'Control Room'!$B$15,'Process'!BS4=1),1+('Control Room'!$C$15-1)*EXP(-0.5*(($A397-'Control Room'!$A$15-('Control Room'!$B$15-1)/2)/MAX(0.5,'Control Room'!$B$15/4))^2),1)*IF(AND($A397&gt;='Control Room'!$A$16,$A397&lt;'Control Room'!$A$16+'Control Room'!$B$16,'Process'!BS5=1),1+('Control Room'!$C$16-1)*EXP(-0.5*(($A397-'Control Room'!$A$16-('Control Room'!$B$16-1)/2)/MAX(0.5,'Control Room'!$B$16/4))^2),1)</x:f>
        <x:v>1</x:v>
      </x:c>
      <x:c r="AU397" s="9" t="n">
        <x:f>MOD(AV396*16807,2147483647)</x:f>
        <x:v>532319453</x:v>
      </x:c>
      <x:c r="AV397" s="9" t="n">
        <x:f>MOD(AU397*16807,2147483647)</x:f>
        <x:v>276173169</x:v>
      </x:c>
      <x:c r="AW397" s="17" t="n">
        <x:f>IF('Control Room'!$B$5="Normal",'Control Room'!$B$7+'Control Room'!$D$7*SQRT(-2*LN(MAX(0.000000000001,AU397/2147483647)))*COS(2*PI()*AV397/2147483647),'Control Room'!$B$8+('Control Room'!$D$8-'Control Room'!$B$8)*AU397/2147483647)</x:f>
        <x:v>1103.85839807717</x:v>
      </x:c>
      <x:c r="AX397" s="17" t="n">
        <x:f>IF('Control Room'!$B$5="Normal",'Control Room'!$B$7,('Control Room'!$B$8+'Control Room'!$D$8)/2)+'Control Room'!$B$9*(AX396-IF('Control Room'!$B$5="Normal",'Control Room'!$B$7,('Control Room'!$B$8+'Control Room'!$D$8)/2))+SQRT(1-'Control Room'!$B$9^2)*(AW397-IF('Control Room'!$B$5="Normal",'Control Room'!$B$7,('Control Room'!$B$8+'Control Room'!$D$8)/2))</x:f>
        <x:v>995.6044348711713</x:v>
      </x:c>
      <x:c r="AY397" s="17" t="n">
        <x:f>IF(AND($A397&gt;='Control Room'!$A$13,$A397&lt;'Control Room'!$A$13+'Control Room'!$B$13,'Process'!BT2=1),1+('Control Room'!$C$13-1)*EXP(-0.5*(($A397-'Control Room'!$A$13-('Control Room'!$B$13-1)/2)/MAX(0.5,'Control Room'!$B$13/4))^2),1)*IF(AND($A397&gt;='Control Room'!$A$14,$A397&lt;'Control Room'!$A$14+'Control Room'!$B$14,'Process'!BT3=1),1+('Control Room'!$C$14-1)*EXP(-0.5*(($A397-'Control Room'!$A$14-('Control Room'!$B$14-1)/2)/MAX(0.5,'Control Room'!$B$14/4))^2),1)*IF(AND($A397&gt;='Control Room'!$A$15,$A397&lt;'Control Room'!$A$15+'Control Room'!$B$15,'Process'!BT4=1),1+('Control Room'!$C$15-1)*EXP(-0.5*(($A397-'Control Room'!$A$15-('Control Room'!$B$15-1)/2)/MAX(0.5,'Control Room'!$B$15/4))^2),1)*IF(AND($A397&gt;='Control Room'!$A$16,$A397&lt;'Control Room'!$A$16+'Control Room'!$B$16,'Process'!BT5=1),1+('Control Room'!$C$16-1)*EXP(-0.5*(($A397-'Control Room'!$A$16-('Control Room'!$B$16-1)/2)/MAX(0.5,'Control Room'!$B$16/4))^2),1)</x:f>
        <x:v>1</x:v>
      </x:c>
      <x:c r="AZ397" s="9" t="n">
        <x:f>MOD(BA396*16807,2147483647)</x:f>
        <x:v>166844781</x:v>
      </x:c>
      <x:c r="BA397" s="9" t="n">
        <x:f>MOD(AZ397*16807,2147483647)</x:f>
        <x:v>1694074932</x:v>
      </x:c>
      <x:c r="BB397" s="17" t="n">
        <x:f>IF('Control Room'!$B$5="Normal",'Control Room'!$B$7+'Control Room'!$D$7*SQRT(-2*LN(MAX(0.000000000001,AZ397/2147483647)))*COS(2*PI()*BA397/2147483647),'Control Room'!$B$8+('Control Room'!$D$8-'Control Room'!$B$8)*AZ397/2147483647)</x:f>
        <x:v>1049.1888694210202</x:v>
      </x:c>
      <x:c r="BC397" s="17" t="n">
        <x:f>IF('Control Room'!$B$5="Normal",'Control Room'!$B$7,('Control Room'!$B$8+'Control Room'!$D$8)/2)+'Control Room'!$B$9*(BC396-IF('Control Room'!$B$5="Normal",'Control Room'!$B$7,('Control Room'!$B$8+'Control Room'!$D$8)/2))+SQRT(1-'Control Room'!$B$9^2)*(BB397-IF('Control Room'!$B$5="Normal",'Control Room'!$B$7,('Control Room'!$B$8+'Control Room'!$D$8)/2))</x:f>
        <x:v>1066.051495392668</x:v>
      </x:c>
      <x:c r="BD397" s="17" t="n">
        <x:f>IF(AND($A397&gt;='Control Room'!$A$13,$A397&lt;'Control Room'!$A$13+'Control Room'!$B$13,'Process'!BU2=1),1+('Control Room'!$C$13-1)*EXP(-0.5*(($A397-'Control Room'!$A$13-('Control Room'!$B$13-1)/2)/MAX(0.5,'Control Room'!$B$13/4))^2),1)*IF(AND($A397&gt;='Control Room'!$A$14,$A397&lt;'Control Room'!$A$14+'Control Room'!$B$14,'Process'!BU3=1),1+('Control Room'!$C$14-1)*EXP(-0.5*(($A397-'Control Room'!$A$14-('Control Room'!$B$14-1)/2)/MAX(0.5,'Control Room'!$B$14/4))^2),1)*IF(AND($A397&gt;='Control Room'!$A$15,$A397&lt;'Control Room'!$A$15+'Control Room'!$B$15,'Process'!BU4=1),1+('Control Room'!$C$15-1)*EXP(-0.5*(($A397-'Control Room'!$A$15-('Control Room'!$B$15-1)/2)/MAX(0.5,'Control Room'!$B$15/4))^2),1)*IF(AND($A397&gt;='Control Room'!$A$16,$A397&lt;'Control Room'!$A$16+'Control Room'!$B$16,'Process'!BU5=1),1+('Control Room'!$C$16-1)*EXP(-0.5*(($A397-'Control Room'!$A$16-('Control Room'!$B$16-1)/2)/MAX(0.5,'Control Room'!$B$16/4))^2),1)</x:f>
        <x:v>1</x:v>
      </x:c>
      <x:c r="BE397" s="9" t="n">
        <x:f>MOD(BF396*16807,2147483647)</x:f>
        <x:v>1948853756</x:v>
      </x:c>
      <x:c r="BF397" s="9" t="n">
        <x:f>MOD(BE397*16807,2147483647)</x:f>
        <x:v>964493048</x:v>
      </x:c>
      <x:c r="BG397" s="17" t="n">
        <x:f>IF('Control Room'!$B$5="Normal",'Control Room'!$B$7+'Control Room'!$D$7*SQRT(-2*LN(MAX(0.000000000001,BE397/2147483647)))*COS(2*PI()*BF397/2147483647),'Control Room'!$B$8+('Control Room'!$D$8-'Control Room'!$B$8)*BE397/2147483647)</x:f>
        <x:v>962.3562876522257</x:v>
      </x:c>
      <x:c r="BH397" s="17" t="n">
        <x:f>IF('Control Room'!$B$5="Normal",'Control Room'!$B$7,('Control Room'!$B$8+'Control Room'!$D$8)/2)+'Control Room'!$B$9*(BH396-IF('Control Room'!$B$5="Normal",'Control Room'!$B$7,('Control Room'!$B$8+'Control Room'!$D$8)/2))+SQRT(1-'Control Room'!$B$9^2)*(BG397-IF('Control Room'!$B$5="Normal",'Control Room'!$B$7,('Control Room'!$B$8+'Control Room'!$D$8)/2))</x:f>
        <x:v>852.0576257650164</x:v>
      </x:c>
      <x:c r="BI397" s="17" t="n">
        <x:f>IF(AND($A397&gt;='Control Room'!$A$13,$A397&lt;'Control Room'!$A$13+'Control Room'!$B$13,'Process'!BV2=1),1+('Control Room'!$C$13-1)*EXP(-0.5*(($A397-'Control Room'!$A$13-('Control Room'!$B$13-1)/2)/MAX(0.5,'Control Room'!$B$13/4))^2),1)*IF(AND($A397&gt;='Control Room'!$A$14,$A397&lt;'Control Room'!$A$14+'Control Room'!$B$14,'Process'!BV3=1),1+('Control Room'!$C$14-1)*EXP(-0.5*(($A397-'Control Room'!$A$14-('Control Room'!$B$14-1)/2)/MAX(0.5,'Control Room'!$B$14/4))^2),1)*IF(AND($A397&gt;='Control Room'!$A$15,$A397&lt;'Control Room'!$A$15+'Control Room'!$B$15,'Process'!BV4=1),1+('Control Room'!$C$15-1)*EXP(-0.5*(($A397-'Control Room'!$A$15-('Control Room'!$B$15-1)/2)/MAX(0.5,'Control Room'!$B$15/4))^2),1)*IF(AND($A397&gt;='Control Room'!$A$16,$A397&lt;'Control Room'!$A$16+'Control Room'!$B$16,'Process'!BV5=1),1+('Control Room'!$C$16-1)*EXP(-0.5*(($A397-'Control Room'!$A$16-('Control Room'!$B$16-1)/2)/MAX(0.5,'Control Room'!$B$16/4))^2),1)</x:f>
        <x:v>1</x:v>
      </x:c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Z397" t="str">
        <x:f>IF('Data'!A397="","",TEXT('Data'!A397,"mm-dd"))</x:f>
      </x:c>
    </x:row>
    <x:row r="398" ht="21" customHeight="1">
      <x:c r="A398" s="15" t="n">
        <x:f>'Control Room'!$B$1+396</x:f>
        <x:v>73387</x:v>
      </x:c>
      <x:c r="B398" s="9" t="n">
        <x:f>MOD(C397*16807,2147483647)</x:f>
        <x:v>490190378</x:v>
      </x:c>
      <x:c r="C398" s="9" t="n">
        <x:f>MOD(B398*16807,2147483647)</x:f>
        <x:v>882413154</x:v>
      </x:c>
      <x:c r="D398" s="17" t="n">
        <x:f>IF('Control Room'!$B$5="Normal",'Control Room'!$B$7+'Control Room'!$D$7*SQRT(-2*LN(MAX(0.000000000001,B398/2147483647)))*COS(2*PI()*C398/2147483647),'Control Room'!$B$8+('Control Room'!$D$8-'Control Room'!$B$8)*B398/2147483647)</x:f>
        <x:v>868.9142904822163</x:v>
      </x:c>
      <x:c r="E398" s="17" t="n">
        <x:f>IF('Control Room'!$B$5="Normal",'Control Room'!$B$7,('Control Room'!$B$8+'Control Room'!$D$8)/2)+'Control Room'!$B$9*(E397-IF('Control Room'!$B$5="Normal",'Control Room'!$B$7,('Control Room'!$B$8+'Control Room'!$D$8)/2))+SQRT(1-'Control Room'!$B$9^2)*(D398-IF('Control Room'!$B$5="Normal",'Control Room'!$B$7,('Control Room'!$B$8+'Control Room'!$D$8)/2))</x:f>
        <x:v>908.7183975546459</x:v>
      </x:c>
      <x:c r="F398" s="17" t="n">
        <x:f>IF(AND($A398&gt;='Control Room'!$A$13,$A398&lt;'Control Room'!$A$13+'Control Room'!$B$13,'Process'!BK2=1),1+('Control Room'!$C$13-1)*EXP(-0.5*(($A398-'Control Room'!$A$13-('Control Room'!$B$13-1)/2)/MAX(0.5,'Control Room'!$B$13/4))^2),1)*IF(AND($A398&gt;='Control Room'!$A$14,$A398&lt;'Control Room'!$A$14+'Control Room'!$B$14,'Process'!BK3=1),1+('Control Room'!$C$14-1)*EXP(-0.5*(($A398-'Control Room'!$A$14-('Control Room'!$B$14-1)/2)/MAX(0.5,'Control Room'!$B$14/4))^2),1)*IF(AND($A398&gt;='Control Room'!$A$15,$A398&lt;'Control Room'!$A$15+'Control Room'!$B$15,'Process'!BK4=1),1+('Control Room'!$C$15-1)*EXP(-0.5*(($A398-'Control Room'!$A$15-('Control Room'!$B$15-1)/2)/MAX(0.5,'Control Room'!$B$15/4))^2),1)*IF(AND($A398&gt;='Control Room'!$A$16,$A398&lt;'Control Room'!$A$16+'Control Room'!$B$16,'Process'!BK5=1),1+('Control Room'!$C$16-1)*EXP(-0.5*(($A398-'Control Room'!$A$16-('Control Room'!$B$16-1)/2)/MAX(0.5,'Control Room'!$B$16/4))^2),1)</x:f>
        <x:v>1</x:v>
      </x:c>
      <x:c r="G398" s="9" t="n">
        <x:f>MOD(H397*16807,2147483647)</x:f>
        <x:v>539090360</x:v>
      </x:c>
      <x:c r="H398" s="9" t="n">
        <x:f>MOD(G398*16807,2147483647)</x:f>
        <x:v>258173827</x:v>
      </x:c>
      <x:c r="I398" s="17" t="n">
        <x:f>IF('Control Room'!$B$5="Normal",'Control Room'!$B$7+'Control Room'!$D$7*SQRT(-2*LN(MAX(0.000000000001,G398/2147483647)))*COS(2*PI()*H398/2147483647),'Control Room'!$B$8+('Control Room'!$D$8-'Control Room'!$B$8)*G398/2147483647)</x:f>
        <x:v>1108.9377419847576</x:v>
      </x:c>
      <x:c r="J398" s="17" t="n">
        <x:f>IF('Control Room'!$B$5="Normal",'Control Room'!$B$7,('Control Room'!$B$8+'Control Room'!$D$8)/2)+'Control Room'!$B$9*(J397-IF('Control Room'!$B$5="Normal",'Control Room'!$B$7,('Control Room'!$B$8+'Control Room'!$D$8)/2))+SQRT(1-'Control Room'!$B$9^2)*(I398-IF('Control Room'!$B$5="Normal",'Control Room'!$B$7,('Control Room'!$B$8+'Control Room'!$D$8)/2))</x:f>
        <x:v>1151.4620941689432</x:v>
      </x:c>
      <x:c r="K398" s="17" t="n">
        <x:f>IF(AND($A398&gt;='Control Room'!$A$13,$A398&lt;'Control Room'!$A$13+'Control Room'!$B$13,'Process'!BL2=1),1+('Control Room'!$C$13-1)*EXP(-0.5*(($A398-'Control Room'!$A$13-('Control Room'!$B$13-1)/2)/MAX(0.5,'Control Room'!$B$13/4))^2),1)*IF(AND($A398&gt;='Control Room'!$A$14,$A398&lt;'Control Room'!$A$14+'Control Room'!$B$14,'Process'!BL3=1),1+('Control Room'!$C$14-1)*EXP(-0.5*(($A398-'Control Room'!$A$14-('Control Room'!$B$14-1)/2)/MAX(0.5,'Control Room'!$B$14/4))^2),1)*IF(AND($A398&gt;='Control Room'!$A$15,$A398&lt;'Control Room'!$A$15+'Control Room'!$B$15,'Process'!BL4=1),1+('Control Room'!$C$15-1)*EXP(-0.5*(($A398-'Control Room'!$A$15-('Control Room'!$B$15-1)/2)/MAX(0.5,'Control Room'!$B$15/4))^2),1)*IF(AND($A398&gt;='Control Room'!$A$16,$A398&lt;'Control Room'!$A$16+'Control Room'!$B$16,'Process'!BL5=1),1+('Control Room'!$C$16-1)*EXP(-0.5*(($A398-'Control Room'!$A$16-('Control Room'!$B$16-1)/2)/MAX(0.5,'Control Room'!$B$16/4))^2),1)</x:f>
        <x:v>1</x:v>
      </x:c>
      <x:c r="L398" s="9" t="n">
        <x:f>MOD(M397*16807,2147483647)</x:f>
        <x:v>587990342</x:v>
      </x:c>
      <x:c r="M398" s="9" t="n">
        <x:f>MOD(L398*16807,2147483647)</x:f>
        <x:v>1781418147</x:v>
      </x:c>
      <x:c r="N398" s="17" t="n">
        <x:f>IF('Control Room'!$B$5="Normal",'Control Room'!$B$7+'Control Room'!$D$7*SQRT(-2*LN(MAX(0.000000000001,L398/2147483647)))*COS(2*PI()*M398/2147483647),'Control Room'!$B$8+('Control Room'!$D$8-'Control Room'!$B$8)*L398/2147483647)</x:f>
        <x:v>1069.4178149022493</x:v>
      </x:c>
      <x:c r="O398" s="17" t="n">
        <x:f>IF('Control Room'!$B$5="Normal",'Control Room'!$B$7,('Control Room'!$B$8+'Control Room'!$D$8)/2)+'Control Room'!$B$9*(O397-IF('Control Room'!$B$5="Normal",'Control Room'!$B$7,('Control Room'!$B$8+'Control Room'!$D$8)/2))+SQRT(1-'Control Room'!$B$9^2)*(N398-IF('Control Room'!$B$5="Normal",'Control Room'!$B$7,('Control Room'!$B$8+'Control Room'!$D$8)/2))</x:f>
        <x:v>994.6173686256082</x:v>
      </x:c>
      <x:c r="P398" s="17" t="n">
        <x:f>IF(AND($A398&gt;='Control Room'!$A$13,$A398&lt;'Control Room'!$A$13+'Control Room'!$B$13,'Process'!BM2=1),1+('Control Room'!$C$13-1)*EXP(-0.5*(($A398-'Control Room'!$A$13-('Control Room'!$B$13-1)/2)/MAX(0.5,'Control Room'!$B$13/4))^2),1)*IF(AND($A398&gt;='Control Room'!$A$14,$A398&lt;'Control Room'!$A$14+'Control Room'!$B$14,'Process'!BM3=1),1+('Control Room'!$C$14-1)*EXP(-0.5*(($A398-'Control Room'!$A$14-('Control Room'!$B$14-1)/2)/MAX(0.5,'Control Room'!$B$14/4))^2),1)*IF(AND($A398&gt;='Control Room'!$A$15,$A398&lt;'Control Room'!$A$15+'Control Room'!$B$15,'Process'!BM4=1),1+('Control Room'!$C$15-1)*EXP(-0.5*(($A398-'Control Room'!$A$15-('Control Room'!$B$15-1)/2)/MAX(0.5,'Control Room'!$B$15/4))^2),1)*IF(AND($A398&gt;='Control Room'!$A$16,$A398&lt;'Control Room'!$A$16+'Control Room'!$B$16,'Process'!BM5=1),1+('Control Room'!$C$16-1)*EXP(-0.5*(($A398-'Control Room'!$A$16-('Control Room'!$B$16-1)/2)/MAX(0.5,'Control Room'!$B$16/4))^2),1)</x:f>
        <x:v>1</x:v>
      </x:c>
      <x:c r="Q398" s="9" t="n">
        <x:f>MOD(R397*16807,2147483647)</x:f>
        <x:v>636890324</x:v>
      </x:c>
      <x:c r="R398" s="9" t="n">
        <x:f>MOD(Q398*16807,2147483647)</x:f>
        <x:v>1157178820</x:v>
      </x:c>
      <x:c r="S398" s="17" t="n">
        <x:f>IF('Control Room'!$B$5="Normal",'Control Room'!$B$7+'Control Room'!$D$7*SQRT(-2*LN(MAX(0.000000000001,Q398/2147483647)))*COS(2*PI()*R398/2147483647),'Control Room'!$B$8+('Control Room'!$D$8-'Control Room'!$B$8)*Q398/2147483647)</x:f>
        <x:v>863.8382452564374</x:v>
      </x:c>
      <x:c r="T398" s="17" t="n">
        <x:f>IF('Control Room'!$B$5="Normal",'Control Room'!$B$7,('Control Room'!$B$8+'Control Room'!$D$8)/2)+'Control Room'!$B$9*(T397-IF('Control Room'!$B$5="Normal",'Control Room'!$B$7,('Control Room'!$B$8+'Control Room'!$D$8)/2))+SQRT(1-'Control Room'!$B$9^2)*(S398-IF('Control Room'!$B$5="Normal",'Control Room'!$B$7,('Control Room'!$B$8+'Control Room'!$D$8)/2))</x:f>
        <x:v>998.8311870139183</x:v>
      </x:c>
      <x:c r="U398" s="17" t="n">
        <x:f>IF(AND($A398&gt;='Control Room'!$A$13,$A398&lt;'Control Room'!$A$13+'Control Room'!$B$13,'Process'!BN2=1),1+('Control Room'!$C$13-1)*EXP(-0.5*(($A398-'Control Room'!$A$13-('Control Room'!$B$13-1)/2)/MAX(0.5,'Control Room'!$B$13/4))^2),1)*IF(AND($A398&gt;='Control Room'!$A$14,$A398&lt;'Control Room'!$A$14+'Control Room'!$B$14,'Process'!BN3=1),1+('Control Room'!$C$14-1)*EXP(-0.5*(($A398-'Control Room'!$A$14-('Control Room'!$B$14-1)/2)/MAX(0.5,'Control Room'!$B$14/4))^2),1)*IF(AND($A398&gt;='Control Room'!$A$15,$A398&lt;'Control Room'!$A$15+'Control Room'!$B$15,'Process'!BN4=1),1+('Control Room'!$C$15-1)*EXP(-0.5*(($A398-'Control Room'!$A$15-('Control Room'!$B$15-1)/2)/MAX(0.5,'Control Room'!$B$15/4))^2),1)*IF(AND($A398&gt;='Control Room'!$A$16,$A398&lt;'Control Room'!$A$16+'Control Room'!$B$16,'Process'!BN5=1),1+('Control Room'!$C$16-1)*EXP(-0.5*(($A398-'Control Room'!$A$16-('Control Room'!$B$16-1)/2)/MAX(0.5,'Control Room'!$B$16/4))^2),1)</x:f>
        <x:v>1</x:v>
      </x:c>
      <x:c r="V398" s="9" t="n">
        <x:f>MOD(W397*16807,2147483647)</x:f>
        <x:v>685790306</x:v>
      </x:c>
      <x:c r="W398" s="9" t="n">
        <x:f>MOD(V398*16807,2147483647)</x:f>
        <x:v>532939493</x:v>
      </x:c>
      <x:c r="X398" s="17" t="n">
        <x:f>IF('Control Room'!$B$5="Normal",'Control Room'!$B$7+'Control Room'!$D$7*SQRT(-2*LN(MAX(0.000000000001,V398/2147483647)))*COS(2*PI()*W398/2147483647),'Control Room'!$B$8+('Control Room'!$D$8-'Control Room'!$B$8)*V398/2147483647)</x:f>
        <x:v>1001.5641608681344</x:v>
      </x:c>
      <x:c r="Y398" s="17" t="n">
        <x:f>IF('Control Room'!$B$5="Normal",'Control Room'!$B$7,('Control Room'!$B$8+'Control Room'!$D$8)/2)+'Control Room'!$B$9*(Y397-IF('Control Room'!$B$5="Normal",'Control Room'!$B$7,('Control Room'!$B$8+'Control Room'!$D$8)/2))+SQRT(1-'Control Room'!$B$9^2)*(X398-IF('Control Room'!$B$5="Normal",'Control Room'!$B$7,('Control Room'!$B$8+'Control Room'!$D$8)/2))</x:f>
        <x:v>1047.596025202561</x:v>
      </x:c>
      <x:c r="Z398" s="17" t="n">
        <x:f>IF(AND($A398&gt;='Control Room'!$A$13,$A398&lt;'Control Room'!$A$13+'Control Room'!$B$13,'Process'!BO2=1),1+('Control Room'!$C$13-1)*EXP(-0.5*(($A398-'Control Room'!$A$13-('Control Room'!$B$13-1)/2)/MAX(0.5,'Control Room'!$B$13/4))^2),1)*IF(AND($A398&gt;='Control Room'!$A$14,$A398&lt;'Control Room'!$A$14+'Control Room'!$B$14,'Process'!BO3=1),1+('Control Room'!$C$14-1)*EXP(-0.5*(($A398-'Control Room'!$A$14-('Control Room'!$B$14-1)/2)/MAX(0.5,'Control Room'!$B$14/4))^2),1)*IF(AND($A398&gt;='Control Room'!$A$15,$A398&lt;'Control Room'!$A$15+'Control Room'!$B$15,'Process'!BO4=1),1+('Control Room'!$C$15-1)*EXP(-0.5*(($A398-'Control Room'!$A$15-('Control Room'!$B$15-1)/2)/MAX(0.5,'Control Room'!$B$15/4))^2),1)*IF(AND($A398&gt;='Control Room'!$A$16,$A398&lt;'Control Room'!$A$16+'Control Room'!$B$16,'Process'!BO5=1),1+('Control Room'!$C$16-1)*EXP(-0.5*(($A398-'Control Room'!$A$16-('Control Room'!$B$16-1)/2)/MAX(0.5,'Control Room'!$B$16/4))^2),1)</x:f>
        <x:v>1</x:v>
      </x:c>
      <x:c r="AA398" s="9" t="n">
        <x:f>MOD(AB397*16807,2147483647)</x:f>
        <x:v>734690288</x:v>
      </x:c>
      <x:c r="AB398" s="9" t="n">
        <x:f>MOD(AA398*16807,2147483647)</x:f>
        <x:v>2056183813</x:v>
      </x:c>
      <x:c r="AC398" s="17" t="n">
        <x:f>IF('Control Room'!$B$5="Normal",'Control Room'!$B$7+'Control Room'!$D$7*SQRT(-2*LN(MAX(0.000000000001,AA398/2147483647)))*COS(2*PI()*AB398/2147483647),'Control Room'!$B$8+('Control Room'!$D$8-'Control Room'!$B$8)*AA398/2147483647)</x:f>
        <x:v>1127.143466666683</x:v>
      </x:c>
      <x:c r="AD398" s="17" t="n">
        <x:f>IF('Control Room'!$B$5="Normal",'Control Room'!$B$7,('Control Room'!$B$8+'Control Room'!$D$8)/2)+'Control Room'!$B$9*(AD397-IF('Control Room'!$B$5="Normal",'Control Room'!$B$7,('Control Room'!$B$8+'Control Room'!$D$8)/2))+SQRT(1-'Control Room'!$B$9^2)*(AC398-IF('Control Room'!$B$5="Normal",'Control Room'!$B$7,('Control Room'!$B$8+'Control Room'!$D$8)/2))</x:f>
        <x:v>1120.8021917672654</x:v>
      </x:c>
      <x:c r="AE398" s="17" t="n">
        <x:f>IF(AND($A398&gt;='Control Room'!$A$13,$A398&lt;'Control Room'!$A$13+'Control Room'!$B$13,'Process'!BP2=1),1+('Control Room'!$C$13-1)*EXP(-0.5*(($A398-'Control Room'!$A$13-('Control Room'!$B$13-1)/2)/MAX(0.5,'Control Room'!$B$13/4))^2),1)*IF(AND($A398&gt;='Control Room'!$A$14,$A398&lt;'Control Room'!$A$14+'Control Room'!$B$14,'Process'!BP3=1),1+('Control Room'!$C$14-1)*EXP(-0.5*(($A398-'Control Room'!$A$14-('Control Room'!$B$14-1)/2)/MAX(0.5,'Control Room'!$B$14/4))^2),1)*IF(AND($A398&gt;='Control Room'!$A$15,$A398&lt;'Control Room'!$A$15+'Control Room'!$B$15,'Process'!BP4=1),1+('Control Room'!$C$15-1)*EXP(-0.5*(($A398-'Control Room'!$A$15-('Control Room'!$B$15-1)/2)/MAX(0.5,'Control Room'!$B$15/4))^2),1)*IF(AND($A398&gt;='Control Room'!$A$16,$A398&lt;'Control Room'!$A$16+'Control Room'!$B$16,'Process'!BP5=1),1+('Control Room'!$C$16-1)*EXP(-0.5*(($A398-'Control Room'!$A$16-('Control Room'!$B$16-1)/2)/MAX(0.5,'Control Room'!$B$16/4))^2),1)</x:f>
        <x:v>1</x:v>
      </x:c>
      <x:c r="AF398" s="9" t="n">
        <x:f>MOD(AG397*16807,2147483647)</x:f>
        <x:v>783590270</x:v>
      </x:c>
      <x:c r="AG398" s="9" t="n">
        <x:f>MOD(AF398*16807,2147483647)</x:f>
        <x:v>1431944486</x:v>
      </x:c>
      <x:c r="AH398" s="17" t="n">
        <x:f>IF('Control Room'!$B$5="Normal",'Control Room'!$B$7+'Control Room'!$D$7*SQRT(-2*LN(MAX(0.000000000001,AF398/2147483647)))*COS(2*PI()*AG398/2147483647),'Control Room'!$B$8+('Control Room'!$D$8-'Control Room'!$B$8)*AF398/2147483647)</x:f>
        <x:v>936.1946013898618</x:v>
      </x:c>
      <x:c r="AI398" s="17" t="n">
        <x:f>IF('Control Room'!$B$5="Normal",'Control Room'!$B$7,('Control Room'!$B$8+'Control Room'!$D$8)/2)+'Control Room'!$B$9*(AI397-IF('Control Room'!$B$5="Normal",'Control Room'!$B$7,('Control Room'!$B$8+'Control Room'!$D$8)/2))+SQRT(1-'Control Room'!$B$9^2)*(AH398-IF('Control Room'!$B$5="Normal",'Control Room'!$B$7,('Control Room'!$B$8+'Control Room'!$D$8)/2))</x:f>
        <x:v>969.565576308332</x:v>
      </x:c>
      <x:c r="AJ398" s="17" t="n">
        <x:f>IF(AND($A398&gt;='Control Room'!$A$13,$A398&lt;'Control Room'!$A$13+'Control Room'!$B$13,'Process'!BQ2=1),1+('Control Room'!$C$13-1)*EXP(-0.5*(($A398-'Control Room'!$A$13-('Control Room'!$B$13-1)/2)/MAX(0.5,'Control Room'!$B$13/4))^2),1)*IF(AND($A398&gt;='Control Room'!$A$14,$A398&lt;'Control Room'!$A$14+'Control Room'!$B$14,'Process'!BQ3=1),1+('Control Room'!$C$14-1)*EXP(-0.5*(($A398-'Control Room'!$A$14-('Control Room'!$B$14-1)/2)/MAX(0.5,'Control Room'!$B$14/4))^2),1)*IF(AND($A398&gt;='Control Room'!$A$15,$A398&lt;'Control Room'!$A$15+'Control Room'!$B$15,'Process'!BQ4=1),1+('Control Room'!$C$15-1)*EXP(-0.5*(($A398-'Control Room'!$A$15-('Control Room'!$B$15-1)/2)/MAX(0.5,'Control Room'!$B$15/4))^2),1)*IF(AND($A398&gt;='Control Room'!$A$16,$A398&lt;'Control Room'!$A$16+'Control Room'!$B$16,'Process'!BQ5=1),1+('Control Room'!$C$16-1)*EXP(-0.5*(($A398-'Control Room'!$A$16-('Control Room'!$B$16-1)/2)/MAX(0.5,'Control Room'!$B$16/4))^2),1)</x:f>
        <x:v>1</x:v>
      </x:c>
      <x:c r="AK398" s="9" t="n">
        <x:f>MOD(AL397*16807,2147483647)</x:f>
        <x:v>832490252</x:v>
      </x:c>
      <x:c r="AL398" s="9" t="n">
        <x:f>MOD(AK398*16807,2147483647)</x:f>
        <x:v>807705159</x:v>
      </x:c>
      <x:c r="AM398" s="17" t="n">
        <x:f>IF('Control Room'!$B$5="Normal",'Control Room'!$B$7+'Control Room'!$D$7*SQRT(-2*LN(MAX(0.000000000001,AK398/2147483647)))*COS(2*PI()*AL398/2147483647),'Control Room'!$B$8+('Control Room'!$D$8-'Control Room'!$B$8)*AK398/2147483647)</x:f>
        <x:v>911.775578322009</x:v>
      </x:c>
      <x:c r="AN398" s="17" t="n">
        <x:f>IF('Control Room'!$B$5="Normal",'Control Room'!$B$7,('Control Room'!$B$8+'Control Room'!$D$8)/2)+'Control Room'!$B$9*(AN397-IF('Control Room'!$B$5="Normal",'Control Room'!$B$7,('Control Room'!$B$8+'Control Room'!$D$8)/2))+SQRT(1-'Control Room'!$B$9^2)*(AM398-IF('Control Room'!$B$5="Normal",'Control Room'!$B$7,('Control Room'!$B$8+'Control Room'!$D$8)/2))</x:f>
        <x:v>951.3087347995782</x:v>
      </x:c>
      <x:c r="AO398" s="17" t="n">
        <x:f>IF(AND($A398&gt;='Control Room'!$A$13,$A398&lt;'Control Room'!$A$13+'Control Room'!$B$13,'Process'!BR2=1),1+('Control Room'!$C$13-1)*EXP(-0.5*(($A398-'Control Room'!$A$13-('Control Room'!$B$13-1)/2)/MAX(0.5,'Control Room'!$B$13/4))^2),1)*IF(AND($A398&gt;='Control Room'!$A$14,$A398&lt;'Control Room'!$A$14+'Control Room'!$B$14,'Process'!BR3=1),1+('Control Room'!$C$14-1)*EXP(-0.5*(($A398-'Control Room'!$A$14-('Control Room'!$B$14-1)/2)/MAX(0.5,'Control Room'!$B$14/4))^2),1)*IF(AND($A398&gt;='Control Room'!$A$15,$A398&lt;'Control Room'!$A$15+'Control Room'!$B$15,'Process'!BR4=1),1+('Control Room'!$C$15-1)*EXP(-0.5*(($A398-'Control Room'!$A$15-('Control Room'!$B$15-1)/2)/MAX(0.5,'Control Room'!$B$15/4))^2),1)*IF(AND($A398&gt;='Control Room'!$A$16,$A398&lt;'Control Room'!$A$16+'Control Room'!$B$16,'Process'!BR5=1),1+('Control Room'!$C$16-1)*EXP(-0.5*(($A398-'Control Room'!$A$16-('Control Room'!$B$16-1)/2)/MAX(0.5,'Control Room'!$B$16/4))^2),1)</x:f>
        <x:v>1</x:v>
      </x:c>
      <x:c r="AP398" s="9" t="n">
        <x:f>MOD(AQ397*16807,2147483647)</x:f>
        <x:v>881390234</x:v>
      </x:c>
      <x:c r="AQ398" s="9" t="n">
        <x:f>MOD(AP398*16807,2147483647)</x:f>
        <x:v>183465832</x:v>
      </x:c>
      <x:c r="AR398" s="17" t="n">
        <x:f>IF('Control Room'!$B$5="Normal",'Control Room'!$B$7+'Control Room'!$D$7*SQRT(-2*LN(MAX(0.000000000001,AP398/2147483647)))*COS(2*PI()*AQ398/2147483647),'Control Room'!$B$8+('Control Room'!$D$8-'Control Room'!$B$8)*AP398/2147483647)</x:f>
        <x:v>1103.2188979944665</x:v>
      </x:c>
      <x:c r="AS398" s="17" t="n">
        <x:f>IF('Control Room'!$B$5="Normal",'Control Room'!$B$7,('Control Room'!$B$8+'Control Room'!$D$8)/2)+'Control Room'!$B$9*(AS397-IF('Control Room'!$B$5="Normal",'Control Room'!$B$7,('Control Room'!$B$8+'Control Room'!$D$8)/2))+SQRT(1-'Control Room'!$B$9^2)*(AR398-IF('Control Room'!$B$5="Normal",'Control Room'!$B$7,('Control Room'!$B$8+'Control Room'!$D$8)/2))</x:f>
        <x:v>985.7312064835642</x:v>
      </x:c>
      <x:c r="AT398" s="17" t="n">
        <x:f>IF(AND($A398&gt;='Control Room'!$A$13,$A398&lt;'Control Room'!$A$13+'Control Room'!$B$13,'Process'!BS2=1),1+('Control Room'!$C$13-1)*EXP(-0.5*(($A398-'Control Room'!$A$13-('Control Room'!$B$13-1)/2)/MAX(0.5,'Control Room'!$B$13/4))^2),1)*IF(AND($A398&gt;='Control Room'!$A$14,$A398&lt;'Control Room'!$A$14+'Control Room'!$B$14,'Process'!BS3=1),1+('Control Room'!$C$14-1)*EXP(-0.5*(($A398-'Control Room'!$A$14-('Control Room'!$B$14-1)/2)/MAX(0.5,'Control Room'!$B$14/4))^2),1)*IF(AND($A398&gt;='Control Room'!$A$15,$A398&lt;'Control Room'!$A$15+'Control Room'!$B$15,'Process'!BS4=1),1+('Control Room'!$C$15-1)*EXP(-0.5*(($A398-'Control Room'!$A$15-('Control Room'!$B$15-1)/2)/MAX(0.5,'Control Room'!$B$15/4))^2),1)*IF(AND($A398&gt;='Control Room'!$A$16,$A398&lt;'Control Room'!$A$16+'Control Room'!$B$16,'Process'!BS5=1),1+('Control Room'!$C$16-1)*EXP(-0.5*(($A398-'Control Room'!$A$16-('Control Room'!$B$16-1)/2)/MAX(0.5,'Control Room'!$B$16/4))^2),1)</x:f>
        <x:v>1</x:v>
      </x:c>
      <x:c r="AU398" s="9" t="n">
        <x:f>MOD(AV397*16807,2147483647)</x:f>
        <x:v>930290216</x:v>
      </x:c>
      <x:c r="AV398" s="9" t="n">
        <x:f>MOD(AU398*16807,2147483647)</x:f>
        <x:v>1706710152</x:v>
      </x:c>
      <x:c r="AW398" s="17" t="n">
        <x:f>IF('Control Room'!$B$5="Normal",'Control Room'!$B$7+'Control Room'!$D$7*SQRT(-2*LN(MAX(0.000000000001,AU398/2147483647)))*COS(2*PI()*AV398/2147483647),'Control Room'!$B$8+('Control Room'!$D$8-'Control Room'!$B$8)*AU398/2147483647)</x:f>
        <x:v>1032.3019930415376</x:v>
      </x:c>
      <x:c r="AX398" s="17" t="n">
        <x:f>IF('Control Room'!$B$5="Normal",'Control Room'!$B$7,('Control Room'!$B$8+'Control Room'!$D$8)/2)+'Control Room'!$B$9*(AX397-IF('Control Room'!$B$5="Normal",'Control Room'!$B$7,('Control Room'!$B$8+'Control Room'!$D$8)/2))+SQRT(1-'Control Room'!$B$9^2)*(AW398-IF('Control Room'!$B$5="Normal",'Control Room'!$B$7,('Control Room'!$B$8+'Control Room'!$D$8)/2))</x:f>
        <x:v>1016.7853847026114</x:v>
      </x:c>
      <x:c r="AY398" s="17" t="n">
        <x:f>IF(AND($A398&gt;='Control Room'!$A$13,$A398&lt;'Control Room'!$A$13+'Control Room'!$B$13,'Process'!BT2=1),1+('Control Room'!$C$13-1)*EXP(-0.5*(($A398-'Control Room'!$A$13-('Control Room'!$B$13-1)/2)/MAX(0.5,'Control Room'!$B$13/4))^2),1)*IF(AND($A398&gt;='Control Room'!$A$14,$A398&lt;'Control Room'!$A$14+'Control Room'!$B$14,'Process'!BT3=1),1+('Control Room'!$C$14-1)*EXP(-0.5*(($A398-'Control Room'!$A$14-('Control Room'!$B$14-1)/2)/MAX(0.5,'Control Room'!$B$14/4))^2),1)*IF(AND($A398&gt;='Control Room'!$A$15,$A398&lt;'Control Room'!$A$15+'Control Room'!$B$15,'Process'!BT4=1),1+('Control Room'!$C$15-1)*EXP(-0.5*(($A398-'Control Room'!$A$15-('Control Room'!$B$15-1)/2)/MAX(0.5,'Control Room'!$B$15/4))^2),1)*IF(AND($A398&gt;='Control Room'!$A$16,$A398&lt;'Control Room'!$A$16+'Control Room'!$B$16,'Process'!BT5=1),1+('Control Room'!$C$16-1)*EXP(-0.5*(($A398-'Control Room'!$A$16-('Control Room'!$B$16-1)/2)/MAX(0.5,'Control Room'!$B$16/4))^2),1)</x:f>
        <x:v>1</x:v>
      </x:c>
      <x:c r="AZ398" s="9" t="n">
        <x:f>MOD(BA397*16807,2147483647)</x:f>
        <x:v>979190198</x:v>
      </x:c>
      <x:c r="BA398" s="9" t="n">
        <x:f>MOD(AZ398*16807,2147483647)</x:f>
        <x:v>1082470825</x:v>
      </x:c>
      <x:c r="BB398" s="17" t="n">
        <x:f>IF('Control Room'!$B$5="Normal",'Control Room'!$B$7+'Control Room'!$D$7*SQRT(-2*LN(MAX(0.000000000001,AZ398/2147483647)))*COS(2*PI()*BA398/2147483647),'Control Room'!$B$8+('Control Room'!$D$8-'Control Room'!$B$8)*AZ398/2147483647)</x:f>
        <x:v>887.2436838420529</x:v>
      </x:c>
      <x:c r="BC398" s="17" t="n">
        <x:f>IF('Control Room'!$B$5="Normal",'Control Room'!$B$7,('Control Room'!$B$8+'Control Room'!$D$8)/2)+'Control Room'!$B$9*(BC397-IF('Control Room'!$B$5="Normal",'Control Room'!$B$7,('Control Room'!$B$8+'Control Room'!$D$8)/2))+SQRT(1-'Control Room'!$B$9^2)*(BB398-IF('Control Room'!$B$5="Normal",'Control Room'!$B$7,('Control Room'!$B$8+'Control Room'!$D$8)/2))</x:f>
        <x:v>980.9595736933306</x:v>
      </x:c>
      <x:c r="BD398" s="17" t="n">
        <x:f>IF(AND($A398&gt;='Control Room'!$A$13,$A398&lt;'Control Room'!$A$13+'Control Room'!$B$13,'Process'!BU2=1),1+('Control Room'!$C$13-1)*EXP(-0.5*(($A398-'Control Room'!$A$13-('Control Room'!$B$13-1)/2)/MAX(0.5,'Control Room'!$B$13/4))^2),1)*IF(AND($A398&gt;='Control Room'!$A$14,$A398&lt;'Control Room'!$A$14+'Control Room'!$B$14,'Process'!BU3=1),1+('Control Room'!$C$14-1)*EXP(-0.5*(($A398-'Control Room'!$A$14-('Control Room'!$B$14-1)/2)/MAX(0.5,'Control Room'!$B$14/4))^2),1)*IF(AND($A398&gt;='Control Room'!$A$15,$A398&lt;'Control Room'!$A$15+'Control Room'!$B$15,'Process'!BU4=1),1+('Control Room'!$C$15-1)*EXP(-0.5*(($A398-'Control Room'!$A$15-('Control Room'!$B$15-1)/2)/MAX(0.5,'Control Room'!$B$15/4))^2),1)*IF(AND($A398&gt;='Control Room'!$A$16,$A398&lt;'Control Room'!$A$16+'Control Room'!$B$16,'Process'!BU5=1),1+('Control Room'!$C$16-1)*EXP(-0.5*(($A398-'Control Room'!$A$16-('Control Room'!$B$16-1)/2)/MAX(0.5,'Control Room'!$B$16/4))^2),1)</x:f>
        <x:v>1</x:v>
      </x:c>
      <x:c r="BE398" s="9" t="n">
        <x:f>MOD(BF397*16807,2147483647)</x:f>
        <x:v>1028090180</x:v>
      </x:c>
      <x:c r="BF398" s="9" t="n">
        <x:f>MOD(BE398*16807,2147483647)</x:f>
        <x:v>458231498</x:v>
      </x:c>
      <x:c r="BG398" s="17" t="n">
        <x:f>IF('Control Room'!$B$5="Normal",'Control Room'!$B$7+'Control Room'!$D$7*SQRT(-2*LN(MAX(0.000000000001,BE398/2147483647)))*COS(2*PI()*BF398/2147483647),'Control Room'!$B$8+('Control Room'!$D$8-'Control Room'!$B$8)*BE398/2147483647)</x:f>
        <x:v>1024.91283483068</x:v>
      </x:c>
      <x:c r="BH398" s="17" t="n">
        <x:f>IF('Control Room'!$B$5="Normal",'Control Room'!$B$7,('Control Room'!$B$8+'Control Room'!$D$8)/2)+'Control Room'!$B$9*(BH397-IF('Control Room'!$B$5="Normal",'Control Room'!$B$7,('Control Room'!$B$8+'Control Room'!$D$8)/2))+SQRT(1-'Control Room'!$B$9^2)*(BG398-IF('Control Room'!$B$5="Normal",'Control Room'!$B$7,('Control Room'!$B$8+'Control Room'!$D$8)/2))</x:f>
        <x:v>900.1948897665898</x:v>
      </x:c>
      <x:c r="BI398" s="17" t="n">
        <x:f>IF(AND($A398&gt;='Control Room'!$A$13,$A398&lt;'Control Room'!$A$13+'Control Room'!$B$13,'Process'!BV2=1),1+('Control Room'!$C$13-1)*EXP(-0.5*(($A398-'Control Room'!$A$13-('Control Room'!$B$13-1)/2)/MAX(0.5,'Control Room'!$B$13/4))^2),1)*IF(AND($A398&gt;='Control Room'!$A$14,$A398&lt;'Control Room'!$A$14+'Control Room'!$B$14,'Process'!BV3=1),1+('Control Room'!$C$14-1)*EXP(-0.5*(($A398-'Control Room'!$A$14-('Control Room'!$B$14-1)/2)/MAX(0.5,'Control Room'!$B$14/4))^2),1)*IF(AND($A398&gt;='Control Room'!$A$15,$A398&lt;'Control Room'!$A$15+'Control Room'!$B$15,'Process'!BV4=1),1+('Control Room'!$C$15-1)*EXP(-0.5*(($A398-'Control Room'!$A$15-('Control Room'!$B$15-1)/2)/MAX(0.5,'Control Room'!$B$15/4))^2),1)*IF(AND($A398&gt;='Control Room'!$A$16,$A398&lt;'Control Room'!$A$16+'Control Room'!$B$16,'Process'!BV5=1),1+('Control Room'!$C$16-1)*EXP(-0.5*(($A398-'Control Room'!$A$16-('Control Room'!$B$16-1)/2)/MAX(0.5,'Control Room'!$B$16/4))^2),1)</x:f>
        <x:v>1</x:v>
      </x:c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Z398" t="str">
        <x:f>IF('Data'!A398="","",TEXT('Data'!A398,"mm-dd"))</x:f>
      </x:c>
    </x:row>
    <x:row r="399" ht="21" customHeight="1">
      <x:c r="A399" s="15" t="n">
        <x:f>'Control Room'!$B$1+397</x:f>
        <x:v>73388</x:v>
      </x:c>
      <x:c r="B399" s="9" t="n">
        <x:f>MOD(C398*16807,2147483647)</x:f>
        <x:v>195813096</x:v>
      </x:c>
      <x:c r="C399" s="9" t="n">
        <x:f>MOD(B399*16807,2147483647)</x:f>
        <x:v>1085757268</x:v>
      </x:c>
      <x:c r="D399" s="17" t="n">
        <x:f>IF('Control Room'!$B$5="Normal",'Control Room'!$B$7+'Control Room'!$D$7*SQRT(-2*LN(MAX(0.000000000001,B399/2147483647)))*COS(2*PI()*C399/2147483647),'Control Room'!$B$8+('Control Room'!$D$8-'Control Room'!$B$8)*B399/2147483647)</x:f>
        <x:v>803.1515513114314</x:v>
      </x:c>
      <x:c r="E399" s="17" t="n">
        <x:f>IF('Control Room'!$B$5="Normal",'Control Room'!$B$7,('Control Room'!$B$8+'Control Room'!$D$8)/2)+'Control Room'!$B$9*(E398-IF('Control Room'!$B$5="Normal",'Control Room'!$B$7,('Control Room'!$B$8+'Control Room'!$D$8)/2))+SQRT(1-'Control Room'!$B$9^2)*(D399-IF('Control Room'!$B$5="Normal",'Control Room'!$B$7,('Control Room'!$B$8+'Control Room'!$D$8)/2))</x:f>
        <x:v>805.6166235629836</x:v>
      </x:c>
      <x:c r="F399" s="17" t="n">
        <x:f>IF(AND($A399&gt;='Control Room'!$A$13,$A399&lt;'Control Room'!$A$13+'Control Room'!$B$13,'Process'!BK2=1),1+('Control Room'!$C$13-1)*EXP(-0.5*(($A399-'Control Room'!$A$13-('Control Room'!$B$13-1)/2)/MAX(0.5,'Control Room'!$B$13/4))^2),1)*IF(AND($A399&gt;='Control Room'!$A$14,$A399&lt;'Control Room'!$A$14+'Control Room'!$B$14,'Process'!BK3=1),1+('Control Room'!$C$14-1)*EXP(-0.5*(($A399-'Control Room'!$A$14-('Control Room'!$B$14-1)/2)/MAX(0.5,'Control Room'!$B$14/4))^2),1)*IF(AND($A399&gt;='Control Room'!$A$15,$A399&lt;'Control Room'!$A$15+'Control Room'!$B$15,'Process'!BK4=1),1+('Control Room'!$C$15-1)*EXP(-0.5*(($A399-'Control Room'!$A$15-('Control Room'!$B$15-1)/2)/MAX(0.5,'Control Room'!$B$15/4))^2),1)*IF(AND($A399&gt;='Control Room'!$A$16,$A399&lt;'Control Room'!$A$16+'Control Room'!$B$16,'Process'!BK5=1),1+('Control Room'!$C$16-1)*EXP(-0.5*(($A399-'Control Room'!$A$16-('Control Room'!$B$16-1)/2)/MAX(0.5,'Control Room'!$B$16/4))^2),1)</x:f>
        <x:v>1</x:v>
      </x:c>
      <x:c r="G399" s="9" t="n">
        <x:f>MOD(H398*16807,2147483647)</x:f>
        <x:v>1210543449</x:v>
      </x:c>
      <x:c r="H399" s="9" t="n">
        <x:f>MOD(G399*16807,2147483647)</x:f>
        <x:v>343675665</x:v>
      </x:c>
      <x:c r="I399" s="17" t="n">
        <x:f>IF('Control Room'!$B$5="Normal",'Control Room'!$B$7+'Control Room'!$D$7*SQRT(-2*LN(MAX(0.000000000001,G399/2147483647)))*COS(2*PI()*H399/2147483647),'Control Room'!$B$8+('Control Room'!$D$8-'Control Room'!$B$8)*G399/2147483647)</x:f>
        <x:v>1051.6165073119573</x:v>
      </x:c>
      <x:c r="J399" s="17" t="n">
        <x:f>IF('Control Room'!$B$5="Normal",'Control Room'!$B$7,('Control Room'!$B$8+'Control Room'!$D$8)/2)+'Control Room'!$B$9*(J398-IF('Control Room'!$B$5="Normal",'Control Room'!$B$7,('Control Room'!$B$8+'Control Room'!$D$8)/2))+SQRT(1-'Control Room'!$B$9^2)*(I399-IF('Control Room'!$B$5="Normal",'Control Room'!$B$7,('Control Room'!$B$8+'Control Room'!$D$8)/2))</x:f>
        <x:v>1150.4409863059702</x:v>
      </x:c>
      <x:c r="K399" s="17" t="n">
        <x:f>IF(AND($A399&gt;='Control Room'!$A$13,$A399&lt;'Control Room'!$A$13+'Control Room'!$B$13,'Process'!BL2=1),1+('Control Room'!$C$13-1)*EXP(-0.5*(($A399-'Control Room'!$A$13-('Control Room'!$B$13-1)/2)/MAX(0.5,'Control Room'!$B$13/4))^2),1)*IF(AND($A399&gt;='Control Room'!$A$14,$A399&lt;'Control Room'!$A$14+'Control Room'!$B$14,'Process'!BL3=1),1+('Control Room'!$C$14-1)*EXP(-0.5*(($A399-'Control Room'!$A$14-('Control Room'!$B$14-1)/2)/MAX(0.5,'Control Room'!$B$14/4))^2),1)*IF(AND($A399&gt;='Control Room'!$A$15,$A399&lt;'Control Room'!$A$15+'Control Room'!$B$15,'Process'!BL4=1),1+('Control Room'!$C$15-1)*EXP(-0.5*(($A399-'Control Room'!$A$15-('Control Room'!$B$15-1)/2)/MAX(0.5,'Control Room'!$B$15/4))^2),1)*IF(AND($A399&gt;='Control Room'!$A$16,$A399&lt;'Control Room'!$A$16+'Control Room'!$B$16,'Process'!BL5=1),1+('Control Room'!$C$16-1)*EXP(-0.5*(($A399-'Control Room'!$A$16-('Control Room'!$B$16-1)/2)/MAX(0.5,'Control Room'!$B$16/4))^2),1)</x:f>
        <x:v>1</x:v>
      </x:c>
      <x:c r="L399" s="9" t="n">
        <x:f>MOD(M398*16807,2147483647)</x:f>
        <x:v>77790155</x:v>
      </x:c>
      <x:c r="M399" s="9" t="n">
        <x:f>MOD(L399*16807,2147483647)</x:f>
        <x:v>1749077709</x:v>
      </x:c>
      <x:c r="N399" s="17" t="n">
        <x:f>IF('Control Room'!$B$5="Normal",'Control Room'!$B$7+'Control Room'!$D$7*SQRT(-2*LN(MAX(0.000000000001,L399/2147483647)))*COS(2*PI()*M399/2147483647),'Control Room'!$B$8+('Control Room'!$D$8-'Control Room'!$B$8)*L399/2147483647)</x:f>
        <x:v>1091.3781744243176</x:v>
      </x:c>
      <x:c r="O399" s="17" t="n">
        <x:f>IF('Control Room'!$B$5="Normal",'Control Room'!$B$7,('Control Room'!$B$8+'Control Room'!$D$8)/2)+'Control Room'!$B$9*(O398-IF('Control Room'!$B$5="Normal",'Control Room'!$B$7,('Control Room'!$B$8+'Control Room'!$D$8)/2))+SQRT(1-'Control Room'!$B$9^2)*(N399-IF('Control Room'!$B$5="Normal",'Control Room'!$B$7,('Control Room'!$B$8+'Control Room'!$D$8)/2))</x:f>
        <x:v>1052.9841370990578</x:v>
      </x:c>
      <x:c r="P399" s="17" t="n">
        <x:f>IF(AND($A399&gt;='Control Room'!$A$13,$A399&lt;'Control Room'!$A$13+'Control Room'!$B$13,'Process'!BM2=1),1+('Control Room'!$C$13-1)*EXP(-0.5*(($A399-'Control Room'!$A$13-('Control Room'!$B$13-1)/2)/MAX(0.5,'Control Room'!$B$13/4))^2),1)*IF(AND($A399&gt;='Control Room'!$A$14,$A399&lt;'Control Room'!$A$14+'Control Room'!$B$14,'Process'!BM3=1),1+('Control Room'!$C$14-1)*EXP(-0.5*(($A399-'Control Room'!$A$14-('Control Room'!$B$14-1)/2)/MAX(0.5,'Control Room'!$B$14/4))^2),1)*IF(AND($A399&gt;='Control Room'!$A$15,$A399&lt;'Control Room'!$A$15+'Control Room'!$B$15,'Process'!BM4=1),1+('Control Room'!$C$15-1)*EXP(-0.5*(($A399-'Control Room'!$A$15-('Control Room'!$B$15-1)/2)/MAX(0.5,'Control Room'!$B$15/4))^2),1)*IF(AND($A399&gt;='Control Room'!$A$16,$A399&lt;'Control Room'!$A$16+'Control Room'!$B$16,'Process'!BM5=1),1+('Control Room'!$C$16-1)*EXP(-0.5*(($A399-'Control Room'!$A$16-('Control Room'!$B$16-1)/2)/MAX(0.5,'Control Room'!$B$16/4))^2),1)</x:f>
        <x:v>1</x:v>
      </x:c>
      <x:c r="Q399" s="9" t="n">
        <x:f>MOD(R398*16807,2147483647)</x:f>
        <x:v>1092520508</x:v>
      </x:c>
      <x:c r="R399" s="9" t="n">
        <x:f>MOD(Q399*16807,2147483647)</x:f>
        <x:v>1006996106</x:v>
      </x:c>
      <x:c r="S399" s="17" t="n">
        <x:f>IF('Control Room'!$B$5="Normal",'Control Room'!$B$7+'Control Room'!$D$7*SQRT(-2*LN(MAX(0.000000000001,Q399/2147483647)))*COS(2*PI()*R399/2147483647),'Control Room'!$B$8+('Control Room'!$D$8-'Control Room'!$B$8)*Q399/2147483647)</x:f>
        <x:v>897.3556442727735</x:v>
      </x:c>
      <x:c r="T399" s="17" t="n">
        <x:f>IF('Control Room'!$B$5="Normal",'Control Room'!$B$7,('Control Room'!$B$8+'Control Room'!$D$8)/2)+'Control Room'!$B$9*(T398-IF('Control Room'!$B$5="Normal",'Control Room'!$B$7,('Control Room'!$B$8+'Control Room'!$D$8)/2))+SQRT(1-'Control Room'!$B$9^2)*(S399-IF('Control Room'!$B$5="Normal",'Control Room'!$B$7,('Control Room'!$B$8+'Control Room'!$D$8)/2))</x:f>
        <x:v>934.8555908406815</x:v>
      </x:c>
      <x:c r="U399" s="17" t="n">
        <x:f>IF(AND($A399&gt;='Control Room'!$A$13,$A399&lt;'Control Room'!$A$13+'Control Room'!$B$13,'Process'!BN2=1),1+('Control Room'!$C$13-1)*EXP(-0.5*(($A399-'Control Room'!$A$13-('Control Room'!$B$13-1)/2)/MAX(0.5,'Control Room'!$B$13/4))^2),1)*IF(AND($A399&gt;='Control Room'!$A$14,$A399&lt;'Control Room'!$A$14+'Control Room'!$B$14,'Process'!BN3=1),1+('Control Room'!$C$14-1)*EXP(-0.5*(($A399-'Control Room'!$A$14-('Control Room'!$B$14-1)/2)/MAX(0.5,'Control Room'!$B$14/4))^2),1)*IF(AND($A399&gt;='Control Room'!$A$15,$A399&lt;'Control Room'!$A$15+'Control Room'!$B$15,'Process'!BN4=1),1+('Control Room'!$C$15-1)*EXP(-0.5*(($A399-'Control Room'!$A$15-('Control Room'!$B$15-1)/2)/MAX(0.5,'Control Room'!$B$15/4))^2),1)*IF(AND($A399&gt;='Control Room'!$A$16,$A399&lt;'Control Room'!$A$16+'Control Room'!$B$16,'Process'!BN5=1),1+('Control Room'!$C$16-1)*EXP(-0.5*(($A399-'Control Room'!$A$16-('Control Room'!$B$16-1)/2)/MAX(0.5,'Control Room'!$B$16/4))^2),1)</x:f>
        <x:v>1</x:v>
      </x:c>
      <x:c r="V399" s="9" t="n">
        <x:f>MOD(W398*16807,2147483647)</x:f>
        <x:v>2107250861</x:v>
      </x:c>
      <x:c r="W399" s="9" t="n">
        <x:f>MOD(V399*16807,2147483647)</x:f>
        <x:v>264914503</x:v>
      </x:c>
      <x:c r="X399" s="17" t="n">
        <x:f>IF('Control Room'!$B$5="Normal",'Control Room'!$B$7+'Control Room'!$D$7*SQRT(-2*LN(MAX(0.000000000001,V399/2147483647)))*COS(2*PI()*W399/2147483647),'Control Room'!$B$8+('Control Room'!$D$8-'Control Room'!$B$8)*V399/2147483647)</x:f>
        <x:v>1012.5039148922109</x:v>
      </x:c>
      <x:c r="Y399" s="17" t="n">
        <x:f>IF('Control Room'!$B$5="Normal",'Control Room'!$B$7,('Control Room'!$B$8+'Control Room'!$D$8)/2)+'Control Room'!$B$9*(Y398-IF('Control Room'!$B$5="Normal",'Control Room'!$B$7,('Control Room'!$B$8+'Control Room'!$D$8)/2))+SQRT(1-'Control Room'!$B$9^2)*(X399-IF('Control Room'!$B$5="Normal",'Control Room'!$B$7,('Control Room'!$B$8+'Control Room'!$D$8)/2))</x:f>
        <x:v>1044.949593440923</x:v>
      </x:c>
      <x:c r="Z399" s="17" t="n">
        <x:f>IF(AND($A399&gt;='Control Room'!$A$13,$A399&lt;'Control Room'!$A$13+'Control Room'!$B$13,'Process'!BO2=1),1+('Control Room'!$C$13-1)*EXP(-0.5*(($A399-'Control Room'!$A$13-('Control Room'!$B$13-1)/2)/MAX(0.5,'Control Room'!$B$13/4))^2),1)*IF(AND($A399&gt;='Control Room'!$A$14,$A399&lt;'Control Room'!$A$14+'Control Room'!$B$14,'Process'!BO3=1),1+('Control Room'!$C$14-1)*EXP(-0.5*(($A399-'Control Room'!$A$14-('Control Room'!$B$14-1)/2)/MAX(0.5,'Control Room'!$B$14/4))^2),1)*IF(AND($A399&gt;='Control Room'!$A$15,$A399&lt;'Control Room'!$A$15+'Control Room'!$B$15,'Process'!BO4=1),1+('Control Room'!$C$15-1)*EXP(-0.5*(($A399-'Control Room'!$A$15-('Control Room'!$B$15-1)/2)/MAX(0.5,'Control Room'!$B$15/4))^2),1)*IF(AND($A399&gt;='Control Room'!$A$16,$A399&lt;'Control Room'!$A$16+'Control Room'!$B$16,'Process'!BO5=1),1+('Control Room'!$C$16-1)*EXP(-0.5*(($A399-'Control Room'!$A$16-('Control Room'!$B$16-1)/2)/MAX(0.5,'Control Room'!$B$16/4))^2),1)</x:f>
        <x:v>1</x:v>
      </x:c>
      <x:c r="AA399" s="9" t="n">
        <x:f>MOD(AB398*16807,2147483647)</x:f>
        <x:v>974497567</x:v>
      </x:c>
      <x:c r="AB399" s="9" t="n">
        <x:f>MOD(AA399*16807,2147483647)</x:f>
        <x:v>1670316547</x:v>
      </x:c>
      <x:c r="AC399" s="17" t="n">
        <x:f>IF('Control Room'!$B$5="Normal",'Control Room'!$B$7+'Control Room'!$D$7*SQRT(-2*LN(MAX(0.000000000001,AA399/2147483647)))*COS(2*PI()*AB399/2147483647),'Control Room'!$B$8+('Control Room'!$D$8-'Control Room'!$B$8)*AA399/2147483647)</x:f>
        <x:v>1019.6629147648378</x:v>
      </x:c>
      <x:c r="AD399" s="17" t="n">
        <x:f>IF('Control Room'!$B$5="Normal",'Control Room'!$B$7,('Control Room'!$B$8+'Control Room'!$D$8)/2)+'Control Room'!$B$9*(AD398-IF('Control Room'!$B$5="Normal",'Control Room'!$B$7,('Control Room'!$B$8+'Control Room'!$D$8)/2))+SQRT(1-'Control Room'!$B$9^2)*(AC399-IF('Control Room'!$B$5="Normal",'Control Room'!$B$7,('Control Room'!$B$8+'Control Room'!$D$8)/2))</x:f>
        <x:v>1106.5303588215986</x:v>
      </x:c>
      <x:c r="AE399" s="17" t="n">
        <x:f>IF(AND($A399&gt;='Control Room'!$A$13,$A399&lt;'Control Room'!$A$13+'Control Room'!$B$13,'Process'!BP2=1),1+('Control Room'!$C$13-1)*EXP(-0.5*(($A399-'Control Room'!$A$13-('Control Room'!$B$13-1)/2)/MAX(0.5,'Control Room'!$B$13/4))^2),1)*IF(AND($A399&gt;='Control Room'!$A$14,$A399&lt;'Control Room'!$A$14+'Control Room'!$B$14,'Process'!BP3=1),1+('Control Room'!$C$14-1)*EXP(-0.5*(($A399-'Control Room'!$A$14-('Control Room'!$B$14-1)/2)/MAX(0.5,'Control Room'!$B$14/4))^2),1)*IF(AND($A399&gt;='Control Room'!$A$15,$A399&lt;'Control Room'!$A$15+'Control Room'!$B$15,'Process'!BP4=1),1+('Control Room'!$C$15-1)*EXP(-0.5*(($A399-'Control Room'!$A$15-('Control Room'!$B$15-1)/2)/MAX(0.5,'Control Room'!$B$15/4))^2),1)*IF(AND($A399&gt;='Control Room'!$A$16,$A399&lt;'Control Room'!$A$16+'Control Room'!$B$16,'Process'!BP5=1),1+('Control Room'!$C$16-1)*EXP(-0.5*(($A399-'Control Room'!$A$16-('Control Room'!$B$16-1)/2)/MAX(0.5,'Control Room'!$B$16/4))^2),1)</x:f>
        <x:v>1</x:v>
      </x:c>
      <x:c r="AF399" s="9" t="n">
        <x:f>MOD(AG398*16807,2147483647)</x:f>
        <x:v>1989227920</x:v>
      </x:c>
      <x:c r="AG399" s="9" t="n">
        <x:f>MOD(AF399*16807,2147483647)</x:f>
        <x:v>928234944</x:v>
      </x:c>
      <x:c r="AH399" s="17" t="n">
        <x:f>IF('Control Room'!$B$5="Normal",'Control Room'!$B$7+'Control Room'!$D$7*SQRT(-2*LN(MAX(0.000000000001,AF399/2147483647)))*COS(2*PI()*AG399/2147483647),'Control Room'!$B$8+('Control Room'!$D$8-'Control Room'!$B$8)*AF399/2147483647)</x:f>
        <x:v>967.9281536671488</x:v>
      </x:c>
      <x:c r="AI399" s="17" t="n">
        <x:f>IF('Control Room'!$B$5="Normal",'Control Room'!$B$7,('Control Room'!$B$8+'Control Room'!$D$8)/2)+'Control Room'!$B$9*(AI398-IF('Control Room'!$B$5="Normal",'Control Room'!$B$7,('Control Room'!$B$8+'Control Room'!$D$8)/2))+SQRT(1-'Control Room'!$B$9^2)*(AH399-IF('Control Room'!$B$5="Normal",'Control Room'!$B$7,('Control Room'!$B$8+'Control Room'!$D$8)/2))</x:f>
        <x:v>956.1912451128854</x:v>
      </x:c>
      <x:c r="AJ399" s="17" t="n">
        <x:f>IF(AND($A399&gt;='Control Room'!$A$13,$A399&lt;'Control Room'!$A$13+'Control Room'!$B$13,'Process'!BQ2=1),1+('Control Room'!$C$13-1)*EXP(-0.5*(($A399-'Control Room'!$A$13-('Control Room'!$B$13-1)/2)/MAX(0.5,'Control Room'!$B$13/4))^2),1)*IF(AND($A399&gt;='Control Room'!$A$14,$A399&lt;'Control Room'!$A$14+'Control Room'!$B$14,'Process'!BQ3=1),1+('Control Room'!$C$14-1)*EXP(-0.5*(($A399-'Control Room'!$A$14-('Control Room'!$B$14-1)/2)/MAX(0.5,'Control Room'!$B$14/4))^2),1)*IF(AND($A399&gt;='Control Room'!$A$15,$A399&lt;'Control Room'!$A$15+'Control Room'!$B$15,'Process'!BQ4=1),1+('Control Room'!$C$15-1)*EXP(-0.5*(($A399-'Control Room'!$A$15-('Control Room'!$B$15-1)/2)/MAX(0.5,'Control Room'!$B$15/4))^2),1)*IF(AND($A399&gt;='Control Room'!$A$16,$A399&lt;'Control Room'!$A$16+'Control Room'!$B$16,'Process'!BQ5=1),1+('Control Room'!$C$16-1)*EXP(-0.5*(($A399-'Control Room'!$A$16-('Control Room'!$B$16-1)/2)/MAX(0.5,'Control Room'!$B$16/4))^2),1)</x:f>
        <x:v>1</x:v>
      </x:c>
      <x:c r="AK399" s="9" t="n">
        <x:f>MOD(AL398*16807,2147483647)</x:f>
        <x:v>856474626</x:v>
      </x:c>
      <x:c r="AL399" s="9" t="n">
        <x:f>MOD(AK399*16807,2147483647)</x:f>
        <x:v>186153341</x:v>
      </x:c>
      <x:c r="AM399" s="17" t="n">
        <x:f>IF('Control Room'!$B$5="Normal",'Control Room'!$B$7+'Control Room'!$D$7*SQRT(-2*LN(MAX(0.000000000001,AK399/2147483647)))*COS(2*PI()*AL399/2147483647),'Control Room'!$B$8+('Control Room'!$D$8-'Control Room'!$B$8)*AK399/2147483647)</x:f>
        <x:v>1104.3736228824064</x:v>
      </x:c>
      <x:c r="AN399" s="17" t="n">
        <x:f>IF('Control Room'!$B$5="Normal",'Control Room'!$B$7,('Control Room'!$B$8+'Control Room'!$D$8)/2)+'Control Room'!$B$9*(AN398-IF('Control Room'!$B$5="Normal",'Control Room'!$B$7,('Control Room'!$B$8+'Control Room'!$D$8)/2))+SQRT(1-'Control Room'!$B$9^2)*(AM399-IF('Control Room'!$B$5="Normal",'Control Room'!$B$7,('Control Room'!$B$8+'Control Room'!$D$8)/2))</x:f>
        <x:v>1027.3356881335942</x:v>
      </x:c>
      <x:c r="AO399" s="17" t="n">
        <x:f>IF(AND($A399&gt;='Control Room'!$A$13,$A399&lt;'Control Room'!$A$13+'Control Room'!$B$13,'Process'!BR2=1),1+('Control Room'!$C$13-1)*EXP(-0.5*(($A399-'Control Room'!$A$13-('Control Room'!$B$13-1)/2)/MAX(0.5,'Control Room'!$B$13/4))^2),1)*IF(AND($A399&gt;='Control Room'!$A$14,$A399&lt;'Control Room'!$A$14+'Control Room'!$B$14,'Process'!BR3=1),1+('Control Room'!$C$14-1)*EXP(-0.5*(($A399-'Control Room'!$A$14-('Control Room'!$B$14-1)/2)/MAX(0.5,'Control Room'!$B$14/4))^2),1)*IF(AND($A399&gt;='Control Room'!$A$15,$A399&lt;'Control Room'!$A$15+'Control Room'!$B$15,'Process'!BR4=1),1+('Control Room'!$C$15-1)*EXP(-0.5*(($A399-'Control Room'!$A$15-('Control Room'!$B$15-1)/2)/MAX(0.5,'Control Room'!$B$15/4))^2),1)*IF(AND($A399&gt;='Control Room'!$A$16,$A399&lt;'Control Room'!$A$16+'Control Room'!$B$16,'Process'!BR5=1),1+('Control Room'!$C$16-1)*EXP(-0.5*(($A399-'Control Room'!$A$16-('Control Room'!$B$16-1)/2)/MAX(0.5,'Control Room'!$B$16/4))^2),1)</x:f>
        <x:v>1</x:v>
      </x:c>
      <x:c r="AP399" s="9" t="n">
        <x:f>MOD(AQ398*16807,2147483647)</x:f>
        <x:v>1871204979</x:v>
      </x:c>
      <x:c r="AQ399" s="9" t="n">
        <x:f>MOD(AP399*16807,2147483647)</x:f>
        <x:v>1591555385</x:v>
      </x:c>
      <x:c r="AR399" s="17" t="n">
        <x:f>IF('Control Room'!$B$5="Normal",'Control Room'!$B$7+'Control Room'!$D$7*SQRT(-2*LN(MAX(0.000000000001,AP399/2147483647)))*COS(2*PI()*AQ399/2147483647),'Control Room'!$B$8+('Control Room'!$D$8-'Control Room'!$B$8)*AP399/2147483647)</x:f>
        <x:v>997.367706770491</x:v>
      </x:c>
      <x:c r="AS399" s="17" t="n">
        <x:f>IF('Control Room'!$B$5="Normal",'Control Room'!$B$7,('Control Room'!$B$8+'Control Room'!$D$8)/2)+'Control Room'!$B$9*(AS398-IF('Control Room'!$B$5="Normal",'Control Room'!$B$7,('Control Room'!$B$8+'Control Room'!$D$8)/2))+SQRT(1-'Control Room'!$B$9^2)*(AR399-IF('Control Room'!$B$5="Normal",'Control Room'!$B$7,('Control Room'!$B$8+'Control Room'!$D$8)/2))</x:f>
        <x:v>987.2231058796114</x:v>
      </x:c>
      <x:c r="AT399" s="17" t="n">
        <x:f>IF(AND($A399&gt;='Control Room'!$A$13,$A399&lt;'Control Room'!$A$13+'Control Room'!$B$13,'Process'!BS2=1),1+('Control Room'!$C$13-1)*EXP(-0.5*(($A399-'Control Room'!$A$13-('Control Room'!$B$13-1)/2)/MAX(0.5,'Control Room'!$B$13/4))^2),1)*IF(AND($A399&gt;='Control Room'!$A$14,$A399&lt;'Control Room'!$A$14+'Control Room'!$B$14,'Process'!BS3=1),1+('Control Room'!$C$14-1)*EXP(-0.5*(($A399-'Control Room'!$A$14-('Control Room'!$B$14-1)/2)/MAX(0.5,'Control Room'!$B$14/4))^2),1)*IF(AND($A399&gt;='Control Room'!$A$15,$A399&lt;'Control Room'!$A$15+'Control Room'!$B$15,'Process'!BS4=1),1+('Control Room'!$C$15-1)*EXP(-0.5*(($A399-'Control Room'!$A$15-('Control Room'!$B$15-1)/2)/MAX(0.5,'Control Room'!$B$15/4))^2),1)*IF(AND($A399&gt;='Control Room'!$A$16,$A399&lt;'Control Room'!$A$16+'Control Room'!$B$16,'Process'!BS5=1),1+('Control Room'!$C$16-1)*EXP(-0.5*(($A399-'Control Room'!$A$16-('Control Room'!$B$16-1)/2)/MAX(0.5,'Control Room'!$B$16/4))^2),1)</x:f>
        <x:v>1</x:v>
      </x:c>
      <x:c r="AU399" s="9" t="n">
        <x:f>MOD(AV398*16807,2147483647)</x:f>
        <x:v>738451685</x:v>
      </x:c>
      <x:c r="AV399" s="9" t="n">
        <x:f>MOD(AU399*16807,2147483647)</x:f>
        <x:v>849473782</x:v>
      </x:c>
      <x:c r="AW399" s="17" t="n">
        <x:f>IF('Control Room'!$B$5="Normal",'Control Room'!$B$7+'Control Room'!$D$7*SQRT(-2*LN(MAX(0.000000000001,AU399/2147483647)))*COS(2*PI()*AV399/2147483647),'Control Room'!$B$8+('Control Room'!$D$8-'Control Room'!$B$8)*AU399/2147483647)</x:f>
        <x:v>895.8045267420495</x:v>
      </x:c>
      <x:c r="AX399" s="17" t="n">
        <x:f>IF('Control Room'!$B$5="Normal",'Control Room'!$B$7,('Control Room'!$B$8+'Control Room'!$D$8)/2)+'Control Room'!$B$9*(AX398-IF('Control Room'!$B$5="Normal",'Control Room'!$B$7,('Control Room'!$B$8+'Control Room'!$D$8)/2))+SQRT(1-'Control Room'!$B$9^2)*(AW399-IF('Control Room'!$B$5="Normal",'Control Room'!$B$7,('Control Room'!$B$8+'Control Room'!$D$8)/2))</x:f>
        <x:v>947.8892074635048</x:v>
      </x:c>
      <x:c r="AY399" s="17" t="n">
        <x:f>IF(AND($A399&gt;='Control Room'!$A$13,$A399&lt;'Control Room'!$A$13+'Control Room'!$B$13,'Process'!BT2=1),1+('Control Room'!$C$13-1)*EXP(-0.5*(($A399-'Control Room'!$A$13-('Control Room'!$B$13-1)/2)/MAX(0.5,'Control Room'!$B$13/4))^2),1)*IF(AND($A399&gt;='Control Room'!$A$14,$A399&lt;'Control Room'!$A$14+'Control Room'!$B$14,'Process'!BT3=1),1+('Control Room'!$C$14-1)*EXP(-0.5*(($A399-'Control Room'!$A$14-('Control Room'!$B$14-1)/2)/MAX(0.5,'Control Room'!$B$14/4))^2),1)*IF(AND($A399&gt;='Control Room'!$A$15,$A399&lt;'Control Room'!$A$15+'Control Room'!$B$15,'Process'!BT4=1),1+('Control Room'!$C$15-1)*EXP(-0.5*(($A399-'Control Room'!$A$15-('Control Room'!$B$15-1)/2)/MAX(0.5,'Control Room'!$B$15/4))^2),1)*IF(AND($A399&gt;='Control Room'!$A$16,$A399&lt;'Control Room'!$A$16+'Control Room'!$B$16,'Process'!BT5=1),1+('Control Room'!$C$16-1)*EXP(-0.5*(($A399-'Control Room'!$A$16-('Control Room'!$B$16-1)/2)/MAX(0.5,'Control Room'!$B$16/4))^2),1)</x:f>
        <x:v>1</x:v>
      </x:c>
      <x:c r="AZ399" s="9" t="n">
        <x:f>MOD(BA398*16807,2147483647)</x:f>
        <x:v>1753182038</x:v>
      </x:c>
      <x:c r="BA399" s="9" t="n">
        <x:f>MOD(AZ399*16807,2147483647)</x:f>
        <x:v>107392179</x:v>
      </x:c>
      <x:c r="BB399" s="17" t="n">
        <x:f>IF('Control Room'!$B$5="Normal",'Control Room'!$B$7+'Control Room'!$D$7*SQRT(-2*LN(MAX(0.000000000001,AZ399/2147483647)))*COS(2*PI()*BA399/2147483647),'Control Room'!$B$8+('Control Room'!$D$8-'Control Room'!$B$8)*AZ399/2147483647)</x:f>
        <x:v>1054.5204249367273</x:v>
      </x:c>
      <x:c r="BC399" s="17" t="n">
        <x:f>IF('Control Room'!$B$5="Normal",'Control Room'!$B$7,('Control Room'!$B$8+'Control Room'!$D$8)/2)+'Control Room'!$B$9*(BC398-IF('Control Room'!$B$5="Normal",'Control Room'!$B$7,('Control Room'!$B$8+'Control Room'!$D$8)/2))+SQRT(1-'Control Room'!$B$9^2)*(BB399-IF('Control Room'!$B$5="Normal",'Control Room'!$B$7,('Control Room'!$B$8+'Control Room'!$D$8)/2))</x:f>
        <x:v>1019.2662324945875</x:v>
      </x:c>
      <x:c r="BD399" s="17" t="n">
        <x:f>IF(AND($A399&gt;='Control Room'!$A$13,$A399&lt;'Control Room'!$A$13+'Control Room'!$B$13,'Process'!BU2=1),1+('Control Room'!$C$13-1)*EXP(-0.5*(($A399-'Control Room'!$A$13-('Control Room'!$B$13-1)/2)/MAX(0.5,'Control Room'!$B$13/4))^2),1)*IF(AND($A399&gt;='Control Room'!$A$14,$A399&lt;'Control Room'!$A$14+'Control Room'!$B$14,'Process'!BU3=1),1+('Control Room'!$C$14-1)*EXP(-0.5*(($A399-'Control Room'!$A$14-('Control Room'!$B$14-1)/2)/MAX(0.5,'Control Room'!$B$14/4))^2),1)*IF(AND($A399&gt;='Control Room'!$A$15,$A399&lt;'Control Room'!$A$15+'Control Room'!$B$15,'Process'!BU4=1),1+('Control Room'!$C$15-1)*EXP(-0.5*(($A399-'Control Room'!$A$15-('Control Room'!$B$15-1)/2)/MAX(0.5,'Control Room'!$B$15/4))^2),1)*IF(AND($A399&gt;='Control Room'!$A$16,$A399&lt;'Control Room'!$A$16+'Control Room'!$B$16,'Process'!BU5=1),1+('Control Room'!$C$16-1)*EXP(-0.5*(($A399-'Control Room'!$A$16-('Control Room'!$B$16-1)/2)/MAX(0.5,'Control Room'!$B$16/4))^2),1)</x:f>
        <x:v>1</x:v>
      </x:c>
      <x:c r="BE399" s="9" t="n">
        <x:f>MOD(BF398*16807,2147483647)</x:f>
        <x:v>620428744</x:v>
      </x:c>
      <x:c r="BF399" s="9" t="n">
        <x:f>MOD(BE399*16807,2147483647)</x:f>
        <x:v>1512794223</x:v>
      </x:c>
      <x:c r="BG399" s="17" t="n">
        <x:f>IF('Control Room'!$B$5="Normal",'Control Room'!$B$7+'Control Room'!$D$7*SQRT(-2*LN(MAX(0.000000000001,BE399/2147483647)))*COS(2*PI()*BF399/2147483647),'Control Room'!$B$8+('Control Room'!$D$8-'Control Room'!$B$8)*BE399/2147483647)</x:f>
        <x:v>959.9611636291488</x:v>
      </x:c>
      <x:c r="BH399" s="17" t="n">
        <x:f>IF('Control Room'!$B$5="Normal",'Control Room'!$B$7,('Control Room'!$B$8+'Control Room'!$D$8)/2)+'Control Room'!$B$9*(BH398-IF('Control Room'!$B$5="Normal",'Control Room'!$B$7,('Control Room'!$B$8+'Control Room'!$D$8)/2))+SQRT(1-'Control Room'!$B$9^2)*(BG399-IF('Control Room'!$B$5="Normal",'Control Room'!$B$7,('Control Room'!$B$8+'Control Room'!$D$8)/2))</x:f>
        <x:v>897.0965304572085</x:v>
      </x:c>
      <x:c r="BI399" s="17" t="n">
        <x:f>IF(AND($A399&gt;='Control Room'!$A$13,$A399&lt;'Control Room'!$A$13+'Control Room'!$B$13,'Process'!BV2=1),1+('Control Room'!$C$13-1)*EXP(-0.5*(($A399-'Control Room'!$A$13-('Control Room'!$B$13-1)/2)/MAX(0.5,'Control Room'!$B$13/4))^2),1)*IF(AND($A399&gt;='Control Room'!$A$14,$A399&lt;'Control Room'!$A$14+'Control Room'!$B$14,'Process'!BV3=1),1+('Control Room'!$C$14-1)*EXP(-0.5*(($A399-'Control Room'!$A$14-('Control Room'!$B$14-1)/2)/MAX(0.5,'Control Room'!$B$14/4))^2),1)*IF(AND($A399&gt;='Control Room'!$A$15,$A399&lt;'Control Room'!$A$15+'Control Room'!$B$15,'Process'!BV4=1),1+('Control Room'!$C$15-1)*EXP(-0.5*(($A399-'Control Room'!$A$15-('Control Room'!$B$15-1)/2)/MAX(0.5,'Control Room'!$B$15/4))^2),1)*IF(AND($A399&gt;='Control Room'!$A$16,$A399&lt;'Control Room'!$A$16+'Control Room'!$B$16,'Process'!BV5=1),1+('Control Room'!$C$16-1)*EXP(-0.5*(($A399-'Control Room'!$A$16-('Control Room'!$B$16-1)/2)/MAX(0.5,'Control Room'!$B$16/4))^2),1)</x:f>
        <x:v>1</x:v>
      </x:c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Z399" t="str">
        <x:f>IF('Data'!A399="","",TEXT('Data'!A399,"mm-dd"))</x:f>
      </x:c>
    </x:row>
    <x:row r="400" ht="21" customHeight="1">
      <x:c r="A400" s="15" t="n">
        <x:f>'Control Room'!$B$1+398</x:f>
        <x:v>73389</x:v>
      </x:c>
      <x:c r="B400" s="9" t="n">
        <x:f>MOD(C399*16807,2147483647)</x:f>
        <x:v>1153854717</x:v>
      </x:c>
      <x:c r="C400" s="9" t="n">
        <x:f>MOD(B400*16807,2147483647)</x:f>
        <x:v>1058896209</x:v>
      </x:c>
      <x:c r="D400" s="17" t="n">
        <x:f>IF('Control Room'!$B$5="Normal",'Control Room'!$B$7+'Control Room'!$D$7*SQRT(-2*LN(MAX(0.000000000001,B400/2147483647)))*COS(2*PI()*C400/2147483647),'Control Room'!$B$8+('Control Room'!$D$8-'Control Room'!$B$8)*B400/2147483647)</x:f>
        <x:v>899.7788470531282</x:v>
      </x:c>
      <x:c r="E400" s="17" t="n">
        <x:f>IF('Control Room'!$B$5="Normal",'Control Room'!$B$7,('Control Room'!$B$8+'Control Room'!$D$8)/2)+'Control Room'!$B$9*(E399-IF('Control Room'!$B$5="Normal",'Control Room'!$B$7,('Control Room'!$B$8+'Control Room'!$D$8)/2))+SQRT(1-'Control Room'!$B$9^2)*(D400-IF('Control Room'!$B$5="Normal",'Control Room'!$B$7,('Control Room'!$B$8+'Control Room'!$D$8)/2))</x:f>
        <x:v>785.664622006891</x:v>
      </x:c>
      <x:c r="F400" s="17" t="n">
        <x:f>IF(AND($A400&gt;='Control Room'!$A$13,$A400&lt;'Control Room'!$A$13+'Control Room'!$B$13,'Process'!BK2=1),1+('Control Room'!$C$13-1)*EXP(-0.5*(($A400-'Control Room'!$A$13-('Control Room'!$B$13-1)/2)/MAX(0.5,'Control Room'!$B$13/4))^2),1)*IF(AND($A400&gt;='Control Room'!$A$14,$A400&lt;'Control Room'!$A$14+'Control Room'!$B$14,'Process'!BK3=1),1+('Control Room'!$C$14-1)*EXP(-0.5*(($A400-'Control Room'!$A$14-('Control Room'!$B$14-1)/2)/MAX(0.5,'Control Room'!$B$14/4))^2),1)*IF(AND($A400&gt;='Control Room'!$A$15,$A400&lt;'Control Room'!$A$15+'Control Room'!$B$15,'Process'!BK4=1),1+('Control Room'!$C$15-1)*EXP(-0.5*(($A400-'Control Room'!$A$15-('Control Room'!$B$15-1)/2)/MAX(0.5,'Control Room'!$B$15/4))^2),1)*IF(AND($A400&gt;='Control Room'!$A$16,$A400&lt;'Control Room'!$A$16+'Control Room'!$B$16,'Process'!BK5=1),1+('Control Room'!$C$16-1)*EXP(-0.5*(($A400-'Control Room'!$A$16-('Control Room'!$B$16-1)/2)/MAX(0.5,'Control Room'!$B$16/4))^2),1)</x:f>
        <x:v>1</x:v>
      </x:c>
      <x:c r="G400" s="9" t="n">
        <x:f>MOD(H399*16807,2147483647)</x:f>
        <x:v>1573374872</x:v>
      </x:c>
      <x:c r="H400" s="9" t="n">
        <x:f>MOD(G400*16807,2147483647)</x:f>
        <x:v>1745328193</x:v>
      </x:c>
      <x:c r="I400" s="17" t="n">
        <x:f>IF('Control Room'!$B$5="Normal",'Control Room'!$B$7+'Control Room'!$D$7*SQRT(-2*LN(MAX(0.000000000001,G400/2147483647)))*COS(2*PI()*H400/2147483647),'Control Room'!$B$8+('Control Room'!$D$8-'Control Room'!$B$8)*G400/2147483647)</x:f>
        <x:v>1027.2616825753717</x:v>
      </x:c>
      <x:c r="J400" s="17" t="n">
        <x:f>IF('Control Room'!$B$5="Normal",'Control Room'!$B$7,('Control Room'!$B$8+'Control Room'!$D$8)/2)+'Control Room'!$B$9*(J399-IF('Control Room'!$B$5="Normal",'Control Room'!$B$7,('Control Room'!$B$8+'Control Room'!$D$8)/2))+SQRT(1-'Control Room'!$B$9^2)*(I400-IF('Control Room'!$B$5="Normal",'Control Room'!$B$7,('Control Room'!$B$8+'Control Room'!$D$8)/2))</x:f>
        <x:v>1134.4037717884003</x:v>
      </x:c>
      <x:c r="K400" s="17" t="n">
        <x:f>IF(AND($A400&gt;='Control Room'!$A$13,$A400&lt;'Control Room'!$A$13+'Control Room'!$B$13,'Process'!BL2=1),1+('Control Room'!$C$13-1)*EXP(-0.5*(($A400-'Control Room'!$A$13-('Control Room'!$B$13-1)/2)/MAX(0.5,'Control Room'!$B$13/4))^2),1)*IF(AND($A400&gt;='Control Room'!$A$14,$A400&lt;'Control Room'!$A$14+'Control Room'!$B$14,'Process'!BL3=1),1+('Control Room'!$C$14-1)*EXP(-0.5*(($A400-'Control Room'!$A$14-('Control Room'!$B$14-1)/2)/MAX(0.5,'Control Room'!$B$14/4))^2),1)*IF(AND($A400&gt;='Control Room'!$A$15,$A400&lt;'Control Room'!$A$15+'Control Room'!$B$15,'Process'!BL4=1),1+('Control Room'!$C$15-1)*EXP(-0.5*(($A400-'Control Room'!$A$15-('Control Room'!$B$15-1)/2)/MAX(0.5,'Control Room'!$B$15/4))^2),1)*IF(AND($A400&gt;='Control Room'!$A$16,$A400&lt;'Control Room'!$A$16+'Control Room'!$B$16,'Process'!BL5=1),1+('Control Room'!$C$16-1)*EXP(-0.5*(($A400-'Control Room'!$A$16-('Control Room'!$B$16-1)/2)/MAX(0.5,'Control Room'!$B$16/4))^2),1)</x:f>
        <x:v>1</x:v>
      </x:c>
      <x:c r="L400" s="9" t="n">
        <x:f>MOD(M399*16807,2147483647)</x:f>
        <x:v>1992895027</x:v>
      </x:c>
      <x:c r="M400" s="9" t="n">
        <x:f>MOD(L400*16807,2147483647)</x:f>
        <x:v>284276530</x:v>
      </x:c>
      <x:c r="N400" s="17" t="n">
        <x:f>IF('Control Room'!$B$5="Normal",'Control Room'!$B$7+'Control Room'!$D$7*SQRT(-2*LN(MAX(0.000000000001,L400/2147483647)))*COS(2*PI()*M400/2147483647),'Control Room'!$B$8+('Control Room'!$D$8-'Control Room'!$B$8)*L400/2147483647)</x:f>
        <x:v>1023.4333934339235</x:v>
      </x:c>
      <x:c r="O400" s="17" t="n">
        <x:f>IF('Control Room'!$B$5="Normal",'Control Room'!$B$7,('Control Room'!$B$8+'Control Room'!$D$8)/2)+'Control Room'!$B$9*(O399-IF('Control Room'!$B$5="Normal",'Control Room'!$B$7,('Control Room'!$B$8+'Control Room'!$D$8)/2))+SQRT(1-'Control Room'!$B$9^2)*(N400-IF('Control Room'!$B$5="Normal",'Control Room'!$B$7,('Control Room'!$B$8+'Control Room'!$D$8)/2))</x:f>
        <x:v>1055.9917644890563</x:v>
      </x:c>
      <x:c r="P400" s="17" t="n">
        <x:f>IF(AND($A400&gt;='Control Room'!$A$13,$A400&lt;'Control Room'!$A$13+'Control Room'!$B$13,'Process'!BM2=1),1+('Control Room'!$C$13-1)*EXP(-0.5*(($A400-'Control Room'!$A$13-('Control Room'!$B$13-1)/2)/MAX(0.5,'Control Room'!$B$13/4))^2),1)*IF(AND($A400&gt;='Control Room'!$A$14,$A400&lt;'Control Room'!$A$14+'Control Room'!$B$14,'Process'!BM3=1),1+('Control Room'!$C$14-1)*EXP(-0.5*(($A400-'Control Room'!$A$14-('Control Room'!$B$14-1)/2)/MAX(0.5,'Control Room'!$B$14/4))^2),1)*IF(AND($A400&gt;='Control Room'!$A$15,$A400&lt;'Control Room'!$A$15+'Control Room'!$B$15,'Process'!BM4=1),1+('Control Room'!$C$15-1)*EXP(-0.5*(($A400-'Control Room'!$A$15-('Control Room'!$B$15-1)/2)/MAX(0.5,'Control Room'!$B$15/4))^2),1)*IF(AND($A400&gt;='Control Room'!$A$16,$A400&lt;'Control Room'!$A$16+'Control Room'!$B$16,'Process'!BM5=1),1+('Control Room'!$C$16-1)*EXP(-0.5*(($A400-'Control Room'!$A$16-('Control Room'!$B$16-1)/2)/MAX(0.5,'Control Room'!$B$16/4))^2),1)</x:f>
        <x:v>1</x:v>
      </x:c>
      <x:c r="Q400" s="9" t="n">
        <x:f>MOD(R399*16807,2147483647)</x:f>
        <x:v>264931535</x:v>
      </x:c>
      <x:c r="R400" s="9" t="n">
        <x:f>MOD(Q400*16807,2147483647)</x:f>
        <x:v>970708514</x:v>
      </x:c>
      <x:c r="S400" s="17" t="n">
        <x:f>IF('Control Room'!$B$5="Normal",'Control Room'!$B$7+'Control Room'!$D$7*SQRT(-2*LN(MAX(0.000000000001,Q400/2147483647)))*COS(2*PI()*R400/2147483647),'Control Room'!$B$8+('Control Room'!$D$8-'Control Room'!$B$8)*Q400/2147483647)</x:f>
        <x:v>824.1839517481116</x:v>
      </x:c>
      <x:c r="T400" s="17" t="n">
        <x:f>IF('Control Room'!$B$5="Normal",'Control Room'!$B$7,('Control Room'!$B$8+'Control Room'!$D$8)/2)+'Control Room'!$B$9*(T399-IF('Control Room'!$B$5="Normal",'Control Room'!$B$7,('Control Room'!$B$8+'Control Room'!$D$8)/2))+SQRT(1-'Control Room'!$B$9^2)*(S400-IF('Control Room'!$B$5="Normal",'Control Room'!$B$7,('Control Room'!$B$8+'Control Room'!$D$8)/2))</x:f>
        <x:v>839.1652796472229</x:v>
      </x:c>
      <x:c r="U400" s="17" t="n">
        <x:f>IF(AND($A400&gt;='Control Room'!$A$13,$A400&lt;'Control Room'!$A$13+'Control Room'!$B$13,'Process'!BN2=1),1+('Control Room'!$C$13-1)*EXP(-0.5*(($A400-'Control Room'!$A$13-('Control Room'!$B$13-1)/2)/MAX(0.5,'Control Room'!$B$13/4))^2),1)*IF(AND($A400&gt;='Control Room'!$A$14,$A400&lt;'Control Room'!$A$14+'Control Room'!$B$14,'Process'!BN3=1),1+('Control Room'!$C$14-1)*EXP(-0.5*(($A400-'Control Room'!$A$14-('Control Room'!$B$14-1)/2)/MAX(0.5,'Control Room'!$B$14/4))^2),1)*IF(AND($A400&gt;='Control Room'!$A$15,$A400&lt;'Control Room'!$A$15+'Control Room'!$B$15,'Process'!BN4=1),1+('Control Room'!$C$15-1)*EXP(-0.5*(($A400-'Control Room'!$A$15-('Control Room'!$B$15-1)/2)/MAX(0.5,'Control Room'!$B$15/4))^2),1)*IF(AND($A400&gt;='Control Room'!$A$16,$A400&lt;'Control Room'!$A$16+'Control Room'!$B$16,'Process'!BN5=1),1+('Control Room'!$C$16-1)*EXP(-0.5*(($A400-'Control Room'!$A$16-('Control Room'!$B$16-1)/2)/MAX(0.5,'Control Room'!$B$16/4))^2),1)</x:f>
        <x:v>1</x:v>
      </x:c>
      <x:c r="V400" s="9" t="n">
        <x:f>MOD(W399*16807,2147483647)</x:f>
        <x:v>684451690</x:v>
      </x:c>
      <x:c r="W400" s="9" t="n">
        <x:f>MOD(V400*16807,2147483647)</x:f>
        <x:v>1657140498</x:v>
      </x:c>
      <x:c r="X400" s="17" t="n">
        <x:f>IF('Control Room'!$B$5="Normal",'Control Room'!$B$7+'Control Room'!$D$7*SQRT(-2*LN(MAX(0.000000000001,V400/2147483647)))*COS(2*PI()*W400/2147483647),'Control Room'!$B$8+('Control Room'!$D$8-'Control Room'!$B$8)*V400/2147483647)</x:f>
        <x:v>1018.4706849050639</x:v>
      </x:c>
      <x:c r="Y400" s="17" t="n">
        <x:f>IF('Control Room'!$B$5="Normal",'Control Room'!$B$7,('Control Room'!$B$8+'Control Room'!$D$8)/2)+'Control Room'!$B$9*(Y399-IF('Control Room'!$B$5="Normal",'Control Room'!$B$7,('Control Room'!$B$8+'Control Room'!$D$8)/2))+SQRT(1-'Control Room'!$B$9^2)*(X400-IF('Control Room'!$B$5="Normal",'Control Room'!$B$7,('Control Room'!$B$8+'Control Room'!$D$8)/2))</x:f>
        <x:v>1046.6192591049612</x:v>
      </x:c>
      <x:c r="Z400" s="17" t="n">
        <x:f>IF(AND($A400&gt;='Control Room'!$A$13,$A400&lt;'Control Room'!$A$13+'Control Room'!$B$13,'Process'!BO2=1),1+('Control Room'!$C$13-1)*EXP(-0.5*(($A400-'Control Room'!$A$13-('Control Room'!$B$13-1)/2)/MAX(0.5,'Control Room'!$B$13/4))^2),1)*IF(AND($A400&gt;='Control Room'!$A$14,$A400&lt;'Control Room'!$A$14+'Control Room'!$B$14,'Process'!BO3=1),1+('Control Room'!$C$14-1)*EXP(-0.5*(($A400-'Control Room'!$A$14-('Control Room'!$B$14-1)/2)/MAX(0.5,'Control Room'!$B$14/4))^2),1)*IF(AND($A400&gt;='Control Room'!$A$15,$A400&lt;'Control Room'!$A$15+'Control Room'!$B$15,'Process'!BO4=1),1+('Control Room'!$C$15-1)*EXP(-0.5*(($A400-'Control Room'!$A$15-('Control Room'!$B$15-1)/2)/MAX(0.5,'Control Room'!$B$15/4))^2),1)*IF(AND($A400&gt;='Control Room'!$A$16,$A400&lt;'Control Room'!$A$16+'Control Room'!$B$16,'Process'!BO5=1),1+('Control Room'!$C$16-1)*EXP(-0.5*(($A400-'Control Room'!$A$16-('Control Room'!$B$16-1)/2)/MAX(0.5,'Control Room'!$B$16/4))^2),1)</x:f>
        <x:v>1</x:v>
      </x:c>
      <x:c r="AA400" s="9" t="n">
        <x:f>MOD(AB399*16807,2147483647)</x:f>
        <x:v>1103971845</x:v>
      </x:c>
      <x:c r="AB400" s="9" t="n">
        <x:f>MOD(AA400*16807,2147483647)</x:f>
        <x:v>196088835</x:v>
      </x:c>
      <x:c r="AC400" s="17" t="n">
        <x:f>IF('Control Room'!$B$5="Normal",'Control Room'!$B$7+'Control Room'!$D$7*SQRT(-2*LN(MAX(0.000000000001,AA400/2147483647)))*COS(2*PI()*AB400/2147483647),'Control Room'!$B$8+('Control Room'!$D$8-'Control Room'!$B$8)*AA400/2147483647)</x:f>
        <x:v>1087.199360463304</x:v>
      </x:c>
      <x:c r="AD400" s="17" t="n">
        <x:f>IF('Control Room'!$B$5="Normal",'Control Room'!$B$7,('Control Room'!$B$8+'Control Room'!$D$8)/2)+'Control Room'!$B$9*(AD399-IF('Control Room'!$B$5="Normal",'Control Room'!$B$7,('Control Room'!$B$8+'Control Room'!$D$8)/2))+SQRT(1-'Control Room'!$B$9^2)*(AC400-IF('Control Room'!$B$5="Normal",'Control Room'!$B$7,('Control Room'!$B$8+'Control Room'!$D$8)/2))</x:f>
        <x:v>1137.661253282785</x:v>
      </x:c>
      <x:c r="AE400" s="17" t="n">
        <x:f>IF(AND($A400&gt;='Control Room'!$A$13,$A400&lt;'Control Room'!$A$13+'Control Room'!$B$13,'Process'!BP2=1),1+('Control Room'!$C$13-1)*EXP(-0.5*(($A400-'Control Room'!$A$13-('Control Room'!$B$13-1)/2)/MAX(0.5,'Control Room'!$B$13/4))^2),1)*IF(AND($A400&gt;='Control Room'!$A$14,$A400&lt;'Control Room'!$A$14+'Control Room'!$B$14,'Process'!BP3=1),1+('Control Room'!$C$14-1)*EXP(-0.5*(($A400-'Control Room'!$A$14-('Control Room'!$B$14-1)/2)/MAX(0.5,'Control Room'!$B$14/4))^2),1)*IF(AND($A400&gt;='Control Room'!$A$15,$A400&lt;'Control Room'!$A$15+'Control Room'!$B$15,'Process'!BP4=1),1+('Control Room'!$C$15-1)*EXP(-0.5*(($A400-'Control Room'!$A$15-('Control Room'!$B$15-1)/2)/MAX(0.5,'Control Room'!$B$15/4))^2),1)*IF(AND($A400&gt;='Control Room'!$A$16,$A400&lt;'Control Room'!$A$16+'Control Room'!$B$16,'Process'!BP5=1),1+('Control Room'!$C$16-1)*EXP(-0.5*(($A400-'Control Room'!$A$16-('Control Room'!$B$16-1)/2)/MAX(0.5,'Control Room'!$B$16/4))^2),1)</x:f>
        <x:v>1</x:v>
      </x:c>
      <x:c r="AF400" s="9" t="n">
        <x:f>MOD(AG399*16807,2147483647)</x:f>
        <x:v>1523492000</x:v>
      </x:c>
      <x:c r="AG400" s="9" t="n">
        <x:f>MOD(AF400*16807,2147483647)</x:f>
        <x:v>882520819</x:v>
      </x:c>
      <x:c r="AH400" s="17" t="n">
        <x:f>IF('Control Room'!$B$5="Normal",'Control Room'!$B$7+'Control Room'!$D$7*SQRT(-2*LN(MAX(0.000000000001,AF400/2147483647)))*COS(2*PI()*AG400/2147483647),'Control Room'!$B$8+('Control Room'!$D$8-'Control Room'!$B$8)*AF400/2147483647)</x:f>
        <x:v>936.7960103051068</x:v>
      </x:c>
      <x:c r="AI400" s="17" t="n">
        <x:f>IF('Control Room'!$B$5="Normal",'Control Room'!$B$7,('Control Room'!$B$8+'Control Room'!$D$8)/2)+'Control Room'!$B$9*(AI399-IF('Control Room'!$B$5="Normal",'Control Room'!$B$7,('Control Room'!$B$8+'Control Room'!$D$8)/2))+SQRT(1-'Control Room'!$B$9^2)*(AH400-IF('Control Room'!$B$5="Normal",'Control Room'!$B$7,('Control Room'!$B$8+'Control Room'!$D$8)/2))</x:f>
        <x:v>926.2774092410942</x:v>
      </x:c>
      <x:c r="AJ400" s="17" t="n">
        <x:f>IF(AND($A400&gt;='Control Room'!$A$13,$A400&lt;'Control Room'!$A$13+'Control Room'!$B$13,'Process'!BQ2=1),1+('Control Room'!$C$13-1)*EXP(-0.5*(($A400-'Control Room'!$A$13-('Control Room'!$B$13-1)/2)/MAX(0.5,'Control Room'!$B$13/4))^2),1)*IF(AND($A400&gt;='Control Room'!$A$14,$A400&lt;'Control Room'!$A$14+'Control Room'!$B$14,'Process'!BQ3=1),1+('Control Room'!$C$14-1)*EXP(-0.5*(($A400-'Control Room'!$A$14-('Control Room'!$B$14-1)/2)/MAX(0.5,'Control Room'!$B$14/4))^2),1)*IF(AND($A400&gt;='Control Room'!$A$15,$A400&lt;'Control Room'!$A$15+'Control Room'!$B$15,'Process'!BQ4=1),1+('Control Room'!$C$15-1)*EXP(-0.5*(($A400-'Control Room'!$A$15-('Control Room'!$B$15-1)/2)/MAX(0.5,'Control Room'!$B$15/4))^2),1)*IF(AND($A400&gt;='Control Room'!$A$16,$A400&lt;'Control Room'!$A$16+'Control Room'!$B$16,'Process'!BQ5=1),1+('Control Room'!$C$16-1)*EXP(-0.5*(($A400-'Control Room'!$A$16-('Control Room'!$B$16-1)/2)/MAX(0.5,'Control Room'!$B$16/4))^2),1)</x:f>
        <x:v>1</x:v>
      </x:c>
      <x:c r="AK400" s="9" t="n">
        <x:f>MOD(AL399*16807,2147483647)</x:f>
        <x:v>1943012155</x:v>
      </x:c>
      <x:c r="AL400" s="9" t="n">
        <x:f>MOD(AK400*16807,2147483647)</x:f>
        <x:v>1568952803</x:v>
      </x:c>
      <x:c r="AM400" s="17" t="n">
        <x:f>IF('Control Room'!$B$5="Normal",'Control Room'!$B$7+'Control Room'!$D$7*SQRT(-2*LN(MAX(0.000000000001,AK400/2147483647)))*COS(2*PI()*AL400/2147483647),'Control Room'!$B$8+('Control Room'!$D$8-'Control Room'!$B$8)*AK400/2147483647)</x:f>
        <x:v>995.1047531213914</x:v>
      </x:c>
      <x:c r="AN400" s="17" t="n">
        <x:f>IF('Control Room'!$B$5="Normal",'Control Room'!$B$7,('Control Room'!$B$8+'Control Room'!$D$8)/2)+'Control Room'!$B$9*(AN399-IF('Control Room'!$B$5="Normal",'Control Room'!$B$7,('Control Room'!$B$8+'Control Room'!$D$8)/2))+SQRT(1-'Control Room'!$B$9^2)*(AM400-IF('Control Room'!$B$5="Normal",'Control Room'!$B$7,('Control Room'!$B$8+'Control Room'!$D$8)/2))</x:f>
        <x:v>1018.2584915321534</x:v>
      </x:c>
      <x:c r="AO400" s="17" t="n">
        <x:f>IF(AND($A400&gt;='Control Room'!$A$13,$A400&lt;'Control Room'!$A$13+'Control Room'!$B$13,'Process'!BR2=1),1+('Control Room'!$C$13-1)*EXP(-0.5*(($A400-'Control Room'!$A$13-('Control Room'!$B$13-1)/2)/MAX(0.5,'Control Room'!$B$13/4))^2),1)*IF(AND($A400&gt;='Control Room'!$A$14,$A400&lt;'Control Room'!$A$14+'Control Room'!$B$14,'Process'!BR3=1),1+('Control Room'!$C$14-1)*EXP(-0.5*(($A400-'Control Room'!$A$14-('Control Room'!$B$14-1)/2)/MAX(0.5,'Control Room'!$B$14/4))^2),1)*IF(AND($A400&gt;='Control Room'!$A$15,$A400&lt;'Control Room'!$A$15+'Control Room'!$B$15,'Process'!BR4=1),1+('Control Room'!$C$15-1)*EXP(-0.5*(($A400-'Control Room'!$A$15-('Control Room'!$B$15-1)/2)/MAX(0.5,'Control Room'!$B$15/4))^2),1)*IF(AND($A400&gt;='Control Room'!$A$16,$A400&lt;'Control Room'!$A$16+'Control Room'!$B$16,'Process'!BR5=1),1+('Control Room'!$C$16-1)*EXP(-0.5*(($A400-'Control Room'!$A$16-('Control Room'!$B$16-1)/2)/MAX(0.5,'Control Room'!$B$16/4))^2),1)</x:f>
        <x:v>1</x:v>
      </x:c>
      <x:c r="AP400" s="9" t="n">
        <x:f>MOD(AQ399*16807,2147483647)</x:f>
        <x:v>215048663</x:v>
      </x:c>
      <x:c r="AQ400" s="9" t="n">
        <x:f>MOD(AP400*16807,2147483647)</x:f>
        <x:v>107901140</x:v>
      </x:c>
      <x:c r="AR400" s="17" t="n">
        <x:f>IF('Control Room'!$B$5="Normal",'Control Room'!$B$7+'Control Room'!$D$7*SQRT(-2*LN(MAX(0.000000000001,AP400/2147483647)))*COS(2*PI()*AQ400/2147483647),'Control Room'!$B$8+('Control Room'!$D$8-'Control Room'!$B$8)*AP400/2147483647)</x:f>
        <x:v>1183.536193440162</x:v>
      </x:c>
      <x:c r="AS400" s="17" t="n">
        <x:f>IF('Control Room'!$B$5="Normal",'Control Room'!$B$7,('Control Room'!$B$8+'Control Room'!$D$8)/2)+'Control Room'!$B$9*(AS399-IF('Control Room'!$B$5="Normal",'Control Room'!$B$7,('Control Room'!$B$8+'Control Room'!$D$8)/2))+SQRT(1-'Control Room'!$B$9^2)*(AR400-IF('Control Room'!$B$5="Normal",'Control Room'!$B$7,('Control Room'!$B$8+'Control Room'!$D$8)/2))</x:f>
        <x:v>1104.8872124976565</x:v>
      </x:c>
      <x:c r="AT400" s="17" t="n">
        <x:f>IF(AND($A400&gt;='Control Room'!$A$13,$A400&lt;'Control Room'!$A$13+'Control Room'!$B$13,'Process'!BS2=1),1+('Control Room'!$C$13-1)*EXP(-0.5*(($A400-'Control Room'!$A$13-('Control Room'!$B$13-1)/2)/MAX(0.5,'Control Room'!$B$13/4))^2),1)*IF(AND($A400&gt;='Control Room'!$A$14,$A400&lt;'Control Room'!$A$14+'Control Room'!$B$14,'Process'!BS3=1),1+('Control Room'!$C$14-1)*EXP(-0.5*(($A400-'Control Room'!$A$14-('Control Room'!$B$14-1)/2)/MAX(0.5,'Control Room'!$B$14/4))^2),1)*IF(AND($A400&gt;='Control Room'!$A$15,$A400&lt;'Control Room'!$A$15+'Control Room'!$B$15,'Process'!BS4=1),1+('Control Room'!$C$15-1)*EXP(-0.5*(($A400-'Control Room'!$A$15-('Control Room'!$B$15-1)/2)/MAX(0.5,'Control Room'!$B$15/4))^2),1)*IF(AND($A400&gt;='Control Room'!$A$16,$A400&lt;'Control Room'!$A$16+'Control Room'!$B$16,'Process'!BS5=1),1+('Control Room'!$C$16-1)*EXP(-0.5*(($A400-'Control Room'!$A$16-('Control Room'!$B$16-1)/2)/MAX(0.5,'Control Room'!$B$16/4))^2),1)</x:f>
        <x:v>1</x:v>
      </x:c>
      <x:c r="AU400" s="9" t="n">
        <x:f>MOD(AV399*16807,2147483647)</x:f>
        <x:v>634568818</x:v>
      </x:c>
      <x:c r="AV400" s="9" t="n">
        <x:f>MOD(AU400*16807,2147483647)</x:f>
        <x:v>794333124</x:v>
      </x:c>
      <x:c r="AW400" s="17" t="n">
        <x:f>IF('Control Room'!$B$5="Normal",'Control Room'!$B$7+'Control Room'!$D$7*SQRT(-2*LN(MAX(0.000000000001,AU400/2147483647)))*COS(2*PI()*AV400/2147483647),'Control Room'!$B$8+('Control Room'!$D$8-'Control Room'!$B$8)*AU400/2147483647)</x:f>
        <x:v>903.8692545698091</x:v>
      </x:c>
      <x:c r="AX400" s="17" t="n">
        <x:f>IF('Control Room'!$B$5="Normal",'Control Room'!$B$7,('Control Room'!$B$8+'Control Room'!$D$8)/2)+'Control Room'!$B$9*(AX399-IF('Control Room'!$B$5="Normal",'Control Room'!$B$7,('Control Room'!$B$8+'Control Room'!$D$8)/2))+SQRT(1-'Control Room'!$B$9^2)*(AW400-IF('Control Room'!$B$5="Normal",'Control Room'!$B$7,('Control Room'!$B$8+'Control Room'!$D$8)/2))</x:f>
        <x:v>899.1969306766839</x:v>
      </x:c>
      <x:c r="AY400" s="17" t="n">
        <x:f>IF(AND($A400&gt;='Control Room'!$A$13,$A400&lt;'Control Room'!$A$13+'Control Room'!$B$13,'Process'!BT2=1),1+('Control Room'!$C$13-1)*EXP(-0.5*(($A400-'Control Room'!$A$13-('Control Room'!$B$13-1)/2)/MAX(0.5,'Control Room'!$B$13/4))^2),1)*IF(AND($A400&gt;='Control Room'!$A$14,$A400&lt;'Control Room'!$A$14+'Control Room'!$B$14,'Process'!BT3=1),1+('Control Room'!$C$14-1)*EXP(-0.5*(($A400-'Control Room'!$A$14-('Control Room'!$B$14-1)/2)/MAX(0.5,'Control Room'!$B$14/4))^2),1)*IF(AND($A400&gt;='Control Room'!$A$15,$A400&lt;'Control Room'!$A$15+'Control Room'!$B$15,'Process'!BT4=1),1+('Control Room'!$C$15-1)*EXP(-0.5*(($A400-'Control Room'!$A$15-('Control Room'!$B$15-1)/2)/MAX(0.5,'Control Room'!$B$15/4))^2),1)*IF(AND($A400&gt;='Control Room'!$A$16,$A400&lt;'Control Room'!$A$16+'Control Room'!$B$16,'Process'!BT5=1),1+('Control Room'!$C$16-1)*EXP(-0.5*(($A400-'Control Room'!$A$16-('Control Room'!$B$16-1)/2)/MAX(0.5,'Control Room'!$B$16/4))^2),1)</x:f>
        <x:v>1</x:v>
      </x:c>
      <x:c r="AZ400" s="9" t="n">
        <x:f>MOD(BA399*16807,2147483647)</x:f>
        <x:v>1054088973</x:v>
      </x:c>
      <x:c r="BA400" s="9" t="n">
        <x:f>MOD(AZ400*16807,2147483647)</x:f>
        <x:v>1480765108</x:v>
      </x:c>
      <x:c r="BB400" s="17" t="n">
        <x:f>IF('Control Room'!$B$5="Normal",'Control Room'!$B$7+'Control Room'!$D$7*SQRT(-2*LN(MAX(0.000000000001,AZ400/2147483647)))*COS(2*PI()*BA400/2147483647),'Control Room'!$B$8+('Control Room'!$D$8-'Control Room'!$B$8)*AZ400/2147483647)</x:f>
        <x:v>960.1830845654616</x:v>
      </x:c>
      <x:c r="BC400" s="17" t="n">
        <x:f>IF('Control Room'!$B$5="Normal",'Control Room'!$B$7,('Control Room'!$B$8+'Control Room'!$D$8)/2)+'Control Room'!$B$9*(BC399-IF('Control Room'!$B$5="Normal",'Control Room'!$B$7,('Control Room'!$B$8+'Control Room'!$D$8)/2))+SQRT(1-'Control Room'!$B$9^2)*(BB400-IF('Control Room'!$B$5="Normal",'Control Room'!$B$7,('Control Room'!$B$8+'Control Room'!$D$8)/2))</x:f>
        <x:v>990.1110513606938</x:v>
      </x:c>
      <x:c r="BD400" s="17" t="n">
        <x:f>IF(AND($A400&gt;='Control Room'!$A$13,$A400&lt;'Control Room'!$A$13+'Control Room'!$B$13,'Process'!BU2=1),1+('Control Room'!$C$13-1)*EXP(-0.5*(($A400-'Control Room'!$A$13-('Control Room'!$B$13-1)/2)/MAX(0.5,'Control Room'!$B$13/4))^2),1)*IF(AND($A400&gt;='Control Room'!$A$14,$A400&lt;'Control Room'!$A$14+'Control Room'!$B$14,'Process'!BU3=1),1+('Control Room'!$C$14-1)*EXP(-0.5*(($A400-'Control Room'!$A$14-('Control Room'!$B$14-1)/2)/MAX(0.5,'Control Room'!$B$14/4))^2),1)*IF(AND($A400&gt;='Control Room'!$A$15,$A400&lt;'Control Room'!$A$15+'Control Room'!$B$15,'Process'!BU4=1),1+('Control Room'!$C$15-1)*EXP(-0.5*(($A400-'Control Room'!$A$15-('Control Room'!$B$15-1)/2)/MAX(0.5,'Control Room'!$B$15/4))^2),1)*IF(AND($A400&gt;='Control Room'!$A$16,$A400&lt;'Control Room'!$A$16+'Control Room'!$B$16,'Process'!BU5=1),1+('Control Room'!$C$16-1)*EXP(-0.5*(($A400-'Control Room'!$A$16-('Control Room'!$B$16-1)/2)/MAX(0.5,'Control Room'!$B$16/4))^2),1)</x:f>
        <x:v>1</x:v>
      </x:c>
      <x:c r="BE400" s="9" t="n">
        <x:f>MOD(BF399*16807,2147483647)</x:f>
        <x:v>1473609128</x:v>
      </x:c>
      <x:c r="BF400" s="9" t="n">
        <x:f>MOD(BE400*16807,2147483647)</x:f>
        <x:v>19713445</x:v>
      </x:c>
      <x:c r="BG400" s="17" t="n">
        <x:f>IF('Control Room'!$B$5="Normal",'Control Room'!$B$7+'Control Room'!$D$7*SQRT(-2*LN(MAX(0.000000000001,BE400/2147483647)))*COS(2*PI()*BF400/2147483647),'Control Room'!$B$8+('Control Room'!$D$8-'Control Room'!$B$8)*BE400/2147483647)</x:f>
        <x:v>1077.9766522353016</x:v>
      </x:c>
      <x:c r="BH400" s="17" t="n">
        <x:f>IF('Control Room'!$B$5="Normal",'Control Room'!$B$7,('Control Room'!$B$8+'Control Room'!$D$8)/2)+'Control Room'!$B$9*(BH399-IF('Control Room'!$B$5="Normal",'Control Room'!$B$7,('Control Room'!$B$8+'Control Room'!$D$8)/2))+SQRT(1-'Control Room'!$B$9^2)*(BG400-IF('Control Room'!$B$5="Normal",'Control Room'!$B$7,('Control Room'!$B$8+'Control Room'!$D$8)/2))</x:f>
        <x:v>968.5314852869247</x:v>
      </x:c>
      <x:c r="BI400" s="17" t="n">
        <x:f>IF(AND($A400&gt;='Control Room'!$A$13,$A400&lt;'Control Room'!$A$13+'Control Room'!$B$13,'Process'!BV2=1),1+('Control Room'!$C$13-1)*EXP(-0.5*(($A400-'Control Room'!$A$13-('Control Room'!$B$13-1)/2)/MAX(0.5,'Control Room'!$B$13/4))^2),1)*IF(AND($A400&gt;='Control Room'!$A$14,$A400&lt;'Control Room'!$A$14+'Control Room'!$B$14,'Process'!BV3=1),1+('Control Room'!$C$14-1)*EXP(-0.5*(($A400-'Control Room'!$A$14-('Control Room'!$B$14-1)/2)/MAX(0.5,'Control Room'!$B$14/4))^2),1)*IF(AND($A400&gt;='Control Room'!$A$15,$A400&lt;'Control Room'!$A$15+'Control Room'!$B$15,'Process'!BV4=1),1+('Control Room'!$C$15-1)*EXP(-0.5*(($A400-'Control Room'!$A$15-('Control Room'!$B$15-1)/2)/MAX(0.5,'Control Room'!$B$15/4))^2),1)*IF(AND($A400&gt;='Control Room'!$A$16,$A400&lt;'Control Room'!$A$16+'Control Room'!$B$16,'Process'!BV5=1),1+('Control Room'!$C$16-1)*EXP(-0.5*(($A400-'Control Room'!$A$16-('Control Room'!$B$16-1)/2)/MAX(0.5,'Control Room'!$B$16/4))^2),1)</x:f>
        <x:v>1</x:v>
      </x:c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Z400" t="str">
        <x:f>IF('Data'!A400="","",TEXT('Data'!A400,"mm-dd"))</x:f>
      </x:c>
    </x:row>
    <x:row r="401" ht="21" customHeight="1">
      <x:c r="A401" s="15" t="n">
        <x:f>'Control Room'!$B$1+399</x:f>
        <x:v>73390</x:v>
      </x:c>
      <x:c r="B401" s="9" t="n">
        <x:f>MOD(C400*16807,2147483647)</x:f>
        <x:v>671601974</x:v>
      </x:c>
      <x:c r="C401" s="9" t="n">
        <x:f>MOD(B401*16807,2147483647)</x:f>
        <x:v>440328386</x:v>
      </x:c>
      <x:c r="D401" s="17" t="n">
        <x:f>IF('Control Room'!$B$5="Normal",'Control Room'!$B$7+'Control Room'!$D$7*SQRT(-2*LN(MAX(0.000000000001,B401/2147483647)))*COS(2*PI()*C401/2147483647),'Control Room'!$B$8+('Control Room'!$D$8-'Control Room'!$B$8)*B401/2147483647)</x:f>
        <x:v>1038.2481736235657</x:v>
      </x:c>
      <x:c r="E401" s="17" t="n">
        <x:f>IF('Control Room'!$B$5="Normal",'Control Room'!$B$7,('Control Room'!$B$8+'Control Room'!$D$8)/2)+'Control Room'!$B$9*(E400-IF('Control Room'!$B$5="Normal",'Control Room'!$B$7,('Control Room'!$B$8+'Control Room'!$D$8)/2))+SQRT(1-'Control Room'!$B$9^2)*(D401-IF('Control Room'!$B$5="Normal",'Control Room'!$B$7,('Control Room'!$B$8+'Control Room'!$D$8)/2))</x:f>
        <x:v>856.7533286625757</x:v>
      </x:c>
      <x:c r="F401" s="17" t="n">
        <x:f>IF(AND($A401&gt;='Control Room'!$A$13,$A401&lt;'Control Room'!$A$13+'Control Room'!$B$13,'Process'!BK2=1),1+('Control Room'!$C$13-1)*EXP(-0.5*(($A401-'Control Room'!$A$13-('Control Room'!$B$13-1)/2)/MAX(0.5,'Control Room'!$B$13/4))^2),1)*IF(AND($A401&gt;='Control Room'!$A$14,$A401&lt;'Control Room'!$A$14+'Control Room'!$B$14,'Process'!BK3=1),1+('Control Room'!$C$14-1)*EXP(-0.5*(($A401-'Control Room'!$A$14-('Control Room'!$B$14-1)/2)/MAX(0.5,'Control Room'!$B$14/4))^2),1)*IF(AND($A401&gt;='Control Room'!$A$15,$A401&lt;'Control Room'!$A$15+'Control Room'!$B$15,'Process'!BK4=1),1+('Control Room'!$C$15-1)*EXP(-0.5*(($A401-'Control Room'!$A$15-('Control Room'!$B$15-1)/2)/MAX(0.5,'Control Room'!$B$15/4))^2),1)*IF(AND($A401&gt;='Control Room'!$A$16,$A401&lt;'Control Room'!$A$16+'Control Room'!$B$16,'Process'!BK5=1),1+('Control Room'!$C$16-1)*EXP(-0.5*(($A401-'Control Room'!$A$16-('Control Room'!$B$16-1)/2)/MAX(0.5,'Control Room'!$B$16/4))^2),1)</x:f>
        <x:v>1</x:v>
      </x:c>
      <x:c r="G401" s="9" t="n">
        <x:f>MOD(H400*16807,2147483647)</x:f>
        <x:v>1251805378</x:v>
      </x:c>
      <x:c r="H401" s="9" t="n">
        <x:f>MOD(G401*16807,2147483647)</x:f>
        <x:v>195698387</x:v>
      </x:c>
      <x:c r="I401" s="17" t="n">
        <x:f>IF('Control Room'!$B$5="Normal",'Control Room'!$B$7+'Control Room'!$D$7*SQRT(-2*LN(MAX(0.000000000001,G401/2147483647)))*COS(2*PI()*H401/2147483647),'Control Room'!$B$8+('Control Room'!$D$8-'Control Room'!$B$8)*G401/2147483647)</x:f>
        <x:v>1078.591956597561</x:v>
      </x:c>
      <x:c r="J401" s="17" t="n">
        <x:f>IF('Control Room'!$B$5="Normal",'Control Room'!$B$7,('Control Room'!$B$8+'Control Room'!$D$8)/2)+'Control Room'!$B$9*(J400-IF('Control Room'!$B$5="Normal",'Control Room'!$B$7,('Control Room'!$B$8+'Control Room'!$D$8)/2))+SQRT(1-'Control Room'!$B$9^2)*(I401-IF('Control Room'!$B$5="Normal",'Control Room'!$B$7,('Control Room'!$B$8+'Control Room'!$D$8)/2))</x:f>
        <x:v>1154.0161783899614</x:v>
      </x:c>
      <x:c r="K401" s="17" t="n">
        <x:f>IF(AND($A401&gt;='Control Room'!$A$13,$A401&lt;'Control Room'!$A$13+'Control Room'!$B$13,'Process'!BL2=1),1+('Control Room'!$C$13-1)*EXP(-0.5*(($A401-'Control Room'!$A$13-('Control Room'!$B$13-1)/2)/MAX(0.5,'Control Room'!$B$13/4))^2),1)*IF(AND($A401&gt;='Control Room'!$A$14,$A401&lt;'Control Room'!$A$14+'Control Room'!$B$14,'Process'!BL3=1),1+('Control Room'!$C$14-1)*EXP(-0.5*(($A401-'Control Room'!$A$14-('Control Room'!$B$14-1)/2)/MAX(0.5,'Control Room'!$B$14/4))^2),1)*IF(AND($A401&gt;='Control Room'!$A$15,$A401&lt;'Control Room'!$A$15+'Control Room'!$B$15,'Process'!BL4=1),1+('Control Room'!$C$15-1)*EXP(-0.5*(($A401-'Control Room'!$A$15-('Control Room'!$B$15-1)/2)/MAX(0.5,'Control Room'!$B$15/4))^2),1)*IF(AND($A401&gt;='Control Room'!$A$16,$A401&lt;'Control Room'!$A$16+'Control Room'!$B$16,'Process'!BL5=1),1+('Control Room'!$C$16-1)*EXP(-0.5*(($A401-'Control Room'!$A$16-('Control Room'!$B$16-1)/2)/MAX(0.5,'Control Room'!$B$16/4))^2),1)</x:f>
        <x:v>1</x:v>
      </x:c>
      <x:c r="L401" s="9" t="n">
        <x:f>MOD(M400*16807,2147483647)</x:f>
        <x:v>1832008782</x:v>
      </x:c>
      <x:c r="M401" s="9" t="n">
        <x:f>MOD(L401*16807,2147483647)</x:f>
        <x:v>2098552035</x:v>
      </x:c>
      <x:c r="N401" s="17" t="n">
        <x:f>IF('Control Room'!$B$5="Normal",'Control Room'!$B$7+'Control Room'!$D$7*SQRT(-2*LN(MAX(0.000000000001,L401/2147483647)))*COS(2*PI()*M401/2147483647),'Control Room'!$B$8+('Control Room'!$D$8-'Control Room'!$B$8)*L401/2147483647)</x:f>
        <x:v>1050.214730975532</x:v>
      </x:c>
      <x:c r="O401" s="17" t="n">
        <x:f>IF('Control Room'!$B$5="Normal",'Control Room'!$B$7,('Control Room'!$B$8+'Control Room'!$D$8)/2)+'Control Room'!$B$9*(O400-IF('Control Room'!$B$5="Normal",'Control Room'!$B$7,('Control Room'!$B$8+'Control Room'!$D$8)/2))+SQRT(1-'Control Room'!$B$9^2)*(N401-IF('Control Room'!$B$5="Normal",'Control Room'!$B$7,('Control Room'!$B$8+'Control Room'!$D$8)/2))</x:f>
        <x:v>1075.0969262412727</x:v>
      </x:c>
      <x:c r="P401" s="17" t="n">
        <x:f>IF(AND($A401&gt;='Control Room'!$A$13,$A401&lt;'Control Room'!$A$13+'Control Room'!$B$13,'Process'!BM2=1),1+('Control Room'!$C$13-1)*EXP(-0.5*(($A401-'Control Room'!$A$13-('Control Room'!$B$13-1)/2)/MAX(0.5,'Control Room'!$B$13/4))^2),1)*IF(AND($A401&gt;='Control Room'!$A$14,$A401&lt;'Control Room'!$A$14+'Control Room'!$B$14,'Process'!BM3=1),1+('Control Room'!$C$14-1)*EXP(-0.5*(($A401-'Control Room'!$A$14-('Control Room'!$B$14-1)/2)/MAX(0.5,'Control Room'!$B$14/4))^2),1)*IF(AND($A401&gt;='Control Room'!$A$15,$A401&lt;'Control Room'!$A$15+'Control Room'!$B$15,'Process'!BM4=1),1+('Control Room'!$C$15-1)*EXP(-0.5*(($A401-'Control Room'!$A$15-('Control Room'!$B$15-1)/2)/MAX(0.5,'Control Room'!$B$15/4))^2),1)*IF(AND($A401&gt;='Control Room'!$A$16,$A401&lt;'Control Room'!$A$16+'Control Room'!$B$16,'Process'!BM5=1),1+('Control Room'!$C$16-1)*EXP(-0.5*(($A401-'Control Room'!$A$16-('Control Room'!$B$16-1)/2)/MAX(0.5,'Control Room'!$B$16/4))^2),1)</x:f>
        <x:v>1</x:v>
      </x:c>
      <x:c r="Q401" s="9" t="n">
        <x:f>MOD(R400*16807,2147483647)</x:f>
        <x:v>264728539</x:v>
      </x:c>
      <x:c r="R401" s="9" t="n">
        <x:f>MOD(Q401*16807,2147483647)</x:f>
        <x:v>1853922036</x:v>
      </x:c>
      <x:c r="S401" s="17" t="n">
        <x:f>IF('Control Room'!$B$5="Normal",'Control Room'!$B$7+'Control Room'!$D$7*SQRT(-2*LN(MAX(0.000000000001,Q401/2147483647)))*COS(2*PI()*R401/2147483647),'Control Room'!$B$8+('Control Room'!$D$8-'Control Room'!$B$8)*Q401/2147483647)</x:f>
        <x:v>1120.2997374452957</x:v>
      </x:c>
      <x:c r="T401" s="17" t="n">
        <x:f>IF('Control Room'!$B$5="Normal",'Control Room'!$B$7,('Control Room'!$B$8+'Control Room'!$D$8)/2)+'Control Room'!$B$9*(T400-IF('Control Room'!$B$5="Normal",'Control Room'!$B$7,('Control Room'!$B$8+'Control Room'!$D$8)/2))+SQRT(1-'Control Room'!$B$9^2)*(S401-IF('Control Room'!$B$5="Normal",'Control Room'!$B$7,('Control Room'!$B$8+'Control Room'!$D$8)/2))</x:f>
        <x:v>949.8300293440221</x:v>
      </x:c>
      <x:c r="U401" s="17" t="n">
        <x:f>IF(AND($A401&gt;='Control Room'!$A$13,$A401&lt;'Control Room'!$A$13+'Control Room'!$B$13,'Process'!BN2=1),1+('Control Room'!$C$13-1)*EXP(-0.5*(($A401-'Control Room'!$A$13-('Control Room'!$B$13-1)/2)/MAX(0.5,'Control Room'!$B$13/4))^2),1)*IF(AND($A401&gt;='Control Room'!$A$14,$A401&lt;'Control Room'!$A$14+'Control Room'!$B$14,'Process'!BN3=1),1+('Control Room'!$C$14-1)*EXP(-0.5*(($A401-'Control Room'!$A$14-('Control Room'!$B$14-1)/2)/MAX(0.5,'Control Room'!$B$14/4))^2),1)*IF(AND($A401&gt;='Control Room'!$A$15,$A401&lt;'Control Room'!$A$15+'Control Room'!$B$15,'Process'!BN4=1),1+('Control Room'!$C$15-1)*EXP(-0.5*(($A401-'Control Room'!$A$15-('Control Room'!$B$15-1)/2)/MAX(0.5,'Control Room'!$B$15/4))^2),1)*IF(AND($A401&gt;='Control Room'!$A$16,$A401&lt;'Control Room'!$A$16+'Control Room'!$B$16,'Process'!BN5=1),1+('Control Room'!$C$16-1)*EXP(-0.5*(($A401-'Control Room'!$A$16-('Control Room'!$B$16-1)/2)/MAX(0.5,'Control Room'!$B$16/4))^2),1)</x:f>
        <x:v>1</x:v>
      </x:c>
      <x:c r="V401" s="9" t="n">
        <x:f>MOD(W400*16807,2147483647)</x:f>
        <x:v>844931943</x:v>
      </x:c>
      <x:c r="W401" s="9" t="n">
        <x:f>MOD(V401*16807,2147483647)</x:f>
        <x:v>1609292037</x:v>
      </x:c>
      <x:c r="X401" s="17" t="n">
        <x:f>IF('Control Room'!$B$5="Normal",'Control Room'!$B$7+'Control Room'!$D$7*SQRT(-2*LN(MAX(0.000000000001,V401/2147483647)))*COS(2*PI()*W401/2147483647),'Control Room'!$B$8+('Control Room'!$D$8-'Control Room'!$B$8)*V401/2147483647)</x:f>
        <x:v>999.5249893366583</x:v>
      </x:c>
      <x:c r="Y401" s="17" t="n">
        <x:f>IF('Control Room'!$B$5="Normal",'Control Room'!$B$7,('Control Room'!$B$8+'Control Room'!$D$8)/2)+'Control Room'!$B$9*(Y400-IF('Control Room'!$B$5="Normal",'Control Room'!$B$7,('Control Room'!$B$8+'Control Room'!$D$8)/2))+SQRT(1-'Control Room'!$B$9^2)*(X401-IF('Control Room'!$B$5="Normal",'Control Room'!$B$7,('Control Room'!$B$8+'Control Room'!$D$8)/2))</x:f>
        <x:v>1036.065770159873</x:v>
      </x:c>
      <x:c r="Z401" s="17" t="n">
        <x:f>IF(AND($A401&gt;='Control Room'!$A$13,$A401&lt;'Control Room'!$A$13+'Control Room'!$B$13,'Process'!BO2=1),1+('Control Room'!$C$13-1)*EXP(-0.5*(($A401-'Control Room'!$A$13-('Control Room'!$B$13-1)/2)/MAX(0.5,'Control Room'!$B$13/4))^2),1)*IF(AND($A401&gt;='Control Room'!$A$14,$A401&lt;'Control Room'!$A$14+'Control Room'!$B$14,'Process'!BO3=1),1+('Control Room'!$C$14-1)*EXP(-0.5*(($A401-'Control Room'!$A$14-('Control Room'!$B$14-1)/2)/MAX(0.5,'Control Room'!$B$14/4))^2),1)*IF(AND($A401&gt;='Control Room'!$A$15,$A401&lt;'Control Room'!$A$15+'Control Room'!$B$15,'Process'!BO4=1),1+('Control Room'!$C$15-1)*EXP(-0.5*(($A401-'Control Room'!$A$15-('Control Room'!$B$15-1)/2)/MAX(0.5,'Control Room'!$B$15/4))^2),1)*IF(AND($A401&gt;='Control Room'!$A$16,$A401&lt;'Control Room'!$A$16+'Control Room'!$B$16,'Process'!BO5=1),1+('Control Room'!$C$16-1)*EXP(-0.5*(($A401-'Control Room'!$A$16-('Control Room'!$B$16-1)/2)/MAX(0.5,'Control Room'!$B$16/4))^2),1)</x:f>
        <x:v>1</x:v>
      </x:c>
      <x:c r="AA401" s="9" t="n">
        <x:f>MOD(AB400*16807,2147483647)</x:f>
        <x:v>1425135347</x:v>
      </x:c>
      <x:c r="AB401" s="9" t="n">
        <x:f>MOD(AA401*16807,2147483647)</x:f>
        <x:v>1364662038</x:v>
      </x:c>
      <x:c r="AC401" s="17" t="n">
        <x:f>IF('Control Room'!$B$5="Normal",'Control Room'!$B$7+'Control Room'!$D$7*SQRT(-2*LN(MAX(0.000000000001,AA401/2147483647)))*COS(2*PI()*AB401/2147483647),'Control Room'!$B$8+('Control Room'!$D$8-'Control Room'!$B$8)*AA401/2147483647)</x:f>
        <x:v>946.2830086645971</x:v>
      </x:c>
      <x:c r="AD401" s="17" t="n">
        <x:f>IF('Control Room'!$B$5="Normal",'Control Room'!$B$7,('Control Room'!$B$8+'Control Room'!$D$8)/2)+'Control Room'!$B$9*(AD400-IF('Control Room'!$B$5="Normal",'Control Room'!$B$7,('Control Room'!$B$8+'Control Room'!$D$8)/2))+SQRT(1-'Control Room'!$B$9^2)*(AC401-IF('Control Room'!$B$5="Normal",'Control Room'!$B$7,('Control Room'!$B$8+'Control Room'!$D$8)/2))</x:f>
        <x:v>1073.7607848352595</x:v>
      </x:c>
      <x:c r="AE401" s="17" t="n">
        <x:f>IF(AND($A401&gt;='Control Room'!$A$13,$A401&lt;'Control Room'!$A$13+'Control Room'!$B$13,'Process'!BP2=1),1+('Control Room'!$C$13-1)*EXP(-0.5*(($A401-'Control Room'!$A$13-('Control Room'!$B$13-1)/2)/MAX(0.5,'Control Room'!$B$13/4))^2),1)*IF(AND($A401&gt;='Control Room'!$A$14,$A401&lt;'Control Room'!$A$14+'Control Room'!$B$14,'Process'!BP3=1),1+('Control Room'!$C$14-1)*EXP(-0.5*(($A401-'Control Room'!$A$14-('Control Room'!$B$14-1)/2)/MAX(0.5,'Control Room'!$B$14/4))^2),1)*IF(AND($A401&gt;='Control Room'!$A$15,$A401&lt;'Control Room'!$A$15+'Control Room'!$B$15,'Process'!BP4=1),1+('Control Room'!$C$15-1)*EXP(-0.5*(($A401-'Control Room'!$A$15-('Control Room'!$B$15-1)/2)/MAX(0.5,'Control Room'!$B$15/4))^2),1)*IF(AND($A401&gt;='Control Room'!$A$16,$A401&lt;'Control Room'!$A$16+'Control Room'!$B$16,'Process'!BP5=1),1+('Control Room'!$C$16-1)*EXP(-0.5*(($A401-'Control Room'!$A$16-('Control Room'!$B$16-1)/2)/MAX(0.5,'Control Room'!$B$16/4))^2),1)</x:f>
        <x:v>1</x:v>
      </x:c>
      <x:c r="AF401" s="9" t="n">
        <x:f>MOD(AG400*16807,2147483647)</x:f>
        <x:v>2005338751</x:v>
      </x:c>
      <x:c r="AG401" s="9" t="n">
        <x:f>MOD(AF401*16807,2147483647)</x:f>
        <x:v>1120032039</x:v>
      </x:c>
      <x:c r="AH401" s="17" t="n">
        <x:f>IF('Control Room'!$B$5="Normal",'Control Room'!$B$7+'Control Room'!$D$7*SQRT(-2*LN(MAX(0.000000000001,AF401/2147483647)))*COS(2*PI()*AG401/2147483647),'Control Room'!$B$8+('Control Room'!$D$8-'Control Room'!$B$8)*AF401/2147483647)</x:f>
        <x:v>966.9968142601864</x:v>
      </x:c>
      <x:c r="AI401" s="17" t="n">
        <x:f>IF('Control Room'!$B$5="Normal",'Control Room'!$B$7,('Control Room'!$B$8+'Control Room'!$D$8)/2)+'Control Room'!$B$9*(AI400-IF('Control Room'!$B$5="Normal",'Control Room'!$B$7,('Control Room'!$B$8+'Control Room'!$D$8)/2))+SQRT(1-'Control Room'!$B$9^2)*(AH401-IF('Control Room'!$B$5="Normal",'Control Room'!$B$7,('Control Room'!$B$8+'Control Room'!$D$8)/2))</x:f>
        <x:v>921.8436616790876</x:v>
      </x:c>
      <x:c r="AJ401" s="17" t="n">
        <x:f>IF(AND($A401&gt;='Control Room'!$A$13,$A401&lt;'Control Room'!$A$13+'Control Room'!$B$13,'Process'!BQ2=1),1+('Control Room'!$C$13-1)*EXP(-0.5*(($A401-'Control Room'!$A$13-('Control Room'!$B$13-1)/2)/MAX(0.5,'Control Room'!$B$13/4))^2),1)*IF(AND($A401&gt;='Control Room'!$A$14,$A401&lt;'Control Room'!$A$14+'Control Room'!$B$14,'Process'!BQ3=1),1+('Control Room'!$C$14-1)*EXP(-0.5*(($A401-'Control Room'!$A$14-('Control Room'!$B$14-1)/2)/MAX(0.5,'Control Room'!$B$14/4))^2),1)*IF(AND($A401&gt;='Control Room'!$A$15,$A401&lt;'Control Room'!$A$15+'Control Room'!$B$15,'Process'!BQ4=1),1+('Control Room'!$C$15-1)*EXP(-0.5*(($A401-'Control Room'!$A$15-('Control Room'!$B$15-1)/2)/MAX(0.5,'Control Room'!$B$15/4))^2),1)*IF(AND($A401&gt;='Control Room'!$A$16,$A401&lt;'Control Room'!$A$16+'Control Room'!$B$16,'Process'!BQ5=1),1+('Control Room'!$C$16-1)*EXP(-0.5*(($A401-'Control Room'!$A$16-('Control Room'!$B$16-1)/2)/MAX(0.5,'Control Room'!$B$16/4))^2),1)</x:f>
        <x:v>1</x:v>
      </x:c>
      <x:c r="AK401" s="9" t="n">
        <x:f>MOD(AL400*16807,2147483647)</x:f>
        <x:v>438058508</x:v>
      </x:c>
      <x:c r="AL401" s="9" t="n">
        <x:f>MOD(AK401*16807,2147483647)</x:f>
        <x:v>875402040</x:v>
      </x:c>
      <x:c r="AM401" s="17" t="n">
        <x:f>IF('Control Room'!$B$5="Normal",'Control Room'!$B$7+'Control Room'!$D$7*SQRT(-2*LN(MAX(0.000000000001,AK401/2147483647)))*COS(2*PI()*AL401/2147483647),'Control Room'!$B$8+('Control Room'!$D$8-'Control Room'!$B$8)*AK401/2147483647)</x:f>
        <x:v>865.7935360456739</x:v>
      </x:c>
      <x:c r="AN401" s="17" t="n">
        <x:f>IF('Control Room'!$B$5="Normal",'Control Room'!$B$7,('Control Room'!$B$8+'Control Room'!$D$8)/2)+'Control Room'!$B$9*(AN400-IF('Control Room'!$B$5="Normal",'Control Room'!$B$7,('Control Room'!$B$8+'Control Room'!$D$8)/2))+SQRT(1-'Control Room'!$B$9^2)*(AM401-IF('Control Room'!$B$5="Normal",'Control Room'!$B$7,('Control Room'!$B$8+'Control Room'!$D$8)/2))</x:f>
        <x:v>930.257967621318</x:v>
      </x:c>
      <x:c r="AO401" s="17" t="n">
        <x:f>IF(AND($A401&gt;='Control Room'!$A$13,$A401&lt;'Control Room'!$A$13+'Control Room'!$B$13,'Process'!BR2=1),1+('Control Room'!$C$13-1)*EXP(-0.5*(($A401-'Control Room'!$A$13-('Control Room'!$B$13-1)/2)/MAX(0.5,'Control Room'!$B$13/4))^2),1)*IF(AND($A401&gt;='Control Room'!$A$14,$A401&lt;'Control Room'!$A$14+'Control Room'!$B$14,'Process'!BR3=1),1+('Control Room'!$C$14-1)*EXP(-0.5*(($A401-'Control Room'!$A$14-('Control Room'!$B$14-1)/2)/MAX(0.5,'Control Room'!$B$14/4))^2),1)*IF(AND($A401&gt;='Control Room'!$A$15,$A401&lt;'Control Room'!$A$15+'Control Room'!$B$15,'Process'!BR4=1),1+('Control Room'!$C$15-1)*EXP(-0.5*(($A401-'Control Room'!$A$15-('Control Room'!$B$15-1)/2)/MAX(0.5,'Control Room'!$B$15/4))^2),1)*IF(AND($A401&gt;='Control Room'!$A$16,$A401&lt;'Control Room'!$A$16+'Control Room'!$B$16,'Process'!BR5=1),1+('Control Room'!$C$16-1)*EXP(-0.5*(($A401-'Control Room'!$A$16-('Control Room'!$B$16-1)/2)/MAX(0.5,'Control Room'!$B$16/4))^2),1)</x:f>
        <x:v>1</x:v>
      </x:c>
      <x:c r="AP401" s="9" t="n">
        <x:f>MOD(AQ400*16807,2147483647)</x:f>
        <x:v>1018261912</x:v>
      </x:c>
      <x:c r="AQ401" s="9" t="n">
        <x:f>MOD(AP401*16807,2147483647)</x:f>
        <x:v>630772041</x:v>
      </x:c>
      <x:c r="AR401" s="17" t="n">
        <x:f>IF('Control Room'!$B$5="Normal",'Control Room'!$B$7+'Control Room'!$D$7*SQRT(-2*LN(MAX(0.000000000001,AP401/2147483647)))*COS(2*PI()*AQ401/2147483647),'Control Room'!$B$8+('Control Room'!$D$8-'Control Room'!$B$8)*AP401/2147483647)</x:f>
        <x:v>970.1717022570299</x:v>
      </x:c>
      <x:c r="AS401" s="17" t="n">
        <x:f>IF('Control Room'!$B$5="Normal",'Control Room'!$B$7,('Control Room'!$B$8+'Control Room'!$D$8)/2)+'Control Room'!$B$9*(AS400-IF('Control Room'!$B$5="Normal",'Control Room'!$B$7,('Control Room'!$B$8+'Control Room'!$D$8)/2))+SQRT(1-'Control Room'!$B$9^2)*(AR401-IF('Control Room'!$B$5="Normal",'Control Room'!$B$7,('Control Room'!$B$8+'Control Room'!$D$8)/2))</x:f>
        <x:v>1063.1460880865152</x:v>
      </x:c>
      <x:c r="AT401" s="17" t="n">
        <x:f>IF(AND($A401&gt;='Control Room'!$A$13,$A401&lt;'Control Room'!$A$13+'Control Room'!$B$13,'Process'!BS2=1),1+('Control Room'!$C$13-1)*EXP(-0.5*(($A401-'Control Room'!$A$13-('Control Room'!$B$13-1)/2)/MAX(0.5,'Control Room'!$B$13/4))^2),1)*IF(AND($A401&gt;='Control Room'!$A$14,$A401&lt;'Control Room'!$A$14+'Control Room'!$B$14,'Process'!BS3=1),1+('Control Room'!$C$14-1)*EXP(-0.5*(($A401-'Control Room'!$A$14-('Control Room'!$B$14-1)/2)/MAX(0.5,'Control Room'!$B$14/4))^2),1)*IF(AND($A401&gt;='Control Room'!$A$15,$A401&lt;'Control Room'!$A$15+'Control Room'!$B$15,'Process'!BS4=1),1+('Control Room'!$C$15-1)*EXP(-0.5*(($A401-'Control Room'!$A$15-('Control Room'!$B$15-1)/2)/MAX(0.5,'Control Room'!$B$15/4))^2),1)*IF(AND($A401&gt;='Control Room'!$A$16,$A401&lt;'Control Room'!$A$16+'Control Room'!$B$16,'Process'!BS5=1),1+('Control Room'!$C$16-1)*EXP(-0.5*(($A401-'Control Room'!$A$16-('Control Room'!$B$16-1)/2)/MAX(0.5,'Control Room'!$B$16/4))^2),1)</x:f>
        <x:v>1</x:v>
      </x:c>
      <x:c r="AU401" s="9" t="n">
        <x:f>MOD(AV400*16807,2147483647)</x:f>
        <x:v>1598465316</x:v>
      </x:c>
      <x:c r="AV401" s="9" t="n">
        <x:f>MOD(AU401*16807,2147483647)</x:f>
        <x:v>386142042</x:v>
      </x:c>
      <x:c r="AW401" s="17" t="n">
        <x:f>IF('Control Room'!$B$5="Normal",'Control Room'!$B$7+'Control Room'!$D$7*SQRT(-2*LN(MAX(0.000000000001,AU401/2147483647)))*COS(2*PI()*AV401/2147483647),'Control Room'!$B$8+('Control Room'!$D$8-'Control Room'!$B$8)*AU401/2147483647)</x:f>
        <x:v>1029.5209970488554</x:v>
      </x:c>
      <x:c r="AX401" s="17" t="n">
        <x:f>IF('Control Room'!$B$5="Normal",'Control Room'!$B$7,('Control Room'!$B$8+'Control Room'!$D$8)/2)+'Control Room'!$B$9*(AX400-IF('Control Room'!$B$5="Normal",'Control Room'!$B$7,('Control Room'!$B$8+'Control Room'!$D$8)/2))+SQRT(1-'Control Room'!$B$9^2)*(AW401-IF('Control Room'!$B$5="Normal",'Control Room'!$B$7,('Control Room'!$B$8+'Control Room'!$D$8)/2))</x:f>
        <x:v>939.8472411104904</x:v>
      </x:c>
      <x:c r="AY401" s="17" t="n">
        <x:f>IF(AND($A401&gt;='Control Room'!$A$13,$A401&lt;'Control Room'!$A$13+'Control Room'!$B$13,'Process'!BT2=1),1+('Control Room'!$C$13-1)*EXP(-0.5*(($A401-'Control Room'!$A$13-('Control Room'!$B$13-1)/2)/MAX(0.5,'Control Room'!$B$13/4))^2),1)*IF(AND($A401&gt;='Control Room'!$A$14,$A401&lt;'Control Room'!$A$14+'Control Room'!$B$14,'Process'!BT3=1),1+('Control Room'!$C$14-1)*EXP(-0.5*(($A401-'Control Room'!$A$14-('Control Room'!$B$14-1)/2)/MAX(0.5,'Control Room'!$B$14/4))^2),1)*IF(AND($A401&gt;='Control Room'!$A$15,$A401&lt;'Control Room'!$A$15+'Control Room'!$B$15,'Process'!BT4=1),1+('Control Room'!$C$15-1)*EXP(-0.5*(($A401-'Control Room'!$A$15-('Control Room'!$B$15-1)/2)/MAX(0.5,'Control Room'!$B$15/4))^2),1)*IF(AND($A401&gt;='Control Room'!$A$16,$A401&lt;'Control Room'!$A$16+'Control Room'!$B$16,'Process'!BT5=1),1+('Control Room'!$C$16-1)*EXP(-0.5*(($A401-'Control Room'!$A$16-('Control Room'!$B$16-1)/2)/MAX(0.5,'Control Room'!$B$16/4))^2),1)</x:f>
        <x:v>1</x:v>
      </x:c>
      <x:c r="AZ401" s="9" t="n">
        <x:f>MOD(BA400*16807,2147483647)</x:f>
        <x:v>31185073</x:v>
      </x:c>
      <x:c r="BA401" s="9" t="n">
        <x:f>MOD(AZ401*16807,2147483647)</x:f>
        <x:v>141512043</x:v>
      </x:c>
      <x:c r="BB401" s="17" t="n">
        <x:f>IF('Control Room'!$B$5="Normal",'Control Room'!$B$7+'Control Room'!$D$7*SQRT(-2*LN(MAX(0.000000000001,AZ401/2147483647)))*COS(2*PI()*BA401/2147483647),'Control Room'!$B$8+('Control Room'!$D$8-'Control Room'!$B$8)*AZ401/2147483647)</x:f>
        <x:v>1239.7152486327925</x:v>
      </x:c>
      <x:c r="BC401" s="17" t="n">
        <x:f>IF('Control Room'!$B$5="Normal",'Control Room'!$B$7,('Control Room'!$B$8+'Control Room'!$D$8)/2)+'Control Room'!$B$9*(BC400-IF('Control Room'!$B$5="Normal",'Control Room'!$B$7,('Control Room'!$B$8+'Control Room'!$D$8)/2))+SQRT(1-'Control Room'!$B$9^2)*(BB401-IF('Control Room'!$B$5="Normal",'Control Room'!$B$7,('Control Room'!$B$8+'Control Room'!$D$8)/2))</x:f>
        <x:v>1142.295511821947</x:v>
      </x:c>
      <x:c r="BD401" s="17" t="n">
        <x:f>IF(AND($A401&gt;='Control Room'!$A$13,$A401&lt;'Control Room'!$A$13+'Control Room'!$B$13,'Process'!BU2=1),1+('Control Room'!$C$13-1)*EXP(-0.5*(($A401-'Control Room'!$A$13-('Control Room'!$B$13-1)/2)/MAX(0.5,'Control Room'!$B$13/4))^2),1)*IF(AND($A401&gt;='Control Room'!$A$14,$A401&lt;'Control Room'!$A$14+'Control Room'!$B$14,'Process'!BU3=1),1+('Control Room'!$C$14-1)*EXP(-0.5*(($A401-'Control Room'!$A$14-('Control Room'!$B$14-1)/2)/MAX(0.5,'Control Room'!$B$14/4))^2),1)*IF(AND($A401&gt;='Control Room'!$A$15,$A401&lt;'Control Room'!$A$15+'Control Room'!$B$15,'Process'!BU4=1),1+('Control Room'!$C$15-1)*EXP(-0.5*(($A401-'Control Room'!$A$15-('Control Room'!$B$15-1)/2)/MAX(0.5,'Control Room'!$B$15/4))^2),1)*IF(AND($A401&gt;='Control Room'!$A$16,$A401&lt;'Control Room'!$A$16+'Control Room'!$B$16,'Process'!BU5=1),1+('Control Room'!$C$16-1)*EXP(-0.5*(($A401-'Control Room'!$A$16-('Control Room'!$B$16-1)/2)/MAX(0.5,'Control Room'!$B$16/4))^2),1)</x:f>
        <x:v>1</x:v>
      </x:c>
      <x:c r="BE401" s="9" t="n">
        <x:f>MOD(BF400*16807,2147483647)</x:f>
        <x:v>611388477</x:v>
      </x:c>
      <x:c r="BF401" s="9" t="n">
        <x:f>MOD(BE401*16807,2147483647)</x:f>
        <x:v>2044365691</x:v>
      </x:c>
      <x:c r="BG401" s="17" t="n">
        <x:f>IF('Control Room'!$B$5="Normal",'Control Room'!$B$7+'Control Room'!$D$7*SQRT(-2*LN(MAX(0.000000000001,BE401/2147483647)))*COS(2*PI()*BF401/2147483647),'Control Room'!$B$8+('Control Room'!$D$8-'Control Room'!$B$8)*BE401/2147483647)</x:f>
        <x:v>1136.2178447648664</x:v>
      </x:c>
      <x:c r="BH401" s="17" t="n">
        <x:f>IF('Control Room'!$B$5="Normal",'Control Room'!$B$7,('Control Room'!$B$8+'Control Room'!$D$8)/2)+'Control Room'!$B$9*(BH400-IF('Control Room'!$B$5="Normal",'Control Room'!$B$7,('Control Room'!$B$8+'Control Room'!$D$8)/2))+SQRT(1-'Control Room'!$B$9^2)*(BG401-IF('Control Room'!$B$5="Normal",'Control Room'!$B$7,('Control Room'!$B$8+'Control Room'!$D$8)/2))</x:f>
        <x:v>1060.6968952034235</x:v>
      </x:c>
      <x:c r="BI401" s="17" t="n">
        <x:f>IF(AND($A401&gt;='Control Room'!$A$13,$A401&lt;'Control Room'!$A$13+'Control Room'!$B$13,'Process'!BV2=1),1+('Control Room'!$C$13-1)*EXP(-0.5*(($A401-'Control Room'!$A$13-('Control Room'!$B$13-1)/2)/MAX(0.5,'Control Room'!$B$13/4))^2),1)*IF(AND($A401&gt;='Control Room'!$A$14,$A401&lt;'Control Room'!$A$14+'Control Room'!$B$14,'Process'!BV3=1),1+('Control Room'!$C$14-1)*EXP(-0.5*(($A401-'Control Room'!$A$14-('Control Room'!$B$14-1)/2)/MAX(0.5,'Control Room'!$B$14/4))^2),1)*IF(AND($A401&gt;='Control Room'!$A$15,$A401&lt;'Control Room'!$A$15+'Control Room'!$B$15,'Process'!BV4=1),1+('Control Room'!$C$15-1)*EXP(-0.5*(($A401-'Control Room'!$A$15-('Control Room'!$B$15-1)/2)/MAX(0.5,'Control Room'!$B$15/4))^2),1)*IF(AND($A401&gt;='Control Room'!$A$16,$A401&lt;'Control Room'!$A$16+'Control Room'!$B$16,'Process'!BV5=1),1+('Control Room'!$C$16-1)*EXP(-0.5*(($A401-'Control Room'!$A$16-('Control Room'!$B$16-1)/2)/MAX(0.5,'Control Room'!$B$16/4))^2),1)</x:f>
        <x:v>1</x:v>
      </x:c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Z401" t="str">
        <x:f>IF('Data'!A401="","",TEXT('Data'!A401,"mm-dd"))</x:f>
      </x:c>
    </x:row>
    <x:row r="402" ht="21" customHeight="1">
      <x:c r="A402" s="15" t="n">
        <x:f>'Control Room'!$B$1+400</x:f>
        <x:v>73391</x:v>
      </x:c>
      <x:c r="B402" s="9" t="n">
        <x:f>MOD(C401*16807,2147483647)</x:f>
        <x:v>370535940</x:v>
      </x:c>
      <x:c r="C402" s="9" t="n">
        <x:f>MOD(B402*16807,2147483647)</x:f>
        <x:v>2042450927</x:v>
      </x:c>
      <x:c r="D402" s="17" t="n">
        <x:f>IF('Control Room'!$B$5="Normal",'Control Room'!$B$7+'Control Room'!$D$7*SQRT(-2*LN(MAX(0.000000000001,B402/2147483647)))*COS(2*PI()*C402/2147483647),'Control Room'!$B$8+('Control Room'!$D$8-'Control Room'!$B$8)*B402/2147483647)</x:f>
        <x:v>1160.8117328000246</x:v>
      </x:c>
      <x:c r="E402" s="17" t="n">
        <x:f>IF('Control Room'!$B$5="Normal",'Control Room'!$B$7,('Control Room'!$B$8+'Control Room'!$D$8)/2)+'Control Room'!$B$9*(E401-IF('Control Room'!$B$5="Normal",'Control Room'!$B$7,('Control Room'!$B$8+'Control Room'!$D$8)/2))+SQRT(1-'Control Room'!$B$9^2)*(D402-IF('Control Room'!$B$5="Normal",'Control Room'!$B$7,('Control Room'!$B$8+'Control Room'!$D$8)/2))</x:f>
        <x:v>988.900284335651</x:v>
      </x:c>
      <x:c r="F402" s="17" t="n">
        <x:f>IF(AND($A402&gt;='Control Room'!$A$13,$A402&lt;'Control Room'!$A$13+'Control Room'!$B$13,'Process'!BK2=1),1+('Control Room'!$C$13-1)*EXP(-0.5*(($A402-'Control Room'!$A$13-('Control Room'!$B$13-1)/2)/MAX(0.5,'Control Room'!$B$13/4))^2),1)*IF(AND($A402&gt;='Control Room'!$A$14,$A402&lt;'Control Room'!$A$14+'Control Room'!$B$14,'Process'!BK3=1),1+('Control Room'!$C$14-1)*EXP(-0.5*(($A402-'Control Room'!$A$14-('Control Room'!$B$14-1)/2)/MAX(0.5,'Control Room'!$B$14/4))^2),1)*IF(AND($A402&gt;='Control Room'!$A$15,$A402&lt;'Control Room'!$A$15+'Control Room'!$B$15,'Process'!BK4=1),1+('Control Room'!$C$15-1)*EXP(-0.5*(($A402-'Control Room'!$A$15-('Control Room'!$B$15-1)/2)/MAX(0.5,'Control Room'!$B$15/4))^2),1)*IF(AND($A402&gt;='Control Room'!$A$16,$A402&lt;'Control Room'!$A$16+'Control Room'!$B$16,'Process'!BK5=1),1+('Control Room'!$C$16-1)*EXP(-0.5*(($A402-'Control Room'!$A$16-('Control Room'!$B$16-1)/2)/MAX(0.5,'Control Room'!$B$16/4))^2),1)</x:f>
        <x:v>1</x:v>
      </x:c>
      <x:c r="G402" s="9" t="n">
        <x:f>MOD(H401*16807,2147483647)</x:f>
        <x:v>1305326752</x:v>
      </x:c>
      <x:c r="H402" s="9" t="n">
        <x:f>MOD(G402*16807,2147483647)</x:f>
        <x:v>2081266759</x:v>
      </x:c>
      <x:c r="I402" s="17" t="n">
        <x:f>IF('Control Room'!$B$5="Normal",'Control Room'!$B$7+'Control Room'!$D$7*SQRT(-2*LN(MAX(0.000000000001,G402/2147483647)))*COS(2*PI()*H402/2147483647),'Control Room'!$B$8+('Control Room'!$D$8-'Control Room'!$B$8)*G402/2147483647)</x:f>
        <x:v>1088.1255258025838</x:v>
      </x:c>
      <x:c r="J402" s="17" t="n">
        <x:f>IF('Control Room'!$B$5="Normal",'Control Room'!$B$7,('Control Room'!$B$8+'Control Room'!$D$8)/2)+'Control Room'!$B$9*(J401-IF('Control Room'!$B$5="Normal",'Control Room'!$B$7,('Control Room'!$B$8+'Control Room'!$D$8)/2))+SQRT(1-'Control Room'!$B$9^2)*(I402-IF('Control Room'!$B$5="Normal",'Control Room'!$B$7,('Control Room'!$B$8+'Control Room'!$D$8)/2))</x:f>
        <x:v>1175.2797678419013</x:v>
      </x:c>
      <x:c r="K402" s="17" t="n">
        <x:f>IF(AND($A402&gt;='Control Room'!$A$13,$A402&lt;'Control Room'!$A$13+'Control Room'!$B$13,'Process'!BL2=1),1+('Control Room'!$C$13-1)*EXP(-0.5*(($A402-'Control Room'!$A$13-('Control Room'!$B$13-1)/2)/MAX(0.5,'Control Room'!$B$13/4))^2),1)*IF(AND($A402&gt;='Control Room'!$A$14,$A402&lt;'Control Room'!$A$14+'Control Room'!$B$14,'Process'!BL3=1),1+('Control Room'!$C$14-1)*EXP(-0.5*(($A402-'Control Room'!$A$14-('Control Room'!$B$14-1)/2)/MAX(0.5,'Control Room'!$B$14/4))^2),1)*IF(AND($A402&gt;='Control Room'!$A$15,$A402&lt;'Control Room'!$A$15+'Control Room'!$B$15,'Process'!BL4=1),1+('Control Room'!$C$15-1)*EXP(-0.5*(($A402-'Control Room'!$A$15-('Control Room'!$B$15-1)/2)/MAX(0.5,'Control Room'!$B$15/4))^2),1)*IF(AND($A402&gt;='Control Room'!$A$16,$A402&lt;'Control Room'!$A$16+'Control Room'!$B$16,'Process'!BL5=1),1+('Control Room'!$C$16-1)*EXP(-0.5*(($A402-'Control Room'!$A$16-('Control Room'!$B$16-1)/2)/MAX(0.5,'Control Room'!$B$16/4))^2),1)</x:f>
        <x:v>1</x:v>
      </x:c>
      <x:c r="L402" s="9" t="n">
        <x:f>MOD(M401*16807,2147483647)</x:f>
        <x:v>92633917</x:v>
      </x:c>
      <x:c r="M402" s="9" t="n">
        <x:f>MOD(L402*16807,2147483647)</x:f>
        <x:v>2120082591</x:v>
      </x:c>
      <x:c r="N402" s="17" t="n">
        <x:f>IF('Control Room'!$B$5="Normal",'Control Room'!$B$7+'Control Room'!$D$7*SQRT(-2*LN(MAX(0.000000000001,L402/2147483647)))*COS(2*PI()*M402/2147483647),'Control Room'!$B$8+('Control Room'!$D$8-'Control Room'!$B$8)*L402/2147483647)</x:f>
        <x:v>1224.9364908035898</x:v>
      </x:c>
      <x:c r="O402" s="17" t="n">
        <x:f>IF('Control Room'!$B$5="Normal",'Control Room'!$B$7,('Control Room'!$B$8+'Control Room'!$D$8)/2)+'Control Room'!$B$9*(O401-IF('Control Room'!$B$5="Normal",'Control Room'!$B$7,('Control Room'!$B$8+'Control Room'!$D$8)/2))+SQRT(1-'Control Room'!$B$9^2)*(N402-IF('Control Room'!$B$5="Normal",'Control Room'!$B$7,('Control Room'!$B$8+'Control Room'!$D$8)/2))</x:f>
        <x:v>1199.336250338594</x:v>
      </x:c>
      <x:c r="P402" s="17" t="n">
        <x:f>IF(AND($A402&gt;='Control Room'!$A$13,$A402&lt;'Control Room'!$A$13+'Control Room'!$B$13,'Process'!BM2=1),1+('Control Room'!$C$13-1)*EXP(-0.5*(($A402-'Control Room'!$A$13-('Control Room'!$B$13-1)/2)/MAX(0.5,'Control Room'!$B$13/4))^2),1)*IF(AND($A402&gt;='Control Room'!$A$14,$A402&lt;'Control Room'!$A$14+'Control Room'!$B$14,'Process'!BM3=1),1+('Control Room'!$C$14-1)*EXP(-0.5*(($A402-'Control Room'!$A$14-('Control Room'!$B$14-1)/2)/MAX(0.5,'Control Room'!$B$14/4))^2),1)*IF(AND($A402&gt;='Control Room'!$A$15,$A402&lt;'Control Room'!$A$15+'Control Room'!$B$15,'Process'!BM4=1),1+('Control Room'!$C$15-1)*EXP(-0.5*(($A402-'Control Room'!$A$15-('Control Room'!$B$15-1)/2)/MAX(0.5,'Control Room'!$B$15/4))^2),1)*IF(AND($A402&gt;='Control Room'!$A$16,$A402&lt;'Control Room'!$A$16+'Control Room'!$B$16,'Process'!BM5=1),1+('Control Room'!$C$16-1)*EXP(-0.5*(($A402-'Control Room'!$A$16-('Control Room'!$B$16-1)/2)/MAX(0.5,'Control Room'!$B$16/4))^2),1)</x:f>
        <x:v>1</x:v>
      </x:c>
      <x:c r="Q402" s="9" t="n">
        <x:f>MOD(R401*16807,2147483647)</x:f>
        <x:v>1027424729</x:v>
      </x:c>
      <x:c r="R402" s="9" t="n">
        <x:f>MOD(Q402*16807,2147483647)</x:f>
        <x:v>11414776</x:v>
      </x:c>
      <x:c r="S402" s="17" t="n">
        <x:f>IF('Control Room'!$B$5="Normal",'Control Room'!$B$7+'Control Room'!$D$7*SQRT(-2*LN(MAX(0.000000000001,Q402/2147483647)))*COS(2*PI()*R402/2147483647),'Control Room'!$B$8+('Control Room'!$D$8-'Control Room'!$B$8)*Q402/2147483647)</x:f>
        <x:v>1109.2245080302014</x:v>
      </x:c>
      <x:c r="T402" s="17" t="n">
        <x:f>IF('Control Room'!$B$5="Normal",'Control Room'!$B$7,('Control Room'!$B$8+'Control Room'!$D$8)/2)+'Control Room'!$B$9*(T401-IF('Control Room'!$B$5="Normal",'Control Room'!$B$7,('Control Room'!$B$8+'Control Room'!$D$8)/2))+SQRT(1-'Control Room'!$B$9^2)*(S402-IF('Control Room'!$B$5="Normal",'Control Room'!$B$7,('Control Room'!$B$8+'Control Room'!$D$8)/2))</x:f>
        <x:v>1029.2178824279667</x:v>
      </x:c>
      <x:c r="U402" s="17" t="n">
        <x:f>IF(AND($A402&gt;='Control Room'!$A$13,$A402&lt;'Control Room'!$A$13+'Control Room'!$B$13,'Process'!BN2=1),1+('Control Room'!$C$13-1)*EXP(-0.5*(($A402-'Control Room'!$A$13-('Control Room'!$B$13-1)/2)/MAX(0.5,'Control Room'!$B$13/4))^2),1)*IF(AND($A402&gt;='Control Room'!$A$14,$A402&lt;'Control Room'!$A$14+'Control Room'!$B$14,'Process'!BN3=1),1+('Control Room'!$C$14-1)*EXP(-0.5*(($A402-'Control Room'!$A$14-('Control Room'!$B$14-1)/2)/MAX(0.5,'Control Room'!$B$14/4))^2),1)*IF(AND($A402&gt;='Control Room'!$A$15,$A402&lt;'Control Room'!$A$15+'Control Room'!$B$15,'Process'!BN4=1),1+('Control Room'!$C$15-1)*EXP(-0.5*(($A402-'Control Room'!$A$15-('Control Room'!$B$15-1)/2)/MAX(0.5,'Control Room'!$B$15/4))^2),1)*IF(AND($A402&gt;='Control Room'!$A$16,$A402&lt;'Control Room'!$A$16+'Control Room'!$B$16,'Process'!BN5=1),1+('Control Room'!$C$16-1)*EXP(-0.5*(($A402-'Control Room'!$A$16-('Control Room'!$B$16-1)/2)/MAX(0.5,'Control Room'!$B$16/4))^2),1)</x:f>
        <x:v>1</x:v>
      </x:c>
      <x:c r="V402" s="9" t="n">
        <x:f>MOD(W401*16807,2147483647)</x:f>
        <x:v>1962215541</x:v>
      </x:c>
      <x:c r="W402" s="9" t="n">
        <x:f>MOD(V402*16807,2147483647)</x:f>
        <x:v>50230608</x:v>
      </x:c>
      <x:c r="X402" s="17" t="n">
        <x:f>IF('Control Room'!$B$5="Normal",'Control Room'!$B$7+'Control Room'!$D$7*SQRT(-2*LN(MAX(0.000000000001,V402/2147483647)))*COS(2*PI()*W402/2147483647),'Control Room'!$B$8+('Control Room'!$D$8-'Control Room'!$B$8)*V402/2147483647)</x:f>
        <x:v>1037.818810831386</x:v>
      </x:c>
      <x:c r="Y402" s="17" t="n">
        <x:f>IF('Control Room'!$B$5="Normal",'Control Room'!$B$7,('Control Room'!$B$8+'Control Room'!$D$8)/2)+'Control Room'!$B$9*(Y401-IF('Control Room'!$B$5="Normal",'Control Room'!$B$7,('Control Room'!$B$8+'Control Room'!$D$8)/2))+SQRT(1-'Control Room'!$B$9^2)*(X402-IF('Control Room'!$B$5="Normal",'Control Room'!$B$7,('Control Room'!$B$8+'Control Room'!$D$8)/2))</x:f>
        <x:v>1051.7975377825303</x:v>
      </x:c>
      <x:c r="Z402" s="17" t="n">
        <x:f>IF(AND($A402&gt;='Control Room'!$A$13,$A402&lt;'Control Room'!$A$13+'Control Room'!$B$13,'Process'!BO2=1),1+('Control Room'!$C$13-1)*EXP(-0.5*(($A402-'Control Room'!$A$13-('Control Room'!$B$13-1)/2)/MAX(0.5,'Control Room'!$B$13/4))^2),1)*IF(AND($A402&gt;='Control Room'!$A$14,$A402&lt;'Control Room'!$A$14+'Control Room'!$B$14,'Process'!BO3=1),1+('Control Room'!$C$14-1)*EXP(-0.5*(($A402-'Control Room'!$A$14-('Control Room'!$B$14-1)/2)/MAX(0.5,'Control Room'!$B$14/4))^2),1)*IF(AND($A402&gt;='Control Room'!$A$15,$A402&lt;'Control Room'!$A$15+'Control Room'!$B$15,'Process'!BO4=1),1+('Control Room'!$C$15-1)*EXP(-0.5*(($A402-'Control Room'!$A$15-('Control Room'!$B$15-1)/2)/MAX(0.5,'Control Room'!$B$15/4))^2),1)*IF(AND($A402&gt;='Control Room'!$A$16,$A402&lt;'Control Room'!$A$16+'Control Room'!$B$16,'Process'!BO5=1),1+('Control Room'!$C$16-1)*EXP(-0.5*(($A402-'Control Room'!$A$16-('Control Room'!$B$16-1)/2)/MAX(0.5,'Control Room'!$B$16/4))^2),1)</x:f>
        <x:v>1</x:v>
      </x:c>
      <x:c r="AA402" s="9" t="n">
        <x:f>MOD(AB401*16807,2147483647)</x:f>
        <x:v>749522706</x:v>
      </x:c>
      <x:c r="AB402" s="9" t="n">
        <x:f>MOD(AA402*16807,2147483647)</x:f>
        <x:v>89046440</x:v>
      </x:c>
      <x:c r="AC402" s="17" t="n">
        <x:f>IF('Control Room'!$B$5="Normal",'Control Room'!$B$7+'Control Room'!$D$7*SQRT(-2*LN(MAX(0.000000000001,AA402/2147483647)))*COS(2*PI()*AB402/2147483647),'Control Room'!$B$8+('Control Room'!$D$8-'Control Room'!$B$8)*AA402/2147483647)</x:f>
        <x:v>1126.1777794131117</x:v>
      </x:c>
      <x:c r="AD402" s="17" t="n">
        <x:f>IF('Control Room'!$B$5="Normal",'Control Room'!$B$7,('Control Room'!$B$8+'Control Room'!$D$8)/2)+'Control Room'!$B$9*(AD401-IF('Control Room'!$B$5="Normal",'Control Room'!$B$7,('Control Room'!$B$8+'Control Room'!$D$8)/2))+SQRT(1-'Control Room'!$B$9^2)*(AC402-IF('Control Room'!$B$5="Normal",'Control Room'!$B$7,('Control Room'!$B$8+'Control Room'!$D$8)/2))</x:f>
        <x:v>1136.4928816359152</x:v>
      </x:c>
      <x:c r="AE402" s="17" t="n">
        <x:f>IF(AND($A402&gt;='Control Room'!$A$13,$A402&lt;'Control Room'!$A$13+'Control Room'!$B$13,'Process'!BP2=1),1+('Control Room'!$C$13-1)*EXP(-0.5*(($A402-'Control Room'!$A$13-('Control Room'!$B$13-1)/2)/MAX(0.5,'Control Room'!$B$13/4))^2),1)*IF(AND($A402&gt;='Control Room'!$A$14,$A402&lt;'Control Room'!$A$14+'Control Room'!$B$14,'Process'!BP3=1),1+('Control Room'!$C$14-1)*EXP(-0.5*(($A402-'Control Room'!$A$14-('Control Room'!$B$14-1)/2)/MAX(0.5,'Control Room'!$B$14/4))^2),1)*IF(AND($A402&gt;='Control Room'!$A$15,$A402&lt;'Control Room'!$A$15+'Control Room'!$B$15,'Process'!BP4=1),1+('Control Room'!$C$15-1)*EXP(-0.5*(($A402-'Control Room'!$A$15-('Control Room'!$B$15-1)/2)/MAX(0.5,'Control Room'!$B$15/4))^2),1)*IF(AND($A402&gt;='Control Room'!$A$16,$A402&lt;'Control Room'!$A$16+'Control Room'!$B$16,'Process'!BP5=1),1+('Control Room'!$C$16-1)*EXP(-0.5*(($A402-'Control Room'!$A$16-('Control Room'!$B$16-1)/2)/MAX(0.5,'Control Room'!$B$16/4))^2),1)</x:f>
        <x:v>1</x:v>
      </x:c>
      <x:c r="AF402" s="9" t="n">
        <x:f>MOD(AG401*16807,2147483647)</x:f>
        <x:v>1684313518</x:v>
      </x:c>
      <x:c r="AG402" s="9" t="n">
        <x:f>MOD(AF402*16807,2147483647)</x:f>
        <x:v>127862272</x:v>
      </x:c>
      <x:c r="AH402" s="17" t="n">
        <x:f>IF('Control Room'!$B$5="Normal",'Control Room'!$B$7+'Control Room'!$D$7*SQRT(-2*LN(MAX(0.000000000001,AF402/2147483647)))*COS(2*PI()*AG402/2147483647),'Control Room'!$B$8+('Control Room'!$D$8-'Control Room'!$B$8)*AF402/2147483647)</x:f>
        <x:v>1058.3954139926363</x:v>
      </x:c>
      <x:c r="AI402" s="17" t="n">
        <x:f>IF('Control Room'!$B$5="Normal",'Control Room'!$B$7,('Control Room'!$B$8+'Control Room'!$D$8)/2)+'Control Room'!$B$9*(AI401-IF('Control Room'!$B$5="Normal",'Control Room'!$B$7,('Control Room'!$B$8+'Control Room'!$D$8)/2))+SQRT(1-'Control Room'!$B$9^2)*(AH402-IF('Control Room'!$B$5="Normal",'Control Room'!$B$7,('Control Room'!$B$8+'Control Room'!$D$8)/2))</x:f>
        <x:v>975.5807098912001</x:v>
      </x:c>
      <x:c r="AJ402" s="17" t="n">
        <x:f>IF(AND($A402&gt;='Control Room'!$A$13,$A402&lt;'Control Room'!$A$13+'Control Room'!$B$13,'Process'!BQ2=1),1+('Control Room'!$C$13-1)*EXP(-0.5*(($A402-'Control Room'!$A$13-('Control Room'!$B$13-1)/2)/MAX(0.5,'Control Room'!$B$13/4))^2),1)*IF(AND($A402&gt;='Control Room'!$A$14,$A402&lt;'Control Room'!$A$14+'Control Room'!$B$14,'Process'!BQ3=1),1+('Control Room'!$C$14-1)*EXP(-0.5*(($A402-'Control Room'!$A$14-('Control Room'!$B$14-1)/2)/MAX(0.5,'Control Room'!$B$14/4))^2),1)*IF(AND($A402&gt;='Control Room'!$A$15,$A402&lt;'Control Room'!$A$15+'Control Room'!$B$15,'Process'!BQ4=1),1+('Control Room'!$C$15-1)*EXP(-0.5*(($A402-'Control Room'!$A$15-('Control Room'!$B$15-1)/2)/MAX(0.5,'Control Room'!$B$15/4))^2),1)*IF(AND($A402&gt;='Control Room'!$A$16,$A402&lt;'Control Room'!$A$16+'Control Room'!$B$16,'Process'!BQ5=1),1+('Control Room'!$C$16-1)*EXP(-0.5*(($A402-'Control Room'!$A$16-('Control Room'!$B$16-1)/2)/MAX(0.5,'Control Room'!$B$16/4))^2),1)</x:f>
        <x:v>1</x:v>
      </x:c>
      <x:c r="AK402" s="9" t="n">
        <x:f>MOD(AL401*16807,2147483647)</x:f>
        <x:v>471620683</x:v>
      </x:c>
      <x:c r="AL402" s="9" t="n">
        <x:f>MOD(AK402*16807,2147483647)</x:f>
        <x:v>166678104</x:v>
      </x:c>
      <x:c r="AM402" s="17" t="n">
        <x:f>IF('Control Room'!$B$5="Normal",'Control Room'!$B$7+'Control Room'!$D$7*SQRT(-2*LN(MAX(0.000000000001,AK402/2147483647)))*COS(2*PI()*AL402/2147483647),'Control Room'!$B$8+('Control Room'!$D$8-'Control Room'!$B$8)*AK402/2147483647)</x:f>
        <x:v>1138.4393397208837</x:v>
      </x:c>
      <x:c r="AN402" s="17" t="n">
        <x:f>IF('Control Room'!$B$5="Normal",'Control Room'!$B$7,('Control Room'!$B$8+'Control Room'!$D$8)/2)+'Control Room'!$B$9*(AN401-IF('Control Room'!$B$5="Normal",'Control Room'!$B$7,('Control Room'!$B$8+'Control Room'!$D$8)/2))+SQRT(1-'Control Room'!$B$9^2)*(AM402-IF('Control Room'!$B$5="Normal",'Control Room'!$B$7,('Control Room'!$B$8+'Control Room'!$D$8)/2))</x:f>
        <x:v>1032.233717457928</x:v>
      </x:c>
      <x:c r="AO402" s="17" t="n">
        <x:f>IF(AND($A402&gt;='Control Room'!$A$13,$A402&lt;'Control Room'!$A$13+'Control Room'!$B$13,'Process'!BR2=1),1+('Control Room'!$C$13-1)*EXP(-0.5*(($A402-'Control Room'!$A$13-('Control Room'!$B$13-1)/2)/MAX(0.5,'Control Room'!$B$13/4))^2),1)*IF(AND($A402&gt;='Control Room'!$A$14,$A402&lt;'Control Room'!$A$14+'Control Room'!$B$14,'Process'!BR3=1),1+('Control Room'!$C$14-1)*EXP(-0.5*(($A402-'Control Room'!$A$14-('Control Room'!$B$14-1)/2)/MAX(0.5,'Control Room'!$B$14/4))^2),1)*IF(AND($A402&gt;='Control Room'!$A$15,$A402&lt;'Control Room'!$A$15+'Control Room'!$B$15,'Process'!BR4=1),1+('Control Room'!$C$15-1)*EXP(-0.5*(($A402-'Control Room'!$A$15-('Control Room'!$B$15-1)/2)/MAX(0.5,'Control Room'!$B$15/4))^2),1)*IF(AND($A402&gt;='Control Room'!$A$16,$A402&lt;'Control Room'!$A$16+'Control Room'!$B$16,'Process'!BR5=1),1+('Control Room'!$C$16-1)*EXP(-0.5*(($A402-'Control Room'!$A$16-('Control Room'!$B$16-1)/2)/MAX(0.5,'Control Room'!$B$16/4))^2),1)</x:f>
        <x:v>1</x:v>
      </x:c>
      <x:c r="AP402" s="9" t="n">
        <x:f>MOD(AQ401*16807,2147483647)</x:f>
        <x:v>1406411495</x:v>
      </x:c>
      <x:c r="AQ402" s="9" t="n">
        <x:f>MOD(AP402*16807,2147483647)</x:f>
        <x:v>205493936</x:v>
      </x:c>
      <x:c r="AR402" s="17" t="n">
        <x:f>IF('Control Room'!$B$5="Normal",'Control Room'!$B$7+'Control Room'!$D$7*SQRT(-2*LN(MAX(0.000000000001,AP402/2147483647)))*COS(2*PI()*AQ402/2147483647),'Control Room'!$B$8+('Control Room'!$D$8-'Control Room'!$B$8)*AP402/2147483647)</x:f>
        <x:v>1068.2841530790283</x:v>
      </x:c>
      <x:c r="AS402" s="17" t="n">
        <x:f>IF('Control Room'!$B$5="Normal",'Control Room'!$B$7,('Control Room'!$B$8+'Control Room'!$D$8)/2)+'Control Room'!$B$9*(AS401-IF('Control Room'!$B$5="Normal",'Control Room'!$B$7,('Control Room'!$B$8+'Control Room'!$D$8)/2))+SQRT(1-'Control Room'!$B$9^2)*(AR402-IF('Control Room'!$B$5="Normal",'Control Room'!$B$7,('Control Room'!$B$8+'Control Room'!$D$8)/2))</x:f>
        <x:v>1091.9847728274262</x:v>
      </x:c>
      <x:c r="AT402" s="17" t="n">
        <x:f>IF(AND($A402&gt;='Control Room'!$A$13,$A402&lt;'Control Room'!$A$13+'Control Room'!$B$13,'Process'!BS2=1),1+('Control Room'!$C$13-1)*EXP(-0.5*(($A402-'Control Room'!$A$13-('Control Room'!$B$13-1)/2)/MAX(0.5,'Control Room'!$B$13/4))^2),1)*IF(AND($A402&gt;='Control Room'!$A$14,$A402&lt;'Control Room'!$A$14+'Control Room'!$B$14,'Process'!BS3=1),1+('Control Room'!$C$14-1)*EXP(-0.5*(($A402-'Control Room'!$A$14-('Control Room'!$B$14-1)/2)/MAX(0.5,'Control Room'!$B$14/4))^2),1)*IF(AND($A402&gt;='Control Room'!$A$15,$A402&lt;'Control Room'!$A$15+'Control Room'!$B$15,'Process'!BS4=1),1+('Control Room'!$C$15-1)*EXP(-0.5*(($A402-'Control Room'!$A$15-('Control Room'!$B$15-1)/2)/MAX(0.5,'Control Room'!$B$15/4))^2),1)*IF(AND($A402&gt;='Control Room'!$A$16,$A402&lt;'Control Room'!$A$16+'Control Room'!$B$16,'Process'!BS5=1),1+('Control Room'!$C$16-1)*EXP(-0.5*(($A402-'Control Room'!$A$16-('Control Room'!$B$16-1)/2)/MAX(0.5,'Control Room'!$B$16/4))^2),1)</x:f>
        <x:v>1</x:v>
      </x:c>
      <x:c r="AU402" s="9" t="n">
        <x:f>MOD(AV401*16807,2147483647)</x:f>
        <x:v>193718660</x:v>
      </x:c>
      <x:c r="AV402" s="9" t="n">
        <x:f>MOD(AU402*16807,2147483647)</x:f>
        <x:v>244309768</x:v>
      </x:c>
      <x:c r="AW402" s="17" t="n">
        <x:f>IF('Control Room'!$B$5="Normal",'Control Room'!$B$7+'Control Room'!$D$7*SQRT(-2*LN(MAX(0.000000000001,AU402/2147483647)))*COS(2*PI()*AV402/2147483647),'Control Room'!$B$8+('Control Room'!$D$8-'Control Room'!$B$8)*AU402/2147483647)</x:f>
        <x:v>1149.088920649634</x:v>
      </x:c>
      <x:c r="AX402" s="17" t="n">
        <x:f>IF('Control Room'!$B$5="Normal",'Control Room'!$B$7,('Control Room'!$B$8+'Control Room'!$D$8)/2)+'Control Room'!$B$9*(AX401-IF('Control Room'!$B$5="Normal",'Control Room'!$B$7,('Control Room'!$B$8+'Control Room'!$D$8)/2))+SQRT(1-'Control Room'!$B$9^2)*(AW402-IF('Control Room'!$B$5="Normal",'Control Room'!$B$7,('Control Room'!$B$8+'Control Room'!$D$8)/2))</x:f>
        <x:v>1046.3776403561706</x:v>
      </x:c>
      <x:c r="AY402" s="17" t="n">
        <x:f>IF(AND($A402&gt;='Control Room'!$A$13,$A402&lt;'Control Room'!$A$13+'Control Room'!$B$13,'Process'!BT2=1),1+('Control Room'!$C$13-1)*EXP(-0.5*(($A402-'Control Room'!$A$13-('Control Room'!$B$13-1)/2)/MAX(0.5,'Control Room'!$B$13/4))^2),1)*IF(AND($A402&gt;='Control Room'!$A$14,$A402&lt;'Control Room'!$A$14+'Control Room'!$B$14,'Process'!BT3=1),1+('Control Room'!$C$14-1)*EXP(-0.5*(($A402-'Control Room'!$A$14-('Control Room'!$B$14-1)/2)/MAX(0.5,'Control Room'!$B$14/4))^2),1)*IF(AND($A402&gt;='Control Room'!$A$15,$A402&lt;'Control Room'!$A$15+'Control Room'!$B$15,'Process'!BT4=1),1+('Control Room'!$C$15-1)*EXP(-0.5*(($A402-'Control Room'!$A$15-('Control Room'!$B$15-1)/2)/MAX(0.5,'Control Room'!$B$15/4))^2),1)*IF(AND($A402&gt;='Control Room'!$A$16,$A402&lt;'Control Room'!$A$16+'Control Room'!$B$16,'Process'!BT5=1),1+('Control Room'!$C$16-1)*EXP(-0.5*(($A402-'Control Room'!$A$16-('Control Room'!$B$16-1)/2)/MAX(0.5,'Control Room'!$B$16/4))^2),1)</x:f>
        <x:v>1</x:v>
      </x:c>
      <x:c r="AZ402" s="9" t="n">
        <x:f>MOD(BA401*16807,2147483647)</x:f>
        <x:v>1128509472</x:v>
      </x:c>
      <x:c r="BA402" s="9" t="n">
        <x:f>MOD(AZ402*16807,2147483647)</x:f>
        <x:v>283125600</x:v>
      </x:c>
      <x:c r="BB402" s="17" t="n">
        <x:f>IF('Control Room'!$B$5="Normal",'Control Room'!$B$7+'Control Room'!$D$7*SQRT(-2*LN(MAX(0.000000000001,AZ402/2147483647)))*COS(2*PI()*BA402/2147483647),'Control Room'!$B$8+('Control Room'!$D$8-'Control Room'!$B$8)*AZ402/2147483647)</x:f>
        <x:v>1069.0223917535</x:v>
      </x:c>
      <x:c r="BC402" s="17" t="n">
        <x:f>IF('Control Room'!$B$5="Normal",'Control Room'!$B$7,('Control Room'!$B$8+'Control Room'!$D$8)/2)+'Control Room'!$B$9*(BC401-IF('Control Room'!$B$5="Normal",'Control Room'!$B$7,('Control Room'!$B$8+'Control Room'!$D$8)/2))+SQRT(1-'Control Room'!$B$9^2)*(BB402-IF('Control Room'!$B$5="Normal",'Control Room'!$B$7,('Control Room'!$B$8+'Control Room'!$D$8)/2))</x:f>
        <x:v>1154.183297979906</x:v>
      </x:c>
      <x:c r="BD402" s="17" t="n">
        <x:f>IF(AND($A402&gt;='Control Room'!$A$13,$A402&lt;'Control Room'!$A$13+'Control Room'!$B$13,'Process'!BU2=1),1+('Control Room'!$C$13-1)*EXP(-0.5*(($A402-'Control Room'!$A$13-('Control Room'!$B$13-1)/2)/MAX(0.5,'Control Room'!$B$13/4))^2),1)*IF(AND($A402&gt;='Control Room'!$A$14,$A402&lt;'Control Room'!$A$14+'Control Room'!$B$14,'Process'!BU3=1),1+('Control Room'!$C$14-1)*EXP(-0.5*(($A402-'Control Room'!$A$14-('Control Room'!$B$14-1)/2)/MAX(0.5,'Control Room'!$B$14/4))^2),1)*IF(AND($A402&gt;='Control Room'!$A$15,$A402&lt;'Control Room'!$A$15+'Control Room'!$B$15,'Process'!BU4=1),1+('Control Room'!$C$15-1)*EXP(-0.5*(($A402-'Control Room'!$A$15-('Control Room'!$B$15-1)/2)/MAX(0.5,'Control Room'!$B$15/4))^2),1)*IF(AND($A402&gt;='Control Room'!$A$16,$A402&lt;'Control Room'!$A$16+'Control Room'!$B$16,'Process'!BU5=1),1+('Control Room'!$C$16-1)*EXP(-0.5*(($A402-'Control Room'!$A$16-('Control Room'!$B$16-1)/2)/MAX(0.5,'Control Room'!$B$16/4))^2),1)</x:f>
        <x:v>1</x:v>
      </x:c>
      <x:c r="BE402" s="9" t="n">
        <x:f>MOD(BF401*16807,2147483647)</x:f>
        <x:v>2063300284</x:v>
      </x:c>
      <x:c r="BF402" s="9" t="n">
        <x:f>MOD(BE402*16807,2147483647)</x:f>
        <x:v>321941432</x:v>
      </x:c>
      <x:c r="BG402" s="17" t="n">
        <x:f>IF('Control Room'!$B$5="Normal",'Control Room'!$B$7+'Control Room'!$D$7*SQRT(-2*LN(MAX(0.000000000001,BE402/2147483647)))*COS(2*PI()*BF402/2147483647),'Control Room'!$B$8+('Control Room'!$D$8-'Control Room'!$B$8)*BE402/2147483647)</x:f>
        <x:v>1014.971605157045</x:v>
      </x:c>
      <x:c r="BH402" s="17" t="n">
        <x:f>IF('Control Room'!$B$5="Normal",'Control Room'!$B$7,('Control Room'!$B$8+'Control Room'!$D$8)/2)+'Control Room'!$B$9*(BH401-IF('Control Room'!$B$5="Normal",'Control Room'!$B$7,('Control Room'!$B$8+'Control Room'!$D$8)/2))+SQRT(1-'Control Room'!$B$9^2)*(BG402-IF('Control Room'!$B$5="Normal",'Control Room'!$B$7,('Control Room'!$B$8+'Control Room'!$D$8)/2))</x:f>
        <x:v>1056.7125020559463</x:v>
      </x:c>
      <x:c r="BI402" s="17" t="n">
        <x:f>IF(AND($A402&gt;='Control Room'!$A$13,$A402&lt;'Control Room'!$A$13+'Control Room'!$B$13,'Process'!BV2=1),1+('Control Room'!$C$13-1)*EXP(-0.5*(($A402-'Control Room'!$A$13-('Control Room'!$B$13-1)/2)/MAX(0.5,'Control Room'!$B$13/4))^2),1)*IF(AND($A402&gt;='Control Room'!$A$14,$A402&lt;'Control Room'!$A$14+'Control Room'!$B$14,'Process'!BV3=1),1+('Control Room'!$C$14-1)*EXP(-0.5*(($A402-'Control Room'!$A$14-('Control Room'!$B$14-1)/2)/MAX(0.5,'Control Room'!$B$14/4))^2),1)*IF(AND($A402&gt;='Control Room'!$A$15,$A402&lt;'Control Room'!$A$15+'Control Room'!$B$15,'Process'!BV4=1),1+('Control Room'!$C$15-1)*EXP(-0.5*(($A402-'Control Room'!$A$15-('Control Room'!$B$15-1)/2)/MAX(0.5,'Control Room'!$B$15/4))^2),1)*IF(AND($A402&gt;='Control Room'!$A$16,$A402&lt;'Control Room'!$A$16+'Control Room'!$B$16,'Process'!BV5=1),1+('Control Room'!$C$16-1)*EXP(-0.5*(($A402-'Control Room'!$A$16-('Control Room'!$B$16-1)/2)/MAX(0.5,'Control Room'!$B$16/4))^2),1)</x:f>
        <x:v>1</x:v>
      </x:c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Z402" t="str">
        <x:f>IF('Data'!A402="","",TEXT('Data'!A402,"mm-dd"))</x:f>
      </x:c>
    </x:row>
    <x:row r="403" ht="21" customHeight="1">
      <x:c r="A403" s="15" t="n">
        <x:f>'Control Room'!$B$1+401</x:f>
        <x:v>73392</x:v>
      </x:c>
      <x:c r="B403" s="9" t="n">
        <x:f>MOD(C402*16807,2147483647)</x:f>
        <x:v>2094116441</x:v>
      </x:c>
      <x:c r="C403" s="9" t="n">
        <x:f>MOD(B403*16807,2147483647)</x:f>
        <x:v>705533204</x:v>
      </x:c>
      <x:c r="D403" s="17" t="n">
        <x:f>IF('Control Room'!$B$5="Normal",'Control Room'!$B$7+'Control Room'!$D$7*SQRT(-2*LN(MAX(0.000000000001,B403/2147483647)))*COS(2*PI()*C403/2147483647),'Control Room'!$B$8+('Control Room'!$D$8-'Control Room'!$B$8)*B403/2147483647)</x:f>
        <x:v>990.4357177706407</x:v>
      </x:c>
      <x:c r="E403" s="17" t="n">
        <x:f>IF('Control Room'!$B$5="Normal",'Control Room'!$B$7,('Control Room'!$B$8+'Control Room'!$D$8)/2)+'Control Room'!$B$9*(E402-IF('Control Room'!$B$5="Normal",'Control Room'!$B$7,('Control Room'!$B$8+'Control Room'!$D$8)/2))+SQRT(1-'Control Room'!$B$9^2)*(D403-IF('Control Room'!$B$5="Normal",'Control Room'!$B$7,('Control Room'!$B$8+'Control Room'!$D$8)/2))</x:f>
        <x:v>985.3570898976462</x:v>
      </x:c>
      <x:c r="F403" s="17" t="n">
        <x:f>IF(AND($A403&gt;='Control Room'!$A$13,$A403&lt;'Control Room'!$A$13+'Control Room'!$B$13,'Process'!BK2=1),1+('Control Room'!$C$13-1)*EXP(-0.5*(($A403-'Control Room'!$A$13-('Control Room'!$B$13-1)/2)/MAX(0.5,'Control Room'!$B$13/4))^2),1)*IF(AND($A403&gt;='Control Room'!$A$14,$A403&lt;'Control Room'!$A$14+'Control Room'!$B$14,'Process'!BK3=1),1+('Control Room'!$C$14-1)*EXP(-0.5*(($A403-'Control Room'!$A$14-('Control Room'!$B$14-1)/2)/MAX(0.5,'Control Room'!$B$14/4))^2),1)*IF(AND($A403&gt;='Control Room'!$A$15,$A403&lt;'Control Room'!$A$15+'Control Room'!$B$15,'Process'!BK4=1),1+('Control Room'!$C$15-1)*EXP(-0.5*(($A403-'Control Room'!$A$15-('Control Room'!$B$15-1)/2)/MAX(0.5,'Control Room'!$B$15/4))^2),1)*IF(AND($A403&gt;='Control Room'!$A$16,$A403&lt;'Control Room'!$A$16+'Control Room'!$B$16,'Process'!BK5=1),1+('Control Room'!$C$16-1)*EXP(-0.5*(($A403-'Control Room'!$A$16-('Control Room'!$B$16-1)/2)/MAX(0.5,'Control Room'!$B$16/4))^2),1)</x:f>
        <x:v>1</x:v>
      </x:c>
      <x:c r="G403" s="9" t="n">
        <x:f>MOD(H402*16807,2147483647)</x:f>
        <x:v>1636776177</x:v>
      </x:c>
      <x:c r="H403" s="9" t="n">
        <x:f>MOD(G403*16807,2147483647)</x:f>
        <x:v>31688769</x:v>
      </x:c>
      <x:c r="I403" s="17" t="n">
        <x:f>IF('Control Room'!$B$5="Normal",'Control Room'!$B$7+'Control Room'!$D$7*SQRT(-2*LN(MAX(0.000000000001,G403/2147483647)))*COS(2*PI()*H403/2147483647),'Control Room'!$B$8+('Control Room'!$D$8-'Control Room'!$B$8)*G403/2147483647)</x:f>
        <x:v>1066.0431262504746</x:v>
      </x:c>
      <x:c r="J403" s="17" t="n">
        <x:f>IF('Control Room'!$B$5="Normal",'Control Room'!$B$7,('Control Room'!$B$8+'Control Room'!$D$8)/2)+'Control Room'!$B$9*(J402-IF('Control Room'!$B$5="Normal",'Control Room'!$B$7,('Control Room'!$B$8+'Control Room'!$D$8)/2))+SQRT(1-'Control Room'!$B$9^2)*(I403-IF('Control Room'!$B$5="Normal",'Control Room'!$B$7,('Control Room'!$B$8+'Control Room'!$D$8)/2))</x:f>
        <x:v>1178.0466543572484</x:v>
      </x:c>
      <x:c r="K403" s="17" t="n">
        <x:f>IF(AND($A403&gt;='Control Room'!$A$13,$A403&lt;'Control Room'!$A$13+'Control Room'!$B$13,'Process'!BL2=1),1+('Control Room'!$C$13-1)*EXP(-0.5*(($A403-'Control Room'!$A$13-('Control Room'!$B$13-1)/2)/MAX(0.5,'Control Room'!$B$13/4))^2),1)*IF(AND($A403&gt;='Control Room'!$A$14,$A403&lt;'Control Room'!$A$14+'Control Room'!$B$14,'Process'!BL3=1),1+('Control Room'!$C$14-1)*EXP(-0.5*(($A403-'Control Room'!$A$14-('Control Room'!$B$14-1)/2)/MAX(0.5,'Control Room'!$B$14/4))^2),1)*IF(AND($A403&gt;='Control Room'!$A$15,$A403&lt;'Control Room'!$A$15+'Control Room'!$B$15,'Process'!BL4=1),1+('Control Room'!$C$15-1)*EXP(-0.5*(($A403-'Control Room'!$A$15-('Control Room'!$B$15-1)/2)/MAX(0.5,'Control Room'!$B$15/4))^2),1)*IF(AND($A403&gt;='Control Room'!$A$16,$A403&lt;'Control Room'!$A$16+'Control Room'!$B$16,'Process'!BL5=1),1+('Control Room'!$C$16-1)*EXP(-0.5*(($A403-'Control Room'!$A$16-('Control Room'!$B$16-1)/2)/MAX(0.5,'Control Room'!$B$16/4))^2),1)</x:f>
        <x:v>1</x:v>
      </x:c>
      <x:c r="L403" s="9" t="n">
        <x:f>MOD(M402*16807,2147483647)</x:f>
        <x:v>1179435913</x:v>
      </x:c>
      <x:c r="M403" s="9" t="n">
        <x:f>MOD(L403*16807,2147483647)</x:f>
        <x:v>1505327981</x:v>
      </x:c>
      <x:c r="N403" s="17" t="n">
        <x:f>IF('Control Room'!$B$5="Normal",'Control Room'!$B$7+'Control Room'!$D$7*SQRT(-2*LN(MAX(0.000000000001,L403/2147483647)))*COS(2*PI()*M403/2147483647),'Control Room'!$B$8+('Control Room'!$D$8-'Control Room'!$B$8)*L403/2147483647)</x:f>
        <x:v>970.1262031089483</x:v>
      </x:c>
      <x:c r="O403" s="17" t="n">
        <x:f>IF('Control Room'!$B$5="Normal",'Control Room'!$B$7,('Control Room'!$B$8+'Control Room'!$D$8)/2)+'Control Room'!$B$9*(O402-IF('Control Room'!$B$5="Normal",'Control Room'!$B$7,('Control Room'!$B$8+'Control Room'!$D$8)/2))+SQRT(1-'Control Room'!$B$9^2)*(N403-IF('Control Room'!$B$5="Normal",'Control Room'!$B$7,('Control Room'!$B$8+'Control Room'!$D$8)/2))</x:f>
        <x:v>1136.7878651676776</x:v>
      </x:c>
      <x:c r="P403" s="17" t="n">
        <x:f>IF(AND($A403&gt;='Control Room'!$A$13,$A403&lt;'Control Room'!$A$13+'Control Room'!$B$13,'Process'!BM2=1),1+('Control Room'!$C$13-1)*EXP(-0.5*(($A403-'Control Room'!$A$13-('Control Room'!$B$13-1)/2)/MAX(0.5,'Control Room'!$B$13/4))^2),1)*IF(AND($A403&gt;='Control Room'!$A$14,$A403&lt;'Control Room'!$A$14+'Control Room'!$B$14,'Process'!BM3=1),1+('Control Room'!$C$14-1)*EXP(-0.5*(($A403-'Control Room'!$A$14-('Control Room'!$B$14-1)/2)/MAX(0.5,'Control Room'!$B$14/4))^2),1)*IF(AND($A403&gt;='Control Room'!$A$15,$A403&lt;'Control Room'!$A$15+'Control Room'!$B$15,'Process'!BM4=1),1+('Control Room'!$C$15-1)*EXP(-0.5*(($A403-'Control Room'!$A$15-('Control Room'!$B$15-1)/2)/MAX(0.5,'Control Room'!$B$15/4))^2),1)*IF(AND($A403&gt;='Control Room'!$A$16,$A403&lt;'Control Room'!$A$16+'Control Room'!$B$16,'Process'!BM5=1),1+('Control Room'!$C$16-1)*EXP(-0.5*(($A403-'Control Room'!$A$16-('Control Room'!$B$16-1)/2)/MAX(0.5,'Control Room'!$B$16/4))^2),1)</x:f>
        <x:v>1</x:v>
      </x:c>
      <x:c r="Q403" s="9" t="n">
        <x:f>MOD(R402*16807,2147483647)</x:f>
        <x:v>722095649</x:v>
      </x:c>
      <x:c r="R403" s="9" t="n">
        <x:f>MOD(Q403*16807,2147483647)</x:f>
        <x:v>831483546</x:v>
      </x:c>
      <x:c r="S403" s="17" t="n">
        <x:f>IF('Control Room'!$B$5="Normal",'Control Room'!$B$7+'Control Room'!$D$7*SQRT(-2*LN(MAX(0.000000000001,Q403/2147483647)))*COS(2*PI()*R403/2147483647),'Control Room'!$B$8+('Control Room'!$D$8-'Control Room'!$B$8)*Q403/2147483647)</x:f>
        <x:v>899.1280005077876</x:v>
      </x:c>
      <x:c r="T403" s="17" t="n">
        <x:f>IF('Control Room'!$B$5="Normal",'Control Room'!$B$7,('Control Room'!$B$8+'Control Room'!$D$8)/2)+'Control Room'!$B$9*(T402-IF('Control Room'!$B$5="Normal",'Control Room'!$B$7,('Control Room'!$B$8+'Control Room'!$D$8)/2))+SQRT(1-'Control Room'!$B$9^2)*(S403-IF('Control Room'!$B$5="Normal",'Control Room'!$B$7,('Control Room'!$B$8+'Control Room'!$D$8)/2))</x:f>
        <x:v>959.6663174868202</x:v>
      </x:c>
      <x:c r="U403" s="17" t="n">
        <x:f>IF(AND($A403&gt;='Control Room'!$A$13,$A403&lt;'Control Room'!$A$13+'Control Room'!$B$13,'Process'!BN2=1),1+('Control Room'!$C$13-1)*EXP(-0.5*(($A403-'Control Room'!$A$13-('Control Room'!$B$13-1)/2)/MAX(0.5,'Control Room'!$B$13/4))^2),1)*IF(AND($A403&gt;='Control Room'!$A$14,$A403&lt;'Control Room'!$A$14+'Control Room'!$B$14,'Process'!BN3=1),1+('Control Room'!$C$14-1)*EXP(-0.5*(($A403-'Control Room'!$A$14-('Control Room'!$B$14-1)/2)/MAX(0.5,'Control Room'!$B$14/4))^2),1)*IF(AND($A403&gt;='Control Room'!$A$15,$A403&lt;'Control Room'!$A$15+'Control Room'!$B$15,'Process'!BN4=1),1+('Control Room'!$C$15-1)*EXP(-0.5*(($A403-'Control Room'!$A$15-('Control Room'!$B$15-1)/2)/MAX(0.5,'Control Room'!$B$15/4))^2),1)*IF(AND($A403&gt;='Control Room'!$A$16,$A403&lt;'Control Room'!$A$16+'Control Room'!$B$16,'Process'!BN5=1),1+('Control Room'!$C$16-1)*EXP(-0.5*(($A403-'Control Room'!$A$16-('Control Room'!$B$16-1)/2)/MAX(0.5,'Control Room'!$B$16/4))^2),1)</x:f>
        <x:v>1</x:v>
      </x:c>
      <x:c r="V403" s="9" t="n">
        <x:f>MOD(W402*16807,2147483647)</x:f>
        <x:v>264755385</x:v>
      </x:c>
      <x:c r="W403" s="9" t="n">
        <x:f>MOD(V403*16807,2147483647)</x:f>
        <x:v>157639111</x:v>
      </x:c>
      <x:c r="X403" s="17" t="n">
        <x:f>IF('Control Room'!$B$5="Normal",'Control Room'!$B$7+'Control Room'!$D$7*SQRT(-2*LN(MAX(0.000000000001,V403/2147483647)))*COS(2*PI()*W403/2147483647),'Control Room'!$B$8+('Control Room'!$D$8-'Control Room'!$B$8)*V403/2147483647)</x:f>
        <x:v>1164.9061360800804</x:v>
      </x:c>
      <x:c r="Y403" s="17" t="n">
        <x:f>IF('Control Room'!$B$5="Normal",'Control Room'!$B$7,('Control Room'!$B$8+'Control Room'!$D$8)/2)+'Control Room'!$B$9*(Y402-IF('Control Room'!$B$5="Normal",'Control Room'!$B$7,('Control Room'!$B$8+'Control Room'!$D$8)/2))+SQRT(1-'Control Room'!$B$9^2)*(X403-IF('Control Room'!$B$5="Normal",'Control Room'!$B$7,('Control Room'!$B$8+'Control Room'!$D$8)/2))</x:f>
        <x:v>1143.5969611434641</x:v>
      </x:c>
      <x:c r="Z403" s="17" t="n">
        <x:f>IF(AND($A403&gt;='Control Room'!$A$13,$A403&lt;'Control Room'!$A$13+'Control Room'!$B$13,'Process'!BO2=1),1+('Control Room'!$C$13-1)*EXP(-0.5*(($A403-'Control Room'!$A$13-('Control Room'!$B$13-1)/2)/MAX(0.5,'Control Room'!$B$13/4))^2),1)*IF(AND($A403&gt;='Control Room'!$A$14,$A403&lt;'Control Room'!$A$14+'Control Room'!$B$14,'Process'!BO3=1),1+('Control Room'!$C$14-1)*EXP(-0.5*(($A403-'Control Room'!$A$14-('Control Room'!$B$14-1)/2)/MAX(0.5,'Control Room'!$B$14/4))^2),1)*IF(AND($A403&gt;='Control Room'!$A$15,$A403&lt;'Control Room'!$A$15+'Control Room'!$B$15,'Process'!BO4=1),1+('Control Room'!$C$15-1)*EXP(-0.5*(($A403-'Control Room'!$A$15-('Control Room'!$B$15-1)/2)/MAX(0.5,'Control Room'!$B$15/4))^2),1)*IF(AND($A403&gt;='Control Room'!$A$16,$A403&lt;'Control Room'!$A$16+'Control Room'!$B$16,'Process'!BO5=1),1+('Control Room'!$C$16-1)*EXP(-0.5*(($A403-'Control Room'!$A$16-('Control Room'!$B$16-1)/2)/MAX(0.5,'Control Room'!$B$16/4))^2),1)</x:f>
        <x:v>1</x:v>
      </x:c>
      <x:c r="AA403" s="9" t="n">
        <x:f>MOD(AB402*16807,2147483647)</x:f>
        <x:v>1954898768</x:v>
      </x:c>
      <x:c r="AB403" s="9" t="n">
        <x:f>MOD(AA403*16807,2147483647)</x:f>
        <x:v>1631278323</x:v>
      </x:c>
      <x:c r="AC403" s="17" t="n">
        <x:f>IF('Control Room'!$B$5="Normal",'Control Room'!$B$7+'Control Room'!$D$7*SQRT(-2*LN(MAX(0.000000000001,AA403/2147483647)))*COS(2*PI()*AB403/2147483647),'Control Room'!$B$8+('Control Room'!$D$8-'Control Room'!$B$8)*AA403/2147483647)</x:f>
        <x:v>1002.3575358426458</x:v>
      </x:c>
      <x:c r="AD403" s="17" t="n">
        <x:f>IF('Control Room'!$B$5="Normal",'Control Room'!$B$7,('Control Room'!$B$8+'Control Room'!$D$8)/2)+'Control Room'!$B$9*(AD402-IF('Control Room'!$B$5="Normal",'Control Room'!$B$7,('Control Room'!$B$8+'Control Room'!$D$8)/2))+SQRT(1-'Control Room'!$B$9^2)*(AC403-IF('Control Room'!$B$5="Normal",'Control Room'!$B$7,('Control Room'!$B$8+'Control Room'!$D$8)/2))</x:f>
        <x:v>1107.9397453095946</x:v>
      </x:c>
      <x:c r="AE403" s="17" t="n">
        <x:f>IF(AND($A403&gt;='Control Room'!$A$13,$A403&lt;'Control Room'!$A$13+'Control Room'!$B$13,'Process'!BP2=1),1+('Control Room'!$C$13-1)*EXP(-0.5*(($A403-'Control Room'!$A$13-('Control Room'!$B$13-1)/2)/MAX(0.5,'Control Room'!$B$13/4))^2),1)*IF(AND($A403&gt;='Control Room'!$A$14,$A403&lt;'Control Room'!$A$14+'Control Room'!$B$14,'Process'!BP3=1),1+('Control Room'!$C$14-1)*EXP(-0.5*(($A403-'Control Room'!$A$14-('Control Room'!$B$14-1)/2)/MAX(0.5,'Control Room'!$B$14/4))^2),1)*IF(AND($A403&gt;='Control Room'!$A$15,$A403&lt;'Control Room'!$A$15+'Control Room'!$B$15,'Process'!BP4=1),1+('Control Room'!$C$15-1)*EXP(-0.5*(($A403-'Control Room'!$A$15-('Control Room'!$B$15-1)/2)/MAX(0.5,'Control Room'!$B$15/4))^2),1)*IF(AND($A403&gt;='Control Room'!$A$16,$A403&lt;'Control Room'!$A$16+'Control Room'!$B$16,'Process'!BP5=1),1+('Control Room'!$C$16-1)*EXP(-0.5*(($A403-'Control Room'!$A$16-('Control Room'!$B$16-1)/2)/MAX(0.5,'Control Room'!$B$16/4))^2),1)</x:f>
        <x:v>1</x:v>
      </x:c>
      <x:c r="AF403" s="9" t="n">
        <x:f>MOD(AG402*16807,2147483647)</x:f>
        <x:v>1497558504</x:v>
      </x:c>
      <x:c r="AG403" s="9" t="n">
        <x:f>MOD(AF403*16807,2147483647)</x:f>
        <x:v>957433888</x:v>
      </x:c>
      <x:c r="AH403" s="17" t="n">
        <x:f>IF('Control Room'!$B$5="Normal",'Control Room'!$B$7+'Control Room'!$D$7*SQRT(-2*LN(MAX(0.000000000001,AF403/2147483647)))*COS(2*PI()*AG403/2147483647),'Control Room'!$B$8+('Control Room'!$D$8-'Control Room'!$B$8)*AF403/2147483647)</x:f>
        <x:v>927.9657022138415</x:v>
      </x:c>
      <x:c r="AI403" s="17" t="n">
        <x:f>IF('Control Room'!$B$5="Normal",'Control Room'!$B$7,('Control Room'!$B$8+'Control Room'!$D$8)/2)+'Control Room'!$B$9*(AI402-IF('Control Room'!$B$5="Normal",'Control Room'!$B$7,('Control Room'!$B$8+'Control Room'!$D$8)/2))+SQRT(1-'Control Room'!$B$9^2)*(AH403-IF('Control Room'!$B$5="Normal",'Control Room'!$B$7,('Control Room'!$B$8+'Control Room'!$D$8)/2))</x:f>
        <x:v>935.8753658633598</x:v>
      </x:c>
      <x:c r="AJ403" s="17" t="n">
        <x:f>IF(AND($A403&gt;='Control Room'!$A$13,$A403&lt;'Control Room'!$A$13+'Control Room'!$B$13,'Process'!BQ2=1),1+('Control Room'!$C$13-1)*EXP(-0.5*(($A403-'Control Room'!$A$13-('Control Room'!$B$13-1)/2)/MAX(0.5,'Control Room'!$B$13/4))^2),1)*IF(AND($A403&gt;='Control Room'!$A$14,$A403&lt;'Control Room'!$A$14+'Control Room'!$B$14,'Process'!BQ3=1),1+('Control Room'!$C$14-1)*EXP(-0.5*(($A403-'Control Room'!$A$14-('Control Room'!$B$14-1)/2)/MAX(0.5,'Control Room'!$B$14/4))^2),1)*IF(AND($A403&gt;='Control Room'!$A$15,$A403&lt;'Control Room'!$A$15+'Control Room'!$B$15,'Process'!BQ4=1),1+('Control Room'!$C$15-1)*EXP(-0.5*(($A403-'Control Room'!$A$15-('Control Room'!$B$15-1)/2)/MAX(0.5,'Control Room'!$B$15/4))^2),1)*IF(AND($A403&gt;='Control Room'!$A$16,$A403&lt;'Control Room'!$A$16+'Control Room'!$B$16,'Process'!BQ5=1),1+('Control Room'!$C$16-1)*EXP(-0.5*(($A403-'Control Room'!$A$16-('Control Room'!$B$16-1)/2)/MAX(0.5,'Control Room'!$B$16/4))^2),1)</x:f>
        <x:v>1</x:v>
      </x:c>
      <x:c r="AK403" s="9" t="n">
        <x:f>MOD(AL402*16807,2147483647)</x:f>
        <x:v>1040218240</x:v>
      </x:c>
      <x:c r="AL403" s="9" t="n">
        <x:f>MOD(AK403*16807,2147483647)</x:f>
        <x:v>283589453</x:v>
      </x:c>
      <x:c r="AM403" s="17" t="n">
        <x:f>IF('Control Room'!$B$5="Normal",'Control Room'!$B$7+'Control Room'!$D$7*SQRT(-2*LN(MAX(0.000000000001,AK403/2147483647)))*COS(2*PI()*AL403/2147483647),'Control Room'!$B$8+('Control Room'!$D$8-'Control Room'!$B$8)*AK403/2147483647)</x:f>
        <x:v>1073.1535607450228</x:v>
      </x:c>
      <x:c r="AN403" s="17" t="n">
        <x:f>IF('Control Room'!$B$5="Normal",'Control Room'!$B$7,('Control Room'!$B$8+'Control Room'!$D$8)/2)+'Control Room'!$B$9*(AN402-IF('Control Room'!$B$5="Normal",'Control Room'!$B$7,('Control Room'!$B$8+'Control Room'!$D$8)/2))+SQRT(1-'Control Room'!$B$9^2)*(AM403-IF('Control Room'!$B$5="Normal",'Control Room'!$B$7,('Control Room'!$B$8+'Control Room'!$D$8)/2))</x:f>
        <x:v>1070.9202992992693</x:v>
      </x:c>
      <x:c r="AO403" s="17" t="n">
        <x:f>IF(AND($A403&gt;='Control Room'!$A$13,$A403&lt;'Control Room'!$A$13+'Control Room'!$B$13,'Process'!BR2=1),1+('Control Room'!$C$13-1)*EXP(-0.5*(($A403-'Control Room'!$A$13-('Control Room'!$B$13-1)/2)/MAX(0.5,'Control Room'!$B$13/4))^2),1)*IF(AND($A403&gt;='Control Room'!$A$14,$A403&lt;'Control Room'!$A$14+'Control Room'!$B$14,'Process'!BR3=1),1+('Control Room'!$C$14-1)*EXP(-0.5*(($A403-'Control Room'!$A$14-('Control Room'!$B$14-1)/2)/MAX(0.5,'Control Room'!$B$14/4))^2),1)*IF(AND($A403&gt;='Control Room'!$A$15,$A403&lt;'Control Room'!$A$15+'Control Room'!$B$15,'Process'!BR4=1),1+('Control Room'!$C$15-1)*EXP(-0.5*(($A403-'Control Room'!$A$15-('Control Room'!$B$15-1)/2)/MAX(0.5,'Control Room'!$B$15/4))^2),1)*IF(AND($A403&gt;='Control Room'!$A$16,$A403&lt;'Control Room'!$A$16+'Control Room'!$B$16,'Process'!BR5=1),1+('Control Room'!$C$16-1)*EXP(-0.5*(($A403-'Control Room'!$A$16-('Control Room'!$B$16-1)/2)/MAX(0.5,'Control Room'!$B$16/4))^2),1)</x:f>
        <x:v>1</x:v>
      </x:c>
      <x:c r="AP403" s="9" t="n">
        <x:f>MOD(AQ402*16807,2147483647)</x:f>
        <x:v>582877976</x:v>
      </x:c>
      <x:c r="AQ403" s="9" t="n">
        <x:f>MOD(AP403*16807,2147483647)</x:f>
        <x:v>1757228665</x:v>
      </x:c>
      <x:c r="AR403" s="17" t="n">
        <x:f>IF('Control Room'!$B$5="Normal",'Control Room'!$B$7+'Control Room'!$D$7*SQRT(-2*LN(MAX(0.000000000001,AP403/2147483647)))*COS(2*PI()*AQ403/2147483647),'Control Room'!$B$8+('Control Room'!$D$8-'Control Room'!$B$8)*AP403/2147483647)</x:f>
        <x:v>1060.4557227084326</x:v>
      </x:c>
      <x:c r="AS403" s="17" t="n">
        <x:f>IF('Control Room'!$B$5="Normal",'Control Room'!$B$7,('Control Room'!$B$8+'Control Room'!$D$8)/2)+'Control Room'!$B$9*(AS402-IF('Control Room'!$B$5="Normal",'Control Room'!$B$7,('Control Room'!$B$8+'Control Room'!$D$8)/2))+SQRT(1-'Control Room'!$B$9^2)*(AR403-IF('Control Room'!$B$5="Normal",'Control Room'!$B$7,('Control Room'!$B$8+'Control Room'!$D$8)/2))</x:f>
        <x:v>1109.5800755735313</x:v>
      </x:c>
      <x:c r="AT403" s="17" t="n">
        <x:f>IF(AND($A403&gt;='Control Room'!$A$13,$A403&lt;'Control Room'!$A$13+'Control Room'!$B$13,'Process'!BS2=1),1+('Control Room'!$C$13-1)*EXP(-0.5*(($A403-'Control Room'!$A$13-('Control Room'!$B$13-1)/2)/MAX(0.5,'Control Room'!$B$13/4))^2),1)*IF(AND($A403&gt;='Control Room'!$A$14,$A403&lt;'Control Room'!$A$14+'Control Room'!$B$14,'Process'!BS3=1),1+('Control Room'!$C$14-1)*EXP(-0.5*(($A403-'Control Room'!$A$14-('Control Room'!$B$14-1)/2)/MAX(0.5,'Control Room'!$B$14/4))^2),1)*IF(AND($A403&gt;='Control Room'!$A$15,$A403&lt;'Control Room'!$A$15+'Control Room'!$B$15,'Process'!BS4=1),1+('Control Room'!$C$15-1)*EXP(-0.5*(($A403-'Control Room'!$A$15-('Control Room'!$B$15-1)/2)/MAX(0.5,'Control Room'!$B$15/4))^2),1)*IF(AND($A403&gt;='Control Room'!$A$16,$A403&lt;'Control Room'!$A$16+'Control Room'!$B$16,'Process'!BS5=1),1+('Control Room'!$C$16-1)*EXP(-0.5*(($A403-'Control Room'!$A$16-('Control Room'!$B$16-1)/2)/MAX(0.5,'Control Room'!$B$16/4))^2),1)</x:f>
        <x:v>1</x:v>
      </x:c>
      <x:c r="AU403" s="9" t="n">
        <x:f>MOD(AV402*16807,2147483647)</x:f>
        <x:v>125537712</x:v>
      </x:c>
      <x:c r="AV403" s="9" t="n">
        <x:f>MOD(AU403*16807,2147483647)</x:f>
        <x:v>1083384230</x:v>
      </x:c>
      <x:c r="AW403" s="17" t="n">
        <x:f>IF('Control Room'!$B$5="Normal",'Control Room'!$B$7+'Control Room'!$D$7*SQRT(-2*LN(MAX(0.000000000001,AU403/2147483647)))*COS(2*PI()*AV403/2147483647),'Control Room'!$B$8+('Control Room'!$D$8-'Control Room'!$B$8)*AU403/2147483647)</x:f>
        <x:v>785.6115196260289</x:v>
      </x:c>
      <x:c r="AX403" s="17" t="n">
        <x:f>IF('Control Room'!$B$5="Normal",'Control Room'!$B$7,('Control Room'!$B$8+'Control Room'!$D$8)/2)+'Control Room'!$B$9*(AX402-IF('Control Room'!$B$5="Normal",'Control Room'!$B$7,('Control Room'!$B$8+'Control Room'!$D$8)/2))+SQRT(1-'Control Room'!$B$9^2)*(AW403-IF('Control Room'!$B$5="Normal",'Control Room'!$B$7,('Control Room'!$B$8+'Control Room'!$D$8)/2))</x:f>
        <x:v>902.0146404465281</x:v>
      </x:c>
      <x:c r="AY403" s="17" t="n">
        <x:f>IF(AND($A403&gt;='Control Room'!$A$13,$A403&lt;'Control Room'!$A$13+'Control Room'!$B$13,'Process'!BT2=1),1+('Control Room'!$C$13-1)*EXP(-0.5*(($A403-'Control Room'!$A$13-('Control Room'!$B$13-1)/2)/MAX(0.5,'Control Room'!$B$13/4))^2),1)*IF(AND($A403&gt;='Control Room'!$A$14,$A403&lt;'Control Room'!$A$14+'Control Room'!$B$14,'Process'!BT3=1),1+('Control Room'!$C$14-1)*EXP(-0.5*(($A403-'Control Room'!$A$14-('Control Room'!$B$14-1)/2)/MAX(0.5,'Control Room'!$B$14/4))^2),1)*IF(AND($A403&gt;='Control Room'!$A$15,$A403&lt;'Control Room'!$A$15+'Control Room'!$B$15,'Process'!BT4=1),1+('Control Room'!$C$15-1)*EXP(-0.5*(($A403-'Control Room'!$A$15-('Control Room'!$B$15-1)/2)/MAX(0.5,'Control Room'!$B$15/4))^2),1)*IF(AND($A403&gt;='Control Room'!$A$16,$A403&lt;'Control Room'!$A$16+'Control Room'!$B$16,'Process'!BT5=1),1+('Control Room'!$C$16-1)*EXP(-0.5*(($A403-'Control Room'!$A$16-('Control Room'!$B$16-1)/2)/MAX(0.5,'Control Room'!$B$16/4))^2),1)</x:f>
        <x:v>1</x:v>
      </x:c>
      <x:c r="AZ403" s="9" t="n">
        <x:f>MOD(BA402*16807,2147483647)</x:f>
        <x:v>1815681095</x:v>
      </x:c>
      <x:c r="BA403" s="9" t="n">
        <x:f>MOD(AZ403*16807,2147483647)</x:f>
        <x:v>409539795</x:v>
      </x:c>
      <x:c r="BB403" s="17" t="n">
        <x:f>IF('Control Room'!$B$5="Normal",'Control Room'!$B$7+'Control Room'!$D$7*SQRT(-2*LN(MAX(0.000000000001,AZ403/2147483647)))*COS(2*PI()*BA403/2147483647),'Control Room'!$B$8+('Control Room'!$D$8-'Control Room'!$B$8)*AZ403/2147483647)</x:f>
        <x:v>1018.9798009112651</x:v>
      </x:c>
      <x:c r="BC403" s="17" t="n">
        <x:f>IF('Control Room'!$B$5="Normal",'Control Room'!$B$7,('Control Room'!$B$8+'Control Room'!$D$8)/2)+'Control Room'!$B$9*(BC402-IF('Control Room'!$B$5="Normal",'Control Room'!$B$7,('Control Room'!$B$8+'Control Room'!$D$8)/2))+SQRT(1-'Control Room'!$B$9^2)*(BB403-IF('Control Room'!$B$5="Normal",'Control Room'!$B$7,('Control Room'!$B$8+'Control Room'!$D$8)/2))</x:f>
        <x:v>1132.1401430122405</x:v>
      </x:c>
      <x:c r="BD403" s="17" t="n">
        <x:f>IF(AND($A403&gt;='Control Room'!$A$13,$A403&lt;'Control Room'!$A$13+'Control Room'!$B$13,'Process'!BU2=1),1+('Control Room'!$C$13-1)*EXP(-0.5*(($A403-'Control Room'!$A$13-('Control Room'!$B$13-1)/2)/MAX(0.5,'Control Room'!$B$13/4))^2),1)*IF(AND($A403&gt;='Control Room'!$A$14,$A403&lt;'Control Room'!$A$14+'Control Room'!$B$14,'Process'!BU3=1),1+('Control Room'!$C$14-1)*EXP(-0.5*(($A403-'Control Room'!$A$14-('Control Room'!$B$14-1)/2)/MAX(0.5,'Control Room'!$B$14/4))^2),1)*IF(AND($A403&gt;='Control Room'!$A$15,$A403&lt;'Control Room'!$A$15+'Control Room'!$B$15,'Process'!BU4=1),1+('Control Room'!$C$15-1)*EXP(-0.5*(($A403-'Control Room'!$A$15-('Control Room'!$B$15-1)/2)/MAX(0.5,'Control Room'!$B$15/4))^2),1)*IF(AND($A403&gt;='Control Room'!$A$16,$A403&lt;'Control Room'!$A$16+'Control Room'!$B$16,'Process'!BU5=1),1+('Control Room'!$C$16-1)*EXP(-0.5*(($A403-'Control Room'!$A$16-('Control Room'!$B$16-1)/2)/MAX(0.5,'Control Room'!$B$16/4))^2),1)</x:f>
        <x:v>1</x:v>
      </x:c>
      <x:c r="BE403" s="9" t="n">
        <x:f>MOD(BF402*16807,2147483647)</x:f>
        <x:v>1358340831</x:v>
      </x:c>
      <x:c r="BF403" s="9" t="n">
        <x:f>MOD(BE403*16807,2147483647)</x:f>
        <x:v>1883179007</x:v>
      </x:c>
      <x:c r="BG403" s="17" t="n">
        <x:f>IF('Control Room'!$B$5="Normal",'Control Room'!$B$7+'Control Room'!$D$7*SQRT(-2*LN(MAX(0.000000000001,BE403/2147483647)))*COS(2*PI()*BF403/2147483647),'Control Room'!$B$8+('Control Room'!$D$8-'Control Room'!$B$8)*BE403/2147483647)</x:f>
        <x:v>1061.6420082246852</x:v>
      </x:c>
      <x:c r="BH403" s="17" t="n">
        <x:f>IF('Control Room'!$B$5="Normal",'Control Room'!$B$7,('Control Room'!$B$8+'Control Room'!$D$8)/2)+'Control Room'!$B$9*(BH402-IF('Control Room'!$B$5="Normal",'Control Room'!$B$7,('Control Room'!$B$8+'Control Room'!$D$8)/2))+SQRT(1-'Control Room'!$B$9^2)*(BG403-IF('Control Room'!$B$5="Normal",'Control Room'!$B$7,('Control Room'!$B$8+'Control Room'!$D$8)/2))</x:f>
        <x:v>1082.8100575454682</x:v>
      </x:c>
      <x:c r="BI403" s="17" t="n">
        <x:f>IF(AND($A403&gt;='Control Room'!$A$13,$A403&lt;'Control Room'!$A$13+'Control Room'!$B$13,'Process'!BV2=1),1+('Control Room'!$C$13-1)*EXP(-0.5*(($A403-'Control Room'!$A$13-('Control Room'!$B$13-1)/2)/MAX(0.5,'Control Room'!$B$13/4))^2),1)*IF(AND($A403&gt;='Control Room'!$A$14,$A403&lt;'Control Room'!$A$14+'Control Room'!$B$14,'Process'!BV3=1),1+('Control Room'!$C$14-1)*EXP(-0.5*(($A403-'Control Room'!$A$14-('Control Room'!$B$14-1)/2)/MAX(0.5,'Control Room'!$B$14/4))^2),1)*IF(AND($A403&gt;='Control Room'!$A$15,$A403&lt;'Control Room'!$A$15+'Control Room'!$B$15,'Process'!BV4=1),1+('Control Room'!$C$15-1)*EXP(-0.5*(($A403-'Control Room'!$A$15-('Control Room'!$B$15-1)/2)/MAX(0.5,'Control Room'!$B$15/4))^2),1)*IF(AND($A403&gt;='Control Room'!$A$16,$A403&lt;'Control Room'!$A$16+'Control Room'!$B$16,'Process'!BV5=1),1+('Control Room'!$C$16-1)*EXP(-0.5*(($A403-'Control Room'!$A$16-('Control Room'!$B$16-1)/2)/MAX(0.5,'Control Room'!$B$16/4))^2),1)</x:f>
        <x:v>1</x:v>
      </x:c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Z403" t="str">
        <x:f>IF('Data'!A403="","",TEXT('Data'!A403,"mm-dd"))</x:f>
      </x:c>
    </x:row>
    <x:row r="404" ht="21" customHeight="1">
      <x:c r="A404" s="15" t="n">
        <x:f>'Control Room'!$B$1+402</x:f>
        <x:v>73393</x:v>
      </x:c>
      <x:c r="B404" s="9" t="n">
        <x:f>MOD(C403*16807,2147483647)</x:f>
        <x:v>1639344541</x:v>
      </x:c>
      <x:c r="C404" s="9" t="n">
        <x:f>MOD(B404*16807,2147483647)</x:f>
        <x:v>248509577</x:v>
      </x:c>
      <x:c r="D404" s="17" t="n">
        <x:f>IF('Control Room'!$B$5="Normal",'Control Room'!$B$7+'Control Room'!$D$7*SQRT(-2*LN(MAX(0.000000000001,B404/2147483647)))*COS(2*PI()*C404/2147483647),'Control Room'!$B$8+('Control Room'!$D$8-'Control Room'!$B$8)*B404/2147483647)</x:f>
        <x:v>1049.4108143501758</x:v>
      </x:c>
      <x:c r="E404" s="17" t="n">
        <x:f>IF('Control Room'!$B$5="Normal",'Control Room'!$B$7,('Control Room'!$B$8+'Control Room'!$D$8)/2)+'Control Room'!$B$9*(E403-IF('Control Room'!$B$5="Normal",'Control Room'!$B$7,('Control Room'!$B$8+'Control Room'!$D$8)/2))+SQRT(1-'Control Room'!$B$9^2)*(D404-IF('Control Room'!$B$5="Normal",'Control Room'!$B$7,('Control Room'!$B$8+'Control Room'!$D$8)/2))</x:f>
        <x:v>1019.4988055049522</x:v>
      </x:c>
      <x:c r="F404" s="17" t="n">
        <x:f>IF(AND($A404&gt;='Control Room'!$A$13,$A404&lt;'Control Room'!$A$13+'Control Room'!$B$13,'Process'!BK2=1),1+('Control Room'!$C$13-1)*EXP(-0.5*(($A404-'Control Room'!$A$13-('Control Room'!$B$13-1)/2)/MAX(0.5,'Control Room'!$B$13/4))^2),1)*IF(AND($A404&gt;='Control Room'!$A$14,$A404&lt;'Control Room'!$A$14+'Control Room'!$B$14,'Process'!BK3=1),1+('Control Room'!$C$14-1)*EXP(-0.5*(($A404-'Control Room'!$A$14-('Control Room'!$B$14-1)/2)/MAX(0.5,'Control Room'!$B$14/4))^2),1)*IF(AND($A404&gt;='Control Room'!$A$15,$A404&lt;'Control Room'!$A$15+'Control Room'!$B$15,'Process'!BK4=1),1+('Control Room'!$C$15-1)*EXP(-0.5*(($A404-'Control Room'!$A$15-('Control Room'!$B$15-1)/2)/MAX(0.5,'Control Room'!$B$15/4))^2),1)*IF(AND($A404&gt;='Control Room'!$A$16,$A404&lt;'Control Room'!$A$16+'Control Room'!$B$16,'Process'!BK5=1),1+('Control Room'!$C$16-1)*EXP(-0.5*(($A404-'Control Room'!$A$16-('Control Room'!$B$16-1)/2)/MAX(0.5,'Control Room'!$B$16/4))^2),1)</x:f>
        <x:v>1</x:v>
      </x:c>
      <x:c r="G404" s="9" t="n">
        <x:f>MOD(H403*16807,2147483647)</x:f>
        <x:v>17196127</x:v>
      </x:c>
      <x:c r="H404" s="9" t="n">
        <x:f>MOD(G404*16807,2147483647)</x:f>
        <x:v>1252497791</x:v>
      </x:c>
      <x:c r="I404" s="17" t="n">
        <x:f>IF('Control Room'!$B$5="Normal",'Control Room'!$B$7+'Control Room'!$D$7*SQRT(-2*LN(MAX(0.000000000001,G404/2147483647)))*COS(2*PI()*H404/2147483647),'Control Room'!$B$8+('Control Room'!$D$8-'Control Room'!$B$8)*G404/2147483647)</x:f>
        <x:v>757.734988571985</x:v>
      </x:c>
      <x:c r="J404" s="17" t="n">
        <x:f>IF('Control Room'!$B$5="Normal",'Control Room'!$B$7,('Control Room'!$B$8+'Control Room'!$D$8)/2)+'Control Room'!$B$9*(J403-IF('Control Room'!$B$5="Normal",'Control Room'!$B$7,('Control Room'!$B$8+'Control Room'!$D$8)/2))+SQRT(1-'Control Room'!$B$9^2)*(I404-IF('Control Room'!$B$5="Normal",'Control Room'!$B$7,('Control Room'!$B$8+'Control Room'!$D$8)/2))</x:f>
        <x:v>987.2719093155279</x:v>
      </x:c>
      <x:c r="K404" s="17" t="n">
        <x:f>IF(AND($A404&gt;='Control Room'!$A$13,$A404&lt;'Control Room'!$A$13+'Control Room'!$B$13,'Process'!BL2=1),1+('Control Room'!$C$13-1)*EXP(-0.5*(($A404-'Control Room'!$A$13-('Control Room'!$B$13-1)/2)/MAX(0.5,'Control Room'!$B$13/4))^2),1)*IF(AND($A404&gt;='Control Room'!$A$14,$A404&lt;'Control Room'!$A$14+'Control Room'!$B$14,'Process'!BL3=1),1+('Control Room'!$C$14-1)*EXP(-0.5*(($A404-'Control Room'!$A$14-('Control Room'!$B$14-1)/2)/MAX(0.5,'Control Room'!$B$14/4))^2),1)*IF(AND($A404&gt;='Control Room'!$A$15,$A404&lt;'Control Room'!$A$15+'Control Room'!$B$15,'Process'!BL4=1),1+('Control Room'!$C$15-1)*EXP(-0.5*(($A404-'Control Room'!$A$15-('Control Room'!$B$15-1)/2)/MAX(0.5,'Control Room'!$B$15/4))^2),1)*IF(AND($A404&gt;='Control Room'!$A$16,$A404&lt;'Control Room'!$A$16+'Control Room'!$B$16,'Process'!BL5=1),1+('Control Room'!$C$16-1)*EXP(-0.5*(($A404-'Control Room'!$A$16-('Control Room'!$B$16-1)/2)/MAX(0.5,'Control Room'!$B$16/4))^2),1)</x:f>
        <x:v>1</x:v>
      </x:c>
      <x:c r="L404" s="9" t="n">
        <x:f>MOD(M403*16807,2147483647)</x:f>
        <x:v>542531360</x:v>
      </x:c>
      <x:c r="M404" s="9" t="n">
        <x:f>MOD(L404*16807,2147483647)</x:f>
        <x:v>109002358</x:v>
      </x:c>
      <x:c r="N404" s="17" t="n">
        <x:f>IF('Control Room'!$B$5="Normal",'Control Room'!$B$7+'Control Room'!$D$7*SQRT(-2*LN(MAX(0.000000000001,L404/2147483647)))*COS(2*PI()*M404/2147483647),'Control Room'!$B$8+('Control Room'!$D$8-'Control Room'!$B$8)*L404/2147483647)</x:f>
        <x:v>1141.763615833485</x:v>
      </x:c>
      <x:c r="O404" s="17" t="n">
        <x:f>IF('Control Room'!$B$5="Normal",'Control Room'!$B$7,('Control Room'!$B$8+'Control Room'!$D$8)/2)+'Control Room'!$B$9*(O403-IF('Control Room'!$B$5="Normal",'Control Room'!$B$7,('Control Room'!$B$8+'Control Room'!$D$8)/2))+SQRT(1-'Control Room'!$B$9^2)*(N404-IF('Control Room'!$B$5="Normal",'Control Room'!$B$7,('Control Room'!$B$8+'Control Room'!$D$8)/2))</x:f>
        <x:v>1195.4073014338564</x:v>
      </x:c>
      <x:c r="P404" s="17" t="n">
        <x:f>IF(AND($A404&gt;='Control Room'!$A$13,$A404&lt;'Control Room'!$A$13+'Control Room'!$B$13,'Process'!BM2=1),1+('Control Room'!$C$13-1)*EXP(-0.5*(($A404-'Control Room'!$A$13-('Control Room'!$B$13-1)/2)/MAX(0.5,'Control Room'!$B$13/4))^2),1)*IF(AND($A404&gt;='Control Room'!$A$14,$A404&lt;'Control Room'!$A$14+'Control Room'!$B$14,'Process'!BM3=1),1+('Control Room'!$C$14-1)*EXP(-0.5*(($A404-'Control Room'!$A$14-('Control Room'!$B$14-1)/2)/MAX(0.5,'Control Room'!$B$14/4))^2),1)*IF(AND($A404&gt;='Control Room'!$A$15,$A404&lt;'Control Room'!$A$15+'Control Room'!$B$15,'Process'!BM4=1),1+('Control Room'!$C$15-1)*EXP(-0.5*(($A404-'Control Room'!$A$15-('Control Room'!$B$15-1)/2)/MAX(0.5,'Control Room'!$B$15/4))^2),1)*IF(AND($A404&gt;='Control Room'!$A$16,$A404&lt;'Control Room'!$A$16+'Control Room'!$B$16,'Process'!BM5=1),1+('Control Room'!$C$16-1)*EXP(-0.5*(($A404-'Control Room'!$A$16-('Control Room'!$B$16-1)/2)/MAX(0.5,'Control Room'!$B$16/4))^2),1)</x:f>
        <x:v>1</x:v>
      </x:c>
      <x:c r="Q404" s="9" t="n">
        <x:f>MOD(R403*16807,2147483647)</x:f>
        <x:v>1067866593</x:v>
      </x:c>
      <x:c r="R404" s="9" t="n">
        <x:f>MOD(Q404*16807,2147483647)</x:f>
        <x:v>1112990572</x:v>
      </x:c>
      <x:c r="S404" s="17" t="n">
        <x:f>IF('Control Room'!$B$5="Normal",'Control Room'!$B$7+'Control Room'!$D$7*SQRT(-2*LN(MAX(0.000000000001,Q404/2147483647)))*COS(2*PI()*R404/2147483647),'Control Room'!$B$8+('Control Room'!$D$8-'Control Room'!$B$8)*Q404/2147483647)</x:f>
        <x:v>894.3152136801968</x:v>
      </x:c>
      <x:c r="T404" s="17" t="n">
        <x:f>IF('Control Room'!$B$5="Normal",'Control Room'!$B$7,('Control Room'!$B$8+'Control Room'!$D$8)/2)+'Control Room'!$B$9*(T403-IF('Control Room'!$B$5="Normal",'Control Room'!$B$7,('Control Room'!$B$8+'Control Room'!$D$8)/2))+SQRT(1-'Control Room'!$B$9^2)*(S404-IF('Control Room'!$B$5="Normal",'Control Room'!$B$7,('Control Room'!$B$8+'Control Room'!$D$8)/2))</x:f>
        <x:v>902.4043534313166</x:v>
      </x:c>
      <x:c r="U404" s="17" t="n">
        <x:f>IF(AND($A404&gt;='Control Room'!$A$13,$A404&lt;'Control Room'!$A$13+'Control Room'!$B$13,'Process'!BN2=1),1+('Control Room'!$C$13-1)*EXP(-0.5*(($A404-'Control Room'!$A$13-('Control Room'!$B$13-1)/2)/MAX(0.5,'Control Room'!$B$13/4))^2),1)*IF(AND($A404&gt;='Control Room'!$A$14,$A404&lt;'Control Room'!$A$14+'Control Room'!$B$14,'Process'!BN3=1),1+('Control Room'!$C$14-1)*EXP(-0.5*(($A404-'Control Room'!$A$14-('Control Room'!$B$14-1)/2)/MAX(0.5,'Control Room'!$B$14/4))^2),1)*IF(AND($A404&gt;='Control Room'!$A$15,$A404&lt;'Control Room'!$A$15+'Control Room'!$B$15,'Process'!BN4=1),1+('Control Room'!$C$15-1)*EXP(-0.5*(($A404-'Control Room'!$A$15-('Control Room'!$B$15-1)/2)/MAX(0.5,'Control Room'!$B$15/4))^2),1)*IF(AND($A404&gt;='Control Room'!$A$16,$A404&lt;'Control Room'!$A$16+'Control Room'!$B$16,'Process'!BN5=1),1+('Control Room'!$C$16-1)*EXP(-0.5*(($A404-'Control Room'!$A$16-('Control Room'!$B$16-1)/2)/MAX(0.5,'Control Room'!$B$16/4))^2),1)</x:f>
        <x:v>1</x:v>
      </x:c>
      <x:c r="V404" s="9" t="n">
        <x:f>MOD(W403*16807,2147483647)</x:f>
        <x:v>1593201826</x:v>
      </x:c>
      <x:c r="W404" s="9" t="n">
        <x:f>MOD(V404*16807,2147483647)</x:f>
        <x:v>2116978786</x:v>
      </x:c>
      <x:c r="X404" s="17" t="n">
        <x:f>IF('Control Room'!$B$5="Normal",'Control Room'!$B$7+'Control Room'!$D$7*SQRT(-2*LN(MAX(0.000000000001,V404/2147483647)))*COS(2*PI()*W404/2147483647),'Control Room'!$B$8+('Control Room'!$D$8-'Control Room'!$B$8)*V404/2147483647)</x:f>
        <x:v>1069.2683296207254</x:v>
      </x:c>
      <x:c r="Y404" s="17" t="n">
        <x:f>IF('Control Room'!$B$5="Normal",'Control Room'!$B$7,('Control Room'!$B$8+'Control Room'!$D$8)/2)+'Control Room'!$B$9*(Y403-IF('Control Room'!$B$5="Normal",'Control Room'!$B$7,('Control Room'!$B$8+'Control Room'!$D$8)/2))+SQRT(1-'Control Room'!$B$9^2)*(X404-IF('Control Room'!$B$5="Normal",'Control Room'!$B$7,('Control Room'!$B$8+'Control Room'!$D$8)/2))</x:f>
        <x:v>1155.352331329688</x:v>
      </x:c>
      <x:c r="Z404" s="17" t="n">
        <x:f>IF(AND($A404&gt;='Control Room'!$A$13,$A404&lt;'Control Room'!$A$13+'Control Room'!$B$13,'Process'!BO2=1),1+('Control Room'!$C$13-1)*EXP(-0.5*(($A404-'Control Room'!$A$13-('Control Room'!$B$13-1)/2)/MAX(0.5,'Control Room'!$B$13/4))^2),1)*IF(AND($A404&gt;='Control Room'!$A$14,$A404&lt;'Control Room'!$A$14+'Control Room'!$B$14,'Process'!BO3=1),1+('Control Room'!$C$14-1)*EXP(-0.5*(($A404-'Control Room'!$A$14-('Control Room'!$B$14-1)/2)/MAX(0.5,'Control Room'!$B$14/4))^2),1)*IF(AND($A404&gt;='Control Room'!$A$15,$A404&lt;'Control Room'!$A$15+'Control Room'!$B$15,'Process'!BO4=1),1+('Control Room'!$C$15-1)*EXP(-0.5*(($A404-'Control Room'!$A$15-('Control Room'!$B$15-1)/2)/MAX(0.5,'Control Room'!$B$15/4))^2),1)*IF(AND($A404&gt;='Control Room'!$A$16,$A404&lt;'Control Room'!$A$16+'Control Room'!$B$16,'Process'!BO5=1),1+('Control Room'!$C$16-1)*EXP(-0.5*(($A404-'Control Room'!$A$16-('Control Room'!$B$16-1)/2)/MAX(0.5,'Control Room'!$B$16/4))^2),1)</x:f>
        <x:v>1</x:v>
      </x:c>
      <x:c r="AA404" s="9" t="n">
        <x:f>MOD(AB403*16807,2147483647)</x:f>
        <x:v>2118537059</x:v>
      </x:c>
      <x:c r="AB404" s="9" t="n">
        <x:f>MOD(AA404*16807,2147483647)</x:f>
        <x:v>973483353</x:v>
      </x:c>
      <x:c r="AC404" s="17" t="n">
        <x:f>IF('Control Room'!$B$5="Normal",'Control Room'!$B$7+'Control Room'!$D$7*SQRT(-2*LN(MAX(0.000000000001,AA404/2147483647)))*COS(2*PI()*AB404/2147483647),'Control Room'!$B$8+('Control Room'!$D$8-'Control Room'!$B$8)*AA404/2147483647)</x:f>
        <x:v>985.806038650885</x:v>
      </x:c>
      <x:c r="AD404" s="17" t="n">
        <x:f>IF('Control Room'!$B$5="Normal",'Control Room'!$B$7,('Control Room'!$B$8+'Control Room'!$D$8)/2)+'Control Room'!$B$9*(AD403-IF('Control Room'!$B$5="Normal",'Control Room'!$B$7,('Control Room'!$B$8+'Control Room'!$D$8)/2))+SQRT(1-'Control Room'!$B$9^2)*(AC404-IF('Control Room'!$B$5="Normal",'Control Room'!$B$7,('Control Room'!$B$8+'Control Room'!$D$8)/2))</x:f>
        <x:v>1075.3107111083111</x:v>
      </x:c>
      <x:c r="AE404" s="17" t="n">
        <x:f>IF(AND($A404&gt;='Control Room'!$A$13,$A404&lt;'Control Room'!$A$13+'Control Room'!$B$13,'Process'!BP2=1),1+('Control Room'!$C$13-1)*EXP(-0.5*(($A404-'Control Room'!$A$13-('Control Room'!$B$13-1)/2)/MAX(0.5,'Control Room'!$B$13/4))^2),1)*IF(AND($A404&gt;='Control Room'!$A$14,$A404&lt;'Control Room'!$A$14+'Control Room'!$B$14,'Process'!BP3=1),1+('Control Room'!$C$14-1)*EXP(-0.5*(($A404-'Control Room'!$A$14-('Control Room'!$B$14-1)/2)/MAX(0.5,'Control Room'!$B$14/4))^2),1)*IF(AND($A404&gt;='Control Room'!$A$15,$A404&lt;'Control Room'!$A$15+'Control Room'!$B$15,'Process'!BP4=1),1+('Control Room'!$C$15-1)*EXP(-0.5*(($A404-'Control Room'!$A$15-('Control Room'!$B$15-1)/2)/MAX(0.5,'Control Room'!$B$15/4))^2),1)*IF(AND($A404&gt;='Control Room'!$A$16,$A404&lt;'Control Room'!$A$16+'Control Room'!$B$16,'Process'!BP5=1),1+('Control Room'!$C$16-1)*EXP(-0.5*(($A404-'Control Room'!$A$16-('Control Room'!$B$16-1)/2)/MAX(0.5,'Control Room'!$B$16/4))^2),1)</x:f>
        <x:v>1</x:v>
      </x:c>
      <x:c r="AF404" s="9" t="n">
        <x:f>MOD(AG403*16807,2147483647)</x:f>
        <x:v>496388645</x:v>
      </x:c>
      <x:c r="AG404" s="9" t="n">
        <x:f>MOD(AF404*16807,2147483647)</x:f>
        <x:v>1977471567</x:v>
      </x:c>
      <x:c r="AH404" s="17" t="n">
        <x:f>IF('Control Room'!$B$5="Normal",'Control Room'!$B$7+'Control Room'!$D$7*SQRT(-2*LN(MAX(0.000000000001,AF404/2147483647)))*COS(2*PI()*AG404/2147483647),'Control Room'!$B$8+('Control Room'!$D$8-'Control Room'!$B$8)*AF404/2147483647)</x:f>
        <x:v>1135.3715039647893</x:v>
      </x:c>
      <x:c r="AI404" s="17" t="n">
        <x:f>IF('Control Room'!$B$5="Normal",'Control Room'!$B$7,('Control Room'!$B$8+'Control Room'!$D$8)/2)+'Control Room'!$B$9*(AI403-IF('Control Room'!$B$5="Normal",'Control Room'!$B$7,('Control Room'!$B$8+'Control Room'!$D$8)/2))+SQRT(1-'Control Room'!$B$9^2)*(AH404-IF('Control Room'!$B$5="Normal",'Control Room'!$B$7,('Control Room'!$B$8+'Control Room'!$D$8)/2))</x:f>
        <x:v>1034.6954993185882</x:v>
      </x:c>
      <x:c r="AJ404" s="17" t="n">
        <x:f>IF(AND($A404&gt;='Control Room'!$A$13,$A404&lt;'Control Room'!$A$13+'Control Room'!$B$13,'Process'!BQ2=1),1+('Control Room'!$C$13-1)*EXP(-0.5*(($A404-'Control Room'!$A$13-('Control Room'!$B$13-1)/2)/MAX(0.5,'Control Room'!$B$13/4))^2),1)*IF(AND($A404&gt;='Control Room'!$A$14,$A404&lt;'Control Room'!$A$14+'Control Room'!$B$14,'Process'!BQ3=1),1+('Control Room'!$C$14-1)*EXP(-0.5*(($A404-'Control Room'!$A$14-('Control Room'!$B$14-1)/2)/MAX(0.5,'Control Room'!$B$14/4))^2),1)*IF(AND($A404&gt;='Control Room'!$A$15,$A404&lt;'Control Room'!$A$15+'Control Room'!$B$15,'Process'!BQ4=1),1+('Control Room'!$C$15-1)*EXP(-0.5*(($A404-'Control Room'!$A$15-('Control Room'!$B$15-1)/2)/MAX(0.5,'Control Room'!$B$15/4))^2),1)*IF(AND($A404&gt;='Control Room'!$A$16,$A404&lt;'Control Room'!$A$16+'Control Room'!$B$16,'Process'!BQ5=1),1+('Control Room'!$C$16-1)*EXP(-0.5*(($A404-'Control Room'!$A$16-('Control Room'!$B$16-1)/2)/MAX(0.5,'Control Room'!$B$16/4))^2),1)</x:f>
        <x:v>1</x:v>
      </x:c>
      <x:c r="AK404" s="9" t="n">
        <x:f>MOD(AL403*16807,2147483647)</x:f>
        <x:v>1021723878</x:v>
      </x:c>
      <x:c r="AL404" s="9" t="n">
        <x:f>MOD(AK404*16807,2147483647)</x:f>
        <x:v>833976134</x:v>
      </x:c>
      <x:c r="AM404" s="17" t="n">
        <x:f>IF('Control Room'!$B$5="Normal",'Control Room'!$B$7+'Control Room'!$D$7*SQRT(-2*LN(MAX(0.000000000001,AK404/2147483647)))*COS(2*PI()*AL404/2147483647),'Control Room'!$B$8+('Control Room'!$D$8-'Control Room'!$B$8)*AK404/2147483647)</x:f>
        <x:v>916.206215545379</x:v>
      </x:c>
      <x:c r="AN404" s="17" t="n">
        <x:f>IF('Control Room'!$B$5="Normal",'Control Room'!$B$7,('Control Room'!$B$8+'Control Room'!$D$8)/2)+'Control Room'!$B$9*(AN403-IF('Control Room'!$B$5="Normal",'Control Room'!$B$7,('Control Room'!$B$8+'Control Room'!$D$8)/2))+SQRT(1-'Control Room'!$B$9^2)*(AM404-IF('Control Room'!$B$5="Normal",'Control Room'!$B$7,('Control Room'!$B$8+'Control Room'!$D$8)/2))</x:f>
        <x:v>1002.8813997507087</x:v>
      </x:c>
      <x:c r="AO404" s="17" t="n">
        <x:f>IF(AND($A404&gt;='Control Room'!$A$13,$A404&lt;'Control Room'!$A$13+'Control Room'!$B$13,'Process'!BR2=1),1+('Control Room'!$C$13-1)*EXP(-0.5*(($A404-'Control Room'!$A$13-('Control Room'!$B$13-1)/2)/MAX(0.5,'Control Room'!$B$13/4))^2),1)*IF(AND($A404&gt;='Control Room'!$A$14,$A404&lt;'Control Room'!$A$14+'Control Room'!$B$14,'Process'!BR3=1),1+('Control Room'!$C$14-1)*EXP(-0.5*(($A404-'Control Room'!$A$14-('Control Room'!$B$14-1)/2)/MAX(0.5,'Control Room'!$B$14/4))^2),1)*IF(AND($A404&gt;='Control Room'!$A$15,$A404&lt;'Control Room'!$A$15+'Control Room'!$B$15,'Process'!BR4=1),1+('Control Room'!$C$15-1)*EXP(-0.5*(($A404-'Control Room'!$A$15-('Control Room'!$B$15-1)/2)/MAX(0.5,'Control Room'!$B$15/4))^2),1)*IF(AND($A404&gt;='Control Room'!$A$16,$A404&lt;'Control Room'!$A$16+'Control Room'!$B$16,'Process'!BR5=1),1+('Control Room'!$C$16-1)*EXP(-0.5*(($A404-'Control Room'!$A$16-('Control Room'!$B$16-1)/2)/MAX(0.5,'Control Room'!$B$16/4))^2),1)</x:f>
        <x:v>1</x:v>
      </x:c>
      <x:c r="AP404" s="9" t="n">
        <x:f>MOD(AQ403*16807,2147483647)</x:f>
        <x:v>1547059111</x:v>
      </x:c>
      <x:c r="AQ404" s="9" t="n">
        <x:f>MOD(AP404*16807,2147483647)</x:f>
        <x:v>1837964348</x:v>
      </x:c>
      <x:c r="AR404" s="17" t="n">
        <x:f>IF('Control Room'!$B$5="Normal",'Control Room'!$B$7+'Control Room'!$D$7*SQRT(-2*LN(MAX(0.000000000001,AP404/2147483647)))*COS(2*PI()*AQ404/2147483647),'Control Room'!$B$8+('Control Room'!$D$8-'Control Room'!$B$8)*AP404/2147483647)</x:f>
        <x:v>1044.9872371139281</x:v>
      </x:c>
      <x:c r="AS404" s="17" t="n">
        <x:f>IF('Control Room'!$B$5="Normal",'Control Room'!$B$7,('Control Room'!$B$8+'Control Room'!$D$8)/2)+'Control Room'!$B$9*(AS403-IF('Control Room'!$B$5="Normal",'Control Room'!$B$7,('Control Room'!$B$8+'Control Room'!$D$8)/2))+SQRT(1-'Control Room'!$B$9^2)*(AR404-IF('Control Room'!$B$5="Normal",'Control Room'!$B$7,('Control Room'!$B$8+'Control Room'!$D$8)/2))</x:f>
        <x:v>1113.6245503196042</x:v>
      </x:c>
      <x:c r="AT404" s="17" t="n">
        <x:f>IF(AND($A404&gt;='Control Room'!$A$13,$A404&lt;'Control Room'!$A$13+'Control Room'!$B$13,'Process'!BS2=1),1+('Control Room'!$C$13-1)*EXP(-0.5*(($A404-'Control Room'!$A$13-('Control Room'!$B$13-1)/2)/MAX(0.5,'Control Room'!$B$13/4))^2),1)*IF(AND($A404&gt;='Control Room'!$A$14,$A404&lt;'Control Room'!$A$14+'Control Room'!$B$14,'Process'!BS3=1),1+('Control Room'!$C$14-1)*EXP(-0.5*(($A404-'Control Room'!$A$14-('Control Room'!$B$14-1)/2)/MAX(0.5,'Control Room'!$B$14/4))^2),1)*IF(AND($A404&gt;='Control Room'!$A$15,$A404&lt;'Control Room'!$A$15+'Control Room'!$B$15,'Process'!BS4=1),1+('Control Room'!$C$15-1)*EXP(-0.5*(($A404-'Control Room'!$A$15-('Control Room'!$B$15-1)/2)/MAX(0.5,'Control Room'!$B$15/4))^2),1)*IF(AND($A404&gt;='Control Room'!$A$16,$A404&lt;'Control Room'!$A$16+'Control Room'!$B$16,'Process'!BS5=1),1+('Control Room'!$C$16-1)*EXP(-0.5*(($A404-'Control Room'!$A$16-('Control Room'!$B$16-1)/2)/MAX(0.5,'Control Room'!$B$16/4))^2),1)</x:f>
        <x:v>1</x:v>
      </x:c>
      <x:c r="AU404" s="9" t="n">
        <x:f>MOD(AV403*16807,2147483647)</x:f>
        <x:v>2072394344</x:v>
      </x:c>
      <x:c r="AV404" s="9" t="n">
        <x:f>MOD(AU404*16807,2147483647)</x:f>
        <x:v>694468915</x:v>
      </x:c>
      <x:c r="AW404" s="17" t="n">
        <x:f>IF('Control Room'!$B$5="Normal",'Control Room'!$B$7+'Control Room'!$D$7*SQRT(-2*LN(MAX(0.000000000001,AU404/2147483647)))*COS(2*PI()*AV404/2147483647),'Control Room'!$B$8+('Control Room'!$D$8-'Control Room'!$B$8)*AU404/2147483647)</x:f>
        <x:v>989.3159771618945</x:v>
      </x:c>
      <x:c r="AX404" s="17" t="n">
        <x:f>IF('Control Room'!$B$5="Normal",'Control Room'!$B$7,('Control Room'!$B$8+'Control Room'!$D$8)/2)+'Control Room'!$B$9*(AX403-IF('Control Room'!$B$5="Normal",'Control Room'!$B$7,('Control Room'!$B$8+'Control Room'!$D$8)/2))+SQRT(1-'Control Room'!$B$9^2)*(AW404-IF('Control Room'!$B$5="Normal",'Control Room'!$B$7,('Control Room'!$B$8+'Control Room'!$D$8)/2))</x:f>
        <x:v>916.8855769303102</x:v>
      </x:c>
      <x:c r="AY404" s="17" t="n">
        <x:f>IF(AND($A404&gt;='Control Room'!$A$13,$A404&lt;'Control Room'!$A$13+'Control Room'!$B$13,'Process'!BT2=1),1+('Control Room'!$C$13-1)*EXP(-0.5*(($A404-'Control Room'!$A$13-('Control Room'!$B$13-1)/2)/MAX(0.5,'Control Room'!$B$13/4))^2),1)*IF(AND($A404&gt;='Control Room'!$A$14,$A404&lt;'Control Room'!$A$14+'Control Room'!$B$14,'Process'!BT3=1),1+('Control Room'!$C$14-1)*EXP(-0.5*(($A404-'Control Room'!$A$14-('Control Room'!$B$14-1)/2)/MAX(0.5,'Control Room'!$B$14/4))^2),1)*IF(AND($A404&gt;='Control Room'!$A$15,$A404&lt;'Control Room'!$A$15+'Control Room'!$B$15,'Process'!BT4=1),1+('Control Room'!$C$15-1)*EXP(-0.5*(($A404-'Control Room'!$A$15-('Control Room'!$B$15-1)/2)/MAX(0.5,'Control Room'!$B$15/4))^2),1)*IF(AND($A404&gt;='Control Room'!$A$16,$A404&lt;'Control Room'!$A$16+'Control Room'!$B$16,'Process'!BT5=1),1+('Control Room'!$C$16-1)*EXP(-0.5*(($A404-'Control Room'!$A$16-('Control Room'!$B$16-1)/2)/MAX(0.5,'Control Room'!$B$16/4))^2),1)</x:f>
        <x:v>1</x:v>
      </x:c>
      <x:c r="AZ404" s="9" t="n">
        <x:f>MOD(BA403*16807,2147483647)</x:f>
        <x:v>450245930</x:v>
      </x:c>
      <x:c r="BA404" s="9" t="n">
        <x:f>MOD(AZ404*16807,2147483647)</x:f>
        <x:v>1698457129</x:v>
      </x:c>
      <x:c r="BB404" s="17" t="n">
        <x:f>IF('Control Room'!$B$5="Normal",'Control Room'!$B$7+'Control Room'!$D$7*SQRT(-2*LN(MAX(0.000000000001,AZ404/2147483647)))*COS(2*PI()*BA404/2147483647),'Control Room'!$B$8+('Control Room'!$D$8-'Control Room'!$B$8)*AZ404/2147483647)</x:f>
        <x:v>1040.439512543452</x:v>
      </x:c>
      <x:c r="BC404" s="17" t="n">
        <x:f>IF('Control Room'!$B$5="Normal",'Control Room'!$B$7,('Control Room'!$B$8+'Control Room'!$D$8)/2)+'Control Room'!$B$9*(BC403-IF('Control Room'!$B$5="Normal",'Control Room'!$B$7,('Control Room'!$B$8+'Control Room'!$D$8)/2))+SQRT(1-'Control Room'!$B$9^2)*(BB404-IF('Control Room'!$B$5="Normal",'Control Room'!$B$7,('Control Room'!$B$8+'Control Room'!$D$8)/2))</x:f>
        <x:v>1128.3755300507953</x:v>
      </x:c>
      <x:c r="BD404" s="17" t="n">
        <x:f>IF(AND($A404&gt;='Control Room'!$A$13,$A404&lt;'Control Room'!$A$13+'Control Room'!$B$13,'Process'!BU2=1),1+('Control Room'!$C$13-1)*EXP(-0.5*(($A404-'Control Room'!$A$13-('Control Room'!$B$13-1)/2)/MAX(0.5,'Control Room'!$B$13/4))^2),1)*IF(AND($A404&gt;='Control Room'!$A$14,$A404&lt;'Control Room'!$A$14+'Control Room'!$B$14,'Process'!BU3=1),1+('Control Room'!$C$14-1)*EXP(-0.5*(($A404-'Control Room'!$A$14-('Control Room'!$B$14-1)/2)/MAX(0.5,'Control Room'!$B$14/4))^2),1)*IF(AND($A404&gt;='Control Room'!$A$15,$A404&lt;'Control Room'!$A$15+'Control Room'!$B$15,'Process'!BU4=1),1+('Control Room'!$C$15-1)*EXP(-0.5*(($A404-'Control Room'!$A$15-('Control Room'!$B$15-1)/2)/MAX(0.5,'Control Room'!$B$15/4))^2),1)*IF(AND($A404&gt;='Control Room'!$A$16,$A404&lt;'Control Room'!$A$16+'Control Room'!$B$16,'Process'!BU5=1),1+('Control Room'!$C$16-1)*EXP(-0.5*(($A404-'Control Room'!$A$16-('Control Room'!$B$16-1)/2)/MAX(0.5,'Control Room'!$B$16/4))^2),1)</x:f>
        <x:v>1</x:v>
      </x:c>
      <x:c r="BE404" s="9" t="n">
        <x:f>MOD(BF403*16807,2147483647)</x:f>
        <x:v>975581163</x:v>
      </x:c>
      <x:c r="BF404" s="9" t="n">
        <x:f>MOD(BE404*16807,2147483647)</x:f>
        <x:v>554961696</x:v>
      </x:c>
      <x:c r="BG404" s="17" t="n">
        <x:f>IF('Control Room'!$B$5="Normal",'Control Room'!$B$7+'Control Room'!$D$7*SQRT(-2*LN(MAX(0.000000000001,BE404/2147483647)))*COS(2*PI()*BF404/2147483647),'Control Room'!$B$8+('Control Room'!$D$8-'Control Room'!$B$8)*BE404/2147483647)</x:f>
        <x:v>994.0185601767494</x:v>
      </x:c>
      <x:c r="BH404" s="17" t="n">
        <x:f>IF('Control Room'!$B$5="Normal",'Control Room'!$B$7,('Control Room'!$B$8+'Control Room'!$D$8)/2)+'Control Room'!$B$9*(BH403-IF('Control Room'!$B$5="Normal",'Control Room'!$B$7,('Control Room'!$B$8+'Control Room'!$D$8)/2))+SQRT(1-'Control Room'!$B$9^2)*(BG404-IF('Control Room'!$B$5="Normal",'Control Room'!$B$7,('Control Room'!$B$8+'Control Room'!$D$8)/2))</x:f>
        <x:v>1060.84878238053</x:v>
      </x:c>
      <x:c r="BI404" s="17" t="n">
        <x:f>IF(AND($A404&gt;='Control Room'!$A$13,$A404&lt;'Control Room'!$A$13+'Control Room'!$B$13,'Process'!BV2=1),1+('Control Room'!$C$13-1)*EXP(-0.5*(($A404-'Control Room'!$A$13-('Control Room'!$B$13-1)/2)/MAX(0.5,'Control Room'!$B$13/4))^2),1)*IF(AND($A404&gt;='Control Room'!$A$14,$A404&lt;'Control Room'!$A$14+'Control Room'!$B$14,'Process'!BV3=1),1+('Control Room'!$C$14-1)*EXP(-0.5*(($A404-'Control Room'!$A$14-('Control Room'!$B$14-1)/2)/MAX(0.5,'Control Room'!$B$14/4))^2),1)*IF(AND($A404&gt;='Control Room'!$A$15,$A404&lt;'Control Room'!$A$15+'Control Room'!$B$15,'Process'!BV4=1),1+('Control Room'!$C$15-1)*EXP(-0.5*(($A404-'Control Room'!$A$15-('Control Room'!$B$15-1)/2)/MAX(0.5,'Control Room'!$B$15/4))^2),1)*IF(AND($A404&gt;='Control Room'!$A$16,$A404&lt;'Control Room'!$A$16+'Control Room'!$B$16,'Process'!BV5=1),1+('Control Room'!$C$16-1)*EXP(-0.5*(($A404-'Control Room'!$A$16-('Control Room'!$B$16-1)/2)/MAX(0.5,'Control Room'!$B$16/4))^2),1)</x:f>
        <x:v>1</x:v>
      </x:c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Z404" t="str">
        <x:f>IF('Data'!A404="","",TEXT('Data'!A404,"mm-dd"))</x:f>
      </x:c>
    </x:row>
    <x:row r="405" ht="21" customHeight="1">
      <x:c r="A405" s="15" t="n">
        <x:f>'Control Room'!$B$1+403</x:f>
        <x:v>73394</x:v>
      </x:c>
      <x:c r="B405" s="9" t="n">
        <x:f>MOD(C404*16807,2147483647)</x:f>
        <x:v>1992250871</x:v>
      </x:c>
      <x:c r="C405" s="9" t="n">
        <x:f>MOD(B405*16807,2147483647)</x:f>
        <x:v>195364873</x:v>
      </x:c>
      <x:c r="D405" s="17" t="n">
        <x:f>IF('Control Room'!$B$5="Normal",'Control Room'!$B$7+'Control Room'!$D$7*SQRT(-2*LN(MAX(0.000000000001,B405/2147483647)))*COS(2*PI()*C405/2147483647),'Control Room'!$B$8+('Control Room'!$D$8-'Control Room'!$B$8)*B405/2147483647)</x:f>
        <x:v>1029.3219657510163</x:v>
      </x:c>
      <x:c r="E405" s="17" t="n">
        <x:f>IF('Control Room'!$B$5="Normal",'Control Room'!$B$7,('Control Room'!$B$8+'Control Room'!$D$8)/2)+'Control Room'!$B$9*(E404-IF('Control Room'!$B$5="Normal",'Control Room'!$B$7,('Control Room'!$B$8+'Control Room'!$D$8)/2))+SQRT(1-'Control Room'!$B$9^2)*(D405-IF('Control Room'!$B$5="Normal",'Control Room'!$B$7,('Control Room'!$B$8+'Control Room'!$D$8)/2))</x:f>
        <x:v>1033.5581537677297</x:v>
      </x:c>
      <x:c r="F405" s="17" t="n">
        <x:f>IF(AND($A405&gt;='Control Room'!$A$13,$A405&lt;'Control Room'!$A$13+'Control Room'!$B$13,'Process'!BK2=1),1+('Control Room'!$C$13-1)*EXP(-0.5*(($A405-'Control Room'!$A$13-('Control Room'!$B$13-1)/2)/MAX(0.5,'Control Room'!$B$13/4))^2),1)*IF(AND($A405&gt;='Control Room'!$A$14,$A405&lt;'Control Room'!$A$14+'Control Room'!$B$14,'Process'!BK3=1),1+('Control Room'!$C$14-1)*EXP(-0.5*(($A405-'Control Room'!$A$14-('Control Room'!$B$14-1)/2)/MAX(0.5,'Control Room'!$B$14/4))^2),1)*IF(AND($A405&gt;='Control Room'!$A$15,$A405&lt;'Control Room'!$A$15+'Control Room'!$B$15,'Process'!BK4=1),1+('Control Room'!$C$15-1)*EXP(-0.5*(($A405-'Control Room'!$A$15-('Control Room'!$B$15-1)/2)/MAX(0.5,'Control Room'!$B$15/4))^2),1)*IF(AND($A405&gt;='Control Room'!$A$16,$A405&lt;'Control Room'!$A$16+'Control Room'!$B$16,'Process'!BK5=1),1+('Control Room'!$C$16-1)*EXP(-0.5*(($A405-'Control Room'!$A$16-('Control Room'!$B$16-1)/2)/MAX(0.5,'Control Room'!$B$16/4))^2),1)</x:f>
        <x:v>1</x:v>
      </x:c>
      <x:c r="G405" s="9" t="n">
        <x:f>MOD(H404*16807,2147483647)</x:f>
        <x:v>1095665443</x:v>
      </x:c>
      <x:c r="H405" s="9" t="n">
        <x:f>MOD(G405*16807,2147483647)</x:f>
        <x:v>176827476</x:v>
      </x:c>
      <x:c r="I405" s="17" t="n">
        <x:f>IF('Control Room'!$B$5="Normal",'Control Room'!$B$7+'Control Room'!$D$7*SQRT(-2*LN(MAX(0.000000000001,G405/2147483647)))*COS(2*PI()*H405/2147483647),'Control Room'!$B$8+('Control Room'!$D$8-'Control Room'!$B$8)*G405/2147483647)</x:f>
        <x:v>1090.7456241289476</x:v>
      </x:c>
      <x:c r="J405" s="17" t="n">
        <x:f>IF('Control Room'!$B$5="Normal",'Control Room'!$B$7,('Control Room'!$B$8+'Control Room'!$D$8)/2)+'Control Room'!$B$9*(J404-IF('Control Room'!$B$5="Normal",'Control Room'!$B$7,('Control Room'!$B$8+'Control Room'!$D$8)/2))+SQRT(1-'Control Room'!$B$9^2)*(I405-IF('Control Room'!$B$5="Normal",'Control Room'!$B$7,('Control Room'!$B$8+'Control Room'!$D$8)/2))</x:f>
        <x:v>1046.8588418208499</x:v>
      </x:c>
      <x:c r="K405" s="17" t="n">
        <x:f>IF(AND($A405&gt;='Control Room'!$A$13,$A405&lt;'Control Room'!$A$13+'Control Room'!$B$13,'Process'!BL2=1),1+('Control Room'!$C$13-1)*EXP(-0.5*(($A405-'Control Room'!$A$13-('Control Room'!$B$13-1)/2)/MAX(0.5,'Control Room'!$B$13/4))^2),1)*IF(AND($A405&gt;='Control Room'!$A$14,$A405&lt;'Control Room'!$A$14+'Control Room'!$B$14,'Process'!BL3=1),1+('Control Room'!$C$14-1)*EXP(-0.5*(($A405-'Control Room'!$A$14-('Control Room'!$B$14-1)/2)/MAX(0.5,'Control Room'!$B$14/4))^2),1)*IF(AND($A405&gt;='Control Room'!$A$15,$A405&lt;'Control Room'!$A$15+'Control Room'!$B$15,'Process'!BL4=1),1+('Control Room'!$C$15-1)*EXP(-0.5*(($A405-'Control Room'!$A$15-('Control Room'!$B$15-1)/2)/MAX(0.5,'Control Room'!$B$15/4))^2),1)*IF(AND($A405&gt;='Control Room'!$A$16,$A405&lt;'Control Room'!$A$16+'Control Room'!$B$16,'Process'!BL5=1),1+('Control Room'!$C$16-1)*EXP(-0.5*(($A405-'Control Room'!$A$16-('Control Room'!$B$16-1)/2)/MAX(0.5,'Control Room'!$B$16/4))^2),1)</x:f>
        <x:v>1</x:v>
      </x:c>
      <x:c r="L405" s="9" t="n">
        <x:f>MOD(M404*16807,2147483647)</x:f>
        <x:v>199080015</x:v>
      </x:c>
      <x:c r="M405" s="9" t="n">
        <x:f>MOD(L405*16807,2147483647)</x:f>
        <x:v>158290079</x:v>
      </x:c>
      <x:c r="N405" s="17" t="n">
        <x:f>IF('Control Room'!$B$5="Normal",'Control Room'!$B$7+'Control Room'!$D$7*SQRT(-2*LN(MAX(0.000000000001,L405/2147483647)))*COS(2*PI()*M405/2147483647),'Control Room'!$B$8+('Control Room'!$D$8-'Control Room'!$B$8)*L405/2147483647)</x:f>
        <x:v>1175.6111510966464</x:v>
      </x:c>
      <x:c r="O405" s="17" t="n">
        <x:f>IF('Control Room'!$B$5="Normal",'Control Room'!$B$7,('Control Room'!$B$8+'Control Room'!$D$8)/2)+'Control Room'!$B$9*(O404-IF('Control Room'!$B$5="Normal",'Control Room'!$B$7,('Control Room'!$B$8+'Control Room'!$D$8)/2))+SQRT(1-'Control Room'!$B$9^2)*(N405-IF('Control Room'!$B$5="Normal",'Control Room'!$B$7,('Control Room'!$B$8+'Control Room'!$D$8)/2))</x:f>
        <x:v>1262.3115558847128</x:v>
      </x:c>
      <x:c r="P405" s="17" t="n">
        <x:f>IF(AND($A405&gt;='Control Room'!$A$13,$A405&lt;'Control Room'!$A$13+'Control Room'!$B$13,'Process'!BM2=1),1+('Control Room'!$C$13-1)*EXP(-0.5*(($A405-'Control Room'!$A$13-('Control Room'!$B$13-1)/2)/MAX(0.5,'Control Room'!$B$13/4))^2),1)*IF(AND($A405&gt;='Control Room'!$A$14,$A405&lt;'Control Room'!$A$14+'Control Room'!$B$14,'Process'!BM3=1),1+('Control Room'!$C$14-1)*EXP(-0.5*(($A405-'Control Room'!$A$14-('Control Room'!$B$14-1)/2)/MAX(0.5,'Control Room'!$B$14/4))^2),1)*IF(AND($A405&gt;='Control Room'!$A$15,$A405&lt;'Control Room'!$A$15+'Control Room'!$B$15,'Process'!BM4=1),1+('Control Room'!$C$15-1)*EXP(-0.5*(($A405-'Control Room'!$A$15-('Control Room'!$B$15-1)/2)/MAX(0.5,'Control Room'!$B$15/4))^2),1)*IF(AND($A405&gt;='Control Room'!$A$16,$A405&lt;'Control Room'!$A$16+'Control Room'!$B$16,'Process'!BM5=1),1+('Control Room'!$C$16-1)*EXP(-0.5*(($A405-'Control Room'!$A$16-('Control Room'!$B$16-1)/2)/MAX(0.5,'Control Room'!$B$16/4))^2),1)</x:f>
        <x:v>1</x:v>
      </x:c>
      <x:c r="Q405" s="9" t="n">
        <x:f>MOD(R404*16807,2147483647)</x:f>
        <x:v>1449978234</x:v>
      </x:c>
      <x:c r="R405" s="9" t="n">
        <x:f>MOD(Q405*16807,2147483647)</x:f>
        <x:v>139752682</x:v>
      </x:c>
      <x:c r="S405" s="17" t="n">
        <x:f>IF('Control Room'!$B$5="Normal",'Control Room'!$B$7+'Control Room'!$D$7*SQRT(-2*LN(MAX(0.000000000001,Q405/2147483647)))*COS(2*PI()*R405/2147483647),'Control Room'!$B$8+('Control Room'!$D$8-'Control Room'!$B$8)*Q405/2147483647)</x:f>
        <x:v>1073.1896592219184</x:v>
      </x:c>
      <x:c r="T405" s="17" t="n">
        <x:f>IF('Control Room'!$B$5="Normal",'Control Room'!$B$7,('Control Room'!$B$8+'Control Room'!$D$8)/2)+'Control Room'!$B$9*(T404-IF('Control Room'!$B$5="Normal",'Control Room'!$B$7,('Control Room'!$B$8+'Control Room'!$D$8)/2))+SQRT(1-'Control Room'!$B$9^2)*(S405-IF('Control Room'!$B$5="Normal",'Control Room'!$B$7,('Control Room'!$B$8+'Control Room'!$D$8)/2))</x:f>
        <x:v>969.6759850458362</x:v>
      </x:c>
      <x:c r="U405" s="17" t="n">
        <x:f>IF(AND($A405&gt;='Control Room'!$A$13,$A405&lt;'Control Room'!$A$13+'Control Room'!$B$13,'Process'!BN2=1),1+('Control Room'!$C$13-1)*EXP(-0.5*(($A405-'Control Room'!$A$13-('Control Room'!$B$13-1)/2)/MAX(0.5,'Control Room'!$B$13/4))^2),1)*IF(AND($A405&gt;='Control Room'!$A$14,$A405&lt;'Control Room'!$A$14+'Control Room'!$B$14,'Process'!BN3=1),1+('Control Room'!$C$14-1)*EXP(-0.5*(($A405-'Control Room'!$A$14-('Control Room'!$B$14-1)/2)/MAX(0.5,'Control Room'!$B$14/4))^2),1)*IF(AND($A405&gt;='Control Room'!$A$15,$A405&lt;'Control Room'!$A$15+'Control Room'!$B$15,'Process'!BN4=1),1+('Control Room'!$C$15-1)*EXP(-0.5*(($A405-'Control Room'!$A$15-('Control Room'!$B$15-1)/2)/MAX(0.5,'Control Room'!$B$15/4))^2),1)*IF(AND($A405&gt;='Control Room'!$A$16,$A405&lt;'Control Room'!$A$16+'Control Room'!$B$16,'Process'!BN5=1),1+('Control Room'!$C$16-1)*EXP(-0.5*(($A405-'Control Room'!$A$16-('Control Room'!$B$16-1)/2)/MAX(0.5,'Control Room'!$B$16/4))^2),1)</x:f>
        <x:v>1</x:v>
      </x:c>
      <x:c r="V405" s="9" t="n">
        <x:f>MOD(W404*16807,2147483647)</x:f>
        <x:v>553392806</x:v>
      </x:c>
      <x:c r="W405" s="9" t="n">
        <x:f>MOD(V405*16807,2147483647)</x:f>
        <x:v>121215285</x:v>
      </x:c>
      <x:c r="X405" s="17" t="n">
        <x:f>IF('Control Room'!$B$5="Normal",'Control Room'!$B$7+'Control Room'!$D$7*SQRT(-2*LN(MAX(0.000000000001,V405/2147483647)))*COS(2*PI()*W405/2147483647),'Control Room'!$B$8+('Control Room'!$D$8-'Control Room'!$B$8)*V405/2147483647)</x:f>
        <x:v>1138.9886253850855</x:v>
      </x:c>
      <x:c r="Y405" s="17" t="n">
        <x:f>IF('Control Room'!$B$5="Normal",'Control Room'!$B$7,('Control Room'!$B$8+'Control Room'!$D$8)/2)+'Control Room'!$B$9*(Y404-IF('Control Room'!$B$5="Normal",'Control Room'!$B$7,('Control Room'!$B$8+'Control Room'!$D$8)/2))+SQRT(1-'Control Room'!$B$9^2)*(X405-IF('Control Room'!$B$5="Normal",'Control Room'!$B$7,('Control Room'!$B$8+'Control Room'!$D$8)/2))</x:f>
        <x:v>1208.1510528663857</x:v>
      </x:c>
      <x:c r="Z405" s="17" t="n">
        <x:f>IF(AND($A405&gt;='Control Room'!$A$13,$A405&lt;'Control Room'!$A$13+'Control Room'!$B$13,'Process'!BO2=1),1+('Control Room'!$C$13-1)*EXP(-0.5*(($A405-'Control Room'!$A$13-('Control Room'!$B$13-1)/2)/MAX(0.5,'Control Room'!$B$13/4))^2),1)*IF(AND($A405&gt;='Control Room'!$A$14,$A405&lt;'Control Room'!$A$14+'Control Room'!$B$14,'Process'!BO3=1),1+('Control Room'!$C$14-1)*EXP(-0.5*(($A405-'Control Room'!$A$14-('Control Room'!$B$14-1)/2)/MAX(0.5,'Control Room'!$B$14/4))^2),1)*IF(AND($A405&gt;='Control Room'!$A$15,$A405&lt;'Control Room'!$A$15+'Control Room'!$B$15,'Process'!BO4=1),1+('Control Room'!$C$15-1)*EXP(-0.5*(($A405-'Control Room'!$A$15-('Control Room'!$B$15-1)/2)/MAX(0.5,'Control Room'!$B$15/4))^2),1)*IF(AND($A405&gt;='Control Room'!$A$16,$A405&lt;'Control Room'!$A$16+'Control Room'!$B$16,'Process'!BO5=1),1+('Control Room'!$C$16-1)*EXP(-0.5*(($A405-'Control Room'!$A$16-('Control Room'!$B$16-1)/2)/MAX(0.5,'Control Room'!$B$16/4))^2),1)</x:f>
        <x:v>1</x:v>
      </x:c>
      <x:c r="AA405" s="9" t="n">
        <x:f>MOD(AB404*16807,2147483647)</x:f>
        <x:v>1804291025</x:v>
      </x:c>
      <x:c r="AB405" s="9" t="n">
        <x:f>MOD(AA405*16807,2147483647)</x:f>
        <x:v>102677888</x:v>
      </x:c>
      <x:c r="AC405" s="17" t="n">
        <x:f>IF('Control Room'!$B$5="Normal",'Control Room'!$B$7+'Control Room'!$D$7*SQRT(-2*LN(MAX(0.000000000001,AA405/2147483647)))*COS(2*PI()*AB405/2147483647),'Control Room'!$B$8+('Control Room'!$D$8-'Control Room'!$B$8)*AA405/2147483647)</x:f>
        <x:v>1050.7333072654417</x:v>
      </x:c>
      <x:c r="AD405" s="17" t="n">
        <x:f>IF('Control Room'!$B$5="Normal",'Control Room'!$B$7,('Control Room'!$B$8+'Control Room'!$D$8)/2)+'Control Room'!$B$9*(AD404-IF('Control Room'!$B$5="Normal",'Control Room'!$B$7,('Control Room'!$B$8+'Control Room'!$D$8)/2))+SQRT(1-'Control Room'!$B$9^2)*(AC405-IF('Control Room'!$B$5="Normal",'Control Room'!$B$7,('Control Room'!$B$8+'Control Room'!$D$8)/2))</x:f>
        <x:v>1090.4902190229043</x:v>
      </x:c>
      <x:c r="AE405" s="17" t="n">
        <x:f>IF(AND($A405&gt;='Control Room'!$A$13,$A405&lt;'Control Room'!$A$13+'Control Room'!$B$13,'Process'!BP2=1),1+('Control Room'!$C$13-1)*EXP(-0.5*(($A405-'Control Room'!$A$13-('Control Room'!$B$13-1)/2)/MAX(0.5,'Control Room'!$B$13/4))^2),1)*IF(AND($A405&gt;='Control Room'!$A$14,$A405&lt;'Control Room'!$A$14+'Control Room'!$B$14,'Process'!BP3=1),1+('Control Room'!$C$14-1)*EXP(-0.5*(($A405-'Control Room'!$A$14-('Control Room'!$B$14-1)/2)/MAX(0.5,'Control Room'!$B$14/4))^2),1)*IF(AND($A405&gt;='Control Room'!$A$15,$A405&lt;'Control Room'!$A$15+'Control Room'!$B$15,'Process'!BP4=1),1+('Control Room'!$C$15-1)*EXP(-0.5*(($A405-'Control Room'!$A$15-('Control Room'!$B$15-1)/2)/MAX(0.5,'Control Room'!$B$15/4))^2),1)*IF(AND($A405&gt;='Control Room'!$A$16,$A405&lt;'Control Room'!$A$16+'Control Room'!$B$16,'Process'!BP5=1),1+('Control Room'!$C$16-1)*EXP(-0.5*(($A405-'Control Room'!$A$16-('Control Room'!$B$16-1)/2)/MAX(0.5,'Control Room'!$B$16/4))^2),1)</x:f>
        <x:v>1</x:v>
      </x:c>
      <x:c r="AF405" s="9" t="n">
        <x:f>MOD(AG404*16807,2147483647)</x:f>
        <x:v>907705597</x:v>
      </x:c>
      <x:c r="AG405" s="9" t="n">
        <x:f>MOD(AF405*16807,2147483647)</x:f>
        <x:v>84140491</x:v>
      </x:c>
      <x:c r="AH405" s="17" t="n">
        <x:f>IF('Control Room'!$B$5="Normal",'Control Room'!$B$7+'Control Room'!$D$7*SQRT(-2*LN(MAX(0.000000000001,AF405/2147483647)))*COS(2*PI()*AG405/2147483647),'Control Room'!$B$8+('Control Room'!$D$8-'Control Room'!$B$8)*AF405/2147483647)</x:f>
        <x:v>1114.5504977705195</x:v>
      </x:c>
      <x:c r="AI405" s="17" t="n">
        <x:f>IF('Control Room'!$B$5="Normal",'Control Room'!$B$7,('Control Room'!$B$8+'Control Room'!$D$8)/2)+'Control Room'!$B$9*(AI404-IF('Control Room'!$B$5="Normal",'Control Room'!$B$7,('Control Room'!$B$8+'Control Room'!$D$8)/2))+SQRT(1-'Control Room'!$B$9^2)*(AH405-IF('Control Room'!$B$5="Normal",'Control Room'!$B$7,('Control Room'!$B$8+'Control Room'!$D$8)/2))</x:f>
        <x:v>1098.7458442787888</x:v>
      </x:c>
      <x:c r="AJ405" s="17" t="n">
        <x:f>IF(AND($A405&gt;='Control Room'!$A$13,$A405&lt;'Control Room'!$A$13+'Control Room'!$B$13,'Process'!BQ2=1),1+('Control Room'!$C$13-1)*EXP(-0.5*(($A405-'Control Room'!$A$13-('Control Room'!$B$13-1)/2)/MAX(0.5,'Control Room'!$B$13/4))^2),1)*IF(AND($A405&gt;='Control Room'!$A$14,$A405&lt;'Control Room'!$A$14+'Control Room'!$B$14,'Process'!BQ3=1),1+('Control Room'!$C$14-1)*EXP(-0.5*(($A405-'Control Room'!$A$14-('Control Room'!$B$14-1)/2)/MAX(0.5,'Control Room'!$B$14/4))^2),1)*IF(AND($A405&gt;='Control Room'!$A$15,$A405&lt;'Control Room'!$A$15+'Control Room'!$B$15,'Process'!BQ4=1),1+('Control Room'!$C$15-1)*EXP(-0.5*(($A405-'Control Room'!$A$15-('Control Room'!$B$15-1)/2)/MAX(0.5,'Control Room'!$B$15/4))^2),1)*IF(AND($A405&gt;='Control Room'!$A$16,$A405&lt;'Control Room'!$A$16+'Control Room'!$B$16,'Process'!BQ5=1),1+('Control Room'!$C$16-1)*EXP(-0.5*(($A405-'Control Room'!$A$16-('Control Room'!$B$16-1)/2)/MAX(0.5,'Control Room'!$B$16/4))^2),1)</x:f>
        <x:v>1</x:v>
      </x:c>
      <x:c r="AK405" s="9" t="n">
        <x:f>MOD(AL404*16807,2147483647)</x:f>
        <x:v>11120169</x:v>
      </x:c>
      <x:c r="AL405" s="9" t="n">
        <x:f>MOD(AK405*16807,2147483647)</x:f>
        <x:v>65603094</x:v>
      </x:c>
      <x:c r="AM405" s="17" t="n">
        <x:f>IF('Control Room'!$B$5="Normal",'Control Room'!$B$7+'Control Room'!$D$7*SQRT(-2*LN(MAX(0.000000000001,AK405/2147483647)))*COS(2*PI()*AL405/2147483647),'Control Room'!$B$8+('Control Room'!$D$8-'Control Room'!$B$8)*AK405/2147483647)</x:f>
        <x:v>1286.6397188843412</x:v>
      </x:c>
      <x:c r="AN405" s="17" t="n">
        <x:f>IF('Control Room'!$B$5="Normal",'Control Room'!$B$7,('Control Room'!$B$8+'Control Room'!$D$8)/2)+'Control Room'!$B$9*(AN404-IF('Control Room'!$B$5="Normal",'Control Room'!$B$7,('Control Room'!$B$8+'Control Room'!$D$8)/2))+SQRT(1-'Control Room'!$B$9^2)*(AM405-IF('Control Room'!$B$5="Normal",'Control Room'!$B$7,('Control Room'!$B$8+'Control Room'!$D$8)/2))</x:f>
        <x:v>1181.6207557495534</x:v>
      </x:c>
      <x:c r="AO405" s="17" t="n">
        <x:f>IF(AND($A405&gt;='Control Room'!$A$13,$A405&lt;'Control Room'!$A$13+'Control Room'!$B$13,'Process'!BR2=1),1+('Control Room'!$C$13-1)*EXP(-0.5*(($A405-'Control Room'!$A$13-('Control Room'!$B$13-1)/2)/MAX(0.5,'Control Room'!$B$13/4))^2),1)*IF(AND($A405&gt;='Control Room'!$A$14,$A405&lt;'Control Room'!$A$14+'Control Room'!$B$14,'Process'!BR3=1),1+('Control Room'!$C$14-1)*EXP(-0.5*(($A405-'Control Room'!$A$14-('Control Room'!$B$14-1)/2)/MAX(0.5,'Control Room'!$B$14/4))^2),1)*IF(AND($A405&gt;='Control Room'!$A$15,$A405&lt;'Control Room'!$A$15+'Control Room'!$B$15,'Process'!BR4=1),1+('Control Room'!$C$15-1)*EXP(-0.5*(($A405-'Control Room'!$A$15-('Control Room'!$B$15-1)/2)/MAX(0.5,'Control Room'!$B$15/4))^2),1)*IF(AND($A405&gt;='Control Room'!$A$16,$A405&lt;'Control Room'!$A$16+'Control Room'!$B$16,'Process'!BR5=1),1+('Control Room'!$C$16-1)*EXP(-0.5*(($A405-'Control Room'!$A$16-('Control Room'!$B$16-1)/2)/MAX(0.5,'Control Room'!$B$16/4))^2),1)</x:f>
        <x:v>1</x:v>
      </x:c>
      <x:c r="AP405" s="9" t="n">
        <x:f>MOD(AQ404*16807,2147483647)</x:f>
        <x:v>1262018388</x:v>
      </x:c>
      <x:c r="AQ405" s="9" t="n">
        <x:f>MOD(AP405*16807,2147483647)</x:f>
        <x:v>47065697</x:v>
      </x:c>
      <x:c r="AR405" s="17" t="n">
        <x:f>IF('Control Room'!$B$5="Normal",'Control Room'!$B$7+'Control Room'!$D$7*SQRT(-2*LN(MAX(0.000000000001,AP405/2147483647)))*COS(2*PI()*AQ405/2147483647),'Control Room'!$B$8+('Control Room'!$D$8-'Control Room'!$B$8)*AP405/2147483647)</x:f>
        <x:v>1091.9205828169734</x:v>
      </x:c>
      <x:c r="AS405" s="17" t="n">
        <x:f>IF('Control Room'!$B$5="Normal",'Control Room'!$B$7,('Control Room'!$B$8+'Control Room'!$D$8)/2)+'Control Room'!$B$9*(AS404-IF('Control Room'!$B$5="Normal",'Control Room'!$B$7,('Control Room'!$B$8+'Control Room'!$D$8)/2))+SQRT(1-'Control Room'!$B$9^2)*(AR405-IF('Control Room'!$B$5="Normal",'Control Room'!$B$7,('Control Room'!$B$8+'Control Room'!$D$8)/2))</x:f>
        <x:v>1146.1491668806589</x:v>
      </x:c>
      <x:c r="AT405" s="17" t="n">
        <x:f>IF(AND($A405&gt;='Control Room'!$A$13,$A405&lt;'Control Room'!$A$13+'Control Room'!$B$13,'Process'!BS2=1),1+('Control Room'!$C$13-1)*EXP(-0.5*(($A405-'Control Room'!$A$13-('Control Room'!$B$13-1)/2)/MAX(0.5,'Control Room'!$B$13/4))^2),1)*IF(AND($A405&gt;='Control Room'!$A$14,$A405&lt;'Control Room'!$A$14+'Control Room'!$B$14,'Process'!BS3=1),1+('Control Room'!$C$14-1)*EXP(-0.5*(($A405-'Control Room'!$A$14-('Control Room'!$B$14-1)/2)/MAX(0.5,'Control Room'!$B$14/4))^2),1)*IF(AND($A405&gt;='Control Room'!$A$15,$A405&lt;'Control Room'!$A$15+'Control Room'!$B$15,'Process'!BS4=1),1+('Control Room'!$C$15-1)*EXP(-0.5*(($A405-'Control Room'!$A$15-('Control Room'!$B$15-1)/2)/MAX(0.5,'Control Room'!$B$15/4))^2),1)*IF(AND($A405&gt;='Control Room'!$A$16,$A405&lt;'Control Room'!$A$16+'Control Room'!$B$16,'Process'!BS5=1),1+('Control Room'!$C$16-1)*EXP(-0.5*(($A405-'Control Room'!$A$16-('Control Room'!$B$16-1)/2)/MAX(0.5,'Control Room'!$B$16/4))^2),1)</x:f>
        <x:v>1</x:v>
      </x:c>
      <x:c r="AU405" s="9" t="n">
        <x:f>MOD(AV404*16807,2147483647)</x:f>
        <x:v>365432960</x:v>
      </x:c>
      <x:c r="AV405" s="9" t="n">
        <x:f>MOD(AU405*16807,2147483647)</x:f>
        <x:v>28528300</x:v>
      </x:c>
      <x:c r="AW405" s="17" t="n">
        <x:f>IF('Control Room'!$B$5="Normal",'Control Room'!$B$7+'Control Room'!$D$7*SQRT(-2*LN(MAX(0.000000000001,AU405/2147483647)))*COS(2*PI()*AV405/2147483647),'Control Room'!$B$8+('Control Room'!$D$8-'Control Room'!$B$8)*AU405/2147483647)</x:f>
        <x:v>1168.79064208882</x:v>
      </x:c>
      <x:c r="AX405" s="17" t="n">
        <x:f>IF('Control Room'!$B$5="Normal",'Control Room'!$B$7,('Control Room'!$B$8+'Control Room'!$D$8)/2)+'Control Room'!$B$9*(AX404-IF('Control Room'!$B$5="Normal",'Control Room'!$B$7,('Control Room'!$B$8+'Control Room'!$D$8)/2))+SQRT(1-'Control Room'!$B$9^2)*(AW405-IF('Control Room'!$B$5="Normal",'Control Room'!$B$7,('Control Room'!$B$8+'Control Room'!$D$8)/2))</x:f>
        <x:v>1040.7964759605707</x:v>
      </x:c>
      <x:c r="AY405" s="17" t="n">
        <x:f>IF(AND($A405&gt;='Control Room'!$A$13,$A405&lt;'Control Room'!$A$13+'Control Room'!$B$13,'Process'!BT2=1),1+('Control Room'!$C$13-1)*EXP(-0.5*(($A405-'Control Room'!$A$13-('Control Room'!$B$13-1)/2)/MAX(0.5,'Control Room'!$B$13/4))^2),1)*IF(AND($A405&gt;='Control Room'!$A$14,$A405&lt;'Control Room'!$A$14+'Control Room'!$B$14,'Process'!BT3=1),1+('Control Room'!$C$14-1)*EXP(-0.5*(($A405-'Control Room'!$A$14-('Control Room'!$B$14-1)/2)/MAX(0.5,'Control Room'!$B$14/4))^2),1)*IF(AND($A405&gt;='Control Room'!$A$15,$A405&lt;'Control Room'!$A$15+'Control Room'!$B$15,'Process'!BT4=1),1+('Control Room'!$C$15-1)*EXP(-0.5*(($A405-'Control Room'!$A$15-('Control Room'!$B$15-1)/2)/MAX(0.5,'Control Room'!$B$15/4))^2),1)*IF(AND($A405&gt;='Control Room'!$A$16,$A405&lt;'Control Room'!$A$16+'Control Room'!$B$16,'Process'!BT5=1),1+('Control Room'!$C$16-1)*EXP(-0.5*(($A405-'Control Room'!$A$16-('Control Room'!$B$16-1)/2)/MAX(0.5,'Control Room'!$B$16/4))^2),1)</x:f>
        <x:v>1</x:v>
      </x:c>
      <x:c r="AZ405" s="9" t="n">
        <x:f>MOD(BA404*16807,2147483647)</x:f>
        <x:v>1616331179</x:v>
      </x:c>
      <x:c r="BA405" s="9" t="n">
        <x:f>MOD(AZ405*16807,2147483647)</x:f>
        <x:v>9990903</x:v>
      </x:c>
      <x:c r="BB405" s="17" t="n">
        <x:f>IF('Control Room'!$B$5="Normal",'Control Room'!$B$7+'Control Room'!$D$7*SQRT(-2*LN(MAX(0.000000000001,AZ405/2147483647)))*COS(2*PI()*BA405/2147483647),'Control Room'!$B$8+('Control Room'!$D$8-'Control Room'!$B$8)*AZ405/2147483647)</x:f>
        <x:v>1067.8166761305267</x:v>
      </x:c>
      <x:c r="BC405" s="17" t="n">
        <x:f>IF('Control Room'!$B$5="Normal",'Control Room'!$B$7,('Control Room'!$B$8+'Control Room'!$D$8)/2)+'Control Room'!$B$9*(BC404-IF('Control Room'!$B$5="Normal",'Control Room'!$B$7,('Control Room'!$B$8+'Control Room'!$D$8)/2))+SQRT(1-'Control Room'!$B$9^2)*(BB405-IF('Control Room'!$B$5="Normal",'Control Room'!$B$7,('Control Room'!$B$8+'Control Room'!$D$8)/2))</x:f>
        <x:v>1142.5712000619783</x:v>
      </x:c>
      <x:c r="BD405" s="17" t="n">
        <x:f>IF(AND($A405&gt;='Control Room'!$A$13,$A405&lt;'Control Room'!$A$13+'Control Room'!$B$13,'Process'!BU2=1),1+('Control Room'!$C$13-1)*EXP(-0.5*(($A405-'Control Room'!$A$13-('Control Room'!$B$13-1)/2)/MAX(0.5,'Control Room'!$B$13/4))^2),1)*IF(AND($A405&gt;='Control Room'!$A$14,$A405&lt;'Control Room'!$A$14+'Control Room'!$B$14,'Process'!BU3=1),1+('Control Room'!$C$14-1)*EXP(-0.5*(($A405-'Control Room'!$A$14-('Control Room'!$B$14-1)/2)/MAX(0.5,'Control Room'!$B$14/4))^2),1)*IF(AND($A405&gt;='Control Room'!$A$15,$A405&lt;'Control Room'!$A$15+'Control Room'!$B$15,'Process'!BU4=1),1+('Control Room'!$C$15-1)*EXP(-0.5*(($A405-'Control Room'!$A$15-('Control Room'!$B$15-1)/2)/MAX(0.5,'Control Room'!$B$15/4))^2),1)*IF(AND($A405&gt;='Control Room'!$A$16,$A405&lt;'Control Room'!$A$16+'Control Room'!$B$16,'Process'!BU5=1),1+('Control Room'!$C$16-1)*EXP(-0.5*(($A405-'Control Room'!$A$16-('Control Room'!$B$16-1)/2)/MAX(0.5,'Control Room'!$B$16/4))^2),1)</x:f>
        <x:v>1</x:v>
      </x:c>
      <x:c r="BE405" s="9" t="n">
        <x:f>MOD(BF404*16807,2147483647)</x:f>
        <x:v>719745751</x:v>
      </x:c>
      <x:c r="BF405" s="9" t="n">
        <x:f>MOD(BE405*16807,2147483647)</x:f>
        <x:v>2138937153</x:v>
      </x:c>
      <x:c r="BG405" s="17" t="n">
        <x:f>IF('Control Room'!$B$5="Normal",'Control Room'!$B$7+'Control Room'!$D$7*SQRT(-2*LN(MAX(0.000000000001,BE405/2147483647)))*COS(2*PI()*BF405/2147483647),'Control Room'!$B$8+('Control Room'!$D$8-'Control Room'!$B$8)*BE405/2147483647)</x:f>
        <x:v>1133.0339210000832</x:v>
      </x:c>
      <x:c r="BH405" s="17" t="n">
        <x:f>IF('Control Room'!$B$5="Normal",'Control Room'!$B$7,('Control Room'!$B$8+'Control Room'!$D$8)/2)+'Control Room'!$B$9*(BH404-IF('Control Room'!$B$5="Normal",'Control Room'!$B$7,('Control Room'!$B$8+'Control Room'!$D$8)/2))+SQRT(1-'Control Room'!$B$9^2)*(BG405-IF('Control Room'!$B$5="Normal",'Control Room'!$B$7,('Control Room'!$B$8+'Control Room'!$D$8)/2))</x:f>
        <x:v>1130.7119526706579</x:v>
      </x:c>
      <x:c r="BI405" s="17" t="n">
        <x:f>IF(AND($A405&gt;='Control Room'!$A$13,$A405&lt;'Control Room'!$A$13+'Control Room'!$B$13,'Process'!BV2=1),1+('Control Room'!$C$13-1)*EXP(-0.5*(($A405-'Control Room'!$A$13-('Control Room'!$B$13-1)/2)/MAX(0.5,'Control Room'!$B$13/4))^2),1)*IF(AND($A405&gt;='Control Room'!$A$14,$A405&lt;'Control Room'!$A$14+'Control Room'!$B$14,'Process'!BV3=1),1+('Control Room'!$C$14-1)*EXP(-0.5*(($A405-'Control Room'!$A$14-('Control Room'!$B$14-1)/2)/MAX(0.5,'Control Room'!$B$14/4))^2),1)*IF(AND($A405&gt;='Control Room'!$A$15,$A405&lt;'Control Room'!$A$15+'Control Room'!$B$15,'Process'!BV4=1),1+('Control Room'!$C$15-1)*EXP(-0.5*(($A405-'Control Room'!$A$15-('Control Room'!$B$15-1)/2)/MAX(0.5,'Control Room'!$B$15/4))^2),1)*IF(AND($A405&gt;='Control Room'!$A$16,$A405&lt;'Control Room'!$A$16+'Control Room'!$B$16,'Process'!BV5=1),1+('Control Room'!$C$16-1)*EXP(-0.5*(($A405-'Control Room'!$A$16-('Control Room'!$B$16-1)/2)/MAX(0.5,'Control Room'!$B$16/4))^2),1)</x:f>
        <x:v>1</x:v>
      </x:c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Z405" t="str">
        <x:f>IF('Data'!A405="","",TEXT('Data'!A405,"mm-dd"))</x:f>
      </x:c>
    </x:row>
    <x:row r="406" ht="21" customHeight="1">
      <x:c r="A406" s="15" t="n">
        <x:f>'Control Room'!$B$1+404</x:f>
        <x:v>73395</x:v>
      </x:c>
      <x:c r="B406" s="9" t="n">
        <x:f>MOD(C405*16807,2147483647)</x:f>
        <x:v>2142407895</x:v>
      </x:c>
      <x:c r="C406" s="9" t="n">
        <x:f>MOD(B406*16807,2147483647)</x:f>
        <x:v>591182016</x:v>
      </x:c>
      <x:c r="D406" s="17" t="n">
        <x:f>IF('Control Room'!$B$5="Normal",'Control Room'!$B$7+'Control Room'!$D$7*SQRT(-2*LN(MAX(0.000000000001,B406/2147483647)))*COS(2*PI()*C406/2147483647),'Control Room'!$B$8+('Control Room'!$D$8-'Control Room'!$B$8)*B406/2147483647)</x:f>
        <x:v>999.0202641052058</x:v>
      </x:c>
      <x:c r="E406" s="17" t="n">
        <x:f>IF('Control Room'!$B$5="Normal",'Control Room'!$B$7,('Control Room'!$B$8+'Control Room'!$D$8)/2)+'Control Room'!$B$9*(E405-IF('Control Room'!$B$5="Normal",'Control Room'!$B$7,('Control Room'!$B$8+'Control Room'!$D$8)/2))+SQRT(1-'Control Room'!$B$9^2)*(D406-IF('Control Room'!$B$5="Normal",'Control Room'!$B$7,('Control Room'!$B$8+'Control Room'!$D$8)/2))</x:f>
        <x:v>1025.5622612868476</x:v>
      </x:c>
      <x:c r="F406" s="17" t="n">
        <x:f>IF(AND($A406&gt;='Control Room'!$A$13,$A406&lt;'Control Room'!$A$13+'Control Room'!$B$13,'Process'!BK2=1),1+('Control Room'!$C$13-1)*EXP(-0.5*(($A406-'Control Room'!$A$13-('Control Room'!$B$13-1)/2)/MAX(0.5,'Control Room'!$B$13/4))^2),1)*IF(AND($A406&gt;='Control Room'!$A$14,$A406&lt;'Control Room'!$A$14+'Control Room'!$B$14,'Process'!BK3=1),1+('Control Room'!$C$14-1)*EXP(-0.5*(($A406-'Control Room'!$A$14-('Control Room'!$B$14-1)/2)/MAX(0.5,'Control Room'!$B$14/4))^2),1)*IF(AND($A406&gt;='Control Room'!$A$15,$A406&lt;'Control Room'!$A$15+'Control Room'!$B$15,'Process'!BK4=1),1+('Control Room'!$C$15-1)*EXP(-0.5*(($A406-'Control Room'!$A$15-('Control Room'!$B$15-1)/2)/MAX(0.5,'Control Room'!$B$15/4))^2),1)*IF(AND($A406&gt;='Control Room'!$A$16,$A406&lt;'Control Room'!$A$16+'Control Room'!$B$16,'Process'!BK5=1),1+('Control Room'!$C$16-1)*EXP(-0.5*(($A406-'Control Room'!$A$16-('Control Room'!$B$16-1)/2)/MAX(0.5,'Control Room'!$B$16/4))^2),1)</x:f>
        <x:v>1</x:v>
      </x:c>
      <x:c r="G406" s="9" t="n">
        <x:f>MOD(H405*16807,2147483647)</x:f>
        <x:v>1969505331</x:v>
      </x:c>
      <x:c r="H406" s="9" t="n">
        <x:f>MOD(G406*16807,2147483647)</x:f>
        <x:v>163163259</x:v>
      </x:c>
      <x:c r="I406" s="17" t="n">
        <x:f>IF('Control Room'!$B$5="Normal",'Control Room'!$B$7+'Control Room'!$D$7*SQRT(-2*LN(MAX(0.000000000001,G406/2147483647)))*COS(2*PI()*H406/2147483647),'Control Room'!$B$8+('Control Room'!$D$8-'Control Room'!$B$8)*G406/2147483647)</x:f>
        <x:v>1033.2514957927438</x:v>
      </x:c>
      <x:c r="J406" s="17" t="n">
        <x:f>IF('Control Room'!$B$5="Normal",'Control Room'!$B$7,('Control Room'!$B$8+'Control Room'!$D$8)/2)+'Control Room'!$B$9*(J405-IF('Control Room'!$B$5="Normal",'Control Room'!$B$7,('Control Room'!$B$8+'Control Room'!$D$8)/2))+SQRT(1-'Control Room'!$B$9^2)*(I406-IF('Control Room'!$B$5="Normal",'Control Room'!$B$7,('Control Room'!$B$8+'Control Room'!$D$8)/2))</x:f>
        <x:v>1057.3580014934444</x:v>
      </x:c>
      <x:c r="K406" s="17" t="n">
        <x:f>IF(AND($A406&gt;='Control Room'!$A$13,$A406&lt;'Control Room'!$A$13+'Control Room'!$B$13,'Process'!BL2=1),1+('Control Room'!$C$13-1)*EXP(-0.5*(($A406-'Control Room'!$A$13-('Control Room'!$B$13-1)/2)/MAX(0.5,'Control Room'!$B$13/4))^2),1)*IF(AND($A406&gt;='Control Room'!$A$14,$A406&lt;'Control Room'!$A$14+'Control Room'!$B$14,'Process'!BL3=1),1+('Control Room'!$C$14-1)*EXP(-0.5*(($A406-'Control Room'!$A$14-('Control Room'!$B$14-1)/2)/MAX(0.5,'Control Room'!$B$14/4))^2),1)*IF(AND($A406&gt;='Control Room'!$A$15,$A406&lt;'Control Room'!$A$15+'Control Room'!$B$15,'Process'!BL4=1),1+('Control Room'!$C$15-1)*EXP(-0.5*(($A406-'Control Room'!$A$15-('Control Room'!$B$15-1)/2)/MAX(0.5,'Control Room'!$B$15/4))^2),1)*IF(AND($A406&gt;='Control Room'!$A$16,$A406&lt;'Control Room'!$A$16+'Control Room'!$B$16,'Process'!BL5=1),1+('Control Room'!$C$16-1)*EXP(-0.5*(($A406-'Control Room'!$A$16-('Control Room'!$B$16-1)/2)/MAX(0.5,'Control Room'!$B$16/4))^2),1)</x:f>
        <x:v>1</x:v>
      </x:c>
      <x:c r="L406" s="9" t="n">
        <x:f>MOD(M405*16807,2147483647)</x:f>
        <x:v>1796602767</x:v>
      </x:c>
      <x:c r="M406" s="9" t="n">
        <x:f>MOD(L406*16807,2147483647)</x:f>
        <x:v>1882628149</x:v>
      </x:c>
      <x:c r="N406" s="17" t="n">
        <x:f>IF('Control Room'!$B$5="Normal",'Control Room'!$B$7+'Control Room'!$D$7*SQRT(-2*LN(MAX(0.000000000001,L406/2147483647)))*COS(2*PI()*M406/2147483647),'Control Room'!$B$8+('Control Room'!$D$8-'Control Room'!$B$8)*L406/2147483647)</x:f>
        <x:v>1038.4096756837703</x:v>
      </x:c>
      <x:c r="O406" s="17" t="n">
        <x:f>IF('Control Room'!$B$5="Normal",'Control Room'!$B$7,('Control Room'!$B$8+'Control Room'!$D$8)/2)+'Control Room'!$B$9*(O405-IF('Control Room'!$B$5="Normal",'Control Room'!$B$7,('Control Room'!$B$8+'Control Room'!$D$8)/2))+SQRT(1-'Control Room'!$B$9^2)*(N406-IF('Control Room'!$B$5="Normal",'Control Room'!$B$7,('Control Room'!$B$8+'Control Room'!$D$8)/2))</x:f>
        <x:v>1228.639001768003</x:v>
      </x:c>
      <x:c r="P406" s="17" t="n">
        <x:f>IF(AND($A406&gt;='Control Room'!$A$13,$A406&lt;'Control Room'!$A$13+'Control Room'!$B$13,'Process'!BM2=1),1+('Control Room'!$C$13-1)*EXP(-0.5*(($A406-'Control Room'!$A$13-('Control Room'!$B$13-1)/2)/MAX(0.5,'Control Room'!$B$13/4))^2),1)*IF(AND($A406&gt;='Control Room'!$A$14,$A406&lt;'Control Room'!$A$14+'Control Room'!$B$14,'Process'!BM3=1),1+('Control Room'!$C$14-1)*EXP(-0.5*(($A406-'Control Room'!$A$14-('Control Room'!$B$14-1)/2)/MAX(0.5,'Control Room'!$B$14/4))^2),1)*IF(AND($A406&gt;='Control Room'!$A$15,$A406&lt;'Control Room'!$A$15+'Control Room'!$B$15,'Process'!BM4=1),1+('Control Room'!$C$15-1)*EXP(-0.5*(($A406-'Control Room'!$A$15-('Control Room'!$B$15-1)/2)/MAX(0.5,'Control Room'!$B$15/4))^2),1)*IF(AND($A406&gt;='Control Room'!$A$16,$A406&lt;'Control Room'!$A$16+'Control Room'!$B$16,'Process'!BM5=1),1+('Control Room'!$C$16-1)*EXP(-0.5*(($A406-'Control Room'!$A$16-('Control Room'!$B$16-1)/2)/MAX(0.5,'Control Room'!$B$16/4))^2),1)</x:f>
        <x:v>1</x:v>
      </x:c>
      <x:c r="Q406" s="9" t="n">
        <x:f>MOD(R405*16807,2147483647)</x:f>
        <x:v>1623700203</x:v>
      </x:c>
      <x:c r="R406" s="9" t="n">
        <x:f>MOD(Q406*16807,2147483647)</x:f>
        <x:v>1454609392</x:v>
      </x:c>
      <x:c r="S406" s="17" t="n">
        <x:f>IF('Control Room'!$B$5="Normal",'Control Room'!$B$7+'Control Room'!$D$7*SQRT(-2*LN(MAX(0.000000000001,Q406/2147483647)))*COS(2*PI()*R406/2147483647),'Control Room'!$B$8+('Control Room'!$D$8-'Control Room'!$B$8)*Q406/2147483647)</x:f>
        <x:v>970.3369742344464</x:v>
      </x:c>
      <x:c r="T406" s="17" t="n">
        <x:f>IF('Control Room'!$B$5="Normal",'Control Room'!$B$7,('Control Room'!$B$8+'Control Room'!$D$8)/2)+'Control Room'!$B$9*(T405-IF('Control Room'!$B$5="Normal",'Control Room'!$B$7,('Control Room'!$B$8+'Control Room'!$D$8)/2))+SQRT(1-'Control Room'!$B$9^2)*(S406-IF('Control Room'!$B$5="Normal",'Control Room'!$B$7,('Control Room'!$B$8+'Control Room'!$D$8)/2))</x:f>
        <x:v>957.784754491782</x:v>
      </x:c>
      <x:c r="U406" s="17" t="n">
        <x:f>IF(AND($A406&gt;='Control Room'!$A$13,$A406&lt;'Control Room'!$A$13+'Control Room'!$B$13,'Process'!BN2=1),1+('Control Room'!$C$13-1)*EXP(-0.5*(($A406-'Control Room'!$A$13-('Control Room'!$B$13-1)/2)/MAX(0.5,'Control Room'!$B$13/4))^2),1)*IF(AND($A406&gt;='Control Room'!$A$14,$A406&lt;'Control Room'!$A$14+'Control Room'!$B$14,'Process'!BN3=1),1+('Control Room'!$C$14-1)*EXP(-0.5*(($A406-'Control Room'!$A$14-('Control Room'!$B$14-1)/2)/MAX(0.5,'Control Room'!$B$14/4))^2),1)*IF(AND($A406&gt;='Control Room'!$A$15,$A406&lt;'Control Room'!$A$15+'Control Room'!$B$15,'Process'!BN4=1),1+('Control Room'!$C$15-1)*EXP(-0.5*(($A406-'Control Room'!$A$15-('Control Room'!$B$15-1)/2)/MAX(0.5,'Control Room'!$B$15/4))^2),1)*IF(AND($A406&gt;='Control Room'!$A$16,$A406&lt;'Control Room'!$A$16+'Control Room'!$B$16,'Process'!BN5=1),1+('Control Room'!$C$16-1)*EXP(-0.5*(($A406-'Control Room'!$A$16-('Control Room'!$B$16-1)/2)/MAX(0.5,'Control Room'!$B$16/4))^2),1)</x:f>
        <x:v>1</x:v>
      </x:c>
      <x:c r="V406" s="9" t="n">
        <x:f>MOD(W405*16807,2147483647)</x:f>
        <x:v>1450797639</x:v>
      </x:c>
      <x:c r="W406" s="9" t="n">
        <x:f>MOD(V406*16807,2147483647)</x:f>
        <x:v>1026590635</x:v>
      </x:c>
      <x:c r="X406" s="17" t="n">
        <x:f>IF('Control Room'!$B$5="Normal",'Control Room'!$B$7+'Control Room'!$D$7*SQRT(-2*LN(MAX(0.000000000001,V406/2147483647)))*COS(2*PI()*W406/2147483647),'Control Room'!$B$8+('Control Room'!$D$8-'Control Room'!$B$8)*V406/2147483647)</x:f>
        <x:v>921.0492786800359</x:v>
      </x:c>
      <x:c r="Y406" s="17" t="n">
        <x:f>IF('Control Room'!$B$5="Normal",'Control Room'!$B$7,('Control Room'!$B$8+'Control Room'!$D$8)/2)+'Control Room'!$B$9*(Y405-IF('Control Room'!$B$5="Normal",'Control Room'!$B$7,('Control Room'!$B$8+'Control Room'!$D$8)/2))+SQRT(1-'Control Room'!$B$9^2)*(X406-IF('Control Room'!$B$5="Normal",'Control Room'!$B$7,('Control Room'!$B$8+'Control Room'!$D$8)/2))</x:f>
        <x:v>1112.9520772271867</x:v>
      </x:c>
      <x:c r="Z406" s="17" t="n">
        <x:f>IF(AND($A406&gt;='Control Room'!$A$13,$A406&lt;'Control Room'!$A$13+'Control Room'!$B$13,'Process'!BO2=1),1+('Control Room'!$C$13-1)*EXP(-0.5*(($A406-'Control Room'!$A$13-('Control Room'!$B$13-1)/2)/MAX(0.5,'Control Room'!$B$13/4))^2),1)*IF(AND($A406&gt;='Control Room'!$A$14,$A406&lt;'Control Room'!$A$14+'Control Room'!$B$14,'Process'!BO3=1),1+('Control Room'!$C$14-1)*EXP(-0.5*(($A406-'Control Room'!$A$14-('Control Room'!$B$14-1)/2)/MAX(0.5,'Control Room'!$B$14/4))^2),1)*IF(AND($A406&gt;='Control Room'!$A$15,$A406&lt;'Control Room'!$A$15+'Control Room'!$B$15,'Process'!BO4=1),1+('Control Room'!$C$15-1)*EXP(-0.5*(($A406-'Control Room'!$A$15-('Control Room'!$B$15-1)/2)/MAX(0.5,'Control Room'!$B$15/4))^2),1)*IF(AND($A406&gt;='Control Room'!$A$16,$A406&lt;'Control Room'!$A$16+'Control Room'!$B$16,'Process'!BO5=1),1+('Control Room'!$C$16-1)*EXP(-0.5*(($A406-'Control Room'!$A$16-('Control Room'!$B$16-1)/2)/MAX(0.5,'Control Room'!$B$16/4))^2),1)</x:f>
        <x:v>1</x:v>
      </x:c>
      <x:c r="AA406" s="9" t="n">
        <x:f>MOD(AB405*16807,2147483647)</x:f>
        <x:v>1277895075</x:v>
      </x:c>
      <x:c r="AB406" s="9" t="n">
        <x:f>MOD(AA406*16807,2147483647)</x:f>
        <x:v>598571878</x:v>
      </x:c>
      <x:c r="AC406" s="17" t="n">
        <x:f>IF('Control Room'!$B$5="Normal",'Control Room'!$B$7+'Control Room'!$D$7*SQRT(-2*LN(MAX(0.000000000001,AA406/2147483647)))*COS(2*PI()*AB406/2147483647),'Control Room'!$B$8+('Control Room'!$D$8-'Control Room'!$B$8)*AA406/2147483647)</x:f>
        <x:v>983.5352111976152</x:v>
      </x:c>
      <x:c r="AD406" s="17" t="n">
        <x:f>IF('Control Room'!$B$5="Normal",'Control Room'!$B$7,('Control Room'!$B$8+'Control Room'!$D$8)/2)+'Control Room'!$B$9*(AD405-IF('Control Room'!$B$5="Normal",'Control Room'!$B$7,('Control Room'!$B$8+'Control Room'!$D$8)/2))+SQRT(1-'Control Room'!$B$9^2)*(AC406-IF('Control Room'!$B$5="Normal",'Control Room'!$B$7,('Control Room'!$B$8+'Control Room'!$D$8)/2))</x:f>
        <x:v>1060.2790433048654</x:v>
      </x:c>
      <x:c r="AE406" s="17" t="n">
        <x:f>IF(AND($A406&gt;='Control Room'!$A$13,$A406&lt;'Control Room'!$A$13+'Control Room'!$B$13,'Process'!BP2=1),1+('Control Room'!$C$13-1)*EXP(-0.5*(($A406-'Control Room'!$A$13-('Control Room'!$B$13-1)/2)/MAX(0.5,'Control Room'!$B$13/4))^2),1)*IF(AND($A406&gt;='Control Room'!$A$14,$A406&lt;'Control Room'!$A$14+'Control Room'!$B$14,'Process'!BP3=1),1+('Control Room'!$C$14-1)*EXP(-0.5*(($A406-'Control Room'!$A$14-('Control Room'!$B$14-1)/2)/MAX(0.5,'Control Room'!$B$14/4))^2),1)*IF(AND($A406&gt;='Control Room'!$A$15,$A406&lt;'Control Room'!$A$15+'Control Room'!$B$15,'Process'!BP4=1),1+('Control Room'!$C$15-1)*EXP(-0.5*(($A406-'Control Room'!$A$15-('Control Room'!$B$15-1)/2)/MAX(0.5,'Control Room'!$B$15/4))^2),1)*IF(AND($A406&gt;='Control Room'!$A$16,$A406&lt;'Control Room'!$A$16+'Control Room'!$B$16,'Process'!BP5=1),1+('Control Room'!$C$16-1)*EXP(-0.5*(($A406-'Control Room'!$A$16-('Control Room'!$B$16-1)/2)/MAX(0.5,'Control Room'!$B$16/4))^2),1)</x:f>
        <x:v>1</x:v>
      </x:c>
      <x:c r="AF406" s="9" t="n">
        <x:f>MOD(AG405*16807,2147483647)</x:f>
        <x:v>1104992511</x:v>
      </x:c>
      <x:c r="AG406" s="9" t="n">
        <x:f>MOD(AF406*16807,2147483647)</x:f>
        <x:v>170553121</x:v>
      </x:c>
      <x:c r="AH406" s="17" t="n">
        <x:f>IF('Control Room'!$B$5="Normal",'Control Room'!$B$7+'Control Room'!$D$7*SQRT(-2*LN(MAX(0.000000000001,AF406/2147483647)))*COS(2*PI()*AG406/2147483647),'Control Room'!$B$8+('Control Room'!$D$8-'Control Room'!$B$8)*AF406/2147483647)</x:f>
        <x:v>1091.099043560363</x:v>
      </x:c>
      <x:c r="AI406" s="17" t="n">
        <x:f>IF('Control Room'!$B$5="Normal",'Control Room'!$B$7,('Control Room'!$B$8+'Control Room'!$D$8)/2)+'Control Room'!$B$9*(AI405-IF('Control Room'!$B$5="Normal",'Control Room'!$B$7,('Control Room'!$B$8+'Control Room'!$D$8)/2))+SQRT(1-'Control Room'!$B$9^2)*(AH406-IF('Control Room'!$B$5="Normal",'Control Room'!$B$7,('Control Room'!$B$8+'Control Room'!$D$8)/2))</x:f>
        <x:v>1134.0296737321826</x:v>
      </x:c>
      <x:c r="AJ406" s="17" t="n">
        <x:f>IF(AND($A406&gt;='Control Room'!$A$13,$A406&lt;'Control Room'!$A$13+'Control Room'!$B$13,'Process'!BQ2=1),1+('Control Room'!$C$13-1)*EXP(-0.5*(($A406-'Control Room'!$A$13-('Control Room'!$B$13-1)/2)/MAX(0.5,'Control Room'!$B$13/4))^2),1)*IF(AND($A406&gt;='Control Room'!$A$14,$A406&lt;'Control Room'!$A$14+'Control Room'!$B$14,'Process'!BQ3=1),1+('Control Room'!$C$14-1)*EXP(-0.5*(($A406-'Control Room'!$A$14-('Control Room'!$B$14-1)/2)/MAX(0.5,'Control Room'!$B$14/4))^2),1)*IF(AND($A406&gt;='Control Room'!$A$15,$A406&lt;'Control Room'!$A$15+'Control Room'!$B$15,'Process'!BQ4=1),1+('Control Room'!$C$15-1)*EXP(-0.5*(($A406-'Control Room'!$A$15-('Control Room'!$B$15-1)/2)/MAX(0.5,'Control Room'!$B$15/4))^2),1)*IF(AND($A406&gt;='Control Room'!$A$16,$A406&lt;'Control Room'!$A$16+'Control Room'!$B$16,'Process'!BQ5=1),1+('Control Room'!$C$16-1)*EXP(-0.5*(($A406-'Control Room'!$A$16-('Control Room'!$B$16-1)/2)/MAX(0.5,'Control Room'!$B$16/4))^2),1)</x:f>
        <x:v>1</x:v>
      </x:c>
      <x:c r="AK406" s="9" t="n">
        <x:f>MOD(AL405*16807,2147483647)</x:f>
        <x:v>932089947</x:v>
      </x:c>
      <x:c r="AL406" s="9" t="n">
        <x:f>MOD(AK406*16807,2147483647)</x:f>
        <x:v>1890018011</x:v>
      </x:c>
      <x:c r="AM406" s="17" t="n">
        <x:f>IF('Control Room'!$B$5="Normal",'Control Room'!$B$7+'Control Room'!$D$7*SQRT(-2*LN(MAX(0.000000000001,AK406/2147483647)))*COS(2*PI()*AL406/2147483647),'Control Room'!$B$8+('Control Room'!$D$8-'Control Room'!$B$8)*AK406/2147483647)</x:f>
        <x:v>1084.8181057774623</x:v>
      </x:c>
      <x:c r="AN406" s="17" t="n">
        <x:f>IF('Control Room'!$B$5="Normal",'Control Room'!$B$7,('Control Room'!$B$8+'Control Room'!$D$8)/2)+'Control Room'!$B$9*(AN405-IF('Control Room'!$B$5="Normal",'Control Room'!$B$7,('Control Room'!$B$8+'Control Room'!$D$8)/2))+SQRT(1-'Control Room'!$B$9^2)*(AM406-IF('Control Room'!$B$5="Normal",'Control Room'!$B$7,('Control Room'!$B$8+'Control Room'!$D$8)/2))</x:f>
        <x:v>1194.741622486844</x:v>
      </x:c>
      <x:c r="AO406" s="17" t="n">
        <x:f>IF(AND($A406&gt;='Control Room'!$A$13,$A406&lt;'Control Room'!$A$13+'Control Room'!$B$13,'Process'!BR2=1),1+('Control Room'!$C$13-1)*EXP(-0.5*(($A406-'Control Room'!$A$13-('Control Room'!$B$13-1)/2)/MAX(0.5,'Control Room'!$B$13/4))^2),1)*IF(AND($A406&gt;='Control Room'!$A$14,$A406&lt;'Control Room'!$A$14+'Control Room'!$B$14,'Process'!BR3=1),1+('Control Room'!$C$14-1)*EXP(-0.5*(($A406-'Control Room'!$A$14-('Control Room'!$B$14-1)/2)/MAX(0.5,'Control Room'!$B$14/4))^2),1)*IF(AND($A406&gt;='Control Room'!$A$15,$A406&lt;'Control Room'!$A$15+'Control Room'!$B$15,'Process'!BR4=1),1+('Control Room'!$C$15-1)*EXP(-0.5*(($A406-'Control Room'!$A$15-('Control Room'!$B$15-1)/2)/MAX(0.5,'Control Room'!$B$15/4))^2),1)*IF(AND($A406&gt;='Control Room'!$A$16,$A406&lt;'Control Room'!$A$16+'Control Room'!$B$16,'Process'!BR5=1),1+('Control Room'!$C$16-1)*EXP(-0.5*(($A406-'Control Room'!$A$16-('Control Room'!$B$16-1)/2)/MAX(0.5,'Control Room'!$B$16/4))^2),1)</x:f>
        <x:v>1</x:v>
      </x:c>
      <x:c r="AP406" s="9" t="n">
        <x:f>MOD(AQ405*16807,2147483647)</x:f>
        <x:v>759187383</x:v>
      </x:c>
      <x:c r="AQ406" s="9" t="n">
        <x:f>MOD(AP406*16807,2147483647)</x:f>
        <x:v>1461999254</x:v>
      </x:c>
      <x:c r="AR406" s="17" t="n">
        <x:f>IF('Control Room'!$B$5="Normal",'Control Room'!$B$7+'Control Room'!$D$7*SQRT(-2*LN(MAX(0.000000000001,AP406/2147483647)))*COS(2*PI()*AQ406/2147483647),'Control Room'!$B$8+('Control Room'!$D$8-'Control Room'!$B$8)*AP406/2147483647)</x:f>
        <x:v>945.327505221198</x:v>
      </x:c>
      <x:c r="AS406" s="17" t="n">
        <x:f>IF('Control Room'!$B$5="Normal",'Control Room'!$B$7,('Control Room'!$B$8+'Control Room'!$D$8)/2)+'Control Room'!$B$9*(AS405-IF('Control Room'!$B$5="Normal",'Control Room'!$B$7,('Control Room'!$B$8+'Control Room'!$D$8)/2))+SQRT(1-'Control Room'!$B$9^2)*(AR406-IF('Control Room'!$B$5="Normal",'Control Room'!$B$7,('Control Room'!$B$8+'Control Room'!$D$8)/2))</x:f>
        <x:v>1079.783422961274</x:v>
      </x:c>
      <x:c r="AT406" s="17" t="n">
        <x:f>IF(AND($A406&gt;='Control Room'!$A$13,$A406&lt;'Control Room'!$A$13+'Control Room'!$B$13,'Process'!BS2=1),1+('Control Room'!$C$13-1)*EXP(-0.5*(($A406-'Control Room'!$A$13-('Control Room'!$B$13-1)/2)/MAX(0.5,'Control Room'!$B$13/4))^2),1)*IF(AND($A406&gt;='Control Room'!$A$14,$A406&lt;'Control Room'!$A$14+'Control Room'!$B$14,'Process'!BS3=1),1+('Control Room'!$C$14-1)*EXP(-0.5*(($A406-'Control Room'!$A$14-('Control Room'!$B$14-1)/2)/MAX(0.5,'Control Room'!$B$14/4))^2),1)*IF(AND($A406&gt;='Control Room'!$A$15,$A406&lt;'Control Room'!$A$15+'Control Room'!$B$15,'Process'!BS4=1),1+('Control Room'!$C$15-1)*EXP(-0.5*(($A406-'Control Room'!$A$15-('Control Room'!$B$15-1)/2)/MAX(0.5,'Control Room'!$B$15/4))^2),1)*IF(AND($A406&gt;='Control Room'!$A$16,$A406&lt;'Control Room'!$A$16+'Control Room'!$B$16,'Process'!BS5=1),1+('Control Room'!$C$16-1)*EXP(-0.5*(($A406-'Control Room'!$A$16-('Control Room'!$B$16-1)/2)/MAX(0.5,'Control Room'!$B$16/4))^2),1)</x:f>
        <x:v>1</x:v>
      </x:c>
      <x:c r="AU406" s="9" t="n">
        <x:f>MOD(AV405*16807,2147483647)</x:f>
        <x:v>586284819</x:v>
      </x:c>
      <x:c r="AV406" s="9" t="n">
        <x:f>MOD(AU406*16807,2147483647)</x:f>
        <x:v>1033980497</x:v>
      </x:c>
      <x:c r="AW406" s="17" t="n">
        <x:f>IF('Control Room'!$B$5="Normal",'Control Room'!$B$7+'Control Room'!$D$7*SQRT(-2*LN(MAX(0.000000000001,AU406/2147483647)))*COS(2*PI()*AV406/2147483647),'Control Room'!$B$8+('Control Room'!$D$8-'Control Room'!$B$8)*AU406/2147483647)</x:f>
        <x:v>855.9575283115346</x:v>
      </x:c>
      <x:c r="AX406" s="17" t="n">
        <x:f>IF('Control Room'!$B$5="Normal",'Control Room'!$B$7,('Control Room'!$B$8+'Control Room'!$D$8)/2)+'Control Room'!$B$9*(AX405-IF('Control Room'!$B$5="Normal",'Control Room'!$B$7,('Control Room'!$B$8+'Control Room'!$D$8)/2))+SQRT(1-'Control Room'!$B$9^2)*(AW406-IF('Control Room'!$B$5="Normal",'Control Room'!$B$7,('Control Room'!$B$8+'Control Room'!$D$8)/2))</x:f>
        <x:v>941.6824233370301</x:v>
      </x:c>
      <x:c r="AY406" s="17" t="n">
        <x:f>IF(AND($A406&gt;='Control Room'!$A$13,$A406&lt;'Control Room'!$A$13+'Control Room'!$B$13,'Process'!BT2=1),1+('Control Room'!$C$13-1)*EXP(-0.5*(($A406-'Control Room'!$A$13-('Control Room'!$B$13-1)/2)/MAX(0.5,'Control Room'!$B$13/4))^2),1)*IF(AND($A406&gt;='Control Room'!$A$14,$A406&lt;'Control Room'!$A$14+'Control Room'!$B$14,'Process'!BT3=1),1+('Control Room'!$C$14-1)*EXP(-0.5*(($A406-'Control Room'!$A$14-('Control Room'!$B$14-1)/2)/MAX(0.5,'Control Room'!$B$14/4))^2),1)*IF(AND($A406&gt;='Control Room'!$A$15,$A406&lt;'Control Room'!$A$15+'Control Room'!$B$15,'Process'!BT4=1),1+('Control Room'!$C$15-1)*EXP(-0.5*(($A406-'Control Room'!$A$15-('Control Room'!$B$15-1)/2)/MAX(0.5,'Control Room'!$B$15/4))^2),1)*IF(AND($A406&gt;='Control Room'!$A$16,$A406&lt;'Control Room'!$A$16+'Control Room'!$B$16,'Process'!BT5=1),1+('Control Room'!$C$16-1)*EXP(-0.5*(($A406-'Control Room'!$A$16-('Control Room'!$B$16-1)/2)/MAX(0.5,'Control Room'!$B$16/4))^2),1)</x:f>
        <x:v>1</x:v>
      </x:c>
      <x:c r="AZ406" s="9" t="n">
        <x:f>MOD(BA405*16807,2147483647)</x:f>
        <x:v>413382255</x:v>
      </x:c>
      <x:c r="BA406" s="9" t="n">
        <x:f>MOD(AZ406*16807,2147483647)</x:f>
        <x:v>605961740</x:v>
      </x:c>
      <x:c r="BB406" s="17" t="n">
        <x:f>IF('Control Room'!$B$5="Normal",'Control Room'!$B$7+'Control Room'!$D$7*SQRT(-2*LN(MAX(0.000000000001,AZ406/2147483647)))*COS(2*PI()*BA406/2147483647),'Control Room'!$B$8+('Control Room'!$D$8-'Control Room'!$B$8)*AZ406/2147483647)</x:f>
        <x:v>967.1978447030585</x:v>
      </x:c>
      <x:c r="BC406" s="17" t="n">
        <x:f>IF('Control Room'!$B$5="Normal",'Control Room'!$B$7,('Control Room'!$B$8+'Control Room'!$D$8)/2)+'Control Room'!$B$9*(BC405-IF('Control Room'!$B$5="Normal",'Control Room'!$B$7,('Control Room'!$B$8+'Control Room'!$D$8)/2))+SQRT(1-'Control Room'!$B$9^2)*(BB406-IF('Control Room'!$B$5="Normal",'Control Room'!$B$7,('Control Room'!$B$8+'Control Room'!$D$8)/2))</x:f>
        <x:v>1090.678619252194</x:v>
      </x:c>
      <x:c r="BD406" s="17" t="n">
        <x:f>IF(AND($A406&gt;='Control Room'!$A$13,$A406&lt;'Control Room'!$A$13+'Control Room'!$B$13,'Process'!BU2=1),1+('Control Room'!$C$13-1)*EXP(-0.5*(($A406-'Control Room'!$A$13-('Control Room'!$B$13-1)/2)/MAX(0.5,'Control Room'!$B$13/4))^2),1)*IF(AND($A406&gt;='Control Room'!$A$14,$A406&lt;'Control Room'!$A$14+'Control Room'!$B$14,'Process'!BU3=1),1+('Control Room'!$C$14-1)*EXP(-0.5*(($A406-'Control Room'!$A$14-('Control Room'!$B$14-1)/2)/MAX(0.5,'Control Room'!$B$14/4))^2),1)*IF(AND($A406&gt;='Control Room'!$A$15,$A406&lt;'Control Room'!$A$15+'Control Room'!$B$15,'Process'!BU4=1),1+('Control Room'!$C$15-1)*EXP(-0.5*(($A406-'Control Room'!$A$15-('Control Room'!$B$15-1)/2)/MAX(0.5,'Control Room'!$B$15/4))^2),1)*IF(AND($A406&gt;='Control Room'!$A$16,$A406&lt;'Control Room'!$A$16+'Control Room'!$B$16,'Process'!BU5=1),1+('Control Room'!$C$16-1)*EXP(-0.5*(($A406-'Control Room'!$A$16-('Control Room'!$B$16-1)/2)/MAX(0.5,'Control Room'!$B$16/4))^2),1)</x:f>
        <x:v>1</x:v>
      </x:c>
      <x:c r="BE406" s="9" t="n">
        <x:f>MOD(BF405*16807,2147483647)</x:f>
        <x:v>240479691</x:v>
      </x:c>
      <x:c r="BF406" s="9" t="n">
        <x:f>MOD(BE406*16807,2147483647)</x:f>
        <x:v>177942983</x:v>
      </x:c>
      <x:c r="BG406" s="17" t="n">
        <x:f>IF('Control Room'!$B$5="Normal",'Control Room'!$B$7+'Control Room'!$D$7*SQRT(-2*LN(MAX(0.000000000001,BE406/2147483647)))*COS(2*PI()*BF406/2147483647),'Control Room'!$B$8+('Control Room'!$D$8-'Control Room'!$B$8)*BE406/2147483647)</x:f>
        <x:v>1163.3780328515832</x:v>
      </x:c>
      <x:c r="BH406" s="17" t="n">
        <x:f>IF('Control Room'!$B$5="Normal",'Control Room'!$B$7,('Control Room'!$B$8+'Control Room'!$D$8)/2)+'Control Room'!$B$9*(BH405-IF('Control Room'!$B$5="Normal",'Control Room'!$B$7,('Control Room'!$B$8+'Control Room'!$D$8)/2))+SQRT(1-'Control Room'!$B$9^2)*(BG406-IF('Control Room'!$B$5="Normal",'Control Room'!$B$7,('Control Room'!$B$8+'Control Room'!$D$8)/2))</x:f>
        <x:v>1204.1939490607062</x:v>
      </x:c>
      <x:c r="BI406" s="17" t="n">
        <x:f>IF(AND($A406&gt;='Control Room'!$A$13,$A406&lt;'Control Room'!$A$13+'Control Room'!$B$13,'Process'!BV2=1),1+('Control Room'!$C$13-1)*EXP(-0.5*(($A406-'Control Room'!$A$13-('Control Room'!$B$13-1)/2)/MAX(0.5,'Control Room'!$B$13/4))^2),1)*IF(AND($A406&gt;='Control Room'!$A$14,$A406&lt;'Control Room'!$A$14+'Control Room'!$B$14,'Process'!BV3=1),1+('Control Room'!$C$14-1)*EXP(-0.5*(($A406-'Control Room'!$A$14-('Control Room'!$B$14-1)/2)/MAX(0.5,'Control Room'!$B$14/4))^2),1)*IF(AND($A406&gt;='Control Room'!$A$15,$A406&lt;'Control Room'!$A$15+'Control Room'!$B$15,'Process'!BV4=1),1+('Control Room'!$C$15-1)*EXP(-0.5*(($A406-'Control Room'!$A$15-('Control Room'!$B$15-1)/2)/MAX(0.5,'Control Room'!$B$15/4))^2),1)*IF(AND($A406&gt;='Control Room'!$A$16,$A406&lt;'Control Room'!$A$16+'Control Room'!$B$16,'Process'!BV5=1),1+('Control Room'!$C$16-1)*EXP(-0.5*(($A406-'Control Room'!$A$16-('Control Room'!$B$16-1)/2)/MAX(0.5,'Control Room'!$B$16/4))^2),1)</x:f>
        <x:v>1</x:v>
      </x:c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Z406" t="str">
        <x:f>IF('Data'!A406="","",TEXT('Data'!A406,"mm-dd"))</x:f>
      </x:c>
    </x:row>
    <x:row r="407" ht="21" customHeight="1">
      <x:c r="A407" s="15" t="n">
        <x:f>'Control Room'!$B$1+405</x:f>
        <x:v>73396</x:v>
      </x:c>
      <x:c r="B407" s="9" t="n">
        <x:f>MOD(C406*16807,2147483647)</x:f>
        <x:v>1736791890</x:v>
      </x:c>
      <x:c r="C407" s="9" t="n">
        <x:f>MOD(B407*16807,2147483647)</x:f>
        <x:v>1663565206</x:v>
      </x:c>
      <x:c r="D407" s="17" t="n">
        <x:f>IF('Control Room'!$B$5="Normal",'Control Room'!$B$7+'Control Room'!$D$7*SQRT(-2*LN(MAX(0.000000000001,B407/2147483647)))*COS(2*PI()*C407/2147483647),'Control Room'!$B$8+('Control Room'!$D$8-'Control Room'!$B$8)*B407/2147483647)</x:f>
        <x:v>1009.0486966054215</x:v>
      </x:c>
      <x:c r="E407" s="17" t="n">
        <x:f>IF('Control Room'!$B$5="Normal",'Control Room'!$B$7,('Control Room'!$B$8+'Control Room'!$D$8)/2)+'Control Room'!$B$9*(E406-IF('Control Room'!$B$5="Normal",'Control Room'!$B$7,('Control Room'!$B$8+'Control Room'!$D$8)/2))+SQRT(1-'Control Room'!$B$9^2)*(D407-IF('Control Room'!$B$5="Normal",'Control Room'!$B$7,('Control Room'!$B$8+'Control Room'!$D$8)/2))</x:f>
        <x:v>1025.601052766788</x:v>
      </x:c>
      <x:c r="F407" s="17" t="n">
        <x:f>IF(AND($A407&gt;='Control Room'!$A$13,$A407&lt;'Control Room'!$A$13+'Control Room'!$B$13,'Process'!BK2=1),1+('Control Room'!$C$13-1)*EXP(-0.5*(($A407-'Control Room'!$A$13-('Control Room'!$B$13-1)/2)/MAX(0.5,'Control Room'!$B$13/4))^2),1)*IF(AND($A407&gt;='Control Room'!$A$14,$A407&lt;'Control Room'!$A$14+'Control Room'!$B$14,'Process'!BK3=1),1+('Control Room'!$C$14-1)*EXP(-0.5*(($A407-'Control Room'!$A$14-('Control Room'!$B$14-1)/2)/MAX(0.5,'Control Room'!$B$14/4))^2),1)*IF(AND($A407&gt;='Control Room'!$A$15,$A407&lt;'Control Room'!$A$15+'Control Room'!$B$15,'Process'!BK4=1),1+('Control Room'!$C$15-1)*EXP(-0.5*(($A407-'Control Room'!$A$15-('Control Room'!$B$15-1)/2)/MAX(0.5,'Control Room'!$B$15/4))^2),1)*IF(AND($A407&gt;='Control Room'!$A$16,$A407&lt;'Control Room'!$A$16+'Control Room'!$B$16,'Process'!BK5=1),1+('Control Room'!$C$16-1)*EXP(-0.5*(($A407-'Control Room'!$A$16-('Control Room'!$B$16-1)/2)/MAX(0.5,'Control Room'!$B$16/4))^2),1)</x:f>
        <x:v>1</x:v>
      </x:c>
      <x:c r="G407" s="9" t="n">
        <x:f>MOD(H406*16807,2147483647)</x:f>
        <x:v>2095760441</x:v>
      </x:c>
      <x:c r="H407" s="9" t="n">
        <x:f>MOD(G407*16807,2147483647)</x:f>
        <x:v>418953793</x:v>
      </x:c>
      <x:c r="I407" s="17" t="n">
        <x:f>IF('Control Room'!$B$5="Normal",'Control Room'!$B$7+'Control Room'!$D$7*SQRT(-2*LN(MAX(0.000000000001,G407/2147483647)))*COS(2*PI()*H407/2147483647),'Control Room'!$B$8+('Control Room'!$D$8-'Control Room'!$B$8)*G407/2147483647)</x:f>
        <x:v>1006.7213074866739</x:v>
      </x:c>
      <x:c r="J407" s="17" t="n">
        <x:f>IF('Control Room'!$B$5="Normal",'Control Room'!$B$7,('Control Room'!$B$8+'Control Room'!$D$8)/2)+'Control Room'!$B$9*(J406-IF('Control Room'!$B$5="Normal",'Control Room'!$B$7,('Control Room'!$B$8+'Control Room'!$D$8)/2))+SQRT(1-'Control Room'!$B$9^2)*(I407-IF('Control Room'!$B$5="Normal",'Control Room'!$B$7,('Control Room'!$B$8+'Control Room'!$D$8)/2))</x:f>
        <x:v>1048.945297696579</x:v>
      </x:c>
      <x:c r="K407" s="17" t="n">
        <x:f>IF(AND($A407&gt;='Control Room'!$A$13,$A407&lt;'Control Room'!$A$13+'Control Room'!$B$13,'Process'!BL2=1),1+('Control Room'!$C$13-1)*EXP(-0.5*(($A407-'Control Room'!$A$13-('Control Room'!$B$13-1)/2)/MAX(0.5,'Control Room'!$B$13/4))^2),1)*IF(AND($A407&gt;='Control Room'!$A$14,$A407&lt;'Control Room'!$A$14+'Control Room'!$B$14,'Process'!BL3=1),1+('Control Room'!$C$14-1)*EXP(-0.5*(($A407-'Control Room'!$A$14-('Control Room'!$B$14-1)/2)/MAX(0.5,'Control Room'!$B$14/4))^2),1)*IF(AND($A407&gt;='Control Room'!$A$15,$A407&lt;'Control Room'!$A$15+'Control Room'!$B$15,'Process'!BL4=1),1+('Control Room'!$C$15-1)*EXP(-0.5*(($A407-'Control Room'!$A$15-('Control Room'!$B$15-1)/2)/MAX(0.5,'Control Room'!$B$15/4))^2),1)*IF(AND($A407&gt;='Control Room'!$A$16,$A407&lt;'Control Room'!$A$16+'Control Room'!$B$16,'Process'!BL5=1),1+('Control Room'!$C$16-1)*EXP(-0.5*(($A407-'Control Room'!$A$16-('Control Room'!$B$16-1)/2)/MAX(0.5,'Control Room'!$B$16/4))^2),1)</x:f>
        <x:v>1</x:v>
      </x:c>
      <x:c r="L407" s="9" t="n">
        <x:f>MOD(M406*16807,2147483647)</x:f>
        <x:v>307245345</x:v>
      </x:c>
      <x:c r="M407" s="9" t="n">
        <x:f>MOD(L407*16807,2147483647)</x:f>
        <x:v>1321826027</x:v>
      </x:c>
      <x:c r="N407" s="17" t="n">
        <x:f>IF('Control Room'!$B$5="Normal",'Control Room'!$B$7+'Control Room'!$D$7*SQRT(-2*LN(MAX(0.000000000001,L407/2147483647)))*COS(2*PI()*M407/2147483647),'Control Room'!$B$8+('Control Room'!$D$8-'Control Room'!$B$8)*L407/2147483647)</x:f>
        <x:v>867.2563908500189</x:v>
      </x:c>
      <x:c r="O407" s="17" t="n">
        <x:f>IF('Control Room'!$B$5="Normal",'Control Room'!$B$7,('Control Room'!$B$8+'Control Room'!$D$8)/2)+'Control Room'!$B$9*(O406-IF('Control Room'!$B$5="Normal",'Control Room'!$B$7,('Control Room'!$B$8+'Control Room'!$D$8)/2))+SQRT(1-'Control Room'!$B$9^2)*(N407-IF('Control Room'!$B$5="Normal",'Control Room'!$B$7,('Control Room'!$B$8+'Control Room'!$D$8)/2))</x:f>
        <x:v>1095.2701901736302</x:v>
      </x:c>
      <x:c r="P407" s="17" t="n">
        <x:f>IF(AND($A407&gt;='Control Room'!$A$13,$A407&lt;'Control Room'!$A$13+'Control Room'!$B$13,'Process'!BM2=1),1+('Control Room'!$C$13-1)*EXP(-0.5*(($A407-'Control Room'!$A$13-('Control Room'!$B$13-1)/2)/MAX(0.5,'Control Room'!$B$13/4))^2),1)*IF(AND($A407&gt;='Control Room'!$A$14,$A407&lt;'Control Room'!$A$14+'Control Room'!$B$14,'Process'!BM3=1),1+('Control Room'!$C$14-1)*EXP(-0.5*(($A407-'Control Room'!$A$14-('Control Room'!$B$14-1)/2)/MAX(0.5,'Control Room'!$B$14/4))^2),1)*IF(AND($A407&gt;='Control Room'!$A$15,$A407&lt;'Control Room'!$A$15+'Control Room'!$B$15,'Process'!BM4=1),1+('Control Room'!$C$15-1)*EXP(-0.5*(($A407-'Control Room'!$A$15-('Control Room'!$B$15-1)/2)/MAX(0.5,'Control Room'!$B$15/4))^2),1)*IF(AND($A407&gt;='Control Room'!$A$16,$A407&lt;'Control Room'!$A$16+'Control Room'!$B$16,'Process'!BM5=1),1+('Control Room'!$C$16-1)*EXP(-0.5*(($A407-'Control Room'!$A$16-('Control Room'!$B$16-1)/2)/MAX(0.5,'Control Room'!$B$16/4))^2),1)</x:f>
        <x:v>1</x:v>
      </x:c>
      <x:c r="Q407" s="9" t="n">
        <x:f>MOD(R406*16807,2147483647)</x:f>
        <x:v>666213896</x:v>
      </x:c>
      <x:c r="R407" s="9" t="n">
        <x:f>MOD(Q407*16807,2147483647)</x:f>
        <x:v>77214614</x:v>
      </x:c>
      <x:c r="S407" s="17" t="n">
        <x:f>IF('Control Room'!$B$5="Normal",'Control Room'!$B$7+'Control Room'!$D$7*SQRT(-2*LN(MAX(0.000000000001,Q407/2147483647)))*COS(2*PI()*R407/2147483647),'Control Room'!$B$8+('Control Room'!$D$8-'Control Room'!$B$8)*Q407/2147483647)</x:f>
        <x:v>1134.2004093639148</x:v>
      </x:c>
      <x:c r="T407" s="17" t="n">
        <x:f>IF('Control Room'!$B$5="Normal",'Control Room'!$B$7,('Control Room'!$B$8+'Control Room'!$D$8)/2)+'Control Room'!$B$9*(T406-IF('Control Room'!$B$5="Normal",'Control Room'!$B$7,('Control Room'!$B$8+'Control Room'!$D$8)/2))+SQRT(1-'Control Room'!$B$9^2)*(S407-IF('Control Room'!$B$5="Normal",'Control Room'!$B$7,('Control Room'!$B$8+'Control Room'!$D$8)/2))</x:f>
        <x:v>1051.0519754387074</x:v>
      </x:c>
      <x:c r="U407" s="17" t="n">
        <x:f>IF(AND($A407&gt;='Control Room'!$A$13,$A407&lt;'Control Room'!$A$13+'Control Room'!$B$13,'Process'!BN2=1),1+('Control Room'!$C$13-1)*EXP(-0.5*(($A407-'Control Room'!$A$13-('Control Room'!$B$13-1)/2)/MAX(0.5,'Control Room'!$B$13/4))^2),1)*IF(AND($A407&gt;='Control Room'!$A$14,$A407&lt;'Control Room'!$A$14+'Control Room'!$B$14,'Process'!BN3=1),1+('Control Room'!$C$14-1)*EXP(-0.5*(($A407-'Control Room'!$A$14-('Control Room'!$B$14-1)/2)/MAX(0.5,'Control Room'!$B$14/4))^2),1)*IF(AND($A407&gt;='Control Room'!$A$15,$A407&lt;'Control Room'!$A$15+'Control Room'!$B$15,'Process'!BN4=1),1+('Control Room'!$C$15-1)*EXP(-0.5*(($A407-'Control Room'!$A$15-('Control Room'!$B$15-1)/2)/MAX(0.5,'Control Room'!$B$15/4))^2),1)*IF(AND($A407&gt;='Control Room'!$A$16,$A407&lt;'Control Room'!$A$16+'Control Room'!$B$16,'Process'!BN5=1),1+('Control Room'!$C$16-1)*EXP(-0.5*(($A407-'Control Room'!$A$16-('Control Room'!$B$16-1)/2)/MAX(0.5,'Control Room'!$B$16/4))^2),1)</x:f>
        <x:v>1</x:v>
      </x:c>
      <x:c r="V407" s="9" t="n">
        <x:f>MOD(W406*16807,2147483647)</x:f>
        <x:v>1025182447</x:v>
      </x:c>
      <x:c r="W407" s="9" t="n">
        <x:f>MOD(V407*16807,2147483647)</x:f>
        <x:v>980086848</x:v>
      </x:c>
      <x:c r="X407" s="17" t="n">
        <x:f>IF('Control Room'!$B$5="Normal",'Control Room'!$B$7+'Control Room'!$D$7*SQRT(-2*LN(MAX(0.000000000001,V407/2147483647)))*COS(2*PI()*W407/2147483647),'Control Room'!$B$8+('Control Room'!$D$8-'Control Room'!$B$8)*V407/2147483647)</x:f>
        <x:v>894.6360926957739</x:v>
      </x:c>
      <x:c r="Y407" s="17" t="n">
        <x:f>IF('Control Room'!$B$5="Normal",'Control Room'!$B$7,('Control Room'!$B$8+'Control Room'!$D$8)/2)+'Control Room'!$B$9*(Y406-IF('Control Room'!$B$5="Normal",'Control Room'!$B$7,('Control Room'!$B$8+'Control Room'!$D$8)/2))+SQRT(1-'Control Room'!$B$9^2)*(X407-IF('Control Room'!$B$5="Normal",'Control Room'!$B$7,('Control Room'!$B$8+'Control Room'!$D$8)/2))</x:f>
        <x:v>1022.1680455431868</x:v>
      </x:c>
      <x:c r="Z407" s="17" t="n">
        <x:f>IF(AND($A407&gt;='Control Room'!$A$13,$A407&lt;'Control Room'!$A$13+'Control Room'!$B$13,'Process'!BO2=1),1+('Control Room'!$C$13-1)*EXP(-0.5*(($A407-'Control Room'!$A$13-('Control Room'!$B$13-1)/2)/MAX(0.5,'Control Room'!$B$13/4))^2),1)*IF(AND($A407&gt;='Control Room'!$A$14,$A407&lt;'Control Room'!$A$14+'Control Room'!$B$14,'Process'!BO3=1),1+('Control Room'!$C$14-1)*EXP(-0.5*(($A407-'Control Room'!$A$14-('Control Room'!$B$14-1)/2)/MAX(0.5,'Control Room'!$B$14/4))^2),1)*IF(AND($A407&gt;='Control Room'!$A$15,$A407&lt;'Control Room'!$A$15+'Control Room'!$B$15,'Process'!BO4=1),1+('Control Room'!$C$15-1)*EXP(-0.5*(($A407-'Control Room'!$A$15-('Control Room'!$B$15-1)/2)/MAX(0.5,'Control Room'!$B$15/4))^2),1)*IF(AND($A407&gt;='Control Room'!$A$16,$A407&lt;'Control Room'!$A$16+'Control Room'!$B$16,'Process'!BO5=1),1+('Control Room'!$C$16-1)*EXP(-0.5*(($A407-'Control Room'!$A$16-('Control Room'!$B$16-1)/2)/MAX(0.5,'Control Room'!$B$16/4))^2),1)</x:f>
        <x:v>1</x:v>
      </x:c>
      <x:c r="AA407" s="9" t="n">
        <x:f>MOD(AB406*16807,2147483647)</x:f>
        <x:v>1384150998</x:v>
      </x:c>
      <x:c r="AB407" s="9" t="n">
        <x:f>MOD(AA407*16807,2147483647)</x:f>
        <x:v>1882959082</x:v>
      </x:c>
      <x:c r="AC407" s="17" t="n">
        <x:f>IF('Control Room'!$B$5="Normal",'Control Room'!$B$7+'Control Room'!$D$7*SQRT(-2*LN(MAX(0.000000000001,AA407/2147483647)))*COS(2*PI()*AB407/2147483647),'Control Room'!$B$8+('Control Room'!$D$8-'Control Room'!$B$8)*AA407/2147483647)</x:f>
        <x:v>1060.3241981451015</x:v>
      </x:c>
      <x:c r="AD407" s="17" t="n">
        <x:f>IF('Control Room'!$B$5="Normal",'Control Room'!$B$7,('Control Room'!$B$8+'Control Room'!$D$8)/2)+'Control Room'!$B$9*(AD406-IF('Control Room'!$B$5="Normal",'Control Room'!$B$7,('Control Room'!$B$8+'Control Room'!$D$8)/2))+SQRT(1-'Control Room'!$B$9^2)*(AC407-IF('Control Room'!$B$5="Normal",'Control Room'!$B$7,('Control Room'!$B$8+'Control Room'!$D$8)/2))</x:f>
        <x:v>1084.7673011686284</x:v>
      </x:c>
      <x:c r="AE407" s="17" t="n">
        <x:f>IF(AND($A407&gt;='Control Room'!$A$13,$A407&lt;'Control Room'!$A$13+'Control Room'!$B$13,'Process'!BP2=1),1+('Control Room'!$C$13-1)*EXP(-0.5*(($A407-'Control Room'!$A$13-('Control Room'!$B$13-1)/2)/MAX(0.5,'Control Room'!$B$13/4))^2),1)*IF(AND($A407&gt;='Control Room'!$A$14,$A407&lt;'Control Room'!$A$14+'Control Room'!$B$14,'Process'!BP3=1),1+('Control Room'!$C$14-1)*EXP(-0.5*(($A407-'Control Room'!$A$14-('Control Room'!$B$14-1)/2)/MAX(0.5,'Control Room'!$B$14/4))^2),1)*IF(AND($A407&gt;='Control Room'!$A$15,$A407&lt;'Control Room'!$A$15+'Control Room'!$B$15,'Process'!BP4=1),1+('Control Room'!$C$15-1)*EXP(-0.5*(($A407-'Control Room'!$A$15-('Control Room'!$B$15-1)/2)/MAX(0.5,'Control Room'!$B$15/4))^2),1)*IF(AND($A407&gt;='Control Room'!$A$16,$A407&lt;'Control Room'!$A$16+'Control Room'!$B$16,'Process'!BP5=1),1+('Control Room'!$C$16-1)*EXP(-0.5*(($A407-'Control Room'!$A$16-('Control Room'!$B$16-1)/2)/MAX(0.5,'Control Room'!$B$16/4))^2),1)</x:f>
        <x:v>1</x:v>
      </x:c>
      <x:c r="AF407" s="9" t="n">
        <x:f>MOD(AG406*16807,2147483647)</x:f>
        <x:v>1743119549</x:v>
      </x:c>
      <x:c r="AG407" s="9" t="n">
        <x:f>MOD(AF407*16807,2147483647)</x:f>
        <x:v>638347669</x:v>
      </x:c>
      <x:c r="AH407" s="17" t="n">
        <x:f>IF('Control Room'!$B$5="Normal",'Control Room'!$B$7+'Control Room'!$D$7*SQRT(-2*LN(MAX(0.000000000001,AF407/2147483647)))*COS(2*PI()*AG407/2147483647),'Control Room'!$B$8+('Control Room'!$D$8-'Control Room'!$B$8)*AF407/2147483647)</x:f>
        <x:v>982.9920111699801</x:v>
      </x:c>
      <x:c r="AI407" s="17" t="n">
        <x:f>IF('Control Room'!$B$5="Normal",'Control Room'!$B$7,('Control Room'!$B$8+'Control Room'!$D$8)/2)+'Control Room'!$B$9*(AI406-IF('Control Room'!$B$5="Normal",'Control Room'!$B$7,('Control Room'!$B$8+'Control Room'!$D$8)/2))+SQRT(1-'Control Room'!$B$9^2)*(AH407-IF('Control Room'!$B$5="Normal",'Control Room'!$B$7,('Control Room'!$B$8+'Control Room'!$D$8)/2))</x:f>
        <x:v>1093.8998945288658</x:v>
      </x:c>
      <x:c r="AJ407" s="17" t="n">
        <x:f>IF(AND($A407&gt;='Control Room'!$A$13,$A407&lt;'Control Room'!$A$13+'Control Room'!$B$13,'Process'!BQ2=1),1+('Control Room'!$C$13-1)*EXP(-0.5*(($A407-'Control Room'!$A$13-('Control Room'!$B$13-1)/2)/MAX(0.5,'Control Room'!$B$13/4))^2),1)*IF(AND($A407&gt;='Control Room'!$A$14,$A407&lt;'Control Room'!$A$14+'Control Room'!$B$14,'Process'!BQ3=1),1+('Control Room'!$C$14-1)*EXP(-0.5*(($A407-'Control Room'!$A$14-('Control Room'!$B$14-1)/2)/MAX(0.5,'Control Room'!$B$14/4))^2),1)*IF(AND($A407&gt;='Control Room'!$A$15,$A407&lt;'Control Room'!$A$15+'Control Room'!$B$15,'Process'!BQ4=1),1+('Control Room'!$C$15-1)*EXP(-0.5*(($A407-'Control Room'!$A$15-('Control Room'!$B$15-1)/2)/MAX(0.5,'Control Room'!$B$15/4))^2),1)*IF(AND($A407&gt;='Control Room'!$A$16,$A407&lt;'Control Room'!$A$16+'Control Room'!$B$16,'Process'!BQ5=1),1+('Control Room'!$C$16-1)*EXP(-0.5*(($A407-'Control Room'!$A$16-('Control Room'!$B$16-1)/2)/MAX(0.5,'Control Room'!$B$16/4))^2),1)</x:f>
        <x:v>1</x:v>
      </x:c>
      <x:c r="AK407" s="9" t="n">
        <x:f>MOD(AL406*16807,2147483647)</x:f>
        <x:v>2102088100</x:v>
      </x:c>
      <x:c r="AL407" s="9" t="n">
        <x:f>MOD(AK407*16807,2147483647)</x:f>
        <x:v>1541219903</x:v>
      </x:c>
      <x:c r="AM407" s="17" t="n">
        <x:f>IF('Control Room'!$B$5="Normal",'Control Room'!$B$7+'Control Room'!$D$7*SQRT(-2*LN(MAX(0.000000000001,AK407/2147483647)))*COS(2*PI()*AL407/2147483647),'Control Room'!$B$8+('Control Room'!$D$8-'Control Room'!$B$8)*AK407/2147483647)</x:f>
        <x:v>996.2486156192734</x:v>
      </x:c>
      <x:c r="AN407" s="17" t="n">
        <x:f>IF('Control Room'!$B$5="Normal",'Control Room'!$B$7,('Control Room'!$B$8+'Control Room'!$D$8)/2)+'Control Room'!$B$9*(AN406-IF('Control Room'!$B$5="Normal",'Control Room'!$B$7,('Control Room'!$B$8+'Control Room'!$D$8)/2))+SQRT(1-'Control Room'!$B$9^2)*(AM407-IF('Control Room'!$B$5="Normal",'Control Room'!$B$7,('Control Room'!$B$8+'Control Room'!$D$8)/2))</x:f>
        <x:v>1149.550926045566</x:v>
      </x:c>
      <x:c r="AO407" s="17" t="n">
        <x:f>IF(AND($A407&gt;='Control Room'!$A$13,$A407&lt;'Control Room'!$A$13+'Control Room'!$B$13,'Process'!BR2=1),1+('Control Room'!$C$13-1)*EXP(-0.5*(($A407-'Control Room'!$A$13-('Control Room'!$B$13-1)/2)/MAX(0.5,'Control Room'!$B$13/4))^2),1)*IF(AND($A407&gt;='Control Room'!$A$14,$A407&lt;'Control Room'!$A$14+'Control Room'!$B$14,'Process'!BR3=1),1+('Control Room'!$C$14-1)*EXP(-0.5*(($A407-'Control Room'!$A$14-('Control Room'!$B$14-1)/2)/MAX(0.5,'Control Room'!$B$14/4))^2),1)*IF(AND($A407&gt;='Control Room'!$A$15,$A407&lt;'Control Room'!$A$15+'Control Room'!$B$15,'Process'!BR4=1),1+('Control Room'!$C$15-1)*EXP(-0.5*(($A407-'Control Room'!$A$15-('Control Room'!$B$15-1)/2)/MAX(0.5,'Control Room'!$B$15/4))^2),1)*IF(AND($A407&gt;='Control Room'!$A$16,$A407&lt;'Control Room'!$A$16+'Control Room'!$B$16,'Process'!BR5=1),1+('Control Room'!$C$16-1)*EXP(-0.5*(($A407-'Control Room'!$A$16-('Control Room'!$B$16-1)/2)/MAX(0.5,'Control Room'!$B$16/4))^2),1)</x:f>
        <x:v>1</x:v>
      </x:c>
      <x:c r="AP407" s="9" t="n">
        <x:f>MOD(AQ406*16807,2147483647)</x:f>
        <x:v>313573004</x:v>
      </x:c>
      <x:c r="AQ407" s="9" t="n">
        <x:f>MOD(AP407*16807,2147483647)</x:f>
        <x:v>296608490</x:v>
      </x:c>
      <x:c r="AR407" s="17" t="n">
        <x:f>IF('Control Room'!$B$5="Normal",'Control Room'!$B$7+'Control Room'!$D$7*SQRT(-2*LN(MAX(0.000000000001,AP407/2147483647)))*COS(2*PI()*AQ407/2147483647),'Control Room'!$B$8+('Control Room'!$D$8-'Control Room'!$B$8)*AP407/2147483647)</x:f>
        <x:v>1114.1355434489924</x:v>
      </x:c>
      <x:c r="AS407" s="17" t="n">
        <x:f>IF('Control Room'!$B$5="Normal",'Control Room'!$B$7,('Control Room'!$B$8+'Control Room'!$D$8)/2)+'Control Room'!$B$9*(AS406-IF('Control Room'!$B$5="Normal",'Control Room'!$B$7,('Control Room'!$B$8+'Control Room'!$D$8)/2))+SQRT(1-'Control Room'!$B$9^2)*(AR407-IF('Control Room'!$B$5="Normal",'Control Room'!$B$7,('Control Room'!$B$8+'Control Room'!$D$8)/2))</x:f>
        <x:v>1133.6547548064736</x:v>
      </x:c>
      <x:c r="AT407" s="17" t="n">
        <x:f>IF(AND($A407&gt;='Control Room'!$A$13,$A407&lt;'Control Room'!$A$13+'Control Room'!$B$13,'Process'!BS2=1),1+('Control Room'!$C$13-1)*EXP(-0.5*(($A407-'Control Room'!$A$13-('Control Room'!$B$13-1)/2)/MAX(0.5,'Control Room'!$B$13/4))^2),1)*IF(AND($A407&gt;='Control Room'!$A$14,$A407&lt;'Control Room'!$A$14+'Control Room'!$B$14,'Process'!BS3=1),1+('Control Room'!$C$14-1)*EXP(-0.5*(($A407-'Control Room'!$A$14-('Control Room'!$B$14-1)/2)/MAX(0.5,'Control Room'!$B$14/4))^2),1)*IF(AND($A407&gt;='Control Room'!$A$15,$A407&lt;'Control Room'!$A$15+'Control Room'!$B$15,'Process'!BS4=1),1+('Control Room'!$C$15-1)*EXP(-0.5*(($A407-'Control Room'!$A$15-('Control Room'!$B$15-1)/2)/MAX(0.5,'Control Room'!$B$15/4))^2),1)*IF(AND($A407&gt;='Control Room'!$A$16,$A407&lt;'Control Room'!$A$16+'Control Room'!$B$16,'Process'!BS5=1),1+('Control Room'!$C$16-1)*EXP(-0.5*(($A407-'Control Room'!$A$16-('Control Room'!$B$16-1)/2)/MAX(0.5,'Control Room'!$B$16/4))^2),1)</x:f>
        <x:v>1</x:v>
      </x:c>
      <x:c r="AU407" s="9" t="n">
        <x:f>MOD(AV406*16807,2147483647)</x:f>
        <x:v>672541555</x:v>
      </x:c>
      <x:c r="AV407" s="9" t="n">
        <x:f>MOD(AU407*16807,2147483647)</x:f>
        <x:v>1199480724</x:v>
      </x:c>
      <x:c r="AW407" s="17" t="n">
        <x:f>IF('Control Room'!$B$5="Normal",'Control Room'!$B$7+'Control Room'!$D$7*SQRT(-2*LN(MAX(0.000000000001,AU407/2147483647)))*COS(2*PI()*AV407/2147483647),'Control Room'!$B$8+('Control Room'!$D$8-'Control Room'!$B$8)*AU407/2147483647)</x:f>
        <x:v>872.034206469015</x:v>
      </x:c>
      <x:c r="AX407" s="17" t="n">
        <x:f>IF('Control Room'!$B$5="Normal",'Control Room'!$B$7,('Control Room'!$B$8+'Control Room'!$D$8)/2)+'Control Room'!$B$9*(AX406-IF('Control Room'!$B$5="Normal",'Control Room'!$B$7,('Control Room'!$B$8+'Control Room'!$D$8)/2))+SQRT(1-'Control Room'!$B$9^2)*(AW407-IF('Control Room'!$B$5="Normal",'Control Room'!$B$7,('Control Room'!$B$8+'Control Room'!$D$8)/2))</x:f>
        <x:v>874.4339181329659</x:v>
      </x:c>
      <x:c r="AY407" s="17" t="n">
        <x:f>IF(AND($A407&gt;='Control Room'!$A$13,$A407&lt;'Control Room'!$A$13+'Control Room'!$B$13,'Process'!BT2=1),1+('Control Room'!$C$13-1)*EXP(-0.5*(($A407-'Control Room'!$A$13-('Control Room'!$B$13-1)/2)/MAX(0.5,'Control Room'!$B$13/4))^2),1)*IF(AND($A407&gt;='Control Room'!$A$14,$A407&lt;'Control Room'!$A$14+'Control Room'!$B$14,'Process'!BT3=1),1+('Control Room'!$C$14-1)*EXP(-0.5*(($A407-'Control Room'!$A$14-('Control Room'!$B$14-1)/2)/MAX(0.5,'Control Room'!$B$14/4))^2),1)*IF(AND($A407&gt;='Control Room'!$A$15,$A407&lt;'Control Room'!$A$15+'Control Room'!$B$15,'Process'!BT4=1),1+('Control Room'!$C$15-1)*EXP(-0.5*(($A407-'Control Room'!$A$15-('Control Room'!$B$15-1)/2)/MAX(0.5,'Control Room'!$B$15/4))^2),1)*IF(AND($A407&gt;='Control Room'!$A$16,$A407&lt;'Control Room'!$A$16+'Control Room'!$B$16,'Process'!BT5=1),1+('Control Room'!$C$16-1)*EXP(-0.5*(($A407-'Control Room'!$A$16-('Control Room'!$B$16-1)/2)/MAX(0.5,'Control Room'!$B$16/4))^2),1)</x:f>
        <x:v>1</x:v>
      </x:c>
      <x:c r="AZ407" s="9" t="n">
        <x:f>MOD(BA406*16807,2147483647)</x:f>
        <x:v>1031510106</x:v>
      </x:c>
      <x:c r="BA407" s="9" t="n">
        <x:f>MOD(AZ407*16807,2147483647)</x:f>
        <x:v>2102352958</x:v>
      </x:c>
      <x:c r="BB407" s="17" t="n">
        <x:f>IF('Control Room'!$B$5="Normal",'Control Room'!$B$7+'Control Room'!$D$7*SQRT(-2*LN(MAX(0.000000000001,AZ407/2147483647)))*COS(2*PI()*BA407/2147483647),'Control Room'!$B$8+('Control Room'!$D$8-'Control Room'!$B$8)*AZ407/2147483647)</x:f>
        <x:v>1108.0421255617734</x:v>
      </x:c>
      <x:c r="BC407" s="17" t="n">
        <x:f>IF('Control Room'!$B$5="Normal",'Control Room'!$B$7,('Control Room'!$B$8+'Control Room'!$D$8)/2)+'Control Room'!$B$9*(BC406-IF('Control Room'!$B$5="Normal",'Control Room'!$B$7,('Control Room'!$B$8+'Control Room'!$D$8)/2))+SQRT(1-'Control Room'!$B$9^2)*(BB407-IF('Control Room'!$B$5="Normal",'Control Room'!$B$7,('Control Room'!$B$8+'Control Room'!$D$8)/2))</x:f>
        <x:v>1138.33987183002</x:v>
      </x:c>
      <x:c r="BD407" s="17" t="n">
        <x:f>IF(AND($A407&gt;='Control Room'!$A$13,$A407&lt;'Control Room'!$A$13+'Control Room'!$B$13,'Process'!BU2=1),1+('Control Room'!$C$13-1)*EXP(-0.5*(($A407-'Control Room'!$A$13-('Control Room'!$B$13-1)/2)/MAX(0.5,'Control Room'!$B$13/4))^2),1)*IF(AND($A407&gt;='Control Room'!$A$14,$A407&lt;'Control Room'!$A$14+'Control Room'!$B$14,'Process'!BU3=1),1+('Control Room'!$C$14-1)*EXP(-0.5*(($A407-'Control Room'!$A$14-('Control Room'!$B$14-1)/2)/MAX(0.5,'Control Room'!$B$14/4))^2),1)*IF(AND($A407&gt;='Control Room'!$A$15,$A407&lt;'Control Room'!$A$15+'Control Room'!$B$15,'Process'!BU4=1),1+('Control Room'!$C$15-1)*EXP(-0.5*(($A407-'Control Room'!$A$15-('Control Room'!$B$15-1)/2)/MAX(0.5,'Control Room'!$B$15/4))^2),1)*IF(AND($A407&gt;='Control Room'!$A$16,$A407&lt;'Control Room'!$A$16+'Control Room'!$B$16,'Process'!BU5=1),1+('Control Room'!$C$16-1)*EXP(-0.5*(($A407-'Control Room'!$A$16-('Control Room'!$B$16-1)/2)/MAX(0.5,'Control Room'!$B$16/4))^2),1)</x:f>
        <x:v>1</x:v>
      </x:c>
      <x:c r="BE407" s="9" t="n">
        <x:f>MOD(BF406*16807,2147483647)</x:f>
        <x:v>1390478657</x:v>
      </x:c>
      <x:c r="BF407" s="9" t="n">
        <x:f>MOD(BE407*16807,2147483647)</x:f>
        <x:v>857741545</x:v>
      </x:c>
      <x:c r="BG407" s="17" t="n">
        <x:f>IF('Control Room'!$B$5="Normal",'Control Room'!$B$7+'Control Room'!$D$7*SQRT(-2*LN(MAX(0.000000000001,BE407/2147483647)))*COS(2*PI()*BF407/2147483647),'Control Room'!$B$8+('Control Room'!$D$8-'Control Room'!$B$8)*BE407/2147483647)</x:f>
        <x:v>932.2944723942128</x:v>
      </x:c>
      <x:c r="BH407" s="17" t="n">
        <x:f>IF('Control Room'!$B$5="Normal",'Control Room'!$B$7,('Control Room'!$B$8+'Control Room'!$D$8)/2)+'Control Room'!$B$9*(BH406-IF('Control Room'!$B$5="Normal",'Control Room'!$B$7,('Control Room'!$B$8+'Control Room'!$D$8)/2))+SQRT(1-'Control Room'!$B$9^2)*(BG407-IF('Control Room'!$B$5="Normal",'Control Room'!$B$7,('Control Room'!$B$8+'Control Room'!$D$8)/2))</x:f>
        <x:v>1116.9025481147737</x:v>
      </x:c>
      <x:c r="BI407" s="17" t="n">
        <x:f>IF(AND($A407&gt;='Control Room'!$A$13,$A407&lt;'Control Room'!$A$13+'Control Room'!$B$13,'Process'!BV2=1),1+('Control Room'!$C$13-1)*EXP(-0.5*(($A407-'Control Room'!$A$13-('Control Room'!$B$13-1)/2)/MAX(0.5,'Control Room'!$B$13/4))^2),1)*IF(AND($A407&gt;='Control Room'!$A$14,$A407&lt;'Control Room'!$A$14+'Control Room'!$B$14,'Process'!BV3=1),1+('Control Room'!$C$14-1)*EXP(-0.5*(($A407-'Control Room'!$A$14-('Control Room'!$B$14-1)/2)/MAX(0.5,'Control Room'!$B$14/4))^2),1)*IF(AND($A407&gt;='Control Room'!$A$15,$A407&lt;'Control Room'!$A$15+'Control Room'!$B$15,'Process'!BV4=1),1+('Control Room'!$C$15-1)*EXP(-0.5*(($A407-'Control Room'!$A$15-('Control Room'!$B$15-1)/2)/MAX(0.5,'Control Room'!$B$15/4))^2),1)*IF(AND($A407&gt;='Control Room'!$A$16,$A407&lt;'Control Room'!$A$16+'Control Room'!$B$16,'Process'!BV5=1),1+('Control Room'!$C$16-1)*EXP(-0.5*(($A407-'Control Room'!$A$16-('Control Room'!$B$16-1)/2)/MAX(0.5,'Control Room'!$B$16/4))^2),1)</x:f>
        <x:v>1</x:v>
      </x:c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Z407" t="str">
        <x:f>IF('Data'!A407="","",TEXT('Data'!A407,"mm-dd"))</x:f>
      </x:c>
    </x:row>
    <x:row r="408" ht="21" customHeight="1">
      <x:c r="A408" s="15" t="n">
        <x:f>'Control Room'!$B$1+406</x:f>
        <x:v>73397</x:v>
      </x:c>
      <x:c r="B408" s="9" t="n">
        <x:f>MOD(C407*16807,2147483647)</x:f>
        <x:v>1450816949</x:v>
      </x:c>
      <x:c r="C408" s="9" t="n">
        <x:f>MOD(B408*16807,2147483647)</x:f>
        <x:v>1351133805</x:v>
      </x:c>
      <x:c r="D408" s="17" t="n">
        <x:f>IF('Control Room'!$B$5="Normal",'Control Room'!$B$7+'Control Room'!$D$7*SQRT(-2*LN(MAX(0.000000000001,B408/2147483647)))*COS(2*PI()*C408/2147483647),'Control Room'!$B$8+('Control Room'!$D$8-'Control Room'!$B$8)*B408/2147483647)</x:f>
        <x:v>945.1350171503377</x:v>
      </x:c>
      <x:c r="E408" s="17" t="n">
        <x:f>IF('Control Room'!$B$5="Normal",'Control Room'!$B$7,('Control Room'!$B$8+'Control Room'!$D$8)/2)+'Control Room'!$B$9*(E407-IF('Control Room'!$B$5="Normal",'Control Room'!$B$7,('Control Room'!$B$8+'Control Room'!$D$8)/2))+SQRT(1-'Control Room'!$B$9^2)*(D408-IF('Control Room'!$B$5="Normal",'Control Room'!$B$7,('Control Room'!$B$8+'Control Room'!$D$8)/2))</x:f>
        <x:v>985.6354388610428</x:v>
      </x:c>
      <x:c r="F408" s="17" t="n">
        <x:f>IF(AND($A408&gt;='Control Room'!$A$13,$A408&lt;'Control Room'!$A$13+'Control Room'!$B$13,'Process'!BK2=1),1+('Control Room'!$C$13-1)*EXP(-0.5*(($A408-'Control Room'!$A$13-('Control Room'!$B$13-1)/2)/MAX(0.5,'Control Room'!$B$13/4))^2),1)*IF(AND($A408&gt;='Control Room'!$A$14,$A408&lt;'Control Room'!$A$14+'Control Room'!$B$14,'Process'!BK3=1),1+('Control Room'!$C$14-1)*EXP(-0.5*(($A408-'Control Room'!$A$14-('Control Room'!$B$14-1)/2)/MAX(0.5,'Control Room'!$B$14/4))^2),1)*IF(AND($A408&gt;='Control Room'!$A$15,$A408&lt;'Control Room'!$A$15+'Control Room'!$B$15,'Process'!BK4=1),1+('Control Room'!$C$15-1)*EXP(-0.5*(($A408-'Control Room'!$A$15-('Control Room'!$B$15-1)/2)/MAX(0.5,'Control Room'!$B$15/4))^2),1)*IF(AND($A408&gt;='Control Room'!$A$16,$A408&lt;'Control Room'!$A$16+'Control Room'!$B$16,'Process'!BK5=1),1+('Control Room'!$C$16-1)*EXP(-0.5*(($A408-'Control Room'!$A$16-('Control Room'!$B$16-1)/2)/MAX(0.5,'Control Room'!$B$16/4))^2),1)</x:f>
        <x:v>1</x:v>
      </x:c>
      <x:c r="G408" s="9" t="n">
        <x:f>MOD(H407*16807,2147483647)</x:f>
        <x:v>1905004085</x:v>
      </x:c>
      <x:c r="H408" s="9" t="n">
        <x:f>MOD(G408*16807,2147483647)</x:f>
        <x:v>569963472</x:v>
      </x:c>
      <x:c r="I408" s="17" t="n">
        <x:f>IF('Control Room'!$B$5="Normal",'Control Room'!$B$7+'Control Room'!$D$7*SQRT(-2*LN(MAX(0.000000000001,G408/2147483647)))*COS(2*PI()*H408/2147483647),'Control Room'!$B$8+('Control Room'!$D$8-'Control Room'!$B$8)*G408/2147483647)</x:f>
        <x:v>995.7409733587845</x:v>
      </x:c>
      <x:c r="J408" s="17" t="n">
        <x:f>IF('Control Room'!$B$5="Normal",'Control Room'!$B$7,('Control Room'!$B$8+'Control Room'!$D$8)/2)+'Control Room'!$B$9*(J407-IF('Control Room'!$B$5="Normal",'Control Room'!$B$7,('Control Room'!$B$8+'Control Room'!$D$8)/2))+SQRT(1-'Control Room'!$B$9^2)*(I408-IF('Control Room'!$B$5="Normal",'Control Room'!$B$7,('Control Room'!$B$8+'Control Room'!$D$8)/2))</x:f>
        <x:v>1035.5121205821622</x:v>
      </x:c>
      <x:c r="K408" s="17" t="n">
        <x:f>IF(AND($A408&gt;='Control Room'!$A$13,$A408&lt;'Control Room'!$A$13+'Control Room'!$B$13,'Process'!BL2=1),1+('Control Room'!$C$13-1)*EXP(-0.5*(($A408-'Control Room'!$A$13-('Control Room'!$B$13-1)/2)/MAX(0.5,'Control Room'!$B$13/4))^2),1)*IF(AND($A408&gt;='Control Room'!$A$14,$A408&lt;'Control Room'!$A$14+'Control Room'!$B$14,'Process'!BL3=1),1+('Control Room'!$C$14-1)*EXP(-0.5*(($A408-'Control Room'!$A$14-('Control Room'!$B$14-1)/2)/MAX(0.5,'Control Room'!$B$14/4))^2),1)*IF(AND($A408&gt;='Control Room'!$A$15,$A408&lt;'Control Room'!$A$15+'Control Room'!$B$15,'Process'!BL4=1),1+('Control Room'!$C$15-1)*EXP(-0.5*(($A408-'Control Room'!$A$15-('Control Room'!$B$15-1)/2)/MAX(0.5,'Control Room'!$B$15/4))^2),1)*IF(AND($A408&gt;='Control Room'!$A$16,$A408&lt;'Control Room'!$A$16+'Control Room'!$B$16,'Process'!BL5=1),1+('Control Room'!$C$16-1)*EXP(-0.5*(($A408-'Control Room'!$A$16-('Control Room'!$B$16-1)/2)/MAX(0.5,'Control Room'!$B$16/4))^2),1)</x:f>
        <x:v>1</x:v>
      </x:c>
      <x:c r="L408" s="9" t="n">
        <x:f>MOD(M407*16807,2147483647)</x:f>
        <x:v>211707574</x:v>
      </x:c>
      <x:c r="M408" s="9" t="n">
        <x:f>MOD(L408*16807,2147483647)</x:f>
        <x:v>1936276786</x:v>
      </x:c>
      <x:c r="N408" s="17" t="n">
        <x:f>IF('Control Room'!$B$5="Normal",'Control Room'!$B$7+'Control Room'!$D$7*SQRT(-2*LN(MAX(0.000000000001,L408/2147483647)))*COS(2*PI()*M408/2147483647),'Control Room'!$B$8+('Control Room'!$D$8-'Control Room'!$B$8)*L408/2147483647)</x:f>
        <x:v>1157.9057016591642</x:v>
      </x:c>
      <x:c r="O408" s="17" t="n">
        <x:f>IF('Control Room'!$B$5="Normal",'Control Room'!$B$7,('Control Room'!$B$8+'Control Room'!$D$8)/2)+'Control Room'!$B$9*(O407-IF('Control Room'!$B$5="Normal",'Control Room'!$B$7,('Control Room'!$B$8+'Control Room'!$D$8)/2))+SQRT(1-'Control Room'!$B$9^2)*(N408-IF('Control Room'!$B$5="Normal",'Control Room'!$B$7,('Control Room'!$B$8+'Control Room'!$D$8)/2))</x:f>
        <x:v>1173.124901559607</x:v>
      </x:c>
      <x:c r="P408" s="17" t="n">
        <x:f>IF(AND($A408&gt;='Control Room'!$A$13,$A408&lt;'Control Room'!$A$13+'Control Room'!$B$13,'Process'!BM2=1),1+('Control Room'!$C$13-1)*EXP(-0.5*(($A408-'Control Room'!$A$13-('Control Room'!$B$13-1)/2)/MAX(0.5,'Control Room'!$B$13/4))^2),1)*IF(AND($A408&gt;='Control Room'!$A$14,$A408&lt;'Control Room'!$A$14+'Control Room'!$B$14,'Process'!BM3=1),1+('Control Room'!$C$14-1)*EXP(-0.5*(($A408-'Control Room'!$A$14-('Control Room'!$B$14-1)/2)/MAX(0.5,'Control Room'!$B$14/4))^2),1)*IF(AND($A408&gt;='Control Room'!$A$15,$A408&lt;'Control Room'!$A$15+'Control Room'!$B$15,'Process'!BM4=1),1+('Control Room'!$C$15-1)*EXP(-0.5*(($A408-'Control Room'!$A$15-('Control Room'!$B$15-1)/2)/MAX(0.5,'Control Room'!$B$15/4))^2),1)*IF(AND($A408&gt;='Control Room'!$A$16,$A408&lt;'Control Room'!$A$16+'Control Room'!$B$16,'Process'!BM5=1),1+('Control Room'!$C$16-1)*EXP(-0.5*(($A408-'Control Room'!$A$16-('Control Room'!$B$16-1)/2)/MAX(0.5,'Control Room'!$B$16/4))^2),1)</x:f>
        <x:v>1</x:v>
      </x:c>
      <x:c r="Q408" s="9" t="n">
        <x:f>MOD(R407*16807,2147483647)</x:f>
        <x:v>665894710</x:v>
      </x:c>
      <x:c r="R408" s="9" t="n">
        <x:f>MOD(Q408*16807,2147483647)</x:f>
        <x:v>1155106453</x:v>
      </x:c>
      <x:c r="S408" s="17" t="n">
        <x:f>IF('Control Room'!$B$5="Normal",'Control Room'!$B$7+'Control Room'!$D$7*SQRT(-2*LN(MAX(0.000000000001,Q408/2147483647)))*COS(2*PI()*R408/2147483647),'Control Room'!$B$8+('Control Room'!$D$8-'Control Room'!$B$8)*Q408/2147483647)</x:f>
        <x:v>866.1566076664363</x:v>
      </x:c>
      <x:c r="T408" s="17" t="n">
        <x:f>IF('Control Room'!$B$5="Normal",'Control Room'!$B$7,('Control Room'!$B$8+'Control Room'!$D$8)/2)+'Control Room'!$B$9*(T407-IF('Control Room'!$B$5="Normal",'Control Room'!$B$7,('Control Room'!$B$8+'Control Room'!$D$8)/2))+SQRT(1-'Control Room'!$B$9^2)*(S408-IF('Control Room'!$B$5="Normal",'Control Room'!$B$7,('Control Room'!$B$8+'Control Room'!$D$8)/2))</x:f>
        <x:v>956.0640878507768</x:v>
      </x:c>
      <x:c r="U408" s="17" t="n">
        <x:f>IF(AND($A408&gt;='Control Room'!$A$13,$A408&lt;'Control Room'!$A$13+'Control Room'!$B$13,'Process'!BN2=1),1+('Control Room'!$C$13-1)*EXP(-0.5*(($A408-'Control Room'!$A$13-('Control Room'!$B$13-1)/2)/MAX(0.5,'Control Room'!$B$13/4))^2),1)*IF(AND($A408&gt;='Control Room'!$A$14,$A408&lt;'Control Room'!$A$14+'Control Room'!$B$14,'Process'!BN3=1),1+('Control Room'!$C$14-1)*EXP(-0.5*(($A408-'Control Room'!$A$14-('Control Room'!$B$14-1)/2)/MAX(0.5,'Control Room'!$B$14/4))^2),1)*IF(AND($A408&gt;='Control Room'!$A$15,$A408&lt;'Control Room'!$A$15+'Control Room'!$B$15,'Process'!BN4=1),1+('Control Room'!$C$15-1)*EXP(-0.5*(($A408-'Control Room'!$A$15-('Control Room'!$B$15-1)/2)/MAX(0.5,'Control Room'!$B$15/4))^2),1)*IF(AND($A408&gt;='Control Room'!$A$16,$A408&lt;'Control Room'!$A$16+'Control Room'!$B$16,'Process'!BN5=1),1+('Control Room'!$C$16-1)*EXP(-0.5*(($A408-'Control Room'!$A$16-('Control Room'!$B$16-1)/2)/MAX(0.5,'Control Room'!$B$16/4))^2),1)</x:f>
        <x:v>1</x:v>
      </x:c>
      <x:c r="V408" s="9" t="n">
        <x:f>MOD(W407*16807,2147483647)</x:f>
        <x:v>1120081846</x:v>
      </x:c>
      <x:c r="W408" s="9" t="n">
        <x:f>MOD(V408*16807,2147483647)</x:f>
        <x:v>373936120</x:v>
      </x:c>
      <x:c r="X408" s="17" t="n">
        <x:f>IF('Control Room'!$B$5="Normal",'Control Room'!$B$7+'Control Room'!$D$7*SQRT(-2*LN(MAX(0.000000000001,V408/2147483647)))*COS(2*PI()*W408/2147483647),'Control Room'!$B$8+('Control Room'!$D$8-'Control Room'!$B$8)*V408/2147483647)</x:f>
        <x:v>1047.1194877687637</x:v>
      </x:c>
      <x:c r="Y408" s="17" t="n">
        <x:f>IF('Control Room'!$B$5="Normal",'Control Room'!$B$7,('Control Room'!$B$8+'Control Room'!$D$8)/2)+'Control Room'!$B$9*(Y407-IF('Control Room'!$B$5="Normal",'Control Room'!$B$7,('Control Room'!$B$8+'Control Room'!$D$8)/2))+SQRT(1-'Control Room'!$B$9^2)*(X408-IF('Control Room'!$B$5="Normal",'Control Room'!$B$7,('Control Room'!$B$8+'Control Room'!$D$8)/2))</x:f>
        <x:v>1046.7774856742028</x:v>
      </x:c>
      <x:c r="Z408" s="17" t="n">
        <x:f>IF(AND($A408&gt;='Control Room'!$A$13,$A408&lt;'Control Room'!$A$13+'Control Room'!$B$13,'Process'!BO2=1),1+('Control Room'!$C$13-1)*EXP(-0.5*(($A408-'Control Room'!$A$13-('Control Room'!$B$13-1)/2)/MAX(0.5,'Control Room'!$B$13/4))^2),1)*IF(AND($A408&gt;='Control Room'!$A$14,$A408&lt;'Control Room'!$A$14+'Control Room'!$B$14,'Process'!BO3=1),1+('Control Room'!$C$14-1)*EXP(-0.5*(($A408-'Control Room'!$A$14-('Control Room'!$B$14-1)/2)/MAX(0.5,'Control Room'!$B$14/4))^2),1)*IF(AND($A408&gt;='Control Room'!$A$15,$A408&lt;'Control Room'!$A$15+'Control Room'!$B$15,'Process'!BO4=1),1+('Control Room'!$C$15-1)*EXP(-0.5*(($A408-'Control Room'!$A$15-('Control Room'!$B$15-1)/2)/MAX(0.5,'Control Room'!$B$15/4))^2),1)*IF(AND($A408&gt;='Control Room'!$A$16,$A408&lt;'Control Room'!$A$16+'Control Room'!$B$16,'Process'!BO5=1),1+('Control Room'!$C$16-1)*EXP(-0.5*(($A408-'Control Room'!$A$16-('Control Room'!$B$16-1)/2)/MAX(0.5,'Control Room'!$B$16/4))^2),1)</x:f>
        <x:v>1</x:v>
      </x:c>
      <x:c r="AA408" s="9" t="n">
        <x:f>MOD(AB407*16807,2147483647)</x:f>
        <x:v>1574268982</x:v>
      </x:c>
      <x:c r="AB408" s="9" t="n">
        <x:f>MOD(AA408*16807,2147483647)</x:f>
        <x:v>1740249434</x:v>
      </x:c>
      <x:c r="AC408" s="17" t="n">
        <x:f>IF('Control Room'!$B$5="Normal",'Control Room'!$B$7+'Control Room'!$D$7*SQRT(-2*LN(MAX(0.000000000001,AA408/2147483647)))*COS(2*PI()*AB408/2147483647),'Control Room'!$B$8+('Control Room'!$D$8-'Control Room'!$B$8)*AA408/2147483647)</x:f>
        <x:v>1026.2607165739364</x:v>
      </x:c>
      <x:c r="AD408" s="17" t="n">
        <x:f>IF('Control Room'!$B$5="Normal",'Control Room'!$B$7,('Control Room'!$B$8+'Control Room'!$D$8)/2)+'Control Room'!$B$9*(AD407-IF('Control Room'!$B$5="Normal",'Control Room'!$B$7,('Control Room'!$B$8+'Control Room'!$D$8)/2))+SQRT(1-'Control Room'!$B$9^2)*(AC408-IF('Control Room'!$B$5="Normal",'Control Room'!$B$7,('Control Room'!$B$8+'Control Room'!$D$8)/2))</x:f>
        <x:v>1082.551913363479</x:v>
      </x:c>
      <x:c r="AE408" s="17" t="n">
        <x:f>IF(AND($A408&gt;='Control Room'!$A$13,$A408&lt;'Control Room'!$A$13+'Control Room'!$B$13,'Process'!BP2=1),1+('Control Room'!$C$13-1)*EXP(-0.5*(($A408-'Control Room'!$A$13-('Control Room'!$B$13-1)/2)/MAX(0.5,'Control Room'!$B$13/4))^2),1)*IF(AND($A408&gt;='Control Room'!$A$14,$A408&lt;'Control Room'!$A$14+'Control Room'!$B$14,'Process'!BP3=1),1+('Control Room'!$C$14-1)*EXP(-0.5*(($A408-'Control Room'!$A$14-('Control Room'!$B$14-1)/2)/MAX(0.5,'Control Room'!$B$14/4))^2),1)*IF(AND($A408&gt;='Control Room'!$A$15,$A408&lt;'Control Room'!$A$15+'Control Room'!$B$15,'Process'!BP4=1),1+('Control Room'!$C$15-1)*EXP(-0.5*(($A408-'Control Room'!$A$15-('Control Room'!$B$15-1)/2)/MAX(0.5,'Control Room'!$B$15/4))^2),1)*IF(AND($A408&gt;='Control Room'!$A$16,$A408&lt;'Control Room'!$A$16+'Control Room'!$B$16,'Process'!BP5=1),1+('Control Room'!$C$16-1)*EXP(-0.5*(($A408-'Control Room'!$A$16-('Control Room'!$B$16-1)/2)/MAX(0.5,'Control Room'!$B$16/4))^2),1)</x:f>
        <x:v>1</x:v>
      </x:c>
      <x:c r="AF408" s="9" t="n">
        <x:f>MOD(AG407*16807,2147483647)</x:f>
        <x:v>2028456118</x:v>
      </x:c>
      <x:c r="AG408" s="9" t="n">
        <x:f>MOD(AF408*16807,2147483647)</x:f>
        <x:v>959079101</x:v>
      </x:c>
      <x:c r="AH408" s="17" t="n">
        <x:f>IF('Control Room'!$B$5="Normal",'Control Room'!$B$7+'Control Room'!$D$7*SQRT(-2*LN(MAX(0.000000000001,AF408/2147483647)))*COS(2*PI()*AG408/2147483647),'Control Room'!$B$8+('Control Room'!$D$8-'Control Room'!$B$8)*AF408/2147483647)</x:f>
        <x:v>971.3010925340274</x:v>
      </x:c>
      <x:c r="AI408" s="17" t="n">
        <x:f>IF('Control Room'!$B$5="Normal",'Control Room'!$B$7,('Control Room'!$B$8+'Control Room'!$D$8)/2)+'Control Room'!$B$9*(AI407-IF('Control Room'!$B$5="Normal",'Control Room'!$B$7,('Control Room'!$B$8+'Control Room'!$D$8)/2))+SQRT(1-'Control Room'!$B$9^2)*(AH408-IF('Control Room'!$B$5="Normal",'Control Room'!$B$7,('Control Room'!$B$8+'Control Room'!$D$8)/2))</x:f>
        <x:v>1055.2827293693858</x:v>
      </x:c>
      <x:c r="AJ408" s="17" t="n">
        <x:f>IF(AND($A408&gt;='Control Room'!$A$13,$A408&lt;'Control Room'!$A$13+'Control Room'!$B$13,'Process'!BQ2=1),1+('Control Room'!$C$13-1)*EXP(-0.5*(($A408-'Control Room'!$A$13-('Control Room'!$B$13-1)/2)/MAX(0.5,'Control Room'!$B$13/4))^2),1)*IF(AND($A408&gt;='Control Room'!$A$14,$A408&lt;'Control Room'!$A$14+'Control Room'!$B$14,'Process'!BQ3=1),1+('Control Room'!$C$14-1)*EXP(-0.5*(($A408-'Control Room'!$A$14-('Control Room'!$B$14-1)/2)/MAX(0.5,'Control Room'!$B$14/4))^2),1)*IF(AND($A408&gt;='Control Room'!$A$15,$A408&lt;'Control Room'!$A$15+'Control Room'!$B$15,'Process'!BQ4=1),1+('Control Room'!$C$15-1)*EXP(-0.5*(($A408-'Control Room'!$A$15-('Control Room'!$B$15-1)/2)/MAX(0.5,'Control Room'!$B$15/4))^2),1)*IF(AND($A408&gt;='Control Room'!$A$16,$A408&lt;'Control Room'!$A$16+'Control Room'!$B$16,'Process'!BQ5=1),1+('Control Room'!$C$16-1)*EXP(-0.5*(($A408-'Control Room'!$A$16-('Control Room'!$B$16-1)/2)/MAX(0.5,'Control Room'!$B$16/4))^2),1)</x:f>
        <x:v>1</x:v>
      </x:c>
      <x:c r="AK408" s="9" t="n">
        <x:f>MOD(AL407*16807,2147483647)</x:f>
        <x:v>335159607</x:v>
      </x:c>
      <x:c r="AL408" s="9" t="n">
        <x:f>MOD(AK408*16807,2147483647)</x:f>
        <x:v>177908768</x:v>
      </x:c>
      <x:c r="AM408" s="17" t="n">
        <x:f>IF('Control Room'!$B$5="Normal",'Control Room'!$B$7+'Control Room'!$D$7*SQRT(-2*LN(MAX(0.000000000001,AK408/2147483647)))*COS(2*PI()*AL408/2147483647),'Control Room'!$B$8+('Control Room'!$D$8-'Control Room'!$B$8)*AK408/2147483647)</x:f>
        <x:v>1150.4916516117307</x:v>
      </x:c>
      <x:c r="AN408" s="17" t="n">
        <x:f>IF('Control Room'!$B$5="Normal",'Control Room'!$B$7,('Control Room'!$B$8+'Control Room'!$D$8)/2)+'Control Room'!$B$9*(AN407-IF('Control Room'!$B$5="Normal",'Control Room'!$B$7,('Control Room'!$B$8+'Control Room'!$D$8)/2))+SQRT(1-'Control Room'!$B$9^2)*(AM408-IF('Control Room'!$B$5="Normal",'Control Room'!$B$7,('Control Room'!$B$8+'Control Room'!$D$8)/2))</x:f>
        <x:v>1210.824314905104</x:v>
      </x:c>
      <x:c r="AO408" s="17" t="n">
        <x:f>IF(AND($A408&gt;='Control Room'!$A$13,$A408&lt;'Control Room'!$A$13+'Control Room'!$B$13,'Process'!BR2=1),1+('Control Room'!$C$13-1)*EXP(-0.5*(($A408-'Control Room'!$A$13-('Control Room'!$B$13-1)/2)/MAX(0.5,'Control Room'!$B$13/4))^2),1)*IF(AND($A408&gt;='Control Room'!$A$14,$A408&lt;'Control Room'!$A$14+'Control Room'!$B$14,'Process'!BR3=1),1+('Control Room'!$C$14-1)*EXP(-0.5*(($A408-'Control Room'!$A$14-('Control Room'!$B$14-1)/2)/MAX(0.5,'Control Room'!$B$14/4))^2),1)*IF(AND($A408&gt;='Control Room'!$A$15,$A408&lt;'Control Room'!$A$15+'Control Room'!$B$15,'Process'!BR4=1),1+('Control Room'!$C$15-1)*EXP(-0.5*(($A408-'Control Room'!$A$15-('Control Room'!$B$15-1)/2)/MAX(0.5,'Control Room'!$B$15/4))^2),1)*IF(AND($A408&gt;='Control Room'!$A$16,$A408&lt;'Control Room'!$A$16+'Control Room'!$B$16,'Process'!BR5=1),1+('Control Room'!$C$16-1)*EXP(-0.5*(($A408-'Control Room'!$A$16-('Control Room'!$B$16-1)/2)/MAX(0.5,'Control Room'!$B$16/4))^2),1)</x:f>
        <x:v>1</x:v>
      </x:c>
      <x:c r="AP408" s="9" t="n">
        <x:f>MOD(AQ407*16807,2147483647)</x:f>
        <x:v>789346743</x:v>
      </x:c>
      <x:c r="AQ408" s="9" t="n">
        <x:f>MOD(AP408*16807,2147483647)</x:f>
        <x:v>1544222082</x:v>
      </x:c>
      <x:c r="AR408" s="17" t="n">
        <x:f>IF('Control Room'!$B$5="Normal",'Control Room'!$B$7+'Control Room'!$D$7*SQRT(-2*LN(MAX(0.000000000001,AP408/2147483647)))*COS(2*PI()*AQ408/2147483647),'Control Room'!$B$8+('Control Room'!$D$8-'Control Room'!$B$8)*AP408/2147483647)</x:f>
        <x:v>975.4210371389473</x:v>
      </x:c>
      <x:c r="AS408" s="17" t="n">
        <x:f>IF('Control Room'!$B$5="Normal",'Control Room'!$B$7,('Control Room'!$B$8+'Control Room'!$D$8)/2)+'Control Room'!$B$9*(AS407-IF('Control Room'!$B$5="Normal",'Control Room'!$B$7,('Control Room'!$B$8+'Control Room'!$D$8)/2))+SQRT(1-'Control Room'!$B$9^2)*(AR408-IF('Control Room'!$B$5="Normal",'Control Room'!$B$7,('Control Room'!$B$8+'Control Room'!$D$8)/2))</x:f>
        <x:v>1088.869697318026</x:v>
      </x:c>
      <x:c r="AT408" s="17" t="n">
        <x:f>IF(AND($A408&gt;='Control Room'!$A$13,$A408&lt;'Control Room'!$A$13+'Control Room'!$B$13,'Process'!BS2=1),1+('Control Room'!$C$13-1)*EXP(-0.5*(($A408-'Control Room'!$A$13-('Control Room'!$B$13-1)/2)/MAX(0.5,'Control Room'!$B$13/4))^2),1)*IF(AND($A408&gt;='Control Room'!$A$14,$A408&lt;'Control Room'!$A$14+'Control Room'!$B$14,'Process'!BS3=1),1+('Control Room'!$C$14-1)*EXP(-0.5*(($A408-'Control Room'!$A$14-('Control Room'!$B$14-1)/2)/MAX(0.5,'Control Room'!$B$14/4))^2),1)*IF(AND($A408&gt;='Control Room'!$A$15,$A408&lt;'Control Room'!$A$15+'Control Room'!$B$15,'Process'!BS4=1),1+('Control Room'!$C$15-1)*EXP(-0.5*(($A408-'Control Room'!$A$15-('Control Room'!$B$15-1)/2)/MAX(0.5,'Control Room'!$B$15/4))^2),1)*IF(AND($A408&gt;='Control Room'!$A$16,$A408&lt;'Control Room'!$A$16+'Control Room'!$B$16,'Process'!BS5=1),1+('Control Room'!$C$16-1)*EXP(-0.5*(($A408-'Control Room'!$A$16-('Control Room'!$B$16-1)/2)/MAX(0.5,'Control Room'!$B$16/4))^2),1)</x:f>
        <x:v>1</x:v>
      </x:c>
      <x:c r="AU408" s="9" t="n">
        <x:f>MOD(AV407*16807,2147483647)</x:f>
        <x:v>1243533879</x:v>
      </x:c>
      <x:c r="AV408" s="9" t="n">
        <x:f>MOD(AU408*16807,2147483647)</x:f>
        <x:v>763051749</x:v>
      </x:c>
      <x:c r="AW408" s="17" t="n">
        <x:f>IF('Control Room'!$B$5="Normal",'Control Room'!$B$7+'Control Room'!$D$7*SQRT(-2*LN(MAX(0.000000000001,AU408/2147483647)))*COS(2*PI()*AV408/2147483647),'Control Room'!$B$8+('Control Room'!$D$8-'Control Room'!$B$8)*AU408/2147483647)</x:f>
        <x:v>942.1877792922814</x:v>
      </x:c>
      <x:c r="AX408" s="17" t="n">
        <x:f>IF('Control Room'!$B$5="Normal",'Control Room'!$B$7,('Control Room'!$B$8+'Control Room'!$D$8)/2)+'Control Room'!$B$9*(AX407-IF('Control Room'!$B$5="Normal",'Control Room'!$B$7,('Control Room'!$B$8+'Control Room'!$D$8)/2))+SQRT(1-'Control Room'!$B$9^2)*(AW408-IF('Control Room'!$B$5="Normal",'Control Room'!$B$7,('Control Room'!$B$8+'Control Room'!$D$8)/2))</x:f>
        <x:v>865.8807527725394</x:v>
      </x:c>
      <x:c r="AY408" s="17" t="n">
        <x:f>IF(AND($A408&gt;='Control Room'!$A$13,$A408&lt;'Control Room'!$A$13+'Control Room'!$B$13,'Process'!BT2=1),1+('Control Room'!$C$13-1)*EXP(-0.5*(($A408-'Control Room'!$A$13-('Control Room'!$B$13-1)/2)/MAX(0.5,'Control Room'!$B$13/4))^2),1)*IF(AND($A408&gt;='Control Room'!$A$14,$A408&lt;'Control Room'!$A$14+'Control Room'!$B$14,'Process'!BT3=1),1+('Control Room'!$C$14-1)*EXP(-0.5*(($A408-'Control Room'!$A$14-('Control Room'!$B$14-1)/2)/MAX(0.5,'Control Room'!$B$14/4))^2),1)*IF(AND($A408&gt;='Control Room'!$A$15,$A408&lt;'Control Room'!$A$15+'Control Room'!$B$15,'Process'!BT4=1),1+('Control Room'!$C$15-1)*EXP(-0.5*(($A408-'Control Room'!$A$15-('Control Room'!$B$15-1)/2)/MAX(0.5,'Control Room'!$B$15/4))^2),1)*IF(AND($A408&gt;='Control Room'!$A$16,$A408&lt;'Control Room'!$A$16+'Control Room'!$B$16,'Process'!BT5=1),1+('Control Room'!$C$16-1)*EXP(-0.5*(($A408-'Control Room'!$A$16-('Control Room'!$B$16-1)/2)/MAX(0.5,'Control Room'!$B$16/4))^2),1)</x:f>
        <x:v>1</x:v>
      </x:c>
      <x:c r="AZ408" s="9" t="n">
        <x:f>MOD(BA407*16807,2147483647)</x:f>
        <x:v>1697721015</x:v>
      </x:c>
      <x:c r="BA408" s="9" t="n">
        <x:f>MOD(AZ408*16807,2147483647)</x:f>
        <x:v>2129365063</x:v>
      </x:c>
      <x:c r="BB408" s="17" t="n">
        <x:f>IF('Control Room'!$B$5="Normal",'Control Room'!$B$7+'Control Room'!$D$7*SQRT(-2*LN(MAX(0.000000000001,AZ408/2147483647)))*COS(2*PI()*BA408/2147483647),'Control Room'!$B$8+('Control Room'!$D$8-'Control Room'!$B$8)*AZ408/2147483647)</x:f>
        <x:v>1061.6155228416233</x:v>
      </x:c>
      <x:c r="BC408" s="17" t="n">
        <x:f>IF('Control Room'!$B$5="Normal",'Control Room'!$B$7,('Control Room'!$B$8+'Control Room'!$D$8)/2)+'Control Room'!$B$9*(BC407-IF('Control Room'!$B$5="Normal",'Control Room'!$B$7,('Control Room'!$B$8+'Control Room'!$D$8)/2))+SQRT(1-'Control Room'!$B$9^2)*(BB408-IF('Control Room'!$B$5="Normal",'Control Room'!$B$7,('Control Room'!$B$8+'Control Room'!$D$8)/2))</x:f>
        <x:v>1146.462831959108</x:v>
      </x:c>
      <x:c r="BD408" s="17" t="n">
        <x:f>IF(AND($A408&gt;='Control Room'!$A$13,$A408&lt;'Control Room'!$A$13+'Control Room'!$B$13,'Process'!BU2=1),1+('Control Room'!$C$13-1)*EXP(-0.5*(($A408-'Control Room'!$A$13-('Control Room'!$B$13-1)/2)/MAX(0.5,'Control Room'!$B$13/4))^2),1)*IF(AND($A408&gt;='Control Room'!$A$14,$A408&lt;'Control Room'!$A$14+'Control Room'!$B$14,'Process'!BU3=1),1+('Control Room'!$C$14-1)*EXP(-0.5*(($A408-'Control Room'!$A$14-('Control Room'!$B$14-1)/2)/MAX(0.5,'Control Room'!$B$14/4))^2),1)*IF(AND($A408&gt;='Control Room'!$A$15,$A408&lt;'Control Room'!$A$15+'Control Room'!$B$15,'Process'!BU4=1),1+('Control Room'!$C$15-1)*EXP(-0.5*(($A408-'Control Room'!$A$15-('Control Room'!$B$15-1)/2)/MAX(0.5,'Control Room'!$B$15/4))^2),1)*IF(AND($A408&gt;='Control Room'!$A$16,$A408&lt;'Control Room'!$A$16+'Control Room'!$B$16,'Process'!BU5=1),1+('Control Room'!$C$16-1)*EXP(-0.5*(($A408-'Control Room'!$A$16-('Control Room'!$B$16-1)/2)/MAX(0.5,'Control Room'!$B$16/4))^2),1)</x:f>
        <x:v>1</x:v>
      </x:c>
      <x:c r="BE408" s="9" t="n">
        <x:f>MOD(BF407*16807,2147483647)</x:f>
        <x:v>4424504</x:v>
      </x:c>
      <x:c r="BF408" s="9" t="n">
        <x:f>MOD(BE408*16807,2147483647)</x:f>
        <x:v>1348194730</x:v>
      </x:c>
      <x:c r="BG408" s="17" t="n">
        <x:f>IF('Control Room'!$B$5="Normal",'Control Room'!$B$7+'Control Room'!$D$7*SQRT(-2*LN(MAX(0.000000000001,BE408/2147483647)))*COS(2*PI()*BF408/2147483647),'Control Room'!$B$8+('Control Room'!$D$8-'Control Room'!$B$8)*BE408/2147483647)</x:f>
        <x:v>780.1501440226435</x:v>
      </x:c>
      <x:c r="BH408" s="17" t="n">
        <x:f>IF('Control Room'!$B$5="Normal",'Control Room'!$B$7,('Control Room'!$B$8+'Control Room'!$D$8)/2)+'Control Room'!$B$9*(BH407-IF('Control Room'!$B$5="Normal",'Control Room'!$B$7,('Control Room'!$B$8+'Control Room'!$D$8)/2))+SQRT(1-'Control Room'!$B$9^2)*(BG408-IF('Control Room'!$B$5="Normal",'Control Room'!$B$7,('Control Room'!$B$8+'Control Room'!$D$8)/2))</x:f>
        <x:v>953.6064515280004</x:v>
      </x:c>
      <x:c r="BI408" s="17" t="n">
        <x:f>IF(AND($A408&gt;='Control Room'!$A$13,$A408&lt;'Control Room'!$A$13+'Control Room'!$B$13,'Process'!BV2=1),1+('Control Room'!$C$13-1)*EXP(-0.5*(($A408-'Control Room'!$A$13-('Control Room'!$B$13-1)/2)/MAX(0.5,'Control Room'!$B$13/4))^2),1)*IF(AND($A408&gt;='Control Room'!$A$14,$A408&lt;'Control Room'!$A$14+'Control Room'!$B$14,'Process'!BV3=1),1+('Control Room'!$C$14-1)*EXP(-0.5*(($A408-'Control Room'!$A$14-('Control Room'!$B$14-1)/2)/MAX(0.5,'Control Room'!$B$14/4))^2),1)*IF(AND($A408&gt;='Control Room'!$A$15,$A408&lt;'Control Room'!$A$15+'Control Room'!$B$15,'Process'!BV4=1),1+('Control Room'!$C$15-1)*EXP(-0.5*(($A408-'Control Room'!$A$15-('Control Room'!$B$15-1)/2)/MAX(0.5,'Control Room'!$B$15/4))^2),1)*IF(AND($A408&gt;='Control Room'!$A$16,$A408&lt;'Control Room'!$A$16+'Control Room'!$B$16,'Process'!BV5=1),1+('Control Room'!$C$16-1)*EXP(-0.5*(($A408-'Control Room'!$A$16-('Control Room'!$B$16-1)/2)/MAX(0.5,'Control Room'!$B$16/4))^2),1)</x:f>
        <x:v>1</x:v>
      </x:c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Z408" t="str">
        <x:f>IF('Data'!A408="","",TEXT('Data'!A408,"mm-dd"))</x:f>
      </x:c>
    </x:row>
    <x:row r="409" ht="21" customHeight="1">
      <x:c r="A409" s="15" t="n">
        <x:f>'Control Room'!$B$1+407</x:f>
        <x:v>73398</x:v>
      </x:c>
      <x:c r="B409" s="9" t="n">
        <x:f>MOD(C408*16807,2147483647)</x:f>
        <x:v>1013777257</x:v>
      </x:c>
      <x:c r="C409" s="9" t="n">
        <x:f>MOD(B409*16807,2147483647)</x:f>
        <x:v>419103101</x:v>
      </x:c>
      <x:c r="D409" s="17" t="n">
        <x:f>IF('Control Room'!$B$5="Normal",'Control Room'!$B$7+'Control Room'!$D$7*SQRT(-2*LN(MAX(0.000000000001,B409/2147483647)))*COS(2*PI()*C409/2147483647),'Control Room'!$B$8+('Control Room'!$D$8-'Control Room'!$B$8)*B409/2147483647)</x:f>
        <x:v>1037.248965956771</x:v>
      </x:c>
      <x:c r="E409" s="17" t="n">
        <x:f>IF('Control Room'!$B$5="Normal",'Control Room'!$B$7,('Control Room'!$B$8+'Control Room'!$D$8)/2)+'Control Room'!$B$9*(E408-IF('Control Room'!$B$5="Normal",'Control Room'!$B$7,('Control Room'!$B$8+'Control Room'!$D$8)/2))+SQRT(1-'Control Room'!$B$9^2)*(D409-IF('Control Room'!$B$5="Normal",'Control Room'!$B$7,('Control Room'!$B$8+'Control Room'!$D$8)/2))</x:f>
        <x:v>1012.1052821208156</x:v>
      </x:c>
      <x:c r="F409" s="17" t="n">
        <x:f>IF(AND($A409&gt;='Control Room'!$A$13,$A409&lt;'Control Room'!$A$13+'Control Room'!$B$13,'Process'!BK2=1),1+('Control Room'!$C$13-1)*EXP(-0.5*(($A409-'Control Room'!$A$13-('Control Room'!$B$13-1)/2)/MAX(0.5,'Control Room'!$B$13/4))^2),1)*IF(AND($A409&gt;='Control Room'!$A$14,$A409&lt;'Control Room'!$A$14+'Control Room'!$B$14,'Process'!BK3=1),1+('Control Room'!$C$14-1)*EXP(-0.5*(($A409-'Control Room'!$A$14-('Control Room'!$B$14-1)/2)/MAX(0.5,'Control Room'!$B$14/4))^2),1)*IF(AND($A409&gt;='Control Room'!$A$15,$A409&lt;'Control Room'!$A$15+'Control Room'!$B$15,'Process'!BK4=1),1+('Control Room'!$C$15-1)*EXP(-0.5*(($A409-'Control Room'!$A$15-('Control Room'!$B$15-1)/2)/MAX(0.5,'Control Room'!$B$15/4))^2),1)*IF(AND($A409&gt;='Control Room'!$A$16,$A409&lt;'Control Room'!$A$16+'Control Room'!$B$16,'Process'!BK5=1),1+('Control Room'!$C$16-1)*EXP(-0.5*(($A409-'Control Room'!$A$16-('Control Room'!$B$16-1)/2)/MAX(0.5,'Control Room'!$B$16/4))^2),1)</x:f>
        <x:v>1</x:v>
      </x:c>
      <x:c r="G409" s="9" t="n">
        <x:f>MOD(H408*16807,2147483647)</x:f>
        <x:v>1599008284</x:v>
      </x:c>
      <x:c r="H409" s="9" t="n">
        <x:f>MOD(G409*16807,2147483647)</x:f>
        <x:v>921870630</x:v>
      </x:c>
      <x:c r="I409" s="17" t="n">
        <x:f>IF('Control Room'!$B$5="Normal",'Control Room'!$B$7+'Control Room'!$D$7*SQRT(-2*LN(MAX(0.000000000001,G409/2147483647)))*COS(2*PI()*H409/2147483647),'Control Room'!$B$8+('Control Room'!$D$8-'Control Room'!$B$8)*G409/2147483647)</x:f>
        <x:v>937.5921100102631</x:v>
      </x:c>
      <x:c r="J409" s="17" t="n">
        <x:f>IF('Control Room'!$B$5="Normal",'Control Room'!$B$7,('Control Room'!$B$8+'Control Room'!$D$8)/2)+'Control Room'!$B$9*(J408-IF('Control Room'!$B$5="Normal",'Control Room'!$B$7,('Control Room'!$B$8+'Control Room'!$D$8)/2))+SQRT(1-'Control Room'!$B$9^2)*(I409-IF('Control Room'!$B$5="Normal",'Control Room'!$B$7,('Control Room'!$B$8+'Control Room'!$D$8)/2))</x:f>
        <x:v>988.6458749936281</x:v>
      </x:c>
      <x:c r="K409" s="17" t="n">
        <x:f>IF(AND($A409&gt;='Control Room'!$A$13,$A409&lt;'Control Room'!$A$13+'Control Room'!$B$13,'Process'!BL2=1),1+('Control Room'!$C$13-1)*EXP(-0.5*(($A409-'Control Room'!$A$13-('Control Room'!$B$13-1)/2)/MAX(0.5,'Control Room'!$B$13/4))^2),1)*IF(AND($A409&gt;='Control Room'!$A$14,$A409&lt;'Control Room'!$A$14+'Control Room'!$B$14,'Process'!BL3=1),1+('Control Room'!$C$14-1)*EXP(-0.5*(($A409-'Control Room'!$A$14-('Control Room'!$B$14-1)/2)/MAX(0.5,'Control Room'!$B$14/4))^2),1)*IF(AND($A409&gt;='Control Room'!$A$15,$A409&lt;'Control Room'!$A$15+'Control Room'!$B$15,'Process'!BL4=1),1+('Control Room'!$C$15-1)*EXP(-0.5*(($A409-'Control Room'!$A$15-('Control Room'!$B$15-1)/2)/MAX(0.5,'Control Room'!$B$15/4))^2),1)*IF(AND($A409&gt;='Control Room'!$A$16,$A409&lt;'Control Room'!$A$16+'Control Room'!$B$16,'Process'!BL5=1),1+('Control Room'!$C$16-1)*EXP(-0.5*(($A409-'Control Room'!$A$16-('Control Room'!$B$16-1)/2)/MAX(0.5,'Control Room'!$B$16/4))^2),1)</x:f>
        <x:v>1</x:v>
      </x:c>
      <x:c r="L409" s="9" t="n">
        <x:f>MOD(M408*16807,2147483647)</x:f>
        <x:v>36755664</x:v>
      </x:c>
      <x:c r="M409" s="9" t="n">
        <x:f>MOD(L409*16807,2147483647)</x:f>
        <x:v>1424638159</x:v>
      </x:c>
      <x:c r="N409" s="17" t="n">
        <x:f>IF('Control Room'!$B$5="Normal",'Control Room'!$B$7+'Control Room'!$D$7*SQRT(-2*LN(MAX(0.000000000001,L409/2147483647)))*COS(2*PI()*M409/2147483647),'Control Room'!$B$8+('Control Room'!$D$8-'Control Room'!$B$8)*L409/2147483647)</x:f>
        <x:v>867.11001024084</x:v>
      </x:c>
      <x:c r="O409" s="17" t="n">
        <x:f>IF('Control Room'!$B$5="Normal",'Control Room'!$B$7,('Control Room'!$B$8+'Control Room'!$D$8)/2)+'Control Room'!$B$9*(O408-IF('Control Room'!$B$5="Normal",'Control Room'!$B$7,('Control Room'!$B$8+'Control Room'!$D$8)/2))+SQRT(1-'Control Room'!$B$9^2)*(N409-IF('Control Room'!$B$5="Normal",'Control Room'!$B$7,('Control Room'!$B$8+'Control Room'!$D$8)/2))</x:f>
        <x:v>1051.877590024627</x:v>
      </x:c>
      <x:c r="P409" s="17" t="n">
        <x:f>IF(AND($A409&gt;='Control Room'!$A$13,$A409&lt;'Control Room'!$A$13+'Control Room'!$B$13,'Process'!BM2=1),1+('Control Room'!$C$13-1)*EXP(-0.5*(($A409-'Control Room'!$A$13-('Control Room'!$B$13-1)/2)/MAX(0.5,'Control Room'!$B$13/4))^2),1)*IF(AND($A409&gt;='Control Room'!$A$14,$A409&lt;'Control Room'!$A$14+'Control Room'!$B$14,'Process'!BM3=1),1+('Control Room'!$C$14-1)*EXP(-0.5*(($A409-'Control Room'!$A$14-('Control Room'!$B$14-1)/2)/MAX(0.5,'Control Room'!$B$14/4))^2),1)*IF(AND($A409&gt;='Control Room'!$A$15,$A409&lt;'Control Room'!$A$15+'Control Room'!$B$15,'Process'!BM4=1),1+('Control Room'!$C$15-1)*EXP(-0.5*(($A409-'Control Room'!$A$15-('Control Room'!$B$15-1)/2)/MAX(0.5,'Control Room'!$B$15/4))^2),1)*IF(AND($A409&gt;='Control Room'!$A$16,$A409&lt;'Control Room'!$A$16+'Control Room'!$B$16,'Process'!BM5=1),1+('Control Room'!$C$16-1)*EXP(-0.5*(($A409-'Control Room'!$A$16-('Control Room'!$B$16-1)/2)/MAX(0.5,'Control Room'!$B$16/4))^2),1)</x:f>
        <x:v>1</x:v>
      </x:c>
      <x:c r="Q409" s="9" t="n">
        <x:f>MOD(R408*16807,2147483647)</x:f>
        <x:v>621986691</x:v>
      </x:c>
      <x:c r="R409" s="9" t="n">
        <x:f>MOD(Q409*16807,2147483647)</x:f>
        <x:v>1927405688</x:v>
      </x:c>
      <x:c r="S409" s="17" t="n">
        <x:f>IF('Control Room'!$B$5="Normal",'Control Room'!$B$7+'Control Room'!$D$7*SQRT(-2*LN(MAX(0.000000000001,Q409/2147483647)))*COS(2*PI()*R409/2147483647),'Control Room'!$B$8+('Control Room'!$D$8-'Control Room'!$B$8)*Q409/2147483647)</x:f>
        <x:v>1113.3111393473625</x:v>
      </x:c>
      <x:c r="T409" s="17" t="n">
        <x:f>IF('Control Room'!$B$5="Normal",'Control Room'!$B$7,('Control Room'!$B$8+'Control Room'!$D$8)/2)+'Control Room'!$B$9*(T408-IF('Control Room'!$B$5="Normal",'Control Room'!$B$7,('Control Room'!$B$8+'Control Room'!$D$8)/2))+SQRT(1-'Control Room'!$B$9^2)*(S409-IF('Control Room'!$B$5="Normal",'Control Room'!$B$7,('Control Room'!$B$8+'Control Room'!$D$8)/2))</x:f>
        <x:v>1036.6377782223217</x:v>
      </x:c>
      <x:c r="U409" s="17" t="n">
        <x:f>IF(AND($A409&gt;='Control Room'!$A$13,$A409&lt;'Control Room'!$A$13+'Control Room'!$B$13,'Process'!BN2=1),1+('Control Room'!$C$13-1)*EXP(-0.5*(($A409-'Control Room'!$A$13-('Control Room'!$B$13-1)/2)/MAX(0.5,'Control Room'!$B$13/4))^2),1)*IF(AND($A409&gt;='Control Room'!$A$14,$A409&lt;'Control Room'!$A$14+'Control Room'!$B$14,'Process'!BN3=1),1+('Control Room'!$C$14-1)*EXP(-0.5*(($A409-'Control Room'!$A$14-('Control Room'!$B$14-1)/2)/MAX(0.5,'Control Room'!$B$14/4))^2),1)*IF(AND($A409&gt;='Control Room'!$A$15,$A409&lt;'Control Room'!$A$15+'Control Room'!$B$15,'Process'!BN4=1),1+('Control Room'!$C$15-1)*EXP(-0.5*(($A409-'Control Room'!$A$15-('Control Room'!$B$15-1)/2)/MAX(0.5,'Control Room'!$B$15/4))^2),1)*IF(AND($A409&gt;='Control Room'!$A$16,$A409&lt;'Control Room'!$A$16+'Control Room'!$B$16,'Process'!BN5=1),1+('Control Room'!$C$16-1)*EXP(-0.5*(($A409-'Control Room'!$A$16-('Control Room'!$B$16-1)/2)/MAX(0.5,'Control Room'!$B$16/4))^2),1)</x:f>
        <x:v>1</x:v>
      </x:c>
      <x:c r="V409" s="9" t="n">
        <x:f>MOD(W408*16807,2147483647)</x:f>
        <x:v>1207217718</x:v>
      </x:c>
      <x:c r="W409" s="9" t="n">
        <x:f>MOD(V409*16807,2147483647)</x:f>
        <x:v>282689570</x:v>
      </x:c>
      <x:c r="X409" s="17" t="n">
        <x:f>IF('Control Room'!$B$5="Normal",'Control Room'!$B$7+'Control Room'!$D$7*SQRT(-2*LN(MAX(0.000000000001,V409/2147483647)))*COS(2*PI()*W409/2147483647),'Control Room'!$B$8+('Control Room'!$D$8-'Control Room'!$B$8)*V409/2147483647)</x:f>
        <x:v>1065.396724147249</x:v>
      </x:c>
      <x:c r="Y409" s="17" t="n">
        <x:f>IF('Control Room'!$B$5="Normal",'Control Room'!$B$7,('Control Room'!$B$8+'Control Room'!$D$8)/2)+'Control Room'!$B$9*(Y408-IF('Control Room'!$B$5="Normal",'Control Room'!$B$7,('Control Room'!$B$8+'Control Room'!$D$8)/2))+SQRT(1-'Control Room'!$B$9^2)*(X409-IF('Control Room'!$B$5="Normal",'Control Room'!$B$7,('Control Room'!$B$8+'Control Room'!$D$8)/2))</x:f>
        <x:v>1077.410369072512</x:v>
      </x:c>
      <x:c r="Z409" s="17" t="n">
        <x:f>IF(AND($A409&gt;='Control Room'!$A$13,$A409&lt;'Control Room'!$A$13+'Control Room'!$B$13,'Process'!BO2=1),1+('Control Room'!$C$13-1)*EXP(-0.5*(($A409-'Control Room'!$A$13-('Control Room'!$B$13-1)/2)/MAX(0.5,'Control Room'!$B$13/4))^2),1)*IF(AND($A409&gt;='Control Room'!$A$14,$A409&lt;'Control Room'!$A$14+'Control Room'!$B$14,'Process'!BO3=1),1+('Control Room'!$C$14-1)*EXP(-0.5*(($A409-'Control Room'!$A$14-('Control Room'!$B$14-1)/2)/MAX(0.5,'Control Room'!$B$14/4))^2),1)*IF(AND($A409&gt;='Control Room'!$A$15,$A409&lt;'Control Room'!$A$15+'Control Room'!$B$15,'Process'!BO4=1),1+('Control Room'!$C$15-1)*EXP(-0.5*(($A409-'Control Room'!$A$15-('Control Room'!$B$15-1)/2)/MAX(0.5,'Control Room'!$B$15/4))^2),1)*IF(AND($A409&gt;='Control Room'!$A$16,$A409&lt;'Control Room'!$A$16+'Control Room'!$B$16,'Process'!BO5=1),1+('Control Room'!$C$16-1)*EXP(-0.5*(($A409-'Control Room'!$A$16-('Control Room'!$B$16-1)/2)/MAX(0.5,'Control Room'!$B$16/4))^2),1)</x:f>
        <x:v>1</x:v>
      </x:c>
      <x:c r="AA409" s="9" t="n">
        <x:f>MOD(AB408*16807,2147483647)</x:f>
        <x:v>1792448745</x:v>
      </x:c>
      <x:c r="AB409" s="9" t="n">
        <x:f>MOD(AA409*16807,2147483647)</x:f>
        <x:v>785457099</x:v>
      </x:c>
      <x:c r="AC409" s="17" t="n">
        <x:f>IF('Control Room'!$B$5="Normal",'Control Room'!$B$7+'Control Room'!$D$7*SQRT(-2*LN(MAX(0.000000000001,AA409/2147483647)))*COS(2*PI()*AB409/2147483647),'Control Room'!$B$8+('Control Room'!$D$8-'Control Room'!$B$8)*AA409/2147483647)</x:f>
        <x:v>964.0257681083922</x:v>
      </x:c>
      <x:c r="AD409" s="17" t="n">
        <x:f>IF('Control Room'!$B$5="Normal",'Control Room'!$B$7,('Control Room'!$B$8+'Control Room'!$D$8)/2)+'Control Room'!$B$9*(AD408-IF('Control Room'!$B$5="Normal",'Control Room'!$B$7,('Control Room'!$B$8+'Control Room'!$D$8)/2))+SQRT(1-'Control Room'!$B$9^2)*(AC409-IF('Control Room'!$B$5="Normal",'Control Room'!$B$7,('Control Room'!$B$8+'Control Room'!$D$8)/2))</x:f>
        <x:v>1041.8785550779437</x:v>
      </x:c>
      <x:c r="AE409" s="17" t="n">
        <x:f>IF(AND($A409&gt;='Control Room'!$A$13,$A409&lt;'Control Room'!$A$13+'Control Room'!$B$13,'Process'!BP2=1),1+('Control Room'!$C$13-1)*EXP(-0.5*(($A409-'Control Room'!$A$13-('Control Room'!$B$13-1)/2)/MAX(0.5,'Control Room'!$B$13/4))^2),1)*IF(AND($A409&gt;='Control Room'!$A$14,$A409&lt;'Control Room'!$A$14+'Control Room'!$B$14,'Process'!BP3=1),1+('Control Room'!$C$14-1)*EXP(-0.5*(($A409-'Control Room'!$A$14-('Control Room'!$B$14-1)/2)/MAX(0.5,'Control Room'!$B$14/4))^2),1)*IF(AND($A409&gt;='Control Room'!$A$15,$A409&lt;'Control Room'!$A$15+'Control Room'!$B$15,'Process'!BP4=1),1+('Control Room'!$C$15-1)*EXP(-0.5*(($A409-'Control Room'!$A$15-('Control Room'!$B$15-1)/2)/MAX(0.5,'Control Room'!$B$15/4))^2),1)*IF(AND($A409&gt;='Control Room'!$A$16,$A409&lt;'Control Room'!$A$16+'Control Room'!$B$16,'Process'!BP5=1),1+('Control Room'!$C$16-1)*EXP(-0.5*(($A409-'Control Room'!$A$16-('Control Room'!$B$16-1)/2)/MAX(0.5,'Control Room'!$B$16/4))^2),1)</x:f>
        <x:v>1</x:v>
      </x:c>
      <x:c r="AF409" s="9" t="n">
        <x:f>MOD(AG408*16807,2147483647)</x:f>
        <x:v>230196125</x:v>
      </x:c>
      <x:c r="AG409" s="9" t="n">
        <x:f>MOD(AF409*16807,2147483647)</x:f>
        <x:v>1288224628</x:v>
      </x:c>
      <x:c r="AH409" s="17" t="n">
        <x:f>IF('Control Room'!$B$5="Normal",'Control Room'!$B$7+'Control Room'!$D$7*SQRT(-2*LN(MAX(0.000000000001,AF409/2147483647)))*COS(2*PI()*AG409/2147483647),'Control Room'!$B$8+('Control Room'!$D$8-'Control Room'!$B$8)*AF409/2147483647)</x:f>
        <x:v>846.0370642081228</x:v>
      </x:c>
      <x:c r="AI409" s="17" t="n">
        <x:f>IF('Control Room'!$B$5="Normal",'Control Room'!$B$7,('Control Room'!$B$8+'Control Room'!$D$8)/2)+'Control Room'!$B$9*(AI408-IF('Control Room'!$B$5="Normal",'Control Room'!$B$7,('Control Room'!$B$8+'Control Room'!$D$8)/2))+SQRT(1-'Control Room'!$B$9^2)*(AH409-IF('Control Room'!$B$5="Normal",'Control Room'!$B$7,('Control Room'!$B$8+'Control Room'!$D$8)/2))</x:f>
        <x:v>946.7736777917447</x:v>
      </x:c>
      <x:c r="AJ409" s="17" t="n">
        <x:f>IF(AND($A409&gt;='Control Room'!$A$13,$A409&lt;'Control Room'!$A$13+'Control Room'!$B$13,'Process'!BQ2=1),1+('Control Room'!$C$13-1)*EXP(-0.5*(($A409-'Control Room'!$A$13-('Control Room'!$B$13-1)/2)/MAX(0.5,'Control Room'!$B$13/4))^2),1)*IF(AND($A409&gt;='Control Room'!$A$14,$A409&lt;'Control Room'!$A$14+'Control Room'!$B$14,'Process'!BQ3=1),1+('Control Room'!$C$14-1)*EXP(-0.5*(($A409-'Control Room'!$A$14-('Control Room'!$B$14-1)/2)/MAX(0.5,'Control Room'!$B$14/4))^2),1)*IF(AND($A409&gt;='Control Room'!$A$15,$A409&lt;'Control Room'!$A$15+'Control Room'!$B$15,'Process'!BQ4=1),1+('Control Room'!$C$15-1)*EXP(-0.5*(($A409-'Control Room'!$A$15-('Control Room'!$B$15-1)/2)/MAX(0.5,'Control Room'!$B$15/4))^2),1)*IF(AND($A409&gt;='Control Room'!$A$16,$A409&lt;'Control Room'!$A$16+'Control Room'!$B$16,'Process'!BQ5=1),1+('Control Room'!$C$16-1)*EXP(-0.5*(($A409-'Control Room'!$A$16-('Control Room'!$B$16-1)/2)/MAX(0.5,'Control Room'!$B$16/4))^2),1)</x:f>
        <x:v>1</x:v>
      </x:c>
      <x:c r="AK409" s="9" t="n">
        <x:f>MOD(AL408*16807,2147483647)</x:f>
        <x:v>815427152</x:v>
      </x:c>
      <x:c r="AL409" s="9" t="n">
        <x:f>MOD(AK409*16807,2147483647)</x:f>
        <x:v>1790992157</x:v>
      </x:c>
      <x:c r="AM409" s="17" t="n">
        <x:f>IF('Control Room'!$B$5="Normal",'Control Room'!$B$7+'Control Room'!$D$7*SQRT(-2*LN(MAX(0.000000000001,AK409/2147483647)))*COS(2*PI()*AL409/2147483647),'Control Room'!$B$8+('Control Room'!$D$8-'Control Room'!$B$8)*AK409/2147483647)</x:f>
        <x:v>1063.0749765105352</x:v>
      </x:c>
      <x:c r="AN409" s="17" t="n">
        <x:f>IF('Control Room'!$B$5="Normal",'Control Room'!$B$7,('Control Room'!$B$8+'Control Room'!$D$8)/2)+'Control Room'!$B$9*(AN408-IF('Control Room'!$B$5="Normal",'Control Room'!$B$7,('Control Room'!$B$8+'Control Room'!$D$8)/2))+SQRT(1-'Control Room'!$B$9^2)*(AM409-IF('Control Room'!$B$5="Normal",'Control Room'!$B$7,('Control Room'!$B$8+'Control Room'!$D$8)/2))</x:f>
        <x:v>1203.9139937651453</x:v>
      </x:c>
      <x:c r="AO409" s="17" t="n">
        <x:f>IF(AND($A409&gt;='Control Room'!$A$13,$A409&lt;'Control Room'!$A$13+'Control Room'!$B$13,'Process'!BR2=1),1+('Control Room'!$C$13-1)*EXP(-0.5*(($A409-'Control Room'!$A$13-('Control Room'!$B$13-1)/2)/MAX(0.5,'Control Room'!$B$13/4))^2),1)*IF(AND($A409&gt;='Control Room'!$A$14,$A409&lt;'Control Room'!$A$14+'Control Room'!$B$14,'Process'!BR3=1),1+('Control Room'!$C$14-1)*EXP(-0.5*(($A409-'Control Room'!$A$14-('Control Room'!$B$14-1)/2)/MAX(0.5,'Control Room'!$B$14/4))^2),1)*IF(AND($A409&gt;='Control Room'!$A$15,$A409&lt;'Control Room'!$A$15+'Control Room'!$B$15,'Process'!BR4=1),1+('Control Room'!$C$15-1)*EXP(-0.5*(($A409-'Control Room'!$A$15-('Control Room'!$B$15-1)/2)/MAX(0.5,'Control Room'!$B$15/4))^2),1)*IF(AND($A409&gt;='Control Room'!$A$16,$A409&lt;'Control Room'!$A$16+'Control Room'!$B$16,'Process'!BR5=1),1+('Control Room'!$C$16-1)*EXP(-0.5*(($A409-'Control Room'!$A$16-('Control Room'!$B$16-1)/2)/MAX(0.5,'Control Room'!$B$16/4))^2),1)</x:f>
        <x:v>1</x:v>
      </x:c>
      <x:c r="AP409" s="9" t="n">
        <x:f>MOD(AQ408*16807,2147483647)</x:f>
        <x:v>1400658179</x:v>
      </x:c>
      <x:c r="AQ409" s="9" t="n">
        <x:f>MOD(AP409*16807,2147483647)</x:f>
        <x:v>146276039</x:v>
      </x:c>
      <x:c r="AR409" s="17" t="n">
        <x:f>IF('Control Room'!$B$5="Normal",'Control Room'!$B$7+'Control Room'!$D$7*SQRT(-2*LN(MAX(0.000000000001,AP409/2147483647)))*COS(2*PI()*AQ409/2147483647),'Control Room'!$B$8+('Control Room'!$D$8-'Control Room'!$B$8)*AP409/2147483647)</x:f>
        <x:v>1075.700803577923</x:v>
      </x:c>
      <x:c r="AS409" s="17" t="n">
        <x:f>IF('Control Room'!$B$5="Normal",'Control Room'!$B$7,('Control Room'!$B$8+'Control Room'!$D$8)/2)+'Control Room'!$B$9*(AS408-IF('Control Room'!$B$5="Normal",'Control Room'!$B$7,('Control Room'!$B$8+'Control Room'!$D$8)/2))+SQRT(1-'Control Room'!$B$9^2)*(AR409-IF('Control Room'!$B$5="Normal",'Control Room'!$B$7,('Control Room'!$B$8+'Control Room'!$D$8)/2))</x:f>
        <x:v>1116.690375971869</x:v>
      </x:c>
      <x:c r="AT409" s="17" t="n">
        <x:f>IF(AND($A409&gt;='Control Room'!$A$13,$A409&lt;'Control Room'!$A$13+'Control Room'!$B$13,'Process'!BS2=1),1+('Control Room'!$C$13-1)*EXP(-0.5*(($A409-'Control Room'!$A$13-('Control Room'!$B$13-1)/2)/MAX(0.5,'Control Room'!$B$13/4))^2),1)*IF(AND($A409&gt;='Control Room'!$A$14,$A409&lt;'Control Room'!$A$14+'Control Room'!$B$14,'Process'!BS3=1),1+('Control Room'!$C$14-1)*EXP(-0.5*(($A409-'Control Room'!$A$14-('Control Room'!$B$14-1)/2)/MAX(0.5,'Control Room'!$B$14/4))^2),1)*IF(AND($A409&gt;='Control Room'!$A$15,$A409&lt;'Control Room'!$A$15+'Control Room'!$B$15,'Process'!BS4=1),1+('Control Room'!$C$15-1)*EXP(-0.5*(($A409-'Control Room'!$A$15-('Control Room'!$B$15-1)/2)/MAX(0.5,'Control Room'!$B$15/4))^2),1)*IF(AND($A409&gt;='Control Room'!$A$16,$A409&lt;'Control Room'!$A$16+'Control Room'!$B$16,'Process'!BS5=1),1+('Control Room'!$C$16-1)*EXP(-0.5*(($A409-'Control Room'!$A$16-('Control Room'!$B$16-1)/2)/MAX(0.5,'Control Room'!$B$16/4))^2),1)</x:f>
        <x:v>1</x:v>
      </x:c>
      <x:c r="AU409" s="9" t="n">
        <x:f>MOD(AV408*16807,2147483647)</x:f>
        <x:v>1985889206</x:v>
      </x:c>
      <x:c r="AV409" s="9" t="n">
        <x:f>MOD(AU409*16807,2147483647)</x:f>
        <x:v>649043568</x:v>
      </x:c>
      <x:c r="AW409" s="17" t="n">
        <x:f>IF('Control Room'!$B$5="Normal",'Control Room'!$B$7+'Control Room'!$D$7*SQRT(-2*LN(MAX(0.000000000001,AU409/2147483647)))*COS(2*PI()*AV409/2147483647),'Control Room'!$B$8+('Control Room'!$D$8-'Control Room'!$B$8)*AU409/2147483647)</x:f>
        <x:v>988.5249043572355</x:v>
      </x:c>
      <x:c r="AX409" s="17" t="n">
        <x:f>IF('Control Room'!$B$5="Normal",'Control Room'!$B$7,('Control Room'!$B$8+'Control Room'!$D$8)/2)+'Control Room'!$B$9*(AX408-IF('Control Room'!$B$5="Normal",'Control Room'!$B$7,('Control Room'!$B$8+'Control Room'!$D$8)/2))+SQRT(1-'Control Room'!$B$9^2)*(AW409-IF('Control Room'!$B$5="Normal",'Control Room'!$B$7,('Control Room'!$B$8+'Control Room'!$D$8)/2))</x:f>
        <x:v>888.2061073894506</x:v>
      </x:c>
      <x:c r="AY409" s="17" t="n">
        <x:f>IF(AND($A409&gt;='Control Room'!$A$13,$A409&lt;'Control Room'!$A$13+'Control Room'!$B$13,'Process'!BT2=1),1+('Control Room'!$C$13-1)*EXP(-0.5*(($A409-'Control Room'!$A$13-('Control Room'!$B$13-1)/2)/MAX(0.5,'Control Room'!$B$13/4))^2),1)*IF(AND($A409&gt;='Control Room'!$A$14,$A409&lt;'Control Room'!$A$14+'Control Room'!$B$14,'Process'!BT3=1),1+('Control Room'!$C$14-1)*EXP(-0.5*(($A409-'Control Room'!$A$14-('Control Room'!$B$14-1)/2)/MAX(0.5,'Control Room'!$B$14/4))^2),1)*IF(AND($A409&gt;='Control Room'!$A$15,$A409&lt;'Control Room'!$A$15+'Control Room'!$B$15,'Process'!BT4=1),1+('Control Room'!$C$15-1)*EXP(-0.5*(($A409-'Control Room'!$A$15-('Control Room'!$B$15-1)/2)/MAX(0.5,'Control Room'!$B$15/4))^2),1)*IF(AND($A409&gt;='Control Room'!$A$16,$A409&lt;'Control Room'!$A$16+'Control Room'!$B$16,'Process'!BT5=1),1+('Control Room'!$C$16-1)*EXP(-0.5*(($A409-'Control Room'!$A$16-('Control Room'!$B$16-1)/2)/MAX(0.5,'Control Room'!$B$16/4))^2),1)</x:f>
        <x:v>1</x:v>
      </x:c>
      <x:c r="AZ409" s="9" t="n">
        <x:f>MOD(BA408*16807,2147483647)</x:f>
        <x:v>423636586</x:v>
      </x:c>
      <x:c r="BA409" s="9" t="n">
        <x:f>MOD(AZ409*16807,2147483647)</x:f>
        <x:v>1151811097</x:v>
      </x:c>
      <x:c r="BB409" s="17" t="n">
        <x:f>IF('Control Room'!$B$5="Normal",'Control Room'!$B$7+'Control Room'!$D$7*SQRT(-2*LN(MAX(0.000000000001,AZ409/2147483647)))*COS(2*PI()*BA409/2147483647),'Control Room'!$B$8+('Control Room'!$D$8-'Control Room'!$B$8)*AZ409/2147483647)</x:f>
        <x:v>842.0532084039995</x:v>
      </x:c>
      <x:c r="BC409" s="17" t="n">
        <x:f>IF('Control Room'!$B$5="Normal",'Control Room'!$B$7,('Control Room'!$B$8+'Control Room'!$D$8)/2)+'Control Room'!$B$9*(BC408-IF('Control Room'!$B$5="Normal",'Control Room'!$B$7,('Control Room'!$B$8+'Control Room'!$D$8)/2))+SQRT(1-'Control Room'!$B$9^2)*(BB409-IF('Control Room'!$B$5="Normal",'Control Room'!$B$7,('Control Room'!$B$8+'Control Room'!$D$8)/2))</x:f>
        <x:v>1015.4011424632299</x:v>
      </x:c>
      <x:c r="BD409" s="17" t="n">
        <x:f>IF(AND($A409&gt;='Control Room'!$A$13,$A409&lt;'Control Room'!$A$13+'Control Room'!$B$13,'Process'!BU2=1),1+('Control Room'!$C$13-1)*EXP(-0.5*(($A409-'Control Room'!$A$13-('Control Room'!$B$13-1)/2)/MAX(0.5,'Control Room'!$B$13/4))^2),1)*IF(AND($A409&gt;='Control Room'!$A$14,$A409&lt;'Control Room'!$A$14+'Control Room'!$B$14,'Process'!BU3=1),1+('Control Room'!$C$14-1)*EXP(-0.5*(($A409-'Control Room'!$A$14-('Control Room'!$B$14-1)/2)/MAX(0.5,'Control Room'!$B$14/4))^2),1)*IF(AND($A409&gt;='Control Room'!$A$15,$A409&lt;'Control Room'!$A$15+'Control Room'!$B$15,'Process'!BU4=1),1+('Control Room'!$C$15-1)*EXP(-0.5*(($A409-'Control Room'!$A$15-('Control Room'!$B$15-1)/2)/MAX(0.5,'Control Room'!$B$15/4))^2),1)*IF(AND($A409&gt;='Control Room'!$A$16,$A409&lt;'Control Room'!$A$16+'Control Room'!$B$16,'Process'!BU5=1),1+('Control Room'!$C$16-1)*EXP(-0.5*(($A409-'Control Room'!$A$16-('Control Room'!$B$16-1)/2)/MAX(0.5,'Control Room'!$B$16/4))^2),1)</x:f>
        <x:v>1</x:v>
      </x:c>
      <x:c r="BE409" s="9" t="n">
        <x:f>MOD(BF408*16807,2147483647)</x:f>
        <x:v>1008867613</x:v>
      </x:c>
      <x:c r="BF409" s="9" t="n">
        <x:f>MOD(BE409*16807,2147483647)</x:f>
        <x:v>1654578626</x:v>
      </x:c>
      <x:c r="BG409" s="17" t="n">
        <x:f>IF('Control Room'!$B$5="Normal",'Control Room'!$B$7+'Control Room'!$D$7*SQRT(-2*LN(MAX(0.000000000001,BE409/2147483647)))*COS(2*PI()*BF409/2147483647),'Control Room'!$B$8+('Control Room'!$D$8-'Control Room'!$B$8)*BE409/2147483647)</x:f>
        <x:v>1014.1916562373485</x:v>
      </x:c>
      <x:c r="BH409" s="17" t="n">
        <x:f>IF('Control Room'!$B$5="Normal",'Control Room'!$B$7,('Control Room'!$B$8+'Control Room'!$D$8)/2)+'Control Room'!$B$9*(BH408-IF('Control Room'!$B$5="Normal",'Control Room'!$B$7,('Control Room'!$B$8+'Control Room'!$D$8)/2))+SQRT(1-'Control Room'!$B$9^2)*(BG409-IF('Control Room'!$B$5="Normal",'Control Room'!$B$7,('Control Room'!$B$8+'Control Room'!$D$8)/2))</x:f>
        <x:v>972.6938799332924</x:v>
      </x:c>
      <x:c r="BI409" s="17" t="n">
        <x:f>IF(AND($A409&gt;='Control Room'!$A$13,$A409&lt;'Control Room'!$A$13+'Control Room'!$B$13,'Process'!BV2=1),1+('Control Room'!$C$13-1)*EXP(-0.5*(($A409-'Control Room'!$A$13-('Control Room'!$B$13-1)/2)/MAX(0.5,'Control Room'!$B$13/4))^2),1)*IF(AND($A409&gt;='Control Room'!$A$14,$A409&lt;'Control Room'!$A$14+'Control Room'!$B$14,'Process'!BV3=1),1+('Control Room'!$C$14-1)*EXP(-0.5*(($A409-'Control Room'!$A$14-('Control Room'!$B$14-1)/2)/MAX(0.5,'Control Room'!$B$14/4))^2),1)*IF(AND($A409&gt;='Control Room'!$A$15,$A409&lt;'Control Room'!$A$15+'Control Room'!$B$15,'Process'!BV4=1),1+('Control Room'!$C$15-1)*EXP(-0.5*(($A409-'Control Room'!$A$15-('Control Room'!$B$15-1)/2)/MAX(0.5,'Control Room'!$B$15/4))^2),1)*IF(AND($A409&gt;='Control Room'!$A$16,$A409&lt;'Control Room'!$A$16+'Control Room'!$B$16,'Process'!BV5=1),1+('Control Room'!$C$16-1)*EXP(-0.5*(($A409-'Control Room'!$A$16-('Control Room'!$B$16-1)/2)/MAX(0.5,'Control Room'!$B$16/4))^2),1)</x:f>
        <x:v>1</x:v>
      </x:c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Z409" t="str">
        <x:f>IF('Data'!A409="","",TEXT('Data'!A409,"mm-dd"))</x:f>
      </x:c>
    </x:row>
    <x:row r="410" ht="21" customHeight="1">
      <x:c r="A410" s="15" t="n">
        <x:f>'Control Room'!$B$1+408</x:f>
        <x:v>73399</x:v>
      </x:c>
      <x:c r="B410" s="9" t="n">
        <x:f>MOD(C409*16807,2147483647)</x:f>
        <x:v>119456347</x:v>
      </x:c>
      <x:c r="C410" s="9" t="n">
        <x:f>MOD(B410*16807,2147483647)</x:f>
        <x:v>1953097731</x:v>
      </x:c>
      <x:c r="D410" s="17" t="n">
        <x:f>IF('Control Room'!$B$5="Normal",'Control Room'!$B$7+'Control Room'!$D$7*SQRT(-2*LN(MAX(0.000000000001,B410/2147483647)))*COS(2*PI()*C410/2147483647),'Control Room'!$B$8+('Control Room'!$D$8-'Control Room'!$B$8)*B410/2147483647)</x:f>
        <x:v>1182.2845124108337</x:v>
      </x:c>
      <x:c r="E410" s="17" t="n">
        <x:f>IF('Control Room'!$B$5="Normal",'Control Room'!$B$7,('Control Room'!$B$8+'Control Room'!$D$8)/2)+'Control Room'!$B$9*(E409-IF('Control Room'!$B$5="Normal",'Control Room'!$B$7,('Control Room'!$B$8+'Control Room'!$D$8)/2))+SQRT(1-'Control Room'!$B$9^2)*(D410-IF('Control Room'!$B$5="Normal",'Control Room'!$B$7,('Control Room'!$B$8+'Control Room'!$D$8)/2))</x:f>
        <x:v>1123.512033619722</x:v>
      </x:c>
      <x:c r="F410" s="17" t="n">
        <x:f>IF(AND($A410&gt;='Control Room'!$A$13,$A410&lt;'Control Room'!$A$13+'Control Room'!$B$13,'Process'!BK2=1),1+('Control Room'!$C$13-1)*EXP(-0.5*(($A410-'Control Room'!$A$13-('Control Room'!$B$13-1)/2)/MAX(0.5,'Control Room'!$B$13/4))^2),1)*IF(AND($A410&gt;='Control Room'!$A$14,$A410&lt;'Control Room'!$A$14+'Control Room'!$B$14,'Process'!BK3=1),1+('Control Room'!$C$14-1)*EXP(-0.5*(($A410-'Control Room'!$A$14-('Control Room'!$B$14-1)/2)/MAX(0.5,'Control Room'!$B$14/4))^2),1)*IF(AND($A410&gt;='Control Room'!$A$15,$A410&lt;'Control Room'!$A$15+'Control Room'!$B$15,'Process'!BK4=1),1+('Control Room'!$C$15-1)*EXP(-0.5*(($A410-'Control Room'!$A$15-('Control Room'!$B$15-1)/2)/MAX(0.5,'Control Room'!$B$15/4))^2),1)*IF(AND($A410&gt;='Control Room'!$A$16,$A410&lt;'Control Room'!$A$16+'Control Room'!$B$16,'Process'!BK5=1),1+('Control Room'!$C$16-1)*EXP(-0.5*(($A410-'Control Room'!$A$16-('Control Room'!$B$16-1)/2)/MAX(0.5,'Control Room'!$B$16/4))^2),1)</x:f>
        <x:v>1</x:v>
      </x:c>
      <x:c r="G410" s="9" t="n">
        <x:f>MOD(H409*16807,2147483647)</x:f>
        <x:v>1932648952</x:v>
      </x:c>
      <x:c r="H410" s="9" t="n">
        <x:f>MOD(G410*16807,2147483647)</x:f>
        <x:v>1340775389</x:v>
      </x:c>
      <x:c r="I410" s="17" t="n">
        <x:f>IF('Control Room'!$B$5="Normal",'Control Room'!$B$7+'Control Room'!$D$7*SQRT(-2*LN(MAX(0.000000000001,G410/2147483647)))*COS(2*PI()*H410/2147483647),'Control Room'!$B$8+('Control Room'!$D$8-'Control Room'!$B$8)*G410/2147483647)</x:f>
        <x:v>970.6608481667297</x:v>
      </x:c>
      <x:c r="J410" s="17" t="n">
        <x:f>IF('Control Room'!$B$5="Normal",'Control Room'!$B$7,('Control Room'!$B$8+'Control Room'!$D$8)/2)+'Control Room'!$B$9*(J409-IF('Control Room'!$B$5="Normal",'Control Room'!$B$7,('Control Room'!$B$8+'Control Room'!$D$8)/2))+SQRT(1-'Control Room'!$B$9^2)*(I410-IF('Control Room'!$B$5="Normal",'Control Room'!$B$7,('Control Room'!$B$8+'Control Room'!$D$8)/2))</x:f>
        <x:v>972.7839423229643</x:v>
      </x:c>
      <x:c r="K410" s="17" t="n">
        <x:f>IF(AND($A410&gt;='Control Room'!$A$13,$A410&lt;'Control Room'!$A$13+'Control Room'!$B$13,'Process'!BL2=1),1+('Control Room'!$C$13-1)*EXP(-0.5*(($A410-'Control Room'!$A$13-('Control Room'!$B$13-1)/2)/MAX(0.5,'Control Room'!$B$13/4))^2),1)*IF(AND($A410&gt;='Control Room'!$A$14,$A410&lt;'Control Room'!$A$14+'Control Room'!$B$14,'Process'!BL3=1),1+('Control Room'!$C$14-1)*EXP(-0.5*(($A410-'Control Room'!$A$14-('Control Room'!$B$14-1)/2)/MAX(0.5,'Control Room'!$B$14/4))^2),1)*IF(AND($A410&gt;='Control Room'!$A$15,$A410&lt;'Control Room'!$A$15+'Control Room'!$B$15,'Process'!BL4=1),1+('Control Room'!$C$15-1)*EXP(-0.5*(($A410-'Control Room'!$A$15-('Control Room'!$B$15-1)/2)/MAX(0.5,'Control Room'!$B$15/4))^2),1)*IF(AND($A410&gt;='Control Room'!$A$16,$A410&lt;'Control Room'!$A$16+'Control Room'!$B$16,'Process'!BL5=1),1+('Control Room'!$C$16-1)*EXP(-0.5*(($A410-'Control Room'!$A$16-('Control Room'!$B$16-1)/2)/MAX(0.5,'Control Room'!$B$16/4))^2),1)</x:f>
        <x:v>1</x:v>
      </x:c>
      <x:c r="L410" s="9" t="n">
        <x:f>MOD(M409*16807,2147483647)</x:f>
        <x:v>1598357910</x:v>
      </x:c>
      <x:c r="M410" s="9" t="n">
        <x:f>MOD(L410*16807,2147483647)</x:f>
        <x:v>728453047</x:v>
      </x:c>
      <x:c r="N410" s="17" t="n">
        <x:f>IF('Control Room'!$B$5="Normal",'Control Room'!$B$7+'Control Room'!$D$7*SQRT(-2*LN(MAX(0.000000000001,L410/2147483647)))*COS(2*PI()*M410/2147483647),'Control Room'!$B$8+('Control Room'!$D$8-'Control Room'!$B$8)*L410/2147483647)</x:f>
        <x:v>963.2275042895757</x:v>
      </x:c>
      <x:c r="O410" s="17" t="n">
        <x:f>IF('Control Room'!$B$5="Normal",'Control Room'!$B$7,('Control Room'!$B$8+'Control Room'!$D$8)/2)+'Control Room'!$B$9*(O409-IF('Control Room'!$B$5="Normal",'Control Room'!$B$7,('Control Room'!$B$8+'Control Room'!$D$8)/2))+SQRT(1-'Control Room'!$B$9^2)*(N410-IF('Control Room'!$B$5="Normal",'Control Room'!$B$7,('Control Room'!$B$8+'Control Room'!$D$8)/2))</x:f>
        <x:v>1017.4530457291469</x:v>
      </x:c>
      <x:c r="P410" s="17" t="n">
        <x:f>IF(AND($A410&gt;='Control Room'!$A$13,$A410&lt;'Control Room'!$A$13+'Control Room'!$B$13,'Process'!BM2=1),1+('Control Room'!$C$13-1)*EXP(-0.5*(($A410-'Control Room'!$A$13-('Control Room'!$B$13-1)/2)/MAX(0.5,'Control Room'!$B$13/4))^2),1)*IF(AND($A410&gt;='Control Room'!$A$14,$A410&lt;'Control Room'!$A$14+'Control Room'!$B$14,'Process'!BM3=1),1+('Control Room'!$C$14-1)*EXP(-0.5*(($A410-'Control Room'!$A$14-('Control Room'!$B$14-1)/2)/MAX(0.5,'Control Room'!$B$14/4))^2),1)*IF(AND($A410&gt;='Control Room'!$A$15,$A410&lt;'Control Room'!$A$15+'Control Room'!$B$15,'Process'!BM4=1),1+('Control Room'!$C$15-1)*EXP(-0.5*(($A410-'Control Room'!$A$15-('Control Room'!$B$15-1)/2)/MAX(0.5,'Control Room'!$B$15/4))^2),1)*IF(AND($A410&gt;='Control Room'!$A$16,$A410&lt;'Control Room'!$A$16+'Control Room'!$B$16,'Process'!BM5=1),1+('Control Room'!$C$16-1)*EXP(-0.5*(($A410-'Control Room'!$A$16-('Control Room'!$B$16-1)/2)/MAX(0.5,'Control Room'!$B$16/4))^2),1)</x:f>
        <x:v>1</x:v>
      </x:c>
      <x:c r="Q410" s="9" t="n">
        <x:f>MOD(R409*16807,2147483647)</x:f>
        <x:v>1264066868</x:v>
      </x:c>
      <x:c r="R410" s="9" t="n">
        <x:f>MOD(Q410*16807,2147483647)</x:f>
        <x:v>116130705</x:v>
      </x:c>
      <x:c r="S410" s="17" t="n">
        <x:f>IF('Control Room'!$B$5="Normal",'Control Room'!$B$7+'Control Room'!$D$7*SQRT(-2*LN(MAX(0.000000000001,Q410/2147483647)))*COS(2*PI()*R410/2147483647),'Control Room'!$B$8+('Control Room'!$D$8-'Control Room'!$B$8)*Q410/2147483647)</x:f>
        <x:v>1087.3600088439846</x:v>
      </x:c>
      <x:c r="T410" s="17" t="n">
        <x:f>IF('Control Room'!$B$5="Normal",'Control Room'!$B$7,('Control Room'!$B$8+'Control Room'!$D$8)/2)+'Control Room'!$B$9*(T409-IF('Control Room'!$B$5="Normal",'Control Room'!$B$7,('Control Room'!$B$8+'Control Room'!$D$8)/2))+SQRT(1-'Control Room'!$B$9^2)*(S410-IF('Control Room'!$B$5="Normal",'Control Room'!$B$7,('Control Room'!$B$8+'Control Room'!$D$8)/2))</x:f>
        <x:v>1083.2455708809184</x:v>
      </x:c>
      <x:c r="U410" s="17" t="n">
        <x:f>IF(AND($A410&gt;='Control Room'!$A$13,$A410&lt;'Control Room'!$A$13+'Control Room'!$B$13,'Process'!BN2=1),1+('Control Room'!$C$13-1)*EXP(-0.5*(($A410-'Control Room'!$A$13-('Control Room'!$B$13-1)/2)/MAX(0.5,'Control Room'!$B$13/4))^2),1)*IF(AND($A410&gt;='Control Room'!$A$14,$A410&lt;'Control Room'!$A$14+'Control Room'!$B$14,'Process'!BN3=1),1+('Control Room'!$C$14-1)*EXP(-0.5*(($A410-'Control Room'!$A$14-('Control Room'!$B$14-1)/2)/MAX(0.5,'Control Room'!$B$14/4))^2),1)*IF(AND($A410&gt;='Control Room'!$A$15,$A410&lt;'Control Room'!$A$15+'Control Room'!$B$15,'Process'!BN4=1),1+('Control Room'!$C$15-1)*EXP(-0.5*(($A410-'Control Room'!$A$15-('Control Room'!$B$15-1)/2)/MAX(0.5,'Control Room'!$B$15/4))^2),1)*IF(AND($A410&gt;='Control Room'!$A$16,$A410&lt;'Control Room'!$A$16+'Control Room'!$B$16,'Process'!BN5=1),1+('Control Room'!$C$16-1)*EXP(-0.5*(($A410-'Control Room'!$A$16-('Control Room'!$B$16-1)/2)/MAX(0.5,'Control Room'!$B$16/4))^2),1)</x:f>
        <x:v>1</x:v>
      </x:c>
      <x:c r="V410" s="9" t="n">
        <x:f>MOD(W409*16807,2147483647)</x:f>
        <x:v>929775826</x:v>
      </x:c>
      <x:c r="W410" s="9" t="n">
        <x:f>MOD(V410*16807,2147483647)</x:f>
        <x:v>1651292010</x:v>
      </x:c>
      <x:c r="X410" s="17" t="n">
        <x:f>IF('Control Room'!$B$5="Normal",'Control Room'!$B$7+'Control Room'!$D$7*SQRT(-2*LN(MAX(0.000000000001,V410/2147483647)))*COS(2*PI()*W410/2147483647),'Control Room'!$B$8+('Control Room'!$D$8-'Control Room'!$B$8)*V410/2147483647)</x:f>
        <x:v>1013.8275661021602</x:v>
      </x:c>
      <x:c r="Y410" s="17" t="n">
        <x:f>IF('Control Room'!$B$5="Normal",'Control Room'!$B$7,('Control Room'!$B$8+'Control Room'!$D$8)/2)+'Control Room'!$B$9*(Y409-IF('Control Room'!$B$5="Normal",'Control Room'!$B$7,('Control Room'!$B$8+'Control Room'!$D$8)/2))+SQRT(1-'Control Room'!$B$9^2)*(X410-IF('Control Room'!$B$5="Normal",'Control Room'!$B$7,('Control Room'!$B$8+'Control Room'!$D$8)/2))</x:f>
        <x:v>1069.0330954702024</x:v>
      </x:c>
      <x:c r="Z410" s="17" t="n">
        <x:f>IF(AND($A410&gt;='Control Room'!$A$13,$A410&lt;'Control Room'!$A$13+'Control Room'!$B$13,'Process'!BO2=1),1+('Control Room'!$C$13-1)*EXP(-0.5*(($A410-'Control Room'!$A$13-('Control Room'!$B$13-1)/2)/MAX(0.5,'Control Room'!$B$13/4))^2),1)*IF(AND($A410&gt;='Control Room'!$A$14,$A410&lt;'Control Room'!$A$14+'Control Room'!$B$14,'Process'!BO3=1),1+('Control Room'!$C$14-1)*EXP(-0.5*(($A410-'Control Room'!$A$14-('Control Room'!$B$14-1)/2)/MAX(0.5,'Control Room'!$B$14/4))^2),1)*IF(AND($A410&gt;='Control Room'!$A$15,$A410&lt;'Control Room'!$A$15+'Control Room'!$B$15,'Process'!BO4=1),1+('Control Room'!$C$15-1)*EXP(-0.5*(($A410-'Control Room'!$A$15-('Control Room'!$B$15-1)/2)/MAX(0.5,'Control Room'!$B$15/4))^2),1)*IF(AND($A410&gt;='Control Room'!$A$16,$A410&lt;'Control Room'!$A$16+'Control Room'!$B$16,'Process'!BO5=1),1+('Control Room'!$C$16-1)*EXP(-0.5*(($A410-'Control Room'!$A$16-('Control Room'!$B$16-1)/2)/MAX(0.5,'Control Room'!$B$16/4))^2),1)</x:f>
        <x:v>1</x:v>
      </x:c>
      <x:c r="AA410" s="9" t="n">
        <x:f>MOD(AB409*16807,2147483647)</x:f>
        <x:v>595484784</x:v>
      </x:c>
      <x:c r="AB410" s="9" t="n">
        <x:f>MOD(AA410*16807,2147483647)</x:f>
        <x:v>1038969668</x:v>
      </x:c>
      <x:c r="AC410" s="17" t="n">
        <x:f>IF('Control Room'!$B$5="Normal",'Control Room'!$B$7+'Control Room'!$D$7*SQRT(-2*LN(MAX(0.000000000001,AA410/2147483647)))*COS(2*PI()*AB410/2147483647),'Control Room'!$B$8+('Control Room'!$D$8-'Control Room'!$B$8)*AA410/2147483647)</x:f>
        <x:v>856.5949169067896</x:v>
      </x:c>
      <x:c r="AD410" s="17" t="n">
        <x:f>IF('Control Room'!$B$5="Normal",'Control Room'!$B$7,('Control Room'!$B$8+'Control Room'!$D$8)/2)+'Control Room'!$B$9*(AD409-IF('Control Room'!$B$5="Normal",'Control Room'!$B$7,('Control Room'!$B$8+'Control Room'!$D$8)/2))+SQRT(1-'Control Room'!$B$9^2)*(AC410-IF('Control Room'!$B$5="Normal",'Control Room'!$B$7,('Control Room'!$B$8+'Control Room'!$D$8)/2))</x:f>
        <x:v>942.9253097738765</x:v>
      </x:c>
      <x:c r="AE410" s="17" t="n">
        <x:f>IF(AND($A410&gt;='Control Room'!$A$13,$A410&lt;'Control Room'!$A$13+'Control Room'!$B$13,'Process'!BP2=1),1+('Control Room'!$C$13-1)*EXP(-0.5*(($A410-'Control Room'!$A$13-('Control Room'!$B$13-1)/2)/MAX(0.5,'Control Room'!$B$13/4))^2),1)*IF(AND($A410&gt;='Control Room'!$A$14,$A410&lt;'Control Room'!$A$14+'Control Room'!$B$14,'Process'!BP3=1),1+('Control Room'!$C$14-1)*EXP(-0.5*(($A410-'Control Room'!$A$14-('Control Room'!$B$14-1)/2)/MAX(0.5,'Control Room'!$B$14/4))^2),1)*IF(AND($A410&gt;='Control Room'!$A$15,$A410&lt;'Control Room'!$A$15+'Control Room'!$B$15,'Process'!BP4=1),1+('Control Room'!$C$15-1)*EXP(-0.5*(($A410-'Control Room'!$A$15-('Control Room'!$B$15-1)/2)/MAX(0.5,'Control Room'!$B$15/4))^2),1)*IF(AND($A410&gt;='Control Room'!$A$16,$A410&lt;'Control Room'!$A$16+'Control Room'!$B$16,'Process'!BP5=1),1+('Control Room'!$C$16-1)*EXP(-0.5*(($A410-'Control Room'!$A$16-('Control Room'!$B$16-1)/2)/MAX(0.5,'Control Room'!$B$16/4))^2),1)</x:f>
        <x:v>1</x:v>
      </x:c>
      <x:c r="AF410" s="9" t="n">
        <x:f>MOD(AG409*16807,2147483647)</x:f>
        <x:v>261193742</x:v>
      </x:c>
      <x:c r="AG410" s="9" t="n">
        <x:f>MOD(AF410*16807,2147483647)</x:f>
        <x:v>426647326</x:v>
      </x:c>
      <x:c r="AH410" s="17" t="n">
        <x:f>IF('Control Room'!$B$5="Normal",'Control Room'!$B$7+'Control Room'!$D$7*SQRT(-2*LN(MAX(0.000000000001,AF410/2147483647)))*COS(2*PI()*AG410/2147483647),'Control Room'!$B$8+('Control Room'!$D$8-'Control Room'!$B$8)*AF410/2147483647)</x:f>
        <x:v>1058.5515387279274</x:v>
      </x:c>
      <x:c r="AI410" s="17" t="n">
        <x:f>IF('Control Room'!$B$5="Normal",'Control Room'!$B$7,('Control Room'!$B$8+'Control Room'!$D$8)/2)+'Control Room'!$B$9*(AI409-IF('Control Room'!$B$5="Normal",'Control Room'!$B$7,('Control Room'!$B$8+'Control Room'!$D$8)/2))+SQRT(1-'Control Room'!$B$9^2)*(AH410-IF('Control Room'!$B$5="Normal",'Control Room'!$B$7,('Control Room'!$B$8+'Control Room'!$D$8)/2))</x:f>
        <x:v>995.1238221200288</x:v>
      </x:c>
      <x:c r="AJ410" s="17" t="n">
        <x:f>IF(AND($A410&gt;='Control Room'!$A$13,$A410&lt;'Control Room'!$A$13+'Control Room'!$B$13,'Process'!BQ2=1),1+('Control Room'!$C$13-1)*EXP(-0.5*(($A410-'Control Room'!$A$13-('Control Room'!$B$13-1)/2)/MAX(0.5,'Control Room'!$B$13/4))^2),1)*IF(AND($A410&gt;='Control Room'!$A$14,$A410&lt;'Control Room'!$A$14+'Control Room'!$B$14,'Process'!BQ3=1),1+('Control Room'!$C$14-1)*EXP(-0.5*(($A410-'Control Room'!$A$14-('Control Room'!$B$14-1)/2)/MAX(0.5,'Control Room'!$B$14/4))^2),1)*IF(AND($A410&gt;='Control Room'!$A$15,$A410&lt;'Control Room'!$A$15+'Control Room'!$B$15,'Process'!BQ4=1),1+('Control Room'!$C$15-1)*EXP(-0.5*(($A410-'Control Room'!$A$15-('Control Room'!$B$15-1)/2)/MAX(0.5,'Control Room'!$B$15/4))^2),1)*IF(AND($A410&gt;='Control Room'!$A$16,$A410&lt;'Control Room'!$A$16+'Control Room'!$B$16,'Process'!BQ5=1),1+('Control Room'!$C$16-1)*EXP(-0.5*(($A410-'Control Room'!$A$16-('Control Room'!$B$16-1)/2)/MAX(0.5,'Control Room'!$B$16/4))^2),1)</x:f>
        <x:v>1</x:v>
      </x:c>
      <x:c r="AK410" s="9" t="n">
        <x:f>MOD(AL409*16807,2147483647)</x:f>
        <x:v>2074386347</x:v>
      </x:c>
      <x:c r="AL410" s="9" t="n">
        <x:f>MOD(AK410*16807,2147483647)</x:f>
        <x:v>1961808631</x:v>
      </x:c>
      <x:c r="AM410" s="17" t="n">
        <x:f>IF('Control Room'!$B$5="Normal",'Control Room'!$B$7+'Control Room'!$D$7*SQRT(-2*LN(MAX(0.000000000001,AK410/2147483647)))*COS(2*PI()*AL410/2147483647),'Control Room'!$B$8+('Control Room'!$D$8-'Control Room'!$B$8)*AK410/2147483647)</x:f>
        <x:v>1020.2759790968283</x:v>
      </x:c>
      <x:c r="AN410" s="17" t="n">
        <x:f>IF('Control Room'!$B$5="Normal",'Control Room'!$B$7,('Control Room'!$B$8+'Control Room'!$D$8)/2)+'Control Room'!$B$9*(AN409-IF('Control Room'!$B$5="Normal",'Control Room'!$B$7,('Control Room'!$B$8+'Control Room'!$D$8)/2))+SQRT(1-'Control Room'!$B$9^2)*(AM410-IF('Control Room'!$B$5="Normal",'Control Room'!$B$7,('Control Room'!$B$8+'Control Room'!$D$8)/2))</x:f>
        <x:v>1171.7412074795989</x:v>
      </x:c>
      <x:c r="AO410" s="17" t="n">
        <x:f>IF(AND($A410&gt;='Control Room'!$A$13,$A410&lt;'Control Room'!$A$13+'Control Room'!$B$13,'Process'!BR2=1),1+('Control Room'!$C$13-1)*EXP(-0.5*(($A410-'Control Room'!$A$13-('Control Room'!$B$13-1)/2)/MAX(0.5,'Control Room'!$B$13/4))^2),1)*IF(AND($A410&gt;='Control Room'!$A$14,$A410&lt;'Control Room'!$A$14+'Control Room'!$B$14,'Process'!BR3=1),1+('Control Room'!$C$14-1)*EXP(-0.5*(($A410-'Control Room'!$A$14-('Control Room'!$B$14-1)/2)/MAX(0.5,'Control Room'!$B$14/4))^2),1)*IF(AND($A410&gt;='Control Room'!$A$15,$A410&lt;'Control Room'!$A$15+'Control Room'!$B$15,'Process'!BR4=1),1+('Control Room'!$C$15-1)*EXP(-0.5*(($A410-'Control Room'!$A$15-('Control Room'!$B$15-1)/2)/MAX(0.5,'Control Room'!$B$15/4))^2),1)*IF(AND($A410&gt;='Control Room'!$A$16,$A410&lt;'Control Room'!$A$16+'Control Room'!$B$16,'Process'!BR5=1),1+('Control Room'!$C$16-1)*EXP(-0.5*(($A410-'Control Room'!$A$16-('Control Room'!$B$16-1)/2)/MAX(0.5,'Control Room'!$B$16/4))^2),1)</x:f>
        <x:v>1</x:v>
      </x:c>
      <x:c r="AP410" s="9" t="n">
        <x:f>MOD(AQ409*16807,2147483647)</x:f>
        <x:v>1740095305</x:v>
      </x:c>
      <x:c r="AQ410" s="9" t="n">
        <x:f>MOD(AP410*16807,2147483647)</x:f>
        <x:v>1349486289</x:v>
      </x:c>
      <x:c r="AR410" s="17" t="n">
        <x:f>IF('Control Room'!$B$5="Normal",'Control Room'!$B$7+'Control Room'!$D$7*SQRT(-2*LN(MAX(0.000000000001,AP410/2147483647)))*COS(2*PI()*AQ410/2147483647),'Control Room'!$B$8+('Control Room'!$D$8-'Control Room'!$B$8)*AP410/2147483647)</x:f>
        <x:v>959.6138932172746</x:v>
      </x:c>
      <x:c r="AS410" s="17" t="n">
        <x:f>IF('Control Room'!$B$5="Normal",'Control Room'!$B$7,('Control Room'!$B$8+'Control Room'!$D$8)/2)+'Control Room'!$B$9*(AS409-IF('Control Room'!$B$5="Normal",'Control Room'!$B$7,('Control Room'!$B$8+'Control Room'!$D$8)/2))+SQRT(1-'Control Room'!$B$9^2)*(AR410-IF('Control Room'!$B$5="Normal",'Control Room'!$B$7,('Control Room'!$B$8+'Control Room'!$D$8)/2))</x:f>
        <x:v>1065.7456949877965</x:v>
      </x:c>
      <x:c r="AT410" s="17" t="n">
        <x:f>IF(AND($A410&gt;='Control Room'!$A$13,$A410&lt;'Control Room'!$A$13+'Control Room'!$B$13,'Process'!BS2=1),1+('Control Room'!$C$13-1)*EXP(-0.5*(($A410-'Control Room'!$A$13-('Control Room'!$B$13-1)/2)/MAX(0.5,'Control Room'!$B$13/4))^2),1)*IF(AND($A410&gt;='Control Room'!$A$14,$A410&lt;'Control Room'!$A$14+'Control Room'!$B$14,'Process'!BS3=1),1+('Control Room'!$C$14-1)*EXP(-0.5*(($A410-'Control Room'!$A$14-('Control Room'!$B$14-1)/2)/MAX(0.5,'Control Room'!$B$14/4))^2),1)*IF(AND($A410&gt;='Control Room'!$A$15,$A410&lt;'Control Room'!$A$15+'Control Room'!$B$15,'Process'!BS4=1),1+('Control Room'!$C$15-1)*EXP(-0.5*(($A410-'Control Room'!$A$15-('Control Room'!$B$15-1)/2)/MAX(0.5,'Control Room'!$B$15/4))^2),1)*IF(AND($A410&gt;='Control Room'!$A$16,$A410&lt;'Control Room'!$A$16+'Control Room'!$B$16,'Process'!BS5=1),1+('Control Room'!$C$16-1)*EXP(-0.5*(($A410-'Control Room'!$A$16-('Control Room'!$B$16-1)/2)/MAX(0.5,'Control Room'!$B$16/4))^2),1)</x:f>
        <x:v>1</x:v>
      </x:c>
      <x:c r="AU410" s="9" t="n">
        <x:f>MOD(AV409*16807,2147483647)</x:f>
        <x:v>1405804263</x:v>
      </x:c>
      <x:c r="AV410" s="9" t="n">
        <x:f>MOD(AU410*16807,2147483647)</x:f>
        <x:v>737163947</x:v>
      </x:c>
      <x:c r="AW410" s="17" t="n">
        <x:f>IF('Control Room'!$B$5="Normal",'Control Room'!$B$7+'Control Room'!$D$7*SQRT(-2*LN(MAX(0.000000000001,AU410/2147483647)))*COS(2*PI()*AV410/2147483647),'Control Room'!$B$8+('Control Room'!$D$8-'Control Room'!$B$8)*AU410/2147483647)</x:f>
        <x:v>954.1808342961587</x:v>
      </x:c>
      <x:c r="AX410" s="17" t="n">
        <x:f>IF('Control Room'!$B$5="Normal",'Control Room'!$B$7,('Control Room'!$B$8+'Control Room'!$D$8)/2)+'Control Room'!$B$9*(AX409-IF('Control Room'!$B$5="Normal",'Control Room'!$B$7,('Control Room'!$B$8+'Control Room'!$D$8)/2))+SQRT(1-'Control Room'!$B$9^2)*(AW410-IF('Control Room'!$B$5="Normal",'Control Room'!$B$7,('Control Room'!$B$8+'Control Room'!$D$8)/2))</x:f>
        <x:v>884.1280685229375</x:v>
      </x:c>
      <x:c r="AY410" s="17" t="n">
        <x:f>IF(AND($A410&gt;='Control Room'!$A$13,$A410&lt;'Control Room'!$A$13+'Control Room'!$B$13,'Process'!BT2=1),1+('Control Room'!$C$13-1)*EXP(-0.5*(($A410-'Control Room'!$A$13-('Control Room'!$B$13-1)/2)/MAX(0.5,'Control Room'!$B$13/4))^2),1)*IF(AND($A410&gt;='Control Room'!$A$14,$A410&lt;'Control Room'!$A$14+'Control Room'!$B$14,'Process'!BT3=1),1+('Control Room'!$C$14-1)*EXP(-0.5*(($A410-'Control Room'!$A$14-('Control Room'!$B$14-1)/2)/MAX(0.5,'Control Room'!$B$14/4))^2),1)*IF(AND($A410&gt;='Control Room'!$A$15,$A410&lt;'Control Room'!$A$15+'Control Room'!$B$15,'Process'!BT4=1),1+('Control Room'!$C$15-1)*EXP(-0.5*(($A410-'Control Room'!$A$15-('Control Room'!$B$15-1)/2)/MAX(0.5,'Control Room'!$B$15/4))^2),1)*IF(AND($A410&gt;='Control Room'!$A$16,$A410&lt;'Control Room'!$A$16+'Control Room'!$B$16,'Process'!BT5=1),1+('Control Room'!$C$16-1)*EXP(-0.5*(($A410-'Control Room'!$A$16-('Control Room'!$B$16-1)/2)/MAX(0.5,'Control Room'!$B$16/4))^2),1)</x:f>
        <x:v>1</x:v>
      </x:c>
      <x:c r="AZ410" s="9" t="n">
        <x:f>MOD(BA409*16807,2147483647)</x:f>
        <x:v>1071513221</x:v>
      </x:c>
      <x:c r="BA410" s="9" t="n">
        <x:f>MOD(AZ410*16807,2147483647)</x:f>
        <x:v>124841605</x:v>
      </x:c>
      <x:c r="BB410" s="17" t="n">
        <x:f>IF('Control Room'!$B$5="Normal",'Control Room'!$B$7+'Control Room'!$D$7*SQRT(-2*LN(MAX(0.000000000001,AZ410/2147483647)))*COS(2*PI()*BA410/2147483647),'Control Room'!$B$8+('Control Room'!$D$8-'Control Room'!$B$8)*AZ410/2147483647)</x:f>
        <x:v>1099.1243622717818</x:v>
      </x:c>
      <x:c r="BC410" s="17" t="n">
        <x:f>IF('Control Room'!$B$5="Normal",'Control Room'!$B$7,('Control Room'!$B$8+'Control Room'!$D$8)/2)+'Control Room'!$B$9*(BC409-IF('Control Room'!$B$5="Normal",'Control Room'!$B$7,('Control Room'!$B$8+'Control Room'!$D$8)/2))+SQRT(1-'Control Room'!$B$9^2)*(BB410-IF('Control Room'!$B$5="Normal",'Control Room'!$B$7,('Control Room'!$B$8+'Control Room'!$D$8)/2))</x:f>
        <x:v>1074.0428863580623</x:v>
      </x:c>
      <x:c r="BD410" s="17" t="n">
        <x:f>IF(AND($A410&gt;='Control Room'!$A$13,$A410&lt;'Control Room'!$A$13+'Control Room'!$B$13,'Process'!BU2=1),1+('Control Room'!$C$13-1)*EXP(-0.5*(($A410-'Control Room'!$A$13-('Control Room'!$B$13-1)/2)/MAX(0.5,'Control Room'!$B$13/4))^2),1)*IF(AND($A410&gt;='Control Room'!$A$14,$A410&lt;'Control Room'!$A$14+'Control Room'!$B$14,'Process'!BU3=1),1+('Control Room'!$C$14-1)*EXP(-0.5*(($A410-'Control Room'!$A$14-('Control Room'!$B$14-1)/2)/MAX(0.5,'Control Room'!$B$14/4))^2),1)*IF(AND($A410&gt;='Control Room'!$A$15,$A410&lt;'Control Room'!$A$15+'Control Room'!$B$15,'Process'!BU4=1),1+('Control Room'!$C$15-1)*EXP(-0.5*(($A410-'Control Room'!$A$15-('Control Room'!$B$15-1)/2)/MAX(0.5,'Control Room'!$B$15/4))^2),1)*IF(AND($A410&gt;='Control Room'!$A$16,$A410&lt;'Control Room'!$A$16+'Control Room'!$B$16,'Process'!BU5=1),1+('Control Room'!$C$16-1)*EXP(-0.5*(($A410-'Control Room'!$A$16-('Control Room'!$B$16-1)/2)/MAX(0.5,'Control Room'!$B$16/4))^2),1)</x:f>
        <x:v>1</x:v>
      </x:c>
      <x:c r="BE410" s="9" t="n">
        <x:f>MOD(BF409*16807,2147483647)</x:f>
        <x:v>737222179</x:v>
      </x:c>
      <x:c r="BF410" s="9" t="n">
        <x:f>MOD(BE410*16807,2147483647)</x:f>
        <x:v>1660002910</x:v>
      </x:c>
      <x:c r="BG410" s="17" t="n">
        <x:f>IF('Control Room'!$B$5="Normal",'Control Room'!$B$7+'Control Room'!$D$7*SQRT(-2*LN(MAX(0.000000000001,BE410/2147483647)))*COS(2*PI()*BF410/2147483647),'Control Room'!$B$8+('Control Room'!$D$8-'Control Room'!$B$8)*BE410/2147483647)</x:f>
        <x:v>1018.9521028120043</x:v>
      </x:c>
      <x:c r="BH410" s="17" t="n">
        <x:f>IF('Control Room'!$B$5="Normal",'Control Room'!$B$7,('Control Room'!$B$8+'Control Room'!$D$8)/2)+'Control Room'!$B$9*(BH409-IF('Control Room'!$B$5="Normal",'Control Room'!$B$7,('Control Room'!$B$8+'Control Room'!$D$8)/2))+SQRT(1-'Control Room'!$B$9^2)*(BG410-IF('Control Room'!$B$5="Normal",'Control Room'!$B$7,('Control Room'!$B$8+'Control Room'!$D$8)/2))</x:f>
        <x:v>990.5610640327907</x:v>
      </x:c>
      <x:c r="BI410" s="17" t="n">
        <x:f>IF(AND($A410&gt;='Control Room'!$A$13,$A410&lt;'Control Room'!$A$13+'Control Room'!$B$13,'Process'!BV2=1),1+('Control Room'!$C$13-1)*EXP(-0.5*(($A410-'Control Room'!$A$13-('Control Room'!$B$13-1)/2)/MAX(0.5,'Control Room'!$B$13/4))^2),1)*IF(AND($A410&gt;='Control Room'!$A$14,$A410&lt;'Control Room'!$A$14+'Control Room'!$B$14,'Process'!BV3=1),1+('Control Room'!$C$14-1)*EXP(-0.5*(($A410-'Control Room'!$A$14-('Control Room'!$B$14-1)/2)/MAX(0.5,'Control Room'!$B$14/4))^2),1)*IF(AND($A410&gt;='Control Room'!$A$15,$A410&lt;'Control Room'!$A$15+'Control Room'!$B$15,'Process'!BV4=1),1+('Control Room'!$C$15-1)*EXP(-0.5*(($A410-'Control Room'!$A$15-('Control Room'!$B$15-1)/2)/MAX(0.5,'Control Room'!$B$15/4))^2),1)*IF(AND($A410&gt;='Control Room'!$A$16,$A410&lt;'Control Room'!$A$16+'Control Room'!$B$16,'Process'!BV5=1),1+('Control Room'!$C$16-1)*EXP(-0.5*(($A410-'Control Room'!$A$16-('Control Room'!$B$16-1)/2)/MAX(0.5,'Control Room'!$B$16/4))^2),1)</x:f>
        <x:v>1</x:v>
      </x:c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Z410" t="str">
        <x:f>IF('Data'!A410="","",TEXT('Data'!A410,"mm-dd"))</x:f>
      </x:c>
    </x:row>
    <x:row r="411" ht="21" customHeight="1">
      <x:c r="A411" s="15" t="n">
        <x:f>'Control Room'!$B$1+409</x:f>
        <x:v>73400</x:v>
      </x:c>
      <x:c r="B411" s="9" t="n">
        <x:f>MOD(C410*16807,2147483647)</x:f>
        <x:v>1426020522</x:v>
      </x:c>
      <x:c r="C411" s="9" t="n">
        <x:f>MOD(B411*16807,2147483647)</x:f>
        <x:v>1209412734</x:v>
      </x:c>
      <x:c r="D411" s="17" t="n">
        <x:f>IF('Control Room'!$B$5="Normal",'Control Room'!$B$7+'Control Room'!$D$7*SQRT(-2*LN(MAX(0.000000000001,B411/2147483647)))*COS(2*PI()*C411/2147483647),'Control Room'!$B$8+('Control Room'!$D$8-'Control Room'!$B$8)*B411/2147483647)</x:f>
        <x:v>924.892706598554</x:v>
      </x:c>
      <x:c r="E411" s="17" t="n">
        <x:f>IF('Control Room'!$B$5="Normal",'Control Room'!$B$7,('Control Room'!$B$8+'Control Room'!$D$8)/2)+'Control Room'!$B$9*(E410-IF('Control Room'!$B$5="Normal",'Control Room'!$B$7,('Control Room'!$B$8+'Control Room'!$D$8)/2))+SQRT(1-'Control Room'!$B$9^2)*(D411-IF('Control Room'!$B$5="Normal",'Control Room'!$B$7,('Control Room'!$B$8+'Control Room'!$D$8)/2))</x:f>
        <x:v>1049.338780669297</x:v>
      </x:c>
      <x:c r="F411" s="17" t="n">
        <x:f>IF(AND($A411&gt;='Control Room'!$A$13,$A411&lt;'Control Room'!$A$13+'Control Room'!$B$13,'Process'!BK2=1),1+('Control Room'!$C$13-1)*EXP(-0.5*(($A411-'Control Room'!$A$13-('Control Room'!$B$13-1)/2)/MAX(0.5,'Control Room'!$B$13/4))^2),1)*IF(AND($A411&gt;='Control Room'!$A$14,$A411&lt;'Control Room'!$A$14+'Control Room'!$B$14,'Process'!BK3=1),1+('Control Room'!$C$14-1)*EXP(-0.5*(($A411-'Control Room'!$A$14-('Control Room'!$B$14-1)/2)/MAX(0.5,'Control Room'!$B$14/4))^2),1)*IF(AND($A411&gt;='Control Room'!$A$15,$A411&lt;'Control Room'!$A$15+'Control Room'!$B$15,'Process'!BK4=1),1+('Control Room'!$C$15-1)*EXP(-0.5*(($A411-'Control Room'!$A$15-('Control Room'!$B$15-1)/2)/MAX(0.5,'Control Room'!$B$15/4))^2),1)*IF(AND($A411&gt;='Control Room'!$A$16,$A411&lt;'Control Room'!$A$16+'Control Room'!$B$16,'Process'!BK5=1),1+('Control Room'!$C$16-1)*EXP(-0.5*(($A411-'Control Room'!$A$16-('Control Room'!$B$16-1)/2)/MAX(0.5,'Control Room'!$B$16/4))^2),1)</x:f>
        <x:v>1</x:v>
      </x:c>
      <x:c r="G411" s="9" t="n">
        <x:f>MOD(H410*16807,2147483647)</x:f>
        <x:v>866054952</x:v>
      </x:c>
      <x:c r="H411" s="9" t="n">
        <x:f>MOD(G411*16807,2147483647)</x:f>
        <x:v>141418898</x:v>
      </x:c>
      <x:c r="I411" s="17" t="n">
        <x:f>IF('Control Room'!$B$5="Normal",'Control Room'!$B$7+'Control Room'!$D$7*SQRT(-2*LN(MAX(0.000000000001,G411/2147483647)))*COS(2*PI()*H411/2147483647),'Control Room'!$B$8+('Control Room'!$D$8-'Control Room'!$B$8)*G411/2147483647)</x:f>
        <x:v>1111.0546554254174</x:v>
      </x:c>
      <x:c r="J411" s="17" t="n">
        <x:f>IF('Control Room'!$B$5="Normal",'Control Room'!$B$7,('Control Room'!$B$8+'Control Room'!$D$8)/2)+'Control Room'!$B$9*(J410-IF('Control Room'!$B$5="Normal",'Control Room'!$B$7,('Control Room'!$B$8+'Control Room'!$D$8)/2))+SQRT(1-'Control Room'!$B$9^2)*(I411-IF('Control Room'!$B$5="Normal",'Control Room'!$B$7,('Control Room'!$B$8+'Control Room'!$D$8)/2))</x:f>
        <x:v>1048.2672032988605</x:v>
      </x:c>
      <x:c r="K411" s="17" t="n">
        <x:f>IF(AND($A411&gt;='Control Room'!$A$13,$A411&lt;'Control Room'!$A$13+'Control Room'!$B$13,'Process'!BL2=1),1+('Control Room'!$C$13-1)*EXP(-0.5*(($A411-'Control Room'!$A$13-('Control Room'!$B$13-1)/2)/MAX(0.5,'Control Room'!$B$13/4))^2),1)*IF(AND($A411&gt;='Control Room'!$A$14,$A411&lt;'Control Room'!$A$14+'Control Room'!$B$14,'Process'!BL3=1),1+('Control Room'!$C$14-1)*EXP(-0.5*(($A411-'Control Room'!$A$14-('Control Room'!$B$14-1)/2)/MAX(0.5,'Control Room'!$B$14/4))^2),1)*IF(AND($A411&gt;='Control Room'!$A$15,$A411&lt;'Control Room'!$A$15+'Control Room'!$B$15,'Process'!BL4=1),1+('Control Room'!$C$15-1)*EXP(-0.5*(($A411-'Control Room'!$A$15-('Control Room'!$B$15-1)/2)/MAX(0.5,'Control Room'!$B$15/4))^2),1)*IF(AND($A411&gt;='Control Room'!$A$16,$A411&lt;'Control Room'!$A$16+'Control Room'!$B$16,'Process'!BL5=1),1+('Control Room'!$C$16-1)*EXP(-0.5*(($A411-'Control Room'!$A$16-('Control Room'!$B$16-1)/2)/MAX(0.5,'Control Room'!$B$16/4))^2),1)</x:f>
        <x:v>1</x:v>
      </x:c>
      <x:c r="L411" s="9" t="n">
        <x:f>MOD(M410*16807,2147483647)</x:f>
        <x:v>306089382</x:v>
      </x:c>
      <x:c r="M411" s="9" t="n">
        <x:f>MOD(L411*16807,2147483647)</x:f>
        <x:v>1220908709</x:v>
      </x:c>
      <x:c r="N411" s="17" t="n">
        <x:f>IF('Control Room'!$B$5="Normal",'Control Room'!$B$7+'Control Room'!$D$7*SQRT(-2*LN(MAX(0.000000000001,L411/2147483647)))*COS(2*PI()*M411/2147483647),'Control Room'!$B$8+('Control Room'!$D$8-'Control Room'!$B$8)*L411/2147483647)</x:f>
        <x:v>838.5633453199516</x:v>
      </x:c>
      <x:c r="O411" s="17" t="n">
        <x:f>IF('Control Room'!$B$5="Normal",'Control Room'!$B$7,('Control Room'!$B$8+'Control Room'!$D$8)/2)+'Control Room'!$B$9*(O410-IF('Control Room'!$B$5="Normal",'Control Room'!$B$7,('Control Room'!$B$8+'Control Room'!$D$8)/2))+SQRT(1-'Control Room'!$B$9^2)*(N411-IF('Control Room'!$B$5="Normal",'Control Room'!$B$7,('Control Room'!$B$8+'Control Room'!$D$8)/2))</x:f>
        <x:v>912.5896243795942</x:v>
      </x:c>
      <x:c r="P411" s="17" t="n">
        <x:f>IF(AND($A411&gt;='Control Room'!$A$13,$A411&lt;'Control Room'!$A$13+'Control Room'!$B$13,'Process'!BM2=1),1+('Control Room'!$C$13-1)*EXP(-0.5*(($A411-'Control Room'!$A$13-('Control Room'!$B$13-1)/2)/MAX(0.5,'Control Room'!$B$13/4))^2),1)*IF(AND($A411&gt;='Control Room'!$A$14,$A411&lt;'Control Room'!$A$14+'Control Room'!$B$14,'Process'!BM3=1),1+('Control Room'!$C$14-1)*EXP(-0.5*(($A411-'Control Room'!$A$14-('Control Room'!$B$14-1)/2)/MAX(0.5,'Control Room'!$B$14/4))^2),1)*IF(AND($A411&gt;='Control Room'!$A$15,$A411&lt;'Control Room'!$A$15+'Control Room'!$B$15,'Process'!BM4=1),1+('Control Room'!$C$15-1)*EXP(-0.5*(($A411-'Control Room'!$A$15-('Control Room'!$B$15-1)/2)/MAX(0.5,'Control Room'!$B$15/4))^2),1)*IF(AND($A411&gt;='Control Room'!$A$16,$A411&lt;'Control Room'!$A$16+'Control Room'!$B$16,'Process'!BM5=1),1+('Control Room'!$C$16-1)*EXP(-0.5*(($A411-'Control Room'!$A$16-('Control Room'!$B$16-1)/2)/MAX(0.5,'Control Room'!$B$16/4))^2),1)</x:f>
        <x:v>1</x:v>
      </x:c>
      <x:c r="Q411" s="9" t="n">
        <x:f>MOD(R410*16807,2147483647)</x:f>
        <x:v>1893607459</x:v>
      </x:c>
      <x:c r="R411" s="9" t="n">
        <x:f>MOD(Q411*16807,2147483647)</x:f>
        <x:v>152914873</x:v>
      </x:c>
      <x:c r="S411" s="17" t="n">
        <x:f>IF('Control Room'!$B$5="Normal",'Control Room'!$B$7+'Control Room'!$D$7*SQRT(-2*LN(MAX(0.000000000001,Q411/2147483647)))*COS(2*PI()*R411/2147483647),'Control Room'!$B$8+('Control Room'!$D$8-'Control Room'!$B$8)*Q411/2147483647)</x:f>
        <x:v>1040.702527462024</x:v>
      </x:c>
      <x:c r="T411" s="17" t="n">
        <x:f>IF('Control Room'!$B$5="Normal",'Control Room'!$B$7,('Control Room'!$B$8+'Control Room'!$D$8)/2)+'Control Room'!$B$9*(T410-IF('Control Room'!$B$5="Normal",'Control Room'!$B$7,('Control Room'!$B$8+'Control Room'!$D$8)/2))+SQRT(1-'Control Room'!$B$9^2)*(S411-IF('Control Room'!$B$5="Normal",'Control Room'!$B$7,('Control Room'!$B$8+'Control Room'!$D$8)/2))</x:f>
        <x:v>1090.402353136253</x:v>
      </x:c>
      <x:c r="U411" s="17" t="n">
        <x:f>IF(AND($A411&gt;='Control Room'!$A$13,$A411&lt;'Control Room'!$A$13+'Control Room'!$B$13,'Process'!BN2=1),1+('Control Room'!$C$13-1)*EXP(-0.5*(($A411-'Control Room'!$A$13-('Control Room'!$B$13-1)/2)/MAX(0.5,'Control Room'!$B$13/4))^2),1)*IF(AND($A411&gt;='Control Room'!$A$14,$A411&lt;'Control Room'!$A$14+'Control Room'!$B$14,'Process'!BN3=1),1+('Control Room'!$C$14-1)*EXP(-0.5*(($A411-'Control Room'!$A$14-('Control Room'!$B$14-1)/2)/MAX(0.5,'Control Room'!$B$14/4))^2),1)*IF(AND($A411&gt;='Control Room'!$A$15,$A411&lt;'Control Room'!$A$15+'Control Room'!$B$15,'Process'!BN4=1),1+('Control Room'!$C$15-1)*EXP(-0.5*(($A411-'Control Room'!$A$15-('Control Room'!$B$15-1)/2)/MAX(0.5,'Control Room'!$B$15/4))^2),1)*IF(AND($A411&gt;='Control Room'!$A$16,$A411&lt;'Control Room'!$A$16+'Control Room'!$B$16,'Process'!BN5=1),1+('Control Room'!$C$16-1)*EXP(-0.5*(($A411-'Control Room'!$A$16-('Control Room'!$B$16-1)/2)/MAX(0.5,'Control Room'!$B$16/4))^2),1)</x:f>
        <x:v>1</x:v>
      </x:c>
      <x:c r="V411" s="9" t="n">
        <x:f>MOD(W410*16807,2147483647)</x:f>
        <x:v>1333641889</x:v>
      </x:c>
      <x:c r="W411" s="9" t="n">
        <x:f>MOD(V411*16807,2147483647)</x:f>
        <x:v>1232404684</x:v>
      </x:c>
      <x:c r="X411" s="17" t="n">
        <x:f>IF('Control Room'!$B$5="Normal",'Control Room'!$B$7+'Control Room'!$D$7*SQRT(-2*LN(MAX(0.000000000001,V411/2147483647)))*COS(2*PI()*W411/2147483647),'Control Room'!$B$8+('Control Room'!$D$8-'Control Room'!$B$8)*V411/2147483647)</x:f>
        <x:v>921.4482168436973</x:v>
      </x:c>
      <x:c r="Y411" s="17" t="n">
        <x:f>IF('Control Room'!$B$5="Normal",'Control Room'!$B$7,('Control Room'!$B$8+'Control Room'!$D$8)/2)+'Control Room'!$B$9*(Y410-IF('Control Room'!$B$5="Normal",'Control Room'!$B$7,('Control Room'!$B$8+'Control Room'!$D$8)/2))+SQRT(1-'Control Room'!$B$9^2)*(X411-IF('Control Room'!$B$5="Normal",'Control Room'!$B$7,('Control Room'!$B$8+'Control Room'!$D$8)/2))</x:f>
        <x:v>1004.6897177882906</x:v>
      </x:c>
      <x:c r="Z411" s="17" t="n">
        <x:f>IF(AND($A411&gt;='Control Room'!$A$13,$A411&lt;'Control Room'!$A$13+'Control Room'!$B$13,'Process'!BO2=1),1+('Control Room'!$C$13-1)*EXP(-0.5*(($A411-'Control Room'!$A$13-('Control Room'!$B$13-1)/2)/MAX(0.5,'Control Room'!$B$13/4))^2),1)*IF(AND($A411&gt;='Control Room'!$A$14,$A411&lt;'Control Room'!$A$14+'Control Room'!$B$14,'Process'!BO3=1),1+('Control Room'!$C$14-1)*EXP(-0.5*(($A411-'Control Room'!$A$14-('Control Room'!$B$14-1)/2)/MAX(0.5,'Control Room'!$B$14/4))^2),1)*IF(AND($A411&gt;='Control Room'!$A$15,$A411&lt;'Control Room'!$A$15+'Control Room'!$B$15,'Process'!BO4=1),1+('Control Room'!$C$15-1)*EXP(-0.5*(($A411-'Control Room'!$A$15-('Control Room'!$B$15-1)/2)/MAX(0.5,'Control Room'!$B$15/4))^2),1)*IF(AND($A411&gt;='Control Room'!$A$16,$A411&lt;'Control Room'!$A$16+'Control Room'!$B$16,'Process'!BO5=1),1+('Control Room'!$C$16-1)*EXP(-0.5*(($A411-'Control Room'!$A$16-('Control Room'!$B$16-1)/2)/MAX(0.5,'Control Room'!$B$16/4))^2),1)</x:f>
        <x:v>1</x:v>
      </x:c>
      <x:c r="AA411" s="9" t="n">
        <x:f>MOD(AB410*16807,2147483647)</x:f>
        <x:v>773676319</x:v>
      </x:c>
      <x:c r="AB411" s="9" t="n">
        <x:f>MOD(AA411*16807,2147483647)</x:f>
        <x:v>164410848</x:v>
      </x:c>
      <x:c r="AC411" s="17" t="n">
        <x:f>IF('Control Room'!$B$5="Normal",'Control Room'!$B$7+'Control Room'!$D$7*SQRT(-2*LN(MAX(0.000000000001,AA411/2147483647)))*COS(2*PI()*AB411/2147483647),'Control Room'!$B$8+('Control Room'!$D$8-'Control Room'!$B$8)*AA411/2147483647)</x:f>
        <x:v>1114.007822735158</x:v>
      </x:c>
      <x:c r="AD411" s="17" t="n">
        <x:f>IF('Control Room'!$B$5="Normal",'Control Room'!$B$7,('Control Room'!$B$8+'Control Room'!$D$8)/2)+'Control Room'!$B$9*(AD410-IF('Control Room'!$B$5="Normal",'Control Room'!$B$7,('Control Room'!$B$8+'Control Room'!$D$8)/2))+SQRT(1-'Control Room'!$B$9^2)*(AC411-IF('Control Room'!$B$5="Normal",'Control Room'!$B$7,('Control Room'!$B$8+'Control Room'!$D$8)/2))</x:f>
        <x:v>1026.825501514087</x:v>
      </x:c>
      <x:c r="AE411" s="17" t="n">
        <x:f>IF(AND($A411&gt;='Control Room'!$A$13,$A411&lt;'Control Room'!$A$13+'Control Room'!$B$13,'Process'!BP2=1),1+('Control Room'!$C$13-1)*EXP(-0.5*(($A411-'Control Room'!$A$13-('Control Room'!$B$13-1)/2)/MAX(0.5,'Control Room'!$B$13/4))^2),1)*IF(AND($A411&gt;='Control Room'!$A$14,$A411&lt;'Control Room'!$A$14+'Control Room'!$B$14,'Process'!BP3=1),1+('Control Room'!$C$14-1)*EXP(-0.5*(($A411-'Control Room'!$A$14-('Control Room'!$B$14-1)/2)/MAX(0.5,'Control Room'!$B$14/4))^2),1)*IF(AND($A411&gt;='Control Room'!$A$15,$A411&lt;'Control Room'!$A$15+'Control Room'!$B$15,'Process'!BP4=1),1+('Control Room'!$C$15-1)*EXP(-0.5*(($A411-'Control Room'!$A$15-('Control Room'!$B$15-1)/2)/MAX(0.5,'Control Room'!$B$15/4))^2),1)*IF(AND($A411&gt;='Control Room'!$A$16,$A411&lt;'Control Room'!$A$16+'Control Room'!$B$16,'Process'!BP5=1),1+('Control Room'!$C$16-1)*EXP(-0.5*(($A411-'Control Room'!$A$16-('Control Room'!$B$16-1)/2)/MAX(0.5,'Control Room'!$B$16/4))^2),1)</x:f>
        <x:v>1</x:v>
      </x:c>
      <x:c r="AF411" s="9" t="n">
        <x:f>MOD(AG410*16807,2147483647)</x:f>
        <x:v>213710749</x:v>
      </x:c>
      <x:c r="AG411" s="9" t="n">
        <x:f>MOD(AF411*16807,2147483647)</x:f>
        <x:v>1243900659</x:v>
      </x:c>
      <x:c r="AH411" s="17" t="n">
        <x:f>IF('Control Room'!$B$5="Normal",'Control Room'!$B$7+'Control Room'!$D$7*SQRT(-2*LN(MAX(0.000000000001,AF411/2147483647)))*COS(2*PI()*AG411/2147483647),'Control Room'!$B$8+('Control Room'!$D$8-'Control Room'!$B$8)*AF411/2147483647)</x:f>
        <x:v>830.1299550474364</x:v>
      </x:c>
      <x:c r="AI411" s="17" t="n">
        <x:f>IF('Control Room'!$B$5="Normal",'Control Room'!$B$7,('Control Room'!$B$8+'Control Room'!$D$8)/2)+'Control Room'!$B$9*(AI410-IF('Control Room'!$B$5="Normal",'Control Room'!$B$7,('Control Room'!$B$8+'Control Room'!$D$8)/2))+SQRT(1-'Control Room'!$B$9^2)*(AH411-IF('Control Room'!$B$5="Normal",'Control Room'!$B$7,('Control Room'!$B$8+'Control Room'!$D$8)/2))</x:f>
        <x:v>889.8953870993325</x:v>
      </x:c>
      <x:c r="AJ411" s="17" t="n">
        <x:f>IF(AND($A411&gt;='Control Room'!$A$13,$A411&lt;'Control Room'!$A$13+'Control Room'!$B$13,'Process'!BQ2=1),1+('Control Room'!$C$13-1)*EXP(-0.5*(($A411-'Control Room'!$A$13-('Control Room'!$B$13-1)/2)/MAX(0.5,'Control Room'!$B$13/4))^2),1)*IF(AND($A411&gt;='Control Room'!$A$14,$A411&lt;'Control Room'!$A$14+'Control Room'!$B$14,'Process'!BQ3=1),1+('Control Room'!$C$14-1)*EXP(-0.5*(($A411-'Control Room'!$A$14-('Control Room'!$B$14-1)/2)/MAX(0.5,'Control Room'!$B$14/4))^2),1)*IF(AND($A411&gt;='Control Room'!$A$15,$A411&lt;'Control Room'!$A$15+'Control Room'!$B$15,'Process'!BQ4=1),1+('Control Room'!$C$15-1)*EXP(-0.5*(($A411-'Control Room'!$A$15-('Control Room'!$B$15-1)/2)/MAX(0.5,'Control Room'!$B$15/4))^2),1)*IF(AND($A411&gt;='Control Room'!$A$16,$A411&lt;'Control Room'!$A$16+'Control Room'!$B$16,'Process'!BQ5=1),1+('Control Room'!$C$16-1)*EXP(-0.5*(($A411-'Control Room'!$A$16-('Control Room'!$B$16-1)/2)/MAX(0.5,'Control Room'!$B$16/4))^2),1)</x:f>
        <x:v>1</x:v>
      </x:c>
      <x:c r="AK411" s="9" t="n">
        <x:f>MOD(AL410*16807,2147483647)</x:f>
        <x:v>1801228826</x:v>
      </x:c>
      <x:c r="AL411" s="9" t="n">
        <x:f>MOD(AK411*16807,2147483647)</x:f>
        <x:v>175906823</x:v>
      </x:c>
      <x:c r="AM411" s="17" t="n">
        <x:f>IF('Control Room'!$B$5="Normal",'Control Room'!$B$7+'Control Room'!$D$7*SQRT(-2*LN(MAX(0.000000000001,AK411/2147483647)))*COS(2*PI()*AL411/2147483647),'Control Room'!$B$8+('Control Room'!$D$8-'Control Room'!$B$8)*AK411/2147483647)</x:f>
        <x:v>1046.4564909952865</x:v>
      </x:c>
      <x:c r="AN411" s="17" t="n">
        <x:f>IF('Control Room'!$B$5="Normal",'Control Room'!$B$7,('Control Room'!$B$8+'Control Room'!$D$8)/2)+'Control Room'!$B$9*(AN410-IF('Control Room'!$B$5="Normal",'Control Room'!$B$7,('Control Room'!$B$8+'Control Room'!$D$8)/2))+SQRT(1-'Control Room'!$B$9^2)*(AM411-IF('Control Room'!$B$5="Normal",'Control Room'!$B$7,('Control Room'!$B$8+'Control Room'!$D$8)/2))</x:f>
        <x:v>1163.0296621859893</x:v>
      </x:c>
      <x:c r="AO411" s="17" t="n">
        <x:f>IF(AND($A411&gt;='Control Room'!$A$13,$A411&lt;'Control Room'!$A$13+'Control Room'!$B$13,'Process'!BR2=1),1+('Control Room'!$C$13-1)*EXP(-0.5*(($A411-'Control Room'!$A$13-('Control Room'!$B$13-1)/2)/MAX(0.5,'Control Room'!$B$13/4))^2),1)*IF(AND($A411&gt;='Control Room'!$A$14,$A411&lt;'Control Room'!$A$14+'Control Room'!$B$14,'Process'!BR3=1),1+('Control Room'!$C$14-1)*EXP(-0.5*(($A411-'Control Room'!$A$14-('Control Room'!$B$14-1)/2)/MAX(0.5,'Control Room'!$B$14/4))^2),1)*IF(AND($A411&gt;='Control Room'!$A$15,$A411&lt;'Control Room'!$A$15+'Control Room'!$B$15,'Process'!BR4=1),1+('Control Room'!$C$15-1)*EXP(-0.5*(($A411-'Control Room'!$A$15-('Control Room'!$B$15-1)/2)/MAX(0.5,'Control Room'!$B$15/4))^2),1)*IF(AND($A411&gt;='Control Room'!$A$16,$A411&lt;'Control Room'!$A$16+'Control Room'!$B$16,'Process'!BR5=1),1+('Control Room'!$C$16-1)*EXP(-0.5*(($A411-'Control Room'!$A$16-('Control Room'!$B$16-1)/2)/MAX(0.5,'Control Room'!$B$16/4))^2),1)</x:f>
        <x:v>1</x:v>
      </x:c>
      <x:c r="AP411" s="9" t="n">
        <x:f>MOD(AQ410*16807,2147483647)</x:f>
        <x:v>1241263256</x:v>
      </x:c>
      <x:c r="AQ411" s="9" t="n">
        <x:f>MOD(AP411*16807,2147483647)</x:f>
        <x:v>1255396634</x:v>
      </x:c>
      <x:c r="AR411" s="17" t="n">
        <x:f>IF('Control Room'!$B$5="Normal",'Control Room'!$B$7+'Control Room'!$D$7*SQRT(-2*LN(MAX(0.000000000001,AP411/2147483647)))*COS(2*PI()*AQ411/2147483647),'Control Room'!$B$8+('Control Room'!$D$8-'Control Room'!$B$8)*AP411/2147483647)</x:f>
        <x:v>918.7642220009287</x:v>
      </x:c>
      <x:c r="AS411" s="17" t="n">
        <x:f>IF('Control Room'!$B$5="Normal",'Control Room'!$B$7,('Control Room'!$B$8+'Control Room'!$D$8)/2)+'Control Room'!$B$9*(AS410-IF('Control Room'!$B$5="Normal",'Control Room'!$B$7,('Control Room'!$B$8+'Control Room'!$D$8)/2))+SQRT(1-'Control Room'!$B$9^2)*(AR411-IF('Control Room'!$B$5="Normal",'Control Room'!$B$7,('Control Room'!$B$8+'Control Room'!$D$8)/2))</x:f>
        <x:v>1000.4459564240324</x:v>
      </x:c>
      <x:c r="AT411" s="17" t="n">
        <x:f>IF(AND($A411&gt;='Control Room'!$A$13,$A411&lt;'Control Room'!$A$13+'Control Room'!$B$13,'Process'!BS2=1),1+('Control Room'!$C$13-1)*EXP(-0.5*(($A411-'Control Room'!$A$13-('Control Room'!$B$13-1)/2)/MAX(0.5,'Control Room'!$B$13/4))^2),1)*IF(AND($A411&gt;='Control Room'!$A$14,$A411&lt;'Control Room'!$A$14+'Control Room'!$B$14,'Process'!BS3=1),1+('Control Room'!$C$14-1)*EXP(-0.5*(($A411-'Control Room'!$A$14-('Control Room'!$B$14-1)/2)/MAX(0.5,'Control Room'!$B$14/4))^2),1)*IF(AND($A411&gt;='Control Room'!$A$15,$A411&lt;'Control Room'!$A$15+'Control Room'!$B$15,'Process'!BS4=1),1+('Control Room'!$C$15-1)*EXP(-0.5*(($A411-'Control Room'!$A$15-('Control Room'!$B$15-1)/2)/MAX(0.5,'Control Room'!$B$15/4))^2),1)*IF(AND($A411&gt;='Control Room'!$A$16,$A411&lt;'Control Room'!$A$16+'Control Room'!$B$16,'Process'!BS5=1),1+('Control Room'!$C$16-1)*EXP(-0.5*(($A411-'Control Room'!$A$16-('Control Room'!$B$16-1)/2)/MAX(0.5,'Control Room'!$B$16/4))^2),1)</x:f>
        <x:v>1</x:v>
      </x:c>
      <x:c r="AU411" s="9" t="n">
        <x:f>MOD(AV410*16807,2147483647)</x:f>
        <x:v>681297686</x:v>
      </x:c>
      <x:c r="AV411" s="9" t="n">
        <x:f>MOD(AU411*16807,2147483647)</x:f>
        <x:v>187402798</x:v>
      </x:c>
      <x:c r="AW411" s="17" t="n">
        <x:f>IF('Control Room'!$B$5="Normal",'Control Room'!$B$7+'Control Room'!$D$7*SQRT(-2*LN(MAX(0.000000000001,AU411/2147483647)))*COS(2*PI()*AV411/2147483647),'Control Room'!$B$8+('Control Room'!$D$8-'Control Room'!$B$8)*AU411/2147483647)</x:f>
        <x:v>1116.3843192011534</x:v>
      </x:c>
      <x:c r="AX411" s="17" t="n">
        <x:f>IF('Control Room'!$B$5="Normal",'Control Room'!$B$7,('Control Room'!$B$8+'Control Room'!$D$8)/2)+'Control Room'!$B$9*(AX410-IF('Control Room'!$B$5="Normal",'Control Room'!$B$7,('Control Room'!$B$8+'Control Room'!$D$8)/2))+SQRT(1-'Control Room'!$B$9^2)*(AW411-IF('Control Room'!$B$5="Normal",'Control Room'!$B$7,('Control Room'!$B$8+'Control Room'!$D$8)/2))</x:f>
        <x:v>982.450816141598</x:v>
      </x:c>
      <x:c r="AY411" s="17" t="n">
        <x:f>IF(AND($A411&gt;='Control Room'!$A$13,$A411&lt;'Control Room'!$A$13+'Control Room'!$B$13,'Process'!BT2=1),1+('Control Room'!$C$13-1)*EXP(-0.5*(($A411-'Control Room'!$A$13-('Control Room'!$B$13-1)/2)/MAX(0.5,'Control Room'!$B$13/4))^2),1)*IF(AND($A411&gt;='Control Room'!$A$14,$A411&lt;'Control Room'!$A$14+'Control Room'!$B$14,'Process'!BT3=1),1+('Control Room'!$C$14-1)*EXP(-0.5*(($A411-'Control Room'!$A$14-('Control Room'!$B$14-1)/2)/MAX(0.5,'Control Room'!$B$14/4))^2),1)*IF(AND($A411&gt;='Control Room'!$A$15,$A411&lt;'Control Room'!$A$15+'Control Room'!$B$15,'Process'!BT4=1),1+('Control Room'!$C$15-1)*EXP(-0.5*(($A411-'Control Room'!$A$15-('Control Room'!$B$15-1)/2)/MAX(0.5,'Control Room'!$B$15/4))^2),1)*IF(AND($A411&gt;='Control Room'!$A$16,$A411&lt;'Control Room'!$A$16+'Control Room'!$B$16,'Process'!BT5=1),1+('Control Room'!$C$16-1)*EXP(-0.5*(($A411-'Control Room'!$A$16-('Control Room'!$B$16-1)/2)/MAX(0.5,'Control Room'!$B$16/4))^2),1)</x:f>
        <x:v>1</x:v>
      </x:c>
      <x:c r="AZ411" s="9" t="n">
        <x:f>MOD(BA410*16807,2147483647)</x:f>
        <x:v>121332116</x:v>
      </x:c>
      <x:c r="BA411" s="9" t="n">
        <x:f>MOD(AZ411*16807,2147483647)</x:f>
        <x:v>1266892609</x:v>
      </x:c>
      <x:c r="BB411" s="17" t="n">
        <x:f>IF('Control Room'!$B$5="Normal",'Control Room'!$B$7+'Control Room'!$D$7*SQRT(-2*LN(MAX(0.000000000001,AZ411/2147483647)))*COS(2*PI()*BA411/2147483647),'Control Room'!$B$8+('Control Room'!$D$8-'Control Room'!$B$8)*AZ411/2147483647)</x:f>
        <x:v>817.7889335873874</x:v>
      </x:c>
      <x:c r="BC411" s="17" t="n">
        <x:f>IF('Control Room'!$B$5="Normal",'Control Room'!$B$7,('Control Room'!$B$8+'Control Room'!$D$8)/2)+'Control Room'!$B$9*(BC410-IF('Control Room'!$B$5="Normal",'Control Room'!$B$7,('Control Room'!$B$8+'Control Room'!$D$8)/2))+SQRT(1-'Control Room'!$B$9^2)*(BB411-IF('Control Room'!$B$5="Normal",'Control Room'!$B$7,('Control Room'!$B$8+'Control Room'!$D$8)/2))</x:f>
        <x:v>943.7294987948667</x:v>
      </x:c>
      <x:c r="BD411" s="17" t="n">
        <x:f>IF(AND($A411&gt;='Control Room'!$A$13,$A411&lt;'Control Room'!$A$13+'Control Room'!$B$13,'Process'!BU2=1),1+('Control Room'!$C$13-1)*EXP(-0.5*(($A411-'Control Room'!$A$13-('Control Room'!$B$13-1)/2)/MAX(0.5,'Control Room'!$B$13/4))^2),1)*IF(AND($A411&gt;='Control Room'!$A$14,$A411&lt;'Control Room'!$A$14+'Control Room'!$B$14,'Process'!BU3=1),1+('Control Room'!$C$14-1)*EXP(-0.5*(($A411-'Control Room'!$A$14-('Control Room'!$B$14-1)/2)/MAX(0.5,'Control Room'!$B$14/4))^2),1)*IF(AND($A411&gt;='Control Room'!$A$15,$A411&lt;'Control Room'!$A$15+'Control Room'!$B$15,'Process'!BU4=1),1+('Control Room'!$C$15-1)*EXP(-0.5*(($A411-'Control Room'!$A$15-('Control Room'!$B$15-1)/2)/MAX(0.5,'Control Room'!$B$15/4))^2),1)*IF(AND($A411&gt;='Control Room'!$A$16,$A411&lt;'Control Room'!$A$16+'Control Room'!$B$16,'Process'!BU5=1),1+('Control Room'!$C$16-1)*EXP(-0.5*(($A411-'Control Room'!$A$16-('Control Room'!$B$16-1)/2)/MAX(0.5,'Control Room'!$B$16/4))^2),1)</x:f>
        <x:v>1</x:v>
      </x:c>
      <x:c r="BE411" s="9" t="n">
        <x:f>MOD(BF410*16807,2147483647)</x:f>
        <x:v>1708850193</x:v>
      </x:c>
      <x:c r="BF411" s="9" t="n">
        <x:f>MOD(BE411*16807,2147483647)</x:f>
        <x:v>198898773</x:v>
      </x:c>
      <x:c r="BG411" s="17" t="n">
        <x:f>IF('Control Room'!$B$5="Normal",'Control Room'!$B$7+'Control Room'!$D$7*SQRT(-2*LN(MAX(0.000000000001,BE411/2147483647)))*COS(2*PI()*BF411/2147483647),'Control Room'!$B$8+('Control Room'!$D$8-'Control Room'!$B$8)*BE411/2147483647)</x:f>
        <x:v>1050.8241014737769</x:v>
      </x:c>
      <x:c r="BH411" s="17" t="n">
        <x:f>IF('Control Room'!$B$5="Normal",'Control Room'!$B$7,('Control Room'!$B$8+'Control Room'!$D$8)/2)+'Control Room'!$B$9*(BH410-IF('Control Room'!$B$5="Normal",'Control Room'!$B$7,('Control Room'!$B$8+'Control Room'!$D$8)/2))+SQRT(1-'Control Room'!$B$9^2)*(BG411-IF('Control Room'!$B$5="Normal",'Control Room'!$B$7,('Control Room'!$B$8+'Control Room'!$D$8)/2))</x:f>
        <x:v>1024.442311459554</x:v>
      </x:c>
      <x:c r="BI411" s="17" t="n">
        <x:f>IF(AND($A411&gt;='Control Room'!$A$13,$A411&lt;'Control Room'!$A$13+'Control Room'!$B$13,'Process'!BV2=1),1+('Control Room'!$C$13-1)*EXP(-0.5*(($A411-'Control Room'!$A$13-('Control Room'!$B$13-1)/2)/MAX(0.5,'Control Room'!$B$13/4))^2),1)*IF(AND($A411&gt;='Control Room'!$A$14,$A411&lt;'Control Room'!$A$14+'Control Room'!$B$14,'Process'!BV3=1),1+('Control Room'!$C$14-1)*EXP(-0.5*(($A411-'Control Room'!$A$14-('Control Room'!$B$14-1)/2)/MAX(0.5,'Control Room'!$B$14/4))^2),1)*IF(AND($A411&gt;='Control Room'!$A$15,$A411&lt;'Control Room'!$A$15+'Control Room'!$B$15,'Process'!BV4=1),1+('Control Room'!$C$15-1)*EXP(-0.5*(($A411-'Control Room'!$A$15-('Control Room'!$B$15-1)/2)/MAX(0.5,'Control Room'!$B$15/4))^2),1)*IF(AND($A411&gt;='Control Room'!$A$16,$A411&lt;'Control Room'!$A$16+'Control Room'!$B$16,'Process'!BV5=1),1+('Control Room'!$C$16-1)*EXP(-0.5*(($A411-'Control Room'!$A$16-('Control Room'!$B$16-1)/2)/MAX(0.5,'Control Room'!$B$16/4))^2),1)</x:f>
        <x:v>1</x:v>
      </x:c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Z411" t="str">
        <x:f>IF('Data'!A411="","",TEXT('Data'!A411,"mm-dd"))</x:f>
      </x:c>
    </x:row>
    <x:row r="412" ht="21" customHeight="1">
      <x:c r="A412" s="15" t="n">
        <x:f>'Control Room'!$B$1+410</x:f>
        <x:v>73401</x:v>
      </x:c>
      <x:c r="B412" s="9" t="n">
        <x:f>MOD(C411*16807,2147483647)</x:f>
        <x:v>667101483</x:v>
      </x:c>
      <x:c r="C412" s="9" t="n">
        <x:f>MOD(B412*16807,2147483647)</x:f>
        <x:v>2109987441</x:v>
      </x:c>
      <x:c r="D412" s="17" t="n">
        <x:f>IF('Control Room'!$B$5="Normal",'Control Room'!$B$7+'Control Room'!$D$7*SQRT(-2*LN(MAX(0.000000000001,B412/2147483647)))*COS(2*PI()*C412/2147483647),'Control Room'!$B$8+('Control Room'!$D$8-'Control Room'!$B$8)*B412/2147483647)</x:f>
        <x:v>1136.7937860455881</x:v>
      </x:c>
      <x:c r="E412" s="17" t="n">
        <x:f>IF('Control Room'!$B$5="Normal",'Control Room'!$B$7,('Control Room'!$B$8+'Control Room'!$D$8)/2)+'Control Room'!$B$9*(E411-IF('Control Room'!$B$5="Normal",'Control Room'!$B$7,('Control Room'!$B$8+'Control Room'!$D$8)/2))+SQRT(1-'Control Room'!$B$9^2)*(D412-IF('Control Room'!$B$5="Normal",'Control Room'!$B$7,('Control Room'!$B$8+'Control Room'!$D$8)/2))</x:f>
        <x:v>1124.086997856351</x:v>
      </x:c>
      <x:c r="F412" s="17" t="n">
        <x:f>IF(AND($A412&gt;='Control Room'!$A$13,$A412&lt;'Control Room'!$A$13+'Control Room'!$B$13,'Process'!BK2=1),1+('Control Room'!$C$13-1)*EXP(-0.5*(($A412-'Control Room'!$A$13-('Control Room'!$B$13-1)/2)/MAX(0.5,'Control Room'!$B$13/4))^2),1)*IF(AND($A412&gt;='Control Room'!$A$14,$A412&lt;'Control Room'!$A$14+'Control Room'!$B$14,'Process'!BK3=1),1+('Control Room'!$C$14-1)*EXP(-0.5*(($A412-'Control Room'!$A$14-('Control Room'!$B$14-1)/2)/MAX(0.5,'Control Room'!$B$14/4))^2),1)*IF(AND($A412&gt;='Control Room'!$A$15,$A412&lt;'Control Room'!$A$15+'Control Room'!$B$15,'Process'!BK4=1),1+('Control Room'!$C$15-1)*EXP(-0.5*(($A412-'Control Room'!$A$15-('Control Room'!$B$15-1)/2)/MAX(0.5,'Control Room'!$B$15/4))^2),1)*IF(AND($A412&gt;='Control Room'!$A$16,$A412&lt;'Control Room'!$A$16+'Control Room'!$B$16,'Process'!BK5=1),1+('Control Room'!$C$16-1)*EXP(-0.5*(($A412-'Control Room'!$A$16-('Control Room'!$B$16-1)/2)/MAX(0.5,'Control Room'!$B$16/4))^2),1)</x:f>
        <x:v>1</x:v>
      </x:c>
      <x:c r="G412" s="9" t="n">
        <x:f>MOD(H411*16807,2147483647)</x:f>
        <x:v>1710505104</x:v>
      </x:c>
      <x:c r="H412" s="9" t="n">
        <x:f>MOD(G412*16807,2147483647)</x:f>
        <x:v>95700539</x:v>
      </x:c>
      <x:c r="I412" s="17" t="n">
        <x:f>IF('Control Room'!$B$5="Normal",'Control Room'!$B$7+'Control Room'!$D$7*SQRT(-2*LN(MAX(0.000000000001,G412/2147483647)))*COS(2*PI()*H412/2147483647),'Control Room'!$B$8+('Control Room'!$D$8-'Control Room'!$B$8)*G412/2147483647)</x:f>
        <x:v>1058.3450237204536</x:v>
      </x:c>
      <x:c r="J412" s="17" t="n">
        <x:f>IF('Control Room'!$B$5="Normal",'Control Room'!$B$7,('Control Room'!$B$8+'Control Room'!$D$8)/2)+'Control Room'!$B$9*(J411-IF('Control Room'!$B$5="Normal",'Control Room'!$B$7,('Control Room'!$B$8+'Control Room'!$D$8)/2))+SQRT(1-'Control Room'!$B$9^2)*(I412-IF('Control Room'!$B$5="Normal",'Control Room'!$B$7,('Control Room'!$B$8+'Control Room'!$D$8)/2))</x:f>
        <x:v>1074.1595391545918</x:v>
      </x:c>
      <x:c r="K412" s="17" t="n">
        <x:f>IF(AND($A412&gt;='Control Room'!$A$13,$A412&lt;'Control Room'!$A$13+'Control Room'!$B$13,'Process'!BL2=1),1+('Control Room'!$C$13-1)*EXP(-0.5*(($A412-'Control Room'!$A$13-('Control Room'!$B$13-1)/2)/MAX(0.5,'Control Room'!$B$13/4))^2),1)*IF(AND($A412&gt;='Control Room'!$A$14,$A412&lt;'Control Room'!$A$14+'Control Room'!$B$14,'Process'!BL3=1),1+('Control Room'!$C$14-1)*EXP(-0.5*(($A412-'Control Room'!$A$14-('Control Room'!$B$14-1)/2)/MAX(0.5,'Control Room'!$B$14/4))^2),1)*IF(AND($A412&gt;='Control Room'!$A$15,$A412&lt;'Control Room'!$A$15+'Control Room'!$B$15,'Process'!BL4=1),1+('Control Room'!$C$15-1)*EXP(-0.5*(($A412-'Control Room'!$A$15-('Control Room'!$B$15-1)/2)/MAX(0.5,'Control Room'!$B$15/4))^2),1)*IF(AND($A412&gt;='Control Room'!$A$16,$A412&lt;'Control Room'!$A$16+'Control Room'!$B$16,'Process'!BL5=1),1+('Control Room'!$C$16-1)*EXP(-0.5*(($A412-'Control Room'!$A$16-('Control Room'!$B$16-1)/2)/MAX(0.5,'Control Room'!$B$16/4))^2),1)</x:f>
        <x:v>1</x:v>
      </x:c>
      <x:c r="L412" s="9" t="n">
        <x:f>MOD(M411*16807,2147483647)</x:f>
        <x:v>606425078</x:v>
      </x:c>
      <x:c r="M412" s="9" t="n">
        <x:f>MOD(L412*16807,2147483647)</x:f>
        <x:v>228897284</x:v>
      </x:c>
      <x:c r="N412" s="17" t="n">
        <x:f>IF('Control Room'!$B$5="Normal",'Control Room'!$B$7+'Control Room'!$D$7*SQRT(-2*LN(MAX(0.000000000001,L412/2147483647)))*COS(2*PI()*M412/2147483647),'Control Room'!$B$8+('Control Room'!$D$8-'Control Room'!$B$8)*L412/2147483647)</x:f>
        <x:v>1112.2087919923897</x:v>
      </x:c>
      <x:c r="O412" s="17" t="n">
        <x:f>IF('Control Room'!$B$5="Normal",'Control Room'!$B$7,('Control Room'!$B$8+'Control Room'!$D$8)/2)+'Control Room'!$B$9*(O411-IF('Control Room'!$B$5="Normal",'Control Room'!$B$7,('Control Room'!$B$8+'Control Room'!$D$8)/2))+SQRT(1-'Control Room'!$B$9^2)*(N412-IF('Control Room'!$B$5="Normal",'Control Room'!$B$7,('Control Room'!$B$8+'Control Room'!$D$8)/2))</x:f>
        <x:v>1002.0378703228703</x:v>
      </x:c>
      <x:c r="P412" s="17" t="n">
        <x:f>IF(AND($A412&gt;='Control Room'!$A$13,$A412&lt;'Control Room'!$A$13+'Control Room'!$B$13,'Process'!BM2=1),1+('Control Room'!$C$13-1)*EXP(-0.5*(($A412-'Control Room'!$A$13-('Control Room'!$B$13-1)/2)/MAX(0.5,'Control Room'!$B$13/4))^2),1)*IF(AND($A412&gt;='Control Room'!$A$14,$A412&lt;'Control Room'!$A$14+'Control Room'!$B$14,'Process'!BM3=1),1+('Control Room'!$C$14-1)*EXP(-0.5*(($A412-'Control Room'!$A$14-('Control Room'!$B$14-1)/2)/MAX(0.5,'Control Room'!$B$14/4))^2),1)*IF(AND($A412&gt;='Control Room'!$A$15,$A412&lt;'Control Room'!$A$15+'Control Room'!$B$15,'Process'!BM4=1),1+('Control Room'!$C$15-1)*EXP(-0.5*(($A412-'Control Room'!$A$15-('Control Room'!$B$15-1)/2)/MAX(0.5,'Control Room'!$B$15/4))^2),1)*IF(AND($A412&gt;='Control Room'!$A$16,$A412&lt;'Control Room'!$A$16+'Control Room'!$B$16,'Process'!BM5=1),1+('Control Room'!$C$16-1)*EXP(-0.5*(($A412-'Control Room'!$A$16-('Control Room'!$B$16-1)/2)/MAX(0.5,'Control Room'!$B$16/4))^2),1)</x:f>
        <x:v>1</x:v>
      </x:c>
      <x:c r="Q412" s="9" t="n">
        <x:f>MOD(R411*16807,2147483647)</x:f>
        <x:v>1649828699</x:v>
      </x:c>
      <x:c r="R412" s="9" t="n">
        <x:f>MOD(Q412*16807,2147483647)</x:f>
        <x:v>362094029</x:v>
      </x:c>
      <x:c r="S412" s="17" t="n">
        <x:f>IF('Control Room'!$B$5="Normal",'Control Room'!$B$7+'Control Room'!$D$7*SQRT(-2*LN(MAX(0.000000000001,Q412/2147483647)))*COS(2*PI()*R412/2147483647),'Control Room'!$B$8+('Control Room'!$D$8-'Control Room'!$B$8)*Q412/2147483647)</x:f>
        <x:v>1031.9808071004434</x:v>
      </x:c>
      <x:c r="T412" s="17" t="n">
        <x:f>IF('Control Room'!$B$5="Normal",'Control Room'!$B$7,('Control Room'!$B$8+'Control Room'!$D$8)/2)+'Control Room'!$B$9*(T411-IF('Control Room'!$B$5="Normal",'Control Room'!$B$7,('Control Room'!$B$8+'Control Room'!$D$8)/2))+SQRT(1-'Control Room'!$B$9^2)*(S412-IF('Control Room'!$B$5="Normal",'Control Room'!$B$7,('Control Room'!$B$8+'Control Room'!$D$8)/2))</x:f>
        <x:v>1090.52676936729</x:v>
      </x:c>
      <x:c r="U412" s="17" t="n">
        <x:f>IF(AND($A412&gt;='Control Room'!$A$13,$A412&lt;'Control Room'!$A$13+'Control Room'!$B$13,'Process'!BN2=1),1+('Control Room'!$C$13-1)*EXP(-0.5*(($A412-'Control Room'!$A$13-('Control Room'!$B$13-1)/2)/MAX(0.5,'Control Room'!$B$13/4))^2),1)*IF(AND($A412&gt;='Control Room'!$A$14,$A412&lt;'Control Room'!$A$14+'Control Room'!$B$14,'Process'!BN3=1),1+('Control Room'!$C$14-1)*EXP(-0.5*(($A412-'Control Room'!$A$14-('Control Room'!$B$14-1)/2)/MAX(0.5,'Control Room'!$B$14/4))^2),1)*IF(AND($A412&gt;='Control Room'!$A$15,$A412&lt;'Control Room'!$A$15+'Control Room'!$B$15,'Process'!BN4=1),1+('Control Room'!$C$15-1)*EXP(-0.5*(($A412-'Control Room'!$A$15-('Control Room'!$B$15-1)/2)/MAX(0.5,'Control Room'!$B$15/4))^2),1)*IF(AND($A412&gt;='Control Room'!$A$16,$A412&lt;'Control Room'!$A$16+'Control Room'!$B$16,'Process'!BN5=1),1+('Control Room'!$C$16-1)*EXP(-0.5*(($A412-'Control Room'!$A$16-('Control Room'!$B$16-1)/2)/MAX(0.5,'Control Room'!$B$16/4))^2),1)</x:f>
        <x:v>1</x:v>
      </x:c>
      <x:c r="V412" s="9" t="n">
        <x:f>MOD(W411*16807,2147483647)</x:f>
        <x:v>545748673</x:v>
      </x:c>
      <x:c r="W412" s="9" t="n">
        <x:f>MOD(V412*16807,2147483647)</x:f>
        <x:v>495290774</x:v>
      </x:c>
      <x:c r="X412" s="17" t="n">
        <x:f>IF('Control Room'!$B$5="Normal",'Control Room'!$B$7+'Control Room'!$D$7*SQRT(-2*LN(MAX(0.000000000001,V412/2147483647)))*COS(2*PI()*W412/2147483647),'Control Room'!$B$8+('Control Room'!$D$8-'Control Room'!$B$8)*V412/2147483647)</x:f>
        <x:v>1018.0786092816858</x:v>
      </x:c>
      <x:c r="Y412" s="17" t="n">
        <x:f>IF('Control Room'!$B$5="Normal",'Control Room'!$B$7,('Control Room'!$B$8+'Control Room'!$D$8)/2)+'Control Room'!$B$9*(Y411-IF('Control Room'!$B$5="Normal",'Control Room'!$B$7,('Control Room'!$B$8+'Control Room'!$D$8)/2))+SQRT(1-'Control Room'!$B$9^2)*(X412-IF('Control Room'!$B$5="Normal",'Control Room'!$B$7,('Control Room'!$B$8+'Control Room'!$D$8)/2))</x:f>
        <x:v>1014.9712032029036</x:v>
      </x:c>
      <x:c r="Z412" s="17" t="n">
        <x:f>IF(AND($A412&gt;='Control Room'!$A$13,$A412&lt;'Control Room'!$A$13+'Control Room'!$B$13,'Process'!BO2=1),1+('Control Room'!$C$13-1)*EXP(-0.5*(($A412-'Control Room'!$A$13-('Control Room'!$B$13-1)/2)/MAX(0.5,'Control Room'!$B$13/4))^2),1)*IF(AND($A412&gt;='Control Room'!$A$14,$A412&lt;'Control Room'!$A$14+'Control Room'!$B$14,'Process'!BO3=1),1+('Control Room'!$C$14-1)*EXP(-0.5*(($A412-'Control Room'!$A$14-('Control Room'!$B$14-1)/2)/MAX(0.5,'Control Room'!$B$14/4))^2),1)*IF(AND($A412&gt;='Control Room'!$A$15,$A412&lt;'Control Room'!$A$15+'Control Room'!$B$15,'Process'!BO4=1),1+('Control Room'!$C$15-1)*EXP(-0.5*(($A412-'Control Room'!$A$15-('Control Room'!$B$15-1)/2)/MAX(0.5,'Control Room'!$B$15/4))^2),1)*IF(AND($A412&gt;='Control Room'!$A$16,$A412&lt;'Control Room'!$A$16+'Control Room'!$B$16,'Process'!BO5=1),1+('Control Room'!$C$16-1)*EXP(-0.5*(($A412-'Control Room'!$A$16-('Control Room'!$B$16-1)/2)/MAX(0.5,'Control Room'!$B$16/4))^2),1)</x:f>
        <x:v>1</x:v>
      </x:c>
      <x:c r="AA412" s="9" t="n">
        <x:f>MOD(AB411*16807,2147483647)</x:f>
        <x:v>1589152294</x:v>
      </x:c>
      <x:c r="AB412" s="9" t="n">
        <x:f>MOD(AA412*16807,2147483647)</x:f>
        <x:v>628487519</x:v>
      </x:c>
      <x:c r="AC412" s="17" t="n">
        <x:f>IF('Control Room'!$B$5="Normal",'Control Room'!$B$7+'Control Room'!$D$7*SQRT(-2*LN(MAX(0.000000000001,AA412/2147483647)))*COS(2*PI()*AB412/2147483647),'Control Room'!$B$8+('Control Room'!$D$8-'Control Room'!$B$8)*AA412/2147483647)</x:f>
        <x:v>981.5021700217541</x:v>
      </x:c>
      <x:c r="AD412" s="17" t="n">
        <x:f>IF('Control Room'!$B$5="Normal",'Control Room'!$B$7,('Control Room'!$B$8+'Control Room'!$D$8)/2)+'Control Room'!$B$9*(AD411-IF('Control Room'!$B$5="Normal",'Control Room'!$B$7,('Control Room'!$B$8+'Control Room'!$D$8)/2))+SQRT(1-'Control Room'!$B$9^2)*(AC412-IF('Control Room'!$B$5="Normal",'Control Room'!$B$7,('Control Room'!$B$8+'Control Room'!$D$8)/2))</x:f>
        <x:v>1009.3483281292463</x:v>
      </x:c>
      <x:c r="AE412" s="17" t="n">
        <x:f>IF(AND($A412&gt;='Control Room'!$A$13,$A412&lt;'Control Room'!$A$13+'Control Room'!$B$13,'Process'!BP2=1),1+('Control Room'!$C$13-1)*EXP(-0.5*(($A412-'Control Room'!$A$13-('Control Room'!$B$13-1)/2)/MAX(0.5,'Control Room'!$B$13/4))^2),1)*IF(AND($A412&gt;='Control Room'!$A$14,$A412&lt;'Control Room'!$A$14+'Control Room'!$B$14,'Process'!BP3=1),1+('Control Room'!$C$14-1)*EXP(-0.5*(($A412-'Control Room'!$A$14-('Control Room'!$B$14-1)/2)/MAX(0.5,'Control Room'!$B$14/4))^2),1)*IF(AND($A412&gt;='Control Room'!$A$15,$A412&lt;'Control Room'!$A$15+'Control Room'!$B$15,'Process'!BP4=1),1+('Control Room'!$C$15-1)*EXP(-0.5*(($A412-'Control Room'!$A$15-('Control Room'!$B$15-1)/2)/MAX(0.5,'Control Room'!$B$15/4))^2),1)*IF(AND($A412&gt;='Control Room'!$A$16,$A412&lt;'Control Room'!$A$16+'Control Room'!$B$16,'Process'!BP5=1),1+('Control Room'!$C$16-1)*EXP(-0.5*(($A412-'Control Room'!$A$16-('Control Room'!$B$16-1)/2)/MAX(0.5,'Control Room'!$B$16/4))^2),1)</x:f>
        <x:v>1</x:v>
      </x:c>
      <x:c r="AF412" s="9" t="n">
        <x:f>MOD(AG411*16807,2147483647)</x:f>
        <x:v>485072268</x:v>
      </x:c>
      <x:c r="AG412" s="9" t="n">
        <x:f>MOD(AF412*16807,2147483647)</x:f>
        <x:v>761684264</x:v>
      </x:c>
      <x:c r="AH412" s="17" t="n">
        <x:f>IF('Control Room'!$B$5="Normal",'Control Room'!$B$7+'Control Room'!$D$7*SQRT(-2*LN(MAX(0.000000000001,AF412/2147483647)))*COS(2*PI()*AG412/2147483647),'Control Room'!$B$8+('Control Room'!$D$8-'Control Room'!$B$8)*AF412/2147483647)</x:f>
        <x:v>905.0895717531754</x:v>
      </x:c>
      <x:c r="AI412" s="17" t="n">
        <x:f>IF('Control Room'!$B$5="Normal",'Control Room'!$B$7,('Control Room'!$B$8+'Control Room'!$D$8)/2)+'Control Room'!$B$9*(AI411-IF('Control Room'!$B$5="Normal",'Control Room'!$B$7,('Control Room'!$B$8+'Control Room'!$D$8)/2))+SQRT(1-'Control Room'!$B$9^2)*(AH412-IF('Control Room'!$B$5="Normal",'Control Room'!$B$7,('Control Room'!$B$8+'Control Room'!$D$8)/2))</x:f>
        <x:v>854.7254002864238</x:v>
      </x:c>
      <x:c r="AJ412" s="17" t="n">
        <x:f>IF(AND($A412&gt;='Control Room'!$A$13,$A412&lt;'Control Room'!$A$13+'Control Room'!$B$13,'Process'!BQ2=1),1+('Control Room'!$C$13-1)*EXP(-0.5*(($A412-'Control Room'!$A$13-('Control Room'!$B$13-1)/2)/MAX(0.5,'Control Room'!$B$13/4))^2),1)*IF(AND($A412&gt;='Control Room'!$A$14,$A412&lt;'Control Room'!$A$14+'Control Room'!$B$14,'Process'!BQ3=1),1+('Control Room'!$C$14-1)*EXP(-0.5*(($A412-'Control Room'!$A$14-('Control Room'!$B$14-1)/2)/MAX(0.5,'Control Room'!$B$14/4))^2),1)*IF(AND($A412&gt;='Control Room'!$A$15,$A412&lt;'Control Room'!$A$15+'Control Room'!$B$15,'Process'!BQ4=1),1+('Control Room'!$C$15-1)*EXP(-0.5*(($A412-'Control Room'!$A$15-('Control Room'!$B$15-1)/2)/MAX(0.5,'Control Room'!$B$15/4))^2),1)*IF(AND($A412&gt;='Control Room'!$A$16,$A412&lt;'Control Room'!$A$16+'Control Room'!$B$16,'Process'!BQ5=1),1+('Control Room'!$C$16-1)*EXP(-0.5*(($A412-'Control Room'!$A$16-('Control Room'!$B$16-1)/2)/MAX(0.5,'Control Room'!$B$16/4))^2),1)</x:f>
        <x:v>1</x:v>
      </x:c>
      <x:c r="AK412" s="9" t="n">
        <x:f>MOD(AL411*16807,2147483647)</x:f>
        <x:v>1528475889</x:v>
      </x:c>
      <x:c r="AL412" s="9" t="n">
        <x:f>MOD(AK412*16807,2147483647)</x:f>
        <x:v>894881009</x:v>
      </x:c>
      <x:c r="AM412" s="17" t="n">
        <x:f>IF('Control Room'!$B$5="Normal",'Control Room'!$B$7+'Control Room'!$D$7*SQRT(-2*LN(MAX(0.000000000001,AK412/2147483647)))*COS(2*PI()*AL412/2147483647),'Control Room'!$B$8+('Control Room'!$D$8-'Control Room'!$B$8)*AK412/2147483647)</x:f>
        <x:v>935.7142800108173</x:v>
      </x:c>
      <x:c r="AN412" s="17" t="n">
        <x:f>IF('Control Room'!$B$5="Normal",'Control Room'!$B$7,('Control Room'!$B$8+'Control Room'!$D$8)/2)+'Control Room'!$B$9*(AN411-IF('Control Room'!$B$5="Normal",'Control Room'!$B$7,('Control Room'!$B$8+'Control Room'!$D$8)/2))+SQRT(1-'Control Room'!$B$9^2)*(AM412-IF('Control Room'!$B$5="Normal",'Control Room'!$B$7,('Control Room'!$B$8+'Control Room'!$D$8)/2))</x:f>
        <x:v>1086.9344499003985</x:v>
      </x:c>
      <x:c r="AO412" s="17" t="n">
        <x:f>IF(AND($A412&gt;='Control Room'!$A$13,$A412&lt;'Control Room'!$A$13+'Control Room'!$B$13,'Process'!BR2=1),1+('Control Room'!$C$13-1)*EXP(-0.5*(($A412-'Control Room'!$A$13-('Control Room'!$B$13-1)/2)/MAX(0.5,'Control Room'!$B$13/4))^2),1)*IF(AND($A412&gt;='Control Room'!$A$14,$A412&lt;'Control Room'!$A$14+'Control Room'!$B$14,'Process'!BR3=1),1+('Control Room'!$C$14-1)*EXP(-0.5*(($A412-'Control Room'!$A$14-('Control Room'!$B$14-1)/2)/MAX(0.5,'Control Room'!$B$14/4))^2),1)*IF(AND($A412&gt;='Control Room'!$A$15,$A412&lt;'Control Room'!$A$15+'Control Room'!$B$15,'Process'!BR4=1),1+('Control Room'!$C$15-1)*EXP(-0.5*(($A412-'Control Room'!$A$15-('Control Room'!$B$15-1)/2)/MAX(0.5,'Control Room'!$B$15/4))^2),1)*IF(AND($A412&gt;='Control Room'!$A$16,$A412&lt;'Control Room'!$A$16+'Control Room'!$B$16,'Process'!BR5=1),1+('Control Room'!$C$16-1)*EXP(-0.5*(($A412-'Control Room'!$A$16-('Control Room'!$B$16-1)/2)/MAX(0.5,'Control Room'!$B$16/4))^2),1)</x:f>
        <x:v>1</x:v>
      </x:c>
      <x:c r="AP412" s="9" t="n">
        <x:f>MOD(AQ411*16807,2147483647)</x:f>
        <x:v>424395863</x:v>
      </x:c>
      <x:c r="AQ412" s="9" t="n">
        <x:f>MOD(AP412*16807,2147483647)</x:f>
        <x:v>1028077754</x:v>
      </x:c>
      <x:c r="AR412" s="17" t="n">
        <x:f>IF('Control Room'!$B$5="Normal",'Control Room'!$B$7+'Control Room'!$D$7*SQRT(-2*LN(MAX(0.000000000001,AP412/2147483647)))*COS(2*PI()*AQ412/2147483647),'Control Room'!$B$8+('Control Room'!$D$8-'Control Room'!$B$8)*AP412/2147483647)</x:f>
        <x:v>839.3751001121468</x:v>
      </x:c>
      <x:c r="AS412" s="17" t="n">
        <x:f>IF('Control Room'!$B$5="Normal",'Control Room'!$B$7,('Control Room'!$B$8+'Control Room'!$D$8)/2)+'Control Room'!$B$9*(AS411-IF('Control Room'!$B$5="Normal",'Control Room'!$B$7,('Control Room'!$B$8+'Control Room'!$D$8)/2))+SQRT(1-'Control Room'!$B$9^2)*(AR412-IF('Control Room'!$B$5="Normal",'Control Room'!$B$7,('Control Room'!$B$8+'Control Room'!$D$8)/2))</x:f>
        <x:v>899.8320742408598</x:v>
      </x:c>
      <x:c r="AT412" s="17" t="n">
        <x:f>IF(AND($A412&gt;='Control Room'!$A$13,$A412&lt;'Control Room'!$A$13+'Control Room'!$B$13,'Process'!BS2=1),1+('Control Room'!$C$13-1)*EXP(-0.5*(($A412-'Control Room'!$A$13-('Control Room'!$B$13-1)/2)/MAX(0.5,'Control Room'!$B$13/4))^2),1)*IF(AND($A412&gt;='Control Room'!$A$14,$A412&lt;'Control Room'!$A$14+'Control Room'!$B$14,'Process'!BS3=1),1+('Control Room'!$C$14-1)*EXP(-0.5*(($A412-'Control Room'!$A$14-('Control Room'!$B$14-1)/2)/MAX(0.5,'Control Room'!$B$14/4))^2),1)*IF(AND($A412&gt;='Control Room'!$A$15,$A412&lt;'Control Room'!$A$15+'Control Room'!$B$15,'Process'!BS4=1),1+('Control Room'!$C$15-1)*EXP(-0.5*(($A412-'Control Room'!$A$15-('Control Room'!$B$15-1)/2)/MAX(0.5,'Control Room'!$B$15/4))^2),1)*IF(AND($A412&gt;='Control Room'!$A$16,$A412&lt;'Control Room'!$A$16+'Control Room'!$B$16,'Process'!BS5=1),1+('Control Room'!$C$16-1)*EXP(-0.5*(($A412-'Control Room'!$A$16-('Control Room'!$B$16-1)/2)/MAX(0.5,'Control Room'!$B$16/4))^2),1)</x:f>
        <x:v>1</x:v>
      </x:c>
      <x:c r="AU412" s="9" t="n">
        <x:f>MOD(AV411*16807,2147483647)</x:f>
        <x:v>1467799484</x:v>
      </x:c>
      <x:c r="AV412" s="9" t="n">
        <x:f>MOD(AU412*16807,2147483647)</x:f>
        <x:v>1161274499</x:v>
      </x:c>
      <x:c r="AW412" s="17" t="n">
        <x:f>IF('Control Room'!$B$5="Normal",'Control Room'!$B$7+'Control Room'!$D$7*SQRT(-2*LN(MAX(0.000000000001,AU412/2147483647)))*COS(2*PI()*AV412/2147483647),'Control Room'!$B$8+('Control Room'!$D$8-'Control Room'!$B$8)*AU412/2147483647)</x:f>
        <x:v>924.0457483847308</x:v>
      </x:c>
      <x:c r="AX412" s="17" t="n">
        <x:f>IF('Control Room'!$B$5="Normal",'Control Room'!$B$7,('Control Room'!$B$8+'Control Room'!$D$8)/2)+'Control Room'!$B$9*(AX411-IF('Control Room'!$B$5="Normal",'Control Room'!$B$7,('Control Room'!$B$8+'Control Room'!$D$8)/2))+SQRT(1-'Control Room'!$B$9^2)*(AW412-IF('Control Room'!$B$5="Normal",'Control Room'!$B$7,('Control Room'!$B$8+'Control Room'!$D$8)/2))</x:f>
        <x:v>938.7810219370319</x:v>
      </x:c>
      <x:c r="AY412" s="17" t="n">
        <x:f>IF(AND($A412&gt;='Control Room'!$A$13,$A412&lt;'Control Room'!$A$13+'Control Room'!$B$13,'Process'!BT2=1),1+('Control Room'!$C$13-1)*EXP(-0.5*(($A412-'Control Room'!$A$13-('Control Room'!$B$13-1)/2)/MAX(0.5,'Control Room'!$B$13/4))^2),1)*IF(AND($A412&gt;='Control Room'!$A$14,$A412&lt;'Control Room'!$A$14+'Control Room'!$B$14,'Process'!BT3=1),1+('Control Room'!$C$14-1)*EXP(-0.5*(($A412-'Control Room'!$A$14-('Control Room'!$B$14-1)/2)/MAX(0.5,'Control Room'!$B$14/4))^2),1)*IF(AND($A412&gt;='Control Room'!$A$15,$A412&lt;'Control Room'!$A$15+'Control Room'!$B$15,'Process'!BT4=1),1+('Control Room'!$C$15-1)*EXP(-0.5*(($A412-'Control Room'!$A$15-('Control Room'!$B$15-1)/2)/MAX(0.5,'Control Room'!$B$15/4))^2),1)*IF(AND($A412&gt;='Control Room'!$A$16,$A412&lt;'Control Room'!$A$16+'Control Room'!$B$16,'Process'!BT5=1),1+('Control Room'!$C$16-1)*EXP(-0.5*(($A412-'Control Room'!$A$16-('Control Room'!$B$16-1)/2)/MAX(0.5,'Control Room'!$B$16/4))^2),1)</x:f>
        <x:v>1</x:v>
      </x:c>
      <x:c r="AZ412" s="9" t="n">
        <x:f>MOD(BA411*16807,2147483647)</x:f>
        <x:v>363719458</x:v>
      </x:c>
      <x:c r="BA412" s="9" t="n">
        <x:f>MOD(AZ412*16807,2147483647)</x:f>
        <x:v>1294471244</x:v>
      </x:c>
      <x:c r="BB412" s="17" t="n">
        <x:f>IF('Control Room'!$B$5="Normal",'Control Room'!$B$7+'Control Room'!$D$7*SQRT(-2*LN(MAX(0.000000000001,AZ412/2147483647)))*COS(2*PI()*BA412/2147483647),'Control Room'!$B$8+('Control Room'!$D$8-'Control Room'!$B$8)*AZ412/2147483647)</x:f>
        <x:v>864.5521857465317</x:v>
      </x:c>
      <x:c r="BC412" s="17" t="n">
        <x:f>IF('Control Room'!$B$5="Normal",'Control Room'!$B$7,('Control Room'!$B$8+'Control Room'!$D$8)/2)+'Control Room'!$B$9*(BC411-IF('Control Room'!$B$5="Normal",'Control Room'!$B$7,('Control Room'!$B$8+'Control Room'!$D$8)/2))+SQRT(1-'Control Room'!$B$9^2)*(BB412-IF('Control Room'!$B$5="Normal",'Control Room'!$B$7,('Control Room'!$B$8+'Control Room'!$D$8)/2))</x:f>
        <x:v>871.3485416994743</x:v>
      </x:c>
      <x:c r="BD412" s="17" t="n">
        <x:f>IF(AND($A412&gt;='Control Room'!$A$13,$A412&lt;'Control Room'!$A$13+'Control Room'!$B$13,'Process'!BU2=1),1+('Control Room'!$C$13-1)*EXP(-0.5*(($A412-'Control Room'!$A$13-('Control Room'!$B$13-1)/2)/MAX(0.5,'Control Room'!$B$13/4))^2),1)*IF(AND($A412&gt;='Control Room'!$A$14,$A412&lt;'Control Room'!$A$14+'Control Room'!$B$14,'Process'!BU3=1),1+('Control Room'!$C$14-1)*EXP(-0.5*(($A412-'Control Room'!$A$14-('Control Room'!$B$14-1)/2)/MAX(0.5,'Control Room'!$B$14/4))^2),1)*IF(AND($A412&gt;='Control Room'!$A$15,$A412&lt;'Control Room'!$A$15+'Control Room'!$B$15,'Process'!BU4=1),1+('Control Room'!$C$15-1)*EXP(-0.5*(($A412-'Control Room'!$A$15-('Control Room'!$B$15-1)/2)/MAX(0.5,'Control Room'!$B$15/4))^2),1)*IF(AND($A412&gt;='Control Room'!$A$16,$A412&lt;'Control Room'!$A$16+'Control Room'!$B$16,'Process'!BU5=1),1+('Control Room'!$C$16-1)*EXP(-0.5*(($A412-'Control Room'!$A$16-('Control Room'!$B$16-1)/2)/MAX(0.5,'Control Room'!$B$16/4))^2),1)</x:f>
        <x:v>1</x:v>
      </x:c>
      <x:c r="BE412" s="9" t="n">
        <x:f>MOD(BF411*16807,2147483647)</x:f>
        <x:v>1407123079</x:v>
      </x:c>
      <x:c r="BF412" s="9" t="n">
        <x:f>MOD(BE412*16807,2147483647)</x:f>
        <x:v>1427667989</x:v>
      </x:c>
      <x:c r="BG412" s="17" t="n">
        <x:f>IF('Control Room'!$B$5="Normal",'Control Room'!$B$7+'Control Room'!$D$7*SQRT(-2*LN(MAX(0.000000000001,BE412/2147483647)))*COS(2*PI()*BF412/2147483647),'Control Room'!$B$8+('Control Room'!$D$8-'Control Room'!$B$8)*BE412/2147483647)</x:f>
        <x:v>957.7886756224848</x:v>
      </x:c>
      <x:c r="BH412" s="17" t="n">
        <x:f>IF('Control Room'!$B$5="Normal",'Control Room'!$B$7,('Control Room'!$B$8+'Control Room'!$D$8)/2)+'Control Room'!$B$9*(BH411-IF('Control Room'!$B$5="Normal",'Control Room'!$B$7,('Control Room'!$B$8+'Control Room'!$D$8)/2))+SQRT(1-'Control Room'!$B$9^2)*(BG412-IF('Control Room'!$B$5="Normal",'Control Room'!$B$7,('Control Room'!$B$8+'Control Room'!$D$8)/2))</x:f>
        <x:v>992.6500208889861</x:v>
      </x:c>
      <x:c r="BI412" s="17" t="n">
        <x:f>IF(AND($A412&gt;='Control Room'!$A$13,$A412&lt;'Control Room'!$A$13+'Control Room'!$B$13,'Process'!BV2=1),1+('Control Room'!$C$13-1)*EXP(-0.5*(($A412-'Control Room'!$A$13-('Control Room'!$B$13-1)/2)/MAX(0.5,'Control Room'!$B$13/4))^2),1)*IF(AND($A412&gt;='Control Room'!$A$14,$A412&lt;'Control Room'!$A$14+'Control Room'!$B$14,'Process'!BV3=1),1+('Control Room'!$C$14-1)*EXP(-0.5*(($A412-'Control Room'!$A$14-('Control Room'!$B$14-1)/2)/MAX(0.5,'Control Room'!$B$14/4))^2),1)*IF(AND($A412&gt;='Control Room'!$A$15,$A412&lt;'Control Room'!$A$15+'Control Room'!$B$15,'Process'!BV4=1),1+('Control Room'!$C$15-1)*EXP(-0.5*(($A412-'Control Room'!$A$15-('Control Room'!$B$15-1)/2)/MAX(0.5,'Control Room'!$B$15/4))^2),1)*IF(AND($A412&gt;='Control Room'!$A$16,$A412&lt;'Control Room'!$A$16+'Control Room'!$B$16,'Process'!BV5=1),1+('Control Room'!$C$16-1)*EXP(-0.5*(($A412-'Control Room'!$A$16-('Control Room'!$B$16-1)/2)/MAX(0.5,'Control Room'!$B$16/4))^2),1)</x:f>
        <x:v>1</x:v>
      </x:c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Z412" t="str">
        <x:f>IF('Data'!A412="","",TEXT('Data'!A412,"mm-dd"))</x:f>
      </x:c>
    </x:row>
    <x:row r="413" ht="21" customHeight="1">
      <x:c r="A413" s="15" t="n">
        <x:f>'Control Room'!$B$1+411</x:f>
        <x:v>73402</x:v>
      </x:c>
      <x:c r="B413" s="9" t="n">
        <x:f>MOD(C412*16807,2147483647)</x:f>
        <x:v>1161457976</x:v>
      </x:c>
      <x:c r="C413" s="9" t="n">
        <x:f>MOD(B413*16807,2147483647)</x:f>
        <x:v>2145335049</x:v>
      </x:c>
      <x:c r="D413" s="17" t="n">
        <x:f>IF('Control Room'!$B$5="Normal",'Control Room'!$B$7+'Control Room'!$D$7*SQRT(-2*LN(MAX(0.000000000001,B413/2147483647)))*COS(2*PI()*C413/2147483647),'Control Room'!$B$8+('Control Room'!$D$8-'Control Room'!$B$8)*B413/2147483647)</x:f>
        <x:v>1099.7820692342145</x:v>
      </x:c>
      <x:c r="E413" s="17" t="n">
        <x:f>IF('Control Room'!$B$5="Normal",'Control Room'!$B$7,('Control Room'!$B$8+'Control Room'!$D$8)/2)+'Control Room'!$B$9*(E412-IF('Control Room'!$B$5="Normal",'Control Room'!$B$7,('Control Room'!$B$8+'Control Room'!$D$8)/2))+SQRT(1-'Control Room'!$B$9^2)*(D413-IF('Control Room'!$B$5="Normal",'Control Room'!$B$7,('Control Room'!$B$8+'Control Room'!$D$8)/2))</x:f>
        <x:v>1159.2294331079277</x:v>
      </x:c>
      <x:c r="F413" s="17" t="n">
        <x:f>IF(AND($A413&gt;='Control Room'!$A$13,$A413&lt;'Control Room'!$A$13+'Control Room'!$B$13,'Process'!BK2=1),1+('Control Room'!$C$13-1)*EXP(-0.5*(($A413-'Control Room'!$A$13-('Control Room'!$B$13-1)/2)/MAX(0.5,'Control Room'!$B$13/4))^2),1)*IF(AND($A413&gt;='Control Room'!$A$14,$A413&lt;'Control Room'!$A$14+'Control Room'!$B$14,'Process'!BK3=1),1+('Control Room'!$C$14-1)*EXP(-0.5*(($A413-'Control Room'!$A$14-('Control Room'!$B$14-1)/2)/MAX(0.5,'Control Room'!$B$14/4))^2),1)*IF(AND($A413&gt;='Control Room'!$A$15,$A413&lt;'Control Room'!$A$15+'Control Room'!$B$15,'Process'!BK4=1),1+('Control Room'!$C$15-1)*EXP(-0.5*(($A413-'Control Room'!$A$15-('Control Room'!$B$15-1)/2)/MAX(0.5,'Control Room'!$B$15/4))^2),1)*IF(AND($A413&gt;='Control Room'!$A$16,$A413&lt;'Control Room'!$A$16+'Control Room'!$B$16,'Process'!BK5=1),1+('Control Room'!$C$16-1)*EXP(-0.5*(($A413-'Control Room'!$A$16-('Control Room'!$B$16-1)/2)/MAX(0.5,'Control Room'!$B$16/4))^2),1)</x:f>
        <x:v>1</x:v>
      </x:c>
      <x:c r="G413" s="9" t="n">
        <x:f>MOD(H412*16807,2147483647)</x:f>
        <x:v>2121191017</x:v>
      </x:c>
      <x:c r="H413" s="9" t="n">
        <x:f>MOD(G413*16807,2147483647)</x:f>
        <x:v>481398872</x:v>
      </x:c>
      <x:c r="I413" s="17" t="n">
        <x:f>IF('Control Room'!$B$5="Normal",'Control Room'!$B$7+'Control Room'!$D$7*SQRT(-2*LN(MAX(0.000000000001,G413/2147483647)))*COS(2*PI()*H413/2147483647),'Control Room'!$B$8+('Control Room'!$D$8-'Control Room'!$B$8)*G413/2147483647)</x:f>
        <x:v>1002.2827665704741</x:v>
      </x:c>
      <x:c r="J413" s="17" t="n">
        <x:f>IF('Control Room'!$B$5="Normal",'Control Room'!$B$7,('Control Room'!$B$8+'Control Room'!$D$8)/2)+'Control Room'!$B$9*(J412-IF('Control Room'!$B$5="Normal",'Control Room'!$B$7,('Control Room'!$B$8+'Control Room'!$D$8)/2))+SQRT(1-'Control Room'!$B$9^2)*(I413-IF('Control Room'!$B$5="Normal",'Control Room'!$B$7,('Control Room'!$B$8+'Control Room'!$D$8)/2))</x:f>
        <x:v>1059.2729490953693</x:v>
      </x:c>
      <x:c r="K413" s="17" t="n">
        <x:f>IF(AND($A413&gt;='Control Room'!$A$13,$A413&lt;'Control Room'!$A$13+'Control Room'!$B$13,'Process'!BL2=1),1+('Control Room'!$C$13-1)*EXP(-0.5*(($A413-'Control Room'!$A$13-('Control Room'!$B$13-1)/2)/MAX(0.5,'Control Room'!$B$13/4))^2),1)*IF(AND($A413&gt;='Control Room'!$A$14,$A413&lt;'Control Room'!$A$14+'Control Room'!$B$14,'Process'!BL3=1),1+('Control Room'!$C$14-1)*EXP(-0.5*(($A413-'Control Room'!$A$14-('Control Room'!$B$14-1)/2)/MAX(0.5,'Control Room'!$B$14/4))^2),1)*IF(AND($A413&gt;='Control Room'!$A$15,$A413&lt;'Control Room'!$A$15+'Control Room'!$B$15,'Process'!BL4=1),1+('Control Room'!$C$15-1)*EXP(-0.5*(($A413-'Control Room'!$A$15-('Control Room'!$B$15-1)/2)/MAX(0.5,'Control Room'!$B$15/4))^2),1)*IF(AND($A413&gt;='Control Room'!$A$16,$A413&lt;'Control Room'!$A$16+'Control Room'!$B$16,'Process'!BL5=1),1+('Control Room'!$C$16-1)*EXP(-0.5*(($A413-'Control Room'!$A$16-('Control Room'!$B$16-1)/2)/MAX(0.5,'Control Room'!$B$16/4))^2),1)</x:f>
        <x:v>1</x:v>
      </x:c>
      <x:c r="L413" s="9" t="n">
        <x:f>MOD(M412*16807,2147483647)</x:f>
        <x:v>933440411</x:v>
      </x:c>
      <x:c r="M413" s="9" t="n">
        <x:f>MOD(L413*16807,2147483647)</x:f>
        <x:v>964946342</x:v>
      </x:c>
      <x:c r="N413" s="17" t="n">
        <x:f>IF('Control Room'!$B$5="Normal",'Control Room'!$B$7+'Control Room'!$D$7*SQRT(-2*LN(MAX(0.000000000001,L413/2147483647)))*COS(2*PI()*M413/2147483647),'Control Room'!$B$8+('Control Room'!$D$8-'Control Room'!$B$8)*L413/2147483647)</x:f>
        <x:v>889.6579719568216</x:v>
      </x:c>
      <x:c r="O413" s="17" t="n">
        <x:f>IF('Control Room'!$B$5="Normal",'Control Room'!$B$7,('Control Room'!$B$8+'Control Room'!$D$8)/2)+'Control Room'!$B$9*(O412-IF('Control Room'!$B$5="Normal",'Control Room'!$B$7,('Control Room'!$B$8+'Control Room'!$D$8)/2))+SQRT(1-'Control Room'!$B$9^2)*(N413-IF('Control Room'!$B$5="Normal",'Control Room'!$B$7,('Control Room'!$B$8+'Control Room'!$D$8)/2))</x:f>
        <x:v>932.5397581817302</x:v>
      </x:c>
      <x:c r="P413" s="17" t="n">
        <x:f>IF(AND($A413&gt;='Control Room'!$A$13,$A413&lt;'Control Room'!$A$13+'Control Room'!$B$13,'Process'!BM2=1),1+('Control Room'!$C$13-1)*EXP(-0.5*(($A413-'Control Room'!$A$13-('Control Room'!$B$13-1)/2)/MAX(0.5,'Control Room'!$B$13/4))^2),1)*IF(AND($A413&gt;='Control Room'!$A$14,$A413&lt;'Control Room'!$A$14+'Control Room'!$B$14,'Process'!BM3=1),1+('Control Room'!$C$14-1)*EXP(-0.5*(($A413-'Control Room'!$A$14-('Control Room'!$B$14-1)/2)/MAX(0.5,'Control Room'!$B$14/4))^2),1)*IF(AND($A413&gt;='Control Room'!$A$15,$A413&lt;'Control Room'!$A$15+'Control Room'!$B$15,'Process'!BM4=1),1+('Control Room'!$C$15-1)*EXP(-0.5*(($A413-'Control Room'!$A$15-('Control Room'!$B$15-1)/2)/MAX(0.5,'Control Room'!$B$15/4))^2),1)*IF(AND($A413&gt;='Control Room'!$A$16,$A413&lt;'Control Room'!$A$16+'Control Room'!$B$16,'Process'!BM5=1),1+('Control Room'!$C$16-1)*EXP(-0.5*(($A413-'Control Room'!$A$16-('Control Room'!$B$16-1)/2)/MAX(0.5,'Control Room'!$B$16/4))^2),1)</x:f>
        <x:v>1</x:v>
      </x:c>
      <x:c r="Q413" s="9" t="n">
        <x:f>MOD(R412*16807,2147483647)</x:f>
        <x:v>1893173452</x:v>
      </x:c>
      <x:c r="R413" s="9" t="n">
        <x:f>MOD(Q413*16807,2147483647)</x:f>
        <x:v>1448493812</x:v>
      </x:c>
      <x:c r="S413" s="17" t="n">
        <x:f>IF('Control Room'!$B$5="Normal",'Control Room'!$B$7+'Control Room'!$D$7*SQRT(-2*LN(MAX(0.000000000001,Q413/2147483647)))*COS(2*PI()*R413/2147483647),'Control Room'!$B$8+('Control Room'!$D$8-'Control Room'!$B$8)*Q413/2147483647)</x:f>
        <x:v>979.3609392424978</x:v>
      </x:c>
      <x:c r="T413" s="17" t="n">
        <x:f>IF('Control Room'!$B$5="Normal",'Control Room'!$B$7,('Control Room'!$B$8+'Control Room'!$D$8)/2)+'Control Room'!$B$9*(T412-IF('Control Room'!$B$5="Normal",'Control Room'!$B$7,('Control Room'!$B$8+'Control Room'!$D$8)/2))+SQRT(1-'Control Room'!$B$9^2)*(S413-IF('Control Room'!$B$5="Normal",'Control Room'!$B$7,('Control Room'!$B$8+'Control Room'!$D$8)/2))</x:f>
        <x:v>1057.6953786985828</x:v>
      </x:c>
      <x:c r="U413" s="17" t="n">
        <x:f>IF(AND($A413&gt;='Control Room'!$A$13,$A413&lt;'Control Room'!$A$13+'Control Room'!$B$13,'Process'!BN2=1),1+('Control Room'!$C$13-1)*EXP(-0.5*(($A413-'Control Room'!$A$13-('Control Room'!$B$13-1)/2)/MAX(0.5,'Control Room'!$B$13/4))^2),1)*IF(AND($A413&gt;='Control Room'!$A$14,$A413&lt;'Control Room'!$A$14+'Control Room'!$B$14,'Process'!BN3=1),1+('Control Room'!$C$14-1)*EXP(-0.5*(($A413-'Control Room'!$A$14-('Control Room'!$B$14-1)/2)/MAX(0.5,'Control Room'!$B$14/4))^2),1)*IF(AND($A413&gt;='Control Room'!$A$15,$A413&lt;'Control Room'!$A$15+'Control Room'!$B$15,'Process'!BN4=1),1+('Control Room'!$C$15-1)*EXP(-0.5*(($A413-'Control Room'!$A$15-('Control Room'!$B$15-1)/2)/MAX(0.5,'Control Room'!$B$15/4))^2),1)*IF(AND($A413&gt;='Control Room'!$A$16,$A413&lt;'Control Room'!$A$16+'Control Room'!$B$16,'Process'!BN5=1),1+('Control Room'!$C$16-1)*EXP(-0.5*(($A413-'Control Room'!$A$16-('Control Room'!$B$16-1)/2)/MAX(0.5,'Control Room'!$B$16/4))^2),1)</x:f>
        <x:v>1</x:v>
      </x:c>
      <x:c r="V413" s="9" t="n">
        <x:f>MOD(W412*16807,2147483647)</x:f>
        <x:v>705422846</x:v>
      </x:c>
      <x:c r="W413" s="9" t="n">
        <x:f>MOD(V413*16807,2147483647)</x:f>
        <x:v>1932041282</x:v>
      </x:c>
      <x:c r="X413" s="17" t="n">
        <x:f>IF('Control Room'!$B$5="Normal",'Control Room'!$B$7+'Control Room'!$D$7*SQRT(-2*LN(MAX(0.000000000001,V413/2147483647)))*COS(2*PI()*W413/2147483647),'Control Room'!$B$8+('Control Room'!$D$8-'Control Room'!$B$8)*V413/2147483647)</x:f>
        <x:v>1108.4851610463293</x:v>
      </x:c>
      <x:c r="Y413" s="17" t="n">
        <x:f>IF('Control Room'!$B$5="Normal",'Control Room'!$B$7,('Control Room'!$B$8+'Control Room'!$D$8)/2)+'Control Room'!$B$9*(Y412-IF('Control Room'!$B$5="Normal",'Control Room'!$B$7,('Control Room'!$B$8+'Control Room'!$D$8)/2))+SQRT(1-'Control Room'!$B$9^2)*(X413-IF('Control Room'!$B$5="Normal",'Control Room'!$B$7,('Control Room'!$B$8+'Control Room'!$D$8)/2))</x:f>
        <x:v>1079.5653298417333</x:v>
      </x:c>
      <x:c r="Z413" s="17" t="n">
        <x:f>IF(AND($A413&gt;='Control Room'!$A$13,$A413&lt;'Control Room'!$A$13+'Control Room'!$B$13,'Process'!BO2=1),1+('Control Room'!$C$13-1)*EXP(-0.5*(($A413-'Control Room'!$A$13-('Control Room'!$B$13-1)/2)/MAX(0.5,'Control Room'!$B$13/4))^2),1)*IF(AND($A413&gt;='Control Room'!$A$14,$A413&lt;'Control Room'!$A$14+'Control Room'!$B$14,'Process'!BO3=1),1+('Control Room'!$C$14-1)*EXP(-0.5*(($A413-'Control Room'!$A$14-('Control Room'!$B$14-1)/2)/MAX(0.5,'Control Room'!$B$14/4))^2),1)*IF(AND($A413&gt;='Control Room'!$A$15,$A413&lt;'Control Room'!$A$15+'Control Room'!$B$15,'Process'!BO4=1),1+('Control Room'!$C$15-1)*EXP(-0.5*(($A413-'Control Room'!$A$15-('Control Room'!$B$15-1)/2)/MAX(0.5,'Control Room'!$B$15/4))^2),1)*IF(AND($A413&gt;='Control Room'!$A$16,$A413&lt;'Control Room'!$A$16+'Control Room'!$B$16,'Process'!BO5=1),1+('Control Room'!$C$16-1)*EXP(-0.5*(($A413-'Control Room'!$A$16-('Control Room'!$B$16-1)/2)/MAX(0.5,'Control Room'!$B$16/4))^2),1)</x:f>
        <x:v>1</x:v>
      </x:c>
      <x:c r="AA413" s="9" t="n">
        <x:f>MOD(AB412*16807,2147483647)</x:f>
        <x:v>1665155887</x:v>
      </x:c>
      <x:c r="AB413" s="9" t="n">
        <x:f>MOD(AA413*16807,2147483647)</x:f>
        <x:v>268105105</x:v>
      </x:c>
      <x:c r="AC413" s="17" t="n">
        <x:f>IF('Control Room'!$B$5="Normal",'Control Room'!$B$7+'Control Room'!$D$7*SQRT(-2*LN(MAX(0.000000000001,AA413/2147483647)))*COS(2*PI()*AB413/2147483647),'Control Room'!$B$8+('Control Room'!$D$8-'Control Room'!$B$8)*AA413/2147483647)</x:f>
        <x:v>1045.4361641094579</x:v>
      </x:c>
      <x:c r="AD413" s="17" t="n">
        <x:f>IF('Control Room'!$B$5="Normal",'Control Room'!$B$7,('Control Room'!$B$8+'Control Room'!$D$8)/2)+'Control Room'!$B$9*(AD412-IF('Control Room'!$B$5="Normal",'Control Room'!$B$7,('Control Room'!$B$8+'Control Room'!$D$8)/2))+SQRT(1-'Control Room'!$B$9^2)*(AC413-IF('Control Room'!$B$5="Normal",'Control Room'!$B$7,('Control Room'!$B$8+'Control Room'!$D$8)/2))</x:f>
        <x:v>1035.7247166300951</x:v>
      </x:c>
      <x:c r="AE413" s="17" t="n">
        <x:f>IF(AND($A413&gt;='Control Room'!$A$13,$A413&lt;'Control Room'!$A$13+'Control Room'!$B$13,'Process'!BP2=1),1+('Control Room'!$C$13-1)*EXP(-0.5*(($A413-'Control Room'!$A$13-('Control Room'!$B$13-1)/2)/MAX(0.5,'Control Room'!$B$13/4))^2),1)*IF(AND($A413&gt;='Control Room'!$A$14,$A413&lt;'Control Room'!$A$14+'Control Room'!$B$14,'Process'!BP3=1),1+('Control Room'!$C$14-1)*EXP(-0.5*(($A413-'Control Room'!$A$14-('Control Room'!$B$14-1)/2)/MAX(0.5,'Control Room'!$B$14/4))^2),1)*IF(AND($A413&gt;='Control Room'!$A$15,$A413&lt;'Control Room'!$A$15+'Control Room'!$B$15,'Process'!BP4=1),1+('Control Room'!$C$15-1)*EXP(-0.5*(($A413-'Control Room'!$A$15-('Control Room'!$B$15-1)/2)/MAX(0.5,'Control Room'!$B$15/4))^2),1)*IF(AND($A413&gt;='Control Room'!$A$16,$A413&lt;'Control Room'!$A$16+'Control Room'!$B$16,'Process'!BP5=1),1+('Control Room'!$C$16-1)*EXP(-0.5*(($A413-'Control Room'!$A$16-('Control Room'!$B$16-1)/2)/MAX(0.5,'Control Room'!$B$16/4))^2),1)</x:f>
        <x:v>1</x:v>
      </x:c>
      <x:c r="AF413" s="9" t="n">
        <x:f>MOD(AG412*16807,2147483647)</x:f>
        <x:v>477405281</x:v>
      </x:c>
      <x:c r="AG413" s="9" t="n">
        <x:f>MOD(AF413*16807,2147483647)</x:f>
        <x:v>751652575</x:v>
      </x:c>
      <x:c r="AH413" s="17" t="n">
        <x:f>IF('Control Room'!$B$5="Normal",'Control Room'!$B$7+'Control Room'!$D$7*SQRT(-2*LN(MAX(0.000000000001,AF413/2147483647)))*COS(2*PI()*AG413/2147483647),'Control Room'!$B$8+('Control Room'!$D$8-'Control Room'!$B$8)*AF413/2147483647)</x:f>
        <x:v>908.2485281777813</x:v>
      </x:c>
      <x:c r="AI413" s="17" t="n">
        <x:f>IF('Control Room'!$B$5="Normal",'Control Room'!$B$7,('Control Room'!$B$8+'Control Room'!$D$8)/2)+'Control Room'!$B$9*(AI412-IF('Control Room'!$B$5="Normal",'Control Room'!$B$7,('Control Room'!$B$8+'Control Room'!$D$8)/2))+SQRT(1-'Control Room'!$B$9^2)*(AH413-IF('Control Room'!$B$5="Normal",'Control Room'!$B$7,('Control Room'!$B$8+'Control Room'!$D$8)/2))</x:f>
        <x:v>829.2696207881334</x:v>
      </x:c>
      <x:c r="AJ413" s="17" t="n">
        <x:f>IF(AND($A413&gt;='Control Room'!$A$13,$A413&lt;'Control Room'!$A$13+'Control Room'!$B$13,'Process'!BQ2=1),1+('Control Room'!$C$13-1)*EXP(-0.5*(($A413-'Control Room'!$A$13-('Control Room'!$B$13-1)/2)/MAX(0.5,'Control Room'!$B$13/4))^2),1)*IF(AND($A413&gt;='Control Room'!$A$14,$A413&lt;'Control Room'!$A$14+'Control Room'!$B$14,'Process'!BQ3=1),1+('Control Room'!$C$14-1)*EXP(-0.5*(($A413-'Control Room'!$A$14-('Control Room'!$B$14-1)/2)/MAX(0.5,'Control Room'!$B$14/4))^2),1)*IF(AND($A413&gt;='Control Room'!$A$15,$A413&lt;'Control Room'!$A$15+'Control Room'!$B$15,'Process'!BQ4=1),1+('Control Room'!$C$15-1)*EXP(-0.5*(($A413-'Control Room'!$A$15-('Control Room'!$B$15-1)/2)/MAX(0.5,'Control Room'!$B$15/4))^2),1)*IF(AND($A413&gt;='Control Room'!$A$16,$A413&lt;'Control Room'!$A$16+'Control Room'!$B$16,'Process'!BQ5=1),1+('Control Room'!$C$16-1)*EXP(-0.5*(($A413-'Control Room'!$A$16-('Control Room'!$B$16-1)/2)/MAX(0.5,'Control Room'!$B$16/4))^2),1)</x:f>
        <x:v>1</x:v>
      </x:c>
      <x:c r="AK413" s="9" t="n">
        <x:f>MOD(AL412*16807,2147483647)</x:f>
        <x:v>1437138322</x:v>
      </x:c>
      <x:c r="AL413" s="9" t="n">
        <x:f>MOD(AK413*16807,2147483647)</x:f>
        <x:v>1235200045</x:v>
      </x:c>
      <x:c r="AM413" s="17" t="n">
        <x:f>IF('Control Room'!$B$5="Normal",'Control Room'!$B$7+'Control Room'!$D$7*SQRT(-2*LN(MAX(0.000000000001,AK413/2147483647)))*COS(2*PI()*AL413/2147483647),'Control Room'!$B$8+('Control Room'!$D$8-'Control Room'!$B$8)*AK413/2147483647)</x:f>
        <x:v>928.1707934745465</x:v>
      </x:c>
      <x:c r="AN413" s="17" t="n">
        <x:f>IF('Control Room'!$B$5="Normal",'Control Room'!$B$7,('Control Room'!$B$8+'Control Room'!$D$8)/2)+'Control Room'!$B$9*(AN412-IF('Control Room'!$B$5="Normal",'Control Room'!$B$7,('Control Room'!$B$8+'Control Room'!$D$8)/2))+SQRT(1-'Control Room'!$B$9^2)*(AM413-IF('Control Room'!$B$5="Normal",'Control Room'!$B$7,('Control Room'!$B$8+'Control Room'!$D$8)/2))</x:f>
        <x:v>1022.859624979961</x:v>
      </x:c>
      <x:c r="AO413" s="17" t="n">
        <x:f>IF(AND($A413&gt;='Control Room'!$A$13,$A413&lt;'Control Room'!$A$13+'Control Room'!$B$13,'Process'!BR2=1),1+('Control Room'!$C$13-1)*EXP(-0.5*(($A413-'Control Room'!$A$13-('Control Room'!$B$13-1)/2)/MAX(0.5,'Control Room'!$B$13/4))^2),1)*IF(AND($A413&gt;='Control Room'!$A$14,$A413&lt;'Control Room'!$A$14+'Control Room'!$B$14,'Process'!BR3=1),1+('Control Room'!$C$14-1)*EXP(-0.5*(($A413-'Control Room'!$A$14-('Control Room'!$B$14-1)/2)/MAX(0.5,'Control Room'!$B$14/4))^2),1)*IF(AND($A413&gt;='Control Room'!$A$15,$A413&lt;'Control Room'!$A$15+'Control Room'!$B$15,'Process'!BR4=1),1+('Control Room'!$C$15-1)*EXP(-0.5*(($A413-'Control Room'!$A$15-('Control Room'!$B$15-1)/2)/MAX(0.5,'Control Room'!$B$15/4))^2),1)*IF(AND($A413&gt;='Control Room'!$A$16,$A413&lt;'Control Room'!$A$16+'Control Room'!$B$16,'Process'!BR5=1),1+('Control Room'!$C$16-1)*EXP(-0.5*(($A413-'Control Room'!$A$16-('Control Room'!$B$16-1)/2)/MAX(0.5,'Control Room'!$B$16/4))^2),1)</x:f>
        <x:v>1</x:v>
      </x:c>
      <x:c r="AP413" s="9" t="n">
        <x:f>MOD(AQ412*16807,2147483647)</x:f>
        <x:v>249387716</x:v>
      </x:c>
      <x:c r="AQ413" s="9" t="n">
        <x:f>MOD(AP413*16807,2147483647)</x:f>
        <x:v>1718747515</x:v>
      </x:c>
      <x:c r="AR413" s="17" t="n">
        <x:f>IF('Control Room'!$B$5="Normal",'Control Room'!$B$7+'Control Room'!$D$7*SQRT(-2*LN(MAX(0.000000000001,AP413/2147483647)))*COS(2*PI()*AQ413/2147483647),'Control Room'!$B$8+('Control Room'!$D$8-'Control Room'!$B$8)*AP413/2147483647)</x:f>
        <x:v>1058.1071444000308</x:v>
      </x:c>
      <x:c r="AS413" s="17" t="n">
        <x:f>IF('Control Room'!$B$5="Normal",'Control Room'!$B$7,('Control Room'!$B$8+'Control Room'!$D$8)/2)+'Control Room'!$B$9*(AS412-IF('Control Room'!$B$5="Normal",'Control Room'!$B$7,('Control Room'!$B$8+'Control Room'!$D$8)/2))+SQRT(1-'Control Room'!$B$9^2)*(AR413-IF('Control Room'!$B$5="Normal",'Control Room'!$B$7,('Control Room'!$B$8+'Control Room'!$D$8)/2))</x:f>
        <x:v>958.2312784838535</x:v>
      </x:c>
      <x:c r="AT413" s="17" t="n">
        <x:f>IF(AND($A413&gt;='Control Room'!$A$13,$A413&lt;'Control Room'!$A$13+'Control Room'!$B$13,'Process'!BS2=1),1+('Control Room'!$C$13-1)*EXP(-0.5*(($A413-'Control Room'!$A$13-('Control Room'!$B$13-1)/2)/MAX(0.5,'Control Room'!$B$13/4))^2),1)*IF(AND($A413&gt;='Control Room'!$A$14,$A413&lt;'Control Room'!$A$14+'Control Room'!$B$14,'Process'!BS3=1),1+('Control Room'!$C$14-1)*EXP(-0.5*(($A413-'Control Room'!$A$14-('Control Room'!$B$14-1)/2)/MAX(0.5,'Control Room'!$B$14/4))^2),1)*IF(AND($A413&gt;='Control Room'!$A$15,$A413&lt;'Control Room'!$A$15+'Control Room'!$B$15,'Process'!BS4=1),1+('Control Room'!$C$15-1)*EXP(-0.5*(($A413-'Control Room'!$A$15-('Control Room'!$B$15-1)/2)/MAX(0.5,'Control Room'!$B$15/4))^2),1)*IF(AND($A413&gt;='Control Room'!$A$16,$A413&lt;'Control Room'!$A$16+'Control Room'!$B$16,'Process'!BS5=1),1+('Control Room'!$C$16-1)*EXP(-0.5*(($A413-'Control Room'!$A$16-('Control Room'!$B$16-1)/2)/MAX(0.5,'Control Room'!$B$16/4))^2),1)</x:f>
        <x:v>1</x:v>
      </x:c>
      <x:c r="AU413" s="9" t="n">
        <x:f>MOD(AV412*16807,2147483647)</x:f>
        <x:v>1209120757</x:v>
      </x:c>
      <x:c r="AV413" s="9" t="n">
        <x:f>MOD(AU413*16807,2147483647)</x:f>
        <x:v>54811338</x:v>
      </x:c>
      <x:c r="AW413" s="17" t="n">
        <x:f>IF('Control Room'!$B$5="Normal",'Control Room'!$B$7+'Control Room'!$D$7*SQRT(-2*LN(MAX(0.000000000001,AU413/2147483647)))*COS(2*PI()*AV413/2147483647),'Control Room'!$B$8+('Control Room'!$D$8-'Control Room'!$B$8)*AU413/2147483647)</x:f>
        <x:v>1095.2263705981416</x:v>
      </x:c>
      <x:c r="AX413" s="17" t="n">
        <x:f>IF('Control Room'!$B$5="Normal",'Control Room'!$B$7,('Control Room'!$B$8+'Control Room'!$D$8)/2)+'Control Room'!$B$9*(AX412-IF('Control Room'!$B$5="Normal",'Control Room'!$B$7,('Control Room'!$B$8+'Control Room'!$D$8)/2))+SQRT(1-'Control Room'!$B$9^2)*(AW413-IF('Control Room'!$B$5="Normal",'Control Room'!$B$7,('Control Room'!$B$8+'Control Room'!$D$8)/2))</x:f>
        <x:v>1011.8399090129637</x:v>
      </x:c>
      <x:c r="AY413" s="17" t="n">
        <x:f>IF(AND($A413&gt;='Control Room'!$A$13,$A413&lt;'Control Room'!$A$13+'Control Room'!$B$13,'Process'!BT2=1),1+('Control Room'!$C$13-1)*EXP(-0.5*(($A413-'Control Room'!$A$13-('Control Room'!$B$13-1)/2)/MAX(0.5,'Control Room'!$B$13/4))^2),1)*IF(AND($A413&gt;='Control Room'!$A$14,$A413&lt;'Control Room'!$A$14+'Control Room'!$B$14,'Process'!BT3=1),1+('Control Room'!$C$14-1)*EXP(-0.5*(($A413-'Control Room'!$A$14-('Control Room'!$B$14-1)/2)/MAX(0.5,'Control Room'!$B$14/4))^2),1)*IF(AND($A413&gt;='Control Room'!$A$15,$A413&lt;'Control Room'!$A$15+'Control Room'!$B$15,'Process'!BT4=1),1+('Control Room'!$C$15-1)*EXP(-0.5*(($A413-'Control Room'!$A$15-('Control Room'!$B$15-1)/2)/MAX(0.5,'Control Room'!$B$15/4))^2),1)*IF(AND($A413&gt;='Control Room'!$A$16,$A413&lt;'Control Room'!$A$16+'Control Room'!$B$16,'Process'!BT5=1),1+('Control Room'!$C$16-1)*EXP(-0.5*(($A413-'Control Room'!$A$16-('Control Room'!$B$16-1)/2)/MAX(0.5,'Control Room'!$B$16/4))^2),1)</x:f>
        <x:v>1</x:v>
      </x:c>
      <x:c r="AZ413" s="9" t="n">
        <x:f>MOD(BA412*16807,2147483647)</x:f>
        <x:v>21370151</x:v>
      </x:c>
      <x:c r="BA413" s="9" t="n">
        <x:f>MOD(AZ413*16807,2147483647)</x:f>
        <x:v>538358808</x:v>
      </x:c>
      <x:c r="BB413" s="17" t="n">
        <x:f>IF('Control Room'!$B$5="Normal",'Control Room'!$B$7+'Control Room'!$D$7*SQRT(-2*LN(MAX(0.000000000001,AZ413/2147483647)))*COS(2*PI()*BA413/2147483647),'Control Room'!$B$8+('Control Room'!$D$8-'Control Room'!$B$8)*AZ413/2147483647)</x:f>
        <x:v>998.8103151510442</x:v>
      </x:c>
      <x:c r="BC413" s="17" t="n">
        <x:f>IF('Control Room'!$B$5="Normal",'Control Room'!$B$7,('Control Room'!$B$8+'Control Room'!$D$8)/2)+'Control Room'!$B$9*(BC412-IF('Control Room'!$B$5="Normal",'Control Room'!$B$7,('Control Room'!$B$8+'Control Room'!$D$8)/2))+SQRT(1-'Control Room'!$B$9^2)*(BB413-IF('Control Room'!$B$5="Normal",'Control Room'!$B$7,('Control Room'!$B$8+'Control Room'!$D$8)/2))</x:f>
        <x:v>898.9073821191322</x:v>
      </x:c>
      <x:c r="BD413" s="17" t="n">
        <x:f>IF(AND($A413&gt;='Control Room'!$A$13,$A413&lt;'Control Room'!$A$13+'Control Room'!$B$13,'Process'!BU2=1),1+('Control Room'!$C$13-1)*EXP(-0.5*(($A413-'Control Room'!$A$13-('Control Room'!$B$13-1)/2)/MAX(0.5,'Control Room'!$B$13/4))^2),1)*IF(AND($A413&gt;='Control Room'!$A$14,$A413&lt;'Control Room'!$A$14+'Control Room'!$B$14,'Process'!BU3=1),1+('Control Room'!$C$14-1)*EXP(-0.5*(($A413-'Control Room'!$A$14-('Control Room'!$B$14-1)/2)/MAX(0.5,'Control Room'!$B$14/4))^2),1)*IF(AND($A413&gt;='Control Room'!$A$15,$A413&lt;'Control Room'!$A$15+'Control Room'!$B$15,'Process'!BU4=1),1+('Control Room'!$C$15-1)*EXP(-0.5*(($A413-'Control Room'!$A$15-('Control Room'!$B$15-1)/2)/MAX(0.5,'Control Room'!$B$15/4))^2),1)*IF(AND($A413&gt;='Control Room'!$A$16,$A413&lt;'Control Room'!$A$16+'Control Room'!$B$16,'Process'!BU5=1),1+('Control Room'!$C$16-1)*EXP(-0.5*(($A413-'Control Room'!$A$16-('Control Room'!$B$16-1)/2)/MAX(0.5,'Control Room'!$B$16/4))^2),1)</x:f>
        <x:v>1</x:v>
      </x:c>
      <x:c r="BE413" s="9" t="n">
        <x:f>MOD(BF412*16807,2147483647)</x:f>
        <x:v>981103192</x:v>
      </x:c>
      <x:c r="BF413" s="9" t="n">
        <x:f>MOD(BE413*16807,2147483647)</x:f>
        <x:v>1021906278</x:v>
      </x:c>
      <x:c r="BG413" s="17" t="n">
        <x:f>IF('Control Room'!$B$5="Normal",'Control Room'!$B$7+'Control Room'!$D$7*SQRT(-2*LN(MAX(0.000000000001,BE413/2147483647)))*COS(2*PI()*BF413/2147483647),'Control Room'!$B$8+('Control Room'!$D$8-'Control Room'!$B$8)*BE413/2147483647)</x:f>
        <x:v>888.6402558728402</x:v>
      </x:c>
      <x:c r="BH413" s="17" t="n">
        <x:f>IF('Control Room'!$B$5="Normal",'Control Room'!$B$7,('Control Room'!$B$8+'Control Room'!$D$8)/2)+'Control Room'!$B$9*(BH412-IF('Control Room'!$B$5="Normal",'Control Room'!$B$7,('Control Room'!$B$8+'Control Room'!$D$8)/2))+SQRT(1-'Control Room'!$B$9^2)*(BG413-IF('Control Room'!$B$5="Normal",'Control Room'!$B$7,('Control Room'!$B$8+'Control Room'!$D$8)/2))</x:f>
        <x:v>924.5803697469922</x:v>
      </x:c>
      <x:c r="BI413" s="17" t="n">
        <x:f>IF(AND($A413&gt;='Control Room'!$A$13,$A413&lt;'Control Room'!$A$13+'Control Room'!$B$13,'Process'!BV2=1),1+('Control Room'!$C$13-1)*EXP(-0.5*(($A413-'Control Room'!$A$13-('Control Room'!$B$13-1)/2)/MAX(0.5,'Control Room'!$B$13/4))^2),1)*IF(AND($A413&gt;='Control Room'!$A$14,$A413&lt;'Control Room'!$A$14+'Control Room'!$B$14,'Process'!BV3=1),1+('Control Room'!$C$14-1)*EXP(-0.5*(($A413-'Control Room'!$A$14-('Control Room'!$B$14-1)/2)/MAX(0.5,'Control Room'!$B$14/4))^2),1)*IF(AND($A413&gt;='Control Room'!$A$15,$A413&lt;'Control Room'!$A$15+'Control Room'!$B$15,'Process'!BV4=1),1+('Control Room'!$C$15-1)*EXP(-0.5*(($A413-'Control Room'!$A$15-('Control Room'!$B$15-1)/2)/MAX(0.5,'Control Room'!$B$15/4))^2),1)*IF(AND($A413&gt;='Control Room'!$A$16,$A413&lt;'Control Room'!$A$16+'Control Room'!$B$16,'Process'!BV5=1),1+('Control Room'!$C$16-1)*EXP(-0.5*(($A413-'Control Room'!$A$16-('Control Room'!$B$16-1)/2)/MAX(0.5,'Control Room'!$B$16/4))^2),1)</x:f>
        <x:v>1</x:v>
      </x:c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Z413" t="str">
        <x:f>IF('Data'!A413="","",TEXT('Data'!A413,"mm-dd"))</x:f>
      </x:c>
    </x:row>
    <x:row r="414" ht="21" customHeight="1">
      <x:c r="A414" s="15" t="n">
        <x:f>'Control Room'!$B$1+412</x:f>
        <x:v>73403</x:v>
      </x:c>
      <x:c r="B414" s="9" t="n">
        <x:f>MOD(C413*16807,2147483647)</x:f>
        <x:v>395735413</x:v>
      </x:c>
      <x:c r="C414" s="9" t="n">
        <x:f>MOD(B414*16807,2147483647)</x:f>
        <x:v>368231532</x:v>
      </x:c>
      <x:c r="D414" s="17" t="n">
        <x:f>IF('Control Room'!$B$5="Normal",'Control Room'!$B$7+'Control Room'!$D$7*SQRT(-2*LN(MAX(0.000000000001,B414/2147483647)))*COS(2*PI()*C414/2147483647),'Control Room'!$B$8+('Control Room'!$D$8-'Control Room'!$B$8)*B414/2147483647)</x:f>
        <x:v>1078.3990029072097</x:v>
      </x:c>
      <x:c r="E414" s="17" t="n">
        <x:f>IF('Control Room'!$B$5="Normal",'Control Room'!$B$7,('Control Room'!$B$8+'Control Room'!$D$8)/2)+'Control Room'!$B$9*(E413-IF('Control Room'!$B$5="Normal",'Control Room'!$B$7,('Control Room'!$B$8+'Control Room'!$D$8)/2))+SQRT(1-'Control Room'!$B$9^2)*(D414-IF('Control Room'!$B$5="Normal",'Control Room'!$B$7,('Control Room'!$B$8+'Control Room'!$D$8)/2))</x:f>
        <x:v>1173.259447752642</x:v>
      </x:c>
      <x:c r="F414" s="17" t="n">
        <x:f>IF(AND($A414&gt;='Control Room'!$A$13,$A414&lt;'Control Room'!$A$13+'Control Room'!$B$13,'Process'!BK2=1),1+('Control Room'!$C$13-1)*EXP(-0.5*(($A414-'Control Room'!$A$13-('Control Room'!$B$13-1)/2)/MAX(0.5,'Control Room'!$B$13/4))^2),1)*IF(AND($A414&gt;='Control Room'!$A$14,$A414&lt;'Control Room'!$A$14+'Control Room'!$B$14,'Process'!BK3=1),1+('Control Room'!$C$14-1)*EXP(-0.5*(($A414-'Control Room'!$A$14-('Control Room'!$B$14-1)/2)/MAX(0.5,'Control Room'!$B$14/4))^2),1)*IF(AND($A414&gt;='Control Room'!$A$15,$A414&lt;'Control Room'!$A$15+'Control Room'!$B$15,'Process'!BK4=1),1+('Control Room'!$C$15-1)*EXP(-0.5*(($A414-'Control Room'!$A$15-('Control Room'!$B$15-1)/2)/MAX(0.5,'Control Room'!$B$15/4))^2),1)*IF(AND($A414&gt;='Control Room'!$A$16,$A414&lt;'Control Room'!$A$16+'Control Room'!$B$16,'Process'!BK5=1),1+('Control Room'!$C$16-1)*EXP(-0.5*(($A414-'Control Room'!$A$16-('Control Room'!$B$16-1)/2)/MAX(0.5,'Control Room'!$B$16/4))^2),1)</x:f>
        <x:v>1</x:v>
      </x:c>
      <x:c r="G414" s="9" t="n">
        <x:f>MOD(H413*16807,2147483647)</x:f>
        <x:v>1299943455</x:v>
      </x:c>
      <x:c r="H414" s="9" t="n">
        <x:f>MOD(G414*16807,2147483647)</x:f>
        <x:v>1798507254</x:v>
      </x:c>
      <x:c r="I414" s="17" t="n">
        <x:f>IF('Control Room'!$B$5="Normal",'Control Room'!$B$7+'Control Room'!$D$7*SQRT(-2*LN(MAX(0.000000000001,G414/2147483647)))*COS(2*PI()*H414/2147483647),'Control Room'!$B$8+('Control Room'!$D$8-'Control Room'!$B$8)*G414/2147483647)</x:f>
        <x:v>1047.1153827542944</x:v>
      </x:c>
      <x:c r="J414" s="17" t="n">
        <x:f>IF('Control Room'!$B$5="Normal",'Control Room'!$B$7,('Control Room'!$B$8+'Control Room'!$D$8)/2)+'Control Room'!$B$9*(J413-IF('Control Room'!$B$5="Normal",'Control Room'!$B$7,('Control Room'!$B$8+'Control Room'!$D$8)/2))+SQRT(1-'Control Room'!$B$9^2)*(I414-IF('Control Room'!$B$5="Normal",'Control Room'!$B$7,('Control Room'!$B$8+'Control Room'!$D$8)/2))</x:f>
        <x:v>1075.716741610946</x:v>
      </x:c>
      <x:c r="K414" s="17" t="n">
        <x:f>IF(AND($A414&gt;='Control Room'!$A$13,$A414&lt;'Control Room'!$A$13+'Control Room'!$B$13,'Process'!BL2=1),1+('Control Room'!$C$13-1)*EXP(-0.5*(($A414-'Control Room'!$A$13-('Control Room'!$B$13-1)/2)/MAX(0.5,'Control Room'!$B$13/4))^2),1)*IF(AND($A414&gt;='Control Room'!$A$14,$A414&lt;'Control Room'!$A$14+'Control Room'!$B$14,'Process'!BL3=1),1+('Control Room'!$C$14-1)*EXP(-0.5*(($A414-'Control Room'!$A$14-('Control Room'!$B$14-1)/2)/MAX(0.5,'Control Room'!$B$14/4))^2),1)*IF(AND($A414&gt;='Control Room'!$A$15,$A414&lt;'Control Room'!$A$15+'Control Room'!$B$15,'Process'!BL4=1),1+('Control Room'!$C$15-1)*EXP(-0.5*(($A414-'Control Room'!$A$15-('Control Room'!$B$15-1)/2)/MAX(0.5,'Control Room'!$B$15/4))^2),1)*IF(AND($A414&gt;='Control Room'!$A$16,$A414&lt;'Control Room'!$A$16+'Control Room'!$B$16,'Process'!BL5=1),1+('Control Room'!$C$16-1)*EXP(-0.5*(($A414-'Control Room'!$A$16-('Control Room'!$B$16-1)/2)/MAX(0.5,'Control Room'!$B$16/4))^2),1)</x:f>
        <x:v>1</x:v>
      </x:c>
      <x:c r="L414" s="9" t="n">
        <x:f>MOD(M413*16807,2147483647)</x:f>
        <x:v>56667850</x:v>
      </x:c>
      <x:c r="M414" s="9" t="n">
        <x:f>MOD(L414*16807,2147483647)</x:f>
        <x:v>1081299329</x:v>
      </x:c>
      <x:c r="N414" s="17" t="n">
        <x:f>IF('Control Room'!$B$5="Normal",'Control Room'!$B$7+'Control Room'!$D$7*SQRT(-2*LN(MAX(0.000000000001,L414/2147483647)))*COS(2*PI()*M414/2147483647),'Control Room'!$B$8+('Control Room'!$D$8-'Control Room'!$B$8)*L414/2147483647)</x:f>
        <x:v>757.3980569850426</x:v>
      </x:c>
      <x:c r="O414" s="17" t="n">
        <x:f>IF('Control Room'!$B$5="Normal",'Control Room'!$B$7,('Control Room'!$B$8+'Control Room'!$D$8)/2)+'Control Room'!$B$9*(O413-IF('Control Room'!$B$5="Normal",'Control Room'!$B$7,('Control Room'!$B$8+'Control Room'!$D$8)/2))+SQRT(1-'Control Room'!$B$9^2)*(N414-IF('Control Room'!$B$5="Normal",'Control Room'!$B$7,('Control Room'!$B$8+'Control Room'!$D$8)/2))</x:f>
        <x:v>795.5656854139338</x:v>
      </x:c>
      <x:c r="P414" s="17" t="n">
        <x:f>IF(AND($A414&gt;='Control Room'!$A$13,$A414&lt;'Control Room'!$A$13+'Control Room'!$B$13,'Process'!BM2=1),1+('Control Room'!$C$13-1)*EXP(-0.5*(($A414-'Control Room'!$A$13-('Control Room'!$B$13-1)/2)/MAX(0.5,'Control Room'!$B$13/4))^2),1)*IF(AND($A414&gt;='Control Room'!$A$14,$A414&lt;'Control Room'!$A$14+'Control Room'!$B$14,'Process'!BM3=1),1+('Control Room'!$C$14-1)*EXP(-0.5*(($A414-'Control Room'!$A$14-('Control Room'!$B$14-1)/2)/MAX(0.5,'Control Room'!$B$14/4))^2),1)*IF(AND($A414&gt;='Control Room'!$A$15,$A414&lt;'Control Room'!$A$15+'Control Room'!$B$15,'Process'!BM4=1),1+('Control Room'!$C$15-1)*EXP(-0.5*(($A414-'Control Room'!$A$15-('Control Room'!$B$15-1)/2)/MAX(0.5,'Control Room'!$B$15/4))^2),1)*IF(AND($A414&gt;='Control Room'!$A$16,$A414&lt;'Control Room'!$A$16+'Control Room'!$B$16,'Process'!BM5=1),1+('Control Room'!$C$16-1)*EXP(-0.5*(($A414-'Control Room'!$A$16-('Control Room'!$B$16-1)/2)/MAX(0.5,'Control Room'!$B$16/4))^2),1)</x:f>
        <x:v>1</x:v>
      </x:c>
      <x:c r="Q414" s="9" t="n">
        <x:f>MOD(R413*16807,2147483647)</x:f>
        <x:v>960875892</x:v>
      </x:c>
      <x:c r="R414" s="9" t="n">
        <x:f>MOD(Q414*16807,2147483647)</x:f>
        <x:v>364091404</x:v>
      </x:c>
      <x:c r="S414" s="17" t="n">
        <x:f>IF('Control Room'!$B$5="Normal",'Control Room'!$B$7+'Control Room'!$D$7*SQRT(-2*LN(MAX(0.000000000001,Q414/2147483647)))*COS(2*PI()*R414/2147483647),'Control Room'!$B$8+('Control Room'!$D$8-'Control Room'!$B$8)*Q414/2147483647)</x:f>
        <x:v>1055.2746164415614</x:v>
      </x:c>
      <x:c r="T414" s="17" t="n">
        <x:f>IF('Control Room'!$B$5="Normal",'Control Room'!$B$7,('Control Room'!$B$8+'Control Room'!$D$8)/2)+'Control Room'!$B$9*(T413-IF('Control Room'!$B$5="Normal",'Control Room'!$B$7,('Control Room'!$B$8+'Control Room'!$D$8)/2))+SQRT(1-'Control Room'!$B$9^2)*(S414-IF('Control Room'!$B$5="Normal",'Control Room'!$B$7,('Control Room'!$B$8+'Control Room'!$D$8)/2))</x:f>
        <x:v>1079.5921179919565</x:v>
      </x:c>
      <x:c r="U414" s="17" t="n">
        <x:f>IF(AND($A414&gt;='Control Room'!$A$13,$A414&lt;'Control Room'!$A$13+'Control Room'!$B$13,'Process'!BN2=1),1+('Control Room'!$C$13-1)*EXP(-0.5*(($A414-'Control Room'!$A$13-('Control Room'!$B$13-1)/2)/MAX(0.5,'Control Room'!$B$13/4))^2),1)*IF(AND($A414&gt;='Control Room'!$A$14,$A414&lt;'Control Room'!$A$14+'Control Room'!$B$14,'Process'!BN3=1),1+('Control Room'!$C$14-1)*EXP(-0.5*(($A414-'Control Room'!$A$14-('Control Room'!$B$14-1)/2)/MAX(0.5,'Control Room'!$B$14/4))^2),1)*IF(AND($A414&gt;='Control Room'!$A$15,$A414&lt;'Control Room'!$A$15+'Control Room'!$B$15,'Process'!BN4=1),1+('Control Room'!$C$15-1)*EXP(-0.5*(($A414-'Control Room'!$A$15-('Control Room'!$B$15-1)/2)/MAX(0.5,'Control Room'!$B$15/4))^2),1)*IF(AND($A414&gt;='Control Room'!$A$16,$A414&lt;'Control Room'!$A$16+'Control Room'!$B$16,'Process'!BN5=1),1+('Control Room'!$C$16-1)*EXP(-0.5*(($A414-'Control Room'!$A$16-('Control Room'!$B$16-1)/2)/MAX(0.5,'Control Room'!$B$16/4))^2),1)</x:f>
        <x:v>1</x:v>
      </x:c>
      <x:c r="V414" s="9" t="n">
        <x:f>MOD(W413*16807,2147483647)</x:f>
        <x:v>1865083934</x:v>
      </x:c>
      <x:c r="W414" s="9" t="n">
        <x:f>MOD(V414*16807,2147483647)</x:f>
        <x:v>1794367126</x:v>
      </x:c>
      <x:c r="X414" s="17" t="n">
        <x:f>IF('Control Room'!$B$5="Normal",'Control Room'!$B$7+'Control Room'!$D$7*SQRT(-2*LN(MAX(0.000000000001,V414/2147483647)))*COS(2*PI()*W414/2147483647),'Control Room'!$B$8+('Control Room'!$D$8-'Control Room'!$B$8)*V414/2147483647)</x:f>
        <x:v>1024.4744447849628</x:v>
      </x:c>
      <x:c r="Y414" s="17" t="n">
        <x:f>IF('Control Room'!$B$5="Normal",'Control Room'!$B$7,('Control Room'!$B$8+'Control Room'!$D$8)/2)+'Control Room'!$B$9*(Y413-IF('Control Room'!$B$5="Normal",'Control Room'!$B$7,('Control Room'!$B$8+'Control Room'!$D$8)/2))+SQRT(1-'Control Room'!$B$9^2)*(X414-IF('Control Room'!$B$5="Normal",'Control Room'!$B$7,('Control Room'!$B$8+'Control Room'!$D$8)/2))</x:f>
        <x:v>1077.3765634367276</x:v>
      </x:c>
      <x:c r="Z414" s="17" t="n">
        <x:f>IF(AND($A414&gt;='Control Room'!$A$13,$A414&lt;'Control Room'!$A$13+'Control Room'!$B$13,'Process'!BO2=1),1+('Control Room'!$C$13-1)*EXP(-0.5*(($A414-'Control Room'!$A$13-('Control Room'!$B$13-1)/2)/MAX(0.5,'Control Room'!$B$13/4))^2),1)*IF(AND($A414&gt;='Control Room'!$A$14,$A414&lt;'Control Room'!$A$14+'Control Room'!$B$14,'Process'!BO3=1),1+('Control Room'!$C$14-1)*EXP(-0.5*(($A414-'Control Room'!$A$14-('Control Room'!$B$14-1)/2)/MAX(0.5,'Control Room'!$B$14/4))^2),1)*IF(AND($A414&gt;='Control Room'!$A$15,$A414&lt;'Control Room'!$A$15+'Control Room'!$B$15,'Process'!BO4=1),1+('Control Room'!$C$15-1)*EXP(-0.5*(($A414-'Control Room'!$A$15-('Control Room'!$B$15-1)/2)/MAX(0.5,'Control Room'!$B$15/4))^2),1)*IF(AND($A414&gt;='Control Room'!$A$16,$A414&lt;'Control Room'!$A$16+'Control Room'!$B$16,'Process'!BO5=1),1+('Control Room'!$C$16-1)*EXP(-0.5*(($A414-'Control Room'!$A$16-('Control Room'!$B$16-1)/2)/MAX(0.5,'Control Room'!$B$16/4))^2),1)</x:f>
        <x:v>1</x:v>
      </x:c>
      <x:c r="AA414" s="9" t="n">
        <x:f>MOD(AB413*16807,2147483647)</x:f>
        <x:v>621808329</x:v>
      </x:c>
      <x:c r="AB414" s="9" t="n">
        <x:f>MOD(AA414*16807,2147483647)</x:f>
        <x:v>1077159201</x:v>
      </x:c>
      <x:c r="AC414" s="17" t="n">
        <x:f>IF('Control Room'!$B$5="Normal",'Control Room'!$B$7+'Control Room'!$D$7*SQRT(-2*LN(MAX(0.000000000001,AA414/2147483647)))*COS(2*PI()*AB414/2147483647),'Control Room'!$B$8+('Control Room'!$D$8-'Control Room'!$B$8)*AA414/2147483647)</x:f>
        <x:v>858.3080838386287</x:v>
      </x:c>
      <x:c r="AD414" s="17" t="n">
        <x:f>IF('Control Room'!$B$5="Normal",'Control Room'!$B$7,('Control Room'!$B$8+'Control Room'!$D$8)/2)+'Control Room'!$B$9*(AD413-IF('Control Room'!$B$5="Normal",'Control Room'!$B$7,('Control Room'!$B$8+'Control Room'!$D$8)/2))+SQRT(1-'Control Room'!$B$9^2)*(AC414-IF('Control Room'!$B$5="Normal",'Control Room'!$B$7,('Control Room'!$B$8+'Control Room'!$D$8)/2))</x:f>
        <x:v>939.1973805543673</x:v>
      </x:c>
      <x:c r="AE414" s="17" t="n">
        <x:f>IF(AND($A414&gt;='Control Room'!$A$13,$A414&lt;'Control Room'!$A$13+'Control Room'!$B$13,'Process'!BP2=1),1+('Control Room'!$C$13-1)*EXP(-0.5*(($A414-'Control Room'!$A$13-('Control Room'!$B$13-1)/2)/MAX(0.5,'Control Room'!$B$13/4))^2),1)*IF(AND($A414&gt;='Control Room'!$A$14,$A414&lt;'Control Room'!$A$14+'Control Room'!$B$14,'Process'!BP3=1),1+('Control Room'!$C$14-1)*EXP(-0.5*(($A414-'Control Room'!$A$14-('Control Room'!$B$14-1)/2)/MAX(0.5,'Control Room'!$B$14/4))^2),1)*IF(AND($A414&gt;='Control Room'!$A$15,$A414&lt;'Control Room'!$A$15+'Control Room'!$B$15,'Process'!BP4=1),1+('Control Room'!$C$15-1)*EXP(-0.5*(($A414-'Control Room'!$A$15-('Control Room'!$B$15-1)/2)/MAX(0.5,'Control Room'!$B$15/4))^2),1)*IF(AND($A414&gt;='Control Room'!$A$16,$A414&lt;'Control Room'!$A$16+'Control Room'!$B$16,'Process'!BP5=1),1+('Control Room'!$C$16-1)*EXP(-0.5*(($A414-'Control Room'!$A$16-('Control Room'!$B$16-1)/2)/MAX(0.5,'Control Room'!$B$16/4))^2),1)</x:f>
        <x:v>1</x:v>
      </x:c>
      <x:c r="AF414" s="9" t="n">
        <x:f>MOD(AG413*16807,2147483647)</x:f>
        <x:v>1526016371</x:v>
      </x:c>
      <x:c r="AG414" s="9" t="n">
        <x:f>MOD(AF414*16807,2147483647)</x:f>
        <x:v>359951276</x:v>
      </x:c>
      <x:c r="AH414" s="17" t="n">
        <x:f>IF('Control Room'!$B$5="Normal",'Control Room'!$B$7+'Control Room'!$D$7*SQRT(-2*LN(MAX(0.000000000001,AF414/2147483647)))*COS(2*PI()*AG414/2147483647),'Control Room'!$B$8+('Control Room'!$D$8-'Control Room'!$B$8)*AF414/2147483647)</x:f>
        <x:v>1036.812422397217</x:v>
      </x:c>
      <x:c r="AI414" s="17" t="n">
        <x:f>IF('Control Room'!$B$5="Normal",'Control Room'!$B$7,('Control Room'!$B$8+'Control Room'!$D$8)/2)+'Control Room'!$B$9*(AI413-IF('Control Room'!$B$5="Normal",'Control Room'!$B$7,('Control Room'!$B$8+'Control Room'!$D$8)/2))+SQRT(1-'Control Room'!$B$9^2)*(AH414-IF('Control Room'!$B$5="Normal",'Control Room'!$B$7,('Control Room'!$B$8+'Control Room'!$D$8)/2))</x:f>
        <x:v>889.8667640074583</x:v>
      </x:c>
      <x:c r="AJ414" s="17" t="n">
        <x:f>IF(AND($A414&gt;='Control Room'!$A$13,$A414&lt;'Control Room'!$A$13+'Control Room'!$B$13,'Process'!BQ2=1),1+('Control Room'!$C$13-1)*EXP(-0.5*(($A414-'Control Room'!$A$13-('Control Room'!$B$13-1)/2)/MAX(0.5,'Control Room'!$B$13/4))^2),1)*IF(AND($A414&gt;='Control Room'!$A$14,$A414&lt;'Control Room'!$A$14+'Control Room'!$B$14,'Process'!BQ3=1),1+('Control Room'!$C$14-1)*EXP(-0.5*(($A414-'Control Room'!$A$14-('Control Room'!$B$14-1)/2)/MAX(0.5,'Control Room'!$B$14/4))^2),1)*IF(AND($A414&gt;='Control Room'!$A$15,$A414&lt;'Control Room'!$A$15+'Control Room'!$B$15,'Process'!BQ4=1),1+('Control Room'!$C$15-1)*EXP(-0.5*(($A414-'Control Room'!$A$15-('Control Room'!$B$15-1)/2)/MAX(0.5,'Control Room'!$B$15/4))^2),1)*IF(AND($A414&gt;='Control Room'!$A$16,$A414&lt;'Control Room'!$A$16+'Control Room'!$B$16,'Process'!BQ5=1),1+('Control Room'!$C$16-1)*EXP(-0.5*(($A414-'Control Room'!$A$16-('Control Room'!$B$16-1)/2)/MAX(0.5,'Control Room'!$B$16/4))^2),1)</x:f>
        <x:v>1</x:v>
      </x:c>
      <x:c r="AK414" s="9" t="n">
        <x:f>MOD(AL413*16807,2147483647)</x:f>
        <x:v>282740766</x:v>
      </x:c>
      <x:c r="AL414" s="9" t="n">
        <x:f>MOD(AK414*16807,2147483647)</x:f>
        <x:v>1790226998</x:v>
      </x:c>
      <x:c r="AM414" s="17" t="n">
        <x:f>IF('Control Room'!$B$5="Normal",'Control Room'!$B$7+'Control Room'!$D$7*SQRT(-2*LN(MAX(0.000000000001,AK414/2147483647)))*COS(2*PI()*AL414/2147483647),'Control Room'!$B$8+('Control Room'!$D$8-'Control Room'!$B$8)*AK414/2147483647)</x:f>
        <x:v>1090.918793856388</x:v>
      </x:c>
      <x:c r="AN414" s="17" t="n">
        <x:f>IF('Control Room'!$B$5="Normal",'Control Room'!$B$7,('Control Room'!$B$8+'Control Room'!$D$8)/2)+'Control Room'!$B$9*(AN413-IF('Control Room'!$B$5="Normal",'Control Room'!$B$7,('Control Room'!$B$8+'Control Room'!$D$8)/2))+SQRT(1-'Control Room'!$B$9^2)*(AM414-IF('Control Room'!$B$5="Normal",'Control Room'!$B$7,('Control Room'!$B$8+'Control Room'!$D$8)/2))</x:f>
        <x:v>1074.7256261069651</x:v>
      </x:c>
      <x:c r="AO414" s="17" t="n">
        <x:f>IF(AND($A414&gt;='Control Room'!$A$13,$A414&lt;'Control Room'!$A$13+'Control Room'!$B$13,'Process'!BR2=1),1+('Control Room'!$C$13-1)*EXP(-0.5*(($A414-'Control Room'!$A$13-('Control Room'!$B$13-1)/2)/MAX(0.5,'Control Room'!$B$13/4))^2),1)*IF(AND($A414&gt;='Control Room'!$A$14,$A414&lt;'Control Room'!$A$14+'Control Room'!$B$14,'Process'!BR3=1),1+('Control Room'!$C$14-1)*EXP(-0.5*(($A414-'Control Room'!$A$14-('Control Room'!$B$14-1)/2)/MAX(0.5,'Control Room'!$B$14/4))^2),1)*IF(AND($A414&gt;='Control Room'!$A$15,$A414&lt;'Control Room'!$A$15+'Control Room'!$B$15,'Process'!BR4=1),1+('Control Room'!$C$15-1)*EXP(-0.5*(($A414-'Control Room'!$A$15-('Control Room'!$B$15-1)/2)/MAX(0.5,'Control Room'!$B$15/4))^2),1)*IF(AND($A414&gt;='Control Room'!$A$16,$A414&lt;'Control Room'!$A$16+'Control Room'!$B$16,'Process'!BR5=1),1+('Control Room'!$C$16-1)*EXP(-0.5*(($A414-'Control Room'!$A$16-('Control Room'!$B$16-1)/2)/MAX(0.5,'Control Room'!$B$16/4))^2),1)</x:f>
        <x:v>1</x:v>
      </x:c>
      <x:c r="AP414" s="9" t="n">
        <x:f>MOD(AQ413*16807,2147483647)</x:f>
        <x:v>1186948808</x:v>
      </x:c>
      <x:c r="AQ414" s="9" t="n">
        <x:f>MOD(AP414*16807,2147483647)</x:f>
        <x:v>1073019073</x:v>
      </x:c>
      <x:c r="AR414" s="17" t="n">
        <x:f>IF('Control Room'!$B$5="Normal",'Control Room'!$B$7+'Control Room'!$D$7*SQRT(-2*LN(MAX(0.000000000001,AP414/2147483647)))*COS(2*PI()*AQ414/2147483647),'Control Room'!$B$8+('Control Room'!$D$8-'Control Room'!$B$8)*AP414/2147483647)</x:f>
        <x:v>901.9943289286839</x:v>
      </x:c>
      <x:c r="AS414" s="17" t="n">
        <x:f>IF('Control Room'!$B$5="Normal",'Control Room'!$B$7,('Control Room'!$B$8+'Control Room'!$D$8)/2)+'Control Room'!$B$9*(AS413-IF('Control Room'!$B$5="Normal",'Control Room'!$B$7,('Control Room'!$B$8+'Control Room'!$D$8)/2))+SQRT(1-'Control Room'!$B$9^2)*(AR414-IF('Control Room'!$B$5="Normal",'Control Room'!$B$7,('Control Room'!$B$8+'Control Room'!$D$8)/2))</x:f>
        <x:v>906.0904560162792</x:v>
      </x:c>
      <x:c r="AT414" s="17" t="n">
        <x:f>IF(AND($A414&gt;='Control Room'!$A$13,$A414&lt;'Control Room'!$A$13+'Control Room'!$B$13,'Process'!BS2=1),1+('Control Room'!$C$13-1)*EXP(-0.5*(($A414-'Control Room'!$A$13-('Control Room'!$B$13-1)/2)/MAX(0.5,'Control Room'!$B$13/4))^2),1)*IF(AND($A414&gt;='Control Room'!$A$14,$A414&lt;'Control Room'!$A$14+'Control Room'!$B$14,'Process'!BS3=1),1+('Control Room'!$C$14-1)*EXP(-0.5*(($A414-'Control Room'!$A$14-('Control Room'!$B$14-1)/2)/MAX(0.5,'Control Room'!$B$14/4))^2),1)*IF(AND($A414&gt;='Control Room'!$A$15,$A414&lt;'Control Room'!$A$15+'Control Room'!$B$15,'Process'!BS4=1),1+('Control Room'!$C$15-1)*EXP(-0.5*(($A414-'Control Room'!$A$15-('Control Room'!$B$15-1)/2)/MAX(0.5,'Control Room'!$B$15/4))^2),1)*IF(AND($A414&gt;='Control Room'!$A$16,$A414&lt;'Control Room'!$A$16+'Control Room'!$B$16,'Process'!BS5=1),1+('Control Room'!$C$16-1)*EXP(-0.5*(($A414-'Control Room'!$A$16-('Control Room'!$B$16-1)/2)/MAX(0.5,'Control Room'!$B$16/4))^2),1)</x:f>
        <x:v>1</x:v>
      </x:c>
      <x:c r="AU414" s="9" t="n">
        <x:f>MOD(AV413*16807,2147483647)</x:f>
        <x:v>2091156850</x:v>
      </x:c>
      <x:c r="AV414" s="9" t="n">
        <x:f>MOD(AU414*16807,2147483647)</x:f>
        <x:v>355811148</x:v>
      </x:c>
      <x:c r="AW414" s="17" t="n">
        <x:f>IF('Control Room'!$B$5="Normal",'Control Room'!$B$7+'Control Room'!$D$7*SQRT(-2*LN(MAX(0.000000000001,AU414/2147483647)))*COS(2*PI()*AV414/2147483647),'Control Room'!$B$8+('Control Room'!$D$8-'Control Room'!$B$8)*AU414/2147483647)</x:f>
        <x:v>1010.4856380595978</x:v>
      </x:c>
      <x:c r="AX414" s="17" t="n">
        <x:f>IF('Control Room'!$B$5="Normal",'Control Room'!$B$7,('Control Room'!$B$8+'Control Room'!$D$8)/2)+'Control Room'!$B$9*(AX413-IF('Control Room'!$B$5="Normal",'Control Room'!$B$7,('Control Room'!$B$8+'Control Room'!$D$8)/2))+SQRT(1-'Control Room'!$B$9^2)*(AW414-IF('Control Room'!$B$5="Normal",'Control Room'!$B$7,('Control Room'!$B$8+'Control Room'!$D$8)/2))</x:f>
        <x:v>1015.7968265178364</x:v>
      </x:c>
      <x:c r="AY414" s="17" t="n">
        <x:f>IF(AND($A414&gt;='Control Room'!$A$13,$A414&lt;'Control Room'!$A$13+'Control Room'!$B$13,'Process'!BT2=1),1+('Control Room'!$C$13-1)*EXP(-0.5*(($A414-'Control Room'!$A$13-('Control Room'!$B$13-1)/2)/MAX(0.5,'Control Room'!$B$13/4))^2),1)*IF(AND($A414&gt;='Control Room'!$A$14,$A414&lt;'Control Room'!$A$14+'Control Room'!$B$14,'Process'!BT3=1),1+('Control Room'!$C$14-1)*EXP(-0.5*(($A414-'Control Room'!$A$14-('Control Room'!$B$14-1)/2)/MAX(0.5,'Control Room'!$B$14/4))^2),1)*IF(AND($A414&gt;='Control Room'!$A$15,$A414&lt;'Control Room'!$A$15+'Control Room'!$B$15,'Process'!BT4=1),1+('Control Room'!$C$15-1)*EXP(-0.5*(($A414-'Control Room'!$A$15-('Control Room'!$B$15-1)/2)/MAX(0.5,'Control Room'!$B$15/4))^2),1)*IF(AND($A414&gt;='Control Room'!$A$16,$A414&lt;'Control Room'!$A$16+'Control Room'!$B$16,'Process'!BT5=1),1+('Control Room'!$C$16-1)*EXP(-0.5*(($A414-'Control Room'!$A$16-('Control Room'!$B$16-1)/2)/MAX(0.5,'Control Room'!$B$16/4))^2),1)</x:f>
        <x:v>1</x:v>
      </x:c>
      <x:c r="AZ414" s="9" t="n">
        <x:f>MOD(BA413*16807,2147483647)</x:f>
        <x:v>847881245</x:v>
      </x:c>
      <x:c r="BA414" s="9" t="n">
        <x:f>MOD(AZ414*16807,2147483647)</x:f>
        <x:v>1786086870</x:v>
      </x:c>
      <x:c r="BB414" s="17" t="n">
        <x:f>IF('Control Room'!$B$5="Normal",'Control Room'!$B$7+'Control Room'!$D$7*SQRT(-2*LN(MAX(0.000000000001,AZ414/2147483647)))*COS(2*PI()*BA414/2147483647),'Control Room'!$B$8+('Control Room'!$D$8-'Control Room'!$B$8)*AZ414/2147483647)</x:f>
        <x:v>1060.2631191245055</x:v>
      </x:c>
      <x:c r="BC414" s="17" t="n">
        <x:f>IF('Control Room'!$B$5="Normal",'Control Room'!$B$7,('Control Room'!$B$8+'Control Room'!$D$8)/2)+'Control Room'!$B$9*(BC413-IF('Control Room'!$B$5="Normal",'Control Room'!$B$7,('Control Room'!$B$8+'Control Room'!$D$8)/2))+SQRT(1-'Control Room'!$B$9^2)*(BB414-IF('Control Room'!$B$5="Normal",'Control Room'!$B$7,('Control Room'!$B$8+'Control Room'!$D$8)/2))</x:f>
        <x:v>958.8591834439392</x:v>
      </x:c>
      <x:c r="BD414" s="17" t="n">
        <x:f>IF(AND($A414&gt;='Control Room'!$A$13,$A414&lt;'Control Room'!$A$13+'Control Room'!$B$13,'Process'!BU2=1),1+('Control Room'!$C$13-1)*EXP(-0.5*(($A414-'Control Room'!$A$13-('Control Room'!$B$13-1)/2)/MAX(0.5,'Control Room'!$B$13/4))^2),1)*IF(AND($A414&gt;='Control Room'!$A$14,$A414&lt;'Control Room'!$A$14+'Control Room'!$B$14,'Process'!BU3=1),1+('Control Room'!$C$14-1)*EXP(-0.5*(($A414-'Control Room'!$A$14-('Control Room'!$B$14-1)/2)/MAX(0.5,'Control Room'!$B$14/4))^2),1)*IF(AND($A414&gt;='Control Room'!$A$15,$A414&lt;'Control Room'!$A$15+'Control Room'!$B$15,'Process'!BU4=1),1+('Control Room'!$C$15-1)*EXP(-0.5*(($A414-'Control Room'!$A$15-('Control Room'!$B$15-1)/2)/MAX(0.5,'Control Room'!$B$15/4))^2),1)*IF(AND($A414&gt;='Control Room'!$A$16,$A414&lt;'Control Room'!$A$16+'Control Room'!$B$16,'Process'!BU5=1),1+('Control Room'!$C$16-1)*EXP(-0.5*(($A414-'Control Room'!$A$16-('Control Room'!$B$16-1)/2)/MAX(0.5,'Control Room'!$B$16/4))^2),1)</x:f>
        <x:v>1</x:v>
      </x:c>
      <x:c r="BE414" s="9" t="n">
        <x:f>MOD(BF413*16807,2147483647)</x:f>
        <x:v>1752089287</x:v>
      </x:c>
      <x:c r="BF414" s="9" t="n">
        <x:f>MOD(BE414*16807,2147483647)</x:f>
        <x:v>1068878945</x:v>
      </x:c>
      <x:c r="BG414" s="17" t="n">
        <x:f>IF('Control Room'!$B$5="Normal",'Control Room'!$B$7+'Control Room'!$D$7*SQRT(-2*LN(MAX(0.000000000001,BE414/2147483647)))*COS(2*PI()*BF414/2147483647),'Control Room'!$B$8+('Control Room'!$D$8-'Control Room'!$B$8)*BE414/2147483647)</x:f>
        <x:v>942.5906351706427</x:v>
      </x:c>
      <x:c r="BH414" s="17" t="n">
        <x:f>IF('Control Room'!$B$5="Normal",'Control Room'!$B$7,('Control Room'!$B$8+'Control Room'!$D$8)/2)+'Control Room'!$B$9*(BH413-IF('Control Room'!$B$5="Normal",'Control Room'!$B$7,('Control Room'!$B$8+'Control Room'!$D$8)/2))+SQRT(1-'Control Room'!$B$9^2)*(BG414-IF('Control Room'!$B$5="Normal",'Control Room'!$B$7,('Control Room'!$B$8+'Control Room'!$D$8)/2))</x:f>
        <x:v>905.2470839872071</x:v>
      </x:c>
      <x:c r="BI414" s="17" t="n">
        <x:f>IF(AND($A414&gt;='Control Room'!$A$13,$A414&lt;'Control Room'!$A$13+'Control Room'!$B$13,'Process'!BV2=1),1+('Control Room'!$C$13-1)*EXP(-0.5*(($A414-'Control Room'!$A$13-('Control Room'!$B$13-1)/2)/MAX(0.5,'Control Room'!$B$13/4))^2),1)*IF(AND($A414&gt;='Control Room'!$A$14,$A414&lt;'Control Room'!$A$14+'Control Room'!$B$14,'Process'!BV3=1),1+('Control Room'!$C$14-1)*EXP(-0.5*(($A414-'Control Room'!$A$14-('Control Room'!$B$14-1)/2)/MAX(0.5,'Control Room'!$B$14/4))^2),1)*IF(AND($A414&gt;='Control Room'!$A$15,$A414&lt;'Control Room'!$A$15+'Control Room'!$B$15,'Process'!BV4=1),1+('Control Room'!$C$15-1)*EXP(-0.5*(($A414-'Control Room'!$A$15-('Control Room'!$B$15-1)/2)/MAX(0.5,'Control Room'!$B$15/4))^2),1)*IF(AND($A414&gt;='Control Room'!$A$16,$A414&lt;'Control Room'!$A$16+'Control Room'!$B$16,'Process'!BV5=1),1+('Control Room'!$C$16-1)*EXP(-0.5*(($A414-'Control Room'!$A$16-('Control Room'!$B$16-1)/2)/MAX(0.5,'Control Room'!$B$16/4))^2),1)</x:f>
        <x:v>1</x:v>
      </x:c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Z414" t="str">
        <x:f>IF('Data'!A414="","",TEXT('Data'!A414,"mm-dd"))</x:f>
      </x:c>
    </x:row>
    <x:row r="415" ht="21" customHeight="1">
      <x:c r="A415" s="15" t="n">
        <x:f>'Control Room'!$B$1+413</x:f>
        <x:v>73404</x:v>
      </x:c>
      <x:c r="B415" s="9" t="n">
        <x:f>MOD(C414*16807,2147483647)</x:f>
        <x:v>1966971317</x:v>
      </x:c>
      <x:c r="C415" s="9" t="n">
        <x:f>MOD(B415*16807,2147483647)</x:f>
        <x:v>523662901</x:v>
      </x:c>
      <x:c r="D415" s="17" t="n">
        <x:f>IF('Control Room'!$B$5="Normal",'Control Room'!$B$7+'Control Room'!$D$7*SQRT(-2*LN(MAX(0.000000000001,B415/2147483647)))*COS(2*PI()*C415/2147483647),'Control Room'!$B$8+('Control Room'!$D$8-'Control Room'!$B$8)*B415/2147483647)</x:f>
        <x:v>1001.4570972532078</x:v>
      </x:c>
      <x:c r="E415" s="17" t="n">
        <x:f>IF('Control Room'!$B$5="Normal",'Control Room'!$B$7,('Control Room'!$B$8+'Control Room'!$D$8)/2)+'Control Room'!$B$9*(E414-IF('Control Room'!$B$5="Normal",'Control Room'!$B$7,('Control Room'!$B$8+'Control Room'!$D$8)/2))+SQRT(1-'Control Room'!$B$9^2)*(D415-IF('Control Room'!$B$5="Normal",'Control Room'!$B$7,('Control Room'!$B$8+'Control Room'!$D$8)/2))</x:f>
        <x:v>1136.0541908578584</x:v>
      </x:c>
      <x:c r="F415" s="17" t="n">
        <x:f>IF(AND($A415&gt;='Control Room'!$A$13,$A415&lt;'Control Room'!$A$13+'Control Room'!$B$13,'Process'!BK2=1),1+('Control Room'!$C$13-1)*EXP(-0.5*(($A415-'Control Room'!$A$13-('Control Room'!$B$13-1)/2)/MAX(0.5,'Control Room'!$B$13/4))^2),1)*IF(AND($A415&gt;='Control Room'!$A$14,$A415&lt;'Control Room'!$A$14+'Control Room'!$B$14,'Process'!BK3=1),1+('Control Room'!$C$14-1)*EXP(-0.5*(($A415-'Control Room'!$A$14-('Control Room'!$B$14-1)/2)/MAX(0.5,'Control Room'!$B$14/4))^2),1)*IF(AND($A415&gt;='Control Room'!$A$15,$A415&lt;'Control Room'!$A$15+'Control Room'!$B$15,'Process'!BK4=1),1+('Control Room'!$C$15-1)*EXP(-0.5*(($A415-'Control Room'!$A$15-('Control Room'!$B$15-1)/2)/MAX(0.5,'Control Room'!$B$15/4))^2),1)*IF(AND($A415&gt;='Control Room'!$A$16,$A415&lt;'Control Room'!$A$16+'Control Room'!$B$16,'Process'!BK5=1),1+('Control Room'!$C$16-1)*EXP(-0.5*(($A415-'Control Room'!$A$16-('Control Room'!$B$16-1)/2)/MAX(0.5,'Control Room'!$B$16/4))^2),1)</x:f>
        <x:v>1</x:v>
      </x:c>
      <x:c r="G415" s="9" t="n">
        <x:f>MOD(H414*16807,2147483647)</x:f>
        <x:v>1679086453</x:v>
      </x:c>
      <x:c r="H415" s="9" t="n">
        <x:f>MOD(G415*16807,2147483647)</x:f>
        <x:v>323410344</x:v>
      </x:c>
      <x:c r="I415" s="17" t="n">
        <x:f>IF('Control Room'!$B$5="Normal",'Control Room'!$B$7+'Control Room'!$D$7*SQRT(-2*LN(MAX(0.000000000001,G415/2147483647)))*COS(2*PI()*H415/2147483647),'Control Room'!$B$8+('Control Room'!$D$8-'Control Room'!$B$8)*G415/2147483647)</x:f>
        <x:v>1036.9167881703288</x:v>
      </x:c>
      <x:c r="J415" s="17" t="n">
        <x:f>IF('Control Room'!$B$5="Normal",'Control Room'!$B$7,('Control Room'!$B$8+'Control Room'!$D$8)/2)+'Control Room'!$B$9*(J414-IF('Control Room'!$B$5="Normal",'Control Room'!$B$7,('Control Room'!$B$8+'Control Room'!$D$8)/2))+SQRT(1-'Control Room'!$B$9^2)*(I415-IF('Control Room'!$B$5="Normal",'Control Room'!$B$7,('Control Room'!$B$8+'Control Room'!$D$8)/2))</x:f>
        <x:v>1082.1608282120164</x:v>
      </x:c>
      <x:c r="K415" s="17" t="n">
        <x:f>IF(AND($A415&gt;='Control Room'!$A$13,$A415&lt;'Control Room'!$A$13+'Control Room'!$B$13,'Process'!BL2=1),1+('Control Room'!$C$13-1)*EXP(-0.5*(($A415-'Control Room'!$A$13-('Control Room'!$B$13-1)/2)/MAX(0.5,'Control Room'!$B$13/4))^2),1)*IF(AND($A415&gt;='Control Room'!$A$14,$A415&lt;'Control Room'!$A$14+'Control Room'!$B$14,'Process'!BL3=1),1+('Control Room'!$C$14-1)*EXP(-0.5*(($A415-'Control Room'!$A$14-('Control Room'!$B$14-1)/2)/MAX(0.5,'Control Room'!$B$14/4))^2),1)*IF(AND($A415&gt;='Control Room'!$A$15,$A415&lt;'Control Room'!$A$15+'Control Room'!$B$15,'Process'!BL4=1),1+('Control Room'!$C$15-1)*EXP(-0.5*(($A415-'Control Room'!$A$15-('Control Room'!$B$15-1)/2)/MAX(0.5,'Control Room'!$B$15/4))^2),1)*IF(AND($A415&gt;='Control Room'!$A$16,$A415&lt;'Control Room'!$A$16+'Control Room'!$B$16,'Process'!BL5=1),1+('Control Room'!$C$16-1)*EXP(-0.5*(($A415-'Control Room'!$A$16-('Control Room'!$B$16-1)/2)/MAX(0.5,'Control Room'!$B$16/4))^2),1)</x:f>
        <x:v>1</x:v>
      </x:c>
      <x:c r="L415" s="9" t="n">
        <x:f>MOD(M414*16807,2147483647)</x:f>
        <x:v>1391201589</x:v>
      </x:c>
      <x:c r="M415" s="9" t="n">
        <x:f>MOD(L415*16807,2147483647)</x:f>
        <x:v>123157787</x:v>
      </x:c>
      <x:c r="N415" s="17" t="n">
        <x:f>IF('Control Room'!$B$5="Normal",'Control Room'!$B$7+'Control Room'!$D$7*SQRT(-2*LN(MAX(0.000000000001,L415/2147483647)))*COS(2*PI()*M415/2147483647),'Control Room'!$B$8+('Control Room'!$D$8-'Control Room'!$B$8)*L415/2147483647)</x:f>
        <x:v>1078.4764445638575</x:v>
      </x:c>
      <x:c r="O415" s="17" t="n">
        <x:f>IF('Control Room'!$B$5="Normal",'Control Room'!$B$7,('Control Room'!$B$8+'Control Room'!$D$8)/2)+'Control Room'!$B$9*(O414-IF('Control Room'!$B$5="Normal",'Control Room'!$B$7,('Control Room'!$B$8+'Control Room'!$D$8)/2))+SQRT(1-'Control Room'!$B$9^2)*(N415-IF('Control Room'!$B$5="Normal",'Control Room'!$B$7,('Control Room'!$B$8+'Control Room'!$D$8)/2))</x:f>
        <x:v>889.6501859535784</x:v>
      </x:c>
      <x:c r="P415" s="17" t="n">
        <x:f>IF(AND($A415&gt;='Control Room'!$A$13,$A415&lt;'Control Room'!$A$13+'Control Room'!$B$13,'Process'!BM2=1),1+('Control Room'!$C$13-1)*EXP(-0.5*(($A415-'Control Room'!$A$13-('Control Room'!$B$13-1)/2)/MAX(0.5,'Control Room'!$B$13/4))^2),1)*IF(AND($A415&gt;='Control Room'!$A$14,$A415&lt;'Control Room'!$A$14+'Control Room'!$B$14,'Process'!BM3=1),1+('Control Room'!$C$14-1)*EXP(-0.5*(($A415-'Control Room'!$A$14-('Control Room'!$B$14-1)/2)/MAX(0.5,'Control Room'!$B$14/4))^2),1)*IF(AND($A415&gt;='Control Room'!$A$15,$A415&lt;'Control Room'!$A$15+'Control Room'!$B$15,'Process'!BM4=1),1+('Control Room'!$C$15-1)*EXP(-0.5*(($A415-'Control Room'!$A$15-('Control Room'!$B$15-1)/2)/MAX(0.5,'Control Room'!$B$15/4))^2),1)*IF(AND($A415&gt;='Control Room'!$A$16,$A415&lt;'Control Room'!$A$16+'Control Room'!$B$16,'Process'!BM5=1),1+('Control Room'!$C$16-1)*EXP(-0.5*(($A415-'Control Room'!$A$16-('Control Room'!$B$16-1)/2)/MAX(0.5,'Control Room'!$B$16/4))^2),1)</x:f>
        <x:v>1</x:v>
      </x:c>
      <x:c r="Q415" s="9" t="n">
        <x:f>MOD(R414*16807,2147483647)</x:f>
        <x:v>1103316725</x:v>
      </x:c>
      <x:c r="R415" s="9" t="n">
        <x:f>MOD(Q415*16807,2147483647)</x:f>
        <x:v>2070388877</x:v>
      </x:c>
      <x:c r="S415" s="17" t="n">
        <x:f>IF('Control Room'!$B$5="Normal",'Control Room'!$B$7+'Control Room'!$D$7*SQRT(-2*LN(MAX(0.000000000001,Q415/2147483647)))*COS(2*PI()*R415/2147483647),'Control Room'!$B$8+('Control Room'!$D$8-'Control Room'!$B$8)*Q415/2147483647)</x:f>
        <x:v>1101.2379315978967</x:v>
      </x:c>
      <x:c r="T415" s="17" t="n">
        <x:f>IF('Control Room'!$B$5="Normal",'Control Room'!$B$7,('Control Room'!$B$8+'Control Room'!$D$8)/2)+'Control Room'!$B$9*(T414-IF('Control Room'!$B$5="Normal",'Control Room'!$B$7,('Control Room'!$B$8+'Control Room'!$D$8)/2))+SQRT(1-'Control Room'!$B$9^2)*(S415-IF('Control Room'!$B$5="Normal",'Control Room'!$B$7,('Control Room'!$B$8+'Control Room'!$D$8)/2))</x:f>
        <x:v>1125.4344756559308</x:v>
      </x:c>
      <x:c r="U415" s="17" t="n">
        <x:f>IF(AND($A415&gt;='Control Room'!$A$13,$A415&lt;'Control Room'!$A$13+'Control Room'!$B$13,'Process'!BN2=1),1+('Control Room'!$C$13-1)*EXP(-0.5*(($A415-'Control Room'!$A$13-('Control Room'!$B$13-1)/2)/MAX(0.5,'Control Room'!$B$13/4))^2),1)*IF(AND($A415&gt;='Control Room'!$A$14,$A415&lt;'Control Room'!$A$14+'Control Room'!$B$14,'Process'!BN3=1),1+('Control Room'!$C$14-1)*EXP(-0.5*(($A415-'Control Room'!$A$14-('Control Room'!$B$14-1)/2)/MAX(0.5,'Control Room'!$B$14/4))^2),1)*IF(AND($A415&gt;='Control Room'!$A$15,$A415&lt;'Control Room'!$A$15+'Control Room'!$B$15,'Process'!BN4=1),1+('Control Room'!$C$15-1)*EXP(-0.5*(($A415-'Control Room'!$A$15-('Control Room'!$B$15-1)/2)/MAX(0.5,'Control Room'!$B$15/4))^2),1)*IF(AND($A415&gt;='Control Room'!$A$16,$A415&lt;'Control Room'!$A$16+'Control Room'!$B$16,'Process'!BN5=1),1+('Control Room'!$C$16-1)*EXP(-0.5*(($A415-'Control Room'!$A$16-('Control Room'!$B$16-1)/2)/MAX(0.5,'Control Room'!$B$16/4))^2),1)</x:f>
        <x:v>1</x:v>
      </x:c>
      <x:c r="V415" s="9" t="n">
        <x:f>MOD(W414*16807,2147483647)</x:f>
        <x:v>815431861</x:v>
      </x:c>
      <x:c r="W415" s="9" t="n">
        <x:f>MOD(V415*16807,2147483647)</x:f>
        <x:v>1870136320</x:v>
      </x:c>
      <x:c r="X415" s="17" t="n">
        <x:f>IF('Control Room'!$B$5="Normal",'Control Room'!$B$7+'Control Room'!$D$7*SQRT(-2*LN(MAX(0.000000000001,V415/2147483647)))*COS(2*PI()*W415/2147483647),'Control Room'!$B$8+('Control Room'!$D$8-'Control Room'!$B$8)*V415/2147483647)</x:f>
        <x:v>1086.224465283391</x:v>
      </x:c>
      <x:c r="Y415" s="17" t="n">
        <x:f>IF('Control Room'!$B$5="Normal",'Control Room'!$B$7,('Control Room'!$B$8+'Control Room'!$D$8)/2)+'Control Room'!$B$9*(Y414-IF('Control Room'!$B$5="Normal",'Control Room'!$B$7,('Control Room'!$B$8+'Control Room'!$D$8)/2))+SQRT(1-'Control Room'!$B$9^2)*(X415-IF('Control Room'!$B$5="Normal",'Control Room'!$B$7,('Control Room'!$B$8+'Control Room'!$D$8)/2))</x:f>
        <x:v>1114.3112234508096</x:v>
      </x:c>
      <x:c r="Z415" s="17" t="n">
        <x:f>IF(AND($A415&gt;='Control Room'!$A$13,$A415&lt;'Control Room'!$A$13+'Control Room'!$B$13,'Process'!BO2=1),1+('Control Room'!$C$13-1)*EXP(-0.5*(($A415-'Control Room'!$A$13-('Control Room'!$B$13-1)/2)/MAX(0.5,'Control Room'!$B$13/4))^2),1)*IF(AND($A415&gt;='Control Room'!$A$14,$A415&lt;'Control Room'!$A$14+'Control Room'!$B$14,'Process'!BO3=1),1+('Control Room'!$C$14-1)*EXP(-0.5*(($A415-'Control Room'!$A$14-('Control Room'!$B$14-1)/2)/MAX(0.5,'Control Room'!$B$14/4))^2),1)*IF(AND($A415&gt;='Control Room'!$A$15,$A415&lt;'Control Room'!$A$15+'Control Room'!$B$15,'Process'!BO4=1),1+('Control Room'!$C$15-1)*EXP(-0.5*(($A415-'Control Room'!$A$15-('Control Room'!$B$15-1)/2)/MAX(0.5,'Control Room'!$B$15/4))^2),1)*IF(AND($A415&gt;='Control Room'!$A$16,$A415&lt;'Control Room'!$A$16+'Control Room'!$B$16,'Process'!BO5=1),1+('Control Room'!$C$16-1)*EXP(-0.5*(($A415-'Control Room'!$A$16-('Control Room'!$B$16-1)/2)/MAX(0.5,'Control Room'!$B$16/4))^2),1)</x:f>
        <x:v>1</x:v>
      </x:c>
      <x:c r="AA415" s="9" t="n">
        <x:f>MOD(AB414*16807,2147483647)</x:f>
        <x:v>527546997</x:v>
      </x:c>
      <x:c r="AB415" s="9" t="n">
        <x:f>MOD(AA415*16807,2147483647)</x:f>
        <x:v>1669883763</x:v>
      </x:c>
      <x:c r="AC415" s="17" t="n">
        <x:f>IF('Control Room'!$B$5="Normal",'Control Room'!$B$7+'Control Room'!$D$7*SQRT(-2*LN(MAX(0.000000000001,AA415/2147483647)))*COS(2*PI()*AB415/2147483647),'Control Room'!$B$8+('Control Room'!$D$8-'Control Room'!$B$8)*AA415/2147483647)</x:f>
        <x:v>1026.0211078149646</x:v>
      </x:c>
      <x:c r="AD415" s="17" t="n">
        <x:f>IF('Control Room'!$B$5="Normal",'Control Room'!$B$7,('Control Room'!$B$8+'Control Room'!$D$8)/2)+'Control Room'!$B$9*(AD414-IF('Control Room'!$B$5="Normal",'Control Room'!$B$7,('Control Room'!$B$8+'Control Room'!$D$8)/2))+SQRT(1-'Control Room'!$B$9^2)*(AC415-IF('Control Room'!$B$5="Normal",'Control Room'!$B$7,('Control Room'!$B$8+'Control Room'!$D$8)/2))</x:f>
        <x:v>968.8574330316428</x:v>
      </x:c>
      <x:c r="AE415" s="17" t="n">
        <x:f>IF(AND($A415&gt;='Control Room'!$A$13,$A415&lt;'Control Room'!$A$13+'Control Room'!$B$13,'Process'!BP2=1),1+('Control Room'!$C$13-1)*EXP(-0.5*(($A415-'Control Room'!$A$13-('Control Room'!$B$13-1)/2)/MAX(0.5,'Control Room'!$B$13/4))^2),1)*IF(AND($A415&gt;='Control Room'!$A$14,$A415&lt;'Control Room'!$A$14+'Control Room'!$B$14,'Process'!BP3=1),1+('Control Room'!$C$14-1)*EXP(-0.5*(($A415-'Control Room'!$A$14-('Control Room'!$B$14-1)/2)/MAX(0.5,'Control Room'!$B$14/4))^2),1)*IF(AND($A415&gt;='Control Room'!$A$15,$A415&lt;'Control Room'!$A$15+'Control Room'!$B$15,'Process'!BP4=1),1+('Control Room'!$C$15-1)*EXP(-0.5*(($A415-'Control Room'!$A$15-('Control Room'!$B$15-1)/2)/MAX(0.5,'Control Room'!$B$15/4))^2),1)*IF(AND($A415&gt;='Control Room'!$A$16,$A415&lt;'Control Room'!$A$16+'Control Room'!$B$16,'Process'!BP5=1),1+('Control Room'!$C$16-1)*EXP(-0.5*(($A415-'Control Room'!$A$16-('Control Room'!$B$16-1)/2)/MAX(0.5,'Control Room'!$B$16/4))^2),1)</x:f>
        <x:v>1</x:v>
      </x:c>
      <x:c r="AF415" s="9" t="n">
        <x:f>MOD(AG414*16807,2147483647)</x:f>
        <x:v>239662133</x:v>
      </x:c>
      <x:c r="AG415" s="9" t="n">
        <x:f>MOD(AF415*16807,2147483647)</x:f>
        <x:v>1469631206</x:v>
      </x:c>
      <x:c r="AH415" s="17" t="n">
        <x:f>IF('Control Room'!$B$5="Normal",'Control Room'!$B$7+'Control Room'!$D$7*SQRT(-2*LN(MAX(0.000000000001,AF415/2147483647)))*COS(2*PI()*AG415/2147483647),'Control Room'!$B$8+('Control Room'!$D$8-'Control Room'!$B$8)*AF415/2147483647)</x:f>
        <x:v>924.441185042528</x:v>
      </x:c>
      <x:c r="AI415" s="17" t="n">
        <x:f>IF('Control Room'!$B$5="Normal",'Control Room'!$B$7,('Control Room'!$B$8+'Control Room'!$D$8)/2)+'Control Room'!$B$9*(AI414-IF('Control Room'!$B$5="Normal",'Control Room'!$B$7,('Control Room'!$B$8+'Control Room'!$D$8)/2))+SQRT(1-'Control Room'!$B$9^2)*(AH415-IF('Control Room'!$B$5="Normal",'Control Room'!$B$7,('Control Room'!$B$8+'Control Room'!$D$8)/2))</x:f>
        <x:v>866.8129174318921</x:v>
      </x:c>
      <x:c r="AJ415" s="17" t="n">
        <x:f>IF(AND($A415&gt;='Control Room'!$A$13,$A415&lt;'Control Room'!$A$13+'Control Room'!$B$13,'Process'!BQ2=1),1+('Control Room'!$C$13-1)*EXP(-0.5*(($A415-'Control Room'!$A$13-('Control Room'!$B$13-1)/2)/MAX(0.5,'Control Room'!$B$13/4))^2),1)*IF(AND($A415&gt;='Control Room'!$A$14,$A415&lt;'Control Room'!$A$14+'Control Room'!$B$14,'Process'!BQ3=1),1+('Control Room'!$C$14-1)*EXP(-0.5*(($A415-'Control Room'!$A$14-('Control Room'!$B$14-1)/2)/MAX(0.5,'Control Room'!$B$14/4))^2),1)*IF(AND($A415&gt;='Control Room'!$A$15,$A415&lt;'Control Room'!$A$15+'Control Room'!$B$15,'Process'!BQ4=1),1+('Control Room'!$C$15-1)*EXP(-0.5*(($A415-'Control Room'!$A$15-('Control Room'!$B$15-1)/2)/MAX(0.5,'Control Room'!$B$15/4))^2),1)*IF(AND($A415&gt;='Control Room'!$A$16,$A415&lt;'Control Room'!$A$16+'Control Room'!$B$16,'Process'!BQ5=1),1+('Control Room'!$C$16-1)*EXP(-0.5*(($A415-'Control Room'!$A$16-('Control Room'!$B$16-1)/2)/MAX(0.5,'Control Room'!$B$16/4))^2),1)</x:f>
        <x:v>1</x:v>
      </x:c>
      <x:c r="AK415" s="9" t="n">
        <x:f>MOD(AL414*16807,2147483647)</x:f>
        <x:v>2099260916</x:v>
      </x:c>
      <x:c r="AL415" s="9" t="n">
        <x:f>MOD(AK415*16807,2147483647)</x:f>
        <x:v>1269378649</x:v>
      </x:c>
      <x:c r="AM415" s="17" t="n">
        <x:f>IF('Control Room'!$B$5="Normal",'Control Room'!$B$7+'Control Room'!$D$7*SQRT(-2*LN(MAX(0.000000000001,AK415/2147483647)))*COS(2*PI()*AL415/2147483647),'Control Room'!$B$8+('Control Room'!$D$8-'Control Room'!$B$8)*AK415/2147483647)</x:f>
        <x:v>983.8760862262944</x:v>
      </x:c>
      <x:c r="AN415" s="17" t="n">
        <x:f>IF('Control Room'!$B$5="Normal",'Control Room'!$B$7,('Control Room'!$B$8+'Control Room'!$D$8)/2)+'Control Room'!$B$9*(AN414-IF('Control Room'!$B$5="Normal",'Control Room'!$B$7,('Control Room'!$B$8+'Control Room'!$D$8)/2))+SQRT(1-'Control Room'!$B$9^2)*(AM415-IF('Control Room'!$B$5="Normal",'Control Room'!$B$7,('Control Room'!$B$8+'Control Room'!$D$8)/2))</x:f>
        <x:v>1048.1959734401757</x:v>
      </x:c>
      <x:c r="AO415" s="17" t="n">
        <x:f>IF(AND($A415&gt;='Control Room'!$A$13,$A415&lt;'Control Room'!$A$13+'Control Room'!$B$13,'Process'!BR2=1),1+('Control Room'!$C$13-1)*EXP(-0.5*(($A415-'Control Room'!$A$13-('Control Room'!$B$13-1)/2)/MAX(0.5,'Control Room'!$B$13/4))^2),1)*IF(AND($A415&gt;='Control Room'!$A$14,$A415&lt;'Control Room'!$A$14+'Control Room'!$B$14,'Process'!BR3=1),1+('Control Room'!$C$14-1)*EXP(-0.5*(($A415-'Control Room'!$A$14-('Control Room'!$B$14-1)/2)/MAX(0.5,'Control Room'!$B$14/4))^2),1)*IF(AND($A415&gt;='Control Room'!$A$15,$A415&lt;'Control Room'!$A$15+'Control Room'!$B$15,'Process'!BR4=1),1+('Control Room'!$C$15-1)*EXP(-0.5*(($A415-'Control Room'!$A$15-('Control Room'!$B$15-1)/2)/MAX(0.5,'Control Room'!$B$15/4))^2),1)*IF(AND($A415&gt;='Control Room'!$A$16,$A415&lt;'Control Room'!$A$16+'Control Room'!$B$16,'Process'!BR5=1),1+('Control Room'!$C$16-1)*EXP(-0.5*(($A415-'Control Room'!$A$16-('Control Room'!$B$16-1)/2)/MAX(0.5,'Control Room'!$B$16/4))^2),1)</x:f>
        <x:v>1</x:v>
      </x:c>
      <x:c r="AP415" s="9" t="n">
        <x:f>MOD(AQ414*16807,2147483647)</x:f>
        <x:v>1811376052</x:v>
      </x:c>
      <x:c r="AQ415" s="9" t="n">
        <x:f>MOD(AP415*16807,2147483647)</x:f>
        <x:v>1069126092</x:v>
      </x:c>
      <x:c r="AR415" s="17" t="n">
        <x:f>IF('Control Room'!$B$5="Normal",'Control Room'!$B$7+'Control Room'!$D$7*SQRT(-2*LN(MAX(0.000000000001,AP415/2147483647)))*COS(2*PI()*AQ415/2147483647),'Control Room'!$B$8+('Control Room'!$D$8-'Control Room'!$B$8)*AP415/2147483647)</x:f>
        <x:v>947.493825290549</x:v>
      </x:c>
      <x:c r="AS415" s="17" t="n">
        <x:f>IF('Control Room'!$B$5="Normal",'Control Room'!$B$7,('Control Room'!$B$8+'Control Room'!$D$8)/2)+'Control Room'!$B$9*(AS414-IF('Control Room'!$B$5="Normal",'Control Room'!$B$7,('Control Room'!$B$8+'Control Room'!$D$8)/2))+SQRT(1-'Control Room'!$B$9^2)*(AR415-IF('Control Room'!$B$5="Normal",'Control Room'!$B$7,('Control Room'!$B$8+'Control Room'!$D$8)/2))</x:f>
        <x:v>893.8932672069789</x:v>
      </x:c>
      <x:c r="AT415" s="17" t="n">
        <x:f>IF(AND($A415&gt;='Control Room'!$A$13,$A415&lt;'Control Room'!$A$13+'Control Room'!$B$13,'Process'!BS2=1),1+('Control Room'!$C$13-1)*EXP(-0.5*(($A415-'Control Room'!$A$13-('Control Room'!$B$13-1)/2)/MAX(0.5,'Control Room'!$B$13/4))^2),1)*IF(AND($A415&gt;='Control Room'!$A$14,$A415&lt;'Control Room'!$A$14+'Control Room'!$B$14,'Process'!BS3=1),1+('Control Room'!$C$14-1)*EXP(-0.5*(($A415-'Control Room'!$A$14-('Control Room'!$B$14-1)/2)/MAX(0.5,'Control Room'!$B$14/4))^2),1)*IF(AND($A415&gt;='Control Room'!$A$15,$A415&lt;'Control Room'!$A$15+'Control Room'!$B$15,'Process'!BS4=1),1+('Control Room'!$C$15-1)*EXP(-0.5*(($A415-'Control Room'!$A$15-('Control Room'!$B$15-1)/2)/MAX(0.5,'Control Room'!$B$15/4))^2),1)*IF(AND($A415&gt;='Control Room'!$A$16,$A415&lt;'Control Room'!$A$16+'Control Room'!$B$16,'Process'!BS5=1),1+('Control Room'!$C$16-1)*EXP(-0.5*(($A415-'Control Room'!$A$16-('Control Room'!$B$16-1)/2)/MAX(0.5,'Control Room'!$B$16/4))^2),1)</x:f>
        <x:v>1</x:v>
      </x:c>
      <x:c r="AU415" s="9" t="n">
        <x:f>MOD(AV414*16807,2147483647)</x:f>
        <x:v>1523491188</x:v>
      </x:c>
      <x:c r="AV415" s="9" t="n">
        <x:f>MOD(AU415*16807,2147483647)</x:f>
        <x:v>868873535</x:v>
      </x:c>
      <x:c r="AW415" s="17" t="n">
        <x:f>IF('Control Room'!$B$5="Normal",'Control Room'!$B$7+'Control Room'!$D$7*SQRT(-2*LN(MAX(0.000000000001,AU415/2147483647)))*COS(2*PI()*AV415/2147483647),'Control Room'!$B$8+('Control Room'!$D$8-'Control Room'!$B$8)*AU415/2147483647)</x:f>
        <x:v>938.4263421062958</x:v>
      </x:c>
      <x:c r="AX415" s="17" t="n">
        <x:f>IF('Control Room'!$B$5="Normal",'Control Room'!$B$7,('Control Room'!$B$8+'Control Room'!$D$8)/2)+'Control Room'!$B$9*(AX414-IF('Control Room'!$B$5="Normal",'Control Room'!$B$7,('Control Room'!$B$8+'Control Room'!$D$8)/2))+SQRT(1-'Control Room'!$B$9^2)*(AW415-IF('Control Room'!$B$5="Normal",'Control Room'!$B$7,('Control Room'!$B$8+'Control Room'!$D$8)/2))</x:f>
        <x:v>973.7899909789777</x:v>
      </x:c>
      <x:c r="AY415" s="17" t="n">
        <x:f>IF(AND($A415&gt;='Control Room'!$A$13,$A415&lt;'Control Room'!$A$13+'Control Room'!$B$13,'Process'!BT2=1),1+('Control Room'!$C$13-1)*EXP(-0.5*(($A415-'Control Room'!$A$13-('Control Room'!$B$13-1)/2)/MAX(0.5,'Control Room'!$B$13/4))^2),1)*IF(AND($A415&gt;='Control Room'!$A$14,$A415&lt;'Control Room'!$A$14+'Control Room'!$B$14,'Process'!BT3=1),1+('Control Room'!$C$14-1)*EXP(-0.5*(($A415-'Control Room'!$A$14-('Control Room'!$B$14-1)/2)/MAX(0.5,'Control Room'!$B$14/4))^2),1)*IF(AND($A415&gt;='Control Room'!$A$15,$A415&lt;'Control Room'!$A$15+'Control Room'!$B$15,'Process'!BT4=1),1+('Control Room'!$C$15-1)*EXP(-0.5*(($A415-'Control Room'!$A$15-('Control Room'!$B$15-1)/2)/MAX(0.5,'Control Room'!$B$15/4))^2),1)*IF(AND($A415&gt;='Control Room'!$A$16,$A415&lt;'Control Room'!$A$16+'Control Room'!$B$16,'Process'!BT5=1),1+('Control Room'!$C$16-1)*EXP(-0.5*(($A415-'Control Room'!$A$16-('Control Room'!$B$16-1)/2)/MAX(0.5,'Control Room'!$B$16/4))^2),1)</x:f>
        <x:v>1</x:v>
      </x:c>
      <x:c r="AZ415" s="9" t="n">
        <x:f>MOD(BA414*16807,2147483647)</x:f>
        <x:v>1235606324</x:v>
      </x:c>
      <x:c r="BA415" s="9" t="n">
        <x:f>MOD(AZ415*16807,2147483647)</x:f>
        <x:v>668620978</x:v>
      </x:c>
      <x:c r="BB415" s="17" t="n">
        <x:f>IF('Control Room'!$B$5="Normal",'Control Room'!$B$7+'Control Room'!$D$7*SQRT(-2*LN(MAX(0.000000000001,AZ415/2147483647)))*COS(2*PI()*BA415/2147483647),'Control Room'!$B$8+('Control Room'!$D$8-'Control Room'!$B$8)*AZ415/2147483647)</x:f>
        <x:v>964.419877865127</x:v>
      </x:c>
      <x:c r="BC415" s="17" t="n">
        <x:f>IF('Control Room'!$B$5="Normal",'Control Room'!$B$7,('Control Room'!$B$8+'Control Room'!$D$8)/2)+'Control Room'!$B$9*(BC414-IF('Control Room'!$B$5="Normal",'Control Room'!$B$7,('Control Room'!$B$8+'Control Room'!$D$8)/2))+SQRT(1-'Control Room'!$B$9^2)*(BB415-IF('Control Room'!$B$5="Normal",'Control Room'!$B$7,('Control Room'!$B$8+'Control Room'!$D$8)/2))</x:f>
        <x:v>945.64485155269</x:v>
      </x:c>
      <x:c r="BD415" s="17" t="n">
        <x:f>IF(AND($A415&gt;='Control Room'!$A$13,$A415&lt;'Control Room'!$A$13+'Control Room'!$B$13,'Process'!BU2=1),1+('Control Room'!$C$13-1)*EXP(-0.5*(($A415-'Control Room'!$A$13-('Control Room'!$B$13-1)/2)/MAX(0.5,'Control Room'!$B$13/4))^2),1)*IF(AND($A415&gt;='Control Room'!$A$14,$A415&lt;'Control Room'!$A$14+'Control Room'!$B$14,'Process'!BU3=1),1+('Control Room'!$C$14-1)*EXP(-0.5*(($A415-'Control Room'!$A$14-('Control Room'!$B$14-1)/2)/MAX(0.5,'Control Room'!$B$14/4))^2),1)*IF(AND($A415&gt;='Control Room'!$A$15,$A415&lt;'Control Room'!$A$15+'Control Room'!$B$15,'Process'!BU4=1),1+('Control Room'!$C$15-1)*EXP(-0.5*(($A415-'Control Room'!$A$15-('Control Room'!$B$15-1)/2)/MAX(0.5,'Control Room'!$B$15/4))^2),1)*IF(AND($A415&gt;='Control Room'!$A$16,$A415&lt;'Control Room'!$A$16+'Control Room'!$B$16,'Process'!BU5=1),1+('Control Room'!$C$16-1)*EXP(-0.5*(($A415-'Control Room'!$A$16-('Control Room'!$B$16-1)/2)/MAX(0.5,'Control Room'!$B$16/4))^2),1)</x:f>
        <x:v>1</x:v>
      </x:c>
      <x:c r="BE415" s="9" t="n">
        <x:f>MOD(BF414*16807,2147483647)</x:f>
        <x:v>947721460</x:v>
      </x:c>
      <x:c r="BF415" s="9" t="n">
        <x:f>MOD(BE415*16807,2147483647)</x:f>
        <x:v>468368421</x:v>
      </x:c>
      <x:c r="BG415" s="17" t="n">
        <x:f>IF('Control Room'!$B$5="Normal",'Control Room'!$B$7+'Control Room'!$D$7*SQRT(-2*LN(MAX(0.000000000001,BE415/2147483647)))*COS(2*PI()*BF415/2147483647),'Control Room'!$B$8+('Control Room'!$D$8-'Control Room'!$B$8)*BE415/2147483647)</x:f>
        <x:v>1022.9179972745234</x:v>
      </x:c>
      <x:c r="BH415" s="17" t="n">
        <x:f>IF('Control Room'!$B$5="Normal",'Control Room'!$B$7,('Control Room'!$B$8+'Control Room'!$D$8)/2)+'Control Room'!$B$9*(BH414-IF('Control Room'!$B$5="Normal",'Control Room'!$B$7,('Control Room'!$B$8+'Control Room'!$D$8)/2))+SQRT(1-'Control Room'!$B$9^2)*(BG415-IF('Control Room'!$B$5="Normal",'Control Room'!$B$7,('Control Room'!$B$8+'Control Room'!$D$8)/2))</x:f>
        <x:v>940.4343387037244</x:v>
      </x:c>
      <x:c r="BI415" s="17" t="n">
        <x:f>IF(AND($A415&gt;='Control Room'!$A$13,$A415&lt;'Control Room'!$A$13+'Control Room'!$B$13,'Process'!BV2=1),1+('Control Room'!$C$13-1)*EXP(-0.5*(($A415-'Control Room'!$A$13-('Control Room'!$B$13-1)/2)/MAX(0.5,'Control Room'!$B$13/4))^2),1)*IF(AND($A415&gt;='Control Room'!$A$14,$A415&lt;'Control Room'!$A$14+'Control Room'!$B$14,'Process'!BV3=1),1+('Control Room'!$C$14-1)*EXP(-0.5*(($A415-'Control Room'!$A$14-('Control Room'!$B$14-1)/2)/MAX(0.5,'Control Room'!$B$14/4))^2),1)*IF(AND($A415&gt;='Control Room'!$A$15,$A415&lt;'Control Room'!$A$15+'Control Room'!$B$15,'Process'!BV4=1),1+('Control Room'!$C$15-1)*EXP(-0.5*(($A415-'Control Room'!$A$15-('Control Room'!$B$15-1)/2)/MAX(0.5,'Control Room'!$B$15/4))^2),1)*IF(AND($A415&gt;='Control Room'!$A$16,$A415&lt;'Control Room'!$A$16+'Control Room'!$B$16,'Process'!BV5=1),1+('Control Room'!$C$16-1)*EXP(-0.5*(($A415-'Control Room'!$A$16-('Control Room'!$B$16-1)/2)/MAX(0.5,'Control Room'!$B$16/4))^2),1)</x:f>
        <x:v>1</x:v>
      </x:c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Z415" t="str">
        <x:f>IF('Data'!A415="","",TEXT('Data'!A415,"mm-dd"))</x:f>
      </x:c>
    </x:row>
    <x:row r="416" ht="21" customHeight="1">
      <x:c r="A416" s="15" t="n">
        <x:f>'Control Room'!$B$1+414</x:f>
        <x:v>73405</x:v>
      </x:c>
      <x:c r="B416" s="9" t="n">
        <x:f>MOD(C415*16807,2147483647)</x:f>
        <x:v>814391701</x:v>
      </x:c>
      <x:c r="C416" s="9" t="n">
        <x:f>MOD(B416*16807,2147483647)</x:f>
        <x:v>1568036376</x:v>
      </x:c>
      <x:c r="D416" s="17" t="n">
        <x:f>IF('Control Room'!$B$5="Normal",'Control Room'!$B$7+'Control Room'!$D$7*SQRT(-2*LN(MAX(0.000000000001,B416/2147483647)))*COS(2*PI()*C416/2147483647),'Control Room'!$B$8+('Control Room'!$D$8-'Control Room'!$B$8)*B416/2147483647)</x:f>
        <x:v>984.427767104032</x:v>
      </x:c>
      <x:c r="E416" s="17" t="n">
        <x:f>IF('Control Room'!$B$5="Normal",'Control Room'!$B$7,('Control Room'!$B$8+'Control Room'!$D$8)/2)+'Control Room'!$B$9*(E415-IF('Control Room'!$B$5="Normal",'Control Room'!$B$7,('Control Room'!$B$8+'Control Room'!$D$8)/2))+SQRT(1-'Control Room'!$B$9^2)*(D416-IF('Control Room'!$B$5="Normal",'Control Room'!$B$7,('Control Room'!$B$8+'Control Room'!$D$8)/2))</x:f>
        <x:v>1096.3774845373637</x:v>
      </x:c>
      <x:c r="F416" s="17" t="n">
        <x:f>IF(AND($A416&gt;='Control Room'!$A$13,$A416&lt;'Control Room'!$A$13+'Control Room'!$B$13,'Process'!BK2=1),1+('Control Room'!$C$13-1)*EXP(-0.5*(($A416-'Control Room'!$A$13-('Control Room'!$B$13-1)/2)/MAX(0.5,'Control Room'!$B$13/4))^2),1)*IF(AND($A416&gt;='Control Room'!$A$14,$A416&lt;'Control Room'!$A$14+'Control Room'!$B$14,'Process'!BK3=1),1+('Control Room'!$C$14-1)*EXP(-0.5*(($A416-'Control Room'!$A$14-('Control Room'!$B$14-1)/2)/MAX(0.5,'Control Room'!$B$14/4))^2),1)*IF(AND($A416&gt;='Control Room'!$A$15,$A416&lt;'Control Room'!$A$15+'Control Room'!$B$15,'Process'!BK4=1),1+('Control Room'!$C$15-1)*EXP(-0.5*(($A416-'Control Room'!$A$15-('Control Room'!$B$15-1)/2)/MAX(0.5,'Control Room'!$B$15/4))^2),1)*IF(AND($A416&gt;='Control Room'!$A$16,$A416&lt;'Control Room'!$A$16+'Control Room'!$B$16,'Process'!BK5=1),1+('Control Room'!$C$16-1)*EXP(-0.5*(($A416-'Control Room'!$A$16-('Control Room'!$B$16-1)/2)/MAX(0.5,'Control Room'!$B$16/4))^2),1)</x:f>
        <x:v>1</x:v>
      </x:c>
      <x:c r="G416" s="9" t="n">
        <x:f>MOD(H415*16807,2147483647)</x:f>
        <x:v>276541051</x:v>
      </x:c>
      <x:c r="H416" s="9" t="n">
        <x:f>MOD(G416*16807,2147483647)</x:f>
        <x:v>670832049</x:v>
      </x:c>
      <x:c r="I416" s="17" t="n">
        <x:f>IF('Control Room'!$B$5="Normal",'Control Room'!$B$7+'Control Room'!$D$7*SQRT(-2*LN(MAX(0.000000000001,G416/2147483647)))*COS(2*PI()*H416/2147483647),'Control Room'!$B$8+('Control Room'!$D$8-'Control Room'!$B$8)*G416/2147483647)</x:f>
        <x:v>930.3928941446798</x:v>
      </x:c>
      <x:c r="J416" s="17" t="n">
        <x:f>IF('Control Room'!$B$5="Normal",'Control Room'!$B$7,('Control Room'!$B$8+'Control Room'!$D$8)/2)+'Control Room'!$B$9*(J415-IF('Control Room'!$B$5="Normal",'Control Room'!$B$7,('Control Room'!$B$8+'Control Room'!$D$8)/2))+SQRT(1-'Control Room'!$B$9^2)*(I416-IF('Control Room'!$B$5="Normal",'Control Room'!$B$7,('Control Room'!$B$8+'Control Room'!$D$8)/2))</x:f>
        <x:v>1020.5267451401858</x:v>
      </x:c>
      <x:c r="K416" s="17" t="n">
        <x:f>IF(AND($A416&gt;='Control Room'!$A$13,$A416&lt;'Control Room'!$A$13+'Control Room'!$B$13,'Process'!BL2=1),1+('Control Room'!$C$13-1)*EXP(-0.5*(($A416-'Control Room'!$A$13-('Control Room'!$B$13-1)/2)/MAX(0.5,'Control Room'!$B$13/4))^2),1)*IF(AND($A416&gt;='Control Room'!$A$14,$A416&lt;'Control Room'!$A$14+'Control Room'!$B$14,'Process'!BL3=1),1+('Control Room'!$C$14-1)*EXP(-0.5*(($A416-'Control Room'!$A$14-('Control Room'!$B$14-1)/2)/MAX(0.5,'Control Room'!$B$14/4))^2),1)*IF(AND($A416&gt;='Control Room'!$A$15,$A416&lt;'Control Room'!$A$15+'Control Room'!$B$15,'Process'!BL4=1),1+('Control Room'!$C$15-1)*EXP(-0.5*(($A416-'Control Room'!$A$15-('Control Room'!$B$15-1)/2)/MAX(0.5,'Control Room'!$B$15/4))^2),1)*IF(AND($A416&gt;='Control Room'!$A$16,$A416&lt;'Control Room'!$A$16+'Control Room'!$B$16,'Process'!BL5=1),1+('Control Room'!$C$16-1)*EXP(-0.5*(($A416-'Control Room'!$A$16-('Control Room'!$B$16-1)/2)/MAX(0.5,'Control Room'!$B$16/4))^2),1)</x:f>
        <x:v>1</x:v>
      </x:c>
      <x:c r="L416" s="9" t="n">
        <x:f>MOD(M415*16807,2147483647)</x:f>
        <x:v>1886174048</x:v>
      </x:c>
      <x:c r="M416" s="9" t="n">
        <x:f>MOD(L416*16807,2147483647)</x:f>
        <x:v>1921111369</x:v>
      </x:c>
      <x:c r="N416" s="17" t="n">
        <x:f>IF('Control Room'!$B$5="Normal",'Control Room'!$B$7+'Control Room'!$D$7*SQRT(-2*LN(MAX(0.000000000001,L416/2147483647)))*COS(2*PI()*M416/2147483647),'Control Room'!$B$8+('Control Room'!$D$8-'Control Room'!$B$8)*L416/2147483647)</x:f>
        <x:v>1036.152737346955</x:v>
      </x:c>
      <x:c r="O416" s="17" t="n">
        <x:f>IF('Control Room'!$B$5="Normal",'Control Room'!$B$7,('Control Room'!$B$8+'Control Room'!$D$8)/2)+'Control Room'!$B$9*(O415-IF('Control Room'!$B$5="Normal",'Control Room'!$B$7,('Control Room'!$B$8+'Control Room'!$D$8)/2))+SQRT(1-'Control Room'!$B$9^2)*(N416-IF('Control Room'!$B$5="Normal",'Control Room'!$B$7,('Control Room'!$B$8+'Control Room'!$D$8)/2))</x:f>
        <x:v>936.5507874464342</x:v>
      </x:c>
      <x:c r="P416" s="17" t="n">
        <x:f>IF(AND($A416&gt;='Control Room'!$A$13,$A416&lt;'Control Room'!$A$13+'Control Room'!$B$13,'Process'!BM2=1),1+('Control Room'!$C$13-1)*EXP(-0.5*(($A416-'Control Room'!$A$13-('Control Room'!$B$13-1)/2)/MAX(0.5,'Control Room'!$B$13/4))^2),1)*IF(AND($A416&gt;='Control Room'!$A$14,$A416&lt;'Control Room'!$A$14+'Control Room'!$B$14,'Process'!BM3=1),1+('Control Room'!$C$14-1)*EXP(-0.5*(($A416-'Control Room'!$A$14-('Control Room'!$B$14-1)/2)/MAX(0.5,'Control Room'!$B$14/4))^2),1)*IF(AND($A416&gt;='Control Room'!$A$15,$A416&lt;'Control Room'!$A$15+'Control Room'!$B$15,'Process'!BM4=1),1+('Control Room'!$C$15-1)*EXP(-0.5*(($A416-'Control Room'!$A$15-('Control Room'!$B$15-1)/2)/MAX(0.5,'Control Room'!$B$15/4))^2),1)*IF(AND($A416&gt;='Control Room'!$A$16,$A416&lt;'Control Room'!$A$16+'Control Room'!$B$16,'Process'!BM5=1),1+('Control Room'!$C$16-1)*EXP(-0.5*(($A416-'Control Room'!$A$16-('Control Room'!$B$16-1)/2)/MAX(0.5,'Control Room'!$B$16/4))^2),1)</x:f>
        <x:v>1</x:v>
      </x:c>
      <x:c r="Q416" s="9" t="n">
        <x:f>MOD(R415*16807,2147483647)</x:f>
        <x:v>1348323398</x:v>
      </x:c>
      <x:c r="R416" s="9" t="n">
        <x:f>MOD(Q416*16807,2147483647)</x:f>
        <x:v>1023907042</x:v>
      </x:c>
      <x:c r="S416" s="17" t="n">
        <x:f>IF('Control Room'!$B$5="Normal",'Control Room'!$B$7+'Control Room'!$D$7*SQRT(-2*LN(MAX(0.000000000001,Q416/2147483647)))*COS(2*PI()*R416/2147483647),'Control Room'!$B$8+('Control Room'!$D$8-'Control Room'!$B$8)*Q416/2147483647)</x:f>
        <x:v>914.0879775764108</x:v>
      </x:c>
      <x:c r="T416" s="17" t="n">
        <x:f>IF('Control Room'!$B$5="Normal",'Control Room'!$B$7,('Control Room'!$B$8+'Control Room'!$D$8)/2)+'Control Room'!$B$9*(T415-IF('Control Room'!$B$5="Normal",'Control Room'!$B$7,('Control Room'!$B$8+'Control Room'!$D$8)/2))+SQRT(1-'Control Room'!$B$9^2)*(S416-IF('Control Room'!$B$5="Normal",'Control Room'!$B$7,('Control Room'!$B$8+'Control Room'!$D$8)/2))</x:f>
        <x:v>1044.0769073823878</x:v>
      </x:c>
      <x:c r="U416" s="17" t="n">
        <x:f>IF(AND($A416&gt;='Control Room'!$A$13,$A416&lt;'Control Room'!$A$13+'Control Room'!$B$13,'Process'!BN2=1),1+('Control Room'!$C$13-1)*EXP(-0.5*(($A416-'Control Room'!$A$13-('Control Room'!$B$13-1)/2)/MAX(0.5,'Control Room'!$B$13/4))^2),1)*IF(AND($A416&gt;='Control Room'!$A$14,$A416&lt;'Control Room'!$A$14+'Control Room'!$B$14,'Process'!BN3=1),1+('Control Room'!$C$14-1)*EXP(-0.5*(($A416-'Control Room'!$A$14-('Control Room'!$B$14-1)/2)/MAX(0.5,'Control Room'!$B$14/4))^2),1)*IF(AND($A416&gt;='Control Room'!$A$15,$A416&lt;'Control Room'!$A$15+'Control Room'!$B$15,'Process'!BN4=1),1+('Control Room'!$C$15-1)*EXP(-0.5*(($A416-'Control Room'!$A$15-('Control Room'!$B$15-1)/2)/MAX(0.5,'Control Room'!$B$15/4))^2),1)*IF(AND($A416&gt;='Control Room'!$A$16,$A416&lt;'Control Room'!$A$16+'Control Room'!$B$16,'Process'!BN5=1),1+('Control Room'!$C$16-1)*EXP(-0.5*(($A416-'Control Room'!$A$16-('Control Room'!$B$16-1)/2)/MAX(0.5,'Control Room'!$B$16/4))^2),1)</x:f>
        <x:v>1</x:v>
      </x:c>
      <x:c r="V416" s="9" t="n">
        <x:f>MOD(W415*16807,2147483647)</x:f>
        <x:v>810472748</x:v>
      </x:c>
      <x:c r="W416" s="9" t="n">
        <x:f>MOD(V416*16807,2147483647)</x:f>
        <x:v>126702715</x:v>
      </x:c>
      <x:c r="X416" s="17" t="n">
        <x:f>IF('Control Room'!$B$5="Normal",'Control Room'!$B$7+'Control Room'!$D$7*SQRT(-2*LN(MAX(0.000000000001,V416/2147483647)))*COS(2*PI()*W416/2147483647),'Control Room'!$B$8+('Control Room'!$D$8-'Control Room'!$B$8)*V416/2147483647)</x:f>
        <x:v>1117.1068391381807</x:v>
      </x:c>
      <x:c r="Y416" s="17" t="n">
        <x:f>IF('Control Room'!$B$5="Normal",'Control Room'!$B$7,('Control Room'!$B$8+'Control Room'!$D$8)/2)+'Control Room'!$B$9*(Y415-IF('Control Room'!$B$5="Normal",'Control Room'!$B$7,('Control Room'!$B$8+'Control Room'!$D$8)/2))+SQRT(1-'Control Room'!$B$9^2)*(X416-IF('Control Room'!$B$5="Normal",'Control Room'!$B$7,('Control Room'!$B$8+'Control Room'!$D$8)/2))</x:f>
        <x:v>1162.4458151603044</x:v>
      </x:c>
      <x:c r="Z416" s="17" t="n">
        <x:f>IF(AND($A416&gt;='Control Room'!$A$13,$A416&lt;'Control Room'!$A$13+'Control Room'!$B$13,'Process'!BO2=1),1+('Control Room'!$C$13-1)*EXP(-0.5*(($A416-'Control Room'!$A$13-('Control Room'!$B$13-1)/2)/MAX(0.5,'Control Room'!$B$13/4))^2),1)*IF(AND($A416&gt;='Control Room'!$A$14,$A416&lt;'Control Room'!$A$14+'Control Room'!$B$14,'Process'!BO3=1),1+('Control Room'!$C$14-1)*EXP(-0.5*(($A416-'Control Room'!$A$14-('Control Room'!$B$14-1)/2)/MAX(0.5,'Control Room'!$B$14/4))^2),1)*IF(AND($A416&gt;='Control Room'!$A$15,$A416&lt;'Control Room'!$A$15+'Control Room'!$B$15,'Process'!BO4=1),1+('Control Room'!$C$15-1)*EXP(-0.5*(($A416-'Control Room'!$A$15-('Control Room'!$B$15-1)/2)/MAX(0.5,'Control Room'!$B$15/4))^2),1)*IF(AND($A416&gt;='Control Room'!$A$16,$A416&lt;'Control Room'!$A$16+'Control Room'!$B$16,'Process'!BO5=1),1+('Control Room'!$C$16-1)*EXP(-0.5*(($A416-'Control Room'!$A$16-('Control Room'!$B$16-1)/2)/MAX(0.5,'Control Room'!$B$16/4))^2),1)</x:f>
        <x:v>1</x:v>
      </x:c>
      <x:c r="AA416" s="9" t="n">
        <x:f>MOD(AB415*16807,2147483647)</x:f>
        <x:v>272622098</x:v>
      </x:c>
      <x:c r="AB416" s="9" t="n">
        <x:f>MOD(AA416*16807,2147483647)</x:f>
        <x:v>1376982035</x:v>
      </x:c>
      <x:c r="AC416" s="17" t="n">
        <x:f>IF('Control Room'!$B$5="Normal",'Control Room'!$B$7+'Control Room'!$D$7*SQRT(-2*LN(MAX(0.000000000001,AA416/2147483647)))*COS(2*PI()*AB416/2147483647),'Control Room'!$B$8+('Control Room'!$D$8-'Control Room'!$B$8)*AA416/2147483647)</x:f>
        <x:v>884.5153795134531</x:v>
      </x:c>
      <x:c r="AD416" s="17" t="n">
        <x:f>IF('Control Room'!$B$5="Normal",'Control Room'!$B$7,('Control Room'!$B$8+'Control Room'!$D$8)/2)+'Control Room'!$B$9*(AD415-IF('Control Room'!$B$5="Normal",'Control Room'!$B$7,('Control Room'!$B$8+'Control Room'!$D$8)/2))+SQRT(1-'Control Room'!$B$9^2)*(AC416-IF('Control Room'!$B$5="Normal",'Control Room'!$B$7,('Control Room'!$B$8+'Control Room'!$D$8)/2))</x:f>
        <x:v>903.4408880952454</x:v>
      </x:c>
      <x:c r="AE416" s="17" t="n">
        <x:f>IF(AND($A416&gt;='Control Room'!$A$13,$A416&lt;'Control Room'!$A$13+'Control Room'!$B$13,'Process'!BP2=1),1+('Control Room'!$C$13-1)*EXP(-0.5*(($A416-'Control Room'!$A$13-('Control Room'!$B$13-1)/2)/MAX(0.5,'Control Room'!$B$13/4))^2),1)*IF(AND($A416&gt;='Control Room'!$A$14,$A416&lt;'Control Room'!$A$14+'Control Room'!$B$14,'Process'!BP3=1),1+('Control Room'!$C$14-1)*EXP(-0.5*(($A416-'Control Room'!$A$14-('Control Room'!$B$14-1)/2)/MAX(0.5,'Control Room'!$B$14/4))^2),1)*IF(AND($A416&gt;='Control Room'!$A$15,$A416&lt;'Control Room'!$A$15+'Control Room'!$B$15,'Process'!BP4=1),1+('Control Room'!$C$15-1)*EXP(-0.5*(($A416-'Control Room'!$A$15-('Control Room'!$B$15-1)/2)/MAX(0.5,'Control Room'!$B$15/4))^2),1)*IF(AND($A416&gt;='Control Room'!$A$16,$A416&lt;'Control Room'!$A$16+'Control Room'!$B$16,'Process'!BP5=1),1+('Control Room'!$C$16-1)*EXP(-0.5*(($A416-'Control Room'!$A$16-('Control Room'!$B$16-1)/2)/MAX(0.5,'Control Room'!$B$16/4))^2),1)</x:f>
        <x:v>1</x:v>
      </x:c>
      <x:c r="AF416" s="9" t="n">
        <x:f>MOD(AG415*16807,2147483647)</x:f>
        <x:v>1882255095</x:v>
      </x:c>
      <x:c r="AG416" s="9" t="n">
        <x:f>MOD(AF416*16807,2147483647)</x:f>
        <x:v>479777708</x:v>
      </x:c>
      <x:c r="AH416" s="17" t="n">
        <x:f>IF('Control Room'!$B$5="Normal",'Control Room'!$B$7+'Control Room'!$D$7*SQRT(-2*LN(MAX(0.000000000001,AF416/2147483647)))*COS(2*PI()*AG416/2147483647),'Control Room'!$B$8+('Control Room'!$D$8-'Control Room'!$B$8)*AF416/2147483647)</x:f>
        <x:v>1007.6837125859661</x:v>
      </x:c>
      <x:c r="AI416" s="17" t="n">
        <x:f>IF('Control Room'!$B$5="Normal",'Control Room'!$B$7,('Control Room'!$B$8+'Control Room'!$D$8)/2)+'Control Room'!$B$9*(AI415-IF('Control Room'!$B$5="Normal",'Control Room'!$B$7,('Control Room'!$B$8+'Control Room'!$D$8)/2))+SQRT(1-'Control Room'!$B$9^2)*(AH416-IF('Control Room'!$B$5="Normal",'Control Room'!$B$7,('Control Room'!$B$8+'Control Room'!$D$8)/2))</x:f>
        <x:v>900.9223855237651</x:v>
      </x:c>
      <x:c r="AJ416" s="17" t="n">
        <x:f>IF(AND($A416&gt;='Control Room'!$A$13,$A416&lt;'Control Room'!$A$13+'Control Room'!$B$13,'Process'!BQ2=1),1+('Control Room'!$C$13-1)*EXP(-0.5*(($A416-'Control Room'!$A$13-('Control Room'!$B$13-1)/2)/MAX(0.5,'Control Room'!$B$13/4))^2),1)*IF(AND($A416&gt;='Control Room'!$A$14,$A416&lt;'Control Room'!$A$14+'Control Room'!$B$14,'Process'!BQ3=1),1+('Control Room'!$C$14-1)*EXP(-0.5*(($A416-'Control Room'!$A$14-('Control Room'!$B$14-1)/2)/MAX(0.5,'Control Room'!$B$14/4))^2),1)*IF(AND($A416&gt;='Control Room'!$A$15,$A416&lt;'Control Room'!$A$15+'Control Room'!$B$15,'Process'!BQ4=1),1+('Control Room'!$C$15-1)*EXP(-0.5*(($A416-'Control Room'!$A$15-('Control Room'!$B$15-1)/2)/MAX(0.5,'Control Room'!$B$15/4))^2),1)*IF(AND($A416&gt;='Control Room'!$A$16,$A416&lt;'Control Room'!$A$16+'Control Room'!$B$16,'Process'!BQ5=1),1+('Control Room'!$C$16-1)*EXP(-0.5*(($A416-'Control Room'!$A$16-('Control Room'!$B$16-1)/2)/MAX(0.5,'Control Room'!$B$16/4))^2),1)</x:f>
        <x:v>1</x:v>
      </x:c>
      <x:c r="AK416" s="9" t="n">
        <x:f>MOD(AL415*16807,2147483647)</x:f>
        <x:v>1344404445</x:v>
      </x:c>
      <x:c r="AL416" s="9" t="n">
        <x:f>MOD(AK416*16807,2147483647)</x:f>
        <x:v>1730057028</x:v>
      </x:c>
      <x:c r="AM416" s="17" t="n">
        <x:f>IF('Control Room'!$B$5="Normal",'Control Room'!$B$7+'Control Room'!$D$7*SQRT(-2*LN(MAX(0.000000000001,AK416/2147483647)))*COS(2*PI()*AL416/2147483647),'Control Room'!$B$8+('Control Room'!$D$8-'Control Room'!$B$8)*AK416/2147483647)</x:f>
        <x:v>1029.8249445938884</x:v>
      </x:c>
      <x:c r="AN416" s="17" t="n">
        <x:f>IF('Control Room'!$B$5="Normal",'Control Room'!$B$7,('Control Room'!$B$8+'Control Room'!$D$8)/2)+'Control Room'!$B$9*(AN415-IF('Control Room'!$B$5="Normal",'Control Room'!$B$7,('Control Room'!$B$8+'Control Room'!$D$8)/2))+SQRT(1-'Control Room'!$B$9^2)*(AM416-IF('Control Room'!$B$5="Normal",'Control Room'!$B$7,('Control Room'!$B$8+'Control Room'!$D$8)/2))</x:f>
        <x:v>1056.2566986129916</x:v>
      </x:c>
      <x:c r="AO416" s="17" t="n">
        <x:f>IF(AND($A416&gt;='Control Room'!$A$13,$A416&lt;'Control Room'!$A$13+'Control Room'!$B$13,'Process'!BR2=1),1+('Control Room'!$C$13-1)*EXP(-0.5*(($A416-'Control Room'!$A$13-('Control Room'!$B$13-1)/2)/MAX(0.5,'Control Room'!$B$13/4))^2),1)*IF(AND($A416&gt;='Control Room'!$A$14,$A416&lt;'Control Room'!$A$14+'Control Room'!$B$14,'Process'!BR3=1),1+('Control Room'!$C$14-1)*EXP(-0.5*(($A416-'Control Room'!$A$14-('Control Room'!$B$14-1)/2)/MAX(0.5,'Control Room'!$B$14/4))^2),1)*IF(AND($A416&gt;='Control Room'!$A$15,$A416&lt;'Control Room'!$A$15+'Control Room'!$B$15,'Process'!BR4=1),1+('Control Room'!$C$15-1)*EXP(-0.5*(($A416-'Control Room'!$A$15-('Control Room'!$B$15-1)/2)/MAX(0.5,'Control Room'!$B$15/4))^2),1)*IF(AND($A416&gt;='Control Room'!$A$16,$A416&lt;'Control Room'!$A$16+'Control Room'!$B$16,'Process'!BR5=1),1+('Control Room'!$C$16-1)*EXP(-0.5*(($A416-'Control Room'!$A$16-('Control Room'!$B$16-1)/2)/MAX(0.5,'Control Room'!$B$16/4))^2),1)</x:f>
        <x:v>1</x:v>
      </x:c>
      <x:c r="AP416" s="9" t="n">
        <x:f>MOD(AQ415*16807,2147483647)</x:f>
        <x:v>806553795</x:v>
      </x:c>
      <x:c r="AQ416" s="9" t="n">
        <x:f>MOD(AP416*16807,2147483647)</x:f>
        <x:v>832852701</x:v>
      </x:c>
      <x:c r="AR416" s="17" t="n">
        <x:f>IF('Control Room'!$B$5="Normal",'Control Room'!$B$7+'Control Room'!$D$7*SQRT(-2*LN(MAX(0.000000000001,AP416/2147483647)))*COS(2*PI()*AQ416/2147483647),'Control Room'!$B$8+('Control Room'!$D$8-'Control Room'!$B$8)*AP416/2147483647)</x:f>
        <x:v>904.0559813129602</x:v>
      </x:c>
      <x:c r="AS416" s="17" t="n">
        <x:f>IF('Control Room'!$B$5="Normal",'Control Room'!$B$7,('Control Room'!$B$8+'Control Room'!$D$8)/2)+'Control Room'!$B$9*(AS415-IF('Control Room'!$B$5="Normal",'Control Room'!$B$7,('Control Room'!$B$8+'Control Room'!$D$8)/2))+SQRT(1-'Control Room'!$B$9^2)*(AR416-IF('Control Room'!$B$5="Normal",'Control Room'!$B$7,('Control Room'!$B$8+'Control Room'!$D$8)/2))</x:f>
        <x:v>857.1969470471523</x:v>
      </x:c>
      <x:c r="AT416" s="17" t="n">
        <x:f>IF(AND($A416&gt;='Control Room'!$A$13,$A416&lt;'Control Room'!$A$13+'Control Room'!$B$13,'Process'!BS2=1),1+('Control Room'!$C$13-1)*EXP(-0.5*(($A416-'Control Room'!$A$13-('Control Room'!$B$13-1)/2)/MAX(0.5,'Control Room'!$B$13/4))^2),1)*IF(AND($A416&gt;='Control Room'!$A$14,$A416&lt;'Control Room'!$A$14+'Control Room'!$B$14,'Process'!BS3=1),1+('Control Room'!$C$14-1)*EXP(-0.5*(($A416-'Control Room'!$A$14-('Control Room'!$B$14-1)/2)/MAX(0.5,'Control Room'!$B$14/4))^2),1)*IF(AND($A416&gt;='Control Room'!$A$15,$A416&lt;'Control Room'!$A$15+'Control Room'!$B$15,'Process'!BS4=1),1+('Control Room'!$C$15-1)*EXP(-0.5*(($A416-'Control Room'!$A$15-('Control Room'!$B$15-1)/2)/MAX(0.5,'Control Room'!$B$15/4))^2),1)*IF(AND($A416&gt;='Control Room'!$A$16,$A416&lt;'Control Room'!$A$16+'Control Room'!$B$16,'Process'!BS5=1),1+('Control Room'!$C$16-1)*EXP(-0.5*(($A416-'Control Room'!$A$16-('Control Room'!$B$16-1)/2)/MAX(0.5,'Control Room'!$B$16/4))^2),1)</x:f>
        <x:v>1</x:v>
      </x:c>
      <x:c r="AU416" s="9" t="n">
        <x:f>MOD(AV415*16807,2147483647)</x:f>
        <x:v>268703145</x:v>
      </x:c>
      <x:c r="AV416" s="9" t="n">
        <x:f>MOD(AU416*16807,2147483647)</x:f>
        <x:v>2083132021</x:v>
      </x:c>
      <x:c r="AW416" s="17" t="n">
        <x:f>IF('Control Room'!$B$5="Normal",'Control Room'!$B$7+'Control Room'!$D$7*SQRT(-2*LN(MAX(0.000000000001,AU416/2147483647)))*COS(2*PI()*AV416/2147483647),'Control Room'!$B$8+('Control Room'!$D$8-'Control Room'!$B$8)*AU416/2147483647)</x:f>
        <x:v>1180.2531737892057</x:v>
      </x:c>
      <x:c r="AX416" s="17" t="n">
        <x:f>IF('Control Room'!$B$5="Normal",'Control Room'!$B$7,('Control Room'!$B$8+'Control Room'!$D$8)/2)+'Control Room'!$B$9*(AX415-IF('Control Room'!$B$5="Normal",'Control Room'!$B$7,('Control Room'!$B$8+'Control Room'!$D$8)/2))+SQRT(1-'Control Room'!$B$9^2)*(AW416-IF('Control Room'!$B$5="Normal",'Control Room'!$B$7,('Control Room'!$B$8+'Control Room'!$D$8)/2))</x:f>
        <x:v>1092.354936433907</x:v>
      </x:c>
      <x:c r="AY416" s="17" t="n">
        <x:f>IF(AND($A416&gt;='Control Room'!$A$13,$A416&lt;'Control Room'!$A$13+'Control Room'!$B$13,'Process'!BT2=1),1+('Control Room'!$C$13-1)*EXP(-0.5*(($A416-'Control Room'!$A$13-('Control Room'!$B$13-1)/2)/MAX(0.5,'Control Room'!$B$13/4))^2),1)*IF(AND($A416&gt;='Control Room'!$A$14,$A416&lt;'Control Room'!$A$14+'Control Room'!$B$14,'Process'!BT3=1),1+('Control Room'!$C$14-1)*EXP(-0.5*(($A416-'Control Room'!$A$14-('Control Room'!$B$14-1)/2)/MAX(0.5,'Control Room'!$B$14/4))^2),1)*IF(AND($A416&gt;='Control Room'!$A$15,$A416&lt;'Control Room'!$A$15+'Control Room'!$B$15,'Process'!BT4=1),1+('Control Room'!$C$15-1)*EXP(-0.5*(($A416-'Control Room'!$A$15-('Control Room'!$B$15-1)/2)/MAX(0.5,'Control Room'!$B$15/4))^2),1)*IF(AND($A416&gt;='Control Room'!$A$16,$A416&lt;'Control Room'!$A$16+'Control Room'!$B$16,'Process'!BT5=1),1+('Control Room'!$C$16-1)*EXP(-0.5*(($A416-'Control Room'!$A$16-('Control Room'!$B$16-1)/2)/MAX(0.5,'Control Room'!$B$16/4))^2),1)</x:f>
        <x:v>1</x:v>
      </x:c>
      <x:c r="AZ416" s="9" t="n">
        <x:f>MOD(BA415*16807,2147483647)</x:f>
        <x:v>1878336142</x:v>
      </x:c>
      <x:c r="BA416" s="9" t="n">
        <x:f>MOD(AZ416*16807,2147483647)</x:f>
        <x:v>1185927694</x:v>
      </x:c>
      <x:c r="BB416" s="17" t="n">
        <x:f>IF('Control Room'!$B$5="Normal",'Control Room'!$B$7+'Control Room'!$D$7*SQRT(-2*LN(MAX(0.000000000001,AZ416/2147483647)))*COS(2*PI()*BA416/2147483647),'Control Room'!$B$8+('Control Room'!$D$8-'Control Room'!$B$8)*AZ416/2147483647)</x:f>
        <x:v>955.9103471500013</x:v>
      </x:c>
      <x:c r="BC416" s="17" t="n">
        <x:f>IF('Control Room'!$B$5="Normal",'Control Room'!$B$7,('Control Room'!$B$8+'Control Room'!$D$8)/2)+'Control Room'!$B$9*(BC415-IF('Control Room'!$B$5="Normal",'Control Room'!$B$7,('Control Room'!$B$8+'Control Room'!$D$8)/2))+SQRT(1-'Control Room'!$B$9^2)*(BB416-IF('Control Room'!$B$5="Normal",'Control Room'!$B$7,('Control Room'!$B$8+'Control Room'!$D$8)/2))</x:f>
        <x:v>930.0125826832024</x:v>
      </x:c>
      <x:c r="BD416" s="17" t="n">
        <x:f>IF(AND($A416&gt;='Control Room'!$A$13,$A416&lt;'Control Room'!$A$13+'Control Room'!$B$13,'Process'!BU2=1),1+('Control Room'!$C$13-1)*EXP(-0.5*(($A416-'Control Room'!$A$13-('Control Room'!$B$13-1)/2)/MAX(0.5,'Control Room'!$B$13/4))^2),1)*IF(AND($A416&gt;='Control Room'!$A$14,$A416&lt;'Control Room'!$A$14+'Control Room'!$B$14,'Process'!BU3=1),1+('Control Room'!$C$14-1)*EXP(-0.5*(($A416-'Control Room'!$A$14-('Control Room'!$B$14-1)/2)/MAX(0.5,'Control Room'!$B$14/4))^2),1)*IF(AND($A416&gt;='Control Room'!$A$15,$A416&lt;'Control Room'!$A$15+'Control Room'!$B$15,'Process'!BU4=1),1+('Control Room'!$C$15-1)*EXP(-0.5*(($A416-'Control Room'!$A$15-('Control Room'!$B$15-1)/2)/MAX(0.5,'Control Room'!$B$15/4))^2),1)*IF(AND($A416&gt;='Control Room'!$A$16,$A416&lt;'Control Room'!$A$16+'Control Room'!$B$16,'Process'!BU5=1),1+('Control Room'!$C$16-1)*EXP(-0.5*(($A416-'Control Room'!$A$16-('Control Room'!$B$16-1)/2)/MAX(0.5,'Control Room'!$B$16/4))^2),1)</x:f>
        <x:v>1</x:v>
      </x:c>
      <x:c r="BE416" s="9" t="n">
        <x:f>MOD(BF415*16807,2147483647)</x:f>
        <x:v>1340485492</x:v>
      </x:c>
      <x:c r="BF416" s="9" t="n">
        <x:f>MOD(BE416*16807,2147483647)</x:f>
        <x:v>288723367</x:v>
      </x:c>
      <x:c r="BG416" s="17" t="n">
        <x:f>IF('Control Room'!$B$5="Normal",'Control Room'!$B$7+'Control Room'!$D$7*SQRT(-2*LN(MAX(0.000000000001,BE416/2147483647)))*COS(2*PI()*BF416/2147483647),'Control Room'!$B$8+('Control Room'!$D$8-'Control Room'!$B$8)*BE416/2147483647)</x:f>
        <x:v>1058.009765684093</x:v>
      </x:c>
      <x:c r="BH416" s="17" t="n">
        <x:f>IF('Control Room'!$B$5="Normal",'Control Room'!$B$7,('Control Room'!$B$8+'Control Room'!$D$8)/2)+'Control Room'!$B$9*(BH415-IF('Control Room'!$B$5="Normal",'Control Room'!$B$7,('Control Room'!$B$8+'Control Room'!$D$8)/2))+SQRT(1-'Control Room'!$B$9^2)*(BG416-IF('Control Room'!$B$5="Normal",'Control Room'!$B$7,('Control Room'!$B$8+'Control Room'!$D$8)/2))</x:f>
        <x:v>989.8401071593655</x:v>
      </x:c>
      <x:c r="BI416" s="17" t="n">
        <x:f>IF(AND($A416&gt;='Control Room'!$A$13,$A416&lt;'Control Room'!$A$13+'Control Room'!$B$13,'Process'!BV2=1),1+('Control Room'!$C$13-1)*EXP(-0.5*(($A416-'Control Room'!$A$13-('Control Room'!$B$13-1)/2)/MAX(0.5,'Control Room'!$B$13/4))^2),1)*IF(AND($A416&gt;='Control Room'!$A$14,$A416&lt;'Control Room'!$A$14+'Control Room'!$B$14,'Process'!BV3=1),1+('Control Room'!$C$14-1)*EXP(-0.5*(($A416-'Control Room'!$A$14-('Control Room'!$B$14-1)/2)/MAX(0.5,'Control Room'!$B$14/4))^2),1)*IF(AND($A416&gt;='Control Room'!$A$15,$A416&lt;'Control Room'!$A$15+'Control Room'!$B$15,'Process'!BV4=1),1+('Control Room'!$C$15-1)*EXP(-0.5*(($A416-'Control Room'!$A$15-('Control Room'!$B$15-1)/2)/MAX(0.5,'Control Room'!$B$15/4))^2),1)*IF(AND($A416&gt;='Control Room'!$A$16,$A416&lt;'Control Room'!$A$16+'Control Room'!$B$16,'Process'!BV5=1),1+('Control Room'!$C$16-1)*EXP(-0.5*(($A416-'Control Room'!$A$16-('Control Room'!$B$16-1)/2)/MAX(0.5,'Control Room'!$B$16/4))^2),1)</x:f>
        <x:v>1</x:v>
      </x:c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Z416" t="str">
        <x:f>IF('Data'!A416="","",TEXT('Data'!A416,"mm-dd"))</x:f>
      </x:c>
    </x:row>
    <x:row r="417" ht="21" customHeight="1">
      <x:c r="A417" s="15" t="n">
        <x:f>'Control Room'!$B$1+415</x:f>
        <x:v>73406</x:v>
      </x:c>
      <x:c r="B417" s="9" t="n">
        <x:f>MOD(C416*16807,2147483647)</x:f>
        <x:v>68055448</x:v>
      </x:c>
      <x:c r="C417" s="9" t="n">
        <x:f>MOD(B417*16807,2147483647)</x:f>
        <x:v>1346614332</x:v>
      </x:c>
      <x:c r="D417" s="17" t="n">
        <x:f>IF('Control Room'!$B$5="Normal",'Control Room'!$B$7+'Control Room'!$D$7*SQRT(-2*LN(MAX(0.000000000001,B417/2147483647)))*COS(2*PI()*C417/2147483647),'Control Room'!$B$8+('Control Room'!$D$8-'Control Room'!$B$8)*B417/2147483647)</x:f>
        <x:v>834.9752870453854</x:v>
      </x:c>
      <x:c r="E417" s="17" t="n">
        <x:f>IF('Control Room'!$B$5="Normal",'Control Room'!$B$7,('Control Room'!$B$8+'Control Room'!$D$8)/2)+'Control Room'!$B$9*(E416-IF('Control Room'!$B$5="Normal",'Control Room'!$B$7,('Control Room'!$B$8+'Control Room'!$D$8)/2))+SQRT(1-'Control Room'!$B$9^2)*(D417-IF('Control Room'!$B$5="Normal",'Control Room'!$B$7,('Control Room'!$B$8+'Control Room'!$D$8)/2))</x:f>
        <x:v>971.905353287149</x:v>
      </x:c>
      <x:c r="F417" s="17" t="n">
        <x:f>IF(AND($A417&gt;='Control Room'!$A$13,$A417&lt;'Control Room'!$A$13+'Control Room'!$B$13,'Process'!BK2=1),1+('Control Room'!$C$13-1)*EXP(-0.5*(($A417-'Control Room'!$A$13-('Control Room'!$B$13-1)/2)/MAX(0.5,'Control Room'!$B$13/4))^2),1)*IF(AND($A417&gt;='Control Room'!$A$14,$A417&lt;'Control Room'!$A$14+'Control Room'!$B$14,'Process'!BK3=1),1+('Control Room'!$C$14-1)*EXP(-0.5*(($A417-'Control Room'!$A$14-('Control Room'!$B$14-1)/2)/MAX(0.5,'Control Room'!$B$14/4))^2),1)*IF(AND($A417&gt;='Control Room'!$A$15,$A417&lt;'Control Room'!$A$15+'Control Room'!$B$15,'Process'!BK4=1),1+('Control Room'!$C$15-1)*EXP(-0.5*(($A417-'Control Room'!$A$15-('Control Room'!$B$15-1)/2)/MAX(0.5,'Control Room'!$B$15/4))^2),1)*IF(AND($A417&gt;='Control Room'!$A$16,$A417&lt;'Control Room'!$A$16+'Control Room'!$B$16,'Process'!BK5=1),1+('Control Room'!$C$16-1)*EXP(-0.5*(($A417-'Control Room'!$A$16-('Control Room'!$B$16-1)/2)/MAX(0.5,'Control Room'!$B$16/4))^2),1)</x:f>
        <x:v>1</x:v>
      </x:c>
      <x:c r="G417" s="9" t="n">
        <x:f>MOD(H416*16807,2147483647)</x:f>
        <x:v>385100793</x:v>
      </x:c>
      <x:c r="H417" s="9" t="n">
        <x:f>MOD(G417*16807,2147483647)</x:f>
        <x:v>2020799540</x:v>
      </x:c>
      <x:c r="I417" s="17" t="n">
        <x:f>IF('Control Room'!$B$5="Normal",'Control Room'!$B$7+'Control Room'!$D$7*SQRT(-2*LN(MAX(0.000000000001,G417/2147483647)))*COS(2*PI()*H417/2147483647),'Control Room'!$B$8+('Control Room'!$D$8-'Control Room'!$B$8)*G417/2147483647)</x:f>
        <x:v>1155.5234427803032</x:v>
      </x:c>
      <x:c r="J417" s="17" t="n">
        <x:f>IF('Control Room'!$B$5="Normal",'Control Room'!$B$7,('Control Room'!$B$8+'Control Room'!$D$8)/2)+'Control Room'!$B$9*(J416-IF('Control Room'!$B$5="Normal",'Control Room'!$B$7,('Control Room'!$B$8+'Control Room'!$D$8)/2))+SQRT(1-'Control Room'!$B$9^2)*(I417-IF('Control Room'!$B$5="Normal",'Control Room'!$B$7,('Control Room'!$B$8+'Control Room'!$D$8)/2))</x:f>
        <x:v>1113.3342456303549</x:v>
      </x:c>
      <x:c r="K417" s="17" t="n">
        <x:f>IF(AND($A417&gt;='Control Room'!$A$13,$A417&lt;'Control Room'!$A$13+'Control Room'!$B$13,'Process'!BL2=1),1+('Control Room'!$C$13-1)*EXP(-0.5*(($A417-'Control Room'!$A$13-('Control Room'!$B$13-1)/2)/MAX(0.5,'Control Room'!$B$13/4))^2),1)*IF(AND($A417&gt;='Control Room'!$A$14,$A417&lt;'Control Room'!$A$14+'Control Room'!$B$14,'Process'!BL3=1),1+('Control Room'!$C$14-1)*EXP(-0.5*(($A417-'Control Room'!$A$14-('Control Room'!$B$14-1)/2)/MAX(0.5,'Control Room'!$B$14/4))^2),1)*IF(AND($A417&gt;='Control Room'!$A$15,$A417&lt;'Control Room'!$A$15+'Control Room'!$B$15,'Process'!BL4=1),1+('Control Room'!$C$15-1)*EXP(-0.5*(($A417-'Control Room'!$A$15-('Control Room'!$B$15-1)/2)/MAX(0.5,'Control Room'!$B$15/4))^2),1)*IF(AND($A417&gt;='Control Room'!$A$16,$A417&lt;'Control Room'!$A$16+'Control Room'!$B$16,'Process'!BL5=1),1+('Control Room'!$C$16-1)*EXP(-0.5*(($A417-'Control Room'!$A$16-('Control Room'!$B$16-1)/2)/MAX(0.5,'Control Room'!$B$16/4))^2),1)</x:f>
        <x:v>1</x:v>
      </x:c>
      <x:c r="L417" s="9" t="n">
        <x:f>MOD(M416*16807,2147483647)</x:f>
        <x:v>702146138</x:v>
      </x:c>
      <x:c r="M417" s="9" t="n">
        <x:f>MOD(L417*16807,2147483647)</x:f>
        <x:v>547501101</x:v>
      </x:c>
      <x:c r="N417" s="17" t="n">
        <x:f>IF('Control Room'!$B$5="Normal",'Control Room'!$B$7+'Control Room'!$D$7*SQRT(-2*LN(MAX(0.000000000001,L417/2147483647)))*COS(2*PI()*M417/2147483647),'Control Room'!$B$8+('Control Room'!$D$8-'Control Room'!$B$8)*L417/2147483647)</x:f>
        <x:v>995.8151297272613</x:v>
      </x:c>
      <x:c r="O417" s="17" t="n">
        <x:f>IF('Control Room'!$B$5="Normal",'Control Room'!$B$7,('Control Room'!$B$8+'Control Room'!$D$8)/2)+'Control Room'!$B$9*(O416-IF('Control Room'!$B$5="Normal",'Control Room'!$B$7,('Control Room'!$B$8+'Control Room'!$D$8)/2))+SQRT(1-'Control Room'!$B$9^2)*(N417-IF('Control Room'!$B$5="Normal",'Control Room'!$B$7,('Control Room'!$B$8+'Control Room'!$D$8)/2))</x:f>
        <x:v>947.8908081232663</x:v>
      </x:c>
      <x:c r="P417" s="17" t="n">
        <x:f>IF(AND($A417&gt;='Control Room'!$A$13,$A417&lt;'Control Room'!$A$13+'Control Room'!$B$13,'Process'!BM2=1),1+('Control Room'!$C$13-1)*EXP(-0.5*(($A417-'Control Room'!$A$13-('Control Room'!$B$13-1)/2)/MAX(0.5,'Control Room'!$B$13/4))^2),1)*IF(AND($A417&gt;='Control Room'!$A$14,$A417&lt;'Control Room'!$A$14+'Control Room'!$B$14,'Process'!BM3=1),1+('Control Room'!$C$14-1)*EXP(-0.5*(($A417-'Control Room'!$A$14-('Control Room'!$B$14-1)/2)/MAX(0.5,'Control Room'!$B$14/4))^2),1)*IF(AND($A417&gt;='Control Room'!$A$15,$A417&lt;'Control Room'!$A$15+'Control Room'!$B$15,'Process'!BM4=1),1+('Control Room'!$C$15-1)*EXP(-0.5*(($A417-'Control Room'!$A$15-('Control Room'!$B$15-1)/2)/MAX(0.5,'Control Room'!$B$15/4))^2),1)*IF(AND($A417&gt;='Control Room'!$A$16,$A417&lt;'Control Room'!$A$16+'Control Room'!$B$16,'Process'!BM5=1),1+('Control Room'!$C$16-1)*EXP(-0.5*(($A417-'Control Room'!$A$16-('Control Room'!$B$16-1)/2)/MAX(0.5,'Control Room'!$B$16/4))^2),1)</x:f>
        <x:v>1</x:v>
      </x:c>
      <x:c r="Q417" s="9" t="n">
        <x:f>MOD(R416*16807,2147483647)</x:f>
        <x:v>1019191483</x:v>
      </x:c>
      <x:c r="R417" s="9" t="n">
        <x:f>MOD(Q417*16807,2147483647)</x:f>
        <x:v>1221686309</x:v>
      </x:c>
      <x:c r="S417" s="17" t="n">
        <x:f>IF('Control Room'!$B$5="Normal",'Control Room'!$B$7+'Control Room'!$D$7*SQRT(-2*LN(MAX(0.000000000001,Q417/2147483647)))*COS(2*PI()*R417/2147483647),'Control Room'!$B$8+('Control Room'!$D$8-'Control Room'!$B$8)*Q417/2147483647)</x:f>
        <x:v>900.2541653119424</x:v>
      </x:c>
      <x:c r="T417" s="17" t="n">
        <x:f>IF('Control Room'!$B$5="Normal",'Control Room'!$B$7,('Control Room'!$B$8+'Control Room'!$D$8)/2)+'Control Room'!$B$9*(T416-IF('Control Room'!$B$5="Normal",'Control Room'!$B$7,('Control Room'!$B$8+'Control Room'!$D$8)/2))+SQRT(1-'Control Room'!$B$9^2)*(S417-IF('Control Room'!$B$5="Normal",'Control Room'!$B$7,('Control Room'!$B$8+'Control Room'!$D$8)/2))</x:f>
        <x:v>971.9610878149687</x:v>
      </x:c>
      <x:c r="U417" s="17" t="n">
        <x:f>IF(AND($A417&gt;='Control Room'!$A$13,$A417&lt;'Control Room'!$A$13+'Control Room'!$B$13,'Process'!BN2=1),1+('Control Room'!$C$13-1)*EXP(-0.5*(($A417-'Control Room'!$A$13-('Control Room'!$B$13-1)/2)/MAX(0.5,'Control Room'!$B$13/4))^2),1)*IF(AND($A417&gt;='Control Room'!$A$14,$A417&lt;'Control Room'!$A$14+'Control Room'!$B$14,'Process'!BN3=1),1+('Control Room'!$C$14-1)*EXP(-0.5*(($A417-'Control Room'!$A$14-('Control Room'!$B$14-1)/2)/MAX(0.5,'Control Room'!$B$14/4))^2),1)*IF(AND($A417&gt;='Control Room'!$A$15,$A417&lt;'Control Room'!$A$15+'Control Room'!$B$15,'Process'!BN4=1),1+('Control Room'!$C$15-1)*EXP(-0.5*(($A417-'Control Room'!$A$15-('Control Room'!$B$15-1)/2)/MAX(0.5,'Control Room'!$B$15/4))^2),1)*IF(AND($A417&gt;='Control Room'!$A$16,$A417&lt;'Control Room'!$A$16+'Control Room'!$B$16,'Process'!BN5=1),1+('Control Room'!$C$16-1)*EXP(-0.5*(($A417-'Control Room'!$A$16-('Control Room'!$B$16-1)/2)/MAX(0.5,'Control Room'!$B$16/4))^2),1)</x:f>
        <x:v>1</x:v>
      </x:c>
      <x:c r="V417" s="9" t="n">
        <x:f>MOD(W416*16807,2147483647)</x:f>
        <x:v>1336236828</x:v>
      </x:c>
      <x:c r="W417" s="9" t="n">
        <x:f>MOD(V417*16807,2147483647)</x:f>
        <x:v>1895871517</x:v>
      </x:c>
      <x:c r="X417" s="17" t="n">
        <x:f>IF('Control Room'!$B$5="Normal",'Control Room'!$B$7+'Control Room'!$D$7*SQRT(-2*LN(MAX(0.000000000001,V417/2147483647)))*COS(2*PI()*W417/2147483647),'Control Room'!$B$8+('Control Room'!$D$8-'Control Room'!$B$8)*V417/2147483647)</x:f>
        <x:v>1064.9666622866644</x:v>
      </x:c>
      <x:c r="Y417" s="17" t="n">
        <x:f>IF('Control Room'!$B$5="Normal",'Control Room'!$B$7,('Control Room'!$B$8+'Control Room'!$D$8)/2)+'Control Room'!$B$9*(Y416-IF('Control Room'!$B$5="Normal",'Control Room'!$B$7,('Control Room'!$B$8+'Control Room'!$D$8)/2))+SQRT(1-'Control Room'!$B$9^2)*(X417-IF('Control Room'!$B$5="Normal",'Control Room'!$B$7,('Control Room'!$B$8+'Control Room'!$D$8)/2))</x:f>
        <x:v>1167.3625421696133</x:v>
      </x:c>
      <x:c r="Z417" s="17" t="n">
        <x:f>IF(AND($A417&gt;='Control Room'!$A$13,$A417&lt;'Control Room'!$A$13+'Control Room'!$B$13,'Process'!BO2=1),1+('Control Room'!$C$13-1)*EXP(-0.5*(($A417-'Control Room'!$A$13-('Control Room'!$B$13-1)/2)/MAX(0.5,'Control Room'!$B$13/4))^2),1)*IF(AND($A417&gt;='Control Room'!$A$14,$A417&lt;'Control Room'!$A$14+'Control Room'!$B$14,'Process'!BO3=1),1+('Control Room'!$C$14-1)*EXP(-0.5*(($A417-'Control Room'!$A$14-('Control Room'!$B$14-1)/2)/MAX(0.5,'Control Room'!$B$14/4))^2),1)*IF(AND($A417&gt;='Control Room'!$A$15,$A417&lt;'Control Room'!$A$15+'Control Room'!$B$15,'Process'!BO4=1),1+('Control Room'!$C$15-1)*EXP(-0.5*(($A417-'Control Room'!$A$15-('Control Room'!$B$15-1)/2)/MAX(0.5,'Control Room'!$B$15/4))^2),1)*IF(AND($A417&gt;='Control Room'!$A$16,$A417&lt;'Control Room'!$A$16+'Control Room'!$B$16,'Process'!BO5=1),1+('Control Room'!$C$16-1)*EXP(-0.5*(($A417-'Control Room'!$A$16-('Control Room'!$B$16-1)/2)/MAX(0.5,'Control Room'!$B$16/4))^2),1)</x:f>
        <x:v>1</x:v>
      </x:c>
      <x:c r="AA417" s="9" t="n">
        <x:f>MOD(AB416*16807,2147483647)</x:f>
        <x:v>1653282173</x:v>
      </x:c>
      <x:c r="AB417" s="9" t="n">
        <x:f>MOD(AA417*16807,2147483647)</x:f>
        <x:v>422573078</x:v>
      </x:c>
      <x:c r="AC417" s="17" t="n">
        <x:f>IF('Control Room'!$B$5="Normal",'Control Room'!$B$7+'Control Room'!$D$7*SQRT(-2*LN(MAX(0.000000000001,AA417/2147483647)))*COS(2*PI()*AB417/2147483647),'Control Room'!$B$8+('Control Room'!$D$8-'Control Room'!$B$8)*AA417/2147483647)</x:f>
        <x:v>1021.3640974346424</x:v>
      </x:c>
      <x:c r="AD417" s="17" t="n">
        <x:f>IF('Control Room'!$B$5="Normal",'Control Room'!$B$7,('Control Room'!$B$8+'Control Room'!$D$8)/2)+'Control Room'!$B$9*(AD416-IF('Control Room'!$B$5="Normal",'Control Room'!$B$7,('Control Room'!$B$8+'Control Room'!$D$8)/2))+SQRT(1-'Control Room'!$B$9^2)*(AC417-IF('Control Room'!$B$5="Normal",'Control Room'!$B$7,('Control Room'!$B$8+'Control Room'!$D$8)/2))</x:f>
        <x:v>938.0531072215654</x:v>
      </x:c>
      <x:c r="AE417" s="17" t="n">
        <x:f>IF(AND($A417&gt;='Control Room'!$A$13,$A417&lt;'Control Room'!$A$13+'Control Room'!$B$13,'Process'!BP2=1),1+('Control Room'!$C$13-1)*EXP(-0.5*(($A417-'Control Room'!$A$13-('Control Room'!$B$13-1)/2)/MAX(0.5,'Control Room'!$B$13/4))^2),1)*IF(AND($A417&gt;='Control Room'!$A$14,$A417&lt;'Control Room'!$A$14+'Control Room'!$B$14,'Process'!BP3=1),1+('Control Room'!$C$14-1)*EXP(-0.5*(($A417-'Control Room'!$A$14-('Control Room'!$B$14-1)/2)/MAX(0.5,'Control Room'!$B$14/4))^2),1)*IF(AND($A417&gt;='Control Room'!$A$15,$A417&lt;'Control Room'!$A$15+'Control Room'!$B$15,'Process'!BP4=1),1+('Control Room'!$C$15-1)*EXP(-0.5*(($A417-'Control Room'!$A$15-('Control Room'!$B$15-1)/2)/MAX(0.5,'Control Room'!$B$15/4))^2),1)*IF(AND($A417&gt;='Control Room'!$A$16,$A417&lt;'Control Room'!$A$16+'Control Room'!$B$16,'Process'!BP5=1),1+('Control Room'!$C$16-1)*EXP(-0.5*(($A417-'Control Room'!$A$16-('Control Room'!$B$16-1)/2)/MAX(0.5,'Control Room'!$B$16/4))^2),1)</x:f>
        <x:v>1</x:v>
      </x:c>
      <x:c r="AF417" s="9" t="n">
        <x:f>MOD(AG416*16807,2147483647)</x:f>
        <x:v>1970327518</x:v>
      </x:c>
      <x:c r="AG417" s="9" t="n">
        <x:f>MOD(AF417*16807,2147483647)</x:f>
        <x:v>1096758286</x:v>
      </x:c>
      <x:c r="AH417" s="17" t="n">
        <x:f>IF('Control Room'!$B$5="Normal",'Control Room'!$B$7+'Control Room'!$D$7*SQRT(-2*LN(MAX(0.000000000001,AF417/2147483647)))*COS(2*PI()*AG417/2147483647),'Control Room'!$B$8+('Control Room'!$D$8-'Control Room'!$B$8)*AF417/2147483647)</x:f>
        <x:v>962.7380177875574</x:v>
      </x:c>
      <x:c r="AI417" s="17" t="n">
        <x:f>IF('Control Room'!$B$5="Normal",'Control Room'!$B$7,('Control Room'!$B$8+'Control Room'!$D$8)/2)+'Control Room'!$B$9*(AI416-IF('Control Room'!$B$5="Normal",'Control Room'!$B$7,('Control Room'!$B$8+'Control Room'!$D$8)/2))+SQRT(1-'Control Room'!$B$9^2)*(AH417-IF('Control Room'!$B$5="Normal",'Control Room'!$B$7,('Control Room'!$B$8+'Control Room'!$D$8)/2))</x:f>
        <x:v>899.4016755931877</x:v>
      </x:c>
      <x:c r="AJ417" s="17" t="n">
        <x:f>IF(AND($A417&gt;='Control Room'!$A$13,$A417&lt;'Control Room'!$A$13+'Control Room'!$B$13,'Process'!BQ2=1),1+('Control Room'!$C$13-1)*EXP(-0.5*(($A417-'Control Room'!$A$13-('Control Room'!$B$13-1)/2)/MAX(0.5,'Control Room'!$B$13/4))^2),1)*IF(AND($A417&gt;='Control Room'!$A$14,$A417&lt;'Control Room'!$A$14+'Control Room'!$B$14,'Process'!BQ3=1),1+('Control Room'!$C$14-1)*EXP(-0.5*(($A417-'Control Room'!$A$14-('Control Room'!$B$14-1)/2)/MAX(0.5,'Control Room'!$B$14/4))^2),1)*IF(AND($A417&gt;='Control Room'!$A$15,$A417&lt;'Control Room'!$A$15+'Control Room'!$B$15,'Process'!BQ4=1),1+('Control Room'!$C$15-1)*EXP(-0.5*(($A417-'Control Room'!$A$15-('Control Room'!$B$15-1)/2)/MAX(0.5,'Control Room'!$B$15/4))^2),1)*IF(AND($A417&gt;='Control Room'!$A$16,$A417&lt;'Control Room'!$A$16+'Control Room'!$B$16,'Process'!BQ5=1),1+('Control Room'!$C$16-1)*EXP(-0.5*(($A417-'Control Room'!$A$16-('Control Room'!$B$16-1)/2)/MAX(0.5,'Control Room'!$B$16/4))^2),1)</x:f>
        <x:v>1</x:v>
      </x:c>
      <x:c r="AK417" s="9" t="n">
        <x:f>MOD(AL416*16807,2147483647)</x:f>
        <x:v>139889216</x:v>
      </x:c>
      <x:c r="AL417" s="9" t="n">
        <x:f>MOD(AK417*16807,2147483647)</x:f>
        <x:v>1770943494</x:v>
      </x:c>
      <x:c r="AM417" s="17" t="n">
        <x:f>IF('Control Room'!$B$5="Normal",'Control Room'!$B$7+'Control Room'!$D$7*SQRT(-2*LN(MAX(0.000000000001,AK417/2147483647)))*COS(2*PI()*AL417/2147483647),'Control Room'!$B$8+('Control Room'!$D$8-'Control Room'!$B$8)*AK417/2147483647)</x:f>
        <x:v>1095.094305288458</x:v>
      </x:c>
      <x:c r="AN417" s="17" t="n">
        <x:f>IF('Control Room'!$B$5="Normal",'Control Room'!$B$7,('Control Room'!$B$8+'Control Room'!$D$8)/2)+'Control Room'!$B$9*(AN416-IF('Control Room'!$B$5="Normal",'Control Room'!$B$7,('Control Room'!$B$8+'Control Room'!$D$8)/2))+SQRT(1-'Control Room'!$B$9^2)*(AM417-IF('Control Room'!$B$5="Normal",'Control Room'!$B$7,('Control Room'!$B$8+'Control Room'!$D$8)/2))</x:f>
        <x:v>1103.3882930549173</x:v>
      </x:c>
      <x:c r="AO417" s="17" t="n">
        <x:f>IF(AND($A417&gt;='Control Room'!$A$13,$A417&lt;'Control Room'!$A$13+'Control Room'!$B$13,'Process'!BR2=1),1+('Control Room'!$C$13-1)*EXP(-0.5*(($A417-'Control Room'!$A$13-('Control Room'!$B$13-1)/2)/MAX(0.5,'Control Room'!$B$13/4))^2),1)*IF(AND($A417&gt;='Control Room'!$A$14,$A417&lt;'Control Room'!$A$14+'Control Room'!$B$14,'Process'!BR3=1),1+('Control Room'!$C$14-1)*EXP(-0.5*(($A417-'Control Room'!$A$14-('Control Room'!$B$14-1)/2)/MAX(0.5,'Control Room'!$B$14/4))^2),1)*IF(AND($A417&gt;='Control Room'!$A$15,$A417&lt;'Control Room'!$A$15+'Control Room'!$B$15,'Process'!BR4=1),1+('Control Room'!$C$15-1)*EXP(-0.5*(($A417-'Control Room'!$A$15-('Control Room'!$B$15-1)/2)/MAX(0.5,'Control Room'!$B$15/4))^2),1)*IF(AND($A417&gt;='Control Room'!$A$16,$A417&lt;'Control Room'!$A$16+'Control Room'!$B$16,'Process'!BR5=1),1+('Control Room'!$C$16-1)*EXP(-0.5*(($A417-'Control Room'!$A$16-('Control Room'!$B$16-1)/2)/MAX(0.5,'Control Room'!$B$16/4))^2),1)</x:f>
        <x:v>1</x:v>
      </x:c>
      <x:c r="AP417" s="9" t="n">
        <x:f>MOD(AQ416*16807,2147483647)</x:f>
        <x:v>456934561</x:v>
      </x:c>
      <x:c r="AQ417" s="9" t="n">
        <x:f>MOD(AP417*16807,2147483647)</x:f>
        <x:v>297645055</x:v>
      </x:c>
      <x:c r="AR417" s="17" t="n">
        <x:f>IF('Control Room'!$B$5="Normal",'Control Room'!$B$7+'Control Room'!$D$7*SQRT(-2*LN(MAX(0.000000000001,AP417/2147483647)))*COS(2*PI()*AQ417/2147483647),'Control Room'!$B$8+('Control Room'!$D$8-'Control Room'!$B$8)*AP417/2147483647)</x:f>
        <x:v>1101.9938458235215</x:v>
      </x:c>
      <x:c r="AS417" s="17" t="n">
        <x:f>IF('Control Room'!$B$5="Normal",'Control Room'!$B$7,('Control Room'!$B$8+'Control Room'!$D$8)/2)+'Control Room'!$B$9*(AS416-IF('Control Room'!$B$5="Normal",'Control Room'!$B$7,('Control Room'!$B$8+'Control Room'!$D$8)/2))+SQRT(1-'Control Room'!$B$9^2)*(AR417-IF('Control Room'!$B$5="Normal",'Control Room'!$B$7,('Control Room'!$B$8+'Control Room'!$D$8)/2))</x:f>
        <x:v>952.4392779556347</x:v>
      </x:c>
      <x:c r="AT417" s="17" t="n">
        <x:f>IF(AND($A417&gt;='Control Room'!$A$13,$A417&lt;'Control Room'!$A$13+'Control Room'!$B$13,'Process'!BS2=1),1+('Control Room'!$C$13-1)*EXP(-0.5*(($A417-'Control Room'!$A$13-('Control Room'!$B$13-1)/2)/MAX(0.5,'Control Room'!$B$13/4))^2),1)*IF(AND($A417&gt;='Control Room'!$A$14,$A417&lt;'Control Room'!$A$14+'Control Room'!$B$14,'Process'!BS3=1),1+('Control Room'!$C$14-1)*EXP(-0.5*(($A417-'Control Room'!$A$14-('Control Room'!$B$14-1)/2)/MAX(0.5,'Control Room'!$B$14/4))^2),1)*IF(AND($A417&gt;='Control Room'!$A$15,$A417&lt;'Control Room'!$A$15+'Control Room'!$B$15,'Process'!BS4=1),1+('Control Room'!$C$15-1)*EXP(-0.5*(($A417-'Control Room'!$A$15-('Control Room'!$B$15-1)/2)/MAX(0.5,'Control Room'!$B$15/4))^2),1)*IF(AND($A417&gt;='Control Room'!$A$16,$A417&lt;'Control Room'!$A$16+'Control Room'!$B$16,'Process'!BS5=1),1+('Control Room'!$C$16-1)*EXP(-0.5*(($A417-'Control Room'!$A$16-('Control Room'!$B$16-1)/2)/MAX(0.5,'Control Room'!$B$16/4))^2),1)</x:f>
        <x:v>1</x:v>
      </x:c>
      <x:c r="AU417" s="9" t="n">
        <x:f>MOD(AV416*16807,2147483647)</x:f>
        <x:v>773979906</x:v>
      </x:c>
      <x:c r="AV417" s="9" t="n">
        <x:f>MOD(AU417*16807,2147483647)</x:f>
        <x:v>971830263</x:v>
      </x:c>
      <x:c r="AW417" s="17" t="n">
        <x:f>IF('Control Room'!$B$5="Normal",'Control Room'!$B$7+'Control Room'!$D$7*SQRT(-2*LN(MAX(0.000000000001,AU417/2147483647)))*COS(2*PI()*AV417/2147483647),'Control Room'!$B$8+('Control Room'!$D$8-'Control Room'!$B$8)*AU417/2147483647)</x:f>
        <x:v>877.0960442196538</x:v>
      </x:c>
      <x:c r="AX417" s="17" t="n">
        <x:f>IF('Control Room'!$B$5="Normal",'Control Room'!$B$7,('Control Room'!$B$8+'Control Room'!$D$8)/2)+'Control Room'!$B$9*(AX416-IF('Control Room'!$B$5="Normal",'Control Room'!$B$7,('Control Room'!$B$8+'Control Room'!$D$8)/2))+SQRT(1-'Control Room'!$B$9^2)*(AW417-IF('Control Room'!$B$5="Normal",'Control Room'!$B$7,('Control Room'!$B$8+'Control Room'!$D$8)/2))</x:f>
        <x:v>995.1260727154968</x:v>
      </x:c>
      <x:c r="AY417" s="17" t="n">
        <x:f>IF(AND($A417&gt;='Control Room'!$A$13,$A417&lt;'Control Room'!$A$13+'Control Room'!$B$13,'Process'!BT2=1),1+('Control Room'!$C$13-1)*EXP(-0.5*(($A417-'Control Room'!$A$13-('Control Room'!$B$13-1)/2)/MAX(0.5,'Control Room'!$B$13/4))^2),1)*IF(AND($A417&gt;='Control Room'!$A$14,$A417&lt;'Control Room'!$A$14+'Control Room'!$B$14,'Process'!BT3=1),1+('Control Room'!$C$14-1)*EXP(-0.5*(($A417-'Control Room'!$A$14-('Control Room'!$B$14-1)/2)/MAX(0.5,'Control Room'!$B$14/4))^2),1)*IF(AND($A417&gt;='Control Room'!$A$15,$A417&lt;'Control Room'!$A$15+'Control Room'!$B$15,'Process'!BT4=1),1+('Control Room'!$C$15-1)*EXP(-0.5*(($A417-'Control Room'!$A$15-('Control Room'!$B$15-1)/2)/MAX(0.5,'Control Room'!$B$15/4))^2),1)*IF(AND($A417&gt;='Control Room'!$A$16,$A417&lt;'Control Room'!$A$16+'Control Room'!$B$16,'Process'!BT5=1),1+('Control Room'!$C$16-1)*EXP(-0.5*(($A417-'Control Room'!$A$16-('Control Room'!$B$16-1)/2)/MAX(0.5,'Control Room'!$B$16/4))^2),1)</x:f>
        <x:v>1</x:v>
      </x:c>
      <x:c r="AZ417" s="9" t="n">
        <x:f>MOD(BA416*16807,2147483647)</x:f>
        <x:v>1091025251</x:v>
      </x:c>
      <x:c r="BA417" s="9" t="n">
        <x:f>MOD(AZ417*16807,2147483647)</x:f>
        <x:v>1646015471</x:v>
      </x:c>
      <x:c r="BB417" s="17" t="n">
        <x:f>IF('Control Room'!$B$5="Normal",'Control Room'!$B$7+'Control Room'!$D$7*SQRT(-2*LN(MAX(0.000000000001,AZ417/2147483647)))*COS(2*PI()*BA417/2147483647),'Control Room'!$B$8+('Control Room'!$D$8-'Control Room'!$B$8)*AZ417/2147483647)</x:f>
        <x:v>1010.8297679391733</x:v>
      </x:c>
      <x:c r="BC417" s="17" t="n">
        <x:f>IF('Control Room'!$B$5="Normal",'Control Room'!$B$7,('Control Room'!$B$8+'Control Room'!$D$8)/2)+'Control Room'!$B$9*(BC416-IF('Control Room'!$B$5="Normal",'Control Room'!$B$7,('Control Room'!$B$8+'Control Room'!$D$8)/2))+SQRT(1-'Control Room'!$B$9^2)*(BB417-IF('Control Room'!$B$5="Normal",'Control Room'!$B$7,('Control Room'!$B$8+'Control Room'!$D$8)/2))</x:f>
        <x:v>952.186861409377</x:v>
      </x:c>
      <x:c r="BD417" s="17" t="n">
        <x:f>IF(AND($A417&gt;='Control Room'!$A$13,$A417&lt;'Control Room'!$A$13+'Control Room'!$B$13,'Process'!BU2=1),1+('Control Room'!$C$13-1)*EXP(-0.5*(($A417-'Control Room'!$A$13-('Control Room'!$B$13-1)/2)/MAX(0.5,'Control Room'!$B$13/4))^2),1)*IF(AND($A417&gt;='Control Room'!$A$14,$A417&lt;'Control Room'!$A$14+'Control Room'!$B$14,'Process'!BU3=1),1+('Control Room'!$C$14-1)*EXP(-0.5*(($A417-'Control Room'!$A$14-('Control Room'!$B$14-1)/2)/MAX(0.5,'Control Room'!$B$14/4))^2),1)*IF(AND($A417&gt;='Control Room'!$A$15,$A417&lt;'Control Room'!$A$15+'Control Room'!$B$15,'Process'!BU4=1),1+('Control Room'!$C$15-1)*EXP(-0.5*(($A417-'Control Room'!$A$15-('Control Room'!$B$15-1)/2)/MAX(0.5,'Control Room'!$B$15/4))^2),1)*IF(AND($A417&gt;='Control Room'!$A$16,$A417&lt;'Control Room'!$A$16+'Control Room'!$B$16,'Process'!BU5=1),1+('Control Room'!$C$16-1)*EXP(-0.5*(($A417-'Control Room'!$A$16-('Control Room'!$B$16-1)/2)/MAX(0.5,'Control Room'!$B$16/4))^2),1)</x:f>
        <x:v>1</x:v>
      </x:c>
      <x:c r="BE417" s="9" t="n">
        <x:f>MOD(BF416*16807,2147483647)</x:f>
        <x:v>1408070596</x:v>
      </x:c>
      <x:c r="BF417" s="9" t="n">
        <x:f>MOD(BE417*16807,2147483647)</x:f>
        <x:v>172717032</x:v>
      </x:c>
      <x:c r="BG417" s="17" t="n">
        <x:f>IF('Control Room'!$B$5="Normal",'Control Room'!$B$7+'Control Room'!$D$7*SQRT(-2*LN(MAX(0.000000000001,BE417/2147483647)))*COS(2*PI()*BF417/2147483647),'Control Room'!$B$8+('Control Room'!$D$8-'Control Room'!$B$8)*BE417/2147483647)</x:f>
        <x:v>1072.3545067919367</x:v>
      </x:c>
      <x:c r="BH417" s="17" t="n">
        <x:f>IF('Control Room'!$B$5="Normal",'Control Room'!$B$7,('Control Room'!$B$8+'Control Room'!$D$8)/2)+'Control Room'!$B$9*(BH416-IF('Control Room'!$B$5="Normal",'Control Room'!$B$7,('Control Room'!$B$8+'Control Room'!$D$8)/2))+SQRT(1-'Control Room'!$B$9^2)*(BG417-IF('Control Room'!$B$5="Normal",'Control Room'!$B$7,('Control Room'!$B$8+'Control Room'!$D$8)/2))</x:f>
        <x:v>1037.3532516720593</x:v>
      </x:c>
      <x:c r="BI417" s="17" t="n">
        <x:f>IF(AND($A417&gt;='Control Room'!$A$13,$A417&lt;'Control Room'!$A$13+'Control Room'!$B$13,'Process'!BV2=1),1+('Control Room'!$C$13-1)*EXP(-0.5*(($A417-'Control Room'!$A$13-('Control Room'!$B$13-1)/2)/MAX(0.5,'Control Room'!$B$13/4))^2),1)*IF(AND($A417&gt;='Control Room'!$A$14,$A417&lt;'Control Room'!$A$14+'Control Room'!$B$14,'Process'!BV3=1),1+('Control Room'!$C$14-1)*EXP(-0.5*(($A417-'Control Room'!$A$14-('Control Room'!$B$14-1)/2)/MAX(0.5,'Control Room'!$B$14/4))^2),1)*IF(AND($A417&gt;='Control Room'!$A$15,$A417&lt;'Control Room'!$A$15+'Control Room'!$B$15,'Process'!BV4=1),1+('Control Room'!$C$15-1)*EXP(-0.5*(($A417-'Control Room'!$A$15-('Control Room'!$B$15-1)/2)/MAX(0.5,'Control Room'!$B$15/4))^2),1)*IF(AND($A417&gt;='Control Room'!$A$16,$A417&lt;'Control Room'!$A$16+'Control Room'!$B$16,'Process'!BV5=1),1+('Control Room'!$C$16-1)*EXP(-0.5*(($A417-'Control Room'!$A$16-('Control Room'!$B$16-1)/2)/MAX(0.5,'Control Room'!$B$16/4))^2),1)</x:f>
        <x:v>1</x:v>
      </x:c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Z417" t="str">
        <x:f>IF('Data'!A417="","",TEXT('Data'!A417,"mm-dd"))</x:f>
      </x:c>
    </x:row>
    <x:row r="418" ht="21" customHeight="1">
      <x:c r="A418" s="15" t="n">
        <x:f>'Control Room'!$B$1+416</x:f>
        <x:v>73407</x:v>
      </x:c>
      <x:c r="B418" s="9" t="n">
        <x:f>MOD(C417*16807,2147483647)</x:f>
        <x:v>216922191</x:v>
      </x:c>
      <x:c r="C418" s="9" t="n">
        <x:f>MOD(B418*16807,2147483647)</x:f>
        <x:v>1531515178</x:v>
      </x:c>
      <x:c r="D418" s="17" t="n">
        <x:f>IF('Control Room'!$B$5="Normal",'Control Room'!$B$7+'Control Room'!$D$7*SQRT(-2*LN(MAX(0.000000000001,B418/2147483647)))*COS(2*PI()*C418/2147483647),'Control Room'!$B$8+('Control Room'!$D$8-'Control Room'!$B$8)*B418/2147483647)</x:f>
        <x:v>955.7979005508</x:v>
      </x:c>
      <x:c r="E418" s="17" t="n">
        <x:f>IF('Control Room'!$B$5="Normal",'Control Room'!$B$7,('Control Room'!$B$8+'Control Room'!$D$8)/2)+'Control Room'!$B$9*(E417-IF('Control Room'!$B$5="Normal",'Control Room'!$B$7,('Control Room'!$B$8+'Control Room'!$D$8)/2))+SQRT(1-'Control Room'!$B$9^2)*(D418-IF('Control Room'!$B$5="Normal",'Control Room'!$B$7,('Control Room'!$B$8+'Control Room'!$D$8)/2))</x:f>
        <x:v>950.425407257894</x:v>
      </x:c>
      <x:c r="F418" s="17" t="n">
        <x:f>IF(AND($A418&gt;='Control Room'!$A$13,$A418&lt;'Control Room'!$A$13+'Control Room'!$B$13,'Process'!BK2=1),1+('Control Room'!$C$13-1)*EXP(-0.5*(($A418-'Control Room'!$A$13-('Control Room'!$B$13-1)/2)/MAX(0.5,'Control Room'!$B$13/4))^2),1)*IF(AND($A418&gt;='Control Room'!$A$14,$A418&lt;'Control Room'!$A$14+'Control Room'!$B$14,'Process'!BK3=1),1+('Control Room'!$C$14-1)*EXP(-0.5*(($A418-'Control Room'!$A$14-('Control Room'!$B$14-1)/2)/MAX(0.5,'Control Room'!$B$14/4))^2),1)*IF(AND($A418&gt;='Control Room'!$A$15,$A418&lt;'Control Room'!$A$15+'Control Room'!$B$15,'Process'!BK4=1),1+('Control Room'!$C$15-1)*EXP(-0.5*(($A418-'Control Room'!$A$15-('Control Room'!$B$15-1)/2)/MAX(0.5,'Control Room'!$B$15/4))^2),1)*IF(AND($A418&gt;='Control Room'!$A$16,$A418&lt;'Control Room'!$A$16+'Control Room'!$B$16,'Process'!BK5=1),1+('Control Room'!$C$16-1)*EXP(-0.5*(($A418-'Control Room'!$A$16-('Control Room'!$B$16-1)/2)/MAX(0.5,'Control Room'!$B$16/4))^2),1)</x:f>
        <x:v>1</x:v>
      </x:c>
      <x:c r="G418" s="9" t="n">
        <x:f>MOD(H417*16807,2147483647)</x:f>
        <x:v>1123991475</x:v>
      </x:c>
      <x:c r="H418" s="9" t="n">
        <x:f>MOD(G418*16807,2147483647)</x:f>
        <x:v>1658561313</x:v>
      </x:c>
      <x:c r="I418" s="17" t="n">
        <x:f>IF('Control Room'!$B$5="Normal",'Control Room'!$B$7+'Control Room'!$D$7*SQRT(-2*LN(MAX(0.000000000001,G418/2147483647)))*COS(2*PI()*H418/2147483647),'Control Room'!$B$8+('Control Room'!$D$8-'Control Room'!$B$8)*G418/2147483647)</x:f>
        <x:v>1014.3201521497616</x:v>
      </x:c>
      <x:c r="J418" s="17" t="n">
        <x:f>IF('Control Room'!$B$5="Normal",'Control Room'!$B$7,('Control Room'!$B$8+'Control Room'!$D$8)/2)+'Control Room'!$B$9*(J417-IF('Control Room'!$B$5="Normal",'Control Room'!$B$7,('Control Room'!$B$8+'Control Room'!$D$8)/2))+SQRT(1-'Control Room'!$B$9^2)*(I418-IF('Control Room'!$B$5="Normal",'Control Room'!$B$7,('Control Room'!$B$8+'Control Room'!$D$8)/2))</x:f>
        <x:v>1097.361969442735</x:v>
      </x:c>
      <x:c r="K418" s="17" t="n">
        <x:f>IF(AND($A418&gt;='Control Room'!$A$13,$A418&lt;'Control Room'!$A$13+'Control Room'!$B$13,'Process'!BL2=1),1+('Control Room'!$C$13-1)*EXP(-0.5*(($A418-'Control Room'!$A$13-('Control Room'!$B$13-1)/2)/MAX(0.5,'Control Room'!$B$13/4))^2),1)*IF(AND($A418&gt;='Control Room'!$A$14,$A418&lt;'Control Room'!$A$14+'Control Room'!$B$14,'Process'!BL3=1),1+('Control Room'!$C$14-1)*EXP(-0.5*(($A418-'Control Room'!$A$14-('Control Room'!$B$14-1)/2)/MAX(0.5,'Control Room'!$B$14/4))^2),1)*IF(AND($A418&gt;='Control Room'!$A$15,$A418&lt;'Control Room'!$A$15+'Control Room'!$B$15,'Process'!BL4=1),1+('Control Room'!$C$15-1)*EXP(-0.5*(($A418-'Control Room'!$A$15-('Control Room'!$B$15-1)/2)/MAX(0.5,'Control Room'!$B$15/4))^2),1)*IF(AND($A418&gt;='Control Room'!$A$16,$A418&lt;'Control Room'!$A$16+'Control Room'!$B$16,'Process'!BL5=1),1+('Control Room'!$C$16-1)*EXP(-0.5*(($A418-'Control Room'!$A$16-('Control Room'!$B$16-1)/2)/MAX(0.5,'Control Room'!$B$16/4))^2),1)</x:f>
        <x:v>1</x:v>
      </x:c>
      <x:c r="L418" s="9" t="n">
        <x:f>MOD(M417*16807,2147483647)</x:f>
        <x:v>2031060759</x:v>
      </x:c>
      <x:c r="M418" s="9" t="n">
        <x:f>MOD(L418*16807,2147483647)</x:f>
        <x:v>1785607448</x:v>
      </x:c>
      <x:c r="N418" s="17" t="n">
        <x:f>IF('Control Room'!$B$5="Normal",'Control Room'!$B$7+'Control Room'!$D$7*SQRT(-2*LN(MAX(0.000000000001,L418/2147483647)))*COS(2*PI()*M418/2147483647),'Control Room'!$B$8+('Control Room'!$D$8-'Control Room'!$B$8)*L418/2147483647)</x:f>
        <x:v>1014.7219941989608</x:v>
      </x:c>
      <x:c r="O418" s="17" t="n">
        <x:f>IF('Control Room'!$B$5="Normal",'Control Room'!$B$7,('Control Room'!$B$8+'Control Room'!$D$8)/2)+'Control Room'!$B$9*(O417-IF('Control Room'!$B$5="Normal",'Control Room'!$B$7,('Control Room'!$B$8+'Control Room'!$D$8)/2))+SQRT(1-'Control Room'!$B$9^2)*(N418-IF('Control Room'!$B$5="Normal",'Control Room'!$B$7,('Control Room'!$B$8+'Control Room'!$D$8)/2))</x:f>
        <x:v>968.567552709413</x:v>
      </x:c>
      <x:c r="P418" s="17" t="n">
        <x:f>IF(AND($A418&gt;='Control Room'!$A$13,$A418&lt;'Control Room'!$A$13+'Control Room'!$B$13,'Process'!BM2=1),1+('Control Room'!$C$13-1)*EXP(-0.5*(($A418-'Control Room'!$A$13-('Control Room'!$B$13-1)/2)/MAX(0.5,'Control Room'!$B$13/4))^2),1)*IF(AND($A418&gt;='Control Room'!$A$14,$A418&lt;'Control Room'!$A$14+'Control Room'!$B$14,'Process'!BM3=1),1+('Control Room'!$C$14-1)*EXP(-0.5*(($A418-'Control Room'!$A$14-('Control Room'!$B$14-1)/2)/MAX(0.5,'Control Room'!$B$14/4))^2),1)*IF(AND($A418&gt;='Control Room'!$A$15,$A418&lt;'Control Room'!$A$15+'Control Room'!$B$15,'Process'!BM4=1),1+('Control Room'!$C$15-1)*EXP(-0.5*(($A418-'Control Room'!$A$15-('Control Room'!$B$15-1)/2)/MAX(0.5,'Control Room'!$B$15/4))^2),1)*IF(AND($A418&gt;='Control Room'!$A$16,$A418&lt;'Control Room'!$A$16+'Control Room'!$B$16,'Process'!BM5=1),1+('Control Room'!$C$16-1)*EXP(-0.5*(($A418-'Control Room'!$A$16-('Control Room'!$B$16-1)/2)/MAX(0.5,'Control Room'!$B$16/4))^2),1)</x:f>
        <x:v>1</x:v>
      </x:c>
      <x:c r="Q418" s="9" t="n">
        <x:f>MOD(R417*16807,2147483647)</x:f>
        <x:v>790646396</x:v>
      </x:c>
      <x:c r="R418" s="9" t="n">
        <x:f>MOD(Q418*16807,2147483647)</x:f>
        <x:v>1912653583</x:v>
      </x:c>
      <x:c r="S418" s="17" t="n">
        <x:f>IF('Control Room'!$B$5="Normal",'Control Room'!$B$7+'Control Room'!$D$7*SQRT(-2*LN(MAX(0.000000000001,Q418/2147483647)))*COS(2*PI()*R418/2147483647),'Control Room'!$B$8+('Control Room'!$D$8-'Control Room'!$B$8)*Q418/2147483647)</x:f>
        <x:v>1098.3608974160686</x:v>
      </x:c>
      <x:c r="T418" s="17" t="n">
        <x:f>IF('Control Room'!$B$5="Normal",'Control Room'!$B$7,('Control Room'!$B$8+'Control Room'!$D$8)/2)+'Control Room'!$B$9*(T417-IF('Control Room'!$B$5="Normal",'Control Room'!$B$7,('Control Room'!$B$8+'Control Room'!$D$8)/2))+SQRT(1-'Control Room'!$B$9^2)*(S418-IF('Control Room'!$B$5="Normal",'Control Room'!$B$7,('Control Room'!$B$8+'Control Room'!$D$8)/2))</x:f>
        <x:v>1039.681883066141</x:v>
      </x:c>
      <x:c r="U418" s="17" t="n">
        <x:f>IF(AND($A418&gt;='Control Room'!$A$13,$A418&lt;'Control Room'!$A$13+'Control Room'!$B$13,'Process'!BN2=1),1+('Control Room'!$C$13-1)*EXP(-0.5*(($A418-'Control Room'!$A$13-('Control Room'!$B$13-1)/2)/MAX(0.5,'Control Room'!$B$13/4))^2),1)*IF(AND($A418&gt;='Control Room'!$A$14,$A418&lt;'Control Room'!$A$14+'Control Room'!$B$14,'Process'!BN3=1),1+('Control Room'!$C$14-1)*EXP(-0.5*(($A418-'Control Room'!$A$14-('Control Room'!$B$14-1)/2)/MAX(0.5,'Control Room'!$B$14/4))^2),1)*IF(AND($A418&gt;='Control Room'!$A$15,$A418&lt;'Control Room'!$A$15+'Control Room'!$B$15,'Process'!BN4=1),1+('Control Room'!$C$15-1)*EXP(-0.5*(($A418-'Control Room'!$A$15-('Control Room'!$B$15-1)/2)/MAX(0.5,'Control Room'!$B$15/4))^2),1)*IF(AND($A418&gt;='Control Room'!$A$16,$A418&lt;'Control Room'!$A$16+'Control Room'!$B$16,'Process'!BN5=1),1+('Control Room'!$C$16-1)*EXP(-0.5*(($A418-'Control Room'!$A$16-('Control Room'!$B$16-1)/2)/MAX(0.5,'Control Room'!$B$16/4))^2),1)</x:f>
        <x:v>1</x:v>
      </x:c>
      <x:c r="V418" s="9" t="n">
        <x:f>MOD(W417*16807,2147483647)</x:f>
        <x:v>1697715680</x:v>
      </x:c>
      <x:c r="W418" s="9" t="n">
        <x:f>MOD(V418*16807,2147483647)</x:f>
        <x:v>2039699718</x:v>
      </x:c>
      <x:c r="X418" s="17" t="n">
        <x:f>IF('Control Room'!$B$5="Normal",'Control Room'!$B$7+'Control Room'!$D$7*SQRT(-2*LN(MAX(0.000000000001,V418/2147483647)))*COS(2*PI()*W418/2147483647),'Control Room'!$B$8+('Control Room'!$D$8-'Control Room'!$B$8)*V418/2147483647)</x:f>
        <x:v>1058.659773291425</x:v>
      </x:c>
      <x:c r="Y418" s="17" t="n">
        <x:f>IF('Control Room'!$B$5="Normal",'Control Room'!$B$7,('Control Room'!$B$8+'Control Room'!$D$8)/2)+'Control Room'!$B$9*(Y417-IF('Control Room'!$B$5="Normal",'Control Room'!$B$7,('Control Room'!$B$8+'Control Room'!$D$8)/2))+SQRT(1-'Control Room'!$B$9^2)*(X418-IF('Control Room'!$B$5="Normal",'Control Room'!$B$7,('Control Room'!$B$8+'Control Room'!$D$8)/2))</x:f>
        <x:v>1167.2508673072975</x:v>
      </x:c>
      <x:c r="Z418" s="17" t="n">
        <x:f>IF(AND($A418&gt;='Control Room'!$A$13,$A418&lt;'Control Room'!$A$13+'Control Room'!$B$13,'Process'!BO2=1),1+('Control Room'!$C$13-1)*EXP(-0.5*(($A418-'Control Room'!$A$13-('Control Room'!$B$13-1)/2)/MAX(0.5,'Control Room'!$B$13/4))^2),1)*IF(AND($A418&gt;='Control Room'!$A$14,$A418&lt;'Control Room'!$A$14+'Control Room'!$B$14,'Process'!BO3=1),1+('Control Room'!$C$14-1)*EXP(-0.5*(($A418-'Control Room'!$A$14-('Control Room'!$B$14-1)/2)/MAX(0.5,'Control Room'!$B$14/4))^2),1)*IF(AND($A418&gt;='Control Room'!$A$15,$A418&lt;'Control Room'!$A$15+'Control Room'!$B$15,'Process'!BO4=1),1+('Control Room'!$C$15-1)*EXP(-0.5*(($A418-'Control Room'!$A$15-('Control Room'!$B$15-1)/2)/MAX(0.5,'Control Room'!$B$15/4))^2),1)*IF(AND($A418&gt;='Control Room'!$A$16,$A418&lt;'Control Room'!$A$16+'Control Room'!$B$16,'Process'!BO5=1),1+('Control Room'!$C$16-1)*EXP(-0.5*(($A418-'Control Room'!$A$16-('Control Room'!$B$16-1)/2)/MAX(0.5,'Control Room'!$B$16/4))^2),1)</x:f>
        <x:v>1</x:v>
      </x:c>
      <x:c r="AA418" s="9" t="n">
        <x:f>MOD(AB417*16807,2147483647)</x:f>
        <x:v>457301317</x:v>
      </x:c>
      <x:c r="AB418" s="9" t="n">
        <x:f>MOD(AA418*16807,2147483647)</x:f>
        <x:v>19262206</x:v>
      </x:c>
      <x:c r="AC418" s="17" t="n">
        <x:f>IF('Control Room'!$B$5="Normal",'Control Room'!$B$7+'Control Room'!$D$7*SQRT(-2*LN(MAX(0.000000000001,AA418/2147483647)))*COS(2*PI()*AB418/2147483647),'Control Room'!$B$8+('Control Room'!$D$8-'Control Room'!$B$8)*AA418/2147483647)</x:f>
        <x:v>1158.0417436624566</x:v>
      </x:c>
      <x:c r="AD418" s="17" t="n">
        <x:f>IF('Control Room'!$B$5="Normal",'Control Room'!$B$7,('Control Room'!$B$8+'Control Room'!$D$8)/2)+'Control Room'!$B$9*(AD417-IF('Control Room'!$B$5="Normal",'Control Room'!$B$7,('Control Room'!$B$8+'Control Room'!$D$8)/2))+SQRT(1-'Control Room'!$B$9^2)*(AC418-IF('Control Room'!$B$5="Normal",'Control Room'!$B$7,('Control Room'!$B$8+'Control Room'!$D$8)/2))</x:f>
        <x:v>1050.5807091556849</x:v>
      </x:c>
      <x:c r="AE418" s="17" t="n">
        <x:f>IF(AND($A418&gt;='Control Room'!$A$13,$A418&lt;'Control Room'!$A$13+'Control Room'!$B$13,'Process'!BP2=1),1+('Control Room'!$C$13-1)*EXP(-0.5*(($A418-'Control Room'!$A$13-('Control Room'!$B$13-1)/2)/MAX(0.5,'Control Room'!$B$13/4))^2),1)*IF(AND($A418&gt;='Control Room'!$A$14,$A418&lt;'Control Room'!$A$14+'Control Room'!$B$14,'Process'!BP3=1),1+('Control Room'!$C$14-1)*EXP(-0.5*(($A418-'Control Room'!$A$14-('Control Room'!$B$14-1)/2)/MAX(0.5,'Control Room'!$B$14/4))^2),1)*IF(AND($A418&gt;='Control Room'!$A$15,$A418&lt;'Control Room'!$A$15+'Control Room'!$B$15,'Process'!BP4=1),1+('Control Room'!$C$15-1)*EXP(-0.5*(($A418-'Control Room'!$A$15-('Control Room'!$B$15-1)/2)/MAX(0.5,'Control Room'!$B$15/4))^2),1)*IF(AND($A418&gt;='Control Room'!$A$16,$A418&lt;'Control Room'!$A$16+'Control Room'!$B$16,'Process'!BP5=1),1+('Control Room'!$C$16-1)*EXP(-0.5*(($A418-'Control Room'!$A$16-('Control Room'!$B$16-1)/2)/MAX(0.5,'Control Room'!$B$16/4))^2),1)</x:f>
        <x:v>1</x:v>
      </x:c>
      <x:c r="AF418" s="9" t="n">
        <x:f>MOD(AG417*16807,2147483647)</x:f>
        <x:v>1364370601</x:v>
      </x:c>
      <x:c r="AG418" s="9" t="n">
        <x:f>MOD(AF418*16807,2147483647)</x:f>
        <x:v>146308341</x:v>
      </x:c>
      <x:c r="AH418" s="17" t="n">
        <x:f>IF('Control Room'!$B$5="Normal",'Control Room'!$B$7+'Control Room'!$D$7*SQRT(-2*LN(MAX(0.000000000001,AF418/2147483647)))*COS(2*PI()*AG418/2147483647),'Control Room'!$B$8+('Control Room'!$D$8-'Control Room'!$B$8)*AF418/2147483647)</x:f>
        <x:v>1077.9876502240097</x:v>
      </x:c>
      <x:c r="AI418" s="17" t="n">
        <x:f>IF('Control Room'!$B$5="Normal",'Control Room'!$B$7,('Control Room'!$B$8+'Control Room'!$D$8)/2)+'Control Room'!$B$9*(AI417-IF('Control Room'!$B$5="Normal",'Control Room'!$B$7,('Control Room'!$B$8+'Control Room'!$D$8)/2))+SQRT(1-'Control Room'!$B$9^2)*(AH418-IF('Control Room'!$B$5="Normal",'Control Room'!$B$7,('Control Room'!$B$8+'Control Room'!$D$8)/2))</x:f>
        <x:v>970.3363808090161</x:v>
      </x:c>
      <x:c r="AJ418" s="17" t="n">
        <x:f>IF(AND($A418&gt;='Control Room'!$A$13,$A418&lt;'Control Room'!$A$13+'Control Room'!$B$13,'Process'!BQ2=1),1+('Control Room'!$C$13-1)*EXP(-0.5*(($A418-'Control Room'!$A$13-('Control Room'!$B$13-1)/2)/MAX(0.5,'Control Room'!$B$13/4))^2),1)*IF(AND($A418&gt;='Control Room'!$A$14,$A418&lt;'Control Room'!$A$14+'Control Room'!$B$14,'Process'!BQ3=1),1+('Control Room'!$C$14-1)*EXP(-0.5*(($A418-'Control Room'!$A$14-('Control Room'!$B$14-1)/2)/MAX(0.5,'Control Room'!$B$14/4))^2),1)*IF(AND($A418&gt;='Control Room'!$A$15,$A418&lt;'Control Room'!$A$15+'Control Room'!$B$15,'Process'!BQ4=1),1+('Control Room'!$C$15-1)*EXP(-0.5*(($A418-'Control Room'!$A$15-('Control Room'!$B$15-1)/2)/MAX(0.5,'Control Room'!$B$15/4))^2),1)*IF(AND($A418&gt;='Control Room'!$A$16,$A418&lt;'Control Room'!$A$16+'Control Room'!$B$16,'Process'!BQ5=1),1+('Control Room'!$C$16-1)*EXP(-0.5*(($A418-'Control Room'!$A$16-('Control Room'!$B$16-1)/2)/MAX(0.5,'Control Room'!$B$16/4))^2),1)</x:f>
        <x:v>1</x:v>
      </x:c>
      <x:c r="AK418" s="9" t="n">
        <x:f>MOD(AL417*16807,2147483647)</x:f>
        <x:v>123956238</x:v>
      </x:c>
      <x:c r="AL418" s="9" t="n">
        <x:f>MOD(AK418*16807,2147483647)</x:f>
        <x:v>273354476</x:v>
      </x:c>
      <x:c r="AM418" s="17" t="n">
        <x:f>IF('Control Room'!$B$5="Normal",'Control Room'!$B$7+'Control Room'!$D$7*SQRT(-2*LN(MAX(0.000000000001,AK418/2147483647)))*COS(2*PI()*AL418/2147483647),'Control Room'!$B$8+('Control Room'!$D$8-'Control Room'!$B$8)*AK418/2147483647)</x:f>
        <x:v>1149.7908764756278</x:v>
      </x:c>
      <x:c r="AN418" s="17" t="n">
        <x:f>IF('Control Room'!$B$5="Normal",'Control Room'!$B$7,('Control Room'!$B$8+'Control Room'!$D$8)/2)+'Control Room'!$B$9*(AN417-IF('Control Room'!$B$5="Normal",'Control Room'!$B$7,('Control Room'!$B$8+'Control Room'!$D$8)/2))+SQRT(1-'Control Room'!$B$9^2)*(AM418-IF('Control Room'!$B$5="Normal",'Control Room'!$B$7,('Control Room'!$B$8+'Control Room'!$D$8)/2))</x:f>
        <x:v>1174.3789304483837</x:v>
      </x:c>
      <x:c r="AO418" s="17" t="n">
        <x:f>IF(AND($A418&gt;='Control Room'!$A$13,$A418&lt;'Control Room'!$A$13+'Control Room'!$B$13,'Process'!BR2=1),1+('Control Room'!$C$13-1)*EXP(-0.5*(($A418-'Control Room'!$A$13-('Control Room'!$B$13-1)/2)/MAX(0.5,'Control Room'!$B$13/4))^2),1)*IF(AND($A418&gt;='Control Room'!$A$14,$A418&lt;'Control Room'!$A$14+'Control Room'!$B$14,'Process'!BR3=1),1+('Control Room'!$C$14-1)*EXP(-0.5*(($A418-'Control Room'!$A$14-('Control Room'!$B$14-1)/2)/MAX(0.5,'Control Room'!$B$14/4))^2),1)*IF(AND($A418&gt;='Control Room'!$A$15,$A418&lt;'Control Room'!$A$15+'Control Room'!$B$15,'Process'!BR4=1),1+('Control Room'!$C$15-1)*EXP(-0.5*(($A418-'Control Room'!$A$15-('Control Room'!$B$15-1)/2)/MAX(0.5,'Control Room'!$B$15/4))^2),1)*IF(AND($A418&gt;='Control Room'!$A$16,$A418&lt;'Control Room'!$A$16+'Control Room'!$B$16,'Process'!BR5=1),1+('Control Room'!$C$16-1)*EXP(-0.5*(($A418-'Control Room'!$A$16-('Control Room'!$B$16-1)/2)/MAX(0.5,'Control Room'!$B$16/4))^2),1)</x:f>
        <x:v>1</x:v>
      </x:c>
      <x:c r="AP418" s="9" t="n">
        <x:f>MOD(AQ417*16807,2147483647)</x:f>
        <x:v>1031025522</x:v>
      </x:c>
      <x:c r="AQ418" s="9" t="n">
        <x:f>MOD(AP418*16807,2147483647)</x:f>
        <x:v>400400611</x:v>
      </x:c>
      <x:c r="AR418" s="17" t="n">
        <x:f>IF('Control Room'!$B$5="Normal",'Control Room'!$B$7+'Control Room'!$D$7*SQRT(-2*LN(MAX(0.000000000001,AP418/2147483647)))*COS(2*PI()*AQ418/2147483647),'Control Room'!$B$8+('Control Room'!$D$8-'Control Room'!$B$8)*AP418/2147483647)</x:f>
        <x:v>1042.385326585052</x:v>
      </x:c>
      <x:c r="AS418" s="17" t="n">
        <x:f>IF('Control Room'!$B$5="Normal",'Control Room'!$B$7,('Control Room'!$B$8+'Control Room'!$D$8)/2)+'Control Room'!$B$9*(AS417-IF('Control Room'!$B$5="Normal",'Control Room'!$B$7,('Control Room'!$B$8+'Control Room'!$D$8)/2))+SQRT(1-'Control Room'!$B$9^2)*(AR418-IF('Control Room'!$B$5="Normal",'Control Room'!$B$7,('Control Room'!$B$8+'Control Room'!$D$8)/2))</x:f>
        <x:v>989.4265058717087</x:v>
      </x:c>
      <x:c r="AT418" s="17" t="n">
        <x:f>IF(AND($A418&gt;='Control Room'!$A$13,$A418&lt;'Control Room'!$A$13+'Control Room'!$B$13,'Process'!BS2=1),1+('Control Room'!$C$13-1)*EXP(-0.5*(($A418-'Control Room'!$A$13-('Control Room'!$B$13-1)/2)/MAX(0.5,'Control Room'!$B$13/4))^2),1)*IF(AND($A418&gt;='Control Room'!$A$14,$A418&lt;'Control Room'!$A$14+'Control Room'!$B$14,'Process'!BS3=1),1+('Control Room'!$C$14-1)*EXP(-0.5*(($A418-'Control Room'!$A$14-('Control Room'!$B$14-1)/2)/MAX(0.5,'Control Room'!$B$14/4))^2),1)*IF(AND($A418&gt;='Control Room'!$A$15,$A418&lt;'Control Room'!$A$15+'Control Room'!$B$15,'Process'!BS4=1),1+('Control Room'!$C$15-1)*EXP(-0.5*(($A418-'Control Room'!$A$15-('Control Room'!$B$15-1)/2)/MAX(0.5,'Control Room'!$B$15/4))^2),1)*IF(AND($A418&gt;='Control Room'!$A$16,$A418&lt;'Control Room'!$A$16+'Control Room'!$B$16,'Process'!BS5=1),1+('Control Room'!$C$16-1)*EXP(-0.5*(($A418-'Control Room'!$A$16-('Control Room'!$B$16-1)/2)/MAX(0.5,'Control Room'!$B$16/4))^2),1)</x:f>
        <x:v>1</x:v>
      </x:c>
      <x:c r="AU418" s="9" t="n">
        <x:f>MOD(AV417*16807,2147483647)</x:f>
        <x:v>1938094806</x:v>
      </x:c>
      <x:c r="AV418" s="9" t="n">
        <x:f>MOD(AU418*16807,2147483647)</x:f>
        <x:v>527446746</x:v>
      </x:c>
      <x:c r="AW418" s="17" t="n">
        <x:f>IF('Control Room'!$B$5="Normal",'Control Room'!$B$7+'Control Room'!$D$7*SQRT(-2*LN(MAX(0.000000000001,AU418/2147483647)))*COS(2*PI()*AV418/2147483647),'Control Room'!$B$8+('Control Room'!$D$8-'Control Room'!$B$8)*AU418/2147483647)</x:f>
        <x:v>1001.1239596446629</x:v>
      </x:c>
      <x:c r="AX418" s="17" t="n">
        <x:f>IF('Control Room'!$B$5="Normal",'Control Room'!$B$7,('Control Room'!$B$8+'Control Room'!$D$8)/2)+'Control Room'!$B$9*(AX417-IF('Control Room'!$B$5="Normal",'Control Room'!$B$7,('Control Room'!$B$8+'Control Room'!$D$8)/2))+SQRT(1-'Control Room'!$B$9^2)*(AW418-IF('Control Room'!$B$5="Normal",'Control Room'!$B$7,('Control Room'!$B$8+'Control Room'!$D$8)/2))</x:f>
        <x:v>996.9016876381527</x:v>
      </x:c>
      <x:c r="AY418" s="17" t="n">
        <x:f>IF(AND($A418&gt;='Control Room'!$A$13,$A418&lt;'Control Room'!$A$13+'Control Room'!$B$13,'Process'!BT2=1),1+('Control Room'!$C$13-1)*EXP(-0.5*(($A418-'Control Room'!$A$13-('Control Room'!$B$13-1)/2)/MAX(0.5,'Control Room'!$B$13/4))^2),1)*IF(AND($A418&gt;='Control Room'!$A$14,$A418&lt;'Control Room'!$A$14+'Control Room'!$B$14,'Process'!BT3=1),1+('Control Room'!$C$14-1)*EXP(-0.5*(($A418-'Control Room'!$A$14-('Control Room'!$B$14-1)/2)/MAX(0.5,'Control Room'!$B$14/4))^2),1)*IF(AND($A418&gt;='Control Room'!$A$15,$A418&lt;'Control Room'!$A$15+'Control Room'!$B$15,'Process'!BT4=1),1+('Control Room'!$C$15-1)*EXP(-0.5*(($A418-'Control Room'!$A$15-('Control Room'!$B$15-1)/2)/MAX(0.5,'Control Room'!$B$15/4))^2),1)*IF(AND($A418&gt;='Control Room'!$A$16,$A418&lt;'Control Room'!$A$16+'Control Room'!$B$16,'Process'!BT5=1),1+('Control Room'!$C$16-1)*EXP(-0.5*(($A418-'Control Room'!$A$16-('Control Room'!$B$16-1)/2)/MAX(0.5,'Control Room'!$B$16/4))^2),1)</x:f>
        <x:v>1</x:v>
      </x:c>
      <x:c r="AZ418" s="9" t="n">
        <x:f>MOD(BA417*16807,2147483647)</x:f>
        <x:v>697680443</x:v>
      </x:c>
      <x:c r="BA418" s="9" t="n">
        <x:f>MOD(AZ418*16807,2147483647)</x:f>
        <x:v>654492881</x:v>
      </x:c>
      <x:c r="BB418" s="17" t="n">
        <x:f>IF('Control Room'!$B$5="Normal",'Control Room'!$B$7+'Control Room'!$D$7*SQRT(-2*LN(MAX(0.000000000001,AZ418/2147483647)))*COS(2*PI()*BA418/2147483647),'Control Room'!$B$8+('Control Room'!$D$8-'Control Room'!$B$8)*AZ418/2147483647)</x:f>
        <x:v>954.4667501797949</x:v>
      </x:c>
      <x:c r="BC418" s="17" t="n">
        <x:f>IF('Control Room'!$B$5="Normal",'Control Room'!$B$7,('Control Room'!$B$8+'Control Room'!$D$8)/2)+'Control Room'!$B$9*(BC417-IF('Control Room'!$B$5="Normal",'Control Room'!$B$7,('Control Room'!$B$8+'Control Room'!$D$8)/2))+SQRT(1-'Control Room'!$B$9^2)*(BB418-IF('Control Room'!$B$5="Normal",'Control Room'!$B$7,('Control Room'!$B$8+'Control Room'!$D$8)/2))</x:f>
        <x:v>934.2119769611544</x:v>
      </x:c>
      <x:c r="BD418" s="17" t="n">
        <x:f>IF(AND($A418&gt;='Control Room'!$A$13,$A418&lt;'Control Room'!$A$13+'Control Room'!$B$13,'Process'!BU2=1),1+('Control Room'!$C$13-1)*EXP(-0.5*(($A418-'Control Room'!$A$13-('Control Room'!$B$13-1)/2)/MAX(0.5,'Control Room'!$B$13/4))^2),1)*IF(AND($A418&gt;='Control Room'!$A$14,$A418&lt;'Control Room'!$A$14+'Control Room'!$B$14,'Process'!BU3=1),1+('Control Room'!$C$14-1)*EXP(-0.5*(($A418-'Control Room'!$A$14-('Control Room'!$B$14-1)/2)/MAX(0.5,'Control Room'!$B$14/4))^2),1)*IF(AND($A418&gt;='Control Room'!$A$15,$A418&lt;'Control Room'!$A$15+'Control Room'!$B$15,'Process'!BU4=1),1+('Control Room'!$C$15-1)*EXP(-0.5*(($A418-'Control Room'!$A$15-('Control Room'!$B$15-1)/2)/MAX(0.5,'Control Room'!$B$15/4))^2),1)*IF(AND($A418&gt;='Control Room'!$A$16,$A418&lt;'Control Room'!$A$16+'Control Room'!$B$16,'Process'!BU5=1),1+('Control Room'!$C$16-1)*EXP(-0.5*(($A418-'Control Room'!$A$16-('Control Room'!$B$16-1)/2)/MAX(0.5,'Control Room'!$B$16/4))^2),1)</x:f>
        <x:v>1</x:v>
      </x:c>
      <x:c r="BE418" s="9" t="n">
        <x:f>MOD(BF417*16807,2147483647)</x:f>
        <x:v>1604749727</x:v>
      </x:c>
      <x:c r="BF418" s="9" t="n">
        <x:f>MOD(BE418*16807,2147483647)</x:f>
        <x:v>781539016</x:v>
      </x:c>
      <x:c r="BG418" s="17" t="n">
        <x:f>IF('Control Room'!$B$5="Normal",'Control Room'!$B$7+'Control Room'!$D$7*SQRT(-2*LN(MAX(0.000000000001,BE418/2147483647)))*COS(2*PI()*BF418/2147483647),'Control Room'!$B$8+('Control Room'!$D$8-'Control Room'!$B$8)*BE418/2147483647)</x:f>
        <x:v>954.9153197437699</x:v>
      </x:c>
      <x:c r="BH418" s="17" t="n">
        <x:f>IF('Control Room'!$B$5="Normal",'Control Room'!$B$7,('Control Room'!$B$8+'Control Room'!$D$8)/2)+'Control Room'!$B$9*(BH417-IF('Control Room'!$B$5="Normal",'Control Room'!$B$7,('Control Room'!$B$8+'Control Room'!$D$8)/2))+SQRT(1-'Control Room'!$B$9^2)*(BG418-IF('Control Room'!$B$5="Normal",'Control Room'!$B$7,('Control Room'!$B$8+'Control Room'!$D$8)/2))</x:f>
        <x:v>1000.9224670097351</x:v>
      </x:c>
      <x:c r="BI418" s="17" t="n">
        <x:f>IF(AND($A418&gt;='Control Room'!$A$13,$A418&lt;'Control Room'!$A$13+'Control Room'!$B$13,'Process'!BV2=1),1+('Control Room'!$C$13-1)*EXP(-0.5*(($A418-'Control Room'!$A$13-('Control Room'!$B$13-1)/2)/MAX(0.5,'Control Room'!$B$13/4))^2),1)*IF(AND($A418&gt;='Control Room'!$A$14,$A418&lt;'Control Room'!$A$14+'Control Room'!$B$14,'Process'!BV3=1),1+('Control Room'!$C$14-1)*EXP(-0.5*(($A418-'Control Room'!$A$14-('Control Room'!$B$14-1)/2)/MAX(0.5,'Control Room'!$B$14/4))^2),1)*IF(AND($A418&gt;='Control Room'!$A$15,$A418&lt;'Control Room'!$A$15+'Control Room'!$B$15,'Process'!BV4=1),1+('Control Room'!$C$15-1)*EXP(-0.5*(($A418-'Control Room'!$A$15-('Control Room'!$B$15-1)/2)/MAX(0.5,'Control Room'!$B$15/4))^2),1)*IF(AND($A418&gt;='Control Room'!$A$16,$A418&lt;'Control Room'!$A$16+'Control Room'!$B$16,'Process'!BV5=1),1+('Control Room'!$C$16-1)*EXP(-0.5*(($A418-'Control Room'!$A$16-('Control Room'!$B$16-1)/2)/MAX(0.5,'Control Room'!$B$16/4))^2),1)</x:f>
        <x:v>1</x:v>
      </x:c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Z418" t="str">
        <x:f>IF('Data'!A418="","",TEXT('Data'!A418,"mm-dd"))</x:f>
      </x:c>
    </x:row>
    <x:row r="419" ht="21" customHeight="1">
      <x:c r="A419" s="15" t="n">
        <x:f>'Control Room'!$B$1+417</x:f>
        <x:v>73408</x:v>
      </x:c>
      <x:c r="B419" s="9" t="n">
        <x:f>MOD(C418*16807,2147483647)</x:f>
        <x:v>436603704</x:v>
      </x:c>
      <x:c r="C419" s="9" t="n">
        <x:f>MOD(B419*16807,2147483647)</x:f>
        <x:v>46831329</x:v>
      </x:c>
      <x:c r="D419" s="17" t="n">
        <x:f>IF('Control Room'!$B$5="Normal",'Control Room'!$B$7+'Control Room'!$D$7*SQRT(-2*LN(MAX(0.000000000001,B419/2147483647)))*COS(2*PI()*C419/2147483647),'Control Room'!$B$8+('Control Room'!$D$8-'Control Room'!$B$8)*B419/2147483647)</x:f>
        <x:v>1159.1399653676388</x:v>
      </x:c>
      <x:c r="E419" s="17" t="n">
        <x:f>IF('Control Room'!$B$5="Normal",'Control Room'!$B$7,('Control Room'!$B$8+'Control Room'!$D$8)/2)+'Control Room'!$B$9*(E418-IF('Control Room'!$B$5="Normal",'Control Room'!$B$7,('Control Room'!$B$8+'Control Room'!$D$8)/2))+SQRT(1-'Control Room'!$B$9^2)*(D419-IF('Control Room'!$B$5="Normal",'Control Room'!$B$7,('Control Room'!$B$8+'Control Room'!$D$8)/2))</x:f>
        <x:v>1060.9183478288296</x:v>
      </x:c>
      <x:c r="F419" s="17" t="n">
        <x:f>IF(AND($A419&gt;='Control Room'!$A$13,$A419&lt;'Control Room'!$A$13+'Control Room'!$B$13,'Process'!BK2=1),1+('Control Room'!$C$13-1)*EXP(-0.5*(($A419-'Control Room'!$A$13-('Control Room'!$B$13-1)/2)/MAX(0.5,'Control Room'!$B$13/4))^2),1)*IF(AND($A419&gt;='Control Room'!$A$14,$A419&lt;'Control Room'!$A$14+'Control Room'!$B$14,'Process'!BK3=1),1+('Control Room'!$C$14-1)*EXP(-0.5*(($A419-'Control Room'!$A$14-('Control Room'!$B$14-1)/2)/MAX(0.5,'Control Room'!$B$14/4))^2),1)*IF(AND($A419&gt;='Control Room'!$A$15,$A419&lt;'Control Room'!$A$15+'Control Room'!$B$15,'Process'!BK4=1),1+('Control Room'!$C$15-1)*EXP(-0.5*(($A419-'Control Room'!$A$15-('Control Room'!$B$15-1)/2)/MAX(0.5,'Control Room'!$B$15/4))^2),1)*IF(AND($A419&gt;='Control Room'!$A$16,$A419&lt;'Control Room'!$A$16+'Control Room'!$B$16,'Process'!BK5=1),1+('Control Room'!$C$16-1)*EXP(-0.5*(($A419-'Control Room'!$A$16-('Control Room'!$B$16-1)/2)/MAX(0.5,'Control Room'!$B$16/4))^2),1)</x:f>
        <x:v>1</x:v>
      </x:c>
      <x:c r="G419" s="9" t="n">
        <x:f>MOD(H418*16807,2147483647)</x:f>
        <x:v>1102249531</x:v>
      </x:c>
      <x:c r="H419" s="9" t="n">
        <x:f>MOD(G419*16807,2147483647)</x:f>
        <x:v>1313928495</x:v>
      </x:c>
      <x:c r="I419" s="17" t="n">
        <x:f>IF('Control Room'!$B$5="Normal",'Control Room'!$B$7+'Control Room'!$D$7*SQRT(-2*LN(MAX(0.000000000001,G419/2147483647)))*COS(2*PI()*H419/2147483647),'Control Room'!$B$8+('Control Room'!$D$8-'Control Room'!$B$8)*G419/2147483647)</x:f>
        <x:v>920.6829954907781</x:v>
      </x:c>
      <x:c r="J419" s="17" t="n">
        <x:f>IF('Control Room'!$B$5="Normal",'Control Room'!$B$7,('Control Room'!$B$8+'Control Room'!$D$8)/2)+'Control Room'!$B$9*(J418-IF('Control Room'!$B$5="Normal",'Control Room'!$B$7,('Control Room'!$B$8+'Control Room'!$D$8)/2))+SQRT(1-'Control Room'!$B$9^2)*(I419-IF('Control Room'!$B$5="Normal",'Control Room'!$B$7,('Control Room'!$B$8+'Control Room'!$D$8)/2))</x:f>
        <x:v>1026.3073796406206</x:v>
      </x:c>
      <x:c r="K419" s="17" t="n">
        <x:f>IF(AND($A419&gt;='Control Room'!$A$13,$A419&lt;'Control Room'!$A$13+'Control Room'!$B$13,'Process'!BL2=1),1+('Control Room'!$C$13-1)*EXP(-0.5*(($A419-'Control Room'!$A$13-('Control Room'!$B$13-1)/2)/MAX(0.5,'Control Room'!$B$13/4))^2),1)*IF(AND($A419&gt;='Control Room'!$A$14,$A419&lt;'Control Room'!$A$14+'Control Room'!$B$14,'Process'!BL3=1),1+('Control Room'!$C$14-1)*EXP(-0.5*(($A419-'Control Room'!$A$14-('Control Room'!$B$14-1)/2)/MAX(0.5,'Control Room'!$B$14/4))^2),1)*IF(AND($A419&gt;='Control Room'!$A$15,$A419&lt;'Control Room'!$A$15+'Control Room'!$B$15,'Process'!BL4=1),1+('Control Room'!$C$15-1)*EXP(-0.5*(($A419-'Control Room'!$A$15-('Control Room'!$B$15-1)/2)/MAX(0.5,'Control Room'!$B$15/4))^2),1)*IF(AND($A419&gt;='Control Room'!$A$16,$A419&lt;'Control Room'!$A$16+'Control Room'!$B$16,'Process'!BL5=1),1+('Control Room'!$C$16-1)*EXP(-0.5*(($A419-'Control Room'!$A$16-('Control Room'!$B$16-1)/2)/MAX(0.5,'Control Room'!$B$16/4))^2),1)</x:f>
        <x:v>1</x:v>
      </x:c>
      <x:c r="L419" s="9" t="n">
        <x:f>MOD(M418*16807,2147483647)</x:f>
        <x:v>1767895358</x:v>
      </x:c>
      <x:c r="M419" s="9" t="n">
        <x:f>MOD(L419*16807,2147483647)</x:f>
        <x:v>433542014</x:v>
      </x:c>
      <x:c r="N419" s="17" t="n">
        <x:f>IF('Control Room'!$B$5="Normal",'Control Room'!$B$7+'Control Room'!$D$7*SQRT(-2*LN(MAX(0.000000000001,L419/2147483647)))*COS(2*PI()*M419/2147483647),'Control Room'!$B$8+('Control Room'!$D$8-'Control Room'!$B$8)*L419/2147483647)</x:f>
        <x:v>1016.7132504175158</x:v>
      </x:c>
      <x:c r="O419" s="17" t="n">
        <x:f>IF('Control Room'!$B$5="Normal",'Control Room'!$B$7,('Control Room'!$B$8+'Control Room'!$D$8)/2)+'Control Room'!$B$9*(O418-IF('Control Room'!$B$5="Normal",'Control Room'!$B$7,('Control Room'!$B$8+'Control Room'!$D$8)/2))+SQRT(1-'Control Room'!$B$9^2)*(N419-IF('Control Room'!$B$5="Normal",'Control Room'!$B$7,('Control Room'!$B$8+'Control Room'!$D$8)/2))</x:f>
        <x:v>985.9415008350783</x:v>
      </x:c>
      <x:c r="P419" s="17" t="n">
        <x:f>IF(AND($A419&gt;='Control Room'!$A$13,$A419&lt;'Control Room'!$A$13+'Control Room'!$B$13,'Process'!BM2=1),1+('Control Room'!$C$13-1)*EXP(-0.5*(($A419-'Control Room'!$A$13-('Control Room'!$B$13-1)/2)/MAX(0.5,'Control Room'!$B$13/4))^2),1)*IF(AND($A419&gt;='Control Room'!$A$14,$A419&lt;'Control Room'!$A$14+'Control Room'!$B$14,'Process'!BM3=1),1+('Control Room'!$C$14-1)*EXP(-0.5*(($A419-'Control Room'!$A$14-('Control Room'!$B$14-1)/2)/MAX(0.5,'Control Room'!$B$14/4))^2),1)*IF(AND($A419&gt;='Control Room'!$A$15,$A419&lt;'Control Room'!$A$15+'Control Room'!$B$15,'Process'!BM4=1),1+('Control Room'!$C$15-1)*EXP(-0.5*(($A419-'Control Room'!$A$15-('Control Room'!$B$15-1)/2)/MAX(0.5,'Control Room'!$B$15/4))^2),1)*IF(AND($A419&gt;='Control Room'!$A$16,$A419&lt;'Control Room'!$A$16+'Control Room'!$B$16,'Process'!BM5=1),1+('Control Room'!$C$16-1)*EXP(-0.5*(($A419-'Control Room'!$A$16-('Control Room'!$B$16-1)/2)/MAX(0.5,'Control Room'!$B$16/4))^2),1)</x:f>
        <x:v>1</x:v>
      </x:c>
      <x:c r="Q419" s="9" t="n">
        <x:f>MOD(R418*16807,2147483647)</x:f>
        <x:v>286057538</x:v>
      </x:c>
      <x:c r="R419" s="9" t="n">
        <x:f>MOD(Q419*16807,2147483647)</x:f>
        <x:v>1700639180</x:v>
      </x:c>
      <x:c r="S419" s="17" t="n">
        <x:f>IF('Control Room'!$B$5="Normal",'Control Room'!$B$7+'Control Room'!$D$7*SQRT(-2*LN(MAX(0.000000000001,Q419/2147483647)))*COS(2*PI()*R419/2147483647),'Control Room'!$B$8+('Control Room'!$D$8-'Control Room'!$B$8)*Q419/2147483647)</x:f>
        <x:v>1047.0515643423955</x:v>
      </x:c>
      <x:c r="T419" s="17" t="n">
        <x:f>IF('Control Room'!$B$5="Normal",'Control Room'!$B$7,('Control Room'!$B$8+'Control Room'!$D$8)/2)+'Control Room'!$B$9*(T418-IF('Control Room'!$B$5="Normal",'Control Room'!$B$7,('Control Room'!$B$8+'Control Room'!$D$8)/2))+SQRT(1-'Control Room'!$B$9^2)*(S419-IF('Control Room'!$B$5="Normal",'Control Room'!$B$7,('Control Room'!$B$8+'Control Room'!$D$8)/2))</x:f>
        <x:v>1060.3957738533727</x:v>
      </x:c>
      <x:c r="U419" s="17" t="n">
        <x:f>IF(AND($A419&gt;='Control Room'!$A$13,$A419&lt;'Control Room'!$A$13+'Control Room'!$B$13,'Process'!BN2=1),1+('Control Room'!$C$13-1)*EXP(-0.5*(($A419-'Control Room'!$A$13-('Control Room'!$B$13-1)/2)/MAX(0.5,'Control Room'!$B$13/4))^2),1)*IF(AND($A419&gt;='Control Room'!$A$14,$A419&lt;'Control Room'!$A$14+'Control Room'!$B$14,'Process'!BN3=1),1+('Control Room'!$C$14-1)*EXP(-0.5*(($A419-'Control Room'!$A$14-('Control Room'!$B$14-1)/2)/MAX(0.5,'Control Room'!$B$14/4))^2),1)*IF(AND($A419&gt;='Control Room'!$A$15,$A419&lt;'Control Room'!$A$15+'Control Room'!$B$15,'Process'!BN4=1),1+('Control Room'!$C$15-1)*EXP(-0.5*(($A419-'Control Room'!$A$15-('Control Room'!$B$15-1)/2)/MAX(0.5,'Control Room'!$B$15/4))^2),1)*IF(AND($A419&gt;='Control Room'!$A$16,$A419&lt;'Control Room'!$A$16+'Control Room'!$B$16,'Process'!BN5=1),1+('Control Room'!$C$16-1)*EXP(-0.5*(($A419-'Control Room'!$A$16-('Control Room'!$B$16-1)/2)/MAX(0.5,'Control Room'!$B$16/4))^2),1)</x:f>
        <x:v>1</x:v>
      </x:c>
      <x:c r="V419" s="9" t="n">
        <x:f>MOD(W418*16807,2147483647)</x:f>
        <x:v>951703365</x:v>
      </x:c>
      <x:c r="W419" s="9" t="n">
        <x:f>MOD(V419*16807,2147483647)</x:f>
        <x:v>820252699</x:v>
      </x:c>
      <x:c r="X419" s="17" t="n">
        <x:f>IF('Control Room'!$B$5="Normal",'Control Room'!$B$7+'Control Room'!$D$7*SQRT(-2*LN(MAX(0.000000000001,V419/2147483647)))*COS(2*PI()*W419/2147483647),'Control Room'!$B$8+('Control Room'!$D$8-'Control Room'!$B$8)*V419/2147483647)</x:f>
        <x:v>915.3385730257336</x:v>
      </x:c>
      <x:c r="Y419" s="17" t="n">
        <x:f>IF('Control Room'!$B$5="Normal",'Control Room'!$B$7,('Control Room'!$B$8+'Control Room'!$D$8)/2)+'Control Room'!$B$9*(Y418-IF('Control Room'!$B$5="Normal",'Control Room'!$B$7,('Control Room'!$B$8+'Control Room'!$D$8)/2))+SQRT(1-'Control Room'!$B$9^2)*(X419-IF('Control Room'!$B$5="Normal",'Control Room'!$B$7,('Control Room'!$B$8+'Control Room'!$D$8)/2))</x:f>
        <x:v>1077.4762898827998</x:v>
      </x:c>
      <x:c r="Z419" s="17" t="n">
        <x:f>IF(AND($A419&gt;='Control Room'!$A$13,$A419&lt;'Control Room'!$A$13+'Control Room'!$B$13,'Process'!BO2=1),1+('Control Room'!$C$13-1)*EXP(-0.5*(($A419-'Control Room'!$A$13-('Control Room'!$B$13-1)/2)/MAX(0.5,'Control Room'!$B$13/4))^2),1)*IF(AND($A419&gt;='Control Room'!$A$14,$A419&lt;'Control Room'!$A$14+'Control Room'!$B$14,'Process'!BO3=1),1+('Control Room'!$C$14-1)*EXP(-0.5*(($A419-'Control Room'!$A$14-('Control Room'!$B$14-1)/2)/MAX(0.5,'Control Room'!$B$14/4))^2),1)*IF(AND($A419&gt;='Control Room'!$A$15,$A419&lt;'Control Room'!$A$15+'Control Room'!$B$15,'Process'!BO4=1),1+('Control Room'!$C$15-1)*EXP(-0.5*(($A419-'Control Room'!$A$15-('Control Room'!$B$15-1)/2)/MAX(0.5,'Control Room'!$B$15/4))^2),1)*IF(AND($A419&gt;='Control Room'!$A$16,$A419&lt;'Control Room'!$A$16+'Control Room'!$B$16,'Process'!BO5=1),1+('Control Room'!$C$16-1)*EXP(-0.5*(($A419-'Control Room'!$A$16-('Control Room'!$B$16-1)/2)/MAX(0.5,'Control Room'!$B$16/4))^2),1)</x:f>
        <x:v>1</x:v>
      </x:c>
      <x:c r="AA419" s="9" t="n">
        <x:f>MOD(AB418*16807,2147483647)</x:f>
        <x:v>1617349192</x:v>
      </x:c>
      <x:c r="AB419" s="9" t="n">
        <x:f>MOD(AA419*16807,2147483647)</x:f>
        <x:v>2087349865</x:v>
      </x:c>
      <x:c r="AC419" s="17" t="n">
        <x:f>IF('Control Room'!$B$5="Normal",'Control Room'!$B$7+'Control Room'!$D$7*SQRT(-2*LN(MAX(0.000000000001,AA419/2147483647)))*COS(2*PI()*AB419/2147483647),'Control Room'!$B$8+('Control Room'!$D$8-'Control Room'!$B$8)*AA419/2147483647)</x:f>
        <x:v>1066.724219342021</x:v>
      </x:c>
      <x:c r="AD419" s="17" t="n">
        <x:f>IF('Control Room'!$B$5="Normal",'Control Room'!$B$7,('Control Room'!$B$8+'Control Room'!$D$8)/2)+'Control Room'!$B$9*(AD418-IF('Control Room'!$B$5="Normal",'Control Room'!$B$7,('Control Room'!$B$8+'Control Room'!$D$8)/2))+SQRT(1-'Control Room'!$B$9^2)*(AC419-IF('Control Room'!$B$5="Normal",'Control Room'!$B$7,('Control Room'!$B$8+'Control Room'!$D$8)/2))</x:f>
        <x:v>1081.207602685739</x:v>
      </x:c>
      <x:c r="AE419" s="17" t="n">
        <x:f>IF(AND($A419&gt;='Control Room'!$A$13,$A419&lt;'Control Room'!$A$13+'Control Room'!$B$13,'Process'!BP2=1),1+('Control Room'!$C$13-1)*EXP(-0.5*(($A419-'Control Room'!$A$13-('Control Room'!$B$13-1)/2)/MAX(0.5,'Control Room'!$B$13/4))^2),1)*IF(AND($A419&gt;='Control Room'!$A$14,$A419&lt;'Control Room'!$A$14+'Control Room'!$B$14,'Process'!BP3=1),1+('Control Room'!$C$14-1)*EXP(-0.5*(($A419-'Control Room'!$A$14-('Control Room'!$B$14-1)/2)/MAX(0.5,'Control Room'!$B$14/4))^2),1)*IF(AND($A419&gt;='Control Room'!$A$15,$A419&lt;'Control Room'!$A$15+'Control Room'!$B$15,'Process'!BP4=1),1+('Control Room'!$C$15-1)*EXP(-0.5*(($A419-'Control Room'!$A$15-('Control Room'!$B$15-1)/2)/MAX(0.5,'Control Room'!$B$15/4))^2),1)*IF(AND($A419&gt;='Control Room'!$A$16,$A419&lt;'Control Room'!$A$16+'Control Room'!$B$16,'Process'!BP5=1),1+('Control Room'!$C$16-1)*EXP(-0.5*(($A419-'Control Room'!$A$16-('Control Room'!$B$16-1)/2)/MAX(0.5,'Control Room'!$B$16/4))^2),1)</x:f>
        <x:v>1</x:v>
      </x:c>
      <x:c r="AF419" s="9" t="n">
        <x:f>MOD(AG418*16807,2147483647)</x:f>
        <x:v>135511372</x:v>
      </x:c>
      <x:c r="AG419" s="9" t="n">
        <x:f>MOD(AF419*16807,2147483647)</x:f>
        <x:v>1206963384</x:v>
      </x:c>
      <x:c r="AH419" s="17" t="n">
        <x:f>IF('Control Room'!$B$5="Normal",'Control Room'!$B$7+'Control Room'!$D$7*SQRT(-2*LN(MAX(0.000000000001,AF419/2147483647)))*COS(2*PI()*AG419/2147483647),'Control Room'!$B$8+('Control Room'!$D$8-'Control Room'!$B$8)*AF419/2147483647)</x:f>
        <x:v>804.3025473080603</x:v>
      </x:c>
      <x:c r="AI419" s="17" t="n">
        <x:f>IF('Control Room'!$B$5="Normal",'Control Room'!$B$7,('Control Room'!$B$8+'Control Room'!$D$8)/2)+'Control Room'!$B$9*(AI418-IF('Control Room'!$B$5="Normal",'Control Room'!$B$7,('Control Room'!$B$8+'Control Room'!$D$8)/2))+SQRT(1-'Control Room'!$B$9^2)*(AH419-IF('Control Room'!$B$5="Normal",'Control Room'!$B$7,('Control Room'!$B$8+'Control Room'!$D$8)/2))</x:f>
        <x:v>854.398920216648</x:v>
      </x:c>
      <x:c r="AJ419" s="17" t="n">
        <x:f>IF(AND($A419&gt;='Control Room'!$A$13,$A419&lt;'Control Room'!$A$13+'Control Room'!$B$13,'Process'!BQ2=1),1+('Control Room'!$C$13-1)*EXP(-0.5*(($A419-'Control Room'!$A$13-('Control Room'!$B$13-1)/2)/MAX(0.5,'Control Room'!$B$13/4))^2),1)*IF(AND($A419&gt;='Control Room'!$A$14,$A419&lt;'Control Room'!$A$14+'Control Room'!$B$14,'Process'!BQ3=1),1+('Control Room'!$C$14-1)*EXP(-0.5*(($A419-'Control Room'!$A$14-('Control Room'!$B$14-1)/2)/MAX(0.5,'Control Room'!$B$14/4))^2),1)*IF(AND($A419&gt;='Control Room'!$A$15,$A419&lt;'Control Room'!$A$15+'Control Room'!$B$15,'Process'!BQ4=1),1+('Control Room'!$C$15-1)*EXP(-0.5*(($A419-'Control Room'!$A$15-('Control Room'!$B$15-1)/2)/MAX(0.5,'Control Room'!$B$15/4))^2),1)*IF(AND($A419&gt;='Control Room'!$A$16,$A419&lt;'Control Room'!$A$16+'Control Room'!$B$16,'Process'!BQ5=1),1+('Control Room'!$C$16-1)*EXP(-0.5*(($A419-'Control Room'!$A$16-('Control Room'!$B$16-1)/2)/MAX(0.5,'Control Room'!$B$16/4))^2),1)</x:f>
        <x:v>1</x:v>
      </x:c>
      <x:c r="AK419" s="9" t="n">
        <x:f>MOD(AL418*16807,2147483647)</x:f>
        <x:v>801157199</x:v>
      </x:c>
      <x:c r="AL419" s="9" t="n">
        <x:f>MOD(AK419*16807,2147483647)</x:f>
        <x:v>326576903</x:v>
      </x:c>
      <x:c r="AM419" s="17" t="n">
        <x:f>IF('Control Room'!$B$5="Normal",'Control Room'!$B$7+'Control Room'!$D$7*SQRT(-2*LN(MAX(0.000000000001,AK419/2147483647)))*COS(2*PI()*AL419/2147483647),'Control Room'!$B$8+('Control Room'!$D$8-'Control Room'!$B$8)*AK419/2147483647)</x:f>
        <x:v>1072.9482862786163</x:v>
      </x:c>
      <x:c r="AN419" s="17" t="n">
        <x:f>IF('Control Room'!$B$5="Normal",'Control Room'!$B$7,('Control Room'!$B$8+'Control Room'!$D$8)/2)+'Control Room'!$B$9*(AN418-IF('Control Room'!$B$5="Normal",'Control Room'!$B$7,('Control Room'!$B$8+'Control Room'!$D$8)/2))+SQRT(1-'Control Room'!$B$9^2)*(AM419-IF('Control Room'!$B$5="Normal",'Control Room'!$B$7,('Control Room'!$B$8+'Control Room'!$D$8)/2))</x:f>
        <x:v>1181.6651088760236</x:v>
      </x:c>
      <x:c r="AO419" s="17" t="n">
        <x:f>IF(AND($A419&gt;='Control Room'!$A$13,$A419&lt;'Control Room'!$A$13+'Control Room'!$B$13,'Process'!BR2=1),1+('Control Room'!$C$13-1)*EXP(-0.5*(($A419-'Control Room'!$A$13-('Control Room'!$B$13-1)/2)/MAX(0.5,'Control Room'!$B$13/4))^2),1)*IF(AND($A419&gt;='Control Room'!$A$14,$A419&lt;'Control Room'!$A$14+'Control Room'!$B$14,'Process'!BR3=1),1+('Control Room'!$C$14-1)*EXP(-0.5*(($A419-'Control Room'!$A$14-('Control Room'!$B$14-1)/2)/MAX(0.5,'Control Room'!$B$14/4))^2),1)*IF(AND($A419&gt;='Control Room'!$A$15,$A419&lt;'Control Room'!$A$15+'Control Room'!$B$15,'Process'!BR4=1),1+('Control Room'!$C$15-1)*EXP(-0.5*(($A419-'Control Room'!$A$15-('Control Room'!$B$15-1)/2)/MAX(0.5,'Control Room'!$B$15/4))^2),1)*IF(AND($A419&gt;='Control Room'!$A$16,$A419&lt;'Control Room'!$A$16+'Control Room'!$B$16,'Process'!BR5=1),1+('Control Room'!$C$16-1)*EXP(-0.5*(($A419-'Control Room'!$A$16-('Control Room'!$B$16-1)/2)/MAX(0.5,'Control Room'!$B$16/4))^2),1)</x:f>
        <x:v>1</x:v>
      </x:c>
      <x:c r="AP419" s="9" t="n">
        <x:f>MOD(AQ418*16807,2147483647)</x:f>
        <x:v>1466803026</x:v>
      </x:c>
      <x:c r="AQ419" s="9" t="n">
        <x:f>MOD(AP419*16807,2147483647)</x:f>
        <x:v>1593674069</x:v>
      </x:c>
      <x:c r="AR419" s="17" t="n">
        <x:f>IF('Control Room'!$B$5="Normal",'Control Room'!$B$7+'Control Room'!$D$7*SQRT(-2*LN(MAX(0.000000000001,AP419/2147483647)))*COS(2*PI()*AQ419/2147483647),'Control Room'!$B$8+('Control Room'!$D$8-'Control Room'!$B$8)*AP419/2147483647)</x:f>
        <x:v>996.1069324213427</x:v>
      </x:c>
      <x:c r="AS419" s="17" t="n">
        <x:f>IF('Control Room'!$B$5="Normal",'Control Room'!$B$7,('Control Room'!$B$8+'Control Room'!$D$8)/2)+'Control Room'!$B$9*(AS418-IF('Control Room'!$B$5="Normal",'Control Room'!$B$7,('Control Room'!$B$8+'Control Room'!$D$8)/2))+SQRT(1-'Control Room'!$B$9^2)*(AR419-IF('Control Room'!$B$5="Normal",'Control Room'!$B$7,('Control Room'!$B$8+'Control Room'!$D$8)/2))</x:f>
        <x:v>989.3164726430334</x:v>
      </x:c>
      <x:c r="AT419" s="17" t="n">
        <x:f>IF(AND($A419&gt;='Control Room'!$A$13,$A419&lt;'Control Room'!$A$13+'Control Room'!$B$13,'Process'!BS2=1),1+('Control Room'!$C$13-1)*EXP(-0.5*(($A419-'Control Room'!$A$13-('Control Room'!$B$13-1)/2)/MAX(0.5,'Control Room'!$B$13/4))^2),1)*IF(AND($A419&gt;='Control Room'!$A$14,$A419&lt;'Control Room'!$A$14+'Control Room'!$B$14,'Process'!BS3=1),1+('Control Room'!$C$14-1)*EXP(-0.5*(($A419-'Control Room'!$A$14-('Control Room'!$B$14-1)/2)/MAX(0.5,'Control Room'!$B$14/4))^2),1)*IF(AND($A419&gt;='Control Room'!$A$15,$A419&lt;'Control Room'!$A$15+'Control Room'!$B$15,'Process'!BS4=1),1+('Control Room'!$C$15-1)*EXP(-0.5*(($A419-'Control Room'!$A$15-('Control Room'!$B$15-1)/2)/MAX(0.5,'Control Room'!$B$15/4))^2),1)*IF(AND($A419&gt;='Control Room'!$A$16,$A419&lt;'Control Room'!$A$16+'Control Room'!$B$16,'Process'!BS5=1),1+('Control Room'!$C$16-1)*EXP(-0.5*(($A419-'Control Room'!$A$16-('Control Room'!$B$16-1)/2)/MAX(0.5,'Control Room'!$B$16/4))^2),1)</x:f>
        <x:v>1</x:v>
      </x:c>
      <x:c r="AU419" s="9" t="n">
        <x:f>MOD(AV418*16807,2147483647)</x:f>
        <x:v>2132448853</x:v>
      </x:c>
      <x:c r="AV419" s="9" t="n">
        <x:f>MOD(AU419*16807,2147483647)</x:f>
        <x:v>713287588</x:v>
      </x:c>
      <x:c r="AW419" s="17" t="n">
        <x:f>IF('Control Room'!$B$5="Normal",'Control Room'!$B$7+'Control Room'!$D$7*SQRT(-2*LN(MAX(0.000000000001,AU419/2147483647)))*COS(2*PI()*AV419/2147483647),'Control Room'!$B$8+('Control Room'!$D$8-'Control Room'!$B$8)*AU419/2147483647)</x:f>
        <x:v>994.7345630058488</x:v>
      </x:c>
      <x:c r="AX419" s="17" t="n">
        <x:f>IF('Control Room'!$B$5="Normal",'Control Room'!$B$7,('Control Room'!$B$8+'Control Room'!$D$8)/2)+'Control Room'!$B$9*(AX418-IF('Control Room'!$B$5="Normal",'Control Room'!$B$7,('Control Room'!$B$8+'Control Room'!$D$8)/2))+SQRT(1-'Control Room'!$B$9^2)*(AW419-IF('Control Room'!$B$5="Normal",'Control Room'!$B$7,('Control Room'!$B$8+'Control Room'!$D$8)/2))</x:f>
        <x:v>994.2883137551594</x:v>
      </x:c>
      <x:c r="AY419" s="17" t="n">
        <x:f>IF(AND($A419&gt;='Control Room'!$A$13,$A419&lt;'Control Room'!$A$13+'Control Room'!$B$13,'Process'!BT2=1),1+('Control Room'!$C$13-1)*EXP(-0.5*(($A419-'Control Room'!$A$13-('Control Room'!$B$13-1)/2)/MAX(0.5,'Control Room'!$B$13/4))^2),1)*IF(AND($A419&gt;='Control Room'!$A$14,$A419&lt;'Control Room'!$A$14+'Control Room'!$B$14,'Process'!BT3=1),1+('Control Room'!$C$14-1)*EXP(-0.5*(($A419-'Control Room'!$A$14-('Control Room'!$B$14-1)/2)/MAX(0.5,'Control Room'!$B$14/4))^2),1)*IF(AND($A419&gt;='Control Room'!$A$15,$A419&lt;'Control Room'!$A$15+'Control Room'!$B$15,'Process'!BT4=1),1+('Control Room'!$C$15-1)*EXP(-0.5*(($A419-'Control Room'!$A$15-('Control Room'!$B$15-1)/2)/MAX(0.5,'Control Room'!$B$15/4))^2),1)*IF(AND($A419&gt;='Control Room'!$A$16,$A419&lt;'Control Room'!$A$16+'Control Room'!$B$16,'Process'!BT5=1),1+('Control Room'!$C$16-1)*EXP(-0.5*(($A419-'Control Room'!$A$16-('Control Room'!$B$16-1)/2)/MAX(0.5,'Control Room'!$B$16/4))^2),1)</x:f>
        <x:v>1</x:v>
      </x:c>
      <x:c r="AZ419" s="9" t="n">
        <x:f>MOD(BA418*16807,2147483647)</x:f>
        <x:v>650611033</x:v>
      </x:c>
      <x:c r="BA419" s="9" t="n">
        <x:f>MOD(AZ419*16807,2147483647)</x:f>
        <x:v>1980384754</x:v>
      </x:c>
      <x:c r="BB419" s="17" t="n">
        <x:f>IF('Control Room'!$B$5="Normal",'Control Room'!$B$7+'Control Room'!$D$7*SQRT(-2*LN(MAX(0.000000000001,AZ419/2147483647)))*COS(2*PI()*BA419/2147483647),'Control Room'!$B$8+('Control Room'!$D$8-'Control Room'!$B$8)*AZ419/2147483647)</x:f>
        <x:v>1122.7923044868157</x:v>
      </x:c>
      <x:c r="BC419" s="17" t="n">
        <x:f>IF('Control Room'!$B$5="Normal",'Control Room'!$B$7,('Control Room'!$B$8+'Control Room'!$D$8)/2)+'Control Room'!$B$9*(BC418-IF('Control Room'!$B$5="Normal",'Control Room'!$B$7,('Control Room'!$B$8+'Control Room'!$D$8)/2))+SQRT(1-'Control Room'!$B$9^2)*(BB419-IF('Control Room'!$B$5="Normal",'Control Room'!$B$7,('Control Room'!$B$8+'Control Room'!$D$8)/2))</x:f>
        <x:v>1025.5262506404606</x:v>
      </x:c>
      <x:c r="BD419" s="17" t="n">
        <x:f>IF(AND($A419&gt;='Control Room'!$A$13,$A419&lt;'Control Room'!$A$13+'Control Room'!$B$13,'Process'!BU2=1),1+('Control Room'!$C$13-1)*EXP(-0.5*(($A419-'Control Room'!$A$13-('Control Room'!$B$13-1)/2)/MAX(0.5,'Control Room'!$B$13/4))^2),1)*IF(AND($A419&gt;='Control Room'!$A$14,$A419&lt;'Control Room'!$A$14+'Control Room'!$B$14,'Process'!BU3=1),1+('Control Room'!$C$14-1)*EXP(-0.5*(($A419-'Control Room'!$A$14-('Control Room'!$B$14-1)/2)/MAX(0.5,'Control Room'!$B$14/4))^2),1)*IF(AND($A419&gt;='Control Room'!$A$15,$A419&lt;'Control Room'!$A$15+'Control Room'!$B$15,'Process'!BU4=1),1+('Control Room'!$C$15-1)*EXP(-0.5*(($A419-'Control Room'!$A$15-('Control Room'!$B$15-1)/2)/MAX(0.5,'Control Room'!$B$15/4))^2),1)*IF(AND($A419&gt;='Control Room'!$A$16,$A419&lt;'Control Room'!$A$16+'Control Room'!$B$16,'Process'!BU5=1),1+('Control Room'!$C$16-1)*EXP(-0.5*(($A419-'Control Room'!$A$16-('Control Room'!$B$16-1)/2)/MAX(0.5,'Control Room'!$B$16/4))^2),1)</x:f>
        <x:v>1</x:v>
      </x:c>
      <x:c r="BE419" s="9" t="n">
        <x:f>MOD(BF418*16807,2147483647)</x:f>
        <x:v>1316256860</x:v>
      </x:c>
      <x:c r="BF419" s="9" t="n">
        <x:f>MOD(BE419*16807,2147483647)</x:f>
        <x:v>1099998273</x:v>
      </x:c>
      <x:c r="BG419" s="17" t="n">
        <x:f>IF('Control Room'!$B$5="Normal",'Control Room'!$B$7+'Control Room'!$D$7*SQRT(-2*LN(MAX(0.000000000001,BE419/2147483647)))*COS(2*PI()*BF419/2147483647),'Control Room'!$B$8+('Control Room'!$D$8-'Control Room'!$B$8)*BE419/2147483647)</x:f>
        <x:v>911.212222851672</x:v>
      </x:c>
      <x:c r="BH419" s="17" t="n">
        <x:f>IF('Control Room'!$B$5="Normal",'Control Room'!$B$7,('Control Room'!$B$8+'Control Room'!$D$8)/2)+'Control Room'!$B$9*(BH418-IF('Control Room'!$B$5="Normal",'Control Room'!$B$7,('Control Room'!$B$8+'Control Room'!$D$8)/2))+SQRT(1-'Control Room'!$B$9^2)*(BG419-IF('Control Room'!$B$5="Normal",'Control Room'!$B$7,('Control Room'!$B$8+'Control Room'!$D$8)/2))</x:f>
        <x:v>945.1579522446515</x:v>
      </x:c>
      <x:c r="BI419" s="17" t="n">
        <x:f>IF(AND($A419&gt;='Control Room'!$A$13,$A419&lt;'Control Room'!$A$13+'Control Room'!$B$13,'Process'!BV2=1),1+('Control Room'!$C$13-1)*EXP(-0.5*(($A419-'Control Room'!$A$13-('Control Room'!$B$13-1)/2)/MAX(0.5,'Control Room'!$B$13/4))^2),1)*IF(AND($A419&gt;='Control Room'!$A$14,$A419&lt;'Control Room'!$A$14+'Control Room'!$B$14,'Process'!BV3=1),1+('Control Room'!$C$14-1)*EXP(-0.5*(($A419-'Control Room'!$A$14-('Control Room'!$B$14-1)/2)/MAX(0.5,'Control Room'!$B$14/4))^2),1)*IF(AND($A419&gt;='Control Room'!$A$15,$A419&lt;'Control Room'!$A$15+'Control Room'!$B$15,'Process'!BV4=1),1+('Control Room'!$C$15-1)*EXP(-0.5*(($A419-'Control Room'!$A$15-('Control Room'!$B$15-1)/2)/MAX(0.5,'Control Room'!$B$15/4))^2),1)*IF(AND($A419&gt;='Control Room'!$A$16,$A419&lt;'Control Room'!$A$16+'Control Room'!$B$16,'Process'!BV5=1),1+('Control Room'!$C$16-1)*EXP(-0.5*(($A419-'Control Room'!$A$16-('Control Room'!$B$16-1)/2)/MAX(0.5,'Control Room'!$B$16/4))^2),1)</x:f>
        <x:v>1</x:v>
      </x:c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Z419" t="str">
        <x:f>IF('Data'!A419="","",TEXT('Data'!A419,"mm-dd"))</x:f>
      </x:c>
    </x:row>
    <x:row r="420" ht="21" customHeight="1">
      <x:c r="A420" s="15" t="n">
        <x:f>'Control Room'!$B$1+418</x:f>
        <x:v>73409</x:v>
      </x:c>
      <x:c r="B420" s="9" t="n">
        <x:f>MOD(C419*16807,2147483647)</x:f>
        <x:v>1115131701</x:v>
      </x:c>
      <x:c r="C420" s="9" t="n">
        <x:f>MOD(B420*16807,2147483647)</x:f>
        <x:v>928711338</x:v>
      </x:c>
      <x:c r="D420" s="17" t="n">
        <x:f>IF('Control Room'!$B$5="Normal",'Control Room'!$B$7+'Control Room'!$D$7*SQRT(-2*LN(MAX(0.000000000001,B420/2147483647)))*COS(2*PI()*C420/2147483647),'Control Room'!$B$8+('Control Room'!$D$8-'Control Room'!$B$8)*B420/2147483647)</x:f>
        <x:v>906.1027283244728</x:v>
      </x:c>
      <x:c r="E420" s="17" t="n">
        <x:f>IF('Control Room'!$B$5="Normal",'Control Room'!$B$7,('Control Room'!$B$8+'Control Room'!$D$8)/2)+'Control Room'!$B$9*(E419-IF('Control Room'!$B$5="Normal",'Control Room'!$B$7,('Control Room'!$B$8+'Control Room'!$D$8)/2))+SQRT(1-'Control Room'!$B$9^2)*(D420-IF('Control Room'!$B$5="Normal",'Control Room'!$B$7,('Control Room'!$B$8+'Control Room'!$D$8)/2))</x:f>
        <x:v>988.7573222821088</x:v>
      </x:c>
      <x:c r="F420" s="17" t="n">
        <x:f>IF(AND($A420&gt;='Control Room'!$A$13,$A420&lt;'Control Room'!$A$13+'Control Room'!$B$13,'Process'!BK2=1),1+('Control Room'!$C$13-1)*EXP(-0.5*(($A420-'Control Room'!$A$13-('Control Room'!$B$13-1)/2)/MAX(0.5,'Control Room'!$B$13/4))^2),1)*IF(AND($A420&gt;='Control Room'!$A$14,$A420&lt;'Control Room'!$A$14+'Control Room'!$B$14,'Process'!BK3=1),1+('Control Room'!$C$14-1)*EXP(-0.5*(($A420-'Control Room'!$A$14-('Control Room'!$B$14-1)/2)/MAX(0.5,'Control Room'!$B$14/4))^2),1)*IF(AND($A420&gt;='Control Room'!$A$15,$A420&lt;'Control Room'!$A$15+'Control Room'!$B$15,'Process'!BK4=1),1+('Control Room'!$C$15-1)*EXP(-0.5*(($A420-'Control Room'!$A$15-('Control Room'!$B$15-1)/2)/MAX(0.5,'Control Room'!$B$15/4))^2),1)*IF(AND($A420&gt;='Control Room'!$A$16,$A420&lt;'Control Room'!$A$16+'Control Room'!$B$16,'Process'!BK5=1),1+('Control Room'!$C$16-1)*EXP(-0.5*(($A420-'Control Room'!$A$16-('Control Room'!$B$16-1)/2)/MAX(0.5,'Control Room'!$B$16/4))^2),1)</x:f>
        <x:v>1</x:v>
      </x:c>
      <x:c r="G420" s="9" t="n">
        <x:f>MOD(H419*16807,2147483647)</x:f>
        <x:v>621873364</x:v>
      </x:c>
      <x:c r="H420" s="9" t="n">
        <x:f>MOD(G420*16807,2147483647)</x:f>
        <x:v>22718799</x:v>
      </x:c>
      <x:c r="I420" s="17" t="n">
        <x:f>IF('Control Room'!$B$5="Normal",'Control Room'!$B$7+'Control Room'!$D$7*SQRT(-2*LN(MAX(0.000000000001,G420/2147483647)))*COS(2*PI()*H420/2147483647),'Control Room'!$B$8+('Control Room'!$D$8-'Control Room'!$B$8)*G420/2147483647)</x:f>
        <x:v>1141.3801035524443</x:v>
      </x:c>
      <x:c r="J420" s="17" t="n">
        <x:f>IF('Control Room'!$B$5="Normal",'Control Room'!$B$7,('Control Room'!$B$8+'Control Room'!$D$8)/2)+'Control Room'!$B$9*(J419-IF('Control Room'!$B$5="Normal",'Control Room'!$B$7,('Control Room'!$B$8+'Control Room'!$D$8)/2))+SQRT(1-'Control Room'!$B$9^2)*(I420-IF('Control Room'!$B$5="Normal",'Control Room'!$B$7,('Control Room'!$B$8+'Control Room'!$D$8)/2))</x:f>
        <x:v>1108.992528593953</x:v>
      </x:c>
      <x:c r="K420" s="17" t="n">
        <x:f>IF(AND($A420&gt;='Control Room'!$A$13,$A420&lt;'Control Room'!$A$13+'Control Room'!$B$13,'Process'!BL2=1),1+('Control Room'!$C$13-1)*EXP(-0.5*(($A420-'Control Room'!$A$13-('Control Room'!$B$13-1)/2)/MAX(0.5,'Control Room'!$B$13/4))^2),1)*IF(AND($A420&gt;='Control Room'!$A$14,$A420&lt;'Control Room'!$A$14+'Control Room'!$B$14,'Process'!BL3=1),1+('Control Room'!$C$14-1)*EXP(-0.5*(($A420-'Control Room'!$A$14-('Control Room'!$B$14-1)/2)/MAX(0.5,'Control Room'!$B$14/4))^2),1)*IF(AND($A420&gt;='Control Room'!$A$15,$A420&lt;'Control Room'!$A$15+'Control Room'!$B$15,'Process'!BL4=1),1+('Control Room'!$C$15-1)*EXP(-0.5*(($A420-'Control Room'!$A$15-('Control Room'!$B$15-1)/2)/MAX(0.5,'Control Room'!$B$15/4))^2),1)*IF(AND($A420&gt;='Control Room'!$A$16,$A420&lt;'Control Room'!$A$16+'Control Room'!$B$16,'Process'!BL5=1),1+('Control Room'!$C$16-1)*EXP(-0.5*(($A420-'Control Room'!$A$16-('Control Room'!$B$16-1)/2)/MAX(0.5,'Control Room'!$B$16/4))^2),1)</x:f>
        <x:v>1</x:v>
      </x:c>
      <x:c r="L420" s="9" t="n">
        <x:f>MOD(M419*16807,2147483647)</x:f>
        <x:v>128615027</x:v>
      </x:c>
      <x:c r="M420" s="9" t="n">
        <x:f>MOD(L420*16807,2147483647)</x:f>
        <x:v>1264209907</x:v>
      </x:c>
      <x:c r="N420" s="17" t="n">
        <x:f>IF('Control Room'!$B$5="Normal",'Control Room'!$B$7+'Control Room'!$D$7*SQRT(-2*LN(MAX(0.000000000001,L420/2147483647)))*COS(2*PI()*M420/2147483647),'Control Room'!$B$8+('Control Room'!$D$8-'Control Room'!$B$8)*L420/2147483647)</x:f>
        <x:v>818.7544633955445</x:v>
      </x:c>
      <x:c r="O420" s="17" t="n">
        <x:f>IF('Control Room'!$B$5="Normal",'Control Room'!$B$7,('Control Room'!$B$8+'Control Room'!$D$8)/2)+'Control Room'!$B$9*(O419-IF('Control Room'!$B$5="Normal",'Control Room'!$B$7,('Control Room'!$B$8+'Control Room'!$D$8)/2))+SQRT(1-'Control Room'!$B$9^2)*(N420-IF('Control Room'!$B$5="Normal",'Control Room'!$B$7,('Control Room'!$B$8+'Control Room'!$D$8)/2))</x:f>
        <x:v>875.6146268609306</x:v>
      </x:c>
      <x:c r="P420" s="17" t="n">
        <x:f>IF(AND($A420&gt;='Control Room'!$A$13,$A420&lt;'Control Room'!$A$13+'Control Room'!$B$13,'Process'!BM2=1),1+('Control Room'!$C$13-1)*EXP(-0.5*(($A420-'Control Room'!$A$13-('Control Room'!$B$13-1)/2)/MAX(0.5,'Control Room'!$B$13/4))^2),1)*IF(AND($A420&gt;='Control Room'!$A$14,$A420&lt;'Control Room'!$A$14+'Control Room'!$B$14,'Process'!BM3=1),1+('Control Room'!$C$14-1)*EXP(-0.5*(($A420-'Control Room'!$A$14-('Control Room'!$B$14-1)/2)/MAX(0.5,'Control Room'!$B$14/4))^2),1)*IF(AND($A420&gt;='Control Room'!$A$15,$A420&lt;'Control Room'!$A$15+'Control Room'!$B$15,'Process'!BM4=1),1+('Control Room'!$C$15-1)*EXP(-0.5*(($A420-'Control Room'!$A$15-('Control Room'!$B$15-1)/2)/MAX(0.5,'Control Room'!$B$15/4))^2),1)*IF(AND($A420&gt;='Control Room'!$A$16,$A420&lt;'Control Room'!$A$16+'Control Room'!$B$16,'Process'!BM5=1),1+('Control Room'!$C$16-1)*EXP(-0.5*(($A420-'Control Room'!$A$16-('Control Room'!$B$16-1)/2)/MAX(0.5,'Control Room'!$B$16/4))^2),1)</x:f>
        <x:v>1</x:v>
      </x:c>
      <x:c r="Q420" s="9" t="n">
        <x:f>MOD(R419*16807,2147483647)</x:f>
        <x:v>1782840337</x:v>
      </x:c>
      <x:c r="R420" s="9" t="n">
        <x:f>MOD(Q420*16807,2147483647)</x:f>
        <x:v>358217368</x:v>
      </x:c>
      <x:c r="S420" s="17" t="n">
        <x:f>IF('Control Room'!$B$5="Normal",'Control Room'!$B$7+'Control Room'!$D$7*SQRT(-2*LN(MAX(0.000000000001,Q420/2147483647)))*COS(2*PI()*R420/2147483647),'Control Room'!$B$8+('Control Room'!$D$8-'Control Room'!$B$8)*Q420/2147483647)</x:f>
        <x:v>1027.410650449243</x:v>
      </x:c>
      <x:c r="T420" s="17" t="n">
        <x:f>IF('Control Room'!$B$5="Normal",'Control Room'!$B$7,('Control Room'!$B$8+'Control Room'!$D$8)/2)+'Control Room'!$B$9*(T419-IF('Control Room'!$B$5="Normal",'Control Room'!$B$7,('Control Room'!$B$8+'Control Room'!$D$8)/2))+SQRT(1-'Control Room'!$B$9^2)*(S420-IF('Control Room'!$B$5="Normal",'Control Room'!$B$7,('Control Room'!$B$8+'Control Room'!$D$8)/2))</x:f>
        <x:v>1064.2617271190702</x:v>
      </x:c>
      <x:c r="U420" s="17" t="n">
        <x:f>IF(AND($A420&gt;='Control Room'!$A$13,$A420&lt;'Control Room'!$A$13+'Control Room'!$B$13,'Process'!BN2=1),1+('Control Room'!$C$13-1)*EXP(-0.5*(($A420-'Control Room'!$A$13-('Control Room'!$B$13-1)/2)/MAX(0.5,'Control Room'!$B$13/4))^2),1)*IF(AND($A420&gt;='Control Room'!$A$14,$A420&lt;'Control Room'!$A$14+'Control Room'!$B$14,'Process'!BN3=1),1+('Control Room'!$C$14-1)*EXP(-0.5*(($A420-'Control Room'!$A$14-('Control Room'!$B$14-1)/2)/MAX(0.5,'Control Room'!$B$14/4))^2),1)*IF(AND($A420&gt;='Control Room'!$A$15,$A420&lt;'Control Room'!$A$15+'Control Room'!$B$15,'Process'!BN4=1),1+('Control Room'!$C$15-1)*EXP(-0.5*(($A420-'Control Room'!$A$15-('Control Room'!$B$15-1)/2)/MAX(0.5,'Control Room'!$B$15/4))^2),1)*IF(AND($A420&gt;='Control Room'!$A$16,$A420&lt;'Control Room'!$A$16+'Control Room'!$B$16,'Process'!BN5=1),1+('Control Room'!$C$16-1)*EXP(-0.5*(($A420-'Control Room'!$A$16-('Control Room'!$B$16-1)/2)/MAX(0.5,'Control Room'!$B$16/4))^2),1)</x:f>
        <x:v>1</x:v>
      </x:c>
      <x:c r="V420" s="9" t="n">
        <x:f>MOD(W419*16807,2147483647)</x:f>
        <x:v>1289582000</x:v>
      </x:c>
      <x:c r="W420" s="9" t="n">
        <x:f>MOD(V420*16807,2147483647)</x:f>
        <x:v>1599708476</x:v>
      </x:c>
      <x:c r="X420" s="17" t="n">
        <x:f>IF('Control Room'!$B$5="Normal",'Control Room'!$B$7+'Control Room'!$D$7*SQRT(-2*LN(MAX(0.000000000001,V420/2147483647)))*COS(2*PI()*W420/2147483647),'Control Room'!$B$8+('Control Room'!$D$8-'Control Room'!$B$8)*V420/2147483647)</x:f>
        <x:v>997.1006143368766</x:v>
      </x:c>
      <x:c r="Y420" s="17" t="n">
        <x:f>IF('Control Room'!$B$5="Normal",'Control Room'!$B$7,('Control Room'!$B$8+'Control Room'!$D$8)/2)+'Control Room'!$B$9*(Y419-IF('Control Room'!$B$5="Normal",'Control Room'!$B$7,('Control Room'!$B$8+'Control Room'!$D$8)/2))+SQRT(1-'Control Room'!$B$9^2)*(X420-IF('Control Room'!$B$5="Normal",'Control Room'!$B$7,('Control Room'!$B$8+'Control Room'!$D$8)/2))</x:f>
        <x:v>1058.617129957745</x:v>
      </x:c>
      <x:c r="Z420" s="17" t="n">
        <x:f>IF(AND($A420&gt;='Control Room'!$A$13,$A420&lt;'Control Room'!$A$13+'Control Room'!$B$13,'Process'!BO2=1),1+('Control Room'!$C$13-1)*EXP(-0.5*(($A420-'Control Room'!$A$13-('Control Room'!$B$13-1)/2)/MAX(0.5,'Control Room'!$B$13/4))^2),1)*IF(AND($A420&gt;='Control Room'!$A$14,$A420&lt;'Control Room'!$A$14+'Control Room'!$B$14,'Process'!BO3=1),1+('Control Room'!$C$14-1)*EXP(-0.5*(($A420-'Control Room'!$A$14-('Control Room'!$B$14-1)/2)/MAX(0.5,'Control Room'!$B$14/4))^2),1)*IF(AND($A420&gt;='Control Room'!$A$15,$A420&lt;'Control Room'!$A$15+'Control Room'!$B$15,'Process'!BO4=1),1+('Control Room'!$C$15-1)*EXP(-0.5*(($A420-'Control Room'!$A$15-('Control Room'!$B$15-1)/2)/MAX(0.5,'Control Room'!$B$15/4))^2),1)*IF(AND($A420&gt;='Control Room'!$A$16,$A420&lt;'Control Room'!$A$16+'Control Room'!$B$16,'Process'!BO5=1),1+('Control Room'!$C$16-1)*EXP(-0.5*(($A420-'Control Room'!$A$16-('Control Room'!$B$16-1)/2)/MAX(0.5,'Control Room'!$B$16/4))^2),1)</x:f>
        <x:v>1</x:v>
      </x:c>
      <x:c r="AA420" s="9" t="n">
        <x:f>MOD(AB419*16807,2147483647)</x:f>
        <x:v>796323663</x:v>
      </x:c>
      <x:c r="AB420" s="9" t="n">
        <x:f>MOD(AA420*16807,2147483647)</x:f>
        <x:v>693715937</x:v>
      </x:c>
      <x:c r="AC420" s="17" t="n">
        <x:f>IF('Control Room'!$B$5="Normal",'Control Room'!$B$7+'Control Room'!$D$7*SQRT(-2*LN(MAX(0.000000000001,AA420/2147483647)))*COS(2*PI()*AB420/2147483647),'Control Room'!$B$8+('Control Room'!$D$8-'Control Room'!$B$8)*AA420/2147483647)</x:f>
        <x:v>943.8444566232256</x:v>
      </x:c>
      <x:c r="AD420" s="17" t="n">
        <x:f>IF('Control Room'!$B$5="Normal",'Control Room'!$B$7,('Control Room'!$B$8+'Control Room'!$D$8)/2)+'Control Room'!$B$9*(AD419-IF('Control Room'!$B$5="Normal",'Control Room'!$B$7,('Control Room'!$B$8+'Control Room'!$D$8)/2))+SQRT(1-'Control Room'!$B$9^2)*(AC420-IF('Control Room'!$B$5="Normal",'Control Room'!$B$7,('Control Room'!$B$8+'Control Room'!$D$8)/2))</x:f>
        <x:v>1028.2009414585275</x:v>
      </x:c>
      <x:c r="AE420" s="17" t="n">
        <x:f>IF(AND($A420&gt;='Control Room'!$A$13,$A420&lt;'Control Room'!$A$13+'Control Room'!$B$13,'Process'!BP2=1),1+('Control Room'!$C$13-1)*EXP(-0.5*(($A420-'Control Room'!$A$13-('Control Room'!$B$13-1)/2)/MAX(0.5,'Control Room'!$B$13/4))^2),1)*IF(AND($A420&gt;='Control Room'!$A$14,$A420&lt;'Control Room'!$A$14+'Control Room'!$B$14,'Process'!BP3=1),1+('Control Room'!$C$14-1)*EXP(-0.5*(($A420-'Control Room'!$A$14-('Control Room'!$B$14-1)/2)/MAX(0.5,'Control Room'!$B$14/4))^2),1)*IF(AND($A420&gt;='Control Room'!$A$15,$A420&lt;'Control Room'!$A$15+'Control Room'!$B$15,'Process'!BP4=1),1+('Control Room'!$C$15-1)*EXP(-0.5*(($A420-'Control Room'!$A$15-('Control Room'!$B$15-1)/2)/MAX(0.5,'Control Room'!$B$15/4))^2),1)*IF(AND($A420&gt;='Control Room'!$A$16,$A420&lt;'Control Room'!$A$16+'Control Room'!$B$16,'Process'!BP5=1),1+('Control Room'!$C$16-1)*EXP(-0.5*(($A420-'Control Room'!$A$16-('Control Room'!$B$16-1)/2)/MAX(0.5,'Control Room'!$B$16/4))^2),1)</x:f>
        <x:v>1</x:v>
      </x:c>
      <x:c r="AF420" s="9" t="n">
        <x:f>MOD(AG419*16807,2147483647)</x:f>
        <x:v>303065326</x:v>
      </x:c>
      <x:c r="AG420" s="9" t="n">
        <x:f>MOD(AF420*16807,2147483647)</x:f>
        <x:v>1935207045</x:v>
      </x:c>
      <x:c r="AH420" s="17" t="n">
        <x:f>IF('Control Room'!$B$5="Normal",'Control Room'!$B$7+'Control Room'!$D$7*SQRT(-2*LN(MAX(0.000000000001,AF420/2147483647)))*COS(2*PI()*AG420/2147483647),'Control Room'!$B$8+('Control Room'!$D$8-'Control Room'!$B$8)*AF420/2147483647)</x:f>
        <x:v>1144.8430391109919</x:v>
      </x:c>
      <x:c r="AI420" s="17" t="n">
        <x:f>IF('Control Room'!$B$5="Normal",'Control Room'!$B$7,('Control Room'!$B$8+'Control Room'!$D$8)/2)+'Control Room'!$B$9*(AI419-IF('Control Room'!$B$5="Normal",'Control Room'!$B$7,('Control Room'!$B$8+'Control Room'!$D$8)/2))+SQRT(1-'Control Room'!$B$9^2)*(AH420-IF('Control Room'!$B$5="Normal",'Control Room'!$B$7,('Control Room'!$B$8+'Control Room'!$D$8)/2))</x:f>
        <x:v>977.0709643737024</x:v>
      </x:c>
      <x:c r="AJ420" s="17" t="n">
        <x:f>IF(AND($A420&gt;='Control Room'!$A$13,$A420&lt;'Control Room'!$A$13+'Control Room'!$B$13,'Process'!BQ2=1),1+('Control Room'!$C$13-1)*EXP(-0.5*(($A420-'Control Room'!$A$13-('Control Room'!$B$13-1)/2)/MAX(0.5,'Control Room'!$B$13/4))^2),1)*IF(AND($A420&gt;='Control Room'!$A$14,$A420&lt;'Control Room'!$A$14+'Control Room'!$B$14,'Process'!BQ3=1),1+('Control Room'!$C$14-1)*EXP(-0.5*(($A420-'Control Room'!$A$14-('Control Room'!$B$14-1)/2)/MAX(0.5,'Control Room'!$B$14/4))^2),1)*IF(AND($A420&gt;='Control Room'!$A$15,$A420&lt;'Control Room'!$A$15+'Control Room'!$B$15,'Process'!BQ4=1),1+('Control Room'!$C$15-1)*EXP(-0.5*(($A420-'Control Room'!$A$15-('Control Room'!$B$15-1)/2)/MAX(0.5,'Control Room'!$B$15/4))^2),1)*IF(AND($A420&gt;='Control Room'!$A$16,$A420&lt;'Control Room'!$A$16+'Control Room'!$B$16,'Process'!BQ5=1),1+('Control Room'!$C$16-1)*EXP(-0.5*(($A420-'Control Room'!$A$16-('Control Room'!$B$16-1)/2)/MAX(0.5,'Control Room'!$B$16/4))^2),1)</x:f>
        <x:v>1</x:v>
      </x:c>
      <x:c r="AK420" s="9" t="n">
        <x:f>MOD(AL419*16807,2147483647)</x:f>
        <x:v>1957290636</x:v>
      </x:c>
      <x:c r="AL420" s="9" t="n">
        <x:f>MOD(AK420*16807,2147483647)</x:f>
        <x:v>1029214506</x:v>
      </x:c>
      <x:c r="AM420" s="17" t="n">
        <x:f>IF('Control Room'!$B$5="Normal",'Control Room'!$B$7+'Control Room'!$D$7*SQRT(-2*LN(MAX(0.000000000001,AK420/2147483647)))*COS(2*PI()*AL420/2147483647),'Control Room'!$B$8+('Control Room'!$D$8-'Control Room'!$B$8)*AK420/2147483647)</x:f>
        <x:v>961.5687405234977</x:v>
      </x:c>
      <x:c r="AN420" s="17" t="n">
        <x:f>IF('Control Room'!$B$5="Normal",'Control Room'!$B$7,('Control Room'!$B$8+'Control Room'!$D$8)/2)+'Control Room'!$B$9*(AN419-IF('Control Room'!$B$5="Normal",'Control Room'!$B$7,('Control Room'!$B$8+'Control Room'!$D$8)/2))+SQRT(1-'Control Room'!$B$9^2)*(AM420-IF('Control Room'!$B$5="Normal",'Control Room'!$B$7,('Control Room'!$B$8+'Control Room'!$D$8)/2))</x:f>
        <x:v>1117.6492900500477</x:v>
      </x:c>
      <x:c r="AO420" s="17" t="n">
        <x:f>IF(AND($A420&gt;='Control Room'!$A$13,$A420&lt;'Control Room'!$A$13+'Control Room'!$B$13,'Process'!BR2=1),1+('Control Room'!$C$13-1)*EXP(-0.5*(($A420-'Control Room'!$A$13-('Control Room'!$B$13-1)/2)/MAX(0.5,'Control Room'!$B$13/4))^2),1)*IF(AND($A420&gt;='Control Room'!$A$14,$A420&lt;'Control Room'!$A$14+'Control Room'!$B$14,'Process'!BR3=1),1+('Control Room'!$C$14-1)*EXP(-0.5*(($A420-'Control Room'!$A$14-('Control Room'!$B$14-1)/2)/MAX(0.5,'Control Room'!$B$14/4))^2),1)*IF(AND($A420&gt;='Control Room'!$A$15,$A420&lt;'Control Room'!$A$15+'Control Room'!$B$15,'Process'!BR4=1),1+('Control Room'!$C$15-1)*EXP(-0.5*(($A420-'Control Room'!$A$15-('Control Room'!$B$15-1)/2)/MAX(0.5,'Control Room'!$B$15/4))^2),1)*IF(AND($A420&gt;='Control Room'!$A$16,$A420&lt;'Control Room'!$A$16+'Control Room'!$B$16,'Process'!BR5=1),1+('Control Room'!$C$16-1)*EXP(-0.5*(($A420-'Control Room'!$A$16-('Control Room'!$B$16-1)/2)/MAX(0.5,'Control Room'!$B$16/4))^2),1)</x:f>
        <x:v>1</x:v>
      </x:c>
      <x:c r="AP420" s="9" t="n">
        <x:f>MOD(AQ419*16807,2147483647)</x:f>
        <x:v>1464032299</x:v>
      </x:c>
      <x:c r="AQ420" s="9" t="n">
        <x:f>MOD(AP420*16807,2147483647)</x:f>
        <x:v>123221967</x:v>
      </x:c>
      <x:c r="AR420" s="17" t="n">
        <x:f>IF('Control Room'!$B$5="Normal",'Control Room'!$B$7+'Control Room'!$D$7*SQRT(-2*LN(MAX(0.000000000001,AP420/2147483647)))*COS(2*PI()*AQ420/2147483647),'Control Room'!$B$8+('Control Room'!$D$8-'Control Room'!$B$8)*AP420/2147483647)</x:f>
        <x:v>1073.7151215545987</x:v>
      </x:c>
      <x:c r="AS420" s="17" t="n">
        <x:f>IF('Control Room'!$B$5="Normal",'Control Room'!$B$7,('Control Room'!$B$8+'Control Room'!$D$8)/2)+'Control Room'!$B$9*(AS419-IF('Control Room'!$B$5="Normal",'Control Room'!$B$7,('Control Room'!$B$8+'Control Room'!$D$8)/2))+SQRT(1-'Control Room'!$B$9^2)*(AR420-IF('Control Room'!$B$5="Normal",'Control Room'!$B$7,('Control Room'!$B$8+'Control Room'!$D$8)/2))</x:f>
        <x:v>1037.7962615940855</x:v>
      </x:c>
      <x:c r="AT420" s="17" t="n">
        <x:f>IF(AND($A420&gt;='Control Room'!$A$13,$A420&lt;'Control Room'!$A$13+'Control Room'!$B$13,'Process'!BS2=1),1+('Control Room'!$C$13-1)*EXP(-0.5*(($A420-'Control Room'!$A$13-('Control Room'!$B$13-1)/2)/MAX(0.5,'Control Room'!$B$13/4))^2),1)*IF(AND($A420&gt;='Control Room'!$A$14,$A420&lt;'Control Room'!$A$14+'Control Room'!$B$14,'Process'!BS3=1),1+('Control Room'!$C$14-1)*EXP(-0.5*(($A420-'Control Room'!$A$14-('Control Room'!$B$14-1)/2)/MAX(0.5,'Control Room'!$B$14/4))^2),1)*IF(AND($A420&gt;='Control Room'!$A$15,$A420&lt;'Control Room'!$A$15+'Control Room'!$B$15,'Process'!BS4=1),1+('Control Room'!$C$15-1)*EXP(-0.5*(($A420-'Control Room'!$A$15-('Control Room'!$B$15-1)/2)/MAX(0.5,'Control Room'!$B$15/4))^2),1)*IF(AND($A420&gt;='Control Room'!$A$16,$A420&lt;'Control Room'!$A$16+'Control Room'!$B$16,'Process'!BS5=1),1+('Control Room'!$C$16-1)*EXP(-0.5*(($A420-'Control Room'!$A$16-('Control Room'!$B$16-1)/2)/MAX(0.5,'Control Room'!$B$16/4))^2),1)</x:f>
        <x:v>1</x:v>
      </x:c>
      <x:c r="AU420" s="9" t="n">
        <x:f>MOD(AV419*16807,2147483647)</x:f>
        <x:v>970773962</x:v>
      </x:c>
      <x:c r="AV420" s="9" t="n">
        <x:f>MOD(AU420*16807,2147483647)</x:f>
        <x:v>1364713075</x:v>
      </x:c>
      <x:c r="AW420" s="17" t="n">
        <x:f>IF('Control Room'!$B$5="Normal",'Control Room'!$B$7+'Control Room'!$D$7*SQRT(-2*LN(MAX(0.000000000001,AU420/2147483647)))*COS(2*PI()*AV420/2147483647),'Control Room'!$B$8+('Control Room'!$D$8-'Control Room'!$B$8)*AU420/2147483647)</x:f>
        <x:v>925.2641911592236</x:v>
      </x:c>
      <x:c r="AX420" s="17" t="n">
        <x:f>IF('Control Room'!$B$5="Normal",'Control Room'!$B$7,('Control Room'!$B$8+'Control Room'!$D$8)/2)+'Control Room'!$B$9*(AX419-IF('Control Room'!$B$5="Normal",'Control Room'!$B$7,('Control Room'!$B$8+'Control Room'!$D$8)/2))+SQRT(1-'Control Room'!$B$9^2)*(AW420-IF('Control Room'!$B$5="Normal",'Control Room'!$B$7,('Control Room'!$B$8+'Control Room'!$D$8)/2))</x:f>
        <x:v>948.7767466027303</x:v>
      </x:c>
      <x:c r="AY420" s="17" t="n">
        <x:f>IF(AND($A420&gt;='Control Room'!$A$13,$A420&lt;'Control Room'!$A$13+'Control Room'!$B$13,'Process'!BT2=1),1+('Control Room'!$C$13-1)*EXP(-0.5*(($A420-'Control Room'!$A$13-('Control Room'!$B$13-1)/2)/MAX(0.5,'Control Room'!$B$13/4))^2),1)*IF(AND($A420&gt;='Control Room'!$A$14,$A420&lt;'Control Room'!$A$14+'Control Room'!$B$14,'Process'!BT3=1),1+('Control Room'!$C$14-1)*EXP(-0.5*(($A420-'Control Room'!$A$14-('Control Room'!$B$14-1)/2)/MAX(0.5,'Control Room'!$B$14/4))^2),1)*IF(AND($A420&gt;='Control Room'!$A$15,$A420&lt;'Control Room'!$A$15+'Control Room'!$B$15,'Process'!BT4=1),1+('Control Room'!$C$15-1)*EXP(-0.5*(($A420-'Control Room'!$A$15-('Control Room'!$B$15-1)/2)/MAX(0.5,'Control Room'!$B$15/4))^2),1)*IF(AND($A420&gt;='Control Room'!$A$16,$A420&lt;'Control Room'!$A$16+'Control Room'!$B$16,'Process'!BT5=1),1+('Control Room'!$C$16-1)*EXP(-0.5*(($A420-'Control Room'!$A$16-('Control Room'!$B$16-1)/2)/MAX(0.5,'Control Room'!$B$16/4))^2),1)</x:f>
        <x:v>1</x:v>
      </x:c>
      <x:c r="AZ420" s="9" t="n">
        <x:f>MOD(BA419*16807,2147483647)</x:f>
        <x:v>477515625</x:v>
      </x:c>
      <x:c r="BA420" s="9" t="n">
        <x:f>MOD(AZ420*16807,2147483647)</x:f>
        <x:v>458720536</x:v>
      </x:c>
      <x:c r="BB420" s="17" t="n">
        <x:f>IF('Control Room'!$B$5="Normal",'Control Room'!$B$7+'Control Room'!$D$7*SQRT(-2*LN(MAX(0.000000000001,AZ420/2147483647)))*COS(2*PI()*BA420/2147483647),'Control Room'!$B$8+('Control Room'!$D$8-'Control Room'!$B$8)*AZ420/2147483647)</x:f>
        <x:v>1035.3747043509234</x:v>
      </x:c>
      <x:c r="BC420" s="17" t="n">
        <x:f>IF('Control Room'!$B$5="Normal",'Control Room'!$B$7,('Control Room'!$B$8+'Control Room'!$D$8)/2)+'Control Room'!$B$9*(BC419-IF('Control Room'!$B$5="Normal",'Control Room'!$B$7,('Control Room'!$B$8+'Control Room'!$D$8)/2))+SQRT(1-'Control Room'!$B$9^2)*(BB420-IF('Control Room'!$B$5="Normal",'Control Room'!$B$7,('Control Room'!$B$8+'Control Room'!$D$8)/2))</x:f>
        <x:v>1042.0472407921582</x:v>
      </x:c>
      <x:c r="BD420" s="17" t="n">
        <x:f>IF(AND($A420&gt;='Control Room'!$A$13,$A420&lt;'Control Room'!$A$13+'Control Room'!$B$13,'Process'!BU2=1),1+('Control Room'!$C$13-1)*EXP(-0.5*(($A420-'Control Room'!$A$13-('Control Room'!$B$13-1)/2)/MAX(0.5,'Control Room'!$B$13/4))^2),1)*IF(AND($A420&gt;='Control Room'!$A$14,$A420&lt;'Control Room'!$A$14+'Control Room'!$B$14,'Process'!BU3=1),1+('Control Room'!$C$14-1)*EXP(-0.5*(($A420-'Control Room'!$A$14-('Control Room'!$B$14-1)/2)/MAX(0.5,'Control Room'!$B$14/4))^2),1)*IF(AND($A420&gt;='Control Room'!$A$15,$A420&lt;'Control Room'!$A$15+'Control Room'!$B$15,'Process'!BU4=1),1+('Control Room'!$C$15-1)*EXP(-0.5*(($A420-'Control Room'!$A$15-('Control Room'!$B$15-1)/2)/MAX(0.5,'Control Room'!$B$15/4))^2),1)*IF(AND($A420&gt;='Control Room'!$A$16,$A420&lt;'Control Room'!$A$16+'Control Room'!$B$16,'Process'!BU5=1),1+('Control Room'!$C$16-1)*EXP(-0.5*(($A420-'Control Room'!$A$16-('Control Room'!$B$16-1)/2)/MAX(0.5,'Control Room'!$B$16/4))^2),1)</x:f>
        <x:v>1</x:v>
      </x:c>
      <x:c r="BE420" s="9" t="n">
        <x:f>MOD(BF419*16807,2147483647)</x:f>
        <x:v>2131740935</x:v>
      </x:c>
      <x:c r="BF420" s="9" t="n">
        <x:f>MOD(BE420*16807,2147483647)</x:f>
        <x:v>1700211644</x:v>
      </x:c>
      <x:c r="BG420" s="17" t="n">
        <x:f>IF('Control Room'!$B$5="Normal",'Control Room'!$B$7+'Control Room'!$D$7*SQRT(-2*LN(MAX(0.000000000001,BE420/2147483647)))*COS(2*PI()*BF420/2147483647),'Control Room'!$B$8+('Control Room'!$D$8-'Control Room'!$B$8)*BE420/2147483647)</x:f>
        <x:v>1002.8294213311005</x:v>
      </x:c>
      <x:c r="BH420" s="17" t="n">
        <x:f>IF('Control Room'!$B$5="Normal",'Control Room'!$B$7,('Control Room'!$B$8+'Control Room'!$D$8)/2)+'Control Room'!$B$9*(BH419-IF('Control Room'!$B$5="Normal",'Control Room'!$B$7,('Control Room'!$B$8+'Control Room'!$D$8)/2))+SQRT(1-'Control Room'!$B$9^2)*(BG420-IF('Control Room'!$B$5="Normal",'Control Room'!$B$7,('Control Room'!$B$8+'Control Room'!$D$8)/2))</x:f>
        <x:v>958.9937966559843</x:v>
      </x:c>
      <x:c r="BI420" s="17" t="n">
        <x:f>IF(AND($A420&gt;='Control Room'!$A$13,$A420&lt;'Control Room'!$A$13+'Control Room'!$B$13,'Process'!BV2=1),1+('Control Room'!$C$13-1)*EXP(-0.5*(($A420-'Control Room'!$A$13-('Control Room'!$B$13-1)/2)/MAX(0.5,'Control Room'!$B$13/4))^2),1)*IF(AND($A420&gt;='Control Room'!$A$14,$A420&lt;'Control Room'!$A$14+'Control Room'!$B$14,'Process'!BV3=1),1+('Control Room'!$C$14-1)*EXP(-0.5*(($A420-'Control Room'!$A$14-('Control Room'!$B$14-1)/2)/MAX(0.5,'Control Room'!$B$14/4))^2),1)*IF(AND($A420&gt;='Control Room'!$A$15,$A420&lt;'Control Room'!$A$15+'Control Room'!$B$15,'Process'!BV4=1),1+('Control Room'!$C$15-1)*EXP(-0.5*(($A420-'Control Room'!$A$15-('Control Room'!$B$15-1)/2)/MAX(0.5,'Control Room'!$B$15/4))^2),1)*IF(AND($A420&gt;='Control Room'!$A$16,$A420&lt;'Control Room'!$A$16+'Control Room'!$B$16,'Process'!BV5=1),1+('Control Room'!$C$16-1)*EXP(-0.5*(($A420-'Control Room'!$A$16-('Control Room'!$B$16-1)/2)/MAX(0.5,'Control Room'!$B$16/4))^2),1)</x:f>
        <x:v>1</x:v>
      </x:c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Z420" t="str">
        <x:f>IF('Data'!A420="","",TEXT('Data'!A420,"mm-dd"))</x:f>
      </x:c>
    </x:row>
    <x:row r="421" ht="21" customHeight="1">
      <x:c r="A421" s="15" t="n">
        <x:f>'Control Room'!$B$1+419</x:f>
        <x:v>73410</x:v>
      </x:c>
      <x:c r="B421" s="9" t="n">
        <x:f>MOD(C420*16807,2147483647)</x:f>
        <x:v>940311370</x:v>
      </x:c>
      <x:c r="C421" s="9" t="n">
        <x:f>MOD(B421*16807,2147483647)</x:f>
        <x:v>481037317</x:v>
      </x:c>
      <x:c r="D421" s="17" t="n">
        <x:f>IF('Control Room'!$B$5="Normal",'Control Room'!$B$7+'Control Room'!$D$7*SQRT(-2*LN(MAX(0.000000000001,B421/2147483647)))*COS(2*PI()*C421/2147483647),'Control Room'!$B$8+('Control Room'!$D$8-'Control Room'!$B$8)*B421/2147483647)</x:f>
        <x:v>1018.8112632442998</x:v>
      </x:c>
      <x:c r="E421" s="17" t="n">
        <x:f>IF('Control Room'!$B$5="Normal",'Control Room'!$B$7,('Control Room'!$B$8+'Control Room'!$D$8)/2)+'Control Room'!$B$9*(E420-IF('Control Room'!$B$5="Normal",'Control Room'!$B$7,('Control Room'!$B$8+'Control Room'!$D$8)/2))+SQRT(1-'Control Room'!$B$9^2)*(D421-IF('Control Room'!$B$5="Normal",'Control Room'!$B$7,('Control Room'!$B$8+'Control Room'!$D$8)/2))</x:f>
        <x:v>1003.0024145486534</x:v>
      </x:c>
      <x:c r="F421" s="17" t="n">
        <x:f>IF(AND($A421&gt;='Control Room'!$A$13,$A421&lt;'Control Room'!$A$13+'Control Room'!$B$13,'Process'!BK2=1),1+('Control Room'!$C$13-1)*EXP(-0.5*(($A421-'Control Room'!$A$13-('Control Room'!$B$13-1)/2)/MAX(0.5,'Control Room'!$B$13/4))^2),1)*IF(AND($A421&gt;='Control Room'!$A$14,$A421&lt;'Control Room'!$A$14+'Control Room'!$B$14,'Process'!BK3=1),1+('Control Room'!$C$14-1)*EXP(-0.5*(($A421-'Control Room'!$A$14-('Control Room'!$B$14-1)/2)/MAX(0.5,'Control Room'!$B$14/4))^2),1)*IF(AND($A421&gt;='Control Room'!$A$15,$A421&lt;'Control Room'!$A$15+'Control Room'!$B$15,'Process'!BK4=1),1+('Control Room'!$C$15-1)*EXP(-0.5*(($A421-'Control Room'!$A$15-('Control Room'!$B$15-1)/2)/MAX(0.5,'Control Room'!$B$15/4))^2),1)*IF(AND($A421&gt;='Control Room'!$A$16,$A421&lt;'Control Room'!$A$16+'Control Room'!$B$16,'Process'!BK5=1),1+('Control Room'!$C$16-1)*EXP(-0.5*(($A421-'Control Room'!$A$16-('Control Room'!$B$16-1)/2)/MAX(0.5,'Control Room'!$B$16/4))^2),1)</x:f>
        <x:v>1</x:v>
      </x:c>
      <x:c r="G421" s="9" t="n">
        <x:f>MOD(H420*16807,2147483647)</x:f>
        <x:v>1730249274</x:v>
      </x:c>
      <x:c r="H421" s="9" t="n">
        <x:f>MOD(G421*16807,2147483647)</x:f>
        <x:v>1223484091</x:v>
      </x:c>
      <x:c r="I421" s="17" t="n">
        <x:f>IF('Control Room'!$B$5="Normal",'Control Room'!$B$7+'Control Room'!$D$7*SQRT(-2*LN(MAX(0.000000000001,G421/2147483647)))*COS(2*PI()*H421/2147483647),'Control Room'!$B$8+('Control Room'!$D$8-'Control Room'!$B$8)*G421/2147483647)</x:f>
        <x:v>946.4291694476959</x:v>
      </x:c>
      <x:c r="J421" s="17" t="n">
        <x:f>IF('Control Room'!$B$5="Normal",'Control Room'!$B$7,('Control Room'!$B$8+'Control Room'!$D$8)/2)+'Control Room'!$B$9*(J420-IF('Control Room'!$B$5="Normal",'Control Room'!$B$7,('Control Room'!$B$8+'Control Room'!$D$8)/2))+SQRT(1-'Control Room'!$B$9^2)*(I421-IF('Control Room'!$B$5="Normal",'Control Room'!$B$7,('Control Room'!$B$8+'Control Room'!$D$8)/2))</x:f>
        <x:v>1051.4906440017676</x:v>
      </x:c>
      <x:c r="K421" s="17" t="n">
        <x:f>IF(AND($A421&gt;='Control Room'!$A$13,$A421&lt;'Control Room'!$A$13+'Control Room'!$B$13,'Process'!BL2=1),1+('Control Room'!$C$13-1)*EXP(-0.5*(($A421-'Control Room'!$A$13-('Control Room'!$B$13-1)/2)/MAX(0.5,'Control Room'!$B$13/4))^2),1)*IF(AND($A421&gt;='Control Room'!$A$14,$A421&lt;'Control Room'!$A$14+'Control Room'!$B$14,'Process'!BL3=1),1+('Control Room'!$C$14-1)*EXP(-0.5*(($A421-'Control Room'!$A$14-('Control Room'!$B$14-1)/2)/MAX(0.5,'Control Room'!$B$14/4))^2),1)*IF(AND($A421&gt;='Control Room'!$A$15,$A421&lt;'Control Room'!$A$15+'Control Room'!$B$15,'Process'!BL4=1),1+('Control Room'!$C$15-1)*EXP(-0.5*(($A421-'Control Room'!$A$15-('Control Room'!$B$15-1)/2)/MAX(0.5,'Control Room'!$B$15/4))^2),1)*IF(AND($A421&gt;='Control Room'!$A$16,$A421&lt;'Control Room'!$A$16+'Control Room'!$B$16,'Process'!BL5=1),1+('Control Room'!$C$16-1)*EXP(-0.5*(($A421-'Control Room'!$A$16-('Control Room'!$B$16-1)/2)/MAX(0.5,'Control Room'!$B$16/4))^2),1)</x:f>
        <x:v>1</x:v>
      </x:c>
      <x:c r="L421" s="9" t="n">
        <x:f>MOD(M420*16807,2147483647)</x:f>
        <x:v>372703531</x:v>
      </x:c>
      <x:c r="M421" s="9" t="n">
        <x:f>MOD(L421*16807,2147483647)</x:f>
        <x:v>1965930865</x:v>
      </x:c>
      <x:c r="N421" s="17" t="n">
        <x:f>IF('Control Room'!$B$5="Normal",'Control Room'!$B$7+'Control Room'!$D$7*SQRT(-2*LN(MAX(0.000000000001,L421/2147483647)))*COS(2*PI()*M421/2147483647),'Control Room'!$B$8+('Control Room'!$D$8-'Control Room'!$B$8)*L421/2147483647)</x:f>
        <x:v>1145.225686726132</x:v>
      </x:c>
      <x:c r="O421" s="17" t="n">
        <x:f>IF('Control Room'!$B$5="Normal",'Control Room'!$B$7,('Control Room'!$B$8+'Control Room'!$D$8)/2)+'Control Room'!$B$9*(O420-IF('Control Room'!$B$5="Normal",'Control Room'!$B$7,('Control Room'!$B$8+'Control Room'!$D$8)/2))+SQRT(1-'Control Room'!$B$9^2)*(N421-IF('Control Room'!$B$5="Normal",'Control Room'!$B$7,('Control Room'!$B$8+'Control Room'!$D$8)/2))</x:f>
        <x:v>993.858668594835</x:v>
      </x:c>
      <x:c r="P421" s="17" t="n">
        <x:f>IF(AND($A421&gt;='Control Room'!$A$13,$A421&lt;'Control Room'!$A$13+'Control Room'!$B$13,'Process'!BM2=1),1+('Control Room'!$C$13-1)*EXP(-0.5*(($A421-'Control Room'!$A$13-('Control Room'!$B$13-1)/2)/MAX(0.5,'Control Room'!$B$13/4))^2),1)*IF(AND($A421&gt;='Control Room'!$A$14,$A421&lt;'Control Room'!$A$14+'Control Room'!$B$14,'Process'!BM3=1),1+('Control Room'!$C$14-1)*EXP(-0.5*(($A421-'Control Room'!$A$14-('Control Room'!$B$14-1)/2)/MAX(0.5,'Control Room'!$B$14/4))^2),1)*IF(AND($A421&gt;='Control Room'!$A$15,$A421&lt;'Control Room'!$A$15+'Control Room'!$B$15,'Process'!BM4=1),1+('Control Room'!$C$15-1)*EXP(-0.5*(($A421-'Control Room'!$A$15-('Control Room'!$B$15-1)/2)/MAX(0.5,'Control Room'!$B$15/4))^2),1)*IF(AND($A421&gt;='Control Room'!$A$16,$A421&lt;'Control Room'!$A$16+'Control Room'!$B$16,'Process'!BM5=1),1+('Control Room'!$C$16-1)*EXP(-0.5*(($A421-'Control Room'!$A$16-('Control Room'!$B$16-1)/2)/MAX(0.5,'Control Room'!$B$16/4))^2),1)</x:f>
        <x:v>1</x:v>
      </x:c>
      <x:c r="Q421" s="9" t="n">
        <x:f>MOD(R420*16807,2147483647)</x:f>
        <x:v>1162641435</x:v>
      </x:c>
      <x:c r="R421" s="9" t="n">
        <x:f>MOD(Q421*16807,2147483647)</x:f>
        <x:v>560893992</x:v>
      </x:c>
      <x:c r="S421" s="17" t="n">
        <x:f>IF('Control Room'!$B$5="Normal",'Control Room'!$B$7+'Control Room'!$D$7*SQRT(-2*LN(MAX(0.000000000001,Q421/2147483647)))*COS(2*PI()*R421/2147483647),'Control Room'!$B$8+('Control Room'!$D$8-'Control Room'!$B$8)*Q421/2147483647)</x:f>
        <x:v>992.9980014104596</x:v>
      </x:c>
      <x:c r="T421" s="17" t="n">
        <x:f>IF('Control Room'!$B$5="Normal",'Control Room'!$B$7,('Control Room'!$B$8+'Control Room'!$D$8)/2)+'Control Room'!$B$9*(T420-IF('Control Room'!$B$5="Normal",'Control Room'!$B$7,('Control Room'!$B$8+'Control Room'!$D$8)/2))+SQRT(1-'Control Room'!$B$9^2)*(S421-IF('Control Room'!$B$5="Normal",'Control Room'!$B$7,('Control Room'!$B$8+'Control Room'!$D$8)/2))</x:f>
        <x:v>1045.7424398792782</x:v>
      </x:c>
      <x:c r="U421" s="17" t="n">
        <x:f>IF(AND($A421&gt;='Control Room'!$A$13,$A421&lt;'Control Room'!$A$13+'Control Room'!$B$13,'Process'!BN2=1),1+('Control Room'!$C$13-1)*EXP(-0.5*(($A421-'Control Room'!$A$13-('Control Room'!$B$13-1)/2)/MAX(0.5,'Control Room'!$B$13/4))^2),1)*IF(AND($A421&gt;='Control Room'!$A$14,$A421&lt;'Control Room'!$A$14+'Control Room'!$B$14,'Process'!BN3=1),1+('Control Room'!$C$14-1)*EXP(-0.5*(($A421-'Control Room'!$A$14-('Control Room'!$B$14-1)/2)/MAX(0.5,'Control Room'!$B$14/4))^2),1)*IF(AND($A421&gt;='Control Room'!$A$15,$A421&lt;'Control Room'!$A$15+'Control Room'!$B$15,'Process'!BN4=1),1+('Control Room'!$C$15-1)*EXP(-0.5*(($A421-'Control Room'!$A$15-('Control Room'!$B$15-1)/2)/MAX(0.5,'Control Room'!$B$15/4))^2),1)*IF(AND($A421&gt;='Control Room'!$A$16,$A421&lt;'Control Room'!$A$16+'Control Room'!$B$16,'Process'!BN5=1),1+('Control Room'!$C$16-1)*EXP(-0.5*(($A421-'Control Room'!$A$16-('Control Room'!$B$16-1)/2)/MAX(0.5,'Control Room'!$B$16/4))^2),1)</x:f>
        <x:v>1</x:v>
      </x:c>
      <x:c r="V421" s="9" t="n">
        <x:f>MOD(W420*16807,2147483647)</x:f>
        <x:v>1952579339</x:v>
      </x:c>
      <x:c r="W421" s="9" t="n">
        <x:f>MOD(V421*16807,2147483647)</x:f>
        <x:v>1303340766</x:v>
      </x:c>
      <x:c r="X421" s="17" t="n">
        <x:f>IF('Control Room'!$B$5="Normal",'Control Room'!$B$7+'Control Room'!$D$7*SQRT(-2*LN(MAX(0.000000000001,V421/2147483647)))*COS(2*PI()*W421/2147483647),'Control Room'!$B$8+('Control Room'!$D$8-'Control Room'!$B$8)*V421/2147483647)</x:f>
        <x:v>969.2702363644188</x:v>
      </x:c>
      <x:c r="Y421" s="17" t="n">
        <x:f>IF('Control Room'!$B$5="Normal",'Control Room'!$B$7,('Control Room'!$B$8+'Control Room'!$D$8)/2)+'Control Room'!$B$9*(Y420-IF('Control Room'!$B$5="Normal",'Control Room'!$B$7,('Control Room'!$B$8+'Control Room'!$D$8)/2))+SQRT(1-'Control Room'!$B$9^2)*(X421-IF('Control Room'!$B$5="Normal",'Control Room'!$B$7,('Control Room'!$B$8+'Control Room'!$D$8)/2))</x:f>
        <x:v>1026.4913048173205</x:v>
      </x:c>
      <x:c r="Z421" s="17" t="n">
        <x:f>IF(AND($A421&gt;='Control Room'!$A$13,$A421&lt;'Control Room'!$A$13+'Control Room'!$B$13,'Process'!BO2=1),1+('Control Room'!$C$13-1)*EXP(-0.5*(($A421-'Control Room'!$A$13-('Control Room'!$B$13-1)/2)/MAX(0.5,'Control Room'!$B$13/4))^2),1)*IF(AND($A421&gt;='Control Room'!$A$14,$A421&lt;'Control Room'!$A$14+'Control Room'!$B$14,'Process'!BO3=1),1+('Control Room'!$C$14-1)*EXP(-0.5*(($A421-'Control Room'!$A$14-('Control Room'!$B$14-1)/2)/MAX(0.5,'Control Room'!$B$14/4))^2),1)*IF(AND($A421&gt;='Control Room'!$A$15,$A421&lt;'Control Room'!$A$15+'Control Room'!$B$15,'Process'!BO4=1),1+('Control Room'!$C$15-1)*EXP(-0.5*(($A421-'Control Room'!$A$15-('Control Room'!$B$15-1)/2)/MAX(0.5,'Control Room'!$B$15/4))^2),1)*IF(AND($A421&gt;='Control Room'!$A$16,$A421&lt;'Control Room'!$A$16+'Control Room'!$B$16,'Process'!BO5=1),1+('Control Room'!$C$16-1)*EXP(-0.5*(($A421-'Control Room'!$A$16-('Control Room'!$B$16-1)/2)/MAX(0.5,'Control Room'!$B$16/4))^2),1)</x:f>
        <x:v>1</x:v>
      </x:c>
      <x:c r="AA421" s="9" t="n">
        <x:f>MOD(AB420*16807,2147483647)</x:f>
        <x:v>595033596</x:v>
      </x:c>
      <x:c r="AB421" s="9" t="n">
        <x:f>MOD(AA421*16807,2147483647)</x:f>
        <x:v>2045787540</x:v>
      </x:c>
      <x:c r="AC421" s="17" t="n">
        <x:f>IF('Control Room'!$B$5="Normal",'Control Room'!$B$7+'Control Room'!$D$7*SQRT(-2*LN(MAX(0.000000000001,AA421/2147483647)))*COS(2*PI()*AB421/2147483647),'Control Room'!$B$8+('Control Room'!$D$8-'Control Room'!$B$8)*AA421/2147483647)</x:f>
        <x:v>1137.8570238347502</x:v>
      </x:c>
      <x:c r="AD421" s="17" t="n">
        <x:f>IF('Control Room'!$B$5="Normal",'Control Room'!$B$7,('Control Room'!$B$8+'Control Room'!$D$8)/2)+'Control Room'!$B$9*(AD420-IF('Control Room'!$B$5="Normal",'Control Room'!$B$7,('Control Room'!$B$8+'Control Room'!$D$8)/2))+SQRT(1-'Control Room'!$B$9^2)*(AC421-IF('Control Room'!$B$5="Normal",'Control Room'!$B$7,('Control Room'!$B$8+'Control Room'!$D$8)/2))</x:f>
        <x:v>1108.2648356987984</x:v>
      </x:c>
      <x:c r="AE421" s="17" t="n">
        <x:f>IF(AND($A421&gt;='Control Room'!$A$13,$A421&lt;'Control Room'!$A$13+'Control Room'!$B$13,'Process'!BP2=1),1+('Control Room'!$C$13-1)*EXP(-0.5*(($A421-'Control Room'!$A$13-('Control Room'!$B$13-1)/2)/MAX(0.5,'Control Room'!$B$13/4))^2),1)*IF(AND($A421&gt;='Control Room'!$A$14,$A421&lt;'Control Room'!$A$14+'Control Room'!$B$14,'Process'!BP3=1),1+('Control Room'!$C$14-1)*EXP(-0.5*(($A421-'Control Room'!$A$14-('Control Room'!$B$14-1)/2)/MAX(0.5,'Control Room'!$B$14/4))^2),1)*IF(AND($A421&gt;='Control Room'!$A$15,$A421&lt;'Control Room'!$A$15+'Control Room'!$B$15,'Process'!BP4=1),1+('Control Room'!$C$15-1)*EXP(-0.5*(($A421-'Control Room'!$A$15-('Control Room'!$B$15-1)/2)/MAX(0.5,'Control Room'!$B$15/4))^2),1)*IF(AND($A421&gt;='Control Room'!$A$16,$A421&lt;'Control Room'!$A$16+'Control Room'!$B$16,'Process'!BP5=1),1+('Control Room'!$C$16-1)*EXP(-0.5*(($A421-'Control Room'!$A$16-('Control Room'!$B$16-1)/2)/MAX(0.5,'Control Room'!$B$16/4))^2),1)</x:f>
        <x:v>1</x:v>
      </x:c>
      <x:c r="AF421" s="9" t="n">
        <x:f>MOD(AG420*16807,2147483647)</x:f>
        <x:v>1384971500</x:v>
      </x:c>
      <x:c r="AG421" s="9" t="n">
        <x:f>MOD(AF421*16807,2147483647)</x:f>
        <x:v>640750667</x:v>
      </x:c>
      <x:c r="AH421" s="17" t="n">
        <x:f>IF('Control Room'!$B$5="Normal",'Control Room'!$B$7+'Control Room'!$D$7*SQRT(-2*LN(MAX(0.000000000001,AF421/2147483647)))*COS(2*PI()*AG421/2147483647),'Control Room'!$B$8+('Control Room'!$D$8-'Control Room'!$B$8)*AF421/2147483647)</x:f>
        <x:v>974.7725063064347</x:v>
      </x:c>
      <x:c r="AI421" s="17" t="n">
        <x:f>IF('Control Room'!$B$5="Normal",'Control Room'!$B$7,('Control Room'!$B$8+'Control Room'!$D$8)/2)+'Control Room'!$B$9*(AI420-IF('Control Room'!$B$5="Normal",'Control Room'!$B$7,('Control Room'!$B$8+'Control Room'!$D$8)/2))+SQRT(1-'Control Room'!$B$9^2)*(AH421-IF('Control Room'!$B$5="Normal",'Control Room'!$B$7,('Control Room'!$B$8+'Control Room'!$D$8)/2))</x:f>
        <x:v>966.3285034713543</x:v>
      </x:c>
      <x:c r="AJ421" s="17" t="n">
        <x:f>IF(AND($A421&gt;='Control Room'!$A$13,$A421&lt;'Control Room'!$A$13+'Control Room'!$B$13,'Process'!BQ2=1),1+('Control Room'!$C$13-1)*EXP(-0.5*(($A421-'Control Room'!$A$13-('Control Room'!$B$13-1)/2)/MAX(0.5,'Control Room'!$B$13/4))^2),1)*IF(AND($A421&gt;='Control Room'!$A$14,$A421&lt;'Control Room'!$A$14+'Control Room'!$B$14,'Process'!BQ3=1),1+('Control Room'!$C$14-1)*EXP(-0.5*(($A421-'Control Room'!$A$14-('Control Room'!$B$14-1)/2)/MAX(0.5,'Control Room'!$B$14/4))^2),1)*IF(AND($A421&gt;='Control Room'!$A$15,$A421&lt;'Control Room'!$A$15+'Control Room'!$B$15,'Process'!BQ4=1),1+('Control Room'!$C$15-1)*EXP(-0.5*(($A421-'Control Room'!$A$15-('Control Room'!$B$15-1)/2)/MAX(0.5,'Control Room'!$B$15/4))^2),1)*IF(AND($A421&gt;='Control Room'!$A$16,$A421&lt;'Control Room'!$A$16+'Control Room'!$B$16,'Process'!BQ5=1),1+('Control Room'!$C$16-1)*EXP(-0.5*(($A421-'Control Room'!$A$16-('Control Room'!$B$16-1)/2)/MAX(0.5,'Control Room'!$B$16/4))^2),1)</x:f>
        <x:v>1</x:v>
      </x:c>
      <x:c r="AK421" s="9" t="n">
        <x:f>MOD(AL420*16807,2147483647)</x:f>
        <x:v>27425757</x:v>
      </x:c>
      <x:c r="AL421" s="9" t="n">
        <x:f>MOD(AK421*16807,2147483647)</x:f>
        <x:v>1383197441</x:v>
      </x:c>
      <x:c r="AM421" s="17" t="n">
        <x:f>IF('Control Room'!$B$5="Normal",'Control Room'!$B$7+'Control Room'!$D$7*SQRT(-2*LN(MAX(0.000000000001,AK421/2147483647)))*COS(2*PI()*AL421/2147483647),'Control Room'!$B$8+('Control Room'!$D$8-'Control Room'!$B$8)*AK421/2147483647)</x:f>
        <x:v>835.9160084298586</x:v>
      </x:c>
      <x:c r="AN421" s="17" t="n">
        <x:f>IF('Control Room'!$B$5="Normal",'Control Room'!$B$7,('Control Room'!$B$8+'Control Room'!$D$8)/2)+'Control Room'!$B$9*(AN420-IF('Control Room'!$B$5="Normal",'Control Room'!$B$7,('Control Room'!$B$8+'Control Room'!$D$8)/2))+SQRT(1-'Control Room'!$B$9^2)*(AM421-IF('Control Room'!$B$5="Normal",'Control Room'!$B$7,('Control Room'!$B$8+'Control Room'!$D$8)/2))</x:f>
        <x:v>989.0860457577206</x:v>
      </x:c>
      <x:c r="AO421" s="17" t="n">
        <x:f>IF(AND($A421&gt;='Control Room'!$A$13,$A421&lt;'Control Room'!$A$13+'Control Room'!$B$13,'Process'!BR2=1),1+('Control Room'!$C$13-1)*EXP(-0.5*(($A421-'Control Room'!$A$13-('Control Room'!$B$13-1)/2)/MAX(0.5,'Control Room'!$B$13/4))^2),1)*IF(AND($A421&gt;='Control Room'!$A$14,$A421&lt;'Control Room'!$A$14+'Control Room'!$B$14,'Process'!BR3=1),1+('Control Room'!$C$14-1)*EXP(-0.5*(($A421-'Control Room'!$A$14-('Control Room'!$B$14-1)/2)/MAX(0.5,'Control Room'!$B$14/4))^2),1)*IF(AND($A421&gt;='Control Room'!$A$15,$A421&lt;'Control Room'!$A$15+'Control Room'!$B$15,'Process'!BR4=1),1+('Control Room'!$C$15-1)*EXP(-0.5*(($A421-'Control Room'!$A$15-('Control Room'!$B$15-1)/2)/MAX(0.5,'Control Room'!$B$15/4))^2),1)*IF(AND($A421&gt;='Control Room'!$A$16,$A421&lt;'Control Room'!$A$16+'Control Room'!$B$16,'Process'!BR5=1),1+('Control Room'!$C$16-1)*EXP(-0.5*(($A421-'Control Room'!$A$16-('Control Room'!$B$16-1)/2)/MAX(0.5,'Control Room'!$B$16/4))^2),1)</x:f>
        <x:v>1</x:v>
      </x:c>
      <x:c r="AP421" s="9" t="n">
        <x:f>MOD(AQ420*16807,2147483647)</x:f>
        <x:v>817363661</x:v>
      </x:c>
      <x:c r="AQ421" s="9" t="n">
        <x:f>MOD(AP421*16807,2147483647)</x:f>
        <x:v>2125644215</x:v>
      </x:c>
      <x:c r="AR421" s="17" t="n">
        <x:f>IF('Control Room'!$B$5="Normal",'Control Room'!$B$7+'Control Room'!$D$7*SQRT(-2*LN(MAX(0.000000000001,AP421/2147483647)))*COS(2*PI()*AQ421/2147483647),'Control Room'!$B$8+('Control Room'!$D$8-'Control Room'!$B$8)*AP421/2147483647)</x:f>
        <x:v>1124.8393898563554</x:v>
      </x:c>
      <x:c r="AS421" s="17" t="n">
        <x:f>IF('Control Room'!$B$5="Normal",'Control Room'!$B$7,('Control Room'!$B$8+'Control Room'!$D$8)/2)+'Control Room'!$B$9*(AS420-IF('Control Room'!$B$5="Normal",'Control Room'!$B$7,('Control Room'!$B$8+'Control Room'!$D$8)/2))+SQRT(1-'Control Room'!$B$9^2)*(AR421-IF('Control Room'!$B$5="Normal",'Control Room'!$B$7,('Control Room'!$B$8+'Control Room'!$D$8)/2))</x:f>
        <x:v>1107.6030167415818</x:v>
      </x:c>
      <x:c r="AT421" s="17" t="n">
        <x:f>IF(AND($A421&gt;='Control Room'!$A$13,$A421&lt;'Control Room'!$A$13+'Control Room'!$B$13,'Process'!BS2=1),1+('Control Room'!$C$13-1)*EXP(-0.5*(($A421-'Control Room'!$A$13-('Control Room'!$B$13-1)/2)/MAX(0.5,'Control Room'!$B$13/4))^2),1)*IF(AND($A421&gt;='Control Room'!$A$14,$A421&lt;'Control Room'!$A$14+'Control Room'!$B$14,'Process'!BS3=1),1+('Control Room'!$C$14-1)*EXP(-0.5*(($A421-'Control Room'!$A$14-('Control Room'!$B$14-1)/2)/MAX(0.5,'Control Room'!$B$14/4))^2),1)*IF(AND($A421&gt;='Control Room'!$A$15,$A421&lt;'Control Room'!$A$15+'Control Room'!$B$15,'Process'!BS4=1),1+('Control Room'!$C$15-1)*EXP(-0.5*(($A421-'Control Room'!$A$15-('Control Room'!$B$15-1)/2)/MAX(0.5,'Control Room'!$B$15/4))^2),1)*IF(AND($A421&gt;='Control Room'!$A$16,$A421&lt;'Control Room'!$A$16+'Control Room'!$B$16,'Process'!BS5=1),1+('Control Room'!$C$16-1)*EXP(-0.5*(($A421-'Control Room'!$A$16-('Control Room'!$B$16-1)/2)/MAX(0.5,'Control Room'!$B$16/4))^2),1)</x:f>
        <x:v>1</x:v>
      </x:c>
      <x:c r="AU421" s="9" t="n">
        <x:f>MOD(AV420*16807,2147483647)</x:f>
        <x:v>1607301565</x:v>
      </x:c>
      <x:c r="AV421" s="9" t="n">
        <x:f>MOD(AU421*16807,2147483647)</x:f>
        <x:v>720607342</x:v>
      </x:c>
      <x:c r="AW421" s="17" t="n">
        <x:f>IF('Control Room'!$B$5="Normal",'Control Room'!$B$7+'Control Room'!$D$7*SQRT(-2*LN(MAX(0.000000000001,AU421/2147483647)))*COS(2*PI()*AV421/2147483647),'Control Room'!$B$8+('Control Room'!$D$8-'Control Room'!$B$8)*AU421/2147483647)</x:f>
        <x:v>964.9180614558295</x:v>
      </x:c>
      <x:c r="AX421" s="17" t="n">
        <x:f>IF('Control Room'!$B$5="Normal",'Control Room'!$B$7,('Control Room'!$B$8+'Control Room'!$D$8)/2)+'Control Room'!$B$9*(AX420-IF('Control Room'!$B$5="Normal",'Control Room'!$B$7,('Control Room'!$B$8+'Control Room'!$D$8)/2))+SQRT(1-'Control Room'!$B$9^2)*(AW421-IF('Control Room'!$B$5="Normal",'Control Room'!$B$7,('Control Room'!$B$8+'Control Room'!$D$8)/2))</x:f>
        <x:v>938.0923039017633</x:v>
      </x:c>
      <x:c r="AY421" s="17" t="n">
        <x:f>IF(AND($A421&gt;='Control Room'!$A$13,$A421&lt;'Control Room'!$A$13+'Control Room'!$B$13,'Process'!BT2=1),1+('Control Room'!$C$13-1)*EXP(-0.5*(($A421-'Control Room'!$A$13-('Control Room'!$B$13-1)/2)/MAX(0.5,'Control Room'!$B$13/4))^2),1)*IF(AND($A421&gt;='Control Room'!$A$14,$A421&lt;'Control Room'!$A$14+'Control Room'!$B$14,'Process'!BT3=1),1+('Control Room'!$C$14-1)*EXP(-0.5*(($A421-'Control Room'!$A$14-('Control Room'!$B$14-1)/2)/MAX(0.5,'Control Room'!$B$14/4))^2),1)*IF(AND($A421&gt;='Control Room'!$A$15,$A421&lt;'Control Room'!$A$15+'Control Room'!$B$15,'Process'!BT4=1),1+('Control Room'!$C$15-1)*EXP(-0.5*(($A421-'Control Room'!$A$15-('Control Room'!$B$15-1)/2)/MAX(0.5,'Control Room'!$B$15/4))^2),1)*IF(AND($A421&gt;='Control Room'!$A$16,$A421&lt;'Control Room'!$A$16+'Control Room'!$B$16,'Process'!BT5=1),1+('Control Room'!$C$16-1)*EXP(-0.5*(($A421-'Control Room'!$A$16-('Control Room'!$B$16-1)/2)/MAX(0.5,'Control Room'!$B$16/4))^2),1)</x:f>
        <x:v>1</x:v>
      </x:c>
      <x:c r="AZ421" s="9" t="n">
        <x:f>MOD(BA420*16807,2147483647)</x:f>
        <x:v>249755822</x:v>
      </x:c>
      <x:c r="BA421" s="9" t="n">
        <x:f>MOD(AZ421*16807,2147483647)</x:f>
        <x:v>1463054116</x:v>
      </x:c>
      <x:c r="BB421" s="17" t="n">
        <x:f>IF('Control Room'!$B$5="Normal",'Control Room'!$B$7+'Control Room'!$D$7*SQRT(-2*LN(MAX(0.000000000001,AZ421/2147483647)))*COS(2*PI()*BA421/2147483647),'Control Room'!$B$8+('Control Room'!$D$8-'Control Room'!$B$8)*AZ421/2147483647)</x:f>
        <x:v>921.8780149264867</x:v>
      </x:c>
      <x:c r="BC421" s="17" t="n">
        <x:f>IF('Control Room'!$B$5="Normal",'Control Room'!$B$7,('Control Room'!$B$8+'Control Room'!$D$8)/2)+'Control Room'!$B$9*(BC420-IF('Control Room'!$B$5="Normal",'Control Room'!$B$7,('Control Room'!$B$8+'Control Room'!$D$8)/2))+SQRT(1-'Control Room'!$B$9^2)*(BB421-IF('Control Room'!$B$5="Normal",'Control Room'!$B$7,('Control Room'!$B$8+'Control Room'!$D$8)/2))</x:f>
        <x:v>983.9097099747333</x:v>
      </x:c>
      <x:c r="BD421" s="17" t="n">
        <x:f>IF(AND($A421&gt;='Control Room'!$A$13,$A421&lt;'Control Room'!$A$13+'Control Room'!$B$13,'Process'!BU2=1),1+('Control Room'!$C$13-1)*EXP(-0.5*(($A421-'Control Room'!$A$13-('Control Room'!$B$13-1)/2)/MAX(0.5,'Control Room'!$B$13/4))^2),1)*IF(AND($A421&gt;='Control Room'!$A$14,$A421&lt;'Control Room'!$A$14+'Control Room'!$B$14,'Process'!BU3=1),1+('Control Room'!$C$14-1)*EXP(-0.5*(($A421-'Control Room'!$A$14-('Control Room'!$B$14-1)/2)/MAX(0.5,'Control Room'!$B$14/4))^2),1)*IF(AND($A421&gt;='Control Room'!$A$15,$A421&lt;'Control Room'!$A$15+'Control Room'!$B$15,'Process'!BU4=1),1+('Control Room'!$C$15-1)*EXP(-0.5*(($A421-'Control Room'!$A$15-('Control Room'!$B$15-1)/2)/MAX(0.5,'Control Room'!$B$15/4))^2),1)*IF(AND($A421&gt;='Control Room'!$A$16,$A421&lt;'Control Room'!$A$16+'Control Room'!$B$16,'Process'!BU5=1),1+('Control Room'!$C$16-1)*EXP(-0.5*(($A421-'Control Room'!$A$16-('Control Room'!$B$16-1)/2)/MAX(0.5,'Control Room'!$B$16/4))^2),1)</x:f>
        <x:v>1</x:v>
      </x:c>
      <x:c r="BE421" s="9" t="n">
        <x:f>MOD(BF420*16807,2147483647)</x:f>
        <x:v>1039693726</x:v>
      </x:c>
      <x:c r="BF421" s="9" t="n">
        <x:f>MOD(BE421*16807,2147483647)</x:f>
        <x:v>58017243</x:v>
      </x:c>
      <x:c r="BG421" s="17" t="n">
        <x:f>IF('Control Room'!$B$5="Normal",'Control Room'!$B$7+'Control Room'!$D$7*SQRT(-2*LN(MAX(0.000000000001,BE421/2147483647)))*COS(2*PI()*BF421/2147483647),'Control Room'!$B$8+('Control Room'!$D$8-'Control Room'!$B$8)*BE421/2147483647)</x:f>
        <x:v>1106.8440056047668</x:v>
      </x:c>
      <x:c r="BH421" s="17" t="n">
        <x:f>IF('Control Room'!$B$5="Normal",'Control Room'!$B$7,('Control Room'!$B$8+'Control Room'!$D$8)/2)+'Control Room'!$B$9*(BH420-IF('Control Room'!$B$5="Normal",'Control Room'!$B$7,('Control Room'!$B$8+'Control Room'!$D$8)/2))+SQRT(1-'Control Room'!$B$9^2)*(BG421-IF('Control Room'!$B$5="Normal",'Control Room'!$B$7,('Control Room'!$B$8+'Control Room'!$D$8)/2))</x:f>
        <x:v>1034.8759512807032</x:v>
      </x:c>
      <x:c r="BI421" s="17" t="n">
        <x:f>IF(AND($A421&gt;='Control Room'!$A$13,$A421&lt;'Control Room'!$A$13+'Control Room'!$B$13,'Process'!BV2=1),1+('Control Room'!$C$13-1)*EXP(-0.5*(($A421-'Control Room'!$A$13-('Control Room'!$B$13-1)/2)/MAX(0.5,'Control Room'!$B$13/4))^2),1)*IF(AND($A421&gt;='Control Room'!$A$14,$A421&lt;'Control Room'!$A$14+'Control Room'!$B$14,'Process'!BV3=1),1+('Control Room'!$C$14-1)*EXP(-0.5*(($A421-'Control Room'!$A$14-('Control Room'!$B$14-1)/2)/MAX(0.5,'Control Room'!$B$14/4))^2),1)*IF(AND($A421&gt;='Control Room'!$A$15,$A421&lt;'Control Room'!$A$15+'Control Room'!$B$15,'Process'!BV4=1),1+('Control Room'!$C$15-1)*EXP(-0.5*(($A421-'Control Room'!$A$15-('Control Room'!$B$15-1)/2)/MAX(0.5,'Control Room'!$B$15/4))^2),1)*IF(AND($A421&gt;='Control Room'!$A$16,$A421&lt;'Control Room'!$A$16+'Control Room'!$B$16,'Process'!BV5=1),1+('Control Room'!$C$16-1)*EXP(-0.5*(($A421-'Control Room'!$A$16-('Control Room'!$B$16-1)/2)/MAX(0.5,'Control Room'!$B$16/4))^2),1)</x:f>
        <x:v>1</x:v>
      </x:c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Z421" t="str">
        <x:f>IF('Data'!A421="","",TEXT('Data'!A421,"mm-dd"))</x:f>
      </x:c>
    </x:row>
    <x:row r="422" ht="21" customHeight="1">
      <x:c r="A422" s="15" t="n">
        <x:f>'Control Room'!$B$1+420</x:f>
        <x:v>73411</x:v>
      </x:c>
      <x:c r="B422" s="9" t="n">
        <x:f>MOD(C421*16807,2147483647)</x:f>
        <x:v>1665739511</x:v>
      </x:c>
      <x:c r="C422" s="9" t="n">
        <x:f>MOD(B422*16807,2147483647)</x:f>
        <x:v>1487139085</x:v>
      </x:c>
      <x:c r="D422" s="17" t="n">
        <x:f>IF('Control Room'!$B$5="Normal",'Control Room'!$B$7+'Control Room'!$D$7*SQRT(-2*LN(MAX(0.000000000001,B422/2147483647)))*COS(2*PI()*C422/2147483647),'Control Room'!$B$8+('Control Room'!$D$8-'Control Room'!$B$8)*B422/2147483647)</x:f>
        <x:v>977.3256908855807</x:v>
      </x:c>
      <x:c r="E422" s="17" t="n">
        <x:f>IF('Control Room'!$B$5="Normal",'Control Room'!$B$7,('Control Room'!$B$8+'Control Room'!$D$8)/2)+'Control Room'!$B$9*(E421-IF('Control Room'!$B$5="Normal",'Control Room'!$B$7,('Control Room'!$B$8+'Control Room'!$D$8)/2))+SQRT(1-'Control Room'!$B$9^2)*(D422-IF('Control Room'!$B$5="Normal",'Control Room'!$B$7,('Control Room'!$B$8+'Control Room'!$D$8)/2))</x:f>
        <x:v>988.1527652126165</x:v>
      </x:c>
      <x:c r="F422" s="17" t="n">
        <x:f>IF(AND($A422&gt;='Control Room'!$A$13,$A422&lt;'Control Room'!$A$13+'Control Room'!$B$13,'Process'!BK2=1),1+('Control Room'!$C$13-1)*EXP(-0.5*(($A422-'Control Room'!$A$13-('Control Room'!$B$13-1)/2)/MAX(0.5,'Control Room'!$B$13/4))^2),1)*IF(AND($A422&gt;='Control Room'!$A$14,$A422&lt;'Control Room'!$A$14+'Control Room'!$B$14,'Process'!BK3=1),1+('Control Room'!$C$14-1)*EXP(-0.5*(($A422-'Control Room'!$A$14-('Control Room'!$B$14-1)/2)/MAX(0.5,'Control Room'!$B$14/4))^2),1)*IF(AND($A422&gt;='Control Room'!$A$15,$A422&lt;'Control Room'!$A$15+'Control Room'!$B$15,'Process'!BK4=1),1+('Control Room'!$C$15-1)*EXP(-0.5*(($A422-'Control Room'!$A$15-('Control Room'!$B$15-1)/2)/MAX(0.5,'Control Room'!$B$15/4))^2),1)*IF(AND($A422&gt;='Control Room'!$A$16,$A422&lt;'Control Room'!$A$16+'Control Room'!$B$16,'Process'!BK5=1),1+('Control Room'!$C$16-1)*EXP(-0.5*(($A422-'Control Room'!$A$16-('Control Room'!$B$16-1)/2)/MAX(0.5,'Control Room'!$B$16/4))^2),1)</x:f>
        <x:v>1</x:v>
      </x:c>
      <x:c r="G422" s="9" t="n">
        <x:f>MOD(H421*16807,2147483647)</x:f>
        <x:v>941197412</x:v>
      </x:c>
      <x:c r="H422" s="9" t="n">
        <x:f>MOD(G422*16807,2147483647)</x:f>
        <x:v>340359682</x:v>
      </x:c>
      <x:c r="I422" s="17" t="n">
        <x:f>IF('Control Room'!$B$5="Normal",'Control Room'!$B$7+'Control Room'!$D$7*SQRT(-2*LN(MAX(0.000000000001,G422/2147483647)))*COS(2*PI()*H422/2147483647),'Control Room'!$B$8+('Control Room'!$D$8-'Control Room'!$B$8)*G422/2147483647)</x:f>
        <x:v>1062.8634024788835</x:v>
      </x:c>
      <x:c r="J422" s="17" t="n">
        <x:f>IF('Control Room'!$B$5="Normal",'Control Room'!$B$7,('Control Room'!$B$8+'Control Room'!$D$8)/2)+'Control Room'!$B$9*(J421-IF('Control Room'!$B$5="Normal",'Control Room'!$B$7,('Control Room'!$B$8+'Control Room'!$D$8)/2))+SQRT(1-'Control Room'!$B$9^2)*(I422-IF('Control Room'!$B$5="Normal",'Control Room'!$B$7,('Control Room'!$B$8+'Control Room'!$D$8)/2))</x:f>
        <x:v>1079.5013317658645</x:v>
      </x:c>
      <x:c r="K422" s="17" t="n">
        <x:f>IF(AND($A422&gt;='Control Room'!$A$13,$A422&lt;'Control Room'!$A$13+'Control Room'!$B$13,'Process'!BL2=1),1+('Control Room'!$C$13-1)*EXP(-0.5*(($A422-'Control Room'!$A$13-('Control Room'!$B$13-1)/2)/MAX(0.5,'Control Room'!$B$13/4))^2),1)*IF(AND($A422&gt;='Control Room'!$A$14,$A422&lt;'Control Room'!$A$14+'Control Room'!$B$14,'Process'!BL3=1),1+('Control Room'!$C$14-1)*EXP(-0.5*(($A422-'Control Room'!$A$14-('Control Room'!$B$14-1)/2)/MAX(0.5,'Control Room'!$B$14/4))^2),1)*IF(AND($A422&gt;='Control Room'!$A$15,$A422&lt;'Control Room'!$A$15+'Control Room'!$B$15,'Process'!BL4=1),1+('Control Room'!$C$15-1)*EXP(-0.5*(($A422-'Control Room'!$A$15-('Control Room'!$B$15-1)/2)/MAX(0.5,'Control Room'!$B$15/4))^2),1)*IF(AND($A422&gt;='Control Room'!$A$16,$A422&lt;'Control Room'!$A$16+'Control Room'!$B$16,'Process'!BL5=1),1+('Control Room'!$C$16-1)*EXP(-0.5*(($A422-'Control Room'!$A$16-('Control Room'!$B$16-1)/2)/MAX(0.5,'Control Room'!$B$16/4))^2),1)</x:f>
        <x:v>1</x:v>
      </x:c>
      <x:c r="L422" s="9" t="n">
        <x:f>MOD(M421*16807,2147483647)</x:f>
        <x:v>216655313</x:v>
      </x:c>
      <x:c r="M422" s="9" t="n">
        <x:f>MOD(L422*16807,2147483647)</x:f>
        <x:v>1341063926</x:v>
      </x:c>
      <x:c r="N422" s="17" t="n">
        <x:f>IF('Control Room'!$B$5="Normal",'Control Room'!$B$7+'Control Room'!$D$7*SQRT(-2*LN(MAX(0.000000000001,L422/2147483647)))*COS(2*PI()*M422/2147483647),'Control Room'!$B$8+('Control Room'!$D$8-'Control Room'!$B$8)*L422/2147483647)</x:f>
        <x:v>863.2506948298882</x:v>
      </x:c>
      <x:c r="O422" s="17" t="n">
        <x:f>IF('Control Room'!$B$5="Normal",'Control Room'!$B$7,('Control Room'!$B$8+'Control Room'!$D$8)/2)+'Control Room'!$B$9*(O421-IF('Control Room'!$B$5="Normal",'Control Room'!$B$7,('Control Room'!$B$8+'Control Room'!$D$8)/2))+SQRT(1-'Control Room'!$B$9^2)*(N422-IF('Control Room'!$B$5="Normal",'Control Room'!$B$7,('Control Room'!$B$8+'Control Room'!$D$8)/2))</x:f>
        <x:v>909.6348477903048</x:v>
      </x:c>
      <x:c r="P422" s="17" t="n">
        <x:f>IF(AND($A422&gt;='Control Room'!$A$13,$A422&lt;'Control Room'!$A$13+'Control Room'!$B$13,'Process'!BM2=1),1+('Control Room'!$C$13-1)*EXP(-0.5*(($A422-'Control Room'!$A$13-('Control Room'!$B$13-1)/2)/MAX(0.5,'Control Room'!$B$13/4))^2),1)*IF(AND($A422&gt;='Control Room'!$A$14,$A422&lt;'Control Room'!$A$14+'Control Room'!$B$14,'Process'!BM3=1),1+('Control Room'!$C$14-1)*EXP(-0.5*(($A422-'Control Room'!$A$14-('Control Room'!$B$14-1)/2)/MAX(0.5,'Control Room'!$B$14/4))^2),1)*IF(AND($A422&gt;='Control Room'!$A$15,$A422&lt;'Control Room'!$A$15+'Control Room'!$B$15,'Process'!BM4=1),1+('Control Room'!$C$15-1)*EXP(-0.5*(($A422-'Control Room'!$A$15-('Control Room'!$B$15-1)/2)/MAX(0.5,'Control Room'!$B$15/4))^2),1)*IF(AND($A422&gt;='Control Room'!$A$16,$A422&lt;'Control Room'!$A$16+'Control Room'!$B$16,'Process'!BM5=1),1+('Control Room'!$C$16-1)*EXP(-0.5*(($A422-'Control Room'!$A$16-('Control Room'!$B$16-1)/2)/MAX(0.5,'Control Room'!$B$16/4))^2),1)</x:f>
        <x:v>1</x:v>
      </x:c>
      <x:c r="Q422" s="9" t="n">
        <x:f>MOD(R421*16807,2147483647)</x:f>
        <x:v>1639596861</x:v>
      </x:c>
      <x:c r="R422" s="9" t="n">
        <x:f>MOD(Q422*16807,2147483647)</x:f>
        <x:v>194284523</x:v>
      </x:c>
      <x:c r="S422" s="17" t="n">
        <x:f>IF('Control Room'!$B$5="Normal",'Control Room'!$B$7+'Control Room'!$D$7*SQRT(-2*LN(MAX(0.000000000001,Q422/2147483647)))*COS(2*PI()*R422/2147483647),'Control Room'!$B$8+('Control Room'!$D$8-'Control Room'!$B$8)*Q422/2147483647)</x:f>
        <x:v>1055.7197318159117</x:v>
      </x:c>
      <x:c r="T422" s="17" t="n">
        <x:f>IF('Control Room'!$B$5="Normal",'Control Room'!$B$7,('Control Room'!$B$8+'Control Room'!$D$8)/2)+'Control Room'!$B$9*(T421-IF('Control Room'!$B$5="Normal",'Control Room'!$B$7,('Control Room'!$B$8+'Control Room'!$D$8)/2))+SQRT(1-'Control Room'!$B$9^2)*(S422-IF('Control Room'!$B$5="Normal",'Control Room'!$B$7,('Control Room'!$B$8+'Control Room'!$D$8)/2))</x:f>
        <x:v>1070.5473697954833</x:v>
      </x:c>
      <x:c r="U422" s="17" t="n">
        <x:f>IF(AND($A422&gt;='Control Room'!$A$13,$A422&lt;'Control Room'!$A$13+'Control Room'!$B$13,'Process'!BN2=1),1+('Control Room'!$C$13-1)*EXP(-0.5*(($A422-'Control Room'!$A$13-('Control Room'!$B$13-1)/2)/MAX(0.5,'Control Room'!$B$13/4))^2),1)*IF(AND($A422&gt;='Control Room'!$A$14,$A422&lt;'Control Room'!$A$14+'Control Room'!$B$14,'Process'!BN3=1),1+('Control Room'!$C$14-1)*EXP(-0.5*(($A422-'Control Room'!$A$14-('Control Room'!$B$14-1)/2)/MAX(0.5,'Control Room'!$B$14/4))^2),1)*IF(AND($A422&gt;='Control Room'!$A$15,$A422&lt;'Control Room'!$A$15+'Control Room'!$B$15,'Process'!BN4=1),1+('Control Room'!$C$15-1)*EXP(-0.5*(($A422-'Control Room'!$A$15-('Control Room'!$B$15-1)/2)/MAX(0.5,'Control Room'!$B$15/4))^2),1)*IF(AND($A422&gt;='Control Room'!$A$16,$A422&lt;'Control Room'!$A$16+'Control Room'!$B$16,'Process'!BN5=1),1+('Control Room'!$C$16-1)*EXP(-0.5*(($A422-'Control Room'!$A$16-('Control Room'!$B$16-1)/2)/MAX(0.5,'Control Room'!$B$16/4))^2),1)</x:f>
        <x:v>1</x:v>
      </x:c>
      <x:c r="V422" s="9" t="n">
        <x:f>MOD(W421*16807,2147483647)</x:f>
        <x:v>915054762</x:v>
      </x:c>
      <x:c r="W422" s="9" t="n">
        <x:f>MOD(V422*16807,2147483647)</x:f>
        <x:v>1194988767</x:v>
      </x:c>
      <x:c r="X422" s="17" t="n">
        <x:f>IF('Control Room'!$B$5="Normal",'Control Room'!$B$7+'Control Room'!$D$7*SQRT(-2*LN(MAX(0.000000000001,V422/2147483647)))*COS(2*PI()*W422/2147483647),'Control Room'!$B$8+('Control Room'!$D$8-'Control Room'!$B$8)*V422/2147483647)</x:f>
        <x:v>889.7626053656345</x:v>
      </x:c>
      <x:c r="Y422" s="17" t="n">
        <x:f>IF('Control Room'!$B$5="Normal",'Control Room'!$B$7,('Control Room'!$B$8+'Control Room'!$D$8)/2)+'Control Room'!$B$9*(Y421-IF('Control Room'!$B$5="Normal",'Control Room'!$B$7,('Control Room'!$B$8+'Control Room'!$D$8)/2))+SQRT(1-'Control Room'!$B$9^2)*(X422-IF('Control Room'!$B$5="Normal",'Control Room'!$B$7,('Control Room'!$B$8+'Control Room'!$D$8)/2))</x:f>
        <x:v>951.6789145311046</x:v>
      </x:c>
      <x:c r="Z422" s="17" t="n">
        <x:f>IF(AND($A422&gt;='Control Room'!$A$13,$A422&lt;'Control Room'!$A$13+'Control Room'!$B$13,'Process'!BO2=1),1+('Control Room'!$C$13-1)*EXP(-0.5*(($A422-'Control Room'!$A$13-('Control Room'!$B$13-1)/2)/MAX(0.5,'Control Room'!$B$13/4))^2),1)*IF(AND($A422&gt;='Control Room'!$A$14,$A422&lt;'Control Room'!$A$14+'Control Room'!$B$14,'Process'!BO3=1),1+('Control Room'!$C$14-1)*EXP(-0.5*(($A422-'Control Room'!$A$14-('Control Room'!$B$14-1)/2)/MAX(0.5,'Control Room'!$B$14/4))^2),1)*IF(AND($A422&gt;='Control Room'!$A$15,$A422&lt;'Control Room'!$A$15+'Control Room'!$B$15,'Process'!BO4=1),1+('Control Room'!$C$15-1)*EXP(-0.5*(($A422-'Control Room'!$A$15-('Control Room'!$B$15-1)/2)/MAX(0.5,'Control Room'!$B$15/4))^2),1)*IF(AND($A422&gt;='Control Room'!$A$16,$A422&lt;'Control Room'!$A$16+'Control Room'!$B$16,'Process'!BO5=1),1+('Control Room'!$C$16-1)*EXP(-0.5*(($A422-'Control Room'!$A$16-('Control Room'!$B$16-1)/2)/MAX(0.5,'Control Room'!$B$16/4))^2),1)</x:f>
        <x:v>1</x:v>
      </x:c>
      <x:c r="AA422" s="9" t="n">
        <x:f>MOD(AB421*16807,2147483647)</x:f>
        <x:v>190512663</x:v>
      </x:c>
      <x:c r="AB422" s="9" t="n">
        <x:f>MOD(AA422*16807,2147483647)</x:f>
        <x:v>48209364</x:v>
      </x:c>
      <x:c r="AC422" s="17" t="n">
        <x:f>IF('Control Room'!$B$5="Normal",'Control Room'!$B$7+'Control Room'!$D$7*SQRT(-2*LN(MAX(0.000000000001,AA422/2147483647)))*COS(2*PI()*AB422/2147483647),'Control Room'!$B$8+('Control Room'!$D$8-'Control Room'!$B$8)*AA422/2147483647)</x:f>
        <x:v>1196.1280584193933</x:v>
      </x:c>
      <x:c r="AD422" s="17" t="n">
        <x:f>IF('Control Room'!$B$5="Normal",'Control Room'!$B$7,('Control Room'!$B$8+'Control Room'!$D$8)/2)+'Control Room'!$B$9*(AD421-IF('Control Room'!$B$5="Normal",'Control Room'!$B$7,('Control Room'!$B$8+'Control Room'!$D$8)/2))+SQRT(1-'Control Room'!$B$9^2)*(AC422-IF('Control Room'!$B$5="Normal",'Control Room'!$B$7,('Control Room'!$B$8+'Control Room'!$D$8)/2))</x:f>
        <x:v>1207.1794929022499</x:v>
      </x:c>
      <x:c r="AE422" s="17" t="n">
        <x:f>IF(AND($A422&gt;='Control Room'!$A$13,$A422&lt;'Control Room'!$A$13+'Control Room'!$B$13,'Process'!BP2=1),1+('Control Room'!$C$13-1)*EXP(-0.5*(($A422-'Control Room'!$A$13-('Control Room'!$B$13-1)/2)/MAX(0.5,'Control Room'!$B$13/4))^2),1)*IF(AND($A422&gt;='Control Room'!$A$14,$A422&lt;'Control Room'!$A$14+'Control Room'!$B$14,'Process'!BP3=1),1+('Control Room'!$C$14-1)*EXP(-0.5*(($A422-'Control Room'!$A$14-('Control Room'!$B$14-1)/2)/MAX(0.5,'Control Room'!$B$14/4))^2),1)*IF(AND($A422&gt;='Control Room'!$A$15,$A422&lt;'Control Room'!$A$15+'Control Room'!$B$15,'Process'!BP4=1),1+('Control Room'!$C$15-1)*EXP(-0.5*(($A422-'Control Room'!$A$15-('Control Room'!$B$15-1)/2)/MAX(0.5,'Control Room'!$B$15/4))^2),1)*IF(AND($A422&gt;='Control Room'!$A$16,$A422&lt;'Control Room'!$A$16+'Control Room'!$B$16,'Process'!BP5=1),1+('Control Room'!$C$16-1)*EXP(-0.5*(($A422-'Control Room'!$A$16-('Control Room'!$B$16-1)/2)/MAX(0.5,'Control Room'!$B$16/4))^2),1)</x:f>
        <x:v>1</x:v>
      </x:c>
      <x:c r="AF422" s="9" t="n">
        <x:f>MOD(AG421*16807,2147483647)</x:f>
        <x:v>1613454211</x:v>
      </x:c>
      <x:c r="AG422" s="9" t="n">
        <x:f>MOD(AF422*16807,2147483647)</x:f>
        <x:v>1048913608</x:v>
      </x:c>
      <x:c r="AH422" s="17" t="n">
        <x:f>IF('Control Room'!$B$5="Normal",'Control Room'!$B$7+'Control Room'!$D$7*SQRT(-2*LN(MAX(0.000000000001,AF422/2147483647)))*COS(2*PI()*AG422/2147483647),'Control Room'!$B$8+('Control Room'!$D$8-'Control Room'!$B$8)*AF422/2147483647)</x:f>
        <x:v>932.121471561497</x:v>
      </x:c>
      <x:c r="AI422" s="17" t="n">
        <x:f>IF('Control Room'!$B$5="Normal",'Control Room'!$B$7,('Control Room'!$B$8+'Control Room'!$D$8)/2)+'Control Room'!$B$9*(AI421-IF('Control Room'!$B$5="Normal",'Control Room'!$B$7,('Control Room'!$B$8+'Control Room'!$D$8)/2))+SQRT(1-'Control Room'!$B$9^2)*(AH422-IF('Control Room'!$B$5="Normal",'Control Room'!$B$7,('Control Room'!$B$8+'Control Room'!$D$8)/2))</x:f>
        <x:v>931.2592401780803</x:v>
      </x:c>
      <x:c r="AJ422" s="17" t="n">
        <x:f>IF(AND($A422&gt;='Control Room'!$A$13,$A422&lt;'Control Room'!$A$13+'Control Room'!$B$13,'Process'!BQ2=1),1+('Control Room'!$C$13-1)*EXP(-0.5*(($A422-'Control Room'!$A$13-('Control Room'!$B$13-1)/2)/MAX(0.5,'Control Room'!$B$13/4))^2),1)*IF(AND($A422&gt;='Control Room'!$A$14,$A422&lt;'Control Room'!$A$14+'Control Room'!$B$14,'Process'!BQ3=1),1+('Control Room'!$C$14-1)*EXP(-0.5*(($A422-'Control Room'!$A$14-('Control Room'!$B$14-1)/2)/MAX(0.5,'Control Room'!$B$14/4))^2),1)*IF(AND($A422&gt;='Control Room'!$A$15,$A422&lt;'Control Room'!$A$15+'Control Room'!$B$15,'Process'!BQ4=1),1+('Control Room'!$C$15-1)*EXP(-0.5*(($A422-'Control Room'!$A$15-('Control Room'!$B$15-1)/2)/MAX(0.5,'Control Room'!$B$15/4))^2),1)*IF(AND($A422&gt;='Control Room'!$A$16,$A422&lt;'Control Room'!$A$16+'Control Room'!$B$16,'Process'!BQ5=1),1+('Control Room'!$C$16-1)*EXP(-0.5*(($A422-'Control Room'!$A$16-('Control Room'!$B$16-1)/2)/MAX(0.5,'Control Room'!$B$16/4))^2),1)</x:f>
        <x:v>1</x:v>
      </x:c>
      <x:c r="AK422" s="9" t="n">
        <x:f>MOD(AL421*16807,2147483647)</x:f>
        <x:v>888912112</x:v>
      </x:c>
      <x:c r="AL422" s="9" t="n">
        <x:f>MOD(AK422*16807,2147483647)</x:f>
        <x:v>2049617852</x:v>
      </x:c>
      <x:c r="AM422" s="17" t="n">
        <x:f>IF('Control Room'!$B$5="Normal",'Control Room'!$B$7+'Control Room'!$D$7*SQRT(-2*LN(MAX(0.000000000001,AK422/2147483647)))*COS(2*PI()*AL422/2147483647),'Control Room'!$B$8+('Control Room'!$D$8-'Control Room'!$B$8)*AK422/2147483647)</x:f>
        <x:v>1114.670663083358</x:v>
      </x:c>
      <x:c r="AN422" s="17" t="n">
        <x:f>IF('Control Room'!$B$5="Normal",'Control Room'!$B$7,('Control Room'!$B$8+'Control Room'!$D$8)/2)+'Control Room'!$B$9*(AN421-IF('Control Room'!$B$5="Normal",'Control Room'!$B$7,('Control Room'!$B$8+'Control Room'!$D$8)/2))+SQRT(1-'Control Room'!$B$9^2)*(AM422-IF('Control Room'!$B$5="Normal",'Control Room'!$B$7,('Control Room'!$B$8+'Control Room'!$D$8)/2))</x:f>
        <x:v>1063.2456674923662</x:v>
      </x:c>
      <x:c r="AO422" s="17" t="n">
        <x:f>IF(AND($A422&gt;='Control Room'!$A$13,$A422&lt;'Control Room'!$A$13+'Control Room'!$B$13,'Process'!BR2=1),1+('Control Room'!$C$13-1)*EXP(-0.5*(($A422-'Control Room'!$A$13-('Control Room'!$B$13-1)/2)/MAX(0.5,'Control Room'!$B$13/4))^2),1)*IF(AND($A422&gt;='Control Room'!$A$14,$A422&lt;'Control Room'!$A$14+'Control Room'!$B$14,'Process'!BR3=1),1+('Control Room'!$C$14-1)*EXP(-0.5*(($A422-'Control Room'!$A$14-('Control Room'!$B$14-1)/2)/MAX(0.5,'Control Room'!$B$14/4))^2),1)*IF(AND($A422&gt;='Control Room'!$A$15,$A422&lt;'Control Room'!$A$15+'Control Room'!$B$15,'Process'!BR4=1),1+('Control Room'!$C$15-1)*EXP(-0.5*(($A422-'Control Room'!$A$15-('Control Room'!$B$15-1)/2)/MAX(0.5,'Control Room'!$B$15/4))^2),1)*IF(AND($A422&gt;='Control Room'!$A$16,$A422&lt;'Control Room'!$A$16+'Control Room'!$B$16,'Process'!BR5=1),1+('Control Room'!$C$16-1)*EXP(-0.5*(($A422-'Control Room'!$A$16-('Control Room'!$B$16-1)/2)/MAX(0.5,'Control Room'!$B$16/4))^2),1)</x:f>
        <x:v>1</x:v>
      </x:c>
      <x:c r="AP422" s="9" t="n">
        <x:f>MOD(AQ421*16807,2147483647)</x:f>
        <x:v>164370013</x:v>
      </x:c>
      <x:c r="AQ422" s="9" t="n">
        <x:f>MOD(AP422*16807,2147483647)</x:f>
        <x:v>902838449</x:v>
      </x:c>
      <x:c r="AR422" s="17" t="n">
        <x:f>IF('Control Room'!$B$5="Normal",'Control Room'!$B$7+'Control Room'!$D$7*SQRT(-2*LN(MAX(0.000000000001,AP422/2147483647)))*COS(2*PI()*AQ422/2147483647),'Control Room'!$B$8+('Control Room'!$D$8-'Control Room'!$B$8)*AP422/2147483647)</x:f>
        <x:v>820.9402651142735</x:v>
      </x:c>
      <x:c r="AS422" s="17" t="n">
        <x:f>IF('Control Room'!$B$5="Normal",'Control Room'!$B$7,('Control Room'!$B$8+'Control Room'!$D$8)/2)+'Control Room'!$B$9*(AS421-IF('Control Room'!$B$5="Normal",'Control Room'!$B$7,('Control Room'!$B$8+'Control Room'!$D$8)/2))+SQRT(1-'Control Room'!$B$9^2)*(AR422-IF('Control Room'!$B$5="Normal",'Control Room'!$B$7,('Control Room'!$B$8+'Control Room'!$D$8)/2))</x:f>
        <x:v>971.8784392050019</x:v>
      </x:c>
      <x:c r="AT422" s="17" t="n">
        <x:f>IF(AND($A422&gt;='Control Room'!$A$13,$A422&lt;'Control Room'!$A$13+'Control Room'!$B$13,'Process'!BS2=1),1+('Control Room'!$C$13-1)*EXP(-0.5*(($A422-'Control Room'!$A$13-('Control Room'!$B$13-1)/2)/MAX(0.5,'Control Room'!$B$13/4))^2),1)*IF(AND($A422&gt;='Control Room'!$A$14,$A422&lt;'Control Room'!$A$14+'Control Room'!$B$14,'Process'!BS3=1),1+('Control Room'!$C$14-1)*EXP(-0.5*(($A422-'Control Room'!$A$14-('Control Room'!$B$14-1)/2)/MAX(0.5,'Control Room'!$B$14/4))^2),1)*IF(AND($A422&gt;='Control Room'!$A$15,$A422&lt;'Control Room'!$A$15+'Control Room'!$B$15,'Process'!BS4=1),1+('Control Room'!$C$15-1)*EXP(-0.5*(($A422-'Control Room'!$A$15-('Control Room'!$B$15-1)/2)/MAX(0.5,'Control Room'!$B$15/4))^2),1)*IF(AND($A422&gt;='Control Room'!$A$16,$A422&lt;'Control Room'!$A$16+'Control Room'!$B$16,'Process'!BS5=1),1+('Control Room'!$C$16-1)*EXP(-0.5*(($A422-'Control Room'!$A$16-('Control Room'!$B$16-1)/2)/MAX(0.5,'Control Room'!$B$16/4))^2),1)</x:f>
        <x:v>1</x:v>
      </x:c>
      <x:c r="AU422" s="9" t="n">
        <x:f>MOD(AV421*16807,2147483647)</x:f>
        <x:v>1587311561</x:v>
      </x:c>
      <x:c r="AV422" s="9" t="n">
        <x:f>MOD(AU422*16807,2147483647)</x:f>
        <x:v>1903542693</x:v>
      </x:c>
      <x:c r="AW422" s="17" t="n">
        <x:f>IF('Control Room'!$B$5="Normal",'Control Room'!$B$7+'Control Room'!$D$7*SQRT(-2*LN(MAX(0.000000000001,AU422/2147483647)))*COS(2*PI()*AV422/2147483647),'Control Room'!$B$8+('Control Room'!$D$8-'Control Room'!$B$8)*AU422/2147483647)</x:f>
        <x:v>1052.8959781411302</x:v>
      </x:c>
      <x:c r="AX422" s="17" t="n">
        <x:f>IF('Control Room'!$B$5="Normal",'Control Room'!$B$7,('Control Room'!$B$8+'Control Room'!$D$8)/2)+'Control Room'!$B$9*(AX421-IF('Control Room'!$B$5="Normal",'Control Room'!$B$7,('Control Room'!$B$8+'Control Room'!$D$8)/2))+SQRT(1-'Control Room'!$B$9^2)*(AW422-IF('Control Room'!$B$5="Normal",'Control Room'!$B$7,('Control Room'!$B$8+'Control Room'!$D$8)/2))</x:f>
        <x:v>984.8132165310817</x:v>
      </x:c>
      <x:c r="AY422" s="17" t="n">
        <x:f>IF(AND($A422&gt;='Control Room'!$A$13,$A422&lt;'Control Room'!$A$13+'Control Room'!$B$13,'Process'!BT2=1),1+('Control Room'!$C$13-1)*EXP(-0.5*(($A422-'Control Room'!$A$13-('Control Room'!$B$13-1)/2)/MAX(0.5,'Control Room'!$B$13/4))^2),1)*IF(AND($A422&gt;='Control Room'!$A$14,$A422&lt;'Control Room'!$A$14+'Control Room'!$B$14,'Process'!BT3=1),1+('Control Room'!$C$14-1)*EXP(-0.5*(($A422-'Control Room'!$A$14-('Control Room'!$B$14-1)/2)/MAX(0.5,'Control Room'!$B$14/4))^2),1)*IF(AND($A422&gt;='Control Room'!$A$15,$A422&lt;'Control Room'!$A$15+'Control Room'!$B$15,'Process'!BT4=1),1+('Control Room'!$C$15-1)*EXP(-0.5*(($A422-'Control Room'!$A$15-('Control Room'!$B$15-1)/2)/MAX(0.5,'Control Room'!$B$15/4))^2),1)*IF(AND($A422&gt;='Control Room'!$A$16,$A422&lt;'Control Room'!$A$16+'Control Room'!$B$16,'Process'!BT5=1),1+('Control Room'!$C$16-1)*EXP(-0.5*(($A422-'Control Room'!$A$16-('Control Room'!$B$16-1)/2)/MAX(0.5,'Control Room'!$B$16/4))^2),1)</x:f>
        <x:v>1</x:v>
      </x:c>
      <x:c r="AZ422" s="9" t="n">
        <x:f>MOD(BA421*16807,2147483647)</x:f>
        <x:v>862769462</x:v>
      </x:c>
      <x:c r="BA422" s="9" t="n">
        <x:f>MOD(AZ422*16807,2147483647)</x:f>
        <x:v>756763290</x:v>
      </x:c>
      <x:c r="BB422" s="17" t="n">
        <x:f>IF('Control Room'!$B$5="Normal",'Control Room'!$B$7+'Control Room'!$D$7*SQRT(-2*LN(MAX(0.000000000001,AZ422/2147483647)))*COS(2*PI()*BA422/2147483647),'Control Room'!$B$8+('Control Room'!$D$8-'Control Room'!$B$8)*AZ422/2147483647)</x:f>
        <x:v>927.0866631973593</x:v>
      </x:c>
      <x:c r="BC422" s="17" t="n">
        <x:f>IF('Control Room'!$B$5="Normal",'Control Room'!$B$7,('Control Room'!$B$8+'Control Room'!$D$8)/2)+'Control Room'!$B$9*(BC421-IF('Control Room'!$B$5="Normal",'Control Room'!$B$7,('Control Room'!$B$8+'Control Room'!$D$8)/2))+SQRT(1-'Control Room'!$B$9^2)*(BB422-IF('Control Room'!$B$5="Normal",'Control Room'!$B$7,('Control Room'!$B$8+'Control Room'!$D$8)/2))</x:f>
        <x:v>941.8219013200942</x:v>
      </x:c>
      <x:c r="BD422" s="17" t="n">
        <x:f>IF(AND($A422&gt;='Control Room'!$A$13,$A422&lt;'Control Room'!$A$13+'Control Room'!$B$13,'Process'!BU2=1),1+('Control Room'!$C$13-1)*EXP(-0.5*(($A422-'Control Room'!$A$13-('Control Room'!$B$13-1)/2)/MAX(0.5,'Control Room'!$B$13/4))^2),1)*IF(AND($A422&gt;='Control Room'!$A$14,$A422&lt;'Control Room'!$A$14+'Control Room'!$B$14,'Process'!BU3=1),1+('Control Room'!$C$14-1)*EXP(-0.5*(($A422-'Control Room'!$A$14-('Control Room'!$B$14-1)/2)/MAX(0.5,'Control Room'!$B$14/4))^2),1)*IF(AND($A422&gt;='Control Room'!$A$15,$A422&lt;'Control Room'!$A$15+'Control Room'!$B$15,'Process'!BU4=1),1+('Control Room'!$C$15-1)*EXP(-0.5*(($A422-'Control Room'!$A$15-('Control Room'!$B$15-1)/2)/MAX(0.5,'Control Room'!$B$15/4))^2),1)*IF(AND($A422&gt;='Control Room'!$A$16,$A422&lt;'Control Room'!$A$16+'Control Room'!$B$16,'Process'!BU5=1),1+('Control Room'!$C$16-1)*EXP(-0.5*(($A422-'Control Room'!$A$16-('Control Room'!$B$16-1)/2)/MAX(0.5,'Control Room'!$B$16/4))^2),1)</x:f>
        <x:v>1</x:v>
      </x:c>
      <x:c r="BE422" s="9" t="n">
        <x:f>MOD(BF421*16807,2147483647)</x:f>
        <x:v>138227363</x:v>
      </x:c>
      <x:c r="BF422" s="9" t="n">
        <x:f>MOD(BE422*16807,2147483647)</x:f>
        <x:v>1757467534</x:v>
      </x:c>
      <x:c r="BG422" s="17" t="n">
        <x:f>IF('Control Room'!$B$5="Normal",'Control Room'!$B$7+'Control Room'!$D$7*SQRT(-2*LN(MAX(0.000000000001,BE422/2147483647)))*COS(2*PI()*BF422/2147483647),'Control Room'!$B$8+('Control Room'!$D$8-'Control Room'!$B$8)*BE422/2147483647)</x:f>
        <x:v>1087.816115319018</x:v>
      </x:c>
      <x:c r="BH422" s="17" t="n">
        <x:f>IF('Control Room'!$B$5="Normal",'Control Room'!$B$7,('Control Room'!$B$8+'Control Room'!$D$8)/2)+'Control Room'!$B$9*(BH421-IF('Control Room'!$B$5="Normal",'Control Room'!$B$7,('Control Room'!$B$8+'Control Room'!$D$8)/2))+SQRT(1-'Control Room'!$B$9^2)*(BG422-IF('Control Room'!$B$5="Normal",'Control Room'!$B$7,('Control Room'!$B$8+'Control Room'!$D$8)/2))</x:f>
        <x:v>1082.1567679546827</x:v>
      </x:c>
      <x:c r="BI422" s="17" t="n">
        <x:f>IF(AND($A422&gt;='Control Room'!$A$13,$A422&lt;'Control Room'!$A$13+'Control Room'!$B$13,'Process'!BV2=1),1+('Control Room'!$C$13-1)*EXP(-0.5*(($A422-'Control Room'!$A$13-('Control Room'!$B$13-1)/2)/MAX(0.5,'Control Room'!$B$13/4))^2),1)*IF(AND($A422&gt;='Control Room'!$A$14,$A422&lt;'Control Room'!$A$14+'Control Room'!$B$14,'Process'!BV3=1),1+('Control Room'!$C$14-1)*EXP(-0.5*(($A422-'Control Room'!$A$14-('Control Room'!$B$14-1)/2)/MAX(0.5,'Control Room'!$B$14/4))^2),1)*IF(AND($A422&gt;='Control Room'!$A$15,$A422&lt;'Control Room'!$A$15+'Control Room'!$B$15,'Process'!BV4=1),1+('Control Room'!$C$15-1)*EXP(-0.5*(($A422-'Control Room'!$A$15-('Control Room'!$B$15-1)/2)/MAX(0.5,'Control Room'!$B$15/4))^2),1)*IF(AND($A422&gt;='Control Room'!$A$16,$A422&lt;'Control Room'!$A$16+'Control Room'!$B$16,'Process'!BV5=1),1+('Control Room'!$C$16-1)*EXP(-0.5*(($A422-'Control Room'!$A$16-('Control Room'!$B$16-1)/2)/MAX(0.5,'Control Room'!$B$16/4))^2),1)</x:f>
        <x:v>1</x:v>
      </x:c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Z422" t="str">
        <x:f>IF('Data'!A422="","",TEXT('Data'!A422,"mm-dd"))</x:f>
      </x:c>
    </x:row>
    <x:row r="423" ht="21" customHeight="1">
      <x:c r="A423" s="15" t="n">
        <x:f>'Control Room'!$B$1+421</x:f>
        <x:v>73412</x:v>
      </x:c>
      <x:c r="B423" s="9" t="n">
        <x:f>MOD(C422*16807,2147483647)</x:f>
        <x:v>1931917809</x:v>
      </x:c>
      <x:c r="C423" s="9" t="n">
        <x:f>MOD(B423*16807,2147483647)</x:f>
        <x:v>1937356870</x:v>
      </x:c>
      <x:c r="D423" s="17" t="n">
        <x:f>IF('Control Room'!$B$5="Normal",'Control Room'!$B$7+'Control Room'!$D$7*SQRT(-2*LN(MAX(0.000000000001,B423/2147483647)))*COS(2*PI()*C423/2147483647),'Control Room'!$B$8+('Control Room'!$D$8-'Control Room'!$B$8)*B423/2147483647)</x:f>
        <x:v>1033.8166537541201</x:v>
      </x:c>
      <x:c r="E423" s="17" t="n">
        <x:f>IF('Control Room'!$B$5="Normal",'Control Room'!$B$7,('Control Room'!$B$8+'Control Room'!$D$8)/2)+'Control Room'!$B$9*(E422-IF('Control Room'!$B$5="Normal",'Control Room'!$B$7,('Control Room'!$B$8+'Control Room'!$D$8)/2))+SQRT(1-'Control Room'!$B$9^2)*(D423-IF('Control Room'!$B$5="Normal",'Control Room'!$B$7,('Control Room'!$B$8+'Control Room'!$D$8)/2))</x:f>
        <x:v>1011.9209260133616</x:v>
      </x:c>
      <x:c r="F423" s="17" t="n">
        <x:f>IF(AND($A423&gt;='Control Room'!$A$13,$A423&lt;'Control Room'!$A$13+'Control Room'!$B$13,'Process'!BK2=1),1+('Control Room'!$C$13-1)*EXP(-0.5*(($A423-'Control Room'!$A$13-('Control Room'!$B$13-1)/2)/MAX(0.5,'Control Room'!$B$13/4))^2),1)*IF(AND($A423&gt;='Control Room'!$A$14,$A423&lt;'Control Room'!$A$14+'Control Room'!$B$14,'Process'!BK3=1),1+('Control Room'!$C$14-1)*EXP(-0.5*(($A423-'Control Room'!$A$14-('Control Room'!$B$14-1)/2)/MAX(0.5,'Control Room'!$B$14/4))^2),1)*IF(AND($A423&gt;='Control Room'!$A$15,$A423&lt;'Control Room'!$A$15+'Control Room'!$B$15,'Process'!BK4=1),1+('Control Room'!$C$15-1)*EXP(-0.5*(($A423-'Control Room'!$A$15-('Control Room'!$B$15-1)/2)/MAX(0.5,'Control Room'!$B$15/4))^2),1)*IF(AND($A423&gt;='Control Room'!$A$16,$A423&lt;'Control Room'!$A$16+'Control Room'!$B$16,'Process'!BK5=1),1+('Control Room'!$C$16-1)*EXP(-0.5*(($A423-'Control Room'!$A$16-('Control Room'!$B$16-1)/2)/MAX(0.5,'Control Room'!$B$16/4))^2),1)</x:f>
        <x:v>1</x:v>
      </x:c>
      <x:c r="G423" s="9" t="n">
        <x:f>MOD(H422*16807,2147483647)</x:f>
        <x:v>1676223413</x:v>
      </x:c>
      <x:c r="H423" s="9" t="n">
        <x:f>MOD(G423*16807,2147483647)</x:f>
        <x:v>1596420945</x:v>
      </x:c>
      <x:c r="I423" s="17" t="n">
        <x:f>IF('Control Room'!$B$5="Normal",'Control Room'!$B$7+'Control Room'!$D$7*SQRT(-2*LN(MAX(0.000000000001,G423/2147483647)))*COS(2*PI()*H423/2147483647),'Control Room'!$B$8+('Control Room'!$D$8-'Control Room'!$B$8)*G423/2147483647)</x:f>
        <x:v>997.370157389149</x:v>
      </x:c>
      <x:c r="J423" s="17" t="n">
        <x:f>IF('Control Room'!$B$5="Normal",'Control Room'!$B$7,('Control Room'!$B$8+'Control Room'!$D$8)/2)+'Control Room'!$B$9*(J422-IF('Control Room'!$B$5="Normal",'Control Room'!$B$7,('Control Room'!$B$8+'Control Room'!$D$8)/2))+SQRT(1-'Control Room'!$B$9^2)*(I423-IF('Control Room'!$B$5="Normal",'Control Room'!$B$7,('Control Room'!$B$8+'Control Room'!$D$8)/2))</x:f>
        <x:v>1060.365337146758</x:v>
      </x:c>
      <x:c r="K423" s="17" t="n">
        <x:f>IF(AND($A423&gt;='Control Room'!$A$13,$A423&lt;'Control Room'!$A$13+'Control Room'!$B$13,'Process'!BL2=1),1+('Control Room'!$C$13-1)*EXP(-0.5*(($A423-'Control Room'!$A$13-('Control Room'!$B$13-1)/2)/MAX(0.5,'Control Room'!$B$13/4))^2),1)*IF(AND($A423&gt;='Control Room'!$A$14,$A423&lt;'Control Room'!$A$14+'Control Room'!$B$14,'Process'!BL3=1),1+('Control Room'!$C$14-1)*EXP(-0.5*(($A423-'Control Room'!$A$14-('Control Room'!$B$14-1)/2)/MAX(0.5,'Control Room'!$B$14/4))^2),1)*IF(AND($A423&gt;='Control Room'!$A$15,$A423&lt;'Control Room'!$A$15+'Control Room'!$B$15,'Process'!BL4=1),1+('Control Room'!$C$15-1)*EXP(-0.5*(($A423-'Control Room'!$A$15-('Control Room'!$B$15-1)/2)/MAX(0.5,'Control Room'!$B$15/4))^2),1)*IF(AND($A423&gt;='Control Room'!$A$16,$A423&lt;'Control Room'!$A$16+'Control Room'!$B$16,'Process'!BL5=1),1+('Control Room'!$C$16-1)*EXP(-0.5*(($A423-'Control Room'!$A$16-('Control Room'!$B$16-1)/2)/MAX(0.5,'Control Room'!$B$16/4))^2),1)</x:f>
        <x:v>1</x:v>
      </x:c>
      <x:c r="L423" s="9" t="n">
        <x:f>MOD(M422*16807,2147483647)</x:f>
        <x:v>1420529017</x:v>
      </x:c>
      <x:c r="M423" s="9" t="n">
        <x:f>MOD(L423*16807,2147483647)</x:f>
        <x:v>1255485020</x:v>
      </x:c>
      <x:c r="N423" s="17" t="n">
        <x:f>IF('Control Room'!$B$5="Normal",'Control Room'!$B$7+'Control Room'!$D$7*SQRT(-2*LN(MAX(0.000000000001,L423/2147483647)))*COS(2*PI()*M423/2147483647),'Control Room'!$B$8+('Control Room'!$D$8-'Control Room'!$B$8)*L423/2147483647)</x:f>
        <x:v>929.4754418630922</x:v>
      </x:c>
      <x:c r="O423" s="17" t="n">
        <x:f>IF('Control Room'!$B$5="Normal",'Control Room'!$B$7,('Control Room'!$B$8+'Control Room'!$D$8)/2)+'Control Room'!$B$9*(O422-IF('Control Room'!$B$5="Normal",'Control Room'!$B$7,('Control Room'!$B$8+'Control Room'!$D$8)/2))+SQRT(1-'Control Room'!$B$9^2)*(N423-IF('Control Room'!$B$5="Normal",'Control Room'!$B$7,('Control Room'!$B$8+'Control Room'!$D$8)/2))</x:f>
        <x:v>885.3823575684647</x:v>
      </x:c>
      <x:c r="P423" s="17" t="n">
        <x:f>IF(AND($A423&gt;='Control Room'!$A$13,$A423&lt;'Control Room'!$A$13+'Control Room'!$B$13,'Process'!BM2=1),1+('Control Room'!$C$13-1)*EXP(-0.5*(($A423-'Control Room'!$A$13-('Control Room'!$B$13-1)/2)/MAX(0.5,'Control Room'!$B$13/4))^2),1)*IF(AND($A423&gt;='Control Room'!$A$14,$A423&lt;'Control Room'!$A$14+'Control Room'!$B$14,'Process'!BM3=1),1+('Control Room'!$C$14-1)*EXP(-0.5*(($A423-'Control Room'!$A$14-('Control Room'!$B$14-1)/2)/MAX(0.5,'Control Room'!$B$14/4))^2),1)*IF(AND($A423&gt;='Control Room'!$A$15,$A423&lt;'Control Room'!$A$15+'Control Room'!$B$15,'Process'!BM4=1),1+('Control Room'!$C$15-1)*EXP(-0.5*(($A423-'Control Room'!$A$15-('Control Room'!$B$15-1)/2)/MAX(0.5,'Control Room'!$B$15/4))^2),1)*IF(AND($A423&gt;='Control Room'!$A$16,$A423&lt;'Control Room'!$A$16+'Control Room'!$B$16,'Process'!BM5=1),1+('Control Room'!$C$16-1)*EXP(-0.5*(($A423-'Control Room'!$A$16-('Control Room'!$B$16-1)/2)/MAX(0.5,'Control Room'!$B$16/4))^2),1)</x:f>
        <x:v>1</x:v>
      </x:c>
      <x:c r="Q423" s="9" t="n">
        <x:f>MOD(R422*16807,2147483647)</x:f>
        <x:v>1164834621</x:v>
      </x:c>
      <x:c r="R423" s="9" t="n">
        <x:f>MOD(Q423*16807,2147483647)</x:f>
        <x:v>914549095</x:v>
      </x:c>
      <x:c r="S423" s="17" t="n">
        <x:f>IF('Control Room'!$B$5="Normal",'Control Room'!$B$7+'Control Room'!$D$7*SQRT(-2*LN(MAX(0.000000000001,Q423/2147483647)))*COS(2*PI()*R423/2147483647),'Control Room'!$B$8+('Control Room'!$D$8-'Control Room'!$B$8)*Q423/2147483647)</x:f>
        <x:v>911.0562357081288</x:v>
      </x:c>
      <x:c r="T423" s="17" t="n">
        <x:f>IF('Control Room'!$B$5="Normal",'Control Room'!$B$7,('Control Room'!$B$8+'Control Room'!$D$8)/2)+'Control Room'!$B$9*(T422-IF('Control Room'!$B$5="Normal",'Control Room'!$B$7,('Control Room'!$B$8+'Control Room'!$D$8)/2))+SQRT(1-'Control Room'!$B$9^2)*(S423-IF('Control Room'!$B$5="Normal",'Control Room'!$B$7,('Control Room'!$B$8+'Control Room'!$D$8)/2))</x:f>
        <x:v>999.3677628586761</x:v>
      </x:c>
      <x:c r="U423" s="17" t="n">
        <x:f>IF(AND($A423&gt;='Control Room'!$A$13,$A423&lt;'Control Room'!$A$13+'Control Room'!$B$13,'Process'!BN2=1),1+('Control Room'!$C$13-1)*EXP(-0.5*(($A423-'Control Room'!$A$13-('Control Room'!$B$13-1)/2)/MAX(0.5,'Control Room'!$B$13/4))^2),1)*IF(AND($A423&gt;='Control Room'!$A$14,$A423&lt;'Control Room'!$A$14+'Control Room'!$B$14,'Process'!BN3=1),1+('Control Room'!$C$14-1)*EXP(-0.5*(($A423-'Control Room'!$A$14-('Control Room'!$B$14-1)/2)/MAX(0.5,'Control Room'!$B$14/4))^2),1)*IF(AND($A423&gt;='Control Room'!$A$15,$A423&lt;'Control Room'!$A$15+'Control Room'!$B$15,'Process'!BN4=1),1+('Control Room'!$C$15-1)*EXP(-0.5*(($A423-'Control Room'!$A$15-('Control Room'!$B$15-1)/2)/MAX(0.5,'Control Room'!$B$15/4))^2),1)*IF(AND($A423&gt;='Control Room'!$A$16,$A423&lt;'Control Room'!$A$16+'Control Room'!$B$16,'Process'!BN5=1),1+('Control Room'!$C$16-1)*EXP(-0.5*(($A423-'Control Room'!$A$16-('Control Room'!$B$16-1)/2)/MAX(0.5,'Control Room'!$B$16/4))^2),1)</x:f>
        <x:v>1</x:v>
      </x:c>
      <x:c r="V423" s="9" t="n">
        <x:f>MOD(W422*16807,2147483647)</x:f>
        <x:v>909140225</x:v>
      </x:c>
      <x:c r="W423" s="9" t="n">
        <x:f>MOD(V423*16807,2147483647)</x:f>
        <x:v>573613170</x:v>
      </x:c>
      <x:c r="X423" s="17" t="n">
        <x:f>IF('Control Room'!$B$5="Normal",'Control Room'!$B$7+'Control Room'!$D$7*SQRT(-2*LN(MAX(0.000000000001,V423/2147483647)))*COS(2*PI()*W423/2147483647),'Control Room'!$B$8+('Control Room'!$D$8-'Control Room'!$B$8)*V423/2147483647)</x:f>
        <x:v>987.3388606629262</x:v>
      </x:c>
      <x:c r="Y423" s="17" t="n">
        <x:f>IF('Control Room'!$B$5="Normal",'Control Room'!$B$7,('Control Room'!$B$8+'Control Room'!$D$8)/2)+'Control Room'!$B$9*(Y422-IF('Control Room'!$B$5="Normal",'Control Room'!$B$7,('Control Room'!$B$8+'Control Room'!$D$8)/2))+SQRT(1-'Control Room'!$B$9^2)*(X423-IF('Control Room'!$B$5="Normal",'Control Room'!$B$7,('Control Room'!$B$8+'Control Room'!$D$8)/2))</x:f>
        <x:v>954.3864717146586</x:v>
      </x:c>
      <x:c r="Z423" s="17" t="n">
        <x:f>IF(AND($A423&gt;='Control Room'!$A$13,$A423&lt;'Control Room'!$A$13+'Control Room'!$B$13,'Process'!BO2=1),1+('Control Room'!$C$13-1)*EXP(-0.5*(($A423-'Control Room'!$A$13-('Control Room'!$B$13-1)/2)/MAX(0.5,'Control Room'!$B$13/4))^2),1)*IF(AND($A423&gt;='Control Room'!$A$14,$A423&lt;'Control Room'!$A$14+'Control Room'!$B$14,'Process'!BO3=1),1+('Control Room'!$C$14-1)*EXP(-0.5*(($A423-'Control Room'!$A$14-('Control Room'!$B$14-1)/2)/MAX(0.5,'Control Room'!$B$14/4))^2),1)*IF(AND($A423&gt;='Control Room'!$A$15,$A423&lt;'Control Room'!$A$15+'Control Room'!$B$15,'Process'!BO4=1),1+('Control Room'!$C$15-1)*EXP(-0.5*(($A423-'Control Room'!$A$15-('Control Room'!$B$15-1)/2)/MAX(0.5,'Control Room'!$B$15/4))^2),1)*IF(AND($A423&gt;='Control Room'!$A$16,$A423&lt;'Control Room'!$A$16+'Control Room'!$B$16,'Process'!BO5=1),1+('Control Room'!$C$16-1)*EXP(-0.5*(($A423-'Control Room'!$A$16-('Control Room'!$B$16-1)/2)/MAX(0.5,'Control Room'!$B$16/4))^2),1)</x:f>
        <x:v>1</x:v>
      </x:c>
      <x:c r="AA423" s="9" t="n">
        <x:f>MOD(AB422*16807,2147483647)</x:f>
        <x:v>653445829</x:v>
      </x:c>
      <x:c r="AB423" s="9" t="n">
        <x:f>MOD(AA423*16807,2147483647)</x:f>
        <x:v>232677245</x:v>
      </x:c>
      <x:c r="AC423" s="17" t="n">
        <x:f>IF('Control Room'!$B$5="Normal",'Control Room'!$B$7+'Control Room'!$D$7*SQRT(-2*LN(MAX(0.000000000001,AA423/2147483647)))*COS(2*PI()*AB423/2147483647),'Control Room'!$B$8+('Control Room'!$D$8-'Control Room'!$B$8)*AA423/2147483647)</x:f>
        <x:v>1107.8851201343484</x:v>
      </x:c>
      <x:c r="AD423" s="17" t="n">
        <x:f>IF('Control Room'!$B$5="Normal",'Control Room'!$B$7,('Control Room'!$B$8+'Control Room'!$D$8)/2)+'Control Room'!$B$9*(AD422-IF('Control Room'!$B$5="Normal",'Control Room'!$B$7,('Control Room'!$B$8+'Control Room'!$D$8)/2))+SQRT(1-'Control Room'!$B$9^2)*(AC423-IF('Control Room'!$B$5="Normal",'Control Room'!$B$7,('Control Room'!$B$8+'Control Room'!$D$8)/2))</x:f>
        <x:v>1229.112302497012</x:v>
      </x:c>
      <x:c r="AE423" s="17" t="n">
        <x:f>IF(AND($A423&gt;='Control Room'!$A$13,$A423&lt;'Control Room'!$A$13+'Control Room'!$B$13,'Process'!BP2=1),1+('Control Room'!$C$13-1)*EXP(-0.5*(($A423-'Control Room'!$A$13-('Control Room'!$B$13-1)/2)/MAX(0.5,'Control Room'!$B$13/4))^2),1)*IF(AND($A423&gt;='Control Room'!$A$14,$A423&lt;'Control Room'!$A$14+'Control Room'!$B$14,'Process'!BP3=1),1+('Control Room'!$C$14-1)*EXP(-0.5*(($A423-'Control Room'!$A$14-('Control Room'!$B$14-1)/2)/MAX(0.5,'Control Room'!$B$14/4))^2),1)*IF(AND($A423&gt;='Control Room'!$A$15,$A423&lt;'Control Room'!$A$15+'Control Room'!$B$15,'Process'!BP4=1),1+('Control Room'!$C$15-1)*EXP(-0.5*(($A423-'Control Room'!$A$15-('Control Room'!$B$15-1)/2)/MAX(0.5,'Control Room'!$B$15/4))^2),1)*IF(AND($A423&gt;='Control Room'!$A$16,$A423&lt;'Control Room'!$A$16+'Control Room'!$B$16,'Process'!BP5=1),1+('Control Room'!$C$16-1)*EXP(-0.5*(($A423-'Control Room'!$A$16-('Control Room'!$B$16-1)/2)/MAX(0.5,'Control Room'!$B$16/4))^2),1)</x:f>
        <x:v>1</x:v>
      </x:c>
      <x:c r="AF423" s="9" t="n">
        <x:f>MOD(AG422*16807,2147483647)</x:f>
        <x:v>397751433</x:v>
      </x:c>
      <x:c r="AG423" s="9" t="n">
        <x:f>MOD(AF423*16807,2147483647)</x:f>
        <x:v>2039224967</x:v>
      </x:c>
      <x:c r="AH423" s="17" t="n">
        <x:f>IF('Control Room'!$B$5="Normal",'Control Room'!$B$7+'Control Room'!$D$7*SQRT(-2*LN(MAX(0.000000000001,AF423/2147483647)))*COS(2*PI()*AG423/2147483647),'Control Room'!$B$8+('Control Room'!$D$8-'Control Room'!$B$8)*AF423/2147483647)</x:f>
        <x:v>1157.056088189892</x:v>
      </x:c>
      <x:c r="AI423" s="17" t="n">
        <x:f>IF('Control Room'!$B$5="Normal",'Control Room'!$B$7,('Control Room'!$B$8+'Control Room'!$D$8)/2)+'Control Room'!$B$9*(AI422-IF('Control Room'!$B$5="Normal",'Control Room'!$B$7,('Control Room'!$B$8+'Control Room'!$D$8)/2))+SQRT(1-'Control Room'!$B$9^2)*(AH423-IF('Control Room'!$B$5="Normal",'Control Room'!$B$7,('Control Room'!$B$8+'Control Room'!$D$8)/2))</x:f>
        <x:v>1044.6646898592855</x:v>
      </x:c>
      <x:c r="AJ423" s="17" t="n">
        <x:f>IF(AND($A423&gt;='Control Room'!$A$13,$A423&lt;'Control Room'!$A$13+'Control Room'!$B$13,'Process'!BQ2=1),1+('Control Room'!$C$13-1)*EXP(-0.5*(($A423-'Control Room'!$A$13-('Control Room'!$B$13-1)/2)/MAX(0.5,'Control Room'!$B$13/4))^2),1)*IF(AND($A423&gt;='Control Room'!$A$14,$A423&lt;'Control Room'!$A$14+'Control Room'!$B$14,'Process'!BQ3=1),1+('Control Room'!$C$14-1)*EXP(-0.5*(($A423-'Control Room'!$A$14-('Control Room'!$B$14-1)/2)/MAX(0.5,'Control Room'!$B$14/4))^2),1)*IF(AND($A423&gt;='Control Room'!$A$15,$A423&lt;'Control Room'!$A$15+'Control Room'!$B$15,'Process'!BQ4=1),1+('Control Room'!$C$15-1)*EXP(-0.5*(($A423-'Control Room'!$A$15-('Control Room'!$B$15-1)/2)/MAX(0.5,'Control Room'!$B$15/4))^2),1)*IF(AND($A423&gt;='Control Room'!$A$16,$A423&lt;'Control Room'!$A$16+'Control Room'!$B$16,'Process'!BQ5=1),1+('Control Room'!$C$16-1)*EXP(-0.5*(($A423-'Control Room'!$A$16-('Control Room'!$B$16-1)/2)/MAX(0.5,'Control Room'!$B$16/4))^2),1)</x:f>
        <x:v>1</x:v>
      </x:c>
      <x:c r="AK423" s="9" t="n">
        <x:f>MOD(AL422*16807,2147483647)</x:f>
        <x:v>142057037</x:v>
      </x:c>
      <x:c r="AL423" s="9" t="n">
        <x:f>MOD(AK423*16807,2147483647)</x:f>
        <x:v>1698289042</x:v>
      </x:c>
      <x:c r="AM423" s="17" t="n">
        <x:f>IF('Control Room'!$B$5="Normal",'Control Room'!$B$7+'Control Room'!$D$7*SQRT(-2*LN(MAX(0.000000000001,AK423/2147483647)))*COS(2*PI()*AL423/2147483647),'Control Room'!$B$8+('Control Room'!$D$8-'Control Room'!$B$8)*AK423/2147483647)</x:f>
        <x:v>1053.2190161803169</x:v>
      </x:c>
      <x:c r="AN423" s="17" t="n">
        <x:f>IF('Control Room'!$B$5="Normal",'Control Room'!$B$7,('Control Room'!$B$8+'Control Room'!$D$8)/2)+'Control Room'!$B$9*(AN422-IF('Control Room'!$B$5="Normal",'Control Room'!$B$7,('Control Room'!$B$8+'Control Room'!$D$8)/2))+SQRT(1-'Control Room'!$B$9^2)*(AM423-IF('Control Room'!$B$5="Normal",'Control Room'!$B$7,('Control Room'!$B$8+'Control Room'!$D$8)/2))</x:f>
        <x:v>1082.634990718881</x:v>
      </x:c>
      <x:c r="AO423" s="17" t="n">
        <x:f>IF(AND($A423&gt;='Control Room'!$A$13,$A423&lt;'Control Room'!$A$13+'Control Room'!$B$13,'Process'!BR2=1),1+('Control Room'!$C$13-1)*EXP(-0.5*(($A423-'Control Room'!$A$13-('Control Room'!$B$13-1)/2)/MAX(0.5,'Control Room'!$B$13/4))^2),1)*IF(AND($A423&gt;='Control Room'!$A$14,$A423&lt;'Control Room'!$A$14+'Control Room'!$B$14,'Process'!BR3=1),1+('Control Room'!$C$14-1)*EXP(-0.5*(($A423-'Control Room'!$A$14-('Control Room'!$B$14-1)/2)/MAX(0.5,'Control Room'!$B$14/4))^2),1)*IF(AND($A423&gt;='Control Room'!$A$15,$A423&lt;'Control Room'!$A$15+'Control Room'!$B$15,'Process'!BR4=1),1+('Control Room'!$C$15-1)*EXP(-0.5*(($A423-'Control Room'!$A$15-('Control Room'!$B$15-1)/2)/MAX(0.5,'Control Room'!$B$15/4))^2),1)*IF(AND($A423&gt;='Control Room'!$A$16,$A423&lt;'Control Room'!$A$16+'Control Room'!$B$16,'Process'!BR5=1),1+('Control Room'!$C$16-1)*EXP(-0.5*(($A423-'Control Room'!$A$16-('Control Room'!$B$16-1)/2)/MAX(0.5,'Control Room'!$B$16/4))^2),1)</x:f>
        <x:v>1</x:v>
      </x:c>
      <x:c r="AP423" s="9" t="n">
        <x:f>MOD(AQ422*16807,2147483647)</x:f>
        <x:v>2033846288</x:v>
      </x:c>
      <x:c r="AQ423" s="9" t="n">
        <x:f>MOD(AP423*16807,2147483647)</x:f>
        <x:v>1357353117</x:v>
      </x:c>
      <x:c r="AR423" s="17" t="n">
        <x:f>IF('Control Room'!$B$5="Normal",'Control Room'!$B$7+'Control Room'!$D$7*SQRT(-2*LN(MAX(0.000000000001,AP423/2147483647)))*COS(2*PI()*AQ423/2147483647),'Control Room'!$B$8+('Control Room'!$D$8-'Control Room'!$B$8)*AP423/2147483647)</x:f>
        <x:v>979.9669058554991</x:v>
      </x:c>
      <x:c r="AS423" s="17" t="n">
        <x:f>IF('Control Room'!$B$5="Normal",'Control Room'!$B$7,('Control Room'!$B$8+'Control Room'!$D$8)/2)+'Control Room'!$B$9*(AS422-IF('Control Room'!$B$5="Normal",'Control Room'!$B$7,('Control Room'!$B$8+'Control Room'!$D$8)/2))+SQRT(1-'Control Room'!$B$9^2)*(AR423-IF('Control Room'!$B$5="Normal",'Control Room'!$B$7,('Control Room'!$B$8+'Control Room'!$D$8)/2))</x:f>
        <x:v>965.5288826645136</x:v>
      </x:c>
      <x:c r="AT423" s="17" t="n">
        <x:f>IF(AND($A423&gt;='Control Room'!$A$13,$A423&lt;'Control Room'!$A$13+'Control Room'!$B$13,'Process'!BS2=1),1+('Control Room'!$C$13-1)*EXP(-0.5*(($A423-'Control Room'!$A$13-('Control Room'!$B$13-1)/2)/MAX(0.5,'Control Room'!$B$13/4))^2),1)*IF(AND($A423&gt;='Control Room'!$A$14,$A423&lt;'Control Room'!$A$14+'Control Room'!$B$14,'Process'!BS3=1),1+('Control Room'!$C$14-1)*EXP(-0.5*(($A423-'Control Room'!$A$14-('Control Room'!$B$14-1)/2)/MAX(0.5,'Control Room'!$B$14/4))^2),1)*IF(AND($A423&gt;='Control Room'!$A$15,$A423&lt;'Control Room'!$A$15+'Control Room'!$B$15,'Process'!BS4=1),1+('Control Room'!$C$15-1)*EXP(-0.5*(($A423-'Control Room'!$A$15-('Control Room'!$B$15-1)/2)/MAX(0.5,'Control Room'!$B$15/4))^2),1)*IF(AND($A423&gt;='Control Room'!$A$16,$A423&lt;'Control Room'!$A$16+'Control Room'!$B$16,'Process'!BS5=1),1+('Control Room'!$C$16-1)*EXP(-0.5*(($A423-'Control Room'!$A$16-('Control Room'!$B$16-1)/2)/MAX(0.5,'Control Room'!$B$16/4))^2),1)</x:f>
        <x:v>1</x:v>
      </x:c>
      <x:c r="AU423" s="9" t="n">
        <x:f>MOD(AV422*16807,2147483647)</x:f>
        <x:v>1778151892</x:v>
      </x:c>
      <x:c r="AV423" s="9" t="n">
        <x:f>MOD(AU423*16807,2147483647)</x:f>
        <x:v>1016417192</x:v>
      </x:c>
      <x:c r="AW423" s="17" t="n">
        <x:f>IF('Control Room'!$B$5="Normal",'Control Room'!$B$7+'Control Room'!$D$7*SQRT(-2*LN(MAX(0.000000000001,AU423/2147483647)))*COS(2*PI()*AV423/2147483647),'Control Room'!$B$8+('Control Room'!$D$8-'Control Room'!$B$8)*AU423/2147483647)</x:f>
        <x:v>945.4830423647601</x:v>
      </x:c>
      <x:c r="AX423" s="17" t="n">
        <x:f>IF('Control Room'!$B$5="Normal",'Control Room'!$B$7,('Control Room'!$B$8+'Control Room'!$D$8)/2)+'Control Room'!$B$9*(AX422-IF('Control Room'!$B$5="Normal",'Control Room'!$B$7,('Control Room'!$B$8+'Control Room'!$D$8)/2))+SQRT(1-'Control Room'!$B$9^2)*(AW423-IF('Control Room'!$B$5="Normal",'Control Room'!$B$7,('Control Room'!$B$8+'Control Room'!$D$8)/2))</x:f>
        <x:v>954.0387136466934</x:v>
      </x:c>
      <x:c r="AY423" s="17" t="n">
        <x:f>IF(AND($A423&gt;='Control Room'!$A$13,$A423&lt;'Control Room'!$A$13+'Control Room'!$B$13,'Process'!BT2=1),1+('Control Room'!$C$13-1)*EXP(-0.5*(($A423-'Control Room'!$A$13-('Control Room'!$B$13-1)/2)/MAX(0.5,'Control Room'!$B$13/4))^2),1)*IF(AND($A423&gt;='Control Room'!$A$14,$A423&lt;'Control Room'!$A$14+'Control Room'!$B$14,'Process'!BT3=1),1+('Control Room'!$C$14-1)*EXP(-0.5*(($A423-'Control Room'!$A$14-('Control Room'!$B$14-1)/2)/MAX(0.5,'Control Room'!$B$14/4))^2),1)*IF(AND($A423&gt;='Control Room'!$A$15,$A423&lt;'Control Room'!$A$15+'Control Room'!$B$15,'Process'!BT4=1),1+('Control Room'!$C$15-1)*EXP(-0.5*(($A423-'Control Room'!$A$15-('Control Room'!$B$15-1)/2)/MAX(0.5,'Control Room'!$B$15/4))^2),1)*IF(AND($A423&gt;='Control Room'!$A$16,$A423&lt;'Control Room'!$A$16+'Control Room'!$B$16,'Process'!BT5=1),1+('Control Room'!$C$16-1)*EXP(-0.5*(($A423-'Control Room'!$A$16-('Control Room'!$B$16-1)/2)/MAX(0.5,'Control Room'!$B$16/4))^2),1)</x:f>
        <x:v>1</x:v>
      </x:c>
      <x:c r="AZ423" s="9" t="n">
        <x:f>MOD(BA422*16807,2147483647)</x:f>
        <x:v>1522457496</x:v>
      </x:c>
      <x:c r="BA423" s="9" t="n">
        <x:f>MOD(AZ423*16807,2147483647)</x:f>
        <x:v>675481267</x:v>
      </x:c>
      <x:c r="BB423" s="17" t="n">
        <x:f>IF('Control Room'!$B$5="Normal",'Control Room'!$B$7+'Control Room'!$D$7*SQRT(-2*LN(MAX(0.000000000001,AZ423/2147483647)))*COS(2*PI()*BA423/2147483647),'Control Room'!$B$8+('Control Room'!$D$8-'Control Room'!$B$8)*AZ423/2147483647)</x:f>
        <x:v>970.5494606018639</x:v>
      </x:c>
      <x:c r="BC423" s="17" t="n">
        <x:f>IF('Control Room'!$B$5="Normal",'Control Room'!$B$7,('Control Room'!$B$8+'Control Room'!$D$8)/2)+'Control Room'!$B$9*(BC422-IF('Control Room'!$B$5="Normal",'Control Room'!$B$7,('Control Room'!$B$8+'Control Room'!$D$8)/2))+SQRT(1-'Control Room'!$B$9^2)*(BB423-IF('Control Room'!$B$5="Normal",'Control Room'!$B$7,('Control Room'!$B$8+'Control Room'!$D$8)/2))</x:f>
        <x:v>936.1915388014132</x:v>
      </x:c>
      <x:c r="BD423" s="17" t="n">
        <x:f>IF(AND($A423&gt;='Control Room'!$A$13,$A423&lt;'Control Room'!$A$13+'Control Room'!$B$13,'Process'!BU2=1),1+('Control Room'!$C$13-1)*EXP(-0.5*(($A423-'Control Room'!$A$13-('Control Room'!$B$13-1)/2)/MAX(0.5,'Control Room'!$B$13/4))^2),1)*IF(AND($A423&gt;='Control Room'!$A$14,$A423&lt;'Control Room'!$A$14+'Control Room'!$B$14,'Process'!BU3=1),1+('Control Room'!$C$14-1)*EXP(-0.5*(($A423-'Control Room'!$A$14-('Control Room'!$B$14-1)/2)/MAX(0.5,'Control Room'!$B$14/4))^2),1)*IF(AND($A423&gt;='Control Room'!$A$15,$A423&lt;'Control Room'!$A$15+'Control Room'!$B$15,'Process'!BU4=1),1+('Control Room'!$C$15-1)*EXP(-0.5*(($A423-'Control Room'!$A$15-('Control Room'!$B$15-1)/2)/MAX(0.5,'Control Room'!$B$15/4))^2),1)*IF(AND($A423&gt;='Control Room'!$A$16,$A423&lt;'Control Room'!$A$16+'Control Room'!$B$16,'Process'!BU5=1),1+('Control Room'!$C$16-1)*EXP(-0.5*(($A423-'Control Room'!$A$16-('Control Room'!$B$16-1)/2)/MAX(0.5,'Control Room'!$B$16/4))^2),1)</x:f>
        <x:v>1</x:v>
      </x:c>
      <x:c r="BE423" s="9" t="n">
        <x:f>MOD(BF422*16807,2147483647)</x:f>
        <x:v>1266763100</x:v>
      </x:c>
      <x:c r="BF423" s="9" t="n">
        <x:f>MOD(BE423*16807,2147483647)</x:f>
        <x:v>334545342</x:v>
      </x:c>
      <x:c r="BG423" s="17" t="n">
        <x:f>IF('Control Room'!$B$5="Normal",'Control Room'!$B$7+'Control Room'!$D$7*SQRT(-2*LN(MAX(0.000000000001,BE423/2147483647)))*COS(2*PI()*BF423/2147483647),'Control Room'!$B$8+('Control Room'!$D$8-'Control Room'!$B$8)*BE423/2147483647)</x:f>
        <x:v>1051.5986139413544</x:v>
      </x:c>
      <x:c r="BH423" s="17" t="n">
        <x:f>IF('Control Room'!$B$5="Normal",'Control Room'!$B$7,('Control Room'!$B$8+'Control Room'!$D$8)/2)+'Control Room'!$B$9*(BH422-IF('Control Room'!$B$5="Normal",'Control Room'!$B$7,('Control Room'!$B$8+'Control Room'!$D$8)/2))+SQRT(1-'Control Room'!$B$9^2)*(BG423-IF('Control Room'!$B$5="Normal",'Control Room'!$B$7,('Control Room'!$B$8+'Control Room'!$D$8)/2))</x:f>
        <x:v>1096.3716345540895</x:v>
      </x:c>
      <x:c r="BI423" s="17" t="n">
        <x:f>IF(AND($A423&gt;='Control Room'!$A$13,$A423&lt;'Control Room'!$A$13+'Control Room'!$B$13,'Process'!BV2=1),1+('Control Room'!$C$13-1)*EXP(-0.5*(($A423-'Control Room'!$A$13-('Control Room'!$B$13-1)/2)/MAX(0.5,'Control Room'!$B$13/4))^2),1)*IF(AND($A423&gt;='Control Room'!$A$14,$A423&lt;'Control Room'!$A$14+'Control Room'!$B$14,'Process'!BV3=1),1+('Control Room'!$C$14-1)*EXP(-0.5*(($A423-'Control Room'!$A$14-('Control Room'!$B$14-1)/2)/MAX(0.5,'Control Room'!$B$14/4))^2),1)*IF(AND($A423&gt;='Control Room'!$A$15,$A423&lt;'Control Room'!$A$15+'Control Room'!$B$15,'Process'!BV4=1),1+('Control Room'!$C$15-1)*EXP(-0.5*(($A423-'Control Room'!$A$15-('Control Room'!$B$15-1)/2)/MAX(0.5,'Control Room'!$B$15/4))^2),1)*IF(AND($A423&gt;='Control Room'!$A$16,$A423&lt;'Control Room'!$A$16+'Control Room'!$B$16,'Process'!BV5=1),1+('Control Room'!$C$16-1)*EXP(-0.5*(($A423-'Control Room'!$A$16-('Control Room'!$B$16-1)/2)/MAX(0.5,'Control Room'!$B$16/4))^2),1)</x:f>
        <x:v>1</x:v>
      </x:c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Z423" t="str">
        <x:f>IF('Data'!A423="","",TEXT('Data'!A423,"mm-dd"))</x:f>
      </x:c>
    </x:row>
    <x:row r="424" ht="21" customHeight="1">
      <x:c r="A424" s="15" t="n">
        <x:f>'Control Room'!$B$1+422</x:f>
        <x:v>73413</x:v>
      </x:c>
      <x:c r="B424" s="9" t="n">
        <x:f>MOD(C423*16807,2147483647)</x:f>
        <x:v>1009858276</x:v>
      </x:c>
      <x:c r="C424" s="9" t="n">
        <x:f>MOD(B424*16807,2147483647)</x:f>
        <x:v>1124782491</x:v>
      </x:c>
      <x:c r="D424" s="17" t="n">
        <x:f>IF('Control Room'!$B$5="Normal",'Control Room'!$B$7+'Control Room'!$D$7*SQRT(-2*LN(MAX(0.000000000001,B424/2147483647)))*COS(2*PI()*C424/2147483647),'Control Room'!$B$8+('Control Room'!$D$8-'Control Room'!$B$8)*B424/2147483647)</x:f>
        <x:v>890.674236939579</x:v>
      </x:c>
      <x:c r="E424" s="17" t="n">
        <x:f>IF('Control Room'!$B$5="Normal",'Control Room'!$B$7,('Control Room'!$B$8+'Control Room'!$D$8)/2)+'Control Room'!$B$9*(E423-IF('Control Room'!$B$5="Normal",'Control Room'!$B$7,('Control Room'!$B$8+'Control Room'!$D$8)/2))+SQRT(1-'Control Room'!$B$9^2)*(D424-IF('Control Room'!$B$5="Normal",'Control Room'!$B$7,('Control Room'!$B$8+'Control Room'!$D$8)/2))</x:f>
        <x:v>940.8844994272033</x:v>
      </x:c>
      <x:c r="F424" s="17" t="n">
        <x:f>IF(AND($A424&gt;='Control Room'!$A$13,$A424&lt;'Control Room'!$A$13+'Control Room'!$B$13,'Process'!BK2=1),1+('Control Room'!$C$13-1)*EXP(-0.5*(($A424-'Control Room'!$A$13-('Control Room'!$B$13-1)/2)/MAX(0.5,'Control Room'!$B$13/4))^2),1)*IF(AND($A424&gt;='Control Room'!$A$14,$A424&lt;'Control Room'!$A$14+'Control Room'!$B$14,'Process'!BK3=1),1+('Control Room'!$C$14-1)*EXP(-0.5*(($A424-'Control Room'!$A$14-('Control Room'!$B$14-1)/2)/MAX(0.5,'Control Room'!$B$14/4))^2),1)*IF(AND($A424&gt;='Control Room'!$A$15,$A424&lt;'Control Room'!$A$15+'Control Room'!$B$15,'Process'!BK4=1),1+('Control Room'!$C$15-1)*EXP(-0.5*(($A424-'Control Room'!$A$15-('Control Room'!$B$15-1)/2)/MAX(0.5,'Control Room'!$B$15/4))^2),1)*IF(AND($A424&gt;='Control Room'!$A$16,$A424&lt;'Control Room'!$A$16+'Control Room'!$B$16,'Process'!BK5=1),1+('Control Room'!$C$16-1)*EXP(-0.5*(($A424-'Control Room'!$A$16-('Control Room'!$B$16-1)/2)/MAX(0.5,'Control Room'!$B$16/4))^2),1)</x:f>
        <x:v>1</x:v>
      </x:c>
      <x:c r="G424" s="9" t="n">
        <x:f>MOD(H423*16807,2147483647)</x:f>
        <x:v>386136997</x:v>
      </x:c>
      <x:c r="H424" s="9" t="n">
        <x:f>MOD(G424*16807,2147483647)</x:f>
        <x:v>108927345</x:v>
      </x:c>
      <x:c r="I424" s="17" t="n">
        <x:f>IF('Control Room'!$B$5="Normal",'Control Room'!$B$7+'Control Room'!$D$7*SQRT(-2*LN(MAX(0.000000000001,G424/2147483647)))*COS(2*PI()*H424/2147483647),'Control Room'!$B$8+('Control Room'!$D$8-'Control Room'!$B$8)*G424/2147483647)</x:f>
        <x:v>1158.3282904188989</x:v>
      </x:c>
      <x:c r="J424" s="17" t="n">
        <x:f>IF('Control Room'!$B$5="Normal",'Control Room'!$B$7,('Control Room'!$B$8+'Control Room'!$D$8)/2)+'Control Room'!$B$9*(J423-IF('Control Room'!$B$5="Normal",'Control Room'!$B$7,('Control Room'!$B$8+'Control Room'!$D$8)/2))+SQRT(1-'Control Room'!$B$9^2)*(I424-IF('Control Room'!$B$5="Normal",'Control Room'!$B$7,('Control Room'!$B$8+'Control Room'!$D$8)/2))</x:f>
        <x:v>1146.1635635872872</x:v>
      </x:c>
      <x:c r="K424" s="17" t="n">
        <x:f>IF(AND($A424&gt;='Control Room'!$A$13,$A424&lt;'Control Room'!$A$13+'Control Room'!$B$13,'Process'!BL2=1),1+('Control Room'!$C$13-1)*EXP(-0.5*(($A424-'Control Room'!$A$13-('Control Room'!$B$13-1)/2)/MAX(0.5,'Control Room'!$B$13/4))^2),1)*IF(AND($A424&gt;='Control Room'!$A$14,$A424&lt;'Control Room'!$A$14+'Control Room'!$B$14,'Process'!BL3=1),1+('Control Room'!$C$14-1)*EXP(-0.5*(($A424-'Control Room'!$A$14-('Control Room'!$B$14-1)/2)/MAX(0.5,'Control Room'!$B$14/4))^2),1)*IF(AND($A424&gt;='Control Room'!$A$15,$A424&lt;'Control Room'!$A$15+'Control Room'!$B$15,'Process'!BL4=1),1+('Control Room'!$C$15-1)*EXP(-0.5*(($A424-'Control Room'!$A$15-('Control Room'!$B$15-1)/2)/MAX(0.5,'Control Room'!$B$15/4))^2),1)*IF(AND($A424&gt;='Control Room'!$A$16,$A424&lt;'Control Room'!$A$16+'Control Room'!$B$16,'Process'!BL5=1),1+('Control Room'!$C$16-1)*EXP(-0.5*(($A424-'Control Room'!$A$16-('Control Room'!$B$16-1)/2)/MAX(0.5,'Control Room'!$B$16/4))^2),1)</x:f>
        <x:v>1</x:v>
      </x:c>
      <x:c r="L424" s="9" t="n">
        <x:f>MOD(M423*16807,2147483647)</x:f>
        <x:v>1909899365</x:v>
      </x:c>
      <x:c r="M424" s="9" t="n">
        <x:f>MOD(L424*16807,2147483647)</x:f>
        <x:v>1240555846</x:v>
      </x:c>
      <x:c r="N424" s="17" t="n">
        <x:f>IF('Control Room'!$B$5="Normal",'Control Room'!$B$7+'Control Room'!$D$7*SQRT(-2*LN(MAX(0.000000000001,L424/2147483647)))*COS(2*PI()*M424/2147483647),'Control Room'!$B$8+('Control Room'!$D$8-'Control Room'!$B$8)*L424/2147483647)</x:f>
        <x:v>961.5066871897861</x:v>
      </x:c>
      <x:c r="O424" s="17" t="n">
        <x:f>IF('Control Room'!$B$5="Normal",'Control Room'!$B$7,('Control Room'!$B$8+'Control Room'!$D$8)/2)+'Control Room'!$B$9*(O423-IF('Control Room'!$B$5="Normal",'Control Room'!$B$7,('Control Room'!$B$8+'Control Room'!$D$8)/2))+SQRT(1-'Control Room'!$B$9^2)*(N424-IF('Control Room'!$B$5="Normal",'Control Room'!$B$7,('Control Room'!$B$8+'Control Room'!$D$8)/2))</x:f>
        <x:v>886.5099123251466</x:v>
      </x:c>
      <x:c r="P424" s="17" t="n">
        <x:f>IF(AND($A424&gt;='Control Room'!$A$13,$A424&lt;'Control Room'!$A$13+'Control Room'!$B$13,'Process'!BM2=1),1+('Control Room'!$C$13-1)*EXP(-0.5*(($A424-'Control Room'!$A$13-('Control Room'!$B$13-1)/2)/MAX(0.5,'Control Room'!$B$13/4))^2),1)*IF(AND($A424&gt;='Control Room'!$A$14,$A424&lt;'Control Room'!$A$14+'Control Room'!$B$14,'Process'!BM3=1),1+('Control Room'!$C$14-1)*EXP(-0.5*(($A424-'Control Room'!$A$14-('Control Room'!$B$14-1)/2)/MAX(0.5,'Control Room'!$B$14/4))^2),1)*IF(AND($A424&gt;='Control Room'!$A$15,$A424&lt;'Control Room'!$A$15+'Control Room'!$B$15,'Process'!BM4=1),1+('Control Room'!$C$15-1)*EXP(-0.5*(($A424-'Control Room'!$A$15-('Control Room'!$B$15-1)/2)/MAX(0.5,'Control Room'!$B$15/4))^2),1)*IF(AND($A424&gt;='Control Room'!$A$16,$A424&lt;'Control Room'!$A$16+'Control Room'!$B$16,'Process'!BM5=1),1+('Control Room'!$C$16-1)*EXP(-0.5*(($A424-'Control Room'!$A$16-('Control Room'!$B$16-1)/2)/MAX(0.5,'Control Room'!$B$16/4))^2),1)</x:f>
        <x:v>1</x:v>
      </x:c>
      <x:c r="Q424" s="9" t="n">
        <x:f>MOD(R423*16807,2147483647)</x:f>
        <x:v>1286178086</x:v>
      </x:c>
      <x:c r="R424" s="9" t="n">
        <x:f>MOD(Q424*16807,2147483647)</x:f>
        <x:v>224700700</x:v>
      </x:c>
      <x:c r="S424" s="17" t="n">
        <x:f>IF('Control Room'!$B$5="Normal",'Control Room'!$B$7+'Control Room'!$D$7*SQRT(-2*LN(MAX(0.000000000001,Q424/2147483647)))*COS(2*PI()*R424/2147483647),'Control Room'!$B$8+('Control Room'!$D$8-'Control Room'!$B$8)*Q424/2147483647)</x:f>
        <x:v>1072.1340402027395</x:v>
      </x:c>
      <x:c r="T424" s="17" t="n">
        <x:f>IF('Control Room'!$B$5="Normal",'Control Room'!$B$7,('Control Room'!$B$8+'Control Room'!$D$8)/2)+'Control Room'!$B$9*(T423-IF('Control Room'!$B$5="Normal",'Control Room'!$B$7,('Control Room'!$B$8+'Control Room'!$D$8)/2))+SQRT(1-'Control Room'!$B$9^2)*(S424-IF('Control Room'!$B$5="Normal",'Control Room'!$B$7,('Control Room'!$B$8+'Control Room'!$D$8)/2))</x:f>
        <x:v>1044.6468596425057</x:v>
      </x:c>
      <x:c r="U424" s="17" t="n">
        <x:f>IF(AND($A424&gt;='Control Room'!$A$13,$A424&lt;'Control Room'!$A$13+'Control Room'!$B$13,'Process'!BN2=1),1+('Control Room'!$C$13-1)*EXP(-0.5*(($A424-'Control Room'!$A$13-('Control Room'!$B$13-1)/2)/MAX(0.5,'Control Room'!$B$13/4))^2),1)*IF(AND($A424&gt;='Control Room'!$A$14,$A424&lt;'Control Room'!$A$14+'Control Room'!$B$14,'Process'!BN3=1),1+('Control Room'!$C$14-1)*EXP(-0.5*(($A424-'Control Room'!$A$14-('Control Room'!$B$14-1)/2)/MAX(0.5,'Control Room'!$B$14/4))^2),1)*IF(AND($A424&gt;='Control Room'!$A$15,$A424&lt;'Control Room'!$A$15+'Control Room'!$B$15,'Process'!BN4=1),1+('Control Room'!$C$15-1)*EXP(-0.5*(($A424-'Control Room'!$A$15-('Control Room'!$B$15-1)/2)/MAX(0.5,'Control Room'!$B$15/4))^2),1)*IF(AND($A424&gt;='Control Room'!$A$16,$A424&lt;'Control Room'!$A$16+'Control Room'!$B$16,'Process'!BN5=1),1+('Control Room'!$C$16-1)*EXP(-0.5*(($A424-'Control Room'!$A$16-('Control Room'!$B$16-1)/2)/MAX(0.5,'Control Room'!$B$16/4))^2),1)</x:f>
        <x:v>1</x:v>
      </x:c>
      <x:c r="V424" s="9" t="n">
        <x:f>MOD(W423*16807,2147483647)</x:f>
        <x:v>662456807</x:v>
      </x:c>
      <x:c r="W424" s="9" t="n">
        <x:f>MOD(V424*16807,2147483647)</x:f>
        <x:v>1356329201</x:v>
      </x:c>
      <x:c r="X424" s="17" t="n">
        <x:f>IF('Control Room'!$B$5="Normal",'Control Room'!$B$7+'Control Room'!$D$7*SQRT(-2*LN(MAX(0.000000000001,V424/2147483647)))*COS(2*PI()*W424/2147483647),'Control Room'!$B$8+('Control Room'!$D$8-'Control Room'!$B$8)*V424/2147483647)</x:f>
        <x:v>906.5206879730813</x:v>
      </x:c>
      <x:c r="Y424" s="17" t="n">
        <x:f>IF('Control Room'!$B$5="Normal",'Control Room'!$B$7,('Control Room'!$B$8+'Control Room'!$D$8)/2)+'Control Room'!$B$9*(Y423-IF('Control Room'!$B$5="Normal",'Control Room'!$B$7,('Control Room'!$B$8+'Control Room'!$D$8)/2))+SQRT(1-'Control Room'!$B$9^2)*(X424-IF('Control Room'!$B$5="Normal",'Control Room'!$B$7,('Control Room'!$B$8+'Control Room'!$D$8)/2))</x:f>
        <x:v>905.9240094987858</x:v>
      </x:c>
      <x:c r="Z424" s="17" t="n">
        <x:f>IF(AND($A424&gt;='Control Room'!$A$13,$A424&lt;'Control Room'!$A$13+'Control Room'!$B$13,'Process'!BO2=1),1+('Control Room'!$C$13-1)*EXP(-0.5*(($A424-'Control Room'!$A$13-('Control Room'!$B$13-1)/2)/MAX(0.5,'Control Room'!$B$13/4))^2),1)*IF(AND($A424&gt;='Control Room'!$A$14,$A424&lt;'Control Room'!$A$14+'Control Room'!$B$14,'Process'!BO3=1),1+('Control Room'!$C$14-1)*EXP(-0.5*(($A424-'Control Room'!$A$14-('Control Room'!$B$14-1)/2)/MAX(0.5,'Control Room'!$B$14/4))^2),1)*IF(AND($A424&gt;='Control Room'!$A$15,$A424&lt;'Control Room'!$A$15+'Control Room'!$B$15,'Process'!BO4=1),1+('Control Room'!$C$15-1)*EXP(-0.5*(($A424-'Control Room'!$A$15-('Control Room'!$B$15-1)/2)/MAX(0.5,'Control Room'!$B$15/4))^2),1)*IF(AND($A424&gt;='Control Room'!$A$16,$A424&lt;'Control Room'!$A$16+'Control Room'!$B$16,'Process'!BO5=1),1+('Control Room'!$C$16-1)*EXP(-0.5*(($A424-'Control Room'!$A$16-('Control Room'!$B$16-1)/2)/MAX(0.5,'Control Room'!$B$16/4))^2),1)</x:f>
        <x:v>1</x:v>
      </x:c>
      <x:c r="AA424" s="9" t="n">
        <x:f>MOD(AB423*16807,2147483647)</x:f>
        <x:v>38735528</x:v>
      </x:c>
      <x:c r="AB424" s="9" t="n">
        <x:f>MOD(AA424*16807,2147483647)</x:f>
        <x:v>340474055</x:v>
      </x:c>
      <x:c r="AC424" s="17" t="n">
        <x:f>IF('Control Room'!$B$5="Normal",'Control Room'!$B$7+'Control Room'!$D$7*SQRT(-2*LN(MAX(0.000000000001,AA424/2147483647)))*COS(2*PI()*AB424/2147483647),'Control Room'!$B$8+('Control Room'!$D$8-'Control Room'!$B$8)*AA424/2147483647)</x:f>
        <x:v>1138.6218904969699</x:v>
      </x:c>
      <x:c r="AD424" s="17" t="n">
        <x:f>IF('Control Room'!$B$5="Normal",'Control Room'!$B$7,('Control Room'!$B$8+'Control Room'!$D$8)/2)+'Control Room'!$B$9*(AD423-IF('Control Room'!$B$5="Normal",'Control Room'!$B$7,('Control Room'!$B$8+'Control Room'!$D$8)/2))+SQRT(1-'Control Room'!$B$9^2)*(AC424-IF('Control Room'!$B$5="Normal",'Control Room'!$B$7,('Control Room'!$B$8+'Control Room'!$D$8)/2))</x:f>
        <x:v>1265.4543351968882</x:v>
      </x:c>
      <x:c r="AE424" s="17" t="n">
        <x:f>IF(AND($A424&gt;='Control Room'!$A$13,$A424&lt;'Control Room'!$A$13+'Control Room'!$B$13,'Process'!BP2=1),1+('Control Room'!$C$13-1)*EXP(-0.5*(($A424-'Control Room'!$A$13-('Control Room'!$B$13-1)/2)/MAX(0.5,'Control Room'!$B$13/4))^2),1)*IF(AND($A424&gt;='Control Room'!$A$14,$A424&lt;'Control Room'!$A$14+'Control Room'!$B$14,'Process'!BP3=1),1+('Control Room'!$C$14-1)*EXP(-0.5*(($A424-'Control Room'!$A$14-('Control Room'!$B$14-1)/2)/MAX(0.5,'Control Room'!$B$14/4))^2),1)*IF(AND($A424&gt;='Control Room'!$A$15,$A424&lt;'Control Room'!$A$15+'Control Room'!$B$15,'Process'!BP4=1),1+('Control Room'!$C$15-1)*EXP(-0.5*(($A424-'Control Room'!$A$15-('Control Room'!$B$15-1)/2)/MAX(0.5,'Control Room'!$B$15/4))^2),1)*IF(AND($A424&gt;='Control Room'!$A$16,$A424&lt;'Control Room'!$A$16+'Control Room'!$B$16,'Process'!BP5=1),1+('Control Room'!$C$16-1)*EXP(-0.5*(($A424-'Control Room'!$A$16-('Control Room'!$B$16-1)/2)/MAX(0.5,'Control Room'!$B$16/4))^2),1)</x:f>
        <x:v>1</x:v>
      </x:c>
      <x:c r="AF424" s="9" t="n">
        <x:f>MOD(AG423*16807,2147483647)</x:f>
        <x:v>1562497896</x:v>
      </x:c>
      <x:c r="AG424" s="9" t="n">
        <x:f>MOD(AF424*16807,2147483647)</x:f>
        <x:v>1472102556</x:v>
      </x:c>
      <x:c r="AH424" s="17" t="n">
        <x:f>IF('Control Room'!$B$5="Normal",'Control Room'!$B$7+'Control Room'!$D$7*SQRT(-2*LN(MAX(0.000000000001,AF424/2147483647)))*COS(2*PI()*AG424/2147483647),'Control Room'!$B$8+('Control Room'!$D$8-'Control Room'!$B$8)*AF424/2147483647)</x:f>
        <x:v>971.701927972031</x:v>
      </x:c>
      <x:c r="AI424" s="17" t="n">
        <x:f>IF('Control Room'!$B$5="Normal",'Control Room'!$B$7,('Control Room'!$B$8+'Control Room'!$D$8)/2)+'Control Room'!$B$9*(AI423-IF('Control Room'!$B$5="Normal",'Control Room'!$B$7,('Control Room'!$B$8+'Control Room'!$D$8)/2))+SQRT(1-'Control Room'!$B$9^2)*(AH424-IF('Control Room'!$B$5="Normal",'Control Room'!$B$7,('Control Room'!$B$8+'Control Room'!$D$8)/2))</x:f>
        <x:v>1017.1301043326556</x:v>
      </x:c>
      <x:c r="AJ424" s="17" t="n">
        <x:f>IF(AND($A424&gt;='Control Room'!$A$13,$A424&lt;'Control Room'!$A$13+'Control Room'!$B$13,'Process'!BQ2=1),1+('Control Room'!$C$13-1)*EXP(-0.5*(($A424-'Control Room'!$A$13-('Control Room'!$B$13-1)/2)/MAX(0.5,'Control Room'!$B$13/4))^2),1)*IF(AND($A424&gt;='Control Room'!$A$14,$A424&lt;'Control Room'!$A$14+'Control Room'!$B$14,'Process'!BQ3=1),1+('Control Room'!$C$14-1)*EXP(-0.5*(($A424-'Control Room'!$A$14-('Control Room'!$B$14-1)/2)/MAX(0.5,'Control Room'!$B$14/4))^2),1)*IF(AND($A424&gt;='Control Room'!$A$15,$A424&lt;'Control Room'!$A$15+'Control Room'!$B$15,'Process'!BQ4=1),1+('Control Room'!$C$15-1)*EXP(-0.5*(($A424-'Control Room'!$A$15-('Control Room'!$B$15-1)/2)/MAX(0.5,'Control Room'!$B$15/4))^2),1)*IF(AND($A424&gt;='Control Room'!$A$16,$A424&lt;'Control Room'!$A$16+'Control Room'!$B$16,'Process'!BQ5=1),1+('Control Room'!$C$16-1)*EXP(-0.5*(($A424-'Control Room'!$A$16-('Control Room'!$B$16-1)/2)/MAX(0.5,'Control Room'!$B$16/4))^2),1)</x:f>
        <x:v>1</x:v>
      </x:c>
      <x:c r="AK424" s="9" t="n">
        <x:f>MOD(AL423*16807,2147483647)</x:f>
        <x:v>938776617</x:v>
      </x:c>
      <x:c r="AL424" s="9" t="n">
        <x:f>MOD(AK424*16807,2147483647)</x:f>
        <x:v>456247410</x:v>
      </x:c>
      <x:c r="AM424" s="17" t="n">
        <x:f>IF('Control Room'!$B$5="Normal",'Control Room'!$B$7+'Control Room'!$D$7*SQRT(-2*LN(MAX(0.000000000001,AK424/2147483647)))*COS(2*PI()*AL424/2147483647),'Control Room'!$B$8+('Control Room'!$D$8-'Control Room'!$B$8)*AK424/2147483647)</x:f>
        <x:v>1027.0589712991289</x:v>
      </x:c>
      <x:c r="AN424" s="17" t="n">
        <x:f>IF('Control Room'!$B$5="Normal",'Control Room'!$B$7,('Control Room'!$B$8+'Control Room'!$D$8)/2)+'Control Room'!$B$9*(AN423-IF('Control Room'!$B$5="Normal",'Control Room'!$B$7,('Control Room'!$B$8+'Control Room'!$D$8)/2))+SQRT(1-'Control Room'!$B$9^2)*(AM424-IF('Control Room'!$B$5="Normal",'Control Room'!$B$7,('Control Room'!$B$8+'Control Room'!$D$8)/2))</x:f>
        <x:v>1081.3882426665643</x:v>
      </x:c>
      <x:c r="AO424" s="17" t="n">
        <x:f>IF(AND($A424&gt;='Control Room'!$A$13,$A424&lt;'Control Room'!$A$13+'Control Room'!$B$13,'Process'!BR2=1),1+('Control Room'!$C$13-1)*EXP(-0.5*(($A424-'Control Room'!$A$13-('Control Room'!$B$13-1)/2)/MAX(0.5,'Control Room'!$B$13/4))^2),1)*IF(AND($A424&gt;='Control Room'!$A$14,$A424&lt;'Control Room'!$A$14+'Control Room'!$B$14,'Process'!BR3=1),1+('Control Room'!$C$14-1)*EXP(-0.5*(($A424-'Control Room'!$A$14-('Control Room'!$B$14-1)/2)/MAX(0.5,'Control Room'!$B$14/4))^2),1)*IF(AND($A424&gt;='Control Room'!$A$15,$A424&lt;'Control Room'!$A$15+'Control Room'!$B$15,'Process'!BR4=1),1+('Control Room'!$C$15-1)*EXP(-0.5*(($A424-'Control Room'!$A$15-('Control Room'!$B$15-1)/2)/MAX(0.5,'Control Room'!$B$15/4))^2),1)*IF(AND($A424&gt;='Control Room'!$A$16,$A424&lt;'Control Room'!$A$16+'Control Room'!$B$16,'Process'!BR5=1),1+('Control Room'!$C$16-1)*EXP(-0.5*(($A424-'Control Room'!$A$16-('Control Room'!$B$16-1)/2)/MAX(0.5,'Control Room'!$B$16/4))^2),1)</x:f>
        <x:v>1</x:v>
      </x:c>
      <x:c r="AP424" s="9" t="n">
        <x:f>MOD(AQ423*16807,2147483647)</x:f>
        <x:v>315055338</x:v>
      </x:c>
      <x:c r="AQ424" s="9" t="n">
        <x:f>MOD(AP424*16807,2147483647)</x:f>
        <x:v>1587875911</x:v>
      </x:c>
      <x:c r="AR424" s="17" t="n">
        <x:f>IF('Control Room'!$B$5="Normal",'Control Room'!$B$7+'Control Room'!$D$7*SQRT(-2*LN(MAX(0.000000000001,AP424/2147483647)))*COS(2*PI()*AQ424/2147483647),'Control Room'!$B$8+('Control Room'!$D$8-'Control Room'!$B$8)*AP424/2147483647)</x:f>
        <x:v>988.2783487414663</x:v>
      </x:c>
      <x:c r="AS424" s="17" t="n">
        <x:f>IF('Control Room'!$B$5="Normal",'Control Room'!$B$7,('Control Room'!$B$8+'Control Room'!$D$8)/2)+'Control Room'!$B$9*(AS423-IF('Control Room'!$B$5="Normal",'Control Room'!$B$7,('Control Room'!$B$8+'Control Room'!$D$8)/2))+SQRT(1-'Control Room'!$B$9^2)*(AR424-IF('Control Room'!$B$5="Normal",'Control Room'!$B$7,('Control Room'!$B$8+'Control Room'!$D$8)/2))</x:f>
        <x:v>965.7773592518085</x:v>
      </x:c>
      <x:c r="AT424" s="17" t="n">
        <x:f>IF(AND($A424&gt;='Control Room'!$A$13,$A424&lt;'Control Room'!$A$13+'Control Room'!$B$13,'Process'!BS2=1),1+('Control Room'!$C$13-1)*EXP(-0.5*(($A424-'Control Room'!$A$13-('Control Room'!$B$13-1)/2)/MAX(0.5,'Control Room'!$B$13/4))^2),1)*IF(AND($A424&gt;='Control Room'!$A$14,$A424&lt;'Control Room'!$A$14+'Control Room'!$B$14,'Process'!BS3=1),1+('Control Room'!$C$14-1)*EXP(-0.5*(($A424-'Control Room'!$A$14-('Control Room'!$B$14-1)/2)/MAX(0.5,'Control Room'!$B$14/4))^2),1)*IF(AND($A424&gt;='Control Room'!$A$15,$A424&lt;'Control Room'!$A$15+'Control Room'!$B$15,'Process'!BS4=1),1+('Control Room'!$C$15-1)*EXP(-0.5*(($A424-'Control Room'!$A$15-('Control Room'!$B$15-1)/2)/MAX(0.5,'Control Room'!$B$15/4))^2),1)*IF(AND($A424&gt;='Control Room'!$A$16,$A424&lt;'Control Room'!$A$16+'Control Room'!$B$16,'Process'!BS5=1),1+('Control Room'!$C$16-1)*EXP(-0.5*(($A424-'Control Room'!$A$16-('Control Room'!$B$16-1)/2)/MAX(0.5,'Control Room'!$B$16/4))^2),1)</x:f>
        <x:v>1</x:v>
      </x:c>
      <x:c r="AU424" s="9" t="n">
        <x:f>MOD(AV423*16807,2147483647)</x:f>
        <x:v>1838817706</x:v>
      </x:c>
      <x:c r="AV424" s="9" t="n">
        <x:f>MOD(AU424*16807,2147483647)</x:f>
        <x:v>572020765</x:v>
      </x:c>
      <x:c r="AW424" s="17" t="n">
        <x:f>IF('Control Room'!$B$5="Normal",'Control Room'!$B$7+'Control Room'!$D$7*SQRT(-2*LN(MAX(0.000000000001,AU424/2147483647)))*COS(2*PI()*AV424/2147483647),'Control Room'!$B$8+('Control Room'!$D$8-'Control Room'!$B$8)*AU424/2147483647)</x:f>
        <x:v>994.8527578869638</x:v>
      </x:c>
      <x:c r="AX424" s="17" t="n">
        <x:f>IF('Control Room'!$B$5="Normal",'Control Room'!$B$7,('Control Room'!$B$8+'Control Room'!$D$8)/2)+'Control Room'!$B$9*(AX423-IF('Control Room'!$B$5="Normal",'Control Room'!$B$7,('Control Room'!$B$8+'Control Room'!$D$8)/2))+SQRT(1-'Control Room'!$B$9^2)*(AW424-IF('Control Room'!$B$5="Normal",'Control Room'!$B$7,('Control Room'!$B$8+'Control Room'!$D$8)/2))</x:f>
        <x:v>960.9291579770689</x:v>
      </x:c>
      <x:c r="AY424" s="17" t="n">
        <x:f>IF(AND($A424&gt;='Control Room'!$A$13,$A424&lt;'Control Room'!$A$13+'Control Room'!$B$13,'Process'!BT2=1),1+('Control Room'!$C$13-1)*EXP(-0.5*(($A424-'Control Room'!$A$13-('Control Room'!$B$13-1)/2)/MAX(0.5,'Control Room'!$B$13/4))^2),1)*IF(AND($A424&gt;='Control Room'!$A$14,$A424&lt;'Control Room'!$A$14+'Control Room'!$B$14,'Process'!BT3=1),1+('Control Room'!$C$14-1)*EXP(-0.5*(($A424-'Control Room'!$A$14-('Control Room'!$B$14-1)/2)/MAX(0.5,'Control Room'!$B$14/4))^2),1)*IF(AND($A424&gt;='Control Room'!$A$15,$A424&lt;'Control Room'!$A$15+'Control Room'!$B$15,'Process'!BT4=1),1+('Control Room'!$C$15-1)*EXP(-0.5*(($A424-'Control Room'!$A$15-('Control Room'!$B$15-1)/2)/MAX(0.5,'Control Room'!$B$15/4))^2),1)*IF(AND($A424&gt;='Control Room'!$A$16,$A424&lt;'Control Room'!$A$16+'Control Room'!$B$16,'Process'!BT5=1),1+('Control Room'!$C$16-1)*EXP(-0.5*(($A424-'Control Room'!$A$16-('Control Room'!$B$16-1)/2)/MAX(0.5,'Control Room'!$B$16/4))^2),1)</x:f>
        <x:v>1</x:v>
      </x:c>
      <x:c r="AZ424" s="9" t="n">
        <x:f>MOD(BA423*16807,2147483647)</x:f>
        <x:v>1215096427</x:v>
      </x:c>
      <x:c r="BA424" s="9" t="n">
        <x:f>MOD(AZ424*16807,2147483647)</x:f>
        <x:v>1703649266</x:v>
      </x:c>
      <x:c r="BB424" s="17" t="n">
        <x:f>IF('Control Room'!$B$5="Normal",'Control Room'!$B$7+'Control Room'!$D$7*SQRT(-2*LN(MAX(0.000000000001,AZ424/2147483647)))*COS(2*PI()*BA424/2147483647),'Control Room'!$B$8+('Control Room'!$D$8-'Control Room'!$B$8)*AZ424/2147483647)</x:f>
        <x:v>1025.8238506403889</x:v>
      </x:c>
      <x:c r="BC424" s="17" t="n">
        <x:f>IF('Control Room'!$B$5="Normal",'Control Room'!$B$7,('Control Room'!$B$8+'Control Room'!$D$8)/2)+'Control Room'!$B$9*(BC423-IF('Control Room'!$B$5="Normal",'Control Room'!$B$7,('Control Room'!$B$8+'Control Room'!$D$8)/2))+SQRT(1-'Control Room'!$B$9^2)*(BB424-IF('Control Room'!$B$5="Normal",'Control Room'!$B$7,('Control Room'!$B$8+'Control Room'!$D$8)/2))</x:f>
        <x:v>966.3894369655219</x:v>
      </x:c>
      <x:c r="BD424" s="17" t="n">
        <x:f>IF(AND($A424&gt;='Control Room'!$A$13,$A424&lt;'Control Room'!$A$13+'Control Room'!$B$13,'Process'!BU2=1),1+('Control Room'!$C$13-1)*EXP(-0.5*(($A424-'Control Room'!$A$13-('Control Room'!$B$13-1)/2)/MAX(0.5,'Control Room'!$B$13/4))^2),1)*IF(AND($A424&gt;='Control Room'!$A$14,$A424&lt;'Control Room'!$A$14+'Control Room'!$B$14,'Process'!BU3=1),1+('Control Room'!$C$14-1)*EXP(-0.5*(($A424-'Control Room'!$A$14-('Control Room'!$B$14-1)/2)/MAX(0.5,'Control Room'!$B$14/4))^2),1)*IF(AND($A424&gt;='Control Room'!$A$15,$A424&lt;'Control Room'!$A$15+'Control Room'!$B$15,'Process'!BU4=1),1+('Control Room'!$C$15-1)*EXP(-0.5*(($A424-'Control Room'!$A$15-('Control Room'!$B$15-1)/2)/MAX(0.5,'Control Room'!$B$15/4))^2),1)*IF(AND($A424&gt;='Control Room'!$A$16,$A424&lt;'Control Room'!$A$16+'Control Room'!$B$16,'Process'!BU5=1),1+('Control Room'!$C$16-1)*EXP(-0.5*(($A424-'Control Room'!$A$16-('Control Room'!$B$16-1)/2)/MAX(0.5,'Control Room'!$B$16/4))^2),1)</x:f>
        <x:v>1</x:v>
      </x:c>
      <x:c r="BE424" s="9" t="n">
        <x:f>MOD(BF423*16807,2147483647)</x:f>
        <x:v>591375148</x:v>
      </x:c>
      <x:c r="BF424" s="9" t="n">
        <x:f>MOD(BE424*16807,2147483647)</x:f>
        <x:v>687794120</x:v>
      </x:c>
      <x:c r="BG424" s="17" t="n">
        <x:f>IF('Control Room'!$B$5="Normal",'Control Room'!$B$7+'Control Room'!$D$7*SQRT(-2*LN(MAX(0.000000000001,BE424/2147483647)))*COS(2*PI()*BF424/2147483647),'Control Room'!$B$8+('Control Room'!$D$8-'Control Room'!$B$8)*BE424/2147483647)</x:f>
        <x:v>938.2290087726037</x:v>
      </x:c>
      <x:c r="BH424" s="17" t="n">
        <x:f>IF('Control Room'!$B$5="Normal",'Control Room'!$B$7,('Control Room'!$B$8+'Control Room'!$D$8)/2)+'Control Room'!$B$9*(BH423-IF('Control Room'!$B$5="Normal",'Control Room'!$B$7,('Control Room'!$B$8+'Control Room'!$D$8)/2))+SQRT(1-'Control Room'!$B$9^2)*(BG424-IF('Control Room'!$B$5="Normal",'Control Room'!$B$7,('Control Room'!$B$8+'Control Room'!$D$8)/2))</x:f>
        <x:v>1036.5148540896237</x:v>
      </x:c>
      <x:c r="BI424" s="17" t="n">
        <x:f>IF(AND($A424&gt;='Control Room'!$A$13,$A424&lt;'Control Room'!$A$13+'Control Room'!$B$13,'Process'!BV2=1),1+('Control Room'!$C$13-1)*EXP(-0.5*(($A424-'Control Room'!$A$13-('Control Room'!$B$13-1)/2)/MAX(0.5,'Control Room'!$B$13/4))^2),1)*IF(AND($A424&gt;='Control Room'!$A$14,$A424&lt;'Control Room'!$A$14+'Control Room'!$B$14,'Process'!BV3=1),1+('Control Room'!$C$14-1)*EXP(-0.5*(($A424-'Control Room'!$A$14-('Control Room'!$B$14-1)/2)/MAX(0.5,'Control Room'!$B$14/4))^2),1)*IF(AND($A424&gt;='Control Room'!$A$15,$A424&lt;'Control Room'!$A$15+'Control Room'!$B$15,'Process'!BV4=1),1+('Control Room'!$C$15-1)*EXP(-0.5*(($A424-'Control Room'!$A$15-('Control Room'!$B$15-1)/2)/MAX(0.5,'Control Room'!$B$15/4))^2),1)*IF(AND($A424&gt;='Control Room'!$A$16,$A424&lt;'Control Room'!$A$16+'Control Room'!$B$16,'Process'!BV5=1),1+('Control Room'!$C$16-1)*EXP(-0.5*(($A424-'Control Room'!$A$16-('Control Room'!$B$16-1)/2)/MAX(0.5,'Control Room'!$B$16/4))^2),1)</x:f>
        <x:v>1</x:v>
      </x:c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Z424" t="str">
        <x:f>IF('Data'!A424="","",TEXT('Data'!A424,"mm-dd"))</x:f>
      </x:c>
    </x:row>
    <x:row r="425" ht="21" customHeight="1">
      <x:c r="A425" s="15" t="n">
        <x:f>'Control Room'!$B$1+423</x:f>
        <x:v>73414</x:v>
      </x:c>
      <x:c r="B425" s="9" t="n">
        <x:f>MOD(C424*16807,2147483647)</x:f>
        <x:v>2068265343</x:v>
      </x:c>
      <x:c r="C425" s="9" t="n">
        <x:f>MOD(B425*16807,2147483647)</x:f>
        <x:v>17825812</x:v>
      </x:c>
      <x:c r="D425" s="17" t="n">
        <x:f>IF('Control Room'!$B$5="Normal",'Control Room'!$B$7+'Control Room'!$D$7*SQRT(-2*LN(MAX(0.000000000001,B425/2147483647)))*COS(2*PI()*C425/2147483647),'Control Room'!$B$8+('Control Room'!$D$8-'Control Room'!$B$8)*B425/2147483647)</x:f>
        <x:v>1024.6423723959188</x:v>
      </x:c>
      <x:c r="E425" s="17" t="n">
        <x:f>IF('Control Room'!$B$5="Normal",'Control Room'!$B$7,('Control Room'!$B$8+'Control Room'!$D$8)/2)+'Control Room'!$B$9*(E424-IF('Control Room'!$B$5="Normal",'Control Room'!$B$7,('Control Room'!$B$8+'Control Room'!$D$8)/2))+SQRT(1-'Control Room'!$B$9^2)*(D425-IF('Control Room'!$B$5="Normal",'Control Room'!$B$7,('Control Room'!$B$8+'Control Room'!$D$8)/2))</x:f>
        <x:v>969.3106013721463</x:v>
      </x:c>
      <x:c r="F425" s="17" t="n">
        <x:f>IF(AND($A425&gt;='Control Room'!$A$13,$A425&lt;'Control Room'!$A$13+'Control Room'!$B$13,'Process'!BK2=1),1+('Control Room'!$C$13-1)*EXP(-0.5*(($A425-'Control Room'!$A$13-('Control Room'!$B$13-1)/2)/MAX(0.5,'Control Room'!$B$13/4))^2),1)*IF(AND($A425&gt;='Control Room'!$A$14,$A425&lt;'Control Room'!$A$14+'Control Room'!$B$14,'Process'!BK3=1),1+('Control Room'!$C$14-1)*EXP(-0.5*(($A425-'Control Room'!$A$14-('Control Room'!$B$14-1)/2)/MAX(0.5,'Control Room'!$B$14/4))^2),1)*IF(AND($A425&gt;='Control Room'!$A$15,$A425&lt;'Control Room'!$A$15+'Control Room'!$B$15,'Process'!BK4=1),1+('Control Room'!$C$15-1)*EXP(-0.5*(($A425-'Control Room'!$A$15-('Control Room'!$B$15-1)/2)/MAX(0.5,'Control Room'!$B$15/4))^2),1)*IF(AND($A425&gt;='Control Room'!$A$16,$A425&lt;'Control Room'!$A$16+'Control Room'!$B$16,'Process'!BK5=1),1+('Control Room'!$C$16-1)*EXP(-0.5*(($A425-'Control Room'!$A$16-('Control Room'!$B$16-1)/2)/MAX(0.5,'Control Room'!$B$16/4))^2),1)</x:f>
        <x:v>1</x:v>
      </x:c>
      <x:c r="G425" s="9" t="n">
        <x:f>MOD(H424*16807,2147483647)</x:f>
        <x:v>1085820171</x:v>
      </x:c>
      <x:c r="H425" s="9" t="n">
        <x:f>MOD(G425*16807,2147483647)</x:f>
        <x:v>63581791</x:v>
      </x:c>
      <x:c r="I425" s="17" t="n">
        <x:f>IF('Control Room'!$B$5="Normal",'Control Room'!$B$7+'Control Room'!$D$7*SQRT(-2*LN(MAX(0.000000000001,G425/2147483647)))*COS(2*PI()*H425/2147483647),'Control Room'!$B$8+('Control Room'!$D$8-'Control Room'!$B$8)*G425/2147483647)</x:f>
        <x:v>1103.294864677428</x:v>
      </x:c>
      <x:c r="J425" s="17" t="n">
        <x:f>IF('Control Room'!$B$5="Normal",'Control Room'!$B$7,('Control Room'!$B$8+'Control Room'!$D$8)/2)+'Control Room'!$B$9*(J424-IF('Control Room'!$B$5="Normal",'Control Room'!$B$7,('Control Room'!$B$8+'Control Room'!$D$8)/2))+SQRT(1-'Control Room'!$B$9^2)*(I425-IF('Control Room'!$B$5="Normal",'Control Room'!$B$7,('Control Room'!$B$8+'Control Room'!$D$8)/2))</x:f>
        <x:v>1178.6473898028946</x:v>
      </x:c>
      <x:c r="K425" s="17" t="n">
        <x:f>IF(AND($A425&gt;='Control Room'!$A$13,$A425&lt;'Control Room'!$A$13+'Control Room'!$B$13,'Process'!BL2=1),1+('Control Room'!$C$13-1)*EXP(-0.5*(($A425-'Control Room'!$A$13-('Control Room'!$B$13-1)/2)/MAX(0.5,'Control Room'!$B$13/4))^2),1)*IF(AND($A425&gt;='Control Room'!$A$14,$A425&lt;'Control Room'!$A$14+'Control Room'!$B$14,'Process'!BL3=1),1+('Control Room'!$C$14-1)*EXP(-0.5*(($A425-'Control Room'!$A$14-('Control Room'!$B$14-1)/2)/MAX(0.5,'Control Room'!$B$14/4))^2),1)*IF(AND($A425&gt;='Control Room'!$A$15,$A425&lt;'Control Room'!$A$15+'Control Room'!$B$15,'Process'!BL4=1),1+('Control Room'!$C$15-1)*EXP(-0.5*(($A425-'Control Room'!$A$15-('Control Room'!$B$15-1)/2)/MAX(0.5,'Control Room'!$B$15/4))^2),1)*IF(AND($A425&gt;='Control Room'!$A$16,$A425&lt;'Control Room'!$A$16+'Control Room'!$B$16,'Process'!BL5=1),1+('Control Room'!$C$16-1)*EXP(-0.5*(($A425-'Control Room'!$A$16-('Control Room'!$B$16-1)/2)/MAX(0.5,'Control Room'!$B$16/4))^2),1)</x:f>
        <x:v>1</x:v>
      </x:c>
      <x:c r="L425" s="9" t="n">
        <x:f>MOD(M424*16807,2147483647)</x:f>
        <x:v>103374999</x:v>
      </x:c>
      <x:c r="M425" s="9" t="n">
        <x:f>MOD(L425*16807,2147483647)</x:f>
        <x:v>109337770</x:v>
      </x:c>
      <x:c r="N425" s="17" t="n">
        <x:f>IF('Control Room'!$B$5="Normal",'Control Room'!$B$7+'Control Room'!$D$7*SQRT(-2*LN(MAX(0.000000000001,L425/2147483647)))*COS(2*PI()*M425/2147483647),'Control Room'!$B$8+('Control Room'!$D$8-'Control Room'!$B$8)*L425/2147483647)</x:f>
        <x:v>1210.441175465265</x:v>
      </x:c>
      <x:c r="O425" s="17" t="n">
        <x:f>IF('Control Room'!$B$5="Normal",'Control Room'!$B$7,('Control Room'!$B$8+'Control Room'!$D$8)/2)+'Control Room'!$B$9*(O424-IF('Control Room'!$B$5="Normal",'Control Room'!$B$7,('Control Room'!$B$8+'Control Room'!$D$8)/2))+SQRT(1-'Control Room'!$B$9^2)*(N425-IF('Control Room'!$B$5="Normal",'Control Room'!$B$7,('Control Room'!$B$8+'Control Room'!$D$8)/2))</x:f>
        <x:v>1043.1675080979674</x:v>
      </x:c>
      <x:c r="P425" s="17" t="n">
        <x:f>IF(AND($A425&gt;='Control Room'!$A$13,$A425&lt;'Control Room'!$A$13+'Control Room'!$B$13,'Process'!BM2=1),1+('Control Room'!$C$13-1)*EXP(-0.5*(($A425-'Control Room'!$A$13-('Control Room'!$B$13-1)/2)/MAX(0.5,'Control Room'!$B$13/4))^2),1)*IF(AND($A425&gt;='Control Room'!$A$14,$A425&lt;'Control Room'!$A$14+'Control Room'!$B$14,'Process'!BM3=1),1+('Control Room'!$C$14-1)*EXP(-0.5*(($A425-'Control Room'!$A$14-('Control Room'!$B$14-1)/2)/MAX(0.5,'Control Room'!$B$14/4))^2),1)*IF(AND($A425&gt;='Control Room'!$A$15,$A425&lt;'Control Room'!$A$15+'Control Room'!$B$15,'Process'!BM4=1),1+('Control Room'!$C$15-1)*EXP(-0.5*(($A425-'Control Room'!$A$15-('Control Room'!$B$15-1)/2)/MAX(0.5,'Control Room'!$B$15/4))^2),1)*IF(AND($A425&gt;='Control Room'!$A$16,$A425&lt;'Control Room'!$A$16+'Control Room'!$B$16,'Process'!BM5=1),1+('Control Room'!$C$16-1)*EXP(-0.5*(($A425-'Control Room'!$A$16-('Control Room'!$B$16-1)/2)/MAX(0.5,'Control Room'!$B$16/4))^2),1)</x:f>
        <x:v>1</x:v>
      </x:c>
      <x:c r="Q425" s="9" t="n">
        <x:f>MOD(R424*16807,2147483647)</x:f>
        <x:v>1268413474</x:v>
      </x:c>
      <x:c r="R425" s="9" t="n">
        <x:f>MOD(Q425*16807,2147483647)</x:f>
        <x:v>155093749</x:v>
      </x:c>
      <x:c r="S425" s="17" t="n">
        <x:f>IF('Control Room'!$B$5="Normal",'Control Room'!$B$7+'Control Room'!$D$7*SQRT(-2*LN(MAX(0.000000000001,Q425/2147483647)))*COS(2*PI()*R425/2147483647),'Control Room'!$B$8+('Control Room'!$D$8-'Control Room'!$B$8)*Q425/2147483647)</x:f>
        <x:v>1083.0100399885655</x:v>
      </x:c>
      <x:c r="T425" s="17" t="n">
        <x:f>IF('Control Room'!$B$5="Normal",'Control Room'!$B$7,('Control Room'!$B$8+'Control Room'!$D$8)/2)+'Control Room'!$B$9*(T424-IF('Control Room'!$B$5="Normal",'Control Room'!$B$7,('Control Room'!$B$8+'Control Room'!$D$8)/2))+SQRT(1-'Control Room'!$B$9^2)*(S425-IF('Control Room'!$B$5="Normal",'Control Room'!$B$7,('Control Room'!$B$8+'Control Room'!$D$8)/2))</x:f>
        <x:v>1086.7705329928963</x:v>
      </x:c>
      <x:c r="U425" s="17" t="n">
        <x:f>IF(AND($A425&gt;='Control Room'!$A$13,$A425&lt;'Control Room'!$A$13+'Control Room'!$B$13,'Process'!BN2=1),1+('Control Room'!$C$13-1)*EXP(-0.5*(($A425-'Control Room'!$A$13-('Control Room'!$B$13-1)/2)/MAX(0.5,'Control Room'!$B$13/4))^2),1)*IF(AND($A425&gt;='Control Room'!$A$14,$A425&lt;'Control Room'!$A$14+'Control Room'!$B$14,'Process'!BN3=1),1+('Control Room'!$C$14-1)*EXP(-0.5*(($A425-'Control Room'!$A$14-('Control Room'!$B$14-1)/2)/MAX(0.5,'Control Room'!$B$14/4))^2),1)*IF(AND($A425&gt;='Control Room'!$A$15,$A425&lt;'Control Room'!$A$15+'Control Room'!$B$15,'Process'!BN4=1),1+('Control Room'!$C$15-1)*EXP(-0.5*(($A425-'Control Room'!$A$15-('Control Room'!$B$15-1)/2)/MAX(0.5,'Control Room'!$B$15/4))^2),1)*IF(AND($A425&gt;='Control Room'!$A$16,$A425&lt;'Control Room'!$A$16+'Control Room'!$B$16,'Process'!BN5=1),1+('Control Room'!$C$16-1)*EXP(-0.5*(($A425-'Control Room'!$A$16-('Control Room'!$B$16-1)/2)/MAX(0.5,'Control Room'!$B$16/4))^2),1)</x:f>
        <x:v>1</x:v>
      </x:c>
      <x:c r="V425" s="9" t="n">
        <x:f>MOD(W424*16807,2147483647)</x:f>
        <x:v>285968302</x:v>
      </x:c>
      <x:c r="W425" s="9" t="n">
        <x:f>MOD(V425*16807,2147483647)</x:f>
        <x:v>200849728</x:v>
      </x:c>
      <x:c r="X425" s="17" t="n">
        <x:f>IF('Control Room'!$B$5="Normal",'Control Room'!$B$7+'Control Room'!$D$7*SQRT(-2*LN(MAX(0.000000000001,V425/2147483647)))*COS(2*PI()*W425/2147483647),'Control Room'!$B$8+('Control Room'!$D$8-'Control Room'!$B$8)*V425/2147483647)</x:f>
        <x:v>1150.4083137259595</x:v>
      </x:c>
      <x:c r="Y425" s="17" t="n">
        <x:f>IF('Control Room'!$B$5="Normal",'Control Room'!$B$7,('Control Room'!$B$8+'Control Room'!$D$8)/2)+'Control Room'!$B$9*(Y424-IF('Control Room'!$B$5="Normal",'Control Room'!$B$7,('Control Room'!$B$8+'Control Room'!$D$8)/2))+SQRT(1-'Control Room'!$B$9^2)*(X425-IF('Control Room'!$B$5="Normal",'Control Room'!$B$7,('Control Room'!$B$8+'Control Room'!$D$8)/2))</x:f>
        <x:v>1020.7431688569692</x:v>
      </x:c>
      <x:c r="Z425" s="17" t="n">
        <x:f>IF(AND($A425&gt;='Control Room'!$A$13,$A425&lt;'Control Room'!$A$13+'Control Room'!$B$13,'Process'!BO2=1),1+('Control Room'!$C$13-1)*EXP(-0.5*(($A425-'Control Room'!$A$13-('Control Room'!$B$13-1)/2)/MAX(0.5,'Control Room'!$B$13/4))^2),1)*IF(AND($A425&gt;='Control Room'!$A$14,$A425&lt;'Control Room'!$A$14+'Control Room'!$B$14,'Process'!BO3=1),1+('Control Room'!$C$14-1)*EXP(-0.5*(($A425-'Control Room'!$A$14-('Control Room'!$B$14-1)/2)/MAX(0.5,'Control Room'!$B$14/4))^2),1)*IF(AND($A425&gt;='Control Room'!$A$15,$A425&lt;'Control Room'!$A$15+'Control Room'!$B$15,'Process'!BO4=1),1+('Control Room'!$C$15-1)*EXP(-0.5*(($A425-'Control Room'!$A$15-('Control Room'!$B$15-1)/2)/MAX(0.5,'Control Room'!$B$15/4))^2),1)*IF(AND($A425&gt;='Control Room'!$A$16,$A425&lt;'Control Room'!$A$16+'Control Room'!$B$16,'Process'!BO5=1),1+('Control Room'!$C$16-1)*EXP(-0.5*(($A425-'Control Room'!$A$16-('Control Room'!$B$16-1)/2)/MAX(0.5,'Control Room'!$B$16/4))^2),1)</x:f>
        <x:v>1</x:v>
      </x:c>
      <x:c r="AA425" s="9" t="n">
        <x:f>MOD(AB424*16807,2147483647)</x:f>
        <x:v>1451006777</x:v>
      </x:c>
      <x:c r="AB425" s="9" t="n">
        <x:f>MOD(AA425*16807,2147483647)</x:f>
        <x:v>246605707</x:v>
      </x:c>
      <x:c r="AC425" s="17" t="n">
        <x:f>IF('Control Room'!$B$5="Normal",'Control Room'!$B$7+'Control Room'!$D$7*SQRT(-2*LN(MAX(0.000000000001,AA425/2147483647)))*COS(2*PI()*AB425/2147483647),'Control Room'!$B$8+('Control Room'!$D$8-'Control Room'!$B$8)*AA425/2147483647)</x:f>
        <x:v>1059.8335756417125</x:v>
      </x:c>
      <x:c r="AD425" s="17" t="n">
        <x:f>IF('Control Room'!$B$5="Normal",'Control Room'!$B$7,('Control Room'!$B$8+'Control Room'!$D$8)/2)+'Control Room'!$B$9*(AD424-IF('Control Room'!$B$5="Normal",'Control Room'!$B$7,('Control Room'!$B$8+'Control Room'!$D$8)/2))+SQRT(1-'Control Room'!$B$9^2)*(AC425-IF('Control Room'!$B$5="Normal",'Control Room'!$B$7,('Control Room'!$B$8+'Control Room'!$D$8)/2))</x:f>
        <x:v>1244.4970073327338</x:v>
      </x:c>
      <x:c r="AE425" s="17" t="n">
        <x:f>IF(AND($A425&gt;='Control Room'!$A$13,$A425&lt;'Control Room'!$A$13+'Control Room'!$B$13,'Process'!BP2=1),1+('Control Room'!$C$13-1)*EXP(-0.5*(($A425-'Control Room'!$A$13-('Control Room'!$B$13-1)/2)/MAX(0.5,'Control Room'!$B$13/4))^2),1)*IF(AND($A425&gt;='Control Room'!$A$14,$A425&lt;'Control Room'!$A$14+'Control Room'!$B$14,'Process'!BP3=1),1+('Control Room'!$C$14-1)*EXP(-0.5*(($A425-'Control Room'!$A$14-('Control Room'!$B$14-1)/2)/MAX(0.5,'Control Room'!$B$14/4))^2),1)*IF(AND($A425&gt;='Control Room'!$A$15,$A425&lt;'Control Room'!$A$15+'Control Room'!$B$15,'Process'!BP4=1),1+('Control Room'!$C$15-1)*EXP(-0.5*(($A425-'Control Room'!$A$15-('Control Room'!$B$15-1)/2)/MAX(0.5,'Control Room'!$B$15/4))^2),1)*IF(AND($A425&gt;='Control Room'!$A$16,$A425&lt;'Control Room'!$A$16+'Control Room'!$B$16,'Process'!BP5=1),1+('Control Room'!$C$16-1)*EXP(-0.5*(($A425-'Control Room'!$A$16-('Control Room'!$B$16-1)/2)/MAX(0.5,'Control Room'!$B$16/4))^2),1)</x:f>
        <x:v>1</x:v>
      </x:c>
      <x:c r="AF425" s="9" t="n">
        <x:f>MOD(AG424*16807,2147483647)</x:f>
        <x:v>468561605</x:v>
      </x:c>
      <x:c r="AG425" s="9" t="n">
        <x:f>MOD(AF425*16807,2147483647)</x:f>
        <x:v>292361686</x:v>
      </x:c>
      <x:c r="AH425" s="17" t="n">
        <x:f>IF('Control Room'!$B$5="Normal",'Control Room'!$B$7+'Control Room'!$D$7*SQRT(-2*LN(MAX(0.000000000001,AF425/2147483647)))*COS(2*PI()*AG425/2147483647),'Control Room'!$B$8+('Control Room'!$D$8-'Control Room'!$B$8)*AF425/2147483647)</x:f>
        <x:v>1103.007091034916</x:v>
      </x:c>
      <x:c r="AI425" s="17" t="n">
        <x:f>IF('Control Room'!$B$5="Normal",'Control Room'!$B$7,('Control Room'!$B$8+'Control Room'!$D$8)/2)+'Control Room'!$B$9*(AI424-IF('Control Room'!$B$5="Normal",'Control Room'!$B$7,('Control Room'!$B$8+'Control Room'!$D$8)/2))+SQRT(1-'Control Room'!$B$9^2)*(AH425-IF('Control Room'!$B$5="Normal",'Control Room'!$B$7,('Control Room'!$B$8+'Control Room'!$D$8)/2))</x:f>
        <x:v>1077.8212087341615</x:v>
      </x:c>
      <x:c r="AJ425" s="17" t="n">
        <x:f>IF(AND($A425&gt;='Control Room'!$A$13,$A425&lt;'Control Room'!$A$13+'Control Room'!$B$13,'Process'!BQ2=1),1+('Control Room'!$C$13-1)*EXP(-0.5*(($A425-'Control Room'!$A$13-('Control Room'!$B$13-1)/2)/MAX(0.5,'Control Room'!$B$13/4))^2),1)*IF(AND($A425&gt;='Control Room'!$A$14,$A425&lt;'Control Room'!$A$14+'Control Room'!$B$14,'Process'!BQ3=1),1+('Control Room'!$C$14-1)*EXP(-0.5*(($A425-'Control Room'!$A$14-('Control Room'!$B$14-1)/2)/MAX(0.5,'Control Room'!$B$14/4))^2),1)*IF(AND($A425&gt;='Control Room'!$A$15,$A425&lt;'Control Room'!$A$15+'Control Room'!$B$15,'Process'!BQ4=1),1+('Control Room'!$C$15-1)*EXP(-0.5*(($A425-'Control Room'!$A$15-('Control Room'!$B$15-1)/2)/MAX(0.5,'Control Room'!$B$15/4))^2),1)*IF(AND($A425&gt;='Control Room'!$A$16,$A425&lt;'Control Room'!$A$16+'Control Room'!$B$16,'Process'!BQ5=1),1+('Control Room'!$C$16-1)*EXP(-0.5*(($A425-'Control Room'!$A$16-('Control Room'!$B$16-1)/2)/MAX(0.5,'Control Room'!$B$16/4))^2),1)</x:f>
        <x:v>1</x:v>
      </x:c>
      <x:c r="AK425" s="9" t="n">
        <x:f>MOD(AL424*16807,2147483647)</x:f>
        <x:v>1633600080</x:v>
      </x:c>
      <x:c r="AL425" s="9" t="n">
        <x:f>MOD(AK425*16807,2147483647)</x:f>
        <x:v>338117665</x:v>
      </x:c>
      <x:c r="AM425" s="17" t="n">
        <x:f>IF('Control Room'!$B$5="Normal",'Control Room'!$B$7+'Control Room'!$D$7*SQRT(-2*LN(MAX(0.000000000001,AK425/2147483647)))*COS(2*PI()*AL425/2147483647),'Control Room'!$B$8+('Control Room'!$D$8-'Control Room'!$B$8)*AK425/2147483647)</x:f>
        <x:v>1036.563654781796</x:v>
      </x:c>
      <x:c r="AN425" s="17" t="n">
        <x:f>IF('Control Room'!$B$5="Normal",'Control Room'!$B$7,('Control Room'!$B$8+'Control Room'!$D$8)/2)+'Control Room'!$B$9*(AN424-IF('Control Room'!$B$5="Normal",'Control Room'!$B$7,('Control Room'!$B$8+'Control Room'!$D$8)/2))+SQRT(1-'Control Room'!$B$9^2)*(AM425-IF('Control Room'!$B$5="Normal",'Control Room'!$B$7,('Control Room'!$B$8+'Control Room'!$D$8)/2))</x:f>
        <x:v>1086.3636153951857</x:v>
      </x:c>
      <x:c r="AO425" s="17" t="n">
        <x:f>IF(AND($A425&gt;='Control Room'!$A$13,$A425&lt;'Control Room'!$A$13+'Control Room'!$B$13,'Process'!BR2=1),1+('Control Room'!$C$13-1)*EXP(-0.5*(($A425-'Control Room'!$A$13-('Control Room'!$B$13-1)/2)/MAX(0.5,'Control Room'!$B$13/4))^2),1)*IF(AND($A425&gt;='Control Room'!$A$14,$A425&lt;'Control Room'!$A$14+'Control Room'!$B$14,'Process'!BR3=1),1+('Control Room'!$C$14-1)*EXP(-0.5*(($A425-'Control Room'!$A$14-('Control Room'!$B$14-1)/2)/MAX(0.5,'Control Room'!$B$14/4))^2),1)*IF(AND($A425&gt;='Control Room'!$A$15,$A425&lt;'Control Room'!$A$15+'Control Room'!$B$15,'Process'!BR4=1),1+('Control Room'!$C$15-1)*EXP(-0.5*(($A425-'Control Room'!$A$15-('Control Room'!$B$15-1)/2)/MAX(0.5,'Control Room'!$B$15/4))^2),1)*IF(AND($A425&gt;='Control Room'!$A$16,$A425&lt;'Control Room'!$A$16+'Control Room'!$B$16,'Process'!BR5=1),1+('Control Room'!$C$16-1)*EXP(-0.5*(($A425-'Control Room'!$A$16-('Control Room'!$B$16-1)/2)/MAX(0.5,'Control Room'!$B$16/4))^2),1)</x:f>
        <x:v>1</x:v>
      </x:c>
      <x:c r="AP425" s="9" t="n">
        <x:f>MOD(AQ424*16807,2147483647)</x:f>
        <x:v>651154908</x:v>
      </x:c>
      <x:c r="AQ425" s="9" t="n">
        <x:f>MOD(AP425*16807,2147483647)</x:f>
        <x:v>383873644</x:v>
      </x:c>
      <x:c r="AR425" s="17" t="n">
        <x:f>IF('Control Room'!$B$5="Normal",'Control Room'!$B$7+'Control Room'!$D$7*SQRT(-2*LN(MAX(0.000000000001,AP425/2147483647)))*COS(2*PI()*AQ425/2147483647),'Control Room'!$B$8+('Control Room'!$D$8-'Control Room'!$B$8)*AP425/2147483647)</x:f>
        <x:v>1060.1816739511287</x:v>
      </x:c>
      <x:c r="AS425" s="17" t="n">
        <x:f>IF('Control Room'!$B$5="Normal",'Control Room'!$B$7,('Control Room'!$B$8+'Control Room'!$D$8)/2)+'Control Room'!$B$9*(AS424-IF('Control Room'!$B$5="Normal",'Control Room'!$B$7,('Control Room'!$B$8+'Control Room'!$D$8)/2))+SQRT(1-'Control Room'!$B$9^2)*(AR425-IF('Control Room'!$B$5="Normal",'Control Room'!$B$7,('Control Room'!$B$8+'Control Room'!$D$8)/2))</x:f>
        <x:v>1010.9667988864227</x:v>
      </x:c>
      <x:c r="AT425" s="17" t="n">
        <x:f>IF(AND($A425&gt;='Control Room'!$A$13,$A425&lt;'Control Room'!$A$13+'Control Room'!$B$13,'Process'!BS2=1),1+('Control Room'!$C$13-1)*EXP(-0.5*(($A425-'Control Room'!$A$13-('Control Room'!$B$13-1)/2)/MAX(0.5,'Control Room'!$B$13/4))^2),1)*IF(AND($A425&gt;='Control Room'!$A$14,$A425&lt;'Control Room'!$A$14+'Control Room'!$B$14,'Process'!BS3=1),1+('Control Room'!$C$14-1)*EXP(-0.5*(($A425-'Control Room'!$A$14-('Control Room'!$B$14-1)/2)/MAX(0.5,'Control Room'!$B$14/4))^2),1)*IF(AND($A425&gt;='Control Room'!$A$15,$A425&lt;'Control Room'!$A$15+'Control Room'!$B$15,'Process'!BS4=1),1+('Control Room'!$C$15-1)*EXP(-0.5*(($A425-'Control Room'!$A$15-('Control Room'!$B$15-1)/2)/MAX(0.5,'Control Room'!$B$15/4))^2),1)*IF(AND($A425&gt;='Control Room'!$A$16,$A425&lt;'Control Room'!$A$16+'Control Room'!$B$16,'Process'!BS5=1),1+('Control Room'!$C$16-1)*EXP(-0.5*(($A425-'Control Room'!$A$16-('Control Room'!$B$16-1)/2)/MAX(0.5,'Control Room'!$B$16/4))^2),1)</x:f>
        <x:v>1</x:v>
      </x:c>
      <x:c r="AU425" s="9" t="n">
        <x:f>MOD(AV424*16807,2147483647)</x:f>
        <x:v>1816193383</x:v>
      </x:c>
      <x:c r="AV425" s="9" t="n">
        <x:f>MOD(AU425*16807,2147483647)</x:f>
        <x:v>429629623</x:v>
      </x:c>
      <x:c r="AW425" s="17" t="n">
        <x:f>IF('Control Room'!$B$5="Normal",'Control Room'!$B$7+'Control Room'!$D$7*SQRT(-2*LN(MAX(0.000000000001,AU425/2147483647)))*COS(2*PI()*AV425/2147483647),'Control Room'!$B$8+('Control Room'!$D$8-'Control Room'!$B$8)*AU425/2147483647)</x:f>
        <x:v>1016.080413490326</x:v>
      </x:c>
      <x:c r="AX425" s="17" t="n">
        <x:f>IF('Control Room'!$B$5="Normal",'Control Room'!$B$7,('Control Room'!$B$8+'Control Room'!$D$8)/2)+'Control Room'!$B$9*(AX424-IF('Control Room'!$B$5="Normal",'Control Room'!$B$7,('Control Room'!$B$8+'Control Room'!$D$8)/2))+SQRT(1-'Control Room'!$B$9^2)*(AW425-IF('Control Room'!$B$5="Normal",'Control Room'!$B$7,('Control Room'!$B$8+'Control Room'!$D$8)/2))</x:f>
        <x:v>979.5875365591836</x:v>
      </x:c>
      <x:c r="AY425" s="17" t="n">
        <x:f>IF(AND($A425&gt;='Control Room'!$A$13,$A425&lt;'Control Room'!$A$13+'Control Room'!$B$13,'Process'!BT2=1),1+('Control Room'!$C$13-1)*EXP(-0.5*(($A425-'Control Room'!$A$13-('Control Room'!$B$13-1)/2)/MAX(0.5,'Control Room'!$B$13/4))^2),1)*IF(AND($A425&gt;='Control Room'!$A$14,$A425&lt;'Control Room'!$A$14+'Control Room'!$B$14,'Process'!BT3=1),1+('Control Room'!$C$14-1)*EXP(-0.5*(($A425-'Control Room'!$A$14-('Control Room'!$B$14-1)/2)/MAX(0.5,'Control Room'!$B$14/4))^2),1)*IF(AND($A425&gt;='Control Room'!$A$15,$A425&lt;'Control Room'!$A$15+'Control Room'!$B$15,'Process'!BT4=1),1+('Control Room'!$C$15-1)*EXP(-0.5*(($A425-'Control Room'!$A$15-('Control Room'!$B$15-1)/2)/MAX(0.5,'Control Room'!$B$15/4))^2),1)*IF(AND($A425&gt;='Control Room'!$A$16,$A425&lt;'Control Room'!$A$16+'Control Room'!$B$16,'Process'!BT5=1),1+('Control Room'!$C$16-1)*EXP(-0.5*(($A425-'Control Room'!$A$16-('Control Room'!$B$16-1)/2)/MAX(0.5,'Control Room'!$B$16/4))^2),1)</x:f>
        <x:v>1</x:v>
      </x:c>
      <x:c r="AZ425" s="9" t="n">
        <x:f>MOD(BA424*16807,2147483647)</x:f>
        <x:v>833748211</x:v>
      </x:c>
      <x:c r="BA425" s="9" t="n">
        <x:f>MOD(AZ425*16807,2147483647)</x:f>
        <x:v>475385602</x:v>
      </x:c>
      <x:c r="BB425" s="17" t="n">
        <x:f>IF('Control Room'!$B$5="Normal",'Control Room'!$B$7+'Control Room'!$D$7*SQRT(-2*LN(MAX(0.000000000001,AZ425/2147483647)))*COS(2*PI()*BA425/2147483647),'Control Room'!$B$8+('Control Room'!$D$8-'Control Room'!$B$8)*AZ425/2147483647)</x:f>
        <x:v>1022.1517025046027</x:v>
      </x:c>
      <x:c r="BC425" s="17" t="n">
        <x:f>IF('Control Room'!$B$5="Normal",'Control Room'!$B$7,('Control Room'!$B$8+'Control Room'!$D$8)/2)+'Control Room'!$B$9*(BC424-IF('Control Room'!$B$5="Normal",'Control Room'!$B$7,('Control Room'!$B$8+'Control Room'!$D$8)/2))+SQRT(1-'Control Room'!$B$9^2)*(BB425-IF('Control Room'!$B$5="Normal",'Control Room'!$B$7,('Control Room'!$B$8+'Control Room'!$D$8)/2))</x:f>
        <x:v>987.6458424581953</x:v>
      </x:c>
      <x:c r="BD425" s="17" t="n">
        <x:f>IF(AND($A425&gt;='Control Room'!$A$13,$A425&lt;'Control Room'!$A$13+'Control Room'!$B$13,'Process'!BU2=1),1+('Control Room'!$C$13-1)*EXP(-0.5*(($A425-'Control Room'!$A$13-('Control Room'!$B$13-1)/2)/MAX(0.5,'Control Room'!$B$13/4))^2),1)*IF(AND($A425&gt;='Control Room'!$A$14,$A425&lt;'Control Room'!$A$14+'Control Room'!$B$14,'Process'!BU3=1),1+('Control Room'!$C$14-1)*EXP(-0.5*(($A425-'Control Room'!$A$14-('Control Room'!$B$14-1)/2)/MAX(0.5,'Control Room'!$B$14/4))^2),1)*IF(AND($A425&gt;='Control Room'!$A$15,$A425&lt;'Control Room'!$A$15+'Control Room'!$B$15,'Process'!BU4=1),1+('Control Room'!$C$15-1)*EXP(-0.5*(($A425-'Control Room'!$A$15-('Control Room'!$B$15-1)/2)/MAX(0.5,'Control Room'!$B$15/4))^2),1)*IF(AND($A425&gt;='Control Room'!$A$16,$A425&lt;'Control Room'!$A$16+'Control Room'!$B$16,'Process'!BU5=1),1+('Control Room'!$C$16-1)*EXP(-0.5*(($A425-'Control Room'!$A$16-('Control Room'!$B$16-1)/2)/MAX(0.5,'Control Room'!$B$16/4))^2),1)</x:f>
        <x:v>1</x:v>
      </x:c>
      <x:c r="BE425" s="9" t="n">
        <x:f>MOD(BF424*16807,2147483647)</x:f>
        <x:v>1998786686</x:v>
      </x:c>
      <x:c r="BF425" s="9" t="n">
        <x:f>MOD(BE425*16807,2147483647)</x:f>
        <x:v>521141581</x:v>
      </x:c>
      <x:c r="BG425" s="17" t="n">
        <x:f>IF('Control Room'!$B$5="Normal",'Control Room'!$B$7+'Control Room'!$D$7*SQRT(-2*LN(MAX(0.000000000001,BE425/2147483647)))*COS(2*PI()*BF425/2147483647),'Control Room'!$B$8+('Control Room'!$D$8-'Control Room'!$B$8)*BE425/2147483647)</x:f>
        <x:v>1001.5685372003344</x:v>
      </x:c>
      <x:c r="BH425" s="17" t="n">
        <x:f>IF('Control Room'!$B$5="Normal",'Control Room'!$B$7,('Control Room'!$B$8+'Control Room'!$D$8)/2)+'Control Room'!$B$9*(BH424-IF('Control Room'!$B$5="Normal",'Control Room'!$B$7,('Control Room'!$B$8+'Control Room'!$D$8)/2))+SQRT(1-'Control Room'!$B$9^2)*(BG425-IF('Control Room'!$B$5="Normal",'Control Room'!$B$7,('Control Room'!$B$8+'Control Room'!$D$8)/2))</x:f>
        <x:v>1029.4631446366445</x:v>
      </x:c>
      <x:c r="BI425" s="17" t="n">
        <x:f>IF(AND($A425&gt;='Control Room'!$A$13,$A425&lt;'Control Room'!$A$13+'Control Room'!$B$13,'Process'!BV2=1),1+('Control Room'!$C$13-1)*EXP(-0.5*(($A425-'Control Room'!$A$13-('Control Room'!$B$13-1)/2)/MAX(0.5,'Control Room'!$B$13/4))^2),1)*IF(AND($A425&gt;='Control Room'!$A$14,$A425&lt;'Control Room'!$A$14+'Control Room'!$B$14,'Process'!BV3=1),1+('Control Room'!$C$14-1)*EXP(-0.5*(($A425-'Control Room'!$A$14-('Control Room'!$B$14-1)/2)/MAX(0.5,'Control Room'!$B$14/4))^2),1)*IF(AND($A425&gt;='Control Room'!$A$15,$A425&lt;'Control Room'!$A$15+'Control Room'!$B$15,'Process'!BV4=1),1+('Control Room'!$C$15-1)*EXP(-0.5*(($A425-'Control Room'!$A$15-('Control Room'!$B$15-1)/2)/MAX(0.5,'Control Room'!$B$15/4))^2),1)*IF(AND($A425&gt;='Control Room'!$A$16,$A425&lt;'Control Room'!$A$16+'Control Room'!$B$16,'Process'!BV5=1),1+('Control Room'!$C$16-1)*EXP(-0.5*(($A425-'Control Room'!$A$16-('Control Room'!$B$16-1)/2)/MAX(0.5,'Control Room'!$B$16/4))^2),1)</x:f>
        <x:v>1</x:v>
      </x:c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Z425" t="str">
        <x:f>IF('Data'!A425="","",TEXT('Data'!A425,"mm-dd"))</x:f>
      </x:c>
    </x:row>
    <x:row r="426" ht="21" customHeight="1">
      <x:c r="A426" s="15" t="n">
        <x:f>'Control Room'!$B$1+424</x:f>
        <x:v>73415</x:v>
      </x:c>
      <x:c r="B426" s="9" t="n">
        <x:f>MOD(C425*16807,2147483647)</x:f>
        <x:v>1098195351</x:v>
      </x:c>
      <x:c r="C426" s="9" t="n">
        <x:f>MOD(B426*16807,2147483647)</x:f>
        <x:v>1894801939</x:v>
      </x:c>
      <x:c r="D426" s="17" t="n">
        <x:f>IF('Control Room'!$B$5="Normal",'Control Room'!$B$7+'Control Room'!$D$7*SQRT(-2*LN(MAX(0.000000000001,B426/2147483647)))*COS(2*PI()*C426/2147483647),'Control Room'!$B$8+('Control Room'!$D$8-'Control Room'!$B$8)*B426/2147483647)</x:f>
        <x:v>1077.0204097729902</x:v>
      </x:c>
      <x:c r="E426" s="17" t="n">
        <x:f>IF('Control Room'!$B$5="Normal",'Control Room'!$B$7,('Control Room'!$B$8+'Control Room'!$D$8)/2)+'Control Room'!$B$9*(E425-IF('Control Room'!$B$5="Normal",'Control Room'!$B$7,('Control Room'!$B$8+'Control Room'!$D$8)/2))+SQRT(1-'Control Room'!$B$9^2)*(D426-IF('Control Room'!$B$5="Normal",'Control Room'!$B$7,('Control Room'!$B$8+'Control Room'!$D$8)/2))</x:f>
        <x:v>1024.2600636573534</x:v>
      </x:c>
      <x:c r="F426" s="17" t="n">
        <x:f>IF(AND($A426&gt;='Control Room'!$A$13,$A426&lt;'Control Room'!$A$13+'Control Room'!$B$13,'Process'!BK2=1),1+('Control Room'!$C$13-1)*EXP(-0.5*(($A426-'Control Room'!$A$13-('Control Room'!$B$13-1)/2)/MAX(0.5,'Control Room'!$B$13/4))^2),1)*IF(AND($A426&gt;='Control Room'!$A$14,$A426&lt;'Control Room'!$A$14+'Control Room'!$B$14,'Process'!BK3=1),1+('Control Room'!$C$14-1)*EXP(-0.5*(($A426-'Control Room'!$A$14-('Control Room'!$B$14-1)/2)/MAX(0.5,'Control Room'!$B$14/4))^2),1)*IF(AND($A426&gt;='Control Room'!$A$15,$A426&lt;'Control Room'!$A$15+'Control Room'!$B$15,'Process'!BK4=1),1+('Control Room'!$C$15-1)*EXP(-0.5*(($A426-'Control Room'!$A$15-('Control Room'!$B$15-1)/2)/MAX(0.5,'Control Room'!$B$15/4))^2),1)*IF(AND($A426&gt;='Control Room'!$A$16,$A426&lt;'Control Room'!$A$16+'Control Room'!$B$16,'Process'!BK5=1),1+('Control Room'!$C$16-1)*EXP(-0.5*(($A426-'Control Room'!$A$16-('Control Room'!$B$16-1)/2)/MAX(0.5,'Control Room'!$B$16/4))^2),1)</x:f>
        <x:v>1</x:v>
      </x:c>
      <x:c r="G426" s="9" t="n">
        <x:f>MOD(H425*16807,2147483647)</x:f>
        <x:v>1319788778</x:v>
      </x:c>
      <x:c r="H426" s="9" t="n">
        <x:f>MOD(G426*16807,2147483647)</x:f>
        <x:v>331401983</x:v>
      </x:c>
      <x:c r="I426" s="17" t="n">
        <x:f>IF('Control Room'!$B$5="Normal",'Control Room'!$B$7+'Control Room'!$D$7*SQRT(-2*LN(MAX(0.000000000001,G426/2147483647)))*COS(2*PI()*H426/2147483647),'Control Room'!$B$8+('Control Room'!$D$8-'Control Room'!$B$8)*G426/2147483647)</x:f>
        <x:v>1050.2294361791423</x:v>
      </x:c>
      <x:c r="J426" s="17" t="n">
        <x:f>IF('Control Room'!$B$5="Normal",'Control Room'!$B$7,('Control Room'!$B$8+'Control Room'!$D$8)/2)+'Control Room'!$B$9*(J425-IF('Control Room'!$B$5="Normal",'Control Room'!$B$7,('Control Room'!$B$8+'Control Room'!$D$8)/2))+SQRT(1-'Control Room'!$B$9^2)*(I426-IF('Control Room'!$B$5="Normal",'Control Room'!$B$7,('Control Room'!$B$8+'Control Room'!$D$8)/2))</x:f>
        <x:v>1170.7775162012333</x:v>
      </x:c>
      <x:c r="K426" s="17" t="n">
        <x:f>IF(AND($A426&gt;='Control Room'!$A$13,$A426&lt;'Control Room'!$A$13+'Control Room'!$B$13,'Process'!BL2=1),1+('Control Room'!$C$13-1)*EXP(-0.5*(($A426-'Control Room'!$A$13-('Control Room'!$B$13-1)/2)/MAX(0.5,'Control Room'!$B$13/4))^2),1)*IF(AND($A426&gt;='Control Room'!$A$14,$A426&lt;'Control Room'!$A$14+'Control Room'!$B$14,'Process'!BL3=1),1+('Control Room'!$C$14-1)*EXP(-0.5*(($A426-'Control Room'!$A$14-('Control Room'!$B$14-1)/2)/MAX(0.5,'Control Room'!$B$14/4))^2),1)*IF(AND($A426&gt;='Control Room'!$A$15,$A426&lt;'Control Room'!$A$15+'Control Room'!$B$15,'Process'!BL4=1),1+('Control Room'!$C$15-1)*EXP(-0.5*(($A426-'Control Room'!$A$15-('Control Room'!$B$15-1)/2)/MAX(0.5,'Control Room'!$B$15/4))^2),1)*IF(AND($A426&gt;='Control Room'!$A$16,$A426&lt;'Control Room'!$A$16+'Control Room'!$B$16,'Process'!BL5=1),1+('Control Room'!$C$16-1)*EXP(-0.5*(($A426-'Control Room'!$A$16-('Control Room'!$B$16-1)/2)/MAX(0.5,'Control Room'!$B$16/4))^2),1)</x:f>
        <x:v>1</x:v>
      </x:c>
      <x:c r="L426" s="9" t="n">
        <x:f>MOD(M425*16807,2147483647)</x:f>
        <x:v>1541382205</x:v>
      </x:c>
      <x:c r="M426" s="9" t="n">
        <x:f>MOD(L426*16807,2147483647)</x:f>
        <x:v>915485674</x:v>
      </x:c>
      <x:c r="N426" s="17" t="n">
        <x:f>IF('Control Room'!$B$5="Normal",'Control Room'!$B$7+'Control Room'!$D$7*SQRT(-2*LN(MAX(0.000000000001,L426/2147483647)))*COS(2*PI()*M426/2147483647),'Control Room'!$B$8+('Control Room'!$D$8-'Control Room'!$B$8)*L426/2147483647)</x:f>
        <x:v>934.4225234397016</x:v>
      </x:c>
      <x:c r="O426" s="17" t="n">
        <x:f>IF('Control Room'!$B$5="Normal",'Control Room'!$B$7,('Control Room'!$B$8+'Control Room'!$D$8)/2)+'Control Room'!$B$9*(O425-IF('Control Room'!$B$5="Normal",'Control Room'!$B$7,('Control Room'!$B$8+'Control Room'!$D$8)/2))+SQRT(1-'Control Room'!$B$9^2)*(N426-IF('Control Room'!$B$5="Normal",'Control Room'!$B$7,('Control Room'!$B$8+'Control Room'!$D$8)/2))</x:f>
        <x:v>992.633614912609</x:v>
      </x:c>
      <x:c r="P426" s="17" t="n">
        <x:f>IF(AND($A426&gt;='Control Room'!$A$13,$A426&lt;'Control Room'!$A$13+'Control Room'!$B$13,'Process'!BM2=1),1+('Control Room'!$C$13-1)*EXP(-0.5*(($A426-'Control Room'!$A$13-('Control Room'!$B$13-1)/2)/MAX(0.5,'Control Room'!$B$13/4))^2),1)*IF(AND($A426&gt;='Control Room'!$A$14,$A426&lt;'Control Room'!$A$14+'Control Room'!$B$14,'Process'!BM3=1),1+('Control Room'!$C$14-1)*EXP(-0.5*(($A426-'Control Room'!$A$14-('Control Room'!$B$14-1)/2)/MAX(0.5,'Control Room'!$B$14/4))^2),1)*IF(AND($A426&gt;='Control Room'!$A$15,$A426&lt;'Control Room'!$A$15+'Control Room'!$B$15,'Process'!BM4=1),1+('Control Room'!$C$15-1)*EXP(-0.5*(($A426-'Control Room'!$A$15-('Control Room'!$B$15-1)/2)/MAX(0.5,'Control Room'!$B$15/4))^2),1)*IF(AND($A426&gt;='Control Room'!$A$16,$A426&lt;'Control Room'!$A$16+'Control Room'!$B$16,'Process'!BM5=1),1+('Control Room'!$C$16-1)*EXP(-0.5*(($A426-'Control Room'!$A$16-('Control Room'!$B$16-1)/2)/MAX(0.5,'Control Room'!$B$16/4))^2),1)</x:f>
        <x:v>1</x:v>
      </x:c>
      <x:c r="Q426" s="9" t="n">
        <x:f>MOD(R425*16807,2147483647)</x:f>
        <x:v>1762975632</x:v>
      </x:c>
      <x:c r="R426" s="9" t="n">
        <x:f>MOD(Q426*16807,2147483647)</x:f>
        <x:v>1499569365</x:v>
      </x:c>
      <x:c r="S426" s="17" t="n">
        <x:f>IF('Control Room'!$B$5="Normal",'Control Room'!$B$7+'Control Room'!$D$7*SQRT(-2*LN(MAX(0.000000000001,Q426/2147483647)))*COS(2*PI()*R426/2147483647),'Control Room'!$B$8+('Control Room'!$D$8-'Control Room'!$B$8)*Q426/2147483647)</x:f>
        <x:v>981.9536562532365</x:v>
      </x:c>
      <x:c r="T426" s="17" t="n">
        <x:f>IF('Control Room'!$B$5="Normal",'Control Room'!$B$7,('Control Room'!$B$8+'Control Room'!$D$8)/2)+'Control Room'!$B$9*(T425-IF('Control Room'!$B$5="Normal",'Control Room'!$B$7,('Control Room'!$B$8+'Control Room'!$D$8)/2))+SQRT(1-'Control Room'!$B$9^2)*(S426-IF('Control Room'!$B$5="Normal",'Control Room'!$B$7,('Control Room'!$B$8+'Control Room'!$D$8)/2))</x:f>
        <x:v>1056.3879835171813</x:v>
      </x:c>
      <x:c r="U426" s="17" t="n">
        <x:f>IF(AND($A426&gt;='Control Room'!$A$13,$A426&lt;'Control Room'!$A$13+'Control Room'!$B$13,'Process'!BN2=1),1+('Control Room'!$C$13-1)*EXP(-0.5*(($A426-'Control Room'!$A$13-('Control Room'!$B$13-1)/2)/MAX(0.5,'Control Room'!$B$13/4))^2),1)*IF(AND($A426&gt;='Control Room'!$A$14,$A426&lt;'Control Room'!$A$14+'Control Room'!$B$14,'Process'!BN3=1),1+('Control Room'!$C$14-1)*EXP(-0.5*(($A426-'Control Room'!$A$14-('Control Room'!$B$14-1)/2)/MAX(0.5,'Control Room'!$B$14/4))^2),1)*IF(AND($A426&gt;='Control Room'!$A$15,$A426&lt;'Control Room'!$A$15+'Control Room'!$B$15,'Process'!BN4=1),1+('Control Room'!$C$15-1)*EXP(-0.5*(($A426-'Control Room'!$A$15-('Control Room'!$B$15-1)/2)/MAX(0.5,'Control Room'!$B$15/4))^2),1)*IF(AND($A426&gt;='Control Room'!$A$16,$A426&lt;'Control Room'!$A$16+'Control Room'!$B$16,'Process'!BN5=1),1+('Control Room'!$C$16-1)*EXP(-0.5*(($A426-'Control Room'!$A$16-('Control Room'!$B$16-1)/2)/MAX(0.5,'Control Room'!$B$16/4))^2),1)</x:f>
        <x:v>1</x:v>
      </x:c>
      <x:c r="V426" s="9" t="n">
        <x:f>MOD(W425*16807,2147483647)</x:f>
        <x:v>1984569059</x:v>
      </x:c>
      <x:c r="W426" s="9" t="n">
        <x:f>MOD(V426*16807,2147483647)</x:f>
        <x:v>2083653056</x:v>
      </x:c>
      <x:c r="X426" s="17" t="n">
        <x:f>IF('Control Room'!$B$5="Normal",'Control Room'!$B$7+'Control Room'!$D$7*SQRT(-2*LN(MAX(0.000000000001,V426/2147483647)))*COS(2*PI()*W426/2147483647),'Control Room'!$B$8+('Control Room'!$D$8-'Control Room'!$B$8)*V426/2147483647)</x:f>
        <x:v>1035.1288513995564</x:v>
      </x:c>
      <x:c r="Y426" s="17" t="n">
        <x:f>IF('Control Room'!$B$5="Normal",'Control Room'!$B$7,('Control Room'!$B$8+'Control Room'!$D$8)/2)+'Control Room'!$B$9*(Y425-IF('Control Room'!$B$5="Normal",'Control Room'!$B$7,('Control Room'!$B$8+'Control Room'!$D$8)/2))+SQRT(1-'Control Room'!$B$9^2)*(X426-IF('Control Room'!$B$5="Normal",'Control Room'!$B$7,('Control Room'!$B$8+'Control Room'!$D$8)/2))</x:f>
        <x:v>1038.1625872606407</x:v>
      </x:c>
      <x:c r="Z426" s="17" t="n">
        <x:f>IF(AND($A426&gt;='Control Room'!$A$13,$A426&lt;'Control Room'!$A$13+'Control Room'!$B$13,'Process'!BO2=1),1+('Control Room'!$C$13-1)*EXP(-0.5*(($A426-'Control Room'!$A$13-('Control Room'!$B$13-1)/2)/MAX(0.5,'Control Room'!$B$13/4))^2),1)*IF(AND($A426&gt;='Control Room'!$A$14,$A426&lt;'Control Room'!$A$14+'Control Room'!$B$14,'Process'!BO3=1),1+('Control Room'!$C$14-1)*EXP(-0.5*(($A426-'Control Room'!$A$14-('Control Room'!$B$14-1)/2)/MAX(0.5,'Control Room'!$B$14/4))^2),1)*IF(AND($A426&gt;='Control Room'!$A$15,$A426&lt;'Control Room'!$A$15+'Control Room'!$B$15,'Process'!BO4=1),1+('Control Room'!$C$15-1)*EXP(-0.5*(($A426-'Control Room'!$A$15-('Control Room'!$B$15-1)/2)/MAX(0.5,'Control Room'!$B$15/4))^2),1)*IF(AND($A426&gt;='Control Room'!$A$16,$A426&lt;'Control Room'!$A$16+'Control Room'!$B$16,'Process'!BO5=1),1+('Control Room'!$C$16-1)*EXP(-0.5*(($A426-'Control Room'!$A$16-('Control Room'!$B$16-1)/2)/MAX(0.5,'Control Room'!$B$16/4))^2),1)</x:f>
        <x:v>1</x:v>
      </x:c>
      <x:c r="AA426" s="9" t="n">
        <x:f>MOD(AB425*16807,2147483647)</x:f>
        <x:v>58678839</x:v>
      </x:c>
      <x:c r="AB426" s="9" t="n">
        <x:f>MOD(AA426*16807,2147483647)</x:f>
        <x:v>520253100</x:v>
      </x:c>
      <x:c r="AC426" s="17" t="n">
        <x:f>IF('Control Room'!$B$5="Normal",'Control Room'!$B$7+'Control Room'!$D$7*SQRT(-2*LN(MAX(0.000000000001,AA426/2147483647)))*COS(2*PI()*AB426/2147483647),'Control Room'!$B$8+('Control Room'!$D$8-'Control Room'!$B$8)*AA426/2147483647)</x:f>
        <x:v>1011.7370737514897</x:v>
      </x:c>
      <x:c r="AD426" s="17" t="n">
        <x:f>IF('Control Room'!$B$5="Normal",'Control Room'!$B$7,('Control Room'!$B$8+'Control Room'!$D$8)/2)+'Control Room'!$B$9*(AD425-IF('Control Room'!$B$5="Normal",'Control Room'!$B$7,('Control Room'!$B$8+'Control Room'!$D$8)/2))+SQRT(1-'Control Room'!$B$9^2)*(AC426-IF('Control Room'!$B$5="Normal",'Control Room'!$B$7,('Control Room'!$B$8+'Control Room'!$D$8)/2))</x:f>
        <x:v>1198.0524860261894</x:v>
      </x:c>
      <x:c r="AE426" s="17" t="n">
        <x:f>IF(AND($A426&gt;='Control Room'!$A$13,$A426&lt;'Control Room'!$A$13+'Control Room'!$B$13,'Process'!BP2=1),1+('Control Room'!$C$13-1)*EXP(-0.5*(($A426-'Control Room'!$A$13-('Control Room'!$B$13-1)/2)/MAX(0.5,'Control Room'!$B$13/4))^2),1)*IF(AND($A426&gt;='Control Room'!$A$14,$A426&lt;'Control Room'!$A$14+'Control Room'!$B$14,'Process'!BP3=1),1+('Control Room'!$C$14-1)*EXP(-0.5*(($A426-'Control Room'!$A$14-('Control Room'!$B$14-1)/2)/MAX(0.5,'Control Room'!$B$14/4))^2),1)*IF(AND($A426&gt;='Control Room'!$A$15,$A426&lt;'Control Room'!$A$15+'Control Room'!$B$15,'Process'!BP4=1),1+('Control Room'!$C$15-1)*EXP(-0.5*(($A426-'Control Room'!$A$15-('Control Room'!$B$15-1)/2)/MAX(0.5,'Control Room'!$B$15/4))^2),1)*IF(AND($A426&gt;='Control Room'!$A$16,$A426&lt;'Control Room'!$A$16+'Control Room'!$B$16,'Process'!BP5=1),1+('Control Room'!$C$16-1)*EXP(-0.5*(($A426-'Control Room'!$A$16-('Control Room'!$B$16-1)/2)/MAX(0.5,'Control Room'!$B$16/4))^2),1)</x:f>
        <x:v>1</x:v>
      </x:c>
      <x:c r="AF426" s="9" t="n">
        <x:f>MOD(AG425*16807,2147483647)</x:f>
        <x:v>280272266</x:v>
      </x:c>
      <x:c r="AG426" s="9" t="n">
        <x:f>MOD(AF426*16807,2147483647)</x:f>
        <x:v>1104336791</x:v>
      </x:c>
      <x:c r="AH426" s="17" t="n">
        <x:f>IF('Control Room'!$B$5="Normal",'Control Room'!$B$7+'Control Room'!$D$7*SQRT(-2*LN(MAX(0.000000000001,AF426/2147483647)))*COS(2*PI()*AG426/2147483647),'Control Room'!$B$8+('Control Room'!$D$8-'Control Room'!$B$8)*AF426/2147483647)</x:f>
        <x:v>819.101473686779</x:v>
      </x:c>
      <x:c r="AI426" s="17" t="n">
        <x:f>IF('Control Room'!$B$5="Normal",'Control Room'!$B$7,('Control Room'!$B$8+'Control Room'!$D$8)/2)+'Control Room'!$B$9*(AI425-IF('Control Room'!$B$5="Normal",'Control Room'!$B$7,('Control Room'!$B$8+'Control Room'!$D$8)/2))+SQRT(1-'Control Room'!$B$9^2)*(AH426-IF('Control Room'!$B$5="Normal",'Control Room'!$B$7,('Control Room'!$B$8+'Control Room'!$D$8)/2))</x:f>
        <x:v>947.4979509535776</x:v>
      </x:c>
      <x:c r="AJ426" s="17" t="n">
        <x:f>IF(AND($A426&gt;='Control Room'!$A$13,$A426&lt;'Control Room'!$A$13+'Control Room'!$B$13,'Process'!BQ2=1),1+('Control Room'!$C$13-1)*EXP(-0.5*(($A426-'Control Room'!$A$13-('Control Room'!$B$13-1)/2)/MAX(0.5,'Control Room'!$B$13/4))^2),1)*IF(AND($A426&gt;='Control Room'!$A$14,$A426&lt;'Control Room'!$A$14+'Control Room'!$B$14,'Process'!BQ3=1),1+('Control Room'!$C$14-1)*EXP(-0.5*(($A426-'Control Room'!$A$14-('Control Room'!$B$14-1)/2)/MAX(0.5,'Control Room'!$B$14/4))^2),1)*IF(AND($A426&gt;='Control Room'!$A$15,$A426&lt;'Control Room'!$A$15+'Control Room'!$B$15,'Process'!BQ4=1),1+('Control Room'!$C$15-1)*EXP(-0.5*(($A426-'Control Room'!$A$15-('Control Room'!$B$15-1)/2)/MAX(0.5,'Control Room'!$B$15/4))^2),1)*IF(AND($A426&gt;='Control Room'!$A$16,$A426&lt;'Control Room'!$A$16+'Control Room'!$B$16,'Process'!BQ5=1),1+('Control Room'!$C$16-1)*EXP(-0.5*(($A426-'Control Room'!$A$16-('Control Room'!$B$16-1)/2)/MAX(0.5,'Control Room'!$B$16/4))^2),1)</x:f>
        <x:v>1</x:v>
      </x:c>
      <x:c r="AK426" s="9" t="n">
        <x:f>MOD(AL425*16807,2147483647)</x:f>
        <x:v>501865693</x:v>
      </x:c>
      <x:c r="AL426" s="9" t="n">
        <x:f>MOD(AK426*16807,2147483647)</x:f>
        <x:v>1688420482</x:v>
      </x:c>
      <x:c r="AM426" s="17" t="n">
        <x:f>IF('Control Room'!$B$5="Normal",'Control Room'!$B$7+'Control Room'!$D$7*SQRT(-2*LN(MAX(0.000000000001,AK426/2147483647)))*COS(2*PI()*AL426/2147483647),'Control Room'!$B$8+('Control Room'!$D$8-'Control Room'!$B$8)*AK426/2147483647)</x:f>
        <x:v>1034.6348157257994</x:v>
      </x:c>
      <x:c r="AN426" s="17" t="n">
        <x:f>IF('Control Room'!$B$5="Normal",'Control Room'!$B$7,('Control Room'!$B$8+'Control Room'!$D$8)/2)+'Control Room'!$B$9*(AN425-IF('Control Room'!$B$5="Normal",'Control Room'!$B$7,('Control Room'!$B$8+'Control Room'!$D$8)/2))+SQRT(1-'Control Room'!$B$9^2)*(AM426-IF('Control Room'!$B$5="Normal",'Control Room'!$B$7,('Control Room'!$B$8+'Control Room'!$D$8)/2))</x:f>
        <x:v>1089.0373781566834</x:v>
      </x:c>
      <x:c r="AO426" s="17" t="n">
        <x:f>IF(AND($A426&gt;='Control Room'!$A$13,$A426&lt;'Control Room'!$A$13+'Control Room'!$B$13,'Process'!BR2=1),1+('Control Room'!$C$13-1)*EXP(-0.5*(($A426-'Control Room'!$A$13-('Control Room'!$B$13-1)/2)/MAX(0.5,'Control Room'!$B$13/4))^2),1)*IF(AND($A426&gt;='Control Room'!$A$14,$A426&lt;'Control Room'!$A$14+'Control Room'!$B$14,'Process'!BR3=1),1+('Control Room'!$C$14-1)*EXP(-0.5*(($A426-'Control Room'!$A$14-('Control Room'!$B$14-1)/2)/MAX(0.5,'Control Room'!$B$14/4))^2),1)*IF(AND($A426&gt;='Control Room'!$A$15,$A426&lt;'Control Room'!$A$15+'Control Room'!$B$15,'Process'!BR4=1),1+('Control Room'!$C$15-1)*EXP(-0.5*(($A426-'Control Room'!$A$15-('Control Room'!$B$15-1)/2)/MAX(0.5,'Control Room'!$B$15/4))^2),1)*IF(AND($A426&gt;='Control Room'!$A$16,$A426&lt;'Control Room'!$A$16+'Control Room'!$B$16,'Process'!BR5=1),1+('Control Room'!$C$16-1)*EXP(-0.5*(($A426-'Control Room'!$A$16-('Control Room'!$B$16-1)/2)/MAX(0.5,'Control Room'!$B$16/4))^2),1)</x:f>
        <x:v>1</x:v>
      </x:c>
      <x:c r="AP426" s="9" t="n">
        <x:f>MOD(AQ425*16807,2147483647)</x:f>
        <x:v>723459120</x:v>
      </x:c>
      <x:c r="AQ426" s="9" t="n">
        <x:f>MOD(AP426*16807,2147483647)</x:f>
        <x:v>125020526</x:v>
      </x:c>
      <x:c r="AR426" s="17" t="n">
        <x:f>IF('Control Room'!$B$5="Normal",'Control Room'!$B$7+'Control Room'!$D$7*SQRT(-2*LN(MAX(0.000000000001,AP426/2147483647)))*COS(2*PI()*AQ426/2147483647),'Control Room'!$B$8+('Control Room'!$D$8-'Control Room'!$B$8)*AP426/2147483647)</x:f>
        <x:v>1123.978615568308</x:v>
      </x:c>
      <x:c r="AS426" s="17" t="n">
        <x:f>IF('Control Room'!$B$5="Normal",'Control Room'!$B$7,('Control Room'!$B$8+'Control Room'!$D$8)/2)+'Control Room'!$B$9*(AS425-IF('Control Room'!$B$5="Normal",'Control Room'!$B$7,('Control Room'!$B$8+'Control Room'!$D$8)/2))+SQRT(1-'Control Room'!$B$9^2)*(AR426-IF('Control Room'!$B$5="Normal",'Control Room'!$B$7,('Control Room'!$B$8+'Control Room'!$D$8)/2))</x:f>
        <x:v>1086.1373809140644</x:v>
      </x:c>
      <x:c r="AT426" s="17" t="n">
        <x:f>IF(AND($A426&gt;='Control Room'!$A$13,$A426&lt;'Control Room'!$A$13+'Control Room'!$B$13,'Process'!BS2=1),1+('Control Room'!$C$13-1)*EXP(-0.5*(($A426-'Control Room'!$A$13-('Control Room'!$B$13-1)/2)/MAX(0.5,'Control Room'!$B$13/4))^2),1)*IF(AND($A426&gt;='Control Room'!$A$14,$A426&lt;'Control Room'!$A$14+'Control Room'!$B$14,'Process'!BS3=1),1+('Control Room'!$C$14-1)*EXP(-0.5*(($A426-'Control Room'!$A$14-('Control Room'!$B$14-1)/2)/MAX(0.5,'Control Room'!$B$14/4))^2),1)*IF(AND($A426&gt;='Control Room'!$A$15,$A426&lt;'Control Room'!$A$15+'Control Room'!$B$15,'Process'!BS4=1),1+('Control Room'!$C$15-1)*EXP(-0.5*(($A426-'Control Room'!$A$15-('Control Room'!$B$15-1)/2)/MAX(0.5,'Control Room'!$B$15/4))^2),1)*IF(AND($A426&gt;='Control Room'!$A$16,$A426&lt;'Control Room'!$A$16+'Control Room'!$B$16,'Process'!BS5=1),1+('Control Room'!$C$16-1)*EXP(-0.5*(($A426-'Control Room'!$A$16-('Control Room'!$B$16-1)/2)/MAX(0.5,'Control Room'!$B$16/4))^2),1)</x:f>
        <x:v>1</x:v>
      </x:c>
      <x:c r="AU426" s="9" t="n">
        <x:f>MOD(AV425*16807,2147483647)</x:f>
        <x:v>945052547</x:v>
      </x:c>
      <x:c r="AV426" s="9" t="n">
        <x:f>MOD(AU426*16807,2147483647)</x:f>
        <x:v>709104217</x:v>
      </x:c>
      <x:c r="AW426" s="17" t="n">
        <x:f>IF('Control Room'!$B$5="Normal",'Control Room'!$B$7+'Control Room'!$D$7*SQRT(-2*LN(MAX(0.000000000001,AU426/2147483647)))*COS(2*PI()*AV426/2147483647),'Control Room'!$B$8+('Control Room'!$D$8-'Control Room'!$B$8)*AU426/2147483647)</x:f>
        <x:v>944.3189657316344</x:v>
      </x:c>
      <x:c r="AX426" s="17" t="n">
        <x:f>IF('Control Room'!$B$5="Normal",'Control Room'!$B$7,('Control Room'!$B$8+'Control Room'!$D$8)/2)+'Control Room'!$B$9*(AX425-IF('Control Room'!$B$5="Normal",'Control Room'!$B$7,('Control Room'!$B$8+'Control Room'!$D$8)/2))+SQRT(1-'Control Room'!$B$9^2)*(AW426-IF('Control Room'!$B$5="Normal",'Control Room'!$B$7,('Control Room'!$B$8+'Control Room'!$D$8)/2))</x:f>
        <x:v>949.2342279590089</x:v>
      </x:c>
      <x:c r="AY426" s="17" t="n">
        <x:f>IF(AND($A426&gt;='Control Room'!$A$13,$A426&lt;'Control Room'!$A$13+'Control Room'!$B$13,'Process'!BT2=1),1+('Control Room'!$C$13-1)*EXP(-0.5*(($A426-'Control Room'!$A$13-('Control Room'!$B$13-1)/2)/MAX(0.5,'Control Room'!$B$13/4))^2),1)*IF(AND($A426&gt;='Control Room'!$A$14,$A426&lt;'Control Room'!$A$14+'Control Room'!$B$14,'Process'!BT3=1),1+('Control Room'!$C$14-1)*EXP(-0.5*(($A426-'Control Room'!$A$14-('Control Room'!$B$14-1)/2)/MAX(0.5,'Control Room'!$B$14/4))^2),1)*IF(AND($A426&gt;='Control Room'!$A$15,$A426&lt;'Control Room'!$A$15+'Control Room'!$B$15,'Process'!BT4=1),1+('Control Room'!$C$15-1)*EXP(-0.5*(($A426-'Control Room'!$A$15-('Control Room'!$B$15-1)/2)/MAX(0.5,'Control Room'!$B$15/4))^2),1)*IF(AND($A426&gt;='Control Room'!$A$16,$A426&lt;'Control Room'!$A$16+'Control Room'!$B$16,'Process'!BT5=1),1+('Control Room'!$C$16-1)*EXP(-0.5*(($A426-'Control Room'!$A$16-('Control Room'!$B$16-1)/2)/MAX(0.5,'Control Room'!$B$16/4))^2),1)</x:f>
        <x:v>1</x:v>
      </x:c>
      <x:c r="AZ426" s="9" t="n">
        <x:f>MOD(BA425*16807,2147483647)</x:f>
        <x:v>1166645974</x:v>
      </x:c>
      <x:c r="BA426" s="9" t="n">
        <x:f>MOD(AZ426*16807,2147483647)</x:f>
        <x:v>1293187908</x:v>
      </x:c>
      <x:c r="BB426" s="17" t="n">
        <x:f>IF('Control Room'!$B$5="Normal",'Control Room'!$B$7+'Control Room'!$D$7*SQRT(-2*LN(MAX(0.000000000001,AZ426/2147483647)))*COS(2*PI()*BA426/2147483647),'Control Room'!$B$8+('Control Room'!$D$8-'Control Room'!$B$8)*AZ426/2147483647)</x:f>
        <x:v>920.3770349224548</x:v>
      </x:c>
      <x:c r="BC426" s="17" t="n">
        <x:f>IF('Control Room'!$B$5="Normal",'Control Room'!$B$7,('Control Room'!$B$8+'Control Room'!$D$8)/2)+'Control Room'!$B$9*(BC425-IF('Control Room'!$B$5="Normal",'Control Room'!$B$7,('Control Room'!$B$8+'Control Room'!$D$8)/2))+SQRT(1-'Control Room'!$B$9^2)*(BB426-IF('Control Room'!$B$5="Normal",'Control Room'!$B$7,('Control Room'!$B$8+'Control Room'!$D$8)/2))</x:f>
        <x:v>940.5373367369658</x:v>
      </x:c>
      <x:c r="BD426" s="17" t="n">
        <x:f>IF(AND($A426&gt;='Control Room'!$A$13,$A426&lt;'Control Room'!$A$13+'Control Room'!$B$13,'Process'!BU2=1),1+('Control Room'!$C$13-1)*EXP(-0.5*(($A426-'Control Room'!$A$13-('Control Room'!$B$13-1)/2)/MAX(0.5,'Control Room'!$B$13/4))^2),1)*IF(AND($A426&gt;='Control Room'!$A$14,$A426&lt;'Control Room'!$A$14+'Control Room'!$B$14,'Process'!BU3=1),1+('Control Room'!$C$14-1)*EXP(-0.5*(($A426-'Control Room'!$A$14-('Control Room'!$B$14-1)/2)/MAX(0.5,'Control Room'!$B$14/4))^2),1)*IF(AND($A426&gt;='Control Room'!$A$15,$A426&lt;'Control Room'!$A$15+'Control Room'!$B$15,'Process'!BU4=1),1+('Control Room'!$C$15-1)*EXP(-0.5*(($A426-'Control Room'!$A$15-('Control Room'!$B$15-1)/2)/MAX(0.5,'Control Room'!$B$15/4))^2),1)*IF(AND($A426&gt;='Control Room'!$A$16,$A426&lt;'Control Room'!$A$16+'Control Room'!$B$16,'Process'!BU5=1),1+('Control Room'!$C$16-1)*EXP(-0.5*(($A426-'Control Room'!$A$16-('Control Room'!$B$16-1)/2)/MAX(0.5,'Control Room'!$B$16/4))^2),1)</x:f>
        <x:v>1</x:v>
      </x:c>
      <x:c r="BE426" s="9" t="n">
        <x:f>MOD(BF425*16807,2147483647)</x:f>
        <x:v>1388239401</x:v>
      </x:c>
      <x:c r="BF426" s="9" t="n">
        <x:f>MOD(BE426*16807,2147483647)</x:f>
        <x:v>1877271599</x:v>
      </x:c>
      <x:c r="BG426" s="17" t="n">
        <x:f>IF('Control Room'!$B$5="Normal",'Control Room'!$B$7+'Control Room'!$D$7*SQRT(-2*LN(MAX(0.000000000001,BE426/2147483647)))*COS(2*PI()*BF426/2147483647),'Control Room'!$B$8+('Control Room'!$D$8-'Control Room'!$B$8)*BE426/2147483647)</x:f>
        <x:v>1059.1352146058534</x:v>
      </x:c>
      <x:c r="BH426" s="17" t="n">
        <x:f>IF('Control Room'!$B$5="Normal",'Control Room'!$B$7,('Control Room'!$B$8+'Control Room'!$D$8)/2)+'Control Room'!$B$9*(BH425-IF('Control Room'!$B$5="Normal",'Control Room'!$B$7,('Control Room'!$B$8+'Control Room'!$D$8)/2))+SQRT(1-'Control Room'!$B$9^2)*(BG426-IF('Control Room'!$B$5="Normal",'Control Room'!$B$7,('Control Room'!$B$8+'Control Room'!$D$8)/2))</x:f>
        <x:v>1059.9868586662064</x:v>
      </x:c>
      <x:c r="BI426" s="17" t="n">
        <x:f>IF(AND($A426&gt;='Control Room'!$A$13,$A426&lt;'Control Room'!$A$13+'Control Room'!$B$13,'Process'!BV2=1),1+('Control Room'!$C$13-1)*EXP(-0.5*(($A426-'Control Room'!$A$13-('Control Room'!$B$13-1)/2)/MAX(0.5,'Control Room'!$B$13/4))^2),1)*IF(AND($A426&gt;='Control Room'!$A$14,$A426&lt;'Control Room'!$A$14+'Control Room'!$B$14,'Process'!BV3=1),1+('Control Room'!$C$14-1)*EXP(-0.5*(($A426-'Control Room'!$A$14-('Control Room'!$B$14-1)/2)/MAX(0.5,'Control Room'!$B$14/4))^2),1)*IF(AND($A426&gt;='Control Room'!$A$15,$A426&lt;'Control Room'!$A$15+'Control Room'!$B$15,'Process'!BV4=1),1+('Control Room'!$C$15-1)*EXP(-0.5*(($A426-'Control Room'!$A$15-('Control Room'!$B$15-1)/2)/MAX(0.5,'Control Room'!$B$15/4))^2),1)*IF(AND($A426&gt;='Control Room'!$A$16,$A426&lt;'Control Room'!$A$16+'Control Room'!$B$16,'Process'!BV5=1),1+('Control Room'!$C$16-1)*EXP(-0.5*(($A426-'Control Room'!$A$16-('Control Room'!$B$16-1)/2)/MAX(0.5,'Control Room'!$B$16/4))^2),1)</x:f>
        <x:v>1</x:v>
      </x:c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Z426" t="str">
        <x:f>IF('Data'!A426="","",TEXT('Data'!A426,"mm-dd"))</x:f>
      </x:c>
    </x:row>
    <x:row r="427" ht="21" customHeight="1">
      <x:c r="A427" s="15" t="n">
        <x:f>'Control Room'!$B$1+425</x:f>
        <x:v>73416</x:v>
      </x:c>
      <x:c r="B427" s="9" t="n">
        <x:f>MOD(C426*16807,2147483647)</x:f>
        <x:v>901187410</x:v>
      </x:c>
      <x:c r="C427" s="9" t="n">
        <x:f>MOD(B427*16807,2147483647)</x:f>
        <x:v>54637579</x:v>
      </x:c>
      <x:c r="D427" s="17" t="n">
        <x:f>IF('Control Room'!$B$5="Normal",'Control Room'!$B$7+'Control Room'!$D$7*SQRT(-2*LN(MAX(0.000000000001,B427/2147483647)))*COS(2*PI()*C427/2147483647),'Control Room'!$B$8+('Control Room'!$D$8-'Control Room'!$B$8)*B427/2147483647)</x:f>
        <x:v>1117.092485702971</x:v>
      </x:c>
      <x:c r="E427" s="17" t="n">
        <x:f>IF('Control Room'!$B$5="Normal",'Control Room'!$B$7,('Control Room'!$B$8+'Control Room'!$D$8)/2)+'Control Room'!$B$9*(E426-IF('Control Room'!$B$5="Normal",'Control Room'!$B$7,('Control Room'!$B$8+'Control Room'!$D$8)/2))+SQRT(1-'Control Room'!$B$9^2)*(D427-IF('Control Room'!$B$5="Normal",'Control Room'!$B$7,('Control Room'!$B$8+'Control Room'!$D$8)/2))</x:f>
        <x:v>1092.1969284357006</x:v>
      </x:c>
      <x:c r="F427" s="17" t="n">
        <x:f>IF(AND($A427&gt;='Control Room'!$A$13,$A427&lt;'Control Room'!$A$13+'Control Room'!$B$13,'Process'!BK2=1),1+('Control Room'!$C$13-1)*EXP(-0.5*(($A427-'Control Room'!$A$13-('Control Room'!$B$13-1)/2)/MAX(0.5,'Control Room'!$B$13/4))^2),1)*IF(AND($A427&gt;='Control Room'!$A$14,$A427&lt;'Control Room'!$A$14+'Control Room'!$B$14,'Process'!BK3=1),1+('Control Room'!$C$14-1)*EXP(-0.5*(($A427-'Control Room'!$A$14-('Control Room'!$B$14-1)/2)/MAX(0.5,'Control Room'!$B$14/4))^2),1)*IF(AND($A427&gt;='Control Room'!$A$15,$A427&lt;'Control Room'!$A$15+'Control Room'!$B$15,'Process'!BK4=1),1+('Control Room'!$C$15-1)*EXP(-0.5*(($A427-'Control Room'!$A$15-('Control Room'!$B$15-1)/2)/MAX(0.5,'Control Room'!$B$15/4))^2),1)*IF(AND($A427&gt;='Control Room'!$A$16,$A427&lt;'Control Room'!$A$16+'Control Room'!$B$16,'Process'!BK5=1),1+('Control Room'!$C$16-1)*EXP(-0.5*(($A427-'Control Room'!$A$16-('Control Room'!$B$16-1)/2)/MAX(0.5,'Control Room'!$B$16/4))^2),1)</x:f>
        <x:v>1</x:v>
      </x:c>
      <x:c r="G427" s="9" t="n">
        <x:f>MOD(H426*16807,2147483647)</x:f>
        <x:v>1448031610</x:v>
      </x:c>
      <x:c r="H427" s="9" t="n">
        <x:f>MOD(G427*16807,2147483647)</x:f>
        <x:v>1782581466</x:v>
      </x:c>
      <x:c r="I427" s="17" t="n">
        <x:f>IF('Control Room'!$B$5="Normal",'Control Room'!$B$7+'Control Room'!$D$7*SQRT(-2*LN(MAX(0.000000000001,G427/2147483647)))*COS(2*PI()*H427/2147483647),'Control Room'!$B$8+('Control Room'!$D$8-'Control Room'!$B$8)*G427/2147483647)</x:f>
        <x:v>1038.527775939172</x:v>
      </x:c>
      <x:c r="J427" s="17" t="n">
        <x:f>IF('Control Room'!$B$5="Normal",'Control Room'!$B$7,('Control Room'!$B$8+'Control Room'!$D$8)/2)+'Control Room'!$B$9*(J426-IF('Control Room'!$B$5="Normal",'Control Room'!$B$7,('Control Room'!$B$8+'Control Room'!$D$8)/2))+SQRT(1-'Control Room'!$B$9^2)*(I427-IF('Control Room'!$B$5="Normal",'Control Room'!$B$7,('Control Room'!$B$8+'Control Room'!$D$8)/2))</x:f>
        <x:v>1157.3163555353042</x:v>
      </x:c>
      <x:c r="K427" s="17" t="n">
        <x:f>IF(AND($A427&gt;='Control Room'!$A$13,$A427&lt;'Control Room'!$A$13+'Control Room'!$B$13,'Process'!BL2=1),1+('Control Room'!$C$13-1)*EXP(-0.5*(($A427-'Control Room'!$A$13-('Control Room'!$B$13-1)/2)/MAX(0.5,'Control Room'!$B$13/4))^2),1)*IF(AND($A427&gt;='Control Room'!$A$14,$A427&lt;'Control Room'!$A$14+'Control Room'!$B$14,'Process'!BL3=1),1+('Control Room'!$C$14-1)*EXP(-0.5*(($A427-'Control Room'!$A$14-('Control Room'!$B$14-1)/2)/MAX(0.5,'Control Room'!$B$14/4))^2),1)*IF(AND($A427&gt;='Control Room'!$A$15,$A427&lt;'Control Room'!$A$15+'Control Room'!$B$15,'Process'!BL4=1),1+('Control Room'!$C$15-1)*EXP(-0.5*(($A427-'Control Room'!$A$15-('Control Room'!$B$15-1)/2)/MAX(0.5,'Control Room'!$B$15/4))^2),1)*IF(AND($A427&gt;='Control Room'!$A$16,$A427&lt;'Control Room'!$A$16+'Control Room'!$B$16,'Process'!BL5=1),1+('Control Room'!$C$16-1)*EXP(-0.5*(($A427-'Control Room'!$A$16-('Control Room'!$B$16-1)/2)/MAX(0.5,'Control Room'!$B$16/4))^2),1)</x:f>
        <x:v>1</x:v>
      </x:c>
      <x:c r="L427" s="9" t="n">
        <x:f>MOD(M426*16807,2147483647)</x:f>
        <x:v>1994875810</x:v>
      </x:c>
      <x:c r="M427" s="9" t="n">
        <x:f>MOD(L427*16807,2147483647)</x:f>
        <x:v>1363041706</x:v>
      </x:c>
      <x:c r="N427" s="17" t="n">
        <x:f>IF('Control Room'!$B$5="Normal",'Control Room'!$B$7+'Control Room'!$D$7*SQRT(-2*LN(MAX(0.000000000001,L427/2147483647)))*COS(2*PI()*M427/2147483647),'Control Room'!$B$8+('Control Room'!$D$8-'Control Room'!$B$8)*L427/2147483647)</x:f>
        <x:v>977.1008244689849</x:v>
      </x:c>
      <x:c r="O427" s="17" t="n">
        <x:f>IF('Control Room'!$B$5="Normal",'Control Room'!$B$7,('Control Room'!$B$8+'Control Room'!$D$8)/2)+'Control Room'!$B$9*(O426-IF('Control Room'!$B$5="Normal",'Control Room'!$B$7,('Control Room'!$B$8+'Control Room'!$D$8)/2))+SQRT(1-'Control Room'!$B$9^2)*(N427-IF('Control Room'!$B$5="Normal",'Control Room'!$B$7,('Control Room'!$B$8+'Control Room'!$D$8)/2))</x:f>
        <x:v>979.9243846996352</x:v>
      </x:c>
      <x:c r="P427" s="17" t="n">
        <x:f>IF(AND($A427&gt;='Control Room'!$A$13,$A427&lt;'Control Room'!$A$13+'Control Room'!$B$13,'Process'!BM2=1),1+('Control Room'!$C$13-1)*EXP(-0.5*(($A427-'Control Room'!$A$13-('Control Room'!$B$13-1)/2)/MAX(0.5,'Control Room'!$B$13/4))^2),1)*IF(AND($A427&gt;='Control Room'!$A$14,$A427&lt;'Control Room'!$A$14+'Control Room'!$B$14,'Process'!BM3=1),1+('Control Room'!$C$14-1)*EXP(-0.5*(($A427-'Control Room'!$A$14-('Control Room'!$B$14-1)/2)/MAX(0.5,'Control Room'!$B$14/4))^2),1)*IF(AND($A427&gt;='Control Room'!$A$15,$A427&lt;'Control Room'!$A$15+'Control Room'!$B$15,'Process'!BM4=1),1+('Control Room'!$C$15-1)*EXP(-0.5*(($A427-'Control Room'!$A$15-('Control Room'!$B$15-1)/2)/MAX(0.5,'Control Room'!$B$15/4))^2),1)*IF(AND($A427&gt;='Control Room'!$A$16,$A427&lt;'Control Room'!$A$16+'Control Room'!$B$16,'Process'!BM5=1),1+('Control Room'!$C$16-1)*EXP(-0.5*(($A427-'Control Room'!$A$16-('Control Room'!$B$16-1)/2)/MAX(0.5,'Control Room'!$B$16/4))^2),1)</x:f>
        <x:v>1</x:v>
      </x:c>
      <x:c r="Q427" s="9" t="n">
        <x:f>MOD(R426*16807,2147483647)</x:f>
        <x:v>394236363</x:v>
      </x:c>
      <x:c r="R427" s="9" t="n">
        <x:f>MOD(Q427*16807,2147483647)</x:f>
        <x:v>943501946</x:v>
      </x:c>
      <x:c r="S427" s="17" t="n">
        <x:f>IF('Control Room'!$B$5="Normal",'Control Room'!$B$7+'Control Room'!$D$7*SQRT(-2*LN(MAX(0.000000000001,Q427/2147483647)))*COS(2*PI()*R427/2147483647),'Control Room'!$B$8+('Control Room'!$D$8-'Control Room'!$B$8)*Q427/2147483647)</x:f>
        <x:v>846.1739073867964</x:v>
      </x:c>
      <x:c r="T427" s="17" t="n">
        <x:f>IF('Control Room'!$B$5="Normal",'Control Room'!$B$7,('Control Room'!$B$8+'Control Room'!$D$8)/2)+'Control Room'!$B$9*(T426-IF('Control Room'!$B$5="Normal",'Control Room'!$B$7,('Control Room'!$B$8+'Control Room'!$D$8)/2))+SQRT(1-'Control Room'!$B$9^2)*(S427-IF('Control Room'!$B$5="Normal",'Control Room'!$B$7,('Control Room'!$B$8+'Control Room'!$D$8)/2))</x:f>
        <x:v>947.7214096848542</x:v>
      </x:c>
      <x:c r="U427" s="17" t="n">
        <x:f>IF(AND($A427&gt;='Control Room'!$A$13,$A427&lt;'Control Room'!$A$13+'Control Room'!$B$13,'Process'!BN2=1),1+('Control Room'!$C$13-1)*EXP(-0.5*(($A427-'Control Room'!$A$13-('Control Room'!$B$13-1)/2)/MAX(0.5,'Control Room'!$B$13/4))^2),1)*IF(AND($A427&gt;='Control Room'!$A$14,$A427&lt;'Control Room'!$A$14+'Control Room'!$B$14,'Process'!BN3=1),1+('Control Room'!$C$14-1)*EXP(-0.5*(($A427-'Control Room'!$A$14-('Control Room'!$B$14-1)/2)/MAX(0.5,'Control Room'!$B$14/4))^2),1)*IF(AND($A427&gt;='Control Room'!$A$15,$A427&lt;'Control Room'!$A$15+'Control Room'!$B$15,'Process'!BN4=1),1+('Control Room'!$C$15-1)*EXP(-0.5*(($A427-'Control Room'!$A$15-('Control Room'!$B$15-1)/2)/MAX(0.5,'Control Room'!$B$15/4))^2),1)*IF(AND($A427&gt;='Control Room'!$A$16,$A427&lt;'Control Room'!$A$16+'Control Room'!$B$16,'Process'!BN5=1),1+('Control Room'!$C$16-1)*EXP(-0.5*(($A427-'Control Room'!$A$16-('Control Room'!$B$16-1)/2)/MAX(0.5,'Control Room'!$B$16/4))^2),1)</x:f>
        <x:v>1</x:v>
      </x:c>
      <x:c r="V427" s="9" t="n">
        <x:f>MOD(W426*16807,2147483647)</x:f>
        <x:v>941080563</x:v>
      </x:c>
      <x:c r="W427" s="9" t="n">
        <x:f>MOD(V427*16807,2147483647)</x:f>
        <x:v>523962186</x:v>
      </x:c>
      <x:c r="X427" s="17" t="n">
        <x:f>IF('Control Room'!$B$5="Normal",'Control Room'!$B$7+'Control Room'!$D$7*SQRT(-2*LN(MAX(0.000000000001,V427/2147483647)))*COS(2*PI()*W427/2147483647),'Control Room'!$B$8+('Control Room'!$D$8-'Control Room'!$B$8)*V427/2147483647)</x:f>
        <x:v>1004.365366699652</x:v>
      </x:c>
      <x:c r="Y427" s="17" t="n">
        <x:f>IF('Control Room'!$B$5="Normal",'Control Room'!$B$7,('Control Room'!$B$8+'Control Room'!$D$8)/2)+'Control Room'!$B$9*(Y426-IF('Control Room'!$B$5="Normal",'Control Room'!$B$7,('Control Room'!$B$8+'Control Room'!$D$8)/2))+SQRT(1-'Control Room'!$B$9^2)*(X427-IF('Control Room'!$B$5="Normal",'Control Room'!$B$7,('Control Room'!$B$8+'Control Room'!$D$8)/2))</x:f>
        <x:v>1032.498575114544</x:v>
      </x:c>
      <x:c r="Z427" s="17" t="n">
        <x:f>IF(AND($A427&gt;='Control Room'!$A$13,$A427&lt;'Control Room'!$A$13+'Control Room'!$B$13,'Process'!BO2=1),1+('Control Room'!$C$13-1)*EXP(-0.5*(($A427-'Control Room'!$A$13-('Control Room'!$B$13-1)/2)/MAX(0.5,'Control Room'!$B$13/4))^2),1)*IF(AND($A427&gt;='Control Room'!$A$14,$A427&lt;'Control Room'!$A$14+'Control Room'!$B$14,'Process'!BO3=1),1+('Control Room'!$C$14-1)*EXP(-0.5*(($A427-'Control Room'!$A$14-('Control Room'!$B$14-1)/2)/MAX(0.5,'Control Room'!$B$14/4))^2),1)*IF(AND($A427&gt;='Control Room'!$A$15,$A427&lt;'Control Room'!$A$15+'Control Room'!$B$15,'Process'!BO4=1),1+('Control Room'!$C$15-1)*EXP(-0.5*(($A427-'Control Room'!$A$15-('Control Room'!$B$15-1)/2)/MAX(0.5,'Control Room'!$B$15/4))^2),1)*IF(AND($A427&gt;='Control Room'!$A$16,$A427&lt;'Control Room'!$A$16+'Control Room'!$B$16,'Process'!BO5=1),1+('Control Room'!$C$16-1)*EXP(-0.5*(($A427-'Control Room'!$A$16-('Control Room'!$B$16-1)/2)/MAX(0.5,'Control Room'!$B$16/4))^2),1)</x:f>
        <x:v>1</x:v>
      </x:c>
      <x:c r="AA427" s="9" t="n">
        <x:f>MOD(AB426*16807,2147483647)</x:f>
        <x:v>1487924763</x:v>
      </x:c>
      <x:c r="AB427" s="9" t="n">
        <x:f>MOD(AA427*16807,2147483647)</x:f>
        <x:v>104422426</x:v>
      </x:c>
      <x:c r="AC427" s="17" t="n">
        <x:f>IF('Control Room'!$B$5="Normal",'Control Room'!$B$7+'Control Room'!$D$7*SQRT(-2*LN(MAX(0.000000000001,AA427/2147483647)))*COS(2*PI()*AB427/2147483647),'Control Room'!$B$8+('Control Room'!$D$8-'Control Room'!$B$8)*AA427/2147483647)</x:f>
        <x:v>1073.5270283339357</x:v>
      </x:c>
      <x:c r="AD427" s="17" t="n">
        <x:f>IF('Control Room'!$B$5="Normal",'Control Room'!$B$7,('Control Room'!$B$8+'Control Room'!$D$8)/2)+'Control Room'!$B$9*(AD426-IF('Control Room'!$B$5="Normal",'Control Room'!$B$7,('Control Room'!$B$8+'Control Room'!$D$8)/2))+SQRT(1-'Control Room'!$B$9^2)*(AC427-IF('Control Room'!$B$5="Normal",'Control Room'!$B$7,('Control Room'!$B$8+'Control Room'!$D$8)/2))</x:f>
        <x:v>1200.4926471487556</x:v>
      </x:c>
      <x:c r="AE427" s="17" t="n">
        <x:f>IF(AND($A427&gt;='Control Room'!$A$13,$A427&lt;'Control Room'!$A$13+'Control Room'!$B$13,'Process'!BP2=1),1+('Control Room'!$C$13-1)*EXP(-0.5*(($A427-'Control Room'!$A$13-('Control Room'!$B$13-1)/2)/MAX(0.5,'Control Room'!$B$13/4))^2),1)*IF(AND($A427&gt;='Control Room'!$A$14,$A427&lt;'Control Room'!$A$14+'Control Room'!$B$14,'Process'!BP3=1),1+('Control Room'!$C$14-1)*EXP(-0.5*(($A427-'Control Room'!$A$14-('Control Room'!$B$14-1)/2)/MAX(0.5,'Control Room'!$B$14/4))^2),1)*IF(AND($A427&gt;='Control Room'!$A$15,$A427&lt;'Control Room'!$A$15+'Control Room'!$B$15,'Process'!BP4=1),1+('Control Room'!$C$15-1)*EXP(-0.5*(($A427-'Control Room'!$A$15-('Control Room'!$B$15-1)/2)/MAX(0.5,'Control Room'!$B$15/4))^2),1)*IF(AND($A427&gt;='Control Room'!$A$16,$A427&lt;'Control Room'!$A$16+'Control Room'!$B$16,'Process'!BP5=1),1+('Control Room'!$C$16-1)*EXP(-0.5*(($A427-'Control Room'!$A$16-('Control Room'!$B$16-1)/2)/MAX(0.5,'Control Room'!$B$16/4))^2),1)</x:f>
        <x:v>1</x:v>
      </x:c>
      <x:c r="AF427" s="9" t="n">
        <x:f>MOD(AG426*16807,2147483647)</x:f>
        <x:v>2034768963</x:v>
      </x:c>
      <x:c r="AG427" s="9" t="n">
        <x:f>MOD(AF427*16807,2147483647)</x:f>
        <x:v>1832366313</x:v>
      </x:c>
      <x:c r="AH427" s="17" t="n">
        <x:f>IF('Control Room'!$B$5="Normal",'Control Room'!$B$7+'Control Room'!$D$7*SQRT(-2*LN(MAX(0.000000000001,AF427/2147483647)))*COS(2*PI()*AG427/2147483647),'Control Room'!$B$8+('Control Room'!$D$8-'Control Room'!$B$8)*AF427/2147483647)</x:f>
        <x:v>1017.8575289244388</x:v>
      </x:c>
      <x:c r="AI427" s="17" t="n">
        <x:f>IF('Control Room'!$B$5="Normal",'Control Room'!$B$7,('Control Room'!$B$8+'Control Room'!$D$8)/2)+'Control Room'!$B$9*(AI426-IF('Control Room'!$B$5="Normal",'Control Room'!$B$7,('Control Room'!$B$8+'Control Room'!$D$8)/2))+SQRT(1-'Control Room'!$B$9^2)*(AH427-IF('Control Room'!$B$5="Normal",'Control Room'!$B$7,('Control Room'!$B$8+'Control Room'!$D$8)/2))</x:f>
        <x:v>970.2232775133397</x:v>
      </x:c>
      <x:c r="AJ427" s="17" t="n">
        <x:f>IF(AND($A427&gt;='Control Room'!$A$13,$A427&lt;'Control Room'!$A$13+'Control Room'!$B$13,'Process'!BQ2=1),1+('Control Room'!$C$13-1)*EXP(-0.5*(($A427-'Control Room'!$A$13-('Control Room'!$B$13-1)/2)/MAX(0.5,'Control Room'!$B$13/4))^2),1)*IF(AND($A427&gt;='Control Room'!$A$14,$A427&lt;'Control Room'!$A$14+'Control Room'!$B$14,'Process'!BQ3=1),1+('Control Room'!$C$14-1)*EXP(-0.5*(($A427-'Control Room'!$A$14-('Control Room'!$B$14-1)/2)/MAX(0.5,'Control Room'!$B$14/4))^2),1)*IF(AND($A427&gt;='Control Room'!$A$15,$A427&lt;'Control Room'!$A$15+'Control Room'!$B$15,'Process'!BQ4=1),1+('Control Room'!$C$15-1)*EXP(-0.5*(($A427-'Control Room'!$A$15-('Control Room'!$B$15-1)/2)/MAX(0.5,'Control Room'!$B$15/4))^2),1)*IF(AND($A427&gt;='Control Room'!$A$16,$A427&lt;'Control Room'!$A$16+'Control Room'!$B$16,'Process'!BQ5=1),1+('Control Room'!$C$16-1)*EXP(-0.5*(($A427-'Control Room'!$A$16-('Control Room'!$B$16-1)/2)/MAX(0.5,'Control Room'!$B$16/4))^2),1)</x:f>
        <x:v>1</x:v>
      </x:c>
      <x:c r="AK427" s="9" t="n">
        <x:f>MOD(AL426*16807,2147483647)</x:f>
        <x:v>434129516</x:v>
      </x:c>
      <x:c r="AL427" s="9" t="n">
        <x:f>MOD(AK427*16807,2147483647)</x:f>
        <x:v>1412826553</x:v>
      </x:c>
      <x:c r="AM427" s="17" t="n">
        <x:f>IF('Control Room'!$B$5="Normal",'Control Room'!$B$7+'Control Room'!$D$7*SQRT(-2*LN(MAX(0.000000000001,AK427/2147483647)))*COS(2*PI()*AL427/2147483647),'Control Room'!$B$8+('Control Room'!$D$8-'Control Room'!$B$8)*AK427/2147483647)</x:f>
        <x:v>911.9818714429828</x:v>
      </x:c>
      <x:c r="AN427" s="17" t="n">
        <x:f>IF('Control Room'!$B$5="Normal",'Control Room'!$B$7,('Control Room'!$B$8+'Control Room'!$D$8)/2)+'Control Room'!$B$9*(AN426-IF('Control Room'!$B$5="Normal",'Control Room'!$B$7,('Control Room'!$B$8+'Control Room'!$D$8)/2))+SQRT(1-'Control Room'!$B$9^2)*(AM427-IF('Control Room'!$B$5="Normal",'Control Room'!$B$7,('Control Room'!$B$8+'Control Room'!$D$8)/2))</x:f>
        <x:v>1014.369213260605</x:v>
      </x:c>
      <x:c r="AO427" s="17" t="n">
        <x:f>IF(AND($A427&gt;='Control Room'!$A$13,$A427&lt;'Control Room'!$A$13+'Control Room'!$B$13,'Process'!BR2=1),1+('Control Room'!$C$13-1)*EXP(-0.5*(($A427-'Control Room'!$A$13-('Control Room'!$B$13-1)/2)/MAX(0.5,'Control Room'!$B$13/4))^2),1)*IF(AND($A427&gt;='Control Room'!$A$14,$A427&lt;'Control Room'!$A$14+'Control Room'!$B$14,'Process'!BR3=1),1+('Control Room'!$C$14-1)*EXP(-0.5*(($A427-'Control Room'!$A$14-('Control Room'!$B$14-1)/2)/MAX(0.5,'Control Room'!$B$14/4))^2),1)*IF(AND($A427&gt;='Control Room'!$A$15,$A427&lt;'Control Room'!$A$15+'Control Room'!$B$15,'Process'!BR4=1),1+('Control Room'!$C$15-1)*EXP(-0.5*(($A427-'Control Room'!$A$15-('Control Room'!$B$15-1)/2)/MAX(0.5,'Control Room'!$B$15/4))^2),1)*IF(AND($A427&gt;='Control Room'!$A$16,$A427&lt;'Control Room'!$A$16+'Control Room'!$B$16,'Process'!BR5=1),1+('Control Room'!$C$16-1)*EXP(-0.5*(($A427-'Control Room'!$A$16-('Control Room'!$B$16-1)/2)/MAX(0.5,'Control Room'!$B$16/4))^2),1)</x:f>
        <x:v>1</x:v>
      </x:c>
      <x:c r="AP427" s="9" t="n">
        <x:f>MOD(AQ426*16807,2147483647)</x:f>
        <x:v>980973716</x:v>
      </x:c>
      <x:c r="AQ427" s="9" t="n">
        <x:f>MOD(AP427*16807,2147483647)</x:f>
        <x:v>993286793</x:v>
      </x:c>
      <x:c r="AR427" s="17" t="n">
        <x:f>IF('Control Room'!$B$5="Normal",'Control Room'!$B$7+'Control Room'!$D$7*SQRT(-2*LN(MAX(0.000000000001,AP427/2147483647)))*COS(2*PI()*AQ427/2147483647),'Control Room'!$B$8+('Control Room'!$D$8-'Control Room'!$B$8)*AP427/2147483647)</x:f>
        <x:v>890.4447124673693</x:v>
      </x:c>
      <x:c r="AS427" s="17" t="n">
        <x:f>IF('Control Room'!$B$5="Normal",'Control Room'!$B$7,('Control Room'!$B$8+'Control Room'!$D$8)/2)+'Control Room'!$B$9*(AS426-IF('Control Room'!$B$5="Normal",'Control Room'!$B$7,('Control Room'!$B$8+'Control Room'!$D$8)/2))+SQRT(1-'Control Room'!$B$9^2)*(AR427-IF('Control Room'!$B$5="Normal",'Control Room'!$B$7,('Control Room'!$B$8+'Control Room'!$D$8)/2))</x:f>
        <x:v>998.6297025371069</x:v>
      </x:c>
      <x:c r="AT427" s="17" t="n">
        <x:f>IF(AND($A427&gt;='Control Room'!$A$13,$A427&lt;'Control Room'!$A$13+'Control Room'!$B$13,'Process'!BS2=1),1+('Control Room'!$C$13-1)*EXP(-0.5*(($A427-'Control Room'!$A$13-('Control Room'!$B$13-1)/2)/MAX(0.5,'Control Room'!$B$13/4))^2),1)*IF(AND($A427&gt;='Control Room'!$A$14,$A427&lt;'Control Room'!$A$14+'Control Room'!$B$14,'Process'!BS3=1),1+('Control Room'!$C$14-1)*EXP(-0.5*(($A427-'Control Room'!$A$14-('Control Room'!$B$14-1)/2)/MAX(0.5,'Control Room'!$B$14/4))^2),1)*IF(AND($A427&gt;='Control Room'!$A$15,$A427&lt;'Control Room'!$A$15+'Control Room'!$B$15,'Process'!BS4=1),1+('Control Room'!$C$15-1)*EXP(-0.5*(($A427-'Control Room'!$A$15-('Control Room'!$B$15-1)/2)/MAX(0.5,'Control Room'!$B$15/4))^2),1)*IF(AND($A427&gt;='Control Room'!$A$16,$A427&lt;'Control Room'!$A$16+'Control Room'!$B$16,'Process'!BS5=1),1+('Control Room'!$C$16-1)*EXP(-0.5*(($A427-'Control Room'!$A$16-('Control Room'!$B$16-1)/2)/MAX(0.5,'Control Room'!$B$16/4))^2),1)</x:f>
        <x:v>1</x:v>
      </x:c>
      <x:c r="AU427" s="9" t="n">
        <x:f>MOD(AV426*16807,2147483647)</x:f>
        <x:v>1527817916</x:v>
      </x:c>
      <x:c r="AV427" s="9" t="n">
        <x:f>MOD(AU427*16807,2147483647)</x:f>
        <x:v>573747033</x:v>
      </x:c>
      <x:c r="AW427" s="17" t="n">
        <x:f>IF('Control Room'!$B$5="Normal",'Control Room'!$B$7+'Control Room'!$D$7*SQRT(-2*LN(MAX(0.000000000001,AU427/2147483647)))*COS(2*PI()*AV427/2147483647),'Control Room'!$B$8+('Control Room'!$D$8-'Control Room'!$B$8)*AU427/2147483647)</x:f>
        <x:v>992.0027538537822</x:v>
      </x:c>
      <x:c r="AX427" s="17" t="n">
        <x:f>IF('Control Room'!$B$5="Normal",'Control Room'!$B$7,('Control Room'!$B$8+'Control Room'!$D$8)/2)+'Control Room'!$B$9*(AX426-IF('Control Room'!$B$5="Normal",'Control Room'!$B$7,('Control Room'!$B$8+'Control Room'!$D$8)/2))+SQRT(1-'Control Room'!$B$9^2)*(AW427-IF('Control Room'!$B$5="Normal",'Control Room'!$B$7,('Control Room'!$B$8+'Control Room'!$D$8)/2))</x:f>
        <x:v>955.3981850022162</x:v>
      </x:c>
      <x:c r="AY427" s="17" t="n">
        <x:f>IF(AND($A427&gt;='Control Room'!$A$13,$A427&lt;'Control Room'!$A$13+'Control Room'!$B$13,'Process'!BT2=1),1+('Control Room'!$C$13-1)*EXP(-0.5*(($A427-'Control Room'!$A$13-('Control Room'!$B$13-1)/2)/MAX(0.5,'Control Room'!$B$13/4))^2),1)*IF(AND($A427&gt;='Control Room'!$A$14,$A427&lt;'Control Room'!$A$14+'Control Room'!$B$14,'Process'!BT3=1),1+('Control Room'!$C$14-1)*EXP(-0.5*(($A427-'Control Room'!$A$14-('Control Room'!$B$14-1)/2)/MAX(0.5,'Control Room'!$B$14/4))^2),1)*IF(AND($A427&gt;='Control Room'!$A$15,$A427&lt;'Control Room'!$A$15+'Control Room'!$B$15,'Process'!BT4=1),1+('Control Room'!$C$15-1)*EXP(-0.5*(($A427-'Control Room'!$A$15-('Control Room'!$B$15-1)/2)/MAX(0.5,'Control Room'!$B$15/4))^2),1)*IF(AND($A427&gt;='Control Room'!$A$16,$A427&lt;'Control Room'!$A$16+'Control Room'!$B$16,'Process'!BT5=1),1+('Control Room'!$C$16-1)*EXP(-0.5*(($A427-'Control Room'!$A$16-('Control Room'!$B$16-1)/2)/MAX(0.5,'Control Room'!$B$16/4))^2),1)</x:f>
        <x:v>1</x:v>
      </x:c>
      <x:c r="AZ427" s="9" t="n">
        <x:f>MOD(BA426*16807,2147483647)</x:f>
        <x:v>2074662116</x:v>
      </x:c>
      <x:c r="BA427" s="9" t="n">
        <x:f>MOD(AZ427*16807,2147483647)</x:f>
        <x:v>154207273</x:v>
      </x:c>
      <x:c r="BB427" s="17" t="n">
        <x:f>IF('Control Room'!$B$5="Normal",'Control Room'!$B$7+'Control Room'!$D$7*SQRT(-2*LN(MAX(0.000000000001,AZ427/2147483647)))*COS(2*PI()*BA427/2147483647),'Control Room'!$B$8+('Control Room'!$D$8-'Control Room'!$B$8)*AZ427/2147483647)</x:f>
        <x:v>1021.2748504375986</x:v>
      </x:c>
      <x:c r="BC427" s="17" t="n">
        <x:f>IF('Control Room'!$B$5="Normal",'Control Room'!$B$7,('Control Room'!$B$8+'Control Room'!$D$8)/2)+'Control Room'!$B$9*(BC426-IF('Control Room'!$B$5="Normal",'Control Room'!$B$7,('Control Room'!$B$8+'Control Room'!$D$8)/2))+SQRT(1-'Control Room'!$B$9^2)*(BB427-IF('Control Room'!$B$5="Normal",'Control Room'!$B$7,('Control Room'!$B$8+'Control Room'!$D$8)/2))</x:f>
        <x:v>966.9324882196813</x:v>
      </x:c>
      <x:c r="BD427" s="17" t="n">
        <x:f>IF(AND($A427&gt;='Control Room'!$A$13,$A427&lt;'Control Room'!$A$13+'Control Room'!$B$13,'Process'!BU2=1),1+('Control Room'!$C$13-1)*EXP(-0.5*(($A427-'Control Room'!$A$13-('Control Room'!$B$13-1)/2)/MAX(0.5,'Control Room'!$B$13/4))^2),1)*IF(AND($A427&gt;='Control Room'!$A$14,$A427&lt;'Control Room'!$A$14+'Control Room'!$B$14,'Process'!BU3=1),1+('Control Room'!$C$14-1)*EXP(-0.5*(($A427-'Control Room'!$A$14-('Control Room'!$B$14-1)/2)/MAX(0.5,'Control Room'!$B$14/4))^2),1)*IF(AND($A427&gt;='Control Room'!$A$15,$A427&lt;'Control Room'!$A$15+'Control Room'!$B$15,'Process'!BU4=1),1+('Control Room'!$C$15-1)*EXP(-0.5*(($A427-'Control Room'!$A$15-('Control Room'!$B$15-1)/2)/MAX(0.5,'Control Room'!$B$15/4))^2),1)*IF(AND($A427&gt;='Control Room'!$A$16,$A427&lt;'Control Room'!$A$16+'Control Room'!$B$16,'Process'!BU5=1),1+('Control Room'!$C$16-1)*EXP(-0.5*(($A427-'Control Room'!$A$16-('Control Room'!$B$16-1)/2)/MAX(0.5,'Control Room'!$B$16/4))^2),1)</x:f>
        <x:v>1</x:v>
      </x:c>
      <x:c r="BE427" s="9" t="n">
        <x:f>MOD(BF426*16807,2147483647)</x:f>
        <x:v>474022669</x:v>
      </x:c>
      <x:c r="BF427" s="9" t="n">
        <x:f>MOD(BE427*16807,2147483647)</x:f>
        <x:v>1882151160</x:v>
      </x:c>
      <x:c r="BG427" s="17" t="n">
        <x:f>IF('Control Room'!$B$5="Normal",'Control Room'!$B$7+'Control Room'!$D$7*SQRT(-2*LN(MAX(0.000000000001,BE427/2147483647)))*COS(2*PI()*BF427/2147483647),'Control Room'!$B$8+('Control Room'!$D$8-'Control Room'!$B$8)*BE427/2147483647)</x:f>
        <x:v>1111.6227795396976</x:v>
      </x:c>
      <x:c r="BH427" s="17" t="n">
        <x:f>IF('Control Room'!$B$5="Normal",'Control Room'!$B$7,('Control Room'!$B$8+'Control Room'!$D$8)/2)+'Control Room'!$B$9*(BH426-IF('Control Room'!$B$5="Normal",'Control Room'!$B$7,('Control Room'!$B$8+'Control Room'!$D$8)/2))+SQRT(1-'Control Room'!$B$9^2)*(BG427-IF('Control Room'!$B$5="Normal",'Control Room'!$B$7,('Control Room'!$B$8+'Control Room'!$D$8)/2))</x:f>
        <x:v>1116.6409984786508</x:v>
      </x:c>
      <x:c r="BI427" s="17" t="n">
        <x:f>IF(AND($A427&gt;='Control Room'!$A$13,$A427&lt;'Control Room'!$A$13+'Control Room'!$B$13,'Process'!BV2=1),1+('Control Room'!$C$13-1)*EXP(-0.5*(($A427-'Control Room'!$A$13-('Control Room'!$B$13-1)/2)/MAX(0.5,'Control Room'!$B$13/4))^2),1)*IF(AND($A427&gt;='Control Room'!$A$14,$A427&lt;'Control Room'!$A$14+'Control Room'!$B$14,'Process'!BV3=1),1+('Control Room'!$C$14-1)*EXP(-0.5*(($A427-'Control Room'!$A$14-('Control Room'!$B$14-1)/2)/MAX(0.5,'Control Room'!$B$14/4))^2),1)*IF(AND($A427&gt;='Control Room'!$A$15,$A427&lt;'Control Room'!$A$15+'Control Room'!$B$15,'Process'!BV4=1),1+('Control Room'!$C$15-1)*EXP(-0.5*(($A427-'Control Room'!$A$15-('Control Room'!$B$15-1)/2)/MAX(0.5,'Control Room'!$B$15/4))^2),1)*IF(AND($A427&gt;='Control Room'!$A$16,$A427&lt;'Control Room'!$A$16+'Control Room'!$B$16,'Process'!BV5=1),1+('Control Room'!$C$16-1)*EXP(-0.5*(($A427-'Control Room'!$A$16-('Control Room'!$B$16-1)/2)/MAX(0.5,'Control Room'!$B$16/4))^2),1)</x:f>
        <x:v>1</x:v>
      </x:c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Z427" t="str">
        <x:f>IF('Data'!A427="","",TEXT('Data'!A427,"mm-dd"))</x:f>
      </x:c>
    </x:row>
    <x:row r="428" ht="21" customHeight="1">
      <x:c r="A428" s="15" t="n">
        <x:f>'Control Room'!$B$1+426</x:f>
        <x:v>73417</x:v>
      </x:c>
      <x:c r="B428" s="9" t="n">
        <x:f>MOD(C427*16807,2147483647)</x:f>
        <x:v>1318272984</x:v>
      </x:c>
      <x:c r="C428" s="9" t="n">
        <x:f>MOD(B428*16807,2147483647)</x:f>
        <x:v>625255989</x:v>
      </x:c>
      <x:c r="D428" s="17" t="n">
        <x:f>IF('Control Room'!$B$5="Normal",'Control Room'!$B$7+'Control Room'!$D$7*SQRT(-2*LN(MAX(0.000000000001,B428/2147483647)))*COS(2*PI()*C428/2147483647),'Control Room'!$B$8+('Control Room'!$D$8-'Control Room'!$B$8)*B428/2147483647)</x:f>
        <x:v>977.262979497653</x:v>
      </x:c>
      <x:c r="E428" s="17" t="n">
        <x:f>IF('Control Room'!$B$5="Normal",'Control Room'!$B$7,('Control Room'!$B$8+'Control Room'!$D$8)/2)+'Control Room'!$B$9*(E427-IF('Control Room'!$B$5="Normal",'Control Room'!$B$7,('Control Room'!$B$8+'Control Room'!$D$8)/2))+SQRT(1-'Control Room'!$B$9^2)*(D428-IF('Control Room'!$B$5="Normal",'Control Room'!$B$7,('Control Room'!$B$8+'Control Room'!$D$8)/2))</x:f>
        <x:v>1057.685242542661</x:v>
      </x:c>
      <x:c r="F428" s="17" t="n">
        <x:f>IF(AND($A428&gt;='Control Room'!$A$13,$A428&lt;'Control Room'!$A$13+'Control Room'!$B$13,'Process'!BK2=1),1+('Control Room'!$C$13-1)*EXP(-0.5*(($A428-'Control Room'!$A$13-('Control Room'!$B$13-1)/2)/MAX(0.5,'Control Room'!$B$13/4))^2),1)*IF(AND($A428&gt;='Control Room'!$A$14,$A428&lt;'Control Room'!$A$14+'Control Room'!$B$14,'Process'!BK3=1),1+('Control Room'!$C$14-1)*EXP(-0.5*(($A428-'Control Room'!$A$14-('Control Room'!$B$14-1)/2)/MAX(0.5,'Control Room'!$B$14/4))^2),1)*IF(AND($A428&gt;='Control Room'!$A$15,$A428&lt;'Control Room'!$A$15+'Control Room'!$B$15,'Process'!BK4=1),1+('Control Room'!$C$15-1)*EXP(-0.5*(($A428-'Control Room'!$A$15-('Control Room'!$B$15-1)/2)/MAX(0.5,'Control Room'!$B$15/4))^2),1)*IF(AND($A428&gt;='Control Room'!$A$16,$A428&lt;'Control Room'!$A$16+'Control Room'!$B$16,'Process'!BK5=1),1+('Control Room'!$C$16-1)*EXP(-0.5*(($A428-'Control Room'!$A$16-('Control Room'!$B$16-1)/2)/MAX(0.5,'Control Room'!$B$16/4))^2),1)</x:f>
        <x:v>1</x:v>
      </x:c>
      <x:c r="G428" s="9" t="n">
        <x:f>MOD(H427*16807,2147483647)</x:f>
        <x:v>302339765</x:v>
      </x:c>
      <x:c r="H428" s="9" t="n">
        <x:f>MOD(G428*16807,2147483647)</x:f>
        <x:v>478121553</x:v>
      </x:c>
      <x:c r="I428" s="17" t="n">
        <x:f>IF('Control Room'!$B$5="Normal",'Control Room'!$B$7+'Control Room'!$D$7*SQRT(-2*LN(MAX(0.000000000001,G428/2147483647)))*COS(2*PI()*H428/2147483647),'Control Room'!$B$8+('Control Room'!$D$8-'Control Room'!$B$8)*G428/2147483647)</x:f>
        <x:v>1030.4826958472943</x:v>
      </x:c>
      <x:c r="J428" s="17" t="n">
        <x:f>IF('Control Room'!$B$5="Normal",'Control Room'!$B$7,('Control Room'!$B$8+'Control Room'!$D$8)/2)+'Control Room'!$B$9*(J427-IF('Control Room'!$B$5="Normal",'Control Room'!$B$7,('Control Room'!$B$8+'Control Room'!$D$8)/2))+SQRT(1-'Control Room'!$B$9^2)*(I428-IF('Control Room'!$B$5="Normal",'Control Room'!$B$7,('Control Room'!$B$8+'Control Room'!$D$8)/2))</x:f>
        <x:v>1141.7822039068064</x:v>
      </x:c>
      <x:c r="K428" s="17" t="n">
        <x:f>IF(AND($A428&gt;='Control Room'!$A$13,$A428&lt;'Control Room'!$A$13+'Control Room'!$B$13,'Process'!BL2=1),1+('Control Room'!$C$13-1)*EXP(-0.5*(($A428-'Control Room'!$A$13-('Control Room'!$B$13-1)/2)/MAX(0.5,'Control Room'!$B$13/4))^2),1)*IF(AND($A428&gt;='Control Room'!$A$14,$A428&lt;'Control Room'!$A$14+'Control Room'!$B$14,'Process'!BL3=1),1+('Control Room'!$C$14-1)*EXP(-0.5*(($A428-'Control Room'!$A$14-('Control Room'!$B$14-1)/2)/MAX(0.5,'Control Room'!$B$14/4))^2),1)*IF(AND($A428&gt;='Control Room'!$A$15,$A428&lt;'Control Room'!$A$15+'Control Room'!$B$15,'Process'!BL4=1),1+('Control Room'!$C$15-1)*EXP(-0.5*(($A428-'Control Room'!$A$15-('Control Room'!$B$15-1)/2)/MAX(0.5,'Control Room'!$B$15/4))^2),1)*IF(AND($A428&gt;='Control Room'!$A$16,$A428&lt;'Control Room'!$A$16+'Control Room'!$B$16,'Process'!BL5=1),1+('Control Room'!$C$16-1)*EXP(-0.5*(($A428-'Control Room'!$A$16-('Control Room'!$B$16-1)/2)/MAX(0.5,'Control Room'!$B$16/4))^2),1)</x:f>
        <x:v>1</x:v>
      </x:c>
      <x:c r="L428" s="9" t="n">
        <x:f>MOD(M427*16807,2147483647)</x:f>
        <x:v>1433890193</x:v>
      </x:c>
      <x:c r="M428" s="9" t="n">
        <x:f>MOD(L428*16807,2147483647)</x:f>
        <x:v>330987117</x:v>
      </x:c>
      <x:c r="N428" s="17" t="n">
        <x:f>IF('Control Room'!$B$5="Normal",'Control Room'!$B$7+'Control Room'!$D$7*SQRT(-2*LN(MAX(0.000000000001,L428/2147483647)))*COS(2*PI()*M428/2147483647),'Control Room'!$B$8+('Control Room'!$D$8-'Control Room'!$B$8)*L428/2147483647)</x:f>
        <x:v>1045.833117401816</x:v>
      </x:c>
      <x:c r="O428" s="17" t="n">
        <x:f>IF('Control Room'!$B$5="Normal",'Control Room'!$B$7,('Control Room'!$B$8+'Control Room'!$D$8)/2)+'Control Room'!$B$9*(O427-IF('Control Room'!$B$5="Normal",'Control Room'!$B$7,('Control Room'!$B$8+'Control Room'!$D$8)/2))+SQRT(1-'Control Room'!$B$9^2)*(N428-IF('Control Room'!$B$5="Normal",'Control Room'!$B$7,('Control Room'!$B$8+'Control Room'!$D$8)/2))</x:f>
        <x:v>1013.022445993326</x:v>
      </x:c>
      <x:c r="P428" s="17" t="n">
        <x:f>IF(AND($A428&gt;='Control Room'!$A$13,$A428&lt;'Control Room'!$A$13+'Control Room'!$B$13,'Process'!BM2=1),1+('Control Room'!$C$13-1)*EXP(-0.5*(($A428-'Control Room'!$A$13-('Control Room'!$B$13-1)/2)/MAX(0.5,'Control Room'!$B$13/4))^2),1)*IF(AND($A428&gt;='Control Room'!$A$14,$A428&lt;'Control Room'!$A$14+'Control Room'!$B$14,'Process'!BM3=1),1+('Control Room'!$C$14-1)*EXP(-0.5*(($A428-'Control Room'!$A$14-('Control Room'!$B$14-1)/2)/MAX(0.5,'Control Room'!$B$14/4))^2),1)*IF(AND($A428&gt;='Control Room'!$A$15,$A428&lt;'Control Room'!$A$15+'Control Room'!$B$15,'Process'!BM4=1),1+('Control Room'!$C$15-1)*EXP(-0.5*(($A428-'Control Room'!$A$15-('Control Room'!$B$15-1)/2)/MAX(0.5,'Control Room'!$B$15/4))^2),1)*IF(AND($A428&gt;='Control Room'!$A$16,$A428&lt;'Control Room'!$A$16+'Control Room'!$B$16,'Process'!BM5=1),1+('Control Room'!$C$16-1)*EXP(-0.5*(($A428-'Control Room'!$A$16-('Control Room'!$B$16-1)/2)/MAX(0.5,'Control Room'!$B$16/4))^2),1)</x:f>
        <x:v>1</x:v>
      </x:c>
      <x:c r="Q428" s="9" t="n">
        <x:f>MOD(R427*16807,2147483647)</x:f>
        <x:v>417956974</x:v>
      </x:c>
      <x:c r="R428" s="9" t="n">
        <x:f>MOD(Q428*16807,2147483647)</x:f>
        <x:v>183852681</x:v>
      </x:c>
      <x:c r="S428" s="17" t="n">
        <x:f>IF('Control Room'!$B$5="Normal",'Control Room'!$B$7+'Control Room'!$D$7*SQRT(-2*LN(MAX(0.000000000001,Q428/2147483647)))*COS(2*PI()*R428/2147483647),'Control Room'!$B$8+('Control Room'!$D$8-'Control Room'!$B$8)*Q428/2147483647)</x:f>
        <x:v>1139.8356229374726</x:v>
      </x:c>
      <x:c r="T428" s="17" t="n">
        <x:f>IF('Control Room'!$B$5="Normal",'Control Room'!$B$7,('Control Room'!$B$8+'Control Room'!$D$8)/2)+'Control Room'!$B$9*(T427-IF('Control Room'!$B$5="Normal",'Control Room'!$B$7,('Control Room'!$B$8+'Control Room'!$D$8)/2))+SQRT(1-'Control Room'!$B$9^2)*(S428-IF('Control Room'!$B$5="Normal",'Control Room'!$B$7,('Control Room'!$B$8+'Control Room'!$D$8)/2))</x:f>
        <x:v>1046.728967700011</x:v>
      </x:c>
      <x:c r="U428" s="17" t="n">
        <x:f>IF(AND($A428&gt;='Control Room'!$A$13,$A428&lt;'Control Room'!$A$13+'Control Room'!$B$13,'Process'!BN2=1),1+('Control Room'!$C$13-1)*EXP(-0.5*(($A428-'Control Room'!$A$13-('Control Room'!$B$13-1)/2)/MAX(0.5,'Control Room'!$B$13/4))^2),1)*IF(AND($A428&gt;='Control Room'!$A$14,$A428&lt;'Control Room'!$A$14+'Control Room'!$B$14,'Process'!BN3=1),1+('Control Room'!$C$14-1)*EXP(-0.5*(($A428-'Control Room'!$A$14-('Control Room'!$B$14-1)/2)/MAX(0.5,'Control Room'!$B$14/4))^2),1)*IF(AND($A428&gt;='Control Room'!$A$15,$A428&lt;'Control Room'!$A$15+'Control Room'!$B$15,'Process'!BN4=1),1+('Control Room'!$C$15-1)*EXP(-0.5*(($A428-'Control Room'!$A$15-('Control Room'!$B$15-1)/2)/MAX(0.5,'Control Room'!$B$15/4))^2),1)*IF(AND($A428&gt;='Control Room'!$A$16,$A428&lt;'Control Room'!$A$16+'Control Room'!$B$16,'Process'!BN5=1),1+('Control Room'!$C$16-1)*EXP(-0.5*(($A428-'Control Room'!$A$16-('Control Room'!$B$16-1)/2)/MAX(0.5,'Control Room'!$B$16/4))^2),1)</x:f>
        <x:v>1</x:v>
      </x:c>
      <x:c r="V428" s="9" t="n">
        <x:f>MOD(W427*16807,2147483647)</x:f>
        <x:v>1549507402</x:v>
      </x:c>
      <x:c r="W428" s="9" t="n">
        <x:f>MOD(V428*16807,2147483647)</x:f>
        <x:v>36718245</x:v>
      </x:c>
      <x:c r="X428" s="17" t="n">
        <x:f>IF('Control Room'!$B$5="Normal",'Control Room'!$B$7+'Control Room'!$D$7*SQRT(-2*LN(MAX(0.000000000001,V428/2147483647)))*COS(2*PI()*W428/2147483647),'Control Room'!$B$8+('Control Room'!$D$8-'Control Room'!$B$8)*V428/2147483647)</x:f>
        <x:v>1072.2927440665571</x:v>
      </x:c>
      <x:c r="Y428" s="17" t="n">
        <x:f>IF('Control Room'!$B$5="Normal",'Control Room'!$B$7,('Control Room'!$B$8+'Control Room'!$D$8)/2)+'Control Room'!$B$9*(Y427-IF('Control Room'!$B$5="Normal",'Control Room'!$B$7,('Control Room'!$B$8+'Control Room'!$D$8)/2))+SQRT(1-'Control Room'!$B$9^2)*(X428-IF('Control Room'!$B$5="Normal",'Control Room'!$B$7,('Control Room'!$B$8+'Control Room'!$D$8)/2))</x:f>
        <x:v>1070.5882068288342</x:v>
      </x:c>
      <x:c r="Z428" s="17" t="n">
        <x:f>IF(AND($A428&gt;='Control Room'!$A$13,$A428&lt;'Control Room'!$A$13+'Control Room'!$B$13,'Process'!BO2=1),1+('Control Room'!$C$13-1)*EXP(-0.5*(($A428-'Control Room'!$A$13-('Control Room'!$B$13-1)/2)/MAX(0.5,'Control Room'!$B$13/4))^2),1)*IF(AND($A428&gt;='Control Room'!$A$14,$A428&lt;'Control Room'!$A$14+'Control Room'!$B$14,'Process'!BO3=1),1+('Control Room'!$C$14-1)*EXP(-0.5*(($A428-'Control Room'!$A$14-('Control Room'!$B$14-1)/2)/MAX(0.5,'Control Room'!$B$14/4))^2),1)*IF(AND($A428&gt;='Control Room'!$A$15,$A428&lt;'Control Room'!$A$15+'Control Room'!$B$15,'Process'!BO4=1),1+('Control Room'!$C$15-1)*EXP(-0.5*(($A428-'Control Room'!$A$15-('Control Room'!$B$15-1)/2)/MAX(0.5,'Control Room'!$B$15/4))^2),1)*IF(AND($A428&gt;='Control Room'!$A$16,$A428&lt;'Control Room'!$A$16+'Control Room'!$B$16,'Process'!BO5=1),1+('Control Room'!$C$16-1)*EXP(-0.5*(($A428-'Control Room'!$A$16-('Control Room'!$B$16-1)/2)/MAX(0.5,'Control Room'!$B$16/4))^2),1)</x:f>
        <x:v>1</x:v>
      </x:c>
      <x:c r="AA428" s="9" t="n">
        <x:f>MOD(AB427*16807,2147483647)</x:f>
        <x:v>533574183</x:v>
      </x:c>
      <x:c r="AB428" s="9" t="n">
        <x:f>MOD(AA428*16807,2147483647)</x:f>
        <x:v>2037067456</x:v>
      </x:c>
      <x:c r="AC428" s="17" t="n">
        <x:f>IF('Control Room'!$B$5="Normal",'Control Room'!$B$7+'Control Room'!$D$7*SQRT(-2*LN(MAX(0.000000000001,AA428/2147483647)))*COS(2*PI()*AB428/2147483647),'Control Room'!$B$8+('Control Room'!$D$8-'Control Room'!$B$8)*AA428/2147483647)</x:f>
        <x:v>1142.422711488511</x:v>
      </x:c>
      <x:c r="AD428" s="17" t="n">
        <x:f>IF('Control Room'!$B$5="Normal",'Control Room'!$B$7,('Control Room'!$B$8+'Control Room'!$D$8)/2)+'Control Room'!$B$9*(AD427-IF('Control Room'!$B$5="Normal",'Control Room'!$B$7,('Control Room'!$B$8+'Control Room'!$D$8)/2))+SQRT(1-'Control Room'!$B$9^2)*(AC428-IF('Control Room'!$B$5="Normal",'Control Room'!$B$7,('Control Room'!$B$8+'Control Room'!$D$8)/2))</x:f>
        <x:v>1245.509479937704</x:v>
      </x:c>
      <x:c r="AE428" s="17" t="n">
        <x:f>IF(AND($A428&gt;='Control Room'!$A$13,$A428&lt;'Control Room'!$A$13+'Control Room'!$B$13,'Process'!BP2=1),1+('Control Room'!$C$13-1)*EXP(-0.5*(($A428-'Control Room'!$A$13-('Control Room'!$B$13-1)/2)/MAX(0.5,'Control Room'!$B$13/4))^2),1)*IF(AND($A428&gt;='Control Room'!$A$14,$A428&lt;'Control Room'!$A$14+'Control Room'!$B$14,'Process'!BP3=1),1+('Control Room'!$C$14-1)*EXP(-0.5*(($A428-'Control Room'!$A$14-('Control Room'!$B$14-1)/2)/MAX(0.5,'Control Room'!$B$14/4))^2),1)*IF(AND($A428&gt;='Control Room'!$A$15,$A428&lt;'Control Room'!$A$15+'Control Room'!$B$15,'Process'!BP4=1),1+('Control Room'!$C$15-1)*EXP(-0.5*(($A428-'Control Room'!$A$15-('Control Room'!$B$15-1)/2)/MAX(0.5,'Control Room'!$B$15/4))^2),1)*IF(AND($A428&gt;='Control Room'!$A$16,$A428&lt;'Control Room'!$A$16+'Control Room'!$B$16,'Process'!BP5=1),1+('Control Room'!$C$16-1)*EXP(-0.5*(($A428-'Control Room'!$A$16-('Control Room'!$B$16-1)/2)/MAX(0.5,'Control Room'!$B$16/4))^2),1)</x:f>
        <x:v>1</x:v>
      </x:c>
      <x:c r="AF428" s="9" t="n">
        <x:f>MOD(AG427*16807,2147483647)</x:f>
        <x:v>1665124611</x:v>
      </x:c>
      <x:c r="AG428" s="9" t="n">
        <x:f>MOD(AF428*16807,2147483647)</x:f>
        <x:v>1889933020</x:v>
      </x:c>
      <x:c r="AH428" s="17" t="n">
        <x:f>IF('Control Room'!$B$5="Normal",'Control Room'!$B$7+'Control Room'!$D$7*SQRT(-2*LN(MAX(0.000000000001,AF428/2147483647)))*COS(2*PI()*AG428/2147483647),'Control Room'!$B$8+('Control Room'!$D$8-'Control Room'!$B$8)*AF428/2147483647)</x:f>
        <x:v>1046.8163968887613</x:v>
      </x:c>
      <x:c r="AI428" s="17" t="n">
        <x:f>IF('Control Room'!$B$5="Normal",'Control Room'!$B$7,('Control Room'!$B$8+'Control Room'!$D$8)/2)+'Control Room'!$B$9*(AI427-IF('Control Room'!$B$5="Normal",'Control Room'!$B$7,('Control Room'!$B$8+'Control Room'!$D$8)/2))+SQRT(1-'Control Room'!$B$9^2)*(AH428-IF('Control Room'!$B$5="Normal",'Control Room'!$B$7,('Control Room'!$B$8+'Control Room'!$D$8)/2))</x:f>
        <x:v>1006.0708985473706</x:v>
      </x:c>
      <x:c r="AJ428" s="17" t="n">
        <x:f>IF(AND($A428&gt;='Control Room'!$A$13,$A428&lt;'Control Room'!$A$13+'Control Room'!$B$13,'Process'!BQ2=1),1+('Control Room'!$C$13-1)*EXP(-0.5*(($A428-'Control Room'!$A$13-('Control Room'!$B$13-1)/2)/MAX(0.5,'Control Room'!$B$13/4))^2),1)*IF(AND($A428&gt;='Control Room'!$A$14,$A428&lt;'Control Room'!$A$14+'Control Room'!$B$14,'Process'!BQ3=1),1+('Control Room'!$C$14-1)*EXP(-0.5*(($A428-'Control Room'!$A$14-('Control Room'!$B$14-1)/2)/MAX(0.5,'Control Room'!$B$14/4))^2),1)*IF(AND($A428&gt;='Control Room'!$A$15,$A428&lt;'Control Room'!$A$15+'Control Room'!$B$15,'Process'!BQ4=1),1+('Control Room'!$C$15-1)*EXP(-0.5*(($A428-'Control Room'!$A$15-('Control Room'!$B$15-1)/2)/MAX(0.5,'Control Room'!$B$15/4))^2),1)*IF(AND($A428&gt;='Control Room'!$A$16,$A428&lt;'Control Room'!$A$16+'Control Room'!$B$16,'Process'!BQ5=1),1+('Control Room'!$C$16-1)*EXP(-0.5*(($A428-'Control Room'!$A$16-('Control Room'!$B$16-1)/2)/MAX(0.5,'Control Room'!$B$16/4))^2),1)</x:f>
        <x:v>1</x:v>
      </x:c>
      <x:c r="AK428" s="9" t="n">
        <x:f>MOD(AL427*16807,2147483647)</x:f>
        <x:v>649191392</x:v>
      </x:c>
      <x:c r="AL428" s="9" t="n">
        <x:f>MOD(AK428*16807,2147483647)</x:f>
        <x:v>1742798584</x:v>
      </x:c>
      <x:c r="AM428" s="17" t="n">
        <x:f>IF('Control Room'!$B$5="Normal",'Control Room'!$B$7+'Control Room'!$D$7*SQRT(-2*LN(MAX(0.000000000001,AK428/2147483647)))*COS(2*PI()*AL428/2147483647),'Control Room'!$B$8+('Control Room'!$D$8-'Control Room'!$B$8)*AK428/2147483647)</x:f>
        <x:v>1052.5092231614663</x:v>
      </x:c>
      <x:c r="AN428" s="17" t="n">
        <x:f>IF('Control Room'!$B$5="Normal",'Control Room'!$B$7,('Control Room'!$B$8+'Control Room'!$D$8)/2)+'Control Room'!$B$9*(AN427-IF('Control Room'!$B$5="Normal",'Control Room'!$B$7,('Control Room'!$B$8+'Control Room'!$D$8)/2))+SQRT(1-'Control Room'!$B$9^2)*(AM428-IF('Control Room'!$B$5="Normal",'Control Room'!$B$7,('Control Room'!$B$8+'Control Room'!$D$8)/2))</x:f>
        <x:v>1044.067182487811</x:v>
      </x:c>
      <x:c r="AO428" s="17" t="n">
        <x:f>IF(AND($A428&gt;='Control Room'!$A$13,$A428&lt;'Control Room'!$A$13+'Control Room'!$B$13,'Process'!BR2=1),1+('Control Room'!$C$13-1)*EXP(-0.5*(($A428-'Control Room'!$A$13-('Control Room'!$B$13-1)/2)/MAX(0.5,'Control Room'!$B$13/4))^2),1)*IF(AND($A428&gt;='Control Room'!$A$14,$A428&lt;'Control Room'!$A$14+'Control Room'!$B$14,'Process'!BR3=1),1+('Control Room'!$C$14-1)*EXP(-0.5*(($A428-'Control Room'!$A$14-('Control Room'!$B$14-1)/2)/MAX(0.5,'Control Room'!$B$14/4))^2),1)*IF(AND($A428&gt;='Control Room'!$A$15,$A428&lt;'Control Room'!$A$15+'Control Room'!$B$15,'Process'!BR4=1),1+('Control Room'!$C$15-1)*EXP(-0.5*(($A428-'Control Room'!$A$15-('Control Room'!$B$15-1)/2)/MAX(0.5,'Control Room'!$B$15/4))^2),1)*IF(AND($A428&gt;='Control Room'!$A$16,$A428&lt;'Control Room'!$A$16+'Control Room'!$B$16,'Process'!BR5=1),1+('Control Room'!$C$16-1)*EXP(-0.5*(($A428-'Control Room'!$A$16-('Control Room'!$B$16-1)/2)/MAX(0.5,'Control Room'!$B$16/4))^2),1)</x:f>
        <x:v>1</x:v>
      </x:c>
      <x:c r="AP428" s="9" t="n">
        <x:f>MOD(AQ427*16807,2147483647)</x:f>
        <x:v>1780741820</x:v>
      </x:c>
      <x:c r="AQ428" s="9" t="n">
        <x:f>MOD(AP428*16807,2147483647)</x:f>
        <x:v>1595664148</x:v>
      </x:c>
      <x:c r="AR428" s="17" t="n">
        <x:f>IF('Control Room'!$B$5="Normal",'Control Room'!$B$7+'Control Room'!$D$7*SQRT(-2*LN(MAX(0.000000000001,AP428/2147483647)))*COS(2*PI()*AQ428/2147483647),'Control Room'!$B$8+('Control Room'!$D$8-'Control Room'!$B$8)*AP428/2147483647)</x:f>
        <x:v>997.5917614602213</x:v>
      </x:c>
      <x:c r="AS428" s="17" t="n">
        <x:f>IF('Control Room'!$B$5="Normal",'Control Room'!$B$7,('Control Room'!$B$8+'Control Room'!$D$8)/2)+'Control Room'!$B$9*(AS427-IF('Control Room'!$B$5="Normal",'Control Room'!$B$7,('Control Room'!$B$8+'Control Room'!$D$8)/2))+SQRT(1-'Control Room'!$B$9^2)*(AR428-IF('Control Room'!$B$5="Normal",'Control Room'!$B$7,('Control Room'!$B$8+'Control Room'!$D$8)/2))</x:f>
        <x:v>997.424141636198</x:v>
      </x:c>
      <x:c r="AT428" s="17" t="n">
        <x:f>IF(AND($A428&gt;='Control Room'!$A$13,$A428&lt;'Control Room'!$A$13+'Control Room'!$B$13,'Process'!BS2=1),1+('Control Room'!$C$13-1)*EXP(-0.5*(($A428-'Control Room'!$A$13-('Control Room'!$B$13-1)/2)/MAX(0.5,'Control Room'!$B$13/4))^2),1)*IF(AND($A428&gt;='Control Room'!$A$14,$A428&lt;'Control Room'!$A$14+'Control Room'!$B$14,'Process'!BS3=1),1+('Control Room'!$C$14-1)*EXP(-0.5*(($A428-'Control Room'!$A$14-('Control Room'!$B$14-1)/2)/MAX(0.5,'Control Room'!$B$14/4))^2),1)*IF(AND($A428&gt;='Control Room'!$A$15,$A428&lt;'Control Room'!$A$15+'Control Room'!$B$15,'Process'!BS4=1),1+('Control Room'!$C$15-1)*EXP(-0.5*(($A428-'Control Room'!$A$15-('Control Room'!$B$15-1)/2)/MAX(0.5,'Control Room'!$B$15/4))^2),1)*IF(AND($A428&gt;='Control Room'!$A$16,$A428&lt;'Control Room'!$A$16+'Control Room'!$B$16,'Process'!BS5=1),1+('Control Room'!$C$16-1)*EXP(-0.5*(($A428-'Control Room'!$A$16-('Control Room'!$B$16-1)/2)/MAX(0.5,'Control Room'!$B$16/4))^2),1)</x:f>
        <x:v>1</x:v>
      </x:c>
      <x:c r="AU428" s="9" t="n">
        <x:f>MOD(AV427*16807,2147483647)</x:f>
        <x:v>764808601</x:v>
      </x:c>
      <x:c r="AV428" s="9" t="n">
        <x:f>MOD(AU428*16807,2147483647)</x:f>
        <x:v>1448529712</x:v>
      </x:c>
      <x:c r="AW428" s="17" t="n">
        <x:f>IF('Control Room'!$B$5="Normal",'Control Room'!$B$7+'Control Room'!$D$7*SQRT(-2*LN(MAX(0.000000000001,AU428/2147483647)))*COS(2*PI()*AV428/2147483647),'Control Room'!$B$8+('Control Room'!$D$8-'Control Room'!$B$8)*AU428/2147483647)</x:f>
        <x:v>940.9428438848806</x:v>
      </x:c>
      <x:c r="AX428" s="17" t="n">
        <x:f>IF('Control Room'!$B$5="Normal",'Control Room'!$B$7,('Control Room'!$B$8+'Control Room'!$D$8)/2)+'Control Room'!$B$9*(AX427-IF('Control Room'!$B$5="Normal",'Control Room'!$B$7,('Control Room'!$B$8+'Control Room'!$D$8)/2))+SQRT(1-'Control Room'!$B$9^2)*(AW428-IF('Control Room'!$B$5="Normal",'Control Room'!$B$7,('Control Room'!$B$8+'Control Room'!$D$8)/2))</x:f>
        <x:v>928.2538258564913</x:v>
      </x:c>
      <x:c r="AY428" s="17" t="n">
        <x:f>IF(AND($A428&gt;='Control Room'!$A$13,$A428&lt;'Control Room'!$A$13+'Control Room'!$B$13,'Process'!BT2=1),1+('Control Room'!$C$13-1)*EXP(-0.5*(($A428-'Control Room'!$A$13-('Control Room'!$B$13-1)/2)/MAX(0.5,'Control Room'!$B$13/4))^2),1)*IF(AND($A428&gt;='Control Room'!$A$14,$A428&lt;'Control Room'!$A$14+'Control Room'!$B$14,'Process'!BT3=1),1+('Control Room'!$C$14-1)*EXP(-0.5*(($A428-'Control Room'!$A$14-('Control Room'!$B$14-1)/2)/MAX(0.5,'Control Room'!$B$14/4))^2),1)*IF(AND($A428&gt;='Control Room'!$A$15,$A428&lt;'Control Room'!$A$15+'Control Room'!$B$15,'Process'!BT4=1),1+('Control Room'!$C$15-1)*EXP(-0.5*(($A428-'Control Room'!$A$15-('Control Room'!$B$15-1)/2)/MAX(0.5,'Control Room'!$B$15/4))^2),1)*IF(AND($A428&gt;='Control Room'!$A$16,$A428&lt;'Control Room'!$A$16+'Control Room'!$B$16,'Process'!BT5=1),1+('Control Room'!$C$16-1)*EXP(-0.5*(($A428-'Control Room'!$A$16-('Control Room'!$B$16-1)/2)/MAX(0.5,'Control Room'!$B$16/4))^2),1)</x:f>
        <x:v>1</x:v>
      </x:c>
      <x:c r="AZ428" s="9" t="n">
        <x:f>MOD(BA427*16807,2147483647)</x:f>
        <x:v>1896359029</x:v>
      </x:c>
      <x:c r="BA428" s="9" t="n">
        <x:f>MOD(AZ428*16807,2147483647)</x:f>
        <x:v>1301395276</x:v>
      </x:c>
      <x:c r="BB428" s="17" t="n">
        <x:f>IF('Control Room'!$B$5="Normal",'Control Room'!$B$7+'Control Room'!$D$7*SQRT(-2*LN(MAX(0.000000000001,AZ428/2147483647)))*COS(2*PI()*BA428/2147483647),'Control Room'!$B$8+('Control Room'!$D$8-'Control Room'!$B$8)*AZ428/2147483647)</x:f>
        <x:v>964.7092114806833</x:v>
      </x:c>
      <x:c r="BC428" s="17" t="n">
        <x:f>IF('Control Room'!$B$5="Normal",'Control Room'!$B$7,('Control Room'!$B$8+'Control Room'!$D$8)/2)+'Control Room'!$B$9*(BC427-IF('Control Room'!$B$5="Normal",'Control Room'!$B$7,('Control Room'!$B$8+'Control Room'!$D$8)/2))+SQRT(1-'Control Room'!$B$9^2)*(BB428-IF('Control Room'!$B$5="Normal",'Control Room'!$B$7,('Control Room'!$B$8+'Control Room'!$D$8)/2))</x:f>
        <x:v>952.1230883270628</x:v>
      </x:c>
      <x:c r="BD428" s="17" t="n">
        <x:f>IF(AND($A428&gt;='Control Room'!$A$13,$A428&lt;'Control Room'!$A$13+'Control Room'!$B$13,'Process'!BU2=1),1+('Control Room'!$C$13-1)*EXP(-0.5*(($A428-'Control Room'!$A$13-('Control Room'!$B$13-1)/2)/MAX(0.5,'Control Room'!$B$13/4))^2),1)*IF(AND($A428&gt;='Control Room'!$A$14,$A428&lt;'Control Room'!$A$14+'Control Room'!$B$14,'Process'!BU3=1),1+('Control Room'!$C$14-1)*EXP(-0.5*(($A428-'Control Room'!$A$14-('Control Room'!$B$14-1)/2)/MAX(0.5,'Control Room'!$B$14/4))^2),1)*IF(AND($A428&gt;='Control Room'!$A$15,$A428&lt;'Control Room'!$A$15+'Control Room'!$B$15,'Process'!BU4=1),1+('Control Room'!$C$15-1)*EXP(-0.5*(($A428-'Control Room'!$A$15-('Control Room'!$B$15-1)/2)/MAX(0.5,'Control Room'!$B$15/4))^2),1)*IF(AND($A428&gt;='Control Room'!$A$16,$A428&lt;'Control Room'!$A$16+'Control Room'!$B$16,'Process'!BU5=1),1+('Control Room'!$C$16-1)*EXP(-0.5*(($A428-'Control Room'!$A$16-('Control Room'!$B$16-1)/2)/MAX(0.5,'Control Room'!$B$16/4))^2),1)</x:f>
        <x:v>1</x:v>
      </x:c>
      <x:c r="BE428" s="9" t="n">
        <x:f>MOD(BF427*16807,2147483647)</x:f>
        <x:v>880425810</x:v>
      </x:c>
      <x:c r="BF428" s="9" t="n">
        <x:f>MOD(BE428*16807,2147483647)</x:f>
        <x:v>1154260840</x:v>
      </x:c>
      <x:c r="BG428" s="17" t="n">
        <x:f>IF('Control Room'!$B$5="Normal",'Control Room'!$B$7+'Control Room'!$D$7*SQRT(-2*LN(MAX(0.000000000001,BE428/2147483647)))*COS(2*PI()*BF428/2147483647),'Control Room'!$B$8+('Control Room'!$D$8-'Control Room'!$B$8)*BE428/2147483647)</x:f>
        <x:v>883.1338084434185</x:v>
      </x:c>
      <x:c r="BH428" s="17" t="n">
        <x:f>IF('Control Room'!$B$5="Normal",'Control Room'!$B$7,('Control Room'!$B$8+'Control Room'!$D$8)/2)+'Control Room'!$B$9*(BH427-IF('Control Room'!$B$5="Normal",'Control Room'!$B$7,('Control Room'!$B$8+'Control Room'!$D$8)/2))+SQRT(1-'Control Room'!$B$9^2)*(BG428-IF('Control Room'!$B$5="Normal",'Control Room'!$B$7,('Control Room'!$B$8+'Control Room'!$D$8)/2))</x:f>
        <x:v>1017.8475102713056</x:v>
      </x:c>
      <x:c r="BI428" s="17" t="n">
        <x:f>IF(AND($A428&gt;='Control Room'!$A$13,$A428&lt;'Control Room'!$A$13+'Control Room'!$B$13,'Process'!BV2=1),1+('Control Room'!$C$13-1)*EXP(-0.5*(($A428-'Control Room'!$A$13-('Control Room'!$B$13-1)/2)/MAX(0.5,'Control Room'!$B$13/4))^2),1)*IF(AND($A428&gt;='Control Room'!$A$14,$A428&lt;'Control Room'!$A$14+'Control Room'!$B$14,'Process'!BV3=1),1+('Control Room'!$C$14-1)*EXP(-0.5*(($A428-'Control Room'!$A$14-('Control Room'!$B$14-1)/2)/MAX(0.5,'Control Room'!$B$14/4))^2),1)*IF(AND($A428&gt;='Control Room'!$A$15,$A428&lt;'Control Room'!$A$15+'Control Room'!$B$15,'Process'!BV4=1),1+('Control Room'!$C$15-1)*EXP(-0.5*(($A428-'Control Room'!$A$15-('Control Room'!$B$15-1)/2)/MAX(0.5,'Control Room'!$B$15/4))^2),1)*IF(AND($A428&gt;='Control Room'!$A$16,$A428&lt;'Control Room'!$A$16+'Control Room'!$B$16,'Process'!BV5=1),1+('Control Room'!$C$16-1)*EXP(-0.5*(($A428-'Control Room'!$A$16-('Control Room'!$B$16-1)/2)/MAX(0.5,'Control Room'!$B$16/4))^2),1)</x:f>
        <x:v>1</x:v>
      </x:c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Z428" t="str">
        <x:f>IF('Data'!A428="","",TEXT('Data'!A428,"mm-dd"))</x:f>
      </x:c>
    </x:row>
    <x:row r="429" ht="21" customHeight="1">
      <x:c r="A429" s="15" t="n">
        <x:f>'Control Room'!$B$1+427</x:f>
        <x:v>73418</x:v>
      </x:c>
      <x:c r="B429" s="9" t="n">
        <x:f>MOD(C428*16807,2147483647)</x:f>
        <x:v>1039922352</x:v>
      </x:c>
      <x:c r="C429" s="9" t="n">
        <x:f>MOD(B429*16807,2147483647)</x:f>
        <x:v>1753050778</x:v>
      </x:c>
      <x:c r="D429" s="17" t="n">
        <x:f>IF('Control Room'!$B$5="Normal",'Control Room'!$B$7+'Control Room'!$D$7*SQRT(-2*LN(MAX(0.000000000001,B429/2147483647)))*COS(2*PI()*C429/2147483647),'Control Room'!$B$8+('Control Room'!$D$8-'Control Room'!$B$8)*B429/2147483647)</x:f>
        <x:v>1043.8735333236198</x:v>
      </x:c>
      <x:c r="E429" s="17" t="n">
        <x:f>IF('Control Room'!$B$5="Normal",'Control Room'!$B$7,('Control Room'!$B$8+'Control Room'!$D$8)/2)+'Control Room'!$B$9*(E428-IF('Control Room'!$B$5="Normal",'Control Room'!$B$7,('Control Room'!$B$8+'Control Room'!$D$8)/2))+SQRT(1-'Control Room'!$B$9^2)*(D429-IF('Control Room'!$B$5="Normal",'Control Room'!$B$7,('Control Room'!$B$8+'Control Room'!$D$8)/2))</x:f>
        <x:v>1072.4496475390126</x:v>
      </x:c>
      <x:c r="F429" s="17" t="n">
        <x:f>IF(AND($A429&gt;='Control Room'!$A$13,$A429&lt;'Control Room'!$A$13+'Control Room'!$B$13,'Process'!BK2=1),1+('Control Room'!$C$13-1)*EXP(-0.5*(($A429-'Control Room'!$A$13-('Control Room'!$B$13-1)/2)/MAX(0.5,'Control Room'!$B$13/4))^2),1)*IF(AND($A429&gt;='Control Room'!$A$14,$A429&lt;'Control Room'!$A$14+'Control Room'!$B$14,'Process'!BK3=1),1+('Control Room'!$C$14-1)*EXP(-0.5*(($A429-'Control Room'!$A$14-('Control Room'!$B$14-1)/2)/MAX(0.5,'Control Room'!$B$14/4))^2),1)*IF(AND($A429&gt;='Control Room'!$A$15,$A429&lt;'Control Room'!$A$15+'Control Room'!$B$15,'Process'!BK4=1),1+('Control Room'!$C$15-1)*EXP(-0.5*(($A429-'Control Room'!$A$15-('Control Room'!$B$15-1)/2)/MAX(0.5,'Control Room'!$B$15/4))^2),1)*IF(AND($A429&gt;='Control Room'!$A$16,$A429&lt;'Control Room'!$A$16+'Control Room'!$B$16,'Process'!BK5=1),1+('Control Room'!$C$16-1)*EXP(-0.5*(($A429-'Control Room'!$A$16-('Control Room'!$B$16-1)/2)/MAX(0.5,'Control Room'!$B$16/4))^2),1)</x:f>
        <x:v>1</x:v>
      </x:c>
      <x:c r="G429" s="9" t="n">
        <x:f>MOD(H428*16807,2147483647)</x:f>
        <x:v>2052617844</x:v>
      </x:c>
      <x:c r="H429" s="9" t="n">
        <x:f>MOD(G429*16807,2147483647)</x:f>
        <x:v>1170798700</x:v>
      </x:c>
      <x:c r="I429" s="17" t="n">
        <x:f>IF('Control Room'!$B$5="Normal",'Control Room'!$B$7+'Control Room'!$D$7*SQRT(-2*LN(MAX(0.000000000001,G429/2147483647)))*COS(2*PI()*H429/2147483647),'Control Room'!$B$8+('Control Room'!$D$8-'Control Room'!$B$8)*G429/2147483647)</x:f>
        <x:v>974.0293381803591</x:v>
      </x:c>
      <x:c r="J429" s="17" t="n">
        <x:f>IF('Control Room'!$B$5="Normal",'Control Room'!$B$7,('Control Room'!$B$8+'Control Room'!$D$8)/2)+'Control Room'!$B$9*(J428-IF('Control Room'!$B$5="Normal",'Control Room'!$B$7,('Control Room'!$B$8+'Control Room'!$D$8)/2))+SQRT(1-'Control Room'!$B$9^2)*(I429-IF('Control Room'!$B$5="Normal",'Control Room'!$B$7,('Control Room'!$B$8+'Control Room'!$D$8)/2))</x:f>
        <x:v>1094.338210918504</x:v>
      </x:c>
      <x:c r="K429" s="17" t="n">
        <x:f>IF(AND($A429&gt;='Control Room'!$A$13,$A429&lt;'Control Room'!$A$13+'Control Room'!$B$13,'Process'!BL2=1),1+('Control Room'!$C$13-1)*EXP(-0.5*(($A429-'Control Room'!$A$13-('Control Room'!$B$13-1)/2)/MAX(0.5,'Control Room'!$B$13/4))^2),1)*IF(AND($A429&gt;='Control Room'!$A$14,$A429&lt;'Control Room'!$A$14+'Control Room'!$B$14,'Process'!BL3=1),1+('Control Room'!$C$14-1)*EXP(-0.5*(($A429-'Control Room'!$A$14-('Control Room'!$B$14-1)/2)/MAX(0.5,'Control Room'!$B$14/4))^2),1)*IF(AND($A429&gt;='Control Room'!$A$15,$A429&lt;'Control Room'!$A$15+'Control Room'!$B$15,'Process'!BL4=1),1+('Control Room'!$C$15-1)*EXP(-0.5*(($A429-'Control Room'!$A$15-('Control Room'!$B$15-1)/2)/MAX(0.5,'Control Room'!$B$15/4))^2),1)*IF(AND($A429&gt;='Control Room'!$A$16,$A429&lt;'Control Room'!$A$16+'Control Room'!$B$16,'Process'!BL5=1),1+('Control Room'!$C$16-1)*EXP(-0.5*(($A429-'Control Room'!$A$16-('Control Room'!$B$16-1)/2)/MAX(0.5,'Control Room'!$B$16/4))^2),1)</x:f>
        <x:v>1</x:v>
      </x:c>
      <x:c r="L429" s="9" t="n">
        <x:f>MOD(M428*16807,2147483647)</x:f>
        <x:v>917829689</x:v>
      </x:c>
      <x:c r="M429" s="9" t="n">
        <x:f>MOD(L429*16807,2147483647)</x:f>
        <x:v>588546622</x:v>
      </x:c>
      <x:c r="N429" s="17" t="n">
        <x:f>IF('Control Room'!$B$5="Normal",'Control Room'!$B$7+'Control Room'!$D$7*SQRT(-2*LN(MAX(0.000000000001,L429/2147483647)))*COS(2*PI()*M429/2147483647),'Control Room'!$B$8+('Control Room'!$D$8-'Control Room'!$B$8)*L429/2147483647)</x:f>
        <x:v>982.3250667485056</x:v>
      </x:c>
      <x:c r="O429" s="17" t="n">
        <x:f>IF('Control Room'!$B$5="Normal",'Control Room'!$B$7,('Control Room'!$B$8+'Control Room'!$D$8)/2)+'Control Room'!$B$9*(O428-IF('Control Room'!$B$5="Normal",'Control Room'!$B$7,('Control Room'!$B$8+'Control Room'!$D$8)/2))+SQRT(1-'Control Room'!$B$9^2)*(N429-IF('Control Room'!$B$5="Normal",'Control Room'!$B$7,('Control Room'!$B$8+'Control Room'!$D$8)/2))</x:f>
        <x:v>999.096896736698</x:v>
      </x:c>
      <x:c r="P429" s="17" t="n">
        <x:f>IF(AND($A429&gt;='Control Room'!$A$13,$A429&lt;'Control Room'!$A$13+'Control Room'!$B$13,'Process'!BM2=1),1+('Control Room'!$C$13-1)*EXP(-0.5*(($A429-'Control Room'!$A$13-('Control Room'!$B$13-1)/2)/MAX(0.5,'Control Room'!$B$13/4))^2),1)*IF(AND($A429&gt;='Control Room'!$A$14,$A429&lt;'Control Room'!$A$14+'Control Room'!$B$14,'Process'!BM3=1),1+('Control Room'!$C$14-1)*EXP(-0.5*(($A429-'Control Room'!$A$14-('Control Room'!$B$14-1)/2)/MAX(0.5,'Control Room'!$B$14/4))^2),1)*IF(AND($A429&gt;='Control Room'!$A$15,$A429&lt;'Control Room'!$A$15+'Control Room'!$B$15,'Process'!BM4=1),1+('Control Room'!$C$15-1)*EXP(-0.5*(($A429-'Control Room'!$A$15-('Control Room'!$B$15-1)/2)/MAX(0.5,'Control Room'!$B$15/4))^2),1)*IF(AND($A429&gt;='Control Room'!$A$16,$A429&lt;'Control Room'!$A$16+'Control Room'!$B$16,'Process'!BM5=1),1+('Control Room'!$C$16-1)*EXP(-0.5*(($A429-'Control Room'!$A$16-('Control Room'!$B$16-1)/2)/MAX(0.5,'Control Room'!$B$16/4))^2),1)</x:f>
        <x:v>1</x:v>
      </x:c>
      <x:c r="Q429" s="9" t="n">
        <x:f>MOD(R428*16807,2147483647)</x:f>
        <x:v>1930525181</x:v>
      </x:c>
      <x:c r="R429" s="9" t="n">
        <x:f>MOD(Q429*16807,2147483647)</x:f>
        <x:v>6294544</x:v>
      </x:c>
      <x:c r="S429" s="17" t="n">
        <x:f>IF('Control Room'!$B$5="Normal",'Control Room'!$B$7+'Control Room'!$D$7*SQRT(-2*LN(MAX(0.000000000001,Q429/2147483647)))*COS(2*PI()*R429/2147483647),'Control Room'!$B$8+('Control Room'!$D$8-'Control Room'!$B$8)*Q429/2147483647)</x:f>
        <x:v>1041.5305991285752</x:v>
      </x:c>
      <x:c r="T429" s="17" t="n">
        <x:f>IF('Control Room'!$B$5="Normal",'Control Room'!$B$7,('Control Room'!$B$8+'Control Room'!$D$8)/2)+'Control Room'!$B$9*(T428-IF('Control Room'!$B$5="Normal",'Control Room'!$B$7,('Control Room'!$B$8+'Control Room'!$D$8)/2))+SQRT(1-'Control Room'!$B$9^2)*(S429-IF('Control Room'!$B$5="Normal",'Control Room'!$B$7,('Control Room'!$B$8+'Control Room'!$D$8)/2))</x:f>
        <x:v>1062.4375929401028</x:v>
      </x:c>
      <x:c r="U429" s="17" t="n">
        <x:f>IF(AND($A429&gt;='Control Room'!$A$13,$A429&lt;'Control Room'!$A$13+'Control Room'!$B$13,'Process'!BN2=1),1+('Control Room'!$C$13-1)*EXP(-0.5*(($A429-'Control Room'!$A$13-('Control Room'!$B$13-1)/2)/MAX(0.5,'Control Room'!$B$13/4))^2),1)*IF(AND($A429&gt;='Control Room'!$A$14,$A429&lt;'Control Room'!$A$14+'Control Room'!$B$14,'Process'!BN3=1),1+('Control Room'!$C$14-1)*EXP(-0.5*(($A429-'Control Room'!$A$14-('Control Room'!$B$14-1)/2)/MAX(0.5,'Control Room'!$B$14/4))^2),1)*IF(AND($A429&gt;='Control Room'!$A$15,$A429&lt;'Control Room'!$A$15+'Control Room'!$B$15,'Process'!BN4=1),1+('Control Room'!$C$15-1)*EXP(-0.5*(($A429-'Control Room'!$A$15-('Control Room'!$B$15-1)/2)/MAX(0.5,'Control Room'!$B$15/4))^2),1)*IF(AND($A429&gt;='Control Room'!$A$16,$A429&lt;'Control Room'!$A$16+'Control Room'!$B$16,'Process'!BN5=1),1+('Control Room'!$C$16-1)*EXP(-0.5*(($A429-'Control Room'!$A$16-('Control Room'!$B$16-1)/2)/MAX(0.5,'Control Room'!$B$16/4))^2),1)</x:f>
        <x:v>1</x:v>
      </x:c>
      <x:c r="V429" s="9" t="n">
        <x:f>MOD(W428*16807,2147483647)</x:f>
        <x:v>795737026</x:v>
      </x:c>
      <x:c r="W429" s="9" t="n">
        <x:f>MOD(V429*16807,2147483647)</x:f>
        <x:v>1571526113</x:v>
      </x:c>
      <x:c r="X429" s="17" t="n">
        <x:f>IF('Control Room'!$B$5="Normal",'Control Room'!$B$7+'Control Room'!$D$7*SQRT(-2*LN(MAX(0.000000000001,V429/2147483647)))*COS(2*PI()*W429/2147483647),'Control Room'!$B$8+('Control Room'!$D$8-'Control Room'!$B$8)*V429/2147483647)</x:f>
        <x:v>985.528424472332</x:v>
      </x:c>
      <x:c r="Y429" s="17" t="n">
        <x:f>IF('Control Room'!$B$5="Normal",'Control Room'!$B$7,('Control Room'!$B$8+'Control Room'!$D$8)/2)+'Control Room'!$B$9*(Y428-IF('Control Room'!$B$5="Normal",'Control Room'!$B$7,('Control Room'!$B$8+'Control Room'!$D$8)/2))+SQRT(1-'Control Room'!$B$9^2)*(X429-IF('Control Room'!$B$5="Normal",'Control Room'!$B$7,('Control Room'!$B$8+'Control Room'!$D$8)/2))</x:f>
        <x:v>1046.002785827615</x:v>
      </x:c>
      <x:c r="Z429" s="17" t="n">
        <x:f>IF(AND($A429&gt;='Control Room'!$A$13,$A429&lt;'Control Room'!$A$13+'Control Room'!$B$13,'Process'!BO2=1),1+('Control Room'!$C$13-1)*EXP(-0.5*(($A429-'Control Room'!$A$13-('Control Room'!$B$13-1)/2)/MAX(0.5,'Control Room'!$B$13/4))^2),1)*IF(AND($A429&gt;='Control Room'!$A$14,$A429&lt;'Control Room'!$A$14+'Control Room'!$B$14,'Process'!BO3=1),1+('Control Room'!$C$14-1)*EXP(-0.5*(($A429-'Control Room'!$A$14-('Control Room'!$B$14-1)/2)/MAX(0.5,'Control Room'!$B$14/4))^2),1)*IF(AND($A429&gt;='Control Room'!$A$15,$A429&lt;'Control Room'!$A$15+'Control Room'!$B$15,'Process'!BO4=1),1+('Control Room'!$C$15-1)*EXP(-0.5*(($A429-'Control Room'!$A$15-('Control Room'!$B$15-1)/2)/MAX(0.5,'Control Room'!$B$15/4))^2),1)*IF(AND($A429&gt;='Control Room'!$A$16,$A429&lt;'Control Room'!$A$16+'Control Room'!$B$16,'Process'!BO5=1),1+('Control Room'!$C$16-1)*EXP(-0.5*(($A429-'Control Room'!$A$16-('Control Room'!$B$16-1)/2)/MAX(0.5,'Control Room'!$B$16/4))^2),1)</x:f>
        <x:v>1</x:v>
      </x:c>
      <x:c r="AA429" s="9" t="n">
        <x:f>MOD(AB428*16807,2147483647)</x:f>
        <x:v>1808432518</x:v>
      </x:c>
      <x:c r="AB429" s="9" t="n">
        <x:f>MOD(AA429*16807,2147483647)</x:f>
        <x:v>989274035</x:v>
      </x:c>
      <x:c r="AC429" s="17" t="n">
        <x:f>IF('Control Room'!$B$5="Normal",'Control Room'!$B$7+'Control Room'!$D$7*SQRT(-2*LN(MAX(0.000000000001,AA429/2147483647)))*COS(2*PI()*AB429/2147483647),'Control Room'!$B$8+('Control Room'!$D$8-'Control Room'!$B$8)*AA429/2147483647)</x:f>
        <x:v>948.8418449317342</x:v>
      </x:c>
      <x:c r="AD429" s="17" t="n">
        <x:f>IF('Control Room'!$B$5="Normal",'Control Room'!$B$7,('Control Room'!$B$8+'Control Room'!$D$8)/2)+'Control Room'!$B$9*(AD428-IF('Control Room'!$B$5="Normal",'Control Room'!$B$7,('Control Room'!$B$8+'Control Room'!$D$8)/2))+SQRT(1-'Control Room'!$B$9^2)*(AC429-IF('Control Room'!$B$5="Normal",'Control Room'!$B$7,('Control Room'!$B$8+'Control Room'!$D$8)/2))</x:f>
        <x:v>1159.4836689414606</x:v>
      </x:c>
      <x:c r="AE429" s="17" t="n">
        <x:f>IF(AND($A429&gt;='Control Room'!$A$13,$A429&lt;'Control Room'!$A$13+'Control Room'!$B$13,'Process'!BP2=1),1+('Control Room'!$C$13-1)*EXP(-0.5*(($A429-'Control Room'!$A$13-('Control Room'!$B$13-1)/2)/MAX(0.5,'Control Room'!$B$13/4))^2),1)*IF(AND($A429&gt;='Control Room'!$A$14,$A429&lt;'Control Room'!$A$14+'Control Room'!$B$14,'Process'!BP3=1),1+('Control Room'!$C$14-1)*EXP(-0.5*(($A429-'Control Room'!$A$14-('Control Room'!$B$14-1)/2)/MAX(0.5,'Control Room'!$B$14/4))^2),1)*IF(AND($A429&gt;='Control Room'!$A$15,$A429&lt;'Control Room'!$A$15+'Control Room'!$B$15,'Process'!BP4=1),1+('Control Room'!$C$15-1)*EXP(-0.5*(($A429-'Control Room'!$A$15-('Control Room'!$B$15-1)/2)/MAX(0.5,'Control Room'!$B$15/4))^2),1)*IF(AND($A429&gt;='Control Room'!$A$16,$A429&lt;'Control Room'!$A$16+'Control Room'!$B$16,'Process'!BP5=1),1+('Control Room'!$C$16-1)*EXP(-0.5*(($A429-'Control Room'!$A$16-('Control Room'!$B$16-1)/2)/MAX(0.5,'Control Room'!$B$16/4))^2),1)</x:f>
        <x:v>1</x:v>
      </x:c>
      <x:c r="AF429" s="9" t="n">
        <x:f>MOD(AG428*16807,2147483647)</x:f>
        <x:v>673644363</x:v>
      </x:c>
      <x:c r="AG429" s="9" t="n">
        <x:f>MOD(AF429*16807,2147483647)</x:f>
        <x:v>407021957</x:v>
      </x:c>
      <x:c r="AH429" s="17" t="n">
        <x:f>IF('Control Room'!$B$5="Normal",'Control Room'!$B$7+'Control Room'!$D$7*SQRT(-2*LN(MAX(0.000000000001,AF429/2147483647)))*COS(2*PI()*AG429/2147483647),'Control Room'!$B$8+('Control Room'!$D$8-'Control Room'!$B$8)*AF429/2147483647)</x:f>
        <x:v>1050.8223831155588</x:v>
      </x:c>
      <x:c r="AI429" s="17" t="n">
        <x:f>IF('Control Room'!$B$5="Normal",'Control Room'!$B$7,('Control Room'!$B$8+'Control Room'!$D$8)/2)+'Control Room'!$B$9*(AI428-IF('Control Room'!$B$5="Normal",'Control Room'!$B$7,('Control Room'!$B$8+'Control Room'!$D$8)/2))+SQRT(1-'Control Room'!$B$9^2)*(AH429-IF('Control Room'!$B$5="Normal",'Control Room'!$B$7,('Control Room'!$B$8+'Control Room'!$D$8)/2))</x:f>
        <x:v>1036.5389070675558</x:v>
      </x:c>
      <x:c r="AJ429" s="17" t="n">
        <x:f>IF(AND($A429&gt;='Control Room'!$A$13,$A429&lt;'Control Room'!$A$13+'Control Room'!$B$13,'Process'!BQ2=1),1+('Control Room'!$C$13-1)*EXP(-0.5*(($A429-'Control Room'!$A$13-('Control Room'!$B$13-1)/2)/MAX(0.5,'Control Room'!$B$13/4))^2),1)*IF(AND($A429&gt;='Control Room'!$A$14,$A429&lt;'Control Room'!$A$14+'Control Room'!$B$14,'Process'!BQ3=1),1+('Control Room'!$C$14-1)*EXP(-0.5*(($A429-'Control Room'!$A$14-('Control Room'!$B$14-1)/2)/MAX(0.5,'Control Room'!$B$14/4))^2),1)*IF(AND($A429&gt;='Control Room'!$A$15,$A429&lt;'Control Room'!$A$15+'Control Room'!$B$15,'Process'!BQ4=1),1+('Control Room'!$C$15-1)*EXP(-0.5*(($A429-'Control Room'!$A$15-('Control Room'!$B$15-1)/2)/MAX(0.5,'Control Room'!$B$15/4))^2),1)*IF(AND($A429&gt;='Control Room'!$A$16,$A429&lt;'Control Room'!$A$16+'Control Room'!$B$16,'Process'!BQ5=1),1+('Control Room'!$C$16-1)*EXP(-0.5*(($A429-'Control Room'!$A$16-('Control Room'!$B$16-1)/2)/MAX(0.5,'Control Room'!$B$16/4))^2),1)</x:f>
        <x:v>1</x:v>
      </x:c>
      <x:c r="AK429" s="9" t="n">
        <x:f>MOD(AL428*16807,2147483647)</x:f>
        <x:v>1686339855</x:v>
      </x:c>
      <x:c r="AL429" s="9" t="n">
        <x:f>MOD(AK429*16807,2147483647)</x:f>
        <x:v>1972253526</x:v>
      </x:c>
      <x:c r="AM429" s="17" t="n">
        <x:f>IF('Control Room'!$B$5="Normal",'Control Room'!$B$7+'Control Room'!$D$7*SQRT(-2*LN(MAX(0.000000000001,AK429/2147483647)))*COS(2*PI()*AL429/2147483647),'Control Room'!$B$8+('Control Room'!$D$8-'Control Room'!$B$8)*AK429/2147483647)</x:f>
        <x:v>1054.5329435830395</x:v>
      </x:c>
      <x:c r="AN429" s="17" t="n">
        <x:f>IF('Control Room'!$B$5="Normal",'Control Room'!$B$7,('Control Room'!$B$8+'Control Room'!$D$8)/2)+'Control Room'!$B$9*(AN428-IF('Control Room'!$B$5="Normal",'Control Room'!$B$7,('Control Room'!$B$8+'Control Room'!$D$8)/2))+SQRT(1-'Control Room'!$B$9^2)*(AM429-IF('Control Room'!$B$5="Normal",'Control Room'!$B$7,('Control Room'!$B$8+'Control Room'!$D$8)/2))</x:f>
        <x:v>1068.4980012666858</x:v>
      </x:c>
      <x:c r="AO429" s="17" t="n">
        <x:f>IF(AND($A429&gt;='Control Room'!$A$13,$A429&lt;'Control Room'!$A$13+'Control Room'!$B$13,'Process'!BR2=1),1+('Control Room'!$C$13-1)*EXP(-0.5*(($A429-'Control Room'!$A$13-('Control Room'!$B$13-1)/2)/MAX(0.5,'Control Room'!$B$13/4))^2),1)*IF(AND($A429&gt;='Control Room'!$A$14,$A429&lt;'Control Room'!$A$14+'Control Room'!$B$14,'Process'!BR3=1),1+('Control Room'!$C$14-1)*EXP(-0.5*(($A429-'Control Room'!$A$14-('Control Room'!$B$14-1)/2)/MAX(0.5,'Control Room'!$B$14/4))^2),1)*IF(AND($A429&gt;='Control Room'!$A$15,$A429&lt;'Control Room'!$A$15+'Control Room'!$B$15,'Process'!BR4=1),1+('Control Room'!$C$15-1)*EXP(-0.5*(($A429-'Control Room'!$A$15-('Control Room'!$B$15-1)/2)/MAX(0.5,'Control Room'!$B$15/4))^2),1)*IF(AND($A429&gt;='Control Room'!$A$16,$A429&lt;'Control Room'!$A$16+'Control Room'!$B$16,'Process'!BR5=1),1+('Control Room'!$C$16-1)*EXP(-0.5*(($A429-'Control Room'!$A$16-('Control Room'!$B$16-1)/2)/MAX(0.5,'Control Room'!$B$16/4))^2),1)</x:f>
        <x:v>1</x:v>
      </x:c>
      <x:c r="AP429" s="9" t="n">
        <x:f>MOD(AQ428*16807,2147483647)</x:f>
        <x:v>551551700</x:v>
      </x:c>
      <x:c r="AQ429" s="9" t="n">
        <x:f>MOD(AP429*16807,2147483647)</x:f>
        <x:v>1390001448</x:v>
      </x:c>
      <x:c r="AR429" s="17" t="n">
        <x:f>IF('Control Room'!$B$5="Normal",'Control Room'!$B$7+'Control Room'!$D$7*SQRT(-2*LN(MAX(0.000000000001,AP429/2147483647)))*COS(2*PI()*AQ429/2147483647),'Control Room'!$B$8+('Control Room'!$D$8-'Control Room'!$B$8)*AP429/2147483647)</x:f>
        <x:v>910.7294424410675</x:v>
      </x:c>
      <x:c r="AS429" s="17" t="n">
        <x:f>IF('Control Room'!$B$5="Normal",'Control Room'!$B$7,('Control Room'!$B$8+'Control Room'!$D$8)/2)+'Control Room'!$B$9*(AS428-IF('Control Room'!$B$5="Normal",'Control Room'!$B$7,('Control Room'!$B$8+'Control Room'!$D$8)/2))+SQRT(1-'Control Room'!$B$9^2)*(AR429-IF('Control Room'!$B$5="Normal",'Control Room'!$B$7,('Control Room'!$B$8+'Control Room'!$D$8)/2))</x:f>
        <x:v>942.1271443626306</x:v>
      </x:c>
      <x:c r="AT429" s="17" t="n">
        <x:f>IF(AND($A429&gt;='Control Room'!$A$13,$A429&lt;'Control Room'!$A$13+'Control Room'!$B$13,'Process'!BS2=1),1+('Control Room'!$C$13-1)*EXP(-0.5*(($A429-'Control Room'!$A$13-('Control Room'!$B$13-1)/2)/MAX(0.5,'Control Room'!$B$13/4))^2),1)*IF(AND($A429&gt;='Control Room'!$A$14,$A429&lt;'Control Room'!$A$14+'Control Room'!$B$14,'Process'!BS3=1),1+('Control Room'!$C$14-1)*EXP(-0.5*(($A429-'Control Room'!$A$14-('Control Room'!$B$14-1)/2)/MAX(0.5,'Control Room'!$B$14/4))^2),1)*IF(AND($A429&gt;='Control Room'!$A$15,$A429&lt;'Control Room'!$A$15+'Control Room'!$B$15,'Process'!BS4=1),1+('Control Room'!$C$15-1)*EXP(-0.5*(($A429-'Control Room'!$A$15-('Control Room'!$B$15-1)/2)/MAX(0.5,'Control Room'!$B$15/4))^2),1)*IF(AND($A429&gt;='Control Room'!$A$16,$A429&lt;'Control Room'!$A$16+'Control Room'!$B$16,'Process'!BS5=1),1+('Control Room'!$C$16-1)*EXP(-0.5*(($A429-'Control Room'!$A$16-('Control Room'!$B$16-1)/2)/MAX(0.5,'Control Room'!$B$16/4))^2),1)</x:f>
        <x:v>1</x:v>
      </x:c>
      <x:c r="AU429" s="9" t="n">
        <x:f>MOD(AV428*16807,2147483647)</x:f>
        <x:v>1564247192</x:v>
      </x:c>
      <x:c r="AV429" s="9" t="n">
        <x:f>MOD(AU429*16807,2147483647)</x:f>
        <x:v>807749370</x:v>
      </x:c>
      <x:c r="AW429" s="17" t="n">
        <x:f>IF('Control Room'!$B$5="Normal",'Control Room'!$B$7+'Control Room'!$D$7*SQRT(-2*LN(MAX(0.000000000001,AU429/2147483647)))*COS(2*PI()*AV429/2147483647),'Control Room'!$B$8+('Control Room'!$D$8-'Control Room'!$B$8)*AU429/2147483647)</x:f>
        <x:v>948.9753095687751</x:v>
      </x:c>
      <x:c r="AX429" s="17" t="n">
        <x:f>IF('Control Room'!$B$5="Normal",'Control Room'!$B$7,('Control Room'!$B$8+'Control Room'!$D$8)/2)+'Control Room'!$B$9*(AX428-IF('Control Room'!$B$5="Normal",'Control Room'!$B$7,('Control Room'!$B$8+'Control Room'!$D$8)/2))+SQRT(1-'Control Room'!$B$9^2)*(AW429-IF('Control Room'!$B$5="Normal",'Control Room'!$B$7,('Control Room'!$B$8+'Control Room'!$D$8)/2))</x:f>
        <x:v>912.1077781938031</x:v>
      </x:c>
      <x:c r="AY429" s="17" t="n">
        <x:f>IF(AND($A429&gt;='Control Room'!$A$13,$A429&lt;'Control Room'!$A$13+'Control Room'!$B$13,'Process'!BT2=1),1+('Control Room'!$C$13-1)*EXP(-0.5*(($A429-'Control Room'!$A$13-('Control Room'!$B$13-1)/2)/MAX(0.5,'Control Room'!$B$13/4))^2),1)*IF(AND($A429&gt;='Control Room'!$A$14,$A429&lt;'Control Room'!$A$14+'Control Room'!$B$14,'Process'!BT3=1),1+('Control Room'!$C$14-1)*EXP(-0.5*(($A429-'Control Room'!$A$14-('Control Room'!$B$14-1)/2)/MAX(0.5,'Control Room'!$B$14/4))^2),1)*IF(AND($A429&gt;='Control Room'!$A$15,$A429&lt;'Control Room'!$A$15+'Control Room'!$B$15,'Process'!BT4=1),1+('Control Room'!$C$15-1)*EXP(-0.5*(($A429-'Control Room'!$A$15-('Control Room'!$B$15-1)/2)/MAX(0.5,'Control Room'!$B$15/4))^2),1)*IF(AND($A429&gt;='Control Room'!$A$16,$A429&lt;'Control Room'!$A$16+'Control Room'!$B$16,'Process'!BT5=1),1+('Control Room'!$C$16-1)*EXP(-0.5*(($A429-'Control Room'!$A$16-('Control Room'!$B$16-1)/2)/MAX(0.5,'Control Room'!$B$16/4))^2),1)</x:f>
        <x:v>1</x:v>
      </x:c>
      <x:c r="AZ429" s="9" t="n">
        <x:f>MOD(BA428*16807,2147483647)</x:f>
        <x:v>429459037</x:v>
      </x:c>
      <x:c r="BA429" s="9" t="n">
        <x:f>MOD(AZ429*16807,2147483647)</x:f>
        <x:v>225497292</x:v>
      </x:c>
      <x:c r="BB429" s="17" t="n">
        <x:f>IF('Control Room'!$B$5="Normal",'Control Room'!$B$7+'Control Room'!$D$7*SQRT(-2*LN(MAX(0.000000000001,AZ429/2147483647)))*COS(2*PI()*BA429/2147483647),'Control Room'!$B$8+('Control Room'!$D$8-'Control Room'!$B$8)*AZ429/2147483647)</x:f>
        <x:v>1127.5872912126413</x:v>
      </x:c>
      <x:c r="BC429" s="17" t="n">
        <x:f>IF('Control Room'!$B$5="Normal",'Control Room'!$B$7,('Control Room'!$B$8+'Control Room'!$D$8)/2)+'Control Room'!$B$9*(BC428-IF('Control Room'!$B$5="Normal",'Control Room'!$B$7,('Control Room'!$B$8+'Control Room'!$D$8)/2))+SQRT(1-'Control Room'!$B$9^2)*(BB429-IF('Control Room'!$B$5="Normal",'Control Room'!$B$7,('Control Room'!$B$8+'Control Room'!$D$8)/2))</x:f>
        <x:v>1042.4975219682485</x:v>
      </x:c>
      <x:c r="BD429" s="17" t="n">
        <x:f>IF(AND($A429&gt;='Control Room'!$A$13,$A429&lt;'Control Room'!$A$13+'Control Room'!$B$13,'Process'!BU2=1),1+('Control Room'!$C$13-1)*EXP(-0.5*(($A429-'Control Room'!$A$13-('Control Room'!$B$13-1)/2)/MAX(0.5,'Control Room'!$B$13/4))^2),1)*IF(AND($A429&gt;='Control Room'!$A$14,$A429&lt;'Control Room'!$A$14+'Control Room'!$B$14,'Process'!BU3=1),1+('Control Room'!$C$14-1)*EXP(-0.5*(($A429-'Control Room'!$A$14-('Control Room'!$B$14-1)/2)/MAX(0.5,'Control Room'!$B$14/4))^2),1)*IF(AND($A429&gt;='Control Room'!$A$15,$A429&lt;'Control Room'!$A$15+'Control Room'!$B$15,'Process'!BU4=1),1+('Control Room'!$C$15-1)*EXP(-0.5*(($A429-'Control Room'!$A$15-('Control Room'!$B$15-1)/2)/MAX(0.5,'Control Room'!$B$15/4))^2),1)*IF(AND($A429&gt;='Control Room'!$A$16,$A429&lt;'Control Room'!$A$16+'Control Room'!$B$16,'Process'!BU5=1),1+('Control Room'!$C$16-1)*EXP(-0.5*(($A429-'Control Room'!$A$16-('Control Room'!$B$16-1)/2)/MAX(0.5,'Control Room'!$B$16/4))^2),1)</x:f>
        <x:v>1</x:v>
      </x:c>
      <x:c r="BE429" s="9" t="n">
        <x:f>MOD(BF428*16807,2147483647)</x:f>
        <x:v>1442154529</x:v>
      </x:c>
      <x:c r="BF429" s="9" t="n">
        <x:f>MOD(BE429*16807,2147483647)</x:f>
        <x:v>1790728861</x:v>
      </x:c>
      <x:c r="BG429" s="17" t="n">
        <x:f>IF('Control Room'!$B$5="Normal",'Control Room'!$B$7+'Control Room'!$D$7*SQRT(-2*LN(MAX(0.000000000001,BE429/2147483647)))*COS(2*PI()*BF429/2147483647),'Control Room'!$B$8+('Control Room'!$D$8-'Control Room'!$B$8)*BE429/2147483647)</x:f>
        <x:v>1040.3921288893548</x:v>
      </x:c>
      <x:c r="BH429" s="17" t="n">
        <x:f>IF('Control Room'!$B$5="Normal",'Control Room'!$B$7,('Control Room'!$B$8+'Control Room'!$D$8)/2)+'Control Room'!$B$9*(BH428-IF('Control Room'!$B$5="Normal",'Control Room'!$B$7,('Control Room'!$B$8+'Control Room'!$D$8)/2))+SQRT(1-'Control Room'!$B$9^2)*(BG429-IF('Control Room'!$B$5="Normal",'Control Room'!$B$7,('Control Room'!$B$8+'Control Room'!$D$8)/2))</x:f>
        <x:v>1039.197624792839</x:v>
      </x:c>
      <x:c r="BI429" s="17" t="n">
        <x:f>IF(AND($A429&gt;='Control Room'!$A$13,$A429&lt;'Control Room'!$A$13+'Control Room'!$B$13,'Process'!BV2=1),1+('Control Room'!$C$13-1)*EXP(-0.5*(($A429-'Control Room'!$A$13-('Control Room'!$B$13-1)/2)/MAX(0.5,'Control Room'!$B$13/4))^2),1)*IF(AND($A429&gt;='Control Room'!$A$14,$A429&lt;'Control Room'!$A$14+'Control Room'!$B$14,'Process'!BV3=1),1+('Control Room'!$C$14-1)*EXP(-0.5*(($A429-'Control Room'!$A$14-('Control Room'!$B$14-1)/2)/MAX(0.5,'Control Room'!$B$14/4))^2),1)*IF(AND($A429&gt;='Control Room'!$A$15,$A429&lt;'Control Room'!$A$15+'Control Room'!$B$15,'Process'!BV4=1),1+('Control Room'!$C$15-1)*EXP(-0.5*(($A429-'Control Room'!$A$15-('Control Room'!$B$15-1)/2)/MAX(0.5,'Control Room'!$B$15/4))^2),1)*IF(AND($A429&gt;='Control Room'!$A$16,$A429&lt;'Control Room'!$A$16+'Control Room'!$B$16,'Process'!BV5=1),1+('Control Room'!$C$16-1)*EXP(-0.5*(($A429-'Control Room'!$A$16-('Control Room'!$B$16-1)/2)/MAX(0.5,'Control Room'!$B$16/4))^2),1)</x:f>
        <x:v>1</x:v>
      </x:c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Z429" t="str">
        <x:f>IF('Data'!A429="","",TEXT('Data'!A429,"mm-dd"))</x:f>
      </x:c>
    </x:row>
    <x:row r="430" ht="21" customHeight="1">
      <x:c r="A430" s="15" t="n">
        <x:f>'Control Room'!$B$1+428</x:f>
        <x:v>73419</x:v>
      </x:c>
      <x:c r="B430" s="9" t="n">
        <x:f>MOD(C429*16807,2147483647)</x:f>
        <x:v>48789006</x:v>
      </x:c>
      <x:c r="C430" s="9" t="n">
        <x:f>MOD(B430*16807,2147483647)</x:f>
        <x:v>1805554335</x:v>
      </x:c>
      <x:c r="D430" s="17" t="n">
        <x:f>IF('Control Room'!$B$5="Normal",'Control Room'!$B$7+'Control Room'!$D$7*SQRT(-2*LN(MAX(0.000000000001,B430/2147483647)))*COS(2*PI()*C430/2147483647),'Control Room'!$B$8+('Control Room'!$D$8-'Control Room'!$B$8)*B430/2147483647)</x:f>
        <x:v>1133.6936814842888</x:v>
      </x:c>
      <x:c r="E430" s="17" t="n">
        <x:f>IF('Control Room'!$B$5="Normal",'Control Room'!$B$7,('Control Room'!$B$8+'Control Room'!$D$8)/2)+'Control Room'!$B$9*(E429-IF('Control Room'!$B$5="Normal",'Control Room'!$B$7,('Control Room'!$B$8+'Control Room'!$D$8)/2))+SQRT(1-'Control Room'!$B$9^2)*(D430-IF('Control Room'!$B$5="Normal",'Control Room'!$B$7,('Control Room'!$B$8+'Control Room'!$D$8)/2))</x:f>
        <x:v>1140.173492089362</x:v>
      </x:c>
      <x:c r="F430" s="17" t="n">
        <x:f>IF(AND($A430&gt;='Control Room'!$A$13,$A430&lt;'Control Room'!$A$13+'Control Room'!$B$13,'Process'!BK2=1),1+('Control Room'!$C$13-1)*EXP(-0.5*(($A430-'Control Room'!$A$13-('Control Room'!$B$13-1)/2)/MAX(0.5,'Control Room'!$B$13/4))^2),1)*IF(AND($A430&gt;='Control Room'!$A$14,$A430&lt;'Control Room'!$A$14+'Control Room'!$B$14,'Process'!BK3=1),1+('Control Room'!$C$14-1)*EXP(-0.5*(($A430-'Control Room'!$A$14-('Control Room'!$B$14-1)/2)/MAX(0.5,'Control Room'!$B$14/4))^2),1)*IF(AND($A430&gt;='Control Room'!$A$15,$A430&lt;'Control Room'!$A$15+'Control Room'!$B$15,'Process'!BK4=1),1+('Control Room'!$C$15-1)*EXP(-0.5*(($A430-'Control Room'!$A$15-('Control Room'!$B$15-1)/2)/MAX(0.5,'Control Room'!$B$15/4))^2),1)*IF(AND($A430&gt;='Control Room'!$A$16,$A430&lt;'Control Room'!$A$16+'Control Room'!$B$16,'Process'!BK5=1),1+('Control Room'!$C$16-1)*EXP(-0.5*(($A430-'Control Room'!$A$16-('Control Room'!$B$16-1)/2)/MAX(0.5,'Control Room'!$B$16/4))^2),1)</x:f>
        <x:v>1</x:v>
      </x:c>
      <x:c r="G430" s="9" t="n">
        <x:f>MOD(H429*16807,2147483647)</x:f>
        <x:v>221093439</x:v>
      </x:c>
      <x:c r="H430" s="9" t="n">
        <x:f>MOD(G430*16807,2147483647)</x:f>
        <x:v>770719963</x:v>
      </x:c>
      <x:c r="I430" s="17" t="n">
        <x:f>IF('Control Room'!$B$5="Normal",'Control Room'!$B$7+'Control Room'!$D$7*SQRT(-2*LN(MAX(0.000000000001,G430/2147483647)))*COS(2*PI()*H430/2147483647),'Control Room'!$B$8+('Control Room'!$D$8-'Control Room'!$B$8)*G430/2147483647)</x:f>
        <x:v>878.7008886141762</x:v>
      </x:c>
      <x:c r="J430" s="17" t="n">
        <x:f>IF('Control Room'!$B$5="Normal",'Control Room'!$B$7,('Control Room'!$B$8+'Control Room'!$D$8)/2)+'Control Room'!$B$9*(J429-IF('Control Room'!$B$5="Normal",'Control Room'!$B$7,('Control Room'!$B$8+'Control Room'!$D$8)/2))+SQRT(1-'Control Room'!$B$9^2)*(I430-IF('Control Room'!$B$5="Normal",'Control Room'!$B$7,('Control Room'!$B$8+'Control Room'!$D$8)/2))</x:f>
        <x:v>997.6773055585503</x:v>
      </x:c>
      <x:c r="K430" s="17" t="n">
        <x:f>IF(AND($A430&gt;='Control Room'!$A$13,$A430&lt;'Control Room'!$A$13+'Control Room'!$B$13,'Process'!BL2=1),1+('Control Room'!$C$13-1)*EXP(-0.5*(($A430-'Control Room'!$A$13-('Control Room'!$B$13-1)/2)/MAX(0.5,'Control Room'!$B$13/4))^2),1)*IF(AND($A430&gt;='Control Room'!$A$14,$A430&lt;'Control Room'!$A$14+'Control Room'!$B$14,'Process'!BL3=1),1+('Control Room'!$C$14-1)*EXP(-0.5*(($A430-'Control Room'!$A$14-('Control Room'!$B$14-1)/2)/MAX(0.5,'Control Room'!$B$14/4))^2),1)*IF(AND($A430&gt;='Control Room'!$A$15,$A430&lt;'Control Room'!$A$15+'Control Room'!$B$15,'Process'!BL4=1),1+('Control Room'!$C$15-1)*EXP(-0.5*(($A430-'Control Room'!$A$15-('Control Room'!$B$15-1)/2)/MAX(0.5,'Control Room'!$B$15/4))^2),1)*IF(AND($A430&gt;='Control Room'!$A$16,$A430&lt;'Control Room'!$A$16+'Control Room'!$B$16,'Process'!BL5=1),1+('Control Room'!$C$16-1)*EXP(-0.5*(($A430-'Control Room'!$A$16-('Control Room'!$B$16-1)/2)/MAX(0.5,'Control Room'!$B$16/4))^2),1)</x:f>
        <x:v>1</x:v>
      </x:c>
      <x:c r="L430" s="9" t="n">
        <x:f>MOD(M429*16807,2147483647)</x:f>
        <x:v>393397872</x:v>
      </x:c>
      <x:c r="M430" s="9" t="n">
        <x:f>MOD(L430*16807,2147483647)</x:f>
        <x:v>1883369238</x:v>
      </x:c>
      <x:c r="N430" s="17" t="n">
        <x:f>IF('Control Room'!$B$5="Normal",'Control Room'!$B$7+'Control Room'!$D$7*SQRT(-2*LN(MAX(0.000000000001,L430/2147483647)))*COS(2*PI()*M430/2147483647),'Control Room'!$B$8+('Control Room'!$D$8-'Control Room'!$B$8)*L430/2147483647)</x:f>
        <x:v>1118.7229649687345</x:v>
      </x:c>
      <x:c r="O430" s="17" t="n">
        <x:f>IF('Control Room'!$B$5="Normal",'Control Room'!$B$7,('Control Room'!$B$8+'Control Room'!$D$8)/2)+'Control Room'!$B$9*(O429-IF('Control Room'!$B$5="Normal",'Control Room'!$B$7,('Control Room'!$B$8+'Control Room'!$D$8)/2))+SQRT(1-'Control Room'!$B$9^2)*(N430-IF('Control Room'!$B$5="Normal",'Control Room'!$B$7,('Control Room'!$B$8+'Control Room'!$D$8)/2))</x:f>
        <x:v>1073.5899787599208</x:v>
      </x:c>
      <x:c r="P430" s="17" t="n">
        <x:f>IF(AND($A430&gt;='Control Room'!$A$13,$A430&lt;'Control Room'!$A$13+'Control Room'!$B$13,'Process'!BM2=1),1+('Control Room'!$C$13-1)*EXP(-0.5*(($A430-'Control Room'!$A$13-('Control Room'!$B$13-1)/2)/MAX(0.5,'Control Room'!$B$13/4))^2),1)*IF(AND($A430&gt;='Control Room'!$A$14,$A430&lt;'Control Room'!$A$14+'Control Room'!$B$14,'Process'!BM3=1),1+('Control Room'!$C$14-1)*EXP(-0.5*(($A430-'Control Room'!$A$14-('Control Room'!$B$14-1)/2)/MAX(0.5,'Control Room'!$B$14/4))^2),1)*IF(AND($A430&gt;='Control Room'!$A$15,$A430&lt;'Control Room'!$A$15+'Control Room'!$B$15,'Process'!BM4=1),1+('Control Room'!$C$15-1)*EXP(-0.5*(($A430-'Control Room'!$A$15-('Control Room'!$B$15-1)/2)/MAX(0.5,'Control Room'!$B$15/4))^2),1)*IF(AND($A430&gt;='Control Room'!$A$16,$A430&lt;'Control Room'!$A$16+'Control Room'!$B$16,'Process'!BM5=1),1+('Control Room'!$C$16-1)*EXP(-0.5*(($A430-'Control Room'!$A$16-('Control Room'!$B$16-1)/2)/MAX(0.5,'Control Room'!$B$16/4))^2),1)</x:f>
        <x:v>1</x:v>
      </x:c>
      <x:c r="Q430" s="9" t="n">
        <x:f>MOD(R429*16807,2147483647)</x:f>
        <x:v>565702305</x:v>
      </x:c>
      <x:c r="R430" s="9" t="n">
        <x:f>MOD(Q430*16807,2147483647)</x:f>
        <x:v>848534866</x:v>
      </x:c>
      <x:c r="S430" s="17" t="n">
        <x:f>IF('Control Room'!$B$5="Normal",'Control Room'!$B$7+'Control Room'!$D$7*SQRT(-2*LN(MAX(0.000000000001,Q430/2147483647)))*COS(2*PI()*R430/2147483647),'Control Room'!$B$8+('Control Room'!$D$8-'Control Room'!$B$8)*Q430/2147483647)</x:f>
        <x:v>883.7696043513674</x:v>
      </x:c>
      <x:c r="T430" s="17" t="n">
        <x:f>IF('Control Room'!$B$5="Normal",'Control Room'!$B$7,('Control Room'!$B$8+'Control Room'!$D$8)/2)+'Control Room'!$B$9*(T429-IF('Control Room'!$B$5="Normal",'Control Room'!$B$7,('Control Room'!$B$8+'Control Room'!$D$8)/2))+SQRT(1-'Control Room'!$B$9^2)*(S430-IF('Control Room'!$B$5="Normal",'Control Room'!$B$7,('Control Room'!$B$8+'Control Room'!$D$8)/2))</x:f>
        <x:v>975.9667220054457</x:v>
      </x:c>
      <x:c r="U430" s="17" t="n">
        <x:f>IF(AND($A430&gt;='Control Room'!$A$13,$A430&lt;'Control Room'!$A$13+'Control Room'!$B$13,'Process'!BN2=1),1+('Control Room'!$C$13-1)*EXP(-0.5*(($A430-'Control Room'!$A$13-('Control Room'!$B$13-1)/2)/MAX(0.5,'Control Room'!$B$13/4))^2),1)*IF(AND($A430&gt;='Control Room'!$A$14,$A430&lt;'Control Room'!$A$14+'Control Room'!$B$14,'Process'!BN3=1),1+('Control Room'!$C$14-1)*EXP(-0.5*(($A430-'Control Room'!$A$14-('Control Room'!$B$14-1)/2)/MAX(0.5,'Control Room'!$B$14/4))^2),1)*IF(AND($A430&gt;='Control Room'!$A$15,$A430&lt;'Control Room'!$A$15+'Control Room'!$B$15,'Process'!BN4=1),1+('Control Room'!$C$15-1)*EXP(-0.5*(($A430-'Control Room'!$A$15-('Control Room'!$B$15-1)/2)/MAX(0.5,'Control Room'!$B$15/4))^2),1)*IF(AND($A430&gt;='Control Room'!$A$16,$A430&lt;'Control Room'!$A$16+'Control Room'!$B$16,'Process'!BN5=1),1+('Control Room'!$C$16-1)*EXP(-0.5*(($A430-'Control Room'!$A$16-('Control Room'!$B$16-1)/2)/MAX(0.5,'Control Room'!$B$16/4))^2),1)</x:f>
        <x:v>1</x:v>
      </x:c>
      <x:c r="V430" s="9" t="n">
        <x:f>MOD(W429*16807,2147483647)</x:f>
        <x:v>738006738</x:v>
      </x:c>
      <x:c r="W430" s="9" t="n">
        <x:f>MOD(V430*16807,2147483647)</x:f>
        <x:v>1961184141</x:v>
      </x:c>
      <x:c r="X430" s="17" t="n">
        <x:f>IF('Control Room'!$B$5="Normal",'Control Room'!$B$7+'Control Room'!$D$7*SQRT(-2*LN(MAX(0.000000000001,V430/2147483647)))*COS(2*PI()*W430/2147483647),'Control Room'!$B$8+('Control Room'!$D$8-'Control Room'!$B$8)*V430/2147483647)</x:f>
        <x:v>1112.4792723614896</x:v>
      </x:c>
      <x:c r="Y430" s="17" t="n">
        <x:f>IF('Control Room'!$B$5="Normal",'Control Room'!$B$7,('Control Room'!$B$8+'Control Room'!$D$8)/2)+'Control Room'!$B$9*(Y429-IF('Control Room'!$B$5="Normal",'Control Room'!$B$7,('Control Room'!$B$8+'Control Room'!$D$8)/2))+SQRT(1-'Control Room'!$B$9^2)*(X430-IF('Control Room'!$B$5="Normal",'Control Room'!$B$7,('Control Room'!$B$8+'Control Room'!$D$8)/2))</x:f>
        <x:v>1106.2693973262176</x:v>
      </x:c>
      <x:c r="Z430" s="17" t="n">
        <x:f>IF(AND($A430&gt;='Control Room'!$A$13,$A430&lt;'Control Room'!$A$13+'Control Room'!$B$13,'Process'!BO2=1),1+('Control Room'!$C$13-1)*EXP(-0.5*(($A430-'Control Room'!$A$13-('Control Room'!$B$13-1)/2)/MAX(0.5,'Control Room'!$B$13/4))^2),1)*IF(AND($A430&gt;='Control Room'!$A$14,$A430&lt;'Control Room'!$A$14+'Control Room'!$B$14,'Process'!BO3=1),1+('Control Room'!$C$14-1)*EXP(-0.5*(($A430-'Control Room'!$A$14-('Control Room'!$B$14-1)/2)/MAX(0.5,'Control Room'!$B$14/4))^2),1)*IF(AND($A430&gt;='Control Room'!$A$15,$A430&lt;'Control Room'!$A$15+'Control Room'!$B$15,'Process'!BO4=1),1+('Control Room'!$C$15-1)*EXP(-0.5*(($A430-'Control Room'!$A$15-('Control Room'!$B$15-1)/2)/MAX(0.5,'Control Room'!$B$15/4))^2),1)*IF(AND($A430&gt;='Control Room'!$A$16,$A430&lt;'Control Room'!$A$16+'Control Room'!$B$16,'Process'!BO5=1),1+('Control Room'!$C$16-1)*EXP(-0.5*(($A430-'Control Room'!$A$16-('Control Room'!$B$16-1)/2)/MAX(0.5,'Control Room'!$B$16/4))^2),1)</x:f>
        <x:v>1</x:v>
      </x:c>
      <x:c r="AA430" s="9" t="n">
        <x:f>MOD(AB429*16807,2147483647)</x:f>
        <x:v>910311171</x:v>
      </x:c>
      <x:c r="AB430" s="9" t="n">
        <x:f>MOD(AA430*16807,2147483647)</x:f>
        <x:v>926349769</x:v>
      </x:c>
      <x:c r="AC430" s="17" t="n">
        <x:f>IF('Control Room'!$B$5="Normal",'Control Room'!$B$7+'Control Room'!$D$7*SQRT(-2*LN(MAX(0.000000000001,AA430/2147483647)))*COS(2*PI()*AB430/2147483647),'Control Room'!$B$8+('Control Room'!$D$8-'Control Room'!$B$8)*AA430/2147483647)</x:f>
        <x:v>892.8807596389258</x:v>
      </x:c>
      <x:c r="AD430" s="17" t="n">
        <x:f>IF('Control Room'!$B$5="Normal",'Control Room'!$B$7,('Control Room'!$B$8+'Control Room'!$D$8)/2)+'Control Room'!$B$9*(AD429-IF('Control Room'!$B$5="Normal",'Control Room'!$B$7,('Control Room'!$B$8+'Control Room'!$D$8)/2))+SQRT(1-'Control Room'!$B$9^2)*(AC430-IF('Control Room'!$B$5="Normal",'Control Room'!$B$7,('Control Room'!$B$8+'Control Room'!$D$8)/2))</x:f>
        <x:v>1057.3642356132973</x:v>
      </x:c>
      <x:c r="AE430" s="17" t="n">
        <x:f>IF(AND($A430&gt;='Control Room'!$A$13,$A430&lt;'Control Room'!$A$13+'Control Room'!$B$13,'Process'!BP2=1),1+('Control Room'!$C$13-1)*EXP(-0.5*(($A430-'Control Room'!$A$13-('Control Room'!$B$13-1)/2)/MAX(0.5,'Control Room'!$B$13/4))^2),1)*IF(AND($A430&gt;='Control Room'!$A$14,$A430&lt;'Control Room'!$A$14+'Control Room'!$B$14,'Process'!BP3=1),1+('Control Room'!$C$14-1)*EXP(-0.5*(($A430-'Control Room'!$A$14-('Control Room'!$B$14-1)/2)/MAX(0.5,'Control Room'!$B$14/4))^2),1)*IF(AND($A430&gt;='Control Room'!$A$15,$A430&lt;'Control Room'!$A$15+'Control Room'!$B$15,'Process'!BP4=1),1+('Control Room'!$C$15-1)*EXP(-0.5*(($A430-'Control Room'!$A$15-('Control Room'!$B$15-1)/2)/MAX(0.5,'Control Room'!$B$15/4))^2),1)*IF(AND($A430&gt;='Control Room'!$A$16,$A430&lt;'Control Room'!$A$16+'Control Room'!$B$16,'Process'!BP5=1),1+('Control Room'!$C$16-1)*EXP(-0.5*(($A430-'Control Room'!$A$16-('Control Room'!$B$16-1)/2)/MAX(0.5,'Control Room'!$B$16/4))^2),1)</x:f>
        <x:v>1</x:v>
      </x:c>
      <x:c r="AF430" s="9" t="n">
        <x:f>MOD(AG429*16807,2147483647)</x:f>
        <x:v>1082615604</x:v>
      </x:c>
      <x:c r="AG430" s="9" t="n">
        <x:f>MOD(AF430*16807,2147483647)</x:f>
        <x:v>2038999044</x:v>
      </x:c>
      <x:c r="AH430" s="17" t="n">
        <x:f>IF('Control Room'!$B$5="Normal",'Control Room'!$B$7+'Control Room'!$D$7*SQRT(-2*LN(MAX(0.000000000001,AF430/2147483647)))*COS(2*PI()*AG430/2147483647),'Control Room'!$B$8+('Control Room'!$D$8-'Control Room'!$B$8)*AF430/2147483647)</x:f>
        <x:v>1100.0741125317315</x:v>
      </x:c>
      <x:c r="AI430" s="17" t="n">
        <x:f>IF('Control Room'!$B$5="Normal",'Control Room'!$B$7,('Control Room'!$B$8+'Control Room'!$D$8)/2)+'Control Room'!$B$9*(AI429-IF('Control Room'!$B$5="Normal",'Control Room'!$B$7,('Control Room'!$B$8+'Control Room'!$D$8)/2))+SQRT(1-'Control Room'!$B$9^2)*(AH430-IF('Control Room'!$B$5="Normal",'Control Room'!$B$7,('Control Room'!$B$8+'Control Room'!$D$8)/2))</x:f>
        <x:v>1091.1246770054213</x:v>
      </x:c>
      <x:c r="AJ430" s="17" t="n">
        <x:f>IF(AND($A430&gt;='Control Room'!$A$13,$A430&lt;'Control Room'!$A$13+'Control Room'!$B$13,'Process'!BQ2=1),1+('Control Room'!$C$13-1)*EXP(-0.5*(($A430-'Control Room'!$A$13-('Control Room'!$B$13-1)/2)/MAX(0.5,'Control Room'!$B$13/4))^2),1)*IF(AND($A430&gt;='Control Room'!$A$14,$A430&lt;'Control Room'!$A$14+'Control Room'!$B$14,'Process'!BQ3=1),1+('Control Room'!$C$14-1)*EXP(-0.5*(($A430-'Control Room'!$A$14-('Control Room'!$B$14-1)/2)/MAX(0.5,'Control Room'!$B$14/4))^2),1)*IF(AND($A430&gt;='Control Room'!$A$15,$A430&lt;'Control Room'!$A$15+'Control Room'!$B$15,'Process'!BQ4=1),1+('Control Room'!$C$15-1)*EXP(-0.5*(($A430-'Control Room'!$A$15-('Control Room'!$B$15-1)/2)/MAX(0.5,'Control Room'!$B$15/4))^2),1)*IF(AND($A430&gt;='Control Room'!$A$16,$A430&lt;'Control Room'!$A$16+'Control Room'!$B$16,'Process'!BQ5=1),1+('Control Room'!$C$16-1)*EXP(-0.5*(($A430-'Control Room'!$A$16-('Control Room'!$B$16-1)/2)/MAX(0.5,'Control Room'!$B$16/4))^2),1)</x:f>
        <x:v>1</x:v>
      </x:c>
      <x:c r="AK430" s="9" t="n">
        <x:f>MOD(AL429*16807,2147483647)</x:f>
        <x:v>1254920037</x:v>
      </x:c>
      <x:c r="AL430" s="9" t="n">
        <x:f>MOD(AK430*16807,2147483647)</x:f>
        <x:v>1004164672</x:v>
      </x:c>
      <x:c r="AM430" s="17" t="n">
        <x:f>IF('Control Room'!$B$5="Normal",'Control Room'!$B$7+'Control Room'!$D$7*SQRT(-2*LN(MAX(0.000000000001,AK430/2147483647)))*COS(2*PI()*AL430/2147483647),'Control Room'!$B$8+('Control Room'!$D$8-'Control Room'!$B$8)*AK430/2147483647)</x:f>
        <x:v>908.636261096854</x:v>
      </x:c>
      <x:c r="AN430" s="17" t="n">
        <x:f>IF('Control Room'!$B$5="Normal",'Control Room'!$B$7,('Control Room'!$B$8+'Control Room'!$D$8)/2)+'Control Room'!$B$9*(AN429-IF('Control Room'!$B$5="Normal",'Control Room'!$B$7,('Control Room'!$B$8+'Control Room'!$D$8)/2))+SQRT(1-'Control Room'!$B$9^2)*(AM430-IF('Control Room'!$B$5="Normal",'Control Room'!$B$7,('Control Room'!$B$8+'Control Room'!$D$8)/2))</x:f>
        <x:v>996.254884870353</x:v>
      </x:c>
      <x:c r="AO430" s="17" t="n">
        <x:f>IF(AND($A430&gt;='Control Room'!$A$13,$A430&lt;'Control Room'!$A$13+'Control Room'!$B$13,'Process'!BR2=1),1+('Control Room'!$C$13-1)*EXP(-0.5*(($A430-'Control Room'!$A$13-('Control Room'!$B$13-1)/2)/MAX(0.5,'Control Room'!$B$13/4))^2),1)*IF(AND($A430&gt;='Control Room'!$A$14,$A430&lt;'Control Room'!$A$14+'Control Room'!$B$14,'Process'!BR3=1),1+('Control Room'!$C$14-1)*EXP(-0.5*(($A430-'Control Room'!$A$14-('Control Room'!$B$14-1)/2)/MAX(0.5,'Control Room'!$B$14/4))^2),1)*IF(AND($A430&gt;='Control Room'!$A$15,$A430&lt;'Control Room'!$A$15+'Control Room'!$B$15,'Process'!BR4=1),1+('Control Room'!$C$15-1)*EXP(-0.5*(($A430-'Control Room'!$A$15-('Control Room'!$B$15-1)/2)/MAX(0.5,'Control Room'!$B$15/4))^2),1)*IF(AND($A430&gt;='Control Room'!$A$16,$A430&lt;'Control Room'!$A$16+'Control Room'!$B$16,'Process'!BR5=1),1+('Control Room'!$C$16-1)*EXP(-0.5*(($A430-'Control Room'!$A$16-('Control Room'!$B$16-1)/2)/MAX(0.5,'Control Room'!$B$16/4))^2),1)</x:f>
        <x:v>1</x:v>
      </x:c>
      <x:c r="AP430" s="9" t="n">
        <x:f>MOD(AQ429*16807,2147483647)</x:f>
        <x:v>1427224470</x:v>
      </x:c>
      <x:c r="AQ430" s="9" t="n">
        <x:f>MOD(AP430*16807,2147483647)</x:f>
        <x:v>2116813947</x:v>
      </x:c>
      <x:c r="AR430" s="17" t="n">
        <x:f>IF('Control Room'!$B$5="Normal",'Control Room'!$B$7+'Control Room'!$D$7*SQRT(-2*LN(MAX(0.000000000001,AP430/2147483647)))*COS(2*PI()*AQ430/2147483647),'Control Room'!$B$8+('Control Room'!$D$8-'Control Room'!$B$8)*AP430/2147483647)</x:f>
        <x:v>1081.0284020568788</x:v>
      </x:c>
      <x:c r="AS430" s="17" t="n">
        <x:f>IF('Control Room'!$B$5="Normal",'Control Room'!$B$7,('Control Room'!$B$8+'Control Room'!$D$8)/2)+'Control Room'!$B$9*(AS429-IF('Control Room'!$B$5="Normal",'Control Room'!$B$7,('Control Room'!$B$8+'Control Room'!$D$8)/2))+SQRT(1-'Control Room'!$B$9^2)*(AR430-IF('Control Room'!$B$5="Normal",'Control Room'!$B$7,('Control Room'!$B$8+'Control Room'!$D$8)/2))</x:f>
        <x:v>1005.5650866530038</x:v>
      </x:c>
      <x:c r="AT430" s="17" t="n">
        <x:f>IF(AND($A430&gt;='Control Room'!$A$13,$A430&lt;'Control Room'!$A$13+'Control Room'!$B$13,'Process'!BS2=1),1+('Control Room'!$C$13-1)*EXP(-0.5*(($A430-'Control Room'!$A$13-('Control Room'!$B$13-1)/2)/MAX(0.5,'Control Room'!$B$13/4))^2),1)*IF(AND($A430&gt;='Control Room'!$A$14,$A430&lt;'Control Room'!$A$14+'Control Room'!$B$14,'Process'!BS3=1),1+('Control Room'!$C$14-1)*EXP(-0.5*(($A430-'Control Room'!$A$14-('Control Room'!$B$14-1)/2)/MAX(0.5,'Control Room'!$B$14/4))^2),1)*IF(AND($A430&gt;='Control Room'!$A$15,$A430&lt;'Control Room'!$A$15+'Control Room'!$B$15,'Process'!BS4=1),1+('Control Room'!$C$15-1)*EXP(-0.5*(($A430-'Control Room'!$A$15-('Control Room'!$B$15-1)/2)/MAX(0.5,'Control Room'!$B$15/4))^2),1)*IF(AND($A430&gt;='Control Room'!$A$16,$A430&lt;'Control Room'!$A$16+'Control Room'!$B$16,'Process'!BS5=1),1+('Control Room'!$C$16-1)*EXP(-0.5*(($A430-'Control Room'!$A$16-('Control Room'!$B$16-1)/2)/MAX(0.5,'Control Room'!$B$16/4))^2),1)</x:f>
        <x:v>1</x:v>
      </x:c>
      <x:c r="AU430" s="9" t="n">
        <x:f>MOD(AV429*16807,2147483647)</x:f>
        <x:v>1599528903</x:v>
      </x:c>
      <x:c r="AV430" s="9" t="n">
        <x:f>MOD(AU430*16807,2147483647)</x:f>
        <x:v>1081979575</x:v>
      </x:c>
      <x:c r="AW430" s="17" t="n">
        <x:f>IF('Control Room'!$B$5="Normal",'Control Room'!$B$7+'Control Room'!$D$7*SQRT(-2*LN(MAX(0.000000000001,AU430/2147483647)))*COS(2*PI()*AV430/2147483647),'Control Room'!$B$8+('Control Room'!$D$8-'Control Room'!$B$8)*AU430/2147483647)</x:f>
        <x:v>930.9380895776026</x:v>
      </x:c>
      <x:c r="AX430" s="17" t="n">
        <x:f>IF('Control Room'!$B$5="Normal",'Control Room'!$B$7,('Control Room'!$B$8+'Control Room'!$D$8)/2)+'Control Room'!$B$9*(AX429-IF('Control Room'!$B$5="Normal",'Control Room'!$B$7,('Control Room'!$B$8+'Control Room'!$D$8)/2))+SQRT(1-'Control Room'!$B$9^2)*(AW430-IF('Control Room'!$B$5="Normal",'Control Room'!$B$7,('Control Room'!$B$8+'Control Room'!$D$8)/2))</x:f>
        <x:v>888.2265382589669</x:v>
      </x:c>
      <x:c r="AY430" s="17" t="n">
        <x:f>IF(AND($A430&gt;='Control Room'!$A$13,$A430&lt;'Control Room'!$A$13+'Control Room'!$B$13,'Process'!BT2=1),1+('Control Room'!$C$13-1)*EXP(-0.5*(($A430-'Control Room'!$A$13-('Control Room'!$B$13-1)/2)/MAX(0.5,'Control Room'!$B$13/4))^2),1)*IF(AND($A430&gt;='Control Room'!$A$14,$A430&lt;'Control Room'!$A$14+'Control Room'!$B$14,'Process'!BT3=1),1+('Control Room'!$C$14-1)*EXP(-0.5*(($A430-'Control Room'!$A$14-('Control Room'!$B$14-1)/2)/MAX(0.5,'Control Room'!$B$14/4))^2),1)*IF(AND($A430&gt;='Control Room'!$A$15,$A430&lt;'Control Room'!$A$15+'Control Room'!$B$15,'Process'!BT4=1),1+('Control Room'!$C$15-1)*EXP(-0.5*(($A430-'Control Room'!$A$15-('Control Room'!$B$15-1)/2)/MAX(0.5,'Control Room'!$B$15/4))^2),1)*IF(AND($A430&gt;='Control Room'!$A$16,$A430&lt;'Control Room'!$A$16+'Control Room'!$B$16,'Process'!BT5=1),1+('Control Room'!$C$16-1)*EXP(-0.5*(($A430-'Control Room'!$A$16-('Control Room'!$B$16-1)/2)/MAX(0.5,'Control Room'!$B$16/4))^2),1)</x:f>
        <x:v>1</x:v>
      </x:c>
      <x:c r="AZ430" s="9" t="n">
        <x:f>MOD(BA429*16807,2147483647)</x:f>
        <x:v>1771833336</x:v>
      </x:c>
      <x:c r="BA430" s="9" t="n">
        <x:f>MOD(AZ430*16807,2147483647)</x:f>
        <x:v>47145203</x:v>
      </x:c>
      <x:c r="BB430" s="17" t="n">
        <x:f>IF('Control Room'!$B$5="Normal",'Control Room'!$B$7+'Control Room'!$D$7*SQRT(-2*LN(MAX(0.000000000001,AZ430/2147483647)))*COS(2*PI()*BA430/2147483647),'Control Room'!$B$8+('Control Room'!$D$8-'Control Room'!$B$8)*AZ430/2147483647)</x:f>
        <x:v>1055.2817662120117</x:v>
      </x:c>
      <x:c r="BC430" s="17" t="n">
        <x:f>IF('Control Room'!$B$5="Normal",'Control Room'!$B$7,('Control Room'!$B$8+'Control Room'!$D$8)/2)+'Control Room'!$B$9*(BC429-IF('Control Room'!$B$5="Normal",'Control Room'!$B$7,('Control Room'!$B$8+'Control Room'!$D$8)/2))+SQRT(1-'Control Room'!$B$9^2)*(BB430-IF('Control Room'!$B$5="Normal",'Control Room'!$B$7,('Control Room'!$B$8+'Control Room'!$D$8)/2))</x:f>
        <x:v>1067.7422639221725</x:v>
      </x:c>
      <x:c r="BD430" s="17" t="n">
        <x:f>IF(AND($A430&gt;='Control Room'!$A$13,$A430&lt;'Control Room'!$A$13+'Control Room'!$B$13,'Process'!BU2=1),1+('Control Room'!$C$13-1)*EXP(-0.5*(($A430-'Control Room'!$A$13-('Control Room'!$B$13-1)/2)/MAX(0.5,'Control Room'!$B$13/4))^2),1)*IF(AND($A430&gt;='Control Room'!$A$14,$A430&lt;'Control Room'!$A$14+'Control Room'!$B$14,'Process'!BU3=1),1+('Control Room'!$C$14-1)*EXP(-0.5*(($A430-'Control Room'!$A$14-('Control Room'!$B$14-1)/2)/MAX(0.5,'Control Room'!$B$14/4))^2),1)*IF(AND($A430&gt;='Control Room'!$A$15,$A430&lt;'Control Room'!$A$15+'Control Room'!$B$15,'Process'!BU4=1),1+('Control Room'!$C$15-1)*EXP(-0.5*(($A430-'Control Room'!$A$15-('Control Room'!$B$15-1)/2)/MAX(0.5,'Control Room'!$B$15/4))^2),1)*IF(AND($A430&gt;='Control Room'!$A$16,$A430&lt;'Control Room'!$A$16+'Control Room'!$B$16,'Process'!BU5=1),1+('Control Room'!$C$16-1)*EXP(-0.5*(($A430-'Control Room'!$A$16-('Control Room'!$B$16-1)/2)/MAX(0.5,'Control Room'!$B$16/4))^2),1)</x:f>
        <x:v>1</x:v>
      </x:c>
      <x:c r="BE430" s="9" t="n">
        <x:f>MOD(BF429*16807,2147483647)</x:f>
        <x:v>1944137769</x:v>
      </x:c>
      <x:c r="BF430" s="9" t="n">
        <x:f>MOD(BE430*16807,2147483647)</x:f>
        <x:v>1159794478</x:v>
      </x:c>
      <x:c r="BG430" s="17" t="n">
        <x:f>IF('Control Room'!$B$5="Normal",'Control Room'!$B$7+'Control Room'!$D$7*SQRT(-2*LN(MAX(0.000000000001,BE430/2147483647)))*COS(2*PI()*BF430/2147483647),'Control Room'!$B$8+('Control Room'!$D$8-'Control Room'!$B$8)*BE430/2147483647)</x:f>
        <x:v>961.1216084026803</x:v>
      </x:c>
      <x:c r="BH430" s="17" t="n">
        <x:f>IF('Control Room'!$B$5="Normal",'Control Room'!$B$7,('Control Room'!$B$8+'Control Room'!$D$8)/2)+'Control Room'!$B$9*(BH429-IF('Control Room'!$B$5="Normal",'Control Room'!$B$7,('Control Room'!$B$8+'Control Room'!$D$8)/2))+SQRT(1-'Control Room'!$B$9^2)*(BG430-IF('Control Room'!$B$5="Normal",'Control Room'!$B$7,('Control Room'!$B$8+'Control Room'!$D$8)/2))</x:f>
        <x:v>1006.2448463439554</x:v>
      </x:c>
      <x:c r="BI430" s="17" t="n">
        <x:f>IF(AND($A430&gt;='Control Room'!$A$13,$A430&lt;'Control Room'!$A$13+'Control Room'!$B$13,'Process'!BV2=1),1+('Control Room'!$C$13-1)*EXP(-0.5*(($A430-'Control Room'!$A$13-('Control Room'!$B$13-1)/2)/MAX(0.5,'Control Room'!$B$13/4))^2),1)*IF(AND($A430&gt;='Control Room'!$A$14,$A430&lt;'Control Room'!$A$14+'Control Room'!$B$14,'Process'!BV3=1),1+('Control Room'!$C$14-1)*EXP(-0.5*(($A430-'Control Room'!$A$14-('Control Room'!$B$14-1)/2)/MAX(0.5,'Control Room'!$B$14/4))^2),1)*IF(AND($A430&gt;='Control Room'!$A$15,$A430&lt;'Control Room'!$A$15+'Control Room'!$B$15,'Process'!BV4=1),1+('Control Room'!$C$15-1)*EXP(-0.5*(($A430-'Control Room'!$A$15-('Control Room'!$B$15-1)/2)/MAX(0.5,'Control Room'!$B$15/4))^2),1)*IF(AND($A430&gt;='Control Room'!$A$16,$A430&lt;'Control Room'!$A$16+'Control Room'!$B$16,'Process'!BV5=1),1+('Control Room'!$C$16-1)*EXP(-0.5*(($A430-'Control Room'!$A$16-('Control Room'!$B$16-1)/2)/MAX(0.5,'Control Room'!$B$16/4))^2),1)</x:f>
        <x:v>1</x:v>
      </x:c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Z430" t="str">
        <x:f>IF('Data'!A430="","",TEXT('Data'!A430,"mm-dd"))</x:f>
      </x:c>
    </x:row>
    <x:row r="431" ht="21" customHeight="1">
      <x:c r="A431" s="15" t="n">
        <x:f>'Control Room'!$B$1+429</x:f>
        <x:v>73420</x:v>
      </x:c>
      <x:c r="B431" s="9" t="n">
        <x:f>MOD(C430*16807,2147483647)</x:f>
        <x:v>2007776235</x:v>
      </x:c>
      <x:c r="C431" s="9" t="n">
        <x:f>MOD(B431*16807,2147483647)</x:f>
        <x:v>1284636334</x:v>
      </x:c>
      <x:c r="D431" s="17" t="n">
        <x:f>IF('Control Room'!$B$5="Normal",'Control Room'!$B$7+'Control Room'!$D$7*SQRT(-2*LN(MAX(0.000000000001,B431/2147483647)))*COS(2*PI()*C431/2147483647),'Control Room'!$B$8+('Control Room'!$D$8-'Control Room'!$B$8)*B431/2147483647)</x:f>
        <x:v>973.0760632519493</x:v>
      </x:c>
      <x:c r="E431" s="17" t="n">
        <x:f>IF('Control Room'!$B$5="Normal",'Control Room'!$B$7,('Control Room'!$B$8+'Control Room'!$D$8)/2)+'Control Room'!$B$9*(E430-IF('Control Room'!$B$5="Normal",'Control Room'!$B$7,('Control Room'!$B$8+'Control Room'!$D$8)/2))+SQRT(1-'Control Room'!$B$9^2)*(D431-IF('Control Room'!$B$5="Normal",'Control Room'!$B$7,('Control Room'!$B$8+'Control Room'!$D$8)/2))</x:f>
        <x:v>1092.486875779597</x:v>
      </x:c>
      <x:c r="F431" s="17" t="n">
        <x:f>IF(AND($A431&gt;='Control Room'!$A$13,$A431&lt;'Control Room'!$A$13+'Control Room'!$B$13,'Process'!BK2=1),1+('Control Room'!$C$13-1)*EXP(-0.5*(($A431-'Control Room'!$A$13-('Control Room'!$B$13-1)/2)/MAX(0.5,'Control Room'!$B$13/4))^2),1)*IF(AND($A431&gt;='Control Room'!$A$14,$A431&lt;'Control Room'!$A$14+'Control Room'!$B$14,'Process'!BK3=1),1+('Control Room'!$C$14-1)*EXP(-0.5*(($A431-'Control Room'!$A$14-('Control Room'!$B$14-1)/2)/MAX(0.5,'Control Room'!$B$14/4))^2),1)*IF(AND($A431&gt;='Control Room'!$A$15,$A431&lt;'Control Room'!$A$15+'Control Room'!$B$15,'Process'!BK4=1),1+('Control Room'!$C$15-1)*EXP(-0.5*(($A431-'Control Room'!$A$15-('Control Room'!$B$15-1)/2)/MAX(0.5,'Control Room'!$B$15/4))^2),1)*IF(AND($A431&gt;='Control Room'!$A$16,$A431&lt;'Control Room'!$A$16+'Control Room'!$B$16,'Process'!BK5=1),1+('Control Room'!$C$16-1)*EXP(-0.5*(($A431-'Control Room'!$A$16-('Control Room'!$B$16-1)/2)/MAX(0.5,'Control Room'!$B$16/4))^2),1)</x:f>
        <x:v>1</x:v>
      </x:c>
      <x:c r="G431" s="9" t="n">
        <x:f>MOD(H430*16807,2147483647)</x:f>
        <x:v>2016543084</x:v>
      </x:c>
      <x:c r="H431" s="9" t="n">
        <x:f>MOD(G431*16807,2147483647)</x:f>
        <x:v>452695834</x:v>
      </x:c>
      <x:c r="I431" s="17" t="n">
        <x:f>IF('Control Room'!$B$5="Normal",'Control Room'!$B$7+'Control Room'!$D$7*SQRT(-2*LN(MAX(0.000000000001,G431/2147483647)))*COS(2*PI()*H431/2147483647),'Control Room'!$B$8+('Control Room'!$D$8-'Control Room'!$B$8)*G431/2147483647)</x:f>
        <x:v>1007.783209412622</x:v>
      </x:c>
      <x:c r="J431" s="17" t="n">
        <x:f>IF('Control Room'!$B$5="Normal",'Control Room'!$B$7,('Control Room'!$B$8+'Control Room'!$D$8)/2)+'Control Room'!$B$9*(J430-IF('Control Room'!$B$5="Normal",'Control Room'!$B$7,('Control Room'!$B$8+'Control Room'!$D$8)/2))+SQRT(1-'Control Room'!$B$9^2)*(I431-IF('Control Room'!$B$5="Normal",'Control Room'!$B$7,('Control Room'!$B$8+'Control Room'!$D$8)/2))</x:f>
        <x:v>1003.0588713383765</x:v>
      </x:c>
      <x:c r="K431" s="17" t="n">
        <x:f>IF(AND($A431&gt;='Control Room'!$A$13,$A431&lt;'Control Room'!$A$13+'Control Room'!$B$13,'Process'!BL2=1),1+('Control Room'!$C$13-1)*EXP(-0.5*(($A431-'Control Room'!$A$13-('Control Room'!$B$13-1)/2)/MAX(0.5,'Control Room'!$B$13/4))^2),1)*IF(AND($A431&gt;='Control Room'!$A$14,$A431&lt;'Control Room'!$A$14+'Control Room'!$B$14,'Process'!BL3=1),1+('Control Room'!$C$14-1)*EXP(-0.5*(($A431-'Control Room'!$A$14-('Control Room'!$B$14-1)/2)/MAX(0.5,'Control Room'!$B$14/4))^2),1)*IF(AND($A431&gt;='Control Room'!$A$15,$A431&lt;'Control Room'!$A$15+'Control Room'!$B$15,'Process'!BL4=1),1+('Control Room'!$C$15-1)*EXP(-0.5*(($A431-'Control Room'!$A$15-('Control Room'!$B$15-1)/2)/MAX(0.5,'Control Room'!$B$15/4))^2),1)*IF(AND($A431&gt;='Control Room'!$A$16,$A431&lt;'Control Room'!$A$16+'Control Room'!$B$16,'Process'!BL5=1),1+('Control Room'!$C$16-1)*EXP(-0.5*(($A431-'Control Room'!$A$16-('Control Room'!$B$16-1)/2)/MAX(0.5,'Control Room'!$B$16/4))^2),1)</x:f>
        <x:v>1</x:v>
      </x:c>
      <x:c r="L431" s="9" t="n">
        <x:f>MOD(M430*16807,2147483647)</x:f>
        <x:v>2025309933</x:v>
      </x:c>
      <x:c r="M431" s="9" t="n">
        <x:f>MOD(L431*16807,2147483647)</x:f>
        <x:v>1768238981</x:v>
      </x:c>
      <x:c r="N431" s="17" t="n">
        <x:f>IF('Control Room'!$B$5="Normal",'Control Room'!$B$7+'Control Room'!$D$7*SQRT(-2*LN(MAX(0.000000000001,L431/2147483647)))*COS(2*PI()*M431/2147483647),'Control Room'!$B$8+('Control Room'!$D$8-'Control Room'!$B$8)*L431/2147483647)</x:f>
        <x:v>1013.7082662500185</x:v>
      </x:c>
      <x:c r="O431" s="17" t="n">
        <x:f>IF('Control Room'!$B$5="Normal",'Control Room'!$B$7,('Control Room'!$B$8+'Control Room'!$D$8)/2)+'Control Room'!$B$9*(O430-IF('Control Room'!$B$5="Normal",'Control Room'!$B$7,('Control Room'!$B$8+'Control Room'!$D$8)/2))+SQRT(1-'Control Room'!$B$9^2)*(N431-IF('Control Room'!$B$5="Normal",'Control Room'!$B$7,('Control Room'!$B$8+'Control Room'!$D$8)/2))</x:f>
        <x:v>1065.9785356229013</x:v>
      </x:c>
      <x:c r="P431" s="17" t="n">
        <x:f>IF(AND($A431&gt;='Control Room'!$A$13,$A431&lt;'Control Room'!$A$13+'Control Room'!$B$13,'Process'!BM2=1),1+('Control Room'!$C$13-1)*EXP(-0.5*(($A431-'Control Room'!$A$13-('Control Room'!$B$13-1)/2)/MAX(0.5,'Control Room'!$B$13/4))^2),1)*IF(AND($A431&gt;='Control Room'!$A$14,$A431&lt;'Control Room'!$A$14+'Control Room'!$B$14,'Process'!BM3=1),1+('Control Room'!$C$14-1)*EXP(-0.5*(($A431-'Control Room'!$A$14-('Control Room'!$B$14-1)/2)/MAX(0.5,'Control Room'!$B$14/4))^2),1)*IF(AND($A431&gt;='Control Room'!$A$15,$A431&lt;'Control Room'!$A$15+'Control Room'!$B$15,'Process'!BM4=1),1+('Control Room'!$C$15-1)*EXP(-0.5*(($A431-'Control Room'!$A$15-('Control Room'!$B$15-1)/2)/MAX(0.5,'Control Room'!$B$15/4))^2),1)*IF(AND($A431&gt;='Control Room'!$A$16,$A431&lt;'Control Room'!$A$16+'Control Room'!$B$16,'Process'!BM5=1),1+('Control Room'!$C$16-1)*EXP(-0.5*(($A431-'Control Room'!$A$16-('Control Room'!$B$16-1)/2)/MAX(0.5,'Control Room'!$B$16/4))^2),1)</x:f>
        <x:v>1</x:v>
      </x:c>
      <x:c r="Q431" s="9" t="n">
        <x:f>MOD(R430*16807,2147483647)</x:f>
        <x:v>2034076782</x:v>
      </x:c>
      <x:c r="R431" s="9" t="n">
        <x:f>MOD(Q431*16807,2147483647)</x:f>
        <x:v>936298481</x:v>
      </x:c>
      <x:c r="S431" s="17" t="n">
        <x:f>IF('Control Room'!$B$5="Normal",'Control Room'!$B$7+'Control Room'!$D$7*SQRT(-2*LN(MAX(0.000000000001,Q431/2147483647)))*COS(2*PI()*R431/2147483647),'Control Room'!$B$8+('Control Room'!$D$8-'Control Room'!$B$8)*Q431/2147483647)</x:f>
        <x:v>972.7183186004365</x:v>
      </x:c>
      <x:c r="T431" s="17" t="n">
        <x:f>IF('Control Room'!$B$5="Normal",'Control Room'!$B$7,('Control Room'!$B$8+'Control Room'!$D$8)/2)+'Control Room'!$B$9*(T430-IF('Control Room'!$B$5="Normal",'Control Room'!$B$7,('Control Room'!$B$8+'Control Room'!$D$8)/2))+SQRT(1-'Control Room'!$B$9^2)*(S431-IF('Control Room'!$B$5="Normal",'Control Room'!$B$7,('Control Room'!$B$8+'Control Room'!$D$8)/2))</x:f>
        <x:v>964.181725840023</x:v>
      </x:c>
      <x:c r="U431" s="17" t="n">
        <x:f>IF(AND($A431&gt;='Control Room'!$A$13,$A431&lt;'Control Room'!$A$13+'Control Room'!$B$13,'Process'!BN2=1),1+('Control Room'!$C$13-1)*EXP(-0.5*(($A431-'Control Room'!$A$13-('Control Room'!$B$13-1)/2)/MAX(0.5,'Control Room'!$B$13/4))^2),1)*IF(AND($A431&gt;='Control Room'!$A$14,$A431&lt;'Control Room'!$A$14+'Control Room'!$B$14,'Process'!BN3=1),1+('Control Room'!$C$14-1)*EXP(-0.5*(($A431-'Control Room'!$A$14-('Control Room'!$B$14-1)/2)/MAX(0.5,'Control Room'!$B$14/4))^2),1)*IF(AND($A431&gt;='Control Room'!$A$15,$A431&lt;'Control Room'!$A$15+'Control Room'!$B$15,'Process'!BN4=1),1+('Control Room'!$C$15-1)*EXP(-0.5*(($A431-'Control Room'!$A$15-('Control Room'!$B$15-1)/2)/MAX(0.5,'Control Room'!$B$15/4))^2),1)*IF(AND($A431&gt;='Control Room'!$A$16,$A431&lt;'Control Room'!$A$16+'Control Room'!$B$16,'Process'!BN5=1),1+('Control Room'!$C$16-1)*EXP(-0.5*(($A431-'Control Room'!$A$16-('Control Room'!$B$16-1)/2)/MAX(0.5,'Control Room'!$B$16/4))^2),1)</x:f>
        <x:v>1</x:v>
      </x:c>
      <x:c r="V431" s="9" t="n">
        <x:f>MOD(W430*16807,2147483647)</x:f>
        <x:v>2042843631</x:v>
      </x:c>
      <x:c r="W431" s="9" t="n">
        <x:f>MOD(V431*16807,2147483647)</x:f>
        <x:v>104357981</x:v>
      </x:c>
      <x:c r="X431" s="17" t="n">
        <x:f>IF('Control Room'!$B$5="Normal",'Control Room'!$B$7+'Control Room'!$D$7*SQRT(-2*LN(MAX(0.000000000001,V431/2147483647)))*COS(2*PI()*W431/2147483647),'Control Room'!$B$8+('Control Room'!$D$8-'Control Room'!$B$8)*V431/2147483647)</x:f>
        <x:v>1027.1316081346918</x:v>
      </x:c>
      <x:c r="Y431" s="17" t="n">
        <x:f>IF('Control Room'!$B$5="Normal",'Control Room'!$B$7,('Control Room'!$B$8+'Control Room'!$D$8)/2)+'Control Room'!$B$9*(Y430-IF('Control Room'!$B$5="Normal",'Control Room'!$B$7,('Control Room'!$B$8+'Control Room'!$D$8)/2))+SQRT(1-'Control Room'!$B$9^2)*(X431-IF('Control Room'!$B$5="Normal",'Control Room'!$B$7,('Control Room'!$B$8+'Control Room'!$D$8)/2))</x:f>
        <x:v>1099.8685344639357</x:v>
      </x:c>
      <x:c r="Z431" s="17" t="n">
        <x:f>IF(AND($A431&gt;='Control Room'!$A$13,$A431&lt;'Control Room'!$A$13+'Control Room'!$B$13,'Process'!BO2=1),1+('Control Room'!$C$13-1)*EXP(-0.5*(($A431-'Control Room'!$A$13-('Control Room'!$B$13-1)/2)/MAX(0.5,'Control Room'!$B$13/4))^2),1)*IF(AND($A431&gt;='Control Room'!$A$14,$A431&lt;'Control Room'!$A$14+'Control Room'!$B$14,'Process'!BO3=1),1+('Control Room'!$C$14-1)*EXP(-0.5*(($A431-'Control Room'!$A$14-('Control Room'!$B$14-1)/2)/MAX(0.5,'Control Room'!$B$14/4))^2),1)*IF(AND($A431&gt;='Control Room'!$A$15,$A431&lt;'Control Room'!$A$15+'Control Room'!$B$15,'Process'!BO4=1),1+('Control Room'!$C$15-1)*EXP(-0.5*(($A431-'Control Room'!$A$15-('Control Room'!$B$15-1)/2)/MAX(0.5,'Control Room'!$B$15/4))^2),1)*IF(AND($A431&gt;='Control Room'!$A$16,$A431&lt;'Control Room'!$A$16+'Control Room'!$B$16,'Process'!BO5=1),1+('Control Room'!$C$16-1)*EXP(-0.5*(($A431-'Control Room'!$A$16-('Control Room'!$B$16-1)/2)/MAX(0.5,'Control Room'!$B$16/4))^2),1)</x:f>
        <x:v>1</x:v>
      </x:c>
      <x:c r="AA431" s="9" t="n">
        <x:f>MOD(AB430*16807,2147483647)</x:f>
        <x:v>2051610480</x:v>
      </x:c>
      <x:c r="AB431" s="9" t="n">
        <x:f>MOD(AA431*16807,2147483647)</x:f>
        <x:v>1419901128</x:v>
      </x:c>
      <x:c r="AC431" s="17" t="n">
        <x:f>IF('Control Room'!$B$5="Normal",'Control Room'!$B$7+'Control Room'!$D$7*SQRT(-2*LN(MAX(0.000000000001,AA431/2147483647)))*COS(2*PI()*AB431/2147483647),'Control Room'!$B$8+('Control Room'!$D$8-'Control Room'!$B$8)*AA431/2147483647)</x:f>
        <x:v>985.5976641513632</x:v>
      </x:c>
      <x:c r="AD431" s="17" t="n">
        <x:f>IF('Control Room'!$B$5="Normal",'Control Room'!$B$7,('Control Room'!$B$8+'Control Room'!$D$8)/2)+'Control Room'!$B$9*(AD430-IF('Control Room'!$B$5="Normal",'Control Room'!$B$7,('Control Room'!$B$8+'Control Room'!$D$8)/2))+SQRT(1-'Control Room'!$B$9^2)*(AC431-IF('Control Room'!$B$5="Normal",'Control Room'!$B$7,('Control Room'!$B$8+'Control Room'!$D$8)/2))</x:f>
        <x:v>1035.7314170521822</x:v>
      </x:c>
      <x:c r="AE431" s="17" t="n">
        <x:f>IF(AND($A431&gt;='Control Room'!$A$13,$A431&lt;'Control Room'!$A$13+'Control Room'!$B$13,'Process'!BP2=1),1+('Control Room'!$C$13-1)*EXP(-0.5*(($A431-'Control Room'!$A$13-('Control Room'!$B$13-1)/2)/MAX(0.5,'Control Room'!$B$13/4))^2),1)*IF(AND($A431&gt;='Control Room'!$A$14,$A431&lt;'Control Room'!$A$14+'Control Room'!$B$14,'Process'!BP3=1),1+('Control Room'!$C$14-1)*EXP(-0.5*(($A431-'Control Room'!$A$14-('Control Room'!$B$14-1)/2)/MAX(0.5,'Control Room'!$B$14/4))^2),1)*IF(AND($A431&gt;='Control Room'!$A$15,$A431&lt;'Control Room'!$A$15+'Control Room'!$B$15,'Process'!BP4=1),1+('Control Room'!$C$15-1)*EXP(-0.5*(($A431-'Control Room'!$A$15-('Control Room'!$B$15-1)/2)/MAX(0.5,'Control Room'!$B$15/4))^2),1)*IF(AND($A431&gt;='Control Room'!$A$16,$A431&lt;'Control Room'!$A$16+'Control Room'!$B$16,'Process'!BP5=1),1+('Control Room'!$C$16-1)*EXP(-0.5*(($A431-'Control Room'!$A$16-('Control Room'!$B$16-1)/2)/MAX(0.5,'Control Room'!$B$16/4))^2),1)</x:f>
        <x:v>1</x:v>
      </x:c>
      <x:c r="AF431" s="9" t="n">
        <x:f>MOD(AG430*16807,2147483647)</x:f>
        <x:v>2060377329</x:v>
      </x:c>
      <x:c r="AG431" s="9" t="n">
        <x:f>MOD(AF431*16807,2147483647)</x:f>
        <x:v>587960628</x:v>
      </x:c>
      <x:c r="AH431" s="17" t="n">
        <x:f>IF('Control Room'!$B$5="Normal",'Control Room'!$B$7+'Control Room'!$D$7*SQRT(-2*LN(MAX(0.000000000001,AF431/2147483647)))*COS(2*PI()*AG431/2147483647),'Control Room'!$B$8+('Control Room'!$D$8-'Control Room'!$B$8)*AF431/2147483647)</x:f>
        <x:v>996.142884734149</x:v>
      </x:c>
      <x:c r="AI431" s="17" t="n">
        <x:f>IF('Control Room'!$B$5="Normal",'Control Room'!$B$7,('Control Room'!$B$8+'Control Room'!$D$8)/2)+'Control Room'!$B$9*(AI430-IF('Control Room'!$B$5="Normal",'Control Room'!$B$7,('Control Room'!$B$8+'Control Room'!$D$8)/2))+SQRT(1-'Control Room'!$B$9^2)*(AH431-IF('Control Room'!$B$5="Normal",'Control Room'!$B$7,('Control Room'!$B$8+'Control Room'!$D$8)/2))</x:f>
        <x:v>1068.6635443481603</x:v>
      </x:c>
      <x:c r="AJ431" s="17" t="n">
        <x:f>IF(AND($A431&gt;='Control Room'!$A$13,$A431&lt;'Control Room'!$A$13+'Control Room'!$B$13,'Process'!BQ2=1),1+('Control Room'!$C$13-1)*EXP(-0.5*(($A431-'Control Room'!$A$13-('Control Room'!$B$13-1)/2)/MAX(0.5,'Control Room'!$B$13/4))^2),1)*IF(AND($A431&gt;='Control Room'!$A$14,$A431&lt;'Control Room'!$A$14+'Control Room'!$B$14,'Process'!BQ3=1),1+('Control Room'!$C$14-1)*EXP(-0.5*(($A431-'Control Room'!$A$14-('Control Room'!$B$14-1)/2)/MAX(0.5,'Control Room'!$B$14/4))^2),1)*IF(AND($A431&gt;='Control Room'!$A$15,$A431&lt;'Control Room'!$A$15+'Control Room'!$B$15,'Process'!BQ4=1),1+('Control Room'!$C$15-1)*EXP(-0.5*(($A431-'Control Room'!$A$15-('Control Room'!$B$15-1)/2)/MAX(0.5,'Control Room'!$B$15/4))^2),1)*IF(AND($A431&gt;='Control Room'!$A$16,$A431&lt;'Control Room'!$A$16+'Control Room'!$B$16,'Process'!BQ5=1),1+('Control Room'!$C$16-1)*EXP(-0.5*(($A431-'Control Room'!$A$16-('Control Room'!$B$16-1)/2)/MAX(0.5,'Control Room'!$B$16/4))^2),1)</x:f>
        <x:v>1</x:v>
      </x:c>
      <x:c r="AK431" s="9" t="n">
        <x:f>MOD(AL430*16807,2147483647)</x:f>
        <x:v>2069144178</x:v>
      </x:c>
      <x:c r="AL431" s="9" t="n">
        <x:f>MOD(AK431*16807,2147483647)</x:f>
        <x:v>1903503775</x:v>
      </x:c>
      <x:c r="AM431" s="17" t="n">
        <x:f>IF('Control Room'!$B$5="Normal",'Control Room'!$B$7+'Control Room'!$D$7*SQRT(-2*LN(MAX(0.000000000001,AK431/2147483647)))*COS(2*PI()*AL431/2147483647),'Control Room'!$B$8+('Control Room'!$D$8-'Control Room'!$B$8)*AK431/2147483647)</x:f>
        <x:v>1018.5455929463102</x:v>
      </x:c>
      <x:c r="AN431" s="17" t="n">
        <x:f>IF('Control Room'!$B$5="Normal",'Control Room'!$B$7,('Control Room'!$B$8+'Control Room'!$D$8)/2)+'Control Room'!$B$9*(AN430-IF('Control Room'!$B$5="Normal",'Control Room'!$B$7,('Control Room'!$B$8+'Control Room'!$D$8)/2))+SQRT(1-'Control Room'!$B$9^2)*(AM431-IF('Control Room'!$B$5="Normal",'Control Room'!$B$7,('Control Room'!$B$8+'Control Room'!$D$8)/2))</x:f>
        <x:v>1008.6842623375538</x:v>
      </x:c>
      <x:c r="AO431" s="17" t="n">
        <x:f>IF(AND($A431&gt;='Control Room'!$A$13,$A431&lt;'Control Room'!$A$13+'Control Room'!$B$13,'Process'!BR2=1),1+('Control Room'!$C$13-1)*EXP(-0.5*(($A431-'Control Room'!$A$13-('Control Room'!$B$13-1)/2)/MAX(0.5,'Control Room'!$B$13/4))^2),1)*IF(AND($A431&gt;='Control Room'!$A$14,$A431&lt;'Control Room'!$A$14+'Control Room'!$B$14,'Process'!BR3=1),1+('Control Room'!$C$14-1)*EXP(-0.5*(($A431-'Control Room'!$A$14-('Control Room'!$B$14-1)/2)/MAX(0.5,'Control Room'!$B$14/4))^2),1)*IF(AND($A431&gt;='Control Room'!$A$15,$A431&lt;'Control Room'!$A$15+'Control Room'!$B$15,'Process'!BR4=1),1+('Control Room'!$C$15-1)*EXP(-0.5*(($A431-'Control Room'!$A$15-('Control Room'!$B$15-1)/2)/MAX(0.5,'Control Room'!$B$15/4))^2),1)*IF(AND($A431&gt;='Control Room'!$A$16,$A431&lt;'Control Room'!$A$16+'Control Room'!$B$16,'Process'!BR5=1),1+('Control Room'!$C$16-1)*EXP(-0.5*(($A431-'Control Room'!$A$16-('Control Room'!$B$16-1)/2)/MAX(0.5,'Control Room'!$B$16/4))^2),1)</x:f>
        <x:v>1</x:v>
      </x:c>
      <x:c r="AP431" s="9" t="n">
        <x:f>MOD(AQ430*16807,2147483647)</x:f>
        <x:v>2077911027</x:v>
      </x:c>
      <x:c r="AQ431" s="9" t="n">
        <x:f>MOD(AP431*16807,2147483647)</x:f>
        <x:v>1071563275</x:v>
      </x:c>
      <x:c r="AR431" s="17" t="n">
        <x:f>IF('Control Room'!$B$5="Normal",'Control Room'!$B$7+'Control Room'!$D$7*SQRT(-2*LN(MAX(0.000000000001,AP431/2147483647)))*COS(2*PI()*AQ431/2147483647),'Control Room'!$B$8+('Control Room'!$D$8-'Control Room'!$B$8)*AP431/2147483647)</x:f>
        <x:v>976.9022940941736</x:v>
      </x:c>
      <x:c r="AS431" s="17" t="n">
        <x:f>IF('Control Room'!$B$5="Normal",'Control Room'!$B$7,('Control Room'!$B$8+'Control Room'!$D$8)/2)+'Control Room'!$B$9*(AS430-IF('Control Room'!$B$5="Normal",'Control Room'!$B$7,('Control Room'!$B$8+'Control Room'!$D$8)/2))+SQRT(1-'Control Room'!$B$9^2)*(AR431-IF('Control Room'!$B$5="Normal",'Control Room'!$B$7,('Control Room'!$B$8+'Control Room'!$D$8)/2))</x:f>
        <x:v>989.8866964157021</x:v>
      </x:c>
      <x:c r="AT431" s="17" t="n">
        <x:f>IF(AND($A431&gt;='Control Room'!$A$13,$A431&lt;'Control Room'!$A$13+'Control Room'!$B$13,'Process'!BS2=1),1+('Control Room'!$C$13-1)*EXP(-0.5*(($A431-'Control Room'!$A$13-('Control Room'!$B$13-1)/2)/MAX(0.5,'Control Room'!$B$13/4))^2),1)*IF(AND($A431&gt;='Control Room'!$A$14,$A431&lt;'Control Room'!$A$14+'Control Room'!$B$14,'Process'!BS3=1),1+('Control Room'!$C$14-1)*EXP(-0.5*(($A431-'Control Room'!$A$14-('Control Room'!$B$14-1)/2)/MAX(0.5,'Control Room'!$B$14/4))^2),1)*IF(AND($A431&gt;='Control Room'!$A$15,$A431&lt;'Control Room'!$A$15+'Control Room'!$B$15,'Process'!BS4=1),1+('Control Room'!$C$15-1)*EXP(-0.5*(($A431-'Control Room'!$A$15-('Control Room'!$B$15-1)/2)/MAX(0.5,'Control Room'!$B$15/4))^2),1)*IF(AND($A431&gt;='Control Room'!$A$16,$A431&lt;'Control Room'!$A$16+'Control Room'!$B$16,'Process'!BS5=1),1+('Control Room'!$C$16-1)*EXP(-0.5*(($A431-'Control Room'!$A$16-('Control Room'!$B$16-1)/2)/MAX(0.5,'Control Room'!$B$16/4))^2),1)</x:f>
        <x:v>1</x:v>
      </x:c>
      <x:c r="AU431" s="9" t="n">
        <x:f>MOD(AV430*16807,2147483647)</x:f>
        <x:v>2086677876</x:v>
      </x:c>
      <x:c r="AV431" s="9" t="n">
        <x:f>MOD(AU431*16807,2147483647)</x:f>
        <x:v>239622775</x:v>
      </x:c>
      <x:c r="AW431" s="17" t="n">
        <x:f>IF('Control Room'!$B$5="Normal",'Control Room'!$B$7+'Control Room'!$D$7*SQRT(-2*LN(MAX(0.000000000001,AU431/2147483647)))*COS(2*PI()*AV431/2147483647),'Control Room'!$B$8+('Control Room'!$D$8-'Control Room'!$B$8)*AU431/2147483647)</x:f>
        <x:v>1016.4833786207429</x:v>
      </x:c>
      <x:c r="AX431" s="17" t="n">
        <x:f>IF('Control Room'!$B$5="Normal",'Control Room'!$B$7,('Control Room'!$B$8+'Control Room'!$D$8)/2)+'Control Room'!$B$9*(AX430-IF('Control Room'!$B$5="Normal",'Control Room'!$B$7,('Control Room'!$B$8+'Control Room'!$D$8)/2))+SQRT(1-'Control Room'!$B$9^2)*(AW431-IF('Control Room'!$B$5="Normal",'Control Room'!$B$7,('Control Room'!$B$8+'Control Room'!$D$8)/2))</x:f>
        <x:v>923.1316605024896</x:v>
      </x:c>
      <x:c r="AY431" s="17" t="n">
        <x:f>IF(AND($A431&gt;='Control Room'!$A$13,$A431&lt;'Control Room'!$A$13+'Control Room'!$B$13,'Process'!BT2=1),1+('Control Room'!$C$13-1)*EXP(-0.5*(($A431-'Control Room'!$A$13-('Control Room'!$B$13-1)/2)/MAX(0.5,'Control Room'!$B$13/4))^2),1)*IF(AND($A431&gt;='Control Room'!$A$14,$A431&lt;'Control Room'!$A$14+'Control Room'!$B$14,'Process'!BT3=1),1+('Control Room'!$C$14-1)*EXP(-0.5*(($A431-'Control Room'!$A$14-('Control Room'!$B$14-1)/2)/MAX(0.5,'Control Room'!$B$14/4))^2),1)*IF(AND($A431&gt;='Control Room'!$A$15,$A431&lt;'Control Room'!$A$15+'Control Room'!$B$15,'Process'!BT4=1),1+('Control Room'!$C$15-1)*EXP(-0.5*(($A431-'Control Room'!$A$15-('Control Room'!$B$15-1)/2)/MAX(0.5,'Control Room'!$B$15/4))^2),1)*IF(AND($A431&gt;='Control Room'!$A$16,$A431&lt;'Control Room'!$A$16+'Control Room'!$B$16,'Process'!BT5=1),1+('Control Room'!$C$16-1)*EXP(-0.5*(($A431-'Control Room'!$A$16-('Control Room'!$B$16-1)/2)/MAX(0.5,'Control Room'!$B$16/4))^2),1)</x:f>
        <x:v>1</x:v>
      </x:c>
      <x:c r="AZ431" s="9" t="n">
        <x:f>MOD(BA430*16807,2147483647)</x:f>
        <x:v>2095444725</x:v>
      </x:c>
      <x:c r="BA431" s="9" t="n">
        <x:f>MOD(AZ431*16807,2147483647)</x:f>
        <x:v>1555165922</x:v>
      </x:c>
      <x:c r="BB431" s="17" t="n">
        <x:f>IF('Control Room'!$B$5="Normal",'Control Room'!$B$7+'Control Room'!$D$7*SQRT(-2*LN(MAX(0.000000000001,AZ431/2147483647)))*COS(2*PI()*BA431/2147483647),'Control Room'!$B$8+('Control Room'!$D$8-'Control Room'!$B$8)*AZ431/2147483647)</x:f>
        <x:v>996.7801573585726</x:v>
      </x:c>
      <x:c r="BC431" s="17" t="n">
        <x:f>IF('Control Room'!$B$5="Normal",'Control Room'!$B$7,('Control Room'!$B$8+'Control Room'!$D$8)/2)+'Control Room'!$B$9*(BC430-IF('Control Room'!$B$5="Normal",'Control Room'!$B$7,('Control Room'!$B$8+'Control Room'!$D$8)/2))+SQRT(1-'Control Room'!$B$9^2)*(BB431-IF('Control Room'!$B$5="Normal",'Control Room'!$B$7,('Control Room'!$B$8+'Control Room'!$D$8)/2))</x:f>
        <x:v>1050.8240542963513</x:v>
      </x:c>
      <x:c r="BD431" s="17" t="n">
        <x:f>IF(AND($A431&gt;='Control Room'!$A$13,$A431&lt;'Control Room'!$A$13+'Control Room'!$B$13,'Process'!BU2=1),1+('Control Room'!$C$13-1)*EXP(-0.5*(($A431-'Control Room'!$A$13-('Control Room'!$B$13-1)/2)/MAX(0.5,'Control Room'!$B$13/4))^2),1)*IF(AND($A431&gt;='Control Room'!$A$14,$A431&lt;'Control Room'!$A$14+'Control Room'!$B$14,'Process'!BU3=1),1+('Control Room'!$C$14-1)*EXP(-0.5*(($A431-'Control Room'!$A$14-('Control Room'!$B$14-1)/2)/MAX(0.5,'Control Room'!$B$14/4))^2),1)*IF(AND($A431&gt;='Control Room'!$A$15,$A431&lt;'Control Room'!$A$15+'Control Room'!$B$15,'Process'!BU4=1),1+('Control Room'!$C$15-1)*EXP(-0.5*(($A431-'Control Room'!$A$15-('Control Room'!$B$15-1)/2)/MAX(0.5,'Control Room'!$B$15/4))^2),1)*IF(AND($A431&gt;='Control Room'!$A$16,$A431&lt;'Control Room'!$A$16+'Control Room'!$B$16,'Process'!BU5=1),1+('Control Room'!$C$16-1)*EXP(-0.5*(($A431-'Control Room'!$A$16-('Control Room'!$B$16-1)/2)/MAX(0.5,'Control Room'!$B$16/4))^2),1)</x:f>
        <x:v>1</x:v>
      </x:c>
      <x:c r="BE431" s="9" t="n">
        <x:f>MOD(BF430*16807,2147483647)</x:f>
        <x:v>2104211574</x:v>
      </x:c>
      <x:c r="BF431" s="9" t="n">
        <x:f>MOD(BE431*16807,2147483647)</x:f>
        <x:v>723225422</x:v>
      </x:c>
      <x:c r="BG431" s="17" t="n">
        <x:f>IF('Control Room'!$B$5="Normal",'Control Room'!$B$7+'Control Room'!$D$7*SQRT(-2*LN(MAX(0.000000000001,BE431/2147483647)))*COS(2*PI()*BF431/2147483647),'Control Room'!$B$8+('Control Room'!$D$8-'Control Room'!$B$8)*BE431/2147483647)</x:f>
        <x:v>990.5820409025681</x:v>
      </x:c>
      <x:c r="BH431" s="17" t="n">
        <x:f>IF('Control Room'!$B$5="Normal",'Control Room'!$B$7,('Control Room'!$B$8+'Control Room'!$D$8)/2)+'Control Room'!$B$9*(BH430-IF('Control Room'!$B$5="Normal",'Control Room'!$B$7,('Control Room'!$B$8+'Control Room'!$D$8)/2))+SQRT(1-'Control Room'!$B$9^2)*(BG431-IF('Control Room'!$B$5="Normal",'Control Room'!$B$7,('Control Room'!$B$8+'Control Room'!$D$8)/2))</x:f>
        <x:v>998.9774142824915</x:v>
      </x:c>
      <x:c r="BI431" s="17" t="n">
        <x:f>IF(AND($A431&gt;='Control Room'!$A$13,$A431&lt;'Control Room'!$A$13+'Control Room'!$B$13,'Process'!BV2=1),1+('Control Room'!$C$13-1)*EXP(-0.5*(($A431-'Control Room'!$A$13-('Control Room'!$B$13-1)/2)/MAX(0.5,'Control Room'!$B$13/4))^2),1)*IF(AND($A431&gt;='Control Room'!$A$14,$A431&lt;'Control Room'!$A$14+'Control Room'!$B$14,'Process'!BV3=1),1+('Control Room'!$C$14-1)*EXP(-0.5*(($A431-'Control Room'!$A$14-('Control Room'!$B$14-1)/2)/MAX(0.5,'Control Room'!$B$14/4))^2),1)*IF(AND($A431&gt;='Control Room'!$A$15,$A431&lt;'Control Room'!$A$15+'Control Room'!$B$15,'Process'!BV4=1),1+('Control Room'!$C$15-1)*EXP(-0.5*(($A431-'Control Room'!$A$15-('Control Room'!$B$15-1)/2)/MAX(0.5,'Control Room'!$B$15/4))^2),1)*IF(AND($A431&gt;='Control Room'!$A$16,$A431&lt;'Control Room'!$A$16+'Control Room'!$B$16,'Process'!BV5=1),1+('Control Room'!$C$16-1)*EXP(-0.5*(($A431-'Control Room'!$A$16-('Control Room'!$B$16-1)/2)/MAX(0.5,'Control Room'!$B$16/4))^2),1)</x:f>
        <x:v>1</x:v>
      </x:c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Z431" t="str">
        <x:f>IF('Data'!A431="","",TEXT('Data'!A431,"mm-dd"))</x:f>
      </x:c>
    </x:row>
    <x:row r="432" ht="21" customHeight="1">
      <x:c r="A432" s="15" t="n">
        <x:f>'Control Room'!$B$1+430</x:f>
        <x:v>73421</x:v>
      </x:c>
      <x:c r="B432" s="9" t="n">
        <x:f>MOD(C431*16807,2147483647)</x:f>
        <x:v>82278600</x:v>
      </x:c>
      <x:c r="C432" s="9" t="n">
        <x:f>MOD(B432*16807,2147483647)</x:f>
        <x:v>2024445179</x:v>
      </x:c>
      <x:c r="D432" s="17" t="n">
        <x:f>IF('Control Room'!$B$5="Normal",'Control Room'!$B$7+'Control Room'!$D$7*SQRT(-2*LN(MAX(0.000000000001,B432/2147483647)))*COS(2*PI()*C432/2147483647),'Control Room'!$B$8+('Control Room'!$D$8-'Control Room'!$B$8)*B432/2147483647)</x:f>
        <x:v>1215.1419497493637</x:v>
      </x:c>
      <x:c r="E432" s="17" t="n">
        <x:f>IF('Control Room'!$B$5="Normal",'Control Room'!$B$7,('Control Room'!$B$8+'Control Room'!$D$8)/2)+'Control Room'!$B$9*(E431-IF('Control Room'!$B$5="Normal",'Control Room'!$B$7,('Control Room'!$B$8+'Control Room'!$D$8)/2))+SQRT(1-'Control Room'!$B$9^2)*(D432-IF('Control Room'!$B$5="Normal",'Control Room'!$B$7,('Control Room'!$B$8+'Control Room'!$D$8)/2))</x:f>
        <x:v>1206.7711878388322</x:v>
      </x:c>
      <x:c r="F432" s="17" t="n">
        <x:f>IF(AND($A432&gt;='Control Room'!$A$13,$A432&lt;'Control Room'!$A$13+'Control Room'!$B$13,'Process'!BK2=1),1+('Control Room'!$C$13-1)*EXP(-0.5*(($A432-'Control Room'!$A$13-('Control Room'!$B$13-1)/2)/MAX(0.5,'Control Room'!$B$13/4))^2),1)*IF(AND($A432&gt;='Control Room'!$A$14,$A432&lt;'Control Room'!$A$14+'Control Room'!$B$14,'Process'!BK3=1),1+('Control Room'!$C$14-1)*EXP(-0.5*(($A432-'Control Room'!$A$14-('Control Room'!$B$14-1)/2)/MAX(0.5,'Control Room'!$B$14/4))^2),1)*IF(AND($A432&gt;='Control Room'!$A$15,$A432&lt;'Control Room'!$A$15+'Control Room'!$B$15,'Process'!BK4=1),1+('Control Room'!$C$15-1)*EXP(-0.5*(($A432-'Control Room'!$A$15-('Control Room'!$B$15-1)/2)/MAX(0.5,'Control Room'!$B$15/4))^2),1)*IF(AND($A432&gt;='Control Room'!$A$16,$A432&lt;'Control Room'!$A$16+'Control Room'!$B$16,'Process'!BK5=1),1+('Control Room'!$C$16-1)*EXP(-0.5*(($A432-'Control Room'!$A$16-('Control Room'!$B$16-1)/2)/MAX(0.5,'Control Room'!$B$16/4))^2),1)</x:f>
        <x:v>1</x:v>
      </x:c>
      <x:c r="G432" s="9" t="n">
        <x:f>MOD(H431*16807,2147483647)</x:f>
        <x:v>2071804364</x:v>
      </x:c>
      <x:c r="H432" s="9" t="n">
        <x:f>MOD(G432*16807,2147483647)</x:f>
        <x:v>1516093290</x:v>
      </x:c>
      <x:c r="I432" s="17" t="n">
        <x:f>IF('Control Room'!$B$5="Normal",'Control Room'!$B$7+'Control Room'!$D$7*SQRT(-2*LN(MAX(0.000000000001,G432/2147483647)))*COS(2*PI()*H432/2147483647),'Control Room'!$B$8+('Control Room'!$D$8-'Control Room'!$B$8)*G432/2147483647)</x:f>
        <x:v>993.4175743367944</x:v>
      </x:c>
      <x:c r="J432" s="17" t="n">
        <x:f>IF('Control Room'!$B$5="Normal",'Control Room'!$B$7,('Control Room'!$B$8+'Control Room'!$D$8)/2)+'Control Room'!$B$9*(J431-IF('Control Room'!$B$5="Normal",'Control Room'!$B$7,('Control Room'!$B$8+'Control Room'!$D$8)/2))+SQRT(1-'Control Room'!$B$9^2)*(I432-IF('Control Room'!$B$5="Normal",'Control Room'!$B$7,('Control Room'!$B$8+'Control Room'!$D$8)/2))</x:f>
        <x:v>998.266772512219</x:v>
      </x:c>
      <x:c r="K432" s="17" t="n">
        <x:f>IF(AND($A432&gt;='Control Room'!$A$13,$A432&lt;'Control Room'!$A$13+'Control Room'!$B$13,'Process'!BL2=1),1+('Control Room'!$C$13-1)*EXP(-0.5*(($A432-'Control Room'!$A$13-('Control Room'!$B$13-1)/2)/MAX(0.5,'Control Room'!$B$13/4))^2),1)*IF(AND($A432&gt;='Control Room'!$A$14,$A432&lt;'Control Room'!$A$14+'Control Room'!$B$14,'Process'!BL3=1),1+('Control Room'!$C$14-1)*EXP(-0.5*(($A432-'Control Room'!$A$14-('Control Room'!$B$14-1)/2)/MAX(0.5,'Control Room'!$B$14/4))^2),1)*IF(AND($A432&gt;='Control Room'!$A$15,$A432&lt;'Control Room'!$A$15+'Control Room'!$B$15,'Process'!BL4=1),1+('Control Room'!$C$15-1)*EXP(-0.5*(($A432-'Control Room'!$A$15-('Control Room'!$B$15-1)/2)/MAX(0.5,'Control Room'!$B$15/4))^2),1)*IF(AND($A432&gt;='Control Room'!$A$16,$A432&lt;'Control Room'!$A$16+'Control Room'!$B$16,'Process'!BL5=1),1+('Control Room'!$C$16-1)*EXP(-0.5*(($A432-'Control Room'!$A$16-('Control Room'!$B$16-1)/2)/MAX(0.5,'Control Room'!$B$16/4))^2),1)</x:f>
        <x:v>1</x:v>
      </x:c>
      <x:c r="L432" s="9" t="n">
        <x:f>MOD(M431*16807,2147483647)</x:f>
        <x:v>1913846481</x:v>
      </x:c>
      <x:c r="M432" s="9" t="n">
        <x:f>MOD(L432*16807,2147483647)</x:f>
        <x:v>1007741401</x:v>
      </x:c>
      <x:c r="N432" s="17" t="n">
        <x:f>IF('Control Room'!$B$5="Normal",'Control Room'!$B$7+'Control Room'!$D$7*SQRT(-2*LN(MAX(0.000000000001,L432/2147483647)))*COS(2*PI()*M432/2147483647),'Control Room'!$B$8+('Control Room'!$D$8-'Control Room'!$B$8)*L432/2147483647)</x:f>
        <x:v>957.6063376177318</x:v>
      </x:c>
      <x:c r="O432" s="17" t="n">
        <x:f>IF('Control Room'!$B$5="Normal",'Control Room'!$B$7,('Control Room'!$B$8+'Control Room'!$D$8)/2)+'Control Room'!$B$9*(O431-IF('Control Room'!$B$5="Normal",'Control Room'!$B$7,('Control Room'!$B$8+'Control Room'!$D$8)/2))+SQRT(1-'Control Room'!$B$9^2)*(N432-IF('Control Room'!$B$5="Normal",'Control Room'!$B$7,('Control Room'!$B$8+'Control Room'!$D$8)/2))</x:f>
        <x:v>1024.9341723484197</x:v>
      </x:c>
      <x:c r="P432" s="17" t="n">
        <x:f>IF(AND($A432&gt;='Control Room'!$A$13,$A432&lt;'Control Room'!$A$13+'Control Room'!$B$13,'Process'!BM2=1),1+('Control Room'!$C$13-1)*EXP(-0.5*(($A432-'Control Room'!$A$13-('Control Room'!$B$13-1)/2)/MAX(0.5,'Control Room'!$B$13/4))^2),1)*IF(AND($A432&gt;='Control Room'!$A$14,$A432&lt;'Control Room'!$A$14+'Control Room'!$B$14,'Process'!BM3=1),1+('Control Room'!$C$14-1)*EXP(-0.5*(($A432-'Control Room'!$A$14-('Control Room'!$B$14-1)/2)/MAX(0.5,'Control Room'!$B$14/4))^2),1)*IF(AND($A432&gt;='Control Room'!$A$15,$A432&lt;'Control Room'!$A$15+'Control Room'!$B$15,'Process'!BM4=1),1+('Control Room'!$C$15-1)*EXP(-0.5*(($A432-'Control Room'!$A$15-('Control Room'!$B$15-1)/2)/MAX(0.5,'Control Room'!$B$15/4))^2),1)*IF(AND($A432&gt;='Control Room'!$A$16,$A432&lt;'Control Room'!$A$16+'Control Room'!$B$16,'Process'!BM5=1),1+('Control Room'!$C$16-1)*EXP(-0.5*(($A432-'Control Room'!$A$16-('Control Room'!$B$16-1)/2)/MAX(0.5,'Control Room'!$B$16/4))^2),1)</x:f>
        <x:v>1</x:v>
      </x:c>
      <x:c r="Q432" s="9" t="n">
        <x:f>MOD(R431*16807,2147483647)</x:f>
        <x:v>1755888598</x:v>
      </x:c>
      <x:c r="R432" s="9" t="n">
        <x:f>MOD(Q432*16807,2147483647)</x:f>
        <x:v>499389512</x:v>
      </x:c>
      <x:c r="S432" s="17" t="n">
        <x:f>IF('Control Room'!$B$5="Normal",'Control Room'!$B$7+'Control Room'!$D$7*SQRT(-2*LN(MAX(0.000000000001,Q432/2147483647)))*COS(2*PI()*R432/2147483647),'Control Room'!$B$8+('Control Room'!$D$8-'Control Room'!$B$8)*Q432/2147483647)</x:f>
        <x:v>1006.2502555324761</x:v>
      </x:c>
      <x:c r="T432" s="17" t="n">
        <x:f>IF('Control Room'!$B$5="Normal",'Control Room'!$B$7,('Control Room'!$B$8+'Control Room'!$D$8)/2)+'Control Room'!$B$9*(T431-IF('Control Room'!$B$5="Normal",'Control Room'!$B$7,('Control Room'!$B$8+'Control Room'!$D$8)/2))+SQRT(1-'Control Room'!$B$9^2)*(S432-IF('Control Room'!$B$5="Normal",'Control Room'!$B$7,('Control Room'!$B$8+'Control Room'!$D$8)/2))</x:f>
        <x:v>975.9730280239971</x:v>
      </x:c>
      <x:c r="U432" s="17" t="n">
        <x:f>IF(AND($A432&gt;='Control Room'!$A$13,$A432&lt;'Control Room'!$A$13+'Control Room'!$B$13,'Process'!BN2=1),1+('Control Room'!$C$13-1)*EXP(-0.5*(($A432-'Control Room'!$A$13-('Control Room'!$B$13-1)/2)/MAX(0.5,'Control Room'!$B$13/4))^2),1)*IF(AND($A432&gt;='Control Room'!$A$14,$A432&lt;'Control Room'!$A$14+'Control Room'!$B$14,'Process'!BN3=1),1+('Control Room'!$C$14-1)*EXP(-0.5*(($A432-'Control Room'!$A$14-('Control Room'!$B$14-1)/2)/MAX(0.5,'Control Room'!$B$14/4))^2),1)*IF(AND($A432&gt;='Control Room'!$A$15,$A432&lt;'Control Room'!$A$15+'Control Room'!$B$15,'Process'!BN4=1),1+('Control Room'!$C$15-1)*EXP(-0.5*(($A432-'Control Room'!$A$15-('Control Room'!$B$15-1)/2)/MAX(0.5,'Control Room'!$B$15/4))^2),1)*IF(AND($A432&gt;='Control Room'!$A$16,$A432&lt;'Control Room'!$A$16+'Control Room'!$B$16,'Process'!BN5=1),1+('Control Room'!$C$16-1)*EXP(-0.5*(($A432-'Control Room'!$A$16-('Control Room'!$B$16-1)/2)/MAX(0.5,'Control Room'!$B$16/4))^2),1)</x:f>
        <x:v>1</x:v>
      </x:c>
      <x:c r="V432" s="9" t="n">
        <x:f>MOD(W431*16807,2147483647)</x:f>
        <x:v>1597930715</x:v>
      </x:c>
      <x:c r="W432" s="9" t="n">
        <x:f>MOD(V432*16807,2147483647)</x:f>
        <x:v>2138521270</x:v>
      </x:c>
      <x:c r="X432" s="17" t="n">
        <x:f>IF('Control Room'!$B$5="Normal",'Control Room'!$B$7+'Control Room'!$D$7*SQRT(-2*LN(MAX(0.000000000001,V432/2147483647)))*COS(2*PI()*W432/2147483647),'Control Room'!$B$8+('Control Room'!$D$8-'Control Room'!$B$8)*V432/2147483647)</x:f>
        <x:v>1069.175298196088</x:v>
      </x:c>
      <x:c r="Y432" s="17" t="n">
        <x:f>IF('Control Room'!$B$5="Normal",'Control Room'!$B$7,('Control Room'!$B$8+'Control Room'!$D$8)/2)+'Control Room'!$B$9*(Y431-IF('Control Room'!$B$5="Normal",'Control Room'!$B$7,('Control Room'!$B$8+'Control Room'!$D$8)/2))+SQRT(1-'Control Room'!$B$9^2)*(X432-IF('Control Room'!$B$5="Normal",'Control Room'!$B$7,('Control Room'!$B$8+'Control Room'!$D$8)/2))</x:f>
        <x:v>1121.1859413599702</x:v>
      </x:c>
      <x:c r="Z432" s="17" t="n">
        <x:f>IF(AND($A432&gt;='Control Room'!$A$13,$A432&lt;'Control Room'!$A$13+'Control Room'!$B$13,'Process'!BO2=1),1+('Control Room'!$C$13-1)*EXP(-0.5*(($A432-'Control Room'!$A$13-('Control Room'!$B$13-1)/2)/MAX(0.5,'Control Room'!$B$13/4))^2),1)*IF(AND($A432&gt;='Control Room'!$A$14,$A432&lt;'Control Room'!$A$14+'Control Room'!$B$14,'Process'!BO3=1),1+('Control Room'!$C$14-1)*EXP(-0.5*(($A432-'Control Room'!$A$14-('Control Room'!$B$14-1)/2)/MAX(0.5,'Control Room'!$B$14/4))^2),1)*IF(AND($A432&gt;='Control Room'!$A$15,$A432&lt;'Control Room'!$A$15+'Control Room'!$B$15,'Process'!BO4=1),1+('Control Room'!$C$15-1)*EXP(-0.5*(($A432-'Control Room'!$A$15-('Control Room'!$B$15-1)/2)/MAX(0.5,'Control Room'!$B$15/4))^2),1)*IF(AND($A432&gt;='Control Room'!$A$16,$A432&lt;'Control Room'!$A$16+'Control Room'!$B$16,'Process'!BO5=1),1+('Control Room'!$C$16-1)*EXP(-0.5*(($A432-'Control Room'!$A$16-('Control Room'!$B$16-1)/2)/MAX(0.5,'Control Room'!$B$16/4))^2),1)</x:f>
        <x:v>1</x:v>
      </x:c>
      <x:c r="AA432" s="9" t="n">
        <x:f>MOD(AB431*16807,2147483647)</x:f>
        <x:v>1439972832</x:v>
      </x:c>
      <x:c r="AB432" s="9" t="n">
        <x:f>MOD(AA432*16807,2147483647)</x:f>
        <x:v>1630169381</x:v>
      </x:c>
      <x:c r="AC432" s="17" t="n">
        <x:f>IF('Control Room'!$B$5="Normal",'Control Room'!$B$7+'Control Room'!$D$7*SQRT(-2*LN(MAX(0.000000000001,AA432/2147483647)))*COS(2*PI()*AB432/2147483647),'Control Room'!$B$8+('Control Room'!$D$8-'Control Room'!$B$8)*AA432/2147483647)</x:f>
        <x:v>1004.601686293379</x:v>
      </x:c>
      <x:c r="AD432" s="17" t="n">
        <x:f>IF('Control Room'!$B$5="Normal",'Control Room'!$B$7,('Control Room'!$B$8+'Control Room'!$D$8)/2)+'Control Room'!$B$9*(AD431-IF('Control Room'!$B$5="Normal",'Control Room'!$B$7,('Control Room'!$B$8+'Control Room'!$D$8)/2))+SQRT(1-'Control Room'!$B$9^2)*(AC432-IF('Control Room'!$B$5="Normal",'Control Room'!$B$7,('Control Room'!$B$8+'Control Room'!$D$8)/2))</x:f>
        <x:v>1030.750146312431</x:v>
      </x:c>
      <x:c r="AE432" s="17" t="n">
        <x:f>IF(AND($A432&gt;='Control Room'!$A$13,$A432&lt;'Control Room'!$A$13+'Control Room'!$B$13,'Process'!BP2=1),1+('Control Room'!$C$13-1)*EXP(-0.5*(($A432-'Control Room'!$A$13-('Control Room'!$B$13-1)/2)/MAX(0.5,'Control Room'!$B$13/4))^2),1)*IF(AND($A432&gt;='Control Room'!$A$14,$A432&lt;'Control Room'!$A$14+'Control Room'!$B$14,'Process'!BP3=1),1+('Control Room'!$C$14-1)*EXP(-0.5*(($A432-'Control Room'!$A$14-('Control Room'!$B$14-1)/2)/MAX(0.5,'Control Room'!$B$14/4))^2),1)*IF(AND($A432&gt;='Control Room'!$A$15,$A432&lt;'Control Room'!$A$15+'Control Room'!$B$15,'Process'!BP4=1),1+('Control Room'!$C$15-1)*EXP(-0.5*(($A432-'Control Room'!$A$15-('Control Room'!$B$15-1)/2)/MAX(0.5,'Control Room'!$B$15/4))^2),1)*IF(AND($A432&gt;='Control Room'!$A$16,$A432&lt;'Control Room'!$A$16+'Control Room'!$B$16,'Process'!BP5=1),1+('Control Room'!$C$16-1)*EXP(-0.5*(($A432-'Control Room'!$A$16-('Control Room'!$B$16-1)/2)/MAX(0.5,'Control Room'!$B$16/4))^2),1)</x:f>
        <x:v>1</x:v>
      </x:c>
      <x:c r="AF432" s="9" t="n">
        <x:f>MOD(AG431*16807,2147483647)</x:f>
        <x:v>1282014949</x:v>
      </x:c>
      <x:c r="AG432" s="9" t="n">
        <x:f>MOD(AF432*16807,2147483647)</x:f>
        <x:v>1121817492</x:v>
      </x:c>
      <x:c r="AH432" s="17" t="n">
        <x:f>IF('Control Room'!$B$5="Normal",'Control Room'!$B$7+'Control Room'!$D$7*SQRT(-2*LN(MAX(0.000000000001,AF432/2147483647)))*COS(2*PI()*AG432/2147483647),'Control Room'!$B$8+('Control Room'!$D$8-'Control Room'!$B$8)*AF432/2147483647)</x:f>
        <x:v>909.4862906691606</x:v>
      </x:c>
      <x:c r="AI432" s="17" t="n">
        <x:f>IF('Control Room'!$B$5="Normal",'Control Room'!$B$7,('Control Room'!$B$8+'Control Room'!$D$8)/2)+'Control Room'!$B$9*(AI431-IF('Control Room'!$B$5="Normal",'Control Room'!$B$7,('Control Room'!$B$8+'Control Room'!$D$8)/2))+SQRT(1-'Control Room'!$B$9^2)*(AH432-IF('Control Room'!$B$5="Normal",'Control Room'!$B$7,('Control Room'!$B$8+'Control Room'!$D$8)/2))</x:f>
        <x:v>996.9159395664502</x:v>
      </x:c>
      <x:c r="AJ432" s="17" t="n">
        <x:f>IF(AND($A432&gt;='Control Room'!$A$13,$A432&lt;'Control Room'!$A$13+'Control Room'!$B$13,'Process'!BQ2=1),1+('Control Room'!$C$13-1)*EXP(-0.5*(($A432-'Control Room'!$A$13-('Control Room'!$B$13-1)/2)/MAX(0.5,'Control Room'!$B$13/4))^2),1)*IF(AND($A432&gt;='Control Room'!$A$14,$A432&lt;'Control Room'!$A$14+'Control Room'!$B$14,'Process'!BQ3=1),1+('Control Room'!$C$14-1)*EXP(-0.5*(($A432-'Control Room'!$A$14-('Control Room'!$B$14-1)/2)/MAX(0.5,'Control Room'!$B$14/4))^2),1)*IF(AND($A432&gt;='Control Room'!$A$15,$A432&lt;'Control Room'!$A$15+'Control Room'!$B$15,'Process'!BQ4=1),1+('Control Room'!$C$15-1)*EXP(-0.5*(($A432-'Control Room'!$A$15-('Control Room'!$B$15-1)/2)/MAX(0.5,'Control Room'!$B$15/4))^2),1)*IF(AND($A432&gt;='Control Room'!$A$16,$A432&lt;'Control Room'!$A$16+'Control Room'!$B$16,'Process'!BQ5=1),1+('Control Room'!$C$16-1)*EXP(-0.5*(($A432-'Control Room'!$A$16-('Control Room'!$B$16-1)/2)/MAX(0.5,'Control Room'!$B$16/4))^2),1)</x:f>
        <x:v>1</x:v>
      </x:c>
      <x:c r="AK432" s="9" t="n">
        <x:f>MOD(AL431*16807,2147483647)</x:f>
        <x:v>1124057066</x:v>
      </x:c>
      <x:c r="AL432" s="9" t="n">
        <x:f>MOD(AK432*16807,2147483647)</x:f>
        <x:v>613465603</x:v>
      </x:c>
      <x:c r="AM432" s="17" t="n">
        <x:f>IF('Control Room'!$B$5="Normal",'Control Room'!$B$7+'Control Room'!$D$7*SQRT(-2*LN(MAX(0.000000000001,AK432/2147483647)))*COS(2*PI()*AL432/2147483647),'Control Room'!$B$8+('Control Room'!$D$8-'Control Room'!$B$8)*AK432/2147483647)</x:f>
        <x:v>977.2419427928949</x:v>
      </x:c>
      <x:c r="AN432" s="17" t="n">
        <x:f>IF('Control Room'!$B$5="Normal",'Control Room'!$B$7,('Control Room'!$B$8+'Control Room'!$D$8)/2)+'Control Room'!$B$9*(AN431-IF('Control Room'!$B$5="Normal",'Control Room'!$B$7,('Control Room'!$B$8+'Control Room'!$D$8)/2))+SQRT(1-'Control Room'!$B$9^2)*(AM432-IF('Control Room'!$B$5="Normal",'Control Room'!$B$7,('Control Room'!$B$8+'Control Room'!$D$8)/2))</x:f>
        <x:v>992.532198647229</x:v>
      </x:c>
      <x:c r="AO432" s="17" t="n">
        <x:f>IF(AND($A432&gt;='Control Room'!$A$13,$A432&lt;'Control Room'!$A$13+'Control Room'!$B$13,'Process'!BR2=1),1+('Control Room'!$C$13-1)*EXP(-0.5*(($A432-'Control Room'!$A$13-('Control Room'!$B$13-1)/2)/MAX(0.5,'Control Room'!$B$13/4))^2),1)*IF(AND($A432&gt;='Control Room'!$A$14,$A432&lt;'Control Room'!$A$14+'Control Room'!$B$14,'Process'!BR3=1),1+('Control Room'!$C$14-1)*EXP(-0.5*(($A432-'Control Room'!$A$14-('Control Room'!$B$14-1)/2)/MAX(0.5,'Control Room'!$B$14/4))^2),1)*IF(AND($A432&gt;='Control Room'!$A$15,$A432&lt;'Control Room'!$A$15+'Control Room'!$B$15,'Process'!BR4=1),1+('Control Room'!$C$15-1)*EXP(-0.5*(($A432-'Control Room'!$A$15-('Control Room'!$B$15-1)/2)/MAX(0.5,'Control Room'!$B$15/4))^2),1)*IF(AND($A432&gt;='Control Room'!$A$16,$A432&lt;'Control Room'!$A$16+'Control Room'!$B$16,'Process'!BR5=1),1+('Control Room'!$C$16-1)*EXP(-0.5*(($A432-'Control Room'!$A$16-('Control Room'!$B$16-1)/2)/MAX(0.5,'Control Room'!$B$16/4))^2),1)</x:f>
        <x:v>1</x:v>
      </x:c>
      <x:c r="AP432" s="9" t="n">
        <x:f>MOD(AQ431*16807,2147483647)</x:f>
        <x:v>966099183</x:v>
      </x:c>
      <x:c r="AQ432" s="9" t="n">
        <x:f>MOD(AP432*16807,2147483647)</x:f>
        <x:v>105113714</x:v>
      </x:c>
      <x:c r="AR432" s="17" t="n">
        <x:f>IF('Control Room'!$B$5="Normal",'Control Room'!$B$7+'Control Room'!$D$7*SQRT(-2*LN(MAX(0.000000000001,AP432/2147483647)))*COS(2*PI()*AQ432/2147483647),'Control Room'!$B$8+('Control Room'!$D$8-'Control Room'!$B$8)*AP432/2147483647)</x:f>
        <x:v>1108.4180809772192</x:v>
      </x:c>
      <x:c r="AS432" s="17" t="n">
        <x:f>IF('Control Room'!$B$5="Normal",'Control Room'!$B$7,('Control Room'!$B$8+'Control Room'!$D$8)/2)+'Control Room'!$B$9*(AS431-IF('Control Room'!$B$5="Normal",'Control Room'!$B$7,('Control Room'!$B$8+'Control Room'!$D$8)/2))+SQRT(1-'Control Room'!$B$9^2)*(AR432-IF('Control Room'!$B$5="Normal",'Control Room'!$B$7,('Control Room'!$B$8+'Control Room'!$D$8)/2))</x:f>
        <x:v>1059.957437214677</x:v>
      </x:c>
      <x:c r="AT432" s="17" t="n">
        <x:f>IF(AND($A432&gt;='Control Room'!$A$13,$A432&lt;'Control Room'!$A$13+'Control Room'!$B$13,'Process'!BS2=1),1+('Control Room'!$C$13-1)*EXP(-0.5*(($A432-'Control Room'!$A$13-('Control Room'!$B$13-1)/2)/MAX(0.5,'Control Room'!$B$13/4))^2),1)*IF(AND($A432&gt;='Control Room'!$A$14,$A432&lt;'Control Room'!$A$14+'Control Room'!$B$14,'Process'!BS3=1),1+('Control Room'!$C$14-1)*EXP(-0.5*(($A432-'Control Room'!$A$14-('Control Room'!$B$14-1)/2)/MAX(0.5,'Control Room'!$B$14/4))^2),1)*IF(AND($A432&gt;='Control Room'!$A$15,$A432&lt;'Control Room'!$A$15+'Control Room'!$B$15,'Process'!BS4=1),1+('Control Room'!$C$15-1)*EXP(-0.5*(($A432-'Control Room'!$A$15-('Control Room'!$B$15-1)/2)/MAX(0.5,'Control Room'!$B$15/4))^2),1)*IF(AND($A432&gt;='Control Room'!$A$16,$A432&lt;'Control Room'!$A$16+'Control Room'!$B$16,'Process'!BS5=1),1+('Control Room'!$C$16-1)*EXP(-0.5*(($A432-'Control Room'!$A$16-('Control Room'!$B$16-1)/2)/MAX(0.5,'Control Room'!$B$16/4))^2),1)</x:f>
        <x:v>1</x:v>
      </x:c>
      <x:c r="AU432" s="9" t="n">
        <x:f>MOD(AV431*16807,2147483647)</x:f>
        <x:v>808141300</x:v>
      </x:c>
      <x:c r="AV432" s="9" t="n">
        <x:f>MOD(AU432*16807,2147483647)</x:f>
        <x:v>1744245472</x:v>
      </x:c>
      <x:c r="AW432" s="17" t="n">
        <x:f>IF('Control Room'!$B$5="Normal",'Control Room'!$B$7+'Control Room'!$D$7*SQRT(-2*LN(MAX(0.000000000001,AU432/2147483647)))*COS(2*PI()*AV432/2147483647),'Control Room'!$B$8+('Control Room'!$D$8-'Control Room'!$B$8)*AU432/2147483647)</x:f>
        <x:v>1047.952974921668</x:v>
      </x:c>
      <x:c r="AX432" s="17" t="n">
        <x:f>IF('Control Room'!$B$5="Normal",'Control Room'!$B$7,('Control Room'!$B$8+'Control Room'!$D$8)/2)+'Control Room'!$B$9*(AX431-IF('Control Room'!$B$5="Normal",'Control Room'!$B$7,('Control Room'!$B$8+'Control Room'!$D$8)/2))+SQRT(1-'Control Room'!$B$9^2)*(AW432-IF('Control Room'!$B$5="Normal",'Control Room'!$B$7,('Control Room'!$B$8+'Control Room'!$D$8)/2))</x:f>
        <x:v>970.0506845278339</x:v>
      </x:c>
      <x:c r="AY432" s="17" t="n">
        <x:f>IF(AND($A432&gt;='Control Room'!$A$13,$A432&lt;'Control Room'!$A$13+'Control Room'!$B$13,'Process'!BT2=1),1+('Control Room'!$C$13-1)*EXP(-0.5*(($A432-'Control Room'!$A$13-('Control Room'!$B$13-1)/2)/MAX(0.5,'Control Room'!$B$13/4))^2),1)*IF(AND($A432&gt;='Control Room'!$A$14,$A432&lt;'Control Room'!$A$14+'Control Room'!$B$14,'Process'!BT3=1),1+('Control Room'!$C$14-1)*EXP(-0.5*(($A432-'Control Room'!$A$14-('Control Room'!$B$14-1)/2)/MAX(0.5,'Control Room'!$B$14/4))^2),1)*IF(AND($A432&gt;='Control Room'!$A$15,$A432&lt;'Control Room'!$A$15+'Control Room'!$B$15,'Process'!BT4=1),1+('Control Room'!$C$15-1)*EXP(-0.5*(($A432-'Control Room'!$A$15-('Control Room'!$B$15-1)/2)/MAX(0.5,'Control Room'!$B$15/4))^2),1)*IF(AND($A432&gt;='Control Room'!$A$16,$A432&lt;'Control Room'!$A$16+'Control Room'!$B$16,'Process'!BT5=1),1+('Control Room'!$C$16-1)*EXP(-0.5*(($A432-'Control Room'!$A$16-('Control Room'!$B$16-1)/2)/MAX(0.5,'Control Room'!$B$16/4))^2),1)</x:f>
        <x:v>1</x:v>
      </x:c>
      <x:c r="AZ432" s="9" t="n">
        <x:f>MOD(BA431*16807,2147483647)</x:f>
        <x:v>650183417</x:v>
      </x:c>
      <x:c r="BA432" s="9" t="n">
        <x:f>MOD(AZ432*16807,2147483647)</x:f>
        <x:v>1235893583</x:v>
      </x:c>
      <x:c r="BB432" s="17" t="n">
        <x:f>IF('Control Room'!$B$5="Normal",'Control Room'!$B$7+'Control Room'!$D$7*SQRT(-2*LN(MAX(0.000000000001,AZ432/2147483647)))*COS(2*PI()*BA432/2147483647),'Control Room'!$B$8+('Control Room'!$D$8-'Control Room'!$B$8)*AZ432/2147483647)</x:f>
        <x:v>876.2410153332141</x:v>
      </x:c>
      <x:c r="BC432" s="17" t="n">
        <x:f>IF('Control Room'!$B$5="Normal",'Control Room'!$B$7,('Control Room'!$B$8+'Control Room'!$D$8)/2)+'Control Room'!$B$9*(BC431-IF('Control Room'!$B$5="Normal",'Control Room'!$B$7,('Control Room'!$B$8+'Control Room'!$D$8)/2))+SQRT(1-'Control Room'!$B$9^2)*(BB432-IF('Control Room'!$B$5="Normal",'Control Room'!$B$7,('Control Room'!$B$8+'Control Room'!$D$8)/2))</x:f>
        <x:v>962.1969250872884</x:v>
      </x:c>
      <x:c r="BD432" s="17" t="n">
        <x:f>IF(AND($A432&gt;='Control Room'!$A$13,$A432&lt;'Control Room'!$A$13+'Control Room'!$B$13,'Process'!BU2=1),1+('Control Room'!$C$13-1)*EXP(-0.5*(($A432-'Control Room'!$A$13-('Control Room'!$B$13-1)/2)/MAX(0.5,'Control Room'!$B$13/4))^2),1)*IF(AND($A432&gt;='Control Room'!$A$14,$A432&lt;'Control Room'!$A$14+'Control Room'!$B$14,'Process'!BU3=1),1+('Control Room'!$C$14-1)*EXP(-0.5*(($A432-'Control Room'!$A$14-('Control Room'!$B$14-1)/2)/MAX(0.5,'Control Room'!$B$14/4))^2),1)*IF(AND($A432&gt;='Control Room'!$A$15,$A432&lt;'Control Room'!$A$15+'Control Room'!$B$15,'Process'!BU4=1),1+('Control Room'!$C$15-1)*EXP(-0.5*(($A432-'Control Room'!$A$15-('Control Room'!$B$15-1)/2)/MAX(0.5,'Control Room'!$B$15/4))^2),1)*IF(AND($A432&gt;='Control Room'!$A$16,$A432&lt;'Control Room'!$A$16+'Control Room'!$B$16,'Process'!BU5=1),1+('Control Room'!$C$16-1)*EXP(-0.5*(($A432-'Control Room'!$A$16-('Control Room'!$B$16-1)/2)/MAX(0.5,'Control Room'!$B$16/4))^2),1)</x:f>
        <x:v>1</x:v>
      </x:c>
      <x:c r="BE432" s="9" t="n">
        <x:f>MOD(BF431*16807,2147483647)</x:f>
        <x:v>492225534</x:v>
      </x:c>
      <x:c r="BF432" s="9" t="n">
        <x:f>MOD(BE432*16807,2147483647)</x:f>
        <x:v>727541694</x:v>
      </x:c>
      <x:c r="BG432" s="17" t="n">
        <x:f>IF('Control Room'!$B$5="Normal",'Control Room'!$B$7+'Control Room'!$D$7*SQRT(-2*LN(MAX(0.000000000001,BE432/2147483647)))*COS(2*PI()*BF432/2147483647),'Control Room'!$B$8+('Control Room'!$D$8-'Control Room'!$B$8)*BE432/2147483647)</x:f>
        <x:v>918.2204589784174</x:v>
      </x:c>
      <x:c r="BH432" s="17" t="n">
        <x:f>IF('Control Room'!$B$5="Normal",'Control Room'!$B$7,('Control Room'!$B$8+'Control Room'!$D$8)/2)+'Control Room'!$B$9*(BH431-IF('Control Room'!$B$5="Normal",'Control Room'!$B$7,('Control Room'!$B$8+'Control Room'!$D$8)/2))+SQRT(1-'Control Room'!$B$9^2)*(BG432-IF('Control Room'!$B$5="Normal",'Control Room'!$B$7,('Control Room'!$B$8+'Control Room'!$D$8)/2))</x:f>
        <x:v>948.0264217139979</x:v>
      </x:c>
      <x:c r="BI432" s="17" t="n">
        <x:f>IF(AND($A432&gt;='Control Room'!$A$13,$A432&lt;'Control Room'!$A$13+'Control Room'!$B$13,'Process'!BV2=1),1+('Control Room'!$C$13-1)*EXP(-0.5*(($A432-'Control Room'!$A$13-('Control Room'!$B$13-1)/2)/MAX(0.5,'Control Room'!$B$13/4))^2),1)*IF(AND($A432&gt;='Control Room'!$A$14,$A432&lt;'Control Room'!$A$14+'Control Room'!$B$14,'Process'!BV3=1),1+('Control Room'!$C$14-1)*EXP(-0.5*(($A432-'Control Room'!$A$14-('Control Room'!$B$14-1)/2)/MAX(0.5,'Control Room'!$B$14/4))^2),1)*IF(AND($A432&gt;='Control Room'!$A$15,$A432&lt;'Control Room'!$A$15+'Control Room'!$B$15,'Process'!BV4=1),1+('Control Room'!$C$15-1)*EXP(-0.5*(($A432-'Control Room'!$A$15-('Control Room'!$B$15-1)/2)/MAX(0.5,'Control Room'!$B$15/4))^2),1)*IF(AND($A432&gt;='Control Room'!$A$16,$A432&lt;'Control Room'!$A$16+'Control Room'!$B$16,'Process'!BV5=1),1+('Control Room'!$C$16-1)*EXP(-0.5*(($A432-'Control Room'!$A$16-('Control Room'!$B$16-1)/2)/MAX(0.5,'Control Room'!$B$16/4))^2),1)</x:f>
        <x:v>1</x:v>
      </x:c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Z432" t="str">
        <x:f>IF('Data'!A432="","",TEXT('Data'!A432,"mm-dd"))</x:f>
      </x:c>
    </x:row>
    <x:row r="433" ht="21" customHeight="1">
      <x:c r="A433" s="15" t="n">
        <x:f>'Control Room'!$B$1+431</x:f>
        <x:v>73422</x:v>
      </x:c>
      <x:c r="B433" s="9" t="n">
        <x:f>MOD(C432*16807,2147483647)</x:f>
        <x:v>119220385</x:v>
      </x:c>
      <x:c r="C433" s="9" t="n">
        <x:f>MOD(B433*16807,2147483647)</x:f>
        <x:v>134768044</x:v>
      </x:c>
      <x:c r="D433" s="17" t="n">
        <x:f>IF('Control Room'!$B$5="Normal",'Control Room'!$B$7+'Control Room'!$D$7*SQRT(-2*LN(MAX(0.000000000001,B433/2147483647)))*COS(2*PI()*C433/2147483647),'Control Room'!$B$8+('Control Room'!$D$8-'Control Room'!$B$8)*B433/2147483647)</x:f>
        <x:v>1199.8078151494933</x:v>
      </x:c>
      <x:c r="E433" s="17" t="n">
        <x:f>IF('Control Room'!$B$5="Normal",'Control Room'!$B$7,('Control Room'!$B$8+'Control Room'!$D$8)/2)+'Control Room'!$B$9*(E432-IF('Control Room'!$B$5="Normal",'Control Room'!$B$7,('Control Room'!$B$8+'Control Room'!$D$8)/2))+SQRT(1-'Control Room'!$B$9^2)*(D433-IF('Control Room'!$B$5="Normal",'Control Room'!$B$7,('Control Room'!$B$8+'Control Room'!$D$8)/2))</x:f>
        <x:v>1286.3171639492589</x:v>
      </x:c>
      <x:c r="F433" s="17" t="n">
        <x:f>IF(AND($A433&gt;='Control Room'!$A$13,$A433&lt;'Control Room'!$A$13+'Control Room'!$B$13,'Process'!BK2=1),1+('Control Room'!$C$13-1)*EXP(-0.5*(($A433-'Control Room'!$A$13-('Control Room'!$B$13-1)/2)/MAX(0.5,'Control Room'!$B$13/4))^2),1)*IF(AND($A433&gt;='Control Room'!$A$14,$A433&lt;'Control Room'!$A$14+'Control Room'!$B$14,'Process'!BK3=1),1+('Control Room'!$C$14-1)*EXP(-0.5*(($A433-'Control Room'!$A$14-('Control Room'!$B$14-1)/2)/MAX(0.5,'Control Room'!$B$14/4))^2),1)*IF(AND($A433&gt;='Control Room'!$A$15,$A433&lt;'Control Room'!$A$15+'Control Room'!$B$15,'Process'!BK4=1),1+('Control Room'!$C$15-1)*EXP(-0.5*(($A433-'Control Room'!$A$15-('Control Room'!$B$15-1)/2)/MAX(0.5,'Control Room'!$B$15/4))^2),1)*IF(AND($A433&gt;='Control Room'!$A$16,$A433&lt;'Control Room'!$A$16+'Control Room'!$B$16,'Process'!BK5=1),1+('Control Room'!$C$16-1)*EXP(-0.5*(($A433-'Control Room'!$A$16-('Control Room'!$B$16-1)/2)/MAX(0.5,'Control Room'!$B$16/4))^2),1)</x:f>
        <x:v>1</x:v>
      </x:c>
      <x:c r="G433" s="9" t="n">
        <x:f>MOD(H432*16807,2147483647)</x:f>
        <x:v>1086453375</x:v>
      </x:c>
      <x:c r="H433" s="9" t="n">
        <x:f>MOD(G433*16807,2147483647)</x:f>
        <x:v>2115906831</x:v>
      </x:c>
      <x:c r="I433" s="17" t="n">
        <x:f>IF('Control Room'!$B$5="Normal",'Control Room'!$B$7+'Control Room'!$D$7*SQRT(-2*LN(MAX(0.000000000001,G433/2147483647)))*COS(2*PI()*H433/2147483647),'Control Room'!$B$8+('Control Room'!$D$8-'Control Room'!$B$8)*G433/2147483647)</x:f>
        <x:v>1104.6153647679769</x:v>
      </x:c>
      <x:c r="J433" s="17" t="n">
        <x:f>IF('Control Room'!$B$5="Normal",'Control Room'!$B$7,('Control Room'!$B$8+'Control Room'!$D$8)/2)+'Control Room'!$B$9*(J432-IF('Control Room'!$B$5="Normal",'Control Room'!$B$7,('Control Room'!$B$8+'Control Room'!$D$8)/2))+SQRT(1-'Control Room'!$B$9^2)*(I433-IF('Control Room'!$B$5="Normal",'Control Room'!$B$7,('Control Room'!$B$8+'Control Room'!$D$8)/2))</x:f>
        <x:v>1064.1142346690922</x:v>
      </x:c>
      <x:c r="K433" s="17" t="n">
        <x:f>IF(AND($A433&gt;='Control Room'!$A$13,$A433&lt;'Control Room'!$A$13+'Control Room'!$B$13,'Process'!BL2=1),1+('Control Room'!$C$13-1)*EXP(-0.5*(($A433-'Control Room'!$A$13-('Control Room'!$B$13-1)/2)/MAX(0.5,'Control Room'!$B$13/4))^2),1)*IF(AND($A433&gt;='Control Room'!$A$14,$A433&lt;'Control Room'!$A$14+'Control Room'!$B$14,'Process'!BL3=1),1+('Control Room'!$C$14-1)*EXP(-0.5*(($A433-'Control Room'!$A$14-('Control Room'!$B$14-1)/2)/MAX(0.5,'Control Room'!$B$14/4))^2),1)*IF(AND($A433&gt;='Control Room'!$A$15,$A433&lt;'Control Room'!$A$15+'Control Room'!$B$15,'Process'!BL4=1),1+('Control Room'!$C$15-1)*EXP(-0.5*(($A433-'Control Room'!$A$15-('Control Room'!$B$15-1)/2)/MAX(0.5,'Control Room'!$B$15/4))^2),1)*IF(AND($A433&gt;='Control Room'!$A$16,$A433&lt;'Control Room'!$A$16+'Control Room'!$B$16,'Process'!BL5=1),1+('Control Room'!$C$16-1)*EXP(-0.5*(($A433-'Control Room'!$A$16-('Control Room'!$B$16-1)/2)/MAX(0.5,'Control Room'!$B$16/4))^2),1)</x:f>
        <x:v>1</x:v>
      </x:c>
      <x:c r="L433" s="9" t="n">
        <x:f>MOD(M432*16807,2147483647)</x:f>
        <x:v>2053686365</x:v>
      </x:c>
      <x:c r="M433" s="9" t="n">
        <x:f>MOD(L433*16807,2147483647)</x:f>
        <x:v>1949561971</x:v>
      </x:c>
      <x:c r="N433" s="17" t="n">
        <x:f>IF('Control Room'!$B$5="Normal",'Control Room'!$B$7+'Control Room'!$D$7*SQRT(-2*LN(MAX(0.000000000001,L433/2147483647)))*COS(2*PI()*M433/2147483647),'Control Room'!$B$8+('Control Room'!$D$8-'Control Room'!$B$8)*L433/2147483647)</x:f>
        <x:v>1022.5125577331212</x:v>
      </x:c>
      <x:c r="O433" s="17" t="n">
        <x:f>IF('Control Room'!$B$5="Normal",'Control Room'!$B$7,('Control Room'!$B$8+'Control Room'!$D$8)/2)+'Control Room'!$B$9*(O432-IF('Control Room'!$B$5="Normal",'Control Room'!$B$7,('Control Room'!$B$8+'Control Room'!$D$8)/2))+SQRT(1-'Control Room'!$B$9^2)*(N433-IF('Control Room'!$B$5="Normal",'Control Room'!$B$7,('Control Room'!$B$8+'Control Room'!$D$8)/2))</x:f>
        <x:v>1033.5365518663414</x:v>
      </x:c>
      <x:c r="P433" s="17" t="n">
        <x:f>IF(AND($A433&gt;='Control Room'!$A$13,$A433&lt;'Control Room'!$A$13+'Control Room'!$B$13,'Process'!BM2=1),1+('Control Room'!$C$13-1)*EXP(-0.5*(($A433-'Control Room'!$A$13-('Control Room'!$B$13-1)/2)/MAX(0.5,'Control Room'!$B$13/4))^2),1)*IF(AND($A433&gt;='Control Room'!$A$14,$A433&lt;'Control Room'!$A$14+'Control Room'!$B$14,'Process'!BM3=1),1+('Control Room'!$C$14-1)*EXP(-0.5*(($A433-'Control Room'!$A$14-('Control Room'!$B$14-1)/2)/MAX(0.5,'Control Room'!$B$14/4))^2),1)*IF(AND($A433&gt;='Control Room'!$A$15,$A433&lt;'Control Room'!$A$15+'Control Room'!$B$15,'Process'!BM4=1),1+('Control Room'!$C$15-1)*EXP(-0.5*(($A433-'Control Room'!$A$15-('Control Room'!$B$15-1)/2)/MAX(0.5,'Control Room'!$B$15/4))^2),1)*IF(AND($A433&gt;='Control Room'!$A$16,$A433&lt;'Control Room'!$A$16+'Control Room'!$B$16,'Process'!BM5=1),1+('Control Room'!$C$16-1)*EXP(-0.5*(($A433-'Control Room'!$A$16-('Control Room'!$B$16-1)/2)/MAX(0.5,'Control Room'!$B$16/4))^2),1)</x:f>
        <x:v>1</x:v>
      </x:c>
      <x:c r="Q433" s="9" t="n">
        <x:f>MOD(R432*16807,2147483647)</x:f>
        <x:v>873435708</x:v>
      </x:c>
      <x:c r="R433" s="9" t="n">
        <x:f>MOD(Q433*16807,2147483647)</x:f>
        <x:v>1783217111</x:v>
      </x:c>
      <x:c r="S433" s="17" t="n">
        <x:f>IF('Control Room'!$B$5="Normal",'Control Room'!$B$7+'Control Room'!$D$7*SQRT(-2*LN(MAX(0.000000000001,Q433/2147483647)))*COS(2*PI()*R433/2147483647),'Control Room'!$B$8+('Control Room'!$D$8-'Control Room'!$B$8)*Q433/2147483647)</x:f>
        <x:v>1058.4074876546813</x:v>
      </x:c>
      <x:c r="T433" s="17" t="n">
        <x:f>IF('Control Room'!$B$5="Normal",'Control Room'!$B$7,('Control Room'!$B$8+'Control Room'!$D$8)/2)+'Control Room'!$B$9*(T432-IF('Control Room'!$B$5="Normal",'Control Room'!$B$7,('Control Room'!$B$8+'Control Room'!$D$8)/2))+SQRT(1-'Control Room'!$B$9^2)*(S433-IF('Control Room'!$B$5="Normal",'Control Room'!$B$7,('Control Room'!$B$8+'Control Room'!$D$8)/2))</x:f>
        <x:v>1017.8091710905948</x:v>
      </x:c>
      <x:c r="U433" s="17" t="n">
        <x:f>IF(AND($A433&gt;='Control Room'!$A$13,$A433&lt;'Control Room'!$A$13+'Control Room'!$B$13,'Process'!BN2=1),1+('Control Room'!$C$13-1)*EXP(-0.5*(($A433-'Control Room'!$A$13-('Control Room'!$B$13-1)/2)/MAX(0.5,'Control Room'!$B$13/4))^2),1)*IF(AND($A433&gt;='Control Room'!$A$14,$A433&lt;'Control Room'!$A$14+'Control Room'!$B$14,'Process'!BN3=1),1+('Control Room'!$C$14-1)*EXP(-0.5*(($A433-'Control Room'!$A$14-('Control Room'!$B$14-1)/2)/MAX(0.5,'Control Room'!$B$14/4))^2),1)*IF(AND($A433&gt;='Control Room'!$A$15,$A433&lt;'Control Room'!$A$15+'Control Room'!$B$15,'Process'!BN4=1),1+('Control Room'!$C$15-1)*EXP(-0.5*(($A433-'Control Room'!$A$15-('Control Room'!$B$15-1)/2)/MAX(0.5,'Control Room'!$B$15/4))^2),1)*IF(AND($A433&gt;='Control Room'!$A$16,$A433&lt;'Control Room'!$A$16+'Control Room'!$B$16,'Process'!BN5=1),1+('Control Room'!$C$16-1)*EXP(-0.5*(($A433-'Control Room'!$A$16-('Control Room'!$B$16-1)/2)/MAX(0.5,'Control Room'!$B$16/4))^2),1)</x:f>
        <x:v>1</x:v>
      </x:c>
      <x:c r="V433" s="9" t="n">
        <x:f>MOD(W432*16807,2147483647)</x:f>
        <x:v>1840668698</x:v>
      </x:c>
      <x:c r="W433" s="9" t="n">
        <x:f>MOD(V433*16807,2147483647)</x:f>
        <x:v>1616872251</x:v>
      </x:c>
      <x:c r="X433" s="17" t="n">
        <x:f>IF('Control Room'!$B$5="Normal",'Control Room'!$B$7+'Control Room'!$D$7*SQRT(-2*LN(MAX(0.000000000001,V433/2147483647)))*COS(2*PI()*W433/2147483647),'Control Room'!$B$8+('Control Room'!$D$8-'Control Room'!$B$8)*V433/2147483647)</x:f>
        <x:v>1000.9152101971104</x:v>
      </x:c>
      <x:c r="Y433" s="17" t="n">
        <x:f>IF('Control Room'!$B$5="Normal",'Control Room'!$B$7,('Control Room'!$B$8+'Control Room'!$D$8)/2)+'Control Room'!$B$9*(Y432-IF('Control Room'!$B$5="Normal",'Control Room'!$B$7,('Control Room'!$B$8+'Control Room'!$D$8)/2))+SQRT(1-'Control Room'!$B$9^2)*(X433-IF('Control Room'!$B$5="Normal",'Control Room'!$B$7,('Control Room'!$B$8+'Control Room'!$D$8)/2))</x:f>
        <x:v>1095.0977540530284</x:v>
      </x:c>
      <x:c r="Z433" s="17" t="n">
        <x:f>IF(AND($A433&gt;='Control Room'!$A$13,$A433&lt;'Control Room'!$A$13+'Control Room'!$B$13,'Process'!BO2=1),1+('Control Room'!$C$13-1)*EXP(-0.5*(($A433-'Control Room'!$A$13-('Control Room'!$B$13-1)/2)/MAX(0.5,'Control Room'!$B$13/4))^2),1)*IF(AND($A433&gt;='Control Room'!$A$14,$A433&lt;'Control Room'!$A$14+'Control Room'!$B$14,'Process'!BO3=1),1+('Control Room'!$C$14-1)*EXP(-0.5*(($A433-'Control Room'!$A$14-('Control Room'!$B$14-1)/2)/MAX(0.5,'Control Room'!$B$14/4))^2),1)*IF(AND($A433&gt;='Control Room'!$A$15,$A433&lt;'Control Room'!$A$15+'Control Room'!$B$15,'Process'!BO4=1),1+('Control Room'!$C$15-1)*EXP(-0.5*(($A433-'Control Room'!$A$15-('Control Room'!$B$15-1)/2)/MAX(0.5,'Control Room'!$B$15/4))^2),1)*IF(AND($A433&gt;='Control Room'!$A$16,$A433&lt;'Control Room'!$A$16+'Control Room'!$B$16,'Process'!BO5=1),1+('Control Room'!$C$16-1)*EXP(-0.5*(($A433-'Control Room'!$A$16-('Control Room'!$B$16-1)/2)/MAX(0.5,'Control Room'!$B$16/4))^2),1)</x:f>
        <x:v>1</x:v>
      </x:c>
      <x:c r="AA433" s="9" t="n">
        <x:f>MOD(AB432*16807,2147483647)</x:f>
        <x:v>660418041</x:v>
      </x:c>
      <x:c r="AB433" s="9" t="n">
        <x:f>MOD(AA433*16807,2147483647)</x:f>
        <x:v>1450527391</x:v>
      </x:c>
      <x:c r="AC433" s="17" t="n">
        <x:f>IF('Control Room'!$B$5="Normal",'Control Room'!$B$7+'Control Room'!$D$7*SQRT(-2*LN(MAX(0.000000000001,AA433/2147483647)))*COS(2*PI()*AB433/2147483647),'Control Room'!$B$8+('Control Room'!$D$8-'Control Room'!$B$8)*AA433/2147483647)</x:f>
        <x:v>937.6047241663769</x:v>
      </x:c>
      <x:c r="AD433" s="17" t="n">
        <x:f>IF('Control Room'!$B$5="Normal",'Control Room'!$B$7,('Control Room'!$B$8+'Control Room'!$D$8)/2)+'Control Room'!$B$9*(AD432-IF('Control Room'!$B$5="Normal",'Control Room'!$B$7,('Control Room'!$B$8+'Control Room'!$D$8)/2))+SQRT(1-'Control Room'!$B$9^2)*(AC433-IF('Control Room'!$B$5="Normal",'Control Room'!$B$7,('Control Room'!$B$8+'Control Room'!$D$8)/2))</x:f>
        <x:v>984.9394287437186</x:v>
      </x:c>
      <x:c r="AE433" s="17" t="n">
        <x:f>IF(AND($A433&gt;='Control Room'!$A$13,$A433&lt;'Control Room'!$A$13+'Control Room'!$B$13,'Process'!BP2=1),1+('Control Room'!$C$13-1)*EXP(-0.5*(($A433-'Control Room'!$A$13-('Control Room'!$B$13-1)/2)/MAX(0.5,'Control Room'!$B$13/4))^2),1)*IF(AND($A433&gt;='Control Room'!$A$14,$A433&lt;'Control Room'!$A$14+'Control Room'!$B$14,'Process'!BP3=1),1+('Control Room'!$C$14-1)*EXP(-0.5*(($A433-'Control Room'!$A$14-('Control Room'!$B$14-1)/2)/MAX(0.5,'Control Room'!$B$14/4))^2),1)*IF(AND($A433&gt;='Control Room'!$A$15,$A433&lt;'Control Room'!$A$15+'Control Room'!$B$15,'Process'!BP4=1),1+('Control Room'!$C$15-1)*EXP(-0.5*(($A433-'Control Room'!$A$15-('Control Room'!$B$15-1)/2)/MAX(0.5,'Control Room'!$B$15/4))^2),1)*IF(AND($A433&gt;='Control Room'!$A$16,$A433&lt;'Control Room'!$A$16+'Control Room'!$B$16,'Process'!BP5=1),1+('Control Room'!$C$16-1)*EXP(-0.5*(($A433-'Control Room'!$A$16-('Control Room'!$B$16-1)/2)/MAX(0.5,'Control Room'!$B$16/4))^2),1)</x:f>
        <x:v>1</x:v>
      </x:c>
      <x:c r="AF433" s="9" t="n">
        <x:f>MOD(AG432*16807,2147483647)</x:f>
        <x:v>1627651031</x:v>
      </x:c>
      <x:c r="AG433" s="9" t="n">
        <x:f>MOD(AF433*16807,2147483647)</x:f>
        <x:v>1284182531</x:v>
      </x:c>
      <x:c r="AH433" s="17" t="n">
        <x:f>IF('Control Room'!$B$5="Normal",'Control Room'!$B$7+'Control Room'!$D$7*SQRT(-2*LN(MAX(0.000000000001,AF433/2147483647)))*COS(2*PI()*AG433/2147483647),'Control Room'!$B$8+('Control Room'!$D$8-'Control Room'!$B$8)*AF433/2147483647)</x:f>
        <x:v>945.2979018243234</x:v>
      </x:c>
      <x:c r="AI433" s="17" t="n">
        <x:f>IF('Control Room'!$B$5="Normal",'Control Room'!$B$7,('Control Room'!$B$8+'Control Room'!$D$8)/2)+'Control Room'!$B$9*(AI432-IF('Control Room'!$B$5="Normal",'Control Room'!$B$7,('Control Room'!$B$8+'Control Room'!$D$8)/2))+SQRT(1-'Control Room'!$B$9^2)*(AH433-IF('Control Room'!$B$5="Normal",'Control Room'!$B$7,('Control Room'!$B$8+'Control Room'!$D$8)/2))</x:f>
        <x:v>963.3629804568857</x:v>
      </x:c>
      <x:c r="AJ433" s="17" t="n">
        <x:f>IF(AND($A433&gt;='Control Room'!$A$13,$A433&lt;'Control Room'!$A$13+'Control Room'!$B$13,'Process'!BQ2=1),1+('Control Room'!$C$13-1)*EXP(-0.5*(($A433-'Control Room'!$A$13-('Control Room'!$B$13-1)/2)/MAX(0.5,'Control Room'!$B$13/4))^2),1)*IF(AND($A433&gt;='Control Room'!$A$14,$A433&lt;'Control Room'!$A$14+'Control Room'!$B$14,'Process'!BQ3=1),1+('Control Room'!$C$14-1)*EXP(-0.5*(($A433-'Control Room'!$A$14-('Control Room'!$B$14-1)/2)/MAX(0.5,'Control Room'!$B$14/4))^2),1)*IF(AND($A433&gt;='Control Room'!$A$15,$A433&lt;'Control Room'!$A$15+'Control Room'!$B$15,'Process'!BQ4=1),1+('Control Room'!$C$15-1)*EXP(-0.5*(($A433-'Control Room'!$A$15-('Control Room'!$B$15-1)/2)/MAX(0.5,'Control Room'!$B$15/4))^2),1)*IF(AND($A433&gt;='Control Room'!$A$16,$A433&lt;'Control Room'!$A$16+'Control Room'!$B$16,'Process'!BQ5=1),1+('Control Room'!$C$16-1)*EXP(-0.5*(($A433-'Control Room'!$A$16-('Control Room'!$B$16-1)/2)/MAX(0.5,'Control Room'!$B$16/4))^2),1)</x:f>
        <x:v>1</x:v>
      </x:c>
      <x:c r="AK433" s="9" t="n">
        <x:f>MOD(AL432*16807,2147483647)</x:f>
        <x:v>447400374</x:v>
      </x:c>
      <x:c r="AL433" s="9" t="n">
        <x:f>MOD(AK433*16807,2147483647)</x:f>
        <x:v>1117837671</x:v>
      </x:c>
      <x:c r="AM433" s="17" t="n">
        <x:f>IF('Control Room'!$B$5="Normal",'Control Room'!$B$7+'Control Room'!$D$7*SQRT(-2*LN(MAX(0.000000000001,AK433/2147483647)))*COS(2*PI()*AL433/2147483647),'Control Room'!$B$8+('Control Room'!$D$8-'Control Room'!$B$8)*AK433/2147483647)</x:f>
        <x:v>841.9156883673998</x:v>
      </x:c>
      <x:c r="AN433" s="17" t="n">
        <x:f>IF('Control Room'!$B$5="Normal",'Control Room'!$B$7,('Control Room'!$B$8+'Control Room'!$D$8)/2)+'Control Room'!$B$9*(AN432-IF('Control Room'!$B$5="Normal",'Control Room'!$B$7,('Control Room'!$B$8+'Control Room'!$D$8)/2))+SQRT(1-'Control Room'!$B$9^2)*(AM433-IF('Control Room'!$B$5="Normal",'Control Room'!$B$7,('Control Room'!$B$8+'Control Room'!$D$8)/2))</x:f>
        <x:v>895.2491912583112</x:v>
      </x:c>
      <x:c r="AO433" s="17" t="n">
        <x:f>IF(AND($A433&gt;='Control Room'!$A$13,$A433&lt;'Control Room'!$A$13+'Control Room'!$B$13,'Process'!BR2=1),1+('Control Room'!$C$13-1)*EXP(-0.5*(($A433-'Control Room'!$A$13-('Control Room'!$B$13-1)/2)/MAX(0.5,'Control Room'!$B$13/4))^2),1)*IF(AND($A433&gt;='Control Room'!$A$14,$A433&lt;'Control Room'!$A$14+'Control Room'!$B$14,'Process'!BR3=1),1+('Control Room'!$C$14-1)*EXP(-0.5*(($A433-'Control Room'!$A$14-('Control Room'!$B$14-1)/2)/MAX(0.5,'Control Room'!$B$14/4))^2),1)*IF(AND($A433&gt;='Control Room'!$A$15,$A433&lt;'Control Room'!$A$15+'Control Room'!$B$15,'Process'!BR4=1),1+('Control Room'!$C$15-1)*EXP(-0.5*(($A433-'Control Room'!$A$15-('Control Room'!$B$15-1)/2)/MAX(0.5,'Control Room'!$B$15/4))^2),1)*IF(AND($A433&gt;='Control Room'!$A$16,$A433&lt;'Control Room'!$A$16+'Control Room'!$B$16,'Process'!BR5=1),1+('Control Room'!$C$16-1)*EXP(-0.5*(($A433-'Control Room'!$A$16-('Control Room'!$B$16-1)/2)/MAX(0.5,'Control Room'!$B$16/4))^2),1)</x:f>
        <x:v>1</x:v>
      </x:c>
      <x:c r="AP433" s="9" t="n">
        <x:f>MOD(AQ432*16807,2147483647)</x:f>
        <x:v>1414633364</x:v>
      </x:c>
      <x:c r="AQ433" s="9" t="n">
        <x:f>MOD(AP433*16807,2147483647)</x:f>
        <x:v>951492811</x:v>
      </x:c>
      <x:c r="AR433" s="17" t="n">
        <x:f>IF('Control Room'!$B$5="Normal",'Control Room'!$B$7+'Control Room'!$D$7*SQRT(-2*LN(MAX(0.000000000001,AP433/2147483647)))*COS(2*PI()*AQ433/2147483647),'Control Room'!$B$8+('Control Room'!$D$8-'Control Room'!$B$8)*AP433/2147483647)</x:f>
        <x:v>922.9711804439708</x:v>
      </x:c>
      <x:c r="AS433" s="17" t="n">
        <x:f>IF('Control Room'!$B$5="Normal",'Control Room'!$B$7,('Control Room'!$B$8+'Control Room'!$D$8)/2)+'Control Room'!$B$9*(AS432-IF('Control Room'!$B$5="Normal",'Control Room'!$B$7,('Control Room'!$B$8+'Control Room'!$D$8)/2))+SQRT(1-'Control Room'!$B$9^2)*(AR433-IF('Control Room'!$B$5="Normal",'Control Room'!$B$7,('Control Room'!$B$8+'Control Room'!$D$8)/2))</x:f>
        <x:v>998.5637437704266</x:v>
      </x:c>
      <x:c r="AT433" s="17" t="n">
        <x:f>IF(AND($A433&gt;='Control Room'!$A$13,$A433&lt;'Control Room'!$A$13+'Control Room'!$B$13,'Process'!BS2=1),1+('Control Room'!$C$13-1)*EXP(-0.5*(($A433-'Control Room'!$A$13-('Control Room'!$B$13-1)/2)/MAX(0.5,'Control Room'!$B$13/4))^2),1)*IF(AND($A433&gt;='Control Room'!$A$14,$A433&lt;'Control Room'!$A$14+'Control Room'!$B$14,'Process'!BS3=1),1+('Control Room'!$C$14-1)*EXP(-0.5*(($A433-'Control Room'!$A$14-('Control Room'!$B$14-1)/2)/MAX(0.5,'Control Room'!$B$14/4))^2),1)*IF(AND($A433&gt;='Control Room'!$A$15,$A433&lt;'Control Room'!$A$15+'Control Room'!$B$15,'Process'!BS4=1),1+('Control Room'!$C$15-1)*EXP(-0.5*(($A433-'Control Room'!$A$15-('Control Room'!$B$15-1)/2)/MAX(0.5,'Control Room'!$B$15/4))^2),1)*IF(AND($A433&gt;='Control Room'!$A$16,$A433&lt;'Control Room'!$A$16+'Control Room'!$B$16,'Process'!BS5=1),1+('Control Room'!$C$16-1)*EXP(-0.5*(($A433-'Control Room'!$A$16-('Control Room'!$B$16-1)/2)/MAX(0.5,'Control Room'!$B$16/4))^2),1)</x:f>
        <x:v>1</x:v>
      </x:c>
      <x:c r="AU433" s="9" t="n">
        <x:f>MOD(AV432*16807,2147483647)</x:f>
        <x:v>234382707</x:v>
      </x:c>
      <x:c r="AV433" s="9" t="n">
        <x:f>MOD(AU433*16807,2147483647)</x:f>
        <x:v>785147951</x:v>
      </x:c>
      <x:c r="AW433" s="17" t="n">
        <x:f>IF('Control Room'!$B$5="Normal",'Control Room'!$B$7+'Control Room'!$D$7*SQRT(-2*LN(MAX(0.000000000001,AU433/2147483647)))*COS(2*PI()*AV433/2147483647),'Control Room'!$B$8+('Control Room'!$D$8-'Control Room'!$B$8)*AU433/2147483647)</x:f>
        <x:v>874.1798551470057</x:v>
      </x:c>
      <x:c r="AX433" s="17" t="n">
        <x:f>IF('Control Room'!$B$5="Normal",'Control Room'!$B$7,('Control Room'!$B$8+'Control Room'!$D$8)/2)+'Control Room'!$B$9*(AX432-IF('Control Room'!$B$5="Normal",'Control Room'!$B$7,('Control Room'!$B$8+'Control Room'!$D$8)/2))+SQRT(1-'Control Room'!$B$9^2)*(AW433-IF('Control Room'!$B$5="Normal",'Control Room'!$B$7,('Control Room'!$B$8+'Control Room'!$D$8)/2))</x:f>
        <x:v>897.9038648484772</x:v>
      </x:c>
      <x:c r="AY433" s="17" t="n">
        <x:f>IF(AND($A433&gt;='Control Room'!$A$13,$A433&lt;'Control Room'!$A$13+'Control Room'!$B$13,'Process'!BT2=1),1+('Control Room'!$C$13-1)*EXP(-0.5*(($A433-'Control Room'!$A$13-('Control Room'!$B$13-1)/2)/MAX(0.5,'Control Room'!$B$13/4))^2),1)*IF(AND($A433&gt;='Control Room'!$A$14,$A433&lt;'Control Room'!$A$14+'Control Room'!$B$14,'Process'!BT3=1),1+('Control Room'!$C$14-1)*EXP(-0.5*(($A433-'Control Room'!$A$14-('Control Room'!$B$14-1)/2)/MAX(0.5,'Control Room'!$B$14/4))^2),1)*IF(AND($A433&gt;='Control Room'!$A$15,$A433&lt;'Control Room'!$A$15+'Control Room'!$B$15,'Process'!BT4=1),1+('Control Room'!$C$15-1)*EXP(-0.5*(($A433-'Control Room'!$A$15-('Control Room'!$B$15-1)/2)/MAX(0.5,'Control Room'!$B$15/4))^2),1)*IF(AND($A433&gt;='Control Room'!$A$16,$A433&lt;'Control Room'!$A$16+'Control Room'!$B$16,'Process'!BT5=1),1+('Control Room'!$C$16-1)*EXP(-0.5*(($A433-'Control Room'!$A$16-('Control Room'!$B$16-1)/2)/MAX(0.5,'Control Room'!$B$16/4))^2),1)</x:f>
        <x:v>1</x:v>
      </x:c>
      <x:c r="AZ433" s="9" t="n">
        <x:f>MOD(BA432*16807,2147483647)</x:f>
        <x:v>1201615697</x:v>
      </x:c>
      <x:c r="BA433" s="9" t="n">
        <x:f>MOD(AZ433*16807,2147483647)</x:f>
        <x:v>618803091</x:v>
      </x:c>
      <x:c r="BB433" s="17" t="n">
        <x:f>IF('Control Room'!$B$5="Normal",'Control Room'!$B$7+'Control Room'!$D$7*SQRT(-2*LN(MAX(0.000000000001,AZ433/2147483647)))*COS(2*PI()*BA433/2147483647),'Control Room'!$B$8+('Control Room'!$D$8-'Control Room'!$B$8)*AZ433/2147483647)</x:f>
        <x:v>976.9726409775615</x:v>
      </x:c>
      <x:c r="BC433" s="17" t="n">
        <x:f>IF('Control Room'!$B$5="Normal",'Control Room'!$B$7,('Control Room'!$B$8+'Control Room'!$D$8)/2)+'Control Room'!$B$9*(BC432-IF('Control Room'!$B$5="Normal",'Control Room'!$B$7,('Control Room'!$B$8+'Control Room'!$D$8)/2))+SQRT(1-'Control Room'!$B$9^2)*(BB433-IF('Control Room'!$B$5="Normal",'Control Room'!$B$7,('Control Room'!$B$8+'Control Room'!$D$8)/2))</x:f>
        <x:v>956.1035520329339</x:v>
      </x:c>
      <x:c r="BD433" s="17" t="n">
        <x:f>IF(AND($A433&gt;='Control Room'!$A$13,$A433&lt;'Control Room'!$A$13+'Control Room'!$B$13,'Process'!BU2=1),1+('Control Room'!$C$13-1)*EXP(-0.5*(($A433-'Control Room'!$A$13-('Control Room'!$B$13-1)/2)/MAX(0.5,'Control Room'!$B$13/4))^2),1)*IF(AND($A433&gt;='Control Room'!$A$14,$A433&lt;'Control Room'!$A$14+'Control Room'!$B$14,'Process'!BU3=1),1+('Control Room'!$C$14-1)*EXP(-0.5*(($A433-'Control Room'!$A$14-('Control Room'!$B$14-1)/2)/MAX(0.5,'Control Room'!$B$14/4))^2),1)*IF(AND($A433&gt;='Control Room'!$A$15,$A433&lt;'Control Room'!$A$15+'Control Room'!$B$15,'Process'!BU4=1),1+('Control Room'!$C$15-1)*EXP(-0.5*(($A433-'Control Room'!$A$15-('Control Room'!$B$15-1)/2)/MAX(0.5,'Control Room'!$B$15/4))^2),1)*IF(AND($A433&gt;='Control Room'!$A$16,$A433&lt;'Control Room'!$A$16+'Control Room'!$B$16,'Process'!BU5=1),1+('Control Room'!$C$16-1)*EXP(-0.5*(($A433-'Control Room'!$A$16-('Control Room'!$B$16-1)/2)/MAX(0.5,'Control Room'!$B$16/4))^2),1)</x:f>
        <x:v>1</x:v>
      </x:c>
      <x:c r="BE433" s="9" t="n">
        <x:f>MOD(BF432*16807,2147483647)</x:f>
        <x:v>21365040</x:v>
      </x:c>
      <x:c r="BF433" s="9" t="n">
        <x:f>MOD(BE433*16807,2147483647)</x:f>
        <x:v>452458231</x:v>
      </x:c>
      <x:c r="BG433" s="17" t="n">
        <x:f>IF('Control Room'!$B$5="Normal",'Control Room'!$B$7+'Control Room'!$D$7*SQRT(-2*LN(MAX(0.000000000001,BE433/2147483647)))*COS(2*PI()*BF433/2147483647),'Control Room'!$B$8+('Control Room'!$D$8-'Control Room'!$B$8)*BE433/2147483647)</x:f>
        <x:v>1066.8121457500515</x:v>
      </x:c>
      <x:c r="BH433" s="17" t="n">
        <x:f>IF('Control Room'!$B$5="Normal",'Control Room'!$B$7,('Control Room'!$B$8+'Control Room'!$D$8)/2)+'Control Room'!$B$9*(BH432-IF('Control Room'!$B$5="Normal",'Control Room'!$B$7,('Control Room'!$B$8+'Control Room'!$D$8)/2))+SQRT(1-'Control Room'!$B$9^2)*(BG433-IF('Control Room'!$B$5="Normal",'Control Room'!$B$7,('Control Room'!$B$8+'Control Room'!$D$8)/2))</x:f>
        <x:v>1001.2702810260982</x:v>
      </x:c>
      <x:c r="BI433" s="17" t="n">
        <x:f>IF(AND($A433&gt;='Control Room'!$A$13,$A433&lt;'Control Room'!$A$13+'Control Room'!$B$13,'Process'!BV2=1),1+('Control Room'!$C$13-1)*EXP(-0.5*(($A433-'Control Room'!$A$13-('Control Room'!$B$13-1)/2)/MAX(0.5,'Control Room'!$B$13/4))^2),1)*IF(AND($A433&gt;='Control Room'!$A$14,$A433&lt;'Control Room'!$A$14+'Control Room'!$B$14,'Process'!BV3=1),1+('Control Room'!$C$14-1)*EXP(-0.5*(($A433-'Control Room'!$A$14-('Control Room'!$B$14-1)/2)/MAX(0.5,'Control Room'!$B$14/4))^2),1)*IF(AND($A433&gt;='Control Room'!$A$15,$A433&lt;'Control Room'!$A$15+'Control Room'!$B$15,'Process'!BV4=1),1+('Control Room'!$C$15-1)*EXP(-0.5*(($A433-'Control Room'!$A$15-('Control Room'!$B$15-1)/2)/MAX(0.5,'Control Room'!$B$15/4))^2),1)*IF(AND($A433&gt;='Control Room'!$A$16,$A433&lt;'Control Room'!$A$16+'Control Room'!$B$16,'Process'!BV5=1),1+('Control Room'!$C$16-1)*EXP(-0.5*(($A433-'Control Room'!$A$16-('Control Room'!$B$16-1)/2)/MAX(0.5,'Control Room'!$B$16/4))^2),1)</x:f>
        <x:v>1</x:v>
      </x:c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Z433" t="str">
        <x:f>IF('Data'!A433="","",TEXT('Data'!A433,"mm-dd"))</x:f>
      </x:c>
    </x:row>
    <x:row r="434" ht="21" customHeight="1">
      <x:c r="A434" s="15" t="n">
        <x:f>'Control Room'!$B$1+432</x:f>
        <x:v>73423</x:v>
      </x:c>
      <x:c r="B434" s="9" t="n">
        <x:f>MOD(C433*16807,2147483647)</x:f>
        <x:v>1598751570</x:v>
      </x:c>
      <x:c r="C434" s="9" t="n">
        <x:f>MOD(B434*16807,2147483647)</x:f>
        <x:v>902245726</x:v>
      </x:c>
      <x:c r="D434" s="17" t="n">
        <x:f>IF('Control Room'!$B$5="Normal",'Control Room'!$B$7+'Control Room'!$D$7*SQRT(-2*LN(MAX(0.000000000001,B434/2147483647)))*COS(2*PI()*C434/2147483647),'Control Room'!$B$8+('Control Room'!$D$8-'Control Room'!$B$8)*B434/2147483647)</x:f>
        <x:v>939.3836136660527</x:v>
      </x:c>
      <x:c r="E434" s="17" t="n">
        <x:f>IF('Control Room'!$B$5="Normal",'Control Room'!$B$7,('Control Room'!$B$8+'Control Room'!$D$8)/2)+'Control Room'!$B$9*(E433-IF('Control Room'!$B$5="Normal",'Control Room'!$B$7,('Control Room'!$B$8+'Control Room'!$D$8)/2))+SQRT(1-'Control Room'!$B$9^2)*(D434-IF('Control Room'!$B$5="Normal",'Control Room'!$B$7,('Control Room'!$B$8+'Control Room'!$D$8)/2))</x:f>
        <x:v>1185.3948951068091</x:v>
      </x:c>
      <x:c r="F434" s="17" t="n">
        <x:f>IF(AND($A434&gt;='Control Room'!$A$13,$A434&lt;'Control Room'!$A$13+'Control Room'!$B$13,'Process'!BK2=1),1+('Control Room'!$C$13-1)*EXP(-0.5*(($A434-'Control Room'!$A$13-('Control Room'!$B$13-1)/2)/MAX(0.5,'Control Room'!$B$13/4))^2),1)*IF(AND($A434&gt;='Control Room'!$A$14,$A434&lt;'Control Room'!$A$14+'Control Room'!$B$14,'Process'!BK3=1),1+('Control Room'!$C$14-1)*EXP(-0.5*(($A434-'Control Room'!$A$14-('Control Room'!$B$14-1)/2)/MAX(0.5,'Control Room'!$B$14/4))^2),1)*IF(AND($A434&gt;='Control Room'!$A$15,$A434&lt;'Control Room'!$A$15+'Control Room'!$B$15,'Process'!BK4=1),1+('Control Room'!$C$15-1)*EXP(-0.5*(($A434-'Control Room'!$A$15-('Control Room'!$B$15-1)/2)/MAX(0.5,'Control Room'!$B$15/4))^2),1)*IF(AND($A434&gt;='Control Room'!$A$16,$A434&lt;'Control Room'!$A$16+'Control Room'!$B$16,'Process'!BK5=1),1+('Control Room'!$C$16-1)*EXP(-0.5*(($A434-'Control Room'!$A$16-('Control Room'!$B$16-1)/2)/MAX(0.5,'Control Room'!$B$16/4))^2),1)</x:f>
        <x:v>1</x:v>
      </x:c>
      <x:c r="G434" s="9" t="n">
        <x:f>MOD(H433*16807,2147483647)</x:f>
        <x:v>1864397944</x:v>
      </x:c>
      <x:c r="H434" s="9" t="n">
        <x:f>MOD(G434*16807,2147483647)</x:f>
        <x:v>1002351431</x:v>
      </x:c>
      <x:c r="I434" s="17" t="n">
        <x:f>IF('Control Room'!$B$5="Normal",'Control Room'!$B$7+'Control Room'!$D$7*SQRT(-2*LN(MAX(0.000000000001,G434/2147483647)))*COS(2*PI()*H434/2147483647),'Control Room'!$B$8+('Control Room'!$D$8-'Control Room'!$B$8)*G434/2147483647)</x:f>
        <x:v>953.1860942767739</x:v>
      </x:c>
      <x:c r="J434" s="17" t="n">
        <x:f>IF('Control Room'!$B$5="Normal",'Control Room'!$B$7,('Control Room'!$B$8+'Control Room'!$D$8)/2)+'Control Room'!$B$9*(J433-IF('Control Room'!$B$5="Normal",'Control Room'!$B$7,('Control Room'!$B$8+'Control Room'!$D$8)/2))+SQRT(1-'Control Room'!$B$9^2)*(I434-IF('Control Room'!$B$5="Normal",'Control Room'!$B$7,('Control Room'!$B$8+'Control Room'!$D$8)/2))</x:f>
        <x:v>1020.713919875284</x:v>
      </x:c>
      <x:c r="K434" s="17" t="n">
        <x:f>IF(AND($A434&gt;='Control Room'!$A$13,$A434&lt;'Control Room'!$A$13+'Control Room'!$B$13,'Process'!BL2=1),1+('Control Room'!$C$13-1)*EXP(-0.5*(($A434-'Control Room'!$A$13-('Control Room'!$B$13-1)/2)/MAX(0.5,'Control Room'!$B$13/4))^2),1)*IF(AND($A434&gt;='Control Room'!$A$14,$A434&lt;'Control Room'!$A$14+'Control Room'!$B$14,'Process'!BL3=1),1+('Control Room'!$C$14-1)*EXP(-0.5*(($A434-'Control Room'!$A$14-('Control Room'!$B$14-1)/2)/MAX(0.5,'Control Room'!$B$14/4))^2),1)*IF(AND($A434&gt;='Control Room'!$A$15,$A434&lt;'Control Room'!$A$15+'Control Room'!$B$15,'Process'!BL4=1),1+('Control Room'!$C$15-1)*EXP(-0.5*(($A434-'Control Room'!$A$15-('Control Room'!$B$15-1)/2)/MAX(0.5,'Control Room'!$B$15/4))^2),1)*IF(AND($A434&gt;='Control Room'!$A$16,$A434&lt;'Control Room'!$A$16+'Control Room'!$B$16,'Process'!BL5=1),1+('Control Room'!$C$16-1)*EXP(-0.5*(($A434-'Control Room'!$A$16-('Control Room'!$B$16-1)/2)/MAX(0.5,'Control Room'!$B$16/4))^2),1)</x:f>
        <x:v>1</x:v>
      </x:c>
      <x:c r="L434" s="9" t="n">
        <x:f>MOD(M433*16807,2147483647)</x:f>
        <x:v>2130044318</x:v>
      </x:c>
      <x:c r="M434" s="9" t="n">
        <x:f>MOD(L434*16807,2147483647)</x:f>
        <x:v>1102457136</x:v>
      </x:c>
      <x:c r="N434" s="17" t="n">
        <x:f>IF('Control Room'!$B$5="Normal",'Control Room'!$B$7+'Control Room'!$D$7*SQRT(-2*LN(MAX(0.000000000001,L434/2147483647)))*COS(2*PI()*M434/2147483647),'Control Room'!$B$8+('Control Room'!$D$8-'Control Room'!$B$8)*L434/2147483647)</x:f>
        <x:v>988.5473082276249</x:v>
      </x:c>
      <x:c r="O434" s="17" t="n">
        <x:f>IF('Control Room'!$B$5="Normal",'Control Room'!$B$7,('Control Room'!$B$8+'Control Room'!$D$8)/2)+'Control Room'!$B$9*(O433-IF('Control Room'!$B$5="Normal",'Control Room'!$B$7,('Control Room'!$B$8+'Control Room'!$D$8)/2))+SQRT(1-'Control Room'!$B$9^2)*(N434-IF('Control Room'!$B$5="Normal",'Control Room'!$B$7,('Control Room'!$B$8+'Control Room'!$D$8)/2))</x:f>
        <x:v>1018.9916505657376</x:v>
      </x:c>
      <x:c r="P434" s="17" t="n">
        <x:f>IF(AND($A434&gt;='Control Room'!$A$13,$A434&lt;'Control Room'!$A$13+'Control Room'!$B$13,'Process'!BM2=1),1+('Control Room'!$C$13-1)*EXP(-0.5*(($A434-'Control Room'!$A$13-('Control Room'!$B$13-1)/2)/MAX(0.5,'Control Room'!$B$13/4))^2),1)*IF(AND($A434&gt;='Control Room'!$A$14,$A434&lt;'Control Room'!$A$14+'Control Room'!$B$14,'Process'!BM3=1),1+('Control Room'!$C$14-1)*EXP(-0.5*(($A434-'Control Room'!$A$14-('Control Room'!$B$14-1)/2)/MAX(0.5,'Control Room'!$B$14/4))^2),1)*IF(AND($A434&gt;='Control Room'!$A$15,$A434&lt;'Control Room'!$A$15+'Control Room'!$B$15,'Process'!BM4=1),1+('Control Room'!$C$15-1)*EXP(-0.5*(($A434-'Control Room'!$A$15-('Control Room'!$B$15-1)/2)/MAX(0.5,'Control Room'!$B$15/4))^2),1)*IF(AND($A434&gt;='Control Room'!$A$16,$A434&lt;'Control Room'!$A$16+'Control Room'!$B$16,'Process'!BM5=1),1+('Control Room'!$C$16-1)*EXP(-0.5*(($A434-'Control Room'!$A$16-('Control Room'!$B$16-1)/2)/MAX(0.5,'Control Room'!$B$16/4))^2),1)</x:f>
        <x:v>1</x:v>
      </x:c>
      <x:c r="Q434" s="9" t="n">
        <x:f>MOD(R433*16807,2147483647)</x:f>
        <x:v>248207045</x:v>
      </x:c>
      <x:c r="R434" s="9" t="n">
        <x:f>MOD(Q434*16807,2147483647)</x:f>
        <x:v>1202562841</x:v>
      </x:c>
      <x:c r="S434" s="17" t="n">
        <x:f>IF('Control Room'!$B$5="Normal",'Control Room'!$B$7+'Control Room'!$D$7*SQRT(-2*LN(MAX(0.000000000001,Q434/2147483647)))*COS(2*PI()*R434/2147483647),'Control Room'!$B$8+('Control Room'!$D$8-'Control Room'!$B$8)*Q434/2147483647)</x:f>
        <x:v>826.1580371082259</x:v>
      </x:c>
      <x:c r="T434" s="17" t="n">
        <x:f>IF('Control Room'!$B$5="Normal",'Control Room'!$B$7,('Control Room'!$B$8+'Control Room'!$D$8)/2)+'Control Room'!$B$9*(T433-IF('Control Room'!$B$5="Normal",'Control Room'!$B$7,('Control Room'!$B$8+'Control Room'!$D$8)/2))+SQRT(1-'Control Room'!$B$9^2)*(S434-IF('Control Room'!$B$5="Normal",'Control Room'!$B$7,('Control Room'!$B$8+'Control Room'!$D$8)/2))</x:f>
        <x:v>905.1044144191778</x:v>
      </x:c>
      <x:c r="U434" s="17" t="n">
        <x:f>IF(AND($A434&gt;='Control Room'!$A$13,$A434&lt;'Control Room'!$A$13+'Control Room'!$B$13,'Process'!BN2=1),1+('Control Room'!$C$13-1)*EXP(-0.5*(($A434-'Control Room'!$A$13-('Control Room'!$B$13-1)/2)/MAX(0.5,'Control Room'!$B$13/4))^2),1)*IF(AND($A434&gt;='Control Room'!$A$14,$A434&lt;'Control Room'!$A$14+'Control Room'!$B$14,'Process'!BN3=1),1+('Control Room'!$C$14-1)*EXP(-0.5*(($A434-'Control Room'!$A$14-('Control Room'!$B$14-1)/2)/MAX(0.5,'Control Room'!$B$14/4))^2),1)*IF(AND($A434&gt;='Control Room'!$A$15,$A434&lt;'Control Room'!$A$15+'Control Room'!$B$15,'Process'!BN4=1),1+('Control Room'!$C$15-1)*EXP(-0.5*(($A434-'Control Room'!$A$15-('Control Room'!$B$15-1)/2)/MAX(0.5,'Control Room'!$B$15/4))^2),1)*IF(AND($A434&gt;='Control Room'!$A$16,$A434&lt;'Control Room'!$A$16+'Control Room'!$B$16,'Process'!BN5=1),1+('Control Room'!$C$16-1)*EXP(-0.5*(($A434-'Control Room'!$A$16-('Control Room'!$B$16-1)/2)/MAX(0.5,'Control Room'!$B$16/4))^2),1)</x:f>
        <x:v>1</x:v>
      </x:c>
      <x:c r="V434" s="9" t="n">
        <x:f>MOD(W433*16807,2147483647)</x:f>
        <x:v>513853419</x:v>
      </x:c>
      <x:c r="W434" s="9" t="n">
        <x:f>MOD(V434*16807,2147483647)</x:f>
        <x:v>1302668546</x:v>
      </x:c>
      <x:c r="X434" s="17" t="n">
        <x:f>IF('Control Room'!$B$5="Normal",'Control Room'!$B$7+'Control Room'!$D$7*SQRT(-2*LN(MAX(0.000000000001,V434/2147483647)))*COS(2*PI()*W434/2147483647),'Control Room'!$B$8+('Control Room'!$D$8-'Control Room'!$B$8)*V434/2147483647)</x:f>
        <x:v>880.6758957939269</x:v>
      </x:c>
      <x:c r="Y434" s="17" t="n">
        <x:f>IF('Control Room'!$B$5="Normal",'Control Room'!$B$7,('Control Room'!$B$8+'Control Room'!$D$8)/2)+'Control Room'!$B$9*(Y433-IF('Control Room'!$B$5="Normal",'Control Room'!$B$7,('Control Room'!$B$8+'Control Room'!$D$8)/2))+SQRT(1-'Control Room'!$B$9^2)*(X434-IF('Control Room'!$B$5="Normal",'Control Room'!$B$7,('Control Room'!$B$8+'Control Room'!$D$8)/2))</x:f>
        <x:v>999.5056682363459</x:v>
      </x:c>
      <x:c r="Z434" s="17" t="n">
        <x:f>IF(AND($A434&gt;='Control Room'!$A$13,$A434&lt;'Control Room'!$A$13+'Control Room'!$B$13,'Process'!BO2=1),1+('Control Room'!$C$13-1)*EXP(-0.5*(($A434-'Control Room'!$A$13-('Control Room'!$B$13-1)/2)/MAX(0.5,'Control Room'!$B$13/4))^2),1)*IF(AND($A434&gt;='Control Room'!$A$14,$A434&lt;'Control Room'!$A$14+'Control Room'!$B$14,'Process'!BO3=1),1+('Control Room'!$C$14-1)*EXP(-0.5*(($A434-'Control Room'!$A$14-('Control Room'!$B$14-1)/2)/MAX(0.5,'Control Room'!$B$14/4))^2),1)*IF(AND($A434&gt;='Control Room'!$A$15,$A434&lt;'Control Room'!$A$15+'Control Room'!$B$15,'Process'!BO4=1),1+('Control Room'!$C$15-1)*EXP(-0.5*(($A434-'Control Room'!$A$15-('Control Room'!$B$15-1)/2)/MAX(0.5,'Control Room'!$B$15/4))^2),1)*IF(AND($A434&gt;='Control Room'!$A$16,$A434&lt;'Control Room'!$A$16+'Control Room'!$B$16,'Process'!BO5=1),1+('Control Room'!$C$16-1)*EXP(-0.5*(($A434-'Control Room'!$A$16-('Control Room'!$B$16-1)/2)/MAX(0.5,'Control Room'!$B$16/4))^2),1)</x:f>
        <x:v>1</x:v>
      </x:c>
      <x:c r="AA434" s="9" t="n">
        <x:f>MOD(AB433*16807,2147483647)</x:f>
        <x:v>779499793</x:v>
      </x:c>
      <x:c r="AB434" s="9" t="n">
        <x:f>MOD(AA434*16807,2147483647)</x:f>
        <x:v>1402774251</x:v>
      </x:c>
      <x:c r="AC434" s="17" t="n">
        <x:f>IF('Control Room'!$B$5="Normal",'Control Room'!$B$7+'Control Room'!$D$7*SQRT(-2*LN(MAX(0.000000000001,AA434/2147483647)))*COS(2*PI()*AB434/2147483647),'Control Room'!$B$8+('Control Room'!$D$8-'Control Room'!$B$8)*AA434/2147483647)</x:f>
        <x:v>926.7985207450383</x:v>
      </x:c>
      <x:c r="AD434" s="17" t="n">
        <x:f>IF('Control Room'!$B$5="Normal",'Control Room'!$B$7,('Control Room'!$B$8+'Control Room'!$D$8)/2)+'Control Room'!$B$9*(AD433-IF('Control Room'!$B$5="Normal",'Control Room'!$B$7,('Control Room'!$B$8+'Control Room'!$D$8)/2))+SQRT(1-'Control Room'!$B$9^2)*(AC434-IF('Control Room'!$B$5="Normal",'Control Room'!$B$7,('Control Room'!$B$8+'Control Room'!$D$8)/2))</x:f>
        <x:v>942.4447683161593</x:v>
      </x:c>
      <x:c r="AE434" s="17" t="n">
        <x:f>IF(AND($A434&gt;='Control Room'!$A$13,$A434&lt;'Control Room'!$A$13+'Control Room'!$B$13,'Process'!BP2=1),1+('Control Room'!$C$13-1)*EXP(-0.5*(($A434-'Control Room'!$A$13-('Control Room'!$B$13-1)/2)/MAX(0.5,'Control Room'!$B$13/4))^2),1)*IF(AND($A434&gt;='Control Room'!$A$14,$A434&lt;'Control Room'!$A$14+'Control Room'!$B$14,'Process'!BP3=1),1+('Control Room'!$C$14-1)*EXP(-0.5*(($A434-'Control Room'!$A$14-('Control Room'!$B$14-1)/2)/MAX(0.5,'Control Room'!$B$14/4))^2),1)*IF(AND($A434&gt;='Control Room'!$A$15,$A434&lt;'Control Room'!$A$15+'Control Room'!$B$15,'Process'!BP4=1),1+('Control Room'!$C$15-1)*EXP(-0.5*(($A434-'Control Room'!$A$15-('Control Room'!$B$15-1)/2)/MAX(0.5,'Control Room'!$B$15/4))^2),1)*IF(AND($A434&gt;='Control Room'!$A$16,$A434&lt;'Control Room'!$A$16+'Control Room'!$B$16,'Process'!BP5=1),1+('Control Room'!$C$16-1)*EXP(-0.5*(($A434-'Control Room'!$A$16-('Control Room'!$B$16-1)/2)/MAX(0.5,'Control Room'!$B$16/4))^2),1)</x:f>
        <x:v>1</x:v>
      </x:c>
      <x:c r="AF434" s="9" t="n">
        <x:f>MOD(AG433*16807,2147483647)</x:f>
        <x:v>1045146167</x:v>
      </x:c>
      <x:c r="AG434" s="9" t="n">
        <x:f>MOD(AF434*16807,2147483647)</x:f>
        <x:v>1502879956</x:v>
      </x:c>
      <x:c r="AH434" s="17" t="n">
        <x:f>IF('Control Room'!$B$5="Normal",'Control Room'!$B$7+'Control Room'!$D$7*SQRT(-2*LN(MAX(0.000000000001,AF434/2147483647)))*COS(2*PI()*AG434/2147483647),'Control Room'!$B$8+('Control Room'!$D$8-'Control Room'!$B$8)*AF434/2147483647)</x:f>
        <x:v>966.515160527443</x:v>
      </x:c>
      <x:c r="AI434" s="17" t="n">
        <x:f>IF('Control Room'!$B$5="Normal",'Control Room'!$B$7,('Control Room'!$B$8+'Control Room'!$D$8)/2)+'Control Room'!$B$9*(AI433-IF('Control Room'!$B$5="Normal",'Control Room'!$B$7,('Control Room'!$B$8+'Control Room'!$D$8)/2))+SQRT(1-'Control Room'!$B$9^2)*(AH434-IF('Control Room'!$B$5="Normal",'Control Room'!$B$7,('Control Room'!$B$8+'Control Room'!$D$8)/2))</x:f>
        <x:v>950.4689981886672</x:v>
      </x:c>
      <x:c r="AJ434" s="17" t="n">
        <x:f>IF(AND($A434&gt;='Control Room'!$A$13,$A434&lt;'Control Room'!$A$13+'Control Room'!$B$13,'Process'!BQ2=1),1+('Control Room'!$C$13-1)*EXP(-0.5*(($A434-'Control Room'!$A$13-('Control Room'!$B$13-1)/2)/MAX(0.5,'Control Room'!$B$13/4))^2),1)*IF(AND($A434&gt;='Control Room'!$A$14,$A434&lt;'Control Room'!$A$14+'Control Room'!$B$14,'Process'!BQ3=1),1+('Control Room'!$C$14-1)*EXP(-0.5*(($A434-'Control Room'!$A$14-('Control Room'!$B$14-1)/2)/MAX(0.5,'Control Room'!$B$14/4))^2),1)*IF(AND($A434&gt;='Control Room'!$A$15,$A434&lt;'Control Room'!$A$15+'Control Room'!$B$15,'Process'!BQ4=1),1+('Control Room'!$C$15-1)*EXP(-0.5*(($A434-'Control Room'!$A$15-('Control Room'!$B$15-1)/2)/MAX(0.5,'Control Room'!$B$15/4))^2),1)*IF(AND($A434&gt;='Control Room'!$A$16,$A434&lt;'Control Room'!$A$16+'Control Room'!$B$16,'Process'!BQ5=1),1+('Control Room'!$C$16-1)*EXP(-0.5*(($A434-'Control Room'!$A$16-('Control Room'!$B$16-1)/2)/MAX(0.5,'Control Room'!$B$16/4))^2),1)</x:f>
        <x:v>1</x:v>
      </x:c>
      <x:c r="AK434" s="9" t="n">
        <x:f>MOD(AL433*16807,2147483647)</x:f>
        <x:v>1310792541</x:v>
      </x:c>
      <x:c r="AL434" s="9" t="n">
        <x:f>MOD(AK434*16807,2147483647)</x:f>
        <x:v>1602985661</x:v>
      </x:c>
      <x:c r="AM434" s="17" t="n">
        <x:f>IF('Control Room'!$B$5="Normal",'Control Room'!$B$7+'Control Room'!$D$7*SQRT(-2*LN(MAX(0.000000000001,AK434/2147483647)))*COS(2*PI()*AL434/2147483647),'Control Room'!$B$8+('Control Room'!$D$8-'Control Room'!$B$8)*AK434/2147483647)</x:f>
        <x:v>998.0045285205972</x:v>
      </x:c>
      <x:c r="AN434" s="17" t="n">
        <x:f>IF('Control Room'!$B$5="Normal",'Control Room'!$B$7,('Control Room'!$B$8+'Control Room'!$D$8)/2)+'Control Room'!$B$9*(AN433-IF('Control Room'!$B$5="Normal",'Control Room'!$B$7,('Control Room'!$B$8+'Control Room'!$D$8)/2))+SQRT(1-'Control Room'!$B$9^2)*(AM434-IF('Control Room'!$B$5="Normal",'Control Room'!$B$7,('Control Room'!$B$8+'Control Room'!$D$8)/2))</x:f>
        <x:v>917.0456440091277</x:v>
      </x:c>
      <x:c r="AO434" s="17" t="n">
        <x:f>IF(AND($A434&gt;='Control Room'!$A$13,$A434&lt;'Control Room'!$A$13+'Control Room'!$B$13,'Process'!BR2=1),1+('Control Room'!$C$13-1)*EXP(-0.5*(($A434-'Control Room'!$A$13-('Control Room'!$B$13-1)/2)/MAX(0.5,'Control Room'!$B$13/4))^2),1)*IF(AND($A434&gt;='Control Room'!$A$14,$A434&lt;'Control Room'!$A$14+'Control Room'!$B$14,'Process'!BR3=1),1+('Control Room'!$C$14-1)*EXP(-0.5*(($A434-'Control Room'!$A$14-('Control Room'!$B$14-1)/2)/MAX(0.5,'Control Room'!$B$14/4))^2),1)*IF(AND($A434&gt;='Control Room'!$A$15,$A434&lt;'Control Room'!$A$15+'Control Room'!$B$15,'Process'!BR4=1),1+('Control Room'!$C$15-1)*EXP(-0.5*(($A434-'Control Room'!$A$15-('Control Room'!$B$15-1)/2)/MAX(0.5,'Control Room'!$B$15/4))^2),1)*IF(AND($A434&gt;='Control Room'!$A$16,$A434&lt;'Control Room'!$A$16+'Control Room'!$B$16,'Process'!BR5=1),1+('Control Room'!$C$16-1)*EXP(-0.5*(($A434-'Control Room'!$A$16-('Control Room'!$B$16-1)/2)/MAX(0.5,'Control Room'!$B$16/4))^2),1)</x:f>
        <x:v>1</x:v>
      </x:c>
      <x:c r="AP434" s="9" t="n">
        <x:f>MOD(AQ433*16807,2147483647)</x:f>
        <x:v>1576438915</x:v>
      </x:c>
      <x:c r="AQ434" s="9" t="n">
        <x:f>MOD(AP434*16807,2147483647)</x:f>
        <x:v>1703091366</x:v>
      </x:c>
      <x:c r="AR434" s="17" t="n">
        <x:f>IF('Control Room'!$B$5="Normal",'Control Room'!$B$7+'Control Room'!$D$7*SQRT(-2*LN(MAX(0.000000000001,AP434/2147483647)))*COS(2*PI()*AQ434/2147483647),'Control Room'!$B$8+('Control Room'!$D$8-'Control Room'!$B$8)*AP434/2147483647)</x:f>
        <x:v>1018.9149862155034</x:v>
      </x:c>
      <x:c r="AS434" s="17" t="n">
        <x:f>IF('Control Room'!$B$5="Normal",'Control Room'!$B$7,('Control Room'!$B$8+'Control Room'!$D$8)/2)+'Control Room'!$B$9*(AS433-IF('Control Room'!$B$5="Normal",'Control Room'!$B$7,('Control Room'!$B$8+'Control Room'!$D$8)/2))+SQRT(1-'Control Room'!$B$9^2)*(AR434-IF('Control Room'!$B$5="Normal",'Control Room'!$B$7,('Control Room'!$B$8+'Control Room'!$D$8)/2))</x:f>
        <x:v>1010.71633102004</x:v>
      </x:c>
      <x:c r="AT434" s="17" t="n">
        <x:f>IF(AND($A434&gt;='Control Room'!$A$13,$A434&lt;'Control Room'!$A$13+'Control Room'!$B$13,'Process'!BS2=1),1+('Control Room'!$C$13-1)*EXP(-0.5*(($A434-'Control Room'!$A$13-('Control Room'!$B$13-1)/2)/MAX(0.5,'Control Room'!$B$13/4))^2),1)*IF(AND($A434&gt;='Control Room'!$A$14,$A434&lt;'Control Room'!$A$14+'Control Room'!$B$14,'Process'!BS3=1),1+('Control Room'!$C$14-1)*EXP(-0.5*(($A434-'Control Room'!$A$14-('Control Room'!$B$14-1)/2)/MAX(0.5,'Control Room'!$B$14/4))^2),1)*IF(AND($A434&gt;='Control Room'!$A$15,$A434&lt;'Control Room'!$A$15+'Control Room'!$B$15,'Process'!BS4=1),1+('Control Room'!$C$15-1)*EXP(-0.5*(($A434-'Control Room'!$A$15-('Control Room'!$B$15-1)/2)/MAX(0.5,'Control Room'!$B$15/4))^2),1)*IF(AND($A434&gt;='Control Room'!$A$16,$A434&lt;'Control Room'!$A$16+'Control Room'!$B$16,'Process'!BS5=1),1+('Control Room'!$C$16-1)*EXP(-0.5*(($A434-'Control Room'!$A$16-('Control Room'!$B$16-1)/2)/MAX(0.5,'Control Room'!$B$16/4))^2),1)</x:f>
        <x:v>1</x:v>
      </x:c>
      <x:c r="AU434" s="9" t="n">
        <x:f>MOD(AV433*16807,2147483647)</x:f>
        <x:v>1842085289</x:v>
      </x:c>
      <x:c r="AV434" s="9" t="n">
        <x:f>MOD(AU434*16807,2147483647)</x:f>
        <x:v>1803197071</x:v>
      </x:c>
      <x:c r="AW434" s="17" t="n">
        <x:f>IF('Control Room'!$B$5="Normal",'Control Room'!$B$7+'Control Room'!$D$7*SQRT(-2*LN(MAX(0.000000000001,AU434/2147483647)))*COS(2*PI()*AV434/2147483647),'Control Room'!$B$8+('Control Room'!$D$8-'Control Room'!$B$8)*AU434/2147483647)</x:f>
        <x:v>1026.6262186773622</x:v>
      </x:c>
      <x:c r="AX434" s="17" t="n">
        <x:f>IF('Control Room'!$B$5="Normal",'Control Room'!$B$7,('Control Room'!$B$8+'Control Room'!$D$8)/2)+'Control Room'!$B$9*(AX433-IF('Control Room'!$B$5="Normal",'Control Room'!$B$7,('Control Room'!$B$8+'Control Room'!$D$8)/2))+SQRT(1-'Control Room'!$B$9^2)*(AW434-IF('Control Room'!$B$5="Normal",'Control Room'!$B$7,('Control Room'!$B$8+'Control Room'!$D$8)/2))</x:f>
        <x:v>937.027156762367</x:v>
      </x:c>
      <x:c r="AY434" s="17" t="n">
        <x:f>IF(AND($A434&gt;='Control Room'!$A$13,$A434&lt;'Control Room'!$A$13+'Control Room'!$B$13,'Process'!BT2=1),1+('Control Room'!$C$13-1)*EXP(-0.5*(($A434-'Control Room'!$A$13-('Control Room'!$B$13-1)/2)/MAX(0.5,'Control Room'!$B$13/4))^2),1)*IF(AND($A434&gt;='Control Room'!$A$14,$A434&lt;'Control Room'!$A$14+'Control Room'!$B$14,'Process'!BT3=1),1+('Control Room'!$C$14-1)*EXP(-0.5*(($A434-'Control Room'!$A$14-('Control Room'!$B$14-1)/2)/MAX(0.5,'Control Room'!$B$14/4))^2),1)*IF(AND($A434&gt;='Control Room'!$A$15,$A434&lt;'Control Room'!$A$15+'Control Room'!$B$15,'Process'!BT4=1),1+('Control Room'!$C$15-1)*EXP(-0.5*(($A434-'Control Room'!$A$15-('Control Room'!$B$15-1)/2)/MAX(0.5,'Control Room'!$B$15/4))^2),1)*IF(AND($A434&gt;='Control Room'!$A$16,$A434&lt;'Control Room'!$A$16+'Control Room'!$B$16,'Process'!BT5=1),1+('Control Room'!$C$16-1)*EXP(-0.5*(($A434-'Control Room'!$A$16-('Control Room'!$B$16-1)/2)/MAX(0.5,'Control Room'!$B$16/4))^2),1)</x:f>
        <x:v>1</x:v>
      </x:c>
      <x:c r="AZ434" s="9" t="n">
        <x:f>MOD(BA433*16807,2147483647)</x:f>
        <x:v>2107731663</x:v>
      </x:c>
      <x:c r="BA434" s="9" t="n">
        <x:f>MOD(AZ434*16807,2147483647)</x:f>
        <x:v>1903302776</x:v>
      </x:c>
      <x:c r="BB434" s="17" t="n">
        <x:f>IF('Control Room'!$B$5="Normal",'Control Room'!$B$7+'Control Room'!$D$7*SQRT(-2*LN(MAX(0.000000000001,AZ434/2147483647)))*COS(2*PI()*BA434/2147483647),'Control Room'!$B$8+('Control Room'!$D$8-'Control Room'!$B$8)*AZ434/2147483647)</x:f>
        <x:v>1013.1435184312344</x:v>
      </x:c>
      <x:c r="BC434" s="17" t="n">
        <x:f>IF('Control Room'!$B$5="Normal",'Control Room'!$B$7,('Control Room'!$B$8+'Control Room'!$D$8)/2)+'Control Room'!$B$9*(BC433-IF('Control Room'!$B$5="Normal",'Control Room'!$B$7,('Control Room'!$B$8+'Control Room'!$D$8)/2))+SQRT(1-'Control Room'!$B$9^2)*(BB434-IF('Control Room'!$B$5="Normal",'Control Room'!$B$7,('Control Room'!$B$8+'Control Room'!$D$8)/2))</x:f>
        <x:v>973.9857151603443</x:v>
      </x:c>
      <x:c r="BD434" s="17" t="n">
        <x:f>IF(AND($A434&gt;='Control Room'!$A$13,$A434&lt;'Control Room'!$A$13+'Control Room'!$B$13,'Process'!BU2=1),1+('Control Room'!$C$13-1)*EXP(-0.5*(($A434-'Control Room'!$A$13-('Control Room'!$B$13-1)/2)/MAX(0.5,'Control Room'!$B$13/4))^2),1)*IF(AND($A434&gt;='Control Room'!$A$14,$A434&lt;'Control Room'!$A$14+'Control Room'!$B$14,'Process'!BU3=1),1+('Control Room'!$C$14-1)*EXP(-0.5*(($A434-'Control Room'!$A$14-('Control Room'!$B$14-1)/2)/MAX(0.5,'Control Room'!$B$14/4))^2),1)*IF(AND($A434&gt;='Control Room'!$A$15,$A434&lt;'Control Room'!$A$15+'Control Room'!$B$15,'Process'!BU4=1),1+('Control Room'!$C$15-1)*EXP(-0.5*(($A434-'Control Room'!$A$15-('Control Room'!$B$15-1)/2)/MAX(0.5,'Control Room'!$B$15/4))^2),1)*IF(AND($A434&gt;='Control Room'!$A$16,$A434&lt;'Control Room'!$A$16+'Control Room'!$B$16,'Process'!BU5=1),1+('Control Room'!$C$16-1)*EXP(-0.5*(($A434-'Control Room'!$A$16-('Control Room'!$B$16-1)/2)/MAX(0.5,'Control Room'!$B$16/4))^2),1)</x:f>
        <x:v>1</x:v>
      </x:c>
      <x:c r="BE434" s="9" t="n">
        <x:f>MOD(BF433*16807,2147483647)</x:f>
        <x:v>225894390</x:v>
      </x:c>
      <x:c r="BF434" s="9" t="n">
        <x:f>MOD(BE434*16807,2147483647)</x:f>
        <x:v>2003408481</x:v>
      </x:c>
      <x:c r="BG434" s="17" t="n">
        <x:f>IF('Control Room'!$B$5="Normal",'Control Room'!$B$7+'Control Room'!$D$7*SQRT(-2*LN(MAX(0.000000000001,BE434/2147483647)))*COS(2*PI()*BF434/2147483647),'Control Room'!$B$8+('Control Room'!$D$8-'Control Room'!$B$8)*BE434/2147483647)</x:f>
        <x:v>1174.2825587016046</x:v>
      </x:c>
      <x:c r="BH434" s="17" t="n">
        <x:f>IF('Control Room'!$B$5="Normal",'Control Room'!$B$7,('Control Room'!$B$8+'Control Room'!$D$8)/2)+'Control Room'!$B$9*(BH433-IF('Control Room'!$B$5="Normal",'Control Room'!$B$7,('Control Room'!$B$8+'Control Room'!$D$8)/2))+SQRT(1-'Control Room'!$B$9^2)*(BG434-IF('Control Room'!$B$5="Normal",'Control Room'!$B$7,('Control Room'!$B$8+'Control Room'!$D$8)/2))</x:f>
        <x:v>1110.0532740635388</x:v>
      </x:c>
      <x:c r="BI434" s="17" t="n">
        <x:f>IF(AND($A434&gt;='Control Room'!$A$13,$A434&lt;'Control Room'!$A$13+'Control Room'!$B$13,'Process'!BV2=1),1+('Control Room'!$C$13-1)*EXP(-0.5*(($A434-'Control Room'!$A$13-('Control Room'!$B$13-1)/2)/MAX(0.5,'Control Room'!$B$13/4))^2),1)*IF(AND($A434&gt;='Control Room'!$A$14,$A434&lt;'Control Room'!$A$14+'Control Room'!$B$14,'Process'!BV3=1),1+('Control Room'!$C$14-1)*EXP(-0.5*(($A434-'Control Room'!$A$14-('Control Room'!$B$14-1)/2)/MAX(0.5,'Control Room'!$B$14/4))^2),1)*IF(AND($A434&gt;='Control Room'!$A$15,$A434&lt;'Control Room'!$A$15+'Control Room'!$B$15,'Process'!BV4=1),1+('Control Room'!$C$15-1)*EXP(-0.5*(($A434-'Control Room'!$A$15-('Control Room'!$B$15-1)/2)/MAX(0.5,'Control Room'!$B$15/4))^2),1)*IF(AND($A434&gt;='Control Room'!$A$16,$A434&lt;'Control Room'!$A$16+'Control Room'!$B$16,'Process'!BV5=1),1+('Control Room'!$C$16-1)*EXP(-0.5*(($A434-'Control Room'!$A$16-('Control Room'!$B$16-1)/2)/MAX(0.5,'Control Room'!$B$16/4))^2),1)</x:f>
        <x:v>1</x:v>
      </x:c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Z434" t="str">
        <x:f>IF('Data'!A434="","",TEXT('Data'!A434,"mm-dd"))</x:f>
      </x:c>
    </x:row>
    <x:row r="435" ht="21" customHeight="1">
      <x:c r="A435" s="15" t="n">
        <x:f>'Control Room'!$B$1+433</x:f>
        <x:v>73424</x:v>
      </x:c>
      <x:c r="B435" s="9" t="n">
        <x:f>MOD(C434*16807,2147483647)</x:f>
        <x:v>661885415</x:v>
      </x:c>
      <x:c r="C435" s="9" t="n">
        <x:f>MOD(B435*16807,2147483647)</x:f>
        <x:v>342878445</x:v>
      </x:c>
      <x:c r="D435" s="17" t="n">
        <x:f>IF('Control Room'!$B$5="Normal",'Control Room'!$B$7+'Control Room'!$D$7*SQRT(-2*LN(MAX(0.000000000001,B435/2147483647)))*COS(2*PI()*C435/2147483647),'Control Room'!$B$8+('Control Room'!$D$8-'Control Room'!$B$8)*B435/2147483647)</x:f>
        <x:v>1074.2333183757062</x:v>
      </x:c>
      <x:c r="E435" s="17" t="n">
        <x:f>IF('Control Room'!$B$5="Normal",'Control Room'!$B$7,('Control Room'!$B$8+'Control Room'!$D$8)/2)+'Control Room'!$B$9*(E434-IF('Control Room'!$B$5="Normal",'Control Room'!$B$7,('Control Room'!$B$8+'Control Room'!$D$8)/2))+SQRT(1-'Control Room'!$B$9^2)*(D435-IF('Control Room'!$B$5="Normal",'Control Room'!$B$7,('Control Room'!$B$8+'Control Room'!$D$8)/2))</x:f>
        <x:v>1191.0617080706409</x:v>
      </x:c>
      <x:c r="F435" s="17" t="n">
        <x:f>IF(AND($A435&gt;='Control Room'!$A$13,$A435&lt;'Control Room'!$A$13+'Control Room'!$B$13,'Process'!BK2=1),1+('Control Room'!$C$13-1)*EXP(-0.5*(($A435-'Control Room'!$A$13-('Control Room'!$B$13-1)/2)/MAX(0.5,'Control Room'!$B$13/4))^2),1)*IF(AND($A435&gt;='Control Room'!$A$14,$A435&lt;'Control Room'!$A$14+'Control Room'!$B$14,'Process'!BK3=1),1+('Control Room'!$C$14-1)*EXP(-0.5*(($A435-'Control Room'!$A$14-('Control Room'!$B$14-1)/2)/MAX(0.5,'Control Room'!$B$14/4))^2),1)*IF(AND($A435&gt;='Control Room'!$A$15,$A435&lt;'Control Room'!$A$15+'Control Room'!$B$15,'Process'!BK4=1),1+('Control Room'!$C$15-1)*EXP(-0.5*(($A435-'Control Room'!$A$15-('Control Room'!$B$15-1)/2)/MAX(0.5,'Control Room'!$B$15/4))^2),1)*IF(AND($A435&gt;='Control Room'!$A$16,$A435&lt;'Control Room'!$A$16+'Control Room'!$B$16,'Process'!BK5=1),1+('Control Room'!$C$16-1)*EXP(-0.5*(($A435-'Control Room'!$A$16-('Control Room'!$B$16-1)/2)/MAX(0.5,'Control Room'!$B$16/4))^2),1)</x:f>
        <x:v>1</x:v>
      </x:c>
      <x:c r="G435" s="9" t="n">
        <x:f>MOD(H434*16807,2147483647)</x:f>
        <x:v>1658773749</x:v>
      </x:c>
      <x:c r="H435" s="9" t="n">
        <x:f>MOD(G435*16807,2147483647)</x:f>
        <x:v>377694089</x:v>
      </x:c>
      <x:c r="I435" s="17" t="n">
        <x:f>IF('Control Room'!$B$5="Normal",'Control Room'!$B$7+'Control Room'!$D$7*SQRT(-2*LN(MAX(0.000000000001,G435/2147483647)))*COS(2*PI()*H435/2147483647),'Control Room'!$B$8+('Control Room'!$D$8-'Control Room'!$B$8)*G435/2147483647)</x:f>
        <x:v>1029.0446310971947</x:v>
      </x:c>
      <x:c r="J435" s="17" t="n">
        <x:f>IF('Control Room'!$B$5="Normal",'Control Room'!$B$7,('Control Room'!$B$8+'Control Room'!$D$8)/2)+'Control Room'!$B$9*(J434-IF('Control Room'!$B$5="Normal",'Control Room'!$B$7,('Control Room'!$B$8+'Control Room'!$D$8)/2))+SQRT(1-'Control Room'!$B$9^2)*(I435-IF('Control Room'!$B$5="Normal",'Control Room'!$B$7,('Control Room'!$B$8+'Control Room'!$D$8)/2))</x:f>
        <x:v>1034.3323926317362</x:v>
      </x:c>
      <x:c r="K435" s="17" t="n">
        <x:f>IF(AND($A435&gt;='Control Room'!$A$13,$A435&lt;'Control Room'!$A$13+'Control Room'!$B$13,'Process'!BL2=1),1+('Control Room'!$C$13-1)*EXP(-0.5*(($A435-'Control Room'!$A$13-('Control Room'!$B$13-1)/2)/MAX(0.5,'Control Room'!$B$13/4))^2),1)*IF(AND($A435&gt;='Control Room'!$A$14,$A435&lt;'Control Room'!$A$14+'Control Room'!$B$14,'Process'!BL3=1),1+('Control Room'!$C$14-1)*EXP(-0.5*(($A435-'Control Room'!$A$14-('Control Room'!$B$14-1)/2)/MAX(0.5,'Control Room'!$B$14/4))^2),1)*IF(AND($A435&gt;='Control Room'!$A$15,$A435&lt;'Control Room'!$A$15+'Control Room'!$B$15,'Process'!BL4=1),1+('Control Room'!$C$15-1)*EXP(-0.5*(($A435-'Control Room'!$A$15-('Control Room'!$B$15-1)/2)/MAX(0.5,'Control Room'!$B$15/4))^2),1)*IF(AND($A435&gt;='Control Room'!$A$16,$A435&lt;'Control Room'!$A$16+'Control Room'!$B$16,'Process'!BL5=1),1+('Control Room'!$C$16-1)*EXP(-0.5*(($A435-'Control Room'!$A$16-('Control Room'!$B$16-1)/2)/MAX(0.5,'Control Room'!$B$16/4))^2),1)</x:f>
        <x:v>1</x:v>
      </x:c>
      <x:c r="L435" s="9" t="n">
        <x:f>MOD(M434*16807,2147483647)</x:f>
        <x:v>508178436</x:v>
      </x:c>
      <x:c r="M435" s="9" t="n">
        <x:f>MOD(L435*16807,2147483647)</x:f>
        <x:v>412509733</x:v>
      </x:c>
      <x:c r="N435" s="17" t="n">
        <x:f>IF('Control Room'!$B$5="Normal",'Control Room'!$B$7+'Control Room'!$D$7*SQRT(-2*LN(MAX(0.000000000001,L435/2147483647)))*COS(2*PI()*M435/2147483647),'Control Room'!$B$8+('Control Room'!$D$8-'Control Room'!$B$8)*L435/2147483647)</x:f>
        <x:v>1054.379062025971</x:v>
      </x:c>
      <x:c r="O435" s="17" t="n">
        <x:f>IF('Control Room'!$B$5="Normal",'Control Room'!$B$7,('Control Room'!$B$8+'Control Room'!$D$8)/2)+'Control Room'!$B$9*(O434-IF('Control Room'!$B$5="Normal",'Control Room'!$B$7,('Control Room'!$B$8+'Control Room'!$D$8)/2))+SQRT(1-'Control Room'!$B$9^2)*(N435-IF('Control Room'!$B$5="Normal",'Control Room'!$B$7,('Control Room'!$B$8+'Control Room'!$D$8)/2))</x:f>
        <x:v>1048.8427904414903</x:v>
      </x:c>
      <x:c r="P435" s="17" t="n">
        <x:f>IF(AND($A435&gt;='Control Room'!$A$13,$A435&lt;'Control Room'!$A$13+'Control Room'!$B$13,'Process'!BM2=1),1+('Control Room'!$C$13-1)*EXP(-0.5*(($A435-'Control Room'!$A$13-('Control Room'!$B$13-1)/2)/MAX(0.5,'Control Room'!$B$13/4))^2),1)*IF(AND($A435&gt;='Control Room'!$A$14,$A435&lt;'Control Room'!$A$14+'Control Room'!$B$14,'Process'!BM3=1),1+('Control Room'!$C$14-1)*EXP(-0.5*(($A435-'Control Room'!$A$14-('Control Room'!$B$14-1)/2)/MAX(0.5,'Control Room'!$B$14/4))^2),1)*IF(AND($A435&gt;='Control Room'!$A$15,$A435&lt;'Control Room'!$A$15+'Control Room'!$B$15,'Process'!BM4=1),1+('Control Room'!$C$15-1)*EXP(-0.5*(($A435-'Control Room'!$A$15-('Control Room'!$B$15-1)/2)/MAX(0.5,'Control Room'!$B$15/4))^2),1)*IF(AND($A435&gt;='Control Room'!$A$16,$A435&lt;'Control Room'!$A$16+'Control Room'!$B$16,'Process'!BM5=1),1+('Control Room'!$C$16-1)*EXP(-0.5*(($A435-'Control Room'!$A$16-('Control Room'!$B$16-1)/2)/MAX(0.5,'Control Room'!$B$16/4))^2),1)</x:f>
        <x:v>1</x:v>
      </x:c>
      <x:c r="Q435" s="9" t="n">
        <x:f>MOD(R434*16807,2147483647)</x:f>
        <x:v>1505066770</x:v>
      </x:c>
      <x:c r="R435" s="9" t="n">
        <x:f>MOD(Q435*16807,2147483647)</x:f>
        <x:v>447325377</x:v>
      </x:c>
      <x:c r="S435" s="17" t="n">
        <x:f>IF('Control Room'!$B$5="Normal",'Control Room'!$B$7+'Control Room'!$D$7*SQRT(-2*LN(MAX(0.000000000001,Q435/2147483647)))*COS(2*PI()*R435/2147483647),'Control Room'!$B$8+('Control Room'!$D$8-'Control Room'!$B$8)*Q435/2147483647)</x:f>
        <x:v>1019.6547098830397</x:v>
      </x:c>
      <x:c r="T435" s="17" t="n">
        <x:f>IF('Control Room'!$B$5="Normal",'Control Room'!$B$7,('Control Room'!$B$8+'Control Room'!$D$8)/2)+'Control Room'!$B$9*(T434-IF('Control Room'!$B$5="Normal",'Control Room'!$B$7,('Control Room'!$B$8+'Control Room'!$D$8)/2))+SQRT(1-'Control Room'!$B$9^2)*(S435-IF('Control Room'!$B$5="Normal",'Control Room'!$B$7,('Control Room'!$B$8+'Control Room'!$D$8)/2))</x:f>
        <x:v>938.2809580431472</x:v>
      </x:c>
      <x:c r="U435" s="17" t="n">
        <x:f>IF(AND($A435&gt;='Control Room'!$A$13,$A435&lt;'Control Room'!$A$13+'Control Room'!$B$13,'Process'!BN2=1),1+('Control Room'!$C$13-1)*EXP(-0.5*(($A435-'Control Room'!$A$13-('Control Room'!$B$13-1)/2)/MAX(0.5,'Control Room'!$B$13/4))^2),1)*IF(AND($A435&gt;='Control Room'!$A$14,$A435&lt;'Control Room'!$A$14+'Control Room'!$B$14,'Process'!BN3=1),1+('Control Room'!$C$14-1)*EXP(-0.5*(($A435-'Control Room'!$A$14-('Control Room'!$B$14-1)/2)/MAX(0.5,'Control Room'!$B$14/4))^2),1)*IF(AND($A435&gt;='Control Room'!$A$15,$A435&lt;'Control Room'!$A$15+'Control Room'!$B$15,'Process'!BN4=1),1+('Control Room'!$C$15-1)*EXP(-0.5*(($A435-'Control Room'!$A$15-('Control Room'!$B$15-1)/2)/MAX(0.5,'Control Room'!$B$15/4))^2),1)*IF(AND($A435&gt;='Control Room'!$A$16,$A435&lt;'Control Room'!$A$16+'Control Room'!$B$16,'Process'!BN5=1),1+('Control Room'!$C$16-1)*EXP(-0.5*(($A435-'Control Room'!$A$16-('Control Room'!$B$16-1)/2)/MAX(0.5,'Control Room'!$B$16/4))^2),1)</x:f>
        <x:v>1</x:v>
      </x:c>
      <x:c r="V435" s="9" t="n">
        <x:f>MOD(W434*16807,2147483647)</x:f>
        <x:v>354471457</x:v>
      </x:c>
      <x:c r="W435" s="9" t="n">
        <x:f>MOD(V435*16807,2147483647)</x:f>
        <x:v>482141021</x:v>
      </x:c>
      <x:c r="X435" s="17" t="n">
        <x:f>IF('Control Room'!$B$5="Normal",'Control Room'!$B$7+'Control Room'!$D$7*SQRT(-2*LN(MAX(0.000000000001,V435/2147483647)))*COS(2*PI()*W435/2147483647),'Control Room'!$B$8+('Control Room'!$D$8-'Control Room'!$B$8)*V435/2147483647)</x:f>
        <x:v>1027.2384557482135</x:v>
      </x:c>
      <x:c r="Y435" s="17" t="n">
        <x:f>IF('Control Room'!$B$5="Normal",'Control Room'!$B$7,('Control Room'!$B$8+'Control Room'!$D$8)/2)+'Control Room'!$B$9*(Y434-IF('Control Room'!$B$5="Normal",'Control Room'!$B$7,('Control Room'!$B$8+'Control Room'!$D$8)/2))+SQRT(1-'Control Room'!$B$9^2)*(X435-IF('Control Room'!$B$5="Normal",'Control Room'!$B$7,('Control Room'!$B$8+'Control Room'!$D$8)/2))</x:f>
        <x:v>1016.6596888214851</x:v>
      </x:c>
      <x:c r="Z435" s="17" t="n">
        <x:f>IF(AND($A435&gt;='Control Room'!$A$13,$A435&lt;'Control Room'!$A$13+'Control Room'!$B$13,'Process'!BO2=1),1+('Control Room'!$C$13-1)*EXP(-0.5*(($A435-'Control Room'!$A$13-('Control Room'!$B$13-1)/2)/MAX(0.5,'Control Room'!$B$13/4))^2),1)*IF(AND($A435&gt;='Control Room'!$A$14,$A435&lt;'Control Room'!$A$14+'Control Room'!$B$14,'Process'!BO3=1),1+('Control Room'!$C$14-1)*EXP(-0.5*(($A435-'Control Room'!$A$14-('Control Room'!$B$14-1)/2)/MAX(0.5,'Control Room'!$B$14/4))^2),1)*IF(AND($A435&gt;='Control Room'!$A$15,$A435&lt;'Control Room'!$A$15+'Control Room'!$B$15,'Process'!BO4=1),1+('Control Room'!$C$15-1)*EXP(-0.5*(($A435-'Control Room'!$A$15-('Control Room'!$B$15-1)/2)/MAX(0.5,'Control Room'!$B$15/4))^2),1)*IF(AND($A435&gt;='Control Room'!$A$16,$A435&lt;'Control Room'!$A$16+'Control Room'!$B$16,'Process'!BO5=1),1+('Control Room'!$C$16-1)*EXP(-0.5*(($A435-'Control Room'!$A$16-('Control Room'!$B$16-1)/2)/MAX(0.5,'Control Room'!$B$16/4))^2),1)</x:f>
        <x:v>1</x:v>
      </x:c>
      <x:c r="AA435" s="9" t="n">
        <x:f>MOD(AB434*16807,2147483647)</x:f>
        <x:v>1351359791</x:v>
      </x:c>
      <x:c r="AB435" s="9" t="n">
        <x:f>MOD(AA435*16807,2147483647)</x:f>
        <x:v>516956665</x:v>
      </x:c>
      <x:c r="AC435" s="17" t="n">
        <x:f>IF('Control Room'!$B$5="Normal",'Control Room'!$B$7+'Control Room'!$D$7*SQRT(-2*LN(MAX(0.000000000001,AA435/2147483647)))*COS(2*PI()*AB435/2147483647),'Control Room'!$B$8+('Control Room'!$D$8-'Control Room'!$B$8)*AA435/2147483647)</x:f>
        <x:v>1005.0443251868631</x:v>
      </x:c>
      <x:c r="AD435" s="17" t="n">
        <x:f>IF('Control Room'!$B$5="Normal",'Control Room'!$B$7,('Control Room'!$B$8+'Control Room'!$D$8)/2)+'Control Room'!$B$9*(AD434-IF('Control Room'!$B$5="Normal",'Control Room'!$B$7,('Control Room'!$B$8+'Control Room'!$D$8)/2))+SQRT(1-'Control Room'!$B$9^2)*(AC435-IF('Control Room'!$B$5="Normal",'Control Room'!$B$7,('Control Room'!$B$8+'Control Room'!$D$8)/2))</x:f>
        <x:v>958.2635546499248</x:v>
      </x:c>
      <x:c r="AE435" s="17" t="n">
        <x:f>IF(AND($A435&gt;='Control Room'!$A$13,$A435&lt;'Control Room'!$A$13+'Control Room'!$B$13,'Process'!BP2=1),1+('Control Room'!$C$13-1)*EXP(-0.5*(($A435-'Control Room'!$A$13-('Control Room'!$B$13-1)/2)/MAX(0.5,'Control Room'!$B$13/4))^2),1)*IF(AND($A435&gt;='Control Room'!$A$14,$A435&lt;'Control Room'!$A$14+'Control Room'!$B$14,'Process'!BP3=1),1+('Control Room'!$C$14-1)*EXP(-0.5*(($A435-'Control Room'!$A$14-('Control Room'!$B$14-1)/2)/MAX(0.5,'Control Room'!$B$14/4))^2),1)*IF(AND($A435&gt;='Control Room'!$A$15,$A435&lt;'Control Room'!$A$15+'Control Room'!$B$15,'Process'!BP4=1),1+('Control Room'!$C$15-1)*EXP(-0.5*(($A435-'Control Room'!$A$15-('Control Room'!$B$15-1)/2)/MAX(0.5,'Control Room'!$B$15/4))^2),1)*IF(AND($A435&gt;='Control Room'!$A$16,$A435&lt;'Control Room'!$A$16+'Control Room'!$B$16,'Process'!BP5=1),1+('Control Room'!$C$16-1)*EXP(-0.5*(($A435-'Control Room'!$A$16-('Control Room'!$B$16-1)/2)/MAX(0.5,'Control Room'!$B$16/4))^2),1)</x:f>
        <x:v>1</x:v>
      </x:c>
      <x:c r="AF435" s="9" t="n">
        <x:f>MOD(AG434*16807,2147483647)</x:f>
        <x:v>200764478</x:v>
      </x:c>
      <x:c r="AG435" s="9" t="n">
        <x:f>MOD(AF435*16807,2147483647)</x:f>
        <x:v>551772309</x:v>
      </x:c>
      <x:c r="AH435" s="17" t="n">
        <x:f>IF('Control Room'!$B$5="Normal",'Control Room'!$B$7+'Control Room'!$D$7*SQRT(-2*LN(MAX(0.000000000001,AF435/2147483647)))*COS(2*PI()*AG435/2147483647),'Control Room'!$B$8+('Control Room'!$D$8-'Control Room'!$B$8)*AF435/2147483647)</x:f>
        <x:v>991.4598852227089</x:v>
      </x:c>
      <x:c r="AI435" s="17" t="n">
        <x:f>IF('Control Room'!$B$5="Normal",'Control Room'!$B$7,('Control Room'!$B$8+'Control Room'!$D$8)/2)+'Control Room'!$B$9*(AI434-IF('Control Room'!$B$5="Normal",'Control Room'!$B$7,('Control Room'!$B$8+'Control Room'!$D$8)/2))+SQRT(1-'Control Room'!$B$9^2)*(AH435-IF('Control Room'!$B$5="Normal",'Control Room'!$B$7,('Control Room'!$B$8+'Control Room'!$D$8)/2))</x:f>
        <x:v>956.0215897132924</x:v>
      </x:c>
      <x:c r="AJ435" s="17" t="n">
        <x:f>IF(AND($A435&gt;='Control Room'!$A$13,$A435&lt;'Control Room'!$A$13+'Control Room'!$B$13,'Process'!BQ2=1),1+('Control Room'!$C$13-1)*EXP(-0.5*(($A435-'Control Room'!$A$13-('Control Room'!$B$13-1)/2)/MAX(0.5,'Control Room'!$B$13/4))^2),1)*IF(AND($A435&gt;='Control Room'!$A$14,$A435&lt;'Control Room'!$A$14+'Control Room'!$B$14,'Process'!BQ3=1),1+('Control Room'!$C$14-1)*EXP(-0.5*(($A435-'Control Room'!$A$14-('Control Room'!$B$14-1)/2)/MAX(0.5,'Control Room'!$B$14/4))^2),1)*IF(AND($A435&gt;='Control Room'!$A$15,$A435&lt;'Control Room'!$A$15+'Control Room'!$B$15,'Process'!BQ4=1),1+('Control Room'!$C$15-1)*EXP(-0.5*(($A435-'Control Room'!$A$15-('Control Room'!$B$15-1)/2)/MAX(0.5,'Control Room'!$B$15/4))^2),1)*IF(AND($A435&gt;='Control Room'!$A$16,$A435&lt;'Control Room'!$A$16+'Control Room'!$B$16,'Process'!BQ5=1),1+('Control Room'!$C$16-1)*EXP(-0.5*(($A435-'Control Room'!$A$16-('Control Room'!$B$16-1)/2)/MAX(0.5,'Control Room'!$B$16/4))^2),1)</x:f>
        <x:v>1</x:v>
      </x:c>
      <x:c r="AK435" s="9" t="n">
        <x:f>MOD(AL434*16807,2147483647)</x:f>
        <x:v>1197652812</x:v>
      </x:c>
      <x:c r="AL435" s="9" t="n">
        <x:f>MOD(AK435*16807,2147483647)</x:f>
        <x:v>586587953</x:v>
      </x:c>
      <x:c r="AM435" s="17" t="n">
        <x:f>IF('Control Room'!$B$5="Normal",'Control Room'!$B$7+'Control Room'!$D$7*SQRT(-2*LN(MAX(0.000000000001,AK435/2147483647)))*COS(2*PI()*AL435/2147483647),'Control Room'!$B$8+('Control Room'!$D$8-'Control Room'!$B$8)*AK435/2147483647)</x:f>
        <x:v>985.901865165876</x:v>
      </x:c>
      <x:c r="AN435" s="17" t="n">
        <x:f>IF('Control Room'!$B$5="Normal",'Control Room'!$B$7,('Control Room'!$B$8+'Control Room'!$D$8)/2)+'Control Room'!$B$9*(AN434-IF('Control Room'!$B$5="Normal",'Control Room'!$B$7,('Control Room'!$B$8+'Control Room'!$D$8)/2))+SQRT(1-'Control Room'!$B$9^2)*(AM435-IF('Control Room'!$B$5="Normal",'Control Room'!$B$7,('Control Room'!$B$8+'Control Room'!$D$8)/2))</x:f>
        <x:v>926.4732783639154</x:v>
      </x:c>
      <x:c r="AO435" s="17" t="n">
        <x:f>IF(AND($A435&gt;='Control Room'!$A$13,$A435&lt;'Control Room'!$A$13+'Control Room'!$B$13,'Process'!BR2=1),1+('Control Room'!$C$13-1)*EXP(-0.5*(($A435-'Control Room'!$A$13-('Control Room'!$B$13-1)/2)/MAX(0.5,'Control Room'!$B$13/4))^2),1)*IF(AND($A435&gt;='Control Room'!$A$14,$A435&lt;'Control Room'!$A$14+'Control Room'!$B$14,'Process'!BR3=1),1+('Control Room'!$C$14-1)*EXP(-0.5*(($A435-'Control Room'!$A$14-('Control Room'!$B$14-1)/2)/MAX(0.5,'Control Room'!$B$14/4))^2),1)*IF(AND($A435&gt;='Control Room'!$A$15,$A435&lt;'Control Room'!$A$15+'Control Room'!$B$15,'Process'!BR4=1),1+('Control Room'!$C$15-1)*EXP(-0.5*(($A435-'Control Room'!$A$15-('Control Room'!$B$15-1)/2)/MAX(0.5,'Control Room'!$B$15/4))^2),1)*IF(AND($A435&gt;='Control Room'!$A$16,$A435&lt;'Control Room'!$A$16+'Control Room'!$B$16,'Process'!BR5=1),1+('Control Room'!$C$16-1)*EXP(-0.5*(($A435-'Control Room'!$A$16-('Control Room'!$B$16-1)/2)/MAX(0.5,'Control Room'!$B$16/4))^2),1)</x:f>
        <x:v>1</x:v>
      </x:c>
      <x:c r="AP435" s="9" t="n">
        <x:f>MOD(AQ434*16807,2147483647)</x:f>
        <x:v>47057499</x:v>
      </x:c>
      <x:c r="AQ435" s="9" t="n">
        <x:f>MOD(AP435*16807,2147483647)</x:f>
        <x:v>621403597</x:v>
      </x:c>
      <x:c r="AR435" s="17" t="n">
        <x:f>IF('Control Room'!$B$5="Normal",'Control Room'!$B$7+'Control Room'!$D$7*SQRT(-2*LN(MAX(0.000000000001,AP435/2147483647)))*COS(2*PI()*AQ435/2147483647),'Control Room'!$B$8+('Control Room'!$D$8-'Control Room'!$B$8)*AP435/2147483647)</x:f>
        <x:v>939.0931970599926</x:v>
      </x:c>
      <x:c r="AS435" s="17" t="n">
        <x:f>IF('Control Room'!$B$5="Normal",'Control Room'!$B$7,('Control Room'!$B$8+'Control Room'!$D$8)/2)+'Control Room'!$B$9*(AS434-IF('Control Room'!$B$5="Normal",'Control Room'!$B$7,('Control Room'!$B$8+'Control Room'!$D$8)/2))+SQRT(1-'Control Room'!$B$9^2)*(AR435-IF('Control Room'!$B$5="Normal",'Control Room'!$B$7,('Control Room'!$B$8+'Control Room'!$D$8)/2))</x:f>
        <x:v>970.2445086594537</x:v>
      </x:c>
      <x:c r="AT435" s="17" t="n">
        <x:f>IF(AND($A435&gt;='Control Room'!$A$13,$A435&lt;'Control Room'!$A$13+'Control Room'!$B$13,'Process'!BS2=1),1+('Control Room'!$C$13-1)*EXP(-0.5*(($A435-'Control Room'!$A$13-('Control Room'!$B$13-1)/2)/MAX(0.5,'Control Room'!$B$13/4))^2),1)*IF(AND($A435&gt;='Control Room'!$A$14,$A435&lt;'Control Room'!$A$14+'Control Room'!$B$14,'Process'!BS3=1),1+('Control Room'!$C$14-1)*EXP(-0.5*(($A435-'Control Room'!$A$14-('Control Room'!$B$14-1)/2)/MAX(0.5,'Control Room'!$B$14/4))^2),1)*IF(AND($A435&gt;='Control Room'!$A$15,$A435&lt;'Control Room'!$A$15+'Control Room'!$B$15,'Process'!BS4=1),1+('Control Room'!$C$15-1)*EXP(-0.5*(($A435-'Control Room'!$A$15-('Control Room'!$B$15-1)/2)/MAX(0.5,'Control Room'!$B$15/4))^2),1)*IF(AND($A435&gt;='Control Room'!$A$16,$A435&lt;'Control Room'!$A$16+'Control Room'!$B$16,'Process'!BS5=1),1+('Control Room'!$C$16-1)*EXP(-0.5*(($A435-'Control Room'!$A$16-('Control Room'!$B$16-1)/2)/MAX(0.5,'Control Room'!$B$16/4))^2),1)</x:f>
        <x:v>1</x:v>
      </x:c>
      <x:c r="AU435" s="9" t="n">
        <x:f>MOD(AV434*16807,2147483647)</x:f>
        <x:v>1043945833</x:v>
      </x:c>
      <x:c r="AV435" s="9" t="n">
        <x:f>MOD(AU435*16807,2147483647)</x:f>
        <x:v>656219241</x:v>
      </x:c>
      <x:c r="AW435" s="17" t="n">
        <x:f>IF('Control Room'!$B$5="Normal",'Control Room'!$B$7+'Control Room'!$D$7*SQRT(-2*LN(MAX(0.000000000001,AU435/2147483647)))*COS(2*PI()*AV435/2147483647),'Control Room'!$B$8+('Control Room'!$D$8-'Control Room'!$B$8)*AU435/2147483647)</x:f>
        <x:v>963.0157884897584</x:v>
      </x:c>
      <x:c r="AX435" s="17" t="n">
        <x:f>IF('Control Room'!$B$5="Normal",'Control Room'!$B$7,('Control Room'!$B$8+'Control Room'!$D$8)/2)+'Control Room'!$B$9*(AX434-IF('Control Room'!$B$5="Normal",'Control Room'!$B$7,('Control Room'!$B$8+'Control Room'!$D$8)/2))+SQRT(1-'Control Room'!$B$9^2)*(AW435-IF('Control Room'!$B$5="Normal",'Control Room'!$B$7,('Control Room'!$B$8+'Control Room'!$D$8)/2))</x:f>
        <x:v>927.7372203742924</x:v>
      </x:c>
      <x:c r="AY435" s="17" t="n">
        <x:f>IF(AND($A435&gt;='Control Room'!$A$13,$A435&lt;'Control Room'!$A$13+'Control Room'!$B$13,'Process'!BT2=1),1+('Control Room'!$C$13-1)*EXP(-0.5*(($A435-'Control Room'!$A$13-('Control Room'!$B$13-1)/2)/MAX(0.5,'Control Room'!$B$13/4))^2),1)*IF(AND($A435&gt;='Control Room'!$A$14,$A435&lt;'Control Room'!$A$14+'Control Room'!$B$14,'Process'!BT3=1),1+('Control Room'!$C$14-1)*EXP(-0.5*(($A435-'Control Room'!$A$14-('Control Room'!$B$14-1)/2)/MAX(0.5,'Control Room'!$B$14/4))^2),1)*IF(AND($A435&gt;='Control Room'!$A$15,$A435&lt;'Control Room'!$A$15+'Control Room'!$B$15,'Process'!BT4=1),1+('Control Room'!$C$15-1)*EXP(-0.5*(($A435-'Control Room'!$A$15-('Control Room'!$B$15-1)/2)/MAX(0.5,'Control Room'!$B$15/4))^2),1)*IF(AND($A435&gt;='Control Room'!$A$16,$A435&lt;'Control Room'!$A$16+'Control Room'!$B$16,'Process'!BT5=1),1+('Control Room'!$C$16-1)*EXP(-0.5*(($A435-'Control Room'!$A$16-('Control Room'!$B$16-1)/2)/MAX(0.5,'Control Room'!$B$16/4))^2),1)</x:f>
        <x:v>1</x:v>
      </x:c>
      <x:c r="AZ435" s="9" t="n">
        <x:f>MOD(BA434*16807,2147483647)</x:f>
        <x:v>2040834167</x:v>
      </x:c>
      <x:c r="BA435" s="9" t="n">
        <x:f>MOD(AZ435*16807,2147483647)</x:f>
        <x:v>691034885</x:v>
      </x:c>
      <x:c r="BB435" s="17" t="n">
        <x:f>IF('Control Room'!$B$5="Normal",'Control Room'!$B$7+'Control Room'!$D$7*SQRT(-2*LN(MAX(0.000000000001,AZ435/2147483647)))*COS(2*PI()*BA435/2147483647),'Control Room'!$B$8+('Control Room'!$D$8-'Control Room'!$B$8)*AZ435/2147483647)</x:f>
        <x:v>987.477695903581</x:v>
      </x:c>
      <x:c r="BC435" s="17" t="n">
        <x:f>IF('Control Room'!$B$5="Normal",'Control Room'!$B$7,('Control Room'!$B$8+'Control Room'!$D$8)/2)+'Control Room'!$B$9*(BC434-IF('Control Room'!$B$5="Normal",'Control Room'!$B$7,('Control Room'!$B$8+'Control Room'!$D$8)/2))+SQRT(1-'Control Room'!$B$9^2)*(BB435-IF('Control Room'!$B$5="Normal",'Control Room'!$B$7,('Control Room'!$B$8+'Control Room'!$D$8)/2))</x:f>
        <x:v>971.8726564548728</x:v>
      </x:c>
      <x:c r="BD435" s="17" t="n">
        <x:f>IF(AND($A435&gt;='Control Room'!$A$13,$A435&lt;'Control Room'!$A$13+'Control Room'!$B$13,'Process'!BU2=1),1+('Control Room'!$C$13-1)*EXP(-0.5*(($A435-'Control Room'!$A$13-('Control Room'!$B$13-1)/2)/MAX(0.5,'Control Room'!$B$13/4))^2),1)*IF(AND($A435&gt;='Control Room'!$A$14,$A435&lt;'Control Room'!$A$14+'Control Room'!$B$14,'Process'!BU3=1),1+('Control Room'!$C$14-1)*EXP(-0.5*(($A435-'Control Room'!$A$14-('Control Room'!$B$14-1)/2)/MAX(0.5,'Control Room'!$B$14/4))^2),1)*IF(AND($A435&gt;='Control Room'!$A$15,$A435&lt;'Control Room'!$A$15+'Control Room'!$B$15,'Process'!BU4=1),1+('Control Room'!$C$15-1)*EXP(-0.5*(($A435-'Control Room'!$A$15-('Control Room'!$B$15-1)/2)/MAX(0.5,'Control Room'!$B$15/4))^2),1)*IF(AND($A435&gt;='Control Room'!$A$16,$A435&lt;'Control Room'!$A$16+'Control Room'!$B$16,'Process'!BU5=1),1+('Control Room'!$C$16-1)*EXP(-0.5*(($A435-'Control Room'!$A$16-('Control Room'!$B$16-1)/2)/MAX(0.5,'Control Room'!$B$16/4))^2),1)</x:f>
        <x:v>1</x:v>
      </x:c>
      <x:c r="BE435" s="9" t="n">
        <x:f>MOD(BF434*16807,2147483647)</x:f>
        <x:v>890238854</x:v>
      </x:c>
      <x:c r="BF435" s="9" t="n">
        <x:f>MOD(BE435*16807,2147483647)</x:f>
        <x:v>725850529</x:v>
      </x:c>
      <x:c r="BG435" s="17" t="n">
        <x:f>IF('Control Room'!$B$5="Normal",'Control Room'!$B$7+'Control Room'!$D$7*SQRT(-2*LN(MAX(0.000000000001,BE435/2147483647)))*COS(2*PI()*BF435/2147483647),'Control Room'!$B$8+('Control Room'!$D$8-'Control Room'!$B$8)*BE435/2147483647)</x:f>
        <x:v>937.2745986718068</x:v>
      </x:c>
      <x:c r="BH435" s="17" t="n">
        <x:f>IF('Control Room'!$B$5="Normal",'Control Room'!$B$7,('Control Room'!$B$8+'Control Room'!$D$8)/2)+'Control Room'!$B$9*(BH434-IF('Control Room'!$B$5="Normal",'Control Room'!$B$7,('Control Room'!$B$8+'Control Room'!$D$8)/2))+SQRT(1-'Control Room'!$B$9^2)*(BG435-IF('Control Room'!$B$5="Normal",'Control Room'!$B$7,('Control Room'!$B$8+'Control Room'!$D$8)/2))</x:f>
        <x:v>1046.589282618069</x:v>
      </x:c>
      <x:c r="BI435" s="17" t="n">
        <x:f>IF(AND($A435&gt;='Control Room'!$A$13,$A435&lt;'Control Room'!$A$13+'Control Room'!$B$13,'Process'!BV2=1),1+('Control Room'!$C$13-1)*EXP(-0.5*(($A435-'Control Room'!$A$13-('Control Room'!$B$13-1)/2)/MAX(0.5,'Control Room'!$B$13/4))^2),1)*IF(AND($A435&gt;='Control Room'!$A$14,$A435&lt;'Control Room'!$A$14+'Control Room'!$B$14,'Process'!BV3=1),1+('Control Room'!$C$14-1)*EXP(-0.5*(($A435-'Control Room'!$A$14-('Control Room'!$B$14-1)/2)/MAX(0.5,'Control Room'!$B$14/4))^2),1)*IF(AND($A435&gt;='Control Room'!$A$15,$A435&lt;'Control Room'!$A$15+'Control Room'!$B$15,'Process'!BV4=1),1+('Control Room'!$C$15-1)*EXP(-0.5*(($A435-'Control Room'!$A$15-('Control Room'!$B$15-1)/2)/MAX(0.5,'Control Room'!$B$15/4))^2),1)*IF(AND($A435&gt;='Control Room'!$A$16,$A435&lt;'Control Room'!$A$16+'Control Room'!$B$16,'Process'!BV5=1),1+('Control Room'!$C$16-1)*EXP(-0.5*(($A435-'Control Room'!$A$16-('Control Room'!$B$16-1)/2)/MAX(0.5,'Control Room'!$B$16/4))^2),1)</x:f>
        <x:v>1</x:v>
      </x:c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Z435" t="str">
        <x:f>IF('Data'!A435="","",TEXT('Data'!A435,"mm-dd"))</x:f>
      </x:c>
    </x:row>
    <x:row r="436" ht="21" customHeight="1">
      <x:c r="A436" s="15" t="n">
        <x:f>'Control Room'!$B$1+434</x:f>
        <x:v>73425</x:v>
      </x:c>
      <x:c r="B436" s="9" t="n">
        <x:f>MOD(C435*16807,2147483647)</x:f>
        <x:v>1059400214</x:v>
      </x:c>
      <x:c r="C436" s="9" t="n">
        <x:f>MOD(B436*16807,2147483647)</x:f>
        <x:v>552479421</x:v>
      </x:c>
      <x:c r="D436" s="17" t="n">
        <x:f>IF('Control Room'!$B$5="Normal",'Control Room'!$B$7+'Control Room'!$D$7*SQRT(-2*LN(MAX(0.000000000001,B436/2147483647)))*COS(2*PI()*C436/2147483647),'Control Room'!$B$8+('Control Room'!$D$8-'Control Room'!$B$8)*B436/2147483647)</x:f>
        <x:v>995.1156936704284</x:v>
      </x:c>
      <x:c r="E436" s="17" t="n">
        <x:f>IF('Control Room'!$B$5="Normal",'Control Room'!$B$7,('Control Room'!$B$8+'Control Room'!$D$8)/2)+'Control Room'!$B$9*(E435-IF('Control Room'!$B$5="Normal",'Control Room'!$B$7,('Control Room'!$B$8+'Control Room'!$D$8)/2))+SQRT(1-'Control Room'!$B$9^2)*(D436-IF('Control Room'!$B$5="Normal",'Control Room'!$B$7,('Control Room'!$B$8+'Control Room'!$D$8)/2))</x:f>
        <x:v>1145.9716334545078</x:v>
      </x:c>
      <x:c r="F436" s="17" t="n">
        <x:f>IF(AND($A436&gt;='Control Room'!$A$13,$A436&lt;'Control Room'!$A$13+'Control Room'!$B$13,'Process'!BK2=1),1+('Control Room'!$C$13-1)*EXP(-0.5*(($A436-'Control Room'!$A$13-('Control Room'!$B$13-1)/2)/MAX(0.5,'Control Room'!$B$13/4))^2),1)*IF(AND($A436&gt;='Control Room'!$A$14,$A436&lt;'Control Room'!$A$14+'Control Room'!$B$14,'Process'!BK3=1),1+('Control Room'!$C$14-1)*EXP(-0.5*(($A436-'Control Room'!$A$14-('Control Room'!$B$14-1)/2)/MAX(0.5,'Control Room'!$B$14/4))^2),1)*IF(AND($A436&gt;='Control Room'!$A$15,$A436&lt;'Control Room'!$A$15+'Control Room'!$B$15,'Process'!BK4=1),1+('Control Room'!$C$15-1)*EXP(-0.5*(($A436-'Control Room'!$A$15-('Control Room'!$B$15-1)/2)/MAX(0.5,'Control Room'!$B$15/4))^2),1)*IF(AND($A436&gt;='Control Room'!$A$16,$A436&lt;'Control Room'!$A$16+'Control Room'!$B$16,'Process'!BK5=1),1+('Control Room'!$C$16-1)*EXP(-0.5*(($A436-'Control Room'!$A$16-('Control Room'!$B$16-1)/2)/MAX(0.5,'Control Room'!$B$16/4))^2),1)</x:f>
        <x:v>1</x:v>
      </x:c>
      <x:c r="G436" s="9" t="n">
        <x:f>MOD(H435*16807,2147483647)</x:f>
        <x:v>2090376938</x:v>
      </x:c>
      <x:c r="H436" s="9" t="n">
        <x:f>MOD(G436*16807,2147483647)</x:f>
        <x:v>132732046</x:v>
      </x:c>
      <x:c r="I436" s="17" t="n">
        <x:f>IF('Control Room'!$B$5="Normal",'Control Room'!$B$7+'Control Room'!$D$7*SQRT(-2*LN(MAX(0.000000000001,G436/2147483647)))*COS(2*PI()*H436/2147483647),'Control Room'!$B$8+('Control Room'!$D$8-'Control Room'!$B$8)*G436/2147483647)</x:f>
        <x:v>1019.339640108539</x:v>
      </x:c>
      <x:c r="J436" s="17" t="n">
        <x:f>IF('Control Room'!$B$5="Normal",'Control Room'!$B$7,('Control Room'!$B$8+'Control Room'!$D$8)/2)+'Control Room'!$B$9*(J435-IF('Control Room'!$B$5="Normal",'Control Room'!$B$7,('Control Room'!$B$8+'Control Room'!$D$8)/2))+SQRT(1-'Control Room'!$B$9^2)*(I436-IF('Control Room'!$B$5="Normal",'Control Room'!$B$7,('Control Room'!$B$8+'Control Room'!$D$8)/2))</x:f>
        <x:v>1038.8816168386154</x:v>
      </x:c>
      <x:c r="K436" s="17" t="n">
        <x:f>IF(AND($A436&gt;='Control Room'!$A$13,$A436&lt;'Control Room'!$A$13+'Control Room'!$B$13,'Process'!BL2=1),1+('Control Room'!$C$13-1)*EXP(-0.5*(($A436-'Control Room'!$A$13-('Control Room'!$B$13-1)/2)/MAX(0.5,'Control Room'!$B$13/4))^2),1)*IF(AND($A436&gt;='Control Room'!$A$14,$A436&lt;'Control Room'!$A$14+'Control Room'!$B$14,'Process'!BL3=1),1+('Control Room'!$C$14-1)*EXP(-0.5*(($A436-'Control Room'!$A$14-('Control Room'!$B$14-1)/2)/MAX(0.5,'Control Room'!$B$14/4))^2),1)*IF(AND($A436&gt;='Control Room'!$A$15,$A436&lt;'Control Room'!$A$15+'Control Room'!$B$15,'Process'!BL4=1),1+('Control Room'!$C$15-1)*EXP(-0.5*(($A436-'Control Room'!$A$15-('Control Room'!$B$15-1)/2)/MAX(0.5,'Control Room'!$B$15/4))^2),1)*IF(AND($A436&gt;='Control Room'!$A$16,$A436&lt;'Control Room'!$A$16+'Control Room'!$B$16,'Process'!BL5=1),1+('Control Room'!$C$16-1)*EXP(-0.5*(($A436-'Control Room'!$A$16-('Control Room'!$B$16-1)/2)/MAX(0.5,'Control Room'!$B$16/4))^2),1)</x:f>
        <x:v>1</x:v>
      </x:c>
      <x:c r="L436" s="9" t="n">
        <x:f>MOD(M435*16807,2147483647)</x:f>
        <x:v>973870015</x:v>
      </x:c>
      <x:c r="M436" s="9" t="n">
        <x:f>MOD(L436*16807,2147483647)</x:f>
        <x:v>1860468318</x:v>
      </x:c>
      <x:c r="N436" s="17" t="n">
        <x:f>IF('Control Room'!$B$5="Normal",'Control Room'!$B$7+'Control Room'!$D$7*SQRT(-2*LN(MAX(0.000000000001,L436/2147483647)))*COS(2*PI()*M436/2147483647),'Control Room'!$B$8+('Control Room'!$D$8-'Control Room'!$B$8)*L436/2147483647)</x:f>
        <x:v>1075.5661287432376</x:v>
      </x:c>
      <x:c r="O436" s="17" t="n">
        <x:f>IF('Control Room'!$B$5="Normal",'Control Room'!$B$7,('Control Room'!$B$8+'Control Room'!$D$8)/2)+'Control Room'!$B$9*(O435-IF('Control Room'!$B$5="Normal",'Control Room'!$B$7,('Control Room'!$B$8+'Control Room'!$D$8)/2))+SQRT(1-'Control Room'!$B$9^2)*(N436-IF('Control Room'!$B$5="Normal",'Control Room'!$B$7,('Control Room'!$B$8+'Control Room'!$D$8)/2))</x:f>
        <x:v>1085.3851118555888</x:v>
      </x:c>
      <x:c r="P436" s="17" t="n">
        <x:f>IF(AND($A436&gt;='Control Room'!$A$13,$A436&lt;'Control Room'!$A$13+'Control Room'!$B$13,'Process'!BM2=1),1+('Control Room'!$C$13-1)*EXP(-0.5*(($A436-'Control Room'!$A$13-('Control Room'!$B$13-1)/2)/MAX(0.5,'Control Room'!$B$13/4))^2),1)*IF(AND($A436&gt;='Control Room'!$A$14,$A436&lt;'Control Room'!$A$14+'Control Room'!$B$14,'Process'!BM3=1),1+('Control Room'!$C$14-1)*EXP(-0.5*(($A436-'Control Room'!$A$14-('Control Room'!$B$14-1)/2)/MAX(0.5,'Control Room'!$B$14/4))^2),1)*IF(AND($A436&gt;='Control Room'!$A$15,$A436&lt;'Control Room'!$A$15+'Control Room'!$B$15,'Process'!BM4=1),1+('Control Room'!$C$15-1)*EXP(-0.5*(($A436-'Control Room'!$A$15-('Control Room'!$B$15-1)/2)/MAX(0.5,'Control Room'!$B$15/4))^2),1)*IF(AND($A436&gt;='Control Room'!$A$16,$A436&lt;'Control Room'!$A$16+'Control Room'!$B$16,'Process'!BM5=1),1+('Control Room'!$C$16-1)*EXP(-0.5*(($A436-'Control Room'!$A$16-('Control Room'!$B$16-1)/2)/MAX(0.5,'Control Room'!$B$16/4))^2),1)</x:f>
        <x:v>1</x:v>
      </x:c>
      <x:c r="Q436" s="9" t="n">
        <x:f>MOD(R435*16807,2147483647)</x:f>
        <x:v>2004846739</x:v>
      </x:c>
      <x:c r="R436" s="9" t="n">
        <x:f>MOD(Q436*16807,2147483647)</x:f>
        <x:v>1440720943</x:v>
      </x:c>
      <x:c r="S436" s="17" t="n">
        <x:f>IF('Control Room'!$B$5="Normal",'Control Room'!$B$7+'Control Room'!$D$7*SQRT(-2*LN(MAX(0.000000000001,Q436/2147483647)))*COS(2*PI()*R436/2147483647),'Control Room'!$B$8+('Control Room'!$D$8-'Control Room'!$B$8)*Q436/2147483647)</x:f>
        <x:v>984.0883150921675</x:v>
      </x:c>
      <x:c r="T436" s="17" t="n">
        <x:f>IF('Control Room'!$B$5="Normal",'Control Room'!$B$7,('Control Room'!$B$8+'Control Room'!$D$8)/2)+'Control Room'!$B$9*(T435-IF('Control Room'!$B$5="Normal",'Control Room'!$B$7,('Control Room'!$B$8+'Control Room'!$D$8)/2))+SQRT(1-'Control Room'!$B$9^2)*(S436-IF('Control Room'!$B$5="Normal",'Control Room'!$B$7,('Control Room'!$B$8+'Control Room'!$D$8)/2))</x:f>
        <x:v>941.9019408269165</x:v>
      </x:c>
      <x:c r="U436" s="17" t="n">
        <x:f>IF(AND($A436&gt;='Control Room'!$A$13,$A436&lt;'Control Room'!$A$13+'Control Room'!$B$13,'Process'!BN2=1),1+('Control Room'!$C$13-1)*EXP(-0.5*(($A436-'Control Room'!$A$13-('Control Room'!$B$13-1)/2)/MAX(0.5,'Control Room'!$B$13/4))^2),1)*IF(AND($A436&gt;='Control Room'!$A$14,$A436&lt;'Control Room'!$A$14+'Control Room'!$B$14,'Process'!BN3=1),1+('Control Room'!$C$14-1)*EXP(-0.5*(($A436-'Control Room'!$A$14-('Control Room'!$B$14-1)/2)/MAX(0.5,'Control Room'!$B$14/4))^2),1)*IF(AND($A436&gt;='Control Room'!$A$15,$A436&lt;'Control Room'!$A$15+'Control Room'!$B$15,'Process'!BN4=1),1+('Control Room'!$C$15-1)*EXP(-0.5*(($A436-'Control Room'!$A$15-('Control Room'!$B$15-1)/2)/MAX(0.5,'Control Room'!$B$15/4))^2),1)*IF(AND($A436&gt;='Control Room'!$A$16,$A436&lt;'Control Room'!$A$16+'Control Room'!$B$16,'Process'!BN5=1),1+('Control Room'!$C$16-1)*EXP(-0.5*(($A436-'Control Room'!$A$16-('Control Room'!$B$16-1)/2)/MAX(0.5,'Control Room'!$B$16/4))^2),1)</x:f>
        <x:v>1</x:v>
      </x:c>
      <x:c r="V436" s="9" t="n">
        <x:f>MOD(W435*16807,2147483647)</x:f>
        <x:v>888339816</x:v>
      </x:c>
      <x:c r="W436" s="9" t="n">
        <x:f>MOD(V436*16807,2147483647)</x:f>
        <x:v>1020973568</x:v>
      </x:c>
      <x:c r="X436" s="17" t="n">
        <x:f>IF('Control Room'!$B$5="Normal",'Control Room'!$B$7+'Control Room'!$D$7*SQRT(-2*LN(MAX(0.000000000001,V436/2147483647)))*COS(2*PI()*W436/2147483647),'Control Room'!$B$8+('Control Room'!$D$8-'Control Room'!$B$8)*V436/2147483647)</x:f>
        <x:v>881.8410175652103</x:v>
      </x:c>
      <x:c r="Y436" s="17" t="n">
        <x:f>IF('Control Room'!$B$5="Normal",'Control Room'!$B$7,('Control Room'!$B$8+'Control Room'!$D$8)/2)+'Control Room'!$B$9*(Y435-IF('Control Room'!$B$5="Normal",'Control Room'!$B$7,('Control Room'!$B$8+'Control Room'!$D$8)/2))+SQRT(1-'Control Room'!$B$9^2)*(X436-IF('Control Room'!$B$5="Normal",'Control Room'!$B$7,('Control Room'!$B$8+'Control Room'!$D$8)/2))</x:f>
        <x:v>939.0530866913945</x:v>
      </x:c>
      <x:c r="Z436" s="17" t="n">
        <x:f>IF(AND($A436&gt;='Control Room'!$A$13,$A436&lt;'Control Room'!$A$13+'Control Room'!$B$13,'Process'!BO2=1),1+('Control Room'!$C$13-1)*EXP(-0.5*(($A436-'Control Room'!$A$13-('Control Room'!$B$13-1)/2)/MAX(0.5,'Control Room'!$B$13/4))^2),1)*IF(AND($A436&gt;='Control Room'!$A$14,$A436&lt;'Control Room'!$A$14+'Control Room'!$B$14,'Process'!BO3=1),1+('Control Room'!$C$14-1)*EXP(-0.5*(($A436-'Control Room'!$A$14-('Control Room'!$B$14-1)/2)/MAX(0.5,'Control Room'!$B$14/4))^2),1)*IF(AND($A436&gt;='Control Room'!$A$15,$A436&lt;'Control Room'!$A$15+'Control Room'!$B$15,'Process'!BO4=1),1+('Control Room'!$C$15-1)*EXP(-0.5*(($A436-'Control Room'!$A$15-('Control Room'!$B$15-1)/2)/MAX(0.5,'Control Room'!$B$15/4))^2),1)*IF(AND($A436&gt;='Control Room'!$A$16,$A436&lt;'Control Room'!$A$16+'Control Room'!$B$16,'Process'!BO5=1),1+('Control Room'!$C$16-1)*EXP(-0.5*(($A436-'Control Room'!$A$16-('Control Room'!$B$16-1)/2)/MAX(0.5,'Control Room'!$B$16/4))^2),1)</x:f>
        <x:v>1</x:v>
      </x:c>
      <x:c r="AA436" s="9" t="n">
        <x:f>MOD(AB435*16807,2147483647)</x:f>
        <x:v>1919316540</x:v>
      </x:c>
      <x:c r="AB436" s="9" t="n">
        <x:f>MOD(AA436*16807,2147483647)</x:f>
        <x:v>601226193</x:v>
      </x:c>
      <x:c r="AC436" s="17" t="n">
        <x:f>IF('Control Room'!$B$5="Normal",'Control Room'!$B$7+'Control Room'!$D$7*SQRT(-2*LN(MAX(0.000000000001,AA436/2147483647)))*COS(2*PI()*AB436/2147483647),'Control Room'!$B$8+('Control Room'!$D$8-'Control Room'!$B$8)*AA436/2147483647)</x:f>
        <x:v>992.0151704454959</x:v>
      </x:c>
      <x:c r="AD436" s="17" t="n">
        <x:f>IF('Control Room'!$B$5="Normal",'Control Room'!$B$7,('Control Room'!$B$8+'Control Room'!$D$8)/2)+'Control Room'!$B$9*(AD435-IF('Control Room'!$B$5="Normal",'Control Room'!$B$7,('Control Room'!$B$8+'Control Room'!$D$8)/2))+SQRT(1-'Control Room'!$B$9^2)*(AC436-IF('Control Room'!$B$5="Normal",'Control Room'!$B$7,('Control Room'!$B$8+'Control Room'!$D$8)/2))</x:f>
        <x:v>962.4488298698574</x:v>
      </x:c>
      <x:c r="AE436" s="17" t="n">
        <x:f>IF(AND($A436&gt;='Control Room'!$A$13,$A436&lt;'Control Room'!$A$13+'Control Room'!$B$13,'Process'!BP2=1),1+('Control Room'!$C$13-1)*EXP(-0.5*(($A436-'Control Room'!$A$13-('Control Room'!$B$13-1)/2)/MAX(0.5,'Control Room'!$B$13/4))^2),1)*IF(AND($A436&gt;='Control Room'!$A$14,$A436&lt;'Control Room'!$A$14+'Control Room'!$B$14,'Process'!BP3=1),1+('Control Room'!$C$14-1)*EXP(-0.5*(($A436-'Control Room'!$A$14-('Control Room'!$B$14-1)/2)/MAX(0.5,'Control Room'!$B$14/4))^2),1)*IF(AND($A436&gt;='Control Room'!$A$15,$A436&lt;'Control Room'!$A$15+'Control Room'!$B$15,'Process'!BP4=1),1+('Control Room'!$C$15-1)*EXP(-0.5*(($A436-'Control Room'!$A$15-('Control Room'!$B$15-1)/2)/MAX(0.5,'Control Room'!$B$15/4))^2),1)*IF(AND($A436&gt;='Control Room'!$A$16,$A436&lt;'Control Room'!$A$16+'Control Room'!$B$16,'Process'!BP5=1),1+('Control Room'!$C$16-1)*EXP(-0.5*(($A436-'Control Room'!$A$16-('Control Room'!$B$16-1)/2)/MAX(0.5,'Control Room'!$B$16/4))^2),1)</x:f>
        <x:v>1</x:v>
      </x:c>
      <x:c r="AF436" s="9" t="n">
        <x:f>MOD(AG435*16807,2147483647)</x:f>
        <x:v>802809617</x:v>
      </x:c>
      <x:c r="AG436" s="9" t="n">
        <x:f>MOD(AF436*16807,2147483647)</x:f>
        <x:v>181478818</x:v>
      </x:c>
      <x:c r="AH436" s="17" t="n">
        <x:f>IF('Control Room'!$B$5="Normal",'Control Room'!$B$7+'Control Room'!$D$7*SQRT(-2*LN(MAX(0.000000000001,AF436/2147483647)))*COS(2*PI()*AG436/2147483647),'Control Room'!$B$8+('Control Room'!$D$8-'Control Room'!$B$8)*AF436/2147483647)</x:f>
        <x:v>1108.8692734049212</x:v>
      </x:c>
      <x:c r="AI436" s="17" t="n">
        <x:f>IF('Control Room'!$B$5="Normal",'Control Room'!$B$7,('Control Room'!$B$8+'Control Room'!$D$8)/2)+'Control Room'!$B$9*(AI435-IF('Control Room'!$B$5="Normal",'Control Room'!$B$7,('Control Room'!$B$8+'Control Room'!$D$8)/2))+SQRT(1-'Control Room'!$B$9^2)*(AH436-IF('Control Room'!$B$5="Normal",'Control Room'!$B$7,('Control Room'!$B$8+'Control Room'!$D$8)/2))</x:f>
        <x:v>1033.825000964874</x:v>
      </x:c>
      <x:c r="AJ436" s="17" t="n">
        <x:f>IF(AND($A436&gt;='Control Room'!$A$13,$A436&lt;'Control Room'!$A$13+'Control Room'!$B$13,'Process'!BQ2=1),1+('Control Room'!$C$13-1)*EXP(-0.5*(($A436-'Control Room'!$A$13-('Control Room'!$B$13-1)/2)/MAX(0.5,'Control Room'!$B$13/4))^2),1)*IF(AND($A436&gt;='Control Room'!$A$14,$A436&lt;'Control Room'!$A$14+'Control Room'!$B$14,'Process'!BQ3=1),1+('Control Room'!$C$14-1)*EXP(-0.5*(($A436-'Control Room'!$A$14-('Control Room'!$B$14-1)/2)/MAX(0.5,'Control Room'!$B$14/4))^2),1)*IF(AND($A436&gt;='Control Room'!$A$15,$A436&lt;'Control Room'!$A$15+'Control Room'!$B$15,'Process'!BQ4=1),1+('Control Room'!$C$15-1)*EXP(-0.5*(($A436-'Control Room'!$A$15-('Control Room'!$B$15-1)/2)/MAX(0.5,'Control Room'!$B$15/4))^2),1)*IF(AND($A436&gt;='Control Room'!$A$16,$A436&lt;'Control Room'!$A$16+'Control Room'!$B$16,'Process'!BQ5=1),1+('Control Room'!$C$16-1)*EXP(-0.5*(($A436-'Control Room'!$A$16-('Control Room'!$B$16-1)/2)/MAX(0.5,'Control Room'!$B$16/4))^2),1)</x:f>
        <x:v>1</x:v>
      </x:c>
      <x:c r="AK436" s="9" t="n">
        <x:f>MOD(AL435*16807,2147483647)</x:f>
        <x:v>1833786341</x:v>
      </x:c>
      <x:c r="AL436" s="9" t="n">
        <x:f>MOD(AK436*16807,2147483647)</x:f>
        <x:v>1909215090</x:v>
      </x:c>
      <x:c r="AM436" s="17" t="n">
        <x:f>IF('Control Room'!$B$5="Normal",'Control Room'!$B$7+'Control Room'!$D$7*SQRT(-2*LN(MAX(0.000000000001,AK436/2147483647)))*COS(2*PI()*AL436/2147483647),'Control Room'!$B$8+('Control Room'!$D$8-'Control Room'!$B$8)*AK436/2147483647)</x:f>
        <x:v>1038.7779258876799</x:v>
      </x:c>
      <x:c r="AN436" s="17" t="n">
        <x:f>IF('Control Room'!$B$5="Normal",'Control Room'!$B$7,('Control Room'!$B$8+'Control Room'!$D$8)/2)+'Control Room'!$B$9*(AN435-IF('Control Room'!$B$5="Normal",'Control Room'!$B$7,('Control Room'!$B$8+'Control Room'!$D$8)/2))+SQRT(1-'Control Room'!$B$9^2)*(AM436-IF('Control Room'!$B$5="Normal",'Control Room'!$B$7,('Control Room'!$B$8+'Control Room'!$D$8)/2))</x:f>
        <x:v>966.9155887353724</x:v>
      </x:c>
      <x:c r="AO436" s="17" t="n">
        <x:f>IF(AND($A436&gt;='Control Room'!$A$13,$A436&lt;'Control Room'!$A$13+'Control Room'!$B$13,'Process'!BR2=1),1+('Control Room'!$C$13-1)*EXP(-0.5*(($A436-'Control Room'!$A$13-('Control Room'!$B$13-1)/2)/MAX(0.5,'Control Room'!$B$13/4))^2),1)*IF(AND($A436&gt;='Control Room'!$A$14,$A436&lt;'Control Room'!$A$14+'Control Room'!$B$14,'Process'!BR3=1),1+('Control Room'!$C$14-1)*EXP(-0.5*(($A436-'Control Room'!$A$14-('Control Room'!$B$14-1)/2)/MAX(0.5,'Control Room'!$B$14/4))^2),1)*IF(AND($A436&gt;='Control Room'!$A$15,$A436&lt;'Control Room'!$A$15+'Control Room'!$B$15,'Process'!BR4=1),1+('Control Room'!$C$15-1)*EXP(-0.5*(($A436-'Control Room'!$A$15-('Control Room'!$B$15-1)/2)/MAX(0.5,'Control Room'!$B$15/4))^2),1)*IF(AND($A436&gt;='Control Room'!$A$16,$A436&lt;'Control Room'!$A$16+'Control Room'!$B$16,'Process'!BR5=1),1+('Control Room'!$C$16-1)*EXP(-0.5*(($A436-'Control Room'!$A$16-('Control Room'!$B$16-1)/2)/MAX(0.5,'Control Room'!$B$16/4))^2),1)</x:f>
        <x:v>1</x:v>
      </x:c>
      <x:c r="AP436" s="9" t="n">
        <x:f>MOD(AQ435*16807,2147483647)</x:f>
        <x:v>717279418</x:v>
      </x:c>
      <x:c r="AQ436" s="9" t="n">
        <x:f>MOD(AP436*16807,2147483647)</x:f>
        <x:v>1489467715</x:v>
      </x:c>
      <x:c r="AR436" s="17" t="n">
        <x:f>IF('Control Room'!$B$5="Normal",'Control Room'!$B$7+'Control Room'!$D$7*SQRT(-2*LN(MAX(0.000000000001,AP436/2147483647)))*COS(2*PI()*AQ436/2147483647),'Control Room'!$B$8+('Control Room'!$D$8-'Control Room'!$B$8)*AP436/2147483647)</x:f>
        <x:v>953.7403466941964</x:v>
      </x:c>
      <x:c r="AS436" s="17" t="n">
        <x:f>IF('Control Room'!$B$5="Normal",'Control Room'!$B$7,('Control Room'!$B$8+'Control Room'!$D$8)/2)+'Control Room'!$B$9*(AS435-IF('Control Room'!$B$5="Normal",'Control Room'!$B$7,('Control Room'!$B$8+'Control Room'!$D$8)/2))+SQRT(1-'Control Room'!$B$9^2)*(AR436-IF('Control Room'!$B$5="Normal",'Control Room'!$B$7,('Control Room'!$B$8+'Control Room'!$D$8)/2))</x:f>
        <x:v>947.842373396111</x:v>
      </x:c>
      <x:c r="AT436" s="17" t="n">
        <x:f>IF(AND($A436&gt;='Control Room'!$A$13,$A436&lt;'Control Room'!$A$13+'Control Room'!$B$13,'Process'!BS2=1),1+('Control Room'!$C$13-1)*EXP(-0.5*(($A436-'Control Room'!$A$13-('Control Room'!$B$13-1)/2)/MAX(0.5,'Control Room'!$B$13/4))^2),1)*IF(AND($A436&gt;='Control Room'!$A$14,$A436&lt;'Control Room'!$A$14+'Control Room'!$B$14,'Process'!BS3=1),1+('Control Room'!$C$14-1)*EXP(-0.5*(($A436-'Control Room'!$A$14-('Control Room'!$B$14-1)/2)/MAX(0.5,'Control Room'!$B$14/4))^2),1)*IF(AND($A436&gt;='Control Room'!$A$15,$A436&lt;'Control Room'!$A$15+'Control Room'!$B$15,'Process'!BS4=1),1+('Control Room'!$C$15-1)*EXP(-0.5*(($A436-'Control Room'!$A$15-('Control Room'!$B$15-1)/2)/MAX(0.5,'Control Room'!$B$15/4))^2),1)*IF(AND($A436&gt;='Control Room'!$A$16,$A436&lt;'Control Room'!$A$16+'Control Room'!$B$16,'Process'!BS5=1),1+('Control Room'!$C$16-1)*EXP(-0.5*(($A436-'Control Room'!$A$16-('Control Room'!$B$16-1)/2)/MAX(0.5,'Control Room'!$B$16/4))^2),1)</x:f>
        <x:v>1</x:v>
      </x:c>
      <x:c r="AU436" s="9" t="n">
        <x:f>MOD(AV435*16807,2147483647)</x:f>
        <x:v>1748256142</x:v>
      </x:c>
      <x:c r="AV436" s="9" t="n">
        <x:f>MOD(AU436*16807,2147483647)</x:f>
        <x:v>1069720340</x:v>
      </x:c>
      <x:c r="AW436" s="17" t="n">
        <x:f>IF('Control Room'!$B$5="Normal",'Control Room'!$B$7+'Control Room'!$D$7*SQRT(-2*LN(MAX(0.000000000001,AU436/2147483647)))*COS(2*PI()*AV436/2147483647),'Control Room'!$B$8+('Control Room'!$D$8-'Control Room'!$B$8)*AU436/2147483647)</x:f>
        <x:v>942.2806646982001</x:v>
      </x:c>
      <x:c r="AX436" s="17" t="n">
        <x:f>IF('Control Room'!$B$5="Normal",'Control Room'!$B$7,('Control Room'!$B$8+'Control Room'!$D$8)/2)+'Control Room'!$B$9*(AX435-IF('Control Room'!$B$5="Normal",'Control Room'!$B$7,('Control Room'!$B$8+'Control Room'!$D$8)/2))+SQRT(1-'Control Room'!$B$9^2)*(AW436-IF('Control Room'!$B$5="Normal",'Control Room'!$B$7,('Control Room'!$B$8+'Control Room'!$D$8)/2))</x:f>
        <x:v>907.515454304937</x:v>
      </x:c>
      <x:c r="AY436" s="17" t="n">
        <x:f>IF(AND($A436&gt;='Control Room'!$A$13,$A436&lt;'Control Room'!$A$13+'Control Room'!$B$13,'Process'!BT2=1),1+('Control Room'!$C$13-1)*EXP(-0.5*(($A436-'Control Room'!$A$13-('Control Room'!$B$13-1)/2)/MAX(0.5,'Control Room'!$B$13/4))^2),1)*IF(AND($A436&gt;='Control Room'!$A$14,$A436&lt;'Control Room'!$A$14+'Control Room'!$B$14,'Process'!BT3=1),1+('Control Room'!$C$14-1)*EXP(-0.5*(($A436-'Control Room'!$A$14-('Control Room'!$B$14-1)/2)/MAX(0.5,'Control Room'!$B$14/4))^2),1)*IF(AND($A436&gt;='Control Room'!$A$15,$A436&lt;'Control Room'!$A$15+'Control Room'!$B$15,'Process'!BT4=1),1+('Control Room'!$C$15-1)*EXP(-0.5*(($A436-'Control Room'!$A$15-('Control Room'!$B$15-1)/2)/MAX(0.5,'Control Room'!$B$15/4))^2),1)*IF(AND($A436&gt;='Control Room'!$A$16,$A436&lt;'Control Room'!$A$16+'Control Room'!$B$16,'Process'!BT5=1),1+('Control Room'!$C$16-1)*EXP(-0.5*(($A436-'Control Room'!$A$16-('Control Room'!$B$16-1)/2)/MAX(0.5,'Control Room'!$B$16/4))^2),1)</x:f>
        <x:v>1</x:v>
      </x:c>
      <x:c r="AZ436" s="9" t="n">
        <x:f>MOD(BA435*16807,2147483647)</x:f>
        <x:v>631749219</x:v>
      </x:c>
      <x:c r="BA436" s="9" t="n">
        <x:f>MOD(AZ436*16807,2147483647)</x:f>
        <x:v>649972965</x:v>
      </x:c>
      <x:c r="BB436" s="17" t="n">
        <x:f>IF('Control Room'!$B$5="Normal",'Control Room'!$B$7+'Control Room'!$D$7*SQRT(-2*LN(MAX(0.000000000001,AZ436/2147483647)))*COS(2*PI()*BA436/2147483647),'Control Room'!$B$8+('Control Room'!$D$8-'Control Room'!$B$8)*AZ436/2147483647)</x:f>
        <x:v>954.2559038610367</x:v>
      </x:c>
      <x:c r="BC436" s="17" t="n">
        <x:f>IF('Control Room'!$B$5="Normal",'Control Room'!$B$7,('Control Room'!$B$8+'Control Room'!$D$8)/2)+'Control Room'!$B$9*(BC435-IF('Control Room'!$B$5="Normal",'Control Room'!$B$7,('Control Room'!$B$8+'Control Room'!$D$8)/2))+SQRT(1-'Control Room'!$B$9^2)*(BB436-IF('Control Room'!$B$5="Normal",'Control Room'!$B$7,('Control Room'!$B$8+'Control Room'!$D$8)/2))</x:f>
        <x:v>949.4349537897839</x:v>
      </x:c>
      <x:c r="BD436" s="17" t="n">
        <x:f>IF(AND($A436&gt;='Control Room'!$A$13,$A436&lt;'Control Room'!$A$13+'Control Room'!$B$13,'Process'!BU2=1),1+('Control Room'!$C$13-1)*EXP(-0.5*(($A436-'Control Room'!$A$13-('Control Room'!$B$13-1)/2)/MAX(0.5,'Control Room'!$B$13/4))^2),1)*IF(AND($A436&gt;='Control Room'!$A$14,$A436&lt;'Control Room'!$A$14+'Control Room'!$B$14,'Process'!BU3=1),1+('Control Room'!$C$14-1)*EXP(-0.5*(($A436-'Control Room'!$A$14-('Control Room'!$B$14-1)/2)/MAX(0.5,'Control Room'!$B$14/4))^2),1)*IF(AND($A436&gt;='Control Room'!$A$15,$A436&lt;'Control Room'!$A$15+'Control Room'!$B$15,'Process'!BU4=1),1+('Control Room'!$C$15-1)*EXP(-0.5*(($A436-'Control Room'!$A$15-('Control Room'!$B$15-1)/2)/MAX(0.5,'Control Room'!$B$15/4))^2),1)*IF(AND($A436&gt;='Control Room'!$A$16,$A436&lt;'Control Room'!$A$16+'Control Room'!$B$16,'Process'!BU5=1),1+('Control Room'!$C$16-1)*EXP(-0.5*(($A436-'Control Room'!$A$16-('Control Room'!$B$16-1)/2)/MAX(0.5,'Control Room'!$B$16/4))^2),1)</x:f>
        <x:v>1</x:v>
      </x:c>
      <x:c r="BE436" s="9" t="n">
        <x:f>MOD(BF435*16807,2147483647)</x:f>
        <x:v>1662725943</x:v>
      </x:c>
      <x:c r="BF436" s="9" t="n">
        <x:f>MOD(BE436*16807,2147483647)</x:f>
        <x:v>230225590</x:v>
      </x:c>
      <x:c r="BG436" s="17" t="n">
        <x:f>IF('Control Room'!$B$5="Normal",'Control Room'!$B$7+'Control Room'!$D$7*SQRT(-2*LN(MAX(0.000000000001,BE436/2147483647)))*COS(2*PI()*BF436/2147483647),'Control Room'!$B$8+('Control Room'!$D$8-'Control Room'!$B$8)*BE436/2147483647)</x:f>
        <x:v>1050.3168618085535</x:v>
      </x:c>
      <x:c r="BH436" s="17" t="n">
        <x:f>IF('Control Room'!$B$5="Normal",'Control Room'!$B$7,('Control Room'!$B$8+'Control Room'!$D$8)/2)+'Control Room'!$B$9*(BH435-IF('Control Room'!$B$5="Normal",'Control Room'!$B$7,('Control Room'!$B$8+'Control Room'!$D$8)/2))+SQRT(1-'Control Room'!$B$9^2)*(BG436-IF('Control Room'!$B$5="Normal",'Control Room'!$B$7,('Control Room'!$B$8+'Control Room'!$D$8)/2))</x:f>
        <x:v>1067.8269017649438</x:v>
      </x:c>
      <x:c r="BI436" s="17" t="n">
        <x:f>IF(AND($A436&gt;='Control Room'!$A$13,$A436&lt;'Control Room'!$A$13+'Control Room'!$B$13,'Process'!BV2=1),1+('Control Room'!$C$13-1)*EXP(-0.5*(($A436-'Control Room'!$A$13-('Control Room'!$B$13-1)/2)/MAX(0.5,'Control Room'!$B$13/4))^2),1)*IF(AND($A436&gt;='Control Room'!$A$14,$A436&lt;'Control Room'!$A$14+'Control Room'!$B$14,'Process'!BV3=1),1+('Control Room'!$C$14-1)*EXP(-0.5*(($A436-'Control Room'!$A$14-('Control Room'!$B$14-1)/2)/MAX(0.5,'Control Room'!$B$14/4))^2),1)*IF(AND($A436&gt;='Control Room'!$A$15,$A436&lt;'Control Room'!$A$15+'Control Room'!$B$15,'Process'!BV4=1),1+('Control Room'!$C$15-1)*EXP(-0.5*(($A436-'Control Room'!$A$15-('Control Room'!$B$15-1)/2)/MAX(0.5,'Control Room'!$B$15/4))^2),1)*IF(AND($A436&gt;='Control Room'!$A$16,$A436&lt;'Control Room'!$A$16+'Control Room'!$B$16,'Process'!BV5=1),1+('Control Room'!$C$16-1)*EXP(-0.5*(($A436-'Control Room'!$A$16-('Control Room'!$B$16-1)/2)/MAX(0.5,'Control Room'!$B$16/4))^2),1)</x:f>
        <x:v>1</x:v>
      </x:c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Z436" t="str">
        <x:f>IF('Data'!A436="","",TEXT('Data'!A436,"mm-dd"))</x:f>
      </x:c>
    </x:row>
    <x:row r="437" ht="21" customHeight="1">
      <x:c r="A437" s="15" t="n">
        <x:f>'Control Room'!$B$1+435</x:f>
        <x:v>73426</x:v>
      </x:c>
      <x:c r="B437" s="9" t="n">
        <x:f>MOD(C436*16807,2147483647)</x:f>
        <x:v>1949822766</x:v>
      </x:c>
      <x:c r="C437" s="9" t="n">
        <x:f>MOD(B437*16807,2147483647)</x:f>
        <x:v>70774942</x:v>
      </x:c>
      <x:c r="D437" s="17" t="n">
        <x:f>IF('Control Room'!$B$5="Normal",'Control Room'!$B$7+'Control Room'!$D$7*SQRT(-2*LN(MAX(0.000000000001,B437/2147483647)))*COS(2*PI()*C437/2147483647),'Control Room'!$B$8+('Control Room'!$D$8-'Control Room'!$B$8)*B437/2147483647)</x:f>
        <x:v>1038.7055806727426</x:v>
      </x:c>
      <x:c r="E437" s="17" t="n">
        <x:f>IF('Control Room'!$B$5="Normal",'Control Room'!$B$7,('Control Room'!$B$8+'Control Room'!$D$8)/2)+'Control Room'!$B$9*(E436-IF('Control Room'!$B$5="Normal",'Control Room'!$B$7,('Control Room'!$B$8+'Control Room'!$D$8)/2))+SQRT(1-'Control Room'!$B$9^2)*(D437-IF('Control Room'!$B$5="Normal",'Control Room'!$B$7,('Control Room'!$B$8+'Control Room'!$D$8)/2))</x:f>
        <x:v>1138.079033552599</x:v>
      </x:c>
      <x:c r="F437" s="17" t="n">
        <x:f>IF(AND($A437&gt;='Control Room'!$A$13,$A437&lt;'Control Room'!$A$13+'Control Room'!$B$13,'Process'!BK2=1),1+('Control Room'!$C$13-1)*EXP(-0.5*(($A437-'Control Room'!$A$13-('Control Room'!$B$13-1)/2)/MAX(0.5,'Control Room'!$B$13/4))^2),1)*IF(AND($A437&gt;='Control Room'!$A$14,$A437&lt;'Control Room'!$A$14+'Control Room'!$B$14,'Process'!BK3=1),1+('Control Room'!$C$14-1)*EXP(-0.5*(($A437-'Control Room'!$A$14-('Control Room'!$B$14-1)/2)/MAX(0.5,'Control Room'!$B$14/4))^2),1)*IF(AND($A437&gt;='Control Room'!$A$15,$A437&lt;'Control Room'!$A$15+'Control Room'!$B$15,'Process'!BK4=1),1+('Control Room'!$C$15-1)*EXP(-0.5*(($A437-'Control Room'!$A$15-('Control Room'!$B$15-1)/2)/MAX(0.5,'Control Room'!$B$15/4))^2),1)*IF(AND($A437&gt;='Control Room'!$A$16,$A437&lt;'Control Room'!$A$16+'Control Room'!$B$16,'Process'!BK5=1),1+('Control Room'!$C$16-1)*EXP(-0.5*(($A437-'Control Room'!$A$16-('Control Room'!$B$16-1)/2)/MAX(0.5,'Control Room'!$B$16/4))^2),1)</x:f>
        <x:v>1</x:v>
      </x:c>
      <x:c r="G437" s="9" t="n">
        <x:f>MOD(H436*16807,2147483647)</x:f>
        <x:v>1739471536</x:v>
      </x:c>
      <x:c r="H437" s="9" t="n">
        <x:f>MOD(G437*16807,2147483647)</x:f>
        <x:v>1603218941</x:v>
      </x:c>
      <x:c r="I437" s="17" t="n">
        <x:f>IF('Control Room'!$B$5="Normal",'Control Room'!$B$7+'Control Room'!$D$7*SQRT(-2*LN(MAX(0.000000000001,G437/2147483647)))*COS(2*PI()*H437/2147483647),'Control Room'!$B$8+('Control Room'!$D$8-'Control Room'!$B$8)*G437/2147483647)</x:f>
        <x:v>998.7361685942465</x:v>
      </x:c>
      <x:c r="J437" s="17" t="n">
        <x:f>IF('Control Room'!$B$5="Normal",'Control Room'!$B$7,('Control Room'!$B$8+'Control Room'!$D$8)/2)+'Control Room'!$B$9*(J436-IF('Control Room'!$B$5="Normal",'Control Room'!$B$7,('Control Room'!$B$8+'Control Room'!$D$8)/2))+SQRT(1-'Control Room'!$B$9^2)*(I437-IF('Control Room'!$B$5="Normal",'Control Room'!$B$7,('Control Room'!$B$8+'Control Room'!$D$8)/2))</x:f>
        <x:v>1029.536781331393</x:v>
      </x:c>
      <x:c r="K437" s="17" t="n">
        <x:f>IF(AND($A437&gt;='Control Room'!$A$13,$A437&lt;'Control Room'!$A$13+'Control Room'!$B$13,'Process'!BL2=1),1+('Control Room'!$C$13-1)*EXP(-0.5*(($A437-'Control Room'!$A$13-('Control Room'!$B$13-1)/2)/MAX(0.5,'Control Room'!$B$13/4))^2),1)*IF(AND($A437&gt;='Control Room'!$A$14,$A437&lt;'Control Room'!$A$14+'Control Room'!$B$14,'Process'!BL3=1),1+('Control Room'!$C$14-1)*EXP(-0.5*(($A437-'Control Room'!$A$14-('Control Room'!$B$14-1)/2)/MAX(0.5,'Control Room'!$B$14/4))^2),1)*IF(AND($A437&gt;='Control Room'!$A$15,$A437&lt;'Control Room'!$A$15+'Control Room'!$B$15,'Process'!BL4=1),1+('Control Room'!$C$15-1)*EXP(-0.5*(($A437-'Control Room'!$A$15-('Control Room'!$B$15-1)/2)/MAX(0.5,'Control Room'!$B$15/4))^2),1)*IF(AND($A437&gt;='Control Room'!$A$16,$A437&lt;'Control Room'!$A$16+'Control Room'!$B$16,'Process'!BL5=1),1+('Control Room'!$C$16-1)*EXP(-0.5*(($A437-'Control Room'!$A$16-('Control Room'!$B$16-1)/2)/MAX(0.5,'Control Room'!$B$16/4))^2),1)</x:f>
        <x:v>1</x:v>
      </x:c>
      <x:c r="L437" s="9" t="n">
        <x:f>MOD(M436*16807,2147483647)</x:f>
        <x:v>1529120306</x:v>
      </x:c>
      <x:c r="M437" s="9" t="n">
        <x:f>MOD(L437*16807,2147483647)</x:f>
        <x:v>988179293</x:v>
      </x:c>
      <x:c r="N437" s="17" t="n">
        <x:f>IF('Control Room'!$B$5="Normal",'Control Room'!$B$7+'Control Room'!$D$7*SQRT(-2*LN(MAX(0.000000000001,L437/2147483647)))*COS(2*PI()*M437/2147483647),'Control Room'!$B$8+('Control Room'!$D$8-'Control Room'!$B$8)*L437/2147483647)</x:f>
        <x:v>928.1394427231038</x:v>
      </x:c>
      <x:c r="O437" s="17" t="n">
        <x:f>IF('Control Room'!$B$5="Normal",'Control Room'!$B$7,('Control Room'!$B$8+'Control Room'!$D$8)/2)+'Control Room'!$B$9*(O436-IF('Control Room'!$B$5="Normal",'Control Room'!$B$7,('Control Room'!$B$8+'Control Room'!$D$8)/2))+SQRT(1-'Control Room'!$B$9^2)*(N437-IF('Control Room'!$B$5="Normal",'Control Room'!$B$7,('Control Room'!$B$8+'Control Room'!$D$8)/2))</x:f>
        <x:v>1021.6315226470116</x:v>
      </x:c>
      <x:c r="P437" s="17" t="n">
        <x:f>IF(AND($A437&gt;='Control Room'!$A$13,$A437&lt;'Control Room'!$A$13+'Control Room'!$B$13,'Process'!BM2=1),1+('Control Room'!$C$13-1)*EXP(-0.5*(($A437-'Control Room'!$A$13-('Control Room'!$B$13-1)/2)/MAX(0.5,'Control Room'!$B$13/4))^2),1)*IF(AND($A437&gt;='Control Room'!$A$14,$A437&lt;'Control Room'!$A$14+'Control Room'!$B$14,'Process'!BM3=1),1+('Control Room'!$C$14-1)*EXP(-0.5*(($A437-'Control Room'!$A$14-('Control Room'!$B$14-1)/2)/MAX(0.5,'Control Room'!$B$14/4))^2),1)*IF(AND($A437&gt;='Control Room'!$A$15,$A437&lt;'Control Room'!$A$15+'Control Room'!$B$15,'Process'!BM4=1),1+('Control Room'!$C$15-1)*EXP(-0.5*(($A437-'Control Room'!$A$15-('Control Room'!$B$15-1)/2)/MAX(0.5,'Control Room'!$B$15/4))^2),1)*IF(AND($A437&gt;='Control Room'!$A$16,$A437&lt;'Control Room'!$A$16+'Control Room'!$B$16,'Process'!BM5=1),1+('Control Room'!$C$16-1)*EXP(-0.5*(($A437-'Control Room'!$A$16-('Control Room'!$B$16-1)/2)/MAX(0.5,'Control Room'!$B$16/4))^2),1)</x:f>
        <x:v>1</x:v>
      </x:c>
      <x:c r="Q437" s="9" t="n">
        <x:f>MOD(R436*16807,2147483647)</x:f>
        <x:v>1318769076</x:v>
      </x:c>
      <x:c r="R437" s="9" t="n">
        <x:f>MOD(Q437*16807,2147483647)</x:f>
        <x:v>373139645</x:v>
      </x:c>
      <x:c r="S437" s="17" t="n">
        <x:f>IF('Control Room'!$B$5="Normal",'Control Room'!$B$7+'Control Room'!$D$7*SQRT(-2*LN(MAX(0.000000000001,Q437/2147483647)))*COS(2*PI()*R437/2147483647),'Control Room'!$B$8+('Control Room'!$D$8-'Control Room'!$B$8)*Q437/2147483647)</x:f>
        <x:v>1040.966617462982</x:v>
      </x:c>
      <x:c r="T437" s="17" t="n">
        <x:f>IF('Control Room'!$B$5="Normal",'Control Room'!$B$7,('Control Room'!$B$8+'Control Room'!$D$8)/2)+'Control Room'!$B$9*(T436-IF('Control Room'!$B$5="Normal",'Control Room'!$B$7,('Control Room'!$B$8+'Control Room'!$D$8)/2))+SQRT(1-'Control Room'!$B$9^2)*(S437-IF('Control Room'!$B$5="Normal",'Control Room'!$B$7,('Control Room'!$B$8+'Control Room'!$D$8)/2))</x:f>
        <x:v>980.3195838065532</x:v>
      </x:c>
      <x:c r="U437" s="17" t="n">
        <x:f>IF(AND($A437&gt;='Control Room'!$A$13,$A437&lt;'Control Room'!$A$13+'Control Room'!$B$13,'Process'!BN2=1),1+('Control Room'!$C$13-1)*EXP(-0.5*(($A437-'Control Room'!$A$13-('Control Room'!$B$13-1)/2)/MAX(0.5,'Control Room'!$B$13/4))^2),1)*IF(AND($A437&gt;='Control Room'!$A$14,$A437&lt;'Control Room'!$A$14+'Control Room'!$B$14,'Process'!BN3=1),1+('Control Room'!$C$14-1)*EXP(-0.5*(($A437-'Control Room'!$A$14-('Control Room'!$B$14-1)/2)/MAX(0.5,'Control Room'!$B$14/4))^2),1)*IF(AND($A437&gt;='Control Room'!$A$15,$A437&lt;'Control Room'!$A$15+'Control Room'!$B$15,'Process'!BN4=1),1+('Control Room'!$C$15-1)*EXP(-0.5*(($A437-'Control Room'!$A$15-('Control Room'!$B$15-1)/2)/MAX(0.5,'Control Room'!$B$15/4))^2),1)*IF(AND($A437&gt;='Control Room'!$A$16,$A437&lt;'Control Room'!$A$16+'Control Room'!$B$16,'Process'!BN5=1),1+('Control Room'!$C$16-1)*EXP(-0.5*(($A437-'Control Room'!$A$16-('Control Room'!$B$16-1)/2)/MAX(0.5,'Control Room'!$B$16/4))^2),1)</x:f>
        <x:v>1</x:v>
      </x:c>
      <x:c r="V437" s="9" t="n">
        <x:f>MOD(W436*16807,2147483647)</x:f>
        <x:v>1108417846</x:v>
      </x:c>
      <x:c r="W437" s="9" t="n">
        <x:f>MOD(V437*16807,2147483647)</x:f>
        <x:v>1905583644</x:v>
      </x:c>
      <x:c r="X437" s="17" t="n">
        <x:f>IF('Control Room'!$B$5="Normal",'Control Room'!$B$7+'Control Room'!$D$7*SQRT(-2*LN(MAX(0.000000000001,V437/2147483647)))*COS(2*PI()*W437/2147483647),'Control Room'!$B$8+('Control Room'!$D$8-'Control Room'!$B$8)*V437/2147483647)</x:f>
        <x:v>1078.6481199674815</x:v>
      </x:c>
      <x:c r="Y437" s="17" t="n">
        <x:f>IF('Control Room'!$B$5="Normal",'Control Room'!$B$7,('Control Room'!$B$8+'Control Room'!$D$8)/2)+'Control Room'!$B$9*(Y436-IF('Control Room'!$B$5="Normal",'Control Room'!$B$7,('Control Room'!$B$8+'Control Room'!$D$8)/2))+SQRT(1-'Control Room'!$B$9^2)*(X437-IF('Control Room'!$B$5="Normal",'Control Room'!$B$7,('Control Room'!$B$8+'Control Room'!$D$8)/2))</x:f>
        <x:v>1001.6777899006239</x:v>
      </x:c>
      <x:c r="Z437" s="17" t="n">
        <x:f>IF(AND($A437&gt;='Control Room'!$A$13,$A437&lt;'Control Room'!$A$13+'Control Room'!$B$13,'Process'!BO2=1),1+('Control Room'!$C$13-1)*EXP(-0.5*(($A437-'Control Room'!$A$13-('Control Room'!$B$13-1)/2)/MAX(0.5,'Control Room'!$B$13/4))^2),1)*IF(AND($A437&gt;='Control Room'!$A$14,$A437&lt;'Control Room'!$A$14+'Control Room'!$B$14,'Process'!BO3=1),1+('Control Room'!$C$14-1)*EXP(-0.5*(($A437-'Control Room'!$A$14-('Control Room'!$B$14-1)/2)/MAX(0.5,'Control Room'!$B$14/4))^2),1)*IF(AND($A437&gt;='Control Room'!$A$15,$A437&lt;'Control Room'!$A$15+'Control Room'!$B$15,'Process'!BO4=1),1+('Control Room'!$C$15-1)*EXP(-0.5*(($A437-'Control Room'!$A$15-('Control Room'!$B$15-1)/2)/MAX(0.5,'Control Room'!$B$15/4))^2),1)*IF(AND($A437&gt;='Control Room'!$A$16,$A437&lt;'Control Room'!$A$16+'Control Room'!$B$16,'Process'!BO5=1),1+('Control Room'!$C$16-1)*EXP(-0.5*(($A437-'Control Room'!$A$16-('Control Room'!$B$16-1)/2)/MAX(0.5,'Control Room'!$B$16/4))^2),1)</x:f>
        <x:v>1</x:v>
      </x:c>
      <x:c r="AA437" s="9" t="n">
        <x:f>MOD(AB436*16807,2147483647)</x:f>
        <x:v>898066616</x:v>
      </x:c>
      <x:c r="AB437" s="9" t="n">
        <x:f>MOD(AA437*16807,2147483647)</x:f>
        <x:v>1290543996</x:v>
      </x:c>
      <x:c r="AC437" s="17" t="n">
        <x:f>IF('Control Room'!$B$5="Normal",'Control Room'!$B$7+'Control Room'!$D$7*SQRT(-2*LN(MAX(0.000000000001,AA437/2147483647)))*COS(2*PI()*AB437/2147483647),'Control Room'!$B$8+('Control Room'!$D$8-'Control Room'!$B$8)*AA437/2147483647)</x:f>
        <x:v>904.276749827299</x:v>
      </x:c>
      <x:c r="AD437" s="17" t="n">
        <x:f>IF('Control Room'!$B$5="Normal",'Control Room'!$B$7,('Control Room'!$B$8+'Control Room'!$D$8)/2)+'Control Room'!$B$9*(AD436-IF('Control Room'!$B$5="Normal",'Control Room'!$B$7,('Control Room'!$B$8+'Control Room'!$D$8)/2))+SQRT(1-'Control Room'!$B$9^2)*(AC437-IF('Control Room'!$B$5="Normal",'Control Room'!$B$7,('Control Room'!$B$8+'Control Room'!$D$8)/2))</x:f>
        <x:v>910.8084383377819</x:v>
      </x:c>
      <x:c r="AE437" s="17" t="n">
        <x:f>IF(AND($A437&gt;='Control Room'!$A$13,$A437&lt;'Control Room'!$A$13+'Control Room'!$B$13,'Process'!BP2=1),1+('Control Room'!$C$13-1)*EXP(-0.5*(($A437-'Control Room'!$A$13-('Control Room'!$B$13-1)/2)/MAX(0.5,'Control Room'!$B$13/4))^2),1)*IF(AND($A437&gt;='Control Room'!$A$14,$A437&lt;'Control Room'!$A$14+'Control Room'!$B$14,'Process'!BP3=1),1+('Control Room'!$C$14-1)*EXP(-0.5*(($A437-'Control Room'!$A$14-('Control Room'!$B$14-1)/2)/MAX(0.5,'Control Room'!$B$14/4))^2),1)*IF(AND($A437&gt;='Control Room'!$A$15,$A437&lt;'Control Room'!$A$15+'Control Room'!$B$15,'Process'!BP4=1),1+('Control Room'!$C$15-1)*EXP(-0.5*(($A437-'Control Room'!$A$15-('Control Room'!$B$15-1)/2)/MAX(0.5,'Control Room'!$B$15/4))^2),1)*IF(AND($A437&gt;='Control Room'!$A$16,$A437&lt;'Control Room'!$A$16+'Control Room'!$B$16,'Process'!BP5=1),1+('Control Room'!$C$16-1)*EXP(-0.5*(($A437-'Control Room'!$A$16-('Control Room'!$B$16-1)/2)/MAX(0.5,'Control Room'!$B$16/4))^2),1)</x:f>
        <x:v>1</x:v>
      </x:c>
      <x:c r="AF437" s="9" t="n">
        <x:f>MOD(AG436*16807,2147483647)</x:f>
        <x:v>687715386</x:v>
      </x:c>
      <x:c r="AG437" s="9" t="n">
        <x:f>MOD(AF437*16807,2147483647)</x:f>
        <x:v>675504348</x:v>
      </x:c>
      <x:c r="AH437" s="17" t="n">
        <x:f>IF('Control Room'!$B$5="Normal",'Control Room'!$B$7+'Control Room'!$D$7*SQRT(-2*LN(MAX(0.000000000001,AF437/2147483647)))*COS(2*PI()*AG437/2147483647),'Control Room'!$B$8+('Control Room'!$D$8-'Control Room'!$B$8)*AF437/2147483647)</x:f>
        <x:v>946.4078800504168</x:v>
      </x:c>
      <x:c r="AI437" s="17" t="n">
        <x:f>IF('Control Room'!$B$5="Normal",'Control Room'!$B$7,('Control Room'!$B$8+'Control Room'!$D$8)/2)+'Control Room'!$B$9*(AI436-IF('Control Room'!$B$5="Normal",'Control Room'!$B$7,('Control Room'!$B$8+'Control Room'!$D$8)/2))+SQRT(1-'Control Room'!$B$9^2)*(AH437-IF('Control Room'!$B$5="Normal",'Control Room'!$B$7,('Control Room'!$B$8+'Control Room'!$D$8)/2))</x:f>
        <x:v>992.8466499824057</x:v>
      </x:c>
      <x:c r="AJ437" s="17" t="n">
        <x:f>IF(AND($A437&gt;='Control Room'!$A$13,$A437&lt;'Control Room'!$A$13+'Control Room'!$B$13,'Process'!BQ2=1),1+('Control Room'!$C$13-1)*EXP(-0.5*(($A437-'Control Room'!$A$13-('Control Room'!$B$13-1)/2)/MAX(0.5,'Control Room'!$B$13/4))^2),1)*IF(AND($A437&gt;='Control Room'!$A$14,$A437&lt;'Control Room'!$A$14+'Control Room'!$B$14,'Process'!BQ3=1),1+('Control Room'!$C$14-1)*EXP(-0.5*(($A437-'Control Room'!$A$14-('Control Room'!$B$14-1)/2)/MAX(0.5,'Control Room'!$B$14/4))^2),1)*IF(AND($A437&gt;='Control Room'!$A$15,$A437&lt;'Control Room'!$A$15+'Control Room'!$B$15,'Process'!BQ4=1),1+('Control Room'!$C$15-1)*EXP(-0.5*(($A437-'Control Room'!$A$15-('Control Room'!$B$15-1)/2)/MAX(0.5,'Control Room'!$B$15/4))^2),1)*IF(AND($A437&gt;='Control Room'!$A$16,$A437&lt;'Control Room'!$A$16+'Control Room'!$B$16,'Process'!BQ5=1),1+('Control Room'!$C$16-1)*EXP(-0.5*(($A437-'Control Room'!$A$16-('Control Room'!$B$16-1)/2)/MAX(0.5,'Control Room'!$B$16/4))^2),1)</x:f>
        <x:v>1</x:v>
      </x:c>
      <x:c r="AK437" s="9" t="n">
        <x:f>MOD(AL436*16807,2147483647)</x:f>
        <x:v>477364156</x:v>
      </x:c>
      <x:c r="AL437" s="9" t="n">
        <x:f>MOD(AK437*16807,2147483647)</x:f>
        <x:v>60464700</x:v>
      </x:c>
      <x:c r="AM437" s="17" t="n">
        <x:f>IF('Control Room'!$B$5="Normal",'Control Room'!$B$7+'Control Room'!$D$7*SQRT(-2*LN(MAX(0.000000000001,AK437/2147483647)))*COS(2*PI()*AL437/2147483647),'Control Room'!$B$8+('Control Room'!$D$8-'Control Room'!$B$8)*AK437/2147483647)</x:f>
        <x:v>1153.64440175744</x:v>
      </x:c>
      <x:c r="AN437" s="17" t="n">
        <x:f>IF('Control Room'!$B$5="Normal",'Control Room'!$B$7,('Control Room'!$B$8+'Control Room'!$D$8)/2)+'Control Room'!$B$9*(AN436-IF('Control Room'!$B$5="Normal",'Control Room'!$B$7,('Control Room'!$B$8+'Control Room'!$D$8)/2))+SQRT(1-'Control Room'!$B$9^2)*(AM437-IF('Control Room'!$B$5="Normal",'Control Room'!$B$7,('Control Room'!$B$8+'Control Room'!$D$8)/2))</x:f>
        <x:v>1070.3416782567404</x:v>
      </x:c>
      <x:c r="AO437" s="17" t="n">
        <x:f>IF(AND($A437&gt;='Control Room'!$A$13,$A437&lt;'Control Room'!$A$13+'Control Room'!$B$13,'Process'!BR2=1),1+('Control Room'!$C$13-1)*EXP(-0.5*(($A437-'Control Room'!$A$13-('Control Room'!$B$13-1)/2)/MAX(0.5,'Control Room'!$B$13/4))^2),1)*IF(AND($A437&gt;='Control Room'!$A$14,$A437&lt;'Control Room'!$A$14+'Control Room'!$B$14,'Process'!BR3=1),1+('Control Room'!$C$14-1)*EXP(-0.5*(($A437-'Control Room'!$A$14-('Control Room'!$B$14-1)/2)/MAX(0.5,'Control Room'!$B$14/4))^2),1)*IF(AND($A437&gt;='Control Room'!$A$15,$A437&lt;'Control Room'!$A$15+'Control Room'!$B$15,'Process'!BR4=1),1+('Control Room'!$C$15-1)*EXP(-0.5*(($A437-'Control Room'!$A$15-('Control Room'!$B$15-1)/2)/MAX(0.5,'Control Room'!$B$15/4))^2),1)*IF(AND($A437&gt;='Control Room'!$A$16,$A437&lt;'Control Room'!$A$16+'Control Room'!$B$16,'Process'!BR5=1),1+('Control Room'!$C$16-1)*EXP(-0.5*(($A437-'Control Room'!$A$16-('Control Room'!$B$16-1)/2)/MAX(0.5,'Control Room'!$B$16/4))^2),1)</x:f>
        <x:v>1</x:v>
      </x:c>
      <x:c r="AP437" s="9" t="n">
        <x:f>MOD(AQ436*16807,2147483647)</x:f>
        <x:v>267012926</x:v>
      </x:c>
      <x:c r="AQ437" s="9" t="n">
        <x:f>MOD(AP437*16807,2147483647)</x:f>
        <x:v>1592908699</x:v>
      </x:c>
      <x:c r="AR437" s="17" t="n">
        <x:f>IF('Control Room'!$B$5="Normal",'Control Room'!$B$7+'Control Room'!$D$7*SQRT(-2*LN(MAX(0.000000000001,AP437/2147483647)))*COS(2*PI()*AQ437/2147483647),'Control Room'!$B$8+('Control Room'!$D$8-'Control Room'!$B$8)*AP437/2147483647)</x:f>
        <x:v>990.4849060839249</x:v>
      </x:c>
      <x:c r="AS437" s="17" t="n">
        <x:f>IF('Control Room'!$B$5="Normal",'Control Room'!$B$7,('Control Room'!$B$8+'Control Room'!$D$8)/2)+'Control Room'!$B$9*(AS436-IF('Control Room'!$B$5="Normal",'Control Room'!$B$7,('Control Room'!$B$8+'Control Room'!$D$8)/2))+SQRT(1-'Control Room'!$B$9^2)*(AR437-IF('Control Room'!$B$5="Normal",'Control Room'!$B$7,('Control Room'!$B$8+'Control Room'!$D$8)/2))</x:f>
        <x:v>953.362700403581</x:v>
      </x:c>
      <x:c r="AT437" s="17" t="n">
        <x:f>IF(AND($A437&gt;='Control Room'!$A$13,$A437&lt;'Control Room'!$A$13+'Control Room'!$B$13,'Process'!BS2=1),1+('Control Room'!$C$13-1)*EXP(-0.5*(($A437-'Control Room'!$A$13-('Control Room'!$B$13-1)/2)/MAX(0.5,'Control Room'!$B$13/4))^2),1)*IF(AND($A437&gt;='Control Room'!$A$14,$A437&lt;'Control Room'!$A$14+'Control Room'!$B$14,'Process'!BS3=1),1+('Control Room'!$C$14-1)*EXP(-0.5*(($A437-'Control Room'!$A$14-('Control Room'!$B$14-1)/2)/MAX(0.5,'Control Room'!$B$14/4))^2),1)*IF(AND($A437&gt;='Control Room'!$A$15,$A437&lt;'Control Room'!$A$15+'Control Room'!$B$15,'Process'!BS4=1),1+('Control Room'!$C$15-1)*EXP(-0.5*(($A437-'Control Room'!$A$15-('Control Room'!$B$15-1)/2)/MAX(0.5,'Control Room'!$B$15/4))^2),1)*IF(AND($A437&gt;='Control Room'!$A$16,$A437&lt;'Control Room'!$A$16+'Control Room'!$B$16,'Process'!BS5=1),1+('Control Room'!$C$16-1)*EXP(-0.5*(($A437-'Control Room'!$A$16-('Control Room'!$B$16-1)/2)/MAX(0.5,'Control Room'!$B$16/4))^2),1)</x:f>
        <x:v>1</x:v>
      </x:c>
      <x:c r="AU437" s="9" t="n">
        <x:f>MOD(AV436*16807,2147483647)</x:f>
        <x:v>56661696</x:v>
      </x:c>
      <x:c r="AV437" s="9" t="n">
        <x:f>MOD(AU437*16807,2147483647)</x:f>
        <x:v>977869051</x:v>
      </x:c>
      <x:c r="AW437" s="17" t="n">
        <x:f>IF('Control Room'!$B$5="Normal",'Control Room'!$B$7+'Control Room'!$D$7*SQRT(-2*LN(MAX(0.000000000001,AU437/2147483647)))*COS(2*PI()*AV437/2147483647),'Control Room'!$B$8+('Control Room'!$D$8-'Control Room'!$B$8)*AU437/2147483647)</x:f>
        <x:v>766.8196875588488</x:v>
      </x:c>
      <x:c r="AX437" s="17" t="n">
        <x:f>IF('Control Room'!$B$5="Normal",'Control Room'!$B$7,('Control Room'!$B$8+'Control Room'!$D$8)/2)+'Control Room'!$B$9*(AX436-IF('Control Room'!$B$5="Normal",'Control Room'!$B$7,('Control Room'!$B$8+'Control Room'!$D$8)/2))+SQRT(1-'Control Room'!$B$9^2)*(AW437-IF('Control Room'!$B$5="Normal",'Control Room'!$B$7,('Control Room'!$B$8+'Control Room'!$D$8)/2))</x:f>
        <x:v>781.9425917905296</x:v>
      </x:c>
      <x:c r="AY437" s="17" t="n">
        <x:f>IF(AND($A437&gt;='Control Room'!$A$13,$A437&lt;'Control Room'!$A$13+'Control Room'!$B$13,'Process'!BT2=1),1+('Control Room'!$C$13-1)*EXP(-0.5*(($A437-'Control Room'!$A$13-('Control Room'!$B$13-1)/2)/MAX(0.5,'Control Room'!$B$13/4))^2),1)*IF(AND($A437&gt;='Control Room'!$A$14,$A437&lt;'Control Room'!$A$14+'Control Room'!$B$14,'Process'!BT3=1),1+('Control Room'!$C$14-1)*EXP(-0.5*(($A437-'Control Room'!$A$14-('Control Room'!$B$14-1)/2)/MAX(0.5,'Control Room'!$B$14/4))^2),1)*IF(AND($A437&gt;='Control Room'!$A$15,$A437&lt;'Control Room'!$A$15+'Control Room'!$B$15,'Process'!BT4=1),1+('Control Room'!$C$15-1)*EXP(-0.5*(($A437-'Control Room'!$A$15-('Control Room'!$B$15-1)/2)/MAX(0.5,'Control Room'!$B$15/4))^2),1)*IF(AND($A437&gt;='Control Room'!$A$16,$A437&lt;'Control Room'!$A$16+'Control Room'!$B$16,'Process'!BT5=1),1+('Control Room'!$C$16-1)*EXP(-0.5*(($A437-'Control Room'!$A$16-('Control Room'!$B$16-1)/2)/MAX(0.5,'Control Room'!$B$16/4))^2),1)</x:f>
        <x:v>1</x:v>
      </x:c>
      <x:c r="AZ437" s="9" t="n">
        <x:f>MOD(BA436*16807,2147483647)</x:f>
        <x:v>1993794113</x:v>
      </x:c>
      <x:c r="BA437" s="9" t="n">
        <x:f>MOD(AZ437*16807,2147483647)</x:f>
        <x:v>362829403</x:v>
      </x:c>
      <x:c r="BB437" s="17" t="n">
        <x:f>IF('Control Room'!$B$5="Normal",'Control Room'!$B$7+'Control Room'!$D$7*SQRT(-2*LN(MAX(0.000000000001,AZ437/2147483647)))*COS(2*PI()*BA437/2147483647),'Control Room'!$B$8+('Control Room'!$D$8-'Control Room'!$B$8)*AZ437/2147483647)</x:f>
        <x:v>1016.9081548505095</x:v>
      </x:c>
      <x:c r="BC437" s="17" t="n">
        <x:f>IF('Control Room'!$B$5="Normal",'Control Room'!$B$7,('Control Room'!$B$8+'Control Room'!$D$8)/2)+'Control Room'!$B$9*(BC436-IF('Control Room'!$B$5="Normal",'Control Room'!$B$7,('Control Room'!$B$8+'Control Room'!$D$8)/2))+SQRT(1-'Control Room'!$B$9^2)*(BB437-IF('Control Room'!$B$5="Normal",'Control Room'!$B$7,('Control Room'!$B$8+'Control Room'!$D$8)/2))</x:f>
        <x:v>971.1400408791005</x:v>
      </x:c>
      <x:c r="BD437" s="17" t="n">
        <x:f>IF(AND($A437&gt;='Control Room'!$A$13,$A437&lt;'Control Room'!$A$13+'Control Room'!$B$13,'Process'!BU2=1),1+('Control Room'!$C$13-1)*EXP(-0.5*(($A437-'Control Room'!$A$13-('Control Room'!$B$13-1)/2)/MAX(0.5,'Control Room'!$B$13/4))^2),1)*IF(AND($A437&gt;='Control Room'!$A$14,$A437&lt;'Control Room'!$A$14+'Control Room'!$B$14,'Process'!BU3=1),1+('Control Room'!$C$14-1)*EXP(-0.5*(($A437-'Control Room'!$A$14-('Control Room'!$B$14-1)/2)/MAX(0.5,'Control Room'!$B$14/4))^2),1)*IF(AND($A437&gt;='Control Room'!$A$15,$A437&lt;'Control Room'!$A$15+'Control Room'!$B$15,'Process'!BU4=1),1+('Control Room'!$C$15-1)*EXP(-0.5*(($A437-'Control Room'!$A$15-('Control Room'!$B$15-1)/2)/MAX(0.5,'Control Room'!$B$15/4))^2),1)*IF(AND($A437&gt;='Control Room'!$A$16,$A437&lt;'Control Room'!$A$16+'Control Room'!$B$16,'Process'!BU5=1),1+('Control Room'!$C$16-1)*EXP(-0.5*(($A437-'Control Room'!$A$16-('Control Room'!$B$16-1)/2)/MAX(0.5,'Control Room'!$B$16/4))^2),1)</x:f>
        <x:v>1</x:v>
      </x:c>
      <x:c r="BE437" s="9" t="n">
        <x:f>MOD(BF436*16807,2147483647)</x:f>
        <x:v>1783442883</x:v>
      </x:c>
      <x:c r="BF437" s="9" t="n">
        <x:f>MOD(BE437*16807,2147483647)</x:f>
        <x:v>1895273402</x:v>
      </x:c>
      <x:c r="BG437" s="17" t="n">
        <x:f>IF('Control Room'!$B$5="Normal",'Control Room'!$B$7+'Control Room'!$D$7*SQRT(-2*LN(MAX(0.000000000001,BE437/2147483647)))*COS(2*PI()*BF437/2147483647),'Control Room'!$B$8+('Control Room'!$D$8-'Control Room'!$B$8)*BE437/2147483647)</x:f>
        <x:v>1040.585972595524</x:v>
      </x:c>
      <x:c r="BH437" s="17" t="n">
        <x:f>IF('Control Room'!$B$5="Normal",'Control Room'!$B$7,('Control Room'!$B$8+'Control Room'!$D$8)/2)+'Control Room'!$B$9*(BH436-IF('Control Room'!$B$5="Normal",'Control Room'!$B$7,('Control Room'!$B$8+'Control Room'!$D$8)/2))+SQRT(1-'Control Room'!$B$9^2)*(BG437-IF('Control Room'!$B$5="Normal",'Control Room'!$B$7,('Control Room'!$B$8+'Control Room'!$D$8)/2))</x:f>
        <x:v>1078.3028535780932</x:v>
      </x:c>
      <x:c r="BI437" s="17" t="n">
        <x:f>IF(AND($A437&gt;='Control Room'!$A$13,$A437&lt;'Control Room'!$A$13+'Control Room'!$B$13,'Process'!BV2=1),1+('Control Room'!$C$13-1)*EXP(-0.5*(($A437-'Control Room'!$A$13-('Control Room'!$B$13-1)/2)/MAX(0.5,'Control Room'!$B$13/4))^2),1)*IF(AND($A437&gt;='Control Room'!$A$14,$A437&lt;'Control Room'!$A$14+'Control Room'!$B$14,'Process'!BV3=1),1+('Control Room'!$C$14-1)*EXP(-0.5*(($A437-'Control Room'!$A$14-('Control Room'!$B$14-1)/2)/MAX(0.5,'Control Room'!$B$14/4))^2),1)*IF(AND($A437&gt;='Control Room'!$A$15,$A437&lt;'Control Room'!$A$15+'Control Room'!$B$15,'Process'!BV4=1),1+('Control Room'!$C$15-1)*EXP(-0.5*(($A437-'Control Room'!$A$15-('Control Room'!$B$15-1)/2)/MAX(0.5,'Control Room'!$B$15/4))^2),1)*IF(AND($A437&gt;='Control Room'!$A$16,$A437&lt;'Control Room'!$A$16+'Control Room'!$B$16,'Process'!BV5=1),1+('Control Room'!$C$16-1)*EXP(-0.5*(($A437-'Control Room'!$A$16-('Control Room'!$B$16-1)/2)/MAX(0.5,'Control Room'!$B$16/4))^2),1)</x:f>
        <x:v>1</x:v>
      </x:c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Z437" t="str">
        <x:f>IF('Data'!A437="","",TEXT('Data'!A437,"mm-dd"))</x:f>
      </x:c>
    </x:row>
    <x:row r="438" ht="21" customHeight="1">
      <x:c r="A438" s="15" t="n">
        <x:f>'Control Room'!$B$1+436</x:f>
        <x:v>73427</x:v>
      </x:c>
      <x:c r="B438" s="9" t="n">
        <x:f>MOD(C437*16807,2147483647)</x:f>
        <x:v>1955993403</x:v>
      </x:c>
      <x:c r="C438" s="9" t="n">
        <x:f>MOD(B438*16807,2147483647)</x:f>
        <x:v>701455945</x:v>
      </x:c>
      <x:c r="D438" s="17" t="n">
        <x:f>IF('Control Room'!$B$5="Normal",'Control Room'!$B$7+'Control Room'!$D$7*SQRT(-2*LN(MAX(0.000000000001,B438/2147483647)))*COS(2*PI()*C438/2147483647),'Control Room'!$B$8+('Control Room'!$D$8-'Control Room'!$B$8)*B438/2147483647)</x:f>
        <x:v>981.9842829497946</x:v>
      </x:c>
      <x:c r="E438" s="17" t="n">
        <x:f>IF('Control Room'!$B$5="Normal",'Control Room'!$B$7,('Control Room'!$B$8+'Control Room'!$D$8)/2)+'Control Room'!$B$9*(E437-IF('Control Room'!$B$5="Normal",'Control Room'!$B$7,('Control Room'!$B$8+'Control Room'!$D$8)/2))+SQRT(1-'Control Room'!$B$9^2)*(D438-IF('Control Room'!$B$5="Normal",'Control Room'!$B$7,('Control Room'!$B$8+'Control Room'!$D$8)/2))</x:f>
        <x:v>1096.4277795130333</x:v>
      </x:c>
      <x:c r="F438" s="17" t="n">
        <x:f>IF(AND($A438&gt;='Control Room'!$A$13,$A438&lt;'Control Room'!$A$13+'Control Room'!$B$13,'Process'!BK2=1),1+('Control Room'!$C$13-1)*EXP(-0.5*(($A438-'Control Room'!$A$13-('Control Room'!$B$13-1)/2)/MAX(0.5,'Control Room'!$B$13/4))^2),1)*IF(AND($A438&gt;='Control Room'!$A$14,$A438&lt;'Control Room'!$A$14+'Control Room'!$B$14,'Process'!BK3=1),1+('Control Room'!$C$14-1)*EXP(-0.5*(($A438-'Control Room'!$A$14-('Control Room'!$B$14-1)/2)/MAX(0.5,'Control Room'!$B$14/4))^2),1)*IF(AND($A438&gt;='Control Room'!$A$15,$A438&lt;'Control Room'!$A$15+'Control Room'!$B$15,'Process'!BK4=1),1+('Control Room'!$C$15-1)*EXP(-0.5*(($A438-'Control Room'!$A$15-('Control Room'!$B$15-1)/2)/MAX(0.5,'Control Room'!$B$15/4))^2),1)*IF(AND($A438&gt;='Control Room'!$A$16,$A438&lt;'Control Room'!$A$16+'Control Room'!$B$16,'Process'!BK5=1),1+('Control Room'!$C$16-1)*EXP(-0.5*(($A438-'Control Room'!$A$16-('Control Room'!$B$16-1)/2)/MAX(0.5,'Control Room'!$B$16/4))^2),1)</x:f>
        <x:v>1</x:v>
      </x:c>
      <x:c r="G438" s="9" t="n">
        <x:f>MOD(H437*16807,2147483647)</x:f>
        <x:v>823422478</x:v>
      </x:c>
      <x:c r="H438" s="9" t="n">
        <x:f>MOD(G438*16807,2147483647)</x:f>
        <x:v>876966478</x:v>
      </x:c>
      <x:c r="I438" s="17" t="n">
        <x:f>IF('Control Room'!$B$5="Normal",'Control Room'!$B$7+'Control Room'!$D$7*SQRT(-2*LN(MAX(0.000000000001,G438/2147483647)))*COS(2*PI()*H438/2147483647),'Control Room'!$B$8+('Control Room'!$D$8-'Control Room'!$B$8)*G438/2147483647)</x:f>
        <x:v>895.4732429367447</x:v>
      </x:c>
      <x:c r="J438" s="17" t="n">
        <x:f>IF('Control Room'!$B$5="Normal",'Control Room'!$B$7,('Control Room'!$B$8+'Control Room'!$D$8)/2)+'Control Room'!$B$9*(J437-IF('Control Room'!$B$5="Normal",'Control Room'!$B$7,('Control Room'!$B$8+'Control Room'!$D$8)/2))+SQRT(1-'Control Room'!$B$9^2)*(I438-IF('Control Room'!$B$5="Normal",'Control Room'!$B$7,('Control Room'!$B$8+'Control Room'!$D$8)/2))</x:f>
        <x:v>957.6279862153124</x:v>
      </x:c>
      <x:c r="K438" s="17" t="n">
        <x:f>IF(AND($A438&gt;='Control Room'!$A$13,$A438&lt;'Control Room'!$A$13+'Control Room'!$B$13,'Process'!BL2=1),1+('Control Room'!$C$13-1)*EXP(-0.5*(($A438-'Control Room'!$A$13-('Control Room'!$B$13-1)/2)/MAX(0.5,'Control Room'!$B$13/4))^2),1)*IF(AND($A438&gt;='Control Room'!$A$14,$A438&lt;'Control Room'!$A$14+'Control Room'!$B$14,'Process'!BL3=1),1+('Control Room'!$C$14-1)*EXP(-0.5*(($A438-'Control Room'!$A$14-('Control Room'!$B$14-1)/2)/MAX(0.5,'Control Room'!$B$14/4))^2),1)*IF(AND($A438&gt;='Control Room'!$A$15,$A438&lt;'Control Room'!$A$15+'Control Room'!$B$15,'Process'!BL4=1),1+('Control Room'!$C$15-1)*EXP(-0.5*(($A438-'Control Room'!$A$15-('Control Room'!$B$15-1)/2)/MAX(0.5,'Control Room'!$B$15/4))^2),1)*IF(AND($A438&gt;='Control Room'!$A$16,$A438&lt;'Control Room'!$A$16+'Control Room'!$B$16,'Process'!BL5=1),1+('Control Room'!$C$16-1)*EXP(-0.5*(($A438-'Control Room'!$A$16-('Control Room'!$B$16-1)/2)/MAX(0.5,'Control Room'!$B$16/4))^2),1)</x:f>
        <x:v>1</x:v>
      </x:c>
      <x:c r="L438" s="9" t="n">
        <x:f>MOD(M437*16807,2147483647)</x:f>
        <x:v>1838335200</x:v>
      </x:c>
      <x:c r="M438" s="9" t="n">
        <x:f>MOD(L438*16807,2147483647)</x:f>
        <x:v>1052477011</x:v>
      </x:c>
      <x:c r="N438" s="17" t="n">
        <x:f>IF('Control Room'!$B$5="Normal",'Control Room'!$B$7+'Control Room'!$D$7*SQRT(-2*LN(MAX(0.000000000001,L438/2147483647)))*COS(2*PI()*M438/2147483647),'Control Room'!$B$8+('Control Room'!$D$8-'Control Room'!$B$8)*L438/2147483647)</x:f>
        <x:v>949.9167244519301</x:v>
      </x:c>
      <x:c r="O438" s="17" t="n">
        <x:f>IF('Control Room'!$B$5="Normal",'Control Room'!$B$7,('Control Room'!$B$8+'Control Room'!$D$8)/2)+'Control Room'!$B$9*(O437-IF('Control Room'!$B$5="Normal",'Control Room'!$B$7,('Control Room'!$B$8+'Control Room'!$D$8)/2))+SQRT(1-'Control Room'!$B$9^2)*(N438-IF('Control Room'!$B$5="Normal",'Control Room'!$B$7,('Control Room'!$B$8+'Control Room'!$D$8)/2))</x:f>
        <x:v>985.5314998383552</x:v>
      </x:c>
      <x:c r="P438" s="17" t="n">
        <x:f>IF(AND($A438&gt;='Control Room'!$A$13,$A438&lt;'Control Room'!$A$13+'Control Room'!$B$13,'Process'!BM2=1),1+('Control Room'!$C$13-1)*EXP(-0.5*(($A438-'Control Room'!$A$13-('Control Room'!$B$13-1)/2)/MAX(0.5,'Control Room'!$B$13/4))^2),1)*IF(AND($A438&gt;='Control Room'!$A$14,$A438&lt;'Control Room'!$A$14+'Control Room'!$B$14,'Process'!BM3=1),1+('Control Room'!$C$14-1)*EXP(-0.5*(($A438-'Control Room'!$A$14-('Control Room'!$B$14-1)/2)/MAX(0.5,'Control Room'!$B$14/4))^2),1)*IF(AND($A438&gt;='Control Room'!$A$15,$A438&lt;'Control Room'!$A$15+'Control Room'!$B$15,'Process'!BM4=1),1+('Control Room'!$C$15-1)*EXP(-0.5*(($A438-'Control Room'!$A$15-('Control Room'!$B$15-1)/2)/MAX(0.5,'Control Room'!$B$15/4))^2),1)*IF(AND($A438&gt;='Control Room'!$A$16,$A438&lt;'Control Room'!$A$16+'Control Room'!$B$16,'Process'!BM5=1),1+('Control Room'!$C$16-1)*EXP(-0.5*(($A438-'Control Room'!$A$16-('Control Room'!$B$16-1)/2)/MAX(0.5,'Control Room'!$B$16/4))^2),1)</x:f>
        <x:v>1</x:v>
      </x:c>
      <x:c r="Q438" s="9" t="n">
        <x:f>MOD(R437*16807,2147483647)</x:f>
        <x:v>705764275</x:v>
      </x:c>
      <x:c r="R438" s="9" t="n">
        <x:f>MOD(Q438*16807,2147483647)</x:f>
        <x:v>1227987544</x:v>
      </x:c>
      <x:c r="S438" s="17" t="n">
        <x:f>IF('Control Room'!$B$5="Normal",'Control Room'!$B$7+'Control Room'!$D$7*SQRT(-2*LN(MAX(0.000000000001,Q438/2147483647)))*COS(2*PI()*R438/2147483647),'Control Room'!$B$8+('Control Room'!$D$8-'Control Room'!$B$8)*Q438/2147483647)</x:f>
        <x:v>879.1780426247735</x:v>
      </x:c>
      <x:c r="T438" s="17" t="n">
        <x:f>IF('Control Room'!$B$5="Normal",'Control Room'!$B$7,('Control Room'!$B$8+'Control Room'!$D$8)/2)+'Control Room'!$B$9*(T437-IF('Control Room'!$B$5="Normal",'Control Room'!$B$7,('Control Room'!$B$8+'Control Room'!$D$8)/2))+SQRT(1-'Control Room'!$B$9^2)*(S438-IF('Control Room'!$B$5="Normal",'Control Room'!$B$7,('Control Room'!$B$8+'Control Room'!$D$8)/2))</x:f>
        <x:v>909.0413696160292</x:v>
      </x:c>
      <x:c r="U438" s="17" t="n">
        <x:f>IF(AND($A438&gt;='Control Room'!$A$13,$A438&lt;'Control Room'!$A$13+'Control Room'!$B$13,'Process'!BN2=1),1+('Control Room'!$C$13-1)*EXP(-0.5*(($A438-'Control Room'!$A$13-('Control Room'!$B$13-1)/2)/MAX(0.5,'Control Room'!$B$13/4))^2),1)*IF(AND($A438&gt;='Control Room'!$A$14,$A438&lt;'Control Room'!$A$14+'Control Room'!$B$14,'Process'!BN3=1),1+('Control Room'!$C$14-1)*EXP(-0.5*(($A438-'Control Room'!$A$14-('Control Room'!$B$14-1)/2)/MAX(0.5,'Control Room'!$B$14/4))^2),1)*IF(AND($A438&gt;='Control Room'!$A$15,$A438&lt;'Control Room'!$A$15+'Control Room'!$B$15,'Process'!BN4=1),1+('Control Room'!$C$15-1)*EXP(-0.5*(($A438-'Control Room'!$A$15-('Control Room'!$B$15-1)/2)/MAX(0.5,'Control Room'!$B$15/4))^2),1)*IF(AND($A438&gt;='Control Room'!$A$16,$A438&lt;'Control Room'!$A$16+'Control Room'!$B$16,'Process'!BN5=1),1+('Control Room'!$C$16-1)*EXP(-0.5*(($A438-'Control Room'!$A$16-('Control Room'!$B$16-1)/2)/MAX(0.5,'Control Room'!$B$16/4))^2),1)</x:f>
        <x:v>1</x:v>
      </x:c>
      <x:c r="V438" s="9" t="n">
        <x:f>MOD(W437*16807,2147483647)</x:f>
        <x:v>1720676997</x:v>
      </x:c>
      <x:c r="W438" s="9" t="n">
        <x:f>MOD(V438*16807,2147483647)</x:f>
        <x:v>1403498077</x:v>
      </x:c>
      <x:c r="X438" s="17" t="n">
        <x:f>IF('Control Room'!$B$5="Normal",'Control Room'!$B$7+'Control Room'!$D$7*SQRT(-2*LN(MAX(0.000000000001,V438/2147483647)))*COS(2*PI()*W438/2147483647),'Control Room'!$B$8+('Control Room'!$D$8-'Control Room'!$B$8)*V438/2147483647)</x:f>
        <x:v>965.8752521675324</x:v>
      </x:c>
      <x:c r="Y438" s="17" t="n">
        <x:f>IF('Control Room'!$B$5="Normal",'Control Room'!$B$7,('Control Room'!$B$8+'Control Room'!$D$8)/2)+'Control Room'!$B$9*(Y437-IF('Control Room'!$B$5="Normal",'Control Room'!$B$7,('Control Room'!$B$8+'Control Room'!$D$8)/2))+SQRT(1-'Control Room'!$B$9^2)*(X438-IF('Control Room'!$B$5="Normal",'Control Room'!$B$7,('Control Room'!$B$8+'Control Room'!$D$8)/2))</x:f>
        <x:v>979.9541080123863</x:v>
      </x:c>
      <x:c r="Z438" s="17" t="n">
        <x:f>IF(AND($A438&gt;='Control Room'!$A$13,$A438&lt;'Control Room'!$A$13+'Control Room'!$B$13,'Process'!BO2=1),1+('Control Room'!$C$13-1)*EXP(-0.5*(($A438-'Control Room'!$A$13-('Control Room'!$B$13-1)/2)/MAX(0.5,'Control Room'!$B$13/4))^2),1)*IF(AND($A438&gt;='Control Room'!$A$14,$A438&lt;'Control Room'!$A$14+'Control Room'!$B$14,'Process'!BO3=1),1+('Control Room'!$C$14-1)*EXP(-0.5*(($A438-'Control Room'!$A$14-('Control Room'!$B$14-1)/2)/MAX(0.5,'Control Room'!$B$14/4))^2),1)*IF(AND($A438&gt;='Control Room'!$A$15,$A438&lt;'Control Room'!$A$15+'Control Room'!$B$15,'Process'!BO4=1),1+('Control Room'!$C$15-1)*EXP(-0.5*(($A438-'Control Room'!$A$15-('Control Room'!$B$15-1)/2)/MAX(0.5,'Control Room'!$B$15/4))^2),1)*IF(AND($A438&gt;='Control Room'!$A$16,$A438&lt;'Control Room'!$A$16+'Control Room'!$B$16,'Process'!BO5=1),1+('Control Room'!$C$16-1)*EXP(-0.5*(($A438-'Control Room'!$A$16-('Control Room'!$B$16-1)/2)/MAX(0.5,'Control Room'!$B$16/4))^2),1)</x:f>
        <x:v>1</x:v>
      </x:c>
      <x:c r="AA438" s="9" t="n">
        <x:f>MOD(AB437*16807,2147483647)</x:f>
        <x:v>588106072</x:v>
      </x:c>
      <x:c r="AB438" s="9" t="n">
        <x:f>MOD(AA438*16807,2147483647)</x:f>
        <x:v>1579008610</x:v>
      </x:c>
      <x:c r="AC438" s="17" t="n">
        <x:f>IF('Control Room'!$B$5="Normal",'Control Room'!$B$7+'Control Room'!$D$7*SQRT(-2*LN(MAX(0.000000000001,AA438/2147483647)))*COS(2*PI()*AB438/2147483647),'Control Room'!$B$8+('Control Room'!$D$8-'Control Room'!$B$8)*AA438/2147483647)</x:f>
        <x:v>986.625074971591</x:v>
      </x:c>
      <x:c r="AD438" s="17" t="n">
        <x:f>IF('Control Room'!$B$5="Normal",'Control Room'!$B$7,('Control Room'!$B$8+'Control Room'!$D$8)/2)+'Control Room'!$B$9*(AD437-IF('Control Room'!$B$5="Normal",'Control Room'!$B$7,('Control Room'!$B$8+'Control Room'!$D$8)/2))+SQRT(1-'Control Room'!$B$9^2)*(AC438-IF('Control Room'!$B$5="Normal",'Control Room'!$B$7,('Control Room'!$B$8+'Control Room'!$D$8)/2))</x:f>
        <x:v>922.060827820924</x:v>
      </x:c>
      <x:c r="AE438" s="17" t="n">
        <x:f>IF(AND($A438&gt;='Control Room'!$A$13,$A438&lt;'Control Room'!$A$13+'Control Room'!$B$13,'Process'!BP2=1),1+('Control Room'!$C$13-1)*EXP(-0.5*(($A438-'Control Room'!$A$13-('Control Room'!$B$13-1)/2)/MAX(0.5,'Control Room'!$B$13/4))^2),1)*IF(AND($A438&gt;='Control Room'!$A$14,$A438&lt;'Control Room'!$A$14+'Control Room'!$B$14,'Process'!BP3=1),1+('Control Room'!$C$14-1)*EXP(-0.5*(($A438-'Control Room'!$A$14-('Control Room'!$B$14-1)/2)/MAX(0.5,'Control Room'!$B$14/4))^2),1)*IF(AND($A438&gt;='Control Room'!$A$15,$A438&lt;'Control Room'!$A$15+'Control Room'!$B$15,'Process'!BP4=1),1+('Control Room'!$C$15-1)*EXP(-0.5*(($A438-'Control Room'!$A$15-('Control Room'!$B$15-1)/2)/MAX(0.5,'Control Room'!$B$15/4))^2),1)*IF(AND($A438&gt;='Control Room'!$A$16,$A438&lt;'Control Room'!$A$16+'Control Room'!$B$16,'Process'!BP5=1),1+('Control Room'!$C$16-1)*EXP(-0.5*(($A438-'Control Room'!$A$16-('Control Room'!$B$16-1)/2)/MAX(0.5,'Control Room'!$B$16/4))^2),1)</x:f>
        <x:v>1</x:v>
      </x:c>
      <x:c r="AF438" s="9" t="n">
        <x:f>MOD(AG437*16807,2147483647)</x:f>
        <x:v>1603018794</x:v>
      </x:c>
      <x:c r="AG438" s="9" t="n">
        <x:f>MOD(AF438*16807,2147483647)</x:f>
        <x:v>1754519143</x:v>
      </x:c>
      <x:c r="AH438" s="17" t="n">
        <x:f>IF('Control Room'!$B$5="Normal",'Control Room'!$B$7+'Control Room'!$D$7*SQRT(-2*LN(MAX(0.000000000001,AF438/2147483647)))*COS(2*PI()*AG438/2147483647),'Control Room'!$B$8+('Control Room'!$D$8-'Control Room'!$B$8)*AF438/2147483647)</x:f>
        <x:v>1028.1302586047736</x:v>
      </x:c>
      <x:c r="AI438" s="17" t="n">
        <x:f>IF('Control Room'!$B$5="Normal",'Control Room'!$B$7,('Control Room'!$B$8+'Control Room'!$D$8)/2)+'Control Room'!$B$9*(AI437-IF('Control Room'!$B$5="Normal",'Control Room'!$B$7,('Control Room'!$B$8+'Control Room'!$D$8)/2))+SQRT(1-'Control Room'!$B$9^2)*(AH438-IF('Control Room'!$B$5="Normal",'Control Room'!$B$7,('Control Room'!$B$8+'Control Room'!$D$8)/2))</x:f>
        <x:v>1012.0237265414727</x:v>
      </x:c>
      <x:c r="AJ438" s="17" t="n">
        <x:f>IF(AND($A438&gt;='Control Room'!$A$13,$A438&lt;'Control Room'!$A$13+'Control Room'!$B$13,'Process'!BQ2=1),1+('Control Room'!$C$13-1)*EXP(-0.5*(($A438-'Control Room'!$A$13-('Control Room'!$B$13-1)/2)/MAX(0.5,'Control Room'!$B$13/4))^2),1)*IF(AND($A438&gt;='Control Room'!$A$14,$A438&lt;'Control Room'!$A$14+'Control Room'!$B$14,'Process'!BQ3=1),1+('Control Room'!$C$14-1)*EXP(-0.5*(($A438-'Control Room'!$A$14-('Control Room'!$B$14-1)/2)/MAX(0.5,'Control Room'!$B$14/4))^2),1)*IF(AND($A438&gt;='Control Room'!$A$15,$A438&lt;'Control Room'!$A$15+'Control Room'!$B$15,'Process'!BQ4=1),1+('Control Room'!$C$15-1)*EXP(-0.5*(($A438-'Control Room'!$A$15-('Control Room'!$B$15-1)/2)/MAX(0.5,'Control Room'!$B$15/4))^2),1)*IF(AND($A438&gt;='Control Room'!$A$16,$A438&lt;'Control Room'!$A$16+'Control Room'!$B$16,'Process'!BQ5=1),1+('Control Room'!$C$16-1)*EXP(-0.5*(($A438-'Control Room'!$A$16-('Control Room'!$B$16-1)/2)/MAX(0.5,'Control Room'!$B$16/4))^2),1)</x:f>
        <x:v>1</x:v>
      </x:c>
      <x:c r="AK438" s="9" t="n">
        <x:f>MOD(AL437*16807,2147483647)</x:f>
        <x:v>470447869</x:v>
      </x:c>
      <x:c r="AL438" s="9" t="n">
        <x:f>MOD(AK438*16807,2147483647)</x:f>
        <x:v>1930029676</x:v>
      </x:c>
      <x:c r="AM438" s="17" t="n">
        <x:f>IF('Control Room'!$B$5="Normal",'Control Room'!$B$7+'Control Room'!$D$7*SQRT(-2*LN(MAX(0.000000000001,AK438/2147483647)))*COS(2*PI()*AL438/2147483647),'Control Room'!$B$8+('Control Room'!$D$8-'Control Room'!$B$8)*AK438/2147483647)</x:f>
        <x:v>1126.1492954891185</x:v>
      </x:c>
      <x:c r="AN438" s="17" t="n">
        <x:f>IF('Control Room'!$B$5="Normal",'Control Room'!$B$7,('Control Room'!$B$8+'Control Room'!$D$8)/2)+'Control Room'!$B$9*(AN437-IF('Control Room'!$B$5="Normal",'Control Room'!$B$7,('Control Room'!$B$8+'Control Room'!$D$8)/2))+SQRT(1-'Control Room'!$B$9^2)*(AM438-IF('Control Room'!$B$5="Normal",'Control Room'!$B$7,('Control Room'!$B$8+'Control Room'!$D$8)/2))</x:f>
        <x:v>1133.8081538485599</x:v>
      </x:c>
      <x:c r="AO438" s="17" t="n">
        <x:f>IF(AND($A438&gt;='Control Room'!$A$13,$A438&lt;'Control Room'!$A$13+'Control Room'!$B$13,'Process'!BR2=1),1+('Control Room'!$C$13-1)*EXP(-0.5*(($A438-'Control Room'!$A$13-('Control Room'!$B$13-1)/2)/MAX(0.5,'Control Room'!$B$13/4))^2),1)*IF(AND($A438&gt;='Control Room'!$A$14,$A438&lt;'Control Room'!$A$14+'Control Room'!$B$14,'Process'!BR3=1),1+('Control Room'!$C$14-1)*EXP(-0.5*(($A438-'Control Room'!$A$14-('Control Room'!$B$14-1)/2)/MAX(0.5,'Control Room'!$B$14/4))^2),1)*IF(AND($A438&gt;='Control Room'!$A$15,$A438&lt;'Control Room'!$A$15+'Control Room'!$B$15,'Process'!BR4=1),1+('Control Room'!$C$15-1)*EXP(-0.5*(($A438-'Control Room'!$A$15-('Control Room'!$B$15-1)/2)/MAX(0.5,'Control Room'!$B$15/4))^2),1)*IF(AND($A438&gt;='Control Room'!$A$16,$A438&lt;'Control Room'!$A$16+'Control Room'!$B$16,'Process'!BR5=1),1+('Control Room'!$C$16-1)*EXP(-0.5*(($A438-'Control Room'!$A$16-('Control Room'!$B$16-1)/2)/MAX(0.5,'Control Room'!$B$16/4))^2),1)</x:f>
        <x:v>1</x:v>
      </x:c>
      <x:c r="AP438" s="9" t="n">
        <x:f>MOD(AQ437*16807,2147483647)</x:f>
        <x:v>1485360591</x:v>
      </x:c>
      <x:c r="AQ438" s="9" t="n">
        <x:f>MOD(AP438*16807,2147483647)</x:f>
        <x:v>2105540209</x:v>
      </x:c>
      <x:c r="AR438" s="17" t="n">
        <x:f>IF('Control Room'!$B$5="Normal",'Control Room'!$B$7+'Control Room'!$D$7*SQRT(-2*LN(MAX(0.000000000001,AP438/2147483647)))*COS(2*PI()*AQ438/2147483647),'Control Room'!$B$8+('Control Room'!$D$8-'Control Room'!$B$8)*AP438/2147483647)</x:f>
        <x:v>1076.6972441829148</x:v>
      </x:c>
      <x:c r="AS438" s="17" t="n">
        <x:f>IF('Control Room'!$B$5="Normal",'Control Room'!$B$7,('Control Room'!$B$8+'Control Room'!$D$8)/2)+'Control Room'!$B$9*(AS437-IF('Control Room'!$B$5="Normal",'Control Room'!$B$7,('Control Room'!$B$8+'Control Room'!$D$8)/2))+SQRT(1-'Control Room'!$B$9^2)*(AR438-IF('Control Room'!$B$5="Normal",'Control Room'!$B$7,('Control Room'!$B$8+'Control Room'!$D$8)/2))</x:f>
        <x:v>1011.6184704960103</x:v>
      </x:c>
      <x:c r="AT438" s="17" t="n">
        <x:f>IF(AND($A438&gt;='Control Room'!$A$13,$A438&lt;'Control Room'!$A$13+'Control Room'!$B$13,'Process'!BS2=1),1+('Control Room'!$C$13-1)*EXP(-0.5*(($A438-'Control Room'!$A$13-('Control Room'!$B$13-1)/2)/MAX(0.5,'Control Room'!$B$13/4))^2),1)*IF(AND($A438&gt;='Control Room'!$A$14,$A438&lt;'Control Room'!$A$14+'Control Room'!$B$14,'Process'!BS3=1),1+('Control Room'!$C$14-1)*EXP(-0.5*(($A438-'Control Room'!$A$14-('Control Room'!$B$14-1)/2)/MAX(0.5,'Control Room'!$B$14/4))^2),1)*IF(AND($A438&gt;='Control Room'!$A$15,$A438&lt;'Control Room'!$A$15+'Control Room'!$B$15,'Process'!BS4=1),1+('Control Room'!$C$15-1)*EXP(-0.5*(($A438-'Control Room'!$A$15-('Control Room'!$B$15-1)/2)/MAX(0.5,'Control Room'!$B$15/4))^2),1)*IF(AND($A438&gt;='Control Room'!$A$16,$A438&lt;'Control Room'!$A$16+'Control Room'!$B$16,'Process'!BS5=1),1+('Control Room'!$C$16-1)*EXP(-0.5*(($A438-'Control Room'!$A$16-('Control Room'!$B$16-1)/2)/MAX(0.5,'Control Room'!$B$16/4))^2),1)</x:f>
        <x:v>1</x:v>
      </x:c>
      <x:c r="AU438" s="9" t="n">
        <x:f>MOD(AV437*16807,2147483647)</x:f>
        <x:v>352789666</x:v>
      </x:c>
      <x:c r="AV438" s="9" t="n">
        <x:f>MOD(AU438*16807,2147483647)</x:f>
        <x:v>133567095</x:v>
      </x:c>
      <x:c r="AW438" s="17" t="n">
        <x:f>IF('Control Room'!$B$5="Normal",'Control Room'!$B$7+'Control Room'!$D$7*SQRT(-2*LN(MAX(0.000000000001,AU438/2147483647)))*COS(2*PI()*AV438/2147483647),'Control Room'!$B$8+('Control Room'!$D$8-'Control Room'!$B$8)*AU438/2147483647)</x:f>
        <x:v>1158.1593585997343</x:v>
      </x:c>
      <x:c r="AX438" s="17" t="n">
        <x:f>IF('Control Room'!$B$5="Normal",'Control Room'!$B$7,('Control Room'!$B$8+'Control Room'!$D$8)/2)+'Control Room'!$B$9*(AX437-IF('Control Room'!$B$5="Normal",'Control Room'!$B$7,('Control Room'!$B$8+'Control Room'!$D$8)/2))+SQRT(1-'Control Room'!$B$9^2)*(AW438-IF('Control Room'!$B$5="Normal",'Control Room'!$B$7,('Control Room'!$B$8+'Control Room'!$D$8)/2))</x:f>
        <x:v>928.8881081377524</x:v>
      </x:c>
      <x:c r="AY438" s="17" t="n">
        <x:f>IF(AND($A438&gt;='Control Room'!$A$13,$A438&lt;'Control Room'!$A$13+'Control Room'!$B$13,'Process'!BT2=1),1+('Control Room'!$C$13-1)*EXP(-0.5*(($A438-'Control Room'!$A$13-('Control Room'!$B$13-1)/2)/MAX(0.5,'Control Room'!$B$13/4))^2),1)*IF(AND($A438&gt;='Control Room'!$A$14,$A438&lt;'Control Room'!$A$14+'Control Room'!$B$14,'Process'!BT3=1),1+('Control Room'!$C$14-1)*EXP(-0.5*(($A438-'Control Room'!$A$14-('Control Room'!$B$14-1)/2)/MAX(0.5,'Control Room'!$B$14/4))^2),1)*IF(AND($A438&gt;='Control Room'!$A$15,$A438&lt;'Control Room'!$A$15+'Control Room'!$B$15,'Process'!BT4=1),1+('Control Room'!$C$15-1)*EXP(-0.5*(($A438-'Control Room'!$A$15-('Control Room'!$B$15-1)/2)/MAX(0.5,'Control Room'!$B$15/4))^2),1)*IF(AND($A438&gt;='Control Room'!$A$16,$A438&lt;'Control Room'!$A$16+'Control Room'!$B$16,'Process'!BT5=1),1+('Control Room'!$C$16-1)*EXP(-0.5*(($A438-'Control Room'!$A$16-('Control Room'!$B$16-1)/2)/MAX(0.5,'Control Room'!$B$16/4))^2),1)</x:f>
        <x:v>1</x:v>
      </x:c>
      <x:c r="AZ438" s="9" t="n">
        <x:f>MOD(BA437*16807,2147483647)</x:f>
        <x:v>1367702388</x:v>
      </x:c>
      <x:c r="BA438" s="9" t="n">
        <x:f>MOD(AZ438*16807,2147483647)</x:f>
        <x:v>309077628</x:v>
      </x:c>
      <x:c r="BB438" s="17" t="n">
        <x:f>IF('Control Room'!$B$5="Normal",'Control Room'!$B$7+'Control Room'!$D$7*SQRT(-2*LN(MAX(0.000000000001,AZ438/2147483647)))*COS(2*PI()*BA438/2147483647),'Control Room'!$B$8+('Control Room'!$D$8-'Control Room'!$B$8)*AZ438/2147483647)</x:f>
        <x:v>1052.8534591616956</x:v>
      </x:c>
      <x:c r="BC438" s="17" t="n">
        <x:f>IF('Control Room'!$B$5="Normal",'Control Room'!$B$7,('Control Room'!$B$8+'Control Room'!$D$8)/2)+'Control Room'!$B$9*(BC437-IF('Control Room'!$B$5="Normal",'Control Room'!$B$7,('Control Room'!$B$8+'Control Room'!$D$8)/2))+SQRT(1-'Control Room'!$B$9^2)*(BB438-IF('Control Room'!$B$5="Normal",'Control Room'!$B$7,('Control Room'!$B$8+'Control Room'!$D$8)/2))</x:f>
        <x:v>1010.5638438671232</x:v>
      </x:c>
      <x:c r="BD438" s="17" t="n">
        <x:f>IF(AND($A438&gt;='Control Room'!$A$13,$A438&lt;'Control Room'!$A$13+'Control Room'!$B$13,'Process'!BU2=1),1+('Control Room'!$C$13-1)*EXP(-0.5*(($A438-'Control Room'!$A$13-('Control Room'!$B$13-1)/2)/MAX(0.5,'Control Room'!$B$13/4))^2),1)*IF(AND($A438&gt;='Control Room'!$A$14,$A438&lt;'Control Room'!$A$14+'Control Room'!$B$14,'Process'!BU3=1),1+('Control Room'!$C$14-1)*EXP(-0.5*(($A438-'Control Room'!$A$14-('Control Room'!$B$14-1)/2)/MAX(0.5,'Control Room'!$B$14/4))^2),1)*IF(AND($A438&gt;='Control Room'!$A$15,$A438&lt;'Control Room'!$A$15+'Control Room'!$B$15,'Process'!BU4=1),1+('Control Room'!$C$15-1)*EXP(-0.5*(($A438-'Control Room'!$A$15-('Control Room'!$B$15-1)/2)/MAX(0.5,'Control Room'!$B$15/4))^2),1)*IF(AND($A438&gt;='Control Room'!$A$16,$A438&lt;'Control Room'!$A$16+'Control Room'!$B$16,'Process'!BU5=1),1+('Control Room'!$C$16-1)*EXP(-0.5*(($A438-'Control Room'!$A$16-('Control Room'!$B$16-1)/2)/MAX(0.5,'Control Room'!$B$16/4))^2),1)</x:f>
        <x:v>1</x:v>
      </x:c>
      <x:c r="BE438" s="9" t="n">
        <x:f>MOD(BF437*16807,2147483647)</x:f>
        <x:v>235131463</x:v>
      </x:c>
      <x:c r="BF438" s="9" t="n">
        <x:f>MOD(BE438*16807,2147483647)</x:f>
        <x:v>484588161</x:v>
      </x:c>
      <x:c r="BG438" s="17" t="n">
        <x:f>IF('Control Room'!$B$5="Normal",'Control Room'!$B$7+'Control Room'!$D$7*SQRT(-2*LN(MAX(0.000000000001,BE438/2147483647)))*COS(2*PI()*BF438/2147483647),'Control Room'!$B$8+('Control Room'!$D$8-'Control Room'!$B$8)*BE438/2147483647)</x:f>
        <x:v>1028.8439225815466</x:v>
      </x:c>
      <x:c r="BH438" s="17" t="n">
        <x:f>IF('Control Room'!$B$5="Normal",'Control Room'!$B$7,('Control Room'!$B$8+'Control Room'!$D$8)/2)+'Control Room'!$B$9*(BH437-IF('Control Room'!$B$5="Normal",'Control Room'!$B$7,('Control Room'!$B$8+'Control Room'!$D$8)/2))+SQRT(1-'Control Room'!$B$9^2)*(BG438-IF('Control Room'!$B$5="Normal",'Control Room'!$B$7,('Control Room'!$B$8+'Control Room'!$D$8)/2))</x:f>
        <x:v>1079.1261616425722</x:v>
      </x:c>
      <x:c r="BI438" s="17" t="n">
        <x:f>IF(AND($A438&gt;='Control Room'!$A$13,$A438&lt;'Control Room'!$A$13+'Control Room'!$B$13,'Process'!BV2=1),1+('Control Room'!$C$13-1)*EXP(-0.5*(($A438-'Control Room'!$A$13-('Control Room'!$B$13-1)/2)/MAX(0.5,'Control Room'!$B$13/4))^2),1)*IF(AND($A438&gt;='Control Room'!$A$14,$A438&lt;'Control Room'!$A$14+'Control Room'!$B$14,'Process'!BV3=1),1+('Control Room'!$C$14-1)*EXP(-0.5*(($A438-'Control Room'!$A$14-('Control Room'!$B$14-1)/2)/MAX(0.5,'Control Room'!$B$14/4))^2),1)*IF(AND($A438&gt;='Control Room'!$A$15,$A438&lt;'Control Room'!$A$15+'Control Room'!$B$15,'Process'!BV4=1),1+('Control Room'!$C$15-1)*EXP(-0.5*(($A438-'Control Room'!$A$15-('Control Room'!$B$15-1)/2)/MAX(0.5,'Control Room'!$B$15/4))^2),1)*IF(AND($A438&gt;='Control Room'!$A$16,$A438&lt;'Control Room'!$A$16+'Control Room'!$B$16,'Process'!BV5=1),1+('Control Room'!$C$16-1)*EXP(-0.5*(($A438-'Control Room'!$A$16-('Control Room'!$B$16-1)/2)/MAX(0.5,'Control Room'!$B$16/4))^2),1)</x:f>
        <x:v>1</x:v>
      </x:c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Z438" t="str">
        <x:f>IF('Data'!A438="","",TEXT('Data'!A438,"mm-dd"))</x:f>
      </x:c>
    </x:row>
    <x:row r="439" ht="21" customHeight="1">
      <x:c r="A439" s="15" t="n">
        <x:f>'Control Room'!$B$1+437</x:f>
        <x:v>73428</x:v>
      </x:c>
      <x:c r="B439" s="9" t="n">
        <x:f>MOD(C438*16807,2147483647)</x:f>
        <x:v>1832329232</x:v>
      </x:c>
      <x:c r="C439" s="9" t="n">
        <x:f>MOD(B439*16807,2147483647)</x:f>
        <x:v>1041904244</x:v>
      </x:c>
      <x:c r="D439" s="17" t="n">
        <x:f>IF('Control Room'!$B$5="Normal",'Control Room'!$B$7+'Control Room'!$D$7*SQRT(-2*LN(MAX(0.000000000001,B439/2147483647)))*COS(2*PI()*C439/2147483647),'Control Room'!$B$8+('Control Room'!$D$8-'Control Room'!$B$8)*B439/2147483647)</x:f>
        <x:v>949.5139904462326</x:v>
      </x:c>
      <x:c r="E439" s="17" t="n">
        <x:f>IF('Control Room'!$B$5="Normal",'Control Room'!$B$7,('Control Room'!$B$8+'Control Room'!$D$8)/2)+'Control Room'!$B$9*(E438-IF('Control Room'!$B$5="Normal",'Control Room'!$B$7,('Control Room'!$B$8+'Control Room'!$D$8)/2))+SQRT(1-'Control Room'!$B$9^2)*(D439-IF('Control Room'!$B$5="Normal",'Control Room'!$B$7,('Control Room'!$B$8+'Control Room'!$D$8)/2))</x:f>
        <x:v>1043.6205575035412</x:v>
      </x:c>
      <x:c r="F439" s="17" t="n">
        <x:f>IF(AND($A439&gt;='Control Room'!$A$13,$A439&lt;'Control Room'!$A$13+'Control Room'!$B$13,'Process'!BK2=1),1+('Control Room'!$C$13-1)*EXP(-0.5*(($A439-'Control Room'!$A$13-('Control Room'!$B$13-1)/2)/MAX(0.5,'Control Room'!$B$13/4))^2),1)*IF(AND($A439&gt;='Control Room'!$A$14,$A439&lt;'Control Room'!$A$14+'Control Room'!$B$14,'Process'!BK3=1),1+('Control Room'!$C$14-1)*EXP(-0.5*(($A439-'Control Room'!$A$14-('Control Room'!$B$14-1)/2)/MAX(0.5,'Control Room'!$B$14/4))^2),1)*IF(AND($A439&gt;='Control Room'!$A$15,$A439&lt;'Control Room'!$A$15+'Control Room'!$B$15,'Process'!BK4=1),1+('Control Room'!$C$15-1)*EXP(-0.5*(($A439-'Control Room'!$A$15-('Control Room'!$B$15-1)/2)/MAX(0.5,'Control Room'!$B$15/4))^2),1)*IF(AND($A439&gt;='Control Room'!$A$16,$A439&lt;'Control Room'!$A$16+'Control Room'!$B$16,'Process'!BK5=1),1+('Control Room'!$C$16-1)*EXP(-0.5*(($A439-'Control Room'!$A$16-('Control Room'!$B$16-1)/2)/MAX(0.5,'Control Room'!$B$16/4))^2),1)</x:f>
        <x:v>1</x:v>
      </x:c>
      <x:c r="G439" s="9" t="n">
        <x:f>MOD(H438*16807,2147483647)</x:f>
        <x:v>995326385</x:v>
      </x:c>
      <x:c r="H439" s="9" t="n">
        <x:f>MOD(G439*16807,2147483647)</x:f>
        <x:v>1700426212</x:v>
      </x:c>
      <x:c r="I439" s="17" t="n">
        <x:f>IF('Control Room'!$B$5="Normal",'Control Room'!$B$7+'Control Room'!$D$7*SQRT(-2*LN(MAX(0.000000000001,G439/2147483647)))*COS(2*PI()*H439/2147483647),'Control Room'!$B$8+('Control Room'!$D$8-'Control Room'!$B$8)*G439/2147483647)</x:f>
        <x:v>1028.9932655401515</x:v>
      </x:c>
      <x:c r="J439" s="17" t="n">
        <x:f>IF('Control Room'!$B$5="Normal",'Control Room'!$B$7,('Control Room'!$B$8+'Control Room'!$D$8)/2)+'Control Room'!$B$9*(J438-IF('Control Room'!$B$5="Normal",'Control Room'!$B$7,('Control Room'!$B$8+'Control Room'!$D$8)/2))+SQRT(1-'Control Room'!$B$9^2)*(I439-IF('Control Room'!$B$5="Normal",'Control Room'!$B$7,('Control Room'!$B$8+'Control Room'!$D$8)/2))</x:f>
        <x:v>985.0932208636412</x:v>
      </x:c>
      <x:c r="K439" s="17" t="n">
        <x:f>IF(AND($A439&gt;='Control Room'!$A$13,$A439&lt;'Control Room'!$A$13+'Control Room'!$B$13,'Process'!BL2=1),1+('Control Room'!$C$13-1)*EXP(-0.5*(($A439-'Control Room'!$A$13-('Control Room'!$B$13-1)/2)/MAX(0.5,'Control Room'!$B$13/4))^2),1)*IF(AND($A439&gt;='Control Room'!$A$14,$A439&lt;'Control Room'!$A$14+'Control Room'!$B$14,'Process'!BL3=1),1+('Control Room'!$C$14-1)*EXP(-0.5*(($A439-'Control Room'!$A$14-('Control Room'!$B$14-1)/2)/MAX(0.5,'Control Room'!$B$14/4))^2),1)*IF(AND($A439&gt;='Control Room'!$A$15,$A439&lt;'Control Room'!$A$15+'Control Room'!$B$15,'Process'!BL4=1),1+('Control Room'!$C$15-1)*EXP(-0.5*(($A439-'Control Room'!$A$15-('Control Room'!$B$15-1)/2)/MAX(0.5,'Control Room'!$B$15/4))^2),1)*IF(AND($A439&gt;='Control Room'!$A$16,$A439&lt;'Control Room'!$A$16+'Control Room'!$B$16,'Process'!BL5=1),1+('Control Room'!$C$16-1)*EXP(-0.5*(($A439-'Control Room'!$A$16-('Control Room'!$B$16-1)/2)/MAX(0.5,'Control Room'!$B$16/4))^2),1)</x:f>
        <x:v>1</x:v>
      </x:c>
      <x:c r="L439" s="9" t="n">
        <x:f>MOD(M438*16807,2147483647)</x:f>
        <x:v>158323538</x:v>
      </x:c>
      <x:c r="M439" s="9" t="n">
        <x:f>MOD(L439*16807,2147483647)</x:f>
        <x:v>211464533</x:v>
      </x:c>
      <x:c r="N439" s="17" t="n">
        <x:f>IF('Control Room'!$B$5="Normal",'Control Room'!$B$7+'Control Room'!$D$7*SQRT(-2*LN(MAX(0.000000000001,L439/2147483647)))*COS(2*PI()*M439/2147483647),'Control Room'!$B$8+('Control Room'!$D$8-'Control Room'!$B$8)*L439/2147483647)</x:f>
        <x:v>1167.425296226929</x:v>
      </x:c>
      <x:c r="O439" s="17" t="n">
        <x:f>IF('Control Room'!$B$5="Normal",'Control Room'!$B$7,('Control Room'!$B$8+'Control Room'!$D$8)/2)+'Control Room'!$B$9*(O438-IF('Control Room'!$B$5="Normal",'Control Room'!$B$7,('Control Room'!$B$8+'Control Room'!$D$8)/2))+SQRT(1-'Control Room'!$B$9^2)*(N439-IF('Control Room'!$B$5="Normal",'Control Room'!$B$7,('Control Room'!$B$8+'Control Room'!$D$8)/2))</x:f>
        <x:v>1093.4858903591048</x:v>
      </x:c>
      <x:c r="P439" s="17" t="n">
        <x:f>IF(AND($A439&gt;='Control Room'!$A$13,$A439&lt;'Control Room'!$A$13+'Control Room'!$B$13,'Process'!BM2=1),1+('Control Room'!$C$13-1)*EXP(-0.5*(($A439-'Control Room'!$A$13-('Control Room'!$B$13-1)/2)/MAX(0.5,'Control Room'!$B$13/4))^2),1)*IF(AND($A439&gt;='Control Room'!$A$14,$A439&lt;'Control Room'!$A$14+'Control Room'!$B$14,'Process'!BM3=1),1+('Control Room'!$C$14-1)*EXP(-0.5*(($A439-'Control Room'!$A$14-('Control Room'!$B$14-1)/2)/MAX(0.5,'Control Room'!$B$14/4))^2),1)*IF(AND($A439&gt;='Control Room'!$A$15,$A439&lt;'Control Room'!$A$15+'Control Room'!$B$15,'Process'!BM4=1),1+('Control Room'!$C$15-1)*EXP(-0.5*(($A439-'Control Room'!$A$15-('Control Room'!$B$15-1)/2)/MAX(0.5,'Control Room'!$B$15/4))^2),1)*IF(AND($A439&gt;='Control Room'!$A$16,$A439&lt;'Control Room'!$A$16+'Control Room'!$B$16,'Process'!BM5=1),1+('Control Room'!$C$16-1)*EXP(-0.5*(($A439-'Control Room'!$A$16-('Control Room'!$B$16-1)/2)/MAX(0.5,'Control Room'!$B$16/4))^2),1)</x:f>
        <x:v>1</x:v>
      </x:c>
      <x:c r="Q439" s="9" t="n">
        <x:f>MOD(R438*16807,2147483647)</x:f>
        <x:v>1468804338</x:v>
      </x:c>
      <x:c r="R439" s="9" t="n">
        <x:f>MOD(Q439*16807,2147483647)</x:f>
        <x:v>869986501</x:v>
      </x:c>
      <x:c r="S439" s="17" t="n">
        <x:f>IF('Control Room'!$B$5="Normal",'Control Room'!$B$7+'Control Room'!$D$7*SQRT(-2*LN(MAX(0.000000000001,Q439/2147483647)))*COS(2*PI()*R439/2147483647),'Control Room'!$B$8+('Control Room'!$D$8-'Control Room'!$B$8)*Q439/2147483647)</x:f>
        <x:v>935.0871235984893</x:v>
      </x:c>
      <x:c r="T439" s="17" t="n">
        <x:f>IF('Control Room'!$B$5="Normal",'Control Room'!$B$7,('Control Room'!$B$8+'Control Room'!$D$8)/2)+'Control Room'!$B$9*(T438-IF('Control Room'!$B$5="Normal",'Control Room'!$B$7,('Control Room'!$B$8+'Control Room'!$D$8)/2))+SQRT(1-'Control Room'!$B$9^2)*(S439-IF('Control Room'!$B$5="Normal",'Control Room'!$B$7,('Control Room'!$B$8+'Control Room'!$D$8)/2))</x:f>
        <x:v>888.4311200609922</x:v>
      </x:c>
      <x:c r="U439" s="17" t="n">
        <x:f>IF(AND($A439&gt;='Control Room'!$A$13,$A439&lt;'Control Room'!$A$13+'Control Room'!$B$13,'Process'!BN2=1),1+('Control Room'!$C$13-1)*EXP(-0.5*(($A439-'Control Room'!$A$13-('Control Room'!$B$13-1)/2)/MAX(0.5,'Control Room'!$B$13/4))^2),1)*IF(AND($A439&gt;='Control Room'!$A$14,$A439&lt;'Control Room'!$A$14+'Control Room'!$B$14,'Process'!BN3=1),1+('Control Room'!$C$14-1)*EXP(-0.5*(($A439-'Control Room'!$A$14-('Control Room'!$B$14-1)/2)/MAX(0.5,'Control Room'!$B$14/4))^2),1)*IF(AND($A439&gt;='Control Room'!$A$15,$A439&lt;'Control Room'!$A$15+'Control Room'!$B$15,'Process'!BN4=1),1+('Control Room'!$C$15-1)*EXP(-0.5*(($A439-'Control Room'!$A$15-('Control Room'!$B$15-1)/2)/MAX(0.5,'Control Room'!$B$15/4))^2),1)*IF(AND($A439&gt;='Control Room'!$A$16,$A439&lt;'Control Room'!$A$16+'Control Room'!$B$16,'Process'!BN5=1),1+('Control Room'!$C$16-1)*EXP(-0.5*(($A439-'Control Room'!$A$16-('Control Room'!$B$16-1)/2)/MAX(0.5,'Control Room'!$B$16/4))^2),1)</x:f>
        <x:v>1</x:v>
      </x:c>
      <x:c r="V439" s="9" t="n">
        <x:f>MOD(W438*16807,2147483647)</x:f>
        <x:v>631801491</x:v>
      </x:c>
      <x:c r="W439" s="9" t="n">
        <x:f>MOD(V439*16807,2147483647)</x:f>
        <x:v>1528508469</x:v>
      </x:c>
      <x:c r="X439" s="17" t="n">
        <x:f>IF('Control Room'!$B$5="Normal",'Control Room'!$B$7+'Control Room'!$D$7*SQRT(-2*LN(MAX(0.000000000001,V439/2147483647)))*COS(2*PI()*W439/2147483647),'Control Room'!$B$8+('Control Room'!$D$8-'Control Room'!$B$8)*V439/2147483647)</x:f>
        <x:v>966.5045329877661</x:v>
      </x:c>
      <x:c r="Y439" s="17" t="n">
        <x:f>IF('Control Room'!$B$5="Normal",'Control Room'!$B$7,('Control Room'!$B$8+'Control Room'!$D$8)/2)+'Control Room'!$B$9*(Y438-IF('Control Room'!$B$5="Normal",'Control Room'!$B$7,('Control Room'!$B$8+'Control Room'!$D$8)/2))+SQRT(1-'Control Room'!$B$9^2)*(X439-IF('Control Room'!$B$5="Normal",'Control Room'!$B$7,('Control Room'!$B$8+'Control Room'!$D$8)/2))</x:f>
        <x:v>963.4034271853449</x:v>
      </x:c>
      <x:c r="Z439" s="17" t="n">
        <x:f>IF(AND($A439&gt;='Control Room'!$A$13,$A439&lt;'Control Room'!$A$13+'Control Room'!$B$13,'Process'!BO2=1),1+('Control Room'!$C$13-1)*EXP(-0.5*(($A439-'Control Room'!$A$13-('Control Room'!$B$13-1)/2)/MAX(0.5,'Control Room'!$B$13/4))^2),1)*IF(AND($A439&gt;='Control Room'!$A$14,$A439&lt;'Control Room'!$A$14+'Control Room'!$B$14,'Process'!BO3=1),1+('Control Room'!$C$14-1)*EXP(-0.5*(($A439-'Control Room'!$A$14-('Control Room'!$B$14-1)/2)/MAX(0.5,'Control Room'!$B$14/4))^2),1)*IF(AND($A439&gt;='Control Room'!$A$15,$A439&lt;'Control Room'!$A$15+'Control Room'!$B$15,'Process'!BO4=1),1+('Control Room'!$C$15-1)*EXP(-0.5*(($A439-'Control Room'!$A$15-('Control Room'!$B$15-1)/2)/MAX(0.5,'Control Room'!$B$15/4))^2),1)*IF(AND($A439&gt;='Control Room'!$A$16,$A439&lt;'Control Room'!$A$16+'Control Room'!$B$16,'Process'!BO5=1),1+('Control Room'!$C$16-1)*EXP(-0.5*(($A439-'Control Room'!$A$16-('Control Room'!$B$16-1)/2)/MAX(0.5,'Control Room'!$B$16/4))^2),1)</x:f>
        <x:v>1</x:v>
      </x:c>
      <x:c r="AA439" s="9" t="n">
        <x:f>MOD(AB438*16807,2147483647)</x:f>
        <x:v>1942282291</x:v>
      </x:c>
      <x:c r="AB439" s="9" t="n">
        <x:f>MOD(AA439*16807,2147483647)</x:f>
        <x:v>39546790</x:v>
      </x:c>
      <x:c r="AC439" s="17" t="n">
        <x:f>IF('Control Room'!$B$5="Normal",'Control Room'!$B$7+'Control Room'!$D$7*SQRT(-2*LN(MAX(0.000000000001,AA439/2147483647)))*COS(2*PI()*AB439/2147483647),'Control Room'!$B$8+('Control Room'!$D$8-'Control Room'!$B$8)*AA439/2147483647)</x:f>
        <x:v>1040.066562871089</x:v>
      </x:c>
      <x:c r="AD439" s="17" t="n">
        <x:f>IF('Control Room'!$B$5="Normal",'Control Room'!$B$7,('Control Room'!$B$8+'Control Room'!$D$8)/2)+'Control Room'!$B$9*(AD438-IF('Control Room'!$B$5="Normal",'Control Room'!$B$7,('Control Room'!$B$8+'Control Room'!$D$8)/2))+SQRT(1-'Control Room'!$B$9^2)*(AC439-IF('Control Room'!$B$5="Normal",'Control Room'!$B$7,('Control Room'!$B$8+'Control Room'!$D$8)/2))</x:f>
        <x:v>964.2802799368928</x:v>
      </x:c>
      <x:c r="AE439" s="17" t="n">
        <x:f>IF(AND($A439&gt;='Control Room'!$A$13,$A439&lt;'Control Room'!$A$13+'Control Room'!$B$13,'Process'!BP2=1),1+('Control Room'!$C$13-1)*EXP(-0.5*(($A439-'Control Room'!$A$13-('Control Room'!$B$13-1)/2)/MAX(0.5,'Control Room'!$B$13/4))^2),1)*IF(AND($A439&gt;='Control Room'!$A$14,$A439&lt;'Control Room'!$A$14+'Control Room'!$B$14,'Process'!BP3=1),1+('Control Room'!$C$14-1)*EXP(-0.5*(($A439-'Control Room'!$A$14-('Control Room'!$B$14-1)/2)/MAX(0.5,'Control Room'!$B$14/4))^2),1)*IF(AND($A439&gt;='Control Room'!$A$15,$A439&lt;'Control Room'!$A$15+'Control Room'!$B$15,'Process'!BP4=1),1+('Control Room'!$C$15-1)*EXP(-0.5*(($A439-'Control Room'!$A$15-('Control Room'!$B$15-1)/2)/MAX(0.5,'Control Room'!$B$15/4))^2),1)*IF(AND($A439&gt;='Control Room'!$A$16,$A439&lt;'Control Room'!$A$16+'Control Room'!$B$16,'Process'!BP5=1),1+('Control Room'!$C$16-1)*EXP(-0.5*(($A439-'Control Room'!$A$16-('Control Room'!$B$16-1)/2)/MAX(0.5,'Control Room'!$B$16/4))^2),1)</x:f>
        <x:v>1</x:v>
      </x:c>
      <x:c r="AF439" s="9" t="n">
        <x:f>MOD(AG438*16807,2147483647)</x:f>
        <x:v>1105279444</x:v>
      </x:c>
      <x:c r="AG439" s="9" t="n">
        <x:f>MOD(AF439*16807,2147483647)</x:f>
        <x:v>698068758</x:v>
      </x:c>
      <x:c r="AH439" s="17" t="n">
        <x:f>IF('Control Room'!$B$5="Normal",'Control Room'!$B$7+'Control Room'!$D$7*SQRT(-2*LN(MAX(0.000000000001,AF439/2147483647)))*COS(2*PI()*AG439/2147483647),'Control Room'!$B$8+('Control Room'!$D$8-'Control Room'!$B$8)*AF439/2147483647)</x:f>
        <x:v>952.8704100341781</x:v>
      </x:c>
      <x:c r="AI439" s="17" t="n">
        <x:f>IF('Control Room'!$B$5="Normal",'Control Room'!$B$7,('Control Room'!$B$8+'Control Room'!$D$8)/2)+'Control Room'!$B$9*(AI438-IF('Control Room'!$B$5="Normal",'Control Room'!$B$7,('Control Room'!$B$8+'Control Room'!$D$8)/2))+SQRT(1-'Control Room'!$B$9^2)*(AH439-IF('Control Room'!$B$5="Normal",'Control Room'!$B$7,('Control Room'!$B$8+'Control Room'!$D$8)/2))</x:f>
        <x:v>979.8857748038674</x:v>
      </x:c>
      <x:c r="AJ439" s="17" t="n">
        <x:f>IF(AND($A439&gt;='Control Room'!$A$13,$A439&lt;'Control Room'!$A$13+'Control Room'!$B$13,'Process'!BQ2=1),1+('Control Room'!$C$13-1)*EXP(-0.5*(($A439-'Control Room'!$A$13-('Control Room'!$B$13-1)/2)/MAX(0.5,'Control Room'!$B$13/4))^2),1)*IF(AND($A439&gt;='Control Room'!$A$14,$A439&lt;'Control Room'!$A$14+'Control Room'!$B$14,'Process'!BQ3=1),1+('Control Room'!$C$14-1)*EXP(-0.5*(($A439-'Control Room'!$A$14-('Control Room'!$B$14-1)/2)/MAX(0.5,'Control Room'!$B$14/4))^2),1)*IF(AND($A439&gt;='Control Room'!$A$15,$A439&lt;'Control Room'!$A$15+'Control Room'!$B$15,'Process'!BQ4=1),1+('Control Room'!$C$15-1)*EXP(-0.5*(($A439-'Control Room'!$A$15-('Control Room'!$B$15-1)/2)/MAX(0.5,'Control Room'!$B$15/4))^2),1)*IF(AND($A439&gt;='Control Room'!$A$16,$A439&lt;'Control Room'!$A$16+'Control Room'!$B$16,'Process'!BQ5=1),1+('Control Room'!$C$16-1)*EXP(-0.5*(($A439-'Control Room'!$A$16-('Control Room'!$B$16-1)/2)/MAX(0.5,'Control Room'!$B$16/4))^2),1)</x:f>
        <x:v>1</x:v>
      </x:c>
      <x:c r="AK439" s="9" t="n">
        <x:f>MOD(AL438*16807,2147483647)</x:f>
        <x:v>268276597</x:v>
      </x:c>
      <x:c r="AL439" s="9" t="n">
        <x:f>MOD(AK439*16807,2147483647)</x:f>
        <x:v>1356590726</x:v>
      </x:c>
      <x:c r="AM439" s="17" t="n">
        <x:f>IF('Control Room'!$B$5="Normal",'Control Room'!$B$7+'Control Room'!$D$7*SQRT(-2*LN(MAX(0.000000000001,AK439/2147483647)))*COS(2*PI()*AL439/2147483647),'Control Room'!$B$8+('Control Room'!$D$8-'Control Room'!$B$8)*AK439/2147483647)</x:f>
        <x:v>875.7867727645122</x:v>
      </x:c>
      <x:c r="AN439" s="17" t="n">
        <x:f>IF('Control Room'!$B$5="Normal",'Control Room'!$B$7,('Control Room'!$B$8+'Control Room'!$D$8)/2)+'Control Room'!$B$9*(AN438-IF('Control Room'!$B$5="Normal",'Control Room'!$B$7,('Control Room'!$B$8+'Control Room'!$D$8)/2))+SQRT(1-'Control Room'!$B$9^2)*(AM439-IF('Control Room'!$B$5="Normal",'Control Room'!$B$7,('Control Room'!$B$8+'Control Room'!$D$8)/2))</x:f>
        <x:v>1026.640267044182</x:v>
      </x:c>
      <x:c r="AO439" s="17" t="n">
        <x:f>IF(AND($A439&gt;='Control Room'!$A$13,$A439&lt;'Control Room'!$A$13+'Control Room'!$B$13,'Process'!BR2=1),1+('Control Room'!$C$13-1)*EXP(-0.5*(($A439-'Control Room'!$A$13-('Control Room'!$B$13-1)/2)/MAX(0.5,'Control Room'!$B$13/4))^2),1)*IF(AND($A439&gt;='Control Room'!$A$14,$A439&lt;'Control Room'!$A$14+'Control Room'!$B$14,'Process'!BR3=1),1+('Control Room'!$C$14-1)*EXP(-0.5*(($A439-'Control Room'!$A$14-('Control Room'!$B$14-1)/2)/MAX(0.5,'Control Room'!$B$14/4))^2),1)*IF(AND($A439&gt;='Control Room'!$A$15,$A439&lt;'Control Room'!$A$15+'Control Room'!$B$15,'Process'!BR4=1),1+('Control Room'!$C$15-1)*EXP(-0.5*(($A439-'Control Room'!$A$15-('Control Room'!$B$15-1)/2)/MAX(0.5,'Control Room'!$B$15/4))^2),1)*IF(AND($A439&gt;='Control Room'!$A$16,$A439&lt;'Control Room'!$A$16+'Control Room'!$B$16,'Process'!BR5=1),1+('Control Room'!$C$16-1)*EXP(-0.5*(($A439-'Control Room'!$A$16-('Control Room'!$B$16-1)/2)/MAX(0.5,'Control Room'!$B$16/4))^2),1)</x:f>
        <x:v>1</x:v>
      </x:c>
      <x:c r="AP439" s="9" t="n">
        <x:f>MOD(AQ438*16807,2147483647)</x:f>
        <x:v>1578757397</x:v>
      </x:c>
      <x:c r="AQ439" s="9" t="n">
        <x:f>MOD(AP439*16807,2147483647)</x:f>
        <x:v>2015112694</x:v>
      </x:c>
      <x:c r="AR439" s="17" t="n">
        <x:f>IF('Control Room'!$B$5="Normal",'Control Room'!$B$7+'Control Room'!$D$7*SQRT(-2*LN(MAX(0.000000000001,AP439/2147483647)))*COS(2*PI()*AQ439/2147483647),'Control Room'!$B$8+('Control Room'!$D$8-'Control Room'!$B$8)*AP439/2147483647)</x:f>
        <x:v>1065.369029442288</x:v>
      </x:c>
      <x:c r="AS439" s="17" t="n">
        <x:f>IF('Control Room'!$B$5="Normal",'Control Room'!$B$7,('Control Room'!$B$8+'Control Room'!$D$8)/2)+'Control Room'!$B$9*(AS438-IF('Control Room'!$B$5="Normal",'Control Room'!$B$7,('Control Room'!$B$8+'Control Room'!$D$8)/2))+SQRT(1-'Control Room'!$B$9^2)*(AR439-IF('Control Room'!$B$5="Normal",'Control Room'!$B$7,('Control Room'!$B$8+'Control Room'!$D$8)/2))</x:f>
        <x:v>1049.969006454514</x:v>
      </x:c>
      <x:c r="AT439" s="17" t="n">
        <x:f>IF(AND($A439&gt;='Control Room'!$A$13,$A439&lt;'Control Room'!$A$13+'Control Room'!$B$13,'Process'!BS2=1),1+('Control Room'!$C$13-1)*EXP(-0.5*(($A439-'Control Room'!$A$13-('Control Room'!$B$13-1)/2)/MAX(0.5,'Control Room'!$B$13/4))^2),1)*IF(AND($A439&gt;='Control Room'!$A$14,$A439&lt;'Control Room'!$A$14+'Control Room'!$B$14,'Process'!BS3=1),1+('Control Room'!$C$14-1)*EXP(-0.5*(($A439-'Control Room'!$A$14-('Control Room'!$B$14-1)/2)/MAX(0.5,'Control Room'!$B$14/4))^2),1)*IF(AND($A439&gt;='Control Room'!$A$15,$A439&lt;'Control Room'!$A$15+'Control Room'!$B$15,'Process'!BS4=1),1+('Control Room'!$C$15-1)*EXP(-0.5*(($A439-'Control Room'!$A$15-('Control Room'!$B$15-1)/2)/MAX(0.5,'Control Room'!$B$15/4))^2),1)*IF(AND($A439&gt;='Control Room'!$A$16,$A439&lt;'Control Room'!$A$16+'Control Room'!$B$16,'Process'!BS5=1),1+('Control Room'!$C$16-1)*EXP(-0.5*(($A439-'Control Room'!$A$16-('Control Room'!$B$16-1)/2)/MAX(0.5,'Control Room'!$B$16/4))^2),1)</x:f>
        <x:v>1</x:v>
      </x:c>
      <x:c r="AU439" s="9" t="n">
        <x:f>MOD(AV438*16807,2147483647)</x:f>
        <x:v>741754550</x:v>
      </x:c>
      <x:c r="AV439" s="9" t="n">
        <x:f>MOD(AU439*16807,2147483647)</x:f>
        <x:v>526151015</x:v>
      </x:c>
      <x:c r="AW439" s="17" t="n">
        <x:f>IF('Control Room'!$B$5="Normal",'Control Room'!$B$7+'Control Room'!$D$7*SQRT(-2*LN(MAX(0.000000000001,AU439/2147483647)))*COS(2*PI()*AV439/2147483647),'Control Room'!$B$8+('Control Room'!$D$8-'Control Room'!$B$8)*AU439/2147483647)</x:f>
        <x:v>1004.1152896686435</x:v>
      </x:c>
      <x:c r="AX439" s="17" t="n">
        <x:f>IF('Control Room'!$B$5="Normal",'Control Room'!$B$7,('Control Room'!$B$8+'Control Room'!$D$8)/2)+'Control Room'!$B$9*(AX438-IF('Control Room'!$B$5="Normal",'Control Room'!$B$7,('Control Room'!$B$8+'Control Room'!$D$8)/2))+SQRT(1-'Control Room'!$B$9^2)*(AW439-IF('Control Room'!$B$5="Normal",'Control Room'!$B$7,('Control Room'!$B$8+'Control Room'!$D$8)/2))</x:f>
        <x:v>947.1079883157927</x:v>
      </x:c>
      <x:c r="AY439" s="17" t="n">
        <x:f>IF(AND($A439&gt;='Control Room'!$A$13,$A439&lt;'Control Room'!$A$13+'Control Room'!$B$13,'Process'!BT2=1),1+('Control Room'!$C$13-1)*EXP(-0.5*(($A439-'Control Room'!$A$13-('Control Room'!$B$13-1)/2)/MAX(0.5,'Control Room'!$B$13/4))^2),1)*IF(AND($A439&gt;='Control Room'!$A$14,$A439&lt;'Control Room'!$A$14+'Control Room'!$B$14,'Process'!BT3=1),1+('Control Room'!$C$14-1)*EXP(-0.5*(($A439-'Control Room'!$A$14-('Control Room'!$B$14-1)/2)/MAX(0.5,'Control Room'!$B$14/4))^2),1)*IF(AND($A439&gt;='Control Room'!$A$15,$A439&lt;'Control Room'!$A$15+'Control Room'!$B$15,'Process'!BT4=1),1+('Control Room'!$C$15-1)*EXP(-0.5*(($A439-'Control Room'!$A$15-('Control Room'!$B$15-1)/2)/MAX(0.5,'Control Room'!$B$15/4))^2),1)*IF(AND($A439&gt;='Control Room'!$A$16,$A439&lt;'Control Room'!$A$16+'Control Room'!$B$16,'Process'!BT5=1),1+('Control Room'!$C$16-1)*EXP(-0.5*(($A439-'Control Room'!$A$16-('Control Room'!$B$16-1)/2)/MAX(0.5,'Control Room'!$B$16/4))^2),1)</x:f>
        <x:v>1</x:v>
      </x:c>
      <x:c r="AZ439" s="9" t="n">
        <x:f>MOD(BA438*16807,2147483647)</x:f>
        <x:v>2052235350</x:v>
      </x:c>
      <x:c r="BA439" s="9" t="n">
        <x:f>MOD(AZ439*16807,2147483647)</x:f>
        <x:v>1184672983</x:v>
      </x:c>
      <x:c r="BB439" s="17" t="n">
        <x:f>IF('Control Room'!$B$5="Normal",'Control Room'!$B$7+'Control Room'!$D$7*SQRT(-2*LN(MAX(0.000000000001,AZ439/2147483647)))*COS(2*PI()*BA439/2147483647),'Control Room'!$B$8+('Control Room'!$D$8-'Control Room'!$B$8)*AZ439/2147483647)</x:f>
        <x:v>974.305513469418</x:v>
      </x:c>
      <x:c r="BC439" s="17" t="n">
        <x:f>IF('Control Room'!$B$5="Normal",'Control Room'!$B$7,('Control Room'!$B$8+'Control Room'!$D$8)/2)+'Control Room'!$B$9*(BC438-IF('Control Room'!$B$5="Normal",'Control Room'!$B$7,('Control Room'!$B$8+'Control Room'!$D$8)/2))+SQRT(1-'Control Room'!$B$9^2)*(BB439-IF('Control Room'!$B$5="Normal",'Control Room'!$B$7,('Control Room'!$B$8+'Control Room'!$D$8)/2))</x:f>
        <x:v>992.1607149256857</x:v>
      </x:c>
      <x:c r="BD439" s="17" t="n">
        <x:f>IF(AND($A439&gt;='Control Room'!$A$13,$A439&lt;'Control Room'!$A$13+'Control Room'!$B$13,'Process'!BU2=1),1+('Control Room'!$C$13-1)*EXP(-0.5*(($A439-'Control Room'!$A$13-('Control Room'!$B$13-1)/2)/MAX(0.5,'Control Room'!$B$13/4))^2),1)*IF(AND($A439&gt;='Control Room'!$A$14,$A439&lt;'Control Room'!$A$14+'Control Room'!$B$14,'Process'!BU3=1),1+('Control Room'!$C$14-1)*EXP(-0.5*(($A439-'Control Room'!$A$14-('Control Room'!$B$14-1)/2)/MAX(0.5,'Control Room'!$B$14/4))^2),1)*IF(AND($A439&gt;='Control Room'!$A$15,$A439&lt;'Control Room'!$A$15+'Control Room'!$B$15,'Process'!BU4=1),1+('Control Room'!$C$15-1)*EXP(-0.5*(($A439-'Control Room'!$A$15-('Control Room'!$B$15-1)/2)/MAX(0.5,'Control Room'!$B$15/4))^2),1)*IF(AND($A439&gt;='Control Room'!$A$16,$A439&lt;'Control Room'!$A$16+'Control Room'!$B$16,'Process'!BU5=1),1+('Control Room'!$C$16-1)*EXP(-0.5*(($A439-'Control Room'!$A$16-('Control Room'!$B$16-1)/2)/MAX(0.5,'Control Room'!$B$16/4))^2),1)</x:f>
        <x:v>1</x:v>
      </x:c>
      <x:c r="BE439" s="9" t="n">
        <x:f>MOD(BF438*16807,2147483647)</x:f>
        <x:v>1215232503</x:v>
      </x:c>
      <x:c r="BF439" s="9" t="n">
        <x:f>MOD(BE439*16807,2147483647)</x:f>
        <x:v>1843194951</x:v>
      </x:c>
      <x:c r="BG439" s="17" t="n">
        <x:f>IF('Control Room'!$B$5="Normal",'Control Room'!$B$7+'Control Room'!$D$7*SQRT(-2*LN(MAX(0.000000000001,BE439/2147483647)))*COS(2*PI()*BF439/2147483647),'Control Room'!$B$8+('Control Room'!$D$8-'Control Room'!$B$8)*BE439/2147483647)</x:f>
        <x:v>1060.4263323758355</x:v>
      </x:c>
      <x:c r="BH439" s="17" t="n">
        <x:f>IF('Control Room'!$B$5="Normal",'Control Room'!$B$7,('Control Room'!$B$8+'Control Room'!$D$8)/2)+'Control Room'!$B$9*(BH438-IF('Control Room'!$B$5="Normal",'Control Room'!$B$7,('Control Room'!$B$8+'Control Room'!$D$8)/2))+SQRT(1-'Control Room'!$B$9^2)*(BG439-IF('Control Room'!$B$5="Normal",'Control Room'!$B$7,('Control Room'!$B$8+'Control Room'!$D$8)/2))</x:f>
        <x:v>1099.5319669812998</x:v>
      </x:c>
      <x:c r="BI439" s="17" t="n">
        <x:f>IF(AND($A439&gt;='Control Room'!$A$13,$A439&lt;'Control Room'!$A$13+'Control Room'!$B$13,'Process'!BV2=1),1+('Control Room'!$C$13-1)*EXP(-0.5*(($A439-'Control Room'!$A$13-('Control Room'!$B$13-1)/2)/MAX(0.5,'Control Room'!$B$13/4))^2),1)*IF(AND($A439&gt;='Control Room'!$A$14,$A439&lt;'Control Room'!$A$14+'Control Room'!$B$14,'Process'!BV3=1),1+('Control Room'!$C$14-1)*EXP(-0.5*(($A439-'Control Room'!$A$14-('Control Room'!$B$14-1)/2)/MAX(0.5,'Control Room'!$B$14/4))^2),1)*IF(AND($A439&gt;='Control Room'!$A$15,$A439&lt;'Control Room'!$A$15+'Control Room'!$B$15,'Process'!BV4=1),1+('Control Room'!$C$15-1)*EXP(-0.5*(($A439-'Control Room'!$A$15-('Control Room'!$B$15-1)/2)/MAX(0.5,'Control Room'!$B$15/4))^2),1)*IF(AND($A439&gt;='Control Room'!$A$16,$A439&lt;'Control Room'!$A$16+'Control Room'!$B$16,'Process'!BV5=1),1+('Control Room'!$C$16-1)*EXP(-0.5*(($A439-'Control Room'!$A$16-('Control Room'!$B$16-1)/2)/MAX(0.5,'Control Room'!$B$16/4))^2),1)</x:f>
        <x:v>1</x:v>
      </x:c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Z439" t="str">
        <x:f>IF('Data'!A439="","",TEXT('Data'!A439,"mm-dd"))</x:f>
      </x:c>
    </x:row>
    <x:row r="440" ht="21" customHeight="1">
      <x:c r="A440" s="15" t="n">
        <x:f>'Control Room'!$B$1+438</x:f>
        <x:v>73429</x:v>
      </x:c>
      <x:c r="B440" s="9" t="n">
        <x:f>MOD(C439*16807,2147483647)</x:f>
        <x:v>702971270</x:v>
      </x:c>
      <x:c r="C440" s="9" t="n">
        <x:f>MOD(B440*16807,2147483647)</x:f>
        <x:v>1530592743</x:v>
      </x:c>
      <x:c r="D440" s="17" t="n">
        <x:f>IF('Control Room'!$B$5="Normal",'Control Room'!$B$7+'Control Room'!$D$7*SQRT(-2*LN(MAX(0.000000000001,B440/2147483647)))*COS(2*PI()*C440/2147483647),'Control Room'!$B$8+('Control Room'!$D$8-'Control Room'!$B$8)*B440/2147483647)</x:f>
        <x:v>968.7962793145257</x:v>
      </x:c>
      <x:c r="E440" s="17" t="n">
        <x:f>IF('Control Room'!$B$5="Normal",'Control Room'!$B$7,('Control Room'!$B$8+'Control Room'!$D$8)/2)+'Control Room'!$B$9*(E439-IF('Control Room'!$B$5="Normal",'Control Room'!$B$7,('Control Room'!$B$8+'Control Room'!$D$8)/2))+SQRT(1-'Control Room'!$B$9^2)*(D440-IF('Control Room'!$B$5="Normal",'Control Room'!$B$7,('Control Room'!$B$8+'Control Room'!$D$8)/2))</x:f>
        <x:v>1014.4973856907567</x:v>
      </x:c>
      <x:c r="F440" s="17" t="n">
        <x:f>IF(AND($A440&gt;='Control Room'!$A$13,$A440&lt;'Control Room'!$A$13+'Control Room'!$B$13,'Process'!BK2=1),1+('Control Room'!$C$13-1)*EXP(-0.5*(($A440-'Control Room'!$A$13-('Control Room'!$B$13-1)/2)/MAX(0.5,'Control Room'!$B$13/4))^2),1)*IF(AND($A440&gt;='Control Room'!$A$14,$A440&lt;'Control Room'!$A$14+'Control Room'!$B$14,'Process'!BK3=1),1+('Control Room'!$C$14-1)*EXP(-0.5*(($A440-'Control Room'!$A$14-('Control Room'!$B$14-1)/2)/MAX(0.5,'Control Room'!$B$14/4))^2),1)*IF(AND($A440&gt;='Control Room'!$A$15,$A440&lt;'Control Room'!$A$15+'Control Room'!$B$15,'Process'!BK4=1),1+('Control Room'!$C$15-1)*EXP(-0.5*(($A440-'Control Room'!$A$15-('Control Room'!$B$15-1)/2)/MAX(0.5,'Control Room'!$B$15/4))^2),1)*IF(AND($A440&gt;='Control Room'!$A$16,$A440&lt;'Control Room'!$A$16+'Control Room'!$B$16,'Process'!BK5=1),1+('Control Room'!$C$16-1)*EXP(-0.5*(($A440-'Control Room'!$A$16-('Control Room'!$B$16-1)/2)/MAX(0.5,'Control Room'!$B$16/4))^2),1)</x:f>
        <x:v>1</x:v>
      </x:c>
      <x:c r="G440" s="9" t="n">
        <x:f>MOD(H439*16807,2147483647)</x:f>
        <x:v>350970808</x:v>
      </x:c>
      <x:c r="H440" s="9" t="n">
        <x:f>MOD(G440*16807,2147483647)</x:f>
        <x:v>1776275394</x:v>
      </x:c>
      <x:c r="I440" s="17" t="n">
        <x:f>IF('Control Room'!$B$5="Normal",'Control Room'!$B$7+'Control Room'!$D$7*SQRT(-2*LN(MAX(0.000000000001,G440/2147483647)))*COS(2*PI()*H440/2147483647),'Control Room'!$B$8+('Control Room'!$D$8-'Control Room'!$B$8)*G440/2147483647)</x:f>
        <x:v>1079.8165198372092</x:v>
      </x:c>
      <x:c r="J440" s="17" t="n">
        <x:f>IF('Control Room'!$B$5="Normal",'Control Room'!$B$7,('Control Room'!$B$8+'Control Room'!$D$8)/2)+'Control Room'!$B$9*(J439-IF('Control Room'!$B$5="Normal",'Control Room'!$B$7,('Control Room'!$B$8+'Control Room'!$D$8)/2))+SQRT(1-'Control Room'!$B$9^2)*(I440-IF('Control Room'!$B$5="Normal",'Control Room'!$B$7,('Control Room'!$B$8+'Control Room'!$D$8)/2))</x:f>
        <x:v>1038.3202552574796</x:v>
      </x:c>
      <x:c r="K440" s="17" t="n">
        <x:f>IF(AND($A440&gt;='Control Room'!$A$13,$A440&lt;'Control Room'!$A$13+'Control Room'!$B$13,'Process'!BL2=1),1+('Control Room'!$C$13-1)*EXP(-0.5*(($A440-'Control Room'!$A$13-('Control Room'!$B$13-1)/2)/MAX(0.5,'Control Room'!$B$13/4))^2),1)*IF(AND($A440&gt;='Control Room'!$A$14,$A440&lt;'Control Room'!$A$14+'Control Room'!$B$14,'Process'!BL3=1),1+('Control Room'!$C$14-1)*EXP(-0.5*(($A440-'Control Room'!$A$14-('Control Room'!$B$14-1)/2)/MAX(0.5,'Control Room'!$B$14/4))^2),1)*IF(AND($A440&gt;='Control Room'!$A$15,$A440&lt;'Control Room'!$A$15+'Control Room'!$B$15,'Process'!BL4=1),1+('Control Room'!$C$15-1)*EXP(-0.5*(($A440-'Control Room'!$A$15-('Control Room'!$B$15-1)/2)/MAX(0.5,'Control Room'!$B$15/4))^2),1)*IF(AND($A440&gt;='Control Room'!$A$16,$A440&lt;'Control Room'!$A$16+'Control Room'!$B$16,'Process'!BL5=1),1+('Control Room'!$C$16-1)*EXP(-0.5*(($A440-'Control Room'!$A$16-('Control Room'!$B$16-1)/2)/MAX(0.5,'Control Room'!$B$16/4))^2),1)</x:f>
        <x:v>1</x:v>
      </x:c>
      <x:c r="L440" s="9" t="n">
        <x:f>MOD(M439*16807,2147483647)</x:f>
        <x:v>2146453993</x:v>
      </x:c>
      <x:c r="M440" s="9" t="n">
        <x:f>MOD(L440*16807,2147483647)</x:f>
        <x:v>2021958045</x:v>
      </x:c>
      <x:c r="N440" s="17" t="n">
        <x:f>IF('Control Room'!$B$5="Normal",'Control Room'!$B$7+'Control Room'!$D$7*SQRT(-2*LN(MAX(0.000000000001,L440/2147483647)))*COS(2*PI()*M440/2147483647),'Control Room'!$B$8+('Control Room'!$D$8-'Control Room'!$B$8)*L440/2147483647)</x:f>
        <x:v>1002.6014600660819</x:v>
      </x:c>
      <x:c r="O440" s="17" t="n">
        <x:f>IF('Control Room'!$B$5="Normal",'Control Room'!$B$7,('Control Room'!$B$8+'Control Room'!$D$8)/2)+'Control Room'!$B$9*(O439-IF('Control Room'!$B$5="Normal",'Control Room'!$B$7,('Control Room'!$B$8+'Control Room'!$D$8)/2))+SQRT(1-'Control Room'!$B$9^2)*(N440-IF('Control Room'!$B$5="Normal",'Control Room'!$B$7,('Control Room'!$B$8+'Control Room'!$D$8)/2))</x:f>
        <x:v>1074.5469348956494</x:v>
      </x:c>
      <x:c r="P440" s="17" t="n">
        <x:f>IF(AND($A440&gt;='Control Room'!$A$13,$A440&lt;'Control Room'!$A$13+'Control Room'!$B$13,'Process'!BM2=1),1+('Control Room'!$C$13-1)*EXP(-0.5*(($A440-'Control Room'!$A$13-('Control Room'!$B$13-1)/2)/MAX(0.5,'Control Room'!$B$13/4))^2),1)*IF(AND($A440&gt;='Control Room'!$A$14,$A440&lt;'Control Room'!$A$14+'Control Room'!$B$14,'Process'!BM3=1),1+('Control Room'!$C$14-1)*EXP(-0.5*(($A440-'Control Room'!$A$14-('Control Room'!$B$14-1)/2)/MAX(0.5,'Control Room'!$B$14/4))^2),1)*IF(AND($A440&gt;='Control Room'!$A$15,$A440&lt;'Control Room'!$A$15+'Control Room'!$B$15,'Process'!BM4=1),1+('Control Room'!$C$15-1)*EXP(-0.5*(($A440-'Control Room'!$A$15-('Control Room'!$B$15-1)/2)/MAX(0.5,'Control Room'!$B$15/4))^2),1)*IF(AND($A440&gt;='Control Room'!$A$16,$A440&lt;'Control Room'!$A$16+'Control Room'!$B$16,'Process'!BM5=1),1+('Control Room'!$C$16-1)*EXP(-0.5*(($A440-'Control Room'!$A$16-('Control Room'!$B$16-1)/2)/MAX(0.5,'Control Room'!$B$16/4))^2),1)</x:f>
        <x:v>1</x:v>
      </x:c>
      <x:c r="Q440" s="9" t="n">
        <x:f>MOD(R439*16807,2147483647)</x:f>
        <x:v>1794453531</x:v>
      </x:c>
      <x:c r="R440" s="9" t="n">
        <x:f>MOD(Q440*16807,2147483647)</x:f>
        <x:v>120157049</x:v>
      </x:c>
      <x:c r="S440" s="17" t="n">
        <x:f>IF('Control Room'!$B$5="Normal",'Control Room'!$B$7+'Control Room'!$D$7*SQRT(-2*LN(MAX(0.000000000001,Q440/2147483647)))*COS(2*PI()*R440/2147483647),'Control Room'!$B$8+('Control Room'!$D$8-'Control Room'!$B$8)*Q440/2147483647)</x:f>
        <x:v>1050.6402881717784</x:v>
      </x:c>
      <x:c r="T440" s="17" t="n">
        <x:f>IF('Control Room'!$B$5="Normal",'Control Room'!$B$7,('Control Room'!$B$8+'Control Room'!$D$8)/2)+'Control Room'!$B$9*(T439-IF('Control Room'!$B$5="Normal",'Control Room'!$B$7,('Control Room'!$B$8+'Control Room'!$D$8)/2))+SQRT(1-'Control Room'!$B$9^2)*(S440-IF('Control Room'!$B$5="Normal",'Control Room'!$B$7,('Control Room'!$B$8+'Control Room'!$D$8)/2))</x:f>
        <x:v>944.6659285627807</x:v>
      </x:c>
      <x:c r="U440" s="17" t="n">
        <x:f>IF(AND($A440&gt;='Control Room'!$A$13,$A440&lt;'Control Room'!$A$13+'Control Room'!$B$13,'Process'!BN2=1),1+('Control Room'!$C$13-1)*EXP(-0.5*(($A440-'Control Room'!$A$13-('Control Room'!$B$13-1)/2)/MAX(0.5,'Control Room'!$B$13/4))^2),1)*IF(AND($A440&gt;='Control Room'!$A$14,$A440&lt;'Control Room'!$A$14+'Control Room'!$B$14,'Process'!BN3=1),1+('Control Room'!$C$14-1)*EXP(-0.5*(($A440-'Control Room'!$A$14-('Control Room'!$B$14-1)/2)/MAX(0.5,'Control Room'!$B$14/4))^2),1)*IF(AND($A440&gt;='Control Room'!$A$15,$A440&lt;'Control Room'!$A$15+'Control Room'!$B$15,'Process'!BN4=1),1+('Control Room'!$C$15-1)*EXP(-0.5*(($A440-'Control Room'!$A$15-('Control Room'!$B$15-1)/2)/MAX(0.5,'Control Room'!$B$15/4))^2),1)*IF(AND($A440&gt;='Control Room'!$A$16,$A440&lt;'Control Room'!$A$16+'Control Room'!$B$16,'Process'!BN5=1),1+('Control Room'!$C$16-1)*EXP(-0.5*(($A440-'Control Room'!$A$16-('Control Room'!$B$16-1)/2)/MAX(0.5,'Control Room'!$B$16/4))^2),1)</x:f>
        <x:v>1</x:v>
      </x:c>
      <x:c r="V440" s="9" t="n">
        <x:f>MOD(W439*16807,2147483647)</x:f>
        <x:v>1442453069</x:v>
      </x:c>
      <x:c r="W440" s="9" t="n">
        <x:f>MOD(V440*16807,2147483647)</x:f>
        <x:v>365839700</x:v>
      </x:c>
      <x:c r="X440" s="17" t="n">
        <x:f>IF('Control Room'!$B$5="Normal",'Control Room'!$B$7+'Control Room'!$D$7*SQRT(-2*LN(MAX(0.000000000001,V440/2147483647)))*COS(2*PI()*W440/2147483647),'Control Room'!$B$8+('Control Room'!$D$8-'Control Room'!$B$8)*V440/2147483647)</x:f>
        <x:v>1038.522903491679</x:v>
      </x:c>
      <x:c r="Y440" s="17" t="n">
        <x:f>IF('Control Room'!$B$5="Normal",'Control Room'!$B$7,('Control Room'!$B$8+'Control Room'!$D$8)/2)+'Control Room'!$B$9*(Y439-IF('Control Room'!$B$5="Normal",'Control Room'!$B$7,('Control Room'!$B$8+'Control Room'!$D$8)/2))+SQRT(1-'Control Room'!$B$9^2)*(X440-IF('Control Room'!$B$5="Normal",'Control Room'!$B$7,('Control Room'!$B$8+'Control Room'!$D$8)/2))</x:f>
        <x:v>995.5615170250877</x:v>
      </x:c>
      <x:c r="Z440" s="17" t="n">
        <x:f>IF(AND($A440&gt;='Control Room'!$A$13,$A440&lt;'Control Room'!$A$13+'Control Room'!$B$13,'Process'!BO2=1),1+('Control Room'!$C$13-1)*EXP(-0.5*(($A440-'Control Room'!$A$13-('Control Room'!$B$13-1)/2)/MAX(0.5,'Control Room'!$B$13/4))^2),1)*IF(AND($A440&gt;='Control Room'!$A$14,$A440&lt;'Control Room'!$A$14+'Control Room'!$B$14,'Process'!BO3=1),1+('Control Room'!$C$14-1)*EXP(-0.5*(($A440-'Control Room'!$A$14-('Control Room'!$B$14-1)/2)/MAX(0.5,'Control Room'!$B$14/4))^2),1)*IF(AND($A440&gt;='Control Room'!$A$15,$A440&lt;'Control Room'!$A$15+'Control Room'!$B$15,'Process'!BO4=1),1+('Control Room'!$C$15-1)*EXP(-0.5*(($A440-'Control Room'!$A$15-('Control Room'!$B$15-1)/2)/MAX(0.5,'Control Room'!$B$15/4))^2),1)*IF(AND($A440&gt;='Control Room'!$A$16,$A440&lt;'Control Room'!$A$16+'Control Room'!$B$16,'Process'!BO5=1),1+('Control Room'!$C$16-1)*EXP(-0.5*(($A440-'Control Room'!$A$16-('Control Room'!$B$16-1)/2)/MAX(0.5,'Control Room'!$B$16/4))^2),1)</x:f>
        <x:v>1</x:v>
      </x:c>
      <x:c r="AA440" s="9" t="n">
        <x:f>MOD(AB439*16807,2147483647)</x:f>
        <x:v>1090452607</x:v>
      </x:c>
      <x:c r="AB440" s="9" t="n">
        <x:f>MOD(AA440*16807,2147483647)</x:f>
        <x:v>611522351</x:v>
      </x:c>
      <x:c r="AC440" s="17" t="n">
        <x:f>IF('Control Room'!$B$5="Normal",'Control Room'!$B$7+'Control Room'!$D$7*SQRT(-2*LN(MAX(0.000000000001,AA440/2147483647)))*COS(2*PI()*AB440/2147483647),'Control Room'!$B$8+('Control Room'!$D$8-'Control Room'!$B$8)*AA440/2147483647)</x:f>
        <x:v>977.2957540745235</x:v>
      </x:c>
      <x:c r="AD440" s="17" t="n">
        <x:f>IF('Control Room'!$B$5="Normal",'Control Room'!$B$7,('Control Room'!$B$8+'Control Room'!$D$8)/2)+'Control Room'!$B$9*(AD439-IF('Control Room'!$B$5="Normal",'Control Room'!$B$7,('Control Room'!$B$8+'Control Room'!$D$8)/2))+SQRT(1-'Control Room'!$B$9^2)*(AC440-IF('Control Room'!$B$5="Normal",'Control Room'!$B$7,('Control Room'!$B$8+'Control Room'!$D$8)/2))</x:f>
        <x:v>957.9307663723725</x:v>
      </x:c>
      <x:c r="AE440" s="17" t="n">
        <x:f>IF(AND($A440&gt;='Control Room'!$A$13,$A440&lt;'Control Room'!$A$13+'Control Room'!$B$13,'Process'!BP2=1),1+('Control Room'!$C$13-1)*EXP(-0.5*(($A440-'Control Room'!$A$13-('Control Room'!$B$13-1)/2)/MAX(0.5,'Control Room'!$B$13/4))^2),1)*IF(AND($A440&gt;='Control Room'!$A$14,$A440&lt;'Control Room'!$A$14+'Control Room'!$B$14,'Process'!BP3=1),1+('Control Room'!$C$14-1)*EXP(-0.5*(($A440-'Control Room'!$A$14-('Control Room'!$B$14-1)/2)/MAX(0.5,'Control Room'!$B$14/4))^2),1)*IF(AND($A440&gt;='Control Room'!$A$15,$A440&lt;'Control Room'!$A$15+'Control Room'!$B$15,'Process'!BP4=1),1+('Control Room'!$C$15-1)*EXP(-0.5*(($A440-'Control Room'!$A$15-('Control Room'!$B$15-1)/2)/MAX(0.5,'Control Room'!$B$15/4))^2),1)*IF(AND($A440&gt;='Control Room'!$A$16,$A440&lt;'Control Room'!$A$16+'Control Room'!$B$16,'Process'!BP5=1),1+('Control Room'!$C$16-1)*EXP(-0.5*(($A440-'Control Room'!$A$16-('Control Room'!$B$16-1)/2)/MAX(0.5,'Control Room'!$B$16/4))^2),1)</x:f>
        <x:v>1</x:v>
      </x:c>
      <x:c r="AF440" s="9" t="n">
        <x:f>MOD(AG439*16807,2147483647)</x:f>
        <x:v>738452145</x:v>
      </x:c>
      <x:c r="AG440" s="9" t="n">
        <x:f>MOD(AF440*16807,2147483647)</x:f>
        <x:v>857205002</x:v>
      </x:c>
      <x:c r="AH440" s="17" t="n">
        <x:f>IF('Control Room'!$B$5="Normal",'Control Room'!$B$7+'Control Room'!$D$7*SQRT(-2*LN(MAX(0.000000000001,AF440/2147483647)))*COS(2*PI()*AG440/2147483647),'Control Room'!$B$8+('Control Room'!$D$8-'Control Room'!$B$8)*AF440/2147483647)</x:f>
        <x:v>894.0165584990674</x:v>
      </x:c>
      <x:c r="AI440" s="17" t="n">
        <x:f>IF('Control Room'!$B$5="Normal",'Control Room'!$B$7,('Control Room'!$B$8+'Control Room'!$D$8)/2)+'Control Room'!$B$9*(AI439-IF('Control Room'!$B$5="Normal",'Control Room'!$B$7,('Control Room'!$B$8+'Control Room'!$D$8)/2))+SQRT(1-'Control Room'!$B$9^2)*(AH440-IF('Control Room'!$B$5="Normal",'Control Room'!$B$7,('Control Room'!$B$8+'Control Room'!$D$8)/2))</x:f>
        <x:v>917.9886378445467</x:v>
      </x:c>
      <x:c r="AJ440" s="17" t="n">
        <x:f>IF(AND($A440&gt;='Control Room'!$A$13,$A440&lt;'Control Room'!$A$13+'Control Room'!$B$13,'Process'!BQ2=1),1+('Control Room'!$C$13-1)*EXP(-0.5*(($A440-'Control Room'!$A$13-('Control Room'!$B$13-1)/2)/MAX(0.5,'Control Room'!$B$13/4))^2),1)*IF(AND($A440&gt;='Control Room'!$A$14,$A440&lt;'Control Room'!$A$14+'Control Room'!$B$14,'Process'!BQ3=1),1+('Control Room'!$C$14-1)*EXP(-0.5*(($A440-'Control Room'!$A$14-('Control Room'!$B$14-1)/2)/MAX(0.5,'Control Room'!$B$14/4))^2),1)*IF(AND($A440&gt;='Control Room'!$A$15,$A440&lt;'Control Room'!$A$15+'Control Room'!$B$15,'Process'!BQ4=1),1+('Control Room'!$C$15-1)*EXP(-0.5*(($A440-'Control Room'!$A$15-('Control Room'!$B$15-1)/2)/MAX(0.5,'Control Room'!$B$15/4))^2),1)*IF(AND($A440&gt;='Control Room'!$A$16,$A440&lt;'Control Room'!$A$16+'Control Room'!$B$16,'Process'!BQ5=1),1+('Control Room'!$C$16-1)*EXP(-0.5*(($A440-'Control Room'!$A$16-('Control Room'!$B$16-1)/2)/MAX(0.5,'Control Room'!$B$16/4))^2),1)</x:f>
        <x:v>1</x:v>
      </x:c>
      <x:c r="AK440" s="9" t="n">
        <x:f>MOD(AL439*16807,2147483647)</x:f>
        <x:v>386451683</x:v>
      </x:c>
      <x:c r="AL440" s="9" t="n">
        <x:f>MOD(AK440*16807,2147483647)</x:f>
        <x:v>1102887653</x:v>
      </x:c>
      <x:c r="AM440" s="17" t="n">
        <x:f>IF('Control Room'!$B$5="Normal",'Control Room'!$B$7+'Control Room'!$D$7*SQRT(-2*LN(MAX(0.000000000001,AK440/2147483647)))*COS(2*PI()*AL440/2147483647),'Control Room'!$B$8+('Control Room'!$D$8-'Control Room'!$B$8)*AK440/2147483647)</x:f>
        <x:v>833.9211677044966</x:v>
      </x:c>
      <x:c r="AN440" s="17" t="n">
        <x:f>IF('Control Room'!$B$5="Normal",'Control Room'!$B$7,('Control Room'!$B$8+'Control Room'!$D$8)/2)+'Control Room'!$B$9*(AN439-IF('Control Room'!$B$5="Normal",'Control Room'!$B$7,('Control Room'!$B$8+'Control Room'!$D$8)/2))+SQRT(1-'Control Room'!$B$9^2)*(AM440-IF('Control Room'!$B$5="Normal",'Control Room'!$B$7,('Control Room'!$B$8+'Control Room'!$D$8)/2))</x:f>
        <x:v>916.8506773537476</x:v>
      </x:c>
      <x:c r="AO440" s="17" t="n">
        <x:f>IF(AND($A440&gt;='Control Room'!$A$13,$A440&lt;'Control Room'!$A$13+'Control Room'!$B$13,'Process'!BR2=1),1+('Control Room'!$C$13-1)*EXP(-0.5*(($A440-'Control Room'!$A$13-('Control Room'!$B$13-1)/2)/MAX(0.5,'Control Room'!$B$13/4))^2),1)*IF(AND($A440&gt;='Control Room'!$A$14,$A440&lt;'Control Room'!$A$14+'Control Room'!$B$14,'Process'!BR3=1),1+('Control Room'!$C$14-1)*EXP(-0.5*(($A440-'Control Room'!$A$14-('Control Room'!$B$14-1)/2)/MAX(0.5,'Control Room'!$B$14/4))^2),1)*IF(AND($A440&gt;='Control Room'!$A$15,$A440&lt;'Control Room'!$A$15+'Control Room'!$B$15,'Process'!BR4=1),1+('Control Room'!$C$15-1)*EXP(-0.5*(($A440-'Control Room'!$A$15-('Control Room'!$B$15-1)/2)/MAX(0.5,'Control Room'!$B$15/4))^2),1)*IF(AND($A440&gt;='Control Room'!$A$16,$A440&lt;'Control Room'!$A$16+'Control Room'!$B$16,'Process'!BR5=1),1+('Control Room'!$C$16-1)*EXP(-0.5*(($A440-'Control Room'!$A$16-('Control Room'!$B$16-1)/2)/MAX(0.5,'Control Room'!$B$16/4))^2),1)</x:f>
        <x:v>1</x:v>
      </x:c>
      <x:c r="AP440" s="9" t="n">
        <x:f>MOD(AQ439*16807,2147483647)</x:f>
        <x:v>34451221</x:v>
      </x:c>
      <x:c r="AQ440" s="9" t="n">
        <x:f>MOD(AP440*16807,2147483647)</x:f>
        <x:v>1348570304</x:v>
      </x:c>
      <x:c r="AR440" s="17" t="n">
        <x:f>IF('Control Room'!$B$5="Normal",'Control Room'!$B$7+'Control Room'!$D$7*SQRT(-2*LN(MAX(0.000000000001,AP440/2147483647)))*COS(2*PI()*AQ440/2147483647),'Control Room'!$B$8+('Control Room'!$D$8-'Control Room'!$B$8)*AP440/2147483647)</x:f>
        <x:v>820.4968778146646</x:v>
      </x:c>
      <x:c r="AS440" s="17" t="n">
        <x:f>IF('Control Room'!$B$5="Normal",'Control Room'!$B$7,('Control Room'!$B$8+'Control Room'!$D$8)/2)+'Control Room'!$B$9*(AS439-IF('Control Room'!$B$5="Normal",'Control Room'!$B$7,('Control Room'!$B$8+'Control Room'!$D$8)/2))+SQRT(1-'Control Room'!$B$9^2)*(AR440-IF('Control Room'!$B$5="Normal",'Control Room'!$B$7,('Control Room'!$B$8+'Control Room'!$D$8)/2))</x:f>
        <x:v>926.6464484922762</x:v>
      </x:c>
      <x:c r="AT440" s="17" t="n">
        <x:f>IF(AND($A440&gt;='Control Room'!$A$13,$A440&lt;'Control Room'!$A$13+'Control Room'!$B$13,'Process'!BS2=1),1+('Control Room'!$C$13-1)*EXP(-0.5*(($A440-'Control Room'!$A$13-('Control Room'!$B$13-1)/2)/MAX(0.5,'Control Room'!$B$13/4))^2),1)*IF(AND($A440&gt;='Control Room'!$A$14,$A440&lt;'Control Room'!$A$14+'Control Room'!$B$14,'Process'!BS3=1),1+('Control Room'!$C$14-1)*EXP(-0.5*(($A440-'Control Room'!$A$14-('Control Room'!$B$14-1)/2)/MAX(0.5,'Control Room'!$B$14/4))^2),1)*IF(AND($A440&gt;='Control Room'!$A$15,$A440&lt;'Control Room'!$A$15+'Control Room'!$B$15,'Process'!BS4=1),1+('Control Room'!$C$15-1)*EXP(-0.5*(($A440-'Control Room'!$A$15-('Control Room'!$B$15-1)/2)/MAX(0.5,'Control Room'!$B$15/4))^2),1)*IF(AND($A440&gt;='Control Room'!$A$16,$A440&lt;'Control Room'!$A$16+'Control Room'!$B$16,'Process'!BS5=1),1+('Control Room'!$C$16-1)*EXP(-0.5*(($A440-'Control Room'!$A$16-('Control Room'!$B$16-1)/2)/MAX(0.5,'Control Room'!$B$16/4))^2),1)</x:f>
        <x:v>1</x:v>
      </x:c>
      <x:c r="AU440" s="9" t="n">
        <x:f>MOD(AV439*16807,2147483647)</x:f>
        <x:v>1829934406</x:v>
      </x:c>
      <x:c r="AV440" s="9" t="n">
        <x:f>MOD(AU440*16807,2147483647)</x:f>
        <x:v>1594252955</x:v>
      </x:c>
      <x:c r="AW440" s="17" t="n">
        <x:f>IF('Control Room'!$B$5="Normal",'Control Room'!$B$7+'Control Room'!$D$7*SQRT(-2*LN(MAX(0.000000000001,AU440/2147483647)))*COS(2*PI()*AV440/2147483647),'Control Room'!$B$8+('Control Room'!$D$8-'Control Room'!$B$8)*AU440/2147483647)</x:f>
        <x:v>997.5638630786053</x:v>
      </x:c>
      <x:c r="AX440" s="17" t="n">
        <x:f>IF('Control Room'!$B$5="Normal",'Control Room'!$B$7,('Control Room'!$B$8+'Control Room'!$D$8)/2)+'Control Room'!$B$9*(AX439-IF('Control Room'!$B$5="Normal",'Control Room'!$B$7,('Control Room'!$B$8+'Control Room'!$D$8)/2))+SQRT(1-'Control Room'!$B$9^2)*(AW440-IF('Control Room'!$B$5="Normal",'Control Room'!$B$7,('Control Room'!$B$8+'Control Room'!$D$8)/2))</x:f>
        <x:v>957.219746307887</x:v>
      </x:c>
      <x:c r="AY440" s="17" t="n">
        <x:f>IF(AND($A440&gt;='Control Room'!$A$13,$A440&lt;'Control Room'!$A$13+'Control Room'!$B$13,'Process'!BT2=1),1+('Control Room'!$C$13-1)*EXP(-0.5*(($A440-'Control Room'!$A$13-('Control Room'!$B$13-1)/2)/MAX(0.5,'Control Room'!$B$13/4))^2),1)*IF(AND($A440&gt;='Control Room'!$A$14,$A440&lt;'Control Room'!$A$14+'Control Room'!$B$14,'Process'!BT3=1),1+('Control Room'!$C$14-1)*EXP(-0.5*(($A440-'Control Room'!$A$14-('Control Room'!$B$14-1)/2)/MAX(0.5,'Control Room'!$B$14/4))^2),1)*IF(AND($A440&gt;='Control Room'!$A$15,$A440&lt;'Control Room'!$A$15+'Control Room'!$B$15,'Process'!BT4=1),1+('Control Room'!$C$15-1)*EXP(-0.5*(($A440-'Control Room'!$A$15-('Control Room'!$B$15-1)/2)/MAX(0.5,'Control Room'!$B$15/4))^2),1)*IF(AND($A440&gt;='Control Room'!$A$16,$A440&lt;'Control Room'!$A$16+'Control Room'!$B$16,'Process'!BT5=1),1+('Control Room'!$C$16-1)*EXP(-0.5*(($A440-'Control Room'!$A$16-('Control Room'!$B$16-1)/2)/MAX(0.5,'Control Room'!$B$16/4))^2),1)</x:f>
        <x:v>1</x:v>
      </x:c>
      <x:c r="AZ440" s="9" t="n">
        <x:f>MOD(BA439*16807,2147483647)</x:f>
        <x:v>1477933944</x:v>
      </x:c>
      <x:c r="BA440" s="9" t="n">
        <x:f>MOD(AZ440*16807,2147483647)</x:f>
        <x:v>1839935606</x:v>
      </x:c>
      <x:c r="BB440" s="17" t="n">
        <x:f>IF('Control Room'!$B$5="Normal",'Control Room'!$B$7+'Control Room'!$D$7*SQRT(-2*LN(MAX(0.000000000001,AZ440/2147483647)))*COS(2*PI()*BA440/2147483647),'Control Room'!$B$8+('Control Room'!$D$8-'Control Room'!$B$8)*AZ440/2147483647)</x:f>
        <x:v>1048.3725638614824</x:v>
      </x:c>
      <x:c r="BC440" s="17" t="n">
        <x:f>IF('Control Room'!$B$5="Normal",'Control Room'!$B$7,('Control Room'!$B$8+'Control Room'!$D$8)/2)+'Control Room'!$B$9*(BC439-IF('Control Room'!$B$5="Normal",'Control Room'!$B$7,('Control Room'!$B$8+'Control Room'!$D$8)/2))+SQRT(1-'Control Room'!$B$9^2)*(BB440-IF('Control Room'!$B$5="Normal",'Control Room'!$B$7,('Control Room'!$B$8+'Control Room'!$D$8)/2))</x:f>
        <x:v>1024.1559171407162</x:v>
      </x:c>
      <x:c r="BD440" s="17" t="n">
        <x:f>IF(AND($A440&gt;='Control Room'!$A$13,$A440&lt;'Control Room'!$A$13+'Control Room'!$B$13,'Process'!BU2=1),1+('Control Room'!$C$13-1)*EXP(-0.5*(($A440-'Control Room'!$A$13-('Control Room'!$B$13-1)/2)/MAX(0.5,'Control Room'!$B$13/4))^2),1)*IF(AND($A440&gt;='Control Room'!$A$14,$A440&lt;'Control Room'!$A$14+'Control Room'!$B$14,'Process'!BU3=1),1+('Control Room'!$C$14-1)*EXP(-0.5*(($A440-'Control Room'!$A$14-('Control Room'!$B$14-1)/2)/MAX(0.5,'Control Room'!$B$14/4))^2),1)*IF(AND($A440&gt;='Control Room'!$A$15,$A440&lt;'Control Room'!$A$15+'Control Room'!$B$15,'Process'!BU4=1),1+('Control Room'!$C$15-1)*EXP(-0.5*(($A440-'Control Room'!$A$15-('Control Room'!$B$15-1)/2)/MAX(0.5,'Control Room'!$B$15/4))^2),1)*IF(AND($A440&gt;='Control Room'!$A$16,$A440&lt;'Control Room'!$A$16+'Control Room'!$B$16,'Process'!BU5=1),1+('Control Room'!$C$16-1)*EXP(-0.5*(($A440-'Control Room'!$A$16-('Control Room'!$B$16-1)/2)/MAX(0.5,'Control Room'!$B$16/4))^2),1)</x:f>
        <x:v>1</x:v>
      </x:c>
      <x:c r="BE440" s="9" t="n">
        <x:f>MOD(BF439*16807,2147483647)</x:f>
        <x:v>1125933482</x:v>
      </x:c>
      <x:c r="BF440" s="9" t="n">
        <x:f>MOD(BE440*16807,2147483647)</x:f>
        <x:v>2085618257</x:v>
      </x:c>
      <x:c r="BG440" s="17" t="n">
        <x:f>IF('Control Room'!$B$5="Normal",'Control Room'!$B$7+'Control Room'!$D$7*SQRT(-2*LN(MAX(0.000000000001,BE440/2147483647)))*COS(2*PI()*BF440/2147483647),'Control Room'!$B$8+('Control Room'!$D$8-'Control Room'!$B$8)*BE440/2147483647)</x:f>
        <x:v>1100.6036737995234</x:v>
      </x:c>
      <x:c r="BH440" s="17" t="n">
        <x:f>IF('Control Room'!$B$5="Normal",'Control Room'!$B$7,('Control Room'!$B$8+'Control Room'!$D$8)/2)+'Control Room'!$B$9*(BH439-IF('Control Room'!$B$5="Normal",'Control Room'!$B$7,('Control Room'!$B$8+'Control Room'!$D$8)/2))+SQRT(1-'Control Room'!$B$9^2)*(BG440-IF('Control Room'!$B$5="Normal",'Control Room'!$B$7,('Control Room'!$B$8+'Control Room'!$D$8)/2))</x:f>
        <x:v>1140.5906523308738</x:v>
      </x:c>
      <x:c r="BI440" s="17" t="n">
        <x:f>IF(AND($A440&gt;='Control Room'!$A$13,$A440&lt;'Control Room'!$A$13+'Control Room'!$B$13,'Process'!BV2=1),1+('Control Room'!$C$13-1)*EXP(-0.5*(($A440-'Control Room'!$A$13-('Control Room'!$B$13-1)/2)/MAX(0.5,'Control Room'!$B$13/4))^2),1)*IF(AND($A440&gt;='Control Room'!$A$14,$A440&lt;'Control Room'!$A$14+'Control Room'!$B$14,'Process'!BV3=1),1+('Control Room'!$C$14-1)*EXP(-0.5*(($A440-'Control Room'!$A$14-('Control Room'!$B$14-1)/2)/MAX(0.5,'Control Room'!$B$14/4))^2),1)*IF(AND($A440&gt;='Control Room'!$A$15,$A440&lt;'Control Room'!$A$15+'Control Room'!$B$15,'Process'!BV4=1),1+('Control Room'!$C$15-1)*EXP(-0.5*(($A440-'Control Room'!$A$15-('Control Room'!$B$15-1)/2)/MAX(0.5,'Control Room'!$B$15/4))^2),1)*IF(AND($A440&gt;='Control Room'!$A$16,$A440&lt;'Control Room'!$A$16+'Control Room'!$B$16,'Process'!BV5=1),1+('Control Room'!$C$16-1)*EXP(-0.5*(($A440-'Control Room'!$A$16-('Control Room'!$B$16-1)/2)/MAX(0.5,'Control Room'!$B$16/4))^2),1)</x:f>
        <x:v>1</x:v>
      </x:c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Z440" t="str">
        <x:f>IF('Data'!A440="","",TEXT('Data'!A440,"mm-dd"))</x:f>
      </x:c>
    </x:row>
    <x:row r="441" ht="21" customHeight="1">
      <x:c r="A441" s="15" t="n">
        <x:f>'Control Room'!$B$1+439</x:f>
        <x:v>73430</x:v>
      </x:c>
      <x:c r="B441" s="9" t="n">
        <x:f>MOD(C440*16807,2147483647)</x:f>
        <x:v>2113107835</x:v>
      </x:c>
      <x:c r="C441" s="9" t="n">
        <x:f>MOD(B441*16807,2147483647)</x:f>
        <x:v>2066312406</x:v>
      </x:c>
      <x:c r="D441" s="17" t="n">
        <x:f>IF('Control Room'!$B$5="Normal",'Control Room'!$B$7+'Control Room'!$D$7*SQRT(-2*LN(MAX(0.000000000001,B441/2147483647)))*COS(2*PI()*C441/2147483647),'Control Room'!$B$8+('Control Room'!$D$8-'Control Room'!$B$8)*B441/2147483647)</x:f>
        <x:v>1015.7146255587595</x:v>
      </x:c>
      <x:c r="E441" s="17" t="n">
        <x:f>IF('Control Room'!$B$5="Normal",'Control Room'!$B$7,('Control Room'!$B$8+'Control Room'!$D$8)/2)+'Control Room'!$B$9*(E440-IF('Control Room'!$B$5="Normal",'Control Room'!$B$7,('Control Room'!$B$8+'Control Room'!$D$8)/2))+SQRT(1-'Control Room'!$B$9^2)*(D441-IF('Control Room'!$B$5="Normal",'Control Room'!$B$7,('Control Room'!$B$8+'Control Room'!$D$8)/2))</x:f>
        <x:v>1021.1418515818588</x:v>
      </x:c>
      <x:c r="F441" s="17" t="n">
        <x:f>IF(AND($A441&gt;='Control Room'!$A$13,$A441&lt;'Control Room'!$A$13+'Control Room'!$B$13,'Process'!BK2=1),1+('Control Room'!$C$13-1)*EXP(-0.5*(($A441-'Control Room'!$A$13-('Control Room'!$B$13-1)/2)/MAX(0.5,'Control Room'!$B$13/4))^2),1)*IF(AND($A441&gt;='Control Room'!$A$14,$A441&lt;'Control Room'!$A$14+'Control Room'!$B$14,'Process'!BK3=1),1+('Control Room'!$C$14-1)*EXP(-0.5*(($A441-'Control Room'!$A$14-('Control Room'!$B$14-1)/2)/MAX(0.5,'Control Room'!$B$14/4))^2),1)*IF(AND($A441&gt;='Control Room'!$A$15,$A441&lt;'Control Room'!$A$15+'Control Room'!$B$15,'Process'!BK4=1),1+('Control Room'!$C$15-1)*EXP(-0.5*(($A441-'Control Room'!$A$15-('Control Room'!$B$15-1)/2)/MAX(0.5,'Control Room'!$B$15/4))^2),1)*IF(AND($A441&gt;='Control Room'!$A$16,$A441&lt;'Control Room'!$A$16+'Control Room'!$B$16,'Process'!BK5=1),1+('Control Room'!$C$16-1)*EXP(-0.5*(($A441-'Control Room'!$A$16-('Control Room'!$B$16-1)/2)/MAX(0.5,'Control Room'!$B$16/4))^2),1)</x:f>
        <x:v>1</x:v>
      </x:c>
      <x:c r="G441" s="9" t="n">
        <x:f>MOD(H440*16807,2147483647)</x:f>
        <x:v>1690370011</x:v>
      </x:c>
      <x:c r="H441" s="9" t="n">
        <x:f>MOD(G441*16807,2147483647)</x:f>
        <x:v>987608714</x:v>
      </x:c>
      <x:c r="I441" s="17" t="n">
        <x:f>IF('Control Room'!$B$5="Normal",'Control Room'!$B$7+'Control Room'!$D$7*SQRT(-2*LN(MAX(0.000000000001,G441/2147483647)))*COS(2*PI()*H441/2147483647),'Control Room'!$B$8+('Control Room'!$D$8-'Control Room'!$B$8)*G441/2147483647)</x:f>
        <x:v>939.6976634194905</x:v>
      </x:c>
      <x:c r="J441" s="17" t="n">
        <x:f>IF('Control Room'!$B$5="Normal",'Control Room'!$B$7,('Control Room'!$B$8+'Control Room'!$D$8)/2)+'Control Room'!$B$9*(J440-IF('Control Room'!$B$5="Normal",'Control Room'!$B$7,('Control Room'!$B$8+'Control Room'!$D$8)/2))+SQRT(1-'Control Room'!$B$9^2)*(I441-IF('Control Room'!$B$5="Normal",'Control Room'!$B$7,('Control Room'!$B$8+'Control Room'!$D$8)/2))</x:f>
        <x:v>992.1538322292639</x:v>
      </x:c>
      <x:c r="K441" s="17" t="n">
        <x:f>IF(AND($A441&gt;='Control Room'!$A$13,$A441&lt;'Control Room'!$A$13+'Control Room'!$B$13,'Process'!BL2=1),1+('Control Room'!$C$13-1)*EXP(-0.5*(($A441-'Control Room'!$A$13-('Control Room'!$B$13-1)/2)/MAX(0.5,'Control Room'!$B$13/4))^2),1)*IF(AND($A441&gt;='Control Room'!$A$14,$A441&lt;'Control Room'!$A$14+'Control Room'!$B$14,'Process'!BL3=1),1+('Control Room'!$C$14-1)*EXP(-0.5*(($A441-'Control Room'!$A$14-('Control Room'!$B$14-1)/2)/MAX(0.5,'Control Room'!$B$14/4))^2),1)*IF(AND($A441&gt;='Control Room'!$A$15,$A441&lt;'Control Room'!$A$15+'Control Room'!$B$15,'Process'!BL4=1),1+('Control Room'!$C$15-1)*EXP(-0.5*(($A441-'Control Room'!$A$15-('Control Room'!$B$15-1)/2)/MAX(0.5,'Control Room'!$B$15/4))^2),1)*IF(AND($A441&gt;='Control Room'!$A$16,$A441&lt;'Control Room'!$A$16+'Control Room'!$B$16,'Process'!BL5=1),1+('Control Room'!$C$16-1)*EXP(-0.5*(($A441-'Control Room'!$A$16-('Control Room'!$B$16-1)/2)/MAX(0.5,'Control Room'!$B$16/4))^2),1)</x:f>
        <x:v>1</x:v>
      </x:c>
      <x:c r="L441" s="9" t="n">
        <x:f>MOD(M440*16807,2147483647)</x:f>
        <x:v>1267632187</x:v>
      </x:c>
      <x:c r="M441" s="9" t="n">
        <x:f>MOD(L441*16807,2147483647)</x:f>
        <x:v>2056388669</x:v>
      </x:c>
      <x:c r="N441" s="17" t="n">
        <x:f>IF('Control Room'!$B$5="Normal",'Control Room'!$B$7+'Control Room'!$D$7*SQRT(-2*LN(MAX(0.000000000001,L441/2147483647)))*COS(2*PI()*M441/2147483647),'Control Room'!$B$8+('Control Room'!$D$8-'Control Room'!$B$8)*L441/2147483647)</x:f>
        <x:v>1089.1479094378988</x:v>
      </x:c>
      <x:c r="O441" s="17" t="n">
        <x:f>IF('Control Room'!$B$5="Normal",'Control Room'!$B$7,('Control Room'!$B$8+'Control Room'!$D$8)/2)+'Control Room'!$B$9*(O440-IF('Control Room'!$B$5="Normal",'Control Room'!$B$7,('Control Room'!$B$8+'Control Room'!$D$8)/2))+SQRT(1-'Control Room'!$B$9^2)*(N441-IF('Control Room'!$B$5="Normal",'Control Room'!$B$7,('Control Room'!$B$8+'Control Room'!$D$8)/2))</x:f>
        <x:v>1113.9335446506507</x:v>
      </x:c>
      <x:c r="P441" s="17" t="n">
        <x:f>IF(AND($A441&gt;='Control Room'!$A$13,$A441&lt;'Control Room'!$A$13+'Control Room'!$B$13,'Process'!BM2=1),1+('Control Room'!$C$13-1)*EXP(-0.5*(($A441-'Control Room'!$A$13-('Control Room'!$B$13-1)/2)/MAX(0.5,'Control Room'!$B$13/4))^2),1)*IF(AND($A441&gt;='Control Room'!$A$14,$A441&lt;'Control Room'!$A$14+'Control Room'!$B$14,'Process'!BM3=1),1+('Control Room'!$C$14-1)*EXP(-0.5*(($A441-'Control Room'!$A$14-('Control Room'!$B$14-1)/2)/MAX(0.5,'Control Room'!$B$14/4))^2),1)*IF(AND($A441&gt;='Control Room'!$A$15,$A441&lt;'Control Room'!$A$15+'Control Room'!$B$15,'Process'!BM4=1),1+('Control Room'!$C$15-1)*EXP(-0.5*(($A441-'Control Room'!$A$15-('Control Room'!$B$15-1)/2)/MAX(0.5,'Control Room'!$B$15/4))^2),1)*IF(AND($A441&gt;='Control Room'!$A$16,$A441&lt;'Control Room'!$A$16+'Control Room'!$B$16,'Process'!BM5=1),1+('Control Room'!$C$16-1)*EXP(-0.5*(($A441-'Control Room'!$A$16-('Control Room'!$B$16-1)/2)/MAX(0.5,'Control Room'!$B$16/4))^2),1)</x:f>
        <x:v>1</x:v>
      </x:c>
      <x:c r="Q441" s="9" t="n">
        <x:f>MOD(R440*16807,2147483647)</x:f>
        <x:v>844894363</x:v>
      </x:c>
      <x:c r="R441" s="9" t="n">
        <x:f>MOD(Q441*16807,2147483647)</x:f>
        <x:v>977684977</x:v>
      </x:c>
      <x:c r="S441" s="17" t="n">
        <x:f>IF('Control Room'!$B$5="Normal",'Control Room'!$B$7+'Control Room'!$D$7*SQRT(-2*LN(MAX(0.000000000001,Q441/2147483647)))*COS(2*PI()*R441/2147483647),'Control Room'!$B$8+('Control Room'!$D$8-'Control Room'!$B$8)*Q441/2147483647)</x:f>
        <x:v>881.892175736668</x:v>
      </x:c>
      <x:c r="T441" s="17" t="n">
        <x:f>IF('Control Room'!$B$5="Normal",'Control Room'!$B$7,('Control Room'!$B$8+'Control Room'!$D$8)/2)+'Control Room'!$B$9*(T440-IF('Control Room'!$B$5="Normal",'Control Room'!$B$7,('Control Room'!$B$8+'Control Room'!$D$8)/2))+SQRT(1-'Control Room'!$B$9^2)*(S441-IF('Control Room'!$B$5="Normal",'Control Room'!$B$7,('Control Room'!$B$8+'Control Room'!$D$8)/2))</x:f>
        <x:v>882.9299674252711</x:v>
      </x:c>
      <x:c r="U441" s="17" t="n">
        <x:f>IF(AND($A441&gt;='Control Room'!$A$13,$A441&lt;'Control Room'!$A$13+'Control Room'!$B$13,'Process'!BN2=1),1+('Control Room'!$C$13-1)*EXP(-0.5*(($A441-'Control Room'!$A$13-('Control Room'!$B$13-1)/2)/MAX(0.5,'Control Room'!$B$13/4))^2),1)*IF(AND($A441&gt;='Control Room'!$A$14,$A441&lt;'Control Room'!$A$14+'Control Room'!$B$14,'Process'!BN3=1),1+('Control Room'!$C$14-1)*EXP(-0.5*(($A441-'Control Room'!$A$14-('Control Room'!$B$14-1)/2)/MAX(0.5,'Control Room'!$B$14/4))^2),1)*IF(AND($A441&gt;='Control Room'!$A$15,$A441&lt;'Control Room'!$A$15+'Control Room'!$B$15,'Process'!BN4=1),1+('Control Room'!$C$15-1)*EXP(-0.5*(($A441-'Control Room'!$A$15-('Control Room'!$B$15-1)/2)/MAX(0.5,'Control Room'!$B$15/4))^2),1)*IF(AND($A441&gt;='Control Room'!$A$16,$A441&lt;'Control Room'!$A$16+'Control Room'!$B$16,'Process'!BN5=1),1+('Control Room'!$C$16-1)*EXP(-0.5*(($A441-'Control Room'!$A$16-('Control Room'!$B$16-1)/2)/MAX(0.5,'Control Room'!$B$16/4))^2),1)</x:f>
        <x:v>1</x:v>
      </x:c>
      <x:c r="V441" s="9" t="n">
        <x:f>MOD(W440*16807,2147483647)</x:f>
        <x:v>422156539</x:v>
      </x:c>
      <x:c r="W441" s="9" t="n">
        <x:f>MOD(V441*16807,2147483647)</x:f>
        <x:v>2046464932</x:v>
      </x:c>
      <x:c r="X441" s="17" t="n">
        <x:f>IF('Control Room'!$B$5="Normal",'Control Room'!$B$7+'Control Room'!$D$7*SQRT(-2*LN(MAX(0.000000000001,V441/2147483647)))*COS(2*PI()*W441/2147483647),'Control Room'!$B$8+('Control Room'!$D$8-'Control Room'!$B$8)*V441/2147483647)</x:f>
        <x:v>1155.2943384088226</x:v>
      </x:c>
      <x:c r="Y441" s="17" t="n">
        <x:f>IF('Control Room'!$B$5="Normal",'Control Room'!$B$7,('Control Room'!$B$8+'Control Room'!$D$8)/2)+'Control Room'!$B$9*(Y440-IF('Control Room'!$B$5="Normal",'Control Room'!$B$7,('Control Room'!$B$8+'Control Room'!$D$8)/2))+SQRT(1-'Control Room'!$B$9^2)*(X441-IF('Control Room'!$B$5="Normal",'Control Room'!$B$7,('Control Room'!$B$8+'Control Room'!$D$8)/2))</x:f>
        <x:v>1093.717998878364</x:v>
      </x:c>
      <x:c r="Z441" s="17" t="n">
        <x:f>IF(AND($A441&gt;='Control Room'!$A$13,$A441&lt;'Control Room'!$A$13+'Control Room'!$B$13,'Process'!BO2=1),1+('Control Room'!$C$13-1)*EXP(-0.5*(($A441-'Control Room'!$A$13-('Control Room'!$B$13-1)/2)/MAX(0.5,'Control Room'!$B$13/4))^2),1)*IF(AND($A441&gt;='Control Room'!$A$14,$A441&lt;'Control Room'!$A$14+'Control Room'!$B$14,'Process'!BO3=1),1+('Control Room'!$C$14-1)*EXP(-0.5*(($A441-'Control Room'!$A$14-('Control Room'!$B$14-1)/2)/MAX(0.5,'Control Room'!$B$14/4))^2),1)*IF(AND($A441&gt;='Control Room'!$A$15,$A441&lt;'Control Room'!$A$15+'Control Room'!$B$15,'Process'!BO4=1),1+('Control Room'!$C$15-1)*EXP(-0.5*(($A441-'Control Room'!$A$15-('Control Room'!$B$15-1)/2)/MAX(0.5,'Control Room'!$B$15/4))^2),1)*IF(AND($A441&gt;='Control Room'!$A$16,$A441&lt;'Control Room'!$A$16+'Control Room'!$B$16,'Process'!BO5=1),1+('Control Room'!$C$16-1)*EXP(-0.5*(($A441-'Control Room'!$A$16-('Control Room'!$B$16-1)/2)/MAX(0.5,'Control Room'!$B$16/4))^2),1)</x:f>
        <x:v>1</x:v>
      </x:c>
      <x:c r="AA441" s="9" t="n">
        <x:f>MOD(AB440*16807,2147483647)</x:f>
        <x:v>2146902362</x:v>
      </x:c>
      <x:c r="AB441" s="9" t="n">
        <x:f>MOD(AA441*16807,2147483647)</x:f>
        <x:v>967761240</x:v>
      </x:c>
      <x:c r="AC441" s="17" t="n">
        <x:f>IF('Control Room'!$B$5="Normal",'Control Room'!$B$7+'Control Room'!$D$7*SQRT(-2*LN(MAX(0.000000000001,AA441/2147483647)))*COS(2*PI()*AB441/2147483647),'Control Room'!$B$8+('Control Room'!$D$8-'Control Room'!$B$8)*AA441/2147483647)</x:f>
        <x:v>998.0056828045872</x:v>
      </x:c>
      <x:c r="AD441" s="17" t="n">
        <x:f>IF('Control Room'!$B$5="Normal",'Control Room'!$B$7,('Control Room'!$B$8+'Control Room'!$D$8)/2)+'Control Room'!$B$9*(AD440-IF('Control Room'!$B$5="Normal",'Control Room'!$B$7,('Control Room'!$B$8+'Control Room'!$D$8)/2))+SQRT(1-'Control Room'!$B$9^2)*(AC441-IF('Control Room'!$B$5="Normal",'Control Room'!$B$7,('Control Room'!$B$8+'Control Room'!$D$8)/2))</x:f>
        <x:v>965.9379949253697</x:v>
      </x:c>
      <x:c r="AE441" s="17" t="n">
        <x:f>IF(AND($A441&gt;='Control Room'!$A$13,$A441&lt;'Control Room'!$A$13+'Control Room'!$B$13,'Process'!BP2=1),1+('Control Room'!$C$13-1)*EXP(-0.5*(($A441-'Control Room'!$A$13-('Control Room'!$B$13-1)/2)/MAX(0.5,'Control Room'!$B$13/4))^2),1)*IF(AND($A441&gt;='Control Room'!$A$14,$A441&lt;'Control Room'!$A$14+'Control Room'!$B$14,'Process'!BP3=1),1+('Control Room'!$C$14-1)*EXP(-0.5*(($A441-'Control Room'!$A$14-('Control Room'!$B$14-1)/2)/MAX(0.5,'Control Room'!$B$14/4))^2),1)*IF(AND($A441&gt;='Control Room'!$A$15,$A441&lt;'Control Room'!$A$15+'Control Room'!$B$15,'Process'!BP4=1),1+('Control Room'!$C$15-1)*EXP(-0.5*(($A441-'Control Room'!$A$15-('Control Room'!$B$15-1)/2)/MAX(0.5,'Control Room'!$B$15/4))^2),1)*IF(AND($A441&gt;='Control Room'!$A$16,$A441&lt;'Control Room'!$A$16+'Control Room'!$B$16,'Process'!BP5=1),1+('Control Room'!$C$16-1)*EXP(-0.5*(($A441-'Control Room'!$A$16-('Control Room'!$B$16-1)/2)/MAX(0.5,'Control Room'!$B$16/4))^2),1)</x:f>
        <x:v>1</x:v>
      </x:c>
      <x:c r="AF441" s="9" t="n">
        <x:f>MOD(AG440*16807,2147483647)</x:f>
        <x:v>1724164538</x:v>
      </x:c>
      <x:c r="AG441" s="9" t="n">
        <x:f>MOD(AF441*16807,2147483647)</x:f>
        <x:v>2036541195</x:v>
      </x:c>
      <x:c r="AH441" s="17" t="n">
        <x:f>IF('Control Room'!$B$5="Normal",'Control Room'!$B$7+'Control Room'!$D$7*SQRT(-2*LN(MAX(0.000000000001,AF441/2147483647)))*COS(2*PI()*AG441/2147483647),'Control Room'!$B$8+('Control Room'!$D$8-'Control Room'!$B$8)*AF441/2147483647)</x:f>
        <x:v>1056.5243025406241</x:v>
      </x:c>
      <x:c r="AI441" s="17" t="n">
        <x:f>IF('Control Room'!$B$5="Normal",'Control Room'!$B$7,('Control Room'!$B$8+'Control Room'!$D$8)/2)+'Control Room'!$B$9*(AI440-IF('Control Room'!$B$5="Normal",'Control Room'!$B$7,('Control Room'!$B$8+'Control Room'!$D$8)/2))+SQRT(1-'Control Room'!$B$9^2)*(AH441-IF('Control Room'!$B$5="Normal",'Control Room'!$B$7,('Control Room'!$B$8+'Control Room'!$D$8)/2))</x:f>
        <x:v>971.4028880853905</x:v>
      </x:c>
      <x:c r="AJ441" s="17" t="n">
        <x:f>IF(AND($A441&gt;='Control Room'!$A$13,$A441&lt;'Control Room'!$A$13+'Control Room'!$B$13,'Process'!BQ2=1),1+('Control Room'!$C$13-1)*EXP(-0.5*(($A441-'Control Room'!$A$13-('Control Room'!$B$13-1)/2)/MAX(0.5,'Control Room'!$B$13/4))^2),1)*IF(AND($A441&gt;='Control Room'!$A$14,$A441&lt;'Control Room'!$A$14+'Control Room'!$B$14,'Process'!BQ3=1),1+('Control Room'!$C$14-1)*EXP(-0.5*(($A441-'Control Room'!$A$14-('Control Room'!$B$14-1)/2)/MAX(0.5,'Control Room'!$B$14/4))^2),1)*IF(AND($A441&gt;='Control Room'!$A$15,$A441&lt;'Control Room'!$A$15+'Control Room'!$B$15,'Process'!BQ4=1),1+('Control Room'!$C$15-1)*EXP(-0.5*(($A441-'Control Room'!$A$15-('Control Room'!$B$15-1)/2)/MAX(0.5,'Control Room'!$B$15/4))^2),1)*IF(AND($A441&gt;='Control Room'!$A$16,$A441&lt;'Control Room'!$A$16+'Control Room'!$B$16,'Process'!BQ5=1),1+('Control Room'!$C$16-1)*EXP(-0.5*(($A441-'Control Room'!$A$16-('Control Room'!$B$16-1)/2)/MAX(0.5,'Control Room'!$B$16/4))^2),1)</x:f>
        <x:v>1</x:v>
      </x:c>
      <x:c r="AK441" s="9" t="n">
        <x:f>MOD(AL440*16807,2147483647)</x:f>
        <x:v>1301426714</x:v>
      </x:c>
      <x:c r="AL441" s="9" t="n">
        <x:f>MOD(AK441*16807,2147483647)</x:f>
        <x:v>957837503</x:v>
      </x:c>
      <x:c r="AM441" s="17" t="n">
        <x:f>IF('Control Room'!$B$5="Normal",'Control Room'!$B$7+'Control Room'!$D$7*SQRT(-2*LN(MAX(0.000000000001,AK441/2147483647)))*COS(2*PI()*AL441/2147483647),'Control Room'!$B$8+('Control Room'!$D$8-'Control Room'!$B$8)*AK441/2147483647)</x:f>
        <x:v>915.0547189729616</x:v>
      </x:c>
      <x:c r="AN441" s="17" t="n">
        <x:f>IF('Control Room'!$B$5="Normal",'Control Room'!$B$7,('Control Room'!$B$8+'Control Room'!$D$8)/2)+'Control Room'!$B$9*(AN440-IF('Control Room'!$B$5="Normal",'Control Room'!$B$7,('Control Room'!$B$8+'Control Room'!$D$8)/2))+SQRT(1-'Control Room'!$B$9^2)*(AM441-IF('Control Room'!$B$5="Normal",'Control Room'!$B$7,('Control Room'!$B$8+'Control Room'!$D$8)/2))</x:f>
        <x:v>881.9865116678726</x:v>
      </x:c>
      <x:c r="AO441" s="17" t="n">
        <x:f>IF(AND($A441&gt;='Control Room'!$A$13,$A441&lt;'Control Room'!$A$13+'Control Room'!$B$13,'Process'!BR2=1),1+('Control Room'!$C$13-1)*EXP(-0.5*(($A441-'Control Room'!$A$13-('Control Room'!$B$13-1)/2)/MAX(0.5,'Control Room'!$B$13/4))^2),1)*IF(AND($A441&gt;='Control Room'!$A$14,$A441&lt;'Control Room'!$A$14+'Control Room'!$B$14,'Process'!BR3=1),1+('Control Room'!$C$14-1)*EXP(-0.5*(($A441-'Control Room'!$A$14-('Control Room'!$B$14-1)/2)/MAX(0.5,'Control Room'!$B$14/4))^2),1)*IF(AND($A441&gt;='Control Room'!$A$15,$A441&lt;'Control Room'!$A$15+'Control Room'!$B$15,'Process'!BR4=1),1+('Control Room'!$C$15-1)*EXP(-0.5*(($A441-'Control Room'!$A$15-('Control Room'!$B$15-1)/2)/MAX(0.5,'Control Room'!$B$15/4))^2),1)*IF(AND($A441&gt;='Control Room'!$A$16,$A441&lt;'Control Room'!$A$16+'Control Room'!$B$16,'Process'!BR5=1),1+('Control Room'!$C$16-1)*EXP(-0.5*(($A441-'Control Room'!$A$16-('Control Room'!$B$16-1)/2)/MAX(0.5,'Control Room'!$B$16/4))^2),1)</x:f>
        <x:v>1</x:v>
      </x:c>
      <x:c r="AP441" s="9" t="n">
        <x:f>MOD(AQ440*16807,2147483647)</x:f>
        <x:v>878688890</x:v>
      </x:c>
      <x:c r="AQ441" s="9" t="n">
        <x:f>MOD(AP441*16807,2147483647)</x:f>
        <x:v>2026617458</x:v>
      </x:c>
      <x:c r="AR441" s="17" t="n">
        <x:f>IF('Control Room'!$B$5="Normal",'Control Room'!$B$7+'Control Room'!$D$7*SQRT(-2*LN(MAX(0.000000000001,AP441/2147483647)))*COS(2*PI()*AQ441/2147483647),'Control Room'!$B$8+('Control Room'!$D$8-'Control Room'!$B$8)*AP441/2147483647)</x:f>
        <x:v>1112.8736860969475</x:v>
      </x:c>
      <x:c r="AS441" s="17" t="n">
        <x:f>IF('Control Room'!$B$5="Normal",'Control Room'!$B$7,('Control Room'!$B$8+'Control Room'!$D$8)/2)+'Control Room'!$B$9*(AS440-IF('Control Room'!$B$5="Normal",'Control Room'!$B$7,('Control Room'!$B$8+'Control Room'!$D$8)/2))+SQRT(1-'Control Room'!$B$9^2)*(AR441-IF('Control Room'!$B$5="Normal",'Control Room'!$B$7,('Control Room'!$B$8+'Control Room'!$D$8)/2))</x:f>
        <x:v>1013.4182702402985</x:v>
      </x:c>
      <x:c r="AT441" s="17" t="n">
        <x:f>IF(AND($A441&gt;='Control Room'!$A$13,$A441&lt;'Control Room'!$A$13+'Control Room'!$B$13,'Process'!BS2=1),1+('Control Room'!$C$13-1)*EXP(-0.5*(($A441-'Control Room'!$A$13-('Control Room'!$B$13-1)/2)/MAX(0.5,'Control Room'!$B$13/4))^2),1)*IF(AND($A441&gt;='Control Room'!$A$14,$A441&lt;'Control Room'!$A$14+'Control Room'!$B$14,'Process'!BS3=1),1+('Control Room'!$C$14-1)*EXP(-0.5*(($A441-'Control Room'!$A$14-('Control Room'!$B$14-1)/2)/MAX(0.5,'Control Room'!$B$14/4))^2),1)*IF(AND($A441&gt;='Control Room'!$A$15,$A441&lt;'Control Room'!$A$15+'Control Room'!$B$15,'Process'!BS4=1),1+('Control Room'!$C$15-1)*EXP(-0.5*(($A441-'Control Room'!$A$15-('Control Room'!$B$15-1)/2)/MAX(0.5,'Control Room'!$B$15/4))^2),1)*IF(AND($A441&gt;='Control Room'!$A$16,$A441&lt;'Control Room'!$A$16+'Control Room'!$B$16,'Process'!BS5=1),1+('Control Room'!$C$16-1)*EXP(-0.5*(($A441-'Control Room'!$A$16-('Control Room'!$B$16-1)/2)/MAX(0.5,'Control Room'!$B$16/4))^2),1)</x:f>
        <x:v>1</x:v>
      </x:c>
      <x:c r="AU441" s="9" t="n">
        <x:f>MOD(AV440*16807,2147483647)</x:f>
        <x:v>455951066</x:v>
      </x:c>
      <x:c r="AV441" s="9" t="n">
        <x:f>MOD(AU441*16807,2147483647)</x:f>
        <x:v>947913766</x:v>
      </x:c>
      <x:c r="AW441" s="17" t="n">
        <x:f>IF('Control Room'!$B$5="Normal",'Control Room'!$B$7+'Control Room'!$D$7*SQRT(-2*LN(MAX(0.000000000001,AU441/2147483647)))*COS(2*PI()*AV441/2147483647),'Control Room'!$B$8+('Control Room'!$D$8-'Control Room'!$B$8)*AU441/2147483647)</x:f>
        <x:v>852.1724263728105</x:v>
      </x:c>
      <x:c r="AX441" s="17" t="n">
        <x:f>IF('Control Room'!$B$5="Normal",'Control Room'!$B$7,('Control Room'!$B$8+'Control Room'!$D$8)/2)+'Control Room'!$B$9*(AX440-IF('Control Room'!$B$5="Normal",'Control Room'!$B$7,('Control Room'!$B$8+'Control Room'!$D$8)/2))+SQRT(1-'Control Room'!$B$9^2)*(AW441-IF('Control Room'!$B$5="Normal",'Control Room'!$B$7,('Control Room'!$B$8+'Control Room'!$D$8)/2))</x:f>
        <x:v>874.1239349567113</x:v>
      </x:c>
      <x:c r="AY441" s="17" t="n">
        <x:f>IF(AND($A441&gt;='Control Room'!$A$13,$A441&lt;'Control Room'!$A$13+'Control Room'!$B$13,'Process'!BT2=1),1+('Control Room'!$C$13-1)*EXP(-0.5*(($A441-'Control Room'!$A$13-('Control Room'!$B$13-1)/2)/MAX(0.5,'Control Room'!$B$13/4))^2),1)*IF(AND($A441&gt;='Control Room'!$A$14,$A441&lt;'Control Room'!$A$14+'Control Room'!$B$14,'Process'!BT3=1),1+('Control Room'!$C$14-1)*EXP(-0.5*(($A441-'Control Room'!$A$14-('Control Room'!$B$14-1)/2)/MAX(0.5,'Control Room'!$B$14/4))^2),1)*IF(AND($A441&gt;='Control Room'!$A$15,$A441&lt;'Control Room'!$A$15+'Control Room'!$B$15,'Process'!BT4=1),1+('Control Room'!$C$15-1)*EXP(-0.5*(($A441-'Control Room'!$A$15-('Control Room'!$B$15-1)/2)/MAX(0.5,'Control Room'!$B$15/4))^2),1)*IF(AND($A441&gt;='Control Room'!$A$16,$A441&lt;'Control Room'!$A$16+'Control Room'!$B$16,'Process'!BT5=1),1+('Control Room'!$C$16-1)*EXP(-0.5*(($A441-'Control Room'!$A$16-('Control Room'!$B$16-1)/2)/MAX(0.5,'Control Room'!$B$16/4))^2),1)</x:f>
        <x:v>1</x:v>
      </x:c>
      <x:c r="AZ441" s="9" t="n">
        <x:f>MOD(BA440*16807,2147483647)</x:f>
        <x:v>33213242</x:v>
      </x:c>
      <x:c r="BA441" s="9" t="n">
        <x:f>MOD(AZ441*16807,2147483647)</x:f>
        <x:v>2016693721</x:v>
      </x:c>
      <x:c r="BB441" s="17" t="n">
        <x:f>IF('Control Room'!$B$5="Normal",'Control Room'!$B$7+'Control Room'!$D$7*SQRT(-2*LN(MAX(0.000000000001,AZ441/2147483647)))*COS(2*PI()*BA441/2147483647),'Control Room'!$B$8+('Control Room'!$D$8-'Control Room'!$B$8)*AZ441/2147483647)</x:f>
        <x:v>1241.0864621662674</x:v>
      </x:c>
      <x:c r="BC441" s="17" t="n">
        <x:f>IF('Control Room'!$B$5="Normal",'Control Room'!$B$7,('Control Room'!$B$8+'Control Room'!$D$8)/2)+'Control Room'!$B$9*(BC440-IF('Control Room'!$B$5="Normal",'Control Room'!$B$7,('Control Room'!$B$8+'Control Room'!$D$8)/2))+SQRT(1-'Control Room'!$B$9^2)*(BB441-IF('Control Room'!$B$5="Normal",'Control Room'!$B$7,('Control Room'!$B$8+'Control Room'!$D$8)/2))</x:f>
        <x:v>1169.708584468777</x:v>
      </x:c>
      <x:c r="BD441" s="17" t="n">
        <x:f>IF(AND($A441&gt;='Control Room'!$A$13,$A441&lt;'Control Room'!$A$13+'Control Room'!$B$13,'Process'!BU2=1),1+('Control Room'!$C$13-1)*EXP(-0.5*(($A441-'Control Room'!$A$13-('Control Room'!$B$13-1)/2)/MAX(0.5,'Control Room'!$B$13/4))^2),1)*IF(AND($A441&gt;='Control Room'!$A$14,$A441&lt;'Control Room'!$A$14+'Control Room'!$B$14,'Process'!BU3=1),1+('Control Room'!$C$14-1)*EXP(-0.5*(($A441-'Control Room'!$A$14-('Control Room'!$B$14-1)/2)/MAX(0.5,'Control Room'!$B$14/4))^2),1)*IF(AND($A441&gt;='Control Room'!$A$15,$A441&lt;'Control Room'!$A$15+'Control Room'!$B$15,'Process'!BU4=1),1+('Control Room'!$C$15-1)*EXP(-0.5*(($A441-'Control Room'!$A$15-('Control Room'!$B$15-1)/2)/MAX(0.5,'Control Room'!$B$15/4))^2),1)*IF(AND($A441&gt;='Control Room'!$A$16,$A441&lt;'Control Room'!$A$16+'Control Room'!$B$16,'Process'!BU5=1),1+('Control Room'!$C$16-1)*EXP(-0.5*(($A441-'Control Room'!$A$16-('Control Room'!$B$16-1)/2)/MAX(0.5,'Control Room'!$B$16/4))^2),1)</x:f>
        <x:v>1</x:v>
      </x:c>
      <x:c r="BE441" s="9" t="n">
        <x:f>MOD(BF440*16807,2147483647)</x:f>
        <x:v>1757959065</x:v>
      </x:c>
      <x:c r="BF441" s="9" t="n">
        <x:f>MOD(BE441*16807,2147483647)</x:f>
        <x:v>937990029</x:v>
      </x:c>
      <x:c r="BG441" s="17" t="n">
        <x:f>IF('Control Room'!$B$5="Normal",'Control Room'!$B$7+'Control Room'!$D$7*SQRT(-2*LN(MAX(0.000000000001,BE441/2147483647)))*COS(2*PI()*BF441/2147483647),'Control Room'!$B$8+('Control Room'!$D$8-'Control Room'!$B$8)*BE441/2147483647)</x:f>
        <x:v>947.4913606188258</x:v>
      </x:c>
      <x:c r="BH441" s="17" t="n">
        <x:f>IF('Control Room'!$B$5="Normal",'Control Room'!$B$7,('Control Room'!$B$8+'Control Room'!$D$8)/2)+'Control Room'!$B$9*(BH440-IF('Control Room'!$B$5="Normal",'Control Room'!$B$7,('Control Room'!$B$8+'Control Room'!$D$8)/2))+SQRT(1-'Control Room'!$B$9^2)*(BG441-IF('Control Room'!$B$5="Normal",'Control Room'!$B$7,('Control Room'!$B$8+'Control Room'!$D$8)/2))</x:f>
        <x:v>1076.8018779912898</x:v>
      </x:c>
      <x:c r="BI441" s="17" t="n">
        <x:f>IF(AND($A441&gt;='Control Room'!$A$13,$A441&lt;'Control Room'!$A$13+'Control Room'!$B$13,'Process'!BV2=1),1+('Control Room'!$C$13-1)*EXP(-0.5*(($A441-'Control Room'!$A$13-('Control Room'!$B$13-1)/2)/MAX(0.5,'Control Room'!$B$13/4))^2),1)*IF(AND($A441&gt;='Control Room'!$A$14,$A441&lt;'Control Room'!$A$14+'Control Room'!$B$14,'Process'!BV3=1),1+('Control Room'!$C$14-1)*EXP(-0.5*(($A441-'Control Room'!$A$14-('Control Room'!$B$14-1)/2)/MAX(0.5,'Control Room'!$B$14/4))^2),1)*IF(AND($A441&gt;='Control Room'!$A$15,$A441&lt;'Control Room'!$A$15+'Control Room'!$B$15,'Process'!BV4=1),1+('Control Room'!$C$15-1)*EXP(-0.5*(($A441-'Control Room'!$A$15-('Control Room'!$B$15-1)/2)/MAX(0.5,'Control Room'!$B$15/4))^2),1)*IF(AND($A441&gt;='Control Room'!$A$16,$A441&lt;'Control Room'!$A$16+'Control Room'!$B$16,'Process'!BV5=1),1+('Control Room'!$C$16-1)*EXP(-0.5*(($A441-'Control Room'!$A$16-('Control Room'!$B$16-1)/2)/MAX(0.5,'Control Room'!$B$16/4))^2),1)</x:f>
        <x:v>1</x:v>
      </x:c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Z441" t="str">
        <x:f>IF('Data'!A441="","",TEXT('Data'!A441,"mm-dd"))</x:f>
      </x:c>
    </x:row>
    <x:row r="442" ht="21" customHeight="1">
      <x:c r="A442" s="15" t="n">
        <x:f>'Control Room'!$B$1+440</x:f>
        <x:v>73431</x:v>
      </x:c>
      <x:c r="B442" s="9" t="n">
        <x:f>MOD(C441*16807,2147483647)</x:f>
        <x:v>1554552005</x:v>
      </x:c>
      <x:c r="C442" s="9" t="n">
        <x:f>MOD(B442*16807,2147483647)</x:f>
        <x:v>1069498633</x:v>
      </x:c>
      <x:c r="D442" s="17" t="n">
        <x:f>IF('Control Room'!$B$5="Normal",'Control Room'!$B$7+'Control Room'!$D$7*SQRT(-2*LN(MAX(0.000000000001,B442/2147483647)))*COS(2*PI()*C442/2147483647),'Control Room'!$B$8+('Control Room'!$D$8-'Control Room'!$B$8)*B442/2147483647)</x:f>
        <x:v>927.6566186108297</x:v>
      </x:c>
      <x:c r="E442" s="17" t="n">
        <x:f>IF('Control Room'!$B$5="Normal",'Control Room'!$B$7,('Control Room'!$B$8+'Control Room'!$D$8)/2)+'Control Room'!$B$9*(E441-IF('Control Room'!$B$5="Normal",'Control Room'!$B$7,('Control Room'!$B$8+'Control Room'!$D$8)/2))+SQRT(1-'Control Room'!$B$9^2)*(D442-IF('Control Room'!$B$5="Normal",'Control Room'!$B$7,('Control Room'!$B$8+'Control Room'!$D$8)/2))</x:f>
        <x:v>971.2196381952306</x:v>
      </x:c>
      <x:c r="F442" s="17" t="n">
        <x:f>IF(AND($A442&gt;='Control Room'!$A$13,$A442&lt;'Control Room'!$A$13+'Control Room'!$B$13,'Process'!BK2=1),1+('Control Room'!$C$13-1)*EXP(-0.5*(($A442-'Control Room'!$A$13-('Control Room'!$B$13-1)/2)/MAX(0.5,'Control Room'!$B$13/4))^2),1)*IF(AND($A442&gt;='Control Room'!$A$14,$A442&lt;'Control Room'!$A$14+'Control Room'!$B$14,'Process'!BK3=1),1+('Control Room'!$C$14-1)*EXP(-0.5*(($A442-'Control Room'!$A$14-('Control Room'!$B$14-1)/2)/MAX(0.5,'Control Room'!$B$14/4))^2),1)*IF(AND($A442&gt;='Control Room'!$A$15,$A442&lt;'Control Room'!$A$15+'Control Room'!$B$15,'Process'!BK4=1),1+('Control Room'!$C$15-1)*EXP(-0.5*(($A442-'Control Room'!$A$15-('Control Room'!$B$15-1)/2)/MAX(0.5,'Control Room'!$B$15/4))^2),1)*IF(AND($A442&gt;='Control Room'!$A$16,$A442&lt;'Control Room'!$A$16+'Control Room'!$B$16,'Process'!BK5=1),1+('Control Room'!$C$16-1)*EXP(-0.5*(($A442-'Control Room'!$A$16-('Control Room'!$B$16-1)/2)/MAX(0.5,'Control Room'!$B$16/4))^2),1)</x:f>
        <x:v>1</x:v>
      </x:c>
      <x:c r="G442" s="9" t="n">
        <x:f>MOD(H441*16807,2147483647)</x:f>
        <x:v>838548535</x:v>
      </x:c>
      <x:c r="H442" s="9" t="n">
        <x:f>MOD(G442*16807,2147483647)</x:f>
        <x:v>1697536131</x:v>
      </x:c>
      <x:c r="I442" s="17" t="n">
        <x:f>IF('Control Room'!$B$5="Normal",'Control Room'!$B$7+'Control Room'!$D$7*SQRT(-2*LN(MAX(0.000000000001,G442/2147483647)))*COS(2*PI()*H442/2147483647),'Control Room'!$B$8+('Control Room'!$D$8-'Control Room'!$B$8)*G442/2147483647)</x:f>
        <x:v>1031.0530256616034</x:v>
      </x:c>
      <x:c r="J442" s="17" t="n">
        <x:f>IF('Control Room'!$B$5="Normal",'Control Room'!$B$7,('Control Room'!$B$8+'Control Room'!$D$8)/2)+'Control Room'!$B$9*(J441-IF('Control Room'!$B$5="Normal",'Control Room'!$B$7,('Control Room'!$B$8+'Control Room'!$D$8)/2))+SQRT(1-'Control Room'!$B$9^2)*(I442-IF('Control Room'!$B$5="Normal",'Control Room'!$B$7,('Control Room'!$B$8+'Control Room'!$D$8)/2))</x:f>
        <x:v>1013.3123364420485</x:v>
      </x:c>
      <x:c r="K442" s="17" t="n">
        <x:f>IF(AND($A442&gt;='Control Room'!$A$13,$A442&lt;'Control Room'!$A$13+'Control Room'!$B$13,'Process'!BL2=1),1+('Control Room'!$C$13-1)*EXP(-0.5*(($A442-'Control Room'!$A$13-('Control Room'!$B$13-1)/2)/MAX(0.5,'Control Room'!$B$13/4))^2),1)*IF(AND($A442&gt;='Control Room'!$A$14,$A442&lt;'Control Room'!$A$14+'Control Room'!$B$14,'Process'!BL3=1),1+('Control Room'!$C$14-1)*EXP(-0.5*(($A442-'Control Room'!$A$14-('Control Room'!$B$14-1)/2)/MAX(0.5,'Control Room'!$B$14/4))^2),1)*IF(AND($A442&gt;='Control Room'!$A$15,$A442&lt;'Control Room'!$A$15+'Control Room'!$B$15,'Process'!BL4=1),1+('Control Room'!$C$15-1)*EXP(-0.5*(($A442-'Control Room'!$A$15-('Control Room'!$B$15-1)/2)/MAX(0.5,'Control Room'!$B$15/4))^2),1)*IF(AND($A442&gt;='Control Room'!$A$16,$A442&lt;'Control Room'!$A$16+'Control Room'!$B$16,'Process'!BL5=1),1+('Control Room'!$C$16-1)*EXP(-0.5*(($A442-'Control Room'!$A$16-('Control Room'!$B$16-1)/2)/MAX(0.5,'Control Room'!$B$16/4))^2),1)</x:f>
        <x:v>1</x:v>
      </x:c>
      <x:c r="L442" s="9" t="n">
        <x:f>MOD(M441*16807,2147483647)</x:f>
        <x:v>122545065</x:v>
      </x:c>
      <x:c r="M442" s="9" t="n">
        <x:f>MOD(L442*16807,2147483647)</x:f>
        <x:v>178089982</x:v>
      </x:c>
      <x:c r="N442" s="17" t="n">
        <x:f>IF('Control Room'!$B$5="Normal",'Control Room'!$B$7+'Control Room'!$D$7*SQRT(-2*LN(MAX(0.000000000001,L442/2147483647)))*COS(2*PI()*M442/2147483647),'Control Room'!$B$8+('Control Room'!$D$8-'Control Room'!$B$8)*L442/2147483647)</x:f>
        <x:v>1186.7998254830056</x:v>
      </x:c>
      <x:c r="O442" s="17" t="n">
        <x:f>IF('Control Room'!$B$5="Normal",'Control Room'!$B$7,('Control Room'!$B$8+'Control Room'!$D$8)/2)+'Control Room'!$B$9*(O441-IF('Control Room'!$B$5="Normal",'Control Room'!$B$7,('Control Room'!$B$8+'Control Room'!$D$8)/2))+SQRT(1-'Control Room'!$B$9^2)*(N442-IF('Control Room'!$B$5="Normal",'Control Room'!$B$7,('Control Room'!$B$8+'Control Room'!$D$8)/2))</x:f>
        <x:v>1205.7636688123423</x:v>
      </x:c>
      <x:c r="P442" s="17" t="n">
        <x:f>IF(AND($A442&gt;='Control Room'!$A$13,$A442&lt;'Control Room'!$A$13+'Control Room'!$B$13,'Process'!BM2=1),1+('Control Room'!$C$13-1)*EXP(-0.5*(($A442-'Control Room'!$A$13-('Control Room'!$B$13-1)/2)/MAX(0.5,'Control Room'!$B$13/4))^2),1)*IF(AND($A442&gt;='Control Room'!$A$14,$A442&lt;'Control Room'!$A$14+'Control Room'!$B$14,'Process'!BM3=1),1+('Control Room'!$C$14-1)*EXP(-0.5*(($A442-'Control Room'!$A$14-('Control Room'!$B$14-1)/2)/MAX(0.5,'Control Room'!$B$14/4))^2),1)*IF(AND($A442&gt;='Control Room'!$A$15,$A442&lt;'Control Room'!$A$15+'Control Room'!$B$15,'Process'!BM4=1),1+('Control Room'!$C$15-1)*EXP(-0.5*(($A442-'Control Room'!$A$15-('Control Room'!$B$15-1)/2)/MAX(0.5,'Control Room'!$B$15/4))^2),1)*IF(AND($A442&gt;='Control Room'!$A$16,$A442&lt;'Control Room'!$A$16+'Control Room'!$B$16,'Process'!BM5=1),1+('Control Room'!$C$16-1)*EXP(-0.5*(($A442-'Control Room'!$A$16-('Control Room'!$B$16-1)/2)/MAX(0.5,'Control Room'!$B$16/4))^2),1)</x:f>
        <x:v>1</x:v>
      </x:c>
      <x:c r="Q442" s="9" t="n">
        <x:f>MOD(R441*16807,2147483647)</x:f>
        <x:v>1554025242</x:v>
      </x:c>
      <x:c r="R442" s="9" t="n">
        <x:f>MOD(Q442*16807,2147483647)</x:f>
        <x:v>806127480</x:v>
      </x:c>
      <x:c r="S442" s="17" t="n">
        <x:f>IF('Control Room'!$B$5="Normal",'Control Room'!$B$7+'Control Room'!$D$7*SQRT(-2*LN(MAX(0.000000000001,Q442/2147483647)))*COS(2*PI()*R442/2147483647),'Control Room'!$B$8+('Control Room'!$D$8-'Control Room'!$B$8)*Q442/2147483647)</x:f>
        <x:v>948.6919172797716</x:v>
      </x:c>
      <x:c r="T442" s="17" t="n">
        <x:f>IF('Control Room'!$B$5="Normal",'Control Room'!$B$7,('Control Room'!$B$8+'Control Room'!$D$8)/2)+'Control Room'!$B$9*(T441-IF('Control Room'!$B$5="Normal",'Control Room'!$B$7,('Control Room'!$B$8+'Control Room'!$D$8)/2))+SQRT(1-'Control Room'!$B$9^2)*(S442-IF('Control Room'!$B$5="Normal",'Control Room'!$B$7,('Control Room'!$B$8+'Control Room'!$D$8)/2))</x:f>
        <x:v>876.5778275285996</x:v>
      </x:c>
      <x:c r="U442" s="17" t="n">
        <x:f>IF(AND($A442&gt;='Control Room'!$A$13,$A442&lt;'Control Room'!$A$13+'Control Room'!$B$13,'Process'!BN2=1),1+('Control Room'!$C$13-1)*EXP(-0.5*(($A442-'Control Room'!$A$13-('Control Room'!$B$13-1)/2)/MAX(0.5,'Control Room'!$B$13/4))^2),1)*IF(AND($A442&gt;='Control Room'!$A$14,$A442&lt;'Control Room'!$A$14+'Control Room'!$B$14,'Process'!BN3=1),1+('Control Room'!$C$14-1)*EXP(-0.5*(($A442-'Control Room'!$A$14-('Control Room'!$B$14-1)/2)/MAX(0.5,'Control Room'!$B$14/4))^2),1)*IF(AND($A442&gt;='Control Room'!$A$15,$A442&lt;'Control Room'!$A$15+'Control Room'!$B$15,'Process'!BN4=1),1+('Control Room'!$C$15-1)*EXP(-0.5*(($A442-'Control Room'!$A$15-('Control Room'!$B$15-1)/2)/MAX(0.5,'Control Room'!$B$15/4))^2),1)*IF(AND($A442&gt;='Control Room'!$A$16,$A442&lt;'Control Room'!$A$16+'Control Room'!$B$16,'Process'!BN5=1),1+('Control Room'!$C$16-1)*EXP(-0.5*(($A442-'Control Room'!$A$16-('Control Room'!$B$16-1)/2)/MAX(0.5,'Control Room'!$B$16/4))^2),1)</x:f>
        <x:v>1</x:v>
      </x:c>
      <x:c r="V442" s="9" t="n">
        <x:f>MOD(W441*16807,2147483647)</x:f>
        <x:v>838021772</x:v>
      </x:c>
      <x:c r="W442" s="9" t="n">
        <x:f>MOD(V442*16807,2147483647)</x:f>
        <x:v>1434164978</x:v>
      </x:c>
      <x:c r="X442" s="17" t="n">
        <x:f>IF('Control Room'!$B$5="Normal",'Control Room'!$B$7+'Control Room'!$D$7*SQRT(-2*LN(MAX(0.000000000001,V442/2147483647)))*COS(2*PI()*W442/2147483647),'Control Room'!$B$8+('Control Room'!$D$8-'Control Room'!$B$8)*V442/2147483647)</x:f>
        <x:v>939.052698197493</x:v>
      </x:c>
      <x:c r="Y442" s="17" t="n">
        <x:f>IF('Control Room'!$B$5="Normal",'Control Room'!$B$7,('Control Room'!$B$8+'Control Room'!$D$8)/2)+'Control Room'!$B$9*(Y441-IF('Control Room'!$B$5="Normal",'Control Room'!$B$7,('Control Room'!$B$8+'Control Room'!$D$8)/2))+SQRT(1-'Control Room'!$B$9^2)*(X442-IF('Control Room'!$B$5="Normal",'Control Room'!$B$7,('Control Room'!$B$8+'Control Room'!$D$8)/2))</x:f>
        <x:v>1034.9604662304585</x:v>
      </x:c>
      <x:c r="Z442" s="17" t="n">
        <x:f>IF(AND($A442&gt;='Control Room'!$A$13,$A442&lt;'Control Room'!$A$13+'Control Room'!$B$13,'Process'!BO2=1),1+('Control Room'!$C$13-1)*EXP(-0.5*(($A442-'Control Room'!$A$13-('Control Room'!$B$13-1)/2)/MAX(0.5,'Control Room'!$B$13/4))^2),1)*IF(AND($A442&gt;='Control Room'!$A$14,$A442&lt;'Control Room'!$A$14+'Control Room'!$B$14,'Process'!BO3=1),1+('Control Room'!$C$14-1)*EXP(-0.5*(($A442-'Control Room'!$A$14-('Control Room'!$B$14-1)/2)/MAX(0.5,'Control Room'!$B$14/4))^2),1)*IF(AND($A442&gt;='Control Room'!$A$15,$A442&lt;'Control Room'!$A$15+'Control Room'!$B$15,'Process'!BO4=1),1+('Control Room'!$C$15-1)*EXP(-0.5*(($A442-'Control Room'!$A$15-('Control Room'!$B$15-1)/2)/MAX(0.5,'Control Room'!$B$15/4))^2),1)*IF(AND($A442&gt;='Control Room'!$A$16,$A442&lt;'Control Room'!$A$16+'Control Room'!$B$16,'Process'!BO5=1),1+('Control Room'!$C$16-1)*EXP(-0.5*(($A442-'Control Room'!$A$16-('Control Room'!$B$16-1)/2)/MAX(0.5,'Control Room'!$B$16/4))^2),1)</x:f>
        <x:v>1</x:v>
      </x:c>
      <x:c r="AA442" s="9" t="n">
        <x:f>MOD(AB441*16807,2147483647)</x:f>
        <x:v>122018302</x:v>
      </x:c>
      <x:c r="AB442" s="9" t="n">
        <x:f>MOD(AA442*16807,2147483647)</x:f>
        <x:v>2062202476</x:v>
      </x:c>
      <x:c r="AC442" s="17" t="n">
        <x:f>IF('Control Room'!$B$5="Normal",'Control Room'!$B$7+'Control Room'!$D$7*SQRT(-2*LN(MAX(0.000000000001,AA442/2147483647)))*COS(2*PI()*AB442/2147483647),'Control Room'!$B$8+('Control Room'!$D$8-'Control Room'!$B$8)*AA442/2147483647)</x:f>
        <x:v>1208.8699242699768</x:v>
      </x:c>
      <x:c r="AD442" s="17" t="n">
        <x:f>IF('Control Room'!$B$5="Normal",'Control Room'!$B$7,('Control Room'!$B$8+'Control Room'!$D$8)/2)+'Control Room'!$B$9*(AD441-IF('Control Room'!$B$5="Normal",'Control Room'!$B$7,('Control Room'!$B$8+'Control Room'!$D$8)/2))+SQRT(1-'Control Room'!$B$9^2)*(AC442-IF('Control Room'!$B$5="Normal",'Control Room'!$B$7,('Control Room'!$B$8+'Control Room'!$D$8)/2))</x:f>
        <x:v>1104.1381557169605</x:v>
      </x:c>
      <x:c r="AE442" s="17" t="n">
        <x:f>IF(AND($A442&gt;='Control Room'!$A$13,$A442&lt;'Control Room'!$A$13+'Control Room'!$B$13,'Process'!BP2=1),1+('Control Room'!$C$13-1)*EXP(-0.5*(($A442-'Control Room'!$A$13-('Control Room'!$B$13-1)/2)/MAX(0.5,'Control Room'!$B$13/4))^2),1)*IF(AND($A442&gt;='Control Room'!$A$14,$A442&lt;'Control Room'!$A$14+'Control Room'!$B$14,'Process'!BP3=1),1+('Control Room'!$C$14-1)*EXP(-0.5*(($A442-'Control Room'!$A$14-('Control Room'!$B$14-1)/2)/MAX(0.5,'Control Room'!$B$14/4))^2),1)*IF(AND($A442&gt;='Control Room'!$A$15,$A442&lt;'Control Room'!$A$15+'Control Room'!$B$15,'Process'!BP4=1),1+('Control Room'!$C$15-1)*EXP(-0.5*(($A442-'Control Room'!$A$15-('Control Room'!$B$15-1)/2)/MAX(0.5,'Control Room'!$B$15/4))^2),1)*IF(AND($A442&gt;='Control Room'!$A$16,$A442&lt;'Control Room'!$A$16+'Control Room'!$B$16,'Process'!BP5=1),1+('Control Room'!$C$16-1)*EXP(-0.5*(($A442-'Control Room'!$A$16-('Control Room'!$B$16-1)/2)/MAX(0.5,'Control Room'!$B$16/4))^2),1)</x:f>
        <x:v>1</x:v>
      </x:c>
      <x:c r="AF442" s="9" t="n">
        <x:f>MOD(AG441*16807,2147483647)</x:f>
        <x:v>1553498479</x:v>
      </x:c>
      <x:c r="AG442" s="9" t="n">
        <x:f>MOD(AF442*16807,2147483647)</x:f>
        <x:v>542756327</x:v>
      </x:c>
      <x:c r="AH442" s="17" t="n">
        <x:f>IF('Control Room'!$B$5="Normal",'Control Room'!$B$7+'Control Room'!$D$7*SQRT(-2*LN(MAX(0.000000000001,AF442/2147483647)))*COS(2*PI()*AG442/2147483647),'Control Room'!$B$8+('Control Room'!$D$8-'Control Room'!$B$8)*AF442/2147483647)</x:f>
        <x:v>998.7529236151596</x:v>
      </x:c>
      <x:c r="AI442" s="17" t="n">
        <x:f>IF('Control Room'!$B$5="Normal",'Control Room'!$B$7,('Control Room'!$B$8+'Control Room'!$D$8)/2)+'Control Room'!$B$9*(AI441-IF('Control Room'!$B$5="Normal",'Control Room'!$B$7,('Control Room'!$B$8+'Control Room'!$D$8)/2))+SQRT(1-'Control Room'!$B$9^2)*(AH442-IF('Control Room'!$B$5="Normal",'Control Room'!$B$7,('Control Room'!$B$8+'Control Room'!$D$8)/2))</x:f>
        <x:v>976.9138578527198</x:v>
      </x:c>
      <x:c r="AJ442" s="17" t="n">
        <x:f>IF(AND($A442&gt;='Control Room'!$A$13,$A442&lt;'Control Room'!$A$13+'Control Room'!$B$13,'Process'!BQ2=1),1+('Control Room'!$C$13-1)*EXP(-0.5*(($A442-'Control Room'!$A$13-('Control Room'!$B$13-1)/2)/MAX(0.5,'Control Room'!$B$13/4))^2),1)*IF(AND($A442&gt;='Control Room'!$A$14,$A442&lt;'Control Room'!$A$14+'Control Room'!$B$14,'Process'!BQ3=1),1+('Control Room'!$C$14-1)*EXP(-0.5*(($A442-'Control Room'!$A$14-('Control Room'!$B$14-1)/2)/MAX(0.5,'Control Room'!$B$14/4))^2),1)*IF(AND($A442&gt;='Control Room'!$A$15,$A442&lt;'Control Room'!$A$15+'Control Room'!$B$15,'Process'!BQ4=1),1+('Control Room'!$C$15-1)*EXP(-0.5*(($A442-'Control Room'!$A$15-('Control Room'!$B$15-1)/2)/MAX(0.5,'Control Room'!$B$15/4))^2),1)*IF(AND($A442&gt;='Control Room'!$A$16,$A442&lt;'Control Room'!$A$16+'Control Room'!$B$16,'Process'!BQ5=1),1+('Control Room'!$C$16-1)*EXP(-0.5*(($A442-'Control Room'!$A$16-('Control Room'!$B$16-1)/2)/MAX(0.5,'Control Room'!$B$16/4))^2),1)</x:f>
        <x:v>1</x:v>
      </x:c>
      <x:c r="AK442" s="9" t="n">
        <x:f>MOD(AL441*16807,2147483647)</x:f>
        <x:v>837495009</x:v>
      </x:c>
      <x:c r="AL442" s="9" t="n">
        <x:f>MOD(AK442*16807,2147483647)</x:f>
        <x:v>1170793825</x:v>
      </x:c>
      <x:c r="AM442" s="17" t="n">
        <x:f>IF('Control Room'!$B$5="Normal",'Control Room'!$B$7+'Control Room'!$D$7*SQRT(-2*LN(MAX(0.000000000001,AK442/2147483647)))*COS(2*PI()*AL442/2147483647),'Control Room'!$B$8+('Control Room'!$D$8-'Control Room'!$B$8)*AK442/2147483647)</x:f>
        <x:v>881.4368748875204</x:v>
      </x:c>
      <x:c r="AN442" s="17" t="n">
        <x:f>IF('Control Room'!$B$5="Normal",'Control Room'!$B$7,('Control Room'!$B$8+'Control Room'!$D$8)/2)+'Control Room'!$B$9*(AN441-IF('Control Room'!$B$5="Normal",'Control Room'!$B$7,('Control Room'!$B$8+'Control Room'!$D$8)/2))+SQRT(1-'Control Room'!$B$9^2)*(AM442-IF('Control Room'!$B$5="Normal",'Control Room'!$B$7,('Control Room'!$B$8+'Control Room'!$D$8)/2))</x:f>
        <x:v>833.7551043031912</x:v>
      </x:c>
      <x:c r="AO442" s="17" t="n">
        <x:f>IF(AND($A442&gt;='Control Room'!$A$13,$A442&lt;'Control Room'!$A$13+'Control Room'!$B$13,'Process'!BR2=1),1+('Control Room'!$C$13-1)*EXP(-0.5*(($A442-'Control Room'!$A$13-('Control Room'!$B$13-1)/2)/MAX(0.5,'Control Room'!$B$13/4))^2),1)*IF(AND($A442&gt;='Control Room'!$A$14,$A442&lt;'Control Room'!$A$14+'Control Room'!$B$14,'Process'!BR3=1),1+('Control Room'!$C$14-1)*EXP(-0.5*(($A442-'Control Room'!$A$14-('Control Room'!$B$14-1)/2)/MAX(0.5,'Control Room'!$B$14/4))^2),1)*IF(AND($A442&gt;='Control Room'!$A$15,$A442&lt;'Control Room'!$A$15+'Control Room'!$B$15,'Process'!BR4=1),1+('Control Room'!$C$15-1)*EXP(-0.5*(($A442-'Control Room'!$A$15-('Control Room'!$B$15-1)/2)/MAX(0.5,'Control Room'!$B$15/4))^2),1)*IF(AND($A442&gt;='Control Room'!$A$16,$A442&lt;'Control Room'!$A$16+'Control Room'!$B$16,'Process'!BR5=1),1+('Control Room'!$C$16-1)*EXP(-0.5*(($A442-'Control Room'!$A$16-('Control Room'!$B$16-1)/2)/MAX(0.5,'Control Room'!$B$16/4))^2),1)</x:f>
        <x:v>1</x:v>
      </x:c>
      <x:c r="AP442" s="9" t="n">
        <x:f>MOD(AQ441*16807,2147483647)</x:f>
        <x:v>121491539</x:v>
      </x:c>
      <x:c r="AQ442" s="9" t="n">
        <x:f>MOD(AP442*16807,2147483647)</x:f>
        <x:v>1798831323</x:v>
      </x:c>
      <x:c r="AR442" s="17" t="n">
        <x:f>IF('Control Room'!$B$5="Normal",'Control Room'!$B$7+'Control Room'!$D$7*SQRT(-2*LN(MAX(0.000000000001,AP442/2147483647)))*COS(2*PI()*AQ442/2147483647),'Control Room'!$B$8+('Control Room'!$D$8-'Control Room'!$B$8)*AP442/2147483647)</x:f>
        <x:v>1112.8756995047609</x:v>
      </x:c>
      <x:c r="AS442" s="17" t="n">
        <x:f>IF('Control Room'!$B$5="Normal",'Control Room'!$B$7,('Control Room'!$B$8+'Control Room'!$D$8)/2)+'Control Room'!$B$9*(AS441-IF('Control Room'!$B$5="Normal",'Control Room'!$B$7,('Control Room'!$B$8+'Control Room'!$D$8)/2))+SQRT(1-'Control Room'!$B$9^2)*(AR442-IF('Control Room'!$B$5="Normal",'Control Room'!$B$7,('Control Room'!$B$8+'Control Room'!$D$8)/2))</x:f>
        <x:v>1081.1015511531186</x:v>
      </x:c>
      <x:c r="AT442" s="17" t="n">
        <x:f>IF(AND($A442&gt;='Control Room'!$A$13,$A442&lt;'Control Room'!$A$13+'Control Room'!$B$13,'Process'!BS2=1),1+('Control Room'!$C$13-1)*EXP(-0.5*(($A442-'Control Room'!$A$13-('Control Room'!$B$13-1)/2)/MAX(0.5,'Control Room'!$B$13/4))^2),1)*IF(AND($A442&gt;='Control Room'!$A$14,$A442&lt;'Control Room'!$A$14+'Control Room'!$B$14,'Process'!BS3=1),1+('Control Room'!$C$14-1)*EXP(-0.5*(($A442-'Control Room'!$A$14-('Control Room'!$B$14-1)/2)/MAX(0.5,'Control Room'!$B$14/4))^2),1)*IF(AND($A442&gt;='Control Room'!$A$15,$A442&lt;'Control Room'!$A$15+'Control Room'!$B$15,'Process'!BS4=1),1+('Control Room'!$C$15-1)*EXP(-0.5*(($A442-'Control Room'!$A$15-('Control Room'!$B$15-1)/2)/MAX(0.5,'Control Room'!$B$15/4))^2),1)*IF(AND($A442&gt;='Control Room'!$A$16,$A442&lt;'Control Room'!$A$16+'Control Room'!$B$16,'Process'!BS5=1),1+('Control Room'!$C$16-1)*EXP(-0.5*(($A442-'Control Room'!$A$16-('Control Room'!$B$16-1)/2)/MAX(0.5,'Control Room'!$B$16/4))^2),1)</x:f>
        <x:v>1</x:v>
      </x:c>
      <x:c r="AU442" s="9" t="n">
        <x:f>MOD(AV441*16807,2147483647)</x:f>
        <x:v>1552971716</x:v>
      </x:c>
      <x:c r="AV442" s="9" t="n">
        <x:f>MOD(AU442*16807,2147483647)</x:f>
        <x:v>279385174</x:v>
      </x:c>
      <x:c r="AW442" s="17" t="n">
        <x:f>IF('Control Room'!$B$5="Normal",'Control Room'!$B$7+'Control Room'!$D$7*SQRT(-2*LN(MAX(0.000000000001,AU442/2147483647)))*COS(2*PI()*AV442/2147483647),'Control Room'!$B$8+('Control Room'!$D$8-'Control Room'!$B$8)*AU442/2147483647)</x:f>
        <x:v>1049.5713355080916</x:v>
      </x:c>
      <x:c r="AX442" s="17" t="n">
        <x:f>IF('Control Room'!$B$5="Normal",'Control Room'!$B$7,('Control Room'!$B$8+'Control Room'!$D$8)/2)+'Control Room'!$B$9*(AX441-IF('Control Room'!$B$5="Normal",'Control Room'!$B$7,('Control Room'!$B$8+'Control Room'!$D$8)/2))+SQRT(1-'Control Room'!$B$9^2)*(AW442-IF('Control Room'!$B$5="Normal",'Control Room'!$B$7,('Control Room'!$B$8+'Control Room'!$D$8)/2))</x:f>
        <x:v>932.837395503192</x:v>
      </x:c>
      <x:c r="AY442" s="17" t="n">
        <x:f>IF(AND($A442&gt;='Control Room'!$A$13,$A442&lt;'Control Room'!$A$13+'Control Room'!$B$13,'Process'!BT2=1),1+('Control Room'!$C$13-1)*EXP(-0.5*(($A442-'Control Room'!$A$13-('Control Room'!$B$13-1)/2)/MAX(0.5,'Control Room'!$B$13/4))^2),1)*IF(AND($A442&gt;='Control Room'!$A$14,$A442&lt;'Control Room'!$A$14+'Control Room'!$B$14,'Process'!BT3=1),1+('Control Room'!$C$14-1)*EXP(-0.5*(($A442-'Control Room'!$A$14-('Control Room'!$B$14-1)/2)/MAX(0.5,'Control Room'!$B$14/4))^2),1)*IF(AND($A442&gt;='Control Room'!$A$15,$A442&lt;'Control Room'!$A$15+'Control Room'!$B$15,'Process'!BT4=1),1+('Control Room'!$C$15-1)*EXP(-0.5*(($A442-'Control Room'!$A$15-('Control Room'!$B$15-1)/2)/MAX(0.5,'Control Room'!$B$15/4))^2),1)*IF(AND($A442&gt;='Control Room'!$A$16,$A442&lt;'Control Room'!$A$16+'Control Room'!$B$16,'Process'!BT5=1),1+('Control Room'!$C$16-1)*EXP(-0.5*(($A442-'Control Room'!$A$16-('Control Room'!$B$16-1)/2)/MAX(0.5,'Control Room'!$B$16/4))^2),1)</x:f>
        <x:v>1</x:v>
      </x:c>
      <x:c r="AZ442" s="9" t="n">
        <x:f>MOD(BA441*16807,2147483647)</x:f>
        <x:v>836968246</x:v>
      </x:c>
      <x:c r="BA442" s="9" t="n">
        <x:f>MOD(AZ442*16807,2147483647)</x:f>
        <x:v>907422672</x:v>
      </x:c>
      <x:c r="BB442" s="17" t="n">
        <x:f>IF('Control Room'!$B$5="Normal",'Control Room'!$B$7+'Control Room'!$D$7*SQRT(-2*LN(MAX(0.000000000001,AZ442/2147483647)))*COS(2*PI()*BA442/2147483647),'Control Room'!$B$8+('Control Room'!$D$8-'Control Room'!$B$8)*AZ442/2147483647)</x:f>
        <x:v>890.7916386972831</x:v>
      </x:c>
      <x:c r="BC442" s="17" t="n">
        <x:f>IF('Control Room'!$B$5="Normal",'Control Room'!$B$7,('Control Room'!$B$8+'Control Room'!$D$8)/2)+'Control Room'!$B$9*(BC441-IF('Control Room'!$B$5="Normal",'Control Room'!$B$7,('Control Room'!$B$8+'Control Room'!$D$8)/2))+SQRT(1-'Control Room'!$B$9^2)*(BB442-IF('Control Room'!$B$5="Normal",'Control Room'!$B$7,('Control Room'!$B$8+'Control Room'!$D$8)/2))</x:f>
        <x:v>1064.0323406372927</x:v>
      </x:c>
      <x:c r="BD442" s="17" t="n">
        <x:f>IF(AND($A442&gt;='Control Room'!$A$13,$A442&lt;'Control Room'!$A$13+'Control Room'!$B$13,'Process'!BU2=1),1+('Control Room'!$C$13-1)*EXP(-0.5*(($A442-'Control Room'!$A$13-('Control Room'!$B$13-1)/2)/MAX(0.5,'Control Room'!$B$13/4))^2),1)*IF(AND($A442&gt;='Control Room'!$A$14,$A442&lt;'Control Room'!$A$14+'Control Room'!$B$14,'Process'!BU3=1),1+('Control Room'!$C$14-1)*EXP(-0.5*(($A442-'Control Room'!$A$14-('Control Room'!$B$14-1)/2)/MAX(0.5,'Control Room'!$B$14/4))^2),1)*IF(AND($A442&gt;='Control Room'!$A$15,$A442&lt;'Control Room'!$A$15+'Control Room'!$B$15,'Process'!BU4=1),1+('Control Room'!$C$15-1)*EXP(-0.5*(($A442-'Control Room'!$A$15-('Control Room'!$B$15-1)/2)/MAX(0.5,'Control Room'!$B$15/4))^2),1)*IF(AND($A442&gt;='Control Room'!$A$16,$A442&lt;'Control Room'!$A$16+'Control Room'!$B$16,'Process'!BU5=1),1+('Control Room'!$C$16-1)*EXP(-0.5*(($A442-'Control Room'!$A$16-('Control Room'!$B$16-1)/2)/MAX(0.5,'Control Room'!$B$16/4))^2),1)</x:f>
        <x:v>1</x:v>
      </x:c>
      <x:c r="BE442" s="9" t="n">
        <x:f>MOD(BF441*16807,2147483647)</x:f>
        <x:v>120964776</x:v>
      </x:c>
      <x:c r="BF442" s="9" t="n">
        <x:f>MOD(BE442*16807,2147483647)</x:f>
        <x:v>1535460170</x:v>
      </x:c>
      <x:c r="BG442" s="17" t="n">
        <x:f>IF('Control Room'!$B$5="Normal",'Control Room'!$B$7+'Control Room'!$D$7*SQRT(-2*LN(MAX(0.000000000001,BE442/2147483647)))*COS(2*PI()*BF442/2147483647),'Control Room'!$B$8+('Control Room'!$D$8-'Control Room'!$B$8)*BE442/2147483647)</x:f>
        <x:v>952.9150398781845</x:v>
      </x:c>
      <x:c r="BH442" s="17" t="n">
        <x:f>IF('Control Room'!$B$5="Normal",'Control Room'!$B$7,('Control Room'!$B$8+'Control Room'!$D$8)/2)+'Control Room'!$B$9*(BH441-IF('Control Room'!$B$5="Normal",'Control Room'!$B$7,('Control Room'!$B$8+'Control Room'!$D$8)/2))+SQRT(1-'Control Room'!$B$9^2)*(BG442-IF('Control Room'!$B$5="Normal",'Control Room'!$B$7,('Control Room'!$B$8+'Control Room'!$D$8)/2))</x:f>
        <x:v>1030.440661376812</x:v>
      </x:c>
      <x:c r="BI442" s="17" t="n">
        <x:f>IF(AND($A442&gt;='Control Room'!$A$13,$A442&lt;'Control Room'!$A$13+'Control Room'!$B$13,'Process'!BV2=1),1+('Control Room'!$C$13-1)*EXP(-0.5*(($A442-'Control Room'!$A$13-('Control Room'!$B$13-1)/2)/MAX(0.5,'Control Room'!$B$13/4))^2),1)*IF(AND($A442&gt;='Control Room'!$A$14,$A442&lt;'Control Room'!$A$14+'Control Room'!$B$14,'Process'!BV3=1),1+('Control Room'!$C$14-1)*EXP(-0.5*(($A442-'Control Room'!$A$14-('Control Room'!$B$14-1)/2)/MAX(0.5,'Control Room'!$B$14/4))^2),1)*IF(AND($A442&gt;='Control Room'!$A$15,$A442&lt;'Control Room'!$A$15+'Control Room'!$B$15,'Process'!BV4=1),1+('Control Room'!$C$15-1)*EXP(-0.5*(($A442-'Control Room'!$A$15-('Control Room'!$B$15-1)/2)/MAX(0.5,'Control Room'!$B$15/4))^2),1)*IF(AND($A442&gt;='Control Room'!$A$16,$A442&lt;'Control Room'!$A$16+'Control Room'!$B$16,'Process'!BV5=1),1+('Control Room'!$C$16-1)*EXP(-0.5*(($A442-'Control Room'!$A$16-('Control Room'!$B$16-1)/2)/MAX(0.5,'Control Room'!$B$16/4))^2),1)</x:f>
        <x:v>1</x:v>
      </x:c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Z442" t="str">
        <x:f>IF('Data'!A442="","",TEXT('Data'!A442,"mm-dd"))</x:f>
      </x:c>
    </x:row>
    <x:row r="443" ht="21" customHeight="1">
      <x:c r="A443" s="15" t="n">
        <x:f>'Control Room'!$B$1+441</x:f>
        <x:v>73432</x:v>
      </x:c>
      <x:c r="B443" s="9" t="n">
        <x:f>MOD(C442*16807,2147483647)</x:f>
        <x:v>625399441</x:v>
      </x:c>
      <x:c r="C443" s="9" t="n">
        <x:f>MOD(B443*16807,2147483647)</x:f>
        <x:v>1303436469</x:v>
      </x:c>
      <x:c r="D443" s="17" t="n">
        <x:f>IF('Control Room'!$B$5="Normal",'Control Room'!$B$7+'Control Room'!$D$7*SQRT(-2*LN(MAX(0.000000000001,B443/2147483647)))*COS(2*PI()*C443/2147483647),'Control Room'!$B$8+('Control Room'!$D$8-'Control Room'!$B$8)*B443/2147483647)</x:f>
        <x:v>889.3716790131496</x:v>
      </x:c>
      <x:c r="E443" s="17" t="n">
        <x:f>IF('Control Room'!$B$5="Normal",'Control Room'!$B$7,('Control Room'!$B$8+'Control Room'!$D$8)/2)+'Control Room'!$B$9*(E442-IF('Control Room'!$B$5="Normal",'Control Room'!$B$7,('Control Room'!$B$8+'Control Room'!$D$8)/2))+SQRT(1-'Control Room'!$B$9^2)*(D443-IF('Control Room'!$B$5="Normal",'Control Room'!$B$7,('Control Room'!$B$8+'Control Room'!$D$8)/2))</x:f>
        <x:v>908.3223808630511</x:v>
      </x:c>
      <x:c r="F443" s="17" t="n">
        <x:f>IF(AND($A443&gt;='Control Room'!$A$13,$A443&lt;'Control Room'!$A$13+'Control Room'!$B$13,'Process'!BK2=1),1+('Control Room'!$C$13-1)*EXP(-0.5*(($A443-'Control Room'!$A$13-('Control Room'!$B$13-1)/2)/MAX(0.5,'Control Room'!$B$13/4))^2),1)*IF(AND($A443&gt;='Control Room'!$A$14,$A443&lt;'Control Room'!$A$14+'Control Room'!$B$14,'Process'!BK3=1),1+('Control Room'!$C$14-1)*EXP(-0.5*(($A443-'Control Room'!$A$14-('Control Room'!$B$14-1)/2)/MAX(0.5,'Control Room'!$B$14/4))^2),1)*IF(AND($A443&gt;='Control Room'!$A$15,$A443&lt;'Control Room'!$A$15+'Control Room'!$B$15,'Process'!BK4=1),1+('Control Room'!$C$15-1)*EXP(-0.5*(($A443-'Control Room'!$A$15-('Control Room'!$B$15-1)/2)/MAX(0.5,'Control Room'!$B$15/4))^2),1)*IF(AND($A443&gt;='Control Room'!$A$16,$A443&lt;'Control Room'!$A$16+'Control Room'!$B$16,'Process'!BK5=1),1+('Control Room'!$C$16-1)*EXP(-0.5*(($A443-'Control Room'!$A$16-('Control Room'!$B$16-1)/2)/MAX(0.5,'Control Room'!$B$16/4))^2),1)</x:f>
        <x:v>1</x:v>
      </x:c>
      <x:c r="G443" s="9" t="n">
        <x:f>MOD(H442*16807,2147483647)</x:f>
        <x:v>1169503322</x:v>
      </x:c>
      <x:c r="H443" s="9" t="n">
        <x:f>MOD(G443*16807,2147483647)</x:f>
        <x:v>2071995510</x:v>
      </x:c>
      <x:c r="I443" s="17" t="n">
        <x:f>IF('Control Room'!$B$5="Normal",'Control Room'!$B$7+'Control Room'!$D$7*SQRT(-2*LN(MAX(0.000000000001,G443/2147483647)))*COS(2*PI()*H443/2147483647),'Control Room'!$B$8+('Control Room'!$D$8-'Control Room'!$B$8)*G443/2147483647)</x:f>
        <x:v>1096.8118089922104</x:v>
      </x:c>
      <x:c r="J443" s="17" t="n">
        <x:f>IF('Control Room'!$B$5="Normal",'Control Room'!$B$7,('Control Room'!$B$8+'Control Room'!$D$8)/2)+'Control Room'!$B$9*(J442-IF('Control Room'!$B$5="Normal",'Control Room'!$B$7,('Control Room'!$B$8+'Control Room'!$D$8)/2))+SQRT(1-'Control Room'!$B$9^2)*(I443-IF('Control Room'!$B$5="Normal",'Control Room'!$B$7,('Control Room'!$B$8+'Control Room'!$D$8)/2))</x:f>
        <x:v>1070.9664691944142</x:v>
      </x:c>
      <x:c r="K443" s="17" t="n">
        <x:f>IF(AND($A443&gt;='Control Room'!$A$13,$A443&lt;'Control Room'!$A$13+'Control Room'!$B$13,'Process'!BL2=1),1+('Control Room'!$C$13-1)*EXP(-0.5*(($A443-'Control Room'!$A$13-('Control Room'!$B$13-1)/2)/MAX(0.5,'Control Room'!$B$13/4))^2),1)*IF(AND($A443&gt;='Control Room'!$A$14,$A443&lt;'Control Room'!$A$14+'Control Room'!$B$14,'Process'!BL3=1),1+('Control Room'!$C$14-1)*EXP(-0.5*(($A443-'Control Room'!$A$14-('Control Room'!$B$14-1)/2)/MAX(0.5,'Control Room'!$B$14/4))^2),1)*IF(AND($A443&gt;='Control Room'!$A$15,$A443&lt;'Control Room'!$A$15+'Control Room'!$B$15,'Process'!BL4=1),1+('Control Room'!$C$15-1)*EXP(-0.5*(($A443-'Control Room'!$A$15-('Control Room'!$B$15-1)/2)/MAX(0.5,'Control Room'!$B$15/4))^2),1)*IF(AND($A443&gt;='Control Room'!$A$16,$A443&lt;'Control Room'!$A$16+'Control Room'!$B$16,'Process'!BL5=1),1+('Control Room'!$C$16-1)*EXP(-0.5*(($A443-'Control Room'!$A$16-('Control Room'!$B$16-1)/2)/MAX(0.5,'Control Room'!$B$16/4))^2),1)</x:f>
        <x:v>1</x:v>
      </x:c>
      <x:c r="L443" s="9" t="n">
        <x:f>MOD(M442*16807,2147483647)</x:f>
        <x:v>1713607203</x:v>
      </x:c>
      <x:c r="M443" s="9" t="n">
        <x:f>MOD(L443*16807,2147483647)</x:f>
        <x:v>693070904</x:v>
      </x:c>
      <x:c r="N443" s="17" t="n">
        <x:f>IF('Control Room'!$B$5="Normal",'Control Room'!$B$7+'Control Room'!$D$7*SQRT(-2*LN(MAX(0.000000000001,L443/2147483647)))*COS(2*PI()*M443/2147483647),'Control Room'!$B$8+('Control Room'!$D$8-'Control Room'!$B$8)*L443/2147483647)</x:f>
        <x:v>973.3175390309586</x:v>
      </x:c>
      <x:c r="O443" s="17" t="n">
        <x:f>IF('Control Room'!$B$5="Normal",'Control Room'!$B$7,('Control Room'!$B$8+'Control Room'!$D$8)/2)+'Control Room'!$B$9*(O442-IF('Control Room'!$B$5="Normal",'Control Room'!$B$7,('Control Room'!$B$8+'Control Room'!$D$8)/2))+SQRT(1-'Control Room'!$B$9^2)*(N443-IF('Control Room'!$B$5="Normal",'Control Room'!$B$7,('Control Room'!$B$8+'Control Room'!$D$8)/2))</x:f>
        <x:v>1143.7983242191253</x:v>
      </x:c>
      <x:c r="P443" s="17" t="n">
        <x:f>IF(AND($A443&gt;='Control Room'!$A$13,$A443&lt;'Control Room'!$A$13+'Control Room'!$B$13,'Process'!BM2=1),1+('Control Room'!$C$13-1)*EXP(-0.5*(($A443-'Control Room'!$A$13-('Control Room'!$B$13-1)/2)/MAX(0.5,'Control Room'!$B$13/4))^2),1)*IF(AND($A443&gt;='Control Room'!$A$14,$A443&lt;'Control Room'!$A$14+'Control Room'!$B$14,'Process'!BM3=1),1+('Control Room'!$C$14-1)*EXP(-0.5*(($A443-'Control Room'!$A$14-('Control Room'!$B$14-1)/2)/MAX(0.5,'Control Room'!$B$14/4))^2),1)*IF(AND($A443&gt;='Control Room'!$A$15,$A443&lt;'Control Room'!$A$15+'Control Room'!$B$15,'Process'!BM4=1),1+('Control Room'!$C$15-1)*EXP(-0.5*(($A443-'Control Room'!$A$15-('Control Room'!$B$15-1)/2)/MAX(0.5,'Control Room'!$B$15/4))^2),1)*IF(AND($A443&gt;='Control Room'!$A$16,$A443&lt;'Control Room'!$A$16+'Control Room'!$B$16,'Process'!BM5=1),1+('Control Room'!$C$16-1)*EXP(-0.5*(($A443-'Control Room'!$A$16-('Control Room'!$B$16-1)/2)/MAX(0.5,'Control Room'!$B$16/4))^2),1)</x:f>
        <x:v>1</x:v>
      </x:c>
      <x:c r="Q443" s="9" t="n">
        <x:f>MOD(R442*16807,2147483647)</x:f>
        <x:v>110227437</x:v>
      </x:c>
      <x:c r="R443" s="9" t="n">
        <x:f>MOD(Q443*16807,2147483647)</x:f>
        <x:v>1461629945</x:v>
      </x:c>
      <x:c r="S443" s="17" t="n">
        <x:f>IF('Control Room'!$B$5="Normal",'Control Room'!$B$7+'Control Room'!$D$7*SQRT(-2*LN(MAX(0.000000000001,Q443/2147483647)))*COS(2*PI()*R443/2147483647),'Control Room'!$B$8+('Control Room'!$D$8-'Control Room'!$B$8)*Q443/2147483647)</x:f>
        <x:v>907.3928944671754</x:v>
      </x:c>
      <x:c r="T443" s="17" t="n">
        <x:f>IF('Control Room'!$B$5="Normal",'Control Room'!$B$7,('Control Room'!$B$8+'Control Room'!$D$8)/2)+'Control Room'!$B$9*(T442-IF('Control Room'!$B$5="Normal",'Control Room'!$B$7,('Control Room'!$B$8+'Control Room'!$D$8)/2))+SQRT(1-'Control Room'!$B$9^2)*(S443-IF('Control Room'!$B$5="Normal",'Control Room'!$B$7,('Control Room'!$B$8+'Control Room'!$D$8)/2))</x:f>
        <x:v>845.7790759895428</x:v>
      </x:c>
      <x:c r="U443" s="17" t="n">
        <x:f>IF(AND($A443&gt;='Control Room'!$A$13,$A443&lt;'Control Room'!$A$13+'Control Room'!$B$13,'Process'!BN2=1),1+('Control Room'!$C$13-1)*EXP(-0.5*(($A443-'Control Room'!$A$13-('Control Room'!$B$13-1)/2)/MAX(0.5,'Control Room'!$B$13/4))^2),1)*IF(AND($A443&gt;='Control Room'!$A$14,$A443&lt;'Control Room'!$A$14+'Control Room'!$B$14,'Process'!BN3=1),1+('Control Room'!$C$14-1)*EXP(-0.5*(($A443-'Control Room'!$A$14-('Control Room'!$B$14-1)/2)/MAX(0.5,'Control Room'!$B$14/4))^2),1)*IF(AND($A443&gt;='Control Room'!$A$15,$A443&lt;'Control Room'!$A$15+'Control Room'!$B$15,'Process'!BN4=1),1+('Control Room'!$C$15-1)*EXP(-0.5*(($A443-'Control Room'!$A$15-('Control Room'!$B$15-1)/2)/MAX(0.5,'Control Room'!$B$15/4))^2),1)*IF(AND($A443&gt;='Control Room'!$A$16,$A443&lt;'Control Room'!$A$16+'Control Room'!$B$16,'Process'!BN5=1),1+('Control Room'!$C$16-1)*EXP(-0.5*(($A443-'Control Room'!$A$16-('Control Room'!$B$16-1)/2)/MAX(0.5,'Control Room'!$B$16/4))^2),1)</x:f>
        <x:v>1</x:v>
      </x:c>
      <x:c r="V443" s="9" t="n">
        <x:f>MOD(W442*16807,2147483647)</x:f>
        <x:v>654331318</x:v>
      </x:c>
      <x:c r="W443" s="9" t="n">
        <x:f>MOD(V443*16807,2147483647)</x:f>
        <x:v>82705339</x:v>
      </x:c>
      <x:c r="X443" s="17" t="n">
        <x:f>IF('Control Room'!$B$5="Normal",'Control Room'!$B$7+'Control Room'!$D$7*SQRT(-2*LN(MAX(0.000000000001,V443/2147483647)))*COS(2*PI()*W443/2147483647),'Control Room'!$B$8+('Control Room'!$D$8-'Control Room'!$B$8)*V443/2147483647)</x:f>
        <x:v>1134.7114778034343</x:v>
      </x:c>
      <x:c r="Y443" s="17" t="n">
        <x:f>IF('Control Room'!$B$5="Normal",'Control Room'!$B$7,('Control Room'!$B$8+'Control Room'!$D$8)/2)+'Control Room'!$B$9*(Y442-IF('Control Room'!$B$5="Normal",'Control Room'!$B$7,('Control Room'!$B$8+'Control Room'!$D$8)/2))+SQRT(1-'Control Room'!$B$9^2)*(X443-IF('Control Room'!$B$5="Normal",'Control Room'!$B$7,('Control Room'!$B$8+'Control Room'!$D$8)/2))</x:f>
        <x:v>1111.56884675452</x:v>
      </x:c>
      <x:c r="Z443" s="17" t="n">
        <x:f>IF(AND($A443&gt;='Control Room'!$A$13,$A443&lt;'Control Room'!$A$13+'Control Room'!$B$13,'Process'!BO2=1),1+('Control Room'!$C$13-1)*EXP(-0.5*(($A443-'Control Room'!$A$13-('Control Room'!$B$13-1)/2)/MAX(0.5,'Control Room'!$B$13/4))^2),1)*IF(AND($A443&gt;='Control Room'!$A$14,$A443&lt;'Control Room'!$A$14+'Control Room'!$B$14,'Process'!BO3=1),1+('Control Room'!$C$14-1)*EXP(-0.5*(($A443-'Control Room'!$A$14-('Control Room'!$B$14-1)/2)/MAX(0.5,'Control Room'!$B$14/4))^2),1)*IF(AND($A443&gt;='Control Room'!$A$15,$A443&lt;'Control Room'!$A$15+'Control Room'!$B$15,'Process'!BO4=1),1+('Control Room'!$C$15-1)*EXP(-0.5*(($A443-'Control Room'!$A$15-('Control Room'!$B$15-1)/2)/MAX(0.5,'Control Room'!$B$15/4))^2),1)*IF(AND($A443&gt;='Control Room'!$A$16,$A443&lt;'Control Room'!$A$16+'Control Room'!$B$16,'Process'!BO5=1),1+('Control Room'!$C$16-1)*EXP(-0.5*(($A443-'Control Room'!$A$16-('Control Room'!$B$16-1)/2)/MAX(0.5,'Control Room'!$B$16/4))^2),1)</x:f>
        <x:v>1</x:v>
      </x:c>
      <x:c r="AA443" s="9" t="n">
        <x:f>MOD(AB442*16807,2147483647)</x:f>
        <x:v>1198435199</x:v>
      </x:c>
      <x:c r="AB443" s="9" t="n">
        <x:f>MOD(AA443*16807,2147483647)</x:f>
        <x:v>851264380</x:v>
      </x:c>
      <x:c r="AC443" s="17" t="n">
        <x:f>IF('Control Room'!$B$5="Normal",'Control Room'!$B$7+'Control Room'!$D$7*SQRT(-2*LN(MAX(0.000000000001,AA443/2147483647)))*COS(2*PI()*AB443/2147483647),'Control Room'!$B$8+('Control Room'!$D$8-'Control Room'!$B$8)*AA443/2147483647)</x:f>
        <x:v>922.6702378694903</x:v>
      </x:c>
      <x:c r="AD443" s="17" t="n">
        <x:f>IF('Control Room'!$B$5="Normal",'Control Room'!$B$7,('Control Room'!$B$8+'Control Room'!$D$8)/2)+'Control Room'!$B$9*(AD442-IF('Control Room'!$B$5="Normal",'Control Room'!$B$7,('Control Room'!$B$8+'Control Room'!$D$8)/2))+SQRT(1-'Control Room'!$B$9^2)*(AC443-IF('Control Room'!$B$5="Normal",'Control Room'!$B$7,('Control Room'!$B$8+'Control Room'!$D$8)/2))</x:f>
        <x:v>1032.8363805042416</x:v>
      </x:c>
      <x:c r="AE443" s="17" t="n">
        <x:f>IF(AND($A443&gt;='Control Room'!$A$13,$A443&lt;'Control Room'!$A$13+'Control Room'!$B$13,'Process'!BP2=1),1+('Control Room'!$C$13-1)*EXP(-0.5*(($A443-'Control Room'!$A$13-('Control Room'!$B$13-1)/2)/MAX(0.5,'Control Room'!$B$13/4))^2),1)*IF(AND($A443&gt;='Control Room'!$A$14,$A443&lt;'Control Room'!$A$14+'Control Room'!$B$14,'Process'!BP3=1),1+('Control Room'!$C$14-1)*EXP(-0.5*(($A443-'Control Room'!$A$14-('Control Room'!$B$14-1)/2)/MAX(0.5,'Control Room'!$B$14/4))^2),1)*IF(AND($A443&gt;='Control Room'!$A$15,$A443&lt;'Control Room'!$A$15+'Control Room'!$B$15,'Process'!BP4=1),1+('Control Room'!$C$15-1)*EXP(-0.5*(($A443-'Control Room'!$A$15-('Control Room'!$B$15-1)/2)/MAX(0.5,'Control Room'!$B$15/4))^2),1)*IF(AND($A443&gt;='Control Room'!$A$16,$A443&lt;'Control Room'!$A$16+'Control Room'!$B$16,'Process'!BP5=1),1+('Control Room'!$C$16-1)*EXP(-0.5*(($A443-'Control Room'!$A$16-('Control Room'!$B$16-1)/2)/MAX(0.5,'Control Room'!$B$16/4))^2),1)</x:f>
        <x:v>1</x:v>
      </x:c>
      <x:c r="AF443" s="9" t="n">
        <x:f>MOD(AG442*16807,2147483647)</x:f>
        <x:v>1742539080</x:v>
      </x:c>
      <x:c r="AG443" s="9" t="n">
        <x:f>MOD(AF443*16807,2147483647)</x:f>
        <x:v>1619823421</x:v>
      </x:c>
      <x:c r="AH443" s="17" t="n">
        <x:f>IF('Control Room'!$B$5="Normal",'Control Room'!$B$7+'Control Room'!$D$7*SQRT(-2*LN(MAX(0.000000000001,AF443/2147483647)))*COS(2*PI()*AG443/2147483647),'Control Room'!$B$8+('Control Room'!$D$8-'Control Room'!$B$8)*AF443/2147483647)</x:f>
        <x:v>1001.5677315542576</x:v>
      </x:c>
      <x:c r="AI443" s="17" t="n">
        <x:f>IF('Control Room'!$B$5="Normal",'Control Room'!$B$7,('Control Room'!$B$8+'Control Room'!$D$8)/2)+'Control Room'!$B$9*(AI442-IF('Control Room'!$B$5="Normal",'Control Room'!$B$7,('Control Room'!$B$8+'Control Room'!$D$8)/2))+SQRT(1-'Control Room'!$B$9^2)*(AH443-IF('Control Room'!$B$5="Normal",'Control Room'!$B$7,('Control Room'!$B$8+'Control Room'!$D$8)/2))</x:f>
        <x:v>982.9738634150493</x:v>
      </x:c>
      <x:c r="AJ443" s="17" t="n">
        <x:f>IF(AND($A443&gt;='Control Room'!$A$13,$A443&lt;'Control Room'!$A$13+'Control Room'!$B$13,'Process'!BQ2=1),1+('Control Room'!$C$13-1)*EXP(-0.5*(($A443-'Control Room'!$A$13-('Control Room'!$B$13-1)/2)/MAX(0.5,'Control Room'!$B$13/4))^2),1)*IF(AND($A443&gt;='Control Room'!$A$14,$A443&lt;'Control Room'!$A$14+'Control Room'!$B$14,'Process'!BQ3=1),1+('Control Room'!$C$14-1)*EXP(-0.5*(($A443-'Control Room'!$A$14-('Control Room'!$B$14-1)/2)/MAX(0.5,'Control Room'!$B$14/4))^2),1)*IF(AND($A443&gt;='Control Room'!$A$15,$A443&lt;'Control Room'!$A$15+'Control Room'!$B$15,'Process'!BQ4=1),1+('Control Room'!$C$15-1)*EXP(-0.5*(($A443-'Control Room'!$A$15-('Control Room'!$B$15-1)/2)/MAX(0.5,'Control Room'!$B$15/4))^2),1)*IF(AND($A443&gt;='Control Room'!$A$16,$A443&lt;'Control Room'!$A$16+'Control Room'!$B$16,'Process'!BQ5=1),1+('Control Room'!$C$16-1)*EXP(-0.5*(($A443-'Control Room'!$A$16-('Control Room'!$B$16-1)/2)/MAX(0.5,'Control Room'!$B$16/4))^2),1)</x:f>
        <x:v>1</x:v>
      </x:c>
      <x:c r="AK443" s="9" t="n">
        <x:f>MOD(AL442*16807,2147483647)</x:f>
        <x:v>139159314</x:v>
      </x:c>
      <x:c r="AL443" s="9" t="n">
        <x:f>MOD(AK443*16807,2147483647)</x:f>
        <x:v>240898815</x:v>
      </x:c>
      <x:c r="AM443" s="17" t="n">
        <x:f>IF('Control Room'!$B$5="Normal",'Control Room'!$B$7+'Control Room'!$D$7*SQRT(-2*LN(MAX(0.000000000001,AK443/2147483647)))*COS(2*PI()*AL443/2147483647),'Control Room'!$B$8+('Control Room'!$D$8-'Control Room'!$B$8)*AK443/2147483647)</x:f>
        <x:v>1160.3784629495117</x:v>
      </x:c>
      <x:c r="AN443" s="17" t="n">
        <x:f>IF('Control Room'!$B$5="Normal",'Control Room'!$B$7,('Control Room'!$B$8+'Control Room'!$D$8)/2)+'Control Room'!$B$9*(AN442-IF('Control Room'!$B$5="Normal",'Control Room'!$B$7,('Control Room'!$B$8+'Control Room'!$D$8)/2))+SQRT(1-'Control Room'!$B$9^2)*(AM443-IF('Control Room'!$B$5="Normal",'Control Room'!$B$7,('Control Room'!$B$8+'Control Room'!$D$8)/2))</x:f>
        <x:v>970.6905379388954</x:v>
      </x:c>
      <x:c r="AO443" s="17" t="n">
        <x:f>IF(AND($A443&gt;='Control Room'!$A$13,$A443&lt;'Control Room'!$A$13+'Control Room'!$B$13,'Process'!BR2=1),1+('Control Room'!$C$13-1)*EXP(-0.5*(($A443-'Control Room'!$A$13-('Control Room'!$B$13-1)/2)/MAX(0.5,'Control Room'!$B$13/4))^2),1)*IF(AND($A443&gt;='Control Room'!$A$14,$A443&lt;'Control Room'!$A$14+'Control Room'!$B$14,'Process'!BR3=1),1+('Control Room'!$C$14-1)*EXP(-0.5*(($A443-'Control Room'!$A$14-('Control Room'!$B$14-1)/2)/MAX(0.5,'Control Room'!$B$14/4))^2),1)*IF(AND($A443&gt;='Control Room'!$A$15,$A443&lt;'Control Room'!$A$15+'Control Room'!$B$15,'Process'!BR4=1),1+('Control Room'!$C$15-1)*EXP(-0.5*(($A443-'Control Room'!$A$15-('Control Room'!$B$15-1)/2)/MAX(0.5,'Control Room'!$B$15/4))^2),1)*IF(AND($A443&gt;='Control Room'!$A$16,$A443&lt;'Control Room'!$A$16+'Control Room'!$B$16,'Process'!BR5=1),1+('Control Room'!$C$16-1)*EXP(-0.5*(($A443-'Control Room'!$A$16-('Control Room'!$B$16-1)/2)/MAX(0.5,'Control Room'!$B$16/4))^2),1)</x:f>
        <x:v>1</x:v>
      </x:c>
      <x:c r="AP443" s="9" t="n">
        <x:f>MOD(AQ442*16807,2147483647)</x:f>
        <x:v>683263195</x:v>
      </x:c>
      <x:c r="AQ443" s="9" t="n">
        <x:f>MOD(AP443*16807,2147483647)</x:f>
        <x:v>1009457856</x:v>
      </x:c>
      <x:c r="AR443" s="17" t="n">
        <x:f>IF('Control Room'!$B$5="Normal",'Control Room'!$B$7+'Control Room'!$D$7*SQRT(-2*LN(MAX(0.000000000001,AP443/2147483647)))*COS(2*PI()*AQ443/2147483647),'Control Room'!$B$8+('Control Room'!$D$8-'Control Room'!$B$8)*AP443/2147483647)</x:f>
        <x:v>866.1971435621008</x:v>
      </x:c>
      <x:c r="AS443" s="17" t="n">
        <x:f>IF('Control Room'!$B$5="Normal",'Control Room'!$B$7,('Control Room'!$B$8+'Control Room'!$D$8)/2)+'Control Room'!$B$9*(AS442-IF('Control Room'!$B$5="Normal",'Control Room'!$B$7,('Control Room'!$B$8+'Control Room'!$D$8)/2))+SQRT(1-'Control Room'!$B$9^2)*(AR443-IF('Control Room'!$B$5="Normal",'Control Room'!$B$7,('Control Room'!$B$8+'Control Room'!$D$8)/2))</x:f>
        <x:v>979.5281234411015</x:v>
      </x:c>
      <x:c r="AT443" s="17" t="n">
        <x:f>IF(AND($A443&gt;='Control Room'!$A$13,$A443&lt;'Control Room'!$A$13+'Control Room'!$B$13,'Process'!BS2=1),1+('Control Room'!$C$13-1)*EXP(-0.5*(($A443-'Control Room'!$A$13-('Control Room'!$B$13-1)/2)/MAX(0.5,'Control Room'!$B$13/4))^2),1)*IF(AND($A443&gt;='Control Room'!$A$14,$A443&lt;'Control Room'!$A$14+'Control Room'!$B$14,'Process'!BS3=1),1+('Control Room'!$C$14-1)*EXP(-0.5*(($A443-'Control Room'!$A$14-('Control Room'!$B$14-1)/2)/MAX(0.5,'Control Room'!$B$14/4))^2),1)*IF(AND($A443&gt;='Control Room'!$A$15,$A443&lt;'Control Room'!$A$15+'Control Room'!$B$15,'Process'!BS4=1),1+('Control Room'!$C$15-1)*EXP(-0.5*(($A443-'Control Room'!$A$15-('Control Room'!$B$15-1)/2)/MAX(0.5,'Control Room'!$B$15/4))^2),1)*IF(AND($A443&gt;='Control Room'!$A$16,$A443&lt;'Control Room'!$A$16+'Control Room'!$B$16,'Process'!BS5=1),1+('Control Room'!$C$16-1)*EXP(-0.5*(($A443-'Control Room'!$A$16-('Control Room'!$B$16-1)/2)/MAX(0.5,'Control Room'!$B$16/4))^2),1)</x:f>
        <x:v>1</x:v>
      </x:c>
      <x:c r="AU443" s="9" t="n">
        <x:f>MOD(AV442*16807,2147483647)</x:f>
        <x:v>1227367076</x:v>
      </x:c>
      <x:c r="AV443" s="9" t="n">
        <x:f>MOD(AU443*16807,2147483647)</x:f>
        <x:v>1778016897</x:v>
      </x:c>
      <x:c r="AW443" s="17" t="n">
        <x:f>IF('Control Room'!$B$5="Normal",'Control Room'!$B$7+'Control Room'!$D$7*SQRT(-2*LN(MAX(0.000000000001,AU443/2147483647)))*COS(2*PI()*AV443/2147483647),'Control Room'!$B$8+('Control Room'!$D$8-'Control Room'!$B$8)*AU443/2147483647)</x:f>
        <x:v>1044.785686399448</x:v>
      </x:c>
      <x:c r="AX443" s="17" t="n">
        <x:f>IF('Control Room'!$B$5="Normal",'Control Room'!$B$7,('Control Room'!$B$8+'Control Room'!$D$8)/2)+'Control Room'!$B$9*(AX442-IF('Control Room'!$B$5="Normal",'Control Room'!$B$7,('Control Room'!$B$8+'Control Room'!$D$8)/2))+SQRT(1-'Control Room'!$B$9^2)*(AW443-IF('Control Room'!$B$5="Normal",'Control Room'!$B$7,('Control Room'!$B$8+'Control Room'!$D$8)/2))</x:f>
        <x:v>975.6391335566087</x:v>
      </x:c>
      <x:c r="AY443" s="17" t="n">
        <x:f>IF(AND($A443&gt;='Control Room'!$A$13,$A443&lt;'Control Room'!$A$13+'Control Room'!$B$13,'Process'!BT2=1),1+('Control Room'!$C$13-1)*EXP(-0.5*(($A443-'Control Room'!$A$13-('Control Room'!$B$13-1)/2)/MAX(0.5,'Control Room'!$B$13/4))^2),1)*IF(AND($A443&gt;='Control Room'!$A$14,$A443&lt;'Control Room'!$A$14+'Control Room'!$B$14,'Process'!BT3=1),1+('Control Room'!$C$14-1)*EXP(-0.5*(($A443-'Control Room'!$A$14-('Control Room'!$B$14-1)/2)/MAX(0.5,'Control Room'!$B$14/4))^2),1)*IF(AND($A443&gt;='Control Room'!$A$15,$A443&lt;'Control Room'!$A$15+'Control Room'!$B$15,'Process'!BT4=1),1+('Control Room'!$C$15-1)*EXP(-0.5*(($A443-'Control Room'!$A$15-('Control Room'!$B$15-1)/2)/MAX(0.5,'Control Room'!$B$15/4))^2),1)*IF(AND($A443&gt;='Control Room'!$A$16,$A443&lt;'Control Room'!$A$16+'Control Room'!$B$16,'Process'!BT5=1),1+('Control Room'!$C$16-1)*EXP(-0.5*(($A443-'Control Room'!$A$16-('Control Room'!$B$16-1)/2)/MAX(0.5,'Control Room'!$B$16/4))^2),1)</x:f>
        <x:v>1</x:v>
      </x:c>
      <x:c r="AZ443" s="9" t="n">
        <x:f>MOD(BA442*16807,2147483647)</x:f>
        <x:v>1771470957</x:v>
      </x:c>
      <x:c r="BA443" s="9" t="n">
        <x:f>MOD(AZ443*16807,2147483647)</x:f>
        <x:v>399092291</x:v>
      </x:c>
      <x:c r="BB443" s="17" t="n">
        <x:f>IF('Control Room'!$B$5="Normal",'Control Room'!$B$7+'Control Room'!$D$7*SQRT(-2*LN(MAX(0.000000000001,AZ443/2147483647)))*COS(2*PI()*BA443/2147483647),'Control Room'!$B$8+('Control Room'!$D$8-'Control Room'!$B$8)*AZ443/2147483647)</x:f>
        <x:v>1021.9059801628214</x:v>
      </x:c>
      <x:c r="BC443" s="17" t="n">
        <x:f>IF('Control Room'!$B$5="Normal",'Control Room'!$B$7,('Control Room'!$B$8+'Control Room'!$D$8)/2)+'Control Room'!$B$9*(BC442-IF('Control Room'!$B$5="Normal",'Control Room'!$B$7,('Control Room'!$B$8+'Control Room'!$D$8)/2))+SQRT(1-'Control Room'!$B$9^2)*(BB443-IF('Control Room'!$B$5="Normal",'Control Room'!$B$7,('Control Room'!$B$8+'Control Room'!$D$8)/2))</x:f>
        <x:v>1063.6535393145855</x:v>
      </x:c>
      <x:c r="BD443" s="17" t="n">
        <x:f>IF(AND($A443&gt;='Control Room'!$A$13,$A443&lt;'Control Room'!$A$13+'Control Room'!$B$13,'Process'!BU2=1),1+('Control Room'!$C$13-1)*EXP(-0.5*(($A443-'Control Room'!$A$13-('Control Room'!$B$13-1)/2)/MAX(0.5,'Control Room'!$B$13/4))^2),1)*IF(AND($A443&gt;='Control Room'!$A$14,$A443&lt;'Control Room'!$A$14+'Control Room'!$B$14,'Process'!BU3=1),1+('Control Room'!$C$14-1)*EXP(-0.5*(($A443-'Control Room'!$A$14-('Control Room'!$B$14-1)/2)/MAX(0.5,'Control Room'!$B$14/4))^2),1)*IF(AND($A443&gt;='Control Room'!$A$15,$A443&lt;'Control Room'!$A$15+'Control Room'!$B$15,'Process'!BU4=1),1+('Control Room'!$C$15-1)*EXP(-0.5*(($A443-'Control Room'!$A$15-('Control Room'!$B$15-1)/2)/MAX(0.5,'Control Room'!$B$15/4))^2),1)*IF(AND($A443&gt;='Control Room'!$A$16,$A443&lt;'Control Room'!$A$16+'Control Room'!$B$16,'Process'!BU5=1),1+('Control Room'!$C$16-1)*EXP(-0.5*(($A443-'Control Room'!$A$16-('Control Room'!$B$16-1)/2)/MAX(0.5,'Control Room'!$B$16/4))^2),1)</x:f>
        <x:v>1</x:v>
      </x:c>
      <x:c r="BE443" s="9" t="n">
        <x:f>MOD(BF442*16807,2147483647)</x:f>
        <x:v>168091191</x:v>
      </x:c>
      <x:c r="BF443" s="9" t="n">
        <x:f>MOD(BE443*16807,2147483647)</x:f>
        <x:v>1167651332</x:v>
      </x:c>
      <x:c r="BG443" s="17" t="n">
        <x:f>IF('Control Room'!$B$5="Normal",'Control Room'!$B$7+'Control Room'!$D$7*SQRT(-2*LN(MAX(0.000000000001,BE443/2147483647)))*COS(2*PI()*BF443/2147483647),'Control Room'!$B$8+('Control Room'!$D$8-'Control Room'!$B$8)*BE443/2147483647)</x:f>
        <x:v>804.4695570643515</x:v>
      </x:c>
      <x:c r="BH443" s="17" t="n">
        <x:f>IF('Control Room'!$B$5="Normal",'Control Room'!$B$7,('Control Room'!$B$8+'Control Room'!$D$8)/2)+'Control Room'!$B$9*(BH442-IF('Control Room'!$B$5="Normal",'Control Room'!$B$7,('Control Room'!$B$8+'Control Room'!$D$8)/2))+SQRT(1-'Control Room'!$B$9^2)*(BG443-IF('Control Room'!$B$5="Normal",'Control Room'!$B$7,('Control Room'!$B$8+'Control Room'!$D$8)/2))</x:f>
        <x:v>901.384770343635</x:v>
      </x:c>
      <x:c r="BI443" s="17" t="n">
        <x:f>IF(AND($A443&gt;='Control Room'!$A$13,$A443&lt;'Control Room'!$A$13+'Control Room'!$B$13,'Process'!BV2=1),1+('Control Room'!$C$13-1)*EXP(-0.5*(($A443-'Control Room'!$A$13-('Control Room'!$B$13-1)/2)/MAX(0.5,'Control Room'!$B$13/4))^2),1)*IF(AND($A443&gt;='Control Room'!$A$14,$A443&lt;'Control Room'!$A$14+'Control Room'!$B$14,'Process'!BV3=1),1+('Control Room'!$C$14-1)*EXP(-0.5*(($A443-'Control Room'!$A$14-('Control Room'!$B$14-1)/2)/MAX(0.5,'Control Room'!$B$14/4))^2),1)*IF(AND($A443&gt;='Control Room'!$A$15,$A443&lt;'Control Room'!$A$15+'Control Room'!$B$15,'Process'!BV4=1),1+('Control Room'!$C$15-1)*EXP(-0.5*(($A443-'Control Room'!$A$15-('Control Room'!$B$15-1)/2)/MAX(0.5,'Control Room'!$B$15/4))^2),1)*IF(AND($A443&gt;='Control Room'!$A$16,$A443&lt;'Control Room'!$A$16+'Control Room'!$B$16,'Process'!BV5=1),1+('Control Room'!$C$16-1)*EXP(-0.5*(($A443-'Control Room'!$A$16-('Control Room'!$B$16-1)/2)/MAX(0.5,'Control Room'!$B$16/4))^2),1)</x:f>
        <x:v>1</x:v>
      </x:c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Z443" t="str">
        <x:f>IF('Data'!A443="","",TEXT('Data'!A443,"mm-dd"))</x:f>
      </x:c>
    </x:row>
    <x:row r="444" ht="21" customHeight="1">
      <x:c r="A444" s="15" t="n">
        <x:f>'Control Room'!$B$1+442</x:f>
        <x:v>73433</x:v>
      </x:c>
      <x:c r="B444" s="9" t="n">
        <x:f>MOD(C443*16807,2147483647)</x:f>
        <x:v>376051436</x:v>
      </x:c>
      <x:c r="C444" s="9" t="n">
        <x:f>MOD(B444*16807,2147483647)</x:f>
        <x:v>252111731</x:v>
      </x:c>
      <x:c r="D444" s="17" t="n">
        <x:f>IF('Control Room'!$B$5="Normal",'Control Room'!$B$7+'Control Room'!$D$7*SQRT(-2*LN(MAX(0.000000000001,B444/2147483647)))*COS(2*PI()*C444/2147483647),'Control Room'!$B$8+('Control Room'!$D$8-'Control Room'!$B$8)*B444/2147483647)</x:f>
        <x:v>1124.3336895378459</x:v>
      </x:c>
      <x:c r="E444" s="17" t="n">
        <x:f>IF('Control Room'!$B$5="Normal",'Control Room'!$B$7,('Control Room'!$B$8+'Control Room'!$D$8)/2)+'Control Room'!$B$9*(E443-IF('Control Room'!$B$5="Normal",'Control Room'!$B$7,('Control Room'!$B$8+'Control Room'!$D$8)/2))+SQRT(1-'Control Room'!$B$9^2)*(D444-IF('Control Room'!$B$5="Normal",'Control Room'!$B$7,('Control Room'!$B$8+'Control Room'!$D$8)/2))</x:f>
        <x:v>1006.2969328718856</x:v>
      </x:c>
      <x:c r="F444" s="17" t="n">
        <x:f>IF(AND($A444&gt;='Control Room'!$A$13,$A444&lt;'Control Room'!$A$13+'Control Room'!$B$13,'Process'!BK2=1),1+('Control Room'!$C$13-1)*EXP(-0.5*(($A444-'Control Room'!$A$13-('Control Room'!$B$13-1)/2)/MAX(0.5,'Control Room'!$B$13/4))^2),1)*IF(AND($A444&gt;='Control Room'!$A$14,$A444&lt;'Control Room'!$A$14+'Control Room'!$B$14,'Process'!BK3=1),1+('Control Room'!$C$14-1)*EXP(-0.5*(($A444-'Control Room'!$A$14-('Control Room'!$B$14-1)/2)/MAX(0.5,'Control Room'!$B$14/4))^2),1)*IF(AND($A444&gt;='Control Room'!$A$15,$A444&lt;'Control Room'!$A$15+'Control Room'!$B$15,'Process'!BK4=1),1+('Control Room'!$C$15-1)*EXP(-0.5*(($A444-'Control Room'!$A$15-('Control Room'!$B$15-1)/2)/MAX(0.5,'Control Room'!$B$15/4))^2),1)*IF(AND($A444&gt;='Control Room'!$A$16,$A444&lt;'Control Room'!$A$16+'Control Room'!$B$16,'Process'!BK5=1),1+('Control Room'!$C$16-1)*EXP(-0.5*(($A444-'Control Room'!$A$16-('Control Room'!$B$16-1)/2)/MAX(0.5,'Control Room'!$B$16/4))^2),1)</x:f>
        <x:v>1</x:v>
      </x:c>
      <x:c r="G444" s="9" t="n">
        <x:f>MOD(H443*16807,2147483647)</x:f>
        <x:v>433716818</x:v>
      </x:c>
      <x:c r="H444" s="9" t="n">
        <x:f>MOD(G444*16807,2147483647)</x:f>
        <x:v>919062208</x:v>
      </x:c>
      <x:c r="I444" s="17" t="n">
        <x:f>IF('Control Room'!$B$5="Normal",'Control Room'!$B$7+'Control Room'!$D$7*SQRT(-2*LN(MAX(0.000000000001,G444/2147483647)))*COS(2*PI()*H444/2147483647),'Control Room'!$B$8+('Control Room'!$D$8-'Control Room'!$B$8)*G444/2147483647)</x:f>
        <x:v>855.2264425792662</x:v>
      </x:c>
      <x:c r="J444" s="17" t="n">
        <x:f>IF('Control Room'!$B$5="Normal",'Control Room'!$B$7,('Control Room'!$B$8+'Control Room'!$D$8)/2)+'Control Room'!$B$9*(J443-IF('Control Room'!$B$5="Normal",'Control Room'!$B$7,('Control Room'!$B$8+'Control Room'!$D$8)/2))+SQRT(1-'Control Room'!$B$9^2)*(I444-IF('Control Room'!$B$5="Normal",'Control Room'!$B$7,('Control Room'!$B$8+'Control Room'!$D$8)/2))</x:f>
        <x:v>964.7575195852797</x:v>
      </x:c>
      <x:c r="K444" s="17" t="n">
        <x:f>IF(AND($A444&gt;='Control Room'!$A$13,$A444&lt;'Control Room'!$A$13+'Control Room'!$B$13,'Process'!BL2=1),1+('Control Room'!$C$13-1)*EXP(-0.5*(($A444-'Control Room'!$A$13-('Control Room'!$B$13-1)/2)/MAX(0.5,'Control Room'!$B$13/4))^2),1)*IF(AND($A444&gt;='Control Room'!$A$14,$A444&lt;'Control Room'!$A$14+'Control Room'!$B$14,'Process'!BL3=1),1+('Control Room'!$C$14-1)*EXP(-0.5*(($A444-'Control Room'!$A$14-('Control Room'!$B$14-1)/2)/MAX(0.5,'Control Room'!$B$14/4))^2),1)*IF(AND($A444&gt;='Control Room'!$A$15,$A444&lt;'Control Room'!$A$15+'Control Room'!$B$15,'Process'!BL4=1),1+('Control Room'!$C$15-1)*EXP(-0.5*(($A444-'Control Room'!$A$15-('Control Room'!$B$15-1)/2)/MAX(0.5,'Control Room'!$B$15/4))^2),1)*IF(AND($A444&gt;='Control Room'!$A$16,$A444&lt;'Control Room'!$A$16+'Control Room'!$B$16,'Process'!BL5=1),1+('Control Room'!$C$16-1)*EXP(-0.5*(($A444-'Control Room'!$A$16-('Control Room'!$B$16-1)/2)/MAX(0.5,'Control Room'!$B$16/4))^2),1)</x:f>
        <x:v>1</x:v>
      </x:c>
      <x:c r="L444" s="9" t="n">
        <x:f>MOD(M443*16807,2147483647)</x:f>
        <x:v>491382200</x:v>
      </x:c>
      <x:c r="M444" s="9" t="n">
        <x:f>MOD(L444*16807,2147483647)</x:f>
        <x:v>1586012685</x:v>
      </x:c>
      <x:c r="N444" s="17" t="n">
        <x:f>IF('Control Room'!$B$5="Normal",'Control Room'!$B$7+'Control Room'!$D$7*SQRT(-2*LN(MAX(0.000000000001,L444/2147483647)))*COS(2*PI()*M444/2147483647),'Control Room'!$B$8+('Control Room'!$D$8-'Control Room'!$B$8)*L444/2147483647)</x:f>
        <x:v>988.8842335124914</x:v>
      </x:c>
      <x:c r="O444" s="17" t="n">
        <x:f>IF('Control Room'!$B$5="Normal",'Control Room'!$B$7,('Control Room'!$B$8+'Control Room'!$D$8)/2)+'Control Room'!$B$9*(O443-IF('Control Room'!$B$5="Normal",'Control Room'!$B$7,('Control Room'!$B$8+'Control Room'!$D$8)/2))+SQRT(1-'Control Room'!$B$9^2)*(N444-IF('Control Room'!$B$5="Normal",'Control Room'!$B$7,('Control Room'!$B$8+'Control Room'!$D$8)/2))</x:f>
        <x:v>1105.206673941889</x:v>
      </x:c>
      <x:c r="P444" s="17" t="n">
        <x:f>IF(AND($A444&gt;='Control Room'!$A$13,$A444&lt;'Control Room'!$A$13+'Control Room'!$B$13,'Process'!BM2=1),1+('Control Room'!$C$13-1)*EXP(-0.5*(($A444-'Control Room'!$A$13-('Control Room'!$B$13-1)/2)/MAX(0.5,'Control Room'!$B$13/4))^2),1)*IF(AND($A444&gt;='Control Room'!$A$14,$A444&lt;'Control Room'!$A$14+'Control Room'!$B$14,'Process'!BM3=1),1+('Control Room'!$C$14-1)*EXP(-0.5*(($A444-'Control Room'!$A$14-('Control Room'!$B$14-1)/2)/MAX(0.5,'Control Room'!$B$14/4))^2),1)*IF(AND($A444&gt;='Control Room'!$A$15,$A444&lt;'Control Room'!$A$15+'Control Room'!$B$15,'Process'!BM4=1),1+('Control Room'!$C$15-1)*EXP(-0.5*(($A444-'Control Room'!$A$15-('Control Room'!$B$15-1)/2)/MAX(0.5,'Control Room'!$B$15/4))^2),1)*IF(AND($A444&gt;='Control Room'!$A$16,$A444&lt;'Control Room'!$A$16+'Control Room'!$B$16,'Process'!BM5=1),1+('Control Room'!$C$16-1)*EXP(-0.5*(($A444-'Control Room'!$A$16-('Control Room'!$B$16-1)/2)/MAX(0.5,'Control Room'!$B$16/4))^2),1)</x:f>
        <x:v>1</x:v>
      </x:c>
      <x:c r="Q444" s="9" t="n">
        <x:f>MOD(R443*16807,2147483647)</x:f>
        <x:v>549047582</x:v>
      </x:c>
      <x:c r="R444" s="9" t="n">
        <x:f>MOD(Q444*16807,2147483647)</x:f>
        <x:v>105479515</x:v>
      </x:c>
      <x:c r="S444" s="17" t="n">
        <x:f>IF('Control Room'!$B$5="Normal",'Control Room'!$B$7+'Control Room'!$D$7*SQRT(-2*LN(MAX(0.000000000001,Q444/2147483647)))*COS(2*PI()*R444/2147483647),'Control Room'!$B$8+('Control Room'!$D$8-'Control Room'!$B$8)*Q444/2147483647)</x:f>
        <x:v>1141.6200390416789</x:v>
      </x:c>
      <x:c r="T444" s="17" t="n">
        <x:f>IF('Control Room'!$B$5="Normal",'Control Room'!$B$7,('Control Room'!$B$8+'Control Room'!$D$8)/2)+'Control Room'!$B$9*(T443-IF('Control Room'!$B$5="Normal",'Control Room'!$B$7,('Control Room'!$B$8+'Control Room'!$D$8)/2))+SQRT(1-'Control Room'!$B$9^2)*(S444-IF('Control Room'!$B$5="Normal",'Control Room'!$B$7,('Control Room'!$B$8+'Control Room'!$D$8)/2))</x:f>
        <x:v>968.3305984599297</x:v>
      </x:c>
      <x:c r="U444" s="17" t="n">
        <x:f>IF(AND($A444&gt;='Control Room'!$A$13,$A444&lt;'Control Room'!$A$13+'Control Room'!$B$13,'Process'!BN2=1),1+('Control Room'!$C$13-1)*EXP(-0.5*(($A444-'Control Room'!$A$13-('Control Room'!$B$13-1)/2)/MAX(0.5,'Control Room'!$B$13/4))^2),1)*IF(AND($A444&gt;='Control Room'!$A$14,$A444&lt;'Control Room'!$A$14+'Control Room'!$B$14,'Process'!BN3=1),1+('Control Room'!$C$14-1)*EXP(-0.5*(($A444-'Control Room'!$A$14-('Control Room'!$B$14-1)/2)/MAX(0.5,'Control Room'!$B$14/4))^2),1)*IF(AND($A444&gt;='Control Room'!$A$15,$A444&lt;'Control Room'!$A$15+'Control Room'!$B$15,'Process'!BN4=1),1+('Control Room'!$C$15-1)*EXP(-0.5*(($A444-'Control Room'!$A$15-('Control Room'!$B$15-1)/2)/MAX(0.5,'Control Room'!$B$15/4))^2),1)*IF(AND($A444&gt;='Control Room'!$A$16,$A444&lt;'Control Room'!$A$16+'Control Room'!$B$16,'Process'!BN5=1),1+('Control Room'!$C$16-1)*EXP(-0.5*(($A444-'Control Room'!$A$16-('Control Room'!$B$16-1)/2)/MAX(0.5,'Control Room'!$B$16/4))^2),1)</x:f>
        <x:v>1</x:v>
      </x:c>
      <x:c r="V444" s="9" t="n">
        <x:f>MOD(W443*16807,2147483647)</x:f>
        <x:v>606712964</x:v>
      </x:c>
      <x:c r="W444" s="9" t="n">
        <x:f>MOD(V444*16807,2147483647)</x:f>
        <x:v>772429992</x:v>
      </x:c>
      <x:c r="X444" s="17" t="n">
        <x:f>IF('Control Room'!$B$5="Normal",'Control Room'!$B$7+'Control Room'!$D$7*SQRT(-2*LN(MAX(0.000000000001,V444/2147483647)))*COS(2*PI()*W444/2147483647),'Control Room'!$B$8+('Control Room'!$D$8-'Control Room'!$B$8)*V444/2147483647)</x:f>
        <x:v>909.000982487822</x:v>
      </x:c>
      <x:c r="Y444" s="17" t="n">
        <x:f>IF('Control Room'!$B$5="Normal",'Control Room'!$B$7,('Control Room'!$B$8+'Control Room'!$D$8)/2)+'Control Room'!$B$9*(Y443-IF('Control Room'!$B$5="Normal",'Control Room'!$B$7,('Control Room'!$B$8+'Control Room'!$D$8)/2))+SQRT(1-'Control Room'!$B$9^2)*(X444-IF('Control Room'!$B$5="Normal",'Control Room'!$B$7,('Control Room'!$B$8+'Control Room'!$D$8)/2))</x:f>
        <x:v>1030.0783795256075</x:v>
      </x:c>
      <x:c r="Z444" s="17" t="n">
        <x:f>IF(AND($A444&gt;='Control Room'!$A$13,$A444&lt;'Control Room'!$A$13+'Control Room'!$B$13,'Process'!BO2=1),1+('Control Room'!$C$13-1)*EXP(-0.5*(($A444-'Control Room'!$A$13-('Control Room'!$B$13-1)/2)/MAX(0.5,'Control Room'!$B$13/4))^2),1)*IF(AND($A444&gt;='Control Room'!$A$14,$A444&lt;'Control Room'!$A$14+'Control Room'!$B$14,'Process'!BO3=1),1+('Control Room'!$C$14-1)*EXP(-0.5*(($A444-'Control Room'!$A$14-('Control Room'!$B$14-1)/2)/MAX(0.5,'Control Room'!$B$14/4))^2),1)*IF(AND($A444&gt;='Control Room'!$A$15,$A444&lt;'Control Room'!$A$15+'Control Room'!$B$15,'Process'!BO4=1),1+('Control Room'!$C$15-1)*EXP(-0.5*(($A444-'Control Room'!$A$15-('Control Room'!$B$15-1)/2)/MAX(0.5,'Control Room'!$B$15/4))^2),1)*IF(AND($A444&gt;='Control Room'!$A$16,$A444&lt;'Control Room'!$A$16+'Control Room'!$B$16,'Process'!BO5=1),1+('Control Room'!$C$16-1)*EXP(-0.5*(($A444-'Control Room'!$A$16-('Control Room'!$B$16-1)/2)/MAX(0.5,'Control Room'!$B$16/4))^2),1)</x:f>
        <x:v>1</x:v>
      </x:c>
      <x:c r="AA444" s="9" t="n">
        <x:f>MOD(AB443*16807,2147483647)</x:f>
        <x:v>664378346</x:v>
      </x:c>
      <x:c r="AB444" s="9" t="n">
        <x:f>MOD(AA444*16807,2147483647)</x:f>
        <x:v>1439380469</x:v>
      </x:c>
      <x:c r="AC444" s="17" t="n">
        <x:f>IF('Control Room'!$B$5="Normal",'Control Room'!$B$7+'Control Room'!$D$7*SQRT(-2*LN(MAX(0.000000000001,AA444/2147483647)))*COS(2*PI()*AB444/2147483647),'Control Room'!$B$8+('Control Room'!$D$8-'Control Room'!$B$8)*AA444/2147483647)</x:f>
        <x:v>933.784931103984</x:v>
      </x:c>
      <x:c r="AD444" s="17" t="n">
        <x:f>IF('Control Room'!$B$5="Normal",'Control Room'!$B$7,('Control Room'!$B$8+'Control Room'!$D$8)/2)+'Control Room'!$B$9*(AD443-IF('Control Room'!$B$5="Normal",'Control Room'!$B$7,('Control Room'!$B$8+'Control Room'!$D$8)/2))+SQRT(1-'Control Room'!$B$9^2)*(AC444-IF('Control Room'!$B$5="Normal",'Control Room'!$B$7,('Control Room'!$B$8+'Control Room'!$D$8)/2))</x:f>
        <x:v>984.1763431675997</x:v>
      </x:c>
      <x:c r="AE444" s="17" t="n">
        <x:f>IF(AND($A444&gt;='Control Room'!$A$13,$A444&lt;'Control Room'!$A$13+'Control Room'!$B$13,'Process'!BP2=1),1+('Control Room'!$C$13-1)*EXP(-0.5*(($A444-'Control Room'!$A$13-('Control Room'!$B$13-1)/2)/MAX(0.5,'Control Room'!$B$13/4))^2),1)*IF(AND($A444&gt;='Control Room'!$A$14,$A444&lt;'Control Room'!$A$14+'Control Room'!$B$14,'Process'!BP3=1),1+('Control Room'!$C$14-1)*EXP(-0.5*(($A444-'Control Room'!$A$14-('Control Room'!$B$14-1)/2)/MAX(0.5,'Control Room'!$B$14/4))^2),1)*IF(AND($A444&gt;='Control Room'!$A$15,$A444&lt;'Control Room'!$A$15+'Control Room'!$B$15,'Process'!BP4=1),1+('Control Room'!$C$15-1)*EXP(-0.5*(($A444-'Control Room'!$A$15-('Control Room'!$B$15-1)/2)/MAX(0.5,'Control Room'!$B$15/4))^2),1)*IF(AND($A444&gt;='Control Room'!$A$16,$A444&lt;'Control Room'!$A$16+'Control Room'!$B$16,'Process'!BP5=1),1+('Control Room'!$C$16-1)*EXP(-0.5*(($A444-'Control Room'!$A$16-('Control Room'!$B$16-1)/2)/MAX(0.5,'Control Room'!$B$16/4))^2),1)</x:f>
        <x:v>1</x:v>
      </x:c>
      <x:c r="AF444" s="9" t="n">
        <x:f>MOD(AG443*16807,2147483647)</x:f>
        <x:v>722043728</x:v>
      </x:c>
      <x:c r="AG444" s="9" t="n">
        <x:f>MOD(AF444*16807,2147483647)</x:f>
        <x:v>2106330946</x:v>
      </x:c>
      <x:c r="AH444" s="17" t="n">
        <x:f>IF('Control Room'!$B$5="Normal",'Control Room'!$B$7+'Control Room'!$D$7*SQRT(-2*LN(MAX(0.000000000001,AF444/2147483647)))*COS(2*PI()*AG444/2147483647),'Control Room'!$B$8+('Control Room'!$D$8-'Control Room'!$B$8)*AF444/2147483647)</x:f>
        <x:v>1131.9192870504748</x:v>
      </x:c>
      <x:c r="AI444" s="17" t="n">
        <x:f>IF('Control Room'!$B$5="Normal",'Control Room'!$B$7,('Control Room'!$B$8+'Control Room'!$D$8)/2)+'Control Room'!$B$9*(AI443-IF('Control Room'!$B$5="Normal",'Control Room'!$B$7,('Control Room'!$B$8+'Control Room'!$D$8)/2))+SQRT(1-'Control Room'!$B$9^2)*(AH444-IF('Control Room'!$B$5="Normal",'Control Room'!$B$7,('Control Room'!$B$8+'Control Room'!$D$8)/2))</x:f>
        <x:v>1069.2720007864357</x:v>
      </x:c>
      <x:c r="AJ444" s="17" t="n">
        <x:f>IF(AND($A444&gt;='Control Room'!$A$13,$A444&lt;'Control Room'!$A$13+'Control Room'!$B$13,'Process'!BQ2=1),1+('Control Room'!$C$13-1)*EXP(-0.5*(($A444-'Control Room'!$A$13-('Control Room'!$B$13-1)/2)/MAX(0.5,'Control Room'!$B$13/4))^2),1)*IF(AND($A444&gt;='Control Room'!$A$14,$A444&lt;'Control Room'!$A$14+'Control Room'!$B$14,'Process'!BQ3=1),1+('Control Room'!$C$14-1)*EXP(-0.5*(($A444-'Control Room'!$A$14-('Control Room'!$B$14-1)/2)/MAX(0.5,'Control Room'!$B$14/4))^2),1)*IF(AND($A444&gt;='Control Room'!$A$15,$A444&lt;'Control Room'!$A$15+'Control Room'!$B$15,'Process'!BQ4=1),1+('Control Room'!$C$15-1)*EXP(-0.5*(($A444-'Control Room'!$A$15-('Control Room'!$B$15-1)/2)/MAX(0.5,'Control Room'!$B$15/4))^2),1)*IF(AND($A444&gt;='Control Room'!$A$16,$A444&lt;'Control Room'!$A$16+'Control Room'!$B$16,'Process'!BQ5=1),1+('Control Room'!$C$16-1)*EXP(-0.5*(($A444-'Control Room'!$A$16-('Control Room'!$B$16-1)/2)/MAX(0.5,'Control Room'!$B$16/4))^2),1)</x:f>
        <x:v>1</x:v>
      </x:c>
      <x:c r="AK444" s="9" t="n">
        <x:f>MOD(AL443*16807,2147483647)</x:f>
        <x:v>779709110</x:v>
      </x:c>
      <x:c r="AL444" s="9" t="n">
        <x:f>MOD(AK444*16807,2147483647)</x:f>
        <x:v>625797776</x:v>
      </x:c>
      <x:c r="AM444" s="17" t="n">
        <x:f>IF('Control Room'!$B$5="Normal",'Control Room'!$B$7+'Control Room'!$D$7*SQRT(-2*LN(MAX(0.000000000001,AK444/2147483647)))*COS(2*PI()*AL444/2147483647),'Control Room'!$B$8+('Control Room'!$D$8-'Control Room'!$B$8)*AK444/2147483647)</x:f>
        <x:v>967.0418990708187</x:v>
      </x:c>
      <x:c r="AN444" s="17" t="n">
        <x:f>IF('Control Room'!$B$5="Normal",'Control Room'!$B$7,('Control Room'!$B$8+'Control Room'!$D$8)/2)+'Control Room'!$B$9*(AN443-IF('Control Room'!$B$5="Normal",'Control Room'!$B$7,('Control Room'!$B$8+'Control Room'!$D$8)/2))+SQRT(1-'Control Room'!$B$9^2)*(AM444-IF('Control Room'!$B$5="Normal",'Control Room'!$B$7,('Control Room'!$B$8+'Control Room'!$D$8)/2))</x:f>
        <x:v>956.5141152142537</x:v>
      </x:c>
      <x:c r="AO444" s="17" t="n">
        <x:f>IF(AND($A444&gt;='Control Room'!$A$13,$A444&lt;'Control Room'!$A$13+'Control Room'!$B$13,'Process'!BR2=1),1+('Control Room'!$C$13-1)*EXP(-0.5*(($A444-'Control Room'!$A$13-('Control Room'!$B$13-1)/2)/MAX(0.5,'Control Room'!$B$13/4))^2),1)*IF(AND($A444&gt;='Control Room'!$A$14,$A444&lt;'Control Room'!$A$14+'Control Room'!$B$14,'Process'!BR3=1),1+('Control Room'!$C$14-1)*EXP(-0.5*(($A444-'Control Room'!$A$14-('Control Room'!$B$14-1)/2)/MAX(0.5,'Control Room'!$B$14/4))^2),1)*IF(AND($A444&gt;='Control Room'!$A$15,$A444&lt;'Control Room'!$A$15+'Control Room'!$B$15,'Process'!BR4=1),1+('Control Room'!$C$15-1)*EXP(-0.5*(($A444-'Control Room'!$A$15-('Control Room'!$B$15-1)/2)/MAX(0.5,'Control Room'!$B$15/4))^2),1)*IF(AND($A444&gt;='Control Room'!$A$16,$A444&lt;'Control Room'!$A$16+'Control Room'!$B$16,'Process'!BR5=1),1+('Control Room'!$C$16-1)*EXP(-0.5*(($A444-'Control Room'!$A$16-('Control Room'!$B$16-1)/2)/MAX(0.5,'Control Room'!$B$16/4))^2),1)</x:f>
        <x:v>1</x:v>
      </x:c>
      <x:c r="AP444" s="9" t="n">
        <x:f>MOD(AQ443*16807,2147483647)</x:f>
        <x:v>837374492</x:v>
      </x:c>
      <x:c r="AQ444" s="9" t="n">
        <x:f>MOD(AP444*16807,2147483647)</x:f>
        <x:v>1292748253</x:v>
      </x:c>
      <x:c r="AR444" s="17" t="n">
        <x:f>IF('Control Room'!$B$5="Normal",'Control Room'!$B$7+'Control Room'!$D$7*SQRT(-2*LN(MAX(0.000000000001,AP444/2147483647)))*COS(2*PI()*AQ444/2147483647),'Control Room'!$B$8+('Control Room'!$D$8-'Control Room'!$B$8)*AP444/2147483647)</x:f>
        <x:v>900.983588641641</x:v>
      </x:c>
      <x:c r="AS444" s="17" t="n">
        <x:f>IF('Control Room'!$B$5="Normal",'Control Room'!$B$7,('Control Room'!$B$8+'Control Room'!$D$8)/2)+'Control Room'!$B$9*(AS443-IF('Control Room'!$B$5="Normal",'Control Room'!$B$7,('Control Room'!$B$8+'Control Room'!$D$8)/2))+SQRT(1-'Control Room'!$B$9^2)*(AR444-IF('Control Room'!$B$5="Normal",'Control Room'!$B$7,('Control Room'!$B$8+'Control Room'!$D$8)/2))</x:f>
        <x:v>922.0694945174414</x:v>
      </x:c>
      <x:c r="AT444" s="17" t="n">
        <x:f>IF(AND($A444&gt;='Control Room'!$A$13,$A444&lt;'Control Room'!$A$13+'Control Room'!$B$13,'Process'!BS2=1),1+('Control Room'!$C$13-1)*EXP(-0.5*(($A444-'Control Room'!$A$13-('Control Room'!$B$13-1)/2)/MAX(0.5,'Control Room'!$B$13/4))^2),1)*IF(AND($A444&gt;='Control Room'!$A$14,$A444&lt;'Control Room'!$A$14+'Control Room'!$B$14,'Process'!BS3=1),1+('Control Room'!$C$14-1)*EXP(-0.5*(($A444-'Control Room'!$A$14-('Control Room'!$B$14-1)/2)/MAX(0.5,'Control Room'!$B$14/4))^2),1)*IF(AND($A444&gt;='Control Room'!$A$15,$A444&lt;'Control Room'!$A$15+'Control Room'!$B$15,'Process'!BS4=1),1+('Control Room'!$C$15-1)*EXP(-0.5*(($A444-'Control Room'!$A$15-('Control Room'!$B$15-1)/2)/MAX(0.5,'Control Room'!$B$15/4))^2),1)*IF(AND($A444&gt;='Control Room'!$A$16,$A444&lt;'Control Room'!$A$16+'Control Room'!$B$16,'Process'!BS5=1),1+('Control Room'!$C$16-1)*EXP(-0.5*(($A444-'Control Room'!$A$16-('Control Room'!$B$16-1)/2)/MAX(0.5,'Control Room'!$B$16/4))^2),1)</x:f>
        <x:v>1</x:v>
      </x:c>
      <x:c r="AU444" s="9" t="n">
        <x:f>MOD(AV443*16807,2147483647)</x:f>
        <x:v>895039874</x:v>
      </x:c>
      <x:c r="AV444" s="9" t="n">
        <x:f>MOD(AU444*16807,2147483647)</x:f>
        <x:v>1959698730</x:v>
      </x:c>
      <x:c r="AW444" s="17" t="n">
        <x:f>IF('Control Room'!$B$5="Normal",'Control Room'!$B$7+'Control Room'!$D$7*SQRT(-2*LN(MAX(0.000000000001,AU444/2147483647)))*COS(2*PI()*AV444/2147483647),'Control Room'!$B$8+('Control Room'!$D$8-'Control Room'!$B$8)*AU444/2147483647)</x:f>
        <x:v>1101.5468015552624</x:v>
      </x:c>
      <x:c r="AX444" s="17" t="n">
        <x:f>IF('Control Room'!$B$5="Normal",'Control Room'!$B$7,('Control Room'!$B$8+'Control Room'!$D$8)/2)+'Control Room'!$B$9*(AX443-IF('Control Room'!$B$5="Normal",'Control Room'!$B$7,('Control Room'!$B$8+'Control Room'!$D$8)/2))+SQRT(1-'Control Room'!$B$9^2)*(AW444-IF('Control Room'!$B$5="Normal",'Control Room'!$B$7,('Control Room'!$B$8+'Control Room'!$D$8)/2))</x:f>
        <x:v>1044.5444322881337</x:v>
      </x:c>
      <x:c r="AY444" s="17" t="n">
        <x:f>IF(AND($A444&gt;='Control Room'!$A$13,$A444&lt;'Control Room'!$A$13+'Control Room'!$B$13,'Process'!BT2=1),1+('Control Room'!$C$13-1)*EXP(-0.5*(($A444-'Control Room'!$A$13-('Control Room'!$B$13-1)/2)/MAX(0.5,'Control Room'!$B$13/4))^2),1)*IF(AND($A444&gt;='Control Room'!$A$14,$A444&lt;'Control Room'!$A$14+'Control Room'!$B$14,'Process'!BT3=1),1+('Control Room'!$C$14-1)*EXP(-0.5*(($A444-'Control Room'!$A$14-('Control Room'!$B$14-1)/2)/MAX(0.5,'Control Room'!$B$14/4))^2),1)*IF(AND($A444&gt;='Control Room'!$A$15,$A444&lt;'Control Room'!$A$15+'Control Room'!$B$15,'Process'!BT4=1),1+('Control Room'!$C$15-1)*EXP(-0.5*(($A444-'Control Room'!$A$15-('Control Room'!$B$15-1)/2)/MAX(0.5,'Control Room'!$B$15/4))^2),1)*IF(AND($A444&gt;='Control Room'!$A$16,$A444&lt;'Control Room'!$A$16+'Control Room'!$B$16,'Process'!BT5=1),1+('Control Room'!$C$16-1)*EXP(-0.5*(($A444-'Control Room'!$A$16-('Control Room'!$B$16-1)/2)/MAX(0.5,'Control Room'!$B$16/4))^2),1)</x:f>
        <x:v>1</x:v>
      </x:c>
      <x:c r="AZ444" s="9" t="n">
        <x:f>MOD(BA443*16807,2147483647)</x:f>
        <x:v>952705256</x:v>
      </x:c>
      <x:c r="BA444" s="9" t="n">
        <x:f>MOD(AZ444*16807,2147483647)</x:f>
        <x:v>479165560</x:v>
      </x:c>
      <x:c r="BB444" s="17" t="n">
        <x:f>IF('Control Room'!$B$5="Normal",'Control Room'!$B$7+'Control Room'!$D$7*SQRT(-2*LN(MAX(0.000000000001,AZ444/2147483647)))*COS(2*PI()*BA444/2147483647),'Control Room'!$B$8+('Control Room'!$D$8-'Control Room'!$B$8)*AZ444/2147483647)</x:f>
        <x:v>1019.2812803497644</x:v>
      </x:c>
      <x:c r="BC444" s="17" t="n">
        <x:f>IF('Control Room'!$B$5="Normal",'Control Room'!$B$7,('Control Room'!$B$8+'Control Room'!$D$8)/2)+'Control Room'!$B$9*(BC443-IF('Control Room'!$B$5="Normal",'Control Room'!$B$7,('Control Room'!$B$8+'Control Room'!$D$8)/2))+SQRT(1-'Control Room'!$B$9^2)*(BB444-IF('Control Room'!$B$5="Normal",'Control Room'!$B$7,('Control Room'!$B$8+'Control Room'!$D$8)/2))</x:f>
        <x:v>1061.7155909097612</x:v>
      </x:c>
      <x:c r="BD444" s="17" t="n">
        <x:f>IF(AND($A444&gt;='Control Room'!$A$13,$A444&lt;'Control Room'!$A$13+'Control Room'!$B$13,'Process'!BU2=1),1+('Control Room'!$C$13-1)*EXP(-0.5*(($A444-'Control Room'!$A$13-('Control Room'!$B$13-1)/2)/MAX(0.5,'Control Room'!$B$13/4))^2),1)*IF(AND($A444&gt;='Control Room'!$A$14,$A444&lt;'Control Room'!$A$14+'Control Room'!$B$14,'Process'!BU3=1),1+('Control Room'!$C$14-1)*EXP(-0.5*(($A444-'Control Room'!$A$14-('Control Room'!$B$14-1)/2)/MAX(0.5,'Control Room'!$B$14/4))^2),1)*IF(AND($A444&gt;='Control Room'!$A$15,$A444&lt;'Control Room'!$A$15+'Control Room'!$B$15,'Process'!BU4=1),1+('Control Room'!$C$15-1)*EXP(-0.5*(($A444-'Control Room'!$A$15-('Control Room'!$B$15-1)/2)/MAX(0.5,'Control Room'!$B$15/4))^2),1)*IF(AND($A444&gt;='Control Room'!$A$16,$A444&lt;'Control Room'!$A$16+'Control Room'!$B$16,'Process'!BU5=1),1+('Control Room'!$C$16-1)*EXP(-0.5*(($A444-'Control Room'!$A$16-('Control Room'!$B$16-1)/2)/MAX(0.5,'Control Room'!$B$16/4))^2),1)</x:f>
        <x:v>1</x:v>
      </x:c>
      <x:c r="BE444" s="9" t="n">
        <x:f>MOD(BF443*16807,2147483647)</x:f>
        <x:v>1010370638</x:v>
      </x:c>
      <x:c r="BF444" s="9" t="n">
        <x:f>MOD(BE444*16807,2147483647)</x:f>
        <x:v>1146116037</x:v>
      </x:c>
      <x:c r="BG444" s="17" t="n">
        <x:f>IF('Control Room'!$B$5="Normal",'Control Room'!$B$7+'Control Room'!$D$7*SQRT(-2*LN(MAX(0.000000000001,BE444/2147483647)))*COS(2*PI()*BF444/2147483647),'Control Room'!$B$8+('Control Room'!$D$8-'Control Room'!$B$8)*BE444/2147483647)</x:f>
        <x:v>891.9495189341903</x:v>
      </x:c>
      <x:c r="BH444" s="17" t="n">
        <x:f>IF('Control Room'!$B$5="Normal",'Control Room'!$B$7,('Control Room'!$B$8+'Control Room'!$D$8)/2)+'Control Room'!$B$9*(BH443-IF('Control Room'!$B$5="Normal",'Control Room'!$B$7,('Control Room'!$B$8+'Control Room'!$D$8)/2))+SQRT(1-'Control Room'!$B$9^2)*(BG444-IF('Control Room'!$B$5="Normal",'Control Room'!$B$7,('Control Room'!$B$8+'Control Room'!$D$8)/2))</x:f>
        <x:v>855.4643433514725</x:v>
      </x:c>
      <x:c r="BI444" s="17" t="n">
        <x:f>IF(AND($A444&gt;='Control Room'!$A$13,$A444&lt;'Control Room'!$A$13+'Control Room'!$B$13,'Process'!BV2=1),1+('Control Room'!$C$13-1)*EXP(-0.5*(($A444-'Control Room'!$A$13-('Control Room'!$B$13-1)/2)/MAX(0.5,'Control Room'!$B$13/4))^2),1)*IF(AND($A444&gt;='Control Room'!$A$14,$A444&lt;'Control Room'!$A$14+'Control Room'!$B$14,'Process'!BV3=1),1+('Control Room'!$C$14-1)*EXP(-0.5*(($A444-'Control Room'!$A$14-('Control Room'!$B$14-1)/2)/MAX(0.5,'Control Room'!$B$14/4))^2),1)*IF(AND($A444&gt;='Control Room'!$A$15,$A444&lt;'Control Room'!$A$15+'Control Room'!$B$15,'Process'!BV4=1),1+('Control Room'!$C$15-1)*EXP(-0.5*(($A444-'Control Room'!$A$15-('Control Room'!$B$15-1)/2)/MAX(0.5,'Control Room'!$B$15/4))^2),1)*IF(AND($A444&gt;='Control Room'!$A$16,$A444&lt;'Control Room'!$A$16+'Control Room'!$B$16,'Process'!BV5=1),1+('Control Room'!$C$16-1)*EXP(-0.5*(($A444-'Control Room'!$A$16-('Control Room'!$B$16-1)/2)/MAX(0.5,'Control Room'!$B$16/4))^2),1)</x:f>
        <x:v>1</x:v>
      </x:c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Z444" t="str">
        <x:f>IF('Data'!A444="","",TEXT('Data'!A444,"mm-dd"))</x:f>
      </x:c>
    </x:row>
    <x:row r="445" ht="21" customHeight="1">
      <x:c r="A445" s="15" t="n">
        <x:f>'Control Room'!$B$1+443</x:f>
        <x:v>73434</x:v>
      </x:c>
      <x:c r="B445" s="9" t="n">
        <x:f>MOD(C444*16807,2147483647)</x:f>
        <x:v>256627386</x:v>
      </x:c>
      <x:c r="C445" s="9" t="n">
        <x:f>MOD(B445*16807,2147483647)</x:f>
        <x:v>989313326</x:v>
      </x:c>
      <x:c r="D445" s="17" t="n">
        <x:f>IF('Control Room'!$B$5="Normal",'Control Room'!$B$7+'Control Room'!$D$7*SQRT(-2*LN(MAX(0.000000000001,B445/2147483647)))*COS(2*PI()*C445/2147483647),'Control Room'!$B$8+('Control Room'!$D$8-'Control Room'!$B$8)*B445/2147483647)</x:f>
        <x:v>820.1166774575261</x:v>
      </x:c>
      <x:c r="E445" s="17" t="n">
        <x:f>IF('Control Room'!$B$5="Normal",'Control Room'!$B$7,('Control Room'!$B$8+'Control Room'!$D$8)/2)+'Control Room'!$B$9*(E444-IF('Control Room'!$B$5="Normal",'Control Room'!$B$7,('Control Room'!$B$8+'Control Room'!$D$8)/2))+SQRT(1-'Control Room'!$B$9^2)*(D445-IF('Control Room'!$B$5="Normal",'Control Room'!$B$7,('Control Room'!$B$8+'Control Room'!$D$8)/2))</x:f>
        <x:v>892.3443095031564</x:v>
      </x:c>
      <x:c r="F445" s="17" t="n">
        <x:f>IF(AND($A445&gt;='Control Room'!$A$13,$A445&lt;'Control Room'!$A$13+'Control Room'!$B$13,'Process'!BK2=1),1+('Control Room'!$C$13-1)*EXP(-0.5*(($A445-'Control Room'!$A$13-('Control Room'!$B$13-1)/2)/MAX(0.5,'Control Room'!$B$13/4))^2),1)*IF(AND($A445&gt;='Control Room'!$A$14,$A445&lt;'Control Room'!$A$14+'Control Room'!$B$14,'Process'!BK3=1),1+('Control Room'!$C$14-1)*EXP(-0.5*(($A445-'Control Room'!$A$14-('Control Room'!$B$14-1)/2)/MAX(0.5,'Control Room'!$B$14/4))^2),1)*IF(AND($A445&gt;='Control Room'!$A$15,$A445&lt;'Control Room'!$A$15+'Control Room'!$B$15,'Process'!BK4=1),1+('Control Room'!$C$15-1)*EXP(-0.5*(($A445-'Control Room'!$A$15-('Control Room'!$B$15-1)/2)/MAX(0.5,'Control Room'!$B$15/4))^2),1)*IF(AND($A445&gt;='Control Room'!$A$16,$A445&lt;'Control Room'!$A$16+'Control Room'!$B$16,'Process'!BK5=1),1+('Control Room'!$C$16-1)*EXP(-0.5*(($A445-'Control Room'!$A$16-('Control Room'!$B$16-1)/2)/MAX(0.5,'Control Room'!$B$16/4))^2),1)</x:f>
        <x:v>1</x:v>
      </x:c>
      <x:c r="G445" s="9" t="n">
        <x:f>MOD(H444*16807,2147483647)</x:f>
        <x:v>1976140632</x:v>
      </x:c>
      <x:c r="H445" s="9" t="n">
        <x:f>MOD(G445*16807,2147483647)</x:f>
        <x:v>13517522</x:v>
      </x:c>
      <x:c r="I445" s="17" t="n">
        <x:f>IF('Control Room'!$B$5="Normal",'Control Room'!$B$7+'Control Room'!$D$7*SQRT(-2*LN(MAX(0.000000000001,G445/2147483647)))*COS(2*PI()*H445/2147483647),'Control Room'!$B$8+('Control Room'!$D$8-'Control Room'!$B$8)*G445/2147483647)</x:f>
        <x:v>1036.6734253668237</x:v>
      </x:c>
      <x:c r="J445" s="17" t="n">
        <x:f>IF('Control Room'!$B$5="Normal",'Control Room'!$B$7,('Control Room'!$B$8+'Control Room'!$D$8)/2)+'Control Room'!$B$9*(J444-IF('Control Room'!$B$5="Normal",'Control Room'!$B$7,('Control Room'!$B$8+'Control Room'!$D$8)/2))+SQRT(1-'Control Room'!$B$9^2)*(I445-IF('Control Room'!$B$5="Normal",'Control Room'!$B$7,('Control Room'!$B$8+'Control Room'!$D$8)/2))</x:f>
        <x:v>995.4603435751212</x:v>
      </x:c>
      <x:c r="K445" s="17" t="n">
        <x:f>IF(AND($A445&gt;='Control Room'!$A$13,$A445&lt;'Control Room'!$A$13+'Control Room'!$B$13,'Process'!BL2=1),1+('Control Room'!$C$13-1)*EXP(-0.5*(($A445-'Control Room'!$A$13-('Control Room'!$B$13-1)/2)/MAX(0.5,'Control Room'!$B$13/4))^2),1)*IF(AND($A445&gt;='Control Room'!$A$14,$A445&lt;'Control Room'!$A$14+'Control Room'!$B$14,'Process'!BL3=1),1+('Control Room'!$C$14-1)*EXP(-0.5*(($A445-'Control Room'!$A$14-('Control Room'!$B$14-1)/2)/MAX(0.5,'Control Room'!$B$14/4))^2),1)*IF(AND($A445&gt;='Control Room'!$A$15,$A445&lt;'Control Room'!$A$15+'Control Room'!$B$15,'Process'!BL4=1),1+('Control Room'!$C$15-1)*EXP(-0.5*(($A445-'Control Room'!$A$15-('Control Room'!$B$15-1)/2)/MAX(0.5,'Control Room'!$B$15/4))^2),1)*IF(AND($A445&gt;='Control Room'!$A$16,$A445&lt;'Control Room'!$A$16+'Control Room'!$B$16,'Process'!BL5=1),1+('Control Room'!$C$16-1)*EXP(-0.5*(($A445-'Control Room'!$A$16-('Control Room'!$B$16-1)/2)/MAX(0.5,'Control Room'!$B$16/4))^2),1)</x:f>
        <x:v>1</x:v>
      </x:c>
      <x:c r="L445" s="9" t="n">
        <x:f>MOD(M444*16807,2147483647)</x:f>
        <x:v>1548170231</x:v>
      </x:c>
      <x:c r="M445" s="9" t="n">
        <x:f>MOD(L445*16807,2147483647)</x:f>
        <x:v>1185205365</x:v>
      </x:c>
      <x:c r="N445" s="17" t="n">
        <x:f>IF('Control Room'!$B$5="Normal",'Control Room'!$B$7+'Control Room'!$D$7*SQRT(-2*LN(MAX(0.000000000001,L445/2147483647)))*COS(2*PI()*M445/2147483647),'Control Room'!$B$8+('Control Room'!$D$8-'Control Room'!$B$8)*L445/2147483647)</x:f>
        <x:v>931.0295692152589</x:v>
      </x:c>
      <x:c r="O445" s="17" t="n">
        <x:f>IF('Control Room'!$B$5="Normal",'Control Room'!$B$7,('Control Room'!$B$8+'Control Room'!$D$8)/2)+'Control Room'!$B$9*(O444-IF('Control Room'!$B$5="Normal",'Control Room'!$B$7,('Control Room'!$B$8+'Control Room'!$D$8)/2))+SQRT(1-'Control Room'!$B$9^2)*(N445-IF('Control Room'!$B$5="Normal",'Control Room'!$B$7,('Control Room'!$B$8+'Control Room'!$D$8)/2))</x:f>
        <x:v>1038.900923025657</x:v>
      </x:c>
      <x:c r="P445" s="17" t="n">
        <x:f>IF(AND($A445&gt;='Control Room'!$A$13,$A445&lt;'Control Room'!$A$13+'Control Room'!$B$13,'Process'!BM2=1),1+('Control Room'!$C$13-1)*EXP(-0.5*(($A445-'Control Room'!$A$13-('Control Room'!$B$13-1)/2)/MAX(0.5,'Control Room'!$B$13/4))^2),1)*IF(AND($A445&gt;='Control Room'!$A$14,$A445&lt;'Control Room'!$A$14+'Control Room'!$B$14,'Process'!BM3=1),1+('Control Room'!$C$14-1)*EXP(-0.5*(($A445-'Control Room'!$A$14-('Control Room'!$B$14-1)/2)/MAX(0.5,'Control Room'!$B$14/4))^2),1)*IF(AND($A445&gt;='Control Room'!$A$15,$A445&lt;'Control Room'!$A$15+'Control Room'!$B$15,'Process'!BM4=1),1+('Control Room'!$C$15-1)*EXP(-0.5*(($A445-'Control Room'!$A$15-('Control Room'!$B$15-1)/2)/MAX(0.5,'Control Room'!$B$15/4))^2),1)*IF(AND($A445&gt;='Control Room'!$A$16,$A445&lt;'Control Room'!$A$16+'Control Room'!$B$16,'Process'!BM5=1),1+('Control Room'!$C$16-1)*EXP(-0.5*(($A445-'Control Room'!$A$16-('Control Room'!$B$16-1)/2)/MAX(0.5,'Control Room'!$B$16/4))^2),1)</x:f>
        <x:v>1</x:v>
      </x:c>
      <x:c r="Q445" s="9" t="n">
        <x:f>MOD(R444*16807,2147483647)</x:f>
        <x:v>1120199830</x:v>
      </x:c>
      <x:c r="R445" s="9" t="n">
        <x:f>MOD(Q445*16807,2147483647)</x:f>
        <x:v>209409561</x:v>
      </x:c>
      <x:c r="S445" s="17" t="n">
        <x:f>IF('Control Room'!$B$5="Normal",'Control Room'!$B$7+'Control Room'!$D$7*SQRT(-2*LN(MAX(0.000000000001,Q445/2147483647)))*COS(2*PI()*R445/2147483647),'Control Room'!$B$8+('Control Room'!$D$8-'Control Room'!$B$8)*Q445/2147483647)</x:f>
        <x:v>1084.0008940267203</x:v>
      </x:c>
      <x:c r="T445" s="17" t="n">
        <x:f>IF('Control Room'!$B$5="Normal",'Control Room'!$B$7,('Control Room'!$B$8+'Control Room'!$D$8)/2)+'Control Room'!$B$9*(T444-IF('Control Room'!$B$5="Normal",'Control Room'!$B$7,('Control Room'!$B$8+'Control Room'!$D$8)/2))+SQRT(1-'Control Room'!$B$9^2)*(S445-IF('Control Room'!$B$5="Normal",'Control Room'!$B$7,('Control Room'!$B$8+'Control Room'!$D$8)/2))</x:f>
        <x:v>1027.863905428816</x:v>
      </x:c>
      <x:c r="U445" s="17" t="n">
        <x:f>IF(AND($A445&gt;='Control Room'!$A$13,$A445&lt;'Control Room'!$A$13+'Control Room'!$B$13,'Process'!BN2=1),1+('Control Room'!$C$13-1)*EXP(-0.5*(($A445-'Control Room'!$A$13-('Control Room'!$B$13-1)/2)/MAX(0.5,'Control Room'!$B$13/4))^2),1)*IF(AND($A445&gt;='Control Room'!$A$14,$A445&lt;'Control Room'!$A$14+'Control Room'!$B$14,'Process'!BN3=1),1+('Control Room'!$C$14-1)*EXP(-0.5*(($A445-'Control Room'!$A$14-('Control Room'!$B$14-1)/2)/MAX(0.5,'Control Room'!$B$14/4))^2),1)*IF(AND($A445&gt;='Control Room'!$A$15,$A445&lt;'Control Room'!$A$15+'Control Room'!$B$15,'Process'!BN4=1),1+('Control Room'!$C$15-1)*EXP(-0.5*(($A445-'Control Room'!$A$15-('Control Room'!$B$15-1)/2)/MAX(0.5,'Control Room'!$B$15/4))^2),1)*IF(AND($A445&gt;='Control Room'!$A$16,$A445&lt;'Control Room'!$A$16+'Control Room'!$B$16,'Process'!BN5=1),1+('Control Room'!$C$16-1)*EXP(-0.5*(($A445-'Control Room'!$A$16-('Control Room'!$B$16-1)/2)/MAX(0.5,'Control Room'!$B$16/4))^2),1)</x:f>
        <x:v>1</x:v>
      </x:c>
      <x:c r="V445" s="9" t="n">
        <x:f>MOD(W444*16807,2147483647)</x:f>
        <x:v>692229429</x:v>
      </x:c>
      <x:c r="W445" s="9" t="n">
        <x:f>MOD(V445*16807,2147483647)</x:f>
        <x:v>1381097404</x:v>
      </x:c>
      <x:c r="X445" s="17" t="n">
        <x:f>IF('Control Room'!$B$5="Normal",'Control Room'!$B$7+'Control Room'!$D$7*SQRT(-2*LN(MAX(0.000000000001,V445/2147483647)))*COS(2*PI()*W445/2147483647),'Control Room'!$B$8+('Control Room'!$D$8-'Control Room'!$B$8)*V445/2147483647)</x:f>
        <x:v>915.7397795557796</x:v>
      </x:c>
      <x:c r="Y445" s="17" t="n">
        <x:f>IF('Control Room'!$B$5="Normal",'Control Room'!$B$7,('Control Room'!$B$8+'Control Room'!$D$8)/2)+'Control Room'!$B$9*(Y444-IF('Control Room'!$B$5="Normal",'Control Room'!$B$7,('Control Room'!$B$8+'Control Room'!$D$8)/2))+SQRT(1-'Control Room'!$B$9^2)*(X445-IF('Control Room'!$B$5="Normal",'Control Room'!$B$7,('Control Room'!$B$8+'Control Room'!$D$8)/2))</x:f>
        <x:v>970.7328162404219</x:v>
      </x:c>
      <x:c r="Z445" s="17" t="n">
        <x:f>IF(AND($A445&gt;='Control Room'!$A$13,$A445&lt;'Control Room'!$A$13+'Control Room'!$B$13,'Process'!BO2=1),1+('Control Room'!$C$13-1)*EXP(-0.5*(($A445-'Control Room'!$A$13-('Control Room'!$B$13-1)/2)/MAX(0.5,'Control Room'!$B$13/4))^2),1)*IF(AND($A445&gt;='Control Room'!$A$14,$A445&lt;'Control Room'!$A$14+'Control Room'!$B$14,'Process'!BO3=1),1+('Control Room'!$C$14-1)*EXP(-0.5*(($A445-'Control Room'!$A$14-('Control Room'!$B$14-1)/2)/MAX(0.5,'Control Room'!$B$14/4))^2),1)*IF(AND($A445&gt;='Control Room'!$A$15,$A445&lt;'Control Room'!$A$15+'Control Room'!$B$15,'Process'!BO4=1),1+('Control Room'!$C$15-1)*EXP(-0.5*(($A445-'Control Room'!$A$15-('Control Room'!$B$15-1)/2)/MAX(0.5,'Control Room'!$B$15/4))^2),1)*IF(AND($A445&gt;='Control Room'!$A$16,$A445&lt;'Control Room'!$A$16+'Control Room'!$B$16,'Process'!BO5=1),1+('Control Room'!$C$16-1)*EXP(-0.5*(($A445-'Control Room'!$A$16-('Control Room'!$B$16-1)/2)/MAX(0.5,'Control Room'!$B$16/4))^2),1)</x:f>
        <x:v>1</x:v>
      </x:c>
      <x:c r="AA445" s="9" t="n">
        <x:f>MOD(AB444*16807,2147483647)</x:f>
        <x:v>264259028</x:v>
      </x:c>
      <x:c r="AB445" s="9" t="n">
        <x:f>MOD(AA445*16807,2147483647)</x:f>
        <x:v>405301600</x:v>
      </x:c>
      <x:c r="AC445" s="17" t="n">
        <x:f>IF('Control Room'!$B$5="Normal",'Control Room'!$B$7+'Control Room'!$D$7*SQRT(-2*LN(MAX(0.000000000001,AA445/2147483647)))*COS(2*PI()*AB445/2147483647),'Control Room'!$B$8+('Control Room'!$D$8-'Control Room'!$B$8)*AA445/2147483647)</x:f>
        <x:v>1069.1810581901918</x:v>
      </x:c>
      <x:c r="AD445" s="17" t="n">
        <x:f>IF('Control Room'!$B$5="Normal",'Control Room'!$B$7,('Control Room'!$B$8+'Control Room'!$D$8)/2)+'Control Room'!$B$9*(AD444-IF('Control Room'!$B$5="Normal",'Control Room'!$B$7,('Control Room'!$B$8+'Control Room'!$D$8)/2))+SQRT(1-'Control Room'!$B$9^2)*(AC445-IF('Control Room'!$B$5="Normal",'Control Room'!$B$7,('Control Room'!$B$8+'Control Room'!$D$8)/2))</x:f>
        <x:v>1030.9496366351384</x:v>
      </x:c>
      <x:c r="AE445" s="17" t="n">
        <x:f>IF(AND($A445&gt;='Control Room'!$A$13,$A445&lt;'Control Room'!$A$13+'Control Room'!$B$13,'Process'!BP2=1),1+('Control Room'!$C$13-1)*EXP(-0.5*(($A445-'Control Room'!$A$13-('Control Room'!$B$13-1)/2)/MAX(0.5,'Control Room'!$B$13/4))^2),1)*IF(AND($A445&gt;='Control Room'!$A$14,$A445&lt;'Control Room'!$A$14+'Control Room'!$B$14,'Process'!BP3=1),1+('Control Room'!$C$14-1)*EXP(-0.5*(($A445-'Control Room'!$A$14-('Control Room'!$B$14-1)/2)/MAX(0.5,'Control Room'!$B$14/4))^2),1)*IF(AND($A445&gt;='Control Room'!$A$15,$A445&lt;'Control Room'!$A$15+'Control Room'!$B$15,'Process'!BP4=1),1+('Control Room'!$C$15-1)*EXP(-0.5*(($A445-'Control Room'!$A$15-('Control Room'!$B$15-1)/2)/MAX(0.5,'Control Room'!$B$15/4))^2),1)*IF(AND($A445&gt;='Control Room'!$A$16,$A445&lt;'Control Room'!$A$16+'Control Room'!$B$16,'Process'!BP5=1),1+('Control Room'!$C$16-1)*EXP(-0.5*(($A445-'Control Room'!$A$16-('Control Room'!$B$16-1)/2)/MAX(0.5,'Control Room'!$B$16/4))^2),1)</x:f>
        <x:v>1</x:v>
      </x:c>
      <x:c r="AF445" s="9" t="n">
        <x:f>MOD(AG444*16807,2147483647)</x:f>
        <x:v>1983772274</x:v>
      </x:c>
      <x:c r="AG445" s="9" t="n">
        <x:f>MOD(AF445*16807,2147483647)</x:f>
        <x:v>1576989443</x:v>
      </x:c>
      <x:c r="AH445" s="17" t="n">
        <x:f>IF('Control Room'!$B$5="Normal",'Control Room'!$B$7+'Control Room'!$D$7*SQRT(-2*LN(MAX(0.000000000001,AF445/2147483647)))*COS(2*PI()*AG445/2147483647),'Control Room'!$B$8+('Control Room'!$D$8-'Control Room'!$B$8)*AF445/2147483647)</x:f>
        <x:v>996.4797449769529</x:v>
      </x:c>
      <x:c r="AI445" s="17" t="n">
        <x:f>IF('Control Room'!$B$5="Normal",'Control Room'!$B$7,('Control Room'!$B$8+'Control Room'!$D$8)/2)+'Control Room'!$B$9*(AI444-IF('Control Room'!$B$5="Normal",'Control Room'!$B$7,('Control Room'!$B$8+'Control Room'!$D$8)/2))+SQRT(1-'Control Room'!$B$9^2)*(AH445-IF('Control Room'!$B$5="Normal",'Control Room'!$B$7,('Control Room'!$B$8+'Control Room'!$D$8)/2))</x:f>
        <x:v>1051.829257136341</x:v>
      </x:c>
      <x:c r="AJ445" s="17" t="n">
        <x:f>IF(AND($A445&gt;='Control Room'!$A$13,$A445&lt;'Control Room'!$A$13+'Control Room'!$B$13,'Process'!BQ2=1),1+('Control Room'!$C$13-1)*EXP(-0.5*(($A445-'Control Room'!$A$13-('Control Room'!$B$13-1)/2)/MAX(0.5,'Control Room'!$B$13/4))^2),1)*IF(AND($A445&gt;='Control Room'!$A$14,$A445&lt;'Control Room'!$A$14+'Control Room'!$B$14,'Process'!BQ3=1),1+('Control Room'!$C$14-1)*EXP(-0.5*(($A445-'Control Room'!$A$14-('Control Room'!$B$14-1)/2)/MAX(0.5,'Control Room'!$B$14/4))^2),1)*IF(AND($A445&gt;='Control Room'!$A$15,$A445&lt;'Control Room'!$A$15+'Control Room'!$B$15,'Process'!BQ4=1),1+('Control Room'!$C$15-1)*EXP(-0.5*(($A445-'Control Room'!$A$15-('Control Room'!$B$15-1)/2)/MAX(0.5,'Control Room'!$B$15/4))^2),1)*IF(AND($A445&gt;='Control Room'!$A$16,$A445&lt;'Control Room'!$A$16+'Control Room'!$B$16,'Process'!BQ5=1),1+('Control Room'!$C$16-1)*EXP(-0.5*(($A445-'Control Room'!$A$16-('Control Room'!$B$16-1)/2)/MAX(0.5,'Control Room'!$B$16/4))^2),1)</x:f>
        <x:v>1</x:v>
      </x:c>
      <x:c r="AK445" s="9" t="n">
        <x:f>MOD(AL444*16807,2147483647)</x:f>
        <x:v>1555801873</x:v>
      </x:c>
      <x:c r="AL445" s="9" t="n">
        <x:f>MOD(AK445*16807,2147483647)</x:f>
        <x:v>601193639</x:v>
      </x:c>
      <x:c r="AM445" s="17" t="n">
        <x:f>IF('Control Room'!$B$5="Normal",'Control Room'!$B$7+'Control Room'!$D$7*SQRT(-2*LN(MAX(0.000000000001,AK445/2147483647)))*COS(2*PI()*AL445/2147483647),'Control Room'!$B$8+('Control Room'!$D$8-'Control Room'!$B$8)*AK445/2147483647)</x:f>
        <x:v>986.4811660818992</x:v>
      </x:c>
      <x:c r="AN445" s="17" t="n">
        <x:f>IF('Control Room'!$B$5="Normal",'Control Room'!$B$7,('Control Room'!$B$8+'Control Room'!$D$8)/2)+'Control Room'!$B$9*(AN444-IF('Control Room'!$B$5="Normal",'Control Room'!$B$7,('Control Room'!$B$8+'Control Room'!$D$8)/2))+SQRT(1-'Control Room'!$B$9^2)*(AM445-IF('Control Room'!$B$5="Normal",'Control Room'!$B$7,('Control Room'!$B$8+'Control Room'!$D$8)/2))</x:f>
        <x:v>957.6212005495368</x:v>
      </x:c>
      <x:c r="AO445" s="17" t="n">
        <x:f>IF(AND($A445&gt;='Control Room'!$A$13,$A445&lt;'Control Room'!$A$13+'Control Room'!$B$13,'Process'!BR2=1),1+('Control Room'!$C$13-1)*EXP(-0.5*(($A445-'Control Room'!$A$13-('Control Room'!$B$13-1)/2)/MAX(0.5,'Control Room'!$B$13/4))^2),1)*IF(AND($A445&gt;='Control Room'!$A$14,$A445&lt;'Control Room'!$A$14+'Control Room'!$B$14,'Process'!BR3=1),1+('Control Room'!$C$14-1)*EXP(-0.5*(($A445-'Control Room'!$A$14-('Control Room'!$B$14-1)/2)/MAX(0.5,'Control Room'!$B$14/4))^2),1)*IF(AND($A445&gt;='Control Room'!$A$15,$A445&lt;'Control Room'!$A$15+'Control Room'!$B$15,'Process'!BR4=1),1+('Control Room'!$C$15-1)*EXP(-0.5*(($A445-'Control Room'!$A$15-('Control Room'!$B$15-1)/2)/MAX(0.5,'Control Room'!$B$15/4))^2),1)*IF(AND($A445&gt;='Control Room'!$A$16,$A445&lt;'Control Room'!$A$16+'Control Room'!$B$16,'Process'!BR5=1),1+('Control Room'!$C$16-1)*EXP(-0.5*(($A445-'Control Room'!$A$16-('Control Room'!$B$16-1)/2)/MAX(0.5,'Control Room'!$B$16/4))^2),1)</x:f>
        <x:v>1</x:v>
      </x:c>
      <x:c r="AP445" s="9" t="n">
        <x:f>MOD(AQ444*16807,2147483647)</x:f>
        <x:v>1127831472</x:v>
      </x:c>
      <x:c r="AQ445" s="9" t="n">
        <x:f>MOD(AP445*16807,2147483647)</x:f>
        <x:v>1772881482</x:v>
      </x:c>
      <x:c r="AR445" s="17" t="n">
        <x:f>IF('Control Room'!$B$5="Normal",'Control Room'!$B$7+'Control Room'!$D$7*SQRT(-2*LN(MAX(0.000000000001,AP445/2147483647)))*COS(2*PI()*AQ445/2147483647),'Control Room'!$B$8+('Control Room'!$D$8-'Control Room'!$B$8)*AP445/2147483647)</x:f>
        <x:v>1046.6923108381786</x:v>
      </x:c>
      <x:c r="AS445" s="17" t="n">
        <x:f>IF('Control Room'!$B$5="Normal",'Control Room'!$B$7,('Control Room'!$B$8+'Control Room'!$D$8)/2)+'Control Room'!$B$9*(AS444-IF('Control Room'!$B$5="Normal",'Control Room'!$B$7,('Control Room'!$B$8+'Control Room'!$D$8)/2))+SQRT(1-'Control Room'!$B$9^2)*(AR445-IF('Control Room'!$B$5="Normal",'Control Room'!$B$7,('Control Room'!$B$8+'Control Room'!$D$8)/2))</x:f>
        <x:v>968.4332973021562</x:v>
      </x:c>
      <x:c r="AT445" s="17" t="n">
        <x:f>IF(AND($A445&gt;='Control Room'!$A$13,$A445&lt;'Control Room'!$A$13+'Control Room'!$B$13,'Process'!BS2=1),1+('Control Room'!$C$13-1)*EXP(-0.5*(($A445-'Control Room'!$A$13-('Control Room'!$B$13-1)/2)/MAX(0.5,'Control Room'!$B$13/4))^2),1)*IF(AND($A445&gt;='Control Room'!$A$14,$A445&lt;'Control Room'!$A$14+'Control Room'!$B$14,'Process'!BS3=1),1+('Control Room'!$C$14-1)*EXP(-0.5*(($A445-'Control Room'!$A$14-('Control Room'!$B$14-1)/2)/MAX(0.5,'Control Room'!$B$14/4))^2),1)*IF(AND($A445&gt;='Control Room'!$A$15,$A445&lt;'Control Room'!$A$15+'Control Room'!$B$15,'Process'!BS4=1),1+('Control Room'!$C$15-1)*EXP(-0.5*(($A445-'Control Room'!$A$15-('Control Room'!$B$15-1)/2)/MAX(0.5,'Control Room'!$B$15/4))^2),1)*IF(AND($A445&gt;='Control Room'!$A$16,$A445&lt;'Control Room'!$A$16+'Control Room'!$B$16,'Process'!BS5=1),1+('Control Room'!$C$16-1)*EXP(-0.5*(($A445-'Control Room'!$A$16-('Control Room'!$B$16-1)/2)/MAX(0.5,'Control Room'!$B$16/4))^2),1)</x:f>
        <x:v>1</x:v>
      </x:c>
      <x:c r="AU445" s="9" t="n">
        <x:f>MOD(AV444*16807,2147483647)</x:f>
        <x:v>699861071</x:v>
      </x:c>
      <x:c r="AV445" s="9" t="n">
        <x:f>MOD(AU445*16807,2147483647)</x:f>
        <x:v>797085678</x:v>
      </x:c>
      <x:c r="AW445" s="17" t="n">
        <x:f>IF('Control Room'!$B$5="Normal",'Control Room'!$B$7+'Control Room'!$D$7*SQRT(-2*LN(MAX(0.000000000001,AU445/2147483647)))*COS(2*PI()*AV445/2147483647),'Control Room'!$B$8+('Control Room'!$D$8-'Control Room'!$B$8)*AU445/2147483647)</x:f>
        <x:v>907.0226667899751</x:v>
      </x:c>
      <x:c r="AX445" s="17" t="n">
        <x:f>IF('Control Room'!$B$5="Normal",'Control Room'!$B$7,('Control Room'!$B$8+'Control Room'!$D$8)/2)+'Control Room'!$B$9*(AX444-IF('Control Room'!$B$5="Normal",'Control Room'!$B$7,('Control Room'!$B$8+'Control Room'!$D$8)/2))+SQRT(1-'Control Room'!$B$9^2)*(AW445-IF('Control Room'!$B$5="Normal",'Control Room'!$B$7,('Control Room'!$B$8+'Control Room'!$D$8)/2))</x:f>
        <x:v>976.5613468061135</x:v>
      </x:c>
      <x:c r="AY445" s="17" t="n">
        <x:f>IF(AND($A445&gt;='Control Room'!$A$13,$A445&lt;'Control Room'!$A$13+'Control Room'!$B$13,'Process'!BT2=1),1+('Control Room'!$C$13-1)*EXP(-0.5*(($A445-'Control Room'!$A$13-('Control Room'!$B$13-1)/2)/MAX(0.5,'Control Room'!$B$13/4))^2),1)*IF(AND($A445&gt;='Control Room'!$A$14,$A445&lt;'Control Room'!$A$14+'Control Room'!$B$14,'Process'!BT3=1),1+('Control Room'!$C$14-1)*EXP(-0.5*(($A445-'Control Room'!$A$14-('Control Room'!$B$14-1)/2)/MAX(0.5,'Control Room'!$B$14/4))^2),1)*IF(AND($A445&gt;='Control Room'!$A$15,$A445&lt;'Control Room'!$A$15+'Control Room'!$B$15,'Process'!BT4=1),1+('Control Room'!$C$15-1)*EXP(-0.5*(($A445-'Control Room'!$A$15-('Control Room'!$B$15-1)/2)/MAX(0.5,'Control Room'!$B$15/4))^2),1)*IF(AND($A445&gt;='Control Room'!$A$16,$A445&lt;'Control Room'!$A$16+'Control Room'!$B$16,'Process'!BT5=1),1+('Control Room'!$C$16-1)*EXP(-0.5*(($A445-'Control Room'!$A$16-('Control Room'!$B$16-1)/2)/MAX(0.5,'Control Room'!$B$16/4))^2),1)</x:f>
        <x:v>1</x:v>
      </x:c>
      <x:c r="AZ445" s="9" t="n">
        <x:f>MOD(BA444*16807,2147483647)</x:f>
        <x:v>271890670</x:v>
      </x:c>
      <x:c r="BA445" s="9" t="n">
        <x:f>MOD(AZ445*16807,2147483647)</x:f>
        <x:v>1968773521</x:v>
      </x:c>
      <x:c r="BB445" s="17" t="n">
        <x:f>IF('Control Room'!$B$5="Normal",'Control Room'!$B$7+'Control Room'!$D$7*SQRT(-2*LN(MAX(0.000000000001,AZ445/2147483647)))*COS(2*PI()*BA445/2147483647),'Control Room'!$B$8+('Control Room'!$D$8-'Control Room'!$B$8)*AZ445/2147483647)</x:f>
        <x:v>1158.526822851859</x:v>
      </x:c>
      <x:c r="BC445" s="17" t="n">
        <x:f>IF('Control Room'!$B$5="Normal",'Control Room'!$B$7,('Control Room'!$B$8+'Control Room'!$D$8)/2)+'Control Room'!$B$9*(BC444-IF('Control Room'!$B$5="Normal",'Control Room'!$B$7,('Control Room'!$B$8+'Control Room'!$D$8)/2))+SQRT(1-'Control Room'!$B$9^2)*(BB445-IF('Control Room'!$B$5="Normal",'Control Room'!$B$7,('Control Room'!$B$8+'Control Room'!$D$8)/2))</x:f>
        <x:v>1147.3409990518182</x:v>
      </x:c>
      <x:c r="BD445" s="17" t="n">
        <x:f>IF(AND($A445&gt;='Control Room'!$A$13,$A445&lt;'Control Room'!$A$13+'Control Room'!$B$13,'Process'!BU2=1),1+('Control Room'!$C$13-1)*EXP(-0.5*(($A445-'Control Room'!$A$13-('Control Room'!$B$13-1)/2)/MAX(0.5,'Control Room'!$B$13/4))^2),1)*IF(AND($A445&gt;='Control Room'!$A$14,$A445&lt;'Control Room'!$A$14+'Control Room'!$B$14,'Process'!BU3=1),1+('Control Room'!$C$14-1)*EXP(-0.5*(($A445-'Control Room'!$A$14-('Control Room'!$B$14-1)/2)/MAX(0.5,'Control Room'!$B$14/4))^2),1)*IF(AND($A445&gt;='Control Room'!$A$15,$A445&lt;'Control Room'!$A$15+'Control Room'!$B$15,'Process'!BU4=1),1+('Control Room'!$C$15-1)*EXP(-0.5*(($A445-'Control Room'!$A$15-('Control Room'!$B$15-1)/2)/MAX(0.5,'Control Room'!$B$15/4))^2),1)*IF(AND($A445&gt;='Control Room'!$A$16,$A445&lt;'Control Room'!$A$16+'Control Room'!$B$16,'Process'!BU5=1),1+('Control Room'!$C$16-1)*EXP(-0.5*(($A445-'Control Room'!$A$16-('Control Room'!$B$16-1)/2)/MAX(0.5,'Control Room'!$B$16/4))^2),1)</x:f>
        <x:v>1</x:v>
      </x:c>
      <x:c r="BE445" s="9" t="n">
        <x:f>MOD(BF444*16807,2147483647)</x:f>
        <x:v>1991403916</x:v>
      </x:c>
      <x:c r="BF445" s="9" t="n">
        <x:f>MOD(BE445*16807,2147483647)</x:f>
        <x:v>992977717</x:v>
      </x:c>
      <x:c r="BG445" s="17" t="n">
        <x:f>IF('Control Room'!$B$5="Normal",'Control Room'!$B$7+'Control Room'!$D$7*SQRT(-2*LN(MAX(0.000000000001,BE445/2147483647)))*COS(2*PI()*BF445/2147483647),'Control Room'!$B$8+('Control Room'!$D$8-'Control Room'!$B$8)*BE445/2147483647)</x:f>
        <x:v>966.0087505920214</x:v>
      </x:c>
      <x:c r="BH445" s="17" t="n">
        <x:f>IF('Control Room'!$B$5="Normal",'Control Room'!$B$7,('Control Room'!$B$8+'Control Room'!$D$8)/2)+'Control Room'!$B$9*(BH444-IF('Control Room'!$B$5="Normal",'Control Room'!$B$7,('Control Room'!$B$8+'Control Room'!$D$8)/2))+SQRT(1-'Control Room'!$B$9^2)*(BG445-IF('Control Room'!$B$5="Normal",'Control Room'!$B$7,('Control Room'!$B$8+'Control Room'!$D$8)/2))</x:f>
        <x:v>865.9911602832296</x:v>
      </x:c>
      <x:c r="BI445" s="17" t="n">
        <x:f>IF(AND($A445&gt;='Control Room'!$A$13,$A445&lt;'Control Room'!$A$13+'Control Room'!$B$13,'Process'!BV2=1),1+('Control Room'!$C$13-1)*EXP(-0.5*(($A445-'Control Room'!$A$13-('Control Room'!$B$13-1)/2)/MAX(0.5,'Control Room'!$B$13/4))^2),1)*IF(AND($A445&gt;='Control Room'!$A$14,$A445&lt;'Control Room'!$A$14+'Control Room'!$B$14,'Process'!BV3=1),1+('Control Room'!$C$14-1)*EXP(-0.5*(($A445-'Control Room'!$A$14-('Control Room'!$B$14-1)/2)/MAX(0.5,'Control Room'!$B$14/4))^2),1)*IF(AND($A445&gt;='Control Room'!$A$15,$A445&lt;'Control Room'!$A$15+'Control Room'!$B$15,'Process'!BV4=1),1+('Control Room'!$C$15-1)*EXP(-0.5*(($A445-'Control Room'!$A$15-('Control Room'!$B$15-1)/2)/MAX(0.5,'Control Room'!$B$15/4))^2),1)*IF(AND($A445&gt;='Control Room'!$A$16,$A445&lt;'Control Room'!$A$16+'Control Room'!$B$16,'Process'!BV5=1),1+('Control Room'!$C$16-1)*EXP(-0.5*(($A445-'Control Room'!$A$16-('Control Room'!$B$16-1)/2)/MAX(0.5,'Control Room'!$B$16/4))^2),1)</x:f>
        <x:v>1</x:v>
      </x:c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Z445" t="str">
        <x:f>IF('Data'!A445="","",TEXT('Data'!A445,"mm-dd"))</x:f>
      </x:c>
    </x:row>
    <x:row r="446" ht="21" customHeight="1">
      <x:c r="A446" s="15" t="n">
        <x:f>'Control Room'!$B$1+444</x:f>
        <x:v>73435</x:v>
      </x:c>
      <x:c r="B446" s="9" t="n">
        <x:f>MOD(C445*16807,2147483647)</x:f>
        <x:v>1570675008</x:v>
      </x:c>
      <x:c r="C446" s="9" t="n">
        <x:f>MOD(B446*16807,2147483647)</x:f>
        <x:v>1465870532</x:v>
      </x:c>
      <x:c r="D446" s="17" t="n">
        <x:f>IF('Control Room'!$B$5="Normal",'Control Room'!$B$7+'Control Room'!$D$7*SQRT(-2*LN(MAX(0.000000000001,B446/2147483647)))*COS(2*PI()*C446/2147483647),'Control Room'!$B$8+('Control Room'!$D$8-'Control Room'!$B$8)*B446/2147483647)</x:f>
        <x:v>970.747023773454</x:v>
      </x:c>
      <x:c r="E446" s="17" t="n">
        <x:f>IF('Control Room'!$B$5="Normal",'Control Room'!$B$7,('Control Room'!$B$8+'Control Room'!$D$8)/2)+'Control Room'!$B$9*(E445-IF('Control Room'!$B$5="Normal",'Control Room'!$B$7,('Control Room'!$B$8+'Control Room'!$D$8)/2))+SQRT(1-'Control Room'!$B$9^2)*(D446-IF('Control Room'!$B$5="Normal",'Control Room'!$B$7,('Control Room'!$B$8+'Control Room'!$D$8)/2))</x:f>
        <x:v>897.7226481696812</x:v>
      </x:c>
      <x:c r="F446" s="17" t="n">
        <x:f>IF(AND($A446&gt;='Control Room'!$A$13,$A446&lt;'Control Room'!$A$13+'Control Room'!$B$13,'Process'!BK2=1),1+('Control Room'!$C$13-1)*EXP(-0.5*(($A446-'Control Room'!$A$13-('Control Room'!$B$13-1)/2)/MAX(0.5,'Control Room'!$B$13/4))^2),1)*IF(AND($A446&gt;='Control Room'!$A$14,$A446&lt;'Control Room'!$A$14+'Control Room'!$B$14,'Process'!BK3=1),1+('Control Room'!$C$14-1)*EXP(-0.5*(($A446-'Control Room'!$A$14-('Control Room'!$B$14-1)/2)/MAX(0.5,'Control Room'!$B$14/4))^2),1)*IF(AND($A446&gt;='Control Room'!$A$15,$A446&lt;'Control Room'!$A$15+'Control Room'!$B$15,'Process'!BK4=1),1+('Control Room'!$C$15-1)*EXP(-0.5*(($A446-'Control Room'!$A$15-('Control Room'!$B$15-1)/2)/MAX(0.5,'Control Room'!$B$15/4))^2),1)*IF(AND($A446&gt;='Control Room'!$A$16,$A446&lt;'Control Room'!$A$16+'Control Room'!$B$16,'Process'!BK5=1),1+('Control Room'!$C$16-1)*EXP(-0.5*(($A446-'Control Room'!$A$16-('Control Room'!$B$16-1)/2)/MAX(0.5,'Control Room'!$B$16/4))^2),1)</x:f>
        <x:v>1</x:v>
      </x:c>
      <x:c r="G446" s="9" t="n">
        <x:f>MOD(H445*16807,2147483647)</x:f>
        <x:v>1703209319</x:v>
      </x:c>
      <x:c r="H446" s="9" t="n">
        <x:f>MOD(G446*16807,2147483647)</x:f>
        <x:v>2029493570</x:v>
      </x:c>
      <x:c r="I446" s="17" t="n">
        <x:f>IF('Control Room'!$B$5="Normal",'Control Room'!$B$7+'Control Room'!$D$7*SQRT(-2*LN(MAX(0.000000000001,G446/2147483647)))*COS(2*PI()*H446/2147483647),'Control Room'!$B$8+('Control Room'!$D$8-'Control Room'!$B$8)*G446/2147483647)</x:f>
        <x:v>1057.6617660752704</x:v>
      </x:c>
      <x:c r="J446" s="17" t="n">
        <x:f>IF('Control Room'!$B$5="Normal",'Control Room'!$B$7,('Control Room'!$B$8+'Control Room'!$D$8)/2)+'Control Room'!$B$9*(J445-IF('Control Room'!$B$5="Normal",'Control Room'!$B$7,('Control Room'!$B$8+'Control Room'!$D$8)/2))+SQRT(1-'Control Room'!$B$9^2)*(I446-IF('Control Room'!$B$5="Normal",'Control Room'!$B$7,('Control Room'!$B$8+'Control Room'!$D$8)/2))</x:f>
        <x:v>1032.5426199330132</x:v>
      </x:c>
      <x:c r="K446" s="17" t="n">
        <x:f>IF(AND($A446&gt;='Control Room'!$A$13,$A446&lt;'Control Room'!$A$13+'Control Room'!$B$13,'Process'!BL2=1),1+('Control Room'!$C$13-1)*EXP(-0.5*(($A446-'Control Room'!$A$13-('Control Room'!$B$13-1)/2)/MAX(0.5,'Control Room'!$B$13/4))^2),1)*IF(AND($A446&gt;='Control Room'!$A$14,$A446&lt;'Control Room'!$A$14+'Control Room'!$B$14,'Process'!BL3=1),1+('Control Room'!$C$14-1)*EXP(-0.5*(($A446-'Control Room'!$A$14-('Control Room'!$B$14-1)/2)/MAX(0.5,'Control Room'!$B$14/4))^2),1)*IF(AND($A446&gt;='Control Room'!$A$15,$A446&lt;'Control Room'!$A$15+'Control Room'!$B$15,'Process'!BL4=1),1+('Control Room'!$C$15-1)*EXP(-0.5*(($A446-'Control Room'!$A$15-('Control Room'!$B$15-1)/2)/MAX(0.5,'Control Room'!$B$15/4))^2),1)*IF(AND($A446&gt;='Control Room'!$A$16,$A446&lt;'Control Room'!$A$16+'Control Room'!$B$16,'Process'!BL5=1),1+('Control Room'!$C$16-1)*EXP(-0.5*(($A446-'Control Room'!$A$16-('Control Room'!$B$16-1)/2)/MAX(0.5,'Control Room'!$B$16/4))^2),1)</x:f>
        <x:v>1</x:v>
      </x:c>
      <x:c r="L446" s="9" t="n">
        <x:f>MOD(M445*16807,2147483647)</x:f>
        <x:v>1835743630</x:v>
      </x:c>
      <x:c r="M446" s="9" t="n">
        <x:f>MOD(L446*16807,2147483647)</x:f>
        <x:v>445632961</x:v>
      </x:c>
      <x:c r="N446" s="17" t="n">
        <x:f>IF('Control Room'!$B$5="Normal",'Control Room'!$B$7+'Control Room'!$D$7*SQRT(-2*LN(MAX(0.000000000001,L446/2147483647)))*COS(2*PI()*M446/2147483647),'Control Room'!$B$8+('Control Room'!$D$8-'Control Room'!$B$8)*L446/2147483647)</x:f>
        <x:v>1013.2969169325526</x:v>
      </x:c>
      <x:c r="O446" s="17" t="n">
        <x:f>IF('Control Room'!$B$5="Normal",'Control Room'!$B$7,('Control Room'!$B$8+'Control Room'!$D$8)/2)+'Control Room'!$B$9*(O445-IF('Control Room'!$B$5="Normal",'Control Room'!$B$7,('Control Room'!$B$8+'Control Room'!$D$8)/2))+SQRT(1-'Control Room'!$B$9^2)*(N446-IF('Control Room'!$B$5="Normal",'Control Room'!$B$7,('Control Room'!$B$8+'Control Room'!$D$8)/2))</x:f>
        <x:v>1038.663658174254</x:v>
      </x:c>
      <x:c r="P446" s="17" t="n">
        <x:f>IF(AND($A446&gt;='Control Room'!$A$13,$A446&lt;'Control Room'!$A$13+'Control Room'!$B$13,'Process'!BM2=1),1+('Control Room'!$C$13-1)*EXP(-0.5*(($A446-'Control Room'!$A$13-('Control Room'!$B$13-1)/2)/MAX(0.5,'Control Room'!$B$13/4))^2),1)*IF(AND($A446&gt;='Control Room'!$A$14,$A446&lt;'Control Room'!$A$14+'Control Room'!$B$14,'Process'!BM3=1),1+('Control Room'!$C$14-1)*EXP(-0.5*(($A446-'Control Room'!$A$14-('Control Room'!$B$14-1)/2)/MAX(0.5,'Control Room'!$B$14/4))^2),1)*IF(AND($A446&gt;='Control Room'!$A$15,$A446&lt;'Control Room'!$A$15+'Control Room'!$B$15,'Process'!BM4=1),1+('Control Room'!$C$15-1)*EXP(-0.5*(($A446-'Control Room'!$A$15-('Control Room'!$B$15-1)/2)/MAX(0.5,'Control Room'!$B$15/4))^2),1)*IF(AND($A446&gt;='Control Room'!$A$16,$A446&lt;'Control Room'!$A$16+'Control Room'!$B$16,'Process'!BM5=1),1+('Control Room'!$C$16-1)*EXP(-0.5*(($A446-'Control Room'!$A$16-('Control Room'!$B$16-1)/2)/MAX(0.5,'Control Room'!$B$16/4))^2),1)</x:f>
        <x:v>1</x:v>
      </x:c>
      <x:c r="Q446" s="9" t="n">
        <x:f>MOD(R445*16807,2147483647)</x:f>
        <x:v>1968277941</x:v>
      </x:c>
      <x:c r="R446" s="9" t="n">
        <x:f>MOD(Q446*16807,2147483647)</x:f>
        <x:v>1009255999</x:v>
      </x:c>
      <x:c r="S446" s="17" t="n">
        <x:f>IF('Control Room'!$B$5="Normal",'Control Room'!$B$7+'Control Room'!$D$7*SQRT(-2*LN(MAX(0.000000000001,Q446/2147483647)))*COS(2*PI()*R446/2147483647),'Control Room'!$B$8+('Control Room'!$D$8-'Control Room'!$B$8)*Q446/2147483647)</x:f>
        <x:v>963.095077842397</x:v>
      </x:c>
      <x:c r="T446" s="17" t="n">
        <x:f>IF('Control Room'!$B$5="Normal",'Control Room'!$B$7,('Control Room'!$B$8+'Control Room'!$D$8)/2)+'Control Room'!$B$9*(T445-IF('Control Room'!$B$5="Normal",'Control Room'!$B$7,('Control Room'!$B$8+'Control Room'!$D$8)/2))+SQRT(1-'Control Room'!$B$9^2)*(S446-IF('Control Room'!$B$5="Normal",'Control Room'!$B$7,('Control Room'!$B$8+'Control Room'!$D$8)/2))</x:f>
        <x:v>998.6395019866733</x:v>
      </x:c>
      <x:c r="U446" s="17" t="n">
        <x:f>IF(AND($A446&gt;='Control Room'!$A$13,$A446&lt;'Control Room'!$A$13+'Control Room'!$B$13,'Process'!BN2=1),1+('Control Room'!$C$13-1)*EXP(-0.5*(($A446-'Control Room'!$A$13-('Control Room'!$B$13-1)/2)/MAX(0.5,'Control Room'!$B$13/4))^2),1)*IF(AND($A446&gt;='Control Room'!$A$14,$A446&lt;'Control Room'!$A$14+'Control Room'!$B$14,'Process'!BN3=1),1+('Control Room'!$C$14-1)*EXP(-0.5*(($A446-'Control Room'!$A$14-('Control Room'!$B$14-1)/2)/MAX(0.5,'Control Room'!$B$14/4))^2),1)*IF(AND($A446&gt;='Control Room'!$A$15,$A446&lt;'Control Room'!$A$15+'Control Room'!$B$15,'Process'!BN4=1),1+('Control Room'!$C$15-1)*EXP(-0.5*(($A446-'Control Room'!$A$15-('Control Room'!$B$15-1)/2)/MAX(0.5,'Control Room'!$B$15/4))^2),1)*IF(AND($A446&gt;='Control Room'!$A$16,$A446&lt;'Control Room'!$A$16+'Control Room'!$B$16,'Process'!BN5=1),1+('Control Room'!$C$16-1)*EXP(-0.5*(($A446-'Control Room'!$A$16-('Control Room'!$B$16-1)/2)/MAX(0.5,'Control Room'!$B$16/4))^2),1)</x:f>
        <x:v>1</x:v>
      </x:c>
      <x:c r="V446" s="9" t="n">
        <x:f>MOD(W445*16807,2147483647)</x:f>
        <x:v>2100812252</x:v>
      </x:c>
      <x:c r="W446" s="9" t="n">
        <x:f>MOD(V446*16807,2147483647)</x:f>
        <x:v>1572879037</x:v>
      </x:c>
      <x:c r="X446" s="17" t="n">
        <x:f>IF('Control Room'!$B$5="Normal",'Control Room'!$B$7+'Control Room'!$D$7*SQRT(-2*LN(MAX(0.000000000001,V446/2147483647)))*COS(2*PI()*W446/2147483647),'Control Room'!$B$8+('Control Room'!$D$8-'Control Room'!$B$8)*V446/2147483647)</x:f>
        <x:v>997.92127988102</x:v>
      </x:c>
      <x:c r="Y446" s="17" t="n">
        <x:f>IF('Control Room'!$B$5="Normal",'Control Room'!$B$7,('Control Room'!$B$8+'Control Room'!$D$8)/2)+'Control Room'!$B$9*(Y445-IF('Control Room'!$B$5="Normal",'Control Room'!$B$7,('Control Room'!$B$8+'Control Room'!$D$8)/2))+SQRT(1-'Control Room'!$B$9^2)*(X446-IF('Control Room'!$B$5="Normal",'Control Room'!$B$7,('Control Room'!$B$8+'Control Room'!$D$8)/2))</x:f>
        <x:v>975.8707762019678</x:v>
      </x:c>
      <x:c r="Z446" s="17" t="n">
        <x:f>IF(AND($A446&gt;='Control Room'!$A$13,$A446&lt;'Control Room'!$A$13+'Control Room'!$B$13,'Process'!BO2=1),1+('Control Room'!$C$13-1)*EXP(-0.5*(($A446-'Control Room'!$A$13-('Control Room'!$B$13-1)/2)/MAX(0.5,'Control Room'!$B$13/4))^2),1)*IF(AND($A446&gt;='Control Room'!$A$14,$A446&lt;'Control Room'!$A$14+'Control Room'!$B$14,'Process'!BO3=1),1+('Control Room'!$C$14-1)*EXP(-0.5*(($A446-'Control Room'!$A$14-('Control Room'!$B$14-1)/2)/MAX(0.5,'Control Room'!$B$14/4))^2),1)*IF(AND($A446&gt;='Control Room'!$A$15,$A446&lt;'Control Room'!$A$15+'Control Room'!$B$15,'Process'!BO4=1),1+('Control Room'!$C$15-1)*EXP(-0.5*(($A446-'Control Room'!$A$15-('Control Room'!$B$15-1)/2)/MAX(0.5,'Control Room'!$B$15/4))^2),1)*IF(AND($A446&gt;='Control Room'!$A$16,$A446&lt;'Control Room'!$A$16+'Control Room'!$B$16,'Process'!BO5=1),1+('Control Room'!$C$16-1)*EXP(-0.5*(($A446-'Control Room'!$A$16-('Control Room'!$B$16-1)/2)/MAX(0.5,'Control Room'!$B$16/4))^2),1)</x:f>
        <x:v>1</x:v>
      </x:c>
      <x:c r="AA446" s="9" t="n">
        <x:f>MOD(AB445*16807,2147483647)</x:f>
        <x:v>85862916</x:v>
      </x:c>
      <x:c r="AB446" s="9" t="n">
        <x:f>MOD(AA446*16807,2147483647)</x:f>
        <x:v>2136502075</x:v>
      </x:c>
      <x:c r="AC446" s="17" t="n">
        <x:f>IF('Control Room'!$B$5="Normal",'Control Room'!$B$7+'Control Room'!$D$7*SQRT(-2*LN(MAX(0.000000000001,AA446/2147483647)))*COS(2*PI()*AB446/2147483647),'Control Room'!$B$8+('Control Room'!$D$8-'Control Room'!$B$8)*AA446/2147483647)</x:f>
        <x:v>1228.251700329531</x:v>
      </x:c>
      <x:c r="AD446" s="17" t="n">
        <x:f>IF('Control Room'!$B$5="Normal",'Control Room'!$B$7,('Control Room'!$B$8+'Control Room'!$D$8)/2)+'Control Room'!$B$9*(AD445-IF('Control Room'!$B$5="Normal",'Control Room'!$B$7,('Control Room'!$B$8+'Control Room'!$D$8)/2))+SQRT(1-'Control Room'!$B$9^2)*(AC446-IF('Control Room'!$B$5="Normal",'Control Room'!$B$7,('Control Room'!$B$8+'Control Room'!$D$8)/2))</x:f>
        <x:v>1166.9759546513844</x:v>
      </x:c>
      <x:c r="AE446" s="17" t="n">
        <x:f>IF(AND($A446&gt;='Control Room'!$A$13,$A446&lt;'Control Room'!$A$13+'Control Room'!$B$13,'Process'!BP2=1),1+('Control Room'!$C$13-1)*EXP(-0.5*(($A446-'Control Room'!$A$13-('Control Room'!$B$13-1)/2)/MAX(0.5,'Control Room'!$B$13/4))^2),1)*IF(AND($A446&gt;='Control Room'!$A$14,$A446&lt;'Control Room'!$A$14+'Control Room'!$B$14,'Process'!BP3=1),1+('Control Room'!$C$14-1)*EXP(-0.5*(($A446-'Control Room'!$A$14-('Control Room'!$B$14-1)/2)/MAX(0.5,'Control Room'!$B$14/4))^2),1)*IF(AND($A446&gt;='Control Room'!$A$15,$A446&lt;'Control Room'!$A$15+'Control Room'!$B$15,'Process'!BP4=1),1+('Control Room'!$C$15-1)*EXP(-0.5*(($A446-'Control Room'!$A$15-('Control Room'!$B$15-1)/2)/MAX(0.5,'Control Room'!$B$15/4))^2),1)*IF(AND($A446&gt;='Control Room'!$A$16,$A446&lt;'Control Room'!$A$16+'Control Room'!$B$16,'Process'!BP5=1),1+('Control Room'!$C$16-1)*EXP(-0.5*(($A446-'Control Room'!$A$16-('Control Room'!$B$16-1)/2)/MAX(0.5,'Control Room'!$B$16/4))^2),1)</x:f>
        <x:v>1</x:v>
      </x:c>
      <x:c r="AF446" s="9" t="n">
        <x:f>MOD(AG445*16807,2147483647)</x:f>
        <x:v>218397227</x:v>
      </x:c>
      <x:c r="AG446" s="9" t="n">
        <x:f>MOD(AF446*16807,2147483647)</x:f>
        <x:v>552641466</x:v>
      </x:c>
      <x:c r="AH446" s="17" t="n">
        <x:f>IF('Control Room'!$B$5="Normal",'Control Room'!$B$7+'Control Room'!$D$7*SQRT(-2*LN(MAX(0.000000000001,AF446/2147483647)))*COS(2*PI()*AG446/2147483647),'Control Room'!$B$8+('Control Room'!$D$8-'Control Room'!$B$8)*AF446/2147483647)</x:f>
        <x:v>991.1240789961734</x:v>
      </x:c>
      <x:c r="AI446" s="17" t="n">
        <x:f>IF('Control Room'!$B$5="Normal",'Control Room'!$B$7,('Control Room'!$B$8+'Control Room'!$D$8)/2)+'Control Room'!$B$9*(AI445-IF('Control Room'!$B$5="Normal",'Control Room'!$B$7,('Control Room'!$B$8+'Control Room'!$D$8)/2))+SQRT(1-'Control Room'!$B$9^2)*(AH446-IF('Control Room'!$B$5="Normal",'Control Room'!$B$7,('Control Room'!$B$8+'Control Room'!$D$8)/2))</x:f>
        <x:v>1034.8724510352768</x:v>
      </x:c>
      <x:c r="AJ446" s="17" t="n">
        <x:f>IF(AND($A446&gt;='Control Room'!$A$13,$A446&lt;'Control Room'!$A$13+'Control Room'!$B$13,'Process'!BQ2=1),1+('Control Room'!$C$13-1)*EXP(-0.5*(($A446-'Control Room'!$A$13-('Control Room'!$B$13-1)/2)/MAX(0.5,'Control Room'!$B$13/4))^2),1)*IF(AND($A446&gt;='Control Room'!$A$14,$A446&lt;'Control Room'!$A$14+'Control Room'!$B$14,'Process'!BQ3=1),1+('Control Room'!$C$14-1)*EXP(-0.5*(($A446-'Control Room'!$A$14-('Control Room'!$B$14-1)/2)/MAX(0.5,'Control Room'!$B$14/4))^2),1)*IF(AND($A446&gt;='Control Room'!$A$15,$A446&lt;'Control Room'!$A$15+'Control Room'!$B$15,'Process'!BQ4=1),1+('Control Room'!$C$15-1)*EXP(-0.5*(($A446-'Control Room'!$A$15-('Control Room'!$B$15-1)/2)/MAX(0.5,'Control Room'!$B$15/4))^2),1)*IF(AND($A446&gt;='Control Room'!$A$16,$A446&lt;'Control Room'!$A$16+'Control Room'!$B$16,'Process'!BQ5=1),1+('Control Room'!$C$16-1)*EXP(-0.5*(($A446-'Control Room'!$A$16-('Control Room'!$B$16-1)/2)/MAX(0.5,'Control Room'!$B$16/4))^2),1)</x:f>
        <x:v>1</x:v>
      </x:c>
      <x:c r="AK446" s="9" t="n">
        <x:f>MOD(AL445*16807,2147483647)</x:f>
        <x:v>350931538</x:v>
      </x:c>
      <x:c r="AL446" s="9" t="n">
        <x:f>MOD(AK446*16807,2147483647)</x:f>
        <x:v>1116264504</x:v>
      </x:c>
      <x:c r="AM446" s="17" t="n">
        <x:f>IF('Control Room'!$B$5="Normal",'Control Room'!$B$7+'Control Room'!$D$7*SQRT(-2*LN(MAX(0.000000000001,AK446/2147483647)))*COS(2*PI()*AL446/2147483647),'Control Room'!$B$8+('Control Room'!$D$8-'Control Room'!$B$8)*AK446/2147483647)</x:f>
        <x:v>830.018338275075</x:v>
      </x:c>
      <x:c r="AN446" s="17" t="n">
        <x:f>IF('Control Room'!$B$5="Normal",'Control Room'!$B$7,('Control Room'!$B$8+'Control Room'!$D$8)/2)+'Control Room'!$B$9*(AN445-IF('Control Room'!$B$5="Normal",'Control Room'!$B$7,('Control Room'!$B$8+'Control Room'!$D$8)/2))+SQRT(1-'Control Room'!$B$9^2)*(AM446-IF('Control Room'!$B$5="Normal",'Control Room'!$B$7,('Control Room'!$B$8+'Control Room'!$D$8)/2))</x:f>
        <x:v>860.573494784799</x:v>
      </x:c>
      <x:c r="AO446" s="17" t="n">
        <x:f>IF(AND($A446&gt;='Control Room'!$A$13,$A446&lt;'Control Room'!$A$13+'Control Room'!$B$13,'Process'!BR2=1),1+('Control Room'!$C$13-1)*EXP(-0.5*(($A446-'Control Room'!$A$13-('Control Room'!$B$13-1)/2)/MAX(0.5,'Control Room'!$B$13/4))^2),1)*IF(AND($A446&gt;='Control Room'!$A$14,$A446&lt;'Control Room'!$A$14+'Control Room'!$B$14,'Process'!BR3=1),1+('Control Room'!$C$14-1)*EXP(-0.5*(($A446-'Control Room'!$A$14-('Control Room'!$B$14-1)/2)/MAX(0.5,'Control Room'!$B$14/4))^2),1)*IF(AND($A446&gt;='Control Room'!$A$15,$A446&lt;'Control Room'!$A$15+'Control Room'!$B$15,'Process'!BR4=1),1+('Control Room'!$C$15-1)*EXP(-0.5*(($A446-'Control Room'!$A$15-('Control Room'!$B$15-1)/2)/MAX(0.5,'Control Room'!$B$15/4))^2),1)*IF(AND($A446&gt;='Control Room'!$A$16,$A446&lt;'Control Room'!$A$16+'Control Room'!$B$16,'Process'!BR5=1),1+('Control Room'!$C$16-1)*EXP(-0.5*(($A446-'Control Room'!$A$16-('Control Room'!$B$16-1)/2)/MAX(0.5,'Control Room'!$B$16/4))^2),1)</x:f>
        <x:v>1</x:v>
      </x:c>
      <x:c r="AP446" s="9" t="n">
        <x:f>MOD(AQ445*16807,2147483647)</x:f>
        <x:v>483465849</x:v>
      </x:c>
      <x:c r="AQ446" s="9" t="n">
        <x:f>MOD(AP446*16807,2147483647)</x:f>
        <x:v>1679887542</x:v>
      </x:c>
      <x:c r="AR446" s="17" t="n">
        <x:f>IF('Control Room'!$B$5="Normal",'Control Room'!$B$7+'Control Room'!$D$7*SQRT(-2*LN(MAX(0.000000000001,AP446/2147483647)))*COS(2*PI()*AQ446/2147483647),'Control Room'!$B$8+('Control Room'!$D$8-'Control Room'!$B$8)*AP446/2147483647)</x:f>
        <x:v>1031.2863108996692</x:v>
      </x:c>
      <x:c r="AS446" s="17" t="n">
        <x:f>IF('Control Room'!$B$5="Normal",'Control Room'!$B$7,('Control Room'!$B$8+'Control Room'!$D$8)/2)+'Control Room'!$B$9*(AS445-IF('Control Room'!$B$5="Normal",'Control Room'!$B$7,('Control Room'!$B$8+'Control Room'!$D$8)/2))+SQRT(1-'Control Room'!$B$9^2)*(AR446-IF('Control Room'!$B$5="Normal",'Control Room'!$B$7,('Control Room'!$B$8+'Control Room'!$D$8)/2))</x:f>
        <x:v>994.9563043217781</x:v>
      </x:c>
      <x:c r="AT446" s="17" t="n">
        <x:f>IF(AND($A446&gt;='Control Room'!$A$13,$A446&lt;'Control Room'!$A$13+'Control Room'!$B$13,'Process'!BS2=1),1+('Control Room'!$C$13-1)*EXP(-0.5*(($A446-'Control Room'!$A$13-('Control Room'!$B$13-1)/2)/MAX(0.5,'Control Room'!$B$13/4))^2),1)*IF(AND($A446&gt;='Control Room'!$A$14,$A446&lt;'Control Room'!$A$14+'Control Room'!$B$14,'Process'!BS3=1),1+('Control Room'!$C$14-1)*EXP(-0.5*(($A446-'Control Room'!$A$14-('Control Room'!$B$14-1)/2)/MAX(0.5,'Control Room'!$B$14/4))^2),1)*IF(AND($A446&gt;='Control Room'!$A$15,$A446&lt;'Control Room'!$A$15+'Control Room'!$B$15,'Process'!BS4=1),1+('Control Room'!$C$15-1)*EXP(-0.5*(($A446-'Control Room'!$A$15-('Control Room'!$B$15-1)/2)/MAX(0.5,'Control Room'!$B$15/4))^2),1)*IF(AND($A446&gt;='Control Room'!$A$16,$A446&lt;'Control Room'!$A$16+'Control Room'!$B$16,'Process'!BS5=1),1+('Control Room'!$C$16-1)*EXP(-0.5*(($A446-'Control Room'!$A$16-('Control Room'!$B$16-1)/2)/MAX(0.5,'Control Room'!$B$16/4))^2),1)</x:f>
        <x:v>1</x:v>
      </x:c>
      <x:c r="AU446" s="9" t="n">
        <x:f>MOD(AV445*16807,2147483647)</x:f>
        <x:v>616000160</x:v>
      </x:c>
      <x:c r="AV446" s="9" t="n">
        <x:f>MOD(AU446*16807,2147483647)</x:f>
        <x:v>96026933</x:v>
      </x:c>
      <x:c r="AW446" s="17" t="n">
        <x:f>IF('Control Room'!$B$5="Normal",'Control Room'!$B$7+'Control Room'!$D$7*SQRT(-2*LN(MAX(0.000000000001,AU446/2147483647)))*COS(2*PI()*AV446/2147483647),'Control Room'!$B$8+('Control Room'!$D$8-'Control Room'!$B$8)*AU446/2147483647)</x:f>
        <x:v>1136.6574277220116</x:v>
      </x:c>
      <x:c r="AX446" s="17" t="n">
        <x:f>IF('Control Room'!$B$5="Normal",'Control Room'!$B$7,('Control Room'!$B$8+'Control Room'!$D$8)/2)+'Control Room'!$B$9*(AX445-IF('Control Room'!$B$5="Normal",'Control Room'!$B$7,('Control Room'!$B$8+'Control Room'!$D$8)/2))+SQRT(1-'Control Room'!$B$9^2)*(AW446-IF('Control Room'!$B$5="Normal",'Control Room'!$B$7,('Control Room'!$B$8+'Control Room'!$D$8)/2))</x:f>
        <x:v>1067.235269197626</x:v>
      </x:c>
      <x:c r="AY446" s="17" t="n">
        <x:f>IF(AND($A446&gt;='Control Room'!$A$13,$A446&lt;'Control Room'!$A$13+'Control Room'!$B$13,'Process'!BT2=1),1+('Control Room'!$C$13-1)*EXP(-0.5*(($A446-'Control Room'!$A$13-('Control Room'!$B$13-1)/2)/MAX(0.5,'Control Room'!$B$13/4))^2),1)*IF(AND($A446&gt;='Control Room'!$A$14,$A446&lt;'Control Room'!$A$14+'Control Room'!$B$14,'Process'!BT3=1),1+('Control Room'!$C$14-1)*EXP(-0.5*(($A446-'Control Room'!$A$14-('Control Room'!$B$14-1)/2)/MAX(0.5,'Control Room'!$B$14/4))^2),1)*IF(AND($A446&gt;='Control Room'!$A$15,$A446&lt;'Control Room'!$A$15+'Control Room'!$B$15,'Process'!BT4=1),1+('Control Room'!$C$15-1)*EXP(-0.5*(($A446-'Control Room'!$A$15-('Control Room'!$B$15-1)/2)/MAX(0.5,'Control Room'!$B$15/4))^2),1)*IF(AND($A446&gt;='Control Room'!$A$16,$A446&lt;'Control Room'!$A$16+'Control Room'!$B$16,'Process'!BT5=1),1+('Control Room'!$C$16-1)*EXP(-0.5*(($A446-'Control Room'!$A$16-('Control Room'!$B$16-1)/2)/MAX(0.5,'Control Room'!$B$16/4))^2),1)</x:f>
        <x:v>1</x:v>
      </x:c>
      <x:c r="AZ446" s="9" t="n">
        <x:f>MOD(BA445*16807,2147483647)</x:f>
        <x:v>748534471</x:v>
      </x:c>
      <x:c r="BA446" s="9" t="n">
        <x:f>MOD(AZ446*16807,2147483647)</x:f>
        <x:v>659649971</x:v>
      </x:c>
      <x:c r="BB446" s="17" t="n">
        <x:f>IF('Control Room'!$B$5="Normal",'Control Room'!$B$7+'Control Room'!$D$7*SQRT(-2*LN(MAX(0.000000000001,AZ446/2147483647)))*COS(2*PI()*BA446/2147483647),'Control Room'!$B$8+('Control Room'!$D$8-'Control Room'!$B$8)*AZ446/2147483647)</x:f>
        <x:v>954.0635510299196</x:v>
      </x:c>
      <x:c r="BC446" s="17" t="n">
        <x:f>IF('Control Room'!$B$5="Normal",'Control Room'!$B$7,('Control Room'!$B$8+'Control Room'!$D$8)/2)+'Control Room'!$B$9*(BC445-IF('Control Room'!$B$5="Normal",'Control Room'!$B$7,('Control Room'!$B$8+'Control Room'!$D$8)/2))+SQRT(1-'Control Room'!$B$9^2)*(BB446-IF('Control Room'!$B$5="Normal",'Control Room'!$B$7,('Control Room'!$B$8+'Control Room'!$D$8)/2))</x:f>
        <x:v>1086.1798905542503</x:v>
      </x:c>
      <x:c r="BD446" s="17" t="n">
        <x:f>IF(AND($A446&gt;='Control Room'!$A$13,$A446&lt;'Control Room'!$A$13+'Control Room'!$B$13,'Process'!BU2=1),1+('Control Room'!$C$13-1)*EXP(-0.5*(($A446-'Control Room'!$A$13-('Control Room'!$B$13-1)/2)/MAX(0.5,'Control Room'!$B$13/4))^2),1)*IF(AND($A446&gt;='Control Room'!$A$14,$A446&lt;'Control Room'!$A$14+'Control Room'!$B$14,'Process'!BU3=1),1+('Control Room'!$C$14-1)*EXP(-0.5*(($A446-'Control Room'!$A$14-('Control Room'!$B$14-1)/2)/MAX(0.5,'Control Room'!$B$14/4))^2),1)*IF(AND($A446&gt;='Control Room'!$A$15,$A446&lt;'Control Room'!$A$15+'Control Room'!$B$15,'Process'!BU4=1),1+('Control Room'!$C$15-1)*EXP(-0.5*(($A446-'Control Room'!$A$15-('Control Room'!$B$15-1)/2)/MAX(0.5,'Control Room'!$B$15/4))^2),1)*IF(AND($A446&gt;='Control Room'!$A$16,$A446&lt;'Control Room'!$A$16+'Control Room'!$B$16,'Process'!BU5=1),1+('Control Room'!$C$16-1)*EXP(-0.5*(($A446-'Control Room'!$A$16-('Control Room'!$B$16-1)/2)/MAX(0.5,'Control Room'!$B$16/4))^2),1)</x:f>
        <x:v>1</x:v>
      </x:c>
      <x:c r="BE446" s="9" t="n">
        <x:f>MOD(BF445*16807,2147483647)</x:f>
        <x:v>881068782</x:v>
      </x:c>
      <x:c r="BF446" s="9" t="n">
        <x:f>MOD(BE446*16807,2147483647)</x:f>
        <x:v>1223273009</x:v>
      </x:c>
      <x:c r="BG446" s="17" t="n">
        <x:f>IF('Control Room'!$B$5="Normal",'Control Room'!$B$7+'Control Room'!$D$7*SQRT(-2*LN(MAX(0.000000000001,BE446/2147483647)))*COS(2*PI()*BF446/2147483647),'Control Room'!$B$8+('Control Room'!$D$8-'Control Room'!$B$8)*BE446/2147483647)</x:f>
        <x:v>891.1786559631421</x:v>
      </x:c>
      <x:c r="BH446" s="17" t="n">
        <x:f>IF('Control Room'!$B$5="Normal",'Control Room'!$B$7,('Control Room'!$B$8+'Control Room'!$D$8)/2)+'Control Room'!$B$9*(BH445-IF('Control Room'!$B$5="Normal",'Control Room'!$B$7,('Control Room'!$B$8+'Control Room'!$D$8)/2))+SQRT(1-'Control Room'!$B$9^2)*(BG446-IF('Control Room'!$B$5="Normal",'Control Room'!$B$7,('Control Room'!$B$8+'Control Room'!$D$8)/2))</x:f>
        <x:v>827.3749372490607</x:v>
      </x:c>
      <x:c r="BI446" s="17" t="n">
        <x:f>IF(AND($A446&gt;='Control Room'!$A$13,$A446&lt;'Control Room'!$A$13+'Control Room'!$B$13,'Process'!BV2=1),1+('Control Room'!$C$13-1)*EXP(-0.5*(($A446-'Control Room'!$A$13-('Control Room'!$B$13-1)/2)/MAX(0.5,'Control Room'!$B$13/4))^2),1)*IF(AND($A446&gt;='Control Room'!$A$14,$A446&lt;'Control Room'!$A$14+'Control Room'!$B$14,'Process'!BV3=1),1+('Control Room'!$C$14-1)*EXP(-0.5*(($A446-'Control Room'!$A$14-('Control Room'!$B$14-1)/2)/MAX(0.5,'Control Room'!$B$14/4))^2),1)*IF(AND($A446&gt;='Control Room'!$A$15,$A446&lt;'Control Room'!$A$15+'Control Room'!$B$15,'Process'!BV4=1),1+('Control Room'!$C$15-1)*EXP(-0.5*(($A446-'Control Room'!$A$15-('Control Room'!$B$15-1)/2)/MAX(0.5,'Control Room'!$B$15/4))^2),1)*IF(AND($A446&gt;='Control Room'!$A$16,$A446&lt;'Control Room'!$A$16+'Control Room'!$B$16,'Process'!BV5=1),1+('Control Room'!$C$16-1)*EXP(-0.5*(($A446-'Control Room'!$A$16-('Control Room'!$B$16-1)/2)/MAX(0.5,'Control Room'!$B$16/4))^2),1)</x:f>
        <x:v>1</x:v>
      </x:c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Z446" t="str">
        <x:f>IF('Data'!A446="","",TEXT('Data'!A446,"mm-dd"))</x:f>
      </x:c>
    </x:row>
    <x:row r="447" ht="21" customHeight="1">
      <x:c r="A447" s="15" t="n">
        <x:f>'Control Room'!$B$1+445</x:f>
        <x:v>73436</x:v>
      </x:c>
      <x:c r="B447" s="9" t="n">
        <x:f>MOD(C446*16807,2147483647)</x:f>
        <x:v>953632940</x:v>
      </x:c>
      <x:c r="C447" s="9" t="n">
        <x:f>MOD(B447*16807,2147483647)</x:f>
        <x:v>1038365019</x:v>
      </x:c>
      <x:c r="D447" s="17" t="n">
        <x:f>IF('Control Room'!$B$5="Normal",'Control Room'!$B$7+'Control Room'!$D$7*SQRT(-2*LN(MAX(0.000000000001,B447/2147483647)))*COS(2*PI()*C447/2147483647),'Control Room'!$B$8+('Control Room'!$D$8-'Control Room'!$B$8)*B447/2147483647)</x:f>
        <x:v>885.9371397402602</x:v>
      </x:c>
      <x:c r="E447" s="17" t="n">
        <x:f>IF('Control Room'!$B$5="Normal",'Control Room'!$B$7,('Control Room'!$B$8+'Control Room'!$D$8)/2)+'Control Room'!$B$9*(E446-IF('Control Room'!$B$5="Normal",'Control Room'!$B$7,('Control Room'!$B$8+'Control Room'!$D$8)/2))+SQRT(1-'Control Room'!$B$9^2)*(D447-IF('Control Room'!$B$5="Normal",'Control Room'!$B$7,('Control Room'!$B$8+'Control Room'!$D$8)/2))</x:f>
        <x:v>848.8454643265098</x:v>
      </x:c>
      <x:c r="F447" s="17" t="n">
        <x:f>IF(AND($A447&gt;='Control Room'!$A$13,$A447&lt;'Control Room'!$A$13+'Control Room'!$B$13,'Process'!BK2=1),1+('Control Room'!$C$13-1)*EXP(-0.5*(($A447-'Control Room'!$A$13-('Control Room'!$B$13-1)/2)/MAX(0.5,'Control Room'!$B$13/4))^2),1)*IF(AND($A447&gt;='Control Room'!$A$14,$A447&lt;'Control Room'!$A$14+'Control Room'!$B$14,'Process'!BK3=1),1+('Control Room'!$C$14-1)*EXP(-0.5*(($A447-'Control Room'!$A$14-('Control Room'!$B$14-1)/2)/MAX(0.5,'Control Room'!$B$14/4))^2),1)*IF(AND($A447&gt;='Control Room'!$A$15,$A447&lt;'Control Room'!$A$15+'Control Room'!$B$15,'Process'!BK4=1),1+('Control Room'!$C$15-1)*EXP(-0.5*(($A447-'Control Room'!$A$15-('Control Room'!$B$15-1)/2)/MAX(0.5,'Control Room'!$B$15/4))^2),1)*IF(AND($A447&gt;='Control Room'!$A$16,$A447&lt;'Control Room'!$A$16+'Control Room'!$B$16,'Process'!BK5=1),1+('Control Room'!$C$16-1)*EXP(-0.5*(($A447-'Control Room'!$A$16-('Control Room'!$B$16-1)/2)/MAX(0.5,'Control Room'!$B$16/4))^2),1)</x:f>
        <x:v>1</x:v>
      </x:c>
      <x:c r="G447" s="9" t="n">
        <x:f>MOD(H446*16807,2147483647)</x:f>
        <x:v>1215665689</x:v>
      </x:c>
      <x:c r="H447" s="9" t="n">
        <x:f>MOD(G447*16807,2147483647)</x:f>
        <x:v>533817465</x:v>
      </x:c>
      <x:c r="I447" s="17" t="n">
        <x:f>IF('Control Room'!$B$5="Normal",'Control Room'!$B$7+'Control Room'!$D$7*SQRT(-2*LN(MAX(0.000000000001,G447/2147483647)))*COS(2*PI()*H447/2147483647),'Control Room'!$B$8+('Control Room'!$D$8-'Control Room'!$B$8)*G447/2147483647)</x:f>
        <x:v>1000.8577290169736</x:v>
      </x:c>
      <x:c r="J447" s="17" t="n">
        <x:f>IF('Control Room'!$B$5="Normal",'Control Room'!$B$7,('Control Room'!$B$8+'Control Room'!$D$8)/2)+'Control Room'!$B$9*(J446-IF('Control Room'!$B$5="Normal",'Control Room'!$B$7,('Control Room'!$B$8+'Control Room'!$D$8)/2))+SQRT(1-'Control Room'!$B$9^2)*(I447-IF('Control Room'!$B$5="Normal",'Control Room'!$B$7,('Control Room'!$B$8+'Control Room'!$D$8)/2))</x:f>
        <x:v>1025.9199927950383</x:v>
      </x:c>
      <x:c r="K447" s="17" t="n">
        <x:f>IF(AND($A447&gt;='Control Room'!$A$13,$A447&lt;'Control Room'!$A$13+'Control Room'!$B$13,'Process'!BL2=1),1+('Control Room'!$C$13-1)*EXP(-0.5*(($A447-'Control Room'!$A$13-('Control Room'!$B$13-1)/2)/MAX(0.5,'Control Room'!$B$13/4))^2),1)*IF(AND($A447&gt;='Control Room'!$A$14,$A447&lt;'Control Room'!$A$14+'Control Room'!$B$14,'Process'!BL3=1),1+('Control Room'!$C$14-1)*EXP(-0.5*(($A447-'Control Room'!$A$14-('Control Room'!$B$14-1)/2)/MAX(0.5,'Control Room'!$B$14/4))^2),1)*IF(AND($A447&gt;='Control Room'!$A$15,$A447&lt;'Control Room'!$A$15+'Control Room'!$B$15,'Process'!BL4=1),1+('Control Room'!$C$15-1)*EXP(-0.5*(($A447-'Control Room'!$A$15-('Control Room'!$B$15-1)/2)/MAX(0.5,'Control Room'!$B$15/4))^2),1)*IF(AND($A447&gt;='Control Room'!$A$16,$A447&lt;'Control Room'!$A$16+'Control Room'!$B$16,'Process'!BL5=1),1+('Control Room'!$C$16-1)*EXP(-0.5*(($A447-'Control Room'!$A$16-('Control Room'!$B$16-1)/2)/MAX(0.5,'Control Room'!$B$16/4))^2),1)</x:f>
        <x:v>1</x:v>
      </x:c>
      <x:c r="L447" s="9" t="n">
        <x:f>MOD(M446*16807,2147483647)</x:f>
        <x:v>1477698438</x:v>
      </x:c>
      <x:c r="M447" s="9" t="n">
        <x:f>MOD(L447*16807,2147483647)</x:f>
        <x:v>29269911</x:v>
      </x:c>
      <x:c r="N447" s="17" t="n">
        <x:f>IF('Control Room'!$B$5="Normal",'Control Room'!$B$7+'Control Room'!$D$7*SQRT(-2*LN(MAX(0.000000000001,L447/2147483647)))*COS(2*PI()*M447/2147483647),'Control Room'!$B$8+('Control Room'!$D$8-'Control Room'!$B$8)*L447/2147483647)</x:f>
        <x:v>1077.5334351298754</x:v>
      </x:c>
      <x:c r="O447" s="17" t="n">
        <x:f>IF('Control Room'!$B$5="Normal",'Control Room'!$B$7,('Control Room'!$B$8+'Control Room'!$D$8)/2)+'Control Room'!$B$9*(O446-IF('Control Room'!$B$5="Normal",'Control Room'!$B$7,('Control Room'!$B$8+'Control Room'!$D$8)/2))+SQRT(1-'Control Room'!$B$9^2)*(N447-IF('Control Room'!$B$5="Normal",'Control Room'!$B$7,('Control Room'!$B$8+'Control Room'!$D$8)/2))</x:f>
        <x:v>1078.6764887214404</x:v>
      </x:c>
      <x:c r="P447" s="17" t="n">
        <x:f>IF(AND($A447&gt;='Control Room'!$A$13,$A447&lt;'Control Room'!$A$13+'Control Room'!$B$13,'Process'!BM2=1),1+('Control Room'!$C$13-1)*EXP(-0.5*(($A447-'Control Room'!$A$13-('Control Room'!$B$13-1)/2)/MAX(0.5,'Control Room'!$B$13/4))^2),1)*IF(AND($A447&gt;='Control Room'!$A$14,$A447&lt;'Control Room'!$A$14+'Control Room'!$B$14,'Process'!BM3=1),1+('Control Room'!$C$14-1)*EXP(-0.5*(($A447-'Control Room'!$A$14-('Control Room'!$B$14-1)/2)/MAX(0.5,'Control Room'!$B$14/4))^2),1)*IF(AND($A447&gt;='Control Room'!$A$15,$A447&lt;'Control Room'!$A$15+'Control Room'!$B$15,'Process'!BM4=1),1+('Control Room'!$C$15-1)*EXP(-0.5*(($A447-'Control Room'!$A$15-('Control Room'!$B$15-1)/2)/MAX(0.5,'Control Room'!$B$15/4))^2),1)*IF(AND($A447&gt;='Control Room'!$A$16,$A447&lt;'Control Room'!$A$16+'Control Room'!$B$16,'Process'!BM5=1),1+('Control Room'!$C$16-1)*EXP(-0.5*(($A447-'Control Room'!$A$16-('Control Room'!$B$16-1)/2)/MAX(0.5,'Control Room'!$B$16/4))^2),1)</x:f>
        <x:v>1</x:v>
      </x:c>
      <x:c r="Q447" s="9" t="n">
        <x:f>MOD(R446*16807,2147483647)</x:f>
        <x:v>1739731187</x:v>
      </x:c>
      <x:c r="R447" s="9" t="n">
        <x:f>MOD(Q447*16807,2147483647)</x:f>
        <x:v>1672206004</x:v>
      </x:c>
      <x:c r="S447" s="17" t="n">
        <x:f>IF('Control Room'!$B$5="Normal",'Control Room'!$B$7+'Control Room'!$D$7*SQRT(-2*LN(MAX(0.000000000001,Q447/2147483647)))*COS(2*PI()*R447/2147483647),'Control Room'!$B$8+('Control Room'!$D$8-'Control Room'!$B$8)*Q447/2147483647)</x:f>
        <x:v>1010.4684353963954</x:v>
      </x:c>
      <x:c r="T447" s="17" t="n">
        <x:f>IF('Control Room'!$B$5="Normal",'Control Room'!$B$7,('Control Room'!$B$8+'Control Room'!$D$8)/2)+'Control Room'!$B$9*(T446-IF('Control Room'!$B$5="Normal",'Control Room'!$B$7,('Control Room'!$B$8+'Control Room'!$D$8)/2))+SQRT(1-'Control Room'!$B$9^2)*(S447-IF('Control Room'!$B$5="Normal",'Control Room'!$B$7,('Control Room'!$B$8+'Control Room'!$D$8)/2))</x:f>
        <x:v>1005.4897439631135</x:v>
      </x:c>
      <x:c r="U447" s="17" t="n">
        <x:f>IF(AND($A447&gt;='Control Room'!$A$13,$A447&lt;'Control Room'!$A$13+'Control Room'!$B$13,'Process'!BN2=1),1+('Control Room'!$C$13-1)*EXP(-0.5*(($A447-'Control Room'!$A$13-('Control Room'!$B$13-1)/2)/MAX(0.5,'Control Room'!$B$13/4))^2),1)*IF(AND($A447&gt;='Control Room'!$A$14,$A447&lt;'Control Room'!$A$14+'Control Room'!$B$14,'Process'!BN3=1),1+('Control Room'!$C$14-1)*EXP(-0.5*(($A447-'Control Room'!$A$14-('Control Room'!$B$14-1)/2)/MAX(0.5,'Control Room'!$B$14/4))^2),1)*IF(AND($A447&gt;='Control Room'!$A$15,$A447&lt;'Control Room'!$A$15+'Control Room'!$B$15,'Process'!BN4=1),1+('Control Room'!$C$15-1)*EXP(-0.5*(($A447-'Control Room'!$A$15-('Control Room'!$B$15-1)/2)/MAX(0.5,'Control Room'!$B$15/4))^2),1)*IF(AND($A447&gt;='Control Room'!$A$16,$A447&lt;'Control Room'!$A$16+'Control Room'!$B$16,'Process'!BN5=1),1+('Control Room'!$C$16-1)*EXP(-0.5*(($A447-'Control Room'!$A$16-('Control Room'!$B$16-1)/2)/MAX(0.5,'Control Room'!$B$16/4))^2),1)</x:f>
        <x:v>1</x:v>
      </x:c>
      <x:c r="V447" s="9" t="n">
        <x:f>MOD(W446*16807,2147483647)</x:f>
        <x:v>2001763936</x:v>
      </x:c>
      <x:c r="W447" s="9" t="n">
        <x:f>MOD(V447*16807,2147483647)</x:f>
        <x:v>1167658450</x:v>
      </x:c>
      <x:c r="X447" s="17" t="n">
        <x:f>IF('Control Room'!$B$5="Normal",'Control Room'!$B$7+'Control Room'!$D$7*SQRT(-2*LN(MAX(0.000000000001,V447/2147483647)))*COS(2*PI()*W447/2147483647),'Control Room'!$B$8+('Control Room'!$D$8-'Control Room'!$B$8)*V447/2147483647)</x:f>
        <x:v>967.5264577526264</x:v>
      </x:c>
      <x:c r="Y447" s="17" t="n">
        <x:f>IF('Control Room'!$B$5="Normal",'Control Room'!$B$7,('Control Room'!$B$8+'Control Room'!$D$8)/2)+'Control Room'!$B$9*(Y446-IF('Control Room'!$B$5="Normal",'Control Room'!$B$7,('Control Room'!$B$8+'Control Room'!$D$8)/2))+SQRT(1-'Control Room'!$B$9^2)*(X447-IF('Control Room'!$B$5="Normal",'Control Room'!$B$7,('Control Room'!$B$8+'Control Room'!$D$8)/2))</x:f>
        <x:v>960.8579279558013</x:v>
      </x:c>
      <x:c r="Z447" s="17" t="n">
        <x:f>IF(AND($A447&gt;='Control Room'!$A$13,$A447&lt;'Control Room'!$A$13+'Control Room'!$B$13,'Process'!BO2=1),1+('Control Room'!$C$13-1)*EXP(-0.5*(($A447-'Control Room'!$A$13-('Control Room'!$B$13-1)/2)/MAX(0.5,'Control Room'!$B$13/4))^2),1)*IF(AND($A447&gt;='Control Room'!$A$14,$A447&lt;'Control Room'!$A$14+'Control Room'!$B$14,'Process'!BO3=1),1+('Control Room'!$C$14-1)*EXP(-0.5*(($A447-'Control Room'!$A$14-('Control Room'!$B$14-1)/2)/MAX(0.5,'Control Room'!$B$14/4))^2),1)*IF(AND($A447&gt;='Control Room'!$A$15,$A447&lt;'Control Room'!$A$15+'Control Room'!$B$15,'Process'!BO4=1),1+('Control Room'!$C$15-1)*EXP(-0.5*(($A447-'Control Room'!$A$15-('Control Room'!$B$15-1)/2)/MAX(0.5,'Control Room'!$B$15/4))^2),1)*IF(AND($A447&gt;='Control Room'!$A$16,$A447&lt;'Control Room'!$A$16+'Control Room'!$B$16,'Process'!BO5=1),1+('Control Room'!$C$16-1)*EXP(-0.5*(($A447-'Control Room'!$A$16-('Control Room'!$B$16-1)/2)/MAX(0.5,'Control Room'!$B$16/4))^2),1)</x:f>
        <x:v>1</x:v>
      </x:c>
      <x:c r="AA447" s="9" t="n">
        <x:f>MOD(AB446*16807,2147483647)</x:f>
        <x:v>116313038</x:v>
      </x:c>
      <x:c r="AB447" s="9" t="n">
        <x:f>MOD(AA447*16807,2147483647)</x:f>
        <x:v>663110896</x:v>
      </x:c>
      <x:c r="AC447" s="17" t="n">
        <x:f>IF('Control Room'!$B$5="Normal",'Control Room'!$B$7+'Control Room'!$D$7*SQRT(-2*LN(MAX(0.000000000001,AA447/2147483647)))*COS(2*PI()*AB447/2147483647),'Control Room'!$B$8+('Control Room'!$D$8-'Control Room'!$B$8)*AA447/2147483647)</x:f>
        <x:v>921.5377470955857</x:v>
      </x:c>
      <x:c r="AD447" s="17" t="n">
        <x:f>IF('Control Room'!$B$5="Normal",'Control Room'!$B$7,('Control Room'!$B$8+'Control Room'!$D$8)/2)+'Control Room'!$B$9*(AD446-IF('Control Room'!$B$5="Normal",'Control Room'!$B$7,('Control Room'!$B$8+'Control Room'!$D$8)/2))+SQRT(1-'Control Room'!$B$9^2)*(AC447-IF('Control Room'!$B$5="Normal",'Control Room'!$B$7,('Control Room'!$B$8+'Control Room'!$D$8)/2))</x:f>
        <x:v>1081.1411741471172</x:v>
      </x:c>
      <x:c r="AE447" s="17" t="n">
        <x:f>IF(AND($A447&gt;='Control Room'!$A$13,$A447&lt;'Control Room'!$A$13+'Control Room'!$B$13,'Process'!BP2=1),1+('Control Room'!$C$13-1)*EXP(-0.5*(($A447-'Control Room'!$A$13-('Control Room'!$B$13-1)/2)/MAX(0.5,'Control Room'!$B$13/4))^2),1)*IF(AND($A447&gt;='Control Room'!$A$14,$A447&lt;'Control Room'!$A$14+'Control Room'!$B$14,'Process'!BP3=1),1+('Control Room'!$C$14-1)*EXP(-0.5*(($A447-'Control Room'!$A$14-('Control Room'!$B$14-1)/2)/MAX(0.5,'Control Room'!$B$14/4))^2),1)*IF(AND($A447&gt;='Control Room'!$A$15,$A447&lt;'Control Room'!$A$15+'Control Room'!$B$15,'Process'!BP4=1),1+('Control Room'!$C$15-1)*EXP(-0.5*(($A447-'Control Room'!$A$15-('Control Room'!$B$15-1)/2)/MAX(0.5,'Control Room'!$B$15/4))^2),1)*IF(AND($A447&gt;='Control Room'!$A$16,$A447&lt;'Control Room'!$A$16+'Control Room'!$B$16,'Process'!BP5=1),1+('Control Room'!$C$16-1)*EXP(-0.5*(($A447-'Control Room'!$A$16-('Control Room'!$B$16-1)/2)/MAX(0.5,'Control Room'!$B$16/4))^2),1)</x:f>
        <x:v>1</x:v>
      </x:c>
      <x:c r="AF447" s="9" t="n">
        <x:f>MOD(AG446*16807,2147483647)</x:f>
        <x:v>378345787</x:v>
      </x:c>
      <x:c r="AG447" s="9" t="n">
        <x:f>MOD(AF447*16807,2147483647)</x:f>
        <x:v>158563342</x:v>
      </x:c>
      <x:c r="AH447" s="17" t="n">
        <x:f>IF('Control Room'!$B$5="Normal",'Control Room'!$B$7+'Control Room'!$D$7*SQRT(-2*LN(MAX(0.000000000001,AF447/2147483647)))*COS(2*PI()*AG447/2147483647),'Control Room'!$B$8+('Control Room'!$D$8-'Control Room'!$B$8)*AF447/2147483647)</x:f>
        <x:v>1149.984505168295</x:v>
      </x:c>
      <x:c r="AI447" s="17" t="n">
        <x:f>IF('Control Room'!$B$5="Normal",'Control Room'!$B$7,('Control Room'!$B$8+'Control Room'!$D$8)/2)+'Control Room'!$B$9*(AI446-IF('Control Room'!$B$5="Normal",'Control Room'!$B$7,('Control Room'!$B$8+'Control Room'!$D$8)/2))+SQRT(1-'Control Room'!$B$9^2)*(AH447-IF('Control Room'!$B$5="Normal",'Control Room'!$B$7,('Control Room'!$B$8+'Control Room'!$D$8)/2))</x:f>
        <x:v>1121.0577425422357</x:v>
      </x:c>
      <x:c r="AJ447" s="17" t="n">
        <x:f>IF(AND($A447&gt;='Control Room'!$A$13,$A447&lt;'Control Room'!$A$13+'Control Room'!$B$13,'Process'!BQ2=1),1+('Control Room'!$C$13-1)*EXP(-0.5*(($A447-'Control Room'!$A$13-('Control Room'!$B$13-1)/2)/MAX(0.5,'Control Room'!$B$13/4))^2),1)*IF(AND($A447&gt;='Control Room'!$A$14,$A447&lt;'Control Room'!$A$14+'Control Room'!$B$14,'Process'!BQ3=1),1+('Control Room'!$C$14-1)*EXP(-0.5*(($A447-'Control Room'!$A$14-('Control Room'!$B$14-1)/2)/MAX(0.5,'Control Room'!$B$14/4))^2),1)*IF(AND($A447&gt;='Control Room'!$A$15,$A447&lt;'Control Room'!$A$15+'Control Room'!$B$15,'Process'!BQ4=1),1+('Control Room'!$C$15-1)*EXP(-0.5*(($A447-'Control Room'!$A$15-('Control Room'!$B$15-1)/2)/MAX(0.5,'Control Room'!$B$15/4))^2),1)*IF(AND($A447&gt;='Control Room'!$A$16,$A447&lt;'Control Room'!$A$16+'Control Room'!$B$16,'Process'!BQ5=1),1+('Control Room'!$C$16-1)*EXP(-0.5*(($A447-'Control Room'!$A$16-('Control Room'!$B$16-1)/2)/MAX(0.5,'Control Room'!$B$16/4))^2),1)</x:f>
        <x:v>1</x:v>
      </x:c>
      <x:c r="AK447" s="9" t="n">
        <x:f>MOD(AL446*16807,2147483647)</x:f>
        <x:v>640378536</x:v>
      </x:c>
      <x:c r="AL447" s="9" t="n">
        <x:f>MOD(AK447*16807,2147483647)</x:f>
        <x:v>1801499435</x:v>
      </x:c>
      <x:c r="AM447" s="17" t="n">
        <x:f>IF('Control Room'!$B$5="Normal",'Control Room'!$B$7+'Control Room'!$D$7*SQRT(-2*LN(MAX(0.000000000001,AK447/2147483647)))*COS(2*PI()*AL447/2147483647),'Control Room'!$B$8+('Control Room'!$D$8-'Control Room'!$B$8)*AK447/2147483647)</x:f>
        <x:v>1074.1919988746358</x:v>
      </x:c>
      <x:c r="AN447" s="17" t="n">
        <x:f>IF('Control Room'!$B$5="Normal",'Control Room'!$B$7,('Control Room'!$B$8+'Control Room'!$D$8)/2)+'Control Room'!$B$9*(AN446-IF('Control Room'!$B$5="Normal",'Control Room'!$B$7,('Control Room'!$B$8+'Control Room'!$D$8)/2))+SQRT(1-'Control Room'!$B$9^2)*(AM447-IF('Control Room'!$B$5="Normal",'Control Room'!$B$7,('Control Room'!$B$8+'Control Room'!$D$8)/2))</x:f>
        <x:v>937.6751589221791</x:v>
      </x:c>
      <x:c r="AO447" s="17" t="n">
        <x:f>IF(AND($A447&gt;='Control Room'!$A$13,$A447&lt;'Control Room'!$A$13+'Control Room'!$B$13,'Process'!BR2=1),1+('Control Room'!$C$13-1)*EXP(-0.5*(($A447-'Control Room'!$A$13-('Control Room'!$B$13-1)/2)/MAX(0.5,'Control Room'!$B$13/4))^2),1)*IF(AND($A447&gt;='Control Room'!$A$14,$A447&lt;'Control Room'!$A$14+'Control Room'!$B$14,'Process'!BR3=1),1+('Control Room'!$C$14-1)*EXP(-0.5*(($A447-'Control Room'!$A$14-('Control Room'!$B$14-1)/2)/MAX(0.5,'Control Room'!$B$14/4))^2),1)*IF(AND($A447&gt;='Control Room'!$A$15,$A447&lt;'Control Room'!$A$15+'Control Room'!$B$15,'Process'!BR4=1),1+('Control Room'!$C$15-1)*EXP(-0.5*(($A447-'Control Room'!$A$15-('Control Room'!$B$15-1)/2)/MAX(0.5,'Control Room'!$B$15/4))^2),1)*IF(AND($A447&gt;='Control Room'!$A$16,$A447&lt;'Control Room'!$A$16+'Control Room'!$B$16,'Process'!BR5=1),1+('Control Room'!$C$16-1)*EXP(-0.5*(($A447-'Control Room'!$A$16-('Control Room'!$B$16-1)/2)/MAX(0.5,'Control Room'!$B$16/4))^2),1)</x:f>
        <x:v>1</x:v>
      </x:c>
      <x:c r="AP447" s="9" t="n">
        <x:f>MOD(AQ446*16807,2147483647)</x:f>
        <x:v>902411285</x:v>
      </x:c>
      <x:c r="AQ447" s="9" t="n">
        <x:f>MOD(AP447*16807,2147483647)</x:f>
        <x:v>1296951881</x:v>
      </x:c>
      <x:c r="AR447" s="17" t="n">
        <x:f>IF('Control Room'!$B$5="Normal",'Control Room'!$B$7+'Control Room'!$D$7*SQRT(-2*LN(MAX(0.000000000001,AP447/2147483647)))*COS(2*PI()*AQ447/2147483647),'Control Room'!$B$8+('Control Room'!$D$8-'Control Room'!$B$8)*AP447/2147483647)</x:f>
        <x:v>905.8755544926735</x:v>
      </x:c>
      <x:c r="AS447" s="17" t="n">
        <x:f>IF('Control Room'!$B$5="Normal",'Control Room'!$B$7,('Control Room'!$B$8+'Control Room'!$D$8)/2)+'Control Room'!$B$9*(AS446-IF('Control Room'!$B$5="Normal",'Control Room'!$B$7,('Control Room'!$B$8+'Control Room'!$D$8)/2))+SQRT(1-'Control Room'!$B$9^2)*(AR447-IF('Control Room'!$B$5="Normal",'Control Room'!$B$7,('Control Room'!$B$8+'Control Room'!$D$8)/2))</x:f>
        <x:v>937.1647676165777</x:v>
      </x:c>
      <x:c r="AT447" s="17" t="n">
        <x:f>IF(AND($A447&gt;='Control Room'!$A$13,$A447&lt;'Control Room'!$A$13+'Control Room'!$B$13,'Process'!BS2=1),1+('Control Room'!$C$13-1)*EXP(-0.5*(($A447-'Control Room'!$A$13-('Control Room'!$B$13-1)/2)/MAX(0.5,'Control Room'!$B$13/4))^2),1)*IF(AND($A447&gt;='Control Room'!$A$14,$A447&lt;'Control Room'!$A$14+'Control Room'!$B$14,'Process'!BS3=1),1+('Control Room'!$C$14-1)*EXP(-0.5*(($A447-'Control Room'!$A$14-('Control Room'!$B$14-1)/2)/MAX(0.5,'Control Room'!$B$14/4))^2),1)*IF(AND($A447&gt;='Control Room'!$A$15,$A447&lt;'Control Room'!$A$15+'Control Room'!$B$15,'Process'!BS4=1),1+('Control Room'!$C$15-1)*EXP(-0.5*(($A447-'Control Room'!$A$15-('Control Room'!$B$15-1)/2)/MAX(0.5,'Control Room'!$B$15/4))^2),1)*IF(AND($A447&gt;='Control Room'!$A$16,$A447&lt;'Control Room'!$A$16+'Control Room'!$B$16,'Process'!BS5=1),1+('Control Room'!$C$16-1)*EXP(-0.5*(($A447-'Control Room'!$A$16-('Control Room'!$B$16-1)/2)/MAX(0.5,'Control Room'!$B$16/4))^2),1)</x:f>
        <x:v>1</x:v>
      </x:c>
      <x:c r="AU447" s="9" t="n">
        <x:f>MOD(AV446*16807,2147483647)</x:f>
        <x:v>1164444034</x:v>
      </x:c>
      <x:c r="AV447" s="9" t="n">
        <x:f>MOD(AU447*16807,2147483647)</x:f>
        <x:v>792404327</x:v>
      </x:c>
      <x:c r="AW447" s="17" t="n">
        <x:f>IF('Control Room'!$B$5="Normal",'Control Room'!$B$7+'Control Room'!$D$7*SQRT(-2*LN(MAX(0.000000000001,AU447/2147483647)))*COS(2*PI()*AV447/2147483647),'Control Room'!$B$8+('Control Room'!$D$8-'Control Room'!$B$8)*AU447/2147483647)</x:f>
        <x:v>932.2970368775518</x:v>
      </x:c>
      <x:c r="AX447" s="17" t="n">
        <x:f>IF('Control Room'!$B$5="Normal",'Control Room'!$B$7,('Control Room'!$B$8+'Control Room'!$D$8)/2)+'Control Room'!$B$9*(AX446-IF('Control Room'!$B$5="Normal",'Control Room'!$B$7,('Control Room'!$B$8+'Control Room'!$D$8)/2))+SQRT(1-'Control Room'!$B$9^2)*(AW447-IF('Control Room'!$B$5="Normal",'Control Room'!$B$7,('Control Room'!$B$8+'Control Room'!$D$8)/2))</x:f>
        <x:v>1010.0763826227081</x:v>
      </x:c>
      <x:c r="AY447" s="17" t="n">
        <x:f>IF(AND($A447&gt;='Control Room'!$A$13,$A447&lt;'Control Room'!$A$13+'Control Room'!$B$13,'Process'!BT2=1),1+('Control Room'!$C$13-1)*EXP(-0.5*(($A447-'Control Room'!$A$13-('Control Room'!$B$13-1)/2)/MAX(0.5,'Control Room'!$B$13/4))^2),1)*IF(AND($A447&gt;='Control Room'!$A$14,$A447&lt;'Control Room'!$A$14+'Control Room'!$B$14,'Process'!BT3=1),1+('Control Room'!$C$14-1)*EXP(-0.5*(($A447-'Control Room'!$A$14-('Control Room'!$B$14-1)/2)/MAX(0.5,'Control Room'!$B$14/4))^2),1)*IF(AND($A447&gt;='Control Room'!$A$15,$A447&lt;'Control Room'!$A$15+'Control Room'!$B$15,'Process'!BT4=1),1+('Control Room'!$C$15-1)*EXP(-0.5*(($A447-'Control Room'!$A$15-('Control Room'!$B$15-1)/2)/MAX(0.5,'Control Room'!$B$15/4))^2),1)*IF(AND($A447&gt;='Control Room'!$A$16,$A447&lt;'Control Room'!$A$16+'Control Room'!$B$16,'Process'!BT5=1),1+('Control Room'!$C$16-1)*EXP(-0.5*(($A447-'Control Room'!$A$16-('Control Room'!$B$16-1)/2)/MAX(0.5,'Control Room'!$B$16/4))^2),1)</x:f>
        <x:v>1</x:v>
      </x:c>
      <x:c r="AZ447" s="9" t="n">
        <x:f>MOD(BA446*16807,2147483647)</x:f>
        <x:v>1426476783</x:v>
      </x:c>
      <x:c r="BA447" s="9" t="n">
        <x:f>MOD(AZ447*16807,2147483647)</x:f>
        <x:v>287856773</x:v>
      </x:c>
      <x:c r="BB447" s="17" t="n">
        <x:f>IF('Control Room'!$B$5="Normal",'Control Room'!$B$7+'Control Room'!$D$7*SQRT(-2*LN(MAX(0.000000000001,AZ447/2147483647)))*COS(2*PI()*BA447/2147483647),'Control Room'!$B$8+('Control Room'!$D$8-'Control Room'!$B$8)*AZ447/2147483647)</x:f>
        <x:v>1054.2019221591772</x:v>
      </x:c>
      <x:c r="BC447" s="17" t="n">
        <x:f>IF('Control Room'!$B$5="Normal",'Control Room'!$B$7,('Control Room'!$B$8+'Control Room'!$D$8)/2)+'Control Room'!$B$9*(BC446-IF('Control Room'!$B$5="Normal",'Control Room'!$B$7,('Control Room'!$B$8+'Control Room'!$D$8)/2))+SQRT(1-'Control Room'!$B$9^2)*(BB447-IF('Control Room'!$B$5="Normal",'Control Room'!$B$7,('Control Room'!$B$8+'Control Room'!$D$8)/2))</x:f>
        <x:v>1101.138767132798</x:v>
      </x:c>
      <x:c r="BD447" s="17" t="n">
        <x:f>IF(AND($A447&gt;='Control Room'!$A$13,$A447&lt;'Control Room'!$A$13+'Control Room'!$B$13,'Process'!BU2=1),1+('Control Room'!$C$13-1)*EXP(-0.5*(($A447-'Control Room'!$A$13-('Control Room'!$B$13-1)/2)/MAX(0.5,'Control Room'!$B$13/4))^2),1)*IF(AND($A447&gt;='Control Room'!$A$14,$A447&lt;'Control Room'!$A$14+'Control Room'!$B$14,'Process'!BU3=1),1+('Control Room'!$C$14-1)*EXP(-0.5*(($A447-'Control Room'!$A$14-('Control Room'!$B$14-1)/2)/MAX(0.5,'Control Room'!$B$14/4))^2),1)*IF(AND($A447&gt;='Control Room'!$A$15,$A447&lt;'Control Room'!$A$15+'Control Room'!$B$15,'Process'!BU4=1),1+('Control Room'!$C$15-1)*EXP(-0.5*(($A447-'Control Room'!$A$15-('Control Room'!$B$15-1)/2)/MAX(0.5,'Control Room'!$B$15/4))^2),1)*IF(AND($A447&gt;='Control Room'!$A$16,$A447&lt;'Control Room'!$A$16+'Control Room'!$B$16,'Process'!BU5=1),1+('Control Room'!$C$16-1)*EXP(-0.5*(($A447-'Control Room'!$A$16-('Control Room'!$B$16-1)/2)/MAX(0.5,'Control Room'!$B$16/4))^2),1)</x:f>
        <x:v>1</x:v>
      </x:c>
      <x:c r="BE447" s="9" t="n">
        <x:f>MOD(BF446*16807,2147483647)</x:f>
        <x:v>1688509532</x:v>
      </x:c>
      <x:c r="BF447" s="9" t="n">
        <x:f>MOD(BE447*16807,2147483647)</x:f>
        <x:v>1930792866</x:v>
      </x:c>
      <x:c r="BG447" s="17" t="n">
        <x:f>IF('Control Room'!$B$5="Normal",'Control Room'!$B$7+'Control Room'!$D$7*SQRT(-2*LN(MAX(0.000000000001,BE447/2147483647)))*COS(2*PI()*BF447/2147483647),'Control Room'!$B$8+('Control Room'!$D$8-'Control Room'!$B$8)*BE447/2147483647)</x:f>
        <x:v>1050.28333340654</x:v>
      </x:c>
      <x:c r="BH447" s="17" t="n">
        <x:f>IF('Control Room'!$B$5="Normal",'Control Room'!$B$7,('Control Room'!$B$8+'Control Room'!$D$8)/2)+'Control Room'!$B$9*(BH446-IF('Control Room'!$B$5="Normal",'Control Room'!$B$7,('Control Room'!$B$8+'Control Room'!$D$8)/2))+SQRT(1-'Control Room'!$B$9^2)*(BG447-IF('Control Room'!$B$5="Normal",'Control Room'!$B$7,('Control Room'!$B$8+'Control Room'!$D$8)/2))</x:f>
        <x:v>896.8187309900037</x:v>
      </x:c>
      <x:c r="BI447" s="17" t="n">
        <x:f>IF(AND($A447&gt;='Control Room'!$A$13,$A447&lt;'Control Room'!$A$13+'Control Room'!$B$13,'Process'!BV2=1),1+('Control Room'!$C$13-1)*EXP(-0.5*(($A447-'Control Room'!$A$13-('Control Room'!$B$13-1)/2)/MAX(0.5,'Control Room'!$B$13/4))^2),1)*IF(AND($A447&gt;='Control Room'!$A$14,$A447&lt;'Control Room'!$A$14+'Control Room'!$B$14,'Process'!BV3=1),1+('Control Room'!$C$14-1)*EXP(-0.5*(($A447-'Control Room'!$A$14-('Control Room'!$B$14-1)/2)/MAX(0.5,'Control Room'!$B$14/4))^2),1)*IF(AND($A447&gt;='Control Room'!$A$15,$A447&lt;'Control Room'!$A$15+'Control Room'!$B$15,'Process'!BV4=1),1+('Control Room'!$C$15-1)*EXP(-0.5*(($A447-'Control Room'!$A$15-('Control Room'!$B$15-1)/2)/MAX(0.5,'Control Room'!$B$15/4))^2),1)*IF(AND($A447&gt;='Control Room'!$A$16,$A447&lt;'Control Room'!$A$16+'Control Room'!$B$16,'Process'!BV5=1),1+('Control Room'!$C$16-1)*EXP(-0.5*(($A447-'Control Room'!$A$16-('Control Room'!$B$16-1)/2)/MAX(0.5,'Control Room'!$B$16/4))^2),1)</x:f>
        <x:v>1</x:v>
      </x:c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Z447" t="str">
        <x:f>IF('Data'!A447="","",TEXT('Data'!A447,"mm-dd"))</x:f>
      </x:c>
    </x:row>
    <x:row r="448" ht="21" customHeight="1">
      <x:c r="A448" s="15" t="n">
        <x:f>'Control Room'!$B$1+446</x:f>
        <x:v>73437</x:v>
      </x:c>
      <x:c r="B448" s="9" t="n">
        <x:f>MOD(C447*16807,2147483647)</x:f>
        <x:v>1348758811</x:v>
      </x:c>
      <x:c r="C448" s="9" t="n">
        <x:f>MOD(B448*16807,2147483647)</x:f>
        <x:v>1899442392</x:v>
      </x:c>
      <x:c r="D448" s="17" t="n">
        <x:f>IF('Control Room'!$B$5="Normal",'Control Room'!$B$7+'Control Room'!$D$7*SQRT(-2*LN(MAX(0.000000000001,B448/2147483647)))*COS(2*PI()*C448/2147483647),'Control Room'!$B$8+('Control Room'!$D$8-'Control Room'!$B$8)*B448/2147483647)</x:f>
        <x:v>1064.930298848067</x:v>
      </x:c>
      <x:c r="E448" s="17" t="n">
        <x:f>IF('Control Room'!$B$5="Normal",'Control Room'!$B$7,('Control Room'!$B$8+'Control Room'!$D$8)/2)+'Control Room'!$B$9*(E447-IF('Control Room'!$B$5="Normal",'Control Room'!$B$7,('Control Room'!$B$8+'Control Room'!$D$8)/2))+SQRT(1-'Control Room'!$B$9^2)*(D448-IF('Control Room'!$B$5="Normal",'Control Room'!$B$7,('Control Room'!$B$8+'Control Room'!$D$8)/2))</x:f>
        <x:v>922.731513024325</x:v>
      </x:c>
      <x:c r="F448" s="17" t="n">
        <x:f>IF(AND($A448&gt;='Control Room'!$A$13,$A448&lt;'Control Room'!$A$13+'Control Room'!$B$13,'Process'!BK2=1),1+('Control Room'!$C$13-1)*EXP(-0.5*(($A448-'Control Room'!$A$13-('Control Room'!$B$13-1)/2)/MAX(0.5,'Control Room'!$B$13/4))^2),1)*IF(AND($A448&gt;='Control Room'!$A$14,$A448&lt;'Control Room'!$A$14+'Control Room'!$B$14,'Process'!BK3=1),1+('Control Room'!$C$14-1)*EXP(-0.5*(($A448-'Control Room'!$A$14-('Control Room'!$B$14-1)/2)/MAX(0.5,'Control Room'!$B$14/4))^2),1)*IF(AND($A448&gt;='Control Room'!$A$15,$A448&lt;'Control Room'!$A$15+'Control Room'!$B$15,'Process'!BK4=1),1+('Control Room'!$C$15-1)*EXP(-0.5*(($A448-'Control Room'!$A$15-('Control Room'!$B$15-1)/2)/MAX(0.5,'Control Room'!$B$15/4))^2),1)*IF(AND($A448&gt;='Control Room'!$A$16,$A448&lt;'Control Room'!$A$16+'Control Room'!$B$16,'Process'!BK5=1),1+('Control Room'!$C$16-1)*EXP(-0.5*(($A448-'Control Room'!$A$16-('Control Room'!$B$16-1)/2)/MAX(0.5,'Control Room'!$B$16/4))^2),1)</x:f>
        <x:v>1</x:v>
      </x:c>
      <x:c r="G448" s="9" t="n">
        <x:f>MOD(H447*16807,2147483647)</x:f>
        <x:v>1830940736</x:v>
      </x:c>
      <x:c r="H448" s="9" t="n">
        <x:f>MOD(G448*16807,2147483647)</x:f>
        <x:v>1327772089</x:v>
      </x:c>
      <x:c r="I448" s="17" t="n">
        <x:f>IF('Control Room'!$B$5="Normal",'Control Room'!$B$7+'Control Room'!$D$7*SQRT(-2*LN(MAX(0.000000000001,G448/2147483647)))*COS(2*PI()*H448/2147483647),'Control Room'!$B$8+('Control Room'!$D$8-'Control Room'!$B$8)*G448/2147483647)</x:f>
        <x:v>962.5776233308899</x:v>
      </x:c>
      <x:c r="J448" s="17" t="n">
        <x:f>IF('Control Room'!$B$5="Normal",'Control Room'!$B$7,('Control Room'!$B$8+'Control Room'!$D$8)/2)+'Control Room'!$B$9*(J447-IF('Control Room'!$B$5="Normal",'Control Room'!$B$7,('Control Room'!$B$8+'Control Room'!$D$8)/2))+SQRT(1-'Control Room'!$B$9^2)*(I448-IF('Control Room'!$B$5="Normal",'Control Room'!$B$7,('Control Room'!$B$8+'Control Room'!$D$8)/2))</x:f>
        <x:v>996.7994376996573</x:v>
      </x:c>
      <x:c r="K448" s="17" t="n">
        <x:f>IF(AND($A448&gt;='Control Room'!$A$13,$A448&lt;'Control Room'!$A$13+'Control Room'!$B$13,'Process'!BL2=1),1+('Control Room'!$C$13-1)*EXP(-0.5*(($A448-'Control Room'!$A$13-('Control Room'!$B$13-1)/2)/MAX(0.5,'Control Room'!$B$13/4))^2),1)*IF(AND($A448&gt;='Control Room'!$A$14,$A448&lt;'Control Room'!$A$14+'Control Room'!$B$14,'Process'!BL3=1),1+('Control Room'!$C$14-1)*EXP(-0.5*(($A448-'Control Room'!$A$14-('Control Room'!$B$14-1)/2)/MAX(0.5,'Control Room'!$B$14/4))^2),1)*IF(AND($A448&gt;='Control Room'!$A$15,$A448&lt;'Control Room'!$A$15+'Control Room'!$B$15,'Process'!BL4=1),1+('Control Room'!$C$15-1)*EXP(-0.5*(($A448-'Control Room'!$A$15-('Control Room'!$B$15-1)/2)/MAX(0.5,'Control Room'!$B$15/4))^2),1)*IF(AND($A448&gt;='Control Room'!$A$16,$A448&lt;'Control Room'!$A$16+'Control Room'!$B$16,'Process'!BL5=1),1+('Control Room'!$C$16-1)*EXP(-0.5*(($A448-'Control Room'!$A$16-('Control Room'!$B$16-1)/2)/MAX(0.5,'Control Room'!$B$16/4))^2),1)</x:f>
        <x:v>1</x:v>
      </x:c>
      <x:c r="L448" s="9" t="n">
        <x:f>MOD(M447*16807,2147483647)</x:f>
        <x:v>165639014</x:v>
      </x:c>
      <x:c r="M448" s="9" t="n">
        <x:f>MOD(L448*16807,2147483647)</x:f>
        <x:v>756101786</x:v>
      </x:c>
      <x:c r="N448" s="17" t="n">
        <x:f>IF('Control Room'!$B$5="Normal",'Control Room'!$B$7+'Control Room'!$D$7*SQRT(-2*LN(MAX(0.000000000001,L448/2147483647)))*COS(2*PI()*M448/2147483647),'Control Room'!$B$8+('Control Room'!$D$8-'Control Room'!$B$8)*L448/2147483647)</x:f>
        <x:v>878.0957116757354</x:v>
      </x:c>
      <x:c r="O448" s="17" t="n">
        <x:f>IF('Control Room'!$B$5="Normal",'Control Room'!$B$7,('Control Room'!$B$8+'Control Room'!$D$8)/2)+'Control Room'!$B$9*(O447-IF('Control Room'!$B$5="Normal",'Control Room'!$B$7,('Control Room'!$B$8+'Control Room'!$D$8)/2))+SQRT(1-'Control Room'!$B$9^2)*(N448-IF('Control Room'!$B$5="Normal",'Control Room'!$B$7,('Control Room'!$B$8+'Control Room'!$D$8)/2))</x:f>
        <x:v>985.0824549144877</x:v>
      </x:c>
      <x:c r="P448" s="17" t="n">
        <x:f>IF(AND($A448&gt;='Control Room'!$A$13,$A448&lt;'Control Room'!$A$13+'Control Room'!$B$13,'Process'!BM2=1),1+('Control Room'!$C$13-1)*EXP(-0.5*(($A448-'Control Room'!$A$13-('Control Room'!$B$13-1)/2)/MAX(0.5,'Control Room'!$B$13/4))^2),1)*IF(AND($A448&gt;='Control Room'!$A$14,$A448&lt;'Control Room'!$A$14+'Control Room'!$B$14,'Process'!BM3=1),1+('Control Room'!$C$14-1)*EXP(-0.5*(($A448-'Control Room'!$A$14-('Control Room'!$B$14-1)/2)/MAX(0.5,'Control Room'!$B$14/4))^2),1)*IF(AND($A448&gt;='Control Room'!$A$15,$A448&lt;'Control Room'!$A$15+'Control Room'!$B$15,'Process'!BM4=1),1+('Control Room'!$C$15-1)*EXP(-0.5*(($A448-'Control Room'!$A$15-('Control Room'!$B$15-1)/2)/MAX(0.5,'Control Room'!$B$15/4))^2),1)*IF(AND($A448&gt;='Control Room'!$A$16,$A448&lt;'Control Room'!$A$16+'Control Room'!$B$16,'Process'!BM5=1),1+('Control Room'!$C$16-1)*EXP(-0.5*(($A448-'Control Room'!$A$16-('Control Room'!$B$16-1)/2)/MAX(0.5,'Control Room'!$B$16/4))^2),1)</x:f>
        <x:v>1</x:v>
      </x:c>
      <x:c r="Q448" s="9" t="n">
        <x:f>MOD(R447*16807,2147483647)</x:f>
        <x:v>647820939</x:v>
      </x:c>
      <x:c r="R448" s="9" t="n">
        <x:f>MOD(Q448*16807,2147483647)</x:f>
        <x:v>184431483</x:v>
      </x:c>
      <x:c r="S448" s="17" t="n">
        <x:f>IF('Control Room'!$B$5="Normal",'Control Room'!$B$7+'Control Room'!$D$7*SQRT(-2*LN(MAX(0.000000000001,Q448/2147483647)))*COS(2*PI()*R448/2147483647),'Control Room'!$B$8+('Control Room'!$D$8-'Control Room'!$B$8)*Q448/2147483647)</x:f>
        <x:v>1119.537698597869</x:v>
      </x:c>
      <x:c r="T448" s="17" t="n">
        <x:f>IF('Control Room'!$B$5="Normal",'Control Room'!$B$7,('Control Room'!$B$8+'Control Room'!$D$8)/2)+'Control Room'!$B$9*(T447-IF('Control Room'!$B$5="Normal",'Control Room'!$B$7,('Control Room'!$B$8+'Control Room'!$D$8)/2))+SQRT(1-'Control Room'!$B$9^2)*(S448-IF('Control Room'!$B$5="Normal",'Control Room'!$B$7,('Control Room'!$B$8+'Control Room'!$D$8)/2))</x:f>
        <x:v>1079.0862432109116</x:v>
      </x:c>
      <x:c r="U448" s="17" t="n">
        <x:f>IF(AND($A448&gt;='Control Room'!$A$13,$A448&lt;'Control Room'!$A$13+'Control Room'!$B$13,'Process'!BN2=1),1+('Control Room'!$C$13-1)*EXP(-0.5*(($A448-'Control Room'!$A$13-('Control Room'!$B$13-1)/2)/MAX(0.5,'Control Room'!$B$13/4))^2),1)*IF(AND($A448&gt;='Control Room'!$A$14,$A448&lt;'Control Room'!$A$14+'Control Room'!$B$14,'Process'!BN3=1),1+('Control Room'!$C$14-1)*EXP(-0.5*(($A448-'Control Room'!$A$14-('Control Room'!$B$14-1)/2)/MAX(0.5,'Control Room'!$B$14/4))^2),1)*IF(AND($A448&gt;='Control Room'!$A$15,$A448&lt;'Control Room'!$A$15+'Control Room'!$B$15,'Process'!BN4=1),1+('Control Room'!$C$15-1)*EXP(-0.5*(($A448-'Control Room'!$A$15-('Control Room'!$B$15-1)/2)/MAX(0.5,'Control Room'!$B$15/4))^2),1)*IF(AND($A448&gt;='Control Room'!$A$16,$A448&lt;'Control Room'!$A$16+'Control Room'!$B$16,'Process'!BN5=1),1+('Control Room'!$C$16-1)*EXP(-0.5*(($A448-'Control Room'!$A$16-('Control Room'!$B$16-1)/2)/MAX(0.5,'Control Room'!$B$16/4))^2),1)</x:f>
        <x:v>1</x:v>
      </x:c>
      <x:c r="V448" s="9" t="n">
        <x:f>MOD(W447*16807,2147483647)</x:f>
        <x:v>1130002864</x:v>
      </x:c>
      <x:c r="W448" s="9" t="n">
        <x:f>MOD(V448*16807,2147483647)</x:f>
        <x:v>1760244827</x:v>
      </x:c>
      <x:c r="X448" s="17" t="n">
        <x:f>IF('Control Room'!$B$5="Normal",'Control Room'!$B$7+'Control Room'!$D$7*SQRT(-2*LN(MAX(0.000000000001,V448/2147483647)))*COS(2*PI()*W448/2147483647),'Control Room'!$B$8+('Control Room'!$D$8-'Control Room'!$B$8)*V448/2147483647)</x:f>
        <x:v>1043.2376973000553</x:v>
      </x:c>
      <x:c r="Y448" s="17" t="n">
        <x:f>IF('Control Room'!$B$5="Normal",'Control Room'!$B$7,('Control Room'!$B$8+'Control Room'!$D$8)/2)+'Control Room'!$B$9*(Y447-IF('Control Room'!$B$5="Normal",'Control Room'!$B$7,('Control Room'!$B$8+'Control Room'!$D$8)/2))+SQRT(1-'Control Room'!$B$9^2)*(X448-IF('Control Room'!$B$5="Normal",'Control Room'!$B$7,('Control Room'!$B$8+'Control Room'!$D$8)/2))</x:f>
        <x:v>996.5264490035245</x:v>
      </x:c>
      <x:c r="Z448" s="17" t="n">
        <x:f>IF(AND($A448&gt;='Control Room'!$A$13,$A448&lt;'Control Room'!$A$13+'Control Room'!$B$13,'Process'!BO2=1),1+('Control Room'!$C$13-1)*EXP(-0.5*(($A448-'Control Room'!$A$13-('Control Room'!$B$13-1)/2)/MAX(0.5,'Control Room'!$B$13/4))^2),1)*IF(AND($A448&gt;='Control Room'!$A$14,$A448&lt;'Control Room'!$A$14+'Control Room'!$B$14,'Process'!BO3=1),1+('Control Room'!$C$14-1)*EXP(-0.5*(($A448-'Control Room'!$A$14-('Control Room'!$B$14-1)/2)/MAX(0.5,'Control Room'!$B$14/4))^2),1)*IF(AND($A448&gt;='Control Room'!$A$15,$A448&lt;'Control Room'!$A$15+'Control Room'!$B$15,'Process'!BO4=1),1+('Control Room'!$C$15-1)*EXP(-0.5*(($A448-'Control Room'!$A$15-('Control Room'!$B$15-1)/2)/MAX(0.5,'Control Room'!$B$15/4))^2),1)*IF(AND($A448&gt;='Control Room'!$A$16,$A448&lt;'Control Room'!$A$16+'Control Room'!$B$16,'Process'!BO5=1),1+('Control Room'!$C$16-1)*EXP(-0.5*(($A448-'Control Room'!$A$16-('Control Room'!$B$16-1)/2)/MAX(0.5,'Control Room'!$B$16/4))^2),1)</x:f>
        <x:v>1</x:v>
      </x:c>
      <x:c r="AA448" s="9" t="n">
        <x:f>MOD(AB447*16807,2147483647)</x:f>
        <x:v>1612184789</x:v>
      </x:c>
      <x:c r="AB448" s="9" t="n">
        <x:f>MOD(AA448*16807,2147483647)</x:f>
        <x:v>1188574524</x:v>
      </x:c>
      <x:c r="AC448" s="17" t="n">
        <x:f>IF('Control Room'!$B$5="Normal",'Control Room'!$B$7+'Control Room'!$D$7*SQRT(-2*LN(MAX(0.000000000001,AA448/2147483647)))*COS(2*PI()*AB448/2147483647),'Control Room'!$B$8+('Control Room'!$D$8-'Control Room'!$B$8)*AA448/2147483647)</x:f>
        <x:v>935.6589212874923</x:v>
      </x:c>
      <x:c r="AD448" s="17" t="n">
        <x:f>IF('Control Room'!$B$5="Normal",'Control Room'!$B$7,('Control Room'!$B$8+'Control Room'!$D$8)/2)+'Control Room'!$B$9*(AD447-IF('Control Room'!$B$5="Normal",'Control Room'!$B$7,('Control Room'!$B$8+'Control Room'!$D$8)/2))+SQRT(1-'Control Room'!$B$9^2)*(AC448-IF('Control Room'!$B$5="Normal",'Control Room'!$B$7,('Control Room'!$B$8+'Control Room'!$D$8)/2))</x:f>
        <x:v>1023.0267868751066</x:v>
      </x:c>
      <x:c r="AE448" s="17" t="n">
        <x:f>IF(AND($A448&gt;='Control Room'!$A$13,$A448&lt;'Control Room'!$A$13+'Control Room'!$B$13,'Process'!BP2=1),1+('Control Room'!$C$13-1)*EXP(-0.5*(($A448-'Control Room'!$A$13-('Control Room'!$B$13-1)/2)/MAX(0.5,'Control Room'!$B$13/4))^2),1)*IF(AND($A448&gt;='Control Room'!$A$14,$A448&lt;'Control Room'!$A$14+'Control Room'!$B$14,'Process'!BP3=1),1+('Control Room'!$C$14-1)*EXP(-0.5*(($A448-'Control Room'!$A$14-('Control Room'!$B$14-1)/2)/MAX(0.5,'Control Room'!$B$14/4))^2),1)*IF(AND($A448&gt;='Control Room'!$A$15,$A448&lt;'Control Room'!$A$15+'Control Room'!$B$15,'Process'!BP4=1),1+('Control Room'!$C$15-1)*EXP(-0.5*(($A448-'Control Room'!$A$15-('Control Room'!$B$15-1)/2)/MAX(0.5,'Control Room'!$B$15/4))^2),1)*IF(AND($A448&gt;='Control Room'!$A$16,$A448&lt;'Control Room'!$A$16+'Control Room'!$B$16,'Process'!BP5=1),1+('Control Room'!$C$16-1)*EXP(-0.5*(($A448-'Control Room'!$A$16-('Control Room'!$B$16-1)/2)/MAX(0.5,'Control Room'!$B$16/4))^2),1)</x:f>
        <x:v>1</x:v>
      </x:c>
      <x:c r="AF448" s="9" t="n">
        <x:f>MOD(AG447*16807,2147483647)</x:f>
        <x:v>2094366714</x:v>
      </x:c>
      <x:c r="AG448" s="9" t="n">
        <x:f>MOD(AF448*16807,2147483647)</x:f>
        <x:v>616904221</x:v>
      </x:c>
      <x:c r="AH448" s="17" t="n">
        <x:f>IF('Control Room'!$B$5="Normal",'Control Room'!$B$7+'Control Room'!$D$7*SQRT(-2*LN(MAX(0.000000000001,AF448/2147483647)))*COS(2*PI()*AG448/2147483647),'Control Room'!$B$8+('Control Room'!$D$8-'Control Room'!$B$8)*AF448/2147483647)</x:f>
        <x:v>995.3262310795568</x:v>
      </x:c>
      <x:c r="AI448" s="17" t="n">
        <x:f>IF('Control Room'!$B$5="Normal",'Control Room'!$B$7,('Control Room'!$B$8+'Control Room'!$D$8)/2)+'Control Room'!$B$9*(AI447-IF('Control Room'!$B$5="Normal",'Control Room'!$B$7,('Control Room'!$B$8+'Control Room'!$D$8)/2))+SQRT(1-'Control Room'!$B$9^2)*(AH448-IF('Control Room'!$B$5="Normal",'Control Room'!$B$7,('Control Room'!$B$8+'Control Room'!$D$8)/2))</x:f>
        <x:v>1091.5002903398913</x:v>
      </x:c>
      <x:c r="AJ448" s="17" t="n">
        <x:f>IF(AND($A448&gt;='Control Room'!$A$13,$A448&lt;'Control Room'!$A$13+'Control Room'!$B$13,'Process'!BQ2=1),1+('Control Room'!$C$13-1)*EXP(-0.5*(($A448-'Control Room'!$A$13-('Control Room'!$B$13-1)/2)/MAX(0.5,'Control Room'!$B$13/4))^2),1)*IF(AND($A448&gt;='Control Room'!$A$14,$A448&lt;'Control Room'!$A$14+'Control Room'!$B$14,'Process'!BQ3=1),1+('Control Room'!$C$14-1)*EXP(-0.5*(($A448-'Control Room'!$A$14-('Control Room'!$B$14-1)/2)/MAX(0.5,'Control Room'!$B$14/4))^2),1)*IF(AND($A448&gt;='Control Room'!$A$15,$A448&lt;'Control Room'!$A$15+'Control Room'!$B$15,'Process'!BQ4=1),1+('Control Room'!$C$15-1)*EXP(-0.5*(($A448-'Control Room'!$A$15-('Control Room'!$B$15-1)/2)/MAX(0.5,'Control Room'!$B$15/4))^2),1)*IF(AND($A448&gt;='Control Room'!$A$16,$A448&lt;'Control Room'!$A$16+'Control Room'!$B$16,'Process'!BQ5=1),1+('Control Room'!$C$16-1)*EXP(-0.5*(($A448-'Control Room'!$A$16-('Control Room'!$B$16-1)/2)/MAX(0.5,'Control Room'!$B$16/4))^2),1)</x:f>
        <x:v>1</x:v>
      </x:c>
      <x:c r="AK448" s="9" t="n">
        <x:f>MOD(AL447*16807,2147483647)</x:f>
        <x:v>429064992</x:v>
      </x:c>
      <x:c r="AL448" s="9" t="n">
        <x:f>MOD(AK448*16807,2147483647)</x:f>
        <x:v>45233918</x:v>
      </x:c>
      <x:c r="AM448" s="17" t="n">
        <x:f>IF('Control Room'!$B$5="Normal",'Control Room'!$B$7+'Control Room'!$D$7*SQRT(-2*LN(MAX(0.000000000001,AK448/2147483647)))*COS(2*PI()*AL448/2147483647),'Control Room'!$B$8+('Control Room'!$D$8-'Control Room'!$B$8)*AK448/2147483647)</x:f>
        <x:v>1160.1089547375614</x:v>
      </x:c>
      <x:c r="AN448" s="17" t="n">
        <x:f>IF('Control Room'!$B$5="Normal",'Control Room'!$B$7,('Control Room'!$B$8+'Control Room'!$D$8)/2)+'Control Room'!$B$9*(AN447-IF('Control Room'!$B$5="Normal",'Control Room'!$B$7,('Control Room'!$B$8+'Control Room'!$D$8)/2))+SQRT(1-'Control Room'!$B$9^2)*(AM448-IF('Control Room'!$B$5="Normal",'Control Room'!$B$7,('Control Room'!$B$8+'Control Room'!$D$8)/2))</x:f>
        <x:v>1051.5795278238434</x:v>
      </x:c>
      <x:c r="AO448" s="17" t="n">
        <x:f>IF(AND($A448&gt;='Control Room'!$A$13,$A448&lt;'Control Room'!$A$13+'Control Room'!$B$13,'Process'!BR2=1),1+('Control Room'!$C$13-1)*EXP(-0.5*(($A448-'Control Room'!$A$13-('Control Room'!$B$13-1)/2)/MAX(0.5,'Control Room'!$B$13/4))^2),1)*IF(AND($A448&gt;='Control Room'!$A$14,$A448&lt;'Control Room'!$A$14+'Control Room'!$B$14,'Process'!BR3=1),1+('Control Room'!$C$14-1)*EXP(-0.5*(($A448-'Control Room'!$A$14-('Control Room'!$B$14-1)/2)/MAX(0.5,'Control Room'!$B$14/4))^2),1)*IF(AND($A448&gt;='Control Room'!$A$15,$A448&lt;'Control Room'!$A$15+'Control Room'!$B$15,'Process'!BR4=1),1+('Control Room'!$C$15-1)*EXP(-0.5*(($A448-'Control Room'!$A$15-('Control Room'!$B$15-1)/2)/MAX(0.5,'Control Room'!$B$15/4))^2),1)*IF(AND($A448&gt;='Control Room'!$A$16,$A448&lt;'Control Room'!$A$16+'Control Room'!$B$16,'Process'!BR5=1),1+('Control Room'!$C$16-1)*EXP(-0.5*(($A448-'Control Room'!$A$16-('Control Room'!$B$16-1)/2)/MAX(0.5,'Control Room'!$B$16/4))^2),1)</x:f>
        <x:v>1</x:v>
      </x:c>
      <x:c r="AP448" s="9" t="n">
        <x:f>MOD(AQ447*16807,2147483647)</x:f>
        <x:v>911246917</x:v>
      </x:c>
      <x:c r="AQ448" s="9" t="n">
        <x:f>MOD(AP448*16807,2147483647)</x:f>
        <x:v>1621047262</x:v>
      </x:c>
      <x:c r="AR448" s="17" t="n">
        <x:f>IF('Control Room'!$B$5="Normal",'Control Room'!$B$7+'Control Room'!$D$7*SQRT(-2*LN(MAX(0.000000000001,AP448/2147483647)))*COS(2*PI()*AQ448/2147483647),'Control Room'!$B$8+('Control Room'!$D$8-'Control Room'!$B$8)*AP448/2147483647)</x:f>
        <x:v>1003.5971913653347</x:v>
      </x:c>
      <x:c r="AS448" s="17" t="n">
        <x:f>IF('Control Room'!$B$5="Normal",'Control Room'!$B$7,('Control Room'!$B$8+'Control Room'!$D$8)/2)+'Control Room'!$B$9*(AS447-IF('Control Room'!$B$5="Normal",'Control Room'!$B$7,('Control Room'!$B$8+'Control Room'!$D$8)/2))+SQRT(1-'Control Room'!$B$9^2)*(AR448-IF('Control Room'!$B$5="Normal",'Control Room'!$B$7,('Control Room'!$B$8+'Control Room'!$D$8)/2))</x:f>
        <x:v>953.2395674048864</x:v>
      </x:c>
      <x:c r="AT448" s="17" t="n">
        <x:f>IF(AND($A448&gt;='Control Room'!$A$13,$A448&lt;'Control Room'!$A$13+'Control Room'!$B$13,'Process'!BS2=1),1+('Control Room'!$C$13-1)*EXP(-0.5*(($A448-'Control Room'!$A$13-('Control Room'!$B$13-1)/2)/MAX(0.5,'Control Room'!$B$13/4))^2),1)*IF(AND($A448&gt;='Control Room'!$A$14,$A448&lt;'Control Room'!$A$14+'Control Room'!$B$14,'Process'!BS3=1),1+('Control Room'!$C$14-1)*EXP(-0.5*(($A448-'Control Room'!$A$14-('Control Room'!$B$14-1)/2)/MAX(0.5,'Control Room'!$B$14/4))^2),1)*IF(AND($A448&gt;='Control Room'!$A$15,$A448&lt;'Control Room'!$A$15+'Control Room'!$B$15,'Process'!BS4=1),1+('Control Room'!$C$15-1)*EXP(-0.5*(($A448-'Control Room'!$A$15-('Control Room'!$B$15-1)/2)/MAX(0.5,'Control Room'!$B$15/4))^2),1)*IF(AND($A448&gt;='Control Room'!$A$16,$A448&lt;'Control Room'!$A$16+'Control Room'!$B$16,'Process'!BS5=1),1+('Control Room'!$C$16-1)*EXP(-0.5*(($A448-'Control Room'!$A$16-('Control Room'!$B$16-1)/2)/MAX(0.5,'Control Room'!$B$16/4))^2),1)</x:f>
        <x:v>1</x:v>
      </x:c>
      <x:c r="AU448" s="9" t="n">
        <x:f>MOD(AV447*16807,2147483647)</x:f>
        <x:v>1393428842</x:v>
      </x:c>
      <x:c r="AV448" s="9" t="n">
        <x:f>MOD(AU448*16807,2147483647)</x:f>
        <x:v>1049376959</x:v>
      </x:c>
      <x:c r="AW448" s="17" t="n">
        <x:f>IF('Control Room'!$B$5="Normal",'Control Room'!$B$7+'Control Room'!$D$7*SQRT(-2*LN(MAX(0.000000000001,AU448/2147483647)))*COS(2*PI()*AV448/2147483647),'Control Room'!$B$8+('Control Room'!$D$8-'Control Room'!$B$8)*AU448/2147483647)</x:f>
        <x:v>916.5049381362863</x:v>
      </x:c>
      <x:c r="AX448" s="17" t="n">
        <x:f>IF('Control Room'!$B$5="Normal",'Control Room'!$B$7,('Control Room'!$B$8+'Control Room'!$D$8)/2)+'Control Room'!$B$9*(AX447-IF('Control Room'!$B$5="Normal",'Control Room'!$B$7,('Control Room'!$B$8+'Control Room'!$D$8)/2))+SQRT(1-'Control Room'!$B$9^2)*(AW448-IF('Control Room'!$B$5="Normal",'Control Room'!$B$7,('Control Room'!$B$8+'Control Room'!$D$8)/2))</x:f>
        <x:v>955.610079220716</x:v>
      </x:c>
      <x:c r="AY448" s="17" t="n">
        <x:f>IF(AND($A448&gt;='Control Room'!$A$13,$A448&lt;'Control Room'!$A$13+'Control Room'!$B$13,'Process'!BT2=1),1+('Control Room'!$C$13-1)*EXP(-0.5*(($A448-'Control Room'!$A$13-('Control Room'!$B$13-1)/2)/MAX(0.5,'Control Room'!$B$13/4))^2),1)*IF(AND($A448&gt;='Control Room'!$A$14,$A448&lt;'Control Room'!$A$14+'Control Room'!$B$14,'Process'!BT3=1),1+('Control Room'!$C$14-1)*EXP(-0.5*(($A448-'Control Room'!$A$14-('Control Room'!$B$14-1)/2)/MAX(0.5,'Control Room'!$B$14/4))^2),1)*IF(AND($A448&gt;='Control Room'!$A$15,$A448&lt;'Control Room'!$A$15+'Control Room'!$B$15,'Process'!BT4=1),1+('Control Room'!$C$15-1)*EXP(-0.5*(($A448-'Control Room'!$A$15-('Control Room'!$B$15-1)/2)/MAX(0.5,'Control Room'!$B$15/4))^2),1)*IF(AND($A448&gt;='Control Room'!$A$16,$A448&lt;'Control Room'!$A$16+'Control Room'!$B$16,'Process'!BT5=1),1+('Control Room'!$C$16-1)*EXP(-0.5*(($A448-'Control Room'!$A$16-('Control Room'!$B$16-1)/2)/MAX(0.5,'Control Room'!$B$16/4))^2),1)</x:f>
        <x:v>1</x:v>
      </x:c>
      <x:c r="AZ448" s="9" t="n">
        <x:f>MOD(BA447*16807,2147483647)</x:f>
        <x:v>1875610767</x:v>
      </x:c>
      <x:c r="BA448" s="9" t="n">
        <x:f>MOD(AZ448*16807,2147483647)</x:f>
        <x:v>477706656</x:v>
      </x:c>
      <x:c r="BB448" s="17" t="n">
        <x:f>IF('Control Room'!$B$5="Normal",'Control Room'!$B$7+'Control Room'!$D$7*SQRT(-2*LN(MAX(0.000000000001,AZ448/2147483647)))*COS(2*PI()*BA448/2147483647),'Control Room'!$B$8+('Control Room'!$D$8-'Control Room'!$B$8)*AZ448/2147483647)</x:f>
        <x:v>1008.065751258443</x:v>
      </x:c>
      <x:c r="BC448" s="17" t="n">
        <x:f>IF('Control Room'!$B$5="Normal",'Control Room'!$B$7,('Control Room'!$B$8+'Control Room'!$D$8)/2)+'Control Room'!$B$9*(BC447-IF('Control Room'!$B$5="Normal",'Control Room'!$B$7,('Control Room'!$B$8+'Control Room'!$D$8)/2))+SQRT(1-'Control Room'!$B$9^2)*(BB448-IF('Control Room'!$B$5="Normal",'Control Room'!$B$7,('Control Room'!$B$8+'Control Room'!$D$8)/2))</x:f>
        <x:v>1083.93562026522</x:v>
      </x:c>
      <x:c r="BD448" s="17" t="n">
        <x:f>IF(AND($A448&gt;='Control Room'!$A$13,$A448&lt;'Control Room'!$A$13+'Control Room'!$B$13,'Process'!BU2=1),1+('Control Room'!$C$13-1)*EXP(-0.5*(($A448-'Control Room'!$A$13-('Control Room'!$B$13-1)/2)/MAX(0.5,'Control Room'!$B$13/4))^2),1)*IF(AND($A448&gt;='Control Room'!$A$14,$A448&lt;'Control Room'!$A$14+'Control Room'!$B$14,'Process'!BU3=1),1+('Control Room'!$C$14-1)*EXP(-0.5*(($A448-'Control Room'!$A$14-('Control Room'!$B$14-1)/2)/MAX(0.5,'Control Room'!$B$14/4))^2),1)*IF(AND($A448&gt;='Control Room'!$A$15,$A448&lt;'Control Room'!$A$15+'Control Room'!$B$15,'Process'!BU4=1),1+('Control Room'!$C$15-1)*EXP(-0.5*(($A448-'Control Room'!$A$15-('Control Room'!$B$15-1)/2)/MAX(0.5,'Control Room'!$B$15/4))^2),1)*IF(AND($A448&gt;='Control Room'!$A$16,$A448&lt;'Control Room'!$A$16+'Control Room'!$B$16,'Process'!BU5=1),1+('Control Room'!$C$16-1)*EXP(-0.5*(($A448-'Control Room'!$A$16-('Control Room'!$B$16-1)/2)/MAX(0.5,'Control Room'!$B$16/4))^2),1)</x:f>
        <x:v>1</x:v>
      </x:c>
      <x:c r="BE448" s="9" t="n">
        <x:f>MOD(BF447*16807,2147483647)</x:f>
        <x:v>210309045</x:v>
      </x:c>
      <x:c r="BF448" s="9" t="n">
        <x:f>MOD(BE448*16807,2147483647)</x:f>
        <x:v>2053520000</x:v>
      </x:c>
      <x:c r="BG448" s="17" t="n">
        <x:f>IF('Control Room'!$B$5="Normal",'Control Room'!$B$7+'Control Room'!$D$7*SQRT(-2*LN(MAX(0.000000000001,BE448/2147483647)))*COS(2*PI()*BF448/2147483647),'Control Room'!$B$8+('Control Room'!$D$8-'Control Room'!$B$8)*BE448/2147483647)</x:f>
        <x:v>1186.7251956596092</x:v>
      </x:c>
      <x:c r="BH448" s="17" t="n">
        <x:f>IF('Control Room'!$B$5="Normal",'Control Room'!$B$7,('Control Room'!$B$8+'Control Room'!$D$8)/2)+'Control Room'!$B$9*(BH447-IF('Control Room'!$B$5="Normal",'Control Room'!$B$7,('Control Room'!$B$8+'Control Room'!$D$8)/2))+SQRT(1-'Control Room'!$B$9^2)*(BG448-IF('Control Room'!$B$5="Normal",'Control Room'!$B$7,('Control Room'!$B$8+'Control Room'!$D$8)/2))</x:f>
        <x:v>1036.3674123424312</x:v>
      </x:c>
      <x:c r="BI448" s="17" t="n">
        <x:f>IF(AND($A448&gt;='Control Room'!$A$13,$A448&lt;'Control Room'!$A$13+'Control Room'!$B$13,'Process'!BV2=1),1+('Control Room'!$C$13-1)*EXP(-0.5*(($A448-'Control Room'!$A$13-('Control Room'!$B$13-1)/2)/MAX(0.5,'Control Room'!$B$13/4))^2),1)*IF(AND($A448&gt;='Control Room'!$A$14,$A448&lt;'Control Room'!$A$14+'Control Room'!$B$14,'Process'!BV3=1),1+('Control Room'!$C$14-1)*EXP(-0.5*(($A448-'Control Room'!$A$14-('Control Room'!$B$14-1)/2)/MAX(0.5,'Control Room'!$B$14/4))^2),1)*IF(AND($A448&gt;='Control Room'!$A$15,$A448&lt;'Control Room'!$A$15+'Control Room'!$B$15,'Process'!BV4=1),1+('Control Room'!$C$15-1)*EXP(-0.5*(($A448-'Control Room'!$A$15-('Control Room'!$B$15-1)/2)/MAX(0.5,'Control Room'!$B$15/4))^2),1)*IF(AND($A448&gt;='Control Room'!$A$16,$A448&lt;'Control Room'!$A$16+'Control Room'!$B$16,'Process'!BV5=1),1+('Control Room'!$C$16-1)*EXP(-0.5*(($A448-'Control Room'!$A$16-('Control Room'!$B$16-1)/2)/MAX(0.5,'Control Room'!$B$16/4))^2),1)</x:f>
        <x:v>1</x:v>
      </x:c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Z448" t="str">
        <x:f>IF('Data'!A448="","",TEXT('Data'!A448,"mm-dd"))</x:f>
      </x:c>
    </x:row>
    <x:row r="449" ht="21" customHeight="1">
      <x:c r="A449" s="15" t="n">
        <x:f>'Control Room'!$B$1+447</x:f>
        <x:v>73438</x:v>
      </x:c>
      <x:c r="B449" s="9" t="n">
        <x:f>MOD(C448*16807,2147483647)</x:f>
        <x:v>1583869689</x:v>
      </x:c>
      <x:c r="C449" s="9" t="n">
        <x:f>MOD(B449*16807,2147483647)</x:f>
        <x:v>2038058458</x:v>
      </x:c>
      <x:c r="D449" s="17" t="n">
        <x:f>IF('Control Room'!$B$5="Normal",'Control Room'!$B$7+'Control Room'!$D$7*SQRT(-2*LN(MAX(0.000000000001,B449/2147483647)))*COS(2*PI()*C449/2147483647),'Control Room'!$B$8+('Control Room'!$D$8-'Control Room'!$B$8)*B449/2147483647)</x:f>
        <x:v>1066.6575068574064</x:v>
      </x:c>
      <x:c r="E449" s="17" t="n">
        <x:f>IF('Control Room'!$B$5="Normal",'Control Room'!$B$7,('Control Room'!$B$8+'Control Room'!$D$8)/2)+'Control Room'!$B$9*(E448-IF('Control Room'!$B$5="Normal",'Control Room'!$B$7,('Control Room'!$B$8+'Control Room'!$D$8)/2))+SQRT(1-'Control Room'!$B$9^2)*(D449-IF('Control Room'!$B$5="Normal",'Control Room'!$B$7,('Control Room'!$B$8+'Control Room'!$D$8)/2))</x:f>
        <x:v>981.443482397086</x:v>
      </x:c>
      <x:c r="F449" s="17" t="n">
        <x:f>IF(AND($A449&gt;='Control Room'!$A$13,$A449&lt;'Control Room'!$A$13+'Control Room'!$B$13,'Process'!BK2=1),1+('Control Room'!$C$13-1)*EXP(-0.5*(($A449-'Control Room'!$A$13-('Control Room'!$B$13-1)/2)/MAX(0.5,'Control Room'!$B$13/4))^2),1)*IF(AND($A449&gt;='Control Room'!$A$14,$A449&lt;'Control Room'!$A$14+'Control Room'!$B$14,'Process'!BK3=1),1+('Control Room'!$C$14-1)*EXP(-0.5*(($A449-'Control Room'!$A$14-('Control Room'!$B$14-1)/2)/MAX(0.5,'Control Room'!$B$14/4))^2),1)*IF(AND($A449&gt;='Control Room'!$A$15,$A449&lt;'Control Room'!$A$15+'Control Room'!$B$15,'Process'!BK4=1),1+('Control Room'!$C$15-1)*EXP(-0.5*(($A449-'Control Room'!$A$15-('Control Room'!$B$15-1)/2)/MAX(0.5,'Control Room'!$B$15/4))^2),1)*IF(AND($A449&gt;='Control Room'!$A$16,$A449&lt;'Control Room'!$A$16+'Control Room'!$B$16,'Process'!BK5=1),1+('Control Room'!$C$16-1)*EXP(-0.5*(($A449-'Control Room'!$A$16-('Control Room'!$B$16-1)/2)/MAX(0.5,'Control Room'!$B$16/4))^2),1)</x:f>
        <x:v>1</x:v>
      </x:c>
      <x:c r="G449" s="9" t="n">
        <x:f>MOD(H448*16807,2147483647)</x:f>
        <x:v>1362923846</x:v>
      </x:c>
      <x:c r="H449" s="9" t="n">
        <x:f>MOD(G449*16807,2147483647)</x:f>
        <x:v>1600500820</x:v>
      </x:c>
      <x:c r="I449" s="17" t="n">
        <x:f>IF('Control Room'!$B$5="Normal",'Control Room'!$B$7+'Control Room'!$D$7*SQRT(-2*LN(MAX(0.000000000001,G449/2147483647)))*COS(2*PI()*H449/2147483647),'Control Room'!$B$8+('Control Room'!$D$8-'Control Room'!$B$8)*G449/2147483647)</x:f>
        <x:v>997.4612315903922</x:v>
      </x:c>
      <x:c r="J449" s="17" t="n">
        <x:f>IF('Control Room'!$B$5="Normal",'Control Room'!$B$7,('Control Room'!$B$8+'Control Room'!$D$8)/2)+'Control Room'!$B$9*(J448-IF('Control Room'!$B$5="Normal",'Control Room'!$B$7,('Control Room'!$B$8+'Control Room'!$D$8)/2))+SQRT(1-'Control Room'!$B$9^2)*(I449-IF('Control Room'!$B$5="Normal",'Control Room'!$B$7,('Control Room'!$B$8+'Control Room'!$D$8)/2))</x:f>
        <x:v>995.914852144498</x:v>
      </x:c>
      <x:c r="K449" s="17" t="n">
        <x:f>IF(AND($A449&gt;='Control Room'!$A$13,$A449&lt;'Control Room'!$A$13+'Control Room'!$B$13,'Process'!BL2=1),1+('Control Room'!$C$13-1)*EXP(-0.5*(($A449-'Control Room'!$A$13-('Control Room'!$B$13-1)/2)/MAX(0.5,'Control Room'!$B$13/4))^2),1)*IF(AND($A449&gt;='Control Room'!$A$14,$A449&lt;'Control Room'!$A$14+'Control Room'!$B$14,'Process'!BL3=1),1+('Control Room'!$C$14-1)*EXP(-0.5*(($A449-'Control Room'!$A$14-('Control Room'!$B$14-1)/2)/MAX(0.5,'Control Room'!$B$14/4))^2),1)*IF(AND($A449&gt;='Control Room'!$A$15,$A449&lt;'Control Room'!$A$15+'Control Room'!$B$15,'Process'!BL4=1),1+('Control Room'!$C$15-1)*EXP(-0.5*(($A449-'Control Room'!$A$15-('Control Room'!$B$15-1)/2)/MAX(0.5,'Control Room'!$B$15/4))^2),1)*IF(AND($A449&gt;='Control Room'!$A$16,$A449&lt;'Control Room'!$A$16+'Control Room'!$B$16,'Process'!BL5=1),1+('Control Room'!$C$16-1)*EXP(-0.5*(($A449-'Control Room'!$A$16-('Control Room'!$B$16-1)/2)/MAX(0.5,'Control Room'!$B$16/4))^2),1)</x:f>
        <x:v>1</x:v>
      </x:c>
      <x:c r="L449" s="9" t="n">
        <x:f>MOD(M448*16807,2147483647)</x:f>
        <x:v>1141978003</x:v>
      </x:c>
      <x:c r="M449" s="9" t="n">
        <x:f>MOD(L449*16807,2147483647)</x:f>
        <x:v>1162943182</x:v>
      </x:c>
      <x:c r="N449" s="17" t="n">
        <x:f>IF('Control Room'!$B$5="Normal",'Control Room'!$B$7+'Control Room'!$D$7*SQRT(-2*LN(MAX(0.000000000001,L449/2147483647)))*COS(2*PI()*M449/2147483647),'Control Room'!$B$8+('Control Room'!$D$8-'Control Room'!$B$8)*L449/2147483647)</x:f>
        <x:v>902.2775899803058</x:v>
      </x:c>
      <x:c r="O449" s="17" t="n">
        <x:f>IF('Control Room'!$B$5="Normal",'Control Room'!$B$7,('Control Room'!$B$8+'Control Room'!$D$8)/2)+'Control Room'!$B$9*(O448-IF('Control Room'!$B$5="Normal",'Control Room'!$B$7,('Control Room'!$B$8+'Control Room'!$D$8)/2))+SQRT(1-'Control Room'!$B$9^2)*(N449-IF('Control Room'!$B$5="Normal",'Control Room'!$B$7,('Control Room'!$B$8+'Control Room'!$D$8)/2))</x:f>
        <x:v>927.2116325953609</x:v>
      </x:c>
      <x:c r="P449" s="17" t="n">
        <x:f>IF(AND($A449&gt;='Control Room'!$A$13,$A449&lt;'Control Room'!$A$13+'Control Room'!$B$13,'Process'!BM2=1),1+('Control Room'!$C$13-1)*EXP(-0.5*(($A449-'Control Room'!$A$13-('Control Room'!$B$13-1)/2)/MAX(0.5,'Control Room'!$B$13/4))^2),1)*IF(AND($A449&gt;='Control Room'!$A$14,$A449&lt;'Control Room'!$A$14+'Control Room'!$B$14,'Process'!BM3=1),1+('Control Room'!$C$14-1)*EXP(-0.5*(($A449-'Control Room'!$A$14-('Control Room'!$B$14-1)/2)/MAX(0.5,'Control Room'!$B$14/4))^2),1)*IF(AND($A449&gt;='Control Room'!$A$15,$A449&lt;'Control Room'!$A$15+'Control Room'!$B$15,'Process'!BM4=1),1+('Control Room'!$C$15-1)*EXP(-0.5*(($A449-'Control Room'!$A$15-('Control Room'!$B$15-1)/2)/MAX(0.5,'Control Room'!$B$15/4))^2),1)*IF(AND($A449&gt;='Control Room'!$A$16,$A449&lt;'Control Room'!$A$16+'Control Room'!$B$16,'Process'!BM5=1),1+('Control Room'!$C$16-1)*EXP(-0.5*(($A449-'Control Room'!$A$16-('Control Room'!$B$16-1)/2)/MAX(0.5,'Control Room'!$B$16/4))^2),1)</x:f>
        <x:v>1</x:v>
      </x:c>
      <x:c r="Q449" s="9" t="n">
        <x:f>MOD(R448*16807,2147483647)</x:f>
        <x:v>921032160</x:v>
      </x:c>
      <x:c r="R449" s="9" t="n">
        <x:f>MOD(Q449*16807,2147483647)</x:f>
        <x:v>725385544</x:v>
      </x:c>
      <x:c r="S449" s="17" t="n">
        <x:f>IF('Control Room'!$B$5="Normal",'Control Room'!$B$7+'Control Room'!$D$7*SQRT(-2*LN(MAX(0.000000000001,Q449/2147483647)))*COS(2*PI()*R449/2147483647),'Control Room'!$B$8+('Control Room'!$D$8-'Control Room'!$B$8)*Q449/2147483647)</x:f>
        <x:v>938.6333118754771</x:v>
      </x:c>
      <x:c r="T449" s="17" t="n">
        <x:f>IF('Control Room'!$B$5="Normal",'Control Room'!$B$7,('Control Room'!$B$8+'Control Room'!$D$8)/2)+'Control Room'!$B$9*(T448-IF('Control Room'!$B$5="Normal",'Control Room'!$B$7,('Control Room'!$B$8+'Control Room'!$D$8)/2))+SQRT(1-'Control Room'!$B$9^2)*(S449-IF('Control Room'!$B$5="Normal",'Control Room'!$B$7,('Control Room'!$B$8+'Control Room'!$D$8)/2))</x:f>
        <x:v>1023.2852534411238</x:v>
      </x:c>
      <x:c r="U449" s="17" t="n">
        <x:f>IF(AND($A449&gt;='Control Room'!$A$13,$A449&lt;'Control Room'!$A$13+'Control Room'!$B$13,'Process'!BN2=1),1+('Control Room'!$C$13-1)*EXP(-0.5*(($A449-'Control Room'!$A$13-('Control Room'!$B$13-1)/2)/MAX(0.5,'Control Room'!$B$13/4))^2),1)*IF(AND($A449&gt;='Control Room'!$A$14,$A449&lt;'Control Room'!$A$14+'Control Room'!$B$14,'Process'!BN3=1),1+('Control Room'!$C$14-1)*EXP(-0.5*(($A449-'Control Room'!$A$14-('Control Room'!$B$14-1)/2)/MAX(0.5,'Control Room'!$B$14/4))^2),1)*IF(AND($A449&gt;='Control Room'!$A$15,$A449&lt;'Control Room'!$A$15+'Control Room'!$B$15,'Process'!BN4=1),1+('Control Room'!$C$15-1)*EXP(-0.5*(($A449-'Control Room'!$A$15-('Control Room'!$B$15-1)/2)/MAX(0.5,'Control Room'!$B$15/4))^2),1)*IF(AND($A449&gt;='Control Room'!$A$16,$A449&lt;'Control Room'!$A$16+'Control Room'!$B$16,'Process'!BN5=1),1+('Control Room'!$C$16-1)*EXP(-0.5*(($A449-'Control Room'!$A$16-('Control Room'!$B$16-1)/2)/MAX(0.5,'Control Room'!$B$16/4))^2),1)</x:f>
        <x:v>1</x:v>
      </x:c>
      <x:c r="V449" s="9" t="n">
        <x:f>MOD(W448*16807,2147483647)</x:f>
        <x:v>700086317</x:v>
      </x:c>
      <x:c r="W449" s="9" t="n">
        <x:f>MOD(V449*16807,2147483647)</x:f>
        <x:v>287827906</x:v>
      </x:c>
      <x:c r="X449" s="17" t="n">
        <x:f>IF('Control Room'!$B$5="Normal",'Control Room'!$B$7+'Control Room'!$D$7*SQRT(-2*LN(MAX(0.000000000001,V449/2147483647)))*COS(2*PI()*W449/2147483647),'Control Room'!$B$8+('Control Room'!$D$8-'Control Room'!$B$8)*V449/2147483647)</x:f>
        <x:v>1089.726401606601</x:v>
      </x:c>
      <x:c r="Y449" s="17" t="n">
        <x:f>IF('Control Room'!$B$5="Normal",'Control Room'!$B$7,('Control Room'!$B$8+'Control Room'!$D$8)/2)+'Control Room'!$B$9*(Y448-IF('Control Room'!$B$5="Normal",'Control Room'!$B$7,('Control Room'!$B$8+'Control Room'!$D$8)/2))+SQRT(1-'Control Room'!$B$9^2)*(X449-IF('Control Room'!$B$5="Normal",'Control Room'!$B$7,('Control Room'!$B$8+'Control Room'!$D$8)/2))</x:f>
        <x:v>1053.439574202911</x:v>
      </x:c>
      <x:c r="Z449" s="17" t="n">
        <x:f>IF(AND($A449&gt;='Control Room'!$A$13,$A449&lt;'Control Room'!$A$13+'Control Room'!$B$13,'Process'!BO2=1),1+('Control Room'!$C$13-1)*EXP(-0.5*(($A449-'Control Room'!$A$13-('Control Room'!$B$13-1)/2)/MAX(0.5,'Control Room'!$B$13/4))^2),1)*IF(AND($A449&gt;='Control Room'!$A$14,$A449&lt;'Control Room'!$A$14+'Control Room'!$B$14,'Process'!BO3=1),1+('Control Room'!$C$14-1)*EXP(-0.5*(($A449-'Control Room'!$A$14-('Control Room'!$B$14-1)/2)/MAX(0.5,'Control Room'!$B$14/4))^2),1)*IF(AND($A449&gt;='Control Room'!$A$15,$A449&lt;'Control Room'!$A$15+'Control Room'!$B$15,'Process'!BO4=1),1+('Control Room'!$C$15-1)*EXP(-0.5*(($A449-'Control Room'!$A$15-('Control Room'!$B$15-1)/2)/MAX(0.5,'Control Room'!$B$15/4))^2),1)*IF(AND($A449&gt;='Control Room'!$A$16,$A449&lt;'Control Room'!$A$16+'Control Room'!$B$16,'Process'!BO5=1),1+('Control Room'!$C$16-1)*EXP(-0.5*(($A449-'Control Room'!$A$16-('Control Room'!$B$16-1)/2)/MAX(0.5,'Control Room'!$B$16/4))^2),1)</x:f>
        <x:v>1</x:v>
      </x:c>
      <x:c r="AA449" s="9" t="n">
        <x:f>MOD(AB448*16807,2147483647)</x:f>
        <x:v>479140474</x:v>
      </x:c>
      <x:c r="AB449" s="9" t="n">
        <x:f>MOD(AA449*16807,2147483647)</x:f>
        <x:v>1997753915</x:v>
      </x:c>
      <x:c r="AC449" s="17" t="n">
        <x:f>IF('Control Room'!$B$5="Normal",'Control Room'!$B$7+'Control Room'!$D$7*SQRT(-2*LN(MAX(0.000000000001,AA449/2147483647)))*COS(2*PI()*AB449/2147483647),'Control Room'!$B$8+('Control Room'!$D$8-'Control Room'!$B$8)*AA449/2147483647)</x:f>
        <x:v>1141.1664803978433</x:v>
      </x:c>
      <x:c r="AD449" s="17" t="n">
        <x:f>IF('Control Room'!$B$5="Normal",'Control Room'!$B$7,('Control Room'!$B$8+'Control Room'!$D$8)/2)+'Control Room'!$B$9*(AD448-IF('Control Room'!$B$5="Normal",'Control Room'!$B$7,('Control Room'!$B$8+'Control Room'!$D$8)/2))+SQRT(1-'Control Room'!$B$9^2)*(AC449-IF('Control Room'!$B$5="Normal",'Control Room'!$B$7,('Control Room'!$B$8+'Control Room'!$D$8)/2))</x:f>
        <x:v>1106.299985243011</x:v>
      </x:c>
      <x:c r="AE449" s="17" t="n">
        <x:f>IF(AND($A449&gt;='Control Room'!$A$13,$A449&lt;'Control Room'!$A$13+'Control Room'!$B$13,'Process'!BP2=1),1+('Control Room'!$C$13-1)*EXP(-0.5*(($A449-'Control Room'!$A$13-('Control Room'!$B$13-1)/2)/MAX(0.5,'Control Room'!$B$13/4))^2),1)*IF(AND($A449&gt;='Control Room'!$A$14,$A449&lt;'Control Room'!$A$14+'Control Room'!$B$14,'Process'!BP3=1),1+('Control Room'!$C$14-1)*EXP(-0.5*(($A449-'Control Room'!$A$14-('Control Room'!$B$14-1)/2)/MAX(0.5,'Control Room'!$B$14/4))^2),1)*IF(AND($A449&gt;='Control Room'!$A$15,$A449&lt;'Control Room'!$A$15+'Control Room'!$B$15,'Process'!BP4=1),1+('Control Room'!$C$15-1)*EXP(-0.5*(($A449-'Control Room'!$A$15-('Control Room'!$B$15-1)/2)/MAX(0.5,'Control Room'!$B$15/4))^2),1)*IF(AND($A449&gt;='Control Room'!$A$16,$A449&lt;'Control Room'!$A$16+'Control Room'!$B$16,'Process'!BP5=1),1+('Control Room'!$C$16-1)*EXP(-0.5*(($A449-'Control Room'!$A$16-('Control Room'!$B$16-1)/2)/MAX(0.5,'Control Room'!$B$16/4))^2),1)</x:f>
        <x:v>1</x:v>
      </x:c>
      <x:c r="AF449" s="9" t="n">
        <x:f>MOD(AG448*16807,2147483647)</x:f>
        <x:v>258194631</x:v>
      </x:c>
      <x:c r="AG449" s="9" t="n">
        <x:f>MOD(AF449*16807,2147483647)</x:f>
        <x:v>1560196277</x:v>
      </x:c>
      <x:c r="AH449" s="17" t="n">
        <x:f>IF('Control Room'!$B$5="Normal",'Control Room'!$B$7+'Control Room'!$D$7*SQRT(-2*LN(MAX(0.000000000001,AF449/2147483647)))*COS(2*PI()*AG449/2147483647),'Control Room'!$B$8+('Control Room'!$D$8-'Control Room'!$B$8)*AF449/2147483647)</x:f>
        <x:v>972.7729007387748</x:v>
      </x:c>
      <x:c r="AI449" s="17" t="n">
        <x:f>IF('Control Room'!$B$5="Normal",'Control Room'!$B$7,('Control Room'!$B$8+'Control Room'!$D$8)/2)+'Control Room'!$B$9*(AI448-IF('Control Room'!$B$5="Normal",'Control Room'!$B$7,('Control Room'!$B$8+'Control Room'!$D$8)/2))+SQRT(1-'Control Room'!$B$9^2)*(AH449-IF('Control Room'!$B$5="Normal",'Control Room'!$B$7,('Control Room'!$B$8+'Control Room'!$D$8)/2))</x:f>
        <x:v>1054.3320655248867</x:v>
      </x:c>
      <x:c r="AJ449" s="17" t="n">
        <x:f>IF(AND($A449&gt;='Control Room'!$A$13,$A449&lt;'Control Room'!$A$13+'Control Room'!$B$13,'Process'!BQ2=1),1+('Control Room'!$C$13-1)*EXP(-0.5*(($A449-'Control Room'!$A$13-('Control Room'!$B$13-1)/2)/MAX(0.5,'Control Room'!$B$13/4))^2),1)*IF(AND($A449&gt;='Control Room'!$A$14,$A449&lt;'Control Room'!$A$14+'Control Room'!$B$14,'Process'!BQ3=1),1+('Control Room'!$C$14-1)*EXP(-0.5*(($A449-'Control Room'!$A$14-('Control Room'!$B$14-1)/2)/MAX(0.5,'Control Room'!$B$14/4))^2),1)*IF(AND($A449&gt;='Control Room'!$A$15,$A449&lt;'Control Room'!$A$15+'Control Room'!$B$15,'Process'!BQ4=1),1+('Control Room'!$C$15-1)*EXP(-0.5*(($A449-'Control Room'!$A$15-('Control Room'!$B$15-1)/2)/MAX(0.5,'Control Room'!$B$15/4))^2),1)*IF(AND($A449&gt;='Control Room'!$A$16,$A449&lt;'Control Room'!$A$16+'Control Room'!$B$16,'Process'!BQ5=1),1+('Control Room'!$C$16-1)*EXP(-0.5*(($A449-'Control Room'!$A$16-('Control Room'!$B$16-1)/2)/MAX(0.5,'Control Room'!$B$16/4))^2),1)</x:f>
        <x:v>1</x:v>
      </x:c>
      <x:c r="AK449" s="9" t="n">
        <x:f>MOD(AL448*16807,2147483647)</x:f>
        <x:v>37248788</x:v>
      </x:c>
      <x:c r="AL449" s="9" t="n">
        <x:f>MOD(AK449*16807,2147483647)</x:f>
        <x:v>1122638639</x:v>
      </x:c>
      <x:c r="AM449" s="17" t="n">
        <x:f>IF('Control Room'!$B$5="Normal",'Control Room'!$B$7+'Control Room'!$D$7*SQRT(-2*LN(MAX(0.000000000001,AK449/2147483647)))*COS(2*PI()*AL449/2147483647),'Control Room'!$B$8+('Control Room'!$D$8-'Control Room'!$B$8)*AK449/2147483647)</x:f>
        <x:v>746.3336362170021</x:v>
      </x:c>
      <x:c r="AN449" s="17" t="n">
        <x:f>IF('Control Room'!$B$5="Normal",'Control Room'!$B$7,('Control Room'!$B$8+'Control Room'!$D$8)/2)+'Control Room'!$B$9*(AN448-IF('Control Room'!$B$5="Normal",'Control Room'!$B$7,('Control Room'!$B$8+'Control Room'!$D$8)/2))+SQRT(1-'Control Room'!$B$9^2)*(AM449-IF('Control Room'!$B$5="Normal",'Control Room'!$B$7,('Control Room'!$B$8+'Control Room'!$D$8)/2))</x:f>
        <x:v>881.4928178851223</x:v>
      </x:c>
      <x:c r="AO449" s="17" t="n">
        <x:f>IF(AND($A449&gt;='Control Room'!$A$13,$A449&lt;'Control Room'!$A$13+'Control Room'!$B$13,'Process'!BR2=1),1+('Control Room'!$C$13-1)*EXP(-0.5*(($A449-'Control Room'!$A$13-('Control Room'!$B$13-1)/2)/MAX(0.5,'Control Room'!$B$13/4))^2),1)*IF(AND($A449&gt;='Control Room'!$A$14,$A449&lt;'Control Room'!$A$14+'Control Room'!$B$14,'Process'!BR3=1),1+('Control Room'!$C$14-1)*EXP(-0.5*(($A449-'Control Room'!$A$14-('Control Room'!$B$14-1)/2)/MAX(0.5,'Control Room'!$B$14/4))^2),1)*IF(AND($A449&gt;='Control Room'!$A$15,$A449&lt;'Control Room'!$A$15+'Control Room'!$B$15,'Process'!BR4=1),1+('Control Room'!$C$15-1)*EXP(-0.5*(($A449-'Control Room'!$A$15-('Control Room'!$B$15-1)/2)/MAX(0.5,'Control Room'!$B$15/4))^2),1)*IF(AND($A449&gt;='Control Room'!$A$16,$A449&lt;'Control Room'!$A$16+'Control Room'!$B$16,'Process'!BR5=1),1+('Control Room'!$C$16-1)*EXP(-0.5*(($A449-'Control Room'!$A$16-('Control Room'!$B$16-1)/2)/MAX(0.5,'Control Room'!$B$16/4))^2),1)</x:f>
        <x:v>1</x:v>
      </x:c>
      <x:c r="AP449" s="9" t="n">
        <x:f>MOD(AQ448*16807,2147483647)</x:f>
        <x:v>1963786592</x:v>
      </x:c>
      <x:c r="AQ449" s="9" t="n">
        <x:f>MOD(AP449*16807,2147483647)</x:f>
        <x:v>685081001</x:v>
      </x:c>
      <x:c r="AR449" s="17" t="n">
        <x:f>IF('Control Room'!$B$5="Normal",'Control Room'!$B$7+'Control Room'!$D$7*SQRT(-2*LN(MAX(0.000000000001,AP449/2147483647)))*COS(2*PI()*AQ449/2147483647),'Control Room'!$B$8+('Control Room'!$D$8-'Control Room'!$B$8)*AP449/2147483647)</x:f>
        <x:v>984.0077087798187</x:v>
      </x:c>
      <x:c r="AS449" s="17" t="n">
        <x:f>IF('Control Room'!$B$5="Normal",'Control Room'!$B$7,('Control Room'!$B$8+'Control Room'!$D$8)/2)+'Control Room'!$B$9*(AS448-IF('Control Room'!$B$5="Normal",'Control Room'!$B$7,('Control Room'!$B$8+'Control Room'!$D$8)/2))+SQRT(1-'Control Room'!$B$9^2)*(AR449-IF('Control Room'!$B$5="Normal",'Control Room'!$B$7,('Control Room'!$B$8+'Control Room'!$D$8)/2))</x:f>
        <x:v>953.5192143501152</x:v>
      </x:c>
      <x:c r="AT449" s="17" t="n">
        <x:f>IF(AND($A449&gt;='Control Room'!$A$13,$A449&lt;'Control Room'!$A$13+'Control Room'!$B$13,'Process'!BS2=1),1+('Control Room'!$C$13-1)*EXP(-0.5*(($A449-'Control Room'!$A$13-('Control Room'!$B$13-1)/2)/MAX(0.5,'Control Room'!$B$13/4))^2),1)*IF(AND($A449&gt;='Control Room'!$A$14,$A449&lt;'Control Room'!$A$14+'Control Room'!$B$14,'Process'!BS3=1),1+('Control Room'!$C$14-1)*EXP(-0.5*(($A449-'Control Room'!$A$14-('Control Room'!$B$14-1)/2)/MAX(0.5,'Control Room'!$B$14/4))^2),1)*IF(AND($A449&gt;='Control Room'!$A$15,$A449&lt;'Control Room'!$A$15+'Control Room'!$B$15,'Process'!BS4=1),1+('Control Room'!$C$15-1)*EXP(-0.5*(($A449-'Control Room'!$A$15-('Control Room'!$B$15-1)/2)/MAX(0.5,'Control Room'!$B$15/4))^2),1)*IF(AND($A449&gt;='Control Room'!$A$16,$A449&lt;'Control Room'!$A$16+'Control Room'!$B$16,'Process'!BS5=1),1+('Control Room'!$C$16-1)*EXP(-0.5*(($A449-'Control Room'!$A$16-('Control Room'!$B$16-1)/2)/MAX(0.5,'Control Room'!$B$16/4))^2),1)</x:f>
        <x:v>1</x:v>
      </x:c>
      <x:c r="AU449" s="9" t="n">
        <x:f>MOD(AV448*16807,2147483647)</x:f>
        <x:v>1742840749</x:v>
      </x:c>
      <x:c r="AV449" s="9" t="n">
        <x:f>MOD(AU449*16807,2147483647)</x:f>
        <x:v>247523363</x:v>
      </x:c>
      <x:c r="AW449" s="17" t="n">
        <x:f>IF('Control Room'!$B$5="Normal",'Control Room'!$B$7+'Control Room'!$D$7*SQRT(-2*LN(MAX(0.000000000001,AU449/2147483647)))*COS(2*PI()*AV449/2147483647),'Control Room'!$B$8+('Control Room'!$D$8-'Control Room'!$B$8)*AU449/2147483647)</x:f>
        <x:v>1043.560860049925</x:v>
      </x:c>
      <x:c r="AX449" s="17" t="n">
        <x:f>IF('Control Room'!$B$5="Normal",'Control Room'!$B$7,('Control Room'!$B$8+'Control Room'!$D$8)/2)+'Control Room'!$B$9*(AX448-IF('Control Room'!$B$5="Normal",'Control Room'!$B$7,('Control Room'!$B$8+'Control Room'!$D$8)/2))+SQRT(1-'Control Room'!$B$9^2)*(AW449-IF('Control Room'!$B$5="Normal",'Control Room'!$B$7,('Control Room'!$B$8+'Control Room'!$D$8)/2))</x:f>
        <x:v>992.6353556186775</x:v>
      </x:c>
      <x:c r="AY449" s="17" t="n">
        <x:f>IF(AND($A449&gt;='Control Room'!$A$13,$A449&lt;'Control Room'!$A$13+'Control Room'!$B$13,'Process'!BT2=1),1+('Control Room'!$C$13-1)*EXP(-0.5*(($A449-'Control Room'!$A$13-('Control Room'!$B$13-1)/2)/MAX(0.5,'Control Room'!$B$13/4))^2),1)*IF(AND($A449&gt;='Control Room'!$A$14,$A449&lt;'Control Room'!$A$14+'Control Room'!$B$14,'Process'!BT3=1),1+('Control Room'!$C$14-1)*EXP(-0.5*(($A449-'Control Room'!$A$14-('Control Room'!$B$14-1)/2)/MAX(0.5,'Control Room'!$B$14/4))^2),1)*IF(AND($A449&gt;='Control Room'!$A$15,$A449&lt;'Control Room'!$A$15+'Control Room'!$B$15,'Process'!BT4=1),1+('Control Room'!$C$15-1)*EXP(-0.5*(($A449-'Control Room'!$A$15-('Control Room'!$B$15-1)/2)/MAX(0.5,'Control Room'!$B$15/4))^2),1)*IF(AND($A449&gt;='Control Room'!$A$16,$A449&lt;'Control Room'!$A$16+'Control Room'!$B$16,'Process'!BT5=1),1+('Control Room'!$C$16-1)*EXP(-0.5*(($A449-'Control Room'!$A$16-('Control Room'!$B$16-1)/2)/MAX(0.5,'Control Room'!$B$16/4))^2),1)</x:f>
        <x:v>1</x:v>
      </x:c>
      <x:c r="AZ449" s="9" t="n">
        <x:f>MOD(BA448*16807,2147483647)</x:f>
        <x:v>1521894906</x:v>
      </x:c>
      <x:c r="BA449" s="9" t="n">
        <x:f>MOD(AZ449*16807,2147483647)</x:f>
        <x:v>1957449372</x:v>
      </x:c>
      <x:c r="BB449" s="17" t="n">
        <x:f>IF('Control Room'!$B$5="Normal",'Control Room'!$B$7+'Control Room'!$D$7*SQRT(-2*LN(MAX(0.000000000001,AZ449/2147483647)))*COS(2*PI()*BA449/2147483647),'Control Room'!$B$8+('Control Room'!$D$8-'Control Room'!$B$8)*AZ449/2147483647)</x:f>
        <x:v>1063.4377266956678</x:v>
      </x:c>
      <x:c r="BC449" s="17" t="n">
        <x:f>IF('Control Room'!$B$5="Normal",'Control Room'!$B$7,('Control Room'!$B$8+'Control Room'!$D$8)/2)+'Control Room'!$B$9*(BC448-IF('Control Room'!$B$5="Normal",'Control Room'!$B$7,('Control Room'!$B$8+'Control Room'!$D$8)/2))+SQRT(1-'Control Room'!$B$9^2)*(BB449-IF('Control Room'!$B$5="Normal",'Control Room'!$B$7,('Control Room'!$B$8+'Control Room'!$D$8)/2))</x:f>
        <x:v>1105.16781358055</x:v>
      </x:c>
      <x:c r="BD449" s="17" t="n">
        <x:f>IF(AND($A449&gt;='Control Room'!$A$13,$A449&lt;'Control Room'!$A$13+'Control Room'!$B$13,'Process'!BU2=1),1+('Control Room'!$C$13-1)*EXP(-0.5*(($A449-'Control Room'!$A$13-('Control Room'!$B$13-1)/2)/MAX(0.5,'Control Room'!$B$13/4))^2),1)*IF(AND($A449&gt;='Control Room'!$A$14,$A449&lt;'Control Room'!$A$14+'Control Room'!$B$14,'Process'!BU3=1),1+('Control Room'!$C$14-1)*EXP(-0.5*(($A449-'Control Room'!$A$14-('Control Room'!$B$14-1)/2)/MAX(0.5,'Control Room'!$B$14/4))^2),1)*IF(AND($A449&gt;='Control Room'!$A$15,$A449&lt;'Control Room'!$A$15+'Control Room'!$B$15,'Process'!BU4=1),1+('Control Room'!$C$15-1)*EXP(-0.5*(($A449-'Control Room'!$A$15-('Control Room'!$B$15-1)/2)/MAX(0.5,'Control Room'!$B$15/4))^2),1)*IF(AND($A449&gt;='Control Room'!$A$16,$A449&lt;'Control Room'!$A$16+'Control Room'!$B$16,'Process'!BU5=1),1+('Control Room'!$C$16-1)*EXP(-0.5*(($A449-'Control Room'!$A$16-('Control Room'!$B$16-1)/2)/MAX(0.5,'Control Room'!$B$16/4))^2),1)</x:f>
        <x:v>1</x:v>
      </x:c>
      <x:c r="BE449" s="9" t="n">
        <x:f>MOD(BF448*16807,2147483647)</x:f>
        <x:v>1300949063</x:v>
      </x:c>
      <x:c r="BF449" s="9" t="n">
        <x:f>MOD(BE449*16807,2147483647)</x:f>
        <x:v>1519891734</x:v>
      </x:c>
      <x:c r="BG449" s="17" t="n">
        <x:f>IF('Control Room'!$B$5="Normal",'Control Room'!$B$7+'Control Room'!$D$7*SQRT(-2*LN(MAX(0.000000000001,BE449/2147483647)))*COS(2*PI()*BF449/2147483647),'Control Room'!$B$8+('Control Room'!$D$8-'Control Room'!$B$8)*BE449/2147483647)</x:f>
        <x:v>976.3620247967162</x:v>
      </x:c>
      <x:c r="BH449" s="17" t="n">
        <x:f>IF('Control Room'!$B$5="Normal",'Control Room'!$B$7,('Control Room'!$B$8+'Control Room'!$D$8)/2)+'Control Room'!$B$9*(BH448-IF('Control Room'!$B$5="Normal",'Control Room'!$B$7,('Control Room'!$B$8+'Control Room'!$D$8)/2))+SQRT(1-'Control Room'!$B$9^2)*(BG449-IF('Control Room'!$B$5="Normal",'Control Room'!$B$7,('Control Room'!$B$8+'Control Room'!$D$8)/2))</x:f>
        <x:v>1013.5744209951248</x:v>
      </x:c>
      <x:c r="BI449" s="17" t="n">
        <x:f>IF(AND($A449&gt;='Control Room'!$A$13,$A449&lt;'Control Room'!$A$13+'Control Room'!$B$13,'Process'!BV2=1),1+('Control Room'!$C$13-1)*EXP(-0.5*(($A449-'Control Room'!$A$13-('Control Room'!$B$13-1)/2)/MAX(0.5,'Control Room'!$B$13/4))^2),1)*IF(AND($A449&gt;='Control Room'!$A$14,$A449&lt;'Control Room'!$A$14+'Control Room'!$B$14,'Process'!BV3=1),1+('Control Room'!$C$14-1)*EXP(-0.5*(($A449-'Control Room'!$A$14-('Control Room'!$B$14-1)/2)/MAX(0.5,'Control Room'!$B$14/4))^2),1)*IF(AND($A449&gt;='Control Room'!$A$15,$A449&lt;'Control Room'!$A$15+'Control Room'!$B$15,'Process'!BV4=1),1+('Control Room'!$C$15-1)*EXP(-0.5*(($A449-'Control Room'!$A$15-('Control Room'!$B$15-1)/2)/MAX(0.5,'Control Room'!$B$15/4))^2),1)*IF(AND($A449&gt;='Control Room'!$A$16,$A449&lt;'Control Room'!$A$16+'Control Room'!$B$16,'Process'!BV5=1),1+('Control Room'!$C$16-1)*EXP(-0.5*(($A449-'Control Room'!$A$16-('Control Room'!$B$16-1)/2)/MAX(0.5,'Control Room'!$B$16/4))^2),1)</x:f>
        <x:v>1</x:v>
      </x:c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Z449" t="str">
        <x:f>IF('Data'!A449="","",TEXT('Data'!A449,"mm-dd"))</x:f>
      </x:c>
    </x:row>
    <x:row r="450" ht="21" customHeight="1">
      <x:c r="A450" s="15" t="n">
        <x:f>'Control Room'!$B$1+448</x:f>
        <x:v>73439</x:v>
      </x:c>
      <x:c r="B450" s="9" t="n">
        <x:f>MOD(C449*16807,2147483647)</x:f>
        <x:v>1284333956</x:v>
      </x:c>
      <x:c r="C450" s="9" t="n">
        <x:f>MOD(B450*16807,2147483647)</x:f>
        <x:v>1442662495</x:v>
      </x:c>
      <x:c r="D450" s="17" t="n">
        <x:f>IF('Control Room'!$B$5="Normal",'Control Room'!$B$7+'Control Room'!$D$7*SQRT(-2*LN(MAX(0.000000000001,B450/2147483647)))*COS(2*PI()*C450/2147483647),'Control Room'!$B$8+('Control Room'!$D$8-'Control Room'!$B$8)*B450/2147483647)</x:f>
        <x:v>956.9401428415423</x:v>
      </x:c>
      <x:c r="E450" s="17" t="n">
        <x:f>IF('Control Room'!$B$5="Normal",'Control Room'!$B$7,('Control Room'!$B$8+'Control Room'!$D$8)/2)+'Control Room'!$B$9*(E449-IF('Control Room'!$B$5="Normal",'Control Room'!$B$7,('Control Room'!$B$8+'Control Room'!$D$8)/2))+SQRT(1-'Control Room'!$B$9^2)*(D450-IF('Control Room'!$B$5="Normal",'Control Room'!$B$7,('Control Room'!$B$8+'Control Room'!$D$8)/2))</x:f>
        <x:v>958.5799397890861</x:v>
      </x:c>
      <x:c r="F450" s="17" t="n">
        <x:f>IF(AND($A450&gt;='Control Room'!$A$13,$A450&lt;'Control Room'!$A$13+'Control Room'!$B$13,'Process'!BK2=1),1+('Control Room'!$C$13-1)*EXP(-0.5*(($A450-'Control Room'!$A$13-('Control Room'!$B$13-1)/2)/MAX(0.5,'Control Room'!$B$13/4))^2),1)*IF(AND($A450&gt;='Control Room'!$A$14,$A450&lt;'Control Room'!$A$14+'Control Room'!$B$14,'Process'!BK3=1),1+('Control Room'!$C$14-1)*EXP(-0.5*(($A450-'Control Room'!$A$14-('Control Room'!$B$14-1)/2)/MAX(0.5,'Control Room'!$B$14/4))^2),1)*IF(AND($A450&gt;='Control Room'!$A$15,$A450&lt;'Control Room'!$A$15+'Control Room'!$B$15,'Process'!BK4=1),1+('Control Room'!$C$15-1)*EXP(-0.5*(($A450-'Control Room'!$A$15-('Control Room'!$B$15-1)/2)/MAX(0.5,'Control Room'!$B$15/4))^2),1)*IF(AND($A450&gt;='Control Room'!$A$16,$A450&lt;'Control Room'!$A$16+'Control Room'!$B$16,'Process'!BK5=1),1+('Control Room'!$C$16-1)*EXP(-0.5*(($A450-'Control Room'!$A$16-('Control Room'!$B$16-1)/2)/MAX(0.5,'Control Room'!$B$16/4))^2),1)</x:f>
        <x:v>1</x:v>
      </x:c>
      <x:c r="G450" s="9" t="n">
        <x:f>MOD(H449*16807,2147483647)</x:f>
        <x:v>237119418</x:v>
      </x:c>
      <x:c r="H450" s="9" t="n">
        <x:f>MOD(G450*16807,2147483647)</x:f>
        <x:v>1683893141</x:v>
      </x:c>
      <x:c r="I450" s="17" t="n">
        <x:f>IF('Control Room'!$B$5="Normal",'Control Room'!$B$7+'Control Room'!$D$7*SQRT(-2*LN(MAX(0.000000000001,G450/2147483647)))*COS(2*PI()*H450/2147483647),'Control Room'!$B$8+('Control Room'!$D$8-'Control Room'!$B$8)*G450/2147483647)</x:f>
        <x:v>1040.1992724159647</x:v>
      </x:c>
      <x:c r="J450" s="17" t="n">
        <x:f>IF('Control Room'!$B$5="Normal",'Control Room'!$B$7,('Control Room'!$B$8+'Control Room'!$D$8)/2)+'Control Room'!$B$9*(J449-IF('Control Room'!$B$5="Normal",'Control Room'!$B$7,('Control Room'!$B$8+'Control Room'!$D$8)/2))+SQRT(1-'Control Room'!$B$9^2)*(I450-IF('Control Room'!$B$5="Normal",'Control Room'!$B$7,('Control Room'!$B$8+'Control Room'!$D$8)/2))</x:f>
        <x:v>1021.9694658237611</x:v>
      </x:c>
      <x:c r="K450" s="17" t="n">
        <x:f>IF(AND($A450&gt;='Control Room'!$A$13,$A450&lt;'Control Room'!$A$13+'Control Room'!$B$13,'Process'!BL2=1),1+('Control Room'!$C$13-1)*EXP(-0.5*(($A450-'Control Room'!$A$13-('Control Room'!$B$13-1)/2)/MAX(0.5,'Control Room'!$B$13/4))^2),1)*IF(AND($A450&gt;='Control Room'!$A$14,$A450&lt;'Control Room'!$A$14+'Control Room'!$B$14,'Process'!BL3=1),1+('Control Room'!$C$14-1)*EXP(-0.5*(($A450-'Control Room'!$A$14-('Control Room'!$B$14-1)/2)/MAX(0.5,'Control Room'!$B$14/4))^2),1)*IF(AND($A450&gt;='Control Room'!$A$15,$A450&lt;'Control Room'!$A$15+'Control Room'!$B$15,'Process'!BL4=1),1+('Control Room'!$C$15-1)*EXP(-0.5*(($A450-'Control Room'!$A$15-('Control Room'!$B$15-1)/2)/MAX(0.5,'Control Room'!$B$15/4))^2),1)*IF(AND($A450&gt;='Control Room'!$A$16,$A450&lt;'Control Room'!$A$16+'Control Room'!$B$16,'Process'!BL5=1),1+('Control Room'!$C$16-1)*EXP(-0.5*(($A450-'Control Room'!$A$16-('Control Room'!$B$16-1)/2)/MAX(0.5,'Control Room'!$B$16/4))^2),1)</x:f>
        <x:v>1</x:v>
      </x:c>
      <x:c r="L450" s="9" t="n">
        <x:f>MOD(M449*16807,2147483647)</x:f>
        <x:v>1337388527</x:v>
      </x:c>
      <x:c r="M450" s="9" t="n">
        <x:f>MOD(L450*16807,2147483647)</x:f>
        <x:v>1925123787</x:v>
      </x:c>
      <x:c r="N450" s="17" t="n">
        <x:f>IF('Control Room'!$B$5="Normal",'Control Room'!$B$7+'Control Room'!$D$7*SQRT(-2*LN(MAX(0.000000000001,L450/2147483647)))*COS(2*PI()*M450/2147483647),'Control Room'!$B$8+('Control Room'!$D$8-'Control Room'!$B$8)*L450/2147483647)</x:f>
        <x:v>1069.6975625587816</x:v>
      </x:c>
      <x:c r="O450" s="17" t="n">
        <x:f>IF('Control Room'!$B$5="Normal",'Control Room'!$B$7,('Control Room'!$B$8+'Control Room'!$D$8)/2)+'Control Room'!$B$9*(O449-IF('Control Room'!$B$5="Normal",'Control Room'!$B$7,('Control Room'!$B$8+'Control Room'!$D$8)/2))+SQRT(1-'Control Room'!$B$9^2)*(N450-IF('Control Room'!$B$5="Normal",'Control Room'!$B$7,('Control Room'!$B$8+'Control Room'!$D$8)/2))</x:f>
        <x:v>986.8403802414884</x:v>
      </x:c>
      <x:c r="P450" s="17" t="n">
        <x:f>IF(AND($A450&gt;='Control Room'!$A$13,$A450&lt;'Control Room'!$A$13+'Control Room'!$B$13,'Process'!BM2=1),1+('Control Room'!$C$13-1)*EXP(-0.5*(($A450-'Control Room'!$A$13-('Control Room'!$B$13-1)/2)/MAX(0.5,'Control Room'!$B$13/4))^2),1)*IF(AND($A450&gt;='Control Room'!$A$14,$A450&lt;'Control Room'!$A$14+'Control Room'!$B$14,'Process'!BM3=1),1+('Control Room'!$C$14-1)*EXP(-0.5*(($A450-'Control Room'!$A$14-('Control Room'!$B$14-1)/2)/MAX(0.5,'Control Room'!$B$14/4))^2),1)*IF(AND($A450&gt;='Control Room'!$A$15,$A450&lt;'Control Room'!$A$15+'Control Room'!$B$15,'Process'!BM4=1),1+('Control Room'!$C$15-1)*EXP(-0.5*(($A450-'Control Room'!$A$15-('Control Room'!$B$15-1)/2)/MAX(0.5,'Control Room'!$B$15/4))^2),1)*IF(AND($A450&gt;='Control Room'!$A$16,$A450&lt;'Control Room'!$A$16+'Control Room'!$B$16,'Process'!BM5=1),1+('Control Room'!$C$16-1)*EXP(-0.5*(($A450-'Control Room'!$A$16-('Control Room'!$B$16-1)/2)/MAX(0.5,'Control Room'!$B$16/4))^2),1)</x:f>
        <x:v>1</x:v>
      </x:c>
      <x:c r="Q450" s="9" t="n">
        <x:f>MOD(R449*16807,2147483647)</x:f>
        <x:v>290173989</x:v>
      </x:c>
      <x:c r="R450" s="9" t="n">
        <x:f>MOD(Q450*16807,2147483647)</x:f>
        <x:v>18870786</x:v>
      </x:c>
      <x:c r="S450" s="17" t="n">
        <x:f>IF('Control Room'!$B$5="Normal",'Control Room'!$B$7+'Control Room'!$D$7*SQRT(-2*LN(MAX(0.000000000001,Q450/2147483647)))*COS(2*PI()*R450/2147483647),'Control Room'!$B$8+('Control Room'!$D$8-'Control Room'!$B$8)*Q450/2147483647)</x:f>
        <x:v>1179.796297024242</x:v>
      </x:c>
      <x:c r="T450" s="17" t="n">
        <x:f>IF('Control Room'!$B$5="Normal",'Control Room'!$B$7,('Control Room'!$B$8+'Control Room'!$D$8)/2)+'Control Room'!$B$9*(T449-IF('Control Room'!$B$5="Normal",'Control Room'!$B$7,('Control Room'!$B$8+'Control Room'!$D$8)/2))+SQRT(1-'Control Room'!$B$9^2)*(S450-IF('Control Room'!$B$5="Normal",'Control Room'!$B$7,('Control Room'!$B$8+'Control Room'!$D$8)/2))</x:f>
        <x:v>1130.675337034496</x:v>
      </x:c>
      <x:c r="U450" s="17" t="n">
        <x:f>IF(AND($A450&gt;='Control Room'!$A$13,$A450&lt;'Control Room'!$A$13+'Control Room'!$B$13,'Process'!BN2=1),1+('Control Room'!$C$13-1)*EXP(-0.5*(($A450-'Control Room'!$A$13-('Control Room'!$B$13-1)/2)/MAX(0.5,'Control Room'!$B$13/4))^2),1)*IF(AND($A450&gt;='Control Room'!$A$14,$A450&lt;'Control Room'!$A$14+'Control Room'!$B$14,'Process'!BN3=1),1+('Control Room'!$C$14-1)*EXP(-0.5*(($A450-'Control Room'!$A$14-('Control Room'!$B$14-1)/2)/MAX(0.5,'Control Room'!$B$14/4))^2),1)*IF(AND($A450&gt;='Control Room'!$A$15,$A450&lt;'Control Room'!$A$15+'Control Room'!$B$15,'Process'!BN4=1),1+('Control Room'!$C$15-1)*EXP(-0.5*(($A450-'Control Room'!$A$15-('Control Room'!$B$15-1)/2)/MAX(0.5,'Control Room'!$B$15/4))^2),1)*IF(AND($A450&gt;='Control Room'!$A$16,$A450&lt;'Control Room'!$A$16+'Control Room'!$B$16,'Process'!BN5=1),1+('Control Room'!$C$16-1)*EXP(-0.5*(($A450-'Control Room'!$A$16-('Control Room'!$B$16-1)/2)/MAX(0.5,'Control Room'!$B$16/4))^2),1)</x:f>
        <x:v>1</x:v>
      </x:c>
      <x:c r="V450" s="9" t="n">
        <x:f>MOD(W449*16807,2147483647)</x:f>
        <x:v>1390443098</x:v>
      </x:c>
      <x:c r="W450" s="9" t="n">
        <x:f>MOD(V450*16807,2147483647)</x:f>
        <x:v>260101432</x:v>
      </x:c>
      <x:c r="X450" s="17" t="n">
        <x:f>IF('Control Room'!$B$5="Normal",'Control Room'!$B$7+'Control Room'!$D$7*SQRT(-2*LN(MAX(0.000000000001,V450/2147483647)))*COS(2*PI()*W450/2147483647),'Control Room'!$B$8+('Control Room'!$D$8-'Control Room'!$B$8)*V450/2147483647)</x:f>
        <x:v>1060.7659360434252</x:v>
      </x:c>
      <x:c r="Y450" s="17" t="n">
        <x:f>IF('Control Room'!$B$5="Normal",'Control Room'!$B$7,('Control Room'!$B$8+'Control Room'!$D$8)/2)+'Control Room'!$B$9*(Y449-IF('Control Room'!$B$5="Normal",'Control Room'!$B$7,('Control Room'!$B$8+'Control Room'!$D$8)/2))+SQRT(1-'Control Room'!$B$9^2)*(X450-IF('Control Room'!$B$5="Normal",'Control Room'!$B$7,('Control Room'!$B$8+'Control Room'!$D$8)/2))</x:f>
        <x:v>1079.7089457963823</x:v>
      </x:c>
      <x:c r="Z450" s="17" t="n">
        <x:f>IF(AND($A450&gt;='Control Room'!$A$13,$A450&lt;'Control Room'!$A$13+'Control Room'!$B$13,'Process'!BO2=1),1+('Control Room'!$C$13-1)*EXP(-0.5*(($A450-'Control Room'!$A$13-('Control Room'!$B$13-1)/2)/MAX(0.5,'Control Room'!$B$13/4))^2),1)*IF(AND($A450&gt;='Control Room'!$A$14,$A450&lt;'Control Room'!$A$14+'Control Room'!$B$14,'Process'!BO3=1),1+('Control Room'!$C$14-1)*EXP(-0.5*(($A450-'Control Room'!$A$14-('Control Room'!$B$14-1)/2)/MAX(0.5,'Control Room'!$B$14/4))^2),1)*IF(AND($A450&gt;='Control Room'!$A$15,$A450&lt;'Control Room'!$A$15+'Control Room'!$B$15,'Process'!BO4=1),1+('Control Room'!$C$15-1)*EXP(-0.5*(($A450-'Control Room'!$A$15-('Control Room'!$B$15-1)/2)/MAX(0.5,'Control Room'!$B$15/4))^2),1)*IF(AND($A450&gt;='Control Room'!$A$16,$A450&lt;'Control Room'!$A$16+'Control Room'!$B$16,'Process'!BO5=1),1+('Control Room'!$C$16-1)*EXP(-0.5*(($A450-'Control Room'!$A$16-('Control Room'!$B$16-1)/2)/MAX(0.5,'Control Room'!$B$16/4))^2),1)</x:f>
        <x:v>1</x:v>
      </x:c>
      <x:c r="AA450" s="9" t="n">
        <x:f>MOD(AB449*16807,2147483647)</x:f>
        <x:v>343228560</x:v>
      </x:c>
      <x:c r="AB450" s="9" t="n">
        <x:f>MOD(AA450*16807,2147483647)</x:f>
        <x:v>501332078</x:v>
      </x:c>
      <x:c r="AC450" s="17" t="n">
        <x:f>IF('Control Room'!$B$5="Normal",'Control Room'!$B$7+'Control Room'!$D$7*SQRT(-2*LN(MAX(0.000000000001,AA450/2147483647)))*COS(2*PI()*AB450/2147483647),'Control Room'!$B$8+('Control Room'!$D$8-'Control Room'!$B$8)*AA450/2147483647)</x:f>
        <x:v>1017.8890248906966</x:v>
      </x:c>
      <x:c r="AD450" s="17" t="n">
        <x:f>IF('Control Room'!$B$5="Normal",'Control Room'!$B$7,('Control Room'!$B$8+'Control Room'!$D$8)/2)+'Control Room'!$B$9*(AD449-IF('Control Room'!$B$5="Normal",'Control Room'!$B$7,('Control Room'!$B$8+'Control Room'!$D$8)/2))+SQRT(1-'Control Room'!$B$9^2)*(AC450-IF('Control Room'!$B$5="Normal",'Control Room'!$B$7,('Control Room'!$B$8+'Control Room'!$D$8)/2))</x:f>
        <x:v>1094.1085737895519</x:v>
      </x:c>
      <x:c r="AE450" s="17" t="n">
        <x:f>IF(AND($A450&gt;='Control Room'!$A$13,$A450&lt;'Control Room'!$A$13+'Control Room'!$B$13,'Process'!BP2=1),1+('Control Room'!$C$13-1)*EXP(-0.5*(($A450-'Control Room'!$A$13-('Control Room'!$B$13-1)/2)/MAX(0.5,'Control Room'!$B$13/4))^2),1)*IF(AND($A450&gt;='Control Room'!$A$14,$A450&lt;'Control Room'!$A$14+'Control Room'!$B$14,'Process'!BP3=1),1+('Control Room'!$C$14-1)*EXP(-0.5*(($A450-'Control Room'!$A$14-('Control Room'!$B$14-1)/2)/MAX(0.5,'Control Room'!$B$14/4))^2),1)*IF(AND($A450&gt;='Control Room'!$A$15,$A450&lt;'Control Room'!$A$15+'Control Room'!$B$15,'Process'!BP4=1),1+('Control Room'!$C$15-1)*EXP(-0.5*(($A450-'Control Room'!$A$15-('Control Room'!$B$15-1)/2)/MAX(0.5,'Control Room'!$B$15/4))^2),1)*IF(AND($A450&gt;='Control Room'!$A$16,$A450&lt;'Control Room'!$A$16+'Control Room'!$B$16,'Process'!BP5=1),1+('Control Room'!$C$16-1)*EXP(-0.5*(($A450-'Control Room'!$A$16-('Control Room'!$B$16-1)/2)/MAX(0.5,'Control Room'!$B$16/4))^2),1)</x:f>
        <x:v>1</x:v>
      </x:c>
      <x:c r="AF450" s="9" t="n">
        <x:f>MOD(AG449*16807,2147483647)</x:f>
        <x:v>1443497669</x:v>
      </x:c>
      <x:c r="AG450" s="9" t="n">
        <x:f>MOD(AF450*16807,2147483647)</x:f>
        <x:v>742562724</x:v>
      </x:c>
      <x:c r="AH450" s="17" t="n">
        <x:f>IF('Control Room'!$B$5="Normal",'Control Room'!$B$7+'Control Room'!$D$7*SQRT(-2*LN(MAX(0.000000000001,AF450/2147483647)))*COS(2*PI()*AG450/2147483647),'Control Room'!$B$8+('Control Room'!$D$8-'Control Room'!$B$8)*AF450/2147483647)</x:f>
        <x:v>954.5844866817854</x:v>
      </x:c>
      <x:c r="AI450" s="17" t="n">
        <x:f>IF('Control Room'!$B$5="Normal",'Control Room'!$B$7,('Control Room'!$B$8+'Control Room'!$D$8)/2)+'Control Room'!$B$9*(AI449-IF('Control Room'!$B$5="Normal",'Control Room'!$B$7,('Control Room'!$B$8+'Control Room'!$D$8)/2))+SQRT(1-'Control Room'!$B$9^2)*(AH450-IF('Control Room'!$B$5="Normal",'Control Room'!$B$7,('Control Room'!$B$8+'Control Room'!$D$8)/2))</x:f>
        <x:v>1013.9589132622344</x:v>
      </x:c>
      <x:c r="AJ450" s="17" t="n">
        <x:f>IF(AND($A450&gt;='Control Room'!$A$13,$A450&lt;'Control Room'!$A$13+'Control Room'!$B$13,'Process'!BQ2=1),1+('Control Room'!$C$13-1)*EXP(-0.5*(($A450-'Control Room'!$A$13-('Control Room'!$B$13-1)/2)/MAX(0.5,'Control Room'!$B$13/4))^2),1)*IF(AND($A450&gt;='Control Room'!$A$14,$A450&lt;'Control Room'!$A$14+'Control Room'!$B$14,'Process'!BQ3=1),1+('Control Room'!$C$14-1)*EXP(-0.5*(($A450-'Control Room'!$A$14-('Control Room'!$B$14-1)/2)/MAX(0.5,'Control Room'!$B$14/4))^2),1)*IF(AND($A450&gt;='Control Room'!$A$15,$A450&lt;'Control Room'!$A$15+'Control Room'!$B$15,'Process'!BQ4=1),1+('Control Room'!$C$15-1)*EXP(-0.5*(($A450-'Control Room'!$A$15-('Control Room'!$B$15-1)/2)/MAX(0.5,'Control Room'!$B$15/4))^2),1)*IF(AND($A450&gt;='Control Room'!$A$16,$A450&lt;'Control Room'!$A$16+'Control Room'!$B$16,'Process'!BQ5=1),1+('Control Room'!$C$16-1)*EXP(-0.5*(($A450-'Control Room'!$A$16-('Control Room'!$B$16-1)/2)/MAX(0.5,'Control Room'!$B$16/4))^2),1)</x:f>
        <x:v>1</x:v>
      </x:c>
      <x:c r="AK450" s="9" t="n">
        <x:f>MOD(AL449*16807,2147483647)</x:f>
        <x:v>396283131</x:v>
      </x:c>
      <x:c r="AL450" s="9" t="n">
        <x:f>MOD(AK450*16807,2147483647)</x:f>
        <x:v>983793370</x:v>
      </x:c>
      <x:c r="AM450" s="17" t="n">
        <x:f>IF('Control Room'!$B$5="Normal",'Control Room'!$B$7+'Control Room'!$D$7*SQRT(-2*LN(MAX(0.000000000001,AK450/2147483647)))*COS(2*PI()*AL450/2147483647),'Control Room'!$B$8+('Control Room'!$D$8-'Control Room'!$B$8)*AK450/2147483647)</x:f>
        <x:v>840.2376999862739</x:v>
      </x:c>
      <x:c r="AN450" s="17" t="n">
        <x:f>IF('Control Room'!$B$5="Normal",'Control Room'!$B$7,('Control Room'!$B$8+'Control Room'!$D$8)/2)+'Control Room'!$B$9*(AN449-IF('Control Room'!$B$5="Normal",'Control Room'!$B$7,('Control Room'!$B$8+'Control Room'!$D$8)/2))+SQRT(1-'Control Room'!$B$9^2)*(AM450-IF('Control Room'!$B$5="Normal",'Control Room'!$B$7,('Control Room'!$B$8+'Control Room'!$D$8)/2))</x:f>
        <x:v>807.58842351042</x:v>
      </x:c>
      <x:c r="AO450" s="17" t="n">
        <x:f>IF(AND($A450&gt;='Control Room'!$A$13,$A450&lt;'Control Room'!$A$13+'Control Room'!$B$13,'Process'!BR2=1),1+('Control Room'!$C$13-1)*EXP(-0.5*(($A450-'Control Room'!$A$13-('Control Room'!$B$13-1)/2)/MAX(0.5,'Control Room'!$B$13/4))^2),1)*IF(AND($A450&gt;='Control Room'!$A$14,$A450&lt;'Control Room'!$A$14+'Control Room'!$B$14,'Process'!BR3=1),1+('Control Room'!$C$14-1)*EXP(-0.5*(($A450-'Control Room'!$A$14-('Control Room'!$B$14-1)/2)/MAX(0.5,'Control Room'!$B$14/4))^2),1)*IF(AND($A450&gt;='Control Room'!$A$15,$A450&lt;'Control Room'!$A$15+'Control Room'!$B$15,'Process'!BR4=1),1+('Control Room'!$C$15-1)*EXP(-0.5*(($A450-'Control Room'!$A$15-('Control Room'!$B$15-1)/2)/MAX(0.5,'Control Room'!$B$15/4))^2),1)*IF(AND($A450&gt;='Control Room'!$A$16,$A450&lt;'Control Room'!$A$16+'Control Room'!$B$16,'Process'!BR5=1),1+('Control Room'!$C$16-1)*EXP(-0.5*(($A450-'Control Room'!$A$16-('Control Room'!$B$16-1)/2)/MAX(0.5,'Control Room'!$B$16/4))^2),1)</x:f>
        <x:v>1</x:v>
      </x:c>
      <x:c r="AP450" s="9" t="n">
        <x:f>MOD(AQ449*16807,2147483647)</x:f>
        <x:v>1496552240</x:v>
      </x:c>
      <x:c r="AQ450" s="9" t="n">
        <x:f>MOD(AP450*16807,2147483647)</x:f>
        <x:v>1225024016</x:v>
      </x:c>
      <x:c r="AR450" s="17" t="n">
        <x:f>IF('Control Room'!$B$5="Normal",'Control Room'!$B$7+'Control Room'!$D$7*SQRT(-2*LN(MAX(0.000000000001,AP450/2147483647)))*COS(2*PI()*AQ450/2147483647),'Control Room'!$B$8+('Control Room'!$D$8-'Control Room'!$B$8)*AP450/2147483647)</x:f>
        <x:v>930.8835466790772</x:v>
      </x:c>
      <x:c r="AS450" s="17" t="n">
        <x:f>IF('Control Room'!$B$5="Normal",'Control Room'!$B$7,('Control Room'!$B$8+'Control Room'!$D$8)/2)+'Control Room'!$B$9*(AS449-IF('Control Room'!$B$5="Normal",'Control Room'!$B$7,('Control Room'!$B$8+'Control Room'!$D$8)/2))+SQRT(1-'Control Room'!$B$9^2)*(AR450-IF('Control Room'!$B$5="Normal",'Control Room'!$B$7,('Control Room'!$B$8+'Control Room'!$D$8)/2))</x:f>
        <x:v>920.4933266323652</x:v>
      </x:c>
      <x:c r="AT450" s="17" t="n">
        <x:f>IF(AND($A450&gt;='Control Room'!$A$13,$A450&lt;'Control Room'!$A$13+'Control Room'!$B$13,'Process'!BS2=1),1+('Control Room'!$C$13-1)*EXP(-0.5*(($A450-'Control Room'!$A$13-('Control Room'!$B$13-1)/2)/MAX(0.5,'Control Room'!$B$13/4))^2),1)*IF(AND($A450&gt;='Control Room'!$A$14,$A450&lt;'Control Room'!$A$14+'Control Room'!$B$14,'Process'!BS3=1),1+('Control Room'!$C$14-1)*EXP(-0.5*(($A450-'Control Room'!$A$14-('Control Room'!$B$14-1)/2)/MAX(0.5,'Control Room'!$B$14/4))^2),1)*IF(AND($A450&gt;='Control Room'!$A$15,$A450&lt;'Control Room'!$A$15+'Control Room'!$B$15,'Process'!BS4=1),1+('Control Room'!$C$15-1)*EXP(-0.5*(($A450-'Control Room'!$A$15-('Control Room'!$B$15-1)/2)/MAX(0.5,'Control Room'!$B$15/4))^2),1)*IF(AND($A450&gt;='Control Room'!$A$16,$A450&lt;'Control Room'!$A$16+'Control Room'!$B$16,'Process'!BS5=1),1+('Control Room'!$C$16-1)*EXP(-0.5*(($A450-'Control Room'!$A$16-('Control Room'!$B$16-1)/2)/MAX(0.5,'Control Room'!$B$16/4))^2),1)</x:f>
        <x:v>1</x:v>
      </x:c>
      <x:c r="AU450" s="9" t="n">
        <x:f>MOD(AV449*16807,2147483647)</x:f>
        <x:v>449337702</x:v>
      </x:c>
      <x:c r="AV450" s="9" t="n">
        <x:f>MOD(AU450*16807,2147483647)</x:f>
        <x:v>1466254662</x:v>
      </x:c>
      <x:c r="AW450" s="17" t="n">
        <x:f>IF('Control Room'!$B$5="Normal",'Control Room'!$B$7+'Control Room'!$D$7*SQRT(-2*LN(MAX(0.000000000001,AU450/2147483647)))*COS(2*PI()*AV450/2147483647),'Control Room'!$B$8+('Control Room'!$D$8-'Control Room'!$B$8)*AU450/2147483647)</x:f>
        <x:v>934.744796431918</x:v>
      </x:c>
      <x:c r="AX450" s="17" t="n">
        <x:f>IF('Control Room'!$B$5="Normal",'Control Room'!$B$7,('Control Room'!$B$8+'Control Room'!$D$8)/2)+'Control Room'!$B$9*(AX449-IF('Control Room'!$B$5="Normal",'Control Room'!$B$7,('Control Room'!$B$8+'Control Room'!$D$8)/2))+SQRT(1-'Control Room'!$B$9^2)*(AW450-IF('Control Room'!$B$5="Normal",'Control Room'!$B$7,('Control Room'!$B$8+'Control Room'!$D$8)/2))</x:f>
        <x:v>953.4202078151708</x:v>
      </x:c>
      <x:c r="AY450" s="17" t="n">
        <x:f>IF(AND($A450&gt;='Control Room'!$A$13,$A450&lt;'Control Room'!$A$13+'Control Room'!$B$13,'Process'!BT2=1),1+('Control Room'!$C$13-1)*EXP(-0.5*(($A450-'Control Room'!$A$13-('Control Room'!$B$13-1)/2)/MAX(0.5,'Control Room'!$B$13/4))^2),1)*IF(AND($A450&gt;='Control Room'!$A$14,$A450&lt;'Control Room'!$A$14+'Control Room'!$B$14,'Process'!BT3=1),1+('Control Room'!$C$14-1)*EXP(-0.5*(($A450-'Control Room'!$A$14-('Control Room'!$B$14-1)/2)/MAX(0.5,'Control Room'!$B$14/4))^2),1)*IF(AND($A450&gt;='Control Room'!$A$15,$A450&lt;'Control Room'!$A$15+'Control Room'!$B$15,'Process'!BT4=1),1+('Control Room'!$C$15-1)*EXP(-0.5*(($A450-'Control Room'!$A$15-('Control Room'!$B$15-1)/2)/MAX(0.5,'Control Room'!$B$15/4))^2),1)*IF(AND($A450&gt;='Control Room'!$A$16,$A450&lt;'Control Room'!$A$16+'Control Room'!$B$16,'Process'!BT5=1),1+('Control Room'!$C$16-1)*EXP(-0.5*(($A450-'Control Room'!$A$16-('Control Room'!$B$16-1)/2)/MAX(0.5,'Control Room'!$B$16/4))^2),1)</x:f>
        <x:v>1</x:v>
      </x:c>
      <x:c r="AZ450" s="9" t="n">
        <x:f>MOD(BA449*16807,2147483647)</x:f>
        <x:v>1549606811</x:v>
      </x:c>
      <x:c r="BA450" s="9" t="n">
        <x:f>MOD(AZ450*16807,2147483647)</x:f>
        <x:v>1707485308</x:v>
      </x:c>
      <x:c r="BB450" s="17" t="n">
        <x:f>IF('Control Room'!$B$5="Normal",'Control Room'!$B$7+'Control Room'!$D$7*SQRT(-2*LN(MAX(0.000000000001,AZ450/2147483647)))*COS(2*PI()*BA450/2147483647),'Control Room'!$B$8+('Control Room'!$D$8-'Control Room'!$B$8)*AZ450/2147483647)</x:f>
        <x:v>1020.3321571196379</x:v>
      </x:c>
      <x:c r="BC450" s="17" t="n">
        <x:f>IF('Control Room'!$B$5="Normal",'Control Room'!$B$7,('Control Room'!$B$8+'Control Room'!$D$8)/2)+'Control Room'!$B$9*(BC449-IF('Control Room'!$B$5="Normal",'Control Room'!$B$7,('Control Room'!$B$8+'Control Room'!$D$8)/2))+SQRT(1-'Control Room'!$B$9^2)*(BB450-IF('Control Room'!$B$5="Normal",'Control Room'!$B$7,('Control Room'!$B$8+'Control Room'!$D$8)/2))</x:f>
        <x:v>1094.7543419914198</x:v>
      </x:c>
      <x:c r="BD450" s="17" t="n">
        <x:f>IF(AND($A450&gt;='Control Room'!$A$13,$A450&lt;'Control Room'!$A$13+'Control Room'!$B$13,'Process'!BU2=1),1+('Control Room'!$C$13-1)*EXP(-0.5*(($A450-'Control Room'!$A$13-('Control Room'!$B$13-1)/2)/MAX(0.5,'Control Room'!$B$13/4))^2),1)*IF(AND($A450&gt;='Control Room'!$A$14,$A450&lt;'Control Room'!$A$14+'Control Room'!$B$14,'Process'!BU3=1),1+('Control Room'!$C$14-1)*EXP(-0.5*(($A450-'Control Room'!$A$14-('Control Room'!$B$14-1)/2)/MAX(0.5,'Control Room'!$B$14/4))^2),1)*IF(AND($A450&gt;='Control Room'!$A$15,$A450&lt;'Control Room'!$A$15+'Control Room'!$B$15,'Process'!BU4=1),1+('Control Room'!$C$15-1)*EXP(-0.5*(($A450-'Control Room'!$A$15-('Control Room'!$B$15-1)/2)/MAX(0.5,'Control Room'!$B$15/4))^2),1)*IF(AND($A450&gt;='Control Room'!$A$16,$A450&lt;'Control Room'!$A$16+'Control Room'!$B$16,'Process'!BU5=1),1+('Control Room'!$C$16-1)*EXP(-0.5*(($A450-'Control Room'!$A$16-('Control Room'!$B$16-1)/2)/MAX(0.5,'Control Room'!$B$16/4))^2),1)</x:f>
        <x:v>1</x:v>
      </x:c>
      <x:c r="BE450" s="9" t="n">
        <x:f>MOD(BF449*16807,2147483647)</x:f>
        <x:v>502392273</x:v>
      </x:c>
      <x:c r="BF450" s="9" t="n">
        <x:f>MOD(BE450*16807,2147483647)</x:f>
        <x:v>1948715954</x:v>
      </x:c>
      <x:c r="BG450" s="17" t="n">
        <x:f>IF('Control Room'!$B$5="Normal",'Control Room'!$B$7+'Control Room'!$D$7*SQRT(-2*LN(MAX(0.000000000001,BE450/2147483647)))*COS(2*PI()*BF450/2147483647),'Control Room'!$B$8+('Control Room'!$D$8-'Control Room'!$B$8)*BE450/2147483647)</x:f>
        <x:v>1128.1865757420135</x:v>
      </x:c>
      <x:c r="BH450" s="17" t="n">
        <x:f>IF('Control Room'!$B$5="Normal",'Control Room'!$B$7,('Control Room'!$B$8+'Control Room'!$D$8)/2)+'Control Room'!$B$9*(BH449-IF('Control Room'!$B$5="Normal",'Control Room'!$B$7,('Control Room'!$B$8+'Control Room'!$D$8)/2))+SQRT(1-'Control Room'!$B$9^2)*(BG450-IF('Control Room'!$B$5="Normal",'Control Room'!$B$7,('Control Room'!$B$8+'Control Room'!$D$8)/2))</x:f>
        <x:v>1090.804581430807</x:v>
      </x:c>
      <x:c r="BI450" s="17" t="n">
        <x:f>IF(AND($A450&gt;='Control Room'!$A$13,$A450&lt;'Control Room'!$A$13+'Control Room'!$B$13,'Process'!BV2=1),1+('Control Room'!$C$13-1)*EXP(-0.5*(($A450-'Control Room'!$A$13-('Control Room'!$B$13-1)/2)/MAX(0.5,'Control Room'!$B$13/4))^2),1)*IF(AND($A450&gt;='Control Room'!$A$14,$A450&lt;'Control Room'!$A$14+'Control Room'!$B$14,'Process'!BV3=1),1+('Control Room'!$C$14-1)*EXP(-0.5*(($A450-'Control Room'!$A$14-('Control Room'!$B$14-1)/2)/MAX(0.5,'Control Room'!$B$14/4))^2),1)*IF(AND($A450&gt;='Control Room'!$A$15,$A450&lt;'Control Room'!$A$15+'Control Room'!$B$15,'Process'!BV4=1),1+('Control Room'!$C$15-1)*EXP(-0.5*(($A450-'Control Room'!$A$15-('Control Room'!$B$15-1)/2)/MAX(0.5,'Control Room'!$B$15/4))^2),1)*IF(AND($A450&gt;='Control Room'!$A$16,$A450&lt;'Control Room'!$A$16+'Control Room'!$B$16,'Process'!BV5=1),1+('Control Room'!$C$16-1)*EXP(-0.5*(($A450-'Control Room'!$A$16-('Control Room'!$B$16-1)/2)/MAX(0.5,'Control Room'!$B$16/4))^2),1)</x:f>
        <x:v>1</x:v>
      </x:c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Z450" t="str">
        <x:f>IF('Data'!A450="","",TEXT('Data'!A450,"mm-dd"))</x:f>
      </x:c>
    </x:row>
    <x:row r="451" ht="21" customHeight="1">
      <x:c r="A451" s="15" t="n">
        <x:f>'Control Room'!$B$1+449</x:f>
        <x:v>73440</x:v>
      </x:c>
      <x:c r="B451" s="9" t="n">
        <x:f>MOD(C450*16807,2147483647)</x:f>
        <x:v>1738178835</x:v>
      </x:c>
      <x:c r="C451" s="9" t="n">
        <x:f>MOD(B451*16807,2147483647)</x:f>
        <x:v>1351629704</x:v>
      </x:c>
      <x:c r="D451" s="17" t="n">
        <x:f>IF('Control Room'!$B$5="Normal",'Control Room'!$B$7+'Control Room'!$D$7*SQRT(-2*LN(MAX(0.000000000001,B451/2147483647)))*COS(2*PI()*C451/2147483647),'Control Room'!$B$8+('Control Room'!$D$8-'Control Room'!$B$8)*B451/2147483647)</x:f>
        <x:v>959.774078475861</x:v>
      </x:c>
      <x:c r="E451" s="17" t="n">
        <x:f>IF('Control Room'!$B$5="Normal",'Control Room'!$B$7,('Control Room'!$B$8+'Control Room'!$D$8)/2)+'Control Room'!$B$9*(E450-IF('Control Room'!$B$5="Normal",'Control Room'!$B$7,('Control Room'!$B$8+'Control Room'!$D$8)/2))+SQRT(1-'Control Room'!$B$9^2)*(D451-IF('Control Room'!$B$5="Normal",'Control Room'!$B$7,('Control Room'!$B$8+'Control Room'!$D$8)/2))</x:f>
        <x:v>942.5197954184757</x:v>
      </x:c>
      <x:c r="F451" s="17" t="n">
        <x:f>IF(AND($A451&gt;='Control Room'!$A$13,$A451&lt;'Control Room'!$A$13+'Control Room'!$B$13,'Process'!BK2=1),1+('Control Room'!$C$13-1)*EXP(-0.5*(($A451-'Control Room'!$A$13-('Control Room'!$B$13-1)/2)/MAX(0.5,'Control Room'!$B$13/4))^2),1)*IF(AND($A451&gt;='Control Room'!$A$14,$A451&lt;'Control Room'!$A$14+'Control Room'!$B$14,'Process'!BK3=1),1+('Control Room'!$C$14-1)*EXP(-0.5*(($A451-'Control Room'!$A$14-('Control Room'!$B$14-1)/2)/MAX(0.5,'Control Room'!$B$14/4))^2),1)*IF(AND($A451&gt;='Control Room'!$A$15,$A451&lt;'Control Room'!$A$15+'Control Room'!$B$15,'Process'!BK4=1),1+('Control Room'!$C$15-1)*EXP(-0.5*(($A451-'Control Room'!$A$15-('Control Room'!$B$15-1)/2)/MAX(0.5,'Control Room'!$B$15/4))^2),1)*IF(AND($A451&gt;='Control Room'!$A$16,$A451&lt;'Control Room'!$A$16+'Control Room'!$B$16,'Process'!BK5=1),1+('Control Room'!$C$16-1)*EXP(-0.5*(($A451-'Control Room'!$A$16-('Control Room'!$B$16-1)/2)/MAX(0.5,'Control Room'!$B$16/4))^2),1)</x:f>
        <x:v>1</x:v>
      </x:c>
      <x:c r="G451" s="9" t="n">
        <x:f>MOD(H450*16807,2147483647)</x:f>
        <x:v>1652520621</x:v>
      </x:c>
      <x:c r="H451" s="9" t="n">
        <x:f>MOD(G451*16807,2147483647)</x:f>
        <x:v>508070496</x:v>
      </x:c>
      <x:c r="I451" s="17" t="n">
        <x:f>IF('Control Room'!$B$5="Normal",'Control Room'!$B$7+'Control Room'!$D$7*SQRT(-2*LN(MAX(0.000000000001,G451/2147483647)))*COS(2*PI()*H451/2147483647),'Control Room'!$B$8+('Control Room'!$D$8-'Control Room'!$B$8)*G451/2147483647)</x:f>
        <x:v>1005.4832579414591</x:v>
      </x:c>
      <x:c r="J451" s="17" t="n">
        <x:f>IF('Control Room'!$B$5="Normal",'Control Room'!$B$7,('Control Room'!$B$8+'Control Room'!$D$8)/2)+'Control Room'!$B$9*(J450-IF('Control Room'!$B$5="Normal",'Control Room'!$B$7,('Control Room'!$B$8+'Control Room'!$D$8)/2))+SQRT(1-'Control Room'!$B$9^2)*(I451-IF('Control Room'!$B$5="Normal",'Control Room'!$B$7,('Control Room'!$B$8+'Control Room'!$D$8)/2))</x:f>
        <x:v>1020.5674938316541</x:v>
      </x:c>
      <x:c r="K451" s="17" t="n">
        <x:f>IF(AND($A451&gt;='Control Room'!$A$13,$A451&lt;'Control Room'!$A$13+'Control Room'!$B$13,'Process'!BL2=1),1+('Control Room'!$C$13-1)*EXP(-0.5*(($A451-'Control Room'!$A$13-('Control Room'!$B$13-1)/2)/MAX(0.5,'Control Room'!$B$13/4))^2),1)*IF(AND($A451&gt;='Control Room'!$A$14,$A451&lt;'Control Room'!$A$14+'Control Room'!$B$14,'Process'!BL3=1),1+('Control Room'!$C$14-1)*EXP(-0.5*(($A451-'Control Room'!$A$14-('Control Room'!$B$14-1)/2)/MAX(0.5,'Control Room'!$B$14/4))^2),1)*IF(AND($A451&gt;='Control Room'!$A$15,$A451&lt;'Control Room'!$A$15+'Control Room'!$B$15,'Process'!BL4=1),1+('Control Room'!$C$15-1)*EXP(-0.5*(($A451-'Control Room'!$A$15-('Control Room'!$B$15-1)/2)/MAX(0.5,'Control Room'!$B$15/4))^2),1)*IF(AND($A451&gt;='Control Room'!$A$16,$A451&lt;'Control Room'!$A$16+'Control Room'!$B$16,'Process'!BL5=1),1+('Control Room'!$C$16-1)*EXP(-0.5*(($A451-'Control Room'!$A$16-('Control Room'!$B$16-1)/2)/MAX(0.5,'Control Room'!$B$16/4))^2),1)</x:f>
        <x:v>1</x:v>
      </x:c>
      <x:c r="L451" s="9" t="n">
        <x:f>MOD(M450*16807,2147483647)</x:f>
        <x:v>1566862407</x:v>
      </x:c>
      <x:c r="M451" s="9" t="n">
        <x:f>MOD(L451*16807,2147483647)</x:f>
        <x:v>1811994935</x:v>
      </x:c>
      <x:c r="N451" s="17" t="n">
        <x:f>IF('Control Room'!$B$5="Normal",'Control Room'!$B$7+'Control Room'!$D$7*SQRT(-2*LN(MAX(0.000000000001,L451/2147483647)))*COS(2*PI()*M451/2147483647),'Control Room'!$B$8+('Control Room'!$D$8-'Control Room'!$B$8)*L451/2147483647)</x:f>
        <x:v>1039.7109426149455</x:v>
      </x:c>
      <x:c r="O451" s="17" t="n">
        <x:f>IF('Control Room'!$B$5="Normal",'Control Room'!$B$7,('Control Room'!$B$8+'Control Room'!$D$8)/2)+'Control Room'!$B$9*(O450-IF('Control Room'!$B$5="Normal",'Control Room'!$B$7,('Control Room'!$B$8+'Control Room'!$D$8)/2))+SQRT(1-'Control Room'!$B$9^2)*(N451-IF('Control Room'!$B$5="Normal",'Control Room'!$B$7,('Control Room'!$B$8+'Control Room'!$D$8)/2))</x:f>
        <x:v>1014.5857909539155</x:v>
      </x:c>
      <x:c r="P451" s="17" t="n">
        <x:f>IF(AND($A451&gt;='Control Room'!$A$13,$A451&lt;'Control Room'!$A$13+'Control Room'!$B$13,'Process'!BM2=1),1+('Control Room'!$C$13-1)*EXP(-0.5*(($A451-'Control Room'!$A$13-('Control Room'!$B$13-1)/2)/MAX(0.5,'Control Room'!$B$13/4))^2),1)*IF(AND($A451&gt;='Control Room'!$A$14,$A451&lt;'Control Room'!$A$14+'Control Room'!$B$14,'Process'!BM3=1),1+('Control Room'!$C$14-1)*EXP(-0.5*(($A451-'Control Room'!$A$14-('Control Room'!$B$14-1)/2)/MAX(0.5,'Control Room'!$B$14/4))^2),1)*IF(AND($A451&gt;='Control Room'!$A$15,$A451&lt;'Control Room'!$A$15+'Control Room'!$B$15,'Process'!BM4=1),1+('Control Room'!$C$15-1)*EXP(-0.5*(($A451-'Control Room'!$A$15-('Control Room'!$B$15-1)/2)/MAX(0.5,'Control Room'!$B$15/4))^2),1)*IF(AND($A451&gt;='Control Room'!$A$16,$A451&lt;'Control Room'!$A$16+'Control Room'!$B$16,'Process'!BM5=1),1+('Control Room'!$C$16-1)*EXP(-0.5*(($A451-'Control Room'!$A$16-('Control Room'!$B$16-1)/2)/MAX(0.5,'Control Room'!$B$16/4))^2),1)</x:f>
        <x:v>1</x:v>
      </x:c>
      <x:c r="Q451" s="9" t="n">
        <x:f>MOD(R450*16807,2147483647)</x:f>
        <x:v>1481204193</x:v>
      </x:c>
      <x:c r="R451" s="9" t="n">
        <x:f>MOD(Q451*16807,2147483647)</x:f>
        <x:v>968435727</x:v>
      </x:c>
      <x:c r="S451" s="17" t="n">
        <x:f>IF('Control Room'!$B$5="Normal",'Control Room'!$B$7+'Control Room'!$D$7*SQRT(-2*LN(MAX(0.000000000001,Q451/2147483647)))*COS(2*PI()*R451/2147483647),'Control Room'!$B$8+('Control Room'!$D$8-'Control Room'!$B$8)*Q451/2147483647)</x:f>
        <x:v>926.0813495811657</x:v>
      </x:c>
      <x:c r="T451" s="17" t="n">
        <x:f>IF('Control Room'!$B$5="Normal",'Control Room'!$B$7,('Control Room'!$B$8+'Control Room'!$D$8)/2)+'Control Room'!$B$9*(T450-IF('Control Room'!$B$5="Normal",'Control Room'!$B$7,('Control Room'!$B$8+'Control Room'!$D$8)/2))+SQRT(1-'Control Room'!$B$9^2)*(S451-IF('Control Room'!$B$5="Normal",'Control Room'!$B$7,('Control Room'!$B$8+'Control Room'!$D$8)/2))</x:f>
        <x:v>1055.6699857606638</x:v>
      </x:c>
      <x:c r="U451" s="17" t="n">
        <x:f>IF(AND($A451&gt;='Control Room'!$A$13,$A451&lt;'Control Room'!$A$13+'Control Room'!$B$13,'Process'!BN2=1),1+('Control Room'!$C$13-1)*EXP(-0.5*(($A451-'Control Room'!$A$13-('Control Room'!$B$13-1)/2)/MAX(0.5,'Control Room'!$B$13/4))^2),1)*IF(AND($A451&gt;='Control Room'!$A$14,$A451&lt;'Control Room'!$A$14+'Control Room'!$B$14,'Process'!BN3=1),1+('Control Room'!$C$14-1)*EXP(-0.5*(($A451-'Control Room'!$A$14-('Control Room'!$B$14-1)/2)/MAX(0.5,'Control Room'!$B$14/4))^2),1)*IF(AND($A451&gt;='Control Room'!$A$15,$A451&lt;'Control Room'!$A$15+'Control Room'!$B$15,'Process'!BN4=1),1+('Control Room'!$C$15-1)*EXP(-0.5*(($A451-'Control Room'!$A$15-('Control Room'!$B$15-1)/2)/MAX(0.5,'Control Room'!$B$15/4))^2),1)*IF(AND($A451&gt;='Control Room'!$A$16,$A451&lt;'Control Room'!$A$16+'Control Room'!$B$16,'Process'!BN5=1),1+('Control Room'!$C$16-1)*EXP(-0.5*(($A451-'Control Room'!$A$16-('Control Room'!$B$16-1)/2)/MAX(0.5,'Control Room'!$B$16/4))^2),1)</x:f>
        <x:v>1</x:v>
      </x:c>
      <x:c r="V451" s="9" t="n">
        <x:f>MOD(W450*16807,2147483647)</x:f>
        <x:v>1395545979</x:v>
      </x:c>
      <x:c r="W451" s="9" t="n">
        <x:f>MOD(V451*16807,2147483647)</x:f>
        <x:v>124876519</x:v>
      </x:c>
      <x:c r="X451" s="17" t="n">
        <x:f>IF('Control Room'!$B$5="Normal",'Control Room'!$B$7+'Control Room'!$D$7*SQRT(-2*LN(MAX(0.000000000001,V451/2147483647)))*COS(2*PI()*W451/2147483647),'Control Room'!$B$8+('Control Room'!$D$8-'Control Room'!$B$8)*V451/2147483647)</x:f>
        <x:v>1078.0449810303107</x:v>
      </x:c>
      <x:c r="Y451" s="17" t="n">
        <x:f>IF('Control Room'!$B$5="Normal",'Control Room'!$B$7,('Control Room'!$B$8+'Control Room'!$D$8)/2)+'Control Room'!$B$9*(Y450-IF('Control Room'!$B$5="Normal",'Control Room'!$B$7,('Control Room'!$B$8+'Control Room'!$D$8)/2))+SQRT(1-'Control Room'!$B$9^2)*(X451-IF('Control Room'!$B$5="Normal",'Control Room'!$B$7,('Control Room'!$B$8+'Control Room'!$D$8)/2))</x:f>
        <x:v>1111.0119280116055</x:v>
      </x:c>
      <x:c r="Z451" s="17" t="n">
        <x:f>IF(AND($A451&gt;='Control Room'!$A$13,$A451&lt;'Control Room'!$A$13+'Control Room'!$B$13,'Process'!BO2=1),1+('Control Room'!$C$13-1)*EXP(-0.5*(($A451-'Control Room'!$A$13-('Control Room'!$B$13-1)/2)/MAX(0.5,'Control Room'!$B$13/4))^2),1)*IF(AND($A451&gt;='Control Room'!$A$14,$A451&lt;'Control Room'!$A$14+'Control Room'!$B$14,'Process'!BO3=1),1+('Control Room'!$C$14-1)*EXP(-0.5*(($A451-'Control Room'!$A$14-('Control Room'!$B$14-1)/2)/MAX(0.5,'Control Room'!$B$14/4))^2),1)*IF(AND($A451&gt;='Control Room'!$A$15,$A451&lt;'Control Room'!$A$15+'Control Room'!$B$15,'Process'!BO4=1),1+('Control Room'!$C$15-1)*EXP(-0.5*(($A451-'Control Room'!$A$15-('Control Room'!$B$15-1)/2)/MAX(0.5,'Control Room'!$B$15/4))^2),1)*IF(AND($A451&gt;='Control Room'!$A$16,$A451&lt;'Control Room'!$A$16+'Control Room'!$B$16,'Process'!BO5=1),1+('Control Room'!$C$16-1)*EXP(-0.5*(($A451-'Control Room'!$A$16-('Control Room'!$B$16-1)/2)/MAX(0.5,'Control Room'!$B$16/4))^2),1)</x:f>
        <x:v>1</x:v>
      </x:c>
      <x:c r="AA451" s="9" t="n">
        <x:f>MOD(AB450*16807,2147483647)</x:f>
        <x:v>1309887765</x:v>
      </x:c>
      <x:c r="AB451" s="9" t="n">
        <x:f>MOD(AA451*16807,2147483647)</x:f>
        <x:v>1428800958</x:v>
      </x:c>
      <x:c r="AC451" s="17" t="n">
        <x:f>IF('Control Room'!$B$5="Normal",'Control Room'!$B$7+'Control Room'!$D$7*SQRT(-2*LN(MAX(0.000000000001,AA451/2147483647)))*COS(2*PI()*AB451/2147483647),'Control Room'!$B$8+('Control Room'!$D$8-'Control Room'!$B$8)*AA451/2147483647)</x:f>
        <x:v>954.6089578177455</x:v>
      </x:c>
      <x:c r="AD451" s="17" t="n">
        <x:f>IF('Control Room'!$B$5="Normal",'Control Room'!$B$7,('Control Room'!$B$8+'Control Room'!$D$8)/2)+'Control Room'!$B$9*(AD450-IF('Control Room'!$B$5="Normal",'Control Room'!$B$7,('Control Room'!$B$8+'Control Room'!$D$8)/2))+SQRT(1-'Control Room'!$B$9^2)*(AC451-IF('Control Room'!$B$5="Normal",'Control Room'!$B$7,('Control Room'!$B$8+'Control Room'!$D$8)/2))</x:f>
        <x:v>1044.9999032442383</x:v>
      </x:c>
      <x:c r="AE451" s="17" t="n">
        <x:f>IF(AND($A451&gt;='Control Room'!$A$13,$A451&lt;'Control Room'!$A$13+'Control Room'!$B$13,'Process'!BP2=1),1+('Control Room'!$C$13-1)*EXP(-0.5*(($A451-'Control Room'!$A$13-('Control Room'!$B$13-1)/2)/MAX(0.5,'Control Room'!$B$13/4))^2),1)*IF(AND($A451&gt;='Control Room'!$A$14,$A451&lt;'Control Room'!$A$14+'Control Room'!$B$14,'Process'!BP3=1),1+('Control Room'!$C$14-1)*EXP(-0.5*(($A451-'Control Room'!$A$14-('Control Room'!$B$14-1)/2)/MAX(0.5,'Control Room'!$B$14/4))^2),1)*IF(AND($A451&gt;='Control Room'!$A$15,$A451&lt;'Control Room'!$A$15+'Control Room'!$B$15,'Process'!BP4=1),1+('Control Room'!$C$15-1)*EXP(-0.5*(($A451-'Control Room'!$A$15-('Control Room'!$B$15-1)/2)/MAX(0.5,'Control Room'!$B$15/4))^2),1)*IF(AND($A451&gt;='Control Room'!$A$16,$A451&lt;'Control Room'!$A$16+'Control Room'!$B$16,'Process'!BP5=1),1+('Control Room'!$C$16-1)*EXP(-0.5*(($A451-'Control Room'!$A$16-('Control Room'!$B$16-1)/2)/MAX(0.5,'Control Room'!$B$16/4))^2),1)</x:f>
        <x:v>1</x:v>
      </x:c>
      <x:c r="AF451" s="9" t="n">
        <x:f>MOD(AG450*16807,2147483647)</x:f>
        <x:v>1224229551</x:v>
      </x:c>
      <x:c r="AG451" s="9" t="n">
        <x:f>MOD(AF451*16807,2147483647)</x:f>
        <x:v>585241750</x:v>
      </x:c>
      <x:c r="AH451" s="17" t="n">
        <x:f>IF('Control Room'!$B$5="Normal",'Control Room'!$B$7+'Control Room'!$D$7*SQRT(-2*LN(MAX(0.000000000001,AF451/2147483647)))*COS(2*PI()*AG451/2147483647),'Control Room'!$B$8+('Control Room'!$D$8-'Control Room'!$B$8)*AF451/2147483647)</x:f>
        <x:v>986.5413108437015</x:v>
      </x:c>
      <x:c r="AI451" s="17" t="n">
        <x:f>IF('Control Room'!$B$5="Normal",'Control Room'!$B$7,('Control Room'!$B$8+'Control Room'!$D$8)/2)+'Control Room'!$B$9*(AI450-IF('Control Room'!$B$5="Normal",'Control Room'!$B$7,('Control Room'!$B$8+'Control Room'!$D$8)/2))+SQRT(1-'Control Room'!$B$9^2)*(AH451-IF('Control Room'!$B$5="Normal",'Control Room'!$B$7,('Control Room'!$B$8+'Control Room'!$D$8)/2))</x:f>
        <x:v>1002.4657803867651</x:v>
      </x:c>
      <x:c r="AJ451" s="17" t="n">
        <x:f>IF(AND($A451&gt;='Control Room'!$A$13,$A451&lt;'Control Room'!$A$13+'Control Room'!$B$13,'Process'!BQ2=1),1+('Control Room'!$C$13-1)*EXP(-0.5*(($A451-'Control Room'!$A$13-('Control Room'!$B$13-1)/2)/MAX(0.5,'Control Room'!$B$13/4))^2),1)*IF(AND($A451&gt;='Control Room'!$A$14,$A451&lt;'Control Room'!$A$14+'Control Room'!$B$14,'Process'!BQ3=1),1+('Control Room'!$C$14-1)*EXP(-0.5*(($A451-'Control Room'!$A$14-('Control Room'!$B$14-1)/2)/MAX(0.5,'Control Room'!$B$14/4))^2),1)*IF(AND($A451&gt;='Control Room'!$A$15,$A451&lt;'Control Room'!$A$15+'Control Room'!$B$15,'Process'!BQ4=1),1+('Control Room'!$C$15-1)*EXP(-0.5*(($A451-'Control Room'!$A$15-('Control Room'!$B$15-1)/2)/MAX(0.5,'Control Room'!$B$15/4))^2),1)*IF(AND($A451&gt;='Control Room'!$A$16,$A451&lt;'Control Room'!$A$16+'Control Room'!$B$16,'Process'!BQ5=1),1+('Control Room'!$C$16-1)*EXP(-0.5*(($A451-'Control Room'!$A$16-('Control Room'!$B$16-1)/2)/MAX(0.5,'Control Room'!$B$16/4))^2),1)</x:f>
        <x:v>1</x:v>
      </x:c>
      <x:c r="AK451" s="9" t="n">
        <x:f>MOD(AL450*16807,2147483647)</x:f>
        <x:v>1138571337</x:v>
      </x:c>
      <x:c r="AL451" s="9" t="n">
        <x:f>MOD(AK451*16807,2147483647)</x:f>
        <x:v>1889166189</x:v>
      </x:c>
      <x:c r="AM451" s="17" t="n">
        <x:f>IF('Control Room'!$B$5="Normal",'Control Room'!$B$7+'Control Room'!$D$7*SQRT(-2*LN(MAX(0.000000000001,AK451/2147483647)))*COS(2*PI()*AL451/2147483647),'Control Room'!$B$8+('Control Room'!$D$8-'Control Room'!$B$8)*AK451/2147483647)</x:f>
        <x:v>1073.7818252655836</x:v>
      </x:c>
      <x:c r="AN451" s="17" t="n">
        <x:f>IF('Control Room'!$B$5="Normal",'Control Room'!$B$7,('Control Room'!$B$8+'Control Room'!$D$8)/2)+'Control Room'!$B$9*(AN450-IF('Control Room'!$B$5="Normal",'Control Room'!$B$7,('Control Room'!$B$8+'Control Room'!$D$8)/2))+SQRT(1-'Control Room'!$B$9^2)*(AM451-IF('Control Room'!$B$5="Normal",'Control Room'!$B$7,('Control Room'!$B$8+'Control Room'!$D$8)/2))</x:f>
        <x:v>896.0901250864817</x:v>
      </x:c>
      <x:c r="AO451" s="17" t="n">
        <x:f>IF(AND($A451&gt;='Control Room'!$A$13,$A451&lt;'Control Room'!$A$13+'Control Room'!$B$13,'Process'!BR2=1),1+('Control Room'!$C$13-1)*EXP(-0.5*(($A451-'Control Room'!$A$13-('Control Room'!$B$13-1)/2)/MAX(0.5,'Control Room'!$B$13/4))^2),1)*IF(AND($A451&gt;='Control Room'!$A$14,$A451&lt;'Control Room'!$A$14+'Control Room'!$B$14,'Process'!BR3=1),1+('Control Room'!$C$14-1)*EXP(-0.5*(($A451-'Control Room'!$A$14-('Control Room'!$B$14-1)/2)/MAX(0.5,'Control Room'!$B$14/4))^2),1)*IF(AND($A451&gt;='Control Room'!$A$15,$A451&lt;'Control Room'!$A$15+'Control Room'!$B$15,'Process'!BR4=1),1+('Control Room'!$C$15-1)*EXP(-0.5*(($A451-'Control Room'!$A$15-('Control Room'!$B$15-1)/2)/MAX(0.5,'Control Room'!$B$15/4))^2),1)*IF(AND($A451&gt;='Control Room'!$A$16,$A451&lt;'Control Room'!$A$16+'Control Room'!$B$16,'Process'!BR5=1),1+('Control Room'!$C$16-1)*EXP(-0.5*(($A451-'Control Room'!$A$16-('Control Room'!$B$16-1)/2)/MAX(0.5,'Control Room'!$B$16/4))^2),1)</x:f>
        <x:v>1</x:v>
      </x:c>
      <x:c r="AP451" s="9" t="n">
        <x:f>MOD(AQ450*16807,2147483647)</x:f>
        <x:v>1052913123</x:v>
      </x:c>
      <x:c r="AQ451" s="9" t="n">
        <x:f>MOD(AP451*16807,2147483647)</x:f>
        <x:v>1045606981</x:v>
      </x:c>
      <x:c r="AR451" s="17" t="n">
        <x:f>IF('Control Room'!$B$5="Normal",'Control Room'!$B$7+'Control Room'!$D$7*SQRT(-2*LN(MAX(0.000000000001,AP451/2147483647)))*COS(2*PI()*AQ451/2147483647),'Control Room'!$B$8+('Control Room'!$D$8-'Control Room'!$B$8)*AP451/2147483647)</x:f>
        <x:v>892.9100395586257</x:v>
      </x:c>
      <x:c r="AS451" s="17" t="n">
        <x:f>IF('Control Room'!$B$5="Normal",'Control Room'!$B$7,('Control Room'!$B$8+'Control Room'!$D$8)/2)+'Control Room'!$B$9*(AS450-IF('Control Room'!$B$5="Normal",'Control Room'!$B$7,('Control Room'!$B$8+'Control Room'!$D$8)/2))+SQRT(1-'Control Room'!$B$9^2)*(AR451-IF('Control Room'!$B$5="Normal",'Control Room'!$B$7,('Control Room'!$B$8+'Control Room'!$D$8)/2))</x:f>
        <x:v>870.9700913861193</x:v>
      </x:c>
      <x:c r="AT451" s="17" t="n">
        <x:f>IF(AND($A451&gt;='Control Room'!$A$13,$A451&lt;'Control Room'!$A$13+'Control Room'!$B$13,'Process'!BS2=1),1+('Control Room'!$C$13-1)*EXP(-0.5*(($A451-'Control Room'!$A$13-('Control Room'!$B$13-1)/2)/MAX(0.5,'Control Room'!$B$13/4))^2),1)*IF(AND($A451&gt;='Control Room'!$A$14,$A451&lt;'Control Room'!$A$14+'Control Room'!$B$14,'Process'!BS3=1),1+('Control Room'!$C$14-1)*EXP(-0.5*(($A451-'Control Room'!$A$14-('Control Room'!$B$14-1)/2)/MAX(0.5,'Control Room'!$B$14/4))^2),1)*IF(AND($A451&gt;='Control Room'!$A$15,$A451&lt;'Control Room'!$A$15+'Control Room'!$B$15,'Process'!BS4=1),1+('Control Room'!$C$15-1)*EXP(-0.5*(($A451-'Control Room'!$A$15-('Control Room'!$B$15-1)/2)/MAX(0.5,'Control Room'!$B$15/4))^2),1)*IF(AND($A451&gt;='Control Room'!$A$16,$A451&lt;'Control Room'!$A$16+'Control Room'!$B$16,'Process'!BS5=1),1+('Control Room'!$C$16-1)*EXP(-0.5*(($A451-'Control Room'!$A$16-('Control Room'!$B$16-1)/2)/MAX(0.5,'Control Room'!$B$16/4))^2),1)</x:f>
        <x:v>1</x:v>
      </x:c>
      <x:c r="AU451" s="9" t="n">
        <x:f>MOD(AV450*16807,2147483647)</x:f>
        <x:v>967254909</x:v>
      </x:c>
      <x:c r="AV451" s="9" t="n">
        <x:f>MOD(AU451*16807,2147483647)</x:f>
        <x:v>202047773</x:v>
      </x:c>
      <x:c r="AW451" s="17" t="n">
        <x:f>IF('Control Room'!$B$5="Normal",'Control Room'!$B$7+'Control Room'!$D$7*SQRT(-2*LN(MAX(0.000000000001,AU451/2147483647)))*COS(2*PI()*AV451/2147483647),'Control Room'!$B$8+('Control Room'!$D$8-'Control Room'!$B$8)*AU451/2147483647)</x:f>
        <x:v>1094.38001050725</x:v>
      </x:c>
      <x:c r="AX451" s="17" t="n">
        <x:f>IF('Control Room'!$B$5="Normal",'Control Room'!$B$7,('Control Room'!$B$8+'Control Room'!$D$8)/2)+'Control Room'!$B$9*(AX450-IF('Control Room'!$B$5="Normal",'Control Room'!$B$7,('Control Room'!$B$8+'Control Room'!$D$8)/2))+SQRT(1-'Control Room'!$B$9^2)*(AW451-IF('Control Room'!$B$5="Normal",'Control Room'!$B$7,('Control Room'!$B$8+'Control Room'!$D$8)/2))</x:f>
        <x:v>1022.7288391916611</x:v>
      </x:c>
      <x:c r="AY451" s="17" t="n">
        <x:f>IF(AND($A451&gt;='Control Room'!$A$13,$A451&lt;'Control Room'!$A$13+'Control Room'!$B$13,'Process'!BT2=1),1+('Control Room'!$C$13-1)*EXP(-0.5*(($A451-'Control Room'!$A$13-('Control Room'!$B$13-1)/2)/MAX(0.5,'Control Room'!$B$13/4))^2),1)*IF(AND($A451&gt;='Control Room'!$A$14,$A451&lt;'Control Room'!$A$14+'Control Room'!$B$14,'Process'!BT3=1),1+('Control Room'!$C$14-1)*EXP(-0.5*(($A451-'Control Room'!$A$14-('Control Room'!$B$14-1)/2)/MAX(0.5,'Control Room'!$B$14/4))^2),1)*IF(AND($A451&gt;='Control Room'!$A$15,$A451&lt;'Control Room'!$A$15+'Control Room'!$B$15,'Process'!BT4=1),1+('Control Room'!$C$15-1)*EXP(-0.5*(($A451-'Control Room'!$A$15-('Control Room'!$B$15-1)/2)/MAX(0.5,'Control Room'!$B$15/4))^2),1)*IF(AND($A451&gt;='Control Room'!$A$16,$A451&lt;'Control Room'!$A$16+'Control Room'!$B$16,'Process'!BT5=1),1+('Control Room'!$C$16-1)*EXP(-0.5*(($A451-'Control Room'!$A$16-('Control Room'!$B$16-1)/2)/MAX(0.5,'Control Room'!$B$16/4))^2),1)</x:f>
        <x:v>1</x:v>
      </x:c>
      <x:c r="AZ451" s="9" t="n">
        <x:f>MOD(BA450*16807,2147483647)</x:f>
        <x:v>881596695</x:v>
      </x:c>
      <x:c r="BA451" s="9" t="n">
        <x:f>MOD(AZ451*16807,2147483647)</x:f>
        <x:v>1505972212</x:v>
      </x:c>
      <x:c r="BB451" s="17" t="n">
        <x:f>IF('Control Room'!$B$5="Normal",'Control Room'!$B$7+'Control Room'!$D$7*SQRT(-2*LN(MAX(0.000000000001,AZ451/2147483647)))*COS(2*PI()*BA451/2147483647),'Control Room'!$B$8+('Control Room'!$D$8-'Control Room'!$B$8)*AZ451/2147483647)</x:f>
        <x:v>963.8029005881195</x:v>
      </x:c>
      <x:c r="BC451" s="17" t="n">
        <x:f>IF('Control Room'!$B$5="Normal",'Control Room'!$B$7,('Control Room'!$B$8+'Control Room'!$D$8)/2)+'Control Room'!$B$9*(BC450-IF('Control Room'!$B$5="Normal",'Control Room'!$B$7,('Control Room'!$B$8+'Control Room'!$D$8)/2))+SQRT(1-'Control Room'!$B$9^2)*(BB451-IF('Control Room'!$B$5="Normal",'Control Room'!$B$7,('Control Room'!$B$8+'Control Room'!$D$8)/2))</x:f>
        <x:v>1051.2569834792403</x:v>
      </x:c>
      <x:c r="BD451" s="17" t="n">
        <x:f>IF(AND($A451&gt;='Control Room'!$A$13,$A451&lt;'Control Room'!$A$13+'Control Room'!$B$13,'Process'!BU2=1),1+('Control Room'!$C$13-1)*EXP(-0.5*(($A451-'Control Room'!$A$13-('Control Room'!$B$13-1)/2)/MAX(0.5,'Control Room'!$B$13/4))^2),1)*IF(AND($A451&gt;='Control Room'!$A$14,$A451&lt;'Control Room'!$A$14+'Control Room'!$B$14,'Process'!BU3=1),1+('Control Room'!$C$14-1)*EXP(-0.5*(($A451-'Control Room'!$A$14-('Control Room'!$B$14-1)/2)/MAX(0.5,'Control Room'!$B$14/4))^2),1)*IF(AND($A451&gt;='Control Room'!$A$15,$A451&lt;'Control Room'!$A$15+'Control Room'!$B$15,'Process'!BU4=1),1+('Control Room'!$C$15-1)*EXP(-0.5*(($A451-'Control Room'!$A$15-('Control Room'!$B$15-1)/2)/MAX(0.5,'Control Room'!$B$15/4))^2),1)*IF(AND($A451&gt;='Control Room'!$A$16,$A451&lt;'Control Room'!$A$16+'Control Room'!$B$16,'Process'!BU5=1),1+('Control Room'!$C$16-1)*EXP(-0.5*(($A451-'Control Room'!$A$16-('Control Room'!$B$16-1)/2)/MAX(0.5,'Control Room'!$B$16/4))^2),1)</x:f>
        <x:v>1</x:v>
      </x:c>
      <x:c r="BE451" s="9" t="n">
        <x:f>MOD(BF450*16807,2147483647)</x:f>
        <x:v>795938481</x:v>
      </x:c>
      <x:c r="BF451" s="9" t="n">
        <x:f>MOD(BE451*16807,2147483647)</x:f>
        <x:v>662413004</x:v>
      </x:c>
      <x:c r="BG451" s="17" t="n">
        <x:f>IF('Control Room'!$B$5="Normal",'Control Room'!$B$7+'Control Room'!$D$7*SQRT(-2*LN(MAX(0.000000000001,BE451/2147483647)))*COS(2*PI()*BF451/2147483647),'Control Room'!$B$8+('Control Room'!$D$8-'Control Room'!$B$8)*BE451/2147483647)</x:f>
        <x:v>954.4636166382425</x:v>
      </x:c>
      <x:c r="BH451" s="17" t="n">
        <x:f>IF('Control Room'!$B$5="Normal",'Control Room'!$B$7,('Control Room'!$B$8+'Control Room'!$D$8)/2)+'Control Room'!$B$9*(BH450-IF('Control Room'!$B$5="Normal",'Control Room'!$B$7,('Control Room'!$B$8+'Control Room'!$D$8)/2))+SQRT(1-'Control Room'!$B$9^2)*(BG451-IF('Control Room'!$B$5="Normal",'Control Room'!$B$7,('Control Room'!$B$8+'Control Room'!$D$8)/2))</x:f>
        <x:v>1042.3318376717605</x:v>
      </x:c>
      <x:c r="BI451" s="17" t="n">
        <x:f>IF(AND($A451&gt;='Control Room'!$A$13,$A451&lt;'Control Room'!$A$13+'Control Room'!$B$13,'Process'!BV2=1),1+('Control Room'!$C$13-1)*EXP(-0.5*(($A451-'Control Room'!$A$13-('Control Room'!$B$13-1)/2)/MAX(0.5,'Control Room'!$B$13/4))^2),1)*IF(AND($A451&gt;='Control Room'!$A$14,$A451&lt;'Control Room'!$A$14+'Control Room'!$B$14,'Process'!BV3=1),1+('Control Room'!$C$14-1)*EXP(-0.5*(($A451-'Control Room'!$A$14-('Control Room'!$B$14-1)/2)/MAX(0.5,'Control Room'!$B$14/4))^2),1)*IF(AND($A451&gt;='Control Room'!$A$15,$A451&lt;'Control Room'!$A$15+'Control Room'!$B$15,'Process'!BV4=1),1+('Control Room'!$C$15-1)*EXP(-0.5*(($A451-'Control Room'!$A$15-('Control Room'!$B$15-1)/2)/MAX(0.5,'Control Room'!$B$15/4))^2),1)*IF(AND($A451&gt;='Control Room'!$A$16,$A451&lt;'Control Room'!$A$16+'Control Room'!$B$16,'Process'!BV5=1),1+('Control Room'!$C$16-1)*EXP(-0.5*(($A451-'Control Room'!$A$16-('Control Room'!$B$16-1)/2)/MAX(0.5,'Control Room'!$B$16/4))^2),1)</x:f>
        <x:v>1</x:v>
      </x:c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Z451" t="str">
        <x:f>IF('Data'!A451="","",TEXT('Data'!A451,"mm-dd"))</x:f>
      </x:c>
    </x:row>
    <x:row r="452" ht="21" customHeight="1">
      <x:c r="A452" s="15" t="n">
        <x:f>'Control Room'!$B$1+450</x:f>
        <x:v>73441</x:v>
      </x:c>
      <x:c r="B452" s="9" t="n">
        <x:f>MOD(C451*16807,2147483647)</x:f>
        <x:v>758417162</x:v>
      </x:c>
      <x:c r="C452" s="9" t="n">
        <x:f>MOD(B452*16807,2147483647)</x:f>
        <x:v>1401796789</x:v>
      </x:c>
      <x:c r="D452" s="17" t="n">
        <x:f>IF('Control Room'!$B$5="Normal",'Control Room'!$B$7+'Control Room'!$D$7*SQRT(-2*LN(MAX(0.000000000001,B452/2147483647)))*COS(2*PI()*C452/2147483647),'Control Room'!$B$8+('Control Room'!$D$8-'Control Room'!$B$8)*B452/2147483647)</x:f>
        <x:v>925.5103655130672</x:v>
      </x:c>
      <x:c r="E452" s="17" t="n">
        <x:f>IF('Control Room'!$B$5="Normal",'Control Room'!$B$7,('Control Room'!$B$8+'Control Room'!$D$8)/2)+'Control Room'!$B$9*(E451-IF('Control Room'!$B$5="Normal",'Control Room'!$B$7,('Control Room'!$B$8+'Control Room'!$D$8)/2))+SQRT(1-'Control Room'!$B$9^2)*(D452-IF('Control Room'!$B$5="Normal",'Control Room'!$B$7,('Control Room'!$B$8+'Control Room'!$D$8)/2))</x:f>
        <x:v>908.5513531675966</x:v>
      </x:c>
      <x:c r="F452" s="17" t="n">
        <x:f>IF(AND($A452&gt;='Control Room'!$A$13,$A452&lt;'Control Room'!$A$13+'Control Room'!$B$13,'Process'!BK2=1),1+('Control Room'!$C$13-1)*EXP(-0.5*(($A452-'Control Room'!$A$13-('Control Room'!$B$13-1)/2)/MAX(0.5,'Control Room'!$B$13/4))^2),1)*IF(AND($A452&gt;='Control Room'!$A$14,$A452&lt;'Control Room'!$A$14+'Control Room'!$B$14,'Process'!BK3=1),1+('Control Room'!$C$14-1)*EXP(-0.5*(($A452-'Control Room'!$A$14-('Control Room'!$B$14-1)/2)/MAX(0.5,'Control Room'!$B$14/4))^2),1)*IF(AND($A452&gt;='Control Room'!$A$15,$A452&lt;'Control Room'!$A$15+'Control Room'!$B$15,'Process'!BK4=1),1+('Control Room'!$C$15-1)*EXP(-0.5*(($A452-'Control Room'!$A$15-('Control Room'!$B$15-1)/2)/MAX(0.5,'Control Room'!$B$15/4))^2),1)*IF(AND($A452&gt;='Control Room'!$A$16,$A452&lt;'Control Room'!$A$16+'Control Room'!$B$16,'Process'!BK5=1),1+('Control Room'!$C$16-1)*EXP(-0.5*(($A452-'Control Room'!$A$16-('Control Room'!$B$16-1)/2)/MAX(0.5,'Control Room'!$B$16/4))^2),1)</x:f>
        <x:v>1</x:v>
      </x:c>
      <x:c r="G452" s="9" t="n">
        <x:f>MOD(H451*16807,2147483647)</x:f>
        <x:v>745845800</x:v>
      </x:c>
      <x:c r="H452" s="9" t="n">
        <x:f>MOD(G452*16807,2147483647)</x:f>
        <x:v>568313061</x:v>
      </x:c>
      <x:c r="I452" s="17" t="n">
        <x:f>IF('Control Room'!$B$5="Normal",'Control Room'!$B$7+'Control Room'!$D$7*SQRT(-2*LN(MAX(0.000000000001,G452/2147483647)))*COS(2*PI()*H452/2147483647),'Control Room'!$B$8+('Control Room'!$D$8-'Control Room'!$B$8)*G452/2147483647)</x:f>
        <x:v>987.9758610241364</x:v>
      </x:c>
      <x:c r="J452" s="17" t="n">
        <x:f>IF('Control Room'!$B$5="Normal",'Control Room'!$B$7,('Control Room'!$B$8+'Control Room'!$D$8)/2)+'Control Room'!$B$9*(J451-IF('Control Room'!$B$5="Normal",'Control Room'!$B$7,('Control Room'!$B$8+'Control Room'!$D$8)/2))+SQRT(1-'Control Room'!$B$9^2)*(I452-IF('Control Room'!$B$5="Normal",'Control Room'!$B$7,('Control Room'!$B$8+'Control Room'!$D$8)/2))</x:f>
        <x:v>1008.5181853454708</x:v>
      </x:c>
      <x:c r="K452" s="17" t="n">
        <x:f>IF(AND($A452&gt;='Control Room'!$A$13,$A452&lt;'Control Room'!$A$13+'Control Room'!$B$13,'Process'!BL2=1),1+('Control Room'!$C$13-1)*EXP(-0.5*(($A452-'Control Room'!$A$13-('Control Room'!$B$13-1)/2)/MAX(0.5,'Control Room'!$B$13/4))^2),1)*IF(AND($A452&gt;='Control Room'!$A$14,$A452&lt;'Control Room'!$A$14+'Control Room'!$B$14,'Process'!BL3=1),1+('Control Room'!$C$14-1)*EXP(-0.5*(($A452-'Control Room'!$A$14-('Control Room'!$B$14-1)/2)/MAX(0.5,'Control Room'!$B$14/4))^2),1)*IF(AND($A452&gt;='Control Room'!$A$15,$A452&lt;'Control Room'!$A$15+'Control Room'!$B$15,'Process'!BL4=1),1+('Control Room'!$C$15-1)*EXP(-0.5*(($A452-'Control Room'!$A$15-('Control Room'!$B$15-1)/2)/MAX(0.5,'Control Room'!$B$15/4))^2),1)*IF(AND($A452&gt;='Control Room'!$A$16,$A452&lt;'Control Room'!$A$16+'Control Room'!$B$16,'Process'!BL5=1),1+('Control Room'!$C$16-1)*EXP(-0.5*(($A452-'Control Room'!$A$16-('Control Room'!$B$16-1)/2)/MAX(0.5,'Control Room'!$B$16/4))^2),1)</x:f>
        <x:v>1</x:v>
      </x:c>
      <x:c r="L452" s="9" t="n">
        <x:f>MOD(M451*16807,2147483647)</x:f>
        <x:v>733274438</x:v>
      </x:c>
      <x:c r="M452" s="9" t="n">
        <x:f>MOD(L452*16807,2147483647)</x:f>
        <x:v>1882312980</x:v>
      </x:c>
      <x:c r="N452" s="17" t="n">
        <x:f>IF('Control Room'!$B$5="Normal",'Control Room'!$B$7+'Control Room'!$D$7*SQRT(-2*LN(MAX(0.000000000001,L452/2147483647)))*COS(2*PI()*M452/2147483647),'Control Room'!$B$8+('Control Room'!$D$8-'Control Room'!$B$8)*L452/2147483647)</x:f>
        <x:v>1094.1805654297295</x:v>
      </x:c>
      <x:c r="O452" s="17" t="n">
        <x:f>IF('Control Room'!$B$5="Normal",'Control Room'!$B$7,('Control Room'!$B$8+'Control Room'!$D$8)/2)+'Control Room'!$B$9*(O451-IF('Control Room'!$B$5="Normal",'Control Room'!$B$7,('Control Room'!$B$8+'Control Room'!$D$8)/2))+SQRT(1-'Control Room'!$B$9^2)*(N452-IF('Control Room'!$B$5="Normal",'Control Room'!$B$7,('Control Room'!$B$8+'Control Room'!$D$8)/2))</x:f>
        <x:v>1070.313185396224</x:v>
      </x:c>
      <x:c r="P452" s="17" t="n">
        <x:f>IF(AND($A452&gt;='Control Room'!$A$13,$A452&lt;'Control Room'!$A$13+'Control Room'!$B$13,'Process'!BM2=1),1+('Control Room'!$C$13-1)*EXP(-0.5*(($A452-'Control Room'!$A$13-('Control Room'!$B$13-1)/2)/MAX(0.5,'Control Room'!$B$13/4))^2),1)*IF(AND($A452&gt;='Control Room'!$A$14,$A452&lt;'Control Room'!$A$14+'Control Room'!$B$14,'Process'!BM3=1),1+('Control Room'!$C$14-1)*EXP(-0.5*(($A452-'Control Room'!$A$14-('Control Room'!$B$14-1)/2)/MAX(0.5,'Control Room'!$B$14/4))^2),1)*IF(AND($A452&gt;='Control Room'!$A$15,$A452&lt;'Control Room'!$A$15+'Control Room'!$B$15,'Process'!BM4=1),1+('Control Room'!$C$15-1)*EXP(-0.5*(($A452-'Control Room'!$A$15-('Control Room'!$B$15-1)/2)/MAX(0.5,'Control Room'!$B$15/4))^2),1)*IF(AND($A452&gt;='Control Room'!$A$16,$A452&lt;'Control Room'!$A$16+'Control Room'!$B$16,'Process'!BM5=1),1+('Control Room'!$C$16-1)*EXP(-0.5*(($A452-'Control Room'!$A$16-('Control Room'!$B$16-1)/2)/MAX(0.5,'Control Room'!$B$16/4))^2),1)</x:f>
        <x:v>1</x:v>
      </x:c>
      <x:c r="Q452" s="9" t="n">
        <x:f>MOD(R451*16807,2147483647)</x:f>
        <x:v>720703076</x:v>
      </x:c>
      <x:c r="R452" s="9" t="n">
        <x:f>MOD(Q452*16807,2147483647)</x:f>
        <x:v>1048829252</x:v>
      </x:c>
      <x:c r="S452" s="17" t="n">
        <x:f>IF('Control Room'!$B$5="Normal",'Control Room'!$B$7+'Control Room'!$D$7*SQRT(-2*LN(MAX(0.000000000001,Q452/2147483647)))*COS(2*PI()*R452/2147483647),'Control Room'!$B$8+('Control Room'!$D$8-'Control Room'!$B$8)*Q452/2147483647)</x:f>
        <x:v>867.3585480354492</x:v>
      </x:c>
      <x:c r="T452" s="17" t="n">
        <x:f>IF('Control Room'!$B$5="Normal",'Control Room'!$B$7,('Control Room'!$B$8+'Control Room'!$D$8)/2)+'Control Room'!$B$9*(T451-IF('Control Room'!$B$5="Normal",'Control Room'!$B$7,('Control Room'!$B$8+'Control Room'!$D$8)/2))+SQRT(1-'Control Room'!$B$9^2)*(S452-IF('Control Room'!$B$5="Normal",'Control Room'!$B$7,('Control Room'!$B$8+'Control Room'!$D$8)/2))</x:f>
        <x:v>960.4182855617444</x:v>
      </x:c>
      <x:c r="U452" s="17" t="n">
        <x:f>IF(AND($A452&gt;='Control Room'!$A$13,$A452&lt;'Control Room'!$A$13+'Control Room'!$B$13,'Process'!BN2=1),1+('Control Room'!$C$13-1)*EXP(-0.5*(($A452-'Control Room'!$A$13-('Control Room'!$B$13-1)/2)/MAX(0.5,'Control Room'!$B$13/4))^2),1)*IF(AND($A452&gt;='Control Room'!$A$14,$A452&lt;'Control Room'!$A$14+'Control Room'!$B$14,'Process'!BN3=1),1+('Control Room'!$C$14-1)*EXP(-0.5*(($A452-'Control Room'!$A$14-('Control Room'!$B$14-1)/2)/MAX(0.5,'Control Room'!$B$14/4))^2),1)*IF(AND($A452&gt;='Control Room'!$A$15,$A452&lt;'Control Room'!$A$15+'Control Room'!$B$15,'Process'!BN4=1),1+('Control Room'!$C$15-1)*EXP(-0.5*(($A452-'Control Room'!$A$15-('Control Room'!$B$15-1)/2)/MAX(0.5,'Control Room'!$B$15/4))^2),1)*IF(AND($A452&gt;='Control Room'!$A$16,$A452&lt;'Control Room'!$A$16+'Control Room'!$B$16,'Process'!BN5=1),1+('Control Room'!$C$16-1)*EXP(-0.5*(($A452-'Control Room'!$A$16-('Control Room'!$B$16-1)/2)/MAX(0.5,'Control Room'!$B$16/4))^2),1)</x:f>
        <x:v>1</x:v>
      </x:c>
      <x:c r="V452" s="9" t="n">
        <x:f>MOD(W451*16807,2147483647)</x:f>
        <x:v>708131714</x:v>
      </x:c>
      <x:c r="W452" s="9" t="n">
        <x:f>MOD(V452*16807,2147483647)</x:f>
        <x:v>215345524</x:v>
      </x:c>
      <x:c r="X452" s="17" t="n">
        <x:f>IF('Control Room'!$B$5="Normal",'Control Room'!$B$7+'Control Room'!$D$7*SQRT(-2*LN(MAX(0.000000000001,V452/2147483647)))*COS(2*PI()*W452/2147483647),'Control Room'!$B$8+('Control Room'!$D$8-'Control Room'!$B$8)*V452/2147483647)</x:f>
        <x:v>1108.3206390847186</x:v>
      </x:c>
      <x:c r="Y452" s="17" t="n">
        <x:f>IF('Control Room'!$B$5="Normal",'Control Room'!$B$7,('Control Room'!$B$8+'Control Room'!$D$8)/2)+'Control Room'!$B$9*(Y451-IF('Control Room'!$B$5="Normal",'Control Room'!$B$7,('Control Room'!$B$8+'Control Room'!$D$8)/2))+SQRT(1-'Control Room'!$B$9^2)*(X452-IF('Control Room'!$B$5="Normal",'Control Room'!$B$7,('Control Room'!$B$8+'Control Room'!$D$8)/2))</x:f>
        <x:v>1154.3741407193604</x:v>
      </x:c>
      <x:c r="Z452" s="17" t="n">
        <x:f>IF(AND($A452&gt;='Control Room'!$A$13,$A452&lt;'Control Room'!$A$13+'Control Room'!$B$13,'Process'!BO2=1),1+('Control Room'!$C$13-1)*EXP(-0.5*(($A452-'Control Room'!$A$13-('Control Room'!$B$13-1)/2)/MAX(0.5,'Control Room'!$B$13/4))^2),1)*IF(AND($A452&gt;='Control Room'!$A$14,$A452&lt;'Control Room'!$A$14+'Control Room'!$B$14,'Process'!BO3=1),1+('Control Room'!$C$14-1)*EXP(-0.5*(($A452-'Control Room'!$A$14-('Control Room'!$B$14-1)/2)/MAX(0.5,'Control Room'!$B$14/4))^2),1)*IF(AND($A452&gt;='Control Room'!$A$15,$A452&lt;'Control Room'!$A$15+'Control Room'!$B$15,'Process'!BO4=1),1+('Control Room'!$C$15-1)*EXP(-0.5*(($A452-'Control Room'!$A$15-('Control Room'!$B$15-1)/2)/MAX(0.5,'Control Room'!$B$15/4))^2),1)*IF(AND($A452&gt;='Control Room'!$A$16,$A452&lt;'Control Room'!$A$16+'Control Room'!$B$16,'Process'!BO5=1),1+('Control Room'!$C$16-1)*EXP(-0.5*(($A452-'Control Room'!$A$16-('Control Room'!$B$16-1)/2)/MAX(0.5,'Control Room'!$B$16/4))^2),1)</x:f>
        <x:v>1</x:v>
      </x:c>
      <x:c r="AA452" s="9" t="n">
        <x:f>MOD(AB451*16807,2147483647)</x:f>
        <x:v>695560352</x:v>
      </x:c>
      <x:c r="AB452" s="9" t="n">
        <x:f>MOD(AA452*16807,2147483647)</x:f>
        <x:v>1529345443</x:v>
      </x:c>
      <x:c r="AC452" s="17" t="n">
        <x:f>IF('Control Room'!$B$5="Normal",'Control Room'!$B$7+'Control Room'!$D$7*SQRT(-2*LN(MAX(0.000000000001,AA452/2147483647)))*COS(2*PI()*AB452/2147483647),'Control Room'!$B$8+('Control Room'!$D$8-'Control Room'!$B$8)*AA452/2147483647)</x:f>
        <x:v>968.1690471988517</x:v>
      </x:c>
      <x:c r="AD452" s="17" t="n">
        <x:f>IF('Control Room'!$B$5="Normal",'Control Room'!$B$7,('Control Room'!$B$8+'Control Room'!$D$8)/2)+'Control Room'!$B$9*(AD451-IF('Control Room'!$B$5="Normal",'Control Room'!$B$7,('Control Room'!$B$8+'Control Room'!$D$8)/2))+SQRT(1-'Control Room'!$B$9^2)*(AC452-IF('Control Room'!$B$5="Normal",'Control Room'!$B$7,('Control Room'!$B$8+'Control Room'!$D$8)/2))</x:f>
        <x:v>1015.1807663600598</x:v>
      </x:c>
      <x:c r="AE452" s="17" t="n">
        <x:f>IF(AND($A452&gt;='Control Room'!$A$13,$A452&lt;'Control Room'!$A$13+'Control Room'!$B$13,'Process'!BP2=1),1+('Control Room'!$C$13-1)*EXP(-0.5*(($A452-'Control Room'!$A$13-('Control Room'!$B$13-1)/2)/MAX(0.5,'Control Room'!$B$13/4))^2),1)*IF(AND($A452&gt;='Control Room'!$A$14,$A452&lt;'Control Room'!$A$14+'Control Room'!$B$14,'Process'!BP3=1),1+('Control Room'!$C$14-1)*EXP(-0.5*(($A452-'Control Room'!$A$14-('Control Room'!$B$14-1)/2)/MAX(0.5,'Control Room'!$B$14/4))^2),1)*IF(AND($A452&gt;='Control Room'!$A$15,$A452&lt;'Control Room'!$A$15+'Control Room'!$B$15,'Process'!BP4=1),1+('Control Room'!$C$15-1)*EXP(-0.5*(($A452-'Control Room'!$A$15-('Control Room'!$B$15-1)/2)/MAX(0.5,'Control Room'!$B$15/4))^2),1)*IF(AND($A452&gt;='Control Room'!$A$16,$A452&lt;'Control Room'!$A$16+'Control Room'!$B$16,'Process'!BP5=1),1+('Control Room'!$C$16-1)*EXP(-0.5*(($A452-'Control Room'!$A$16-('Control Room'!$B$16-1)/2)/MAX(0.5,'Control Room'!$B$16/4))^2),1)</x:f>
        <x:v>1</x:v>
      </x:c>
      <x:c r="AF452" s="9" t="n">
        <x:f>MOD(AG451*16807,2147483647)</x:f>
        <x:v>682988990</x:v>
      </x:c>
      <x:c r="AG452" s="9" t="n">
        <x:f>MOD(AF452*16807,2147483647)</x:f>
        <x:v>695861715</x:v>
      </x:c>
      <x:c r="AH452" s="17" t="n">
        <x:f>IF('Control Room'!$B$5="Normal",'Control Room'!$B$7+'Control Room'!$D$7*SQRT(-2*LN(MAX(0.000000000001,AF452/2147483647)))*COS(2*PI()*AG452/2147483647),'Control Room'!$B$8+('Control Room'!$D$8-'Control Room'!$B$8)*AF452/2147483647)</x:f>
        <x:v>938.889854043861</x:v>
      </x:c>
      <x:c r="AI452" s="17" t="n">
        <x:f>IF('Control Room'!$B$5="Normal",'Control Room'!$B$7,('Control Room'!$B$8+'Control Room'!$D$8)/2)+'Control Room'!$B$9*(AI451-IF('Control Room'!$B$5="Normal",'Control Room'!$B$7,('Control Room'!$B$8+'Control Room'!$D$8)/2))+SQRT(1-'Control Room'!$B$9^2)*(AH452-IF('Control Room'!$B$5="Normal",'Control Room'!$B$7,('Control Room'!$B$8+'Control Room'!$D$8)/2))</x:f>
        <x:v>963.6818312717122</x:v>
      </x:c>
      <x:c r="AJ452" s="17" t="n">
        <x:f>IF(AND($A452&gt;='Control Room'!$A$13,$A452&lt;'Control Room'!$A$13+'Control Room'!$B$13,'Process'!BQ2=1),1+('Control Room'!$C$13-1)*EXP(-0.5*(($A452-'Control Room'!$A$13-('Control Room'!$B$13-1)/2)/MAX(0.5,'Control Room'!$B$13/4))^2),1)*IF(AND($A452&gt;='Control Room'!$A$14,$A452&lt;'Control Room'!$A$14+'Control Room'!$B$14,'Process'!BQ3=1),1+('Control Room'!$C$14-1)*EXP(-0.5*(($A452-'Control Room'!$A$14-('Control Room'!$B$14-1)/2)/MAX(0.5,'Control Room'!$B$14/4))^2),1)*IF(AND($A452&gt;='Control Room'!$A$15,$A452&lt;'Control Room'!$A$15+'Control Room'!$B$15,'Process'!BQ4=1),1+('Control Room'!$C$15-1)*EXP(-0.5*(($A452-'Control Room'!$A$15-('Control Room'!$B$15-1)/2)/MAX(0.5,'Control Room'!$B$15/4))^2),1)*IF(AND($A452&gt;='Control Room'!$A$16,$A452&lt;'Control Room'!$A$16+'Control Room'!$B$16,'Process'!BQ5=1),1+('Control Room'!$C$16-1)*EXP(-0.5*(($A452-'Control Room'!$A$16-('Control Room'!$B$16-1)/2)/MAX(0.5,'Control Room'!$B$16/4))^2),1)</x:f>
        <x:v>1</x:v>
      </x:c>
      <x:c r="AK452" s="9" t="n">
        <x:f>MOD(AL451*16807,2147483647)</x:f>
        <x:v>670417628</x:v>
      </x:c>
      <x:c r="AL452" s="9" t="n">
        <x:f>MOD(AK452*16807,2147483647)</x:f>
        <x:v>2009861634</x:v>
      </x:c>
      <x:c r="AM452" s="17" t="n">
        <x:f>IF('Control Room'!$B$5="Normal",'Control Room'!$B$7+'Control Room'!$D$7*SQRT(-2*LN(MAX(0.000000000001,AK452/2147483647)))*COS(2*PI()*AL452/2147483647),'Control Room'!$B$8+('Control Room'!$D$8-'Control Room'!$B$8)*AK452/2147483647)</x:f>
        <x:v>1126.345697911585</x:v>
      </x:c>
      <x:c r="AN452" s="17" t="n">
        <x:f>IF('Control Room'!$B$5="Normal",'Control Room'!$B$7,('Control Room'!$B$8+'Control Room'!$D$8)/2)+'Control Room'!$B$9*(AN451-IF('Control Room'!$B$5="Normal",'Control Room'!$B$7,('Control Room'!$B$8+'Control Room'!$D$8)/2))+SQRT(1-'Control Room'!$B$9^2)*(AM452-IF('Control Room'!$B$5="Normal",'Control Room'!$B$7,('Control Room'!$B$8+'Control Room'!$D$8)/2))</x:f>
        <x:v>998.0148469882155</x:v>
      </x:c>
      <x:c r="AO452" s="17" t="n">
        <x:f>IF(AND($A452&gt;='Control Room'!$A$13,$A452&lt;'Control Room'!$A$13+'Control Room'!$B$13,'Process'!BR2=1),1+('Control Room'!$C$13-1)*EXP(-0.5*(($A452-'Control Room'!$A$13-('Control Room'!$B$13-1)/2)/MAX(0.5,'Control Room'!$B$13/4))^2),1)*IF(AND($A452&gt;='Control Room'!$A$14,$A452&lt;'Control Room'!$A$14+'Control Room'!$B$14,'Process'!BR3=1),1+('Control Room'!$C$14-1)*EXP(-0.5*(($A452-'Control Room'!$A$14-('Control Room'!$B$14-1)/2)/MAX(0.5,'Control Room'!$B$14/4))^2),1)*IF(AND($A452&gt;='Control Room'!$A$15,$A452&lt;'Control Room'!$A$15+'Control Room'!$B$15,'Process'!BR4=1),1+('Control Room'!$C$15-1)*EXP(-0.5*(($A452-'Control Room'!$A$15-('Control Room'!$B$15-1)/2)/MAX(0.5,'Control Room'!$B$15/4))^2),1)*IF(AND($A452&gt;='Control Room'!$A$16,$A452&lt;'Control Room'!$A$16+'Control Room'!$B$16,'Process'!BR5=1),1+('Control Room'!$C$16-1)*EXP(-0.5*(($A452-'Control Room'!$A$16-('Control Room'!$B$16-1)/2)/MAX(0.5,'Control Room'!$B$16/4))^2),1)</x:f>
        <x:v>1</x:v>
      </x:c>
      <x:c r="AP452" s="9" t="n">
        <x:f>MOD(AQ451*16807,2147483647)</x:f>
        <x:v>657846266</x:v>
      </x:c>
      <x:c r="AQ452" s="9" t="n">
        <x:f>MOD(AP452*16807,2147483647)</x:f>
        <x:v>1176377906</x:v>
      </x:c>
      <x:c r="AR452" s="17" t="n">
        <x:f>IF('Control Room'!$B$5="Normal",'Control Room'!$B$7+'Control Room'!$D$7*SQRT(-2*LN(MAX(0.000000000001,AP452/2147483647)))*COS(2*PI()*AQ452/2147483647),'Control Room'!$B$8+('Control Room'!$D$8-'Control Room'!$B$8)*AP452/2147483647)</x:f>
        <x:v>867.7543984370059</x:v>
      </x:c>
      <x:c r="AS452" s="17" t="n">
        <x:f>IF('Control Room'!$B$5="Normal",'Control Room'!$B$7,('Control Room'!$B$8+'Control Room'!$D$8)/2)+'Control Room'!$B$9*(AS451-IF('Control Room'!$B$5="Normal",'Control Room'!$B$7,('Control Room'!$B$8+'Control Room'!$D$8)/2))+SQRT(1-'Control Room'!$B$9^2)*(AR452-IF('Control Room'!$B$5="Normal",'Control Room'!$B$7,('Control Room'!$B$8+'Control Room'!$D$8)/2))</x:f>
        <x:v>816.6000830214574</x:v>
      </x:c>
      <x:c r="AT452" s="17" t="n">
        <x:f>IF(AND($A452&gt;='Control Room'!$A$13,$A452&lt;'Control Room'!$A$13+'Control Room'!$B$13,'Process'!BS2=1),1+('Control Room'!$C$13-1)*EXP(-0.5*(($A452-'Control Room'!$A$13-('Control Room'!$B$13-1)/2)/MAX(0.5,'Control Room'!$B$13/4))^2),1)*IF(AND($A452&gt;='Control Room'!$A$14,$A452&lt;'Control Room'!$A$14+'Control Room'!$B$14,'Process'!BS3=1),1+('Control Room'!$C$14-1)*EXP(-0.5*(($A452-'Control Room'!$A$14-('Control Room'!$B$14-1)/2)/MAX(0.5,'Control Room'!$B$14/4))^2),1)*IF(AND($A452&gt;='Control Room'!$A$15,$A452&lt;'Control Room'!$A$15+'Control Room'!$B$15,'Process'!BS4=1),1+('Control Room'!$C$15-1)*EXP(-0.5*(($A452-'Control Room'!$A$15-('Control Room'!$B$15-1)/2)/MAX(0.5,'Control Room'!$B$15/4))^2),1)*IF(AND($A452&gt;='Control Room'!$A$16,$A452&lt;'Control Room'!$A$16+'Control Room'!$B$16,'Process'!BS5=1),1+('Control Room'!$C$16-1)*EXP(-0.5*(($A452-'Control Room'!$A$16-('Control Room'!$B$16-1)/2)/MAX(0.5,'Control Room'!$B$16/4))^2),1)</x:f>
        <x:v>1</x:v>
      </x:c>
      <x:c r="AU452" s="9" t="n">
        <x:f>MOD(AV451*16807,2147483647)</x:f>
        <x:v>645274904</x:v>
      </x:c>
      <x:c r="AV452" s="9" t="n">
        <x:f>MOD(AU452*16807,2147483647)</x:f>
        <x:v>342894178</x:v>
      </x:c>
      <x:c r="AW452" s="17" t="n">
        <x:f>IF('Control Room'!$B$5="Normal",'Control Room'!$B$7+'Control Room'!$D$7*SQRT(-2*LN(MAX(0.000000000001,AU452/2147483647)))*COS(2*PI()*AV452/2147483647),'Control Room'!$B$8+('Control Room'!$D$8-'Control Room'!$B$8)*AU452/2147483647)</x:f>
        <x:v>1075.0251410063765</x:v>
      </x:c>
      <x:c r="AX452" s="17" t="n">
        <x:f>IF('Control Room'!$B$5="Normal",'Control Room'!$B$7,('Control Room'!$B$8+'Control Room'!$D$8)/2)+'Control Room'!$B$9*(AX451-IF('Control Room'!$B$5="Normal",'Control Room'!$B$7,('Control Room'!$B$8+'Control Room'!$D$8)/2))+SQRT(1-'Control Room'!$B$9^2)*(AW452-IF('Control Room'!$B$5="Normal",'Control Room'!$B$7,('Control Room'!$B$8+'Control Room'!$D$8)/2))</x:f>
        <x:v>1064.6776908377306</x:v>
      </x:c>
      <x:c r="AY452" s="17" t="n">
        <x:f>IF(AND($A452&gt;='Control Room'!$A$13,$A452&lt;'Control Room'!$A$13+'Control Room'!$B$13,'Process'!BT2=1),1+('Control Room'!$C$13-1)*EXP(-0.5*(($A452-'Control Room'!$A$13-('Control Room'!$B$13-1)/2)/MAX(0.5,'Control Room'!$B$13/4))^2),1)*IF(AND($A452&gt;='Control Room'!$A$14,$A452&lt;'Control Room'!$A$14+'Control Room'!$B$14,'Process'!BT3=1),1+('Control Room'!$C$14-1)*EXP(-0.5*(($A452-'Control Room'!$A$14-('Control Room'!$B$14-1)/2)/MAX(0.5,'Control Room'!$B$14/4))^2),1)*IF(AND($A452&gt;='Control Room'!$A$15,$A452&lt;'Control Room'!$A$15+'Control Room'!$B$15,'Process'!BT4=1),1+('Control Room'!$C$15-1)*EXP(-0.5*(($A452-'Control Room'!$A$15-('Control Room'!$B$15-1)/2)/MAX(0.5,'Control Room'!$B$15/4))^2),1)*IF(AND($A452&gt;='Control Room'!$A$16,$A452&lt;'Control Room'!$A$16+'Control Room'!$B$16,'Process'!BT5=1),1+('Control Room'!$C$16-1)*EXP(-0.5*(($A452-'Control Room'!$A$16-('Control Room'!$B$16-1)/2)/MAX(0.5,'Control Room'!$B$16/4))^2),1)</x:f>
        <x:v>1</x:v>
      </x:c>
      <x:c r="AZ452" s="9" t="n">
        <x:f>MOD(BA451*16807,2147483647)</x:f>
        <x:v>632703542</x:v>
      </x:c>
      <x:c r="BA452" s="9" t="n">
        <x:f>MOD(AZ452*16807,2147483647)</x:f>
        <x:v>1656894097</x:v>
      </x:c>
      <x:c r="BB452" s="17" t="n">
        <x:f>IF('Control Room'!$B$5="Normal",'Control Room'!$B$7+'Control Room'!$D$7*SQRT(-2*LN(MAX(0.000000000001,AZ452/2147483647)))*COS(2*PI()*BA452/2147483647),'Control Room'!$B$8+('Control Room'!$D$8-'Control Room'!$B$8)*AZ452/2147483647)</x:f>
        <x:v>1018.9945976548712</x:v>
      </x:c>
      <x:c r="BC452" s="17" t="n">
        <x:f>IF('Control Room'!$B$5="Normal",'Control Room'!$B$7,('Control Room'!$B$8+'Control Room'!$D$8)/2)+'Control Room'!$B$9*(BC451-IF('Control Room'!$B$5="Normal",'Control Room'!$B$7,('Control Room'!$B$8+'Control Room'!$D$8)/2))+SQRT(1-'Control Room'!$B$9^2)*(BB452-IF('Control Room'!$B$5="Normal",'Control Room'!$B$7,('Control Room'!$B$8+'Control Room'!$D$8)/2))</x:f>
        <x:v>1051.866877200742</x:v>
      </x:c>
      <x:c r="BD452" s="17" t="n">
        <x:f>IF(AND($A452&gt;='Control Room'!$A$13,$A452&lt;'Control Room'!$A$13+'Control Room'!$B$13,'Process'!BU2=1),1+('Control Room'!$C$13-1)*EXP(-0.5*(($A452-'Control Room'!$A$13-('Control Room'!$B$13-1)/2)/MAX(0.5,'Control Room'!$B$13/4))^2),1)*IF(AND($A452&gt;='Control Room'!$A$14,$A452&lt;'Control Room'!$A$14+'Control Room'!$B$14,'Process'!BU3=1),1+('Control Room'!$C$14-1)*EXP(-0.5*(($A452-'Control Room'!$A$14-('Control Room'!$B$14-1)/2)/MAX(0.5,'Control Room'!$B$14/4))^2),1)*IF(AND($A452&gt;='Control Room'!$A$15,$A452&lt;'Control Room'!$A$15+'Control Room'!$B$15,'Process'!BU4=1),1+('Control Room'!$C$15-1)*EXP(-0.5*(($A452-'Control Room'!$A$15-('Control Room'!$B$15-1)/2)/MAX(0.5,'Control Room'!$B$15/4))^2),1)*IF(AND($A452&gt;='Control Room'!$A$16,$A452&lt;'Control Room'!$A$16+'Control Room'!$B$16,'Process'!BU5=1),1+('Control Room'!$C$16-1)*EXP(-0.5*(($A452-'Control Room'!$A$16-('Control Room'!$B$16-1)/2)/MAX(0.5,'Control Room'!$B$16/4))^2),1)</x:f>
        <x:v>1</x:v>
      </x:c>
      <x:c r="BE452" s="9" t="n">
        <x:f>MOD(BF451*16807,2147483647)</x:f>
        <x:v>620132180</x:v>
      </x:c>
      <x:c r="BF452" s="9" t="n">
        <x:f>MOD(BE452*16807,2147483647)</x:f>
        <x:v>823410369</x:v>
      </x:c>
      <x:c r="BG452" s="17" t="n">
        <x:f>IF('Control Room'!$B$5="Normal",'Control Room'!$B$7+'Control Room'!$D$7*SQRT(-2*LN(MAX(0.000000000001,BE452/2147483647)))*COS(2*PI()*BF452/2147483647),'Control Room'!$B$8+('Control Room'!$D$8-'Control Room'!$B$8)*BE452/2147483647)</x:f>
        <x:v>894.5246888209684</x:v>
      </x:c>
      <x:c r="BH452" s="17" t="n">
        <x:f>IF('Control Room'!$B$5="Normal",'Control Room'!$B$7,('Control Room'!$B$8+'Control Room'!$D$8)/2)+'Control Room'!$B$9*(BH451-IF('Control Room'!$B$5="Normal",'Control Room'!$B$7,('Control Room'!$B$8+'Control Room'!$D$8)/2))+SQRT(1-'Control Room'!$B$9^2)*(BG452-IF('Control Room'!$B$5="Normal",'Control Room'!$B$7,('Control Room'!$B$8+'Control Room'!$D$8)/2))</x:f>
        <x:v>967.0145444273335</x:v>
      </x:c>
      <x:c r="BI452" s="17" t="n">
        <x:f>IF(AND($A452&gt;='Control Room'!$A$13,$A452&lt;'Control Room'!$A$13+'Control Room'!$B$13,'Process'!BV2=1),1+('Control Room'!$C$13-1)*EXP(-0.5*(($A452-'Control Room'!$A$13-('Control Room'!$B$13-1)/2)/MAX(0.5,'Control Room'!$B$13/4))^2),1)*IF(AND($A452&gt;='Control Room'!$A$14,$A452&lt;'Control Room'!$A$14+'Control Room'!$B$14,'Process'!BV3=1),1+('Control Room'!$C$14-1)*EXP(-0.5*(($A452-'Control Room'!$A$14-('Control Room'!$B$14-1)/2)/MAX(0.5,'Control Room'!$B$14/4))^2),1)*IF(AND($A452&gt;='Control Room'!$A$15,$A452&lt;'Control Room'!$A$15+'Control Room'!$B$15,'Process'!BV4=1),1+('Control Room'!$C$15-1)*EXP(-0.5*(($A452-'Control Room'!$A$15-('Control Room'!$B$15-1)/2)/MAX(0.5,'Control Room'!$B$15/4))^2),1)*IF(AND($A452&gt;='Control Room'!$A$16,$A452&lt;'Control Room'!$A$16+'Control Room'!$B$16,'Process'!BV5=1),1+('Control Room'!$C$16-1)*EXP(-0.5*(($A452-'Control Room'!$A$16-('Control Room'!$B$16-1)/2)/MAX(0.5,'Control Room'!$B$16/4))^2),1)</x:f>
        <x:v>1</x:v>
      </x:c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Z452" t="str">
        <x:f>IF('Data'!A452="","",TEXT('Data'!A452,"mm-dd"))</x:f>
      </x:c>
    </x:row>
    <x:row r="453" ht="21" customHeight="1">
      <x:c r="A453" s="15" t="n">
        <x:f>'Control Room'!$B$1+451</x:f>
        <x:v>73442</x:v>
      </x:c>
      <x:c r="B453" s="9" t="n">
        <x:f>MOD(C452*16807,2147483647)</x:f>
        <x:v>2103025133</x:v>
      </x:c>
      <x:c r="C453" s="9" t="n">
        <x:f>MOD(B453*16807,2147483647)</x:f>
        <x:v>110064358</x:v>
      </x:c>
      <x:c r="D453" s="17" t="n">
        <x:f>IF('Control Room'!$B$5="Normal",'Control Room'!$B$7+'Control Room'!$D$7*SQRT(-2*LN(MAX(0.000000000001,B453/2147483647)))*COS(2*PI()*C453/2147483647),'Control Room'!$B$8+('Control Room'!$D$8-'Control Room'!$B$8)*B453/2147483647)</x:f>
        <x:v>1017.4629728343101</x:v>
      </x:c>
      <x:c r="E453" s="17" t="n">
        <x:f>IF('Control Room'!$B$5="Normal",'Control Room'!$B$7,('Control Room'!$B$8+'Control Room'!$D$8)/2)+'Control Room'!$B$9*(E452-IF('Control Room'!$B$5="Normal",'Control Room'!$B$7,('Control Room'!$B$8+'Control Room'!$D$8)/2))+SQRT(1-'Control Room'!$B$9^2)*(D453-IF('Control Room'!$B$5="Normal",'Control Room'!$B$7,('Control Room'!$B$8+'Control Room'!$D$8)/2))</x:f>
        <x:v>939.5980261219928</x:v>
      </x:c>
      <x:c r="F453" s="17" t="n">
        <x:f>IF(AND($A453&gt;='Control Room'!$A$13,$A453&lt;'Control Room'!$A$13+'Control Room'!$B$13,'Process'!BK2=1),1+('Control Room'!$C$13-1)*EXP(-0.5*(($A453-'Control Room'!$A$13-('Control Room'!$B$13-1)/2)/MAX(0.5,'Control Room'!$B$13/4))^2),1)*IF(AND($A453&gt;='Control Room'!$A$14,$A453&lt;'Control Room'!$A$14+'Control Room'!$B$14,'Process'!BK3=1),1+('Control Room'!$C$14-1)*EXP(-0.5*(($A453-'Control Room'!$A$14-('Control Room'!$B$14-1)/2)/MAX(0.5,'Control Room'!$B$14/4))^2),1)*IF(AND($A453&gt;='Control Room'!$A$15,$A453&lt;'Control Room'!$A$15+'Control Room'!$B$15,'Process'!BK4=1),1+('Control Room'!$C$15-1)*EXP(-0.5*(($A453-'Control Room'!$A$15-('Control Room'!$B$15-1)/2)/MAX(0.5,'Control Room'!$B$15/4))^2),1)*IF(AND($A453&gt;='Control Room'!$A$16,$A453&lt;'Control Room'!$A$16+'Control Room'!$B$16,'Process'!BK5=1),1+('Control Room'!$C$16-1)*EXP(-0.5*(($A453-'Control Room'!$A$16-('Control Room'!$B$16-1)/2)/MAX(0.5,'Control Room'!$B$16/4))^2),1)</x:f>
        <x:v>1</x:v>
      </x:c>
      <x:c r="G453" s="9" t="n">
        <x:f>MOD(H452*16807,2147483647)</x:f>
        <x:v>1777838018</x:v>
      </x:c>
      <x:c r="H453" s="9" t="n">
        <x:f>MOD(G453*16807,2147483647)</x:f>
        <x:v>36104168</x:v>
      </x:c>
      <x:c r="I453" s="17" t="n">
        <x:f>IF('Control Room'!$B$5="Normal",'Control Room'!$B$7+'Control Room'!$D$7*SQRT(-2*LN(MAX(0.000000000001,G453/2147483647)))*COS(2*PI()*H453/2147483647),'Control Room'!$B$8+('Control Room'!$D$8-'Control Room'!$B$8)*G453/2147483647)</x:f>
        <x:v>1055.01035150565</x:v>
      </x:c>
      <x:c r="J453" s="17" t="n">
        <x:f>IF('Control Room'!$B$5="Normal",'Control Room'!$B$7,('Control Room'!$B$8+'Control Room'!$D$8)/2)+'Control Room'!$B$9*(J452-IF('Control Room'!$B$5="Normal",'Control Room'!$B$7,('Control Room'!$B$8+'Control Room'!$D$8)/2))+SQRT(1-'Control Room'!$B$9^2)*(I453-IF('Control Room'!$B$5="Normal",'Control Room'!$B$7,('Control Room'!$B$8+'Control Room'!$D$8)/2))</x:f>
        <x:v>1041.0685355933974</x:v>
      </x:c>
      <x:c r="K453" s="17" t="n">
        <x:f>IF(AND($A453&gt;='Control Room'!$A$13,$A453&lt;'Control Room'!$A$13+'Control Room'!$B$13,'Process'!BL2=1),1+('Control Room'!$C$13-1)*EXP(-0.5*(($A453-'Control Room'!$A$13-('Control Room'!$B$13-1)/2)/MAX(0.5,'Control Room'!$B$13/4))^2),1)*IF(AND($A453&gt;='Control Room'!$A$14,$A453&lt;'Control Room'!$A$14+'Control Room'!$B$14,'Process'!BL3=1),1+('Control Room'!$C$14-1)*EXP(-0.5*(($A453-'Control Room'!$A$14-('Control Room'!$B$14-1)/2)/MAX(0.5,'Control Room'!$B$14/4))^2),1)*IF(AND($A453&gt;='Control Room'!$A$15,$A453&lt;'Control Room'!$A$15+'Control Room'!$B$15,'Process'!BL4=1),1+('Control Room'!$C$15-1)*EXP(-0.5*(($A453-'Control Room'!$A$15-('Control Room'!$B$15-1)/2)/MAX(0.5,'Control Room'!$B$15/4))^2),1)*IF(AND($A453&gt;='Control Room'!$A$16,$A453&lt;'Control Room'!$A$16+'Control Room'!$B$16,'Process'!BL5=1),1+('Control Room'!$C$16-1)*EXP(-0.5*(($A453-'Control Room'!$A$16-('Control Room'!$B$16-1)/2)/MAX(0.5,'Control Room'!$B$16/4))^2),1)</x:f>
        <x:v>1</x:v>
      </x:c>
      <x:c r="L453" s="9" t="n">
        <x:f>MOD(M452*16807,2147483647)</x:f>
        <x:v>1452650903</x:v>
      </x:c>
      <x:c r="M453" s="9" t="n">
        <x:f>MOD(L453*16807,2147483647)</x:f>
        <x:v>2109627625</x:v>
      </x:c>
      <x:c r="N453" s="17" t="n">
        <x:f>IF('Control Room'!$B$5="Normal",'Control Room'!$B$7+'Control Room'!$D$7*SQRT(-2*LN(MAX(0.000000000001,L453/2147483647)))*COS(2*PI()*M453/2147483647),'Control Room'!$B$8+('Control Room'!$D$8-'Control Room'!$B$8)*L453/2147483647)</x:f>
        <x:v>1079.0905581645195</x:v>
      </x:c>
      <x:c r="O453" s="17" t="n">
        <x:f>IF('Control Room'!$B$5="Normal",'Control Room'!$B$7,('Control Room'!$B$8+'Control Room'!$D$8)/2)+'Control Room'!$B$9*(O452-IF('Control Room'!$B$5="Normal",'Control Room'!$B$7,('Control Room'!$B$8+'Control Room'!$D$8)/2))+SQRT(1-'Control Room'!$B$9^2)*(N453-IF('Control Room'!$B$5="Normal",'Control Room'!$B$7,('Control Room'!$B$8+'Control Room'!$D$8)/2))</x:f>
        <x:v>1104.3375356502581</x:v>
      </x:c>
      <x:c r="P453" s="17" t="n">
        <x:f>IF(AND($A453&gt;='Control Room'!$A$13,$A453&lt;'Control Room'!$A$13+'Control Room'!$B$13,'Process'!BM2=1),1+('Control Room'!$C$13-1)*EXP(-0.5*(($A453-'Control Room'!$A$13-('Control Room'!$B$13-1)/2)/MAX(0.5,'Control Room'!$B$13/4))^2),1)*IF(AND($A453&gt;='Control Room'!$A$14,$A453&lt;'Control Room'!$A$14+'Control Room'!$B$14,'Process'!BM3=1),1+('Control Room'!$C$14-1)*EXP(-0.5*(($A453-'Control Room'!$A$14-('Control Room'!$B$14-1)/2)/MAX(0.5,'Control Room'!$B$14/4))^2),1)*IF(AND($A453&gt;='Control Room'!$A$15,$A453&lt;'Control Room'!$A$15+'Control Room'!$B$15,'Process'!BM4=1),1+('Control Room'!$C$15-1)*EXP(-0.5*(($A453-'Control Room'!$A$15-('Control Room'!$B$15-1)/2)/MAX(0.5,'Control Room'!$B$15/4))^2),1)*IF(AND($A453&gt;='Control Room'!$A$16,$A453&lt;'Control Room'!$A$16+'Control Room'!$B$16,'Process'!BM5=1),1+('Control Room'!$C$16-1)*EXP(-0.5*(($A453-'Control Room'!$A$16-('Control Room'!$B$16-1)/2)/MAX(0.5,'Control Room'!$B$16/4))^2),1)</x:f>
        <x:v>1</x:v>
      </x:c>
      <x:c r="Q453" s="9" t="n">
        <x:f>MOD(R452*16807,2147483647)</x:f>
        <x:v>1127463788</x:v>
      </x:c>
      <x:c r="R453" s="9" t="n">
        <x:f>MOD(Q453*16807,2147483647)</x:f>
        <x:v>2035667435</x:v>
      </x:c>
      <x:c r="S453" s="17" t="n">
        <x:f>IF('Control Room'!$B$5="Normal",'Control Room'!$B$7+'Control Room'!$D$7*SQRT(-2*LN(MAX(0.000000000001,Q453/2147483647)))*COS(2*PI()*R453/2147483647),'Control Room'!$B$8+('Control Room'!$D$8-'Control Room'!$B$8)*Q453/2147483647)</x:f>
        <x:v>1096.74801306063</x:v>
      </x:c>
      <x:c r="T453" s="17" t="n">
        <x:f>IF('Control Room'!$B$5="Normal",'Control Room'!$B$7,('Control Room'!$B$8+'Control Room'!$D$8)/2)+'Control Room'!$B$9*(T452-IF('Control Room'!$B$5="Normal",'Control Room'!$B$7,('Control Room'!$B$8+'Control Room'!$D$8)/2))+SQRT(1-'Control Room'!$B$9^2)*(S453-IF('Control Room'!$B$5="Normal",'Control Room'!$B$7,('Control Room'!$B$8+'Control Room'!$D$8)/2))</x:f>
        <x:v>1029.6691873207244</x:v>
      </x:c>
      <x:c r="U453" s="17" t="n">
        <x:f>IF(AND($A453&gt;='Control Room'!$A$13,$A453&lt;'Control Room'!$A$13+'Control Room'!$B$13,'Process'!BN2=1),1+('Control Room'!$C$13-1)*EXP(-0.5*(($A453-'Control Room'!$A$13-('Control Room'!$B$13-1)/2)/MAX(0.5,'Control Room'!$B$13/4))^2),1)*IF(AND($A453&gt;='Control Room'!$A$14,$A453&lt;'Control Room'!$A$14+'Control Room'!$B$14,'Process'!BN3=1),1+('Control Room'!$C$14-1)*EXP(-0.5*(($A453-'Control Room'!$A$14-('Control Room'!$B$14-1)/2)/MAX(0.5,'Control Room'!$B$14/4))^2),1)*IF(AND($A453&gt;='Control Room'!$A$15,$A453&lt;'Control Room'!$A$15+'Control Room'!$B$15,'Process'!BN4=1),1+('Control Room'!$C$15-1)*EXP(-0.5*(($A453-'Control Room'!$A$15-('Control Room'!$B$15-1)/2)/MAX(0.5,'Control Room'!$B$15/4))^2),1)*IF(AND($A453&gt;='Control Room'!$A$16,$A453&lt;'Control Room'!$A$16+'Control Room'!$B$16,'Process'!BN5=1),1+('Control Room'!$C$16-1)*EXP(-0.5*(($A453-'Control Room'!$A$16-('Control Room'!$B$16-1)/2)/MAX(0.5,'Control Room'!$B$16/4))^2),1)</x:f>
        <x:v>1</x:v>
      </x:c>
      <x:c r="V453" s="9" t="n">
        <x:f>MOD(W452*16807,2147483647)</x:f>
        <x:v>802276673</x:v>
      </x:c>
      <x:c r="W453" s="9" t="n">
        <x:f>MOD(V453*16807,2147483647)</x:f>
        <x:v>1961707245</x:v>
      </x:c>
      <x:c r="X453" s="17" t="n">
        <x:f>IF('Control Room'!$B$5="Normal",'Control Room'!$B$7+'Control Room'!$D$7*SQRT(-2*LN(MAX(0.000000000001,V453/2147483647)))*COS(2*PI()*W453/2147483647),'Control Room'!$B$8+('Control Room'!$D$8-'Control Room'!$B$8)*V453/2147483647)</x:f>
        <x:v>1108.0932718371353</x:v>
      </x:c>
      <x:c r="Y453" s="17" t="n">
        <x:f>IF('Control Room'!$B$5="Normal",'Control Room'!$B$7,('Control Room'!$B$8+'Control Room'!$D$8)/2)+'Control Room'!$B$9*(Y452-IF('Control Room'!$B$5="Normal",'Control Room'!$B$7,('Control Room'!$B$8+'Control Room'!$D$8)/2))+SQRT(1-'Control Room'!$B$9^2)*(X453-IF('Control Room'!$B$5="Normal",'Control Room'!$B$7,('Control Room'!$B$8+'Control Room'!$D$8)/2))</x:f>
        <x:v>1188.054384865743</x:v>
      </x:c>
      <x:c r="Z453" s="17" t="n">
        <x:f>IF(AND($A453&gt;='Control Room'!$A$13,$A453&lt;'Control Room'!$A$13+'Control Room'!$B$13,'Process'!BO2=1),1+('Control Room'!$C$13-1)*EXP(-0.5*(($A453-'Control Room'!$A$13-('Control Room'!$B$13-1)/2)/MAX(0.5,'Control Room'!$B$13/4))^2),1)*IF(AND($A453&gt;='Control Room'!$A$14,$A453&lt;'Control Room'!$A$14+'Control Room'!$B$14,'Process'!BO3=1),1+('Control Room'!$C$14-1)*EXP(-0.5*(($A453-'Control Room'!$A$14-('Control Room'!$B$14-1)/2)/MAX(0.5,'Control Room'!$B$14/4))^2),1)*IF(AND($A453&gt;='Control Room'!$A$15,$A453&lt;'Control Room'!$A$15+'Control Room'!$B$15,'Process'!BO4=1),1+('Control Room'!$C$15-1)*EXP(-0.5*(($A453-'Control Room'!$A$15-('Control Room'!$B$15-1)/2)/MAX(0.5,'Control Room'!$B$15/4))^2),1)*IF(AND($A453&gt;='Control Room'!$A$16,$A453&lt;'Control Room'!$A$16+'Control Room'!$B$16,'Process'!BO5=1),1+('Control Room'!$C$16-1)*EXP(-0.5*(($A453-'Control Room'!$A$16-('Control Room'!$B$16-1)/2)/MAX(0.5,'Control Room'!$B$16/4))^2),1)</x:f>
        <x:v>1</x:v>
      </x:c>
      <x:c r="AA453" s="9" t="n">
        <x:f>MOD(AB452*16807,2147483647)</x:f>
        <x:v>477089558</x:v>
      </x:c>
      <x:c r="AB453" s="9" t="n">
        <x:f>MOD(AA453*16807,2147483647)</x:f>
        <x:v>1887747055</x:v>
      </x:c>
      <x:c r="AC453" s="17" t="n">
        <x:f>IF('Control Room'!$B$5="Normal",'Control Room'!$B$7+'Control Room'!$D$7*SQRT(-2*LN(MAX(0.000000000001,AA453/2147483647)))*COS(2*PI()*AB453/2147483647),'Control Room'!$B$8+('Control Room'!$D$8-'Control Room'!$B$8)*AA453/2147483647)</x:f>
        <x:v>1113.16011827414</x:v>
      </x:c>
      <x:c r="AD453" s="17" t="n">
        <x:f>IF('Control Room'!$B$5="Normal",'Control Room'!$B$7,('Control Room'!$B$8+'Control Room'!$D$8)/2)+'Control Room'!$B$9*(AD452-IF('Control Room'!$B$5="Normal",'Control Room'!$B$7,('Control Room'!$B$8+'Control Room'!$D$8)/2))+SQRT(1-'Control Room'!$B$9^2)*(AC453-IF('Control Room'!$B$5="Normal",'Control Room'!$B$7,('Control Room'!$B$8+'Control Room'!$D$8)/2))</x:f>
        <x:v>1082.6542815657747</x:v>
      </x:c>
      <x:c r="AE453" s="17" t="n">
        <x:f>IF(AND($A453&gt;='Control Room'!$A$13,$A453&lt;'Control Room'!$A$13+'Control Room'!$B$13,'Process'!BP2=1),1+('Control Room'!$C$13-1)*EXP(-0.5*(($A453-'Control Room'!$A$13-('Control Room'!$B$13-1)/2)/MAX(0.5,'Control Room'!$B$13/4))^2),1)*IF(AND($A453&gt;='Control Room'!$A$14,$A453&lt;'Control Room'!$A$14+'Control Room'!$B$14,'Process'!BP3=1),1+('Control Room'!$C$14-1)*EXP(-0.5*(($A453-'Control Room'!$A$14-('Control Room'!$B$14-1)/2)/MAX(0.5,'Control Room'!$B$14/4))^2),1)*IF(AND($A453&gt;='Control Room'!$A$15,$A453&lt;'Control Room'!$A$15+'Control Room'!$B$15,'Process'!BP4=1),1+('Control Room'!$C$15-1)*EXP(-0.5*(($A453-'Control Room'!$A$15-('Control Room'!$B$15-1)/2)/MAX(0.5,'Control Room'!$B$15/4))^2),1)*IF(AND($A453&gt;='Control Room'!$A$16,$A453&lt;'Control Room'!$A$16+'Control Room'!$B$16,'Process'!BP5=1),1+('Control Room'!$C$16-1)*EXP(-0.5*(($A453-'Control Room'!$A$16-('Control Room'!$B$16-1)/2)/MAX(0.5,'Control Room'!$B$16/4))^2),1)</x:f>
        <x:v>1</x:v>
      </x:c>
      <x:c r="AF453" s="9" t="n">
        <x:f>MOD(AG452*16807,2147483647)</x:f>
        <x:v>151902443</x:v>
      </x:c>
      <x:c r="AG453" s="9" t="n">
        <x:f>MOD(AF453*16807,2147483647)</x:f>
        <x:v>1813786865</x:v>
      </x:c>
      <x:c r="AH453" s="17" t="n">
        <x:f>IF('Control Room'!$B$5="Normal",'Control Room'!$B$7+'Control Room'!$D$7*SQRT(-2*LN(MAX(0.000000000001,AF453/2147483647)))*COS(2*PI()*AG453/2147483647),'Control Room'!$B$8+('Control Room'!$D$8-'Control Room'!$B$8)*AF453/2147483647)</x:f>
        <x:v>1116.0152776270993</x:v>
      </x:c>
      <x:c r="AI453" s="17" t="n">
        <x:f>IF('Control Room'!$B$5="Normal",'Control Room'!$B$7,('Control Room'!$B$8+'Control Room'!$D$8)/2)+'Control Room'!$B$9*(AI452-IF('Control Room'!$B$5="Normal",'Control Room'!$B$7,('Control Room'!$B$8+'Control Room'!$D$8)/2))+SQRT(1-'Control Room'!$B$9^2)*(AH453-IF('Control Room'!$B$5="Normal",'Control Room'!$B$7,('Control Room'!$B$8+'Control Room'!$D$8)/2))</x:f>
        <x:v>1044.2718124288267</x:v>
      </x:c>
      <x:c r="AJ453" s="17" t="n">
        <x:f>IF(AND($A453&gt;='Control Room'!$A$13,$A453&lt;'Control Room'!$A$13+'Control Room'!$B$13,'Process'!BQ2=1),1+('Control Room'!$C$13-1)*EXP(-0.5*(($A453-'Control Room'!$A$13-('Control Room'!$B$13-1)/2)/MAX(0.5,'Control Room'!$B$13/4))^2),1)*IF(AND($A453&gt;='Control Room'!$A$14,$A453&lt;'Control Room'!$A$14+'Control Room'!$B$14,'Process'!BQ3=1),1+('Control Room'!$C$14-1)*EXP(-0.5*(($A453-'Control Room'!$A$14-('Control Room'!$B$14-1)/2)/MAX(0.5,'Control Room'!$B$14/4))^2),1)*IF(AND($A453&gt;='Control Room'!$A$15,$A453&lt;'Control Room'!$A$15+'Control Room'!$B$15,'Process'!BQ4=1),1+('Control Room'!$C$15-1)*EXP(-0.5*(($A453-'Control Room'!$A$15-('Control Room'!$B$15-1)/2)/MAX(0.5,'Control Room'!$B$15/4))^2),1)*IF(AND($A453&gt;='Control Room'!$A$16,$A453&lt;'Control Room'!$A$16+'Control Room'!$B$16,'Process'!BQ5=1),1+('Control Room'!$C$16-1)*EXP(-0.5*(($A453-'Control Room'!$A$16-('Control Room'!$B$16-1)/2)/MAX(0.5,'Control Room'!$B$16/4))^2),1)</x:f>
        <x:v>1</x:v>
      </x:c>
      <x:c r="AK453" s="9" t="n">
        <x:f>MOD(AL452*16807,2147483647)</x:f>
        <x:v>1974198975</x:v>
      </x:c>
      <x:c r="AL453" s="9" t="n">
        <x:f>MOD(AK453*16807,2147483647)</x:f>
        <x:v>1739826675</x:v>
      </x:c>
      <x:c r="AM453" s="17" t="n">
        <x:f>IF('Control Room'!$B$5="Normal",'Control Room'!$B$7+'Control Room'!$D$7*SQRT(-2*LN(MAX(0.000000000001,AK453/2147483647)))*COS(2*PI()*AL453/2147483647),'Control Room'!$B$8+('Control Room'!$D$8-'Control Room'!$B$8)*AK453/2147483647)</x:f>
        <x:v>1013.627226235977</x:v>
      </x:c>
      <x:c r="AN453" s="17" t="n">
        <x:f>IF('Control Room'!$B$5="Normal",'Control Room'!$B$7,('Control Room'!$B$8+'Control Room'!$D$8)/2)+'Control Room'!$B$9*(AN452-IF('Control Room'!$B$5="Normal",'Control Room'!$B$7,('Control Room'!$B$8+'Control Room'!$D$8)/2))+SQRT(1-'Control Room'!$B$9^2)*(AM453-IF('Control Room'!$B$5="Normal",'Control Room'!$B$7,('Control Room'!$B$8+'Control Room'!$D$8)/2))</x:f>
        <x:v>1006.9792196603788</x:v>
      </x:c>
      <x:c r="AO453" s="17" t="n">
        <x:f>IF(AND($A453&gt;='Control Room'!$A$13,$A453&lt;'Control Room'!$A$13+'Control Room'!$B$13,'Process'!BR2=1),1+('Control Room'!$C$13-1)*EXP(-0.5*(($A453-'Control Room'!$A$13-('Control Room'!$B$13-1)/2)/MAX(0.5,'Control Room'!$B$13/4))^2),1)*IF(AND($A453&gt;='Control Room'!$A$14,$A453&lt;'Control Room'!$A$14+'Control Room'!$B$14,'Process'!BR3=1),1+('Control Room'!$C$14-1)*EXP(-0.5*(($A453-'Control Room'!$A$14-('Control Room'!$B$14-1)/2)/MAX(0.5,'Control Room'!$B$14/4))^2),1)*IF(AND($A453&gt;='Control Room'!$A$15,$A453&lt;'Control Room'!$A$15+'Control Room'!$B$15,'Process'!BR4=1),1+('Control Room'!$C$15-1)*EXP(-0.5*(($A453-'Control Room'!$A$15-('Control Room'!$B$15-1)/2)/MAX(0.5,'Control Room'!$B$15/4))^2),1)*IF(AND($A453&gt;='Control Room'!$A$16,$A453&lt;'Control Room'!$A$16+'Control Room'!$B$16,'Process'!BR5=1),1+('Control Room'!$C$16-1)*EXP(-0.5*(($A453-'Control Room'!$A$16-('Control Room'!$B$16-1)/2)/MAX(0.5,'Control Room'!$B$16/4))^2),1)</x:f>
        <x:v>1</x:v>
      </x:c>
      <x:c r="AP453" s="9" t="n">
        <x:f>MOD(AQ452*16807,2147483647)</x:f>
        <x:v>1649011860</x:v>
      </x:c>
      <x:c r="AQ453" s="9" t="n">
        <x:f>MOD(AP453*16807,2147483647)</x:f>
        <x:v>1665866485</x:v>
      </x:c>
      <x:c r="AR453" s="17" t="n">
        <x:f>IF('Control Room'!$B$5="Normal",'Control Room'!$B$7+'Control Room'!$D$7*SQRT(-2*LN(MAX(0.000000000001,AP453/2147483647)))*COS(2*PI()*AQ453/2147483647),'Control Room'!$B$8+('Control Room'!$D$8-'Control Room'!$B$8)*AP453/2147483647)</x:f>
        <x:v>1010.5287538458193</x:v>
      </x:c>
      <x:c r="AS453" s="17" t="n">
        <x:f>IF('Control Room'!$B$5="Normal",'Control Room'!$B$7,('Control Room'!$B$8+'Control Room'!$D$8)/2)+'Control Room'!$B$9*(AS452-IF('Control Room'!$B$5="Normal",'Control Room'!$B$7,('Control Room'!$B$8+'Control Room'!$D$8)/2))+SQRT(1-'Control Room'!$B$9^2)*(AR453-IF('Control Room'!$B$5="Normal",'Control Room'!$B$7,('Control Room'!$B$8+'Control Room'!$D$8)/2))</x:f>
        <x:v>863.536743220204</x:v>
      </x:c>
      <x:c r="AT453" s="17" t="n">
        <x:f>IF(AND($A453&gt;='Control Room'!$A$13,$A453&lt;'Control Room'!$A$13+'Control Room'!$B$13,'Process'!BS2=1),1+('Control Room'!$C$13-1)*EXP(-0.5*(($A453-'Control Room'!$A$13-('Control Room'!$B$13-1)/2)/MAX(0.5,'Control Room'!$B$13/4))^2),1)*IF(AND($A453&gt;='Control Room'!$A$14,$A453&lt;'Control Room'!$A$14+'Control Room'!$B$14,'Process'!BS3=1),1+('Control Room'!$C$14-1)*EXP(-0.5*(($A453-'Control Room'!$A$14-('Control Room'!$B$14-1)/2)/MAX(0.5,'Control Room'!$B$14/4))^2),1)*IF(AND($A453&gt;='Control Room'!$A$15,$A453&lt;'Control Room'!$A$15+'Control Room'!$B$15,'Process'!BS4=1),1+('Control Room'!$C$15-1)*EXP(-0.5*(($A453-'Control Room'!$A$15-('Control Room'!$B$15-1)/2)/MAX(0.5,'Control Room'!$B$15/4))^2),1)*IF(AND($A453&gt;='Control Room'!$A$16,$A453&lt;'Control Room'!$A$16+'Control Room'!$B$16,'Process'!BS5=1),1+('Control Room'!$C$16-1)*EXP(-0.5*(($A453-'Control Room'!$A$16-('Control Room'!$B$16-1)/2)/MAX(0.5,'Control Room'!$B$16/4))^2),1)</x:f>
        <x:v>1</x:v>
      </x:c>
      <x:c r="AU453" s="9" t="n">
        <x:f>MOD(AV452*16807,2147483647)</x:f>
        <x:v>1323824745</x:v>
      </x:c>
      <x:c r="AV453" s="9" t="n">
        <x:f>MOD(AU453*16807,2147483647)</x:f>
        <x:v>1591906295</x:v>
      </x:c>
      <x:c r="AW453" s="17" t="n">
        <x:f>IF('Control Room'!$B$5="Normal",'Control Room'!$B$7+'Control Room'!$D$7*SQRT(-2*LN(MAX(0.000000000001,AU453/2147483647)))*COS(2*PI()*AV453/2147483647),'Control Room'!$B$8+('Control Room'!$D$8-'Control Room'!$B$8)*AU453/2147483647)</x:f>
        <x:v>995.1571386905017</x:v>
      </x:c>
      <x:c r="AX453" s="17" t="n">
        <x:f>IF('Control Room'!$B$5="Normal",'Control Room'!$B$7,('Control Room'!$B$8+'Control Room'!$D$8)/2)+'Control Room'!$B$9*(AX452-IF('Control Room'!$B$5="Normal",'Control Room'!$B$7,('Control Room'!$B$8+'Control Room'!$D$8)/2))+SQRT(1-'Control Room'!$B$9^2)*(AW453-IF('Control Room'!$B$5="Normal",'Control Room'!$B$7,('Control Room'!$B$8+'Control Room'!$D$8)/2))</x:f>
        <x:v>1047.4180354573523</x:v>
      </x:c>
      <x:c r="AY453" s="17" t="n">
        <x:f>IF(AND($A453&gt;='Control Room'!$A$13,$A453&lt;'Control Room'!$A$13+'Control Room'!$B$13,'Process'!BT2=1),1+('Control Room'!$C$13-1)*EXP(-0.5*(($A453-'Control Room'!$A$13-('Control Room'!$B$13-1)/2)/MAX(0.5,'Control Room'!$B$13/4))^2),1)*IF(AND($A453&gt;='Control Room'!$A$14,$A453&lt;'Control Room'!$A$14+'Control Room'!$B$14,'Process'!BT3=1),1+('Control Room'!$C$14-1)*EXP(-0.5*(($A453-'Control Room'!$A$14-('Control Room'!$B$14-1)/2)/MAX(0.5,'Control Room'!$B$14/4))^2),1)*IF(AND($A453&gt;='Control Room'!$A$15,$A453&lt;'Control Room'!$A$15+'Control Room'!$B$15,'Process'!BT4=1),1+('Control Room'!$C$15-1)*EXP(-0.5*(($A453-'Control Room'!$A$15-('Control Room'!$B$15-1)/2)/MAX(0.5,'Control Room'!$B$15/4))^2),1)*IF(AND($A453&gt;='Control Room'!$A$16,$A453&lt;'Control Room'!$A$16+'Control Room'!$B$16,'Process'!BT5=1),1+('Control Room'!$C$16-1)*EXP(-0.5*(($A453-'Control Room'!$A$16-('Control Room'!$B$16-1)/2)/MAX(0.5,'Control Room'!$B$16/4))^2),1)</x:f>
        <x:v>1</x:v>
      </x:c>
      <x:c r="AZ453" s="9" t="n">
        <x:f>MOD(BA452*16807,2147483647)</x:f>
        <x:v>998637630</x:v>
      </x:c>
      <x:c r="BA453" s="9" t="n">
        <x:f>MOD(AZ453*16807,2147483647)</x:f>
        <x:v>1517946105</x:v>
      </x:c>
      <x:c r="BB453" s="17" t="n">
        <x:f>IF('Control Room'!$B$5="Normal",'Control Room'!$B$7+'Control Room'!$D$7*SQRT(-2*LN(MAX(0.000000000001,AZ453/2147483647)))*COS(2*PI()*BA453/2147483647),'Control Room'!$B$8+('Control Room'!$D$8-'Control Room'!$B$8)*AZ453/2147483647)</x:f>
        <x:v>970.1726312900554</x:v>
      </x:c>
      <x:c r="BC453" s="17" t="n">
        <x:f>IF('Control Room'!$B$5="Normal",'Control Room'!$B$7,('Control Room'!$B$8+'Control Room'!$D$8)/2)+'Control Room'!$B$9*(BC452-IF('Control Room'!$B$5="Normal",'Control Room'!$B$7,('Control Room'!$B$8+'Control Room'!$D$8)/2))+SQRT(1-'Control Room'!$B$9^2)*(BB453-IF('Control Room'!$B$5="Normal",'Control Room'!$B$7,('Control Room'!$B$8+'Control Room'!$D$8)/2))</x:f>
        <x:v>1021.7908079247569</x:v>
      </x:c>
      <x:c r="BD453" s="17" t="n">
        <x:f>IF(AND($A453&gt;='Control Room'!$A$13,$A453&lt;'Control Room'!$A$13+'Control Room'!$B$13,'Process'!BU2=1),1+('Control Room'!$C$13-1)*EXP(-0.5*(($A453-'Control Room'!$A$13-('Control Room'!$B$13-1)/2)/MAX(0.5,'Control Room'!$B$13/4))^2),1)*IF(AND($A453&gt;='Control Room'!$A$14,$A453&lt;'Control Room'!$A$14+'Control Room'!$B$14,'Process'!BU3=1),1+('Control Room'!$C$14-1)*EXP(-0.5*(($A453-'Control Room'!$A$14-('Control Room'!$B$14-1)/2)/MAX(0.5,'Control Room'!$B$14/4))^2),1)*IF(AND($A453&gt;='Control Room'!$A$15,$A453&lt;'Control Room'!$A$15+'Control Room'!$B$15,'Process'!BU4=1),1+('Control Room'!$C$15-1)*EXP(-0.5*(($A453-'Control Room'!$A$15-('Control Room'!$B$15-1)/2)/MAX(0.5,'Control Room'!$B$15/4))^2),1)*IF(AND($A453&gt;='Control Room'!$A$16,$A453&lt;'Control Room'!$A$16+'Control Room'!$B$16,'Process'!BU5=1),1+('Control Room'!$C$16-1)*EXP(-0.5*(($A453-'Control Room'!$A$16-('Control Room'!$B$16-1)/2)/MAX(0.5,'Control Room'!$B$16/4))^2),1)</x:f>
        <x:v>1</x:v>
      </x:c>
      <x:c r="BE453" s="9" t="n">
        <x:f>MOD(BF452*16807,2147483647)</x:f>
        <x:v>673450515</x:v>
      </x:c>
      <x:c r="BF453" s="9" t="n">
        <x:f>MOD(BE453*16807,2147483647)</x:f>
        <x:v>1443985915</x:v>
      </x:c>
      <x:c r="BG453" s="17" t="n">
        <x:f>IF('Control Room'!$B$5="Normal",'Control Room'!$B$7+'Control Room'!$D$7*SQRT(-2*LN(MAX(0.000000000001,BE453/2147483647)))*COS(2*PI()*BF453/2147483647),'Control Room'!$B$8+('Control Room'!$D$8-'Control Room'!$B$8)*BE453/2147483647)</x:f>
        <x:v>935.7946211346703</x:v>
      </x:c>
      <x:c r="BH453" s="17" t="n">
        <x:f>IF('Control Room'!$B$5="Normal",'Control Room'!$B$7,('Control Room'!$B$8+'Control Room'!$D$8)/2)+'Control Room'!$B$9*(BH452-IF('Control Room'!$B$5="Normal",'Control Room'!$B$7,('Control Room'!$B$8+'Control Room'!$D$8)/2))+SQRT(1-'Control Room'!$B$9^2)*(BG453-IF('Control Room'!$B$5="Normal",'Control Room'!$B$7,('Control Room'!$B$8+'Control Room'!$D$8)/2))</x:f>
        <x:v>934.0929338780767</x:v>
      </x:c>
      <x:c r="BI453" s="17" t="n">
        <x:f>IF(AND($A453&gt;='Control Room'!$A$13,$A453&lt;'Control Room'!$A$13+'Control Room'!$B$13,'Process'!BV2=1),1+('Control Room'!$C$13-1)*EXP(-0.5*(($A453-'Control Room'!$A$13-('Control Room'!$B$13-1)/2)/MAX(0.5,'Control Room'!$B$13/4))^2),1)*IF(AND($A453&gt;='Control Room'!$A$14,$A453&lt;'Control Room'!$A$14+'Control Room'!$B$14,'Process'!BV3=1),1+('Control Room'!$C$14-1)*EXP(-0.5*(($A453-'Control Room'!$A$14-('Control Room'!$B$14-1)/2)/MAX(0.5,'Control Room'!$B$14/4))^2),1)*IF(AND($A453&gt;='Control Room'!$A$15,$A453&lt;'Control Room'!$A$15+'Control Room'!$B$15,'Process'!BV4=1),1+('Control Room'!$C$15-1)*EXP(-0.5*(($A453-'Control Room'!$A$15-('Control Room'!$B$15-1)/2)/MAX(0.5,'Control Room'!$B$15/4))^2),1)*IF(AND($A453&gt;='Control Room'!$A$16,$A453&lt;'Control Room'!$A$16+'Control Room'!$B$16,'Process'!BV5=1),1+('Control Room'!$C$16-1)*EXP(-0.5*(($A453-'Control Room'!$A$16-('Control Room'!$B$16-1)/2)/MAX(0.5,'Control Room'!$B$16/4))^2),1)</x:f>
        <x:v>1</x:v>
      </x:c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Z453" t="str">
        <x:f>IF('Data'!A453="","",TEXT('Data'!A453,"mm-dd"))</x:f>
      </x:c>
    </x:row>
    <x:row r="454" ht="21" customHeight="1">
      <x:c r="A454" s="15" t="n">
        <x:f>'Control Room'!$B$1+452</x:f>
        <x:v>73443</x:v>
      </x:c>
      <x:c r="B454" s="9" t="n">
        <x:f>MOD(C453*16807,2147483647)</x:f>
        <x:v>868244839</x:v>
      </x:c>
      <x:c r="C454" s="9" t="n">
        <x:f>MOD(B454*16807,2147483647)</x:f>
        <x:v>439627708</x:v>
      </x:c>
      <x:c r="D454" s="17" t="n">
        <x:f>IF('Control Room'!$B$5="Normal",'Control Room'!$B$7+'Control Room'!$D$7*SQRT(-2*LN(MAX(0.000000000001,B454/2147483647)))*COS(2*PI()*C454/2147483647),'Control Room'!$B$8+('Control Room'!$D$8-'Control Room'!$B$8)*B454/2147483647)</x:f>
        <x:v>1033.9980884202544</x:v>
      </x:c>
      <x:c r="E454" s="17" t="n">
        <x:f>IF('Control Room'!$B$5="Normal",'Control Room'!$B$7,('Control Room'!$B$8+'Control Room'!$D$8)/2)+'Control Room'!$B$9*(E453-IF('Control Room'!$B$5="Normal",'Control Room'!$B$7,('Control Room'!$B$8+'Control Room'!$D$8)/2))+SQRT(1-'Control Room'!$B$9^2)*(D454-IF('Control Room'!$B$5="Normal",'Control Room'!$B$7,('Control Room'!$B$8+'Control Room'!$D$8)/2))</x:f>
        <x:v>974.1617676198507</x:v>
      </x:c>
      <x:c r="F454" s="17" t="n">
        <x:f>IF(AND($A454&gt;='Control Room'!$A$13,$A454&lt;'Control Room'!$A$13+'Control Room'!$B$13,'Process'!BK2=1),1+('Control Room'!$C$13-1)*EXP(-0.5*(($A454-'Control Room'!$A$13-('Control Room'!$B$13-1)/2)/MAX(0.5,'Control Room'!$B$13/4))^2),1)*IF(AND($A454&gt;='Control Room'!$A$14,$A454&lt;'Control Room'!$A$14+'Control Room'!$B$14,'Process'!BK3=1),1+('Control Room'!$C$14-1)*EXP(-0.5*(($A454-'Control Room'!$A$14-('Control Room'!$B$14-1)/2)/MAX(0.5,'Control Room'!$B$14/4))^2),1)*IF(AND($A454&gt;='Control Room'!$A$15,$A454&lt;'Control Room'!$A$15+'Control Room'!$B$15,'Process'!BK4=1),1+('Control Room'!$C$15-1)*EXP(-0.5*(($A454-'Control Room'!$A$15-('Control Room'!$B$15-1)/2)/MAX(0.5,'Control Room'!$B$15/4))^2),1)*IF(AND($A454&gt;='Control Room'!$A$16,$A454&lt;'Control Room'!$A$16+'Control Room'!$B$16,'Process'!BK5=1),1+('Control Room'!$C$16-1)*EXP(-0.5*(($A454-'Control Room'!$A$16-('Control Room'!$B$16-1)/2)/MAX(0.5,'Control Room'!$B$16/4))^2),1)</x:f>
        <x:v>1</x:v>
      </x:c>
      <x:c r="G454" s="9" t="n">
        <x:f>MOD(H453*16807,2147483647)</x:f>
        <x:v>1212363122</x:v>
      </x:c>
      <x:c r="H454" s="9" t="n">
        <x:f>MOD(G454*16807,2147483647)</x:f>
        <x:v>862148718</x:v>
      </x:c>
      <x:c r="I454" s="17" t="n">
        <x:f>IF('Control Room'!$B$5="Normal",'Control Room'!$B$7+'Control Room'!$D$7*SQRT(-2*LN(MAX(0.000000000001,G454/2147483647)))*COS(2*PI()*H454/2147483647),'Control Room'!$B$8+('Control Room'!$D$8-'Control Room'!$B$8)*G454/2147483647)</x:f>
        <x:v>921.6220962173311</x:v>
      </x:c>
      <x:c r="J454" s="17" t="n">
        <x:f>IF('Control Room'!$B$5="Normal",'Control Room'!$B$7,('Control Room'!$B$8+'Control Room'!$D$8)/2)+'Control Room'!$B$9*(J453-IF('Control Room'!$B$5="Normal",'Control Room'!$B$7,('Control Room'!$B$8+'Control Room'!$D$8)/2))+SQRT(1-'Control Room'!$B$9^2)*(I454-IF('Control Room'!$B$5="Normal",'Control Room'!$B$7,('Control Room'!$B$8+'Control Room'!$D$8)/2))</x:f>
        <x:v>982.9861712342902</x:v>
      </x:c>
      <x:c r="K454" s="17" t="n">
        <x:f>IF(AND($A454&gt;='Control Room'!$A$13,$A454&lt;'Control Room'!$A$13+'Control Room'!$B$13,'Process'!BL2=1),1+('Control Room'!$C$13-1)*EXP(-0.5*(($A454-'Control Room'!$A$13-('Control Room'!$B$13-1)/2)/MAX(0.5,'Control Room'!$B$13/4))^2),1)*IF(AND($A454&gt;='Control Room'!$A$14,$A454&lt;'Control Room'!$A$14+'Control Room'!$B$14,'Process'!BL3=1),1+('Control Room'!$C$14-1)*EXP(-0.5*(($A454-'Control Room'!$A$14-('Control Room'!$B$14-1)/2)/MAX(0.5,'Control Room'!$B$14/4))^2),1)*IF(AND($A454&gt;='Control Room'!$A$15,$A454&lt;'Control Room'!$A$15+'Control Room'!$B$15,'Process'!BL4=1),1+('Control Room'!$C$15-1)*EXP(-0.5*(($A454-'Control Room'!$A$15-('Control Room'!$B$15-1)/2)/MAX(0.5,'Control Room'!$B$15/4))^2),1)*IF(AND($A454&gt;='Control Room'!$A$16,$A454&lt;'Control Room'!$A$16+'Control Room'!$B$16,'Process'!BL5=1),1+('Control Room'!$C$16-1)*EXP(-0.5*(($A454-'Control Room'!$A$16-('Control Room'!$B$16-1)/2)/MAX(0.5,'Control Room'!$B$16/4))^2),1)</x:f>
        <x:v>1</x:v>
      </x:c>
      <x:c r="L454" s="9" t="n">
        <x:f>MOD(M453*16807,2147483647)</x:f>
        <x:v>1556481405</x:v>
      </x:c>
      <x:c r="M454" s="9" t="n">
        <x:f>MOD(L454*16807,2147483647)</x:f>
        <x:v>1284669728</x:v>
      </x:c>
      <x:c r="N454" s="17" t="n">
        <x:f>IF('Control Room'!$B$5="Normal",'Control Room'!$B$7+'Control Room'!$D$7*SQRT(-2*LN(MAX(0.000000000001,L454/2147483647)))*COS(2*PI()*M454/2147483647),'Control Room'!$B$8+('Control Room'!$D$8-'Control Room'!$B$8)*L454/2147483647)</x:f>
        <x:v>941.1101378780423</x:v>
      </x:c>
      <x:c r="O454" s="17" t="n">
        <x:f>IF('Control Room'!$B$5="Normal",'Control Room'!$B$7,('Control Room'!$B$8+'Control Room'!$D$8)/2)+'Control Room'!$B$9*(O453-IF('Control Room'!$B$5="Normal",'Control Room'!$B$7,('Control Room'!$B$8+'Control Room'!$D$8)/2))+SQRT(1-'Control Room'!$B$9^2)*(N454-IF('Control Room'!$B$5="Normal",'Control Room'!$B$7,('Control Room'!$B$8+'Control Room'!$D$8)/2))</x:f>
        <x:v>1044.5312085156809</x:v>
      </x:c>
      <x:c r="P454" s="17" t="n">
        <x:f>IF(AND($A454&gt;='Control Room'!$A$13,$A454&lt;'Control Room'!$A$13+'Control Room'!$B$13,'Process'!BM2=1),1+('Control Room'!$C$13-1)*EXP(-0.5*(($A454-'Control Room'!$A$13-('Control Room'!$B$13-1)/2)/MAX(0.5,'Control Room'!$B$13/4))^2),1)*IF(AND($A454&gt;='Control Room'!$A$14,$A454&lt;'Control Room'!$A$14+'Control Room'!$B$14,'Process'!BM3=1),1+('Control Room'!$C$14-1)*EXP(-0.5*(($A454-'Control Room'!$A$14-('Control Room'!$B$14-1)/2)/MAX(0.5,'Control Room'!$B$14/4))^2),1)*IF(AND($A454&gt;='Control Room'!$A$15,$A454&lt;'Control Room'!$A$15+'Control Room'!$B$15,'Process'!BM4=1),1+('Control Room'!$C$15-1)*EXP(-0.5*(($A454-'Control Room'!$A$15-('Control Room'!$B$15-1)/2)/MAX(0.5,'Control Room'!$B$15/4))^2),1)*IF(AND($A454&gt;='Control Room'!$A$16,$A454&lt;'Control Room'!$A$16+'Control Room'!$B$16,'Process'!BM5=1),1+('Control Room'!$C$16-1)*EXP(-0.5*(($A454-'Control Room'!$A$16-('Control Room'!$B$16-1)/2)/MAX(0.5,'Control Room'!$B$16/4))^2),1)</x:f>
        <x:v>1</x:v>
      </x:c>
      <x:c r="Q454" s="9" t="n">
        <x:f>MOD(R453*16807,2147483647)</x:f>
        <x:v>1900599688</x:v>
      </x:c>
      <x:c r="R454" s="9" t="n">
        <x:f>MOD(Q454*16807,2147483647)</x:f>
        <x:v>1707190738</x:v>
      </x:c>
      <x:c r="S454" s="17" t="n">
        <x:f>IF('Control Room'!$B$5="Normal",'Control Room'!$B$7+'Control Room'!$D$7*SQRT(-2*LN(MAX(0.000000000001,Q454/2147483647)))*COS(2*PI()*R454/2147483647),'Control Room'!$B$8+('Control Room'!$D$8-'Control Room'!$B$8)*Q454/2147483647)</x:f>
        <x:v>1012.4021549852938</x:v>
      </x:c>
      <x:c r="T454" s="17" t="n">
        <x:f>IF('Control Room'!$B$5="Normal",'Control Room'!$B$7,('Control Room'!$B$8+'Control Room'!$D$8)/2)+'Control Room'!$B$9*(T453-IF('Control Room'!$B$5="Normal",'Control Room'!$B$7,('Control Room'!$B$8+'Control Room'!$D$8)/2))+SQRT(1-'Control Room'!$B$9^2)*(S454-IF('Control Room'!$B$5="Normal",'Control Room'!$B$7,('Control Room'!$B$8+'Control Room'!$D$8)/2))</x:f>
        <x:v>1030.902980628007</x:v>
      </x:c>
      <x:c r="U454" s="17" t="n">
        <x:f>IF(AND($A454&gt;='Control Room'!$A$13,$A454&lt;'Control Room'!$A$13+'Control Room'!$B$13,'Process'!BN2=1),1+('Control Room'!$C$13-1)*EXP(-0.5*(($A454-'Control Room'!$A$13-('Control Room'!$B$13-1)/2)/MAX(0.5,'Control Room'!$B$13/4))^2),1)*IF(AND($A454&gt;='Control Room'!$A$14,$A454&lt;'Control Room'!$A$14+'Control Room'!$B$14,'Process'!BN3=1),1+('Control Room'!$C$14-1)*EXP(-0.5*(($A454-'Control Room'!$A$14-('Control Room'!$B$14-1)/2)/MAX(0.5,'Control Room'!$B$14/4))^2),1)*IF(AND($A454&gt;='Control Room'!$A$15,$A454&lt;'Control Room'!$A$15+'Control Room'!$B$15,'Process'!BN4=1),1+('Control Room'!$C$15-1)*EXP(-0.5*(($A454-'Control Room'!$A$15-('Control Room'!$B$15-1)/2)/MAX(0.5,'Control Room'!$B$15/4))^2),1)*IF(AND($A454&gt;='Control Room'!$A$16,$A454&lt;'Control Room'!$A$16+'Control Room'!$B$16,'Process'!BN5=1),1+('Control Room'!$C$16-1)*EXP(-0.5*(($A454-'Control Room'!$A$16-('Control Room'!$B$16-1)/2)/MAX(0.5,'Control Room'!$B$16/4))^2),1)</x:f>
        <x:v>1</x:v>
      </x:c>
      <x:c r="V454" s="9" t="n">
        <x:f>MOD(W453*16807,2147483647)</x:f>
        <x:v>97234324</x:v>
      </x:c>
      <x:c r="W454" s="9" t="n">
        <x:f>MOD(V454*16807,2147483647)</x:f>
        <x:v>2129711748</x:v>
      </x:c>
      <x:c r="X454" s="17" t="n">
        <x:f>IF('Control Room'!$B$5="Normal",'Control Room'!$B$7+'Control Room'!$D$7*SQRT(-2*LN(MAX(0.000000000001,V454/2147483647)))*COS(2*PI()*W454/2147483647),'Control Room'!$B$8+('Control Room'!$D$8-'Control Room'!$B$8)*V454/2147483647)</x:f>
        <x:v>1223.6121629995987</x:v>
      </x:c>
      <x:c r="Y454" s="17" t="n">
        <x:f>IF('Control Room'!$B$5="Normal",'Control Room'!$B$7,('Control Room'!$B$8+'Control Room'!$D$8)/2)+'Control Room'!$B$9*(Y453-IF('Control Room'!$B$5="Normal",'Control Room'!$B$7,('Control Room'!$B$8+'Control Room'!$D$8)/2))+SQRT(1-'Control Room'!$B$9^2)*(X454-IF('Control Room'!$B$5="Normal",'Control Room'!$B$7,('Control Room'!$B$8+'Control Room'!$D$8)/2))</x:f>
        <x:v>1286.6143308562728</x:v>
      </x:c>
      <x:c r="Z454" s="17" t="n">
        <x:f>IF(AND($A454&gt;='Control Room'!$A$13,$A454&lt;'Control Room'!$A$13+'Control Room'!$B$13,'Process'!BO2=1),1+('Control Room'!$C$13-1)*EXP(-0.5*(($A454-'Control Room'!$A$13-('Control Room'!$B$13-1)/2)/MAX(0.5,'Control Room'!$B$13/4))^2),1)*IF(AND($A454&gt;='Control Room'!$A$14,$A454&lt;'Control Room'!$A$14+'Control Room'!$B$14,'Process'!BO3=1),1+('Control Room'!$C$14-1)*EXP(-0.5*(($A454-'Control Room'!$A$14-('Control Room'!$B$14-1)/2)/MAX(0.5,'Control Room'!$B$14/4))^2),1)*IF(AND($A454&gt;='Control Room'!$A$15,$A454&lt;'Control Room'!$A$15+'Control Room'!$B$15,'Process'!BO4=1),1+('Control Room'!$C$15-1)*EXP(-0.5*(($A454-'Control Room'!$A$15-('Control Room'!$B$15-1)/2)/MAX(0.5,'Control Room'!$B$15/4))^2),1)*IF(AND($A454&gt;='Control Room'!$A$16,$A454&lt;'Control Room'!$A$16+'Control Room'!$B$16,'Process'!BO5=1),1+('Control Room'!$C$16-1)*EXP(-0.5*(($A454-'Control Room'!$A$16-('Control Room'!$B$16-1)/2)/MAX(0.5,'Control Room'!$B$16/4))^2),1)</x:f>
        <x:v>1</x:v>
      </x:c>
      <x:c r="AA454" s="9" t="n">
        <x:f>MOD(AB453*16807,2147483647)</x:f>
        <x:v>441352607</x:v>
      </x:c>
      <x:c r="AB454" s="9" t="n">
        <x:f>MOD(AA454*16807,2147483647)</x:f>
        <x:v>404749111</x:v>
      </x:c>
      <x:c r="AC454" s="17" t="n">
        <x:f>IF('Control Room'!$B$5="Normal",'Control Room'!$B$7+'Control Room'!$D$7*SQRT(-2*LN(MAX(0.000000000001,AA454/2147483647)))*COS(2*PI()*AB454/2147483647),'Control Room'!$B$8+('Control Room'!$D$8-'Control Room'!$B$8)*AA454/2147483647)</x:f>
        <x:v>1060.3591332060694</x:v>
      </x:c>
      <x:c r="AD454" s="17" t="n">
        <x:f>IF('Control Room'!$B$5="Normal",'Control Room'!$B$7,('Control Room'!$B$8+'Control Room'!$D$8)/2)+'Control Room'!$B$9*(AD453-IF('Control Room'!$B$5="Normal",'Control Room'!$B$7,('Control Room'!$B$8+'Control Room'!$D$8)/2))+SQRT(1-'Control Room'!$B$9^2)*(AC454-IF('Control Room'!$B$5="Normal",'Control Room'!$B$7,('Control Room'!$B$8+'Control Room'!$D$8)/2))</x:f>
        <x:v>1102.2418486576075</x:v>
      </x:c>
      <x:c r="AE454" s="17" t="n">
        <x:f>IF(AND($A454&gt;='Control Room'!$A$13,$A454&lt;'Control Room'!$A$13+'Control Room'!$B$13,'Process'!BP2=1),1+('Control Room'!$C$13-1)*EXP(-0.5*(($A454-'Control Room'!$A$13-('Control Room'!$B$13-1)/2)/MAX(0.5,'Control Room'!$B$13/4))^2),1)*IF(AND($A454&gt;='Control Room'!$A$14,$A454&lt;'Control Room'!$A$14+'Control Room'!$B$14,'Process'!BP3=1),1+('Control Room'!$C$14-1)*EXP(-0.5*(($A454-'Control Room'!$A$14-('Control Room'!$B$14-1)/2)/MAX(0.5,'Control Room'!$B$14/4))^2),1)*IF(AND($A454&gt;='Control Room'!$A$15,$A454&lt;'Control Room'!$A$15+'Control Room'!$B$15,'Process'!BP4=1),1+('Control Room'!$C$15-1)*EXP(-0.5*(($A454-'Control Room'!$A$15-('Control Room'!$B$15-1)/2)/MAX(0.5,'Control Room'!$B$15/4))^2),1)*IF(AND($A454&gt;='Control Room'!$A$16,$A454&lt;'Control Room'!$A$16+'Control Room'!$B$16,'Process'!BP5=1),1+('Control Room'!$C$16-1)*EXP(-0.5*(($A454-'Control Room'!$A$16-('Control Room'!$B$16-1)/2)/MAX(0.5,'Control Room'!$B$16/4))^2),1)</x:f>
        <x:v>1</x:v>
      </x:c>
      <x:c r="AF454" s="9" t="n">
        <x:f>MOD(AG453*16807,2147483647)</x:f>
        <x:v>785470890</x:v>
      </x:c>
      <x:c r="AG454" s="9" t="n">
        <x:f>MOD(AF454*16807,2147483647)</x:f>
        <x:v>827270121</x:v>
      </x:c>
      <x:c r="AH454" s="17" t="n">
        <x:f>IF('Control Room'!$B$5="Normal",'Control Room'!$B$7+'Control Room'!$D$7*SQRT(-2*LN(MAX(0.000000000001,AF454/2147483647)))*COS(2*PI()*AG454/2147483647),'Control Room'!$B$8+('Control Room'!$D$8-'Control Room'!$B$8)*AF454/2147483647)</x:f>
        <x:v>904.1308123573186</x:v>
      </x:c>
      <x:c r="AI454" s="17" t="n">
        <x:f>IF('Control Room'!$B$5="Normal",'Control Room'!$B$7,('Control Room'!$B$8+'Control Room'!$D$8)/2)+'Control Room'!$B$9*(AI453-IF('Control Room'!$B$5="Normal",'Control Room'!$B$7,('Control Room'!$B$8+'Control Room'!$D$8)/2))+SQRT(1-'Control Room'!$B$9^2)*(AH454-IF('Control Room'!$B$5="Normal",'Control Room'!$B$7,('Control Room'!$B$8+'Control Room'!$D$8)/2))</x:f>
        <x:v>974.539040054756</x:v>
      </x:c>
      <x:c r="AJ454" s="17" t="n">
        <x:f>IF(AND($A454&gt;='Control Room'!$A$13,$A454&lt;'Control Room'!$A$13+'Control Room'!$B$13,'Process'!BQ2=1),1+('Control Room'!$C$13-1)*EXP(-0.5*(($A454-'Control Room'!$A$13-('Control Room'!$B$13-1)/2)/MAX(0.5,'Control Room'!$B$13/4))^2),1)*IF(AND($A454&gt;='Control Room'!$A$14,$A454&lt;'Control Room'!$A$14+'Control Room'!$B$14,'Process'!BQ3=1),1+('Control Room'!$C$14-1)*EXP(-0.5*(($A454-'Control Room'!$A$14-('Control Room'!$B$14-1)/2)/MAX(0.5,'Control Room'!$B$14/4))^2),1)*IF(AND($A454&gt;='Control Room'!$A$15,$A454&lt;'Control Room'!$A$15+'Control Room'!$B$15,'Process'!BQ4=1),1+('Control Room'!$C$15-1)*EXP(-0.5*(($A454-'Control Room'!$A$15-('Control Room'!$B$15-1)/2)/MAX(0.5,'Control Room'!$B$15/4))^2),1)*IF(AND($A454&gt;='Control Room'!$A$16,$A454&lt;'Control Room'!$A$16+'Control Room'!$B$16,'Process'!BQ5=1),1+('Control Room'!$C$16-1)*EXP(-0.5*(($A454-'Control Room'!$A$16-('Control Room'!$B$16-1)/2)/MAX(0.5,'Control Room'!$B$16/4))^2),1)</x:f>
        <x:v>1</x:v>
      </x:c>
      <x:c r="AK454" s="9" t="n">
        <x:f>MOD(AL453*16807,2147483647)</x:f>
        <x:v>1129589173</x:v>
      </x:c>
      <x:c r="AL454" s="9" t="n">
        <x:f>MOD(AK454*16807,2147483647)</x:f>
        <x:v>1249791131</x:v>
      </x:c>
      <x:c r="AM454" s="17" t="n">
        <x:f>IF('Control Room'!$B$5="Normal",'Control Room'!$B$7+'Control Room'!$D$7*SQRT(-2*LN(MAX(0.000000000001,AK454/2147483647)))*COS(2*PI()*AL454/2147483647),'Control Room'!$B$8+('Control Room'!$D$8-'Control Room'!$B$8)*AK454/2147483647)</x:f>
        <x:v>911.2194966067927</x:v>
      </x:c>
      <x:c r="AN454" s="17" t="n">
        <x:f>IF('Control Room'!$B$5="Normal",'Control Room'!$B$7,('Control Room'!$B$8+'Control Room'!$D$8)/2)+'Control Room'!$B$9*(AN453-IF('Control Room'!$B$5="Normal",'Control Room'!$B$7,('Control Room'!$B$8+'Control Room'!$D$8)/2))+SQRT(1-'Control Room'!$B$9^2)*(AM454-IF('Control Room'!$B$5="Normal",'Control Room'!$B$7,('Control Room'!$B$8+'Control Room'!$D$8)/2))</x:f>
        <x:v>949.8867710790972</x:v>
      </x:c>
      <x:c r="AO454" s="17" t="n">
        <x:f>IF(AND($A454&gt;='Control Room'!$A$13,$A454&lt;'Control Room'!$A$13+'Control Room'!$B$13,'Process'!BR2=1),1+('Control Room'!$C$13-1)*EXP(-0.5*(($A454-'Control Room'!$A$13-('Control Room'!$B$13-1)/2)/MAX(0.5,'Control Room'!$B$13/4))^2),1)*IF(AND($A454&gt;='Control Room'!$A$14,$A454&lt;'Control Room'!$A$14+'Control Room'!$B$14,'Process'!BR3=1),1+('Control Room'!$C$14-1)*EXP(-0.5*(($A454-'Control Room'!$A$14-('Control Room'!$B$14-1)/2)/MAX(0.5,'Control Room'!$B$14/4))^2),1)*IF(AND($A454&gt;='Control Room'!$A$15,$A454&lt;'Control Room'!$A$15+'Control Room'!$B$15,'Process'!BR4=1),1+('Control Room'!$C$15-1)*EXP(-0.5*(($A454-'Control Room'!$A$15-('Control Room'!$B$15-1)/2)/MAX(0.5,'Control Room'!$B$15/4))^2),1)*IF(AND($A454&gt;='Control Room'!$A$16,$A454&lt;'Control Room'!$A$16+'Control Room'!$B$16,'Process'!BR5=1),1+('Control Room'!$C$16-1)*EXP(-0.5*(($A454-'Control Room'!$A$16-('Control Room'!$B$16-1)/2)/MAX(0.5,'Control Room'!$B$16/4))^2),1)</x:f>
        <x:v>1</x:v>
      </x:c>
      <x:c r="AP454" s="9" t="n">
        <x:f>MOD(AQ453*16807,2147483647)</x:f>
        <x:v>1473707456</x:v>
      </x:c>
      <x:c r="AQ454" s="9" t="n">
        <x:f>MOD(AP454*16807,2147483647)</x:f>
        <x:v>1672312141</x:v>
      </x:c>
      <x:c r="AR454" s="17" t="n">
        <x:f>IF('Control Room'!$B$5="Normal",'Control Room'!$B$7+'Control Room'!$D$7*SQRT(-2*LN(MAX(0.000000000001,AP454/2147483647)))*COS(2*PI()*AQ454/2147483647),'Control Room'!$B$8+('Control Room'!$D$8-'Control Room'!$B$8)*AP454/2147483647)</x:f>
        <x:v>1014.0222758544395</x:v>
      </x:c>
      <x:c r="AS454" s="17" t="n">
        <x:f>IF('Control Room'!$B$5="Normal",'Control Room'!$B$7,('Control Room'!$B$8+'Control Room'!$D$8)/2)+'Control Room'!$B$9*(AS453-IF('Control Room'!$B$5="Normal",'Control Room'!$B$7,('Control Room'!$B$8+'Control Room'!$D$8)/2))+SQRT(1-'Control Room'!$B$9^2)*(AR454-IF('Control Room'!$B$5="Normal",'Control Room'!$B$7,('Control Room'!$B$8+'Control Room'!$D$8)/2))</x:f>
        <x:v>902.3335126795324</x:v>
      </x:c>
      <x:c r="AT454" s="17" t="n">
        <x:f>IF(AND($A454&gt;='Control Room'!$A$13,$A454&lt;'Control Room'!$A$13+'Control Room'!$B$13,'Process'!BS2=1),1+('Control Room'!$C$13-1)*EXP(-0.5*(($A454-'Control Room'!$A$13-('Control Room'!$B$13-1)/2)/MAX(0.5,'Control Room'!$B$13/4))^2),1)*IF(AND($A454&gt;='Control Room'!$A$14,$A454&lt;'Control Room'!$A$14+'Control Room'!$B$14,'Process'!BS3=1),1+('Control Room'!$C$14-1)*EXP(-0.5*(($A454-'Control Room'!$A$14-('Control Room'!$B$14-1)/2)/MAX(0.5,'Control Room'!$B$14/4))^2),1)*IF(AND($A454&gt;='Control Room'!$A$15,$A454&lt;'Control Room'!$A$15+'Control Room'!$B$15,'Process'!BS4=1),1+('Control Room'!$C$15-1)*EXP(-0.5*(($A454-'Control Room'!$A$15-('Control Room'!$B$15-1)/2)/MAX(0.5,'Control Room'!$B$15/4))^2),1)*IF(AND($A454&gt;='Control Room'!$A$16,$A454&lt;'Control Room'!$A$16+'Control Room'!$B$16,'Process'!BS5=1),1+('Control Room'!$C$16-1)*EXP(-0.5*(($A454-'Control Room'!$A$16-('Control Room'!$B$16-1)/2)/MAX(0.5,'Control Room'!$B$16/4))^2),1)</x:f>
        <x:v>1</x:v>
      </x:c>
      <x:c r="AU454" s="9" t="n">
        <x:f>MOD(AV453*16807,2147483647)</x:f>
        <x:v>1817825739</x:v>
      </x:c>
      <x:c r="AV454" s="9" t="n">
        <x:f>MOD(AU454*16807,2147483647)</x:f>
        <x:v>2094833151</x:v>
      </x:c>
      <x:c r="AW454" s="17" t="n">
        <x:f>IF('Control Room'!$B$5="Normal",'Control Room'!$B$7+'Control Room'!$D$7*SQRT(-2*LN(MAX(0.000000000001,AU454/2147483647)))*COS(2*PI()*AV454/2147483647),'Control Room'!$B$8+('Control Room'!$D$8-'Control Room'!$B$8)*AU454/2147483647)</x:f>
        <x:v>1051.3445074247495</x:v>
      </x:c>
      <x:c r="AX454" s="17" t="n">
        <x:f>IF('Control Room'!$B$5="Normal",'Control Room'!$B$7,('Control Room'!$B$8+'Control Room'!$D$8)/2)+'Control Room'!$B$9*(AX453-IF('Control Room'!$B$5="Normal",'Control Room'!$B$7,('Control Room'!$B$8+'Control Room'!$D$8)/2))+SQRT(1-'Control Room'!$B$9^2)*(AW454-IF('Control Room'!$B$5="Normal",'Control Room'!$B$7,('Control Room'!$B$8+'Control Room'!$D$8)/2))</x:f>
        <x:v>1069.1164085537353</x:v>
      </x:c>
      <x:c r="AY454" s="17" t="n">
        <x:f>IF(AND($A454&gt;='Control Room'!$A$13,$A454&lt;'Control Room'!$A$13+'Control Room'!$B$13,'Process'!BT2=1),1+('Control Room'!$C$13-1)*EXP(-0.5*(($A454-'Control Room'!$A$13-('Control Room'!$B$13-1)/2)/MAX(0.5,'Control Room'!$B$13/4))^2),1)*IF(AND($A454&gt;='Control Room'!$A$14,$A454&lt;'Control Room'!$A$14+'Control Room'!$B$14,'Process'!BT3=1),1+('Control Room'!$C$14-1)*EXP(-0.5*(($A454-'Control Room'!$A$14-('Control Room'!$B$14-1)/2)/MAX(0.5,'Control Room'!$B$14/4))^2),1)*IF(AND($A454&gt;='Control Room'!$A$15,$A454&lt;'Control Room'!$A$15+'Control Room'!$B$15,'Process'!BT4=1),1+('Control Room'!$C$15-1)*EXP(-0.5*(($A454-'Control Room'!$A$15-('Control Room'!$B$15-1)/2)/MAX(0.5,'Control Room'!$B$15/4))^2),1)*IF(AND($A454&gt;='Control Room'!$A$16,$A454&lt;'Control Room'!$A$16+'Control Room'!$B$16,'Process'!BT5=1),1+('Control Room'!$C$16-1)*EXP(-0.5*(($A454-'Control Room'!$A$16-('Control Room'!$B$16-1)/2)/MAX(0.5,'Control Room'!$B$16/4))^2),1)</x:f>
        <x:v>1</x:v>
      </x:c>
      <x:c r="AZ454" s="9" t="n">
        <x:f>MOD(BA453*16807,2147483647)</x:f>
        <x:v>14460375</x:v>
      </x:c>
      <x:c r="BA454" s="9" t="n">
        <x:f>MOD(AZ454*16807,2147483647)</x:f>
        <x:v>369870514</x:v>
      </x:c>
      <x:c r="BB454" s="17" t="n">
        <x:f>IF('Control Room'!$B$5="Normal",'Control Room'!$B$7+'Control Room'!$D$7*SQRT(-2*LN(MAX(0.000000000001,AZ454/2147483647)))*COS(2*PI()*BA454/2147483647),'Control Room'!$B$8+('Control Room'!$D$8-'Control Room'!$B$8)*AZ454/2147483647)</x:f>
        <x:v>1133.6033014090779</x:v>
      </x:c>
      <x:c r="BC454" s="17" t="n">
        <x:f>IF('Control Room'!$B$5="Normal",'Control Room'!$B$7,('Control Room'!$B$8+'Control Room'!$D$8)/2)+'Control Room'!$B$9*(BC453-IF('Control Room'!$B$5="Normal",'Control Room'!$B$7,('Control Room'!$B$8+'Control Room'!$D$8)/2))+SQRT(1-'Control Room'!$B$9^2)*(BB454-IF('Control Room'!$B$5="Normal",'Control Room'!$B$7,('Control Room'!$B$8+'Control Room'!$D$8)/2))</x:f>
        <x:v>1100.603039190712</x:v>
      </x:c>
      <x:c r="BD454" s="17" t="n">
        <x:f>IF(AND($A454&gt;='Control Room'!$A$13,$A454&lt;'Control Room'!$A$13+'Control Room'!$B$13,'Process'!BU2=1),1+('Control Room'!$C$13-1)*EXP(-0.5*(($A454-'Control Room'!$A$13-('Control Room'!$B$13-1)/2)/MAX(0.5,'Control Room'!$B$13/4))^2),1)*IF(AND($A454&gt;='Control Room'!$A$14,$A454&lt;'Control Room'!$A$14+'Control Room'!$B$14,'Process'!BU3=1),1+('Control Room'!$C$14-1)*EXP(-0.5*(($A454-'Control Room'!$A$14-('Control Room'!$B$14-1)/2)/MAX(0.5,'Control Room'!$B$14/4))^2),1)*IF(AND($A454&gt;='Control Room'!$A$15,$A454&lt;'Control Room'!$A$15+'Control Room'!$B$15,'Process'!BU4=1),1+('Control Room'!$C$15-1)*EXP(-0.5*(($A454-'Control Room'!$A$15-('Control Room'!$B$15-1)/2)/MAX(0.5,'Control Room'!$B$15/4))^2),1)*IF(AND($A454&gt;='Control Room'!$A$16,$A454&lt;'Control Room'!$A$16+'Control Room'!$B$16,'Process'!BU5=1),1+('Control Room'!$C$16-1)*EXP(-0.5*(($A454-'Control Room'!$A$16-('Control Room'!$B$16-1)/2)/MAX(0.5,'Control Room'!$B$16/4))^2),1)</x:f>
        <x:v>1</x:v>
      </x:c>
      <x:c r="BE454" s="9" t="n">
        <x:f>MOD(BF453*16807,2147483647)</x:f>
        <x:v>358578658</x:v>
      </x:c>
      <x:c r="BF454" s="9" t="n">
        <x:f>MOD(BE454*16807,2147483647)</x:f>
        <x:v>792391524</x:v>
      </x:c>
      <x:c r="BG454" s="17" t="n">
        <x:f>IF('Control Room'!$B$5="Normal",'Control Room'!$B$7+'Control Room'!$D$7*SQRT(-2*LN(MAX(0.000000000001,BE454/2147483647)))*COS(2*PI()*BF454/2147483647),'Control Room'!$B$8+('Control Room'!$D$8-'Control Room'!$B$8)*BE454/2147483647)</x:f>
        <x:v>884.2261489410961</x:v>
      </x:c>
      <x:c r="BH454" s="17" t="n">
        <x:f>IF('Control Room'!$B$5="Normal",'Control Room'!$B$7,('Control Room'!$B$8+'Control Room'!$D$8)/2)+'Control Room'!$B$9*(BH453-IF('Control Room'!$B$5="Normal",'Control Room'!$B$7,('Control Room'!$B$8+'Control Room'!$D$8)/2))+SQRT(1-'Control Room'!$B$9^2)*(BG454-IF('Control Room'!$B$5="Normal",'Control Room'!$B$7,('Control Room'!$B$8+'Control Room'!$D$8)/2))</x:f>
        <x:v>876.1435841884932</x:v>
      </x:c>
      <x:c r="BI454" s="17" t="n">
        <x:f>IF(AND($A454&gt;='Control Room'!$A$13,$A454&lt;'Control Room'!$A$13+'Control Room'!$B$13,'Process'!BV2=1),1+('Control Room'!$C$13-1)*EXP(-0.5*(($A454-'Control Room'!$A$13-('Control Room'!$B$13-1)/2)/MAX(0.5,'Control Room'!$B$13/4))^2),1)*IF(AND($A454&gt;='Control Room'!$A$14,$A454&lt;'Control Room'!$A$14+'Control Room'!$B$14,'Process'!BV3=1),1+('Control Room'!$C$14-1)*EXP(-0.5*(($A454-'Control Room'!$A$14-('Control Room'!$B$14-1)/2)/MAX(0.5,'Control Room'!$B$14/4))^2),1)*IF(AND($A454&gt;='Control Room'!$A$15,$A454&lt;'Control Room'!$A$15+'Control Room'!$B$15,'Process'!BV4=1),1+('Control Room'!$C$15-1)*EXP(-0.5*(($A454-'Control Room'!$A$15-('Control Room'!$B$15-1)/2)/MAX(0.5,'Control Room'!$B$15/4))^2),1)*IF(AND($A454&gt;='Control Room'!$A$16,$A454&lt;'Control Room'!$A$16+'Control Room'!$B$16,'Process'!BV5=1),1+('Control Room'!$C$16-1)*EXP(-0.5*(($A454-'Control Room'!$A$16-('Control Room'!$B$16-1)/2)/MAX(0.5,'Control Room'!$B$16/4))^2),1)</x:f>
        <x:v>1</x:v>
      </x:c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Z454" t="str">
        <x:f>IF('Data'!A454="","",TEXT('Data'!A454,"mm-dd"))</x:f>
      </x:c>
    </x:row>
    <x:row r="455" ht="21" customHeight="1">
      <x:c r="A455" s="15" t="n">
        <x:f>'Control Room'!$B$1+453</x:f>
        <x:v>73444</x:v>
      </x:c>
      <x:c r="B455" s="9" t="n">
        <x:f>MOD(C454*16807,2147483647)</x:f>
        <x:v>1479142676</x:v>
      </x:c>
      <x:c r="C455" s="9" t="n">
        <x:f>MOD(B455*16807,2147483647)</x:f>
        <x:v>680257860</x:v>
      </x:c>
      <x:c r="D455" s="17" t="n">
        <x:f>IF('Control Room'!$B$5="Normal",'Control Room'!$B$7+'Control Room'!$D$7*SQRT(-2*LN(MAX(0.000000000001,B455/2147483647)))*COS(2*PI()*C455/2147483647),'Control Room'!$B$8+('Control Room'!$D$8-'Control Room'!$B$8)*B455/2147483647)</x:f>
        <x:v>968.3437206968365</x:v>
      </x:c>
      <x:c r="E455" s="17" t="n">
        <x:f>IF('Control Room'!$B$5="Normal",'Control Room'!$B$7,('Control Room'!$B$8+'Control Room'!$D$8)/2)+'Control Room'!$B$9*(E454-IF('Control Room'!$B$5="Normal",'Control Room'!$B$7,('Control Room'!$B$8+'Control Room'!$D$8)/2))+SQRT(1-'Control Room'!$B$9^2)*(D455-IF('Control Room'!$B$5="Normal",'Control Room'!$B$7,('Control Room'!$B$8+'Control Room'!$D$8)/2))</x:f>
        <x:v>960.0363276696952</x:v>
      </x:c>
      <x:c r="F455" s="17" t="n">
        <x:f>IF(AND($A455&gt;='Control Room'!$A$13,$A455&lt;'Control Room'!$A$13+'Control Room'!$B$13,'Process'!BK2=1),1+('Control Room'!$C$13-1)*EXP(-0.5*(($A455-'Control Room'!$A$13-('Control Room'!$B$13-1)/2)/MAX(0.5,'Control Room'!$B$13/4))^2),1)*IF(AND($A455&gt;='Control Room'!$A$14,$A455&lt;'Control Room'!$A$14+'Control Room'!$B$14,'Process'!BK3=1),1+('Control Room'!$C$14-1)*EXP(-0.5*(($A455-'Control Room'!$A$14-('Control Room'!$B$14-1)/2)/MAX(0.5,'Control Room'!$B$14/4))^2),1)*IF(AND($A455&gt;='Control Room'!$A$15,$A455&lt;'Control Room'!$A$15+'Control Room'!$B$15,'Process'!BK4=1),1+('Control Room'!$C$15-1)*EXP(-0.5*(($A455-'Control Room'!$A$15-('Control Room'!$B$15-1)/2)/MAX(0.5,'Control Room'!$B$15/4))^2),1)*IF(AND($A455&gt;='Control Room'!$A$16,$A455&lt;'Control Room'!$A$16+'Control Room'!$B$16,'Process'!BK5=1),1+('Control Room'!$C$16-1)*EXP(-0.5*(($A455-'Control Room'!$A$16-('Control Room'!$B$16-1)/2)/MAX(0.5,'Control Room'!$B$16/4))^2),1)</x:f>
        <x:v>1</x:v>
      </x:c>
      <x:c r="G455" s="9" t="n">
        <x:f>MOD(H454*16807,2147483647)</x:f>
        <x:v>1061337117</x:v>
      </x:c>
      <x:c r="H455" s="9" t="n">
        <x:f>MOD(G455*16807,2147483647)</x:f>
        <x:v>893753437</x:v>
      </x:c>
      <x:c r="I455" s="17" t="n">
        <x:f>IF('Control Room'!$B$5="Normal",'Control Room'!$B$7+'Control Room'!$D$7*SQRT(-2*LN(MAX(0.000000000001,G455/2147483647)))*COS(2*PI()*H455/2147483647),'Control Room'!$B$8+('Control Room'!$D$8-'Control Room'!$B$8)*G455/2147483647)</x:f>
        <x:v>907.6255907273793</x:v>
      </x:c>
      <x:c r="J455" s="17" t="n">
        <x:f>IF('Control Room'!$B$5="Normal",'Control Room'!$B$7,('Control Room'!$B$8+'Control Room'!$D$8)/2)+'Control Room'!$B$9*(J454-IF('Control Room'!$B$5="Normal",'Control Room'!$B$7,('Control Room'!$B$8+'Control Room'!$D$8)/2))+SQRT(1-'Control Room'!$B$9^2)*(I455-IF('Control Room'!$B$5="Normal",'Control Room'!$B$7,('Control Room'!$B$8+'Control Room'!$D$8)/2))</x:f>
        <x:v>928.9232006325749</x:v>
      </x:c>
      <x:c r="K455" s="17" t="n">
        <x:f>IF(AND($A455&gt;='Control Room'!$A$13,$A455&lt;'Control Room'!$A$13+'Control Room'!$B$13,'Process'!BL2=1),1+('Control Room'!$C$13-1)*EXP(-0.5*(($A455-'Control Room'!$A$13-('Control Room'!$B$13-1)/2)/MAX(0.5,'Control Room'!$B$13/4))^2),1)*IF(AND($A455&gt;='Control Room'!$A$14,$A455&lt;'Control Room'!$A$14+'Control Room'!$B$14,'Process'!BL3=1),1+('Control Room'!$C$14-1)*EXP(-0.5*(($A455-'Control Room'!$A$14-('Control Room'!$B$14-1)/2)/MAX(0.5,'Control Room'!$B$14/4))^2),1)*IF(AND($A455&gt;='Control Room'!$A$15,$A455&lt;'Control Room'!$A$15+'Control Room'!$B$15,'Process'!BL4=1),1+('Control Room'!$C$15-1)*EXP(-0.5*(($A455-'Control Room'!$A$15-('Control Room'!$B$15-1)/2)/MAX(0.5,'Control Room'!$B$15/4))^2),1)*IF(AND($A455&gt;='Control Room'!$A$16,$A455&lt;'Control Room'!$A$16+'Control Room'!$B$16,'Process'!BL5=1),1+('Control Room'!$C$16-1)*EXP(-0.5*(($A455-'Control Room'!$A$16-('Control Room'!$B$16-1)/2)/MAX(0.5,'Control Room'!$B$16/4))^2),1)</x:f>
        <x:v>1</x:v>
      </x:c>
      <x:c r="L455" s="9" t="n">
        <x:f>MOD(M454*16807,2147483647)</x:f>
        <x:v>643531558</x:v>
      </x:c>
      <x:c r="M455" s="9" t="n">
        <x:f>MOD(L455*16807,2147483647)</x:f>
        <x:v>1107249014</x:v>
      </x:c>
      <x:c r="N455" s="17" t="n">
        <x:f>IF('Control Room'!$B$5="Normal",'Control Room'!$B$7+'Control Room'!$D$7*SQRT(-2*LN(MAX(0.000000000001,L455/2147483647)))*COS(2*PI()*M455/2147483647),'Control Room'!$B$8+('Control Room'!$D$8-'Control Room'!$B$8)*L455/2147483647)</x:f>
        <x:v>860.9486428113457</x:v>
      </x:c>
      <x:c r="O455" s="17" t="n">
        <x:f>IF('Control Room'!$B$5="Normal",'Control Room'!$B$7,('Control Room'!$B$8+'Control Room'!$D$8)/2)+'Control Room'!$B$9*(O454-IF('Control Room'!$B$5="Normal",'Control Room'!$B$7,('Control Room'!$B$8+'Control Room'!$D$8)/2))+SQRT(1-'Control Room'!$B$9^2)*(N455-IF('Control Room'!$B$5="Normal",'Control Room'!$B$7,('Control Room'!$B$8+'Control Room'!$D$8)/2))</x:f>
        <x:v>947.7188519354596</x:v>
      </x:c>
      <x:c r="P455" s="17" t="n">
        <x:f>IF(AND($A455&gt;='Control Room'!$A$13,$A455&lt;'Control Room'!$A$13+'Control Room'!$B$13,'Process'!BM2=1),1+('Control Room'!$C$13-1)*EXP(-0.5*(($A455-'Control Room'!$A$13-('Control Room'!$B$13-1)/2)/MAX(0.5,'Control Room'!$B$13/4))^2),1)*IF(AND($A455&gt;='Control Room'!$A$14,$A455&lt;'Control Room'!$A$14+'Control Room'!$B$14,'Process'!BM3=1),1+('Control Room'!$C$14-1)*EXP(-0.5*(($A455-'Control Room'!$A$14-('Control Room'!$B$14-1)/2)/MAX(0.5,'Control Room'!$B$14/4))^2),1)*IF(AND($A455&gt;='Control Room'!$A$15,$A455&lt;'Control Room'!$A$15+'Control Room'!$B$15,'Process'!BM4=1),1+('Control Room'!$C$15-1)*EXP(-0.5*(($A455-'Control Room'!$A$15-('Control Room'!$B$15-1)/2)/MAX(0.5,'Control Room'!$B$15/4))^2),1)*IF(AND($A455&gt;='Control Room'!$A$16,$A455&lt;'Control Room'!$A$16+'Control Room'!$B$16,'Process'!BM5=1),1+('Control Room'!$C$16-1)*EXP(-0.5*(($A455-'Control Room'!$A$16-('Control Room'!$B$16-1)/2)/MAX(0.5,'Control Room'!$B$16/4))^2),1)</x:f>
        <x:v>1</x:v>
      </x:c>
      <x:c r="Q455" s="9" t="n">
        <x:f>MOD(R454*16807,2147483647)</x:f>
        <x:v>225725999</x:v>
      </x:c>
      <x:c r="R455" s="9" t="n">
        <x:f>MOD(Q455*16807,2147483647)</x:f>
        <x:v>1320744591</x:v>
      </x:c>
      <x:c r="S455" s="17" t="n">
        <x:f>IF('Control Room'!$B$5="Normal",'Control Room'!$B$7+'Control Room'!$D$7*SQRT(-2*LN(MAX(0.000000000001,Q455/2147483647)))*COS(2*PI()*R455/2147483647),'Control Room'!$B$8+('Control Room'!$D$8-'Control Room'!$B$8)*Q455/2147483647)</x:f>
        <x:v>856.7183918887438</x:v>
      </x:c>
      <x:c r="T455" s="17" t="n">
        <x:f>IF('Control Room'!$B$5="Normal",'Control Room'!$B$7,('Control Room'!$B$8+'Control Room'!$D$8)/2)+'Control Room'!$B$9*(T454-IF('Control Room'!$B$5="Normal",'Control Room'!$B$7,('Control Room'!$B$8+'Control Room'!$D$8)/2))+SQRT(1-'Control Room'!$B$9^2)*(S455-IF('Control Room'!$B$5="Normal",'Control Room'!$B$7,('Control Room'!$B$8+'Control Room'!$D$8)/2))</x:f>
        <x:v>934.4416298171103</x:v>
      </x:c>
      <x:c r="U455" s="17" t="n">
        <x:f>IF(AND($A455&gt;='Control Room'!$A$13,$A455&lt;'Control Room'!$A$13+'Control Room'!$B$13,'Process'!BN2=1),1+('Control Room'!$C$13-1)*EXP(-0.5*(($A455-'Control Room'!$A$13-('Control Room'!$B$13-1)/2)/MAX(0.5,'Control Room'!$B$13/4))^2),1)*IF(AND($A455&gt;='Control Room'!$A$14,$A455&lt;'Control Room'!$A$14+'Control Room'!$B$14,'Process'!BN3=1),1+('Control Room'!$C$14-1)*EXP(-0.5*(($A455-'Control Room'!$A$14-('Control Room'!$B$14-1)/2)/MAX(0.5,'Control Room'!$B$14/4))^2),1)*IF(AND($A455&gt;='Control Room'!$A$15,$A455&lt;'Control Room'!$A$15+'Control Room'!$B$15,'Process'!BN4=1),1+('Control Room'!$C$15-1)*EXP(-0.5*(($A455-'Control Room'!$A$15-('Control Room'!$B$15-1)/2)/MAX(0.5,'Control Room'!$B$15/4))^2),1)*IF(AND($A455&gt;='Control Room'!$A$16,$A455&lt;'Control Room'!$A$16+'Control Room'!$B$16,'Process'!BN5=1),1+('Control Room'!$C$16-1)*EXP(-0.5*(($A455-'Control Room'!$A$16-('Control Room'!$B$16-1)/2)/MAX(0.5,'Control Room'!$B$16/4))^2),1)</x:f>
        <x:v>1</x:v>
      </x:c>
      <x:c r="V455" s="9" t="n">
        <x:f>MOD(W454*16807,2147483647)</x:f>
        <x:v>1955404087</x:v>
      </x:c>
      <x:c r="W455" s="9" t="n">
        <x:f>MOD(V455*16807,2147483647)</x:f>
        <x:v>1534240168</x:v>
      </x:c>
      <x:c r="X455" s="17" t="n">
        <x:f>IF('Control Room'!$B$5="Normal",'Control Room'!$B$7+'Control Room'!$D$7*SQRT(-2*LN(MAX(0.000000000001,V455/2147483647)))*COS(2*PI()*W455/2147483647),'Control Room'!$B$8+('Control Room'!$D$8-'Control Room'!$B$8)*V455/2147483647)</x:f>
        <x:v>991.3663537407749</x:v>
      </x:c>
      <x:c r="Y455" s="17" t="n">
        <x:f>IF('Control Room'!$B$5="Normal",'Control Room'!$B$7,('Control Room'!$B$8+'Control Room'!$D$8)/2)+'Control Room'!$B$9*(Y454-IF('Control Room'!$B$5="Normal",'Control Room'!$B$7,('Control Room'!$B$8+'Control Room'!$D$8)/2))+SQRT(1-'Control Room'!$B$9^2)*(X455-IF('Control Room'!$B$5="Normal",'Control Room'!$B$7,('Control Room'!$B$8+'Control Room'!$D$8)/2))</x:f>
        <x:v>1218.156419108727</x:v>
      </x:c>
      <x:c r="Z455" s="17" t="n">
        <x:f>IF(AND($A455&gt;='Control Room'!$A$13,$A455&lt;'Control Room'!$A$13+'Control Room'!$B$13,'Process'!BO2=1),1+('Control Room'!$C$13-1)*EXP(-0.5*(($A455-'Control Room'!$A$13-('Control Room'!$B$13-1)/2)/MAX(0.5,'Control Room'!$B$13/4))^2),1)*IF(AND($A455&gt;='Control Room'!$A$14,$A455&lt;'Control Room'!$A$14+'Control Room'!$B$14,'Process'!BO3=1),1+('Control Room'!$C$14-1)*EXP(-0.5*(($A455-'Control Room'!$A$14-('Control Room'!$B$14-1)/2)/MAX(0.5,'Control Room'!$B$14/4))^2),1)*IF(AND($A455&gt;='Control Room'!$A$15,$A455&lt;'Control Room'!$A$15+'Control Room'!$B$15,'Process'!BO4=1),1+('Control Room'!$C$15-1)*EXP(-0.5*(($A455-'Control Room'!$A$15-('Control Room'!$B$15-1)/2)/MAX(0.5,'Control Room'!$B$15/4))^2),1)*IF(AND($A455&gt;='Control Room'!$A$16,$A455&lt;'Control Room'!$A$16+'Control Room'!$B$16,'Process'!BO5=1),1+('Control Room'!$C$16-1)*EXP(-0.5*(($A455-'Control Room'!$A$16-('Control Room'!$B$16-1)/2)/MAX(0.5,'Control Room'!$B$16/4))^2),1)</x:f>
        <x:v>1</x:v>
      </x:c>
      <x:c r="AA455" s="9" t="n">
        <x:f>MOD(AB454*16807,2147483647)</x:f>
        <x:v>1537598528</x:v>
      </x:c>
      <x:c r="AB455" s="9" t="n">
        <x:f>MOD(AA455*16807,2147483647)</x:f>
        <x:v>1747735745</x:v>
      </x:c>
      <x:c r="AC455" s="17" t="n">
        <x:f>IF('Control Room'!$B$5="Normal",'Control Room'!$B$7+'Control Room'!$D$7*SQRT(-2*LN(MAX(0.000000000001,AA455/2147483647)))*COS(2*PI()*AB455/2147483647),'Control Room'!$B$8+('Control Room'!$D$8-'Control Room'!$B$8)*AA455/2147483647)</x:f>
        <x:v>1028.7293569504652</x:v>
      </x:c>
      <x:c r="AD455" s="17" t="n">
        <x:f>IF('Control Room'!$B$5="Normal",'Control Room'!$B$7,('Control Room'!$B$8+'Control Room'!$D$8)/2)+'Control Room'!$B$9*(AD454-IF('Control Room'!$B$5="Normal",'Control Room'!$B$7,('Control Room'!$B$8+'Control Room'!$D$8)/2))+SQRT(1-'Control Room'!$B$9^2)*(AC455-IF('Control Room'!$B$5="Normal",'Control Room'!$B$7,('Control Room'!$B$8+'Control Room'!$D$8)/2))</x:f>
        <x:v>1097.7268849796671</x:v>
      </x:c>
      <x:c r="AE455" s="17" t="n">
        <x:f>IF(AND($A455&gt;='Control Room'!$A$13,$A455&lt;'Control Room'!$A$13+'Control Room'!$B$13,'Process'!BP2=1),1+('Control Room'!$C$13-1)*EXP(-0.5*(($A455-'Control Room'!$A$13-('Control Room'!$B$13-1)/2)/MAX(0.5,'Control Room'!$B$13/4))^2),1)*IF(AND($A455&gt;='Control Room'!$A$14,$A455&lt;'Control Room'!$A$14+'Control Room'!$B$14,'Process'!BP3=1),1+('Control Room'!$C$14-1)*EXP(-0.5*(($A455-'Control Room'!$A$14-('Control Room'!$B$14-1)/2)/MAX(0.5,'Control Room'!$B$14/4))^2),1)*IF(AND($A455&gt;='Control Room'!$A$15,$A455&lt;'Control Room'!$A$15+'Control Room'!$B$15,'Process'!BP4=1),1+('Control Room'!$C$15-1)*EXP(-0.5*(($A455-'Control Room'!$A$15-('Control Room'!$B$15-1)/2)/MAX(0.5,'Control Room'!$B$15/4))^2),1)*IF(AND($A455&gt;='Control Room'!$A$16,$A455&lt;'Control Room'!$A$16+'Control Room'!$B$16,'Process'!BP5=1),1+('Control Room'!$C$16-1)*EXP(-0.5*(($A455-'Control Room'!$A$16-('Control Room'!$B$16-1)/2)/MAX(0.5,'Control Room'!$B$16/4))^2),1)</x:f>
        <x:v>1</x:v>
      </x:c>
      <x:c r="AF455" s="9" t="n">
        <x:f>MOD(AG454*16807,2147483647)</x:f>
        <x:v>1119792969</x:v>
      </x:c>
      <x:c r="AG455" s="9" t="n">
        <x:f>MOD(AF455*16807,2147483647)</x:f>
        <x:v>1961231322</x:v>
      </x:c>
      <x:c r="AH455" s="17" t="n">
        <x:f>IF('Control Room'!$B$5="Normal",'Control Room'!$B$7+'Control Room'!$D$7*SQRT(-2*LN(MAX(0.000000000001,AF455/2147483647)))*COS(2*PI()*AG455/2147483647),'Control Room'!$B$8+('Control Room'!$D$8-'Control Room'!$B$8)*AF455/2147483647)</x:f>
        <x:v>1087.830342548892</x:v>
      </x:c>
      <x:c r="AI455" s="17" t="n">
        <x:f>IF('Control Room'!$B$5="Normal",'Control Room'!$B$7,('Control Room'!$B$8+'Control Room'!$D$8)/2)+'Control Room'!$B$9*(AI454-IF('Control Room'!$B$5="Normal",'Control Room'!$B$7,('Control Room'!$B$8+'Control Room'!$D$8)/2))+SQRT(1-'Control Room'!$B$9^2)*(AH455-IF('Control Room'!$B$5="Normal",'Control Room'!$B$7,('Control Room'!$B$8+'Control Room'!$D$8)/2))</x:f>
        <x:v>1035.1028803074385</x:v>
      </x:c>
      <x:c r="AJ455" s="17" t="n">
        <x:f>IF(AND($A455&gt;='Control Room'!$A$13,$A455&lt;'Control Room'!$A$13+'Control Room'!$B$13,'Process'!BQ2=1),1+('Control Room'!$C$13-1)*EXP(-0.5*(($A455-'Control Room'!$A$13-('Control Room'!$B$13-1)/2)/MAX(0.5,'Control Room'!$B$13/4))^2),1)*IF(AND($A455&gt;='Control Room'!$A$14,$A455&lt;'Control Room'!$A$14+'Control Room'!$B$14,'Process'!BQ3=1),1+('Control Room'!$C$14-1)*EXP(-0.5*(($A455-'Control Room'!$A$14-('Control Room'!$B$14-1)/2)/MAX(0.5,'Control Room'!$B$14/4))^2),1)*IF(AND($A455&gt;='Control Room'!$A$15,$A455&lt;'Control Room'!$A$15+'Control Room'!$B$15,'Process'!BQ4=1),1+('Control Room'!$C$15-1)*EXP(-0.5*(($A455-'Control Room'!$A$15-('Control Room'!$B$15-1)/2)/MAX(0.5,'Control Room'!$B$15/4))^2),1)*IF(AND($A455&gt;='Control Room'!$A$16,$A455&lt;'Control Room'!$A$16+'Control Room'!$B$16,'Process'!BQ5=1),1+('Control Room'!$C$16-1)*EXP(-0.5*(($A455-'Control Room'!$A$16-('Control Room'!$B$16-1)/2)/MAX(0.5,'Control Room'!$B$16/4))^2),1)</x:f>
        <x:v>1</x:v>
      </x:c>
      <x:c r="AK455" s="9" t="n">
        <x:f>MOD(AL454*16807,2147483647)</x:f>
        <x:v>701987410</x:v>
      </x:c>
      <x:c r="AL455" s="9" t="n">
        <x:f>MOD(AK455*16807,2147483647)</x:f>
        <x:v>27243252</x:v>
      </x:c>
      <x:c r="AM455" s="17" t="n">
        <x:f>IF('Control Room'!$B$5="Normal",'Control Room'!$B$7+'Control Room'!$D$7*SQRT(-2*LN(MAX(0.000000000001,AK455/2147483647)))*COS(2*PI()*AL455/2147483647),'Control Room'!$B$8+('Control Room'!$D$8-'Control Room'!$B$8)*AK455/2147483647)</x:f>
        <x:v>1134.1602346516033</x:v>
      </x:c>
      <x:c r="AN455" s="17" t="n">
        <x:f>IF('Control Room'!$B$5="Normal",'Control Room'!$B$7,('Control Room'!$B$8+'Control Room'!$D$8)/2)+'Control Room'!$B$9*(AN454-IF('Control Room'!$B$5="Normal",'Control Room'!$B$7,('Control Room'!$B$8+'Control Room'!$D$8)/2))+SQRT(1-'Control Room'!$B$9^2)*(AM455-IF('Control Room'!$B$5="Normal",'Control Room'!$B$7,('Control Room'!$B$8+'Control Room'!$D$8)/2))</x:f>
        <x:v>1044.8664078648724</x:v>
      </x:c>
      <x:c r="AO455" s="17" t="n">
        <x:f>IF(AND($A455&gt;='Control Room'!$A$13,$A455&lt;'Control Room'!$A$13+'Control Room'!$B$13,'Process'!BR2=1),1+('Control Room'!$C$13-1)*EXP(-0.5*(($A455-'Control Room'!$A$13-('Control Room'!$B$13-1)/2)/MAX(0.5,'Control Room'!$B$13/4))^2),1)*IF(AND($A455&gt;='Control Room'!$A$14,$A455&lt;'Control Room'!$A$14+'Control Room'!$B$14,'Process'!BR3=1),1+('Control Room'!$C$14-1)*EXP(-0.5*(($A455-'Control Room'!$A$14-('Control Room'!$B$14-1)/2)/MAX(0.5,'Control Room'!$B$14/4))^2),1)*IF(AND($A455&gt;='Control Room'!$A$15,$A455&lt;'Control Room'!$A$15+'Control Room'!$B$15,'Process'!BR4=1),1+('Control Room'!$C$15-1)*EXP(-0.5*(($A455-'Control Room'!$A$15-('Control Room'!$B$15-1)/2)/MAX(0.5,'Control Room'!$B$15/4))^2),1)*IF(AND($A455&gt;='Control Room'!$A$16,$A455&lt;'Control Room'!$A$16+'Control Room'!$B$16,'Process'!BR5=1),1+('Control Room'!$C$16-1)*EXP(-0.5*(($A455-'Control Room'!$A$16-('Control Room'!$B$16-1)/2)/MAX(0.5,'Control Room'!$B$16/4))^2),1)</x:f>
        <x:v>1</x:v>
      </x:c>
      <x:c r="AP455" s="9" t="n">
        <x:f>MOD(AQ454*16807,2147483647)</x:f>
        <x:v>284181851</x:v>
      </x:c>
      <x:c r="AQ455" s="9" t="n">
        <x:f>MOD(AP455*16807,2147483647)</x:f>
        <x:v>240738829</x:v>
      </x:c>
      <x:c r="AR455" s="17" t="n">
        <x:f>IF('Control Room'!$B$5="Normal",'Control Room'!$B$7+'Control Room'!$D$7*SQRT(-2*LN(MAX(0.000000000001,AP455/2147483647)))*COS(2*PI()*AQ455/2147483647),'Control Room'!$B$8+('Control Room'!$D$8-'Control Room'!$B$8)*AP455/2147483647)</x:f>
        <x:v>1137.9316954834521</x:v>
      </x:c>
      <x:c r="AS455" s="17" t="n">
        <x:f>IF('Control Room'!$B$5="Normal",'Control Room'!$B$7,('Control Room'!$B$8+'Control Room'!$D$8)/2)+'Control Room'!$B$9*(AS454-IF('Control Room'!$B$5="Normal",'Control Room'!$B$7,('Control Room'!$B$8+'Control Room'!$D$8)/2))+SQRT(1-'Control Room'!$B$9^2)*(AR455-IF('Control Room'!$B$5="Normal",'Control Room'!$B$7,('Control Room'!$B$8+'Control Room'!$D$8)/2))</x:f>
        <x:v>1010.1349692392081</x:v>
      </x:c>
      <x:c r="AT455" s="17" t="n">
        <x:f>IF(AND($A455&gt;='Control Room'!$A$13,$A455&lt;'Control Room'!$A$13+'Control Room'!$B$13,'Process'!BS2=1),1+('Control Room'!$C$13-1)*EXP(-0.5*(($A455-'Control Room'!$A$13-('Control Room'!$B$13-1)/2)/MAX(0.5,'Control Room'!$B$13/4))^2),1)*IF(AND($A455&gt;='Control Room'!$A$14,$A455&lt;'Control Room'!$A$14+'Control Room'!$B$14,'Process'!BS3=1),1+('Control Room'!$C$14-1)*EXP(-0.5*(($A455-'Control Room'!$A$14-('Control Room'!$B$14-1)/2)/MAX(0.5,'Control Room'!$B$14/4))^2),1)*IF(AND($A455&gt;='Control Room'!$A$15,$A455&lt;'Control Room'!$A$15+'Control Room'!$B$15,'Process'!BS4=1),1+('Control Room'!$C$15-1)*EXP(-0.5*(($A455-'Control Room'!$A$15-('Control Room'!$B$15-1)/2)/MAX(0.5,'Control Room'!$B$15/4))^2),1)*IF(AND($A455&gt;='Control Room'!$A$16,$A455&lt;'Control Room'!$A$16+'Control Room'!$B$16,'Process'!BS5=1),1+('Control Room'!$C$16-1)*EXP(-0.5*(($A455-'Control Room'!$A$16-('Control Room'!$B$16-1)/2)/MAX(0.5,'Control Room'!$B$16/4))^2),1)</x:f>
        <x:v>1</x:v>
      </x:c>
      <x:c r="AU455" s="9" t="n">
        <x:f>MOD(AV454*16807,2147483647)</x:f>
        <x:v>2013859939</x:v>
      </x:c>
      <x:c r="AV455" s="9" t="n">
        <x:f>MOD(AU455*16807,2147483647)</x:f>
        <x:v>454234406</x:v>
      </x:c>
      <x:c r="AW455" s="17" t="n">
        <x:f>IF('Control Room'!$B$5="Normal",'Control Room'!$B$7+'Control Room'!$D$7*SQRT(-2*LN(MAX(0.000000000001,AU455/2147483647)))*COS(2*PI()*AV455/2147483647),'Control Room'!$B$8+('Control Room'!$D$8-'Control Room'!$B$8)*AU455/2147483647)</x:f>
        <x:v>1007.7242173384524</x:v>
      </x:c>
      <x:c r="AX455" s="17" t="n">
        <x:f>IF('Control Room'!$B$5="Normal",'Control Room'!$B$7,('Control Room'!$B$8+'Control Room'!$D$8)/2)+'Control Room'!$B$9*(AX454-IF('Control Room'!$B$5="Normal",'Control Room'!$B$7,('Control Room'!$B$8+'Control Room'!$D$8)/2))+SQRT(1-'Control Room'!$B$9^2)*(AW455-IF('Control Room'!$B$5="Normal",'Control Room'!$B$7,('Control Room'!$B$8+'Control Room'!$D$8)/2))</x:f>
        <x:v>1058.7444556431237</x:v>
      </x:c>
      <x:c r="AY455" s="17" t="n">
        <x:f>IF(AND($A455&gt;='Control Room'!$A$13,$A455&lt;'Control Room'!$A$13+'Control Room'!$B$13,'Process'!BT2=1),1+('Control Room'!$C$13-1)*EXP(-0.5*(($A455-'Control Room'!$A$13-('Control Room'!$B$13-1)/2)/MAX(0.5,'Control Room'!$B$13/4))^2),1)*IF(AND($A455&gt;='Control Room'!$A$14,$A455&lt;'Control Room'!$A$14+'Control Room'!$B$14,'Process'!BT3=1),1+('Control Room'!$C$14-1)*EXP(-0.5*(($A455-'Control Room'!$A$14-('Control Room'!$B$14-1)/2)/MAX(0.5,'Control Room'!$B$14/4))^2),1)*IF(AND($A455&gt;='Control Room'!$A$15,$A455&lt;'Control Room'!$A$15+'Control Room'!$B$15,'Process'!BT4=1),1+('Control Room'!$C$15-1)*EXP(-0.5*(($A455-'Control Room'!$A$15-('Control Room'!$B$15-1)/2)/MAX(0.5,'Control Room'!$B$15/4))^2),1)*IF(AND($A455&gt;='Control Room'!$A$16,$A455&lt;'Control Room'!$A$16+'Control Room'!$B$16,'Process'!BT5=1),1+('Control Room'!$C$16-1)*EXP(-0.5*(($A455-'Control Room'!$A$16-('Control Room'!$B$16-1)/2)/MAX(0.5,'Control Room'!$B$16/4))^2),1)</x:f>
        <x:v>1</x:v>
      </x:c>
      <x:c r="AZ455" s="9" t="n">
        <x:f>MOD(BA454*16807,2147483647)</x:f>
        <x:v>1596054380</x:v>
      </x:c>
      <x:c r="BA455" s="9" t="n">
        <x:f>MOD(AZ455*16807,2147483647)</x:f>
        <x:v>667729983</x:v>
      </x:c>
      <x:c r="BB455" s="17" t="n">
        <x:f>IF('Control Room'!$B$5="Normal",'Control Room'!$B$7+'Control Room'!$D$7*SQRT(-2*LN(MAX(0.000000000001,AZ455/2147483647)))*COS(2*PI()*BA455/2147483647),'Control Room'!$B$8+('Control Room'!$D$8-'Control Room'!$B$8)*AZ455/2147483647)</x:f>
        <x:v>974.0968445396783</x:v>
      </x:c>
      <x:c r="BC455" s="17" t="n">
        <x:f>IF('Control Room'!$B$5="Normal",'Control Room'!$B$7,('Control Room'!$B$8+'Control Room'!$D$8)/2)+'Control Room'!$B$9*(BC454-IF('Control Room'!$B$5="Normal",'Control Room'!$B$7,('Control Room'!$B$8+'Control Room'!$D$8)/2))+SQRT(1-'Control Room'!$B$9^2)*(BB455-IF('Control Room'!$B$5="Normal",'Control Room'!$B$7,('Control Room'!$B$8+'Control Room'!$D$8)/2))</x:f>
        <x:v>1062.2607065366694</x:v>
      </x:c>
      <x:c r="BD455" s="17" t="n">
        <x:f>IF(AND($A455&gt;='Control Room'!$A$13,$A455&lt;'Control Room'!$A$13+'Control Room'!$B$13,'Process'!BU2=1),1+('Control Room'!$C$13-1)*EXP(-0.5*(($A455-'Control Room'!$A$13-('Control Room'!$B$13-1)/2)/MAX(0.5,'Control Room'!$B$13/4))^2),1)*IF(AND($A455&gt;='Control Room'!$A$14,$A455&lt;'Control Room'!$A$14+'Control Room'!$B$14,'Process'!BU3=1),1+('Control Room'!$C$14-1)*EXP(-0.5*(($A455-'Control Room'!$A$14-('Control Room'!$B$14-1)/2)/MAX(0.5,'Control Room'!$B$14/4))^2),1)*IF(AND($A455&gt;='Control Room'!$A$15,$A455&lt;'Control Room'!$A$15+'Control Room'!$B$15,'Process'!BU4=1),1+('Control Room'!$C$15-1)*EXP(-0.5*(($A455-'Control Room'!$A$15-('Control Room'!$B$15-1)/2)/MAX(0.5,'Control Room'!$B$15/4))^2),1)*IF(AND($A455&gt;='Control Room'!$A$16,$A455&lt;'Control Room'!$A$16+'Control Room'!$B$16,'Process'!BU5=1),1+('Control Room'!$C$16-1)*EXP(-0.5*(($A455-'Control Room'!$A$16-('Control Room'!$B$16-1)/2)/MAX(0.5,'Control Room'!$B$16/4))^2),1)</x:f>
        <x:v>1</x:v>
      </x:c>
      <x:c r="BE455" s="9" t="n">
        <x:f>MOD(BF454*16807,2147483647)</x:f>
        <x:v>1178248821</x:v>
      </x:c>
      <x:c r="BF455" s="9" t="n">
        <x:f>MOD(BE455*16807,2147483647)</x:f>
        <x:v>881225560</x:v>
      </x:c>
      <x:c r="BG455" s="17" t="n">
        <x:f>IF('Control Room'!$B$5="Normal",'Control Room'!$B$7+'Control Room'!$D$7*SQRT(-2*LN(MAX(0.000000000001,BE455/2147483647)))*COS(2*PI()*BF455/2147483647),'Control Room'!$B$8+('Control Room'!$D$8-'Control Room'!$B$8)*BE455/2147483647)</x:f>
        <x:v>916.6222393717796</x:v>
      </x:c>
      <x:c r="BH455" s="17" t="n">
        <x:f>IF('Control Room'!$B$5="Normal",'Control Room'!$B$7,('Control Room'!$B$8+'Control Room'!$D$8)/2)+'Control Room'!$B$9*(BH454-IF('Control Room'!$B$5="Normal",'Control Room'!$B$7,('Control Room'!$B$8+'Control Room'!$D$8)/2))+SQRT(1-'Control Room'!$B$9^2)*(BG455-IF('Control Room'!$B$5="Normal",'Control Room'!$B$7,('Control Room'!$B$8+'Control Room'!$D$8)/2))</x:f>
        <x:v>851.2159011521535</x:v>
      </x:c>
      <x:c r="BI455" s="17" t="n">
        <x:f>IF(AND($A455&gt;='Control Room'!$A$13,$A455&lt;'Control Room'!$A$13+'Control Room'!$B$13,'Process'!BV2=1),1+('Control Room'!$C$13-1)*EXP(-0.5*(($A455-'Control Room'!$A$13-('Control Room'!$B$13-1)/2)/MAX(0.5,'Control Room'!$B$13/4))^2),1)*IF(AND($A455&gt;='Control Room'!$A$14,$A455&lt;'Control Room'!$A$14+'Control Room'!$B$14,'Process'!BV3=1),1+('Control Room'!$C$14-1)*EXP(-0.5*(($A455-'Control Room'!$A$14-('Control Room'!$B$14-1)/2)/MAX(0.5,'Control Room'!$B$14/4))^2),1)*IF(AND($A455&gt;='Control Room'!$A$15,$A455&lt;'Control Room'!$A$15+'Control Room'!$B$15,'Process'!BV4=1),1+('Control Room'!$C$15-1)*EXP(-0.5*(($A455-'Control Room'!$A$15-('Control Room'!$B$15-1)/2)/MAX(0.5,'Control Room'!$B$15/4))^2),1)*IF(AND($A455&gt;='Control Room'!$A$16,$A455&lt;'Control Room'!$A$16+'Control Room'!$B$16,'Process'!BV5=1),1+('Control Room'!$C$16-1)*EXP(-0.5*(($A455-'Control Room'!$A$16-('Control Room'!$B$16-1)/2)/MAX(0.5,'Control Room'!$B$16/4))^2),1)</x:f>
        <x:v>1</x:v>
      </x:c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Z455" t="str">
        <x:f>IF('Data'!A455="","",TEXT('Data'!A455,"mm-dd"))</x:f>
      </x:c>
    </x:row>
    <x:row r="456" ht="21" customHeight="1">
      <x:c r="A456" s="15" t="n">
        <x:f>'Control Room'!$B$1+454</x:f>
        <x:v>73445</x:v>
      </x:c>
      <x:c r="B456" s="9" t="n">
        <x:f>MOD(C455*16807,2147483647)</x:f>
        <x:v>2038400039</x:v>
      </x:c>
      <x:c r="C456" s="9" t="n">
        <x:f>MOD(B456*16807,2147483647)</x:f>
        <x:v>582834882</x:v>
      </x:c>
      <x:c r="D456" s="17" t="n">
        <x:f>IF('Control Room'!$B$5="Normal",'Control Room'!$B$7+'Control Room'!$D$7*SQRT(-2*LN(MAX(0.000000000001,B456/2147483647)))*COS(2*PI()*C456/2147483647),'Control Room'!$B$8+('Control Room'!$D$8-'Control Room'!$B$8)*B456/2147483647)</x:f>
        <x:v>996.1035823096496</x:v>
      </x:c>
      <x:c r="E456" s="17" t="n">
        <x:f>IF('Control Room'!$B$5="Normal",'Control Room'!$B$7,('Control Room'!$B$8+'Control Room'!$D$8)/2)+'Control Room'!$B$9*(E455-IF('Control Room'!$B$5="Normal",'Control Room'!$B$7,('Control Room'!$B$8+'Control Room'!$D$8)/2))+SQRT(1-'Control Room'!$B$9^2)*(D456-IF('Control Room'!$B$5="Normal",'Control Room'!$B$7,('Control Room'!$B$8+'Control Room'!$D$8)/2))</x:f>
        <x:v>966.390037214196</x:v>
      </x:c>
      <x:c r="F456" s="17" t="n">
        <x:f>IF(AND($A456&gt;='Control Room'!$A$13,$A456&lt;'Control Room'!$A$13+'Control Room'!$B$13,'Process'!BK2=1),1+('Control Room'!$C$13-1)*EXP(-0.5*(($A456-'Control Room'!$A$13-('Control Room'!$B$13-1)/2)/MAX(0.5,'Control Room'!$B$13/4))^2),1)*IF(AND($A456&gt;='Control Room'!$A$14,$A456&lt;'Control Room'!$A$14+'Control Room'!$B$14,'Process'!BK3=1),1+('Control Room'!$C$14-1)*EXP(-0.5*(($A456-'Control Room'!$A$14-('Control Room'!$B$14-1)/2)/MAX(0.5,'Control Room'!$B$14/4))^2),1)*IF(AND($A456&gt;='Control Room'!$A$15,$A456&lt;'Control Room'!$A$15+'Control Room'!$B$15,'Process'!BK4=1),1+('Control Room'!$C$15-1)*EXP(-0.5*(($A456-'Control Room'!$A$15-('Control Room'!$B$15-1)/2)/MAX(0.5,'Control Room'!$B$15/4))^2),1)*IF(AND($A456&gt;='Control Room'!$A$16,$A456&lt;'Control Room'!$A$16+'Control Room'!$B$16,'Process'!BK5=1),1+('Control Room'!$C$16-1)*EXP(-0.5*(($A456-'Control Room'!$A$16-('Control Room'!$B$16-1)/2)/MAX(0.5,'Control Room'!$B$16/4))^2),1)</x:f>
        <x:v>1</x:v>
      </x:c>
      <x:c r="G456" s="9" t="n">
        <x:f>MOD(H455*16807,2147483647)</x:f>
        <x:v>1813388541</x:v>
      </x:c>
      <x:c r="H456" s="9" t="n">
        <x:f>MOD(G456*16807,2147483647)</x:f>
        <x:v>533290363</x:v>
      </x:c>
      <x:c r="I456" s="17" t="n">
        <x:f>IF('Control Room'!$B$5="Normal",'Control Room'!$B$7+'Control Room'!$D$7*SQRT(-2*LN(MAX(0.000000000001,G456/2147483647)))*COS(2*PI()*H456/2147483647),'Control Room'!$B$8+('Control Room'!$D$8-'Control Room'!$B$8)*G456/2147483647)</x:f>
        <x:v>1000.5483026869817</x:v>
      </x:c>
      <x:c r="J456" s="17" t="n">
        <x:f>IF('Control Room'!$B$5="Normal",'Control Room'!$B$7,('Control Room'!$B$8+'Control Room'!$D$8)/2)+'Control Room'!$B$9*(J455-IF('Control Room'!$B$5="Normal",'Control Room'!$B$7,('Control Room'!$B$8+'Control Room'!$D$8)/2))+SQRT(1-'Control Room'!$B$9^2)*(I456-IF('Control Room'!$B$5="Normal",'Control Room'!$B$7,('Control Room'!$B$8+'Control Room'!$D$8)/2))</x:f>
        <x:v>944.9032130823305</x:v>
      </x:c>
      <x:c r="K456" s="17" t="n">
        <x:f>IF(AND($A456&gt;='Control Room'!$A$13,$A456&lt;'Control Room'!$A$13+'Control Room'!$B$13,'Process'!BL2=1),1+('Control Room'!$C$13-1)*EXP(-0.5*(($A456-'Control Room'!$A$13-('Control Room'!$B$13-1)/2)/MAX(0.5,'Control Room'!$B$13/4))^2),1)*IF(AND($A456&gt;='Control Room'!$A$14,$A456&lt;'Control Room'!$A$14+'Control Room'!$B$14,'Process'!BL3=1),1+('Control Room'!$C$14-1)*EXP(-0.5*(($A456-'Control Room'!$A$14-('Control Room'!$B$14-1)/2)/MAX(0.5,'Control Room'!$B$14/4))^2),1)*IF(AND($A456&gt;='Control Room'!$A$15,$A456&lt;'Control Room'!$A$15+'Control Room'!$B$15,'Process'!BL4=1),1+('Control Room'!$C$15-1)*EXP(-0.5*(($A456-'Control Room'!$A$15-('Control Room'!$B$15-1)/2)/MAX(0.5,'Control Room'!$B$15/4))^2),1)*IF(AND($A456&gt;='Control Room'!$A$16,$A456&lt;'Control Room'!$A$16+'Control Room'!$B$16,'Process'!BL5=1),1+('Control Room'!$C$16-1)*EXP(-0.5*(($A456-'Control Room'!$A$16-('Control Room'!$B$16-1)/2)/MAX(0.5,'Control Room'!$B$16/4))^2),1)</x:f>
        <x:v>1</x:v>
      </x:c>
      <x:c r="L456" s="9" t="n">
        <x:f>MOD(M455*16807,2147483647)</x:f>
        <x:v>1588377043</x:v>
      </x:c>
      <x:c r="M456" s="9" t="n">
        <x:f>MOD(L456*16807,2147483647)</x:f>
        <x:v>483745844</x:v>
      </x:c>
      <x:c r="N456" s="17" t="n">
        <x:f>IF('Control Room'!$B$5="Normal",'Control Room'!$B$7+'Control Room'!$D$7*SQRT(-2*LN(MAX(0.000000000001,L456/2147483647)))*COS(2*PI()*M456/2147483647),'Control Room'!$B$8+('Control Room'!$D$8-'Control Room'!$B$8)*L456/2147483647)</x:f>
        <x:v>1010.8208399250835</x:v>
      </x:c>
      <x:c r="O456" s="17" t="n">
        <x:f>IF('Control Room'!$B$5="Normal",'Control Room'!$B$7,('Control Room'!$B$8+'Control Room'!$D$8)/2)+'Control Room'!$B$9*(O455-IF('Control Room'!$B$5="Normal",'Control Room'!$B$7,('Control Room'!$B$8+'Control Room'!$D$8)/2))+SQRT(1-'Control Room'!$B$9^2)*(N456-IF('Control Room'!$B$5="Normal",'Control Room'!$B$7,('Control Room'!$B$8+'Control Room'!$D$8)/2))</x:f>
        <x:v>965.9921644578206</x:v>
      </x:c>
      <x:c r="P456" s="17" t="n">
        <x:f>IF(AND($A456&gt;='Control Room'!$A$13,$A456&lt;'Control Room'!$A$13+'Control Room'!$B$13,'Process'!BM2=1),1+('Control Room'!$C$13-1)*EXP(-0.5*(($A456-'Control Room'!$A$13-('Control Room'!$B$13-1)/2)/MAX(0.5,'Control Room'!$B$13/4))^2),1)*IF(AND($A456&gt;='Control Room'!$A$14,$A456&lt;'Control Room'!$A$14+'Control Room'!$B$14,'Process'!BM3=1),1+('Control Room'!$C$14-1)*EXP(-0.5*(($A456-'Control Room'!$A$14-('Control Room'!$B$14-1)/2)/MAX(0.5,'Control Room'!$B$14/4))^2),1)*IF(AND($A456&gt;='Control Room'!$A$15,$A456&lt;'Control Room'!$A$15+'Control Room'!$B$15,'Process'!BM4=1),1+('Control Room'!$C$15-1)*EXP(-0.5*(($A456-'Control Room'!$A$15-('Control Room'!$B$15-1)/2)/MAX(0.5,'Control Room'!$B$15/4))^2),1)*IF(AND($A456&gt;='Control Room'!$A$16,$A456&lt;'Control Room'!$A$16+'Control Room'!$B$16,'Process'!BM5=1),1+('Control Room'!$C$16-1)*EXP(-0.5*(($A456-'Control Room'!$A$16-('Control Room'!$B$16-1)/2)/MAX(0.5,'Control Room'!$B$16/4))^2),1)</x:f>
        <x:v>1</x:v>
      </x:c>
      <x:c r="Q456" s="9" t="n">
        <x:f>MOD(R455*16807,2147483647)</x:f>
        <x:v>1363365545</x:v>
      </x:c>
      <x:c r="R456" s="9" t="n">
        <x:f>MOD(Q456*16807,2147483647)</x:f>
        <x:v>434201325</x:v>
      </x:c>
      <x:c r="S456" s="17" t="n">
        <x:f>IF('Control Room'!$B$5="Normal",'Control Room'!$B$7+'Control Room'!$D$7*SQRT(-2*LN(MAX(0.000000000001,Q456/2147483647)))*COS(2*PI()*R456/2147483647),'Control Room'!$B$8+('Control Room'!$D$8-'Control Room'!$B$8)*Q456/2147483647)</x:f>
        <x:v>1025.3856747135922</x:v>
      </x:c>
      <x:c r="T456" s="17" t="n">
        <x:f>IF('Control Room'!$B$5="Normal",'Control Room'!$B$7,('Control Room'!$B$8+'Control Room'!$D$8)/2)+'Control Room'!$B$9*(T455-IF('Control Room'!$B$5="Normal",'Control Room'!$B$7,('Control Room'!$B$8+'Control Room'!$D$8)/2))+SQRT(1-'Control Room'!$B$9^2)*(S456-IF('Control Room'!$B$5="Normal",'Control Room'!$B$7,('Control Room'!$B$8+'Control Room'!$D$8)/2))</x:f>
        <x:v>964.7503064392981</x:v>
      </x:c>
      <x:c r="U456" s="17" t="n">
        <x:f>IF(AND($A456&gt;='Control Room'!$A$13,$A456&lt;'Control Room'!$A$13+'Control Room'!$B$13,'Process'!BN2=1),1+('Control Room'!$C$13-1)*EXP(-0.5*(($A456-'Control Room'!$A$13-('Control Room'!$B$13-1)/2)/MAX(0.5,'Control Room'!$B$13/4))^2),1)*IF(AND($A456&gt;='Control Room'!$A$14,$A456&lt;'Control Room'!$A$14+'Control Room'!$B$14,'Process'!BN3=1),1+('Control Room'!$C$14-1)*EXP(-0.5*(($A456-'Control Room'!$A$14-('Control Room'!$B$14-1)/2)/MAX(0.5,'Control Room'!$B$14/4))^2),1)*IF(AND($A456&gt;='Control Room'!$A$15,$A456&lt;'Control Room'!$A$15+'Control Room'!$B$15,'Process'!BN4=1),1+('Control Room'!$C$15-1)*EXP(-0.5*(($A456-'Control Room'!$A$15-('Control Room'!$B$15-1)/2)/MAX(0.5,'Control Room'!$B$15/4))^2),1)*IF(AND($A456&gt;='Control Room'!$A$16,$A456&lt;'Control Room'!$A$16+'Control Room'!$B$16,'Process'!BN5=1),1+('Control Room'!$C$16-1)*EXP(-0.5*(($A456-'Control Room'!$A$16-('Control Room'!$B$16-1)/2)/MAX(0.5,'Control Room'!$B$16/4))^2),1)</x:f>
        <x:v>1</x:v>
      </x:c>
      <x:c r="V456" s="9" t="n">
        <x:f>MOD(W455*16807,2147483647)</x:f>
        <x:v>1138354047</x:v>
      </x:c>
      <x:c r="W456" s="9" t="n">
        <x:f>MOD(V456*16807,2147483647)</x:f>
        <x:v>384656806</x:v>
      </x:c>
      <x:c r="X456" s="17" t="n">
        <x:f>IF('Control Room'!$B$5="Normal",'Control Room'!$B$7+'Control Room'!$D$7*SQRT(-2*LN(MAX(0.000000000001,V456/2147483647)))*COS(2*PI()*W456/2147483647),'Control Room'!$B$8+('Control Room'!$D$8-'Control Room'!$B$8)*V456/2147483647)</x:f>
        <x:v>1043.6816255409824</x:v>
      </x:c>
      <x:c r="Y456" s="17" t="n">
        <x:f>IF('Control Room'!$B$5="Normal",'Control Room'!$B$7,('Control Room'!$B$8+'Control Room'!$D$8)/2)+'Control Room'!$B$9*(Y455-IF('Control Room'!$B$5="Normal",'Control Room'!$B$7,('Control Room'!$B$8+'Control Room'!$D$8)/2))+SQRT(1-'Control Room'!$B$9^2)*(X456-IF('Control Room'!$B$5="Normal",'Control Room'!$B$7,('Control Room'!$B$8+'Control Room'!$D$8)/2))</x:f>
        <x:v>1197.4970733016144</x:v>
      </x:c>
      <x:c r="Z456" s="17" t="n">
        <x:f>IF(AND($A456&gt;='Control Room'!$A$13,$A456&lt;'Control Room'!$A$13+'Control Room'!$B$13,'Process'!BO2=1),1+('Control Room'!$C$13-1)*EXP(-0.5*(($A456-'Control Room'!$A$13-('Control Room'!$B$13-1)/2)/MAX(0.5,'Control Room'!$B$13/4))^2),1)*IF(AND($A456&gt;='Control Room'!$A$14,$A456&lt;'Control Room'!$A$14+'Control Room'!$B$14,'Process'!BO3=1),1+('Control Room'!$C$14-1)*EXP(-0.5*(($A456-'Control Room'!$A$14-('Control Room'!$B$14-1)/2)/MAX(0.5,'Control Room'!$B$14/4))^2),1)*IF(AND($A456&gt;='Control Room'!$A$15,$A456&lt;'Control Room'!$A$15+'Control Room'!$B$15,'Process'!BO4=1),1+('Control Room'!$C$15-1)*EXP(-0.5*(($A456-'Control Room'!$A$15-('Control Room'!$B$15-1)/2)/MAX(0.5,'Control Room'!$B$15/4))^2),1)*IF(AND($A456&gt;='Control Room'!$A$16,$A456&lt;'Control Room'!$A$16+'Control Room'!$B$16,'Process'!BO5=1),1+('Control Room'!$C$16-1)*EXP(-0.5*(($A456-'Control Room'!$A$16-('Control Room'!$B$16-1)/2)/MAX(0.5,'Control Room'!$B$16/4))^2),1)</x:f>
        <x:v>1</x:v>
      </x:c>
      <x:c r="AA456" s="9" t="n">
        <x:f>MOD(AB455*16807,2147483647)</x:f>
        <x:v>913342549</x:v>
      </x:c>
      <x:c r="AB456" s="9" t="n">
        <x:f>MOD(AA456*16807,2147483647)</x:f>
        <x:v>335112287</x:v>
      </x:c>
      <x:c r="AC456" s="17" t="n">
        <x:f>IF('Control Room'!$B$5="Normal",'Control Room'!$B$7+'Control Room'!$D$7*SQRT(-2*LN(MAX(0.000000000001,AA456/2147483647)))*COS(2*PI()*AB456/2147483647),'Control Room'!$B$8+('Control Room'!$D$8-'Control Room'!$B$8)*AA456/2147483647)</x:f>
        <x:v>1065.5065958982993</x:v>
      </x:c>
      <x:c r="AD456" s="17" t="n">
        <x:f>IF('Control Room'!$B$5="Normal",'Control Room'!$B$7,('Control Room'!$B$8+'Control Room'!$D$8)/2)+'Control Room'!$B$9*(AD455-IF('Control Room'!$B$5="Normal",'Control Room'!$B$7,('Control Room'!$B$8+'Control Room'!$D$8)/2))+SQRT(1-'Control Room'!$B$9^2)*(AC456-IF('Control Room'!$B$5="Normal",'Control Room'!$B$7,('Control Room'!$B$8+'Control Room'!$D$8)/2))</x:f>
        <x:v>1117.2196560217362</x:v>
      </x:c>
      <x:c r="AE456" s="17" t="n">
        <x:f>IF(AND($A456&gt;='Control Room'!$A$13,$A456&lt;'Control Room'!$A$13+'Control Room'!$B$13,'Process'!BP2=1),1+('Control Room'!$C$13-1)*EXP(-0.5*(($A456-'Control Room'!$A$13-('Control Room'!$B$13-1)/2)/MAX(0.5,'Control Room'!$B$13/4))^2),1)*IF(AND($A456&gt;='Control Room'!$A$14,$A456&lt;'Control Room'!$A$14+'Control Room'!$B$14,'Process'!BP3=1),1+('Control Room'!$C$14-1)*EXP(-0.5*(($A456-'Control Room'!$A$14-('Control Room'!$B$14-1)/2)/MAX(0.5,'Control Room'!$B$14/4))^2),1)*IF(AND($A456&gt;='Control Room'!$A$15,$A456&lt;'Control Room'!$A$15+'Control Room'!$B$15,'Process'!BP4=1),1+('Control Room'!$C$15-1)*EXP(-0.5*(($A456-'Control Room'!$A$15-('Control Room'!$B$15-1)/2)/MAX(0.5,'Control Room'!$B$15/4))^2),1)*IF(AND($A456&gt;='Control Room'!$A$16,$A456&lt;'Control Room'!$A$16+'Control Room'!$B$16,'Process'!BP5=1),1+('Control Room'!$C$16-1)*EXP(-0.5*(($A456-'Control Room'!$A$16-('Control Room'!$B$16-1)/2)/MAX(0.5,'Control Room'!$B$16/4))^2),1)</x:f>
        <x:v>1</x:v>
      </x:c>
      <x:c r="AF456" s="9" t="n">
        <x:f>MOD(AG455*16807,2147483647)</x:f>
        <x:v>688331051</x:v>
      </x:c>
      <x:c r="AG456" s="9" t="n">
        <x:f>MOD(AF456*16807,2147483647)</x:f>
        <x:v>285567768</x:v>
      </x:c>
      <x:c r="AH456" s="17" t="n">
        <x:f>IF('Control Room'!$B$5="Normal",'Control Room'!$B$7+'Control Room'!$D$7*SQRT(-2*LN(MAX(0.000000000001,AF456/2147483647)))*COS(2*PI()*AG456/2147483647),'Control Room'!$B$8+('Control Room'!$D$8-'Control Room'!$B$8)*AF456/2147483647)</x:f>
        <x:v>1091.0694790254522</x:v>
      </x:c>
      <x:c r="AI456" s="17" t="n">
        <x:f>IF('Control Room'!$B$5="Normal",'Control Room'!$B$7,('Control Room'!$B$8+'Control Room'!$D$8)/2)+'Control Room'!$B$9*(AI455-IF('Control Room'!$B$5="Normal",'Control Room'!$B$7,('Control Room'!$B$8+'Control Room'!$D$8)/2))+SQRT(1-'Control Room'!$B$9^2)*(AH456-IF('Control Room'!$B$5="Normal",'Control Room'!$B$7,('Control Room'!$B$8+'Control Room'!$D$8)/2))</x:f>
        <x:v>1084.3696609542444</x:v>
      </x:c>
      <x:c r="AJ456" s="17" t="n">
        <x:f>IF(AND($A456&gt;='Control Room'!$A$13,$A456&lt;'Control Room'!$A$13+'Control Room'!$B$13,'Process'!BQ2=1),1+('Control Room'!$C$13-1)*EXP(-0.5*(($A456-'Control Room'!$A$13-('Control Room'!$B$13-1)/2)/MAX(0.5,'Control Room'!$B$13/4))^2),1)*IF(AND($A456&gt;='Control Room'!$A$14,$A456&lt;'Control Room'!$A$14+'Control Room'!$B$14,'Process'!BQ3=1),1+('Control Room'!$C$14-1)*EXP(-0.5*(($A456-'Control Room'!$A$14-('Control Room'!$B$14-1)/2)/MAX(0.5,'Control Room'!$B$14/4))^2),1)*IF(AND($A456&gt;='Control Room'!$A$15,$A456&lt;'Control Room'!$A$15+'Control Room'!$B$15,'Process'!BQ4=1),1+('Control Room'!$C$15-1)*EXP(-0.5*(($A456-'Control Room'!$A$15-('Control Room'!$B$15-1)/2)/MAX(0.5,'Control Room'!$B$15/4))^2),1)*IF(AND($A456&gt;='Control Room'!$A$16,$A456&lt;'Control Room'!$A$16+'Control Room'!$B$16,'Process'!BQ5=1),1+('Control Room'!$C$16-1)*EXP(-0.5*(($A456-'Control Room'!$A$16-('Control Room'!$B$16-1)/2)/MAX(0.5,'Control Room'!$B$16/4))^2),1)</x:f>
        <x:v>1</x:v>
      </x:c>
      <x:c r="AK456" s="9" t="n">
        <x:f>MOD(AL455*16807,2147483647)</x:f>
        <x:v>463319553</x:v>
      </x:c>
      <x:c r="AL456" s="9" t="n">
        <x:f>MOD(AK456*16807,2147483647)</x:f>
        <x:v>236023249</x:v>
      </x:c>
      <x:c r="AM456" s="17" t="n">
        <x:f>IF('Control Room'!$B$5="Normal",'Control Room'!$B$7+'Control Room'!$D$7*SQRT(-2*LN(MAX(0.000000000001,AK456/2147483647)))*COS(2*PI()*AL456/2147483647),'Control Room'!$B$8+('Control Room'!$D$8-'Control Room'!$B$8)*AK456/2147483647)</x:f>
        <x:v>1121.509067974807</x:v>
      </x:c>
      <x:c r="AN456" s="17" t="n">
        <x:f>IF('Control Room'!$B$5="Normal",'Control Room'!$B$7,('Control Room'!$B$8+'Control Room'!$D$8)/2)+'Control Room'!$B$9*(AN455-IF('Control Room'!$B$5="Normal",'Control Room'!$B$7,('Control Room'!$B$8+'Control Room'!$D$8)/2))+SQRT(1-'Control Room'!$B$9^2)*(AM456-IF('Control Room'!$B$5="Normal",'Control Room'!$B$7,('Control Room'!$B$8+'Control Room'!$D$8)/2))</x:f>
        <x:v>1111.0336836246745</x:v>
      </x:c>
      <x:c r="AO456" s="17" t="n">
        <x:f>IF(AND($A456&gt;='Control Room'!$A$13,$A456&lt;'Control Room'!$A$13+'Control Room'!$B$13,'Process'!BR2=1),1+('Control Room'!$C$13-1)*EXP(-0.5*(($A456-'Control Room'!$A$13-('Control Room'!$B$13-1)/2)/MAX(0.5,'Control Room'!$B$13/4))^2),1)*IF(AND($A456&gt;='Control Room'!$A$14,$A456&lt;'Control Room'!$A$14+'Control Room'!$B$14,'Process'!BR3=1),1+('Control Room'!$C$14-1)*EXP(-0.5*(($A456-'Control Room'!$A$14-('Control Room'!$B$14-1)/2)/MAX(0.5,'Control Room'!$B$14/4))^2),1)*IF(AND($A456&gt;='Control Room'!$A$15,$A456&lt;'Control Room'!$A$15+'Control Room'!$B$15,'Process'!BR4=1),1+('Control Room'!$C$15-1)*EXP(-0.5*(($A456-'Control Room'!$A$15-('Control Room'!$B$15-1)/2)/MAX(0.5,'Control Room'!$B$15/4))^2),1)*IF(AND($A456&gt;='Control Room'!$A$16,$A456&lt;'Control Room'!$A$16+'Control Room'!$B$16,'Process'!BR5=1),1+('Control Room'!$C$16-1)*EXP(-0.5*(($A456-'Control Room'!$A$16-('Control Room'!$B$16-1)/2)/MAX(0.5,'Control Room'!$B$16/4))^2),1)</x:f>
        <x:v>1</x:v>
      </x:c>
      <x:c r="AP456" s="9" t="n">
        <x:f>MOD(AQ455*16807,2147483647)</x:f>
        <x:v>238308055</x:v>
      </x:c>
      <x:c r="AQ456" s="9" t="n">
        <x:f>MOD(AP456*16807,2147483647)</x:f>
        <x:v>186478730</x:v>
      </x:c>
      <x:c r="AR456" s="17" t="n">
        <x:f>IF('Control Room'!$B$5="Normal",'Control Room'!$B$7+'Control Room'!$D$7*SQRT(-2*LN(MAX(0.000000000001,AP456/2147483647)))*COS(2*PI()*AQ456/2147483647),'Control Room'!$B$8+('Control Room'!$D$8-'Control Room'!$B$8)*AP456/2147483647)</x:f>
        <x:v>1161.320883230958</x:v>
      </x:c>
      <x:c r="AS456" s="17" t="n">
        <x:f>IF('Control Room'!$B$5="Normal",'Control Room'!$B$7,('Control Room'!$B$8+'Control Room'!$D$8)/2)+'Control Room'!$B$9*(AS455-IF('Control Room'!$B$5="Normal",'Control Room'!$B$7,('Control Room'!$B$8+'Control Room'!$D$8)/2))+SQRT(1-'Control Room'!$B$9^2)*(AR456-IF('Control Room'!$B$5="Normal",'Control Room'!$B$7,('Control Room'!$B$8+'Control Room'!$D$8)/2))</x:f>
        <x:v>1108.856579894589</x:v>
      </x:c>
      <x:c r="AT456" s="17" t="n">
        <x:f>IF(AND($A456&gt;='Control Room'!$A$13,$A456&lt;'Control Room'!$A$13+'Control Room'!$B$13,'Process'!BS2=1),1+('Control Room'!$C$13-1)*EXP(-0.5*(($A456-'Control Room'!$A$13-('Control Room'!$B$13-1)/2)/MAX(0.5,'Control Room'!$B$13/4))^2),1)*IF(AND($A456&gt;='Control Room'!$A$14,$A456&lt;'Control Room'!$A$14+'Control Room'!$B$14,'Process'!BS3=1),1+('Control Room'!$C$14-1)*EXP(-0.5*(($A456-'Control Room'!$A$14-('Control Room'!$B$14-1)/2)/MAX(0.5,'Control Room'!$B$14/4))^2),1)*IF(AND($A456&gt;='Control Room'!$A$15,$A456&lt;'Control Room'!$A$15+'Control Room'!$B$15,'Process'!BS4=1),1+('Control Room'!$C$15-1)*EXP(-0.5*(($A456-'Control Room'!$A$15-('Control Room'!$B$15-1)/2)/MAX(0.5,'Control Room'!$B$15/4))^2),1)*IF(AND($A456&gt;='Control Room'!$A$16,$A456&lt;'Control Room'!$A$16+'Control Room'!$B$16,'Process'!BS5=1),1+('Control Room'!$C$16-1)*EXP(-0.5*(($A456-'Control Room'!$A$16-('Control Room'!$B$16-1)/2)/MAX(0.5,'Control Room'!$B$16/4))^2),1)</x:f>
        <x:v>1</x:v>
      </x:c>
      <x:c r="AU456" s="9" t="n">
        <x:f>MOD(AV455*16807,2147483647)</x:f>
        <x:v>13296557</x:v>
      </x:c>
      <x:c r="AV456" s="9" t="n">
        <x:f>MOD(AU456*16807,2147483647)</x:f>
        <x:v>136934211</x:v>
      </x:c>
      <x:c r="AW456" s="17" t="n">
        <x:f>IF('Control Room'!$B$5="Normal",'Control Room'!$B$7+'Control Room'!$D$7*SQRT(-2*LN(MAX(0.000000000001,AU456/2147483647)))*COS(2*PI()*AV456/2147483647),'Control Room'!$B$8+('Control Room'!$D$8-'Control Room'!$B$8)*AU456/2147483647)</x:f>
        <x:v>1264.2731905160692</x:v>
      </x:c>
      <x:c r="AX456" s="17" t="n">
        <x:f>IF('Control Room'!$B$5="Normal",'Control Room'!$B$7,('Control Room'!$B$8+'Control Room'!$D$8)/2)+'Control Room'!$B$9*(AX455-IF('Control Room'!$B$5="Normal",'Control Room'!$B$7,('Control Room'!$B$8+'Control Room'!$D$8)/2))+SQRT(1-'Control Room'!$B$9^2)*(AW456-IF('Control Room'!$B$5="Normal",'Control Room'!$B$7,('Control Room'!$B$8+'Control Room'!$D$8)/2))</x:f>
        <x:v>1211.1974240960114</x:v>
      </x:c>
      <x:c r="AY456" s="17" t="n">
        <x:f>IF(AND($A456&gt;='Control Room'!$A$13,$A456&lt;'Control Room'!$A$13+'Control Room'!$B$13,'Process'!BT2=1),1+('Control Room'!$C$13-1)*EXP(-0.5*(($A456-'Control Room'!$A$13-('Control Room'!$B$13-1)/2)/MAX(0.5,'Control Room'!$B$13/4))^2),1)*IF(AND($A456&gt;='Control Room'!$A$14,$A456&lt;'Control Room'!$A$14+'Control Room'!$B$14,'Process'!BT3=1),1+('Control Room'!$C$14-1)*EXP(-0.5*(($A456-'Control Room'!$A$14-('Control Room'!$B$14-1)/2)/MAX(0.5,'Control Room'!$B$14/4))^2),1)*IF(AND($A456&gt;='Control Room'!$A$15,$A456&lt;'Control Room'!$A$15+'Control Room'!$B$15,'Process'!BT4=1),1+('Control Room'!$C$15-1)*EXP(-0.5*(($A456-'Control Room'!$A$15-('Control Room'!$B$15-1)/2)/MAX(0.5,'Control Room'!$B$15/4))^2),1)*IF(AND($A456&gt;='Control Room'!$A$16,$A456&lt;'Control Room'!$A$16+'Control Room'!$B$16,'Process'!BT5=1),1+('Control Room'!$C$16-1)*EXP(-0.5*(($A456-'Control Room'!$A$16-('Control Room'!$B$16-1)/2)/MAX(0.5,'Control Room'!$B$16/4))^2),1)</x:f>
        <x:v>1</x:v>
      </x:c>
      <x:c r="AZ456" s="9" t="n">
        <x:f>MOD(BA455*16807,2147483647)</x:f>
        <x:v>1935768706</x:v>
      </x:c>
      <x:c r="BA456" s="9" t="n">
        <x:f>MOD(AZ456*16807,2147483647)</x:f>
        <x:v>87389692</x:v>
      </x:c>
      <x:c r="BB456" s="17" t="n">
        <x:f>IF('Control Room'!$B$5="Normal",'Control Room'!$B$7+'Control Room'!$D$7*SQRT(-2*LN(MAX(0.000000000001,AZ456/2147483647)))*COS(2*PI()*BA456/2147483647),'Control Room'!$B$8+('Control Room'!$D$8-'Control Room'!$B$8)*AZ456/2147483647)</x:f>
        <x:v>1039.6721964792582</x:v>
      </x:c>
      <x:c r="BC456" s="17" t="n">
        <x:f>IF('Control Room'!$B$5="Normal",'Control Room'!$B$7,('Control Room'!$B$8+'Control Room'!$D$8)/2)+'Control Room'!$B$9*(BC455-IF('Control Room'!$B$5="Normal",'Control Room'!$B$7,('Control Room'!$B$8+'Control Room'!$D$8)/2))+SQRT(1-'Control Room'!$B$9^2)*(BB456-IF('Control Room'!$B$5="Normal",'Control Room'!$B$7,('Control Room'!$B$8+'Control Room'!$D$8)/2))</x:f>
        <x:v>1073.3893989262015</x:v>
      </x:c>
      <x:c r="BD456" s="17" t="n">
        <x:f>IF(AND($A456&gt;='Control Room'!$A$13,$A456&lt;'Control Room'!$A$13+'Control Room'!$B$13,'Process'!BU2=1),1+('Control Room'!$C$13-1)*EXP(-0.5*(($A456-'Control Room'!$A$13-('Control Room'!$B$13-1)/2)/MAX(0.5,'Control Room'!$B$13/4))^2),1)*IF(AND($A456&gt;='Control Room'!$A$14,$A456&lt;'Control Room'!$A$14+'Control Room'!$B$14,'Process'!BU3=1),1+('Control Room'!$C$14-1)*EXP(-0.5*(($A456-'Control Room'!$A$14-('Control Room'!$B$14-1)/2)/MAX(0.5,'Control Room'!$B$14/4))^2),1)*IF(AND($A456&gt;='Control Room'!$A$15,$A456&lt;'Control Room'!$A$15+'Control Room'!$B$15,'Process'!BU4=1),1+('Control Room'!$C$15-1)*EXP(-0.5*(($A456-'Control Room'!$A$15-('Control Room'!$B$15-1)/2)/MAX(0.5,'Control Room'!$B$15/4))^2),1)*IF(AND($A456&gt;='Control Room'!$A$16,$A456&lt;'Control Room'!$A$16+'Control Room'!$B$16,'Process'!BU5=1),1+('Control Room'!$C$16-1)*EXP(-0.5*(($A456-'Control Room'!$A$16-('Control Room'!$B$16-1)/2)/MAX(0.5,'Control Room'!$B$16/4))^2),1)</x:f>
        <x:v>1</x:v>
      </x:c>
      <x:c r="BE456" s="9" t="n">
        <x:f>MOD(BF455*16807,2147483647)</x:f>
        <x:v>1710757208</x:v>
      </x:c>
      <x:c r="BF456" s="9" t="n">
        <x:f>MOD(BE456*16807,2147483647)</x:f>
        <x:v>37845173</x:v>
      </x:c>
      <x:c r="BG456" s="17" t="n">
        <x:f>IF('Control Room'!$B$5="Normal",'Control Room'!$B$7+'Control Room'!$D$7*SQRT(-2*LN(MAX(0.000000000001,BE456/2147483647)))*COS(2*PI()*BF456/2147483647),'Control Room'!$B$8+('Control Room'!$D$8-'Control Room'!$B$8)*BE456/2147483647)</x:f>
        <x:v>1060.3180526775968</x:v>
      </x:c>
      <x:c r="BH456" s="17" t="n">
        <x:f>IF('Control Room'!$B$5="Normal",'Control Room'!$B$7,('Control Room'!$B$8+'Control Room'!$D$8)/2)+'Control Room'!$B$9*(BH455-IF('Control Room'!$B$5="Normal",'Control Room'!$B$7,('Control Room'!$B$8+'Control Room'!$D$8)/2))+SQRT(1-'Control Room'!$B$9^2)*(BG456-IF('Control Room'!$B$5="Normal",'Control Room'!$B$7,('Control Room'!$B$8+'Control Room'!$D$8)/2))</x:f>
        <x:v>921.6942045818453</x:v>
      </x:c>
      <x:c r="BI456" s="17" t="n">
        <x:f>IF(AND($A456&gt;='Control Room'!$A$13,$A456&lt;'Control Room'!$A$13+'Control Room'!$B$13,'Process'!BV2=1),1+('Control Room'!$C$13-1)*EXP(-0.5*(($A456-'Control Room'!$A$13-('Control Room'!$B$13-1)/2)/MAX(0.5,'Control Room'!$B$13/4))^2),1)*IF(AND($A456&gt;='Control Room'!$A$14,$A456&lt;'Control Room'!$A$14+'Control Room'!$B$14,'Process'!BV3=1),1+('Control Room'!$C$14-1)*EXP(-0.5*(($A456-'Control Room'!$A$14-('Control Room'!$B$14-1)/2)/MAX(0.5,'Control Room'!$B$14/4))^2),1)*IF(AND($A456&gt;='Control Room'!$A$15,$A456&lt;'Control Room'!$A$15+'Control Room'!$B$15,'Process'!BV4=1),1+('Control Room'!$C$15-1)*EXP(-0.5*(($A456-'Control Room'!$A$15-('Control Room'!$B$15-1)/2)/MAX(0.5,'Control Room'!$B$15/4))^2),1)*IF(AND($A456&gt;='Control Room'!$A$16,$A456&lt;'Control Room'!$A$16+'Control Room'!$B$16,'Process'!BV5=1),1+('Control Room'!$C$16-1)*EXP(-0.5*(($A456-'Control Room'!$A$16-('Control Room'!$B$16-1)/2)/MAX(0.5,'Control Room'!$B$16/4))^2),1)</x:f>
        <x:v>1</x:v>
      </x:c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Z456" t="str">
        <x:f>IF('Data'!A456="","",TEXT('Data'!A456,"mm-dd"))</x:f>
      </x:c>
    </x:row>
    <x:row r="457" ht="21" customHeight="1">
      <x:c r="A457" s="15" t="n">
        <x:f>'Control Room'!$B$1+455</x:f>
        <x:v>73446</x:v>
      </x:c>
      <x:c r="B457" s="9" t="n">
        <x:f>MOD(C456*16807,2147483647)</x:f>
        <x:v>1032947807</x:v>
      </x:c>
      <x:c r="C457" s="9" t="n">
        <x:f>MOD(B457*16807,2147483647)</x:f>
        <x:v>495989901</x:v>
      </x:c>
      <x:c r="D457" s="17" t="n">
        <x:f>IF('Control Room'!$B$5="Normal",'Control Room'!$B$7+'Control Room'!$D$7*SQRT(-2*LN(MAX(0.000000000001,B457/2147483647)))*COS(2*PI()*C457/2147483647),'Control Room'!$B$8+('Control Room'!$D$8-'Control Room'!$B$8)*B457/2147483647)</x:f>
        <x:v>1012.9931079498581</x:v>
      </x:c>
      <x:c r="E457" s="17" t="n">
        <x:f>IF('Control Room'!$B$5="Normal",'Control Room'!$B$7,('Control Room'!$B$8+'Control Room'!$D$8)/2)+'Control Room'!$B$9*(E456-IF('Control Room'!$B$5="Normal",'Control Room'!$B$7,('Control Room'!$B$8+'Control Room'!$D$8)/2))+SQRT(1-'Control Room'!$B$9^2)*(D457-IF('Control Room'!$B$5="Normal",'Control Room'!$B$7,('Control Room'!$B$8+'Control Room'!$D$8)/2))</x:f>
        <x:v>981.9150498038097</x:v>
      </x:c>
      <x:c r="F457" s="17" t="n">
        <x:f>IF(AND($A457&gt;='Control Room'!$A$13,$A457&lt;'Control Room'!$A$13+'Control Room'!$B$13,'Process'!BK2=1),1+('Control Room'!$C$13-1)*EXP(-0.5*(($A457-'Control Room'!$A$13-('Control Room'!$B$13-1)/2)/MAX(0.5,'Control Room'!$B$13/4))^2),1)*IF(AND($A457&gt;='Control Room'!$A$14,$A457&lt;'Control Room'!$A$14+'Control Room'!$B$14,'Process'!BK3=1),1+('Control Room'!$C$14-1)*EXP(-0.5*(($A457-'Control Room'!$A$14-('Control Room'!$B$14-1)/2)/MAX(0.5,'Control Room'!$B$14/4))^2),1)*IF(AND($A457&gt;='Control Room'!$A$15,$A457&lt;'Control Room'!$A$15+'Control Room'!$B$15,'Process'!BK4=1),1+('Control Room'!$C$15-1)*EXP(-0.5*(($A457-'Control Room'!$A$15-('Control Room'!$B$15-1)/2)/MAX(0.5,'Control Room'!$B$15/4))^2),1)*IF(AND($A457&gt;='Control Room'!$A$16,$A457&lt;'Control Room'!$A$16+'Control Room'!$B$16,'Process'!BK5=1),1+('Control Room'!$C$16-1)*EXP(-0.5*(($A457-'Control Room'!$A$16-('Control Room'!$B$16-1)/2)/MAX(0.5,'Control Room'!$B$16/4))^2),1)</x:f>
        <x:v>1</x:v>
      </x:c>
      <x:c r="G457" s="9" t="n">
        <x:f>MOD(H456*16807,2147483647)</x:f>
        <x:v>1561872010</x:v>
      </x:c>
      <x:c r="H457" s="9" t="n">
        <x:f>MOD(G457*16807,2147483647)</x:f>
        <x:v>1690254789</x:v>
      </x:c>
      <x:c r="I457" s="17" t="n">
        <x:f>IF('Control Room'!$B$5="Normal",'Control Room'!$B$7+'Control Room'!$D$7*SQRT(-2*LN(MAX(0.000000000001,G457/2147483647)))*COS(2*PI()*H457/2147483647),'Control Room'!$B$8+('Control Room'!$D$8-'Control Room'!$B$8)*G457/2147483647)</x:f>
        <x:v>1016.5846789471609</x:v>
      </x:c>
      <x:c r="J457" s="17" t="n">
        <x:f>IF('Control Room'!$B$5="Normal",'Control Room'!$B$7,('Control Room'!$B$8+'Control Room'!$D$8)/2)+'Control Room'!$B$9*(J456-IF('Control Room'!$B$5="Normal",'Control Room'!$B$7,('Control Room'!$B$8+'Control Room'!$D$8)/2))+SQRT(1-'Control Room'!$B$9^2)*(I457-IF('Control Room'!$B$5="Normal",'Control Room'!$B$7,('Control Room'!$B$8+'Control Room'!$D$8)/2))</x:f>
        <x:v>967.4028585337355</x:v>
      </x:c>
      <x:c r="K457" s="17" t="n">
        <x:f>IF(AND($A457&gt;='Control Room'!$A$13,$A457&lt;'Control Room'!$A$13+'Control Room'!$B$13,'Process'!BL2=1),1+('Control Room'!$C$13-1)*EXP(-0.5*(($A457-'Control Room'!$A$13-('Control Room'!$B$13-1)/2)/MAX(0.5,'Control Room'!$B$13/4))^2),1)*IF(AND($A457&gt;='Control Room'!$A$14,$A457&lt;'Control Room'!$A$14+'Control Room'!$B$14,'Process'!BL3=1),1+('Control Room'!$C$14-1)*EXP(-0.5*(($A457-'Control Room'!$A$14-('Control Room'!$B$14-1)/2)/MAX(0.5,'Control Room'!$B$14/4))^2),1)*IF(AND($A457&gt;='Control Room'!$A$15,$A457&lt;'Control Room'!$A$15+'Control Room'!$B$15,'Process'!BL4=1),1+('Control Room'!$C$15-1)*EXP(-0.5*(($A457-'Control Room'!$A$15-('Control Room'!$B$15-1)/2)/MAX(0.5,'Control Room'!$B$15/4))^2),1)*IF(AND($A457&gt;='Control Room'!$A$16,$A457&lt;'Control Room'!$A$16+'Control Room'!$B$16,'Process'!BL5=1),1+('Control Room'!$C$16-1)*EXP(-0.5*(($A457-'Control Room'!$A$16-('Control Room'!$B$16-1)/2)/MAX(0.5,'Control Room'!$B$16/4))^2),1)</x:f>
        <x:v>1</x:v>
      </x:c>
      <x:c r="L457" s="9" t="n">
        <x:f>MOD(M456*16807,2147483647)</x:f>
        <x:v>2090796213</x:v>
      </x:c>
      <x:c r="M457" s="9" t="n">
        <x:f>MOD(L457*16807,2147483647)</x:f>
        <x:v>737036030</x:v>
      </x:c>
      <x:c r="N457" s="17" t="n">
        <x:f>IF('Control Room'!$B$5="Normal",'Control Room'!$B$7+'Control Room'!$D$7*SQRT(-2*LN(MAX(0.000000000001,L457/2147483647)))*COS(2*PI()*M457/2147483647),'Control Room'!$B$8+('Control Room'!$D$8-'Control Room'!$B$8)*L457/2147483647)</x:f>
        <x:v>988.4931597873897</x:v>
      </x:c>
      <x:c r="O457" s="17" t="n">
        <x:f>IF('Control Room'!$B$5="Normal",'Control Room'!$B$7,('Control Room'!$B$8+'Control Room'!$D$8)/2)+'Control Room'!$B$9*(O456-IF('Control Room'!$B$5="Normal",'Control Room'!$B$7,('Control Room'!$B$8+'Control Room'!$D$8)/2))+SQRT(1-'Control Room'!$B$9^2)*(N457-IF('Control Room'!$B$5="Normal",'Control Room'!$B$7,('Control Room'!$B$8+'Control Room'!$D$8)/2))</x:f>
        <x:v>966.2731434024834</x:v>
      </x:c>
      <x:c r="P457" s="17" t="n">
        <x:f>IF(AND($A457&gt;='Control Room'!$A$13,$A457&lt;'Control Room'!$A$13+'Control Room'!$B$13,'Process'!BM2=1),1+('Control Room'!$C$13-1)*EXP(-0.5*(($A457-'Control Room'!$A$13-('Control Room'!$B$13-1)/2)/MAX(0.5,'Control Room'!$B$13/4))^2),1)*IF(AND($A457&gt;='Control Room'!$A$14,$A457&lt;'Control Room'!$A$14+'Control Room'!$B$14,'Process'!BM3=1),1+('Control Room'!$C$14-1)*EXP(-0.5*(($A457-'Control Room'!$A$14-('Control Room'!$B$14-1)/2)/MAX(0.5,'Control Room'!$B$14/4))^2),1)*IF(AND($A457&gt;='Control Room'!$A$15,$A457&lt;'Control Room'!$A$15+'Control Room'!$B$15,'Process'!BM4=1),1+('Control Room'!$C$15-1)*EXP(-0.5*(($A457-'Control Room'!$A$15-('Control Room'!$B$15-1)/2)/MAX(0.5,'Control Room'!$B$15/4))^2),1)*IF(AND($A457&gt;='Control Room'!$A$16,$A457&lt;'Control Room'!$A$16+'Control Room'!$B$16,'Process'!BM5=1),1+('Control Room'!$C$16-1)*EXP(-0.5*(($A457-'Control Room'!$A$16-('Control Room'!$B$16-1)/2)/MAX(0.5,'Control Room'!$B$16/4))^2),1)</x:f>
        <x:v>1</x:v>
      </x:c>
      <x:c r="Q457" s="9" t="n">
        <x:f>MOD(R456*16807,2147483647)</x:f>
        <x:v>472236769</x:v>
      </x:c>
      <x:c r="R457" s="9" t="n">
        <x:f>MOD(Q457*16807,2147483647)</x:f>
        <x:v>1931300918</x:v>
      </x:c>
      <x:c r="S457" s="17" t="n">
        <x:f>IF('Control Room'!$B$5="Normal",'Control Room'!$B$7+'Control Room'!$D$7*SQRT(-2*LN(MAX(0.000000000001,Q457/2147483647)))*COS(2*PI()*R457/2147483647),'Control Room'!$B$8+('Control Room'!$D$8-'Control Room'!$B$8)*Q457/2147483647)</x:f>
        <x:v>1126.3368342652707</x:v>
      </x:c>
      <x:c r="T457" s="17" t="n">
        <x:f>IF('Control Room'!$B$5="Normal",'Control Room'!$B$7,('Control Room'!$B$8+'Control Room'!$D$8)/2)+'Control Room'!$B$9*(T456-IF('Control Room'!$B$5="Normal",'Control Room'!$B$7,('Control Room'!$B$8+'Control Room'!$D$8)/2))+SQRT(1-'Control Room'!$B$9^2)*(S457-IF('Control Room'!$B$5="Normal",'Control Room'!$B$7,('Control Room'!$B$8+'Control Room'!$D$8)/2))</x:f>
        <x:v>1051.5642417551305</x:v>
      </x:c>
      <x:c r="U457" s="17" t="n">
        <x:f>IF(AND($A457&gt;='Control Room'!$A$13,$A457&lt;'Control Room'!$A$13+'Control Room'!$B$13,'Process'!BN2=1),1+('Control Room'!$C$13-1)*EXP(-0.5*(($A457-'Control Room'!$A$13-('Control Room'!$B$13-1)/2)/MAX(0.5,'Control Room'!$B$13/4))^2),1)*IF(AND($A457&gt;='Control Room'!$A$14,$A457&lt;'Control Room'!$A$14+'Control Room'!$B$14,'Process'!BN3=1),1+('Control Room'!$C$14-1)*EXP(-0.5*(($A457-'Control Room'!$A$14-('Control Room'!$B$14-1)/2)/MAX(0.5,'Control Room'!$B$14/4))^2),1)*IF(AND($A457&gt;='Control Room'!$A$15,$A457&lt;'Control Room'!$A$15+'Control Room'!$B$15,'Process'!BN4=1),1+('Control Room'!$C$15-1)*EXP(-0.5*(($A457-'Control Room'!$A$15-('Control Room'!$B$15-1)/2)/MAX(0.5,'Control Room'!$B$15/4))^2),1)*IF(AND($A457&gt;='Control Room'!$A$16,$A457&lt;'Control Room'!$A$16+'Control Room'!$B$16,'Process'!BN5=1),1+('Control Room'!$C$16-1)*EXP(-0.5*(($A457-'Control Room'!$A$16-('Control Room'!$B$16-1)/2)/MAX(0.5,'Control Room'!$B$16/4))^2),1)</x:f>
        <x:v>1</x:v>
      </x:c>
      <x:c r="V457" s="9" t="n">
        <x:f>MOD(W456*16807,2147483647)</x:f>
        <x:v>1001160972</x:v>
      </x:c>
      <x:c r="W457" s="9" t="n">
        <x:f>MOD(V457*16807,2147483647)</x:f>
        <x:v>978082159</x:v>
      </x:c>
      <x:c r="X457" s="17" t="n">
        <x:f>IF('Control Room'!$B$5="Normal",'Control Room'!$B$7+'Control Room'!$D$7*SQRT(-2*LN(MAX(0.000000000001,V457/2147483647)))*COS(2*PI()*W457/2147483647),'Control Room'!$B$8+('Control Room'!$D$8-'Control Room'!$B$8)*V457/2147483647)</x:f>
        <x:v>893.1384498065693</x:v>
      </x:c>
      <x:c r="Y457" s="17" t="n">
        <x:f>IF('Control Room'!$B$5="Normal",'Control Room'!$B$7,('Control Room'!$B$8+'Control Room'!$D$8)/2)+'Control Room'!$B$9*(Y456-IF('Control Room'!$B$5="Normal",'Control Room'!$B$7,('Control Room'!$B$8+'Control Room'!$D$8)/2))+SQRT(1-'Control Room'!$B$9^2)*(X457-IF('Control Room'!$B$5="Normal",'Control Room'!$B$7,('Control Room'!$B$8+'Control Room'!$D$8)/2))</x:f>
        <x:v>1087.1759482420582</x:v>
      </x:c>
      <x:c r="Z457" s="17" t="n">
        <x:f>IF(AND($A457&gt;='Control Room'!$A$13,$A457&lt;'Control Room'!$A$13+'Control Room'!$B$13,'Process'!BO2=1),1+('Control Room'!$C$13-1)*EXP(-0.5*(($A457-'Control Room'!$A$13-('Control Room'!$B$13-1)/2)/MAX(0.5,'Control Room'!$B$13/4))^2),1)*IF(AND($A457&gt;='Control Room'!$A$14,$A457&lt;'Control Room'!$A$14+'Control Room'!$B$14,'Process'!BO3=1),1+('Control Room'!$C$14-1)*EXP(-0.5*(($A457-'Control Room'!$A$14-('Control Room'!$B$14-1)/2)/MAX(0.5,'Control Room'!$B$14/4))^2),1)*IF(AND($A457&gt;='Control Room'!$A$15,$A457&lt;'Control Room'!$A$15+'Control Room'!$B$15,'Process'!BO4=1),1+('Control Room'!$C$15-1)*EXP(-0.5*(($A457-'Control Room'!$A$15-('Control Room'!$B$15-1)/2)/MAX(0.5,'Control Room'!$B$15/4))^2),1)*IF(AND($A457&gt;='Control Room'!$A$16,$A457&lt;'Control Room'!$A$16+'Control Room'!$B$16,'Process'!BO5=1),1+('Control Room'!$C$16-1)*EXP(-0.5*(($A457-'Control Room'!$A$16-('Control Room'!$B$16-1)/2)/MAX(0.5,'Control Room'!$B$16/4))^2),1)</x:f>
        <x:v>1</x:v>
      </x:c>
      <x:c r="AA457" s="9" t="n">
        <x:f>MOD(AB456*16807,2147483647)</x:f>
        <x:v>1530085175</x:v>
      </x:c>
      <x:c r="AB457" s="9" t="n">
        <x:f>MOD(AA457*16807,2147483647)</x:f>
        <x:v>24863400</x:v>
      </x:c>
      <x:c r="AC457" s="17" t="n">
        <x:f>IF('Control Room'!$B$5="Normal",'Control Room'!$B$7+'Control Room'!$D$7*SQRT(-2*LN(MAX(0.000000000001,AA457/2147483647)))*COS(2*PI()*AB457/2147483647),'Control Room'!$B$8+('Control Room'!$D$8-'Control Room'!$B$8)*AA457/2147483647)</x:f>
        <x:v>1073.9077749244175</x:v>
      </x:c>
      <x:c r="AD457" s="17" t="n">
        <x:f>IF('Control Room'!$B$5="Normal",'Control Room'!$B$7,('Control Room'!$B$8+'Control Room'!$D$8)/2)+'Control Room'!$B$9*(AD456-IF('Control Room'!$B$5="Normal",'Control Room'!$B$7,('Control Room'!$B$8+'Control Room'!$D$8)/2))+SQRT(1-'Control Room'!$B$9^2)*(AC457-IF('Control Room'!$B$5="Normal",'Control Room'!$B$7,('Control Room'!$B$8+'Control Room'!$D$8)/2))</x:f>
        <x:v>1137.6813031615875</x:v>
      </x:c>
      <x:c r="AE457" s="17" t="n">
        <x:f>IF(AND($A457&gt;='Control Room'!$A$13,$A457&lt;'Control Room'!$A$13+'Control Room'!$B$13,'Process'!BP2=1),1+('Control Room'!$C$13-1)*EXP(-0.5*(($A457-'Control Room'!$A$13-('Control Room'!$B$13-1)/2)/MAX(0.5,'Control Room'!$B$13/4))^2),1)*IF(AND($A457&gt;='Control Room'!$A$14,$A457&lt;'Control Room'!$A$14+'Control Room'!$B$14,'Process'!BP3=1),1+('Control Room'!$C$14-1)*EXP(-0.5*(($A457-'Control Room'!$A$14-('Control Room'!$B$14-1)/2)/MAX(0.5,'Control Room'!$B$14/4))^2),1)*IF(AND($A457&gt;='Control Room'!$A$15,$A457&lt;'Control Room'!$A$15+'Control Room'!$B$15,'Process'!BP4=1),1+('Control Room'!$C$15-1)*EXP(-0.5*(($A457-'Control Room'!$A$15-('Control Room'!$B$15-1)/2)/MAX(0.5,'Control Room'!$B$15/4))^2),1)*IF(AND($A457&gt;='Control Room'!$A$16,$A457&lt;'Control Room'!$A$16+'Control Room'!$B$16,'Process'!BP5=1),1+('Control Room'!$C$16-1)*EXP(-0.5*(($A457-'Control Room'!$A$16-('Control Room'!$B$16-1)/2)/MAX(0.5,'Control Room'!$B$16/4))^2),1)</x:f>
        <x:v>1</x:v>
      </x:c>
      <x:c r="AF457" s="9" t="n">
        <x:f>MOD(AG456*16807,2147483647)</x:f>
        <x:v>2059009378</x:v>
      </x:c>
      <x:c r="AG457" s="9" t="n">
        <x:f>MOD(AF457*16807,2147483647)</x:f>
        <x:v>1219128288</x:v>
      </x:c>
      <x:c r="AH457" s="17" t="n">
        <x:f>IF('Control Room'!$B$5="Normal",'Control Room'!$B$7+'Control Room'!$D$7*SQRT(-2*LN(MAX(0.000000000001,AF457/2147483647)))*COS(2*PI()*AG457/2147483647),'Control Room'!$B$8+('Control Room'!$D$8-'Control Room'!$B$8)*AF457/2147483647)</x:f>
        <x:v>976.2197922283848</x:v>
      </x:c>
      <x:c r="AI457" s="17" t="n">
        <x:f>IF('Control Room'!$B$5="Normal",'Control Room'!$B$7,('Control Room'!$B$8+'Control Room'!$D$8)/2)+'Control Room'!$B$9*(AI456-IF('Control Room'!$B$5="Normal",'Control Room'!$B$7,('Control Room'!$B$8+'Control Room'!$D$8)/2))+SQRT(1-'Control Room'!$B$9^2)*(AH457-IF('Control Room'!$B$5="Normal",'Control Room'!$B$7,('Control Room'!$B$8+'Control Room'!$D$8)/2))</x:f>
        <x:v>1050.92716868487</x:v>
      </x:c>
      <x:c r="AJ457" s="17" t="n">
        <x:f>IF(AND($A457&gt;='Control Room'!$A$13,$A457&lt;'Control Room'!$A$13+'Control Room'!$B$13,'Process'!BQ2=1),1+('Control Room'!$C$13-1)*EXP(-0.5*(($A457-'Control Room'!$A$13-('Control Room'!$B$13-1)/2)/MAX(0.5,'Control Room'!$B$13/4))^2),1)*IF(AND($A457&gt;='Control Room'!$A$14,$A457&lt;'Control Room'!$A$14+'Control Room'!$B$14,'Process'!BQ3=1),1+('Control Room'!$C$14-1)*EXP(-0.5*(($A457-'Control Room'!$A$14-('Control Room'!$B$14-1)/2)/MAX(0.5,'Control Room'!$B$14/4))^2),1)*IF(AND($A457&gt;='Control Room'!$A$15,$A457&lt;'Control Room'!$A$15+'Control Room'!$B$15,'Process'!BQ4=1),1+('Control Room'!$C$15-1)*EXP(-0.5*(($A457-'Control Room'!$A$15-('Control Room'!$B$15-1)/2)/MAX(0.5,'Control Room'!$B$15/4))^2),1)*IF(AND($A457&gt;='Control Room'!$A$16,$A457&lt;'Control Room'!$A$16+'Control Room'!$B$16,'Process'!BQ5=1),1+('Control Room'!$C$16-1)*EXP(-0.5*(($A457-'Control Room'!$A$16-('Control Room'!$B$16-1)/2)/MAX(0.5,'Control Room'!$B$16/4))^2),1)</x:f>
        <x:v>1</x:v>
      </x:c>
      <x:c r="AK457" s="9" t="n">
        <x:f>MOD(AL456*16807,2147483647)</x:f>
        <x:v>440449934</x:v>
      </x:c>
      <x:c r="AL457" s="9" t="n">
        <x:f>MOD(AK457*16807,2147483647)</x:f>
        <x:v>265909529</x:v>
      </x:c>
      <x:c r="AM457" s="17" t="n">
        <x:f>IF('Control Room'!$B$5="Normal",'Control Room'!$B$7+'Control Room'!$D$7*SQRT(-2*LN(MAX(0.000000000001,AK457/2147483647)))*COS(2*PI()*AL457/2147483647),'Control Room'!$B$8+('Control Room'!$D$8-'Control Room'!$B$8)*AK457/2147483647)</x:f>
        <x:v>1114.1145742252222</x:v>
      </x:c>
      <x:c r="AN457" s="17" t="n">
        <x:f>IF('Control Room'!$B$5="Normal",'Control Room'!$B$7,('Control Room'!$B$8+'Control Room'!$D$8)/2)+'Control Room'!$B$9*(AN456-IF('Control Room'!$B$5="Normal",'Control Room'!$B$7,('Control Room'!$B$8+'Control Room'!$D$8)/2))+SQRT(1-'Control Room'!$B$9^2)*(AM457-IF('Control Room'!$B$5="Normal",'Control Room'!$B$7,('Control Room'!$B$8+'Control Room'!$D$8)/2))</x:f>
        <x:v>1158.0168360132684</x:v>
      </x:c>
      <x:c r="AO457" s="17" t="n">
        <x:f>IF(AND($A457&gt;='Control Room'!$A$13,$A457&lt;'Control Room'!$A$13+'Control Room'!$B$13,'Process'!BR2=1),1+('Control Room'!$C$13-1)*EXP(-0.5*(($A457-'Control Room'!$A$13-('Control Room'!$B$13-1)/2)/MAX(0.5,'Control Room'!$B$13/4))^2),1)*IF(AND($A457&gt;='Control Room'!$A$14,$A457&lt;'Control Room'!$A$14+'Control Room'!$B$14,'Process'!BR3=1),1+('Control Room'!$C$14-1)*EXP(-0.5*(($A457-'Control Room'!$A$14-('Control Room'!$B$14-1)/2)/MAX(0.5,'Control Room'!$B$14/4))^2),1)*IF(AND($A457&gt;='Control Room'!$A$15,$A457&lt;'Control Room'!$A$15+'Control Room'!$B$15,'Process'!BR4=1),1+('Control Room'!$C$15-1)*EXP(-0.5*(($A457-'Control Room'!$A$15-('Control Room'!$B$15-1)/2)/MAX(0.5,'Control Room'!$B$15/4))^2),1)*IF(AND($A457&gt;='Control Room'!$A$16,$A457&lt;'Control Room'!$A$16+'Control Room'!$B$16,'Process'!BR5=1),1+('Control Room'!$C$16-1)*EXP(-0.5*(($A457-'Control Room'!$A$16-('Control Room'!$B$16-1)/2)/MAX(0.5,'Control Room'!$B$16/4))^2),1)</x:f>
        <x:v>1</x:v>
      </x:c>
      <x:c r="AP457" s="9" t="n">
        <x:f>MOD(AQ456*16807,2147483647)</x:f>
        <x:v>969374137</x:v>
      </x:c>
      <x:c r="AQ457" s="9" t="n">
        <x:f>MOD(AP457*16807,2147483647)</x:f>
        <x:v>1460174417</x:v>
      </x:c>
      <x:c r="AR457" s="17" t="n">
        <x:f>IF('Control Room'!$B$5="Normal",'Control Room'!$B$7+'Control Room'!$D$7*SQRT(-2*LN(MAX(0.000000000001,AP457/2147483647)))*COS(2*PI()*AQ457/2147483647),'Control Room'!$B$8+('Control Room'!$D$8-'Control Room'!$B$8)*AP457/2147483647)</x:f>
        <x:v>951.6335548167069</x:v>
      </x:c>
      <x:c r="AS457" s="17" t="n">
        <x:f>IF('Control Room'!$B$5="Normal",'Control Room'!$B$7,('Control Room'!$B$8+'Control Room'!$D$8)/2)+'Control Room'!$B$9*(AS456-IF('Control Room'!$B$5="Normal",'Control Room'!$B$7,('Control Room'!$B$8+'Control Room'!$D$8)/2))+SQRT(1-'Control Room'!$B$9^2)*(AR457-IF('Control Room'!$B$5="Normal",'Control Room'!$B$7,('Control Room'!$B$8+'Control Room'!$D$8)/2))</x:f>
        <x:v>1054.6414017625614</x:v>
      </x:c>
      <x:c r="AT457" s="17" t="n">
        <x:f>IF(AND($A457&gt;='Control Room'!$A$13,$A457&lt;'Control Room'!$A$13+'Control Room'!$B$13,'Process'!BS2=1),1+('Control Room'!$C$13-1)*EXP(-0.5*(($A457-'Control Room'!$A$13-('Control Room'!$B$13-1)/2)/MAX(0.5,'Control Room'!$B$13/4))^2),1)*IF(AND($A457&gt;='Control Room'!$A$14,$A457&lt;'Control Room'!$A$14+'Control Room'!$B$14,'Process'!BS3=1),1+('Control Room'!$C$14-1)*EXP(-0.5*(($A457-'Control Room'!$A$14-('Control Room'!$B$14-1)/2)/MAX(0.5,'Control Room'!$B$14/4))^2),1)*IF(AND($A457&gt;='Control Room'!$A$15,$A457&lt;'Control Room'!$A$15+'Control Room'!$B$15,'Process'!BS4=1),1+('Control Room'!$C$15-1)*EXP(-0.5*(($A457-'Control Room'!$A$15-('Control Room'!$B$15-1)/2)/MAX(0.5,'Control Room'!$B$15/4))^2),1)*IF(AND($A457&gt;='Control Room'!$A$16,$A457&lt;'Control Room'!$A$16+'Control Room'!$B$16,'Process'!BS5=1),1+('Control Room'!$C$16-1)*EXP(-0.5*(($A457-'Control Room'!$A$16-('Control Room'!$B$16-1)/2)/MAX(0.5,'Control Room'!$B$16/4))^2),1)</x:f>
        <x:v>1</x:v>
      </x:c>
      <x:c r="AU457" s="9" t="n">
        <x:f>MOD(AV456*16807,2147483647)</x:f>
        <x:v>1498298340</x:v>
      </x:c>
      <x:c r="AV457" s="9" t="n">
        <x:f>MOD(AU457*16807,2147483647)</x:f>
        <x:v>506955658</x:v>
      </x:c>
      <x:c r="AW457" s="17" t="n">
        <x:f>IF('Control Room'!$B$5="Normal",'Control Room'!$B$7+'Control Room'!$D$7*SQRT(-2*LN(MAX(0.000000000001,AU457/2147483647)))*COS(2*PI()*AV457/2147483647),'Control Room'!$B$8+('Control Room'!$D$8-'Control Room'!$B$8)*AU457/2147483647)</x:f>
        <x:v>1006.6753912163155</x:v>
      </x:c>
      <x:c r="AX457" s="17" t="n">
        <x:f>IF('Control Room'!$B$5="Normal",'Control Room'!$B$7,('Control Room'!$B$8+'Control Room'!$D$8)/2)+'Control Room'!$B$9*(AX456-IF('Control Room'!$B$5="Normal",'Control Room'!$B$7,('Control Room'!$B$8+'Control Room'!$D$8)/2))+SQRT(1-'Control Room'!$B$9^2)*(AW457-IF('Control Room'!$B$5="Normal",'Control Room'!$B$7,('Control Room'!$B$8+'Control Room'!$D$8)/2))</x:f>
        <x:v>1168.911313865237</x:v>
      </x:c>
      <x:c r="AY457" s="17" t="n">
        <x:f>IF(AND($A457&gt;='Control Room'!$A$13,$A457&lt;'Control Room'!$A$13+'Control Room'!$B$13,'Process'!BT2=1),1+('Control Room'!$C$13-1)*EXP(-0.5*(($A457-'Control Room'!$A$13-('Control Room'!$B$13-1)/2)/MAX(0.5,'Control Room'!$B$13/4))^2),1)*IF(AND($A457&gt;='Control Room'!$A$14,$A457&lt;'Control Room'!$A$14+'Control Room'!$B$14,'Process'!BT3=1),1+('Control Room'!$C$14-1)*EXP(-0.5*(($A457-'Control Room'!$A$14-('Control Room'!$B$14-1)/2)/MAX(0.5,'Control Room'!$B$14/4))^2),1)*IF(AND($A457&gt;='Control Room'!$A$15,$A457&lt;'Control Room'!$A$15+'Control Room'!$B$15,'Process'!BT4=1),1+('Control Room'!$C$15-1)*EXP(-0.5*(($A457-'Control Room'!$A$15-('Control Room'!$B$15-1)/2)/MAX(0.5,'Control Room'!$B$15/4))^2),1)*IF(AND($A457&gt;='Control Room'!$A$16,$A457&lt;'Control Room'!$A$16+'Control Room'!$B$16,'Process'!BT5=1),1+('Control Room'!$C$16-1)*EXP(-0.5*(($A457-'Control Room'!$A$16-('Control Room'!$B$16-1)/2)/MAX(0.5,'Control Room'!$B$16/4))^2),1)</x:f>
        <x:v>1</x:v>
      </x:c>
      <x:c r="AZ457" s="9" t="n">
        <x:f>MOD(BA456*16807,2147483647)</x:f>
        <x:v>2027222543</x:v>
      </x:c>
      <x:c r="BA457" s="9" t="n">
        <x:f>MOD(AZ457*16807,2147483647)</x:f>
        <x:v>1701220546</x:v>
      </x:c>
      <x:c r="BB457" s="17" t="n">
        <x:f>IF('Control Room'!$B$5="Normal",'Control Room'!$B$7+'Control Room'!$D$7*SQRT(-2*LN(MAX(0.000000000001,AZ457/2147483647)))*COS(2*PI()*BA457/2147483647),'Control Room'!$B$8+('Control Room'!$D$8-'Control Room'!$B$8)*AZ457/2147483647)</x:f>
        <x:v>1008.0056918106558</x:v>
      </x:c>
      <x:c r="BC457" s="17" t="n">
        <x:f>IF('Control Room'!$B$5="Normal",'Control Room'!$B$7,('Control Room'!$B$8+'Control Room'!$D$8)/2)+'Control Room'!$B$9*(BC456-IF('Control Room'!$B$5="Normal",'Control Room'!$B$7,('Control Room'!$B$8+'Control Room'!$D$8)/2))+SQRT(1-'Control Room'!$B$9^2)*(BB457-IF('Control Room'!$B$5="Normal",'Control Room'!$B$7,('Control Room'!$B$8+'Control Room'!$D$8)/2))</x:f>
        <x:v>1062.2535290920343</x:v>
      </x:c>
      <x:c r="BD457" s="17" t="n">
        <x:f>IF(AND($A457&gt;='Control Room'!$A$13,$A457&lt;'Control Room'!$A$13+'Control Room'!$B$13,'Process'!BU2=1),1+('Control Room'!$C$13-1)*EXP(-0.5*(($A457-'Control Room'!$A$13-('Control Room'!$B$13-1)/2)/MAX(0.5,'Control Room'!$B$13/4))^2),1)*IF(AND($A457&gt;='Control Room'!$A$14,$A457&lt;'Control Room'!$A$14+'Control Room'!$B$14,'Process'!BU3=1),1+('Control Room'!$C$14-1)*EXP(-0.5*(($A457-'Control Room'!$A$14-('Control Room'!$B$14-1)/2)/MAX(0.5,'Control Room'!$B$14/4))^2),1)*IF(AND($A457&gt;='Control Room'!$A$15,$A457&lt;'Control Room'!$A$15+'Control Room'!$B$15,'Process'!BU4=1),1+('Control Room'!$C$15-1)*EXP(-0.5*(($A457-'Control Room'!$A$15-('Control Room'!$B$15-1)/2)/MAX(0.5,'Control Room'!$B$15/4))^2),1)*IF(AND($A457&gt;='Control Room'!$A$16,$A457&lt;'Control Room'!$A$16+'Control Room'!$B$16,'Process'!BU5=1),1+('Control Room'!$C$16-1)*EXP(-0.5*(($A457-'Control Room'!$A$16-('Control Room'!$B$16-1)/2)/MAX(0.5,'Control Room'!$B$16/4))^2),1)</x:f>
        <x:v>1</x:v>
      </x:c>
      <x:c r="BE457" s="9" t="n">
        <x:f>MOD(BF456*16807,2147483647)</x:f>
        <x:v>408663099</x:v>
      </x:c>
      <x:c r="BF457" s="9" t="n">
        <x:f>MOD(BE457*16807,2147483647)</x:f>
        <x:v>748001787</x:v>
      </x:c>
      <x:c r="BG457" s="17" t="n">
        <x:f>IF('Control Room'!$B$5="Normal",'Control Room'!$B$7+'Control Room'!$D$7*SQRT(-2*LN(MAX(0.000000000001,BE457/2147483647)))*COS(2*PI()*BF457/2147483647),'Control Room'!$B$8+('Control Room'!$D$8-'Control Room'!$B$8)*BE457/2147483647)</x:f>
        <x:v>905.0439588872996</x:v>
      </x:c>
      <x:c r="BH457" s="17" t="n">
        <x:f>IF('Control Room'!$B$5="Normal",'Control Room'!$B$7,('Control Room'!$B$8+'Control Room'!$D$8)/2)+'Control Room'!$B$9*(BH456-IF('Control Room'!$B$5="Normal",'Control Room'!$B$7,('Control Room'!$B$8+'Control Room'!$D$8)/2))+SQRT(1-'Control Room'!$B$9^2)*(BG457-IF('Control Room'!$B$5="Normal",'Control Room'!$B$7,('Control Room'!$B$8+'Control Room'!$D$8)/2))</x:f>
        <x:v>879.499934325749</x:v>
      </x:c>
      <x:c r="BI457" s="17" t="n">
        <x:f>IF(AND($A457&gt;='Control Room'!$A$13,$A457&lt;'Control Room'!$A$13+'Control Room'!$B$13,'Process'!BV2=1),1+('Control Room'!$C$13-1)*EXP(-0.5*(($A457-'Control Room'!$A$13-('Control Room'!$B$13-1)/2)/MAX(0.5,'Control Room'!$B$13/4))^2),1)*IF(AND($A457&gt;='Control Room'!$A$14,$A457&lt;'Control Room'!$A$14+'Control Room'!$B$14,'Process'!BV3=1),1+('Control Room'!$C$14-1)*EXP(-0.5*(($A457-'Control Room'!$A$14-('Control Room'!$B$14-1)/2)/MAX(0.5,'Control Room'!$B$14/4))^2),1)*IF(AND($A457&gt;='Control Room'!$A$15,$A457&lt;'Control Room'!$A$15+'Control Room'!$B$15,'Process'!BV4=1),1+('Control Room'!$C$15-1)*EXP(-0.5*(($A457-'Control Room'!$A$15-('Control Room'!$B$15-1)/2)/MAX(0.5,'Control Room'!$B$15/4))^2),1)*IF(AND($A457&gt;='Control Room'!$A$16,$A457&lt;'Control Room'!$A$16+'Control Room'!$B$16,'Process'!BV5=1),1+('Control Room'!$C$16-1)*EXP(-0.5*(($A457-'Control Room'!$A$16-('Control Room'!$B$16-1)/2)/MAX(0.5,'Control Room'!$B$16/4))^2),1)</x:f>
        <x:v>1</x:v>
      </x:c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Z457" t="str">
        <x:f>IF('Data'!A457="","",TEXT('Data'!A457,"mm-dd"))</x:f>
      </x:c>
    </x:row>
    <x:row r="458" ht="21" customHeight="1">
      <x:c r="A458" s="15" t="n">
        <x:f>'Control Room'!$B$1+456</x:f>
        <x:v>73447</x:v>
      </x:c>
      <x:c r="B458" s="9" t="n">
        <x:f>MOD(C457*16807,2147483647)</x:f>
        <x:v>1718232100</x:v>
      </x:c>
      <x:c r="C458" s="9" t="n">
        <x:f>MOD(B458*16807,2147483647)</x:f>
        <x:v>1114303491</x:v>
      </x:c>
      <x:c r="D458" s="17" t="n">
        <x:f>IF('Control Room'!$B$5="Normal",'Control Room'!$B$7+'Control Room'!$D$7*SQRT(-2*LN(MAX(0.000000000001,B458/2147483647)))*COS(2*PI()*C458/2147483647),'Control Room'!$B$8+('Control Room'!$D$8-'Control Room'!$B$8)*B458/2147483647)</x:f>
        <x:v>940.3177461000544</x:v>
      </x:c>
      <x:c r="E458" s="17" t="n">
        <x:f>IF('Control Room'!$B$5="Normal",'Control Room'!$B$7,('Control Room'!$B$8+'Control Room'!$D$8)/2)+'Control Room'!$B$9*(E457-IF('Control Room'!$B$5="Normal",'Control Room'!$B$7,('Control Room'!$B$8+'Control Room'!$D$8)/2))+SQRT(1-'Control Room'!$B$9^2)*(D458-IF('Control Room'!$B$5="Normal",'Control Room'!$B$7,('Control Room'!$B$8+'Control Room'!$D$8)/2))</x:f>
        <x:v>948.545807013814</x:v>
      </x:c>
      <x:c r="F458" s="17" t="n">
        <x:f>IF(AND($A458&gt;='Control Room'!$A$13,$A458&lt;'Control Room'!$A$13+'Control Room'!$B$13,'Process'!BK2=1),1+('Control Room'!$C$13-1)*EXP(-0.5*(($A458-'Control Room'!$A$13-('Control Room'!$B$13-1)/2)/MAX(0.5,'Control Room'!$B$13/4))^2),1)*IF(AND($A458&gt;='Control Room'!$A$14,$A458&lt;'Control Room'!$A$14+'Control Room'!$B$14,'Process'!BK3=1),1+('Control Room'!$C$14-1)*EXP(-0.5*(($A458-'Control Room'!$A$14-('Control Room'!$B$14-1)/2)/MAX(0.5,'Control Room'!$B$14/4))^2),1)*IF(AND($A458&gt;='Control Room'!$A$15,$A458&lt;'Control Room'!$A$15+'Control Room'!$B$15,'Process'!BK4=1),1+('Control Room'!$C$15-1)*EXP(-0.5*(($A458-'Control Room'!$A$15-('Control Room'!$B$15-1)/2)/MAX(0.5,'Control Room'!$B$15/4))^2),1)*IF(AND($A458&gt;='Control Room'!$A$16,$A458&lt;'Control Room'!$A$16+'Control Room'!$B$16,'Process'!BK5=1),1+('Control Room'!$C$16-1)*EXP(-0.5*(($A458-'Control Room'!$A$16-('Control Room'!$B$16-1)/2)/MAX(0.5,'Control Room'!$B$16/4))^2),1)</x:f>
        <x:v>1</x:v>
      </x:c>
      <x:c r="G458" s="9" t="n">
        <x:f>MOD(H457*16807,2147483647)</x:f>
        <x:v>1198556207</x:v>
      </x:c>
      <x:c r="H458" s="9" t="n">
        <x:f>MOD(G458*16807,2147483647)</x:f>
        <x:v>737562189</x:v>
      </x:c>
      <x:c r="I458" s="17" t="n">
        <x:f>IF('Control Room'!$B$5="Normal",'Control Room'!$B$7+'Control Room'!$D$7*SQRT(-2*LN(MAX(0.000000000001,G458/2147483647)))*COS(2*PI()*H458/2147483647),'Control Room'!$B$8+('Control Room'!$D$8-'Control Room'!$B$8)*G458/2147483647)</x:f>
        <x:v>946.1498602491225</x:v>
      </x:c>
      <x:c r="J458" s="17" t="n">
        <x:f>IF('Control Room'!$B$5="Normal",'Control Room'!$B$7,('Control Room'!$B$8+'Control Room'!$D$8)/2)+'Control Room'!$B$9*(J457-IF('Control Room'!$B$5="Normal",'Control Room'!$B$7,('Control Room'!$B$8+'Control Room'!$D$8)/2))+SQRT(1-'Control Room'!$B$9^2)*(I458-IF('Control Room'!$B$5="Normal",'Control Room'!$B$7,('Control Room'!$B$8+'Control Room'!$D$8)/2))</x:f>
        <x:v>940.8759153802906</x:v>
      </x:c>
      <x:c r="K458" s="17" t="n">
        <x:f>IF(AND($A458&gt;='Control Room'!$A$13,$A458&lt;'Control Room'!$A$13+'Control Room'!$B$13,'Process'!BL2=1),1+('Control Room'!$C$13-1)*EXP(-0.5*(($A458-'Control Room'!$A$13-('Control Room'!$B$13-1)/2)/MAX(0.5,'Control Room'!$B$13/4))^2),1)*IF(AND($A458&gt;='Control Room'!$A$14,$A458&lt;'Control Room'!$A$14+'Control Room'!$B$14,'Process'!BL3=1),1+('Control Room'!$C$14-1)*EXP(-0.5*(($A458-'Control Room'!$A$14-('Control Room'!$B$14-1)/2)/MAX(0.5,'Control Room'!$B$14/4))^2),1)*IF(AND($A458&gt;='Control Room'!$A$15,$A458&lt;'Control Room'!$A$15+'Control Room'!$B$15,'Process'!BL4=1),1+('Control Room'!$C$15-1)*EXP(-0.5*(($A458-'Control Room'!$A$15-('Control Room'!$B$15-1)/2)/MAX(0.5,'Control Room'!$B$15/4))^2),1)*IF(AND($A458&gt;='Control Room'!$A$16,$A458&lt;'Control Room'!$A$16+'Control Room'!$B$16,'Process'!BL5=1),1+('Control Room'!$C$16-1)*EXP(-0.5*(($A458-'Control Room'!$A$16-('Control Room'!$B$16-1)/2)/MAX(0.5,'Control Room'!$B$16/4))^2),1)</x:f>
        <x:v>1</x:v>
      </x:c>
      <x:c r="L458" s="9" t="n">
        <x:f>MOD(M457*16807,2147483647)</x:f>
        <x:v>678880314</x:v>
      </x:c>
      <x:c r="M458" s="9" t="n">
        <x:f>MOD(L458*16807,2147483647)</x:f>
        <x:v>360820887</x:v>
      </x:c>
      <x:c r="N458" s="17" t="n">
        <x:f>IF('Control Room'!$B$5="Normal",'Control Room'!$B$7+'Control Room'!$D$7*SQRT(-2*LN(MAX(0.000000000001,L458/2147483647)))*COS(2*PI()*M458/2147483647),'Control Room'!$B$8+('Control Room'!$D$8-'Control Room'!$B$8)*L458/2147483647)</x:f>
        <x:v>1067.2850253835438</x:v>
      </x:c>
      <x:c r="O458" s="17" t="n">
        <x:f>IF('Control Room'!$B$5="Normal",'Control Room'!$B$7,('Control Room'!$B$8+'Control Room'!$D$8)/2)+'Control Room'!$B$9*(O457-IF('Control Room'!$B$5="Normal",'Control Room'!$B$7,('Control Room'!$B$8+'Control Room'!$D$8)/2))+SQRT(1-'Control Room'!$B$9^2)*(N458-IF('Control Room'!$B$5="Normal",'Control Room'!$B$7,('Control Room'!$B$8+'Control Room'!$D$8)/2))</x:f>
        <x:v>1015.7986423302906</x:v>
      </x:c>
      <x:c r="P458" s="17" t="n">
        <x:f>IF(AND($A458&gt;='Control Room'!$A$13,$A458&lt;'Control Room'!$A$13+'Control Room'!$B$13,'Process'!BM2=1),1+('Control Room'!$C$13-1)*EXP(-0.5*(($A458-'Control Room'!$A$13-('Control Room'!$B$13-1)/2)/MAX(0.5,'Control Room'!$B$13/4))^2),1)*IF(AND($A458&gt;='Control Room'!$A$14,$A458&lt;'Control Room'!$A$14+'Control Room'!$B$14,'Process'!BM3=1),1+('Control Room'!$C$14-1)*EXP(-0.5*(($A458-'Control Room'!$A$14-('Control Room'!$B$14-1)/2)/MAX(0.5,'Control Room'!$B$14/4))^2),1)*IF(AND($A458&gt;='Control Room'!$A$15,$A458&lt;'Control Room'!$A$15+'Control Room'!$B$15,'Process'!BM4=1),1+('Control Room'!$C$15-1)*EXP(-0.5*(($A458-'Control Room'!$A$15-('Control Room'!$B$15-1)/2)/MAX(0.5,'Control Room'!$B$15/4))^2),1)*IF(AND($A458&gt;='Control Room'!$A$16,$A458&lt;'Control Room'!$A$16+'Control Room'!$B$16,'Process'!BM5=1),1+('Control Room'!$C$16-1)*EXP(-0.5*(($A458-'Control Room'!$A$16-('Control Room'!$B$16-1)/2)/MAX(0.5,'Control Room'!$B$16/4))^2),1)</x:f>
        <x:v>1</x:v>
      </x:c>
      <x:c r="Q458" s="9" t="n">
        <x:f>MOD(R457*16807,2147483647)</x:f>
        <x:v>159204421</x:v>
      </x:c>
      <x:c r="R458" s="9" t="n">
        <x:f>MOD(Q458*16807,2147483647)</x:f>
        <x:v>2131563232</x:v>
      </x:c>
      <x:c r="S458" s="17" t="n">
        <x:f>IF('Control Room'!$B$5="Normal",'Control Room'!$B$7+'Control Room'!$D$7*SQRT(-2*LN(MAX(0.000000000001,Q458/2147483647)))*COS(2*PI()*R458/2147483647),'Control Room'!$B$8+('Control Room'!$D$8-'Control Room'!$B$8)*Q458/2147483647)</x:f>
        <x:v>1205.0824017259963</x:v>
      </x:c>
      <x:c r="T458" s="17" t="n">
        <x:f>IF('Control Room'!$B$5="Normal",'Control Room'!$B$7,('Control Room'!$B$8+'Control Room'!$D$8)/2)+'Control Room'!$B$9*(T457-IF('Control Room'!$B$5="Normal",'Control Room'!$B$7,('Control Room'!$B$8+'Control Room'!$D$8)/2))+SQRT(1-'Control Room'!$B$9^2)*(S458-IF('Control Room'!$B$5="Normal",'Control Room'!$B$7,('Control Room'!$B$8+'Control Room'!$D$8)/2))</x:f>
        <x:v>1168.5564742277675</x:v>
      </x:c>
      <x:c r="U458" s="17" t="n">
        <x:f>IF(AND($A458&gt;='Control Room'!$A$13,$A458&lt;'Control Room'!$A$13+'Control Room'!$B$13,'Process'!BN2=1),1+('Control Room'!$C$13-1)*EXP(-0.5*(($A458-'Control Room'!$A$13-('Control Room'!$B$13-1)/2)/MAX(0.5,'Control Room'!$B$13/4))^2),1)*IF(AND($A458&gt;='Control Room'!$A$14,$A458&lt;'Control Room'!$A$14+'Control Room'!$B$14,'Process'!BN3=1),1+('Control Room'!$C$14-1)*EXP(-0.5*(($A458-'Control Room'!$A$14-('Control Room'!$B$14-1)/2)/MAX(0.5,'Control Room'!$B$14/4))^2),1)*IF(AND($A458&gt;='Control Room'!$A$15,$A458&lt;'Control Room'!$A$15+'Control Room'!$B$15,'Process'!BN4=1),1+('Control Room'!$C$15-1)*EXP(-0.5*(($A458-'Control Room'!$A$15-('Control Room'!$B$15-1)/2)/MAX(0.5,'Control Room'!$B$15/4))^2),1)*IF(AND($A458&gt;='Control Room'!$A$16,$A458&lt;'Control Room'!$A$16+'Control Room'!$B$16,'Process'!BN5=1),1+('Control Room'!$C$16-1)*EXP(-0.5*(($A458-'Control Room'!$A$16-('Control Room'!$B$16-1)/2)/MAX(0.5,'Control Room'!$B$16/4))^2),1)</x:f>
        <x:v>1</x:v>
      </x:c>
      <x:c r="V458" s="9" t="n">
        <x:f>MOD(W457*16807,2147483647)</x:f>
        <x:v>1787012175</x:v>
      </x:c>
      <x:c r="W458" s="9" t="n">
        <x:f>MOD(V458*16807,2147483647)</x:f>
        <x:v>1754821930</x:v>
      </x:c>
      <x:c r="X458" s="17" t="n">
        <x:f>IF('Control Room'!$B$5="Normal",'Control Room'!$B$7+'Control Room'!$D$7*SQRT(-2*LN(MAX(0.000000000001,V458/2147483647)))*COS(2*PI()*W458/2147483647),'Control Room'!$B$8+('Control Room'!$D$8-'Control Room'!$B$8)*V458/2147483647)</x:f>
        <x:v>1022.3435814704548</x:v>
      </x:c>
      <x:c r="Y458" s="17" t="n">
        <x:f>IF('Control Room'!$B$5="Normal",'Control Room'!$B$7,('Control Room'!$B$8+'Control Room'!$D$8)/2)+'Control Room'!$B$9*(Y457-IF('Control Room'!$B$5="Normal",'Control Room'!$B$7,('Control Room'!$B$8+'Control Room'!$D$8)/2))+SQRT(1-'Control Room'!$B$9^2)*(X458-IF('Control Room'!$B$5="Normal",'Control Room'!$B$7,('Control Room'!$B$8+'Control Room'!$D$8)/2))</x:f>
        <x:v>1081.9793951798695</x:v>
      </x:c>
      <x:c r="Z458" s="17" t="n">
        <x:f>IF(AND($A458&gt;='Control Room'!$A$13,$A458&lt;'Control Room'!$A$13+'Control Room'!$B$13,'Process'!BO2=1),1+('Control Room'!$C$13-1)*EXP(-0.5*(($A458-'Control Room'!$A$13-('Control Room'!$B$13-1)/2)/MAX(0.5,'Control Room'!$B$13/4))^2),1)*IF(AND($A458&gt;='Control Room'!$A$14,$A458&lt;'Control Room'!$A$14+'Control Room'!$B$14,'Process'!BO3=1),1+('Control Room'!$C$14-1)*EXP(-0.5*(($A458-'Control Room'!$A$14-('Control Room'!$B$14-1)/2)/MAX(0.5,'Control Room'!$B$14/4))^2),1)*IF(AND($A458&gt;='Control Room'!$A$15,$A458&lt;'Control Room'!$A$15+'Control Room'!$B$15,'Process'!BO4=1),1+('Control Room'!$C$15-1)*EXP(-0.5*(($A458-'Control Room'!$A$15-('Control Room'!$B$15-1)/2)/MAX(0.5,'Control Room'!$B$15/4))^2),1)*IF(AND($A458&gt;='Control Room'!$A$16,$A458&lt;'Control Room'!$A$16+'Control Room'!$B$16,'Process'!BO5=1),1+('Control Room'!$C$16-1)*EXP(-0.5*(($A458-'Control Room'!$A$16-('Control Room'!$B$16-1)/2)/MAX(0.5,'Control Room'!$B$16/4))^2),1)</x:f>
        <x:v>1</x:v>
      </x:c>
      <x:c r="AA458" s="9" t="n">
        <x:f>MOD(AB457*16807,2147483647)</x:f>
        <x:v>1267336282</x:v>
      </x:c>
      <x:c r="AB458" s="9" t="n">
        <x:f>MOD(AA458*16807,2147483647)</x:f>
        <x:v>1378080628</x:v>
      </x:c>
      <x:c r="AC458" s="17" t="n">
        <x:f>IF('Control Room'!$B$5="Normal",'Control Room'!$B$7+'Control Room'!$D$7*SQRT(-2*LN(MAX(0.000000000001,AA458/2147483647)))*COS(2*PI()*AB458/2147483647),'Control Room'!$B$8+('Control Room'!$D$8-'Control Room'!$B$8)*AA458/2147483647)</x:f>
        <x:v>941.854622887207</x:v>
      </x:c>
      <x:c r="AD458" s="17" t="n">
        <x:f>IF('Control Room'!$B$5="Normal",'Control Room'!$B$7,('Control Room'!$B$8+'Control Room'!$D$8)/2)+'Control Room'!$B$9*(AD457-IF('Control Room'!$B$5="Normal",'Control Room'!$B$7,('Control Room'!$B$8+'Control Room'!$D$8)/2))+SQRT(1-'Control Room'!$B$9^2)*(AC458-IF('Control Room'!$B$5="Normal",'Control Room'!$B$7,('Control Room'!$B$8+'Control Room'!$D$8)/2))</x:f>
        <x:v>1071.0052306416485</x:v>
      </x:c>
      <x:c r="AE458" s="17" t="n">
        <x:f>IF(AND($A458&gt;='Control Room'!$A$13,$A458&lt;'Control Room'!$A$13+'Control Room'!$B$13,'Process'!BP2=1),1+('Control Room'!$C$13-1)*EXP(-0.5*(($A458-'Control Room'!$A$13-('Control Room'!$B$13-1)/2)/MAX(0.5,'Control Room'!$B$13/4))^2),1)*IF(AND($A458&gt;='Control Room'!$A$14,$A458&lt;'Control Room'!$A$14+'Control Room'!$B$14,'Process'!BP3=1),1+('Control Room'!$C$14-1)*EXP(-0.5*(($A458-'Control Room'!$A$14-('Control Room'!$B$14-1)/2)/MAX(0.5,'Control Room'!$B$14/4))^2),1)*IF(AND($A458&gt;='Control Room'!$A$15,$A458&lt;'Control Room'!$A$15+'Control Room'!$B$15,'Process'!BP4=1),1+('Control Room'!$C$15-1)*EXP(-0.5*(($A458-'Control Room'!$A$15-('Control Room'!$B$15-1)/2)/MAX(0.5,'Control Room'!$B$15/4))^2),1)*IF(AND($A458&gt;='Control Room'!$A$16,$A458&lt;'Control Room'!$A$16+'Control Room'!$B$16,'Process'!BP5=1),1+('Control Room'!$C$16-1)*EXP(-0.5*(($A458-'Control Room'!$A$16-('Control Room'!$B$16-1)/2)/MAX(0.5,'Control Room'!$B$16/4))^2),1)</x:f>
        <x:v>1</x:v>
      </x:c>
      <x:c r="AF458" s="9" t="n">
        <x:f>MOD(AG457*16807,2147483647)</x:f>
        <x:v>747660389</x:v>
      </x:c>
      <x:c r="AG458" s="9" t="n">
        <x:f>MOD(AF458*16807,2147483647)</x:f>
        <x:v>1001339326</x:v>
      </x:c>
      <x:c r="AH458" s="17" t="n">
        <x:f>IF('Control Room'!$B$5="Normal",'Control Room'!$B$7+'Control Room'!$D$7*SQRT(-2*LN(MAX(0.000000000001,AF458/2147483647)))*COS(2*PI()*AG458/2147483647),'Control Room'!$B$8+('Control Room'!$D$8-'Control Room'!$B$8)*AF458/2147483647)</x:f>
        <x:v>872.18357453043</x:v>
      </x:c>
      <x:c r="AI458" s="17" t="n">
        <x:f>IF('Control Room'!$B$5="Normal",'Control Room'!$B$7,('Control Room'!$B$8+'Control Room'!$D$8)/2)+'Control Room'!$B$9*(AI457-IF('Control Room'!$B$5="Normal",'Control Room'!$B$7,('Control Room'!$B$8+'Control Room'!$D$8)/2))+SQRT(1-'Control Room'!$B$9^2)*(AH458-IF('Control Room'!$B$5="Normal",'Control Room'!$B$7,('Control Room'!$B$8+'Control Room'!$D$8)/2))</x:f>
        <x:v>959.7382909771435</x:v>
      </x:c>
      <x:c r="AJ458" s="17" t="n">
        <x:f>IF(AND($A458&gt;='Control Room'!$A$13,$A458&lt;'Control Room'!$A$13+'Control Room'!$B$13,'Process'!BQ2=1),1+('Control Room'!$C$13-1)*EXP(-0.5*(($A458-'Control Room'!$A$13-('Control Room'!$B$13-1)/2)/MAX(0.5,'Control Room'!$B$13/4))^2),1)*IF(AND($A458&gt;='Control Room'!$A$14,$A458&lt;'Control Room'!$A$14+'Control Room'!$B$14,'Process'!BQ3=1),1+('Control Room'!$C$14-1)*EXP(-0.5*(($A458-'Control Room'!$A$14-('Control Room'!$B$14-1)/2)/MAX(0.5,'Control Room'!$B$14/4))^2),1)*IF(AND($A458&gt;='Control Room'!$A$15,$A458&lt;'Control Room'!$A$15+'Control Room'!$B$15,'Process'!BQ4=1),1+('Control Room'!$C$15-1)*EXP(-0.5*(($A458-'Control Room'!$A$15-('Control Room'!$B$15-1)/2)/MAX(0.5,'Control Room'!$B$15/4))^2),1)*IF(AND($A458&gt;='Control Room'!$A$16,$A458&lt;'Control Room'!$A$16+'Control Room'!$B$16,'Process'!BQ5=1),1+('Control Room'!$C$16-1)*EXP(-0.5*(($A458-'Control Room'!$A$16-('Control Room'!$B$16-1)/2)/MAX(0.5,'Control Room'!$B$16/4))^2),1)</x:f>
        <x:v>1</x:v>
      </x:c>
      <x:c r="AK458" s="9" t="n">
        <x:f>MOD(AL457*16807,2147483647)</x:f>
        <x:v>227984496</x:v>
      </x:c>
      <x:c r="AL458" s="9" t="n">
        <x:f>MOD(AK458*16807,2147483647)</x:f>
        <x:v>624598024</x:v>
      </x:c>
      <x:c r="AM458" s="17" t="n">
        <x:f>IF('Control Room'!$B$5="Normal",'Control Room'!$B$7+'Control Room'!$D$7*SQRT(-2*LN(MAX(0.000000000001,AK458/2147483647)))*COS(2*PI()*AL458/2147483647),'Control Room'!$B$8+('Control Room'!$D$8-'Control Room'!$B$8)*AK458/2147483647)</x:f>
        <x:v>951.6100786980171</x:v>
      </x:c>
      <x:c r="AN458" s="17" t="n">
        <x:f>IF('Control Room'!$B$5="Normal",'Control Room'!$B$7,('Control Room'!$B$8+'Control Room'!$D$8)/2)+'Control Room'!$B$9*(AN457-IF('Control Room'!$B$5="Normal",'Control Room'!$B$7,('Control Room'!$B$8+'Control Room'!$D$8)/2))+SQRT(1-'Control Room'!$B$9^2)*(AM458-IF('Control Room'!$B$5="Normal",'Control Room'!$B$7,('Control Room'!$B$8+'Control Room'!$D$8)/2))</x:f>
        <x:v>1092.9717106609894</x:v>
      </x:c>
      <x:c r="AO458" s="17" t="n">
        <x:f>IF(AND($A458&gt;='Control Room'!$A$13,$A458&lt;'Control Room'!$A$13+'Control Room'!$B$13,'Process'!BR2=1),1+('Control Room'!$C$13-1)*EXP(-0.5*(($A458-'Control Room'!$A$13-('Control Room'!$B$13-1)/2)/MAX(0.5,'Control Room'!$B$13/4))^2),1)*IF(AND($A458&gt;='Control Room'!$A$14,$A458&lt;'Control Room'!$A$14+'Control Room'!$B$14,'Process'!BR3=1),1+('Control Room'!$C$14-1)*EXP(-0.5*(($A458-'Control Room'!$A$14-('Control Room'!$B$14-1)/2)/MAX(0.5,'Control Room'!$B$14/4))^2),1)*IF(AND($A458&gt;='Control Room'!$A$15,$A458&lt;'Control Room'!$A$15+'Control Room'!$B$15,'Process'!BR4=1),1+('Control Room'!$C$15-1)*EXP(-0.5*(($A458-'Control Room'!$A$15-('Control Room'!$B$15-1)/2)/MAX(0.5,'Control Room'!$B$15/4))^2),1)*IF(AND($A458&gt;='Control Room'!$A$16,$A458&lt;'Control Room'!$A$16+'Control Room'!$B$16,'Process'!BR5=1),1+('Control Room'!$C$16-1)*EXP(-0.5*(($A458-'Control Room'!$A$16-('Control Room'!$B$16-1)/2)/MAX(0.5,'Control Room'!$B$16/4))^2),1)</x:f>
        <x:v>1</x:v>
      </x:c>
      <x:c r="AP458" s="9" t="n">
        <x:f>MOD(AQ457*16807,2147483647)</x:f>
        <x:v>1855792250</x:v>
      </x:c>
      <x:c r="AQ458" s="9" t="n">
        <x:f>MOD(AP458*16807,2147483647)</x:f>
        <x:v>247856722</x:v>
      </x:c>
      <x:c r="AR458" s="17" t="n">
        <x:f>IF('Control Room'!$B$5="Normal",'Control Room'!$B$7+'Control Room'!$D$7*SQRT(-2*LN(MAX(0.000000000001,AP458/2147483647)))*COS(2*PI()*AQ458/2147483647),'Control Room'!$B$8+('Control Room'!$D$8-'Control Room'!$B$8)*AP458/2147483647)</x:f>
        <x:v>1036.3940829914675</x:v>
      </x:c>
      <x:c r="AS458" s="17" t="n">
        <x:f>IF('Control Room'!$B$5="Normal",'Control Room'!$B$7,('Control Room'!$B$8+'Control Room'!$D$8)/2)+'Control Room'!$B$9*(AS457-IF('Control Room'!$B$5="Normal",'Control Room'!$B$7,('Control Room'!$B$8+'Control Room'!$D$8)/2))+SQRT(1-'Control Room'!$B$9^2)*(AR458-IF('Control Room'!$B$5="Normal",'Control Room'!$B$7,('Control Room'!$B$8+'Control Room'!$D$8)/2))</x:f>
        <x:v>1065.3949649375427</x:v>
      </x:c>
      <x:c r="AT458" s="17" t="n">
        <x:f>IF(AND($A458&gt;='Control Room'!$A$13,$A458&lt;'Control Room'!$A$13+'Control Room'!$B$13,'Process'!BS2=1),1+('Control Room'!$C$13-1)*EXP(-0.5*(($A458-'Control Room'!$A$13-('Control Room'!$B$13-1)/2)/MAX(0.5,'Control Room'!$B$13/4))^2),1)*IF(AND($A458&gt;='Control Room'!$A$14,$A458&lt;'Control Room'!$A$14+'Control Room'!$B$14,'Process'!BS3=1),1+('Control Room'!$C$14-1)*EXP(-0.5*(($A458-'Control Room'!$A$14-('Control Room'!$B$14-1)/2)/MAX(0.5,'Control Room'!$B$14/4))^2),1)*IF(AND($A458&gt;='Control Room'!$A$15,$A458&lt;'Control Room'!$A$15+'Control Room'!$B$15,'Process'!BS4=1),1+('Control Room'!$C$15-1)*EXP(-0.5*(($A458-'Control Room'!$A$15-('Control Room'!$B$15-1)/2)/MAX(0.5,'Control Room'!$B$15/4))^2),1)*IF(AND($A458&gt;='Control Room'!$A$16,$A458&lt;'Control Room'!$A$16+'Control Room'!$B$16,'Process'!BS5=1),1+('Control Room'!$C$16-1)*EXP(-0.5*(($A458-'Control Room'!$A$16-('Control Room'!$B$16-1)/2)/MAX(0.5,'Control Room'!$B$16/4))^2),1)</x:f>
        <x:v>1</x:v>
      </x:c>
      <x:c r="AU458" s="9" t="n">
        <x:f>MOD(AV457*16807,2147483647)</x:f>
        <x:v>1336116357</x:v>
      </x:c>
      <x:c r="AV458" s="9" t="n">
        <x:f>MOD(AU458*16807,2147483647)</x:f>
        <x:v>2018599067</x:v>
      </x:c>
      <x:c r="AW458" s="17" t="n">
        <x:f>IF('Control Room'!$B$5="Normal",'Control Room'!$B$7+'Control Room'!$D$7*SQRT(-2*LN(MAX(0.000000000001,AU458/2147483647)))*COS(2*PI()*AV458/2147483647),'Control Room'!$B$8+('Control Room'!$D$8-'Control Room'!$B$8)*AU458/2147483647)</x:f>
        <x:v>1081.5173070511867</x:v>
      </x:c>
      <x:c r="AX458" s="17" t="n">
        <x:f>IF('Control Room'!$B$5="Normal",'Control Room'!$B$7,('Control Room'!$B$8+'Control Room'!$D$8)/2)+'Control Room'!$B$9*(AX457-IF('Control Room'!$B$5="Normal",'Control Room'!$B$7,('Control Room'!$B$8+'Control Room'!$D$8)/2))+SQRT(1-'Control Room'!$B$9^2)*(AW458-IF('Control Room'!$B$5="Normal",'Control Room'!$B$7,('Control Room'!$B$8+'Control Room'!$D$8)/2))</x:f>
        <x:v>1182.7626855947112</x:v>
      </x:c>
      <x:c r="AY458" s="17" t="n">
        <x:f>IF(AND($A458&gt;='Control Room'!$A$13,$A458&lt;'Control Room'!$A$13+'Control Room'!$B$13,'Process'!BT2=1),1+('Control Room'!$C$13-1)*EXP(-0.5*(($A458-'Control Room'!$A$13-('Control Room'!$B$13-1)/2)/MAX(0.5,'Control Room'!$B$13/4))^2),1)*IF(AND($A458&gt;='Control Room'!$A$14,$A458&lt;'Control Room'!$A$14+'Control Room'!$B$14,'Process'!BT3=1),1+('Control Room'!$C$14-1)*EXP(-0.5*(($A458-'Control Room'!$A$14-('Control Room'!$B$14-1)/2)/MAX(0.5,'Control Room'!$B$14/4))^2),1)*IF(AND($A458&gt;='Control Room'!$A$15,$A458&lt;'Control Room'!$A$15+'Control Room'!$B$15,'Process'!BT4=1),1+('Control Room'!$C$15-1)*EXP(-0.5*(($A458-'Control Room'!$A$15-('Control Room'!$B$15-1)/2)/MAX(0.5,'Control Room'!$B$15/4))^2),1)*IF(AND($A458&gt;='Control Room'!$A$16,$A458&lt;'Control Room'!$A$16+'Control Room'!$B$16,'Process'!BT5=1),1+('Control Room'!$C$16-1)*EXP(-0.5*(($A458-'Control Room'!$A$16-('Control Room'!$B$16-1)/2)/MAX(0.5,'Control Room'!$B$16/4))^2),1)</x:f>
        <x:v>1</x:v>
      </x:c>
      <x:c r="AZ458" s="9" t="n">
        <x:f>MOD(BA457*16807,2147483647)</x:f>
        <x:v>816440464</x:v>
      </x:c>
      <x:c r="BA458" s="9" t="n">
        <x:f>MOD(AZ458*16807,2147483647)</x:f>
        <x:v>1641857765</x:v>
      </x:c>
      <x:c r="BB458" s="17" t="n">
        <x:f>IF('Control Room'!$B$5="Normal",'Control Room'!$B$7+'Control Room'!$D$7*SQRT(-2*LN(MAX(0.000000000001,AZ458/2147483647)))*COS(2*PI()*BA458/2147483647),'Control Room'!$B$8+('Control Room'!$D$8-'Control Room'!$B$8)*AZ458/2147483647)</x:f>
        <x:v>1011.4266420013257</x:v>
      </x:c>
      <x:c r="BC458" s="17" t="n">
        <x:f>IF('Control Room'!$B$5="Normal",'Control Room'!$B$7,('Control Room'!$B$8+'Control Room'!$D$8)/2)+'Control Room'!$B$9*(BC457-IF('Control Room'!$B$5="Normal",'Control Room'!$B$7,('Control Room'!$B$8+'Control Room'!$D$8)/2))+SQRT(1-'Control Room'!$B$9^2)*(BB458-IF('Control Room'!$B$5="Normal",'Control Room'!$B$7,('Control Room'!$B$8+'Control Room'!$D$8)/2))</x:f>
        <x:v>1055.7083111687314</x:v>
      </x:c>
      <x:c r="BD458" s="17" t="n">
        <x:f>IF(AND($A458&gt;='Control Room'!$A$13,$A458&lt;'Control Room'!$A$13+'Control Room'!$B$13,'Process'!BU2=1),1+('Control Room'!$C$13-1)*EXP(-0.5*(($A458-'Control Room'!$A$13-('Control Room'!$B$13-1)/2)/MAX(0.5,'Control Room'!$B$13/4))^2),1)*IF(AND($A458&gt;='Control Room'!$A$14,$A458&lt;'Control Room'!$A$14+'Control Room'!$B$14,'Process'!BU3=1),1+('Control Room'!$C$14-1)*EXP(-0.5*(($A458-'Control Room'!$A$14-('Control Room'!$B$14-1)/2)/MAX(0.5,'Control Room'!$B$14/4))^2),1)*IF(AND($A458&gt;='Control Room'!$A$15,$A458&lt;'Control Room'!$A$15+'Control Room'!$B$15,'Process'!BU4=1),1+('Control Room'!$C$15-1)*EXP(-0.5*(($A458-'Control Room'!$A$15-('Control Room'!$B$15-1)/2)/MAX(0.5,'Control Room'!$B$15/4))^2),1)*IF(AND($A458&gt;='Control Room'!$A$16,$A458&lt;'Control Room'!$A$16+'Control Room'!$B$16,'Process'!BU5=1),1+('Control Room'!$C$16-1)*EXP(-0.5*(($A458-'Control Room'!$A$16-('Control Room'!$B$16-1)/2)/MAX(0.5,'Control Room'!$B$16/4))^2),1)</x:f>
        <x:v>1</x:v>
      </x:c>
      <x:c r="BE458" s="9" t="n">
        <x:f>MOD(BF457*16807,2147483647)</x:f>
        <x:v>296764571</x:v>
      </x:c>
      <x:c r="BF458" s="9" t="n">
        <x:f>MOD(BE458*16807,2147483647)</x:f>
        <x:v>1265116463</x:v>
      </x:c>
      <x:c r="BG458" s="17" t="n">
        <x:f>IF('Control Room'!$B$5="Normal",'Control Room'!$B$7+'Control Room'!$D$7*SQRT(-2*LN(MAX(0.000000000001,BE458/2147483647)))*COS(2*PI()*BF458/2147483647),'Control Room'!$B$8+('Control Room'!$D$8-'Control Room'!$B$8)*BE458/2147483647)</x:f>
        <x:v>848.285943934733</x:v>
      </x:c>
      <x:c r="BH458" s="17" t="n">
        <x:f>IF('Control Room'!$B$5="Normal",'Control Room'!$B$7,('Control Room'!$B$8+'Control Room'!$D$8)/2)+'Control Room'!$B$9*(BH457-IF('Control Room'!$B$5="Normal",'Control Room'!$B$7,('Control Room'!$B$8+'Control Room'!$D$8)/2))+SQRT(1-'Control Room'!$B$9^2)*(BG458-IF('Control Room'!$B$5="Normal",'Control Room'!$B$7,('Control Room'!$B$8+'Control Room'!$D$8)/2))</x:f>
        <x:v>811.0704005198153</x:v>
      </x:c>
      <x:c r="BI458" s="17" t="n">
        <x:f>IF(AND($A458&gt;='Control Room'!$A$13,$A458&lt;'Control Room'!$A$13+'Control Room'!$B$13,'Process'!BV2=1),1+('Control Room'!$C$13-1)*EXP(-0.5*(($A458-'Control Room'!$A$13-('Control Room'!$B$13-1)/2)/MAX(0.5,'Control Room'!$B$13/4))^2),1)*IF(AND($A458&gt;='Control Room'!$A$14,$A458&lt;'Control Room'!$A$14+'Control Room'!$B$14,'Process'!BV3=1),1+('Control Room'!$C$14-1)*EXP(-0.5*(($A458-'Control Room'!$A$14-('Control Room'!$B$14-1)/2)/MAX(0.5,'Control Room'!$B$14/4))^2),1)*IF(AND($A458&gt;='Control Room'!$A$15,$A458&lt;'Control Room'!$A$15+'Control Room'!$B$15,'Process'!BV4=1),1+('Control Room'!$C$15-1)*EXP(-0.5*(($A458-'Control Room'!$A$15-('Control Room'!$B$15-1)/2)/MAX(0.5,'Control Room'!$B$15/4))^2),1)*IF(AND($A458&gt;='Control Room'!$A$16,$A458&lt;'Control Room'!$A$16+'Control Room'!$B$16,'Process'!BV5=1),1+('Control Room'!$C$16-1)*EXP(-0.5*(($A458-'Control Room'!$A$16-('Control Room'!$B$16-1)/2)/MAX(0.5,'Control Room'!$B$16/4))^2),1)</x:f>
        <x:v>1</x:v>
      </x:c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Z458" t="str">
        <x:f>IF('Data'!A458="","",TEXT('Data'!A458,"mm-dd"))</x:f>
      </x:c>
    </x:row>
    <x:row r="459" ht="21" customHeight="1">
      <x:c r="A459" s="15" t="n">
        <x:f>'Control Room'!$B$1+457</x:f>
        <x:v>73448</x:v>
      </x:c>
      <x:c r="B459" s="9" t="n">
        <x:f>MOD(C458*16807,2147483647)</x:f>
        <x:v>2041371397</x:v>
      </x:c>
      <x:c r="C459" s="9" t="n">
        <x:f>MOD(B459*16807,2147483647)</x:f>
        <x:v>1130324907</x:v>
      </x:c>
      <x:c r="D459" s="17" t="n">
        <x:f>IF('Control Room'!$B$5="Normal",'Control Room'!$B$7+'Control Room'!$D$7*SQRT(-2*LN(MAX(0.000000000001,B459/2147483647)))*COS(2*PI()*C459/2147483647),'Control Room'!$B$8+('Control Room'!$D$8-'Control Room'!$B$8)*B459/2147483647)</x:f>
        <x:v>971.7398045759871</x:v>
      </x:c>
      <x:c r="E459" s="17" t="n">
        <x:f>IF('Control Room'!$B$5="Normal",'Control Room'!$B$7,('Control Room'!$B$8+'Control Room'!$D$8)/2)+'Control Room'!$B$9*(E458-IF('Control Room'!$B$5="Normal",'Control Room'!$B$7,('Control Room'!$B$8+'Control Room'!$D$8)/2))+SQRT(1-'Control Room'!$B$9^2)*(D459-IF('Control Room'!$B$5="Normal",'Control Room'!$B$7,('Control Room'!$B$8+'Control Room'!$D$8)/2))</x:f>
        <x:v>942.1810781159992</x:v>
      </x:c>
      <x:c r="F459" s="17" t="n">
        <x:f>IF(AND($A459&gt;='Control Room'!$A$13,$A459&lt;'Control Room'!$A$13+'Control Room'!$B$13,'Process'!BK2=1),1+('Control Room'!$C$13-1)*EXP(-0.5*(($A459-'Control Room'!$A$13-('Control Room'!$B$13-1)/2)/MAX(0.5,'Control Room'!$B$13/4))^2),1)*IF(AND($A459&gt;='Control Room'!$A$14,$A459&lt;'Control Room'!$A$14+'Control Room'!$B$14,'Process'!BK3=1),1+('Control Room'!$C$14-1)*EXP(-0.5*(($A459-'Control Room'!$A$14-('Control Room'!$B$14-1)/2)/MAX(0.5,'Control Room'!$B$14/4))^2),1)*IF(AND($A459&gt;='Control Room'!$A$15,$A459&lt;'Control Room'!$A$15+'Control Room'!$B$15,'Process'!BK4=1),1+('Control Room'!$C$15-1)*EXP(-0.5*(($A459-'Control Room'!$A$15-('Control Room'!$B$15-1)/2)/MAX(0.5,'Control Room'!$B$15/4))^2),1)*IF(AND($A459&gt;='Control Room'!$A$16,$A459&lt;'Control Room'!$A$16+'Control Room'!$B$16,'Process'!BK5=1),1+('Control Room'!$C$16-1)*EXP(-0.5*(($A459-'Control Room'!$A$16-('Control Room'!$B$16-1)/2)/MAX(0.5,'Control Room'!$B$16/4))^2),1)</x:f>
        <x:v>1</x:v>
      </x:c>
      <x:c r="G459" s="9" t="n">
        <x:f>MOD(H458*16807,2147483647)</x:f>
        <x:v>932100039</x:v>
      </x:c>
      <x:c r="H459" s="9" t="n">
        <x:f>MOD(G459*16807,2147483647)</x:f>
        <x:v>2059634255</x:v>
      </x:c>
      <x:c r="I459" s="17" t="n">
        <x:f>IF('Control Room'!$B$5="Normal",'Control Room'!$B$7+'Control Room'!$D$7*SQRT(-2*LN(MAX(0.000000000001,G459/2147483647)))*COS(2*PI()*H459/2147483647),'Control Room'!$B$8+('Control Room'!$D$8-'Control Room'!$B$8)*G459/2147483647)</x:f>
        <x:v>1112.458672850721</x:v>
      </x:c>
      <x:c r="J459" s="17" t="n">
        <x:f>IF('Control Room'!$B$5="Normal",'Control Room'!$B$7,('Control Room'!$B$8+'Control Room'!$D$8)/2)+'Control Room'!$B$9*(J458-IF('Control Room'!$B$5="Normal",'Control Room'!$B$7,('Control Room'!$B$8+'Control Room'!$D$8)/2))+SQRT(1-'Control Room'!$B$9^2)*(I459-IF('Control Room'!$B$5="Normal",'Control Room'!$B$7,('Control Room'!$B$8+'Control Room'!$D$8)/2))</x:f>
        <x:v>1024.2575476254697</x:v>
      </x:c>
      <x:c r="K459" s="17" t="n">
        <x:f>IF(AND($A459&gt;='Control Room'!$A$13,$A459&lt;'Control Room'!$A$13+'Control Room'!$B$13,'Process'!BL2=1),1+('Control Room'!$C$13-1)*EXP(-0.5*(($A459-'Control Room'!$A$13-('Control Room'!$B$13-1)/2)/MAX(0.5,'Control Room'!$B$13/4))^2),1)*IF(AND($A459&gt;='Control Room'!$A$14,$A459&lt;'Control Room'!$A$14+'Control Room'!$B$14,'Process'!BL3=1),1+('Control Room'!$C$14-1)*EXP(-0.5*(($A459-'Control Room'!$A$14-('Control Room'!$B$14-1)/2)/MAX(0.5,'Control Room'!$B$14/4))^2),1)*IF(AND($A459&gt;='Control Room'!$A$15,$A459&lt;'Control Room'!$A$15+'Control Room'!$B$15,'Process'!BL4=1),1+('Control Room'!$C$15-1)*EXP(-0.5*(($A459-'Control Room'!$A$15-('Control Room'!$B$15-1)/2)/MAX(0.5,'Control Room'!$B$15/4))^2),1)*IF(AND($A459&gt;='Control Room'!$A$16,$A459&lt;'Control Room'!$A$16+'Control Room'!$B$16,'Process'!BL5=1),1+('Control Room'!$C$16-1)*EXP(-0.5*(($A459-'Control Room'!$A$16-('Control Room'!$B$16-1)/2)/MAX(0.5,'Control Room'!$B$16/4))^2),1)</x:f>
        <x:v>1</x:v>
      </x:c>
      <x:c r="L459" s="9" t="n">
        <x:f>MOD(M458*16807,2147483647)</x:f>
        <x:v>1970312328</x:v>
      </x:c>
      <x:c r="M459" s="9" t="n">
        <x:f>MOD(L459*16807,2147483647)</x:f>
        <x:v>841459956</x:v>
      </x:c>
      <x:c r="N459" s="17" t="n">
        <x:f>IF('Control Room'!$B$5="Normal",'Control Room'!$B$7+'Control Room'!$D$7*SQRT(-2*LN(MAX(0.000000000001,L459/2147483647)))*COS(2*PI()*M459/2147483647),'Control Room'!$B$8+('Control Room'!$D$8-'Control Room'!$B$8)*L459/2147483647)</x:f>
        <x:v>970.9500236132719</x:v>
      </x:c>
      <x:c r="O459" s="17" t="n">
        <x:f>IF('Control Room'!$B$5="Normal",'Control Room'!$B$7,('Control Room'!$B$8+'Control Room'!$D$8)/2)+'Control Room'!$B$9*(O458-IF('Control Room'!$B$5="Normal",'Control Room'!$B$7,('Control Room'!$B$8+'Control Room'!$D$8)/2))+SQRT(1-'Control Room'!$B$9^2)*(N459-IF('Control Room'!$B$5="Normal",'Control Room'!$B$7,('Control Room'!$B$8+'Control Room'!$D$8)/2))</x:f>
        <x:v>994.1440609159263</x:v>
      </x:c>
      <x:c r="P459" s="17" t="n">
        <x:f>IF(AND($A459&gt;='Control Room'!$A$13,$A459&lt;'Control Room'!$A$13+'Control Room'!$B$13,'Process'!BM2=1),1+('Control Room'!$C$13-1)*EXP(-0.5*(($A459-'Control Room'!$A$13-('Control Room'!$B$13-1)/2)/MAX(0.5,'Control Room'!$B$13/4))^2),1)*IF(AND($A459&gt;='Control Room'!$A$14,$A459&lt;'Control Room'!$A$14+'Control Room'!$B$14,'Process'!BM3=1),1+('Control Room'!$C$14-1)*EXP(-0.5*(($A459-'Control Room'!$A$14-('Control Room'!$B$14-1)/2)/MAX(0.5,'Control Room'!$B$14/4))^2),1)*IF(AND($A459&gt;='Control Room'!$A$15,$A459&lt;'Control Room'!$A$15+'Control Room'!$B$15,'Process'!BM4=1),1+('Control Room'!$C$15-1)*EXP(-0.5*(($A459-'Control Room'!$A$15-('Control Room'!$B$15-1)/2)/MAX(0.5,'Control Room'!$B$15/4))^2),1)*IF(AND($A459&gt;='Control Room'!$A$16,$A459&lt;'Control Room'!$A$16+'Control Room'!$B$16,'Process'!BM5=1),1+('Control Room'!$C$16-1)*EXP(-0.5*(($A459-'Control Room'!$A$16-('Control Room'!$B$16-1)/2)/MAX(0.5,'Control Room'!$B$16/4))^2),1)</x:f>
        <x:v>1</x:v>
      </x:c>
      <x:c r="Q459" s="9" t="n">
        <x:f>MOD(R458*16807,2147483647)</x:f>
        <x:v>861040970</x:v>
      </x:c>
      <x:c r="R459" s="9" t="n">
        <x:f>MOD(Q459*16807,2147483647)</x:f>
        <x:v>1770769304</x:v>
      </x:c>
      <x:c r="S459" s="17" t="n">
        <x:f>IF('Control Room'!$B$5="Normal",'Control Room'!$B$7+'Control Room'!$D$7*SQRT(-2*LN(MAX(0.000000000001,Q459/2147483647)))*COS(2*PI()*R459/2147483647),'Control Room'!$B$8+('Control Room'!$D$8-'Control Room'!$B$8)*Q459/2147483647)</x:f>
        <x:v>1054.9531231153971</x:v>
      </x:c>
      <x:c r="T459" s="17" t="n">
        <x:f>IF('Control Room'!$B$5="Normal",'Control Room'!$B$7,('Control Room'!$B$8+'Control Room'!$D$8)/2)+'Control Room'!$B$9*(T458-IF('Control Room'!$B$5="Normal",'Control Room'!$B$7,('Control Room'!$B$8+'Control Room'!$D$8)/2))+SQRT(1-'Control Room'!$B$9^2)*(S459-IF('Control Room'!$B$5="Normal",'Control Room'!$B$7,('Control Room'!$B$8+'Control Room'!$D$8)/2))</x:f>
        <x:v>1165.862588567356</x:v>
      </x:c>
      <x:c r="U459" s="17" t="n">
        <x:f>IF(AND($A459&gt;='Control Room'!$A$13,$A459&lt;'Control Room'!$A$13+'Control Room'!$B$13,'Process'!BN2=1),1+('Control Room'!$C$13-1)*EXP(-0.5*(($A459-'Control Room'!$A$13-('Control Room'!$B$13-1)/2)/MAX(0.5,'Control Room'!$B$13/4))^2),1)*IF(AND($A459&gt;='Control Room'!$A$14,$A459&lt;'Control Room'!$A$14+'Control Room'!$B$14,'Process'!BN3=1),1+('Control Room'!$C$14-1)*EXP(-0.5*(($A459-'Control Room'!$A$14-('Control Room'!$B$14-1)/2)/MAX(0.5,'Control Room'!$B$14/4))^2),1)*IF(AND($A459&gt;='Control Room'!$A$15,$A459&lt;'Control Room'!$A$15+'Control Room'!$B$15,'Process'!BN4=1),1+('Control Room'!$C$15-1)*EXP(-0.5*(($A459-'Control Room'!$A$15-('Control Room'!$B$15-1)/2)/MAX(0.5,'Control Room'!$B$15/4))^2),1)*IF(AND($A459&gt;='Control Room'!$A$16,$A459&lt;'Control Room'!$A$16+'Control Room'!$B$16,'Process'!BN5=1),1+('Control Room'!$C$16-1)*EXP(-0.5*(($A459-'Control Room'!$A$16-('Control Room'!$B$16-1)/2)/MAX(0.5,'Control Room'!$B$16/4))^2),1)</x:f>
        <x:v>1</x:v>
      </x:c>
      <x:c r="V459" s="9" t="n">
        <x:f>MOD(W458*16807,2147483647)</x:f>
        <x:v>1899253259</x:v>
      </x:c>
      <x:c r="W459" s="9" t="n">
        <x:f>MOD(V459*16807,2147483647)</x:f>
        <x:v>552595005</x:v>
      </x:c>
      <x:c r="X459" s="17" t="n">
        <x:f>IF('Control Room'!$B$5="Normal",'Control Room'!$B$7+'Control Room'!$D$7*SQRT(-2*LN(MAX(0.000000000001,V459/2147483647)))*COS(2*PI()*W459/2147483647),'Control Room'!$B$8+('Control Room'!$D$8-'Control Room'!$B$8)*V459/2147483647)</x:f>
        <x:v>997.9484472287376</x:v>
      </x:c>
      <x:c r="Y459" s="17" t="n">
        <x:f>IF('Control Room'!$B$5="Normal",'Control Room'!$B$7,('Control Room'!$B$8+'Control Room'!$D$8)/2)+'Control Room'!$B$9*(Y458-IF('Control Room'!$B$5="Normal",'Control Room'!$B$7,('Control Room'!$B$8+'Control Room'!$D$8)/2))+SQRT(1-'Control Room'!$B$9^2)*(X459-IF('Control Room'!$B$5="Normal",'Control Room'!$B$7,('Control Room'!$B$8+'Control Room'!$D$8)/2))</x:f>
        <x:v>1062.6601085443851</x:v>
      </x:c>
      <x:c r="Z459" s="17" t="n">
        <x:f>IF(AND($A459&gt;='Control Room'!$A$13,$A459&lt;'Control Room'!$A$13+'Control Room'!$B$13,'Process'!BO2=1),1+('Control Room'!$C$13-1)*EXP(-0.5*(($A459-'Control Room'!$A$13-('Control Room'!$B$13-1)/2)/MAX(0.5,'Control Room'!$B$13/4))^2),1)*IF(AND($A459&gt;='Control Room'!$A$14,$A459&lt;'Control Room'!$A$14+'Control Room'!$B$14,'Process'!BO3=1),1+('Control Room'!$C$14-1)*EXP(-0.5*(($A459-'Control Room'!$A$14-('Control Room'!$B$14-1)/2)/MAX(0.5,'Control Room'!$B$14/4))^2),1)*IF(AND($A459&gt;='Control Room'!$A$15,$A459&lt;'Control Room'!$A$15+'Control Room'!$B$15,'Process'!BO4=1),1+('Control Room'!$C$15-1)*EXP(-0.5*(($A459-'Control Room'!$A$15-('Control Room'!$B$15-1)/2)/MAX(0.5,'Control Room'!$B$15/4))^2),1)*IF(AND($A459&gt;='Control Room'!$A$16,$A459&lt;'Control Room'!$A$16+'Control Room'!$B$16,'Process'!BO5=1),1+('Control Room'!$C$16-1)*EXP(-0.5*(($A459-'Control Room'!$A$16-('Control Room'!$B$16-1)/2)/MAX(0.5,'Control Room'!$B$16/4))^2),1)</x:f>
        <x:v>1</x:v>
      </x:c>
      <x:c r="AA459" s="9" t="n">
        <x:f>MOD(AB458*16807,2147483647)</x:f>
        <x:v>789981901</x:v>
      </x:c>
      <x:c r="AB459" s="9" t="n">
        <x:f>MOD(AA459*16807,2147483647)</x:f>
        <x:v>1481904353</x:v>
      </x:c>
      <x:c r="AC459" s="17" t="n">
        <x:f>IF('Control Room'!$B$5="Normal",'Control Room'!$B$7+'Control Room'!$D$7*SQRT(-2*LN(MAX(0.000000000001,AA459/2147483647)))*COS(2*PI()*AB459/2147483647),'Control Room'!$B$8+('Control Room'!$D$8-'Control Room'!$B$8)*AA459/2147483647)</x:f>
        <x:v>953.1931098028468</x:v>
      </x:c>
      <x:c r="AD459" s="17" t="n">
        <x:f>IF('Control Room'!$B$5="Normal",'Control Room'!$B$7,('Control Room'!$B$8+'Control Room'!$D$8)/2)+'Control Room'!$B$9*(AD458-IF('Control Room'!$B$5="Normal",'Control Room'!$B$7,('Control Room'!$B$8+'Control Room'!$D$8)/2))+SQRT(1-'Control Room'!$B$9^2)*(AC459-IF('Control Room'!$B$5="Normal",'Control Room'!$B$7,('Control Room'!$B$8+'Control Room'!$D$8)/2))</x:f>
        <x:v>1026.0932869063736</x:v>
      </x:c>
      <x:c r="AE459" s="17" t="n">
        <x:f>IF(AND($A459&gt;='Control Room'!$A$13,$A459&lt;'Control Room'!$A$13+'Control Room'!$B$13,'Process'!BP2=1),1+('Control Room'!$C$13-1)*EXP(-0.5*(($A459-'Control Room'!$A$13-('Control Room'!$B$13-1)/2)/MAX(0.5,'Control Room'!$B$13/4))^2),1)*IF(AND($A459&gt;='Control Room'!$A$14,$A459&lt;'Control Room'!$A$14+'Control Room'!$B$14,'Process'!BP3=1),1+('Control Room'!$C$14-1)*EXP(-0.5*(($A459-'Control Room'!$A$14-('Control Room'!$B$14-1)/2)/MAX(0.5,'Control Room'!$B$14/4))^2),1)*IF(AND($A459&gt;='Control Room'!$A$15,$A459&lt;'Control Room'!$A$15+'Control Room'!$B$15,'Process'!BP4=1),1+('Control Room'!$C$15-1)*EXP(-0.5*(($A459-'Control Room'!$A$15-('Control Room'!$B$15-1)/2)/MAX(0.5,'Control Room'!$B$15/4))^2),1)*IF(AND($A459&gt;='Control Room'!$A$16,$A459&lt;'Control Room'!$A$16+'Control Room'!$B$16,'Process'!BP5=1),1+('Control Room'!$C$16-1)*EXP(-0.5*(($A459-'Control Room'!$A$16-('Control Room'!$B$16-1)/2)/MAX(0.5,'Control Room'!$B$16/4))^2),1)</x:f>
        <x:v>1</x:v>
      </x:c>
      <x:c r="AF459" s="9" t="n">
        <x:f>MOD(AG458*16807,2147483647)</x:f>
        <x:v>1828194190</x:v>
      </x:c>
      <x:c r="AG459" s="9" t="n">
        <x:f>MOD(AF459*16807,2147483647)</x:f>
        <x:v>263730054</x:v>
      </x:c>
      <x:c r="AH459" s="17" t="n">
        <x:f>IF('Control Room'!$B$5="Normal",'Control Room'!$B$7+'Control Room'!$D$7*SQRT(-2*LN(MAX(0.000000000001,AF459/2147483647)))*COS(2*PI()*AG459/2147483647),'Control Room'!$B$8+('Control Room'!$D$8-'Control Room'!$B$8)*AF459/2147483647)</x:f>
        <x:v>1036.6024226339891</x:v>
      </x:c>
      <x:c r="AI459" s="17" t="n">
        <x:f>IF('Control Room'!$B$5="Normal",'Control Room'!$B$7,('Control Room'!$B$8+'Control Room'!$D$8)/2)+'Control Room'!$B$9*(AI458-IF('Control Room'!$B$5="Normal",'Control Room'!$B$7,('Control Room'!$B$8+'Control Room'!$D$8)/2))+SQRT(1-'Control Room'!$B$9^2)*(AH459-IF('Control Room'!$B$5="Normal",'Control Room'!$B$7,('Control Room'!$B$8+'Control Room'!$D$8)/2))</x:f>
        <x:v>991.5009132051372</x:v>
      </x:c>
      <x:c r="AJ459" s="17" t="n">
        <x:f>IF(AND($A459&gt;='Control Room'!$A$13,$A459&lt;'Control Room'!$A$13+'Control Room'!$B$13,'Process'!BQ2=1),1+('Control Room'!$C$13-1)*EXP(-0.5*(($A459-'Control Room'!$A$13-('Control Room'!$B$13-1)/2)/MAX(0.5,'Control Room'!$B$13/4))^2),1)*IF(AND($A459&gt;='Control Room'!$A$14,$A459&lt;'Control Room'!$A$14+'Control Room'!$B$14,'Process'!BQ3=1),1+('Control Room'!$C$14-1)*EXP(-0.5*(($A459-'Control Room'!$A$14-('Control Room'!$B$14-1)/2)/MAX(0.5,'Control Room'!$B$14/4))^2),1)*IF(AND($A459&gt;='Control Room'!$A$15,$A459&lt;'Control Room'!$A$15+'Control Room'!$B$15,'Process'!BQ4=1),1+('Control Room'!$C$15-1)*EXP(-0.5*(($A459-'Control Room'!$A$15-('Control Room'!$B$15-1)/2)/MAX(0.5,'Control Room'!$B$15/4))^2),1)*IF(AND($A459&gt;='Control Room'!$A$16,$A459&lt;'Control Room'!$A$16+'Control Room'!$B$16,'Process'!BQ5=1),1+('Control Room'!$C$16-1)*EXP(-0.5*(($A459-'Control Room'!$A$16-('Control Room'!$B$16-1)/2)/MAX(0.5,'Control Room'!$B$16/4))^2),1)</x:f>
        <x:v>1</x:v>
      </x:c>
      <x:c r="AK459" s="9" t="n">
        <x:f>MOD(AL458*16807,2147483647)</x:f>
        <x:v>718922832</x:v>
      </x:c>
      <x:c r="AL459" s="9" t="n">
        <x:f>MOD(AK459*16807,2147483647)</x:f>
        <x:v>1193039402</x:v>
      </x:c>
      <x:c r="AM459" s="17" t="n">
        <x:f>IF('Control Room'!$B$5="Normal",'Control Room'!$B$7+'Control Room'!$D$7*SQRT(-2*LN(MAX(0.000000000001,AK459/2147483647)))*COS(2*PI()*AL459/2147483647),'Control Room'!$B$8+('Control Room'!$D$8-'Control Room'!$B$8)*AK459/2147483647)</x:f>
        <x:v>874.8835543779693</x:v>
      </x:c>
      <x:c r="AN459" s="17" t="n">
        <x:f>IF('Control Room'!$B$5="Normal",'Control Room'!$B$7,('Control Room'!$B$8+'Control Room'!$D$8)/2)+'Control Room'!$B$9*(AN458-IF('Control Room'!$B$5="Normal",'Control Room'!$B$7,('Control Room'!$B$8+'Control Room'!$D$8)/2))+SQRT(1-'Control Room'!$B$9^2)*(AM459-IF('Control Room'!$B$5="Normal",'Control Room'!$B$7,('Control Room'!$B$8+'Control Room'!$D$8)/2))</x:f>
        <x:v>994.222625795013</x:v>
      </x:c>
      <x:c r="AO459" s="17" t="n">
        <x:f>IF(AND($A459&gt;='Control Room'!$A$13,$A459&lt;'Control Room'!$A$13+'Control Room'!$B$13,'Process'!BR2=1),1+('Control Room'!$C$13-1)*EXP(-0.5*(($A459-'Control Room'!$A$13-('Control Room'!$B$13-1)/2)/MAX(0.5,'Control Room'!$B$13/4))^2),1)*IF(AND($A459&gt;='Control Room'!$A$14,$A459&lt;'Control Room'!$A$14+'Control Room'!$B$14,'Process'!BR3=1),1+('Control Room'!$C$14-1)*EXP(-0.5*(($A459-'Control Room'!$A$14-('Control Room'!$B$14-1)/2)/MAX(0.5,'Control Room'!$B$14/4))^2),1)*IF(AND($A459&gt;='Control Room'!$A$15,$A459&lt;'Control Room'!$A$15+'Control Room'!$B$15,'Process'!BR4=1),1+('Control Room'!$C$15-1)*EXP(-0.5*(($A459-'Control Room'!$A$15-('Control Room'!$B$15-1)/2)/MAX(0.5,'Control Room'!$B$15/4))^2),1)*IF(AND($A459&gt;='Control Room'!$A$16,$A459&lt;'Control Room'!$A$16+'Control Room'!$B$16,'Process'!BR5=1),1+('Control Room'!$C$16-1)*EXP(-0.5*(($A459-'Control Room'!$A$16-('Control Room'!$B$16-1)/2)/MAX(0.5,'Control Room'!$B$16/4))^2),1)</x:f>
        <x:v>1</x:v>
      </x:c>
      <x:c r="AP459" s="9" t="n">
        <x:f>MOD(AQ458*16807,2147483647)</x:f>
        <x:v>1757135121</x:v>
      </x:c>
      <x:c r="AQ459" s="9" t="n">
        <x:f>MOD(AP459*16807,2147483647)</x:f>
        <x:v>2122348750</x:v>
      </x:c>
      <x:c r="AR459" s="17" t="n">
        <x:f>IF('Control Room'!$B$5="Normal",'Control Room'!$B$7+'Control Room'!$D$7*SQRT(-2*LN(MAX(0.000000000001,AP459/2147483647)))*COS(2*PI()*AQ459/2147483647),'Control Room'!$B$8+('Control Room'!$D$8-'Control Room'!$B$8)*AP459/2147483647)</x:f>
        <x:v>1056.853941025464</x:v>
      </x:c>
      <x:c r="AS459" s="17" t="n">
        <x:f>IF('Control Room'!$B$5="Normal",'Control Room'!$B$7,('Control Room'!$B$8+'Control Room'!$D$8)/2)+'Control Room'!$B$9*(AS458-IF('Control Room'!$B$5="Normal",'Control Room'!$B$7,('Control Room'!$B$8+'Control Room'!$D$8)/2))+SQRT(1-'Control Room'!$B$9^2)*(AR459-IF('Control Room'!$B$5="Normal",'Control Room'!$B$7,('Control Room'!$B$8+'Control Room'!$D$8)/2))</x:f>
        <x:v>1086.5861042287288</x:v>
      </x:c>
      <x:c r="AT459" s="17" t="n">
        <x:f>IF(AND($A459&gt;='Control Room'!$A$13,$A459&lt;'Control Room'!$A$13+'Control Room'!$B$13,'Process'!BS2=1),1+('Control Room'!$C$13-1)*EXP(-0.5*(($A459-'Control Room'!$A$13-('Control Room'!$B$13-1)/2)/MAX(0.5,'Control Room'!$B$13/4))^2),1)*IF(AND($A459&gt;='Control Room'!$A$14,$A459&lt;'Control Room'!$A$14+'Control Room'!$B$14,'Process'!BS3=1),1+('Control Room'!$C$14-1)*EXP(-0.5*(($A459-'Control Room'!$A$14-('Control Room'!$B$14-1)/2)/MAX(0.5,'Control Room'!$B$14/4))^2),1)*IF(AND($A459&gt;='Control Room'!$A$15,$A459&lt;'Control Room'!$A$15+'Control Room'!$B$15,'Process'!BS4=1),1+('Control Room'!$C$15-1)*EXP(-0.5*(($A459-'Control Room'!$A$15-('Control Room'!$B$15-1)/2)/MAX(0.5,'Control Room'!$B$15/4))^2),1)*IF(AND($A459&gt;='Control Room'!$A$16,$A459&lt;'Control Room'!$A$16+'Control Room'!$B$16,'Process'!BS5=1),1+('Control Room'!$C$16-1)*EXP(-0.5*(($A459-'Control Room'!$A$16-('Control Room'!$B$16-1)/2)/MAX(0.5,'Control Room'!$B$16/4))^2),1)</x:f>
        <x:v>1</x:v>
      </x:c>
      <x:c r="AU459" s="9" t="n">
        <x:f>MOD(AV458*16807,2147483647)</x:f>
        <x:v>647863763</x:v>
      </x:c>
      <x:c r="AV459" s="9" t="n">
        <x:f>MOD(AU459*16807,2147483647)</x:f>
        <x:v>904174451</x:v>
      </x:c>
      <x:c r="AW459" s="17" t="n">
        <x:f>IF('Control Room'!$B$5="Normal",'Control Room'!$B$7+'Control Room'!$D$7*SQRT(-2*LN(MAX(0.000000000001,AU459/2147483647)))*COS(2*PI()*AV459/2147483647),'Control Room'!$B$8+('Control Room'!$D$8-'Control Room'!$B$8)*AU459/2147483647)</x:f>
        <x:v>877.466152575354</x:v>
      </x:c>
      <x:c r="AX459" s="17" t="n">
        <x:f>IF('Control Room'!$B$5="Normal",'Control Room'!$B$7,('Control Room'!$B$8+'Control Room'!$D$8)/2)+'Control Room'!$B$9*(AX458-IF('Control Room'!$B$5="Normal",'Control Room'!$B$7,('Control Room'!$B$8+'Control Room'!$D$8)/2))+SQRT(1-'Control Room'!$B$9^2)*(AW459-IF('Control Room'!$B$5="Normal",'Control Room'!$B$7,('Control Room'!$B$8+'Control Room'!$D$8)/2))</x:f>
        <x:v>1065.8757232878395</x:v>
      </x:c>
      <x:c r="AY459" s="17" t="n">
        <x:f>IF(AND($A459&gt;='Control Room'!$A$13,$A459&lt;'Control Room'!$A$13+'Control Room'!$B$13,'Process'!BT2=1),1+('Control Room'!$C$13-1)*EXP(-0.5*(($A459-'Control Room'!$A$13-('Control Room'!$B$13-1)/2)/MAX(0.5,'Control Room'!$B$13/4))^2),1)*IF(AND($A459&gt;='Control Room'!$A$14,$A459&lt;'Control Room'!$A$14+'Control Room'!$B$14,'Process'!BT3=1),1+('Control Room'!$C$14-1)*EXP(-0.5*(($A459-'Control Room'!$A$14-('Control Room'!$B$14-1)/2)/MAX(0.5,'Control Room'!$B$14/4))^2),1)*IF(AND($A459&gt;='Control Room'!$A$15,$A459&lt;'Control Room'!$A$15+'Control Room'!$B$15,'Process'!BT4=1),1+('Control Room'!$C$15-1)*EXP(-0.5*(($A459-'Control Room'!$A$15-('Control Room'!$B$15-1)/2)/MAX(0.5,'Control Room'!$B$15/4))^2),1)*IF(AND($A459&gt;='Control Room'!$A$16,$A459&lt;'Control Room'!$A$16+'Control Room'!$B$16,'Process'!BT5=1),1+('Control Room'!$C$16-1)*EXP(-0.5*(($A459-'Control Room'!$A$16-('Control Room'!$B$16-1)/2)/MAX(0.5,'Control Room'!$B$16/4))^2),1)</x:f>
        <x:v>1</x:v>
      </x:c>
      <x:c r="AZ459" s="9" t="n">
        <x:f>MOD(BA458*16807,2147483647)</x:f>
        <x:v>1686076052</x:v>
      </x:c>
      <x:c r="BA459" s="9" t="n">
        <x:f>MOD(AZ459*16807,2147483647)</x:f>
        <x:v>1833483799</x:v>
      </x:c>
      <x:c r="BB459" s="17" t="n">
        <x:f>IF('Control Room'!$B$5="Normal",'Control Room'!$B$7+'Control Room'!$D$7*SQRT(-2*LN(MAX(0.000000000001,AZ459/2147483647)))*COS(2*PI()*BA459/2147483647),'Control Room'!$B$8+('Control Room'!$D$8-'Control Room'!$B$8)*AZ459/2147483647)</x:f>
        <x:v>1037.9879843552787</x:v>
      </x:c>
      <x:c r="BC459" s="17" t="n">
        <x:f>IF('Control Room'!$B$5="Normal",'Control Room'!$B$7,('Control Room'!$B$8+'Control Room'!$D$8)/2)+'Control Room'!$B$9*(BC458-IF('Control Room'!$B$5="Normal",'Control Room'!$B$7,('Control Room'!$B$8+'Control Room'!$D$8)/2))+SQRT(1-'Control Room'!$B$9^2)*(BB459-IF('Control Room'!$B$5="Normal",'Control Room'!$B$7,('Control Room'!$B$8+'Control Room'!$D$8)/2))</x:f>
        <x:v>1067.224585094984</x:v>
      </x:c>
      <x:c r="BD459" s="17" t="n">
        <x:f>IF(AND($A459&gt;='Control Room'!$A$13,$A459&lt;'Control Room'!$A$13+'Control Room'!$B$13,'Process'!BU2=1),1+('Control Room'!$C$13-1)*EXP(-0.5*(($A459-'Control Room'!$A$13-('Control Room'!$B$13-1)/2)/MAX(0.5,'Control Room'!$B$13/4))^2),1)*IF(AND($A459&gt;='Control Room'!$A$14,$A459&lt;'Control Room'!$A$14+'Control Room'!$B$14,'Process'!BU3=1),1+('Control Room'!$C$14-1)*EXP(-0.5*(($A459-'Control Room'!$A$14-('Control Room'!$B$14-1)/2)/MAX(0.5,'Control Room'!$B$14/4))^2),1)*IF(AND($A459&gt;='Control Room'!$A$15,$A459&lt;'Control Room'!$A$15+'Control Room'!$B$15,'Process'!BU4=1),1+('Control Room'!$C$15-1)*EXP(-0.5*(($A459-'Control Room'!$A$15-('Control Room'!$B$15-1)/2)/MAX(0.5,'Control Room'!$B$15/4))^2),1)*IF(AND($A459&gt;='Control Room'!$A$16,$A459&lt;'Control Room'!$A$16+'Control Room'!$B$16,'Process'!BU5=1),1+('Control Room'!$C$16-1)*EXP(-0.5*(($A459-'Control Room'!$A$16-('Control Room'!$B$16-1)/2)/MAX(0.5,'Control Room'!$B$16/4))^2),1)</x:f>
        <x:v>1</x:v>
      </x:c>
      <x:c r="BE459" s="9" t="n">
        <x:f>MOD(BF458*16807,2147483647)</x:f>
        <x:v>576804694</x:v>
      </x:c>
      <x:c r="BF459" s="9" t="n">
        <x:f>MOD(BE459*16807,2147483647)</x:f>
        <x:v>615309500</x:v>
      </x:c>
      <x:c r="BG459" s="17" t="n">
        <x:f>IF('Control Room'!$B$5="Normal",'Control Room'!$B$7+'Control Room'!$D$7*SQRT(-2*LN(MAX(0.000000000001,BE459/2147483647)))*COS(2*PI()*BF459/2147483647),'Control Room'!$B$8+('Control Room'!$D$8-'Control Room'!$B$8)*BE459/2147483647)</x:f>
        <x:v>966.8024150415818</x:v>
      </x:c>
      <x:c r="BH459" s="17" t="n">
        <x:f>IF('Control Room'!$B$5="Normal",'Control Room'!$B$7,('Control Room'!$B$8+'Control Room'!$D$8)/2)+'Control Room'!$B$9*(BH458-IF('Control Room'!$B$5="Normal",'Control Room'!$B$7,('Control Room'!$B$8+'Control Room'!$D$8)/2))+SQRT(1-'Control Room'!$B$9^2)*(BG459-IF('Control Room'!$B$5="Normal",'Control Room'!$B$7,('Control Room'!$B$8+'Control Room'!$D$8)/2))</x:f>
        <x:v>831.8605438279718</x:v>
      </x:c>
      <x:c r="BI459" s="17" t="n">
        <x:f>IF(AND($A459&gt;='Control Room'!$A$13,$A459&lt;'Control Room'!$A$13+'Control Room'!$B$13,'Process'!BV2=1),1+('Control Room'!$C$13-1)*EXP(-0.5*(($A459-'Control Room'!$A$13-('Control Room'!$B$13-1)/2)/MAX(0.5,'Control Room'!$B$13/4))^2),1)*IF(AND($A459&gt;='Control Room'!$A$14,$A459&lt;'Control Room'!$A$14+'Control Room'!$B$14,'Process'!BV3=1),1+('Control Room'!$C$14-1)*EXP(-0.5*(($A459-'Control Room'!$A$14-('Control Room'!$B$14-1)/2)/MAX(0.5,'Control Room'!$B$14/4))^2),1)*IF(AND($A459&gt;='Control Room'!$A$15,$A459&lt;'Control Room'!$A$15+'Control Room'!$B$15,'Process'!BV4=1),1+('Control Room'!$C$15-1)*EXP(-0.5*(($A459-'Control Room'!$A$15-('Control Room'!$B$15-1)/2)/MAX(0.5,'Control Room'!$B$15/4))^2),1)*IF(AND($A459&gt;='Control Room'!$A$16,$A459&lt;'Control Room'!$A$16+'Control Room'!$B$16,'Process'!BV5=1),1+('Control Room'!$C$16-1)*EXP(-0.5*(($A459-'Control Room'!$A$16-('Control Room'!$B$16-1)/2)/MAX(0.5,'Control Room'!$B$16/4))^2),1)</x:f>
        <x:v>1</x:v>
      </x:c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Z459" t="str">
        <x:f>IF('Data'!A459="","",TEXT('Data'!A459,"mm-dd"))</x:f>
      </x:c>
    </x:row>
    <x:row r="460" ht="21" customHeight="1">
      <x:c r="A460" s="15" t="n">
        <x:f>'Control Room'!$B$1+458</x:f>
        <x:v>73449</x:v>
      </x:c>
      <x:c r="B460" s="9" t="n">
        <x:f>MOD(C459*16807,2147483647)</x:f>
        <x:v>730370587</x:v>
      </x:c>
      <x:c r="C460" s="9" t="n">
        <x:f>MOD(B460*16807,2147483647)</x:f>
        <x:v>321929457</x:v>
      </x:c>
      <x:c r="D460" s="17" t="n">
        <x:f>IF('Control Room'!$B$5="Normal",'Control Room'!$B$7+'Control Room'!$D$7*SQRT(-2*LN(MAX(0.000000000001,B460/2147483647)))*COS(2*PI()*C460/2147483647),'Control Room'!$B$8+('Control Room'!$D$8-'Control Room'!$B$8)*B460/2147483647)</x:f>
        <x:v>1077.7541833654689</x:v>
      </x:c>
      <x:c r="E460" s="17" t="n">
        <x:f>IF('Control Room'!$B$5="Normal",'Control Room'!$B$7,('Control Room'!$B$8+'Control Room'!$D$8)/2)+'Control Room'!$B$9*(E459-IF('Control Room'!$B$5="Normal",'Control Room'!$B$7,('Control Room'!$B$8+'Control Room'!$D$8)/2))+SQRT(1-'Control Room'!$B$9^2)*(D460-IF('Control Room'!$B$5="Normal",'Control Room'!$B$7,('Control Room'!$B$8+'Control Room'!$D$8)/2))</x:f>
        <x:v>1003.5582159995628</x:v>
      </x:c>
      <x:c r="F460" s="17" t="n">
        <x:f>IF(AND($A460&gt;='Control Room'!$A$13,$A460&lt;'Control Room'!$A$13+'Control Room'!$B$13,'Process'!BK2=1),1+('Control Room'!$C$13-1)*EXP(-0.5*(($A460-'Control Room'!$A$13-('Control Room'!$B$13-1)/2)/MAX(0.5,'Control Room'!$B$13/4))^2),1)*IF(AND($A460&gt;='Control Room'!$A$14,$A460&lt;'Control Room'!$A$14+'Control Room'!$B$14,'Process'!BK3=1),1+('Control Room'!$C$14-1)*EXP(-0.5*(($A460-'Control Room'!$A$14-('Control Room'!$B$14-1)/2)/MAX(0.5,'Control Room'!$B$14/4))^2),1)*IF(AND($A460&gt;='Control Room'!$A$15,$A460&lt;'Control Room'!$A$15+'Control Room'!$B$15,'Process'!BK4=1),1+('Control Room'!$C$15-1)*EXP(-0.5*(($A460-'Control Room'!$A$15-('Control Room'!$B$15-1)/2)/MAX(0.5,'Control Room'!$B$15/4))^2),1)*IF(AND($A460&gt;='Control Room'!$A$16,$A460&lt;'Control Room'!$A$16+'Control Room'!$B$16,'Process'!BK5=1),1+('Control Room'!$C$16-1)*EXP(-0.5*(($A460-'Control Room'!$A$16-('Control Room'!$B$16-1)/2)/MAX(0.5,'Control Room'!$B$16/4))^2),1)</x:f>
        <x:v>1</x:v>
      </x:c>
      <x:c r="G460" s="9" t="n">
        <x:f>MOD(H459*16807,2147483647)</x:f>
        <x:v>984017792</x:v>
      </x:c>
      <x:c r="H460" s="9" t="n">
        <x:f>MOD(G460*16807,2147483647)</x:f>
        <x:v>615464597</x:v>
      </x:c>
      <x:c r="I460" s="17" t="n">
        <x:f>IF('Control Room'!$B$5="Normal",'Control Room'!$B$7+'Control Room'!$D$7*SQRT(-2*LN(MAX(0.000000000001,G460/2147483647)))*COS(2*PI()*H460/2147483647),'Control Room'!$B$8+('Control Room'!$D$8-'Control Room'!$B$8)*G460/2147483647)</x:f>
        <x:v>974.371580275536</x:v>
      </x:c>
      <x:c r="J460" s="17" t="n">
        <x:f>IF('Control Room'!$B$5="Normal",'Control Room'!$B$7,('Control Room'!$B$8+'Control Room'!$D$8)/2)+'Control Room'!$B$9*(J459-IF('Control Room'!$B$5="Normal",'Control Room'!$B$7,('Control Room'!$B$8+'Control Room'!$D$8)/2))+SQRT(1-'Control Room'!$B$9^2)*(I460-IF('Control Room'!$B$5="Normal",'Control Room'!$B$7,('Control Room'!$B$8+'Control Room'!$D$8)/2))</x:f>
        <x:v>1002.8831471110125</x:v>
      </x:c>
      <x:c r="K460" s="17" t="n">
        <x:f>IF(AND($A460&gt;='Control Room'!$A$13,$A460&lt;'Control Room'!$A$13+'Control Room'!$B$13,'Process'!BL2=1),1+('Control Room'!$C$13-1)*EXP(-0.5*(($A460-'Control Room'!$A$13-('Control Room'!$B$13-1)/2)/MAX(0.5,'Control Room'!$B$13/4))^2),1)*IF(AND($A460&gt;='Control Room'!$A$14,$A460&lt;'Control Room'!$A$14+'Control Room'!$B$14,'Process'!BL3=1),1+('Control Room'!$C$14-1)*EXP(-0.5*(($A460-'Control Room'!$A$14-('Control Room'!$B$14-1)/2)/MAX(0.5,'Control Room'!$B$14/4))^2),1)*IF(AND($A460&gt;='Control Room'!$A$15,$A460&lt;'Control Room'!$A$15+'Control Room'!$B$15,'Process'!BL4=1),1+('Control Room'!$C$15-1)*EXP(-0.5*(($A460-'Control Room'!$A$15-('Control Room'!$B$15-1)/2)/MAX(0.5,'Control Room'!$B$15/4))^2),1)*IF(AND($A460&gt;='Control Room'!$A$16,$A460&lt;'Control Room'!$A$16+'Control Room'!$B$16,'Process'!BL5=1),1+('Control Room'!$C$16-1)*EXP(-0.5*(($A460-'Control Room'!$A$16-('Control Room'!$B$16-1)/2)/MAX(0.5,'Control Room'!$B$16/4))^2),1)</x:f>
        <x:v>1</x:v>
      </x:c>
      <x:c r="L460" s="9" t="n">
        <x:f>MOD(M459*16807,2147483647)</x:f>
        <x:v>1237664997</x:v>
      </x:c>
      <x:c r="M460" s="9" t="n">
        <x:f>MOD(L460*16807,2147483647)</x:f>
        <x:v>908999737</x:v>
      </x:c>
      <x:c r="N460" s="17" t="n">
        <x:f>IF('Control Room'!$B$5="Normal",'Control Room'!$B$7+'Control Room'!$D$7*SQRT(-2*LN(MAX(0.000000000001,L460/2147483647)))*COS(2*PI()*M460/2147483647),'Control Room'!$B$8+('Control Room'!$D$8-'Control Room'!$B$8)*L460/2147483647)</x:f>
        <x:v>916.2804445353228</x:v>
      </x:c>
      <x:c r="O460" s="17" t="n">
        <x:f>IF('Control Room'!$B$5="Normal",'Control Room'!$B$7,('Control Room'!$B$8+'Control Room'!$D$8)/2)+'Control Room'!$B$9*(O459-IF('Control Room'!$B$5="Normal",'Control Room'!$B$7,('Control Room'!$B$8+'Control Room'!$D$8)/2))+SQRT(1-'Control Room'!$B$9^2)*(N460-IF('Control Room'!$B$5="Normal",'Control Room'!$B$7,('Control Room'!$B$8+'Control Room'!$D$8)/2))</x:f>
        <x:v>943.0423847929445</x:v>
      </x:c>
      <x:c r="P460" s="17" t="n">
        <x:f>IF(AND($A460&gt;='Control Room'!$A$13,$A460&lt;'Control Room'!$A$13+'Control Room'!$B$13,'Process'!BM2=1),1+('Control Room'!$C$13-1)*EXP(-0.5*(($A460-'Control Room'!$A$13-('Control Room'!$B$13-1)/2)/MAX(0.5,'Control Room'!$B$13/4))^2),1)*IF(AND($A460&gt;='Control Room'!$A$14,$A460&lt;'Control Room'!$A$14+'Control Room'!$B$14,'Process'!BM3=1),1+('Control Room'!$C$14-1)*EXP(-0.5*(($A460-'Control Room'!$A$14-('Control Room'!$B$14-1)/2)/MAX(0.5,'Control Room'!$B$14/4))^2),1)*IF(AND($A460&gt;='Control Room'!$A$15,$A460&lt;'Control Room'!$A$15+'Control Room'!$B$15,'Process'!BM4=1),1+('Control Room'!$C$15-1)*EXP(-0.5*(($A460-'Control Room'!$A$15-('Control Room'!$B$15-1)/2)/MAX(0.5,'Control Room'!$B$15/4))^2),1)*IF(AND($A460&gt;='Control Room'!$A$16,$A460&lt;'Control Room'!$A$16+'Control Room'!$B$16,'Process'!BM5=1),1+('Control Room'!$C$16-1)*EXP(-0.5*(($A460-'Control Room'!$A$16-('Control Room'!$B$16-1)/2)/MAX(0.5,'Control Room'!$B$16/4))^2),1)</x:f>
        <x:v>1</x:v>
      </x:c>
      <x:c r="Q460" s="9" t="n">
        <x:f>MOD(R459*16807,2147483647)</x:f>
        <x:v>1491312202</x:v>
      </x:c>
      <x:c r="R460" s="9" t="n">
        <x:f>MOD(Q460*16807,2147483647)</x:f>
        <x:v>1202534877</x:v>
      </x:c>
      <x:c r="S460" s="17" t="n">
        <x:f>IF('Control Room'!$B$5="Normal",'Control Room'!$B$7+'Control Room'!$D$7*SQRT(-2*LN(MAX(0.000000000001,Q460/2147483647)))*COS(2*PI()*R460/2147483647),'Control Room'!$B$8+('Control Room'!$D$8-'Control Room'!$B$8)*Q460/2147483647)</x:f>
        <x:v>928.5344763186404</x:v>
      </x:c>
      <x:c r="T460" s="17" t="n">
        <x:f>IF('Control Room'!$B$5="Normal",'Control Room'!$B$7,('Control Room'!$B$8+'Control Room'!$D$8)/2)+'Control Room'!$B$9*(T459-IF('Control Room'!$B$5="Normal",'Control Room'!$B$7,('Control Room'!$B$8+'Control Room'!$D$8)/2))+SQRT(1-'Control Room'!$B$9^2)*(S460-IF('Control Room'!$B$5="Normal",'Control Room'!$B$7,('Control Room'!$B$8+'Control Room'!$D$8)/2))</x:f>
        <x:v>1084.6511584135737</x:v>
      </x:c>
      <x:c r="U460" s="17" t="n">
        <x:f>IF(AND($A460&gt;='Control Room'!$A$13,$A460&lt;'Control Room'!$A$13+'Control Room'!$B$13,'Process'!BN2=1),1+('Control Room'!$C$13-1)*EXP(-0.5*(($A460-'Control Room'!$A$13-('Control Room'!$B$13-1)/2)/MAX(0.5,'Control Room'!$B$13/4))^2),1)*IF(AND($A460&gt;='Control Room'!$A$14,$A460&lt;'Control Room'!$A$14+'Control Room'!$B$14,'Process'!BN3=1),1+('Control Room'!$C$14-1)*EXP(-0.5*(($A460-'Control Room'!$A$14-('Control Room'!$B$14-1)/2)/MAX(0.5,'Control Room'!$B$14/4))^2),1)*IF(AND($A460&gt;='Control Room'!$A$15,$A460&lt;'Control Room'!$A$15+'Control Room'!$B$15,'Process'!BN4=1),1+('Control Room'!$C$15-1)*EXP(-0.5*(($A460-'Control Room'!$A$15-('Control Room'!$B$15-1)/2)/MAX(0.5,'Control Room'!$B$15/4))^2),1)*IF(AND($A460&gt;='Control Room'!$A$16,$A460&lt;'Control Room'!$A$16+'Control Room'!$B$16,'Process'!BN5=1),1+('Control Room'!$C$16-1)*EXP(-0.5*(($A460-'Control Room'!$A$16-('Control Room'!$B$16-1)/2)/MAX(0.5,'Control Room'!$B$16/4))^2),1)</x:f>
        <x:v>1</x:v>
      </x:c>
      <x:c r="V460" s="9" t="n">
        <x:f>MOD(W459*16807,2147483647)</x:f>
        <x:v>1744959407</x:v>
      </x:c>
      <x:c r="W460" s="9" t="n">
        <x:f>MOD(V460*16807,2147483647)</x:f>
        <x:v>1496070017</x:v>
      </x:c>
      <x:c r="X460" s="17" t="n">
        <x:f>IF('Control Room'!$B$5="Normal",'Control Room'!$B$7+'Control Room'!$D$7*SQRT(-2*LN(MAX(0.000000000001,V460/2147483647)))*COS(2*PI()*W460/2147483647),'Control Room'!$B$8+('Control Room'!$D$8-'Control Room'!$B$8)*V460/2147483647)</x:f>
        <x:v>980.9281723730356</x:v>
      </x:c>
      <x:c r="Y460" s="17" t="n">
        <x:f>IF('Control Room'!$B$5="Normal",'Control Room'!$B$7,('Control Room'!$B$8+'Control Room'!$D$8)/2)+'Control Room'!$B$9*(Y459-IF('Control Room'!$B$5="Normal",'Control Room'!$B$7,('Control Room'!$B$8+'Control Room'!$D$8)/2))+SQRT(1-'Control Room'!$B$9^2)*(X460-IF('Control Room'!$B$5="Normal",'Control Room'!$B$7,('Control Room'!$B$8+'Control Room'!$D$8)/2))</x:f>
        <x:v>1036.9401256432918</x:v>
      </x:c>
      <x:c r="Z460" s="17" t="n">
        <x:f>IF(AND($A460&gt;='Control Room'!$A$13,$A460&lt;'Control Room'!$A$13+'Control Room'!$B$13,'Process'!BO2=1),1+('Control Room'!$C$13-1)*EXP(-0.5*(($A460-'Control Room'!$A$13-('Control Room'!$B$13-1)/2)/MAX(0.5,'Control Room'!$B$13/4))^2),1)*IF(AND($A460&gt;='Control Room'!$A$14,$A460&lt;'Control Room'!$A$14+'Control Room'!$B$14,'Process'!BO3=1),1+('Control Room'!$C$14-1)*EXP(-0.5*(($A460-'Control Room'!$A$14-('Control Room'!$B$14-1)/2)/MAX(0.5,'Control Room'!$B$14/4))^2),1)*IF(AND($A460&gt;='Control Room'!$A$15,$A460&lt;'Control Room'!$A$15+'Control Room'!$B$15,'Process'!BO4=1),1+('Control Room'!$C$15-1)*EXP(-0.5*(($A460-'Control Room'!$A$15-('Control Room'!$B$15-1)/2)/MAX(0.5,'Control Room'!$B$15/4))^2),1)*IF(AND($A460&gt;='Control Room'!$A$16,$A460&lt;'Control Room'!$A$16+'Control Room'!$B$16,'Process'!BO5=1),1+('Control Room'!$C$16-1)*EXP(-0.5*(($A460-'Control Room'!$A$16-('Control Room'!$B$16-1)/2)/MAX(0.5,'Control Room'!$B$16/4))^2),1)</x:f>
        <x:v>1</x:v>
      </x:c>
      <x:c r="AA460" s="9" t="n">
        <x:f>MOD(AB459*16807,2147483647)</x:f>
        <x:v>1998606612</x:v>
      </x:c>
      <x:c r="AB460" s="9" t="n">
        <x:f>MOD(AA460*16807,2147483647)</x:f>
        <x:v>1789605157</x:v>
      </x:c>
      <x:c r="AC460" s="17" t="n">
        <x:f>IF('Control Room'!$B$5="Normal",'Control Room'!$B$7+'Control Room'!$D$7*SQRT(-2*LN(MAX(0.000000000001,AA460/2147483647)))*COS(2*PI()*AB460/2147483647),'Control Room'!$B$8+('Control Room'!$D$8-'Control Room'!$B$8)*AA460/2147483647)</x:f>
        <x:v>1017.0611532061286</x:v>
      </x:c>
      <x:c r="AD460" s="17" t="n">
        <x:f>IF('Control Room'!$B$5="Normal",'Control Room'!$B$7,('Control Room'!$B$8+'Control Room'!$D$8)/2)+'Control Room'!$B$9*(AD459-IF('Control Room'!$B$5="Normal",'Control Room'!$B$7,('Control Room'!$B$8+'Control Room'!$D$8)/2))+SQRT(1-'Control Room'!$B$9^2)*(AC460-IF('Control Room'!$B$5="Normal",'Control Room'!$B$7,('Control Room'!$B$8+'Control Room'!$D$8)/2))</x:f>
        <x:v>1031.0292839466454</x:v>
      </x:c>
      <x:c r="AE460" s="17" t="n">
        <x:f>IF(AND($A460&gt;='Control Room'!$A$13,$A460&lt;'Control Room'!$A$13+'Control Room'!$B$13,'Process'!BP2=1),1+('Control Room'!$C$13-1)*EXP(-0.5*(($A460-'Control Room'!$A$13-('Control Room'!$B$13-1)/2)/MAX(0.5,'Control Room'!$B$13/4))^2),1)*IF(AND($A460&gt;='Control Room'!$A$14,$A460&lt;'Control Room'!$A$14+'Control Room'!$B$14,'Process'!BP3=1),1+('Control Room'!$C$14-1)*EXP(-0.5*(($A460-'Control Room'!$A$14-('Control Room'!$B$14-1)/2)/MAX(0.5,'Control Room'!$B$14/4))^2),1)*IF(AND($A460&gt;='Control Room'!$A$15,$A460&lt;'Control Room'!$A$15+'Control Room'!$B$15,'Process'!BP4=1),1+('Control Room'!$C$15-1)*EXP(-0.5*(($A460-'Control Room'!$A$15-('Control Room'!$B$15-1)/2)/MAX(0.5,'Control Room'!$B$15/4))^2),1)*IF(AND($A460&gt;='Control Room'!$A$16,$A460&lt;'Control Room'!$A$16+'Control Room'!$B$16,'Process'!BP5=1),1+('Control Room'!$C$16-1)*EXP(-0.5*(($A460-'Control Room'!$A$16-('Control Room'!$B$16-1)/2)/MAX(0.5,'Control Room'!$B$16/4))^2),1)</x:f>
        <x:v>1</x:v>
      </x:c>
      <x:c r="AF460" s="9" t="n">
        <x:f>MOD(AG459*16807,2147483647)</x:f>
        <x:v>104770170</x:v>
      </x:c>
      <x:c r="AG460" s="9" t="n">
        <x:f>MOD(AF460*16807,2147483647)</x:f>
        <x:v>2083140297</x:v>
      </x:c>
      <x:c r="AH460" s="17" t="n">
        <x:f>IF('Control Room'!$B$5="Normal",'Control Room'!$B$7+'Control Room'!$D$7*SQRT(-2*LN(MAX(0.000000000001,AF460/2147483647)))*COS(2*PI()*AG460/2147483647),'Control Room'!$B$8+('Control Room'!$D$8-'Control Room'!$B$8)*AF460/2147483647)</x:f>
        <x:v>1217.2898747488116</x:v>
      </x:c>
      <x:c r="AI460" s="17" t="n">
        <x:f>IF('Control Room'!$B$5="Normal",'Control Room'!$B$7,('Control Room'!$B$8+'Control Room'!$D$8)/2)+'Control Room'!$B$9*(AI459-IF('Control Room'!$B$5="Normal",'Control Room'!$B$7,('Control Room'!$B$8+'Control Room'!$D$8)/2))+SQRT(1-'Control Room'!$B$9^2)*(AH460-IF('Control Room'!$B$5="Normal",'Control Room'!$B$7,('Control Room'!$B$8+'Control Room'!$D$8)/2))</x:f>
        <x:v>1129.3462644927727</x:v>
      </x:c>
      <x:c r="AJ460" s="17" t="n">
        <x:f>IF(AND($A460&gt;='Control Room'!$A$13,$A460&lt;'Control Room'!$A$13+'Control Room'!$B$13,'Process'!BQ2=1),1+('Control Room'!$C$13-1)*EXP(-0.5*(($A460-'Control Room'!$A$13-('Control Room'!$B$13-1)/2)/MAX(0.5,'Control Room'!$B$13/4))^2),1)*IF(AND($A460&gt;='Control Room'!$A$14,$A460&lt;'Control Room'!$A$14+'Control Room'!$B$14,'Process'!BQ3=1),1+('Control Room'!$C$14-1)*EXP(-0.5*(($A460-'Control Room'!$A$14-('Control Room'!$B$14-1)/2)/MAX(0.5,'Control Room'!$B$14/4))^2),1)*IF(AND($A460&gt;='Control Room'!$A$15,$A460&lt;'Control Room'!$A$15+'Control Room'!$B$15,'Process'!BQ4=1),1+('Control Room'!$C$15-1)*EXP(-0.5*(($A460-'Control Room'!$A$15-('Control Room'!$B$15-1)/2)/MAX(0.5,'Control Room'!$B$15/4))^2),1)*IF(AND($A460&gt;='Control Room'!$A$16,$A460&lt;'Control Room'!$A$16+'Control Room'!$B$16,'Process'!BQ5=1),1+('Control Room'!$C$16-1)*EXP(-0.5*(($A460-'Control Room'!$A$16-('Control Room'!$B$16-1)/2)/MAX(0.5,'Control Room'!$B$16/4))^2),1)</x:f>
        <x:v>1</x:v>
      </x:c>
      <x:c r="AK460" s="9" t="n">
        <x:f>MOD(AL459*16807,2147483647)</x:f>
        <x:v>358417375</x:v>
      </x:c>
      <x:c r="AL460" s="9" t="n">
        <x:f>MOD(AK460*16807,2147483647)</x:f>
        <x:v>229191790</x:v>
      </x:c>
      <x:c r="AM460" s="17" t="n">
        <x:f>IF('Control Room'!$B$5="Normal",'Control Room'!$B$7+'Control Room'!$D$7*SQRT(-2*LN(MAX(0.000000000001,AK460/2147483647)))*COS(2*PI()*AL460/2147483647),'Control Room'!$B$8+('Control Room'!$D$8-'Control Room'!$B$8)*AK460/2147483647)</x:f>
        <x:v>1133.4275000482646</x:v>
      </x:c>
      <x:c r="AN460" s="17" t="n">
        <x:f>IF('Control Room'!$B$5="Normal",'Control Room'!$B$7,('Control Room'!$B$8+'Control Room'!$D$8)/2)+'Control Room'!$B$9*(AN459-IF('Control Room'!$B$5="Normal",'Control Room'!$B$7,('Control Room'!$B$8+'Control Room'!$D$8)/2))+SQRT(1-'Control Room'!$B$9^2)*(AM460-IF('Control Room'!$B$5="Normal",'Control Room'!$B$7,('Control Room'!$B$8+'Control Room'!$D$8)/2))</x:f>
        <x:v>1078.9898442394015</x:v>
      </x:c>
      <x:c r="AO460" s="17" t="n">
        <x:f>IF(AND($A460&gt;='Control Room'!$A$13,$A460&lt;'Control Room'!$A$13+'Control Room'!$B$13,'Process'!BR2=1),1+('Control Room'!$C$13-1)*EXP(-0.5*(($A460-'Control Room'!$A$13-('Control Room'!$B$13-1)/2)/MAX(0.5,'Control Room'!$B$13/4))^2),1)*IF(AND($A460&gt;='Control Room'!$A$14,$A460&lt;'Control Room'!$A$14+'Control Room'!$B$14,'Process'!BR3=1),1+('Control Room'!$C$14-1)*EXP(-0.5*(($A460-'Control Room'!$A$14-('Control Room'!$B$14-1)/2)/MAX(0.5,'Control Room'!$B$14/4))^2),1)*IF(AND($A460&gt;='Control Room'!$A$15,$A460&lt;'Control Room'!$A$15+'Control Room'!$B$15,'Process'!BR4=1),1+('Control Room'!$C$15-1)*EXP(-0.5*(($A460-'Control Room'!$A$15-('Control Room'!$B$15-1)/2)/MAX(0.5,'Control Room'!$B$15/4))^2),1)*IF(AND($A460&gt;='Control Room'!$A$16,$A460&lt;'Control Room'!$A$16+'Control Room'!$B$16,'Process'!BR5=1),1+('Control Room'!$C$16-1)*EXP(-0.5*(($A460-'Control Room'!$A$16-('Control Room'!$B$16-1)/2)/MAX(0.5,'Control Room'!$B$16/4))^2),1)</x:f>
        <x:v>1</x:v>
      </x:c>
      <x:c r="AP460" s="9" t="n">
        <x:f>MOD(AQ459*16807,2147483647)</x:f>
        <x:v>612064580</x:v>
      </x:c>
      <x:c r="AQ460" s="9" t="n">
        <x:f>MOD(AP460*16807,2147483647)</x:f>
        <x:v>522726930</x:v>
      </x:c>
      <x:c r="AR460" s="17" t="n">
        <x:f>IF('Control Room'!$B$5="Normal",'Control Room'!$B$7+'Control Room'!$D$7*SQRT(-2*LN(MAX(0.000000000001,AP460/2147483647)))*COS(2*PI()*AQ460/2147483647),'Control Room'!$B$8+('Control Room'!$D$8-'Control Room'!$B$8)*AP460/2147483647)</x:f>
        <x:v>1005.8994858057437</x:v>
      </x:c>
      <x:c r="AS460" s="17" t="n">
        <x:f>IF('Control Room'!$B$5="Normal",'Control Room'!$B$7,('Control Room'!$B$8+'Control Room'!$D$8)/2)+'Control Room'!$B$9*(AS459-IF('Control Room'!$B$5="Normal",'Control Room'!$B$7,('Control Room'!$B$8+'Control Room'!$D$8)/2))+SQRT(1-'Control Room'!$B$9^2)*(AR460-IF('Control Room'!$B$5="Normal",'Control Room'!$B$7,('Control Room'!$B$8+'Control Room'!$D$8)/2))</x:f>
        <x:v>1071.228938658107</x:v>
      </x:c>
      <x:c r="AT460" s="17" t="n">
        <x:f>IF(AND($A460&gt;='Control Room'!$A$13,$A460&lt;'Control Room'!$A$13+'Control Room'!$B$13,'Process'!BS2=1),1+('Control Room'!$C$13-1)*EXP(-0.5*(($A460-'Control Room'!$A$13-('Control Room'!$B$13-1)/2)/MAX(0.5,'Control Room'!$B$13/4))^2),1)*IF(AND($A460&gt;='Control Room'!$A$14,$A460&lt;'Control Room'!$A$14+'Control Room'!$B$14,'Process'!BS3=1),1+('Control Room'!$C$14-1)*EXP(-0.5*(($A460-'Control Room'!$A$14-('Control Room'!$B$14-1)/2)/MAX(0.5,'Control Room'!$B$14/4))^2),1)*IF(AND($A460&gt;='Control Room'!$A$15,$A460&lt;'Control Room'!$A$15+'Control Room'!$B$15,'Process'!BS4=1),1+('Control Room'!$C$15-1)*EXP(-0.5*(($A460-'Control Room'!$A$15-('Control Room'!$B$15-1)/2)/MAX(0.5,'Control Room'!$B$15/4))^2),1)*IF(AND($A460&gt;='Control Room'!$A$16,$A460&lt;'Control Room'!$A$16+'Control Room'!$B$16,'Process'!BS5=1),1+('Control Room'!$C$16-1)*EXP(-0.5*(($A460-'Control Room'!$A$16-('Control Room'!$B$16-1)/2)/MAX(0.5,'Control Room'!$B$16/4))^2),1)</x:f>
        <x:v>1</x:v>
      </x:c>
      <x:c r="AU460" s="9" t="n">
        <x:f>MOD(AV459*16807,2147483647)</x:f>
        <x:v>865711785</x:v>
      </x:c>
      <x:c r="AV460" s="9" t="n">
        <x:f>MOD(AU460*16807,2147483647)</x:f>
        <x:v>816262070</x:v>
      </x:c>
      <x:c r="AW460" s="17" t="n">
        <x:f>IF('Control Room'!$B$5="Normal",'Control Room'!$B$7+'Control Room'!$D$7*SQRT(-2*LN(MAX(0.000000000001,AU460/2147483647)))*COS(2*PI()*AV460/2147483647),'Control Room'!$B$8+('Control Room'!$D$8-'Control Room'!$B$8)*AU460/2147483647)</x:f>
        <x:v>911.5110361369825</x:v>
      </x:c>
      <x:c r="AX460" s="17" t="n">
        <x:f>IF('Control Room'!$B$5="Normal",'Control Room'!$B$7,('Control Room'!$B$8+'Control Room'!$D$8)/2)+'Control Room'!$B$9*(AX459-IF('Control Room'!$B$5="Normal",'Control Room'!$B$7,('Control Room'!$B$8+'Control Room'!$D$8)/2))+SQRT(1-'Control Room'!$B$9^2)*(AW460-IF('Control Room'!$B$5="Normal",'Control Room'!$B$7,('Control Room'!$B$8+'Control Room'!$D$8)/2))</x:f>
        <x:v>996.0084833739973</x:v>
      </x:c>
      <x:c r="AY460" s="17" t="n">
        <x:f>IF(AND($A460&gt;='Control Room'!$A$13,$A460&lt;'Control Room'!$A$13+'Control Room'!$B$13,'Process'!BT2=1),1+('Control Room'!$C$13-1)*EXP(-0.5*(($A460-'Control Room'!$A$13-('Control Room'!$B$13-1)/2)/MAX(0.5,'Control Room'!$B$13/4))^2),1)*IF(AND($A460&gt;='Control Room'!$A$14,$A460&lt;'Control Room'!$A$14+'Control Room'!$B$14,'Process'!BT3=1),1+('Control Room'!$C$14-1)*EXP(-0.5*(($A460-'Control Room'!$A$14-('Control Room'!$B$14-1)/2)/MAX(0.5,'Control Room'!$B$14/4))^2),1)*IF(AND($A460&gt;='Control Room'!$A$15,$A460&lt;'Control Room'!$A$15+'Control Room'!$B$15,'Process'!BT4=1),1+('Control Room'!$C$15-1)*EXP(-0.5*(($A460-'Control Room'!$A$15-('Control Room'!$B$15-1)/2)/MAX(0.5,'Control Room'!$B$15/4))^2),1)*IF(AND($A460&gt;='Control Room'!$A$16,$A460&lt;'Control Room'!$A$16+'Control Room'!$B$16,'Process'!BT5=1),1+('Control Room'!$C$16-1)*EXP(-0.5*(($A460-'Control Room'!$A$16-('Control Room'!$B$16-1)/2)/MAX(0.5,'Control Room'!$B$16/4))^2),1)</x:f>
        <x:v>1</x:v>
      </x:c>
      <x:c r="AZ460" s="9" t="n">
        <x:f>MOD(BA459*16807,2147483647)</x:f>
        <x:v>1119358990</x:v>
      </x:c>
      <x:c r="BA460" s="9" t="n">
        <x:f>MOD(AZ460*16807,2147483647)</x:f>
        <x:v>1109797210</x:v>
      </x:c>
      <x:c r="BB460" s="17" t="n">
        <x:f>IF('Control Room'!$B$5="Normal",'Control Room'!$B$7+'Control Room'!$D$7*SQRT(-2*LN(MAX(0.000000000001,AZ460/2147483647)))*COS(2*PI()*BA460/2147483647),'Control Room'!$B$8+('Control Room'!$D$8-'Control Room'!$B$8)*AZ460/2147483647)</x:f>
        <x:v>897.8338096085413</x:v>
      </x:c>
      <x:c r="BC460" s="17" t="n">
        <x:f>IF('Control Room'!$B$5="Normal",'Control Room'!$B$7,('Control Room'!$B$8+'Control Room'!$D$8)/2)+'Control Room'!$B$9*(BC459-IF('Control Room'!$B$5="Normal",'Control Room'!$B$7,('Control Room'!$B$8+'Control Room'!$D$8)/2))+SQRT(1-'Control Room'!$B$9^2)*(BB460-IF('Control Room'!$B$5="Normal",'Control Room'!$B$7,('Control Room'!$B$8+'Control Room'!$D$8)/2))</x:f>
        <x:v>988.5016674152868</x:v>
      </x:c>
      <x:c r="BD460" s="17" t="n">
        <x:f>IF(AND($A460&gt;='Control Room'!$A$13,$A460&lt;'Control Room'!$A$13+'Control Room'!$B$13,'Process'!BU2=1),1+('Control Room'!$C$13-1)*EXP(-0.5*(($A460-'Control Room'!$A$13-('Control Room'!$B$13-1)/2)/MAX(0.5,'Control Room'!$B$13/4))^2),1)*IF(AND($A460&gt;='Control Room'!$A$14,$A460&lt;'Control Room'!$A$14+'Control Room'!$B$14,'Process'!BU3=1),1+('Control Room'!$C$14-1)*EXP(-0.5*(($A460-'Control Room'!$A$14-('Control Room'!$B$14-1)/2)/MAX(0.5,'Control Room'!$B$14/4))^2),1)*IF(AND($A460&gt;='Control Room'!$A$15,$A460&lt;'Control Room'!$A$15+'Control Room'!$B$15,'Process'!BU4=1),1+('Control Room'!$C$15-1)*EXP(-0.5*(($A460-'Control Room'!$A$15-('Control Room'!$B$15-1)/2)/MAX(0.5,'Control Room'!$B$15/4))^2),1)*IF(AND($A460&gt;='Control Room'!$A$16,$A460&lt;'Control Room'!$A$16+'Control Room'!$B$16,'Process'!BU5=1),1+('Control Room'!$C$16-1)*EXP(-0.5*(($A460-'Control Room'!$A$16-('Control Room'!$B$16-1)/2)/MAX(0.5,'Control Room'!$B$16/4))^2),1)</x:f>
        <x:v>1</x:v>
      </x:c>
      <x:c r="BE460" s="9" t="n">
        <x:f>MOD(BF459*16807,2147483647)</x:f>
        <x:v>1373006195</x:v>
      </x:c>
      <x:c r="BF460" s="9" t="n">
        <x:f>MOD(BE460*16807,2147483647)</x:f>
        <x:v>1403332350</x:v>
      </x:c>
      <x:c r="BG460" s="17" t="n">
        <x:f>IF('Control Room'!$B$5="Normal",'Control Room'!$B$7+'Control Room'!$D$7*SQRT(-2*LN(MAX(0.000000000001,BE460/2147483647)))*COS(2*PI()*BF460/2147483647),'Control Room'!$B$8+('Control Room'!$D$8-'Control Room'!$B$8)*BE460/2147483647)</x:f>
        <x:v>951.4817041716892</x:v>
      </x:c>
      <x:c r="BH460" s="17" t="n">
        <x:f>IF('Control Room'!$B$5="Normal",'Control Room'!$B$7,('Control Room'!$B$8+'Control Room'!$D$8)/2)+'Control Room'!$B$9*(BH459-IF('Control Room'!$B$5="Normal",'Control Room'!$B$7,('Control Room'!$B$8+'Control Room'!$D$8)/2))+SQRT(1-'Control Room'!$B$9^2)*(BG460-IF('Control Room'!$B$5="Normal",'Control Room'!$B$7,('Control Room'!$B$8+'Control Room'!$D$8)/2))</x:f>
        <x:v>838.4894686077772</x:v>
      </x:c>
      <x:c r="BI460" s="17" t="n">
        <x:f>IF(AND($A460&gt;='Control Room'!$A$13,$A460&lt;'Control Room'!$A$13+'Control Room'!$B$13,'Process'!BV2=1),1+('Control Room'!$C$13-1)*EXP(-0.5*(($A460-'Control Room'!$A$13-('Control Room'!$B$13-1)/2)/MAX(0.5,'Control Room'!$B$13/4))^2),1)*IF(AND($A460&gt;='Control Room'!$A$14,$A460&lt;'Control Room'!$A$14+'Control Room'!$B$14,'Process'!BV3=1),1+('Control Room'!$C$14-1)*EXP(-0.5*(($A460-'Control Room'!$A$14-('Control Room'!$B$14-1)/2)/MAX(0.5,'Control Room'!$B$14/4))^2),1)*IF(AND($A460&gt;='Control Room'!$A$15,$A460&lt;'Control Room'!$A$15+'Control Room'!$B$15,'Process'!BV4=1),1+('Control Room'!$C$15-1)*EXP(-0.5*(($A460-'Control Room'!$A$15-('Control Room'!$B$15-1)/2)/MAX(0.5,'Control Room'!$B$15/4))^2),1)*IF(AND($A460&gt;='Control Room'!$A$16,$A460&lt;'Control Room'!$A$16+'Control Room'!$B$16,'Process'!BV5=1),1+('Control Room'!$C$16-1)*EXP(-0.5*(($A460-'Control Room'!$A$16-('Control Room'!$B$16-1)/2)/MAX(0.5,'Control Room'!$B$16/4))^2),1)</x:f>
        <x:v>1</x:v>
      </x:c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Z460" t="str">
        <x:f>IF('Data'!A460="","",TEXT('Data'!A460,"mm-dd"))</x:f>
      </x:c>
    </x:row>
    <x:row r="461" ht="21" customHeight="1">
      <x:c r="A461" s="15" t="n">
        <x:f>'Control Room'!$B$1+459</x:f>
        <x:v>73450</x:v>
      </x:c>
      <x:c r="B461" s="9" t="n">
        <x:f>MOD(C460*16807,2147483647)</x:f>
        <x:v>1157077006</x:v>
      </x:c>
      <x:c r="C461" s="9" t="n">
        <x:f>MOD(B461*16807,2147483647)</x:f>
        <x:v>1528816257</x:v>
      </x:c>
      <x:c r="D461" s="17" t="n">
        <x:f>IF('Control Room'!$B$5="Normal",'Control Room'!$B$7+'Control Room'!$D$7*SQRT(-2*LN(MAX(0.000000000001,B461/2147483647)))*COS(2*PI()*C461/2147483647),'Control Room'!$B$8+('Control Room'!$D$8-'Control Room'!$B$8)*B461/2147483647)</x:f>
        <x:v>976.2740787243317</x:v>
      </x:c>
      <x:c r="E461" s="17" t="n">
        <x:f>IF('Control Room'!$B$5="Normal",'Control Room'!$B$7,('Control Room'!$B$8+'Control Room'!$D$8)/2)+'Control Room'!$B$9*(E460-IF('Control Room'!$B$5="Normal",'Control Room'!$B$7,('Control Room'!$B$8+'Control Room'!$D$8)/2))+SQRT(1-'Control Room'!$B$9^2)*(D461-IF('Control Room'!$B$5="Normal",'Control Room'!$B$7,('Control Room'!$B$8+'Control Room'!$D$8)/2))</x:f>
        <x:v>987.9282129972623</x:v>
      </x:c>
      <x:c r="F461" s="17" t="n">
        <x:f>IF(AND($A461&gt;='Control Room'!$A$13,$A461&lt;'Control Room'!$A$13+'Control Room'!$B$13,'Process'!BK2=1),1+('Control Room'!$C$13-1)*EXP(-0.5*(($A461-'Control Room'!$A$13-('Control Room'!$B$13-1)/2)/MAX(0.5,'Control Room'!$B$13/4))^2),1)*IF(AND($A461&gt;='Control Room'!$A$14,$A461&lt;'Control Room'!$A$14+'Control Room'!$B$14,'Process'!BK3=1),1+('Control Room'!$C$14-1)*EXP(-0.5*(($A461-'Control Room'!$A$14-('Control Room'!$B$14-1)/2)/MAX(0.5,'Control Room'!$B$14/4))^2),1)*IF(AND($A461&gt;='Control Room'!$A$15,$A461&lt;'Control Room'!$A$15+'Control Room'!$B$15,'Process'!BK4=1),1+('Control Room'!$C$15-1)*EXP(-0.5*(($A461-'Control Room'!$A$15-('Control Room'!$B$15-1)/2)/MAX(0.5,'Control Room'!$B$15/4))^2),1)*IF(AND($A461&gt;='Control Room'!$A$16,$A461&lt;'Control Room'!$A$16+'Control Room'!$B$16,'Process'!BK5=1),1+('Control Room'!$C$16-1)*EXP(-0.5*(($A461-'Control Room'!$A$16-('Control Room'!$B$16-1)/2)/MAX(0.5,'Control Room'!$B$16/4))^2),1)</x:f>
        <x:v>1</x:v>
      </x:c>
      <x:c r="G461" s="9" t="n">
        <x:f>MOD(H460*16807,2147483647)</x:f>
        <x:v>1832237827</x:v>
      </x:c>
      <x:c r="H461" s="9" t="n">
        <x:f>MOD(G461*16807,2147483647)</x:f>
        <x:v>1653144056</x:v>
      </x:c>
      <x:c r="I461" s="17" t="n">
        <x:f>IF('Control Room'!$B$5="Normal",'Control Room'!$B$7+'Control Room'!$D$7*SQRT(-2*LN(MAX(0.000000000001,G461/2147483647)))*COS(2*PI()*H461/2147483647),'Control Room'!$B$8+('Control Room'!$D$8-'Control Room'!$B$8)*G461/2147483647)</x:f>
        <x:v>1006.2945354948984</x:v>
      </x:c>
      <x:c r="J461" s="17" t="n">
        <x:f>IF('Control Room'!$B$5="Normal",'Control Room'!$B$7,('Control Room'!$B$8+'Control Room'!$D$8)/2)+'Control Room'!$B$9*(J460-IF('Control Room'!$B$5="Normal",'Control Room'!$B$7,('Control Room'!$B$8+'Control Room'!$D$8)/2))+SQRT(1-'Control Room'!$B$9^2)*(I461-IF('Control Room'!$B$5="Normal",'Control Room'!$B$7,('Control Room'!$B$8+'Control Room'!$D$8)/2))</x:f>
        <x:v>1006.1878461087284</x:v>
      </x:c>
      <x:c r="K461" s="17" t="n">
        <x:f>IF(AND($A461&gt;='Control Room'!$A$13,$A461&lt;'Control Room'!$A$13+'Control Room'!$B$13,'Process'!BL2=1),1+('Control Room'!$C$13-1)*EXP(-0.5*(($A461-'Control Room'!$A$13-('Control Room'!$B$13-1)/2)/MAX(0.5,'Control Room'!$B$13/4))^2),1)*IF(AND($A461&gt;='Control Room'!$A$14,$A461&lt;'Control Room'!$A$14+'Control Room'!$B$14,'Process'!BL3=1),1+('Control Room'!$C$14-1)*EXP(-0.5*(($A461-'Control Room'!$A$14-('Control Room'!$B$14-1)/2)/MAX(0.5,'Control Room'!$B$14/4))^2),1)*IF(AND($A461&gt;='Control Room'!$A$15,$A461&lt;'Control Room'!$A$15+'Control Room'!$B$15,'Process'!BL4=1),1+('Control Room'!$C$15-1)*EXP(-0.5*(($A461-'Control Room'!$A$15-('Control Room'!$B$15-1)/2)/MAX(0.5,'Control Room'!$B$15/4))^2),1)*IF(AND($A461&gt;='Control Room'!$A$16,$A461&lt;'Control Room'!$A$16+'Control Room'!$B$16,'Process'!BL5=1),1+('Control Room'!$C$16-1)*EXP(-0.5*(($A461-'Control Room'!$A$16-('Control Room'!$B$16-1)/2)/MAX(0.5,'Control Room'!$B$16/4))^2),1)</x:f>
        <x:v>1</x:v>
      </x:c>
      <x:c r="L461" s="9" t="n">
        <x:f>MOD(M460*16807,2147483647)</x:f>
        <x:v>359915001</x:v>
      </x:c>
      <x:c r="M461" s="9" t="n">
        <x:f>MOD(L461*16807,2147483647)</x:f>
        <x:v>1777471855</x:v>
      </x:c>
      <x:c r="N461" s="17" t="n">
        <x:f>IF('Control Room'!$B$5="Normal",'Control Room'!$B$7+'Control Room'!$D$7*SQRT(-2*LN(MAX(0.000000000001,L461/2147483647)))*COS(2*PI()*M461/2147483647),'Control Room'!$B$8+('Control Room'!$D$8-'Control Room'!$B$8)*L461/2147483647)</x:f>
        <x:v>1079.7865449168314</x:v>
      </x:c>
      <x:c r="O461" s="17" t="n">
        <x:f>IF('Control Room'!$B$5="Normal",'Control Room'!$B$7,('Control Room'!$B$8+'Control Room'!$D$8)/2)+'Control Room'!$B$9*(O460-IF('Control Room'!$B$5="Normal",'Control Room'!$B$7,('Control Room'!$B$8+'Control Room'!$D$8)/2))+SQRT(1-'Control Room'!$B$9^2)*(N461-IF('Control Room'!$B$5="Normal",'Control Room'!$B$7,('Control Room'!$B$8+'Control Room'!$D$8)/2))</x:f>
        <x:v>1005.5018454312334</x:v>
      </x:c>
      <x:c r="P461" s="17" t="n">
        <x:f>IF(AND($A461&gt;='Control Room'!$A$13,$A461&lt;'Control Room'!$A$13+'Control Room'!$B$13,'Process'!BM2=1),1+('Control Room'!$C$13-1)*EXP(-0.5*(($A461-'Control Room'!$A$13-('Control Room'!$B$13-1)/2)/MAX(0.5,'Control Room'!$B$13/4))^2),1)*IF(AND($A461&gt;='Control Room'!$A$14,$A461&lt;'Control Room'!$A$14+'Control Room'!$B$14,'Process'!BM3=1),1+('Control Room'!$C$14-1)*EXP(-0.5*(($A461-'Control Room'!$A$14-('Control Room'!$B$14-1)/2)/MAX(0.5,'Control Room'!$B$14/4))^2),1)*IF(AND($A461&gt;='Control Room'!$A$15,$A461&lt;'Control Room'!$A$15+'Control Room'!$B$15,'Process'!BM4=1),1+('Control Room'!$C$15-1)*EXP(-0.5*(($A461-'Control Room'!$A$15-('Control Room'!$B$15-1)/2)/MAX(0.5,'Control Room'!$B$15/4))^2),1)*IF(AND($A461&gt;='Control Room'!$A$16,$A461&lt;'Control Room'!$A$16+'Control Room'!$B$16,'Process'!BM5=1),1+('Control Room'!$C$16-1)*EXP(-0.5*(($A461-'Control Room'!$A$16-('Control Room'!$B$16-1)/2)/MAX(0.5,'Control Room'!$B$16/4))^2),1)</x:f>
        <x:v>1</x:v>
      </x:c>
      <x:c r="Q461" s="9" t="n">
        <x:f>MOD(R460*16807,2147483647)</x:f>
        <x:v>1035075822</x:v>
      </x:c>
      <x:c r="R461" s="9" t="n">
        <x:f>MOD(Q461*16807,2147483647)</x:f>
        <x:v>1901799654</x:v>
      </x:c>
      <x:c r="S461" s="17" t="n">
        <x:f>IF('Control Room'!$B$5="Normal",'Control Room'!$B$7+'Control Room'!$D$7*SQRT(-2*LN(MAX(0.000000000001,Q461/2147483647)))*COS(2*PI()*R461/2147483647),'Control Room'!$B$8+('Control Room'!$D$8-'Control Room'!$B$8)*Q461/2147483647)</x:f>
        <x:v>1081.8307155710079</x:v>
      </x:c>
      <x:c r="T461" s="17" t="n">
        <x:f>IF('Control Room'!$B$5="Normal",'Control Room'!$B$7,('Control Room'!$B$8+'Control Room'!$D$8)/2)+'Control Room'!$B$9*(T460-IF('Control Room'!$B$5="Normal",'Control Room'!$B$7,('Control Room'!$B$8+'Control Room'!$D$8)/2))+SQRT(1-'Control Room'!$B$9^2)*(S461-IF('Control Room'!$B$5="Normal",'Control Room'!$B$7,('Control Room'!$B$8+'Control Room'!$D$8)/2))</x:f>
        <x:v>1117.2358889735956</x:v>
      </x:c>
      <x:c r="U461" s="17" t="n">
        <x:f>IF(AND($A461&gt;='Control Room'!$A$13,$A461&lt;'Control Room'!$A$13+'Control Room'!$B$13,'Process'!BN2=1),1+('Control Room'!$C$13-1)*EXP(-0.5*(($A461-'Control Room'!$A$13-('Control Room'!$B$13-1)/2)/MAX(0.5,'Control Room'!$B$13/4))^2),1)*IF(AND($A461&gt;='Control Room'!$A$14,$A461&lt;'Control Room'!$A$14+'Control Room'!$B$14,'Process'!BN3=1),1+('Control Room'!$C$14-1)*EXP(-0.5*(($A461-'Control Room'!$A$14-('Control Room'!$B$14-1)/2)/MAX(0.5,'Control Room'!$B$14/4))^2),1)*IF(AND($A461&gt;='Control Room'!$A$15,$A461&lt;'Control Room'!$A$15+'Control Room'!$B$15,'Process'!BN4=1),1+('Control Room'!$C$15-1)*EXP(-0.5*(($A461-'Control Room'!$A$15-('Control Room'!$B$15-1)/2)/MAX(0.5,'Control Room'!$B$15/4))^2),1)*IF(AND($A461&gt;='Control Room'!$A$16,$A461&lt;'Control Room'!$A$16+'Control Room'!$B$16,'Process'!BN5=1),1+('Control Room'!$C$16-1)*EXP(-0.5*(($A461-'Control Room'!$A$16-('Control Room'!$B$16-1)/2)/MAX(0.5,'Control Room'!$B$16/4))^2),1)</x:f>
        <x:v>1</x:v>
      </x:c>
      <x:c r="V461" s="9" t="n">
        <x:f>MOD(W460*16807,2147483647)</x:f>
        <x:v>1710236643</x:v>
      </x:c>
      <x:c r="W461" s="9" t="n">
        <x:f>MOD(V461*16807,2147483647)</x:f>
        <x:v>2026127453</x:v>
      </x:c>
      <x:c r="X461" s="17" t="n">
        <x:f>IF('Control Room'!$B$5="Normal",'Control Room'!$B$7+'Control Room'!$D$7*SQRT(-2*LN(MAX(0.000000000001,V461/2147483647)))*COS(2*PI()*W461/2147483647),'Control Room'!$B$8+('Control Room'!$D$8-'Control Room'!$B$8)*V461/2147483647)</x:f>
        <x:v>1056.9421394861606</x:v>
      </x:c>
      <x:c r="Y461" s="17" t="n">
        <x:f>IF('Control Room'!$B$5="Normal",'Control Room'!$B$7,('Control Room'!$B$8+'Control Room'!$D$8)/2)+'Control Room'!$B$9*(Y460-IF('Control Room'!$B$5="Normal",'Control Room'!$B$7,('Control Room'!$B$8+'Control Room'!$D$8)/2))+SQRT(1-'Control Room'!$B$9^2)*(X461-IF('Control Room'!$B$5="Normal",'Control Room'!$B$7,('Control Room'!$B$8+'Control Room'!$D$8)/2))</x:f>
        <x:v>1064.4465223690734</x:v>
      </x:c>
      <x:c r="Z461" s="17" t="n">
        <x:f>IF(AND($A461&gt;='Control Room'!$A$13,$A461&lt;'Control Room'!$A$13+'Control Room'!$B$13,'Process'!BO2=1),1+('Control Room'!$C$13-1)*EXP(-0.5*(($A461-'Control Room'!$A$13-('Control Room'!$B$13-1)/2)/MAX(0.5,'Control Room'!$B$13/4))^2),1)*IF(AND($A461&gt;='Control Room'!$A$14,$A461&lt;'Control Room'!$A$14+'Control Room'!$B$14,'Process'!BO3=1),1+('Control Room'!$C$14-1)*EXP(-0.5*(($A461-'Control Room'!$A$14-('Control Room'!$B$14-1)/2)/MAX(0.5,'Control Room'!$B$14/4))^2),1)*IF(AND($A461&gt;='Control Room'!$A$15,$A461&lt;'Control Room'!$A$15+'Control Room'!$B$15,'Process'!BO4=1),1+('Control Room'!$C$15-1)*EXP(-0.5*(($A461-'Control Room'!$A$15-('Control Room'!$B$15-1)/2)/MAX(0.5,'Control Room'!$B$15/4))^2),1)*IF(AND($A461&gt;='Control Room'!$A$16,$A461&lt;'Control Room'!$A$16+'Control Room'!$B$16,'Process'!BO5=1),1+('Control Room'!$C$16-1)*EXP(-0.5*(($A461-'Control Room'!$A$16-('Control Room'!$B$16-1)/2)/MAX(0.5,'Control Room'!$B$16/4))^2),1)</x:f>
        <x:v>1</x:v>
      </x:c>
      <x:c r="AA461" s="9" t="n">
        <x:f>MOD(AB460*16807,2147483647)</x:f>
        <x:v>237913817</x:v>
      </x:c>
      <x:c r="AB461" s="9" t="n">
        <x:f>MOD(AA461*16807,2147483647)</x:f>
        <x:v>2971605</x:v>
      </x:c>
      <x:c r="AC461" s="17" t="n">
        <x:f>IF('Control Room'!$B$5="Normal",'Control Room'!$B$7+'Control Room'!$D$7*SQRT(-2*LN(MAX(0.000000000001,AA461/2147483647)))*COS(2*PI()*AB461/2147483647),'Control Room'!$B$8+('Control Room'!$D$8-'Control Room'!$B$8)*AA461/2147483647)</x:f>
        <x:v>1188.7846158226528</x:v>
      </x:c>
      <x:c r="AD461" s="17" t="n">
        <x:f>IF('Control Room'!$B$5="Normal",'Control Room'!$B$7,('Control Room'!$B$8+'Control Room'!$D$8)/2)+'Control Room'!$B$9*(AD460-IF('Control Room'!$B$5="Normal",'Control Room'!$B$7,('Control Room'!$B$8+'Control Room'!$D$8)/2))+SQRT(1-'Control Room'!$B$9^2)*(AC461-IF('Control Room'!$B$5="Normal",'Control Room'!$B$7,('Control Room'!$B$8+'Control Room'!$D$8)/2))</x:f>
        <x:v>1142.340386597129</x:v>
      </x:c>
      <x:c r="AE461" s="17" t="n">
        <x:f>IF(AND($A461&gt;='Control Room'!$A$13,$A461&lt;'Control Room'!$A$13+'Control Room'!$B$13,'Process'!BP2=1),1+('Control Room'!$C$13-1)*EXP(-0.5*(($A461-'Control Room'!$A$13-('Control Room'!$B$13-1)/2)/MAX(0.5,'Control Room'!$B$13/4))^2),1)*IF(AND($A461&gt;='Control Room'!$A$14,$A461&lt;'Control Room'!$A$14+'Control Room'!$B$14,'Process'!BP3=1),1+('Control Room'!$C$14-1)*EXP(-0.5*(($A461-'Control Room'!$A$14-('Control Room'!$B$14-1)/2)/MAX(0.5,'Control Room'!$B$14/4))^2),1)*IF(AND($A461&gt;='Control Room'!$A$15,$A461&lt;'Control Room'!$A$15+'Control Room'!$B$15,'Process'!BP4=1),1+('Control Room'!$C$15-1)*EXP(-0.5*(($A461-'Control Room'!$A$15-('Control Room'!$B$15-1)/2)/MAX(0.5,'Control Room'!$B$15/4))^2),1)*IF(AND($A461&gt;='Control Room'!$A$16,$A461&lt;'Control Room'!$A$16+'Control Room'!$B$16,'Process'!BP5=1),1+('Control Room'!$C$16-1)*EXP(-0.5*(($A461-'Control Room'!$A$16-('Control Room'!$B$16-1)/2)/MAX(0.5,'Control Room'!$B$16/4))^2),1)</x:f>
        <x:v>1</x:v>
      </x:c>
      <x:c r="AF461" s="9" t="n">
        <x:f>MOD(AG460*16807,2147483647)</x:f>
        <x:v>913074638</x:v>
      </x:c>
      <x:c r="AG461" s="9" t="n">
        <x:f>MOD(AF461*16807,2147483647)</x:f>
        <x:v>127299404</x:v>
      </x:c>
      <x:c r="AH461" s="17" t="n">
        <x:f>IF('Control Room'!$B$5="Normal",'Control Room'!$B$7+'Control Room'!$D$7*SQRT(-2*LN(MAX(0.000000000001,AF461/2147483647)))*COS(2*PI()*AG461/2147483647),'Control Room'!$B$8+('Control Room'!$D$8-'Control Room'!$B$8)*AF461/2147483647)</x:f>
        <x:v>1109.6359783565326</x:v>
      </x:c>
      <x:c r="AI461" s="17" t="n">
        <x:f>IF('Control Room'!$B$5="Normal",'Control Room'!$B$7,('Control Room'!$B$8+'Control Room'!$D$8)/2)+'Control Room'!$B$9*(AI460-IF('Control Room'!$B$5="Normal",'Control Room'!$B$7,('Control Room'!$B$8+'Control Room'!$D$8)/2))+SQRT(1-'Control Room'!$B$9^2)*(AH461-IF('Control Room'!$B$5="Normal",'Control Room'!$B$7,('Control Room'!$B$8+'Control Room'!$D$8)/2))</x:f>
        <x:v>1169.4980355447824</x:v>
      </x:c>
      <x:c r="AJ461" s="17" t="n">
        <x:f>IF(AND($A461&gt;='Control Room'!$A$13,$A461&lt;'Control Room'!$A$13+'Control Room'!$B$13,'Process'!BQ2=1),1+('Control Room'!$C$13-1)*EXP(-0.5*(($A461-'Control Room'!$A$13-('Control Room'!$B$13-1)/2)/MAX(0.5,'Control Room'!$B$13/4))^2),1)*IF(AND($A461&gt;='Control Room'!$A$14,$A461&lt;'Control Room'!$A$14+'Control Room'!$B$14,'Process'!BQ3=1),1+('Control Room'!$C$14-1)*EXP(-0.5*(($A461-'Control Room'!$A$14-('Control Room'!$B$14-1)/2)/MAX(0.5,'Control Room'!$B$14/4))^2),1)*IF(AND($A461&gt;='Control Room'!$A$15,$A461&lt;'Control Room'!$A$15+'Control Room'!$B$15,'Process'!BQ4=1),1+('Control Room'!$C$15-1)*EXP(-0.5*(($A461-'Control Room'!$A$15-('Control Room'!$B$15-1)/2)/MAX(0.5,'Control Room'!$B$15/4))^2),1)*IF(AND($A461&gt;='Control Room'!$A$16,$A461&lt;'Control Room'!$A$16+'Control Room'!$B$16,'Process'!BQ5=1),1+('Control Room'!$C$16-1)*EXP(-0.5*(($A461-'Control Room'!$A$16-('Control Room'!$B$16-1)/2)/MAX(0.5,'Control Room'!$B$16/4))^2),1)</x:f>
        <x:v>1</x:v>
      </x:c>
      <x:c r="AK461" s="9" t="n">
        <x:f>MOD(AL460*16807,2147483647)</x:f>
        <x:v>1588235459</x:v>
      </x:c>
      <x:c r="AL461" s="9" t="n">
        <x:f>MOD(AK461*16807,2147483647)</x:f>
        <x:v>251627203</x:v>
      </x:c>
      <x:c r="AM461" s="17" t="n">
        <x:f>IF('Control Room'!$B$5="Normal",'Control Room'!$B$7+'Control Room'!$D$7*SQRT(-2*LN(MAX(0.000000000001,AK461/2147483647)))*COS(2*PI()*AL461/2147483647),'Control Room'!$B$8+('Control Room'!$D$8-'Control Room'!$B$8)*AK461/2147483647)</x:f>
        <x:v>1051.8025487350312</x:v>
      </x:c>
      <x:c r="AN461" s="17" t="n">
        <x:f>IF('Control Room'!$B$5="Normal",'Control Room'!$B$7,('Control Room'!$B$8+'Control Room'!$D$8)/2)+'Control Room'!$B$9*(AN460-IF('Control Room'!$B$5="Normal",'Control Room'!$B$7,('Control Room'!$B$8+'Control Room'!$D$8)/2))+SQRT(1-'Control Room'!$B$9^2)*(AM461-IF('Control Room'!$B$5="Normal",'Control Room'!$B$7,('Control Room'!$B$8+'Control Room'!$D$8)/2))</x:f>
        <x:v>1094.0290522722216</x:v>
      </x:c>
      <x:c r="AO461" s="17" t="n">
        <x:f>IF(AND($A461&gt;='Control Room'!$A$13,$A461&lt;'Control Room'!$A$13+'Control Room'!$B$13,'Process'!BR2=1),1+('Control Room'!$C$13-1)*EXP(-0.5*(($A461-'Control Room'!$A$13-('Control Room'!$B$13-1)/2)/MAX(0.5,'Control Room'!$B$13/4))^2),1)*IF(AND($A461&gt;='Control Room'!$A$14,$A461&lt;'Control Room'!$A$14+'Control Room'!$B$14,'Process'!BR3=1),1+('Control Room'!$C$14-1)*EXP(-0.5*(($A461-'Control Room'!$A$14-('Control Room'!$B$14-1)/2)/MAX(0.5,'Control Room'!$B$14/4))^2),1)*IF(AND($A461&gt;='Control Room'!$A$15,$A461&lt;'Control Room'!$A$15+'Control Room'!$B$15,'Process'!BR4=1),1+('Control Room'!$C$15-1)*EXP(-0.5*(($A461-'Control Room'!$A$15-('Control Room'!$B$15-1)/2)/MAX(0.5,'Control Room'!$B$15/4))^2),1)*IF(AND($A461&gt;='Control Room'!$A$16,$A461&lt;'Control Room'!$A$16+'Control Room'!$B$16,'Process'!BR5=1),1+('Control Room'!$C$16-1)*EXP(-0.5*(($A461-'Control Room'!$A$16-('Control Room'!$B$16-1)/2)/MAX(0.5,'Control Room'!$B$16/4))^2),1)</x:f>
        <x:v>1</x:v>
      </x:c>
      <x:c r="AP461" s="9" t="n">
        <x:f>MOD(AQ460*16807,2147483647)</x:f>
        <x:v>115912633</x:v>
      </x:c>
      <x:c r="AQ461" s="9" t="n">
        <x:f>MOD(AP461*16807,2147483647)</x:f>
        <x:v>375955002</x:v>
      </x:c>
      <x:c r="AR461" s="17" t="n">
        <x:f>IF('Control Room'!$B$5="Normal",'Control Room'!$B$7+'Control Room'!$D$7*SQRT(-2*LN(MAX(0.000000000001,AP461/2147483647)))*COS(2*PI()*AQ461/2147483647),'Control Room'!$B$8+('Control Room'!$D$8-'Control Room'!$B$8)*AP461/2147483647)</x:f>
        <x:v>1098.6448985511834</x:v>
      </x:c>
      <x:c r="AS461" s="17" t="n">
        <x:f>IF('Control Room'!$B$5="Normal",'Control Room'!$B$7,('Control Room'!$B$8+'Control Room'!$D$8)/2)+'Control Room'!$B$9*(AS460-IF('Control Room'!$B$5="Normal",'Control Room'!$B$7,('Control Room'!$B$8+'Control Room'!$D$8)/2))+SQRT(1-'Control Room'!$B$9^2)*(AR461-IF('Control Room'!$B$5="Normal",'Control Room'!$B$7,('Control Room'!$B$8+'Control Room'!$D$8)/2))</x:f>
        <x:v>1117.2885288160642</x:v>
      </x:c>
      <x:c r="AT461" s="17" t="n">
        <x:f>IF(AND($A461&gt;='Control Room'!$A$13,$A461&lt;'Control Room'!$A$13+'Control Room'!$B$13,'Process'!BS2=1),1+('Control Room'!$C$13-1)*EXP(-0.5*(($A461-'Control Room'!$A$13-('Control Room'!$B$13-1)/2)/MAX(0.5,'Control Room'!$B$13/4))^2),1)*IF(AND($A461&gt;='Control Room'!$A$14,$A461&lt;'Control Room'!$A$14+'Control Room'!$B$14,'Process'!BS3=1),1+('Control Room'!$C$14-1)*EXP(-0.5*(($A461-'Control Room'!$A$14-('Control Room'!$B$14-1)/2)/MAX(0.5,'Control Room'!$B$14/4))^2),1)*IF(AND($A461&gt;='Control Room'!$A$15,$A461&lt;'Control Room'!$A$15+'Control Room'!$B$15,'Process'!BS4=1),1+('Control Room'!$C$15-1)*EXP(-0.5*(($A461-'Control Room'!$A$15-('Control Room'!$B$15-1)/2)/MAX(0.5,'Control Room'!$B$15/4))^2),1)*IF(AND($A461&gt;='Control Room'!$A$16,$A461&lt;'Control Room'!$A$16+'Control Room'!$B$16,'Process'!BS5=1),1+('Control Room'!$C$16-1)*EXP(-0.5*(($A461-'Control Room'!$A$16-('Control Room'!$B$16-1)/2)/MAX(0.5,'Control Room'!$B$16/4))^2),1)</x:f>
        <x:v>1</x:v>
      </x:c>
      <x:c r="AU461" s="9" t="n">
        <x:f>MOD(AV460*16807,2147483647)</x:f>
        <x:v>791073454</x:v>
      </x:c>
      <x:c r="AV461" s="9" t="n">
        <x:f>MOD(AU461*16807,2147483647)</x:f>
        <x:v>500282801</x:v>
      </x:c>
      <x:c r="AW461" s="17" t="n">
        <x:f>IF('Control Room'!$B$5="Normal",'Control Room'!$B$7+'Control Room'!$D$7*SQRT(-2*LN(MAX(0.000000000001,AU461/2147483647)))*COS(2*PI()*AV461/2147483647),'Control Room'!$B$8+('Control Room'!$D$8-'Control Room'!$B$8)*AU461/2147483647)</x:f>
        <x:v>1013.5902290354611</x:v>
      </x:c>
      <x:c r="AX461" s="17" t="n">
        <x:f>IF('Control Room'!$B$5="Normal",'Control Room'!$B$7,('Control Room'!$B$8+'Control Room'!$D$8)/2)+'Control Room'!$B$9*(AX460-IF('Control Room'!$B$5="Normal",'Control Room'!$B$7,('Control Room'!$B$8+'Control Room'!$D$8)/2))+SQRT(1-'Control Room'!$B$9^2)*(AW461-IF('Control Room'!$B$5="Normal",'Control Room'!$B$7,('Control Room'!$B$8+'Control Room'!$D$8)/2))</x:f>
        <x:v>1005.3911039511346</x:v>
      </x:c>
      <x:c r="AY461" s="17" t="n">
        <x:f>IF(AND($A461&gt;='Control Room'!$A$13,$A461&lt;'Control Room'!$A$13+'Control Room'!$B$13,'Process'!BT2=1),1+('Control Room'!$C$13-1)*EXP(-0.5*(($A461-'Control Room'!$A$13-('Control Room'!$B$13-1)/2)/MAX(0.5,'Control Room'!$B$13/4))^2),1)*IF(AND($A461&gt;='Control Room'!$A$14,$A461&lt;'Control Room'!$A$14+'Control Room'!$B$14,'Process'!BT3=1),1+('Control Room'!$C$14-1)*EXP(-0.5*(($A461-'Control Room'!$A$14-('Control Room'!$B$14-1)/2)/MAX(0.5,'Control Room'!$B$14/4))^2),1)*IF(AND($A461&gt;='Control Room'!$A$15,$A461&lt;'Control Room'!$A$15+'Control Room'!$B$15,'Process'!BT4=1),1+('Control Room'!$C$15-1)*EXP(-0.5*(($A461-'Control Room'!$A$15-('Control Room'!$B$15-1)/2)/MAX(0.5,'Control Room'!$B$15/4))^2),1)*IF(AND($A461&gt;='Control Room'!$A$16,$A461&lt;'Control Room'!$A$16+'Control Room'!$B$16,'Process'!BT5=1),1+('Control Room'!$C$16-1)*EXP(-0.5*(($A461-'Control Room'!$A$16-('Control Room'!$B$16-1)/2)/MAX(0.5,'Control Room'!$B$16/4))^2),1)</x:f>
        <x:v>1</x:v>
      </x:c>
      <x:c r="AZ461" s="9" t="n">
        <x:f>MOD(BA460*16807,2147483647)</x:f>
        <x:v>1466234275</x:v>
      </x:c>
      <x:c r="BA461" s="9" t="n">
        <x:f>MOD(AZ461*16807,2147483647)</x:f>
        <x:v>624610600</x:v>
      </x:c>
      <x:c r="BB461" s="17" t="n">
        <x:f>IF('Control Room'!$B$5="Normal",'Control Room'!$B$7+'Control Room'!$D$7*SQRT(-2*LN(MAX(0.000000000001,AZ461/2147483647)))*COS(2*PI()*BA461/2147483647),'Control Room'!$B$8+('Control Room'!$D$8-'Control Room'!$B$8)*AZ461/2147483647)</x:f>
        <x:v>980.0369534128307</x:v>
      </x:c>
      <x:c r="BC461" s="17" t="n">
        <x:f>IF('Control Room'!$B$5="Normal",'Control Room'!$B$7,('Control Room'!$B$8+'Control Room'!$D$8)/2)+'Control Room'!$B$9*(BC460-IF('Control Room'!$B$5="Normal",'Control Room'!$B$7,('Control Room'!$B$8+'Control Room'!$D$8)/2))+SQRT(1-'Control Room'!$B$9^2)*(BB461-IF('Control Room'!$B$5="Normal",'Control Room'!$B$7,('Control Room'!$B$8+'Control Room'!$D$8)/2))</x:f>
        <x:v>978.5388349949117</x:v>
      </x:c>
      <x:c r="BD461" s="17" t="n">
        <x:f>IF(AND($A461&gt;='Control Room'!$A$13,$A461&lt;'Control Room'!$A$13+'Control Room'!$B$13,'Process'!BU2=1),1+('Control Room'!$C$13-1)*EXP(-0.5*(($A461-'Control Room'!$A$13-('Control Room'!$B$13-1)/2)/MAX(0.5,'Control Room'!$B$13/4))^2),1)*IF(AND($A461&gt;='Control Room'!$A$14,$A461&lt;'Control Room'!$A$14+'Control Room'!$B$14,'Process'!BU3=1),1+('Control Room'!$C$14-1)*EXP(-0.5*(($A461-'Control Room'!$A$14-('Control Room'!$B$14-1)/2)/MAX(0.5,'Control Room'!$B$14/4))^2),1)*IF(AND($A461&gt;='Control Room'!$A$15,$A461&lt;'Control Room'!$A$15+'Control Room'!$B$15,'Process'!BU4=1),1+('Control Room'!$C$15-1)*EXP(-0.5*(($A461-'Control Room'!$A$15-('Control Room'!$B$15-1)/2)/MAX(0.5,'Control Room'!$B$15/4))^2),1)*IF(AND($A461&gt;='Control Room'!$A$16,$A461&lt;'Control Room'!$A$16+'Control Room'!$B$16,'Process'!BU5=1),1+('Control Room'!$C$16-1)*EXP(-0.5*(($A461-'Control Room'!$A$16-('Control Room'!$B$16-1)/2)/MAX(0.5,'Control Room'!$B$16/4))^2),1)</x:f>
        <x:v>1</x:v>
      </x:c>
      <x:c r="BE461" s="9" t="n">
        <x:f>MOD(BF460*16807,2147483647)</x:f>
        <x:v>2141395096</x:v>
      </x:c>
      <x:c r="BF461" s="9" t="n">
        <x:f>MOD(BE461*16807,2147483647)</x:f>
        <x:v>748938399</x:v>
      </x:c>
      <x:c r="BG461" s="17" t="n">
        <x:f>IF('Control Room'!$B$5="Normal",'Control Room'!$B$7+'Control Room'!$D$7*SQRT(-2*LN(MAX(0.000000000001,BE461/2147483647)))*COS(2*PI()*BF461/2147483647),'Control Room'!$B$8+('Control Room'!$D$8-'Control Room'!$B$8)*BE461/2147483647)</x:f>
        <x:v>996.056800050294</x:v>
      </x:c>
      <x:c r="BH461" s="17" t="n">
        <x:f>IF('Control Room'!$B$5="Normal",'Control Room'!$B$7,('Control Room'!$B$8+'Control Room'!$D$8)/2)+'Control Room'!$B$9*(BH460-IF('Control Room'!$B$5="Normal",'Control Room'!$B$7,('Control Room'!$B$8+'Control Room'!$D$8)/2))+SQRT(1-'Control Room'!$B$9^2)*(BG461-IF('Control Room'!$B$5="Normal",'Control Room'!$B$7,('Control Room'!$B$8+'Control Room'!$D$8)/2))</x:f>
        <x:v>871.554211766382</x:v>
      </x:c>
      <x:c r="BI461" s="17" t="n">
        <x:f>IF(AND($A461&gt;='Control Room'!$A$13,$A461&lt;'Control Room'!$A$13+'Control Room'!$B$13,'Process'!BV2=1),1+('Control Room'!$C$13-1)*EXP(-0.5*(($A461-'Control Room'!$A$13-('Control Room'!$B$13-1)/2)/MAX(0.5,'Control Room'!$B$13/4))^2),1)*IF(AND($A461&gt;='Control Room'!$A$14,$A461&lt;'Control Room'!$A$14+'Control Room'!$B$14,'Process'!BV3=1),1+('Control Room'!$C$14-1)*EXP(-0.5*(($A461-'Control Room'!$A$14-('Control Room'!$B$14-1)/2)/MAX(0.5,'Control Room'!$B$14/4))^2),1)*IF(AND($A461&gt;='Control Room'!$A$15,$A461&lt;'Control Room'!$A$15+'Control Room'!$B$15,'Process'!BV4=1),1+('Control Room'!$C$15-1)*EXP(-0.5*(($A461-'Control Room'!$A$15-('Control Room'!$B$15-1)/2)/MAX(0.5,'Control Room'!$B$15/4))^2),1)*IF(AND($A461&gt;='Control Room'!$A$16,$A461&lt;'Control Room'!$A$16+'Control Room'!$B$16,'Process'!BV5=1),1+('Control Room'!$C$16-1)*EXP(-0.5*(($A461-'Control Room'!$A$16-('Control Room'!$B$16-1)/2)/MAX(0.5,'Control Room'!$B$16/4))^2),1)</x:f>
        <x:v>1</x:v>
      </x:c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Z461" t="str">
        <x:f>IF('Data'!A461="","",TEXT('Data'!A461,"mm-dd"))</x:f>
      </x:c>
    </x:row>
    <x:row r="462" ht="21" customHeight="1">
      <x:c r="A462" s="15" t="n">
        <x:f>'Control Room'!$B$1+460</x:f>
        <x:v>73451</x:v>
      </x:c>
      <x:c r="B462" s="9" t="n">
        <x:f>MOD(C461*16807,2147483647)</x:f>
        <x:v>172995044</x:v>
      </x:c>
      <x:c r="C462" s="9" t="n">
        <x:f>MOD(B462*16807,2147483647)</x:f>
        <x:v>1982330117</x:v>
      </x:c>
      <x:c r="D462" s="17" t="n">
        <x:f>IF('Control Room'!$B$5="Normal",'Control Room'!$B$7+'Control Room'!$D$7*SQRT(-2*LN(MAX(0.000000000001,B462/2147483647)))*COS(2*PI()*C462/2147483647),'Control Room'!$B$8+('Control Room'!$D$8-'Control Room'!$B$8)*B462/2147483647)</x:f>
        <x:v>1178.8732614120283</x:v>
      </x:c>
      <x:c r="E462" s="17" t="n">
        <x:f>IF('Control Room'!$B$5="Normal",'Control Room'!$B$7,('Control Room'!$B$8+'Control Room'!$D$8)/2)+'Control Room'!$B$9*(E461-IF('Control Room'!$B$5="Normal",'Control Room'!$B$7,('Control Room'!$B$8+'Control Room'!$D$8)/2))+SQRT(1-'Control Room'!$B$9^2)*(D462-IF('Control Room'!$B$5="Normal",'Control Room'!$B$7,('Control Room'!$B$8+'Control Room'!$D$8)/2))</x:f>
        <x:v>1102.519228711573</x:v>
      </x:c>
      <x:c r="F462" s="17" t="n">
        <x:f>IF(AND($A462&gt;='Control Room'!$A$13,$A462&lt;'Control Room'!$A$13+'Control Room'!$B$13,'Process'!BK2=1),1+('Control Room'!$C$13-1)*EXP(-0.5*(($A462-'Control Room'!$A$13-('Control Room'!$B$13-1)/2)/MAX(0.5,'Control Room'!$B$13/4))^2),1)*IF(AND($A462&gt;='Control Room'!$A$14,$A462&lt;'Control Room'!$A$14+'Control Room'!$B$14,'Process'!BK3=1),1+('Control Room'!$C$14-1)*EXP(-0.5*(($A462-'Control Room'!$A$14-('Control Room'!$B$14-1)/2)/MAX(0.5,'Control Room'!$B$14/4))^2),1)*IF(AND($A462&gt;='Control Room'!$A$15,$A462&lt;'Control Room'!$A$15+'Control Room'!$B$15,'Process'!BK4=1),1+('Control Room'!$C$15-1)*EXP(-0.5*(($A462-'Control Room'!$A$15-('Control Room'!$B$15-1)/2)/MAX(0.5,'Control Room'!$B$15/4))^2),1)*IF(AND($A462&gt;='Control Room'!$A$16,$A462&lt;'Control Room'!$A$16+'Control Room'!$B$16,'Process'!BK5=1),1+('Control Room'!$C$16-1)*EXP(-0.5*(($A462-'Control Room'!$A$16-('Control Room'!$B$16-1)/2)/MAX(0.5,'Control Room'!$B$16/4))^2),1)</x:f>
        <x:v>1</x:v>
      </x:c>
      <x:c r="G462" s="9" t="n">
        <x:f>MOD(H461*16807,2147483647)</x:f>
        <x:v>248724306</x:v>
      </x:c>
      <x:c r="H462" s="9" t="n">
        <x:f>MOD(G462*16807,2147483647)</x:f>
        <x:v>1306233880</x:v>
      </x:c>
      <x:c r="I462" s="17" t="n">
        <x:f>IF('Control Room'!$B$5="Normal",'Control Room'!$B$7+'Control Room'!$D$7*SQRT(-2*LN(MAX(0.000000000001,G462/2147483647)))*COS(2*PI()*H462/2147483647),'Control Room'!$B$8+('Control Room'!$D$8-'Control Room'!$B$8)*G462/2147483647)</x:f>
        <x:v>854.7181699525204</x:v>
      </x:c>
      <x:c r="J462" s="17" t="n">
        <x:f>IF('Control Room'!$B$5="Normal",'Control Room'!$B$7,('Control Room'!$B$8+'Control Room'!$D$8)/2)+'Control Room'!$B$9*(J461-IF('Control Room'!$B$5="Normal",'Control Room'!$B$7,('Control Room'!$B$8+'Control Room'!$D$8)/2))+SQRT(1-'Control Room'!$B$9^2)*(I462-IF('Control Room'!$B$5="Normal",'Control Room'!$B$7,('Control Room'!$B$8+'Control Room'!$D$8)/2))</x:f>
        <x:v>913.9121269811582</x:v>
      </x:c>
      <x:c r="K462" s="17" t="n">
        <x:f>IF(AND($A462&gt;='Control Room'!$A$13,$A462&lt;'Control Room'!$A$13+'Control Room'!$B$13,'Process'!BL2=1),1+('Control Room'!$C$13-1)*EXP(-0.5*(($A462-'Control Room'!$A$13-('Control Room'!$B$13-1)/2)/MAX(0.5,'Control Room'!$B$13/4))^2),1)*IF(AND($A462&gt;='Control Room'!$A$14,$A462&lt;'Control Room'!$A$14+'Control Room'!$B$14,'Process'!BL3=1),1+('Control Room'!$C$14-1)*EXP(-0.5*(($A462-'Control Room'!$A$14-('Control Room'!$B$14-1)/2)/MAX(0.5,'Control Room'!$B$14/4))^2),1)*IF(AND($A462&gt;='Control Room'!$A$15,$A462&lt;'Control Room'!$A$15+'Control Room'!$B$15,'Process'!BL4=1),1+('Control Room'!$C$15-1)*EXP(-0.5*(($A462-'Control Room'!$A$15-('Control Room'!$B$15-1)/2)/MAX(0.5,'Control Room'!$B$15/4))^2),1)*IF(AND($A462&gt;='Control Room'!$A$16,$A462&lt;'Control Room'!$A$16+'Control Room'!$B$16,'Process'!BL5=1),1+('Control Room'!$C$16-1)*EXP(-0.5*(($A462-'Control Room'!$A$16-('Control Room'!$B$16-1)/2)/MAX(0.5,'Control Room'!$B$16/4))^2),1)</x:f>
        <x:v>1</x:v>
      </x:c>
      <x:c r="L462" s="9" t="n">
        <x:f>MOD(M461*16807,2147483647)</x:f>
        <x:v>324453568</x:v>
      </x:c>
      <x:c r="M462" s="9" t="n">
        <x:f>MOD(L462*16807,2147483647)</x:f>
        <x:v>630137643</x:v>
      </x:c>
      <x:c r="N462" s="17" t="n">
        <x:f>IF('Control Room'!$B$5="Normal",'Control Room'!$B$7+'Control Room'!$D$7*SQRT(-2*LN(MAX(0.000000000001,L462/2147483647)))*COS(2*PI()*M462/2147483647),'Control Room'!$B$8+('Control Room'!$D$8-'Control Room'!$B$8)*L462/2147483647)</x:f>
        <x:v>952.8424355768714</x:v>
      </x:c>
      <x:c r="O462" s="17" t="n">
        <x:f>IF('Control Room'!$B$5="Normal",'Control Room'!$B$7,('Control Room'!$B$8+'Control Room'!$D$8)/2)+'Control Room'!$B$9*(O461-IF('Control Room'!$B$5="Normal",'Control Room'!$B$7,('Control Room'!$B$8+'Control Room'!$D$8)/2))+SQRT(1-'Control Room'!$B$9^2)*(N462-IF('Control Room'!$B$5="Normal",'Control Room'!$B$7,('Control Room'!$B$8+'Control Room'!$D$8)/2))</x:f>
        <x:v>974.7812016955862</x:v>
      </x:c>
      <x:c r="P462" s="17" t="n">
        <x:f>IF(AND($A462&gt;='Control Room'!$A$13,$A462&lt;'Control Room'!$A$13+'Control Room'!$B$13,'Process'!BM2=1),1+('Control Room'!$C$13-1)*EXP(-0.5*(($A462-'Control Room'!$A$13-('Control Room'!$B$13-1)/2)/MAX(0.5,'Control Room'!$B$13/4))^2),1)*IF(AND($A462&gt;='Control Room'!$A$14,$A462&lt;'Control Room'!$A$14+'Control Room'!$B$14,'Process'!BM3=1),1+('Control Room'!$C$14-1)*EXP(-0.5*(($A462-'Control Room'!$A$14-('Control Room'!$B$14-1)/2)/MAX(0.5,'Control Room'!$B$14/4))^2),1)*IF(AND($A462&gt;='Control Room'!$A$15,$A462&lt;'Control Room'!$A$15+'Control Room'!$B$15,'Process'!BM4=1),1+('Control Room'!$C$15-1)*EXP(-0.5*(($A462-'Control Room'!$A$15-('Control Room'!$B$15-1)/2)/MAX(0.5,'Control Room'!$B$15/4))^2),1)*IF(AND($A462&gt;='Control Room'!$A$16,$A462&lt;'Control Room'!$A$16+'Control Room'!$B$16,'Process'!BM5=1),1+('Control Room'!$C$16-1)*EXP(-0.5*(($A462-'Control Room'!$A$16-('Control Room'!$B$16-1)/2)/MAX(0.5,'Control Room'!$B$16/4))^2),1)</x:f>
        <x:v>1</x:v>
      </x:c>
      <x:c r="Q462" s="9" t="n">
        <x:f>MOD(R461*16807,2147483647)</x:f>
        <x:v>400182830</x:v>
      </x:c>
      <x:c r="R462" s="9" t="n">
        <x:f>MOD(Q462*16807,2147483647)</x:f>
        <x:v>2101525053</x:v>
      </x:c>
      <x:c r="S462" s="17" t="n">
        <x:f>IF('Control Room'!$B$5="Normal",'Control Room'!$B$7+'Control Room'!$D$7*SQRT(-2*LN(MAX(0.000000000001,Q462/2147483647)))*COS(2*PI()*R462/2147483647),'Control Room'!$B$8+('Control Room'!$D$8-'Control Room'!$B$8)*Q462/2147483647)</x:f>
        <x:v>1163.4898477004735</x:v>
      </x:c>
      <x:c r="T462" s="17" t="n">
        <x:f>IF('Control Room'!$B$5="Normal",'Control Room'!$B$7,('Control Room'!$B$8+'Control Room'!$D$8)/2)+'Control Room'!$B$9*(T461-IF('Control Room'!$B$5="Normal",'Control Room'!$B$7,('Control Room'!$B$8+'Control Room'!$D$8)/2))+SQRT(1-'Control Room'!$B$9^2)*(S462-IF('Control Room'!$B$5="Normal",'Control Room'!$B$7,('Control Room'!$B$8+'Control Room'!$D$8)/2))</x:f>
        <x:v>1193.7525908187815</x:v>
      </x:c>
      <x:c r="U462" s="17" t="n">
        <x:f>IF(AND($A462&gt;='Control Room'!$A$13,$A462&lt;'Control Room'!$A$13+'Control Room'!$B$13,'Process'!BN2=1),1+('Control Room'!$C$13-1)*EXP(-0.5*(($A462-'Control Room'!$A$13-('Control Room'!$B$13-1)/2)/MAX(0.5,'Control Room'!$B$13/4))^2),1)*IF(AND($A462&gt;='Control Room'!$A$14,$A462&lt;'Control Room'!$A$14+'Control Room'!$B$14,'Process'!BN3=1),1+('Control Room'!$C$14-1)*EXP(-0.5*(($A462-'Control Room'!$A$14-('Control Room'!$B$14-1)/2)/MAX(0.5,'Control Room'!$B$14/4))^2),1)*IF(AND($A462&gt;='Control Room'!$A$15,$A462&lt;'Control Room'!$A$15+'Control Room'!$B$15,'Process'!BN4=1),1+('Control Room'!$C$15-1)*EXP(-0.5*(($A462-'Control Room'!$A$15-('Control Room'!$B$15-1)/2)/MAX(0.5,'Control Room'!$B$15/4))^2),1)*IF(AND($A462&gt;='Control Room'!$A$16,$A462&lt;'Control Room'!$A$16+'Control Room'!$B$16,'Process'!BN5=1),1+('Control Room'!$C$16-1)*EXP(-0.5*(($A462-'Control Room'!$A$16-('Control Room'!$B$16-1)/2)/MAX(0.5,'Control Room'!$B$16/4))^2),1)</x:f>
        <x:v>1</x:v>
      </x:c>
      <x:c r="V462" s="9" t="n">
        <x:f>MOD(W461*16807,2147483647)</x:f>
        <x:v>475912092</x:v>
      </x:c>
      <x:c r="W462" s="9" t="n">
        <x:f>MOD(V462*16807,2147483647)</x:f>
        <x:v>1425428816</x:v>
      </x:c>
      <x:c r="X462" s="17" t="n">
        <x:f>IF('Control Room'!$B$5="Normal",'Control Room'!$B$7+'Control Room'!$D$7*SQRT(-2*LN(MAX(0.000000000001,V462/2147483647)))*COS(2*PI()*W462/2147483647),'Control Room'!$B$8+('Control Room'!$D$8-'Control Room'!$B$8)*V462/2147483647)</x:f>
        <x:v>919.4287025503207</x:v>
      </x:c>
      <x:c r="Y462" s="17" t="n">
        <x:f>IF('Control Room'!$B$5="Normal",'Control Room'!$B$7,('Control Room'!$B$8+'Control Room'!$D$8)/2)+'Control Room'!$B$9*(Y461-IF('Control Room'!$B$5="Normal",'Control Room'!$B$7,('Control Room'!$B$8+'Control Room'!$D$8)/2))+SQRT(1-'Control Room'!$B$9^2)*(X462-IF('Control Room'!$B$5="Normal",'Control Room'!$B$7,('Control Room'!$B$8+'Control Room'!$D$8)/2))</x:f>
        <x:v>999.8484200966138</x:v>
      </x:c>
      <x:c r="Z462" s="17" t="n">
        <x:f>IF(AND($A462&gt;='Control Room'!$A$13,$A462&lt;'Control Room'!$A$13+'Control Room'!$B$13,'Process'!BO2=1),1+('Control Room'!$C$13-1)*EXP(-0.5*(($A462-'Control Room'!$A$13-('Control Room'!$B$13-1)/2)/MAX(0.5,'Control Room'!$B$13/4))^2),1)*IF(AND($A462&gt;='Control Room'!$A$14,$A462&lt;'Control Room'!$A$14+'Control Room'!$B$14,'Process'!BO3=1),1+('Control Room'!$C$14-1)*EXP(-0.5*(($A462-'Control Room'!$A$14-('Control Room'!$B$14-1)/2)/MAX(0.5,'Control Room'!$B$14/4))^2),1)*IF(AND($A462&gt;='Control Room'!$A$15,$A462&lt;'Control Room'!$A$15+'Control Room'!$B$15,'Process'!BO4=1),1+('Control Room'!$C$15-1)*EXP(-0.5*(($A462-'Control Room'!$A$15-('Control Room'!$B$15-1)/2)/MAX(0.5,'Control Room'!$B$15/4))^2),1)*IF(AND($A462&gt;='Control Room'!$A$16,$A462&lt;'Control Room'!$A$16+'Control Room'!$B$16,'Process'!BO5=1),1+('Control Room'!$C$16-1)*EXP(-0.5*(($A462-'Control Room'!$A$16-('Control Room'!$B$16-1)/2)/MAX(0.5,'Control Room'!$B$16/4))^2),1)</x:f>
        <x:v>1</x:v>
      </x:c>
      <x:c r="AA462" s="9" t="n">
        <x:f>MOD(AB461*16807,2147483647)</x:f>
        <x:v>551641354</x:v>
      </x:c>
      <x:c r="AB462" s="9" t="n">
        <x:f>MOD(AA462*16807,2147483647)</x:f>
        <x:v>749332579</x:v>
      </x:c>
      <x:c r="AC462" s="17" t="n">
        <x:f>IF('Control Room'!$B$5="Normal",'Control Room'!$B$7+'Control Room'!$D$7*SQRT(-2*LN(MAX(0.000000000001,AA462/2147483647)))*COS(2*PI()*AB462/2147483647),'Control Room'!$B$8+('Control Room'!$D$8-'Control Room'!$B$8)*AA462/2147483647)</x:f>
        <x:v>913.5862356066564</x:v>
      </x:c>
      <x:c r="AD462" s="17" t="n">
        <x:f>IF('Control Room'!$B$5="Normal",'Control Room'!$B$7,('Control Room'!$B$8+'Control Room'!$D$8)/2)+'Control Room'!$B$9*(AD461-IF('Control Room'!$B$5="Normal",'Control Room'!$B$7,('Control Room'!$B$8+'Control Room'!$D$8)/2))+SQRT(1-'Control Room'!$B$9^2)*(AC462-IF('Control Room'!$B$5="Normal",'Control Room'!$B$7,('Control Room'!$B$8+'Control Room'!$D$8)/2))</x:f>
        <x:v>1056.949538070593</x:v>
      </x:c>
      <x:c r="AE462" s="17" t="n">
        <x:f>IF(AND($A462&gt;='Control Room'!$A$13,$A462&lt;'Control Room'!$A$13+'Control Room'!$B$13,'Process'!BP2=1),1+('Control Room'!$C$13-1)*EXP(-0.5*(($A462-'Control Room'!$A$13-('Control Room'!$B$13-1)/2)/MAX(0.5,'Control Room'!$B$13/4))^2),1)*IF(AND($A462&gt;='Control Room'!$A$14,$A462&lt;'Control Room'!$A$14+'Control Room'!$B$14,'Process'!BP3=1),1+('Control Room'!$C$14-1)*EXP(-0.5*(($A462-'Control Room'!$A$14-('Control Room'!$B$14-1)/2)/MAX(0.5,'Control Room'!$B$14/4))^2),1)*IF(AND($A462&gt;='Control Room'!$A$15,$A462&lt;'Control Room'!$A$15+'Control Room'!$B$15,'Process'!BP4=1),1+('Control Room'!$C$15-1)*EXP(-0.5*(($A462-'Control Room'!$A$15-('Control Room'!$B$15-1)/2)/MAX(0.5,'Control Room'!$B$15/4))^2),1)*IF(AND($A462&gt;='Control Room'!$A$16,$A462&lt;'Control Room'!$A$16+'Control Room'!$B$16,'Process'!BP5=1),1+('Control Room'!$C$16-1)*EXP(-0.5*(($A462-'Control Room'!$A$16-('Control Room'!$B$16-1)/2)/MAX(0.5,'Control Room'!$B$16/4))^2),1)</x:f>
        <x:v>1</x:v>
      </x:c>
      <x:c r="AF462" s="9" t="n">
        <x:f>MOD(AG461*16807,2147483647)</x:f>
        <x:v>627370616</x:v>
      </x:c>
      <x:c r="AG462" s="9" t="n">
        <x:f>MOD(AF462*16807,2147483647)</x:f>
        <x:v>73236342</x:v>
      </x:c>
      <x:c r="AH462" s="17" t="n">
        <x:f>IF('Control Room'!$B$5="Normal",'Control Room'!$B$7+'Control Room'!$D$7*SQRT(-2*LN(MAX(0.000000000001,AF462/2147483647)))*COS(2*PI()*AG462/2147483647),'Control Room'!$B$8+('Control Room'!$D$8-'Control Room'!$B$8)*AF462/2147483647)</x:f>
        <x:v>1137.960054854811</x:v>
      </x:c>
      <x:c r="AI462" s="17" t="n">
        <x:f>IF('Control Room'!$B$5="Normal",'Control Room'!$B$7,('Control Room'!$B$8+'Control Room'!$D$8)/2)+'Control Room'!$B$9*(AI461-IF('Control Room'!$B$5="Normal",'Control Room'!$B$7,('Control Room'!$B$8+'Control Room'!$D$8)/2))+SQRT(1-'Control Room'!$B$9^2)*(AH462-IF('Control Room'!$B$5="Normal",'Control Room'!$B$7,('Control Room'!$B$8+'Control Room'!$D$8)/2))</x:f>
        <x:v>1218.541043787726</x:v>
      </x:c>
      <x:c r="AJ462" s="17" t="n">
        <x:f>IF(AND($A462&gt;='Control Room'!$A$13,$A462&lt;'Control Room'!$A$13+'Control Room'!$B$13,'Process'!BQ2=1),1+('Control Room'!$C$13-1)*EXP(-0.5*(($A462-'Control Room'!$A$13-('Control Room'!$B$13-1)/2)/MAX(0.5,'Control Room'!$B$13/4))^2),1)*IF(AND($A462&gt;='Control Room'!$A$14,$A462&lt;'Control Room'!$A$14+'Control Room'!$B$14,'Process'!BQ3=1),1+('Control Room'!$C$14-1)*EXP(-0.5*(($A462-'Control Room'!$A$14-('Control Room'!$B$14-1)/2)/MAX(0.5,'Control Room'!$B$14/4))^2),1)*IF(AND($A462&gt;='Control Room'!$A$15,$A462&lt;'Control Room'!$A$15+'Control Room'!$B$15,'Process'!BQ4=1),1+('Control Room'!$C$15-1)*EXP(-0.5*(($A462-'Control Room'!$A$15-('Control Room'!$B$15-1)/2)/MAX(0.5,'Control Room'!$B$15/4))^2),1)*IF(AND($A462&gt;='Control Room'!$A$16,$A462&lt;'Control Room'!$A$16+'Control Room'!$B$16,'Process'!BQ5=1),1+('Control Room'!$C$16-1)*EXP(-0.5*(($A462-'Control Room'!$A$16-('Control Room'!$B$16-1)/2)/MAX(0.5,'Control Room'!$B$16/4))^2),1)</x:f>
        <x:v>1</x:v>
      </x:c>
      <x:c r="AK462" s="9" t="n">
        <x:f>MOD(AL461*16807,2147483647)</x:f>
        <x:v>703099878</x:v>
      </x:c>
      <x:c r="AL462" s="9" t="n">
        <x:f>MOD(AK462*16807,2147483647)</x:f>
        <x:v>1544623752</x:v>
      </x:c>
      <x:c r="AM462" s="17" t="n">
        <x:f>IF('Control Room'!$B$5="Normal",'Control Room'!$B$7+'Control Room'!$D$7*SQRT(-2*LN(MAX(0.000000000001,AK462/2147483647)))*COS(2*PI()*AL462/2147483647),'Control Room'!$B$8+('Control Room'!$D$8-'Control Room'!$B$8)*AK462/2147483647)</x:f>
        <x:v>974.19421570342</x:v>
      </x:c>
      <x:c r="AN462" s="17" t="n">
        <x:f>IF('Control Room'!$B$5="Normal",'Control Room'!$B$7,('Control Room'!$B$8+'Control Room'!$D$8)/2)+'Control Room'!$B$9*(AN461-IF('Control Room'!$B$5="Normal",'Control Room'!$B$7,('Control Room'!$B$8+'Control Room'!$D$8)/2))+SQRT(1-'Control Room'!$B$9^2)*(AM462-IF('Control Room'!$B$5="Normal",'Control Room'!$B$7,('Control Room'!$B$8+'Control Room'!$D$8)/2))</x:f>
        <x:v>1057.1939296197597</x:v>
      </x:c>
      <x:c r="AO462" s="17" t="n">
        <x:f>IF(AND($A462&gt;='Control Room'!$A$13,$A462&lt;'Control Room'!$A$13+'Control Room'!$B$13,'Process'!BR2=1),1+('Control Room'!$C$13-1)*EXP(-0.5*(($A462-'Control Room'!$A$13-('Control Room'!$B$13-1)/2)/MAX(0.5,'Control Room'!$B$13/4))^2),1)*IF(AND($A462&gt;='Control Room'!$A$14,$A462&lt;'Control Room'!$A$14+'Control Room'!$B$14,'Process'!BR3=1),1+('Control Room'!$C$14-1)*EXP(-0.5*(($A462-'Control Room'!$A$14-('Control Room'!$B$14-1)/2)/MAX(0.5,'Control Room'!$B$14/4))^2),1)*IF(AND($A462&gt;='Control Room'!$A$15,$A462&lt;'Control Room'!$A$15+'Control Room'!$B$15,'Process'!BR4=1),1+('Control Room'!$C$15-1)*EXP(-0.5*(($A462-'Control Room'!$A$15-('Control Room'!$B$15-1)/2)/MAX(0.5,'Control Room'!$B$15/4))^2),1)*IF(AND($A462&gt;='Control Room'!$A$16,$A462&lt;'Control Room'!$A$16+'Control Room'!$B$16,'Process'!BR5=1),1+('Control Room'!$C$16-1)*EXP(-0.5*(($A462-'Control Room'!$A$16-('Control Room'!$B$16-1)/2)/MAX(0.5,'Control Room'!$B$16/4))^2),1)</x:f>
        <x:v>1</x:v>
      </x:c>
      <x:c r="AP462" s="9" t="n">
        <x:f>MOD(AQ461*16807,2147483647)</x:f>
        <x:v>778829140</x:v>
      </x:c>
      <x:c r="AQ462" s="9" t="n">
        <x:f>MOD(AP462*16807,2147483647)</x:f>
        <x:v>868527515</x:v>
      </x:c>
      <x:c r="AR462" s="17" t="n">
        <x:f>IF('Control Room'!$B$5="Normal",'Control Room'!$B$7+'Control Room'!$D$7*SQRT(-2*LN(MAX(0.000000000001,AP462/2147483647)))*COS(2*PI()*AQ462/2147483647),'Control Room'!$B$8+('Control Room'!$D$8-'Control Room'!$B$8)*AP462/2147483647)</x:f>
        <x:v>894.2362239613137</x:v>
      </x:c>
      <x:c r="AS462" s="17" t="n">
        <x:f>IF('Control Room'!$B$5="Normal",'Control Room'!$B$7,('Control Room'!$B$8+'Control Room'!$D$8)/2)+'Control Room'!$B$9*(AS461-IF('Control Room'!$B$5="Normal",'Control Room'!$B$7,('Control Room'!$B$8+'Control Room'!$D$8)/2))+SQRT(1-'Control Room'!$B$9^2)*(AR462-IF('Control Room'!$B$5="Normal",'Control Room'!$B$7,('Control Room'!$B$8+'Control Room'!$D$8)/2))</x:f>
        <x:v>1025.3002481202423</x:v>
      </x:c>
      <x:c r="AT462" s="17" t="n">
        <x:f>IF(AND($A462&gt;='Control Room'!$A$13,$A462&lt;'Control Room'!$A$13+'Control Room'!$B$13,'Process'!BS2=1),1+('Control Room'!$C$13-1)*EXP(-0.5*(($A462-'Control Room'!$A$13-('Control Room'!$B$13-1)/2)/MAX(0.5,'Control Room'!$B$13/4))^2),1)*IF(AND($A462&gt;='Control Room'!$A$14,$A462&lt;'Control Room'!$A$14+'Control Room'!$B$14,'Process'!BS3=1),1+('Control Room'!$C$14-1)*EXP(-0.5*(($A462-'Control Room'!$A$14-('Control Room'!$B$14-1)/2)/MAX(0.5,'Control Room'!$B$14/4))^2),1)*IF(AND($A462&gt;='Control Room'!$A$15,$A462&lt;'Control Room'!$A$15+'Control Room'!$B$15,'Process'!BS4=1),1+('Control Room'!$C$15-1)*EXP(-0.5*(($A462-'Control Room'!$A$15-('Control Room'!$B$15-1)/2)/MAX(0.5,'Control Room'!$B$15/4))^2),1)*IF(AND($A462&gt;='Control Room'!$A$16,$A462&lt;'Control Room'!$A$16+'Control Room'!$B$16,'Process'!BS5=1),1+('Control Room'!$C$16-1)*EXP(-0.5*(($A462-'Control Room'!$A$16-('Control Room'!$B$16-1)/2)/MAX(0.5,'Control Room'!$B$16/4))^2),1)</x:f>
        <x:v>1</x:v>
      </x:c>
      <x:c r="AU462" s="9" t="n">
        <x:f>MOD(AV461*16807,2147483647)</x:f>
        <x:v>854558402</x:v>
      </x:c>
      <x:c r="AV462" s="9" t="n">
        <x:f>MOD(AU462*16807,2147483647)</x:f>
        <x:v>192431278</x:v>
      </x:c>
      <x:c r="AW462" s="17" t="n">
        <x:f>IF('Control Room'!$B$5="Normal",'Control Room'!$B$7+'Control Room'!$D$7*SQRT(-2*LN(MAX(0.000000000001,AU462/2147483647)))*COS(2*PI()*AV462/2147483647),'Control Room'!$B$8+('Control Room'!$D$8-'Control Room'!$B$8)*AU462/2147483647)</x:f>
        <x:v>1103.3203663876657</x:v>
      </x:c>
      <x:c r="AX462" s="17" t="n">
        <x:f>IF('Control Room'!$B$5="Normal",'Control Room'!$B$7,('Control Room'!$B$8+'Control Room'!$D$8)/2)+'Control Room'!$B$9*(AX461-IF('Control Room'!$B$5="Normal",'Control Room'!$B$7,('Control Room'!$B$8+'Control Room'!$D$8)/2))+SQRT(1-'Control Room'!$B$9^2)*(AW462-IF('Control Room'!$B$5="Normal",'Control Room'!$B$7,('Control Room'!$B$8+'Control Room'!$D$8)/2))</x:f>
        <x:v>1068.8608297345315</x:v>
      </x:c>
      <x:c r="AY462" s="17" t="n">
        <x:f>IF(AND($A462&gt;='Control Room'!$A$13,$A462&lt;'Control Room'!$A$13+'Control Room'!$B$13,'Process'!BT2=1),1+('Control Room'!$C$13-1)*EXP(-0.5*(($A462-'Control Room'!$A$13-('Control Room'!$B$13-1)/2)/MAX(0.5,'Control Room'!$B$13/4))^2),1)*IF(AND($A462&gt;='Control Room'!$A$14,$A462&lt;'Control Room'!$A$14+'Control Room'!$B$14,'Process'!BT3=1),1+('Control Room'!$C$14-1)*EXP(-0.5*(($A462-'Control Room'!$A$14-('Control Room'!$B$14-1)/2)/MAX(0.5,'Control Room'!$B$14/4))^2),1)*IF(AND($A462&gt;='Control Room'!$A$15,$A462&lt;'Control Room'!$A$15+'Control Room'!$B$15,'Process'!BT4=1),1+('Control Room'!$C$15-1)*EXP(-0.5*(($A462-'Control Room'!$A$15-('Control Room'!$B$15-1)/2)/MAX(0.5,'Control Room'!$B$15/4))^2),1)*IF(AND($A462&gt;='Control Room'!$A$16,$A462&lt;'Control Room'!$A$16+'Control Room'!$B$16,'Process'!BT5=1),1+('Control Room'!$C$16-1)*EXP(-0.5*(($A462-'Control Room'!$A$16-('Control Room'!$B$16-1)/2)/MAX(0.5,'Control Room'!$B$16/4))^2),1)</x:f>
        <x:v>1</x:v>
      </x:c>
      <x:c r="AZ462" s="9" t="n">
        <x:f>MOD(BA461*16807,2147483647)</x:f>
        <x:v>930287664</x:v>
      </x:c>
      <x:c r="BA462" s="9" t="n">
        <x:f>MOD(AZ462*16807,2147483647)</x:f>
        <x:v>1663818688</x:v>
      </x:c>
      <x:c r="BB462" s="17" t="n">
        <x:f>IF('Control Room'!$B$5="Normal",'Control Room'!$B$7+'Control Room'!$D$7*SQRT(-2*LN(MAX(0.000000000001,AZ462/2147483647)))*COS(2*PI()*BA462/2147483647),'Control Room'!$B$8+('Control Room'!$D$8-'Control Room'!$B$8)*AZ462/2147483647)</x:f>
        <x:v>1018.0492971613054</x:v>
      </x:c>
      <x:c r="BC462" s="17" t="n">
        <x:f>IF('Control Room'!$B$5="Normal",'Control Room'!$B$7,('Control Room'!$B$8+'Control Room'!$D$8)/2)+'Control Room'!$B$9*(BC461-IF('Control Room'!$B$5="Normal",'Control Room'!$B$7,('Control Room'!$B$8+'Control Room'!$D$8)/2))+SQRT(1-'Control Room'!$B$9^2)*(BB462-IF('Control Room'!$B$5="Normal",'Control Room'!$B$7,('Control Room'!$B$8+'Control Room'!$D$8)/2))</x:f>
        <x:v>994.5551716996255</x:v>
      </x:c>
      <x:c r="BD462" s="17" t="n">
        <x:f>IF(AND($A462&gt;='Control Room'!$A$13,$A462&lt;'Control Room'!$A$13+'Control Room'!$B$13,'Process'!BU2=1),1+('Control Room'!$C$13-1)*EXP(-0.5*(($A462-'Control Room'!$A$13-('Control Room'!$B$13-1)/2)/MAX(0.5,'Control Room'!$B$13/4))^2),1)*IF(AND($A462&gt;='Control Room'!$A$14,$A462&lt;'Control Room'!$A$14+'Control Room'!$B$14,'Process'!BU3=1),1+('Control Room'!$C$14-1)*EXP(-0.5*(($A462-'Control Room'!$A$14-('Control Room'!$B$14-1)/2)/MAX(0.5,'Control Room'!$B$14/4))^2),1)*IF(AND($A462&gt;='Control Room'!$A$15,$A462&lt;'Control Room'!$A$15+'Control Room'!$B$15,'Process'!BU4=1),1+('Control Room'!$C$15-1)*EXP(-0.5*(($A462-'Control Room'!$A$15-('Control Room'!$B$15-1)/2)/MAX(0.5,'Control Room'!$B$15/4))^2),1)*IF(AND($A462&gt;='Control Room'!$A$16,$A462&lt;'Control Room'!$A$16+'Control Room'!$B$16,'Process'!BU5=1),1+('Control Room'!$C$16-1)*EXP(-0.5*(($A462-'Control Room'!$A$16-('Control Room'!$B$16-1)/2)/MAX(0.5,'Control Room'!$B$16/4))^2),1)</x:f>
        <x:v>1</x:v>
      </x:c>
      <x:c r="BE462" s="9" t="n">
        <x:f>MOD(BF461*16807,2147483647)</x:f>
        <x:v>1006016926</x:v>
      </x:c>
      <x:c r="BF462" s="9" t="n">
        <x:f>MOD(BE462*16807,2147483647)</x:f>
        <x:v>987722451</x:v>
      </x:c>
      <x:c r="BG462" s="17" t="n">
        <x:f>IF('Control Room'!$B$5="Normal",'Control Room'!$B$7+'Control Room'!$D$7*SQRT(-2*LN(MAX(0.000000000001,BE462/2147483647)))*COS(2*PI()*BF462/2147483647),'Control Room'!$B$8+('Control Room'!$D$8-'Control Room'!$B$8)*BE462/2147483647)</x:f>
        <x:v>892.656648632405</x:v>
      </x:c>
      <x:c r="BH462" s="17" t="n">
        <x:f>IF('Control Room'!$B$5="Normal",'Control Room'!$B$7,('Control Room'!$B$8+'Control Room'!$D$8)/2)+'Control Room'!$B$9*(BH461-IF('Control Room'!$B$5="Normal",'Control Room'!$B$7,('Control Room'!$B$8+'Control Room'!$D$8)/2))+SQRT(1-'Control Room'!$B$9^2)*(BG462-IF('Control Room'!$B$5="Normal",'Control Room'!$B$7,('Control Room'!$B$8+'Control Room'!$D$8)/2))</x:f>
        <x:v>832.6390149400187</x:v>
      </x:c>
      <x:c r="BI462" s="17" t="n">
        <x:f>IF(AND($A462&gt;='Control Room'!$A$13,$A462&lt;'Control Room'!$A$13+'Control Room'!$B$13,'Process'!BV2=1),1+('Control Room'!$C$13-1)*EXP(-0.5*(($A462-'Control Room'!$A$13-('Control Room'!$B$13-1)/2)/MAX(0.5,'Control Room'!$B$13/4))^2),1)*IF(AND($A462&gt;='Control Room'!$A$14,$A462&lt;'Control Room'!$A$14+'Control Room'!$B$14,'Process'!BV3=1),1+('Control Room'!$C$14-1)*EXP(-0.5*(($A462-'Control Room'!$A$14-('Control Room'!$B$14-1)/2)/MAX(0.5,'Control Room'!$B$14/4))^2),1)*IF(AND($A462&gt;='Control Room'!$A$15,$A462&lt;'Control Room'!$A$15+'Control Room'!$B$15,'Process'!BV4=1),1+('Control Room'!$C$15-1)*EXP(-0.5*(($A462-'Control Room'!$A$15-('Control Room'!$B$15-1)/2)/MAX(0.5,'Control Room'!$B$15/4))^2),1)*IF(AND($A462&gt;='Control Room'!$A$16,$A462&lt;'Control Room'!$A$16+'Control Room'!$B$16,'Process'!BV5=1),1+('Control Room'!$C$16-1)*EXP(-0.5*(($A462-'Control Room'!$A$16-('Control Room'!$B$16-1)/2)/MAX(0.5,'Control Room'!$B$16/4))^2),1)</x:f>
        <x:v>1</x:v>
      </x:c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Z462" t="str">
        <x:f>IF('Data'!A462="","",TEXT('Data'!A462,"mm-dd"))</x:f>
      </x:c>
    </x:row>
    <x:row r="463" ht="21" customHeight="1">
      <x:c r="A463" s="15" t="n">
        <x:f>'Control Room'!$B$1+461</x:f>
        <x:v>73452</x:v>
      </x:c>
      <x:c r="B463" s="9" t="n">
        <x:f>MOD(C462*16807,2147483647)</x:f>
        <x:v>960976861</x:v>
      </x:c>
      <x:c r="C463" s="9" t="n">
        <x:f>MOD(B463*16807,2147483647)</x:f>
        <x:v>2061077387</x:v>
      </x:c>
      <x:c r="D463" s="17" t="n">
        <x:f>IF('Control Room'!$B$5="Normal",'Control Room'!$B$7+'Control Room'!$D$7*SQRT(-2*LN(MAX(0.000000000001,B463/2147483647)))*COS(2*PI()*C463/2147483647),'Control Room'!$B$8+('Control Room'!$D$8-'Control Room'!$B$8)*B463/2147483647)</x:f>
        <x:v>1110.5055326518816</x:v>
      </x:c>
      <x:c r="E463" s="17" t="n">
        <x:f>IF('Control Room'!$B$5="Normal",'Control Room'!$B$7,('Control Room'!$B$8+'Control Room'!$D$8)/2)+'Control Room'!$B$9*(E462-IF('Control Room'!$B$5="Normal",'Control Room'!$B$7,('Control Room'!$B$8+'Control Room'!$D$8)/2))+SQRT(1-'Control Room'!$B$9^2)*(D463-IF('Control Room'!$B$5="Normal",'Control Room'!$B$7,('Control Room'!$B$8+'Control Room'!$D$8)/2))</x:f>
        <x:v>1149.1170968996882</x:v>
      </x:c>
      <x:c r="F463" s="17" t="n">
        <x:f>IF(AND($A463&gt;='Control Room'!$A$13,$A463&lt;'Control Room'!$A$13+'Control Room'!$B$13,'Process'!BK2=1),1+('Control Room'!$C$13-1)*EXP(-0.5*(($A463-'Control Room'!$A$13-('Control Room'!$B$13-1)/2)/MAX(0.5,'Control Room'!$B$13/4))^2),1)*IF(AND($A463&gt;='Control Room'!$A$14,$A463&lt;'Control Room'!$A$14+'Control Room'!$B$14,'Process'!BK3=1),1+('Control Room'!$C$14-1)*EXP(-0.5*(($A463-'Control Room'!$A$14-('Control Room'!$B$14-1)/2)/MAX(0.5,'Control Room'!$B$14/4))^2),1)*IF(AND($A463&gt;='Control Room'!$A$15,$A463&lt;'Control Room'!$A$15+'Control Room'!$B$15,'Process'!BK4=1),1+('Control Room'!$C$15-1)*EXP(-0.5*(($A463-'Control Room'!$A$15-('Control Room'!$B$15-1)/2)/MAX(0.5,'Control Room'!$B$15/4))^2),1)*IF(AND($A463&gt;='Control Room'!$A$16,$A463&lt;'Control Room'!$A$16+'Control Room'!$B$16,'Process'!BK5=1),1+('Control Room'!$C$16-1)*EXP(-0.5*(($A463-'Control Room'!$A$16-('Control Room'!$B$16-1)/2)/MAX(0.5,'Control Room'!$B$16/4))^2),1)</x:f>
        <x:v>1</x:v>
      </x:c>
      <x:c r="G463" s="9" t="n">
        <x:f>MOD(H462*16807,2147483647)</x:f>
        <x:v>147497879</x:v>
      </x:c>
      <x:c r="H463" s="9" t="n">
        <x:f>MOD(G463*16807,2147483647)</x:f>
        <x:v>800723715</x:v>
      </x:c>
      <x:c r="I463" s="17" t="n">
        <x:f>IF('Control Room'!$B$5="Normal",'Control Room'!$B$7+'Control Room'!$D$7*SQRT(-2*LN(MAX(0.000000000001,G463/2147483647)))*COS(2*PI()*H463/2147483647),'Control Room'!$B$8+('Control Room'!$D$8-'Control Room'!$B$8)*G463/2147483647)</x:f>
        <x:v>854.7001153046076</x:v>
      </x:c>
      <x:c r="J463" s="17" t="n">
        <x:f>IF('Control Room'!$B$5="Normal",'Control Room'!$B$7,('Control Room'!$B$8+'Control Room'!$D$8)/2)+'Control Room'!$B$9*(J462-IF('Control Room'!$B$5="Normal",'Control Room'!$B$7,('Control Room'!$B$8+'Control Room'!$D$8)/2))+SQRT(1-'Control Room'!$B$9^2)*(I463-IF('Control Room'!$B$5="Normal",'Control Room'!$B$7,('Control Room'!$B$8+'Control Room'!$D$8)/2))</x:f>
        <x:v>841.925767832859</x:v>
      </x:c>
      <x:c r="K463" s="17" t="n">
        <x:f>IF(AND($A463&gt;='Control Room'!$A$13,$A463&lt;'Control Room'!$A$13+'Control Room'!$B$13,'Process'!BL2=1),1+('Control Room'!$C$13-1)*EXP(-0.5*(($A463-'Control Room'!$A$13-('Control Room'!$B$13-1)/2)/MAX(0.5,'Control Room'!$B$13/4))^2),1)*IF(AND($A463&gt;='Control Room'!$A$14,$A463&lt;'Control Room'!$A$14+'Control Room'!$B$14,'Process'!BL3=1),1+('Control Room'!$C$14-1)*EXP(-0.5*(($A463-'Control Room'!$A$14-('Control Room'!$B$14-1)/2)/MAX(0.5,'Control Room'!$B$14/4))^2),1)*IF(AND($A463&gt;='Control Room'!$A$15,$A463&lt;'Control Room'!$A$15+'Control Room'!$B$15,'Process'!BL4=1),1+('Control Room'!$C$15-1)*EXP(-0.5*(($A463-'Control Room'!$A$15-('Control Room'!$B$15-1)/2)/MAX(0.5,'Control Room'!$B$15/4))^2),1)*IF(AND($A463&gt;='Control Room'!$A$16,$A463&lt;'Control Room'!$A$16+'Control Room'!$B$16,'Process'!BL5=1),1+('Control Room'!$C$16-1)*EXP(-0.5*(($A463-'Control Room'!$A$16-('Control Room'!$B$16-1)/2)/MAX(0.5,'Control Room'!$B$16/4))^2),1)</x:f>
        <x:v>1</x:v>
      </x:c>
      <x:c r="L463" s="9" t="n">
        <x:f>MOD(M462*16807,2147483647)</x:f>
        <x:v>1481502544</x:v>
      </x:c>
      <x:c r="M463" s="9" t="n">
        <x:f>MOD(L463*16807,2147483647)</x:f>
        <x:v>1687853690</x:v>
      </x:c>
      <x:c r="N463" s="17" t="n">
        <x:f>IF('Control Room'!$B$5="Normal",'Control Room'!$B$7+'Control Room'!$D$7*SQRT(-2*LN(MAX(0.000000000001,L463/2147483647)))*COS(2*PI()*M463/2147483647),'Control Room'!$B$8+('Control Room'!$D$8-'Control Room'!$B$8)*L463/2147483647)</x:f>
        <x:v>1017.3771825994996</x:v>
      </x:c>
      <x:c r="O463" s="17" t="n">
        <x:f>IF('Control Room'!$B$5="Normal",'Control Room'!$B$7,('Control Room'!$B$8+'Control Room'!$D$8)/2)+'Control Room'!$B$9*(O462-IF('Control Room'!$B$5="Normal",'Control Room'!$B$7,('Control Room'!$B$8+'Control Room'!$D$8)/2))+SQRT(1-'Control Room'!$B$9^2)*(N463-IF('Control Room'!$B$5="Normal",'Control Room'!$B$7,('Control Room'!$B$8+'Control Room'!$D$8)/2))</x:f>
        <x:v>991.2036222023887</x:v>
      </x:c>
      <x:c r="P463" s="17" t="n">
        <x:f>IF(AND($A463&gt;='Control Room'!$A$13,$A463&lt;'Control Room'!$A$13+'Control Room'!$B$13,'Process'!BM2=1),1+('Control Room'!$C$13-1)*EXP(-0.5*(($A463-'Control Room'!$A$13-('Control Room'!$B$13-1)/2)/MAX(0.5,'Control Room'!$B$13/4))^2),1)*IF(AND($A463&gt;='Control Room'!$A$14,$A463&lt;'Control Room'!$A$14+'Control Room'!$B$14,'Process'!BM3=1),1+('Control Room'!$C$14-1)*EXP(-0.5*(($A463-'Control Room'!$A$14-('Control Room'!$B$14-1)/2)/MAX(0.5,'Control Room'!$B$14/4))^2),1)*IF(AND($A463&gt;='Control Room'!$A$15,$A463&lt;'Control Room'!$A$15+'Control Room'!$B$15,'Process'!BM4=1),1+('Control Room'!$C$15-1)*EXP(-0.5*(($A463-'Control Room'!$A$15-('Control Room'!$B$15-1)/2)/MAX(0.5,'Control Room'!$B$15/4))^2),1)*IF(AND($A463&gt;='Control Room'!$A$16,$A463&lt;'Control Room'!$A$16+'Control Room'!$B$16,'Process'!BM5=1),1+('Control Room'!$C$16-1)*EXP(-0.5*(($A463-'Control Room'!$A$16-('Control Room'!$B$16-1)/2)/MAX(0.5,'Control Room'!$B$16/4))^2),1)</x:f>
        <x:v>1</x:v>
      </x:c>
      <x:c r="Q463" s="9" t="n">
        <x:f>MOD(R462*16807,2147483647)</x:f>
        <x:v>668023562</x:v>
      </x:c>
      <x:c r="R463" s="9" t="n">
        <x:f>MOD(Q463*16807,2147483647)</x:f>
        <x:v>427500018</x:v>
      </x:c>
      <x:c r="S463" s="17" t="n">
        <x:f>IF('Control Room'!$B$5="Normal",'Control Room'!$B$7+'Control Room'!$D$7*SQRT(-2*LN(MAX(0.000000000001,Q463/2147483647)))*COS(2*PI()*R463/2147483647),'Control Room'!$B$8+('Control Room'!$D$8-'Control Room'!$B$8)*Q463/2147483647)</x:f>
        <x:v>1043.2656012017399</x:v>
      </x:c>
      <x:c r="T463" s="17" t="n">
        <x:f>IF('Control Room'!$B$5="Normal",'Control Room'!$B$7,('Control Room'!$B$8+'Control Room'!$D$8)/2)+'Control Room'!$B$9*(T462-IF('Control Room'!$B$5="Normal",'Control Room'!$B$7,('Control Room'!$B$8+'Control Room'!$D$8)/2))+SQRT(1-'Control Room'!$B$9^2)*(S463-IF('Control Room'!$B$5="Normal",'Control Room'!$B$7,('Control Room'!$B$8+'Control Room'!$D$8)/2))</x:f>
        <x:v>1178.2017477266807</x:v>
      </x:c>
      <x:c r="U463" s="17" t="n">
        <x:f>IF(AND($A463&gt;='Control Room'!$A$13,$A463&lt;'Control Room'!$A$13+'Control Room'!$B$13,'Process'!BN2=1),1+('Control Room'!$C$13-1)*EXP(-0.5*(($A463-'Control Room'!$A$13-('Control Room'!$B$13-1)/2)/MAX(0.5,'Control Room'!$B$13/4))^2),1)*IF(AND($A463&gt;='Control Room'!$A$14,$A463&lt;'Control Room'!$A$14+'Control Room'!$B$14,'Process'!BN3=1),1+('Control Room'!$C$14-1)*EXP(-0.5*(($A463-'Control Room'!$A$14-('Control Room'!$B$14-1)/2)/MAX(0.5,'Control Room'!$B$14/4))^2),1)*IF(AND($A463&gt;='Control Room'!$A$15,$A463&lt;'Control Room'!$A$15+'Control Room'!$B$15,'Process'!BN4=1),1+('Control Room'!$C$15-1)*EXP(-0.5*(($A463-'Control Room'!$A$15-('Control Room'!$B$15-1)/2)/MAX(0.5,'Control Room'!$B$15/4))^2),1)*IF(AND($A463&gt;='Control Room'!$A$16,$A463&lt;'Control Room'!$A$16+'Control Room'!$B$16,'Process'!BN5=1),1+('Control Room'!$C$16-1)*EXP(-0.5*(($A463-'Control Room'!$A$16-('Control Room'!$B$16-1)/2)/MAX(0.5,'Control Room'!$B$16/4))^2),1)</x:f>
        <x:v>1</x:v>
      </x:c>
      <x:c r="V463" s="9" t="n">
        <x:f>MOD(W462*16807,2147483647)</x:f>
        <x:v>2002028227</x:v>
      </x:c>
      <x:c r="W463" s="9" t="n">
        <x:f>MOD(V463*16807,2147483647)</x:f>
        <x:v>1314629993</x:v>
      </x:c>
      <x:c r="X463" s="17" t="n">
        <x:f>IF('Control Room'!$B$5="Normal",'Control Room'!$B$7+'Control Room'!$D$7*SQRT(-2*LN(MAX(0.000000000001,V463/2147483647)))*COS(2*PI()*W463/2147483647),'Control Room'!$B$8+('Control Room'!$D$8-'Control Room'!$B$8)*V463/2147483647)</x:f>
        <x:v>974.3235128302264</x:v>
      </x:c>
      <x:c r="Y463" s="17" t="n">
        <x:f>IF('Control Room'!$B$5="Normal",'Control Room'!$B$7,('Control Room'!$B$8+'Control Room'!$D$8)/2)+'Control Room'!$B$9*(Y462-IF('Control Room'!$B$5="Normal",'Control Room'!$B$7,('Control Room'!$B$8+'Control Room'!$D$8)/2))+SQRT(1-'Control Room'!$B$9^2)*(X463-IF('Control Room'!$B$5="Normal",'Control Room'!$B$7,('Control Room'!$B$8+'Control Room'!$D$8)/2))</x:f>
        <x:v>983.8139480159454</x:v>
      </x:c>
      <x:c r="Z463" s="17" t="n">
        <x:f>IF(AND($A463&gt;='Control Room'!$A$13,$A463&lt;'Control Room'!$A$13+'Control Room'!$B$13,'Process'!BO2=1),1+('Control Room'!$C$13-1)*EXP(-0.5*(($A463-'Control Room'!$A$13-('Control Room'!$B$13-1)/2)/MAX(0.5,'Control Room'!$B$13/4))^2),1)*IF(AND($A463&gt;='Control Room'!$A$14,$A463&lt;'Control Room'!$A$14+'Control Room'!$B$14,'Process'!BO3=1),1+('Control Room'!$C$14-1)*EXP(-0.5*(($A463-'Control Room'!$A$14-('Control Room'!$B$14-1)/2)/MAX(0.5,'Control Room'!$B$14/4))^2),1)*IF(AND($A463&gt;='Control Room'!$A$15,$A463&lt;'Control Room'!$A$15+'Control Room'!$B$15,'Process'!BO4=1),1+('Control Room'!$C$15-1)*EXP(-0.5*(($A463-'Control Room'!$A$15-('Control Room'!$B$15-1)/2)/MAX(0.5,'Control Room'!$B$15/4))^2),1)*IF(AND($A463&gt;='Control Room'!$A$16,$A463&lt;'Control Room'!$A$16+'Control Room'!$B$16,'Process'!BO5=1),1+('Control Room'!$C$16-1)*EXP(-0.5*(($A463-'Control Room'!$A$16-('Control Room'!$B$16-1)/2)/MAX(0.5,'Control Room'!$B$16/4))^2),1)</x:f>
        <x:v>1</x:v>
      </x:c>
      <x:c r="AA463" s="9" t="n">
        <x:f>MOD(AB462*16807,2147483647)</x:f>
        <x:v>1188549245</x:v>
      </x:c>
      <x:c r="AB463" s="9" t="n">
        <x:f>MOD(AA463*16807,2147483647)</x:f>
        <x:v>54276321</x:v>
      </x:c>
      <x:c r="AC463" s="17" t="n">
        <x:f>IF('Control Room'!$B$5="Normal",'Control Room'!$B$7+'Control Room'!$D$7*SQRT(-2*LN(MAX(0.000000000001,AA463/2147483647)))*COS(2*PI()*AB463/2147483647),'Control Room'!$B$8+('Control Room'!$D$8-'Control Room'!$B$8)*AA463/2147483647)</x:f>
        <x:v>1096.662674096103</x:v>
      </x:c>
      <x:c r="AD463" s="17" t="n">
        <x:f>IF('Control Room'!$B$5="Normal",'Control Room'!$B$7,('Control Room'!$B$8+'Control Room'!$D$8)/2)+'Control Room'!$B$9*(AD462-IF('Control Room'!$B$5="Normal",'Control Room'!$B$7,('Control Room'!$B$8+'Control Room'!$D$8)/2))+SQRT(1-'Control Room'!$B$9^2)*(AC463-IF('Control Room'!$B$5="Normal",'Control Room'!$B$7,('Control Room'!$B$8+'Control Room'!$D$8)/2))</x:f>
        <x:v>1104.9101609018892</x:v>
      </x:c>
      <x:c r="AE463" s="17" t="n">
        <x:f>IF(AND($A463&gt;='Control Room'!$A$13,$A463&lt;'Control Room'!$A$13+'Control Room'!$B$13,'Process'!BP2=1),1+('Control Room'!$C$13-1)*EXP(-0.5*(($A463-'Control Room'!$A$13-('Control Room'!$B$13-1)/2)/MAX(0.5,'Control Room'!$B$13/4))^2),1)*IF(AND($A463&gt;='Control Room'!$A$14,$A463&lt;'Control Room'!$A$14+'Control Room'!$B$14,'Process'!BP3=1),1+('Control Room'!$C$14-1)*EXP(-0.5*(($A463-'Control Room'!$A$14-('Control Room'!$B$14-1)/2)/MAX(0.5,'Control Room'!$B$14/4))^2),1)*IF(AND($A463&gt;='Control Room'!$A$15,$A463&lt;'Control Room'!$A$15+'Control Room'!$B$15,'Process'!BP4=1),1+('Control Room'!$C$15-1)*EXP(-0.5*(($A463-'Control Room'!$A$15-('Control Room'!$B$15-1)/2)/MAX(0.5,'Control Room'!$B$15/4))^2),1)*IF(AND($A463&gt;='Control Room'!$A$16,$A463&lt;'Control Room'!$A$16+'Control Room'!$B$16,'Process'!BP5=1),1+('Control Room'!$C$16-1)*EXP(-0.5*(($A463-'Control Room'!$A$16-('Control Room'!$B$16-1)/2)/MAX(0.5,'Control Room'!$B$16/4))^2),1)</x:f>
        <x:v>1</x:v>
      </x:c>
      <x:c r="AF463" s="9" t="n">
        <x:f>MOD(AG462*16807,2147483647)</x:f>
        <x:v>375070263</x:v>
      </x:c>
      <x:c r="AG463" s="9" t="n">
        <x:f>MOD(AF463*16807,2147483647)</x:f>
        <x:v>941406296</x:v>
      </x:c>
      <x:c r="AH463" s="17" t="n">
        <x:f>IF('Control Room'!$B$5="Normal",'Control Room'!$B$7+'Control Room'!$D$7*SQRT(-2*LN(MAX(0.000000000001,AF463/2147483647)))*COS(2*PI()*AG463/2147483647),'Control Room'!$B$8+('Control Room'!$D$8-'Control Room'!$B$8)*AF463/2147483647)</x:f>
        <x:v>844.315315132041</x:v>
      </x:c>
      <x:c r="AI463" s="17" t="n">
        <x:f>IF('Control Room'!$B$5="Normal",'Control Room'!$B$7,('Control Room'!$B$8+'Control Room'!$D$8)/2)+'Control Room'!$B$9*(AI462-IF('Control Room'!$B$5="Normal",'Control Room'!$B$7,('Control Room'!$B$8+'Control Room'!$D$8)/2))+SQRT(1-'Control Room'!$B$9^2)*(AH463-IF('Control Room'!$B$5="Normal",'Control Room'!$B$7,('Control Room'!$B$8+'Control Room'!$D$8)/2))</x:f>
        <x:v>1073.037727738185</x:v>
      </x:c>
      <x:c r="AJ463" s="17" t="n">
        <x:f>IF(AND($A463&gt;='Control Room'!$A$13,$A463&lt;'Control Room'!$A$13+'Control Room'!$B$13,'Process'!BQ2=1),1+('Control Room'!$C$13-1)*EXP(-0.5*(($A463-'Control Room'!$A$13-('Control Room'!$B$13-1)/2)/MAX(0.5,'Control Room'!$B$13/4))^2),1)*IF(AND($A463&gt;='Control Room'!$A$14,$A463&lt;'Control Room'!$A$14+'Control Room'!$B$14,'Process'!BQ3=1),1+('Control Room'!$C$14-1)*EXP(-0.5*(($A463-'Control Room'!$A$14-('Control Room'!$B$14-1)/2)/MAX(0.5,'Control Room'!$B$14/4))^2),1)*IF(AND($A463&gt;='Control Room'!$A$15,$A463&lt;'Control Room'!$A$15+'Control Room'!$B$15,'Process'!BQ4=1),1+('Control Room'!$C$15-1)*EXP(-0.5*(($A463-'Control Room'!$A$15-('Control Room'!$B$15-1)/2)/MAX(0.5,'Control Room'!$B$15/4))^2),1)*IF(AND($A463&gt;='Control Room'!$A$16,$A463&lt;'Control Room'!$A$16+'Control Room'!$B$16,'Process'!BQ5=1),1+('Control Room'!$C$16-1)*EXP(-0.5*(($A463-'Control Room'!$A$16-('Control Room'!$B$16-1)/2)/MAX(0.5,'Control Room'!$B$16/4))^2),1)</x:f>
        <x:v>1</x:v>
      </x:c>
      <x:c r="AK463" s="9" t="n">
        <x:f>MOD(AL462*16807,2147483647)</x:f>
        <x:v>1709074928</x:v>
      </x:c>
      <x:c r="AL463" s="9" t="n">
        <x:f>MOD(AK463*16807,2147483647)</x:f>
        <x:v>1828536271</x:v>
      </x:c>
      <x:c r="AM463" s="17" t="n">
        <x:f>IF('Control Room'!$B$5="Normal",'Control Room'!$B$7+'Control Room'!$D$7*SQRT(-2*LN(MAX(0.000000000001,AK463/2147483647)))*COS(2*PI()*AL463/2147483647),'Control Room'!$B$8+('Control Room'!$D$8-'Control Room'!$B$8)*AK463/2147483647)</x:f>
        <x:v>1036.2051923605602</x:v>
      </x:c>
      <x:c r="AN463" s="17" t="n">
        <x:f>IF('Control Room'!$B$5="Normal",'Control Room'!$B$7,('Control Room'!$B$8+'Control Room'!$D$8)/2)+'Control Room'!$B$9*(AN462-IF('Control Room'!$B$5="Normal",'Control Room'!$B$7,('Control Room'!$B$8+'Control Room'!$D$8)/2))+SQRT(1-'Control Room'!$B$9^2)*(AM463-IF('Control Room'!$B$5="Normal",'Control Room'!$B$7,('Control Room'!$B$8+'Control Room'!$D$8)/2))</x:f>
        <x:v>1067.2677327789704</x:v>
      </x:c>
      <x:c r="AO463" s="17" t="n">
        <x:f>IF(AND($A463&gt;='Control Room'!$A$13,$A463&lt;'Control Room'!$A$13+'Control Room'!$B$13,'Process'!BR2=1),1+('Control Room'!$C$13-1)*EXP(-0.5*(($A463-'Control Room'!$A$13-('Control Room'!$B$13-1)/2)/MAX(0.5,'Control Room'!$B$13/4))^2),1)*IF(AND($A463&gt;='Control Room'!$A$14,$A463&lt;'Control Room'!$A$14+'Control Room'!$B$14,'Process'!BR3=1),1+('Control Room'!$C$14-1)*EXP(-0.5*(($A463-'Control Room'!$A$14-('Control Room'!$B$14-1)/2)/MAX(0.5,'Control Room'!$B$14/4))^2),1)*IF(AND($A463&gt;='Control Room'!$A$15,$A463&lt;'Control Room'!$A$15+'Control Room'!$B$15,'Process'!BR4=1),1+('Control Room'!$C$15-1)*EXP(-0.5*(($A463-'Control Room'!$A$15-('Control Room'!$B$15-1)/2)/MAX(0.5,'Control Room'!$B$15/4))^2),1)*IF(AND($A463&gt;='Control Room'!$A$16,$A463&lt;'Control Room'!$A$16+'Control Room'!$B$16,'Process'!BR5=1),1+('Control Room'!$C$16-1)*EXP(-0.5*(($A463-'Control Room'!$A$16-('Control Room'!$B$16-1)/2)/MAX(0.5,'Control Room'!$B$16/4))^2),1)</x:f>
        <x:v>1</x:v>
      </x:c>
      <x:c r="AP463" s="9" t="n">
        <x:f>MOD(AQ462*16807,2147483647)</x:f>
        <x:v>895595946</x:v>
      </x:c>
      <x:c r="AQ463" s="9" t="n">
        <x:f>MOD(AP463*16807,2147483647)</x:f>
        <x:v>568182599</x:v>
      </x:c>
      <x:c r="AR463" s="17" t="n">
        <x:f>IF('Control Room'!$B$5="Normal",'Control Room'!$B$7+'Control Room'!$D$7*SQRT(-2*LN(MAX(0.000000000001,AP463/2147483647)))*COS(2*PI()*AQ463/2147483647),'Control Room'!$B$8+('Control Room'!$D$8-'Control Room'!$B$8)*AP463/2147483647)</x:f>
        <x:v>989.1106543932709</x:v>
      </x:c>
      <x:c r="AS463" s="17" t="n">
        <x:f>IF('Control Room'!$B$5="Normal",'Control Room'!$B$7,('Control Room'!$B$8+'Control Room'!$D$8)/2)+'Control Room'!$B$9*(AS462-IF('Control Room'!$B$5="Normal",'Control Room'!$B$7,('Control Room'!$B$8+'Control Room'!$D$8)/2))+SQRT(1-'Control Room'!$B$9^2)*(AR463-IF('Control Room'!$B$5="Normal",'Control Room'!$B$7,('Control Room'!$B$8+'Control Room'!$D$8)/2))</x:f>
        <x:v>1012.9198641334681</x:v>
      </x:c>
      <x:c r="AT463" s="17" t="n">
        <x:f>IF(AND($A463&gt;='Control Room'!$A$13,$A463&lt;'Control Room'!$A$13+'Control Room'!$B$13,'Process'!BS2=1),1+('Control Room'!$C$13-1)*EXP(-0.5*(($A463-'Control Room'!$A$13-('Control Room'!$B$13-1)/2)/MAX(0.5,'Control Room'!$B$13/4))^2),1)*IF(AND($A463&gt;='Control Room'!$A$14,$A463&lt;'Control Room'!$A$14+'Control Room'!$B$14,'Process'!BS3=1),1+('Control Room'!$C$14-1)*EXP(-0.5*(($A463-'Control Room'!$A$14-('Control Room'!$B$14-1)/2)/MAX(0.5,'Control Room'!$B$14/4))^2),1)*IF(AND($A463&gt;='Control Room'!$A$15,$A463&lt;'Control Room'!$A$15+'Control Room'!$B$15,'Process'!BS4=1),1+('Control Room'!$C$15-1)*EXP(-0.5*(($A463-'Control Room'!$A$15-('Control Room'!$B$15-1)/2)/MAX(0.5,'Control Room'!$B$15/4))^2),1)*IF(AND($A463&gt;='Control Room'!$A$16,$A463&lt;'Control Room'!$A$16+'Control Room'!$B$16,'Process'!BS5=1),1+('Control Room'!$C$16-1)*EXP(-0.5*(($A463-'Control Room'!$A$16-('Control Room'!$B$16-1)/2)/MAX(0.5,'Control Room'!$B$16/4))^2),1)</x:f>
        <x:v>1</x:v>
      </x:c>
      <x:c r="AU463" s="9" t="n">
        <x:f>MOD(AV462*16807,2147483647)</x:f>
        <x:v>82116964</x:v>
      </x:c>
      <x:c r="AV463" s="9" t="n">
        <x:f>MOD(AU463*16807,2147483647)</x:f>
        <x:v>1455312574</x:v>
      </x:c>
      <x:c r="AW463" s="17" t="n">
        <x:f>IF('Control Room'!$B$5="Normal",'Control Room'!$B$7+'Control Room'!$D$7*SQRT(-2*LN(MAX(0.000000000001,AU463/2147483647)))*COS(2*PI()*AV463/2147483647),'Control Room'!$B$8+('Control Room'!$D$8-'Control Room'!$B$8)*AU463/2147483647)</x:f>
        <x:v>899.0747649784881</x:v>
      </x:c>
      <x:c r="AX463" s="17" t="n">
        <x:f>IF('Control Room'!$B$5="Normal",'Control Room'!$B$7,('Control Room'!$B$8+'Control Room'!$D$8)/2)+'Control Room'!$B$9*(AX462-IF('Control Room'!$B$5="Normal",'Control Room'!$B$7,('Control Room'!$B$8+'Control Room'!$D$8)/2))+SQRT(1-'Control Room'!$B$9^2)*(AW463-IF('Control Room'!$B$5="Normal",'Control Room'!$B$7,('Control Room'!$B$8+'Control Room'!$D$8)/2))</x:f>
        <x:v>990.5545026822941</x:v>
      </x:c>
      <x:c r="AY463" s="17" t="n">
        <x:f>IF(AND($A463&gt;='Control Room'!$A$13,$A463&lt;'Control Room'!$A$13+'Control Room'!$B$13,'Process'!BT2=1),1+('Control Room'!$C$13-1)*EXP(-0.5*(($A463-'Control Room'!$A$13-('Control Room'!$B$13-1)/2)/MAX(0.5,'Control Room'!$B$13/4))^2),1)*IF(AND($A463&gt;='Control Room'!$A$14,$A463&lt;'Control Room'!$A$14+'Control Room'!$B$14,'Process'!BT3=1),1+('Control Room'!$C$14-1)*EXP(-0.5*(($A463-'Control Room'!$A$14-('Control Room'!$B$14-1)/2)/MAX(0.5,'Control Room'!$B$14/4))^2),1)*IF(AND($A463&gt;='Control Room'!$A$15,$A463&lt;'Control Room'!$A$15+'Control Room'!$B$15,'Process'!BT4=1),1+('Control Room'!$C$15-1)*EXP(-0.5*(($A463-'Control Room'!$A$15-('Control Room'!$B$15-1)/2)/MAX(0.5,'Control Room'!$B$15/4))^2),1)*IF(AND($A463&gt;='Control Room'!$A$16,$A463&lt;'Control Room'!$A$16+'Control Room'!$B$16,'Process'!BT5=1),1+('Control Room'!$C$16-1)*EXP(-0.5*(($A463-'Control Room'!$A$16-('Control Room'!$B$16-1)/2)/MAX(0.5,'Control Room'!$B$16/4))^2),1)</x:f>
        <x:v>1</x:v>
      </x:c>
      <x:c r="AZ463" s="9" t="n">
        <x:f>MOD(BA462*16807,2147483647)</x:f>
        <x:v>1416121629</x:v>
      </x:c>
      <x:c r="BA463" s="9" t="n">
        <x:f>MOD(AZ463*16807,2147483647)</x:f>
        <x:v>194958902</x:v>
      </x:c>
      <x:c r="BB463" s="17" t="n">
        <x:f>IF('Control Room'!$B$5="Normal",'Control Room'!$B$7+'Control Room'!$D$7*SQRT(-2*LN(MAX(0.000000000001,AZ463/2147483647)))*COS(2*PI()*BA463/2147483647),'Control Room'!$B$8+('Control Room'!$D$8-'Control Room'!$B$8)*AZ463/2147483647)</x:f>
        <x:v>1069.1264761493262</x:v>
      </x:c>
      <x:c r="BC463" s="17" t="n">
        <x:f>IF('Control Room'!$B$5="Normal",'Control Room'!$B$7,('Control Room'!$B$8+'Control Room'!$D$8)/2)+'Control Room'!$B$9*(BC462-IF('Control Room'!$B$5="Normal",'Control Room'!$B$7,('Control Room'!$B$8+'Control Room'!$D$8)/2))+SQRT(1-'Control Room'!$B$9^2)*(BB463-IF('Control Room'!$B$5="Normal",'Control Room'!$B$7,('Control Room'!$B$8+'Control Room'!$D$8)/2))</x:f>
        <x:v>1039.0109665671187</x:v>
      </x:c>
      <x:c r="BD463" s="17" t="n">
        <x:f>IF(AND($A463&gt;='Control Room'!$A$13,$A463&lt;'Control Room'!$A$13+'Control Room'!$B$13,'Process'!BU2=1),1+('Control Room'!$C$13-1)*EXP(-0.5*(($A463-'Control Room'!$A$13-('Control Room'!$B$13-1)/2)/MAX(0.5,'Control Room'!$B$13/4))^2),1)*IF(AND($A463&gt;='Control Room'!$A$14,$A463&lt;'Control Room'!$A$14+'Control Room'!$B$14,'Process'!BU3=1),1+('Control Room'!$C$14-1)*EXP(-0.5*(($A463-'Control Room'!$A$14-('Control Room'!$B$14-1)/2)/MAX(0.5,'Control Room'!$B$14/4))^2),1)*IF(AND($A463&gt;='Control Room'!$A$15,$A463&lt;'Control Room'!$A$15+'Control Room'!$B$15,'Process'!BU4=1),1+('Control Room'!$C$15-1)*EXP(-0.5*(($A463-'Control Room'!$A$15-('Control Room'!$B$15-1)/2)/MAX(0.5,'Control Room'!$B$15/4))^2),1)*IF(AND($A463&gt;='Control Room'!$A$16,$A463&lt;'Control Room'!$A$16+'Control Room'!$B$16,'Process'!BU5=1),1+('Control Room'!$C$16-1)*EXP(-0.5*(($A463-'Control Room'!$A$16-('Control Room'!$B$16-1)/2)/MAX(0.5,'Control Room'!$B$16/4))^2),1)</x:f>
        <x:v>1</x:v>
      </x:c>
      <x:c r="BE463" s="9" t="n">
        <x:f>MOD(BF462*16807,2147483647)</x:f>
        <x:v>602642647</x:v>
      </x:c>
      <x:c r="BF463" s="9" t="n">
        <x:f>MOD(BE463*16807,2147483647)</x:f>
        <x:v>1082088877</x:v>
      </x:c>
      <x:c r="BG463" s="17" t="n">
        <x:f>IF('Control Room'!$B$5="Normal",'Control Room'!$B$7+'Control Room'!$D$7*SQRT(-2*LN(MAX(0.000000000001,BE463/2147483647)))*COS(2*PI()*BF463/2147483647),'Control Room'!$B$8+('Control Room'!$D$8-'Control Room'!$B$8)*BE463/2147483647)</x:f>
        <x:v>856.5653037731129</x:v>
      </x:c>
      <x:c r="BH463" s="17" t="n">
        <x:f>IF('Control Room'!$B$5="Normal",'Control Room'!$B$7,('Control Room'!$B$8+'Control Room'!$D$8)/2)+'Control Room'!$B$9*(BH462-IF('Control Room'!$B$5="Normal",'Control Room'!$B$7,('Control Room'!$B$8+'Control Room'!$D$8)/2))+SQRT(1-'Control Room'!$B$9^2)*(BG463-IF('Control Room'!$B$5="Normal",'Control Room'!$B$7,('Control Room'!$B$8+'Control Room'!$D$8)/2))</x:f>
        <x:v>779.6999371738981</x:v>
      </x:c>
      <x:c r="BI463" s="17" t="n">
        <x:f>IF(AND($A463&gt;='Control Room'!$A$13,$A463&lt;'Control Room'!$A$13+'Control Room'!$B$13,'Process'!BV2=1),1+('Control Room'!$C$13-1)*EXP(-0.5*(($A463-'Control Room'!$A$13-('Control Room'!$B$13-1)/2)/MAX(0.5,'Control Room'!$B$13/4))^2),1)*IF(AND($A463&gt;='Control Room'!$A$14,$A463&lt;'Control Room'!$A$14+'Control Room'!$B$14,'Process'!BV3=1),1+('Control Room'!$C$14-1)*EXP(-0.5*(($A463-'Control Room'!$A$14-('Control Room'!$B$14-1)/2)/MAX(0.5,'Control Room'!$B$14/4))^2),1)*IF(AND($A463&gt;='Control Room'!$A$15,$A463&lt;'Control Room'!$A$15+'Control Room'!$B$15,'Process'!BV4=1),1+('Control Room'!$C$15-1)*EXP(-0.5*(($A463-'Control Room'!$A$15-('Control Room'!$B$15-1)/2)/MAX(0.5,'Control Room'!$B$15/4))^2),1)*IF(AND($A463&gt;='Control Room'!$A$16,$A463&lt;'Control Room'!$A$16+'Control Room'!$B$16,'Process'!BV5=1),1+('Control Room'!$C$16-1)*EXP(-0.5*(($A463-'Control Room'!$A$16-('Control Room'!$B$16-1)/2)/MAX(0.5,'Control Room'!$B$16/4))^2),1)</x:f>
        <x:v>1</x:v>
      </x:c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Z463" t="str">
        <x:f>IF('Data'!A463="","",TEXT('Data'!A463,"mm-dd"))</x:f>
      </x:c>
    </x:row>
    <x:row r="464" ht="21" customHeight="1">
      <x:c r="A464" s="15" t="n">
        <x:f>'Control Room'!$B$1+462</x:f>
        <x:v>73453</x:v>
      </x:c>
      <x:c r="B464" s="9" t="n">
        <x:f>MOD(C463*16807,2147483647)</x:f>
        <x:v>1616417199</x:v>
      </x:c>
      <x:c r="C464" s="9" t="n">
        <x:f>MOD(B464*16807,2147483647)</x:f>
        <x:v>1455729043</x:v>
      </x:c>
      <x:c r="D464" s="17" t="n">
        <x:f>IF('Control Room'!$B$5="Normal",'Control Room'!$B$7+'Control Room'!$D$7*SQRT(-2*LN(MAX(0.000000000001,B464/2147483647)))*COS(2*PI()*C464/2147483647),'Control Room'!$B$8+('Control Room'!$D$8-'Control Room'!$B$8)*B464/2147483647)</x:f>
        <x:v>970.2990936734407</x:v>
      </x:c>
      <x:c r="E464" s="17" t="n">
        <x:f>IF('Control Room'!$B$5="Normal",'Control Room'!$B$7,('Control Room'!$B$8+'Control Room'!$D$8)/2)+'Control Room'!$B$9*(E463-IF('Control Room'!$B$5="Normal",'Control Room'!$B$7,('Control Room'!$B$8+'Control Room'!$D$8)/2))+SQRT(1-'Control Room'!$B$9^2)*(D464-IF('Control Room'!$B$5="Normal",'Control Room'!$B$7,('Control Room'!$B$8+'Control Room'!$D$8)/2))</x:f>
        <x:v>1097.7251168587345</x:v>
      </x:c>
      <x:c r="F464" s="17" t="n">
        <x:f>IF(AND($A464&gt;='Control Room'!$A$13,$A464&lt;'Control Room'!$A$13+'Control Room'!$B$13,'Process'!BK2=1),1+('Control Room'!$C$13-1)*EXP(-0.5*(($A464-'Control Room'!$A$13-('Control Room'!$B$13-1)/2)/MAX(0.5,'Control Room'!$B$13/4))^2),1)*IF(AND($A464&gt;='Control Room'!$A$14,$A464&lt;'Control Room'!$A$14+'Control Room'!$B$14,'Process'!BK3=1),1+('Control Room'!$C$14-1)*EXP(-0.5*(($A464-'Control Room'!$A$14-('Control Room'!$B$14-1)/2)/MAX(0.5,'Control Room'!$B$14/4))^2),1)*IF(AND($A464&gt;='Control Room'!$A$15,$A464&lt;'Control Room'!$A$15+'Control Room'!$B$15,'Process'!BK4=1),1+('Control Room'!$C$15-1)*EXP(-0.5*(($A464-'Control Room'!$A$15-('Control Room'!$B$15-1)/2)/MAX(0.5,'Control Room'!$B$15/4))^2),1)*IF(AND($A464&gt;='Control Room'!$A$16,$A464&lt;'Control Room'!$A$16+'Control Room'!$B$16,'Process'!BK5=1),1+('Control Room'!$C$16-1)*EXP(-0.5*(($A464-'Control Room'!$A$16-('Control Room'!$B$16-1)/2)/MAX(0.5,'Control Room'!$B$16/4))^2),1)</x:f>
        <x:v>1</x:v>
      </x:c>
      <x:c r="G464" s="9" t="n">
        <x:f>MOD(H463*16807,2147483647)</x:f>
        <x:v>1630945903</x:v>
      </x:c>
      <x:c r="H464" s="9" t="n">
        <x:f>MOD(G464*16807,2147483647)</x:f>
        <x:v>826521413</x:v>
      </x:c>
      <x:c r="I464" s="17" t="n">
        <x:f>IF('Control Room'!$B$5="Normal",'Control Room'!$B$7+'Control Room'!$D$7*SQRT(-2*LN(MAX(0.000000000001,G464/2147483647)))*COS(2*PI()*H464/2147483647),'Control Room'!$B$8+('Control Room'!$D$8-'Control Room'!$B$8)*G464/2147483647)</x:f>
        <x:v>949.9543868392532</x:v>
      </x:c>
      <x:c r="J464" s="17" t="n">
        <x:f>IF('Control Room'!$B$5="Normal",'Control Room'!$B$7,('Control Room'!$B$8+'Control Room'!$D$8)/2)+'Control Room'!$B$9*(J463-IF('Control Room'!$B$5="Normal",'Control Room'!$B$7,('Control Room'!$B$8+'Control Room'!$D$8)/2))+SQRT(1-'Control Room'!$B$9^2)*(I464-IF('Control Room'!$B$5="Normal",'Control Room'!$B$7,('Control Room'!$B$8+'Control Room'!$D$8)/2))</x:f>
        <x:v>845.384579433747</x:v>
      </x:c>
      <x:c r="K464" s="17" t="n">
        <x:f>IF(AND($A464&gt;='Control Room'!$A$13,$A464&lt;'Control Room'!$A$13+'Control Room'!$B$13,'Process'!BL2=1),1+('Control Room'!$C$13-1)*EXP(-0.5*(($A464-'Control Room'!$A$13-('Control Room'!$B$13-1)/2)/MAX(0.5,'Control Room'!$B$13/4))^2),1)*IF(AND($A464&gt;='Control Room'!$A$14,$A464&lt;'Control Room'!$A$14+'Control Room'!$B$14,'Process'!BL3=1),1+('Control Room'!$C$14-1)*EXP(-0.5*(($A464-'Control Room'!$A$14-('Control Room'!$B$14-1)/2)/MAX(0.5,'Control Room'!$B$14/4))^2),1)*IF(AND($A464&gt;='Control Room'!$A$15,$A464&lt;'Control Room'!$A$15+'Control Room'!$B$15,'Process'!BL4=1),1+('Control Room'!$C$15-1)*EXP(-0.5*(($A464-'Control Room'!$A$15-('Control Room'!$B$15-1)/2)/MAX(0.5,'Control Room'!$B$15/4))^2),1)*IF(AND($A464&gt;='Control Room'!$A$16,$A464&lt;'Control Room'!$A$16+'Control Room'!$B$16,'Process'!BL5=1),1+('Control Room'!$C$16-1)*EXP(-0.5*(($A464-'Control Room'!$A$16-('Control Room'!$B$16-1)/2)/MAX(0.5,'Control Room'!$B$16/4))^2),1)</x:f>
        <x:v>1</x:v>
      </x:c>
      <x:c r="L464" s="9" t="n">
        <x:f>MOD(M463*16807,2147483647)</x:f>
        <x:v>1645474607</x:v>
      </x:c>
      <x:c r="M464" s="9" t="n">
        <x:f>MOD(L464*16807,2147483647)</x:f>
        <x:v>197313783</x:v>
      </x:c>
      <x:c r="N464" s="17" t="n">
        <x:f>IF('Control Room'!$B$5="Normal",'Control Room'!$B$7+'Control Room'!$D$7*SQRT(-2*LN(MAX(0.000000000001,L464/2147483647)))*COS(2*PI()*M464/2147483647),'Control Room'!$B$8+('Control Room'!$D$8-'Control Room'!$B$8)*L464/2147483647)</x:f>
        <x:v>1055.0335147324815</x:v>
      </x:c>
      <x:c r="O464" s="17" t="n">
        <x:f>IF('Control Room'!$B$5="Normal",'Control Room'!$B$7,('Control Room'!$B$8+'Control Room'!$D$8)/2)+'Control Room'!$B$9*(O463-IF('Control Room'!$B$5="Normal",'Control Room'!$B$7,('Control Room'!$B$8+'Control Room'!$D$8)/2))+SQRT(1-'Control Room'!$B$9^2)*(N464-IF('Control Room'!$B$5="Normal",'Control Room'!$B$7,('Control Room'!$B$8+'Control Room'!$D$8)/2))</x:f>
        <x:v>1027.57767141462</x:v>
      </x:c>
      <x:c r="P464" s="17" t="n">
        <x:f>IF(AND($A464&gt;='Control Room'!$A$13,$A464&lt;'Control Room'!$A$13+'Control Room'!$B$13,'Process'!BM2=1),1+('Control Room'!$C$13-1)*EXP(-0.5*(($A464-'Control Room'!$A$13-('Control Room'!$B$13-1)/2)/MAX(0.5,'Control Room'!$B$13/4))^2),1)*IF(AND($A464&gt;='Control Room'!$A$14,$A464&lt;'Control Room'!$A$14+'Control Room'!$B$14,'Process'!BM3=1),1+('Control Room'!$C$14-1)*EXP(-0.5*(($A464-'Control Room'!$A$14-('Control Room'!$B$14-1)/2)/MAX(0.5,'Control Room'!$B$14/4))^2),1)*IF(AND($A464&gt;='Control Room'!$A$15,$A464&lt;'Control Room'!$A$15+'Control Room'!$B$15,'Process'!BM4=1),1+('Control Room'!$C$15-1)*EXP(-0.5*(($A464-'Control Room'!$A$15-('Control Room'!$B$15-1)/2)/MAX(0.5,'Control Room'!$B$15/4))^2),1)*IF(AND($A464&gt;='Control Room'!$A$16,$A464&lt;'Control Room'!$A$16+'Control Room'!$B$16,'Process'!BM5=1),1+('Control Room'!$C$16-1)*EXP(-0.5*(($A464-'Control Room'!$A$16-('Control Room'!$B$16-1)/2)/MAX(0.5,'Control Room'!$B$16/4))^2),1)</x:f>
        <x:v>1</x:v>
      </x:c>
      <x:c r="Q464" s="9" t="n">
        <x:f>MOD(R463*16807,2147483647)</x:f>
        <x:v>1660003311</x:v>
      </x:c>
      <x:c r="R464" s="9" t="n">
        <x:f>MOD(Q464*16807,2147483647)</x:f>
        <x:v>1715589800</x:v>
      </x:c>
      <x:c r="S464" s="17" t="n">
        <x:f>IF('Control Room'!$B$5="Normal",'Control Room'!$B$7+'Control Room'!$D$7*SQRT(-2*LN(MAX(0.000000000001,Q464/2147483647)))*COS(2*PI()*R464/2147483647),'Control Room'!$B$8+('Control Room'!$D$8-'Control Room'!$B$8)*Q464/2147483647)</x:f>
        <x:v>1019.5263578539526</x:v>
      </x:c>
      <x:c r="T464" s="17" t="n">
        <x:f>IF('Control Room'!$B$5="Normal",'Control Room'!$B$7,('Control Room'!$B$8+'Control Room'!$D$8)/2)+'Control Room'!$B$9*(T463-IF('Control Room'!$B$5="Normal",'Control Room'!$B$7,('Control Room'!$B$8+'Control Room'!$D$8)/2))+SQRT(1-'Control Room'!$B$9^2)*(S464-IF('Control Room'!$B$5="Normal",'Control Room'!$B$7,('Control Room'!$B$8+'Control Room'!$D$8)/2))</x:f>
        <x:v>1151.2165579526309</x:v>
      </x:c>
      <x:c r="U464" s="17" t="n">
        <x:f>IF(AND($A464&gt;='Control Room'!$A$13,$A464&lt;'Control Room'!$A$13+'Control Room'!$B$13,'Process'!BN2=1),1+('Control Room'!$C$13-1)*EXP(-0.5*(($A464-'Control Room'!$A$13-('Control Room'!$B$13-1)/2)/MAX(0.5,'Control Room'!$B$13/4))^2),1)*IF(AND($A464&gt;='Control Room'!$A$14,$A464&lt;'Control Room'!$A$14+'Control Room'!$B$14,'Process'!BN3=1),1+('Control Room'!$C$14-1)*EXP(-0.5*(($A464-'Control Room'!$A$14-('Control Room'!$B$14-1)/2)/MAX(0.5,'Control Room'!$B$14/4))^2),1)*IF(AND($A464&gt;='Control Room'!$A$15,$A464&lt;'Control Room'!$A$15+'Control Room'!$B$15,'Process'!BN4=1),1+('Control Room'!$C$15-1)*EXP(-0.5*(($A464-'Control Room'!$A$15-('Control Room'!$B$15-1)/2)/MAX(0.5,'Control Room'!$B$15/4))^2),1)*IF(AND($A464&gt;='Control Room'!$A$16,$A464&lt;'Control Room'!$A$16+'Control Room'!$B$16,'Process'!BN5=1),1+('Control Room'!$C$16-1)*EXP(-0.5*(($A464-'Control Room'!$A$16-('Control Room'!$B$16-1)/2)/MAX(0.5,'Control Room'!$B$16/4))^2),1)</x:f>
        <x:v>1</x:v>
      </x:c>
      <x:c r="V464" s="9" t="n">
        <x:f>MOD(W463*16807,2147483647)</x:f>
        <x:v>1674532015</x:v>
      </x:c>
      <x:c r="W464" s="9" t="n">
        <x:f>MOD(V464*16807,2147483647)</x:f>
        <x:v>1086382170</x:v>
      </x:c>
      <x:c r="X464" s="17" t="n">
        <x:f>IF('Control Room'!$B$5="Normal",'Control Room'!$B$7+'Control Room'!$D$7*SQRT(-2*LN(MAX(0.000000000001,V464/2147483647)))*COS(2*PI()*W464/2147483647),'Control Room'!$B$8+('Control Room'!$D$8-'Control Room'!$B$8)*V464/2147483647)</x:f>
        <x:v>936.5614357025615</x:v>
      </x:c>
      <x:c r="Y464" s="17" t="n">
        <x:f>IF('Control Room'!$B$5="Normal",'Control Room'!$B$7,('Control Room'!$B$8+'Control Room'!$D$8)/2)+'Control Room'!$B$9*(Y463-IF('Control Room'!$B$5="Normal",'Control Room'!$B$7,('Control Room'!$B$8+'Control Room'!$D$8)/2))+SQRT(1-'Control Room'!$B$9^2)*(X464-IF('Control Room'!$B$5="Normal",'Control Room'!$B$7,('Control Room'!$B$8+'Control Room'!$D$8)/2))</x:f>
        <x:v>947.6763255247301</x:v>
      </x:c>
      <x:c r="Z464" s="17" t="n">
        <x:f>IF(AND($A464&gt;='Control Room'!$A$13,$A464&lt;'Control Room'!$A$13+'Control Room'!$B$13,'Process'!BO2=1),1+('Control Room'!$C$13-1)*EXP(-0.5*(($A464-'Control Room'!$A$13-('Control Room'!$B$13-1)/2)/MAX(0.5,'Control Room'!$B$13/4))^2),1)*IF(AND($A464&gt;='Control Room'!$A$14,$A464&lt;'Control Room'!$A$14+'Control Room'!$B$14,'Process'!BO3=1),1+('Control Room'!$C$14-1)*EXP(-0.5*(($A464-'Control Room'!$A$14-('Control Room'!$B$14-1)/2)/MAX(0.5,'Control Room'!$B$14/4))^2),1)*IF(AND($A464&gt;='Control Room'!$A$15,$A464&lt;'Control Room'!$A$15+'Control Room'!$B$15,'Process'!BO4=1),1+('Control Room'!$C$15-1)*EXP(-0.5*(($A464-'Control Room'!$A$15-('Control Room'!$B$15-1)/2)/MAX(0.5,'Control Room'!$B$15/4))^2),1)*IF(AND($A464&gt;='Control Room'!$A$16,$A464&lt;'Control Room'!$A$16+'Control Room'!$B$16,'Process'!BO5=1),1+('Control Room'!$C$16-1)*EXP(-0.5*(($A464-'Control Room'!$A$16-('Control Room'!$B$16-1)/2)/MAX(0.5,'Control Room'!$B$16/4))^2),1)</x:f>
        <x:v>1</x:v>
      </x:c>
      <x:c r="AA464" s="9" t="n">
        <x:f>MOD(AB463*16807,2147483647)</x:f>
        <x:v>1689060719</x:v>
      </x:c>
      <x:c r="AB464" s="9" t="n">
        <x:f>MOD(AA464*16807,2147483647)</x:f>
        <x:v>457174540</x:v>
      </x:c>
      <x:c r="AC464" s="17" t="n">
        <x:f>IF('Control Room'!$B$5="Normal",'Control Room'!$B$7+'Control Room'!$D$7*SQRT(-2*LN(MAX(0.000000000001,AA464/2147483647)))*COS(2*PI()*AB464/2147483647),'Control Room'!$B$8+('Control Room'!$D$8-'Control Room'!$B$8)*AA464/2147483647)</x:f>
        <x:v>1014.4119003672023</x:v>
      </x:c>
      <x:c r="AD464" s="17" t="n">
        <x:f>IF('Control Room'!$B$5="Normal",'Control Room'!$B$7,('Control Room'!$B$8+'Control Room'!$D$8)/2)+'Control Room'!$B$9*(AD463-IF('Control Room'!$B$5="Normal",'Control Room'!$B$7,('Control Room'!$B$8+'Control Room'!$D$8)/2))+SQRT(1-'Control Room'!$B$9^2)*(AC464-IF('Control Room'!$B$5="Normal",'Control Room'!$B$7,('Control Room'!$B$8+'Control Room'!$D$8)/2))</x:f>
        <x:v>1090.8485975094418</x:v>
      </x:c>
      <x:c r="AE464" s="17" t="n">
        <x:f>IF(AND($A464&gt;='Control Room'!$A$13,$A464&lt;'Control Room'!$A$13+'Control Room'!$B$13,'Process'!BP2=1),1+('Control Room'!$C$13-1)*EXP(-0.5*(($A464-'Control Room'!$A$13-('Control Room'!$B$13-1)/2)/MAX(0.5,'Control Room'!$B$13/4))^2),1)*IF(AND($A464&gt;='Control Room'!$A$14,$A464&lt;'Control Room'!$A$14+'Control Room'!$B$14,'Process'!BP3=1),1+('Control Room'!$C$14-1)*EXP(-0.5*(($A464-'Control Room'!$A$14-('Control Room'!$B$14-1)/2)/MAX(0.5,'Control Room'!$B$14/4))^2),1)*IF(AND($A464&gt;='Control Room'!$A$15,$A464&lt;'Control Room'!$A$15+'Control Room'!$B$15,'Process'!BP4=1),1+('Control Room'!$C$15-1)*EXP(-0.5*(($A464-'Control Room'!$A$15-('Control Room'!$B$15-1)/2)/MAX(0.5,'Control Room'!$B$15/4))^2),1)*IF(AND($A464&gt;='Control Room'!$A$16,$A464&lt;'Control Room'!$A$16+'Control Room'!$B$16,'Process'!BP5=1),1+('Control Room'!$C$16-1)*EXP(-0.5*(($A464-'Control Room'!$A$16-('Control Room'!$B$16-1)/2)/MAX(0.5,'Control Room'!$B$16/4))^2),1)</x:f>
        <x:v>1</x:v>
      </x:c>
      <x:c r="AF464" s="9" t="n">
        <x:f>MOD(AG463*16807,2147483647)</x:f>
        <x:v>1703589423</x:v>
      </x:c>
      <x:c r="AG464" s="9" t="n">
        <x:f>MOD(AF464*16807,2147483647)</x:f>
        <x:v>1975450557</x:v>
      </x:c>
      <x:c r="AH464" s="17" t="n">
        <x:f>IF('Control Room'!$B$5="Normal",'Control Room'!$B$7+'Control Room'!$D$7*SQRT(-2*LN(MAX(0.000000000001,AF464/2147483647)))*COS(2*PI()*AG464/2147483647),'Control Room'!$B$8+('Control Room'!$D$8-'Control Room'!$B$8)*AF464/2147483647)</x:f>
        <x:v>1053.651377682219</x:v>
      </x:c>
      <x:c r="AI464" s="17" t="n">
        <x:f>IF('Control Room'!$B$5="Normal",'Control Room'!$B$7,('Control Room'!$B$8+'Control Room'!$D$8)/2)+'Control Room'!$B$9*(AI463-IF('Control Room'!$B$5="Normal",'Control Room'!$B$7,('Control Room'!$B$8+'Control Room'!$D$8)/2))+SQRT(1-'Control Room'!$B$9^2)*(AH464-IF('Control Room'!$B$5="Normal",'Control Room'!$B$7,('Control Room'!$B$8+'Control Room'!$D$8)/2))</x:f>
        <x:v>1090.5433606811032</x:v>
      </x:c>
      <x:c r="AJ464" s="17" t="n">
        <x:f>IF(AND($A464&gt;='Control Room'!$A$13,$A464&lt;'Control Room'!$A$13+'Control Room'!$B$13,'Process'!BQ2=1),1+('Control Room'!$C$13-1)*EXP(-0.5*(($A464-'Control Room'!$A$13-('Control Room'!$B$13-1)/2)/MAX(0.5,'Control Room'!$B$13/4))^2),1)*IF(AND($A464&gt;='Control Room'!$A$14,$A464&lt;'Control Room'!$A$14+'Control Room'!$B$14,'Process'!BQ3=1),1+('Control Room'!$C$14-1)*EXP(-0.5*(($A464-'Control Room'!$A$14-('Control Room'!$B$14-1)/2)/MAX(0.5,'Control Room'!$B$14/4))^2),1)*IF(AND($A464&gt;='Control Room'!$A$15,$A464&lt;'Control Room'!$A$15+'Control Room'!$B$15,'Process'!BQ4=1),1+('Control Room'!$C$15-1)*EXP(-0.5*(($A464-'Control Room'!$A$15-('Control Room'!$B$15-1)/2)/MAX(0.5,'Control Room'!$B$15/4))^2),1)*IF(AND($A464&gt;='Control Room'!$A$16,$A464&lt;'Control Room'!$A$16+'Control Room'!$B$16,'Process'!BQ5=1),1+('Control Room'!$C$16-1)*EXP(-0.5*(($A464-'Control Room'!$A$16-('Control Room'!$B$16-1)/2)/MAX(0.5,'Control Room'!$B$16/4))^2),1)</x:f>
        <x:v>1</x:v>
      </x:c>
      <x:c r="AK464" s="9" t="n">
        <x:f>MOD(AL463*16807,2147483647)</x:f>
        <x:v>1718118127</x:v>
      </x:c>
      <x:c r="AL464" s="9" t="n">
        <x:f>MOD(AK464*16807,2147483647)</x:f>
        <x:v>1346242927</x:v>
      </x:c>
      <x:c r="AM464" s="17" t="n">
        <x:f>IF('Control Room'!$B$5="Normal",'Control Room'!$B$7+'Control Room'!$D$7*SQRT(-2*LN(MAX(0.000000000001,AK464/2147483647)))*COS(2*PI()*AL464/2147483647),'Control Room'!$B$8+('Control Room'!$D$8-'Control Room'!$B$8)*AK464/2147483647)</x:f>
        <x:v>958.0016443258094</x:v>
      </x:c>
      <x:c r="AN464" s="17" t="n">
        <x:f>IF('Control Room'!$B$5="Normal",'Control Room'!$B$7,('Control Room'!$B$8+'Control Room'!$D$8)/2)+'Control Room'!$B$9*(AN463-IF('Control Room'!$B$5="Normal",'Control Room'!$B$7,('Control Room'!$B$8+'Control Room'!$D$8)/2))+SQRT(1-'Control Room'!$B$9^2)*(AM464-IF('Control Room'!$B$5="Normal",'Control Room'!$B$7,('Control Room'!$B$8+'Control Room'!$D$8)/2))</x:f>
        <x:v>1026.1871209697704</x:v>
      </x:c>
      <x:c r="AO464" s="17" t="n">
        <x:f>IF(AND($A464&gt;='Control Room'!$A$13,$A464&lt;'Control Room'!$A$13+'Control Room'!$B$13,'Process'!BR2=1),1+('Control Room'!$C$13-1)*EXP(-0.5*(($A464-'Control Room'!$A$13-('Control Room'!$B$13-1)/2)/MAX(0.5,'Control Room'!$B$13/4))^2),1)*IF(AND($A464&gt;='Control Room'!$A$14,$A464&lt;'Control Room'!$A$14+'Control Room'!$B$14,'Process'!BR3=1),1+('Control Room'!$C$14-1)*EXP(-0.5*(($A464-'Control Room'!$A$14-('Control Room'!$B$14-1)/2)/MAX(0.5,'Control Room'!$B$14/4))^2),1)*IF(AND($A464&gt;='Control Room'!$A$15,$A464&lt;'Control Room'!$A$15+'Control Room'!$B$15,'Process'!BR4=1),1+('Control Room'!$C$15-1)*EXP(-0.5*(($A464-'Control Room'!$A$15-('Control Room'!$B$15-1)/2)/MAX(0.5,'Control Room'!$B$15/4))^2),1)*IF(AND($A464&gt;='Control Room'!$A$16,$A464&lt;'Control Room'!$A$16+'Control Room'!$B$16,'Process'!BR5=1),1+('Control Room'!$C$16-1)*EXP(-0.5*(($A464-'Control Room'!$A$16-('Control Room'!$B$16-1)/2)/MAX(0.5,'Control Room'!$B$16/4))^2),1)</x:f>
        <x:v>1</x:v>
      </x:c>
      <x:c r="AP464" s="9" t="n">
        <x:f>MOD(AQ463*16807,2147483647)</x:f>
        <x:v>1732646831</x:v>
      </x:c>
      <x:c r="AQ464" s="9" t="n">
        <x:f>MOD(AP464*16807,2147483647)</x:f>
        <x:v>717035297</x:v>
      </x:c>
      <x:c r="AR464" s="17" t="n">
        <x:f>IF('Control Room'!$B$5="Normal",'Control Room'!$B$7+'Control Room'!$D$7*SQRT(-2*LN(MAX(0.000000000001,AP464/2147483647)))*COS(2*PI()*AQ464/2147483647),'Control Room'!$B$8+('Control Room'!$D$8-'Control Room'!$B$8)*AP464/2147483647)</x:f>
        <x:v>970.3355672124786</x:v>
      </x:c>
      <x:c r="AS464" s="17" t="n">
        <x:f>IF('Control Room'!$B$5="Normal",'Control Room'!$B$7,('Control Room'!$B$8+'Control Room'!$D$8)/2)+'Control Room'!$B$9*(AS463-IF('Control Room'!$B$5="Normal",'Control Room'!$B$7,('Control Room'!$B$8+'Control Room'!$D$8)/2))+SQRT(1-'Control Room'!$B$9^2)*(AR464-IF('Control Room'!$B$5="Normal",'Control Room'!$B$7,('Control Room'!$B$8+'Control Room'!$D$8)/2))</x:f>
        <x:v>991.5140996946118</x:v>
      </x:c>
      <x:c r="AT464" s="17" t="n">
        <x:f>IF(AND($A464&gt;='Control Room'!$A$13,$A464&lt;'Control Room'!$A$13+'Control Room'!$B$13,'Process'!BS2=1),1+('Control Room'!$C$13-1)*EXP(-0.5*(($A464-'Control Room'!$A$13-('Control Room'!$B$13-1)/2)/MAX(0.5,'Control Room'!$B$13/4))^2),1)*IF(AND($A464&gt;='Control Room'!$A$14,$A464&lt;'Control Room'!$A$14+'Control Room'!$B$14,'Process'!BS3=1),1+('Control Room'!$C$14-1)*EXP(-0.5*(($A464-'Control Room'!$A$14-('Control Room'!$B$14-1)/2)/MAX(0.5,'Control Room'!$B$14/4))^2),1)*IF(AND($A464&gt;='Control Room'!$A$15,$A464&lt;'Control Room'!$A$15+'Control Room'!$B$15,'Process'!BS4=1),1+('Control Room'!$C$15-1)*EXP(-0.5*(($A464-'Control Room'!$A$15-('Control Room'!$B$15-1)/2)/MAX(0.5,'Control Room'!$B$15/4))^2),1)*IF(AND($A464&gt;='Control Room'!$A$16,$A464&lt;'Control Room'!$A$16+'Control Room'!$B$16,'Process'!BS5=1),1+('Control Room'!$C$16-1)*EXP(-0.5*(($A464-'Control Room'!$A$16-('Control Room'!$B$16-1)/2)/MAX(0.5,'Control Room'!$B$16/4))^2),1)</x:f>
        <x:v>1</x:v>
      </x:c>
      <x:c r="AU464" s="9" t="n">
        <x:f>MOD(AV463*16807,2147483647)</x:f>
        <x:v>1747175535</x:v>
      </x:c>
      <x:c r="AV464" s="9" t="n">
        <x:f>MOD(AU464*16807,2147483647)</x:f>
        <x:v>87827667</x:v>
      </x:c>
      <x:c r="AW464" s="17" t="n">
        <x:f>IF('Control Room'!$B$5="Normal",'Control Room'!$B$7+'Control Room'!$D$7*SQRT(-2*LN(MAX(0.000000000001,AU464/2147483647)))*COS(2*PI()*AV464/2147483647),'Control Room'!$B$8+('Control Room'!$D$8-'Control Room'!$B$8)*AU464/2147483647)</x:f>
        <x:v>1055.9118159392522</x:v>
      </x:c>
      <x:c r="AX464" s="17" t="n">
        <x:f>IF('Control Room'!$B$5="Normal",'Control Room'!$B$7,('Control Room'!$B$8+'Control Room'!$D$8)/2)+'Control Room'!$B$9*(AX463-IF('Control Room'!$B$5="Normal",'Control Room'!$B$7,('Control Room'!$B$8+'Control Room'!$D$8)/2))+SQRT(1-'Control Room'!$B$9^2)*(AW464-IF('Control Room'!$B$5="Normal",'Control Room'!$B$7,('Control Room'!$B$8+'Control Room'!$D$8)/2))</x:f>
        <x:v>1027.620981091165</x:v>
      </x:c>
      <x:c r="AY464" s="17" t="n">
        <x:f>IF(AND($A464&gt;='Control Room'!$A$13,$A464&lt;'Control Room'!$A$13+'Control Room'!$B$13,'Process'!BT2=1),1+('Control Room'!$C$13-1)*EXP(-0.5*(($A464-'Control Room'!$A$13-('Control Room'!$B$13-1)/2)/MAX(0.5,'Control Room'!$B$13/4))^2),1)*IF(AND($A464&gt;='Control Room'!$A$14,$A464&lt;'Control Room'!$A$14+'Control Room'!$B$14,'Process'!BT3=1),1+('Control Room'!$C$14-1)*EXP(-0.5*(($A464-'Control Room'!$A$14-('Control Room'!$B$14-1)/2)/MAX(0.5,'Control Room'!$B$14/4))^2),1)*IF(AND($A464&gt;='Control Room'!$A$15,$A464&lt;'Control Room'!$A$15+'Control Room'!$B$15,'Process'!BT4=1),1+('Control Room'!$C$15-1)*EXP(-0.5*(($A464-'Control Room'!$A$15-('Control Room'!$B$15-1)/2)/MAX(0.5,'Control Room'!$B$15/4))^2),1)*IF(AND($A464&gt;='Control Room'!$A$16,$A464&lt;'Control Room'!$A$16+'Control Room'!$B$16,'Process'!BT5=1),1+('Control Room'!$C$16-1)*EXP(-0.5*(($A464-'Control Room'!$A$16-('Control Room'!$B$16-1)/2)/MAX(0.5,'Control Room'!$B$16/4))^2),1)</x:f>
        <x:v>1</x:v>
      </x:c>
      <x:c r="AZ464" s="9" t="n">
        <x:f>MOD(BA463*16807,2147483647)</x:f>
        <x:v>1761704239</x:v>
      </x:c>
      <x:c r="BA464" s="9" t="n">
        <x:f>MOD(AZ464*16807,2147483647)</x:f>
        <x:v>1606103684</x:v>
      </x:c>
      <x:c r="BB464" s="17" t="n">
        <x:f>IF('Control Room'!$B$5="Normal",'Control Room'!$B$7+'Control Room'!$D$7*SQRT(-2*LN(MAX(0.000000000001,AZ464/2147483647)))*COS(2*PI()*BA464/2147483647),'Control Room'!$B$8+('Control Room'!$D$8-'Control Room'!$B$8)*AZ464/2147483647)</x:f>
        <x:v>999.2528131149685</x:v>
      </x:c>
      <x:c r="BC464" s="17" t="n">
        <x:f>IF('Control Room'!$B$5="Normal",'Control Room'!$B$7,('Control Room'!$B$8+'Control Room'!$D$8)/2)+'Control Room'!$B$9*(BC463-IF('Control Room'!$B$5="Normal",'Control Room'!$B$7,('Control Room'!$B$8+'Control Room'!$D$8)/2))+SQRT(1-'Control Room'!$B$9^2)*(BB464-IF('Control Room'!$B$5="Normal",'Control Room'!$B$7,('Control Room'!$B$8+'Control Room'!$D$8)/2))</x:f>
        <x:v>1029.9609796766554</x:v>
      </x:c>
      <x:c r="BD464" s="17" t="n">
        <x:f>IF(AND($A464&gt;='Control Room'!$A$13,$A464&lt;'Control Room'!$A$13+'Control Room'!$B$13,'Process'!BU2=1),1+('Control Room'!$C$13-1)*EXP(-0.5*(($A464-'Control Room'!$A$13-('Control Room'!$B$13-1)/2)/MAX(0.5,'Control Room'!$B$13/4))^2),1)*IF(AND($A464&gt;='Control Room'!$A$14,$A464&lt;'Control Room'!$A$14+'Control Room'!$B$14,'Process'!BU3=1),1+('Control Room'!$C$14-1)*EXP(-0.5*(($A464-'Control Room'!$A$14-('Control Room'!$B$14-1)/2)/MAX(0.5,'Control Room'!$B$14/4))^2),1)*IF(AND($A464&gt;='Control Room'!$A$15,$A464&lt;'Control Room'!$A$15+'Control Room'!$B$15,'Process'!BU4=1),1+('Control Room'!$C$15-1)*EXP(-0.5*(($A464-'Control Room'!$A$15-('Control Room'!$B$15-1)/2)/MAX(0.5,'Control Room'!$B$15/4))^2),1)*IF(AND($A464&gt;='Control Room'!$A$16,$A464&lt;'Control Room'!$A$16+'Control Room'!$B$16,'Process'!BU5=1),1+('Control Room'!$C$16-1)*EXP(-0.5*(($A464-'Control Room'!$A$16-('Control Room'!$B$16-1)/2)/MAX(0.5,'Control Room'!$B$16/4))^2),1)</x:f>
        <x:v>1</x:v>
      </x:c>
      <x:c r="BE464" s="9" t="n">
        <x:f>MOD(BF463*16807,2147483647)</x:f>
        <x:v>1776232943</x:v>
      </x:c>
      <x:c r="BF464" s="9" t="n">
        <x:f>MOD(BE464*16807,2147483647)</x:f>
        <x:v>976896054</x:v>
      </x:c>
      <x:c r="BG464" s="17" t="n">
        <x:f>IF('Control Room'!$B$5="Normal",'Control Room'!$B$7+'Control Room'!$D$7*SQRT(-2*LN(MAX(0.000000000001,BE464/2147483647)))*COS(2*PI()*BF464/2147483647),'Control Room'!$B$8+('Control Room'!$D$8-'Control Room'!$B$8)*BE464/2147483647)</x:f>
        <x:v>946.760412232435</x:v>
      </x:c>
      <x:c r="BH464" s="17" t="n">
        <x:f>IF('Control Room'!$B$5="Normal",'Control Room'!$B$7,('Control Room'!$B$8+'Control Room'!$D$8)/2)+'Control Room'!$B$9*(BH463-IF('Control Room'!$B$5="Normal",'Control Room'!$B$7,('Control Room'!$B$8+'Control Room'!$D$8)/2))+SQRT(1-'Control Room'!$B$9^2)*(BG464-IF('Control Room'!$B$5="Normal",'Control Room'!$B$7,('Control Room'!$B$8+'Control Room'!$D$8)/2))</x:f>
        <x:v>794.8497076429371</x:v>
      </x:c>
      <x:c r="BI464" s="17" t="n">
        <x:f>IF(AND($A464&gt;='Control Room'!$A$13,$A464&lt;'Control Room'!$A$13+'Control Room'!$B$13,'Process'!BV2=1),1+('Control Room'!$C$13-1)*EXP(-0.5*(($A464-'Control Room'!$A$13-('Control Room'!$B$13-1)/2)/MAX(0.5,'Control Room'!$B$13/4))^2),1)*IF(AND($A464&gt;='Control Room'!$A$14,$A464&lt;'Control Room'!$A$14+'Control Room'!$B$14,'Process'!BV3=1),1+('Control Room'!$C$14-1)*EXP(-0.5*(($A464-'Control Room'!$A$14-('Control Room'!$B$14-1)/2)/MAX(0.5,'Control Room'!$B$14/4))^2),1)*IF(AND($A464&gt;='Control Room'!$A$15,$A464&lt;'Control Room'!$A$15+'Control Room'!$B$15,'Process'!BV4=1),1+('Control Room'!$C$15-1)*EXP(-0.5*(($A464-'Control Room'!$A$15-('Control Room'!$B$15-1)/2)/MAX(0.5,'Control Room'!$B$15/4))^2),1)*IF(AND($A464&gt;='Control Room'!$A$16,$A464&lt;'Control Room'!$A$16+'Control Room'!$B$16,'Process'!BV5=1),1+('Control Room'!$C$16-1)*EXP(-0.5*(($A464-'Control Room'!$A$16-('Control Room'!$B$16-1)/2)/MAX(0.5,'Control Room'!$B$16/4))^2),1)</x:f>
        <x:v>1</x:v>
      </x:c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Z464" t="str">
        <x:f>IF('Data'!A464="","",TEXT('Data'!A464,"mm-dd"))</x:f>
      </x:c>
    </x:row>
    <x:row r="465" ht="21" customHeight="1">
      <x:c r="A465" s="15" t="n">
        <x:f>'Control Room'!$B$1+463</x:f>
        <x:v>73454</x:v>
      </x:c>
      <x:c r="B465" s="9" t="n">
        <x:f>MOD(C464*16807,2147483647)</x:f>
        <x:v>156835430</x:v>
      </x:c>
      <x:c r="C465" s="9" t="n">
        <x:f>MOD(B465*16807,2147483647)</x:f>
        <x:v>970637141</x:v>
      </x:c>
      <x:c r="D465" s="17" t="n">
        <x:f>IF('Control Room'!$B$5="Normal",'Control Room'!$B$7+'Control Room'!$D$7*SQRT(-2*LN(MAX(0.000000000001,B465/2147483647)))*COS(2*PI()*C465/2147483647),'Control Room'!$B$8+('Control Room'!$D$8-'Control Room'!$B$8)*B465/2147483647)</x:f>
        <x:v>803.4020267432165</x:v>
      </x:c>
      <x:c r="E465" s="17" t="n">
        <x:f>IF('Control Room'!$B$5="Normal",'Control Room'!$B$7,('Control Room'!$B$8+'Control Room'!$D$8)/2)+'Control Room'!$B$9*(E464-IF('Control Room'!$B$5="Normal",'Control Room'!$B$7,('Control Room'!$B$8+'Control Room'!$D$8)/2))+SQRT(1-'Control Room'!$B$9^2)*(D465-IF('Control Room'!$B$5="Normal",'Control Room'!$B$7,('Control Room'!$B$8+'Control Room'!$D$8)/2))</x:f>
        <x:v>953.1986070141157</x:v>
      </x:c>
      <x:c r="F465" s="17" t="n">
        <x:f>IF(AND($A465&gt;='Control Room'!$A$13,$A465&lt;'Control Room'!$A$13+'Control Room'!$B$13,'Process'!BK2=1),1+('Control Room'!$C$13-1)*EXP(-0.5*(($A465-'Control Room'!$A$13-('Control Room'!$B$13-1)/2)/MAX(0.5,'Control Room'!$B$13/4))^2),1)*IF(AND($A465&gt;='Control Room'!$A$14,$A465&lt;'Control Room'!$A$14+'Control Room'!$B$14,'Process'!BK3=1),1+('Control Room'!$C$14-1)*EXP(-0.5*(($A465-'Control Room'!$A$14-('Control Room'!$B$14-1)/2)/MAX(0.5,'Control Room'!$B$14/4))^2),1)*IF(AND($A465&gt;='Control Room'!$A$15,$A465&lt;'Control Room'!$A$15+'Control Room'!$B$15,'Process'!BK4=1),1+('Control Room'!$C$15-1)*EXP(-0.5*(($A465-'Control Room'!$A$15-('Control Room'!$B$15-1)/2)/MAX(0.5,'Control Room'!$B$15/4))^2),1)*IF(AND($A465&gt;='Control Room'!$A$16,$A465&lt;'Control Room'!$A$16+'Control Room'!$B$16,'Process'!BK5=1),1+('Control Room'!$C$16-1)*EXP(-0.5*(($A465-'Control Room'!$A$16-('Control Room'!$B$16-1)/2)/MAX(0.5,'Control Room'!$B$16/4))^2),1)</x:f>
        <x:v>1</x:v>
      </x:c>
      <x:c r="G465" s="9" t="n">
        <x:f>MOD(H464*16807,2147483647)</x:f>
        <x:v>1421159495</x:v>
      </x:c>
      <x:c r="H465" s="9" t="n">
        <x:f>MOD(G465*16807,2147483647)</x:f>
        <x:v>1114510531</x:v>
      </x:c>
      <x:c r="I465" s="17" t="n">
        <x:f>IF('Control Room'!$B$5="Normal",'Control Room'!$B$7+'Control Room'!$D$7*SQRT(-2*LN(MAX(0.000000000001,G465/2147483647)))*COS(2*PI()*H465/2147483647),'Control Room'!$B$8+('Control Room'!$D$8-'Control Room'!$B$8)*G465/2147483647)</x:f>
        <x:v>918.802471843781</x:v>
      </x:c>
      <x:c r="J465" s="17" t="n">
        <x:f>IF('Control Room'!$B$5="Normal",'Control Room'!$B$7,('Control Room'!$B$8+'Control Room'!$D$8)/2)+'Control Room'!$B$9*(J464-IF('Control Room'!$B$5="Normal",'Control Room'!$B$7,('Control Room'!$B$8+'Control Room'!$D$8)/2))+SQRT(1-'Control Room'!$B$9^2)*(I465-IF('Control Room'!$B$5="Normal",'Control Room'!$B$7,('Control Room'!$B$8+'Control Room'!$D$8)/2))</x:f>
        <x:v>828.5882222599402</x:v>
      </x:c>
      <x:c r="K465" s="17" t="n">
        <x:f>IF(AND($A465&gt;='Control Room'!$A$13,$A465&lt;'Control Room'!$A$13+'Control Room'!$B$13,'Process'!BL2=1),1+('Control Room'!$C$13-1)*EXP(-0.5*(($A465-'Control Room'!$A$13-('Control Room'!$B$13-1)/2)/MAX(0.5,'Control Room'!$B$13/4))^2),1)*IF(AND($A465&gt;='Control Room'!$A$14,$A465&lt;'Control Room'!$A$14+'Control Room'!$B$14,'Process'!BL3=1),1+('Control Room'!$C$14-1)*EXP(-0.5*(($A465-'Control Room'!$A$14-('Control Room'!$B$14-1)/2)/MAX(0.5,'Control Room'!$B$14/4))^2),1)*IF(AND($A465&gt;='Control Room'!$A$15,$A465&lt;'Control Room'!$A$15+'Control Room'!$B$15,'Process'!BL4=1),1+('Control Room'!$C$15-1)*EXP(-0.5*(($A465-'Control Room'!$A$15-('Control Room'!$B$15-1)/2)/MAX(0.5,'Control Room'!$B$15/4))^2),1)*IF(AND($A465&gt;='Control Room'!$A$16,$A465&lt;'Control Room'!$A$16+'Control Room'!$B$16,'Process'!BL5=1),1+('Control Room'!$C$16-1)*EXP(-0.5*(($A465-'Control Room'!$A$16-('Control Room'!$B$16-1)/2)/MAX(0.5,'Control Room'!$B$16/4))^2),1)</x:f>
        <x:v>1</x:v>
      </x:c>
      <x:c r="L465" s="9" t="n">
        <x:f>MOD(M464*16807,2147483647)</x:f>
        <x:v>537999913</x:v>
      </x:c>
      <x:c r="M465" s="9" t="n">
        <x:f>MOD(L465*16807,2147483647)</x:f>
        <x:v>1258383921</x:v>
      </x:c>
      <x:c r="N465" s="17" t="n">
        <x:f>IF('Control Room'!$B$5="Normal",'Control Room'!$B$7+'Control Room'!$D$7*SQRT(-2*LN(MAX(0.000000000001,L465/2147483647)))*COS(2*PI()*M465/2147483647),'Control Room'!$B$8+('Control Room'!$D$8-'Control Room'!$B$8)*L465/2147483647)</x:f>
        <x:v>871.5792538798155</x:v>
      </x:c>
      <x:c r="O465" s="17" t="n">
        <x:f>IF('Control Room'!$B$5="Normal",'Control Room'!$B$7,('Control Room'!$B$8+'Control Room'!$D$8)/2)+'Control Room'!$B$9*(O464-IF('Control Room'!$B$5="Normal",'Control Room'!$B$7,('Control Room'!$B$8+'Control Room'!$D$8)/2))+SQRT(1-'Control Room'!$B$9^2)*(N465-IF('Control Room'!$B$5="Normal",'Control Room'!$B$7,('Control Room'!$B$8+'Control Room'!$D$8)/2))</x:f>
        <x:v>941.1475116233755</x:v>
      </x:c>
      <x:c r="P465" s="17" t="n">
        <x:f>IF(AND($A465&gt;='Control Room'!$A$13,$A465&lt;'Control Room'!$A$13+'Control Room'!$B$13,'Process'!BM2=1),1+('Control Room'!$C$13-1)*EXP(-0.5*(($A465-'Control Room'!$A$13-('Control Room'!$B$13-1)/2)/MAX(0.5,'Control Room'!$B$13/4))^2),1)*IF(AND($A465&gt;='Control Room'!$A$14,$A465&lt;'Control Room'!$A$14+'Control Room'!$B$14,'Process'!BM3=1),1+('Control Room'!$C$14-1)*EXP(-0.5*(($A465-'Control Room'!$A$14-('Control Room'!$B$14-1)/2)/MAX(0.5,'Control Room'!$B$14/4))^2),1)*IF(AND($A465&gt;='Control Room'!$A$15,$A465&lt;'Control Room'!$A$15+'Control Room'!$B$15,'Process'!BM4=1),1+('Control Room'!$C$15-1)*EXP(-0.5*(($A465-'Control Room'!$A$15-('Control Room'!$B$15-1)/2)/MAX(0.5,'Control Room'!$B$15/4))^2),1)*IF(AND($A465&gt;='Control Room'!$A$16,$A465&lt;'Control Room'!$A$16+'Control Room'!$B$16,'Process'!BM5=1),1+('Control Room'!$C$16-1)*EXP(-0.5*(($A465-'Control Room'!$A$16-('Control Room'!$B$16-1)/2)/MAX(0.5,'Control Room'!$B$16/4))^2),1)</x:f>
        <x:v>1</x:v>
      </x:c>
      <x:c r="Q465" s="9" t="n">
        <x:f>MOD(R464*16807,2147483647)</x:f>
        <x:v>1802323978</x:v>
      </x:c>
      <x:c r="R465" s="9" t="n">
        <x:f>MOD(Q465*16807,2147483647)</x:f>
        <x:v>1402257311</x:v>
      </x:c>
      <x:c r="S465" s="17" t="n">
        <x:f>IF('Control Room'!$B$5="Normal",'Control Room'!$B$7+'Control Room'!$D$7*SQRT(-2*LN(MAX(0.000000000001,Q465/2147483647)))*COS(2*PI()*R465/2147483647),'Control Room'!$B$8+('Control Room'!$D$8-'Control Room'!$B$8)*Q465/2147483647)</x:f>
        <x:v>969.4955476100878</x:v>
      </x:c>
      <x:c r="T465" s="17" t="n">
        <x:f>IF('Control Room'!$B$5="Normal",'Control Room'!$B$7,('Control Room'!$B$8+'Control Room'!$D$8)/2)+'Control Room'!$B$9*(T464-IF('Control Room'!$B$5="Normal",'Control Room'!$B$7,('Control Room'!$B$8+'Control Room'!$D$8)/2))+SQRT(1-'Control Room'!$B$9^2)*(S465-IF('Control Room'!$B$5="Normal",'Control Room'!$B$7,('Control Room'!$B$8+'Control Room'!$D$8)/2))</x:f>
        <x:v>1098.8598538151195</x:v>
      </x:c>
      <x:c r="U465" s="17" t="n">
        <x:f>IF(AND($A465&gt;='Control Room'!$A$13,$A465&lt;'Control Room'!$A$13+'Control Room'!$B$13,'Process'!BN2=1),1+('Control Room'!$C$13-1)*EXP(-0.5*(($A465-'Control Room'!$A$13-('Control Room'!$B$13-1)/2)/MAX(0.5,'Control Room'!$B$13/4))^2),1)*IF(AND($A465&gt;='Control Room'!$A$14,$A465&lt;'Control Room'!$A$14+'Control Room'!$B$14,'Process'!BN3=1),1+('Control Room'!$C$14-1)*EXP(-0.5*(($A465-'Control Room'!$A$14-('Control Room'!$B$14-1)/2)/MAX(0.5,'Control Room'!$B$14/4))^2),1)*IF(AND($A465&gt;='Control Room'!$A$15,$A465&lt;'Control Room'!$A$15+'Control Room'!$B$15,'Process'!BN4=1),1+('Control Room'!$C$15-1)*EXP(-0.5*(($A465-'Control Room'!$A$15-('Control Room'!$B$15-1)/2)/MAX(0.5,'Control Room'!$B$15/4))^2),1)*IF(AND($A465&gt;='Control Room'!$A$16,$A465&lt;'Control Room'!$A$16+'Control Room'!$B$16,'Process'!BN5=1),1+('Control Room'!$C$16-1)*EXP(-0.5*(($A465-'Control Room'!$A$16-('Control Room'!$B$16-1)/2)/MAX(0.5,'Control Room'!$B$16/4))^2),1)</x:f>
        <x:v>1</x:v>
      </x:c>
      <x:c r="V465" s="9" t="n">
        <x:f>MOD(W464*16807,2147483647)</x:f>
        <x:v>919164396</x:v>
      </x:c>
      <x:c r="W465" s="9" t="n">
        <x:f>MOD(V465*16807,2147483647)</x:f>
        <x:v>1546130701</x:v>
      </x:c>
      <x:c r="X465" s="17" t="n">
        <x:f>IF('Control Room'!$B$5="Normal",'Control Room'!$B$7+'Control Room'!$D$7*SQRT(-2*LN(MAX(0.000000000001,V465/2147483647)))*COS(2*PI()*W465/2147483647),'Control Room'!$B$8+('Control Room'!$D$8-'Control Room'!$B$8)*V465/2147483647)</x:f>
        <x:v>978.0105183520882</x:v>
      </x:c>
      <x:c r="Y465" s="17" t="n">
        <x:f>IF('Control Room'!$B$5="Normal",'Control Room'!$B$7,('Control Room'!$B$8+'Control Room'!$D$8)/2)+'Control Room'!$B$9*(Y464-IF('Control Room'!$B$5="Normal",'Control Room'!$B$7,('Control Room'!$B$8+'Control Room'!$D$8)/2))+SQRT(1-'Control Room'!$B$9^2)*(X465-IF('Control Room'!$B$5="Normal",'Control Room'!$B$7,('Control Room'!$B$8+'Control Room'!$D$8)/2))</x:f>
        <x:v>945.4269667730435</x:v>
      </x:c>
      <x:c r="Z465" s="17" t="n">
        <x:f>IF(AND($A465&gt;='Control Room'!$A$13,$A465&lt;'Control Room'!$A$13+'Control Room'!$B$13,'Process'!BO2=1),1+('Control Room'!$C$13-1)*EXP(-0.5*(($A465-'Control Room'!$A$13-('Control Room'!$B$13-1)/2)/MAX(0.5,'Control Room'!$B$13/4))^2),1)*IF(AND($A465&gt;='Control Room'!$A$14,$A465&lt;'Control Room'!$A$14+'Control Room'!$B$14,'Process'!BO3=1),1+('Control Room'!$C$14-1)*EXP(-0.5*(($A465-'Control Room'!$A$14-('Control Room'!$B$14-1)/2)/MAX(0.5,'Control Room'!$B$14/4))^2),1)*IF(AND($A465&gt;='Control Room'!$A$15,$A465&lt;'Control Room'!$A$15+'Control Room'!$B$15,'Process'!BO4=1),1+('Control Room'!$C$15-1)*EXP(-0.5*(($A465-'Control Room'!$A$15-('Control Room'!$B$15-1)/2)/MAX(0.5,'Control Room'!$B$15/4))^2),1)*IF(AND($A465&gt;='Control Room'!$A$16,$A465&lt;'Control Room'!$A$16+'Control Room'!$B$16,'Process'!BO5=1),1+('Control Room'!$C$16-1)*EXP(-0.5*(($A465-'Control Room'!$A$16-('Control Room'!$B$16-1)/2)/MAX(0.5,'Control Room'!$B$16/4))^2),1)</x:f>
        <x:v>1</x:v>
      </x:c>
      <x:c r="AA465" s="9" t="n">
        <x:f>MOD(AB464*16807,2147483647)</x:f>
        <x:v>36004814</x:v>
      </x:c>
      <x:c r="AB465" s="9" t="n">
        <x:f>MOD(AA465*16807,2147483647)</x:f>
        <x:v>1690004091</x:v>
      </x:c>
      <x:c r="AC465" s="17" t="n">
        <x:f>IF('Control Room'!$B$5="Normal",'Control Room'!$B$7+'Control Room'!$D$7*SQRT(-2*LN(MAX(0.000000000001,AA465/2147483647)))*COS(2*PI()*AB465/2147483647),'Control Room'!$B$8+('Control Room'!$D$8-'Control Room'!$B$8)*AA465/2147483647)</x:f>
        <x:v>1059.2440598021376</x:v>
      </x:c>
      <x:c r="AD465" s="17" t="n">
        <x:f>IF('Control Room'!$B$5="Normal",'Control Room'!$B$7,('Control Room'!$B$8+'Control Room'!$D$8)/2)+'Control Room'!$B$9*(AD464-IF('Control Room'!$B$5="Normal",'Control Room'!$B$7,('Control Room'!$B$8+'Control Room'!$D$8)/2))+SQRT(1-'Control Room'!$B$9^2)*(AC465-IF('Control Room'!$B$5="Normal",'Control Room'!$B$7,('Control Room'!$B$8+'Control Room'!$D$8)/2))</x:f>
        <x:v>1107.9356250010078</x:v>
      </x:c>
      <x:c r="AE465" s="17" t="n">
        <x:f>IF(AND($A465&gt;='Control Room'!$A$13,$A465&lt;'Control Room'!$A$13+'Control Room'!$B$13,'Process'!BP2=1),1+('Control Room'!$C$13-1)*EXP(-0.5*(($A465-'Control Room'!$A$13-('Control Room'!$B$13-1)/2)/MAX(0.5,'Control Room'!$B$13/4))^2),1)*IF(AND($A465&gt;='Control Room'!$A$14,$A465&lt;'Control Room'!$A$14+'Control Room'!$B$14,'Process'!BP3=1),1+('Control Room'!$C$14-1)*EXP(-0.5*(($A465-'Control Room'!$A$14-('Control Room'!$B$14-1)/2)/MAX(0.5,'Control Room'!$B$14/4))^2),1)*IF(AND($A465&gt;='Control Room'!$A$15,$A465&lt;'Control Room'!$A$15+'Control Room'!$B$15,'Process'!BP4=1),1+('Control Room'!$C$15-1)*EXP(-0.5*(($A465-'Control Room'!$A$15-('Control Room'!$B$15-1)/2)/MAX(0.5,'Control Room'!$B$15/4))^2),1)*IF(AND($A465&gt;='Control Room'!$A$16,$A465&lt;'Control Room'!$A$16+'Control Room'!$B$16,'Process'!BP5=1),1+('Control Room'!$C$16-1)*EXP(-0.5*(($A465-'Control Room'!$A$16-('Control Room'!$B$16-1)/2)/MAX(0.5,'Control Room'!$B$16/4))^2),1)</x:f>
        <x:v>1</x:v>
      </x:c>
      <x:c r="AF465" s="9" t="n">
        <x:f>MOD(AG464*16807,2147483647)</x:f>
        <x:v>1300328879</x:v>
      </x:c>
      <x:c r="AG465" s="9" t="n">
        <x:f>MOD(AF465*16807,2147483647)</x:f>
        <x:v>1833877481</x:v>
      </x:c>
      <x:c r="AH465" s="17" t="n">
        <x:f>IF('Control Room'!$B$5="Normal",'Control Room'!$B$7+'Control Room'!$D$7*SQRT(-2*LN(MAX(0.000000000001,AF465/2147483647)))*COS(2*PI()*AG465/2147483647),'Control Room'!$B$8+('Control Room'!$D$8-'Control Room'!$B$8)*AF465/2147483647)</x:f>
        <x:v>1054.7901383606186</x:v>
      </x:c>
      <x:c r="AI465" s="17" t="n">
        <x:f>IF('Control Room'!$B$5="Normal",'Control Room'!$B$7,('Control Room'!$B$8+'Control Room'!$D$8)/2)+'Control Room'!$B$9*(AI464-IF('Control Room'!$B$5="Normal",'Control Room'!$B$7,('Control Room'!$B$8+'Control Room'!$D$8)/2))+SQRT(1-'Control Room'!$B$9^2)*(AH465-IF('Control Room'!$B$5="Normal",'Control Room'!$B$7,('Control Room'!$B$8+'Control Room'!$D$8)/2))</x:f>
        <x:v>1104.9103674803414</x:v>
      </x:c>
      <x:c r="AJ465" s="17" t="n">
        <x:f>IF(AND($A465&gt;='Control Room'!$A$13,$A465&lt;'Control Room'!$A$13+'Control Room'!$B$13,'Process'!BQ2=1),1+('Control Room'!$C$13-1)*EXP(-0.5*(($A465-'Control Room'!$A$13-('Control Room'!$B$13-1)/2)/MAX(0.5,'Control Room'!$B$13/4))^2),1)*IF(AND($A465&gt;='Control Room'!$A$14,$A465&lt;'Control Room'!$A$14+'Control Room'!$B$14,'Process'!BQ3=1),1+('Control Room'!$C$14-1)*EXP(-0.5*(($A465-'Control Room'!$A$14-('Control Room'!$B$14-1)/2)/MAX(0.5,'Control Room'!$B$14/4))^2),1)*IF(AND($A465&gt;='Control Room'!$A$15,$A465&lt;'Control Room'!$A$15+'Control Room'!$B$15,'Process'!BQ4=1),1+('Control Room'!$C$15-1)*EXP(-0.5*(($A465-'Control Room'!$A$15-('Control Room'!$B$15-1)/2)/MAX(0.5,'Control Room'!$B$15/4))^2),1)*IF(AND($A465&gt;='Control Room'!$A$16,$A465&lt;'Control Room'!$A$16+'Control Room'!$B$16,'Process'!BQ5=1),1+('Control Room'!$C$16-1)*EXP(-0.5*(($A465-'Control Room'!$A$16-('Control Room'!$B$16-1)/2)/MAX(0.5,'Control Room'!$B$16/4))^2),1)</x:f>
        <x:v>1</x:v>
      </x:c>
      <x:c r="AK465" s="9" t="n">
        <x:f>MOD(AL464*16807,2147483647)</x:f>
        <x:v>417169297</x:v>
      </x:c>
      <x:c r="AL465" s="9" t="n">
        <x:f>MOD(AK465*16807,2147483647)</x:f>
        <x:v>1977750871</x:v>
      </x:c>
      <x:c r="AM465" s="17" t="n">
        <x:f>IF('Control Room'!$B$5="Normal",'Control Room'!$B$7+'Control Room'!$D$7*SQRT(-2*LN(MAX(0.000000000001,AK465/2147483647)))*COS(2*PI()*AL465/2147483647),'Control Room'!$B$8+('Control Room'!$D$8-'Control Room'!$B$8)*AK465/2147483647)</x:f>
        <x:v>1143.2443984410313</x:v>
      </x:c>
      <x:c r="AN465" s="17" t="n">
        <x:f>IF('Control Room'!$B$5="Normal",'Control Room'!$B$7,('Control Room'!$B$8+'Control Room'!$D$8)/2)+'Control Room'!$B$9*(AN464-IF('Control Room'!$B$5="Normal",'Control Room'!$B$7,('Control Room'!$B$8+'Control Room'!$D$8)/2))+SQRT(1-'Control Room'!$B$9^2)*(AM465-IF('Control Room'!$B$5="Normal",'Control Room'!$B$7,('Control Room'!$B$8+'Control Room'!$D$8)/2))</x:f>
        <x:v>1110.0653643798107</x:v>
      </x:c>
      <x:c r="AO465" s="17" t="n">
        <x:f>IF(AND($A465&gt;='Control Room'!$A$13,$A465&lt;'Control Room'!$A$13+'Control Room'!$B$13,'Process'!BR2=1),1+('Control Room'!$C$13-1)*EXP(-0.5*(($A465-'Control Room'!$A$13-('Control Room'!$B$13-1)/2)/MAX(0.5,'Control Room'!$B$13/4))^2),1)*IF(AND($A465&gt;='Control Room'!$A$14,$A465&lt;'Control Room'!$A$14+'Control Room'!$B$14,'Process'!BR3=1),1+('Control Room'!$C$14-1)*EXP(-0.5*(($A465-'Control Room'!$A$14-('Control Room'!$B$14-1)/2)/MAX(0.5,'Control Room'!$B$14/4))^2),1)*IF(AND($A465&gt;='Control Room'!$A$15,$A465&lt;'Control Room'!$A$15+'Control Room'!$B$15,'Process'!BR4=1),1+('Control Room'!$C$15-1)*EXP(-0.5*(($A465-'Control Room'!$A$15-('Control Room'!$B$15-1)/2)/MAX(0.5,'Control Room'!$B$15/4))^2),1)*IF(AND($A465&gt;='Control Room'!$A$16,$A465&lt;'Control Room'!$A$16+'Control Room'!$B$16,'Process'!BR5=1),1+('Control Room'!$C$16-1)*EXP(-0.5*(($A465-'Control Room'!$A$16-('Control Room'!$B$16-1)/2)/MAX(0.5,'Control Room'!$B$16/4))^2),1)</x:f>
        <x:v>1</x:v>
      </x:c>
      <x:c r="AP465" s="9" t="n">
        <x:f>MOD(AQ464*16807,2147483647)</x:f>
        <x:v>1681493362</x:v>
      </x:c>
      <x:c r="AQ465" s="9" t="n">
        <x:f>MOD(AP465*16807,2147483647)</x:f>
        <x:v>2121624261</x:v>
      </x:c>
      <x:c r="AR465" s="17" t="n">
        <x:f>IF('Control Room'!$B$5="Normal",'Control Room'!$B$7+'Control Room'!$D$7*SQRT(-2*LN(MAX(0.000000000001,AP465/2147483647)))*COS(2*PI()*AQ465/2147483647),'Control Room'!$B$8+('Control Room'!$D$8-'Control Room'!$B$8)*AP465/2147483647)</x:f>
        <x:v>1062.770317061321</x:v>
      </x:c>
      <x:c r="AS465" s="17" t="n">
        <x:f>IF('Control Room'!$B$5="Normal",'Control Room'!$B$7,('Control Room'!$B$8+'Control Room'!$D$8)/2)+'Control Room'!$B$9*(AS464-IF('Control Room'!$B$5="Normal",'Control Room'!$B$7,('Control Room'!$B$8+'Control Room'!$D$8)/2))+SQRT(1-'Control Room'!$B$9^2)*(AR465-IF('Control Room'!$B$5="Normal",'Control Room'!$B$7,('Control Room'!$B$8+'Control Room'!$D$8)/2))</x:f>
        <x:v>1032.6613762589309</x:v>
      </x:c>
      <x:c r="AT465" s="17" t="n">
        <x:f>IF(AND($A465&gt;='Control Room'!$A$13,$A465&lt;'Control Room'!$A$13+'Control Room'!$B$13,'Process'!BS2=1),1+('Control Room'!$C$13-1)*EXP(-0.5*(($A465-'Control Room'!$A$13-('Control Room'!$B$13-1)/2)/MAX(0.5,'Control Room'!$B$13/4))^2),1)*IF(AND($A465&gt;='Control Room'!$A$14,$A465&lt;'Control Room'!$A$14+'Control Room'!$B$14,'Process'!BS3=1),1+('Control Room'!$C$14-1)*EXP(-0.5*(($A465-'Control Room'!$A$14-('Control Room'!$B$14-1)/2)/MAX(0.5,'Control Room'!$B$14/4))^2),1)*IF(AND($A465&gt;='Control Room'!$A$15,$A465&lt;'Control Room'!$A$15+'Control Room'!$B$15,'Process'!BS4=1),1+('Control Room'!$C$15-1)*EXP(-0.5*(($A465-'Control Room'!$A$15-('Control Room'!$B$15-1)/2)/MAX(0.5,'Control Room'!$B$15/4))^2),1)*IF(AND($A465&gt;='Control Room'!$A$16,$A465&lt;'Control Room'!$A$16+'Control Room'!$B$16,'Process'!BS5=1),1+('Control Room'!$C$16-1)*EXP(-0.5*(($A465-'Control Room'!$A$16-('Control Room'!$B$16-1)/2)/MAX(0.5,'Control Room'!$B$16/4))^2),1)</x:f>
        <x:v>1</x:v>
      </x:c>
      <x:c r="AU465" s="9" t="n">
        <x:f>MOD(AV464*16807,2147483647)</x:f>
        <x:v>798333780</x:v>
      </x:c>
      <x:c r="AV465" s="9" t="n">
        <x:f>MOD(AU465*16807,2147483647)</x:f>
        <x:v>118014004</x:v>
      </x:c>
      <x:c r="AW465" s="17" t="n">
        <x:f>IF('Control Room'!$B$5="Normal",'Control Room'!$B$7+'Control Room'!$D$7*SQRT(-2*LN(MAX(0.000000000001,AU465/2147483647)))*COS(2*PI()*AV465/2147483647),'Control Room'!$B$8+('Control Room'!$D$8-'Control Room'!$B$8)*AU465/2147483647)</x:f>
        <x:v>1119.137962616786</x:v>
      </x:c>
      <x:c r="AX465" s="17" t="n">
        <x:f>IF('Control Room'!$B$5="Normal",'Control Room'!$B$7,('Control Room'!$B$8+'Control Room'!$D$8)/2)+'Control Room'!$B$9*(AX464-IF('Control Room'!$B$5="Normal",'Control Room'!$B$7,('Control Room'!$B$8+'Control Room'!$D$8)/2))+SQRT(1-'Control Room'!$B$9^2)*(AW465-IF('Control Room'!$B$5="Normal",'Control Room'!$B$7,('Control Room'!$B$8+'Control Room'!$D$8)/2))</x:f>
        <x:v>1096.0984615828668</x:v>
      </x:c>
      <x:c r="AY465" s="17" t="n">
        <x:f>IF(AND($A465&gt;='Control Room'!$A$13,$A465&lt;'Control Room'!$A$13+'Control Room'!$B$13,'Process'!BT2=1),1+('Control Room'!$C$13-1)*EXP(-0.5*(($A465-'Control Room'!$A$13-('Control Room'!$B$13-1)/2)/MAX(0.5,'Control Room'!$B$13/4))^2),1)*IF(AND($A465&gt;='Control Room'!$A$14,$A465&lt;'Control Room'!$A$14+'Control Room'!$B$14,'Process'!BT3=1),1+('Control Room'!$C$14-1)*EXP(-0.5*(($A465-'Control Room'!$A$14-('Control Room'!$B$14-1)/2)/MAX(0.5,'Control Room'!$B$14/4))^2),1)*IF(AND($A465&gt;='Control Room'!$A$15,$A465&lt;'Control Room'!$A$15+'Control Room'!$B$15,'Process'!BT4=1),1+('Control Room'!$C$15-1)*EXP(-0.5*(($A465-'Control Room'!$A$15-('Control Room'!$B$15-1)/2)/MAX(0.5,'Control Room'!$B$15/4))^2),1)*IF(AND($A465&gt;='Control Room'!$A$16,$A465&lt;'Control Room'!$A$16+'Control Room'!$B$16,'Process'!BT5=1),1+('Control Room'!$C$16-1)*EXP(-0.5*(($A465-'Control Room'!$A$16-('Control Room'!$B$16-1)/2)/MAX(0.5,'Control Room'!$B$16/4))^2),1)</x:f>
        <x:v>1</x:v>
      </x:c>
      <x:c r="AZ465" s="9" t="n">
        <x:f>MOD(BA464*16807,2147483647)</x:f>
        <x:v>2062657845</x:v>
      </x:c>
      <x:c r="BA465" s="9" t="n">
        <x:f>MOD(AZ465*16807,2147483647)</x:f>
        <x:v>261887394</x:v>
      </x:c>
      <x:c r="BB465" s="17" t="n">
        <x:f>IF('Control Room'!$B$5="Normal",'Control Room'!$B$7+'Control Room'!$D$7*SQRT(-2*LN(MAX(0.000000000001,AZ465/2147483647)))*COS(2*PI()*BA465/2147483647),'Control Room'!$B$8+('Control Room'!$D$8-'Control Room'!$B$8)*AZ465/2147483647)</x:f>
        <x:v>1018.410499936151</x:v>
      </x:c>
      <x:c r="BC465" s="17" t="n">
        <x:f>IF('Control Room'!$B$5="Normal",'Control Room'!$B$7,('Control Room'!$B$8+'Control Room'!$D$8)/2)+'Control Room'!$B$9*(BC464-IF('Control Room'!$B$5="Normal",'Control Room'!$B$7,('Control Room'!$B$8+'Control Room'!$D$8)/2))+SQRT(1-'Control Room'!$B$9^2)*(BB465-IF('Control Room'!$B$5="Normal",'Control Room'!$B$7,('Control Room'!$B$8+'Control Room'!$D$8)/2))</x:f>
        <x:v>1034.8904778482429</x:v>
      </x:c>
      <x:c r="BD465" s="17" t="n">
        <x:f>IF(AND($A465&gt;='Control Room'!$A$13,$A465&lt;'Control Room'!$A$13+'Control Room'!$B$13,'Process'!BU2=1),1+('Control Room'!$C$13-1)*EXP(-0.5*(($A465-'Control Room'!$A$13-('Control Room'!$B$13-1)/2)/MAX(0.5,'Control Room'!$B$13/4))^2),1)*IF(AND($A465&gt;='Control Room'!$A$14,$A465&lt;'Control Room'!$A$14+'Control Room'!$B$14,'Process'!BU3=1),1+('Control Room'!$C$14-1)*EXP(-0.5*(($A465-'Control Room'!$A$14-('Control Room'!$B$14-1)/2)/MAX(0.5,'Control Room'!$B$14/4))^2),1)*IF(AND($A465&gt;='Control Room'!$A$15,$A465&lt;'Control Room'!$A$15+'Control Room'!$B$15,'Process'!BU4=1),1+('Control Room'!$C$15-1)*EXP(-0.5*(($A465-'Control Room'!$A$15-('Control Room'!$B$15-1)/2)/MAX(0.5,'Control Room'!$B$15/4))^2),1)*IF(AND($A465&gt;='Control Room'!$A$16,$A465&lt;'Control Room'!$A$16+'Control Room'!$B$16,'Process'!BU5=1),1+('Control Room'!$C$16-1)*EXP(-0.5*(($A465-'Control Room'!$A$16-('Control Room'!$B$16-1)/2)/MAX(0.5,'Control Room'!$B$16/4))^2),1)</x:f>
        <x:v>1</x:v>
      </x:c>
      <x:c r="BE465" s="9" t="n">
        <x:f>MOD(BF464*16807,2147483647)</x:f>
        <x:v>1179498263</x:v>
      </x:c>
      <x:c r="BF465" s="9" t="n">
        <x:f>MOD(BE465*16807,2147483647)</x:f>
        <x:v>405760784</x:v>
      </x:c>
      <x:c r="BG465" s="17" t="n">
        <x:f>IF('Control Room'!$B$5="Normal",'Control Room'!$B$7+'Control Room'!$D$7*SQRT(-2*LN(MAX(0.000000000001,BE465/2147483647)))*COS(2*PI()*BF465/2147483647),'Control Room'!$B$8+('Control Room'!$D$8-'Control Room'!$B$8)*BE465/2147483647)</x:f>
        <x:v>1036.8746833830335</x:v>
      </x:c>
      <x:c r="BH465" s="17" t="n">
        <x:f>IF('Control Room'!$B$5="Normal",'Control Room'!$B$7,('Control Room'!$B$8+'Control Room'!$D$8)/2)+'Control Room'!$B$9*(BH464-IF('Control Room'!$B$5="Normal",'Control Room'!$B$7,('Control Room'!$B$8+'Control Room'!$D$8)/2))+SQRT(1-'Control Room'!$B$9^2)*(BG465-IF('Control Room'!$B$5="Normal",'Control Room'!$B$7,('Control Room'!$B$8+'Control Room'!$D$8)/2))</x:f>
        <x:v>863.0581934036435</x:v>
      </x:c>
      <x:c r="BI465" s="17" t="n">
        <x:f>IF(AND($A465&gt;='Control Room'!$A$13,$A465&lt;'Control Room'!$A$13+'Control Room'!$B$13,'Process'!BV2=1),1+('Control Room'!$C$13-1)*EXP(-0.5*(($A465-'Control Room'!$A$13-('Control Room'!$B$13-1)/2)/MAX(0.5,'Control Room'!$B$13/4))^2),1)*IF(AND($A465&gt;='Control Room'!$A$14,$A465&lt;'Control Room'!$A$14+'Control Room'!$B$14,'Process'!BV3=1),1+('Control Room'!$C$14-1)*EXP(-0.5*(($A465-'Control Room'!$A$14-('Control Room'!$B$14-1)/2)/MAX(0.5,'Control Room'!$B$14/4))^2),1)*IF(AND($A465&gt;='Control Room'!$A$15,$A465&lt;'Control Room'!$A$15+'Control Room'!$B$15,'Process'!BV4=1),1+('Control Room'!$C$15-1)*EXP(-0.5*(($A465-'Control Room'!$A$15-('Control Room'!$B$15-1)/2)/MAX(0.5,'Control Room'!$B$15/4))^2),1)*IF(AND($A465&gt;='Control Room'!$A$16,$A465&lt;'Control Room'!$A$16+'Control Room'!$B$16,'Process'!BV5=1),1+('Control Room'!$C$16-1)*EXP(-0.5*(($A465-'Control Room'!$A$16-('Control Room'!$B$16-1)/2)/MAX(0.5,'Control Room'!$B$16/4))^2),1)</x:f>
        <x:v>1</x:v>
      </x:c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Z465" t="str">
        <x:f>IF('Data'!A465="","",TEXT('Data'!A465,"mm-dd"))</x:f>
      </x:c>
    </x:row>
    <x:row r="466" ht="21" customHeight="1">
      <x:c r="A466" s="15" t="n">
        <x:f>'Control Room'!$B$1+464</x:f>
        <x:v>73455</x:v>
      </x:c>
      <x:c r="B466" s="9" t="n">
        <x:f>MOD(C465*16807,2147483647)</x:f>
        <x:v>1212646175</x:v>
      </x:c>
      <x:c r="C466" s="9" t="n">
        <x:f>MOD(B466*16807,2147483647)</x:f>
        <x:v>1324453195</x:v>
      </x:c>
      <x:c r="D466" s="17" t="n">
        <x:f>IF('Control Room'!$B$5="Normal",'Control Room'!$B$7+'Control Room'!$D$7*SQRT(-2*LN(MAX(0.000000000001,B466/2147483647)))*COS(2*PI()*C466/2147483647),'Control Room'!$B$8+('Control Room'!$D$8-'Control Room'!$B$8)*B466/2147483647)</x:f>
        <x:v>928.5274054785655</x:v>
      </x:c>
      <x:c r="E466" s="17" t="n">
        <x:f>IF('Control Room'!$B$5="Normal",'Control Room'!$B$7,('Control Room'!$B$8+'Control Room'!$D$8)/2)+'Control Room'!$B$9*(E465-IF('Control Room'!$B$5="Normal",'Control Room'!$B$7,('Control Room'!$B$8+'Control Room'!$D$8)/2))+SQRT(1-'Control Room'!$B$9^2)*(D466-IF('Control Room'!$B$5="Normal",'Control Room'!$B$7,('Control Room'!$B$8+'Control Room'!$D$8)/2))</x:f>
        <x:v>918.7688280151814</x:v>
      </x:c>
      <x:c r="F466" s="17" t="n">
        <x:f>IF(AND($A466&gt;='Control Room'!$A$13,$A466&lt;'Control Room'!$A$13+'Control Room'!$B$13,'Process'!BK2=1),1+('Control Room'!$C$13-1)*EXP(-0.5*(($A466-'Control Room'!$A$13-('Control Room'!$B$13-1)/2)/MAX(0.5,'Control Room'!$B$13/4))^2),1)*IF(AND($A466&gt;='Control Room'!$A$14,$A466&lt;'Control Room'!$A$14+'Control Room'!$B$14,'Process'!BK3=1),1+('Control Room'!$C$14-1)*EXP(-0.5*(($A466-'Control Room'!$A$14-('Control Room'!$B$14-1)/2)/MAX(0.5,'Control Room'!$B$14/4))^2),1)*IF(AND($A466&gt;='Control Room'!$A$15,$A466&lt;'Control Room'!$A$15+'Control Room'!$B$15,'Process'!BK4=1),1+('Control Room'!$C$15-1)*EXP(-0.5*(($A466-'Control Room'!$A$15-('Control Room'!$B$15-1)/2)/MAX(0.5,'Control Room'!$B$15/4))^2),1)*IF(AND($A466&gt;='Control Room'!$A$16,$A466&lt;'Control Room'!$A$16+'Control Room'!$B$16,'Process'!BK5=1),1+('Control Room'!$C$16-1)*EXP(-0.5*(($A466-'Control Room'!$A$16-('Control Room'!$B$16-1)/2)/MAX(0.5,'Control Room'!$B$16/4))^2),1)</x:f>
        <x:v>1</x:v>
      </x:c>
      <x:c r="G466" s="9" t="n">
        <x:f>MOD(H465*16807,2147483647)</x:f>
        <x:v>1226125383</x:v>
      </x:c>
      <x:c r="H466" s="9" t="n">
        <x:f>MOD(G466*16807,2147483647)</x:f>
        <x:v>236235469</x:v>
      </x:c>
      <x:c r="I466" s="17" t="n">
        <x:f>IF('Control Room'!$B$5="Normal",'Control Room'!$B$7+'Control Room'!$D$7*SQRT(-2*LN(MAX(0.000000000001,G466/2147483647)))*COS(2*PI()*H466/2147483647),'Control Room'!$B$8+('Control Room'!$D$8-'Control Room'!$B$8)*G466/2147483647)</x:f>
        <x:v>1073.4156034525301</x:v>
      </x:c>
      <x:c r="J466" s="17" t="n">
        <x:f>IF('Control Room'!$B$5="Normal",'Control Room'!$B$7,('Control Room'!$B$8+'Control Room'!$D$8)/2)+'Control Room'!$B$9*(J465-IF('Control Room'!$B$5="Normal",'Control Room'!$B$7,('Control Room'!$B$8+'Control Room'!$D$8)/2))+SQRT(1-'Control Room'!$B$9^2)*(I466-IF('Control Room'!$B$5="Normal",'Control Room'!$B$7,('Control Room'!$B$8+'Control Room'!$D$8)/2))</x:f>
        <x:v>912.2407940029602</x:v>
      </x:c>
      <x:c r="K466" s="17" t="n">
        <x:f>IF(AND($A466&gt;='Control Room'!$A$13,$A466&lt;'Control Room'!$A$13+'Control Room'!$B$13,'Process'!BL2=1),1+('Control Room'!$C$13-1)*EXP(-0.5*(($A466-'Control Room'!$A$13-('Control Room'!$B$13-1)/2)/MAX(0.5,'Control Room'!$B$13/4))^2),1)*IF(AND($A466&gt;='Control Room'!$A$14,$A466&lt;'Control Room'!$A$14+'Control Room'!$B$14,'Process'!BL3=1),1+('Control Room'!$C$14-1)*EXP(-0.5*(($A466-'Control Room'!$A$14-('Control Room'!$B$14-1)/2)/MAX(0.5,'Control Room'!$B$14/4))^2),1)*IF(AND($A466&gt;='Control Room'!$A$15,$A466&lt;'Control Room'!$A$15+'Control Room'!$B$15,'Process'!BL4=1),1+('Control Room'!$C$15-1)*EXP(-0.5*(($A466-'Control Room'!$A$15-('Control Room'!$B$15-1)/2)/MAX(0.5,'Control Room'!$B$15/4))^2),1)*IF(AND($A466&gt;='Control Room'!$A$16,$A466&lt;'Control Room'!$A$16+'Control Room'!$B$16,'Process'!BL5=1),1+('Control Room'!$C$16-1)*EXP(-0.5*(($A466-'Control Room'!$A$16-('Control Room'!$B$16-1)/2)/MAX(0.5,'Control Room'!$B$16/4))^2),1)</x:f>
        <x:v>1</x:v>
      </x:c>
      <x:c r="L466" s="9" t="n">
        <x:f>MOD(M465*16807,2147483647)</x:f>
        <x:v>1239604591</x:v>
      </x:c>
      <x:c r="M466" s="9" t="n">
        <x:f>MOD(L466*16807,2147483647)</x:f>
        <x:v>1295501390</x:v>
      </x:c>
      <x:c r="N466" s="17" t="n">
        <x:f>IF('Control Room'!$B$5="Normal",'Control Room'!$B$7+'Control Room'!$D$7*SQRT(-2*LN(MAX(0.000000000001,L466/2147483647)))*COS(2*PI()*M466/2147483647),'Control Room'!$B$8+('Control Room'!$D$8-'Control Room'!$B$8)*L466/2147483647)</x:f>
        <x:v>924.8226620868988</x:v>
      </x:c>
      <x:c r="O466" s="17" t="n">
        <x:f>IF('Control Room'!$B$5="Normal",'Control Room'!$B$7,('Control Room'!$B$8+'Control Room'!$D$8)/2)+'Control Room'!$B$9*(O465-IF('Control Room'!$B$5="Normal",'Control Room'!$B$7,('Control Room'!$B$8+'Control Room'!$D$8)/2))+SQRT(1-'Control Room'!$B$9^2)*(N466-IF('Control Room'!$B$5="Normal",'Control Room'!$B$7,('Control Room'!$B$8+'Control Room'!$D$8)/2))</x:f>
        <x:v>907.0506210916928</x:v>
      </x:c>
      <x:c r="P466" s="17" t="n">
        <x:f>IF(AND($A466&gt;='Control Room'!$A$13,$A466&lt;'Control Room'!$A$13+'Control Room'!$B$13,'Process'!BM2=1),1+('Control Room'!$C$13-1)*EXP(-0.5*(($A466-'Control Room'!$A$13-('Control Room'!$B$13-1)/2)/MAX(0.5,'Control Room'!$B$13/4))^2),1)*IF(AND($A466&gt;='Control Room'!$A$14,$A466&lt;'Control Room'!$A$14+'Control Room'!$B$14,'Process'!BM3=1),1+('Control Room'!$C$14-1)*EXP(-0.5*(($A466-'Control Room'!$A$14-('Control Room'!$B$14-1)/2)/MAX(0.5,'Control Room'!$B$14/4))^2),1)*IF(AND($A466&gt;='Control Room'!$A$15,$A466&lt;'Control Room'!$A$15+'Control Room'!$B$15,'Process'!BM4=1),1+('Control Room'!$C$15-1)*EXP(-0.5*(($A466-'Control Room'!$A$15-('Control Room'!$B$15-1)/2)/MAX(0.5,'Control Room'!$B$15/4))^2),1)*IF(AND($A466&gt;='Control Room'!$A$16,$A466&lt;'Control Room'!$A$16+'Control Room'!$B$16,'Process'!BM5=1),1+('Control Room'!$C$16-1)*EXP(-0.5*(($A466-'Control Room'!$A$16-('Control Room'!$B$16-1)/2)/MAX(0.5,'Control Room'!$B$16/4))^2),1)</x:f>
        <x:v>1</x:v>
      </x:c>
      <x:c r="Q466" s="9" t="n">
        <x:f>MOD(R465*16807,2147483647)</x:f>
        <x:v>1253083799</x:v>
      </x:c>
      <x:c r="R466" s="9" t="n">
        <x:f>MOD(Q466*16807,2147483647)</x:f>
        <x:v>207283664</x:v>
      </x:c>
      <x:c r="S466" s="17" t="n">
        <x:f>IF('Control Room'!$B$5="Normal",'Control Room'!$B$7+'Control Room'!$D$7*SQRT(-2*LN(MAX(0.000000000001,Q466/2147483647)))*COS(2*PI()*R466/2147483647),'Control Room'!$B$8+('Control Room'!$D$8-'Control Room'!$B$8)*Q466/2147483647)</x:f>
        <x:v>1076.7571920324976</x:v>
      </x:c>
      <x:c r="T466" s="17" t="n">
        <x:f>IF('Control Room'!$B$5="Normal",'Control Room'!$B$7,('Control Room'!$B$8+'Control Room'!$D$8)/2)+'Control Room'!$B$9*(T465-IF('Control Room'!$B$5="Normal",'Control Room'!$B$7,('Control Room'!$B$8+'Control Room'!$D$8)/2))+SQRT(1-'Control Room'!$B$9^2)*(S466-IF('Control Room'!$B$5="Normal",'Control Room'!$B$7,('Control Room'!$B$8+'Control Room'!$D$8)/2))</x:f>
        <x:v>1125.143764293181</x:v>
      </x:c>
      <x:c r="U466" s="17" t="n">
        <x:f>IF(AND($A466&gt;='Control Room'!$A$13,$A466&lt;'Control Room'!$A$13+'Control Room'!$B$13,'Process'!BN2=1),1+('Control Room'!$C$13-1)*EXP(-0.5*(($A466-'Control Room'!$A$13-('Control Room'!$B$13-1)/2)/MAX(0.5,'Control Room'!$B$13/4))^2),1)*IF(AND($A466&gt;='Control Room'!$A$14,$A466&lt;'Control Room'!$A$14+'Control Room'!$B$14,'Process'!BN3=1),1+('Control Room'!$C$14-1)*EXP(-0.5*(($A466-'Control Room'!$A$14-('Control Room'!$B$14-1)/2)/MAX(0.5,'Control Room'!$B$14/4))^2),1)*IF(AND($A466&gt;='Control Room'!$A$15,$A466&lt;'Control Room'!$A$15+'Control Room'!$B$15,'Process'!BN4=1),1+('Control Room'!$C$15-1)*EXP(-0.5*(($A466-'Control Room'!$A$15-('Control Room'!$B$15-1)/2)/MAX(0.5,'Control Room'!$B$15/4))^2),1)*IF(AND($A466&gt;='Control Room'!$A$16,$A466&lt;'Control Room'!$A$16+'Control Room'!$B$16,'Process'!BN5=1),1+('Control Room'!$C$16-1)*EXP(-0.5*(($A466-'Control Room'!$A$16-('Control Room'!$B$16-1)/2)/MAX(0.5,'Control Room'!$B$16/4))^2),1)</x:f>
        <x:v>1</x:v>
      </x:c>
      <x:c r="V466" s="9" t="n">
        <x:f>MOD(W465*16807,2147483647)</x:f>
        <x:v>1266563007</x:v>
      </x:c>
      <x:c r="W466" s="9" t="n">
        <x:f>MOD(V466*16807,2147483647)</x:f>
        <x:v>1266549585</x:v>
      </x:c>
      <x:c r="X466" s="17" t="n">
        <x:f>IF('Control Room'!$B$5="Normal",'Control Room'!$B$7+'Control Room'!$D$7*SQRT(-2*LN(MAX(0.000000000001,V466/2147483647)))*COS(2*PI()*W466/2147483647),'Control Room'!$B$8+('Control Room'!$D$8-'Control Room'!$B$8)*V466/2147483647)</x:f>
        <x:v>921.8450548819549</x:v>
      </x:c>
      <x:c r="Y466" s="17" t="n">
        <x:f>IF('Control Room'!$B$5="Normal",'Control Room'!$B$7,('Control Room'!$B$8+'Control Room'!$D$8)/2)+'Control Room'!$B$9*(Y465-IF('Control Room'!$B$5="Normal",'Control Room'!$B$7,('Control Room'!$B$8+'Control Room'!$D$8)/2))+SQRT(1-'Control Room'!$B$9^2)*(X466-IF('Control Room'!$B$5="Normal",'Control Room'!$B$7,('Control Room'!$B$8+'Control Room'!$D$8)/2))</x:f>
        <x:v>908.5252705191791</x:v>
      </x:c>
      <x:c r="Z466" s="17" t="n">
        <x:f>IF(AND($A466&gt;='Control Room'!$A$13,$A466&lt;'Control Room'!$A$13+'Control Room'!$B$13,'Process'!BO2=1),1+('Control Room'!$C$13-1)*EXP(-0.5*(($A466-'Control Room'!$A$13-('Control Room'!$B$13-1)/2)/MAX(0.5,'Control Room'!$B$13/4))^2),1)*IF(AND($A466&gt;='Control Room'!$A$14,$A466&lt;'Control Room'!$A$14+'Control Room'!$B$14,'Process'!BO3=1),1+('Control Room'!$C$14-1)*EXP(-0.5*(($A466-'Control Room'!$A$14-('Control Room'!$B$14-1)/2)/MAX(0.5,'Control Room'!$B$14/4))^2),1)*IF(AND($A466&gt;='Control Room'!$A$15,$A466&lt;'Control Room'!$A$15+'Control Room'!$B$15,'Process'!BO4=1),1+('Control Room'!$C$15-1)*EXP(-0.5*(($A466-'Control Room'!$A$15-('Control Room'!$B$15-1)/2)/MAX(0.5,'Control Room'!$B$15/4))^2),1)*IF(AND($A466&gt;='Control Room'!$A$16,$A466&lt;'Control Room'!$A$16+'Control Room'!$B$16,'Process'!BO5=1),1+('Control Room'!$C$16-1)*EXP(-0.5*(($A466-'Control Room'!$A$16-('Control Room'!$B$16-1)/2)/MAX(0.5,'Control Room'!$B$16/4))^2),1)</x:f>
        <x:v>1</x:v>
      </x:c>
      <x:c r="AA466" s="9" t="n">
        <x:f>MOD(AB465*16807,2147483647)</x:f>
        <x:v>1280042215</x:v>
      </x:c>
      <x:c r="AB466" s="9" t="n">
        <x:f>MOD(AA466*16807,2147483647)</x:f>
        <x:v>178331859</x:v>
      </x:c>
      <x:c r="AC466" s="17" t="n">
        <x:f>IF('Control Room'!$B$5="Normal",'Control Room'!$B$7+'Control Room'!$D$7*SQRT(-2*LN(MAX(0.000000000001,AA466/2147483647)))*COS(2*PI()*AB466/2147483647),'Control Room'!$B$8+('Control Room'!$D$8-'Control Room'!$B$8)*AA466/2147483647)</x:f>
        <x:v>1079.370759129073</x:v>
      </x:c>
      <x:c r="AD466" s="17" t="n">
        <x:f>IF('Control Room'!$B$5="Normal",'Control Room'!$B$7,('Control Room'!$B$8+'Control Room'!$D$8)/2)+'Control Room'!$B$9*(AD465-IF('Control Room'!$B$5="Normal",'Control Room'!$B$7,('Control Room'!$B$8+'Control Room'!$D$8)/2))+SQRT(1-'Control Room'!$B$9^2)*(AC466-IF('Control Room'!$B$5="Normal",'Control Room'!$B$7,('Control Room'!$B$8+'Control Room'!$D$8)/2))</x:f>
        <x:v>1133.8583825653782</x:v>
      </x:c>
      <x:c r="AE466" s="17" t="n">
        <x:f>IF(AND($A466&gt;='Control Room'!$A$13,$A466&lt;'Control Room'!$A$13+'Control Room'!$B$13,'Process'!BP2=1),1+('Control Room'!$C$13-1)*EXP(-0.5*(($A466-'Control Room'!$A$13-('Control Room'!$B$13-1)/2)/MAX(0.5,'Control Room'!$B$13/4))^2),1)*IF(AND($A466&gt;='Control Room'!$A$14,$A466&lt;'Control Room'!$A$14+'Control Room'!$B$14,'Process'!BP3=1),1+('Control Room'!$C$14-1)*EXP(-0.5*(($A466-'Control Room'!$A$14-('Control Room'!$B$14-1)/2)/MAX(0.5,'Control Room'!$B$14/4))^2),1)*IF(AND($A466&gt;='Control Room'!$A$15,$A466&lt;'Control Room'!$A$15+'Control Room'!$B$15,'Process'!BP4=1),1+('Control Room'!$C$15-1)*EXP(-0.5*(($A466-'Control Room'!$A$15-('Control Room'!$B$15-1)/2)/MAX(0.5,'Control Room'!$B$15/4))^2),1)*IF(AND($A466&gt;='Control Room'!$A$16,$A466&lt;'Control Room'!$A$16+'Control Room'!$B$16,'Process'!BP5=1),1+('Control Room'!$C$16-1)*EXP(-0.5*(($A466-'Control Room'!$A$16-('Control Room'!$B$16-1)/2)/MAX(0.5,'Control Room'!$B$16/4))^2),1)</x:f>
        <x:v>1</x:v>
      </x:c>
      <x:c r="AF466" s="9" t="n">
        <x:f>MOD(AG465*16807,2147483647)</x:f>
        <x:v>1293521423</x:v>
      </x:c>
      <x:c r="AG466" s="9" t="n">
        <x:f>MOD(AF466*16807,2147483647)</x:f>
        <x:v>1237597780</x:v>
      </x:c>
      <x:c r="AH466" s="17" t="n">
        <x:f>IF('Control Room'!$B$5="Normal",'Control Room'!$B$7+'Control Room'!$D$7*SQRT(-2*LN(MAX(0.000000000001,AF466/2147483647)))*COS(2*PI()*AG466/2147483647),'Control Room'!$B$8+('Control Room'!$D$8-'Control Room'!$B$8)*AF466/2147483647)</x:f>
        <x:v>919.5948245648855</x:v>
      </x:c>
      <x:c r="AI466" s="17" t="n">
        <x:f>IF('Control Room'!$B$5="Normal",'Control Room'!$B$7,('Control Room'!$B$8+'Control Room'!$D$8)/2)+'Control Room'!$B$9*(AI465-IF('Control Room'!$B$5="Normal",'Control Room'!$B$7,('Control Room'!$B$8+'Control Room'!$D$8)/2))+SQRT(1-'Control Room'!$B$9^2)*(AH466-IF('Control Room'!$B$5="Normal",'Control Room'!$B$7,('Control Room'!$B$8+'Control Room'!$D$8)/2))</x:f>
        <x:v>1031.514175036923</x:v>
      </x:c>
      <x:c r="AJ466" s="17" t="n">
        <x:f>IF(AND($A466&gt;='Control Room'!$A$13,$A466&lt;'Control Room'!$A$13+'Control Room'!$B$13,'Process'!BQ2=1),1+('Control Room'!$C$13-1)*EXP(-0.5*(($A466-'Control Room'!$A$13-('Control Room'!$B$13-1)/2)/MAX(0.5,'Control Room'!$B$13/4))^2),1)*IF(AND($A466&gt;='Control Room'!$A$14,$A466&lt;'Control Room'!$A$14+'Control Room'!$B$14,'Process'!BQ3=1),1+('Control Room'!$C$14-1)*EXP(-0.5*(($A466-'Control Room'!$A$14-('Control Room'!$B$14-1)/2)/MAX(0.5,'Control Room'!$B$14/4))^2),1)*IF(AND($A466&gt;='Control Room'!$A$15,$A466&lt;'Control Room'!$A$15+'Control Room'!$B$15,'Process'!BQ4=1),1+('Control Room'!$C$15-1)*EXP(-0.5*(($A466-'Control Room'!$A$15-('Control Room'!$B$15-1)/2)/MAX(0.5,'Control Room'!$B$15/4))^2),1)*IF(AND($A466&gt;='Control Room'!$A$16,$A466&lt;'Control Room'!$A$16+'Control Room'!$B$16,'Process'!BQ5=1),1+('Control Room'!$C$16-1)*EXP(-0.5*(($A466-'Control Room'!$A$16-('Control Room'!$B$16-1)/2)/MAX(0.5,'Control Room'!$B$16/4))^2),1)</x:f>
        <x:v>1</x:v>
      </x:c>
      <x:c r="AK466" s="9" t="n">
        <x:f>MOD(AL465*16807,2147483647)</x:f>
        <x:v>1307000631</x:v>
      </x:c>
      <x:c r="AL466" s="9" t="n">
        <x:f>MOD(AK466*16807,2147483647)</x:f>
        <x:v>149380054</x:v>
      </x:c>
      <x:c r="AM466" s="17" t="n">
        <x:f>IF('Control Room'!$B$5="Normal",'Control Room'!$B$7+'Control Room'!$D$7*SQRT(-2*LN(MAX(0.000000000001,AK466/2147483647)))*COS(2*PI()*AL466/2147483647),'Control Room'!$B$8+('Control Room'!$D$8-'Control Room'!$B$8)*AK466/2147483647)</x:f>
        <x:v>1081.2591108689257</x:v>
      </x:c>
      <x:c r="AN466" s="17" t="n">
        <x:f>IF('Control Room'!$B$5="Normal",'Control Room'!$B$7,('Control Room'!$B$8+'Control Room'!$D$8)/2)+'Control Room'!$B$9*(AN465-IF('Control Room'!$B$5="Normal",'Control Room'!$B$7,('Control Room'!$B$8+'Control Room'!$D$8)/2))+SQRT(1-'Control Room'!$B$9^2)*(AM466-IF('Control Room'!$B$5="Normal",'Control Room'!$B$7,('Control Room'!$B$8+'Control Room'!$D$8)/2))</x:f>
        <x:v>1136.7012711146563</x:v>
      </x:c>
      <x:c r="AO466" s="17" t="n">
        <x:f>IF(AND($A466&gt;='Control Room'!$A$13,$A466&lt;'Control Room'!$A$13+'Control Room'!$B$13,'Process'!BR2=1),1+('Control Room'!$C$13-1)*EXP(-0.5*(($A466-'Control Room'!$A$13-('Control Room'!$B$13-1)/2)/MAX(0.5,'Control Room'!$B$13/4))^2),1)*IF(AND($A466&gt;='Control Room'!$A$14,$A466&lt;'Control Room'!$A$14+'Control Room'!$B$14,'Process'!BR3=1),1+('Control Room'!$C$14-1)*EXP(-0.5*(($A466-'Control Room'!$A$14-('Control Room'!$B$14-1)/2)/MAX(0.5,'Control Room'!$B$14/4))^2),1)*IF(AND($A466&gt;='Control Room'!$A$15,$A466&lt;'Control Room'!$A$15+'Control Room'!$B$15,'Process'!BR4=1),1+('Control Room'!$C$15-1)*EXP(-0.5*(($A466-'Control Room'!$A$15-('Control Room'!$B$15-1)/2)/MAX(0.5,'Control Room'!$B$15/4))^2),1)*IF(AND($A466&gt;='Control Room'!$A$16,$A466&lt;'Control Room'!$A$16+'Control Room'!$B$16,'Process'!BR5=1),1+('Control Room'!$C$16-1)*EXP(-0.5*(($A466-'Control Room'!$A$16-('Control Room'!$B$16-1)/2)/MAX(0.5,'Control Room'!$B$16/4))^2),1)</x:f>
        <x:v>1</x:v>
      </x:c>
      <x:c r="AP466" s="9" t="n">
        <x:f>MOD(AQ465*16807,2147483647)</x:f>
        <x:v>1320479839</x:v>
      </x:c>
      <x:c r="AQ466" s="9" t="n">
        <x:f>MOD(AP466*16807,2147483647)</x:f>
        <x:v>1208645975</x:v>
      </x:c>
      <x:c r="AR466" s="17" t="n">
        <x:f>IF('Control Room'!$B$5="Normal",'Control Room'!$B$7+'Control Room'!$D$7*SQRT(-2*LN(MAX(0.000000000001,AP466/2147483647)))*COS(2*PI()*AQ466/2147483647),'Control Room'!$B$8+('Control Room'!$D$8-'Control Room'!$B$8)*AP466/2147483647)</x:f>
        <x:v>918.0661469135688</x:v>
      </x:c>
      <x:c r="AS466" s="17" t="n">
        <x:f>IF('Control Room'!$B$5="Normal",'Control Room'!$B$7,('Control Room'!$B$8+'Control Room'!$D$8)/2)+'Control Room'!$B$9*(AS465-IF('Control Room'!$B$5="Normal",'Control Room'!$B$7,('Control Room'!$B$8+'Control Room'!$D$8)/2))+SQRT(1-'Control Room'!$B$9^2)*(AR466-IF('Control Room'!$B$5="Normal",'Control Room'!$B$7,('Control Room'!$B$8+'Control Room'!$D$8)/2))</x:f>
        <x:v>974.2033467266929</x:v>
      </x:c>
      <x:c r="AT466" s="17" t="n">
        <x:f>IF(AND($A466&gt;='Control Room'!$A$13,$A466&lt;'Control Room'!$A$13+'Control Room'!$B$13,'Process'!BS2=1),1+('Control Room'!$C$13-1)*EXP(-0.5*(($A466-'Control Room'!$A$13-('Control Room'!$B$13-1)/2)/MAX(0.5,'Control Room'!$B$13/4))^2),1)*IF(AND($A466&gt;='Control Room'!$A$14,$A466&lt;'Control Room'!$A$14+'Control Room'!$B$14,'Process'!BS3=1),1+('Control Room'!$C$14-1)*EXP(-0.5*(($A466-'Control Room'!$A$14-('Control Room'!$B$14-1)/2)/MAX(0.5,'Control Room'!$B$14/4))^2),1)*IF(AND($A466&gt;='Control Room'!$A$15,$A466&lt;'Control Room'!$A$15+'Control Room'!$B$15,'Process'!BS4=1),1+('Control Room'!$C$15-1)*EXP(-0.5*(($A466-'Control Room'!$A$15-('Control Room'!$B$15-1)/2)/MAX(0.5,'Control Room'!$B$15/4))^2),1)*IF(AND($A466&gt;='Control Room'!$A$16,$A466&lt;'Control Room'!$A$16+'Control Room'!$B$16,'Process'!BS5=1),1+('Control Room'!$C$16-1)*EXP(-0.5*(($A466-'Control Room'!$A$16-('Control Room'!$B$16-1)/2)/MAX(0.5,'Control Room'!$B$16/4))^2),1)</x:f>
        <x:v>1</x:v>
      </x:c>
      <x:c r="AU466" s="9" t="n">
        <x:f>MOD(AV465*16807,2147483647)</x:f>
        <x:v>1333959047</x:v>
      </x:c>
      <x:c r="AV466" s="9" t="n">
        <x:f>MOD(AU466*16807,2147483647)</x:f>
        <x:v>120428249</x:v>
      </x:c>
      <x:c r="AW466" s="17" t="n">
        <x:f>IF('Control Room'!$B$5="Normal",'Control Room'!$B$7+'Control Room'!$D$7*SQRT(-2*LN(MAX(0.000000000001,AU466/2147483647)))*COS(2*PI()*AV466/2147483647),'Control Room'!$B$8+('Control Room'!$D$8-'Control Room'!$B$8)*AU466/2147483647)</x:f>
        <x:v>1082.4310552471375</x:v>
      </x:c>
      <x:c r="AX466" s="17" t="n">
        <x:f>IF('Control Room'!$B$5="Normal",'Control Room'!$B$7,('Control Room'!$B$8+'Control Room'!$D$8)/2)+'Control Room'!$B$9*(AX465-IF('Control Room'!$B$5="Normal",'Control Room'!$B$7,('Control Room'!$B$8+'Control Room'!$D$8)/2))+SQRT(1-'Control Room'!$B$9^2)*(AW466-IF('Control Room'!$B$5="Normal",'Control Room'!$B$7,('Control Room'!$B$8+'Control Room'!$D$8)/2))</x:f>
        <x:v>1126.5404657163392</x:v>
      </x:c>
      <x:c r="AY466" s="17" t="n">
        <x:f>IF(AND($A466&gt;='Control Room'!$A$13,$A466&lt;'Control Room'!$A$13+'Control Room'!$B$13,'Process'!BT2=1),1+('Control Room'!$C$13-1)*EXP(-0.5*(($A466-'Control Room'!$A$13-('Control Room'!$B$13-1)/2)/MAX(0.5,'Control Room'!$B$13/4))^2),1)*IF(AND($A466&gt;='Control Room'!$A$14,$A466&lt;'Control Room'!$A$14+'Control Room'!$B$14,'Process'!BT3=1),1+('Control Room'!$C$14-1)*EXP(-0.5*(($A466-'Control Room'!$A$14-('Control Room'!$B$14-1)/2)/MAX(0.5,'Control Room'!$B$14/4))^2),1)*IF(AND($A466&gt;='Control Room'!$A$15,$A466&lt;'Control Room'!$A$15+'Control Room'!$B$15,'Process'!BT4=1),1+('Control Room'!$C$15-1)*EXP(-0.5*(($A466-'Control Room'!$A$15-('Control Room'!$B$15-1)/2)/MAX(0.5,'Control Room'!$B$15/4))^2),1)*IF(AND($A466&gt;='Control Room'!$A$16,$A466&lt;'Control Room'!$A$16+'Control Room'!$B$16,'Process'!BT5=1),1+('Control Room'!$C$16-1)*EXP(-0.5*(($A466-'Control Room'!$A$16-('Control Room'!$B$16-1)/2)/MAX(0.5,'Control Room'!$B$16/4))^2),1)</x:f>
        <x:v>1</x:v>
      </x:c>
      <x:c r="AZ466" s="9" t="n">
        <x:f>MOD(BA465*16807,2147483647)</x:f>
        <x:v>1347438255</x:v>
      </x:c>
      <x:c r="BA466" s="9" t="n">
        <x:f>MOD(AZ466*16807,2147483647)</x:f>
        <x:v>1179694170</x:v>
      </x:c>
      <x:c r="BB466" s="17" t="n">
        <x:f>IF('Control Room'!$B$5="Normal",'Control Room'!$B$7+'Control Room'!$D$7*SQRT(-2*LN(MAX(0.000000000001,AZ466/2147483647)))*COS(2*PI()*BA466/2147483647),'Control Room'!$B$8+('Control Room'!$D$8-'Control Room'!$B$8)*AZ466/2147483647)</x:f>
        <x:v>917.2472699700115</x:v>
      </x:c>
      <x:c r="BC466" s="17" t="n">
        <x:f>IF('Control Room'!$B$5="Normal",'Control Room'!$B$7,('Control Room'!$B$8+'Control Room'!$D$8)/2)+'Control Room'!$B$9*(BC465-IF('Control Room'!$B$5="Normal",'Control Room'!$B$7,('Control Room'!$B$8+'Control Room'!$D$8)/2))+SQRT(1-'Control Room'!$B$9^2)*(BB466-IF('Control Room'!$B$5="Normal",'Control Room'!$B$7,('Control Room'!$B$8+'Control Room'!$D$8)/2))</x:f>
        <x:v>975.429609550684</x:v>
      </x:c>
      <x:c r="BD466" s="17" t="n">
        <x:f>IF(AND($A466&gt;='Control Room'!$A$13,$A466&lt;'Control Room'!$A$13+'Control Room'!$B$13,'Process'!BU2=1),1+('Control Room'!$C$13-1)*EXP(-0.5*(($A466-'Control Room'!$A$13-('Control Room'!$B$13-1)/2)/MAX(0.5,'Control Room'!$B$13/4))^2),1)*IF(AND($A466&gt;='Control Room'!$A$14,$A466&lt;'Control Room'!$A$14+'Control Room'!$B$14,'Process'!BU3=1),1+('Control Room'!$C$14-1)*EXP(-0.5*(($A466-'Control Room'!$A$14-('Control Room'!$B$14-1)/2)/MAX(0.5,'Control Room'!$B$14/4))^2),1)*IF(AND($A466&gt;='Control Room'!$A$15,$A466&lt;'Control Room'!$A$15+'Control Room'!$B$15,'Process'!BU4=1),1+('Control Room'!$C$15-1)*EXP(-0.5*(($A466-'Control Room'!$A$15-('Control Room'!$B$15-1)/2)/MAX(0.5,'Control Room'!$B$15/4))^2),1)*IF(AND($A466&gt;='Control Room'!$A$16,$A466&lt;'Control Room'!$A$16+'Control Room'!$B$16,'Process'!BU5=1),1+('Control Room'!$C$16-1)*EXP(-0.5*(($A466-'Control Room'!$A$16-('Control Room'!$B$16-1)/2)/MAX(0.5,'Control Room'!$B$16/4))^2),1)</x:f>
        <x:v>1</x:v>
      </x:c>
      <x:c r="BE466" s="9" t="n">
        <x:f>MOD(BF465*16807,2147483647)</x:f>
        <x:v>1360917463</x:v>
      </x:c>
      <x:c r="BF466" s="9" t="n">
        <x:f>MOD(BE466*16807,2147483647)</x:f>
        <x:v>91476444</x:v>
      </x:c>
      <x:c r="BG466" s="17" t="n">
        <x:f>IF('Control Room'!$B$5="Normal",'Control Room'!$B$7+'Control Room'!$D$7*SQRT(-2*LN(MAX(0.000000000001,BE466/2147483647)))*COS(2*PI()*BF466/2147483647),'Control Room'!$B$8+('Control Room'!$D$8-'Control Room'!$B$8)*BE466/2147483647)</x:f>
        <x:v>1082.9012430010398</x:v>
      </x:c>
      <x:c r="BH466" s="17" t="n">
        <x:f>IF('Control Room'!$B$5="Normal",'Control Room'!$B$7,('Control Room'!$B$8+'Control Room'!$D$8)/2)+'Control Room'!$B$9*(BH465-IF('Control Room'!$B$5="Normal",'Control Room'!$B$7,('Control Room'!$B$8+'Control Room'!$D$8)/2))+SQRT(1-'Control Room'!$B$9^2)*(BG466-IF('Control Room'!$B$5="Normal",'Control Room'!$B$7,('Control Room'!$B$8+'Control Room'!$D$8)/2))</x:f>
        <x:v>945.0632904006176</x:v>
      </x:c>
      <x:c r="BI466" s="17" t="n">
        <x:f>IF(AND($A466&gt;='Control Room'!$A$13,$A466&lt;'Control Room'!$A$13+'Control Room'!$B$13,'Process'!BV2=1),1+('Control Room'!$C$13-1)*EXP(-0.5*(($A466-'Control Room'!$A$13-('Control Room'!$B$13-1)/2)/MAX(0.5,'Control Room'!$B$13/4))^2),1)*IF(AND($A466&gt;='Control Room'!$A$14,$A466&lt;'Control Room'!$A$14+'Control Room'!$B$14,'Process'!BV3=1),1+('Control Room'!$C$14-1)*EXP(-0.5*(($A466-'Control Room'!$A$14-('Control Room'!$B$14-1)/2)/MAX(0.5,'Control Room'!$B$14/4))^2),1)*IF(AND($A466&gt;='Control Room'!$A$15,$A466&lt;'Control Room'!$A$15+'Control Room'!$B$15,'Process'!BV4=1),1+('Control Room'!$C$15-1)*EXP(-0.5*(($A466-'Control Room'!$A$15-('Control Room'!$B$15-1)/2)/MAX(0.5,'Control Room'!$B$15/4))^2),1)*IF(AND($A466&gt;='Control Room'!$A$16,$A466&lt;'Control Room'!$A$16+'Control Room'!$B$16,'Process'!BV5=1),1+('Control Room'!$C$16-1)*EXP(-0.5*(($A466-'Control Room'!$A$16-('Control Room'!$B$16-1)/2)/MAX(0.5,'Control Room'!$B$16/4))^2),1)</x:f>
        <x:v>1</x:v>
      </x:c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Z466" t="str">
        <x:f>IF('Data'!A466="","",TEXT('Data'!A466,"mm-dd"))</x:f>
      </x:c>
    </x:row>
    <x:row r="467" ht="21" customHeight="1">
      <x:c r="A467" s="15" t="n">
        <x:f>'Control Room'!$B$1+465</x:f>
        <x:v>73456</x:v>
      </x:c>
      <x:c r="B467" s="9" t="n">
        <x:f>MOD(C466*16807,2147483647)</x:f>
        <x:v>1416847210</x:v>
      </x:c>
      <x:c r="C467" s="9" t="n">
        <x:f>MOD(B467*16807,2147483647)</x:f>
        <x:v>1652380534</x:v>
      </x:c>
      <x:c r="D467" s="17" t="n">
        <x:f>IF('Control Room'!$B$5="Normal",'Control Room'!$B$7+'Control Room'!$D$7*SQRT(-2*LN(MAX(0.000000000001,B467/2147483647)))*COS(2*PI()*C467/2147483647),'Control Room'!$B$8+('Control Room'!$D$8-'Control Room'!$B$8)*B467/2147483647)</x:f>
        <x:v>1010.0055860525592</x:v>
      </x:c>
      <x:c r="E467" s="17" t="n">
        <x:f>IF('Control Room'!$B$5="Normal",'Control Room'!$B$7,('Control Room'!$B$8+'Control Room'!$D$8)/2)+'Control Room'!$B$9*(E466-IF('Control Room'!$B$5="Normal",'Control Room'!$B$7,('Control Room'!$B$8+'Control Room'!$D$8)/2))+SQRT(1-'Control Room'!$B$9^2)*(D467-IF('Control Room'!$B$5="Normal",'Control Room'!$B$7,('Control Room'!$B$8+'Control Room'!$D$8)/2))</x:f>
        <x:v>942.9009766279613</x:v>
      </x:c>
      <x:c r="F467" s="17" t="n">
        <x:f>IF(AND($A467&gt;='Control Room'!$A$13,$A467&lt;'Control Room'!$A$13+'Control Room'!$B$13,'Process'!BK2=1),1+('Control Room'!$C$13-1)*EXP(-0.5*(($A467-'Control Room'!$A$13-('Control Room'!$B$13-1)/2)/MAX(0.5,'Control Room'!$B$13/4))^2),1)*IF(AND($A467&gt;='Control Room'!$A$14,$A467&lt;'Control Room'!$A$14+'Control Room'!$B$14,'Process'!BK3=1),1+('Control Room'!$C$14-1)*EXP(-0.5*(($A467-'Control Room'!$A$14-('Control Room'!$B$14-1)/2)/MAX(0.5,'Control Room'!$B$14/4))^2),1)*IF(AND($A467&gt;='Control Room'!$A$15,$A467&lt;'Control Room'!$A$15+'Control Room'!$B$15,'Process'!BK4=1),1+('Control Room'!$C$15-1)*EXP(-0.5*(($A467-'Control Room'!$A$15-('Control Room'!$B$15-1)/2)/MAX(0.5,'Control Room'!$B$15/4))^2),1)*IF(AND($A467&gt;='Control Room'!$A$16,$A467&lt;'Control Room'!$A$16+'Control Room'!$B$16,'Process'!BK5=1),1+('Control Room'!$C$16-1)*EXP(-0.5*(($A467-'Control Room'!$A$16-('Control Room'!$B$16-1)/2)/MAX(0.5,'Control Room'!$B$16/4))^2),1)</x:f>
        <x:v>1</x:v>
      </x:c>
      <x:c r="G467" s="9" t="n">
        <x:f>MOD(H466*16807,2147483647)</x:f>
        <x:v>1859747827</x:v>
      </x:c>
      <x:c r="H467" s="9" t="n">
        <x:f>MOD(G467*16807,2147483647)</x:f>
        <x:v>157246304</x:v>
      </x:c>
      <x:c r="I467" s="17" t="n">
        <x:f>IF('Control Room'!$B$5="Normal",'Control Room'!$B$7+'Control Room'!$D$7*SQRT(-2*LN(MAX(0.000000000001,G467/2147483647)))*COS(2*PI()*H467/2147483647),'Control Room'!$B$8+('Control Room'!$D$8-'Control Room'!$B$8)*G467/2147483647)</x:f>
        <x:v>1043.2551861320926</x:v>
      </x:c>
      <x:c r="J467" s="17" t="n">
        <x:f>IF('Control Room'!$B$5="Normal",'Control Room'!$B$7,('Control Room'!$B$8+'Control Room'!$D$8)/2)+'Control Room'!$B$9*(J466-IF('Control Room'!$B$5="Normal",'Control Room'!$B$7,('Control Room'!$B$8+'Control Room'!$D$8)/2))+SQRT(1-'Control Room'!$B$9^2)*(I467-IF('Control Room'!$B$5="Normal",'Control Room'!$B$7,('Control Room'!$B$8+'Control Room'!$D$8)/2))</x:f>
        <x:v>958.6160286731191</x:v>
      </x:c>
      <x:c r="K467" s="17" t="n">
        <x:f>IF(AND($A467&gt;='Control Room'!$A$13,$A467&lt;'Control Room'!$A$13+'Control Room'!$B$13,'Process'!BL2=1),1+('Control Room'!$C$13-1)*EXP(-0.5*(($A467-'Control Room'!$A$13-('Control Room'!$B$13-1)/2)/MAX(0.5,'Control Room'!$B$13/4))^2),1)*IF(AND($A467&gt;='Control Room'!$A$14,$A467&lt;'Control Room'!$A$14+'Control Room'!$B$14,'Process'!BL3=1),1+('Control Room'!$C$14-1)*EXP(-0.5*(($A467-'Control Room'!$A$14-('Control Room'!$B$14-1)/2)/MAX(0.5,'Control Room'!$B$14/4))^2),1)*IF(AND($A467&gt;='Control Room'!$A$15,$A467&lt;'Control Room'!$A$15+'Control Room'!$B$15,'Process'!BL4=1),1+('Control Room'!$C$15-1)*EXP(-0.5*(($A467-'Control Room'!$A$15-('Control Room'!$B$15-1)/2)/MAX(0.5,'Control Room'!$B$15/4))^2),1)*IF(AND($A467&gt;='Control Room'!$A$16,$A467&lt;'Control Room'!$A$16+'Control Room'!$B$16,'Process'!BL5=1),1+('Control Room'!$C$16-1)*EXP(-0.5*(($A467-'Control Room'!$A$16-('Control Room'!$B$16-1)/2)/MAX(0.5,'Control Room'!$B$16/4))^2),1)</x:f>
        <x:v>1</x:v>
      </x:c>
      <x:c r="L467" s="9" t="n">
        <x:f>MOD(M466*16807,2147483647)</x:f>
        <x:v>155164797</x:v>
      </x:c>
      <x:c r="M467" s="9" t="n">
        <x:f>MOD(L467*16807,2147483647)</x:f>
        <x:v>809595721</x:v>
      </x:c>
      <x:c r="N467" s="17" t="n">
        <x:f>IF('Control Room'!$B$5="Normal",'Control Room'!$B$7+'Control Room'!$D$7*SQRT(-2*LN(MAX(0.000000000001,L467/2147483647)))*COS(2*PI()*M467/2147483647),'Control Room'!$B$8+('Control Room'!$D$8-'Control Room'!$B$8)*L467/2147483647)</x:f>
        <x:v>852.292781686286</x:v>
      </x:c>
      <x:c r="O467" s="17" t="n">
        <x:f>IF('Control Room'!$B$5="Normal",'Control Room'!$B$7,('Control Room'!$B$8+'Control Room'!$D$8)/2)+'Control Room'!$B$9*(O466-IF('Control Room'!$B$5="Normal",'Control Room'!$B$7,('Control Room'!$B$8+'Control Room'!$D$8)/2))+SQRT(1-'Control Room'!$B$9^2)*(N467-IF('Control Room'!$B$5="Normal",'Control Room'!$B$7,('Control Room'!$B$8+'Control Room'!$D$8)/2))</x:f>
        <x:v>835.0673331776402</x:v>
      </x:c>
      <x:c r="P467" s="17" t="n">
        <x:f>IF(AND($A467&gt;='Control Room'!$A$13,$A467&lt;'Control Room'!$A$13+'Control Room'!$B$13,'Process'!BM2=1),1+('Control Room'!$C$13-1)*EXP(-0.5*(($A467-'Control Room'!$A$13-('Control Room'!$B$13-1)/2)/MAX(0.5,'Control Room'!$B$13/4))^2),1)*IF(AND($A467&gt;='Control Room'!$A$14,$A467&lt;'Control Room'!$A$14+'Control Room'!$B$14,'Process'!BM3=1),1+('Control Room'!$C$14-1)*EXP(-0.5*(($A467-'Control Room'!$A$14-('Control Room'!$B$14-1)/2)/MAX(0.5,'Control Room'!$B$14/4))^2),1)*IF(AND($A467&gt;='Control Room'!$A$15,$A467&lt;'Control Room'!$A$15+'Control Room'!$B$15,'Process'!BM4=1),1+('Control Room'!$C$15-1)*EXP(-0.5*(($A467-'Control Room'!$A$15-('Control Room'!$B$15-1)/2)/MAX(0.5,'Control Room'!$B$15/4))^2),1)*IF(AND($A467&gt;='Control Room'!$A$16,$A467&lt;'Control Room'!$A$16+'Control Room'!$B$16,'Process'!BM5=1),1+('Control Room'!$C$16-1)*EXP(-0.5*(($A467-'Control Room'!$A$16-('Control Room'!$B$16-1)/2)/MAX(0.5,'Control Room'!$B$16/4))^2),1)</x:f>
        <x:v>1</x:v>
      </x:c>
      <x:c r="Q467" s="9" t="n">
        <x:f>MOD(R466*16807,2147483647)</x:f>
        <x:v>598065414</x:v>
      </x:c>
      <x:c r="R467" s="9" t="n">
        <x:f>MOD(Q467*16807,2147483647)</x:f>
        <x:v>1461945138</x:v>
      </x:c>
      <x:c r="S467" s="17" t="n">
        <x:f>IF('Control Room'!$B$5="Normal",'Control Room'!$B$7+'Control Room'!$D$7*SQRT(-2*LN(MAX(0.000000000001,Q467/2147483647)))*COS(2*PI()*R467/2147483647),'Control Room'!$B$8+('Control Room'!$D$8-'Control Room'!$B$8)*Q467/2147483647)</x:f>
        <x:v>939.3589793104144</x:v>
      </x:c>
      <x:c r="T467" s="17" t="n">
        <x:f>IF('Control Room'!$B$5="Normal",'Control Room'!$B$7,('Control Room'!$B$8+'Control Room'!$D$8)/2)+'Control Room'!$B$9*(T466-IF('Control Room'!$B$5="Normal",'Control Room'!$B$7,('Control Room'!$B$8+'Control Room'!$D$8)/2))+SQRT(1-'Control Room'!$B$9^2)*(S467-IF('Control Room'!$B$5="Normal",'Control Room'!$B$7,('Control Room'!$B$8+'Control Room'!$D$8)/2))</x:f>
        <x:v>1059.6642276999723</x:v>
      </x:c>
      <x:c r="U467" s="17" t="n">
        <x:f>IF(AND($A467&gt;='Control Room'!$A$13,$A467&lt;'Control Room'!$A$13+'Control Room'!$B$13,'Process'!BN2=1),1+('Control Room'!$C$13-1)*EXP(-0.5*(($A467-'Control Room'!$A$13-('Control Room'!$B$13-1)/2)/MAX(0.5,'Control Room'!$B$13/4))^2),1)*IF(AND($A467&gt;='Control Room'!$A$14,$A467&lt;'Control Room'!$A$14+'Control Room'!$B$14,'Process'!BN3=1),1+('Control Room'!$C$14-1)*EXP(-0.5*(($A467-'Control Room'!$A$14-('Control Room'!$B$14-1)/2)/MAX(0.5,'Control Room'!$B$14/4))^2),1)*IF(AND($A467&gt;='Control Room'!$A$15,$A467&lt;'Control Room'!$A$15+'Control Room'!$B$15,'Process'!BN4=1),1+('Control Room'!$C$15-1)*EXP(-0.5*(($A467-'Control Room'!$A$15-('Control Room'!$B$15-1)/2)/MAX(0.5,'Control Room'!$B$15/4))^2),1)*IF(AND($A467&gt;='Control Room'!$A$16,$A467&lt;'Control Room'!$A$16+'Control Room'!$B$16,'Process'!BN5=1),1+('Control Room'!$C$16-1)*EXP(-0.5*(($A467-'Control Room'!$A$16-('Control Room'!$B$16-1)/2)/MAX(0.5,'Control Room'!$B$16/4))^2),1)</x:f>
        <x:v>1</x:v>
      </x:c>
      <x:c r="V467" s="9" t="n">
        <x:f>MOD(W466*16807,2147483647)</x:f>
        <x:v>1040966031</x:v>
      </x:c>
      <x:c r="W467" s="9" t="n">
        <x:f>MOD(V467*16807,2147483647)</x:f>
        <x:v>2114294555</x:v>
      </x:c>
      <x:c r="X467" s="17" t="n">
        <x:f>IF('Control Room'!$B$5="Normal",'Control Room'!$B$7+'Control Room'!$D$7*SQRT(-2*LN(MAX(0.000000000001,V467/2147483647)))*COS(2*PI()*W467/2147483647),'Control Room'!$B$8+('Control Room'!$D$8-'Control Room'!$B$8)*V467/2147483647)</x:f>
        <x:v>1107.8003646359166</x:v>
      </x:c>
      <x:c r="Y467" s="17" t="n">
        <x:f>IF('Control Room'!$B$5="Normal",'Control Room'!$B$7,('Control Room'!$B$8+'Control Room'!$D$8)/2)+'Control Room'!$B$9*(Y466-IF('Control Room'!$B$5="Normal",'Control Room'!$B$7,('Control Room'!$B$8+'Control Room'!$D$8)/2))+SQRT(1-'Control Room'!$B$9^2)*(X467-IF('Control Room'!$B$5="Normal",'Control Room'!$B$7,('Control Room'!$B$8+'Control Room'!$D$8)/2))</x:f>
        <x:v>996.1089707836089</x:v>
      </x:c>
      <x:c r="Z467" s="17" t="n">
        <x:f>IF(AND($A467&gt;='Control Room'!$A$13,$A467&lt;'Control Room'!$A$13+'Control Room'!$B$13,'Process'!BO2=1),1+('Control Room'!$C$13-1)*EXP(-0.5*(($A467-'Control Room'!$A$13-('Control Room'!$B$13-1)/2)/MAX(0.5,'Control Room'!$B$13/4))^2),1)*IF(AND($A467&gt;='Control Room'!$A$14,$A467&lt;'Control Room'!$A$14+'Control Room'!$B$14,'Process'!BO3=1),1+('Control Room'!$C$14-1)*EXP(-0.5*(($A467-'Control Room'!$A$14-('Control Room'!$B$14-1)/2)/MAX(0.5,'Control Room'!$B$14/4))^2),1)*IF(AND($A467&gt;='Control Room'!$A$15,$A467&lt;'Control Room'!$A$15+'Control Room'!$B$15,'Process'!BO4=1),1+('Control Room'!$C$15-1)*EXP(-0.5*(($A467-'Control Room'!$A$15-('Control Room'!$B$15-1)/2)/MAX(0.5,'Control Room'!$B$15/4))^2),1)*IF(AND($A467&gt;='Control Room'!$A$16,$A467&lt;'Control Room'!$A$16+'Control Room'!$B$16,'Process'!BO5=1),1+('Control Room'!$C$16-1)*EXP(-0.5*(($A467-'Control Room'!$A$16-('Control Room'!$B$16-1)/2)/MAX(0.5,'Control Room'!$B$16/4))^2),1)</x:f>
        <x:v>1</x:v>
      </x:c>
      <x:c r="AA467" s="9" t="n">
        <x:f>MOD(AB466*16807,2147483647)</x:f>
        <x:v>1483866648</x:v>
      </x:c>
      <x:c r="AB467" s="9" t="n">
        <x:f>MOD(AA467*16807,2147483647)</x:f>
        <x:v>619160325</x:v>
      </x:c>
      <x:c r="AC467" s="17" t="n">
        <x:f>IF('Control Room'!$B$5="Normal",'Control Room'!$B$7+'Control Room'!$D$7*SQRT(-2*LN(MAX(0.000000000001,AA467/2147483647)))*COS(2*PI()*AB467/2147483647),'Control Room'!$B$8+('Control Room'!$D$8-'Control Room'!$B$8)*AA467/2147483647)</x:f>
        <x:v>981.5481388524761</x:v>
      </x:c>
      <x:c r="AD467" s="17" t="n">
        <x:f>IF('Control Room'!$B$5="Normal",'Control Room'!$B$7,('Control Room'!$B$8+'Control Room'!$D$8)/2)+'Control Room'!$B$9*(AD466-IF('Control Room'!$B$5="Normal",'Control Room'!$B$7,('Control Room'!$B$8+'Control Room'!$D$8)/2))+SQRT(1-'Control Room'!$B$9^2)*(AC467-IF('Control Room'!$B$5="Normal",'Control Room'!$B$7,('Control Room'!$B$8+'Control Room'!$D$8)/2))</x:f>
        <x:v>1092.8627417017965</x:v>
      </x:c>
      <x:c r="AE467" s="17" t="n">
        <x:f>IF(AND($A467&gt;='Control Room'!$A$13,$A467&lt;'Control Room'!$A$13+'Control Room'!$B$13,'Process'!BP2=1),1+('Control Room'!$C$13-1)*EXP(-0.5*(($A467-'Control Room'!$A$13-('Control Room'!$B$13-1)/2)/MAX(0.5,'Control Room'!$B$13/4))^2),1)*IF(AND($A467&gt;='Control Room'!$A$14,$A467&lt;'Control Room'!$A$14+'Control Room'!$B$14,'Process'!BP3=1),1+('Control Room'!$C$14-1)*EXP(-0.5*(($A467-'Control Room'!$A$14-('Control Room'!$B$14-1)/2)/MAX(0.5,'Control Room'!$B$14/4))^2),1)*IF(AND($A467&gt;='Control Room'!$A$15,$A467&lt;'Control Room'!$A$15+'Control Room'!$B$15,'Process'!BP4=1),1+('Control Room'!$C$15-1)*EXP(-0.5*(($A467-'Control Room'!$A$15-('Control Room'!$B$15-1)/2)/MAX(0.5,'Control Room'!$B$15/4))^2),1)*IF(AND($A467&gt;='Control Room'!$A$16,$A467&lt;'Control Room'!$A$16+'Control Room'!$B$16,'Process'!BP5=1),1+('Control Room'!$C$16-1)*EXP(-0.5*(($A467-'Control Room'!$A$16-('Control Room'!$B$16-1)/2)/MAX(0.5,'Control Room'!$B$16/4))^2),1)</x:f>
        <x:v>1</x:v>
      </x:c>
      <x:c r="AF467" s="9" t="n">
        <x:f>MOD(AG466*16807,2147483647)</x:f>
        <x:v>1926767265</x:v>
      </x:c>
      <x:c r="AG467" s="9" t="n">
        <x:f>MOD(AF467*16807,2147483647)</x:f>
        <x:v>1271509742</x:v>
      </x:c>
      <x:c r="AH467" s="17" t="n">
        <x:f>IF('Control Room'!$B$5="Normal",'Control Room'!$B$7+'Control Room'!$D$7*SQRT(-2*LN(MAX(0.000000000001,AF467/2147483647)))*COS(2*PI()*AG467/2147483647),'Control Room'!$B$8+('Control Room'!$D$8-'Control Room'!$B$8)*AF467/2147483647)</x:f>
        <x:v>964.9076434127202</x:v>
      </x:c>
      <x:c r="AI467" s="17" t="n">
        <x:f>IF('Control Room'!$B$5="Normal",'Control Room'!$B$7,('Control Room'!$B$8+'Control Room'!$D$8)/2)+'Control Room'!$B$9*(AI466-IF('Control Room'!$B$5="Normal",'Control Room'!$B$7,('Control Room'!$B$8+'Control Room'!$D$8)/2))+SQRT(1-'Control Room'!$B$9^2)*(AH467-IF('Control Room'!$B$5="Normal",'Control Room'!$B$7,('Control Room'!$B$8+'Control Room'!$D$8)/2))</x:f>
        <x:v>1002.620978682481</x:v>
      </x:c>
      <x:c r="AJ467" s="17" t="n">
        <x:f>IF(AND($A467&gt;='Control Room'!$A$13,$A467&lt;'Control Room'!$A$13+'Control Room'!$B$13,'Process'!BQ2=1),1+('Control Room'!$C$13-1)*EXP(-0.5*(($A467-'Control Room'!$A$13-('Control Room'!$B$13-1)/2)/MAX(0.5,'Control Room'!$B$13/4))^2),1)*IF(AND($A467&gt;='Control Room'!$A$14,$A467&lt;'Control Room'!$A$14+'Control Room'!$B$14,'Process'!BQ3=1),1+('Control Room'!$C$14-1)*EXP(-0.5*(($A467-'Control Room'!$A$14-('Control Room'!$B$14-1)/2)/MAX(0.5,'Control Room'!$B$14/4))^2),1)*IF(AND($A467&gt;='Control Room'!$A$15,$A467&lt;'Control Room'!$A$15+'Control Room'!$B$15,'Process'!BQ4=1),1+('Control Room'!$C$15-1)*EXP(-0.5*(($A467-'Control Room'!$A$15-('Control Room'!$B$15-1)/2)/MAX(0.5,'Control Room'!$B$15/4))^2),1)*IF(AND($A467&gt;='Control Room'!$A$16,$A467&lt;'Control Room'!$A$16+'Control Room'!$B$16,'Process'!BQ5=1),1+('Control Room'!$C$16-1)*EXP(-0.5*(($A467-'Control Room'!$A$16-('Control Room'!$B$16-1)/2)/MAX(0.5,'Control Room'!$B$16/4))^2),1)</x:f>
        <x:v>1</x:v>
      </x:c>
      <x:c r="AK467" s="9" t="n">
        <x:f>MOD(AL466*16807,2147483647)</x:f>
        <x:v>222184235</x:v>
      </x:c>
      <x:c r="AL467" s="9" t="n">
        <x:f>MOD(AK467*16807,2147483647)</x:f>
        <x:v>1923859159</x:v>
      </x:c>
      <x:c r="AM467" s="17" t="n">
        <x:f>IF('Control Room'!$B$5="Normal",'Control Room'!$B$7+'Control Room'!$D$7*SQRT(-2*LN(MAX(0.000000000001,AK467/2147483647)))*COS(2*PI()*AL467/2147483647),'Control Room'!$B$8+('Control Room'!$D$8-'Control Room'!$B$8)*AK467/2147483647)</x:f>
        <x:v>1152.113511003504</x:v>
      </x:c>
      <x:c r="AN467" s="17" t="n">
        <x:f>IF('Control Room'!$B$5="Normal",'Control Room'!$B$7,('Control Room'!$B$8+'Control Room'!$D$8)/2)+'Control Room'!$B$9*(AN466-IF('Control Room'!$B$5="Normal",'Control Room'!$B$7,('Control Room'!$B$8+'Control Room'!$D$8)/2))+SQRT(1-'Control Room'!$B$9^2)*(AM467-IF('Control Room'!$B$5="Normal",'Control Room'!$B$7,('Control Room'!$B$8+'Control Room'!$D$8)/2))</x:f>
        <x:v>1201.8165104407706</x:v>
      </x:c>
      <x:c r="AO467" s="17" t="n">
        <x:f>IF(AND($A467&gt;='Control Room'!$A$13,$A467&lt;'Control Room'!$A$13+'Control Room'!$B$13,'Process'!BR2=1),1+('Control Room'!$C$13-1)*EXP(-0.5*(($A467-'Control Room'!$A$13-('Control Room'!$B$13-1)/2)/MAX(0.5,'Control Room'!$B$13/4))^2),1)*IF(AND($A467&gt;='Control Room'!$A$14,$A467&lt;'Control Room'!$A$14+'Control Room'!$B$14,'Process'!BR3=1),1+('Control Room'!$C$14-1)*EXP(-0.5*(($A467-'Control Room'!$A$14-('Control Room'!$B$14-1)/2)/MAX(0.5,'Control Room'!$B$14/4))^2),1)*IF(AND($A467&gt;='Control Room'!$A$15,$A467&lt;'Control Room'!$A$15+'Control Room'!$B$15,'Process'!BR4=1),1+('Control Room'!$C$15-1)*EXP(-0.5*(($A467-'Control Room'!$A$15-('Control Room'!$B$15-1)/2)/MAX(0.5,'Control Room'!$B$15/4))^2),1)*IF(AND($A467&gt;='Control Room'!$A$16,$A467&lt;'Control Room'!$A$16+'Control Room'!$B$16,'Process'!BR5=1),1+('Control Room'!$C$16-1)*EXP(-0.5*(($A467-'Control Room'!$A$16-('Control Room'!$B$16-1)/2)/MAX(0.5,'Control Room'!$B$16/4))^2),1)</x:f>
        <x:v>1</x:v>
      </x:c>
      <x:c r="AP467" s="9" t="n">
        <x:f>MOD(AQ466*16807,2147483647)</x:f>
        <x:v>665084852</x:v>
      </x:c>
      <x:c r="AQ467" s="9" t="n">
        <x:f>MOD(AP467*16807,2147483647)</x:f>
        <x:v>428724929</x:v>
      </x:c>
      <x:c r="AR467" s="17" t="n">
        <x:f>IF('Control Room'!$B$5="Normal",'Control Room'!$B$7+'Control Room'!$D$7*SQRT(-2*LN(MAX(0.000000000001,AP467/2147483647)))*COS(2*PI()*AQ467/2147483647),'Control Room'!$B$8+('Control Room'!$D$8-'Control Room'!$B$8)*AP467/2147483647)</x:f>
        <x:v>1042.8781361096878</x:v>
      </x:c>
      <x:c r="AS467" s="17" t="n">
        <x:f>IF('Control Room'!$B$5="Normal",'Control Room'!$B$7,('Control Room'!$B$8+'Control Room'!$D$8)/2)+'Control Room'!$B$9*(AS466-IF('Control Room'!$B$5="Normal",'Control Room'!$B$7,('Control Room'!$B$8+'Control Room'!$D$8)/2))+SQRT(1-'Control Room'!$B$9^2)*(AR467-IF('Control Room'!$B$5="Normal",'Control Room'!$B$7,('Control Room'!$B$8+'Control Room'!$D$8)/2))</x:f>
        <x:v>1006.7108696178992</x:v>
      </x:c>
      <x:c r="AT467" s="17" t="n">
        <x:f>IF(AND($A467&gt;='Control Room'!$A$13,$A467&lt;'Control Room'!$A$13+'Control Room'!$B$13,'Process'!BS2=1),1+('Control Room'!$C$13-1)*EXP(-0.5*(($A467-'Control Room'!$A$13-('Control Room'!$B$13-1)/2)/MAX(0.5,'Control Room'!$B$13/4))^2),1)*IF(AND($A467&gt;='Control Room'!$A$14,$A467&lt;'Control Room'!$A$14+'Control Room'!$B$14,'Process'!BS3=1),1+('Control Room'!$C$14-1)*EXP(-0.5*(($A467-'Control Room'!$A$14-('Control Room'!$B$14-1)/2)/MAX(0.5,'Control Room'!$B$14/4))^2),1)*IF(AND($A467&gt;='Control Room'!$A$15,$A467&lt;'Control Room'!$A$15+'Control Room'!$B$15,'Process'!BS4=1),1+('Control Room'!$C$15-1)*EXP(-0.5*(($A467-'Control Room'!$A$15-('Control Room'!$B$15-1)/2)/MAX(0.5,'Control Room'!$B$15/4))^2),1)*IF(AND($A467&gt;='Control Room'!$A$16,$A467&lt;'Control Room'!$A$16+'Control Room'!$B$16,'Process'!BS5=1),1+('Control Room'!$C$16-1)*EXP(-0.5*(($A467-'Control Room'!$A$16-('Control Room'!$B$16-1)/2)/MAX(0.5,'Control Room'!$B$16/4))^2),1)</x:f>
        <x:v>1</x:v>
      </x:c>
      <x:c r="AU467" s="9" t="n">
        <x:f>MOD(AV466*16807,2147483647)</x:f>
        <x:v>1107985469</x:v>
      </x:c>
      <x:c r="AV467" s="9" t="n">
        <x:f>MOD(AU467*16807,2147483647)</x:f>
        <x:v>1081074346</x:v>
      </x:c>
      <x:c r="AW467" s="17" t="n">
        <x:f>IF('Control Room'!$B$5="Normal",'Control Room'!$B$7+'Control Room'!$D$7*SQRT(-2*LN(MAX(0.000000000001,AU467/2147483647)))*COS(2*PI()*AV467/2147483647),'Control Room'!$B$8+('Control Room'!$D$8-'Control Room'!$B$8)*AU467/2147483647)</x:f>
        <x:v>896.4844466662271</x:v>
      </x:c>
      <x:c r="AX467" s="17" t="n">
        <x:f>IF('Control Room'!$B$5="Normal",'Control Room'!$B$7,('Control Room'!$B$8+'Control Room'!$D$8)/2)+'Control Room'!$B$9*(AX466-IF('Control Room'!$B$5="Normal",'Control Room'!$B$7,('Control Room'!$B$8+'Control Room'!$D$8)/2))+SQRT(1-'Control Room'!$B$9^2)*(AW467-IF('Control Room'!$B$5="Normal",'Control Room'!$B$7,('Control Room'!$B$8+'Control Room'!$D$8)/2))</x:f>
        <x:v>1033.9236506138461</x:v>
      </x:c>
      <x:c r="AY467" s="17" t="n">
        <x:f>IF(AND($A467&gt;='Control Room'!$A$13,$A467&lt;'Control Room'!$A$13+'Control Room'!$B$13,'Process'!BT2=1),1+('Control Room'!$C$13-1)*EXP(-0.5*(($A467-'Control Room'!$A$13-('Control Room'!$B$13-1)/2)/MAX(0.5,'Control Room'!$B$13/4))^2),1)*IF(AND($A467&gt;='Control Room'!$A$14,$A467&lt;'Control Room'!$A$14+'Control Room'!$B$14,'Process'!BT3=1),1+('Control Room'!$C$14-1)*EXP(-0.5*(($A467-'Control Room'!$A$14-('Control Room'!$B$14-1)/2)/MAX(0.5,'Control Room'!$B$14/4))^2),1)*IF(AND($A467&gt;='Control Room'!$A$15,$A467&lt;'Control Room'!$A$15+'Control Room'!$B$15,'Process'!BT4=1),1+('Control Room'!$C$15-1)*EXP(-0.5*(($A467-'Control Room'!$A$15-('Control Room'!$B$15-1)/2)/MAX(0.5,'Control Room'!$B$15/4))^2),1)*IF(AND($A467&gt;='Control Room'!$A$16,$A467&lt;'Control Room'!$A$16+'Control Room'!$B$16,'Process'!BT5=1),1+('Control Room'!$C$16-1)*EXP(-0.5*(($A467-'Control Room'!$A$16-('Control Room'!$B$16-1)/2)/MAX(0.5,'Control Room'!$B$16/4))^2),1)</x:f>
        <x:v>1</x:v>
      </x:c>
      <x:c r="AZ467" s="9" t="n">
        <x:f>MOD(BA466*16807,2147483647)</x:f>
        <x:v>1550886086</x:v>
      </x:c>
      <x:c r="BA467" s="9" t="n">
        <x:f>MOD(AZ467*16807,2147483647)</x:f>
        <x:v>1733423763</x:v>
      </x:c>
      <x:c r="BB467" s="17" t="n">
        <x:f>IF('Control Room'!$B$5="Normal",'Control Room'!$B$7+'Control Room'!$D$7*SQRT(-2*LN(MAX(0.000000000001,AZ467/2147483647)))*COS(2*PI()*BA467/2147483647),'Control Room'!$B$8+('Control Room'!$D$8-'Control Room'!$B$8)*AZ467/2147483647)</x:f>
        <x:v>1025.5337384993918</x:v>
      </x:c>
      <x:c r="BC467" s="17" t="n">
        <x:f>IF('Control Room'!$B$5="Normal",'Control Room'!$B$7,('Control Room'!$B$8+'Control Room'!$D$8)/2)+'Control Room'!$B$9*(BC466-IF('Control Room'!$B$5="Normal",'Control Room'!$B$7,('Control Room'!$B$8+'Control Room'!$D$8)/2))+SQRT(1-'Control Room'!$B$9^2)*(BB467-IF('Control Room'!$B$5="Normal",'Control Room'!$B$7,('Control Room'!$B$8+'Control Room'!$D$8)/2))</x:f>
        <x:v>996.8135859153874</x:v>
      </x:c>
      <x:c r="BD467" s="17" t="n">
        <x:f>IF(AND($A467&gt;='Control Room'!$A$13,$A467&lt;'Control Room'!$A$13+'Control Room'!$B$13,'Process'!BU2=1),1+('Control Room'!$C$13-1)*EXP(-0.5*(($A467-'Control Room'!$A$13-('Control Room'!$B$13-1)/2)/MAX(0.5,'Control Room'!$B$13/4))^2),1)*IF(AND($A467&gt;='Control Room'!$A$14,$A467&lt;'Control Room'!$A$14+'Control Room'!$B$14,'Process'!BU3=1),1+('Control Room'!$C$14-1)*EXP(-0.5*(($A467-'Control Room'!$A$14-('Control Room'!$B$14-1)/2)/MAX(0.5,'Control Room'!$B$14/4))^2),1)*IF(AND($A467&gt;='Control Room'!$A$15,$A467&lt;'Control Room'!$A$15+'Control Room'!$B$15,'Process'!BU4=1),1+('Control Room'!$C$15-1)*EXP(-0.5*(($A467-'Control Room'!$A$15-('Control Room'!$B$15-1)/2)/MAX(0.5,'Control Room'!$B$15/4))^2),1)*IF(AND($A467&gt;='Control Room'!$A$16,$A467&lt;'Control Room'!$A$16+'Control Room'!$B$16,'Process'!BU5=1),1+('Control Room'!$C$16-1)*EXP(-0.5*(($A467-'Control Room'!$A$16-('Control Room'!$B$16-1)/2)/MAX(0.5,'Control Room'!$B$16/4))^2),1)</x:f>
        <x:v>1</x:v>
      </x:c>
      <x:c r="BE467" s="9" t="n">
        <x:f>MOD(BF466*16807,2147483647)</x:f>
        <x:v>1993786703</x:v>
      </x:c>
      <x:c r="BF467" s="9" t="n">
        <x:f>MOD(BE467*16807,2147483647)</x:f>
        <x:v>238289533</x:v>
      </x:c>
      <x:c r="BG467" s="17" t="n">
        <x:f>IF('Control Room'!$B$5="Normal",'Control Room'!$B$7+'Control Room'!$D$7*SQRT(-2*LN(MAX(0.000000000001,BE467/2147483647)))*COS(2*PI()*BF467/2147483647),'Control Room'!$B$8+('Control Room'!$D$8-'Control Room'!$B$8)*BE467/2147483647)</x:f>
        <x:v>1026.5908774788452</x:v>
      </x:c>
      <x:c r="BH467" s="17" t="n">
        <x:f>IF('Control Room'!$B$5="Normal",'Control Room'!$B$7,('Control Room'!$B$8+'Control Room'!$D$8)/2)+'Control Room'!$B$9*(BH466-IF('Control Room'!$B$5="Normal",'Control Room'!$B$7,('Control Room'!$B$8+'Control Room'!$D$8)/2))+SQRT(1-'Control Room'!$B$9^2)*(BG467-IF('Control Room'!$B$5="Normal",'Control Room'!$B$7,('Control Room'!$B$8+'Control Room'!$D$8)/2))</x:f>
        <x:v>973.7893928950084</x:v>
      </x:c>
      <x:c r="BI467" s="17" t="n">
        <x:f>IF(AND($A467&gt;='Control Room'!$A$13,$A467&lt;'Control Room'!$A$13+'Control Room'!$B$13,'Process'!BV2=1),1+('Control Room'!$C$13-1)*EXP(-0.5*(($A467-'Control Room'!$A$13-('Control Room'!$B$13-1)/2)/MAX(0.5,'Control Room'!$B$13/4))^2),1)*IF(AND($A467&gt;='Control Room'!$A$14,$A467&lt;'Control Room'!$A$14+'Control Room'!$B$14,'Process'!BV3=1),1+('Control Room'!$C$14-1)*EXP(-0.5*(($A467-'Control Room'!$A$14-('Control Room'!$B$14-1)/2)/MAX(0.5,'Control Room'!$B$14/4))^2),1)*IF(AND($A467&gt;='Control Room'!$A$15,$A467&lt;'Control Room'!$A$15+'Control Room'!$B$15,'Process'!BV4=1),1+('Control Room'!$C$15-1)*EXP(-0.5*(($A467-'Control Room'!$A$15-('Control Room'!$B$15-1)/2)/MAX(0.5,'Control Room'!$B$15/4))^2),1)*IF(AND($A467&gt;='Control Room'!$A$16,$A467&lt;'Control Room'!$A$16+'Control Room'!$B$16,'Process'!BV5=1),1+('Control Room'!$C$16-1)*EXP(-0.5*(($A467-'Control Room'!$A$16-('Control Room'!$B$16-1)/2)/MAX(0.5,'Control Room'!$B$16/4))^2),1)</x:f>
        <x:v>1</x:v>
      </x:c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Z467" t="str">
        <x:f>IF('Data'!A467="","",TEXT('Data'!A467,"mm-dd"))</x:f>
      </x:c>
    </x:row>
    <x:row r="468" ht="21" customHeight="1">
      <x:c r="A468" s="15" t="n">
        <x:f>'Control Room'!$B$1+466</x:f>
        <x:v>73457</x:v>
      </x:c>
      <x:c r="B468" s="9" t="n">
        <x:f>MOD(C467*16807,2147483647)</x:f>
        <x:v>301111934</x:v>
      </x:c>
      <x:c r="C468" s="9" t="n">
        <x:f>MOD(B468*16807,2147483647)</x:f>
        <x:v>1316802406</x:v>
      </x:c>
      <x:c r="D468" s="17" t="n">
        <x:f>IF('Control Room'!$B$5="Normal",'Control Room'!$B$7+'Control Room'!$D$7*SQRT(-2*LN(MAX(0.000000000001,B468/2147483647)))*COS(2*PI()*C468/2147483647),'Control Room'!$B$8+('Control Room'!$D$8-'Control Room'!$B$8)*B468/2147483647)</x:f>
        <x:v>864.8438125056739</x:v>
      </x:c>
      <x:c r="E468" s="17" t="n">
        <x:f>IF('Control Room'!$B$5="Normal",'Control Room'!$B$7,('Control Room'!$B$8+'Control Room'!$D$8)/2)+'Control Room'!$B$9*(E467-IF('Control Room'!$B$5="Normal",'Control Room'!$B$7,('Control Room'!$B$8+'Control Room'!$D$8)/2))+SQRT(1-'Control Room'!$B$9^2)*(D468-IF('Control Room'!$B$5="Normal",'Control Room'!$B$7,('Control Room'!$B$8+'Control Room'!$D$8)/2))</x:f>
        <x:v>870.8847884608605</x:v>
      </x:c>
      <x:c r="F468" s="17" t="n">
        <x:f>IF(AND($A468&gt;='Control Room'!$A$13,$A468&lt;'Control Room'!$A$13+'Control Room'!$B$13,'Process'!BK2=1),1+('Control Room'!$C$13-1)*EXP(-0.5*(($A468-'Control Room'!$A$13-('Control Room'!$B$13-1)/2)/MAX(0.5,'Control Room'!$B$13/4))^2),1)*IF(AND($A468&gt;='Control Room'!$A$14,$A468&lt;'Control Room'!$A$14+'Control Room'!$B$14,'Process'!BK3=1),1+('Control Room'!$C$14-1)*EXP(-0.5*(($A468-'Control Room'!$A$14-('Control Room'!$B$14-1)/2)/MAX(0.5,'Control Room'!$B$14/4))^2),1)*IF(AND($A468&gt;='Control Room'!$A$15,$A468&lt;'Control Room'!$A$15+'Control Room'!$B$15,'Process'!BK4=1),1+('Control Room'!$C$15-1)*EXP(-0.5*(($A468-'Control Room'!$A$15-('Control Room'!$B$15-1)/2)/MAX(0.5,'Control Room'!$B$15/4))^2),1)*IF(AND($A468&gt;='Control Room'!$A$16,$A468&lt;'Control Room'!$A$16+'Control Room'!$B$16,'Process'!BK5=1),1+('Control Room'!$C$16-1)*EXP(-0.5*(($A468-'Control Room'!$A$16-('Control Room'!$B$16-1)/2)/MAX(0.5,'Control Room'!$B$16/4))^2),1)</x:f>
        <x:v>1</x:v>
      </x:c>
      <x:c r="G468" s="9" t="n">
        <x:f>MOD(H467*16807,2147483647)</x:f>
        <x:v>1433745518</x:v>
      </x:c>
      <x:c r="H468" s="9" t="n">
        <x:f>MOD(G468*16807,2147483647)</x:f>
        <x:v>46918039</x:v>
      </x:c>
      <x:c r="I468" s="17" t="n">
        <x:f>IF('Control Room'!$B$5="Normal",'Control Room'!$B$7+'Control Room'!$D$7*SQRT(-2*LN(MAX(0.000000000001,G468/2147483647)))*COS(2*PI()*H468/2147483647),'Control Room'!$B$8+('Control Room'!$D$8-'Control Room'!$B$8)*G468/2147483647)</x:f>
        <x:v>1080.1395279608128</x:v>
      </x:c>
      <x:c r="J468" s="17" t="n">
        <x:f>IF('Control Room'!$B$5="Normal",'Control Room'!$B$7,('Control Room'!$B$8+'Control Room'!$D$8)/2)+'Control Room'!$B$9*(J467-IF('Control Room'!$B$5="Normal",'Control Room'!$B$7,('Control Room'!$B$8+'Control Room'!$D$8)/2))+SQRT(1-'Control Room'!$B$9^2)*(I468-IF('Control Room'!$B$5="Normal",'Control Room'!$B$7,('Control Room'!$B$8+'Control Room'!$D$8)/2))</x:f>
        <x:v>1017.8701772154423</x:v>
      </x:c>
      <x:c r="K468" s="17" t="n">
        <x:f>IF(AND($A468&gt;='Control Room'!$A$13,$A468&lt;'Control Room'!$A$13+'Control Room'!$B$13,'Process'!BL2=1),1+('Control Room'!$C$13-1)*EXP(-0.5*(($A468-'Control Room'!$A$13-('Control Room'!$B$13-1)/2)/MAX(0.5,'Control Room'!$B$13/4))^2),1)*IF(AND($A468&gt;='Control Room'!$A$14,$A468&lt;'Control Room'!$A$14+'Control Room'!$B$14,'Process'!BL3=1),1+('Control Room'!$C$14-1)*EXP(-0.5*(($A468-'Control Room'!$A$14-('Control Room'!$B$14-1)/2)/MAX(0.5,'Control Room'!$B$14/4))^2),1)*IF(AND($A468&gt;='Control Room'!$A$15,$A468&lt;'Control Room'!$A$15+'Control Room'!$B$15,'Process'!BL4=1),1+('Control Room'!$C$15-1)*EXP(-0.5*(($A468-'Control Room'!$A$15-('Control Room'!$B$15-1)/2)/MAX(0.5,'Control Room'!$B$15/4))^2),1)*IF(AND($A468&gt;='Control Room'!$A$16,$A468&lt;'Control Room'!$A$16+'Control Room'!$B$16,'Process'!BL5=1),1+('Control Room'!$C$16-1)*EXP(-0.5*(($A468-'Control Room'!$A$16-('Control Room'!$B$16-1)/2)/MAX(0.5,'Control Room'!$B$16/4))^2),1)</x:f>
        <x:v>1</x:v>
      </x:c>
      <x:c r="L468" s="9" t="n">
        <x:f>MOD(M467*16807,2147483647)</x:f>
        <x:v>418895455</x:v>
      </x:c>
      <x:c r="M468" s="9" t="n">
        <x:f>MOD(L468*16807,2147483647)</x:f>
        <x:v>924517319</x:v>
      </x:c>
      <x:c r="N468" s="17" t="n">
        <x:f>IF('Control Room'!$B$5="Normal",'Control Room'!$B$7+'Control Room'!$D$7*SQRT(-2*LN(MAX(0.000000000001,L468/2147483647)))*COS(2*PI()*M468/2147483647),'Control Room'!$B$8+('Control Room'!$D$8-'Control Room'!$B$8)*L468/2147483647)</x:f>
        <x:v>852.544514899239</x:v>
      </x:c>
      <x:c r="O468" s="17" t="n">
        <x:f>IF('Control Room'!$B$5="Normal",'Control Room'!$B$7,('Control Room'!$B$8+'Control Room'!$D$8)/2)+'Control Room'!$B$9*(O467-IF('Control Room'!$B$5="Normal",'Control Room'!$B$7,('Control Room'!$B$8+'Control Room'!$D$8)/2))+SQRT(1-'Control Room'!$B$9^2)*(N468-IF('Control Room'!$B$5="Normal",'Control Room'!$B$7,('Control Room'!$B$8+'Control Room'!$D$8)/2))</x:f>
        <x:v>779.07789809231</x:v>
      </x:c>
      <x:c r="P468" s="17" t="n">
        <x:f>IF(AND($A468&gt;='Control Room'!$A$13,$A468&lt;'Control Room'!$A$13+'Control Room'!$B$13,'Process'!BM2=1),1+('Control Room'!$C$13-1)*EXP(-0.5*(($A468-'Control Room'!$A$13-('Control Room'!$B$13-1)/2)/MAX(0.5,'Control Room'!$B$13/4))^2),1)*IF(AND($A468&gt;='Control Room'!$A$14,$A468&lt;'Control Room'!$A$14+'Control Room'!$B$14,'Process'!BM3=1),1+('Control Room'!$C$14-1)*EXP(-0.5*(($A468-'Control Room'!$A$14-('Control Room'!$B$14-1)/2)/MAX(0.5,'Control Room'!$B$14/4))^2),1)*IF(AND($A468&gt;='Control Room'!$A$15,$A468&lt;'Control Room'!$A$15+'Control Room'!$B$15,'Process'!BM4=1),1+('Control Room'!$C$15-1)*EXP(-0.5*(($A468-'Control Room'!$A$15-('Control Room'!$B$15-1)/2)/MAX(0.5,'Control Room'!$B$15/4))^2),1)*IF(AND($A468&gt;='Control Room'!$A$16,$A468&lt;'Control Room'!$A$16+'Control Room'!$B$16,'Process'!BM5=1),1+('Control Room'!$C$16-1)*EXP(-0.5*(($A468-'Control Room'!$A$16-('Control Room'!$B$16-1)/2)/MAX(0.5,'Control Room'!$B$16/4))^2),1)</x:f>
        <x:v>1</x:v>
      </x:c>
      <x:c r="Q468" s="9" t="n">
        <x:f>MOD(R467*16807,2147483647)</x:f>
        <x:v>1551529039</x:v>
      </x:c>
      <x:c r="R468" s="9" t="n">
        <x:f>MOD(Q468*16807,2147483647)</x:f>
        <x:v>1802116599</x:v>
      </x:c>
      <x:c r="S468" s="17" t="n">
        <x:f>IF('Control Room'!$B$5="Normal",'Control Room'!$B$7+'Control Room'!$D$7*SQRT(-2*LN(MAX(0.000000000001,Q468/2147483647)))*COS(2*PI()*R468/2147483647),'Control Room'!$B$8+('Control Room'!$D$8-'Control Room'!$B$8)*Q468/2147483647)</x:f>
        <x:v>1038.56534314265</x:v>
      </x:c>
      <x:c r="T468" s="17" t="n">
        <x:f>IF('Control Room'!$B$5="Normal",'Control Room'!$B$7,('Control Room'!$B$8+'Control Room'!$D$8)/2)+'Control Room'!$B$9*(T467-IF('Control Room'!$B$5="Normal",'Control Room'!$B$7,('Control Room'!$B$8+'Control Room'!$D$8)/2))+SQRT(1-'Control Room'!$B$9^2)*(S468-IF('Control Room'!$B$5="Normal",'Control Room'!$B$7,('Control Room'!$B$8+'Control Room'!$D$8)/2))</x:f>
        <x:v>1070.6714992906514</x:v>
      </x:c>
      <x:c r="U468" s="17" t="n">
        <x:f>IF(AND($A468&gt;='Control Room'!$A$13,$A468&lt;'Control Room'!$A$13+'Control Room'!$B$13,'Process'!BN2=1),1+('Control Room'!$C$13-1)*EXP(-0.5*(($A468-'Control Room'!$A$13-('Control Room'!$B$13-1)/2)/MAX(0.5,'Control Room'!$B$13/4))^2),1)*IF(AND($A468&gt;='Control Room'!$A$14,$A468&lt;'Control Room'!$A$14+'Control Room'!$B$14,'Process'!BN3=1),1+('Control Room'!$C$14-1)*EXP(-0.5*(($A468-'Control Room'!$A$14-('Control Room'!$B$14-1)/2)/MAX(0.5,'Control Room'!$B$14/4))^2),1)*IF(AND($A468&gt;='Control Room'!$A$15,$A468&lt;'Control Room'!$A$15+'Control Room'!$B$15,'Process'!BN4=1),1+('Control Room'!$C$15-1)*EXP(-0.5*(($A468-'Control Room'!$A$15-('Control Room'!$B$15-1)/2)/MAX(0.5,'Control Room'!$B$15/4))^2),1)*IF(AND($A468&gt;='Control Room'!$A$16,$A468&lt;'Control Room'!$A$16+'Control Room'!$B$16,'Process'!BN5=1),1+('Control Room'!$C$16-1)*EXP(-0.5*(($A468-'Control Room'!$A$16-('Control Room'!$B$16-1)/2)/MAX(0.5,'Control Room'!$B$16/4))^2),1)</x:f>
        <x:v>1</x:v>
      </x:c>
      <x:c r="V468" s="9" t="n">
        <x:f>MOD(W467*16807,2147483647)</x:f>
        <x:v>536678976</x:v>
      </x:c>
      <x:c r="W468" s="9" t="n">
        <x:f>MOD(V468*16807,2147483647)</x:f>
        <x:v>532232232</x:v>
      </x:c>
      <x:c r="X468" s="17" t="n">
        <x:f>IF('Control Room'!$B$5="Normal",'Control Room'!$B$7+'Control Room'!$D$7*SQRT(-2*LN(MAX(0.000000000001,V468/2147483647)))*COS(2*PI()*W468/2147483647),'Control Room'!$B$8+('Control Room'!$D$8-'Control Room'!$B$8)*V468/2147483647)</x:f>
        <x:v>1002.0340999932603</x:v>
      </x:c>
      <x:c r="Y468" s="17" t="n">
        <x:f>IF('Control Room'!$B$5="Normal",'Control Room'!$B$7,('Control Room'!$B$8+'Control Room'!$D$8)/2)+'Control Room'!$B$9*(Y467-IF('Control Room'!$B$5="Normal",'Control Room'!$B$7,('Control Room'!$B$8+'Control Room'!$D$8)/2))+SQRT(1-'Control Room'!$B$9^2)*(X468-IF('Control Room'!$B$5="Normal",'Control Room'!$B$7,('Control Room'!$B$8+'Control Room'!$D$8)/2))</x:f>
        <x:v>998.2378953161939</x:v>
      </x:c>
      <x:c r="Z468" s="17" t="n">
        <x:f>IF(AND($A468&gt;='Control Room'!$A$13,$A468&lt;'Control Room'!$A$13+'Control Room'!$B$13,'Process'!BO2=1),1+('Control Room'!$C$13-1)*EXP(-0.5*(($A468-'Control Room'!$A$13-('Control Room'!$B$13-1)/2)/MAX(0.5,'Control Room'!$B$13/4))^2),1)*IF(AND($A468&gt;='Control Room'!$A$14,$A468&lt;'Control Room'!$A$14+'Control Room'!$B$14,'Process'!BO3=1),1+('Control Room'!$C$14-1)*EXP(-0.5*(($A468-'Control Room'!$A$14-('Control Room'!$B$14-1)/2)/MAX(0.5,'Control Room'!$B$14/4))^2),1)*IF(AND($A468&gt;='Control Room'!$A$15,$A468&lt;'Control Room'!$A$15+'Control Room'!$B$15,'Process'!BO4=1),1+('Control Room'!$C$15-1)*EXP(-0.5*(($A468-'Control Room'!$A$15-('Control Room'!$B$15-1)/2)/MAX(0.5,'Control Room'!$B$15/4))^2),1)*IF(AND($A468&gt;='Control Room'!$A$16,$A468&lt;'Control Room'!$A$16+'Control Room'!$B$16,'Process'!BO5=1),1+('Control Room'!$C$16-1)*EXP(-0.5*(($A468-'Control Room'!$A$16-('Control Room'!$B$16-1)/2)/MAX(0.5,'Control Room'!$B$16/4))^2),1)</x:f>
        <x:v>1</x:v>
      </x:c>
      <x:c r="AA468" s="9" t="n">
        <x:f>MOD(AB467*16807,2147483647)</x:f>
        <x:v>1669312560</x:v>
      </x:c>
      <x:c r="AB468" s="9" t="n">
        <x:f>MOD(AA468*16807,2147483647)</x:f>
        <x:v>1409831512</x:v>
      </x:c>
      <x:c r="AC468" s="17" t="n">
        <x:f>IF('Control Room'!$B$5="Normal",'Control Room'!$B$7+'Control Room'!$D$7*SQRT(-2*LN(MAX(0.000000000001,AA468/2147483647)))*COS(2*PI()*AB468/2147483647),'Control Room'!$B$8+('Control Room'!$D$8-'Control Room'!$B$8)*AA468/2147483647)</x:f>
        <x:v>964.5954901680828</x:v>
      </x:c>
      <x:c r="AD468" s="17" t="n">
        <x:f>IF('Control Room'!$B$5="Normal",'Control Room'!$B$7,('Control Room'!$B$8+'Control Room'!$D$8)/2)+'Control Room'!$B$9*(AD467-IF('Control Room'!$B$5="Normal",'Control Room'!$B$7,('Control Room'!$B$8+'Control Room'!$D$8)/2))+SQRT(1-'Control Room'!$B$9^2)*(AC468-IF('Control Room'!$B$5="Normal",'Control Room'!$B$7,('Control Room'!$B$8+'Control Room'!$D$8)/2))</x:f>
        <x:v>1050.2775215753952</x:v>
      </x:c>
      <x:c r="AE468" s="17" t="n">
        <x:f>IF(AND($A468&gt;='Control Room'!$A$13,$A468&lt;'Control Room'!$A$13+'Control Room'!$B$13,'Process'!BP2=1),1+('Control Room'!$C$13-1)*EXP(-0.5*(($A468-'Control Room'!$A$13-('Control Room'!$B$13-1)/2)/MAX(0.5,'Control Room'!$B$13/4))^2),1)*IF(AND($A468&gt;='Control Room'!$A$14,$A468&lt;'Control Room'!$A$14+'Control Room'!$B$14,'Process'!BP3=1),1+('Control Room'!$C$14-1)*EXP(-0.5*(($A468-'Control Room'!$A$14-('Control Room'!$B$14-1)/2)/MAX(0.5,'Control Room'!$B$14/4))^2),1)*IF(AND($A468&gt;='Control Room'!$A$15,$A468&lt;'Control Room'!$A$15+'Control Room'!$B$15,'Process'!BP4=1),1+('Control Room'!$C$15-1)*EXP(-0.5*(($A468-'Control Room'!$A$15-('Control Room'!$B$15-1)/2)/MAX(0.5,'Control Room'!$B$15/4))^2),1)*IF(AND($A468&gt;='Control Room'!$A$16,$A468&lt;'Control Room'!$A$16+'Control Room'!$B$16,'Process'!BP5=1),1+('Control Room'!$C$16-1)*EXP(-0.5*(($A468-'Control Room'!$A$16-('Control Room'!$B$16-1)/2)/MAX(0.5,'Control Room'!$B$16/4))^2),1)</x:f>
        <x:v>1</x:v>
      </x:c>
      <x:c r="AF468" s="9" t="n">
        <x:f>MOD(AG467*16807,2147483647)</x:f>
        <x:v>654462497</x:v>
      </x:c>
      <x:c r="AG468" s="9" t="n">
        <x:f>MOD(AF468*16807,2147483647)</x:f>
        <x:v>139947145</x:v>
      </x:c>
      <x:c r="AH468" s="17" t="n">
        <x:f>IF('Control Room'!$B$5="Normal",'Control Room'!$B$7+'Control Room'!$D$7*SQRT(-2*LN(MAX(0.000000000001,AF468/2147483647)))*COS(2*PI()*AG468/2147483647),'Control Room'!$B$8+('Control Room'!$D$8-'Control Room'!$B$8)*AF468/2147483647)</x:f>
        <x:v>1127.2732497949019</x:v>
      </x:c>
      <x:c r="AI468" s="17" t="n">
        <x:f>IF('Control Room'!$B$5="Normal",'Control Room'!$B$7,('Control Room'!$B$8+'Control Room'!$D$8)/2)+'Control Room'!$B$9*(AI467-IF('Control Room'!$B$5="Normal",'Control Room'!$B$7,('Control Room'!$B$8+'Control Room'!$D$8)/2))+SQRT(1-'Control Room'!$B$9^2)*(AH468-IF('Control Room'!$B$5="Normal",'Control Room'!$B$7,('Control Room'!$B$8+'Control Room'!$D$8)/2))</x:f>
        <x:v>1081.6893557597414</x:v>
      </x:c>
      <x:c r="AJ468" s="17" t="n">
        <x:f>IF(AND($A468&gt;='Control Room'!$A$13,$A468&lt;'Control Room'!$A$13+'Control Room'!$B$13,'Process'!BQ2=1),1+('Control Room'!$C$13-1)*EXP(-0.5*(($A468-'Control Room'!$A$13-('Control Room'!$B$13-1)/2)/MAX(0.5,'Control Room'!$B$13/4))^2),1)*IF(AND($A468&gt;='Control Room'!$A$14,$A468&lt;'Control Room'!$A$14+'Control Room'!$B$14,'Process'!BQ3=1),1+('Control Room'!$C$14-1)*EXP(-0.5*(($A468-'Control Room'!$A$14-('Control Room'!$B$14-1)/2)/MAX(0.5,'Control Room'!$B$14/4))^2),1)*IF(AND($A468&gt;='Control Room'!$A$15,$A468&lt;'Control Room'!$A$15+'Control Room'!$B$15,'Process'!BQ4=1),1+('Control Room'!$C$15-1)*EXP(-0.5*(($A468-'Control Room'!$A$15-('Control Room'!$B$15-1)/2)/MAX(0.5,'Control Room'!$B$15/4))^2),1)*IF(AND($A468&gt;='Control Room'!$A$16,$A468&lt;'Control Room'!$A$16+'Control Room'!$B$16,'Process'!BQ5=1),1+('Control Room'!$C$16-1)*EXP(-0.5*(($A468-'Control Room'!$A$16-('Control Room'!$B$16-1)/2)/MAX(0.5,'Control Room'!$B$16/4))^2),1)</x:f>
        <x:v>1</x:v>
      </x:c>
      <x:c r="AK468" s="9" t="n">
        <x:f>MOD(AL467*16807,2147483647)</x:f>
        <x:v>1787096081</x:v>
      </x:c>
      <x:c r="AL468" s="9" t="n">
        <x:f>MOD(AK468*16807,2147483647)</x:f>
        <x:v>1017546425</x:v>
      </x:c>
      <x:c r="AM468" s="17" t="n">
        <x:f>IF('Control Room'!$B$5="Normal",'Control Room'!$B$7+'Control Room'!$D$7*SQRT(-2*LN(MAX(0.000000000001,AK468/2147483647)))*COS(2*PI()*AL468/2147483647),'Control Room'!$B$8+('Control Room'!$D$8-'Control Room'!$B$8)*AK468/2147483647)</x:f>
        <x:v>946.1828333254296</x:v>
      </x:c>
      <x:c r="AN468" s="17" t="n">
        <x:f>IF('Control Room'!$B$5="Normal",'Control Room'!$B$7,('Control Room'!$B$8+'Control Room'!$D$8)/2)+'Control Room'!$B$9*(AN467-IF('Control Room'!$B$5="Normal",'Control Room'!$B$7,('Control Room'!$B$8+'Control Room'!$D$8)/2))+SQRT(1-'Control Room'!$B$9^2)*(AM468-IF('Control Room'!$B$5="Normal",'Control Room'!$B$7,('Control Room'!$B$8+'Control Room'!$D$8)/2))</x:f>
        <x:v>1123.7391977434406</x:v>
      </x:c>
      <x:c r="AO468" s="17" t="n">
        <x:f>IF(AND($A468&gt;='Control Room'!$A$13,$A468&lt;'Control Room'!$A$13+'Control Room'!$B$13,'Process'!BR2=1),1+('Control Room'!$C$13-1)*EXP(-0.5*(($A468-'Control Room'!$A$13-('Control Room'!$B$13-1)/2)/MAX(0.5,'Control Room'!$B$13/4))^2),1)*IF(AND($A468&gt;='Control Room'!$A$14,$A468&lt;'Control Room'!$A$14+'Control Room'!$B$14,'Process'!BR3=1),1+('Control Room'!$C$14-1)*EXP(-0.5*(($A468-'Control Room'!$A$14-('Control Room'!$B$14-1)/2)/MAX(0.5,'Control Room'!$B$14/4))^2),1)*IF(AND($A468&gt;='Control Room'!$A$15,$A468&lt;'Control Room'!$A$15+'Control Room'!$B$15,'Process'!BR4=1),1+('Control Room'!$C$15-1)*EXP(-0.5*(($A468-'Control Room'!$A$15-('Control Room'!$B$15-1)/2)/MAX(0.5,'Control Room'!$B$15/4))^2),1)*IF(AND($A468&gt;='Control Room'!$A$16,$A468&lt;'Control Room'!$A$16+'Control Room'!$B$16,'Process'!BR5=1),1+('Control Room'!$C$16-1)*EXP(-0.5*(($A468-'Control Room'!$A$16-('Control Room'!$B$16-1)/2)/MAX(0.5,'Control Room'!$B$16/4))^2),1)</x:f>
        <x:v>1</x:v>
      </x:c>
      <x:c r="AP468" s="9" t="n">
        <x:f>MOD(AQ467*16807,2147483647)</x:f>
        <x:v>772246018</x:v>
      </x:c>
      <x:c r="AQ468" s="9" t="n">
        <x:f>MOD(AP468*16807,2147483647)</x:f>
        <x:v>1895145705</x:v>
      </x:c>
      <x:c r="AR468" s="17" t="n">
        <x:f>IF('Control Room'!$B$5="Normal",'Control Room'!$B$7+'Control Room'!$D$7*SQRT(-2*LN(MAX(0.000000000001,AP468/2147483647)))*COS(2*PI()*AQ468/2147483647),'Control Room'!$B$8+('Control Room'!$D$8-'Control Room'!$B$8)*AP468/2147483647)</x:f>
        <x:v>1095.2022498347749</x:v>
      </x:c>
      <x:c r="AS468" s="17" t="n">
        <x:f>IF('Control Room'!$B$5="Normal",'Control Room'!$B$7,('Control Room'!$B$8+'Control Room'!$D$8)/2)+'Control Room'!$B$9*(AS467-IF('Control Room'!$B$5="Normal",'Control Room'!$B$7,('Control Room'!$B$8+'Control Room'!$D$8)/2))+SQRT(1-'Control Room'!$B$9^2)*(AR468-IF('Control Room'!$B$5="Normal",'Control Room'!$B$7,('Control Room'!$B$8+'Control Room'!$D$8)/2))</x:f>
        <x:v>1064.8100959244662</x:v>
      </x:c>
      <x:c r="AT468" s="17" t="n">
        <x:f>IF(AND($A468&gt;='Control Room'!$A$13,$A468&lt;'Control Room'!$A$13+'Control Room'!$B$13,'Process'!BS2=1),1+('Control Room'!$C$13-1)*EXP(-0.5*(($A468-'Control Room'!$A$13-('Control Room'!$B$13-1)/2)/MAX(0.5,'Control Room'!$B$13/4))^2),1)*IF(AND($A468&gt;='Control Room'!$A$14,$A468&lt;'Control Room'!$A$14+'Control Room'!$B$14,'Process'!BS3=1),1+('Control Room'!$C$14-1)*EXP(-0.5*(($A468-'Control Room'!$A$14-('Control Room'!$B$14-1)/2)/MAX(0.5,'Control Room'!$B$14/4))^2),1)*IF(AND($A468&gt;='Control Room'!$A$15,$A468&lt;'Control Room'!$A$15+'Control Room'!$B$15,'Process'!BS4=1),1+('Control Room'!$C$15-1)*EXP(-0.5*(($A468-'Control Room'!$A$15-('Control Room'!$B$15-1)/2)/MAX(0.5,'Control Room'!$B$15/4))^2),1)*IF(AND($A468&gt;='Control Room'!$A$16,$A468&lt;'Control Room'!$A$16+'Control Room'!$B$16,'Process'!BS5=1),1+('Control Room'!$C$16-1)*EXP(-0.5*(($A468-'Control Room'!$A$16-('Control Room'!$B$16-1)/2)/MAX(0.5,'Control Room'!$B$16/4))^2),1)</x:f>
        <x:v>1</x:v>
      </x:c>
      <x:c r="AU468" s="9" t="n">
        <x:f>MOD(AV467*16807,2147483647)</x:f>
        <x:v>1904879602</x:v>
      </x:c>
      <x:c r="AV468" s="9" t="n">
        <x:f>MOD(AU468*16807,2147483647)</x:f>
        <x:v>625261338</x:v>
      </x:c>
      <x:c r="AW468" s="17" t="n">
        <x:f>IF('Control Room'!$B$5="Normal",'Control Room'!$B$7+'Control Room'!$D$7*SQRT(-2*LN(MAX(0.000000000001,AU468/2147483647)))*COS(2*PI()*AV468/2147483647),'Control Room'!$B$8+('Control Room'!$D$8-'Control Room'!$B$8)*AU468/2147483647)</x:f>
        <x:v>988.7298299915318</x:v>
      </x:c>
      <x:c r="AX468" s="17" t="n">
        <x:f>IF('Control Room'!$B$5="Normal",'Control Room'!$B$7,('Control Room'!$B$8+'Control Room'!$D$8)/2)+'Control Room'!$B$9*(AX467-IF('Control Room'!$B$5="Normal",'Control Room'!$B$7,('Control Room'!$B$8+'Control Room'!$D$8)/2))+SQRT(1-'Control Room'!$B$9^2)*(AW468-IF('Control Room'!$B$5="Normal",'Control Room'!$B$7,('Control Room'!$B$8+'Control Room'!$D$8)/2))</x:f>
        <x:v>1019.4078059694828</x:v>
      </x:c>
      <x:c r="AY468" s="17" t="n">
        <x:f>IF(AND($A468&gt;='Control Room'!$A$13,$A468&lt;'Control Room'!$A$13+'Control Room'!$B$13,'Process'!BT2=1),1+('Control Room'!$C$13-1)*EXP(-0.5*(($A468-'Control Room'!$A$13-('Control Room'!$B$13-1)/2)/MAX(0.5,'Control Room'!$B$13/4))^2),1)*IF(AND($A468&gt;='Control Room'!$A$14,$A468&lt;'Control Room'!$A$14+'Control Room'!$B$14,'Process'!BT3=1),1+('Control Room'!$C$14-1)*EXP(-0.5*(($A468-'Control Room'!$A$14-('Control Room'!$B$14-1)/2)/MAX(0.5,'Control Room'!$B$14/4))^2),1)*IF(AND($A468&gt;='Control Room'!$A$15,$A468&lt;'Control Room'!$A$15+'Control Room'!$B$15,'Process'!BT4=1),1+('Control Room'!$C$15-1)*EXP(-0.5*(($A468-'Control Room'!$A$15-('Control Room'!$B$15-1)/2)/MAX(0.5,'Control Room'!$B$15/4))^2),1)*IF(AND($A468&gt;='Control Room'!$A$16,$A468&lt;'Control Room'!$A$16+'Control Room'!$B$16,'Process'!BT5=1),1+('Control Room'!$C$16-1)*EXP(-0.5*(($A468-'Control Room'!$A$16-('Control Room'!$B$16-1)/2)/MAX(0.5,'Control Room'!$B$16/4))^2),1)</x:f>
        <x:v>1</x:v>
      </x:c>
      <x:c r="AZ468" s="9" t="n">
        <x:f>MOD(BA467*16807,2147483647)</x:f>
        <x:v>890029539</x:v>
      </x:c>
      <x:c r="BA468" s="9" t="n">
        <x:f>MOD(AZ468*16807,2147483647)</x:f>
        <x:v>1502860618</x:v>
      </x:c>
      <x:c r="BB468" s="17" t="n">
        <x:f>IF('Control Room'!$B$5="Normal",'Control Room'!$B$7+'Control Room'!$D$7*SQRT(-2*LN(MAX(0.000000000001,AZ468/2147483647)))*COS(2*PI()*BA468/2147483647),'Control Room'!$B$8+('Control Room'!$D$8-'Control Room'!$B$8)*AZ468/2147483647)</x:f>
        <x:v>962.9615239970323</x:v>
      </x:c>
      <x:c r="BC468" s="17" t="n">
        <x:f>IF('Control Room'!$B$5="Normal",'Control Room'!$B$7,('Control Room'!$B$8+'Control Room'!$D$8)/2)+'Control Room'!$B$9*(BC467-IF('Control Room'!$B$5="Normal",'Control Room'!$B$7,('Control Room'!$B$8+'Control Room'!$D$8)/2))+SQRT(1-'Control Room'!$B$9^2)*(BB468-IF('Control Room'!$B$5="Normal",'Control Room'!$B$7,('Control Room'!$B$8+'Control Room'!$D$8)/2))</x:f>
        <x:v>974.336677505769</x:v>
      </x:c>
      <x:c r="BD468" s="17" t="n">
        <x:f>IF(AND($A468&gt;='Control Room'!$A$13,$A468&lt;'Control Room'!$A$13+'Control Room'!$B$13,'Process'!BU2=1),1+('Control Room'!$C$13-1)*EXP(-0.5*(($A468-'Control Room'!$A$13-('Control Room'!$B$13-1)/2)/MAX(0.5,'Control Room'!$B$13/4))^2),1)*IF(AND($A468&gt;='Control Room'!$A$14,$A468&lt;'Control Room'!$A$14+'Control Room'!$B$14,'Process'!BU3=1),1+('Control Room'!$C$14-1)*EXP(-0.5*(($A468-'Control Room'!$A$14-('Control Room'!$B$14-1)/2)/MAX(0.5,'Control Room'!$B$14/4))^2),1)*IF(AND($A468&gt;='Control Room'!$A$15,$A468&lt;'Control Room'!$A$15+'Control Room'!$B$15,'Process'!BU4=1),1+('Control Room'!$C$15-1)*EXP(-0.5*(($A468-'Control Room'!$A$15-('Control Room'!$B$15-1)/2)/MAX(0.5,'Control Room'!$B$15/4))^2),1)*IF(AND($A468&gt;='Control Room'!$A$16,$A468&lt;'Control Room'!$A$16+'Control Room'!$B$16,'Process'!BU5=1),1+('Control Room'!$C$16-1)*EXP(-0.5*(($A468-'Control Room'!$A$16-('Control Room'!$B$16-1)/2)/MAX(0.5,'Control Room'!$B$16/4))^2),1)</x:f>
        <x:v>1</x:v>
      </x:c>
      <x:c r="BE468" s="9" t="n">
        <x:f>MOD(BF467*16807,2147483647)</x:f>
        <x:v>2022663123</x:v>
      </x:c>
      <x:c r="BF468" s="9" t="n">
        <x:f>MOD(BE468*16807,2147483647)</x:f>
        <x:v>232976251</x:v>
      </x:c>
      <x:c r="BG468" s="17" t="n">
        <x:f>IF('Control Room'!$B$5="Normal",'Control Room'!$B$7+'Control Room'!$D$7*SQRT(-2*LN(MAX(0.000000000001,BE468/2147483647)))*COS(2*PI()*BF468/2147483647),'Control Room'!$B$8+('Control Room'!$D$8-'Control Room'!$B$8)*BE468/2147483647)</x:f>
        <x:v>1024.1860613924382</x:v>
      </x:c>
      <x:c r="BH468" s="17" t="n">
        <x:f>IF('Control Room'!$B$5="Normal",'Control Room'!$B$7,('Control Room'!$B$8+'Control Room'!$D$8)/2)+'Control Room'!$B$9*(BH467-IF('Control Room'!$B$5="Normal",'Control Room'!$B$7,('Control Room'!$B$8+'Control Room'!$D$8)/2))+SQRT(1-'Control Room'!$B$9^2)*(BG468-IF('Control Room'!$B$5="Normal",'Control Room'!$B$7,('Control Room'!$B$8+'Control Room'!$D$8)/2))</x:f>
        <x:v>994.690868199095</x:v>
      </x:c>
      <x:c r="BI468" s="17" t="n">
        <x:f>IF(AND($A468&gt;='Control Room'!$A$13,$A468&lt;'Control Room'!$A$13+'Control Room'!$B$13,'Process'!BV2=1),1+('Control Room'!$C$13-1)*EXP(-0.5*(($A468-'Control Room'!$A$13-('Control Room'!$B$13-1)/2)/MAX(0.5,'Control Room'!$B$13/4))^2),1)*IF(AND($A468&gt;='Control Room'!$A$14,$A468&lt;'Control Room'!$A$14+'Control Room'!$B$14,'Process'!BV3=1),1+('Control Room'!$C$14-1)*EXP(-0.5*(($A468-'Control Room'!$A$14-('Control Room'!$B$14-1)/2)/MAX(0.5,'Control Room'!$B$14/4))^2),1)*IF(AND($A468&gt;='Control Room'!$A$15,$A468&lt;'Control Room'!$A$15+'Control Room'!$B$15,'Process'!BV4=1),1+('Control Room'!$C$15-1)*EXP(-0.5*(($A468-'Control Room'!$A$15-('Control Room'!$B$15-1)/2)/MAX(0.5,'Control Room'!$B$15/4))^2),1)*IF(AND($A468&gt;='Control Room'!$A$16,$A468&lt;'Control Room'!$A$16+'Control Room'!$B$16,'Process'!BV5=1),1+('Control Room'!$C$16-1)*EXP(-0.5*(($A468-'Control Room'!$A$16-('Control Room'!$B$16-1)/2)/MAX(0.5,'Control Room'!$B$16/4))^2),1)</x:f>
        <x:v>1</x:v>
      </x:c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Z468" t="str">
        <x:f>IF('Data'!A468="","",TEXT('Data'!A468,"mm-dd"))</x:f>
      </x:c>
    </x:row>
    <x:row r="469" ht="21" customHeight="1">
      <x:c r="A469" s="15" t="n">
        <x:f>'Control Room'!$B$1+467</x:f>
        <x:v>73458</x:v>
      </x:c>
      <x:c r="B469" s="9" t="n">
        <x:f>MOD(C468*16807,2147483647)</x:f>
        <x:v>1679055307</x:v>
      </x:c>
      <x:c r="C469" s="9" t="n">
        <x:f>MOD(B469*16807,2147483647)</x:f>
        <x:v>1947423169</x:v>
      </x:c>
      <x:c r="D469" s="17" t="n">
        <x:f>IF('Control Room'!$B$5="Normal",'Control Room'!$B$7+'Control Room'!$D$7*SQRT(-2*LN(MAX(0.000000000001,B469/2147483647)))*COS(2*PI()*C469/2147483647),'Control Room'!$B$8+('Control Room'!$D$8-'Control Room'!$B$8)*B469/2147483647)</x:f>
        <x:v>1052.6259412196023</x:v>
      </x:c>
      <x:c r="E469" s="17" t="n">
        <x:f>IF('Control Room'!$B$5="Normal",'Control Room'!$B$7,('Control Room'!$B$8+'Control Room'!$D$8)/2)+'Control Room'!$B$9*(E468-IF('Control Room'!$B$5="Normal",'Control Room'!$B$7,('Control Room'!$B$8+'Control Room'!$D$8)/2))+SQRT(1-'Control Room'!$B$9^2)*(D469-IF('Control Room'!$B$5="Normal",'Control Room'!$B$7,('Control Room'!$B$8+'Control Room'!$D$8)/2))</x:f>
        <x:v>932.2223709136924</x:v>
      </x:c>
      <x:c r="F469" s="17" t="n">
        <x:f>IF(AND($A469&gt;='Control Room'!$A$13,$A469&lt;'Control Room'!$A$13+'Control Room'!$B$13,'Process'!BK2=1),1+('Control Room'!$C$13-1)*EXP(-0.5*(($A469-'Control Room'!$A$13-('Control Room'!$B$13-1)/2)/MAX(0.5,'Control Room'!$B$13/4))^2),1)*IF(AND($A469&gt;='Control Room'!$A$14,$A469&lt;'Control Room'!$A$14+'Control Room'!$B$14,'Process'!BK3=1),1+('Control Room'!$C$14-1)*EXP(-0.5*(($A469-'Control Room'!$A$14-('Control Room'!$B$14-1)/2)/MAX(0.5,'Control Room'!$B$14/4))^2),1)*IF(AND($A469&gt;='Control Room'!$A$15,$A469&lt;'Control Room'!$A$15+'Control Room'!$B$15,'Process'!BK4=1),1+('Control Room'!$C$15-1)*EXP(-0.5*(($A469-'Control Room'!$A$15-('Control Room'!$B$15-1)/2)/MAX(0.5,'Control Room'!$B$15/4))^2),1)*IF(AND($A469&gt;='Control Room'!$A$16,$A469&lt;'Control Room'!$A$16+'Control Room'!$B$16,'Process'!BK5=1),1+('Control Room'!$C$16-1)*EXP(-0.5*(($A469-'Control Room'!$A$16-('Control Room'!$B$16-1)/2)/MAX(0.5,'Control Room'!$B$16/4))^2),1)</x:f>
        <x:v>1</x:v>
      </x:c>
      <x:c r="G469" s="9" t="n">
        <x:f>MOD(H468*16807,2147483647)</x:f>
        <x:v>424983024</x:v>
      </x:c>
      <x:c r="H469" s="9" t="n">
        <x:f>MOD(G469*16807,2147483647)</x:f>
        <x:v>159074446</x:v>
      </x:c>
      <x:c r="I469" s="17" t="n">
        <x:f>IF('Control Room'!$B$5="Normal",'Control Room'!$B$7+'Control Room'!$D$7*SQRT(-2*LN(MAX(0.000000000001,G469/2147483647)))*COS(2*PI()*H469/2147483647),'Control Room'!$B$8+('Control Room'!$D$8-'Control Room'!$B$8)*G469/2147483647)</x:f>
        <x:v>1144.7682766817063</x:v>
      </x:c>
      <x:c r="J469" s="17" t="n">
        <x:f>IF('Control Room'!$B$5="Normal",'Control Room'!$B$7,('Control Room'!$B$8+'Control Room'!$D$8)/2)+'Control Room'!$B$9*(J468-IF('Control Room'!$B$5="Normal",'Control Room'!$B$7,('Control Room'!$B$8+'Control Room'!$D$8)/2))+SQRT(1-'Control Room'!$B$9^2)*(I469-IF('Control Room'!$B$5="Normal",'Control Room'!$B$7,('Control Room'!$B$8+'Control Room'!$D$8)/2))</x:f>
        <x:v>1104.5317600361066</x:v>
      </x:c>
      <x:c r="K469" s="17" t="n">
        <x:f>IF(AND($A469&gt;='Control Room'!$A$13,$A469&lt;'Control Room'!$A$13+'Control Room'!$B$13,'Process'!BL2=1),1+('Control Room'!$C$13-1)*EXP(-0.5*(($A469-'Control Room'!$A$13-('Control Room'!$B$13-1)/2)/MAX(0.5,'Control Room'!$B$13/4))^2),1)*IF(AND($A469&gt;='Control Room'!$A$14,$A469&lt;'Control Room'!$A$14+'Control Room'!$B$14,'Process'!BL3=1),1+('Control Room'!$C$14-1)*EXP(-0.5*(($A469-'Control Room'!$A$14-('Control Room'!$B$14-1)/2)/MAX(0.5,'Control Room'!$B$14/4))^2),1)*IF(AND($A469&gt;='Control Room'!$A$15,$A469&lt;'Control Room'!$A$15+'Control Room'!$B$15,'Process'!BL4=1),1+('Control Room'!$C$15-1)*EXP(-0.5*(($A469-'Control Room'!$A$15-('Control Room'!$B$15-1)/2)/MAX(0.5,'Control Room'!$B$15/4))^2),1)*IF(AND($A469&gt;='Control Room'!$A$16,$A469&lt;'Control Room'!$A$16+'Control Room'!$B$16,'Process'!BL5=1),1+('Control Room'!$C$16-1)*EXP(-0.5*(($A469-'Control Room'!$A$16-('Control Room'!$B$16-1)/2)/MAX(0.5,'Control Room'!$B$16/4))^2),1)</x:f>
        <x:v>1</x:v>
      </x:c>
      <x:c r="L469" s="9" t="n">
        <x:f>MOD(M468*16807,2147483647)</x:f>
        <x:v>1318394388</x:v>
      </x:c>
      <x:c r="M469" s="9" t="n">
        <x:f>MOD(L469*16807,2147483647)</x:f>
        <x:v>518209370</x:v>
      </x:c>
      <x:c r="N469" s="17" t="n">
        <x:f>IF('Control Room'!$B$5="Normal",'Control Room'!$B$7+'Control Room'!$D$7*SQRT(-2*LN(MAX(0.000000000001,L469/2147483647)))*COS(2*PI()*M469/2147483647),'Control Room'!$B$8+('Control Room'!$D$8-'Control Room'!$B$8)*L469/2147483647)</x:f>
        <x:v>1004.8517306183375</x:v>
      </x:c>
      <x:c r="O469" s="17" t="n">
        <x:f>IF('Control Room'!$B$5="Normal",'Control Room'!$B$7,('Control Room'!$B$8+'Control Room'!$D$8)/2)+'Control Room'!$B$9*(O468-IF('Control Room'!$B$5="Normal",'Control Room'!$B$7,('Control Room'!$B$8+'Control Room'!$D$8)/2))+SQRT(1-'Control Room'!$B$9^2)*(N469-IF('Control Room'!$B$5="Normal",'Control Room'!$B$7,('Control Room'!$B$8+'Control Room'!$D$8)/2))</x:f>
        <x:v>830.7168741398532</x:v>
      </x:c>
      <x:c r="P469" s="17" t="n">
        <x:f>IF(AND($A469&gt;='Control Room'!$A$13,$A469&lt;'Control Room'!$A$13+'Control Room'!$B$13,'Process'!BM2=1),1+('Control Room'!$C$13-1)*EXP(-0.5*(($A469-'Control Room'!$A$13-('Control Room'!$B$13-1)/2)/MAX(0.5,'Control Room'!$B$13/4))^2),1)*IF(AND($A469&gt;='Control Room'!$A$14,$A469&lt;'Control Room'!$A$14+'Control Room'!$B$14,'Process'!BM3=1),1+('Control Room'!$C$14-1)*EXP(-0.5*(($A469-'Control Room'!$A$14-('Control Room'!$B$14-1)/2)/MAX(0.5,'Control Room'!$B$14/4))^2),1)*IF(AND($A469&gt;='Control Room'!$A$15,$A469&lt;'Control Room'!$A$15+'Control Room'!$B$15,'Process'!BM4=1),1+('Control Room'!$C$15-1)*EXP(-0.5*(($A469-'Control Room'!$A$15-('Control Room'!$B$15-1)/2)/MAX(0.5,'Control Room'!$B$15/4))^2),1)*IF(AND($A469&gt;='Control Room'!$A$16,$A469&lt;'Control Room'!$A$16+'Control Room'!$B$16,'Process'!BM5=1),1+('Control Room'!$C$16-1)*EXP(-0.5*(($A469-'Control Room'!$A$16-('Control Room'!$B$16-1)/2)/MAX(0.5,'Control Room'!$B$16/4))^2),1)</x:f>
        <x:v>1</x:v>
      </x:c>
      <x:c r="Q469" s="9" t="n">
        <x:f>MOD(R468*16807,2147483647)</x:f>
        <x:v>64322105</x:v>
      </x:c>
      <x:c r="R469" s="9" t="n">
        <x:f>MOD(Q469*16807,2147483647)</x:f>
        <x:v>877344294</x:v>
      </x:c>
      <x:c r="S469" s="17" t="n">
        <x:f>IF('Control Room'!$B$5="Normal",'Control Room'!$B$7+'Control Room'!$D$7*SQRT(-2*LN(MAX(0.000000000001,Q469/2147483647)))*COS(2*PI()*R469/2147483647),'Control Room'!$B$8+('Control Room'!$D$8-'Control Room'!$B$8)*Q469/2147483647)</x:f>
        <x:v>799.8927001371742</x:v>
      </x:c>
      <x:c r="T469" s="17" t="n">
        <x:f>IF('Control Room'!$B$5="Normal",'Control Room'!$B$7,('Control Room'!$B$8+'Control Room'!$D$8)/2)+'Control Room'!$B$9*(T468-IF('Control Room'!$B$5="Normal",'Control Room'!$B$7,('Control Room'!$B$8+'Control Room'!$D$8)/2))+SQRT(1-'Control Room'!$B$9^2)*(S469-IF('Control Room'!$B$5="Normal",'Control Room'!$B$7,('Control Room'!$B$8+'Control Room'!$D$8)/2))</x:f>
        <x:v>929.9007206134128</x:v>
      </x:c>
      <x:c r="U469" s="17" t="n">
        <x:f>IF(AND($A469&gt;='Control Room'!$A$13,$A469&lt;'Control Room'!$A$13+'Control Room'!$B$13,'Process'!BN2=1),1+('Control Room'!$C$13-1)*EXP(-0.5*(($A469-'Control Room'!$A$13-('Control Room'!$B$13-1)/2)/MAX(0.5,'Control Room'!$B$13/4))^2),1)*IF(AND($A469&gt;='Control Room'!$A$14,$A469&lt;'Control Room'!$A$14+'Control Room'!$B$14,'Process'!BN3=1),1+('Control Room'!$C$14-1)*EXP(-0.5*(($A469-'Control Room'!$A$14-('Control Room'!$B$14-1)/2)/MAX(0.5,'Control Room'!$B$14/4))^2),1)*IF(AND($A469&gt;='Control Room'!$A$15,$A469&lt;'Control Room'!$A$15+'Control Room'!$B$15,'Process'!BN4=1),1+('Control Room'!$C$15-1)*EXP(-0.5*(($A469-'Control Room'!$A$15-('Control Room'!$B$15-1)/2)/MAX(0.5,'Control Room'!$B$15/4))^2),1)*IF(AND($A469&gt;='Control Room'!$A$16,$A469&lt;'Control Room'!$A$16+'Control Room'!$B$16,'Process'!BN5=1),1+('Control Room'!$C$16-1)*EXP(-0.5*(($A469-'Control Room'!$A$16-('Control Room'!$B$16-1)/2)/MAX(0.5,'Control Room'!$B$16/4))^2),1)</x:f>
        <x:v>1</x:v>
      </x:c>
      <x:c r="V469" s="9" t="n">
        <x:f>MOD(W468*16807,2147483647)</x:f>
        <x:v>957733469</x:v>
      </x:c>
      <x:c r="W469" s="9" t="n">
        <x:f>MOD(V469*16807,2147483647)</x:f>
        <x:v>1236479218</x:v>
      </x:c>
      <x:c r="X469" s="17" t="n">
        <x:f>IF('Control Room'!$B$5="Normal",'Control Room'!$B$7+'Control Room'!$D$7*SQRT(-2*LN(MAX(0.000000000001,V469/2147483647)))*COS(2*PI()*W469/2147483647),'Control Room'!$B$8+('Control Room'!$D$8-'Control Room'!$B$8)*V469/2147483647)</x:f>
        <x:v>898.348643978919</x:v>
      </x:c>
      <x:c r="Y469" s="17" t="n">
        <x:f>IF('Control Room'!$B$5="Normal",'Control Room'!$B$7,('Control Room'!$B$8+'Control Room'!$D$8)/2)+'Control Room'!$B$9*(Y468-IF('Control Room'!$B$5="Normal",'Control Room'!$B$7,('Control Room'!$B$8+'Control Room'!$D$8)/2))+SQRT(1-'Control Room'!$B$9^2)*(X469-IF('Control Room'!$B$5="Normal",'Control Room'!$B$7,('Control Room'!$B$8+'Control Room'!$D$8)/2))</x:f>
        <x:v>935.0142221898576</x:v>
      </x:c>
      <x:c r="Z469" s="17" t="n">
        <x:f>IF(AND($A469&gt;='Control Room'!$A$13,$A469&lt;'Control Room'!$A$13+'Control Room'!$B$13,'Process'!BO2=1),1+('Control Room'!$C$13-1)*EXP(-0.5*(($A469-'Control Room'!$A$13-('Control Room'!$B$13-1)/2)/MAX(0.5,'Control Room'!$B$13/4))^2),1)*IF(AND($A469&gt;='Control Room'!$A$14,$A469&lt;'Control Room'!$A$14+'Control Room'!$B$14,'Process'!BO3=1),1+('Control Room'!$C$14-1)*EXP(-0.5*(($A469-'Control Room'!$A$14-('Control Room'!$B$14-1)/2)/MAX(0.5,'Control Room'!$B$14/4))^2),1)*IF(AND($A469&gt;='Control Room'!$A$15,$A469&lt;'Control Room'!$A$15+'Control Room'!$B$15,'Process'!BO4=1),1+('Control Room'!$C$15-1)*EXP(-0.5*(($A469-'Control Room'!$A$15-('Control Room'!$B$15-1)/2)/MAX(0.5,'Control Room'!$B$15/4))^2),1)*IF(AND($A469&gt;='Control Room'!$A$16,$A469&lt;'Control Room'!$A$16+'Control Room'!$B$16,'Process'!BO5=1),1+('Control Room'!$C$16-1)*EXP(-0.5*(($A469-'Control Room'!$A$16-('Control Room'!$B$16-1)/2)/MAX(0.5,'Control Room'!$B$16/4))^2),1)</x:f>
        <x:v>1</x:v>
      </x:c>
      <x:c r="AA469" s="9" t="n">
        <x:f>MOD(AB468*16807,2147483647)</x:f>
        <x:v>1851144833</x:v>
      </x:c>
      <x:c r="AB469" s="9" t="n">
        <x:f>MOD(AA469*16807,2147483647)</x:f>
        <x:v>1595614142</x:v>
      </x:c>
      <x:c r="AC469" s="17" t="n">
        <x:f>IF('Control Room'!$B$5="Normal",'Control Room'!$B$7+'Control Room'!$D$7*SQRT(-2*LN(MAX(0.000000000001,AA469/2147483647)))*COS(2*PI()*AB469/2147483647),'Control Room'!$B$8+('Control Room'!$D$8-'Control Room'!$B$8)*AA469/2147483647)</x:f>
        <x:v>997.8483537368571</x:v>
      </x:c>
      <x:c r="AD469" s="17" t="n">
        <x:f>IF('Control Room'!$B$5="Normal",'Control Room'!$B$7,('Control Room'!$B$8+'Control Room'!$D$8)/2)+'Control Room'!$B$9*(AD468-IF('Control Room'!$B$5="Normal",'Control Room'!$B$7,('Control Room'!$B$8+'Control Room'!$D$8)/2))+SQRT(1-'Control Room'!$B$9^2)*(AC469-IF('Control Room'!$B$5="Normal",'Control Room'!$B$7,('Control Room'!$B$8+'Control Room'!$D$8)/2))</x:f>
        <x:v>1037.870010676203</x:v>
      </x:c>
      <x:c r="AE469" s="17" t="n">
        <x:f>IF(AND($A469&gt;='Control Room'!$A$13,$A469&lt;'Control Room'!$A$13+'Control Room'!$B$13,'Process'!BP2=1),1+('Control Room'!$C$13-1)*EXP(-0.5*(($A469-'Control Room'!$A$13-('Control Room'!$B$13-1)/2)/MAX(0.5,'Control Room'!$B$13/4))^2),1)*IF(AND($A469&gt;='Control Room'!$A$14,$A469&lt;'Control Room'!$A$14+'Control Room'!$B$14,'Process'!BP3=1),1+('Control Room'!$C$14-1)*EXP(-0.5*(($A469-'Control Room'!$A$14-('Control Room'!$B$14-1)/2)/MAX(0.5,'Control Room'!$B$14/4))^2),1)*IF(AND($A469&gt;='Control Room'!$A$15,$A469&lt;'Control Room'!$A$15+'Control Room'!$B$15,'Process'!BP4=1),1+('Control Room'!$C$15-1)*EXP(-0.5*(($A469-'Control Room'!$A$15-('Control Room'!$B$15-1)/2)/MAX(0.5,'Control Room'!$B$15/4))^2),1)*IF(AND($A469&gt;='Control Room'!$A$16,$A469&lt;'Control Room'!$A$16+'Control Room'!$B$16,'Process'!BP5=1),1+('Control Room'!$C$16-1)*EXP(-0.5*(($A469-'Control Room'!$A$16-('Control Room'!$B$16-1)/2)/MAX(0.5,'Control Room'!$B$16/4))^2),1)</x:f>
        <x:v>1</x:v>
      </x:c>
      <x:c r="AF469" s="9" t="n">
        <x:f>MOD(AG468*16807,2147483647)</x:f>
        <x:v>597072550</x:v>
      </x:c>
      <x:c r="AG469" s="9" t="n">
        <x:f>MOD(AF469*16807,2147483647)</x:f>
        <x:v>1954749066</x:v>
      </x:c>
      <x:c r="AH469" s="17" t="n">
        <x:f>IF('Control Room'!$B$5="Normal",'Control Room'!$B$7+'Control Room'!$D$7*SQRT(-2*LN(MAX(0.000000000001,AF469/2147483647)))*COS(2*PI()*AG469/2147483647),'Control Room'!$B$8+('Control Room'!$D$8-'Control Room'!$B$8)*AF469/2147483647)</x:f>
        <x:v>1121.705377423437</x:v>
      </x:c>
      <x:c r="AI469" s="17" t="n">
        <x:f>IF('Control Room'!$B$5="Normal",'Control Room'!$B$7,('Control Room'!$B$8+'Control Room'!$D$8)/2)+'Control Room'!$B$9*(AI468-IF('Control Room'!$B$5="Normal",'Control Room'!$B$7,('Control Room'!$B$8+'Control Room'!$D$8)/2))+SQRT(1-'Control Room'!$B$9^2)*(AH469-IF('Control Room'!$B$5="Normal",'Control Room'!$B$7,('Control Room'!$B$8+'Control Room'!$D$8)/2))</x:f>
        <x:v>1139.8784294140073</x:v>
      </x:c>
      <x:c r="AJ469" s="17" t="n">
        <x:f>IF(AND($A469&gt;='Control Room'!$A$13,$A469&lt;'Control Room'!$A$13+'Control Room'!$B$13,'Process'!BQ2=1),1+('Control Room'!$C$13-1)*EXP(-0.5*(($A469-'Control Room'!$A$13-('Control Room'!$B$13-1)/2)/MAX(0.5,'Control Room'!$B$13/4))^2),1)*IF(AND($A469&gt;='Control Room'!$A$14,$A469&lt;'Control Room'!$A$14+'Control Room'!$B$14,'Process'!BQ3=1),1+('Control Room'!$C$14-1)*EXP(-0.5*(($A469-'Control Room'!$A$14-('Control Room'!$B$14-1)/2)/MAX(0.5,'Control Room'!$B$14/4))^2),1)*IF(AND($A469&gt;='Control Room'!$A$15,$A469&lt;'Control Room'!$A$15+'Control Room'!$B$15,'Process'!BQ4=1),1+('Control Room'!$C$15-1)*EXP(-0.5*(($A469-'Control Room'!$A$15-('Control Room'!$B$15-1)/2)/MAX(0.5,'Control Room'!$B$15/4))^2),1)*IF(AND($A469&gt;='Control Room'!$A$16,$A469&lt;'Control Room'!$A$16+'Control Room'!$B$16,'Process'!BQ5=1),1+('Control Room'!$C$16-1)*EXP(-0.5*(($A469-'Control Room'!$A$16-('Control Room'!$B$16-1)/2)/MAX(0.5,'Control Room'!$B$16/4))^2),1)</x:f>
        <x:v>1</x:v>
      </x:c>
      <x:c r="AK469" s="9" t="n">
        <x:f>MOD(AL468*16807,2147483647)</x:f>
        <x:v>1490483914</x:v>
      </x:c>
      <x:c r="AL469" s="9" t="n">
        <x:f>MOD(AK469*16807,2147483647)</x:f>
        <x:v>166400343</x:v>
      </x:c>
      <x:c r="AM469" s="17" t="n">
        <x:f>IF('Control Room'!$B$5="Normal",'Control Room'!$B$7+'Control Room'!$D$7*SQRT(-2*LN(MAX(0.000000000001,AK469/2147483647)))*COS(2*PI()*AL469/2147483647),'Control Room'!$B$8+('Control Room'!$D$8-'Control Room'!$B$8)*AK469/2147483647)</x:f>
        <x:v>1067.9794288606633</x:v>
      </x:c>
      <x:c r="AN469" s="17" t="n">
        <x:f>IF('Control Room'!$B$5="Normal",'Control Room'!$B$7,('Control Room'!$B$8+'Control Room'!$D$8)/2)+'Control Room'!$B$9*(AN468-IF('Control Room'!$B$5="Normal",'Control Room'!$B$7,('Control Room'!$B$8+'Control Room'!$D$8)/2))+SQRT(1-'Control Room'!$B$9^2)*(AM469-IF('Control Room'!$B$5="Normal",'Control Room'!$B$7,('Control Room'!$B$8+'Control Room'!$D$8)/2))</x:f>
        <x:v>1139.0567081865902</x:v>
      </x:c>
      <x:c r="AO469" s="17" t="n">
        <x:f>IF(AND($A469&gt;='Control Room'!$A$13,$A469&lt;'Control Room'!$A$13+'Control Room'!$B$13,'Process'!BR2=1),1+('Control Room'!$C$13-1)*EXP(-0.5*(($A469-'Control Room'!$A$13-('Control Room'!$B$13-1)/2)/MAX(0.5,'Control Room'!$B$13/4))^2),1)*IF(AND($A469&gt;='Control Room'!$A$14,$A469&lt;'Control Room'!$A$14+'Control Room'!$B$14,'Process'!BR3=1),1+('Control Room'!$C$14-1)*EXP(-0.5*(($A469-'Control Room'!$A$14-('Control Room'!$B$14-1)/2)/MAX(0.5,'Control Room'!$B$14/4))^2),1)*IF(AND($A469&gt;='Control Room'!$A$15,$A469&lt;'Control Room'!$A$15+'Control Room'!$B$15,'Process'!BR4=1),1+('Control Room'!$C$15-1)*EXP(-0.5*(($A469-'Control Room'!$A$15-('Control Room'!$B$15-1)/2)/MAX(0.5,'Control Room'!$B$15/4))^2),1)*IF(AND($A469&gt;='Control Room'!$A$16,$A469&lt;'Control Room'!$A$16+'Control Room'!$B$16,'Process'!BR5=1),1+('Control Room'!$C$16-1)*EXP(-0.5*(($A469-'Control Room'!$A$16-('Control Room'!$B$16-1)/2)/MAX(0.5,'Control Room'!$B$16/4))^2),1)</x:f>
        <x:v>1</x:v>
      </x:c>
      <x:c r="AP469" s="9" t="n">
        <x:f>MOD(AQ468*16807,2147483647)</x:f>
        <x:v>236411631</x:v>
      </x:c>
      <x:c r="AQ469" s="9" t="n">
        <x:f>MOD(AP469*16807,2147483647)</x:f>
        <x:v>525535267</x:v>
      </x:c>
      <x:c r="AR469" s="17" t="n">
        <x:f>IF('Control Room'!$B$5="Normal",'Control Room'!$B$7+'Control Room'!$D$7*SQRT(-2*LN(MAX(0.000000000001,AP469/2147483647)))*COS(2*PI()*AQ469/2147483647),'Control Room'!$B$8+('Control Room'!$D$8-'Control Room'!$B$8)*AP469/2147483647)</x:f>
        <x:v>1006.2693695561908</x:v>
      </x:c>
      <x:c r="AS469" s="17" t="n">
        <x:f>IF('Control Room'!$B$5="Normal",'Control Room'!$B$7,('Control Room'!$B$8+'Control Room'!$D$8)/2)+'Control Room'!$B$9*(AS468-IF('Control Room'!$B$5="Normal",'Control Room'!$B$7,('Control Room'!$B$8+'Control Room'!$D$8)/2))+SQRT(1-'Control Room'!$B$9^2)*(AR469-IF('Control Room'!$B$5="Normal",'Control Room'!$B$7,('Control Room'!$B$8+'Control Room'!$D$8)/2))</x:f>
        <x:v>1054.4751178543313</x:v>
      </x:c>
      <x:c r="AT469" s="17" t="n">
        <x:f>IF(AND($A469&gt;='Control Room'!$A$13,$A469&lt;'Control Room'!$A$13+'Control Room'!$B$13,'Process'!BS2=1),1+('Control Room'!$C$13-1)*EXP(-0.5*(($A469-'Control Room'!$A$13-('Control Room'!$B$13-1)/2)/MAX(0.5,'Control Room'!$B$13/4))^2),1)*IF(AND($A469&gt;='Control Room'!$A$14,$A469&lt;'Control Room'!$A$14+'Control Room'!$B$14,'Process'!BS3=1),1+('Control Room'!$C$14-1)*EXP(-0.5*(($A469-'Control Room'!$A$14-('Control Room'!$B$14-1)/2)/MAX(0.5,'Control Room'!$B$14/4))^2),1)*IF(AND($A469&gt;='Control Room'!$A$15,$A469&lt;'Control Room'!$A$15+'Control Room'!$B$15,'Process'!BS4=1),1+('Control Room'!$C$15-1)*EXP(-0.5*(($A469-'Control Room'!$A$15-('Control Room'!$B$15-1)/2)/MAX(0.5,'Control Room'!$B$15/4))^2),1)*IF(AND($A469&gt;='Control Room'!$A$16,$A469&lt;'Control Room'!$A$16+'Control Room'!$B$16,'Process'!BS5=1),1+('Control Room'!$C$16-1)*EXP(-0.5*(($A469-'Control Room'!$A$16-('Control Room'!$B$16-1)/2)/MAX(0.5,'Control Room'!$B$16/4))^2),1)</x:f>
        <x:v>1</x:v>
      </x:c>
      <x:c r="AU469" s="9" t="n">
        <x:f>MOD(AV468*16807,2147483647)</x:f>
        <x:v>1129822995</x:v>
      </x:c>
      <x:c r="AV469" s="9" t="n">
        <x:f>MOD(AU469*16807,2147483647)</x:f>
        <x:v>884670191</x:v>
      </x:c>
      <x:c r="AW469" s="17" t="n">
        <x:f>IF('Control Room'!$B$5="Normal",'Control Room'!$B$7+'Control Room'!$D$7*SQRT(-2*LN(MAX(0.000000000001,AU469/2147483647)))*COS(2*PI()*AV469/2147483647),'Control Room'!$B$8+('Control Room'!$D$8-'Control Room'!$B$8)*AU469/2147483647)</x:f>
        <x:v>913.2122371059421</x:v>
      </x:c>
      <x:c r="AX469" s="17" t="n">
        <x:f>IF('Control Room'!$B$5="Normal",'Control Room'!$B$7,('Control Room'!$B$8+'Control Room'!$D$8)/2)+'Control Room'!$B$9*(AX468-IF('Control Room'!$B$5="Normal",'Control Room'!$B$7,('Control Room'!$B$8+'Control Room'!$D$8)/2))+SQRT(1-'Control Room'!$B$9^2)*(AW469-IF('Control Room'!$B$5="Normal",'Control Room'!$B$7,('Control Room'!$B$8+'Control Room'!$D$8)/2))</x:f>
        <x:v>960.828084581058</x:v>
      </x:c>
      <x:c r="AY469" s="17" t="n">
        <x:f>IF(AND($A469&gt;='Control Room'!$A$13,$A469&lt;'Control Room'!$A$13+'Control Room'!$B$13,'Process'!BT2=1),1+('Control Room'!$C$13-1)*EXP(-0.5*(($A469-'Control Room'!$A$13-('Control Room'!$B$13-1)/2)/MAX(0.5,'Control Room'!$B$13/4))^2),1)*IF(AND($A469&gt;='Control Room'!$A$14,$A469&lt;'Control Room'!$A$14+'Control Room'!$B$14,'Process'!BT3=1),1+('Control Room'!$C$14-1)*EXP(-0.5*(($A469-'Control Room'!$A$14-('Control Room'!$B$14-1)/2)/MAX(0.5,'Control Room'!$B$14/4))^2),1)*IF(AND($A469&gt;='Control Room'!$A$15,$A469&lt;'Control Room'!$A$15+'Control Room'!$B$15,'Process'!BT4=1),1+('Control Room'!$C$15-1)*EXP(-0.5*(($A469-'Control Room'!$A$15-('Control Room'!$B$15-1)/2)/MAX(0.5,'Control Room'!$B$15/4))^2),1)*IF(AND($A469&gt;='Control Room'!$A$16,$A469&lt;'Control Room'!$A$16+'Control Room'!$B$16,'Process'!BT5=1),1+('Control Room'!$C$16-1)*EXP(-0.5*(($A469-'Control Room'!$A$16-('Control Room'!$B$16-1)/2)/MAX(0.5,'Control Room'!$B$16/4))^2),1)</x:f>
        <x:v>1</x:v>
      </x:c>
      <x:c r="AZ469" s="9" t="n">
        <x:f>MOD(BA468*16807,2147483647)</x:f>
        <x:v>2023234359</x:v>
      </x:c>
      <x:c r="BA469" s="9" t="n">
        <x:f>MOD(AZ469*16807,2147483647)</x:f>
        <x:v>1243805115</x:v>
      </x:c>
      <x:c r="BB469" s="17" t="n">
        <x:f>IF('Control Room'!$B$5="Normal",'Control Room'!$B$7+'Control Room'!$D$7*SQRT(-2*LN(MAX(0.000000000001,AZ469/2147483647)))*COS(2*PI()*BA469/2147483647),'Control Room'!$B$8+('Control Room'!$D$8-'Control Room'!$B$8)*AZ469/2147483647)</x:f>
        <x:v>972.6951726253882</x:v>
      </x:c>
      <x:c r="BC469" s="17" t="n">
        <x:f>IF('Control Room'!$B$5="Normal",'Control Room'!$B$7,('Control Room'!$B$8+'Control Room'!$D$8)/2)+'Control Room'!$B$9*(BC468-IF('Control Room'!$B$5="Normal",'Control Room'!$B$7,('Control Room'!$B$8+'Control Room'!$D$8)/2))+SQRT(1-'Control Room'!$B$9^2)*(BB469-IF('Control Room'!$B$5="Normal",'Control Room'!$B$7,('Control Room'!$B$8+'Control Room'!$D$8)/2))</x:f>
        <x:v>962.8958068532609</x:v>
      </x:c>
      <x:c r="BD469" s="17" t="n">
        <x:f>IF(AND($A469&gt;='Control Room'!$A$13,$A469&lt;'Control Room'!$A$13+'Control Room'!$B$13,'Process'!BU2=1),1+('Control Room'!$C$13-1)*EXP(-0.5*(($A469-'Control Room'!$A$13-('Control Room'!$B$13-1)/2)/MAX(0.5,'Control Room'!$B$13/4))^2),1)*IF(AND($A469&gt;='Control Room'!$A$14,$A469&lt;'Control Room'!$A$14+'Control Room'!$B$14,'Process'!BU3=1),1+('Control Room'!$C$14-1)*EXP(-0.5*(($A469-'Control Room'!$A$14-('Control Room'!$B$14-1)/2)/MAX(0.5,'Control Room'!$B$14/4))^2),1)*IF(AND($A469&gt;='Control Room'!$A$15,$A469&lt;'Control Room'!$A$15+'Control Room'!$B$15,'Process'!BU4=1),1+('Control Room'!$C$15-1)*EXP(-0.5*(($A469-'Control Room'!$A$15-('Control Room'!$B$15-1)/2)/MAX(0.5,'Control Room'!$B$15/4))^2),1)*IF(AND($A469&gt;='Control Room'!$A$16,$A469&lt;'Control Room'!$A$16+'Control Room'!$B$16,'Process'!BU5=1),1+('Control Room'!$C$16-1)*EXP(-0.5*(($A469-'Control Room'!$A$16-('Control Room'!$B$16-1)/2)/MAX(0.5,'Control Room'!$B$16/4))^2),1)</x:f>
        <x:v>1</x:v>
      </x:c>
      <x:c r="BE469" s="9" t="n">
        <x:f>MOD(BF468*16807,2147483647)</x:f>
        <x:v>769162076</x:v>
      </x:c>
      <x:c r="BF469" s="9" t="n">
        <x:f>MOD(BE469*16807,2147483647)</x:f>
        <x:v>1602940039</x:v>
      </x:c>
      <x:c r="BG469" s="17" t="n">
        <x:f>IF('Control Room'!$B$5="Normal",'Control Room'!$B$7+'Control Room'!$D$7*SQRT(-2*LN(MAX(0.000000000001,BE469/2147483647)))*COS(2*PI()*BF469/2147483647),'Control Room'!$B$8+('Control Room'!$D$8-'Control Room'!$B$8)*BE469/2147483647)</x:f>
        <x:v>997.104980703849</x:v>
      </x:c>
      <x:c r="BH469" s="17" t="n">
        <x:f>IF('Control Room'!$B$5="Normal",'Control Room'!$B$7,('Control Room'!$B$8+'Control Room'!$D$8)/2)+'Control Room'!$B$9*(BH468-IF('Control Room'!$B$5="Normal",'Control Room'!$B$7,('Control Room'!$B$8+'Control Room'!$D$8)/2))+SQRT(1-'Control Room'!$B$9^2)*(BG469-IF('Control Room'!$B$5="Normal",'Control Room'!$B$7,('Control Room'!$B$8+'Control Room'!$D$8)/2))</x:f>
        <x:v>994.0472334274567</x:v>
      </x:c>
      <x:c r="BI469" s="17" t="n">
        <x:f>IF(AND($A469&gt;='Control Room'!$A$13,$A469&lt;'Control Room'!$A$13+'Control Room'!$B$13,'Process'!BV2=1),1+('Control Room'!$C$13-1)*EXP(-0.5*(($A469-'Control Room'!$A$13-('Control Room'!$B$13-1)/2)/MAX(0.5,'Control Room'!$B$13/4))^2),1)*IF(AND($A469&gt;='Control Room'!$A$14,$A469&lt;'Control Room'!$A$14+'Control Room'!$B$14,'Process'!BV3=1),1+('Control Room'!$C$14-1)*EXP(-0.5*(($A469-'Control Room'!$A$14-('Control Room'!$B$14-1)/2)/MAX(0.5,'Control Room'!$B$14/4))^2),1)*IF(AND($A469&gt;='Control Room'!$A$15,$A469&lt;'Control Room'!$A$15+'Control Room'!$B$15,'Process'!BV4=1),1+('Control Room'!$C$15-1)*EXP(-0.5*(($A469-'Control Room'!$A$15-('Control Room'!$B$15-1)/2)/MAX(0.5,'Control Room'!$B$15/4))^2),1)*IF(AND($A469&gt;='Control Room'!$A$16,$A469&lt;'Control Room'!$A$16+'Control Room'!$B$16,'Process'!BV5=1),1+('Control Room'!$C$16-1)*EXP(-0.5*(($A469-'Control Room'!$A$16-('Control Room'!$B$16-1)/2)/MAX(0.5,'Control Room'!$B$16/4))^2),1)</x:f>
        <x:v>1</x:v>
      </x:c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Z469" t="str">
        <x:f>IF('Data'!A469="","",TEXT('Data'!A469,"mm-dd"))</x:f>
      </x:c>
    </x:row>
    <x:row r="470" ht="21" customHeight="1">
      <x:c r="A470" s="15" t="n">
        <x:f>'Control Room'!$B$1+468</x:f>
        <x:v>73459</x:v>
      </x:c>
      <x:c r="B470" s="9" t="n">
        <x:f>MOD(C469*16807,2147483647)</x:f>
        <x:v>542937456</x:v>
      </x:c>
      <x:c r="C470" s="9" t="n">
        <x:f>MOD(B470*16807,2147483647)</x:f>
        <x:v>491806889</x:v>
      </x:c>
      <x:c r="D470" s="17" t="n">
        <x:f>IF('Control Room'!$B$5="Normal",'Control Room'!$B$7+'Control Room'!$D$7*SQRT(-2*LN(MAX(0.000000000001,B470/2147483647)))*COS(2*PI()*C470/2147483647),'Control Room'!$B$8+('Control Room'!$D$8-'Control Room'!$B$8)*B470/2147483647)</x:f>
        <x:v>1019.621802781376</x:v>
      </x:c>
      <x:c r="E470" s="17" t="n">
        <x:f>IF('Control Room'!$B$5="Normal",'Control Room'!$B$7,('Control Room'!$B$8+'Control Room'!$D$8)/2)+'Control Room'!$B$9*(E469-IF('Control Room'!$B$5="Normal",'Control Room'!$B$7,('Control Room'!$B$8+'Control Room'!$D$8)/2))+SQRT(1-'Control Room'!$B$9^2)*(D470-IF('Control Room'!$B$5="Normal",'Control Room'!$B$7,('Control Room'!$B$8+'Control Room'!$D$8)/2))</x:f>
        <x:v>959.412371518786</x:v>
      </x:c>
      <x:c r="F470" s="17" t="n">
        <x:f>IF(AND($A470&gt;='Control Room'!$A$13,$A470&lt;'Control Room'!$A$13+'Control Room'!$B$13,'Process'!BK2=1),1+('Control Room'!$C$13-1)*EXP(-0.5*(($A470-'Control Room'!$A$13-('Control Room'!$B$13-1)/2)/MAX(0.5,'Control Room'!$B$13/4))^2),1)*IF(AND($A470&gt;='Control Room'!$A$14,$A470&lt;'Control Room'!$A$14+'Control Room'!$B$14,'Process'!BK3=1),1+('Control Room'!$C$14-1)*EXP(-0.5*(($A470-'Control Room'!$A$14-('Control Room'!$B$14-1)/2)/MAX(0.5,'Control Room'!$B$14/4))^2),1)*IF(AND($A470&gt;='Control Room'!$A$15,$A470&lt;'Control Room'!$A$15+'Control Room'!$B$15,'Process'!BK4=1),1+('Control Room'!$C$15-1)*EXP(-0.5*(($A470-'Control Room'!$A$15-('Control Room'!$B$15-1)/2)/MAX(0.5,'Control Room'!$B$15/4))^2),1)*IF(AND($A470&gt;='Control Room'!$A$16,$A470&lt;'Control Room'!$A$16+'Control Room'!$B$16,'Process'!BK5=1),1+('Control Room'!$C$16-1)*EXP(-0.5*(($A470-'Control Room'!$A$16-('Control Room'!$B$16-1)/2)/MAX(0.5,'Control Room'!$B$16/4))^2),1)</x:f>
        <x:v>1</x:v>
      </x:c>
      <x:c r="G470" s="9" t="n">
        <x:f>MOD(H469*16807,2147483647)</x:f>
        <x:v>2094557054</x:v>
      </x:c>
      <x:c r="H470" s="9" t="n">
        <x:f>MOD(G470*16807,2147483647)</x:f>
        <x:v>1668464954</x:v>
      </x:c>
      <x:c r="I470" s="17" t="n">
        <x:f>IF('Control Room'!$B$5="Normal",'Control Room'!$B$7+'Control Room'!$D$7*SQRT(-2*LN(MAX(0.000000000001,G470/2147483647)))*COS(2*PI()*H470/2147483647),'Control Room'!$B$8+('Control Room'!$D$8-'Control Room'!$B$8)*G470/2147483647)</x:f>
        <x:v>1003.3870962326556</x:v>
      </x:c>
      <x:c r="J470" s="17" t="n">
        <x:f>IF('Control Room'!$B$5="Normal",'Control Room'!$B$7,('Control Room'!$B$8+'Control Room'!$D$8)/2)+'Control Room'!$B$9*(J469-IF('Control Room'!$B$5="Normal",'Control Room'!$B$7,('Control Room'!$B$8+'Control Room'!$D$8)/2))+SQRT(1-'Control Room'!$B$9^2)*(I470-IF('Control Room'!$B$5="Normal",'Control Room'!$B$7,('Control Room'!$B$8+'Control Room'!$D$8)/2))</x:f>
        <x:v>1083.6543482621212</x:v>
      </x:c>
      <x:c r="K470" s="17" t="n">
        <x:f>IF(AND($A470&gt;='Control Room'!$A$13,$A470&lt;'Control Room'!$A$13+'Control Room'!$B$13,'Process'!BL2=1),1+('Control Room'!$C$13-1)*EXP(-0.5*(($A470-'Control Room'!$A$13-('Control Room'!$B$13-1)/2)/MAX(0.5,'Control Room'!$B$13/4))^2),1)*IF(AND($A470&gt;='Control Room'!$A$14,$A470&lt;'Control Room'!$A$14+'Control Room'!$B$14,'Process'!BL3=1),1+('Control Room'!$C$14-1)*EXP(-0.5*(($A470-'Control Room'!$A$14-('Control Room'!$B$14-1)/2)/MAX(0.5,'Control Room'!$B$14/4))^2),1)*IF(AND($A470&gt;='Control Room'!$A$15,$A470&lt;'Control Room'!$A$15+'Control Room'!$B$15,'Process'!BL4=1),1+('Control Room'!$C$15-1)*EXP(-0.5*(($A470-'Control Room'!$A$15-('Control Room'!$B$15-1)/2)/MAX(0.5,'Control Room'!$B$15/4))^2),1)*IF(AND($A470&gt;='Control Room'!$A$16,$A470&lt;'Control Room'!$A$16+'Control Room'!$B$16,'Process'!BL5=1),1+('Control Room'!$C$16-1)*EXP(-0.5*(($A470-'Control Room'!$A$16-('Control Room'!$B$16-1)/2)/MAX(0.5,'Control Room'!$B$16/4))^2),1)</x:f>
        <x:v>1</x:v>
      </x:c>
      <x:c r="L470" s="9" t="n">
        <x:f>MOD(M469*16807,2147483647)</x:f>
        <x:v>1498693005</x:v>
      </x:c>
      <x:c r="M470" s="9" t="n">
        <x:f>MOD(L470*16807,2147483647)</x:f>
        <x:v>697639372</x:v>
      </x:c>
      <x:c r="N470" s="17" t="n">
        <x:f>IF('Control Room'!$B$5="Normal",'Control Room'!$B$7+'Control Room'!$D$7*SQRT(-2*LN(MAX(0.000000000001,L470/2147483647)))*COS(2*PI()*M470/2147483647),'Control Room'!$B$8+('Control Room'!$D$8-'Control Room'!$B$8)*L470/2147483647)</x:f>
        <x:v>965.4024363430826</x:v>
      </x:c>
      <x:c r="O470" s="17" t="n">
        <x:f>IF('Control Room'!$B$5="Normal",'Control Room'!$B$7,('Control Room'!$B$8+'Control Room'!$D$8)/2)+'Control Room'!$B$9*(O469-IF('Control Room'!$B$5="Normal",'Control Room'!$B$7,('Control Room'!$B$8+'Control Room'!$D$8)/2))+SQRT(1-'Control Room'!$B$9^2)*(N470-IF('Control Room'!$B$5="Normal",'Control Room'!$B$7,('Control Room'!$B$8+'Control Room'!$D$8)/2))</x:f>
        <x:v>846.3087152622031</x:v>
      </x:c>
      <x:c r="P470" s="17" t="n">
        <x:f>IF(AND($A470&gt;='Control Room'!$A$13,$A470&lt;'Control Room'!$A$13+'Control Room'!$B$13,'Process'!BM2=1),1+('Control Room'!$C$13-1)*EXP(-0.5*(($A470-'Control Room'!$A$13-('Control Room'!$B$13-1)/2)/MAX(0.5,'Control Room'!$B$13/4))^2),1)*IF(AND($A470&gt;='Control Room'!$A$14,$A470&lt;'Control Room'!$A$14+'Control Room'!$B$14,'Process'!BM3=1),1+('Control Room'!$C$14-1)*EXP(-0.5*(($A470-'Control Room'!$A$14-('Control Room'!$B$14-1)/2)/MAX(0.5,'Control Room'!$B$14/4))^2),1)*IF(AND($A470&gt;='Control Room'!$A$15,$A470&lt;'Control Room'!$A$15+'Control Room'!$B$15,'Process'!BM4=1),1+('Control Room'!$C$15-1)*EXP(-0.5*(($A470-'Control Room'!$A$15-('Control Room'!$B$15-1)/2)/MAX(0.5,'Control Room'!$B$15/4))^2),1)*IF(AND($A470&gt;='Control Room'!$A$16,$A470&lt;'Control Room'!$A$16+'Control Room'!$B$16,'Process'!BM5=1),1+('Control Room'!$C$16-1)*EXP(-0.5*(($A470-'Control Room'!$A$16-('Control Room'!$B$16-1)/2)/MAX(0.5,'Control Room'!$B$16/4))^2),1)</x:f>
        <x:v>1</x:v>
      </x:c>
      <x:c r="Q470" s="9" t="n">
        <x:f>MOD(R469*16807,2147483647)</x:f>
        <x:v>902828956</x:v>
      </x:c>
      <x:c r="R470" s="9" t="n">
        <x:f>MOD(Q470*16807,2147483647)</x:f>
        <x:v>1874297437</x:v>
      </x:c>
      <x:c r="S470" s="17" t="n">
        <x:f>IF('Control Room'!$B$5="Normal",'Control Room'!$B$7+'Control Room'!$D$7*SQRT(-2*LN(MAX(0.000000000001,Q470/2147483647)))*COS(2*PI()*R470/2147483647),'Control Room'!$B$8+('Control Room'!$D$8-'Control Room'!$B$8)*Q470/2147483647)</x:f>
        <x:v>1082.6057302409854</x:v>
      </x:c>
      <x:c r="T470" s="17" t="n">
        <x:f>IF('Control Room'!$B$5="Normal",'Control Room'!$B$7,('Control Room'!$B$8+'Control Room'!$D$8)/2)+'Control Room'!$B$9*(T469-IF('Control Room'!$B$5="Normal",'Control Room'!$B$7,('Control Room'!$B$8+'Control Room'!$D$8)/2))+SQRT(1-'Control Room'!$B$9^2)*(S470-IF('Control Room'!$B$5="Normal",'Control Room'!$B$7,('Control Room'!$B$8+'Control Room'!$D$8)/2))</x:f>
        <x:v>997.0155357929035</x:v>
      </x:c>
      <x:c r="U470" s="17" t="n">
        <x:f>IF(AND($A470&gt;='Control Room'!$A$13,$A470&lt;'Control Room'!$A$13+'Control Room'!$B$13,'Process'!BN2=1),1+('Control Room'!$C$13-1)*EXP(-0.5*(($A470-'Control Room'!$A$13-('Control Room'!$B$13-1)/2)/MAX(0.5,'Control Room'!$B$13/4))^2),1)*IF(AND($A470&gt;='Control Room'!$A$14,$A470&lt;'Control Room'!$A$14+'Control Room'!$B$14,'Process'!BN3=1),1+('Control Room'!$C$14-1)*EXP(-0.5*(($A470-'Control Room'!$A$14-('Control Room'!$B$14-1)/2)/MAX(0.5,'Control Room'!$B$14/4))^2),1)*IF(AND($A470&gt;='Control Room'!$A$15,$A470&lt;'Control Room'!$A$15+'Control Room'!$B$15,'Process'!BN4=1),1+('Control Room'!$C$15-1)*EXP(-0.5*(($A470-'Control Room'!$A$15-('Control Room'!$B$15-1)/2)/MAX(0.5,'Control Room'!$B$15/4))^2),1)*IF(AND($A470&gt;='Control Room'!$A$16,$A470&lt;'Control Room'!$A$16+'Control Room'!$B$16,'Process'!BN5=1),1+('Control Room'!$C$16-1)*EXP(-0.5*(($A470-'Control Room'!$A$16-('Control Room'!$B$16-1)/2)/MAX(0.5,'Control Room'!$B$16/4))^2),1)</x:f>
        <x:v>1</x:v>
      </x:c>
      <x:c r="V470" s="9" t="n">
        <x:f>MOD(W469*16807,2147483647)</x:f>
        <x:v>306964907</x:v>
      </x:c>
      <x:c r="W470" s="9" t="n">
        <x:f>MOD(V470*16807,2147483647)</x:f>
        <x:v>903471855</x:v>
      </x:c>
      <x:c r="X470" s="17" t="n">
        <x:f>IF('Control Room'!$B$5="Normal",'Control Room'!$B$7+'Control Room'!$D$7*SQRT(-2*LN(MAX(0.000000000001,V470/2147483647)))*COS(2*PI()*W470/2147483647),'Control Room'!$B$8+('Control Room'!$D$8-'Control Room'!$B$8)*V470/2147483647)</x:f>
        <x:v>844.0550714155441</x:v>
      </x:c>
      <x:c r="Y470" s="17" t="n">
        <x:f>IF('Control Room'!$B$5="Normal",'Control Room'!$B$7,('Control Room'!$B$8+'Control Room'!$D$8)/2)+'Control Room'!$B$9*(Y469-IF('Control Room'!$B$5="Normal",'Control Room'!$B$7,('Control Room'!$B$8+'Control Room'!$D$8)/2))+SQRT(1-'Control Room'!$B$9^2)*(X470-IF('Control Room'!$B$5="Normal",'Control Room'!$B$7,('Control Room'!$B$8+'Control Room'!$D$8)/2))</x:f>
        <x:v>851.7239517054462</x:v>
      </x:c>
      <x:c r="Z470" s="17" t="n">
        <x:f>IF(AND($A470&gt;='Control Room'!$A$13,$A470&lt;'Control Room'!$A$13+'Control Room'!$B$13,'Process'!BO2=1),1+('Control Room'!$C$13-1)*EXP(-0.5*(($A470-'Control Room'!$A$13-('Control Room'!$B$13-1)/2)/MAX(0.5,'Control Room'!$B$13/4))^2),1)*IF(AND($A470&gt;='Control Room'!$A$14,$A470&lt;'Control Room'!$A$14+'Control Room'!$B$14,'Process'!BO3=1),1+('Control Room'!$C$14-1)*EXP(-0.5*(($A470-'Control Room'!$A$14-('Control Room'!$B$14-1)/2)/MAX(0.5,'Control Room'!$B$14/4))^2),1)*IF(AND($A470&gt;='Control Room'!$A$15,$A470&lt;'Control Room'!$A$15+'Control Room'!$B$15,'Process'!BO4=1),1+('Control Room'!$C$15-1)*EXP(-0.5*(($A470-'Control Room'!$A$15-('Control Room'!$B$15-1)/2)/MAX(0.5,'Control Room'!$B$15/4))^2),1)*IF(AND($A470&gt;='Control Room'!$A$16,$A470&lt;'Control Room'!$A$16+'Control Room'!$B$16,'Process'!BO5=1),1+('Control Room'!$C$16-1)*EXP(-0.5*(($A470-'Control Room'!$A$16-('Control Room'!$B$16-1)/2)/MAX(0.5,'Control Room'!$B$16/4))^2),1)</x:f>
        <x:v>1</x:v>
      </x:c>
      <x:c r="AA470" s="9" t="n">
        <x:f>MOD(AB469*16807,2147483647)</x:f>
        <x:v>1858584505</x:v>
      </x:c>
      <x:c r="AB470" s="9" t="n">
        <x:f>MOD(AA470*16807,2147483647)</x:f>
        <x:v>2080129920</x:v>
      </x:c>
      <x:c r="AC470" s="17" t="n">
        <x:f>IF('Control Room'!$B$5="Normal",'Control Room'!$B$7+'Control Room'!$D$7*SQRT(-2*LN(MAX(0.000000000001,AA470/2147483647)))*COS(2*PI()*AB470/2147483647),'Control Room'!$B$8+('Control Room'!$D$8-'Control Room'!$B$8)*AA470/2147483647)</x:f>
        <x:v>1047.4433867043144</x:v>
      </x:c>
      <x:c r="AD470" s="17" t="n">
        <x:f>IF('Control Room'!$B$5="Normal",'Control Room'!$B$7,('Control Room'!$B$8+'Control Room'!$D$8)/2)+'Control Room'!$B$9*(AD469-IF('Control Room'!$B$5="Normal",'Control Room'!$B$7,('Control Room'!$B$8+'Control Room'!$D$8)/2))+SQRT(1-'Control Room'!$B$9^2)*(AC470-IF('Control Room'!$B$5="Normal",'Control Room'!$B$7,('Control Room'!$B$8+'Control Room'!$D$8)/2))</x:f>
        <x:v>1059.2277077963927</x:v>
      </x:c>
      <x:c r="AE470" s="17" t="n">
        <x:f>IF(AND($A470&gt;='Control Room'!$A$13,$A470&lt;'Control Room'!$A$13+'Control Room'!$B$13,'Process'!BP2=1),1+('Control Room'!$C$13-1)*EXP(-0.5*(($A470-'Control Room'!$A$13-('Control Room'!$B$13-1)/2)/MAX(0.5,'Control Room'!$B$13/4))^2),1)*IF(AND($A470&gt;='Control Room'!$A$14,$A470&lt;'Control Room'!$A$14+'Control Room'!$B$14,'Process'!BP3=1),1+('Control Room'!$C$14-1)*EXP(-0.5*(($A470-'Control Room'!$A$14-('Control Room'!$B$14-1)/2)/MAX(0.5,'Control Room'!$B$14/4))^2),1)*IF(AND($A470&gt;='Control Room'!$A$15,$A470&lt;'Control Room'!$A$15+'Control Room'!$B$15,'Process'!BP4=1),1+('Control Room'!$C$15-1)*EXP(-0.5*(($A470-'Control Room'!$A$15-('Control Room'!$B$15-1)/2)/MAX(0.5,'Control Room'!$B$15/4))^2),1)*IF(AND($A470&gt;='Control Room'!$A$16,$A470&lt;'Control Room'!$A$16+'Control Room'!$B$16,'Process'!BP5=1),1+('Control Room'!$C$16-1)*EXP(-0.5*(($A470-'Control Room'!$A$16-('Control Room'!$B$16-1)/2)/MAX(0.5,'Control Room'!$B$16/4))^2),1)</x:f>
        <x:v>1</x:v>
      </x:c>
      <x:c r="AF470" s="9" t="n">
        <x:f>MOD(AG469*16807,2147483647)</x:f>
        <x:v>1262720456</x:v>
      </x:c>
      <x:c r="AG470" s="9" t="n">
        <x:f>MOD(AF470*16807,2147483647)</x:f>
        <x:v>1109304338</x:v>
      </x:c>
      <x:c r="AH470" s="17" t="n">
        <x:f>IF('Control Room'!$B$5="Normal",'Control Room'!$B$7+'Control Room'!$D$7*SQRT(-2*LN(MAX(0.000000000001,AF470/2147483647)))*COS(2*PI()*AG470/2147483647),'Control Room'!$B$8+('Control Room'!$D$8-'Control Room'!$B$8)*AF470/2147483647)</x:f>
        <x:v>907.7511102004203</x:v>
      </x:c>
      <x:c r="AI470" s="17" t="n">
        <x:f>IF('Control Room'!$B$5="Normal",'Control Room'!$B$7,('Control Room'!$B$8+'Control Room'!$D$8)/2)+'Control Room'!$B$9*(AI469-IF('Control Room'!$B$5="Normal",'Control Room'!$B$7,('Control Room'!$B$8+'Control Room'!$D$8)/2))+SQRT(1-'Control Room'!$B$9^2)*(AH470-IF('Control Room'!$B$5="Normal",'Control Room'!$B$7,('Control Room'!$B$8+'Control Room'!$D$8)/2))</x:f>
        <x:v>1051.3777095275773</x:v>
      </x:c>
      <x:c r="AJ470" s="17" t="n">
        <x:f>IF(AND($A470&gt;='Control Room'!$A$13,$A470&lt;'Control Room'!$A$13+'Control Room'!$B$13,'Process'!BQ2=1),1+('Control Room'!$C$13-1)*EXP(-0.5*(($A470-'Control Room'!$A$13-('Control Room'!$B$13-1)/2)/MAX(0.5,'Control Room'!$B$13/4))^2),1)*IF(AND($A470&gt;='Control Room'!$A$14,$A470&lt;'Control Room'!$A$14+'Control Room'!$B$14,'Process'!BQ3=1),1+('Control Room'!$C$14-1)*EXP(-0.5*(($A470-'Control Room'!$A$14-('Control Room'!$B$14-1)/2)/MAX(0.5,'Control Room'!$B$14/4))^2),1)*IF(AND($A470&gt;='Control Room'!$A$15,$A470&lt;'Control Room'!$A$15+'Control Room'!$B$15,'Process'!BQ4=1),1+('Control Room'!$C$15-1)*EXP(-0.5*(($A470-'Control Room'!$A$15-('Control Room'!$B$15-1)/2)/MAX(0.5,'Control Room'!$B$15/4))^2),1)*IF(AND($A470&gt;='Control Room'!$A$16,$A470&lt;'Control Room'!$A$16+'Control Room'!$B$16,'Process'!BQ5=1),1+('Control Room'!$C$16-1)*EXP(-0.5*(($A470-'Control Room'!$A$16-('Control Room'!$B$16-1)/2)/MAX(0.5,'Control Room'!$B$16/4))^2),1)</x:f>
        <x:v>1</x:v>
      </x:c>
      <x:c r="AK470" s="9" t="n">
        <x:f>MOD(AL469*16807,2147483647)</x:f>
        <x:v>666856407</x:v>
      </x:c>
      <x:c r="AL470" s="9" t="n">
        <x:f>MOD(AK470*16807,2147483647)</x:f>
        <x:v>138478756</x:v>
      </x:c>
      <x:c r="AM470" s="17" t="n">
        <x:f>IF('Control Room'!$B$5="Normal",'Control Room'!$B$7+'Control Room'!$D$7*SQRT(-2*LN(MAX(0.000000000001,AK470/2147483647)))*COS(2*PI()*AL470/2147483647),'Control Room'!$B$8+('Control Room'!$D$8-'Control Room'!$B$8)*AK470/2147483647)</x:f>
        <x:v>1126.4987873881955</x:v>
      </x:c>
      <x:c r="AN470" s="17" t="n">
        <x:f>IF('Control Room'!$B$5="Normal",'Control Room'!$B$7,('Control Room'!$B$8+'Control Room'!$D$8)/2)+'Control Room'!$B$9*(AN469-IF('Control Room'!$B$5="Normal",'Control Room'!$B$7,('Control Room'!$B$8+'Control Room'!$D$8)/2))+SQRT(1-'Control Room'!$B$9^2)*(AM470-IF('Control Room'!$B$5="Normal",'Control Room'!$B$7,('Control Room'!$B$8+'Control Room'!$D$8)/2))</x:f>
        <x:v>1187.6245820645545</x:v>
      </x:c>
      <x:c r="AO470" s="17" t="n">
        <x:f>IF(AND($A470&gt;='Control Room'!$A$13,$A470&lt;'Control Room'!$A$13+'Control Room'!$B$13,'Process'!BR2=1),1+('Control Room'!$C$13-1)*EXP(-0.5*(($A470-'Control Room'!$A$13-('Control Room'!$B$13-1)/2)/MAX(0.5,'Control Room'!$B$13/4))^2),1)*IF(AND($A470&gt;='Control Room'!$A$14,$A470&lt;'Control Room'!$A$14+'Control Room'!$B$14,'Process'!BR3=1),1+('Control Room'!$C$14-1)*EXP(-0.5*(($A470-'Control Room'!$A$14-('Control Room'!$B$14-1)/2)/MAX(0.5,'Control Room'!$B$14/4))^2),1)*IF(AND($A470&gt;='Control Room'!$A$15,$A470&lt;'Control Room'!$A$15+'Control Room'!$B$15,'Process'!BR4=1),1+('Control Room'!$C$15-1)*EXP(-0.5*(($A470-'Control Room'!$A$15-('Control Room'!$B$15-1)/2)/MAX(0.5,'Control Room'!$B$15/4))^2),1)*IF(AND($A470&gt;='Control Room'!$A$16,$A470&lt;'Control Room'!$A$16+'Control Room'!$B$16,'Process'!BR5=1),1+('Control Room'!$C$16-1)*EXP(-0.5*(($A470-'Control Room'!$A$16-('Control Room'!$B$16-1)/2)/MAX(0.5,'Control Room'!$B$16/4))^2),1)</x:f>
        <x:v>1</x:v>
      </x:c>
      <x:c r="AP470" s="9" t="n">
        <x:f>MOD(AQ469*16807,2147483647)</x:f>
        <x:v>70992358</x:v>
      </x:c>
      <x:c r="AQ470" s="9" t="n">
        <x:f>MOD(AP470*16807,2147483647)</x:f>
        <x:v>1315136821</x:v>
      </x:c>
      <x:c r="AR470" s="17" t="n">
        <x:f>IF('Control Room'!$B$5="Normal",'Control Room'!$B$7+'Control Room'!$D$7*SQRT(-2*LN(MAX(0.000000000001,AP470/2147483647)))*COS(2*PI()*AQ470/2147483647),'Control Room'!$B$8+('Control Room'!$D$8-'Control Room'!$B$8)*AP470/2147483647)</x:f>
        <x:v>821.2028218596258</x:v>
      </x:c>
      <x:c r="AS470" s="17" t="n">
        <x:f>IF('Control Room'!$B$5="Normal",'Control Room'!$B$7,('Control Room'!$B$8+'Control Room'!$D$8)/2)+'Control Room'!$B$9*(AS469-IF('Control Room'!$B$5="Normal",'Control Room'!$B$7,('Control Room'!$B$8+'Control Room'!$D$8)/2))+SQRT(1-'Control Room'!$B$9^2)*(AR470-IF('Control Room'!$B$5="Normal",'Control Room'!$B$7,('Control Room'!$B$8+'Control Room'!$D$8)/2))</x:f>
        <x:v>930.6029807054205</x:v>
      </x:c>
      <x:c r="AT470" s="17" t="n">
        <x:f>IF(AND($A470&gt;='Control Room'!$A$13,$A470&lt;'Control Room'!$A$13+'Control Room'!$B$13,'Process'!BS2=1),1+('Control Room'!$C$13-1)*EXP(-0.5*(($A470-'Control Room'!$A$13-('Control Room'!$B$13-1)/2)/MAX(0.5,'Control Room'!$B$13/4))^2),1)*IF(AND($A470&gt;='Control Room'!$A$14,$A470&lt;'Control Room'!$A$14+'Control Room'!$B$14,'Process'!BS3=1),1+('Control Room'!$C$14-1)*EXP(-0.5*(($A470-'Control Room'!$A$14-('Control Room'!$B$14-1)/2)/MAX(0.5,'Control Room'!$B$14/4))^2),1)*IF(AND($A470&gt;='Control Room'!$A$15,$A470&lt;'Control Room'!$A$15+'Control Room'!$B$15,'Process'!BS4=1),1+('Control Room'!$C$15-1)*EXP(-0.5*(($A470-'Control Room'!$A$15-('Control Room'!$B$15-1)/2)/MAX(0.5,'Control Room'!$B$15/4))^2),1)*IF(AND($A470&gt;='Control Room'!$A$16,$A470&lt;'Control Room'!$A$16+'Control Room'!$B$16,'Process'!BS5=1),1+('Control Room'!$C$16-1)*EXP(-0.5*(($A470-'Control Room'!$A$16-('Control Room'!$B$16-1)/2)/MAX(0.5,'Control Room'!$B$16/4))^2),1)</x:f>
        <x:v>1</x:v>
      </x:c>
      <x:c r="AU470" s="9" t="n">
        <x:f>MOD(AV469*16807,2147483647)</x:f>
        <x:v>1622611956</x:v>
      </x:c>
      <x:c r="AV470" s="9" t="n">
        <x:f>MOD(AU470*16807,2147483647)</x:f>
        <x:v>344311239</x:v>
      </x:c>
      <x:c r="AW470" s="17" t="n">
        <x:f>IF('Control Room'!$B$5="Normal",'Control Room'!$B$7+'Control Room'!$D$7*SQRT(-2*LN(MAX(0.000000000001,AU470/2147483647)))*COS(2*PI()*AV470/2147483647),'Control Room'!$B$8+('Control Room'!$D$8-'Control Room'!$B$8)*AU470/2147483647)</x:f>
        <x:v>1035.9856659076906</x:v>
      </x:c>
      <x:c r="AX470" s="17" t="n">
        <x:f>IF('Control Room'!$B$5="Normal",'Control Room'!$B$7,('Control Room'!$B$8+'Control Room'!$D$8)/2)+'Control Room'!$B$9*(AX469-IF('Control Room'!$B$5="Normal",'Control Room'!$B$7,('Control Room'!$B$8+'Control Room'!$D$8)/2))+SQRT(1-'Control Room'!$B$9^2)*(AW470-IF('Control Room'!$B$5="Normal",'Control Room'!$B$7,('Control Room'!$B$8+'Control Room'!$D$8)/2))</x:f>
        <x:v>991.9649984918211</x:v>
      </x:c>
      <x:c r="AY470" s="17" t="n">
        <x:f>IF(AND($A470&gt;='Control Room'!$A$13,$A470&lt;'Control Room'!$A$13+'Control Room'!$B$13,'Process'!BT2=1),1+('Control Room'!$C$13-1)*EXP(-0.5*(($A470-'Control Room'!$A$13-('Control Room'!$B$13-1)/2)/MAX(0.5,'Control Room'!$B$13/4))^2),1)*IF(AND($A470&gt;='Control Room'!$A$14,$A470&lt;'Control Room'!$A$14+'Control Room'!$B$14,'Process'!BT3=1),1+('Control Room'!$C$14-1)*EXP(-0.5*(($A470-'Control Room'!$A$14-('Control Room'!$B$14-1)/2)/MAX(0.5,'Control Room'!$B$14/4))^2),1)*IF(AND($A470&gt;='Control Room'!$A$15,$A470&lt;'Control Room'!$A$15+'Control Room'!$B$15,'Process'!BT4=1),1+('Control Room'!$C$15-1)*EXP(-0.5*(($A470-'Control Room'!$A$15-('Control Room'!$B$15-1)/2)/MAX(0.5,'Control Room'!$B$15/4))^2),1)*IF(AND($A470&gt;='Control Room'!$A$16,$A470&lt;'Control Room'!$A$16+'Control Room'!$B$16,'Process'!BT5=1),1+('Control Room'!$C$16-1)*EXP(-0.5*(($A470-'Control Room'!$A$16-('Control Room'!$B$16-1)/2)/MAX(0.5,'Control Room'!$B$16/4))^2),1)</x:f>
        <x:v>1</x:v>
      </x:c>
      <x:c r="AZ470" s="9" t="n">
        <x:f>MOD(BA469*16807,2147483647)</x:f>
        <x:v>1026747907</x:v>
      </x:c>
      <x:c r="BA470" s="9" t="n">
        <x:f>MOD(AZ470*16807,2147483647)</x:f>
        <x:v>1520969304</x:v>
      </x:c>
      <x:c r="BB470" s="17" t="n">
        <x:f>IF('Control Room'!$B$5="Normal",'Control Room'!$B$7+'Control Room'!$D$7*SQRT(-2*LN(MAX(0.000000000001,AZ470/2147483647)))*COS(2*PI()*BA470/2147483647),'Control Room'!$B$8+('Control Room'!$D$8-'Control Room'!$B$8)*AZ470/2147483647)</x:f>
        <x:v>971.6512414664597</x:v>
      </x:c>
      <x:c r="BC470" s="17" t="n">
        <x:f>IF('Control Room'!$B$5="Normal",'Control Room'!$B$7,('Control Room'!$B$8+'Control Room'!$D$8)/2)+'Control Room'!$B$9*(BC469-IF('Control Room'!$B$5="Normal",'Control Room'!$B$7,('Control Room'!$B$8+'Control Room'!$D$8)/2))+SQRT(1-'Control Room'!$B$9^2)*(BB470-IF('Control Room'!$B$5="Normal",'Control Room'!$B$7,('Control Room'!$B$8+'Control Room'!$D$8)/2))</x:f>
        <x:v>953.3186570111394</x:v>
      </x:c>
      <x:c r="BD470" s="17" t="n">
        <x:f>IF(AND($A470&gt;='Control Room'!$A$13,$A470&lt;'Control Room'!$A$13+'Control Room'!$B$13,'Process'!BU2=1),1+('Control Room'!$C$13-1)*EXP(-0.5*(($A470-'Control Room'!$A$13-('Control Room'!$B$13-1)/2)/MAX(0.5,'Control Room'!$B$13/4))^2),1)*IF(AND($A470&gt;='Control Room'!$A$14,$A470&lt;'Control Room'!$A$14+'Control Room'!$B$14,'Process'!BU3=1),1+('Control Room'!$C$14-1)*EXP(-0.5*(($A470-'Control Room'!$A$14-('Control Room'!$B$14-1)/2)/MAX(0.5,'Control Room'!$B$14/4))^2),1)*IF(AND($A470&gt;='Control Room'!$A$15,$A470&lt;'Control Room'!$A$15+'Control Room'!$B$15,'Process'!BU4=1),1+('Control Room'!$C$15-1)*EXP(-0.5*(($A470-'Control Room'!$A$15-('Control Room'!$B$15-1)/2)/MAX(0.5,'Control Room'!$B$15/4))^2),1)*IF(AND($A470&gt;='Control Room'!$A$16,$A470&lt;'Control Room'!$A$16+'Control Room'!$B$16,'Process'!BU5=1),1+('Control Room'!$C$16-1)*EXP(-0.5*(($A470-'Control Room'!$A$16-('Control Room'!$B$16-1)/2)/MAX(0.5,'Control Room'!$B$16/4))^2),1)</x:f>
        <x:v>1</x:v>
      </x:c>
      <x:c r="BE470" s="9" t="n">
        <x:f>MOD(BF469*16807,2147483647)</x:f>
        <x:v>430883858</x:v>
      </x:c>
      <x:c r="BF470" s="9" t="n">
        <x:f>MOD(BE470*16807,2147483647)</x:f>
        <x:v>550143722</x:v>
      </x:c>
      <x:c r="BG470" s="17" t="n">
        <x:f>IF('Control Room'!$B$5="Normal",'Control Room'!$B$7+'Control Room'!$D$7*SQRT(-2*LN(MAX(0.000000000001,BE470/2147483647)))*COS(2*PI()*BF470/2147483647),'Control Room'!$B$8+('Control Room'!$D$8-'Control Room'!$B$8)*BE470/2147483647)</x:f>
        <x:v>993.7372819274927</x:v>
      </x:c>
      <x:c r="BH470" s="17" t="n">
        <x:f>IF('Control Room'!$B$5="Normal",'Control Room'!$B$7,('Control Room'!$B$8+'Control Room'!$D$8)/2)+'Control Room'!$B$9*(BH469-IF('Control Room'!$B$5="Normal",'Control Room'!$B$7,('Control Room'!$B$8+'Control Room'!$D$8)/2))+SQRT(1-'Control Room'!$B$9^2)*(BG470-IF('Control Room'!$B$5="Normal",'Control Room'!$B$7,('Control Room'!$B$8+'Control Room'!$D$8)/2))</x:f>
        <x:v>991.4377614023946</x:v>
      </x:c>
      <x:c r="BI470" s="17" t="n">
        <x:f>IF(AND($A470&gt;='Control Room'!$A$13,$A470&lt;'Control Room'!$A$13+'Control Room'!$B$13,'Process'!BV2=1),1+('Control Room'!$C$13-1)*EXP(-0.5*(($A470-'Control Room'!$A$13-('Control Room'!$B$13-1)/2)/MAX(0.5,'Control Room'!$B$13/4))^2),1)*IF(AND($A470&gt;='Control Room'!$A$14,$A470&lt;'Control Room'!$A$14+'Control Room'!$B$14,'Process'!BV3=1),1+('Control Room'!$C$14-1)*EXP(-0.5*(($A470-'Control Room'!$A$14-('Control Room'!$B$14-1)/2)/MAX(0.5,'Control Room'!$B$14/4))^2),1)*IF(AND($A470&gt;='Control Room'!$A$15,$A470&lt;'Control Room'!$A$15+'Control Room'!$B$15,'Process'!BV4=1),1+('Control Room'!$C$15-1)*EXP(-0.5*(($A470-'Control Room'!$A$15-('Control Room'!$B$15-1)/2)/MAX(0.5,'Control Room'!$B$15/4))^2),1)*IF(AND($A470&gt;='Control Room'!$A$16,$A470&lt;'Control Room'!$A$16+'Control Room'!$B$16,'Process'!BV5=1),1+('Control Room'!$C$16-1)*EXP(-0.5*(($A470-'Control Room'!$A$16-('Control Room'!$B$16-1)/2)/MAX(0.5,'Control Room'!$B$16/4))^2),1)</x:f>
        <x:v>1</x:v>
      </x:c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Z470" t="str">
        <x:f>IF('Data'!A470="","",TEXT('Data'!A470,"mm-dd"))</x:f>
      </x:c>
    </x:row>
    <x:row r="471" ht="21" customHeight="1">
      <x:c r="A471" s="15" t="n">
        <x:f>'Control Room'!$B$1+469</x:f>
        <x:v>73460</x:v>
      </x:c>
      <x:c r="B471" s="9" t="n">
        <x:f>MOD(C470*16807,2147483647)</x:f>
        <x:v>133826120</x:v>
      </x:c>
      <x:c r="C471" s="9" t="n">
        <x:f>MOD(B471*16807,2147483647)</x:f>
        <x:v>800220431</x:v>
      </x:c>
      <x:c r="D471" s="17" t="n">
        <x:f>IF('Control Room'!$B$5="Normal",'Control Room'!$B$7+'Control Room'!$D$7*SQRT(-2*LN(MAX(0.000000000001,B471/2147483647)))*COS(2*PI()*C471/2147483647),'Control Room'!$B$8+('Control Room'!$D$8-'Control Room'!$B$8)*B471/2147483647)</x:f>
        <x:v>852.3089233450977</x:v>
      </x:c>
      <x:c r="E471" s="17" t="n">
        <x:f>IF('Control Room'!$B$5="Normal",'Control Room'!$B$7,('Control Room'!$B$8+'Control Room'!$D$8)/2)+'Control Room'!$B$9*(E470-IF('Control Room'!$B$5="Normal",'Control Room'!$B$7,('Control Room'!$B$8+'Control Room'!$D$8)/2))+SQRT(1-'Control Room'!$B$9^2)*(D471-IF('Control Room'!$B$5="Normal",'Control Room'!$B$7,('Control Room'!$B$8+'Control Room'!$D$8)/2))</x:f>
        <x:v>875.9195996301773</x:v>
      </x:c>
      <x:c r="F471" s="17" t="n">
        <x:f>IF(AND($A471&gt;='Control Room'!$A$13,$A471&lt;'Control Room'!$A$13+'Control Room'!$B$13,'Process'!BK2=1),1+('Control Room'!$C$13-1)*EXP(-0.5*(($A471-'Control Room'!$A$13-('Control Room'!$B$13-1)/2)/MAX(0.5,'Control Room'!$B$13/4))^2),1)*IF(AND($A471&gt;='Control Room'!$A$14,$A471&lt;'Control Room'!$A$14+'Control Room'!$B$14,'Process'!BK3=1),1+('Control Room'!$C$14-1)*EXP(-0.5*(($A471-'Control Room'!$A$14-('Control Room'!$B$14-1)/2)/MAX(0.5,'Control Room'!$B$14/4))^2),1)*IF(AND($A471&gt;='Control Room'!$A$15,$A471&lt;'Control Room'!$A$15+'Control Room'!$B$15,'Process'!BK4=1),1+('Control Room'!$C$15-1)*EXP(-0.5*(($A471-'Control Room'!$A$15-('Control Room'!$B$15-1)/2)/MAX(0.5,'Control Room'!$B$15/4))^2),1)*IF(AND($A471&gt;='Control Room'!$A$16,$A471&lt;'Control Room'!$A$16+'Control Room'!$B$16,'Process'!BK5=1),1+('Control Room'!$C$16-1)*EXP(-0.5*(($A471-'Control Room'!$A$16-('Control Room'!$B$16-1)/2)/MAX(0.5,'Control Room'!$B$16/4))^2),1)</x:f>
        <x:v>1</x:v>
      </x:c>
      <x:c r="G471" s="9" t="n">
        <x:f>MOD(H470*16807,2147483647)</x:f>
        <x:v>49019352</x:v>
      </x:c>
      <x:c r="H471" s="9" t="n">
        <x:f>MOD(G471*16807,2147483647)</x:f>
        <x:v>1382012263</x:v>
      </x:c>
      <x:c r="I471" s="17" t="n">
        <x:f>IF('Control Room'!$B$5="Normal",'Control Room'!$B$7+'Control Room'!$D$7*SQRT(-2*LN(MAX(0.000000000001,G471/2147483647)))*COS(2*PI()*H471/2147483647),'Control Room'!$B$8+('Control Room'!$D$8-'Control Room'!$B$8)*G471/2147483647)</x:f>
        <x:v>846.5583250220848</x:v>
      </x:c>
      <x:c r="J471" s="17" t="n">
        <x:f>IF('Control Room'!$B$5="Normal",'Control Room'!$B$7,('Control Room'!$B$8+'Control Room'!$D$8)/2)+'Control Room'!$B$9*(J470-IF('Control Room'!$B$5="Normal",'Control Room'!$B$7,('Control Room'!$B$8+'Control Room'!$D$8)/2))+SQRT(1-'Control Room'!$B$9^2)*(I471-IF('Control Room'!$B$5="Normal",'Control Room'!$B$7,('Control Room'!$B$8+'Control Room'!$D$8)/2))</x:f>
        <x:v>969.2297348668474</x:v>
      </x:c>
      <x:c r="K471" s="17" t="n">
        <x:f>IF(AND($A471&gt;='Control Room'!$A$13,$A471&lt;'Control Room'!$A$13+'Control Room'!$B$13,'Process'!BL2=1),1+('Control Room'!$C$13-1)*EXP(-0.5*(($A471-'Control Room'!$A$13-('Control Room'!$B$13-1)/2)/MAX(0.5,'Control Room'!$B$13/4))^2),1)*IF(AND($A471&gt;='Control Room'!$A$14,$A471&lt;'Control Room'!$A$14+'Control Room'!$B$14,'Process'!BL3=1),1+('Control Room'!$C$14-1)*EXP(-0.5*(($A471-'Control Room'!$A$14-('Control Room'!$B$14-1)/2)/MAX(0.5,'Control Room'!$B$14/4))^2),1)*IF(AND($A471&gt;='Control Room'!$A$15,$A471&lt;'Control Room'!$A$15+'Control Room'!$B$15,'Process'!BL4=1),1+('Control Room'!$C$15-1)*EXP(-0.5*(($A471-'Control Room'!$A$15-('Control Room'!$B$15-1)/2)/MAX(0.5,'Control Room'!$B$15/4))^2),1)*IF(AND($A471&gt;='Control Room'!$A$16,$A471&lt;'Control Room'!$A$16+'Control Room'!$B$16,'Process'!BL5=1),1+('Control Room'!$C$16-1)*EXP(-0.5*(($A471-'Control Room'!$A$16-('Control Room'!$B$16-1)/2)/MAX(0.5,'Control Room'!$B$16/4))^2),1)</x:f>
        <x:v>1</x:v>
      </x:c>
      <x:c r="L471" s="9" t="n">
        <x:f>MOD(M470*16807,2147483647)</x:f>
        <x:v>2111696231</x:v>
      </x:c>
      <x:c r="M471" s="9" t="n">
        <x:f>MOD(L471*16807,2147483647)</x:f>
        <x:v>1963804095</x:v>
      </x:c>
      <x:c r="N471" s="17" t="n">
        <x:f>IF('Control Room'!$B$5="Normal",'Control Room'!$B$7+'Control Room'!$D$7*SQRT(-2*LN(MAX(0.000000000001,L471/2147483647)))*COS(2*PI()*M471/2147483647),'Control Room'!$B$8+('Control Room'!$D$8-'Control Room'!$B$8)*L471/2147483647)</x:f>
        <x:v>1014.1739289426008</x:v>
      </x:c>
      <x:c r="O471" s="17" t="n">
        <x:f>IF('Control Room'!$B$5="Normal",'Control Room'!$B$7,('Control Room'!$B$8+'Control Room'!$D$8)/2)+'Control Room'!$B$9*(O470-IF('Control Room'!$B$5="Normal",'Control Room'!$B$7,('Control Room'!$B$8+'Control Room'!$D$8)/2))+SQRT(1-'Control Room'!$B$9^2)*(N471-IF('Control Room'!$B$5="Normal",'Control Room'!$B$7,('Control Room'!$B$8+'Control Room'!$D$8)/2))</x:f>
        <x:v>888.9905522680807</x:v>
      </x:c>
      <x:c r="P471" s="17" t="n">
        <x:f>IF(AND($A471&gt;='Control Room'!$A$13,$A471&lt;'Control Room'!$A$13+'Control Room'!$B$13,'Process'!BM2=1),1+('Control Room'!$C$13-1)*EXP(-0.5*(($A471-'Control Room'!$A$13-('Control Room'!$B$13-1)/2)/MAX(0.5,'Control Room'!$B$13/4))^2),1)*IF(AND($A471&gt;='Control Room'!$A$14,$A471&lt;'Control Room'!$A$14+'Control Room'!$B$14,'Process'!BM3=1),1+('Control Room'!$C$14-1)*EXP(-0.5*(($A471-'Control Room'!$A$14-('Control Room'!$B$14-1)/2)/MAX(0.5,'Control Room'!$B$14/4))^2),1)*IF(AND($A471&gt;='Control Room'!$A$15,$A471&lt;'Control Room'!$A$15+'Control Room'!$B$15,'Process'!BM4=1),1+('Control Room'!$C$15-1)*EXP(-0.5*(($A471-'Control Room'!$A$15-('Control Room'!$B$15-1)/2)/MAX(0.5,'Control Room'!$B$15/4))^2),1)*IF(AND($A471&gt;='Control Room'!$A$16,$A471&lt;'Control Room'!$A$16+'Control Room'!$B$16,'Process'!BM5=1),1+('Control Room'!$C$16-1)*EXP(-0.5*(($A471-'Control Room'!$A$16-('Control Room'!$B$16-1)/2)/MAX(0.5,'Control Room'!$B$16/4))^2),1)</x:f>
        <x:v>1</x:v>
      </x:c>
      <x:c r="Q471" s="9" t="n">
        <x:f>MOD(R470*16807,2147483647)</x:f>
        <x:v>2026889463</x:v>
      </x:c>
      <x:c r="R471" s="9" t="n">
        <x:f>MOD(Q471*16807,2147483647)</x:f>
        <x:v>398112280</x:v>
      </x:c>
      <x:c r="S471" s="17" t="n">
        <x:f>IF('Control Room'!$B$5="Normal",'Control Room'!$B$7+'Control Room'!$D$7*SQRT(-2*LN(MAX(0.000000000001,Q471/2147483647)))*COS(2*PI()*R471/2147483647),'Control Room'!$B$8+('Control Room'!$D$8-'Control Room'!$B$8)*Q471/2147483647)</x:f>
        <x:v>1012.0840888216646</x:v>
      </x:c>
      <x:c r="T471" s="17" t="n">
        <x:f>IF('Control Room'!$B$5="Normal",'Control Room'!$B$7,('Control Room'!$B$8+'Control Room'!$D$8)/2)+'Control Room'!$B$9*(T470-IF('Control Room'!$B$5="Normal",'Control Room'!$B$7,('Control Room'!$B$8+'Control Room'!$D$8)/2))+SQRT(1-'Control Room'!$B$9^2)*(S471-IF('Control Room'!$B$5="Normal",'Control Room'!$B$7,('Control Room'!$B$8+'Control Room'!$D$8)/2))</x:f>
        <x:v>1005.2340931470471</x:v>
      </x:c>
      <x:c r="U471" s="17" t="n">
        <x:f>IF(AND($A471&gt;='Control Room'!$A$13,$A471&lt;'Control Room'!$A$13+'Control Room'!$B$13,'Process'!BN2=1),1+('Control Room'!$C$13-1)*EXP(-0.5*(($A471-'Control Room'!$A$13-('Control Room'!$B$13-1)/2)/MAX(0.5,'Control Room'!$B$13/4))^2),1)*IF(AND($A471&gt;='Control Room'!$A$14,$A471&lt;'Control Room'!$A$14+'Control Room'!$B$14,'Process'!BN3=1),1+('Control Room'!$C$14-1)*EXP(-0.5*(($A471-'Control Room'!$A$14-('Control Room'!$B$14-1)/2)/MAX(0.5,'Control Room'!$B$14/4))^2),1)*IF(AND($A471&gt;='Control Room'!$A$15,$A471&lt;'Control Room'!$A$15+'Control Room'!$B$15,'Process'!BN4=1),1+('Control Room'!$C$15-1)*EXP(-0.5*(($A471-'Control Room'!$A$15-('Control Room'!$B$15-1)/2)/MAX(0.5,'Control Room'!$B$15/4))^2),1)*IF(AND($A471&gt;='Control Room'!$A$16,$A471&lt;'Control Room'!$A$16+'Control Room'!$B$16,'Process'!BN5=1),1+('Control Room'!$C$16-1)*EXP(-0.5*(($A471-'Control Room'!$A$16-('Control Room'!$B$16-1)/2)/MAX(0.5,'Control Room'!$B$16/4))^2),1)</x:f>
        <x:v>1</x:v>
      </x:c>
      <x:c r="V471" s="9" t="n">
        <x:f>MOD(W470*16807,2147483647)</x:f>
        <x:v>1942082695</x:v>
      </x:c>
      <x:c r="W471" s="9" t="n">
        <x:f>MOD(V471*16807,2147483647)</x:f>
        <x:v>979904112</x:v>
      </x:c>
      <x:c r="X471" s="17" t="n">
        <x:f>IF('Control Room'!$B$5="Normal",'Control Room'!$B$7+'Control Room'!$D$7*SQRT(-2*LN(MAX(0.000000000001,V471/2147483647)))*COS(2*PI()*W471/2147483647),'Control Room'!$B$8+('Control Room'!$D$8-'Control Room'!$B$8)*V471/2147483647)</x:f>
        <x:v>961.1546076555386</x:v>
      </x:c>
      <x:c r="Y471" s="17" t="n">
        <x:f>IF('Control Room'!$B$5="Normal",'Control Room'!$B$7,('Control Room'!$B$8+'Control Room'!$D$8)/2)+'Control Room'!$B$9*(Y470-IF('Control Room'!$B$5="Normal",'Control Room'!$B$7,('Control Room'!$B$8+'Control Room'!$D$8)/2))+SQRT(1-'Control Room'!$B$9^2)*(X471-IF('Control Room'!$B$5="Normal",'Control Room'!$B$7,('Control Room'!$B$8+'Control Room'!$D$8)/2))</x:f>
        <x:v>860.0360315922013</x:v>
      </x:c>
      <x:c r="Z471" s="17" t="n">
        <x:f>IF(AND($A471&gt;='Control Room'!$A$13,$A471&lt;'Control Room'!$A$13+'Control Room'!$B$13,'Process'!BO2=1),1+('Control Room'!$C$13-1)*EXP(-0.5*(($A471-'Control Room'!$A$13-('Control Room'!$B$13-1)/2)/MAX(0.5,'Control Room'!$B$13/4))^2),1)*IF(AND($A471&gt;='Control Room'!$A$14,$A471&lt;'Control Room'!$A$14+'Control Room'!$B$14,'Process'!BO3=1),1+('Control Room'!$C$14-1)*EXP(-0.5*(($A471-'Control Room'!$A$14-('Control Room'!$B$14-1)/2)/MAX(0.5,'Control Room'!$B$14/4))^2),1)*IF(AND($A471&gt;='Control Room'!$A$15,$A471&lt;'Control Room'!$A$15+'Control Room'!$B$15,'Process'!BO4=1),1+('Control Room'!$C$15-1)*EXP(-0.5*(($A471-'Control Room'!$A$15-('Control Room'!$B$15-1)/2)/MAX(0.5,'Control Room'!$B$15/4))^2),1)*IF(AND($A471&gt;='Control Room'!$A$16,$A471&lt;'Control Room'!$A$16+'Control Room'!$B$16,'Process'!BO5=1),1+('Control Room'!$C$16-1)*EXP(-0.5*(($A471-'Control Room'!$A$16-('Control Room'!$B$16-1)/2)/MAX(0.5,'Control Room'!$B$16/4))^2),1)</x:f>
        <x:v>1</x:v>
      </x:c>
      <x:c r="AA471" s="9" t="n">
        <x:f>MOD(AB470*16807,2147483647)</x:f>
        <x:v>1857275927</x:v>
      </x:c>
      <x:c r="AB471" s="9" t="n">
        <x:f>MOD(AA471*16807,2147483647)</x:f>
        <x:v>1561695944</x:v>
      </x:c>
      <x:c r="AC471" s="17" t="n">
        <x:f>IF('Control Room'!$B$5="Normal",'Control Room'!$B$7+'Control Room'!$D$7*SQRT(-2*LN(MAX(0.000000000001,AA471/2147483647)))*COS(2*PI()*AB471/2147483647),'Control Room'!$B$8+('Control Room'!$D$8-'Control Room'!$B$8)*AA471/2147483647)</x:f>
        <x:v>993.0825823974499</x:v>
      </x:c>
      <x:c r="AD471" s="17" t="n">
        <x:f>IF('Control Room'!$B$5="Normal",'Control Room'!$B$7,('Control Room'!$B$8+'Control Room'!$D$8)/2)+'Control Room'!$B$9*(AD470-IF('Control Room'!$B$5="Normal",'Control Room'!$B$7,('Control Room'!$B$8+'Control Room'!$D$8)/2))+SQRT(1-'Control Room'!$B$9^2)*(AC471-IF('Control Room'!$B$5="Normal",'Control Room'!$B$7,('Control Room'!$B$8+'Control Room'!$D$8)/2))</x:f>
        <x:v>1041.8688338565125</x:v>
      </x:c>
      <x:c r="AE471" s="17" t="n">
        <x:f>IF(AND($A471&gt;='Control Room'!$A$13,$A471&lt;'Control Room'!$A$13+'Control Room'!$B$13,'Process'!BP2=1),1+('Control Room'!$C$13-1)*EXP(-0.5*(($A471-'Control Room'!$A$13-('Control Room'!$B$13-1)/2)/MAX(0.5,'Control Room'!$B$13/4))^2),1)*IF(AND($A471&gt;='Control Room'!$A$14,$A471&lt;'Control Room'!$A$14+'Control Room'!$B$14,'Process'!BP3=1),1+('Control Room'!$C$14-1)*EXP(-0.5*(($A471-'Control Room'!$A$14-('Control Room'!$B$14-1)/2)/MAX(0.5,'Control Room'!$B$14/4))^2),1)*IF(AND($A471&gt;='Control Room'!$A$15,$A471&lt;'Control Room'!$A$15+'Control Room'!$B$15,'Process'!BP4=1),1+('Control Room'!$C$15-1)*EXP(-0.5*(($A471-'Control Room'!$A$15-('Control Room'!$B$15-1)/2)/MAX(0.5,'Control Room'!$B$15/4))^2),1)*IF(AND($A471&gt;='Control Room'!$A$16,$A471&lt;'Control Room'!$A$16+'Control Room'!$B$16,'Process'!BP5=1),1+('Control Room'!$C$16-1)*EXP(-0.5*(($A471-'Control Room'!$A$16-('Control Room'!$B$16-1)/2)/MAX(0.5,'Control Room'!$B$16/4))^2),1)</x:f>
        <x:v>1</x:v>
      </x:c>
      <x:c r="AF471" s="9" t="n">
        <x:f>MOD(AG470*16807,2147483647)</x:f>
        <x:v>1772469159</x:v>
      </x:c>
      <x:c r="AG471" s="9" t="n">
        <x:f>MOD(AF471*16807,2147483647)</x:f>
        <x:v>2143487776</x:v>
      </x:c>
      <x:c r="AH471" s="17" t="n">
        <x:f>IF('Control Room'!$B$5="Normal",'Control Room'!$B$7+'Control Room'!$D$7*SQRT(-2*LN(MAX(0.000000000001,AF471/2147483647)))*COS(2*PI()*AG471/2147483647),'Control Room'!$B$8+('Control Room'!$D$8-'Control Room'!$B$8)*AF471/2147483647)</x:f>
        <x:v>1055.7559912902373</x:v>
      </x:c>
      <x:c r="AI471" s="17" t="n">
        <x:f>IF('Control Room'!$B$5="Normal",'Control Room'!$B$7,('Control Room'!$B$8+'Control Room'!$D$8)/2)+'Control Room'!$B$9*(AI470-IF('Control Room'!$B$5="Normal",'Control Room'!$B$7,('Control Room'!$B$8+'Control Room'!$D$8)/2))+SQRT(1-'Control Room'!$B$9^2)*(AH471-IF('Control Room'!$B$5="Normal",'Control Room'!$B$7,('Control Room'!$B$8+'Control Room'!$D$8)/2))</x:f>
        <x:v>1074.9655705573737</x:v>
      </x:c>
      <x:c r="AJ471" s="17" t="n">
        <x:f>IF(AND($A471&gt;='Control Room'!$A$13,$A471&lt;'Control Room'!$A$13+'Control Room'!$B$13,'Process'!BQ2=1),1+('Control Room'!$C$13-1)*EXP(-0.5*(($A471-'Control Room'!$A$13-('Control Room'!$B$13-1)/2)/MAX(0.5,'Control Room'!$B$13/4))^2),1)*IF(AND($A471&gt;='Control Room'!$A$14,$A471&lt;'Control Room'!$A$14+'Control Room'!$B$14,'Process'!BQ3=1),1+('Control Room'!$C$14-1)*EXP(-0.5*(($A471-'Control Room'!$A$14-('Control Room'!$B$14-1)/2)/MAX(0.5,'Control Room'!$B$14/4))^2),1)*IF(AND($A471&gt;='Control Room'!$A$15,$A471&lt;'Control Room'!$A$15+'Control Room'!$B$15,'Process'!BQ4=1),1+('Control Room'!$C$15-1)*EXP(-0.5*(($A471-'Control Room'!$A$15-('Control Room'!$B$15-1)/2)/MAX(0.5,'Control Room'!$B$15/4))^2),1)*IF(AND($A471&gt;='Control Room'!$A$16,$A471&lt;'Control Room'!$A$16+'Control Room'!$B$16,'Process'!BQ5=1),1+('Control Room'!$C$16-1)*EXP(-0.5*(($A471-'Control Room'!$A$16-('Control Room'!$B$16-1)/2)/MAX(0.5,'Control Room'!$B$16/4))^2),1)</x:f>
        <x:v>1</x:v>
      </x:c>
      <x:c r="AK471" s="9" t="n">
        <x:f>MOD(AL470*16807,2147483647)</x:f>
        <x:v>1687662391</x:v>
      </x:c>
      <x:c r="AL471" s="9" t="n">
        <x:f>MOD(AK471*16807,2147483647)</x:f>
        <x:v>577795961</x:v>
      </x:c>
      <x:c r="AM471" s="17" t="n">
        <x:f>IF('Control Room'!$B$5="Normal",'Control Room'!$B$7+'Control Room'!$D$7*SQRT(-2*LN(MAX(0.000000000001,AK471/2147483647)))*COS(2*PI()*AL471/2147483647),'Control Room'!$B$8+('Control Room'!$D$8-'Control Room'!$B$8)*AK471/2147483647)</x:f>
        <x:v>992.5368177332768</x:v>
      </x:c>
      <x:c r="AN471" s="17" t="n">
        <x:f>IF('Control Room'!$B$5="Normal",'Control Room'!$B$7,('Control Room'!$B$8+'Control Room'!$D$8)/2)+'Control Room'!$B$9*(AN470-IF('Control Room'!$B$5="Normal",'Control Room'!$B$7,('Control Room'!$B$8+'Control Room'!$D$8)/2))+SQRT(1-'Control Room'!$B$9^2)*(AM471-IF('Control Room'!$B$5="Normal",'Control Room'!$B$7,('Control Room'!$B$8+'Control Room'!$D$8)/2))</x:f>
        <x:v>1141.6768674394364</x:v>
      </x:c>
      <x:c r="AO471" s="17" t="n">
        <x:f>IF(AND($A471&gt;='Control Room'!$A$13,$A471&lt;'Control Room'!$A$13+'Control Room'!$B$13,'Process'!BR2=1),1+('Control Room'!$C$13-1)*EXP(-0.5*(($A471-'Control Room'!$A$13-('Control Room'!$B$13-1)/2)/MAX(0.5,'Control Room'!$B$13/4))^2),1)*IF(AND($A471&gt;='Control Room'!$A$14,$A471&lt;'Control Room'!$A$14+'Control Room'!$B$14,'Process'!BR3=1),1+('Control Room'!$C$14-1)*EXP(-0.5*(($A471-'Control Room'!$A$14-('Control Room'!$B$14-1)/2)/MAX(0.5,'Control Room'!$B$14/4))^2),1)*IF(AND($A471&gt;='Control Room'!$A$15,$A471&lt;'Control Room'!$A$15+'Control Room'!$B$15,'Process'!BR4=1),1+('Control Room'!$C$15-1)*EXP(-0.5*(($A471-'Control Room'!$A$15-('Control Room'!$B$15-1)/2)/MAX(0.5,'Control Room'!$B$15/4))^2),1)*IF(AND($A471&gt;='Control Room'!$A$16,$A471&lt;'Control Room'!$A$16+'Control Room'!$B$16,'Process'!BR5=1),1+('Control Room'!$C$16-1)*EXP(-0.5*(($A471-'Control Room'!$A$16-('Control Room'!$B$16-1)/2)/MAX(0.5,'Control Room'!$B$16/4))^2),1)</x:f>
        <x:v>1</x:v>
      </x:c>
      <x:c r="AP471" s="9" t="n">
        <x:f>MOD(AQ470*16807,2147483647)</x:f>
        <x:v>1602855623</x:v>
      </x:c>
      <x:c r="AQ471" s="9" t="n">
        <x:f>MOD(AP471*16807,2147483647)</x:f>
        <x:v>1159587793</x:v>
      </x:c>
      <x:c r="AR471" s="17" t="n">
        <x:f>IF('Control Room'!$B$5="Normal",'Control Room'!$B$7+'Control Room'!$D$7*SQRT(-2*LN(MAX(0.000000000001,AP471/2147483647)))*COS(2*PI()*AQ471/2147483647),'Control Room'!$B$8+('Control Room'!$D$8-'Control Room'!$B$8)*AP471/2147483647)</x:f>
        <x:v>933.3220625222355</x:v>
      </x:c>
      <x:c r="AS471" s="17" t="n">
        <x:f>IF('Control Room'!$B$5="Normal",'Control Room'!$B$7,('Control Room'!$B$8+'Control Room'!$D$8)/2)+'Control Room'!$B$9*(AS470-IF('Control Room'!$B$5="Normal",'Control Room'!$B$7,('Control Room'!$B$8+'Control Room'!$D$8)/2))+SQRT(1-'Control Room'!$B$9^2)*(AR471-IF('Control Room'!$B$5="Normal",'Control Room'!$B$7,('Control Room'!$B$8+'Control Room'!$D$8)/2))</x:f>
        <x:v>904.1446376484394</x:v>
      </x:c>
      <x:c r="AT471" s="17" t="n">
        <x:f>IF(AND($A471&gt;='Control Room'!$A$13,$A471&lt;'Control Room'!$A$13+'Control Room'!$B$13,'Process'!BS2=1),1+('Control Room'!$C$13-1)*EXP(-0.5*(($A471-'Control Room'!$A$13-('Control Room'!$B$13-1)/2)/MAX(0.5,'Control Room'!$B$13/4))^2),1)*IF(AND($A471&gt;='Control Room'!$A$14,$A471&lt;'Control Room'!$A$14+'Control Room'!$B$14,'Process'!BS3=1),1+('Control Room'!$C$14-1)*EXP(-0.5*(($A471-'Control Room'!$A$14-('Control Room'!$B$14-1)/2)/MAX(0.5,'Control Room'!$B$14/4))^2),1)*IF(AND($A471&gt;='Control Room'!$A$15,$A471&lt;'Control Room'!$A$15+'Control Room'!$B$15,'Process'!BS4=1),1+('Control Room'!$C$15-1)*EXP(-0.5*(($A471-'Control Room'!$A$15-('Control Room'!$B$15-1)/2)/MAX(0.5,'Control Room'!$B$15/4))^2),1)*IF(AND($A471&gt;='Control Room'!$A$16,$A471&lt;'Control Room'!$A$16+'Control Room'!$B$16,'Process'!BS5=1),1+('Control Room'!$C$16-1)*EXP(-0.5*(($A471-'Control Room'!$A$16-('Control Room'!$B$16-1)/2)/MAX(0.5,'Control Room'!$B$16/4))^2),1)</x:f>
        <x:v>1</x:v>
      </x:c>
      <x:c r="AU471" s="9" t="n">
        <x:f>MOD(AV470*16807,2147483647)</x:f>
        <x:v>1518048855</x:v>
      </x:c>
      <x:c r="AV471" s="9" t="n">
        <x:f>MOD(AU471*16807,2147483647)</x:f>
        <x:v>1741379625</x:v>
      </x:c>
      <x:c r="AW471" s="17" t="n">
        <x:f>IF('Control Room'!$B$5="Normal",'Control Room'!$B$7+'Control Room'!$D$7*SQRT(-2*LN(MAX(0.000000000001,AU471/2147483647)))*COS(2*PI()*AV471/2147483647),'Control Room'!$B$8+('Control Room'!$D$8-'Control Room'!$B$8)*AU471/2147483647)</x:f>
        <x:v>1027.9860350481708</x:v>
      </x:c>
      <x:c r="AX471" s="17" t="n">
        <x:f>IF('Control Room'!$B$5="Normal",'Control Room'!$B$7,('Control Room'!$B$8+'Control Room'!$D$8)/2)+'Control Room'!$B$9*(AX470-IF('Control Room'!$B$5="Normal",'Control Room'!$B$7,('Control Room'!$B$8+'Control Room'!$D$8)/2))+SQRT(1-'Control Room'!$B$9^2)*(AW471-IF('Control Room'!$B$5="Normal",'Control Room'!$B$7,('Control Room'!$B$8+'Control Room'!$D$8)/2))</x:f>
        <x:v>1011.2457862316749</x:v>
      </x:c>
      <x:c r="AY471" s="17" t="n">
        <x:f>IF(AND($A471&gt;='Control Room'!$A$13,$A471&lt;'Control Room'!$A$13+'Control Room'!$B$13,'Process'!BT2=1),1+('Control Room'!$C$13-1)*EXP(-0.5*(($A471-'Control Room'!$A$13-('Control Room'!$B$13-1)/2)/MAX(0.5,'Control Room'!$B$13/4))^2),1)*IF(AND($A471&gt;='Control Room'!$A$14,$A471&lt;'Control Room'!$A$14+'Control Room'!$B$14,'Process'!BT3=1),1+('Control Room'!$C$14-1)*EXP(-0.5*(($A471-'Control Room'!$A$14-('Control Room'!$B$14-1)/2)/MAX(0.5,'Control Room'!$B$14/4))^2),1)*IF(AND($A471&gt;='Control Room'!$A$15,$A471&lt;'Control Room'!$A$15+'Control Room'!$B$15,'Process'!BT4=1),1+('Control Room'!$C$15-1)*EXP(-0.5*(($A471-'Control Room'!$A$15-('Control Room'!$B$15-1)/2)/MAX(0.5,'Control Room'!$B$15/4))^2),1)*IF(AND($A471&gt;='Control Room'!$A$16,$A471&lt;'Control Room'!$A$16+'Control Room'!$B$16,'Process'!BT5=1),1+('Control Room'!$C$16-1)*EXP(-0.5*(($A471-'Control Room'!$A$16-('Control Room'!$B$16-1)/2)/MAX(0.5,'Control Room'!$B$16/4))^2),1)</x:f>
        <x:v>1</x:v>
      </x:c>
      <x:c r="AZ471" s="9" t="n">
        <x:f>MOD(BA470*16807,2147483647)</x:f>
        <x:v>1433242087</x:v>
      </x:c>
      <x:c r="BA471" s="9" t="n">
        <x:f>MOD(AZ471*16807,2147483647)</x:f>
        <x:v>175687810</x:v>
      </x:c>
      <x:c r="BB471" s="17" t="n">
        <x:f>IF('Control Room'!$B$5="Normal",'Control Room'!$B$7+'Control Room'!$D$7*SQRT(-2*LN(MAX(0.000000000001,AZ471/2147483647)))*COS(2*PI()*BA471/2147483647),'Control Room'!$B$8+('Control Room'!$D$8-'Control Room'!$B$8)*AZ471/2147483647)</x:f>
        <x:v>1070.4762738868849</x:v>
      </x:c>
      <x:c r="BC471" s="17" t="n">
        <x:f>IF('Control Room'!$B$5="Normal",'Control Room'!$B$7,('Control Room'!$B$8+'Control Room'!$D$8)/2)+'Control Room'!$B$9*(BC470-IF('Control Room'!$B$5="Normal",'Control Room'!$B$7,('Control Room'!$B$8+'Control Room'!$D$8)/2))+SQRT(1-'Control Room'!$B$9^2)*(BB471-IF('Control Room'!$B$5="Normal",'Control Room'!$B$7,('Control Room'!$B$8+'Control Room'!$D$8)/2))</x:f>
        <x:v>1007.691160882154</x:v>
      </x:c>
      <x:c r="BD471" s="17" t="n">
        <x:f>IF(AND($A471&gt;='Control Room'!$A$13,$A471&lt;'Control Room'!$A$13+'Control Room'!$B$13,'Process'!BU2=1),1+('Control Room'!$C$13-1)*EXP(-0.5*(($A471-'Control Room'!$A$13-('Control Room'!$B$13-1)/2)/MAX(0.5,'Control Room'!$B$13/4))^2),1)*IF(AND($A471&gt;='Control Room'!$A$14,$A471&lt;'Control Room'!$A$14+'Control Room'!$B$14,'Process'!BU3=1),1+('Control Room'!$C$14-1)*EXP(-0.5*(($A471-'Control Room'!$A$14-('Control Room'!$B$14-1)/2)/MAX(0.5,'Control Room'!$B$14/4))^2),1)*IF(AND($A471&gt;='Control Room'!$A$15,$A471&lt;'Control Room'!$A$15+'Control Room'!$B$15,'Process'!BU4=1),1+('Control Room'!$C$15-1)*EXP(-0.5*(($A471-'Control Room'!$A$15-('Control Room'!$B$15-1)/2)/MAX(0.5,'Control Room'!$B$15/4))^2),1)*IF(AND($A471&gt;='Control Room'!$A$16,$A471&lt;'Control Room'!$A$16+'Control Room'!$B$16,'Process'!BU5=1),1+('Control Room'!$C$16-1)*EXP(-0.5*(($A471-'Control Room'!$A$16-('Control Room'!$B$16-1)/2)/MAX(0.5,'Control Room'!$B$16/4))^2),1)</x:f>
        <x:v>1</x:v>
      </x:c>
      <x:c r="BE471" s="9" t="n">
        <x:f>MOD(BF470*16807,2147483647)</x:f>
        <x:v>1348435319</x:v>
      </x:c>
      <x:c r="BF471" s="9" t="n">
        <x:f>MOD(BE471*16807,2147483647)</x:f>
        <x:v>757479642</x:v>
      </x:c>
      <x:c r="BG471" s="17" t="n">
        <x:f>IF('Control Room'!$B$5="Normal",'Control Room'!$B$7+'Control Room'!$D$7*SQRT(-2*LN(MAX(0.000000000001,BE471/2147483647)))*COS(2*PI()*BF471/2147483647),'Control Room'!$B$8+('Control Room'!$D$8-'Control Room'!$B$8)*BE471/2147483647)</x:f>
        <x:v>947.7682745045458</x:v>
      </x:c>
      <x:c r="BH471" s="17" t="n">
        <x:f>IF('Control Room'!$B$5="Normal",'Control Room'!$B$7,('Control Room'!$B$8+'Control Room'!$D$8)/2)+'Control Room'!$B$9*(BH470-IF('Control Room'!$B$5="Normal",'Control Room'!$B$7,('Control Room'!$B$8+'Control Room'!$D$8)/2))+SQRT(1-'Control Room'!$B$9^2)*(BG471-IF('Control Room'!$B$5="Normal",'Control Room'!$B$7,('Control Room'!$B$8+'Control Room'!$D$8)/2))</x:f>
        <x:v>960.6359101038704</x:v>
      </x:c>
      <x:c r="BI471" s="17" t="n">
        <x:f>IF(AND($A471&gt;='Control Room'!$A$13,$A471&lt;'Control Room'!$A$13+'Control Room'!$B$13,'Process'!BV2=1),1+('Control Room'!$C$13-1)*EXP(-0.5*(($A471-'Control Room'!$A$13-('Control Room'!$B$13-1)/2)/MAX(0.5,'Control Room'!$B$13/4))^2),1)*IF(AND($A471&gt;='Control Room'!$A$14,$A471&lt;'Control Room'!$A$14+'Control Room'!$B$14,'Process'!BV3=1),1+('Control Room'!$C$14-1)*EXP(-0.5*(($A471-'Control Room'!$A$14-('Control Room'!$B$14-1)/2)/MAX(0.5,'Control Room'!$B$14/4))^2),1)*IF(AND($A471&gt;='Control Room'!$A$15,$A471&lt;'Control Room'!$A$15+'Control Room'!$B$15,'Process'!BV4=1),1+('Control Room'!$C$15-1)*EXP(-0.5*(($A471-'Control Room'!$A$15-('Control Room'!$B$15-1)/2)/MAX(0.5,'Control Room'!$B$15/4))^2),1)*IF(AND($A471&gt;='Control Room'!$A$16,$A471&lt;'Control Room'!$A$16+'Control Room'!$B$16,'Process'!BV5=1),1+('Control Room'!$C$16-1)*EXP(-0.5*(($A471-'Control Room'!$A$16-('Control Room'!$B$16-1)/2)/MAX(0.5,'Control Room'!$B$16/4))^2),1)</x:f>
        <x:v>1</x:v>
      </x:c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Z471" t="str">
        <x:f>IF('Data'!A471="","",TEXT('Data'!A471,"mm-dd"))</x:f>
      </x:c>
    </x:row>
    <x:row r="472" ht="21" customHeight="1">
      <x:c r="A472" s="15" t="n">
        <x:f>'Control Room'!$B$1+470</x:f>
        <x:v>73461</x:v>
      </x:c>
      <x:c r="B472" s="9" t="n">
        <x:f>MOD(C471*16807,2147483647)</x:f>
        <x:v>1762186303</x:v>
      </x:c>
      <x:c r="C472" s="9" t="n">
        <x:f>MOD(B472*16807,2147483647)</x:f>
        <x:v>1118218744</x:v>
      </x:c>
      <x:c r="D472" s="17" t="n">
        <x:f>IF('Control Room'!$B$5="Normal",'Control Room'!$B$7+'Control Room'!$D$7*SQRT(-2*LN(MAX(0.000000000001,B472/2147483647)))*COS(2*PI()*C472/2147483647),'Control Room'!$B$8+('Control Room'!$D$8-'Control Room'!$B$8)*B472/2147483647)</x:f>
        <x:v>943.8798603236556</x:v>
      </x:c>
      <x:c r="E472" s="17" t="n">
        <x:f>IF('Control Room'!$B$5="Normal",'Control Room'!$B$7,('Control Room'!$B$8+'Control Room'!$D$8)/2)+'Control Room'!$B$9*(E471-IF('Control Room'!$B$5="Normal",'Control Room'!$B$7,('Control Room'!$B$8+'Control Room'!$D$8)/2))+SQRT(1-'Control Room'!$B$9^2)*(D472-IF('Control Room'!$B$5="Normal",'Control Room'!$B$7,('Control Room'!$B$8+'Control Room'!$D$8)/2))</x:f>
        <x:v>868.0984539856341</x:v>
      </x:c>
      <x:c r="F472" s="17" t="n">
        <x:f>IF(AND($A472&gt;='Control Room'!$A$13,$A472&lt;'Control Room'!$A$13+'Control Room'!$B$13,'Process'!BK2=1),1+('Control Room'!$C$13-1)*EXP(-0.5*(($A472-'Control Room'!$A$13-('Control Room'!$B$13-1)/2)/MAX(0.5,'Control Room'!$B$13/4))^2),1)*IF(AND($A472&gt;='Control Room'!$A$14,$A472&lt;'Control Room'!$A$14+'Control Room'!$B$14,'Process'!BK3=1),1+('Control Room'!$C$14-1)*EXP(-0.5*(($A472-'Control Room'!$A$14-('Control Room'!$B$14-1)/2)/MAX(0.5,'Control Room'!$B$14/4))^2),1)*IF(AND($A472&gt;='Control Room'!$A$15,$A472&lt;'Control Room'!$A$15+'Control Room'!$B$15,'Process'!BK4=1),1+('Control Room'!$C$15-1)*EXP(-0.5*(($A472-'Control Room'!$A$15-('Control Room'!$B$15-1)/2)/MAX(0.5,'Control Room'!$B$15/4))^2),1)*IF(AND($A472&gt;='Control Room'!$A$16,$A472&lt;'Control Room'!$A$16+'Control Room'!$B$16,'Process'!BK5=1),1+('Control Room'!$C$16-1)*EXP(-0.5*(($A472-'Control Room'!$A$16-('Control Room'!$B$16-1)/2)/MAX(0.5,'Control Room'!$B$16/4))^2),1)</x:f>
        <x:v>1</x:v>
      </x:c>
      <x:c r="G472" s="9" t="n">
        <x:f>MOD(H471*16807,2147483647)</x:f>
        <x:v>296978289</x:v>
      </x:c>
      <x:c r="H472" s="9" t="n">
        <x:f>MOD(G472*16807,2147483647)</x:f>
        <x:v>562107595</x:v>
      </x:c>
      <x:c r="I472" s="17" t="n">
        <x:f>IF('Control Room'!$B$5="Normal",'Control Room'!$B$7+'Control Room'!$D$7*SQRT(-2*LN(MAX(0.000000000001,G472/2147483647)))*COS(2*PI()*H472/2147483647),'Control Room'!$B$8+('Control Room'!$D$8-'Control Room'!$B$8)*G472/2147483647)</x:f>
        <x:v>986.7930856212338</x:v>
      </x:c>
      <x:c r="J472" s="17" t="n">
        <x:f>IF('Control Room'!$B$5="Normal",'Control Room'!$B$7,('Control Room'!$B$8+'Control Room'!$D$8)/2)+'Control Room'!$B$9*(J471-IF('Control Room'!$B$5="Normal",'Control Room'!$B$7,('Control Room'!$B$8+'Control Room'!$D$8)/2))+SQRT(1-'Control Room'!$B$9^2)*(I472-IF('Control Room'!$B$5="Normal",'Control Room'!$B$7,('Control Room'!$B$8+'Control Room'!$D$8)/2))</x:f>
        <x:v>967.7345767362563</x:v>
      </x:c>
      <x:c r="K472" s="17" t="n">
        <x:f>IF(AND($A472&gt;='Control Room'!$A$13,$A472&lt;'Control Room'!$A$13+'Control Room'!$B$13,'Process'!BL2=1),1+('Control Room'!$C$13-1)*EXP(-0.5*(($A472-'Control Room'!$A$13-('Control Room'!$B$13-1)/2)/MAX(0.5,'Control Room'!$B$13/4))^2),1)*IF(AND($A472&gt;='Control Room'!$A$14,$A472&lt;'Control Room'!$A$14+'Control Room'!$B$14,'Process'!BL3=1),1+('Control Room'!$C$14-1)*EXP(-0.5*(($A472-'Control Room'!$A$14-('Control Room'!$B$14-1)/2)/MAX(0.5,'Control Room'!$B$14/4))^2),1)*IF(AND($A472&gt;='Control Room'!$A$15,$A472&lt;'Control Room'!$A$15+'Control Room'!$B$15,'Process'!BL4=1),1+('Control Room'!$C$15-1)*EXP(-0.5*(($A472-'Control Room'!$A$15-('Control Room'!$B$15-1)/2)/MAX(0.5,'Control Room'!$B$15/4))^2),1)*IF(AND($A472&gt;='Control Room'!$A$16,$A472&lt;'Control Room'!$A$16+'Control Room'!$B$16,'Process'!BL5=1),1+('Control Room'!$C$16-1)*EXP(-0.5*(($A472-'Control Room'!$A$16-('Control Room'!$B$16-1)/2)/MAX(0.5,'Control Room'!$B$16/4))^2),1)</x:f>
        <x:v>1</x:v>
      </x:c>
      <x:c r="L472" s="9" t="n">
        <x:f>MOD(M471*16807,2147483647)</x:f>
        <x:v>979253922</x:v>
      </x:c>
      <x:c r="M472" s="9" t="n">
        <x:f>MOD(L472*16807,2147483647)</x:f>
        <x:v>5996446</x:v>
      </x:c>
      <x:c r="N472" s="17" t="n">
        <x:f>IF('Control Room'!$B$5="Normal",'Control Room'!$B$7+'Control Room'!$D$7*SQRT(-2*LN(MAX(0.000000000001,L472/2147483647)))*COS(2*PI()*M472/2147483647),'Control Room'!$B$8+('Control Room'!$D$8-'Control Room'!$B$8)*L472/2147483647)</x:f>
        <x:v>1112.7710682165846</x:v>
      </x:c>
      <x:c r="O472" s="17" t="n">
        <x:f>IF('Control Room'!$B$5="Normal",'Control Room'!$B$7,('Control Room'!$B$8+'Control Room'!$D$8)/2)+'Control Room'!$B$9*(O471-IF('Control Room'!$B$5="Normal",'Control Room'!$B$7,('Control Room'!$B$8+'Control Room'!$D$8)/2))+SQRT(1-'Control Room'!$B$9^2)*(N472-IF('Control Room'!$B$5="Normal",'Control Room'!$B$7,('Control Room'!$B$8+'Control Room'!$D$8)/2))</x:f>
        <x:v>983.9824550181364</x:v>
      </x:c>
      <x:c r="P472" s="17" t="n">
        <x:f>IF(AND($A472&gt;='Control Room'!$A$13,$A472&lt;'Control Room'!$A$13+'Control Room'!$B$13,'Process'!BM2=1),1+('Control Room'!$C$13-1)*EXP(-0.5*(($A472-'Control Room'!$A$13-('Control Room'!$B$13-1)/2)/MAX(0.5,'Control Room'!$B$13/4))^2),1)*IF(AND($A472&gt;='Control Room'!$A$14,$A472&lt;'Control Room'!$A$14+'Control Room'!$B$14,'Process'!BM3=1),1+('Control Room'!$C$14-1)*EXP(-0.5*(($A472-'Control Room'!$A$14-('Control Room'!$B$14-1)/2)/MAX(0.5,'Control Room'!$B$14/4))^2),1)*IF(AND($A472&gt;='Control Room'!$A$15,$A472&lt;'Control Room'!$A$15+'Control Room'!$B$15,'Process'!BM4=1),1+('Control Room'!$C$15-1)*EXP(-0.5*(($A472-'Control Room'!$A$15-('Control Room'!$B$15-1)/2)/MAX(0.5,'Control Room'!$B$15/4))^2),1)*IF(AND($A472&gt;='Control Room'!$A$16,$A472&lt;'Control Room'!$A$16+'Control Room'!$B$16,'Process'!BM5=1),1+('Control Room'!$C$16-1)*EXP(-0.5*(($A472-'Control Room'!$A$16-('Control Room'!$B$16-1)/2)/MAX(0.5,'Control Room'!$B$16/4))^2),1)</x:f>
        <x:v>1</x:v>
      </x:c>
      <x:c r="Q472" s="9" t="n">
        <x:f>MOD(R471*16807,2147483647)</x:f>
        <x:v>1661529555</x:v>
      </x:c>
      <x:c r="R472" s="9" t="n">
        <x:f>MOD(Q472*16807,2147483647)</x:f>
        <x:v>1597368944</x:v>
      </x:c>
      <x:c r="S472" s="17" t="n">
        <x:f>IF('Control Room'!$B$5="Normal",'Control Room'!$B$7+'Control Room'!$D$7*SQRT(-2*LN(MAX(0.000000000001,Q472/2147483647)))*COS(2*PI()*R472/2147483647),'Control Room'!$B$8+('Control Room'!$D$8-'Control Room'!$B$8)*Q472/2147483647)</x:f>
        <x:v>997.5025082154126</x:v>
      </x:c>
      <x:c r="T472" s="17" t="n">
        <x:f>IF('Control Room'!$B$5="Normal",'Control Room'!$B$7,('Control Room'!$B$8+'Control Room'!$D$8)/2)+'Control Room'!$B$9*(T471-IF('Control Room'!$B$5="Normal",'Control Room'!$B$7,('Control Room'!$B$8+'Control Room'!$D$8)/2))+SQRT(1-'Control Room'!$B$9^2)*(S472-IF('Control Room'!$B$5="Normal",'Control Room'!$B$7,('Control Room'!$B$8+'Control Room'!$D$8)/2))</x:f>
        <x:v>1002.5197134598022</x:v>
      </x:c>
      <x:c r="U472" s="17" t="n">
        <x:f>IF(AND($A472&gt;='Control Room'!$A$13,$A472&lt;'Control Room'!$A$13+'Control Room'!$B$13,'Process'!BN2=1),1+('Control Room'!$C$13-1)*EXP(-0.5*(($A472-'Control Room'!$A$13-('Control Room'!$B$13-1)/2)/MAX(0.5,'Control Room'!$B$13/4))^2),1)*IF(AND($A472&gt;='Control Room'!$A$14,$A472&lt;'Control Room'!$A$14+'Control Room'!$B$14,'Process'!BN3=1),1+('Control Room'!$C$14-1)*EXP(-0.5*(($A472-'Control Room'!$A$14-('Control Room'!$B$14-1)/2)/MAX(0.5,'Control Room'!$B$14/4))^2),1)*IF(AND($A472&gt;='Control Room'!$A$15,$A472&lt;'Control Room'!$A$15+'Control Room'!$B$15,'Process'!BN4=1),1+('Control Room'!$C$15-1)*EXP(-0.5*(($A472-'Control Room'!$A$15-('Control Room'!$B$15-1)/2)/MAX(0.5,'Control Room'!$B$15/4))^2),1)*IF(AND($A472&gt;='Control Room'!$A$16,$A472&lt;'Control Room'!$A$16+'Control Room'!$B$16,'Process'!BN5=1),1+('Control Room'!$C$16-1)*EXP(-0.5*(($A472-'Control Room'!$A$16-('Control Room'!$B$16-1)/2)/MAX(0.5,'Control Room'!$B$16/4))^2),1)</x:f>
        <x:v>1</x:v>
      </x:c>
      <x:c r="V472" s="9" t="n">
        <x:f>MOD(W471*16807,2147483647)</x:f>
        <x:v>196321541</x:v>
      </x:c>
      <x:c r="W472" s="9" t="n">
        <x:f>MOD(V472*16807,2147483647)</x:f>
        <x:v>1041257795</x:v>
      </x:c>
      <x:c r="X472" s="17" t="n">
        <x:f>IF('Control Room'!$B$5="Normal",'Control Room'!$B$7+'Control Room'!$D$7*SQRT(-2*LN(MAX(0.000000000001,V472/2147483647)))*COS(2*PI()*W472/2147483647),'Control Room'!$B$8+('Control Room'!$D$8-'Control Room'!$B$8)*V472/2147483647)</x:f>
        <x:v>804.024997592265</x:v>
      </x:c>
      <x:c r="Y472" s="17" t="n">
        <x:f>IF('Control Room'!$B$5="Normal",'Control Room'!$B$7,('Control Room'!$B$8+'Control Room'!$D$8)/2)+'Control Room'!$B$9*(Y471-IF('Control Room'!$B$5="Normal",'Control Room'!$B$7,('Control Room'!$B$8+'Control Room'!$D$8)/2))+SQRT(1-'Control Room'!$B$9^2)*(X472-IF('Control Room'!$B$5="Normal",'Control Room'!$B$7,('Control Room'!$B$8+'Control Room'!$D$8)/2))</x:f>
        <x:v>768.1909629013027</x:v>
      </x:c>
      <x:c r="Z472" s="17" t="n">
        <x:f>IF(AND($A472&gt;='Control Room'!$A$13,$A472&lt;'Control Room'!$A$13+'Control Room'!$B$13,'Process'!BO2=1),1+('Control Room'!$C$13-1)*EXP(-0.5*(($A472-'Control Room'!$A$13-('Control Room'!$B$13-1)/2)/MAX(0.5,'Control Room'!$B$13/4))^2),1)*IF(AND($A472&gt;='Control Room'!$A$14,$A472&lt;'Control Room'!$A$14+'Control Room'!$B$14,'Process'!BO3=1),1+('Control Room'!$C$14-1)*EXP(-0.5*(($A472-'Control Room'!$A$14-('Control Room'!$B$14-1)/2)/MAX(0.5,'Control Room'!$B$14/4))^2),1)*IF(AND($A472&gt;='Control Room'!$A$15,$A472&lt;'Control Room'!$A$15+'Control Room'!$B$15,'Process'!BO4=1),1+('Control Room'!$C$15-1)*EXP(-0.5*(($A472-'Control Room'!$A$15-('Control Room'!$B$15-1)/2)/MAX(0.5,'Control Room'!$B$15/4))^2),1)*IF(AND($A472&gt;='Control Room'!$A$16,$A472&lt;'Control Room'!$A$16+'Control Room'!$B$16,'Process'!BO5=1),1+('Control Room'!$C$16-1)*EXP(-0.5*(($A472-'Control Room'!$A$16-('Control Room'!$B$16-1)/2)/MAX(0.5,'Control Room'!$B$16/4))^2),1)</x:f>
        <x:v>1</x:v>
      </x:c>
      <x:c r="AA472" s="9" t="n">
        <x:f>MOD(AB471*16807,2147483647)</x:f>
        <x:v>878597174</x:v>
      </x:c>
      <x:c r="AB472" s="9" t="n">
        <x:f>MOD(AA472*16807,2147483647)</x:f>
        <x:v>485146646</x:v>
      </x:c>
      <x:c r="AC472" s="17" t="n">
        <x:f>IF('Control Room'!$B$5="Normal",'Control Room'!$B$7+'Control Room'!$D$7*SQRT(-2*LN(MAX(0.000000000001,AA472/2147483647)))*COS(2*PI()*AB472/2147483647),'Control Room'!$B$8+('Control Room'!$D$8-'Control Room'!$B$8)*AA472/2147483647)</x:f>
        <x:v>1018.1403180614041</x:v>
      </x:c>
      <x:c r="AD472" s="17" t="n">
        <x:f>IF('Control Room'!$B$5="Normal",'Control Room'!$B$7,('Control Room'!$B$8+'Control Room'!$D$8)/2)+'Control Room'!$B$9*(AD471-IF('Control Room'!$B$5="Normal",'Control Room'!$B$7,('Control Room'!$B$8+'Control Room'!$D$8)/2))+SQRT(1-'Control Room'!$B$9^2)*(AC472-IF('Control Room'!$B$5="Normal",'Control Room'!$B$7,('Control Room'!$B$8+'Control Room'!$D$8)/2))</x:f>
        <x:v>1044.0095298262913</x:v>
      </x:c>
      <x:c r="AE472" s="17" t="n">
        <x:f>IF(AND($A472&gt;='Control Room'!$A$13,$A472&lt;'Control Room'!$A$13+'Control Room'!$B$13,'Process'!BP2=1),1+('Control Room'!$C$13-1)*EXP(-0.5*(($A472-'Control Room'!$A$13-('Control Room'!$B$13-1)/2)/MAX(0.5,'Control Room'!$B$13/4))^2),1)*IF(AND($A472&gt;='Control Room'!$A$14,$A472&lt;'Control Room'!$A$14+'Control Room'!$B$14,'Process'!BP3=1),1+('Control Room'!$C$14-1)*EXP(-0.5*(($A472-'Control Room'!$A$14-('Control Room'!$B$14-1)/2)/MAX(0.5,'Control Room'!$B$14/4))^2),1)*IF(AND($A472&gt;='Control Room'!$A$15,$A472&lt;'Control Room'!$A$15+'Control Room'!$B$15,'Process'!BP4=1),1+('Control Room'!$C$15-1)*EXP(-0.5*(($A472-'Control Room'!$A$15-('Control Room'!$B$15-1)/2)/MAX(0.5,'Control Room'!$B$15/4))^2),1)*IF(AND($A472&gt;='Control Room'!$A$16,$A472&lt;'Control Room'!$A$16+'Control Room'!$B$16,'Process'!BP5=1),1+('Control Room'!$C$16-1)*EXP(-0.5*(($A472-'Control Room'!$A$16-('Control Room'!$B$16-1)/2)/MAX(0.5,'Control Room'!$B$16/4))^2),1)</x:f>
        <x:v>1</x:v>
      </x:c>
      <x:c r="AF472" s="9" t="n">
        <x:f>MOD(AG471*16807,2147483647)</x:f>
        <x:v>1560872807</x:v>
      </x:c>
      <x:c r="AG472" s="9" t="n">
        <x:f>MOD(AF472*16807,2147483647)</x:f>
        <x:v>2076519144</x:v>
      </x:c>
      <x:c r="AH472" s="17" t="n">
        <x:f>IF('Control Room'!$B$5="Normal",'Control Room'!$B$7+'Control Room'!$D$7*SQRT(-2*LN(MAX(0.000000000001,AF472/2147483647)))*COS(2*PI()*AG472/2147483647),'Control Room'!$B$8+('Control Room'!$D$8-'Control Room'!$B$8)*AF472/2147483647)</x:f>
        <x:v>1070.3491115993725</x:v>
      </x:c>
      <x:c r="AI472" s="17" t="n">
        <x:f>IF('Control Room'!$B$5="Normal",'Control Room'!$B$7,('Control Room'!$B$8+'Control Room'!$D$8)/2)+'Control Room'!$B$9*(AI471-IF('Control Room'!$B$5="Normal",'Control Room'!$B$7,('Control Room'!$B$8+'Control Room'!$D$8)/2))+SQRT(1-'Control Room'!$B$9^2)*(AH472-IF('Control Room'!$B$5="Normal",'Control Room'!$B$7,('Control Room'!$B$8+'Control Room'!$D$8)/2))</x:f>
        <x:v>1102.4961778937525</x:v>
      </x:c>
      <x:c r="AJ472" s="17" t="n">
        <x:f>IF(AND($A472&gt;='Control Room'!$A$13,$A472&lt;'Control Room'!$A$13+'Control Room'!$B$13,'Process'!BQ2=1),1+('Control Room'!$C$13-1)*EXP(-0.5*(($A472-'Control Room'!$A$13-('Control Room'!$B$13-1)/2)/MAX(0.5,'Control Room'!$B$13/4))^2),1)*IF(AND($A472&gt;='Control Room'!$A$14,$A472&lt;'Control Room'!$A$14+'Control Room'!$B$14,'Process'!BQ3=1),1+('Control Room'!$C$14-1)*EXP(-0.5*(($A472-'Control Room'!$A$14-('Control Room'!$B$14-1)/2)/MAX(0.5,'Control Room'!$B$14/4))^2),1)*IF(AND($A472&gt;='Control Room'!$A$15,$A472&lt;'Control Room'!$A$15+'Control Room'!$B$15,'Process'!BQ4=1),1+('Control Room'!$C$15-1)*EXP(-0.5*(($A472-'Control Room'!$A$15-('Control Room'!$B$15-1)/2)/MAX(0.5,'Control Room'!$B$15/4))^2),1)*IF(AND($A472&gt;='Control Room'!$A$16,$A472&lt;'Control Room'!$A$16+'Control Room'!$B$16,'Process'!BQ5=1),1+('Control Room'!$C$16-1)*EXP(-0.5*(($A472-'Control Room'!$A$16-('Control Room'!$B$16-1)/2)/MAX(0.5,'Control Room'!$B$16/4))^2),1)</x:f>
        <x:v>1</x:v>
      </x:c>
      <x:c r="AK472" s="9" t="n">
        <x:f>MOD(AL471*16807,2147483647)</x:f>
        <x:v>95664793</x:v>
      </x:c>
      <x:c r="AL472" s="9" t="n">
        <x:f>MOD(AK472*16807,2147483647)</x:f>
        <x:v>1520407995</x:v>
      </x:c>
      <x:c r="AM472" s="17" t="n">
        <x:f>IF('Control Room'!$B$5="Normal",'Control Room'!$B$7+'Control Room'!$D$7*SQRT(-2*LN(MAX(0.000000000001,AK472/2147483647)))*COS(2*PI()*AL472/2147483647),'Control Room'!$B$8+('Control Room'!$D$8-'Control Room'!$B$8)*AK472/2147483647)</x:f>
        <x:v>941.4337625728692</x:v>
      </x:c>
      <x:c r="AN472" s="17" t="n">
        <x:f>IF('Control Room'!$B$5="Normal",'Control Room'!$B$7,('Control Room'!$B$8+'Control Room'!$D$8)/2)+'Control Room'!$B$9*(AN471-IF('Control Room'!$B$5="Normal",'Control Room'!$B$7,('Control Room'!$B$8+'Control Room'!$D$8)/2))+SQRT(1-'Control Room'!$B$9^2)*(AM472-IF('Control Room'!$B$5="Normal",'Control Room'!$B$7,('Control Room'!$B$8+'Control Room'!$D$8)/2))</x:f>
        <x:v>1073.8584050154502</x:v>
      </x:c>
      <x:c r="AO472" s="17" t="n">
        <x:f>IF(AND($A472&gt;='Control Room'!$A$13,$A472&lt;'Control Room'!$A$13+'Control Room'!$B$13,'Process'!BR2=1),1+('Control Room'!$C$13-1)*EXP(-0.5*(($A472-'Control Room'!$A$13-('Control Room'!$B$13-1)/2)/MAX(0.5,'Control Room'!$B$13/4))^2),1)*IF(AND($A472&gt;='Control Room'!$A$14,$A472&lt;'Control Room'!$A$14+'Control Room'!$B$14,'Process'!BR3=1),1+('Control Room'!$C$14-1)*EXP(-0.5*(($A472-'Control Room'!$A$14-('Control Room'!$B$14-1)/2)/MAX(0.5,'Control Room'!$B$14/4))^2),1)*IF(AND($A472&gt;='Control Room'!$A$15,$A472&lt;'Control Room'!$A$15+'Control Room'!$B$15,'Process'!BR4=1),1+('Control Room'!$C$15-1)*EXP(-0.5*(($A472-'Control Room'!$A$15-('Control Room'!$B$15-1)/2)/MAX(0.5,'Control Room'!$B$15/4))^2),1)*IF(AND($A472&gt;='Control Room'!$A$16,$A472&lt;'Control Room'!$A$16+'Control Room'!$B$16,'Process'!BR5=1),1+('Control Room'!$C$16-1)*EXP(-0.5*(($A472-'Control Room'!$A$16-('Control Room'!$B$16-1)/2)/MAX(0.5,'Control Room'!$B$16/4))^2),1)</x:f>
        <x:v>1</x:v>
      </x:c>
      <x:c r="AP472" s="9" t="n">
        <x:f>MOD(AQ471*16807,2147483647)</x:f>
        <x:v>777940426</x:v>
      </x:c>
      <x:c r="AQ472" s="9" t="n">
        <x:f>MOD(AP472*16807,2147483647)</x:f>
        <x:v>964296846</x:v>
      </x:c>
      <x:c r="AR472" s="17" t="n">
        <x:f>IF('Control Room'!$B$5="Normal",'Control Room'!$B$7+'Control Room'!$D$7*SQRT(-2*LN(MAX(0.000000000001,AP472/2147483647)))*COS(2*PI()*AQ472/2147483647),'Control Room'!$B$8+('Control Room'!$D$8-'Control Room'!$B$8)*AP472/2147483647)</x:f>
        <x:v>878.263987643481</x:v>
      </x:c>
      <x:c r="AS472" s="17" t="n">
        <x:f>IF('Control Room'!$B$5="Normal",'Control Room'!$B$7,('Control Room'!$B$8+'Control Room'!$D$8)/2)+'Control Room'!$B$9*(AS471-IF('Control Room'!$B$5="Normal",'Control Room'!$B$7,('Control Room'!$B$8+'Control Room'!$D$8)/2))+SQRT(1-'Control Room'!$B$9^2)*(AR472-IF('Control Room'!$B$5="Normal",'Control Room'!$B$7,('Control Room'!$B$8+'Control Room'!$D$8)/2))</x:f>
        <x:v>849.0529147308416</x:v>
      </x:c>
      <x:c r="AT472" s="17" t="n">
        <x:f>IF(AND($A472&gt;='Control Room'!$A$13,$A472&lt;'Control Room'!$A$13+'Control Room'!$B$13,'Process'!BS2=1),1+('Control Room'!$C$13-1)*EXP(-0.5*(($A472-'Control Room'!$A$13-('Control Room'!$B$13-1)/2)/MAX(0.5,'Control Room'!$B$13/4))^2),1)*IF(AND($A472&gt;='Control Room'!$A$14,$A472&lt;'Control Room'!$A$14+'Control Room'!$B$14,'Process'!BS3=1),1+('Control Room'!$C$14-1)*EXP(-0.5*(($A472-'Control Room'!$A$14-('Control Room'!$B$14-1)/2)/MAX(0.5,'Control Room'!$B$14/4))^2),1)*IF(AND($A472&gt;='Control Room'!$A$15,$A472&lt;'Control Room'!$A$15+'Control Room'!$B$15,'Process'!BS4=1),1+('Control Room'!$C$15-1)*EXP(-0.5*(($A472-'Control Room'!$A$15-('Control Room'!$B$15-1)/2)/MAX(0.5,'Control Room'!$B$15/4))^2),1)*IF(AND($A472&gt;='Control Room'!$A$16,$A472&lt;'Control Room'!$A$16+'Control Room'!$B$16,'Process'!BS5=1),1+('Control Room'!$C$16-1)*EXP(-0.5*(($A472-'Control Room'!$A$16-('Control Room'!$B$16-1)/2)/MAX(0.5,'Control Room'!$B$16/4))^2),1)</x:f>
        <x:v>1</x:v>
      </x:c>
      <x:c r="AU472" s="9" t="n">
        <x:f>MOD(AV471*16807,2147483647)</x:f>
        <x:v>1460216059</x:v>
      </x:c>
      <x:c r="AV472" s="9" t="n">
        <x:f>MOD(AU472*16807,2147483647)</x:f>
        <x:v>408185697</x:v>
      </x:c>
      <x:c r="AW472" s="17" t="n">
        <x:f>IF('Control Room'!$B$5="Normal",'Control Room'!$B$7+'Control Room'!$D$7*SQRT(-2*LN(MAX(0.000000000001,AU472/2147483647)))*COS(2*PI()*AV472/2147483647),'Control Room'!$B$8+('Control Room'!$D$8-'Control Room'!$B$8)*AU472/2147483647)</x:f>
        <x:v>1029.0641743150236</x:v>
      </x:c>
      <x:c r="AX472" s="17" t="n">
        <x:f>IF('Control Room'!$B$5="Normal",'Control Room'!$B$7,('Control Room'!$B$8+'Control Room'!$D$8)/2)+'Control Room'!$B$9*(AX471-IF('Control Room'!$B$5="Normal",'Control Room'!$B$7,('Control Room'!$B$8+'Control Room'!$D$8)/2))+SQRT(1-'Control Room'!$B$9^2)*(AW472-IF('Control Room'!$B$5="Normal",'Control Room'!$B$7,('Control Room'!$B$8+'Control Room'!$D$8)/2))</x:f>
        <x:v>1026.9594781350738</x:v>
      </x:c>
      <x:c r="AY472" s="17" t="n">
        <x:f>IF(AND($A472&gt;='Control Room'!$A$13,$A472&lt;'Control Room'!$A$13+'Control Room'!$B$13,'Process'!BT2=1),1+('Control Room'!$C$13-1)*EXP(-0.5*(($A472-'Control Room'!$A$13-('Control Room'!$B$13-1)/2)/MAX(0.5,'Control Room'!$B$13/4))^2),1)*IF(AND($A472&gt;='Control Room'!$A$14,$A472&lt;'Control Room'!$A$14+'Control Room'!$B$14,'Process'!BT3=1),1+('Control Room'!$C$14-1)*EXP(-0.5*(($A472-'Control Room'!$A$14-('Control Room'!$B$14-1)/2)/MAX(0.5,'Control Room'!$B$14/4))^2),1)*IF(AND($A472&gt;='Control Room'!$A$15,$A472&lt;'Control Room'!$A$15+'Control Room'!$B$15,'Process'!BT4=1),1+('Control Room'!$C$15-1)*EXP(-0.5*(($A472-'Control Room'!$A$15-('Control Room'!$B$15-1)/2)/MAX(0.5,'Control Room'!$B$15/4))^2),1)*IF(AND($A472&gt;='Control Room'!$A$16,$A472&lt;'Control Room'!$A$16+'Control Room'!$B$16,'Process'!BT5=1),1+('Control Room'!$C$16-1)*EXP(-0.5*(($A472-'Control Room'!$A$16-('Control Room'!$B$16-1)/2)/MAX(0.5,'Control Room'!$B$16/4))^2),1)</x:f>
        <x:v>1</x:v>
      </x:c>
      <x:c r="AZ472" s="9" t="n">
        <x:f>MOD(BA471*16807,2147483647)</x:f>
        <x:v>2142491692</x:v>
      </x:c>
      <x:c r="BA472" s="9" t="n">
        <x:f>MOD(AZ472*16807,2147483647)</x:f>
        <x:v>1999558195</x:v>
      </x:c>
      <x:c r="BB472" s="17" t="n">
        <x:f>IF('Control Room'!$B$5="Normal",'Control Room'!$B$7+'Control Room'!$D$7*SQRT(-2*LN(MAX(0.000000000001,AZ472/2147483647)))*COS(2*PI()*BA472/2147483647),'Control Room'!$B$8+('Control Room'!$D$8-'Control Room'!$B$8)*AZ472/2147483647)</x:f>
        <x:v>1005.5740026079661</x:v>
      </x:c>
      <x:c r="BC472" s="17" t="n">
        <x:f>IF('Control Room'!$B$5="Normal",'Control Room'!$B$7,('Control Room'!$B$8+'Control Room'!$D$8)/2)+'Control Room'!$B$9*(BC471-IF('Control Room'!$B$5="Normal",'Control Room'!$B$7,('Control Room'!$B$8+'Control Room'!$D$8)/2))+SQRT(1-'Control Room'!$B$9^2)*(BB472-IF('Control Room'!$B$5="Normal",'Control Room'!$B$7,('Control Room'!$B$8+'Control Room'!$D$8)/2))</x:f>
        <x:v>1009.4872021304951</x:v>
      </x:c>
      <x:c r="BD472" s="17" t="n">
        <x:f>IF(AND($A472&gt;='Control Room'!$A$13,$A472&lt;'Control Room'!$A$13+'Control Room'!$B$13,'Process'!BU2=1),1+('Control Room'!$C$13-1)*EXP(-0.5*(($A472-'Control Room'!$A$13-('Control Room'!$B$13-1)/2)/MAX(0.5,'Control Room'!$B$13/4))^2),1)*IF(AND($A472&gt;='Control Room'!$A$14,$A472&lt;'Control Room'!$A$14+'Control Room'!$B$14,'Process'!BU3=1),1+('Control Room'!$C$14-1)*EXP(-0.5*(($A472-'Control Room'!$A$14-('Control Room'!$B$14-1)/2)/MAX(0.5,'Control Room'!$B$14/4))^2),1)*IF(AND($A472&gt;='Control Room'!$A$15,$A472&lt;'Control Room'!$A$15+'Control Room'!$B$15,'Process'!BU4=1),1+('Control Room'!$C$15-1)*EXP(-0.5*(($A472-'Control Room'!$A$15-('Control Room'!$B$15-1)/2)/MAX(0.5,'Control Room'!$B$15/4))^2),1)*IF(AND($A472&gt;='Control Room'!$A$16,$A472&lt;'Control Room'!$A$16+'Control Room'!$B$16,'Process'!BU5=1),1+('Control Room'!$C$16-1)*EXP(-0.5*(($A472-'Control Room'!$A$16-('Control Room'!$B$16-1)/2)/MAX(0.5,'Control Room'!$B$16/4))^2),1)</x:f>
        <x:v>1</x:v>
      </x:c>
      <x:c r="BE472" s="9" t="n">
        <x:f>MOD(BF471*16807,2147483647)</x:f>
        <x:v>677283678</x:v>
      </x:c>
      <x:c r="BF472" s="9" t="n">
        <x:f>MOD(BE472*16807,2147483647)</x:f>
        <x:v>1443447046</x:v>
      </x:c>
      <x:c r="BG472" s="17" t="n">
        <x:f>IF('Control Room'!$B$5="Normal",'Control Room'!$B$7+'Control Room'!$D$7*SQRT(-2*LN(MAX(0.000000000001,BE472/2147483647)))*COS(2*PI()*BF472/2147483647),'Control Room'!$B$8+('Control Room'!$D$8-'Control Room'!$B$8)*BE472/2147483647)</x:f>
        <x:v>935.7615613995919</x:v>
      </x:c>
      <x:c r="BH472" s="17" t="n">
        <x:f>IF('Control Room'!$B$5="Normal",'Control Room'!$B$7,('Control Room'!$B$8+'Control Room'!$D$8)/2)+'Control Room'!$B$9*(BH471-IF('Control Room'!$B$5="Normal",'Control Room'!$B$7,('Control Room'!$B$8+'Control Room'!$D$8)/2))+SQRT(1-'Control Room'!$B$9^2)*(BG472-IF('Control Room'!$B$5="Normal",'Control Room'!$B$7,('Control Room'!$B$8+'Control Room'!$D$8)/2))</x:f>
        <x:v>929.096911000829</x:v>
      </x:c>
      <x:c r="BI472" s="17" t="n">
        <x:f>IF(AND($A472&gt;='Control Room'!$A$13,$A472&lt;'Control Room'!$A$13+'Control Room'!$B$13,'Process'!BV2=1),1+('Control Room'!$C$13-1)*EXP(-0.5*(($A472-'Control Room'!$A$13-('Control Room'!$B$13-1)/2)/MAX(0.5,'Control Room'!$B$13/4))^2),1)*IF(AND($A472&gt;='Control Room'!$A$14,$A472&lt;'Control Room'!$A$14+'Control Room'!$B$14,'Process'!BV3=1),1+('Control Room'!$C$14-1)*EXP(-0.5*(($A472-'Control Room'!$A$14-('Control Room'!$B$14-1)/2)/MAX(0.5,'Control Room'!$B$14/4))^2),1)*IF(AND($A472&gt;='Control Room'!$A$15,$A472&lt;'Control Room'!$A$15+'Control Room'!$B$15,'Process'!BV4=1),1+('Control Room'!$C$15-1)*EXP(-0.5*(($A472-'Control Room'!$A$15-('Control Room'!$B$15-1)/2)/MAX(0.5,'Control Room'!$B$15/4))^2),1)*IF(AND($A472&gt;='Control Room'!$A$16,$A472&lt;'Control Room'!$A$16+'Control Room'!$B$16,'Process'!BV5=1),1+('Control Room'!$C$16-1)*EXP(-0.5*(($A472-'Control Room'!$A$16-('Control Room'!$B$16-1)/2)/MAX(0.5,'Control Room'!$B$16/4))^2),1)</x:f>
        <x:v>1</x:v>
      </x:c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Z472" t="str">
        <x:f>IF('Data'!A472="","",TEXT('Data'!A472,"mm-dd"))</x:f>
      </x:c>
    </x:row>
    <x:row r="473" ht="21" customHeight="1">
      <x:c r="A473" s="15" t="n">
        <x:f>'Control Room'!$B$1+471</x:f>
        <x:v>73462</x:v>
      </x:c>
      <x:c r="B473" s="9" t="n">
        <x:f>MOD(C472*16807,2147483647)</x:f>
        <x:v>1273035511</x:v>
      </x:c>
      <x:c r="C473" s="9" t="n">
        <x:f>MOD(B473*16807,2147483647)</x:f>
        <x:v>528258316</x:v>
      </x:c>
      <x:c r="D473" s="17" t="n">
        <x:f>IF('Control Room'!$B$5="Normal",'Control Room'!$B$7+'Control Room'!$D$7*SQRT(-2*LN(MAX(0.000000000001,B473/2147483647)))*COS(2*PI()*C473/2147483647),'Control Room'!$B$8+('Control Room'!$D$8-'Control Room'!$B$8)*B473/2147483647)</x:f>
        <x:v>1002.3190058026445</x:v>
      </x:c>
      <x:c r="E473" s="17" t="n">
        <x:f>IF('Control Room'!$B$5="Normal",'Control Room'!$B$7,('Control Room'!$B$8+'Control Room'!$D$8)/2)+'Control Room'!$B$9*(E472-IF('Control Room'!$B$5="Normal",'Control Room'!$B$7,('Control Room'!$B$8+'Control Room'!$D$8)/2))+SQRT(1-'Control Room'!$B$9^2)*(D473-IF('Control Room'!$B$5="Normal",'Control Room'!$B$7,('Control Room'!$B$8+'Control Room'!$D$8)/2))</x:f>
        <x:v>898.5679804326734</x:v>
      </x:c>
      <x:c r="F473" s="17" t="n">
        <x:f>IF(AND($A473&gt;='Control Room'!$A$13,$A473&lt;'Control Room'!$A$13+'Control Room'!$B$13,'Process'!BK2=1),1+('Control Room'!$C$13-1)*EXP(-0.5*(($A473-'Control Room'!$A$13-('Control Room'!$B$13-1)/2)/MAX(0.5,'Control Room'!$B$13/4))^2),1)*IF(AND($A473&gt;='Control Room'!$A$14,$A473&lt;'Control Room'!$A$14+'Control Room'!$B$14,'Process'!BK3=1),1+('Control Room'!$C$14-1)*EXP(-0.5*(($A473-'Control Room'!$A$14-('Control Room'!$B$14-1)/2)/MAX(0.5,'Control Room'!$B$14/4))^2),1)*IF(AND($A473&gt;='Control Room'!$A$15,$A473&lt;'Control Room'!$A$15+'Control Room'!$B$15,'Process'!BK4=1),1+('Control Room'!$C$15-1)*EXP(-0.5*(($A473-'Control Room'!$A$15-('Control Room'!$B$15-1)/2)/MAX(0.5,'Control Room'!$B$15/4))^2),1)*IF(AND($A473&gt;='Control Room'!$A$16,$A473&lt;'Control Room'!$A$16+'Control Room'!$B$16,'Process'!BK5=1),1+('Control Room'!$C$16-1)*EXP(-0.5*(($A473-'Control Room'!$A$16-('Control Room'!$B$16-1)/2)/MAX(0.5,'Control Room'!$B$16/4))^2),1)</x:f>
        <x:v>1</x:v>
      </x:c>
      <x:c r="G473" s="9" t="n">
        <x:f>MOD(H472*16807,2147483647)</x:f>
        <x:v>561786012</x:v>
      </x:c>
      <x:c r="H473" s="9" t="n">
        <x:f>MOD(G473*16807,2147483647)</x:f>
        <x:v>1599391472</x:v>
      </x:c>
      <x:c r="I473" s="17" t="n">
        <x:f>IF('Control Room'!$B$5="Normal",'Control Room'!$B$7+'Control Room'!$D$7*SQRT(-2*LN(MAX(0.000000000001,G473/2147483647)))*COS(2*PI()*H473/2147483647),'Control Room'!$B$8+('Control Room'!$D$8-'Control Room'!$B$8)*G473/2147483647)</x:f>
        <x:v>995.1619042875286</x:v>
      </x:c>
      <x:c r="J473" s="17" t="n">
        <x:f>IF('Control Room'!$B$5="Normal",'Control Room'!$B$7,('Control Room'!$B$8+'Control Room'!$D$8)/2)+'Control Room'!$B$9*(J472-IF('Control Room'!$B$5="Normal",'Control Room'!$B$7,('Control Room'!$B$8+'Control Room'!$D$8)/2))+SQRT(1-'Control Room'!$B$9^2)*(I473-IF('Control Room'!$B$5="Normal",'Control Room'!$B$7,('Control Room'!$B$8+'Control Room'!$D$8)/2))</x:f>
        <x:v>971.8053886711933</x:v>
      </x:c>
      <x:c r="K473" s="17" t="n">
        <x:f>IF(AND($A473&gt;='Control Room'!$A$13,$A473&lt;'Control Room'!$A$13+'Control Room'!$B$13,'Process'!BL2=1),1+('Control Room'!$C$13-1)*EXP(-0.5*(($A473-'Control Room'!$A$13-('Control Room'!$B$13-1)/2)/MAX(0.5,'Control Room'!$B$13/4))^2),1)*IF(AND($A473&gt;='Control Room'!$A$14,$A473&lt;'Control Room'!$A$14+'Control Room'!$B$14,'Process'!BL3=1),1+('Control Room'!$C$14-1)*EXP(-0.5*(($A473-'Control Room'!$A$14-('Control Room'!$B$14-1)/2)/MAX(0.5,'Control Room'!$B$14/4))^2),1)*IF(AND($A473&gt;='Control Room'!$A$15,$A473&lt;'Control Room'!$A$15+'Control Room'!$B$15,'Process'!BL4=1),1+('Control Room'!$C$15-1)*EXP(-0.5*(($A473-'Control Room'!$A$15-('Control Room'!$B$15-1)/2)/MAX(0.5,'Control Room'!$B$15/4))^2),1)*IF(AND($A473&gt;='Control Room'!$A$16,$A473&lt;'Control Room'!$A$16+'Control Room'!$B$16,'Process'!BL5=1),1+('Control Room'!$C$16-1)*EXP(-0.5*(($A473-'Control Room'!$A$16-('Control Room'!$B$16-1)/2)/MAX(0.5,'Control Room'!$B$16/4))^2),1)</x:f>
        <x:v>1</x:v>
      </x:c>
      <x:c r="L473" s="9" t="n">
        <x:f>MOD(M472*16807,2147483647)</x:f>
        <x:v>1998020160</x:v>
      </x:c>
      <x:c r="M473" s="9" t="n">
        <x:f>MOD(L473*16807,2147483647)</x:f>
        <x:v>523040981</x:v>
      </x:c>
      <x:c r="N473" s="17" t="n">
        <x:f>IF('Control Room'!$B$5="Normal",'Control Room'!$B$7+'Control Room'!$D$7*SQRT(-2*LN(MAX(0.000000000001,L473/2147483647)))*COS(2*PI()*M473/2147483647),'Control Room'!$B$8+('Control Room'!$D$8-'Control Room'!$B$8)*L473/2147483647)</x:f>
        <x:v>1001.3829199196356</x:v>
      </x:c>
      <x:c r="O473" s="17" t="n">
        <x:f>IF('Control Room'!$B$5="Normal",'Control Room'!$B$7,('Control Room'!$B$8+'Control Room'!$D$8)/2)+'Control Room'!$B$9*(O472-IF('Control Room'!$B$5="Normal",'Control Room'!$B$7,('Control Room'!$B$8+'Control Room'!$D$8)/2))+SQRT(1-'Control Room'!$B$9^2)*(N473-IF('Control Room'!$B$5="Normal",'Control Room'!$B$7,('Control Room'!$B$8+'Control Room'!$D$8)/2))</x:f>
        <x:v>988.3717178691999</x:v>
      </x:c>
      <x:c r="P473" s="17" t="n">
        <x:f>IF(AND($A473&gt;='Control Room'!$A$13,$A473&lt;'Control Room'!$A$13+'Control Room'!$B$13,'Process'!BM2=1),1+('Control Room'!$C$13-1)*EXP(-0.5*(($A473-'Control Room'!$A$13-('Control Room'!$B$13-1)/2)/MAX(0.5,'Control Room'!$B$13/4))^2),1)*IF(AND($A473&gt;='Control Room'!$A$14,$A473&lt;'Control Room'!$A$14+'Control Room'!$B$14,'Process'!BM3=1),1+('Control Room'!$C$14-1)*EXP(-0.5*(($A473-'Control Room'!$A$14-('Control Room'!$B$14-1)/2)/MAX(0.5,'Control Room'!$B$14/4))^2),1)*IF(AND($A473&gt;='Control Room'!$A$15,$A473&lt;'Control Room'!$A$15+'Control Room'!$B$15,'Process'!BM4=1),1+('Control Room'!$C$15-1)*EXP(-0.5*(($A473-'Control Room'!$A$15-('Control Room'!$B$15-1)/2)/MAX(0.5,'Control Room'!$B$15/4))^2),1)*IF(AND($A473&gt;='Control Room'!$A$16,$A473&lt;'Control Room'!$A$16+'Control Room'!$B$16,'Process'!BM5=1),1+('Control Room'!$C$16-1)*EXP(-0.5*(($A473-'Control Room'!$A$16-('Control Room'!$B$16-1)/2)/MAX(0.5,'Control Room'!$B$16/4))^2),1)</x:f>
        <x:v>1</x:v>
      </x:c>
      <x:c r="Q473" s="9" t="n">
        <x:f>MOD(R472*16807,2147483647)</x:f>
        <x:v>1286770661</x:v>
      </x:c>
      <x:c r="R473" s="9" t="n">
        <x:f>MOD(Q473*16807,2147483647)</x:f>
        <x:v>1594174137</x:v>
      </x:c>
      <x:c r="S473" s="17" t="n">
        <x:f>IF('Control Room'!$B$5="Normal",'Control Room'!$B$7+'Control Room'!$D$7*SQRT(-2*LN(MAX(0.000000000001,Q473/2147483647)))*COS(2*PI()*R473/2147483647),'Control Room'!$B$8+('Control Room'!$D$8-'Control Room'!$B$8)*Q473/2147483647)</x:f>
        <x:v>995.620665599429</x:v>
      </x:c>
      <x:c r="T473" s="17" t="n">
        <x:f>IF('Control Room'!$B$5="Normal",'Control Room'!$B$7,('Control Room'!$B$8+'Control Room'!$D$8)/2)+'Control Room'!$B$9*(T472-IF('Control Room'!$B$5="Normal",'Control Room'!$B$7,('Control Room'!$B$8+'Control Room'!$D$8)/2))+SQRT(1-'Control Room'!$B$9^2)*(S473-IF('Control Room'!$B$5="Normal",'Control Room'!$B$7,('Control Room'!$B$8+'Control Room'!$D$8)/2))</x:f>
        <x:v>999.2248787463101</x:v>
      </x:c>
      <x:c r="U473" s="17" t="n">
        <x:f>IF(AND($A473&gt;='Control Room'!$A$13,$A473&lt;'Control Room'!$A$13+'Control Room'!$B$13,'Process'!BN2=1),1+('Control Room'!$C$13-1)*EXP(-0.5*(($A473-'Control Room'!$A$13-('Control Room'!$B$13-1)/2)/MAX(0.5,'Control Room'!$B$13/4))^2),1)*IF(AND($A473&gt;='Control Room'!$A$14,$A473&lt;'Control Room'!$A$14+'Control Room'!$B$14,'Process'!BN3=1),1+('Control Room'!$C$14-1)*EXP(-0.5*(($A473-'Control Room'!$A$14-('Control Room'!$B$14-1)/2)/MAX(0.5,'Control Room'!$B$14/4))^2),1)*IF(AND($A473&gt;='Control Room'!$A$15,$A473&lt;'Control Room'!$A$15+'Control Room'!$B$15,'Process'!BN4=1),1+('Control Room'!$C$15-1)*EXP(-0.5*(($A473-'Control Room'!$A$15-('Control Room'!$B$15-1)/2)/MAX(0.5,'Control Room'!$B$15/4))^2),1)*IF(AND($A473&gt;='Control Room'!$A$16,$A473&lt;'Control Room'!$A$16+'Control Room'!$B$16,'Process'!BN5=1),1+('Control Room'!$C$16-1)*EXP(-0.5*(($A473-'Control Room'!$A$16-('Control Room'!$B$16-1)/2)/MAX(0.5,'Control Room'!$B$16/4))^2),1)</x:f>
        <x:v>1</x:v>
      </x:c>
      <x:c r="V473" s="9" t="n">
        <x:f>MOD(W472*16807,2147483647)</x:f>
        <x:v>575521162</x:v>
      </x:c>
      <x:c r="W473" s="9" t="n">
        <x:f>MOD(V473*16807,2147483647)</x:f>
        <x:v>517823646</x:v>
      </x:c>
      <x:c r="X473" s="17" t="n">
        <x:f>IF('Control Room'!$B$5="Normal",'Control Room'!$B$7+'Control Room'!$D$7*SQRT(-2*LN(MAX(0.000000000001,V473/2147483647)))*COS(2*PI()*W473/2147483647),'Control Room'!$B$8+('Control Room'!$D$8-'Control Room'!$B$8)*V473/2147483647)</x:f>
        <x:v>1008.135257142457</x:v>
      </x:c>
      <x:c r="Y473" s="17" t="n">
        <x:f>IF('Control Room'!$B$5="Normal",'Control Room'!$B$7,('Control Room'!$B$8+'Control Room'!$D$8)/2)+'Control Room'!$B$9*(Y472-IF('Control Room'!$B$5="Normal",'Control Room'!$B$7,('Control Room'!$B$8+'Control Room'!$D$8)/2))+SQRT(1-'Control Room'!$B$9^2)*(X473-IF('Control Room'!$B$5="Normal",'Control Room'!$B$7,('Control Room'!$B$8+'Control Room'!$D$8)/2))</x:f>
        <x:v>824.2798283229642</x:v>
      </x:c>
      <x:c r="Z473" s="17" t="n">
        <x:f>IF(AND($A473&gt;='Control Room'!$A$13,$A473&lt;'Control Room'!$A$13+'Control Room'!$B$13,'Process'!BO2=1),1+('Control Room'!$C$13-1)*EXP(-0.5*(($A473-'Control Room'!$A$13-('Control Room'!$B$13-1)/2)/MAX(0.5,'Control Room'!$B$13/4))^2),1)*IF(AND($A473&gt;='Control Room'!$A$14,$A473&lt;'Control Room'!$A$14+'Control Room'!$B$14,'Process'!BO3=1),1+('Control Room'!$C$14-1)*EXP(-0.5*(($A473-'Control Room'!$A$14-('Control Room'!$B$14-1)/2)/MAX(0.5,'Control Room'!$B$14/4))^2),1)*IF(AND($A473&gt;='Control Room'!$A$15,$A473&lt;'Control Room'!$A$15+'Control Room'!$B$15,'Process'!BO4=1),1+('Control Room'!$C$15-1)*EXP(-0.5*(($A473-'Control Room'!$A$15-('Control Room'!$B$15-1)/2)/MAX(0.5,'Control Room'!$B$15/4))^2),1)*IF(AND($A473&gt;='Control Room'!$A$16,$A473&lt;'Control Room'!$A$16+'Control Room'!$B$16,'Process'!BO5=1),1+('Control Room'!$C$16-1)*EXP(-0.5*(($A473-'Control Room'!$A$16-('Control Room'!$B$16-1)/2)/MAX(0.5,'Control Room'!$B$16/4))^2),1)</x:f>
        <x:v>1</x:v>
      </x:c>
      <x:c r="AA473" s="9" t="n">
        <x:f>MOD(AB472*16807,2147483647)</x:f>
        <x:v>2011755310</x:v>
      </x:c>
      <x:c r="AB473" s="9" t="n">
        <x:f>MOD(AA473*16807,2147483647)</x:f>
        <x:v>1588956802</x:v>
      </x:c>
      <x:c r="AC473" s="17" t="n">
        <x:f>IF('Control Room'!$B$5="Normal",'Control Room'!$B$7+'Control Room'!$D$7*SQRT(-2*LN(MAX(0.000000000001,AA473/2147483647)))*COS(2*PI()*AB473/2147483647),'Control Room'!$B$8+('Control Room'!$D$8-'Control Room'!$B$8)*AA473/2147483647)</x:f>
        <x:v>997.9407255862576</x:v>
      </x:c>
      <x:c r="AD473" s="17" t="n">
        <x:f>IF('Control Room'!$B$5="Normal",'Control Room'!$B$7,('Control Room'!$B$8+'Control Room'!$D$8)/2)+'Control Room'!$B$9*(AD472-IF('Control Room'!$B$5="Normal",'Control Room'!$B$7,('Control Room'!$B$8+'Control Room'!$D$8)/2))+SQRT(1-'Control Room'!$B$9^2)*(AC473-IF('Control Room'!$B$5="Normal",'Control Room'!$B$7,('Control Room'!$B$8+'Control Room'!$D$8)/2))</x:f>
        <x:v>1033.0387815229165</x:v>
      </x:c>
      <x:c r="AE473" s="17" t="n">
        <x:f>IF(AND($A473&gt;='Control Room'!$A$13,$A473&lt;'Control Room'!$A$13+'Control Room'!$B$13,'Process'!BP2=1),1+('Control Room'!$C$13-1)*EXP(-0.5*(($A473-'Control Room'!$A$13-('Control Room'!$B$13-1)/2)/MAX(0.5,'Control Room'!$B$13/4))^2),1)*IF(AND($A473&gt;='Control Room'!$A$14,$A473&lt;'Control Room'!$A$14+'Control Room'!$B$14,'Process'!BP3=1),1+('Control Room'!$C$14-1)*EXP(-0.5*(($A473-'Control Room'!$A$14-('Control Room'!$B$14-1)/2)/MAX(0.5,'Control Room'!$B$14/4))^2),1)*IF(AND($A473&gt;='Control Room'!$A$15,$A473&lt;'Control Room'!$A$15+'Control Room'!$B$15,'Process'!BP4=1),1+('Control Room'!$C$15-1)*EXP(-0.5*(($A473-'Control Room'!$A$15-('Control Room'!$B$15-1)/2)/MAX(0.5,'Control Room'!$B$15/4))^2),1)*IF(AND($A473&gt;='Control Room'!$A$16,$A473&lt;'Control Room'!$A$16+'Control Room'!$B$16,'Process'!BP5=1),1+('Control Room'!$C$16-1)*EXP(-0.5*(($A473-'Control Room'!$A$16-('Control Room'!$B$16-1)/2)/MAX(0.5,'Control Room'!$B$16/4))^2),1)</x:f>
        <x:v>1</x:v>
      </x:c>
      <x:c r="AF473" s="9" t="n">
        <x:f>MOD(AG472*16807,2147483647)</x:f>
        <x:v>1300505811</x:v>
      </x:c>
      <x:c r="AG473" s="9" t="n">
        <x:f>MOD(AF473*16807,2147483647)</x:f>
        <x:v>512606311</x:v>
      </x:c>
      <x:c r="AH473" s="17" t="n">
        <x:f>IF('Control Room'!$B$5="Normal",'Control Room'!$B$7+'Control Room'!$D$7*SQRT(-2*LN(MAX(0.000000000001,AF473/2147483647)))*COS(2*PI()*AG473/2147483647),'Control Room'!$B$8+('Control Room'!$D$8-'Control Room'!$B$8)*AF473/2147483647)</x:f>
        <x:v>1006.3939623572941</x:v>
      </x:c>
      <x:c r="AI473" s="17" t="n">
        <x:f>IF('Control Room'!$B$5="Normal",'Control Room'!$B$7,('Control Room'!$B$8+'Control Room'!$D$8)/2)+'Control Room'!$B$9*(AI472-IF('Control Room'!$B$5="Normal",'Control Room'!$B$7,('Control Room'!$B$8+'Control Room'!$D$8)/2))+SQRT(1-'Control Room'!$B$9^2)*(AH473-IF('Control Room'!$B$5="Normal",'Control Room'!$B$7,('Control Room'!$B$8+'Control Room'!$D$8)/2))</x:f>
        <x:v>1083.948229412883</x:v>
      </x:c>
      <x:c r="AJ473" s="17" t="n">
        <x:f>IF(AND($A473&gt;='Control Room'!$A$13,$A473&lt;'Control Room'!$A$13+'Control Room'!$B$13,'Process'!BQ2=1),1+('Control Room'!$C$13-1)*EXP(-0.5*(($A473-'Control Room'!$A$13-('Control Room'!$B$13-1)/2)/MAX(0.5,'Control Room'!$B$13/4))^2),1)*IF(AND($A473&gt;='Control Room'!$A$14,$A473&lt;'Control Room'!$A$14+'Control Room'!$B$14,'Process'!BQ3=1),1+('Control Room'!$C$14-1)*EXP(-0.5*(($A473-'Control Room'!$A$14-('Control Room'!$B$14-1)/2)/MAX(0.5,'Control Room'!$B$14/4))^2),1)*IF(AND($A473&gt;='Control Room'!$A$15,$A473&lt;'Control Room'!$A$15+'Control Room'!$B$15,'Process'!BQ4=1),1+('Control Room'!$C$15-1)*EXP(-0.5*(($A473-'Control Room'!$A$15-('Control Room'!$B$15-1)/2)/MAX(0.5,'Control Room'!$B$15/4))^2),1)*IF(AND($A473&gt;='Control Room'!$A$16,$A473&lt;'Control Room'!$A$16+'Control Room'!$B$16,'Process'!BQ5=1),1+('Control Room'!$C$16-1)*EXP(-0.5*(($A473-'Control Room'!$A$16-('Control Room'!$B$16-1)/2)/MAX(0.5,'Control Room'!$B$16/4))^2),1)</x:f>
        <x:v>1</x:v>
      </x:c>
      <x:c r="AK473" s="9" t="n">
        <x:f>MOD(AL472*16807,2147483647)</x:f>
        <x:v>589256312</x:v>
      </x:c>
      <x:c r="AL473" s="9" t="n">
        <x:f>MOD(AK473*16807,2147483647)</x:f>
        <x:v>1583739467</x:v>
      </x:c>
      <x:c r="AM473" s="17" t="n">
        <x:f>IF('Control Room'!$B$5="Normal",'Control Room'!$B$7+'Control Room'!$D$7*SQRT(-2*LN(MAX(0.000000000001,AK473/2147483647)))*COS(2*PI()*AL473/2147483647),'Control Room'!$B$8+('Control Room'!$D$8-'Control Room'!$B$8)*AK473/2147483647)</x:f>
        <x:v>988.631275938318</x:v>
      </x:c>
      <x:c r="AN473" s="17" t="n">
        <x:f>IF('Control Room'!$B$5="Normal",'Control Room'!$B$7,('Control Room'!$B$8+'Control Room'!$D$8)/2)+'Control Room'!$B$9*(AN472-IF('Control Room'!$B$5="Normal",'Control Room'!$B$7,('Control Room'!$B$8+'Control Room'!$D$8)/2))+SQRT(1-'Control Room'!$B$9^2)*(AM473-IF('Control Room'!$B$5="Normal",'Control Room'!$B$7,('Control Room'!$B$8+'Control Room'!$D$8)/2))</x:f>
        <x:v>1050.4952412952223</x:v>
      </x:c>
      <x:c r="AO473" s="17" t="n">
        <x:f>IF(AND($A473&gt;='Control Room'!$A$13,$A473&lt;'Control Room'!$A$13+'Control Room'!$B$13,'Process'!BR2=1),1+('Control Room'!$C$13-1)*EXP(-0.5*(($A473-'Control Room'!$A$13-('Control Room'!$B$13-1)/2)/MAX(0.5,'Control Room'!$B$13/4))^2),1)*IF(AND($A473&gt;='Control Room'!$A$14,$A473&lt;'Control Room'!$A$14+'Control Room'!$B$14,'Process'!BR3=1),1+('Control Room'!$C$14-1)*EXP(-0.5*(($A473-'Control Room'!$A$14-('Control Room'!$B$14-1)/2)/MAX(0.5,'Control Room'!$B$14/4))^2),1)*IF(AND($A473&gt;='Control Room'!$A$15,$A473&lt;'Control Room'!$A$15+'Control Room'!$B$15,'Process'!BR4=1),1+('Control Room'!$C$15-1)*EXP(-0.5*(($A473-'Control Room'!$A$15-('Control Room'!$B$15-1)/2)/MAX(0.5,'Control Room'!$B$15/4))^2),1)*IF(AND($A473&gt;='Control Room'!$A$16,$A473&lt;'Control Room'!$A$16+'Control Room'!$B$16,'Process'!BR5=1),1+('Control Room'!$C$16-1)*EXP(-0.5*(($A473-'Control Room'!$A$16-('Control Room'!$B$16-1)/2)/MAX(0.5,'Control Room'!$B$16/4))^2),1)</x:f>
        <x:v>1</x:v>
      </x:c>
      <x:c r="AP473" s="9" t="n">
        <x:f>MOD(AQ472*16807,2147483647)</x:f>
        <x:v>2025490460</x:v>
      </x:c>
      <x:c r="AQ473" s="9" t="n">
        <x:f>MOD(AP473*16807,2147483647)</x:f>
        <x:v>507388976</x:v>
      </x:c>
      <x:c r="AR473" s="17" t="n">
        <x:f>IF('Control Room'!$B$5="Normal",'Control Room'!$B$7+'Control Room'!$D$7*SQRT(-2*LN(MAX(0.000000000001,AP473/2147483647)))*COS(2*PI()*AQ473/2147483647),'Control Room'!$B$8+('Control Room'!$D$8-'Control Room'!$B$8)*AP473/2147483647)</x:f>
        <x:v>1002.6518357624426</x:v>
      </x:c>
      <x:c r="AS473" s="17" t="n">
        <x:f>IF('Control Room'!$B$5="Normal",'Control Room'!$B$7,('Control Room'!$B$8+'Control Room'!$D$8)/2)+'Control Room'!$B$9*(AS472-IF('Control Room'!$B$5="Normal",'Control Room'!$B$7,('Control Room'!$B$8+'Control Room'!$D$8)/2))+SQRT(1-'Control Room'!$B$9^2)*(AR473-IF('Control Room'!$B$5="Normal",'Control Room'!$B$7,('Control Room'!$B$8+'Control Room'!$D$8)/2))</x:f>
        <x:v>883.9207379843846</x:v>
      </x:c>
      <x:c r="AT473" s="17" t="n">
        <x:f>IF(AND($A473&gt;='Control Room'!$A$13,$A473&lt;'Control Room'!$A$13+'Control Room'!$B$13,'Process'!BS2=1),1+('Control Room'!$C$13-1)*EXP(-0.5*(($A473-'Control Room'!$A$13-('Control Room'!$B$13-1)/2)/MAX(0.5,'Control Room'!$B$13/4))^2),1)*IF(AND($A473&gt;='Control Room'!$A$14,$A473&lt;'Control Room'!$A$14+'Control Room'!$B$14,'Process'!BS3=1),1+('Control Room'!$C$14-1)*EXP(-0.5*(($A473-'Control Room'!$A$14-('Control Room'!$B$14-1)/2)/MAX(0.5,'Control Room'!$B$14/4))^2),1)*IF(AND($A473&gt;='Control Room'!$A$15,$A473&lt;'Control Room'!$A$15+'Control Room'!$B$15,'Process'!BS4=1),1+('Control Room'!$C$15-1)*EXP(-0.5*(($A473-'Control Room'!$A$15-('Control Room'!$B$15-1)/2)/MAX(0.5,'Control Room'!$B$15/4))^2),1)*IF(AND($A473&gt;='Control Room'!$A$16,$A473&lt;'Control Room'!$A$16+'Control Room'!$B$16,'Process'!BS5=1),1+('Control Room'!$C$16-1)*EXP(-0.5*(($A473-'Control Room'!$A$16-('Control Room'!$B$16-1)/2)/MAX(0.5,'Control Room'!$B$16/4))^2),1)</x:f>
        <x:v>1</x:v>
      </x:c>
      <x:c r="AU473" s="9" t="n">
        <x:f>MOD(AV472*16807,2147483647)</x:f>
        <x:v>1314240961</x:v>
      </x:c>
      <x:c r="AV473" s="9" t="n">
        <x:f>MOD(AU473*16807,2147483647)</x:f>
        <x:v>1578522132</x:v>
      </x:c>
      <x:c r="AW473" s="17" t="n">
        <x:f>IF('Control Room'!$B$5="Normal",'Control Room'!$B$7+'Control Room'!$D$7*SQRT(-2*LN(MAX(0.000000000001,AU473/2147483647)))*COS(2*PI()*AV473/2147483647),'Control Room'!$B$8+('Control Room'!$D$8-'Control Room'!$B$8)*AU473/2147483647)</x:f>
        <x:v>991.6381105131371</x:v>
      </x:c>
      <x:c r="AX473" s="17" t="n">
        <x:f>IF('Control Room'!$B$5="Normal",'Control Room'!$B$7,('Control Room'!$B$8+'Control Room'!$D$8)/2)+'Control Room'!$B$9*(AX472-IF('Control Room'!$B$5="Normal",'Control Room'!$B$7,('Control Room'!$B$8+'Control Room'!$D$8)/2))+SQRT(1-'Control Room'!$B$9^2)*(AW473-IF('Control Room'!$B$5="Normal",'Control Room'!$B$7,('Control Room'!$B$8+'Control Room'!$D$8)/2))</x:f>
        <x:v>1015.7956938070961</x:v>
      </x:c>
      <x:c r="AY473" s="17" t="n">
        <x:f>IF(AND($A473&gt;='Control Room'!$A$13,$A473&lt;'Control Room'!$A$13+'Control Room'!$B$13,'Process'!BT2=1),1+('Control Room'!$C$13-1)*EXP(-0.5*(($A473-'Control Room'!$A$13-('Control Room'!$B$13-1)/2)/MAX(0.5,'Control Room'!$B$13/4))^2),1)*IF(AND($A473&gt;='Control Room'!$A$14,$A473&lt;'Control Room'!$A$14+'Control Room'!$B$14,'Process'!BT3=1),1+('Control Room'!$C$14-1)*EXP(-0.5*(($A473-'Control Room'!$A$14-('Control Room'!$B$14-1)/2)/MAX(0.5,'Control Room'!$B$14/4))^2),1)*IF(AND($A473&gt;='Control Room'!$A$15,$A473&lt;'Control Room'!$A$15+'Control Room'!$B$15,'Process'!BT4=1),1+('Control Room'!$C$15-1)*EXP(-0.5*(($A473-'Control Room'!$A$15-('Control Room'!$B$15-1)/2)/MAX(0.5,'Control Room'!$B$15/4))^2),1)*IF(AND($A473&gt;='Control Room'!$A$16,$A473&lt;'Control Room'!$A$16+'Control Room'!$B$16,'Process'!BT5=1),1+('Control Room'!$C$16-1)*EXP(-0.5*(($A473-'Control Room'!$A$16-('Control Room'!$B$16-1)/2)/MAX(0.5,'Control Room'!$B$16/4))^2),1)</x:f>
        <x:v>1</x:v>
      </x:c>
      <x:c r="AZ473" s="9" t="n">
        <x:f>MOD(BA472*16807,2147483647)</x:f>
        <x:v>602991462</x:v>
      </x:c>
      <x:c r="BA473" s="9" t="n">
        <x:f>MOD(AZ473*16807,2147483647)</x:f>
        <x:v>502171641</x:v>
      </x:c>
      <x:c r="BB473" s="17" t="n">
        <x:f>IF('Control Room'!$B$5="Normal",'Control Room'!$B$7+'Control Room'!$D$7*SQRT(-2*LN(MAX(0.000000000001,AZ473/2147483647)))*COS(2*PI()*BA473/2147483647),'Control Room'!$B$8+('Control Room'!$D$8-'Control Room'!$B$8)*AZ473/2147483647)</x:f>
        <x:v>1014.5381410113773</x:v>
      </x:c>
      <x:c r="BC473" s="17" t="n">
        <x:f>IF('Control Room'!$B$5="Normal",'Control Room'!$B$7,('Control Room'!$B$8+'Control Room'!$D$8)/2)+'Control Room'!$B$9*(BC472-IF('Control Room'!$B$5="Normal",'Control Room'!$B$7,('Control Room'!$B$8+'Control Room'!$D$8)/2))+SQRT(1-'Control Room'!$B$9^2)*(BB473-IF('Control Room'!$B$5="Normal",'Control Room'!$B$7,('Control Room'!$B$8+'Control Room'!$D$8)/2))</x:f>
        <x:v>1016.4976884766991</x:v>
      </x:c>
      <x:c r="BD473" s="17" t="n">
        <x:f>IF(AND($A473&gt;='Control Room'!$A$13,$A473&lt;'Control Room'!$A$13+'Control Room'!$B$13,'Process'!BU2=1),1+('Control Room'!$C$13-1)*EXP(-0.5*(($A473-'Control Room'!$A$13-('Control Room'!$B$13-1)/2)/MAX(0.5,'Control Room'!$B$13/4))^2),1)*IF(AND($A473&gt;='Control Room'!$A$14,$A473&lt;'Control Room'!$A$14+'Control Room'!$B$14,'Process'!BU3=1),1+('Control Room'!$C$14-1)*EXP(-0.5*(($A473-'Control Room'!$A$14-('Control Room'!$B$14-1)/2)/MAX(0.5,'Control Room'!$B$14/4))^2),1)*IF(AND($A473&gt;='Control Room'!$A$15,$A473&lt;'Control Room'!$A$15+'Control Room'!$B$15,'Process'!BU4=1),1+('Control Room'!$C$15-1)*EXP(-0.5*(($A473-'Control Room'!$A$15-('Control Room'!$B$15-1)/2)/MAX(0.5,'Control Room'!$B$15/4))^2),1)*IF(AND($A473&gt;='Control Room'!$A$16,$A473&lt;'Control Room'!$A$16+'Control Room'!$B$16,'Process'!BU5=1),1+('Control Room'!$C$16-1)*EXP(-0.5*(($A473-'Control Room'!$A$16-('Control Room'!$B$16-1)/2)/MAX(0.5,'Control Room'!$B$16/4))^2),1)</x:f>
        <x:v>1</x:v>
      </x:c>
      <x:c r="BE473" s="9" t="n">
        <x:f>MOD(BF472*16807,2147483647)</x:f>
        <x:v>2039225610</x:v>
      </x:c>
      <x:c r="BF473" s="9" t="n">
        <x:f>MOD(BE473*16807,2147483647)</x:f>
        <x:v>1573304797</x:v>
      </x:c>
      <x:c r="BG473" s="17" t="n">
        <x:f>IF('Control Room'!$B$5="Normal",'Control Room'!$B$7+'Control Room'!$D$7*SQRT(-2*LN(MAX(0.000000000001,BE473/2147483647)))*COS(2*PI()*BF473/2147483647),'Control Room'!$B$8+('Control Room'!$D$8-'Control Room'!$B$8)*BE473/2147483647)</x:f>
        <x:v>996.8464258736332</x:v>
      </x:c>
      <x:c r="BH473" s="17" t="n">
        <x:f>IF('Control Room'!$B$5="Normal",'Control Room'!$B$7,('Control Room'!$B$8+'Control Room'!$D$8)/2)+'Control Room'!$B$9*(BH472-IF('Control Room'!$B$5="Normal",'Control Room'!$B$7,('Control Room'!$B$8+'Control Room'!$D$8)/2))+SQRT(1-'Control Room'!$B$9^2)*(BG473-IF('Control Room'!$B$5="Normal",'Control Room'!$B$7,('Control Room'!$B$8+'Control Room'!$D$8)/2))</x:f>
        <x:v>942.7221484968437</x:v>
      </x:c>
      <x:c r="BI473" s="17" t="n">
        <x:f>IF(AND($A473&gt;='Control Room'!$A$13,$A473&lt;'Control Room'!$A$13+'Control Room'!$B$13,'Process'!BV2=1),1+('Control Room'!$C$13-1)*EXP(-0.5*(($A473-'Control Room'!$A$13-('Control Room'!$B$13-1)/2)/MAX(0.5,'Control Room'!$B$13/4))^2),1)*IF(AND($A473&gt;='Control Room'!$A$14,$A473&lt;'Control Room'!$A$14+'Control Room'!$B$14,'Process'!BV3=1),1+('Control Room'!$C$14-1)*EXP(-0.5*(($A473-'Control Room'!$A$14-('Control Room'!$B$14-1)/2)/MAX(0.5,'Control Room'!$B$14/4))^2),1)*IF(AND($A473&gt;='Control Room'!$A$15,$A473&lt;'Control Room'!$A$15+'Control Room'!$B$15,'Process'!BV4=1),1+('Control Room'!$C$15-1)*EXP(-0.5*(($A473-'Control Room'!$A$15-('Control Room'!$B$15-1)/2)/MAX(0.5,'Control Room'!$B$15/4))^2),1)*IF(AND($A473&gt;='Control Room'!$A$16,$A473&lt;'Control Room'!$A$16+'Control Room'!$B$16,'Process'!BV5=1),1+('Control Room'!$C$16-1)*EXP(-0.5*(($A473-'Control Room'!$A$16-('Control Room'!$B$16-1)/2)/MAX(0.5,'Control Room'!$B$16/4))^2),1)</x:f>
        <x:v>1</x:v>
      </x:c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Z473" t="str">
        <x:f>IF('Data'!A473="","",TEXT('Data'!A473,"mm-dd"))</x:f>
      </x:c>
    </x:row>
    <x:row r="474" ht="21" customHeight="1">
      <x:c r="A474" s="15" t="n">
        <x:f>'Control Room'!$B$1+472</x:f>
        <x:v>73463</x:v>
      </x:c>
      <x:c r="B474" s="9" t="n">
        <x:f>MOD(C473*16807,2147483647)</x:f>
        <x:v>740120314</x:v>
      </x:c>
      <x:c r="C474" s="9" t="n">
        <x:f>MOD(B474*16807,2147483647)</x:f>
        <x:v>976833974</x:v>
      </x:c>
      <x:c r="D474" s="17" t="n">
        <x:f>IF('Control Room'!$B$5="Normal",'Control Room'!$B$7+'Control Room'!$D$7*SQRT(-2*LN(MAX(0.000000000001,B474/2147483647)))*COS(2*PI()*C474/2147483647),'Control Room'!$B$8+('Control Room'!$D$8-'Control Room'!$B$8)*B474/2147483647)</x:f>
        <x:v>873.8797150933694</x:v>
      </x:c>
      <x:c r="E474" s="17" t="n">
        <x:f>IF('Control Room'!$B$5="Normal",'Control Room'!$B$7,('Control Room'!$B$8+'Control Room'!$D$8)/2)+'Control Room'!$B$9*(E473-IF('Control Room'!$B$5="Normal",'Control Room'!$B$7,('Control Room'!$B$8+'Control Room'!$D$8)/2))+SQRT(1-'Control Room'!$B$9^2)*(D474-IF('Control Room'!$B$5="Normal",'Control Room'!$B$7,('Control Room'!$B$8+'Control Room'!$D$8)/2))</x:f>
        <x:v>841.9595341573895</x:v>
      </x:c>
      <x:c r="F474" s="17" t="n">
        <x:f>IF(AND($A474&gt;='Control Room'!$A$13,$A474&lt;'Control Room'!$A$13+'Control Room'!$B$13,'Process'!BK2=1),1+('Control Room'!$C$13-1)*EXP(-0.5*(($A474-'Control Room'!$A$13-('Control Room'!$B$13-1)/2)/MAX(0.5,'Control Room'!$B$13/4))^2),1)*IF(AND($A474&gt;='Control Room'!$A$14,$A474&lt;'Control Room'!$A$14+'Control Room'!$B$14,'Process'!BK3=1),1+('Control Room'!$C$14-1)*EXP(-0.5*(($A474-'Control Room'!$A$14-('Control Room'!$B$14-1)/2)/MAX(0.5,'Control Room'!$B$14/4))^2),1)*IF(AND($A474&gt;='Control Room'!$A$15,$A474&lt;'Control Room'!$A$15+'Control Room'!$B$15,'Process'!BK4=1),1+('Control Room'!$C$15-1)*EXP(-0.5*(($A474-'Control Room'!$A$15-('Control Room'!$B$15-1)/2)/MAX(0.5,'Control Room'!$B$15/4))^2),1)*IF(AND($A474&gt;='Control Room'!$A$16,$A474&lt;'Control Room'!$A$16+'Control Room'!$B$16,'Process'!BK5=1),1+('Control Room'!$C$16-1)*EXP(-0.5*(($A474-'Control Room'!$A$16-('Control Room'!$B$16-1)/2)/MAX(0.5,'Control Room'!$B$16/4))^2),1)</x:f>
        <x:v>1</x:v>
      </x:c>
      <x:c r="G474" s="9" t="n">
        <x:f>MOD(H473*16807,2147483647)</x:f>
        <x:v>919660405</x:v>
      </x:c>
      <x:c r="H474" s="9" t="n">
        <x:f>MOD(G474*16807,2147483647)</x:f>
        <x:v>1292619376</x:v>
      </x:c>
      <x:c r="I474" s="17" t="n">
        <x:f>IF('Control Room'!$B$5="Normal",'Control Room'!$B$7+'Control Room'!$D$7*SQRT(-2*LN(MAX(0.000000000001,G474/2147483647)))*COS(2*PI()*H474/2147483647),'Control Room'!$B$8+('Control Room'!$D$8-'Control Room'!$B$8)*G474/2147483647)</x:f>
        <x:v>906.0137150692346</x:v>
      </x:c>
      <x:c r="J474" s="17" t="n">
        <x:f>IF('Control Room'!$B$5="Normal",'Control Room'!$B$7,('Control Room'!$B$8+'Control Room'!$D$8)/2)+'Control Room'!$B$9*(J473-IF('Control Room'!$B$5="Normal",'Control Room'!$B$7,('Control Room'!$B$8+'Control Room'!$D$8)/2))+SQRT(1-'Control Room'!$B$9^2)*(I474-IF('Control Room'!$B$5="Normal",'Control Room'!$B$7,('Control Room'!$B$8+'Control Room'!$D$8)/2))</x:f>
        <x:v>919.1935114675601</x:v>
      </x:c>
      <x:c r="K474" s="17" t="n">
        <x:f>IF(AND($A474&gt;='Control Room'!$A$13,$A474&lt;'Control Room'!$A$13+'Control Room'!$B$13,'Process'!BL2=1),1+('Control Room'!$C$13-1)*EXP(-0.5*(($A474-'Control Room'!$A$13-('Control Room'!$B$13-1)/2)/MAX(0.5,'Control Room'!$B$13/4))^2),1)*IF(AND($A474&gt;='Control Room'!$A$14,$A474&lt;'Control Room'!$A$14+'Control Room'!$B$14,'Process'!BL3=1),1+('Control Room'!$C$14-1)*EXP(-0.5*(($A474-'Control Room'!$A$14-('Control Room'!$B$14-1)/2)/MAX(0.5,'Control Room'!$B$14/4))^2),1)*IF(AND($A474&gt;='Control Room'!$A$15,$A474&lt;'Control Room'!$A$15+'Control Room'!$B$15,'Process'!BL4=1),1+('Control Room'!$C$15-1)*EXP(-0.5*(($A474-'Control Room'!$A$15-('Control Room'!$B$15-1)/2)/MAX(0.5,'Control Room'!$B$15/4))^2),1)*IF(AND($A474&gt;='Control Room'!$A$16,$A474&lt;'Control Room'!$A$16+'Control Room'!$B$16,'Process'!BL5=1),1+('Control Room'!$C$16-1)*EXP(-0.5*(($A474-'Control Room'!$A$16-('Control Room'!$B$16-1)/2)/MAX(0.5,'Control Room'!$B$16/4))^2),1)</x:f>
        <x:v>1</x:v>
      </x:c>
      <x:c r="L474" s="9" t="n">
        <x:f>MOD(M473*16807,2147483647)</x:f>
        <x:v>1099200496</x:v>
      </x:c>
      <x:c r="M474" s="9" t="n">
        <x:f>MOD(L474*16807,2147483647)</x:f>
        <x:v>1608404778</x:v>
      </x:c>
      <x:c r="N474" s="17" t="n">
        <x:f>IF('Control Room'!$B$5="Normal",'Control Room'!$B$7+'Control Room'!$D$7*SQRT(-2*LN(MAX(0.000000000001,L474/2147483647)))*COS(2*PI()*M474/2147483647),'Control Room'!$B$8+('Control Room'!$D$8-'Control Room'!$B$8)*L474/2147483647)</x:f>
        <x:v>999.3271167299287</x:v>
      </x:c>
      <x:c r="O474" s="17" t="n">
        <x:f>IF('Control Room'!$B$5="Normal",'Control Room'!$B$7,('Control Room'!$B$8+'Control Room'!$D$8)/2)+'Control Room'!$B$9*(O473-IF('Control Room'!$B$5="Normal",'Control Room'!$B$7,('Control Room'!$B$8+'Control Room'!$D$8)/2))+SQRT(1-'Control Room'!$B$9^2)*(N474-IF('Control Room'!$B$5="Normal",'Control Room'!$B$7,('Control Room'!$B$8+'Control Room'!$D$8)/2))</x:f>
        <x:v>990.5088633723283</x:v>
      </x:c>
      <x:c r="P474" s="17" t="n">
        <x:f>IF(AND($A474&gt;='Control Room'!$A$13,$A474&lt;'Control Room'!$A$13+'Control Room'!$B$13,'Process'!BM2=1),1+('Control Room'!$C$13-1)*EXP(-0.5*(($A474-'Control Room'!$A$13-('Control Room'!$B$13-1)/2)/MAX(0.5,'Control Room'!$B$13/4))^2),1)*IF(AND($A474&gt;='Control Room'!$A$14,$A474&lt;'Control Room'!$A$14+'Control Room'!$B$14,'Process'!BM3=1),1+('Control Room'!$C$14-1)*EXP(-0.5*(($A474-'Control Room'!$A$14-('Control Room'!$B$14-1)/2)/MAX(0.5,'Control Room'!$B$14/4))^2),1)*IF(AND($A474&gt;='Control Room'!$A$15,$A474&lt;'Control Room'!$A$15+'Control Room'!$B$15,'Process'!BM4=1),1+('Control Room'!$C$15-1)*EXP(-0.5*(($A474-'Control Room'!$A$15-('Control Room'!$B$15-1)/2)/MAX(0.5,'Control Room'!$B$15/4))^2),1)*IF(AND($A474&gt;='Control Room'!$A$16,$A474&lt;'Control Room'!$A$16+'Control Room'!$B$16,'Process'!BM5=1),1+('Control Room'!$C$16-1)*EXP(-0.5*(($A474-'Control Room'!$A$16-('Control Room'!$B$16-1)/2)/MAX(0.5,'Control Room'!$B$16/4))^2),1)</x:f>
        <x:v>1</x:v>
      </x:c>
      <x:c r="Q474" s="9" t="n">
        <x:f>MOD(R473*16807,2147483647)</x:f>
        <x:v>1278740587</x:v>
      </x:c>
      <x:c r="R474" s="9" t="n">
        <x:f>MOD(Q474*16807,2147483647)</x:f>
        <x:v>1924190180</x:v>
      </x:c>
      <x:c r="S474" s="17" t="n">
        <x:f>IF('Control Room'!$B$5="Normal",'Control Room'!$B$7+'Control Room'!$D$7*SQRT(-2*LN(MAX(0.000000000001,Q474/2147483647)))*COS(2*PI()*R474/2147483647),'Control Room'!$B$8+('Control Room'!$D$8-'Control Room'!$B$8)*Q474/2147483647)</x:f>
        <x:v>1072.7708918163946</x:v>
      </x:c>
      <x:c r="T474" s="17" t="n">
        <x:f>IF('Control Room'!$B$5="Normal",'Control Room'!$B$7,('Control Room'!$B$8+'Control Room'!$D$8)/2)+'Control Room'!$B$9*(T473-IF('Control Room'!$B$5="Normal",'Control Room'!$B$7,('Control Room'!$B$8+'Control Room'!$D$8)/2))+SQRT(1-'Control Room'!$B$9^2)*(S474-IF('Control Room'!$B$5="Normal",'Control Room'!$B$7,('Control Room'!$B$8+'Control Room'!$D$8)/2))</x:f>
        <x:v>1044.9339387280709</x:v>
      </x:c>
      <x:c r="U474" s="17" t="n">
        <x:f>IF(AND($A474&gt;='Control Room'!$A$13,$A474&lt;'Control Room'!$A$13+'Control Room'!$B$13,'Process'!BN2=1),1+('Control Room'!$C$13-1)*EXP(-0.5*(($A474-'Control Room'!$A$13-('Control Room'!$B$13-1)/2)/MAX(0.5,'Control Room'!$B$13/4))^2),1)*IF(AND($A474&gt;='Control Room'!$A$14,$A474&lt;'Control Room'!$A$14+'Control Room'!$B$14,'Process'!BN3=1),1+('Control Room'!$C$14-1)*EXP(-0.5*(($A474-'Control Room'!$A$14-('Control Room'!$B$14-1)/2)/MAX(0.5,'Control Room'!$B$14/4))^2),1)*IF(AND($A474&gt;='Control Room'!$A$15,$A474&lt;'Control Room'!$A$15+'Control Room'!$B$15,'Process'!BN4=1),1+('Control Room'!$C$15-1)*EXP(-0.5*(($A474-'Control Room'!$A$15-('Control Room'!$B$15-1)/2)/MAX(0.5,'Control Room'!$B$15/4))^2),1)*IF(AND($A474&gt;='Control Room'!$A$16,$A474&lt;'Control Room'!$A$16+'Control Room'!$B$16,'Process'!BN5=1),1+('Control Room'!$C$16-1)*EXP(-0.5*(($A474-'Control Room'!$A$16-('Control Room'!$B$16-1)/2)/MAX(0.5,'Control Room'!$B$16/4))^2),1)</x:f>
        <x:v>1</x:v>
      </x:c>
      <x:c r="V474" s="9" t="n">
        <x:f>MOD(W473*16807,2147483647)</x:f>
        <x:v>1458280678</x:v>
      </x:c>
      <x:c r="W474" s="9" t="n">
        <x:f>MOD(V474*16807,2147483647)</x:f>
        <x:v>92491935</x:v>
      </x:c>
      <x:c r="X474" s="17" t="n">
        <x:f>IF('Control Room'!$B$5="Normal",'Control Room'!$B$7+'Control Room'!$D$7*SQRT(-2*LN(MAX(0.000000000001,V474/2147483647)))*COS(2*PI()*W474/2147483647),'Control Room'!$B$8+('Control Room'!$D$8-'Control Room'!$B$8)*V474/2147483647)</x:f>
        <x:v>1076.3017179950698</x:v>
      </x:c>
      <x:c r="Y474" s="17" t="n">
        <x:f>IF('Control Room'!$B$5="Normal",'Control Room'!$B$7,('Control Room'!$B$8+'Control Room'!$D$8)/2)+'Control Room'!$B$9*(Y473-IF('Control Room'!$B$5="Normal",'Control Room'!$B$7,('Control Room'!$B$8+'Control Room'!$D$8)/2))+SQRT(1-'Control Room'!$B$9^2)*(X474-IF('Control Room'!$B$5="Normal",'Control Room'!$B$7,('Control Room'!$B$8+'Control Room'!$D$8)/2))</x:f>
        <x:v>910.6863180875702</x:v>
      </x:c>
      <x:c r="Z474" s="17" t="n">
        <x:f>IF(AND($A474&gt;='Control Room'!$A$13,$A474&lt;'Control Room'!$A$13+'Control Room'!$B$13,'Process'!BO2=1),1+('Control Room'!$C$13-1)*EXP(-0.5*(($A474-'Control Room'!$A$13-('Control Room'!$B$13-1)/2)/MAX(0.5,'Control Room'!$B$13/4))^2),1)*IF(AND($A474&gt;='Control Room'!$A$14,$A474&lt;'Control Room'!$A$14+'Control Room'!$B$14,'Process'!BO3=1),1+('Control Room'!$C$14-1)*EXP(-0.5*(($A474-'Control Room'!$A$14-('Control Room'!$B$14-1)/2)/MAX(0.5,'Control Room'!$B$14/4))^2),1)*IF(AND($A474&gt;='Control Room'!$A$15,$A474&lt;'Control Room'!$A$15+'Control Room'!$B$15,'Process'!BO4=1),1+('Control Room'!$C$15-1)*EXP(-0.5*(($A474-'Control Room'!$A$15-('Control Room'!$B$15-1)/2)/MAX(0.5,'Control Room'!$B$15/4))^2),1)*IF(AND($A474&gt;='Control Room'!$A$16,$A474&lt;'Control Room'!$A$16+'Control Room'!$B$16,'Process'!BO5=1),1+('Control Room'!$C$16-1)*EXP(-0.5*(($A474-'Control Room'!$A$16-('Control Room'!$B$16-1)/2)/MAX(0.5,'Control Room'!$B$16/4))^2),1)</x:f>
        <x:v>1</x:v>
      </x:c>
      <x:c r="AA474" s="9" t="n">
        <x:f>MOD(AB473*16807,2147483647)</x:f>
        <x:v>1637820769</x:v>
      </x:c>
      <x:c r="AB474" s="9" t="n">
        <x:f>MOD(AA474*16807,2147483647)</x:f>
        <x:v>408277337</x:v>
      </x:c>
      <x:c r="AC474" s="17" t="n">
        <x:f>IF('Control Room'!$B$5="Normal",'Control Room'!$B$7+'Control Room'!$D$7*SQRT(-2*LN(MAX(0.000000000001,AA474/2147483647)))*COS(2*PI()*AB474/2147483647),'Control Room'!$B$8+('Control Room'!$D$8-'Control Room'!$B$8)*AA474/2147483647)</x:f>
        <x:v>1024.342226204632</x:v>
      </x:c>
      <x:c r="AD474" s="17" t="n">
        <x:f>IF('Control Room'!$B$5="Normal",'Control Room'!$B$7,('Control Room'!$B$8+'Control Room'!$D$8)/2)+'Control Room'!$B$9*(AD473-IF('Control Room'!$B$5="Normal",'Control Room'!$B$7,('Control Room'!$B$8+'Control Room'!$D$8)/2))+SQRT(1-'Control Room'!$B$9^2)*(AC474-IF('Control Room'!$B$5="Normal",'Control Room'!$B$7,('Control Room'!$B$8+'Control Room'!$D$8)/2))</x:f>
        <x:v>1041.0031160691242</x:v>
      </x:c>
      <x:c r="AE474" s="17" t="n">
        <x:f>IF(AND($A474&gt;='Control Room'!$A$13,$A474&lt;'Control Room'!$A$13+'Control Room'!$B$13,'Process'!BP2=1),1+('Control Room'!$C$13-1)*EXP(-0.5*(($A474-'Control Room'!$A$13-('Control Room'!$B$13-1)/2)/MAX(0.5,'Control Room'!$B$13/4))^2),1)*IF(AND($A474&gt;='Control Room'!$A$14,$A474&lt;'Control Room'!$A$14+'Control Room'!$B$14,'Process'!BP3=1),1+('Control Room'!$C$14-1)*EXP(-0.5*(($A474-'Control Room'!$A$14-('Control Room'!$B$14-1)/2)/MAX(0.5,'Control Room'!$B$14/4))^2),1)*IF(AND($A474&gt;='Control Room'!$A$15,$A474&lt;'Control Room'!$A$15+'Control Room'!$B$15,'Process'!BP4=1),1+('Control Room'!$C$15-1)*EXP(-0.5*(($A474-'Control Room'!$A$15-('Control Room'!$B$15-1)/2)/MAX(0.5,'Control Room'!$B$15/4))^2),1)*IF(AND($A474&gt;='Control Room'!$A$16,$A474&lt;'Control Room'!$A$16+'Control Room'!$B$16,'Process'!BP5=1),1+('Control Room'!$C$16-1)*EXP(-0.5*(($A474-'Control Room'!$A$16-('Control Room'!$B$16-1)/2)/MAX(0.5,'Control Room'!$B$16/4))^2),1)</x:f>
        <x:v>1</x:v>
      </x:c>
      <x:c r="AF474" s="9" t="n">
        <x:f>MOD(AG473*16807,2147483647)</x:f>
        <x:v>1817360860</x:v>
      </x:c>
      <x:c r="AG474" s="9" t="n">
        <x:f>MOD(AF474*16807,2147483647)</x:f>
        <x:v>724062739</x:v>
      </x:c>
      <x:c r="AH474" s="17" t="n">
        <x:f>IF('Control Room'!$B$5="Normal",'Control Room'!$B$7+'Control Room'!$D$7*SQRT(-2*LN(MAX(0.000000000001,AF474/2147483647)))*COS(2*PI()*AG474/2147483647),'Control Room'!$B$8+('Control Room'!$D$8-'Control Room'!$B$8)*AF474/2147483647)</x:f>
        <x:v>972.9228033929738</x:v>
      </x:c>
      <x:c r="AI474" s="17" t="n">
        <x:f>IF('Control Room'!$B$5="Normal",'Control Room'!$B$7,('Control Room'!$B$8+'Control Room'!$D$8)/2)+'Control Room'!$B$9*(AI473-IF('Control Room'!$B$5="Normal",'Control Room'!$B$7,('Control Room'!$B$8+'Control Room'!$D$8)/2))+SQRT(1-'Control Room'!$B$9^2)*(AH474-IF('Control Room'!$B$5="Normal",'Control Room'!$B$7,('Control Room'!$B$8+'Control Room'!$D$8)/2))</x:f>
        <x:v>1048.5352640118954</x:v>
      </x:c>
      <x:c r="AJ474" s="17" t="n">
        <x:f>IF(AND($A474&gt;='Control Room'!$A$13,$A474&lt;'Control Room'!$A$13+'Control Room'!$B$13,'Process'!BQ2=1),1+('Control Room'!$C$13-1)*EXP(-0.5*(($A474-'Control Room'!$A$13-('Control Room'!$B$13-1)/2)/MAX(0.5,'Control Room'!$B$13/4))^2),1)*IF(AND($A474&gt;='Control Room'!$A$14,$A474&lt;'Control Room'!$A$14+'Control Room'!$B$14,'Process'!BQ3=1),1+('Control Room'!$C$14-1)*EXP(-0.5*(($A474-'Control Room'!$A$14-('Control Room'!$B$14-1)/2)/MAX(0.5,'Control Room'!$B$14/4))^2),1)*IF(AND($A474&gt;='Control Room'!$A$15,$A474&lt;'Control Room'!$A$15+'Control Room'!$B$15,'Process'!BQ4=1),1+('Control Room'!$C$15-1)*EXP(-0.5*(($A474-'Control Room'!$A$15-('Control Room'!$B$15-1)/2)/MAX(0.5,'Control Room'!$B$15/4))^2),1)*IF(AND($A474&gt;='Control Room'!$A$16,$A474&lt;'Control Room'!$A$16+'Control Room'!$B$16,'Process'!BQ5=1),1+('Control Room'!$C$16-1)*EXP(-0.5*(($A474-'Control Room'!$A$16-('Control Room'!$B$16-1)/2)/MAX(0.5,'Control Room'!$B$16/4))^2),1)</x:f>
        <x:v>1</x:v>
      </x:c>
      <x:c r="AK474" s="9" t="n">
        <x:f>MOD(AL473*16807,2147483647)</x:f>
        <x:v>1996900951</x:v>
      </x:c>
      <x:c r="AL474" s="9" t="n">
        <x:f>MOD(AK474*16807,2147483647)</x:f>
        <x:v>1039848141</x:v>
      </x:c>
      <x:c r="AM474" s="17" t="n">
        <x:f>IF('Control Room'!$B$5="Normal",'Control Room'!$B$7+'Control Room'!$D$7*SQRT(-2*LN(MAX(0.000000000001,AK474/2147483647)))*COS(2*PI()*AL474/2147483647),'Control Room'!$B$8+('Control Room'!$D$8-'Control Room'!$B$8)*AK474/2147483647)</x:f>
        <x:v>965.8503187485777</x:v>
      </x:c>
      <x:c r="AN474" s="17" t="n">
        <x:f>IF('Control Room'!$B$5="Normal",'Control Room'!$B$7,('Control Room'!$B$8+'Control Room'!$D$8)/2)+'Control Room'!$B$9*(AN473-IF('Control Room'!$B$5="Normal",'Control Room'!$B$7,('Control Room'!$B$8+'Control Room'!$D$8)/2))+SQRT(1-'Control Room'!$B$9^2)*(AM474-IF('Control Room'!$B$5="Normal",'Control Room'!$B$7,('Control Room'!$B$8+'Control Room'!$D$8)/2))</x:f>
        <x:v>1018.01611727738</x:v>
      </x:c>
      <x:c r="AO474" s="17" t="n">
        <x:f>IF(AND($A474&gt;='Control Room'!$A$13,$A474&lt;'Control Room'!$A$13+'Control Room'!$B$13,'Process'!BR2=1),1+('Control Room'!$C$13-1)*EXP(-0.5*(($A474-'Control Room'!$A$13-('Control Room'!$B$13-1)/2)/MAX(0.5,'Control Room'!$B$13/4))^2),1)*IF(AND($A474&gt;='Control Room'!$A$14,$A474&lt;'Control Room'!$A$14+'Control Room'!$B$14,'Process'!BR3=1),1+('Control Room'!$C$14-1)*EXP(-0.5*(($A474-'Control Room'!$A$14-('Control Room'!$B$14-1)/2)/MAX(0.5,'Control Room'!$B$14/4))^2),1)*IF(AND($A474&gt;='Control Room'!$A$15,$A474&lt;'Control Room'!$A$15+'Control Room'!$B$15,'Process'!BR4=1),1+('Control Room'!$C$15-1)*EXP(-0.5*(($A474-'Control Room'!$A$15-('Control Room'!$B$15-1)/2)/MAX(0.5,'Control Room'!$B$15/4))^2),1)*IF(AND($A474&gt;='Control Room'!$A$16,$A474&lt;'Control Room'!$A$16+'Control Room'!$B$16,'Process'!BR5=1),1+('Control Room'!$C$16-1)*EXP(-0.5*(($A474-'Control Room'!$A$16-('Control Room'!$B$16-1)/2)/MAX(0.5,'Control Room'!$B$16/4))^2),1)</x:f>
        <x:v>1</x:v>
      </x:c>
      <x:c r="AP474" s="9" t="n">
        <x:f>MOD(AQ473*16807,2147483647)</x:f>
        <x:v>28957395</x:v>
      </x:c>
      <x:c r="AQ474" s="9" t="n">
        <x:f>MOD(AP474*16807,2147483647)</x:f>
        <x:v>1355633543</x:v>
      </x:c>
      <x:c r="AR474" s="17" t="n">
        <x:f>IF('Control Room'!$B$5="Normal",'Control Room'!$B$7+'Control Room'!$D$7*SQRT(-2*LN(MAX(0.000000000001,AP474/2147483647)))*COS(2*PI()*AQ474/2147483647),'Control Room'!$B$8+('Control Room'!$D$8-'Control Room'!$B$8)*AP474/2147483647)</x:f>
        <x:v>820.7328010552255</x:v>
      </x:c>
      <x:c r="AS474" s="17" t="n">
        <x:f>IF('Control Room'!$B$5="Normal",'Control Room'!$B$7,('Control Room'!$B$8+'Control Room'!$D$8)/2)+'Control Room'!$B$9*(AS473-IF('Control Room'!$B$5="Normal",'Control Room'!$B$7,('Control Room'!$B$8+'Control Room'!$D$8)/2))+SQRT(1-'Control Room'!$B$9^2)*(AR474-IF('Control Room'!$B$5="Normal",'Control Room'!$B$7,('Control Room'!$B$8+'Control Room'!$D$8)/2))</x:f>
        <x:v>797.2764350163679</x:v>
      </x:c>
      <x:c r="AT474" s="17" t="n">
        <x:f>IF(AND($A474&gt;='Control Room'!$A$13,$A474&lt;'Control Room'!$A$13+'Control Room'!$B$13,'Process'!BS2=1),1+('Control Room'!$C$13-1)*EXP(-0.5*(($A474-'Control Room'!$A$13-('Control Room'!$B$13-1)/2)/MAX(0.5,'Control Room'!$B$13/4))^2),1)*IF(AND($A474&gt;='Control Room'!$A$14,$A474&lt;'Control Room'!$A$14+'Control Room'!$B$14,'Process'!BS3=1),1+('Control Room'!$C$14-1)*EXP(-0.5*(($A474-'Control Room'!$A$14-('Control Room'!$B$14-1)/2)/MAX(0.5,'Control Room'!$B$14/4))^2),1)*IF(AND($A474&gt;='Control Room'!$A$15,$A474&lt;'Control Room'!$A$15+'Control Room'!$B$15,'Process'!BS4=1),1+('Control Room'!$C$15-1)*EXP(-0.5*(($A474-'Control Room'!$A$15-('Control Room'!$B$15-1)/2)/MAX(0.5,'Control Room'!$B$15/4))^2),1)*IF(AND($A474&gt;='Control Room'!$A$16,$A474&lt;'Control Room'!$A$16+'Control Room'!$B$16,'Process'!BS5=1),1+('Control Room'!$C$16-1)*EXP(-0.5*(($A474-'Control Room'!$A$16-('Control Room'!$B$16-1)/2)/MAX(0.5,'Control Room'!$B$16/4))^2),1)</x:f>
        <x:v>1</x:v>
      </x:c>
      <x:c r="AU474" s="9" t="n">
        <x:f>MOD(AV473*16807,2147483647)</x:f>
        <x:v>208497486</x:v>
      </x:c>
      <x:c r="AV474" s="9" t="n">
        <x:f>MOD(AU474*16807,2147483647)</x:f>
        <x:v>1671418945</x:v>
      </x:c>
      <x:c r="AW474" s="17" t="n">
        <x:f>IF('Control Room'!$B$5="Normal",'Control Room'!$B$7+'Control Room'!$D$7*SQRT(-2*LN(MAX(0.000000000001,AU474/2147483647)))*COS(2*PI()*AV474/2147483647),'Control Room'!$B$8+('Control Room'!$D$8-'Control Room'!$B$8)*AU474/2147483647)</x:f>
        <x:v>1034.3983743591675</x:v>
      </x:c>
      <x:c r="AX474" s="17" t="n">
        <x:f>IF('Control Room'!$B$5="Normal",'Control Room'!$B$7,('Control Room'!$B$8+'Control Room'!$D$8)/2)+'Control Room'!$B$9*(AX473-IF('Control Room'!$B$5="Normal",'Control Room'!$B$7,('Control Room'!$B$8+'Control Room'!$D$8)/2))+SQRT(1-'Control Room'!$B$9^2)*(AW474-IF('Control Room'!$B$5="Normal",'Control Room'!$B$7,('Control Room'!$B$8+'Control Room'!$D$8)/2))</x:f>
        <x:v>1033.8464391544999</x:v>
      </x:c>
      <x:c r="AY474" s="17" t="n">
        <x:f>IF(AND($A474&gt;='Control Room'!$A$13,$A474&lt;'Control Room'!$A$13+'Control Room'!$B$13,'Process'!BT2=1),1+('Control Room'!$C$13-1)*EXP(-0.5*(($A474-'Control Room'!$A$13-('Control Room'!$B$13-1)/2)/MAX(0.5,'Control Room'!$B$13/4))^2),1)*IF(AND($A474&gt;='Control Room'!$A$14,$A474&lt;'Control Room'!$A$14+'Control Room'!$B$14,'Process'!BT3=1),1+('Control Room'!$C$14-1)*EXP(-0.5*(($A474-'Control Room'!$A$14-('Control Room'!$B$14-1)/2)/MAX(0.5,'Control Room'!$B$14/4))^2),1)*IF(AND($A474&gt;='Control Room'!$A$15,$A474&lt;'Control Room'!$A$15+'Control Room'!$B$15,'Process'!BT4=1),1+('Control Room'!$C$15-1)*EXP(-0.5*(($A474-'Control Room'!$A$15-('Control Room'!$B$15-1)/2)/MAX(0.5,'Control Room'!$B$15/4))^2),1)*IF(AND($A474&gt;='Control Room'!$A$16,$A474&lt;'Control Room'!$A$16+'Control Room'!$B$16,'Process'!BT5=1),1+('Control Room'!$C$16-1)*EXP(-0.5*(($A474-'Control Room'!$A$16-('Control Room'!$B$16-1)/2)/MAX(0.5,'Control Room'!$B$16/4))^2),1)</x:f>
        <x:v>1</x:v>
      </x:c>
      <x:c r="AZ474" s="9" t="n">
        <x:f>MOD(BA473*16807,2147483647)</x:f>
        <x:v>388037577</x:v>
      </x:c>
      <x:c r="BA474" s="9" t="n">
        <x:f>MOD(AZ474*16807,2147483647)</x:f>
        <x:v>1987204347</x:v>
      </x:c>
      <x:c r="BB474" s="17" t="n">
        <x:f>IF('Control Room'!$B$5="Normal",'Control Room'!$B$7+'Control Room'!$D$7*SQRT(-2*LN(MAX(0.000000000001,AZ474/2147483647)))*COS(2*PI()*BA474/2147483647),'Control Room'!$B$8+('Control Room'!$D$8-'Control Room'!$B$8)*AZ474/2147483647)</x:f>
        <x:v>1148.5121150473597</x:v>
      </x:c>
      <x:c r="BC474" s="17" t="n">
        <x:f>IF('Control Room'!$B$5="Normal",'Control Room'!$B$7,('Control Room'!$B$8+'Control Room'!$D$8)/2)+'Control Room'!$B$9*(BC473-IF('Control Room'!$B$5="Normal",'Control Room'!$B$7,('Control Room'!$B$8+'Control Room'!$D$8)/2))+SQRT(1-'Control Room'!$B$9^2)*(BB474-IF('Control Room'!$B$5="Normal",'Control Room'!$B$7,('Control Room'!$B$8+'Control Room'!$D$8)/2))</x:f>
        <x:v>1105.8040361724152</x:v>
      </x:c>
      <x:c r="BD474" s="17" t="n">
        <x:f>IF(AND($A474&gt;='Control Room'!$A$13,$A474&lt;'Control Room'!$A$13+'Control Room'!$B$13,'Process'!BU2=1),1+('Control Room'!$C$13-1)*EXP(-0.5*(($A474-'Control Room'!$A$13-('Control Room'!$B$13-1)/2)/MAX(0.5,'Control Room'!$B$13/4))^2),1)*IF(AND($A474&gt;='Control Room'!$A$14,$A474&lt;'Control Room'!$A$14+'Control Room'!$B$14,'Process'!BU3=1),1+('Control Room'!$C$14-1)*EXP(-0.5*(($A474-'Control Room'!$A$14-('Control Room'!$B$14-1)/2)/MAX(0.5,'Control Room'!$B$14/4))^2),1)*IF(AND($A474&gt;='Control Room'!$A$15,$A474&lt;'Control Room'!$A$15+'Control Room'!$B$15,'Process'!BU4=1),1+('Control Room'!$C$15-1)*EXP(-0.5*(($A474-'Control Room'!$A$15-('Control Room'!$B$15-1)/2)/MAX(0.5,'Control Room'!$B$15/4))^2),1)*IF(AND($A474&gt;='Control Room'!$A$16,$A474&lt;'Control Room'!$A$16+'Control Room'!$B$16,'Process'!BU5=1),1+('Control Room'!$C$16-1)*EXP(-0.5*(($A474-'Control Room'!$A$16-('Control Room'!$B$16-1)/2)/MAX(0.5,'Control Room'!$B$16/4))^2),1)</x:f>
        <x:v>1</x:v>
      </x:c>
      <x:c r="BE474" s="9" t="n">
        <x:f>MOD(BF473*16807,2147483647)</x:f>
        <x:v>567577668</x:v>
      </x:c>
      <x:c r="BF474" s="9" t="n">
        <x:f>MOD(BE474*16807,2147483647)</x:f>
        <x:v>155506102</x:v>
      </x:c>
      <x:c r="BG474" s="17" t="n">
        <x:f>IF('Control Room'!$B$5="Normal",'Control Room'!$B$7+'Control Room'!$D$7*SQRT(-2*LN(MAX(0.000000000001,BE474/2147483647)))*COS(2*PI()*BF474/2147483647),'Control Room'!$B$8+('Control Room'!$D$8-'Control Room'!$B$8)*BE474/2147483647)</x:f>
        <x:v>1131.8861162635576</x:v>
      </x:c>
      <x:c r="BH474" s="17" t="n">
        <x:f>IF('Control Room'!$B$5="Normal",'Control Room'!$B$7,('Control Room'!$B$8+'Control Room'!$D$8)/2)+'Control Room'!$B$9*(BH473-IF('Control Room'!$B$5="Normal",'Control Room'!$B$7,('Control Room'!$B$8+'Control Room'!$D$8)/2))+SQRT(1-'Control Room'!$B$9^2)*(BG474-IF('Control Room'!$B$5="Normal",'Control Room'!$B$7,('Control Room'!$B$8+'Control Room'!$D$8)/2))</x:f>
        <x:v>1037.854905551323</x:v>
      </x:c>
      <x:c r="BI474" s="17" t="n">
        <x:f>IF(AND($A474&gt;='Control Room'!$A$13,$A474&lt;'Control Room'!$A$13+'Control Room'!$B$13,'Process'!BV2=1),1+('Control Room'!$C$13-1)*EXP(-0.5*(($A474-'Control Room'!$A$13-('Control Room'!$B$13-1)/2)/MAX(0.5,'Control Room'!$B$13/4))^2),1)*IF(AND($A474&gt;='Control Room'!$A$14,$A474&lt;'Control Room'!$A$14+'Control Room'!$B$14,'Process'!BV3=1),1+('Control Room'!$C$14-1)*EXP(-0.5*(($A474-'Control Room'!$A$14-('Control Room'!$B$14-1)/2)/MAX(0.5,'Control Room'!$B$14/4))^2),1)*IF(AND($A474&gt;='Control Room'!$A$15,$A474&lt;'Control Room'!$A$15+'Control Room'!$B$15,'Process'!BV4=1),1+('Control Room'!$C$15-1)*EXP(-0.5*(($A474-'Control Room'!$A$15-('Control Room'!$B$15-1)/2)/MAX(0.5,'Control Room'!$B$15/4))^2),1)*IF(AND($A474&gt;='Control Room'!$A$16,$A474&lt;'Control Room'!$A$16+'Control Room'!$B$16,'Process'!BV5=1),1+('Control Room'!$C$16-1)*EXP(-0.5*(($A474-'Control Room'!$A$16-('Control Room'!$B$16-1)/2)/MAX(0.5,'Control Room'!$B$16/4))^2),1)</x:f>
        <x:v>1</x:v>
      </x:c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Z474" t="str">
        <x:f>IF('Data'!A474="","",TEXT('Data'!A474,"mm-dd"))</x:f>
      </x:c>
    </x:row>
    <x:row r="475" ht="21" customHeight="1">
      <x:c r="A475" s="15" t="n">
        <x:f>'Control Room'!$B$1+473</x:f>
        <x:v>73464</x:v>
      </x:c>
      <x:c r="B475" s="9" t="n">
        <x:f>MOD(C474*16807,2147483647)</x:f>
        <x:v>136119703</x:v>
      </x:c>
      <x:c r="C475" s="9" t="n">
        <x:f>MOD(B475*16807,2147483647)</x:f>
        <x:v>693764266</x:v>
      </x:c>
      <x:c r="D475" s="17" t="n">
        <x:f>IF('Control Room'!$B$5="Normal",'Control Room'!$B$7+'Control Room'!$D$7*SQRT(-2*LN(MAX(0.000000000001,B475/2147483647)))*COS(2*PI()*C475/2147483647),'Control Room'!$B$8+('Control Room'!$D$8-'Control Room'!$B$8)*B475/2147483647)</x:f>
        <x:v>906.3325301803472</x:v>
      </x:c>
      <x:c r="E475" s="17" t="n">
        <x:f>IF('Control Room'!$B$5="Normal",'Control Room'!$B$7,('Control Room'!$B$8+'Control Room'!$D$8)/2)+'Control Room'!$B$9*(E474-IF('Control Room'!$B$5="Normal",'Control Room'!$B$7,('Control Room'!$B$8+'Control Room'!$D$8)/2))+SQRT(1-'Control Room'!$B$9^2)*(D475-IF('Control Room'!$B$5="Normal",'Control Room'!$B$7,('Control Room'!$B$8+'Control Room'!$D$8)/2))</x:f>
        <x:v>818.1132529120449</x:v>
      </x:c>
      <x:c r="F475" s="17" t="n">
        <x:f>IF(AND($A475&gt;='Control Room'!$A$13,$A475&lt;'Control Room'!$A$13+'Control Room'!$B$13,'Process'!BK2=1),1+('Control Room'!$C$13-1)*EXP(-0.5*(($A475-'Control Room'!$A$13-('Control Room'!$B$13-1)/2)/MAX(0.5,'Control Room'!$B$13/4))^2),1)*IF(AND($A475&gt;='Control Room'!$A$14,$A475&lt;'Control Room'!$A$14+'Control Room'!$B$14,'Process'!BK3=1),1+('Control Room'!$C$14-1)*EXP(-0.5*(($A475-'Control Room'!$A$14-('Control Room'!$B$14-1)/2)/MAX(0.5,'Control Room'!$B$14/4))^2),1)*IF(AND($A475&gt;='Control Room'!$A$15,$A475&lt;'Control Room'!$A$15+'Control Room'!$B$15,'Process'!BK4=1),1+('Control Room'!$C$15-1)*EXP(-0.5*(($A475-'Control Room'!$A$15-('Control Room'!$B$15-1)/2)/MAX(0.5,'Control Room'!$B$15/4))^2),1)*IF(AND($A475&gt;='Control Room'!$A$16,$A475&lt;'Control Room'!$A$16+'Control Room'!$B$16,'Process'!BK5=1),1+('Control Room'!$C$16-1)*EXP(-0.5*(($A475-'Control Room'!$A$16-('Control Room'!$B$16-1)/2)/MAX(0.5,'Control Room'!$B$16/4))^2),1)</x:f>
        <x:v>1</x:v>
      </x:c>
      <x:c r="G475" s="9" t="n">
        <x:f>MOD(H474*16807,2147483647)</x:f>
        <x:v>1109279380</x:v>
      </x:c>
      <x:c r="H475" s="9" t="n">
        <x:f>MOD(G475*16807,2147483647)</x:f>
        <x:v>1353000053</x:v>
      </x:c>
      <x:c r="I475" s="17" t="n">
        <x:f>IF('Control Room'!$B$5="Normal",'Control Room'!$B$7+'Control Room'!$D$7*SQRT(-2*LN(MAX(0.000000000001,G475/2147483647)))*COS(2*PI()*H475/2147483647),'Control Room'!$B$8+('Control Room'!$D$8-'Control Room'!$B$8)*G475/2147483647)</x:f>
        <x:v>929.2037822759548</x:v>
      </x:c>
      <x:c r="J475" s="17" t="n">
        <x:f>IF('Control Room'!$B$5="Normal",'Control Room'!$B$7,('Control Room'!$B$8+'Control Room'!$D$8)/2)+'Control Room'!$B$9*(J474-IF('Control Room'!$B$5="Normal",'Control Room'!$B$7,('Control Room'!$B$8+'Control Room'!$D$8)/2))+SQRT(1-'Control Room'!$B$9^2)*(I475-IF('Control Room'!$B$5="Normal",'Control Room'!$B$7,('Control Room'!$B$8+'Control Room'!$D$8)/2))</x:f>
        <x:v>892.6681162323424</x:v>
      </x:c>
      <x:c r="K475" s="17" t="n">
        <x:f>IF(AND($A475&gt;='Control Room'!$A$13,$A475&lt;'Control Room'!$A$13+'Control Room'!$B$13,'Process'!BL2=1),1+('Control Room'!$C$13-1)*EXP(-0.5*(($A475-'Control Room'!$A$13-('Control Room'!$B$13-1)/2)/MAX(0.5,'Control Room'!$B$13/4))^2),1)*IF(AND($A475&gt;='Control Room'!$A$14,$A475&lt;'Control Room'!$A$14+'Control Room'!$B$14,'Process'!BL3=1),1+('Control Room'!$C$14-1)*EXP(-0.5*(($A475-'Control Room'!$A$14-('Control Room'!$B$14-1)/2)/MAX(0.5,'Control Room'!$B$14/4))^2),1)*IF(AND($A475&gt;='Control Room'!$A$15,$A475&lt;'Control Room'!$A$15+'Control Room'!$B$15,'Process'!BL4=1),1+('Control Room'!$C$15-1)*EXP(-0.5*(($A475-'Control Room'!$A$15-('Control Room'!$B$15-1)/2)/MAX(0.5,'Control Room'!$B$15/4))^2),1)*IF(AND($A475&gt;='Control Room'!$A$16,$A475&lt;'Control Room'!$A$16+'Control Room'!$B$16,'Process'!BL5=1),1+('Control Room'!$C$16-1)*EXP(-0.5*(($A475-'Control Room'!$A$16-('Control Room'!$B$16-1)/2)/MAX(0.5,'Control Room'!$B$16/4))^2),1)</x:f>
        <x:v>1</x:v>
      </x:c>
      <x:c r="L475" s="9" t="n">
        <x:f>MOD(M474*16807,2147483647)</x:f>
        <x:v>2082439057</x:v>
      </x:c>
      <x:c r="M475" s="9" t="n">
        <x:f>MOD(L475*16807,2147483647)</x:f>
        <x:v>2012235840</x:v>
      </x:c>
      <x:c r="N475" s="17" t="n">
        <x:f>IF('Control Room'!$B$5="Normal",'Control Room'!$B$7+'Control Room'!$D$7*SQRT(-2*LN(MAX(0.000000000001,L475/2147483647)))*COS(2*PI()*M475/2147483647),'Control Room'!$B$8+('Control Room'!$D$8-'Control Room'!$B$8)*L475/2147483647)</x:f>
        <x:v>1020.5968055073246</x:v>
      </x:c>
      <x:c r="O475" s="17" t="n">
        <x:f>IF('Control Room'!$B$5="Normal",'Control Room'!$B$7,('Control Room'!$B$8+'Control Room'!$D$8)/2)+'Control Room'!$B$9*(O474-IF('Control Room'!$B$5="Normal",'Control Room'!$B$7,('Control Room'!$B$8+'Control Room'!$D$8)/2))+SQRT(1-'Control Room'!$B$9^2)*(N475-IF('Control Room'!$B$5="Normal",'Control Room'!$B$7,('Control Room'!$B$8+'Control Room'!$D$8)/2))</x:f>
        <x:v>1005.4859723684041</x:v>
      </x:c>
      <x:c r="P475" s="17" t="n">
        <x:f>IF(AND($A475&gt;='Control Room'!$A$13,$A475&lt;'Control Room'!$A$13+'Control Room'!$B$13,'Process'!BM2=1),1+('Control Room'!$C$13-1)*EXP(-0.5*(($A475-'Control Room'!$A$13-('Control Room'!$B$13-1)/2)/MAX(0.5,'Control Room'!$B$13/4))^2),1)*IF(AND($A475&gt;='Control Room'!$A$14,$A475&lt;'Control Room'!$A$14+'Control Room'!$B$14,'Process'!BM3=1),1+('Control Room'!$C$14-1)*EXP(-0.5*(($A475-'Control Room'!$A$14-('Control Room'!$B$14-1)/2)/MAX(0.5,'Control Room'!$B$14/4))^2),1)*IF(AND($A475&gt;='Control Room'!$A$15,$A475&lt;'Control Room'!$A$15+'Control Room'!$B$15,'Process'!BM4=1),1+('Control Room'!$C$15-1)*EXP(-0.5*(($A475-'Control Room'!$A$15-('Control Room'!$B$15-1)/2)/MAX(0.5,'Control Room'!$B$15/4))^2),1)*IF(AND($A475&gt;='Control Room'!$A$16,$A475&lt;'Control Room'!$A$16+'Control Room'!$B$16,'Process'!BM5=1),1+('Control Room'!$C$16-1)*EXP(-0.5*(($A475-'Control Room'!$A$16-('Control Room'!$B$16-1)/2)/MAX(0.5,'Control Room'!$B$16/4))^2),1)</x:f>
        <x:v>1</x:v>
      </x:c>
      <x:c r="Q475" s="9" t="n">
        <x:f>MOD(R474*16807,2147483647)</x:f>
        <x:v>908115087</x:v>
      </x:c>
      <x:c r="R475" s="9" t="n">
        <x:f>MOD(Q475*16807,2147483647)</x:f>
        <x:v>523987980</x:v>
      </x:c>
      <x:c r="S475" s="17" t="n">
        <x:f>IF('Control Room'!$B$5="Normal",'Control Room'!$B$7+'Control Room'!$D$7*SQRT(-2*LN(MAX(0.000000000001,Q475/2147483647)))*COS(2*PI()*R475/2147483647),'Control Room'!$B$8+('Control Room'!$D$8-'Control Room'!$B$8)*Q475/2147483647)</x:f>
        <x:v>1004.449799666743</x:v>
      </x:c>
      <x:c r="T475" s="17" t="n">
        <x:f>IF('Control Room'!$B$5="Normal",'Control Room'!$B$7,('Control Room'!$B$8+'Control Room'!$D$8)/2)+'Control Room'!$B$9*(T474-IF('Control Room'!$B$5="Normal",'Control Room'!$B$7,('Control Room'!$B$8+'Control Room'!$D$8)/2))+SQRT(1-'Control Room'!$B$9^2)*(S475-IF('Control Room'!$B$5="Normal",'Control Room'!$B$7,('Control Room'!$B$8+'Control Room'!$D$8)/2))</x:f>
        <x:v>1037.8330656802418</x:v>
      </x:c>
      <x:c r="U475" s="17" t="n">
        <x:f>IF(AND($A475&gt;='Control Room'!$A$13,$A475&lt;'Control Room'!$A$13+'Control Room'!$B$13,'Process'!BN2=1),1+('Control Room'!$C$13-1)*EXP(-0.5*(($A475-'Control Room'!$A$13-('Control Room'!$B$13-1)/2)/MAX(0.5,'Control Room'!$B$13/4))^2),1)*IF(AND($A475&gt;='Control Room'!$A$14,$A475&lt;'Control Room'!$A$14+'Control Room'!$B$14,'Process'!BN3=1),1+('Control Room'!$C$14-1)*EXP(-0.5*(($A475-'Control Room'!$A$14-('Control Room'!$B$14-1)/2)/MAX(0.5,'Control Room'!$B$14/4))^2),1)*IF(AND($A475&gt;='Control Room'!$A$15,$A475&lt;'Control Room'!$A$15+'Control Room'!$B$15,'Process'!BN4=1),1+('Control Room'!$C$15-1)*EXP(-0.5*(($A475-'Control Room'!$A$15-('Control Room'!$B$15-1)/2)/MAX(0.5,'Control Room'!$B$15/4))^2),1)*IF(AND($A475&gt;='Control Room'!$A$16,$A475&lt;'Control Room'!$A$16+'Control Room'!$B$16,'Process'!BN5=1),1+('Control Room'!$C$16-1)*EXP(-0.5*(($A475-'Control Room'!$A$16-('Control Room'!$B$16-1)/2)/MAX(0.5,'Control Room'!$B$16/4))^2),1)</x:f>
        <x:v>1</x:v>
      </x:c>
      <x:c r="V475" s="9" t="n">
        <x:f>MOD(W474*16807,2147483647)</x:f>
        <x:v>1881274764</x:v>
      </x:c>
      <x:c r="W475" s="9" t="n">
        <x:f>MOD(V475*16807,2147483647)</x:f>
        <x:v>1183223767</x:v>
      </x:c>
      <x:c r="X475" s="17" t="n">
        <x:f>IF('Control Room'!$B$5="Normal",'Control Room'!$B$7+'Control Room'!$D$7*SQRT(-2*LN(MAX(0.000000000001,V475/2147483647)))*COS(2*PI()*W475/2147483647),'Control Room'!$B$8+('Control Room'!$D$8-'Control Room'!$B$8)*V475/2147483647)</x:f>
        <x:v>956.0517327712028</x:v>
      </x:c>
      <x:c r="Y475" s="17" t="n">
        <x:f>IF('Control Room'!$B$5="Normal",'Control Room'!$B$7,('Control Room'!$B$8+'Control Room'!$D$8)/2)+'Control Room'!$B$9*(Y474-IF('Control Room'!$B$5="Normal",'Control Room'!$B$7,('Control Room'!$B$8+'Control Room'!$D$8)/2))+SQRT(1-'Control Room'!$B$9^2)*(X475-IF('Control Room'!$B$5="Normal",'Control Room'!$B$7,('Control Room'!$B$8+'Control Room'!$D$8)/2))</x:f>
        <x:v>902.8334028057147</x:v>
      </x:c>
      <x:c r="Z475" s="17" t="n">
        <x:f>IF(AND($A475&gt;='Control Room'!$A$13,$A475&lt;'Control Room'!$A$13+'Control Room'!$B$13,'Process'!BO2=1),1+('Control Room'!$C$13-1)*EXP(-0.5*(($A475-'Control Room'!$A$13-('Control Room'!$B$13-1)/2)/MAX(0.5,'Control Room'!$B$13/4))^2),1)*IF(AND($A475&gt;='Control Room'!$A$14,$A475&lt;'Control Room'!$A$14+'Control Room'!$B$14,'Process'!BO3=1),1+('Control Room'!$C$14-1)*EXP(-0.5*(($A475-'Control Room'!$A$14-('Control Room'!$B$14-1)/2)/MAX(0.5,'Control Room'!$B$14/4))^2),1)*IF(AND($A475&gt;='Control Room'!$A$15,$A475&lt;'Control Room'!$A$15+'Control Room'!$B$15,'Process'!BO4=1),1+('Control Room'!$C$15-1)*EXP(-0.5*(($A475-'Control Room'!$A$15-('Control Room'!$B$15-1)/2)/MAX(0.5,'Control Room'!$B$15/4))^2),1)*IF(AND($A475&gt;='Control Room'!$A$16,$A475&lt;'Control Room'!$A$16+'Control Room'!$B$16,'Process'!BO5=1),1+('Control Room'!$C$16-1)*EXP(-0.5*(($A475-'Control Room'!$A$16-('Control Room'!$B$16-1)/2)/MAX(0.5,'Control Room'!$B$16/4))^2),1)</x:f>
        <x:v>1</x:v>
      </x:c>
      <x:c r="AA475" s="9" t="n">
        <x:f>MOD(AB474*16807,2147483647)</x:f>
        <x:v>706950794</x:v>
      </x:c>
      <x:c r="AB475" s="9" t="n">
        <x:f>MOD(AA475*16807,2147483647)</x:f>
        <x:v>1842459554</x:v>
      </x:c>
      <x:c r="AC475" s="17" t="n">
        <x:f>IF('Control Room'!$B$5="Normal",'Control Room'!$B$7+'Control Room'!$D$7*SQRT(-2*LN(MAX(0.000000000001,AA475/2147483647)))*COS(2*PI()*AB475/2147483647),'Control Room'!$B$8+('Control Room'!$D$8-'Control Room'!$B$8)*AA475/2147483647)</x:f>
        <x:v>1084.1879890971672</x:v>
      </x:c>
      <x:c r="AD475" s="17" t="n">
        <x:f>IF('Control Room'!$B$5="Normal",'Control Room'!$B$7,('Control Room'!$B$8+'Control Room'!$D$8)/2)+'Control Room'!$B$9*(AD474-IF('Control Room'!$B$5="Normal",'Control Room'!$B$7,('Control Room'!$B$8+'Control Room'!$D$8)/2))+SQRT(1-'Control Room'!$B$9^2)*(AC475-IF('Control Room'!$B$5="Normal",'Control Room'!$B$7,('Control Room'!$B$8+'Control Room'!$D$8)/2))</x:f>
        <x:v>1084.6655494262225</x:v>
      </x:c>
      <x:c r="AE475" s="17" t="n">
        <x:f>IF(AND($A475&gt;='Control Room'!$A$13,$A475&lt;'Control Room'!$A$13+'Control Room'!$B$13,'Process'!BP2=1),1+('Control Room'!$C$13-1)*EXP(-0.5*(($A475-'Control Room'!$A$13-('Control Room'!$B$13-1)/2)/MAX(0.5,'Control Room'!$B$13/4))^2),1)*IF(AND($A475&gt;='Control Room'!$A$14,$A475&lt;'Control Room'!$A$14+'Control Room'!$B$14,'Process'!BP3=1),1+('Control Room'!$C$14-1)*EXP(-0.5*(($A475-'Control Room'!$A$14-('Control Room'!$B$14-1)/2)/MAX(0.5,'Control Room'!$B$14/4))^2),1)*IF(AND($A475&gt;='Control Room'!$A$15,$A475&lt;'Control Room'!$A$15+'Control Room'!$B$15,'Process'!BP4=1),1+('Control Room'!$C$15-1)*EXP(-0.5*(($A475-'Control Room'!$A$15-('Control Room'!$B$15-1)/2)/MAX(0.5,'Control Room'!$B$15/4))^2),1)*IF(AND($A475&gt;='Control Room'!$A$16,$A475&lt;'Control Room'!$A$16+'Control Room'!$B$16,'Process'!BP5=1),1+('Control Room'!$C$16-1)*EXP(-0.5*(($A475-'Control Room'!$A$16-('Control Room'!$B$16-1)/2)/MAX(0.5,'Control Room'!$B$16/4))^2),1)</x:f>
        <x:v>1</x:v>
      </x:c>
      <x:c r="AF475" s="9" t="n">
        <x:f>MOD(AG474*16807,2147483647)</x:f>
        <x:v>1680110471</x:v>
      </x:c>
      <x:c r="AG475" s="9" t="n">
        <x:f>MOD(AF475*16807,2147483647)</x:f>
        <x:v>354211694</x:v>
      </x:c>
      <x:c r="AH475" s="17" t="n">
        <x:f>IF('Control Room'!$B$5="Normal",'Control Room'!$B$7+'Control Room'!$D$7*SQRT(-2*LN(MAX(0.000000000001,AF475/2147483647)))*COS(2*PI()*AG475/2147483647),'Control Room'!$B$8+('Control Room'!$D$8-'Control Room'!$B$8)*AF475/2147483647)</x:f>
        <x:v>1032.1177586167075</x:v>
      </x:c>
      <x:c r="AI475" s="17" t="n">
        <x:f>IF('Control Room'!$B$5="Normal",'Control Room'!$B$7,('Control Room'!$B$8+'Control Room'!$D$8)/2)+'Control Room'!$B$9*(AI474-IF('Control Room'!$B$5="Normal",'Control Room'!$B$7,('Control Room'!$B$8+'Control Room'!$D$8)/2))+SQRT(1-'Control Room'!$B$9^2)*(AH475-IF('Control Room'!$B$5="Normal",'Control Room'!$B$7,('Control Room'!$B$8+'Control Room'!$D$8)/2))</x:f>
        <x:v>1057.956141303565</x:v>
      </x:c>
      <x:c r="AJ475" s="17" t="n">
        <x:f>IF(AND($A475&gt;='Control Room'!$A$13,$A475&lt;'Control Room'!$A$13+'Control Room'!$B$13,'Process'!BQ2=1),1+('Control Room'!$C$13-1)*EXP(-0.5*(($A475-'Control Room'!$A$13-('Control Room'!$B$13-1)/2)/MAX(0.5,'Control Room'!$B$13/4))^2),1)*IF(AND($A475&gt;='Control Room'!$A$14,$A475&lt;'Control Room'!$A$14+'Control Room'!$B$14,'Process'!BQ3=1),1+('Control Room'!$C$14-1)*EXP(-0.5*(($A475-'Control Room'!$A$14-('Control Room'!$B$14-1)/2)/MAX(0.5,'Control Room'!$B$14/4))^2),1)*IF(AND($A475&gt;='Control Room'!$A$15,$A475&lt;'Control Room'!$A$15+'Control Room'!$B$15,'Process'!BQ4=1),1+('Control Room'!$C$15-1)*EXP(-0.5*(($A475-'Control Room'!$A$15-('Control Room'!$B$15-1)/2)/MAX(0.5,'Control Room'!$B$15/4))^2),1)*IF(AND($A475&gt;='Control Room'!$A$16,$A475&lt;'Control Room'!$A$16+'Control Room'!$B$16,'Process'!BQ5=1),1+('Control Room'!$C$16-1)*EXP(-0.5*(($A475-'Control Room'!$A$16-('Control Room'!$B$16-1)/2)/MAX(0.5,'Control Room'!$B$16/4))^2),1)</x:f>
        <x:v>1</x:v>
      </x:c>
      <x:c r="AK475" s="9" t="n">
        <x:f>MOD(AL474*16807,2147483647)</x:f>
        <x:v>505786501</x:v>
      </x:c>
      <x:c r="AL475" s="9" t="n">
        <x:f>MOD(AK475*16807,2147483647)</x:f>
        <x:v>1013447481</x:v>
      </x:c>
      <x:c r="AM475" s="17" t="n">
        <x:f>IF('Control Room'!$B$5="Normal",'Control Room'!$B$7+'Control Room'!$D$7*SQRT(-2*LN(MAX(0.000000000001,AK475/2147483647)))*COS(2*PI()*AL475/2147483647),'Control Room'!$B$8+('Control Room'!$D$8-'Control Room'!$B$8)*AK475/2147483647)</x:f>
        <x:v>849.3257377930738</x:v>
      </x:c>
      <x:c r="AN475" s="17" t="n">
        <x:f>IF('Control Room'!$B$5="Normal",'Control Room'!$B$7,('Control Room'!$B$8+'Control Room'!$D$8)/2)+'Control Room'!$B$9*(AN474-IF('Control Room'!$B$5="Normal",'Control Room'!$B$7,('Control Room'!$B$8+'Control Room'!$D$8)/2))+SQRT(1-'Control Room'!$B$9^2)*(AM475-IF('Control Room'!$B$5="Normal",'Control Room'!$B$7,('Control Room'!$B$8+'Control Room'!$D$8)/2))</x:f>
        <x:v>919.763704917302</x:v>
      </x:c>
      <x:c r="AO475" s="17" t="n">
        <x:f>IF(AND($A475&gt;='Control Room'!$A$13,$A475&lt;'Control Room'!$A$13+'Control Room'!$B$13,'Process'!BR2=1),1+('Control Room'!$C$13-1)*EXP(-0.5*(($A475-'Control Room'!$A$13-('Control Room'!$B$13-1)/2)/MAX(0.5,'Control Room'!$B$13/4))^2),1)*IF(AND($A475&gt;='Control Room'!$A$14,$A475&lt;'Control Room'!$A$14+'Control Room'!$B$14,'Process'!BR3=1),1+('Control Room'!$C$14-1)*EXP(-0.5*(($A475-'Control Room'!$A$14-('Control Room'!$B$14-1)/2)/MAX(0.5,'Control Room'!$B$14/4))^2),1)*IF(AND($A475&gt;='Control Room'!$A$15,$A475&lt;'Control Room'!$A$15+'Control Room'!$B$15,'Process'!BR4=1),1+('Control Room'!$C$15-1)*EXP(-0.5*(($A475-'Control Room'!$A$15-('Control Room'!$B$15-1)/2)/MAX(0.5,'Control Room'!$B$15/4))^2),1)*IF(AND($A475&gt;='Control Room'!$A$16,$A475&lt;'Control Room'!$A$16+'Control Room'!$B$16,'Process'!BR5=1),1+('Control Room'!$C$16-1)*EXP(-0.5*(($A475-'Control Room'!$A$16-('Control Room'!$B$16-1)/2)/MAX(0.5,'Control Room'!$B$16/4))^2),1)</x:f>
        <x:v>1</x:v>
      </x:c>
      <x:c r="AP475" s="9" t="n">
        <x:f>MOD(AQ474*16807,2147483647)</x:f>
        <x:v>1478946178</x:v>
      </x:c>
      <x:c r="AQ475" s="9" t="n">
        <x:f>MOD(AP475*16807,2147483647)</x:f>
        <x:v>1672683268</x:v>
      </x:c>
      <x:c r="AR475" s="17" t="n">
        <x:f>IF('Control Room'!$B$5="Normal",'Control Room'!$B$7+'Control Room'!$D$7*SQRT(-2*LN(MAX(0.000000000001,AP475/2147483647)))*COS(2*PI()*AQ475/2147483647),'Control Room'!$B$8+('Control Room'!$D$8-'Control Room'!$B$8)*AP475/2147483647)</x:f>
        <x:v>1014.039067248947</x:v>
      </x:c>
      <x:c r="AS475" s="17" t="n">
        <x:f>IF('Control Room'!$B$5="Normal",'Control Room'!$B$7,('Control Room'!$B$8+'Control Room'!$D$8)/2)+'Control Room'!$B$9*(AS474-IF('Control Room'!$B$5="Normal",'Control Room'!$B$7,('Control Room'!$B$8+'Control Room'!$D$8)/2))+SQRT(1-'Control Room'!$B$9^2)*(AR475-IF('Control Room'!$B$5="Normal",'Control Room'!$B$7,('Control Room'!$B$8+'Control Room'!$D$8)/2))</x:f>
        <x:v>850.6609799912327</x:v>
      </x:c>
      <x:c r="AT475" s="17" t="n">
        <x:f>IF(AND($A475&gt;='Control Room'!$A$13,$A475&lt;'Control Room'!$A$13+'Control Room'!$B$13,'Process'!BS2=1),1+('Control Room'!$C$13-1)*EXP(-0.5*(($A475-'Control Room'!$A$13-('Control Room'!$B$13-1)/2)/MAX(0.5,'Control Room'!$B$13/4))^2),1)*IF(AND($A475&gt;='Control Room'!$A$14,$A475&lt;'Control Room'!$A$14+'Control Room'!$B$14,'Process'!BS3=1),1+('Control Room'!$C$14-1)*EXP(-0.5*(($A475-'Control Room'!$A$14-('Control Room'!$B$14-1)/2)/MAX(0.5,'Control Room'!$B$14/4))^2),1)*IF(AND($A475&gt;='Control Room'!$A$15,$A475&lt;'Control Room'!$A$15+'Control Room'!$B$15,'Process'!BS4=1),1+('Control Room'!$C$15-1)*EXP(-0.5*(($A475-'Control Room'!$A$15-('Control Room'!$B$15-1)/2)/MAX(0.5,'Control Room'!$B$15/4))^2),1)*IF(AND($A475&gt;='Control Room'!$A$16,$A475&lt;'Control Room'!$A$16+'Control Room'!$B$16,'Process'!BS5=1),1+('Control Room'!$C$16-1)*EXP(-0.5*(($A475-'Control Room'!$A$16-('Control Room'!$B$16-1)/2)/MAX(0.5,'Control Room'!$B$16/4))^2),1)</x:f>
        <x:v>1</x:v>
      </x:c>
      <x:c r="AU475" s="9" t="n">
        <x:f>MOD(AV474*16807,2147483647)</x:f>
        <x:v>304622208</x:v>
      </x:c>
      <x:c r="AV475" s="9" t="n">
        <x:f>MOD(AU475*16807,2147483647)</x:f>
        <x:v>184435408</x:v>
      </x:c>
      <x:c r="AW475" s="17" t="n">
        <x:f>IF('Control Room'!$B$5="Normal",'Control Room'!$B$7+'Control Room'!$D$7*SQRT(-2*LN(MAX(0.000000000001,AU475/2147483647)))*COS(2*PI()*AV475/2147483647),'Control Room'!$B$8+('Control Room'!$D$8-'Control Room'!$B$8)*AU475/2147483647)</x:f>
        <x:v>1152.5959593971763</x:v>
      </x:c>
      <x:c r="AX475" s="17" t="n">
        <x:f>IF('Control Room'!$B$5="Normal",'Control Room'!$B$7,('Control Room'!$B$8+'Control Room'!$D$8)/2)+'Control Room'!$B$9*(AX474-IF('Control Room'!$B$5="Normal",'Control Room'!$B$7,('Control Room'!$B$8+'Control Room'!$D$8)/2))+SQRT(1-'Control Room'!$B$9^2)*(AW475-IF('Control Room'!$B$5="Normal",'Control Room'!$B$7,('Control Room'!$B$8+'Control Room'!$D$8)/2))</x:f>
        <x:v>1121.8916478331162</x:v>
      </x:c>
      <x:c r="AY475" s="17" t="n">
        <x:f>IF(AND($A475&gt;='Control Room'!$A$13,$A475&lt;'Control Room'!$A$13+'Control Room'!$B$13,'Process'!BT2=1),1+('Control Room'!$C$13-1)*EXP(-0.5*(($A475-'Control Room'!$A$13-('Control Room'!$B$13-1)/2)/MAX(0.5,'Control Room'!$B$13/4))^2),1)*IF(AND($A475&gt;='Control Room'!$A$14,$A475&lt;'Control Room'!$A$14+'Control Room'!$B$14,'Process'!BT3=1),1+('Control Room'!$C$14-1)*EXP(-0.5*(($A475-'Control Room'!$A$14-('Control Room'!$B$14-1)/2)/MAX(0.5,'Control Room'!$B$14/4))^2),1)*IF(AND($A475&gt;='Control Room'!$A$15,$A475&lt;'Control Room'!$A$15+'Control Room'!$B$15,'Process'!BT4=1),1+('Control Room'!$C$15-1)*EXP(-0.5*(($A475-'Control Room'!$A$15-('Control Room'!$B$15-1)/2)/MAX(0.5,'Control Room'!$B$15/4))^2),1)*IF(AND($A475&gt;='Control Room'!$A$16,$A475&lt;'Control Room'!$A$16+'Control Room'!$B$16,'Process'!BT5=1),1+('Control Room'!$C$16-1)*EXP(-0.5*(($A475-'Control Room'!$A$16-('Control Room'!$B$16-1)/2)/MAX(0.5,'Control Room'!$B$16/4))^2),1)</x:f>
        <x:v>1</x:v>
      </x:c>
      <x:c r="AZ475" s="9" t="n">
        <x:f>MOD(BA474*16807,2147483647)</x:f>
        <x:v>1277781885</x:v>
      </x:c>
      <x:c r="BA475" s="9" t="n">
        <x:f>MOD(AZ475*16807,2147483647)</x:f>
        <x:v>843671195</x:v>
      </x:c>
      <x:c r="BB475" s="17" t="n">
        <x:f>IF('Control Room'!$B$5="Normal",'Control Room'!$B$7+'Control Room'!$D$7*SQRT(-2*LN(MAX(0.000000000001,AZ475/2147483647)))*COS(2*PI()*BA475/2147483647),'Control Room'!$B$8+('Control Room'!$D$8-'Control Room'!$B$8)*AZ475/2147483647)</x:f>
        <x:v>928.2960565888927</x:v>
      </x:c>
      <x:c r="BC475" s="17" t="n">
        <x:f>IF('Control Room'!$B$5="Normal",'Control Room'!$B$7,('Control Room'!$B$8+'Control Room'!$D$8)/2)+'Control Room'!$B$9*(BC474-IF('Control Room'!$B$5="Normal",'Control Room'!$B$7,('Control Room'!$B$8+'Control Room'!$D$8)/2))+SQRT(1-'Control Room'!$B$9^2)*(BB475-IF('Control Room'!$B$5="Normal",'Control Room'!$B$7,('Control Room'!$B$8+'Control Room'!$D$8)/2))</x:f>
        <x:v>1037.6562893629373</x:v>
      </x:c>
      <x:c r="BD475" s="17" t="n">
        <x:f>IF(AND($A475&gt;='Control Room'!$A$13,$A475&lt;'Control Room'!$A$13+'Control Room'!$B$13,'Process'!BU2=1),1+('Control Room'!$C$13-1)*EXP(-0.5*(($A475-'Control Room'!$A$13-('Control Room'!$B$13-1)/2)/MAX(0.5,'Control Room'!$B$13/4))^2),1)*IF(AND($A475&gt;='Control Room'!$A$14,$A475&lt;'Control Room'!$A$14+'Control Room'!$B$14,'Process'!BU3=1),1+('Control Room'!$C$14-1)*EXP(-0.5*(($A475-'Control Room'!$A$14-('Control Room'!$B$14-1)/2)/MAX(0.5,'Control Room'!$B$14/4))^2),1)*IF(AND($A475&gt;='Control Room'!$A$15,$A475&lt;'Control Room'!$A$15+'Control Room'!$B$15,'Process'!BU4=1),1+('Control Room'!$C$15-1)*EXP(-0.5*(($A475-'Control Room'!$A$15-('Control Room'!$B$15-1)/2)/MAX(0.5,'Control Room'!$B$15/4))^2),1)*IF(AND($A475&gt;='Control Room'!$A$16,$A475&lt;'Control Room'!$A$16+'Control Room'!$B$16,'Process'!BU5=1),1+('Control Room'!$C$16-1)*EXP(-0.5*(($A475-'Control Room'!$A$16-('Control Room'!$B$16-1)/2)/MAX(0.5,'Control Room'!$B$16/4))^2),1)</x:f>
        <x:v>1</x:v>
      </x:c>
      <x:c r="BE475" s="9" t="n">
        <x:f>MOD(BF474*16807,2147483647)</x:f>
        <x:v>103457915</x:v>
      </x:c>
      <x:c r="BF475" s="9" t="n">
        <x:f>MOD(BE475*16807,2147483647)</x:f>
        <x:v>1502906982</x:v>
      </x:c>
      <x:c r="BG475" s="17" t="n">
        <x:f>IF('Control Room'!$B$5="Normal",'Control Room'!$B$7+'Control Room'!$D$7*SQRT(-2*LN(MAX(0.000000000001,BE475/2147483647)))*COS(2*PI()*BF475/2147483647),'Control Room'!$B$8+('Control Room'!$D$8-'Control Room'!$B$8)*BE475/2147483647)</x:f>
        <x:v>931.2990812575013</x:v>
      </x:c>
      <x:c r="BH475" s="17" t="n">
        <x:f>IF('Control Room'!$B$5="Normal",'Control Room'!$B$7,('Control Room'!$B$8+'Control Room'!$D$8)/2)+'Control Room'!$B$9*(BH474-IF('Control Room'!$B$5="Normal",'Control Room'!$B$7,('Control Room'!$B$8+'Control Room'!$D$8)/2))+SQRT(1-'Control Room'!$B$9^2)*(BG475-IF('Control Room'!$B$5="Normal",'Control Room'!$B$7,('Control Room'!$B$8+'Control Room'!$D$8)/2))</x:f>
        <x:v>986.5351987957965</x:v>
      </x:c>
      <x:c r="BI475" s="17" t="n">
        <x:f>IF(AND($A475&gt;='Control Room'!$A$13,$A475&lt;'Control Room'!$A$13+'Control Room'!$B$13,'Process'!BV2=1),1+('Control Room'!$C$13-1)*EXP(-0.5*(($A475-'Control Room'!$A$13-('Control Room'!$B$13-1)/2)/MAX(0.5,'Control Room'!$B$13/4))^2),1)*IF(AND($A475&gt;='Control Room'!$A$14,$A475&lt;'Control Room'!$A$14+'Control Room'!$B$14,'Process'!BV3=1),1+('Control Room'!$C$14-1)*EXP(-0.5*(($A475-'Control Room'!$A$14-('Control Room'!$B$14-1)/2)/MAX(0.5,'Control Room'!$B$14/4))^2),1)*IF(AND($A475&gt;='Control Room'!$A$15,$A475&lt;'Control Room'!$A$15+'Control Room'!$B$15,'Process'!BV4=1),1+('Control Room'!$C$15-1)*EXP(-0.5*(($A475-'Control Room'!$A$15-('Control Room'!$B$15-1)/2)/MAX(0.5,'Control Room'!$B$15/4))^2),1)*IF(AND($A475&gt;='Control Room'!$A$16,$A475&lt;'Control Room'!$A$16+'Control Room'!$B$16,'Process'!BV5=1),1+('Control Room'!$C$16-1)*EXP(-0.5*(($A475-'Control Room'!$A$16-('Control Room'!$B$16-1)/2)/MAX(0.5,'Control Room'!$B$16/4))^2),1)</x:f>
        <x:v>1</x:v>
      </x:c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Z475" t="str">
        <x:f>IF('Data'!A475="","",TEXT('Data'!A475,"mm-dd"))</x:f>
      </x:c>
    </x:row>
    <x:row r="476" ht="21" customHeight="1">
      <x:c r="A476" s="15" t="n">
        <x:f>'Control Room'!$B$1+474</x:f>
        <x:v>73465</x:v>
      </x:c>
      <x:c r="B476" s="9" t="n">
        <x:f>MOD(C475*16807,2147483647)</x:f>
        <x:v>1407299099</x:v>
      </x:c>
      <x:c r="C476" s="9" t="n">
        <x:f>MOD(B476*16807,2147483647)</x:f>
        <x:v>91068835</x:v>
      </x:c>
      <x:c r="D476" s="17" t="n">
        <x:f>IF('Control Room'!$B$5="Normal",'Control Room'!$B$7+'Control Room'!$D$7*SQRT(-2*LN(MAX(0.000000000001,B476/2147483647)))*COS(2*PI()*C476/2147483647),'Control Room'!$B$8+('Control Room'!$D$8-'Control Room'!$B$8)*B476/2147483647)</x:f>
        <x:v>1079.8237382255797</x:v>
      </x:c>
      <x:c r="E476" s="17" t="n">
        <x:f>IF('Control Room'!$B$5="Normal",'Control Room'!$B$7,('Control Room'!$B$8+'Control Room'!$D$8)/2)+'Control Room'!$B$9*(E475-IF('Control Room'!$B$5="Normal",'Control Room'!$B$7,('Control Room'!$B$8+'Control Room'!$D$8)/2))+SQRT(1-'Control Room'!$B$9^2)*(D476-IF('Control Room'!$B$5="Normal",'Control Room'!$B$7,('Control Room'!$B$8+'Control Room'!$D$8)/2))</x:f>
        <x:v>908.0803973748</x:v>
      </x:c>
      <x:c r="F476" s="17" t="n">
        <x:f>IF(AND($A476&gt;='Control Room'!$A$13,$A476&lt;'Control Room'!$A$13+'Control Room'!$B$13,'Process'!BK2=1),1+('Control Room'!$C$13-1)*EXP(-0.5*(($A476-'Control Room'!$A$13-('Control Room'!$B$13-1)/2)/MAX(0.5,'Control Room'!$B$13/4))^2),1)*IF(AND($A476&gt;='Control Room'!$A$14,$A476&lt;'Control Room'!$A$14+'Control Room'!$B$14,'Process'!BK3=1),1+('Control Room'!$C$14-1)*EXP(-0.5*(($A476-'Control Room'!$A$14-('Control Room'!$B$14-1)/2)/MAX(0.5,'Control Room'!$B$14/4))^2),1)*IF(AND($A476&gt;='Control Room'!$A$15,$A476&lt;'Control Room'!$A$15+'Control Room'!$B$15,'Process'!BK4=1),1+('Control Room'!$C$15-1)*EXP(-0.5*(($A476-'Control Room'!$A$15-('Control Room'!$B$15-1)/2)/MAX(0.5,'Control Room'!$B$15/4))^2),1)*IF(AND($A476&gt;='Control Room'!$A$16,$A476&lt;'Control Room'!$A$16+'Control Room'!$B$16,'Process'!BK5=1),1+('Control Room'!$C$16-1)*EXP(-0.5*(($A476-'Control Room'!$A$16-('Control Room'!$B$16-1)/2)/MAX(0.5,'Control Room'!$B$16/4))^2),1)</x:f>
        <x:v>1</x:v>
      </x:c>
      <x:c r="G476" s="9" t="n">
        <x:f>MOD(H475*16807,2147483647)</x:f>
        <x:v>167552688</x:v>
      </x:c>
      <x:c r="H476" s="9" t="n">
        <x:f>MOD(G476*16807,2147483647)</x:f>
        <x:v>706965999</x:v>
      </x:c>
      <x:c r="I476" s="17" t="n">
        <x:f>IF('Control Room'!$B$5="Normal",'Control Room'!$B$7+'Control Room'!$D$7*SQRT(-2*LN(MAX(0.000000000001,G476/2147483647)))*COS(2*PI()*H476/2147483647),'Control Room'!$B$8+('Control Room'!$D$8-'Control Room'!$B$8)*G476/2147483647)</x:f>
        <x:v>902.9588720746231</x:v>
      </x:c>
      <x:c r="J476" s="17" t="n">
        <x:f>IF('Control Room'!$B$5="Normal",'Control Room'!$B$7,('Control Room'!$B$8+'Control Room'!$D$8)/2)+'Control Room'!$B$9*(J475-IF('Control Room'!$B$5="Normal",'Control Room'!$B$7,('Control Room'!$B$8+'Control Room'!$D$8)/2))+SQRT(1-'Control Room'!$B$9^2)*(I476-IF('Control Room'!$B$5="Normal",'Control Room'!$B$7,('Control Room'!$B$8+'Control Room'!$D$8)/2))</x:f>
        <x:v>855.5547808010889</x:v>
      </x:c>
      <x:c r="K476" s="17" t="n">
        <x:f>IF(AND($A476&gt;='Control Room'!$A$13,$A476&lt;'Control Room'!$A$13+'Control Room'!$B$13,'Process'!BL2=1),1+('Control Room'!$C$13-1)*EXP(-0.5*(($A476-'Control Room'!$A$13-('Control Room'!$B$13-1)/2)/MAX(0.5,'Control Room'!$B$13/4))^2),1)*IF(AND($A476&gt;='Control Room'!$A$14,$A476&lt;'Control Room'!$A$14+'Control Room'!$B$14,'Process'!BL3=1),1+('Control Room'!$C$14-1)*EXP(-0.5*(($A476-'Control Room'!$A$14-('Control Room'!$B$14-1)/2)/MAX(0.5,'Control Room'!$B$14/4))^2),1)*IF(AND($A476&gt;='Control Room'!$A$15,$A476&lt;'Control Room'!$A$15+'Control Room'!$B$15,'Process'!BL4=1),1+('Control Room'!$C$15-1)*EXP(-0.5*(($A476-'Control Room'!$A$15-('Control Room'!$B$15-1)/2)/MAX(0.5,'Control Room'!$B$15/4))^2),1)*IF(AND($A476&gt;='Control Room'!$A$16,$A476&lt;'Control Room'!$A$16+'Control Room'!$B$16,'Process'!BL5=1),1+('Control Room'!$C$16-1)*EXP(-0.5*(($A476-'Control Room'!$A$16-('Control Room'!$B$16-1)/2)/MAX(0.5,'Control Room'!$B$16/4))^2),1)</x:f>
        <x:v>1</x:v>
      </x:c>
      <x:c r="L476" s="9" t="n">
        <x:f>MOD(M475*16807,2147483647)</x:f>
        <x:v>1075289924</x:v>
      </x:c>
      <x:c r="M476" s="9" t="n">
        <x:f>MOD(L476*16807,2147483647)</x:f>
        <x:v>1322863163</x:v>
      </x:c>
      <x:c r="N476" s="17" t="n">
        <x:f>IF('Control Room'!$B$5="Normal",'Control Room'!$B$7+'Control Room'!$D$7*SQRT(-2*LN(MAX(0.000000000001,L476/2147483647)))*COS(2*PI()*M476/2147483647),'Control Room'!$B$8+('Control Room'!$D$8-'Control Room'!$B$8)*L476/2147483647)</x:f>
        <x:v>921.0398505424787</x:v>
      </x:c>
      <x:c r="O476" s="17" t="n">
        <x:f>IF('Control Room'!$B$5="Normal",'Control Room'!$B$7,('Control Room'!$B$8+'Control Room'!$D$8)/2)+'Control Room'!$B$9*(O475-IF('Control Room'!$B$5="Normal",'Control Room'!$B$7,('Control Room'!$B$8+'Control Room'!$D$8)/2))+SQRT(1-'Control Room'!$B$9^2)*(N476-IF('Control Room'!$B$5="Normal",'Control Room'!$B$7,('Control Room'!$B$8+'Control Room'!$D$8)/2))</x:f>
        <x:v>954.8674145034237</x:v>
      </x:c>
      <x:c r="P476" s="17" t="n">
        <x:f>IF(AND($A476&gt;='Control Room'!$A$13,$A476&lt;'Control Room'!$A$13+'Control Room'!$B$13,'Process'!BM2=1),1+('Control Room'!$C$13-1)*EXP(-0.5*(($A476-'Control Room'!$A$13-('Control Room'!$B$13-1)/2)/MAX(0.5,'Control Room'!$B$13/4))^2),1)*IF(AND($A476&gt;='Control Room'!$A$14,$A476&lt;'Control Room'!$A$14+'Control Room'!$B$14,'Process'!BM3=1),1+('Control Room'!$C$14-1)*EXP(-0.5*(($A476-'Control Room'!$A$14-('Control Room'!$B$14-1)/2)/MAX(0.5,'Control Room'!$B$14/4))^2),1)*IF(AND($A476&gt;='Control Room'!$A$15,$A476&lt;'Control Room'!$A$15+'Control Room'!$B$15,'Process'!BM4=1),1+('Control Room'!$C$15-1)*EXP(-0.5*(($A476-'Control Room'!$A$15-('Control Room'!$B$15-1)/2)/MAX(0.5,'Control Room'!$B$15/4))^2),1)*IF(AND($A476&gt;='Control Room'!$A$16,$A476&lt;'Control Room'!$A$16+'Control Room'!$B$16,'Process'!BM5=1),1+('Control Room'!$C$16-1)*EXP(-0.5*(($A476-'Control Room'!$A$16-('Control Room'!$B$16-1)/2)/MAX(0.5,'Control Room'!$B$16/4))^2),1)</x:f>
        <x:v>1</x:v>
      </x:c>
      <x:c r="Q476" s="9" t="n">
        <x:f>MOD(R475*16807,2147483647)</x:f>
        <x:v>1983027160</x:v>
      </x:c>
      <x:c r="R476" s="9" t="n">
        <x:f>MOD(Q476*16807,2147483647)</x:f>
        <x:v>1938760327</x:v>
      </x:c>
      <x:c r="S476" s="17" t="n">
        <x:f>IF('Control Room'!$B$5="Normal",'Control Room'!$B$7+'Control Room'!$D$7*SQRT(-2*LN(MAX(0.000000000001,Q476/2147483647)))*COS(2*PI()*R476/2147483647),'Control Room'!$B$8+('Control Room'!$D$8-'Control Room'!$B$8)*Q476/2147483647)</x:f>
        <x:v>1029.4326033136078</x:v>
      </x:c>
      <x:c r="T476" s="17" t="n">
        <x:f>IF('Control Room'!$B$5="Normal",'Control Room'!$B$7,('Control Room'!$B$8+'Control Room'!$D$8)/2)+'Control Room'!$B$9*(T475-IF('Control Room'!$B$5="Normal",'Control Room'!$B$7,('Control Room'!$B$8+'Control Room'!$D$8)/2))+SQRT(1-'Control Room'!$B$9^2)*(S476-IF('Control Room'!$B$5="Normal",'Control Room'!$B$7,('Control Room'!$B$8+'Control Room'!$D$8)/2))</x:f>
        <x:v>1047.9281114245919</x:v>
      </x:c>
      <x:c r="U476" s="17" t="n">
        <x:f>IF(AND($A476&gt;='Control Room'!$A$13,$A476&lt;'Control Room'!$A$13+'Control Room'!$B$13,'Process'!BN2=1),1+('Control Room'!$C$13-1)*EXP(-0.5*(($A476-'Control Room'!$A$13-('Control Room'!$B$13-1)/2)/MAX(0.5,'Control Room'!$B$13/4))^2),1)*IF(AND($A476&gt;='Control Room'!$A$14,$A476&lt;'Control Room'!$A$14+'Control Room'!$B$14,'Process'!BN3=1),1+('Control Room'!$C$14-1)*EXP(-0.5*(($A476-'Control Room'!$A$14-('Control Room'!$B$14-1)/2)/MAX(0.5,'Control Room'!$B$14/4))^2),1)*IF(AND($A476&gt;='Control Room'!$A$15,$A476&lt;'Control Room'!$A$15+'Control Room'!$B$15,'Process'!BN4=1),1+('Control Room'!$C$15-1)*EXP(-0.5*(($A476-'Control Room'!$A$15-('Control Room'!$B$15-1)/2)/MAX(0.5,'Control Room'!$B$15/4))^2),1)*IF(AND($A476&gt;='Control Room'!$A$16,$A476&lt;'Control Room'!$A$16+'Control Room'!$B$16,'Process'!BN5=1),1+('Control Room'!$C$16-1)*EXP(-0.5*(($A476-'Control Room'!$A$16-('Control Room'!$B$16-1)/2)/MAX(0.5,'Control Room'!$B$16/4))^2),1)</x:f>
        <x:v>1</x:v>
      </x:c>
      <x:c r="V476" s="9" t="n">
        <x:f>MOD(W475*16807,2147483647)</x:f>
        <x:v>743280749</x:v>
      </x:c>
      <x:c r="W476" s="9" t="n">
        <x:f>MOD(V476*16807,2147483647)</x:f>
        <x:v>407173844</x:v>
      </x:c>
      <x:c r="X476" s="17" t="n">
        <x:f>IF('Control Room'!$B$5="Normal",'Control Room'!$B$7+'Control Room'!$D$7*SQRT(-2*LN(MAX(0.000000000001,V476/2147483647)))*COS(2*PI()*W476/2147483647),'Control Room'!$B$8+('Control Room'!$D$8-'Control Room'!$B$8)*V476/2147483647)</x:f>
        <x:v>1048.5643288549818</x:v>
      </x:c>
      <x:c r="Y476" s="17" t="n">
        <x:f>IF('Control Room'!$B$5="Normal",'Control Room'!$B$7,('Control Room'!$B$8+'Control Room'!$D$8)/2)+'Control Room'!$B$9*(Y475-IF('Control Room'!$B$5="Normal",'Control Room'!$B$7,('Control Room'!$B$8+'Control Room'!$D$8)/2))+SQRT(1-'Control Room'!$B$9^2)*(X476-IF('Control Room'!$B$5="Normal",'Control Room'!$B$7,('Control Room'!$B$8+'Control Room'!$D$8)/2))</x:f>
        <x:v>954.6006162915511</x:v>
      </x:c>
      <x:c r="Z476" s="17" t="n">
        <x:f>IF(AND($A476&gt;='Control Room'!$A$13,$A476&lt;'Control Room'!$A$13+'Control Room'!$B$13,'Process'!BO2=1),1+('Control Room'!$C$13-1)*EXP(-0.5*(($A476-'Control Room'!$A$13-('Control Room'!$B$13-1)/2)/MAX(0.5,'Control Room'!$B$13/4))^2),1)*IF(AND($A476&gt;='Control Room'!$A$14,$A476&lt;'Control Room'!$A$14+'Control Room'!$B$14,'Process'!BO3=1),1+('Control Room'!$C$14-1)*EXP(-0.5*(($A476-'Control Room'!$A$14-('Control Room'!$B$14-1)/2)/MAX(0.5,'Control Room'!$B$14/4))^2),1)*IF(AND($A476&gt;='Control Room'!$A$15,$A476&lt;'Control Room'!$A$15+'Control Room'!$B$15,'Process'!BO4=1),1+('Control Room'!$C$15-1)*EXP(-0.5*(($A476-'Control Room'!$A$15-('Control Room'!$B$15-1)/2)/MAX(0.5,'Control Room'!$B$15/4))^2),1)*IF(AND($A476&gt;='Control Room'!$A$16,$A476&lt;'Control Room'!$A$16+'Control Room'!$B$16,'Process'!BO5=1),1+('Control Room'!$C$16-1)*EXP(-0.5*(($A476-'Control Room'!$A$16-('Control Room'!$B$16-1)/2)/MAX(0.5,'Control Room'!$B$16/4))^2),1)</x:f>
        <x:v>1</x:v>
      </x:c>
      <x:c r="AA476" s="9" t="n">
        <x:f>MOD(AB475*16807,2147483647)</x:f>
        <x:v>1651017985</x:v>
      </x:c>
      <x:c r="AB476" s="9" t="n">
        <x:f>MOD(AA476*16807,2147483647)</x:f>
        <x:v>1023071008</x:v>
      </x:c>
      <x:c r="AC476" s="17" t="n">
        <x:f>IF('Control Room'!$B$5="Normal",'Control Room'!$B$7+'Control Room'!$D$7*SQRT(-2*LN(MAX(0.000000000001,AA476/2147483647)))*COS(2*PI()*AB476/2147483647),'Control Room'!$B$8+('Control Room'!$D$8-'Control Room'!$B$8)*AA476/2147483647)</x:f>
        <x:v>935.4544462339251</x:v>
      </x:c>
      <x:c r="AD476" s="17" t="n">
        <x:f>IF('Control Room'!$B$5="Normal",'Control Room'!$B$7,('Control Room'!$B$8+'Control Room'!$D$8)/2)+'Control Room'!$B$9*(AD475-IF('Control Room'!$B$5="Normal",'Control Room'!$B$7,('Control Room'!$B$8+'Control Room'!$D$8)/2))+SQRT(1-'Control Room'!$B$9^2)*(AC476-IF('Control Room'!$B$5="Normal",'Control Room'!$B$7,('Control Room'!$B$8+'Control Room'!$D$8)/2))</x:f>
        <x:v>1025.6478432931856</x:v>
      </x:c>
      <x:c r="AE476" s="17" t="n">
        <x:f>IF(AND($A476&gt;='Control Room'!$A$13,$A476&lt;'Control Room'!$A$13+'Control Room'!$B$13,'Process'!BP2=1),1+('Control Room'!$C$13-1)*EXP(-0.5*(($A476-'Control Room'!$A$13-('Control Room'!$B$13-1)/2)/MAX(0.5,'Control Room'!$B$13/4))^2),1)*IF(AND($A476&gt;='Control Room'!$A$14,$A476&lt;'Control Room'!$A$14+'Control Room'!$B$14,'Process'!BP3=1),1+('Control Room'!$C$14-1)*EXP(-0.5*(($A476-'Control Room'!$A$14-('Control Room'!$B$14-1)/2)/MAX(0.5,'Control Room'!$B$14/4))^2),1)*IF(AND($A476&gt;='Control Room'!$A$15,$A476&lt;'Control Room'!$A$15+'Control Room'!$B$15,'Process'!BP4=1),1+('Control Room'!$C$15-1)*EXP(-0.5*(($A476-'Control Room'!$A$15-('Control Room'!$B$15-1)/2)/MAX(0.5,'Control Room'!$B$15/4))^2),1)*IF(AND($A476&gt;='Control Room'!$A$16,$A476&lt;'Control Room'!$A$16+'Control Room'!$B$16,'Process'!BP5=1),1+('Control Room'!$C$16-1)*EXP(-0.5*(($A476-'Control Room'!$A$16-('Control Room'!$B$16-1)/2)/MAX(0.5,'Control Room'!$B$16/4))^2),1)</x:f>
        <x:v>1</x:v>
      </x:c>
      <x:c r="AF476" s="9" t="n">
        <x:f>MOD(AG475*16807,2147483647)</x:f>
        <x:v>411271574</x:v>
      </x:c>
      <x:c r="AG476" s="9" t="n">
        <x:f>MOD(AF476*16807,2147483647)</x:f>
        <x:v>1638968172</x:v>
      </x:c>
      <x:c r="AH476" s="17" t="n">
        <x:f>IF('Control Room'!$B$5="Normal",'Control Room'!$B$7+'Control Room'!$D$7*SQRT(-2*LN(MAX(0.000000000001,AF476/2147483647)))*COS(2*PI()*AG476/2147483647),'Control Room'!$B$8+('Control Room'!$D$8-'Control Room'!$B$8)*AF476/2147483647)</x:f>
        <x:v>1013.5598679568393</x:v>
      </x:c>
      <x:c r="AI476" s="17" t="n">
        <x:f>IF('Control Room'!$B$5="Normal",'Control Room'!$B$7,('Control Room'!$B$8+'Control Room'!$D$8)/2)+'Control Room'!$B$9*(AI475-IF('Control Room'!$B$5="Normal",'Control Room'!$B$7,('Control Room'!$B$8+'Control Room'!$D$8)/2))+SQRT(1-'Control Room'!$B$9^2)*(AH476-IF('Control Room'!$B$5="Normal",'Control Room'!$B$7,('Control Room'!$B$8+'Control Room'!$D$8)/2))</x:f>
        <x:v>1053.6912777951763</x:v>
      </x:c>
      <x:c r="AJ476" s="17" t="n">
        <x:f>IF(AND($A476&gt;='Control Room'!$A$13,$A476&lt;'Control Room'!$A$13+'Control Room'!$B$13,'Process'!BQ2=1),1+('Control Room'!$C$13-1)*EXP(-0.5*(($A476-'Control Room'!$A$13-('Control Room'!$B$13-1)/2)/MAX(0.5,'Control Room'!$B$13/4))^2),1)*IF(AND($A476&gt;='Control Room'!$A$14,$A476&lt;'Control Room'!$A$14+'Control Room'!$B$14,'Process'!BQ3=1),1+('Control Room'!$C$14-1)*EXP(-0.5*(($A476-'Control Room'!$A$14-('Control Room'!$B$14-1)/2)/MAX(0.5,'Control Room'!$B$14/4))^2),1)*IF(AND($A476&gt;='Control Room'!$A$15,$A476&lt;'Control Room'!$A$15+'Control Room'!$B$15,'Process'!BQ4=1),1+('Control Room'!$C$15-1)*EXP(-0.5*(($A476-'Control Room'!$A$15-('Control Room'!$B$15-1)/2)/MAX(0.5,'Control Room'!$B$15/4))^2),1)*IF(AND($A476&gt;='Control Room'!$A$16,$A476&lt;'Control Room'!$A$16+'Control Room'!$B$16,'Process'!BQ5=1),1+('Control Room'!$C$16-1)*EXP(-0.5*(($A476-'Control Room'!$A$16-('Control Room'!$B$16-1)/2)/MAX(0.5,'Control Room'!$B$16/4))^2),1)</x:f>
        <x:v>1</x:v>
      </x:c>
      <x:c r="AK476" s="9" t="n">
        <x:f>MOD(AL475*16807,2147483647)</x:f>
        <x:v>1319008810</x:v>
      </x:c>
      <x:c r="AL476" s="9" t="n">
        <x:f>MOD(AK476*16807,2147483647)</x:f>
        <x:v>107381689</x:v>
      </x:c>
      <x:c r="AM476" s="17" t="n">
        <x:f>IF('Control Room'!$B$5="Normal",'Control Room'!$B$7+'Control Room'!$D$7*SQRT(-2*LN(MAX(0.000000000001,AK476/2147483647)))*COS(2*PI()*AL476/2147483647),'Control Room'!$B$8+('Control Room'!$D$8-'Control Room'!$B$8)*AK476/2147483647)</x:f>
        <x:v>1084.51050877809</x:v>
      </x:c>
      <x:c r="AN476" s="17" t="n">
        <x:f>IF('Control Room'!$B$5="Normal",'Control Room'!$B$7,('Control Room'!$B$8+'Control Room'!$D$8)/2)+'Control Room'!$B$9*(AN475-IF('Control Room'!$B$5="Normal",'Control Room'!$B$7,('Control Room'!$B$8+'Control Room'!$D$8)/2))+SQRT(1-'Control Room'!$B$9^2)*(AM476-IF('Control Room'!$B$5="Normal",'Control Room'!$B$7,('Control Room'!$B$8+'Control Room'!$D$8)/2))</x:f>
        <x:v>990.3006349369479</x:v>
      </x:c>
      <x:c r="AO476" s="17" t="n">
        <x:f>IF(AND($A476&gt;='Control Room'!$A$13,$A476&lt;'Control Room'!$A$13+'Control Room'!$B$13,'Process'!BR2=1),1+('Control Room'!$C$13-1)*EXP(-0.5*(($A476-'Control Room'!$A$13-('Control Room'!$B$13-1)/2)/MAX(0.5,'Control Room'!$B$13/4))^2),1)*IF(AND($A476&gt;='Control Room'!$A$14,$A476&lt;'Control Room'!$A$14+'Control Room'!$B$14,'Process'!BR3=1),1+('Control Room'!$C$14-1)*EXP(-0.5*(($A476-'Control Room'!$A$14-('Control Room'!$B$14-1)/2)/MAX(0.5,'Control Room'!$B$14/4))^2),1)*IF(AND($A476&gt;='Control Room'!$A$15,$A476&lt;'Control Room'!$A$15+'Control Room'!$B$15,'Process'!BR4=1),1+('Control Room'!$C$15-1)*EXP(-0.5*(($A476-'Control Room'!$A$15-('Control Room'!$B$15-1)/2)/MAX(0.5,'Control Room'!$B$15/4))^2),1)*IF(AND($A476&gt;='Control Room'!$A$16,$A476&lt;'Control Room'!$A$16+'Control Room'!$B$16,'Process'!BR5=1),1+('Control Room'!$C$16-1)*EXP(-0.5*(($A476-'Control Room'!$A$16-('Control Room'!$B$16-1)/2)/MAX(0.5,'Control Room'!$B$16/4))^2),1)</x:f>
        <x:v>1</x:v>
      </x:c>
      <x:c r="AP476" s="9" t="n">
        <x:f>MOD(AQ475*16807,2147483647)</x:f>
        <x:v>79262399</x:v>
      </x:c>
      <x:c r="AQ476" s="9" t="n">
        <x:f>MOD(AP476*16807,2147483647)</x:f>
        <x:v>723278853</x:v>
      </x:c>
      <x:c r="AR476" s="17" t="n">
        <x:f>IF('Control Room'!$B$5="Normal",'Control Room'!$B$7+'Control Room'!$D$7*SQRT(-2*LN(MAX(0.000000000001,AP476/2147483647)))*COS(2*PI()*AQ476/2147483647),'Control Room'!$B$8+('Control Room'!$D$8-'Control Room'!$B$8)*AP476/2147483647)</x:f>
        <x:v>880.068421258492</x:v>
      </x:c>
      <x:c r="AS476" s="17" t="n">
        <x:f>IF('Control Room'!$B$5="Normal",'Control Room'!$B$7,('Control Room'!$B$8+'Control Room'!$D$8)/2)+'Control Room'!$B$9*(AS475-IF('Control Room'!$B$5="Normal",'Control Room'!$B$7,('Control Room'!$B$8+'Control Room'!$D$8)/2))+SQRT(1-'Control Room'!$B$9^2)*(AR476-IF('Control Room'!$B$5="Normal",'Control Room'!$B$7,('Control Room'!$B$8+'Control Room'!$D$8)/2))</x:f>
        <x:v>808.4648393486625</x:v>
      </x:c>
      <x:c r="AT476" s="17" t="n">
        <x:f>IF(AND($A476&gt;='Control Room'!$A$13,$A476&lt;'Control Room'!$A$13+'Control Room'!$B$13,'Process'!BS2=1),1+('Control Room'!$C$13-1)*EXP(-0.5*(($A476-'Control Room'!$A$13-('Control Room'!$B$13-1)/2)/MAX(0.5,'Control Room'!$B$13/4))^2),1)*IF(AND($A476&gt;='Control Room'!$A$14,$A476&lt;'Control Room'!$A$14+'Control Room'!$B$14,'Process'!BS3=1),1+('Control Room'!$C$14-1)*EXP(-0.5*(($A476-'Control Room'!$A$14-('Control Room'!$B$14-1)/2)/MAX(0.5,'Control Room'!$B$14/4))^2),1)*IF(AND($A476&gt;='Control Room'!$A$15,$A476&lt;'Control Room'!$A$15+'Control Room'!$B$15,'Process'!BS4=1),1+('Control Room'!$C$15-1)*EXP(-0.5*(($A476-'Control Room'!$A$15-('Control Room'!$B$15-1)/2)/MAX(0.5,'Control Room'!$B$15/4))^2),1)*IF(AND($A476&gt;='Control Room'!$A$16,$A476&lt;'Control Room'!$A$16+'Control Room'!$B$16,'Process'!BS5=1),1+('Control Room'!$C$16-1)*EXP(-0.5*(($A476-'Control Room'!$A$16-('Control Room'!$B$16-1)/2)/MAX(0.5,'Control Room'!$B$16/4))^2),1)</x:f>
        <x:v>1</x:v>
      </x:c>
      <x:c r="AU476" s="9" t="n">
        <x:f>MOD(AV475*16807,2147483647)</x:f>
        <x:v>986999635</x:v>
      </x:c>
      <x:c r="AV476" s="9" t="n">
        <x:f>MOD(AU476*16807,2147483647)</x:f>
        <x:v>1339176017</x:v>
      </x:c>
      <x:c r="AW476" s="17" t="n">
        <x:f>IF('Control Room'!$B$5="Normal",'Control Room'!$B$7+'Control Room'!$D$7*SQRT(-2*LN(MAX(0.000000000001,AU476/2147483647)))*COS(2*PI()*AV476/2147483647),'Control Room'!$B$8+('Control Room'!$D$8-'Control Room'!$B$8)*AU476/2147483647)</x:f>
        <x:v>919.953898267777</x:v>
      </x:c>
      <x:c r="AX476" s="17" t="n">
        <x:f>IF('Control Room'!$B$5="Normal",'Control Room'!$B$7,('Control Room'!$B$8+'Control Room'!$D$8)/2)+'Control Room'!$B$9*(AX475-IF('Control Room'!$B$5="Normal",'Control Room'!$B$7,('Control Room'!$B$8+'Control Room'!$D$8)/2))+SQRT(1-'Control Room'!$B$9^2)*(AW476-IF('Control Room'!$B$5="Normal",'Control Room'!$B$7,('Control Room'!$B$8+'Control Room'!$D$8)/2))</x:f>
        <x:v>1044.9842746793324</x:v>
      </x:c>
      <x:c r="AY476" s="17" t="n">
        <x:f>IF(AND($A476&gt;='Control Room'!$A$13,$A476&lt;'Control Room'!$A$13+'Control Room'!$B$13,'Process'!BT2=1),1+('Control Room'!$C$13-1)*EXP(-0.5*(($A476-'Control Room'!$A$13-('Control Room'!$B$13-1)/2)/MAX(0.5,'Control Room'!$B$13/4))^2),1)*IF(AND($A476&gt;='Control Room'!$A$14,$A476&lt;'Control Room'!$A$14+'Control Room'!$B$14,'Process'!BT3=1),1+('Control Room'!$C$14-1)*EXP(-0.5*(($A476-'Control Room'!$A$14-('Control Room'!$B$14-1)/2)/MAX(0.5,'Control Room'!$B$14/4))^2),1)*IF(AND($A476&gt;='Control Room'!$A$15,$A476&lt;'Control Room'!$A$15+'Control Room'!$B$15,'Process'!BT4=1),1+('Control Room'!$C$15-1)*EXP(-0.5*(($A476-'Control Room'!$A$15-('Control Room'!$B$15-1)/2)/MAX(0.5,'Control Room'!$B$15/4))^2),1)*IF(AND($A476&gt;='Control Room'!$A$16,$A476&lt;'Control Room'!$A$16+'Control Room'!$B$16,'Process'!BT5=1),1+('Control Room'!$C$16-1)*EXP(-0.5*(($A476-'Control Room'!$A$16-('Control Room'!$B$16-1)/2)/MAX(0.5,'Control Room'!$B$16/4))^2),1)</x:f>
        <x:v>1</x:v>
      </x:c>
      <x:c r="AZ476" s="9" t="n">
        <x:f>MOD(BA475*16807,2147483647)</x:f>
        <x:v>1894736871</x:v>
      </x:c>
      <x:c r="BA476" s="9" t="n">
        <x:f>MOD(AZ476*16807,2147483647)</x:f>
        <x:v>1955073181</x:v>
      </x:c>
      <x:c r="BB476" s="17" t="n">
        <x:f>IF('Control Room'!$B$5="Normal",'Control Room'!$B$7+'Control Room'!$D$7*SQRT(-2*LN(MAX(0.000000000001,AZ476/2147483647)))*COS(2*PI()*BA476/2147483647),'Control Room'!$B$8+('Control Room'!$D$8-'Control Room'!$B$8)*AZ476/2147483647)</x:f>
        <x:v>1038.0885083065377</x:v>
      </x:c>
      <x:c r="BC476" s="17" t="n">
        <x:f>IF('Control Room'!$B$5="Normal",'Control Room'!$B$7,('Control Room'!$B$8+'Control Room'!$D$8)/2)+'Control Room'!$B$9*(BC475-IF('Control Room'!$B$5="Normal",'Control Room'!$B$7,('Control Room'!$B$8+'Control Room'!$D$8)/2))+SQRT(1-'Control Room'!$B$9^2)*(BB476-IF('Control Room'!$B$5="Normal",'Control Room'!$B$7,('Control Room'!$B$8+'Control Room'!$D$8)/2))</x:f>
        <x:v>1053.2069139158173</x:v>
      </x:c>
      <x:c r="BD476" s="17" t="n">
        <x:f>IF(AND($A476&gt;='Control Room'!$A$13,$A476&lt;'Control Room'!$A$13+'Control Room'!$B$13,'Process'!BU2=1),1+('Control Room'!$C$13-1)*EXP(-0.5*(($A476-'Control Room'!$A$13-('Control Room'!$B$13-1)/2)/MAX(0.5,'Control Room'!$B$13/4))^2),1)*IF(AND($A476&gt;='Control Room'!$A$14,$A476&lt;'Control Room'!$A$14+'Control Room'!$B$14,'Process'!BU3=1),1+('Control Room'!$C$14-1)*EXP(-0.5*(($A476-'Control Room'!$A$14-('Control Room'!$B$14-1)/2)/MAX(0.5,'Control Room'!$B$14/4))^2),1)*IF(AND($A476&gt;='Control Room'!$A$15,$A476&lt;'Control Room'!$A$15+'Control Room'!$B$15,'Process'!BU4=1),1+('Control Room'!$C$15-1)*EXP(-0.5*(($A476-'Control Room'!$A$15-('Control Room'!$B$15-1)/2)/MAX(0.5,'Control Room'!$B$15/4))^2),1)*IF(AND($A476&gt;='Control Room'!$A$16,$A476&lt;'Control Room'!$A$16+'Control Room'!$B$16,'Process'!BU5=1),1+('Control Room'!$C$16-1)*EXP(-0.5*(($A476-'Control Room'!$A$16-('Control Room'!$B$16-1)/2)/MAX(0.5,'Control Room'!$B$16/4))^2),1)</x:f>
        <x:v>1</x:v>
      </x:c>
      <x:c r="BE476" s="9" t="n">
        <x:f>MOD(BF475*16807,2147483647)</x:f>
        <x:v>654990460</x:v>
      </x:c>
      <x:c r="BF476" s="9" t="n">
        <x:f>MOD(BE476*16807,2147483647)</x:f>
        <x:v>423486698</x:v>
      </x:c>
      <x:c r="BG476" s="17" t="n">
        <x:f>IF('Control Room'!$B$5="Normal",'Control Room'!$B$7+'Control Room'!$D$7*SQRT(-2*LN(MAX(0.000000000001,BE476/2147483647)))*COS(2*PI()*BF476/2147483647),'Control Room'!$B$8+('Control Room'!$D$8-'Control Room'!$B$8)*BE476/2147483647)</x:f>
        <x:v>1045.1719637232611</x:v>
      </x:c>
      <x:c r="BH476" s="17" t="n">
        <x:f>IF('Control Room'!$B$5="Normal",'Control Room'!$B$7,('Control Room'!$B$8+'Control Room'!$D$8)/2)+'Control Room'!$B$9*(BH475-IF('Control Room'!$B$5="Normal",'Control Room'!$B$7,('Control Room'!$B$8+'Control Room'!$D$8)/2))+SQRT(1-'Control Room'!$B$9^2)*(BG476-IF('Control Room'!$B$5="Normal",'Control Room'!$B$7,('Control Room'!$B$8+'Control Room'!$D$8)/2))</x:f>
        <x:v>1017.7651445607614</x:v>
      </x:c>
      <x:c r="BI476" s="17" t="n">
        <x:f>IF(AND($A476&gt;='Control Room'!$A$13,$A476&lt;'Control Room'!$A$13+'Control Room'!$B$13,'Process'!BV2=1),1+('Control Room'!$C$13-1)*EXP(-0.5*(($A476-'Control Room'!$A$13-('Control Room'!$B$13-1)/2)/MAX(0.5,'Control Room'!$B$13/4))^2),1)*IF(AND($A476&gt;='Control Room'!$A$14,$A476&lt;'Control Room'!$A$14+'Control Room'!$B$14,'Process'!BV3=1),1+('Control Room'!$C$14-1)*EXP(-0.5*(($A476-'Control Room'!$A$14-('Control Room'!$B$14-1)/2)/MAX(0.5,'Control Room'!$B$14/4))^2),1)*IF(AND($A476&gt;='Control Room'!$A$15,$A476&lt;'Control Room'!$A$15+'Control Room'!$B$15,'Process'!BV4=1),1+('Control Room'!$C$15-1)*EXP(-0.5*(($A476-'Control Room'!$A$15-('Control Room'!$B$15-1)/2)/MAX(0.5,'Control Room'!$B$15/4))^2),1)*IF(AND($A476&gt;='Control Room'!$A$16,$A476&lt;'Control Room'!$A$16+'Control Room'!$B$16,'Process'!BV5=1),1+('Control Room'!$C$16-1)*EXP(-0.5*(($A476-'Control Room'!$A$16-('Control Room'!$B$16-1)/2)/MAX(0.5,'Control Room'!$B$16/4))^2),1)</x:f>
        <x:v>1</x:v>
      </x:c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Z476" t="str">
        <x:f>IF('Data'!A476="","",TEXT('Data'!A476,"mm-dd"))</x:f>
      </x:c>
    </x:row>
    <x:row r="477" ht="21" customHeight="1">
      <x:c r="A477" s="15" t="n">
        <x:f>'Control Room'!$B$1+475</x:f>
        <x:v>73466</x:v>
      </x:c>
      <x:c r="B477" s="9" t="n">
        <x:f>MOD(C476*16807,2147483647)</x:f>
        <x:v>1585553181</x:v>
      </x:c>
      <x:c r="C477" s="9" t="n">
        <x:f>MOD(B477*16807,2147483647)</x:f>
        <x:v>267737444</x:v>
      </x:c>
      <x:c r="D477" s="17" t="n">
        <x:f>IF('Control Room'!$B$5="Normal",'Control Room'!$B$7+'Control Room'!$D$7*SQRT(-2*LN(MAX(0.000000000001,B477/2147483647)))*COS(2*PI()*C477/2147483647),'Control Room'!$B$8+('Control Room'!$D$8-'Control Room'!$B$8)*B477/2147483647)</x:f>
        <x:v>1049.6717247680272</x:v>
      </x:c>
      <x:c r="E477" s="17" t="n">
        <x:f>IF('Control Room'!$B$5="Normal",'Control Room'!$B$7,('Control Room'!$B$8+'Control Room'!$D$8)/2)+'Control Room'!$B$9*(E476-IF('Control Room'!$B$5="Normal",'Control Room'!$B$7,('Control Room'!$B$8+'Control Room'!$D$8)/2))+SQRT(1-'Control Room'!$B$9^2)*(D477-IF('Control Room'!$B$5="Normal",'Control Room'!$B$7,('Control Room'!$B$8+'Control Room'!$D$8)/2))</x:f>
        <x:v>959.3862577315831</x:v>
      </x:c>
      <x:c r="F477" s="17" t="n">
        <x:f>IF(AND($A477&gt;='Control Room'!$A$13,$A477&lt;'Control Room'!$A$13+'Control Room'!$B$13,'Process'!BK2=1),1+('Control Room'!$C$13-1)*EXP(-0.5*(($A477-'Control Room'!$A$13-('Control Room'!$B$13-1)/2)/MAX(0.5,'Control Room'!$B$13/4))^2),1)*IF(AND($A477&gt;='Control Room'!$A$14,$A477&lt;'Control Room'!$A$14+'Control Room'!$B$14,'Process'!BK3=1),1+('Control Room'!$C$14-1)*EXP(-0.5*(($A477-'Control Room'!$A$14-('Control Room'!$B$14-1)/2)/MAX(0.5,'Control Room'!$B$14/4))^2),1)*IF(AND($A477&gt;='Control Room'!$A$15,$A477&lt;'Control Room'!$A$15+'Control Room'!$B$15,'Process'!BK4=1),1+('Control Room'!$C$15-1)*EXP(-0.5*(($A477-'Control Room'!$A$15-('Control Room'!$B$15-1)/2)/MAX(0.5,'Control Room'!$B$15/4))^2),1)*IF(AND($A477&gt;='Control Room'!$A$16,$A477&lt;'Control Room'!$A$16+'Control Room'!$B$16,'Process'!BK5=1),1+('Control Room'!$C$16-1)*EXP(-0.5*(($A477-'Control Room'!$A$16-('Control Room'!$B$16-1)/2)/MAX(0.5,'Control Room'!$B$16/4))^2),1)</x:f>
        <x:v>1</x:v>
      </x:c>
      <x:c r="G477" s="9" t="n">
        <x:f>MOD(H476*16807,2147483647)</x:f>
        <x:v>2098009989</x:v>
      </x:c>
      <x:c r="H477" s="9" t="n">
        <x:f>MOD(G477*16807,2147483647)</x:f>
        <x:v>1719885030</x:v>
      </x:c>
      <x:c r="I477" s="17" t="n">
        <x:f>IF('Control Room'!$B$5="Normal",'Control Room'!$B$7+'Control Room'!$D$7*SQRT(-2*LN(MAX(0.000000000001,G477/2147483647)))*COS(2*PI()*H477/2147483647),'Control Room'!$B$8+('Control Room'!$D$8-'Control Room'!$B$8)*G477/2147483647)</x:f>
        <x:v>1006.1071878683073</x:v>
      </x:c>
      <x:c r="J477" s="17" t="n">
        <x:f>IF('Control Room'!$B$5="Normal",'Control Room'!$B$7,('Control Room'!$B$8+'Control Room'!$D$8)/2)+'Control Room'!$B$9*(J476-IF('Control Room'!$B$5="Normal",'Control Room'!$B$7,('Control Room'!$B$8+'Control Room'!$D$8)/2))+SQRT(1-'Control Room'!$B$9^2)*(I477-IF('Control Room'!$B$5="Normal",'Control Room'!$B$7,('Control Room'!$B$8+'Control Room'!$D$8)/2))</x:f>
        <x:v>891.154482080292</x:v>
      </x:c>
      <x:c r="K477" s="17" t="n">
        <x:f>IF(AND($A477&gt;='Control Room'!$A$13,$A477&lt;'Control Room'!$A$13+'Control Room'!$B$13,'Process'!BL2=1),1+('Control Room'!$C$13-1)*EXP(-0.5*(($A477-'Control Room'!$A$13-('Control Room'!$B$13-1)/2)/MAX(0.5,'Control Room'!$B$13/4))^2),1)*IF(AND($A477&gt;='Control Room'!$A$14,$A477&lt;'Control Room'!$A$14+'Control Room'!$B$14,'Process'!BL3=1),1+('Control Room'!$C$14-1)*EXP(-0.5*(($A477-'Control Room'!$A$14-('Control Room'!$B$14-1)/2)/MAX(0.5,'Control Room'!$B$14/4))^2),1)*IF(AND($A477&gt;='Control Room'!$A$15,$A477&lt;'Control Room'!$A$15+'Control Room'!$B$15,'Process'!BL4=1),1+('Control Room'!$C$15-1)*EXP(-0.5*(($A477-'Control Room'!$A$15-('Control Room'!$B$15-1)/2)/MAX(0.5,'Control Room'!$B$15/4))^2),1)*IF(AND($A477&gt;='Control Room'!$A$16,$A477&lt;'Control Room'!$A$16+'Control Room'!$B$16,'Process'!BL5=1),1+('Control Room'!$C$16-1)*EXP(-0.5*(($A477-'Control Room'!$A$16-('Control Room'!$B$16-1)/2)/MAX(0.5,'Control Room'!$B$16/4))^2),1)</x:f>
        <x:v>1</x:v>
      </x:c>
      <x:c r="L477" s="9" t="n">
        <x:f>MOD(M476*16807,2147483647)</x:f>
        <x:v>462983150</x:v>
      </x:c>
      <x:c r="M477" s="9" t="n">
        <x:f>MOD(L477*16807,2147483647)</x:f>
        <x:v>1024548969</x:v>
      </x:c>
      <x:c r="N477" s="17" t="n">
        <x:f>IF('Control Room'!$B$5="Normal",'Control Room'!$B$7+'Control Room'!$D$7*SQRT(-2*LN(MAX(0.000000000001,L477/2147483647)))*COS(2*PI()*M477/2147483647),'Control Room'!$B$8+('Control Room'!$D$8-'Control Room'!$B$8)*L477/2147483647)</x:f>
        <x:v>843.9702848718758</x:v>
      </x:c>
      <x:c r="O477" s="17" t="n">
        <x:f>IF('Control Room'!$B$5="Normal",'Control Room'!$B$7,('Control Room'!$B$8+'Control Room'!$D$8)/2)+'Control Room'!$B$9*(O476-IF('Control Room'!$B$5="Normal",'Control Room'!$B$7,('Control Room'!$B$8+'Control Room'!$D$8)/2))+SQRT(1-'Control Room'!$B$9^2)*(N477-IF('Control Room'!$B$5="Normal",'Control Room'!$B$7,('Control Room'!$B$8+'Control Room'!$D$8)/2))</x:f>
        <x:v>867.1563840279468</x:v>
      </x:c>
      <x:c r="P477" s="17" t="n">
        <x:f>IF(AND($A477&gt;='Control Room'!$A$13,$A477&lt;'Control Room'!$A$13+'Control Room'!$B$13,'Process'!BM2=1),1+('Control Room'!$C$13-1)*EXP(-0.5*(($A477-'Control Room'!$A$13-('Control Room'!$B$13-1)/2)/MAX(0.5,'Control Room'!$B$13/4))^2),1)*IF(AND($A477&gt;='Control Room'!$A$14,$A477&lt;'Control Room'!$A$14+'Control Room'!$B$14,'Process'!BM3=1),1+('Control Room'!$C$14-1)*EXP(-0.5*(($A477-'Control Room'!$A$14-('Control Room'!$B$14-1)/2)/MAX(0.5,'Control Room'!$B$14/4))^2),1)*IF(AND($A477&gt;='Control Room'!$A$15,$A477&lt;'Control Room'!$A$15+'Control Room'!$B$15,'Process'!BM4=1),1+('Control Room'!$C$15-1)*EXP(-0.5*(($A477-'Control Room'!$A$15-('Control Room'!$B$15-1)/2)/MAX(0.5,'Control Room'!$B$15/4))^2),1)*IF(AND($A477&gt;='Control Room'!$A$16,$A477&lt;'Control Room'!$A$16+'Control Room'!$B$16,'Process'!BM5=1),1+('Control Room'!$C$16-1)*EXP(-0.5*(($A477-'Control Room'!$A$16-('Control Room'!$B$16-1)/2)/MAX(0.5,'Control Room'!$B$16/4))^2),1)</x:f>
        <x:v>1</x:v>
      </x:c>
      <x:c r="Q477" s="9" t="n">
        <x:f>MOD(R476*16807,2147483647)</x:f>
        <x:v>975439958</x:v>
      </x:c>
      <x:c r="R477" s="9" t="n">
        <x:f>MOD(Q477*16807,2147483647)</x:f>
        <x:v>329212908</x:v>
      </x:c>
      <x:c r="S477" s="17" t="n">
        <x:f>IF('Control Room'!$B$5="Normal",'Control Room'!$B$7+'Control Room'!$D$7*SQRT(-2*LN(MAX(0.000000000001,Q477/2147483647)))*COS(2*PI()*R477/2147483647),'Control Room'!$B$8+('Control Room'!$D$8-'Control Room'!$B$8)*Q477/2147483647)</x:f>
        <x:v>1064.5480795951373</x:v>
      </x:c>
      <x:c r="T477" s="17" t="n">
        <x:f>IF('Control Room'!$B$5="Normal",'Control Room'!$B$7,('Control Room'!$B$8+'Control Room'!$D$8)/2)+'Control Room'!$B$9*(T476-IF('Control Room'!$B$5="Normal",'Control Room'!$B$7,('Control Room'!$B$8+'Control Room'!$D$8)/2))+SQRT(1-'Control Room'!$B$9^2)*(S477-IF('Control Room'!$B$5="Normal",'Control Room'!$B$7,('Control Room'!$B$8+'Control Room'!$D$8)/2))</x:f>
        <x:v>1077.7767927825325</x:v>
      </x:c>
      <x:c r="U477" s="17" t="n">
        <x:f>IF(AND($A477&gt;='Control Room'!$A$13,$A477&lt;'Control Room'!$A$13+'Control Room'!$B$13,'Process'!BN2=1),1+('Control Room'!$C$13-1)*EXP(-0.5*(($A477-'Control Room'!$A$13-('Control Room'!$B$13-1)/2)/MAX(0.5,'Control Room'!$B$13/4))^2),1)*IF(AND($A477&gt;='Control Room'!$A$14,$A477&lt;'Control Room'!$A$14+'Control Room'!$B$14,'Process'!BN3=1),1+('Control Room'!$C$14-1)*EXP(-0.5*(($A477-'Control Room'!$A$14-('Control Room'!$B$14-1)/2)/MAX(0.5,'Control Room'!$B$14/4))^2),1)*IF(AND($A477&gt;='Control Room'!$A$15,$A477&lt;'Control Room'!$A$15+'Control Room'!$B$15,'Process'!BN4=1),1+('Control Room'!$C$15-1)*EXP(-0.5*(($A477-'Control Room'!$A$15-('Control Room'!$B$15-1)/2)/MAX(0.5,'Control Room'!$B$15/4))^2),1)*IF(AND($A477&gt;='Control Room'!$A$16,$A477&lt;'Control Room'!$A$16+'Control Room'!$B$16,'Process'!BN5=1),1+('Control Room'!$C$16-1)*EXP(-0.5*(($A477-'Control Room'!$A$16-('Control Room'!$B$16-1)/2)/MAX(0.5,'Control Room'!$B$16/4))^2),1)</x:f>
        <x:v>1</x:v>
      </x:c>
      <x:c r="V477" s="9" t="n">
        <x:f>MOD(W476*16807,2147483647)</x:f>
        <x:v>1487896766</x:v>
      </x:c>
      <x:c r="W477" s="9" t="n">
        <x:f>MOD(V477*16807,2147483647)</x:f>
        <x:v>1781360494</x:v>
      </x:c>
      <x:c r="X477" s="17" t="n">
        <x:f>IF('Control Room'!$B$5="Normal",'Control Room'!$B$7+'Control Room'!$D$7*SQRT(-2*LN(MAX(0.000000000001,V477/2147483647)))*COS(2*PI()*W477/2147483647),'Control Room'!$B$8+('Control Room'!$D$8-'Control Room'!$B$8)*V477/2147483647)</x:f>
        <x:v>1036.9349995056202</x:v>
      </x:c>
      <x:c r="Y477" s="17" t="n">
        <x:f>IF('Control Room'!$B$5="Normal",'Control Room'!$B$7,('Control Room'!$B$8+'Control Room'!$D$8)/2)+'Control Room'!$B$9*(Y476-IF('Control Room'!$B$5="Normal",'Control Room'!$B$7,('Control Room'!$B$8+'Control Room'!$D$8)/2))+SQRT(1-'Control Room'!$B$9^2)*(X477-IF('Control Room'!$B$5="Normal",'Control Room'!$B$7,('Control Room'!$B$8+'Control Room'!$D$8)/2))</x:f>
        <x:v>987.7016467434343</x:v>
      </x:c>
      <x:c r="Z477" s="17" t="n">
        <x:f>IF(AND($A477&gt;='Control Room'!$A$13,$A477&lt;'Control Room'!$A$13+'Control Room'!$B$13,'Process'!BO2=1),1+('Control Room'!$C$13-1)*EXP(-0.5*(($A477-'Control Room'!$A$13-('Control Room'!$B$13-1)/2)/MAX(0.5,'Control Room'!$B$13/4))^2),1)*IF(AND($A477&gt;='Control Room'!$A$14,$A477&lt;'Control Room'!$A$14+'Control Room'!$B$14,'Process'!BO3=1),1+('Control Room'!$C$14-1)*EXP(-0.5*(($A477-'Control Room'!$A$14-('Control Room'!$B$14-1)/2)/MAX(0.5,'Control Room'!$B$14/4))^2),1)*IF(AND($A477&gt;='Control Room'!$A$15,$A477&lt;'Control Room'!$A$15+'Control Room'!$B$15,'Process'!BO4=1),1+('Control Room'!$C$15-1)*EXP(-0.5*(($A477-'Control Room'!$A$15-('Control Room'!$B$15-1)/2)/MAX(0.5,'Control Room'!$B$15/4))^2),1)*IF(AND($A477&gt;='Control Room'!$A$16,$A477&lt;'Control Room'!$A$16+'Control Room'!$B$16,'Process'!BO5=1),1+('Control Room'!$C$16-1)*EXP(-0.5*(($A477-'Control Room'!$A$16-('Control Room'!$B$16-1)/2)/MAX(0.5,'Control Room'!$B$16/4))^2),1)</x:f>
        <x:v>1</x:v>
      </x:c>
      <x:c r="AA477" s="9" t="n">
        <x:f>MOD(AB476*16807,2147483647)</x:f>
        <x:v>2000353574</x:v>
      </x:c>
      <x:c r="AB477" s="9" t="n">
        <x:f>MOD(AA477*16807,2147483647)</x:f>
        <x:v>1086024433</x:v>
      </x:c>
      <x:c r="AC477" s="17" t="n">
        <x:f>IF('Control Room'!$B$5="Normal",'Control Room'!$B$7+'Control Room'!$D$7*SQRT(-2*LN(MAX(0.000000000001,AA477/2147483647)))*COS(2*PI()*AB477/2147483647),'Control Room'!$B$8+('Control Room'!$D$8-'Control Room'!$B$8)*AA477/2147483647)</x:f>
        <x:v>966.1137895398265</x:v>
      </x:c>
      <x:c r="AD477" s="17" t="n">
        <x:f>IF('Control Room'!$B$5="Normal",'Control Room'!$B$7,('Control Room'!$B$8+'Control Room'!$D$8)/2)+'Control Room'!$B$9*(AD476-IF('Control Room'!$B$5="Normal",'Control Room'!$B$7,('Control Room'!$B$8+'Control Room'!$D$8)/2))+SQRT(1-'Control Room'!$B$9^2)*(AC477-IF('Control Room'!$B$5="Normal",'Control Room'!$B$7,('Control Room'!$B$8+'Control Room'!$D$8)/2))</x:f>
        <x:v>998.8000214594624</x:v>
      </x:c>
      <x:c r="AE477" s="17" t="n">
        <x:f>IF(AND($A477&gt;='Control Room'!$A$13,$A477&lt;'Control Room'!$A$13+'Control Room'!$B$13,'Process'!BP2=1),1+('Control Room'!$C$13-1)*EXP(-0.5*(($A477-'Control Room'!$A$13-('Control Room'!$B$13-1)/2)/MAX(0.5,'Control Room'!$B$13/4))^2),1)*IF(AND($A477&gt;='Control Room'!$A$14,$A477&lt;'Control Room'!$A$14+'Control Room'!$B$14,'Process'!BP3=1),1+('Control Room'!$C$14-1)*EXP(-0.5*(($A477-'Control Room'!$A$14-('Control Room'!$B$14-1)/2)/MAX(0.5,'Control Room'!$B$14/4))^2),1)*IF(AND($A477&gt;='Control Room'!$A$15,$A477&lt;'Control Room'!$A$15+'Control Room'!$B$15,'Process'!BP4=1),1+('Control Room'!$C$15-1)*EXP(-0.5*(($A477-'Control Room'!$A$15-('Control Room'!$B$15-1)/2)/MAX(0.5,'Control Room'!$B$15/4))^2),1)*IF(AND($A477&gt;='Control Room'!$A$16,$A477&lt;'Control Room'!$A$16+'Control Room'!$B$16,'Process'!BP5=1),1+('Control Room'!$C$16-1)*EXP(-0.5*(($A477-'Control Room'!$A$16-('Control Room'!$B$16-1)/2)/MAX(0.5,'Control Room'!$B$16/4))^2),1)</x:f>
        <x:v>1</x:v>
      </x:c>
      <x:c r="AF477" s="9" t="n">
        <x:f>MOD(AG476*16807,2147483647)</x:f>
        <x:v>365326735</x:v>
      </x:c>
      <x:c r="AG477" s="9" t="n">
        <x:f>MOD(AF477*16807,2147483647)</x:f>
        <x:v>390688372</x:v>
      </x:c>
      <x:c r="AH477" s="17" t="n">
        <x:f>IF('Control Room'!$B$5="Normal",'Control Room'!$B$7+'Control Room'!$D$7*SQRT(-2*LN(MAX(0.000000000001,AF477/2147483647)))*COS(2*PI()*AG477/2147483647),'Control Room'!$B$8+('Control Room'!$D$8-'Control Room'!$B$8)*AF477/2147483647)</x:f>
        <x:v>1070.2621393558563</x:v>
      </x:c>
      <x:c r="AI477" s="17" t="n">
        <x:f>IF('Control Room'!$B$5="Normal",'Control Room'!$B$7,('Control Room'!$B$8+'Control Room'!$D$8)/2)+'Control Room'!$B$9*(AI476-IF('Control Room'!$B$5="Normal",'Control Room'!$B$7,('Control Room'!$B$8+'Control Room'!$D$8)/2))+SQRT(1-'Control Room'!$B$9^2)*(AH477-IF('Control Room'!$B$5="Normal",'Control Room'!$B$7,('Control Room'!$B$8+'Control Room'!$D$8)/2))</x:f>
        <x:v>1085.8478040909695</x:v>
      </x:c>
      <x:c r="AJ477" s="17" t="n">
        <x:f>IF(AND($A477&gt;='Control Room'!$A$13,$A477&lt;'Control Room'!$A$13+'Control Room'!$B$13,'Process'!BQ2=1),1+('Control Room'!$C$13-1)*EXP(-0.5*(($A477-'Control Room'!$A$13-('Control Room'!$B$13-1)/2)/MAX(0.5,'Control Room'!$B$13/4))^2),1)*IF(AND($A477&gt;='Control Room'!$A$14,$A477&lt;'Control Room'!$A$14+'Control Room'!$B$14,'Process'!BQ3=1),1+('Control Room'!$C$14-1)*EXP(-0.5*(($A477-'Control Room'!$A$14-('Control Room'!$B$14-1)/2)/MAX(0.5,'Control Room'!$B$14/4))^2),1)*IF(AND($A477&gt;='Control Room'!$A$15,$A477&lt;'Control Room'!$A$15+'Control Room'!$B$15,'Process'!BQ4=1),1+('Control Room'!$C$15-1)*EXP(-0.5*(($A477-'Control Room'!$A$15-('Control Room'!$B$15-1)/2)/MAX(0.5,'Control Room'!$B$15/4))^2),1)*IF(AND($A477&gt;='Control Room'!$A$16,$A477&lt;'Control Room'!$A$16+'Control Room'!$B$16,'Process'!BQ5=1),1+('Control Room'!$C$16-1)*EXP(-0.5*(($A477-'Control Room'!$A$16-('Control Room'!$B$16-1)/2)/MAX(0.5,'Control Room'!$B$16/4))^2),1)</x:f>
        <x:v>1</x:v>
      </x:c>
      <x:c r="AK477" s="9" t="n">
        <x:f>MOD(AL476*16807,2147483647)</x:f>
        <x:v>877783543</x:v>
      </x:c>
      <x:c r="AL477" s="9" t="n">
        <x:f>MOD(AK477*16807,2147483647)</x:f>
        <x:v>1842835958</x:v>
      </x:c>
      <x:c r="AM477" s="17" t="n">
        <x:f>IF('Control Room'!$B$5="Normal",'Control Room'!$B$7+'Control Room'!$D$7*SQRT(-2*LN(MAX(0.000000000001,AK477/2147483647)))*COS(2*PI()*AL477/2147483647),'Control Room'!$B$8+('Control Room'!$D$8-'Control Room'!$B$8)*AK477/2147483647)</x:f>
        <x:v>1075.6476061550677</x:v>
      </x:c>
      <x:c r="AN477" s="17" t="n">
        <x:f>IF('Control Room'!$B$5="Normal",'Control Room'!$B$7,('Control Room'!$B$8+'Control Room'!$D$8)/2)+'Control Room'!$B$9*(AN476-IF('Control Room'!$B$5="Normal",'Control Room'!$B$7,('Control Room'!$B$8+'Control Room'!$D$8)/2))+SQRT(1-'Control Room'!$B$9^2)*(AM477-IF('Control Room'!$B$5="Normal",'Control Room'!$B$7,('Control Room'!$B$8+'Control Room'!$D$8)/2))</x:f>
        <x:v>1039.7732174572134</x:v>
      </x:c>
      <x:c r="AO477" s="17" t="n">
        <x:f>IF(AND($A477&gt;='Control Room'!$A$13,$A477&lt;'Control Room'!$A$13+'Control Room'!$B$13,'Process'!BR2=1),1+('Control Room'!$C$13-1)*EXP(-0.5*(($A477-'Control Room'!$A$13-('Control Room'!$B$13-1)/2)/MAX(0.5,'Control Room'!$B$13/4))^2),1)*IF(AND($A477&gt;='Control Room'!$A$14,$A477&lt;'Control Room'!$A$14+'Control Room'!$B$14,'Process'!BR3=1),1+('Control Room'!$C$14-1)*EXP(-0.5*(($A477-'Control Room'!$A$14-('Control Room'!$B$14-1)/2)/MAX(0.5,'Control Room'!$B$14/4))^2),1)*IF(AND($A477&gt;='Control Room'!$A$15,$A477&lt;'Control Room'!$A$15+'Control Room'!$B$15,'Process'!BR4=1),1+('Control Room'!$C$15-1)*EXP(-0.5*(($A477-'Control Room'!$A$15-('Control Room'!$B$15-1)/2)/MAX(0.5,'Control Room'!$B$15/4))^2),1)*IF(AND($A477&gt;='Control Room'!$A$16,$A477&lt;'Control Room'!$A$16+'Control Room'!$B$16,'Process'!BR5=1),1+('Control Room'!$C$16-1)*EXP(-0.5*(($A477-'Control Room'!$A$16-('Control Room'!$B$16-1)/2)/MAX(0.5,'Control Room'!$B$16/4))^2),1)</x:f>
        <x:v>1</x:v>
      </x:c>
      <x:c r="AP477" s="9" t="n">
        <x:f>MOD(AQ476*16807,2147483647)</x:f>
        <x:v>1390240351</x:v>
      </x:c>
      <x:c r="AQ477" s="9" t="n">
        <x:f>MOD(AP477*16807,2147483647)</x:f>
        <x:v>1147499897</x:v>
      </x:c>
      <x:c r="AR477" s="17" t="n">
        <x:f>IF('Control Room'!$B$5="Normal",'Control Room'!$B$7+'Control Room'!$D$7*SQRT(-2*LN(MAX(0.000000000001,AP477/2147483647)))*COS(2*PI()*AQ477/2147483647),'Control Room'!$B$8+('Control Room'!$D$8-'Control Room'!$B$8)*AP477/2147483647)</x:f>
        <x:v>918.0177206737662</x:v>
      </x:c>
      <x:c r="AS477" s="17" t="n">
        <x:f>IF('Control Room'!$B$5="Normal",'Control Room'!$B$7,('Control Room'!$B$8+'Control Room'!$D$8)/2)+'Control Room'!$B$9*(AS476-IF('Control Room'!$B$5="Normal",'Control Room'!$B$7,('Control Room'!$B$8+'Control Room'!$D$8)/2))+SQRT(1-'Control Room'!$B$9^2)*(AR477-IF('Control Room'!$B$5="Normal",'Control Room'!$B$7,('Control Room'!$B$8+'Control Room'!$D$8)/2))</x:f>
        <x:v>799.2997437878805</x:v>
      </x:c>
      <x:c r="AT477" s="17" t="n">
        <x:f>IF(AND($A477&gt;='Control Room'!$A$13,$A477&lt;'Control Room'!$A$13+'Control Room'!$B$13,'Process'!BS2=1),1+('Control Room'!$C$13-1)*EXP(-0.5*(($A477-'Control Room'!$A$13-('Control Room'!$B$13-1)/2)/MAX(0.5,'Control Room'!$B$13/4))^2),1)*IF(AND($A477&gt;='Control Room'!$A$14,$A477&lt;'Control Room'!$A$14+'Control Room'!$B$14,'Process'!BS3=1),1+('Control Room'!$C$14-1)*EXP(-0.5*(($A477-'Control Room'!$A$14-('Control Room'!$B$14-1)/2)/MAX(0.5,'Control Room'!$B$14/4))^2),1)*IF(AND($A477&gt;='Control Room'!$A$15,$A477&lt;'Control Room'!$A$15+'Control Room'!$B$15,'Process'!BS4=1),1+('Control Room'!$C$15-1)*EXP(-0.5*(($A477-'Control Room'!$A$15-('Control Room'!$B$15-1)/2)/MAX(0.5,'Control Room'!$B$15/4))^2),1)*IF(AND($A477&gt;='Control Room'!$A$16,$A477&lt;'Control Room'!$A$16+'Control Room'!$B$16,'Process'!BS5=1),1+('Control Room'!$C$16-1)*EXP(-0.5*(($A477-'Control Room'!$A$16-('Control Room'!$B$16-1)/2)/MAX(0.5,'Control Room'!$B$16/4))^2),1)</x:f>
        <x:v>1</x:v>
      </x:c>
      <x:c r="AU477" s="9" t="n">
        <x:f>MOD(AV476*16807,2147483647)</x:f>
        <x:v>1902697159</x:v>
      </x:c>
      <x:c r="AV477" s="9" t="n">
        <x:f>MOD(AU477*16807,2147483647)</x:f>
        <x:v>452163836</x:v>
      </x:c>
      <x:c r="AW477" s="17" t="n">
        <x:f>IF('Control Room'!$B$5="Normal",'Control Room'!$B$7+'Control Room'!$D$7*SQRT(-2*LN(MAX(0.000000000001,AU477/2147483647)))*COS(2*PI()*AV477/2147483647),'Control Room'!$B$8+('Control Room'!$D$8-'Control Room'!$B$8)*AU477/2147483647)</x:f>
        <x:v>1010.8619640533078</x:v>
      </x:c>
      <x:c r="AX477" s="17" t="n">
        <x:f>IF('Control Room'!$B$5="Normal",'Control Room'!$B$7,('Control Room'!$B$8+'Control Room'!$D$8)/2)+'Control Room'!$B$9*(AX476-IF('Control Room'!$B$5="Normal",'Control Room'!$B$7,('Control Room'!$B$8+'Control Room'!$D$8)/2))+SQRT(1-'Control Room'!$B$9^2)*(AW477-IF('Control Room'!$B$5="Normal",'Control Room'!$B$7,('Control Room'!$B$8+'Control Room'!$D$8)/2))</x:f>
        <x:v>1041.8849288350107</x:v>
      </x:c>
      <x:c r="AY477" s="17" t="n">
        <x:f>IF(AND($A477&gt;='Control Room'!$A$13,$A477&lt;'Control Room'!$A$13+'Control Room'!$B$13,'Process'!BT2=1),1+('Control Room'!$C$13-1)*EXP(-0.5*(($A477-'Control Room'!$A$13-('Control Room'!$B$13-1)/2)/MAX(0.5,'Control Room'!$B$13/4))^2),1)*IF(AND($A477&gt;='Control Room'!$A$14,$A477&lt;'Control Room'!$A$14+'Control Room'!$B$14,'Process'!BT3=1),1+('Control Room'!$C$14-1)*EXP(-0.5*(($A477-'Control Room'!$A$14-('Control Room'!$B$14-1)/2)/MAX(0.5,'Control Room'!$B$14/4))^2),1)*IF(AND($A477&gt;='Control Room'!$A$15,$A477&lt;'Control Room'!$A$15+'Control Room'!$B$15,'Process'!BT4=1),1+('Control Room'!$C$15-1)*EXP(-0.5*(($A477-'Control Room'!$A$15-('Control Room'!$B$15-1)/2)/MAX(0.5,'Control Room'!$B$15/4))^2),1)*IF(AND($A477&gt;='Control Room'!$A$16,$A477&lt;'Control Room'!$A$16+'Control Room'!$B$16,'Process'!BT5=1),1+('Control Room'!$C$16-1)*EXP(-0.5*(($A477-'Control Room'!$A$16-('Control Room'!$B$16-1)/2)/MAX(0.5,'Control Room'!$B$16/4))^2),1)</x:f>
        <x:v>1</x:v>
      </x:c>
      <x:c r="AZ477" s="9" t="n">
        <x:f>MOD(BA476*16807,2147483647)</x:f>
        <x:v>267670320</x:v>
      </x:c>
      <x:c r="BA477" s="9" t="n">
        <x:f>MOD(AZ477*16807,2147483647)</x:f>
        <x:v>1904311422</x:v>
      </x:c>
      <x:c r="BB477" s="17" t="n">
        <x:f>IF('Control Room'!$B$5="Normal",'Control Room'!$B$7+'Control Room'!$D$7*SQRT(-2*LN(MAX(0.000000000001,AZ477/2147483647)))*COS(2*PI()*BA477/2147483647),'Control Room'!$B$8+('Control Room'!$D$8-'Control Room'!$B$8)*AZ477/2147483647)</x:f>
        <x:v>1139.1076940003377</x:v>
      </x:c>
      <x:c r="BC477" s="17" t="n">
        <x:f>IF('Control Room'!$B$5="Normal",'Control Room'!$B$7,('Control Room'!$B$8+'Control Room'!$D$8)/2)+'Control Room'!$B$9*(BC476-IF('Control Room'!$B$5="Normal",'Control Room'!$B$7,('Control Room'!$B$8+'Control Room'!$D$8)/2))+SQRT(1-'Control Room'!$B$9^2)*(BB477-IF('Control Room'!$B$5="Normal",'Control Room'!$B$7,('Control Room'!$B$8+'Control Room'!$D$8)/2))</x:f>
        <x:v>1128.552137983738</x:v>
      </x:c>
      <x:c r="BD477" s="17" t="n">
        <x:f>IF(AND($A477&gt;='Control Room'!$A$13,$A477&lt;'Control Room'!$A$13+'Control Room'!$B$13,'Process'!BU2=1),1+('Control Room'!$C$13-1)*EXP(-0.5*(($A477-'Control Room'!$A$13-('Control Room'!$B$13-1)/2)/MAX(0.5,'Control Room'!$B$13/4))^2),1)*IF(AND($A477&gt;='Control Room'!$A$14,$A477&lt;'Control Room'!$A$14+'Control Room'!$B$14,'Process'!BU3=1),1+('Control Room'!$C$14-1)*EXP(-0.5*(($A477-'Control Room'!$A$14-('Control Room'!$B$14-1)/2)/MAX(0.5,'Control Room'!$B$14/4))^2),1)*IF(AND($A477&gt;='Control Room'!$A$15,$A477&lt;'Control Room'!$A$15+'Control Room'!$B$15,'Process'!BU4=1),1+('Control Room'!$C$15-1)*EXP(-0.5*(($A477-'Control Room'!$A$15-('Control Room'!$B$15-1)/2)/MAX(0.5,'Control Room'!$B$15/4))^2),1)*IF(AND($A477&gt;='Control Room'!$A$16,$A477&lt;'Control Room'!$A$16+'Control Room'!$B$16,'Process'!BU5=1),1+('Control Room'!$C$16-1)*EXP(-0.5*(($A477-'Control Room'!$A$16-('Control Room'!$B$16-1)/2)/MAX(0.5,'Control Room'!$B$16/4))^2),1)</x:f>
        <x:v>1</x:v>
      </x:c>
      <x:c r="BE477" s="9" t="n">
        <x:f>MOD(BF476*16807,2147483647)</x:f>
        <x:v>780127128</x:v>
      </x:c>
      <x:c r="BF477" s="9" t="n">
        <x:f>MOD(BE477*16807,2147483647)</x:f>
        <x:v>1208975361</x:v>
      </x:c>
      <x:c r="BG477" s="17" t="n">
        <x:f>IF('Control Room'!$B$5="Normal",'Control Room'!$B$7+'Control Room'!$D$7*SQRT(-2*LN(MAX(0.000000000001,BE477/2147483647)))*COS(2*PI()*BF477/2147483647),'Control Room'!$B$8+('Control Room'!$D$8-'Control Room'!$B$8)*BE477/2147483647)</x:f>
        <x:v>881.8173093024852</x:v>
      </x:c>
      <x:c r="BH477" s="17" t="n">
        <x:f>IF('Control Room'!$B$5="Normal",'Control Room'!$B$7,('Control Room'!$B$8+'Control Room'!$D$8)/2)+'Control Room'!$B$9*(BH476-IF('Control Room'!$B$5="Normal",'Control Room'!$B$7,('Control Room'!$B$8+'Control Room'!$D$8)/2))+SQRT(1-'Control Room'!$B$9^2)*(BG477-IF('Control Room'!$B$5="Normal",'Control Room'!$B$7,('Control Room'!$B$8+'Control Room'!$D$8)/2))</x:f>
        <x:v>939.9005060229068</x:v>
      </x:c>
      <x:c r="BI477" s="17" t="n">
        <x:f>IF(AND($A477&gt;='Control Room'!$A$13,$A477&lt;'Control Room'!$A$13+'Control Room'!$B$13,'Process'!BV2=1),1+('Control Room'!$C$13-1)*EXP(-0.5*(($A477-'Control Room'!$A$13-('Control Room'!$B$13-1)/2)/MAX(0.5,'Control Room'!$B$13/4))^2),1)*IF(AND($A477&gt;='Control Room'!$A$14,$A477&lt;'Control Room'!$A$14+'Control Room'!$B$14,'Process'!BV3=1),1+('Control Room'!$C$14-1)*EXP(-0.5*(($A477-'Control Room'!$A$14-('Control Room'!$B$14-1)/2)/MAX(0.5,'Control Room'!$B$14/4))^2),1)*IF(AND($A477&gt;='Control Room'!$A$15,$A477&lt;'Control Room'!$A$15+'Control Room'!$B$15,'Process'!BV4=1),1+('Control Room'!$C$15-1)*EXP(-0.5*(($A477-'Control Room'!$A$15-('Control Room'!$B$15-1)/2)/MAX(0.5,'Control Room'!$B$15/4))^2),1)*IF(AND($A477&gt;='Control Room'!$A$16,$A477&lt;'Control Room'!$A$16+'Control Room'!$B$16,'Process'!BV5=1),1+('Control Room'!$C$16-1)*EXP(-0.5*(($A477-'Control Room'!$A$16-('Control Room'!$B$16-1)/2)/MAX(0.5,'Control Room'!$B$16/4))^2),1)</x:f>
        <x:v>1</x:v>
      </x:c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Z477" t="str">
        <x:f>IF('Data'!A477="","",TEXT('Data'!A477,"mm-dd"))</x:f>
      </x:c>
    </x:row>
    <x:row r="478" ht="21" customHeight="1">
      <x:c r="A478" s="15" t="n">
        <x:f>'Control Room'!$B$1+476</x:f>
        <x:v>73467</x:v>
      </x:c>
      <x:c r="B478" s="9" t="n">
        <x:f>MOD(C477*16807,2147483647)</x:f>
        <x:v>884980843</x:v>
      </x:c>
      <x:c r="C478" s="9" t="n">
        <x:f>MOD(B478*16807,2147483647)</x:f>
        <x:v>401289179</x:v>
      </x:c>
      <x:c r="D478" s="17" t="n">
        <x:f>IF('Control Room'!$B$5="Normal",'Control Room'!$B$7+'Control Room'!$D$7*SQRT(-2*LN(MAX(0.000000000001,B478/2147483647)))*COS(2*PI()*C478/2147483647),'Control Room'!$B$8+('Control Room'!$D$8-'Control Room'!$B$8)*B478/2147483647)</x:f>
        <x:v>1046.301385059101</x:v>
      </x:c>
      <x:c r="E478" s="17" t="n">
        <x:f>IF('Control Room'!$B$5="Normal",'Control Room'!$B$7,('Control Room'!$B$8+'Control Room'!$D$8)/2)+'Control Room'!$B$9*(E477-IF('Control Room'!$B$5="Normal",'Control Room'!$B$7,('Control Room'!$B$8+'Control Room'!$D$8)/2))+SQRT(1-'Control Room'!$B$9^2)*(D478-IF('Control Room'!$B$5="Normal",'Control Room'!$B$7,('Control Room'!$B$8+'Control Room'!$D$8)/2))</x:f>
        <x:v>997.2957392651898</x:v>
      </x:c>
      <x:c r="F478" s="17" t="n">
        <x:f>IF(AND($A478&gt;='Control Room'!$A$13,$A478&lt;'Control Room'!$A$13+'Control Room'!$B$13,'Process'!BK2=1),1+('Control Room'!$C$13-1)*EXP(-0.5*(($A478-'Control Room'!$A$13-('Control Room'!$B$13-1)/2)/MAX(0.5,'Control Room'!$B$13/4))^2),1)*IF(AND($A478&gt;='Control Room'!$A$14,$A478&lt;'Control Room'!$A$14+'Control Room'!$B$14,'Process'!BK3=1),1+('Control Room'!$C$14-1)*EXP(-0.5*(($A478-'Control Room'!$A$14-('Control Room'!$B$14-1)/2)/MAX(0.5,'Control Room'!$B$14/4))^2),1)*IF(AND($A478&gt;='Control Room'!$A$15,$A478&lt;'Control Room'!$A$15+'Control Room'!$B$15,'Process'!BK4=1),1+('Control Room'!$C$15-1)*EXP(-0.5*(($A478-'Control Room'!$A$15-('Control Room'!$B$15-1)/2)/MAX(0.5,'Control Room'!$B$15/4))^2),1)*IF(AND($A478&gt;='Control Room'!$A$16,$A478&lt;'Control Room'!$A$16+'Control Room'!$B$16,'Process'!BK5=1),1+('Control Room'!$C$16-1)*EXP(-0.5*(($A478-'Control Room'!$A$16-('Control Room'!$B$16-1)/2)/MAX(0.5,'Control Room'!$B$16/4))^2),1)</x:f>
        <x:v>1</x:v>
      </x:c>
      <x:c r="G478" s="9" t="n">
        <x:f>MOD(H477*16807,2147483647)</x:f>
        <x:v>977810590</x:v>
      </x:c>
      <x:c r="H478" s="9" t="n">
        <x:f>MOD(G478*16807,2147483647)</x:f>
        <x:v>1517719286</x:v>
      </x:c>
      <x:c r="I478" s="17" t="n">
        <x:f>IF('Control Room'!$B$5="Normal",'Control Room'!$B$7+'Control Room'!$D$7*SQRT(-2*LN(MAX(0.000000000001,G478/2147483647)))*COS(2*PI()*H478/2147483647),'Control Room'!$B$8+('Control Room'!$D$8-'Control Room'!$B$8)*G478/2147483647)</x:f>
        <x:v>969.6927183805523</x:v>
      </x:c>
      <x:c r="J478" s="17" t="n">
        <x:f>IF('Control Room'!$B$5="Normal",'Control Room'!$B$7,('Control Room'!$B$8+'Control Room'!$D$8)/2)+'Control Room'!$B$9*(J477-IF('Control Room'!$B$5="Normal",'Control Room'!$B$7,('Control Room'!$B$8+'Control Room'!$D$8)/2))+SQRT(1-'Control Room'!$B$9^2)*(I478-IF('Control Room'!$B$5="Normal",'Control Room'!$B$7,('Control Room'!$B$8+'Control Room'!$D$8)/2))</x:f>
        <x:v>896.1348200635891</x:v>
      </x:c>
      <x:c r="K478" s="17" t="n">
        <x:f>IF(AND($A478&gt;='Control Room'!$A$13,$A478&lt;'Control Room'!$A$13+'Control Room'!$B$13,'Process'!BL2=1),1+('Control Room'!$C$13-1)*EXP(-0.5*(($A478-'Control Room'!$A$13-('Control Room'!$B$13-1)/2)/MAX(0.5,'Control Room'!$B$13/4))^2),1)*IF(AND($A478&gt;='Control Room'!$A$14,$A478&lt;'Control Room'!$A$14+'Control Room'!$B$14,'Process'!BL3=1),1+('Control Room'!$C$14-1)*EXP(-0.5*(($A478-'Control Room'!$A$14-('Control Room'!$B$14-1)/2)/MAX(0.5,'Control Room'!$B$14/4))^2),1)*IF(AND($A478&gt;='Control Room'!$A$15,$A478&lt;'Control Room'!$A$15+'Control Room'!$B$15,'Process'!BL4=1),1+('Control Room'!$C$15-1)*EXP(-0.5*(($A478-'Control Room'!$A$15-('Control Room'!$B$15-1)/2)/MAX(0.5,'Control Room'!$B$15/4))^2),1)*IF(AND($A478&gt;='Control Room'!$A$16,$A478&lt;'Control Room'!$A$16+'Control Room'!$B$16,'Process'!BL5=1),1+('Control Room'!$C$16-1)*EXP(-0.5*(($A478-'Control Room'!$A$16-('Control Room'!$B$16-1)/2)/MAX(0.5,'Control Room'!$B$16/4))^2),1)</x:f>
        <x:v>1</x:v>
      </x:c>
      <x:c r="L478" s="9" t="n">
        <x:f>MOD(M477*16807,2147483647)</x:f>
        <x:v>1070640337</x:v>
      </x:c>
      <x:c r="M478" s="9" t="n">
        <x:f>MOD(L478*16807,2147483647)</x:f>
        <x:v>486665746</x:v>
      </x:c>
      <x:c r="N478" s="17" t="n">
        <x:f>IF('Control Room'!$B$5="Normal",'Control Room'!$B$7+'Control Room'!$D$7*SQRT(-2*LN(MAX(0.000000000001,L478/2147483647)))*COS(2*PI()*M478/2147483647),'Control Room'!$B$8+('Control Room'!$D$8-'Control Room'!$B$8)*L478/2147483647)</x:f>
        <x:v>1015.5421116786678</x:v>
      </x:c>
      <x:c r="O478" s="17" t="n">
        <x:f>IF('Control Room'!$B$5="Normal",'Control Room'!$B$7,('Control Room'!$B$8+'Control Room'!$D$8)/2)+'Control Room'!$B$9*(O477-IF('Control Room'!$B$5="Normal",'Control Room'!$B$7,('Control Room'!$B$8+'Control Room'!$D$8)/2))+SQRT(1-'Control Room'!$B$9^2)*(N478-IF('Control Room'!$B$5="Normal",'Control Room'!$B$7,('Control Room'!$B$8+'Control Room'!$D$8)/2))</x:f>
        <x:v>906.1079146328447</x:v>
      </x:c>
      <x:c r="P478" s="17" t="n">
        <x:f>IF(AND($A478&gt;='Control Room'!$A$13,$A478&lt;'Control Room'!$A$13+'Control Room'!$B$13,'Process'!BM2=1),1+('Control Room'!$C$13-1)*EXP(-0.5*(($A478-'Control Room'!$A$13-('Control Room'!$B$13-1)/2)/MAX(0.5,'Control Room'!$B$13/4))^2),1)*IF(AND($A478&gt;='Control Room'!$A$14,$A478&lt;'Control Room'!$A$14+'Control Room'!$B$14,'Process'!BM3=1),1+('Control Room'!$C$14-1)*EXP(-0.5*(($A478-'Control Room'!$A$14-('Control Room'!$B$14-1)/2)/MAX(0.5,'Control Room'!$B$14/4))^2),1)*IF(AND($A478&gt;='Control Room'!$A$15,$A478&lt;'Control Room'!$A$15+'Control Room'!$B$15,'Process'!BM4=1),1+('Control Room'!$C$15-1)*EXP(-0.5*(($A478-'Control Room'!$A$15-('Control Room'!$B$15-1)/2)/MAX(0.5,'Control Room'!$B$15/4))^2),1)*IF(AND($A478&gt;='Control Room'!$A$16,$A478&lt;'Control Room'!$A$16+'Control Room'!$B$16,'Process'!BM5=1),1+('Control Room'!$C$16-1)*EXP(-0.5*(($A478-'Control Room'!$A$16-('Control Room'!$B$16-1)/2)/MAX(0.5,'Control Room'!$B$16/4))^2),1)</x:f>
        <x:v>1</x:v>
      </x:c>
      <x:c r="Q478" s="9" t="n">
        <x:f>MOD(R477*16807,2147483647)</x:f>
        <x:v>1163470084</x:v>
      </x:c>
      <x:c r="R478" s="9" t="n">
        <x:f>MOD(Q478*16807,2147483647)</x:f>
        <x:v>1603095853</x:v>
      </x:c>
      <x:c r="S478" s="17" t="n">
        <x:f>IF('Control Room'!$B$5="Normal",'Control Room'!$B$7+'Control Room'!$D$7*SQRT(-2*LN(MAX(0.000000000001,Q478/2147483647)))*COS(2*PI()*R478/2147483647),'Control Room'!$B$8+('Control Room'!$D$8-'Control Room'!$B$8)*Q478/2147483647)</x:f>
        <x:v>997.808702055965</x:v>
      </x:c>
      <x:c r="T478" s="17" t="n">
        <x:f>IF('Control Room'!$B$5="Normal",'Control Room'!$B$7,('Control Room'!$B$8+'Control Room'!$D$8)/2)+'Control Room'!$B$9*(T477-IF('Control Room'!$B$5="Normal",'Control Room'!$B$7,('Control Room'!$B$8+'Control Room'!$D$8)/2))+SQRT(1-'Control Room'!$B$9^2)*(S478-IF('Control Room'!$B$5="Normal",'Control Room'!$B$7,('Control Room'!$B$8+'Control Room'!$D$8)/2))</x:f>
        <x:v>1059.2946290081766</x:v>
      </x:c>
      <x:c r="U478" s="17" t="n">
        <x:f>IF(AND($A478&gt;='Control Room'!$A$13,$A478&lt;'Control Room'!$A$13+'Control Room'!$B$13,'Process'!BN2=1),1+('Control Room'!$C$13-1)*EXP(-0.5*(($A478-'Control Room'!$A$13-('Control Room'!$B$13-1)/2)/MAX(0.5,'Control Room'!$B$13/4))^2),1)*IF(AND($A478&gt;='Control Room'!$A$14,$A478&lt;'Control Room'!$A$14+'Control Room'!$B$14,'Process'!BN3=1),1+('Control Room'!$C$14-1)*EXP(-0.5*(($A478-'Control Room'!$A$14-('Control Room'!$B$14-1)/2)/MAX(0.5,'Control Room'!$B$14/4))^2),1)*IF(AND($A478&gt;='Control Room'!$A$15,$A478&lt;'Control Room'!$A$15+'Control Room'!$B$15,'Process'!BN4=1),1+('Control Room'!$C$15-1)*EXP(-0.5*(($A478-'Control Room'!$A$15-('Control Room'!$B$15-1)/2)/MAX(0.5,'Control Room'!$B$15/4))^2),1)*IF(AND($A478&gt;='Control Room'!$A$16,$A478&lt;'Control Room'!$A$16+'Control Room'!$B$16,'Process'!BN5=1),1+('Control Room'!$C$16-1)*EXP(-0.5*(($A478-'Control Room'!$A$16-('Control Room'!$B$16-1)/2)/MAX(0.5,'Control Room'!$B$16/4))^2),1)</x:f>
        <x:v>1</x:v>
      </x:c>
      <x:c r="V478" s="9" t="n">
        <x:f>MOD(W477*16807,2147483647)</x:f>
        <x:v>1256299831</x:v>
      </x:c>
      <x:c r="W478" s="9" t="n">
        <x:f>MOD(V478*16807,2147483647)</x:f>
        <x:v>572042313</x:v>
      </x:c>
      <x:c r="X478" s="17" t="n">
        <x:f>IF('Control Room'!$B$5="Normal",'Control Room'!$B$7+'Control Room'!$D$7*SQRT(-2*LN(MAX(0.000000000001,V478/2147483647)))*COS(2*PI()*W478/2147483647),'Control Room'!$B$8+('Control Room'!$D$8-'Control Room'!$B$8)*V478/2147483647)</x:f>
        <x:v>990.4266520151697</x:v>
      </x:c>
      <x:c r="Y478" s="17" t="n">
        <x:f>IF('Control Room'!$B$5="Normal",'Control Room'!$B$7,('Control Room'!$B$8+'Control Room'!$D$8)/2)+'Control Room'!$B$9*(Y477-IF('Control Room'!$B$5="Normal",'Control Room'!$B$7,('Control Room'!$B$8+'Control Room'!$D$8)/2))+SQRT(1-'Control Room'!$B$9^2)*(X478-IF('Control Room'!$B$5="Normal",'Control Room'!$B$7,('Control Room'!$B$8+'Control Room'!$D$8)/2))</x:f>
        <x:v>984.4164794116655</x:v>
      </x:c>
      <x:c r="Z478" s="17" t="n">
        <x:f>IF(AND($A478&gt;='Control Room'!$A$13,$A478&lt;'Control Room'!$A$13+'Control Room'!$B$13,'Process'!BO2=1),1+('Control Room'!$C$13-1)*EXP(-0.5*(($A478-'Control Room'!$A$13-('Control Room'!$B$13-1)/2)/MAX(0.5,'Control Room'!$B$13/4))^2),1)*IF(AND($A478&gt;='Control Room'!$A$14,$A478&lt;'Control Room'!$A$14+'Control Room'!$B$14,'Process'!BO3=1),1+('Control Room'!$C$14-1)*EXP(-0.5*(($A478-'Control Room'!$A$14-('Control Room'!$B$14-1)/2)/MAX(0.5,'Control Room'!$B$14/4))^2),1)*IF(AND($A478&gt;='Control Room'!$A$15,$A478&lt;'Control Room'!$A$15+'Control Room'!$B$15,'Process'!BO4=1),1+('Control Room'!$C$15-1)*EXP(-0.5*(($A478-'Control Room'!$A$15-('Control Room'!$B$15-1)/2)/MAX(0.5,'Control Room'!$B$15/4))^2),1)*IF(AND($A478&gt;='Control Room'!$A$16,$A478&lt;'Control Room'!$A$16+'Control Room'!$B$16,'Process'!BO5=1),1+('Control Room'!$C$16-1)*EXP(-0.5*(($A478-'Control Room'!$A$16-('Control Room'!$B$16-1)/2)/MAX(0.5,'Control Room'!$B$16/4))^2),1)</x:f>
        <x:v>1</x:v>
      </x:c>
      <x:c r="AA478" s="9" t="n">
        <x:f>MOD(AB477*16807,2147483647)</x:f>
        <x:v>1349129578</x:v>
      </x:c>
      <x:c r="AB478" s="9" t="n">
        <x:f>MOD(AA478*16807,2147483647)</x:f>
        <x:v>1688472420</x:v>
      </x:c>
      <x:c r="AC478" s="17" t="n">
        <x:f>IF('Control Room'!$B$5="Normal",'Control Room'!$B$7+'Control Room'!$D$7*SQRT(-2*LN(MAX(0.000000000001,AA478/2147483647)))*COS(2*PI()*AB478/2147483647),'Control Room'!$B$8+('Control Room'!$D$8-'Control Room'!$B$8)*AA478/2147483647)</x:f>
        <x:v>1019.5978195849358</x:v>
      </x:c>
      <x:c r="AD478" s="17" t="n">
        <x:f>IF('Control Room'!$B$5="Normal",'Control Room'!$B$7,('Control Room'!$B$8+'Control Room'!$D$8)/2)+'Control Room'!$B$9*(AD477-IF('Control Room'!$B$5="Normal",'Control Room'!$B$7,('Control Room'!$B$8+'Control Room'!$D$8)/2))+SQRT(1-'Control Room'!$B$9^2)*(AC478-IF('Control Room'!$B$5="Normal",'Control Room'!$B$7,('Control Room'!$B$8+'Control Room'!$D$8)/2))</x:f>
        <x:v>1011.3279307514767</x:v>
      </x:c>
      <x:c r="AE478" s="17" t="n">
        <x:f>IF(AND($A478&gt;='Control Room'!$A$13,$A478&lt;'Control Room'!$A$13+'Control Room'!$B$13,'Process'!BP2=1),1+('Control Room'!$C$13-1)*EXP(-0.5*(($A478-'Control Room'!$A$13-('Control Room'!$B$13-1)/2)/MAX(0.5,'Control Room'!$B$13/4))^2),1)*IF(AND($A478&gt;='Control Room'!$A$14,$A478&lt;'Control Room'!$A$14+'Control Room'!$B$14,'Process'!BP3=1),1+('Control Room'!$C$14-1)*EXP(-0.5*(($A478-'Control Room'!$A$14-('Control Room'!$B$14-1)/2)/MAX(0.5,'Control Room'!$B$14/4))^2),1)*IF(AND($A478&gt;='Control Room'!$A$15,$A478&lt;'Control Room'!$A$15+'Control Room'!$B$15,'Process'!BP4=1),1+('Control Room'!$C$15-1)*EXP(-0.5*(($A478-'Control Room'!$A$15-('Control Room'!$B$15-1)/2)/MAX(0.5,'Control Room'!$B$15/4))^2),1)*IF(AND($A478&gt;='Control Room'!$A$16,$A478&lt;'Control Room'!$A$16+'Control Room'!$B$16,'Process'!BP5=1),1+('Control Room'!$C$16-1)*EXP(-0.5*(($A478-'Control Room'!$A$16-('Control Room'!$B$16-1)/2)/MAX(0.5,'Control Room'!$B$16/4))^2),1)</x:f>
        <x:v>1</x:v>
      </x:c>
      <x:c r="AF478" s="9" t="n">
        <x:f>MOD(AG477*16807,2147483647)</x:f>
        <x:v>1441959325</x:v>
      </x:c>
      <x:c r="AG478" s="9" t="n">
        <x:f>MOD(AF478*16807,2147483647)</x:f>
        <x:v>657418880</x:v>
      </x:c>
      <x:c r="AH478" s="17" t="n">
        <x:f>IF('Control Room'!$B$5="Normal",'Control Room'!$B$7+'Control Room'!$D$7*SQRT(-2*LN(MAX(0.000000000001,AF478/2147483647)))*COS(2*PI()*AG478/2147483647),'Control Room'!$B$8+('Control Room'!$D$8-'Control Room'!$B$8)*AF478/2147483647)</x:f>
        <x:v>972.2522832401995</x:v>
      </x:c>
      <x:c r="AI478" s="17" t="n">
        <x:f>IF('Control Room'!$B$5="Normal",'Control Room'!$B$7,('Control Room'!$B$8+'Control Room'!$D$8)/2)+'Control Room'!$B$9*(AI477-IF('Control Room'!$B$5="Normal",'Control Room'!$B$7,('Control Room'!$B$8+'Control Room'!$D$8)/2))+SQRT(1-'Control Room'!$B$9^2)*(AH478-IF('Control Room'!$B$5="Normal",'Control Room'!$B$7,('Control Room'!$B$8+'Control Room'!$D$8)/2))</x:f>
        <x:v>1049.5973344855486</x:v>
      </x:c>
      <x:c r="AJ478" s="17" t="n">
        <x:f>IF(AND($A478&gt;='Control Room'!$A$13,$A478&lt;'Control Room'!$A$13+'Control Room'!$B$13,'Process'!BQ2=1),1+('Control Room'!$C$13-1)*EXP(-0.5*(($A478-'Control Room'!$A$13-('Control Room'!$B$13-1)/2)/MAX(0.5,'Control Room'!$B$13/4))^2),1)*IF(AND($A478&gt;='Control Room'!$A$14,$A478&lt;'Control Room'!$A$14+'Control Room'!$B$14,'Process'!BQ3=1),1+('Control Room'!$C$14-1)*EXP(-0.5*(($A478-'Control Room'!$A$14-('Control Room'!$B$14-1)/2)/MAX(0.5,'Control Room'!$B$14/4))^2),1)*IF(AND($A478&gt;='Control Room'!$A$15,$A478&lt;'Control Room'!$A$15+'Control Room'!$B$15,'Process'!BQ4=1),1+('Control Room'!$C$15-1)*EXP(-0.5*(($A478-'Control Room'!$A$15-('Control Room'!$B$15-1)/2)/MAX(0.5,'Control Room'!$B$15/4))^2),1)*IF(AND($A478&gt;='Control Room'!$A$16,$A478&lt;'Control Room'!$A$16+'Control Room'!$B$16,'Process'!BQ5=1),1+('Control Room'!$C$16-1)*EXP(-0.5*(($A478-'Control Room'!$A$16-('Control Room'!$B$16-1)/2)/MAX(0.5,'Control Room'!$B$16/4))^2),1)</x:f>
        <x:v>1</x:v>
      </x:c>
      <x:c r="AK478" s="9" t="n">
        <x:f>MOD(AL477*16807,2147483647)</x:f>
        <x:v>1534789072</x:v>
      </x:c>
      <x:c r="AL478" s="9" t="n">
        <x:f>MOD(AK478*16807,2147483647)</x:f>
        <x:v>1773848987</x:v>
      </x:c>
      <x:c r="AM478" s="17" t="n">
        <x:f>IF('Control Room'!$B$5="Normal",'Control Room'!$B$7+'Control Room'!$D$7*SQRT(-2*LN(MAX(0.000000000001,AK478/2147483647)))*COS(2*PI()*AL478/2147483647),'Control Room'!$B$8+('Control Room'!$D$8-'Control Room'!$B$8)*AK478/2147483647)</x:f>
        <x:v>1033.9073198968872</x:v>
      </x:c>
      <x:c r="AN478" s="17" t="n">
        <x:f>IF('Control Room'!$B$5="Normal",'Control Room'!$B$7,('Control Room'!$B$8+'Control Room'!$D$8)/2)+'Control Room'!$B$9*(AN477-IF('Control Room'!$B$5="Normal",'Control Room'!$B$7,('Control Room'!$B$8+'Control Room'!$D$8)/2))+SQRT(1-'Control Room'!$B$9^2)*(AM478-IF('Control Room'!$B$5="Normal",'Control Room'!$B$7,('Control Room'!$B$8+'Control Room'!$D$8)/2))</x:f>
        <x:v>1052.241615778894</x:v>
      </x:c>
      <x:c r="AO478" s="17" t="n">
        <x:f>IF(AND($A478&gt;='Control Room'!$A$13,$A478&lt;'Control Room'!$A$13+'Control Room'!$B$13,'Process'!BR2=1),1+('Control Room'!$C$13-1)*EXP(-0.5*(($A478-'Control Room'!$A$13-('Control Room'!$B$13-1)/2)/MAX(0.5,'Control Room'!$B$13/4))^2),1)*IF(AND($A478&gt;='Control Room'!$A$14,$A478&lt;'Control Room'!$A$14+'Control Room'!$B$14,'Process'!BR3=1),1+('Control Room'!$C$14-1)*EXP(-0.5*(($A478-'Control Room'!$A$14-('Control Room'!$B$14-1)/2)/MAX(0.5,'Control Room'!$B$14/4))^2),1)*IF(AND($A478&gt;='Control Room'!$A$15,$A478&lt;'Control Room'!$A$15+'Control Room'!$B$15,'Process'!BR4=1),1+('Control Room'!$C$15-1)*EXP(-0.5*(($A478-'Control Room'!$A$15-('Control Room'!$B$15-1)/2)/MAX(0.5,'Control Room'!$B$15/4))^2),1)*IF(AND($A478&gt;='Control Room'!$A$16,$A478&lt;'Control Room'!$A$16+'Control Room'!$B$16,'Process'!BR5=1),1+('Control Room'!$C$16-1)*EXP(-0.5*(($A478-'Control Room'!$A$16-('Control Room'!$B$16-1)/2)/MAX(0.5,'Control Room'!$B$16/4))^2),1)</x:f>
        <x:v>1</x:v>
      </x:c>
      <x:c r="AP478" s="9" t="n">
        <x:f>MOD(AQ477*16807,2147483647)</x:f>
        <x:v>1627618819</x:v>
      </x:c>
      <x:c r="AQ478" s="9" t="n">
        <x:f>MOD(AP478*16807,2147483647)</x:f>
        <x:v>742795447</x:v>
      </x:c>
      <x:c r="AR478" s="17" t="n">
        <x:f>IF('Control Room'!$B$5="Normal",'Control Room'!$B$7+'Control Room'!$D$7*SQRT(-2*LN(MAX(0.000000000001,AP478/2147483647)))*COS(2*PI()*AQ478/2147483647),'Control Room'!$B$8+('Control Room'!$D$8-'Control Room'!$B$8)*AP478/2147483647)</x:f>
        <x:v>962.0252754266634</x:v>
      </x:c>
      <x:c r="AS478" s="17" t="n">
        <x:f>IF('Control Room'!$B$5="Normal",'Control Room'!$B$7,('Control Room'!$B$8+'Control Room'!$D$8)/2)+'Control Room'!$B$9*(AS477-IF('Control Room'!$B$5="Normal",'Control Room'!$B$7,('Control Room'!$B$8+'Control Room'!$D$8)/2))+SQRT(1-'Control Room'!$B$9^2)*(AR478-IF('Control Room'!$B$5="Normal",'Control Room'!$B$7,('Control Room'!$B$8+'Control Room'!$D$8)/2))</x:f>
        <x:v>819.6899954710713</x:v>
      </x:c>
      <x:c r="AT478" s="17" t="n">
        <x:f>IF(AND($A478&gt;='Control Room'!$A$13,$A478&lt;'Control Room'!$A$13+'Control Room'!$B$13,'Process'!BS2=1),1+('Control Room'!$C$13-1)*EXP(-0.5*(($A478-'Control Room'!$A$13-('Control Room'!$B$13-1)/2)/MAX(0.5,'Control Room'!$B$13/4))^2),1)*IF(AND($A478&gt;='Control Room'!$A$14,$A478&lt;'Control Room'!$A$14+'Control Room'!$B$14,'Process'!BS3=1),1+('Control Room'!$C$14-1)*EXP(-0.5*(($A478-'Control Room'!$A$14-('Control Room'!$B$14-1)/2)/MAX(0.5,'Control Room'!$B$14/4))^2),1)*IF(AND($A478&gt;='Control Room'!$A$15,$A478&lt;'Control Room'!$A$15+'Control Room'!$B$15,'Process'!BS4=1),1+('Control Room'!$C$15-1)*EXP(-0.5*(($A478-'Control Room'!$A$15-('Control Room'!$B$15-1)/2)/MAX(0.5,'Control Room'!$B$15/4))^2),1)*IF(AND($A478&gt;='Control Room'!$A$16,$A478&lt;'Control Room'!$A$16+'Control Room'!$B$16,'Process'!BS5=1),1+('Control Room'!$C$16-1)*EXP(-0.5*(($A478-'Control Room'!$A$16-('Control Room'!$B$16-1)/2)/MAX(0.5,'Control Room'!$B$16/4))^2),1)</x:f>
        <x:v>1</x:v>
      </x:c>
      <x:c r="AU478" s="9" t="n">
        <x:f>MOD(AV477*16807,2147483647)</x:f>
        <x:v>1720448566</x:v>
      </x:c>
      <x:c r="AV478" s="9" t="n">
        <x:f>MOD(AU478*16807,2147483647)</x:f>
        <x:v>1859225554</x:v>
      </x:c>
      <x:c r="AW478" s="17" t="n">
        <x:f>IF('Control Room'!$B$5="Normal",'Control Room'!$B$7+'Control Room'!$D$7*SQRT(-2*LN(MAX(0.000000000001,AU478/2147483647)))*COS(2*PI()*AV478/2147483647),'Control Room'!$B$8+('Control Room'!$D$8-'Control Room'!$B$8)*AU478/2147483647)</x:f>
        <x:v>1039.8499597146972</x:v>
      </x:c>
      <x:c r="AX478" s="17" t="n">
        <x:f>IF('Control Room'!$B$5="Normal",'Control Room'!$B$7,('Control Room'!$B$8+'Control Room'!$D$8)/2)+'Control Room'!$B$9*(AX477-IF('Control Room'!$B$5="Normal",'Control Room'!$B$7,('Control Room'!$B$8+'Control Room'!$D$8)/2))+SQRT(1-'Control Room'!$B$9^2)*(AW478-IF('Control Room'!$B$5="Normal",'Control Room'!$B$7,('Control Room'!$B$8+'Control Room'!$D$8)/2))</x:f>
        <x:v>1057.6075329099674</x:v>
      </x:c>
      <x:c r="AY478" s="17" t="n">
        <x:f>IF(AND($A478&gt;='Control Room'!$A$13,$A478&lt;'Control Room'!$A$13+'Control Room'!$B$13,'Process'!BT2=1),1+('Control Room'!$C$13-1)*EXP(-0.5*(($A478-'Control Room'!$A$13-('Control Room'!$B$13-1)/2)/MAX(0.5,'Control Room'!$B$13/4))^2),1)*IF(AND($A478&gt;='Control Room'!$A$14,$A478&lt;'Control Room'!$A$14+'Control Room'!$B$14,'Process'!BT3=1),1+('Control Room'!$C$14-1)*EXP(-0.5*(($A478-'Control Room'!$A$14-('Control Room'!$B$14-1)/2)/MAX(0.5,'Control Room'!$B$14/4))^2),1)*IF(AND($A478&gt;='Control Room'!$A$15,$A478&lt;'Control Room'!$A$15+'Control Room'!$B$15,'Process'!BT4=1),1+('Control Room'!$C$15-1)*EXP(-0.5*(($A478-'Control Room'!$A$15-('Control Room'!$B$15-1)/2)/MAX(0.5,'Control Room'!$B$15/4))^2),1)*IF(AND($A478&gt;='Control Room'!$A$16,$A478&lt;'Control Room'!$A$16+'Control Room'!$B$16,'Process'!BT5=1),1+('Control Room'!$C$16-1)*EXP(-0.5*(($A478-'Control Room'!$A$16-('Control Room'!$B$16-1)/2)/MAX(0.5,'Control Room'!$B$16/4))^2),1)</x:f>
        <x:v>1</x:v>
      </x:c>
      <x:c r="AZ478" s="9" t="n">
        <x:f>MOD(BA477*16807,2147483647)</x:f>
        <x:v>1813278313</x:v>
      </x:c>
      <x:c r="BA478" s="9" t="n">
        <x:f>MOD(AZ478*16807,2147483647)</x:f>
        <x:v>828172014</x:v>
      </x:c>
      <x:c r="BB478" s="17" t="n">
        <x:f>IF('Control Room'!$B$5="Normal",'Control Room'!$B$7+'Control Room'!$D$7*SQRT(-2*LN(MAX(0.000000000001,AZ478/2147483647)))*COS(2*PI()*BA478/2147483647),'Control Room'!$B$8+('Control Room'!$D$8-'Control Room'!$B$8)*AZ478/2147483647)</x:f>
        <x:v>960.5920336301441</x:v>
      </x:c>
      <x:c r="BC478" s="17" t="n">
        <x:f>IF('Control Room'!$B$5="Normal",'Control Room'!$B$7,('Control Room'!$B$8+'Control Room'!$D$8)/2)+'Control Room'!$B$9*(BC477-IF('Control Room'!$B$5="Normal",'Control Room'!$B$7,('Control Room'!$B$8+'Control Room'!$D$8)/2))+SQRT(1-'Control Room'!$B$9^2)*(BB478-IF('Control Room'!$B$5="Normal",'Control Room'!$B$7,('Control Room'!$B$8+'Control Room'!$D$8)/2))</x:f>
        <x:v>1075.6099695891323</x:v>
      </x:c>
      <x:c r="BD478" s="17" t="n">
        <x:f>IF(AND($A478&gt;='Control Room'!$A$13,$A478&lt;'Control Room'!$A$13+'Control Room'!$B$13,'Process'!BU2=1),1+('Control Room'!$C$13-1)*EXP(-0.5*(($A478-'Control Room'!$A$13-('Control Room'!$B$13-1)/2)/MAX(0.5,'Control Room'!$B$13/4))^2),1)*IF(AND($A478&gt;='Control Room'!$A$14,$A478&lt;'Control Room'!$A$14+'Control Room'!$B$14,'Process'!BU3=1),1+('Control Room'!$C$14-1)*EXP(-0.5*(($A478-'Control Room'!$A$14-('Control Room'!$B$14-1)/2)/MAX(0.5,'Control Room'!$B$14/4))^2),1)*IF(AND($A478&gt;='Control Room'!$A$15,$A478&lt;'Control Room'!$A$15+'Control Room'!$B$15,'Process'!BU4=1),1+('Control Room'!$C$15-1)*EXP(-0.5*(($A478-'Control Room'!$A$15-('Control Room'!$B$15-1)/2)/MAX(0.5,'Control Room'!$B$15/4))^2),1)*IF(AND($A478&gt;='Control Room'!$A$16,$A478&lt;'Control Room'!$A$16+'Control Room'!$B$16,'Process'!BU5=1),1+('Control Room'!$C$16-1)*EXP(-0.5*(($A478-'Control Room'!$A$16-('Control Room'!$B$16-1)/2)/MAX(0.5,'Control Room'!$B$16/4))^2),1)</x:f>
        <x:v>1</x:v>
      </x:c>
      <x:c r="BE478" s="9" t="n">
        <x:f>MOD(BF477*16807,2147483647)</x:f>
        <x:v>1906108060</x:v>
      </x:c>
      <x:c r="BF478" s="9" t="n">
        <x:f>MOD(BE478*16807,2147483647)</x:f>
        <x:v>1944602121</x:v>
      </x:c>
      <x:c r="BG478" s="17" t="n">
        <x:f>IF('Control Room'!$B$5="Normal",'Control Room'!$B$7+'Control Room'!$D$7*SQRT(-2*LN(MAX(0.000000000001,BE478/2147483647)))*COS(2*PI()*BF478/2147483647),'Control Room'!$B$8+('Control Room'!$D$8-'Control Room'!$B$8)*BE478/2147483647)</x:f>
        <x:v>1036.4314024012037</x:v>
      </x:c>
      <x:c r="BH478" s="17" t="n">
        <x:f>IF('Control Room'!$B$5="Normal",'Control Room'!$B$7,('Control Room'!$B$8+'Control Room'!$D$8)/2)+'Control Room'!$B$9*(BH477-IF('Control Room'!$B$5="Normal",'Control Room'!$B$7,('Control Room'!$B$8+'Control Room'!$D$8)/2))+SQRT(1-'Control Room'!$B$9^2)*(BG478-IF('Control Room'!$B$5="Normal",'Control Room'!$B$7,('Control Room'!$B$8+'Control Room'!$D$8)/2))</x:f>
        <x:v>975.9204199826953</x:v>
      </x:c>
      <x:c r="BI478" s="17" t="n">
        <x:f>IF(AND($A478&gt;='Control Room'!$A$13,$A478&lt;'Control Room'!$A$13+'Control Room'!$B$13,'Process'!BV2=1),1+('Control Room'!$C$13-1)*EXP(-0.5*(($A478-'Control Room'!$A$13-('Control Room'!$B$13-1)/2)/MAX(0.5,'Control Room'!$B$13/4))^2),1)*IF(AND($A478&gt;='Control Room'!$A$14,$A478&lt;'Control Room'!$A$14+'Control Room'!$B$14,'Process'!BV3=1),1+('Control Room'!$C$14-1)*EXP(-0.5*(($A478-'Control Room'!$A$14-('Control Room'!$B$14-1)/2)/MAX(0.5,'Control Room'!$B$14/4))^2),1)*IF(AND($A478&gt;='Control Room'!$A$15,$A478&lt;'Control Room'!$A$15+'Control Room'!$B$15,'Process'!BV4=1),1+('Control Room'!$C$15-1)*EXP(-0.5*(($A478-'Control Room'!$A$15-('Control Room'!$B$15-1)/2)/MAX(0.5,'Control Room'!$B$15/4))^2),1)*IF(AND($A478&gt;='Control Room'!$A$16,$A478&lt;'Control Room'!$A$16+'Control Room'!$B$16,'Process'!BV5=1),1+('Control Room'!$C$16-1)*EXP(-0.5*(($A478-'Control Room'!$A$16-('Control Room'!$B$16-1)/2)/MAX(0.5,'Control Room'!$B$16/4))^2),1)</x:f>
        <x:v>1</x:v>
      </x:c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Z478" t="str">
        <x:f>IF('Data'!A478="","",TEXT('Data'!A478,"mm-dd"))</x:f>
      </x:c>
    </x:row>
    <x:row r="479" ht="21" customHeight="1">
      <x:c r="A479" s="15" t="n">
        <x:f>'Control Room'!$B$1+477</x:f>
        <x:v>73468</x:v>
      </x:c>
      <x:c r="B479" s="9" t="n">
        <x:f>MOD(C478*16807,2147483647)</x:f>
        <x:v>1368579873</x:v>
      </x:c>
      <x:c r="C479" s="9" t="n">
        <x:f>MOD(B479*16807,2147483647)</x:f>
        <x:v>24582494</x:v>
      </x:c>
      <x:c r="D479" s="17" t="n">
        <x:f>IF('Control Room'!$B$5="Normal",'Control Room'!$B$7+'Control Room'!$D$7*SQRT(-2*LN(MAX(0.000000000001,B479/2147483647)))*COS(2*PI()*C479/2147483647),'Control Room'!$B$8+('Control Room'!$D$8-'Control Room'!$B$8)*B479/2147483647)</x:f>
        <x:v>1085.2102353528321</x:v>
      </x:c>
      <x:c r="E479" s="17" t="n">
        <x:f>IF('Control Room'!$B$5="Normal",'Control Room'!$B$7,('Control Room'!$B$8+'Control Room'!$D$8)/2)+'Control Room'!$B$9*(E478-IF('Control Room'!$B$5="Normal",'Control Room'!$B$7,('Control Room'!$B$8+'Control Room'!$D$8)/2))+SQRT(1-'Control Room'!$B$9^2)*(D479-IF('Control Room'!$B$5="Normal",'Control Room'!$B$7,('Control Room'!$B$8+'Control Room'!$D$8)/2))</x:f>
        <x:v>1051.213496284096</x:v>
      </x:c>
      <x:c r="F479" s="17" t="n">
        <x:f>IF(AND($A479&gt;='Control Room'!$A$13,$A479&lt;'Control Room'!$A$13+'Control Room'!$B$13,'Process'!BK2=1),1+('Control Room'!$C$13-1)*EXP(-0.5*(($A479-'Control Room'!$A$13-('Control Room'!$B$13-1)/2)/MAX(0.5,'Control Room'!$B$13/4))^2),1)*IF(AND($A479&gt;='Control Room'!$A$14,$A479&lt;'Control Room'!$A$14+'Control Room'!$B$14,'Process'!BK3=1),1+('Control Room'!$C$14-1)*EXP(-0.5*(($A479-'Control Room'!$A$14-('Control Room'!$B$14-1)/2)/MAX(0.5,'Control Room'!$B$14/4))^2),1)*IF(AND($A479&gt;='Control Room'!$A$15,$A479&lt;'Control Room'!$A$15+'Control Room'!$B$15,'Process'!BK4=1),1+('Control Room'!$C$15-1)*EXP(-0.5*(($A479-'Control Room'!$A$15-('Control Room'!$B$15-1)/2)/MAX(0.5,'Control Room'!$B$15/4))^2),1)*IF(AND($A479&gt;='Control Room'!$A$16,$A479&lt;'Control Room'!$A$16+'Control Room'!$B$16,'Process'!BK5=1),1+('Control Room'!$C$16-1)*EXP(-0.5*(($A479-'Control Room'!$A$16-('Control Room'!$B$16-1)/2)/MAX(0.5,'Control Room'!$B$16/4))^2),1)</x:f>
        <x:v>1</x:v>
      </x:c>
      <x:c r="G479" s="9" t="n">
        <x:f>MOD(H478*16807,2147483647)</x:f>
        <x:v>497280736</x:v>
      </x:c>
      <x:c r="H479" s="9" t="n">
        <x:f>MOD(G479*16807,2147483647)</x:f>
        <x:v>1938459475</x:v>
      </x:c>
      <x:c r="I479" s="17" t="n">
        <x:f>IF('Control Room'!$B$5="Normal",'Control Room'!$B$7+'Control Room'!$D$7*SQRT(-2*LN(MAX(0.000000000001,G479/2147483647)))*COS(2*PI()*H479/2147483647),'Control Room'!$B$8+('Control Room'!$D$8-'Control Room'!$B$8)*G479/2147483647)</x:f>
        <x:v>1126.0417211178378</x:v>
      </x:c>
      <x:c r="J479" s="17" t="n">
        <x:f>IF('Control Room'!$B$5="Normal",'Control Room'!$B$7,('Control Room'!$B$8+'Control Room'!$D$8)/2)+'Control Room'!$B$9*(J478-IF('Control Room'!$B$5="Normal",'Control Room'!$B$7,('Control Room'!$B$8+'Control Room'!$D$8)/2))+SQRT(1-'Control Room'!$B$9^2)*(I479-IF('Control Room'!$B$5="Normal",'Control Room'!$B$7,('Control Room'!$B$8+'Control Room'!$D$8)/2))</x:f>
        <x:v>997.8594866201354</x:v>
      </x:c>
      <x:c r="K479" s="17" t="n">
        <x:f>IF(AND($A479&gt;='Control Room'!$A$13,$A479&lt;'Control Room'!$A$13+'Control Room'!$B$13,'Process'!BL2=1),1+('Control Room'!$C$13-1)*EXP(-0.5*(($A479-'Control Room'!$A$13-('Control Room'!$B$13-1)/2)/MAX(0.5,'Control Room'!$B$13/4))^2),1)*IF(AND($A479&gt;='Control Room'!$A$14,$A479&lt;'Control Room'!$A$14+'Control Room'!$B$14,'Process'!BL3=1),1+('Control Room'!$C$14-1)*EXP(-0.5*(($A479-'Control Room'!$A$14-('Control Room'!$B$14-1)/2)/MAX(0.5,'Control Room'!$B$14/4))^2),1)*IF(AND($A479&gt;='Control Room'!$A$15,$A479&lt;'Control Room'!$A$15+'Control Room'!$B$15,'Process'!BL4=1),1+('Control Room'!$C$15-1)*EXP(-0.5*(($A479-'Control Room'!$A$15-('Control Room'!$B$15-1)/2)/MAX(0.5,'Control Room'!$B$15/4))^2),1)*IF(AND($A479&gt;='Control Room'!$A$16,$A479&lt;'Control Room'!$A$16+'Control Room'!$B$16,'Process'!BL5=1),1+('Control Room'!$C$16-1)*EXP(-0.5*(($A479-'Control Room'!$A$16-('Control Room'!$B$16-1)/2)/MAX(0.5,'Control Room'!$B$16/4))^2),1)</x:f>
        <x:v>1</x:v>
      </x:c>
      <x:c r="L479" s="9" t="n">
        <x:f>MOD(M478*16807,2147483647)</x:f>
        <x:v>1773465246</x:v>
      </x:c>
      <x:c r="M479" s="9" t="n">
        <x:f>MOD(L479*16807,2147483647)</x:f>
        <x:v>1704852809</x:v>
      </x:c>
      <x:c r="N479" s="17" t="n">
        <x:f>IF('Control Room'!$B$5="Normal",'Control Room'!$B$7+'Control Room'!$D$7*SQRT(-2*LN(MAX(0.000000000001,L479/2147483647)))*COS(2*PI()*M479/2147483647),'Control Room'!$B$8+('Control Room'!$D$8-'Control Room'!$B$8)*L479/2147483647)</x:f>
        <x:v>1015.1583935687784</x:v>
      </x:c>
      <x:c r="O479" s="17" t="n">
        <x:f>IF('Control Room'!$B$5="Normal",'Control Room'!$B$7,('Control Room'!$B$8+'Control Room'!$D$8)/2)+'Control Room'!$B$9*(O478-IF('Control Room'!$B$5="Normal",'Control Room'!$B$7,('Control Room'!$B$8+'Control Room'!$D$8)/2))+SQRT(1-'Control Room'!$B$9^2)*(N479-IF('Control Room'!$B$5="Normal",'Control Room'!$B$7,('Control Room'!$B$8+'Control Room'!$D$8)/2))</x:f>
        <x:v>936.2499855723889</x:v>
      </x:c>
      <x:c r="P479" s="17" t="n">
        <x:f>IF(AND($A479&gt;='Control Room'!$A$13,$A479&lt;'Control Room'!$A$13+'Control Room'!$B$13,'Process'!BM2=1),1+('Control Room'!$C$13-1)*EXP(-0.5*(($A479-'Control Room'!$A$13-('Control Room'!$B$13-1)/2)/MAX(0.5,'Control Room'!$B$13/4))^2),1)*IF(AND($A479&gt;='Control Room'!$A$14,$A479&lt;'Control Room'!$A$14+'Control Room'!$B$14,'Process'!BM3=1),1+('Control Room'!$C$14-1)*EXP(-0.5*(($A479-'Control Room'!$A$14-('Control Room'!$B$14-1)/2)/MAX(0.5,'Control Room'!$B$14/4))^2),1)*IF(AND($A479&gt;='Control Room'!$A$15,$A479&lt;'Control Room'!$A$15+'Control Room'!$B$15,'Process'!BM4=1),1+('Control Room'!$C$15-1)*EXP(-0.5*(($A479-'Control Room'!$A$15-('Control Room'!$B$15-1)/2)/MAX(0.5,'Control Room'!$B$15/4))^2),1)*IF(AND($A479&gt;='Control Room'!$A$16,$A479&lt;'Control Room'!$A$16+'Control Room'!$B$16,'Process'!BM5=1),1+('Control Room'!$C$16-1)*EXP(-0.5*(($A479-'Control Room'!$A$16-('Control Room'!$B$16-1)/2)/MAX(0.5,'Control Room'!$B$16/4))^2),1)</x:f>
        <x:v>1</x:v>
      </x:c>
      <x:c r="Q479" s="9" t="n">
        <x:f>MOD(R478*16807,2147483647)</x:f>
        <x:v>902166109</x:v>
      </x:c>
      <x:c r="R479" s="9" t="n">
        <x:f>MOD(Q479*16807,2147483647)</x:f>
        <x:v>1471246143</x:v>
      </x:c>
      <x:c r="S479" s="17" t="n">
        <x:f>IF('Control Room'!$B$5="Normal",'Control Room'!$B$7+'Control Room'!$D$7*SQRT(-2*LN(MAX(0.000000000001,Q479/2147483647)))*COS(2*PI()*R479/2147483647),'Control Room'!$B$8+('Control Room'!$D$8-'Control Room'!$B$8)*Q479/2147483647)</x:f>
        <x:v>952.9958011089686</x:v>
      </x:c>
      <x:c r="T479" s="17" t="n">
        <x:f>IF('Control Room'!$B$5="Normal",'Control Room'!$B$7,('Control Room'!$B$8+'Control Room'!$D$8)/2)+'Control Room'!$B$9*(T478-IF('Control Room'!$B$5="Normal",'Control Room'!$B$7,('Control Room'!$B$8+'Control Room'!$D$8)/2))+SQRT(1-'Control Room'!$B$9^2)*(S479-IF('Control Room'!$B$5="Normal",'Control Room'!$B$7,('Control Room'!$B$8+'Control Room'!$D$8)/2))</x:f>
        <x:v>1016.8355458937247</x:v>
      </x:c>
      <x:c r="U479" s="17" t="n">
        <x:f>IF(AND($A479&gt;='Control Room'!$A$13,$A479&lt;'Control Room'!$A$13+'Control Room'!$B$13,'Process'!BN2=1),1+('Control Room'!$C$13-1)*EXP(-0.5*(($A479-'Control Room'!$A$13-('Control Room'!$B$13-1)/2)/MAX(0.5,'Control Room'!$B$13/4))^2),1)*IF(AND($A479&gt;='Control Room'!$A$14,$A479&lt;'Control Room'!$A$14+'Control Room'!$B$14,'Process'!BN3=1),1+('Control Room'!$C$14-1)*EXP(-0.5*(($A479-'Control Room'!$A$14-('Control Room'!$B$14-1)/2)/MAX(0.5,'Control Room'!$B$14/4))^2),1)*IF(AND($A479&gt;='Control Room'!$A$15,$A479&lt;'Control Room'!$A$15+'Control Room'!$B$15,'Process'!BN4=1),1+('Control Room'!$C$15-1)*EXP(-0.5*(($A479-'Control Room'!$A$15-('Control Room'!$B$15-1)/2)/MAX(0.5,'Control Room'!$B$15/4))^2),1)*IF(AND($A479&gt;='Control Room'!$A$16,$A479&lt;'Control Room'!$A$16+'Control Room'!$B$16,'Process'!BN5=1),1+('Control Room'!$C$16-1)*EXP(-0.5*(($A479-'Control Room'!$A$16-('Control Room'!$B$16-1)/2)/MAX(0.5,'Control Room'!$B$16/4))^2),1)</x:f>
        <x:v>1</x:v>
      </x:c>
      <x:c r="V479" s="9" t="n">
        <x:f>MOD(W478*16807,2147483647)</x:f>
        <x:v>30866972</x:v>
      </x:c>
      <x:c r="W479" s="9" t="n">
        <x:f>MOD(V479*16807,2147483647)</x:f>
        <x:v>1237639477</x:v>
      </x:c>
      <x:c r="X479" s="17" t="n">
        <x:f>IF('Control Room'!$B$5="Normal",'Control Room'!$B$7+'Control Room'!$D$7*SQRT(-2*LN(MAX(0.000000000001,V479/2147483647)))*COS(2*PI()*W479/2147483647),'Control Room'!$B$8+('Control Room'!$D$8-'Control Room'!$B$8)*V479/2147483647)</x:f>
        <x:v>767.4120866911755</x:v>
      </x:c>
      <x:c r="Y479" s="17" t="n">
        <x:f>IF('Control Room'!$B$5="Normal",'Control Room'!$B$7,('Control Room'!$B$8+'Control Room'!$D$8)/2)+'Control Room'!$B$9*(Y478-IF('Control Room'!$B$5="Normal",'Control Room'!$B$7,('Control Room'!$B$8+'Control Room'!$D$8)/2))+SQRT(1-'Control Room'!$B$9^2)*(X479-IF('Control Room'!$B$5="Normal",'Control Room'!$B$7,('Control Room'!$B$8+'Control Room'!$D$8)/2))</x:f>
        <x:v>842.296102614832</x:v>
      </x:c>
      <x:c r="Z479" s="17" t="n">
        <x:f>IF(AND($A479&gt;='Control Room'!$A$13,$A479&lt;'Control Room'!$A$13+'Control Room'!$B$13,'Process'!BO2=1),1+('Control Room'!$C$13-1)*EXP(-0.5*(($A479-'Control Room'!$A$13-('Control Room'!$B$13-1)/2)/MAX(0.5,'Control Room'!$B$13/4))^2),1)*IF(AND($A479&gt;='Control Room'!$A$14,$A479&lt;'Control Room'!$A$14+'Control Room'!$B$14,'Process'!BO3=1),1+('Control Room'!$C$14-1)*EXP(-0.5*(($A479-'Control Room'!$A$14-('Control Room'!$B$14-1)/2)/MAX(0.5,'Control Room'!$B$14/4))^2),1)*IF(AND($A479&gt;='Control Room'!$A$15,$A479&lt;'Control Room'!$A$15+'Control Room'!$B$15,'Process'!BO4=1),1+('Control Room'!$C$15-1)*EXP(-0.5*(($A479-'Control Room'!$A$15-('Control Room'!$B$15-1)/2)/MAX(0.5,'Control Room'!$B$15/4))^2),1)*IF(AND($A479&gt;='Control Room'!$A$16,$A479&lt;'Control Room'!$A$16+'Control Room'!$B$16,'Process'!BO5=1),1+('Control Room'!$C$16-1)*EXP(-0.5*(($A479-'Control Room'!$A$16-('Control Room'!$B$16-1)/2)/MAX(0.5,'Control Room'!$B$16/4))^2),1)</x:f>
        <x:v>1</x:v>
      </x:c>
      <x:c r="AA479" s="9" t="n">
        <x:f>MOD(AB478*16807,2147483647)</x:f>
        <x:v>1307051482</x:v>
      </x:c>
      <x:c r="AB479" s="9" t="n">
        <x:f>MOD(AA479*16807,2147483647)</x:f>
        <x:v>1004032811</x:v>
      </x:c>
      <x:c r="AC479" s="17" t="n">
        <x:f>IF('Control Room'!$B$5="Normal",'Control Room'!$B$7+'Control Room'!$D$7*SQRT(-2*LN(MAX(0.000000000001,AA479/2147483647)))*COS(2*PI()*AB479/2147483647),'Control Room'!$B$8+('Control Room'!$D$8-'Control Room'!$B$8)*AA479/2147483647)</x:f>
        <x:v>912.1724372359358</x:v>
      </x:c>
      <x:c r="AD479" s="17" t="n">
        <x:f>IF('Control Room'!$B$5="Normal",'Control Room'!$B$7,('Control Room'!$B$8+'Control Room'!$D$8)/2)+'Control Room'!$B$9*(AD478-IF('Control Room'!$B$5="Normal",'Control Room'!$B$7,('Control Room'!$B$8+'Control Room'!$D$8)/2))+SQRT(1-'Control Room'!$B$9^2)*(AC479-IF('Control Room'!$B$5="Normal",'Control Room'!$B$7,('Control Room'!$B$8+'Control Room'!$D$8)/2))</x:f>
        <x:v>953.8750964538215</x:v>
      </x:c>
      <x:c r="AE479" s="17" t="n">
        <x:f>IF(AND($A479&gt;='Control Room'!$A$13,$A479&lt;'Control Room'!$A$13+'Control Room'!$B$13,'Process'!BP2=1),1+('Control Room'!$C$13-1)*EXP(-0.5*(($A479-'Control Room'!$A$13-('Control Room'!$B$13-1)/2)/MAX(0.5,'Control Room'!$B$13/4))^2),1)*IF(AND($A479&gt;='Control Room'!$A$14,$A479&lt;'Control Room'!$A$14+'Control Room'!$B$14,'Process'!BP3=1),1+('Control Room'!$C$14-1)*EXP(-0.5*(($A479-'Control Room'!$A$14-('Control Room'!$B$14-1)/2)/MAX(0.5,'Control Room'!$B$14/4))^2),1)*IF(AND($A479&gt;='Control Room'!$A$15,$A479&lt;'Control Room'!$A$15+'Control Room'!$B$15,'Process'!BP4=1),1+('Control Room'!$C$15-1)*EXP(-0.5*(($A479-'Control Room'!$A$15-('Control Room'!$B$15-1)/2)/MAX(0.5,'Control Room'!$B$15/4))^2),1)*IF(AND($A479&gt;='Control Room'!$A$16,$A479&lt;'Control Room'!$A$16+'Control Room'!$B$16,'Process'!BP5=1),1+('Control Room'!$C$16-1)*EXP(-0.5*(($A479-'Control Room'!$A$16-('Control Room'!$B$16-1)/2)/MAX(0.5,'Control Room'!$B$16/4))^2),1)</x:f>
        <x:v>1</x:v>
      </x:c>
      <x:c r="AF479" s="9" t="n">
        <x:f>MOD(AG478*16807,2147483647)</x:f>
        <x:v>435752345</x:v>
      </x:c>
      <x:c r="AG479" s="9" t="n">
        <x:f>MOD(AF479*16807,2147483647)</x:f>
        <x:v>770426145</x:v>
      </x:c>
      <x:c r="AH479" s="17" t="n">
        <x:f>IF('Control Room'!$B$5="Normal",'Control Room'!$B$7+'Control Room'!$D$7*SQRT(-2*LN(MAX(0.000000000001,AF479/2147483647)))*COS(2*PI()*AG479/2147483647),'Control Room'!$B$8+('Control Room'!$D$8-'Control Room'!$B$8)*AF479/2147483647)</x:f>
        <x:v>898.5078308597632</x:v>
      </x:c>
      <x:c r="AI479" s="17" t="n">
        <x:f>IF('Control Room'!$B$5="Normal",'Control Room'!$B$7,('Control Room'!$B$8+'Control Room'!$D$8)/2)+'Control Room'!$B$9*(AI478-IF('Control Room'!$B$5="Normal",'Control Room'!$B$7,('Control Room'!$B$8+'Control Room'!$D$8)/2))+SQRT(1-'Control Room'!$B$9^2)*(AH479-IF('Control Room'!$B$5="Normal",'Control Room'!$B$7,('Control Room'!$B$8+'Control Room'!$D$8)/2))</x:f>
        <x:v>975.1742006308662</x:v>
      </x:c>
      <x:c r="AJ479" s="17" t="n">
        <x:f>IF(AND($A479&gt;='Control Room'!$A$13,$A479&lt;'Control Room'!$A$13+'Control Room'!$B$13,'Process'!BQ2=1),1+('Control Room'!$C$13-1)*EXP(-0.5*(($A479-'Control Room'!$A$13-('Control Room'!$B$13-1)/2)/MAX(0.5,'Control Room'!$B$13/4))^2),1)*IF(AND($A479&gt;='Control Room'!$A$14,$A479&lt;'Control Room'!$A$14+'Control Room'!$B$14,'Process'!BQ3=1),1+('Control Room'!$C$14-1)*EXP(-0.5*(($A479-'Control Room'!$A$14-('Control Room'!$B$14-1)/2)/MAX(0.5,'Control Room'!$B$14/4))^2),1)*IF(AND($A479&gt;='Control Room'!$A$15,$A479&lt;'Control Room'!$A$15+'Control Room'!$B$15,'Process'!BQ4=1),1+('Control Room'!$C$15-1)*EXP(-0.5*(($A479-'Control Room'!$A$15-('Control Room'!$B$15-1)/2)/MAX(0.5,'Control Room'!$B$15/4))^2),1)*IF(AND($A479&gt;='Control Room'!$A$16,$A479&lt;'Control Room'!$A$16+'Control Room'!$B$16,'Process'!BQ5=1),1+('Control Room'!$C$16-1)*EXP(-0.5*(($A479-'Control Room'!$A$16-('Control Room'!$B$16-1)/2)/MAX(0.5,'Control Room'!$B$16/4))^2),1)</x:f>
        <x:v>1</x:v>
      </x:c>
      <x:c r="AK479" s="9" t="n">
        <x:f>MOD(AL478*16807,2147483647)</x:f>
        <x:v>1711936855</x:v>
      </x:c>
      <x:c r="AL479" s="9" t="n">
        <x:f>MOD(AK479*16807,2147483647)</x:f>
        <x:v>536819479</x:v>
      </x:c>
      <x:c r="AM479" s="17" t="n">
        <x:f>IF('Control Room'!$B$5="Normal",'Control Room'!$B$7+'Control Room'!$D$7*SQRT(-2*LN(MAX(0.000000000001,AK479/2147483647)))*COS(2*PI()*AL479/2147483647),'Control Room'!$B$8+('Control Room'!$D$8-'Control Room'!$B$8)*AK479/2147483647)</x:f>
        <x:v>1000.0091189657788</x:v>
      </x:c>
      <x:c r="AN479" s="17" t="n">
        <x:f>IF('Control Room'!$B$5="Normal",'Control Room'!$B$7,('Control Room'!$B$8+'Control Room'!$D$8)/2)+'Control Room'!$B$9*(AN478-IF('Control Room'!$B$5="Normal",'Control Room'!$B$7,('Control Room'!$B$8+'Control Room'!$D$8)/2))+SQRT(1-'Control Room'!$B$9^2)*(AM479-IF('Control Room'!$B$5="Normal",'Control Room'!$B$7,('Control Room'!$B$8+'Control Room'!$D$8)/2))</x:f>
        <x:v>1040.7541667695095</x:v>
      </x:c>
      <x:c r="AO479" s="17" t="n">
        <x:f>IF(AND($A479&gt;='Control Room'!$A$13,$A479&lt;'Control Room'!$A$13+'Control Room'!$B$13,'Process'!BR2=1),1+('Control Room'!$C$13-1)*EXP(-0.5*(($A479-'Control Room'!$A$13-('Control Room'!$B$13-1)/2)/MAX(0.5,'Control Room'!$B$13/4))^2),1)*IF(AND($A479&gt;='Control Room'!$A$14,$A479&lt;'Control Room'!$A$14+'Control Room'!$B$14,'Process'!BR3=1),1+('Control Room'!$C$14-1)*EXP(-0.5*(($A479-'Control Room'!$A$14-('Control Room'!$B$14-1)/2)/MAX(0.5,'Control Room'!$B$14/4))^2),1)*IF(AND($A479&gt;='Control Room'!$A$15,$A479&lt;'Control Room'!$A$15+'Control Room'!$B$15,'Process'!BR4=1),1+('Control Room'!$C$15-1)*EXP(-0.5*(($A479-'Control Room'!$A$15-('Control Room'!$B$15-1)/2)/MAX(0.5,'Control Room'!$B$15/4))^2),1)*IF(AND($A479&gt;='Control Room'!$A$16,$A479&lt;'Control Room'!$A$16+'Control Room'!$B$16,'Process'!BR5=1),1+('Control Room'!$C$16-1)*EXP(-0.5*(($A479-'Control Room'!$A$16-('Control Room'!$B$16-1)/2)/MAX(0.5,'Control Room'!$B$16/4))^2),1)</x:f>
        <x:v>1</x:v>
      </x:c>
      <x:c r="AP479" s="9" t="n">
        <x:f>MOD(AQ478*16807,2147483647)</x:f>
        <x:v>840637718</x:v>
      </x:c>
      <x:c r="AQ479" s="9" t="n">
        <x:f>MOD(AP479*16807,2147483647)</x:f>
        <x:v>303212813</x:v>
      </x:c>
      <x:c r="AR479" s="17" t="n">
        <x:f>IF('Control Room'!$B$5="Normal",'Control Room'!$B$7+'Control Room'!$D$7*SQRT(-2*LN(MAX(0.000000000001,AP479/2147483647)))*COS(2*PI()*AQ479/2147483647),'Control Room'!$B$8+('Control Room'!$D$8-'Control Room'!$B$8)*AP479/2147483647)</x:f>
        <x:v>1077.8559693760537</x:v>
      </x:c>
      <x:c r="AS479" s="17" t="n">
        <x:f>IF('Control Room'!$B$5="Normal",'Control Room'!$B$7,('Control Room'!$B$8+'Control Room'!$D$8)/2)+'Control Room'!$B$9*(AS478-IF('Control Room'!$B$5="Normal",'Control Room'!$B$7,('Control Room'!$B$8+'Control Room'!$D$8)/2))+SQRT(1-'Control Room'!$B$9^2)*(AR479-IF('Control Room'!$B$5="Normal",'Control Room'!$B$7,('Control Room'!$B$8+'Control Room'!$D$8)/2))</x:f>
        <x:v>908.0788671367433</x:v>
      </x:c>
      <x:c r="AT479" s="17" t="n">
        <x:f>IF(AND($A479&gt;='Control Room'!$A$13,$A479&lt;'Control Room'!$A$13+'Control Room'!$B$13,'Process'!BS2=1),1+('Control Room'!$C$13-1)*EXP(-0.5*(($A479-'Control Room'!$A$13-('Control Room'!$B$13-1)/2)/MAX(0.5,'Control Room'!$B$13/4))^2),1)*IF(AND($A479&gt;='Control Room'!$A$14,$A479&lt;'Control Room'!$A$14+'Control Room'!$B$14,'Process'!BS3=1),1+('Control Room'!$C$14-1)*EXP(-0.5*(($A479-'Control Room'!$A$14-('Control Room'!$B$14-1)/2)/MAX(0.5,'Control Room'!$B$14/4))^2),1)*IF(AND($A479&gt;='Control Room'!$A$15,$A479&lt;'Control Room'!$A$15+'Control Room'!$B$15,'Process'!BS4=1),1+('Control Room'!$C$15-1)*EXP(-0.5*(($A479-'Control Room'!$A$15-('Control Room'!$B$15-1)/2)/MAX(0.5,'Control Room'!$B$15/4))^2),1)*IF(AND($A479&gt;='Control Room'!$A$16,$A479&lt;'Control Room'!$A$16+'Control Room'!$B$16,'Process'!BS5=1),1+('Control Room'!$C$16-1)*EXP(-0.5*(($A479-'Control Room'!$A$16-('Control Room'!$B$16-1)/2)/MAX(0.5,'Control Room'!$B$16/4))^2),1)</x:f>
        <x:v>1</x:v>
      </x:c>
      <x:c r="AU479" s="9" t="n">
        <x:f>MOD(AV478*16807,2147483647)</x:f>
        <x:v>2116822228</x:v>
      </x:c>
      <x:c r="AV479" s="9" t="n">
        <x:f>MOD(AU479*16807,2147483647)</x:f>
        <x:v>69606147</x:v>
      </x:c>
      <x:c r="AW479" s="17" t="n">
        <x:f>IF('Control Room'!$B$5="Normal",'Control Room'!$B$7+'Control Room'!$D$7*SQRT(-2*LN(MAX(0.000000000001,AU479/2147483647)))*COS(2*PI()*AV479/2147483647),'Control Room'!$B$8+('Control Room'!$D$8-'Control Room'!$B$8)*AU479/2147483647)</x:f>
        <x:v>1014.947855074445</x:v>
      </x:c>
      <x:c r="AX479" s="17" t="n">
        <x:f>IF('Control Room'!$B$5="Normal",'Control Room'!$B$7,('Control Room'!$B$8+'Control Room'!$D$8)/2)+'Control Room'!$B$9*(AX478-IF('Control Room'!$B$5="Normal",'Control Room'!$B$7,('Control Room'!$B$8+'Control Room'!$D$8)/2))+SQRT(1-'Control Room'!$B$9^2)*(AW479-IF('Control Room'!$B$5="Normal",'Control Room'!$B$7,('Control Room'!$B$8+'Control Room'!$D$8)/2))</x:f>
        <x:v>1054.2879371519064</x:v>
      </x:c>
      <x:c r="AY479" s="17" t="n">
        <x:f>IF(AND($A479&gt;='Control Room'!$A$13,$A479&lt;'Control Room'!$A$13+'Control Room'!$B$13,'Process'!BT2=1),1+('Control Room'!$C$13-1)*EXP(-0.5*(($A479-'Control Room'!$A$13-('Control Room'!$B$13-1)/2)/MAX(0.5,'Control Room'!$B$13/4))^2),1)*IF(AND($A479&gt;='Control Room'!$A$14,$A479&lt;'Control Room'!$A$14+'Control Room'!$B$14,'Process'!BT3=1),1+('Control Room'!$C$14-1)*EXP(-0.5*(($A479-'Control Room'!$A$14-('Control Room'!$B$14-1)/2)/MAX(0.5,'Control Room'!$B$14/4))^2),1)*IF(AND($A479&gt;='Control Room'!$A$15,$A479&lt;'Control Room'!$A$15+'Control Room'!$B$15,'Process'!BT4=1),1+('Control Room'!$C$15-1)*EXP(-0.5*(($A479-'Control Room'!$A$15-('Control Room'!$B$15-1)/2)/MAX(0.5,'Control Room'!$B$15/4))^2),1)*IF(AND($A479&gt;='Control Room'!$A$16,$A479&lt;'Control Room'!$A$16+'Control Room'!$B$16,'Process'!BT5=1),1+('Control Room'!$C$16-1)*EXP(-0.5*(($A479-'Control Room'!$A$16-('Control Room'!$B$16-1)/2)/MAX(0.5,'Control Room'!$B$16/4))^2),1)</x:f>
        <x:v>1</x:v>
      </x:c>
      <x:c r="AZ479" s="9" t="n">
        <x:f>MOD(BA478*16807,2147483647)</x:f>
        <x:v>1245523091</x:v>
      </x:c>
      <x:c r="BA479" s="9" t="n">
        <x:f>MOD(AZ479*16807,2147483647)</x:f>
        <x:v>1983483128</x:v>
      </x:c>
      <x:c r="BB479" s="17" t="n">
        <x:f>IF('Control Room'!$B$5="Normal",'Control Room'!$B$7+'Control Room'!$D$7*SQRT(-2*LN(MAX(0.000000000001,AZ479/2147483647)))*COS(2*PI()*BA479/2147483647),'Control Room'!$B$8+('Control Room'!$D$8-'Control Room'!$B$8)*AZ479/2147483647)</x:f>
        <x:v>1083.331694463151</x:v>
      </x:c>
      <x:c r="BC479" s="17" t="n">
        <x:f>IF('Control Room'!$B$5="Normal",'Control Room'!$B$7,('Control Room'!$B$8+'Control Room'!$D$8)/2)+'Control Room'!$B$9*(BC478-IF('Control Room'!$B$5="Normal",'Control Room'!$B$7,('Control Room'!$B$8+'Control Room'!$D$8)/2))+SQRT(1-'Control Room'!$B$9^2)*(BB479-IF('Control Room'!$B$5="Normal",'Control Room'!$B$7,('Control Room'!$B$8+'Control Room'!$D$8)/2))</x:f>
        <x:v>1111.1230435320106</x:v>
      </x:c>
      <x:c r="BD479" s="17" t="n">
        <x:f>IF(AND($A479&gt;='Control Room'!$A$13,$A479&lt;'Control Room'!$A$13+'Control Room'!$B$13,'Process'!BU2=1),1+('Control Room'!$C$13-1)*EXP(-0.5*(($A479-'Control Room'!$A$13-('Control Room'!$B$13-1)/2)/MAX(0.5,'Control Room'!$B$13/4))^2),1)*IF(AND($A479&gt;='Control Room'!$A$14,$A479&lt;'Control Room'!$A$14+'Control Room'!$B$14,'Process'!BU3=1),1+('Control Room'!$C$14-1)*EXP(-0.5*(($A479-'Control Room'!$A$14-('Control Room'!$B$14-1)/2)/MAX(0.5,'Control Room'!$B$14/4))^2),1)*IF(AND($A479&gt;='Control Room'!$A$15,$A479&lt;'Control Room'!$A$15+'Control Room'!$B$15,'Process'!BU4=1),1+('Control Room'!$C$15-1)*EXP(-0.5*(($A479-'Control Room'!$A$15-('Control Room'!$B$15-1)/2)/MAX(0.5,'Control Room'!$B$15/4))^2),1)*IF(AND($A479&gt;='Control Room'!$A$16,$A479&lt;'Control Room'!$A$16+'Control Room'!$B$16,'Process'!BU5=1),1+('Control Room'!$C$16-1)*EXP(-0.5*(($A479-'Control Room'!$A$16-('Control Room'!$B$16-1)/2)/MAX(0.5,'Control Room'!$B$16/4))^2),1)</x:f>
        <x:v>1</x:v>
      </x:c>
      <x:c r="BE479" s="9" t="n">
        <x:f>MOD(BF478*16807,2147483647)</x:f>
        <x:v>374223954</x:v>
      </x:c>
      <x:c r="BF479" s="9" t="n">
        <x:f>MOD(BE479*16807,2147483647)</x:f>
        <x:v>1749876462</x:v>
      </x:c>
      <x:c r="BG479" s="17" t="n">
        <x:f>IF('Control Room'!$B$5="Normal",'Control Room'!$B$7+'Control Room'!$D$7*SQRT(-2*LN(MAX(0.000000000001,BE479/2147483647)))*COS(2*PI()*BF479/2147483647),'Control Room'!$B$8+('Control Room'!$D$8-'Control Room'!$B$8)*BE479/2147483647)</x:f>
        <x:v>1066.670231024478</x:v>
      </x:c>
      <x:c r="BH479" s="17" t="n">
        <x:f>IF('Control Room'!$B$5="Normal",'Control Room'!$B$7,('Control Room'!$B$8+'Control Room'!$D$8)/2)+'Control Room'!$B$9*(BH478-IF('Control Room'!$B$5="Normal",'Control Room'!$B$7,('Control Room'!$B$8+'Control Room'!$D$8)/2))+SQRT(1-'Control Room'!$B$9^2)*(BG479-IF('Control Room'!$B$5="Normal",'Control Room'!$B$7,('Control Room'!$B$8+'Control Room'!$D$8)/2))</x:f>
        <x:v>1022.9387923476995</x:v>
      </x:c>
      <x:c r="BI479" s="17" t="n">
        <x:f>IF(AND($A479&gt;='Control Room'!$A$13,$A479&lt;'Control Room'!$A$13+'Control Room'!$B$13,'Process'!BV2=1),1+('Control Room'!$C$13-1)*EXP(-0.5*(($A479-'Control Room'!$A$13-('Control Room'!$B$13-1)/2)/MAX(0.5,'Control Room'!$B$13/4))^2),1)*IF(AND($A479&gt;='Control Room'!$A$14,$A479&lt;'Control Room'!$A$14+'Control Room'!$B$14,'Process'!BV3=1),1+('Control Room'!$C$14-1)*EXP(-0.5*(($A479-'Control Room'!$A$14-('Control Room'!$B$14-1)/2)/MAX(0.5,'Control Room'!$B$14/4))^2),1)*IF(AND($A479&gt;='Control Room'!$A$15,$A479&lt;'Control Room'!$A$15+'Control Room'!$B$15,'Process'!BV4=1),1+('Control Room'!$C$15-1)*EXP(-0.5*(($A479-'Control Room'!$A$15-('Control Room'!$B$15-1)/2)/MAX(0.5,'Control Room'!$B$15/4))^2),1)*IF(AND($A479&gt;='Control Room'!$A$16,$A479&lt;'Control Room'!$A$16+'Control Room'!$B$16,'Process'!BV5=1),1+('Control Room'!$C$16-1)*EXP(-0.5*(($A479-'Control Room'!$A$16-('Control Room'!$B$16-1)/2)/MAX(0.5,'Control Room'!$B$16/4))^2),1)</x:f>
        <x:v>1</x:v>
      </x:c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Z479" t="str">
        <x:f>IF('Data'!A479="","",TEXT('Data'!A479,"mm-dd"))</x:f>
      </x:c>
    </x:row>
    <x:row r="480" ht="21" customHeight="1">
      <x:c r="A480" s="15" t="n">
        <x:f>'Control Room'!$B$1+478</x:f>
        <x:v>73469</x:v>
      </x:c>
      <x:c r="B480" s="9" t="n">
        <x:f>MOD(C479*16807,2147483647)</x:f>
        <x:v>841116434</x:v>
      </x:c>
      <x:c r="C480" s="9" t="n">
        <x:f>MOD(B480*16807,2147483647)</x:f>
        <x:v>1906541684</x:v>
      </x:c>
      <x:c r="D480" s="17" t="n">
        <x:f>IF('Control Room'!$B$5="Normal",'Control Room'!$B$7+'Control Room'!$D$7*SQRT(-2*LN(MAX(0.000000000001,B480/2147483647)))*COS(2*PI()*C480/2147483647),'Control Room'!$B$8+('Control Room'!$D$8-'Control Room'!$B$8)*B480/2147483647)</x:f>
        <x:v>1093.853704340046</x:v>
      </x:c>
      <x:c r="E480" s="17" t="n">
        <x:f>IF('Control Room'!$B$5="Normal",'Control Room'!$B$7,('Control Room'!$B$8+'Control Room'!$D$8)/2)+'Control Room'!$B$9*(E479-IF('Control Room'!$B$5="Normal",'Control Room'!$B$7,('Control Room'!$B$8+'Control Room'!$D$8)/2))+SQRT(1-'Control Room'!$B$9^2)*(D480-IF('Control Room'!$B$5="Normal",'Control Room'!$B$7,('Control Room'!$B$8+'Control Room'!$D$8)/2))</x:f>
        <x:v>1098.6782525799545</x:v>
      </x:c>
      <x:c r="F480" s="17" t="n">
        <x:f>IF(AND($A480&gt;='Control Room'!$A$13,$A480&lt;'Control Room'!$A$13+'Control Room'!$B$13,'Process'!BK2=1),1+('Control Room'!$C$13-1)*EXP(-0.5*(($A480-'Control Room'!$A$13-('Control Room'!$B$13-1)/2)/MAX(0.5,'Control Room'!$B$13/4))^2),1)*IF(AND($A480&gt;='Control Room'!$A$14,$A480&lt;'Control Room'!$A$14+'Control Room'!$B$14,'Process'!BK3=1),1+('Control Room'!$C$14-1)*EXP(-0.5*(($A480-'Control Room'!$A$14-('Control Room'!$B$14-1)/2)/MAX(0.5,'Control Room'!$B$14/4))^2),1)*IF(AND($A480&gt;='Control Room'!$A$15,$A480&lt;'Control Room'!$A$15+'Control Room'!$B$15,'Process'!BK4=1),1+('Control Room'!$C$15-1)*EXP(-0.5*(($A480-'Control Room'!$A$15-('Control Room'!$B$15-1)/2)/MAX(0.5,'Control Room'!$B$15/4))^2),1)*IF(AND($A480&gt;='Control Room'!$A$16,$A480&lt;'Control Room'!$A$16+'Control Room'!$B$16,'Process'!BK5=1),1+('Control Room'!$C$16-1)*EXP(-0.5*(($A480-'Control Room'!$A$16-('Control Room'!$B$16-1)/2)/MAX(0.5,'Control Room'!$B$16/4))^2),1)</x:f>
        <x:v>1</x:v>
      </x:c>
      <x:c r="G480" s="9" t="n">
        <x:f>MOD(H479*16807,2147483647)</x:f>
        <x:v>213987688</x:v>
      </x:c>
      <x:c r="H480" s="9" t="n">
        <x:f>MOD(G480*16807,2147483647)</x:f>
        <x:v>1603447138</x:v>
      </x:c>
      <x:c r="I480" s="17" t="n">
        <x:f>IF('Control Room'!$B$5="Normal",'Control Room'!$B$7+'Control Room'!$D$7*SQRT(-2*LN(MAX(0.000000000001,G480/2147483647)))*COS(2*PI()*H480/2147483647),'Control Room'!$B$8+('Control Room'!$D$8-'Control Room'!$B$8)*G480/2147483647)</x:f>
        <x:v>995.9479917896903</x:v>
      </x:c>
      <x:c r="J480" s="17" t="n">
        <x:f>IF('Control Room'!$B$5="Normal",'Control Room'!$B$7,('Control Room'!$B$8+'Control Room'!$D$8)/2)+'Control Room'!$B$9*(J479-IF('Control Room'!$B$5="Normal",'Control Room'!$B$7,('Control Room'!$B$8+'Control Room'!$D$8)/2))+SQRT(1-'Control Room'!$B$9^2)*(I480-IF('Control Room'!$B$5="Normal",'Control Room'!$B$7,('Control Room'!$B$8+'Control Room'!$D$8)/2))</x:f>
        <x:v>995.7947358355939</x:v>
      </x:c>
      <x:c r="K480" s="17" t="n">
        <x:f>IF(AND($A480&gt;='Control Room'!$A$13,$A480&lt;'Control Room'!$A$13+'Control Room'!$B$13,'Process'!BL2=1),1+('Control Room'!$C$13-1)*EXP(-0.5*(($A480-'Control Room'!$A$13-('Control Room'!$B$13-1)/2)/MAX(0.5,'Control Room'!$B$13/4))^2),1)*IF(AND($A480&gt;='Control Room'!$A$14,$A480&lt;'Control Room'!$A$14+'Control Room'!$B$14,'Process'!BL3=1),1+('Control Room'!$C$14-1)*EXP(-0.5*(($A480-'Control Room'!$A$14-('Control Room'!$B$14-1)/2)/MAX(0.5,'Control Room'!$B$14/4))^2),1)*IF(AND($A480&gt;='Control Room'!$A$15,$A480&lt;'Control Room'!$A$15+'Control Room'!$B$15,'Process'!BL4=1),1+('Control Room'!$C$15-1)*EXP(-0.5*(($A480-'Control Room'!$A$15-('Control Room'!$B$15-1)/2)/MAX(0.5,'Control Room'!$B$15/4))^2),1)*IF(AND($A480&gt;='Control Room'!$A$16,$A480&lt;'Control Room'!$A$16+'Control Room'!$B$16,'Process'!BL5=1),1+('Control Room'!$C$16-1)*EXP(-0.5*(($A480-'Control Room'!$A$16-('Control Room'!$B$16-1)/2)/MAX(0.5,'Control Room'!$B$16/4))^2),1)</x:f>
        <x:v>1</x:v>
      </x:c>
      <x:c r="L480" s="9" t="n">
        <x:f>MOD(M479*16807,2147483647)</x:f>
        <x:v>1734342589</x:v>
      </x:c>
      <x:c r="M480" s="9" t="n">
        <x:f>MOD(L480*16807,2147483647)</x:f>
        <x:v>1300352592</x:v>
      </x:c>
      <x:c r="N480" s="17" t="n">
        <x:f>IF('Control Room'!$B$5="Normal",'Control Room'!$B$7+'Control Room'!$D$7*SQRT(-2*LN(MAX(0.000000000001,L480/2147483647)))*COS(2*PI()*M480/2147483647),'Control Room'!$B$8+('Control Room'!$D$8-'Control Room'!$B$8)*L480/2147483647)</x:f>
        <x:v>953.6310477113237</x:v>
      </x:c>
      <x:c r="O480" s="17" t="n">
        <x:f>IF('Control Room'!$B$5="Normal",'Control Room'!$B$7,('Control Room'!$B$8+'Control Room'!$D$8)/2)+'Control Room'!$B$9*(O479-IF('Control Room'!$B$5="Normal",'Control Room'!$B$7,('Control Room'!$B$8+'Control Room'!$D$8)/2))+SQRT(1-'Control Room'!$B$9^2)*(N480-IF('Control Room'!$B$5="Normal",'Control Room'!$B$7,('Control Room'!$B$8+'Control Room'!$D$8)/2))</x:f>
        <x:v>921.2582483238301</x:v>
      </x:c>
      <x:c r="P480" s="17" t="n">
        <x:f>IF(AND($A480&gt;='Control Room'!$A$13,$A480&lt;'Control Room'!$A$13+'Control Room'!$B$13,'Process'!BM2=1),1+('Control Room'!$C$13-1)*EXP(-0.5*(($A480-'Control Room'!$A$13-('Control Room'!$B$13-1)/2)/MAX(0.5,'Control Room'!$B$13/4))^2),1)*IF(AND($A480&gt;='Control Room'!$A$14,$A480&lt;'Control Room'!$A$14+'Control Room'!$B$14,'Process'!BM3=1),1+('Control Room'!$C$14-1)*EXP(-0.5*(($A480-'Control Room'!$A$14-('Control Room'!$B$14-1)/2)/MAX(0.5,'Control Room'!$B$14/4))^2),1)*IF(AND($A480&gt;='Control Room'!$A$15,$A480&lt;'Control Room'!$A$15+'Control Room'!$B$15,'Process'!BM4=1),1+('Control Room'!$C$15-1)*EXP(-0.5*(($A480-'Control Room'!$A$15-('Control Room'!$B$15-1)/2)/MAX(0.5,'Control Room'!$B$15/4))^2),1)*IF(AND($A480&gt;='Control Room'!$A$16,$A480&lt;'Control Room'!$A$16+'Control Room'!$B$16,'Process'!BM5=1),1+('Control Room'!$C$16-1)*EXP(-0.5*(($A480-'Control Room'!$A$16-('Control Room'!$B$16-1)/2)/MAX(0.5,'Control Room'!$B$16/4))^2),1)</x:f>
        <x:v>1</x:v>
      </x:c>
      <x:c r="Q480" s="9" t="n">
        <x:f>MOD(R479*16807,2147483647)</x:f>
        <x:v>1107213843</x:v>
      </x:c>
      <x:c r="R480" s="9" t="n">
        <x:f>MOD(Q480*16807,2147483647)</x:f>
        <x:v>997258046</x:v>
      </x:c>
      <x:c r="S480" s="17" t="n">
        <x:f>IF('Control Room'!$B$5="Normal",'Control Room'!$B$7+'Control Room'!$D$7*SQRT(-2*LN(MAX(0.000000000001,Q480/2147483647)))*COS(2*PI()*R480/2147483647),'Control Room'!$B$8+('Control Room'!$D$8-'Control Room'!$B$8)*Q480/2147483647)</x:f>
        <x:v>898.9891642560231</x:v>
      </x:c>
      <x:c r="T480" s="17" t="n">
        <x:f>IF('Control Room'!$B$5="Normal",'Control Room'!$B$7,('Control Room'!$B$8+'Control Room'!$D$8)/2)+'Control Room'!$B$9*(T479-IF('Control Room'!$B$5="Normal",'Control Room'!$B$7,('Control Room'!$B$8+'Control Room'!$D$8)/2))+SQRT(1-'Control Room'!$B$9^2)*(S480-IF('Control Room'!$B$5="Normal",'Control Room'!$B$7,('Control Room'!$B$8+'Control Room'!$D$8)/2))</x:f>
        <x:v>949.9212141079722</x:v>
      </x:c>
      <x:c r="U480" s="17" t="n">
        <x:f>IF(AND($A480&gt;='Control Room'!$A$13,$A480&lt;'Control Room'!$A$13+'Control Room'!$B$13,'Process'!BN2=1),1+('Control Room'!$C$13-1)*EXP(-0.5*(($A480-'Control Room'!$A$13-('Control Room'!$B$13-1)/2)/MAX(0.5,'Control Room'!$B$13/4))^2),1)*IF(AND($A480&gt;='Control Room'!$A$14,$A480&lt;'Control Room'!$A$14+'Control Room'!$B$14,'Process'!BN3=1),1+('Control Room'!$C$14-1)*EXP(-0.5*(($A480-'Control Room'!$A$14-('Control Room'!$B$14-1)/2)/MAX(0.5,'Control Room'!$B$14/4))^2),1)*IF(AND($A480&gt;='Control Room'!$A$15,$A480&lt;'Control Room'!$A$15+'Control Room'!$B$15,'Process'!BN4=1),1+('Control Room'!$C$15-1)*EXP(-0.5*(($A480-'Control Room'!$A$15-('Control Room'!$B$15-1)/2)/MAX(0.5,'Control Room'!$B$15/4))^2),1)*IF(AND($A480&gt;='Control Room'!$A$16,$A480&lt;'Control Room'!$A$16+'Control Room'!$B$16,'Process'!BN5=1),1+('Control Room'!$C$16-1)*EXP(-0.5*(($A480-'Control Room'!$A$16-('Control Room'!$B$16-1)/2)/MAX(0.5,'Control Room'!$B$16/4))^2),1)</x:f>
        <x:v>1</x:v>
      </x:c>
      <x:c r="V480" s="9" t="n">
        <x:f>MOD(W479*16807,2147483647)</x:f>
        <x:v>480085097</x:v>
      </x:c>
      <x:c r="W480" s="9" t="n">
        <x:f>MOD(V480*16807,2147483647)</x:f>
        <x:v>694163500</x:v>
      </x:c>
      <x:c r="X480" s="17" t="n">
        <x:f>IF('Control Room'!$B$5="Normal",'Control Room'!$B$7+'Control Room'!$D$7*SQRT(-2*LN(MAX(0.000000000001,V480/2147483647)))*COS(2*PI()*W480/2147483647),'Control Room'!$B$8+('Control Room'!$D$8-'Control Room'!$B$8)*V480/2147483647)</x:f>
        <x:v>930.8098045132297</x:v>
      </x:c>
      <x:c r="Y480" s="17" t="n">
        <x:f>IF('Control Room'!$B$5="Normal",'Control Room'!$B$7,('Control Room'!$B$8+'Control Room'!$D$8)/2)+'Control Room'!$B$9*(Y479-IF('Control Room'!$B$5="Normal",'Control Room'!$B$7,('Control Room'!$B$8+'Control Room'!$D$8)/2))+SQRT(1-'Control Room'!$B$9^2)*(X480-IF('Control Room'!$B$5="Normal",'Control Room'!$B$7,('Control Room'!$B$8+'Control Room'!$D$8)/2))</x:f>
        <x:v>833.6931531421473</x:v>
      </x:c>
      <x:c r="Z480" s="17" t="n">
        <x:f>IF(AND($A480&gt;='Control Room'!$A$13,$A480&lt;'Control Room'!$A$13+'Control Room'!$B$13,'Process'!BO2=1),1+('Control Room'!$C$13-1)*EXP(-0.5*(($A480-'Control Room'!$A$13-('Control Room'!$B$13-1)/2)/MAX(0.5,'Control Room'!$B$13/4))^2),1)*IF(AND($A480&gt;='Control Room'!$A$14,$A480&lt;'Control Room'!$A$14+'Control Room'!$B$14,'Process'!BO3=1),1+('Control Room'!$C$14-1)*EXP(-0.5*(($A480-'Control Room'!$A$14-('Control Room'!$B$14-1)/2)/MAX(0.5,'Control Room'!$B$14/4))^2),1)*IF(AND($A480&gt;='Control Room'!$A$15,$A480&lt;'Control Room'!$A$15+'Control Room'!$B$15,'Process'!BO4=1),1+('Control Room'!$C$15-1)*EXP(-0.5*(($A480-'Control Room'!$A$15-('Control Room'!$B$15-1)/2)/MAX(0.5,'Control Room'!$B$15/4))^2),1)*IF(AND($A480&gt;='Control Room'!$A$16,$A480&lt;'Control Room'!$A$16+'Control Room'!$B$16,'Process'!BO5=1),1+('Control Room'!$C$16-1)*EXP(-0.5*(($A480-'Control Room'!$A$16-('Control Room'!$B$16-1)/2)/MAX(0.5,'Control Room'!$B$16/4))^2),1)</x:f>
        <x:v>1</x:v>
      </x:c>
      <x:c r="AA480" s="9" t="n">
        <x:f>MOD(AB479*16807,2147483647)</x:f>
        <x:v>2000439998</x:v>
      </x:c>
      <x:c r="AB480" s="9" t="n">
        <x:f>MOD(AA480*16807,2147483647)</x:f>
        <x:v>391068954</x:v>
      </x:c>
      <x:c r="AC480" s="17" t="n">
        <x:f>IF('Control Room'!$B$5="Normal",'Control Room'!$B$7+'Control Room'!$D$7*SQRT(-2*LN(MAX(0.000000000001,AA480/2147483647)))*COS(2*PI()*AB480/2147483647),'Control Room'!$B$8+('Control Room'!$D$8-'Control Room'!$B$8)*AA480/2147483647)</x:f>
        <x:v>1014.0259262620073</x:v>
      </x:c>
      <x:c r="AD480" s="17" t="n">
        <x:f>IF('Control Room'!$B$5="Normal",'Control Room'!$B$7,('Control Room'!$B$8+'Control Room'!$D$8)/2)+'Control Room'!$B$9*(AD479-IF('Control Room'!$B$5="Normal",'Control Room'!$B$7,('Control Room'!$B$8+'Control Room'!$D$8)/2))+SQRT(1-'Control Room'!$B$9^2)*(AC480-IF('Control Room'!$B$5="Normal",'Control Room'!$B$7,('Control Room'!$B$8+'Control Room'!$D$8)/2))</x:f>
        <x:v>972.7997125520272</x:v>
      </x:c>
      <x:c r="AE480" s="17" t="n">
        <x:f>IF(AND($A480&gt;='Control Room'!$A$13,$A480&lt;'Control Room'!$A$13+'Control Room'!$B$13,'Process'!BP2=1),1+('Control Room'!$C$13-1)*EXP(-0.5*(($A480-'Control Room'!$A$13-('Control Room'!$B$13-1)/2)/MAX(0.5,'Control Room'!$B$13/4))^2),1)*IF(AND($A480&gt;='Control Room'!$A$14,$A480&lt;'Control Room'!$A$14+'Control Room'!$B$14,'Process'!BP3=1),1+('Control Room'!$C$14-1)*EXP(-0.5*(($A480-'Control Room'!$A$14-('Control Room'!$B$14-1)/2)/MAX(0.5,'Control Room'!$B$14/4))^2),1)*IF(AND($A480&gt;='Control Room'!$A$15,$A480&lt;'Control Room'!$A$15+'Control Room'!$B$15,'Process'!BP4=1),1+('Control Room'!$C$15-1)*EXP(-0.5*(($A480-'Control Room'!$A$15-('Control Room'!$B$15-1)/2)/MAX(0.5,'Control Room'!$B$15/4))^2),1)*IF(AND($A480&gt;='Control Room'!$A$16,$A480&lt;'Control Room'!$A$16+'Control Room'!$B$16,'Process'!BP5=1),1+('Control Room'!$C$16-1)*EXP(-0.5*(($A480-'Control Room'!$A$16-('Control Room'!$B$16-1)/2)/MAX(0.5,'Control Room'!$B$16/4))^2),1)</x:f>
        <x:v>1</x:v>
      </x:c>
      <x:c r="AF480" s="9" t="n">
        <x:f>MOD(AG479*16807,2147483647)</x:f>
        <x:v>1373311252</x:v>
      </x:c>
      <x:c r="AG480" s="9" t="n">
        <x:f>MOD(AF480*16807,2147483647)</x:f>
        <x:v>87974408</x:v>
      </x:c>
      <x:c r="AH480" s="17" t="n">
        <x:f>IF('Control Room'!$B$5="Normal",'Control Room'!$B$7+'Control Room'!$D$7*SQRT(-2*LN(MAX(0.000000000001,AF480/2147483647)))*COS(2*PI()*AG480/2147483647),'Control Room'!$B$8+('Control Room'!$D$8-'Control Room'!$B$8)*AF480/2147483647)</x:f>
        <x:v>1082.299576846384</x:v>
      </x:c>
      <x:c r="AI480" s="17" t="n">
        <x:f>IF('Control Room'!$B$5="Normal",'Control Room'!$B$7,('Control Room'!$B$8+'Control Room'!$D$8)/2)+'Control Room'!$B$9*(AI479-IF('Control Room'!$B$5="Normal",'Control Room'!$B$7,('Control Room'!$B$8+'Control Room'!$D$8)/2))+SQRT(1-'Control Room'!$B$9^2)*(AH480-IF('Control Room'!$B$5="Normal",'Control Room'!$B$7,('Control Room'!$B$8+'Control Room'!$D$8)/2))</x:f>
        <x:v>1032.1372656840688</x:v>
      </x:c>
      <x:c r="AJ480" s="17" t="n">
        <x:f>IF(AND($A480&gt;='Control Room'!$A$13,$A480&lt;'Control Room'!$A$13+'Control Room'!$B$13,'Process'!BQ2=1),1+('Control Room'!$C$13-1)*EXP(-0.5*(($A480-'Control Room'!$A$13-('Control Room'!$B$13-1)/2)/MAX(0.5,'Control Room'!$B$13/4))^2),1)*IF(AND($A480&gt;='Control Room'!$A$14,$A480&lt;'Control Room'!$A$14+'Control Room'!$B$14,'Process'!BQ3=1),1+('Control Room'!$C$14-1)*EXP(-0.5*(($A480-'Control Room'!$A$14-('Control Room'!$B$14-1)/2)/MAX(0.5,'Control Room'!$B$14/4))^2),1)*IF(AND($A480&gt;='Control Room'!$A$15,$A480&lt;'Control Room'!$A$15+'Control Room'!$B$15,'Process'!BQ4=1),1+('Control Room'!$C$15-1)*EXP(-0.5*(($A480-'Control Room'!$A$15-('Control Room'!$B$15-1)/2)/MAX(0.5,'Control Room'!$B$15/4))^2),1)*IF(AND($A480&gt;='Control Room'!$A$16,$A480&lt;'Control Room'!$A$16+'Control Room'!$B$16,'Process'!BQ5=1),1+('Control Room'!$C$16-1)*EXP(-0.5*(($A480-'Control Room'!$A$16-('Control Room'!$B$16-1)/2)/MAX(0.5,'Control Room'!$B$16/4))^2),1)</x:f>
        <x:v>1</x:v>
      </x:c>
      <x:c r="AK480" s="9" t="n">
        <x:f>MOD(AL479*16807,2147483647)</x:f>
        <x:v>746182506</x:v>
      </x:c>
      <x:c r="AL480" s="9" t="n">
        <x:f>MOD(AK480*16807,2147483647)</x:f>
        <x:v>1932363509</x:v>
      </x:c>
      <x:c r="AM480" s="17" t="n">
        <x:f>IF('Control Room'!$B$5="Normal",'Control Room'!$B$7+'Control Room'!$D$7*SQRT(-2*LN(MAX(0.000000000001,AK480/2147483647)))*COS(2*PI()*AL480/2147483647),'Control Room'!$B$8+('Control Room'!$D$8-'Control Room'!$B$8)*AK480/2147483647)</x:f>
        <x:v>1105.7854263492948</x:v>
      </x:c>
      <x:c r="AN480" s="17" t="n">
        <x:f>IF('Control Room'!$B$5="Normal",'Control Room'!$B$7,('Control Room'!$B$8+'Control Room'!$D$8)/2)+'Control Room'!$B$9*(AN479-IF('Control Room'!$B$5="Normal",'Control Room'!$B$7,('Control Room'!$B$8+'Control Room'!$D$8)/2))+SQRT(1-'Control Room'!$B$9^2)*(AM480-IF('Control Room'!$B$5="Normal",'Control Room'!$B$7,('Control Room'!$B$8+'Control Room'!$D$8)/2))</x:f>
        <x:v>1097.9866027573532</x:v>
      </x:c>
      <x:c r="AO480" s="17" t="n">
        <x:f>IF(AND($A480&gt;='Control Room'!$A$13,$A480&lt;'Control Room'!$A$13+'Control Room'!$B$13,'Process'!BR2=1),1+('Control Room'!$C$13-1)*EXP(-0.5*(($A480-'Control Room'!$A$13-('Control Room'!$B$13-1)/2)/MAX(0.5,'Control Room'!$B$13/4))^2),1)*IF(AND($A480&gt;='Control Room'!$A$14,$A480&lt;'Control Room'!$A$14+'Control Room'!$B$14,'Process'!BR3=1),1+('Control Room'!$C$14-1)*EXP(-0.5*(($A480-'Control Room'!$A$14-('Control Room'!$B$14-1)/2)/MAX(0.5,'Control Room'!$B$14/4))^2),1)*IF(AND($A480&gt;='Control Room'!$A$15,$A480&lt;'Control Room'!$A$15+'Control Room'!$B$15,'Process'!BR4=1),1+('Control Room'!$C$15-1)*EXP(-0.5*(($A480-'Control Room'!$A$15-('Control Room'!$B$15-1)/2)/MAX(0.5,'Control Room'!$B$15/4))^2),1)*IF(AND($A480&gt;='Control Room'!$A$16,$A480&lt;'Control Room'!$A$16+'Control Room'!$B$16,'Process'!BR5=1),1+('Control Room'!$C$16-1)*EXP(-0.5*(($A480-'Control Room'!$A$16-('Control Room'!$B$16-1)/2)/MAX(0.5,'Control Room'!$B$16/4))^2),1)</x:f>
        <x:v>1</x:v>
      </x:c>
      <x:c r="AP480" s="9" t="n">
        <x:f>MOD(AQ479*16807,2147483647)</x:f>
        <x:v>119053760</x:v>
      </x:c>
      <x:c r="AQ480" s="9" t="n">
        <x:f>MOD(AP480*16807,2147483647)</x:f>
        <x:v>1629268963</x:v>
      </x:c>
      <x:c r="AR480" s="17" t="n">
        <x:f>IF('Control Room'!$B$5="Normal",'Control Room'!$B$7+'Control Room'!$D$7*SQRT(-2*LN(MAX(0.000000000001,AP480/2147483647)))*COS(2*PI()*AQ480/2147483647),'Control Room'!$B$8+('Control Room'!$D$8-'Control Room'!$B$8)*AP480/2147483647)</x:f>
        <x:v>1011.8100192775431</x:v>
      </x:c>
      <x:c r="AS480" s="17" t="n">
        <x:f>IF('Control Room'!$B$5="Normal",'Control Room'!$B$7,('Control Room'!$B$8+'Control Room'!$D$8)/2)+'Control Room'!$B$9*(AS479-IF('Control Room'!$B$5="Normal",'Control Room'!$B$7,('Control Room'!$B$8+'Control Room'!$D$8)/2))+SQRT(1-'Control Room'!$B$9^2)*(AR480-IF('Control Room'!$B$5="Normal",'Control Room'!$B$7,('Control Room'!$B$8+'Control Room'!$D$8)/2))</x:f>
        <x:v>935.6919844891506</x:v>
      </x:c>
      <x:c r="AT480" s="17" t="n">
        <x:f>IF(AND($A480&gt;='Control Room'!$A$13,$A480&lt;'Control Room'!$A$13+'Control Room'!$B$13,'Process'!BS2=1),1+('Control Room'!$C$13-1)*EXP(-0.5*(($A480-'Control Room'!$A$13-('Control Room'!$B$13-1)/2)/MAX(0.5,'Control Room'!$B$13/4))^2),1)*IF(AND($A480&gt;='Control Room'!$A$14,$A480&lt;'Control Room'!$A$14+'Control Room'!$B$14,'Process'!BS3=1),1+('Control Room'!$C$14-1)*EXP(-0.5*(($A480-'Control Room'!$A$14-('Control Room'!$B$14-1)/2)/MAX(0.5,'Control Room'!$B$14/4))^2),1)*IF(AND($A480&gt;='Control Room'!$A$15,$A480&lt;'Control Room'!$A$15+'Control Room'!$B$15,'Process'!BS4=1),1+('Control Room'!$C$15-1)*EXP(-0.5*(($A480-'Control Room'!$A$15-('Control Room'!$B$15-1)/2)/MAX(0.5,'Control Room'!$B$15/4))^2),1)*IF(AND($A480&gt;='Control Room'!$A$16,$A480&lt;'Control Room'!$A$16+'Control Room'!$B$16,'Process'!BS5=1),1+('Control Room'!$C$16-1)*EXP(-0.5*(($A480-'Control Room'!$A$16-('Control Room'!$B$16-1)/2)/MAX(0.5,'Control Room'!$B$16/4))^2),1)</x:f>
        <x:v>1</x:v>
      </x:c>
      <x:c r="AU480" s="9" t="n">
        <x:f>MOD(AV479*16807,2147483647)</x:f>
        <x:v>1639408661</x:v>
      </x:c>
      <x:c r="AV480" s="9" t="n">
        <x:f>MOD(AU480*16807,2147483647)</x:f>
        <x:v>1326174417</x:v>
      </x:c>
      <x:c r="AW480" s="17" t="n">
        <x:f>IF('Control Room'!$B$5="Normal",'Control Room'!$B$7+'Control Room'!$D$7*SQRT(-2*LN(MAX(0.000000000001,AU480/2147483647)))*COS(2*PI()*AV480/2147483647),'Control Room'!$B$8+('Control Room'!$D$8-'Control Room'!$B$8)*AU480/2147483647)</x:f>
        <x:v>951.100561307672</x:v>
      </x:c>
      <x:c r="AX480" s="17" t="n">
        <x:f>IF('Control Room'!$B$5="Normal",'Control Room'!$B$7,('Control Room'!$B$8+'Control Room'!$D$8)/2)+'Control Room'!$B$9*(AX479-IF('Control Room'!$B$5="Normal",'Control Room'!$B$7,('Control Room'!$B$8+'Control Room'!$D$8)/2))+SQRT(1-'Control Room'!$B$9^2)*(AW480-IF('Control Room'!$B$5="Normal",'Control Room'!$B$7,('Control Room'!$B$8+'Control Room'!$D$8)/2))</x:f>
        <x:v>1011.7443240042801</x:v>
      </x:c>
      <x:c r="AY480" s="17" t="n">
        <x:f>IF(AND($A480&gt;='Control Room'!$A$13,$A480&lt;'Control Room'!$A$13+'Control Room'!$B$13,'Process'!BT2=1),1+('Control Room'!$C$13-1)*EXP(-0.5*(($A480-'Control Room'!$A$13-('Control Room'!$B$13-1)/2)/MAX(0.5,'Control Room'!$B$13/4))^2),1)*IF(AND($A480&gt;='Control Room'!$A$14,$A480&lt;'Control Room'!$A$14+'Control Room'!$B$14,'Process'!BT3=1),1+('Control Room'!$C$14-1)*EXP(-0.5*(($A480-'Control Room'!$A$14-('Control Room'!$B$14-1)/2)/MAX(0.5,'Control Room'!$B$14/4))^2),1)*IF(AND($A480&gt;='Control Room'!$A$15,$A480&lt;'Control Room'!$A$15+'Control Room'!$B$15,'Process'!BT4=1),1+('Control Room'!$C$15-1)*EXP(-0.5*(($A480-'Control Room'!$A$15-('Control Room'!$B$15-1)/2)/MAX(0.5,'Control Room'!$B$15/4))^2),1)*IF(AND($A480&gt;='Control Room'!$A$16,$A480&lt;'Control Room'!$A$16+'Control Room'!$B$16,'Process'!BT5=1),1+('Control Room'!$C$16-1)*EXP(-0.5*(($A480-'Control Room'!$A$16-('Control Room'!$B$16-1)/2)/MAX(0.5,'Control Room'!$B$16/4))^2),1)</x:f>
        <x:v>1</x:v>
      </x:c>
      <x:c r="AZ480" s="9" t="n">
        <x:f>MOD(BA479*16807,2147483647)</x:f>
        <x:v>1012279915</x:v>
      </x:c>
      <x:c r="BA480" s="9" t="n">
        <x:f>MOD(AZ480*16807,2147483647)</x:f>
        <x:v>1023079871</x:v>
      </x:c>
      <x:c r="BB480" s="17" t="n">
        <x:f>IF('Control Room'!$B$5="Normal",'Control Room'!$B$7+'Control Room'!$D$7*SQRT(-2*LN(MAX(0.000000000001,AZ480/2147483647)))*COS(2*PI()*BA480/2147483647),'Control Room'!$B$8+('Control Room'!$D$8-'Control Room'!$B$8)*AZ480/2147483647)</x:f>
        <x:v>890.8297726586554</x:v>
      </x:c>
      <x:c r="BC480" s="17" t="n">
        <x:f>IF('Control Room'!$B$5="Normal",'Control Room'!$B$7,('Control Room'!$B$8+'Control Room'!$D$8)/2)+'Control Room'!$B$9*(BC479-IF('Control Room'!$B$5="Normal",'Control Room'!$B$7,('Control Room'!$B$8+'Control Room'!$D$8)/2))+SQRT(1-'Control Room'!$B$9^2)*(BB480-IF('Control Room'!$B$5="Normal",'Control Room'!$B$7,('Control Room'!$B$8+'Control Room'!$D$8)/2))</x:f>
        <x:v>1018.359482158425</x:v>
      </x:c>
      <x:c r="BD480" s="17" t="n">
        <x:f>IF(AND($A480&gt;='Control Room'!$A$13,$A480&lt;'Control Room'!$A$13+'Control Room'!$B$13,'Process'!BU2=1),1+('Control Room'!$C$13-1)*EXP(-0.5*(($A480-'Control Room'!$A$13-('Control Room'!$B$13-1)/2)/MAX(0.5,'Control Room'!$B$13/4))^2),1)*IF(AND($A480&gt;='Control Room'!$A$14,$A480&lt;'Control Room'!$A$14+'Control Room'!$B$14,'Process'!BU3=1),1+('Control Room'!$C$14-1)*EXP(-0.5*(($A480-'Control Room'!$A$14-('Control Room'!$B$14-1)/2)/MAX(0.5,'Control Room'!$B$14/4))^2),1)*IF(AND($A480&gt;='Control Room'!$A$15,$A480&lt;'Control Room'!$A$15+'Control Room'!$B$15,'Process'!BU4=1),1+('Control Room'!$C$15-1)*EXP(-0.5*(($A480-'Control Room'!$A$15-('Control Room'!$B$15-1)/2)/MAX(0.5,'Control Room'!$B$15/4))^2),1)*IF(AND($A480&gt;='Control Room'!$A$16,$A480&lt;'Control Room'!$A$16+'Control Room'!$B$16,'Process'!BU5=1),1+('Control Room'!$C$16-1)*EXP(-0.5*(($A480-'Control Room'!$A$16-('Control Room'!$B$16-1)/2)/MAX(0.5,'Control Room'!$B$16/4))^2),1)</x:f>
        <x:v>1</x:v>
      </x:c>
      <x:c r="BE480" s="9" t="n">
        <x:f>MOD(BF479*16807,2147483647)</x:f>
        <x:v>385151169</x:v>
      </x:c>
      <x:c r="BF480" s="9" t="n">
        <x:f>MOD(BE480*16807,2147483647)</x:f>
        <x:v>719985325</x:v>
      </x:c>
      <x:c r="BG480" s="17" t="n">
        <x:f>IF('Control Room'!$B$5="Normal",'Control Room'!$B$7+'Control Room'!$D$7*SQRT(-2*LN(MAX(0.000000000001,BE480/2147483647)))*COS(2*PI()*BF480/2147483647),'Control Room'!$B$8+('Control Room'!$D$8-'Control Room'!$B$8)*BE480/2147483647)</x:f>
        <x:v>914.8244512662797</x:v>
      </x:c>
      <x:c r="BH480" s="17" t="n">
        <x:f>IF('Control Room'!$B$5="Normal",'Control Room'!$B$7,('Control Room'!$B$8+'Control Room'!$D$8)/2)+'Control Room'!$B$9*(BH479-IF('Control Room'!$B$5="Normal",'Control Room'!$B$7,('Control Room'!$B$8+'Control Room'!$D$8)/2))+SQRT(1-'Control Room'!$B$9^2)*(BG480-IF('Control Room'!$B$5="Normal",'Control Room'!$B$7,('Control Room'!$B$8+'Control Room'!$D$8)/2))</x:f>
        <x:v>964.5911445496039</x:v>
      </x:c>
      <x:c r="BI480" s="17" t="n">
        <x:f>IF(AND($A480&gt;='Control Room'!$A$13,$A480&lt;'Control Room'!$A$13+'Control Room'!$B$13,'Process'!BV2=1),1+('Control Room'!$C$13-1)*EXP(-0.5*(($A480-'Control Room'!$A$13-('Control Room'!$B$13-1)/2)/MAX(0.5,'Control Room'!$B$13/4))^2),1)*IF(AND($A480&gt;='Control Room'!$A$14,$A480&lt;'Control Room'!$A$14+'Control Room'!$B$14,'Process'!BV3=1),1+('Control Room'!$C$14-1)*EXP(-0.5*(($A480-'Control Room'!$A$14-('Control Room'!$B$14-1)/2)/MAX(0.5,'Control Room'!$B$14/4))^2),1)*IF(AND($A480&gt;='Control Room'!$A$15,$A480&lt;'Control Room'!$A$15+'Control Room'!$B$15,'Process'!BV4=1),1+('Control Room'!$C$15-1)*EXP(-0.5*(($A480-'Control Room'!$A$15-('Control Room'!$B$15-1)/2)/MAX(0.5,'Control Room'!$B$15/4))^2),1)*IF(AND($A480&gt;='Control Room'!$A$16,$A480&lt;'Control Room'!$A$16+'Control Room'!$B$16,'Process'!BV5=1),1+('Control Room'!$C$16-1)*EXP(-0.5*(($A480-'Control Room'!$A$16-('Control Room'!$B$16-1)/2)/MAX(0.5,'Control Room'!$B$16/4))^2),1)</x:f>
        <x:v>1</x:v>
      </x:c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Z480" t="str">
        <x:f>IF('Data'!A480="","",TEXT('Data'!A480,"mm-dd"))</x:f>
      </x:c>
    </x:row>
    <x:row r="481" ht="21" customHeight="1">
      <x:c r="A481" s="15" t="n">
        <x:f>'Control Room'!$B$1+479</x:f>
        <x:v>73470</x:v>
      </x:c>
      <x:c r="B481" s="9" t="n">
        <x:f>MOD(C480*16807,2147483647)</x:f>
        <x:v>642586101</x:v>
      </x:c>
      <x:c r="C481" s="9" t="n">
        <x:f>MOD(B481*16807,2147483647)</x:f>
        <x:v>249338744</x:v>
      </x:c>
      <x:c r="D481" s="17" t="n">
        <x:f>IF('Control Room'!$B$5="Normal",'Control Room'!$B$7+'Control Room'!$D$7*SQRT(-2*LN(MAX(0.000000000001,B481/2147483647)))*COS(2*PI()*C481/2147483647),'Control Room'!$B$8+('Control Room'!$D$8-'Control Room'!$B$8)*B481/2147483647)</x:f>
        <x:v>1104.2252889838715</x:v>
      </x:c>
      <x:c r="E481" s="17" t="n">
        <x:f>IF('Control Room'!$B$5="Normal",'Control Room'!$B$7,('Control Room'!$B$8+'Control Room'!$D$8)/2)+'Control Room'!$B$9*(E480-IF('Control Room'!$B$5="Normal",'Control Room'!$B$7,('Control Room'!$B$8+'Control Room'!$D$8)/2))+SQRT(1-'Control Room'!$B$9^2)*(D481-IF('Control Room'!$B$5="Normal",'Control Room'!$B$7,('Control Room'!$B$8+'Control Room'!$D$8)/2))</x:f>
        <x:v>1142.1910876873694</x:v>
      </x:c>
      <x:c r="F481" s="17" t="n">
        <x:f>IF(AND($A481&gt;='Control Room'!$A$13,$A481&lt;'Control Room'!$A$13+'Control Room'!$B$13,'Process'!BK2=1),1+('Control Room'!$C$13-1)*EXP(-0.5*(($A481-'Control Room'!$A$13-('Control Room'!$B$13-1)/2)/MAX(0.5,'Control Room'!$B$13/4))^2),1)*IF(AND($A481&gt;='Control Room'!$A$14,$A481&lt;'Control Room'!$A$14+'Control Room'!$B$14,'Process'!BK3=1),1+('Control Room'!$C$14-1)*EXP(-0.5*(($A481-'Control Room'!$A$14-('Control Room'!$B$14-1)/2)/MAX(0.5,'Control Room'!$B$14/4))^2),1)*IF(AND($A481&gt;='Control Room'!$A$15,$A481&lt;'Control Room'!$A$15+'Control Room'!$B$15,'Process'!BK4=1),1+('Control Room'!$C$15-1)*EXP(-0.5*(($A481-'Control Room'!$A$15-('Control Room'!$B$15-1)/2)/MAX(0.5,'Control Room'!$B$15/4))^2),1)*IF(AND($A481&gt;='Control Room'!$A$16,$A481&lt;'Control Room'!$A$16+'Control Room'!$B$16,'Process'!BK5=1),1+('Control Room'!$C$16-1)*EXP(-0.5*(($A481-'Control Room'!$A$16-('Control Room'!$B$16-1)/2)/MAX(0.5,'Control Room'!$B$16/4))^2),1)</x:f>
        <x:v>1</x:v>
      </x:c>
      <x:c r="G481" s="9" t="n">
        <x:f>MOD(H480*16807,2147483647)</x:f>
        <x:v>363762163</x:v>
      </x:c>
      <x:c r="H481" s="9" t="n">
        <x:f>MOD(G481*16807,2147483647)</x:f>
        <x:v>2012214179</x:v>
      </x:c>
      <x:c r="I481" s="17" t="n">
        <x:f>IF('Control Room'!$B$5="Normal",'Control Room'!$B$7+'Control Room'!$D$7*SQRT(-2*LN(MAX(0.000000000001,G481/2147483647)))*COS(2*PI()*H481/2147483647),'Control Room'!$B$8+('Control Room'!$D$8-'Control Room'!$B$8)*G481/2147483647)</x:f>
        <x:v>1156.4889045946659</x:v>
      </x:c>
      <x:c r="J481" s="17" t="n">
        <x:f>IF('Control Room'!$B$5="Normal",'Control Room'!$B$7,('Control Room'!$B$8+'Control Room'!$D$8)/2)+'Control Room'!$B$9*(J480-IF('Control Room'!$B$5="Normal",'Control Room'!$B$7,('Control Room'!$B$8+'Control Room'!$D$8)/2))+SQRT(1-'Control Room'!$B$9^2)*(I481-IF('Control Room'!$B$5="Normal",'Control Room'!$B$7,('Control Room'!$B$8+'Control Room'!$D$8)/2))</x:f>
        <x:v>1094.647444597641</x:v>
      </x:c>
      <x:c r="K481" s="17" t="n">
        <x:f>IF(AND($A481&gt;='Control Room'!$A$13,$A481&lt;'Control Room'!$A$13+'Control Room'!$B$13,'Process'!BL2=1),1+('Control Room'!$C$13-1)*EXP(-0.5*(($A481-'Control Room'!$A$13-('Control Room'!$B$13-1)/2)/MAX(0.5,'Control Room'!$B$13/4))^2),1)*IF(AND($A481&gt;='Control Room'!$A$14,$A481&lt;'Control Room'!$A$14+'Control Room'!$B$14,'Process'!BL3=1),1+('Control Room'!$C$14-1)*EXP(-0.5*(($A481-'Control Room'!$A$14-('Control Room'!$B$14-1)/2)/MAX(0.5,'Control Room'!$B$14/4))^2),1)*IF(AND($A481&gt;='Control Room'!$A$15,$A481&lt;'Control Room'!$A$15+'Control Room'!$B$15,'Process'!BL4=1),1+('Control Room'!$C$15-1)*EXP(-0.5*(($A481-'Control Room'!$A$15-('Control Room'!$B$15-1)/2)/MAX(0.5,'Control Room'!$B$15/4))^2),1)*IF(AND($A481&gt;='Control Room'!$A$16,$A481&lt;'Control Room'!$A$16+'Control Room'!$B$16,'Process'!BL5=1),1+('Control Room'!$C$16-1)*EXP(-0.5*(($A481-'Control Room'!$A$16-('Control Room'!$B$16-1)/2)/MAX(0.5,'Control Room'!$B$16/4))^2),1)</x:f>
        <x:v>1</x:v>
      </x:c>
      <x:c r="L481" s="9" t="n">
        <x:f>MOD(M480*16807,2147483647)</x:f>
        <x:v>84938225</x:v>
      </x:c>
      <x:c r="M481" s="9" t="n">
        <x:f>MOD(L481*16807,2147483647)</x:f>
        <x:v>1627605967</x:v>
      </x:c>
      <x:c r="N481" s="17" t="n">
        <x:f>IF('Control Room'!$B$5="Normal",'Control Room'!$B$7+'Control Room'!$D$7*SQRT(-2*LN(MAX(0.000000000001,L481/2147483647)))*COS(2*PI()*M481/2147483647),'Control Room'!$B$8+('Control Room'!$D$8-'Control Room'!$B$8)*L481/2147483647)</x:f>
        <x:v>1011.3687940338268</x:v>
      </x:c>
      <x:c r="O481" s="17" t="n">
        <x:f>IF('Control Room'!$B$5="Normal",'Control Room'!$B$7,('Control Room'!$B$8+'Control Room'!$D$8)/2)+'Control Room'!$B$9*(O480-IF('Control Room'!$B$5="Normal",'Control Room'!$B$7,('Control Room'!$B$8+'Control Room'!$D$8)/2))+SQRT(1-'Control Room'!$B$9^2)*(N481-IF('Control Room'!$B$5="Normal",'Control Room'!$B$7,('Control Room'!$B$8+'Control Room'!$D$8)/2))</x:f>
        <x:v>945.6957920965511</x:v>
      </x:c>
      <x:c r="P481" s="17" t="n">
        <x:f>IF(AND($A481&gt;='Control Room'!$A$13,$A481&lt;'Control Room'!$A$13+'Control Room'!$B$13,'Process'!BM2=1),1+('Control Room'!$C$13-1)*EXP(-0.5*(($A481-'Control Room'!$A$13-('Control Room'!$B$13-1)/2)/MAX(0.5,'Control Room'!$B$13/4))^2),1)*IF(AND($A481&gt;='Control Room'!$A$14,$A481&lt;'Control Room'!$A$14+'Control Room'!$B$14,'Process'!BM3=1),1+('Control Room'!$C$14-1)*EXP(-0.5*(($A481-'Control Room'!$A$14-('Control Room'!$B$14-1)/2)/MAX(0.5,'Control Room'!$B$14/4))^2),1)*IF(AND($A481&gt;='Control Room'!$A$15,$A481&lt;'Control Room'!$A$15+'Control Room'!$B$15,'Process'!BM4=1),1+('Control Room'!$C$15-1)*EXP(-0.5*(($A481-'Control Room'!$A$15-('Control Room'!$B$15-1)/2)/MAX(0.5,'Control Room'!$B$15/4))^2),1)*IF(AND($A481&gt;='Control Room'!$A$16,$A481&lt;'Control Room'!$A$16+'Control Room'!$B$16,'Process'!BM5=1),1+('Control Room'!$C$16-1)*EXP(-0.5*(($A481-'Control Room'!$A$16-('Control Room'!$B$16-1)/2)/MAX(0.5,'Control Room'!$B$16/4))^2),1)</x:f>
        <x:v>1</x:v>
      </x:c>
      <x:c r="Q481" s="9" t="n">
        <x:f>MOD(R480*16807,2147483647)</x:f>
        <x:v>1953597934</x:v>
      </x:c>
      <x:c r="R481" s="9" t="n">
        <x:f>MOD(Q481*16807,2147483647)</x:f>
        <x:v>1242997755</x:v>
      </x:c>
      <x:c r="S481" s="17" t="n">
        <x:f>IF('Control Room'!$B$5="Normal",'Control Room'!$B$7+'Control Room'!$D$7*SQRT(-2*LN(MAX(0.000000000001,Q481/2147483647)))*COS(2*PI()*R481/2147483647),'Control Room'!$B$8+('Control Room'!$D$8-'Control Room'!$B$8)*Q481/2147483647)</x:f>
        <x:v>965.5511344284031</x:v>
      </x:c>
      <x:c r="T481" s="17" t="n">
        <x:f>IF('Control Room'!$B$5="Normal",'Control Room'!$B$7,('Control Room'!$B$8+'Control Room'!$D$8)/2)+'Control Room'!$B$9*(T480-IF('Control Room'!$B$5="Normal",'Control Room'!$B$7,('Control Room'!$B$8+'Control Room'!$D$8)/2))+SQRT(1-'Control Room'!$B$9^2)*(S481-IF('Control Room'!$B$5="Normal",'Control Room'!$B$7,('Control Room'!$B$8+'Control Room'!$D$8)/2))</x:f>
        <x:v>939.3811526528837</x:v>
      </x:c>
      <x:c r="U481" s="17" t="n">
        <x:f>IF(AND($A481&gt;='Control Room'!$A$13,$A481&lt;'Control Room'!$A$13+'Control Room'!$B$13,'Process'!BN2=1),1+('Control Room'!$C$13-1)*EXP(-0.5*(($A481-'Control Room'!$A$13-('Control Room'!$B$13-1)/2)/MAX(0.5,'Control Room'!$B$13/4))^2),1)*IF(AND($A481&gt;='Control Room'!$A$14,$A481&lt;'Control Room'!$A$14+'Control Room'!$B$14,'Process'!BN3=1),1+('Control Room'!$C$14-1)*EXP(-0.5*(($A481-'Control Room'!$A$14-('Control Room'!$B$14-1)/2)/MAX(0.5,'Control Room'!$B$14/4))^2),1)*IF(AND($A481&gt;='Control Room'!$A$15,$A481&lt;'Control Room'!$A$15+'Control Room'!$B$15,'Process'!BN4=1),1+('Control Room'!$C$15-1)*EXP(-0.5*(($A481-'Control Room'!$A$15-('Control Room'!$B$15-1)/2)/MAX(0.5,'Control Room'!$B$15/4))^2),1)*IF(AND($A481&gt;='Control Room'!$A$16,$A481&lt;'Control Room'!$A$16+'Control Room'!$B$16,'Process'!BN5=1),1+('Control Room'!$C$16-1)*EXP(-0.5*(($A481-'Control Room'!$A$16-('Control Room'!$B$16-1)/2)/MAX(0.5,'Control Room'!$B$16/4))^2),1)</x:f>
        <x:v>1</x:v>
      </x:c>
      <x:c r="V481" s="9" t="n">
        <x:f>MOD(W480*16807,2147483647)</x:f>
        <x:v>1674773996</x:v>
      </x:c>
      <x:c r="W481" s="9" t="n">
        <x:f>MOD(V481*16807,2147483647)</x:f>
        <x:v>858389543</x:v>
      </x:c>
      <x:c r="X481" s="17" t="n">
        <x:f>IF('Control Room'!$B$5="Normal",'Control Room'!$B$7+'Control Room'!$D$7*SQRT(-2*LN(MAX(0.000000000001,V481/2147483647)))*COS(2*PI()*W481/2147483647),'Control Room'!$B$8+('Control Room'!$D$8-'Control Room'!$B$8)*V481/2147483647)</x:f>
        <x:v>948.7229149202356</x:v>
      </x:c>
      <x:c r="Y481" s="17" t="n">
        <x:f>IF('Control Room'!$B$5="Normal",'Control Room'!$B$7,('Control Room'!$B$8+'Control Room'!$D$8)/2)+'Control Room'!$B$9*(Y480-IF('Control Room'!$B$5="Normal",'Control Room'!$B$7,('Control Room'!$B$8+'Control Room'!$D$8)/2))+SQRT(1-'Control Room'!$B$9^2)*(X481-IF('Control Room'!$B$5="Normal",'Control Room'!$B$7,('Control Room'!$B$8+'Control Room'!$D$8)/2))</x:f>
        <x:v>838.1925100761441</x:v>
      </x:c>
      <x:c r="Z481" s="17" t="n">
        <x:f>IF(AND($A481&gt;='Control Room'!$A$13,$A481&lt;'Control Room'!$A$13+'Control Room'!$B$13,'Process'!BO2=1),1+('Control Room'!$C$13-1)*EXP(-0.5*(($A481-'Control Room'!$A$13-('Control Room'!$B$13-1)/2)/MAX(0.5,'Control Room'!$B$13/4))^2),1)*IF(AND($A481&gt;='Control Room'!$A$14,$A481&lt;'Control Room'!$A$14+'Control Room'!$B$14,'Process'!BO3=1),1+('Control Room'!$C$14-1)*EXP(-0.5*(($A481-'Control Room'!$A$14-('Control Room'!$B$14-1)/2)/MAX(0.5,'Control Room'!$B$14/4))^2),1)*IF(AND($A481&gt;='Control Room'!$A$15,$A481&lt;'Control Room'!$A$15+'Control Room'!$B$15,'Process'!BO4=1),1+('Control Room'!$C$15-1)*EXP(-0.5*(($A481-'Control Room'!$A$15-('Control Room'!$B$15-1)/2)/MAX(0.5,'Control Room'!$B$15/4))^2),1)*IF(AND($A481&gt;='Control Room'!$A$16,$A481&lt;'Control Room'!$A$16+'Control Room'!$B$16,'Process'!BO5=1),1+('Control Room'!$C$16-1)*EXP(-0.5*(($A481-'Control Room'!$A$16-('Control Room'!$B$16-1)/2)/MAX(0.5,'Control Room'!$B$16/4))^2),1)</x:f>
        <x:v>1</x:v>
      </x:c>
      <x:c r="AA481" s="9" t="n">
        <x:f>MOD(AB480*16807,2147483647)</x:f>
        <x:v>1395950058</x:v>
      </x:c>
      <x:c r="AB481" s="9" t="n">
        <x:f>MOD(AA481*16807,2147483647)</x:f>
        <x:v>473781331</x:v>
      </x:c>
      <x:c r="AC481" s="17" t="n">
        <x:f>IF('Control Room'!$B$5="Normal",'Control Room'!$B$7+'Control Room'!$D$7*SQRT(-2*LN(MAX(0.000000000001,AA481/2147483647)))*COS(2*PI()*AB481/2147483647),'Control Room'!$B$8+('Control Room'!$D$8-'Control Room'!$B$8)*AA481/2147483647)</x:f>
        <x:v>1015.3318415251343</x:v>
      </x:c>
      <x:c r="AD481" s="17" t="n">
        <x:f>IF('Control Room'!$B$5="Normal",'Control Room'!$B$7,('Control Room'!$B$8+'Control Room'!$D$8)/2)+'Control Room'!$B$9*(AD480-IF('Control Room'!$B$5="Normal",'Control Room'!$B$7,('Control Room'!$B$8+'Control Room'!$D$8)/2))+SQRT(1-'Control Room'!$B$9^2)*(AC481-IF('Control Room'!$B$5="Normal",'Control Room'!$B$7,('Control Room'!$B$8+'Control Room'!$D$8)/2))</x:f>
        <x:v>988.3781281271644</x:v>
      </x:c>
      <x:c r="AE481" s="17" t="n">
        <x:f>IF(AND($A481&gt;='Control Room'!$A$13,$A481&lt;'Control Room'!$A$13+'Control Room'!$B$13,'Process'!BP2=1),1+('Control Room'!$C$13-1)*EXP(-0.5*(($A481-'Control Room'!$A$13-('Control Room'!$B$13-1)/2)/MAX(0.5,'Control Room'!$B$13/4))^2),1)*IF(AND($A481&gt;='Control Room'!$A$14,$A481&lt;'Control Room'!$A$14+'Control Room'!$B$14,'Process'!BP3=1),1+('Control Room'!$C$14-1)*EXP(-0.5*(($A481-'Control Room'!$A$14-('Control Room'!$B$14-1)/2)/MAX(0.5,'Control Room'!$B$14/4))^2),1)*IF(AND($A481&gt;='Control Room'!$A$15,$A481&lt;'Control Room'!$A$15+'Control Room'!$B$15,'Process'!BP4=1),1+('Control Room'!$C$15-1)*EXP(-0.5*(($A481-'Control Room'!$A$15-('Control Room'!$B$15-1)/2)/MAX(0.5,'Control Room'!$B$15/4))^2),1)*IF(AND($A481&gt;='Control Room'!$A$16,$A481&lt;'Control Room'!$A$16+'Control Room'!$B$16,'Process'!BP5=1),1+('Control Room'!$C$16-1)*EXP(-0.5*(($A481-'Control Room'!$A$16-('Control Room'!$B$16-1)/2)/MAX(0.5,'Control Room'!$B$16/4))^2),1)</x:f>
        <x:v>1</x:v>
      </x:c>
      <x:c r="AF481" s="9" t="n">
        <x:f>MOD(AG480*16807,2147483647)</x:f>
        <x:v>1117126120</x:v>
      </x:c>
      <x:c r="AG481" s="9" t="n">
        <x:f>MOD(AF481*16807,2147483647)</x:f>
        <x:v>89173119</x:v>
      </x:c>
      <x:c r="AH481" s="17" t="n">
        <x:f>IF('Control Room'!$B$5="Normal",'Control Room'!$B$7+'Control Room'!$D$7*SQRT(-2*LN(MAX(0.000000000001,AF481/2147483647)))*COS(2*PI()*AG481/2147483647),'Control Room'!$B$8+('Control Room'!$D$8-'Control Room'!$B$8)*AF481/2147483647)</x:f>
        <x:v>1099.4123342887058</x:v>
      </x:c>
      <x:c r="AI481" s="17" t="n">
        <x:f>IF('Control Room'!$B$5="Normal",'Control Room'!$B$7,('Control Room'!$B$8+'Control Room'!$D$8)/2)+'Control Room'!$B$9*(AI480-IF('Control Room'!$B$5="Normal",'Control Room'!$B$7,('Control Room'!$B$8+'Control Room'!$D$8)/2))+SQRT(1-'Control Room'!$B$9^2)*(AH481-IF('Control Room'!$B$5="Normal",'Control Room'!$B$7,('Control Room'!$B$8+'Control Room'!$D$8)/2))</x:f>
        <x:v>1087.2772694590803</x:v>
      </x:c>
      <x:c r="AJ481" s="17" t="n">
        <x:f>IF(AND($A481&gt;='Control Room'!$A$13,$A481&lt;'Control Room'!$A$13+'Control Room'!$B$13,'Process'!BQ2=1),1+('Control Room'!$C$13-1)*EXP(-0.5*(($A481-'Control Room'!$A$13-('Control Room'!$B$13-1)/2)/MAX(0.5,'Control Room'!$B$13/4))^2),1)*IF(AND($A481&gt;='Control Room'!$A$14,$A481&lt;'Control Room'!$A$14+'Control Room'!$B$14,'Process'!BQ3=1),1+('Control Room'!$C$14-1)*EXP(-0.5*(($A481-'Control Room'!$A$14-('Control Room'!$B$14-1)/2)/MAX(0.5,'Control Room'!$B$14/4))^2),1)*IF(AND($A481&gt;='Control Room'!$A$15,$A481&lt;'Control Room'!$A$15+'Control Room'!$B$15,'Process'!BQ4=1),1+('Control Room'!$C$15-1)*EXP(-0.5*(($A481-'Control Room'!$A$15-('Control Room'!$B$15-1)/2)/MAX(0.5,'Control Room'!$B$15/4))^2),1)*IF(AND($A481&gt;='Control Room'!$A$16,$A481&lt;'Control Room'!$A$16+'Control Room'!$B$16,'Process'!BQ5=1),1+('Control Room'!$C$16-1)*EXP(-0.5*(($A481-'Control Room'!$A$16-('Control Room'!$B$16-1)/2)/MAX(0.5,'Control Room'!$B$16/4))^2),1)</x:f>
        <x:v>1</x:v>
      </x:c>
      <x:c r="AK481" s="9" t="n">
        <x:f>MOD(AL480*16807,2147483647)</x:f>
        <x:v>838302182</x:v>
      </x:c>
      <x:c r="AL481" s="9" t="n">
        <x:f>MOD(AK481*16807,2147483647)</x:f>
        <x:v>1852048554</x:v>
      </x:c>
      <x:c r="AM481" s="17" t="n">
        <x:f>IF('Control Room'!$B$5="Normal",'Control Room'!$B$7+'Control Room'!$D$7*SQRT(-2*LN(MAX(0.000000000001,AK481/2147483647)))*COS(2*PI()*AL481/2147483647),'Control Room'!$B$8+('Control Room'!$D$8-'Control Room'!$B$8)*AK481/2147483647)</x:f>
        <x:v>1080.128870415326</x:v>
      </x:c>
      <x:c r="AN481" s="17" t="n">
        <x:f>IF('Control Room'!$B$5="Normal",'Control Room'!$B$7,('Control Room'!$B$8+'Control Room'!$D$8)/2)+'Control Room'!$B$9*(AN480-IF('Control Room'!$B$5="Normal",'Control Room'!$B$7,('Control Room'!$B$8+'Control Room'!$D$8)/2))+SQRT(1-'Control Room'!$B$9^2)*(AM481-IF('Control Room'!$B$5="Normal",'Control Room'!$B$7,('Control Room'!$B$8+'Control Room'!$D$8)/2))</x:f>
        <x:v>1126.5725557275111</x:v>
      </x:c>
      <x:c r="AO481" s="17" t="n">
        <x:f>IF(AND($A481&gt;='Control Room'!$A$13,$A481&lt;'Control Room'!$A$13+'Control Room'!$B$13,'Process'!BR2=1),1+('Control Room'!$C$13-1)*EXP(-0.5*(($A481-'Control Room'!$A$13-('Control Room'!$B$13-1)/2)/MAX(0.5,'Control Room'!$B$13/4))^2),1)*IF(AND($A481&gt;='Control Room'!$A$14,$A481&lt;'Control Room'!$A$14+'Control Room'!$B$14,'Process'!BR3=1),1+('Control Room'!$C$14-1)*EXP(-0.5*(($A481-'Control Room'!$A$14-('Control Room'!$B$14-1)/2)/MAX(0.5,'Control Room'!$B$14/4))^2),1)*IF(AND($A481&gt;='Control Room'!$A$15,$A481&lt;'Control Room'!$A$15+'Control Room'!$B$15,'Process'!BR4=1),1+('Control Room'!$C$15-1)*EXP(-0.5*(($A481-'Control Room'!$A$15-('Control Room'!$B$15-1)/2)/MAX(0.5,'Control Room'!$B$15/4))^2),1)*IF(AND($A481&gt;='Control Room'!$A$16,$A481&lt;'Control Room'!$A$16+'Control Room'!$B$16,'Process'!BR5=1),1+('Control Room'!$C$16-1)*EXP(-0.5*(($A481-'Control Room'!$A$16-('Control Room'!$B$16-1)/2)/MAX(0.5,'Control Room'!$B$16/4))^2),1)</x:f>
        <x:v>1</x:v>
      </x:c>
      <x:c r="AP481" s="9" t="n">
        <x:f>MOD(AQ480*16807,2147483647)</x:f>
        <x:v>559478244</x:v>
      </x:c>
      <x:c r="AQ481" s="9" t="n">
        <x:f>MOD(AP481*16807,2147483647)</x:f>
        <x:v>1467440342</x:v>
      </x:c>
      <x:c r="AR481" s="17" t="n">
        <x:f>IF('Control Room'!$B$5="Normal",'Control Room'!$B$7+'Control Room'!$D$7*SQRT(-2*LN(MAX(0.000000000001,AP481/2147483647)))*COS(2*PI()*AQ481/2147483647),'Control Room'!$B$8+('Control Room'!$D$8-'Control Room'!$B$8)*AP481/2147483647)</x:f>
        <x:v>939.9574600394624</x:v>
      </x:c>
      <x:c r="AS481" s="17" t="n">
        <x:f>IF('Control Room'!$B$5="Normal",'Control Room'!$B$7,('Control Room'!$B$8+'Control Room'!$D$8)/2)+'Control Room'!$B$9*(AS480-IF('Control Room'!$B$5="Normal",'Control Room'!$B$7,('Control Room'!$B$8+'Control Room'!$D$8)/2))+SQRT(1-'Control Room'!$B$9^2)*(AR481-IF('Control Room'!$B$5="Normal",'Control Room'!$B$7,('Control Room'!$B$8+'Control Room'!$D$8)/2))</x:f>
        <x:v>912.2663564325227</x:v>
      </x:c>
      <x:c r="AT481" s="17" t="n">
        <x:f>IF(AND($A481&gt;='Control Room'!$A$13,$A481&lt;'Control Room'!$A$13+'Control Room'!$B$13,'Process'!BS2=1),1+('Control Room'!$C$13-1)*EXP(-0.5*(($A481-'Control Room'!$A$13-('Control Room'!$B$13-1)/2)/MAX(0.5,'Control Room'!$B$13/4))^2),1)*IF(AND($A481&gt;='Control Room'!$A$14,$A481&lt;'Control Room'!$A$14+'Control Room'!$B$14,'Process'!BS3=1),1+('Control Room'!$C$14-1)*EXP(-0.5*(($A481-'Control Room'!$A$14-('Control Room'!$B$14-1)/2)/MAX(0.5,'Control Room'!$B$14/4))^2),1)*IF(AND($A481&gt;='Control Room'!$A$15,$A481&lt;'Control Room'!$A$15+'Control Room'!$B$15,'Process'!BS4=1),1+('Control Room'!$C$15-1)*EXP(-0.5*(($A481-'Control Room'!$A$15-('Control Room'!$B$15-1)/2)/MAX(0.5,'Control Room'!$B$15/4))^2),1)*IF(AND($A481&gt;='Control Room'!$A$16,$A481&lt;'Control Room'!$A$16+'Control Room'!$B$16,'Process'!BS5=1),1+('Control Room'!$C$16-1)*EXP(-0.5*(($A481-'Control Room'!$A$16-('Control Room'!$B$16-1)/2)/MAX(0.5,'Control Room'!$B$16/4))^2),1)</x:f>
        <x:v>1</x:v>
      </x:c>
      <x:c r="AU481" s="9" t="n">
        <x:f>MOD(AV480*16807,2147483647)</x:f>
        <x:v>280654306</x:v>
      </x:c>
      <x:c r="AV481" s="9" t="n">
        <x:f>MOD(AU481*16807,2147483647)</x:f>
        <x:v>1082832130</x:v>
      </x:c>
      <x:c r="AW481" s="17" t="n">
        <x:f>IF('Control Room'!$B$5="Normal",'Control Room'!$B$7+'Control Room'!$D$7*SQRT(-2*LN(MAX(0.000000000001,AU481/2147483647)))*COS(2*PI()*AV481/2147483647),'Control Room'!$B$8+('Control Room'!$D$8-'Control Room'!$B$8)*AU481/2147483647)</x:f>
        <x:v>818.4992417675459</x:v>
      </x:c>
      <x:c r="AX481" s="17" t="n">
        <x:f>IF('Control Room'!$B$5="Normal",'Control Room'!$B$7,('Control Room'!$B$8+'Control Room'!$D$8)/2)+'Control Room'!$B$9*(AX480-IF('Control Room'!$B$5="Normal",'Control Room'!$B$7,('Control Room'!$B$8+'Control Room'!$D$8)/2))+SQRT(1-'Control Room'!$B$9^2)*(AW481-IF('Control Room'!$B$5="Normal",'Control Room'!$B$7,('Control Room'!$B$8+'Control Room'!$D$8)/2))</x:f>
        <x:v>895.5811164666056</x:v>
      </x:c>
      <x:c r="AY481" s="17" t="n">
        <x:f>IF(AND($A481&gt;='Control Room'!$A$13,$A481&lt;'Control Room'!$A$13+'Control Room'!$B$13,'Process'!BT2=1),1+('Control Room'!$C$13-1)*EXP(-0.5*(($A481-'Control Room'!$A$13-('Control Room'!$B$13-1)/2)/MAX(0.5,'Control Room'!$B$13/4))^2),1)*IF(AND($A481&gt;='Control Room'!$A$14,$A481&lt;'Control Room'!$A$14+'Control Room'!$B$14,'Process'!BT3=1),1+('Control Room'!$C$14-1)*EXP(-0.5*(($A481-'Control Room'!$A$14-('Control Room'!$B$14-1)/2)/MAX(0.5,'Control Room'!$B$14/4))^2),1)*IF(AND($A481&gt;='Control Room'!$A$15,$A481&lt;'Control Room'!$A$15+'Control Room'!$B$15,'Process'!BT4=1),1+('Control Room'!$C$15-1)*EXP(-0.5*(($A481-'Control Room'!$A$15-('Control Room'!$B$15-1)/2)/MAX(0.5,'Control Room'!$B$15/4))^2),1)*IF(AND($A481&gt;='Control Room'!$A$16,$A481&lt;'Control Room'!$A$16+'Control Room'!$B$16,'Process'!BT5=1),1+('Control Room'!$C$16-1)*EXP(-0.5*(($A481-'Control Room'!$A$16-('Control Room'!$B$16-1)/2)/MAX(0.5,'Control Room'!$B$16/4))^2),1)</x:f>
        <x:v>1</x:v>
      </x:c>
      <x:c r="AZ481" s="9" t="n">
        <x:f>MOD(BA480*16807,2147483647)</x:f>
        <x:v>1830368</x:v>
      </x:c>
      <x:c r="BA481" s="9" t="n">
        <x:f>MOD(AZ481*16807,2147483647)</x:f>
        <x:v>698223918</x:v>
      </x:c>
      <x:c r="BB481" s="17" t="n">
        <x:f>IF('Control Room'!$B$5="Normal",'Control Room'!$B$7+'Control Room'!$D$7*SQRT(-2*LN(MAX(0.000000000001,AZ481/2147483647)))*COS(2*PI()*BA481/2147483647),'Control Room'!$B$8+('Control Room'!$D$8-'Control Room'!$B$8)*AZ481/2147483647)</x:f>
        <x:v>846.1260778589226</x:v>
      </x:c>
      <x:c r="BC481" s="17" t="n">
        <x:f>IF('Control Room'!$B$5="Normal",'Control Room'!$B$7,('Control Room'!$B$8+'Control Room'!$D$8)/2)+'Control Room'!$B$9*(BC480-IF('Control Room'!$B$5="Normal",'Control Room'!$B$7,('Control Room'!$B$8+'Control Room'!$D$8)/2))+SQRT(1-'Control Room'!$B$9^2)*(BB481-IF('Control Room'!$B$5="Normal",'Control Room'!$B$7,('Control Room'!$B$8+'Control Room'!$D$8)/2))</x:f>
        <x:v>918.029247886322</x:v>
      </x:c>
      <x:c r="BD481" s="17" t="n">
        <x:f>IF(AND($A481&gt;='Control Room'!$A$13,$A481&lt;'Control Room'!$A$13+'Control Room'!$B$13,'Process'!BU2=1),1+('Control Room'!$C$13-1)*EXP(-0.5*(($A481-'Control Room'!$A$13-('Control Room'!$B$13-1)/2)/MAX(0.5,'Control Room'!$B$13/4))^2),1)*IF(AND($A481&gt;='Control Room'!$A$14,$A481&lt;'Control Room'!$A$14+'Control Room'!$B$14,'Process'!BU3=1),1+('Control Room'!$C$14-1)*EXP(-0.5*(($A481-'Control Room'!$A$14-('Control Room'!$B$14-1)/2)/MAX(0.5,'Control Room'!$B$14/4))^2),1)*IF(AND($A481&gt;='Control Room'!$A$15,$A481&lt;'Control Room'!$A$15+'Control Room'!$B$15,'Process'!BU4=1),1+('Control Room'!$C$15-1)*EXP(-0.5*(($A481-'Control Room'!$A$15-('Control Room'!$B$15-1)/2)/MAX(0.5,'Control Room'!$B$15/4))^2),1)*IF(AND($A481&gt;='Control Room'!$A$16,$A481&lt;'Control Room'!$A$16+'Control Room'!$B$16,'Process'!BU5=1),1+('Control Room'!$C$16-1)*EXP(-0.5*(($A481-'Control Room'!$A$16-('Control Room'!$B$16-1)/2)/MAX(0.5,'Control Room'!$B$16/4))^2),1)</x:f>
        <x:v>1</x:v>
      </x:c>
      <x:c r="BE481" s="9" t="n">
        <x:f>MOD(BF480*16807,2147483647)</x:f>
        <x:v>1870490077</x:v>
      </x:c>
      <x:c r="BF481" s="9" t="n">
        <x:f>MOD(BE481*16807,2147483647)</x:f>
        <x:v>313615706</x:v>
      </x:c>
      <x:c r="BG481" s="17" t="n">
        <x:f>IF('Control Room'!$B$5="Normal",'Control Room'!$B$7+'Control Room'!$D$7*SQRT(-2*LN(MAX(0.000000000001,BE481/2147483647)))*COS(2*PI()*BF481/2147483647),'Control Room'!$B$8+('Control Room'!$D$8-'Control Room'!$B$8)*BE481/2147483647)</x:f>
        <x:v>1028.745135942077</x:v>
      </x:c>
      <x:c r="BH481" s="17" t="n">
        <x:f>IF('Control Room'!$B$5="Normal",'Control Room'!$B$7,('Control Room'!$B$8+'Control Room'!$D$8)/2)+'Control Room'!$B$9*(BH480-IF('Control Room'!$B$5="Normal",'Control Room'!$B$7,('Control Room'!$B$8+'Control Room'!$D$8)/2))+SQRT(1-'Control Room'!$B$9^2)*(BG481-IF('Control Room'!$B$5="Normal",'Control Room'!$B$7,('Control Room'!$B$8+'Control Room'!$D$8)/2))</x:f>
        <x:v>990.3692099451248</x:v>
      </x:c>
      <x:c r="BI481" s="17" t="n">
        <x:f>IF(AND($A481&gt;='Control Room'!$A$13,$A481&lt;'Control Room'!$A$13+'Control Room'!$B$13,'Process'!BV2=1),1+('Control Room'!$C$13-1)*EXP(-0.5*(($A481-'Control Room'!$A$13-('Control Room'!$B$13-1)/2)/MAX(0.5,'Control Room'!$B$13/4))^2),1)*IF(AND($A481&gt;='Control Room'!$A$14,$A481&lt;'Control Room'!$A$14+'Control Room'!$B$14,'Process'!BV3=1),1+('Control Room'!$C$14-1)*EXP(-0.5*(($A481-'Control Room'!$A$14-('Control Room'!$B$14-1)/2)/MAX(0.5,'Control Room'!$B$14/4))^2),1)*IF(AND($A481&gt;='Control Room'!$A$15,$A481&lt;'Control Room'!$A$15+'Control Room'!$B$15,'Process'!BV4=1),1+('Control Room'!$C$15-1)*EXP(-0.5*(($A481-'Control Room'!$A$15-('Control Room'!$B$15-1)/2)/MAX(0.5,'Control Room'!$B$15/4))^2),1)*IF(AND($A481&gt;='Control Room'!$A$16,$A481&lt;'Control Room'!$A$16+'Control Room'!$B$16,'Process'!BV5=1),1+('Control Room'!$C$16-1)*EXP(-0.5*(($A481-'Control Room'!$A$16-('Control Room'!$B$16-1)/2)/MAX(0.5,'Control Room'!$B$16/4))^2),1)</x:f>
        <x:v>1</x:v>
      </x:c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Z481" t="str">
        <x:f>IF('Data'!A481="","",TEXT('Data'!A481,"mm-dd"))</x:f>
      </x:c>
    </x:row>
    <x:row r="482" ht="21" customHeight="1">
      <x:c r="A482" s="15" t="n">
        <x:f>'Control Room'!$B$1+480</x:f>
        <x:v>73471</x:v>
      </x:c>
      <x:c r="B482" s="9" t="n">
        <x:f>MOD(C481*16807,2147483647)</x:f>
        <x:v>895675111</x:v>
      </x:c>
      <x:c r="C482" s="9" t="n">
        <x:f>MOD(B482*16807,2147483647)</x:f>
        <x:v>1898708754</x:v>
      </x:c>
      <x:c r="D482" s="17" t="n">
        <x:f>IF('Control Room'!$B$5="Normal",'Control Room'!$B$7+'Control Room'!$D$7*SQRT(-2*LN(MAX(0.000000000001,B482/2147483647)))*COS(2*PI()*C482/2147483647),'Control Room'!$B$8+('Control Room'!$D$8-'Control Room'!$B$8)*B482/2147483647)</x:f>
        <x:v>1088.861421392496</x:v>
      </x:c>
      <x:c r="E482" s="17" t="n">
        <x:f>IF('Control Room'!$B$5="Normal",'Control Room'!$B$7,('Control Room'!$B$8+'Control Room'!$D$8)/2)+'Control Room'!$B$9*(E481-IF('Control Room'!$B$5="Normal",'Control Room'!$B$7,('Control Room'!$B$8+'Control Room'!$D$8)/2))+SQRT(1-'Control Room'!$B$9^2)*(D482-IF('Control Room'!$B$5="Normal",'Control Room'!$B$7,('Control Room'!$B$8+'Control Room'!$D$8)/2))</x:f>
        <x:v>1166.516705478406</x:v>
      </x:c>
      <x:c r="F482" s="17" t="n">
        <x:f>IF(AND($A482&gt;='Control Room'!$A$13,$A482&lt;'Control Room'!$A$13+'Control Room'!$B$13,'Process'!BK2=1),1+('Control Room'!$C$13-1)*EXP(-0.5*(($A482-'Control Room'!$A$13-('Control Room'!$B$13-1)/2)/MAX(0.5,'Control Room'!$B$13/4))^2),1)*IF(AND($A482&gt;='Control Room'!$A$14,$A482&lt;'Control Room'!$A$14+'Control Room'!$B$14,'Process'!BK3=1),1+('Control Room'!$C$14-1)*EXP(-0.5*(($A482-'Control Room'!$A$14-('Control Room'!$B$14-1)/2)/MAX(0.5,'Control Room'!$B$14/4))^2),1)*IF(AND($A482&gt;='Control Room'!$A$15,$A482&lt;'Control Room'!$A$15+'Control Room'!$B$15,'Process'!BK4=1),1+('Control Room'!$C$15-1)*EXP(-0.5*(($A482-'Control Room'!$A$15-('Control Room'!$B$15-1)/2)/MAX(0.5,'Control Room'!$B$15/4))^2),1)*IF(AND($A482&gt;='Control Room'!$A$16,$A482&lt;'Control Room'!$A$16+'Control Room'!$B$16,'Process'!BK5=1),1+('Control Room'!$C$16-1)*EXP(-0.5*(($A482-'Control Room'!$A$16-('Control Room'!$B$16-1)/2)/MAX(0.5,'Control Room'!$B$16/4))^2),1)</x:f>
        <x:v>1</x:v>
      </x:c>
      <x:c r="G482" s="9" t="n">
        <x:f>MOD(H481*16807,2147483647)</x:f>
        <x:v>711233497</x:v>
      </x:c>
      <x:c r="H482" s="9" t="n">
        <x:f>MOD(G482*16807,2147483647)</x:f>
        <x:v>807404877</x:v>
      </x:c>
      <x:c r="I482" s="17" t="n">
        <x:f>IF('Control Room'!$B$5="Normal",'Control Room'!$B$7+'Control Room'!$D$7*SQRT(-2*LN(MAX(0.000000000001,G482/2147483647)))*COS(2*PI()*H482/2147483647),'Control Room'!$B$8+('Control Room'!$D$8-'Control Room'!$B$8)*G482/2147483647)</x:f>
        <x:v>904.8116195770122</x:v>
      </x:c>
      <x:c r="J482" s="17" t="n">
        <x:f>IF('Control Room'!$B$5="Normal",'Control Room'!$B$7,('Control Room'!$B$8+'Control Room'!$D$8)/2)+'Control Room'!$B$9*(J481-IF('Control Room'!$B$5="Normal",'Control Room'!$B$7,('Control Room'!$B$8+'Control Room'!$D$8)/2))+SQRT(1-'Control Room'!$B$9^2)*(I482-IF('Control Room'!$B$5="Normal",'Control Room'!$B$7,('Control Room'!$B$8+'Control Room'!$D$8)/2))</x:f>
        <x:v>1014.2580683574213</x:v>
      </x:c>
      <x:c r="K482" s="17" t="n">
        <x:f>IF(AND($A482&gt;='Control Room'!$A$13,$A482&lt;'Control Room'!$A$13+'Control Room'!$B$13,'Process'!BL2=1),1+('Control Room'!$C$13-1)*EXP(-0.5*(($A482-'Control Room'!$A$13-('Control Room'!$B$13-1)/2)/MAX(0.5,'Control Room'!$B$13/4))^2),1)*IF(AND($A482&gt;='Control Room'!$A$14,$A482&lt;'Control Room'!$A$14+'Control Room'!$B$14,'Process'!BL3=1),1+('Control Room'!$C$14-1)*EXP(-0.5*(($A482-'Control Room'!$A$14-('Control Room'!$B$14-1)/2)/MAX(0.5,'Control Room'!$B$14/4))^2),1)*IF(AND($A482&gt;='Control Room'!$A$15,$A482&lt;'Control Room'!$A$15+'Control Room'!$B$15,'Process'!BL4=1),1+('Control Room'!$C$15-1)*EXP(-0.5*(($A482-'Control Room'!$A$15-('Control Room'!$B$15-1)/2)/MAX(0.5,'Control Room'!$B$15/4))^2),1)*IF(AND($A482&gt;='Control Room'!$A$16,$A482&lt;'Control Room'!$A$16+'Control Room'!$B$16,'Process'!BL5=1),1+('Control Room'!$C$16-1)*EXP(-0.5*(($A482-'Control Room'!$A$16-('Control Room'!$B$16-1)/2)/MAX(0.5,'Control Room'!$B$16/4))^2),1)</x:f>
        <x:v>1</x:v>
      </x:c>
      <x:c r="L482" s="9" t="n">
        <x:f>MOD(M481*16807,2147483647)</x:f>
        <x:v>526791883</x:v>
      </x:c>
      <x:c r="M482" s="9" t="n">
        <x:f>MOD(L482*16807,2147483647)</x:f>
        <x:v>1863584647</x:v>
      </x:c>
      <x:c r="N482" s="17" t="n">
        <x:f>IF('Control Room'!$B$5="Normal",'Control Room'!$B$7+'Control Room'!$D$7*SQRT(-2*LN(MAX(0.000000000001,L482/2147483647)))*COS(2*PI()*M482/2147483647),'Control Room'!$B$8+('Control Room'!$D$8-'Control Room'!$B$8)*L482/2147483647)</x:f>
        <x:v>1101.754246863724</x:v>
      </x:c>
      <x:c r="O482" s="17" t="n">
        <x:f>IF('Control Room'!$B$5="Normal",'Control Room'!$B$7,('Control Room'!$B$8+'Control Room'!$D$8)/2)+'Control Room'!$B$9*(O481-IF('Control Room'!$B$5="Normal",'Control Room'!$B$7,('Control Room'!$B$8+'Control Room'!$D$8)/2))+SQRT(1-'Control Room'!$B$9^2)*(N482-IF('Control Room'!$B$5="Normal",'Control Room'!$B$7,('Control Room'!$B$8+'Control Room'!$D$8)/2))</x:f>
        <x:v>1021.318440973576</x:v>
      </x:c>
      <x:c r="P482" s="17" t="n">
        <x:f>IF(AND($A482&gt;='Control Room'!$A$13,$A482&lt;'Control Room'!$A$13+'Control Room'!$B$13,'Process'!BM2=1),1+('Control Room'!$C$13-1)*EXP(-0.5*(($A482-'Control Room'!$A$13-('Control Room'!$B$13-1)/2)/MAX(0.5,'Control Room'!$B$13/4))^2),1)*IF(AND($A482&gt;='Control Room'!$A$14,$A482&lt;'Control Room'!$A$14+'Control Room'!$B$14,'Process'!BM3=1),1+('Control Room'!$C$14-1)*EXP(-0.5*(($A482-'Control Room'!$A$14-('Control Room'!$B$14-1)/2)/MAX(0.5,'Control Room'!$B$14/4))^2),1)*IF(AND($A482&gt;='Control Room'!$A$15,$A482&lt;'Control Room'!$A$15+'Control Room'!$B$15,'Process'!BM4=1),1+('Control Room'!$C$15-1)*EXP(-0.5*(($A482-'Control Room'!$A$15-('Control Room'!$B$15-1)/2)/MAX(0.5,'Control Room'!$B$15/4))^2),1)*IF(AND($A482&gt;='Control Room'!$A$16,$A482&lt;'Control Room'!$A$16+'Control Room'!$B$16,'Process'!BM5=1),1+('Control Room'!$C$16-1)*EXP(-0.5*(($A482-'Control Room'!$A$16-('Control Room'!$B$16-1)/2)/MAX(0.5,'Control Room'!$B$16/4))^2),1)</x:f>
        <x:v>1</x:v>
      </x:c>
      <x:c r="Q482" s="9" t="n">
        <x:f>MOD(R481*16807,2147483647)</x:f>
        <x:v>342350269</x:v>
      </x:c>
      <x:c r="R482" s="9" t="n">
        <x:f>MOD(Q482*16807,2147483647)</x:f>
        <x:v>772280770</x:v>
      </x:c>
      <x:c r="S482" s="17" t="n">
        <x:f>IF('Control Room'!$B$5="Normal",'Control Room'!$B$7+'Control Room'!$D$7*SQRT(-2*LN(MAX(0.000000000001,Q482/2147483647)))*COS(2*PI()*R482/2147483647),'Control Room'!$B$8+('Control Room'!$D$8-'Control Room'!$B$8)*Q482/2147483647)</x:f>
        <x:v>890.3785157614269</x:v>
      </x:c>
      <x:c r="T482" s="17" t="n">
        <x:f>IF('Control Room'!$B$5="Normal",'Control Room'!$B$7,('Control Room'!$B$8+'Control Room'!$D$8)/2)+'Control Room'!$B$9*(T481-IF('Control Room'!$B$5="Normal",'Control Room'!$B$7,('Control Room'!$B$8+'Control Room'!$D$8)/2))+SQRT(1-'Control Room'!$B$9^2)*(S482-IF('Control Room'!$B$5="Normal",'Control Room'!$B$7,('Control Room'!$B$8+'Control Room'!$D$8)/2))</x:f>
        <x:v>884.1184199509205</x:v>
      </x:c>
      <x:c r="U482" s="17" t="n">
        <x:f>IF(AND($A482&gt;='Control Room'!$A$13,$A482&lt;'Control Room'!$A$13+'Control Room'!$B$13,'Process'!BN2=1),1+('Control Room'!$C$13-1)*EXP(-0.5*(($A482-'Control Room'!$A$13-('Control Room'!$B$13-1)/2)/MAX(0.5,'Control Room'!$B$13/4))^2),1)*IF(AND($A482&gt;='Control Room'!$A$14,$A482&lt;'Control Room'!$A$14+'Control Room'!$B$14,'Process'!BN3=1),1+('Control Room'!$C$14-1)*EXP(-0.5*(($A482-'Control Room'!$A$14-('Control Room'!$B$14-1)/2)/MAX(0.5,'Control Room'!$B$14/4))^2),1)*IF(AND($A482&gt;='Control Room'!$A$15,$A482&lt;'Control Room'!$A$15+'Control Room'!$B$15,'Process'!BN4=1),1+('Control Room'!$C$15-1)*EXP(-0.5*(($A482-'Control Room'!$A$15-('Control Room'!$B$15-1)/2)/MAX(0.5,'Control Room'!$B$15/4))^2),1)*IF(AND($A482&gt;='Control Room'!$A$16,$A482&lt;'Control Room'!$A$16+'Control Room'!$B$16,'Process'!BN5=1),1+('Control Room'!$C$16-1)*EXP(-0.5*(($A482-'Control Room'!$A$16-('Control Room'!$B$16-1)/2)/MAX(0.5,'Control Room'!$B$16/4))^2),1)</x:f>
        <x:v>1</x:v>
      </x:c>
      <x:c r="V482" s="9" t="n">
        <x:f>MOD(W481*16807,2147483647)</x:f>
        <x:v>157908655</x:v>
      </x:c>
      <x:c r="W482" s="9" t="n">
        <x:f>MOD(V482*16807,2147483647)</x:f>
        <x:v>1828460540</x:v>
      </x:c>
      <x:c r="X482" s="17" t="n">
        <x:f>IF('Control Room'!$B$5="Normal",'Control Room'!$B$7+'Control Room'!$D$7*SQRT(-2*LN(MAX(0.000000000001,V482/2147483647)))*COS(2*PI()*W482/2147483647),'Control Room'!$B$8+('Control Room'!$D$8-'Control Room'!$B$8)*V482/2147483647)</x:f>
        <x:v>1122.368274464673</x:v>
      </x:c>
      <x:c r="Y482" s="17" t="n">
        <x:f>IF('Control Room'!$B$5="Normal",'Control Room'!$B$7,('Control Room'!$B$8+'Control Room'!$D$8)/2)+'Control Room'!$B$9*(Y481-IF('Control Room'!$B$5="Normal",'Control Room'!$B$7,('Control Room'!$B$8+'Control Room'!$D$8)/2))+SQRT(1-'Control Room'!$B$9^2)*(X482-IF('Control Room'!$B$5="Normal",'Control Room'!$B$7,('Control Room'!$B$8+'Control Room'!$D$8)/2))</x:f>
        <x:v>950.3657171690229</x:v>
      </x:c>
      <x:c r="Z482" s="17" t="n">
        <x:f>IF(AND($A482&gt;='Control Room'!$A$13,$A482&lt;'Control Room'!$A$13+'Control Room'!$B$13,'Process'!BO2=1),1+('Control Room'!$C$13-1)*EXP(-0.5*(($A482-'Control Room'!$A$13-('Control Room'!$B$13-1)/2)/MAX(0.5,'Control Room'!$B$13/4))^2),1)*IF(AND($A482&gt;='Control Room'!$A$14,$A482&lt;'Control Room'!$A$14+'Control Room'!$B$14,'Process'!BO3=1),1+('Control Room'!$C$14-1)*EXP(-0.5*(($A482-'Control Room'!$A$14-('Control Room'!$B$14-1)/2)/MAX(0.5,'Control Room'!$B$14/4))^2),1)*IF(AND($A482&gt;='Control Room'!$A$15,$A482&lt;'Control Room'!$A$15+'Control Room'!$B$15,'Process'!BO4=1),1+('Control Room'!$C$15-1)*EXP(-0.5*(($A482-'Control Room'!$A$15-('Control Room'!$B$15-1)/2)/MAX(0.5,'Control Room'!$B$15/4))^2),1)*IF(AND($A482&gt;='Control Room'!$A$16,$A482&lt;'Control Room'!$A$16+'Control Room'!$B$16,'Process'!BO5=1),1+('Control Room'!$C$16-1)*EXP(-0.5*(($A482-'Control Room'!$A$16-('Control Room'!$B$16-1)/2)/MAX(0.5,'Control Room'!$B$16/4))^2),1)</x:f>
        <x:v>1</x:v>
      </x:c>
      <x:c r="AA482" s="9" t="n">
        <x:f>MOD(AB481*16807,2147483647)</x:f>
        <x:v>2120950688</x:v>
      </x:c>
      <x:c r="AB482" s="9" t="n">
        <x:f>MOD(AA482*16807,2147483647)</x:f>
        <x:v>737156663</x:v>
      </x:c>
      <x:c r="AC482" s="17" t="n">
        <x:f>IF('Control Room'!$B$5="Normal",'Control Room'!$B$7+'Control Room'!$D$7*SQRT(-2*LN(MAX(0.000000000001,AA482/2147483647)))*COS(2*PI()*AB482/2147483647),'Control Room'!$B$8+('Control Room'!$D$8-'Control Room'!$B$8)*AA482/2147483647)</x:f>
        <x:v>992.1514956845965</x:v>
      </x:c>
      <x:c r="AD482" s="17" t="n">
        <x:f>IF('Control Room'!$B$5="Normal",'Control Room'!$B$7,('Control Room'!$B$8+'Control Room'!$D$8)/2)+'Control Room'!$B$9*(AD481-IF('Control Room'!$B$5="Normal",'Control Room'!$B$7,('Control Room'!$B$8+'Control Room'!$D$8)/2))+SQRT(1-'Control Room'!$B$9^2)*(AC482-IF('Control Room'!$B$5="Normal",'Control Room'!$B$7,('Control Room'!$B$8+'Control Room'!$D$8)/2))</x:f>
        <x:v>986.023506723959</x:v>
      </x:c>
      <x:c r="AE482" s="17" t="n">
        <x:f>IF(AND($A482&gt;='Control Room'!$A$13,$A482&lt;'Control Room'!$A$13+'Control Room'!$B$13,'Process'!BP2=1),1+('Control Room'!$C$13-1)*EXP(-0.5*(($A482-'Control Room'!$A$13-('Control Room'!$B$13-1)/2)/MAX(0.5,'Control Room'!$B$13/4))^2),1)*IF(AND($A482&gt;='Control Room'!$A$14,$A482&lt;'Control Room'!$A$14+'Control Room'!$B$14,'Process'!BP3=1),1+('Control Room'!$C$14-1)*EXP(-0.5*(($A482-'Control Room'!$A$14-('Control Room'!$B$14-1)/2)/MAX(0.5,'Control Room'!$B$14/4))^2),1)*IF(AND($A482&gt;='Control Room'!$A$15,$A482&lt;'Control Room'!$A$15+'Control Room'!$B$15,'Process'!BP4=1),1+('Control Room'!$C$15-1)*EXP(-0.5*(($A482-'Control Room'!$A$15-('Control Room'!$B$15-1)/2)/MAX(0.5,'Control Room'!$B$15/4))^2),1)*IF(AND($A482&gt;='Control Room'!$A$16,$A482&lt;'Control Room'!$A$16+'Control Room'!$B$16,'Process'!BP5=1),1+('Control Room'!$C$16-1)*EXP(-0.5*(($A482-'Control Room'!$A$16-('Control Room'!$B$16-1)/2)/MAX(0.5,'Control Room'!$B$16/4))^2),1)</x:f>
        <x:v>1</x:v>
      </x:c>
      <x:c r="AF482" s="9" t="n">
        <x:f>MOD(AG481*16807,2147483647)</x:f>
        <x:v>1936509074</x:v>
      </x:c>
      <x:c r="AG482" s="9" t="n">
        <x:f>MOD(AF482*16807,2147483647)</x:f>
        <x:v>1793336433</x:v>
      </x:c>
      <x:c r="AH482" s="17" t="n">
        <x:f>IF('Control Room'!$B$5="Normal",'Control Room'!$B$7+'Control Room'!$D$7*SQRT(-2*LN(MAX(0.000000000001,AF482/2147483647)))*COS(2*PI()*AG482/2147483647),'Control Room'!$B$8+('Control Room'!$D$8-'Control Room'!$B$8)*AF482/2147483647)</x:f>
        <x:v>1020.8542408883279</x:v>
      </x:c>
      <x:c r="AI482" s="17" t="n">
        <x:f>IF('Control Room'!$B$5="Normal",'Control Room'!$B$7,('Control Room'!$B$8+'Control Room'!$D$8)/2)+'Control Room'!$B$9*(AI481-IF('Control Room'!$B$5="Normal",'Control Room'!$B$7,('Control Room'!$B$8+'Control Room'!$D$8)/2))+SQRT(1-'Control Room'!$B$9^2)*(AH482-IF('Control Room'!$B$5="Normal",'Control Room'!$B$7,('Control Room'!$B$8+'Control Room'!$D$8)/2))</x:f>
        <x:v>1081.1264269036521</x:v>
      </x:c>
      <x:c r="AJ482" s="17" t="n">
        <x:f>IF(AND($A482&gt;='Control Room'!$A$13,$A482&lt;'Control Room'!$A$13+'Control Room'!$B$13,'Process'!BQ2=1),1+('Control Room'!$C$13-1)*EXP(-0.5*(($A482-'Control Room'!$A$13-('Control Room'!$B$13-1)/2)/MAX(0.5,'Control Room'!$B$13/4))^2),1)*IF(AND($A482&gt;='Control Room'!$A$14,$A482&lt;'Control Room'!$A$14+'Control Room'!$B$14,'Process'!BQ3=1),1+('Control Room'!$C$14-1)*EXP(-0.5*(($A482-'Control Room'!$A$14-('Control Room'!$B$14-1)/2)/MAX(0.5,'Control Room'!$B$14/4))^2),1)*IF(AND($A482&gt;='Control Room'!$A$15,$A482&lt;'Control Room'!$A$15+'Control Room'!$B$15,'Process'!BQ4=1),1+('Control Room'!$C$15-1)*EXP(-0.5*(($A482-'Control Room'!$A$15-('Control Room'!$B$15-1)/2)/MAX(0.5,'Control Room'!$B$15/4))^2),1)*IF(AND($A482&gt;='Control Room'!$A$16,$A482&lt;'Control Room'!$A$16+'Control Room'!$B$16,'Process'!BQ5=1),1+('Control Room'!$C$16-1)*EXP(-0.5*(($A482-'Control Room'!$A$16-('Control Room'!$B$16-1)/2)/MAX(0.5,'Control Room'!$B$16/4))^2),1)</x:f>
        <x:v>1</x:v>
      </x:c>
      <x:c r="AK482" s="9" t="n">
        <x:f>MOD(AL481*16807,2147483647)</x:f>
        <x:v>1752067460</x:v>
      </x:c>
      <x:c r="AL482" s="9" t="n">
        <x:f>MOD(AK482*16807,2147483647)</x:f>
        <x:v>702032556</x:v>
      </x:c>
      <x:c r="AM482" s="17" t="n">
        <x:f>IF('Control Room'!$B$5="Normal",'Control Room'!$B$7+'Control Room'!$D$7*SQRT(-2*LN(MAX(0.000000000001,AK482/2147483647)))*COS(2*PI()*AL482/2147483647),'Control Room'!$B$8+('Control Room'!$D$8-'Control Room'!$B$8)*AK482/2147483647)</x:f>
        <x:v>973.3213946324015</x:v>
      </x:c>
      <x:c r="AN482" s="17" t="n">
        <x:f>IF('Control Room'!$B$5="Normal",'Control Room'!$B$7,('Control Room'!$B$8+'Control Room'!$D$8)/2)+'Control Room'!$B$9*(AN481-IF('Control Room'!$B$5="Normal",'Control Room'!$B$7,('Control Room'!$B$8+'Control Room'!$D$8)/2))+SQRT(1-'Control Room'!$B$9^2)*(AM482-IF('Control Room'!$B$5="Normal",'Control Room'!$B$7,('Control Room'!$B$8+'Control Room'!$D$8)/2))</x:f>
        <x:v>1082.0316687693537</x:v>
      </x:c>
      <x:c r="AO482" s="17" t="n">
        <x:f>IF(AND($A482&gt;='Control Room'!$A$13,$A482&lt;'Control Room'!$A$13+'Control Room'!$B$13,'Process'!BR2=1),1+('Control Room'!$C$13-1)*EXP(-0.5*(($A482-'Control Room'!$A$13-('Control Room'!$B$13-1)/2)/MAX(0.5,'Control Room'!$B$13/4))^2),1)*IF(AND($A482&gt;='Control Room'!$A$14,$A482&lt;'Control Room'!$A$14+'Control Room'!$B$14,'Process'!BR3=1),1+('Control Room'!$C$14-1)*EXP(-0.5*(($A482-'Control Room'!$A$14-('Control Room'!$B$14-1)/2)/MAX(0.5,'Control Room'!$B$14/4))^2),1)*IF(AND($A482&gt;='Control Room'!$A$15,$A482&lt;'Control Room'!$A$15+'Control Room'!$B$15,'Process'!BR4=1),1+('Control Room'!$C$15-1)*EXP(-0.5*(($A482-'Control Room'!$A$15-('Control Room'!$B$15-1)/2)/MAX(0.5,'Control Room'!$B$15/4))^2),1)*IF(AND($A482&gt;='Control Room'!$A$16,$A482&lt;'Control Room'!$A$16+'Control Room'!$B$16,'Process'!BR5=1),1+('Control Room'!$C$16-1)*EXP(-0.5*(($A482-'Control Room'!$A$16-('Control Room'!$B$16-1)/2)/MAX(0.5,'Control Room'!$B$16/4))^2),1)</x:f>
        <x:v>1</x:v>
      </x:c>
      <x:c r="AP482" s="9" t="n">
        <x:f>MOD(AQ481*16807,2147483647)</x:f>
        <x:v>1567625846</x:v>
      </x:c>
      <x:c r="AQ482" s="9" t="n">
        <x:f>MOD(AP482*16807,2147483647)</x:f>
        <x:v>1758212326</x:v>
      </x:c>
      <x:c r="AR482" s="17" t="n">
        <x:f>IF('Control Room'!$B$5="Normal",'Control Room'!$B$7+'Control Room'!$D$7*SQRT(-2*LN(MAX(0.000000000001,AP482/2147483647)))*COS(2*PI()*AQ482/2147483647),'Control Room'!$B$8+('Control Room'!$D$8-'Control Room'!$B$8)*AP482/2147483647)</x:f>
        <x:v>1029.886898485503</x:v>
      </x:c>
      <x:c r="AS482" s="17" t="n">
        <x:f>IF('Control Room'!$B$5="Normal",'Control Room'!$B$7,('Control Room'!$B$8+'Control Room'!$D$8)/2)+'Control Room'!$B$9*(AS481-IF('Control Room'!$B$5="Normal",'Control Room'!$B$7,('Control Room'!$B$8+'Control Room'!$D$8)/2))+SQRT(1-'Control Room'!$B$9^2)*(AR482-IF('Control Room'!$B$5="Normal",'Control Room'!$B$7,('Control Room'!$B$8+'Control Room'!$D$8)/2))</x:f>
        <x:v>950.2703668232004</x:v>
      </x:c>
      <x:c r="AT482" s="17" t="n">
        <x:f>IF(AND($A482&gt;='Control Room'!$A$13,$A482&lt;'Control Room'!$A$13+'Control Room'!$B$13,'Process'!BS2=1),1+('Control Room'!$C$13-1)*EXP(-0.5*(($A482-'Control Room'!$A$13-('Control Room'!$B$13-1)/2)/MAX(0.5,'Control Room'!$B$13/4))^2),1)*IF(AND($A482&gt;='Control Room'!$A$14,$A482&lt;'Control Room'!$A$14+'Control Room'!$B$14,'Process'!BS3=1),1+('Control Room'!$C$14-1)*EXP(-0.5*(($A482-'Control Room'!$A$14-('Control Room'!$B$14-1)/2)/MAX(0.5,'Control Room'!$B$14/4))^2),1)*IF(AND($A482&gt;='Control Room'!$A$15,$A482&lt;'Control Room'!$A$15+'Control Room'!$B$15,'Process'!BS4=1),1+('Control Room'!$C$15-1)*EXP(-0.5*(($A482-'Control Room'!$A$15-('Control Room'!$B$15-1)/2)/MAX(0.5,'Control Room'!$B$15/4))^2),1)*IF(AND($A482&gt;='Control Room'!$A$16,$A482&lt;'Control Room'!$A$16+'Control Room'!$B$16,'Process'!BS5=1),1+('Control Room'!$C$16-1)*EXP(-0.5*(($A482-'Control Room'!$A$16-('Control Room'!$B$16-1)/2)/MAX(0.5,'Control Room'!$B$16/4))^2),1)</x:f>
        <x:v>1</x:v>
      </x:c>
      <x:c r="AU482" s="9" t="n">
        <x:f>MOD(AV481*16807,2147483647)</x:f>
        <x:v>1383184232</x:v>
      </x:c>
      <x:c r="AV482" s="9" t="n">
        <x:f>MOD(AU482*16807,2147483647)</x:f>
        <x:v>666908449</x:v>
      </x:c>
      <x:c r="AW482" s="17" t="n">
        <x:f>IF('Control Room'!$B$5="Normal",'Control Room'!$B$7+'Control Room'!$D$7*SQRT(-2*LN(MAX(0.000000000001,AU482/2147483647)))*COS(2*PI()*AV482/2147483647),'Control Room'!$B$8+('Control Room'!$D$8-'Control Room'!$B$8)*AU482/2147483647)</x:f>
        <x:v>968.650646635988</x:v>
      </x:c>
      <x:c r="AX482" s="17" t="n">
        <x:f>IF('Control Room'!$B$5="Normal",'Control Room'!$B$7,('Control Room'!$B$8+'Control Room'!$D$8)/2)+'Control Room'!$B$9*(AX481-IF('Control Room'!$B$5="Normal",'Control Room'!$B$7,('Control Room'!$B$8+'Control Room'!$D$8)/2))+SQRT(1-'Control Room'!$B$9^2)*(AW482-IF('Control Room'!$B$5="Normal",'Control Room'!$B$7,('Control Room'!$B$8+'Control Room'!$D$8)/2))</x:f>
        <x:v>898.9354877351655</x:v>
      </x:c>
      <x:c r="AY482" s="17" t="n">
        <x:f>IF(AND($A482&gt;='Control Room'!$A$13,$A482&lt;'Control Room'!$A$13+'Control Room'!$B$13,'Process'!BT2=1),1+('Control Room'!$C$13-1)*EXP(-0.5*(($A482-'Control Room'!$A$13-('Control Room'!$B$13-1)/2)/MAX(0.5,'Control Room'!$B$13/4))^2),1)*IF(AND($A482&gt;='Control Room'!$A$14,$A482&lt;'Control Room'!$A$14+'Control Room'!$B$14,'Process'!BT3=1),1+('Control Room'!$C$14-1)*EXP(-0.5*(($A482-'Control Room'!$A$14-('Control Room'!$B$14-1)/2)/MAX(0.5,'Control Room'!$B$14/4))^2),1)*IF(AND($A482&gt;='Control Room'!$A$15,$A482&lt;'Control Room'!$A$15+'Control Room'!$B$15,'Process'!BT4=1),1+('Control Room'!$C$15-1)*EXP(-0.5*(($A482-'Control Room'!$A$15-('Control Room'!$B$15-1)/2)/MAX(0.5,'Control Room'!$B$15/4))^2),1)*IF(AND($A482&gt;='Control Room'!$A$16,$A482&lt;'Control Room'!$A$16+'Control Room'!$B$16,'Process'!BT5=1),1+('Control Room'!$C$16-1)*EXP(-0.5*(($A482-'Control Room'!$A$16-('Control Room'!$B$16-1)/2)/MAX(0.5,'Control Room'!$B$16/4))^2),1)</x:f>
        <x:v>1</x:v>
      </x:c>
      <x:c r="AZ482" s="9" t="n">
        <x:f>MOD(BA481*16807,2147483647)</x:f>
        <x:v>1198742618</x:v>
      </x:c>
      <x:c r="BA482" s="9" t="n">
        <x:f>MOD(AZ482*16807,2147483647)</x:f>
        <x:v>1723088219</x:v>
      </x:c>
      <x:c r="BB482" s="17" t="n">
        <x:f>IF('Control Room'!$B$5="Normal",'Control Room'!$B$7+'Control Room'!$D$7*SQRT(-2*LN(MAX(0.000000000001,AZ482/2147483647)))*COS(2*PI()*BA482/2147483647),'Control Room'!$B$8+('Control Room'!$D$8-'Control Room'!$B$8)*AZ482/2147483647)</x:f>
        <x:v>1031.4080632729379</x:v>
      </x:c>
      <x:c r="BC482" s="17" t="n">
        <x:f>IF('Control Room'!$B$5="Normal",'Control Room'!$B$7,('Control Room'!$B$8+'Control Room'!$D$8)/2)+'Control Room'!$B$9*(BC481-IF('Control Room'!$B$5="Normal",'Control Room'!$B$7,('Control Room'!$B$8+'Control Room'!$D$8)/2))+SQRT(1-'Control Room'!$B$9^2)*(BB482-IF('Control Room'!$B$5="Normal",'Control Room'!$B$7,('Control Room'!$B$8+'Control Room'!$D$8)/2))</x:f>
        <x:v>955.717335918386</x:v>
      </x:c>
      <x:c r="BD482" s="17" t="n">
        <x:f>IF(AND($A482&gt;='Control Room'!$A$13,$A482&lt;'Control Room'!$A$13+'Control Room'!$B$13,'Process'!BU2=1),1+('Control Room'!$C$13-1)*EXP(-0.5*(($A482-'Control Room'!$A$13-('Control Room'!$B$13-1)/2)/MAX(0.5,'Control Room'!$B$13/4))^2),1)*IF(AND($A482&gt;='Control Room'!$A$14,$A482&lt;'Control Room'!$A$14+'Control Room'!$B$14,'Process'!BU3=1),1+('Control Room'!$C$14-1)*EXP(-0.5*(($A482-'Control Room'!$A$14-('Control Room'!$B$14-1)/2)/MAX(0.5,'Control Room'!$B$14/4))^2),1)*IF(AND($A482&gt;='Control Room'!$A$15,$A482&lt;'Control Room'!$A$15+'Control Room'!$B$15,'Process'!BU4=1),1+('Control Room'!$C$15-1)*EXP(-0.5*(($A482-'Control Room'!$A$15-('Control Room'!$B$15-1)/2)/MAX(0.5,'Control Room'!$B$15/4))^2),1)*IF(AND($A482&gt;='Control Room'!$A$16,$A482&lt;'Control Room'!$A$16+'Control Room'!$B$16,'Process'!BU5=1),1+('Control Room'!$C$16-1)*EXP(-0.5*(($A482-'Control Room'!$A$16-('Control Room'!$B$16-1)/2)/MAX(0.5,'Control Room'!$B$16/4))^2),1)</x:f>
        <x:v>1</x:v>
      </x:c>
      <x:c r="BE482" s="9" t="n">
        <x:f>MOD(BF481*16807,2147483647)</x:f>
        <x:v>1014301004</x:v>
      </x:c>
      <x:c r="BF482" s="9" t="n">
        <x:f>MOD(BE482*16807,2147483647)</x:f>
        <x:v>631784342</x:v>
      </x:c>
      <x:c r="BG482" s="17" t="n">
        <x:f>IF('Control Room'!$B$5="Normal",'Control Room'!$B$7+'Control Room'!$D$7*SQRT(-2*LN(MAX(0.000000000001,BE482/2147483647)))*COS(2*PI()*BF482/2147483647),'Control Room'!$B$8+('Control Room'!$D$8-'Control Room'!$B$8)*BE482/2147483647)</x:f>
        <x:v>969.7797879583323</x:v>
      </x:c>
      <x:c r="BH482" s="17" t="n">
        <x:f>IF('Control Room'!$B$5="Normal",'Control Room'!$B$7,('Control Room'!$B$8+'Control Room'!$D$8)/2)+'Control Room'!$B$9*(BH481-IF('Control Room'!$B$5="Normal",'Control Room'!$B$7,('Control Room'!$B$8+'Control Room'!$D$8)/2))+SQRT(1-'Control Room'!$B$9^2)*(BG482-IF('Control Room'!$B$5="Normal",'Control Room'!$B$7,('Control Room'!$B$8+'Control Room'!$D$8)/2))</x:f>
        <x:v>973.5767941562161</x:v>
      </x:c>
      <x:c r="BI482" s="17" t="n">
        <x:f>IF(AND($A482&gt;='Control Room'!$A$13,$A482&lt;'Control Room'!$A$13+'Control Room'!$B$13,'Process'!BV2=1),1+('Control Room'!$C$13-1)*EXP(-0.5*(($A482-'Control Room'!$A$13-('Control Room'!$B$13-1)/2)/MAX(0.5,'Control Room'!$B$13/4))^2),1)*IF(AND($A482&gt;='Control Room'!$A$14,$A482&lt;'Control Room'!$A$14+'Control Room'!$B$14,'Process'!BV3=1),1+('Control Room'!$C$14-1)*EXP(-0.5*(($A482-'Control Room'!$A$14-('Control Room'!$B$14-1)/2)/MAX(0.5,'Control Room'!$B$14/4))^2),1)*IF(AND($A482&gt;='Control Room'!$A$15,$A482&lt;'Control Room'!$A$15+'Control Room'!$B$15,'Process'!BV4=1),1+('Control Room'!$C$15-1)*EXP(-0.5*(($A482-'Control Room'!$A$15-('Control Room'!$B$15-1)/2)/MAX(0.5,'Control Room'!$B$15/4))^2),1)*IF(AND($A482&gt;='Control Room'!$A$16,$A482&lt;'Control Room'!$A$16+'Control Room'!$B$16,'Process'!BV5=1),1+('Control Room'!$C$16-1)*EXP(-0.5*(($A482-'Control Room'!$A$16-('Control Room'!$B$16-1)/2)/MAX(0.5,'Control Room'!$B$16/4))^2),1)</x:f>
        <x:v>1</x:v>
      </x:c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Z482" t="str">
        <x:f>IF('Data'!A482="","",TEXT('Data'!A482,"mm-dd"))</x:f>
      </x:c>
    </x:row>
    <x:row r="483" ht="21" customHeight="1">
      <x:c r="A483" s="15" t="n">
        <x:f>'Control Room'!$B$1+481</x:f>
        <x:v>73472</x:v>
      </x:c>
      <x:c r="B483" s="9" t="n">
        <x:f>MOD(C482*16807,2147483647)</x:f>
        <x:v>2138517705</x:v>
      </x:c>
      <x:c r="C483" s="9" t="n">
        <x:f>MOD(B483*16807,2147483647)</x:f>
        <x:v>1780751743</x:v>
      </x:c>
      <x:c r="D483" s="17" t="n">
        <x:f>IF('Control Room'!$B$5="Normal",'Control Room'!$B$7+'Control Room'!$D$7*SQRT(-2*LN(MAX(0.000000000001,B483/2147483647)))*COS(2*PI()*C483/2147483647),'Control Room'!$B$8+('Control Room'!$D$8-'Control Room'!$B$8)*B483/2147483647)</x:f>
        <x:v>1003.9310753358411</x:v>
      </x:c>
      <x:c r="E483" s="17" t="n">
        <x:f>IF('Control Room'!$B$5="Normal",'Control Room'!$B$7,('Control Room'!$B$8+'Control Room'!$D$8)/2)+'Control Room'!$B$9*(E482-IF('Control Room'!$B$5="Normal",'Control Room'!$B$7,('Control Room'!$B$8+'Control Room'!$D$8)/2))+SQRT(1-'Control Room'!$B$9^2)*(D483-IF('Control Room'!$B$5="Normal",'Control Room'!$B$7,('Control Room'!$B$8+'Control Room'!$D$8)/2))</x:f>
        <x:v>1132.3430166858705</x:v>
      </x:c>
      <x:c r="F483" s="17" t="n">
        <x:f>IF(AND($A483&gt;='Control Room'!$A$13,$A483&lt;'Control Room'!$A$13+'Control Room'!$B$13,'Process'!BK2=1),1+('Control Room'!$C$13-1)*EXP(-0.5*(($A483-'Control Room'!$A$13-('Control Room'!$B$13-1)/2)/MAX(0.5,'Control Room'!$B$13/4))^2),1)*IF(AND($A483&gt;='Control Room'!$A$14,$A483&lt;'Control Room'!$A$14+'Control Room'!$B$14,'Process'!BK3=1),1+('Control Room'!$C$14-1)*EXP(-0.5*(($A483-'Control Room'!$A$14-('Control Room'!$B$14-1)/2)/MAX(0.5,'Control Room'!$B$14/4))^2),1)*IF(AND($A483&gt;='Control Room'!$A$15,$A483&lt;'Control Room'!$A$15+'Control Room'!$B$15,'Process'!BK4=1),1+('Control Room'!$C$15-1)*EXP(-0.5*(($A483-'Control Room'!$A$15-('Control Room'!$B$15-1)/2)/MAX(0.5,'Control Room'!$B$15/4))^2),1)*IF(AND($A483&gt;='Control Room'!$A$16,$A483&lt;'Control Room'!$A$16+'Control Room'!$B$16,'Process'!BK5=1),1+('Control Room'!$C$16-1)*EXP(-0.5*(($A483-'Control Room'!$A$16-('Control Room'!$B$16-1)/2)/MAX(0.5,'Control Room'!$B$16/4))^2),1)</x:f>
        <x:v>1</x:v>
      </x:c>
      <x:c r="G483" s="9" t="n">
        <x:f>MOD(H482*16807,2147483647)</x:f>
        <x:v>104602346</x:v>
      </x:c>
      <x:c r="H483" s="9" t="n">
        <x:f>MOD(G483*16807,2147483647)</x:f>
        <x:v>1410005976</x:v>
      </x:c>
      <x:c r="I483" s="17" t="n">
        <x:f>IF('Control Room'!$B$5="Normal",'Control Room'!$B$7+'Control Room'!$D$7*SQRT(-2*LN(MAX(0.000000000001,G483/2147483647)))*COS(2*PI()*H483/2147483647),'Control Room'!$B$8+('Control Room'!$D$8-'Control Room'!$B$8)*G483/2147483647)</x:f>
        <x:v>877.4640600992914</x:v>
      </x:c>
      <x:c r="J483" s="17" t="n">
        <x:f>IF('Control Room'!$B$5="Normal",'Control Room'!$B$7,('Control Room'!$B$8+'Control Room'!$D$8)/2)+'Control Room'!$B$9*(J482-IF('Control Room'!$B$5="Normal",'Control Room'!$B$7,('Control Room'!$B$8+'Control Room'!$D$8)/2))+SQRT(1-'Control Room'!$B$9^2)*(I483-IF('Control Room'!$B$5="Normal",'Control Room'!$B$7,('Control Room'!$B$8+'Control Room'!$D$8)/2))</x:f>
        <x:v>934.4408124141002</x:v>
      </x:c>
      <x:c r="K483" s="17" t="n">
        <x:f>IF(AND($A483&gt;='Control Room'!$A$13,$A483&lt;'Control Room'!$A$13+'Control Room'!$B$13,'Process'!BL2=1),1+('Control Room'!$C$13-1)*EXP(-0.5*(($A483-'Control Room'!$A$13-('Control Room'!$B$13-1)/2)/MAX(0.5,'Control Room'!$B$13/4))^2),1)*IF(AND($A483&gt;='Control Room'!$A$14,$A483&lt;'Control Room'!$A$14+'Control Room'!$B$14,'Process'!BL3=1),1+('Control Room'!$C$14-1)*EXP(-0.5*(($A483-'Control Room'!$A$14-('Control Room'!$B$14-1)/2)/MAX(0.5,'Control Room'!$B$14/4))^2),1)*IF(AND($A483&gt;='Control Room'!$A$15,$A483&lt;'Control Room'!$A$15+'Control Room'!$B$15,'Process'!BL4=1),1+('Control Room'!$C$15-1)*EXP(-0.5*(($A483-'Control Room'!$A$15-('Control Room'!$B$15-1)/2)/MAX(0.5,'Control Room'!$B$15/4))^2),1)*IF(AND($A483&gt;='Control Room'!$A$16,$A483&lt;'Control Room'!$A$16+'Control Room'!$B$16,'Process'!BL5=1),1+('Control Room'!$C$16-1)*EXP(-0.5*(($A483-'Control Room'!$A$16-('Control Room'!$B$16-1)/2)/MAX(0.5,'Control Room'!$B$16/4))^2),1)</x:f>
        <x:v>1</x:v>
      </x:c>
      <x:c r="L483" s="9" t="n">
        <x:f>MOD(M482*16807,2147483647)</x:f>
        <x:v>218170634</x:v>
      </x:c>
      <x:c r="M483" s="9" t="n">
        <x:f>MOD(L483*16807,2147483647)</x:f>
        <x:v>1039260209</x:v>
      </x:c>
      <x:c r="N483" s="17" t="n">
        <x:f>IF('Control Room'!$B$5="Normal",'Control Room'!$B$7+'Control Room'!$D$7*SQRT(-2*LN(MAX(0.000000000001,L483/2147483647)))*COS(2*PI()*M483/2147483647),'Control Room'!$B$8+('Control Room'!$D$8-'Control Room'!$B$8)*L483/2147483647)</x:f>
        <x:v>808.5059721633143</x:v>
      </x:c>
      <x:c r="O483" s="17" t="n">
        <x:f>IF('Control Room'!$B$5="Normal",'Control Room'!$B$7,('Control Room'!$B$8+'Control Room'!$D$8)/2)+'Control Room'!$B$9*(O482-IF('Control Room'!$B$5="Normal",'Control Room'!$B$7,('Control Room'!$B$8+'Control Room'!$D$8)/2))+SQRT(1-'Control Room'!$B$9^2)*(N483-IF('Control Room'!$B$5="Normal",'Control Room'!$B$7,('Control Room'!$B$8+'Control Room'!$D$8)/2))</x:f>
        <x:v>896.795344307584</x:v>
      </x:c>
      <x:c r="P483" s="17" t="n">
        <x:f>IF(AND($A483&gt;='Control Room'!$A$13,$A483&lt;'Control Room'!$A$13+'Control Room'!$B$13,'Process'!BM2=1),1+('Control Room'!$C$13-1)*EXP(-0.5*(($A483-'Control Room'!$A$13-('Control Room'!$B$13-1)/2)/MAX(0.5,'Control Room'!$B$13/4))^2),1)*IF(AND($A483&gt;='Control Room'!$A$14,$A483&lt;'Control Room'!$A$14+'Control Room'!$B$14,'Process'!BM3=1),1+('Control Room'!$C$14-1)*EXP(-0.5*(($A483-'Control Room'!$A$14-('Control Room'!$B$14-1)/2)/MAX(0.5,'Control Room'!$B$14/4))^2),1)*IF(AND($A483&gt;='Control Room'!$A$15,$A483&lt;'Control Room'!$A$15+'Control Room'!$B$15,'Process'!BM4=1),1+('Control Room'!$C$15-1)*EXP(-0.5*(($A483-'Control Room'!$A$15-('Control Room'!$B$15-1)/2)/MAX(0.5,'Control Room'!$B$15/4))^2),1)*IF(AND($A483&gt;='Control Room'!$A$16,$A483&lt;'Control Room'!$A$16+'Control Room'!$B$16,'Process'!BM5=1),1+('Control Room'!$C$16-1)*EXP(-0.5*(($A483-'Control Room'!$A$16-('Control Room'!$B$16-1)/2)/MAX(0.5,'Control Room'!$B$16/4))^2),1)</x:f>
        <x:v>1</x:v>
      </x:c>
      <x:c r="Q483" s="9" t="n">
        <x:f>MOD(R482*16807,2147483647)</x:f>
        <x:v>331738922</x:v>
      </x:c>
      <x:c r="R483" s="9" t="n">
        <x:f>MOD(Q483*16807,2147483647)</x:f>
        <x:v>668514442</x:v>
      </x:c>
      <x:c r="S483" s="17" t="n">
        <x:f>IF('Control Room'!$B$5="Normal",'Control Room'!$B$7+'Control Room'!$D$7*SQRT(-2*LN(MAX(0.000000000001,Q483/2147483647)))*COS(2*PI()*R483/2147483647),'Control Room'!$B$8+('Control Room'!$D$8-'Control Room'!$B$8)*Q483/2147483647)</x:f>
        <x:v>934.6464469284551</x:v>
      </x:c>
      <x:c r="T483" s="17" t="n">
        <x:f>IF('Control Room'!$B$5="Normal",'Control Room'!$B$7,('Control Room'!$B$8+'Control Room'!$D$8)/2)+'Control Room'!$B$9*(T482-IF('Control Room'!$B$5="Normal",'Control Room'!$B$7,('Control Room'!$B$8+'Control Room'!$D$8)/2))+SQRT(1-'Control Room'!$B$9^2)*(S483-IF('Control Room'!$B$5="Normal",'Control Room'!$B$7,('Control Room'!$B$8+'Control Room'!$D$8)/2))</x:f>
        <x:v>868.7154528898524</x:v>
      </x:c>
      <x:c r="U483" s="17" t="n">
        <x:f>IF(AND($A483&gt;='Control Room'!$A$13,$A483&lt;'Control Room'!$A$13+'Control Room'!$B$13,'Process'!BN2=1),1+('Control Room'!$C$13-1)*EXP(-0.5*(($A483-'Control Room'!$A$13-('Control Room'!$B$13-1)/2)/MAX(0.5,'Control Room'!$B$13/4))^2),1)*IF(AND($A483&gt;='Control Room'!$A$14,$A483&lt;'Control Room'!$A$14+'Control Room'!$B$14,'Process'!BN3=1),1+('Control Room'!$C$14-1)*EXP(-0.5*(($A483-'Control Room'!$A$14-('Control Room'!$B$14-1)/2)/MAX(0.5,'Control Room'!$B$14/4))^2),1)*IF(AND($A483&gt;='Control Room'!$A$15,$A483&lt;'Control Room'!$A$15+'Control Room'!$B$15,'Process'!BN4=1),1+('Control Room'!$C$15-1)*EXP(-0.5*(($A483-'Control Room'!$A$15-('Control Room'!$B$15-1)/2)/MAX(0.5,'Control Room'!$B$15/4))^2),1)*IF(AND($A483&gt;='Control Room'!$A$16,$A483&lt;'Control Room'!$A$16+'Control Room'!$B$16,'Process'!BN5=1),1+('Control Room'!$C$16-1)*EXP(-0.5*(($A483-'Control Room'!$A$16-('Control Room'!$B$16-1)/2)/MAX(0.5,'Control Room'!$B$16/4))^2),1)</x:f>
        <x:v>1</x:v>
      </x:c>
      <x:c r="V483" s="9" t="n">
        <x:f>MOD(W482*16807,2147483647)</x:f>
        <x:v>445307210</x:v>
      </x:c>
      <x:c r="W483" s="9" t="n">
        <x:f>MOD(V483*16807,2147483647)</x:f>
        <x:v>297768675</x:v>
      </x:c>
      <x:c r="X483" s="17" t="n">
        <x:f>IF('Control Room'!$B$5="Normal",'Control Room'!$B$7+'Control Room'!$D$7*SQRT(-2*LN(MAX(0.000000000001,V483/2147483647)))*COS(2*PI()*W483/2147483647),'Control Room'!$B$8+('Control Room'!$D$8-'Control Room'!$B$8)*V483/2147483647)</x:f>
        <x:v>1102.7955832634275</x:v>
      </x:c>
      <x:c r="Y483" s="17" t="n">
        <x:f>IF('Control Room'!$B$5="Normal",'Control Room'!$B$7,('Control Room'!$B$8+'Control Room'!$D$8)/2)+'Control Room'!$B$9*(Y482-IF('Control Room'!$B$5="Normal",'Control Room'!$B$7,('Control Room'!$B$8+'Control Room'!$D$8)/2))+SQRT(1-'Control Room'!$B$9^2)*(X483-IF('Control Room'!$B$5="Normal",'Control Room'!$B$7,('Control Room'!$B$8+'Control Room'!$D$8)/2))</x:f>
        <x:v>1025.6126295161027</x:v>
      </x:c>
      <x:c r="Z483" s="17" t="n">
        <x:f>IF(AND($A483&gt;='Control Room'!$A$13,$A483&lt;'Control Room'!$A$13+'Control Room'!$B$13,'Process'!BO2=1),1+('Control Room'!$C$13-1)*EXP(-0.5*(($A483-'Control Room'!$A$13-('Control Room'!$B$13-1)/2)/MAX(0.5,'Control Room'!$B$13/4))^2),1)*IF(AND($A483&gt;='Control Room'!$A$14,$A483&lt;'Control Room'!$A$14+'Control Room'!$B$14,'Process'!BO3=1),1+('Control Room'!$C$14-1)*EXP(-0.5*(($A483-'Control Room'!$A$14-('Control Room'!$B$14-1)/2)/MAX(0.5,'Control Room'!$B$14/4))^2),1)*IF(AND($A483&gt;='Control Room'!$A$15,$A483&lt;'Control Room'!$A$15+'Control Room'!$B$15,'Process'!BO4=1),1+('Control Room'!$C$15-1)*EXP(-0.5*(($A483-'Control Room'!$A$15-('Control Room'!$B$15-1)/2)/MAX(0.5,'Control Room'!$B$15/4))^2),1)*IF(AND($A483&gt;='Control Room'!$A$16,$A483&lt;'Control Room'!$A$16+'Control Room'!$B$16,'Process'!BO5=1),1+('Control Room'!$C$16-1)*EXP(-0.5*(($A483-'Control Room'!$A$16-('Control Room'!$B$16-1)/2)/MAX(0.5,'Control Room'!$B$16/4))^2),1)</x:f>
        <x:v>1</x:v>
      </x:c>
      <x:c r="AA483" s="9" t="n">
        <x:f>MOD(AB482*16807,2147483647)</x:f>
        <x:v>558875498</x:v>
      </x:c>
      <x:c r="AB483" s="9" t="n">
        <x:f>MOD(AA483*16807,2147483647)</x:f>
        <x:v>2074506555</x:v>
      </x:c>
      <x:c r="AC483" s="17" t="n">
        <x:f>IF('Control Room'!$B$5="Normal",'Control Room'!$B$7+'Control Room'!$D$7*SQRT(-2*LN(MAX(0.000000000001,AA483/2147483647)))*COS(2*PI()*AB483/2147483647),'Control Room'!$B$8+('Control Room'!$D$8-'Control Room'!$B$8)*AA483/2147483647)</x:f>
        <x:v>1144.3192554623465</x:v>
      </x:c>
      <x:c r="AD483" s="17" t="n">
        <x:f>IF('Control Room'!$B$5="Normal",'Control Room'!$B$7,('Control Room'!$B$8+'Control Room'!$D$8)/2)+'Control Room'!$B$9*(AD482-IF('Control Room'!$B$5="Normal",'Control Room'!$B$7,('Control Room'!$B$8+'Control Room'!$D$8)/2))+SQRT(1-'Control Room'!$B$9^2)*(AC483-IF('Control Room'!$B$5="Normal",'Control Room'!$B$7,('Control Room'!$B$8+'Control Room'!$D$8)/2))</x:f>
        <x:v>1079.410368772374</x:v>
      </x:c>
      <x:c r="AE483" s="17" t="n">
        <x:f>IF(AND($A483&gt;='Control Room'!$A$13,$A483&lt;'Control Room'!$A$13+'Control Room'!$B$13,'Process'!BP2=1),1+('Control Room'!$C$13-1)*EXP(-0.5*(($A483-'Control Room'!$A$13-('Control Room'!$B$13-1)/2)/MAX(0.5,'Control Room'!$B$13/4))^2),1)*IF(AND($A483&gt;='Control Room'!$A$14,$A483&lt;'Control Room'!$A$14+'Control Room'!$B$14,'Process'!BP3=1),1+('Control Room'!$C$14-1)*EXP(-0.5*(($A483-'Control Room'!$A$14-('Control Room'!$B$14-1)/2)/MAX(0.5,'Control Room'!$B$14/4))^2),1)*IF(AND($A483&gt;='Control Room'!$A$15,$A483&lt;'Control Room'!$A$15+'Control Room'!$B$15,'Process'!BP4=1),1+('Control Room'!$C$15-1)*EXP(-0.5*(($A483-'Control Room'!$A$15-('Control Room'!$B$15-1)/2)/MAX(0.5,'Control Room'!$B$15/4))^2),1)*IF(AND($A483&gt;='Control Room'!$A$16,$A483&lt;'Control Room'!$A$16+'Control Room'!$B$16,'Process'!BP5=1),1+('Control Room'!$C$16-1)*EXP(-0.5*(($A483-'Control Room'!$A$16-('Control Room'!$B$16-1)/2)/MAX(0.5,'Control Room'!$B$16/4))^2),1)</x:f>
        <x:v>1</x:v>
      </x:c>
      <x:c r="AF483" s="9" t="n">
        <x:f>MOD(AG482*16807,2147483647)</x:f>
        <x:v>672443786</x:v>
      </x:c>
      <x:c r="AG483" s="9" t="n">
        <x:f>MOD(AF483*16807,2147483647)</x:f>
        <x:v>1703760788</x:v>
      </x:c>
      <x:c r="AH483" s="17" t="n">
        <x:f>IF('Control Room'!$B$5="Normal",'Control Room'!$B$7+'Control Room'!$D$7*SQRT(-2*LN(MAX(0.000000000001,AF483/2147483647)))*COS(2*PI()*AG483/2147483647),'Control Room'!$B$8+('Control Room'!$D$8-'Control Room'!$B$8)*AF483/2147483647)</x:f>
        <x:v>1036.917538254669</x:v>
      </x:c>
      <x:c r="AI483" s="17" t="n">
        <x:f>IF('Control Room'!$B$5="Normal",'Control Room'!$B$7,('Control Room'!$B$8+'Control Room'!$D$8)/2)+'Control Room'!$B$9*(AI482-IF('Control Room'!$B$5="Normal",'Control Room'!$B$7,('Control Room'!$B$8+'Control Room'!$D$8)/2))+SQRT(1-'Control Room'!$B$9^2)*(AH483-IF('Control Room'!$B$5="Normal",'Control Room'!$B$7,('Control Room'!$B$8+'Control Room'!$D$8)/2))</x:f>
        <x:v>1086.380852127741</x:v>
      </x:c>
      <x:c r="AJ483" s="17" t="n">
        <x:f>IF(AND($A483&gt;='Control Room'!$A$13,$A483&lt;'Control Room'!$A$13+'Control Room'!$B$13,'Process'!BQ2=1),1+('Control Room'!$C$13-1)*EXP(-0.5*(($A483-'Control Room'!$A$13-('Control Room'!$B$13-1)/2)/MAX(0.5,'Control Room'!$B$13/4))^2),1)*IF(AND($A483&gt;='Control Room'!$A$14,$A483&lt;'Control Room'!$A$14+'Control Room'!$B$14,'Process'!BQ3=1),1+('Control Room'!$C$14-1)*EXP(-0.5*(($A483-'Control Room'!$A$14-('Control Room'!$B$14-1)/2)/MAX(0.5,'Control Room'!$B$14/4))^2),1)*IF(AND($A483&gt;='Control Room'!$A$15,$A483&lt;'Control Room'!$A$15+'Control Room'!$B$15,'Process'!BQ4=1),1+('Control Room'!$C$15-1)*EXP(-0.5*(($A483-'Control Room'!$A$15-('Control Room'!$B$15-1)/2)/MAX(0.5,'Control Room'!$B$15/4))^2),1)*IF(AND($A483&gt;='Control Room'!$A$16,$A483&lt;'Control Room'!$A$16+'Control Room'!$B$16,'Process'!BQ5=1),1+('Control Room'!$C$16-1)*EXP(-0.5*(($A483-'Control Room'!$A$16-('Control Room'!$B$16-1)/2)/MAX(0.5,'Control Room'!$B$16/4))^2),1)</x:f>
        <x:v>1</x:v>
      </x:c>
      <x:c r="AK483" s="9" t="n">
        <x:f>MOD(AL482*16807,2147483647)</x:f>
        <x:v>786012074</x:v>
      </x:c>
      <x:c r="AL483" s="9" t="n">
        <x:f>MOD(AK483*16807,2147483647)</x:f>
        <x:v>1333015021</x:v>
      </x:c>
      <x:c r="AM483" s="17" t="n">
        <x:f>IF('Control Room'!$B$5="Normal",'Control Room'!$B$7+'Control Room'!$D$7*SQRT(-2*LN(MAX(0.000000000001,AK483/2147483647)))*COS(2*PI()*AL483/2147483647),'Control Room'!$B$8+('Control Room'!$D$8-'Control Room'!$B$8)*AK483/2147483647)</x:f>
        <x:v>907.3856285901478</x:v>
      </x:c>
      <x:c r="AN483" s="17" t="n">
        <x:f>IF('Control Room'!$B$5="Normal",'Control Room'!$B$7,('Control Room'!$B$8+'Control Room'!$D$8)/2)+'Control Room'!$B$9*(AN482-IF('Control Room'!$B$5="Normal",'Control Room'!$B$7,('Control Room'!$B$8+'Control Room'!$D$8)/2))+SQRT(1-'Control Room'!$B$9^2)*(AM483-IF('Control Room'!$B$5="Normal",'Control Room'!$B$7,('Control Room'!$B$8+'Control Room'!$D$8)/2))</x:f>
        <x:v>1006.0285253203366</x:v>
      </x:c>
      <x:c r="AO483" s="17" t="n">
        <x:f>IF(AND($A483&gt;='Control Room'!$A$13,$A483&lt;'Control Room'!$A$13+'Control Room'!$B$13,'Process'!BR2=1),1+('Control Room'!$C$13-1)*EXP(-0.5*(($A483-'Control Room'!$A$13-('Control Room'!$B$13-1)/2)/MAX(0.5,'Control Room'!$B$13/4))^2),1)*IF(AND($A483&gt;='Control Room'!$A$14,$A483&lt;'Control Room'!$A$14+'Control Room'!$B$14,'Process'!BR3=1),1+('Control Room'!$C$14-1)*EXP(-0.5*(($A483-'Control Room'!$A$14-('Control Room'!$B$14-1)/2)/MAX(0.5,'Control Room'!$B$14/4))^2),1)*IF(AND($A483&gt;='Control Room'!$A$15,$A483&lt;'Control Room'!$A$15+'Control Room'!$B$15,'Process'!BR4=1),1+('Control Room'!$C$15-1)*EXP(-0.5*(($A483-'Control Room'!$A$15-('Control Room'!$B$15-1)/2)/MAX(0.5,'Control Room'!$B$15/4))^2),1)*IF(AND($A483&gt;='Control Room'!$A$16,$A483&lt;'Control Room'!$A$16+'Control Room'!$B$16,'Process'!BR5=1),1+('Control Room'!$C$16-1)*EXP(-0.5*(($A483-'Control Room'!$A$16-('Control Room'!$B$16-1)/2)/MAX(0.5,'Control Room'!$B$16/4))^2),1)</x:f>
        <x:v>1</x:v>
      </x:c>
      <x:c r="AP483" s="9" t="n">
        <x:f>MOD(AQ482*16807,2147483647)</x:f>
        <x:v>899580362</x:v>
      </x:c>
      <x:c r="AQ483" s="9" t="n">
        <x:f>MOD(AP483*16807,2147483647)</x:f>
        <x:v>962269254</x:v>
      </x:c>
      <x:c r="AR483" s="17" t="n">
        <x:f>IF('Control Room'!$B$5="Normal",'Control Room'!$B$7+'Control Room'!$D$7*SQRT(-2*LN(MAX(0.000000000001,AP483/2147483647)))*COS(2*PI()*AQ483/2147483647),'Control Room'!$B$8+('Control Room'!$D$8-'Control Room'!$B$8)*AP483/2147483647)</x:f>
        <x:v>887.5323504470539</x:v>
      </x:c>
      <x:c r="AS483" s="17" t="n">
        <x:f>IF('Control Room'!$B$5="Normal",'Control Room'!$B$7,('Control Room'!$B$8+'Control Room'!$D$8)/2)+'Control Room'!$B$9*(AS482-IF('Control Room'!$B$5="Normal",'Control Room'!$B$7,('Control Room'!$B$8+'Control Room'!$D$8)/2))+SQRT(1-'Control Room'!$B$9^2)*(AR483-IF('Control Room'!$B$5="Normal",'Control Room'!$B$7,('Control Room'!$B$8+'Control Room'!$D$8)/2))</x:f>
        <x:v>890.8309350568986</x:v>
      </x:c>
      <x:c r="AT483" s="17" t="n">
        <x:f>IF(AND($A483&gt;='Control Room'!$A$13,$A483&lt;'Control Room'!$A$13+'Control Room'!$B$13,'Process'!BS2=1),1+('Control Room'!$C$13-1)*EXP(-0.5*(($A483-'Control Room'!$A$13-('Control Room'!$B$13-1)/2)/MAX(0.5,'Control Room'!$B$13/4))^2),1)*IF(AND($A483&gt;='Control Room'!$A$14,$A483&lt;'Control Room'!$A$14+'Control Room'!$B$14,'Process'!BS3=1),1+('Control Room'!$C$14-1)*EXP(-0.5*(($A483-'Control Room'!$A$14-('Control Room'!$B$14-1)/2)/MAX(0.5,'Control Room'!$B$14/4))^2),1)*IF(AND($A483&gt;='Control Room'!$A$15,$A483&lt;'Control Room'!$A$15+'Control Room'!$B$15,'Process'!BS4=1),1+('Control Room'!$C$15-1)*EXP(-0.5*(($A483-'Control Room'!$A$15-('Control Room'!$B$15-1)/2)/MAX(0.5,'Control Room'!$B$15/4))^2),1)*IF(AND($A483&gt;='Control Room'!$A$16,$A483&lt;'Control Room'!$A$16+'Control Room'!$B$16,'Process'!BS5=1),1+('Control Room'!$C$16-1)*EXP(-0.5*(($A483-'Control Room'!$A$16-('Control Room'!$B$16-1)/2)/MAX(0.5,'Control Room'!$B$16/4))^2),1)</x:f>
        <x:v>1</x:v>
      </x:c>
      <x:c r="AU483" s="9" t="n">
        <x:f>MOD(AV482*16807,2147483647)</x:f>
        <x:v>1013148650</x:v>
      </x:c>
      <x:c r="AV483" s="9" t="n">
        <x:f>MOD(AU483*16807,2147483647)</x:f>
        <x:v>591523487</x:v>
      </x:c>
      <x:c r="AW483" s="17" t="n">
        <x:f>IF('Control Room'!$B$5="Normal",'Control Room'!$B$7+'Control Room'!$D$7*SQRT(-2*LN(MAX(0.000000000001,AU483/2147483647)))*COS(2*PI()*AV483/2147483647),'Control Room'!$B$8+('Control Room'!$D$8-'Control Room'!$B$8)*AU483/2147483647)</x:f>
        <x:v>982.4347900989903</x:v>
      </x:c>
      <x:c r="AX483" s="17" t="n">
        <x:f>IF('Control Room'!$B$5="Normal",'Control Room'!$B$7,('Control Room'!$B$8+'Control Room'!$D$8)/2)+'Control Room'!$B$9*(AX482-IF('Control Room'!$B$5="Normal",'Control Room'!$B$7,('Control Room'!$B$8+'Control Room'!$D$8)/2))+SQRT(1-'Control Room'!$B$9^2)*(AW483-IF('Control Room'!$B$5="Normal",'Control Room'!$B$7,('Control Room'!$B$8+'Control Room'!$D$8)/2))</x:f>
        <x:v>910.1777319202612</x:v>
      </x:c>
      <x:c r="AY483" s="17" t="n">
        <x:f>IF(AND($A483&gt;='Control Room'!$A$13,$A483&lt;'Control Room'!$A$13+'Control Room'!$B$13,'Process'!BT2=1),1+('Control Room'!$C$13-1)*EXP(-0.5*(($A483-'Control Room'!$A$13-('Control Room'!$B$13-1)/2)/MAX(0.5,'Control Room'!$B$13/4))^2),1)*IF(AND($A483&gt;='Control Room'!$A$14,$A483&lt;'Control Room'!$A$14+'Control Room'!$B$14,'Process'!BT3=1),1+('Control Room'!$C$14-1)*EXP(-0.5*(($A483-'Control Room'!$A$14-('Control Room'!$B$14-1)/2)/MAX(0.5,'Control Room'!$B$14/4))^2),1)*IF(AND($A483&gt;='Control Room'!$A$15,$A483&lt;'Control Room'!$A$15+'Control Room'!$B$15,'Process'!BT4=1),1+('Control Room'!$C$15-1)*EXP(-0.5*(($A483-'Control Room'!$A$15-('Control Room'!$B$15-1)/2)/MAX(0.5,'Control Room'!$B$15/4))^2),1)*IF(AND($A483&gt;='Control Room'!$A$16,$A483&lt;'Control Room'!$A$16+'Control Room'!$B$16,'Process'!BT5=1),1+('Control Room'!$C$16-1)*EXP(-0.5*(($A483-'Control Room'!$A$16-('Control Room'!$B$16-1)/2)/MAX(0.5,'Control Room'!$B$16/4))^2),1)</x:f>
        <x:v>1</x:v>
      </x:c>
      <x:c r="AZ483" s="9" t="n">
        <x:f>MOD(BA482*16807,2147483647)</x:f>
        <x:v>1126716938</x:v>
      </x:c>
      <x:c r="BA483" s="9" t="n">
        <x:f>MOD(AZ483*16807,2147483647)</x:f>
        <x:v>220777720</x:v>
      </x:c>
      <x:c r="BB483" s="17" t="n">
        <x:f>IF('Control Room'!$B$5="Normal",'Control Room'!$B$7+'Control Room'!$D$7*SQRT(-2*LN(MAX(0.000000000001,AZ483/2147483647)))*COS(2*PI()*BA483/2147483647),'Control Room'!$B$8+('Control Room'!$D$8-'Control Room'!$B$8)*AZ483/2147483647)</x:f>
        <x:v>1081.6245448468121</x:v>
      </x:c>
      <x:c r="BC483" s="17" t="n">
        <x:f>IF('Control Room'!$B$5="Normal",'Control Room'!$B$7,('Control Room'!$B$8+'Control Room'!$D$8)/2)+'Control Room'!$B$9*(BC482-IF('Control Room'!$B$5="Normal",'Control Room'!$B$7,('Control Room'!$B$8+'Control Room'!$D$8)/2))+SQRT(1-'Control Room'!$B$9^2)*(BB483-IF('Control Room'!$B$5="Normal",'Control Room'!$B$7,('Control Room'!$B$8+'Control Room'!$D$8)/2))</x:f>
        <x:v>1016.5384900117843</x:v>
      </x:c>
      <x:c r="BD483" s="17" t="n">
        <x:f>IF(AND($A483&gt;='Control Room'!$A$13,$A483&lt;'Control Room'!$A$13+'Control Room'!$B$13,'Process'!BU2=1),1+('Control Room'!$C$13-1)*EXP(-0.5*(($A483-'Control Room'!$A$13-('Control Room'!$B$13-1)/2)/MAX(0.5,'Control Room'!$B$13/4))^2),1)*IF(AND($A483&gt;='Control Room'!$A$14,$A483&lt;'Control Room'!$A$14+'Control Room'!$B$14,'Process'!BU3=1),1+('Control Room'!$C$14-1)*EXP(-0.5*(($A483-'Control Room'!$A$14-('Control Room'!$B$14-1)/2)/MAX(0.5,'Control Room'!$B$14/4))^2),1)*IF(AND($A483&gt;='Control Room'!$A$15,$A483&lt;'Control Room'!$A$15+'Control Room'!$B$15,'Process'!BU4=1),1+('Control Room'!$C$15-1)*EXP(-0.5*(($A483-'Control Room'!$A$15-('Control Room'!$B$15-1)/2)/MAX(0.5,'Control Room'!$B$15/4))^2),1)*IF(AND($A483&gt;='Control Room'!$A$16,$A483&lt;'Control Room'!$A$16+'Control Room'!$B$16,'Process'!BU5=1),1+('Control Room'!$C$16-1)*EXP(-0.5*(($A483-'Control Room'!$A$16-('Control Room'!$B$16-1)/2)/MAX(0.5,'Control Room'!$B$16/4))^2),1)</x:f>
        <x:v>1</x:v>
      </x:c>
      <x:c r="BE483" s="9" t="n">
        <x:f>MOD(BF482*16807,2147483647)</x:f>
        <x:v>1240285226</x:v>
      </x:c>
      <x:c r="BF483" s="9" t="n">
        <x:f>MOD(BE483*16807,2147483647)</x:f>
        <x:v>1997515600</x:v>
      </x:c>
      <x:c r="BG483" s="17" t="n">
        <x:f>IF('Control Room'!$B$5="Normal",'Control Room'!$B$7+'Control Room'!$D$7*SQRT(-2*LN(MAX(0.000000000001,BE483/2147483647)))*COS(2*PI()*BF483/2147483647),'Control Room'!$B$8+('Control Room'!$D$8-'Control Room'!$B$8)*BE483/2147483647)</x:f>
        <x:v>1085.3697621802585</x:v>
      </x:c>
      <x:c r="BH483" s="17" t="n">
        <x:f>IF('Control Room'!$B$5="Normal",'Control Room'!$B$7,('Control Room'!$B$8+'Control Room'!$D$8)/2)+'Control Room'!$B$9*(BH482-IF('Control Room'!$B$5="Normal",'Control Room'!$B$7,('Control Room'!$B$8+'Control Room'!$D$8)/2))+SQRT(1-'Control Room'!$B$9^2)*(BG483-IF('Control Room'!$B$5="Normal",'Control Room'!$B$7,('Control Room'!$B$8+'Control Room'!$D$8)/2))</x:f>
        <x:v>1032.8125477196152</x:v>
      </x:c>
      <x:c r="BI483" s="17" t="n">
        <x:f>IF(AND($A483&gt;='Control Room'!$A$13,$A483&lt;'Control Room'!$A$13+'Control Room'!$B$13,'Process'!BV2=1),1+('Control Room'!$C$13-1)*EXP(-0.5*(($A483-'Control Room'!$A$13-('Control Room'!$B$13-1)/2)/MAX(0.5,'Control Room'!$B$13/4))^2),1)*IF(AND($A483&gt;='Control Room'!$A$14,$A483&lt;'Control Room'!$A$14+'Control Room'!$B$14,'Process'!BV3=1),1+('Control Room'!$C$14-1)*EXP(-0.5*(($A483-'Control Room'!$A$14-('Control Room'!$B$14-1)/2)/MAX(0.5,'Control Room'!$B$14/4))^2),1)*IF(AND($A483&gt;='Control Room'!$A$15,$A483&lt;'Control Room'!$A$15+'Control Room'!$B$15,'Process'!BV4=1),1+('Control Room'!$C$15-1)*EXP(-0.5*(($A483-'Control Room'!$A$15-('Control Room'!$B$15-1)/2)/MAX(0.5,'Control Room'!$B$15/4))^2),1)*IF(AND($A483&gt;='Control Room'!$A$16,$A483&lt;'Control Room'!$A$16+'Control Room'!$B$16,'Process'!BV5=1),1+('Control Room'!$C$16-1)*EXP(-0.5*(($A483-'Control Room'!$A$16-('Control Room'!$B$16-1)/2)/MAX(0.5,'Control Room'!$B$16/4))^2),1)</x:f>
        <x:v>1</x:v>
      </x:c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Z483" t="str">
        <x:f>IF('Data'!A483="","",TEXT('Data'!A483,"mm-dd"))</x:f>
      </x:c>
    </x:row>
    <x:row r="484" ht="21" customHeight="1">
      <x:c r="A484" s="15" t="n">
        <x:f>'Control Room'!$B$1+482</x:f>
        <x:v>73473</x:v>
      </x:c>
      <x:c r="B484" s="9" t="n">
        <x:f>MOD(C483*16807,2147483647)</x:f>
        <x:v>1762440009</x:v>
      </x:c>
      <x:c r="C484" s="9" t="n">
        <x:f>MOD(B484*16807,2147483647)</x:f>
        <x:v>1087288192</x:v>
      </x:c>
      <x:c r="D484" s="17" t="n">
        <x:f>IF('Control Room'!$B$5="Normal",'Control Room'!$B$7+'Control Room'!$D$7*SQRT(-2*LN(MAX(0.000000000001,B484/2147483647)))*COS(2*PI()*C484/2147483647),'Control Room'!$B$8+('Control Room'!$D$8-'Control Room'!$B$8)*B484/2147483647)</x:f>
        <x:v>943.4663438966229</x:v>
      </x:c>
      <x:c r="E484" s="17" t="n">
        <x:f>IF('Control Room'!$B$5="Normal",'Control Room'!$B$7,('Control Room'!$B$8+'Control Room'!$D$8)/2)+'Control Room'!$B$9*(E483-IF('Control Room'!$B$5="Normal",'Control Room'!$B$7,('Control Room'!$B$8+'Control Room'!$D$8)/2))+SQRT(1-'Control Room'!$B$9^2)*(D484-IF('Control Room'!$B$5="Normal",'Control Room'!$B$7,('Control Room'!$B$8+'Control Room'!$D$8)/2))</x:f>
        <x:v>1067.849949180382</x:v>
      </x:c>
      <x:c r="F484" s="17" t="n">
        <x:f>IF(AND($A484&gt;='Control Room'!$A$13,$A484&lt;'Control Room'!$A$13+'Control Room'!$B$13,'Process'!BK2=1),1+('Control Room'!$C$13-1)*EXP(-0.5*(($A484-'Control Room'!$A$13-('Control Room'!$B$13-1)/2)/MAX(0.5,'Control Room'!$B$13/4))^2),1)*IF(AND($A484&gt;='Control Room'!$A$14,$A484&lt;'Control Room'!$A$14+'Control Room'!$B$14,'Process'!BK3=1),1+('Control Room'!$C$14-1)*EXP(-0.5*(($A484-'Control Room'!$A$14-('Control Room'!$B$14-1)/2)/MAX(0.5,'Control Room'!$B$14/4))^2),1)*IF(AND($A484&gt;='Control Room'!$A$15,$A484&lt;'Control Room'!$A$15+'Control Room'!$B$15,'Process'!BK4=1),1+('Control Room'!$C$15-1)*EXP(-0.5*(($A484-'Control Room'!$A$15-('Control Room'!$B$15-1)/2)/MAX(0.5,'Control Room'!$B$15/4))^2),1)*IF(AND($A484&gt;='Control Room'!$A$16,$A484&lt;'Control Room'!$A$16+'Control Room'!$B$16,'Process'!BK5=1),1+('Control Room'!$C$16-1)*EXP(-0.5*(($A484-'Control Room'!$A$16-('Control Room'!$B$16-1)/2)/MAX(0.5,'Control Room'!$B$16/4))^2),1)</x:f>
        <x:v>1</x:v>
      </x:c>
      <x:c r="G484" s="9" t="n">
        <x:f>MOD(H483*16807,2147483647)</x:f>
        <x:v>488393987</x:v>
      </x:c>
      <x:c r="H484" s="9" t="n">
        <x:f>MOD(G484*16807,2147483647)</x:f>
        <x:v>755240675</x:v>
      </x:c>
      <x:c r="I484" s="17" t="n">
        <x:f>IF('Control Room'!$B$5="Normal",'Control Room'!$B$7+'Control Room'!$D$7*SQRT(-2*LN(MAX(0.000000000001,G484/2147483647)))*COS(2*PI()*H484/2147483647),'Control Room'!$B$8+('Control Room'!$D$8-'Control Room'!$B$8)*G484/2147483647)</x:f>
        <x:v>907.6350709304711</x:v>
      </x:c>
      <x:c r="J484" s="17" t="n">
        <x:f>IF('Control Room'!$B$5="Normal",'Control Room'!$B$7,('Control Room'!$B$8+'Control Room'!$D$8)/2)+'Control Room'!$B$9*(J483-IF('Control Room'!$B$5="Normal",'Control Room'!$B$7,('Control Room'!$B$8+'Control Room'!$D$8)/2))+SQRT(1-'Control Room'!$B$9^2)*(I484-IF('Control Room'!$B$5="Normal",'Control Room'!$B$7,('Control Room'!$B$8+'Control Room'!$D$8)/2))</x:f>
        <x:v>891.0637532697091</x:v>
      </x:c>
      <x:c r="K484" s="17" t="n">
        <x:f>IF(AND($A484&gt;='Control Room'!$A$13,$A484&lt;'Control Room'!$A$13+'Control Room'!$B$13,'Process'!BL2=1),1+('Control Room'!$C$13-1)*EXP(-0.5*(($A484-'Control Room'!$A$13-('Control Room'!$B$13-1)/2)/MAX(0.5,'Control Room'!$B$13/4))^2),1)*IF(AND($A484&gt;='Control Room'!$A$14,$A484&lt;'Control Room'!$A$14+'Control Room'!$B$14,'Process'!BL3=1),1+('Control Room'!$C$14-1)*EXP(-0.5*(($A484-'Control Room'!$A$14-('Control Room'!$B$14-1)/2)/MAX(0.5,'Control Room'!$B$14/4))^2),1)*IF(AND($A484&gt;='Control Room'!$A$15,$A484&lt;'Control Room'!$A$15+'Control Room'!$B$15,'Process'!BL4=1),1+('Control Room'!$C$15-1)*EXP(-0.5*(($A484-'Control Room'!$A$15-('Control Room'!$B$15-1)/2)/MAX(0.5,'Control Room'!$B$15/4))^2),1)*IF(AND($A484&gt;='Control Room'!$A$16,$A484&lt;'Control Room'!$A$16+'Control Room'!$B$16,'Process'!BL5=1),1+('Control Room'!$C$16-1)*EXP(-0.5*(($A484-'Control Room'!$A$16-('Control Room'!$B$16-1)/2)/MAX(0.5,'Control Room'!$B$16/4))^2),1)</x:f>
        <x:v>1</x:v>
      </x:c>
      <x:c r="L484" s="9" t="n">
        <x:f>MOD(M483*16807,2147483647)</x:f>
        <x:v>1361831612</x:v>
      </x:c>
      <x:c r="M484" s="9" t="n">
        <x:f>MOD(L484*16807,2147483647)</x:f>
        <x:v>423193158</x:v>
      </x:c>
      <x:c r="N484" s="17" t="n">
        <x:f>IF('Control Room'!$B$5="Normal",'Control Room'!$B$7+'Control Room'!$D$7*SQRT(-2*LN(MAX(0.000000000001,L484/2147483647)))*COS(2*PI()*M484/2147483647),'Control Room'!$B$8+('Control Room'!$D$8-'Control Room'!$B$8)*L484/2147483647)</x:f>
        <x:v>1028.046202757402</x:v>
      </x:c>
      <x:c r="O484" s="17" t="n">
        <x:f>IF('Control Room'!$B$5="Normal",'Control Room'!$B$7,('Control Room'!$B$8+'Control Room'!$D$8)/2)+'Control Room'!$B$9*(O483-IF('Control Room'!$B$5="Normal",'Control Room'!$B$7,('Control Room'!$B$8+'Control Room'!$D$8)/2))+SQRT(1-'Control Room'!$B$9^2)*(N484-IF('Control Room'!$B$5="Normal",'Control Room'!$B$7,('Control Room'!$B$8+'Control Room'!$D$8)/2))</x:f>
        <x:v>937.0511076878041</x:v>
      </x:c>
      <x:c r="P484" s="17" t="n">
        <x:f>IF(AND($A484&gt;='Control Room'!$A$13,$A484&lt;'Control Room'!$A$13+'Control Room'!$B$13,'Process'!BM2=1),1+('Control Room'!$C$13-1)*EXP(-0.5*(($A484-'Control Room'!$A$13-('Control Room'!$B$13-1)/2)/MAX(0.5,'Control Room'!$B$13/4))^2),1)*IF(AND($A484&gt;='Control Room'!$A$14,$A484&lt;'Control Room'!$A$14+'Control Room'!$B$14,'Process'!BM3=1),1+('Control Room'!$C$14-1)*EXP(-0.5*(($A484-'Control Room'!$A$14-('Control Room'!$B$14-1)/2)/MAX(0.5,'Control Room'!$B$14/4))^2),1)*IF(AND($A484&gt;='Control Room'!$A$15,$A484&lt;'Control Room'!$A$15+'Control Room'!$B$15,'Process'!BM4=1),1+('Control Room'!$C$15-1)*EXP(-0.5*(($A484-'Control Room'!$A$15-('Control Room'!$B$15-1)/2)/MAX(0.5,'Control Room'!$B$15/4))^2),1)*IF(AND($A484&gt;='Control Room'!$A$16,$A484&lt;'Control Room'!$A$16+'Control Room'!$B$16,'Process'!BM5=1),1+('Control Room'!$C$16-1)*EXP(-0.5*(($A484-'Control Room'!$A$16-('Control Room'!$B$16-1)/2)/MAX(0.5,'Control Room'!$B$16/4))^2),1)</x:f>
        <x:v>1</x:v>
      </x:c>
      <x:c r="Q484" s="9" t="n">
        <x:f>MOD(R483*16807,2147483647)</x:f>
        <x:v>87785590</x:v>
      </x:c>
      <x:c r="R484" s="9" t="n">
        <x:f>MOD(Q484*16807,2147483647)</x:f>
        <x:v>91145641</x:v>
      </x:c>
      <x:c r="S484" s="17" t="n">
        <x:f>IF('Control Room'!$B$5="Normal",'Control Room'!$B$7+'Control Room'!$D$7*SQRT(-2*LN(MAX(0.000000000001,Q484/2147483647)))*COS(2*PI()*R484/2147483647),'Control Room'!$B$8+('Control Room'!$D$8-'Control Room'!$B$8)*Q484/2147483647)</x:f>
        <x:v>1219.538119494306</x:v>
      </x:c>
      <x:c r="T484" s="17" t="n">
        <x:f>IF('Control Room'!$B$5="Normal",'Control Room'!$B$7,('Control Room'!$B$8+'Control Room'!$D$8)/2)+'Control Room'!$B$9*(T483-IF('Control Room'!$B$5="Normal",'Control Room'!$B$7,('Control Room'!$B$8+'Control Room'!$D$8)/2))+SQRT(1-'Control Room'!$B$9^2)*(S484-IF('Control Room'!$B$5="Normal",'Control Room'!$B$7,('Control Room'!$B$8+'Control Room'!$D$8)/2))</x:f>
        <x:v>1034.9805109507838</x:v>
      </x:c>
      <x:c r="U484" s="17" t="n">
        <x:f>IF(AND($A484&gt;='Control Room'!$A$13,$A484&lt;'Control Room'!$A$13+'Control Room'!$B$13,'Process'!BN2=1),1+('Control Room'!$C$13-1)*EXP(-0.5*(($A484-'Control Room'!$A$13-('Control Room'!$B$13-1)/2)/MAX(0.5,'Control Room'!$B$13/4))^2),1)*IF(AND($A484&gt;='Control Room'!$A$14,$A484&lt;'Control Room'!$A$14+'Control Room'!$B$14,'Process'!BN3=1),1+('Control Room'!$C$14-1)*EXP(-0.5*(($A484-'Control Room'!$A$14-('Control Room'!$B$14-1)/2)/MAX(0.5,'Control Room'!$B$14/4))^2),1)*IF(AND($A484&gt;='Control Room'!$A$15,$A484&lt;'Control Room'!$A$15+'Control Room'!$B$15,'Process'!BN4=1),1+('Control Room'!$C$15-1)*EXP(-0.5*(($A484-'Control Room'!$A$15-('Control Room'!$B$15-1)/2)/MAX(0.5,'Control Room'!$B$15/4))^2),1)*IF(AND($A484&gt;='Control Room'!$A$16,$A484&lt;'Control Room'!$A$16+'Control Room'!$B$16,'Process'!BN5=1),1+('Control Room'!$C$16-1)*EXP(-0.5*(($A484-'Control Room'!$A$16-('Control Room'!$B$16-1)/2)/MAX(0.5,'Control Room'!$B$16/4))^2),1)</x:f>
        <x:v>1</x:v>
      </x:c>
      <x:c r="V484" s="9" t="n">
        <x:f>MOD(W483*16807,2147483647)</x:f>
        <x:v>961223215</x:v>
      </x:c>
      <x:c r="W484" s="9" t="n">
        <x:f>MOD(V484*16807,2147483647)</x:f>
        <x:v>1906581771</x:v>
      </x:c>
      <x:c r="X484" s="17" t="n">
        <x:f>IF('Control Room'!$B$5="Normal",'Control Room'!$B$7+'Control Room'!$D$7*SQRT(-2*LN(MAX(0.000000000001,V484/2147483647)))*COS(2*PI()*W484/2147483647),'Control Room'!$B$8+('Control Room'!$D$8-'Control Room'!$B$8)*V484/2147483647)</x:f>
        <x:v>1086.923382946488</x:v>
      </x:c>
      <x:c r="Y484" s="17" t="n">
        <x:f>IF('Control Room'!$B$5="Normal",'Control Room'!$B$7,('Control Room'!$B$8+'Control Room'!$D$8)/2)+'Control Room'!$B$9*(Y483-IF('Control Room'!$B$5="Normal",'Control Room'!$B$7,('Control Room'!$B$8+'Control Room'!$D$8)/2))+SQRT(1-'Control Room'!$B$9^2)*(X484-IF('Control Room'!$B$5="Normal",'Control Room'!$B$7,('Control Room'!$B$8+'Control Room'!$D$8)/2))</x:f>
        <x:v>1074.3727233481818</x:v>
      </x:c>
      <x:c r="Z484" s="17" t="n">
        <x:f>IF(AND($A484&gt;='Control Room'!$A$13,$A484&lt;'Control Room'!$A$13+'Control Room'!$B$13,'Process'!BO2=1),1+('Control Room'!$C$13-1)*EXP(-0.5*(($A484-'Control Room'!$A$13-('Control Room'!$B$13-1)/2)/MAX(0.5,'Control Room'!$B$13/4))^2),1)*IF(AND($A484&gt;='Control Room'!$A$14,$A484&lt;'Control Room'!$A$14+'Control Room'!$B$14,'Process'!BO3=1),1+('Control Room'!$C$14-1)*EXP(-0.5*(($A484-'Control Room'!$A$14-('Control Room'!$B$14-1)/2)/MAX(0.5,'Control Room'!$B$14/4))^2),1)*IF(AND($A484&gt;='Control Room'!$A$15,$A484&lt;'Control Room'!$A$15+'Control Room'!$B$15,'Process'!BO4=1),1+('Control Room'!$C$15-1)*EXP(-0.5*(($A484-'Control Room'!$A$15-('Control Room'!$B$15-1)/2)/MAX(0.5,'Control Room'!$B$15/4))^2),1)*IF(AND($A484&gt;='Control Room'!$A$16,$A484&lt;'Control Room'!$A$16+'Control Room'!$B$16,'Process'!BO5=1),1+('Control Room'!$C$16-1)*EXP(-0.5*(($A484-'Control Room'!$A$16-('Control Room'!$B$16-1)/2)/MAX(0.5,'Control Room'!$B$16/4))^2),1)</x:f>
        <x:v>1</x:v>
      </x:c>
      <x:c r="AA484" s="9" t="n">
        <x:f>MOD(AB483*16807,2147483647)</x:f>
        <x:v>1834660840</x:v>
      </x:c>
      <x:c r="AB484" s="9" t="n">
        <x:f>MOD(AA484*16807,2147483647)</x:f>
        <x:v>1574534254</x:v>
      </x:c>
      <x:c r="AC484" s="17" t="n">
        <x:f>IF('Control Room'!$B$5="Normal",'Control Room'!$B$7+'Control Room'!$D$7*SQRT(-2*LN(MAX(0.000000000001,AA484/2147483647)))*COS(2*PI()*AB484/2147483647),'Control Room'!$B$8+('Control Room'!$D$8-'Control Room'!$B$8)*AA484/2147483647)</x:f>
        <x:v>994.6788869650738</x:v>
      </x:c>
      <x:c r="AD484" s="17" t="n">
        <x:f>IF('Control Room'!$B$5="Normal",'Control Room'!$B$7,('Control Room'!$B$8+'Control Room'!$D$8)/2)+'Control Room'!$B$9*(AD483-IF('Control Room'!$B$5="Normal",'Control Room'!$B$7,('Control Room'!$B$8+'Control Room'!$D$8)/2))+SQRT(1-'Control Room'!$B$9^2)*(AC484-IF('Control Room'!$B$5="Normal",'Control Room'!$B$7,('Control Room'!$B$8+'Control Room'!$D$8)/2))</x:f>
        <x:v>1058.6102441141206</x:v>
      </x:c>
      <x:c r="AE484" s="17" t="n">
        <x:f>IF(AND($A484&gt;='Control Room'!$A$13,$A484&lt;'Control Room'!$A$13+'Control Room'!$B$13,'Process'!BP2=1),1+('Control Room'!$C$13-1)*EXP(-0.5*(($A484-'Control Room'!$A$13-('Control Room'!$B$13-1)/2)/MAX(0.5,'Control Room'!$B$13/4))^2),1)*IF(AND($A484&gt;='Control Room'!$A$14,$A484&lt;'Control Room'!$A$14+'Control Room'!$B$14,'Process'!BP3=1),1+('Control Room'!$C$14-1)*EXP(-0.5*(($A484-'Control Room'!$A$14-('Control Room'!$B$14-1)/2)/MAX(0.5,'Control Room'!$B$14/4))^2),1)*IF(AND($A484&gt;='Control Room'!$A$15,$A484&lt;'Control Room'!$A$15+'Control Room'!$B$15,'Process'!BP4=1),1+('Control Room'!$C$15-1)*EXP(-0.5*(($A484-'Control Room'!$A$15-('Control Room'!$B$15-1)/2)/MAX(0.5,'Control Room'!$B$15/4))^2),1)*IF(AND($A484&gt;='Control Room'!$A$16,$A484&lt;'Control Room'!$A$16+'Control Room'!$B$16,'Process'!BP5=1),1+('Control Room'!$C$16-1)*EXP(-0.5*(($A484-'Control Room'!$A$16-('Control Room'!$B$16-1)/2)/MAX(0.5,'Control Room'!$B$16/4))^2),1)</x:f>
        <x:v>1</x:v>
      </x:c>
      <x:c r="AF484" s="9" t="n">
        <x:f>MOD(AG483*16807,2147483647)</x:f>
        <x:v>560614818</x:v>
      </x:c>
      <x:c r="AG484" s="9" t="n">
        <x:f>MOD(AF484*16807,2147483647)</x:f>
        <x:v>1242486737</x:v>
      </x:c>
      <x:c r="AH484" s="17" t="n">
        <x:f>IF('Control Room'!$B$5="Normal",'Control Room'!$B$7+'Control Room'!$D$7*SQRT(-2*LN(MAX(0.000000000001,AF484/2147483647)))*COS(2*PI()*AG484/2147483647),'Control Room'!$B$8+('Control Room'!$D$8-'Control Room'!$B$8)*AF484/2147483647)</x:f>
        <x:v>870.1131199352875</x:v>
      </x:c>
      <x:c r="AI484" s="17" t="n">
        <x:f>IF('Control Room'!$B$5="Normal",'Control Room'!$B$7,('Control Room'!$B$8+'Control Room'!$D$8)/2)+'Control Room'!$B$9*(AI483-IF('Control Room'!$B$5="Normal",'Control Room'!$B$7,('Control Room'!$B$8+'Control Room'!$D$8)/2))+SQRT(1-'Control Room'!$B$9^2)*(AH484-IF('Control Room'!$B$5="Normal",'Control Room'!$B$7,('Control Room'!$B$8+'Control Room'!$D$8)/2))</x:f>
        <x:v>986.0965159925107</x:v>
      </x:c>
      <x:c r="AJ484" s="17" t="n">
        <x:f>IF(AND($A484&gt;='Control Room'!$A$13,$A484&lt;'Control Room'!$A$13+'Control Room'!$B$13,'Process'!BQ2=1),1+('Control Room'!$C$13-1)*EXP(-0.5*(($A484-'Control Room'!$A$13-('Control Room'!$B$13-1)/2)/MAX(0.5,'Control Room'!$B$13/4))^2),1)*IF(AND($A484&gt;='Control Room'!$A$14,$A484&lt;'Control Room'!$A$14+'Control Room'!$B$14,'Process'!BQ3=1),1+('Control Room'!$C$14-1)*EXP(-0.5*(($A484-'Control Room'!$A$14-('Control Room'!$B$14-1)/2)/MAX(0.5,'Control Room'!$B$14/4))^2),1)*IF(AND($A484&gt;='Control Room'!$A$15,$A484&lt;'Control Room'!$A$15+'Control Room'!$B$15,'Process'!BQ4=1),1+('Control Room'!$C$15-1)*EXP(-0.5*(($A484-'Control Room'!$A$15-('Control Room'!$B$15-1)/2)/MAX(0.5,'Control Room'!$B$15/4))^2),1)*IF(AND($A484&gt;='Control Room'!$A$16,$A484&lt;'Control Room'!$A$16+'Control Room'!$B$16,'Process'!BQ5=1),1+('Control Room'!$C$16-1)*EXP(-0.5*(($A484-'Control Room'!$A$16-('Control Room'!$B$16-1)/2)/MAX(0.5,'Control Room'!$B$16/4))^2),1)</x:f>
        <x:v>1</x:v>
      </x:c>
      <x:c r="AK484" s="9" t="n">
        <x:f>MOD(AL483*16807,2147483647)</x:f>
        <x:v>1434052443</x:v>
      </x:c>
      <x:c r="AL484" s="9" t="n">
        <x:f>MOD(AK484*16807,2147483647)</x:f>
        <x:v>910439220</x:v>
      </x:c>
      <x:c r="AM484" s="17" t="n">
        <x:f>IF('Control Room'!$B$5="Normal",'Control Room'!$B$7+'Control Room'!$D$7*SQRT(-2*LN(MAX(0.000000000001,AK484/2147483647)))*COS(2*PI()*AL484/2147483647),'Control Room'!$B$8+('Control Room'!$D$8-'Control Room'!$B$8)*AK484/2147483647)</x:f>
        <x:v>928.1784837904389</x:v>
      </x:c>
      <x:c r="AN484" s="17" t="n">
        <x:f>IF('Control Room'!$B$5="Normal",'Control Room'!$B$7,('Control Room'!$B$8+'Control Room'!$D$8)/2)+'Control Room'!$B$9*(AN483-IF('Control Room'!$B$5="Normal",'Control Room'!$B$7,('Control Room'!$B$8+'Control Room'!$D$8)/2))+SQRT(1-'Control Room'!$B$9^2)*(AM484-IF('Control Room'!$B$5="Normal",'Control Room'!$B$7,('Control Room'!$B$8+'Control Room'!$D$8)/2))</x:f>
        <x:v>959.7578162496534</x:v>
      </x:c>
      <x:c r="AO484" s="17" t="n">
        <x:f>IF(AND($A484&gt;='Control Room'!$A$13,$A484&lt;'Control Room'!$A$13+'Control Room'!$B$13,'Process'!BR2=1),1+('Control Room'!$C$13-1)*EXP(-0.5*(($A484-'Control Room'!$A$13-('Control Room'!$B$13-1)/2)/MAX(0.5,'Control Room'!$B$13/4))^2),1)*IF(AND($A484&gt;='Control Room'!$A$14,$A484&lt;'Control Room'!$A$14+'Control Room'!$B$14,'Process'!BR3=1),1+('Control Room'!$C$14-1)*EXP(-0.5*(($A484-'Control Room'!$A$14-('Control Room'!$B$14-1)/2)/MAX(0.5,'Control Room'!$B$14/4))^2),1)*IF(AND($A484&gt;='Control Room'!$A$15,$A484&lt;'Control Room'!$A$15+'Control Room'!$B$15,'Process'!BR4=1),1+('Control Room'!$C$15-1)*EXP(-0.5*(($A484-'Control Room'!$A$15-('Control Room'!$B$15-1)/2)/MAX(0.5,'Control Room'!$B$15/4))^2),1)*IF(AND($A484&gt;='Control Room'!$A$16,$A484&lt;'Control Room'!$A$16+'Control Room'!$B$16,'Process'!BR5=1),1+('Control Room'!$C$16-1)*EXP(-0.5*(($A484-'Control Room'!$A$16-('Control Room'!$B$16-1)/2)/MAX(0.5,'Control Room'!$B$16/4))^2),1)</x:f>
        <x:v>1</x:v>
      </x:c>
      <x:c r="AP484" s="9" t="n">
        <x:f>MOD(AQ483*16807,2147483647)</x:f>
        <x:v>160006421</x:v>
      </x:c>
      <x:c r="AQ484" s="9" t="n">
        <x:f>MOD(AP484*16807,2147483647)</x:f>
        <x:v>578391703</x:v>
      </x:c>
      <x:c r="AR484" s="17" t="n">
        <x:f>IF('Control Room'!$B$5="Normal",'Control Room'!$B$7+'Control Room'!$D$7*SQRT(-2*LN(MAX(0.000000000001,AP484/2147483647)))*COS(2*PI()*AQ484/2147483647),'Control Room'!$B$8+('Control Room'!$D$8-'Control Room'!$B$8)*AP484/2147483647)</x:f>
        <x:v>975.1442533749128</x:v>
      </x:c>
      <x:c r="AS484" s="17" t="n">
        <x:f>IF('Control Room'!$B$5="Normal",'Control Room'!$B$7,('Control Room'!$B$8+'Control Room'!$D$8)/2)+'Control Room'!$B$9*(AS483-IF('Control Room'!$B$5="Normal",'Control Room'!$B$7,('Control Room'!$B$8+'Control Room'!$D$8)/2))+SQRT(1-'Control Room'!$B$9^2)*(AR484-IF('Control Room'!$B$5="Normal",'Control Room'!$B$7,('Control Room'!$B$8+'Control Room'!$D$8)/2))</x:f>
        <x:v>899.2939123040483</x:v>
      </x:c>
      <x:c r="AT484" s="17" t="n">
        <x:f>IF(AND($A484&gt;='Control Room'!$A$13,$A484&lt;'Control Room'!$A$13+'Control Room'!$B$13,'Process'!BS2=1),1+('Control Room'!$C$13-1)*EXP(-0.5*(($A484-'Control Room'!$A$13-('Control Room'!$B$13-1)/2)/MAX(0.5,'Control Room'!$B$13/4))^2),1)*IF(AND($A484&gt;='Control Room'!$A$14,$A484&lt;'Control Room'!$A$14+'Control Room'!$B$14,'Process'!BS3=1),1+('Control Room'!$C$14-1)*EXP(-0.5*(($A484-'Control Room'!$A$14-('Control Room'!$B$14-1)/2)/MAX(0.5,'Control Room'!$B$14/4))^2),1)*IF(AND($A484&gt;='Control Room'!$A$15,$A484&lt;'Control Room'!$A$15+'Control Room'!$B$15,'Process'!BS4=1),1+('Control Room'!$C$15-1)*EXP(-0.5*(($A484-'Control Room'!$A$15-('Control Room'!$B$15-1)/2)/MAX(0.5,'Control Room'!$B$15/4))^2),1)*IF(AND($A484&gt;='Control Room'!$A$16,$A484&lt;'Control Room'!$A$16+'Control Room'!$B$16,'Process'!BS5=1),1+('Control Room'!$C$16-1)*EXP(-0.5*(($A484-'Control Room'!$A$16-('Control Room'!$B$16-1)/2)/MAX(0.5,'Control Room'!$B$16/4))^2),1)</x:f>
        <x:v>1</x:v>
      </x:c>
      <x:c r="AU484" s="9" t="n">
        <x:f>MOD(AV483*16807,2147483647)</x:f>
        <x:v>1033444046</x:v>
      </x:c>
      <x:c r="AV484" s="9" t="n">
        <x:f>MOD(AU484*16807,2147483647)</x:f>
        <x:v>246344186</x:v>
      </x:c>
      <x:c r="AW484" s="17" t="n">
        <x:f>IF('Control Room'!$B$5="Normal",'Control Room'!$B$7+'Control Room'!$D$7*SQRT(-2*LN(MAX(0.000000000001,AU484/2147483647)))*COS(2*PI()*AV484/2147483647),'Control Room'!$B$8+('Control Room'!$D$8-'Control Room'!$B$8)*AU484/2147483647)</x:f>
        <x:v>1081.78050848408</x:v>
      </x:c>
      <x:c r="AX484" s="17" t="n">
        <x:f>IF('Control Room'!$B$5="Normal",'Control Room'!$B$7,('Control Room'!$B$8+'Control Room'!$D$8)/2)+'Control Room'!$B$9*(AX483-IF('Control Room'!$B$5="Normal",'Control Room'!$B$7,('Control Room'!$B$8+'Control Room'!$D$8)/2))+SQRT(1-'Control Room'!$B$9^2)*(AW484-IF('Control Room'!$B$5="Normal",'Control Room'!$B$7,('Control Room'!$B$8+'Control Room'!$D$8)/2))</x:f>
        <x:v>981.1151977423605</x:v>
      </x:c>
      <x:c r="AY484" s="17" t="n">
        <x:f>IF(AND($A484&gt;='Control Room'!$A$13,$A484&lt;'Control Room'!$A$13+'Control Room'!$B$13,'Process'!BT2=1),1+('Control Room'!$C$13-1)*EXP(-0.5*(($A484-'Control Room'!$A$13-('Control Room'!$B$13-1)/2)/MAX(0.5,'Control Room'!$B$13/4))^2),1)*IF(AND($A484&gt;='Control Room'!$A$14,$A484&lt;'Control Room'!$A$14+'Control Room'!$B$14,'Process'!BT3=1),1+('Control Room'!$C$14-1)*EXP(-0.5*(($A484-'Control Room'!$A$14-('Control Room'!$B$14-1)/2)/MAX(0.5,'Control Room'!$B$14/4))^2),1)*IF(AND($A484&gt;='Control Room'!$A$15,$A484&lt;'Control Room'!$A$15+'Control Room'!$B$15,'Process'!BT4=1),1+('Control Room'!$C$15-1)*EXP(-0.5*(($A484-'Control Room'!$A$15-('Control Room'!$B$15-1)/2)/MAX(0.5,'Control Room'!$B$15/4))^2),1)*IF(AND($A484&gt;='Control Room'!$A$16,$A484&lt;'Control Room'!$A$16+'Control Room'!$B$16,'Process'!BT5=1),1+('Control Room'!$C$16-1)*EXP(-0.5*(($A484-'Control Room'!$A$16-('Control Room'!$B$16-1)/2)/MAX(0.5,'Control Room'!$B$16/4))^2),1)</x:f>
        <x:v>1</x:v>
      </x:c>
      <x:c r="AZ484" s="9" t="n">
        <x:f>MOD(BA483*16807,2147483647)</x:f>
        <x:v>1906881671</x:v>
      </x:c>
      <x:c r="BA484" s="9" t="n">
        <x:f>MOD(AZ484*16807,2147483647)</x:f>
        <x:v>2061780316</x:v>
      </x:c>
      <x:c r="BB484" s="17" t="n">
        <x:f>IF('Control Room'!$B$5="Normal",'Control Room'!$B$7+'Control Room'!$D$7*SQRT(-2*LN(MAX(0.000000000001,AZ484/2147483647)))*COS(2*PI()*BA484/2147483647),'Control Room'!$B$8+('Control Room'!$D$8-'Control Room'!$B$8)*AZ484/2147483647)</x:f>
        <x:v>1042.5027224526748</x:v>
      </x:c>
      <x:c r="BC484" s="17" t="n">
        <x:f>IF('Control Room'!$B$5="Normal",'Control Room'!$B$7,('Control Room'!$B$8+'Control Room'!$D$8)/2)+'Control Room'!$B$9*(BC483-IF('Control Room'!$B$5="Normal",'Control Room'!$B$7,('Control Room'!$B$8+'Control Room'!$D$8)/2))+SQRT(1-'Control Room'!$B$9^2)*(BB484-IF('Control Room'!$B$5="Normal",'Control Room'!$B$7,('Control Room'!$B$8+'Control Room'!$D$8)/2))</x:f>
        <x:v>1039.4973552044787</x:v>
      </x:c>
      <x:c r="BD484" s="17" t="n">
        <x:f>IF(AND($A484&gt;='Control Room'!$A$13,$A484&lt;'Control Room'!$A$13+'Control Room'!$B$13,'Process'!BU2=1),1+('Control Room'!$C$13-1)*EXP(-0.5*(($A484-'Control Room'!$A$13-('Control Room'!$B$13-1)/2)/MAX(0.5,'Control Room'!$B$13/4))^2),1)*IF(AND($A484&gt;='Control Room'!$A$14,$A484&lt;'Control Room'!$A$14+'Control Room'!$B$14,'Process'!BU3=1),1+('Control Room'!$C$14-1)*EXP(-0.5*(($A484-'Control Room'!$A$14-('Control Room'!$B$14-1)/2)/MAX(0.5,'Control Room'!$B$14/4))^2),1)*IF(AND($A484&gt;='Control Room'!$A$15,$A484&lt;'Control Room'!$A$15+'Control Room'!$B$15,'Process'!BU4=1),1+('Control Room'!$C$15-1)*EXP(-0.5*(($A484-'Control Room'!$A$15-('Control Room'!$B$15-1)/2)/MAX(0.5,'Control Room'!$B$15/4))^2),1)*IF(AND($A484&gt;='Control Room'!$A$16,$A484&lt;'Control Room'!$A$16+'Control Room'!$B$16,'Process'!BU5=1),1+('Control Room'!$C$16-1)*EXP(-0.5*(($A484-'Control Room'!$A$16-('Control Room'!$B$16-1)/2)/MAX(0.5,'Control Room'!$B$16/4))^2),1)</x:f>
        <x:v>1</x:v>
      </x:c>
      <x:c r="BE484" s="9" t="n">
        <x:f>MOD(BF483*16807,2147483647)</x:f>
        <x:v>632835649</x:v>
      </x:c>
      <x:c r="BF484" s="9" t="n">
        <x:f>MOD(BE484*16807,2147483647)</x:f>
        <x:v>1729732799</x:v>
      </x:c>
      <x:c r="BG484" s="17" t="n">
        <x:f>IF('Control Room'!$B$5="Normal",'Control Room'!$B$7+'Control Room'!$D$7*SQRT(-2*LN(MAX(0.000000000001,BE484/2147483647)))*COS(2*PI()*BF484/2147483647),'Control Room'!$B$8+('Control Room'!$D$8-'Control Room'!$B$8)*BE484/2147483647)</x:f>
        <x:v>1048.0475934857882</x:v>
      </x:c>
      <x:c r="BH484" s="17" t="n">
        <x:f>IF('Control Room'!$B$5="Normal",'Control Room'!$B$7,('Control Room'!$B$8+'Control Room'!$D$8)/2)+'Control Room'!$B$9*(BH483-IF('Control Room'!$B$5="Normal",'Control Room'!$B$7,('Control Room'!$B$8+'Control Room'!$D$8)/2))+SQRT(1-'Control Room'!$B$9^2)*(BG484-IF('Control Room'!$B$5="Normal",'Control Room'!$B$7,('Control Room'!$B$8+'Control Room'!$D$8)/2))</x:f>
        <x:v>1055.6609869162517</x:v>
      </x:c>
      <x:c r="BI484" s="17" t="n">
        <x:f>IF(AND($A484&gt;='Control Room'!$A$13,$A484&lt;'Control Room'!$A$13+'Control Room'!$B$13,'Process'!BV2=1),1+('Control Room'!$C$13-1)*EXP(-0.5*(($A484-'Control Room'!$A$13-('Control Room'!$B$13-1)/2)/MAX(0.5,'Control Room'!$B$13/4))^2),1)*IF(AND($A484&gt;='Control Room'!$A$14,$A484&lt;'Control Room'!$A$14+'Control Room'!$B$14,'Process'!BV3=1),1+('Control Room'!$C$14-1)*EXP(-0.5*(($A484-'Control Room'!$A$14-('Control Room'!$B$14-1)/2)/MAX(0.5,'Control Room'!$B$14/4))^2),1)*IF(AND($A484&gt;='Control Room'!$A$15,$A484&lt;'Control Room'!$A$15+'Control Room'!$B$15,'Process'!BV4=1),1+('Control Room'!$C$15-1)*EXP(-0.5*(($A484-'Control Room'!$A$15-('Control Room'!$B$15-1)/2)/MAX(0.5,'Control Room'!$B$15/4))^2),1)*IF(AND($A484&gt;='Control Room'!$A$16,$A484&lt;'Control Room'!$A$16+'Control Room'!$B$16,'Process'!BV5=1),1+('Control Room'!$C$16-1)*EXP(-0.5*(($A484-'Control Room'!$A$16-('Control Room'!$B$16-1)/2)/MAX(0.5,'Control Room'!$B$16/4))^2),1)</x:f>
        <x:v>1</x:v>
      </x:c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Z484" t="str">
        <x:f>IF('Data'!A484="","",TEXT('Data'!A484,"mm-dd"))</x:f>
      </x:c>
    </x:row>
    <x:row r="485" ht="21" customHeight="1">
      <x:c r="A485" s="15" t="n">
        <x:f>'Control Room'!$B$1+483</x:f>
        <x:v>73474</x:v>
      </x:c>
      <x:c r="B485" s="9" t="n">
        <x:f>MOD(C484*16807,2147483647)</x:f>
        <x:v>1114290621</x:v>
      </x:c>
      <x:c r="C485" s="9" t="n">
        <x:f>MOD(B485*16807,2147483647)</x:f>
        <x:v>1825065307</x:v>
      </x:c>
      <x:c r="D485" s="17" t="n">
        <x:f>IF('Control Room'!$B$5="Normal",'Control Room'!$B$7+'Control Room'!$D$7*SQRT(-2*LN(MAX(0.000000000001,B485/2147483647)))*COS(2*PI()*C485/2147483647),'Control Room'!$B$8+('Control Room'!$D$8-'Control Room'!$B$8)*B485/2147483647)</x:f>
        <x:v>1060.5252221618816</x:v>
      </x:c>
      <x:c r="E485" s="17" t="n">
        <x:f>IF('Control Room'!$B$5="Normal",'Control Room'!$B$7,('Control Room'!$B$8+'Control Room'!$D$8)/2)+'Control Room'!$B$9*(E484-IF('Control Room'!$B$5="Normal",'Control Room'!$B$7,('Control Room'!$B$8+'Control Room'!$D$8)/2))+SQRT(1-'Control Room'!$B$9^2)*(D485-IF('Control Room'!$B$5="Normal",'Control Room'!$B$7,('Control Room'!$B$8+'Control Room'!$D$8)/2))</x:f>
        <x:v>1090.7984044630316</x:v>
      </x:c>
      <x:c r="F485" s="17" t="n">
        <x:f>IF(AND($A485&gt;='Control Room'!$A$13,$A485&lt;'Control Room'!$A$13+'Control Room'!$B$13,'Process'!BK2=1),1+('Control Room'!$C$13-1)*EXP(-0.5*(($A485-'Control Room'!$A$13-('Control Room'!$B$13-1)/2)/MAX(0.5,'Control Room'!$B$13/4))^2),1)*IF(AND($A485&gt;='Control Room'!$A$14,$A485&lt;'Control Room'!$A$14+'Control Room'!$B$14,'Process'!BK3=1),1+('Control Room'!$C$14-1)*EXP(-0.5*(($A485-'Control Room'!$A$14-('Control Room'!$B$14-1)/2)/MAX(0.5,'Control Room'!$B$14/4))^2),1)*IF(AND($A485&gt;='Control Room'!$A$15,$A485&lt;'Control Room'!$A$15+'Control Room'!$B$15,'Process'!BK4=1),1+('Control Room'!$C$15-1)*EXP(-0.5*(($A485-'Control Room'!$A$15-('Control Room'!$B$15-1)/2)/MAX(0.5,'Control Room'!$B$15/4))^2),1)*IF(AND($A485&gt;='Control Room'!$A$16,$A485&lt;'Control Room'!$A$16+'Control Room'!$B$16,'Process'!BK5=1),1+('Control Room'!$C$16-1)*EXP(-0.5*(($A485-'Control Room'!$A$16-('Control Room'!$B$16-1)/2)/MAX(0.5,'Control Room'!$B$16/4))^2),1)</x:f>
        <x:v>1</x:v>
      </x:c>
      <x:c r="G485" s="9" t="n">
        <x:f>MOD(H484*16807,2147483647)</x:f>
        <x:v>1701670955</x:v>
      </x:c>
      <x:c r="H485" s="9" t="n">
        <x:f>MOD(G485*16807,2147483647)</x:f>
        <x:v>1944013586</x:v>
      </x:c>
      <x:c r="I485" s="17" t="n">
        <x:f>IF('Control Room'!$B$5="Normal",'Control Room'!$B$7+'Control Room'!$D$7*SQRT(-2*LN(MAX(0.000000000001,G485/2147483647)))*COS(2*PI()*H485/2147483647),'Control Room'!$B$8+('Control Room'!$D$8-'Control Room'!$B$8)*G485/2147483647)</x:f>
        <x:v>1050.8342960175828</x:v>
      </x:c>
      <x:c r="J485" s="17" t="n">
        <x:f>IF('Control Room'!$B$5="Normal",'Control Room'!$B$7,('Control Room'!$B$8+'Control Room'!$D$8)/2)+'Control Room'!$B$9*(J484-IF('Control Room'!$B$5="Normal",'Control Room'!$B$7,('Control Room'!$B$8+'Control Room'!$D$8)/2))+SQRT(1-'Control Room'!$B$9^2)*(I485-IF('Control Room'!$B$5="Normal",'Control Room'!$B$7,('Control Room'!$B$8+'Control Room'!$D$8)/2))</x:f>
        <x:v>946.8407886010175</x:v>
      </x:c>
      <x:c r="K485" s="17" t="n">
        <x:f>IF(AND($A485&gt;='Control Room'!$A$13,$A485&lt;'Control Room'!$A$13+'Control Room'!$B$13,'Process'!BL2=1),1+('Control Room'!$C$13-1)*EXP(-0.5*(($A485-'Control Room'!$A$13-('Control Room'!$B$13-1)/2)/MAX(0.5,'Control Room'!$B$13/4))^2),1)*IF(AND($A485&gt;='Control Room'!$A$14,$A485&lt;'Control Room'!$A$14+'Control Room'!$B$14,'Process'!BL3=1),1+('Control Room'!$C$14-1)*EXP(-0.5*(($A485-'Control Room'!$A$14-('Control Room'!$B$14-1)/2)/MAX(0.5,'Control Room'!$B$14/4))^2),1)*IF(AND($A485&gt;='Control Room'!$A$15,$A485&lt;'Control Room'!$A$15+'Control Room'!$B$15,'Process'!BL4=1),1+('Control Room'!$C$15-1)*EXP(-0.5*(($A485-'Control Room'!$A$15-('Control Room'!$B$15-1)/2)/MAX(0.5,'Control Room'!$B$15/4))^2),1)*IF(AND($A485&gt;='Control Room'!$A$16,$A485&lt;'Control Room'!$A$16+'Control Room'!$B$16,'Process'!BL5=1),1+('Control Room'!$C$16-1)*EXP(-0.5*(($A485-'Control Room'!$A$16-('Control Room'!$B$16-1)/2)/MAX(0.5,'Control Room'!$B$16/4))^2),1)</x:f>
        <x:v>1</x:v>
      </x:c>
      <x:c r="L485" s="9" t="n">
        <x:f>MOD(M484*16807,2147483647)</x:f>
        <x:v>141567642</x:v>
      </x:c>
      <x:c r="M485" s="9" t="n">
        <x:f>MOD(L485*16807,2147483647)</x:f>
        <x:v>2062961865</x:v>
      </x:c>
      <x:c r="N485" s="17" t="n">
        <x:f>IF('Control Room'!$B$5="Normal",'Control Room'!$B$7+'Control Room'!$D$7*SQRT(-2*LN(MAX(0.000000000001,L485/2147483647)))*COS(2*PI()*M485/2147483647),'Control Room'!$B$8+('Control Room'!$D$8-'Control Room'!$B$8)*L485/2147483647)</x:f>
        <x:v>1203.5010323777865</x:v>
      </x:c>
      <x:c r="O485" s="17" t="n">
        <x:f>IF('Control Room'!$B$5="Normal",'Control Room'!$B$7,('Control Room'!$B$8+'Control Room'!$D$8)/2)+'Control Room'!$B$9*(O484-IF('Control Room'!$B$5="Normal",'Control Room'!$B$7,('Control Room'!$B$8+'Control Room'!$D$8)/2))+SQRT(1-'Control Room'!$B$9^2)*(N485-IF('Control Room'!$B$5="Normal",'Control Room'!$B$7,('Control Room'!$B$8+'Control Room'!$D$8)/2))</x:f>
        <x:v>1078.2466411132552</x:v>
      </x:c>
      <x:c r="P485" s="17" t="n">
        <x:f>IF(AND($A485&gt;='Control Room'!$A$13,$A485&lt;'Control Room'!$A$13+'Control Room'!$B$13,'Process'!BM2=1),1+('Control Room'!$C$13-1)*EXP(-0.5*(($A485-'Control Room'!$A$13-('Control Room'!$B$13-1)/2)/MAX(0.5,'Control Room'!$B$13/4))^2),1)*IF(AND($A485&gt;='Control Room'!$A$14,$A485&lt;'Control Room'!$A$14+'Control Room'!$B$14,'Process'!BM3=1),1+('Control Room'!$C$14-1)*EXP(-0.5*(($A485-'Control Room'!$A$14-('Control Room'!$B$14-1)/2)/MAX(0.5,'Control Room'!$B$14/4))^2),1)*IF(AND($A485&gt;='Control Room'!$A$15,$A485&lt;'Control Room'!$A$15+'Control Room'!$B$15,'Process'!BM4=1),1+('Control Room'!$C$15-1)*EXP(-0.5*(($A485-'Control Room'!$A$15-('Control Room'!$B$15-1)/2)/MAX(0.5,'Control Room'!$B$15/4))^2),1)*IF(AND($A485&gt;='Control Room'!$A$16,$A485&lt;'Control Room'!$A$16+'Control Room'!$B$16,'Process'!BM5=1),1+('Control Room'!$C$16-1)*EXP(-0.5*(($A485-'Control Room'!$A$16-('Control Room'!$B$16-1)/2)/MAX(0.5,'Control Room'!$B$16/4))^2),1)</x:f>
        <x:v>1</x:v>
      </x:c>
      <x:c r="Q485" s="9" t="n">
        <x:f>MOD(R484*16807,2147483647)</x:f>
        <x:v>728947976</x:v>
      </x:c>
      <x:c r="R485" s="9" t="n">
        <x:f>MOD(Q485*16807,2147483647)</x:f>
        <x:v>34426497</x:v>
      </x:c>
      <x:c r="S485" s="17" t="n">
        <x:f>IF('Control Room'!$B$5="Normal",'Control Room'!$B$7+'Control Room'!$D$7*SQRT(-2*LN(MAX(0.000000000001,Q485/2147483647)))*COS(2*PI()*R485/2147483647),'Control Room'!$B$8+('Control Room'!$D$8-'Control Room'!$B$8)*Q485/2147483647)</x:f>
        <x:v>1131.6294036201325</x:v>
      </x:c>
      <x:c r="T485" s="17" t="n">
        <x:f>IF('Control Room'!$B$5="Normal",'Control Room'!$B$7,('Control Room'!$B$8+'Control Room'!$D$8)/2)+'Control Room'!$B$9*(T484-IF('Control Room'!$B$5="Normal",'Control Room'!$B$7,('Control Room'!$B$8+'Control Room'!$D$8)/2))+SQRT(1-'Control Room'!$B$9^2)*(S485-IF('Control Room'!$B$5="Normal",'Control Room'!$B$7,('Control Room'!$B$8+'Control Room'!$D$8)/2))</x:f>
        <x:v>1109.6557827521851</x:v>
      </x:c>
      <x:c r="U485" s="17" t="n">
        <x:f>IF(AND($A485&gt;='Control Room'!$A$13,$A485&lt;'Control Room'!$A$13+'Control Room'!$B$13,'Process'!BN2=1),1+('Control Room'!$C$13-1)*EXP(-0.5*(($A485-'Control Room'!$A$13-('Control Room'!$B$13-1)/2)/MAX(0.5,'Control Room'!$B$13/4))^2),1)*IF(AND($A485&gt;='Control Room'!$A$14,$A485&lt;'Control Room'!$A$14+'Control Room'!$B$14,'Process'!BN3=1),1+('Control Room'!$C$14-1)*EXP(-0.5*(($A485-'Control Room'!$A$14-('Control Room'!$B$14-1)/2)/MAX(0.5,'Control Room'!$B$14/4))^2),1)*IF(AND($A485&gt;='Control Room'!$A$15,$A485&lt;'Control Room'!$A$15+'Control Room'!$B$15,'Process'!BN4=1),1+('Control Room'!$C$15-1)*EXP(-0.5*(($A485-'Control Room'!$A$15-('Control Room'!$B$15-1)/2)/MAX(0.5,'Control Room'!$B$15/4))^2),1)*IF(AND($A485&gt;='Control Room'!$A$16,$A485&lt;'Control Room'!$A$16+'Control Room'!$B$16,'Process'!BN5=1),1+('Control Room'!$C$16-1)*EXP(-0.5*(($A485-'Control Room'!$A$16-('Control Room'!$B$16-1)/2)/MAX(0.5,'Control Room'!$B$16/4))^2),1)</x:f>
        <x:v>1</x:v>
      </x:c>
      <x:c r="V485" s="9" t="n">
        <x:f>MOD(W484*16807,2147483647)</x:f>
        <x:v>1316328310</x:v>
      </x:c>
      <x:c r="W485" s="9" t="n">
        <x:f>MOD(V485*16807,2147483647)</x:f>
        <x:v>153374776</x:v>
      </x:c>
      <x:c r="X485" s="17" t="n">
        <x:f>IF('Control Room'!$B$5="Normal",'Control Room'!$B$7+'Control Room'!$D$7*SQRT(-2*LN(MAX(0.000000000001,V485/2147483647)))*COS(2*PI()*W485/2147483647),'Control Room'!$B$8+('Control Room'!$D$8-'Control Room'!$B$8)*V485/2147483647)</x:f>
        <x:v>1080.2291186328412</x:v>
      </x:c>
      <x:c r="Y485" s="17" t="n">
        <x:f>IF('Control Room'!$B$5="Normal",'Control Room'!$B$7,('Control Room'!$B$8+'Control Room'!$D$8)/2)+'Control Room'!$B$9*(Y484-IF('Control Room'!$B$5="Normal",'Control Room'!$B$7,('Control Room'!$B$8+'Control Room'!$D$8)/2))+SQRT(1-'Control Room'!$B$9^2)*(X485-IF('Control Room'!$B$5="Normal",'Control Room'!$B$7,('Control Room'!$B$8+'Control Room'!$D$8)/2))</x:f>
        <x:v>1108.216463069182</x:v>
      </x:c>
      <x:c r="Z485" s="17" t="n">
        <x:f>IF(AND($A485&gt;='Control Room'!$A$13,$A485&lt;'Control Room'!$A$13+'Control Room'!$B$13,'Process'!BO2=1),1+('Control Room'!$C$13-1)*EXP(-0.5*(($A485-'Control Room'!$A$13-('Control Room'!$B$13-1)/2)/MAX(0.5,'Control Room'!$B$13/4))^2),1)*IF(AND($A485&gt;='Control Room'!$A$14,$A485&lt;'Control Room'!$A$14+'Control Room'!$B$14,'Process'!BO3=1),1+('Control Room'!$C$14-1)*EXP(-0.5*(($A485-'Control Room'!$A$14-('Control Room'!$B$14-1)/2)/MAX(0.5,'Control Room'!$B$14/4))^2),1)*IF(AND($A485&gt;='Control Room'!$A$15,$A485&lt;'Control Room'!$A$15+'Control Room'!$B$15,'Process'!BO4=1),1+('Control Room'!$C$15-1)*EXP(-0.5*(($A485-'Control Room'!$A$15-('Control Room'!$B$15-1)/2)/MAX(0.5,'Control Room'!$B$15/4))^2),1)*IF(AND($A485&gt;='Control Room'!$A$16,$A485&lt;'Control Room'!$A$16+'Control Room'!$B$16,'Process'!BO5=1),1+('Control Room'!$C$16-1)*EXP(-0.5*(($A485-'Control Room'!$A$16-('Control Room'!$B$16-1)/2)/MAX(0.5,'Control Room'!$B$16/4))^2),1)</x:f>
        <x:v>1</x:v>
      </x:c>
      <x:c r="AA485" s="9" t="n">
        <x:f>MOD(AB484*16807,2147483647)</x:f>
        <x:v>1903708644</x:v>
      </x:c>
      <x:c r="AB485" s="9" t="n">
        <x:f>MOD(AA485*16807,2147483647)</x:f>
        <x:v>272323055</x:v>
      </x:c>
      <x:c r="AC485" s="17" t="n">
        <x:f>IF('Control Room'!$B$5="Normal",'Control Room'!$B$7+'Control Room'!$D$7*SQRT(-2*LN(MAX(0.000000000001,AA485/2147483647)))*COS(2*PI()*AB485/2147483647),'Control Room'!$B$8+('Control Room'!$D$8-'Control Room'!$B$8)*AA485/2147483647)</x:f>
        <x:v>1030.8835112199188</x:v>
      </x:c>
      <x:c r="AD485" s="17" t="n">
        <x:f>IF('Control Room'!$B$5="Normal",'Control Room'!$B$7,('Control Room'!$B$8+'Control Room'!$D$8)/2)+'Control Room'!$B$9*(AD484-IF('Control Room'!$B$5="Normal",'Control Room'!$B$7,('Control Room'!$B$8+'Control Room'!$D$8)/2))+SQRT(1-'Control Room'!$B$9^2)*(AC485-IF('Control Room'!$B$5="Normal",'Control Room'!$B$7,('Control Room'!$B$8+'Control Room'!$D$8)/2))</x:f>
        <x:v>1065.0422590473224</x:v>
      </x:c>
      <x:c r="AE485" s="17" t="n">
        <x:f>IF(AND($A485&gt;='Control Room'!$A$13,$A485&lt;'Control Room'!$A$13+'Control Room'!$B$13,'Process'!BP2=1),1+('Control Room'!$C$13-1)*EXP(-0.5*(($A485-'Control Room'!$A$13-('Control Room'!$B$13-1)/2)/MAX(0.5,'Control Room'!$B$13/4))^2),1)*IF(AND($A485&gt;='Control Room'!$A$14,$A485&lt;'Control Room'!$A$14+'Control Room'!$B$14,'Process'!BP3=1),1+('Control Room'!$C$14-1)*EXP(-0.5*(($A485-'Control Room'!$A$14-('Control Room'!$B$14-1)/2)/MAX(0.5,'Control Room'!$B$14/4))^2),1)*IF(AND($A485&gt;='Control Room'!$A$15,$A485&lt;'Control Room'!$A$15+'Control Room'!$B$15,'Process'!BP4=1),1+('Control Room'!$C$15-1)*EXP(-0.5*(($A485-'Control Room'!$A$15-('Control Room'!$B$15-1)/2)/MAX(0.5,'Control Room'!$B$15/4))^2),1)*IF(AND($A485&gt;='Control Room'!$A$16,$A485&lt;'Control Room'!$A$16+'Control Room'!$B$16,'Process'!BP5=1),1+('Control Room'!$C$16-1)*EXP(-0.5*(($A485-'Control Room'!$A$16-('Control Room'!$B$16-1)/2)/MAX(0.5,'Control Room'!$B$16/4))^2),1)</x:f>
        <x:v>1</x:v>
      </x:c>
      <x:c r="AF485" s="9" t="n">
        <x:f>MOD(AG484*16807,2147483647)</x:f>
        <x:v>343605331</x:v>
      </x:c>
      <x:c r="AG485" s="9" t="n">
        <x:f>MOD(AF485*16807,2147483647)</x:f>
        <x:v>391271334</x:v>
      </x:c>
      <x:c r="AH485" s="17" t="n">
        <x:f>IF('Control Room'!$B$5="Normal",'Control Room'!$B$7+'Control Room'!$D$7*SQRT(-2*LN(MAX(0.000000000001,AF485/2147483647)))*COS(2*PI()*AG485/2147483647),'Control Room'!$B$8+('Control Room'!$D$8-'Control Room'!$B$8)*AF485/2147483647)</x:f>
        <x:v>1071.200072932499</x:v>
      </x:c>
      <x:c r="AI485" s="17" t="n">
        <x:f>IF('Control Room'!$B$5="Normal",'Control Room'!$B$7,('Control Room'!$B$8+'Control Room'!$D$8)/2)+'Control Room'!$B$9*(AI484-IF('Control Room'!$B$5="Normal",'Control Room'!$B$7,('Control Room'!$B$8+'Control Room'!$D$8)/2))+SQRT(1-'Control Room'!$B$9^2)*(AH485-IF('Control Room'!$B$5="Normal",'Control Room'!$B$7,('Control Room'!$B$8+'Control Room'!$D$8)/2))</x:f>
        <x:v>1033.7108295025396</x:v>
      </x:c>
      <x:c r="AJ485" s="17" t="n">
        <x:f>IF(AND($A485&gt;='Control Room'!$A$13,$A485&lt;'Control Room'!$A$13+'Control Room'!$B$13,'Process'!BQ2=1),1+('Control Room'!$C$13-1)*EXP(-0.5*(($A485-'Control Room'!$A$13-('Control Room'!$B$13-1)/2)/MAX(0.5,'Control Room'!$B$13/4))^2),1)*IF(AND($A485&gt;='Control Room'!$A$14,$A485&lt;'Control Room'!$A$14+'Control Room'!$B$14,'Process'!BQ3=1),1+('Control Room'!$C$14-1)*EXP(-0.5*(($A485-'Control Room'!$A$14-('Control Room'!$B$14-1)/2)/MAX(0.5,'Control Room'!$B$14/4))^2),1)*IF(AND($A485&gt;='Control Room'!$A$15,$A485&lt;'Control Room'!$A$15+'Control Room'!$B$15,'Process'!BQ4=1),1+('Control Room'!$C$15-1)*EXP(-0.5*(($A485-'Control Room'!$A$15-('Control Room'!$B$15-1)/2)/MAX(0.5,'Control Room'!$B$15/4))^2),1)*IF(AND($A485&gt;='Control Room'!$A$16,$A485&lt;'Control Room'!$A$16+'Control Room'!$B$16,'Process'!BQ5=1),1+('Control Room'!$C$16-1)*EXP(-0.5*(($A485-'Control Room'!$A$16-('Control Room'!$B$16-1)/2)/MAX(0.5,'Control Room'!$B$16/4))^2),1)</x:f>
        <x:v>1</x:v>
      </x:c>
      <x:c r="AK485" s="9" t="n">
        <x:f>MOD(AL484*16807,2147483647)</x:f>
        <x:v>930985665</x:v>
      </x:c>
      <x:c r="AL485" s="9" t="n">
        <x:f>MOD(AK485*16807,2147483647)</x:f>
        <x:v>510219613</x:v>
      </x:c>
      <x:c r="AM485" s="17" t="n">
        <x:f>IF('Control Room'!$B$5="Normal",'Control Room'!$B$7+'Control Room'!$D$7*SQRT(-2*LN(MAX(0.000000000001,AK485/2147483647)))*COS(2*PI()*AL485/2147483647),'Control Room'!$B$8+('Control Room'!$D$8-'Control Room'!$B$8)*AK485/2147483647)</x:f>
        <x:v>1009.0643983506521</x:v>
      </x:c>
      <x:c r="AN485" s="17" t="n">
        <x:f>IF('Control Room'!$B$5="Normal",'Control Room'!$B$7,('Control Room'!$B$8+'Control Room'!$D$8)/2)+'Control Room'!$B$9*(AN484-IF('Control Room'!$B$5="Normal",'Control Room'!$B$7,('Control Room'!$B$8+'Control Room'!$D$8)/2))+SQRT(1-'Control Room'!$B$9^2)*(AM485-IF('Control Room'!$B$5="Normal",'Control Room'!$B$7,('Control Room'!$B$8+'Control Room'!$D$8)/2))</x:f>
        <x:v>974.2834114682742</x:v>
      </x:c>
      <x:c r="AO485" s="17" t="n">
        <x:f>IF(AND($A485&gt;='Control Room'!$A$13,$A485&lt;'Control Room'!$A$13+'Control Room'!$B$13,'Process'!BR2=1),1+('Control Room'!$C$13-1)*EXP(-0.5*(($A485-'Control Room'!$A$13-('Control Room'!$B$13-1)/2)/MAX(0.5,'Control Room'!$B$13/4))^2),1)*IF(AND($A485&gt;='Control Room'!$A$14,$A485&lt;'Control Room'!$A$14+'Control Room'!$B$14,'Process'!BR3=1),1+('Control Room'!$C$14-1)*EXP(-0.5*(($A485-'Control Room'!$A$14-('Control Room'!$B$14-1)/2)/MAX(0.5,'Control Room'!$B$14/4))^2),1)*IF(AND($A485&gt;='Control Room'!$A$15,$A485&lt;'Control Room'!$A$15+'Control Room'!$B$15,'Process'!BR4=1),1+('Control Room'!$C$15-1)*EXP(-0.5*(($A485-'Control Room'!$A$15-('Control Room'!$B$15-1)/2)/MAX(0.5,'Control Room'!$B$15/4))^2),1)*IF(AND($A485&gt;='Control Room'!$A$16,$A485&lt;'Control Room'!$A$16+'Control Room'!$B$16,'Process'!BR5=1),1+('Control Room'!$C$16-1)*EXP(-0.5*(($A485-'Control Room'!$A$16-('Control Room'!$B$16-1)/2)/MAX(0.5,'Control Room'!$B$16/4))^2),1)</x:f>
        <x:v>1</x:v>
      </x:c>
      <x:c r="AP485" s="9" t="n">
        <x:f>MOD(AQ484*16807,2147483647)</x:f>
        <x:v>1518365999</x:v>
      </x:c>
      <x:c r="AQ485" s="9" t="n">
        <x:f>MOD(AP485*16807,2147483647)</x:f>
        <x:v>629167892</x:v>
      </x:c>
      <x:c r="AR485" s="17" t="n">
        <x:f>IF('Control Room'!$B$5="Normal",'Control Room'!$B$7+'Control Room'!$D$7*SQRT(-2*LN(MAX(0.000000000001,AP485/2147483647)))*COS(2*PI()*AQ485/2147483647),'Control Room'!$B$8+('Control Room'!$D$8-'Control Room'!$B$8)*AP485/2147483647)</x:f>
        <x:v>980.0079760546084</x:v>
      </x:c>
      <x:c r="AS485" s="17" t="n">
        <x:f>IF('Control Room'!$B$5="Normal",'Control Room'!$B$7,('Control Room'!$B$8+'Control Room'!$D$8)/2)+'Control Room'!$B$9*(AS484-IF('Control Room'!$B$5="Normal",'Control Room'!$B$7,('Control Room'!$B$8+'Control Room'!$D$8)/2))+SQRT(1-'Control Room'!$B$9^2)*(AR485-IF('Control Room'!$B$5="Normal",'Control Room'!$B$7,('Control Room'!$B$8+'Control Room'!$D$8)/2))</x:f>
        <x:v>908.9386525710036</x:v>
      </x:c>
      <x:c r="AT485" s="17" t="n">
        <x:f>IF(AND($A485&gt;='Control Room'!$A$13,$A485&lt;'Control Room'!$A$13+'Control Room'!$B$13,'Process'!BS2=1),1+('Control Room'!$C$13-1)*EXP(-0.5*(($A485-'Control Room'!$A$13-('Control Room'!$B$13-1)/2)/MAX(0.5,'Control Room'!$B$13/4))^2),1)*IF(AND($A485&gt;='Control Room'!$A$14,$A485&lt;'Control Room'!$A$14+'Control Room'!$B$14,'Process'!BS3=1),1+('Control Room'!$C$14-1)*EXP(-0.5*(($A485-'Control Room'!$A$14-('Control Room'!$B$14-1)/2)/MAX(0.5,'Control Room'!$B$14/4))^2),1)*IF(AND($A485&gt;='Control Room'!$A$15,$A485&lt;'Control Room'!$A$15+'Control Room'!$B$15,'Process'!BS4=1),1+('Control Room'!$C$15-1)*EXP(-0.5*(($A485-'Control Room'!$A$15-('Control Room'!$B$15-1)/2)/MAX(0.5,'Control Room'!$B$15/4))^2),1)*IF(AND($A485&gt;='Control Room'!$A$16,$A485&lt;'Control Room'!$A$16+'Control Room'!$B$16,'Process'!BS5=1),1+('Control Room'!$C$16-1)*EXP(-0.5*(($A485-'Control Room'!$A$16-('Control Room'!$B$16-1)/2)/MAX(0.5,'Control Room'!$B$16/4))^2),1)</x:f>
        <x:v>1</x:v>
      </x:c>
      <x:c r="AU485" s="9" t="n">
        <x:f>MOD(AV484*16807,2147483647)</x:f>
        <x:v>2105746333</x:v>
      </x:c>
      <x:c r="AV485" s="9" t="n">
        <x:f>MOD(AU485*16807,2147483647)</x:f>
        <x:v>748116171</x:v>
      </x:c>
      <x:c r="AW485" s="17" t="n">
        <x:f>IF('Control Room'!$B$5="Normal",'Control Room'!$B$7+'Control Room'!$D$7*SQRT(-2*LN(MAX(0.000000000001,AU485/2147483647)))*COS(2*PI()*AV485/2147483647),'Control Room'!$B$8+('Control Room'!$D$8-'Control Room'!$B$8)*AU485/2147483647)</x:f>
        <x:v>989.6674474732362</x:v>
      </x:c>
      <x:c r="AX485" s="17" t="n">
        <x:f>IF('Control Room'!$B$5="Normal",'Control Room'!$B$7,('Control Room'!$B$8+'Control Room'!$D$8)/2)+'Control Room'!$B$9*(AX484-IF('Control Room'!$B$5="Normal",'Control Room'!$B$7,('Control Room'!$B$8+'Control Room'!$D$8)/2))+SQRT(1-'Control Room'!$B$9^2)*(AW485-IF('Control Room'!$B$5="Normal",'Control Room'!$B$7,('Control Room'!$B$8+'Control Room'!$D$8)/2))</x:f>
        <x:v>978.8039545416364</x:v>
      </x:c>
      <x:c r="AY485" s="17" t="n">
        <x:f>IF(AND($A485&gt;='Control Room'!$A$13,$A485&lt;'Control Room'!$A$13+'Control Room'!$B$13,'Process'!BT2=1),1+('Control Room'!$C$13-1)*EXP(-0.5*(($A485-'Control Room'!$A$13-('Control Room'!$B$13-1)/2)/MAX(0.5,'Control Room'!$B$13/4))^2),1)*IF(AND($A485&gt;='Control Room'!$A$14,$A485&lt;'Control Room'!$A$14+'Control Room'!$B$14,'Process'!BT3=1),1+('Control Room'!$C$14-1)*EXP(-0.5*(($A485-'Control Room'!$A$14-('Control Room'!$B$14-1)/2)/MAX(0.5,'Control Room'!$B$14/4))^2),1)*IF(AND($A485&gt;='Control Room'!$A$15,$A485&lt;'Control Room'!$A$15+'Control Room'!$B$15,'Process'!BT4=1),1+('Control Room'!$C$15-1)*EXP(-0.5*(($A485-'Control Room'!$A$15-('Control Room'!$B$15-1)/2)/MAX(0.5,'Control Room'!$B$15/4))^2),1)*IF(AND($A485&gt;='Control Room'!$A$16,$A485&lt;'Control Room'!$A$16+'Control Room'!$B$16,'Process'!BT5=1),1+('Control Room'!$C$16-1)*EXP(-0.5*(($A485-'Control Room'!$A$16-('Control Room'!$B$16-1)/2)/MAX(0.5,'Control Room'!$B$16/4))^2),1)</x:f>
        <x:v>1</x:v>
      </x:c>
      <x:c r="AZ485" s="9" t="n">
        <x:f>MOD(BA484*16807,2147483647)</x:f>
        <x:v>545643020</x:v>
      </x:c>
      <x:c r="BA485" s="9" t="n">
        <x:f>MOD(AZ485*16807,2147483647)</x:f>
        <x:v>867064450</x:v>
      </x:c>
      <x:c r="BB485" s="17" t="n">
        <x:f>IF('Control Room'!$B$5="Normal",'Control Room'!$B$7+'Control Room'!$D$7*SQRT(-2*LN(MAX(0.000000000001,AZ485/2147483647)))*COS(2*PI()*BA485/2147483647),'Control Room'!$B$8+('Control Room'!$D$8-'Control Room'!$B$8)*AZ485/2147483647)</x:f>
        <x:v>877.4375501184055</x:v>
      </x:c>
      <x:c r="BC485" s="17" t="n">
        <x:f>IF('Control Room'!$B$5="Normal",'Control Room'!$B$7,('Control Room'!$B$8+'Control Room'!$D$8)/2)+'Control Room'!$B$9*(BC484-IF('Control Room'!$B$5="Normal",'Control Room'!$B$7,('Control Room'!$B$8+'Control Room'!$D$8)/2))+SQRT(1-'Control Room'!$B$9^2)*(BB485-IF('Control Room'!$B$5="Normal",'Control Room'!$B$7,('Control Room'!$B$8+'Control Room'!$D$8)/2))</x:f>
        <x:v>954.1108667518531</x:v>
      </x:c>
      <x:c r="BD485" s="17" t="n">
        <x:f>IF(AND($A485&gt;='Control Room'!$A$13,$A485&lt;'Control Room'!$A$13+'Control Room'!$B$13,'Process'!BU2=1),1+('Control Room'!$C$13-1)*EXP(-0.5*(($A485-'Control Room'!$A$13-('Control Room'!$B$13-1)/2)/MAX(0.5,'Control Room'!$B$13/4))^2),1)*IF(AND($A485&gt;='Control Room'!$A$14,$A485&lt;'Control Room'!$A$14+'Control Room'!$B$14,'Process'!BU3=1),1+('Control Room'!$C$14-1)*EXP(-0.5*(($A485-'Control Room'!$A$14-('Control Room'!$B$14-1)/2)/MAX(0.5,'Control Room'!$B$14/4))^2),1)*IF(AND($A485&gt;='Control Room'!$A$15,$A485&lt;'Control Room'!$A$15+'Control Room'!$B$15,'Process'!BU4=1),1+('Control Room'!$C$15-1)*EXP(-0.5*(($A485-'Control Room'!$A$15-('Control Room'!$B$15-1)/2)/MAX(0.5,'Control Room'!$B$15/4))^2),1)*IF(AND($A485&gt;='Control Room'!$A$16,$A485&lt;'Control Room'!$A$16+'Control Room'!$B$16,'Process'!BU5=1),1+('Control Room'!$C$16-1)*EXP(-0.5*(($A485-'Control Room'!$A$16-('Control Room'!$B$16-1)/2)/MAX(0.5,'Control Room'!$B$16/4))^2),1)</x:f>
        <x:v>1</x:v>
      </x:c>
      <x:c r="BE485" s="9" t="n">
        <x:f>MOD(BF484*16807,2147483647)</x:f>
        <x:v>1133023354</x:v>
      </x:c>
      <x:c r="BF485" s="9" t="n">
        <x:f>MOD(BE485*16807,2147483647)</x:f>
        <x:v>986012729</x:v>
      </x:c>
      <x:c r="BG485" s="17" t="n">
        <x:f>IF('Control Room'!$B$5="Normal",'Control Room'!$B$7+'Control Room'!$D$7*SQRT(-2*LN(MAX(0.000000000001,BE485/2147483647)))*COS(2*PI()*BF485/2147483647),'Control Room'!$B$8+('Control Room'!$D$8-'Control Room'!$B$8)*BE485/2147483647)</x:f>
        <x:v>901.5581948233178</x:v>
      </x:c>
      <x:c r="BH485" s="17" t="n">
        <x:f>IF('Control Room'!$B$5="Normal",'Control Room'!$B$7,('Control Room'!$B$8+'Control Room'!$D$8)/2)+'Control Room'!$B$9*(BH484-IF('Control Room'!$B$5="Normal",'Control Room'!$B$7,('Control Room'!$B$8+'Control Room'!$D$8)/2))+SQRT(1-'Control Room'!$B$9^2)*(BG485-IF('Control Room'!$B$5="Normal",'Control Room'!$B$7,('Control Room'!$B$8+'Control Room'!$D$8)/2))</x:f>
        <x:v>981.8127048051044</x:v>
      </x:c>
      <x:c r="BI485" s="17" t="n">
        <x:f>IF(AND($A485&gt;='Control Room'!$A$13,$A485&lt;'Control Room'!$A$13+'Control Room'!$B$13,'Process'!BV2=1),1+('Control Room'!$C$13-1)*EXP(-0.5*(($A485-'Control Room'!$A$13-('Control Room'!$B$13-1)/2)/MAX(0.5,'Control Room'!$B$13/4))^2),1)*IF(AND($A485&gt;='Control Room'!$A$14,$A485&lt;'Control Room'!$A$14+'Control Room'!$B$14,'Process'!BV3=1),1+('Control Room'!$C$14-1)*EXP(-0.5*(($A485-'Control Room'!$A$14-('Control Room'!$B$14-1)/2)/MAX(0.5,'Control Room'!$B$14/4))^2),1)*IF(AND($A485&gt;='Control Room'!$A$15,$A485&lt;'Control Room'!$A$15+'Control Room'!$B$15,'Process'!BV4=1),1+('Control Room'!$C$15-1)*EXP(-0.5*(($A485-'Control Room'!$A$15-('Control Room'!$B$15-1)/2)/MAX(0.5,'Control Room'!$B$15/4))^2),1)*IF(AND($A485&gt;='Control Room'!$A$16,$A485&lt;'Control Room'!$A$16+'Control Room'!$B$16,'Process'!BV5=1),1+('Control Room'!$C$16-1)*EXP(-0.5*(($A485-'Control Room'!$A$16-('Control Room'!$B$16-1)/2)/MAX(0.5,'Control Room'!$B$16/4))^2),1)</x:f>
        <x:v>1</x:v>
      </x:c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Z485" t="str">
        <x:f>IF('Data'!A485="","",TEXT('Data'!A485,"mm-dd"))</x:f>
      </x:c>
    </x:row>
    <x:row r="486" ht="21" customHeight="1">
      <x:c r="A486" s="15" t="n">
        <x:f>'Control Room'!$B$1+484</x:f>
        <x:v>73475</x:v>
      </x:c>
      <x:c r="B486" s="9" t="n">
        <x:f>MOD(C485*16807,2147483647)</x:f>
        <x:v>1363684648</x:v>
      </x:c>
      <x:c r="C486" s="9" t="n">
        <x:f>MOD(B486*16807,2147483647)</x:f>
        <x:v>1502398152</x:v>
      </x:c>
      <x:c r="D486" s="17" t="n">
        <x:f>IF('Control Room'!$B$5="Normal",'Control Room'!$B$7+'Control Room'!$D$7*SQRT(-2*LN(MAX(0.000000000001,B486/2147483647)))*COS(2*PI()*C486/2147483647),'Control Room'!$B$8+('Control Room'!$D$8-'Control Room'!$B$8)*B486/2147483647)</x:f>
        <x:v>973.2950604848505</x:v>
      </x:c>
      <x:c r="E486" s="17" t="n">
        <x:f>IF('Control Room'!$B$5="Normal",'Control Room'!$B$7,('Control Room'!$B$8+'Control Room'!$D$8)/2)+'Control Room'!$B$9*(E485-IF('Control Room'!$B$5="Normal",'Control Room'!$B$7,('Control Room'!$B$8+'Control Room'!$D$8)/2))+SQRT(1-'Control Room'!$B$9^2)*(D486-IF('Control Room'!$B$5="Normal",'Control Room'!$B$7,('Control Room'!$B$8+'Control Room'!$D$8)/2))</x:f>
        <x:v>1054.1113514130066</x:v>
      </x:c>
      <x:c r="F486" s="17" t="n">
        <x:f>IF(AND($A486&gt;='Control Room'!$A$13,$A486&lt;'Control Room'!$A$13+'Control Room'!$B$13,'Process'!BK2=1),1+('Control Room'!$C$13-1)*EXP(-0.5*(($A486-'Control Room'!$A$13-('Control Room'!$B$13-1)/2)/MAX(0.5,'Control Room'!$B$13/4))^2),1)*IF(AND($A486&gt;='Control Room'!$A$14,$A486&lt;'Control Room'!$A$14+'Control Room'!$B$14,'Process'!BK3=1),1+('Control Room'!$C$14-1)*EXP(-0.5*(($A486-'Control Room'!$A$14-('Control Room'!$B$14-1)/2)/MAX(0.5,'Control Room'!$B$14/4))^2),1)*IF(AND($A486&gt;='Control Room'!$A$15,$A486&lt;'Control Room'!$A$15+'Control Room'!$B$15,'Process'!BK4=1),1+('Control Room'!$C$15-1)*EXP(-0.5*(($A486-'Control Room'!$A$15-('Control Room'!$B$15-1)/2)/MAX(0.5,'Control Room'!$B$15/4))^2),1)*IF(AND($A486&gt;='Control Room'!$A$16,$A486&lt;'Control Room'!$A$16+'Control Room'!$B$16,'Process'!BK5=1),1+('Control Room'!$C$16-1)*EXP(-0.5*(($A486-'Control Room'!$A$16-('Control Room'!$B$16-1)/2)/MAX(0.5,'Control Room'!$B$16/4))^2),1)</x:f>
        <x:v>1</x:v>
      </x:c>
      <x:c r="G486" s="9" t="n">
        <x:f>MOD(H485*16807,2147483647)</x:f>
        <x:v>1220134444</x:v>
      </x:c>
      <x:c r="H486" s="9" t="n">
        <x:f>MOD(G486*16807,2147483647)</x:f>
        <x:v>478255105</x:v>
      </x:c>
      <x:c r="I486" s="17" t="n">
        <x:f>IF('Control Room'!$B$5="Normal",'Control Room'!$B$7+'Control Room'!$D$7*SQRT(-2*LN(MAX(0.000000000001,G486/2147483647)))*COS(2*PI()*H486/2147483647),'Control Room'!$B$8+('Control Room'!$D$8-'Control Room'!$B$8)*G486/2147483647)</x:f>
        <x:v>1016.3321905585716</x:v>
      </x:c>
      <x:c r="J486" s="17" t="n">
        <x:f>IF('Control Room'!$B$5="Normal",'Control Room'!$B$7,('Control Room'!$B$8+'Control Room'!$D$8)/2)+'Control Room'!$B$9*(J485-IF('Control Room'!$B$5="Normal",'Control Room'!$B$7,('Control Room'!$B$8+'Control Room'!$D$8)/2))+SQRT(1-'Control Room'!$B$9^2)*(I486-IF('Control Room'!$B$5="Normal",'Control Room'!$B$7,('Control Room'!$B$8+'Control Room'!$D$8)/2))</x:f>
        <x:v>968.756165377238</x:v>
      </x:c>
      <x:c r="K486" s="17" t="n">
        <x:f>IF(AND($A486&gt;='Control Room'!$A$13,$A486&lt;'Control Room'!$A$13+'Control Room'!$B$13,'Process'!BL2=1),1+('Control Room'!$C$13-1)*EXP(-0.5*(($A486-'Control Room'!$A$13-('Control Room'!$B$13-1)/2)/MAX(0.5,'Control Room'!$B$13/4))^2),1)*IF(AND($A486&gt;='Control Room'!$A$14,$A486&lt;'Control Room'!$A$14+'Control Room'!$B$14,'Process'!BL3=1),1+('Control Room'!$C$14-1)*EXP(-0.5*(($A486-'Control Room'!$A$14-('Control Room'!$B$14-1)/2)/MAX(0.5,'Control Room'!$B$14/4))^2),1)*IF(AND($A486&gt;='Control Room'!$A$15,$A486&lt;'Control Room'!$A$15+'Control Room'!$B$15,'Process'!BL4=1),1+('Control Room'!$C$15-1)*EXP(-0.5*(($A486-'Control Room'!$A$15-('Control Room'!$B$15-1)/2)/MAX(0.5,'Control Room'!$B$15/4))^2),1)*IF(AND($A486&gt;='Control Room'!$A$16,$A486&lt;'Control Room'!$A$16+'Control Room'!$B$16,'Process'!BL5=1),1+('Control Room'!$C$16-1)*EXP(-0.5*(($A486-'Control Room'!$A$16-('Control Room'!$B$16-1)/2)/MAX(0.5,'Control Room'!$B$16/4))^2),1)</x:f>
        <x:v>1</x:v>
      </x:c>
      <x:c r="L486" s="9" t="n">
        <x:f>MOD(M485*16807,2147483647)</x:f>
        <x:v>1076584240</x:v>
      </x:c>
      <x:c r="M486" s="9" t="n">
        <x:f>MOD(L486*16807,2147483647)</x:f>
        <x:v>1601595705</x:v>
      </x:c>
      <x:c r="N486" s="17" t="n">
        <x:f>IF('Control Room'!$B$5="Normal",'Control Room'!$B$7+'Control Room'!$D$7*SQRT(-2*LN(MAX(0.000000000001,L486/2147483647)))*COS(2*PI()*M486/2147483647),'Control Room'!$B$8+('Control Room'!$D$8-'Control Room'!$B$8)*L486/2147483647)</x:f>
        <x:v>997.2100039482913</x:v>
      </x:c>
      <x:c r="O486" s="17" t="n">
        <x:f>IF('Control Room'!$B$5="Normal",'Control Room'!$B$7,('Control Room'!$B$8+'Control Room'!$D$8)/2)+'Control Room'!$B$9*(O485-IF('Control Room'!$B$5="Normal",'Control Room'!$B$7,('Control Room'!$B$8+'Control Room'!$D$8)/2))+SQRT(1-'Control Room'!$B$9^2)*(N486-IF('Control Room'!$B$5="Normal",'Control Room'!$B$7,('Control Room'!$B$8+'Control Room'!$D$8)/2))</x:f>
        <x:v>1059.2864576953557</x:v>
      </x:c>
      <x:c r="P486" s="17" t="n">
        <x:f>IF(AND($A486&gt;='Control Room'!$A$13,$A486&lt;'Control Room'!$A$13+'Control Room'!$B$13,'Process'!BM2=1),1+('Control Room'!$C$13-1)*EXP(-0.5*(($A486-'Control Room'!$A$13-('Control Room'!$B$13-1)/2)/MAX(0.5,'Control Room'!$B$13/4))^2),1)*IF(AND($A486&gt;='Control Room'!$A$14,$A486&lt;'Control Room'!$A$14+'Control Room'!$B$14,'Process'!BM3=1),1+('Control Room'!$C$14-1)*EXP(-0.5*(($A486-'Control Room'!$A$14-('Control Room'!$B$14-1)/2)/MAX(0.5,'Control Room'!$B$14/4))^2),1)*IF(AND($A486&gt;='Control Room'!$A$15,$A486&lt;'Control Room'!$A$15+'Control Room'!$B$15,'Process'!BM4=1),1+('Control Room'!$C$15-1)*EXP(-0.5*(($A486-'Control Room'!$A$15-('Control Room'!$B$15-1)/2)/MAX(0.5,'Control Room'!$B$15/4))^2),1)*IF(AND($A486&gt;='Control Room'!$A$16,$A486&lt;'Control Room'!$A$16+'Control Room'!$B$16,'Process'!BM5=1),1+('Control Room'!$C$16-1)*EXP(-0.5*(($A486-'Control Room'!$A$16-('Control Room'!$B$16-1)/2)/MAX(0.5,'Control Room'!$B$16/4))^2),1)</x:f>
        <x:v>1</x:v>
      </x:c>
      <x:c r="Q486" s="9" t="n">
        <x:f>MOD(R485*16807,2147483647)</x:f>
        <x:v>933034036</x:v>
      </x:c>
      <x:c r="R486" s="9" t="n">
        <x:f>MOD(Q486*16807,2147483647)</x:f>
        <x:v>577452658</x:v>
      </x:c>
      <x:c r="S486" s="17" t="n">
        <x:f>IF('Control Room'!$B$5="Normal",'Control Room'!$B$7+'Control Room'!$D$7*SQRT(-2*LN(MAX(0.000000000001,Q486/2147483647)))*COS(2*PI()*R486/2147483647),'Control Room'!$B$8+('Control Room'!$D$8-'Control Room'!$B$8)*Q486/2147483647)</x:f>
        <x:v>986.2342823969786</x:v>
      </x:c>
      <x:c r="T486" s="17" t="n">
        <x:f>IF('Control Room'!$B$5="Normal",'Control Room'!$B$7,('Control Room'!$B$8+'Control Room'!$D$8)/2)+'Control Room'!$B$9*(T485-IF('Control Room'!$B$5="Normal",'Control Room'!$B$7,('Control Room'!$B$8+'Control Room'!$D$8)/2))+SQRT(1-'Control Room'!$B$9^2)*(S486-IF('Control Room'!$B$5="Normal",'Control Room'!$B$7,('Control Room'!$B$8+'Control Room'!$D$8)/2))</x:f>
        <x:v>1076.917206476787</x:v>
      </x:c>
      <x:c r="U486" s="17" t="n">
        <x:f>IF(AND($A486&gt;='Control Room'!$A$13,$A486&lt;'Control Room'!$A$13+'Control Room'!$B$13,'Process'!BN2=1),1+('Control Room'!$C$13-1)*EXP(-0.5*(($A486-'Control Room'!$A$13-('Control Room'!$B$13-1)/2)/MAX(0.5,'Control Room'!$B$13/4))^2),1)*IF(AND($A486&gt;='Control Room'!$A$14,$A486&lt;'Control Room'!$A$14+'Control Room'!$B$14,'Process'!BN3=1),1+('Control Room'!$C$14-1)*EXP(-0.5*(($A486-'Control Room'!$A$14-('Control Room'!$B$14-1)/2)/MAX(0.5,'Control Room'!$B$14/4))^2),1)*IF(AND($A486&gt;='Control Room'!$A$15,$A486&lt;'Control Room'!$A$15+'Control Room'!$B$15,'Process'!BN4=1),1+('Control Room'!$C$15-1)*EXP(-0.5*(($A486-'Control Room'!$A$15-('Control Room'!$B$15-1)/2)/MAX(0.5,'Control Room'!$B$15/4))^2),1)*IF(AND($A486&gt;='Control Room'!$A$16,$A486&lt;'Control Room'!$A$16+'Control Room'!$B$16,'Process'!BN5=1),1+('Control Room'!$C$16-1)*EXP(-0.5*(($A486-'Control Room'!$A$16-('Control Room'!$B$16-1)/2)/MAX(0.5,'Control Room'!$B$16/4))^2),1)</x:f>
        <x:v>1</x:v>
      </x:c>
      <x:c r="V486" s="9" t="n">
        <x:f>MOD(W485*16807,2147483647)</x:f>
        <x:v>789483832</x:v>
      </x:c>
      <x:c r="W486" s="9" t="n">
        <x:f>MOD(V486*16807,2147483647)</x:f>
        <x:v>1700793258</x:v>
      </x:c>
      <x:c r="X486" s="17" t="n">
        <x:f>IF('Control Room'!$B$5="Normal",'Control Room'!$B$7+'Control Room'!$D$7*SQRT(-2*LN(MAX(0.000000000001,V486/2147483647)))*COS(2*PI()*W486/2147483647),'Control Room'!$B$8+('Control Room'!$D$8-'Control Room'!$B$8)*V486/2147483647)</x:f>
        <x:v>1033.2059087664738</x:v>
      </x:c>
      <x:c r="Y486" s="17" t="n">
        <x:f>IF('Control Room'!$B$5="Normal",'Control Room'!$B$7,('Control Room'!$B$8+'Control Room'!$D$8)/2)+'Control Room'!$B$9*(Y485-IF('Control Room'!$B$5="Normal",'Control Room'!$B$7,('Control Room'!$B$8+'Control Room'!$D$8)/2))+SQRT(1-'Control Room'!$B$9^2)*(X486-IF('Control Room'!$B$5="Normal",'Control Room'!$B$7,('Control Room'!$B$8+'Control Room'!$D$8)/2))</x:f>
        <x:v>1105.1884186400048</x:v>
      </x:c>
      <x:c r="Z486" s="17" t="n">
        <x:f>IF(AND($A486&gt;='Control Room'!$A$13,$A486&lt;'Control Room'!$A$13+'Control Room'!$B$13,'Process'!BO2=1),1+('Control Room'!$C$13-1)*EXP(-0.5*(($A486-'Control Room'!$A$13-('Control Room'!$B$13-1)/2)/MAX(0.5,'Control Room'!$B$13/4))^2),1)*IF(AND($A486&gt;='Control Room'!$A$14,$A486&lt;'Control Room'!$A$14+'Control Room'!$B$14,'Process'!BO3=1),1+('Control Room'!$C$14-1)*EXP(-0.5*(($A486-'Control Room'!$A$14-('Control Room'!$B$14-1)/2)/MAX(0.5,'Control Room'!$B$14/4))^2),1)*IF(AND($A486&gt;='Control Room'!$A$15,$A486&lt;'Control Room'!$A$15+'Control Room'!$B$15,'Process'!BO4=1),1+('Control Room'!$C$15-1)*EXP(-0.5*(($A486-'Control Room'!$A$15-('Control Room'!$B$15-1)/2)/MAX(0.5,'Control Room'!$B$15/4))^2),1)*IF(AND($A486&gt;='Control Room'!$A$16,$A486&lt;'Control Room'!$A$16+'Control Room'!$B$16,'Process'!BO5=1),1+('Control Room'!$C$16-1)*EXP(-0.5*(($A486-'Control Room'!$A$16-('Control Room'!$B$16-1)/2)/MAX(0.5,'Control Room'!$B$16/4))^2),1)</x:f>
        <x:v>1</x:v>
      </x:c>
      <x:c r="AA486" s="9" t="n">
        <x:f>MOD(AB485*16807,2147483647)</x:f>
        <x:v>645933628</x:v>
      </x:c>
      <x:c r="AB486" s="9" t="n">
        <x:f>MOD(AA486*16807,2147483647)</x:f>
        <x:v>676650211</x:v>
      </x:c>
      <x:c r="AC486" s="17" t="n">
        <x:f>IF('Control Room'!$B$5="Normal",'Control Room'!$B$7+'Control Room'!$D$7*SQRT(-2*LN(MAX(0.000000000001,AA486/2147483647)))*COS(2*PI()*AB486/2147483647),'Control Room'!$B$8+('Control Room'!$D$8-'Control Room'!$B$8)*AA486/2147483647)</x:f>
        <x:v>944.5232037573122</x:v>
      </x:c>
      <x:c r="AD486" s="17" t="n">
        <x:f>IF('Control Room'!$B$5="Normal",'Control Room'!$B$7,('Control Room'!$B$8+'Control Room'!$D$8)/2)+'Control Room'!$B$9*(AD485-IF('Control Room'!$B$5="Normal",'Control Room'!$B$7,('Control Room'!$B$8+'Control Room'!$D$8)/2))+SQRT(1-'Control Room'!$B$9^2)*(AC486-IF('Control Room'!$B$5="Normal",'Control Room'!$B$7,('Control Room'!$B$8+'Control Room'!$D$8)/2))</x:f>
        <x:v>1016.016719472183</x:v>
      </x:c>
      <x:c r="AE486" s="17" t="n">
        <x:f>IF(AND($A486&gt;='Control Room'!$A$13,$A486&lt;'Control Room'!$A$13+'Control Room'!$B$13,'Process'!BP2=1),1+('Control Room'!$C$13-1)*EXP(-0.5*(($A486-'Control Room'!$A$13-('Control Room'!$B$13-1)/2)/MAX(0.5,'Control Room'!$B$13/4))^2),1)*IF(AND($A486&gt;='Control Room'!$A$14,$A486&lt;'Control Room'!$A$14+'Control Room'!$B$14,'Process'!BP3=1),1+('Control Room'!$C$14-1)*EXP(-0.5*(($A486-'Control Room'!$A$14-('Control Room'!$B$14-1)/2)/MAX(0.5,'Control Room'!$B$14/4))^2),1)*IF(AND($A486&gt;='Control Room'!$A$15,$A486&lt;'Control Room'!$A$15+'Control Room'!$B$15,'Process'!BP4=1),1+('Control Room'!$C$15-1)*EXP(-0.5*(($A486-'Control Room'!$A$15-('Control Room'!$B$15-1)/2)/MAX(0.5,'Control Room'!$B$15/4))^2),1)*IF(AND($A486&gt;='Control Room'!$A$16,$A486&lt;'Control Room'!$A$16+'Control Room'!$B$16,'Process'!BP5=1),1+('Control Room'!$C$16-1)*EXP(-0.5*(($A486-'Control Room'!$A$16-('Control Room'!$B$16-1)/2)/MAX(0.5,'Control Room'!$B$16/4))^2),1)</x:f>
        <x:v>1</x:v>
      </x:c>
      <x:c r="AF486" s="9" t="n">
        <x:f>MOD(AG485*16807,2147483647)</x:f>
        <x:v>502383424</x:v>
      </x:c>
      <x:c r="AG486" s="9" t="n">
        <x:f>MOD(AF486*16807,2147483647)</x:f>
        <x:v>1799990811</x:v>
      </x:c>
      <x:c r="AH486" s="17" t="n">
        <x:f>IF('Control Room'!$B$5="Normal",'Control Room'!$B$7+'Control Room'!$D$7*SQRT(-2*LN(MAX(0.000000000001,AF486/2147483647)))*COS(2*PI()*AG486/2147483647),'Control Room'!$B$8+('Control Room'!$D$8-'Control Room'!$B$8)*AF486/2147483647)</x:f>
        <x:v>1080.717743186597</x:v>
      </x:c>
      <x:c r="AI486" s="17" t="n">
        <x:f>IF('Control Room'!$B$5="Normal",'Control Room'!$B$7,('Control Room'!$B$8+'Control Room'!$D$8)/2)+'Control Room'!$B$9*(AI485-IF('Control Room'!$B$5="Normal",'Control Room'!$B$7,('Control Room'!$B$8+'Control Room'!$D$8)/2))+SQRT(1-'Control Room'!$B$9^2)*(AH486-IF('Control Room'!$B$5="Normal",'Control Room'!$B$7,('Control Room'!$B$8+'Control Room'!$D$8)/2))</x:f>
        <x:v>1076.8059571053034</x:v>
      </x:c>
      <x:c r="AJ486" s="17" t="n">
        <x:f>IF(AND($A486&gt;='Control Room'!$A$13,$A486&lt;'Control Room'!$A$13+'Control Room'!$B$13,'Process'!BQ2=1),1+('Control Room'!$C$13-1)*EXP(-0.5*(($A486-'Control Room'!$A$13-('Control Room'!$B$13-1)/2)/MAX(0.5,'Control Room'!$B$13/4))^2),1)*IF(AND($A486&gt;='Control Room'!$A$14,$A486&lt;'Control Room'!$A$14+'Control Room'!$B$14,'Process'!BQ3=1),1+('Control Room'!$C$14-1)*EXP(-0.5*(($A486-'Control Room'!$A$14-('Control Room'!$B$14-1)/2)/MAX(0.5,'Control Room'!$B$14/4))^2),1)*IF(AND($A486&gt;='Control Room'!$A$15,$A486&lt;'Control Room'!$A$15+'Control Room'!$B$15,'Process'!BQ4=1),1+('Control Room'!$C$15-1)*EXP(-0.5*(($A486-'Control Room'!$A$15-('Control Room'!$B$15-1)/2)/MAX(0.5,'Control Room'!$B$15/4))^2),1)*IF(AND($A486&gt;='Control Room'!$A$16,$A486&lt;'Control Room'!$A$16+'Control Room'!$B$16,'Process'!BQ5=1),1+('Control Room'!$C$16-1)*EXP(-0.5*(($A486-'Control Room'!$A$16-('Control Room'!$B$16-1)/2)/MAX(0.5,'Control Room'!$B$16/4))^2),1)</x:f>
        <x:v>1</x:v>
      </x:c>
      <x:c r="AK486" s="9" t="n">
        <x:f>MOD(AL485*16807,2147483647)</x:f>
        <x:v>358833220</x:v>
      </x:c>
      <x:c r="AL486" s="9" t="n">
        <x:f>MOD(AK486*16807,2147483647)</x:f>
        <x:v>775847764</x:v>
      </x:c>
      <x:c r="AM486" s="17" t="n">
        <x:f>IF('Control Room'!$B$5="Normal",'Control Room'!$B$7+'Control Room'!$D$7*SQRT(-2*LN(MAX(0.000000000001,AK486/2147483647)))*COS(2*PI()*AL486/2147483647),'Control Room'!$B$8+('Control Room'!$D$8-'Control Room'!$B$8)*AK486/2147483647)</x:f>
        <x:v>890.42543440756</x:v>
      </x:c>
      <x:c r="AN486" s="17" t="n">
        <x:f>IF('Control Room'!$B$5="Normal",'Control Room'!$B$7,('Control Room'!$B$8+'Control Room'!$D$8)/2)+'Control Room'!$B$9*(AN485-IF('Control Room'!$B$5="Normal",'Control Room'!$B$7,('Control Room'!$B$8+'Control Room'!$D$8)/2))+SQRT(1-'Control Room'!$B$9^2)*(AM486-IF('Control Room'!$B$5="Normal",'Control Room'!$B$7,('Control Room'!$B$8+'Control Room'!$D$8)/2))</x:f>
        <x:v>911.3715425544945</x:v>
      </x:c>
      <x:c r="AO486" s="17" t="n">
        <x:f>IF(AND($A486&gt;='Control Room'!$A$13,$A486&lt;'Control Room'!$A$13+'Control Room'!$B$13,'Process'!BR2=1),1+('Control Room'!$C$13-1)*EXP(-0.5*(($A486-'Control Room'!$A$13-('Control Room'!$B$13-1)/2)/MAX(0.5,'Control Room'!$B$13/4))^2),1)*IF(AND($A486&gt;='Control Room'!$A$14,$A486&lt;'Control Room'!$A$14+'Control Room'!$B$14,'Process'!BR3=1),1+('Control Room'!$C$14-1)*EXP(-0.5*(($A486-'Control Room'!$A$14-('Control Room'!$B$14-1)/2)/MAX(0.5,'Control Room'!$B$14/4))^2),1)*IF(AND($A486&gt;='Control Room'!$A$15,$A486&lt;'Control Room'!$A$15+'Control Room'!$B$15,'Process'!BR4=1),1+('Control Room'!$C$15-1)*EXP(-0.5*(($A486-'Control Room'!$A$15-('Control Room'!$B$15-1)/2)/MAX(0.5,'Control Room'!$B$15/4))^2),1)*IF(AND($A486&gt;='Control Room'!$A$16,$A486&lt;'Control Room'!$A$16+'Control Room'!$B$16,'Process'!BR5=1),1+('Control Room'!$C$16-1)*EXP(-0.5*(($A486-'Control Room'!$A$16-('Control Room'!$B$16-1)/2)/MAX(0.5,'Control Room'!$B$16/4))^2),1)</x:f>
        <x:v>1</x:v>
      </x:c>
      <x:c r="AP486" s="9" t="n">
        <x:f>MOD(AQ485*16807,2147483647)</x:f>
        <x:v>215283016</x:v>
      </x:c>
      <x:c r="AQ486" s="9" t="n">
        <x:f>MOD(AP486*16807,2147483647)</x:f>
        <x:v>1899188364</x:v>
      </x:c>
      <x:c r="AR486" s="17" t="n">
        <x:f>IF('Control Room'!$B$5="Normal",'Control Room'!$B$7+'Control Room'!$D$7*SQRT(-2*LN(MAX(0.000000000001,AP486/2147483647)))*COS(2*PI()*AQ486/2147483647),'Control Room'!$B$8+('Control Room'!$D$8-'Control Room'!$B$8)*AP486/2147483647)</x:f>
        <x:v>1144.2963167280614</x:v>
      </x:c>
      <x:c r="AS486" s="17" t="n">
        <x:f>IF('Control Room'!$B$5="Normal",'Control Room'!$B$7,('Control Room'!$B$8+'Control Room'!$D$8)/2)+'Control Room'!$B$9*(AS485-IF('Control Room'!$B$5="Normal",'Control Room'!$B$7,('Control Room'!$B$8+'Control Room'!$D$8)/2))+SQRT(1-'Control Room'!$B$9^2)*(AR486-IF('Control Room'!$B$5="Normal",'Control Room'!$B$7,('Control Room'!$B$8+'Control Room'!$D$8)/2))</x:f>
        <x:v>1019.2698279430787</x:v>
      </x:c>
      <x:c r="AT486" s="17" t="n">
        <x:f>IF(AND($A486&gt;='Control Room'!$A$13,$A486&lt;'Control Room'!$A$13+'Control Room'!$B$13,'Process'!BS2=1),1+('Control Room'!$C$13-1)*EXP(-0.5*(($A486-'Control Room'!$A$13-('Control Room'!$B$13-1)/2)/MAX(0.5,'Control Room'!$B$13/4))^2),1)*IF(AND($A486&gt;='Control Room'!$A$14,$A486&lt;'Control Room'!$A$14+'Control Room'!$B$14,'Process'!BS3=1),1+('Control Room'!$C$14-1)*EXP(-0.5*(($A486-'Control Room'!$A$14-('Control Room'!$B$14-1)/2)/MAX(0.5,'Control Room'!$B$14/4))^2),1)*IF(AND($A486&gt;='Control Room'!$A$15,$A486&lt;'Control Room'!$A$15+'Control Room'!$B$15,'Process'!BS4=1),1+('Control Room'!$C$15-1)*EXP(-0.5*(($A486-'Control Room'!$A$15-('Control Room'!$B$15-1)/2)/MAX(0.5,'Control Room'!$B$15/4))^2),1)*IF(AND($A486&gt;='Control Room'!$A$16,$A486&lt;'Control Room'!$A$16+'Control Room'!$B$16,'Process'!BS5=1),1+('Control Room'!$C$16-1)*EXP(-0.5*(($A486-'Control Room'!$A$16-('Control Room'!$B$16-1)/2)/MAX(0.5,'Control Room'!$B$16/4))^2),1)</x:f>
        <x:v>1</x:v>
      </x:c>
      <x:c r="AU486" s="9" t="n">
        <x:f>MOD(AV485*16807,2147483647)</x:f>
        <x:v>71732812</x:v>
      </x:c>
      <x:c r="AV486" s="9" t="n">
        <x:f>MOD(AU486*16807,2147483647)</x:f>
        <x:v>875045317</x:v>
      </x:c>
      <x:c r="AW486" s="17" t="n">
        <x:f>IF('Control Room'!$B$5="Normal",'Control Room'!$B$7+'Control Room'!$D$7*SQRT(-2*LN(MAX(0.000000000001,AU486/2147483647)))*COS(2*PI()*AV486/2147483647),'Control Room'!$B$8+('Control Room'!$D$8-'Control Room'!$B$8)*AU486/2147483647)</x:f>
        <x:v>803.8896090355903</x:v>
      </x:c>
      <x:c r="AX486" s="17" t="n">
        <x:f>IF('Control Room'!$B$5="Normal",'Control Room'!$B$7,('Control Room'!$B$8+'Control Room'!$D$8)/2)+'Control Room'!$B$9*(AX485-IF('Control Room'!$B$5="Normal",'Control Room'!$B$7,('Control Room'!$B$8+'Control Room'!$D$8)/2))+SQRT(1-'Control Room'!$B$9^2)*(AW486-IF('Control Room'!$B$5="Normal",'Control Room'!$B$7,('Control Room'!$B$8+'Control Room'!$D$8)/2))</x:f>
        <x:v>860.7452194166805</x:v>
      </x:c>
      <x:c r="AY486" s="17" t="n">
        <x:f>IF(AND($A486&gt;='Control Room'!$A$13,$A486&lt;'Control Room'!$A$13+'Control Room'!$B$13,'Process'!BT2=1),1+('Control Room'!$C$13-1)*EXP(-0.5*(($A486-'Control Room'!$A$13-('Control Room'!$B$13-1)/2)/MAX(0.5,'Control Room'!$B$13/4))^2),1)*IF(AND($A486&gt;='Control Room'!$A$14,$A486&lt;'Control Room'!$A$14+'Control Room'!$B$14,'Process'!BT3=1),1+('Control Room'!$C$14-1)*EXP(-0.5*(($A486-'Control Room'!$A$14-('Control Room'!$B$14-1)/2)/MAX(0.5,'Control Room'!$B$14/4))^2),1)*IF(AND($A486&gt;='Control Room'!$A$15,$A486&lt;'Control Room'!$A$15+'Control Room'!$B$15,'Process'!BT4=1),1+('Control Room'!$C$15-1)*EXP(-0.5*(($A486-'Control Room'!$A$15-('Control Room'!$B$15-1)/2)/MAX(0.5,'Control Room'!$B$15/4))^2),1)*IF(AND($A486&gt;='Control Room'!$A$16,$A486&lt;'Control Room'!$A$16+'Control Room'!$B$16,'Process'!BT5=1),1+('Control Room'!$C$16-1)*EXP(-0.5*(($A486-'Control Room'!$A$16-('Control Room'!$B$16-1)/2)/MAX(0.5,'Control Room'!$B$16/4))^2),1)</x:f>
        <x:v>1</x:v>
      </x:c>
      <x:c r="AZ486" s="9" t="n">
        <x:f>MOD(BA485*16807,2147483647)</x:f>
        <x:v>2075666255</x:v>
      </x:c>
      <x:c r="BA486" s="9" t="n">
        <x:f>MOD(AZ486*16807,2147483647)</x:f>
        <x:v>1998385917</x:v>
      </x:c>
      <x:c r="BB486" s="17" t="n">
        <x:f>IF('Control Room'!$B$5="Normal",'Control Room'!$B$7+'Control Room'!$D$7*SQRT(-2*LN(MAX(0.000000000001,AZ486/2147483647)))*COS(2*PI()*BA486/2147483647),'Control Room'!$B$8+('Control Room'!$D$8-'Control Room'!$B$8)*AZ486/2147483647)</x:f>
        <x:v>1021.2757714130959</x:v>
      </x:c>
      <x:c r="BC486" s="17" t="n">
        <x:f>IF('Control Room'!$B$5="Normal",'Control Room'!$B$7,('Control Room'!$B$8+'Control Room'!$D$8)/2)+'Control Room'!$B$9*(BC485-IF('Control Room'!$B$5="Normal",'Control Room'!$B$7,('Control Room'!$B$8+'Control Room'!$D$8)/2))+SQRT(1-'Control Room'!$B$9^2)*(BB486-IF('Control Room'!$B$5="Normal",'Control Room'!$B$7,('Control Room'!$B$8+'Control Room'!$D$8)/2))</x:f>
        <x:v>977.5204179588925</x:v>
      </x:c>
      <x:c r="BD486" s="17" t="n">
        <x:f>IF(AND($A486&gt;='Control Room'!$A$13,$A486&lt;'Control Room'!$A$13+'Control Room'!$B$13,'Process'!BU2=1),1+('Control Room'!$C$13-1)*EXP(-0.5*(($A486-'Control Room'!$A$13-('Control Room'!$B$13-1)/2)/MAX(0.5,'Control Room'!$B$13/4))^2),1)*IF(AND($A486&gt;='Control Room'!$A$14,$A486&lt;'Control Room'!$A$14+'Control Room'!$B$14,'Process'!BU3=1),1+('Control Room'!$C$14-1)*EXP(-0.5*(($A486-'Control Room'!$A$14-('Control Room'!$B$14-1)/2)/MAX(0.5,'Control Room'!$B$14/4))^2),1)*IF(AND($A486&gt;='Control Room'!$A$15,$A486&lt;'Control Room'!$A$15+'Control Room'!$B$15,'Process'!BU4=1),1+('Control Room'!$C$15-1)*EXP(-0.5*(($A486-'Control Room'!$A$15-('Control Room'!$B$15-1)/2)/MAX(0.5,'Control Room'!$B$15/4))^2),1)*IF(AND($A486&gt;='Control Room'!$A$16,$A486&lt;'Control Room'!$A$16+'Control Room'!$B$16,'Process'!BU5=1),1+('Control Room'!$C$16-1)*EXP(-0.5*(($A486-'Control Room'!$A$16-('Control Room'!$B$16-1)/2)/MAX(0.5,'Control Room'!$B$16/4))^2),1)</x:f>
        <x:v>1</x:v>
      </x:c>
      <x:c r="BE486" s="9" t="n">
        <x:f>MOD(BF485*16807,2147483647)</x:f>
        <x:v>1932116051</x:v>
      </x:c>
      <x:c r="BF486" s="9" t="n">
        <x:f>MOD(BE486*16807,2147483647)</x:f>
        <x:v>974242870</x:v>
      </x:c>
      <x:c r="BG486" s="17" t="n">
        <x:f>IF('Control Room'!$B$5="Normal",'Control Room'!$B$7+'Control Room'!$D$7*SQRT(-2*LN(MAX(0.000000000001,BE486/2147483647)))*COS(2*PI()*BF486/2147483647),'Control Room'!$B$8+('Control Room'!$D$8-'Control Room'!$B$8)*BE486/2147483647)</x:f>
        <x:v>960.3642764592996</x:v>
      </x:c>
      <x:c r="BH486" s="17" t="n">
        <x:f>IF('Control Room'!$B$5="Normal",'Control Room'!$B$7,('Control Room'!$B$8+'Control Room'!$D$8)/2)+'Control Room'!$B$9*(BH485-IF('Control Room'!$B$5="Normal",'Control Room'!$B$7,('Control Room'!$B$8+'Control Room'!$D$8)/2))+SQRT(1-'Control Room'!$B$9^2)*(BG486-IF('Control Room'!$B$5="Normal",'Control Room'!$B$7,('Control Room'!$B$8+'Control Room'!$D$8)/2))</x:f>
        <x:v>961.0106859381431</x:v>
      </x:c>
      <x:c r="BI486" s="17" t="n">
        <x:f>IF(AND($A486&gt;='Control Room'!$A$13,$A486&lt;'Control Room'!$A$13+'Control Room'!$B$13,'Process'!BV2=1),1+('Control Room'!$C$13-1)*EXP(-0.5*(($A486-'Control Room'!$A$13-('Control Room'!$B$13-1)/2)/MAX(0.5,'Control Room'!$B$13/4))^2),1)*IF(AND($A486&gt;='Control Room'!$A$14,$A486&lt;'Control Room'!$A$14+'Control Room'!$B$14,'Process'!BV3=1),1+('Control Room'!$C$14-1)*EXP(-0.5*(($A486-'Control Room'!$A$14-('Control Room'!$B$14-1)/2)/MAX(0.5,'Control Room'!$B$14/4))^2),1)*IF(AND($A486&gt;='Control Room'!$A$15,$A486&lt;'Control Room'!$A$15+'Control Room'!$B$15,'Process'!BV4=1),1+('Control Room'!$C$15-1)*EXP(-0.5*(($A486-'Control Room'!$A$15-('Control Room'!$B$15-1)/2)/MAX(0.5,'Control Room'!$B$15/4))^2),1)*IF(AND($A486&gt;='Control Room'!$A$16,$A486&lt;'Control Room'!$A$16+'Control Room'!$B$16,'Process'!BV5=1),1+('Control Room'!$C$16-1)*EXP(-0.5*(($A486-'Control Room'!$A$16-('Control Room'!$B$16-1)/2)/MAX(0.5,'Control Room'!$B$16/4))^2),1)</x:f>
        <x:v>1</x:v>
      </x:c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Z486" t="str">
        <x:f>IF('Data'!A486="","",TEXT('Data'!A486,"mm-dd"))</x:f>
      </x:c>
    </x:row>
    <x:row r="487" ht="21" customHeight="1">
      <x:c r="A487" s="15" t="n">
        <x:f>'Control Room'!$B$1+485</x:f>
        <x:v>73476</x:v>
      </x:c>
      <x:c r="B487" s="9" t="n">
        <x:f>MOD(C486*16807,2147483647)</x:f>
        <x:v>693019238</x:v>
      </x:c>
      <x:c r="C487" s="9" t="n">
        <x:f>MOD(B487*16807,2147483647)</x:f>
        <x:v>1770515385</x:v>
      </x:c>
      <x:c r="D487" s="17" t="n">
        <x:f>IF('Control Room'!$B$5="Normal",'Control Room'!$B$7+'Control Room'!$D$7*SQRT(-2*LN(MAX(0.000000000001,B487/2147483647)))*COS(2*PI()*C487/2147483647),'Control Room'!$B$8+('Control Room'!$D$8-'Control Room'!$B$8)*B487/2147483647)</x:f>
        <x:v>1061.04258178732</x:v>
      </x:c>
      <x:c r="E487" s="17" t="n">
        <x:f>IF('Control Room'!$B$5="Normal",'Control Room'!$B$7,('Control Room'!$B$8+'Control Room'!$D$8)/2)+'Control Room'!$B$9*(E486-IF('Control Room'!$B$5="Normal",'Control Room'!$B$7,('Control Room'!$B$8+'Control Room'!$D$8)/2))+SQRT(1-'Control Room'!$B$9^2)*(D487-IF('Control Room'!$B$5="Normal",'Control Room'!$B$7,('Control Room'!$B$8+'Control Room'!$D$8)/2))</x:f>
        <x:v>1080.4060512593899</x:v>
      </x:c>
      <x:c r="F487" s="17" t="n">
        <x:f>IF(AND($A487&gt;='Control Room'!$A$13,$A487&lt;'Control Room'!$A$13+'Control Room'!$B$13,'Process'!BK2=1),1+('Control Room'!$C$13-1)*EXP(-0.5*(($A487-'Control Room'!$A$13-('Control Room'!$B$13-1)/2)/MAX(0.5,'Control Room'!$B$13/4))^2),1)*IF(AND($A487&gt;='Control Room'!$A$14,$A487&lt;'Control Room'!$A$14+'Control Room'!$B$14,'Process'!BK3=1),1+('Control Room'!$C$14-1)*EXP(-0.5*(($A487-'Control Room'!$A$14-('Control Room'!$B$14-1)/2)/MAX(0.5,'Control Room'!$B$14/4))^2),1)*IF(AND($A487&gt;='Control Room'!$A$15,$A487&lt;'Control Room'!$A$15+'Control Room'!$B$15,'Process'!BK4=1),1+('Control Room'!$C$15-1)*EXP(-0.5*(($A487-'Control Room'!$A$15-('Control Room'!$B$15-1)/2)/MAX(0.5,'Control Room'!$B$15/4))^2),1)*IF(AND($A487&gt;='Control Room'!$A$16,$A487&lt;'Control Room'!$A$16+'Control Room'!$B$16,'Process'!BK5=1),1+('Control Room'!$C$16-1)*EXP(-0.5*(($A487-'Control Room'!$A$16-('Control Room'!$B$16-1)/2)/MAX(0.5,'Control Room'!$B$16/4))^2),1)</x:f>
        <x:v>1</x:v>
      </x:c>
      <x:c r="G487" s="9" t="n">
        <x:f>MOD(H486*16807,2147483647)</x:f>
        <x:v>2259014</x:v>
      </x:c>
      <x:c r="H487" s="9" t="n">
        <x:f>MOD(G487*16807,2147483647)</x:f>
        <x:v>1460026299</x:v>
      </x:c>
      <x:c r="I487" s="17" t="n">
        <x:f>IF('Control Room'!$B$5="Normal",'Control Room'!$B$7+'Control Room'!$D$7*SQRT(-2*LN(MAX(0.000000000001,G487/2147483647)))*COS(2*PI()*H487/2147483647),'Control Room'!$B$8+('Control Room'!$D$8-'Control Room'!$B$8)*G487/2147483647)</x:f>
        <x:v>857.8583416862205</x:v>
      </x:c>
      <x:c r="J487" s="17" t="n">
        <x:f>IF('Control Room'!$B$5="Normal",'Control Room'!$B$7,('Control Room'!$B$8+'Control Room'!$D$8)/2)+'Control Room'!$B$9*(J486-IF('Control Room'!$B$5="Normal",'Control Room'!$B$7,('Control Room'!$B$8+'Control Room'!$D$8)/2))+SQRT(1-'Control Room'!$B$9^2)*(I487-IF('Control Room'!$B$5="Normal",'Control Room'!$B$7,('Control Room'!$B$8+'Control Room'!$D$8)/2))</x:f>
        <x:v>886.6804711516305</x:v>
      </x:c>
      <x:c r="K487" s="17" t="n">
        <x:f>IF(AND($A487&gt;='Control Room'!$A$13,$A487&lt;'Control Room'!$A$13+'Control Room'!$B$13,'Process'!BL2=1),1+('Control Room'!$C$13-1)*EXP(-0.5*(($A487-'Control Room'!$A$13-('Control Room'!$B$13-1)/2)/MAX(0.5,'Control Room'!$B$13/4))^2),1)*IF(AND($A487&gt;='Control Room'!$A$14,$A487&lt;'Control Room'!$A$14+'Control Room'!$B$14,'Process'!BL3=1),1+('Control Room'!$C$14-1)*EXP(-0.5*(($A487-'Control Room'!$A$14-('Control Room'!$B$14-1)/2)/MAX(0.5,'Control Room'!$B$14/4))^2),1)*IF(AND($A487&gt;='Control Room'!$A$15,$A487&lt;'Control Room'!$A$15+'Control Room'!$B$15,'Process'!BL4=1),1+('Control Room'!$C$15-1)*EXP(-0.5*(($A487-'Control Room'!$A$15-('Control Room'!$B$15-1)/2)/MAX(0.5,'Control Room'!$B$15/4))^2),1)*IF(AND($A487&gt;='Control Room'!$A$16,$A487&lt;'Control Room'!$A$16+'Control Room'!$B$16,'Process'!BL5=1),1+('Control Room'!$C$16-1)*EXP(-0.5*(($A487-'Control Room'!$A$16-('Control Room'!$B$16-1)/2)/MAX(0.5,'Control Room'!$B$16/4))^2),1)</x:f>
        <x:v>1</x:v>
      </x:c>
      <x:c r="L487" s="9" t="n">
        <x:f>MOD(M486*16807,2147483647)</x:f>
        <x:v>1458982437</x:v>
      </x:c>
      <x:c r="M487" s="9" t="n">
        <x:f>MOD(L487*16807,2147483647)</x:f>
        <x:v>1149537213</x:v>
      </x:c>
      <x:c r="N487" s="17" t="n">
        <x:f>IF('Control Room'!$B$5="Normal",'Control Room'!$B$7+'Control Room'!$D$7*SQRT(-2*LN(MAX(0.000000000001,L487/2147483647)))*COS(2*PI()*M487/2147483647),'Control Room'!$B$8+('Control Room'!$D$8-'Control Room'!$B$8)*L487/2147483647)</x:f>
        <x:v>922.8036712117968</x:v>
      </x:c>
      <x:c r="O487" s="17" t="n">
        <x:f>IF('Control Room'!$B$5="Normal",'Control Room'!$B$7,('Control Room'!$B$8+'Control Room'!$D$8)/2)+'Control Room'!$B$9*(O486-IF('Control Room'!$B$5="Normal",'Control Room'!$B$7,('Control Room'!$B$8+'Control Room'!$D$8)/2))+SQRT(1-'Control Room'!$B$9^2)*(N487-IF('Control Room'!$B$5="Normal",'Control Room'!$B$7,('Control Room'!$B$8+'Control Room'!$D$8)/2))</x:f>
        <x:v>997.9355558994748</x:v>
      </x:c>
      <x:c r="P487" s="17" t="n">
        <x:f>IF(AND($A487&gt;='Control Room'!$A$13,$A487&lt;'Control Room'!$A$13+'Control Room'!$B$13,'Process'!BM2=1),1+('Control Room'!$C$13-1)*EXP(-0.5*(($A487-'Control Room'!$A$13-('Control Room'!$B$13-1)/2)/MAX(0.5,'Control Room'!$B$13/4))^2),1)*IF(AND($A487&gt;='Control Room'!$A$14,$A487&lt;'Control Room'!$A$14+'Control Room'!$B$14,'Process'!BM3=1),1+('Control Room'!$C$14-1)*EXP(-0.5*(($A487-'Control Room'!$A$14-('Control Room'!$B$14-1)/2)/MAX(0.5,'Control Room'!$B$14/4))^2),1)*IF(AND($A487&gt;='Control Room'!$A$15,$A487&lt;'Control Room'!$A$15+'Control Room'!$B$15,'Process'!BM4=1),1+('Control Room'!$C$15-1)*EXP(-0.5*(($A487-'Control Room'!$A$15-('Control Room'!$B$15-1)/2)/MAX(0.5,'Control Room'!$B$15/4))^2),1)*IF(AND($A487&gt;='Control Room'!$A$16,$A487&lt;'Control Room'!$A$16+'Control Room'!$B$16,'Process'!BM5=1),1+('Control Room'!$C$16-1)*EXP(-0.5*(($A487-'Control Room'!$A$16-('Control Room'!$B$16-1)/2)/MAX(0.5,'Control Room'!$B$16/4))^2),1)</x:f>
        <x:v>1</x:v>
      </x:c>
      <x:c r="Q487" s="9" t="n">
        <x:f>MOD(R486*16807,2147483647)</x:f>
        <x:v>768222213</x:v>
      </x:c>
      <x:c r="R487" s="9" t="n">
        <x:f>MOD(Q487*16807,2147483647)</x:f>
        <x:v>839048127</x:v>
      </x:c>
      <x:c r="S487" s="17" t="n">
        <x:f>IF('Control Room'!$B$5="Normal",'Control Room'!$B$7+'Control Room'!$D$7*SQRT(-2*LN(MAX(0.000000000001,Q487/2147483647)))*COS(2*PI()*R487/2147483647),'Control Room'!$B$8+('Control Room'!$D$8-'Control Room'!$B$8)*Q487/2147483647)</x:f>
        <x:v>900.2003614062007</x:v>
      </x:c>
      <x:c r="T487" s="17" t="n">
        <x:f>IF('Control Room'!$B$5="Normal",'Control Room'!$B$7,('Control Room'!$B$8+'Control Room'!$D$8)/2)+'Control Room'!$B$9*(T486-IF('Control Room'!$B$5="Normal",'Control Room'!$B$7,('Control Room'!$B$8+'Control Room'!$D$8)/2))+SQRT(1-'Control Room'!$B$9^2)*(S487-IF('Control Room'!$B$5="Normal",'Control Room'!$B$7,('Control Room'!$B$8+'Control Room'!$D$8)/2))</x:f>
        <x:v>997.5428517266197</x:v>
      </x:c>
      <x:c r="U487" s="17" t="n">
        <x:f>IF(AND($A487&gt;='Control Room'!$A$13,$A487&lt;'Control Room'!$A$13+'Control Room'!$B$13,'Process'!BN2=1),1+('Control Room'!$C$13-1)*EXP(-0.5*(($A487-'Control Room'!$A$13-('Control Room'!$B$13-1)/2)/MAX(0.5,'Control Room'!$B$13/4))^2),1)*IF(AND($A487&gt;='Control Room'!$A$14,$A487&lt;'Control Room'!$A$14+'Control Room'!$B$14,'Process'!BN3=1),1+('Control Room'!$C$14-1)*EXP(-0.5*(($A487-'Control Room'!$A$14-('Control Room'!$B$14-1)/2)/MAX(0.5,'Control Room'!$B$14/4))^2),1)*IF(AND($A487&gt;='Control Room'!$A$15,$A487&lt;'Control Room'!$A$15+'Control Room'!$B$15,'Process'!BN4=1),1+('Control Room'!$C$15-1)*EXP(-0.5*(($A487-'Control Room'!$A$15-('Control Room'!$B$15-1)/2)/MAX(0.5,'Control Room'!$B$15/4))^2),1)*IF(AND($A487&gt;='Control Room'!$A$16,$A487&lt;'Control Room'!$A$16+'Control Room'!$B$16,'Process'!BN5=1),1+('Control Room'!$C$16-1)*EXP(-0.5*(($A487-'Control Room'!$A$16-('Control Room'!$B$16-1)/2)/MAX(0.5,'Control Room'!$B$16/4))^2),1)</x:f>
        <x:v>1</x:v>
      </x:c>
      <x:c r="V487" s="9" t="n">
        <x:f>MOD(W486*16807,2147483647)</x:f>
        <x:v>77461989</x:v>
      </x:c>
      <x:c r="W487" s="9" t="n">
        <x:f>MOD(V487*16807,2147483647)</x:f>
        <x:v>528559041</x:v>
      </x:c>
      <x:c r="X487" s="17" t="n">
        <x:f>IF('Control Room'!$B$5="Normal",'Control Room'!$B$7+'Control Room'!$D$7*SQRT(-2*LN(MAX(0.000000000001,V487/2147483647)))*COS(2*PI()*W487/2147483647),'Control Room'!$B$8+('Control Room'!$D$8-'Control Room'!$B$8)*V487/2147483647)</x:f>
        <x:v>1005.641318203536</x:v>
      </x:c>
      <x:c r="Y487" s="17" t="n">
        <x:f>IF('Control Room'!$B$5="Normal",'Control Room'!$B$7,('Control Room'!$B$8+'Control Room'!$D$8)/2)+'Control Room'!$B$9*(Y486-IF('Control Room'!$B$5="Normal",'Control Room'!$B$7,('Control Room'!$B$8+'Control Room'!$D$8)/2))+SQRT(1-'Control Room'!$B$9^2)*(X487-IF('Control Room'!$B$5="Normal",'Control Room'!$B$7,('Control Room'!$B$8+'Control Room'!$D$8)/2))</x:f>
        <x:v>1085.5771879022916</x:v>
      </x:c>
      <x:c r="Z487" s="17" t="n">
        <x:f>IF(AND($A487&gt;='Control Room'!$A$13,$A487&lt;'Control Room'!$A$13+'Control Room'!$B$13,'Process'!BO2=1),1+('Control Room'!$C$13-1)*EXP(-0.5*(($A487-'Control Room'!$A$13-('Control Room'!$B$13-1)/2)/MAX(0.5,'Control Room'!$B$13/4))^2),1)*IF(AND($A487&gt;='Control Room'!$A$14,$A487&lt;'Control Room'!$A$14+'Control Room'!$B$14,'Process'!BO3=1),1+('Control Room'!$C$14-1)*EXP(-0.5*(($A487-'Control Room'!$A$14-('Control Room'!$B$14-1)/2)/MAX(0.5,'Control Room'!$B$14/4))^2),1)*IF(AND($A487&gt;='Control Room'!$A$15,$A487&lt;'Control Room'!$A$15+'Control Room'!$B$15,'Process'!BO4=1),1+('Control Room'!$C$15-1)*EXP(-0.5*(($A487-'Control Room'!$A$15-('Control Room'!$B$15-1)/2)/MAX(0.5,'Control Room'!$B$15/4))^2),1)*IF(AND($A487&gt;='Control Room'!$A$16,$A487&lt;'Control Room'!$A$16+'Control Room'!$B$16,'Process'!BO5=1),1+('Control Room'!$C$16-1)*EXP(-0.5*(($A487-'Control Room'!$A$16-('Control Room'!$B$16-1)/2)/MAX(0.5,'Control Room'!$B$16/4))^2),1)</x:f>
        <x:v>1</x:v>
      </x:c>
      <x:c r="AA487" s="9" t="n">
        <x:f>MOD(AB486*16807,2147483647)</x:f>
        <x:v>1534185412</x:v>
      </x:c>
      <x:c r="AB487" s="9" t="n">
        <x:f>MOD(AA487*16807,2147483647)</x:f>
        <x:v>218069955</x:v>
      </x:c>
      <x:c r="AC487" s="17" t="n">
        <x:f>IF('Control Room'!$B$5="Normal",'Control Room'!$B$7+'Control Room'!$D$7*SQRT(-2*LN(MAX(0.000000000001,AA487/2147483647)))*COS(2*PI()*AB487/2147483647),'Control Room'!$B$8+('Control Room'!$D$8-'Control Room'!$B$8)*AA487/2147483647)</x:f>
        <x:v>1059.2896384518751</x:v>
      </x:c>
      <x:c r="AD487" s="17" t="n">
        <x:f>IF('Control Room'!$B$5="Normal",'Control Room'!$B$7,('Control Room'!$B$8+'Control Room'!$D$8)/2)+'Control Room'!$B$9*(AD486-IF('Control Room'!$B$5="Normal",'Control Room'!$B$7,('Control Room'!$B$8+'Control Room'!$D$8)/2))+SQRT(1-'Control Room'!$B$9^2)*(AC487-IF('Control Room'!$B$5="Normal",'Control Room'!$B$7,('Control Room'!$B$8+'Control Room'!$D$8)/2))</x:f>
        <x:v>1049.5952823172224</x:v>
      </x:c>
      <x:c r="AE487" s="17" t="n">
        <x:f>IF(AND($A487&gt;='Control Room'!$A$13,$A487&lt;'Control Room'!$A$13+'Control Room'!$B$13,'Process'!BP2=1),1+('Control Room'!$C$13-1)*EXP(-0.5*(($A487-'Control Room'!$A$13-('Control Room'!$B$13-1)/2)/MAX(0.5,'Control Room'!$B$13/4))^2),1)*IF(AND($A487&gt;='Control Room'!$A$14,$A487&lt;'Control Room'!$A$14+'Control Room'!$B$14,'Process'!BP3=1),1+('Control Room'!$C$14-1)*EXP(-0.5*(($A487-'Control Room'!$A$14-('Control Room'!$B$14-1)/2)/MAX(0.5,'Control Room'!$B$14/4))^2),1)*IF(AND($A487&gt;='Control Room'!$A$15,$A487&lt;'Control Room'!$A$15+'Control Room'!$B$15,'Process'!BP4=1),1+('Control Room'!$C$15-1)*EXP(-0.5*(($A487-'Control Room'!$A$15-('Control Room'!$B$15-1)/2)/MAX(0.5,'Control Room'!$B$15/4))^2),1)*IF(AND($A487&gt;='Control Room'!$A$16,$A487&lt;'Control Room'!$A$16+'Control Room'!$B$16,'Process'!BP5=1),1+('Control Room'!$C$16-1)*EXP(-0.5*(($A487-'Control Room'!$A$16-('Control Room'!$B$16-1)/2)/MAX(0.5,'Control Room'!$B$16/4))^2),1)</x:f>
        <x:v>1</x:v>
      </x:c>
      <x:c r="AF487" s="9" t="n">
        <x:f>MOD(AG486*16807,2147483647)</x:f>
        <x:v>843425188</x:v>
      </x:c>
      <x:c r="AG487" s="9" t="n">
        <x:f>MOD(AF487*16807,2147483647)</x:f>
        <x:v>2055064516</x:v>
      </x:c>
      <x:c r="AH487" s="17" t="n">
        <x:f>IF('Control Room'!$B$5="Normal",'Control Room'!$B$7+'Control Room'!$D$7*SQRT(-2*LN(MAX(0.000000000001,AF487/2147483647)))*COS(2*PI()*AG487/2147483647),'Control Room'!$B$8+('Control Room'!$D$8-'Control Room'!$B$8)*AF487/2147483647)</x:f>
        <x:v>1118.5744844610226</x:v>
      </x:c>
      <x:c r="AI487" s="17" t="n">
        <x:f>IF('Control Room'!$B$5="Normal",'Control Room'!$B$7,('Control Room'!$B$8+'Control Room'!$D$8)/2)+'Control Room'!$B$9*(AI486-IF('Control Room'!$B$5="Normal",'Control Room'!$B$7,('Control Room'!$B$8+'Control Room'!$D$8)/2))+SQRT(1-'Control Room'!$B$9^2)*(AH487-IF('Control Room'!$B$5="Normal",'Control Room'!$B$7,('Control Room'!$B$8+'Control Room'!$D$8)/2))</x:f>
        <x:v>1134.1101297874955</x:v>
      </x:c>
      <x:c r="AJ487" s="17" t="n">
        <x:f>IF(AND($A487&gt;='Control Room'!$A$13,$A487&lt;'Control Room'!$A$13+'Control Room'!$B$13,'Process'!BQ2=1),1+('Control Room'!$C$13-1)*EXP(-0.5*(($A487-'Control Room'!$A$13-('Control Room'!$B$13-1)/2)/MAX(0.5,'Control Room'!$B$13/4))^2),1)*IF(AND($A487&gt;='Control Room'!$A$14,$A487&lt;'Control Room'!$A$14+'Control Room'!$B$14,'Process'!BQ3=1),1+('Control Room'!$C$14-1)*EXP(-0.5*(($A487-'Control Room'!$A$14-('Control Room'!$B$14-1)/2)/MAX(0.5,'Control Room'!$B$14/4))^2),1)*IF(AND($A487&gt;='Control Room'!$A$15,$A487&lt;'Control Room'!$A$15+'Control Room'!$B$15,'Process'!BQ4=1),1+('Control Room'!$C$15-1)*EXP(-0.5*(($A487-'Control Room'!$A$15-('Control Room'!$B$15-1)/2)/MAX(0.5,'Control Room'!$B$15/4))^2),1)*IF(AND($A487&gt;='Control Room'!$A$16,$A487&lt;'Control Room'!$A$16+'Control Room'!$B$16,'Process'!BQ5=1),1+('Control Room'!$C$16-1)*EXP(-0.5*(($A487-'Control Room'!$A$16-('Control Room'!$B$16-1)/2)/MAX(0.5,'Control Room'!$B$16/4))^2),1)</x:f>
        <x:v>1</x:v>
      </x:c>
      <x:c r="AK487" s="9" t="n">
        <x:f>MOD(AL486*16807,2147483647)</x:f>
        <x:v>152664964</x:v>
      </x:c>
      <x:c r="AL487" s="9" t="n">
        <x:f>MOD(AK487*16807,2147483647)</x:f>
        <x:v>1744575430</x:v>
      </x:c>
      <x:c r="AM487" s="17" t="n">
        <x:f>IF('Control Room'!$B$5="Normal",'Control Room'!$B$7+'Control Room'!$D$7*SQRT(-2*LN(MAX(0.000000000001,AK487/2147483647)))*COS(2*PI()*AL487/2147483647),'Control Room'!$B$8+('Control Room'!$D$8-'Control Room'!$B$8)*AK487/2147483647)</x:f>
        <x:v>1079.054900688172</x:v>
      </x:c>
      <x:c r="AN487" s="17" t="n">
        <x:f>IF('Control Room'!$B$5="Normal",'Control Room'!$B$7,('Control Room'!$B$8+'Control Room'!$D$8)/2)+'Control Room'!$B$9*(AN486-IF('Control Room'!$B$5="Normal",'Control Room'!$B$7,('Control Room'!$B$8+'Control Room'!$D$8)/2))+SQRT(1-'Control Room'!$B$9^2)*(AM487-IF('Control Room'!$B$5="Normal",'Control Room'!$B$7,('Control Room'!$B$8+'Control Room'!$D$8)/2))</x:f>
        <x:v>980.3407405154938</x:v>
      </x:c>
      <x:c r="AO487" s="17" t="n">
        <x:f>IF(AND($A487&gt;='Control Room'!$A$13,$A487&lt;'Control Room'!$A$13+'Control Room'!$B$13,'Process'!BR2=1),1+('Control Room'!$C$13-1)*EXP(-0.5*(($A487-'Control Room'!$A$13-('Control Room'!$B$13-1)/2)/MAX(0.5,'Control Room'!$B$13/4))^2),1)*IF(AND($A487&gt;='Control Room'!$A$14,$A487&lt;'Control Room'!$A$14+'Control Room'!$B$14,'Process'!BR3=1),1+('Control Room'!$C$14-1)*EXP(-0.5*(($A487-'Control Room'!$A$14-('Control Room'!$B$14-1)/2)/MAX(0.5,'Control Room'!$B$14/4))^2),1)*IF(AND($A487&gt;='Control Room'!$A$15,$A487&lt;'Control Room'!$A$15+'Control Room'!$B$15,'Process'!BR4=1),1+('Control Room'!$C$15-1)*EXP(-0.5*(($A487-'Control Room'!$A$15-('Control Room'!$B$15-1)/2)/MAX(0.5,'Control Room'!$B$15/4))^2),1)*IF(AND($A487&gt;='Control Room'!$A$16,$A487&lt;'Control Room'!$A$16+'Control Room'!$B$16,'Process'!BR5=1),1+('Control Room'!$C$16-1)*EXP(-0.5*(($A487-'Control Room'!$A$16-('Control Room'!$B$16-1)/2)/MAX(0.5,'Control Room'!$B$16/4))^2),1)</x:f>
        <x:v>1</x:v>
      </x:c>
      <x:c r="AP487" s="9" t="n">
        <x:f>MOD(AQ486*16807,2147483647)</x:f>
        <x:v>1609388387</x:v>
      </x:c>
      <x:c r="AQ487" s="9" t="n">
        <x:f>MOD(AP487*16807,2147483647)</x:f>
        <x:v>1434086344</x:v>
      </x:c>
      <x:c r="AR487" s="17" t="n">
        <x:f>IF('Control Room'!$B$5="Normal",'Control Room'!$B$7+'Control Room'!$D$7*SQRT(-2*LN(MAX(0.000000000001,AP487/2147483647)))*COS(2*PI()*AQ487/2147483647),'Control Room'!$B$8+('Control Room'!$D$8-'Control Room'!$B$8)*AP487/2147483647)</x:f>
        <x:v>966.2430284780107</x:v>
      </x:c>
      <x:c r="AS487" s="17" t="n">
        <x:f>IF('Control Room'!$B$5="Normal",'Control Room'!$B$7,('Control Room'!$B$8+'Control Room'!$D$8)/2)+'Control Room'!$B$9*(AS486-IF('Control Room'!$B$5="Normal",'Control Room'!$B$7,('Control Room'!$B$8+'Control Room'!$D$8)/2))+SQRT(1-'Control Room'!$B$9^2)*(AR487-IF('Control Room'!$B$5="Normal",'Control Room'!$B$7,('Control Room'!$B$8+'Control Room'!$D$8)/2))</x:f>
        <x:v>993.9060445662911</x:v>
      </x:c>
      <x:c r="AT487" s="17" t="n">
        <x:f>IF(AND($A487&gt;='Control Room'!$A$13,$A487&lt;'Control Room'!$A$13+'Control Room'!$B$13,'Process'!BS2=1),1+('Control Room'!$C$13-1)*EXP(-0.5*(($A487-'Control Room'!$A$13-('Control Room'!$B$13-1)/2)/MAX(0.5,'Control Room'!$B$13/4))^2),1)*IF(AND($A487&gt;='Control Room'!$A$14,$A487&lt;'Control Room'!$A$14+'Control Room'!$B$14,'Process'!BS3=1),1+('Control Room'!$C$14-1)*EXP(-0.5*(($A487-'Control Room'!$A$14-('Control Room'!$B$14-1)/2)/MAX(0.5,'Control Room'!$B$14/4))^2),1)*IF(AND($A487&gt;='Control Room'!$A$15,$A487&lt;'Control Room'!$A$15+'Control Room'!$B$15,'Process'!BS4=1),1+('Control Room'!$C$15-1)*EXP(-0.5*(($A487-'Control Room'!$A$15-('Control Room'!$B$15-1)/2)/MAX(0.5,'Control Room'!$B$15/4))^2),1)*IF(AND($A487&gt;='Control Room'!$A$16,$A487&lt;'Control Room'!$A$16+'Control Room'!$B$16,'Process'!BS5=1),1+('Control Room'!$C$16-1)*EXP(-0.5*(($A487-'Control Room'!$A$16-('Control Room'!$B$16-1)/2)/MAX(0.5,'Control Room'!$B$16/4))^2),1)</x:f>
        <x:v>1</x:v>
      </x:c>
      <x:c r="AU487" s="9" t="n">
        <x:f>MOD(AV486*16807,2147483647)</x:f>
        <x:v>918628163</x:v>
      </x:c>
      <x:c r="AV487" s="9" t="n">
        <x:f>MOD(AU487*16807,2147483647)</x:f>
        <x:v>1123597258</x:v>
      </x:c>
      <x:c r="AW487" s="17" t="n">
        <x:f>IF('Control Room'!$B$5="Normal",'Control Room'!$B$7+'Control Room'!$D$7*SQRT(-2*LN(MAX(0.000000000001,AU487/2147483647)))*COS(2*PI()*AV487/2147483647),'Control Room'!$B$8+('Control Room'!$D$8-'Control Room'!$B$8)*AU487/2147483647)</x:f>
        <x:v>883.9572243846836</x:v>
      </x:c>
      <x:c r="AX487" s="17" t="n">
        <x:f>IF('Control Room'!$B$5="Normal",'Control Room'!$B$7,('Control Room'!$B$8+'Control Room'!$D$8)/2)+'Control Room'!$B$9*(AX486-IF('Control Room'!$B$5="Normal",'Control Room'!$B$7,('Control Room'!$B$8+'Control Room'!$D$8)/2))+SQRT(1-'Control Room'!$B$9^2)*(AW487-IF('Control Room'!$B$5="Normal",'Control Room'!$B$7,('Control Room'!$B$8+'Control Room'!$D$8)/2))</x:f>
        <x:v>818.7640794304201</x:v>
      </x:c>
      <x:c r="AY487" s="17" t="n">
        <x:f>IF(AND($A487&gt;='Control Room'!$A$13,$A487&lt;'Control Room'!$A$13+'Control Room'!$B$13,'Process'!BT2=1),1+('Control Room'!$C$13-1)*EXP(-0.5*(($A487-'Control Room'!$A$13-('Control Room'!$B$13-1)/2)/MAX(0.5,'Control Room'!$B$13/4))^2),1)*IF(AND($A487&gt;='Control Room'!$A$14,$A487&lt;'Control Room'!$A$14+'Control Room'!$B$14,'Process'!BT3=1),1+('Control Room'!$C$14-1)*EXP(-0.5*(($A487-'Control Room'!$A$14-('Control Room'!$B$14-1)/2)/MAX(0.5,'Control Room'!$B$14/4))^2),1)*IF(AND($A487&gt;='Control Room'!$A$15,$A487&lt;'Control Room'!$A$15+'Control Room'!$B$15,'Process'!BT4=1),1+('Control Room'!$C$15-1)*EXP(-0.5*(($A487-'Control Room'!$A$15-('Control Room'!$B$15-1)/2)/MAX(0.5,'Control Room'!$B$15/4))^2),1)*IF(AND($A487&gt;='Control Room'!$A$16,$A487&lt;'Control Room'!$A$16+'Control Room'!$B$16,'Process'!BT5=1),1+('Control Room'!$C$16-1)*EXP(-0.5*(($A487-'Control Room'!$A$16-('Control Room'!$B$16-1)/2)/MAX(0.5,'Control Room'!$B$16/4))^2),1)</x:f>
        <x:v>1</x:v>
      </x:c>
      <x:c r="AZ487" s="9" t="n">
        <x:f>MOD(BA486*16807,2147483647)</x:f>
        <x:v>227867939</x:v>
      </x:c>
      <x:c r="BA487" s="9" t="n">
        <x:f>MOD(AZ487*16807,2147483647)</x:f>
        <x:v>813108172</x:v>
      </x:c>
      <x:c r="BB487" s="17" t="n">
        <x:f>IF('Control Room'!$B$5="Normal",'Control Room'!$B$7+'Control Room'!$D$7*SQRT(-2*LN(MAX(0.000000000001,AZ487/2147483647)))*COS(2*PI()*BA487/2147483647),'Control Room'!$B$8+('Control Room'!$D$8-'Control Room'!$B$8)*AZ487/2147483647)</x:f>
        <x:v>862.1599447952536</x:v>
      </x:c>
      <x:c r="BC487" s="17" t="n">
        <x:f>IF('Control Room'!$B$5="Normal",'Control Room'!$B$7,('Control Room'!$B$8+'Control Room'!$D$8)/2)+'Control Room'!$B$9*(BC486-IF('Control Room'!$B$5="Normal",'Control Room'!$B$7,('Control Room'!$B$8+'Control Room'!$D$8)/2))+SQRT(1-'Control Room'!$B$9^2)*(BB487-IF('Control Room'!$B$5="Normal",'Control Room'!$B$7,('Control Room'!$B$8+'Control Room'!$D$8)/2))</x:f>
        <x:v>896.2084432678242</x:v>
      </x:c>
      <x:c r="BD487" s="17" t="n">
        <x:f>IF(AND($A487&gt;='Control Room'!$A$13,$A487&lt;'Control Room'!$A$13+'Control Room'!$B$13,'Process'!BU2=1),1+('Control Room'!$C$13-1)*EXP(-0.5*(($A487-'Control Room'!$A$13-('Control Room'!$B$13-1)/2)/MAX(0.5,'Control Room'!$B$13/4))^2),1)*IF(AND($A487&gt;='Control Room'!$A$14,$A487&lt;'Control Room'!$A$14+'Control Room'!$B$14,'Process'!BU3=1),1+('Control Room'!$C$14-1)*EXP(-0.5*(($A487-'Control Room'!$A$14-('Control Room'!$B$14-1)/2)/MAX(0.5,'Control Room'!$B$14/4))^2),1)*IF(AND($A487&gt;='Control Room'!$A$15,$A487&lt;'Control Room'!$A$15+'Control Room'!$B$15,'Process'!BU4=1),1+('Control Room'!$C$15-1)*EXP(-0.5*(($A487-'Control Room'!$A$15-('Control Room'!$B$15-1)/2)/MAX(0.5,'Control Room'!$B$15/4))^2),1)*IF(AND($A487&gt;='Control Room'!$A$16,$A487&lt;'Control Room'!$A$16+'Control Room'!$B$16,'Process'!BU5=1),1+('Control Room'!$C$16-1)*EXP(-0.5*(($A487-'Control Room'!$A$16-('Control Room'!$B$16-1)/2)/MAX(0.5,'Control Room'!$B$16/4))^2),1)</x:f>
        <x:v>1</x:v>
      </x:c>
      <x:c r="BE487" s="9" t="n">
        <x:f>MOD(BF486*16807,2147483647)</x:f>
        <x:v>1684591362</x:v>
      </x:c>
      <x:c r="BF487" s="9" t="n">
        <x:f>MOD(BE487*16807,2147483647)</x:f>
        <x:v>502619086</x:v>
      </x:c>
      <x:c r="BG487" s="17" t="n">
        <x:f>IF('Control Room'!$B$5="Normal",'Control Room'!$B$7+'Control Room'!$D$7*SQRT(-2*LN(MAX(0.000000000001,BE487/2147483647)))*COS(2*PI()*BF487/2147483647),'Control Room'!$B$8+('Control Room'!$D$8-'Control Room'!$B$8)*BE487/2147483647)</x:f>
        <x:v>1006.2742945705786</x:v>
      </x:c>
      <x:c r="BH487" s="17" t="n">
        <x:f>IF('Control Room'!$B$5="Normal",'Control Room'!$B$7,('Control Room'!$B$8+'Control Room'!$D$8)/2)+'Control Room'!$B$9*(BH486-IF('Control Room'!$B$5="Normal",'Control Room'!$B$7,('Control Room'!$B$8+'Control Room'!$D$8)/2))+SQRT(1-'Control Room'!$B$9^2)*(BG487-IF('Control Room'!$B$5="Normal",'Control Room'!$B$7,('Control Room'!$B$8+'Control Room'!$D$8)/2))</x:f>
        <x:v>973.5146600381089</x:v>
      </x:c>
      <x:c r="BI487" s="17" t="n">
        <x:f>IF(AND($A487&gt;='Control Room'!$A$13,$A487&lt;'Control Room'!$A$13+'Control Room'!$B$13,'Process'!BV2=1),1+('Control Room'!$C$13-1)*EXP(-0.5*(($A487-'Control Room'!$A$13-('Control Room'!$B$13-1)/2)/MAX(0.5,'Control Room'!$B$13/4))^2),1)*IF(AND($A487&gt;='Control Room'!$A$14,$A487&lt;'Control Room'!$A$14+'Control Room'!$B$14,'Process'!BV3=1),1+('Control Room'!$C$14-1)*EXP(-0.5*(($A487-'Control Room'!$A$14-('Control Room'!$B$14-1)/2)/MAX(0.5,'Control Room'!$B$14/4))^2),1)*IF(AND($A487&gt;='Control Room'!$A$15,$A487&lt;'Control Room'!$A$15+'Control Room'!$B$15,'Process'!BV4=1),1+('Control Room'!$C$15-1)*EXP(-0.5*(($A487-'Control Room'!$A$15-('Control Room'!$B$15-1)/2)/MAX(0.5,'Control Room'!$B$15/4))^2),1)*IF(AND($A487&gt;='Control Room'!$A$16,$A487&lt;'Control Room'!$A$16+'Control Room'!$B$16,'Process'!BV5=1),1+('Control Room'!$C$16-1)*EXP(-0.5*(($A487-'Control Room'!$A$16-('Control Room'!$B$16-1)/2)/MAX(0.5,'Control Room'!$B$16/4))^2),1)</x:f>
        <x:v>1</x:v>
      </x:c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Z487" t="str">
        <x:f>IF('Data'!A487="","",TEXT('Data'!A487,"mm-dd"))</x:f>
      </x:c>
    </x:row>
    <x:row r="488" ht="21" customHeight="1">
      <x:c r="A488" s="15" t="n">
        <x:f>'Control Room'!$B$1+486</x:f>
        <x:v>73477</x:v>
      </x:c>
      <x:c r="B488" s="9" t="n">
        <x:f>MOD(C487*16807,2147483647)</x:f>
        <x:v>1518662863</x:v>
      </x:c>
      <x:c r="C488" s="9" t="n">
        <x:f>MOD(B488*16807,2147483647)</x:f>
        <x:v>1323593846</x:v>
      </x:c>
      <x:c r="D488" s="17" t="n">
        <x:f>IF('Control Room'!$B$5="Normal",'Control Room'!$B$7+'Control Room'!$D$7*SQRT(-2*LN(MAX(0.000000000001,B488/2147483647)))*COS(2*PI()*C488/2147483647),'Control Room'!$B$8+('Control Room'!$D$8-'Control Room'!$B$8)*B488/2147483647)</x:f>
        <x:v>944.2240652060929</x:v>
      </x:c>
      <x:c r="E488" s="17" t="n">
        <x:f>IF('Control Room'!$B$5="Normal",'Control Room'!$B$7,('Control Room'!$B$8+'Control Room'!$D$8)/2)+'Control Room'!$B$9*(E487-IF('Control Room'!$B$5="Normal",'Control Room'!$B$7,('Control Room'!$B$8+'Control Room'!$D$8)/2))+SQRT(1-'Control Room'!$B$9^2)*(D488-IF('Control Room'!$B$5="Normal",'Control Room'!$B$7,('Control Room'!$B$8+'Control Room'!$D$8)/2))</x:f>
        <x:v>1027.813282620429</x:v>
      </x:c>
      <x:c r="F488" s="17" t="n">
        <x:f>IF(AND($A488&gt;='Control Room'!$A$13,$A488&lt;'Control Room'!$A$13+'Control Room'!$B$13,'Process'!BK2=1),1+('Control Room'!$C$13-1)*EXP(-0.5*(($A488-'Control Room'!$A$13-('Control Room'!$B$13-1)/2)/MAX(0.5,'Control Room'!$B$13/4))^2),1)*IF(AND($A488&gt;='Control Room'!$A$14,$A488&lt;'Control Room'!$A$14+'Control Room'!$B$14,'Process'!BK3=1),1+('Control Room'!$C$14-1)*EXP(-0.5*(($A488-'Control Room'!$A$14-('Control Room'!$B$14-1)/2)/MAX(0.5,'Control Room'!$B$14/4))^2),1)*IF(AND($A488&gt;='Control Room'!$A$15,$A488&lt;'Control Room'!$A$15+'Control Room'!$B$15,'Process'!BK4=1),1+('Control Room'!$C$15-1)*EXP(-0.5*(($A488-'Control Room'!$A$15-('Control Room'!$B$15-1)/2)/MAX(0.5,'Control Room'!$B$15/4))^2),1)*IF(AND($A488&gt;='Control Room'!$A$16,$A488&lt;'Control Room'!$A$16+'Control Room'!$B$16,'Process'!BK5=1),1+('Control Room'!$C$16-1)*EXP(-0.5*(($A488-'Control Room'!$A$16-('Control Room'!$B$16-1)/2)/MAX(0.5,'Control Room'!$B$16/4))^2),1)</x:f>
        <x:v>1</x:v>
      </x:c>
      <x:c r="G488" s="9" t="n">
        <x:f>MOD(H487*16807,2147483647)</x:f>
        <x:v>1513856671</x:v>
      </x:c>
      <x:c r="H488" s="9" t="n">
        <x:f>MOD(G488*16807,2147483647)</x:f>
        <x:v>2819841</x:v>
      </x:c>
      <x:c r="I488" s="17" t="n">
        <x:f>IF('Control Room'!$B$5="Normal",'Control Room'!$B$7+'Control Room'!$D$7*SQRT(-2*LN(MAX(0.000000000001,G488/2147483647)))*COS(2*PI()*H488/2147483647),'Control Room'!$B$8+('Control Room'!$D$8-'Control Room'!$B$8)*G488/2147483647)</x:f>
        <x:v>1075.2577050568477</x:v>
      </x:c>
      <x:c r="J488" s="17" t="n">
        <x:f>IF('Control Room'!$B$5="Normal",'Control Room'!$B$7,('Control Room'!$B$8+'Control Room'!$D$8)/2)+'Control Room'!$B$9*(J487-IF('Control Room'!$B$5="Normal",'Control Room'!$B$7,('Control Room'!$B$8+'Control Room'!$D$8)/2))+SQRT(1-'Control Room'!$B$9^2)*(I488-IF('Control Room'!$B$5="Normal",'Control Room'!$B$7,('Control Room'!$B$8+'Control Room'!$D$8)/2))</x:f>
        <x:v>958.705497584958</x:v>
      </x:c>
      <x:c r="K488" s="17" t="n">
        <x:f>IF(AND($A488&gt;='Control Room'!$A$13,$A488&lt;'Control Room'!$A$13+'Control Room'!$B$13,'Process'!BL2=1),1+('Control Room'!$C$13-1)*EXP(-0.5*(($A488-'Control Room'!$A$13-('Control Room'!$B$13-1)/2)/MAX(0.5,'Control Room'!$B$13/4))^2),1)*IF(AND($A488&gt;='Control Room'!$A$14,$A488&lt;'Control Room'!$A$14+'Control Room'!$B$14,'Process'!BL3=1),1+('Control Room'!$C$14-1)*EXP(-0.5*(($A488-'Control Room'!$A$14-('Control Room'!$B$14-1)/2)/MAX(0.5,'Control Room'!$B$14/4))^2),1)*IF(AND($A488&gt;='Control Room'!$A$15,$A488&lt;'Control Room'!$A$15+'Control Room'!$B$15,'Process'!BL4=1),1+('Control Room'!$C$15-1)*EXP(-0.5*(($A488-'Control Room'!$A$15-('Control Room'!$B$15-1)/2)/MAX(0.5,'Control Room'!$B$15/4))^2),1)*IF(AND($A488&gt;='Control Room'!$A$16,$A488&lt;'Control Room'!$A$16+'Control Room'!$B$16,'Process'!BL5=1),1+('Control Room'!$C$16-1)*EXP(-0.5*(($A488-'Control Room'!$A$16-('Control Room'!$B$16-1)/2)/MAX(0.5,'Control Room'!$B$16/4))^2),1)</x:f>
        <x:v>1</x:v>
      </x:c>
      <x:c r="L488" s="9" t="n">
        <x:f>MOD(M487*16807,2147483647)</x:f>
        <x:v>1509050479</x:v>
      </x:c>
      <x:c r="M488" s="9" t="n">
        <x:f>MOD(L488*16807,2147483647)</x:f>
        <x:v>829529483</x:v>
      </x:c>
      <x:c r="N488" s="17" t="n">
        <x:f>IF('Control Room'!$B$5="Normal",'Control Room'!$B$7+'Control Room'!$D$7*SQRT(-2*LN(MAX(0.000000000001,L488/2147483647)))*COS(2*PI()*M488/2147483647),'Control Room'!$B$8+('Control Room'!$D$8-'Control Room'!$B$8)*L488/2147483647)</x:f>
        <x:v>942.8901234872636</x:v>
      </x:c>
      <x:c r="O488" s="17" t="n">
        <x:f>IF('Control Room'!$B$5="Normal",'Control Room'!$B$7,('Control Room'!$B$8+'Control Room'!$D$8)/2)+'Control Room'!$B$9*(O487-IF('Control Room'!$B$5="Normal",'Control Room'!$B$7,('Control Room'!$B$8+'Control Room'!$D$8)/2))+SQRT(1-'Control Room'!$B$9^2)*(N488-IF('Control Room'!$B$5="Normal",'Control Room'!$B$7,('Control Room'!$B$8+'Control Room'!$D$8)/2))</x:f>
        <x:v>962.6515428393333</x:v>
      </x:c>
      <x:c r="P488" s="17" t="n">
        <x:f>IF(AND($A488&gt;='Control Room'!$A$13,$A488&lt;'Control Room'!$A$13+'Control Room'!$B$13,'Process'!BM2=1),1+('Control Room'!$C$13-1)*EXP(-0.5*(($A488-'Control Room'!$A$13-('Control Room'!$B$13-1)/2)/MAX(0.5,'Control Room'!$B$13/4))^2),1)*IF(AND($A488&gt;='Control Room'!$A$14,$A488&lt;'Control Room'!$A$14+'Control Room'!$B$14,'Process'!BM3=1),1+('Control Room'!$C$14-1)*EXP(-0.5*(($A488-'Control Room'!$A$14-('Control Room'!$B$14-1)/2)/MAX(0.5,'Control Room'!$B$14/4))^2),1)*IF(AND($A488&gt;='Control Room'!$A$15,$A488&lt;'Control Room'!$A$15+'Control Room'!$B$15,'Process'!BM4=1),1+('Control Room'!$C$15-1)*EXP(-0.5*(($A488-'Control Room'!$A$15-('Control Room'!$B$15-1)/2)/MAX(0.5,'Control Room'!$B$15/4))^2),1)*IF(AND($A488&gt;='Control Room'!$A$16,$A488&lt;'Control Room'!$A$16+'Control Room'!$B$16,'Process'!BM5=1),1+('Control Room'!$C$16-1)*EXP(-0.5*(($A488-'Control Room'!$A$16-('Control Room'!$B$16-1)/2)/MAX(0.5,'Control Room'!$B$16/4))^2),1)</x:f>
        <x:v>1</x:v>
      </x:c>
      <x:c r="Q488" s="9" t="n">
        <x:f>MOD(R487*16807,2147483647)</x:f>
        <x:v>1504244287</x:v>
      </x:c>
      <x:c r="R488" s="9" t="n">
        <x:f>MOD(Q488*16807,2147483647)</x:f>
        <x:v>1656239125</x:v>
      </x:c>
      <x:c r="S488" s="17" t="n">
        <x:f>IF('Control Room'!$B$5="Normal",'Control Room'!$B$7+'Control Room'!$D$7*SQRT(-2*LN(MAX(0.000000000001,Q488/2147483647)))*COS(2*PI()*R488/2147483647),'Control Room'!$B$8+('Control Room'!$D$8-'Control Room'!$B$8)*Q488/2147483647)</x:f>
        <x:v>1010.1079167249693</x:v>
      </x:c>
      <x:c r="T488" s="17" t="n">
        <x:f>IF('Control Room'!$B$5="Normal",'Control Room'!$B$7,('Control Room'!$B$8+'Control Room'!$D$8)/2)+'Control Room'!$B$9*(T487-IF('Control Room'!$B$5="Normal",'Control Room'!$B$7,('Control Room'!$B$8+'Control Room'!$D$8)/2))+SQRT(1-'Control Room'!$B$9^2)*(S488-IF('Control Room'!$B$5="Normal",'Control Room'!$B$7,('Control Room'!$B$8+'Control Room'!$D$8)/2))</x:f>
        <x:v>1004.4087515613196</x:v>
      </x:c>
      <x:c r="U488" s="17" t="n">
        <x:f>IF(AND($A488&gt;='Control Room'!$A$13,$A488&lt;'Control Room'!$A$13+'Control Room'!$B$13,'Process'!BN2=1),1+('Control Room'!$C$13-1)*EXP(-0.5*(($A488-'Control Room'!$A$13-('Control Room'!$B$13-1)/2)/MAX(0.5,'Control Room'!$B$13/4))^2),1)*IF(AND($A488&gt;='Control Room'!$A$14,$A488&lt;'Control Room'!$A$14+'Control Room'!$B$14,'Process'!BN3=1),1+('Control Room'!$C$14-1)*EXP(-0.5*(($A488-'Control Room'!$A$14-('Control Room'!$B$14-1)/2)/MAX(0.5,'Control Room'!$B$14/4))^2),1)*IF(AND($A488&gt;='Control Room'!$A$15,$A488&lt;'Control Room'!$A$15+'Control Room'!$B$15,'Process'!BN4=1),1+('Control Room'!$C$15-1)*EXP(-0.5*(($A488-'Control Room'!$A$15-('Control Room'!$B$15-1)/2)/MAX(0.5,'Control Room'!$B$15/4))^2),1)*IF(AND($A488&gt;='Control Room'!$A$16,$A488&lt;'Control Room'!$A$16+'Control Room'!$B$16,'Process'!BN5=1),1+('Control Room'!$C$16-1)*EXP(-0.5*(($A488-'Control Room'!$A$16-('Control Room'!$B$16-1)/2)/MAX(0.5,'Control Room'!$B$16/4))^2),1)</x:f>
        <x:v>1</x:v>
      </x:c>
      <x:c r="V488" s="9" t="n">
        <x:f>MOD(W487*16807,2147483647)</x:f>
        <x:v>1499438095</x:v>
      </x:c>
      <x:c r="W488" s="9" t="n">
        <x:f>MOD(V488*16807,2147483647)</x:f>
        <x:v>335465120</x:v>
      </x:c>
      <x:c r="X488" s="17" t="n">
        <x:f>IF('Control Room'!$B$5="Normal",'Control Room'!$B$7+'Control Room'!$D$7*SQRT(-2*LN(MAX(0.000000000001,V488/2147483647)))*COS(2*PI()*W488/2147483647),'Control Room'!$B$8+('Control Room'!$D$8-'Control Room'!$B$8)*V488/2147483647)</x:f>
        <x:v>1042.3954295744256</x:v>
      </x:c>
      <x:c r="Y488" s="17" t="n">
        <x:f>IF('Control Room'!$B$5="Normal",'Control Room'!$B$7,('Control Room'!$B$8+'Control Room'!$D$8)/2)+'Control Room'!$B$9*(Y487-IF('Control Room'!$B$5="Normal",'Control Room'!$B$7,('Control Room'!$B$8+'Control Room'!$D$8)/2))+SQRT(1-'Control Room'!$B$9^2)*(X488-IF('Control Room'!$B$5="Normal",'Control Room'!$B$7,('Control Room'!$B$8+'Control Room'!$D$8)/2))</x:f>
        <x:v>1093.28039787388</x:v>
      </x:c>
      <x:c r="Z488" s="17" t="n">
        <x:f>IF(AND($A488&gt;='Control Room'!$A$13,$A488&lt;'Control Room'!$A$13+'Control Room'!$B$13,'Process'!BO2=1),1+('Control Room'!$C$13-1)*EXP(-0.5*(($A488-'Control Room'!$A$13-('Control Room'!$B$13-1)/2)/MAX(0.5,'Control Room'!$B$13/4))^2),1)*IF(AND($A488&gt;='Control Room'!$A$14,$A488&lt;'Control Room'!$A$14+'Control Room'!$B$14,'Process'!BO3=1),1+('Control Room'!$C$14-1)*EXP(-0.5*(($A488-'Control Room'!$A$14-('Control Room'!$B$14-1)/2)/MAX(0.5,'Control Room'!$B$14/4))^2),1)*IF(AND($A488&gt;='Control Room'!$A$15,$A488&lt;'Control Room'!$A$15+'Control Room'!$B$15,'Process'!BO4=1),1+('Control Room'!$C$15-1)*EXP(-0.5*(($A488-'Control Room'!$A$15-('Control Room'!$B$15-1)/2)/MAX(0.5,'Control Room'!$B$15/4))^2),1)*IF(AND($A488&gt;='Control Room'!$A$16,$A488&lt;'Control Room'!$A$16+'Control Room'!$B$16,'Process'!BO5=1),1+('Control Room'!$C$16-1)*EXP(-0.5*(($A488-'Control Room'!$A$16-('Control Room'!$B$16-1)/2)/MAX(0.5,'Control Room'!$B$16/4))^2),1)</x:f>
        <x:v>1</x:v>
      </x:c>
      <x:c r="AA488" s="9" t="n">
        <x:f>MOD(AB487*16807,2147483647)</x:f>
        <x:v>1494631903</x:v>
      </x:c>
      <x:c r="AB488" s="9" t="n">
        <x:f>MOD(AA488*16807,2147483647)</x:f>
        <x:v>1162174762</x:v>
      </x:c>
      <x:c r="AC488" s="17" t="n">
        <x:f>IF('Control Room'!$B$5="Normal",'Control Room'!$B$7+'Control Room'!$D$7*SQRT(-2*LN(MAX(0.000000000001,AA488/2147483647)))*COS(2*PI()*AB488/2147483647),'Control Room'!$B$8+('Control Room'!$D$8-'Control Room'!$B$8)*AA488/2147483647)</x:f>
        <x:v>925.9271159493084</x:v>
      </x:c>
      <x:c r="AD488" s="17" t="n">
        <x:f>IF('Control Room'!$B$5="Normal",'Control Room'!$B$7,('Control Room'!$B$8+'Control Room'!$D$8)/2)+'Control Room'!$B$9*(AD487-IF('Control Room'!$B$5="Normal",'Control Room'!$B$7,('Control Room'!$B$8+'Control Room'!$D$8)/2))+SQRT(1-'Control Room'!$B$9^2)*(AC488-IF('Control Room'!$B$5="Normal",'Control Room'!$B$7,('Control Room'!$B$8+'Control Room'!$D$8)/2))</x:f>
        <x:v>992.331026834022</x:v>
      </x:c>
      <x:c r="AE488" s="17" t="n">
        <x:f>IF(AND($A488&gt;='Control Room'!$A$13,$A488&lt;'Control Room'!$A$13+'Control Room'!$B$13,'Process'!BP2=1),1+('Control Room'!$C$13-1)*EXP(-0.5*(($A488-'Control Room'!$A$13-('Control Room'!$B$13-1)/2)/MAX(0.5,'Control Room'!$B$13/4))^2),1)*IF(AND($A488&gt;='Control Room'!$A$14,$A488&lt;'Control Room'!$A$14+'Control Room'!$B$14,'Process'!BP3=1),1+('Control Room'!$C$14-1)*EXP(-0.5*(($A488-'Control Room'!$A$14-('Control Room'!$B$14-1)/2)/MAX(0.5,'Control Room'!$B$14/4))^2),1)*IF(AND($A488&gt;='Control Room'!$A$15,$A488&lt;'Control Room'!$A$15+'Control Room'!$B$15,'Process'!BP4=1),1+('Control Room'!$C$15-1)*EXP(-0.5*(($A488-'Control Room'!$A$15-('Control Room'!$B$15-1)/2)/MAX(0.5,'Control Room'!$B$15/4))^2),1)*IF(AND($A488&gt;='Control Room'!$A$16,$A488&lt;'Control Room'!$A$16+'Control Room'!$B$16,'Process'!BP5=1),1+('Control Room'!$C$16-1)*EXP(-0.5*(($A488-'Control Room'!$A$16-('Control Room'!$B$16-1)/2)/MAX(0.5,'Control Room'!$B$16/4))^2),1)</x:f>
        <x:v>1</x:v>
      </x:c>
      <x:c r="AF488" s="9" t="n">
        <x:f>MOD(AG487*16807,2147483647)</x:f>
        <x:v>1489825711</x:v>
      </x:c>
      <x:c r="AG488" s="9" t="n">
        <x:f>MOD(AF488*16807,2147483647)</x:f>
        <x:v>1988884404</x:v>
      </x:c>
      <x:c r="AH488" s="17" t="n">
        <x:f>IF('Control Room'!$B$5="Normal",'Control Room'!$B$7+'Control Room'!$D$7*SQRT(-2*LN(MAX(0.000000000001,AF488/2147483647)))*COS(2*PI()*AG488/2147483647),'Control Room'!$B$8+('Control Room'!$D$8-'Control Room'!$B$8)*AF488/2147483647)</x:f>
        <x:v>1068.8245988036413</x:v>
      </x:c>
      <x:c r="AI488" s="17" t="n">
        <x:f>IF('Control Room'!$B$5="Normal",'Control Room'!$B$7,('Control Room'!$B$8+'Control Room'!$D$8)/2)+'Control Room'!$B$9*(AI487-IF('Control Room'!$B$5="Normal",'Control Room'!$B$7,('Control Room'!$B$8+'Control Room'!$D$8)/2))+SQRT(1-'Control Room'!$B$9^2)*(AH488-IF('Control Room'!$B$5="Normal",'Control Room'!$B$7,('Control Room'!$B$8+'Control Room'!$D$8)/2))</x:f>
        <x:v>1147.6749252170212</x:v>
      </x:c>
      <x:c r="AJ488" s="17" t="n">
        <x:f>IF(AND($A488&gt;='Control Room'!$A$13,$A488&lt;'Control Room'!$A$13+'Control Room'!$B$13,'Process'!BQ2=1),1+('Control Room'!$C$13-1)*EXP(-0.5*(($A488-'Control Room'!$A$13-('Control Room'!$B$13-1)/2)/MAX(0.5,'Control Room'!$B$13/4))^2),1)*IF(AND($A488&gt;='Control Room'!$A$14,$A488&lt;'Control Room'!$A$14+'Control Room'!$B$14,'Process'!BQ3=1),1+('Control Room'!$C$14-1)*EXP(-0.5*(($A488-'Control Room'!$A$14-('Control Room'!$B$14-1)/2)/MAX(0.5,'Control Room'!$B$14/4))^2),1)*IF(AND($A488&gt;='Control Room'!$A$15,$A488&lt;'Control Room'!$A$15+'Control Room'!$B$15,'Process'!BQ4=1),1+('Control Room'!$C$15-1)*EXP(-0.5*(($A488-'Control Room'!$A$15-('Control Room'!$B$15-1)/2)/MAX(0.5,'Control Room'!$B$15/4))^2),1)*IF(AND($A488&gt;='Control Room'!$A$16,$A488&lt;'Control Room'!$A$16+'Control Room'!$B$16,'Process'!BQ5=1),1+('Control Room'!$C$16-1)*EXP(-0.5*(($A488-'Control Room'!$A$16-('Control Room'!$B$16-1)/2)/MAX(0.5,'Control Room'!$B$16/4))^2),1)</x:f>
        <x:v>1</x:v>
      </x:c>
      <x:c r="AK488" s="9" t="n">
        <x:f>MOD(AL487*16807,2147483647)</x:f>
        <x:v>1485019519</x:v>
      </x:c>
      <x:c r="AL488" s="9" t="n">
        <x:f>MOD(AK488*16807,2147483647)</x:f>
        <x:v>668110399</x:v>
      </x:c>
      <x:c r="AM488" s="17" t="n">
        <x:f>IF('Control Room'!$B$5="Normal",'Control Room'!$B$7+'Control Room'!$D$7*SQRT(-2*LN(MAX(0.000000000001,AK488/2147483647)))*COS(2*PI()*AL488/2147483647),'Control Room'!$B$8+('Control Room'!$D$8-'Control Room'!$B$8)*AK488/2147483647)</x:f>
        <x:v>971.0410592533168</x:v>
      </x:c>
      <x:c r="AN488" s="17" t="n">
        <x:f>IF('Control Room'!$B$5="Normal",'Control Room'!$B$7,('Control Room'!$B$8+'Control Room'!$D$8)/2)+'Control Room'!$B$9*(AN487-IF('Control Room'!$B$5="Normal",'Control Room'!$B$7,('Control Room'!$B$8+'Control Room'!$D$8)/2))+SQRT(1-'Control Room'!$B$9^2)*(AM488-IF('Control Room'!$B$5="Normal",'Control Room'!$B$7,('Control Room'!$B$8+'Control Room'!$D$8)/2))</x:f>
        <x:v>966.5438657389584</x:v>
      </x:c>
      <x:c r="AO488" s="17" t="n">
        <x:f>IF(AND($A488&gt;='Control Room'!$A$13,$A488&lt;'Control Room'!$A$13+'Control Room'!$B$13,'Process'!BR2=1),1+('Control Room'!$C$13-1)*EXP(-0.5*(($A488-'Control Room'!$A$13-('Control Room'!$B$13-1)/2)/MAX(0.5,'Control Room'!$B$13/4))^2),1)*IF(AND($A488&gt;='Control Room'!$A$14,$A488&lt;'Control Room'!$A$14+'Control Room'!$B$14,'Process'!BR3=1),1+('Control Room'!$C$14-1)*EXP(-0.5*(($A488-'Control Room'!$A$14-('Control Room'!$B$14-1)/2)/MAX(0.5,'Control Room'!$B$14/4))^2),1)*IF(AND($A488&gt;='Control Room'!$A$15,$A488&lt;'Control Room'!$A$15+'Control Room'!$B$15,'Process'!BR4=1),1+('Control Room'!$C$15-1)*EXP(-0.5*(($A488-'Control Room'!$A$15-('Control Room'!$B$15-1)/2)/MAX(0.5,'Control Room'!$B$15/4))^2),1)*IF(AND($A488&gt;='Control Room'!$A$16,$A488&lt;'Control Room'!$A$16+'Control Room'!$B$16,'Process'!BR5=1),1+('Control Room'!$C$16-1)*EXP(-0.5*(($A488-'Control Room'!$A$16-('Control Room'!$B$16-1)/2)/MAX(0.5,'Control Room'!$B$16/4))^2),1)</x:f>
        <x:v>1</x:v>
      </x:c>
      <x:c r="AP488" s="9" t="n">
        <x:f>MOD(AQ487*16807,2147483647)</x:f>
        <x:v>1480213327</x:v>
      </x:c>
      <x:c r="AQ488" s="9" t="n">
        <x:f>MOD(AP488*16807,2147483647)</x:f>
        <x:v>1494820041</x:v>
      </x:c>
      <x:c r="AR488" s="17" t="n">
        <x:f>IF('Control Room'!$B$5="Normal",'Control Room'!$B$7+'Control Room'!$D$7*SQRT(-2*LN(MAX(0.000000000001,AP488/2147483647)))*COS(2*PI()*AQ488/2147483647),'Control Room'!$B$8+('Control Room'!$D$8-'Control Room'!$B$8)*AP488/2147483647)</x:f>
        <x:v>974.1961411166855</x:v>
      </x:c>
      <x:c r="AS488" s="17" t="n">
        <x:f>IF('Control Room'!$B$5="Normal",'Control Room'!$B$7,('Control Room'!$B$8+'Control Room'!$D$8)/2)+'Control Room'!$B$9*(AS487-IF('Control Room'!$B$5="Normal",'Control Room'!$B$7,('Control Room'!$B$8+'Control Room'!$D$8)/2))+SQRT(1-'Control Room'!$B$9^2)*(AR488-IF('Control Room'!$B$5="Normal",'Control Room'!$B$7,('Control Room'!$B$8+'Control Room'!$D$8)/2))</x:f>
        <x:v>979.0991884933111</x:v>
      </x:c>
      <x:c r="AT488" s="17" t="n">
        <x:f>IF(AND($A488&gt;='Control Room'!$A$13,$A488&lt;'Control Room'!$A$13+'Control Room'!$B$13,'Process'!BS2=1),1+('Control Room'!$C$13-1)*EXP(-0.5*(($A488-'Control Room'!$A$13-('Control Room'!$B$13-1)/2)/MAX(0.5,'Control Room'!$B$13/4))^2),1)*IF(AND($A488&gt;='Control Room'!$A$14,$A488&lt;'Control Room'!$A$14+'Control Room'!$B$14,'Process'!BS3=1),1+('Control Room'!$C$14-1)*EXP(-0.5*(($A488-'Control Room'!$A$14-('Control Room'!$B$14-1)/2)/MAX(0.5,'Control Room'!$B$14/4))^2),1)*IF(AND($A488&gt;='Control Room'!$A$15,$A488&lt;'Control Room'!$A$15+'Control Room'!$B$15,'Process'!BS4=1),1+('Control Room'!$C$15-1)*EXP(-0.5*(($A488-'Control Room'!$A$15-('Control Room'!$B$15-1)/2)/MAX(0.5,'Control Room'!$B$15/4))^2),1)*IF(AND($A488&gt;='Control Room'!$A$16,$A488&lt;'Control Room'!$A$16+'Control Room'!$B$16,'Process'!BS5=1),1+('Control Room'!$C$16-1)*EXP(-0.5*(($A488-'Control Room'!$A$16-('Control Room'!$B$16-1)/2)/MAX(0.5,'Control Room'!$B$16/4))^2),1)</x:f>
        <x:v>1</x:v>
      </x:c>
      <x:c r="AU488" s="9" t="n">
        <x:f>MOD(AV487*16807,2147483647)</x:f>
        <x:v>1475407135</x:v>
      </x:c>
      <x:c r="AV488" s="9" t="n">
        <x:f>MOD(AU488*16807,2147483647)</x:f>
        <x:v>174046036</x:v>
      </x:c>
      <x:c r="AW488" s="17" t="n">
        <x:f>IF('Control Room'!$B$5="Normal",'Control Room'!$B$7+'Control Room'!$D$7*SQRT(-2*LN(MAX(0.000000000001,AU488/2147483647)))*COS(2*PI()*AV488/2147483647),'Control Room'!$B$8+('Control Room'!$D$8-'Control Room'!$B$8)*AU488/2147483647)</x:f>
        <x:v>1068.0858834555936</x:v>
      </x:c>
      <x:c r="AX488" s="17" t="n">
        <x:f>IF('Control Room'!$B$5="Normal",'Control Room'!$B$7,('Control Room'!$B$8+'Control Room'!$D$8)/2)+'Control Room'!$B$9*(AX487-IF('Control Room'!$B$5="Normal",'Control Room'!$B$7,('Control Room'!$B$8+'Control Room'!$D$8)/2))+SQRT(1-'Control Room'!$B$9^2)*(AW488-IF('Control Room'!$B$5="Normal",'Control Room'!$B$7,('Control Room'!$B$8+'Control Room'!$D$8)/2))</x:f>
        <x:v>901.2427330071006</x:v>
      </x:c>
      <x:c r="AY488" s="17" t="n">
        <x:f>IF(AND($A488&gt;='Control Room'!$A$13,$A488&lt;'Control Room'!$A$13+'Control Room'!$B$13,'Process'!BT2=1),1+('Control Room'!$C$13-1)*EXP(-0.5*(($A488-'Control Room'!$A$13-('Control Room'!$B$13-1)/2)/MAX(0.5,'Control Room'!$B$13/4))^2),1)*IF(AND($A488&gt;='Control Room'!$A$14,$A488&lt;'Control Room'!$A$14+'Control Room'!$B$14,'Process'!BT3=1),1+('Control Room'!$C$14-1)*EXP(-0.5*(($A488-'Control Room'!$A$14-('Control Room'!$B$14-1)/2)/MAX(0.5,'Control Room'!$B$14/4))^2),1)*IF(AND($A488&gt;='Control Room'!$A$15,$A488&lt;'Control Room'!$A$15+'Control Room'!$B$15,'Process'!BT4=1),1+('Control Room'!$C$15-1)*EXP(-0.5*(($A488-'Control Room'!$A$15-('Control Room'!$B$15-1)/2)/MAX(0.5,'Control Room'!$B$15/4))^2),1)*IF(AND($A488&gt;='Control Room'!$A$16,$A488&lt;'Control Room'!$A$16+'Control Room'!$B$16,'Process'!BT5=1),1+('Control Room'!$C$16-1)*EXP(-0.5*(($A488-'Control Room'!$A$16-('Control Room'!$B$16-1)/2)/MAX(0.5,'Control Room'!$B$16/4))^2),1)</x:f>
        <x:v>1</x:v>
      </x:c>
      <x:c r="AZ488" s="9" t="n">
        <x:f>MOD(BA487*16807,2147483647)</x:f>
        <x:v>1470600943</x:v>
      </x:c>
      <x:c r="BA488" s="9" t="n">
        <x:f>MOD(AZ488*16807,2147483647)</x:f>
        <x:v>1000755678</x:v>
      </x:c>
      <x:c r="BB488" s="17" t="n">
        <x:f>IF('Control Room'!$B$5="Normal",'Control Room'!$B$7+'Control Room'!$D$7*SQRT(-2*LN(MAX(0.000000000001,AZ488/2147483647)))*COS(2*PI()*BA488/2147483647),'Control Room'!$B$8+('Control Room'!$D$8-'Control Room'!$B$8)*AZ488/2147483647)</x:f>
        <x:v>923.4607770727171</x:v>
      </x:c>
      <x:c r="BC488" s="17" t="n">
        <x:f>IF('Control Room'!$B$5="Normal",'Control Room'!$B$7,('Control Room'!$B$8+'Control Room'!$D$8)/2)+'Control Room'!$B$9*(BC487-IF('Control Room'!$B$5="Normal",'Control Room'!$B$7,('Control Room'!$B$8+'Control Room'!$D$8)/2))+SQRT(1-'Control Room'!$B$9^2)*(BB488-IF('Control Room'!$B$5="Normal",'Control Room'!$B$7,('Control Room'!$B$8+'Control Room'!$D$8)/2))</x:f>
        <x:v>871.1459080322188</x:v>
      </x:c>
      <x:c r="BD488" s="17" t="n">
        <x:f>IF(AND($A488&gt;='Control Room'!$A$13,$A488&lt;'Control Room'!$A$13+'Control Room'!$B$13,'Process'!BU2=1),1+('Control Room'!$C$13-1)*EXP(-0.5*(($A488-'Control Room'!$A$13-('Control Room'!$B$13-1)/2)/MAX(0.5,'Control Room'!$B$13/4))^2),1)*IF(AND($A488&gt;='Control Room'!$A$14,$A488&lt;'Control Room'!$A$14+'Control Room'!$B$14,'Process'!BU3=1),1+('Control Room'!$C$14-1)*EXP(-0.5*(($A488-'Control Room'!$A$14-('Control Room'!$B$14-1)/2)/MAX(0.5,'Control Room'!$B$14/4))^2),1)*IF(AND($A488&gt;='Control Room'!$A$15,$A488&lt;'Control Room'!$A$15+'Control Room'!$B$15,'Process'!BU4=1),1+('Control Room'!$C$15-1)*EXP(-0.5*(($A488-'Control Room'!$A$15-('Control Room'!$B$15-1)/2)/MAX(0.5,'Control Room'!$B$15/4))^2),1)*IF(AND($A488&gt;='Control Room'!$A$16,$A488&lt;'Control Room'!$A$16+'Control Room'!$B$16,'Process'!BU5=1),1+('Control Room'!$C$16-1)*EXP(-0.5*(($A488-'Control Room'!$A$16-('Control Room'!$B$16-1)/2)/MAX(0.5,'Control Room'!$B$16/4))^2),1)</x:f>
        <x:v>1</x:v>
      </x:c>
      <x:c r="BE488" s="9" t="n">
        <x:f>MOD(BF487*16807,2147483647)</x:f>
        <x:v>1465794751</x:v>
      </x:c>
      <x:c r="BF488" s="9" t="n">
        <x:f>MOD(BE488*16807,2147483647)</x:f>
        <x:v>1827465320</x:v>
      </x:c>
      <x:c r="BG488" s="17" t="n">
        <x:f>IF('Control Room'!$B$5="Normal",'Control Room'!$B$7+'Control Room'!$D$7*SQRT(-2*LN(MAX(0.000000000001,BE488/2147483647)))*COS(2*PI()*BF488/2147483647),'Control Room'!$B$8+('Control Room'!$D$8-'Control Room'!$B$8)*BE488/2147483647)</x:f>
        <x:v>1046.6237286352393</x:v>
      </x:c>
      <x:c r="BH488" s="17" t="n">
        <x:f>IF('Control Room'!$B$5="Normal",'Control Room'!$B$7,('Control Room'!$B$8+'Control Room'!$D$8)/2)+'Control Room'!$B$9*(BH487-IF('Control Room'!$B$5="Normal",'Control Room'!$B$7,('Control Room'!$B$8+'Control Room'!$D$8)/2))+SQRT(1-'Control Room'!$B$9^2)*(BG488-IF('Control Room'!$B$5="Normal",'Control Room'!$B$7,('Control Room'!$B$8+'Control Room'!$D$8)/2))</x:f>
        <x:v>1008.5176090706601</x:v>
      </x:c>
      <x:c r="BI488" s="17" t="n">
        <x:f>IF(AND($A488&gt;='Control Room'!$A$13,$A488&lt;'Control Room'!$A$13+'Control Room'!$B$13,'Process'!BV2=1),1+('Control Room'!$C$13-1)*EXP(-0.5*(($A488-'Control Room'!$A$13-('Control Room'!$B$13-1)/2)/MAX(0.5,'Control Room'!$B$13/4))^2),1)*IF(AND($A488&gt;='Control Room'!$A$14,$A488&lt;'Control Room'!$A$14+'Control Room'!$B$14,'Process'!BV3=1),1+('Control Room'!$C$14-1)*EXP(-0.5*(($A488-'Control Room'!$A$14-('Control Room'!$B$14-1)/2)/MAX(0.5,'Control Room'!$B$14/4))^2),1)*IF(AND($A488&gt;='Control Room'!$A$15,$A488&lt;'Control Room'!$A$15+'Control Room'!$B$15,'Process'!BV4=1),1+('Control Room'!$C$15-1)*EXP(-0.5*(($A488-'Control Room'!$A$15-('Control Room'!$B$15-1)/2)/MAX(0.5,'Control Room'!$B$15/4))^2),1)*IF(AND($A488&gt;='Control Room'!$A$16,$A488&lt;'Control Room'!$A$16+'Control Room'!$B$16,'Process'!BV5=1),1+('Control Room'!$C$16-1)*EXP(-0.5*(($A488-'Control Room'!$A$16-('Control Room'!$B$16-1)/2)/MAX(0.5,'Control Room'!$B$16/4))^2),1)</x:f>
        <x:v>1</x:v>
      </x:c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Z488" t="str">
        <x:f>IF('Data'!A488="","",TEXT('Data'!A488,"mm-dd"))</x:f>
      </x:c>
    </x:row>
    <x:row r="489" ht="21" customHeight="1">
      <x:c r="A489" s="15" t="n">
        <x:f>'Control Room'!$B$1+487</x:f>
        <x:v>73478</x:v>
      </x:c>
      <x:c r="B489" s="9" t="n">
        <x:f>MOD(C488*16807,2147483647)</x:f>
        <x:v>2006154096</x:v>
      </x:c>
      <x:c r="C489" s="9" t="n">
        <x:f>MOD(B489*16807,2147483647)</x:f>
        <x:v>1938633572</x:v>
      </x:c>
      <x:c r="D489" s="17" t="n">
        <x:f>IF('Control Room'!$B$5="Normal",'Control Room'!$B$7+'Control Room'!$D$7*SQRT(-2*LN(MAX(0.000000000001,B489/2147483647)))*COS(2*PI()*C489/2147483647),'Control Room'!$B$8+('Control Room'!$D$8-'Control Room'!$B$8)*B489/2147483647)</x:f>
        <x:v>1027.1996598874719</x:v>
      </x:c>
      <x:c r="E489" s="17" t="n">
        <x:f>IF('Control Room'!$B$5="Normal",'Control Room'!$B$7,('Control Room'!$B$8+'Control Room'!$D$8)/2)+'Control Room'!$B$9*(E488-IF('Control Room'!$B$5="Normal",'Control Room'!$B$7,('Control Room'!$B$8+'Control Room'!$D$8)/2))+SQRT(1-'Control Room'!$B$9^2)*(D489-IF('Control Room'!$B$5="Normal",'Control Room'!$B$7,('Control Room'!$B$8+'Control Room'!$D$8)/2))</x:f>
        <x:v>1038.7153503861944</x:v>
      </x:c>
      <x:c r="F489" s="17" t="n">
        <x:f>IF(AND($A489&gt;='Control Room'!$A$13,$A489&lt;'Control Room'!$A$13+'Control Room'!$B$13,'Process'!BK2=1),1+('Control Room'!$C$13-1)*EXP(-0.5*(($A489-'Control Room'!$A$13-('Control Room'!$B$13-1)/2)/MAX(0.5,'Control Room'!$B$13/4))^2),1)*IF(AND($A489&gt;='Control Room'!$A$14,$A489&lt;'Control Room'!$A$14+'Control Room'!$B$14,'Process'!BK3=1),1+('Control Room'!$C$14-1)*EXP(-0.5*(($A489-'Control Room'!$A$14-('Control Room'!$B$14-1)/2)/MAX(0.5,'Control Room'!$B$14/4))^2),1)*IF(AND($A489&gt;='Control Room'!$A$15,$A489&lt;'Control Room'!$A$15+'Control Room'!$B$15,'Process'!BK4=1),1+('Control Room'!$C$15-1)*EXP(-0.5*(($A489-'Control Room'!$A$15-('Control Room'!$B$15-1)/2)/MAX(0.5,'Control Room'!$B$15/4))^2),1)*IF(AND($A489&gt;='Control Room'!$A$16,$A489&lt;'Control Room'!$A$16+'Control Room'!$B$16,'Process'!BK5=1),1+('Control Room'!$C$16-1)*EXP(-0.5*(($A489-'Control Room'!$A$16-('Control Room'!$B$16-1)/2)/MAX(0.5,'Control Room'!$B$16/4))^2),1)</x:f>
        <x:v>1</x:v>
      </x:c>
      <x:c r="G489" s="9" t="n">
        <x:f>MOD(H488*16807,2147483647)</x:f>
        <x:v>148427453</x:v>
      </x:c>
      <x:c r="H489" s="9" t="n">
        <x:f>MOD(G489*16807,2147483647)</x:f>
        <x:v>1391688404</x:v>
      </x:c>
      <x:c r="I489" s="17" t="n">
        <x:f>IF('Control Room'!$B$5="Normal",'Control Room'!$B$7+'Control Room'!$D$7*SQRT(-2*LN(MAX(0.000000000001,G489/2147483647)))*COS(2*PI()*H489/2147483647),'Control Room'!$B$8+('Control Room'!$D$8-'Control Room'!$B$8)*G489/2147483647)</x:f>
        <x:v>875.6626754357193</x:v>
      </x:c>
      <x:c r="J489" s="17" t="n">
        <x:f>IF('Control Room'!$B$5="Normal",'Control Room'!$B$7,('Control Room'!$B$8+'Control Room'!$D$8)/2)+'Control Room'!$B$9*(J488-IF('Control Room'!$B$5="Normal",'Control Room'!$B$7,('Control Room'!$B$8+'Control Room'!$D$8)/2))+SQRT(1-'Control Room'!$B$9^2)*(I489-IF('Control Room'!$B$5="Normal",'Control Room'!$B$7,('Control Room'!$B$8+'Control Room'!$D$8)/2))</x:f>
        <x:v>889.9825375924861</x:v>
      </x:c>
      <x:c r="K489" s="17" t="n">
        <x:f>IF(AND($A489&gt;='Control Room'!$A$13,$A489&lt;'Control Room'!$A$13+'Control Room'!$B$13,'Process'!BL2=1),1+('Control Room'!$C$13-1)*EXP(-0.5*(($A489-'Control Room'!$A$13-('Control Room'!$B$13-1)/2)/MAX(0.5,'Control Room'!$B$13/4))^2),1)*IF(AND($A489&gt;='Control Room'!$A$14,$A489&lt;'Control Room'!$A$14+'Control Room'!$B$14,'Process'!BL3=1),1+('Control Room'!$C$14-1)*EXP(-0.5*(($A489-'Control Room'!$A$14-('Control Room'!$B$14-1)/2)/MAX(0.5,'Control Room'!$B$14/4))^2),1)*IF(AND($A489&gt;='Control Room'!$A$15,$A489&lt;'Control Room'!$A$15+'Control Room'!$B$15,'Process'!BL4=1),1+('Control Room'!$C$15-1)*EXP(-0.5*(($A489-'Control Room'!$A$15-('Control Room'!$B$15-1)/2)/MAX(0.5,'Control Room'!$B$15/4))^2),1)*IF(AND($A489&gt;='Control Room'!$A$16,$A489&lt;'Control Room'!$A$16+'Control Room'!$B$16,'Process'!BL5=1),1+('Control Room'!$C$16-1)*EXP(-0.5*(($A489-'Control Room'!$A$16-('Control Room'!$B$16-1)/2)/MAX(0.5,'Control Room'!$B$16/4))^2),1)</x:f>
        <x:v>1</x:v>
      </x:c>
      <x:c r="L489" s="9" t="n">
        <x:f>MOD(M488*16807,2147483647)</x:f>
        <x:v>438184457</x:v>
      </x:c>
      <x:c r="M489" s="9" t="n">
        <x:f>MOD(L489*16807,2147483647)</x:f>
        <x:v>844743236</x:v>
      </x:c>
      <x:c r="N489" s="17" t="n">
        <x:f>IF('Control Room'!$B$5="Normal",'Control Room'!$B$7+'Control Room'!$D$7*SQRT(-2*LN(MAX(0.000000000001,L489/2147483647)))*COS(2*PI()*M489/2147483647),'Control Room'!$B$8+('Control Room'!$D$8-'Control Room'!$B$8)*L489/2147483647)</x:f>
        <x:v>874.2266068696895</x:v>
      </x:c>
      <x:c r="O489" s="17" t="n">
        <x:f>IF('Control Room'!$B$5="Normal",'Control Room'!$B$7,('Control Room'!$B$8+'Control Room'!$D$8)/2)+'Control Room'!$B$9*(O488-IF('Control Room'!$B$5="Normal",'Control Room'!$B$7,('Control Room'!$B$8+'Control Room'!$D$8)/2))+SQRT(1-'Control Room'!$B$9^2)*(N489-IF('Control Room'!$B$5="Normal",'Control Room'!$B$7,('Control Room'!$B$8+'Control Room'!$D$8)/2))</x:f>
        <x:v>892.1617906017411</x:v>
      </x:c>
      <x:c r="P489" s="17" t="n">
        <x:f>IF(AND($A489&gt;='Control Room'!$A$13,$A489&lt;'Control Room'!$A$13+'Control Room'!$B$13,'Process'!BM2=1),1+('Control Room'!$C$13-1)*EXP(-0.5*(($A489-'Control Room'!$A$13-('Control Room'!$B$13-1)/2)/MAX(0.5,'Control Room'!$B$13/4))^2),1)*IF(AND($A489&gt;='Control Room'!$A$14,$A489&lt;'Control Room'!$A$14+'Control Room'!$B$14,'Process'!BM3=1),1+('Control Room'!$C$14-1)*EXP(-0.5*(($A489-'Control Room'!$A$14-('Control Room'!$B$14-1)/2)/MAX(0.5,'Control Room'!$B$14/4))^2),1)*IF(AND($A489&gt;='Control Room'!$A$15,$A489&lt;'Control Room'!$A$15+'Control Room'!$B$15,'Process'!BM4=1),1+('Control Room'!$C$15-1)*EXP(-0.5*(($A489-'Control Room'!$A$15-('Control Room'!$B$15-1)/2)/MAX(0.5,'Control Room'!$B$15/4))^2),1)*IF(AND($A489&gt;='Control Room'!$A$16,$A489&lt;'Control Room'!$A$16+'Control Room'!$B$16,'Process'!BM5=1),1+('Control Room'!$C$16-1)*EXP(-0.5*(($A489-'Control Room'!$A$16-('Control Room'!$B$16-1)/2)/MAX(0.5,'Control Room'!$B$16/4))^2),1)</x:f>
        <x:v>1</x:v>
      </x:c>
      <x:c r="Q489" s="9" t="n">
        <x:f>MOD(R488*16807,2147483647)</x:f>
        <x:v>727941461</x:v>
      </x:c>
      <x:c r="R489" s="9" t="n">
        <x:f>MOD(Q489*16807,2147483647)</x:f>
        <x:v>297798068</x:v>
      </x:c>
      <x:c r="S489" s="17" t="n">
        <x:f>IF('Control Room'!$B$5="Normal",'Control Room'!$B$7+'Control Room'!$D$7*SQRT(-2*LN(MAX(0.000000000001,Q489/2147483647)))*COS(2*PI()*R489/2147483647),'Control Room'!$B$8+('Control Room'!$D$8-'Control Room'!$B$8)*Q489/2147483647)</x:f>
        <x:v>1085.2326120536402</x:v>
      </x:c>
      <x:c r="T489" s="17" t="n">
        <x:f>IF('Control Room'!$B$5="Normal",'Control Room'!$B$7,('Control Room'!$B$8+'Control Room'!$D$8)/2)+'Control Room'!$B$9*(T488-IF('Control Room'!$B$5="Normal",'Control Room'!$B$7,('Control Room'!$B$8+'Control Room'!$D$8)/2))+SQRT(1-'Control Room'!$B$9^2)*(S489-IF('Control Room'!$B$5="Normal",'Control Room'!$B$7,('Control Room'!$B$8+'Control Room'!$D$8)/2))</x:f>
        <x:v>1056.7756487560312</x:v>
      </x:c>
      <x:c r="U489" s="17" t="n">
        <x:f>IF(AND($A489&gt;='Control Room'!$A$13,$A489&lt;'Control Room'!$A$13+'Control Room'!$B$13,'Process'!BN2=1),1+('Control Room'!$C$13-1)*EXP(-0.5*(($A489-'Control Room'!$A$13-('Control Room'!$B$13-1)/2)/MAX(0.5,'Control Room'!$B$13/4))^2),1)*IF(AND($A489&gt;='Control Room'!$A$14,$A489&lt;'Control Room'!$A$14+'Control Room'!$B$14,'Process'!BN3=1),1+('Control Room'!$C$14-1)*EXP(-0.5*(($A489-'Control Room'!$A$14-('Control Room'!$B$14-1)/2)/MAX(0.5,'Control Room'!$B$14/4))^2),1)*IF(AND($A489&gt;='Control Room'!$A$15,$A489&lt;'Control Room'!$A$15+'Control Room'!$B$15,'Process'!BN4=1),1+('Control Room'!$C$15-1)*EXP(-0.5*(($A489-'Control Room'!$A$15-('Control Room'!$B$15-1)/2)/MAX(0.5,'Control Room'!$B$15/4))^2),1)*IF(AND($A489&gt;='Control Room'!$A$16,$A489&lt;'Control Room'!$A$16+'Control Room'!$B$16,'Process'!BN5=1),1+('Control Room'!$C$16-1)*EXP(-0.5*(($A489-'Control Room'!$A$16-('Control Room'!$B$16-1)/2)/MAX(0.5,'Control Room'!$B$16/4))^2),1)</x:f>
        <x:v>1</x:v>
      </x:c>
      <x:c r="V489" s="9" t="n">
        <x:f>MOD(W488*16807,2147483647)</x:f>
        <x:v>1017698465</x:v>
      </x:c>
      <x:c r="W489" s="9" t="n">
        <x:f>MOD(V489*16807,2147483647)</x:f>
        <x:v>1898336547</x:v>
      </x:c>
      <x:c r="X489" s="17" t="n">
        <x:f>IF('Control Room'!$B$5="Normal",'Control Room'!$B$7+'Control Room'!$D$7*SQRT(-2*LN(MAX(0.000000000001,V489/2147483647)))*COS(2*PI()*W489/2147483647),'Control Room'!$B$8+('Control Room'!$D$8-'Control Room'!$B$8)*V489/2147483647)</x:f>
        <x:v>1082.036351344398</x:v>
      </x:c>
      <x:c r="Y489" s="17" t="n">
        <x:f>IF('Control Room'!$B$5="Normal",'Control Room'!$B$7,('Control Room'!$B$8+'Control Room'!$D$8)/2)+'Control Room'!$B$9*(Y488-IF('Control Room'!$B$5="Normal",'Control Room'!$B$7,('Control Room'!$B$8+'Control Room'!$D$8)/2))+SQRT(1-'Control Room'!$B$9^2)*(X489-IF('Control Room'!$B$5="Normal",'Control Room'!$B$7,('Control Room'!$B$8+'Control Room'!$D$8)/2))</x:f>
        <x:v>1124.0953784069445</x:v>
      </x:c>
      <x:c r="Z489" s="17" t="n">
        <x:f>IF(AND($A489&gt;='Control Room'!$A$13,$A489&lt;'Control Room'!$A$13+'Control Room'!$B$13,'Process'!BO2=1),1+('Control Room'!$C$13-1)*EXP(-0.5*(($A489-'Control Room'!$A$13-('Control Room'!$B$13-1)/2)/MAX(0.5,'Control Room'!$B$13/4))^2),1)*IF(AND($A489&gt;='Control Room'!$A$14,$A489&lt;'Control Room'!$A$14+'Control Room'!$B$14,'Process'!BO3=1),1+('Control Room'!$C$14-1)*EXP(-0.5*(($A489-'Control Room'!$A$14-('Control Room'!$B$14-1)/2)/MAX(0.5,'Control Room'!$B$14/4))^2),1)*IF(AND($A489&gt;='Control Room'!$A$15,$A489&lt;'Control Room'!$A$15+'Control Room'!$B$15,'Process'!BO4=1),1+('Control Room'!$C$15-1)*EXP(-0.5*(($A489-'Control Room'!$A$15-('Control Room'!$B$15-1)/2)/MAX(0.5,'Control Room'!$B$15/4))^2),1)*IF(AND($A489&gt;='Control Room'!$A$16,$A489&lt;'Control Room'!$A$16+'Control Room'!$B$16,'Process'!BO5=1),1+('Control Room'!$C$16-1)*EXP(-0.5*(($A489-'Control Room'!$A$16-('Control Room'!$B$16-1)/2)/MAX(0.5,'Control Room'!$B$16/4))^2),1)</x:f>
        <x:v>1</x:v>
      </x:c>
      <x:c r="AA489" s="9" t="n">
        <x:f>MOD(AB488*16807,2147483647)</x:f>
        <x:v>1307455469</x:v>
      </x:c>
      <x:c r="AB489" s="9" t="n">
        <x:f>MOD(AA489*16807,2147483647)</x:f>
        <x:v>1351391379</x:v>
      </x:c>
      <x:c r="AC489" s="17" t="n">
        <x:f>IF('Control Room'!$B$5="Normal",'Control Room'!$B$7+'Control Room'!$D$7*SQRT(-2*LN(MAX(0.000000000001,AA489/2147483647)))*COS(2*PI()*AB489/2147483647),'Control Room'!$B$8+('Control Room'!$D$8-'Control Room'!$B$8)*AA489/2147483647)</x:f>
        <x:v>938.333772198608</x:v>
      </x:c>
      <x:c r="AD489" s="17" t="n">
        <x:f>IF('Control Room'!$B$5="Normal",'Control Room'!$B$7,('Control Room'!$B$8+'Control Room'!$D$8)/2)+'Control Room'!$B$9*(AD488-IF('Control Room'!$B$5="Normal",'Control Room'!$B$7,('Control Room'!$B$8+'Control Room'!$D$8)/2))+SQRT(1-'Control Room'!$B$9^2)*(AC489-IF('Control Room'!$B$5="Normal",'Control Room'!$B$7,('Control Room'!$B$8+'Control Room'!$D$8)/2))</x:f>
        <x:v>955.4287388737691</x:v>
      </x:c>
      <x:c r="AE489" s="17" t="n">
        <x:f>IF(AND($A489&gt;='Control Room'!$A$13,$A489&lt;'Control Room'!$A$13+'Control Room'!$B$13,'Process'!BP2=1),1+('Control Room'!$C$13-1)*EXP(-0.5*(($A489-'Control Room'!$A$13-('Control Room'!$B$13-1)/2)/MAX(0.5,'Control Room'!$B$13/4))^2),1)*IF(AND($A489&gt;='Control Room'!$A$14,$A489&lt;'Control Room'!$A$14+'Control Room'!$B$14,'Process'!BP3=1),1+('Control Room'!$C$14-1)*EXP(-0.5*(($A489-'Control Room'!$A$14-('Control Room'!$B$14-1)/2)/MAX(0.5,'Control Room'!$B$14/4))^2),1)*IF(AND($A489&gt;='Control Room'!$A$15,$A489&lt;'Control Room'!$A$15+'Control Room'!$B$15,'Process'!BP4=1),1+('Control Room'!$C$15-1)*EXP(-0.5*(($A489-'Control Room'!$A$15-('Control Room'!$B$15-1)/2)/MAX(0.5,'Control Room'!$B$15/4))^2),1)*IF(AND($A489&gt;='Control Room'!$A$16,$A489&lt;'Control Room'!$A$16+'Control Room'!$B$16,'Process'!BP5=1),1+('Control Room'!$C$16-1)*EXP(-0.5*(($A489-'Control Room'!$A$16-('Control Room'!$B$16-1)/2)/MAX(0.5,'Control Room'!$B$16/4))^2),1)</x:f>
        <x:v>1</x:v>
      </x:c>
      <x:c r="AF489" s="9" t="n">
        <x:f>MOD(AG488*16807,2147483647)</x:f>
        <x:v>1597212473</x:v>
      </x:c>
      <x:c r="AG489" s="9" t="n">
        <x:f>MOD(AF489*16807,2147483647)</x:f>
        <x:v>804446211</x:v>
      </x:c>
      <x:c r="AH489" s="17" t="n">
        <x:f>IF('Control Room'!$B$5="Normal",'Control Room'!$B$7+'Control Room'!$D$7*SQRT(-2*LN(MAX(0.000000000001,AF489/2147483647)))*COS(2*PI()*AG489/2147483647),'Control Room'!$B$8+('Control Room'!$D$8-'Control Room'!$B$8)*AF489/2147483647)</x:f>
        <x:v>951.1550504308285</x:v>
      </x:c>
      <x:c r="AI489" s="17" t="n">
        <x:f>IF('Control Room'!$B$5="Normal",'Control Room'!$B$7,('Control Room'!$B$8+'Control Room'!$D$8)/2)+'Control Room'!$B$9*(AI488-IF('Control Room'!$B$5="Normal",'Control Room'!$B$7,('Control Room'!$B$8+'Control Room'!$D$8)/2))+SQRT(1-'Control Room'!$B$9^2)*(AH489-IF('Control Room'!$B$5="Normal",'Control Room'!$B$7,('Control Room'!$B$8+'Control Room'!$D$8)/2))</x:f>
        <x:v>1084.6202728720707</x:v>
      </x:c>
      <x:c r="AJ489" s="17" t="n">
        <x:f>IF(AND($A489&gt;='Control Room'!$A$13,$A489&lt;'Control Room'!$A$13+'Control Room'!$B$13,'Process'!BQ2=1),1+('Control Room'!$C$13-1)*EXP(-0.5*(($A489-'Control Room'!$A$13-('Control Room'!$B$13-1)/2)/MAX(0.5,'Control Room'!$B$13/4))^2),1)*IF(AND($A489&gt;='Control Room'!$A$14,$A489&lt;'Control Room'!$A$14+'Control Room'!$B$14,'Process'!BQ3=1),1+('Control Room'!$C$14-1)*EXP(-0.5*(($A489-'Control Room'!$A$14-('Control Room'!$B$14-1)/2)/MAX(0.5,'Control Room'!$B$14/4))^2),1)*IF(AND($A489&gt;='Control Room'!$A$15,$A489&lt;'Control Room'!$A$15+'Control Room'!$B$15,'Process'!BQ4=1),1+('Control Room'!$C$15-1)*EXP(-0.5*(($A489-'Control Room'!$A$15-('Control Room'!$B$15-1)/2)/MAX(0.5,'Control Room'!$B$15/4))^2),1)*IF(AND($A489&gt;='Control Room'!$A$16,$A489&lt;'Control Room'!$A$16+'Control Room'!$B$16,'Process'!BQ5=1),1+('Control Room'!$C$16-1)*EXP(-0.5*(($A489-'Control Room'!$A$16-('Control Room'!$B$16-1)/2)/MAX(0.5,'Control Room'!$B$16/4))^2),1)</x:f>
        <x:v>1</x:v>
      </x:c>
      <x:c r="AK489" s="9" t="n">
        <x:f>MOD(AL488*16807,2147483647)</x:f>
        <x:v>1886969477</x:v>
      </x:c>
      <x:c r="AL489" s="9" t="n">
        <x:f>MOD(AK489*16807,2147483647)</x:f>
        <x:v>257501043</x:v>
      </x:c>
      <x:c r="AM489" s="17" t="n">
        <x:f>IF('Control Room'!$B$5="Normal",'Control Room'!$B$7+'Control Room'!$D$7*SQRT(-2*LN(MAX(0.000000000001,AK489/2147483647)))*COS(2*PI()*AL489/2147483647),'Control Room'!$B$8+('Control Room'!$D$8-'Control Room'!$B$8)*AK489/2147483647)</x:f>
        <x:v>1033.3842758277772</x:v>
      </x:c>
      <x:c r="AN489" s="17" t="n">
        <x:f>IF('Control Room'!$B$5="Normal",'Control Room'!$B$7,('Control Room'!$B$8+'Control Room'!$D$8)/2)+'Control Room'!$B$9*(AN488-IF('Control Room'!$B$5="Normal",'Control Room'!$B$7,('Control Room'!$B$8+'Control Room'!$D$8)/2))+SQRT(1-'Control Room'!$B$9^2)*(AM489-IF('Control Room'!$B$5="Normal",'Control Room'!$B$7,('Control Room'!$B$8+'Control Room'!$D$8)/2))</x:f>
        <x:v>994.7954111753461</x:v>
      </x:c>
      <x:c r="AO489" s="17" t="n">
        <x:f>IF(AND($A489&gt;='Control Room'!$A$13,$A489&lt;'Control Room'!$A$13+'Control Room'!$B$13,'Process'!BR2=1),1+('Control Room'!$C$13-1)*EXP(-0.5*(($A489-'Control Room'!$A$13-('Control Room'!$B$13-1)/2)/MAX(0.5,'Control Room'!$B$13/4))^2),1)*IF(AND($A489&gt;='Control Room'!$A$14,$A489&lt;'Control Room'!$A$14+'Control Room'!$B$14,'Process'!BR3=1),1+('Control Room'!$C$14-1)*EXP(-0.5*(($A489-'Control Room'!$A$14-('Control Room'!$B$14-1)/2)/MAX(0.5,'Control Room'!$B$14/4))^2),1)*IF(AND($A489&gt;='Control Room'!$A$15,$A489&lt;'Control Room'!$A$15+'Control Room'!$B$15,'Process'!BR4=1),1+('Control Room'!$C$15-1)*EXP(-0.5*(($A489-'Control Room'!$A$15-('Control Room'!$B$15-1)/2)/MAX(0.5,'Control Room'!$B$15/4))^2),1)*IF(AND($A489&gt;='Control Room'!$A$16,$A489&lt;'Control Room'!$A$16+'Control Room'!$B$16,'Process'!BR5=1),1+('Control Room'!$C$16-1)*EXP(-0.5*(($A489-'Control Room'!$A$16-('Control Room'!$B$16-1)/2)/MAX(0.5,'Control Room'!$B$16/4))^2),1)</x:f>
        <x:v>1</x:v>
      </x:c>
      <x:c r="AP489" s="9" t="n">
        <x:f>MOD(AQ488*16807,2147483647)</x:f>
        <x:v>29242834</x:v>
      </x:c>
      <x:c r="AQ489" s="9" t="n">
        <x:f>MOD(AP489*16807,2147483647)</x:f>
        <x:v>1858039522</x:v>
      </x:c>
      <x:c r="AR489" s="17" t="n">
        <x:f>IF('Control Room'!$B$5="Normal",'Control Room'!$B$7+'Control Room'!$D$7*SQRT(-2*LN(MAX(0.000000000001,AP489/2147483647)))*COS(2*PI()*AQ489/2147483647),'Control Room'!$B$8+('Control Room'!$D$8-'Control Room'!$B$8)*AP489/2147483647)</x:f>
        <x:v>1174.7382665024504</x:v>
      </x:c>
      <x:c r="AS489" s="17" t="n">
        <x:f>IF('Control Room'!$B$5="Normal",'Control Room'!$B$7,('Control Room'!$B$8+'Control Room'!$D$8)/2)+'Control Room'!$B$9*(AS488-IF('Control Room'!$B$5="Normal",'Control Room'!$B$7,('Control Room'!$B$8+'Control Room'!$D$8)/2))+SQRT(1-'Control Room'!$B$9^2)*(AR489-IF('Control Room'!$B$5="Normal",'Control Room'!$B$7,('Control Room'!$B$8+'Control Room'!$D$8)/2))</x:f>
        <x:v>1093.0449944940524</x:v>
      </x:c>
      <x:c r="AT489" s="17" t="n">
        <x:f>IF(AND($A489&gt;='Control Room'!$A$13,$A489&lt;'Control Room'!$A$13+'Control Room'!$B$13,'Process'!BS2=1),1+('Control Room'!$C$13-1)*EXP(-0.5*(($A489-'Control Room'!$A$13-('Control Room'!$B$13-1)/2)/MAX(0.5,'Control Room'!$B$13/4))^2),1)*IF(AND($A489&gt;='Control Room'!$A$14,$A489&lt;'Control Room'!$A$14+'Control Room'!$B$14,'Process'!BS3=1),1+('Control Room'!$C$14-1)*EXP(-0.5*(($A489-'Control Room'!$A$14-('Control Room'!$B$14-1)/2)/MAX(0.5,'Control Room'!$B$14/4))^2),1)*IF(AND($A489&gt;='Control Room'!$A$15,$A489&lt;'Control Room'!$A$15+'Control Room'!$B$15,'Process'!BS4=1),1+('Control Room'!$C$15-1)*EXP(-0.5*(($A489-'Control Room'!$A$15-('Control Room'!$B$15-1)/2)/MAX(0.5,'Control Room'!$B$15/4))^2),1)*IF(AND($A489&gt;='Control Room'!$A$16,$A489&lt;'Control Room'!$A$16+'Control Room'!$B$16,'Process'!BS5=1),1+('Control Room'!$C$16-1)*EXP(-0.5*(($A489-'Control Room'!$A$16-('Control Room'!$B$16-1)/2)/MAX(0.5,'Control Room'!$B$16/4))^2),1)</x:f>
        <x:v>1</x:v>
      </x:c>
      <x:c r="AU489" s="9" t="n">
        <x:f>MOD(AV488*16807,2147483647)</x:f>
        <x:v>318999838</x:v>
      </x:c>
      <x:c r="AV489" s="9" t="n">
        <x:f>MOD(AU489*16807,2147483647)</x:f>
        <x:v>1311094354</x:v>
      </x:c>
      <x:c r="AW489" s="17" t="n">
        <x:f>IF('Control Room'!$B$5="Normal",'Control Room'!$B$7+'Control Room'!$D$7*SQRT(-2*LN(MAX(0.000000000001,AU489/2147483647)))*COS(2*PI()*AV489/2147483647),'Control Room'!$B$8+('Control Room'!$D$8-'Control Room'!$B$8)*AU489/2147483647)</x:f>
        <x:v>864.9464391903953</x:v>
      </x:c>
      <x:c r="AX489" s="17" t="n">
        <x:f>IF('Control Room'!$B$5="Normal",'Control Room'!$B$7,('Control Room'!$B$8+'Control Room'!$D$8)/2)+'Control Room'!$B$9*(AX488-IF('Control Room'!$B$5="Normal",'Control Room'!$B$7,('Control Room'!$B$8+'Control Room'!$D$8)/2))+SQRT(1-'Control Room'!$B$9^2)*(AW489-IF('Control Room'!$B$5="Normal",'Control Room'!$B$7,('Control Room'!$B$8+'Control Room'!$D$8)/2))</x:f>
        <x:v>838.4555801134658</x:v>
      </x:c>
      <x:c r="AY489" s="17" t="n">
        <x:f>IF(AND($A489&gt;='Control Room'!$A$13,$A489&lt;'Control Room'!$A$13+'Control Room'!$B$13,'Process'!BT2=1),1+('Control Room'!$C$13-1)*EXP(-0.5*(($A489-'Control Room'!$A$13-('Control Room'!$B$13-1)/2)/MAX(0.5,'Control Room'!$B$13/4))^2),1)*IF(AND($A489&gt;='Control Room'!$A$14,$A489&lt;'Control Room'!$A$14+'Control Room'!$B$14,'Process'!BT3=1),1+('Control Room'!$C$14-1)*EXP(-0.5*(($A489-'Control Room'!$A$14-('Control Room'!$B$14-1)/2)/MAX(0.5,'Control Room'!$B$14/4))^2),1)*IF(AND($A489&gt;='Control Room'!$A$15,$A489&lt;'Control Room'!$A$15+'Control Room'!$B$15,'Process'!BT4=1),1+('Control Room'!$C$15-1)*EXP(-0.5*(($A489-'Control Room'!$A$15-('Control Room'!$B$15-1)/2)/MAX(0.5,'Control Room'!$B$15/4))^2),1)*IF(AND($A489&gt;='Control Room'!$A$16,$A489&lt;'Control Room'!$A$16+'Control Room'!$B$16,'Process'!BT5=1),1+('Control Room'!$C$16-1)*EXP(-0.5*(($A489-'Control Room'!$A$16-('Control Room'!$B$16-1)/2)/MAX(0.5,'Control Room'!$B$16/4))^2),1)</x:f>
        <x:v>1</x:v>
      </x:c>
      <x:c r="AZ489" s="9" t="n">
        <x:f>MOD(BA488*16807,2147483647)</x:f>
        <x:v>608756842</x:v>
      </x:c>
      <x:c r="BA489" s="9" t="n">
        <x:f>MOD(AZ489*16807,2147483647)</x:f>
        <x:v>764149186</x:v>
      </x:c>
      <x:c r="BB489" s="17" t="n">
        <x:f>IF('Control Room'!$B$5="Normal",'Control Room'!$B$7+'Control Room'!$D$7*SQRT(-2*LN(MAX(0.000000000001,AZ489/2147483647)))*COS(2*PI()*BA489/2147483647),'Control Room'!$B$8+('Control Room'!$D$8-'Control Room'!$B$8)*AZ489/2147483647)</x:f>
        <x:v>911.820625398623</x:v>
      </x:c>
      <x:c r="BC489" s="17" t="n">
        <x:f>IF('Control Room'!$B$5="Normal",'Control Room'!$B$7,('Control Room'!$B$8+'Control Room'!$D$8)/2)+'Control Room'!$B$9*(BC488-IF('Control Room'!$B$5="Normal",'Control Room'!$B$7,('Control Room'!$B$8+'Control Room'!$D$8)/2))+SQRT(1-'Control Room'!$B$9^2)*(BB489-IF('Control Room'!$B$5="Normal",'Control Room'!$B$7,('Control Room'!$B$8+'Control Room'!$D$8)/2))</x:f>
        <x:v>844.312962092267</x:v>
      </x:c>
      <x:c r="BD489" s="17" t="n">
        <x:f>IF(AND($A489&gt;='Control Room'!$A$13,$A489&lt;'Control Room'!$A$13+'Control Room'!$B$13,'Process'!BU2=1),1+('Control Room'!$C$13-1)*EXP(-0.5*(($A489-'Control Room'!$A$13-('Control Room'!$B$13-1)/2)/MAX(0.5,'Control Room'!$B$13/4))^2),1)*IF(AND($A489&gt;='Control Room'!$A$14,$A489&lt;'Control Room'!$A$14+'Control Room'!$B$14,'Process'!BU3=1),1+('Control Room'!$C$14-1)*EXP(-0.5*(($A489-'Control Room'!$A$14-('Control Room'!$B$14-1)/2)/MAX(0.5,'Control Room'!$B$14/4))^2),1)*IF(AND($A489&gt;='Control Room'!$A$15,$A489&lt;'Control Room'!$A$15+'Control Room'!$B$15,'Process'!BU4=1),1+('Control Room'!$C$15-1)*EXP(-0.5*(($A489-'Control Room'!$A$15-('Control Room'!$B$15-1)/2)/MAX(0.5,'Control Room'!$B$15/4))^2),1)*IF(AND($A489&gt;='Control Room'!$A$16,$A489&lt;'Control Room'!$A$16+'Control Room'!$B$16,'Process'!BU5=1),1+('Control Room'!$C$16-1)*EXP(-0.5*(($A489-'Control Room'!$A$16-('Control Room'!$B$16-1)/2)/MAX(0.5,'Control Room'!$B$16/4))^2),1)</x:f>
        <x:v>1</x:v>
      </x:c>
      <x:c r="BE489" s="9" t="n">
        <x:f>MOD(BF488*16807,2147483647)</x:f>
        <x:v>898513846</x:v>
      </x:c>
      <x:c r="BF489" s="9" t="n">
        <x:f>MOD(BE489*16807,2147483647)</x:f>
        <x:v>217204018</x:v>
      </x:c>
      <x:c r="BG489" s="17" t="n">
        <x:f>IF('Control Room'!$B$5="Normal",'Control Room'!$B$7+'Control Room'!$D$7*SQRT(-2*LN(MAX(0.000000000001,BE489/2147483647)))*COS(2*PI()*BF489/2147483647),'Control Room'!$B$8+('Control Room'!$D$8-'Control Room'!$B$8)*BE489/2147483647)</x:f>
        <x:v>1095.6130645688231</x:v>
      </x:c>
      <x:c r="BH489" s="17" t="n">
        <x:f>IF('Control Room'!$B$5="Normal",'Control Room'!$B$7,('Control Room'!$B$8+'Control Room'!$D$8)/2)+'Control Room'!$B$9*(BH488-IF('Control Room'!$B$5="Normal",'Control Room'!$B$7,('Control Room'!$B$8+'Control Room'!$D$8)/2))+SQRT(1-'Control Room'!$B$9^2)*(BG489-IF('Control Room'!$B$5="Normal",'Control Room'!$B$7,('Control Room'!$B$8+'Control Room'!$D$8)/2))</x:f>
        <x:v>1066.4764321421897</x:v>
      </x:c>
      <x:c r="BI489" s="17" t="n">
        <x:f>IF(AND($A489&gt;='Control Room'!$A$13,$A489&lt;'Control Room'!$A$13+'Control Room'!$B$13,'Process'!BV2=1),1+('Control Room'!$C$13-1)*EXP(-0.5*(($A489-'Control Room'!$A$13-('Control Room'!$B$13-1)/2)/MAX(0.5,'Control Room'!$B$13/4))^2),1)*IF(AND($A489&gt;='Control Room'!$A$14,$A489&lt;'Control Room'!$A$14+'Control Room'!$B$14,'Process'!BV3=1),1+('Control Room'!$C$14-1)*EXP(-0.5*(($A489-'Control Room'!$A$14-('Control Room'!$B$14-1)/2)/MAX(0.5,'Control Room'!$B$14/4))^2),1)*IF(AND($A489&gt;='Control Room'!$A$15,$A489&lt;'Control Room'!$A$15+'Control Room'!$B$15,'Process'!BV4=1),1+('Control Room'!$C$15-1)*EXP(-0.5*(($A489-'Control Room'!$A$15-('Control Room'!$B$15-1)/2)/MAX(0.5,'Control Room'!$B$15/4))^2),1)*IF(AND($A489&gt;='Control Room'!$A$16,$A489&lt;'Control Room'!$A$16+'Control Room'!$B$16,'Process'!BV5=1),1+('Control Room'!$C$16-1)*EXP(-0.5*(($A489-'Control Room'!$A$16-('Control Room'!$B$16-1)/2)/MAX(0.5,'Control Room'!$B$16/4))^2),1)</x:f>
        <x:v>1</x:v>
      </x:c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Z489" t="str">
        <x:f>IF('Data'!A489="","",TEXT('Data'!A489,"mm-dd"))</x:f>
      </x:c>
    </x:row>
    <x:row r="490" ht="21" customHeight="1">
      <x:c r="A490" s="15" t="n">
        <x:f>'Control Room'!$B$1+488</x:f>
        <x:v>73479</x:v>
      </x:c>
      <x:c r="B490" s="9" t="n">
        <x:f>MOD(C489*16807,2147483647)</x:f>
        <x:v>992552320</x:v>
      </x:c>
      <x:c r="C490" s="9" t="n">
        <x:f>MOD(B490*16807,2147483647)</x:f>
        <x:v>173872344</x:v>
      </x:c>
      <x:c r="D490" s="17" t="n">
        <x:f>IF('Control Room'!$B$5="Normal",'Control Room'!$B$7+'Control Room'!$D$7*SQRT(-2*LN(MAX(0.000000000001,B490/2147483647)))*COS(2*PI()*C490/2147483647),'Control Room'!$B$8+('Control Room'!$D$8-'Control Room'!$B$8)*B490/2147483647)</x:f>
        <x:v>1097.656066057153</x:v>
      </x:c>
      <x:c r="E490" s="17" t="n">
        <x:f>IF('Control Room'!$B$5="Normal",'Control Room'!$B$7,('Control Room'!$B$8+'Control Room'!$D$8)/2)+'Control Room'!$B$9*(E489-IF('Control Room'!$B$5="Normal",'Control Room'!$B$7,('Control Room'!$B$8+'Control Room'!$D$8)/2))+SQRT(1-'Control Room'!$B$9^2)*(D490-IF('Control Room'!$B$5="Normal",'Control Room'!$B$7,('Control Room'!$B$8+'Control Room'!$D$8)/2))</x:f>
        <x:v>1091.3091388465427</x:v>
      </x:c>
      <x:c r="F490" s="17" t="n">
        <x:f>IF(AND($A490&gt;='Control Room'!$A$13,$A490&lt;'Control Room'!$A$13+'Control Room'!$B$13,'Process'!BK2=1),1+('Control Room'!$C$13-1)*EXP(-0.5*(($A490-'Control Room'!$A$13-('Control Room'!$B$13-1)/2)/MAX(0.5,'Control Room'!$B$13/4))^2),1)*IF(AND($A490&gt;='Control Room'!$A$14,$A490&lt;'Control Room'!$A$14+'Control Room'!$B$14,'Process'!BK3=1),1+('Control Room'!$C$14-1)*EXP(-0.5*(($A490-'Control Room'!$A$14-('Control Room'!$B$14-1)/2)/MAX(0.5,'Control Room'!$B$14/4))^2),1)*IF(AND($A490&gt;='Control Room'!$A$15,$A490&lt;'Control Room'!$A$15+'Control Room'!$B$15,'Process'!BK4=1),1+('Control Room'!$C$15-1)*EXP(-0.5*(($A490-'Control Room'!$A$15-('Control Room'!$B$15-1)/2)/MAX(0.5,'Control Room'!$B$15/4))^2),1)*IF(AND($A490&gt;='Control Room'!$A$16,$A490&lt;'Control Room'!$A$16+'Control Room'!$B$16,'Process'!BK5=1),1+('Control Room'!$C$16-1)*EXP(-0.5*(($A490-'Control Room'!$A$16-('Control Room'!$B$16-1)/2)/MAX(0.5,'Control Room'!$B$16/4))^2),1)</x:f>
        <x:v>1</x:v>
      </x:c>
      <x:c r="G490" s="9" t="n">
        <x:f>MOD(H489*16807,2147483647)</x:f>
        <x:v>1862606551</x:v>
      </x:c>
      <x:c r="H490" s="9" t="n">
        <x:f>MOD(G490*16807,2147483647)</x:f>
        <x:v>959180338</x:v>
      </x:c>
      <x:c r="I490" s="17" t="n">
        <x:f>IF('Control Room'!$B$5="Normal",'Control Room'!$B$7+'Control Room'!$D$7*SQRT(-2*LN(MAX(0.000000000001,G490/2147483647)))*COS(2*PI()*H490/2147483647),'Control Room'!$B$8+('Control Room'!$D$8-'Control Room'!$B$8)*G490/2147483647)</x:f>
        <x:v>954.655714682186</x:v>
      </x:c>
      <x:c r="J490" s="17" t="n">
        <x:f>IF('Control Room'!$B$5="Normal",'Control Room'!$B$7,('Control Room'!$B$8+'Control Room'!$D$8)/2)+'Control Room'!$B$9*(J489-IF('Control Room'!$B$5="Normal",'Control Room'!$B$7,('Control Room'!$B$8+'Control Room'!$D$8)/2))+SQRT(1-'Control Room'!$B$9^2)*(I490-IF('Control Room'!$B$5="Normal",'Control Room'!$B$7,('Control Room'!$B$8+'Control Room'!$D$8)/2))</x:f>
        <x:v>885.8108544984276</x:v>
      </x:c>
      <x:c r="K490" s="17" t="n">
        <x:f>IF(AND($A490&gt;='Control Room'!$A$13,$A490&lt;'Control Room'!$A$13+'Control Room'!$B$13,'Process'!BL2=1),1+('Control Room'!$C$13-1)*EXP(-0.5*(($A490-'Control Room'!$A$13-('Control Room'!$B$13-1)/2)/MAX(0.5,'Control Room'!$B$13/4))^2),1)*IF(AND($A490&gt;='Control Room'!$A$14,$A490&lt;'Control Room'!$A$14+'Control Room'!$B$14,'Process'!BL3=1),1+('Control Room'!$C$14-1)*EXP(-0.5*(($A490-'Control Room'!$A$14-('Control Room'!$B$14-1)/2)/MAX(0.5,'Control Room'!$B$14/4))^2),1)*IF(AND($A490&gt;='Control Room'!$A$15,$A490&lt;'Control Room'!$A$15+'Control Room'!$B$15,'Process'!BL4=1),1+('Control Room'!$C$15-1)*EXP(-0.5*(($A490-'Control Room'!$A$15-('Control Room'!$B$15-1)/2)/MAX(0.5,'Control Room'!$B$15/4))^2),1)*IF(AND($A490&gt;='Control Room'!$A$16,$A490&lt;'Control Room'!$A$16+'Control Room'!$B$16,'Process'!BL5=1),1+('Control Room'!$C$16-1)*EXP(-0.5*(($A490-'Control Room'!$A$16-('Control Room'!$B$16-1)/2)/MAX(0.5,'Control Room'!$B$16/4))^2),1)</x:f>
        <x:v>1</x:v>
      </x:c>
      <x:c r="L490" s="9" t="n">
        <x:f>MOD(M489*16807,2147483647)</x:f>
        <x:v>585177135</x:v>
      </x:c>
      <x:c r="M490" s="9" t="n">
        <x:f>MOD(L490*16807,2147483647)</x:f>
        <x:v>1744488332</x:v>
      </x:c>
      <x:c r="N490" s="17" t="n">
        <x:f>IF('Control Room'!$B$5="Normal",'Control Room'!$B$7+'Control Room'!$D$7*SQRT(-2*LN(MAX(0.000000000001,L490/2147483647)))*COS(2*PI()*M490/2147483647),'Control Room'!$B$8+('Control Room'!$D$8-'Control Room'!$B$8)*L490/2147483647)</x:f>
        <x:v>1055.403954462789</x:v>
      </x:c>
      <x:c r="O490" s="17" t="n">
        <x:f>IF('Control Room'!$B$5="Normal",'Control Room'!$B$7,('Control Room'!$B$8+'Control Room'!$D$8)/2)+'Control Room'!$B$9*(O489-IF('Control Room'!$B$5="Normal",'Control Room'!$B$7,('Control Room'!$B$8+'Control Room'!$D$8)/2))+SQRT(1-'Control Room'!$B$9^2)*(N490-IF('Control Room'!$B$5="Normal",'Control Room'!$B$7,('Control Room'!$B$8+'Control Room'!$D$8)/2))</x:f>
        <x:v>950.5568563604709</x:v>
      </x:c>
      <x:c r="P490" s="17" t="n">
        <x:f>IF(AND($A490&gt;='Control Room'!$A$13,$A490&lt;'Control Room'!$A$13+'Control Room'!$B$13,'Process'!BM2=1),1+('Control Room'!$C$13-1)*EXP(-0.5*(($A490-'Control Room'!$A$13-('Control Room'!$B$13-1)/2)/MAX(0.5,'Control Room'!$B$13/4))^2),1)*IF(AND($A490&gt;='Control Room'!$A$14,$A490&lt;'Control Room'!$A$14+'Control Room'!$B$14,'Process'!BM3=1),1+('Control Room'!$C$14-1)*EXP(-0.5*(($A490-'Control Room'!$A$14-('Control Room'!$B$14-1)/2)/MAX(0.5,'Control Room'!$B$14/4))^2),1)*IF(AND($A490&gt;='Control Room'!$A$15,$A490&lt;'Control Room'!$A$15+'Control Room'!$B$15,'Process'!BM4=1),1+('Control Room'!$C$15-1)*EXP(-0.5*(($A490-'Control Room'!$A$15-('Control Room'!$B$15-1)/2)/MAX(0.5,'Control Room'!$B$15/4))^2),1)*IF(AND($A490&gt;='Control Room'!$A$16,$A490&lt;'Control Room'!$A$16+'Control Room'!$B$16,'Process'!BM5=1),1+('Control Room'!$C$16-1)*EXP(-0.5*(($A490-'Control Room'!$A$16-('Control Room'!$B$16-1)/2)/MAX(0.5,'Control Room'!$B$16/4))^2),1)</x:f>
        <x:v>1</x:v>
      </x:c>
      <x:c r="Q490" s="9" t="n">
        <x:f>MOD(R489*16807,2147483647)</x:f>
        <x:v>1455231366</x:v>
      </x:c>
      <x:c r="R490" s="9" t="n">
        <x:f>MOD(Q490*16807,2147483647)</x:f>
        <x:v>382312679</x:v>
      </x:c>
      <x:c r="S490" s="17" t="n">
        <x:f>IF('Control Room'!$B$5="Normal",'Control Room'!$B$7+'Control Room'!$D$7*SQRT(-2*LN(MAX(0.000000000001,Q490/2147483647)))*COS(2*PI()*R490/2147483647),'Control Room'!$B$8+('Control Room'!$D$8-'Control Room'!$B$8)*Q490/2147483647)</x:f>
        <x:v>1034.6931651097157</x:v>
      </x:c>
      <x:c r="T490" s="17" t="n">
        <x:f>IF('Control Room'!$B$5="Normal",'Control Room'!$B$7,('Control Room'!$B$8+'Control Room'!$D$8)/2)+'Control Room'!$B$9*(T489-IF('Control Room'!$B$5="Normal",'Control Room'!$B$7,('Control Room'!$B$8+'Control Room'!$D$8)/2))+SQRT(1-'Control Room'!$B$9^2)*(S490-IF('Control Room'!$B$5="Normal",'Control Room'!$B$7,('Control Room'!$B$8+'Control Room'!$D$8)/2))</x:f>
        <x:v>1065.9952780272456</x:v>
      </x:c>
      <x:c r="U490" s="17" t="n">
        <x:f>IF(AND($A490&gt;='Control Room'!$A$13,$A490&lt;'Control Room'!$A$13+'Control Room'!$B$13,'Process'!BN2=1),1+('Control Room'!$C$13-1)*EXP(-0.5*(($A490-'Control Room'!$A$13-('Control Room'!$B$13-1)/2)/MAX(0.5,'Control Room'!$B$13/4))^2),1)*IF(AND($A490&gt;='Control Room'!$A$14,$A490&lt;'Control Room'!$A$14+'Control Room'!$B$14,'Process'!BN3=1),1+('Control Room'!$C$14-1)*EXP(-0.5*(($A490-'Control Room'!$A$14-('Control Room'!$B$14-1)/2)/MAX(0.5,'Control Room'!$B$14/4))^2),1)*IF(AND($A490&gt;='Control Room'!$A$15,$A490&lt;'Control Room'!$A$15+'Control Room'!$B$15,'Process'!BN4=1),1+('Control Room'!$C$15-1)*EXP(-0.5*(($A490-'Control Room'!$A$15-('Control Room'!$B$15-1)/2)/MAX(0.5,'Control Room'!$B$15/4))^2),1)*IF(AND($A490&gt;='Control Room'!$A$16,$A490&lt;'Control Room'!$A$16+'Control Room'!$B$16,'Process'!BN5=1),1+('Control Room'!$C$16-1)*EXP(-0.5*(($A490-'Control Room'!$A$16-('Control Room'!$B$16-1)/2)/MAX(0.5,'Control Room'!$B$16/4))^2),1)</x:f>
        <x:v>1</x:v>
      </x:c>
      <x:c r="V490" s="9" t="n">
        <x:f>MOD(W489*16807,2147483647)</x:f>
        <x:v>177801950</x:v>
      </x:c>
      <x:c r="W490" s="9" t="n">
        <x:f>MOD(V490*16807,2147483647)</x:f>
        <x:v>1167620673</x:v>
      </x:c>
      <x:c r="X490" s="17" t="n">
        <x:f>IF('Control Room'!$B$5="Normal",'Control Room'!$B$7+'Control Room'!$D$7*SQRT(-2*LN(MAX(0.000000000001,V490/2147483647)))*COS(2*PI()*W490/2147483647),'Control Room'!$B$8+('Control Room'!$D$8-'Control Room'!$B$8)*V490/2147483647)</x:f>
        <x:v>806.632030466031</x:v>
      </x:c>
      <x:c r="Y490" s="17" t="n">
        <x:f>IF('Control Room'!$B$5="Normal",'Control Room'!$B$7,('Control Room'!$B$8+'Control Room'!$D$8)/2)+'Control Room'!$B$9*(Y489-IF('Control Room'!$B$5="Normal",'Control Room'!$B$7,('Control Room'!$B$8+'Control Room'!$D$8)/2))+SQRT(1-'Control Room'!$B$9^2)*(X490-IF('Control Room'!$B$5="Normal",'Control Room'!$B$7,('Control Room'!$B$8+'Control Room'!$D$8)/2))</x:f>
        <x:v>975.7886811812339</x:v>
      </x:c>
      <x:c r="Z490" s="17" t="n">
        <x:f>IF(AND($A490&gt;='Control Room'!$A$13,$A490&lt;'Control Room'!$A$13+'Control Room'!$B$13,'Process'!BO2=1),1+('Control Room'!$C$13-1)*EXP(-0.5*(($A490-'Control Room'!$A$13-('Control Room'!$B$13-1)/2)/MAX(0.5,'Control Room'!$B$13/4))^2),1)*IF(AND($A490&gt;='Control Room'!$A$14,$A490&lt;'Control Room'!$A$14+'Control Room'!$B$14,'Process'!BO3=1),1+('Control Room'!$C$14-1)*EXP(-0.5*(($A490-'Control Room'!$A$14-('Control Room'!$B$14-1)/2)/MAX(0.5,'Control Room'!$B$14/4))^2),1)*IF(AND($A490&gt;='Control Room'!$A$15,$A490&lt;'Control Room'!$A$15+'Control Room'!$B$15,'Process'!BO4=1),1+('Control Room'!$C$15-1)*EXP(-0.5*(($A490-'Control Room'!$A$15-('Control Room'!$B$15-1)/2)/MAX(0.5,'Control Room'!$B$15/4))^2),1)*IF(AND($A490&gt;='Control Room'!$A$16,$A490&lt;'Control Room'!$A$16+'Control Room'!$B$16,'Process'!BO5=1),1+('Control Room'!$C$16-1)*EXP(-0.5*(($A490-'Control Room'!$A$16-('Control Room'!$B$16-1)/2)/MAX(0.5,'Control Room'!$B$16/4))^2),1)</x:f>
        <x:v>1</x:v>
      </x:c>
      <x:c r="AA490" s="9" t="n">
        <x:f>MOD(AB489*16807,2147483647)</x:f>
        <x:v>1047856181</x:v>
      </x:c>
      <x:c r="AB490" s="9" t="n">
        <x:f>MOD(AA490*16807,2147483647)</x:f>
        <x:v>1952928667</x:v>
      </x:c>
      <x:c r="AC490" s="17" t="n">
        <x:f>IF('Control Room'!$B$5="Normal",'Control Room'!$B$7+'Control Room'!$D$7*SQRT(-2*LN(MAX(0.000000000001,AA490/2147483647)))*COS(2*PI()*AB490/2147483647),'Control Room'!$B$8+('Control Room'!$D$8-'Control Room'!$B$8)*AA490/2147483647)</x:f>
        <x:v>1090.8149245306288</x:v>
      </x:c>
      <x:c r="AD490" s="17" t="n">
        <x:f>IF('Control Room'!$B$5="Normal",'Control Room'!$B$7,('Control Room'!$B$8+'Control Room'!$D$8)/2)+'Control Room'!$B$9*(AD489-IF('Control Room'!$B$5="Normal",'Control Room'!$B$7,('Control Room'!$B$8+'Control Room'!$D$8)/2))+SQRT(1-'Control Room'!$B$9^2)*(AC490-IF('Control Room'!$B$5="Normal",'Control Room'!$B$7,('Control Room'!$B$8+'Control Room'!$D$8)/2))</x:f>
        <x:v>1022.0645356479542</x:v>
      </x:c>
      <x:c r="AE490" s="17" t="n">
        <x:f>IF(AND($A490&gt;='Control Room'!$A$13,$A490&lt;'Control Room'!$A$13+'Control Room'!$B$13,'Process'!BP2=1),1+('Control Room'!$C$13-1)*EXP(-0.5*(($A490-'Control Room'!$A$13-('Control Room'!$B$13-1)/2)/MAX(0.5,'Control Room'!$B$13/4))^2),1)*IF(AND($A490&gt;='Control Room'!$A$14,$A490&lt;'Control Room'!$A$14+'Control Room'!$B$14,'Process'!BP3=1),1+('Control Room'!$C$14-1)*EXP(-0.5*(($A490-'Control Room'!$A$14-('Control Room'!$B$14-1)/2)/MAX(0.5,'Control Room'!$B$14/4))^2),1)*IF(AND($A490&gt;='Control Room'!$A$15,$A490&lt;'Control Room'!$A$15+'Control Room'!$B$15,'Process'!BP4=1),1+('Control Room'!$C$15-1)*EXP(-0.5*(($A490-'Control Room'!$A$15-('Control Room'!$B$15-1)/2)/MAX(0.5,'Control Room'!$B$15/4))^2),1)*IF(AND($A490&gt;='Control Room'!$A$16,$A490&lt;'Control Room'!$A$16+'Control Room'!$B$16,'Process'!BP5=1),1+('Control Room'!$C$16-1)*EXP(-0.5*(($A490-'Control Room'!$A$16-('Control Room'!$B$16-1)/2)/MAX(0.5,'Control Room'!$B$16/4))^2),1)</x:f>
        <x:v>1</x:v>
      </x:c>
      <x:c r="AF490" s="9" t="n">
        <x:f>MOD(AG489*16807,2147483647)</x:f>
        <x:v>1917910412</x:v>
      </x:c>
      <x:c r="AG490" s="9" t="n">
        <x:f>MOD(AF490*16807,2147483647)</x:f>
        <x:v>590753014</x:v>
      </x:c>
      <x:c r="AH490" s="17" t="n">
        <x:f>IF('Control Room'!$B$5="Normal",'Control Room'!$B$7+'Control Room'!$D$7*SQRT(-2*LN(MAX(0.000000000001,AF490/2147483647)))*COS(2*PI()*AG490/2147483647),'Control Room'!$B$8+('Control Room'!$D$8-'Control Room'!$B$8)*AF490/2147483647)</x:f>
        <x:v>993.2809631130934</x:v>
      </x:c>
      <x:c r="AI490" s="17" t="n">
        <x:f>IF('Control Room'!$B$5="Normal",'Control Room'!$B$7,('Control Room'!$B$8+'Control Room'!$D$8)/2)+'Control Room'!$B$9*(AI489-IF('Control Room'!$B$5="Normal",'Control Room'!$B$7,('Control Room'!$B$8+'Control Room'!$D$8)/2))+SQRT(1-'Control Room'!$B$9^2)*(AH490-IF('Control Room'!$B$5="Normal",'Control Room'!$B$7,('Control Room'!$B$8+'Control Room'!$D$8)/2))</x:f>
        <x:v>1061.7991772033415</x:v>
      </x:c>
      <x:c r="AJ490" s="17" t="n">
        <x:f>IF(AND($A490&gt;='Control Room'!$A$13,$A490&lt;'Control Room'!$A$13+'Control Room'!$B$13,'Process'!BQ2=1),1+('Control Room'!$C$13-1)*EXP(-0.5*(($A490-'Control Room'!$A$13-('Control Room'!$B$13-1)/2)/MAX(0.5,'Control Room'!$B$13/4))^2),1)*IF(AND($A490&gt;='Control Room'!$A$14,$A490&lt;'Control Room'!$A$14+'Control Room'!$B$14,'Process'!BQ3=1),1+('Control Room'!$C$14-1)*EXP(-0.5*(($A490-'Control Room'!$A$14-('Control Room'!$B$14-1)/2)/MAX(0.5,'Control Room'!$B$14/4))^2),1)*IF(AND($A490&gt;='Control Room'!$A$15,$A490&lt;'Control Room'!$A$15+'Control Room'!$B$15,'Process'!BQ4=1),1+('Control Room'!$C$15-1)*EXP(-0.5*(($A490-'Control Room'!$A$15-('Control Room'!$B$15-1)/2)/MAX(0.5,'Control Room'!$B$15/4))^2),1)*IF(AND($A490&gt;='Control Room'!$A$16,$A490&lt;'Control Room'!$A$16+'Control Room'!$B$16,'Process'!BQ5=1),1+('Control Room'!$C$16-1)*EXP(-0.5*(($A490-'Control Room'!$A$16-('Control Room'!$B$16-1)/2)/MAX(0.5,'Control Room'!$B$16/4))^2),1)</x:f>
        <x:v>1</x:v>
      </x:c>
      <x:c r="AK490" s="9" t="n">
        <x:f>MOD(AL489*16807,2147483647)</x:f>
        <x:v>640480996</x:v>
      </x:c>
      <x:c r="AL490" s="9" t="n">
        <x:f>MOD(AK490*16807,2147483647)</x:f>
        <x:v>1376061008</x:v>
      </x:c>
      <x:c r="AM490" s="17" t="n">
        <x:f>IF('Control Room'!$B$5="Normal",'Control Room'!$B$7+'Control Room'!$D$7*SQRT(-2*LN(MAX(0.000000000001,AK490/2147483647)))*COS(2*PI()*AL490/2147483647),'Control Room'!$B$8+('Control Room'!$D$8-'Control Room'!$B$8)*AK490/2147483647)</x:f>
        <x:v>911.2908607799756</x:v>
      </x:c>
      <x:c r="AN490" s="17" t="n">
        <x:f>IF('Control Room'!$B$5="Normal",'Control Room'!$B$7,('Control Room'!$B$8+'Control Room'!$D$8)/2)+'Control Room'!$B$9*(AN489-IF('Control Room'!$B$5="Normal",'Control Room'!$B$7,('Control Room'!$B$8+'Control Room'!$D$8)/2))+SQRT(1-'Control Room'!$B$9^2)*(AM490-IF('Control Room'!$B$5="Normal",'Control Room'!$B$7,('Control Room'!$B$8+'Control Room'!$D$8)/2))</x:f>
        <x:v>940.4280586983749</x:v>
      </x:c>
      <x:c r="AO490" s="17" t="n">
        <x:f>IF(AND($A490&gt;='Control Room'!$A$13,$A490&lt;'Control Room'!$A$13+'Control Room'!$B$13,'Process'!BR2=1),1+('Control Room'!$C$13-1)*EXP(-0.5*(($A490-'Control Room'!$A$13-('Control Room'!$B$13-1)/2)/MAX(0.5,'Control Room'!$B$13/4))^2),1)*IF(AND($A490&gt;='Control Room'!$A$14,$A490&lt;'Control Room'!$A$14+'Control Room'!$B$14,'Process'!BR3=1),1+('Control Room'!$C$14-1)*EXP(-0.5*(($A490-'Control Room'!$A$14-('Control Room'!$B$14-1)/2)/MAX(0.5,'Control Room'!$B$14/4))^2),1)*IF(AND($A490&gt;='Control Room'!$A$15,$A490&lt;'Control Room'!$A$15+'Control Room'!$B$15,'Process'!BR4=1),1+('Control Room'!$C$15-1)*EXP(-0.5*(($A490-'Control Room'!$A$15-('Control Room'!$B$15-1)/2)/MAX(0.5,'Control Room'!$B$15/4))^2),1)*IF(AND($A490&gt;='Control Room'!$A$16,$A490&lt;'Control Room'!$A$16+'Control Room'!$B$16,'Process'!BR5=1),1+('Control Room'!$C$16-1)*EXP(-0.5*(($A490-'Control Room'!$A$16-('Control Room'!$B$16-1)/2)/MAX(0.5,'Control Room'!$B$16/4))^2),1)</x:f>
        <x:v>1</x:v>
      </x:c>
      <x:c r="AP490" s="9" t="n">
        <x:f>MOD(AQ489*16807,2147483647)</x:f>
        <x:v>1510535227</x:v>
      </x:c>
      <x:c r="AQ490" s="9" t="n">
        <x:f>MOD(AP490*16807,2147483647)</x:f>
        <x:v>13885355</x:v>
      </x:c>
      <x:c r="AR490" s="17" t="n">
        <x:f>IF('Control Room'!$B$5="Normal",'Control Room'!$B$7+'Control Room'!$D$7*SQRT(-2*LN(MAX(0.000000000001,AP490/2147483647)))*COS(2*PI()*AQ490/2147483647),'Control Room'!$B$8+('Control Room'!$D$8-'Control Room'!$B$8)*AP490/2147483647)</x:f>
        <x:v>1075.4339968732916</x:v>
      </x:c>
      <x:c r="AS490" s="17" t="n">
        <x:f>IF('Control Room'!$B$5="Normal",'Control Room'!$B$7,('Control Room'!$B$8+'Control Room'!$D$8)/2)+'Control Room'!$B$9*(AS489-IF('Control Room'!$B$5="Normal",'Control Room'!$B$7,('Control Room'!$B$8+'Control Room'!$D$8)/2))+SQRT(1-'Control Room'!$B$9^2)*(AR490-IF('Control Room'!$B$5="Normal",'Control Room'!$B$7,('Control Room'!$B$8+'Control Room'!$D$8)/2))</x:f>
        <x:v>1119.7801455992435</x:v>
      </x:c>
      <x:c r="AT490" s="17" t="n">
        <x:f>IF(AND($A490&gt;='Control Room'!$A$13,$A490&lt;'Control Room'!$A$13+'Control Room'!$B$13,'Process'!BS2=1),1+('Control Room'!$C$13-1)*EXP(-0.5*(($A490-'Control Room'!$A$13-('Control Room'!$B$13-1)/2)/MAX(0.5,'Control Room'!$B$13/4))^2),1)*IF(AND($A490&gt;='Control Room'!$A$14,$A490&lt;'Control Room'!$A$14+'Control Room'!$B$14,'Process'!BS3=1),1+('Control Room'!$C$14-1)*EXP(-0.5*(($A490-'Control Room'!$A$14-('Control Room'!$B$14-1)/2)/MAX(0.5,'Control Room'!$B$14/4))^2),1)*IF(AND($A490&gt;='Control Room'!$A$15,$A490&lt;'Control Room'!$A$15+'Control Room'!$B$15,'Process'!BS4=1),1+('Control Room'!$C$15-1)*EXP(-0.5*(($A490-'Control Room'!$A$15-('Control Room'!$B$15-1)/2)/MAX(0.5,'Control Room'!$B$15/4))^2),1)*IF(AND($A490&gt;='Control Room'!$A$16,$A490&lt;'Control Room'!$A$16+'Control Room'!$B$16,'Process'!BS5=1),1+('Control Room'!$C$16-1)*EXP(-0.5*(($A490-'Control Room'!$A$16-('Control Room'!$B$16-1)/2)/MAX(0.5,'Control Room'!$B$16/4))^2),1)</x:f>
        <x:v>1</x:v>
      </x:c>
      <x:c r="AU490" s="9" t="n">
        <x:f>MOD(AV489*16807,2147483647)</x:f>
        <x:v>233105811</x:v>
      </x:c>
      <x:c r="AV490" s="9" t="n">
        <x:f>MOD(AU490*16807,2147483647)</x:f>
        <x:v>799193349</x:v>
      </x:c>
      <x:c r="AW490" s="17" t="n">
        <x:f>IF('Control Room'!$B$5="Normal",'Control Room'!$B$7+'Control Room'!$D$7*SQRT(-2*LN(MAX(0.000000000001,AU490/2147483647)))*COS(2*PI()*AV490/2147483647),'Control Room'!$B$8+('Control Room'!$D$8-'Control Room'!$B$8)*AU490/2147483647)</x:f>
        <x:v>868.3061635707792</x:v>
      </x:c>
      <x:c r="AX490" s="17" t="n">
        <x:f>IF('Control Room'!$B$5="Normal",'Control Room'!$B$7,('Control Room'!$B$8+'Control Room'!$D$8)/2)+'Control Room'!$B$9*(AX489-IF('Control Room'!$B$5="Normal",'Control Room'!$B$7,('Control Room'!$B$8+'Control Room'!$D$8)/2))+SQRT(1-'Control Room'!$B$9^2)*(AW490-IF('Control Room'!$B$5="Normal",'Control Room'!$B$7,('Control Room'!$B$8+'Control Room'!$D$8)/2))</x:f>
        <x:v>791.5840475459797</x:v>
      </x:c>
      <x:c r="AY490" s="17" t="n">
        <x:f>IF(AND($A490&gt;='Control Room'!$A$13,$A490&lt;'Control Room'!$A$13+'Control Room'!$B$13,'Process'!BT2=1),1+('Control Room'!$C$13-1)*EXP(-0.5*(($A490-'Control Room'!$A$13-('Control Room'!$B$13-1)/2)/MAX(0.5,'Control Room'!$B$13/4))^2),1)*IF(AND($A490&gt;='Control Room'!$A$14,$A490&lt;'Control Room'!$A$14+'Control Room'!$B$14,'Process'!BT3=1),1+('Control Room'!$C$14-1)*EXP(-0.5*(($A490-'Control Room'!$A$14-('Control Room'!$B$14-1)/2)/MAX(0.5,'Control Room'!$B$14/4))^2),1)*IF(AND($A490&gt;='Control Room'!$A$15,$A490&lt;'Control Room'!$A$15+'Control Room'!$B$15,'Process'!BT4=1),1+('Control Room'!$C$15-1)*EXP(-0.5*(($A490-'Control Room'!$A$15-('Control Room'!$B$15-1)/2)/MAX(0.5,'Control Room'!$B$15/4))^2),1)*IF(AND($A490&gt;='Control Room'!$A$16,$A490&lt;'Control Room'!$A$16+'Control Room'!$B$16,'Process'!BT5=1),1+('Control Room'!$C$16-1)*EXP(-0.5*(($A490-'Control Room'!$A$16-('Control Room'!$B$16-1)/2)/MAX(0.5,'Control Room'!$B$16/4))^2),1)</x:f>
        <x:v>1</x:v>
      </x:c>
      <x:c r="AZ490" s="9" t="n">
        <x:f>MOD(BA489*16807,2147483647)</x:f>
        <x:v>1103160042</x:v>
      </x:c>
      <x:c r="BA490" s="9" t="n">
        <x:f>MOD(AZ490*16807,2147483647)</x:f>
        <x:v>1584501343</x:v>
      </x:c>
      <x:c r="BB490" s="17" t="n">
        <x:f>IF('Control Room'!$B$5="Normal",'Control Room'!$B$7+'Control Room'!$D$7*SQRT(-2*LN(MAX(0.000000000001,AZ490/2147483647)))*COS(2*PI()*BA490/2147483647),'Control Room'!$B$8+('Control Room'!$D$8-'Control Room'!$B$8)*AZ490/2147483647)</x:f>
        <x:v>992.071508726903</x:v>
      </x:c>
      <x:c r="BC490" s="17" t="n">
        <x:f>IF('Control Room'!$B$5="Normal",'Control Room'!$B$7,('Control Room'!$B$8+'Control Room'!$D$8)/2)+'Control Room'!$B$9*(BC489-IF('Control Room'!$B$5="Normal",'Control Room'!$B$7,('Control Room'!$B$8+'Control Room'!$D$8)/2))+SQRT(1-'Control Room'!$B$9^2)*(BB490-IF('Control Room'!$B$5="Normal",'Control Room'!$B$7,('Control Room'!$B$8+'Control Room'!$D$8)/2))</x:f>
        <x:v>873.6026230172363</x:v>
      </x:c>
      <x:c r="BD490" s="17" t="n">
        <x:f>IF(AND($A490&gt;='Control Room'!$A$13,$A490&lt;'Control Room'!$A$13+'Control Room'!$B$13,'Process'!BU2=1),1+('Control Room'!$C$13-1)*EXP(-0.5*(($A490-'Control Room'!$A$13-('Control Room'!$B$13-1)/2)/MAX(0.5,'Control Room'!$B$13/4))^2),1)*IF(AND($A490&gt;='Control Room'!$A$14,$A490&lt;'Control Room'!$A$14+'Control Room'!$B$14,'Process'!BU3=1),1+('Control Room'!$C$14-1)*EXP(-0.5*(($A490-'Control Room'!$A$14-('Control Room'!$B$14-1)/2)/MAX(0.5,'Control Room'!$B$14/4))^2),1)*IF(AND($A490&gt;='Control Room'!$A$15,$A490&lt;'Control Room'!$A$15+'Control Room'!$B$15,'Process'!BU4=1),1+('Control Room'!$C$15-1)*EXP(-0.5*(($A490-'Control Room'!$A$15-('Control Room'!$B$15-1)/2)/MAX(0.5,'Control Room'!$B$15/4))^2),1)*IF(AND($A490&gt;='Control Room'!$A$16,$A490&lt;'Control Room'!$A$16+'Control Room'!$B$16,'Process'!BU5=1),1+('Control Room'!$C$16-1)*EXP(-0.5*(($A490-'Control Room'!$A$16-('Control Room'!$B$16-1)/2)/MAX(0.5,'Control Room'!$B$16/4))^2),1)</x:f>
        <x:v>1</x:v>
      </x:c>
      <x:c r="BE490" s="9" t="n">
        <x:f>MOD(BF489*16807,2147483647)</x:f>
        <x:v>1973214273</x:v>
      </x:c>
      <x:c r="BF490" s="9" t="n">
        <x:f>MOD(BE490*16807,2147483647)</x:f>
        <x:v>222325690</x:v>
      </x:c>
      <x:c r="BG490" s="17" t="n">
        <x:f>IF('Control Room'!$B$5="Normal",'Control Room'!$B$7+'Control Room'!$D$7*SQRT(-2*LN(MAX(0.000000000001,BE490/2147483647)))*COS(2*PI()*BF490/2147483647),'Control Room'!$B$8+('Control Room'!$D$8-'Control Room'!$B$8)*BE490/2147483647)</x:f>
        <x:v>1029.4662331768839</x:v>
      </x:c>
      <x:c r="BH490" s="17" t="n">
        <x:f>IF('Control Room'!$B$5="Normal",'Control Room'!$B$7,('Control Room'!$B$8+'Control Room'!$D$8)/2)+'Control Room'!$B$9*(BH489-IF('Control Room'!$B$5="Normal",'Control Room'!$B$7,('Control Room'!$B$8+'Control Room'!$D$8)/2))+SQRT(1-'Control Room'!$B$9^2)*(BG490-IF('Control Room'!$B$5="Normal",'Control Room'!$B$7,('Control Room'!$B$8+'Control Room'!$D$8)/2))</x:f>
        <x:v>1070.2909821444039</x:v>
      </x:c>
      <x:c r="BI490" s="17" t="n">
        <x:f>IF(AND($A490&gt;='Control Room'!$A$13,$A490&lt;'Control Room'!$A$13+'Control Room'!$B$13,'Process'!BV2=1),1+('Control Room'!$C$13-1)*EXP(-0.5*(($A490-'Control Room'!$A$13-('Control Room'!$B$13-1)/2)/MAX(0.5,'Control Room'!$B$13/4))^2),1)*IF(AND($A490&gt;='Control Room'!$A$14,$A490&lt;'Control Room'!$A$14+'Control Room'!$B$14,'Process'!BV3=1),1+('Control Room'!$C$14-1)*EXP(-0.5*(($A490-'Control Room'!$A$14-('Control Room'!$B$14-1)/2)/MAX(0.5,'Control Room'!$B$14/4))^2),1)*IF(AND($A490&gt;='Control Room'!$A$15,$A490&lt;'Control Room'!$A$15+'Control Room'!$B$15,'Process'!BV4=1),1+('Control Room'!$C$15-1)*EXP(-0.5*(($A490-'Control Room'!$A$15-('Control Room'!$B$15-1)/2)/MAX(0.5,'Control Room'!$B$15/4))^2),1)*IF(AND($A490&gt;='Control Room'!$A$16,$A490&lt;'Control Room'!$A$16+'Control Room'!$B$16,'Process'!BV5=1),1+('Control Room'!$C$16-1)*EXP(-0.5*(($A490-'Control Room'!$A$16-('Control Room'!$B$16-1)/2)/MAX(0.5,'Control Room'!$B$16/4))^2),1)</x:f>
        <x:v>1</x:v>
      </x:c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Z490" t="str">
        <x:f>IF('Data'!A490="","",TEXT('Data'!A490,"mm-dd"))</x:f>
      </x:c>
    </x:row>
    <x:row r="491" ht="21" customHeight="1">
      <x:c r="A491" s="15" t="n">
        <x:f>'Control Room'!$B$1+489</x:f>
        <x:v>73480</x:v>
      </x:c>
      <x:c r="B491" s="9" t="n">
        <x:f>MOD(C490*16807,2147483647)</x:f>
        <x:v>1694725688</x:v>
      </x:c>
      <x:c r="C491" s="9" t="n">
        <x:f>MOD(B491*16807,2147483647)</x:f>
        <x:v>1179028055</x:v>
      </x:c>
      <x:c r="D491" s="17" t="n">
        <x:f>IF('Control Room'!$B$5="Normal",'Control Room'!$B$7+'Control Room'!$D$7*SQRT(-2*LN(MAX(0.000000000001,B491/2147483647)))*COS(2*PI()*C491/2147483647),'Control Room'!$B$8+('Control Room'!$D$8-'Control Room'!$B$8)*B491/2147483647)</x:f>
        <x:v>940.981842049267</x:v>
      </x:c>
      <x:c r="E491" s="17" t="n">
        <x:f>IF('Control Room'!$B$5="Normal",'Control Room'!$B$7,('Control Room'!$B$8+'Control Room'!$D$8)/2)+'Control Room'!$B$9*(E490-IF('Control Room'!$B$5="Normal",'Control Room'!$B$7,('Control Room'!$B$8+'Control Room'!$D$8)/2))+SQRT(1-'Control Room'!$B$9^2)*(D491-IF('Control Room'!$B$5="Normal",'Control Room'!$B$7,('Control Room'!$B$8+'Control Room'!$D$8)/2))</x:f>
        <x:v>1034.288774107418</x:v>
      </x:c>
      <x:c r="F491" s="17" t="n">
        <x:f>IF(AND($A491&gt;='Control Room'!$A$13,$A491&lt;'Control Room'!$A$13+'Control Room'!$B$13,'Process'!BK2=1),1+('Control Room'!$C$13-1)*EXP(-0.5*(($A491-'Control Room'!$A$13-('Control Room'!$B$13-1)/2)/MAX(0.5,'Control Room'!$B$13/4))^2),1)*IF(AND($A491&gt;='Control Room'!$A$14,$A491&lt;'Control Room'!$A$14+'Control Room'!$B$14,'Process'!BK3=1),1+('Control Room'!$C$14-1)*EXP(-0.5*(($A491-'Control Room'!$A$14-('Control Room'!$B$14-1)/2)/MAX(0.5,'Control Room'!$B$14/4))^2),1)*IF(AND($A491&gt;='Control Room'!$A$15,$A491&lt;'Control Room'!$A$15+'Control Room'!$B$15,'Process'!BK4=1),1+('Control Room'!$C$15-1)*EXP(-0.5*(($A491-'Control Room'!$A$15-('Control Room'!$B$15-1)/2)/MAX(0.5,'Control Room'!$B$15/4))^2),1)*IF(AND($A491&gt;='Control Room'!$A$16,$A491&lt;'Control Room'!$A$16+'Control Room'!$B$16,'Process'!BK5=1),1+('Control Room'!$C$16-1)*EXP(-0.5*(($A491-'Control Room'!$A$16-('Control Room'!$B$16-1)/2)/MAX(0.5,'Control Room'!$B$16/4))^2),1)</x:f>
        <x:v>1</x:v>
      </x:c>
      <x:c r="G491" s="9" t="n">
        <x:f>MOD(H490*16807,2147483647)</x:f>
        <x:v>1931686384</x:v>
      </x:c>
      <x:c r="H491" s="9" t="n">
        <x:f>MOD(G491*16807,2147483647)</x:f>
        <x:v>195280542</x:v>
      </x:c>
      <x:c r="I491" s="17" t="n">
        <x:f>IF('Control Room'!$B$5="Normal",'Control Room'!$B$7+'Control Room'!$D$7*SQRT(-2*LN(MAX(0.000000000001,G491/2147483647)))*COS(2*PI()*H491/2147483647),'Control Room'!$B$8+('Control Room'!$D$8-'Control Room'!$B$8)*G491/2147483647)</x:f>
        <x:v>1034.8413171478044</x:v>
      </x:c>
      <x:c r="J491" s="17" t="n">
        <x:f>IF('Control Room'!$B$5="Normal",'Control Room'!$B$7,('Control Room'!$B$8+'Control Room'!$D$8)/2)+'Control Room'!$B$9*(J490-IF('Control Room'!$B$5="Normal",'Control Room'!$B$7,('Control Room'!$B$8+'Control Room'!$D$8)/2))+SQRT(1-'Control Room'!$B$9^2)*(I491-IF('Control Room'!$B$5="Normal",'Control Room'!$B$7,('Control Room'!$B$8+'Control Room'!$D$8)/2))</x:f>
        <x:v>932.7354490166913</x:v>
      </x:c>
      <x:c r="K491" s="17" t="n">
        <x:f>IF(AND($A491&gt;='Control Room'!$A$13,$A491&lt;'Control Room'!$A$13+'Control Room'!$B$13,'Process'!BL2=1),1+('Control Room'!$C$13-1)*EXP(-0.5*(($A491-'Control Room'!$A$13-('Control Room'!$B$13-1)/2)/MAX(0.5,'Control Room'!$B$13/4))^2),1)*IF(AND($A491&gt;='Control Room'!$A$14,$A491&lt;'Control Room'!$A$14+'Control Room'!$B$14,'Process'!BL3=1),1+('Control Room'!$C$14-1)*EXP(-0.5*(($A491-'Control Room'!$A$14-('Control Room'!$B$14-1)/2)/MAX(0.5,'Control Room'!$B$14/4))^2),1)*IF(AND($A491&gt;='Control Room'!$A$15,$A491&lt;'Control Room'!$A$15+'Control Room'!$B$15,'Process'!BL4=1),1+('Control Room'!$C$15-1)*EXP(-0.5*(($A491-'Control Room'!$A$15-('Control Room'!$B$15-1)/2)/MAX(0.5,'Control Room'!$B$15/4))^2),1)*IF(AND($A491&gt;='Control Room'!$A$16,$A491&lt;'Control Room'!$A$16+'Control Room'!$B$16,'Process'!BL5=1),1+('Control Room'!$C$16-1)*EXP(-0.5*(($A491-'Control Room'!$A$16-('Control Room'!$B$16-1)/2)/MAX(0.5,'Control Room'!$B$16/4))^2),1)</x:f>
        <x:v>1</x:v>
      </x:c>
      <x:c r="L491" s="9" t="n">
        <x:f>MOD(M490*16807,2147483647)</x:f>
        <x:v>21163433</x:v>
      </x:c>
      <x:c r="M491" s="9" t="n">
        <x:f>MOD(L491*16807,2147483647)</x:f>
        <x:v>1359016676</x:v>
      </x:c>
      <x:c r="N491" s="17" t="n">
        <x:f>IF('Control Room'!$B$5="Normal",'Control Room'!$B$7+'Control Room'!$D$7*SQRT(-2*LN(MAX(0.000000000001,L491/2147483647)))*COS(2*PI()*M491/2147483647),'Control Room'!$B$8+('Control Room'!$D$8-'Control Room'!$B$8)*L491/2147483647)</x:f>
        <x:v>816.3186866079527</x:v>
      </x:c>
      <x:c r="O491" s="17" t="n">
        <x:f>IF('Control Room'!$B$5="Normal",'Control Room'!$B$7,('Control Room'!$B$8+'Control Room'!$D$8)/2)+'Control Room'!$B$9*(O490-IF('Control Room'!$B$5="Normal",'Control Room'!$B$7,('Control Room'!$B$8+'Control Room'!$D$8)/2))+SQRT(1-'Control Room'!$B$9^2)*(N491-IF('Control Room'!$B$5="Normal",'Control Room'!$B$7,('Control Room'!$B$8+'Control Room'!$D$8)/2))</x:f>
        <x:v>846.4903449566616</x:v>
      </x:c>
      <x:c r="P491" s="17" t="n">
        <x:f>IF(AND($A491&gt;='Control Room'!$A$13,$A491&lt;'Control Room'!$A$13+'Control Room'!$B$13,'Process'!BM2=1),1+('Control Room'!$C$13-1)*EXP(-0.5*(($A491-'Control Room'!$A$13-('Control Room'!$B$13-1)/2)/MAX(0.5,'Control Room'!$B$13/4))^2),1)*IF(AND($A491&gt;='Control Room'!$A$14,$A491&lt;'Control Room'!$A$14+'Control Room'!$B$14,'Process'!BM3=1),1+('Control Room'!$C$14-1)*EXP(-0.5*(($A491-'Control Room'!$A$14-('Control Room'!$B$14-1)/2)/MAX(0.5,'Control Room'!$B$14/4))^2),1)*IF(AND($A491&gt;='Control Room'!$A$15,$A491&lt;'Control Room'!$A$15+'Control Room'!$B$15,'Process'!BM4=1),1+('Control Room'!$C$15-1)*EXP(-0.5*(($A491-'Control Room'!$A$15-('Control Room'!$B$15-1)/2)/MAX(0.5,'Control Room'!$B$15/4))^2),1)*IF(AND($A491&gt;='Control Room'!$A$16,$A491&lt;'Control Room'!$A$16+'Control Room'!$B$16,'Process'!BM5=1),1+('Control Room'!$C$16-1)*EXP(-0.5*(($A491-'Control Room'!$A$16-('Control Room'!$B$16-1)/2)/MAX(0.5,'Control Room'!$B$16/4))^2),1)</x:f>
        <x:v>1</x:v>
      </x:c>
      <x:c r="Q491" s="9" t="n">
        <x:f>MOD(R490*16807,2147483647)</x:f>
        <x:v>258124129</x:v>
      </x:c>
      <x:c r="R491" s="9" t="n">
        <x:f>MOD(Q491*16807,2147483647)</x:f>
        <x:v>375269163</x:v>
      </x:c>
      <x:c r="S491" s="17" t="n">
        <x:f>IF('Control Room'!$B$5="Normal",'Control Room'!$B$7+'Control Room'!$D$7*SQRT(-2*LN(MAX(0.000000000001,Q491/2147483647)))*COS(2*PI()*R491/2147483647),'Control Room'!$B$8+('Control Room'!$D$8-'Control Room'!$B$8)*Q491/2147483647)</x:f>
        <x:v>1084.3674958361291</x:v>
      </x:c>
      <x:c r="T491" s="17" t="n">
        <x:f>IF('Control Room'!$B$5="Normal",'Control Room'!$B$7,('Control Room'!$B$8+'Control Room'!$D$8)/2)+'Control Room'!$B$9*(T490-IF('Control Room'!$B$5="Normal",'Control Room'!$B$7,('Control Room'!$B$8+'Control Room'!$D$8)/2))+SQRT(1-'Control Room'!$B$9^2)*(S491-IF('Control Room'!$B$5="Normal",'Control Room'!$B$7,('Control Room'!$B$8+'Control Room'!$D$8)/2))</x:f>
        <x:v>1104.2717673934042</x:v>
      </x:c>
      <x:c r="U491" s="17" t="n">
        <x:f>IF(AND($A491&gt;='Control Room'!$A$13,$A491&lt;'Control Room'!$A$13+'Control Room'!$B$13,'Process'!BN2=1),1+('Control Room'!$C$13-1)*EXP(-0.5*(($A491-'Control Room'!$A$13-('Control Room'!$B$13-1)/2)/MAX(0.5,'Control Room'!$B$13/4))^2),1)*IF(AND($A491&gt;='Control Room'!$A$14,$A491&lt;'Control Room'!$A$14+'Control Room'!$B$14,'Process'!BN3=1),1+('Control Room'!$C$14-1)*EXP(-0.5*(($A491-'Control Room'!$A$14-('Control Room'!$B$14-1)/2)/MAX(0.5,'Control Room'!$B$14/4))^2),1)*IF(AND($A491&gt;='Control Room'!$A$15,$A491&lt;'Control Room'!$A$15+'Control Room'!$B$15,'Process'!BN4=1),1+('Control Room'!$C$15-1)*EXP(-0.5*(($A491-'Control Room'!$A$15-('Control Room'!$B$15-1)/2)/MAX(0.5,'Control Room'!$B$15/4))^2),1)*IF(AND($A491&gt;='Control Room'!$A$16,$A491&lt;'Control Room'!$A$16+'Control Room'!$B$16,'Process'!BN5=1),1+('Control Room'!$C$16-1)*EXP(-0.5*(($A491-'Control Room'!$A$16-('Control Room'!$B$16-1)/2)/MAX(0.5,'Control Room'!$B$16/4))^2),1)</x:f>
        <x:v>1</x:v>
      </x:c>
      <x:c r="V491" s="9" t="n">
        <x:f>MOD(W490*16807,2147483647)</x:f>
        <x:v>495084825</x:v>
      </x:c>
      <x:c r="W491" s="9" t="n">
        <x:f>MOD(V491*16807,2147483647)</x:f>
        <x:v>1539005297</x:v>
      </x:c>
      <x:c r="X491" s="17" t="n">
        <x:f>IF('Control Room'!$B$5="Normal",'Control Room'!$B$7+'Control Room'!$D$7*SQRT(-2*LN(MAX(0.000000000001,V491/2147483647)))*COS(2*PI()*W491/2147483647),'Control Room'!$B$8+('Control Room'!$D$8-'Control Room'!$B$8)*V491/2147483647)</x:f>
        <x:v>967.9338660557537</x:v>
      </x:c>
      <x:c r="Y491" s="17" t="n">
        <x:f>IF('Control Room'!$B$5="Normal",'Control Room'!$B$7,('Control Room'!$B$8+'Control Room'!$D$8)/2)+'Control Room'!$B$9*(Y490-IF('Control Room'!$B$5="Normal",'Control Room'!$B$7,('Control Room'!$B$8+'Control Room'!$D$8)/2))+SQRT(1-'Control Room'!$B$9^2)*(X491-IF('Control Room'!$B$5="Normal",'Control Room'!$B$7,('Control Room'!$B$8+'Control Room'!$D$8)/2))</x:f>
        <x:v>961.0488416095131</x:v>
      </x:c>
      <x:c r="Z491" s="17" t="n">
        <x:f>IF(AND($A491&gt;='Control Room'!$A$13,$A491&lt;'Control Room'!$A$13+'Control Room'!$B$13,'Process'!BO2=1),1+('Control Room'!$C$13-1)*EXP(-0.5*(($A491-'Control Room'!$A$13-('Control Room'!$B$13-1)/2)/MAX(0.5,'Control Room'!$B$13/4))^2),1)*IF(AND($A491&gt;='Control Room'!$A$14,$A491&lt;'Control Room'!$A$14+'Control Room'!$B$14,'Process'!BO3=1),1+('Control Room'!$C$14-1)*EXP(-0.5*(($A491-'Control Room'!$A$14-('Control Room'!$B$14-1)/2)/MAX(0.5,'Control Room'!$B$14/4))^2),1)*IF(AND($A491&gt;='Control Room'!$A$15,$A491&lt;'Control Room'!$A$15+'Control Room'!$B$15,'Process'!BO4=1),1+('Control Room'!$C$15-1)*EXP(-0.5*(($A491-'Control Room'!$A$15-('Control Room'!$B$15-1)/2)/MAX(0.5,'Control Room'!$B$15/4))^2),1)*IF(AND($A491&gt;='Control Room'!$A$16,$A491&lt;'Control Room'!$A$16+'Control Room'!$B$16,'Process'!BO5=1),1+('Control Room'!$C$16-1)*EXP(-0.5*(($A491-'Control Room'!$A$16-('Control Room'!$B$16-1)/2)/MAX(0.5,'Control Room'!$B$16/4))^2),1)</x:f>
        <x:v>1</x:v>
      </x:c>
      <x:c r="AA491" s="9" t="n">
        <x:f>MOD(AB490*16807,2147483647)</x:f>
        <x:v>732045521</x:v>
      </x:c>
      <x:c r="AB491" s="9" t="n">
        <x:f>MOD(AA491*16807,2147483647)</x:f>
        <x:v>555257784</x:v>
      </x:c>
      <x:c r="AC491" s="17" t="n">
        <x:f>IF('Control Room'!$B$5="Normal",'Control Room'!$B$7+'Control Room'!$D$7*SQRT(-2*LN(MAX(0.000000000001,AA491/2147483647)))*COS(2*PI()*AB491/2147483647),'Control Room'!$B$8+('Control Room'!$D$8-'Control Room'!$B$8)*AA491/2147483647)</x:f>
        <x:v>992.9000671045211</x:v>
      </x:c>
      <x:c r="AD491" s="17" t="n">
        <x:f>IF('Control Room'!$B$5="Normal",'Control Room'!$B$7,('Control Room'!$B$8+'Control Room'!$D$8)/2)+'Control Room'!$B$9*(AD490-IF('Control Room'!$B$5="Normal",'Control Room'!$B$7,('Control Room'!$B$8+'Control Room'!$D$8)/2))+SQRT(1-'Control Room'!$B$9^2)*(AC491-IF('Control Room'!$B$5="Normal",'Control Room'!$B$7,('Control Room'!$B$8+'Control Room'!$D$8)/2))</x:f>
        <x:v>1012.7673452494448</x:v>
      </x:c>
      <x:c r="AE491" s="17" t="n">
        <x:f>IF(AND($A491&gt;='Control Room'!$A$13,$A491&lt;'Control Room'!$A$13+'Control Room'!$B$13,'Process'!BP2=1),1+('Control Room'!$C$13-1)*EXP(-0.5*(($A491-'Control Room'!$A$13-('Control Room'!$B$13-1)/2)/MAX(0.5,'Control Room'!$B$13/4))^2),1)*IF(AND($A491&gt;='Control Room'!$A$14,$A491&lt;'Control Room'!$A$14+'Control Room'!$B$14,'Process'!BP3=1),1+('Control Room'!$C$14-1)*EXP(-0.5*(($A491-'Control Room'!$A$14-('Control Room'!$B$14-1)/2)/MAX(0.5,'Control Room'!$B$14/4))^2),1)*IF(AND($A491&gt;='Control Room'!$A$15,$A491&lt;'Control Room'!$A$15+'Control Room'!$B$15,'Process'!BP4=1),1+('Control Room'!$C$15-1)*EXP(-0.5*(($A491-'Control Room'!$A$15-('Control Room'!$B$15-1)/2)/MAX(0.5,'Control Room'!$B$15/4))^2),1)*IF(AND($A491&gt;='Control Room'!$A$16,$A491&lt;'Control Room'!$A$16+'Control Room'!$B$16,'Process'!BP5=1),1+('Control Room'!$C$16-1)*EXP(-0.5*(($A491-'Control Room'!$A$16-('Control Room'!$B$16-1)/2)/MAX(0.5,'Control Room'!$B$16/4))^2),1)</x:f>
        <x:v>1</x:v>
      </x:c>
      <x:c r="AF491" s="9" t="n">
        <x:f>MOD(AG490*16807,2147483647)</x:f>
        <x:v>969006217</x:v>
      </x:c>
      <x:c r="AG491" s="9" t="n">
        <x:f>MOD(AF491*16807,2147483647)</x:f>
        <x:v>1718993918</x:v>
      </x:c>
      <x:c r="AH491" s="17" t="n">
        <x:f>IF('Control Room'!$B$5="Normal",'Control Room'!$B$7+'Control Room'!$D$7*SQRT(-2*LN(MAX(0.000000000001,AF491/2147483647)))*COS(2*PI()*AG491/2147483647),'Control Room'!$B$8+('Control Room'!$D$8-'Control Room'!$B$8)*AF491/2147483647)</x:f>
        <x:v>1035.4042294257988</x:v>
      </x:c>
      <x:c r="AI491" s="17" t="n">
        <x:f>IF('Control Room'!$B$5="Normal",'Control Room'!$B$7,('Control Room'!$B$8+'Control Room'!$D$8)/2)+'Control Room'!$B$9*(AI490-IF('Control Room'!$B$5="Normal",'Control Room'!$B$7,('Control Room'!$B$8+'Control Room'!$D$8)/2))+SQRT(1-'Control Room'!$B$9^2)*(AH491-IF('Control Room'!$B$5="Normal",'Control Room'!$B$7,('Control Room'!$B$8+'Control Room'!$D$8)/2))</x:f>
        <x:v>1070.358599698208</x:v>
      </x:c>
      <x:c r="AJ491" s="17" t="n">
        <x:f>IF(AND($A491&gt;='Control Room'!$A$13,$A491&lt;'Control Room'!$A$13+'Control Room'!$B$13,'Process'!BQ2=1),1+('Control Room'!$C$13-1)*EXP(-0.5*(($A491-'Control Room'!$A$13-('Control Room'!$B$13-1)/2)/MAX(0.5,'Control Room'!$B$13/4))^2),1)*IF(AND($A491&gt;='Control Room'!$A$14,$A491&lt;'Control Room'!$A$14+'Control Room'!$B$14,'Process'!BQ3=1),1+('Control Room'!$C$14-1)*EXP(-0.5*(($A491-'Control Room'!$A$14-('Control Room'!$B$14-1)/2)/MAX(0.5,'Control Room'!$B$14/4))^2),1)*IF(AND($A491&gt;='Control Room'!$A$15,$A491&lt;'Control Room'!$A$15+'Control Room'!$B$15,'Process'!BQ4=1),1+('Control Room'!$C$15-1)*EXP(-0.5*(($A491-'Control Room'!$A$15-('Control Room'!$B$15-1)/2)/MAX(0.5,'Control Room'!$B$15/4))^2),1)*IF(AND($A491&gt;='Control Room'!$A$16,$A491&lt;'Control Room'!$A$16+'Control Room'!$B$16,'Process'!BQ5=1),1+('Control Room'!$C$16-1)*EXP(-0.5*(($A491-'Control Room'!$A$16-('Control Room'!$B$16-1)/2)/MAX(0.5,'Control Room'!$B$16/4))^2),1)</x:f>
        <x:v>1</x:v>
      </x:c>
      <x:c r="AK491" s="9" t="n">
        <x:f>MOD(AL490*16807,2147483647)</x:f>
        <x:v>1205966913</x:v>
      </x:c>
      <x:c r="AL491" s="9" t="n">
        <x:f>MOD(AK491*16807,2147483647)</x:f>
        <x:v>735246405</x:v>
      </x:c>
      <x:c r="AM491" s="17" t="n">
        <x:f>IF('Control Room'!$B$5="Normal",'Control Room'!$B$7+'Control Room'!$D$7*SQRT(-2*LN(MAX(0.000000000001,AK491/2147483647)))*COS(2*PI()*AL491/2147483647),'Control Room'!$B$8+('Control Room'!$D$8-'Control Room'!$B$8)*AK491/2147483647)</x:f>
        <x:v>946.9817905378635</x:v>
      </x:c>
      <x:c r="AN491" s="17" t="n">
        <x:f>IF('Control Room'!$B$5="Normal",'Control Room'!$B$7,('Control Room'!$B$8+'Control Room'!$D$8)/2)+'Control Room'!$B$9*(AN490-IF('Control Room'!$B$5="Normal",'Control Room'!$B$7,('Control Room'!$B$8+'Control Room'!$D$8)/2))+SQRT(1-'Control Room'!$B$9^2)*(AM491-IF('Control Room'!$B$5="Normal",'Control Room'!$B$7,('Control Room'!$B$8+'Control Room'!$D$8)/2))</x:f>
        <x:v>920.3561764403851</x:v>
      </x:c>
      <x:c r="AO491" s="17" t="n">
        <x:f>IF(AND($A491&gt;='Control Room'!$A$13,$A491&lt;'Control Room'!$A$13+'Control Room'!$B$13,'Process'!BR2=1),1+('Control Room'!$C$13-1)*EXP(-0.5*(($A491-'Control Room'!$A$13-('Control Room'!$B$13-1)/2)/MAX(0.5,'Control Room'!$B$13/4))^2),1)*IF(AND($A491&gt;='Control Room'!$A$14,$A491&lt;'Control Room'!$A$14+'Control Room'!$B$14,'Process'!BR3=1),1+('Control Room'!$C$14-1)*EXP(-0.5*(($A491-'Control Room'!$A$14-('Control Room'!$B$14-1)/2)/MAX(0.5,'Control Room'!$B$14/4))^2),1)*IF(AND($A491&gt;='Control Room'!$A$15,$A491&lt;'Control Room'!$A$15+'Control Room'!$B$15,'Process'!BR4=1),1+('Control Room'!$C$15-1)*EXP(-0.5*(($A491-'Control Room'!$A$15-('Control Room'!$B$15-1)/2)/MAX(0.5,'Control Room'!$B$15/4))^2),1)*IF(AND($A491&gt;='Control Room'!$A$16,$A491&lt;'Control Room'!$A$16+'Control Room'!$B$16,'Process'!BR5=1),1+('Control Room'!$C$16-1)*EXP(-0.5*(($A491-'Control Room'!$A$16-('Control Room'!$B$16-1)/2)/MAX(0.5,'Control Room'!$B$16/4))^2),1)</x:f>
        <x:v>1</x:v>
      </x:c>
      <x:c r="AP491" s="9" t="n">
        <x:f>MOD(AQ490*16807,2147483647)</x:f>
        <x:v>1442927609</x:v>
      </x:c>
      <x:c r="AQ491" s="9" t="n">
        <x:f>MOD(AP491*16807,2147483647)</x:f>
        <x:v>1898982539</x:v>
      </x:c>
      <x:c r="AR491" s="17" t="n">
        <x:f>IF('Control Room'!$B$5="Normal",'Control Room'!$B$7+'Control Room'!$D$7*SQRT(-2*LN(MAX(0.000000000001,AP491/2147483647)))*COS(2*PI()*AQ491/2147483647),'Control Room'!$B$8+('Control Room'!$D$8-'Control Room'!$B$8)*AP491/2147483647)</x:f>
        <x:v>1059.96323362996</x:v>
      </x:c>
      <x:c r="AS491" s="17" t="n">
        <x:f>IF('Control Room'!$B$5="Normal",'Control Room'!$B$7,('Control Room'!$B$8+'Control Room'!$D$8)/2)+'Control Room'!$B$9*(AS490-IF('Control Room'!$B$5="Normal",'Control Room'!$B$7,('Control Room'!$B$8+'Control Room'!$D$8)/2))+SQRT(1-'Control Room'!$B$9^2)*(AR491-IF('Control Room'!$B$5="Normal",'Control Room'!$B$7,('Control Room'!$B$8+'Control Room'!$D$8)/2))</x:f>
        <x:v>1130.9522767594278</x:v>
      </x:c>
      <x:c r="AT491" s="17" t="n">
        <x:f>IF(AND($A491&gt;='Control Room'!$A$13,$A491&lt;'Control Room'!$A$13+'Control Room'!$B$13,'Process'!BS2=1),1+('Control Room'!$C$13-1)*EXP(-0.5*(($A491-'Control Room'!$A$13-('Control Room'!$B$13-1)/2)/MAX(0.5,'Control Room'!$B$13/4))^2),1)*IF(AND($A491&gt;='Control Room'!$A$14,$A491&lt;'Control Room'!$A$14+'Control Room'!$B$14,'Process'!BS3=1),1+('Control Room'!$C$14-1)*EXP(-0.5*(($A491-'Control Room'!$A$14-('Control Room'!$B$14-1)/2)/MAX(0.5,'Control Room'!$B$14/4))^2),1)*IF(AND($A491&gt;='Control Room'!$A$15,$A491&lt;'Control Room'!$A$15+'Control Room'!$B$15,'Process'!BS4=1),1+('Control Room'!$C$15-1)*EXP(-0.5*(($A491-'Control Room'!$A$15-('Control Room'!$B$15-1)/2)/MAX(0.5,'Control Room'!$B$15/4))^2),1)*IF(AND($A491&gt;='Control Room'!$A$16,$A491&lt;'Control Room'!$A$16+'Control Room'!$B$16,'Process'!BS5=1),1+('Control Room'!$C$16-1)*EXP(-0.5*(($A491-'Control Room'!$A$16-('Control Room'!$B$16-1)/2)/MAX(0.5,'Control Room'!$B$16/4))^2),1)</x:f>
        <x:v>1</x:v>
      </x:c>
      <x:c r="AU491" s="9" t="n">
        <x:f>MOD(AV490*16807,2147483647)</x:f>
        <x:v>1679888305</x:v>
      </x:c>
      <x:c r="AV491" s="9" t="n">
        <x:f>MOD(AU491*16807,2147483647)</x:f>
        <x:v>915235026</x:v>
      </x:c>
      <x:c r="AW491" s="17" t="n">
        <x:f>IF('Control Room'!$B$5="Normal",'Control Room'!$B$7+'Control Room'!$D$7*SQRT(-2*LN(MAX(0.000000000001,AU491/2147483647)))*COS(2*PI()*AV491/2147483647),'Control Room'!$B$8+('Control Room'!$D$8-'Control Room'!$B$8)*AU491/2147483647)</x:f>
        <x:v>943.5889484370475</x:v>
      </x:c>
      <x:c r="AX491" s="17" t="n">
        <x:f>IF('Control Room'!$B$5="Normal",'Control Room'!$B$7,('Control Room'!$B$8+'Control Room'!$D$8)/2)+'Control Room'!$B$9*(AX490-IF('Control Room'!$B$5="Normal",'Control Room'!$B$7,('Control Room'!$B$8+'Control Room'!$D$8)/2))+SQRT(1-'Control Room'!$B$9^2)*(AW491-IF('Control Room'!$B$5="Normal",'Control Room'!$B$7,('Control Room'!$B$8+'Control Room'!$D$8)/2))</x:f>
        <x:v>802.1346766609746</x:v>
      </x:c>
      <x:c r="AY491" s="17" t="n">
        <x:f>IF(AND($A491&gt;='Control Room'!$A$13,$A491&lt;'Control Room'!$A$13+'Control Room'!$B$13,'Process'!BT2=1),1+('Control Room'!$C$13-1)*EXP(-0.5*(($A491-'Control Room'!$A$13-('Control Room'!$B$13-1)/2)/MAX(0.5,'Control Room'!$B$13/4))^2),1)*IF(AND($A491&gt;='Control Room'!$A$14,$A491&lt;'Control Room'!$A$14+'Control Room'!$B$14,'Process'!BT3=1),1+('Control Room'!$C$14-1)*EXP(-0.5*(($A491-'Control Room'!$A$14-('Control Room'!$B$14-1)/2)/MAX(0.5,'Control Room'!$B$14/4))^2),1)*IF(AND($A491&gt;='Control Room'!$A$15,$A491&lt;'Control Room'!$A$15+'Control Room'!$B$15,'Process'!BT4=1),1+('Control Room'!$C$15-1)*EXP(-0.5*(($A491-'Control Room'!$A$15-('Control Room'!$B$15-1)/2)/MAX(0.5,'Control Room'!$B$15/4))^2),1)*IF(AND($A491&gt;='Control Room'!$A$16,$A491&lt;'Control Room'!$A$16+'Control Room'!$B$16,'Process'!BT5=1),1+('Control Room'!$C$16-1)*EXP(-0.5*(($A491-'Control Room'!$A$16-('Control Room'!$B$16-1)/2)/MAX(0.5,'Control Room'!$B$16/4))^2),1)</x:f>
        <x:v>1</x:v>
      </x:c>
      <x:c r="AZ491" s="9" t="n">
        <x:f>MOD(BA490*16807,2147483647)</x:f>
        <x:v>1916849001</x:v>
      </x:c>
      <x:c r="BA491" s="9" t="n">
        <x:f>MOD(AZ491*16807,2147483647)</x:f>
        <x:v>2078971160</x:v>
      </x:c>
      <x:c r="BB491" s="17" t="n">
        <x:f>IF('Control Room'!$B$5="Normal",'Control Room'!$B$7+'Control Room'!$D$7*SQRT(-2*LN(MAX(0.000000000001,AZ491/2147483647)))*COS(2*PI()*BA491/2147483647),'Control Room'!$B$8+('Control Room'!$D$8-'Control Room'!$B$8)*AZ491/2147483647)</x:f>
        <x:v>1042.0425376207993</x:v>
      </x:c>
      <x:c r="BC491" s="17" t="n">
        <x:f>IF('Control Room'!$B$5="Normal",'Control Room'!$B$7,('Control Room'!$B$8+'Control Room'!$D$8)/2)+'Control Room'!$B$9*(BC490-IF('Control Room'!$B$5="Normal",'Control Room'!$B$7,('Control Room'!$B$8+'Control Room'!$D$8)/2))+SQRT(1-'Control Room'!$B$9^2)*(BB491-IF('Control Room'!$B$5="Normal",'Control Room'!$B$7,('Control Room'!$B$8+'Control Room'!$D$8)/2))</x:f>
        <x:v>927.7194047083422</x:v>
      </x:c>
      <x:c r="BD491" s="17" t="n">
        <x:f>IF(AND($A491&gt;='Control Room'!$A$13,$A491&lt;'Control Room'!$A$13+'Control Room'!$B$13,'Process'!BU2=1),1+('Control Room'!$C$13-1)*EXP(-0.5*(($A491-'Control Room'!$A$13-('Control Room'!$B$13-1)/2)/MAX(0.5,'Control Room'!$B$13/4))^2),1)*IF(AND($A491&gt;='Control Room'!$A$14,$A491&lt;'Control Room'!$A$14+'Control Room'!$B$14,'Process'!BU3=1),1+('Control Room'!$C$14-1)*EXP(-0.5*(($A491-'Control Room'!$A$14-('Control Room'!$B$14-1)/2)/MAX(0.5,'Control Room'!$B$14/4))^2),1)*IF(AND($A491&gt;='Control Room'!$A$15,$A491&lt;'Control Room'!$A$15+'Control Room'!$B$15,'Process'!BU4=1),1+('Control Room'!$C$15-1)*EXP(-0.5*(($A491-'Control Room'!$A$15-('Control Room'!$B$15-1)/2)/MAX(0.5,'Control Room'!$B$15/4))^2),1)*IF(AND($A491&gt;='Control Room'!$A$16,$A491&lt;'Control Room'!$A$16+'Control Room'!$B$16,'Process'!BU5=1),1+('Control Room'!$C$16-1)*EXP(-0.5*(($A491-'Control Room'!$A$16-('Control Room'!$B$16-1)/2)/MAX(0.5,'Control Room'!$B$16/4))^2),1)</x:f>
        <x:v>1</x:v>
      </x:c>
      <x:c r="BE491" s="9" t="n">
        <x:f>MOD(BF490*16807,2147483647)</x:f>
        <x:v>6326050</x:v>
      </x:c>
      <x:c r="BF491" s="9" t="n">
        <x:f>MOD(BE491*16807,2147483647)</x:f>
        <x:v>1095223647</x:v>
      </x:c>
      <x:c r="BG491" s="17" t="n">
        <x:f>IF('Control Room'!$B$5="Normal",'Control Room'!$B$7+'Control Room'!$D$7*SQRT(-2*LN(MAX(0.000000000001,BE491/2147483647)))*COS(2*PI()*BF491/2147483647),'Control Room'!$B$8+('Control Room'!$D$8-'Control Room'!$B$8)*BE491/2147483647)</x:f>
        <x:v>693.3551735567545</x:v>
      </x:c>
      <x:c r="BH491" s="17" t="n">
        <x:f>IF('Control Room'!$B$5="Normal",'Control Room'!$B$7,('Control Room'!$B$8+'Control Room'!$D$8)/2)+'Control Room'!$B$9*(BH490-IF('Control Room'!$B$5="Normal",'Control Room'!$B$7,('Control Room'!$B$8+'Control Room'!$D$8)/2))+SQRT(1-'Control Room'!$B$9^2)*(BG491-IF('Control Room'!$B$5="Normal",'Control Room'!$B$7,('Control Room'!$B$8+'Control Room'!$D$8)/2))</x:f>
        <x:v>862.9349156451767</x:v>
      </x:c>
      <x:c r="BI491" s="17" t="n">
        <x:f>IF(AND($A491&gt;='Control Room'!$A$13,$A491&lt;'Control Room'!$A$13+'Control Room'!$B$13,'Process'!BV2=1),1+('Control Room'!$C$13-1)*EXP(-0.5*(($A491-'Control Room'!$A$13-('Control Room'!$B$13-1)/2)/MAX(0.5,'Control Room'!$B$13/4))^2),1)*IF(AND($A491&gt;='Control Room'!$A$14,$A491&lt;'Control Room'!$A$14+'Control Room'!$B$14,'Process'!BV3=1),1+('Control Room'!$C$14-1)*EXP(-0.5*(($A491-'Control Room'!$A$14-('Control Room'!$B$14-1)/2)/MAX(0.5,'Control Room'!$B$14/4))^2),1)*IF(AND($A491&gt;='Control Room'!$A$15,$A491&lt;'Control Room'!$A$15+'Control Room'!$B$15,'Process'!BV4=1),1+('Control Room'!$C$15-1)*EXP(-0.5*(($A491-'Control Room'!$A$15-('Control Room'!$B$15-1)/2)/MAX(0.5,'Control Room'!$B$15/4))^2),1)*IF(AND($A491&gt;='Control Room'!$A$16,$A491&lt;'Control Room'!$A$16+'Control Room'!$B$16,'Process'!BV5=1),1+('Control Room'!$C$16-1)*EXP(-0.5*(($A491-'Control Room'!$A$16-('Control Room'!$B$16-1)/2)/MAX(0.5,'Control Room'!$B$16/4))^2),1)</x:f>
        <x:v>1</x:v>
      </x:c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Z491" t="str">
        <x:f>IF('Data'!A491="","",TEXT('Data'!A491,"mm-dd"))</x:f>
      </x:c>
    </x:row>
    <x:row r="492" ht="21" customHeight="1">
      <x:c r="A492" s="15" t="n">
        <x:f>'Control Room'!$B$1+490</x:f>
        <x:v>73481</x:v>
      </x:c>
      <x:c r="B492" s="9" t="n">
        <x:f>MOD(C491*16807,2147483647)</x:f>
        <x:v>1092909516</x:v>
      </x:c>
      <x:c r="C492" s="9" t="n">
        <x:f>MOD(B492*16807,2147483647)</x:f>
        <x:v>1102602621</x:v>
      </x:c>
      <x:c r="D492" s="17" t="n">
        <x:f>IF('Control Room'!$B$5="Normal",'Control Room'!$B$7+'Control Room'!$D$7*SQRT(-2*LN(MAX(0.000000000001,B492/2147483647)))*COS(2*PI()*C492/2147483647),'Control Room'!$B$8+('Control Room'!$D$8-'Control Room'!$B$8)*B492/2147483647)</x:f>
        <x:v>895.7670609694025</x:v>
      </x:c>
      <x:c r="E492" s="17" t="n">
        <x:f>IF('Control Room'!$B$5="Normal",'Control Room'!$B$7,('Control Room'!$B$8+'Control Room'!$D$8)/2)+'Control Room'!$B$9*(E491-IF('Control Room'!$B$5="Normal",'Control Room'!$B$7,('Control Room'!$B$8+'Control Room'!$D$8)/2))+SQRT(1-'Control Room'!$B$9^2)*(D492-IF('Control Room'!$B$5="Normal",'Control Room'!$B$7,('Control Room'!$B$8+'Control Room'!$D$8)/2))</x:f>
        <x:v>961.5184058862595</x:v>
      </x:c>
      <x:c r="F492" s="17" t="n">
        <x:f>IF(AND($A492&gt;='Control Room'!$A$13,$A492&lt;'Control Room'!$A$13+'Control Room'!$B$13,'Process'!BK2=1),1+('Control Room'!$C$13-1)*EXP(-0.5*(($A492-'Control Room'!$A$13-('Control Room'!$B$13-1)/2)/MAX(0.5,'Control Room'!$B$13/4))^2),1)*IF(AND($A492&gt;='Control Room'!$A$14,$A492&lt;'Control Room'!$A$14+'Control Room'!$B$14,'Process'!BK3=1),1+('Control Room'!$C$14-1)*EXP(-0.5*(($A492-'Control Room'!$A$14-('Control Room'!$B$14-1)/2)/MAX(0.5,'Control Room'!$B$14/4))^2),1)*IF(AND($A492&gt;='Control Room'!$A$15,$A492&lt;'Control Room'!$A$15+'Control Room'!$B$15,'Process'!BK4=1),1+('Control Room'!$C$15-1)*EXP(-0.5*(($A492-'Control Room'!$A$15-('Control Room'!$B$15-1)/2)/MAX(0.5,'Control Room'!$B$15/4))^2),1)*IF(AND($A492&gt;='Control Room'!$A$16,$A492&lt;'Control Room'!$A$16+'Control Room'!$B$16,'Process'!BK5=1),1+('Control Room'!$C$16-1)*EXP(-0.5*(($A492-'Control Room'!$A$16-('Control Room'!$B$16-1)/2)/MAX(0.5,'Control Room'!$B$16/4))^2),1)</x:f>
        <x:v>1</x:v>
      </x:c>
      <x:c r="G492" s="9" t="n">
        <x:f>MOD(H491*16807,2147483647)</x:f>
        <x:v>725056778</x:v>
      </x:c>
      <x:c r="H492" s="9" t="n">
        <x:f>MOD(G492*16807,2147483647)</x:f>
        <x:v>1207054768</x:v>
      </x:c>
      <x:c r="I492" s="17" t="n">
        <x:f>IF('Control Room'!$B$5="Normal",'Control Room'!$B$7+'Control Room'!$D$7*SQRT(-2*LN(MAX(0.000000000001,G492/2147483647)))*COS(2*PI()*H492/2147483647),'Control Room'!$B$8+('Control Room'!$D$8-'Control Room'!$B$8)*G492/2147483647)</x:f>
        <x:v>877.3344472895635</x:v>
      </x:c>
      <x:c r="J492" s="17" t="n">
        <x:f>IF('Control Room'!$B$5="Normal",'Control Room'!$B$7,('Control Room'!$B$8+'Control Room'!$D$8)/2)+'Control Room'!$B$9*(J491-IF('Control Room'!$B$5="Normal",'Control Room'!$B$7,('Control Room'!$B$8+'Control Room'!$D$8)/2))+SQRT(1-'Control Room'!$B$9^2)*(I492-IF('Control Room'!$B$5="Normal",'Control Room'!$B$7,('Control Room'!$B$8+'Control Room'!$D$8)/2))</x:f>
        <x:v>870.7720602872658</x:v>
      </x:c>
      <x:c r="K492" s="17" t="n">
        <x:f>IF(AND($A492&gt;='Control Room'!$A$13,$A492&lt;'Control Room'!$A$13+'Control Room'!$B$13,'Process'!BL2=1),1+('Control Room'!$C$13-1)*EXP(-0.5*(($A492-'Control Room'!$A$13-('Control Room'!$B$13-1)/2)/MAX(0.5,'Control Room'!$B$13/4))^2),1)*IF(AND($A492&gt;='Control Room'!$A$14,$A492&lt;'Control Room'!$A$14+'Control Room'!$B$14,'Process'!BL3=1),1+('Control Room'!$C$14-1)*EXP(-0.5*(($A492-'Control Room'!$A$14-('Control Room'!$B$14-1)/2)/MAX(0.5,'Control Room'!$B$14/4))^2),1)*IF(AND($A492&gt;='Control Room'!$A$15,$A492&lt;'Control Room'!$A$15+'Control Room'!$B$15,'Process'!BL4=1),1+('Control Room'!$C$15-1)*EXP(-0.5*(($A492-'Control Room'!$A$15-('Control Room'!$B$15-1)/2)/MAX(0.5,'Control Room'!$B$15/4))^2),1)*IF(AND($A492&gt;='Control Room'!$A$16,$A492&lt;'Control Room'!$A$16+'Control Room'!$B$16,'Process'!BL5=1),1+('Control Room'!$C$16-1)*EXP(-0.5*(($A492-'Control Room'!$A$16-('Control Room'!$B$16-1)/2)/MAX(0.5,'Control Room'!$B$16/4))^2),1)</x:f>
        <x:v>1</x:v>
      </x:c>
      <x:c r="L492" s="9" t="n">
        <x:f>MOD(M491*16807,2147483647)</x:f>
        <x:v>357204040</x:v>
      </x:c>
      <x:c r="M492" s="9" t="n">
        <x:f>MOD(L492*16807,2147483647)</x:f>
        <x:v>1311506915</x:v>
      </x:c>
      <x:c r="N492" s="17" t="n">
        <x:f>IF('Control Room'!$B$5="Normal",'Control Room'!$B$7+'Control Room'!$D$7*SQRT(-2*LN(MAX(0.000000000001,L492/2147483647)))*COS(2*PI()*M492/2147483647),'Control Room'!$B$8+('Control Room'!$D$8-'Control Room'!$B$8)*L492/2147483647)</x:f>
        <x:v>869.1451980750488</x:v>
      </x:c>
      <x:c r="O492" s="17" t="n">
        <x:f>IF('Control Room'!$B$5="Normal",'Control Room'!$B$7,('Control Room'!$B$8+'Control Room'!$D$8)/2)+'Control Room'!$B$9*(O491-IF('Control Room'!$B$5="Normal",'Control Room'!$B$7,('Control Room'!$B$8+'Control Room'!$D$8)/2))+SQRT(1-'Control Room'!$B$9^2)*(N492-IF('Control Room'!$B$5="Normal",'Control Room'!$B$7,('Control Room'!$B$8+'Control Room'!$D$8)/2))</x:f>
        <x:v>798.3762147278883</x:v>
      </x:c>
      <x:c r="P492" s="17" t="n">
        <x:f>IF(AND($A492&gt;='Control Room'!$A$13,$A492&lt;'Control Room'!$A$13+'Control Room'!$B$13,'Process'!BM2=1),1+('Control Room'!$C$13-1)*EXP(-0.5*(($A492-'Control Room'!$A$13-('Control Room'!$B$13-1)/2)/MAX(0.5,'Control Room'!$B$13/4))^2),1)*IF(AND($A492&gt;='Control Room'!$A$14,$A492&lt;'Control Room'!$A$14+'Control Room'!$B$14,'Process'!BM3=1),1+('Control Room'!$C$14-1)*EXP(-0.5*(($A492-'Control Room'!$A$14-('Control Room'!$B$14-1)/2)/MAX(0.5,'Control Room'!$B$14/4))^2),1)*IF(AND($A492&gt;='Control Room'!$A$15,$A492&lt;'Control Room'!$A$15+'Control Room'!$B$15,'Process'!BM4=1),1+('Control Room'!$C$15-1)*EXP(-0.5*(($A492-'Control Room'!$A$15-('Control Room'!$B$15-1)/2)/MAX(0.5,'Control Room'!$B$15/4))^2),1)*IF(AND($A492&gt;='Control Room'!$A$16,$A492&lt;'Control Room'!$A$16+'Control Room'!$B$16,'Process'!BM5=1),1+('Control Room'!$C$16-1)*EXP(-0.5*(($A492-'Control Room'!$A$16-('Control Room'!$B$16-1)/2)/MAX(0.5,'Control Room'!$B$16/4))^2),1)</x:f>
        <x:v>1</x:v>
      </x:c>
      <x:c r="Q492" s="9" t="n">
        <x:f>MOD(R491*16807,2147483647)</x:f>
        <x:v>2136834949</x:v>
      </x:c>
      <x:c r="R492" s="9" t="n">
        <x:f>MOD(Q492*16807,2147483647)</x:f>
        <x:v>1415959062</x:v>
      </x:c>
      <x:c r="S492" s="17" t="n">
        <x:f>IF('Control Room'!$B$5="Normal",'Control Room'!$B$7+'Control Room'!$D$7*SQRT(-2*LN(MAX(0.000000000001,Q492/2147483647)))*COS(2*PI()*R492/2147483647),'Control Room'!$B$8+('Control Room'!$D$8-'Control Room'!$B$8)*Q492/2147483647)</x:f>
        <x:v>995.1609970401241</x:v>
      </x:c>
      <x:c r="T492" s="17" t="n">
        <x:f>IF('Control Room'!$B$5="Normal",'Control Room'!$B$7,('Control Room'!$B$8+'Control Room'!$D$8)/2)+'Control Room'!$B$9*(T491-IF('Control Room'!$B$5="Normal",'Control Room'!$B$7,('Control Room'!$B$8+'Control Room'!$D$8)/2))+SQRT(1-'Control Room'!$B$9^2)*(S492-IF('Control Room'!$B$5="Normal",'Control Room'!$B$7,('Control Room'!$B$8+'Control Room'!$D$8)/2))</x:f>
        <x:v>1078.303829646929</x:v>
      </x:c>
      <x:c r="U492" s="17" t="n">
        <x:f>IF(AND($A492&gt;='Control Room'!$A$13,$A492&lt;'Control Room'!$A$13+'Control Room'!$B$13,'Process'!BN2=1),1+('Control Room'!$C$13-1)*EXP(-0.5*(($A492-'Control Room'!$A$13-('Control Room'!$B$13-1)/2)/MAX(0.5,'Control Room'!$B$13/4))^2),1)*IF(AND($A492&gt;='Control Room'!$A$14,$A492&lt;'Control Room'!$A$14+'Control Room'!$B$14,'Process'!BN3=1),1+('Control Room'!$C$14-1)*EXP(-0.5*(($A492-'Control Room'!$A$14-('Control Room'!$B$14-1)/2)/MAX(0.5,'Control Room'!$B$14/4))^2),1)*IF(AND($A492&gt;='Control Room'!$A$15,$A492&lt;'Control Room'!$A$15+'Control Room'!$B$15,'Process'!BN4=1),1+('Control Room'!$C$15-1)*EXP(-0.5*(($A492-'Control Room'!$A$15-('Control Room'!$B$15-1)/2)/MAX(0.5,'Control Room'!$B$15/4))^2),1)*IF(AND($A492&gt;='Control Room'!$A$16,$A492&lt;'Control Room'!$A$16+'Control Room'!$B$16,'Process'!BN5=1),1+('Control Room'!$C$16-1)*EXP(-0.5*(($A492-'Control Room'!$A$16-('Control Room'!$B$16-1)/2)/MAX(0.5,'Control Room'!$B$16/4))^2),1)</x:f>
        <x:v>1</x:v>
      </x:c>
      <x:c r="V492" s="9" t="n">
        <x:f>MOD(W491*16807,2147483647)</x:f>
        <x:v>1768982211</x:v>
      </x:c>
      <x:c r="W492" s="9" t="n">
        <x:f>MOD(V492*16807,2147483647)</x:f>
        <x:v>1520411209</x:v>
      </x:c>
      <x:c r="X492" s="17" t="n">
        <x:f>IF('Control Room'!$B$5="Normal",'Control Room'!$B$7+'Control Room'!$D$7*SQRT(-2*LN(MAX(0.000000000001,V492/2147483647)))*COS(2*PI()*W492/2147483647),'Control Room'!$B$8+('Control Room'!$D$8-'Control Room'!$B$8)*V492/2147483647)</x:f>
        <x:v>985.3799613393385</x:v>
      </x:c>
      <x:c r="Y492" s="17" t="n">
        <x:f>IF('Control Room'!$B$5="Normal",'Control Room'!$B$7,('Control Room'!$B$8+'Control Room'!$D$8)/2)+'Control Room'!$B$9*(Y491-IF('Control Room'!$B$5="Normal",'Control Room'!$B$7,('Control Room'!$B$8+'Control Room'!$D$8)/2))+SQRT(1-'Control Room'!$B$9^2)*(X492-IF('Control Room'!$B$5="Normal",'Control Room'!$B$7,('Control Room'!$B$8+'Control Room'!$D$8)/2))</x:f>
        <x:v>960.4691757693499</x:v>
      </x:c>
      <x:c r="Z492" s="17" t="n">
        <x:f>IF(AND($A492&gt;='Control Room'!$A$13,$A492&lt;'Control Room'!$A$13+'Control Room'!$B$13,'Process'!BO2=1),1+('Control Room'!$C$13-1)*EXP(-0.5*(($A492-'Control Room'!$A$13-('Control Room'!$B$13-1)/2)/MAX(0.5,'Control Room'!$B$13/4))^2),1)*IF(AND($A492&gt;='Control Room'!$A$14,$A492&lt;'Control Room'!$A$14+'Control Room'!$B$14,'Process'!BO3=1),1+('Control Room'!$C$14-1)*EXP(-0.5*(($A492-'Control Room'!$A$14-('Control Room'!$B$14-1)/2)/MAX(0.5,'Control Room'!$B$14/4))^2),1)*IF(AND($A492&gt;='Control Room'!$A$15,$A492&lt;'Control Room'!$A$15+'Control Room'!$B$15,'Process'!BO4=1),1+('Control Room'!$C$15-1)*EXP(-0.5*(($A492-'Control Room'!$A$15-('Control Room'!$B$15-1)/2)/MAX(0.5,'Control Room'!$B$15/4))^2),1)*IF(AND($A492&gt;='Control Room'!$A$16,$A492&lt;'Control Room'!$A$16+'Control Room'!$B$16,'Process'!BO5=1),1+('Control Room'!$C$16-1)*EXP(-0.5*(($A492-'Control Room'!$A$16-('Control Room'!$B$16-1)/2)/MAX(0.5,'Control Room'!$B$16/4))^2),1)</x:f>
        <x:v>1</x:v>
      </x:c>
      <x:c r="AA492" s="9" t="n">
        <x:f>MOD(AB491*16807,2147483647)</x:f>
        <x:v>1401129473</x:v>
      </x:c>
      <x:c r="AB492" s="9" t="n">
        <x:f>MOD(AA492*16807,2147483647)</x:f>
        <x:v>1624863356</x:v>
      </x:c>
      <x:c r="AC492" s="17" t="n">
        <x:f>IF('Control Room'!$B$5="Normal",'Control Room'!$B$7+'Control Room'!$D$7*SQRT(-2*LN(MAX(0.000000000001,AA492/2147483647)))*COS(2*PI()*AB492/2147483647),'Control Room'!$B$8+('Control Room'!$D$8-'Control Room'!$B$8)*AA492/2147483647)</x:f>
        <x:v>1003.4668781949193</x:v>
      </x:c>
      <x:c r="AD492" s="17" t="n">
        <x:f>IF('Control Room'!$B$5="Normal",'Control Room'!$B$7,('Control Room'!$B$8+'Control Room'!$D$8)/2)+'Control Room'!$B$9*(AD491-IF('Control Room'!$B$5="Normal",'Control Room'!$B$7,('Control Room'!$B$8+'Control Room'!$D$8)/2))+SQRT(1-'Control Room'!$B$9^2)*(AC492-IF('Control Room'!$B$5="Normal",'Control Room'!$B$7,('Control Room'!$B$8+'Control Room'!$D$8)/2))</x:f>
        <x:v>1012.1280306460872</x:v>
      </x:c>
      <x:c r="AE492" s="17" t="n">
        <x:f>IF(AND($A492&gt;='Control Room'!$A$13,$A492&lt;'Control Room'!$A$13+'Control Room'!$B$13,'Process'!BP2=1),1+('Control Room'!$C$13-1)*EXP(-0.5*(($A492-'Control Room'!$A$13-('Control Room'!$B$13-1)/2)/MAX(0.5,'Control Room'!$B$13/4))^2),1)*IF(AND($A492&gt;='Control Room'!$A$14,$A492&lt;'Control Room'!$A$14+'Control Room'!$B$14,'Process'!BP3=1),1+('Control Room'!$C$14-1)*EXP(-0.5*(($A492-'Control Room'!$A$14-('Control Room'!$B$14-1)/2)/MAX(0.5,'Control Room'!$B$14/4))^2),1)*IF(AND($A492&gt;='Control Room'!$A$15,$A492&lt;'Control Room'!$A$15+'Control Room'!$B$15,'Process'!BP4=1),1+('Control Room'!$C$15-1)*EXP(-0.5*(($A492-'Control Room'!$A$15-('Control Room'!$B$15-1)/2)/MAX(0.5,'Control Room'!$B$15/4))^2),1)*IF(AND($A492&gt;='Control Room'!$A$16,$A492&lt;'Control Room'!$A$16+'Control Room'!$B$16,'Process'!BP5=1),1+('Control Room'!$C$16-1)*EXP(-0.5*(($A492-'Control Room'!$A$16-('Control Room'!$B$16-1)/2)/MAX(0.5,'Control Room'!$B$16/4))^2),1)</x:f>
        <x:v>1</x:v>
      </x:c>
      <x:c r="AF492" s="9" t="n">
        <x:f>MOD(AG491*16807,2147483647)</x:f>
        <x:v>1033276735</x:v>
      </x:c>
      <x:c r="AG492" s="9" t="n">
        <x:f>MOD(AF492*16807,2147483647)</x:f>
        <x:v>1729315503</x:v>
      </x:c>
      <x:c r="AH492" s="17" t="n">
        <x:f>IF('Control Room'!$B$5="Normal",'Control Room'!$B$7+'Control Room'!$D$7*SQRT(-2*LN(MAX(0.000000000001,AF492/2147483647)))*COS(2*PI()*AG492/2147483647),'Control Room'!$B$8+('Control Room'!$D$8-'Control Room'!$B$8)*AF492/2147483647)</x:f>
        <x:v>1037.053364573756</x:v>
      </x:c>
      <x:c r="AI492" s="17" t="n">
        <x:f>IF('Control Room'!$B$5="Normal",'Control Room'!$B$7,('Control Room'!$B$8+'Control Room'!$D$8)/2)+'Control Room'!$B$9*(AI491-IF('Control Room'!$B$5="Normal",'Control Room'!$B$7,('Control Room'!$B$8+'Control Room'!$D$8)/2))+SQRT(1-'Control Room'!$B$9^2)*(AH492-IF('Control Room'!$B$5="Normal",'Control Room'!$B$7,('Control Room'!$B$8+'Control Room'!$D$8)/2))</x:f>
        <x:v>1078.0669442354258</x:v>
      </x:c>
      <x:c r="AJ492" s="17" t="n">
        <x:f>IF(AND($A492&gt;='Control Room'!$A$13,$A492&lt;'Control Room'!$A$13+'Control Room'!$B$13,'Process'!BQ2=1),1+('Control Room'!$C$13-1)*EXP(-0.5*(($A492-'Control Room'!$A$13-('Control Room'!$B$13-1)/2)/MAX(0.5,'Control Room'!$B$13/4))^2),1)*IF(AND($A492&gt;='Control Room'!$A$14,$A492&lt;'Control Room'!$A$14+'Control Room'!$B$14,'Process'!BQ3=1),1+('Control Room'!$C$14-1)*EXP(-0.5*(($A492-'Control Room'!$A$14-('Control Room'!$B$14-1)/2)/MAX(0.5,'Control Room'!$B$14/4))^2),1)*IF(AND($A492&gt;='Control Room'!$A$15,$A492&lt;'Control Room'!$A$15+'Control Room'!$B$15,'Process'!BQ4=1),1+('Control Room'!$C$15-1)*EXP(-0.5*(($A492-'Control Room'!$A$15-('Control Room'!$B$15-1)/2)/MAX(0.5,'Control Room'!$B$15/4))^2),1)*IF(AND($A492&gt;='Control Room'!$A$16,$A492&lt;'Control Room'!$A$16+'Control Room'!$B$16,'Process'!BQ5=1),1+('Control Room'!$C$16-1)*EXP(-0.5*(($A492-'Control Room'!$A$16-('Control Room'!$B$16-1)/2)/MAX(0.5,'Control Room'!$B$16/4))^2),1)</x:f>
        <x:v>1</x:v>
      </x:c>
      <x:c r="AK492" s="9" t="n">
        <x:f>MOD(AL491*16807,2147483647)</x:f>
        <x:v>665423997</x:v>
      </x:c>
      <x:c r="AL492" s="9" t="n">
        <x:f>MOD(AK492*16807,2147483647)</x:f>
        <x:v>1833767650</x:v>
      </x:c>
      <x:c r="AM492" s="17" t="n">
        <x:f>IF('Control Room'!$B$5="Normal",'Control Room'!$B$7+'Control Room'!$D$7*SQRT(-2*LN(MAX(0.000000000001,AK492/2147483647)))*COS(2*PI()*AL492/2147483647),'Control Room'!$B$8+('Control Room'!$D$8-'Control Room'!$B$8)*AK492/2147483647)</x:f>
        <x:v>1083.695399285057</x:v>
      </x:c>
      <x:c r="AN492" s="17" t="n">
        <x:f>IF('Control Room'!$B$5="Normal",'Control Room'!$B$7,('Control Room'!$B$8+'Control Room'!$D$8)/2)+'Control Room'!$B$9*(AN491-IF('Control Room'!$B$5="Normal",'Control Room'!$B$7,('Control Room'!$B$8+'Control Room'!$D$8)/2))+SQRT(1-'Control Room'!$B$9^2)*(AM492-IF('Control Room'!$B$5="Normal",'Control Room'!$B$7,('Control Room'!$B$8+'Control Room'!$D$8)/2))</x:f>
        <x:v>990.2526839026382</x:v>
      </x:c>
      <x:c r="AO492" s="17" t="n">
        <x:f>IF(AND($A492&gt;='Control Room'!$A$13,$A492&lt;'Control Room'!$A$13+'Control Room'!$B$13,'Process'!BR2=1),1+('Control Room'!$C$13-1)*EXP(-0.5*(($A492-'Control Room'!$A$13-('Control Room'!$B$13-1)/2)/MAX(0.5,'Control Room'!$B$13/4))^2),1)*IF(AND($A492&gt;='Control Room'!$A$14,$A492&lt;'Control Room'!$A$14+'Control Room'!$B$14,'Process'!BR3=1),1+('Control Room'!$C$14-1)*EXP(-0.5*(($A492-'Control Room'!$A$14-('Control Room'!$B$14-1)/2)/MAX(0.5,'Control Room'!$B$14/4))^2),1)*IF(AND($A492&gt;='Control Room'!$A$15,$A492&lt;'Control Room'!$A$15+'Control Room'!$B$15,'Process'!BR4=1),1+('Control Room'!$C$15-1)*EXP(-0.5*(($A492-'Control Room'!$A$15-('Control Room'!$B$15-1)/2)/MAX(0.5,'Control Room'!$B$15/4))^2),1)*IF(AND($A492&gt;='Control Room'!$A$16,$A492&lt;'Control Room'!$A$16+'Control Room'!$B$16,'Process'!BR5=1),1+('Control Room'!$C$16-1)*EXP(-0.5*(($A492-'Control Room'!$A$16-('Control Room'!$B$16-1)/2)/MAX(0.5,'Control Room'!$B$16/4))^2),1)</x:f>
        <x:v>1</x:v>
      </x:c>
      <x:c r="AP492" s="9" t="n">
        <x:f>MOD(AQ491*16807,2147483647)</x:f>
        <x:v>297571259</x:v>
      </x:c>
      <x:c r="AQ492" s="9" t="n">
        <x:f>MOD(AP492*16807,2147483647)</x:f>
        <x:v>1938219797</x:v>
      </x:c>
      <x:c r="AR492" s="17" t="n">
        <x:f>IF('Control Room'!$B$5="Normal",'Control Room'!$B$7+'Control Room'!$D$7*SQRT(-2*LN(MAX(0.000000000001,AP492/2147483647)))*COS(2*PI()*AQ492/2147483647),'Control Room'!$B$8+('Control Room'!$D$8-'Control Room'!$B$8)*AP492/2147483647)</x:f>
        <x:v>1146.4302864676217</x:v>
      </x:c>
      <x:c r="AS492" s="17" t="n">
        <x:f>IF('Control Room'!$B$5="Normal",'Control Room'!$B$7,('Control Room'!$B$8+'Control Room'!$D$8)/2)+'Control Room'!$B$9*(AS491-IF('Control Room'!$B$5="Normal",'Control Room'!$B$7,('Control Room'!$B$8+'Control Room'!$D$8)/2))+SQRT(1-'Control Room'!$B$9^2)*(AR492-IF('Control Room'!$B$5="Normal",'Control Room'!$B$7,('Control Room'!$B$8+'Control Room'!$D$8)/2))</x:f>
        <x:v>1193.7758493563201</x:v>
      </x:c>
      <x:c r="AT492" s="17" t="n">
        <x:f>IF(AND($A492&gt;='Control Room'!$A$13,$A492&lt;'Control Room'!$A$13+'Control Room'!$B$13,'Process'!BS2=1),1+('Control Room'!$C$13-1)*EXP(-0.5*(($A492-'Control Room'!$A$13-('Control Room'!$B$13-1)/2)/MAX(0.5,'Control Room'!$B$13/4))^2),1)*IF(AND($A492&gt;='Control Room'!$A$14,$A492&lt;'Control Room'!$A$14+'Control Room'!$B$14,'Process'!BS3=1),1+('Control Room'!$C$14-1)*EXP(-0.5*(($A492-'Control Room'!$A$14-('Control Room'!$B$14-1)/2)/MAX(0.5,'Control Room'!$B$14/4))^2),1)*IF(AND($A492&gt;='Control Room'!$A$15,$A492&lt;'Control Room'!$A$15+'Control Room'!$B$15,'Process'!BS4=1),1+('Control Room'!$C$15-1)*EXP(-0.5*(($A492-'Control Room'!$A$15-('Control Room'!$B$15-1)/2)/MAX(0.5,'Control Room'!$B$15/4))^2),1)*IF(AND($A492&gt;='Control Room'!$A$16,$A492&lt;'Control Room'!$A$16+'Control Room'!$B$16,'Process'!BS5=1),1+('Control Room'!$C$16-1)*EXP(-0.5*(($A492-'Control Room'!$A$16-('Control Room'!$B$16-1)/2)/MAX(0.5,'Control Room'!$B$16/4))^2),1)</x:f>
        <x:v>1</x:v>
      </x:c>
      <x:c r="AU492" s="9" t="n">
        <x:f>MOD(AV491*16807,2147483647)</x:f>
        <x:v>2077202168</x:v>
      </x:c>
      <x:c r="AV492" s="9" t="n">
        <x:f>MOD(AU492*16807,2147483647)</x:f>
        <x:v>2042671944</x:v>
      </x:c>
      <x:c r="AW492" s="17" t="n">
        <x:f>IF('Control Room'!$B$5="Normal",'Control Room'!$B$7+'Control Room'!$D$7*SQRT(-2*LN(MAX(0.000000000001,AU492/2147483647)))*COS(2*PI()*AV492/2147483647),'Control Room'!$B$8+('Control Room'!$D$8-'Control Room'!$B$8)*AU492/2147483647)</x:f>
        <x:v>1022.1343408613408</x:v>
      </x:c>
      <x:c r="AX492" s="17" t="n">
        <x:f>IF('Control Room'!$B$5="Normal",'Control Room'!$B$7,('Control Room'!$B$8+'Control Room'!$D$8)/2)+'Control Room'!$B$9*(AX491-IF('Control Room'!$B$5="Normal",'Control Room'!$B$7,('Control Room'!$B$8+'Control Room'!$D$8)/2))+SQRT(1-'Control Room'!$B$9^2)*(AW492-IF('Control Room'!$B$5="Normal",'Control Room'!$B$7,('Control Room'!$B$8+'Control Room'!$D$8)/2))</x:f>
        <x:v>859.5162648599677</x:v>
      </x:c>
      <x:c r="AY492" s="17" t="n">
        <x:f>IF(AND($A492&gt;='Control Room'!$A$13,$A492&lt;'Control Room'!$A$13+'Control Room'!$B$13,'Process'!BT2=1),1+('Control Room'!$C$13-1)*EXP(-0.5*(($A492-'Control Room'!$A$13-('Control Room'!$B$13-1)/2)/MAX(0.5,'Control Room'!$B$13/4))^2),1)*IF(AND($A492&gt;='Control Room'!$A$14,$A492&lt;'Control Room'!$A$14+'Control Room'!$B$14,'Process'!BT3=1),1+('Control Room'!$C$14-1)*EXP(-0.5*(($A492-'Control Room'!$A$14-('Control Room'!$B$14-1)/2)/MAX(0.5,'Control Room'!$B$14/4))^2),1)*IF(AND($A492&gt;='Control Room'!$A$15,$A492&lt;'Control Room'!$A$15+'Control Room'!$B$15,'Process'!BT4=1),1+('Control Room'!$C$15-1)*EXP(-0.5*(($A492-'Control Room'!$A$15-('Control Room'!$B$15-1)/2)/MAX(0.5,'Control Room'!$B$15/4))^2),1)*IF(AND($A492&gt;='Control Room'!$A$16,$A492&lt;'Control Room'!$A$16+'Control Room'!$B$16,'Process'!BT5=1),1+('Control Room'!$C$16-1)*EXP(-0.5*(($A492-'Control Room'!$A$16-('Control Room'!$B$16-1)/2)/MAX(0.5,'Control Room'!$B$16/4))^2),1)</x:f>
        <x:v>1</x:v>
      </x:c>
      <x:c r="AZ492" s="9" t="n">
        <x:f>MOD(BA491*16807,2147483647)</x:f>
        <x:v>1709349430</x:v>
      </x:c>
      <x:c r="BA492" s="9" t="n">
        <x:f>MOD(AZ492*16807,2147483647)</x:f>
        <x:v>2147124091</x:v>
      </x:c>
      <x:c r="BB492" s="17" t="n">
        <x:f>IF('Control Room'!$B$5="Normal",'Control Room'!$B$7+'Control Room'!$D$7*SQRT(-2*LN(MAX(0.000000000001,AZ492/2147483647)))*COS(2*PI()*BA492/2147483647),'Control Room'!$B$8+('Control Room'!$D$8-'Control Room'!$B$8)*AZ492/2147483647)</x:f>
        <x:v>1060.7994678036582</x:v>
      </x:c>
      <x:c r="BC492" s="17" t="n">
        <x:f>IF('Control Room'!$B$5="Normal",'Control Room'!$B$7,('Control Room'!$B$8+'Control Room'!$D$8)/2)+'Control Room'!$B$9*(BC491-IF('Control Room'!$B$5="Normal",'Control Room'!$B$7,('Control Room'!$B$8+'Control Room'!$D$8)/2))+SQRT(1-'Control Room'!$B$9^2)*(BB492-IF('Control Room'!$B$5="Normal",'Control Room'!$B$7,('Control Room'!$B$8+'Control Room'!$D$8)/2))</x:f>
        <x:v>981.6681970792368</x:v>
      </x:c>
      <x:c r="BD492" s="17" t="n">
        <x:f>IF(AND($A492&gt;='Control Room'!$A$13,$A492&lt;'Control Room'!$A$13+'Control Room'!$B$13,'Process'!BU2=1),1+('Control Room'!$C$13-1)*EXP(-0.5*(($A492-'Control Room'!$A$13-('Control Room'!$B$13-1)/2)/MAX(0.5,'Control Room'!$B$13/4))^2),1)*IF(AND($A492&gt;='Control Room'!$A$14,$A492&lt;'Control Room'!$A$14+'Control Room'!$B$14,'Process'!BU3=1),1+('Control Room'!$C$14-1)*EXP(-0.5*(($A492-'Control Room'!$A$14-('Control Room'!$B$14-1)/2)/MAX(0.5,'Control Room'!$B$14/4))^2),1)*IF(AND($A492&gt;='Control Room'!$A$15,$A492&lt;'Control Room'!$A$15+'Control Room'!$B$15,'Process'!BU4=1),1+('Control Room'!$C$15-1)*EXP(-0.5*(($A492-'Control Room'!$A$15-('Control Room'!$B$15-1)/2)/MAX(0.5,'Control Room'!$B$15/4))^2),1)*IF(AND($A492&gt;='Control Room'!$A$16,$A492&lt;'Control Room'!$A$16+'Control Room'!$B$16,'Process'!BU5=1),1+('Control Room'!$C$16-1)*EXP(-0.5*(($A492-'Control Room'!$A$16-('Control Room'!$B$16-1)/2)/MAX(0.5,'Control Room'!$B$16/4))^2),1)</x:f>
        <x:v>1</x:v>
      </x:c>
      <x:c r="BE492" s="9" t="n">
        <x:f>MOD(BF491*16807,2147483647)</x:f>
        <x:v>1341496692</x:v>
      </x:c>
      <x:c r="BF492" s="9" t="n">
        <x:f>MOD(BE492*16807,2147483647)</x:f>
        <x:v>104092591</x:v>
      </x:c>
      <x:c r="BG492" s="17" t="n">
        <x:f>IF('Control Room'!$B$5="Normal",'Control Room'!$B$7+'Control Room'!$D$7*SQRT(-2*LN(MAX(0.000000000001,BE492/2147483647)))*COS(2*PI()*BF492/2147483647),'Control Room'!$B$8+('Control Room'!$D$8-'Control Room'!$B$8)*BE492/2147483647)</x:f>
        <x:v>1083.2878061521747</x:v>
      </x:c>
      <x:c r="BH492" s="17" t="n">
        <x:f>IF('Control Room'!$B$5="Normal",'Control Room'!$B$7,('Control Room'!$B$8+'Control Room'!$D$8)/2)+'Control Room'!$B$9*(BH491-IF('Control Room'!$B$5="Normal",'Control Room'!$B$7,('Control Room'!$B$8+'Control Room'!$D$8)/2))+SQRT(1-'Control Room'!$B$9^2)*(BG492-IF('Control Room'!$B$5="Normal",'Control Room'!$B$7,('Control Room'!$B$8+'Control Room'!$D$8)/2))</x:f>
        <x:v>945.2090370498172</x:v>
      </x:c>
      <x:c r="BI492" s="17" t="n">
        <x:f>IF(AND($A492&gt;='Control Room'!$A$13,$A492&lt;'Control Room'!$A$13+'Control Room'!$B$13,'Process'!BV2=1),1+('Control Room'!$C$13-1)*EXP(-0.5*(($A492-'Control Room'!$A$13-('Control Room'!$B$13-1)/2)/MAX(0.5,'Control Room'!$B$13/4))^2),1)*IF(AND($A492&gt;='Control Room'!$A$14,$A492&lt;'Control Room'!$A$14+'Control Room'!$B$14,'Process'!BV3=1),1+('Control Room'!$C$14-1)*EXP(-0.5*(($A492-'Control Room'!$A$14-('Control Room'!$B$14-1)/2)/MAX(0.5,'Control Room'!$B$14/4))^2),1)*IF(AND($A492&gt;='Control Room'!$A$15,$A492&lt;'Control Room'!$A$15+'Control Room'!$B$15,'Process'!BV4=1),1+('Control Room'!$C$15-1)*EXP(-0.5*(($A492-'Control Room'!$A$15-('Control Room'!$B$15-1)/2)/MAX(0.5,'Control Room'!$B$15/4))^2),1)*IF(AND($A492&gt;='Control Room'!$A$16,$A492&lt;'Control Room'!$A$16+'Control Room'!$B$16,'Process'!BV5=1),1+('Control Room'!$C$16-1)*EXP(-0.5*(($A492-'Control Room'!$A$16-('Control Room'!$B$16-1)/2)/MAX(0.5,'Control Room'!$B$16/4))^2),1)</x:f>
        <x:v>1</x:v>
      </x:c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Z492" t="str">
        <x:f>IF('Data'!A492="","",TEXT('Data'!A492,"mm-dd"))</x:f>
      </x:c>
    </x:row>
    <x:row r="493" ht="21" customHeight="1">
      <x:c r="A493" s="15" t="n">
        <x:f>'Control Room'!$B$1+491</x:f>
        <x:v>73482</x:v>
      </x:c>
      <x:c r="B493" s="9" t="n">
        <x:f>MOD(C492*16807,2147483647)</x:f>
        <x:v>805861184</x:v>
      </x:c>
      <x:c r="C493" s="9" t="n">
        <x:f>MOD(B493*16807,2147483647)</x:f>
        <x:v>2077041506</x:v>
      </x:c>
      <x:c r="D493" s="17" t="n">
        <x:f>IF('Control Room'!$B$5="Normal",'Control Room'!$B$7+'Control Room'!$D$7*SQRT(-2*LN(MAX(0.000000000001,B493/2147483647)))*COS(2*PI()*C493/2147483647),'Control Room'!$B$8+('Control Room'!$D$8-'Control Room'!$B$8)*B493/2147483647)</x:f>
        <x:v>1123.3421823892168</x:v>
      </x:c>
      <x:c r="E493" s="17" t="n">
        <x:f>IF('Control Room'!$B$5="Normal",'Control Room'!$B$7,('Control Room'!$B$8+'Control Room'!$D$8)/2)+'Control Room'!$B$9*(E492-IF('Control Room'!$B$5="Normal",'Control Room'!$B$7,('Control Room'!$B$8+'Control Room'!$D$8)/2))+SQRT(1-'Control Room'!$B$9^2)*(D493-IF('Control Room'!$B$5="Normal",'Control Room'!$B$7,('Control Room'!$B$8+'Control Room'!$D$8)/2))</x:f>
        <x:v>1047.1693675285042</x:v>
      </x:c>
      <x:c r="F493" s="17" t="n">
        <x:f>IF(AND($A493&gt;='Control Room'!$A$13,$A493&lt;'Control Room'!$A$13+'Control Room'!$B$13,'Process'!BK2=1),1+('Control Room'!$C$13-1)*EXP(-0.5*(($A493-'Control Room'!$A$13-('Control Room'!$B$13-1)/2)/MAX(0.5,'Control Room'!$B$13/4))^2),1)*IF(AND($A493&gt;='Control Room'!$A$14,$A493&lt;'Control Room'!$A$14+'Control Room'!$B$14,'Process'!BK3=1),1+('Control Room'!$C$14-1)*EXP(-0.5*(($A493-'Control Room'!$A$14-('Control Room'!$B$14-1)/2)/MAX(0.5,'Control Room'!$B$14/4))^2),1)*IF(AND($A493&gt;='Control Room'!$A$15,$A493&lt;'Control Room'!$A$15+'Control Room'!$B$15,'Process'!BK4=1),1+('Control Room'!$C$15-1)*EXP(-0.5*(($A493-'Control Room'!$A$15-('Control Room'!$B$15-1)/2)/MAX(0.5,'Control Room'!$B$15/4))^2),1)*IF(AND($A493&gt;='Control Room'!$A$16,$A493&lt;'Control Room'!$A$16+'Control Room'!$B$16,'Process'!BK5=1),1+('Control Room'!$C$16-1)*EXP(-0.5*(($A493-'Control Room'!$A$16-('Control Room'!$B$16-1)/2)/MAX(0.5,'Control Room'!$B$16/4))^2),1)</x:f>
        <x:v>1</x:v>
      </x:c>
      <x:c r="G493" s="9" t="n">
        <x:f>MOD(H492*16807,2147483647)</x:f>
        <x:v>1838956214</x:v>
      </x:c>
      <x:c r="H493" s="9" t="n">
        <x:f>MOD(G493*16807,2147483647)</x:f>
        <x:v>752441074</x:v>
      </x:c>
      <x:c r="I493" s="17" t="n">
        <x:f>IF('Control Room'!$B$5="Normal",'Control Room'!$B$7+'Control Room'!$D$7*SQRT(-2*LN(MAX(0.000000000001,G493/2147483647)))*COS(2*PI()*H493/2147483647),'Control Room'!$B$8+('Control Room'!$D$8-'Control Room'!$B$8)*G493/2147483647)</x:f>
        <x:v>970.4393616045455</x:v>
      </x:c>
      <x:c r="J493" s="17" t="n">
        <x:f>IF('Control Room'!$B$5="Normal",'Control Room'!$B$7,('Control Room'!$B$8+'Control Room'!$D$8)/2)+'Control Room'!$B$9*(J492-IF('Control Room'!$B$5="Normal",'Control Room'!$B$7,('Control Room'!$B$8+'Control Room'!$D$8)/2))+SQRT(1-'Control Room'!$B$9^2)*(I493-IF('Control Room'!$B$5="Normal",'Control Room'!$B$7,('Control Room'!$B$8+'Control Room'!$D$8)/2))</x:f>
        <x:v>880.7037650987858</x:v>
      </x:c>
      <x:c r="K493" s="17" t="n">
        <x:f>IF(AND($A493&gt;='Control Room'!$A$13,$A493&lt;'Control Room'!$A$13+'Control Room'!$B$13,'Process'!BL2=1),1+('Control Room'!$C$13-1)*EXP(-0.5*(($A493-'Control Room'!$A$13-('Control Room'!$B$13-1)/2)/MAX(0.5,'Control Room'!$B$13/4))^2),1)*IF(AND($A493&gt;='Control Room'!$A$14,$A493&lt;'Control Room'!$A$14+'Control Room'!$B$14,'Process'!BL3=1),1+('Control Room'!$C$14-1)*EXP(-0.5*(($A493-'Control Room'!$A$14-('Control Room'!$B$14-1)/2)/MAX(0.5,'Control Room'!$B$14/4))^2),1)*IF(AND($A493&gt;='Control Room'!$A$15,$A493&lt;'Control Room'!$A$15+'Control Room'!$B$15,'Process'!BL4=1),1+('Control Room'!$C$15-1)*EXP(-0.5*(($A493-'Control Room'!$A$15-('Control Room'!$B$15-1)/2)/MAX(0.5,'Control Room'!$B$15/4))^2),1)*IF(AND($A493&gt;='Control Room'!$A$16,$A493&lt;'Control Room'!$A$16+'Control Room'!$B$16,'Process'!BL5=1),1+('Control Room'!$C$16-1)*EXP(-0.5*(($A493-'Control Room'!$A$16-('Control Room'!$B$16-1)/2)/MAX(0.5,'Control Room'!$B$16/4))^2),1)</x:f>
        <x:v>1</x:v>
      </x:c>
      <x:c r="L493" s="9" t="n">
        <x:f>MOD(M492*16807,2147483647)</x:f>
        <x:v>724567597</x:v>
      </x:c>
      <x:c r="M493" s="9" t="n">
        <x:f>MOD(L493*16807,2147483647)</x:f>
        <x:v>1575324289</x:v>
      </x:c>
      <x:c r="N493" s="17" t="n">
        <x:f>IF('Control Room'!$B$5="Normal",'Control Room'!$B$7+'Control Room'!$D$7*SQRT(-2*LN(MAX(0.000000000001,L493/2147483647)))*COS(2*PI()*M493/2147483647),'Control Room'!$B$8+('Control Room'!$D$8-'Control Room'!$B$8)*L493/2147483647)</x:f>
        <x:v>986.3265399320206</x:v>
      </x:c>
      <x:c r="O493" s="17" t="n">
        <x:f>IF('Control Room'!$B$5="Normal",'Control Room'!$B$7,('Control Room'!$B$8+'Control Room'!$D$8)/2)+'Control Room'!$B$9*(O492-IF('Control Room'!$B$5="Normal",'Control Room'!$B$7,('Control Room'!$B$8+'Control Room'!$D$8)/2))+SQRT(1-'Control Room'!$B$9^2)*(N493-IF('Control Room'!$B$5="Normal",'Control Room'!$B$7,('Control Room'!$B$8+'Control Room'!$D$8)/2))</x:f>
        <x:v>834.1768762932666</x:v>
      </x:c>
      <x:c r="P493" s="17" t="n">
        <x:f>IF(AND($A493&gt;='Control Room'!$A$13,$A493&lt;'Control Room'!$A$13+'Control Room'!$B$13,'Process'!BM2=1),1+('Control Room'!$C$13-1)*EXP(-0.5*(($A493-'Control Room'!$A$13-('Control Room'!$B$13-1)/2)/MAX(0.5,'Control Room'!$B$13/4))^2),1)*IF(AND($A493&gt;='Control Room'!$A$14,$A493&lt;'Control Room'!$A$14+'Control Room'!$B$14,'Process'!BM3=1),1+('Control Room'!$C$14-1)*EXP(-0.5*(($A493-'Control Room'!$A$14-('Control Room'!$B$14-1)/2)/MAX(0.5,'Control Room'!$B$14/4))^2),1)*IF(AND($A493&gt;='Control Room'!$A$15,$A493&lt;'Control Room'!$A$15+'Control Room'!$B$15,'Process'!BM4=1),1+('Control Room'!$C$15-1)*EXP(-0.5*(($A493-'Control Room'!$A$15-('Control Room'!$B$15-1)/2)/MAX(0.5,'Control Room'!$B$15/4))^2),1)*IF(AND($A493&gt;='Control Room'!$A$16,$A493&lt;'Control Room'!$A$16+'Control Room'!$B$16,'Process'!BM5=1),1+('Control Room'!$C$16-1)*EXP(-0.5*(($A493-'Control Room'!$A$16-('Control Room'!$B$16-1)/2)/MAX(0.5,'Control Room'!$B$16/4))^2),1)</x:f>
        <x:v>1</x:v>
      </x:c>
      <x:c r="Q493" s="9" t="n">
        <x:f>MOD(R492*16807,2147483647)</x:f>
        <x:v>1757662627</x:v>
      </x:c>
      <x:c r="R493" s="9" t="n">
        <x:f>MOD(Q493*16807,2147483647)</x:f>
        <x:v>250723857</x:v>
      </x:c>
      <x:c r="S493" s="17" t="n">
        <x:f>IF('Control Room'!$B$5="Normal",'Control Room'!$B$7+'Control Room'!$D$7*SQRT(-2*LN(MAX(0.000000000001,Q493/2147483647)))*COS(2*PI()*R493/2147483647),'Control Room'!$B$8+('Control Room'!$D$8-'Control Room'!$B$8)*Q493/2147483647)</x:f>
        <x:v>1042.3129769310192</x:v>
      </x:c>
      <x:c r="T493" s="17" t="n">
        <x:f>IF('Control Room'!$B$5="Normal",'Control Room'!$B$7,('Control Room'!$B$8+'Control Room'!$D$8)/2)+'Control Room'!$B$9*(T492-IF('Control Room'!$B$5="Normal",'Control Room'!$B$7,('Control Room'!$B$8+'Control Room'!$D$8)/2))+SQRT(1-'Control Room'!$B$9^2)*(S493-IF('Control Room'!$B$5="Normal",'Control Room'!$B$7,('Control Room'!$B$8+'Control Room'!$D$8)/2))</x:f>
        <x:v>1087.5555812595876</x:v>
      </x:c>
      <x:c r="U493" s="17" t="n">
        <x:f>IF(AND($A493&gt;='Control Room'!$A$13,$A493&lt;'Control Room'!$A$13+'Control Room'!$B$13,'Process'!BN2=1),1+('Control Room'!$C$13-1)*EXP(-0.5*(($A493-'Control Room'!$A$13-('Control Room'!$B$13-1)/2)/MAX(0.5,'Control Room'!$B$13/4))^2),1)*IF(AND($A493&gt;='Control Room'!$A$14,$A493&lt;'Control Room'!$A$14+'Control Room'!$B$14,'Process'!BN3=1),1+('Control Room'!$C$14-1)*EXP(-0.5*(($A493-'Control Room'!$A$14-('Control Room'!$B$14-1)/2)/MAX(0.5,'Control Room'!$B$14/4))^2),1)*IF(AND($A493&gt;='Control Room'!$A$15,$A493&lt;'Control Room'!$A$15+'Control Room'!$B$15,'Process'!BN4=1),1+('Control Room'!$C$15-1)*EXP(-0.5*(($A493-'Control Room'!$A$15-('Control Room'!$B$15-1)/2)/MAX(0.5,'Control Room'!$B$15/4))^2),1)*IF(AND($A493&gt;='Control Room'!$A$16,$A493&lt;'Control Room'!$A$16+'Control Room'!$B$16,'Process'!BN5=1),1+('Control Room'!$C$16-1)*EXP(-0.5*(($A493-'Control Room'!$A$16-('Control Room'!$B$16-1)/2)/MAX(0.5,'Control Room'!$B$16/4))^2),1)</x:f>
        <x:v>1</x:v>
      </x:c>
      <x:c r="V493" s="9" t="n">
        <x:f>MOD(W492*16807,2147483647)</x:f>
        <x:v>643274010</x:v>
      </x:c>
      <x:c r="W493" s="9" t="n">
        <x:f>MOD(V493*16807,2147483647)</x:f>
        <x:v>1073607072</x:v>
      </x:c>
      <x:c r="X493" s="17" t="n">
        <x:f>IF('Control Room'!$B$5="Normal",'Control Room'!$B$7+'Control Room'!$D$7*SQRT(-2*LN(MAX(0.000000000001,V493/2147483647)))*COS(2*PI()*W493/2147483647),'Control Room'!$B$8+('Control Room'!$D$8-'Control Room'!$B$8)*V493/2147483647)</x:f>
        <x:v>860.2545406281703</x:v>
      </x:c>
      <x:c r="Y493" s="17" t="n">
        <x:f>IF('Control Room'!$B$5="Normal",'Control Room'!$B$7,('Control Room'!$B$8+'Control Room'!$D$8)/2)+'Control Room'!$B$9*(Y492-IF('Control Room'!$B$5="Normal",'Control Room'!$B$7,('Control Room'!$B$8+'Control Room'!$D$8)/2))+SQRT(1-'Control Room'!$B$9^2)*(X493-IF('Control Room'!$B$5="Normal",'Control Room'!$B$7,('Control Room'!$B$8+'Control Room'!$D$8)/2))</x:f>
        <x:v>881.7161114665464</x:v>
      </x:c>
      <x:c r="Z493" s="17" t="n">
        <x:f>IF(AND($A493&gt;='Control Room'!$A$13,$A493&lt;'Control Room'!$A$13+'Control Room'!$B$13,'Process'!BO2=1),1+('Control Room'!$C$13-1)*EXP(-0.5*(($A493-'Control Room'!$A$13-('Control Room'!$B$13-1)/2)/MAX(0.5,'Control Room'!$B$13/4))^2),1)*IF(AND($A493&gt;='Control Room'!$A$14,$A493&lt;'Control Room'!$A$14+'Control Room'!$B$14,'Process'!BO3=1),1+('Control Room'!$C$14-1)*EXP(-0.5*(($A493-'Control Room'!$A$14-('Control Room'!$B$14-1)/2)/MAX(0.5,'Control Room'!$B$14/4))^2),1)*IF(AND($A493&gt;='Control Room'!$A$15,$A493&lt;'Control Room'!$A$15+'Control Room'!$B$15,'Process'!BO4=1),1+('Control Room'!$C$15-1)*EXP(-0.5*(($A493-'Control Room'!$A$15-('Control Room'!$B$15-1)/2)/MAX(0.5,'Control Room'!$B$15/4))^2),1)*IF(AND($A493&gt;='Control Room'!$A$16,$A493&lt;'Control Room'!$A$16+'Control Room'!$B$16,'Process'!BO5=1),1+('Control Room'!$C$16-1)*EXP(-0.5*(($A493-'Control Room'!$A$16-('Control Room'!$B$16-1)/2)/MAX(0.5,'Control Room'!$B$16/4))^2),1)</x:f>
        <x:v>1</x:v>
      </x:c>
      <x:c r="AA493" s="9" t="n">
        <x:f>MOD(AB492*16807,2147483647)</x:f>
        <x:v>1676369040</x:v>
      </x:c>
      <x:c r="AB493" s="9" t="n">
        <x:f>MOD(AA493*16807,2147483647)</x:f>
        <x:v>1896490287</x:v>
      </x:c>
      <x:c r="AC493" s="17" t="n">
        <x:f>IF('Control Room'!$B$5="Normal",'Control Room'!$B$7+'Control Room'!$D$7*SQRT(-2*LN(MAX(0.000000000001,AA493/2147483647)))*COS(2*PI()*AB493/2147483647),'Control Room'!$B$8+('Control Room'!$D$8-'Control Room'!$B$8)*AA493/2147483647)</x:f>
        <x:v>1047.0159278516276</x:v>
      </x:c>
      <x:c r="AD493" s="17" t="n">
        <x:f>IF('Control Room'!$B$5="Normal",'Control Room'!$B$7,('Control Room'!$B$8+'Control Room'!$D$8)/2)+'Control Room'!$B$9*(AD492-IF('Control Room'!$B$5="Normal",'Control Room'!$B$7,('Control Room'!$B$8+'Control Room'!$D$8)/2))+SQRT(1-'Control Room'!$B$9^2)*(AC493-IF('Control Room'!$B$5="Normal",'Control Room'!$B$7,('Control Room'!$B$8+'Control Room'!$D$8)/2))</x:f>
        <x:v>1038.8814683798614</x:v>
      </x:c>
      <x:c r="AE493" s="17" t="n">
        <x:f>IF(AND($A493&gt;='Control Room'!$A$13,$A493&lt;'Control Room'!$A$13+'Control Room'!$B$13,'Process'!BP2=1),1+('Control Room'!$C$13-1)*EXP(-0.5*(($A493-'Control Room'!$A$13-('Control Room'!$B$13-1)/2)/MAX(0.5,'Control Room'!$B$13/4))^2),1)*IF(AND($A493&gt;='Control Room'!$A$14,$A493&lt;'Control Room'!$A$14+'Control Room'!$B$14,'Process'!BP3=1),1+('Control Room'!$C$14-1)*EXP(-0.5*(($A493-'Control Room'!$A$14-('Control Room'!$B$14-1)/2)/MAX(0.5,'Control Room'!$B$14/4))^2),1)*IF(AND($A493&gt;='Control Room'!$A$15,$A493&lt;'Control Room'!$A$15+'Control Room'!$B$15,'Process'!BP4=1),1+('Control Room'!$C$15-1)*EXP(-0.5*(($A493-'Control Room'!$A$15-('Control Room'!$B$15-1)/2)/MAX(0.5,'Control Room'!$B$15/4))^2),1)*IF(AND($A493&gt;='Control Room'!$A$16,$A493&lt;'Control Room'!$A$16+'Control Room'!$B$16,'Process'!BP5=1),1+('Control Room'!$C$16-1)*EXP(-0.5*(($A493-'Control Room'!$A$16-('Control Room'!$B$16-1)/2)/MAX(0.5,'Control Room'!$B$16/4))^2),1)</x:f>
        <x:v>1</x:v>
      </x:c>
      <x:c r="AF493" s="9" t="n">
        <x:f>MOD(AG492*16807,2147483647)</x:f>
        <x:v>561980423</x:v>
      </x:c>
      <x:c r="AG493" s="9" t="n">
        <x:f>MOD(AF493*16807,2147483647)</x:f>
        <x:v>571889855</x:v>
      </x:c>
      <x:c r="AH493" s="17" t="n">
        <x:f>IF('Control Room'!$B$5="Normal",'Control Room'!$B$7+'Control Room'!$D$7*SQRT(-2*LN(MAX(0.000000000001,AF493/2147483647)))*COS(2*PI()*AG493/2147483647),'Control Room'!$B$8+('Control Room'!$D$8-'Control Room'!$B$8)*AF493/2147483647)</x:f>
        <x:v>984.9270731095354</x:v>
      </x:c>
      <x:c r="AI493" s="17" t="n">
        <x:f>IF('Control Room'!$B$5="Normal",'Control Room'!$B$7,('Control Room'!$B$8+'Control Room'!$D$8)/2)+'Control Room'!$B$9*(AI492-IF('Control Room'!$B$5="Normal",'Control Room'!$B$7,('Control Room'!$B$8+'Control Room'!$D$8)/2))+SQRT(1-'Control Room'!$B$9^2)*(AH493-IF('Control Room'!$B$5="Normal",'Control Room'!$B$7,('Control Room'!$B$8+'Control Room'!$D$8)/2))</x:f>
        <x:v>1051.4598876412708</x:v>
      </x:c>
      <x:c r="AJ493" s="17" t="n">
        <x:f>IF(AND($A493&gt;='Control Room'!$A$13,$A493&lt;'Control Room'!$A$13+'Control Room'!$B$13,'Process'!BQ2=1),1+('Control Room'!$C$13-1)*EXP(-0.5*(($A493-'Control Room'!$A$13-('Control Room'!$B$13-1)/2)/MAX(0.5,'Control Room'!$B$13/4))^2),1)*IF(AND($A493&gt;='Control Room'!$A$14,$A493&lt;'Control Room'!$A$14+'Control Room'!$B$14,'Process'!BQ3=1),1+('Control Room'!$C$14-1)*EXP(-0.5*(($A493-'Control Room'!$A$14-('Control Room'!$B$14-1)/2)/MAX(0.5,'Control Room'!$B$14/4))^2),1)*IF(AND($A493&gt;='Control Room'!$A$15,$A493&lt;'Control Room'!$A$15+'Control Room'!$B$15,'Process'!BQ4=1),1+('Control Room'!$C$15-1)*EXP(-0.5*(($A493-'Control Room'!$A$15-('Control Room'!$B$15-1)/2)/MAX(0.5,'Control Room'!$B$15/4))^2),1)*IF(AND($A493&gt;='Control Room'!$A$16,$A493&lt;'Control Room'!$A$16+'Control Room'!$B$16,'Process'!BQ5=1),1+('Control Room'!$C$16-1)*EXP(-0.5*(($A493-'Control Room'!$A$16-('Control Room'!$B$16-1)/2)/MAX(0.5,'Control Room'!$B$16/4))^2),1)</x:f>
        <x:v>1</x:v>
      </x:c>
      <x:c r="AK493" s="9" t="n">
        <x:f>MOD(AL492*16807,2147483647)</x:f>
        <x:v>1595075453</x:v>
      </x:c>
      <x:c r="AL493" s="9" t="n">
        <x:f>MOD(AK493*16807,2147483647)</x:f>
        <x:v>1394773070</x:v>
      </x:c>
      <x:c r="AM493" s="17" t="n">
        <x:f>IF('Control Room'!$B$5="Normal",'Control Room'!$B$7+'Control Room'!$D$7*SQRT(-2*LN(MAX(0.000000000001,AK493/2147483647)))*COS(2*PI()*AL493/2147483647),'Control Room'!$B$8+('Control Room'!$D$8-'Control Room'!$B$8)*AK493/2147483647)</x:f>
        <x:v>959.0238483938771</x:v>
      </x:c>
      <x:c r="AN493" s="17" t="n">
        <x:f>IF('Control Room'!$B$5="Normal",'Control Room'!$B$7,('Control Room'!$B$8+'Control Room'!$D$8)/2)+'Control Room'!$B$9*(AN492-IF('Control Room'!$B$5="Normal",'Control Room'!$B$7,('Control Room'!$B$8+'Control Room'!$D$8)/2))+SQRT(1-'Control Room'!$B$9^2)*(AM493-IF('Control Room'!$B$5="Normal",'Control Room'!$B$7,('Control Room'!$B$8+'Control Room'!$D$8)/2))</x:f>
        <x:v>966.7550572110395</x:v>
      </x:c>
      <x:c r="AO493" s="17" t="n">
        <x:f>IF(AND($A493&gt;='Control Room'!$A$13,$A493&lt;'Control Room'!$A$13+'Control Room'!$B$13,'Process'!BR2=1),1+('Control Room'!$C$13-1)*EXP(-0.5*(($A493-'Control Room'!$A$13-('Control Room'!$B$13-1)/2)/MAX(0.5,'Control Room'!$B$13/4))^2),1)*IF(AND($A493&gt;='Control Room'!$A$14,$A493&lt;'Control Room'!$A$14+'Control Room'!$B$14,'Process'!BR3=1),1+('Control Room'!$C$14-1)*EXP(-0.5*(($A493-'Control Room'!$A$14-('Control Room'!$B$14-1)/2)/MAX(0.5,'Control Room'!$B$14/4))^2),1)*IF(AND($A493&gt;='Control Room'!$A$15,$A493&lt;'Control Room'!$A$15+'Control Room'!$B$15,'Process'!BR4=1),1+('Control Room'!$C$15-1)*EXP(-0.5*(($A493-'Control Room'!$A$15-('Control Room'!$B$15-1)/2)/MAX(0.5,'Control Room'!$B$15/4))^2),1)*IF(AND($A493&gt;='Control Room'!$A$16,$A493&lt;'Control Room'!$A$16+'Control Room'!$B$16,'Process'!BR5=1),1+('Control Room'!$C$16-1)*EXP(-0.5*(($A493-'Control Room'!$A$16-('Control Room'!$B$16-1)/2)/MAX(0.5,'Control Room'!$B$16/4))^2),1)</x:f>
        <x:v>1</x:v>
      </x:c>
      <x:c r="AP493" s="9" t="n">
        <x:f>MOD(AQ492*16807,2147483647)</x:f>
        <x:v>480686836</x:v>
      </x:c>
      <x:c r="AQ493" s="9" t="n">
        <x:f>MOD(AP493*16807,2147483647)</x:f>
        <x:v>70172638</x:v>
      </x:c>
      <x:c r="AR493" s="17" t="n">
        <x:f>IF('Control Room'!$B$5="Normal",'Control Room'!$B$7+'Control Room'!$D$7*SQRT(-2*LN(MAX(0.000000000001,AP493/2147483647)))*COS(2*PI()*AQ493/2147483647),'Control Room'!$B$8+('Control Room'!$D$8-'Control Room'!$B$8)*AP493/2147483647)</x:f>
        <x:v>1152.4495072093316</x:v>
      </x:c>
      <x:c r="AS493" s="17" t="n">
        <x:f>IF('Control Room'!$B$5="Normal",'Control Room'!$B$7,('Control Room'!$B$8+'Control Room'!$D$8)/2)+'Control Room'!$B$9*(AS492-IF('Control Room'!$B$5="Normal",'Control Room'!$B$7,('Control Room'!$B$8+'Control Room'!$D$8)/2))+SQRT(1-'Control Room'!$B$9^2)*(AR493-IF('Control Room'!$B$5="Normal",'Control Room'!$B$7,('Control Room'!$B$8+'Control Room'!$D$8)/2))</x:f>
        <x:v>1246.544941011619</x:v>
      </x:c>
      <x:c r="AT493" s="17" t="n">
        <x:f>IF(AND($A493&gt;='Control Room'!$A$13,$A493&lt;'Control Room'!$A$13+'Control Room'!$B$13,'Process'!BS2=1),1+('Control Room'!$C$13-1)*EXP(-0.5*(($A493-'Control Room'!$A$13-('Control Room'!$B$13-1)/2)/MAX(0.5,'Control Room'!$B$13/4))^2),1)*IF(AND($A493&gt;='Control Room'!$A$14,$A493&lt;'Control Room'!$A$14+'Control Room'!$B$14,'Process'!BS3=1),1+('Control Room'!$C$14-1)*EXP(-0.5*(($A493-'Control Room'!$A$14-('Control Room'!$B$14-1)/2)/MAX(0.5,'Control Room'!$B$14/4))^2),1)*IF(AND($A493&gt;='Control Room'!$A$15,$A493&lt;'Control Room'!$A$15+'Control Room'!$B$15,'Process'!BS4=1),1+('Control Room'!$C$15-1)*EXP(-0.5*(($A493-'Control Room'!$A$15-('Control Room'!$B$15-1)/2)/MAX(0.5,'Control Room'!$B$15/4))^2),1)*IF(AND($A493&gt;='Control Room'!$A$16,$A493&lt;'Control Room'!$A$16+'Control Room'!$B$16,'Process'!BS5=1),1+('Control Room'!$C$16-1)*EXP(-0.5*(($A493-'Control Room'!$A$16-('Control Room'!$B$16-1)/2)/MAX(0.5,'Control Room'!$B$16/4))^2),1)</x:f>
        <x:v>1</x:v>
      </x:c>
      <x:c r="AU493" s="9" t="n">
        <x:f>MOD(AV492*16807,2147483647)</x:f>
        <x:v>1513781866</x:v>
      </x:c>
      <x:c r="AV493" s="9" t="n">
        <x:f>MOD(AU493*16807,2147483647)</x:f>
        <x:v>893055853</x:v>
      </x:c>
      <x:c r="AW493" s="17" t="n">
        <x:f>IF('Control Room'!$B$5="Normal",'Control Room'!$B$7+'Control Room'!$D$7*SQRT(-2*LN(MAX(0.000000000001,AU493/2147483647)))*COS(2*PI()*AV493/2147483647),'Control Room'!$B$8+('Control Room'!$D$8-'Control Room'!$B$8)*AU493/2147483647)</x:f>
        <x:v>935.0093005594495</x:v>
      </x:c>
      <x:c r="AX493" s="17" t="n">
        <x:f>IF('Control Room'!$B$5="Normal",'Control Room'!$B$7,('Control Room'!$B$8+'Control Room'!$D$8)/2)+'Control Room'!$B$9*(AX492-IF('Control Room'!$B$5="Normal",'Control Room'!$B$7,('Control Room'!$B$8+'Control Room'!$D$8)/2))+SQRT(1-'Control Room'!$B$9^2)*(AW493-IF('Control Room'!$B$5="Normal",'Control Room'!$B$7,('Control Room'!$B$8+'Control Room'!$D$8)/2))</x:f>
        <x:v>849.7528382877247</x:v>
      </x:c>
      <x:c r="AY493" s="17" t="n">
        <x:f>IF(AND($A493&gt;='Control Room'!$A$13,$A493&lt;'Control Room'!$A$13+'Control Room'!$B$13,'Process'!BT2=1),1+('Control Room'!$C$13-1)*EXP(-0.5*(($A493-'Control Room'!$A$13-('Control Room'!$B$13-1)/2)/MAX(0.5,'Control Room'!$B$13/4))^2),1)*IF(AND($A493&gt;='Control Room'!$A$14,$A493&lt;'Control Room'!$A$14+'Control Room'!$B$14,'Process'!BT3=1),1+('Control Room'!$C$14-1)*EXP(-0.5*(($A493-'Control Room'!$A$14-('Control Room'!$B$14-1)/2)/MAX(0.5,'Control Room'!$B$14/4))^2),1)*IF(AND($A493&gt;='Control Room'!$A$15,$A493&lt;'Control Room'!$A$15+'Control Room'!$B$15,'Process'!BT4=1),1+('Control Room'!$C$15-1)*EXP(-0.5*(($A493-'Control Room'!$A$15-('Control Room'!$B$15-1)/2)/MAX(0.5,'Control Room'!$B$15/4))^2),1)*IF(AND($A493&gt;='Control Room'!$A$16,$A493&lt;'Control Room'!$A$16+'Control Room'!$B$16,'Process'!BT5=1),1+('Control Room'!$C$16-1)*EXP(-0.5*(($A493-'Control Room'!$A$16-('Control Room'!$B$16-1)/2)/MAX(0.5,'Control Room'!$B$16/4))^2),1)</x:f>
        <x:v>1</x:v>
      </x:c>
      <x:c r="AZ493" s="9" t="n">
        <x:f>MOD(BA492*16807,2147483647)</x:f>
        <x:v>399393249</x:v>
      </x:c>
      <x:c r="BA493" s="9" t="n">
        <x:f>MOD(AZ493*16807,2147483647)</x:f>
        <x:v>1715939068</x:v>
      </x:c>
      <x:c r="BB493" s="17" t="n">
        <x:f>IF('Control Room'!$B$5="Normal",'Control Room'!$B$7+'Control Room'!$D$7*SQRT(-2*LN(MAX(0.000000000001,AZ493/2147483647)))*COS(2*PI()*BA493/2147483647),'Control Room'!$B$8+('Control Room'!$D$8-'Control Room'!$B$8)*AZ493/2147483647)</x:f>
        <x:v>1050.069728848511</x:v>
      </x:c>
      <x:c r="BC493" s="17" t="n">
        <x:f>IF('Control Room'!$B$5="Normal",'Control Room'!$B$7,('Control Room'!$B$8+'Control Room'!$D$8)/2)+'Control Room'!$B$9*(BC492-IF('Control Room'!$B$5="Normal",'Control Room'!$B$7,('Control Room'!$B$8+'Control Room'!$D$8)/2))+SQRT(1-'Control Room'!$B$9^2)*(BB493-IF('Control Room'!$B$5="Normal",'Control Room'!$B$7,('Control Room'!$B$8+'Control Room'!$D$8)/2))</x:f>
        <x:v>1017.0338043010538</x:v>
      </x:c>
      <x:c r="BD493" s="17" t="n">
        <x:f>IF(AND($A493&gt;='Control Room'!$A$13,$A493&lt;'Control Room'!$A$13+'Control Room'!$B$13,'Process'!BU2=1),1+('Control Room'!$C$13-1)*EXP(-0.5*(($A493-'Control Room'!$A$13-('Control Room'!$B$13-1)/2)/MAX(0.5,'Control Room'!$B$13/4))^2),1)*IF(AND($A493&gt;='Control Room'!$A$14,$A493&lt;'Control Room'!$A$14+'Control Room'!$B$14,'Process'!BU3=1),1+('Control Room'!$C$14-1)*EXP(-0.5*(($A493-'Control Room'!$A$14-('Control Room'!$B$14-1)/2)/MAX(0.5,'Control Room'!$B$14/4))^2),1)*IF(AND($A493&gt;='Control Room'!$A$15,$A493&lt;'Control Room'!$A$15+'Control Room'!$B$15,'Process'!BU4=1),1+('Control Room'!$C$15-1)*EXP(-0.5*(($A493-'Control Room'!$A$15-('Control Room'!$B$15-1)/2)/MAX(0.5,'Control Room'!$B$15/4))^2),1)*IF(AND($A493&gt;='Control Room'!$A$16,$A493&lt;'Control Room'!$A$16+'Control Room'!$B$16,'Process'!BU5=1),1+('Control Room'!$C$16-1)*EXP(-0.5*(($A493-'Control Room'!$A$16-('Control Room'!$B$16-1)/2)/MAX(0.5,'Control Room'!$B$16/4))^2),1)</x:f>
        <x:v>1</x:v>
      </x:c>
      <x:c r="BE493" s="9" t="n">
        <x:f>MOD(BF492*16807,2147483647)</x:f>
        <x:v>1432488279</x:v>
      </x:c>
      <x:c r="BF493" s="9" t="n">
        <x:f>MOD(BE493*16807,2147483647)</x:f>
        <x:v>391338636</x:v>
      </x:c>
      <x:c r="BG493" s="17" t="n">
        <x:f>IF('Control Room'!$B$5="Normal",'Control Room'!$B$7+'Control Room'!$D$7*SQRT(-2*LN(MAX(0.000000000001,BE493/2147483647)))*COS(2*PI()*BF493/2147483647),'Control Room'!$B$8+('Control Room'!$D$8-'Control Room'!$B$8)*BE493/2147483647)</x:f>
        <x:v>1033.4524719674405</x:v>
      </x:c>
      <x:c r="BH493" s="17" t="n">
        <x:f>IF('Control Room'!$B$5="Normal",'Control Room'!$B$7,('Control Room'!$B$8+'Control Room'!$D$8)/2)+'Control Room'!$B$9*(BH492-IF('Control Room'!$B$5="Normal",'Control Room'!$B$7,('Control Room'!$B$8+'Control Room'!$D$8)/2))+SQRT(1-'Control Room'!$B$9^2)*(BG493-IF('Control Room'!$B$5="Normal",'Control Room'!$B$7,('Control Room'!$B$8+'Control Room'!$D$8)/2))</x:f>
        <x:v>978.1969205449434</x:v>
      </x:c>
      <x:c r="BI493" s="17" t="n">
        <x:f>IF(AND($A493&gt;='Control Room'!$A$13,$A493&lt;'Control Room'!$A$13+'Control Room'!$B$13,'Process'!BV2=1),1+('Control Room'!$C$13-1)*EXP(-0.5*(($A493-'Control Room'!$A$13-('Control Room'!$B$13-1)/2)/MAX(0.5,'Control Room'!$B$13/4))^2),1)*IF(AND($A493&gt;='Control Room'!$A$14,$A493&lt;'Control Room'!$A$14+'Control Room'!$B$14,'Process'!BV3=1),1+('Control Room'!$C$14-1)*EXP(-0.5*(($A493-'Control Room'!$A$14-('Control Room'!$B$14-1)/2)/MAX(0.5,'Control Room'!$B$14/4))^2),1)*IF(AND($A493&gt;='Control Room'!$A$15,$A493&lt;'Control Room'!$A$15+'Control Room'!$B$15,'Process'!BV4=1),1+('Control Room'!$C$15-1)*EXP(-0.5*(($A493-'Control Room'!$A$15-('Control Room'!$B$15-1)/2)/MAX(0.5,'Control Room'!$B$15/4))^2),1)*IF(AND($A493&gt;='Control Room'!$A$16,$A493&lt;'Control Room'!$A$16+'Control Room'!$B$16,'Process'!BV5=1),1+('Control Room'!$C$16-1)*EXP(-0.5*(($A493-'Control Room'!$A$16-('Control Room'!$B$16-1)/2)/MAX(0.5,'Control Room'!$B$16/4))^2),1)</x:f>
        <x:v>1</x:v>
      </x:c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Z493" t="str">
        <x:f>IF('Data'!A493="","",TEXT('Data'!A493,"mm-dd"))</x:f>
      </x:c>
    </x:row>
    <x:row r="494" ht="21" customHeight="1">
      <x:c r="A494" s="15" t="n">
        <x:f>'Control Room'!$B$1+492</x:f>
        <x:v>73483</x:v>
      </x:c>
      <x:c r="B494" s="9" t="n">
        <x:f>MOD(C493*16807,2147483647)</x:f>
        <x:v>1489909357</x:v>
      </x:c>
      <x:c r="C494" s="9" t="n">
        <x:f>MOD(B494*16807,2147483647)</x:f>
        <x:v>1247239079</x:v>
      </x:c>
      <x:c r="D494" s="17" t="n">
        <x:f>IF('Control Room'!$B$5="Normal",'Control Room'!$B$7+'Control Room'!$D$7*SQRT(-2*LN(MAX(0.000000000001,B494/2147483647)))*COS(2*PI()*C494/2147483647),'Control Room'!$B$8+('Control Room'!$D$8-'Control Room'!$B$8)*B494/2147483647)</x:f>
        <x:v>932.746920333041</x:v>
      </x:c>
      <x:c r="E494" s="17" t="n">
        <x:f>IF('Control Room'!$B$5="Normal",'Control Room'!$B$7,('Control Room'!$B$8+'Control Room'!$D$8)/2)+'Control Room'!$B$9*(E493-IF('Control Room'!$B$5="Normal",'Control Room'!$B$7,('Control Room'!$B$8+'Control Room'!$D$8)/2))+SQRT(1-'Control Room'!$B$9^2)*(D494-IF('Control Room'!$B$5="Normal",'Control Room'!$B$7,('Control Room'!$B$8+'Control Room'!$D$8)/2))</x:f>
        <x:v>994.7065071708749</x:v>
      </x:c>
      <x:c r="F494" s="17" t="n">
        <x:f>IF(AND($A494&gt;='Control Room'!$A$13,$A494&lt;'Control Room'!$A$13+'Control Room'!$B$13,'Process'!BK2=1),1+('Control Room'!$C$13-1)*EXP(-0.5*(($A494-'Control Room'!$A$13-('Control Room'!$B$13-1)/2)/MAX(0.5,'Control Room'!$B$13/4))^2),1)*IF(AND($A494&gt;='Control Room'!$A$14,$A494&lt;'Control Room'!$A$14+'Control Room'!$B$14,'Process'!BK3=1),1+('Control Room'!$C$14-1)*EXP(-0.5*(($A494-'Control Room'!$A$14-('Control Room'!$B$14-1)/2)/MAX(0.5,'Control Room'!$B$14/4))^2),1)*IF(AND($A494&gt;='Control Room'!$A$15,$A494&lt;'Control Room'!$A$15+'Control Room'!$B$15,'Process'!BK4=1),1+('Control Room'!$C$15-1)*EXP(-0.5*(($A494-'Control Room'!$A$15-('Control Room'!$B$15-1)/2)/MAX(0.5,'Control Room'!$B$15/4))^2),1)*IF(AND($A494&gt;='Control Room'!$A$16,$A494&lt;'Control Room'!$A$16+'Control Room'!$B$16,'Process'!BK5=1),1+('Control Room'!$C$16-1)*EXP(-0.5*(($A494-'Control Room'!$A$16-('Control Room'!$B$16-1)/2)/MAX(0.5,'Control Room'!$B$16/4))^2),1)</x:f>
        <x:v>1</x:v>
      </x:c>
      <x:c r="G494" s="9" t="n">
        <x:f>MOD(H493*16807,2147483647)</x:f>
        <x:v>1893417182</x:v>
      </x:c>
      <x:c r="H494" s="9" t="n">
        <x:f>MOD(G494*16807,2147483647)</x:f>
        <x:v>1249896628</x:v>
      </x:c>
      <x:c r="I494" s="17" t="n">
        <x:f>IF('Control Room'!$B$5="Normal",'Control Room'!$B$7+'Control Room'!$D$7*SQRT(-2*LN(MAX(0.000000000001,G494/2147483647)))*COS(2*PI()*H494/2147483647),'Control Room'!$B$8+('Control Room'!$D$8-'Control Room'!$B$8)*G494/2147483647)</x:f>
        <x:v>960.7028842480485</x:v>
      </x:c>
      <x:c r="J494" s="17" t="n">
        <x:f>IF('Control Room'!$B$5="Normal",'Control Room'!$B$7,('Control Room'!$B$8+'Control Room'!$D$8)/2)+'Control Room'!$B$9*(J493-IF('Control Room'!$B$5="Normal",'Control Room'!$B$7,('Control Room'!$B$8+'Control Room'!$D$8)/2))+SQRT(1-'Control Room'!$B$9^2)*(I494-IF('Control Room'!$B$5="Normal",'Control Room'!$B$7,('Control Room'!$B$8+'Control Room'!$D$8)/2))</x:f>
        <x:v>882.357606784656</x:v>
      </x:c>
      <x:c r="K494" s="17" t="n">
        <x:f>IF(AND($A494&gt;='Control Room'!$A$13,$A494&lt;'Control Room'!$A$13+'Control Room'!$B$13,'Process'!BL2=1),1+('Control Room'!$C$13-1)*EXP(-0.5*(($A494-'Control Room'!$A$13-('Control Room'!$B$13-1)/2)/MAX(0.5,'Control Room'!$B$13/4))^2),1)*IF(AND($A494&gt;='Control Room'!$A$14,$A494&lt;'Control Room'!$A$14+'Control Room'!$B$14,'Process'!BL3=1),1+('Control Room'!$C$14-1)*EXP(-0.5*(($A494-'Control Room'!$A$14-('Control Room'!$B$14-1)/2)/MAX(0.5,'Control Room'!$B$14/4))^2),1)*IF(AND($A494&gt;='Control Room'!$A$15,$A494&lt;'Control Room'!$A$15+'Control Room'!$B$15,'Process'!BL4=1),1+('Control Room'!$C$15-1)*EXP(-0.5*(($A494-'Control Room'!$A$15-('Control Room'!$B$15-1)/2)/MAX(0.5,'Control Room'!$B$15/4))^2),1)*IF(AND($A494&gt;='Control Room'!$A$16,$A494&lt;'Control Room'!$A$16+'Control Room'!$B$16,'Process'!BL5=1),1+('Control Room'!$C$16-1)*EXP(-0.5*(($A494-'Control Room'!$A$16-('Control Room'!$B$16-1)/2)/MAX(0.5,'Control Room'!$B$16/4))^2),1)</x:f>
        <x:v>1</x:v>
      </x:c>
      <x:c r="L494" s="9" t="n">
        <x:f>MOD(M493*16807,2147483647)</x:f>
        <x:v>149441360</x:v>
      </x:c>
      <x:c r="M494" s="9" t="n">
        <x:f>MOD(L494*16807,2147483647)</x:f>
        <x:v>1252554177</x:v>
      </x:c>
      <x:c r="N494" s="17" t="n">
        <x:f>IF('Control Room'!$B$5="Normal",'Control Room'!$B$7+'Control Room'!$D$7*SQRT(-2*LN(MAX(0.000000000001,L494/2147483647)))*COS(2*PI()*M494/2147483647),'Control Room'!$B$8+('Control Room'!$D$8-'Control Room'!$B$8)*L494/2147483647)</x:f>
        <x:v>820.007319620654</x:v>
      </x:c>
      <x:c r="O494" s="17" t="n">
        <x:f>IF('Control Room'!$B$5="Normal",'Control Room'!$B$7,('Control Room'!$B$8+'Control Room'!$D$8)/2)+'Control Room'!$B$9*(O493-IF('Control Room'!$B$5="Normal",'Control Room'!$B$7,('Control Room'!$B$8+'Control Room'!$D$8)/2))+SQRT(1-'Control Room'!$B$9^2)*(N494-IF('Control Room'!$B$5="Normal",'Control Room'!$B$7,('Control Room'!$B$8+'Control Room'!$D$8)/2))</x:f>
        <x:v>758.0222314778362</x:v>
      </x:c>
      <x:c r="P494" s="17" t="n">
        <x:f>IF(AND($A494&gt;='Control Room'!$A$13,$A494&lt;'Control Room'!$A$13+'Control Room'!$B$13,'Process'!BM2=1),1+('Control Room'!$C$13-1)*EXP(-0.5*(($A494-'Control Room'!$A$13-('Control Room'!$B$13-1)/2)/MAX(0.5,'Control Room'!$B$13/4))^2),1)*IF(AND($A494&gt;='Control Room'!$A$14,$A494&lt;'Control Room'!$A$14+'Control Room'!$B$14,'Process'!BM3=1),1+('Control Room'!$C$14-1)*EXP(-0.5*(($A494-'Control Room'!$A$14-('Control Room'!$B$14-1)/2)/MAX(0.5,'Control Room'!$B$14/4))^2),1)*IF(AND($A494&gt;='Control Room'!$A$15,$A494&lt;'Control Room'!$A$15+'Control Room'!$B$15,'Process'!BM4=1),1+('Control Room'!$C$15-1)*EXP(-0.5*(($A494-'Control Room'!$A$15-('Control Room'!$B$15-1)/2)/MAX(0.5,'Control Room'!$B$15/4))^2),1)*IF(AND($A494&gt;='Control Room'!$A$16,$A494&lt;'Control Room'!$A$16+'Control Room'!$B$16,'Process'!BM5=1),1+('Control Room'!$C$16-1)*EXP(-0.5*(($A494-'Control Room'!$A$16-('Control Room'!$B$16-1)/2)/MAX(0.5,'Control Room'!$B$16/4))^2),1)</x:f>
        <x:v>1</x:v>
      </x:c>
      <x:c r="Q494" s="9" t="n">
        <x:f>MOD(R493*16807,2147483647)</x:f>
        <x:v>552949185</x:v>
      </x:c>
      <x:c r="R494" s="9" t="n">
        <x:f>MOD(Q494*16807,2147483647)</x:f>
        <x:v>1255211726</x:v>
      </x:c>
      <x:c r="S494" s="17" t="n">
        <x:f>IF('Control Room'!$B$5="Normal",'Control Room'!$B$7+'Control Room'!$D$7*SQRT(-2*LN(MAX(0.000000000001,Q494/2147483647)))*COS(2*PI()*R494/2147483647),'Control Room'!$B$8+('Control Room'!$D$8-'Control Room'!$B$8)*Q494/2147483647)</x:f>
        <x:v>872.1547605386797</x:v>
      </x:c>
      <x:c r="T494" s="17" t="n">
        <x:f>IF('Control Room'!$B$5="Normal",'Control Room'!$B$7,('Control Room'!$B$8+'Control Room'!$D$8)/2)+'Control Room'!$B$9*(T493-IF('Control Room'!$B$5="Normal",'Control Room'!$B$7,('Control Room'!$B$8+'Control Room'!$D$8)/2))+SQRT(1-'Control Room'!$B$9^2)*(S494-IF('Control Room'!$B$5="Normal",'Control Room'!$B$7,('Control Room'!$B$8+'Control Room'!$D$8)/2))</x:f>
        <x:v>988.2904215796725</x:v>
      </x:c>
      <x:c r="U494" s="17" t="n">
        <x:f>IF(AND($A494&gt;='Control Room'!$A$13,$A494&lt;'Control Room'!$A$13+'Control Room'!$B$13,'Process'!BN2=1),1+('Control Room'!$C$13-1)*EXP(-0.5*(($A494-'Control Room'!$A$13-('Control Room'!$B$13-1)/2)/MAX(0.5,'Control Room'!$B$13/4))^2),1)*IF(AND($A494&gt;='Control Room'!$A$14,$A494&lt;'Control Room'!$A$14+'Control Room'!$B$14,'Process'!BN3=1),1+('Control Room'!$C$14-1)*EXP(-0.5*(($A494-'Control Room'!$A$14-('Control Room'!$B$14-1)/2)/MAX(0.5,'Control Room'!$B$14/4))^2),1)*IF(AND($A494&gt;='Control Room'!$A$15,$A494&lt;'Control Room'!$A$15+'Control Room'!$B$15,'Process'!BN4=1),1+('Control Room'!$C$15-1)*EXP(-0.5*(($A494-'Control Room'!$A$15-('Control Room'!$B$15-1)/2)/MAX(0.5,'Control Room'!$B$15/4))^2),1)*IF(AND($A494&gt;='Control Room'!$A$16,$A494&lt;'Control Room'!$A$16+'Control Room'!$B$16,'Process'!BN5=1),1+('Control Room'!$C$16-1)*EXP(-0.5*(($A494-'Control Room'!$A$16-('Control Room'!$B$16-1)/2)/MAX(0.5,'Control Room'!$B$16/4))^2),1)</x:f>
        <x:v>1</x:v>
      </x:c>
      <x:c r="V494" s="9" t="n">
        <x:f>MOD(W493*16807,2147483647)</x:f>
        <x:v>956457010</x:v>
      </x:c>
      <x:c r="W494" s="9" t="n">
        <x:f>MOD(V494*16807,2147483647)</x:f>
        <x:v>1257869275</x:v>
      </x:c>
      <x:c r="X494" s="17" t="n">
        <x:f>IF('Control Room'!$B$5="Normal",'Control Room'!$B$7+'Control Room'!$D$7*SQRT(-2*LN(MAX(0.000000000001,V494/2147483647)))*COS(2*PI()*W494/2147483647),'Control Room'!$B$8+('Control Room'!$D$8-'Control Room'!$B$8)*V494/2147483647)</x:f>
        <x:v>901.7453264940377</x:v>
      </x:c>
      <x:c r="Y494" s="17" t="n">
        <x:f>IF('Control Room'!$B$5="Normal",'Control Room'!$B$7,('Control Room'!$B$8+'Control Room'!$D$8)/2)+'Control Room'!$B$9*(Y493-IF('Control Room'!$B$5="Normal",'Control Room'!$B$7,('Control Room'!$B$8+'Control Room'!$D$8)/2))+SQRT(1-'Control Room'!$B$9^2)*(X494-IF('Control Room'!$B$5="Normal",'Control Room'!$B$7,('Control Room'!$B$8+'Control Room'!$D$8)/2))</x:f>
        <x:v>846.2528051202703</x:v>
      </x:c>
      <x:c r="Z494" s="17" t="n">
        <x:f>IF(AND($A494&gt;='Control Room'!$A$13,$A494&lt;'Control Room'!$A$13+'Control Room'!$B$13,'Process'!BO2=1),1+('Control Room'!$C$13-1)*EXP(-0.5*(($A494-'Control Room'!$A$13-('Control Room'!$B$13-1)/2)/MAX(0.5,'Control Room'!$B$13/4))^2),1)*IF(AND($A494&gt;='Control Room'!$A$14,$A494&lt;'Control Room'!$A$14+'Control Room'!$B$14,'Process'!BO3=1),1+('Control Room'!$C$14-1)*EXP(-0.5*(($A494-'Control Room'!$A$14-('Control Room'!$B$14-1)/2)/MAX(0.5,'Control Room'!$B$14/4))^2),1)*IF(AND($A494&gt;='Control Room'!$A$15,$A494&lt;'Control Room'!$A$15+'Control Room'!$B$15,'Process'!BO4=1),1+('Control Room'!$C$15-1)*EXP(-0.5*(($A494-'Control Room'!$A$15-('Control Room'!$B$15-1)/2)/MAX(0.5,'Control Room'!$B$15/4))^2),1)*IF(AND($A494&gt;='Control Room'!$A$16,$A494&lt;'Control Room'!$A$16+'Control Room'!$B$16,'Process'!BO5=1),1+('Control Room'!$C$16-1)*EXP(-0.5*(($A494-'Control Room'!$A$16-('Control Room'!$B$16-1)/2)/MAX(0.5,'Control Room'!$B$16/4))^2),1)</x:f>
        <x:v>1</x:v>
      </x:c>
      <x:c r="AA494" s="9" t="n">
        <x:f>MOD(AB493*16807,2147483647)</x:f>
        <x:v>1359964835</x:v>
      </x:c>
      <x:c r="AB494" s="9" t="n">
        <x:f>MOD(AA494*16807,2147483647)</x:f>
        <x:v>1260526824</x:v>
      </x:c>
      <x:c r="AC494" s="17" t="n">
        <x:f>IF('Control Room'!$B$5="Normal",'Control Room'!$B$7+'Control Room'!$D$7*SQRT(-2*LN(MAX(0.000000000001,AA494/2147483647)))*COS(2*PI()*AB494/2147483647),'Control Room'!$B$8+('Control Room'!$D$8-'Control Room'!$B$8)*AA494/2147483647)</x:f>
        <x:v>926.5024042505776</x:v>
      </x:c>
      <x:c r="AD494" s="17" t="n">
        <x:f>IF('Control Room'!$B$5="Normal",'Control Room'!$B$7,('Control Room'!$B$8+'Control Room'!$D$8)/2)+'Control Room'!$B$9*(AD493-IF('Control Room'!$B$5="Normal",'Control Room'!$B$7,('Control Room'!$B$8+'Control Room'!$D$8)/2))+SQRT(1-'Control Room'!$B$9^2)*(AC494-IF('Control Room'!$B$5="Normal",'Control Room'!$B$7,('Control Room'!$B$8+'Control Room'!$D$8)/2))</x:f>
        <x:v>984.3342555963933</x:v>
      </x:c>
      <x:c r="AE494" s="17" t="n">
        <x:f>IF(AND($A494&gt;='Control Room'!$A$13,$A494&lt;'Control Room'!$A$13+'Control Room'!$B$13,'Process'!BP2=1),1+('Control Room'!$C$13-1)*EXP(-0.5*(($A494-'Control Room'!$A$13-('Control Room'!$B$13-1)/2)/MAX(0.5,'Control Room'!$B$13/4))^2),1)*IF(AND($A494&gt;='Control Room'!$A$14,$A494&lt;'Control Room'!$A$14+'Control Room'!$B$14,'Process'!BP3=1),1+('Control Room'!$C$14-1)*EXP(-0.5*(($A494-'Control Room'!$A$14-('Control Room'!$B$14-1)/2)/MAX(0.5,'Control Room'!$B$14/4))^2),1)*IF(AND($A494&gt;='Control Room'!$A$15,$A494&lt;'Control Room'!$A$15+'Control Room'!$B$15,'Process'!BP4=1),1+('Control Room'!$C$15-1)*EXP(-0.5*(($A494-'Control Room'!$A$15-('Control Room'!$B$15-1)/2)/MAX(0.5,'Control Room'!$B$15/4))^2),1)*IF(AND($A494&gt;='Control Room'!$A$16,$A494&lt;'Control Room'!$A$16+'Control Room'!$B$16,'Process'!BP5=1),1+('Control Room'!$C$16-1)*EXP(-0.5*(($A494-'Control Room'!$A$16-('Control Room'!$B$16-1)/2)/MAX(0.5,'Control Room'!$B$16/4))^2),1)</x:f>
        <x:v>1</x:v>
      </x:c>
      <x:c r="AF494" s="9" t="n">
        <x:f>MOD(AG493*16807,2147483647)</x:f>
        <x:v>1763472660</x:v>
      </x:c>
      <x:c r="AG494" s="9" t="n">
        <x:f>MOD(AF494*16807,2147483647)</x:f>
        <x:v>1263184373</x:v>
      </x:c>
      <x:c r="AH494" s="17" t="n">
        <x:f>IF('Control Room'!$B$5="Normal",'Control Room'!$B$7+'Control Room'!$D$7*SQRT(-2*LN(MAX(0.000000000001,AF494/2147483647)))*COS(2*PI()*AG494/2147483647),'Control Room'!$B$8+('Control Room'!$D$8-'Control Room'!$B$8)*AF494/2147483647)</x:f>
        <x:v>951.9640965941835</x:v>
      </x:c>
      <x:c r="AI494" s="17" t="n">
        <x:f>IF('Control Room'!$B$5="Normal",'Control Room'!$B$7,('Control Room'!$B$8+'Control Room'!$D$8)/2)+'Control Room'!$B$9*(AI493-IF('Control Room'!$B$5="Normal",'Control Room'!$B$7,('Control Room'!$B$8+'Control Room'!$D$8)/2))+SQRT(1-'Control Room'!$B$9^2)*(AH494-IF('Control Room'!$B$5="Normal",'Control Room'!$B$7,('Control Room'!$B$8+'Control Room'!$D$8)/2))</x:f>
        <x:v>1010.0788280778014</x:v>
      </x:c>
      <x:c r="AJ494" s="17" t="n">
        <x:f>IF(AND($A494&gt;='Control Room'!$A$13,$A494&lt;'Control Room'!$A$13+'Control Room'!$B$13,'Process'!BQ2=1),1+('Control Room'!$C$13-1)*EXP(-0.5*(($A494-'Control Room'!$A$13-('Control Room'!$B$13-1)/2)/MAX(0.5,'Control Room'!$B$13/4))^2),1)*IF(AND($A494&gt;='Control Room'!$A$14,$A494&lt;'Control Room'!$A$14+'Control Room'!$B$14,'Process'!BQ3=1),1+('Control Room'!$C$14-1)*EXP(-0.5*(($A494-'Control Room'!$A$14-('Control Room'!$B$14-1)/2)/MAX(0.5,'Control Room'!$B$14/4))^2),1)*IF(AND($A494&gt;='Control Room'!$A$15,$A494&lt;'Control Room'!$A$15+'Control Room'!$B$15,'Process'!BQ4=1),1+('Control Room'!$C$15-1)*EXP(-0.5*(($A494-'Control Room'!$A$15-('Control Room'!$B$15-1)/2)/MAX(0.5,'Control Room'!$B$15/4))^2),1)*IF(AND($A494&gt;='Control Room'!$A$16,$A494&lt;'Control Room'!$A$16+'Control Room'!$B$16,'Process'!BQ5=1),1+('Control Room'!$C$16-1)*EXP(-0.5*(($A494-'Control Room'!$A$16-('Control Room'!$B$16-1)/2)/MAX(0.5,'Control Room'!$B$16/4))^2),1)</x:f>
        <x:v>1</x:v>
      </x:c>
      <x:c r="AK494" s="9" t="n">
        <x:f>MOD(AL493*16807,2147483647)</x:f>
        <x:v>19496838</x:v>
      </x:c>
      <x:c r="AL494" s="9" t="n">
        <x:f>MOD(AK494*16807,2147483647)</x:f>
        <x:v>1265841922</x:v>
      </x:c>
      <x:c r="AM494" s="17" t="n">
        <x:f>IF('Control Room'!$B$5="Normal",'Control Room'!$B$7+'Control Room'!$D$7*SQRT(-2*LN(MAX(0.000000000001,AK494/2147483647)))*COS(2*PI()*AL494/2147483647),'Control Room'!$B$8+('Control Room'!$D$8-'Control Room'!$B$8)*AK494/2147483647)</x:f>
        <x:v>766.4696196330106</x:v>
      </x:c>
      <x:c r="AN494" s="17" t="n">
        <x:f>IF('Control Room'!$B$5="Normal",'Control Room'!$B$7,('Control Room'!$B$8+'Control Room'!$D$8)/2)+'Control Room'!$B$9*(AN493-IF('Control Room'!$B$5="Normal",'Control Room'!$B$7,('Control Room'!$B$8+'Control Room'!$D$8)/2))+SQRT(1-'Control Room'!$B$9^2)*(AM494-IF('Control Room'!$B$5="Normal",'Control Room'!$B$7,('Control Room'!$B$8+'Control Room'!$D$8)/2))</x:f>
        <x:v>827.9304167208313</x:v>
      </x:c>
      <x:c r="AO494" s="17" t="n">
        <x:f>IF(AND($A494&gt;='Control Room'!$A$13,$A494&lt;'Control Room'!$A$13+'Control Room'!$B$13,'Process'!BR2=1),1+('Control Room'!$C$13-1)*EXP(-0.5*(($A494-'Control Room'!$A$13-('Control Room'!$B$13-1)/2)/MAX(0.5,'Control Room'!$B$13/4))^2),1)*IF(AND($A494&gt;='Control Room'!$A$14,$A494&lt;'Control Room'!$A$14+'Control Room'!$B$14,'Process'!BR3=1),1+('Control Room'!$C$14-1)*EXP(-0.5*(($A494-'Control Room'!$A$14-('Control Room'!$B$14-1)/2)/MAX(0.5,'Control Room'!$B$14/4))^2),1)*IF(AND($A494&gt;='Control Room'!$A$15,$A494&lt;'Control Room'!$A$15+'Control Room'!$B$15,'Process'!BR4=1),1+('Control Room'!$C$15-1)*EXP(-0.5*(($A494-'Control Room'!$A$15-('Control Room'!$B$15-1)/2)/MAX(0.5,'Control Room'!$B$15/4))^2),1)*IF(AND($A494&gt;='Control Room'!$A$16,$A494&lt;'Control Room'!$A$16+'Control Room'!$B$16,'Process'!BR5=1),1+('Control Room'!$C$16-1)*EXP(-0.5*(($A494-'Control Room'!$A$16-('Control Room'!$B$16-1)/2)/MAX(0.5,'Control Room'!$B$16/4))^2),1)</x:f>
        <x:v>1</x:v>
      </x:c>
      <x:c r="AP494" s="9" t="n">
        <x:f>MOD(AQ493*16807,2147483647)</x:f>
        <x:v>423004663</x:v>
      </x:c>
      <x:c r="AQ494" s="9" t="n">
        <x:f>MOD(AP494*16807,2147483647)</x:f>
        <x:v>1268499471</x:v>
      </x:c>
      <x:c r="AR494" s="17" t="n">
        <x:f>IF('Control Room'!$B$5="Normal",'Control Room'!$B$7+'Control Room'!$D$7*SQRT(-2*LN(MAX(0.000000000001,AP494/2147483647)))*COS(2*PI()*AQ494/2147483647),'Control Room'!$B$8+('Control Room'!$D$8-'Control Room'!$B$8)*AP494/2147483647)</x:f>
        <x:v>863.4006772687301</x:v>
      </x:c>
      <x:c r="AS494" s="17" t="n">
        <x:f>IF('Control Room'!$B$5="Normal",'Control Room'!$B$7,('Control Room'!$B$8+'Control Room'!$D$8)/2)+'Control Room'!$B$9*(AS493-IF('Control Room'!$B$5="Normal",'Control Room'!$B$7,('Control Room'!$B$8+'Control Room'!$D$8)/2))+SQRT(1-'Control Room'!$B$9^2)*(AR494-IF('Control Room'!$B$5="Normal",'Control Room'!$B$7,('Control Room'!$B$8+'Control Room'!$D$8)/2))</x:f>
        <x:v>1106.8239962130663</x:v>
      </x:c>
      <x:c r="AT494" s="17" t="n">
        <x:f>IF(AND($A494&gt;='Control Room'!$A$13,$A494&lt;'Control Room'!$A$13+'Control Room'!$B$13,'Process'!BS2=1),1+('Control Room'!$C$13-1)*EXP(-0.5*(($A494-'Control Room'!$A$13-('Control Room'!$B$13-1)/2)/MAX(0.5,'Control Room'!$B$13/4))^2),1)*IF(AND($A494&gt;='Control Room'!$A$14,$A494&lt;'Control Room'!$A$14+'Control Room'!$B$14,'Process'!BS3=1),1+('Control Room'!$C$14-1)*EXP(-0.5*(($A494-'Control Room'!$A$14-('Control Room'!$B$14-1)/2)/MAX(0.5,'Control Room'!$B$14/4))^2),1)*IF(AND($A494&gt;='Control Room'!$A$15,$A494&lt;'Control Room'!$A$15+'Control Room'!$B$15,'Process'!BS4=1),1+('Control Room'!$C$15-1)*EXP(-0.5*(($A494-'Control Room'!$A$15-('Control Room'!$B$15-1)/2)/MAX(0.5,'Control Room'!$B$15/4))^2),1)*IF(AND($A494&gt;='Control Room'!$A$16,$A494&lt;'Control Room'!$A$16+'Control Room'!$B$16,'Process'!BS5=1),1+('Control Room'!$C$16-1)*EXP(-0.5*(($A494-'Control Room'!$A$16-('Control Room'!$B$16-1)/2)/MAX(0.5,'Control Room'!$B$16/4))^2),1)</x:f>
        <x:v>1</x:v>
      </x:c>
      <x:c r="AU494" s="9" t="n">
        <x:f>MOD(AV493*16807,2147483647)</x:f>
        <x:v>826512488</x:v>
      </x:c>
      <x:c r="AV494" s="9" t="n">
        <x:f>MOD(AU494*16807,2147483647)</x:f>
        <x:v>1271157020</x:v>
      </x:c>
      <x:c r="AW494" s="17" t="n">
        <x:f>IF('Control Room'!$B$5="Normal",'Control Room'!$B$7+'Control Room'!$D$7*SQRT(-2*LN(MAX(0.000000000001,AU494/2147483647)))*COS(2*PI()*AV494/2147483647),'Control Room'!$B$8+('Control Room'!$D$8-'Control Room'!$B$8)*AU494/2147483647)</x:f>
        <x:v>895.8046100113484</x:v>
      </x:c>
      <x:c r="AX494" s="17" t="n">
        <x:f>IF('Control Room'!$B$5="Normal",'Control Room'!$B$7,('Control Room'!$B$8+'Control Room'!$D$8)/2)+'Control Room'!$B$9*(AX493-IF('Control Room'!$B$5="Normal",'Control Room'!$B$7,('Control Room'!$B$8+'Control Room'!$D$8)/2))+SQRT(1-'Control Room'!$B$9^2)*(AW494-IF('Control Room'!$B$5="Normal",'Control Room'!$B$7,('Control Room'!$B$8+'Control Room'!$D$8)/2))</x:f>
        <x:v>817.6038733681145</x:v>
      </x:c>
      <x:c r="AY494" s="17" t="n">
        <x:f>IF(AND($A494&gt;='Control Room'!$A$13,$A494&lt;'Control Room'!$A$13+'Control Room'!$B$13,'Process'!BT2=1),1+('Control Room'!$C$13-1)*EXP(-0.5*(($A494-'Control Room'!$A$13-('Control Room'!$B$13-1)/2)/MAX(0.5,'Control Room'!$B$13/4))^2),1)*IF(AND($A494&gt;='Control Room'!$A$14,$A494&lt;'Control Room'!$A$14+'Control Room'!$B$14,'Process'!BT3=1),1+('Control Room'!$C$14-1)*EXP(-0.5*(($A494-'Control Room'!$A$14-('Control Room'!$B$14-1)/2)/MAX(0.5,'Control Room'!$B$14/4))^2),1)*IF(AND($A494&gt;='Control Room'!$A$15,$A494&lt;'Control Room'!$A$15+'Control Room'!$B$15,'Process'!BT4=1),1+('Control Room'!$C$15-1)*EXP(-0.5*(($A494-'Control Room'!$A$15-('Control Room'!$B$15-1)/2)/MAX(0.5,'Control Room'!$B$15/4))^2),1)*IF(AND($A494&gt;='Control Room'!$A$16,$A494&lt;'Control Room'!$A$16+'Control Room'!$B$16,'Process'!BT5=1),1+('Control Room'!$C$16-1)*EXP(-0.5*(($A494-'Control Room'!$A$16-('Control Room'!$B$16-1)/2)/MAX(0.5,'Control Room'!$B$16/4))^2),1)</x:f>
        <x:v>1</x:v>
      </x:c>
      <x:c r="AZ494" s="9" t="n">
        <x:f>MOD(BA493*16807,2147483647)</x:f>
        <x:v>1230020313</x:v>
      </x:c>
      <x:c r="BA494" s="9" t="n">
        <x:f>MOD(AZ494*16807,2147483647)</x:f>
        <x:v>1273814569</x:v>
      </x:c>
      <x:c r="BB494" s="17" t="n">
        <x:f>IF('Control Room'!$B$5="Normal",'Control Room'!$B$7+'Control Room'!$D$7*SQRT(-2*LN(MAX(0.000000000001,AZ494/2147483647)))*COS(2*PI()*BA494/2147483647),'Control Room'!$B$8+('Control Room'!$D$8-'Control Room'!$B$8)*AZ494/2147483647)</x:f>
        <x:v>920.8054064324222</x:v>
      </x:c>
      <x:c r="BC494" s="17" t="n">
        <x:f>IF('Control Room'!$B$5="Normal",'Control Room'!$B$7,('Control Room'!$B$8+'Control Room'!$D$8)/2)+'Control Room'!$B$9*(BC493-IF('Control Room'!$B$5="Normal",'Control Room'!$B$7,('Control Room'!$B$8+'Control Room'!$D$8)/2))+SQRT(1-'Control Room'!$B$9^2)*(BB494-IF('Control Room'!$B$5="Normal",'Control Room'!$B$7,('Control Room'!$B$8+'Control Room'!$D$8)/2))</x:f>
        <x:v>963.7280130896658</x:v>
      </x:c>
      <x:c r="BD494" s="17" t="n">
        <x:f>IF(AND($A494&gt;='Control Room'!$A$13,$A494&lt;'Control Room'!$A$13+'Control Room'!$B$13,'Process'!BU2=1),1+('Control Room'!$C$13-1)*EXP(-0.5*(($A494-'Control Room'!$A$13-('Control Room'!$B$13-1)/2)/MAX(0.5,'Control Room'!$B$13/4))^2),1)*IF(AND($A494&gt;='Control Room'!$A$14,$A494&lt;'Control Room'!$A$14+'Control Room'!$B$14,'Process'!BU3=1),1+('Control Room'!$C$14-1)*EXP(-0.5*(($A494-'Control Room'!$A$14-('Control Room'!$B$14-1)/2)/MAX(0.5,'Control Room'!$B$14/4))^2),1)*IF(AND($A494&gt;='Control Room'!$A$15,$A494&lt;'Control Room'!$A$15+'Control Room'!$B$15,'Process'!BU4=1),1+('Control Room'!$C$15-1)*EXP(-0.5*(($A494-'Control Room'!$A$15-('Control Room'!$B$15-1)/2)/MAX(0.5,'Control Room'!$B$15/4))^2),1)*IF(AND($A494&gt;='Control Room'!$A$16,$A494&lt;'Control Room'!$A$16+'Control Room'!$B$16,'Process'!BU5=1),1+('Control Room'!$C$16-1)*EXP(-0.5*(($A494-'Control Room'!$A$16-('Control Room'!$B$16-1)/2)/MAX(0.5,'Control Room'!$B$16/4))^2),1)</x:f>
        <x:v>1</x:v>
      </x:c>
      <x:c r="BE494" s="9" t="n">
        <x:f>MOD(BF493*16807,2147483647)</x:f>
        <x:v>1633528138</x:v>
      </x:c>
      <x:c r="BF494" s="9" t="n">
        <x:f>MOD(BE494*16807,2147483647)</x:f>
        <x:v>1276472118</x:v>
      </x:c>
      <x:c r="BG494" s="17" t="n">
        <x:f>IF('Control Room'!$B$5="Normal",'Control Room'!$B$7+'Control Room'!$D$7*SQRT(-2*LN(MAX(0.000000000001,BE494/2147483647)))*COS(2*PI()*BF494/2147483647),'Control Room'!$B$8+('Control Room'!$D$8-'Control Room'!$B$8)*BE494/2147483647)</x:f>
        <x:v>944.8013085803764</x:v>
      </x:c>
      <x:c r="BH494" s="17" t="n">
        <x:f>IF('Control Room'!$B$5="Normal",'Control Room'!$B$7,('Control Room'!$B$8+'Control Room'!$D$8)/2)+'Control Room'!$B$9*(BH493-IF('Control Room'!$B$5="Normal",'Control Room'!$B$7,('Control Room'!$B$8+'Control Room'!$D$8)/2))+SQRT(1-'Control Room'!$B$9^2)*(BG494-IF('Control Room'!$B$5="Normal",'Control Room'!$B$7,('Control Room'!$B$8+'Control Room'!$D$8)/2))</x:f>
        <x:v>948.4513877413139</x:v>
      </x:c>
      <x:c r="BI494" s="17" t="n">
        <x:f>IF(AND($A494&gt;='Control Room'!$A$13,$A494&lt;'Control Room'!$A$13+'Control Room'!$B$13,'Process'!BV2=1),1+('Control Room'!$C$13-1)*EXP(-0.5*(($A494-'Control Room'!$A$13-('Control Room'!$B$13-1)/2)/MAX(0.5,'Control Room'!$B$13/4))^2),1)*IF(AND($A494&gt;='Control Room'!$A$14,$A494&lt;'Control Room'!$A$14+'Control Room'!$B$14,'Process'!BV3=1),1+('Control Room'!$C$14-1)*EXP(-0.5*(($A494-'Control Room'!$A$14-('Control Room'!$B$14-1)/2)/MAX(0.5,'Control Room'!$B$14/4))^2),1)*IF(AND($A494&gt;='Control Room'!$A$15,$A494&lt;'Control Room'!$A$15+'Control Room'!$B$15,'Process'!BV4=1),1+('Control Room'!$C$15-1)*EXP(-0.5*(($A494-'Control Room'!$A$15-('Control Room'!$B$15-1)/2)/MAX(0.5,'Control Room'!$B$15/4))^2),1)*IF(AND($A494&gt;='Control Room'!$A$16,$A494&lt;'Control Room'!$A$16+'Control Room'!$B$16,'Process'!BV5=1),1+('Control Room'!$C$16-1)*EXP(-0.5*(($A494-'Control Room'!$A$16-('Control Room'!$B$16-1)/2)/MAX(0.5,'Control Room'!$B$16/4))^2),1)</x:f>
        <x:v>1</x:v>
      </x:c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Z494" t="str">
        <x:f>IF('Data'!A494="","",TEXT('Data'!A494,"mm-dd"))</x:f>
      </x:c>
    </x:row>
    <x:row r="495" ht="21" customHeight="1">
      <x:c r="A495" s="15" t="n">
        <x:f>'Control Room'!$B$1+493</x:f>
        <x:v>73484</x:v>
      </x:c>
      <x:c r="B495" s="9" t="n">
        <x:f>MOD(C494*16807,2147483647)</x:f>
        <x:v>759322386</x:v>
      </x:c>
      <x:c r="C495" s="9" t="n">
        <x:f>MOD(B495*16807,2147483647)</x:f>
        <x:v>1583511028</x:v>
      </x:c>
      <x:c r="D495" s="17" t="n">
        <x:f>IF('Control Room'!$B$5="Normal",'Control Room'!$B$7+'Control Room'!$D$7*SQRT(-2*LN(MAX(0.000000000001,B495/2147483647)))*COS(2*PI()*C495/2147483647),'Control Room'!$B$8+('Control Room'!$D$8-'Control Room'!$B$8)*B495/2147483647)</x:f>
        <x:v>989.7201346331273</x:v>
      </x:c>
      <x:c r="E495" s="17" t="n">
        <x:f>IF('Control Room'!$B$5="Normal",'Control Room'!$B$7,('Control Room'!$B$8+'Control Room'!$D$8)/2)+'Control Room'!$B$9*(E494-IF('Control Room'!$B$5="Normal",'Control Room'!$B$7,('Control Room'!$B$8+'Control Room'!$D$8)/2))+SQRT(1-'Control Room'!$B$9^2)*(D495-IF('Control Room'!$B$5="Normal",'Control Room'!$B$7,('Control Room'!$B$8+'Control Room'!$D$8)/2))</x:f>
        <x:v>989.4381464411824</x:v>
      </x:c>
      <x:c r="F495" s="17" t="n">
        <x:f>IF(AND($A495&gt;='Control Room'!$A$13,$A495&lt;'Control Room'!$A$13+'Control Room'!$B$13,'Process'!BK2=1),1+('Control Room'!$C$13-1)*EXP(-0.5*(($A495-'Control Room'!$A$13-('Control Room'!$B$13-1)/2)/MAX(0.5,'Control Room'!$B$13/4))^2),1)*IF(AND($A495&gt;='Control Room'!$A$14,$A495&lt;'Control Room'!$A$14+'Control Room'!$B$14,'Process'!BK3=1),1+('Control Room'!$C$14-1)*EXP(-0.5*(($A495-'Control Room'!$A$14-('Control Room'!$B$14-1)/2)/MAX(0.5,'Control Room'!$B$14/4))^2),1)*IF(AND($A495&gt;='Control Room'!$A$15,$A495&lt;'Control Room'!$A$15+'Control Room'!$B$15,'Process'!BK4=1),1+('Control Room'!$C$15-1)*EXP(-0.5*(($A495-'Control Room'!$A$15-('Control Room'!$B$15-1)/2)/MAX(0.5,'Control Room'!$B$15/4))^2),1)*IF(AND($A495&gt;='Control Room'!$A$16,$A495&lt;'Control Room'!$A$16+'Control Room'!$B$16,'Process'!BK5=1),1+('Control Room'!$C$16-1)*EXP(-0.5*(($A495-'Control Room'!$A$16-('Control Room'!$B$16-1)/2)/MAX(0.5,'Control Room'!$B$16/4))^2),1)</x:f>
        <x:v>1</x:v>
      </x:c>
      <x:c r="G495" s="9" t="n">
        <x:f>MOD(H494*16807,2147483647)</x:f>
        <x:v>327591842</x:v>
      </x:c>
      <x:c r="H495" s="9" t="n">
        <x:f>MOD(G495*16807,2147483647)</x:f>
        <x:v>1835501233</x:v>
      </x:c>
      <x:c r="I495" s="17" t="n">
        <x:f>IF('Control Room'!$B$5="Normal",'Control Room'!$B$7+'Control Room'!$D$7*SQRT(-2*LN(MAX(0.000000000001,G495/2147483647)))*COS(2*PI()*H495/2147483647),'Control Room'!$B$8+('Control Room'!$D$8-'Control Room'!$B$8)*G495/2147483647)</x:f>
        <x:v>1106.7292844147582</x:v>
      </x:c>
      <x:c r="J495" s="17" t="n">
        <x:f>IF('Control Room'!$B$5="Normal",'Control Room'!$B$7,('Control Room'!$B$8+'Control Room'!$D$8)/2)+'Control Room'!$B$9*(J494-IF('Control Room'!$B$5="Normal",'Control Room'!$B$7,('Control Room'!$B$8+'Control Room'!$D$8)/2))+SQRT(1-'Control Room'!$B$9^2)*(I495-IF('Control Room'!$B$5="Normal",'Control Room'!$B$7,('Control Room'!$B$8+'Control Room'!$D$8)/2))</x:f>
        <x:v>975.027933010551</x:v>
      </x:c>
      <x:c r="K495" s="17" t="n">
        <x:f>IF(AND($A495&gt;='Control Room'!$A$13,$A495&lt;'Control Room'!$A$13+'Control Room'!$B$13,'Process'!BL2=1),1+('Control Room'!$C$13-1)*EXP(-0.5*(($A495-'Control Room'!$A$13-('Control Room'!$B$13-1)/2)/MAX(0.5,'Control Room'!$B$13/4))^2),1)*IF(AND($A495&gt;='Control Room'!$A$14,$A495&lt;'Control Room'!$A$14+'Control Room'!$B$14,'Process'!BL3=1),1+('Control Room'!$C$14-1)*EXP(-0.5*(($A495-'Control Room'!$A$14-('Control Room'!$B$14-1)/2)/MAX(0.5,'Control Room'!$B$14/4))^2),1)*IF(AND($A495&gt;='Control Room'!$A$15,$A495&lt;'Control Room'!$A$15+'Control Room'!$B$15,'Process'!BL4=1),1+('Control Room'!$C$15-1)*EXP(-0.5*(($A495-'Control Room'!$A$15-('Control Room'!$B$15-1)/2)/MAX(0.5,'Control Room'!$B$15/4))^2),1)*IF(AND($A495&gt;='Control Room'!$A$16,$A495&lt;'Control Room'!$A$16+'Control Room'!$B$16,'Process'!BL5=1),1+('Control Room'!$C$16-1)*EXP(-0.5*(($A495-'Control Room'!$A$16-('Control Room'!$B$16-1)/2)/MAX(0.5,'Control Room'!$B$16/4))^2),1)</x:f>
        <x:v>1</x:v>
      </x:c>
      <x:c r="L495" s="9" t="n">
        <x:f>MOD(M494*16807,2147483647)</x:f>
        <x:v>2043344945</x:v>
      </x:c>
      <x:c r="M495" s="9" t="n">
        <x:f>MOD(L495*16807,2147483647)</x:f>
        <x:v>2087491438</x:v>
      </x:c>
      <x:c r="N495" s="17" t="n">
        <x:f>IF('Control Room'!$B$5="Normal",'Control Room'!$B$7+'Control Room'!$D$7*SQRT(-2*LN(MAX(0.000000000001,L495/2147483647)))*COS(2*PI()*M495/2147483647),'Control Room'!$B$8+('Control Room'!$D$8-'Control Room'!$B$8)*L495/2147483647)</x:f>
        <x:v>1027.9414170566833</x:v>
      </x:c>
      <x:c r="O495" s="17" t="n">
        <x:f>IF('Control Room'!$B$5="Normal",'Control Room'!$B$7,('Control Room'!$B$8+'Control Room'!$D$8)/2)+'Control Room'!$B$9*(O494-IF('Control Room'!$B$5="Normal",'Control Room'!$B$7,('Control Room'!$B$8+'Control Room'!$D$8)/2))+SQRT(1-'Control Room'!$B$9^2)*(N495-IF('Control Room'!$B$5="Normal",'Control Room'!$B$7,('Control Room'!$B$8+'Control Room'!$D$8)/2))</x:f>
        <x:v>828.7425069357429</x:v>
      </x:c>
      <x:c r="P495" s="17" t="n">
        <x:f>IF(AND($A495&gt;='Control Room'!$A$13,$A495&lt;'Control Room'!$A$13+'Control Room'!$B$13,'Process'!BM2=1),1+('Control Room'!$C$13-1)*EXP(-0.5*(($A495-'Control Room'!$A$13-('Control Room'!$B$13-1)/2)/MAX(0.5,'Control Room'!$B$13/4))^2),1)*IF(AND($A495&gt;='Control Room'!$A$14,$A495&lt;'Control Room'!$A$14+'Control Room'!$B$14,'Process'!BM3=1),1+('Control Room'!$C$14-1)*EXP(-0.5*(($A495-'Control Room'!$A$14-('Control Room'!$B$14-1)/2)/MAX(0.5,'Control Room'!$B$14/4))^2),1)*IF(AND($A495&gt;='Control Room'!$A$15,$A495&lt;'Control Room'!$A$15+'Control Room'!$B$15,'Process'!BM4=1),1+('Control Room'!$C$15-1)*EXP(-0.5*(($A495-'Control Room'!$A$15-('Control Room'!$B$15-1)/2)/MAX(0.5,'Control Room'!$B$15/4))^2),1)*IF(AND($A495&gt;='Control Room'!$A$16,$A495&lt;'Control Room'!$A$16+'Control Room'!$B$16,'Process'!BM5=1),1+('Control Room'!$C$16-1)*EXP(-0.5*(($A495-'Control Room'!$A$16-('Control Room'!$B$16-1)/2)/MAX(0.5,'Control Room'!$B$16/4))^2),1)</x:f>
        <x:v>1</x:v>
      </x:c>
      <x:c r="Q495" s="9" t="n">
        <x:f>MOD(R494*16807,2147483647)</x:f>
        <x:v>1611614401</x:v>
      </x:c>
      <x:c r="R495" s="9" t="n">
        <x:f>MOD(Q495*16807,2147483647)</x:f>
        <x:v>191997996</x:v>
      </x:c>
      <x:c r="S495" s="17" t="n">
        <x:f>IF('Control Room'!$B$5="Normal",'Control Room'!$B$7+'Control Room'!$D$7*SQRT(-2*LN(MAX(0.000000000001,Q495/2147483647)))*COS(2*PI()*R495/2147483647),'Control Room'!$B$8+('Control Room'!$D$8-'Control Room'!$B$8)*Q495/2147483647)</x:f>
        <x:v>1057.7137922897232</x:v>
      </x:c>
      <x:c r="T495" s="17" t="n">
        <x:f>IF('Control Room'!$B$5="Normal",'Control Room'!$B$7,('Control Room'!$B$8+'Control Room'!$D$8)/2)+'Control Room'!$B$9*(T494-IF('Control Room'!$B$5="Normal",'Control Room'!$B$7,('Control Room'!$B$8+'Control Room'!$D$8)/2))+SQRT(1-'Control Room'!$B$9^2)*(S495-IF('Control Room'!$B$5="Normal",'Control Room'!$B$7,('Control Room'!$B$8+'Control Room'!$D$8)/2))</x:f>
        <x:v>1026.9826377157528</x:v>
      </x:c>
      <x:c r="U495" s="17" t="n">
        <x:f>IF(AND($A495&gt;='Control Room'!$A$13,$A495&lt;'Control Room'!$A$13+'Control Room'!$B$13,'Process'!BN2=1),1+('Control Room'!$C$13-1)*EXP(-0.5*(($A495-'Control Room'!$A$13-('Control Room'!$B$13-1)/2)/MAX(0.5,'Control Room'!$B$13/4))^2),1)*IF(AND($A495&gt;='Control Room'!$A$14,$A495&lt;'Control Room'!$A$14+'Control Room'!$B$14,'Process'!BN3=1),1+('Control Room'!$C$14-1)*EXP(-0.5*(($A495-'Control Room'!$A$14-('Control Room'!$B$14-1)/2)/MAX(0.5,'Control Room'!$B$14/4))^2),1)*IF(AND($A495&gt;='Control Room'!$A$15,$A495&lt;'Control Room'!$A$15+'Control Room'!$B$15,'Process'!BN4=1),1+('Control Room'!$C$15-1)*EXP(-0.5*(($A495-'Control Room'!$A$15-('Control Room'!$B$15-1)/2)/MAX(0.5,'Control Room'!$B$15/4))^2),1)*IF(AND($A495&gt;='Control Room'!$A$16,$A495&lt;'Control Room'!$A$16+'Control Room'!$B$16,'Process'!BN5=1),1+('Control Room'!$C$16-1)*EXP(-0.5*(($A495-'Control Room'!$A$16-('Control Room'!$B$16-1)/2)/MAX(0.5,'Control Room'!$B$16/4))^2),1)</x:f>
        <x:v>1</x:v>
      </x:c>
      <x:c r="V495" s="9" t="n">
        <x:f>MOD(W494*16807,2147483647)</x:f>
        <x:v>1179883857</x:v>
      </x:c>
      <x:c r="W495" s="9" t="n">
        <x:f>MOD(V495*16807,2147483647)</x:f>
        <x:v>443988201</x:v>
      </x:c>
      <x:c r="X495" s="17" t="n">
        <x:f>IF('Control Room'!$B$5="Normal",'Control Room'!$B$7+'Control Room'!$D$7*SQRT(-2*LN(MAX(0.000000000001,V495/2147483647)))*COS(2*PI()*W495/2147483647),'Control Room'!$B$8+('Control Room'!$D$8-'Control Room'!$B$8)*V495/2147483647)</x:f>
        <x:v>1026.4395262640974</x:v>
      </x:c>
      <x:c r="Y495" s="17" t="n">
        <x:f>IF('Control Room'!$B$5="Normal",'Control Room'!$B$7,('Control Room'!$B$8+'Control Room'!$D$8)/2)+'Control Room'!$B$9*(Y494-IF('Control Room'!$B$5="Normal",'Control Room'!$B$7,('Control Room'!$B$8+'Control Room'!$D$8)/2))+SQRT(1-'Control Room'!$B$9^2)*(X495-IF('Control Room'!$B$5="Normal",'Control Room'!$B$7,('Control Room'!$B$8+'Control Room'!$D$8)/2))</x:f>
        <x:v>896.6225018867466</x:v>
      </x:c>
      <x:c r="Z495" s="17" t="n">
        <x:f>IF(AND($A495&gt;='Control Room'!$A$13,$A495&lt;'Control Room'!$A$13+'Control Room'!$B$13,'Process'!BO2=1),1+('Control Room'!$C$13-1)*EXP(-0.5*(($A495-'Control Room'!$A$13-('Control Room'!$B$13-1)/2)/MAX(0.5,'Control Room'!$B$13/4))^2),1)*IF(AND($A495&gt;='Control Room'!$A$14,$A495&lt;'Control Room'!$A$14+'Control Room'!$B$14,'Process'!BO3=1),1+('Control Room'!$C$14-1)*EXP(-0.5*(($A495-'Control Room'!$A$14-('Control Room'!$B$14-1)/2)/MAX(0.5,'Control Room'!$B$14/4))^2),1)*IF(AND($A495&gt;='Control Room'!$A$15,$A495&lt;'Control Room'!$A$15+'Control Room'!$B$15,'Process'!BO4=1),1+('Control Room'!$C$15-1)*EXP(-0.5*(($A495-'Control Room'!$A$15-('Control Room'!$B$15-1)/2)/MAX(0.5,'Control Room'!$B$15/4))^2),1)*IF(AND($A495&gt;='Control Room'!$A$16,$A495&lt;'Control Room'!$A$16+'Control Room'!$B$16,'Process'!BO5=1),1+('Control Room'!$C$16-1)*EXP(-0.5*(($A495-'Control Room'!$A$16-('Control Room'!$B$16-1)/2)/MAX(0.5,'Control Room'!$B$16/4))^2),1)</x:f>
        <x:v>1</x:v>
      </x:c>
      <x:c r="AA495" s="9" t="n">
        <x:f>MOD(AB494*16807,2147483647)</x:f>
        <x:v>748153313</x:v>
      </x:c>
      <x:c r="AB495" s="9" t="n">
        <x:f>MOD(AA495*16807,2147483647)</x:f>
        <x:v>695978406</x:v>
      </x:c>
      <x:c r="AC495" s="17" t="n">
        <x:f>IF('Control Room'!$B$5="Normal",'Control Room'!$B$7+'Control Room'!$D$7*SQRT(-2*LN(MAX(0.000000000001,AA495/2147483647)))*COS(2*PI()*AB495/2147483647),'Control Room'!$B$8+('Control Room'!$D$8-'Control Room'!$B$8)*AA495/2147483647)</x:f>
        <x:v>941.3309633220151</x:v>
      </x:c>
      <x:c r="AD495" s="17" t="n">
        <x:f>IF('Control Room'!$B$5="Normal",'Control Room'!$B$7,('Control Room'!$B$8+'Control Room'!$D$8)/2)+'Control Room'!$B$9*(AD494-IF('Control Room'!$B$5="Normal",'Control Room'!$B$7,('Control Room'!$B$8+'Control Room'!$D$8)/2))+SQRT(1-'Control Room'!$B$9^2)*(AC495-IF('Control Room'!$B$5="Normal",'Control Room'!$B$7,('Control Room'!$B$8+'Control Room'!$D$8)/2))</x:f>
        <x:v>951.0668381126493</x:v>
      </x:c>
      <x:c r="AE495" s="17" t="n">
        <x:f>IF(AND($A495&gt;='Control Room'!$A$13,$A495&lt;'Control Room'!$A$13+'Control Room'!$B$13,'Process'!BP2=1),1+('Control Room'!$C$13-1)*EXP(-0.5*(($A495-'Control Room'!$A$13-('Control Room'!$B$13-1)/2)/MAX(0.5,'Control Room'!$B$13/4))^2),1)*IF(AND($A495&gt;='Control Room'!$A$14,$A495&lt;'Control Room'!$A$14+'Control Room'!$B$14,'Process'!BP3=1),1+('Control Room'!$C$14-1)*EXP(-0.5*(($A495-'Control Room'!$A$14-('Control Room'!$B$14-1)/2)/MAX(0.5,'Control Room'!$B$14/4))^2),1)*IF(AND($A495&gt;='Control Room'!$A$15,$A495&lt;'Control Room'!$A$15+'Control Room'!$B$15,'Process'!BP4=1),1+('Control Room'!$C$15-1)*EXP(-0.5*(($A495-'Control Room'!$A$15-('Control Room'!$B$15-1)/2)/MAX(0.5,'Control Room'!$B$15/4))^2),1)*IF(AND($A495&gt;='Control Room'!$A$16,$A495&lt;'Control Room'!$A$16+'Control Room'!$B$16,'Process'!BP5=1),1+('Control Room'!$C$16-1)*EXP(-0.5*(($A495-'Control Room'!$A$16-('Control Room'!$B$16-1)/2)/MAX(0.5,'Control Room'!$B$16/4))^2),1)</x:f>
        <x:v>1</x:v>
      </x:c>
      <x:c r="AF495" s="9" t="n">
        <x:f>MOD(AG494*16807,2147483647)</x:f>
        <x:v>316422769</x:v>
      </x:c>
      <x:c r="AG495" s="9" t="n">
        <x:f>MOD(AF495*16807,2147483647)</x:f>
        <x:v>947968611</x:v>
      </x:c>
      <x:c r="AH495" s="17" t="n">
        <x:f>IF('Control Room'!$B$5="Normal",'Control Room'!$B$7+'Control Room'!$D$7*SQRT(-2*LN(MAX(0.000000000001,AF495/2147483647)))*COS(2*PI()*AG495/2147483647),'Control Room'!$B$8+('Control Room'!$D$8-'Control Room'!$B$8)*AF495/2147483647)</x:f>
        <x:v>835.6595373561473</x:v>
      </x:c>
      <x:c r="AI495" s="17" t="n">
        <x:f>IF('Control Room'!$B$5="Normal",'Control Room'!$B$7,('Control Room'!$B$8+'Control Room'!$D$8)/2)+'Control Room'!$B$9*(AI494-IF('Control Room'!$B$5="Normal",'Control Room'!$B$7,('Control Room'!$B$8+'Control Room'!$D$8)/2))+SQRT(1-'Control Room'!$B$9^2)*(AH495-IF('Control Room'!$B$5="Normal",'Control Room'!$B$7,('Control Room'!$B$8+'Control Room'!$D$8)/2))</x:f>
        <x:v>905.0205910755357</x:v>
      </x:c>
      <x:c r="AJ495" s="17" t="n">
        <x:f>IF(AND($A495&gt;='Control Room'!$A$13,$A495&lt;'Control Room'!$A$13+'Control Room'!$B$13,'Process'!BQ2=1),1+('Control Room'!$C$13-1)*EXP(-0.5*(($A495-'Control Room'!$A$13-('Control Room'!$B$13-1)/2)/MAX(0.5,'Control Room'!$B$13/4))^2),1)*IF(AND($A495&gt;='Control Room'!$A$14,$A495&lt;'Control Room'!$A$14+'Control Room'!$B$14,'Process'!BQ3=1),1+('Control Room'!$C$14-1)*EXP(-0.5*(($A495-'Control Room'!$A$14-('Control Room'!$B$14-1)/2)/MAX(0.5,'Control Room'!$B$14/4))^2),1)*IF(AND($A495&gt;='Control Room'!$A$15,$A495&lt;'Control Room'!$A$15+'Control Room'!$B$15,'Process'!BQ4=1),1+('Control Room'!$C$15-1)*EXP(-0.5*(($A495-'Control Room'!$A$15-('Control Room'!$B$15-1)/2)/MAX(0.5,'Control Room'!$B$15/4))^2),1)*IF(AND($A495&gt;='Control Room'!$A$16,$A495&lt;'Control Room'!$A$16+'Control Room'!$B$16,'Process'!BQ5=1),1+('Control Room'!$C$16-1)*EXP(-0.5*(($A495-'Control Room'!$A$16-('Control Room'!$B$16-1)/2)/MAX(0.5,'Control Room'!$B$16/4))^2),1)</x:f>
        <x:v>1</x:v>
      </x:c>
      <x:c r="AK495" s="9" t="n">
        <x:f>MOD(AL494*16807,2147483647)</x:f>
        <x:v>2032175872</x:v>
      </x:c>
      <x:c r="AL495" s="9" t="n">
        <x:f>MOD(AK495*16807,2147483647)</x:f>
        <x:v>1199958816</x:v>
      </x:c>
      <x:c r="AM495" s="17" t="n">
        <x:f>IF('Control Room'!$B$5="Normal",'Control Room'!$B$7+'Control Room'!$D$7*SQRT(-2*LN(MAX(0.000000000001,AK495/2147483647)))*COS(2*PI()*AL495/2147483647),'Control Room'!$B$8+('Control Room'!$D$8-'Control Room'!$B$8)*AK495/2147483647)</x:f>
        <x:v>972.1147649493971</x:v>
      </x:c>
      <x:c r="AN495" s="17" t="n">
        <x:f>IF('Control Room'!$B$5="Normal",'Control Room'!$B$7,('Control Room'!$B$8+'Control Room'!$D$8)/2)+'Control Room'!$B$9*(AN494-IF('Control Room'!$B$5="Normal",'Control Room'!$B$7,('Control Room'!$B$8+'Control Room'!$D$8)/2))+SQRT(1-'Control Room'!$B$9^2)*(AM495-IF('Control Room'!$B$5="Normal",'Control Room'!$B$7,('Control Room'!$B$8+'Control Room'!$D$8)/2))</x:f>
        <x:v>848.3357162076719</x:v>
      </x:c>
      <x:c r="AO495" s="17" t="n">
        <x:f>IF(AND($A495&gt;='Control Room'!$A$13,$A495&lt;'Control Room'!$A$13+'Control Room'!$B$13,'Process'!BR2=1),1+('Control Room'!$C$13-1)*EXP(-0.5*(($A495-'Control Room'!$A$13-('Control Room'!$B$13-1)/2)/MAX(0.5,'Control Room'!$B$13/4))^2),1)*IF(AND($A495&gt;='Control Room'!$A$14,$A495&lt;'Control Room'!$A$14+'Control Room'!$B$14,'Process'!BR3=1),1+('Control Room'!$C$14-1)*EXP(-0.5*(($A495-'Control Room'!$A$14-('Control Room'!$B$14-1)/2)/MAX(0.5,'Control Room'!$B$14/4))^2),1)*IF(AND($A495&gt;='Control Room'!$A$15,$A495&lt;'Control Room'!$A$15+'Control Room'!$B$15,'Process'!BR4=1),1+('Control Room'!$C$15-1)*EXP(-0.5*(($A495-'Control Room'!$A$15-('Control Room'!$B$15-1)/2)/MAX(0.5,'Control Room'!$B$15/4))^2),1)*IF(AND($A495&gt;='Control Room'!$A$16,$A495&lt;'Control Room'!$A$16+'Control Room'!$B$16,'Process'!BR5=1),1+('Control Room'!$C$16-1)*EXP(-0.5*(($A495-'Control Room'!$A$16-('Control Room'!$B$16-1)/2)/MAX(0.5,'Control Room'!$B$16/4))^2),1)</x:f>
        <x:v>1</x:v>
      </x:c>
      <x:c r="AP495" s="9" t="n">
        <x:f>MOD(AQ494*16807,2147483647)</x:f>
        <x:v>1600445328</x:v>
      </x:c>
      <x:c r="AQ495" s="9" t="n">
        <x:f>MOD(AP495*16807,2147483647)</x:f>
        <x:v>1451949021</x:v>
      </x:c>
      <x:c r="AR495" s="17" t="n">
        <x:f>IF('Control Room'!$B$5="Normal",'Control Room'!$B$7+'Control Room'!$D$7*SQRT(-2*LN(MAX(0.000000000001,AP495/2147483647)))*COS(2*PI()*AQ495/2147483647),'Control Room'!$B$8+('Control Room'!$D$8-'Control Room'!$B$8)*AP495/2147483647)</x:f>
        <x:v>969.1000736049336</x:v>
      </x:c>
      <x:c r="AS495" s="17" t="n">
        <x:f>IF('Control Room'!$B$5="Normal",'Control Room'!$B$7,('Control Room'!$B$8+'Control Room'!$D$8)/2)+'Control Room'!$B$9*(AS494-IF('Control Room'!$B$5="Normal",'Control Room'!$B$7,('Control Room'!$B$8+'Control Room'!$D$8)/2))+SQRT(1-'Control Room'!$B$9^2)*(AR495-IF('Control Room'!$B$5="Normal",'Control Room'!$B$7,('Control Room'!$B$8+'Control Room'!$D$8)/2))</x:f>
        <x:v>1063.986176127559</x:v>
      </x:c>
      <x:c r="AT495" s="17" t="n">
        <x:f>IF(AND($A495&gt;='Control Room'!$A$13,$A495&lt;'Control Room'!$A$13+'Control Room'!$B$13,'Process'!BS2=1),1+('Control Room'!$C$13-1)*EXP(-0.5*(($A495-'Control Room'!$A$13-('Control Room'!$B$13-1)/2)/MAX(0.5,'Control Room'!$B$13/4))^2),1)*IF(AND($A495&gt;='Control Room'!$A$14,$A495&lt;'Control Room'!$A$14+'Control Room'!$B$14,'Process'!BS3=1),1+('Control Room'!$C$14-1)*EXP(-0.5*(($A495-'Control Room'!$A$14-('Control Room'!$B$14-1)/2)/MAX(0.5,'Control Room'!$B$14/4))^2),1)*IF(AND($A495&gt;='Control Room'!$A$15,$A495&lt;'Control Room'!$A$15+'Control Room'!$B$15,'Process'!BS4=1),1+('Control Room'!$C$15-1)*EXP(-0.5*(($A495-'Control Room'!$A$15-('Control Room'!$B$15-1)/2)/MAX(0.5,'Control Room'!$B$15/4))^2),1)*IF(AND($A495&gt;='Control Room'!$A$16,$A495&lt;'Control Room'!$A$16+'Control Room'!$B$16,'Process'!BS5=1),1+('Control Room'!$C$16-1)*EXP(-0.5*(($A495-'Control Room'!$A$16-('Control Room'!$B$16-1)/2)/MAX(0.5,'Control Room'!$B$16/4))^2),1)</x:f>
        <x:v>1</x:v>
      </x:c>
      <x:c r="AU495" s="9" t="n">
        <x:f>MOD(AV494*16807,2147483647)</x:f>
        <x:v>1168714784</x:v>
      </x:c>
      <x:c r="AV495" s="9" t="n">
        <x:f>MOD(AU495*16807,2147483647)</x:f>
        <x:v>1703939226</x:v>
      </x:c>
      <x:c r="AW495" s="17" t="n">
        <x:f>IF('Control Room'!$B$5="Normal",'Control Room'!$B$7+'Control Room'!$D$7*SQRT(-2*LN(MAX(0.000000000001,AU495/2147483647)))*COS(2*PI()*AV495/2147483647),'Control Room'!$B$8+('Control Room'!$D$8-'Control Room'!$B$8)*AU495/2147483647)</x:f>
        <x:v>1026.7728044802543</x:v>
      </x:c>
      <x:c r="AX495" s="17" t="n">
        <x:f>IF('Control Room'!$B$5="Normal",'Control Room'!$B$7,('Control Room'!$B$8+'Control Room'!$D$8)/2)+'Control Room'!$B$9*(AX494-IF('Control Room'!$B$5="Normal",'Control Room'!$B$7,('Control Room'!$B$8+'Control Room'!$D$8)/2))+SQRT(1-'Control Room'!$B$9^2)*(AW495-IF('Control Room'!$B$5="Normal",'Control Room'!$B$7,('Control Room'!$B$8+'Control Room'!$D$8)/2))</x:f>
        <x:v>874.4848938001606</x:v>
      </x:c>
      <x:c r="AY495" s="17" t="n">
        <x:f>IF(AND($A495&gt;='Control Room'!$A$13,$A495&lt;'Control Room'!$A$13+'Control Room'!$B$13,'Process'!BT2=1),1+('Control Room'!$C$13-1)*EXP(-0.5*(($A495-'Control Room'!$A$13-('Control Room'!$B$13-1)/2)/MAX(0.5,'Control Room'!$B$13/4))^2),1)*IF(AND($A495&gt;='Control Room'!$A$14,$A495&lt;'Control Room'!$A$14+'Control Room'!$B$14,'Process'!BT3=1),1+('Control Room'!$C$14-1)*EXP(-0.5*(($A495-'Control Room'!$A$14-('Control Room'!$B$14-1)/2)/MAX(0.5,'Control Room'!$B$14/4))^2),1)*IF(AND($A495&gt;='Control Room'!$A$15,$A495&lt;'Control Room'!$A$15+'Control Room'!$B$15,'Process'!BT4=1),1+('Control Room'!$C$15-1)*EXP(-0.5*(($A495-'Control Room'!$A$15-('Control Room'!$B$15-1)/2)/MAX(0.5,'Control Room'!$B$15/4))^2),1)*IF(AND($A495&gt;='Control Room'!$A$16,$A495&lt;'Control Room'!$A$16+'Control Room'!$B$16,'Process'!BT5=1),1+('Control Room'!$C$16-1)*EXP(-0.5*(($A495-'Control Room'!$A$16-('Control Room'!$B$16-1)/2)/MAX(0.5,'Control Room'!$B$16/4))^2),1)</x:f>
        <x:v>1</x:v>
      </x:c>
      <x:c r="AZ495" s="9" t="n">
        <x:f>MOD(BA494*16807,2147483647)</x:f>
        <x:v>736984240</x:v>
      </x:c>
      <x:c r="BA495" s="9" t="n">
        <x:f>MOD(AZ495*16807,2147483647)</x:f>
        <x:v>1955929431</x:v>
      </x:c>
      <x:c r="BB495" s="17" t="n">
        <x:f>IF('Control Room'!$B$5="Normal",'Control Room'!$B$7+'Control Room'!$D$7*SQRT(-2*LN(MAX(0.000000000001,AZ495/2147483647)))*COS(2*PI()*BA495/2147483647),'Control Room'!$B$8+('Control Room'!$D$8-'Control Room'!$B$8)*AZ495/2147483647)</x:f>
        <x:v>1111.4897315628532</x:v>
      </x:c>
      <x:c r="BC495" s="17" t="n">
        <x:f>IF('Control Room'!$B$5="Normal",'Control Room'!$B$7,('Control Room'!$B$8+'Control Room'!$D$8)/2)+'Control Room'!$B$9*(BC494-IF('Control Room'!$B$5="Normal",'Control Room'!$B$7,('Control Room'!$B$8+'Control Room'!$D$8)/2))+SQRT(1-'Control Room'!$B$9^2)*(BB495-IF('Control Room'!$B$5="Normal",'Control Room'!$B$7,('Control Room'!$B$8+'Control Room'!$D$8)/2))</x:f>
        <x:v>1041.4758402306757</x:v>
      </x:c>
      <x:c r="BD495" s="17" t="n">
        <x:f>IF(AND($A495&gt;='Control Room'!$A$13,$A495&lt;'Control Room'!$A$13+'Control Room'!$B$13,'Process'!BU2=1),1+('Control Room'!$C$13-1)*EXP(-0.5*(($A495-'Control Room'!$A$13-('Control Room'!$B$13-1)/2)/MAX(0.5,'Control Room'!$B$13/4))^2),1)*IF(AND($A495&gt;='Control Room'!$A$14,$A495&lt;'Control Room'!$A$14+'Control Room'!$B$14,'Process'!BU3=1),1+('Control Room'!$C$14-1)*EXP(-0.5*(($A495-'Control Room'!$A$14-('Control Room'!$B$14-1)/2)/MAX(0.5,'Control Room'!$B$14/4))^2),1)*IF(AND($A495&gt;='Control Room'!$A$15,$A495&lt;'Control Room'!$A$15+'Control Room'!$B$15,'Process'!BU4=1),1+('Control Room'!$C$15-1)*EXP(-0.5*(($A495-'Control Room'!$A$15-('Control Room'!$B$15-1)/2)/MAX(0.5,'Control Room'!$B$15/4))^2),1)*IF(AND($A495&gt;='Control Room'!$A$16,$A495&lt;'Control Room'!$A$16+'Control Room'!$B$16,'Process'!BU5=1),1+('Control Room'!$C$16-1)*EXP(-0.5*(($A495-'Control Room'!$A$16-('Control Room'!$B$16-1)/2)/MAX(0.5,'Control Room'!$B$16/4))^2),1)</x:f>
        <x:v>1</x:v>
      </x:c>
      <x:c r="BE495" s="9" t="n">
        <x:f>MOD(BF494*16807,2147483647)</x:f>
        <x:v>305253696</x:v>
      </x:c>
      <x:c r="BF495" s="9" t="n">
        <x:f>MOD(BE495*16807,2147483647)</x:f>
        <x:v>60435989</x:v>
      </x:c>
      <x:c r="BG495" s="17" t="n">
        <x:f>IF('Control Room'!$B$5="Normal",'Control Room'!$B$7+'Control Room'!$D$7*SQRT(-2*LN(MAX(0.000000000001,BE495/2147483647)))*COS(2*PI()*BF495/2147483647),'Control Room'!$B$8+('Control Room'!$D$8-'Control Room'!$B$8)*BE495/2147483647)</x:f>
        <x:v>1175.0050943787603</x:v>
      </x:c>
      <x:c r="BH495" s="17" t="n">
        <x:f>IF('Control Room'!$B$5="Normal",'Control Room'!$B$7,('Control Room'!$B$8+'Control Room'!$D$8)/2)+'Control Room'!$B$9*(BH494-IF('Control Room'!$B$5="Normal",'Control Room'!$B$7,('Control Room'!$B$8+'Control Room'!$D$8)/2))+SQRT(1-'Control Room'!$B$9^2)*(BG495-IF('Control Room'!$B$5="Normal",'Control Room'!$B$7,('Control Room'!$B$8+'Control Room'!$D$8)/2))</x:f>
        <x:v>1069.306685326223</x:v>
      </x:c>
      <x:c r="BI495" s="17" t="n">
        <x:f>IF(AND($A495&gt;='Control Room'!$A$13,$A495&lt;'Control Room'!$A$13+'Control Room'!$B$13,'Process'!BV2=1),1+('Control Room'!$C$13-1)*EXP(-0.5*(($A495-'Control Room'!$A$13-('Control Room'!$B$13-1)/2)/MAX(0.5,'Control Room'!$B$13/4))^2),1)*IF(AND($A495&gt;='Control Room'!$A$14,$A495&lt;'Control Room'!$A$14+'Control Room'!$B$14,'Process'!BV3=1),1+('Control Room'!$C$14-1)*EXP(-0.5*(($A495-'Control Room'!$A$14-('Control Room'!$B$14-1)/2)/MAX(0.5,'Control Room'!$B$14/4))^2),1)*IF(AND($A495&gt;='Control Room'!$A$15,$A495&lt;'Control Room'!$A$15+'Control Room'!$B$15,'Process'!BV4=1),1+('Control Room'!$C$15-1)*EXP(-0.5*(($A495-'Control Room'!$A$15-('Control Room'!$B$15-1)/2)/MAX(0.5,'Control Room'!$B$15/4))^2),1)*IF(AND($A495&gt;='Control Room'!$A$16,$A495&lt;'Control Room'!$A$16+'Control Room'!$B$16,'Process'!BV5=1),1+('Control Room'!$C$16-1)*EXP(-0.5*(($A495-'Control Room'!$A$16-('Control Room'!$B$16-1)/2)/MAX(0.5,'Control Room'!$B$16/4))^2),1)</x:f>
        <x:v>1</x:v>
      </x:c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Z495" t="str">
        <x:f>IF('Data'!A495="","",TEXT('Data'!A495,"mm-dd"))</x:f>
      </x:c>
    </x:row>
    <x:row r="496" ht="21" customHeight="1">
      <x:c r="A496" s="15" t="n">
        <x:f>'Control Room'!$B$1+494</x:f>
        <x:v>73485</x:v>
      </x:c>
      <x:c r="B496" s="9" t="n">
        <x:f>MOD(C495*16807,2147483647)</x:f>
        <x:v>305010325</x:v>
      </x:c>
      <x:c r="C496" s="9" t="n">
        <x:f>MOD(B496*16807,2147483647)</x:f>
        <x:v>265066886</x:v>
      </x:c>
      <x:c r="D496" s="17" t="n">
        <x:f>IF('Control Room'!$B$5="Normal",'Control Room'!$B$7+'Control Room'!$D$7*SQRT(-2*LN(MAX(0.000000000001,B496/2147483647)))*COS(2*PI()*C496/2147483647),'Control Room'!$B$8+('Control Room'!$D$8-'Control Room'!$B$8)*B496/2147483647)</x:f>
        <x:v>1126.9662221244669</x:v>
      </x:c>
      <x:c r="E496" s="17" t="n">
        <x:f>IF('Control Room'!$B$5="Normal",'Control Room'!$B$7,('Control Room'!$B$8+'Control Room'!$D$8)/2)+'Control Room'!$B$9*(E495-IF('Control Room'!$B$5="Normal",'Control Room'!$B$7,('Control Room'!$B$8+'Control Room'!$D$8)/2))+SQRT(1-'Control Room'!$B$9^2)*(D496-IF('Control Room'!$B$5="Normal",'Control Room'!$B$7,('Control Room'!$B$8+'Control Room'!$D$8)/2))</x:f>
        <x:v>1071.2146149851742</x:v>
      </x:c>
      <x:c r="F496" s="17" t="n">
        <x:f>IF(AND($A496&gt;='Control Room'!$A$13,$A496&lt;'Control Room'!$A$13+'Control Room'!$B$13,'Process'!BK2=1),1+('Control Room'!$C$13-1)*EXP(-0.5*(($A496-'Control Room'!$A$13-('Control Room'!$B$13-1)/2)/MAX(0.5,'Control Room'!$B$13/4))^2),1)*IF(AND($A496&gt;='Control Room'!$A$14,$A496&lt;'Control Room'!$A$14+'Control Room'!$B$14,'Process'!BK3=1),1+('Control Room'!$C$14-1)*EXP(-0.5*(($A496-'Control Room'!$A$14-('Control Room'!$B$14-1)/2)/MAX(0.5,'Control Room'!$B$14/4))^2),1)*IF(AND($A496&gt;='Control Room'!$A$15,$A496&lt;'Control Room'!$A$15+'Control Room'!$B$15,'Process'!BK4=1),1+('Control Room'!$C$15-1)*EXP(-0.5*(($A496-'Control Room'!$A$15-('Control Room'!$B$15-1)/2)/MAX(0.5,'Control Room'!$B$15/4))^2),1)*IF(AND($A496&gt;='Control Room'!$A$16,$A496&lt;'Control Room'!$A$16+'Control Room'!$B$16,'Process'!BK5=1),1+('Control Room'!$C$16-1)*EXP(-0.5*(($A496-'Control Room'!$A$16-('Control Room'!$B$16-1)/2)/MAX(0.5,'Control Room'!$B$16/4))^2),1)</x:f>
        <x:v>1</x:v>
      </x:c>
      <x:c r="G496" s="9" t="n">
        <x:f>MOD(H495*16807,2147483647)</x:f>
        <x:v>666633876</x:v>
      </x:c>
      <x:c r="H496" s="9" t="n">
        <x:f>MOD(G496*16807,2147483647)</x:f>
        <x:v>693367533</x:v>
      </x:c>
      <x:c r="I496" s="17" t="n">
        <x:f>IF('Control Room'!$B$5="Normal",'Control Room'!$B$7+'Control Room'!$D$7*SQRT(-2*LN(MAX(0.000000000001,G496/2147483647)))*COS(2*PI()*H496/2147483647),'Control Room'!$B$8+('Control Room'!$D$8-'Control Room'!$B$8)*G496/2147483647)</x:f>
        <x:v>939.1462497983362</x:v>
      </x:c>
      <x:c r="J496" s="17" t="n">
        <x:f>IF('Control Room'!$B$5="Normal",'Control Room'!$B$7,('Control Room'!$B$8+'Control Room'!$D$8)/2)+'Control Room'!$B$9*(J495-IF('Control Room'!$B$5="Normal",'Control Room'!$B$7,('Control Room'!$B$8+'Control Room'!$D$8)/2))+SQRT(1-'Control Room'!$B$9^2)*(I496-IF('Control Room'!$B$5="Normal",'Control Room'!$B$7,('Control Room'!$B$8+'Control Room'!$D$8)/2))</x:f>
        <x:v>942.4407575288633</x:v>
      </x:c>
      <x:c r="K496" s="17" t="n">
        <x:f>IF(AND($A496&gt;='Control Room'!$A$13,$A496&lt;'Control Room'!$A$13+'Control Room'!$B$13,'Process'!BL2=1),1+('Control Room'!$C$13-1)*EXP(-0.5*(($A496-'Control Room'!$A$13-('Control Room'!$B$13-1)/2)/MAX(0.5,'Control Room'!$B$13/4))^2),1)*IF(AND($A496&gt;='Control Room'!$A$14,$A496&lt;'Control Room'!$A$14+'Control Room'!$B$14,'Process'!BL3=1),1+('Control Room'!$C$14-1)*EXP(-0.5*(($A496-'Control Room'!$A$14-('Control Room'!$B$14-1)/2)/MAX(0.5,'Control Room'!$B$14/4))^2),1)*IF(AND($A496&gt;='Control Room'!$A$15,$A496&lt;'Control Room'!$A$15+'Control Room'!$B$15,'Process'!BL4=1),1+('Control Room'!$C$15-1)*EXP(-0.5*(($A496-'Control Room'!$A$15-('Control Room'!$B$15-1)/2)/MAX(0.5,'Control Room'!$B$15/4))^2),1)*IF(AND($A496&gt;='Control Room'!$A$16,$A496&lt;'Control Room'!$A$16+'Control Room'!$B$16,'Process'!BL5=1),1+('Control Room'!$C$16-1)*EXP(-0.5*(($A496-'Control Room'!$A$16-('Control Room'!$B$16-1)/2)/MAX(0.5,'Control Room'!$B$16/4))^2),1)</x:f>
        <x:v>1</x:v>
      </x:c>
      <x:c r="L496" s="9" t="n">
        <x:f>MOD(M495*16807,2147483647)</x:f>
        <x:v>1028257427</x:v>
      </x:c>
      <x:c r="M496" s="9" t="n">
        <x:f>MOD(L496*16807,2147483647)</x:f>
        <x:v>1121668180</x:v>
      </x:c>
      <x:c r="N496" s="17" t="n">
        <x:f>IF('Control Room'!$B$5="Normal",'Control Room'!$B$7+'Control Room'!$D$7*SQRT(-2*LN(MAX(0.000000000001,L496/2147483647)))*COS(2*PI()*M496/2147483647),'Control Room'!$B$8+('Control Room'!$D$8-'Control Room'!$B$8)*L496/2147483647)</x:f>
        <x:v>891.8466997253546</x:v>
      </x:c>
      <x:c r="O496" s="17" t="n">
        <x:f>IF('Control Room'!$B$5="Normal",'Control Room'!$B$7,('Control Room'!$B$8+'Control Room'!$D$8)/2)+'Control Room'!$B$9*(O495-IF('Control Room'!$B$5="Normal",'Control Room'!$B$7,('Control Room'!$B$8+'Control Room'!$D$8)/2))+SQRT(1-'Control Room'!$B$9^2)*(N496-IF('Control Room'!$B$5="Normal",'Control Room'!$B$7,('Control Room'!$B$8+'Control Room'!$D$8)/2))</x:f>
        <x:v>798.7390357387933</x:v>
      </x:c>
      <x:c r="P496" s="17" t="n">
        <x:f>IF(AND($A496&gt;='Control Room'!$A$13,$A496&lt;'Control Room'!$A$13+'Control Room'!$B$13,'Process'!BM2=1),1+('Control Room'!$C$13-1)*EXP(-0.5*(($A496-'Control Room'!$A$13-('Control Room'!$B$13-1)/2)/MAX(0.5,'Control Room'!$B$13/4))^2),1)*IF(AND($A496&gt;='Control Room'!$A$14,$A496&lt;'Control Room'!$A$14+'Control Room'!$B$14,'Process'!BM3=1),1+('Control Room'!$C$14-1)*EXP(-0.5*(($A496-'Control Room'!$A$14-('Control Room'!$B$14-1)/2)/MAX(0.5,'Control Room'!$B$14/4))^2),1)*IF(AND($A496&gt;='Control Room'!$A$15,$A496&lt;'Control Room'!$A$15+'Control Room'!$B$15,'Process'!BM4=1),1+('Control Room'!$C$15-1)*EXP(-0.5*(($A496-'Control Room'!$A$15-('Control Room'!$B$15-1)/2)/MAX(0.5,'Control Room'!$B$15/4))^2),1)*IF(AND($A496&gt;='Control Room'!$A$16,$A496&lt;'Control Room'!$A$16+'Control Room'!$B$16,'Process'!BM5=1),1+('Control Room'!$C$16-1)*EXP(-0.5*(($A496-'Control Room'!$A$16-('Control Room'!$B$16-1)/2)/MAX(0.5,'Control Room'!$B$16/4))^2),1)</x:f>
        <x:v>1</x:v>
      </x:c>
      <x:c r="Q496" s="9" t="n">
        <x:f>MOD(R495*16807,2147483647)</x:f>
        <x:v>1389880978</x:v>
      </x:c>
      <x:c r="R496" s="9" t="n">
        <x:f>MOD(Q496*16807,2147483647)</x:f>
        <x:v>1549968827</x:v>
      </x:c>
      <x:c r="S496" s="17" t="n">
        <x:f>IF('Control Room'!$B$5="Normal",'Control Room'!$B$7+'Control Room'!$D$7*SQRT(-2*LN(MAX(0.000000000001,Q496/2147483647)))*COS(2*PI()*R496/2147483647),'Control Room'!$B$8+('Control Room'!$D$8-'Control Room'!$B$8)*Q496/2147483647)</x:f>
        <x:v>985.1817344700312</x:v>
      </x:c>
      <x:c r="T496" s="17" t="n">
        <x:f>IF('Control Room'!$B$5="Normal",'Control Room'!$B$7,('Control Room'!$B$8+'Control Room'!$D$8)/2)+'Control Room'!$B$9*(T495-IF('Control Room'!$B$5="Normal",'Control Room'!$B$7,('Control Room'!$B$8+'Control Room'!$D$8)/2))+SQRT(1-'Control Room'!$B$9^2)*(S496-IF('Control Room'!$B$5="Normal",'Control Room'!$B$7,('Control Room'!$B$8+'Control Room'!$D$8)/2))</x:f>
        <x:v>1011.7734904183026</x:v>
      </x:c>
      <x:c r="U496" s="17" t="n">
        <x:f>IF(AND($A496&gt;='Control Room'!$A$13,$A496&lt;'Control Room'!$A$13+'Control Room'!$B$13,'Process'!BN2=1),1+('Control Room'!$C$13-1)*EXP(-0.5*(($A496-'Control Room'!$A$13-('Control Room'!$B$13-1)/2)/MAX(0.5,'Control Room'!$B$13/4))^2),1)*IF(AND($A496&gt;='Control Room'!$A$14,$A496&lt;'Control Room'!$A$14+'Control Room'!$B$14,'Process'!BN3=1),1+('Control Room'!$C$14-1)*EXP(-0.5*(($A496-'Control Room'!$A$14-('Control Room'!$B$14-1)/2)/MAX(0.5,'Control Room'!$B$14/4))^2),1)*IF(AND($A496&gt;='Control Room'!$A$15,$A496&lt;'Control Room'!$A$15+'Control Room'!$B$15,'Process'!BN4=1),1+('Control Room'!$C$15-1)*EXP(-0.5*(($A496-'Control Room'!$A$15-('Control Room'!$B$15-1)/2)/MAX(0.5,'Control Room'!$B$15/4))^2),1)*IF(AND($A496&gt;='Control Room'!$A$16,$A496&lt;'Control Room'!$A$16+'Control Room'!$B$16,'Process'!BN5=1),1+('Control Room'!$C$16-1)*EXP(-0.5*(($A496-'Control Room'!$A$16-('Control Room'!$B$16-1)/2)/MAX(0.5,'Control Room'!$B$16/4))^2),1)</x:f>
        <x:v>1</x:v>
      </x:c>
      <x:c r="V496" s="9" t="n">
        <x:f>MOD(W495*16807,2147483647)</x:f>
        <x:v>1751504529</x:v>
      </x:c>
      <x:c r="W496" s="9" t="n">
        <x:f>MOD(V496*16807,2147483647)</x:f>
        <x:v>1978269474</x:v>
      </x:c>
      <x:c r="X496" s="17" t="n">
        <x:f>IF('Control Room'!$B$5="Normal",'Control Room'!$B$7+'Control Room'!$D$7*SQRT(-2*LN(MAX(0.000000000001,V496/2147483647)))*COS(2*PI()*W496/2147483647),'Control Room'!$B$8+('Control Room'!$D$8-'Control Room'!$B$8)*V496/2147483647)</x:f>
        <x:v>1050.5624440355712</x:v>
      </x:c>
      <x:c r="Y496" s="17" t="n">
        <x:f>IF('Control Room'!$B$5="Normal",'Control Room'!$B$7,('Control Room'!$B$8+'Control Room'!$D$8)/2)+'Control Room'!$B$9*(Y495-IF('Control Room'!$B$5="Normal",'Control Room'!$B$7,('Control Room'!$B$8+'Control Room'!$D$8)/2))+SQRT(1-'Control Room'!$B$9^2)*(X496-IF('Control Room'!$B$5="Normal",'Control Room'!$B$7,('Control Room'!$B$8+'Control Room'!$D$8)/2))</x:f>
        <x:v>951.0064931211544</x:v>
      </x:c>
      <x:c r="Z496" s="17" t="n">
        <x:f>IF(AND($A496&gt;='Control Room'!$A$13,$A496&lt;'Control Room'!$A$13+'Control Room'!$B$13,'Process'!BO2=1),1+('Control Room'!$C$13-1)*EXP(-0.5*(($A496-'Control Room'!$A$13-('Control Room'!$B$13-1)/2)/MAX(0.5,'Control Room'!$B$13/4))^2),1)*IF(AND($A496&gt;='Control Room'!$A$14,$A496&lt;'Control Room'!$A$14+'Control Room'!$B$14,'Process'!BO3=1),1+('Control Room'!$C$14-1)*EXP(-0.5*(($A496-'Control Room'!$A$14-('Control Room'!$B$14-1)/2)/MAX(0.5,'Control Room'!$B$14/4))^2),1)*IF(AND($A496&gt;='Control Room'!$A$15,$A496&lt;'Control Room'!$A$15+'Control Room'!$B$15,'Process'!BO4=1),1+('Control Room'!$C$15-1)*EXP(-0.5*(($A496-'Control Room'!$A$15-('Control Room'!$B$15-1)/2)/MAX(0.5,'Control Room'!$B$15/4))^2),1)*IF(AND($A496&gt;='Control Room'!$A$16,$A496&lt;'Control Room'!$A$16+'Control Room'!$B$16,'Process'!BO5=1),1+('Control Room'!$C$16-1)*EXP(-0.5*(($A496-'Control Room'!$A$16-('Control Room'!$B$16-1)/2)/MAX(0.5,'Control Room'!$B$16/4))^2),1)</x:f>
        <x:v>1</x:v>
      </x:c>
      <x:c r="AA496" s="9" t="n">
        <x:f>MOD(AB495*16807,2147483647)</x:f>
        <x:v>2113128080</x:v>
      </x:c>
      <x:c r="AB496" s="9" t="n">
        <x:f>MOD(AA496*16807,2147483647)</x:f>
        <x:v>259086474</x:v>
      </x:c>
      <x:c r="AC496" s="17" t="n">
        <x:f>IF('Control Room'!$B$5="Normal",'Control Room'!$B$7+'Control Room'!$D$7*SQRT(-2*LN(MAX(0.000000000001,AA496/2147483647)))*COS(2*PI()*AB496/2147483647),'Control Room'!$B$8+('Control Room'!$D$8-'Control Room'!$B$8)*AA496/2147483647)</x:f>
        <x:v>1011.7377573751553</x:v>
      </x:c>
      <x:c r="AD496" s="17" t="n">
        <x:f>IF('Control Room'!$B$5="Normal",'Control Room'!$B$7,('Control Room'!$B$8+'Control Room'!$D$8)/2)+'Control Room'!$B$9*(AD495-IF('Control Room'!$B$5="Normal",'Control Room'!$B$7,('Control Room'!$B$8+'Control Room'!$D$8)/2))+SQRT(1-'Control Room'!$B$9^2)*(AC496-IF('Control Room'!$B$5="Normal",'Control Room'!$B$7,('Control Room'!$B$8+'Control Room'!$D$8)/2))</x:f>
        <x:v>969.1773818322085</x:v>
      </x:c>
      <x:c r="AE496" s="17" t="n">
        <x:f>IF(AND($A496&gt;='Control Room'!$A$13,$A496&lt;'Control Room'!$A$13+'Control Room'!$B$13,'Process'!BP2=1),1+('Control Room'!$C$13-1)*EXP(-0.5*(($A496-'Control Room'!$A$13-('Control Room'!$B$13-1)/2)/MAX(0.5,'Control Room'!$B$13/4))^2),1)*IF(AND($A496&gt;='Control Room'!$A$14,$A496&lt;'Control Room'!$A$14+'Control Room'!$B$14,'Process'!BP3=1),1+('Control Room'!$C$14-1)*EXP(-0.5*(($A496-'Control Room'!$A$14-('Control Room'!$B$14-1)/2)/MAX(0.5,'Control Room'!$B$14/4))^2),1)*IF(AND($A496&gt;='Control Room'!$A$15,$A496&lt;'Control Room'!$A$15+'Control Room'!$B$15,'Process'!BP4=1),1+('Control Room'!$C$15-1)*EXP(-0.5*(($A496-'Control Room'!$A$15-('Control Room'!$B$15-1)/2)/MAX(0.5,'Control Room'!$B$15/4))^2),1)*IF(AND($A496&gt;='Control Room'!$A$16,$A496&lt;'Control Room'!$A$16+'Control Room'!$B$16,'Process'!BP5=1),1+('Control Room'!$C$16-1)*EXP(-0.5*(($A496-'Control Room'!$A$16-('Control Room'!$B$16-1)/2)/MAX(0.5,'Control Room'!$B$16/4))^2),1)</x:f>
        <x:v>1</x:v>
      </x:c>
      <x:c r="AF496" s="9" t="n">
        <x:f>MOD(AG495*16807,2147483647)</x:f>
        <x:v>327267984</x:v>
      </x:c>
      <x:c r="AG496" s="9" t="n">
        <x:f>MOD(AF496*16807,2147483647)</x:f>
        <x:v>687387121</x:v>
      </x:c>
      <x:c r="AH496" s="17" t="n">
        <x:f>IF('Control Room'!$B$5="Normal",'Control Room'!$B$7+'Control Room'!$D$7*SQRT(-2*LN(MAX(0.000000000001,AF496/2147483647)))*COS(2*PI()*AG496/2147483647),'Control Room'!$B$8+('Control Room'!$D$8-'Control Room'!$B$8)*AF496/2147483647)</x:f>
        <x:v>925.5804644922757</x:v>
      </x:c>
      <x:c r="AI496" s="17" t="n">
        <x:f>IF('Control Room'!$B$5="Normal",'Control Room'!$B$7,('Control Room'!$B$8+'Control Room'!$D$8)/2)+'Control Room'!$B$9*(AI495-IF('Control Room'!$B$5="Normal",'Control Room'!$B$7,('Control Room'!$B$8+'Control Room'!$D$8)/2))+SQRT(1-'Control Room'!$B$9^2)*(AH496-IF('Control Room'!$B$5="Normal",'Control Room'!$B$7,('Control Room'!$B$8+'Control Room'!$D$8)/2))</x:f>
        <x:v>879.3458402852365</x:v>
      </x:c>
      <x:c r="AJ496" s="17" t="n">
        <x:f>IF(AND($A496&gt;='Control Room'!$A$13,$A496&lt;'Control Room'!$A$13+'Control Room'!$B$13,'Process'!BQ2=1),1+('Control Room'!$C$13-1)*EXP(-0.5*(($A496-'Control Room'!$A$13-('Control Room'!$B$13-1)/2)/MAX(0.5,'Control Room'!$B$13/4))^2),1)*IF(AND($A496&gt;='Control Room'!$A$14,$A496&lt;'Control Room'!$A$14+'Control Room'!$B$14,'Process'!BQ3=1),1+('Control Room'!$C$14-1)*EXP(-0.5*(($A496-'Control Room'!$A$14-('Control Room'!$B$14-1)/2)/MAX(0.5,'Control Room'!$B$14/4))^2),1)*IF(AND($A496&gt;='Control Room'!$A$15,$A496&lt;'Control Room'!$A$15+'Control Room'!$B$15,'Process'!BQ4=1),1+('Control Room'!$C$15-1)*EXP(-0.5*(($A496-'Control Room'!$A$15-('Control Room'!$B$15-1)/2)/MAX(0.5,'Control Room'!$B$15/4))^2),1)*IF(AND($A496&gt;='Control Room'!$A$16,$A496&lt;'Control Room'!$A$16+'Control Room'!$B$16,'Process'!BQ5=1),1+('Control Room'!$C$16-1)*EXP(-0.5*(($A496-'Control Room'!$A$16-('Control Room'!$B$16-1)/2)/MAX(0.5,'Control Room'!$B$16/4))^2),1)</x:f>
        <x:v>1</x:v>
      </x:c>
      <x:c r="AK496" s="9" t="n">
        <x:f>MOD(AL495*16807,2147483647)</x:f>
        <x:v>688891535</x:v>
      </x:c>
      <x:c r="AL496" s="9" t="n">
        <x:f>MOD(AK496*16807,2147483647)</x:f>
        <x:v>1115687768</x:v>
      </x:c>
      <x:c r="AM496" s="17" t="n">
        <x:f>IF('Control Room'!$B$5="Normal",'Control Room'!$B$7+'Control Room'!$D$7*SQRT(-2*LN(MAX(0.000000000001,AK496/2147483647)))*COS(2*PI()*AL496/2147483647),'Control Room'!$B$8+('Control Room'!$D$8-'Control Room'!$B$8)*AK496/2147483647)</x:f>
        <x:v>865.3045976160688</x:v>
      </x:c>
      <x:c r="AN496" s="17" t="n">
        <x:f>IF('Control Room'!$B$5="Normal",'Control Room'!$B$7,('Control Room'!$B$8+'Control Room'!$D$8)/2)+'Control Room'!$B$9*(AN495-IF('Control Room'!$B$5="Normal",'Control Room'!$B$7,('Control Room'!$B$8+'Control Room'!$D$8)/2))+SQRT(1-'Control Room'!$B$9^2)*(AM496-IF('Control Room'!$B$5="Normal",'Control Room'!$B$7,('Control Room'!$B$8+'Control Room'!$D$8)/2))</x:f>
        <x:v>797.4122352154238</x:v>
      </x:c>
      <x:c r="AO496" s="17" t="n">
        <x:f>IF(AND($A496&gt;='Control Room'!$A$13,$A496&lt;'Control Room'!$A$13+'Control Room'!$B$13,'Process'!BR2=1),1+('Control Room'!$C$13-1)*EXP(-0.5*(($A496-'Control Room'!$A$13-('Control Room'!$B$13-1)/2)/MAX(0.5,'Control Room'!$B$13/4))^2),1)*IF(AND($A496&gt;='Control Room'!$A$14,$A496&lt;'Control Room'!$A$14+'Control Room'!$B$14,'Process'!BR3=1),1+('Control Room'!$C$14-1)*EXP(-0.5*(($A496-'Control Room'!$A$14-('Control Room'!$B$14-1)/2)/MAX(0.5,'Control Room'!$B$14/4))^2),1)*IF(AND($A496&gt;='Control Room'!$A$15,$A496&lt;'Control Room'!$A$15+'Control Room'!$B$15,'Process'!BR4=1),1+('Control Room'!$C$15-1)*EXP(-0.5*(($A496-'Control Room'!$A$15-('Control Room'!$B$15-1)/2)/MAX(0.5,'Control Room'!$B$15/4))^2),1)*IF(AND($A496&gt;='Control Room'!$A$16,$A496&lt;'Control Room'!$A$16+'Control Room'!$B$16,'Process'!BR5=1),1+('Control Room'!$C$16-1)*EXP(-0.5*(($A496-'Control Room'!$A$16-('Control Room'!$B$16-1)/2)/MAX(0.5,'Control Room'!$B$16/4))^2),1)</x:f>
        <x:v>1</x:v>
      </x:c>
      <x:c r="AP496" s="9" t="n">
        <x:f>MOD(AQ495*16807,2147483647)</x:f>
        <x:v>1050515086</x:v>
      </x:c>
      <x:c r="AQ496" s="9" t="n">
        <x:f>MOD(AP496*16807,2147483647)</x:f>
        <x:v>1543988415</x:v>
      </x:c>
      <x:c r="AR496" s="17" t="n">
        <x:f>IF('Control Room'!$B$5="Normal",'Control Room'!$B$7+'Control Room'!$D$7*SQRT(-2*LN(MAX(0.000000000001,AP496/2147483647)))*COS(2*PI()*AQ496/2147483647),'Control Room'!$B$8+('Control Room'!$D$8-'Control Room'!$B$8)*AP496/2147483647)</x:f>
        <x:v>979.152963846715</x:v>
      </x:c>
      <x:c r="AS496" s="17" t="n">
        <x:f>IF('Control Room'!$B$5="Normal",'Control Room'!$B$7,('Control Room'!$B$8+'Control Room'!$D$8)/2)+'Control Room'!$B$9*(AS495-IF('Control Room'!$B$5="Normal",'Control Room'!$B$7,('Control Room'!$B$8+'Control Room'!$D$8)/2))+SQRT(1-'Control Room'!$B$9^2)*(AR496-IF('Control Room'!$B$5="Normal",'Control Room'!$B$7,('Control Room'!$B$8+'Control Room'!$D$8)/2))</x:f>
        <x:v>1036.8635692295195</x:v>
      </x:c>
      <x:c r="AT496" s="17" t="n">
        <x:f>IF(AND($A496&gt;='Control Room'!$A$13,$A496&lt;'Control Room'!$A$13+'Control Room'!$B$13,'Process'!BS2=1),1+('Control Room'!$C$13-1)*EXP(-0.5*(($A496-'Control Room'!$A$13-('Control Room'!$B$13-1)/2)/MAX(0.5,'Control Room'!$B$13/4))^2),1)*IF(AND($A496&gt;='Control Room'!$A$14,$A496&lt;'Control Room'!$A$14+'Control Room'!$B$14,'Process'!BS3=1),1+('Control Room'!$C$14-1)*EXP(-0.5*(($A496-'Control Room'!$A$14-('Control Room'!$B$14-1)/2)/MAX(0.5,'Control Room'!$B$14/4))^2),1)*IF(AND($A496&gt;='Control Room'!$A$15,$A496&lt;'Control Room'!$A$15+'Control Room'!$B$15,'Process'!BS4=1),1+('Control Room'!$C$15-1)*EXP(-0.5*(($A496-'Control Room'!$A$15-('Control Room'!$B$15-1)/2)/MAX(0.5,'Control Room'!$B$15/4))^2),1)*IF(AND($A496&gt;='Control Room'!$A$16,$A496&lt;'Control Room'!$A$16+'Control Room'!$B$16,'Process'!BS5=1),1+('Control Room'!$C$16-1)*EXP(-0.5*(($A496-'Control Room'!$A$16-('Control Room'!$B$16-1)/2)/MAX(0.5,'Control Room'!$B$16/4))^2),1)</x:f>
        <x:v>1</x:v>
      </x:c>
      <x:c r="AU496" s="9" t="n">
        <x:f>MOD(AV495*16807,2147483647)</x:f>
        <x:v>1412138637</x:v>
      </x:c>
      <x:c r="AV496" s="9" t="n">
        <x:f>MOD(AU496*16807,2147483647)</x:f>
        <x:v>1972289062</x:v>
      </x:c>
      <x:c r="AW496" s="17" t="n">
        <x:f>IF('Control Room'!$B$5="Normal",'Control Room'!$B$7+'Control Room'!$D$7*SQRT(-2*LN(MAX(0.000000000001,AU496/2147483647)))*COS(2*PI()*AV496/2147483647),'Control Room'!$B$8+('Control Room'!$D$8-'Control Room'!$B$8)*AU496/2147483647)</x:f>
        <x:v>1071.8157304287352</x:v>
      </x:c>
      <x:c r="AX496" s="17" t="n">
        <x:f>IF('Control Room'!$B$5="Normal",'Control Room'!$B$7,('Control Room'!$B$8+'Control Room'!$D$8)/2)+'Control Room'!$B$9*(AX495-IF('Control Room'!$B$5="Normal",'Control Room'!$B$7,('Control Room'!$B$8+'Control Room'!$D$8)/2))+SQRT(1-'Control Room'!$B$9^2)*(AW496-IF('Control Room'!$B$5="Normal",'Control Room'!$B$7,('Control Room'!$B$8+'Control Room'!$D$8)/2))</x:f>
        <x:v>947.0390300412217</x:v>
      </x:c>
      <x:c r="AY496" s="17" t="n">
        <x:f>IF(AND($A496&gt;='Control Room'!$A$13,$A496&lt;'Control Room'!$A$13+'Control Room'!$B$13,'Process'!BT2=1),1+('Control Room'!$C$13-1)*EXP(-0.5*(($A496-'Control Room'!$A$13-('Control Room'!$B$13-1)/2)/MAX(0.5,'Control Room'!$B$13/4))^2),1)*IF(AND($A496&gt;='Control Room'!$A$14,$A496&lt;'Control Room'!$A$14+'Control Room'!$B$14,'Process'!BT3=1),1+('Control Room'!$C$14-1)*EXP(-0.5*(($A496-'Control Room'!$A$14-('Control Room'!$B$14-1)/2)/MAX(0.5,'Control Room'!$B$14/4))^2),1)*IF(AND($A496&gt;='Control Room'!$A$15,$A496&lt;'Control Room'!$A$15+'Control Room'!$B$15,'Process'!BT4=1),1+('Control Room'!$C$15-1)*EXP(-0.5*(($A496-'Control Room'!$A$15-('Control Room'!$B$15-1)/2)/MAX(0.5,'Control Room'!$B$15/4))^2),1)*IF(AND($A496&gt;='Control Room'!$A$16,$A496&lt;'Control Room'!$A$16+'Control Room'!$B$16,'Process'!BT5=1),1+('Control Room'!$C$16-1)*EXP(-0.5*(($A496-'Control Room'!$A$16-('Control Room'!$B$16-1)/2)/MAX(0.5,'Control Room'!$B$16/4))^2),1)</x:f>
        <x:v>1</x:v>
      </x:c>
      <x:c r="AZ496" s="9" t="n">
        <x:f>MOD(BA495*16807,2147483647)</x:f>
        <x:v>1773762188</x:v>
      </x:c>
      <x:c r="BA496" s="9" t="n">
        <x:f>MOD(AZ496*16807,2147483647)</x:f>
        <x:v>253106062</x:v>
      </x:c>
      <x:c r="BB496" s="17" t="n">
        <x:f>IF('Control Room'!$B$5="Normal",'Control Room'!$B$7+'Control Room'!$D$7*SQRT(-2*LN(MAX(0.000000000001,AZ496/2147483647)))*COS(2*PI()*BA496/2147483647),'Control Room'!$B$8+('Control Room'!$D$8-'Control Room'!$B$8)*AZ496/2147483647)</x:f>
        <x:v>1041.0780290301939</x:v>
      </x:c>
      <x:c r="BC496" s="17" t="n">
        <x:f>IF('Control Room'!$B$5="Normal",'Control Room'!$B$7,('Control Room'!$B$8+'Control Room'!$D$8)/2)+'Control Room'!$B$9*(BC495-IF('Control Room'!$B$5="Normal",'Control Room'!$B$7,('Control Room'!$B$8+'Control Room'!$D$8)/2))+SQRT(1-'Control Room'!$B$9^2)*(BB496-IF('Control Room'!$B$5="Normal",'Control Room'!$B$7,('Control Room'!$B$8+'Control Room'!$D$8)/2))</x:f>
        <x:v>1058.0569444178564</x:v>
      </x:c>
      <x:c r="BD496" s="17" t="n">
        <x:f>IF(AND($A496&gt;='Control Room'!$A$13,$A496&lt;'Control Room'!$A$13+'Control Room'!$B$13,'Process'!BU2=1),1+('Control Room'!$C$13-1)*EXP(-0.5*(($A496-'Control Room'!$A$13-('Control Room'!$B$13-1)/2)/MAX(0.5,'Control Room'!$B$13/4))^2),1)*IF(AND($A496&gt;='Control Room'!$A$14,$A496&lt;'Control Room'!$A$14+'Control Room'!$B$14,'Process'!BU3=1),1+('Control Room'!$C$14-1)*EXP(-0.5*(($A496-'Control Room'!$A$14-('Control Room'!$B$14-1)/2)/MAX(0.5,'Control Room'!$B$14/4))^2),1)*IF(AND($A496&gt;='Control Room'!$A$15,$A496&lt;'Control Room'!$A$15+'Control Room'!$B$15,'Process'!BU4=1),1+('Control Room'!$C$15-1)*EXP(-0.5*(($A496-'Control Room'!$A$15-('Control Room'!$B$15-1)/2)/MAX(0.5,'Control Room'!$B$15/4))^2),1)*IF(AND($A496&gt;='Control Room'!$A$16,$A496&lt;'Control Room'!$A$16+'Control Room'!$B$16,'Process'!BU5=1),1+('Control Room'!$C$16-1)*EXP(-0.5*(($A496-'Control Room'!$A$16-('Control Room'!$B$16-1)/2)/MAX(0.5,'Control Room'!$B$16/4))^2),1)</x:f>
        <x:v>1</x:v>
      </x:c>
      <x:c r="BE496" s="9" t="n">
        <x:f>MOD(BF495*16807,2147483647)</x:f>
        <x:v>2135385739</x:v>
      </x:c>
      <x:c r="BF496" s="9" t="n">
        <x:f>MOD(BE496*16807,2147483647)</x:f>
        <x:v>681406709</x:v>
      </x:c>
      <x:c r="BG496" s="17" t="n">
        <x:f>IF('Control Room'!$B$5="Normal",'Control Room'!$B$7+'Control Room'!$D$7*SQRT(-2*LN(MAX(0.000000000001,BE496/2147483647)))*COS(2*PI()*BF496/2147483647),'Control Room'!$B$8+('Control Room'!$D$8-'Control Room'!$B$8)*BE496/2147483647)</x:f>
        <x:v>996.0738786332878</x:v>
      </x:c>
      <x:c r="BH496" s="17" t="n">
        <x:f>IF('Control Room'!$B$5="Normal",'Control Room'!$B$7,('Control Room'!$B$8+'Control Room'!$D$8)/2)+'Control Room'!$B$9*(BH495-IF('Control Room'!$B$5="Normal",'Control Room'!$B$7,('Control Room'!$B$8+'Control Room'!$D$8)/2))+SQRT(1-'Control Room'!$B$9^2)*(BG496-IF('Control Room'!$B$5="Normal",'Control Room'!$B$7,('Control Room'!$B$8+'Control Room'!$D$8)/2))</x:f>
        <x:v>1051.6023282341334</x:v>
      </x:c>
      <x:c r="BI496" s="17" t="n">
        <x:f>IF(AND($A496&gt;='Control Room'!$A$13,$A496&lt;'Control Room'!$A$13+'Control Room'!$B$13,'Process'!BV2=1),1+('Control Room'!$C$13-1)*EXP(-0.5*(($A496-'Control Room'!$A$13-('Control Room'!$B$13-1)/2)/MAX(0.5,'Control Room'!$B$13/4))^2),1)*IF(AND($A496&gt;='Control Room'!$A$14,$A496&lt;'Control Room'!$A$14+'Control Room'!$B$14,'Process'!BV3=1),1+('Control Room'!$C$14-1)*EXP(-0.5*(($A496-'Control Room'!$A$14-('Control Room'!$B$14-1)/2)/MAX(0.5,'Control Room'!$B$14/4))^2),1)*IF(AND($A496&gt;='Control Room'!$A$15,$A496&lt;'Control Room'!$A$15+'Control Room'!$B$15,'Process'!BV4=1),1+('Control Room'!$C$15-1)*EXP(-0.5*(($A496-'Control Room'!$A$15-('Control Room'!$B$15-1)/2)/MAX(0.5,'Control Room'!$B$15/4))^2),1)*IF(AND($A496&gt;='Control Room'!$A$16,$A496&lt;'Control Room'!$A$16+'Control Room'!$B$16,'Process'!BV5=1),1+('Control Room'!$C$16-1)*EXP(-0.5*(($A496-'Control Room'!$A$16-('Control Room'!$B$16-1)/2)/MAX(0.5,'Control Room'!$B$16/4))^2),1)</x:f>
        <x:v>1</x:v>
      </x:c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Z496" t="str">
        <x:f>IF('Data'!A496="","",TEXT('Data'!A496,"mm-dd"))</x:f>
      </x:c>
    </x:row>
    <x:row r="497" ht="21" customHeight="1">
      <x:c r="A497" s="15" t="n">
        <x:f>'Control Room'!$B$1+495</x:f>
        <x:v>73486</x:v>
      </x:c>
      <x:c r="B497" s="9" t="n">
        <x:f>MOD(C496*16807,2147483647)</x:f>
        <x:v>1098069124</x:v>
      </x:c>
      <x:c r="C497" s="9" t="n">
        <x:f>MOD(B497*16807,2147483647)</x:f>
        <x:v>1920788397</x:v>
      </x:c>
      <x:c r="D497" s="17" t="n">
        <x:f>IF('Control Room'!$B$5="Normal",'Control Room'!$B$7+'Control Room'!$D$7*SQRT(-2*LN(MAX(0.000000000001,B497/2147483647)))*COS(2*PI()*C497/2147483647),'Control Room'!$B$8+('Control Room'!$D$8-'Control Room'!$B$8)*B497/2147483647)</x:f>
        <x:v>1082.139408997769</x:v>
      </x:c>
      <x:c r="E497" s="17" t="n">
        <x:f>IF('Control Room'!$B$5="Normal",'Control Room'!$B$7,('Control Room'!$B$8+'Control Room'!$D$8)/2)+'Control Room'!$B$9*(E496-IF('Control Room'!$B$5="Normal",'Control Room'!$B$7,('Control Room'!$B$8+'Control Room'!$D$8)/2))+SQRT(1-'Control Room'!$B$9^2)*(D497-IF('Control Room'!$B$5="Normal",'Control Room'!$B$7,('Control Room'!$B$8+'Control Room'!$D$8)/2))</x:f>
        <x:v>1106.9485591219825</x:v>
      </x:c>
      <x:c r="F497" s="17" t="n">
        <x:f>IF(AND($A497&gt;='Control Room'!$A$13,$A497&lt;'Control Room'!$A$13+'Control Room'!$B$13,'Process'!BK2=1),1+('Control Room'!$C$13-1)*EXP(-0.5*(($A497-'Control Room'!$A$13-('Control Room'!$B$13-1)/2)/MAX(0.5,'Control Room'!$B$13/4))^2),1)*IF(AND($A497&gt;='Control Room'!$A$14,$A497&lt;'Control Room'!$A$14+'Control Room'!$B$14,'Process'!BK3=1),1+('Control Room'!$C$14-1)*EXP(-0.5*(($A497-'Control Room'!$A$14-('Control Room'!$B$14-1)/2)/MAX(0.5,'Control Room'!$B$14/4))^2),1)*IF(AND($A497&gt;='Control Room'!$A$15,$A497&lt;'Control Room'!$A$15+'Control Room'!$B$15,'Process'!BK4=1),1+('Control Room'!$C$15-1)*EXP(-0.5*(($A497-'Control Room'!$A$15-('Control Room'!$B$15-1)/2)/MAX(0.5,'Control Room'!$B$15/4))^2),1)*IF(AND($A497&gt;='Control Room'!$A$16,$A497&lt;'Control Room'!$A$16+'Control Room'!$B$16,'Process'!BK5=1),1+('Control Room'!$C$16-1)*EXP(-0.5*(($A497-'Control Room'!$A$16-('Control Room'!$B$16-1)/2)/MAX(0.5,'Control Room'!$B$16/4))^2),1)</x:f>
        <x:v>1</x:v>
      </x:c>
      <x:c r="G497" s="9" t="n">
        <x:f>MOD(H496*16807,2147483647)</x:f>
        <x:v>1181858509</x:v>
      </x:c>
      <x:c r="H497" s="9" t="n">
        <x:f>MOD(G497*16807,2147483647)</x:f>
        <x:v>1419709660</x:v>
      </x:c>
      <x:c r="I497" s="17" t="n">
        <x:f>IF('Control Room'!$B$5="Normal",'Control Room'!$B$7+'Control Room'!$D$7*SQRT(-2*LN(MAX(0.000000000001,G497/2147483647)))*COS(2*PI()*H497/2147483647),'Control Room'!$B$8+('Control Room'!$D$8-'Control Room'!$B$8)*G497/2147483647)</x:f>
        <x:v>947.8730845569872</x:v>
      </x:c>
      <x:c r="J497" s="17" t="n">
        <x:f>IF('Control Room'!$B$5="Normal",'Control Room'!$B$7,('Control Room'!$B$8+'Control Room'!$D$8)/2)+'Control Room'!$B$9*(J496-IF('Control Room'!$B$5="Normal",'Control Room'!$B$7,('Control Room'!$B$8+'Control Room'!$D$8)/2))+SQRT(1-'Control Room'!$B$9^2)*(I497-IF('Control Room'!$B$5="Normal",'Control Room'!$B$7,('Control Room'!$B$8+'Control Room'!$D$8)/2))</x:f>
        <x:v>922.4838350661832</x:v>
      </x:c>
      <x:c r="K497" s="17" t="n">
        <x:f>IF(AND($A497&gt;='Control Room'!$A$13,$A497&lt;'Control Room'!$A$13+'Control Room'!$B$13,'Process'!BL2=1),1+('Control Room'!$C$13-1)*EXP(-0.5*(($A497-'Control Room'!$A$13-('Control Room'!$B$13-1)/2)/MAX(0.5,'Control Room'!$B$13/4))^2),1)*IF(AND($A497&gt;='Control Room'!$A$14,$A497&lt;'Control Room'!$A$14+'Control Room'!$B$14,'Process'!BL3=1),1+('Control Room'!$C$14-1)*EXP(-0.5*(($A497-'Control Room'!$A$14-('Control Room'!$B$14-1)/2)/MAX(0.5,'Control Room'!$B$14/4))^2),1)*IF(AND($A497&gt;='Control Room'!$A$15,$A497&lt;'Control Room'!$A$15+'Control Room'!$B$15,'Process'!BL4=1),1+('Control Room'!$C$15-1)*EXP(-0.5*(($A497-'Control Room'!$A$15-('Control Room'!$B$15-1)/2)/MAX(0.5,'Control Room'!$B$15/4))^2),1)*IF(AND($A497&gt;='Control Room'!$A$16,$A497&lt;'Control Room'!$A$16+'Control Room'!$B$16,'Process'!BL5=1),1+('Control Room'!$C$16-1)*EXP(-0.5*(($A497-'Control Room'!$A$16-('Control Room'!$B$16-1)/2)/MAX(0.5,'Control Room'!$B$16/4))^2),1)</x:f>
        <x:v>1</x:v>
      </x:c>
      <x:c r="L497" s="9" t="n">
        <x:f>MOD(M496*16807,2147483647)</x:f>
        <x:v>1265647894</x:v>
      </x:c>
      <x:c r="M497" s="9" t="n">
        <x:f>MOD(L497*16807,2147483647)</x:f>
        <x:v>918630923</x:v>
      </x:c>
      <x:c r="N497" s="17" t="n">
        <x:f>IF('Control Room'!$B$5="Normal",'Control Room'!$B$7+'Control Room'!$D$7*SQRT(-2*LN(MAX(0.000000000001,L497/2147483647)))*COS(2*PI()*M497/2147483647),'Control Room'!$B$8+('Control Room'!$D$8-'Control Room'!$B$8)*L497/2147483647)</x:f>
        <x:v>916.8201151651191</x:v>
      </x:c>
      <x:c r="O497" s="17" t="n">
        <x:f>IF('Control Room'!$B$5="Normal",'Control Room'!$B$7,('Control Room'!$B$8+'Control Room'!$D$8)/2)+'Control Room'!$B$9*(O496-IF('Control Room'!$B$5="Normal",'Control Room'!$B$7,('Control Room'!$B$8+'Control Room'!$D$8)/2))+SQRT(1-'Control Room'!$B$9^2)*(N497-IF('Control Room'!$B$5="Normal",'Control Room'!$B$7,('Control Room'!$B$8+'Control Room'!$D$8)/2))</x:f>
        <x:v>790.9641799791535</x:v>
      </x:c>
      <x:c r="P497" s="17" t="n">
        <x:f>IF(AND($A497&gt;='Control Room'!$A$13,$A497&lt;'Control Room'!$A$13+'Control Room'!$B$13,'Process'!BM2=1),1+('Control Room'!$C$13-1)*EXP(-0.5*(($A497-'Control Room'!$A$13-('Control Room'!$B$13-1)/2)/MAX(0.5,'Control Room'!$B$13/4))^2),1)*IF(AND($A497&gt;='Control Room'!$A$14,$A497&lt;'Control Room'!$A$14+'Control Room'!$B$14,'Process'!BM3=1),1+('Control Room'!$C$14-1)*EXP(-0.5*(($A497-'Control Room'!$A$14-('Control Room'!$B$14-1)/2)/MAX(0.5,'Control Room'!$B$14/4))^2),1)*IF(AND($A497&gt;='Control Room'!$A$15,$A497&lt;'Control Room'!$A$15+'Control Room'!$B$15,'Process'!BM4=1),1+('Control Room'!$C$15-1)*EXP(-0.5*(($A497-'Control Room'!$A$15-('Control Room'!$B$15-1)/2)/MAX(0.5,'Control Room'!$B$15/4))^2),1)*IF(AND($A497&gt;='Control Room'!$A$16,$A497&lt;'Control Room'!$A$16+'Control Room'!$B$16,'Process'!BM5=1),1+('Control Room'!$C$16-1)*EXP(-0.5*(($A497-'Control Room'!$A$16-('Control Room'!$B$16-1)/2)/MAX(0.5,'Control Room'!$B$16/4))^2),1)</x:f>
        <x:v>1</x:v>
      </x:c>
      <x:c r="Q497" s="9" t="n">
        <x:f>MOD(R496*16807,2147483647)</x:f>
        <x:v>1349437279</x:v>
      </x:c>
      <x:c r="R497" s="9" t="n">
        <x:f>MOD(Q497*16807,2147483647)</x:f>
        <x:v>417552186</x:v>
      </x:c>
      <x:c r="S497" s="17" t="n">
        <x:f>IF('Control Room'!$B$5="Normal",'Control Room'!$B$7+'Control Room'!$D$7*SQRT(-2*LN(MAX(0.000000000001,Q497/2147483647)))*COS(2*PI()*R497/2147483647),'Control Room'!$B$8+('Control Room'!$D$8-'Control Room'!$B$8)*Q497/2147483647)</x:f>
        <x:v>1029.6757831139541</x:v>
      </x:c>
      <x:c r="T497" s="17" t="n">
        <x:f>IF('Control Room'!$B$5="Normal",'Control Room'!$B$7,('Control Room'!$B$8+'Control Room'!$D$8)/2)+'Control Room'!$B$9*(T496-IF('Control Room'!$B$5="Normal",'Control Room'!$B$7,('Control Room'!$B$8+'Control Room'!$D$8)/2))+SQRT(1-'Control Room'!$B$9^2)*(S497-IF('Control Room'!$B$5="Normal",'Control Room'!$B$7,('Control Room'!$B$8+'Control Room'!$D$8)/2))</x:f>
        <x:v>1027.753819657527</x:v>
      </x:c>
      <x:c r="U497" s="17" t="n">
        <x:f>IF(AND($A497&gt;='Control Room'!$A$13,$A497&lt;'Control Room'!$A$13+'Control Room'!$B$13,'Process'!BN2=1),1+('Control Room'!$C$13-1)*EXP(-0.5*(($A497-'Control Room'!$A$13-('Control Room'!$B$13-1)/2)/MAX(0.5,'Control Room'!$B$13/4))^2),1)*IF(AND($A497&gt;='Control Room'!$A$14,$A497&lt;'Control Room'!$A$14+'Control Room'!$B$14,'Process'!BN3=1),1+('Control Room'!$C$14-1)*EXP(-0.5*(($A497-'Control Room'!$A$14-('Control Room'!$B$14-1)/2)/MAX(0.5,'Control Room'!$B$14/4))^2),1)*IF(AND($A497&gt;='Control Room'!$A$15,$A497&lt;'Control Room'!$A$15+'Control Room'!$B$15,'Process'!BN4=1),1+('Control Room'!$C$15-1)*EXP(-0.5*(($A497-'Control Room'!$A$15-('Control Room'!$B$15-1)/2)/MAX(0.5,'Control Room'!$B$15/4))^2),1)*IF(AND($A497&gt;='Control Room'!$A$16,$A497&lt;'Control Room'!$A$16+'Control Room'!$B$16,'Process'!BN5=1),1+('Control Room'!$C$16-1)*EXP(-0.5*(($A497-'Control Room'!$A$16-('Control Room'!$B$16-1)/2)/MAX(0.5,'Control Room'!$B$16/4))^2),1)</x:f>
        <x:v>1</x:v>
      </x:c>
      <x:c r="V497" s="9" t="n">
        <x:f>MOD(W496*16807,2147483647)</x:f>
        <x:v>1433226664</x:v>
      </x:c>
      <x:c r="W497" s="9" t="n">
        <x:f>MOD(V497*16807,2147483647)</x:f>
        <x:v>2063957096</x:v>
      </x:c>
      <x:c r="X497" s="17" t="n">
        <x:f>IF('Control Room'!$B$5="Normal",'Control Room'!$B$7+'Control Room'!$D$7*SQRT(-2*LN(MAX(0.000000000001,V497/2147483647)))*COS(2*PI()*W497/2147483647),'Control Room'!$B$8+('Control Room'!$D$8-'Control Room'!$B$8)*V497/2147483647)</x:f>
        <x:v>1078.5318889189455</x:v>
      </x:c>
      <x:c r="Y497" s="17" t="n">
        <x:f>IF('Control Room'!$B$5="Normal",'Control Room'!$B$7,('Control Room'!$B$8+'Control Room'!$D$8)/2)+'Control Room'!$B$9*(Y496-IF('Control Room'!$B$5="Normal",'Control Room'!$B$7,('Control Room'!$B$8+'Control Room'!$D$8)/2))+SQRT(1-'Control Room'!$B$9^2)*(X497-IF('Control Room'!$B$5="Normal",'Control Room'!$B$7,('Control Room'!$B$8+'Control Room'!$D$8)/2))</x:f>
        <x:v>1010.9287119067852</x:v>
      </x:c>
      <x:c r="Z497" s="17" t="n">
        <x:f>IF(AND($A497&gt;='Control Room'!$A$13,$A497&lt;'Control Room'!$A$13+'Control Room'!$B$13,'Process'!BO2=1),1+('Control Room'!$C$13-1)*EXP(-0.5*(($A497-'Control Room'!$A$13-('Control Room'!$B$13-1)/2)/MAX(0.5,'Control Room'!$B$13/4))^2),1)*IF(AND($A497&gt;='Control Room'!$A$14,$A497&lt;'Control Room'!$A$14+'Control Room'!$B$14,'Process'!BO3=1),1+('Control Room'!$C$14-1)*EXP(-0.5*(($A497-'Control Room'!$A$14-('Control Room'!$B$14-1)/2)/MAX(0.5,'Control Room'!$B$14/4))^2),1)*IF(AND($A497&gt;='Control Room'!$A$15,$A497&lt;'Control Room'!$A$15+'Control Room'!$B$15,'Process'!BO4=1),1+('Control Room'!$C$15-1)*EXP(-0.5*(($A497-'Control Room'!$A$15-('Control Room'!$B$15-1)/2)/MAX(0.5,'Control Room'!$B$15/4))^2),1)*IF(AND($A497&gt;='Control Room'!$A$16,$A497&lt;'Control Room'!$A$16+'Control Room'!$B$16,'Process'!BO5=1),1+('Control Room'!$C$16-1)*EXP(-0.5*(($A497-'Control Room'!$A$16-('Control Room'!$B$16-1)/2)/MAX(0.5,'Control Room'!$B$16/4))^2),1)</x:f>
        <x:v>1</x:v>
      </x:c>
      <x:c r="AA497" s="9" t="n">
        <x:f>MOD(AB496*16807,2147483647)</x:f>
        <x:v>1517016049</x:v>
      </x:c>
      <x:c r="AB497" s="9" t="n">
        <x:f>MOD(AA497*16807,2147483647)</x:f>
        <x:v>1562878359</x:v>
      </x:c>
      <x:c r="AC497" s="17" t="n">
        <x:f>IF('Control Room'!$B$5="Normal",'Control Room'!$B$7+'Control Room'!$D$7*SQRT(-2*LN(MAX(0.000000000001,AA497/2147483647)))*COS(2*PI()*AB497/2147483647),'Control Room'!$B$8+('Control Room'!$D$8-'Control Room'!$B$8)*AA497/2147483647)</x:f>
        <x:v>989.5543482779798</x:v>
      </x:c>
      <x:c r="AD497" s="17" t="n">
        <x:f>IF('Control Room'!$B$5="Normal",'Control Room'!$B$7,('Control Room'!$B$8+'Control Room'!$D$8)/2)+'Control Room'!$B$9*(AD496-IF('Control Room'!$B$5="Normal",'Control Room'!$B$7,('Control Room'!$B$8+'Control Room'!$D$8)/2))+SQRT(1-'Control Room'!$B$9^2)*(AC497-IF('Control Room'!$B$5="Normal",'Control Room'!$B$7,('Control Room'!$B$8+'Control Room'!$D$8)/2))</x:f>
        <x:v>969.4216829722893</x:v>
      </x:c>
      <x:c r="AE497" s="17" t="n">
        <x:f>IF(AND($A497&gt;='Control Room'!$A$13,$A497&lt;'Control Room'!$A$13+'Control Room'!$B$13,'Process'!BP2=1),1+('Control Room'!$C$13-1)*EXP(-0.5*(($A497-'Control Room'!$A$13-('Control Room'!$B$13-1)/2)/MAX(0.5,'Control Room'!$B$13/4))^2),1)*IF(AND($A497&gt;='Control Room'!$A$14,$A497&lt;'Control Room'!$A$14+'Control Room'!$B$14,'Process'!BP3=1),1+('Control Room'!$C$14-1)*EXP(-0.5*(($A497-'Control Room'!$A$14-('Control Room'!$B$14-1)/2)/MAX(0.5,'Control Room'!$B$14/4))^2),1)*IF(AND($A497&gt;='Control Room'!$A$15,$A497&lt;'Control Room'!$A$15+'Control Room'!$B$15,'Process'!BP4=1),1+('Control Room'!$C$15-1)*EXP(-0.5*(($A497-'Control Room'!$A$15-('Control Room'!$B$15-1)/2)/MAX(0.5,'Control Room'!$B$15/4))^2),1)*IF(AND($A497&gt;='Control Room'!$A$16,$A497&lt;'Control Room'!$A$16+'Control Room'!$B$16,'Process'!BP5=1),1+('Control Room'!$C$16-1)*EXP(-0.5*(($A497-'Control Room'!$A$16-('Control Room'!$B$16-1)/2)/MAX(0.5,'Control Room'!$B$16/4))^2),1)</x:f>
        <x:v>1</x:v>
      </x:c>
      <x:c r="AF497" s="9" t="n">
        <x:f>MOD(AG496*16807,2147483647)</x:f>
        <x:v>1600805434</x:v>
      </x:c>
      <x:c r="AG497" s="9" t="n">
        <x:f>MOD(AF497*16807,2147483647)</x:f>
        <x:v>1061799622</x:v>
      </x:c>
      <x:c r="AH497" s="17" t="n">
        <x:f>IF('Control Room'!$B$5="Normal",'Control Room'!$B$7+'Control Room'!$D$7*SQRT(-2*LN(MAX(0.000000000001,AF497/2147483647)))*COS(2*PI()*AG497/2147483647),'Control Room'!$B$8+('Control Room'!$D$8-'Control Room'!$B$8)*AF497/2147483647)</x:f>
        <x:v>931.053734552334</x:v>
      </x:c>
      <x:c r="AI497" s="17" t="n">
        <x:f>IF('Control Room'!$B$5="Normal",'Control Room'!$B$7,('Control Room'!$B$8+'Control Room'!$D$8)/2)+'Control Room'!$B$9*(AI496-IF('Control Room'!$B$5="Normal",'Control Room'!$B$7,('Control Room'!$B$8+'Control Room'!$D$8)/2))+SQRT(1-'Control Room'!$B$9^2)*(AH497-IF('Control Room'!$B$5="Normal",'Control Room'!$B$7,('Control Room'!$B$8+'Control Room'!$D$8)/2))</x:f>
        <x:v>862.7445949463557</x:v>
      </x:c>
      <x:c r="AJ497" s="17" t="n">
        <x:f>IF(AND($A497&gt;='Control Room'!$A$13,$A497&lt;'Control Room'!$A$13+'Control Room'!$B$13,'Process'!BQ2=1),1+('Control Room'!$C$13-1)*EXP(-0.5*(($A497-'Control Room'!$A$13-('Control Room'!$B$13-1)/2)/MAX(0.5,'Control Room'!$B$13/4))^2),1)*IF(AND($A497&gt;='Control Room'!$A$14,$A497&lt;'Control Room'!$A$14+'Control Room'!$B$14,'Process'!BQ3=1),1+('Control Room'!$C$14-1)*EXP(-0.5*(($A497-'Control Room'!$A$14-('Control Room'!$B$14-1)/2)/MAX(0.5,'Control Room'!$B$14/4))^2),1)*IF(AND($A497&gt;='Control Room'!$A$15,$A497&lt;'Control Room'!$A$15+'Control Room'!$B$15,'Process'!BQ4=1),1+('Control Room'!$C$15-1)*EXP(-0.5*(($A497-'Control Room'!$A$15-('Control Room'!$B$15-1)/2)/MAX(0.5,'Control Room'!$B$15/4))^2),1)*IF(AND($A497&gt;='Control Room'!$A$16,$A497&lt;'Control Room'!$A$16+'Control Room'!$B$16,'Process'!BQ5=1),1+('Control Room'!$C$16-1)*EXP(-0.5*(($A497-'Control Room'!$A$16-('Control Room'!$B$16-1)/2)/MAX(0.5,'Control Room'!$B$16/4))^2),1)</x:f>
        <x:v>1</x:v>
      </x:c>
      <x:c r="AK497" s="9" t="n">
        <x:f>MOD(AL496*16807,2147483647)</x:f>
        <x:v>1684594819</x:v>
      </x:c>
      <x:c r="AL497" s="9" t="n">
        <x:f>MOD(AK497*16807,2147483647)</x:f>
        <x:v>560720885</x:v>
      </x:c>
      <x:c r="AM497" s="17" t="n">
        <x:f>IF('Control Room'!$B$5="Normal",'Control Room'!$B$7+'Control Room'!$D$7*SQRT(-2*LN(MAX(0.000000000001,AK497/2147483647)))*COS(2*PI()*AL497/2147483647),'Control Room'!$B$8+('Control Room'!$D$8-'Control Room'!$B$8)*AK497/2147483647)</x:f>
        <x:v>995.6273782610812</x:v>
      </x:c>
      <x:c r="AN497" s="17" t="n">
        <x:f>IF('Control Room'!$B$5="Normal",'Control Room'!$B$7,('Control Room'!$B$8+'Control Room'!$D$8)/2)+'Control Room'!$B$9*(AN496-IF('Control Room'!$B$5="Normal",'Control Room'!$B$7,('Control Room'!$B$8+'Control Room'!$D$8)/2))+SQRT(1-'Control Room'!$B$9^2)*(AM497-IF('Control Room'!$B$5="Normal",'Control Room'!$B$7,('Control Room'!$B$8+'Control Room'!$D$8)/2))</x:f>
        <x:v>839.2452463618405</x:v>
      </x:c>
      <x:c r="AO497" s="17" t="n">
        <x:f>IF(AND($A497&gt;='Control Room'!$A$13,$A497&lt;'Control Room'!$A$13+'Control Room'!$B$13,'Process'!BR2=1),1+('Control Room'!$C$13-1)*EXP(-0.5*(($A497-'Control Room'!$A$13-('Control Room'!$B$13-1)/2)/MAX(0.5,'Control Room'!$B$13/4))^2),1)*IF(AND($A497&gt;='Control Room'!$A$14,$A497&lt;'Control Room'!$A$14+'Control Room'!$B$14,'Process'!BR3=1),1+('Control Room'!$C$14-1)*EXP(-0.5*(($A497-'Control Room'!$A$14-('Control Room'!$B$14-1)/2)/MAX(0.5,'Control Room'!$B$14/4))^2),1)*IF(AND($A497&gt;='Control Room'!$A$15,$A497&lt;'Control Room'!$A$15+'Control Room'!$B$15,'Process'!BR4=1),1+('Control Room'!$C$15-1)*EXP(-0.5*(($A497-'Control Room'!$A$15-('Control Room'!$B$15-1)/2)/MAX(0.5,'Control Room'!$B$15/4))^2),1)*IF(AND($A497&gt;='Control Room'!$A$16,$A497&lt;'Control Room'!$A$16+'Control Room'!$B$16,'Process'!BR5=1),1+('Control Room'!$C$16-1)*EXP(-0.5*(($A497-'Control Room'!$A$16-('Control Room'!$B$16-1)/2)/MAX(0.5,'Control Room'!$B$16/4))^2),1)</x:f>
        <x:v>1</x:v>
      </x:c>
      <x:c r="AP497" s="9" t="n">
        <x:f>MOD(AQ496*16807,2147483647)</x:f>
        <x:v>1768384204</x:v>
      </x:c>
      <x:c r="AQ497" s="9" t="n">
        <x:f>MOD(AP497*16807,2147483647)</x:f>
        <x:v>59642148</x:v>
      </x:c>
      <x:c r="AR497" s="17" t="n">
        <x:f>IF('Control Room'!$B$5="Normal",'Control Room'!$B$7+'Control Room'!$D$7*SQRT(-2*LN(MAX(0.000000000001,AP497/2147483647)))*COS(2*PI()*AQ497/2147483647),'Control Room'!$B$8+('Control Room'!$D$8-'Control Room'!$B$8)*AP497/2147483647)</x:f>
        <x:v>1055.2420733873107</x:v>
      </x:c>
      <x:c r="AS497" s="17" t="n">
        <x:f>IF('Control Room'!$B$5="Normal",'Control Room'!$B$7,('Control Room'!$B$8+'Control Room'!$D$8)/2)+'Control Room'!$B$9*(AS496-IF('Control Room'!$B$5="Normal",'Control Room'!$B$7,('Control Room'!$B$8+'Control Room'!$D$8)/2))+SQRT(1-'Control Room'!$B$9^2)*(AR497-IF('Control Room'!$B$5="Normal",'Control Room'!$B$7,('Control Room'!$B$8+'Control Room'!$D$8)/2))</x:f>
        <x:v>1063.322941829418</x:v>
      </x:c>
      <x:c r="AT497" s="17" t="n">
        <x:f>IF(AND($A497&gt;='Control Room'!$A$13,$A497&lt;'Control Room'!$A$13+'Control Room'!$B$13,'Process'!BS2=1),1+('Control Room'!$C$13-1)*EXP(-0.5*(($A497-'Control Room'!$A$13-('Control Room'!$B$13-1)/2)/MAX(0.5,'Control Room'!$B$13/4))^2),1)*IF(AND($A497&gt;='Control Room'!$A$14,$A497&lt;'Control Room'!$A$14+'Control Room'!$B$14,'Process'!BS3=1),1+('Control Room'!$C$14-1)*EXP(-0.5*(($A497-'Control Room'!$A$14-('Control Room'!$B$14-1)/2)/MAX(0.5,'Control Room'!$B$14/4))^2),1)*IF(AND($A497&gt;='Control Room'!$A$15,$A497&lt;'Control Room'!$A$15+'Control Room'!$B$15,'Process'!BS4=1),1+('Control Room'!$C$15-1)*EXP(-0.5*(($A497-'Control Room'!$A$15-('Control Room'!$B$15-1)/2)/MAX(0.5,'Control Room'!$B$15/4))^2),1)*IF(AND($A497&gt;='Control Room'!$A$16,$A497&lt;'Control Room'!$A$16+'Control Room'!$B$16,'Process'!BS5=1),1+('Control Room'!$C$16-1)*EXP(-0.5*(($A497-'Control Room'!$A$16-('Control Room'!$B$16-1)/2)/MAX(0.5,'Control Room'!$B$16/4))^2),1)</x:f>
        <x:v>1</x:v>
      </x:c>
      <x:c r="AU497" s="9" t="n">
        <x:f>MOD(AV496*16807,2147483647)</x:f>
        <x:v>1852173589</x:v>
      </x:c>
      <x:c r="AV497" s="9" t="n">
        <x:f>MOD(AU497*16807,2147483647)</x:f>
        <x:v>1706047058</x:v>
      </x:c>
      <x:c r="AW497" s="17" t="n">
        <x:f>IF('Control Room'!$B$5="Normal",'Control Room'!$B$7+'Control Room'!$D$7*SQRT(-2*LN(MAX(0.000000000001,AU497/2147483647)))*COS(2*PI()*AV497/2147483647),'Control Room'!$B$8+('Control Room'!$D$8-'Control Room'!$B$8)*AU497/2147483647)</x:f>
        <x:v>1013.4924929962427</x:v>
      </x:c>
      <x:c r="AX497" s="17" t="n">
        <x:f>IF('Control Room'!$B$5="Normal",'Control Room'!$B$7,('Control Room'!$B$8+'Control Room'!$D$8)/2)+'Control Room'!$B$9*(AX496-IF('Control Room'!$B$5="Normal",'Control Room'!$B$7,('Control Room'!$B$8+'Control Room'!$D$8)/2))+SQRT(1-'Control Room'!$B$9^2)*(AW497-IF('Control Room'!$B$5="Normal",'Control Room'!$B$7,('Control Room'!$B$8+'Control Room'!$D$8)/2))</x:f>
        <x:v>967.1337691404585</x:v>
      </x:c>
      <x:c r="AY497" s="17" t="n">
        <x:f>IF(AND($A497&gt;='Control Room'!$A$13,$A497&lt;'Control Room'!$A$13+'Control Room'!$B$13,'Process'!BT2=1),1+('Control Room'!$C$13-1)*EXP(-0.5*(($A497-'Control Room'!$A$13-('Control Room'!$B$13-1)/2)/MAX(0.5,'Control Room'!$B$13/4))^2),1)*IF(AND($A497&gt;='Control Room'!$A$14,$A497&lt;'Control Room'!$A$14+'Control Room'!$B$14,'Process'!BT3=1),1+('Control Room'!$C$14-1)*EXP(-0.5*(($A497-'Control Room'!$A$14-('Control Room'!$B$14-1)/2)/MAX(0.5,'Control Room'!$B$14/4))^2),1)*IF(AND($A497&gt;='Control Room'!$A$15,$A497&lt;'Control Room'!$A$15+'Control Room'!$B$15,'Process'!BT4=1),1+('Control Room'!$C$15-1)*EXP(-0.5*(($A497-'Control Room'!$A$15-('Control Room'!$B$15-1)/2)/MAX(0.5,'Control Room'!$B$15/4))^2),1)*IF(AND($A497&gt;='Control Room'!$A$16,$A497&lt;'Control Room'!$A$16+'Control Room'!$B$16,'Process'!BT5=1),1+('Control Room'!$C$16-1)*EXP(-0.5*(($A497-'Control Room'!$A$16-('Control Room'!$B$16-1)/2)/MAX(0.5,'Control Room'!$B$16/4))^2),1)</x:f>
        <x:v>1</x:v>
      </x:c>
      <x:c r="AZ497" s="9" t="n">
        <x:f>MOD(BA496*16807,2147483647)</x:f>
        <x:v>1935962974</x:v>
      </x:c>
      <x:c r="BA497" s="9" t="n">
        <x:f>MOD(AZ497*16807,2147483647)</x:f>
        <x:v>1204968321</x:v>
      </x:c>
      <x:c r="BB497" s="17" t="n">
        <x:f>IF('Control Room'!$B$5="Normal",'Control Room'!$B$7+'Control Room'!$D$7*SQRT(-2*LN(MAX(0.000000000001,AZ497/2147483647)))*COS(2*PI()*BA497/2147483647),'Control Room'!$B$8+('Control Room'!$D$8-'Control Room'!$B$8)*AZ497/2147483647)</x:f>
        <x:v>961.9985473457042</x:v>
      </x:c>
      <x:c r="BC497" s="17" t="n">
        <x:f>IF('Control Room'!$B$5="Normal",'Control Room'!$B$7,('Control Room'!$B$8+'Control Room'!$D$8)/2)+'Control Room'!$B$9*(BC496-IF('Control Room'!$B$5="Normal",'Control Room'!$B$7,('Control Room'!$B$8+'Control Room'!$D$8)/2))+SQRT(1-'Control Room'!$B$9^2)*(BB497-IF('Control Room'!$B$5="Normal",'Control Room'!$B$7,('Control Room'!$B$8+'Control Room'!$D$8)/2))</x:f>
        <x:v>1021.5038860769425</x:v>
      </x:c>
      <x:c r="BD497" s="17" t="n">
        <x:f>IF(AND($A497&gt;='Control Room'!$A$13,$A497&lt;'Control Room'!$A$13+'Control Room'!$B$13,'Process'!BU2=1),1+('Control Room'!$C$13-1)*EXP(-0.5*(($A497-'Control Room'!$A$13-('Control Room'!$B$13-1)/2)/MAX(0.5,'Control Room'!$B$13/4))^2),1)*IF(AND($A497&gt;='Control Room'!$A$14,$A497&lt;'Control Room'!$A$14+'Control Room'!$B$14,'Process'!BU3=1),1+('Control Room'!$C$14-1)*EXP(-0.5*(($A497-'Control Room'!$A$14-('Control Room'!$B$14-1)/2)/MAX(0.5,'Control Room'!$B$14/4))^2),1)*IF(AND($A497&gt;='Control Room'!$A$15,$A497&lt;'Control Room'!$A$15+'Control Room'!$B$15,'Process'!BU4=1),1+('Control Room'!$C$15-1)*EXP(-0.5*(($A497-'Control Room'!$A$15-('Control Room'!$B$15-1)/2)/MAX(0.5,'Control Room'!$B$15/4))^2),1)*IF(AND($A497&gt;='Control Room'!$A$16,$A497&lt;'Control Room'!$A$16+'Control Room'!$B$16,'Process'!BU5=1),1+('Control Room'!$C$16-1)*EXP(-0.5*(($A497-'Control Room'!$A$16-('Control Room'!$B$16-1)/2)/MAX(0.5,'Control Room'!$B$16/4))^2),1)</x:f>
        <x:v>1</x:v>
      </x:c>
      <x:c r="BE497" s="9" t="n">
        <x:f>MOD(BF496*16807,2147483647)</x:f>
        <x:v>2019752359</x:v>
      </x:c>
      <x:c r="BF497" s="9" t="n">
        <x:f>MOD(BE497*16807,2147483647)</x:f>
        <x:v>703889584</x:v>
      </x:c>
      <x:c r="BG497" s="17" t="n">
        <x:f>IF('Control Room'!$B$5="Normal",'Control Room'!$B$7+'Control Room'!$D$7*SQRT(-2*LN(MAX(0.000000000001,BE497/2147483647)))*COS(2*PI()*BF497/2147483647),'Control Room'!$B$8+('Control Room'!$D$8-'Control Room'!$B$8)*BE497/2147483647)</x:f>
        <x:v>985.203612264999</x:v>
      </x:c>
      <x:c r="BH497" s="17" t="n">
        <x:f>IF('Control Room'!$B$5="Normal",'Control Room'!$B$7,('Control Room'!$B$8+'Control Room'!$D$8)/2)+'Control Room'!$B$9*(BH496-IF('Control Room'!$B$5="Normal",'Control Room'!$B$7,('Control Room'!$B$8+'Control Room'!$D$8)/2))+SQRT(1-'Control Room'!$B$9^2)*(BG497-IF('Control Room'!$B$5="Normal",'Control Room'!$B$7,('Control Room'!$B$8+'Control Room'!$D$8)/2))</x:f>
        <x:v>1030.9905396985394</x:v>
      </x:c>
      <x:c r="BI497" s="17" t="n">
        <x:f>IF(AND($A497&gt;='Control Room'!$A$13,$A497&lt;'Control Room'!$A$13+'Control Room'!$B$13,'Process'!BV2=1),1+('Control Room'!$C$13-1)*EXP(-0.5*(($A497-'Control Room'!$A$13-('Control Room'!$B$13-1)/2)/MAX(0.5,'Control Room'!$B$13/4))^2),1)*IF(AND($A497&gt;='Control Room'!$A$14,$A497&lt;'Control Room'!$A$14+'Control Room'!$B$14,'Process'!BV3=1),1+('Control Room'!$C$14-1)*EXP(-0.5*(($A497-'Control Room'!$A$14-('Control Room'!$B$14-1)/2)/MAX(0.5,'Control Room'!$B$14/4))^2),1)*IF(AND($A497&gt;='Control Room'!$A$15,$A497&lt;'Control Room'!$A$15+'Control Room'!$B$15,'Process'!BV4=1),1+('Control Room'!$C$15-1)*EXP(-0.5*(($A497-'Control Room'!$A$15-('Control Room'!$B$15-1)/2)/MAX(0.5,'Control Room'!$B$15/4))^2),1)*IF(AND($A497&gt;='Control Room'!$A$16,$A497&lt;'Control Room'!$A$16+'Control Room'!$B$16,'Process'!BV5=1),1+('Control Room'!$C$16-1)*EXP(-0.5*(($A497-'Control Room'!$A$16-('Control Room'!$B$16-1)/2)/MAX(0.5,'Control Room'!$B$16/4))^2),1)</x:f>
        <x:v>1</x:v>
      </x:c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Z497" t="str">
        <x:f>IF('Data'!A497="","",TEXT('Data'!A497,"mm-dd"))</x:f>
      </x:c>
    </x:row>
    <x:row r="498" ht="21" customHeight="1">
      <x:c r="A498" s="15" t="n">
        <x:f>'Control Room'!$B$1+496</x:f>
        <x:v>73487</x:v>
      </x:c>
      <x:c r="B498" s="9" t="n">
        <x:f>MOD(C497*16807,2147483647)</x:f>
        <x:v>1716406675</x:v>
      </x:c>
      <x:c r="C498" s="9" t="n">
        <x:f>MOD(B498*16807,2147483647)</x:f>
        <x:v>499156574</x:v>
      </x:c>
      <x:c r="D498" s="17" t="n">
        <x:f>IF('Control Room'!$B$5="Normal",'Control Room'!$B$7+'Control Room'!$D$7*SQRT(-2*LN(MAX(0.000000000001,B498/2147483647)))*COS(2*PI()*C498/2147483647),'Control Room'!$B$8+('Control Room'!$D$8-'Control Room'!$B$8)*B498/2147483647)</x:f>
        <x:v>1006.634651853461</x:v>
      </x:c>
      <x:c r="E498" s="17" t="n">
        <x:f>IF('Control Room'!$B$5="Normal",'Control Room'!$B$7,('Control Room'!$B$8+'Control Room'!$D$8)/2)+'Control Room'!$B$9*(E497-IF('Control Room'!$B$5="Normal",'Control Room'!$B$7,('Control Room'!$B$8+'Control Room'!$D$8)/2))+SQRT(1-'Control Room'!$B$9^2)*(D498-IF('Control Room'!$B$5="Normal",'Control Room'!$B$7,('Control Room'!$B$8+'Control Room'!$D$8)/2))</x:f>
        <x:v>1087.571705326811</x:v>
      </x:c>
      <x:c r="F498" s="17" t="n">
        <x:f>IF(AND($A498&gt;='Control Room'!$A$13,$A498&lt;'Control Room'!$A$13+'Control Room'!$B$13,'Process'!BK2=1),1+('Control Room'!$C$13-1)*EXP(-0.5*(($A498-'Control Room'!$A$13-('Control Room'!$B$13-1)/2)/MAX(0.5,'Control Room'!$B$13/4))^2),1)*IF(AND($A498&gt;='Control Room'!$A$14,$A498&lt;'Control Room'!$A$14+'Control Room'!$B$14,'Process'!BK3=1),1+('Control Room'!$C$14-1)*EXP(-0.5*(($A498-'Control Room'!$A$14-('Control Room'!$B$14-1)/2)/MAX(0.5,'Control Room'!$B$14/4))^2),1)*IF(AND($A498&gt;='Control Room'!$A$15,$A498&lt;'Control Room'!$A$15+'Control Room'!$B$15,'Process'!BK4=1),1+('Control Room'!$C$15-1)*EXP(-0.5*(($A498-'Control Room'!$A$15-('Control Room'!$B$15-1)/2)/MAX(0.5,'Control Room'!$B$15/4))^2),1)*IF(AND($A498&gt;='Control Room'!$A$16,$A498&lt;'Control Room'!$A$16+'Control Room'!$B$16,'Process'!BK5=1),1+('Control Room'!$C$16-1)*EXP(-0.5*(($A498-'Control Room'!$A$16-('Control Room'!$B$16-1)/2)/MAX(0.5,'Control Room'!$B$16/4))^2),1)</x:f>
        <x:v>1</x:v>
      </x:c>
      <x:c r="G498" s="9" t="n">
        <x:f>MOD(H497*16807,2147483647)</x:f>
        <x:v>369453803</x:v>
      </x:c>
      <x:c r="H498" s="9" t="n">
        <x:f>MOD(G498*16807,2147483647)</x:f>
        <x:v>1034843544</x:v>
      </x:c>
      <x:c r="I498" s="17" t="n">
        <x:f>IF('Control Room'!$B$5="Normal",'Control Room'!$B$7+'Control Room'!$D$7*SQRT(-2*LN(MAX(0.000000000001,G498/2147483647)))*COS(2*PI()*H498/2147483647),'Control Room'!$B$8+('Control Room'!$D$8-'Control Room'!$B$8)*G498/2147483647)</x:f>
        <x:v>832.2361628797074</x:v>
      </x:c>
      <x:c r="J498" s="17" t="n">
        <x:f>IF('Control Room'!$B$5="Normal",'Control Room'!$B$7,('Control Room'!$B$8+'Control Room'!$D$8)/2)+'Control Room'!$B$9*(J497-IF('Control Room'!$B$5="Normal",'Control Room'!$B$7,('Control Room'!$B$8+'Control Room'!$D$8)/2))+SQRT(1-'Control Room'!$B$9^2)*(I498-IF('Control Room'!$B$5="Normal",'Control Room'!$B$7,('Control Room'!$B$8+'Control Room'!$D$8)/2))</x:f>
        <x:v>834.5542189107555</x:v>
      </x:c>
      <x:c r="K498" s="17" t="n">
        <x:f>IF(AND($A498&gt;='Control Room'!$A$13,$A498&lt;'Control Room'!$A$13+'Control Room'!$B$13,'Process'!BL2=1),1+('Control Room'!$C$13-1)*EXP(-0.5*(($A498-'Control Room'!$A$13-('Control Room'!$B$13-1)/2)/MAX(0.5,'Control Room'!$B$13/4))^2),1)*IF(AND($A498&gt;='Control Room'!$A$14,$A498&lt;'Control Room'!$A$14+'Control Room'!$B$14,'Process'!BL3=1),1+('Control Room'!$C$14-1)*EXP(-0.5*(($A498-'Control Room'!$A$14-('Control Room'!$B$14-1)/2)/MAX(0.5,'Control Room'!$B$14/4))^2),1)*IF(AND($A498&gt;='Control Room'!$A$15,$A498&lt;'Control Room'!$A$15+'Control Room'!$B$15,'Process'!BL4=1),1+('Control Room'!$C$15-1)*EXP(-0.5*(($A498-'Control Room'!$A$15-('Control Room'!$B$15-1)/2)/MAX(0.5,'Control Room'!$B$15/4))^2),1)*IF(AND($A498&gt;='Control Room'!$A$16,$A498&lt;'Control Room'!$A$16+'Control Room'!$B$16,'Process'!BL5=1),1+('Control Room'!$C$16-1)*EXP(-0.5*(($A498-'Control Room'!$A$16-('Control Room'!$B$16-1)/2)/MAX(0.5,'Control Room'!$B$16/4))^2),1)</x:f>
        <x:v>1</x:v>
      </x:c>
      <x:c r="L498" s="9" t="n">
        <x:f>MOD(M497*16807,2147483647)</x:f>
        <x:v>1169984578</x:v>
      </x:c>
      <x:c r="M498" s="9" t="n">
        <x:f>MOD(L498*16807,2147483647)</x:f>
        <x:v>1570530514</x:v>
      </x:c>
      <x:c r="N498" s="17" t="n">
        <x:f>IF('Control Room'!$B$5="Normal",'Control Room'!$B$7+'Control Room'!$D$7*SQRT(-2*LN(MAX(0.000000000001,L498/2147483647)))*COS(2*PI()*M498/2147483647),'Control Room'!$B$8+('Control Room'!$D$8-'Control Room'!$B$8)*L498/2147483647)</x:f>
        <x:v>988.3944106422541</x:v>
      </x:c>
      <x:c r="O498" s="17" t="n">
        <x:f>IF('Control Room'!$B$5="Normal",'Control Room'!$B$7,('Control Room'!$B$8+'Control Room'!$D$8)/2)+'Control Room'!$B$9*(O497-IF('Control Room'!$B$5="Normal",'Control Room'!$B$7,('Control Room'!$B$8+'Control Room'!$D$8)/2))+SQRT(1-'Control Room'!$B$9^2)*(N498-IF('Control Room'!$B$5="Normal",'Control Room'!$B$7,('Control Room'!$B$8+'Control Room'!$D$8)/2))</x:f>
        <x:v>829.6895203170834</x:v>
      </x:c>
      <x:c r="P498" s="17" t="n">
        <x:f>IF(AND($A498&gt;='Control Room'!$A$13,$A498&lt;'Control Room'!$A$13+'Control Room'!$B$13,'Process'!BM2=1),1+('Control Room'!$C$13-1)*EXP(-0.5*(($A498-'Control Room'!$A$13-('Control Room'!$B$13-1)/2)/MAX(0.5,'Control Room'!$B$13/4))^2),1)*IF(AND($A498&gt;='Control Room'!$A$14,$A498&lt;'Control Room'!$A$14+'Control Room'!$B$14,'Process'!BM3=1),1+('Control Room'!$C$14-1)*EXP(-0.5*(($A498-'Control Room'!$A$14-('Control Room'!$B$14-1)/2)/MAX(0.5,'Control Room'!$B$14/4))^2),1)*IF(AND($A498&gt;='Control Room'!$A$15,$A498&lt;'Control Room'!$A$15+'Control Room'!$B$15,'Process'!BM4=1),1+('Control Room'!$C$15-1)*EXP(-0.5*(($A498-'Control Room'!$A$15-('Control Room'!$B$15-1)/2)/MAX(0.5,'Control Room'!$B$15/4))^2),1)*IF(AND($A498&gt;='Control Room'!$A$16,$A498&lt;'Control Room'!$A$16+'Control Room'!$B$16,'Process'!BM5=1),1+('Control Room'!$C$16-1)*EXP(-0.5*(($A498-'Control Room'!$A$16-('Control Room'!$B$16-1)/2)/MAX(0.5,'Control Room'!$B$16/4))^2),1)</x:f>
        <x:v>1</x:v>
      </x:c>
      <x:c r="Q498" s="9" t="n">
        <x:f>MOD(R497*16807,2147483647)</x:f>
        <x:v>1970515353</x:v>
      </x:c>
      <x:c r="R498" s="9" t="n">
        <x:f>MOD(Q498*16807,2147483647)</x:f>
        <x:v>2106217484</x:v>
      </x:c>
      <x:c r="S498" s="17" t="n">
        <x:f>IF('Control Room'!$B$5="Normal",'Control Room'!$B$7+'Control Room'!$D$7*SQRT(-2*LN(MAX(0.000000000001,Q498/2147483647)))*COS(2*PI()*R498/2147483647),'Control Room'!$B$8+('Control Room'!$D$8-'Control Room'!$B$8)*Q498/2147483647)</x:f>
        <x:v>1037.0542202836778</x:v>
      </x:c>
      <x:c r="T498" s="17" t="n">
        <x:f>IF('Control Room'!$B$5="Normal",'Control Room'!$B$7,('Control Room'!$B$8+'Control Room'!$D$8)/2)+'Control Room'!$B$9*(T497-IF('Control Room'!$B$5="Normal",'Control Room'!$B$7,('Control Room'!$B$8+'Control Room'!$D$8)/2))+SQRT(1-'Control Room'!$B$9^2)*(S498-IF('Control Room'!$B$5="Normal",'Control Room'!$B$7,('Control Room'!$B$8+'Control Room'!$D$8)/2))</x:f>
        <x:v>1044.8357512894336</x:v>
      </x:c>
      <x:c r="U498" s="17" t="n">
        <x:f>IF(AND($A498&gt;='Control Room'!$A$13,$A498&lt;'Control Room'!$A$13+'Control Room'!$B$13,'Process'!BN2=1),1+('Control Room'!$C$13-1)*EXP(-0.5*(($A498-'Control Room'!$A$13-('Control Room'!$B$13-1)/2)/MAX(0.5,'Control Room'!$B$13/4))^2),1)*IF(AND($A498&gt;='Control Room'!$A$14,$A498&lt;'Control Room'!$A$14+'Control Room'!$B$14,'Process'!BN3=1),1+('Control Room'!$C$14-1)*EXP(-0.5*(($A498-'Control Room'!$A$14-('Control Room'!$B$14-1)/2)/MAX(0.5,'Control Room'!$B$14/4))^2),1)*IF(AND($A498&gt;='Control Room'!$A$15,$A498&lt;'Control Room'!$A$15+'Control Room'!$B$15,'Process'!BN4=1),1+('Control Room'!$C$15-1)*EXP(-0.5*(($A498-'Control Room'!$A$15-('Control Room'!$B$15-1)/2)/MAX(0.5,'Control Room'!$B$15/4))^2),1)*IF(AND($A498&gt;='Control Room'!$A$16,$A498&lt;'Control Room'!$A$16+'Control Room'!$B$16,'Process'!BN5=1),1+('Control Room'!$C$16-1)*EXP(-0.5*(($A498-'Control Room'!$A$16-('Control Room'!$B$16-1)/2)/MAX(0.5,'Control Room'!$B$16/4))^2),1)</x:f>
        <x:v>1</x:v>
      </x:c>
      <x:c r="V498" s="9" t="n">
        <x:f>MOD(W497*16807,2147483647)</x:f>
        <x:v>623562481</x:v>
      </x:c>
      <x:c r="W498" s="9" t="n">
        <x:f>MOD(V498*16807,2147483647)</x:f>
        <x:v>494420807</x:v>
      </x:c>
      <x:c r="X498" s="17" t="n">
        <x:f>IF('Control Room'!$B$5="Normal",'Control Room'!$B$7+'Control Room'!$D$7*SQRT(-2*LN(MAX(0.000000000001,V498/2147483647)))*COS(2*PI()*W498/2147483647),'Control Room'!$B$8+('Control Room'!$D$8-'Control Room'!$B$8)*V498/2147483647)</x:f>
        <x:v>1017.5341323276191</x:v>
      </x:c>
      <x:c r="Y498" s="17" t="n">
        <x:f>IF('Control Room'!$B$5="Normal",'Control Room'!$B$7,('Control Room'!$B$8+'Control Room'!$D$8)/2)+'Control Room'!$B$9*(Y497-IF('Control Room'!$B$5="Normal",'Control Room'!$B$7,('Control Room'!$B$8+'Control Room'!$D$8)/2))+SQRT(1-'Control Room'!$B$9^2)*(X498-IF('Control Room'!$B$5="Normal",'Control Room'!$B$7,('Control Room'!$B$8+'Control Room'!$D$8)/2))</x:f>
        <x:v>1019.4968960916912</x:v>
      </x:c>
      <x:c r="Z498" s="17" t="n">
        <x:f>IF(AND($A498&gt;='Control Room'!$A$13,$A498&lt;'Control Room'!$A$13+'Control Room'!$B$13,'Process'!BO2=1),1+('Control Room'!$C$13-1)*EXP(-0.5*(($A498-'Control Room'!$A$13-('Control Room'!$B$13-1)/2)/MAX(0.5,'Control Room'!$B$13/4))^2),1)*IF(AND($A498&gt;='Control Room'!$A$14,$A498&lt;'Control Room'!$A$14+'Control Room'!$B$14,'Process'!BO3=1),1+('Control Room'!$C$14-1)*EXP(-0.5*(($A498-'Control Room'!$A$14-('Control Room'!$B$14-1)/2)/MAX(0.5,'Control Room'!$B$14/4))^2),1)*IF(AND($A498&gt;='Control Room'!$A$15,$A498&lt;'Control Room'!$A$15+'Control Room'!$B$15,'Process'!BO4=1),1+('Control Room'!$C$15-1)*EXP(-0.5*(($A498-'Control Room'!$A$15-('Control Room'!$B$15-1)/2)/MAX(0.5,'Control Room'!$B$15/4))^2),1)*IF(AND($A498&gt;='Control Room'!$A$16,$A498&lt;'Control Room'!$A$16+'Control Room'!$B$16,'Process'!BO5=1),1+('Control Room'!$C$16-1)*EXP(-0.5*(($A498-'Control Room'!$A$16-('Control Room'!$B$16-1)/2)/MAX(0.5,'Control Room'!$B$16/4))^2),1)</x:f>
        <x:v>1</x:v>
      </x:c>
      <x:c r="AA498" s="9" t="n">
        <x:f>MOD(AB497*16807,2147483647)</x:f>
        <x:v>1424093256</x:v>
      </x:c>
      <x:c r="AB498" s="9" t="n">
        <x:f>MOD(AA498*16807,2147483647)</x:f>
        <x:v>1030107777</x:v>
      </x:c>
      <x:c r="AC498" s="17" t="n">
        <x:f>IF('Control Room'!$B$5="Normal",'Control Room'!$B$7+'Control Room'!$D$7*SQRT(-2*LN(MAX(0.000000000001,AA498/2147483647)))*COS(2*PI()*AB498/2147483647),'Control Room'!$B$8+('Control Room'!$D$8-'Control Room'!$B$8)*AA498/2147483647)</x:f>
        <x:v>919.0897590963745</x:v>
      </x:c>
      <x:c r="AD498" s="17" t="n">
        <x:f>IF('Control Room'!$B$5="Normal",'Control Room'!$B$7,('Control Room'!$B$8+'Control Room'!$D$8)/2)+'Control Room'!$B$9*(AD497-IF('Control Room'!$B$5="Normal",'Control Room'!$B$7,('Control Room'!$B$8+'Control Room'!$D$8)/2))+SQRT(1-'Control Room'!$B$9^2)*(AC498-IF('Control Room'!$B$5="Normal",'Control Room'!$B$7,('Control Room'!$B$8+'Control Room'!$D$8)/2))</x:f>
        <x:v>925.5169414972768</x:v>
      </x:c>
      <x:c r="AE498" s="17" t="n">
        <x:f>IF(AND($A498&gt;='Control Room'!$A$13,$A498&lt;'Control Room'!$A$13+'Control Room'!$B$13,'Process'!BP2=1),1+('Control Room'!$C$13-1)*EXP(-0.5*(($A498-'Control Room'!$A$13-('Control Room'!$B$13-1)/2)/MAX(0.5,'Control Room'!$B$13/4))^2),1)*IF(AND($A498&gt;='Control Room'!$A$14,$A498&lt;'Control Room'!$A$14+'Control Room'!$B$14,'Process'!BP3=1),1+('Control Room'!$C$14-1)*EXP(-0.5*(($A498-'Control Room'!$A$14-('Control Room'!$B$14-1)/2)/MAX(0.5,'Control Room'!$B$14/4))^2),1)*IF(AND($A498&gt;='Control Room'!$A$15,$A498&lt;'Control Room'!$A$15+'Control Room'!$B$15,'Process'!BP4=1),1+('Control Room'!$C$15-1)*EXP(-0.5*(($A498-'Control Room'!$A$15-('Control Room'!$B$15-1)/2)/MAX(0.5,'Control Room'!$B$15/4))^2),1)*IF(AND($A498&gt;='Control Room'!$A$16,$A498&lt;'Control Room'!$A$16+'Control Room'!$B$16,'Process'!BP5=1),1+('Control Room'!$C$16-1)*EXP(-0.5*(($A498-'Control Room'!$A$16-('Control Room'!$B$16-1)/2)/MAX(0.5,'Control Room'!$B$16/4))^2),1)</x:f>
        <x:v>1</x:v>
      </x:c>
      <x:c r="AF498" s="9" t="n">
        <x:f>MOD(AG497*16807,2147483647)</x:f>
        <x:v>77140384</x:v>
      </x:c>
      <x:c r="AG498" s="9" t="n">
        <x:f>MOD(AF498*16807,2147483647)</x:f>
        <x:v>1565794747</x:v>
      </x:c>
      <x:c r="AH498" s="17" t="n">
        <x:f>IF('Control Room'!$B$5="Normal",'Control Room'!$B$7+'Control Room'!$D$7*SQRT(-2*LN(MAX(0.000000000001,AF498/2147483647)))*COS(2*PI()*AG498/2147483647),'Control Room'!$B$8+('Control Room'!$D$8-'Control Room'!$B$8)*AF498/2147483647)</x:f>
        <x:v>969.6468752624984</x:v>
      </x:c>
      <x:c r="AI498" s="17" t="n">
        <x:f>IF('Control Room'!$B$5="Normal",'Control Room'!$B$7,('Control Room'!$B$8+'Control Room'!$D$8)/2)+'Control Room'!$B$9*(AI497-IF('Control Room'!$B$5="Normal",'Control Room'!$B$7,('Control Room'!$B$8+'Control Room'!$D$8)/2))+SQRT(1-'Control Room'!$B$9^2)*(AH498-IF('Control Room'!$B$5="Normal",'Control Room'!$B$7,('Control Room'!$B$8+'Control Room'!$D$8)/2))</x:f>
        <x:v>873.946420414988</x:v>
      </x:c>
      <x:c r="AJ498" s="17" t="n">
        <x:f>IF(AND($A498&gt;='Control Room'!$A$13,$A498&lt;'Control Room'!$A$13+'Control Room'!$B$13,'Process'!BQ2=1),1+('Control Room'!$C$13-1)*EXP(-0.5*(($A498-'Control Room'!$A$13-('Control Room'!$B$13-1)/2)/MAX(0.5,'Control Room'!$B$13/4))^2),1)*IF(AND($A498&gt;='Control Room'!$A$14,$A498&lt;'Control Room'!$A$14+'Control Room'!$B$14,'Process'!BQ3=1),1+('Control Room'!$C$14-1)*EXP(-0.5*(($A498-'Control Room'!$A$14-('Control Room'!$B$14-1)/2)/MAX(0.5,'Control Room'!$B$14/4))^2),1)*IF(AND($A498&gt;='Control Room'!$A$15,$A498&lt;'Control Room'!$A$15+'Control Room'!$B$15,'Process'!BQ4=1),1+('Control Room'!$C$15-1)*EXP(-0.5*(($A498-'Control Room'!$A$15-('Control Room'!$B$15-1)/2)/MAX(0.5,'Control Room'!$B$15/4))^2),1)*IF(AND($A498&gt;='Control Room'!$A$16,$A498&lt;'Control Room'!$A$16+'Control Room'!$B$16,'Process'!BQ5=1),1+('Control Room'!$C$16-1)*EXP(-0.5*(($A498-'Control Room'!$A$16-('Control Room'!$B$16-1)/2)/MAX(0.5,'Control Room'!$B$16/4))^2),1)</x:f>
        <x:v>1</x:v>
      </x:c>
      <x:c r="AK498" s="9" t="n">
        <x:f>MOD(AL497*16807,2147483647)</x:f>
        <x:v>877671159</x:v>
      </x:c>
      <x:c r="AL498" s="9" t="n">
        <x:f>MOD(AK498*16807,2147483647)</x:f>
        <x:v>2101481717</x:v>
      </x:c>
      <x:c r="AM498" s="17" t="n">
        <x:f>IF('Control Room'!$B$5="Normal",'Control Room'!$B$7+'Control Room'!$D$7*SQRT(-2*LN(MAX(0.000000000001,AK498/2147483647)))*COS(2*PI()*AL498/2147483647),'Control Room'!$B$8+('Control Room'!$D$8-'Control Room'!$B$8)*AK498/2147483647)</x:f>
        <x:v>1119.308111579369</x:v>
      </x:c>
      <x:c r="AN498" s="17" t="n">
        <x:f>IF('Control Room'!$B$5="Normal",'Control Room'!$B$7,('Control Room'!$B$8+'Control Room'!$D$8)/2)+'Control Room'!$B$9*(AN497-IF('Control Room'!$B$5="Normal",'Control Room'!$B$7,('Control Room'!$B$8+'Control Room'!$D$8)/2))+SQRT(1-'Control Room'!$B$9^2)*(AM498-IF('Control Room'!$B$5="Normal",'Control Room'!$B$7,('Control Room'!$B$8+'Control Room'!$D$8)/2))</x:f>
        <x:v>949.2718642290872</x:v>
      </x:c>
      <x:c r="AO498" s="17" t="n">
        <x:f>IF(AND($A498&gt;='Control Room'!$A$13,$A498&lt;'Control Room'!$A$13+'Control Room'!$B$13,'Process'!BR2=1),1+('Control Room'!$C$13-1)*EXP(-0.5*(($A498-'Control Room'!$A$13-('Control Room'!$B$13-1)/2)/MAX(0.5,'Control Room'!$B$13/4))^2),1)*IF(AND($A498&gt;='Control Room'!$A$14,$A498&lt;'Control Room'!$A$14+'Control Room'!$B$14,'Process'!BR3=1),1+('Control Room'!$C$14-1)*EXP(-0.5*(($A498-'Control Room'!$A$14-('Control Room'!$B$14-1)/2)/MAX(0.5,'Control Room'!$B$14/4))^2),1)*IF(AND($A498&gt;='Control Room'!$A$15,$A498&lt;'Control Room'!$A$15+'Control Room'!$B$15,'Process'!BR4=1),1+('Control Room'!$C$15-1)*EXP(-0.5*(($A498-'Control Room'!$A$15-('Control Room'!$B$15-1)/2)/MAX(0.5,'Control Room'!$B$15/4))^2),1)*IF(AND($A498&gt;='Control Room'!$A$16,$A498&lt;'Control Room'!$A$16+'Control Room'!$B$16,'Process'!BR5=1),1+('Control Room'!$C$16-1)*EXP(-0.5*(($A498-'Control Room'!$A$16-('Control Room'!$B$16-1)/2)/MAX(0.5,'Control Room'!$B$16/4))^2),1)</x:f>
        <x:v>1</x:v>
      </x:c>
      <x:c r="AP498" s="9" t="n">
        <x:f>MOD(AQ497*16807,2147483647)</x:f>
        <x:v>1678201934</x:v>
      </x:c>
      <x:c r="AQ498" s="9" t="n">
        <x:f>MOD(AP498*16807,2147483647)</x:f>
        <x:v>489685040</x:v>
      </x:c>
      <x:c r="AR498" s="17" t="n">
        <x:f>IF('Control Room'!$B$5="Normal",'Control Room'!$B$7+'Control Room'!$D$7*SQRT(-2*LN(MAX(0.000000000001,AP498/2147483647)))*COS(2*PI()*AQ498/2147483647),'Control Room'!$B$8+('Control Room'!$D$8-'Control Room'!$B$8)*AP498/2147483647)</x:f>
        <x:v>1008.6978613926774</x:v>
      </x:c>
      <x:c r="AS498" s="17" t="n">
        <x:f>IF('Control Room'!$B$5="Normal",'Control Room'!$B$7,('Control Room'!$B$8+'Control Room'!$D$8)/2)+'Control Room'!$B$9*(AS497-IF('Control Room'!$B$5="Normal",'Control Room'!$B$7,('Control Room'!$B$8+'Control Room'!$D$8)/2))+SQRT(1-'Control Room'!$B$9^2)*(AR498-IF('Control Room'!$B$5="Normal",'Control Room'!$B$7,('Control Room'!$B$8+'Control Room'!$D$8)/2))</x:f>
        <x:v>1054.8348381011076</x:v>
      </x:c>
      <x:c r="AT498" s="17" t="n">
        <x:f>IF(AND($A498&gt;='Control Room'!$A$13,$A498&lt;'Control Room'!$A$13+'Control Room'!$B$13,'Process'!BS2=1),1+('Control Room'!$C$13-1)*EXP(-0.5*(($A498-'Control Room'!$A$13-('Control Room'!$B$13-1)/2)/MAX(0.5,'Control Room'!$B$13/4))^2),1)*IF(AND($A498&gt;='Control Room'!$A$14,$A498&lt;'Control Room'!$A$14+'Control Room'!$B$14,'Process'!BS3=1),1+('Control Room'!$C$14-1)*EXP(-0.5*(($A498-'Control Room'!$A$14-('Control Room'!$B$14-1)/2)/MAX(0.5,'Control Room'!$B$14/4))^2),1)*IF(AND($A498&gt;='Control Room'!$A$15,$A498&lt;'Control Room'!$A$15+'Control Room'!$B$15,'Process'!BS4=1),1+('Control Room'!$C$15-1)*EXP(-0.5*(($A498-'Control Room'!$A$15-('Control Room'!$B$15-1)/2)/MAX(0.5,'Control Room'!$B$15/4))^2),1)*IF(AND($A498&gt;='Control Room'!$A$16,$A498&lt;'Control Room'!$A$16+'Control Room'!$B$16,'Process'!BS5=1),1+('Control Room'!$C$16-1)*EXP(-0.5*(($A498-'Control Room'!$A$16-('Control Room'!$B$16-1)/2)/MAX(0.5,'Control Room'!$B$16/4))^2),1)</x:f>
        <x:v>1</x:v>
      </x:c>
      <x:c r="AU498" s="9" t="n">
        <x:f>MOD(AV497*16807,2147483647)</x:f>
        <x:v>331249062</x:v>
      </x:c>
      <x:c r="AV498" s="9" t="n">
        <x:f>MOD(AU498*16807,2147483647)</x:f>
        <x:v>1025372010</x:v>
      </x:c>
      <x:c r="AW498" s="17" t="n">
        <x:f>IF('Control Room'!$B$5="Normal",'Control Room'!$B$7+'Control Room'!$D$7*SQRT(-2*LN(MAX(0.000000000001,AU498/2147483647)))*COS(2*PI()*AV498/2147483647),'Control Room'!$B$8+('Control Room'!$D$8-'Control Room'!$B$8)*AU498/2147483647)</x:f>
        <x:v>827.7260902629745</x:v>
      </x:c>
      <x:c r="AX498" s="17" t="n">
        <x:f>IF('Control Room'!$B$5="Normal",'Control Room'!$B$7,('Control Room'!$B$8+'Control Room'!$D$8)/2)+'Control Room'!$B$9*(AX497-IF('Control Room'!$B$5="Normal",'Control Room'!$B$7,('Control Room'!$B$8+'Control Room'!$D$8)/2))+SQRT(1-'Control Room'!$B$9^2)*(AW498-IF('Control Room'!$B$5="Normal",'Control Room'!$B$7,('Control Room'!$B$8+'Control Room'!$D$8)/2))</x:f>
        <x:v>866.5588564389984</x:v>
      </x:c>
      <x:c r="AY498" s="17" t="n">
        <x:f>IF(AND($A498&gt;='Control Room'!$A$13,$A498&lt;'Control Room'!$A$13+'Control Room'!$B$13,'Process'!BT2=1),1+('Control Room'!$C$13-1)*EXP(-0.5*(($A498-'Control Room'!$A$13-('Control Room'!$B$13-1)/2)/MAX(0.5,'Control Room'!$B$13/4))^2),1)*IF(AND($A498&gt;='Control Room'!$A$14,$A498&lt;'Control Room'!$A$14+'Control Room'!$B$14,'Process'!BT3=1),1+('Control Room'!$C$14-1)*EXP(-0.5*(($A498-'Control Room'!$A$14-('Control Room'!$B$14-1)/2)/MAX(0.5,'Control Room'!$B$14/4))^2),1)*IF(AND($A498&gt;='Control Room'!$A$15,$A498&lt;'Control Room'!$A$15+'Control Room'!$B$15,'Process'!BT4=1),1+('Control Room'!$C$15-1)*EXP(-0.5*(($A498-'Control Room'!$A$15-('Control Room'!$B$15-1)/2)/MAX(0.5,'Control Room'!$B$15/4))^2),1)*IF(AND($A498&gt;='Control Room'!$A$16,$A498&lt;'Control Room'!$A$16+'Control Room'!$B$16,'Process'!BT5=1),1+('Control Room'!$C$16-1)*EXP(-0.5*(($A498-'Control Room'!$A$16-('Control Room'!$B$16-1)/2)/MAX(0.5,'Control Room'!$B$16/4))^2),1)</x:f>
        <x:v>1</x:v>
      </x:c>
      <x:c r="AZ498" s="9" t="n">
        <x:f>MOD(BA497*16807,2147483647)</x:f>
        <x:v>1131779837</x:v>
      </x:c>
      <x:c r="BA498" s="9" t="n">
        <x:f>MOD(AZ498*16807,2147483647)</x:f>
        <x:v>1561058980</x:v>
      </x:c>
      <x:c r="BB498" s="17" t="n">
        <x:f>IF('Control Room'!$B$5="Normal",'Control Room'!$B$7+'Control Room'!$D$7*SQRT(-2*LN(MAX(0.000000000001,AZ498/2147483647)))*COS(2*PI()*BA498/2147483647),'Control Room'!$B$8+('Control Room'!$D$8-'Control Room'!$B$8)*AZ498/2147483647)</x:f>
        <x:v>985.2828802212823</x:v>
      </x:c>
      <x:c r="BC498" s="17" t="n">
        <x:f>IF('Control Room'!$B$5="Normal",'Control Room'!$B$7,('Control Room'!$B$8+'Control Room'!$D$8)/2)+'Control Room'!$B$9*(BC497-IF('Control Room'!$B$5="Normal",'Control Room'!$B$7,('Control Room'!$B$8+'Control Room'!$D$8)/2))+SQRT(1-'Control Room'!$B$9^2)*(BB498-IF('Control Room'!$B$5="Normal",'Control Room'!$B$7,('Control Room'!$B$8+'Control Room'!$D$8)/2))</x:f>
        <x:v>1007.5633590790801</x:v>
      </x:c>
      <x:c r="BD498" s="17" t="n">
        <x:f>IF(AND($A498&gt;='Control Room'!$A$13,$A498&lt;'Control Room'!$A$13+'Control Room'!$B$13,'Process'!BU2=1),1+('Control Room'!$C$13-1)*EXP(-0.5*(($A498-'Control Room'!$A$13-('Control Room'!$B$13-1)/2)/MAX(0.5,'Control Room'!$B$13/4))^2),1)*IF(AND($A498&gt;='Control Room'!$A$14,$A498&lt;'Control Room'!$A$14+'Control Room'!$B$14,'Process'!BU3=1),1+('Control Room'!$C$14-1)*EXP(-0.5*(($A498-'Control Room'!$A$14-('Control Room'!$B$14-1)/2)/MAX(0.5,'Control Room'!$B$14/4))^2),1)*IF(AND($A498&gt;='Control Room'!$A$15,$A498&lt;'Control Room'!$A$15+'Control Room'!$B$15,'Process'!BU4=1),1+('Control Room'!$C$15-1)*EXP(-0.5*(($A498-'Control Room'!$A$15-('Control Room'!$B$15-1)/2)/MAX(0.5,'Control Room'!$B$15/4))^2),1)*IF(AND($A498&gt;='Control Room'!$A$16,$A498&lt;'Control Room'!$A$16+'Control Room'!$B$16,'Process'!BU5=1),1+('Control Room'!$C$16-1)*EXP(-0.5*(($A498-'Control Room'!$A$16-('Control Room'!$B$16-1)/2)/MAX(0.5,'Control Room'!$B$16/4))^2),1)</x:f>
        <x:v>1</x:v>
      </x:c>
      <x:c r="BE498" s="9" t="n">
        <x:f>MOD(BF497*16807,2147483647)</x:f>
        <x:v>1932310612</x:v>
      </x:c>
      <x:c r="BF498" s="9" t="n">
        <x:f>MOD(BE498*16807,2147483647)</x:f>
        <x:v>2096745950</x:v>
      </x:c>
      <x:c r="BG498" s="17" t="n">
        <x:f>IF('Control Room'!$B$5="Normal",'Control Room'!$B$7+'Control Room'!$D$7*SQRT(-2*LN(MAX(0.000000000001,BE498/2147483647)))*COS(2*PI()*BF498/2147483647),'Control Room'!$B$8+('Control Room'!$D$8-'Control Room'!$B$8)*BE498/2147483647)</x:f>
        <x:v>1040.9021208189768</x:v>
      </x:c>
      <x:c r="BH498" s="17" t="n">
        <x:f>IF('Control Room'!$B$5="Normal",'Control Room'!$B$7,('Control Room'!$B$8+'Control Room'!$D$8)/2)+'Control Room'!$B$9*(BH497-IF('Control Room'!$B$5="Normal",'Control Room'!$B$7,('Control Room'!$B$8+'Control Room'!$D$8)/2))+SQRT(1-'Control Room'!$B$9^2)*(BG498-IF('Control Room'!$B$5="Normal",'Control Room'!$B$7,('Control Room'!$B$8+'Control Room'!$D$8)/2))</x:f>
        <x:v>1049.768330247886</x:v>
      </x:c>
      <x:c r="BI498" s="17" t="n">
        <x:f>IF(AND($A498&gt;='Control Room'!$A$13,$A498&lt;'Control Room'!$A$13+'Control Room'!$B$13,'Process'!BV2=1),1+('Control Room'!$C$13-1)*EXP(-0.5*(($A498-'Control Room'!$A$13-('Control Room'!$B$13-1)/2)/MAX(0.5,'Control Room'!$B$13/4))^2),1)*IF(AND($A498&gt;='Control Room'!$A$14,$A498&lt;'Control Room'!$A$14+'Control Room'!$B$14,'Process'!BV3=1),1+('Control Room'!$C$14-1)*EXP(-0.5*(($A498-'Control Room'!$A$14-('Control Room'!$B$14-1)/2)/MAX(0.5,'Control Room'!$B$14/4))^2),1)*IF(AND($A498&gt;='Control Room'!$A$15,$A498&lt;'Control Room'!$A$15+'Control Room'!$B$15,'Process'!BV4=1),1+('Control Room'!$C$15-1)*EXP(-0.5*(($A498-'Control Room'!$A$15-('Control Room'!$B$15-1)/2)/MAX(0.5,'Control Room'!$B$15/4))^2),1)*IF(AND($A498&gt;='Control Room'!$A$16,$A498&lt;'Control Room'!$A$16+'Control Room'!$B$16,'Process'!BV5=1),1+('Control Room'!$C$16-1)*EXP(-0.5*(($A498-'Control Room'!$A$16-('Control Room'!$B$16-1)/2)/MAX(0.5,'Control Room'!$B$16/4))^2),1)</x:f>
        <x:v>1</x:v>
      </x:c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Z498" t="str">
        <x:f>IF('Data'!A498="","",TEXT('Data'!A498,"mm-dd"))</x:f>
      </x:c>
    </x:row>
    <x:row r="499" ht="21" customHeight="1">
      <x:c r="A499" s="15" t="n">
        <x:f>'Control Room'!$B$1+497</x:f>
        <x:v>73488</x:v>
      </x:c>
      <x:c r="B499" s="9" t="n">
        <x:f>MOD(C498*16807,2147483647)</x:f>
        <x:v>1253414036</x:v>
      </x:c>
      <x:c r="C499" s="9" t="n">
        <x:f>MOD(B499*16807,2147483647)</x:f>
        <x:v>1462609629</x:v>
      </x:c>
      <x:c r="D499" s="17" t="n">
        <x:f>IF('Control Room'!$B$5="Normal",'Control Room'!$B$7+'Control Room'!$D$7*SQRT(-2*LN(MAX(0.000000000001,B499/2147483647)))*COS(2*PI()*C499/2147483647),'Control Room'!$B$8+('Control Room'!$D$8-'Control Room'!$B$8)*B499/2147483647)</x:f>
        <x:v>960.8093556418683</x:v>
      </x:c>
      <x:c r="E499" s="17" t="n">
        <x:f>IF('Control Room'!$B$5="Normal",'Control Room'!$B$7,('Control Room'!$B$8+'Control Room'!$D$8)/2)+'Control Room'!$B$9*(E498-IF('Control Room'!$B$5="Normal",'Control Room'!$B$7,('Control Room'!$B$8+'Control Room'!$D$8)/2))+SQRT(1-'Control Room'!$B$9^2)*(D499-IF('Control Room'!$B$5="Normal",'Control Room'!$B$7,('Control Room'!$B$8+'Control Room'!$D$8)/2))</x:f>
        <x:v>1043.781227779583</x:v>
      </x:c>
      <x:c r="F499" s="17" t="n">
        <x:f>IF(AND($A499&gt;='Control Room'!$A$13,$A499&lt;'Control Room'!$A$13+'Control Room'!$B$13,'Process'!BK2=1),1+('Control Room'!$C$13-1)*EXP(-0.5*(($A499-'Control Room'!$A$13-('Control Room'!$B$13-1)/2)/MAX(0.5,'Control Room'!$B$13/4))^2),1)*IF(AND($A499&gt;='Control Room'!$A$14,$A499&lt;'Control Room'!$A$14+'Control Room'!$B$14,'Process'!BK3=1),1+('Control Room'!$C$14-1)*EXP(-0.5*(($A499-'Control Room'!$A$14-('Control Room'!$B$14-1)/2)/MAX(0.5,'Control Room'!$B$14/4))^2),1)*IF(AND($A499&gt;='Control Room'!$A$15,$A499&lt;'Control Room'!$A$15+'Control Room'!$B$15,'Process'!BK4=1),1+('Control Room'!$C$15-1)*EXP(-0.5*(($A499-'Control Room'!$A$15-('Control Room'!$B$15-1)/2)/MAX(0.5,'Control Room'!$B$15/4))^2),1)*IF(AND($A499&gt;='Control Room'!$A$16,$A499&lt;'Control Room'!$A$16+'Control Room'!$B$16,'Process'!BK5=1),1+('Control Room'!$C$16-1)*EXP(-0.5*(($A499-'Control Room'!$A$16-('Control Room'!$B$16-1)/2)/MAX(0.5,'Control Room'!$B$16/4))^2),1)</x:f>
        <x:v>1</x:v>
      </x:c>
      <x:c r="G499" s="9" t="n">
        <x:f>MOD(H498*16807,2147483647)</x:f>
        <x:v>145386955</x:v>
      </x:c>
      <x:c r="H499" s="9" t="n">
        <x:f>MOD(G499*16807,2147483647)</x:f>
        <x:v>1829646046</x:v>
      </x:c>
      <x:c r="I499" s="17" t="n">
        <x:f>IF('Control Room'!$B$5="Normal",'Control Room'!$B$7+'Control Room'!$D$7*SQRT(-2*LN(MAX(0.000000000001,G499/2147483647)))*COS(2*PI()*H499/2147483647),'Control Room'!$B$8+('Control Room'!$D$8-'Control Room'!$B$8)*G499/2147483647)</x:f>
        <x:v>1124.8713535246834</x:v>
      </x:c>
      <x:c r="J499" s="17" t="n">
        <x:f>IF('Control Room'!$B$5="Normal",'Control Room'!$B$7,('Control Room'!$B$8+'Control Room'!$D$8)/2)+'Control Room'!$B$9*(J498-IF('Control Room'!$B$5="Normal",'Control Room'!$B$7,('Control Room'!$B$8+'Control Room'!$D$8)/2))+SQRT(1-'Control Room'!$B$9^2)*(I499-IF('Control Room'!$B$5="Normal",'Control Room'!$B$7,('Control Room'!$B$8+'Control Room'!$D$8)/2))</x:f>
        <x:v>949.0942256574125</x:v>
      </x:c>
      <x:c r="K499" s="17" t="n">
        <x:f>IF(AND($A499&gt;='Control Room'!$A$13,$A499&lt;'Control Room'!$A$13+'Control Room'!$B$13,'Process'!BL2=1),1+('Control Room'!$C$13-1)*EXP(-0.5*(($A499-'Control Room'!$A$13-('Control Room'!$B$13-1)/2)/MAX(0.5,'Control Room'!$B$13/4))^2),1)*IF(AND($A499&gt;='Control Room'!$A$14,$A499&lt;'Control Room'!$A$14+'Control Room'!$B$14,'Process'!BL3=1),1+('Control Room'!$C$14-1)*EXP(-0.5*(($A499-'Control Room'!$A$14-('Control Room'!$B$14-1)/2)/MAX(0.5,'Control Room'!$B$14/4))^2),1)*IF(AND($A499&gt;='Control Room'!$A$15,$A499&lt;'Control Room'!$A$15+'Control Room'!$B$15,'Process'!BL4=1),1+('Control Room'!$C$15-1)*EXP(-0.5*(($A499-'Control Room'!$A$15-('Control Room'!$B$15-1)/2)/MAX(0.5,'Control Room'!$B$15/4))^2),1)*IF(AND($A499&gt;='Control Room'!$A$16,$A499&lt;'Control Room'!$A$16+'Control Room'!$B$16,'Process'!BL5=1),1+('Control Room'!$C$16-1)*EXP(-0.5*(($A499-'Control Room'!$A$16-('Control Room'!$B$16-1)/2)/MAX(0.5,'Control Room'!$B$16/4))^2),1)</x:f>
        <x:v>1</x:v>
      </x:c>
      <x:c r="L499" s="9" t="n">
        <x:f>MOD(M498*16807,2147483647)</x:f>
        <x:v>1184843521</x:v>
      </x:c>
      <x:c r="M499" s="9" t="n">
        <x:f>MOD(L499*16807,2147483647)</x:f>
        <x:v>49198816</x:v>
      </x:c>
      <x:c r="N499" s="17" t="n">
        <x:f>IF('Control Room'!$B$5="Normal",'Control Room'!$B$7+'Control Room'!$D$7*SQRT(-2*LN(MAX(0.000000000001,L499/2147483647)))*COS(2*PI()*M499/2147483647),'Control Room'!$B$8+('Control Room'!$D$8-'Control Room'!$B$8)*L499/2147483647)</x:f>
        <x:v>1097.1373523298225</x:v>
      </x:c>
      <x:c r="O499" s="17" t="n">
        <x:f>IF('Control Room'!$B$5="Normal",'Control Room'!$B$7,('Control Room'!$B$8+'Control Room'!$D$8)/2)+'Control Room'!$B$9*(O498-IF('Control Room'!$B$5="Normal",'Control Room'!$B$7,('Control Room'!$B$8+'Control Room'!$D$8)/2))+SQRT(1-'Control Room'!$B$9^2)*(N499-IF('Control Room'!$B$5="Normal",'Control Room'!$B$7,('Control Room'!$B$8+'Control Room'!$D$8)/2))</x:f>
        <x:v>927.9443909685012</x:v>
      </x:c>
      <x:c r="P499" s="17" t="n">
        <x:f>IF(AND($A499&gt;='Control Room'!$A$13,$A499&lt;'Control Room'!$A$13+'Control Room'!$B$13,'Process'!BM2=1),1+('Control Room'!$C$13-1)*EXP(-0.5*(($A499-'Control Room'!$A$13-('Control Room'!$B$13-1)/2)/MAX(0.5,'Control Room'!$B$13/4))^2),1)*IF(AND($A499&gt;='Control Room'!$A$14,$A499&lt;'Control Room'!$A$14+'Control Room'!$B$14,'Process'!BM3=1),1+('Control Room'!$C$14-1)*EXP(-0.5*(($A499-'Control Room'!$A$14-('Control Room'!$B$14-1)/2)/MAX(0.5,'Control Room'!$B$14/4))^2),1)*IF(AND($A499&gt;='Control Room'!$A$15,$A499&lt;'Control Room'!$A$15+'Control Room'!$B$15,'Process'!BM4=1),1+('Control Room'!$C$15-1)*EXP(-0.5*(($A499-'Control Room'!$A$15-('Control Room'!$B$15-1)/2)/MAX(0.5,'Control Room'!$B$15/4))^2),1)*IF(AND($A499&gt;='Control Room'!$A$16,$A499&lt;'Control Room'!$A$16+'Control Room'!$B$16,'Process'!BM5=1),1+('Control Room'!$C$16-1)*EXP(-0.5*(($A499-'Control Room'!$A$16-('Control Room'!$B$16-1)/2)/MAX(0.5,'Control Room'!$B$16/4))^2),1)</x:f>
        <x:v>1</x:v>
      </x:c>
      <x:c r="Q499" s="9" t="n">
        <x:f>MOD(R498*16807,2147483647)</x:f>
        <x:v>76816440</x:v>
      </x:c>
      <x:c r="R499" s="9" t="n">
        <x:f>MOD(Q499*16807,2147483647)</x:f>
        <x:v>416235233</x:v>
      </x:c>
      <x:c r="S499" s="17" t="n">
        <x:f>IF('Control Room'!$B$5="Normal",'Control Room'!$B$7+'Control Room'!$D$7*SQRT(-2*LN(MAX(0.000000000001,Q499/2147483647)))*COS(2*PI()*R499/2147483647),'Control Room'!$B$8+('Control Room'!$D$8-'Control Room'!$B$8)*Q499/2147483647)</x:f>
        <x:v>1080.295550933783</x:v>
      </x:c>
      <x:c r="T499" s="17" t="n">
        <x:f>IF('Control Room'!$B$5="Normal",'Control Room'!$B$7,('Control Room'!$B$8+'Control Room'!$D$8)/2)+'Control Room'!$B$9*(T498-IF('Control Room'!$B$5="Normal",'Control Room'!$B$7,('Control Room'!$B$8+'Control Room'!$D$8)/2))+SQRT(1-'Control Room'!$B$9^2)*(S499-IF('Control Room'!$B$5="Normal",'Control Room'!$B$7,('Control Room'!$B$8+'Control Room'!$D$8)/2))</x:f>
        <x:v>1085.2191968363481</x:v>
      </x:c>
      <x:c r="U499" s="17" t="n">
        <x:f>IF(AND($A499&gt;='Control Room'!$A$13,$A499&lt;'Control Room'!$A$13+'Control Room'!$B$13,'Process'!BN2=1),1+('Control Room'!$C$13-1)*EXP(-0.5*(($A499-'Control Room'!$A$13-('Control Room'!$B$13-1)/2)/MAX(0.5,'Control Room'!$B$13/4))^2),1)*IF(AND($A499&gt;='Control Room'!$A$14,$A499&lt;'Control Room'!$A$14+'Control Room'!$B$14,'Process'!BN3=1),1+('Control Room'!$C$14-1)*EXP(-0.5*(($A499-'Control Room'!$A$14-('Control Room'!$B$14-1)/2)/MAX(0.5,'Control Room'!$B$14/4))^2),1)*IF(AND($A499&gt;='Control Room'!$A$15,$A499&lt;'Control Room'!$A$15+'Control Room'!$B$15,'Process'!BN4=1),1+('Control Room'!$C$15-1)*EXP(-0.5*(($A499-'Control Room'!$A$15-('Control Room'!$B$15-1)/2)/MAX(0.5,'Control Room'!$B$15/4))^2),1)*IF(AND($A499&gt;='Control Room'!$A$16,$A499&lt;'Control Room'!$A$16+'Control Room'!$B$16,'Process'!BN5=1),1+('Control Room'!$C$16-1)*EXP(-0.5*(($A499-'Control Room'!$A$16-('Control Room'!$B$16-1)/2)/MAX(0.5,'Control Room'!$B$16/4))^2),1)</x:f>
        <x:v>1</x:v>
      </x:c>
      <x:c r="V499" s="9" t="n">
        <x:f>MOD(W498*16807,2147483647)</x:f>
        <x:v>1116273006</x:v>
      </x:c>
      <x:c r="W499" s="9" t="n">
        <x:f>MOD(V499*16807,2147483647)</x:f>
        <x:v>783271650</x:v>
      </x:c>
      <x:c r="X499" s="17" t="n">
        <x:f>IF('Control Room'!$B$5="Normal",'Control Room'!$B$7+'Control Room'!$D$7*SQRT(-2*LN(MAX(0.000000000001,V499/2147483647)))*COS(2*PI()*W499/2147483647),'Control Room'!$B$8+('Control Room'!$D$8-'Control Room'!$B$8)*V499/2147483647)</x:f>
        <x:v>932.0413999972104</x:v>
      </x:c>
      <x:c r="Y499" s="17" t="n">
        <x:f>IF('Control Room'!$B$5="Normal",'Control Room'!$B$7,('Control Room'!$B$8+'Control Room'!$D$8)/2)+'Control Room'!$B$9*(Y498-IF('Control Room'!$B$5="Normal",'Control Room'!$B$7,('Control Room'!$B$8+'Control Room'!$D$8)/2))+SQRT(1-'Control Room'!$B$9^2)*(X499-IF('Control Room'!$B$5="Normal",'Control Room'!$B$7,('Control Room'!$B$8+'Control Room'!$D$8)/2))</x:f>
        <x:v>972.6804792773676</x:v>
      </x:c>
      <x:c r="Z499" s="17" t="n">
        <x:f>IF(AND($A499&gt;='Control Room'!$A$13,$A499&lt;'Control Room'!$A$13+'Control Room'!$B$13,'Process'!BO2=1),1+('Control Room'!$C$13-1)*EXP(-0.5*(($A499-'Control Room'!$A$13-('Control Room'!$B$13-1)/2)/MAX(0.5,'Control Room'!$B$13/4))^2),1)*IF(AND($A499&gt;='Control Room'!$A$14,$A499&lt;'Control Room'!$A$14+'Control Room'!$B$14,'Process'!BO3=1),1+('Control Room'!$C$14-1)*EXP(-0.5*(($A499-'Control Room'!$A$14-('Control Room'!$B$14-1)/2)/MAX(0.5,'Control Room'!$B$14/4))^2),1)*IF(AND($A499&gt;='Control Room'!$A$15,$A499&lt;'Control Room'!$A$15+'Control Room'!$B$15,'Process'!BO4=1),1+('Control Room'!$C$15-1)*EXP(-0.5*(($A499-'Control Room'!$A$15-('Control Room'!$B$15-1)/2)/MAX(0.5,'Control Room'!$B$15/4))^2),1)*IF(AND($A499&gt;='Control Room'!$A$16,$A499&lt;'Control Room'!$A$16+'Control Room'!$B$16,'Process'!BO5=1),1+('Control Room'!$C$16-1)*EXP(-0.5*(($A499-'Control Room'!$A$16-('Control Room'!$B$16-1)/2)/MAX(0.5,'Control Room'!$B$16/4))^2),1)</x:f>
        <x:v>1</x:v>
      </x:c>
      <x:c r="AA499" s="9" t="n">
        <x:f>MOD(AB498*16807,2147483647)</x:f>
        <x:v>8245925</x:v>
      </x:c>
      <x:c r="AB499" s="9" t="n">
        <x:f>MOD(AA499*16807,2147483647)</x:f>
        <x:v>1150308067</x:v>
      </x:c>
      <x:c r="AC499" s="17" t="n">
        <x:f>IF('Control Room'!$B$5="Normal",'Control Room'!$B$7+'Control Room'!$D$7*SQRT(-2*LN(MAX(0.000000000001,AA499/2147483647)))*COS(2*PI()*AB499/2147483647),'Control Room'!$B$8+('Control Room'!$D$8-'Control Room'!$B$8)*AA499/2147483647)</x:f>
        <x:v>707.3179725175463</x:v>
      </x:c>
      <x:c r="AD499" s="17" t="n">
        <x:f>IF('Control Room'!$B$5="Normal",'Control Room'!$B$7,('Control Room'!$B$8+'Control Room'!$D$8)/2)+'Control Room'!$B$9*(AD498-IF('Control Room'!$B$5="Normal",'Control Room'!$B$7,('Control Room'!$B$8+'Control Room'!$D$8)/2))+SQRT(1-'Control Room'!$B$9^2)*(AC499-IF('Control Room'!$B$5="Normal",'Control Room'!$B$7,('Control Room'!$B$8+'Control Room'!$D$8)/2))</x:f>
        <x:v>758.7487974865965</x:v>
      </x:c>
      <x:c r="AE499" s="17" t="n">
        <x:f>IF(AND($A499&gt;='Control Room'!$A$13,$A499&lt;'Control Room'!$A$13+'Control Room'!$B$13,'Process'!BP2=1),1+('Control Room'!$C$13-1)*EXP(-0.5*(($A499-'Control Room'!$A$13-('Control Room'!$B$13-1)/2)/MAX(0.5,'Control Room'!$B$13/4))^2),1)*IF(AND($A499&gt;='Control Room'!$A$14,$A499&lt;'Control Room'!$A$14+'Control Room'!$B$14,'Process'!BP3=1),1+('Control Room'!$C$14-1)*EXP(-0.5*(($A499-'Control Room'!$A$14-('Control Room'!$B$14-1)/2)/MAX(0.5,'Control Room'!$B$14/4))^2),1)*IF(AND($A499&gt;='Control Room'!$A$15,$A499&lt;'Control Room'!$A$15+'Control Room'!$B$15,'Process'!BP4=1),1+('Control Room'!$C$15-1)*EXP(-0.5*(($A499-'Control Room'!$A$15-('Control Room'!$B$15-1)/2)/MAX(0.5,'Control Room'!$B$15/4))^2),1)*IF(AND($A499&gt;='Control Room'!$A$16,$A499&lt;'Control Room'!$A$16+'Control Room'!$B$16,'Process'!BP5=1),1+('Control Room'!$C$16-1)*EXP(-0.5*(($A499-'Control Room'!$A$16-('Control Room'!$B$16-1)/2)/MAX(0.5,'Control Room'!$B$16/4))^2),1)</x:f>
        <x:v>1</x:v>
      </x:c>
      <x:c r="AF499" s="9" t="n">
        <x:f>MOD(AG498*16807,2147483647)</x:f>
        <x:v>1047702491</x:v>
      </x:c>
      <x:c r="AG499" s="9" t="n">
        <x:f>MOD(AF499*16807,2147483647)</x:f>
        <x:v>1517344484</x:v>
      </x:c>
      <x:c r="AH499" s="17" t="n">
        <x:f>IF('Control Room'!$B$5="Normal",'Control Room'!$B$7+'Control Room'!$D$7*SQRT(-2*LN(MAX(0.000000000001,AF499/2147483647)))*COS(2*PI()*AG499/2147483647),'Control Room'!$B$8+('Control Room'!$D$8-'Control Room'!$B$8)*AF499/2147483647)</x:f>
        <x:v>970.939147706753</x:v>
      </x:c>
      <x:c r="AI499" s="17" t="n">
        <x:f>IF('Control Room'!$B$5="Normal",'Control Room'!$B$7,('Control Room'!$B$8+'Control Room'!$D$8)/2)+'Control Room'!$B$9*(AI498-IF('Control Room'!$B$5="Normal",'Control Room'!$B$7,('Control Room'!$B$8+'Control Room'!$D$8)/2))+SQRT(1-'Control Room'!$B$9^2)*(AH499-IF('Control Room'!$B$5="Normal",'Control Room'!$B$7,('Control Room'!$B$8+'Control Room'!$D$8)/2))</x:f>
        <x:v>883.4925219024957</x:v>
      </x:c>
      <x:c r="AJ499" s="17" t="n">
        <x:f>IF(AND($A499&gt;='Control Room'!$A$13,$A499&lt;'Control Room'!$A$13+'Control Room'!$B$13,'Process'!BQ2=1),1+('Control Room'!$C$13-1)*EXP(-0.5*(($A499-'Control Room'!$A$13-('Control Room'!$B$13-1)/2)/MAX(0.5,'Control Room'!$B$13/4))^2),1)*IF(AND($A499&gt;='Control Room'!$A$14,$A499&lt;'Control Room'!$A$14+'Control Room'!$B$14,'Process'!BQ3=1),1+('Control Room'!$C$14-1)*EXP(-0.5*(($A499-'Control Room'!$A$14-('Control Room'!$B$14-1)/2)/MAX(0.5,'Control Room'!$B$14/4))^2),1)*IF(AND($A499&gt;='Control Room'!$A$15,$A499&lt;'Control Room'!$A$15+'Control Room'!$B$15,'Process'!BQ4=1),1+('Control Room'!$C$15-1)*EXP(-0.5*(($A499-'Control Room'!$A$15-('Control Room'!$B$15-1)/2)/MAX(0.5,'Control Room'!$B$15/4))^2),1)*IF(AND($A499&gt;='Control Room'!$A$16,$A499&lt;'Control Room'!$A$16+'Control Room'!$B$16,'Process'!BQ5=1),1+('Control Room'!$C$16-1)*EXP(-0.5*(($A499-'Control Room'!$A$16-('Control Room'!$B$16-1)/2)/MAX(0.5,'Control Room'!$B$16/4))^2),1)</x:f>
        <x:v>1</x:v>
      </x:c>
      <x:c r="AK499" s="9" t="n">
        <x:f>MOD(AL498*16807,2147483647)</x:f>
        <x:v>2087159057</x:v>
      </x:c>
      <x:c r="AL499" s="9" t="n">
        <x:f>MOD(AK499*16807,2147483647)</x:f>
        <x:v>1884380901</x:v>
      </x:c>
      <x:c r="AM499" s="17" t="n">
        <x:f>IF('Control Room'!$B$5="Normal",'Control Room'!$B$7+'Control Room'!$D$7*SQRT(-2*LN(MAX(0.000000000001,AK499/2147483647)))*COS(2*PI()*AL499/2147483647),'Control Room'!$B$8+('Control Room'!$D$8-'Control Room'!$B$8)*AK499/2147483647)</x:f>
        <x:v>1015.4270361119193</x:v>
      </x:c>
      <x:c r="AN499" s="17" t="n">
        <x:f>IF('Control Room'!$B$5="Normal",'Control Room'!$B$7,('Control Room'!$B$8+'Control Room'!$D$8)/2)+'Control Room'!$B$9*(AN498-IF('Control Room'!$B$5="Normal",'Control Room'!$B$7,('Control Room'!$B$8+'Control Room'!$D$8)/2))+SQRT(1-'Control Room'!$B$9^2)*(AM499-IF('Control Room'!$B$5="Normal",'Control Room'!$B$7,('Control Room'!$B$8+'Control Room'!$D$8)/2))</x:f>
        <x:v>970.0859772575141</x:v>
      </x:c>
      <x:c r="AO499" s="17" t="n">
        <x:f>IF(AND($A499&gt;='Control Room'!$A$13,$A499&lt;'Control Room'!$A$13+'Control Room'!$B$13,'Process'!BR2=1),1+('Control Room'!$C$13-1)*EXP(-0.5*(($A499-'Control Room'!$A$13-('Control Room'!$B$13-1)/2)/MAX(0.5,'Control Room'!$B$13/4))^2),1)*IF(AND($A499&gt;='Control Room'!$A$14,$A499&lt;'Control Room'!$A$14+'Control Room'!$B$14,'Process'!BR3=1),1+('Control Room'!$C$14-1)*EXP(-0.5*(($A499-'Control Room'!$A$14-('Control Room'!$B$14-1)/2)/MAX(0.5,'Control Room'!$B$14/4))^2),1)*IF(AND($A499&gt;='Control Room'!$A$15,$A499&lt;'Control Room'!$A$15+'Control Room'!$B$15,'Process'!BR4=1),1+('Control Room'!$C$15-1)*EXP(-0.5*(($A499-'Control Room'!$A$15-('Control Room'!$B$15-1)/2)/MAX(0.5,'Control Room'!$B$15/4))^2),1)*IF(AND($A499&gt;='Control Room'!$A$16,$A499&lt;'Control Room'!$A$16+'Control Room'!$B$16,'Process'!BR5=1),1+('Control Room'!$C$16-1)*EXP(-0.5*(($A499-'Control Room'!$A$16-('Control Room'!$B$16-1)/2)/MAX(0.5,'Control Room'!$B$16/4))^2),1)</x:f>
        <x:v>1</x:v>
      </x:c>
      <x:c r="AP499" s="9" t="n">
        <x:f>MOD(AQ498*16807,2147483647)</x:f>
        <x:v>979131976</x:v>
      </x:c>
      <x:c r="AQ499" s="9" t="n">
        <x:f>MOD(AP499*16807,2147483647)</x:f>
        <x:v>103933671</x:v>
      </x:c>
      <x:c r="AR499" s="17" t="n">
        <x:f>IF('Control Room'!$B$5="Normal",'Control Room'!$B$7+'Control Room'!$D$7*SQRT(-2*LN(MAX(0.000000000001,AP499/2147483647)))*COS(2*PI()*AQ499/2147483647),'Control Room'!$B$8+('Control Room'!$D$8-'Control Room'!$B$8)*AP499/2147483647)</x:f>
        <x:v>1107.622109224037</x:v>
      </x:c>
      <x:c r="AS499" s="17" t="n">
        <x:f>IF('Control Room'!$B$5="Normal",'Control Room'!$B$7,('Control Room'!$B$8+'Control Room'!$D$8)/2)+'Control Room'!$B$9*(AS498-IF('Control Room'!$B$5="Normal",'Control Room'!$B$7,('Control Room'!$B$8+'Control Room'!$D$8)/2))+SQRT(1-'Control Room'!$B$9^2)*(AR499-IF('Control Room'!$B$5="Normal",'Control Room'!$B$7,('Control Room'!$B$8+'Control Room'!$D$8)/2))</x:f>
        <x:v>1110.1188849125197</x:v>
      </x:c>
      <x:c r="AT499" s="17" t="n">
        <x:f>IF(AND($A499&gt;='Control Room'!$A$13,$A499&lt;'Control Room'!$A$13+'Control Room'!$B$13,'Process'!BS2=1),1+('Control Room'!$C$13-1)*EXP(-0.5*(($A499-'Control Room'!$A$13-('Control Room'!$B$13-1)/2)/MAX(0.5,'Control Room'!$B$13/4))^2),1)*IF(AND($A499&gt;='Control Room'!$A$14,$A499&lt;'Control Room'!$A$14+'Control Room'!$B$14,'Process'!BS3=1),1+('Control Room'!$C$14-1)*EXP(-0.5*(($A499-'Control Room'!$A$14-('Control Room'!$B$14-1)/2)/MAX(0.5,'Control Room'!$B$14/4))^2),1)*IF(AND($A499&gt;='Control Room'!$A$15,$A499&lt;'Control Room'!$A$15+'Control Room'!$B$15,'Process'!BS4=1),1+('Control Room'!$C$15-1)*EXP(-0.5*(($A499-'Control Room'!$A$15-('Control Room'!$B$15-1)/2)/MAX(0.5,'Control Room'!$B$15/4))^2),1)*IF(AND($A499&gt;='Control Room'!$A$16,$A499&lt;'Control Room'!$A$16+'Control Room'!$B$16,'Process'!BS5=1),1+('Control Room'!$C$16-1)*EXP(-0.5*(($A499-'Control Room'!$A$16-('Control Room'!$B$16-1)/2)/MAX(0.5,'Control Room'!$B$16/4))^2),1)</x:f>
        <x:v>1</x:v>
      </x:c>
      <x:c r="AU499" s="9" t="n">
        <x:f>MOD(AV498*16807,2147483647)</x:f>
        <x:v>2018588542</x:v>
      </x:c>
      <x:c r="AV499" s="9" t="n">
        <x:f>MOD(AU499*16807,2147483647)</x:f>
        <x:v>470970088</x:v>
      </x:c>
      <x:c r="AW499" s="17" t="n">
        <x:f>IF('Control Room'!$B$5="Normal",'Control Room'!$B$7+'Control Room'!$D$7*SQRT(-2*LN(MAX(0.000000000001,AU499/2147483647)))*COS(2*PI()*AV499/2147483647),'Control Room'!$B$8+('Control Room'!$D$8-'Control Room'!$B$8)*AU499/2147483647)</x:f>
        <x:v>1006.0679659440474</x:v>
      </x:c>
      <x:c r="AX499" s="17" t="n">
        <x:f>IF('Control Room'!$B$5="Normal",'Control Room'!$B$7,('Control Room'!$B$8+'Control Room'!$D$8)/2)+'Control Room'!$B$9*(AX498-IF('Control Room'!$B$5="Normal",'Control Room'!$B$7,('Control Room'!$B$8+'Control Room'!$D$8)/2))+SQRT(1-'Control Room'!$B$9^2)*(AW499-IF('Control Room'!$B$5="Normal",'Control Room'!$B$7,('Control Room'!$B$8+'Control Room'!$D$8)/2))</x:f>
        <x:v>899.7131168011645</x:v>
      </x:c>
      <x:c r="AY499" s="17" t="n">
        <x:f>IF(AND($A499&gt;='Control Room'!$A$13,$A499&lt;'Control Room'!$A$13+'Control Room'!$B$13,'Process'!BT2=1),1+('Control Room'!$C$13-1)*EXP(-0.5*(($A499-'Control Room'!$A$13-('Control Room'!$B$13-1)/2)/MAX(0.5,'Control Room'!$B$13/4))^2),1)*IF(AND($A499&gt;='Control Room'!$A$14,$A499&lt;'Control Room'!$A$14+'Control Room'!$B$14,'Process'!BT3=1),1+('Control Room'!$C$14-1)*EXP(-0.5*(($A499-'Control Room'!$A$14-('Control Room'!$B$14-1)/2)/MAX(0.5,'Control Room'!$B$14/4))^2),1)*IF(AND($A499&gt;='Control Room'!$A$15,$A499&lt;'Control Room'!$A$15+'Control Room'!$B$15,'Process'!BT4=1),1+('Control Room'!$C$15-1)*EXP(-0.5*(($A499-'Control Room'!$A$15-('Control Room'!$B$15-1)/2)/MAX(0.5,'Control Room'!$B$15/4))^2),1)*IF(AND($A499&gt;='Control Room'!$A$16,$A499&lt;'Control Room'!$A$16+'Control Room'!$B$16,'Process'!BT5=1),1+('Control Room'!$C$16-1)*EXP(-0.5*(($A499-'Control Room'!$A$16-('Control Room'!$B$16-1)/2)/MAX(0.5,'Control Room'!$B$16/4))^2),1)</x:f>
        <x:v>1</x:v>
      </x:c>
      <x:c r="AZ499" s="9" t="n">
        <x:f>MOD(BA498*16807,2147483647)</x:f>
        <x:v>910561461</x:v>
      </x:c>
      <x:c r="BA499" s="9" t="n">
        <x:f>MOD(AZ499*16807,2147483647)</x:f>
        <x:v>838006505</x:v>
      </x:c>
      <x:c r="BB499" s="17" t="n">
        <x:f>IF('Control Room'!$B$5="Normal",'Control Room'!$B$7+'Control Room'!$D$7*SQRT(-2*LN(MAX(0.000000000001,AZ499/2147483647)))*COS(2*PI()*BA499/2147483647),'Control Room'!$B$8+('Control Room'!$D$8-'Control Room'!$B$8)*AZ499/2147483647)</x:f>
        <x:v>909.0524500911595</x:v>
      </x:c>
      <x:c r="BC499" s="17" t="n">
        <x:f>IF('Control Room'!$B$5="Normal",'Control Room'!$B$7,('Control Room'!$B$8+'Control Room'!$D$8)/2)+'Control Room'!$B$9*(BC498-IF('Control Room'!$B$5="Normal",'Control Room'!$B$7,('Control Room'!$B$8+'Control Room'!$D$8)/2))+SQRT(1-'Control Room'!$B$9^2)*(BB499-IF('Control Room'!$B$5="Normal",'Control Room'!$B$7,('Control Room'!$B$8+'Control Room'!$D$8)/2))</x:f>
        <x:v>948.9863065105618</x:v>
      </x:c>
      <x:c r="BD499" s="17" t="n">
        <x:f>IF(AND($A499&gt;='Control Room'!$A$13,$A499&lt;'Control Room'!$A$13+'Control Room'!$B$13,'Process'!BU2=1),1+('Control Room'!$C$13-1)*EXP(-0.5*(($A499-'Control Room'!$A$13-('Control Room'!$B$13-1)/2)/MAX(0.5,'Control Room'!$B$13/4))^2),1)*IF(AND($A499&gt;='Control Room'!$A$14,$A499&lt;'Control Room'!$A$14+'Control Room'!$B$14,'Process'!BU3=1),1+('Control Room'!$C$14-1)*EXP(-0.5*(($A499-'Control Room'!$A$14-('Control Room'!$B$14-1)/2)/MAX(0.5,'Control Room'!$B$14/4))^2),1)*IF(AND($A499&gt;='Control Room'!$A$15,$A499&lt;'Control Room'!$A$15+'Control Room'!$B$15,'Process'!BU4=1),1+('Control Room'!$C$15-1)*EXP(-0.5*(($A499-'Control Room'!$A$15-('Control Room'!$B$15-1)/2)/MAX(0.5,'Control Room'!$B$15/4))^2),1)*IF(AND($A499&gt;='Control Room'!$A$16,$A499&lt;'Control Room'!$A$16+'Control Room'!$B$16,'Process'!BU5=1),1+('Control Room'!$C$16-1)*EXP(-0.5*(($A499-'Control Room'!$A$16-('Control Room'!$B$16-1)/2)/MAX(0.5,'Control Room'!$B$16/4))^2),1)</x:f>
        <x:v>1</x:v>
      </x:c>
      <x:c r="BE499" s="9" t="n">
        <x:f>MOD(BF498*16807,2147483647)</x:f>
        <x:v>1950018027</x:v>
      </x:c>
      <x:c r="BF499" s="9" t="n">
        <x:f>MOD(BE499*16807,2147483647)</x:f>
        <x:v>1205042922</x:v>
      </x:c>
      <x:c r="BG499" s="17" t="n">
        <x:f>IF('Control Room'!$B$5="Normal",'Control Room'!$B$7+'Control Room'!$D$7*SQRT(-2*LN(MAX(0.000000000001,BE499/2147483647)))*COS(2*PI()*BF499/2147483647),'Control Room'!$B$8+('Control Room'!$D$8-'Control Room'!$B$8)*BE499/2147483647)</x:f>
        <x:v>963.3512699944944</x:v>
      </x:c>
      <x:c r="BH499" s="17" t="n">
        <x:f>IF('Control Room'!$B$5="Normal",'Control Room'!$B$7,('Control Room'!$B$8+'Control Room'!$D$8)/2)+'Control Room'!$B$9*(BH498-IF('Control Room'!$B$5="Normal",'Control Room'!$B$7,('Control Room'!$B$8+'Control Room'!$D$8)/2))+SQRT(1-'Control Room'!$B$9^2)*(BG499-IF('Control Room'!$B$5="Normal",'Control Room'!$B$7,('Control Room'!$B$8+'Control Room'!$D$8)/2))</x:f>
        <x:v>1015.885273145949</x:v>
      </x:c>
      <x:c r="BI499" s="17" t="n">
        <x:f>IF(AND($A499&gt;='Control Room'!$A$13,$A499&lt;'Control Room'!$A$13+'Control Room'!$B$13,'Process'!BV2=1),1+('Control Room'!$C$13-1)*EXP(-0.5*(($A499-'Control Room'!$A$13-('Control Room'!$B$13-1)/2)/MAX(0.5,'Control Room'!$B$13/4))^2),1)*IF(AND($A499&gt;='Control Room'!$A$14,$A499&lt;'Control Room'!$A$14+'Control Room'!$B$14,'Process'!BV3=1),1+('Control Room'!$C$14-1)*EXP(-0.5*(($A499-'Control Room'!$A$14-('Control Room'!$B$14-1)/2)/MAX(0.5,'Control Room'!$B$14/4))^2),1)*IF(AND($A499&gt;='Control Room'!$A$15,$A499&lt;'Control Room'!$A$15+'Control Room'!$B$15,'Process'!BV4=1),1+('Control Room'!$C$15-1)*EXP(-0.5*(($A499-'Control Room'!$A$15-('Control Room'!$B$15-1)/2)/MAX(0.5,'Control Room'!$B$15/4))^2),1)*IF(AND($A499&gt;='Control Room'!$A$16,$A499&lt;'Control Room'!$A$16+'Control Room'!$B$16,'Process'!BV5=1),1+('Control Room'!$C$16-1)*EXP(-0.5*(($A499-'Control Room'!$A$16-('Control Room'!$B$16-1)/2)/MAX(0.5,'Control Room'!$B$16/4))^2),1)</x:f>
        <x:v>1</x:v>
      </x:c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Z499" t="str">
        <x:f>IF('Data'!A499="","",TEXT('Data'!A499,"mm-dd"))</x:f>
      </x:c>
    </x:row>
    <x:row r="500" ht="21" customHeight="1">
      <x:c r="A500" s="15" t="n">
        <x:f>'Control Room'!$B$1+498</x:f>
        <x:v>73489</x:v>
      </x:c>
      <x:c r="B500" s="9" t="n">
        <x:f>MOD(C499*16807,2147483647)</x:f>
        <x:v>1982211041</x:v>
      </x:c>
      <x:c r="C500" s="9" t="n">
        <x:f>MOD(B500*16807,2147483647)</x:f>
        <x:v>1107150176</x:v>
      </x:c>
      <x:c r="D500" s="17" t="n">
        <x:f>IF('Control Room'!$B$5="Normal",'Control Room'!$B$7+'Control Room'!$D$7*SQRT(-2*LN(MAX(0.000000000001,B500/2147483647)))*COS(2*PI()*C500/2147483647),'Control Room'!$B$8+('Control Room'!$D$8-'Control Room'!$B$8)*B500/2147483647)</x:f>
        <x:v>964.1530734888458</x:v>
      </x:c>
      <x:c r="E500" s="17" t="n">
        <x:f>IF('Control Room'!$B$5="Normal",'Control Room'!$B$7,('Control Room'!$B$8+'Control Room'!$D$8)/2)+'Control Room'!$B$9*(E499-IF('Control Room'!$B$5="Normal",'Control Room'!$B$7,('Control Room'!$B$8+'Control Room'!$D$8)/2))+SQRT(1-'Control Room'!$B$9^2)*(D500-IF('Control Room'!$B$5="Normal",'Control Room'!$B$7,('Control Room'!$B$8+'Control Room'!$D$8)/2))</x:f>
        <x:v>1011.7170854216004</x:v>
      </x:c>
      <x:c r="F500" s="17" t="n">
        <x:f>IF(AND($A500&gt;='Control Room'!$A$13,$A500&lt;'Control Room'!$A$13+'Control Room'!$B$13,'Process'!BK2=1),1+('Control Room'!$C$13-1)*EXP(-0.5*(($A500-'Control Room'!$A$13-('Control Room'!$B$13-1)/2)/MAX(0.5,'Control Room'!$B$13/4))^2),1)*IF(AND($A500&gt;='Control Room'!$A$14,$A500&lt;'Control Room'!$A$14+'Control Room'!$B$14,'Process'!BK3=1),1+('Control Room'!$C$14-1)*EXP(-0.5*(($A500-'Control Room'!$A$14-('Control Room'!$B$14-1)/2)/MAX(0.5,'Control Room'!$B$14/4))^2),1)*IF(AND($A500&gt;='Control Room'!$A$15,$A500&lt;'Control Room'!$A$15+'Control Room'!$B$15,'Process'!BK4=1),1+('Control Room'!$C$15-1)*EXP(-0.5*(($A500-'Control Room'!$A$15-('Control Room'!$B$15-1)/2)/MAX(0.5,'Control Room'!$B$15/4))^2),1)*IF(AND($A500&gt;='Control Room'!$A$16,$A500&lt;'Control Room'!$A$16+'Control Room'!$B$16,'Process'!BK5=1),1+('Control Room'!$C$16-1)*EXP(-0.5*(($A500-'Control Room'!$A$16-('Control Room'!$B$16-1)/2)/MAX(0.5,'Control Room'!$B$16/4))^2),1)</x:f>
        <x:v>1</x:v>
      </x:c>
      <x:c r="G500" s="9" t="n">
        <x:f>MOD(H499*16807,2147483647)</x:f>
        <x:v>1042753729</x:v>
      </x:c>
      <x:c r="H500" s="9" t="n">
        <x:f>MOD(G500*16807,2147483647)</x:f>
        <x:v>2095363783</x:v>
      </x:c>
      <x:c r="I500" s="17" t="n">
        <x:f>IF('Control Room'!$B$5="Normal",'Control Room'!$B$7+'Control Room'!$D$7*SQRT(-2*LN(MAX(0.000000000001,G500/2147483647)))*COS(2*PI()*H500/2147483647),'Control Room'!$B$8+('Control Room'!$D$8-'Control Room'!$B$8)*G500/2147483647)</x:f>
        <x:v>1106.9268012058856</x:v>
      </x:c>
      <x:c r="J500" s="17" t="n">
        <x:f>IF('Control Room'!$B$5="Normal",'Control Room'!$B$7,('Control Room'!$B$8+'Control Room'!$D$8)/2)+'Control Room'!$B$9*(J499-IF('Control Room'!$B$5="Normal",'Control Room'!$B$7,('Control Room'!$B$8+'Control Room'!$D$8)/2))+SQRT(1-'Control Room'!$B$9^2)*(I500-IF('Control Room'!$B$5="Normal",'Control Room'!$B$7,('Control Room'!$B$8+'Control Room'!$D$8)/2))</x:f>
        <x:v>1027.2060976928371</x:v>
      </x:c>
      <x:c r="K500" s="17" t="n">
        <x:f>IF(AND($A500&gt;='Control Room'!$A$13,$A500&lt;'Control Room'!$A$13+'Control Room'!$B$13,'Process'!BL2=1),1+('Control Room'!$C$13-1)*EXP(-0.5*(($A500-'Control Room'!$A$13-('Control Room'!$B$13-1)/2)/MAX(0.5,'Control Room'!$B$13/4))^2),1)*IF(AND($A500&gt;='Control Room'!$A$14,$A500&lt;'Control Room'!$A$14+'Control Room'!$B$14,'Process'!BL3=1),1+('Control Room'!$C$14-1)*EXP(-0.5*(($A500-'Control Room'!$A$14-('Control Room'!$B$14-1)/2)/MAX(0.5,'Control Room'!$B$14/4))^2),1)*IF(AND($A500&gt;='Control Room'!$A$15,$A500&lt;'Control Room'!$A$15+'Control Room'!$B$15,'Process'!BL4=1),1+('Control Room'!$C$15-1)*EXP(-0.5*(($A500-'Control Room'!$A$15-('Control Room'!$B$15-1)/2)/MAX(0.5,'Control Room'!$B$15/4))^2),1)*IF(AND($A500&gt;='Control Room'!$A$16,$A500&lt;'Control Room'!$A$16+'Control Room'!$B$16,'Process'!BL5=1),1+('Control Room'!$C$16-1)*EXP(-0.5*(($A500-'Control Room'!$A$16-('Control Room'!$B$16-1)/2)/MAX(0.5,'Control Room'!$B$16/4))^2),1)</x:f>
        <x:v>1</x:v>
      </x:c>
      <x:c r="L500" s="9" t="n">
        <x:f>MOD(M499*16807,2147483647)</x:f>
        <x:v>103296417</x:v>
      </x:c>
      <x:c r="M500" s="9" t="n">
        <x:f>MOD(L500*16807,2147483647)</x:f>
        <x:v>936093743</x:v>
      </x:c>
      <x:c r="N500" s="17" t="n">
        <x:f>IF('Control Room'!$B$5="Normal",'Control Room'!$B$7+'Control Room'!$D$7*SQRT(-2*LN(MAX(0.000000000001,L500/2147483647)))*COS(2*PI()*M500/2147483647),'Control Room'!$B$8+('Control Room'!$D$8-'Control Room'!$B$8)*L500/2147483647)</x:f>
        <x:v>796.0228116755782</x:v>
      </x:c>
      <x:c r="O500" s="17" t="n">
        <x:f>IF('Control Room'!$B$5="Normal",'Control Room'!$B$7,('Control Room'!$B$8+'Control Room'!$D$8)/2)+'Control Room'!$B$9*(O499-IF('Control Room'!$B$5="Normal",'Control Room'!$B$7,('Control Room'!$B$8+'Control Room'!$D$8)/2))+SQRT(1-'Control Room'!$B$9^2)*(N500-IF('Control Room'!$B$5="Normal",'Control Room'!$B$7,('Control Room'!$B$8+'Control Room'!$D$8)/2))</x:f>
        <x:v>816.1518792018431</x:v>
      </x:c>
      <x:c r="P500" s="17" t="n">
        <x:f>IF(AND($A500&gt;='Control Room'!$A$13,$A500&lt;'Control Room'!$A$13+'Control Room'!$B$13,'Process'!BM2=1),1+('Control Room'!$C$13-1)*EXP(-0.5*(($A500-'Control Room'!$A$13-('Control Room'!$B$13-1)/2)/MAX(0.5,'Control Room'!$B$13/4))^2),1)*IF(AND($A500&gt;='Control Room'!$A$14,$A500&lt;'Control Room'!$A$14+'Control Room'!$B$14,'Process'!BM3=1),1+('Control Room'!$C$14-1)*EXP(-0.5*(($A500-'Control Room'!$A$14-('Control Room'!$B$14-1)/2)/MAX(0.5,'Control Room'!$B$14/4))^2),1)*IF(AND($A500&gt;='Control Room'!$A$15,$A500&lt;'Control Room'!$A$15+'Control Room'!$B$15,'Process'!BM4=1),1+('Control Room'!$C$15-1)*EXP(-0.5*(($A500-'Control Room'!$A$15-('Control Room'!$B$15-1)/2)/MAX(0.5,'Control Room'!$B$15/4))^2),1)*IF(AND($A500&gt;='Control Room'!$A$16,$A500&lt;'Control Room'!$A$16+'Control Room'!$B$16,'Process'!BM5=1),1+('Control Room'!$C$16-1)*EXP(-0.5*(($A500-'Control Room'!$A$16-('Control Room'!$B$16-1)/2)/MAX(0.5,'Control Room'!$B$16/4))^2),1)</x:f>
        <x:v>1</x:v>
      </x:c>
      <x:c r="Q500" s="9" t="n">
        <x:f>MOD(R499*16807,2147483647)</x:f>
        <x:v>1311322752</x:v>
      </x:c>
      <x:c r="R500" s="9" t="n">
        <x:f>MOD(Q500*16807,2147483647)</x:f>
        <x:v>1924307350</x:v>
      </x:c>
      <x:c r="S500" s="17" t="n">
        <x:f>IF('Control Room'!$B$5="Normal",'Control Room'!$B$7+'Control Room'!$D$7*SQRT(-2*LN(MAX(0.000000000001,Q500/2147483647)))*COS(2*PI()*R500/2147483647),'Control Room'!$B$8+('Control Room'!$D$8-'Control Room'!$B$8)*Q500/2147483647)</x:f>
        <x:v>1071.0016463087818</x:v>
      </x:c>
      <x:c r="T500" s="17" t="n">
        <x:f>IF('Control Room'!$B$5="Normal",'Control Room'!$B$7,('Control Room'!$B$8+'Control Room'!$D$8)/2)+'Control Room'!$B$9*(T499-IF('Control Room'!$B$5="Normal",'Control Room'!$B$7,('Control Room'!$B$8+'Control Room'!$D$8)/2))+SQRT(1-'Control Room'!$B$9^2)*(S500-IF('Control Room'!$B$5="Normal",'Control Room'!$B$7,('Control Room'!$B$8+'Control Room'!$D$8)/2))</x:f>
        <x:v>1110.9023492446008</x:v>
      </x:c>
      <x:c r="U500" s="17" t="n">
        <x:f>IF(AND($A500&gt;='Control Room'!$A$13,$A500&lt;'Control Room'!$A$13+'Control Room'!$B$13,'Process'!BN2=1),1+('Control Room'!$C$13-1)*EXP(-0.5*(($A500-'Control Room'!$A$13-('Control Room'!$B$13-1)/2)/MAX(0.5,'Control Room'!$B$13/4))^2),1)*IF(AND($A500&gt;='Control Room'!$A$14,$A500&lt;'Control Room'!$A$14+'Control Room'!$B$14,'Process'!BN3=1),1+('Control Room'!$C$14-1)*EXP(-0.5*(($A500-'Control Room'!$A$14-('Control Room'!$B$14-1)/2)/MAX(0.5,'Control Room'!$B$14/4))^2),1)*IF(AND($A500&gt;='Control Room'!$A$15,$A500&lt;'Control Room'!$A$15+'Control Room'!$B$15,'Process'!BN4=1),1+('Control Room'!$C$15-1)*EXP(-0.5*(($A500-'Control Room'!$A$15-('Control Room'!$B$15-1)/2)/MAX(0.5,'Control Room'!$B$15/4))^2),1)*IF(AND($A500&gt;='Control Room'!$A$16,$A500&lt;'Control Room'!$A$16+'Control Room'!$B$16,'Process'!BN5=1),1+('Control Room'!$C$16-1)*EXP(-0.5*(($A500-'Control Room'!$A$16-('Control Room'!$B$16-1)/2)/MAX(0.5,'Control Room'!$B$16/4))^2),1)</x:f>
        <x:v>1</x:v>
      </x:c>
      <x:c r="V500" s="9" t="n">
        <x:f>MOD(W499*16807,2147483647)</x:f>
        <x:v>371865440</x:v>
      </x:c>
      <x:c r="W500" s="9" t="n">
        <x:f>MOD(V500*16807,2147483647)</x:f>
        <x:v>765037310</x:v>
      </x:c>
      <x:c r="X500" s="17" t="n">
        <x:f>IF('Control Room'!$B$5="Normal",'Control Room'!$B$7+'Control Room'!$D$7*SQRT(-2*LN(MAX(0.000000000001,V500/2147483647)))*COS(2*PI()*W500/2147483647),'Control Room'!$B$8+('Control Room'!$D$8-'Control Room'!$B$8)*V500/2147483647)</x:f>
        <x:v>895.6569810994548</x:v>
      </x:c>
      <x:c r="Y500" s="17" t="n">
        <x:f>IF('Control Room'!$B$5="Normal",'Control Room'!$B$7,('Control Room'!$B$8+'Control Room'!$D$8)/2)+'Control Room'!$B$9*(Y499-IF('Control Room'!$B$5="Normal",'Control Room'!$B$7,('Control Room'!$B$8+'Control Room'!$D$8)/2))+SQRT(1-'Control Room'!$B$9^2)*(X500-IF('Control Room'!$B$5="Normal",'Control Room'!$B$7,('Control Room'!$B$8+'Control Room'!$D$8)/2))</x:f>
        <x:v>913.3950501913157</x:v>
      </x:c>
      <x:c r="Z500" s="17" t="n">
        <x:f>IF(AND($A500&gt;='Control Room'!$A$13,$A500&lt;'Control Room'!$A$13+'Control Room'!$B$13,'Process'!BO2=1),1+('Control Room'!$C$13-1)*EXP(-0.5*(($A500-'Control Room'!$A$13-('Control Room'!$B$13-1)/2)/MAX(0.5,'Control Room'!$B$13/4))^2),1)*IF(AND($A500&gt;='Control Room'!$A$14,$A500&lt;'Control Room'!$A$14+'Control Room'!$B$14,'Process'!BO3=1),1+('Control Room'!$C$14-1)*EXP(-0.5*(($A500-'Control Room'!$A$14-('Control Room'!$B$14-1)/2)/MAX(0.5,'Control Room'!$B$14/4))^2),1)*IF(AND($A500&gt;='Control Room'!$A$15,$A500&lt;'Control Room'!$A$15+'Control Room'!$B$15,'Process'!BO4=1),1+('Control Room'!$C$15-1)*EXP(-0.5*(($A500-'Control Room'!$A$15-('Control Room'!$B$15-1)/2)/MAX(0.5,'Control Room'!$B$15/4))^2),1)*IF(AND($A500&gt;='Control Room'!$A$16,$A500&lt;'Control Room'!$A$16+'Control Room'!$B$16,'Process'!BO5=1),1+('Control Room'!$C$16-1)*EXP(-0.5*(($A500-'Control Room'!$A$16-('Control Room'!$B$16-1)/2)/MAX(0.5,'Control Room'!$B$16/4))^2),1)</x:f>
        <x:v>1</x:v>
      </x:c>
      <x:c r="AA500" s="9" t="n">
        <x:f>MOD(AB499*16807,2147483647)</x:f>
        <x:v>1579891775</x:v>
      </x:c>
      <x:c r="AB500" s="9" t="n">
        <x:f>MOD(AA500*16807,2147483647)</x:f>
        <x:v>1753250917</x:v>
      </x:c>
      <x:c r="AC500" s="17" t="n">
        <x:f>IF('Control Room'!$B$5="Normal",'Control Room'!$B$7+'Control Room'!$D$7*SQRT(-2*LN(MAX(0.000000000001,AA500/2147483647)))*COS(2*PI()*AB500/2147483647),'Control Room'!$B$8+('Control Room'!$D$8-'Control Room'!$B$8)*AA500/2147483647)</x:f>
        <x:v>1028.581797351497</x:v>
      </x:c>
      <x:c r="AD500" s="17" t="n">
        <x:f>IF('Control Room'!$B$5="Normal",'Control Room'!$B$7,('Control Room'!$B$8+'Control Room'!$D$8)/2)+'Control Room'!$B$9*(AD499-IF('Control Room'!$B$5="Normal",'Control Room'!$B$7,('Control Room'!$B$8+'Control Room'!$D$8)/2))+SQRT(1-'Control Room'!$B$9^2)*(AC500-IF('Control Room'!$B$5="Normal",'Control Room'!$B$7,('Control Room'!$B$8+'Control Room'!$D$8)/2))</x:f>
        <x:v>829.7099652921669</x:v>
      </x:c>
      <x:c r="AE500" s="17" t="n">
        <x:f>IF(AND($A500&gt;='Control Room'!$A$13,$A500&lt;'Control Room'!$A$13+'Control Room'!$B$13,'Process'!BP2=1),1+('Control Room'!$C$13-1)*EXP(-0.5*(($A500-'Control Room'!$A$13-('Control Room'!$B$13-1)/2)/MAX(0.5,'Control Room'!$B$13/4))^2),1)*IF(AND($A500&gt;='Control Room'!$A$14,$A500&lt;'Control Room'!$A$14+'Control Room'!$B$14,'Process'!BP3=1),1+('Control Room'!$C$14-1)*EXP(-0.5*(($A500-'Control Room'!$A$14-('Control Room'!$B$14-1)/2)/MAX(0.5,'Control Room'!$B$14/4))^2),1)*IF(AND($A500&gt;='Control Room'!$A$15,$A500&lt;'Control Room'!$A$15+'Control Room'!$B$15,'Process'!BP4=1),1+('Control Room'!$C$15-1)*EXP(-0.5*(($A500-'Control Room'!$A$15-('Control Room'!$B$15-1)/2)/MAX(0.5,'Control Room'!$B$15/4))^2),1)*IF(AND($A500&gt;='Control Room'!$A$16,$A500&lt;'Control Room'!$A$16+'Control Room'!$B$16,'Process'!BP5=1),1+('Control Room'!$C$16-1)*EXP(-0.5*(($A500-'Control Room'!$A$16-('Control Room'!$B$16-1)/2)/MAX(0.5,'Control Room'!$B$16/4))^2),1)</x:f>
        <x:v>1</x:v>
      </x:c>
      <x:c r="AF500" s="9" t="n">
        <x:f>MOD(AG499*16807,2147483647)</x:f>
        <x:v>640434463</x:v>
      </x:c>
      <x:c r="AG500" s="9" t="n">
        <x:f>MOD(AF500*16807,2147483647)</x:f>
        <x:v>593980877</x:v>
      </x:c>
      <x:c r="AH500" s="17" t="n">
        <x:f>IF('Control Room'!$B$5="Normal",'Control Room'!$B$7+'Control Room'!$D$7*SQRT(-2*LN(MAX(0.000000000001,AF500/2147483647)))*COS(2*PI()*AG500/2147483647),'Control Room'!$B$8+('Control Room'!$D$8-'Control Room'!$B$8)*AF500/2147483647)</x:f>
        <x:v>976.7152142858232</x:v>
      </x:c>
      <x:c r="AI500" s="17" t="n">
        <x:f>IF('Control Room'!$B$5="Normal",'Control Room'!$B$7,('Control Room'!$B$8+'Control Room'!$D$8)/2)+'Control Room'!$B$9*(AI499-IF('Control Room'!$B$5="Normal",'Control Room'!$B$7,('Control Room'!$B$8+'Control Room'!$D$8)/2))+SQRT(1-'Control Room'!$B$9^2)*(AH500-IF('Control Room'!$B$5="Normal",'Control Room'!$B$7,('Control Room'!$B$8+'Control Room'!$D$8)/2))</x:f>
        <x:v>894.5530251987782</x:v>
      </x:c>
      <x:c r="AJ500" s="17" t="n">
        <x:f>IF(AND($A500&gt;='Control Room'!$A$13,$A500&lt;'Control Room'!$A$13+'Control Room'!$B$13,'Process'!BQ2=1),1+('Control Room'!$C$13-1)*EXP(-0.5*(($A500-'Control Room'!$A$13-('Control Room'!$B$13-1)/2)/MAX(0.5,'Control Room'!$B$13/4))^2),1)*IF(AND($A500&gt;='Control Room'!$A$14,$A500&lt;'Control Room'!$A$14+'Control Room'!$B$14,'Process'!BQ3=1),1+('Control Room'!$C$14-1)*EXP(-0.5*(($A500-'Control Room'!$A$14-('Control Room'!$B$14-1)/2)/MAX(0.5,'Control Room'!$B$14/4))^2),1)*IF(AND($A500&gt;='Control Room'!$A$15,$A500&lt;'Control Room'!$A$15+'Control Room'!$B$15,'Process'!BQ4=1),1+('Control Room'!$C$15-1)*EXP(-0.5*(($A500-'Control Room'!$A$15-('Control Room'!$B$15-1)/2)/MAX(0.5,'Control Room'!$B$15/4))^2),1)*IF(AND($A500&gt;='Control Room'!$A$16,$A500&lt;'Control Room'!$A$16+'Control Room'!$B$16,'Process'!BQ5=1),1+('Control Room'!$C$16-1)*EXP(-0.5*(($A500-'Control Room'!$A$16-('Control Room'!$B$16-1)/2)/MAX(0.5,'Control Room'!$B$16/4))^2),1)</x:f>
        <x:v>1</x:v>
      </x:c>
      <x:c r="AK500" s="9" t="n">
        <x:f>MOD(AL499*16807,2147483647)</x:f>
        <x:v>1848460798</x:v>
      </x:c>
      <x:c r="AL500" s="9" t="n">
        <x:f>MOD(AK500*16807,2147483647)</x:f>
        <x:v>1582194484</x:v>
      </x:c>
      <x:c r="AM500" s="17" t="n">
        <x:f>IF('Control Room'!$B$5="Normal",'Control Room'!$B$7+'Control Room'!$D$7*SQRT(-2*LN(MAX(0.000000000001,AK500/2147483647)))*COS(2*PI()*AL500/2147483647),'Control Room'!$B$8+('Control Room'!$D$8-'Control Room'!$B$8)*AK500/2147483647)</x:f>
        <x:v>995.9067515275611</x:v>
      </x:c>
      <x:c r="AN500" s="17" t="n">
        <x:f>IF('Control Room'!$B$5="Normal",'Control Room'!$B$7,('Control Room'!$B$8+'Control Room'!$D$8)/2)+'Control Room'!$B$9*(AN499-IF('Control Room'!$B$5="Normal",'Control Room'!$B$7,('Control Room'!$B$8+'Control Room'!$D$8)/2))+SQRT(1-'Control Room'!$B$9^2)*(AM500-IF('Control Room'!$B$5="Normal",'Control Room'!$B$7,('Control Room'!$B$8+'Control Room'!$D$8)/2))</x:f>
        <x:v>974.1055912215616</x:v>
      </x:c>
      <x:c r="AO500" s="17" t="n">
        <x:f>IF(AND($A500&gt;='Control Room'!$A$13,$A500&lt;'Control Room'!$A$13+'Control Room'!$B$13,'Process'!BR2=1),1+('Control Room'!$C$13-1)*EXP(-0.5*(($A500-'Control Room'!$A$13-('Control Room'!$B$13-1)/2)/MAX(0.5,'Control Room'!$B$13/4))^2),1)*IF(AND($A500&gt;='Control Room'!$A$14,$A500&lt;'Control Room'!$A$14+'Control Room'!$B$14,'Process'!BR3=1),1+('Control Room'!$C$14-1)*EXP(-0.5*(($A500-'Control Room'!$A$14-('Control Room'!$B$14-1)/2)/MAX(0.5,'Control Room'!$B$14/4))^2),1)*IF(AND($A500&gt;='Control Room'!$A$15,$A500&lt;'Control Room'!$A$15+'Control Room'!$B$15,'Process'!BR4=1),1+('Control Room'!$C$15-1)*EXP(-0.5*(($A500-'Control Room'!$A$15-('Control Room'!$B$15-1)/2)/MAX(0.5,'Control Room'!$B$15/4))^2),1)*IF(AND($A500&gt;='Control Room'!$A$16,$A500&lt;'Control Room'!$A$16+'Control Room'!$B$16,'Process'!BR5=1),1+('Control Room'!$C$16-1)*EXP(-0.5*(($A500-'Control Room'!$A$16-('Control Room'!$B$16-1)/2)/MAX(0.5,'Control Room'!$B$16/4))^2),1)</x:f>
        <x:v>1</x:v>
      </x:c>
      <x:c r="AP500" s="9" t="n">
        <x:f>MOD(AQ499*16807,2147483647)</x:f>
        <x:v>909003486</x:v>
      </x:c>
      <x:c r="AQ500" s="9" t="n">
        <x:f>MOD(AP500*16807,2147483647)</x:f>
        <x:v>422924444</x:v>
      </x:c>
      <x:c r="AR500" s="17" t="n">
        <x:f>IF('Control Room'!$B$5="Normal",'Control Room'!$B$7+'Control Room'!$D$7*SQRT(-2*LN(MAX(0.000000000001,AP500/2147483647)))*COS(2*PI()*AQ500/2147483647),'Control Room'!$B$8+('Control Room'!$D$8-'Control Room'!$B$8)*AP500/2147483647)</x:f>
        <x:v>1038.6195709842932</x:v>
      </x:c>
      <x:c r="AS500" s="17" t="n">
        <x:f>IF('Control Room'!$B$5="Normal",'Control Room'!$B$7,('Control Room'!$B$8+'Control Room'!$D$8)/2)+'Control Room'!$B$9*(AS499-IF('Control Room'!$B$5="Normal",'Control Room'!$B$7,('Control Room'!$B$8+'Control Room'!$D$8)/2))+SQRT(1-'Control Room'!$B$9^2)*(AR500-IF('Control Room'!$B$5="Normal",'Control Room'!$B$7,('Control Room'!$B$8+'Control Room'!$D$8)/2))</x:f>
        <x:v>1110.060066588821</x:v>
      </x:c>
      <x:c r="AT500" s="17" t="n">
        <x:f>IF(AND($A500&gt;='Control Room'!$A$13,$A500&lt;'Control Room'!$A$13+'Control Room'!$B$13,'Process'!BS2=1),1+('Control Room'!$C$13-1)*EXP(-0.5*(($A500-'Control Room'!$A$13-('Control Room'!$B$13-1)/2)/MAX(0.5,'Control Room'!$B$13/4))^2),1)*IF(AND($A500&gt;='Control Room'!$A$14,$A500&lt;'Control Room'!$A$14+'Control Room'!$B$14,'Process'!BS3=1),1+('Control Room'!$C$14-1)*EXP(-0.5*(($A500-'Control Room'!$A$14-('Control Room'!$B$14-1)/2)/MAX(0.5,'Control Room'!$B$14/4))^2),1)*IF(AND($A500&gt;='Control Room'!$A$15,$A500&lt;'Control Room'!$A$15+'Control Room'!$B$15,'Process'!BS4=1),1+('Control Room'!$C$15-1)*EXP(-0.5*(($A500-'Control Room'!$A$15-('Control Room'!$B$15-1)/2)/MAX(0.5,'Control Room'!$B$15/4))^2),1)*IF(AND($A500&gt;='Control Room'!$A$16,$A500&lt;'Control Room'!$A$16+'Control Room'!$B$16,'Process'!BS5=1),1+('Control Room'!$C$16-1)*EXP(-0.5*(($A500-'Control Room'!$A$16-('Control Room'!$B$16-1)/2)/MAX(0.5,'Control Room'!$B$16/4))^2),1)</x:f>
        <x:v>1</x:v>
      </x:c>
      <x:c r="AU500" s="9" t="n">
        <x:f>MOD(AV499*16807,2147483647)</x:f>
        <x:v>2117029821</x:v>
      </x:c>
      <x:c r="AV500" s="9" t="n">
        <x:f>MOD(AU500*16807,2147483647)</x:f>
        <x:v>1411138051</x:v>
      </x:c>
      <x:c r="AW500" s="17" t="n">
        <x:f>IF('Control Room'!$B$5="Normal",'Control Room'!$B$7+'Control Room'!$D$7*SQRT(-2*LN(MAX(0.000000000001,AU500/2147483647)))*COS(2*PI()*AV500/2147483647),'Control Room'!$B$8+('Control Room'!$D$8-'Control Room'!$B$8)*AU500/2147483647)</x:f>
        <x:v>991.6177846660139</x:v>
      </x:c>
      <x:c r="AX500" s="17" t="n">
        <x:f>IF('Control Room'!$B$5="Normal",'Control Room'!$B$7,('Control Room'!$B$8+'Control Room'!$D$8)/2)+'Control Room'!$B$9*(AX499-IF('Control Room'!$B$5="Normal",'Control Room'!$B$7,('Control Room'!$B$8+'Control Room'!$D$8)/2))+SQRT(1-'Control Room'!$B$9^2)*(AW500-IF('Control Room'!$B$5="Normal",'Control Room'!$B$7,('Control Room'!$B$8+'Control Room'!$D$8)/2))</x:f>
        <x:v>916.5308124679146</x:v>
      </x:c>
      <x:c r="AY500" s="17" t="n">
        <x:f>IF(AND($A500&gt;='Control Room'!$A$13,$A500&lt;'Control Room'!$A$13+'Control Room'!$B$13,'Process'!BT2=1),1+('Control Room'!$C$13-1)*EXP(-0.5*(($A500-'Control Room'!$A$13-('Control Room'!$B$13-1)/2)/MAX(0.5,'Control Room'!$B$13/4))^2),1)*IF(AND($A500&gt;='Control Room'!$A$14,$A500&lt;'Control Room'!$A$14+'Control Room'!$B$14,'Process'!BT3=1),1+('Control Room'!$C$14-1)*EXP(-0.5*(($A500-'Control Room'!$A$14-('Control Room'!$B$14-1)/2)/MAX(0.5,'Control Room'!$B$14/4))^2),1)*IF(AND($A500&gt;='Control Room'!$A$15,$A500&lt;'Control Room'!$A$15+'Control Room'!$B$15,'Process'!BT4=1),1+('Control Room'!$C$15-1)*EXP(-0.5*(($A500-'Control Room'!$A$15-('Control Room'!$B$15-1)/2)/MAX(0.5,'Control Room'!$B$15/4))^2),1)*IF(AND($A500&gt;='Control Room'!$A$16,$A500&lt;'Control Room'!$A$16+'Control Room'!$B$16,'Process'!BT5=1),1+('Control Room'!$C$16-1)*EXP(-0.5*(($A500-'Control Room'!$A$16-('Control Room'!$B$16-1)/2)/MAX(0.5,'Control Room'!$B$16/4))^2),1)</x:f>
        <x:v>1</x:v>
      </x:c>
      <x:c r="AZ500" s="9" t="n">
        <x:f>MOD(BA499*16807,2147483647)</x:f>
        <x:v>1177572509</x:v>
      </x:c>
      <x:c r="BA500" s="9" t="n">
        <x:f>MOD(AZ500*16807,2147483647)</x:f>
        <x:v>251868011</x:v>
      </x:c>
      <x:c r="BB500" s="17" t="n">
        <x:f>IF('Control Room'!$B$5="Normal",'Control Room'!$B$7+'Control Room'!$D$7*SQRT(-2*LN(MAX(0.000000000001,AZ500/2147483647)))*COS(2*PI()*BA500/2147483647),'Control Room'!$B$8+('Control Room'!$D$8-'Control Room'!$B$8)*AZ500/2147483647)</x:f>
        <x:v>1073.060954659004</x:v>
      </x:c>
      <x:c r="BC500" s="17" t="n">
        <x:f>IF('Control Room'!$B$5="Normal",'Control Room'!$B$7,('Control Room'!$B$8+'Control Room'!$D$8)/2)+'Control Room'!$B$9*(BC499-IF('Control Room'!$B$5="Normal",'Control Room'!$B$7,('Control Room'!$B$8+'Control Room'!$D$8)/2))+SQRT(1-'Control Room'!$B$9^2)*(BB500-IF('Control Room'!$B$5="Normal",'Control Room'!$B$7,('Control Room'!$B$8+'Control Room'!$D$8)/2))</x:f>
        <x:v>1005.9293677688319</x:v>
      </x:c>
      <x:c r="BD500" s="17" t="n">
        <x:f>IF(AND($A500&gt;='Control Room'!$A$13,$A500&lt;'Control Room'!$A$13+'Control Room'!$B$13,'Process'!BU2=1),1+('Control Room'!$C$13-1)*EXP(-0.5*(($A500-'Control Room'!$A$13-('Control Room'!$B$13-1)/2)/MAX(0.5,'Control Room'!$B$13/4))^2),1)*IF(AND($A500&gt;='Control Room'!$A$14,$A500&lt;'Control Room'!$A$14+'Control Room'!$B$14,'Process'!BU3=1),1+('Control Room'!$C$14-1)*EXP(-0.5*(($A500-'Control Room'!$A$14-('Control Room'!$B$14-1)/2)/MAX(0.5,'Control Room'!$B$14/4))^2),1)*IF(AND($A500&gt;='Control Room'!$A$15,$A500&lt;'Control Room'!$A$15+'Control Room'!$B$15,'Process'!BU4=1),1+('Control Room'!$C$15-1)*EXP(-0.5*(($A500-'Control Room'!$A$15-('Control Room'!$B$15-1)/2)/MAX(0.5,'Control Room'!$B$15/4))^2),1)*IF(AND($A500&gt;='Control Room'!$A$16,$A500&lt;'Control Room'!$A$16+'Control Room'!$B$16,'Process'!BU5=1),1+('Control Room'!$C$16-1)*EXP(-0.5*(($A500-'Control Room'!$A$16-('Control Room'!$B$16-1)/2)/MAX(0.5,'Control Room'!$B$16/4))^2),1)</x:f>
        <x:v>1</x:v>
      </x:c>
      <x:c r="BE500" s="9" t="n">
        <x:f>MOD(BF499*16807,2147483647)</x:f>
        <x:v>238115197</x:v>
      </x:c>
      <x:c r="BF500" s="9" t="n">
        <x:f>MOD(BE500*16807,2147483647)</x:f>
        <x:v>1240081618</x:v>
      </x:c>
      <x:c r="BG500" s="17" t="n">
        <x:f>IF('Control Room'!$B$5="Normal",'Control Room'!$B$7+'Control Room'!$D$7*SQRT(-2*LN(MAX(0.000000000001,BE500/2147483647)))*COS(2*PI()*BF500/2147483647),'Control Room'!$B$8+('Control Room'!$D$8-'Control Room'!$B$8)*BE500/2147483647)</x:f>
        <x:v>833.1611223799462</x:v>
      </x:c>
      <x:c r="BH500" s="17" t="n">
        <x:f>IF('Control Room'!$B$5="Normal",'Control Room'!$B$7,('Control Room'!$B$8+'Control Room'!$D$8)/2)+'Control Room'!$B$9*(BH499-IF('Control Room'!$B$5="Normal",'Control Room'!$B$7,('Control Room'!$B$8+'Control Room'!$D$8)/2))+SQRT(1-'Control Room'!$B$9^2)*(BG500-IF('Control Room'!$B$5="Normal",'Control Room'!$B$7,('Control Room'!$B$8+'Control Room'!$D$8)/2))</x:f>
        <x:v>907.9861613193968</x:v>
      </x:c>
      <x:c r="BI500" s="17" t="n">
        <x:f>IF(AND($A500&gt;='Control Room'!$A$13,$A500&lt;'Control Room'!$A$13+'Control Room'!$B$13,'Process'!BV2=1),1+('Control Room'!$C$13-1)*EXP(-0.5*(($A500-'Control Room'!$A$13-('Control Room'!$B$13-1)/2)/MAX(0.5,'Control Room'!$B$13/4))^2),1)*IF(AND($A500&gt;='Control Room'!$A$14,$A500&lt;'Control Room'!$A$14+'Control Room'!$B$14,'Process'!BV3=1),1+('Control Room'!$C$14-1)*EXP(-0.5*(($A500-'Control Room'!$A$14-('Control Room'!$B$14-1)/2)/MAX(0.5,'Control Room'!$B$14/4))^2),1)*IF(AND($A500&gt;='Control Room'!$A$15,$A500&lt;'Control Room'!$A$15+'Control Room'!$B$15,'Process'!BV4=1),1+('Control Room'!$C$15-1)*EXP(-0.5*(($A500-'Control Room'!$A$15-('Control Room'!$B$15-1)/2)/MAX(0.5,'Control Room'!$B$15/4))^2),1)*IF(AND($A500&gt;='Control Room'!$A$16,$A500&lt;'Control Room'!$A$16+'Control Room'!$B$16,'Process'!BV5=1),1+('Control Room'!$C$16-1)*EXP(-0.5*(($A500-'Control Room'!$A$16-('Control Room'!$B$16-1)/2)/MAX(0.5,'Control Room'!$B$16/4))^2),1)</x:f>
        <x:v>1</x:v>
      </x:c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Z500" t="str">
        <x:f>IF('Data'!A500="","",TEXT('Data'!A500,"mm-dd"))</x:f>
      </x:c>
    </x:row>
    <x:row r="501" ht="21" customHeight="1">
      <x:c r="A501" s="15" t="n">
        <x:f>'Control Room'!$B$1+499</x:f>
        <x:v>73490</x:v>
      </x:c>
      <x:c r="B501" s="9" t="n">
        <x:f>MOD(C500*16807,2147483647)</x:f>
        <x:v>2074690424</x:v>
      </x:c>
      <x:c r="C501" s="9" t="n">
        <x:f>MOD(B501*16807,2147483647)</x:f>
        <x:v>629979829</x:v>
      </x:c>
      <x:c r="D501" s="17" t="n">
        <x:f>IF('Control Room'!$B$5="Normal",'Control Room'!$B$7+'Control Room'!$D$7*SQRT(-2*LN(MAX(0.000000000001,B501/2147483647)))*COS(2*PI()*C501/2147483647),'Control Room'!$B$8+('Control Room'!$D$8-'Control Room'!$B$8)*B501/2147483647)</x:f>
        <x:v>993.6404320782808</x:v>
      </x:c>
      <x:c r="E501" s="17" t="n">
        <x:f>IF('Control Room'!$B$5="Normal",'Control Room'!$B$7,('Control Room'!$B$8+'Control Room'!$D$8)/2)+'Control Room'!$B$9*(E500-IF('Control Room'!$B$5="Normal",'Control Room'!$B$7,('Control Room'!$B$8+'Control Room'!$D$8)/2))+SQRT(1-'Control Room'!$B$9^2)*(D501-IF('Control Room'!$B$5="Normal",'Control Room'!$B$7,('Control Room'!$B$8+'Control Room'!$D$8)/2))</x:f>
        <x:v>1005.1596393062667</x:v>
      </x:c>
      <x:c r="F501" s="17" t="n">
        <x:f>IF(AND($A501&gt;='Control Room'!$A$13,$A501&lt;'Control Room'!$A$13+'Control Room'!$B$13,'Process'!BK2=1),1+('Control Room'!$C$13-1)*EXP(-0.5*(($A501-'Control Room'!$A$13-('Control Room'!$B$13-1)/2)/MAX(0.5,'Control Room'!$B$13/4))^2),1)*IF(AND($A501&gt;='Control Room'!$A$14,$A501&lt;'Control Room'!$A$14+'Control Room'!$B$14,'Process'!BK3=1),1+('Control Room'!$C$14-1)*EXP(-0.5*(($A501-'Control Room'!$A$14-('Control Room'!$B$14-1)/2)/MAX(0.5,'Control Room'!$B$14/4))^2),1)*IF(AND($A501&gt;='Control Room'!$A$15,$A501&lt;'Control Room'!$A$15+'Control Room'!$B$15,'Process'!BK4=1),1+('Control Room'!$C$15-1)*EXP(-0.5*(($A501-'Control Room'!$A$15-('Control Room'!$B$15-1)/2)/MAX(0.5,'Control Room'!$B$15/4))^2),1)*IF(AND($A501&gt;='Control Room'!$A$16,$A501&lt;'Control Room'!$A$16+'Control Room'!$B$16,'Process'!BK5=1),1+('Control Room'!$C$16-1)*EXP(-0.5*(($A501-'Control Room'!$A$16-('Control Room'!$B$16-1)/2)/MAX(0.5,'Control Room'!$B$16/4))^2),1)</x:f>
        <x:v>1</x:v>
      </x:c>
      <x:c r="G501" s="9" t="n">
        <x:f>MOD(H500*16807,2147483647)</x:f>
        <x:v>194773728</x:v>
      </x:c>
      <x:c r="H501" s="9" t="n">
        <x:f>MOD(G501*16807,2147483647)</x:f>
        <x:v>796968468</x:v>
      </x:c>
      <x:c r="I501" s="17" t="n">
        <x:f>IF('Control Room'!$B$5="Normal",'Control Room'!$B$7+'Control Room'!$D$7*SQRT(-2*LN(MAX(0.000000000001,G501/2147483647)))*COS(2*PI()*H501/2147483647),'Control Room'!$B$8+('Control Room'!$D$8-'Control Room'!$B$8)*G501/2147483647)</x:f>
        <x:v>864.0090771440022</x:v>
      </x:c>
      <x:c r="J501" s="17" t="n">
        <x:f>IF('Control Room'!$B$5="Normal",'Control Room'!$B$7,('Control Room'!$B$8+'Control Room'!$D$8)/2)+'Control Room'!$B$9*(J500-IF('Control Room'!$B$5="Normal",'Control Room'!$B$7,('Control Room'!$B$8+'Control Room'!$D$8)/2))+SQRT(1-'Control Room'!$B$9^2)*(I501-IF('Control Room'!$B$5="Normal",'Control Room'!$B$7,('Control Room'!$B$8+'Control Room'!$D$8)/2))</x:f>
        <x:v>936.1204226026128</x:v>
      </x:c>
      <x:c r="K501" s="17" t="n">
        <x:f>IF(AND($A501&gt;='Control Room'!$A$13,$A501&lt;'Control Room'!$A$13+'Control Room'!$B$13,'Process'!BL2=1),1+('Control Room'!$C$13-1)*EXP(-0.5*(($A501-'Control Room'!$A$13-('Control Room'!$B$13-1)/2)/MAX(0.5,'Control Room'!$B$13/4))^2),1)*IF(AND($A501&gt;='Control Room'!$A$14,$A501&lt;'Control Room'!$A$14+'Control Room'!$B$14,'Process'!BL3=1),1+('Control Room'!$C$14-1)*EXP(-0.5*(($A501-'Control Room'!$A$14-('Control Room'!$B$14-1)/2)/MAX(0.5,'Control Room'!$B$14/4))^2),1)*IF(AND($A501&gt;='Control Room'!$A$15,$A501&lt;'Control Room'!$A$15+'Control Room'!$B$15,'Process'!BL4=1),1+('Control Room'!$C$15-1)*EXP(-0.5*(($A501-'Control Room'!$A$15-('Control Room'!$B$15-1)/2)/MAX(0.5,'Control Room'!$B$15/4))^2),1)*IF(AND($A501&gt;='Control Room'!$A$16,$A501&lt;'Control Room'!$A$16+'Control Room'!$B$16,'Process'!BL5=1),1+('Control Room'!$C$16-1)*EXP(-0.5*(($A501-'Control Room'!$A$16-('Control Room'!$B$16-1)/2)/MAX(0.5,'Control Room'!$B$16/4))^2),1)</x:f>
        <x:v>1</x:v>
      </x:c>
      <x:c r="L501" s="9" t="n">
        <x:f>MOD(M500*16807,2147483647)</x:f>
        <x:v>462340679</x:v>
      </x:c>
      <x:c r="M501" s="9" t="n">
        <x:f>MOD(L501*16807,2147483647)</x:f>
        <x:v>963957107</x:v>
      </x:c>
      <x:c r="N501" s="17" t="n">
        <x:f>IF('Control Room'!$B$5="Normal",'Control Room'!$B$7+'Control Room'!$D$7*SQRT(-2*LN(MAX(0.000000000001,L501/2147483647)))*COS(2*PI()*M501/2147483647),'Control Room'!$B$8+('Control Room'!$D$8-'Control Room'!$B$8)*L501/2147483647)</x:f>
        <x:v>850.3361520634808</x:v>
      </x:c>
      <x:c r="O501" s="17" t="n">
        <x:f>IF('Control Room'!$B$5="Normal",'Control Room'!$B$7,('Control Room'!$B$8+'Control Room'!$D$8)/2)+'Control Room'!$B$9*(O500-IF('Control Room'!$B$5="Normal",'Control Room'!$B$7,('Control Room'!$B$8+'Control Room'!$D$8)/2))+SQRT(1-'Control Room'!$B$9^2)*(N501-IF('Control Room'!$B$5="Normal",'Control Room'!$B$7,('Control Room'!$B$8+'Control Room'!$D$8)/2))</x:f>
        <x:v>762.9418957693425</x:v>
      </x:c>
      <x:c r="P501" s="17" t="n">
        <x:f>IF(AND($A501&gt;='Control Room'!$A$13,$A501&lt;'Control Room'!$A$13+'Control Room'!$B$13,'Process'!BM2=1),1+('Control Room'!$C$13-1)*EXP(-0.5*(($A501-'Control Room'!$A$13-('Control Room'!$B$13-1)/2)/MAX(0.5,'Control Room'!$B$13/4))^2),1)*IF(AND($A501&gt;='Control Room'!$A$14,$A501&lt;'Control Room'!$A$14+'Control Room'!$B$14,'Process'!BM3=1),1+('Control Room'!$C$14-1)*EXP(-0.5*(($A501-'Control Room'!$A$14-('Control Room'!$B$14-1)/2)/MAX(0.5,'Control Room'!$B$14/4))^2),1)*IF(AND($A501&gt;='Control Room'!$A$15,$A501&lt;'Control Room'!$A$15+'Control Room'!$B$15,'Process'!BM4=1),1+('Control Room'!$C$15-1)*EXP(-0.5*(($A501-'Control Room'!$A$15-('Control Room'!$B$15-1)/2)/MAX(0.5,'Control Room'!$B$15/4))^2),1)*IF(AND($A501&gt;='Control Room'!$A$16,$A501&lt;'Control Room'!$A$16+'Control Room'!$B$16,'Process'!BM5=1),1+('Control Room'!$C$16-1)*EXP(-0.5*(($A501-'Control Room'!$A$16-('Control Room'!$B$16-1)/2)/MAX(0.5,'Control Room'!$B$16/4))^2),1)</x:f>
        <x:v>1</x:v>
      </x:c>
      <x:c r="Q501" s="9" t="n">
        <x:f>MOD(R500*16807,2147483647)</x:f>
        <x:v>729907630</x:v>
      </x:c>
      <x:c r="R501" s="9" t="n">
        <x:f>MOD(Q501*16807,2147483647)</x:f>
        <x:v>1130945746</x:v>
      </x:c>
      <x:c r="S501" s="17" t="n">
        <x:f>IF('Control Room'!$B$5="Normal",'Control Room'!$B$7+'Control Room'!$D$7*SQRT(-2*LN(MAX(0.000000000001,Q501/2147483647)))*COS(2*PI()*R501/2147483647),'Control Room'!$B$8+('Control Room'!$D$8-'Control Room'!$B$8)*Q501/2147483647)</x:f>
        <x:v>869.6281711367526</x:v>
      </x:c>
      <x:c r="T501" s="17" t="n">
        <x:f>IF('Control Room'!$B$5="Normal",'Control Room'!$B$7,('Control Room'!$B$8+'Control Room'!$D$8)/2)+'Control Room'!$B$9*(T500-IF('Control Room'!$B$5="Normal",'Control Room'!$B$7,('Control Room'!$B$8+'Control Room'!$D$8)/2))+SQRT(1-'Control Room'!$B$9^2)*(S501-IF('Control Room'!$B$5="Normal",'Control Room'!$B$7,('Control Room'!$B$8+'Control Room'!$D$8)/2))</x:f>
        <x:v>1004.9198127202542</x:v>
      </x:c>
      <x:c r="U501" s="17" t="n">
        <x:f>IF(AND($A501&gt;='Control Room'!$A$13,$A501&lt;'Control Room'!$A$13+'Control Room'!$B$13,'Process'!BN2=1),1+('Control Room'!$C$13-1)*EXP(-0.5*(($A501-'Control Room'!$A$13-('Control Room'!$B$13-1)/2)/MAX(0.5,'Control Room'!$B$13/4))^2),1)*IF(AND($A501&gt;='Control Room'!$A$14,$A501&lt;'Control Room'!$A$14+'Control Room'!$B$14,'Process'!BN3=1),1+('Control Room'!$C$14-1)*EXP(-0.5*(($A501-'Control Room'!$A$14-('Control Room'!$B$14-1)/2)/MAX(0.5,'Control Room'!$B$14/4))^2),1)*IF(AND($A501&gt;='Control Room'!$A$15,$A501&lt;'Control Room'!$A$15+'Control Room'!$B$15,'Process'!BN4=1),1+('Control Room'!$C$15-1)*EXP(-0.5*(($A501-'Control Room'!$A$15-('Control Room'!$B$15-1)/2)/MAX(0.5,'Control Room'!$B$15/4))^2),1)*IF(AND($A501&gt;='Control Room'!$A$16,$A501&lt;'Control Room'!$A$16+'Control Room'!$B$16,'Process'!BN5=1),1+('Control Room'!$C$16-1)*EXP(-0.5*(($A501-'Control Room'!$A$16-('Control Room'!$B$16-1)/2)/MAX(0.5,'Control Room'!$B$16/4))^2),1)</x:f>
        <x:v>1</x:v>
      </x:c>
      <x:c r="V501" s="9" t="n">
        <x:f>MOD(W500*16807,2147483647)</x:f>
        <x:v>997474581</x:v>
      </x:c>
      <x:c r="W501" s="9" t="n">
        <x:f>MOD(V501*16807,2147483647)</x:f>
        <x:v>1297934385</x:v>
      </x:c>
      <x:c r="X501" s="17" t="n">
        <x:f>IF('Control Room'!$B$5="Normal",'Control Room'!$B$7+'Control Room'!$D$7*SQRT(-2*LN(MAX(0.000000000001,V501/2147483647)))*COS(2*PI()*W501/2147483647),'Control Room'!$B$8+('Control Room'!$D$8-'Control Room'!$B$8)*V501/2147483647)</x:f>
        <x:v>911.6741714317238</x:v>
      </x:c>
      <x:c r="Y501" s="17" t="n">
        <x:f>IF('Control Room'!$B$5="Normal",'Control Room'!$B$7,('Control Room'!$B$8+'Control Room'!$D$8)/2)+'Control Room'!$B$9*(Y500-IF('Control Room'!$B$5="Normal",'Control Room'!$B$7,('Control Room'!$B$8+'Control Room'!$D$8)/2))+SQRT(1-'Control Room'!$B$9^2)*(X501-IF('Control Room'!$B$5="Normal",'Control Room'!$B$7,('Control Room'!$B$8+'Control Room'!$D$8)/2))</x:f>
        <x:v>877.1756450841498</x:v>
      </x:c>
      <x:c r="Z501" s="17" t="n">
        <x:f>IF(AND($A501&gt;='Control Room'!$A$13,$A501&lt;'Control Room'!$A$13+'Control Room'!$B$13,'Process'!BO2=1),1+('Control Room'!$C$13-1)*EXP(-0.5*(($A501-'Control Room'!$A$13-('Control Room'!$B$13-1)/2)/MAX(0.5,'Control Room'!$B$13/4))^2),1)*IF(AND($A501&gt;='Control Room'!$A$14,$A501&lt;'Control Room'!$A$14+'Control Room'!$B$14,'Process'!BO3=1),1+('Control Room'!$C$14-1)*EXP(-0.5*(($A501-'Control Room'!$A$14-('Control Room'!$B$14-1)/2)/MAX(0.5,'Control Room'!$B$14/4))^2),1)*IF(AND($A501&gt;='Control Room'!$A$15,$A501&lt;'Control Room'!$A$15+'Control Room'!$B$15,'Process'!BO4=1),1+('Control Room'!$C$15-1)*EXP(-0.5*(($A501-'Control Room'!$A$15-('Control Room'!$B$15-1)/2)/MAX(0.5,'Control Room'!$B$15/4))^2),1)*IF(AND($A501&gt;='Control Room'!$A$16,$A501&lt;'Control Room'!$A$16+'Control Room'!$B$16,'Process'!BO5=1),1+('Control Room'!$C$16-1)*EXP(-0.5*(($A501-'Control Room'!$A$16-('Control Room'!$B$16-1)/2)/MAX(0.5,'Control Room'!$B$16/4))^2),1)</x:f>
        <x:v>1</x:v>
      </x:c>
      <x:c r="AA501" s="9" t="n">
        <x:f>MOD(AB500*16807,2147483647)</x:f>
        <x:v>1265041532</x:v>
      </x:c>
      <x:c r="AB501" s="9" t="n">
        <x:f>MOD(AA501*16807,2147483647)</x:f>
        <x:v>1464923024</x:v>
      </x:c>
      <x:c r="AC501" s="17" t="n">
        <x:f>IF('Control Room'!$B$5="Normal",'Control Room'!$B$7+'Control Room'!$D$7*SQRT(-2*LN(MAX(0.000000000001,AA501/2147483647)))*COS(2*PI()*AB501/2147483647),'Control Room'!$B$8+('Control Room'!$D$8-'Control Room'!$B$8)*AA501/2147483647)</x:f>
        <x:v>961.7166099189435</x:v>
      </x:c>
      <x:c r="AD501" s="17" t="n">
        <x:f>IF('Control Room'!$B$5="Normal",'Control Room'!$B$7,('Control Room'!$B$8+'Control Room'!$D$8)/2)+'Control Room'!$B$9*(AD500-IF('Control Room'!$B$5="Normal",'Control Room'!$B$7,('Control Room'!$B$8+'Control Room'!$D$8)/2))+SQRT(1-'Control Room'!$B$9^2)*(AC501-IF('Control Room'!$B$5="Normal",'Control Room'!$B$7,('Control Room'!$B$8+'Control Room'!$D$8)/2))</x:f>
        <x:v>843.2168116930401</x:v>
      </x:c>
      <x:c r="AE501" s="17" t="n">
        <x:f>IF(AND($A501&gt;='Control Room'!$A$13,$A501&lt;'Control Room'!$A$13+'Control Room'!$B$13,'Process'!BP2=1),1+('Control Room'!$C$13-1)*EXP(-0.5*(($A501-'Control Room'!$A$13-('Control Room'!$B$13-1)/2)/MAX(0.5,'Control Room'!$B$13/4))^2),1)*IF(AND($A501&gt;='Control Room'!$A$14,$A501&lt;'Control Room'!$A$14+'Control Room'!$B$14,'Process'!BP3=1),1+('Control Room'!$C$14-1)*EXP(-0.5*(($A501-'Control Room'!$A$14-('Control Room'!$B$14-1)/2)/MAX(0.5,'Control Room'!$B$14/4))^2),1)*IF(AND($A501&gt;='Control Room'!$A$15,$A501&lt;'Control Room'!$A$15+'Control Room'!$B$15,'Process'!BP4=1),1+('Control Room'!$C$15-1)*EXP(-0.5*(($A501-'Control Room'!$A$15-('Control Room'!$B$15-1)/2)/MAX(0.5,'Control Room'!$B$15/4))^2),1)*IF(AND($A501&gt;='Control Room'!$A$16,$A501&lt;'Control Room'!$A$16+'Control Room'!$B$16,'Process'!BP5=1),1+('Control Room'!$C$16-1)*EXP(-0.5*(($A501-'Control Room'!$A$16-('Control Room'!$B$16-1)/2)/MAX(0.5,'Control Room'!$B$16/4))^2),1)</x:f>
        <x:v>1</x:v>
      </x:c>
      <x:c r="AF501" s="9" t="n">
        <x:f>MOD(AG500*16807,2147483647)</x:f>
        <x:v>1532608483</x:v>
      </x:c>
      <x:c r="AG501" s="9" t="n">
        <x:f>MOD(AF501*16807,2147483647)</x:f>
        <x:v>1631911663</x:v>
      </x:c>
      <x:c r="AH501" s="17" t="n">
        <x:f>IF('Control Room'!$B$5="Normal",'Control Room'!$B$7+'Control Room'!$D$7*SQRT(-2*LN(MAX(0.000000000001,AF501/2147483647)))*COS(2*PI()*AG501/2147483647),'Control Room'!$B$8+('Control Room'!$D$8-'Control Room'!$B$8)*AF501/2147483647)</x:f>
        <x:v>1004.6037185338029</x:v>
      </x:c>
      <x:c r="AI501" s="17" t="n">
        <x:f>IF('Control Room'!$B$5="Normal",'Control Room'!$B$7,('Control Room'!$B$8+'Control Room'!$D$8)/2)+'Control Room'!$B$9*(AI500-IF('Control Room'!$B$5="Normal",'Control Room'!$B$7,('Control Room'!$B$8+'Control Room'!$D$8)/2))+SQRT(1-'Control Room'!$B$9^2)*(AH501-IF('Control Room'!$B$5="Normal",'Control Room'!$B$7,('Control Room'!$B$8+'Control Room'!$D$8)/2))</x:f>
        <x:v>920.6322724012002</x:v>
      </x:c>
      <x:c r="AJ501" s="17" t="n">
        <x:f>IF(AND($A501&gt;='Control Room'!$A$13,$A501&lt;'Control Room'!$A$13+'Control Room'!$B$13,'Process'!BQ2=1),1+('Control Room'!$C$13-1)*EXP(-0.5*(($A501-'Control Room'!$A$13-('Control Room'!$B$13-1)/2)/MAX(0.5,'Control Room'!$B$13/4))^2),1)*IF(AND($A501&gt;='Control Room'!$A$14,$A501&lt;'Control Room'!$A$14+'Control Room'!$B$14,'Process'!BQ3=1),1+('Control Room'!$C$14-1)*EXP(-0.5*(($A501-'Control Room'!$A$14-('Control Room'!$B$14-1)/2)/MAX(0.5,'Control Room'!$B$14/4))^2),1)*IF(AND($A501&gt;='Control Room'!$A$15,$A501&lt;'Control Room'!$A$15+'Control Room'!$B$15,'Process'!BQ4=1),1+('Control Room'!$C$15-1)*EXP(-0.5*(($A501-'Control Room'!$A$15-('Control Room'!$B$15-1)/2)/MAX(0.5,'Control Room'!$B$15/4))^2),1)*IF(AND($A501&gt;='Control Room'!$A$16,$A501&lt;'Control Room'!$A$16+'Control Room'!$B$16,'Process'!BQ5=1),1+('Control Room'!$C$16-1)*EXP(-0.5*(($A501-'Control Room'!$A$16-('Control Room'!$B$16-1)/2)/MAX(0.5,'Control Room'!$B$16/4))^2),1)</x:f>
        <x:v>1</x:v>
      </x:c>
      <x:c r="AK501" s="9" t="n">
        <x:f>MOD(AL500*16807,2147483647)</x:f>
        <x:v>1800175434</x:v>
      </x:c>
      <x:c r="AL501" s="9" t="n">
        <x:f>MOD(AK501*16807,2147483647)</x:f>
        <x:v>1798900302</x:v>
      </x:c>
      <x:c r="AM501" s="17" t="n">
        <x:f>IF('Control Room'!$B$5="Normal",'Control Room'!$B$7+'Control Room'!$D$7*SQRT(-2*LN(MAX(0.000000000001,AK501/2147483647)))*COS(2*PI()*AL501/2147483647),'Control Room'!$B$8+('Control Room'!$D$8-'Control Room'!$B$8)*AK501/2147483647)</x:f>
        <x:v>1027.9833758293105</x:v>
      </x:c>
      <x:c r="AN501" s="17" t="n">
        <x:f>IF('Control Room'!$B$5="Normal",'Control Room'!$B$7,('Control Room'!$B$8+'Control Room'!$D$8)/2)+'Control Room'!$B$9*(AN500-IF('Control Room'!$B$5="Normal",'Control Room'!$B$7,('Control Room'!$B$8+'Control Room'!$D$8)/2))+SQRT(1-'Control Room'!$B$9^2)*(AM501-IF('Control Room'!$B$5="Normal",'Control Room'!$B$7,('Control Room'!$B$8+'Control Room'!$D$8)/2))</x:f>
        <x:v>997.3137844761866</x:v>
      </x:c>
      <x:c r="AO501" s="17" t="n">
        <x:f>IF(AND($A501&gt;='Control Room'!$A$13,$A501&lt;'Control Room'!$A$13+'Control Room'!$B$13,'Process'!BR2=1),1+('Control Room'!$C$13-1)*EXP(-0.5*(($A501-'Control Room'!$A$13-('Control Room'!$B$13-1)/2)/MAX(0.5,'Control Room'!$B$13/4))^2),1)*IF(AND($A501&gt;='Control Room'!$A$14,$A501&lt;'Control Room'!$A$14+'Control Room'!$B$14,'Process'!BR3=1),1+('Control Room'!$C$14-1)*EXP(-0.5*(($A501-'Control Room'!$A$14-('Control Room'!$B$14-1)/2)/MAX(0.5,'Control Room'!$B$14/4))^2),1)*IF(AND($A501&gt;='Control Room'!$A$15,$A501&lt;'Control Room'!$A$15+'Control Room'!$B$15,'Process'!BR4=1),1+('Control Room'!$C$15-1)*EXP(-0.5*(($A501-'Control Room'!$A$15-('Control Room'!$B$15-1)/2)/MAX(0.5,'Control Room'!$B$15/4))^2),1)*IF(AND($A501&gt;='Control Room'!$A$16,$A501&lt;'Control Room'!$A$16+'Control Room'!$B$16,'Process'!BR5=1),1+('Control Room'!$C$16-1)*EXP(-0.5*(($A501-'Control Room'!$A$16-('Control Room'!$B$16-1)/2)/MAX(0.5,'Control Room'!$B$16/4))^2),1)</x:f>
        <x:v>1</x:v>
      </x:c>
      <x:c r="AP501" s="9" t="n">
        <x:f>MOD(AQ500*16807,2147483647)</x:f>
        <x:v>2067742385</x:v>
      </x:c>
      <x:c r="AQ501" s="9" t="n">
        <x:f>MOD(AP501*16807,2147483647)</x:f>
        <x:v>1965888941</x:v>
      </x:c>
      <x:c r="AR501" s="17" t="n">
        <x:f>IF('Control Room'!$B$5="Normal",'Control Room'!$B$7+'Control Room'!$D$7*SQRT(-2*LN(MAX(0.000000000001,AP501/2147483647)))*COS(2*PI()*AQ501/2147483647),'Control Room'!$B$8+('Control Room'!$D$8-'Control Room'!$B$8)*AP501/2147483647)</x:f>
        <x:v>1021.3455701633779</x:v>
      </x:c>
      <x:c r="AS501" s="17" t="n">
        <x:f>IF('Control Room'!$B$5="Normal",'Control Room'!$B$7,('Control Room'!$B$8+'Control Room'!$D$8)/2)+'Control Room'!$B$9*(AS500-IF('Control Room'!$B$5="Normal",'Control Room'!$B$7,('Control Room'!$B$8+'Control Room'!$D$8)/2))+SQRT(1-'Control Room'!$B$9^2)*(AR501-IF('Control Room'!$B$5="Normal",'Control Room'!$B$7,('Control Room'!$B$8+'Control Room'!$D$8)/2))</x:f>
        <x:v>1099.2044724597488</x:v>
      </x:c>
      <x:c r="AT501" s="17" t="n">
        <x:f>IF(AND($A501&gt;='Control Room'!$A$13,$A501&lt;'Control Room'!$A$13+'Control Room'!$B$13,'Process'!BS2=1),1+('Control Room'!$C$13-1)*EXP(-0.5*(($A501-'Control Room'!$A$13-('Control Room'!$B$13-1)/2)/MAX(0.5,'Control Room'!$B$13/4))^2),1)*IF(AND($A501&gt;='Control Room'!$A$14,$A501&lt;'Control Room'!$A$14+'Control Room'!$B$14,'Process'!BS3=1),1+('Control Room'!$C$14-1)*EXP(-0.5*(($A501-'Control Room'!$A$14-('Control Room'!$B$14-1)/2)/MAX(0.5,'Control Room'!$B$14/4))^2),1)*IF(AND($A501&gt;='Control Room'!$A$15,$A501&lt;'Control Room'!$A$15+'Control Room'!$B$15,'Process'!BS4=1),1+('Control Room'!$C$15-1)*EXP(-0.5*(($A501-'Control Room'!$A$15-('Control Room'!$B$15-1)/2)/MAX(0.5,'Control Room'!$B$15/4))^2),1)*IF(AND($A501&gt;='Control Room'!$A$16,$A501&lt;'Control Room'!$A$16+'Control Room'!$B$16,'Process'!BS5=1),1+('Control Room'!$C$16-1)*EXP(-0.5*(($A501-'Control Room'!$A$16-('Control Room'!$B$16-1)/2)/MAX(0.5,'Control Room'!$B$16/4))^2),1)</x:f>
        <x:v>1</x:v>
      </x:c>
      <x:c r="AU501" s="9" t="n">
        <x:f>MOD(AV500*16807,2147483647)</x:f>
        <x:v>187825689</x:v>
      </x:c>
      <x:c r="AV501" s="9" t="n">
        <x:f>MOD(AU501*16807,2147483647)</x:f>
        <x:v>2132877580</x:v>
      </x:c>
      <x:c r="AW501" s="17" t="n">
        <x:f>IF('Control Room'!$B$5="Normal",'Control Room'!$B$7+'Control Room'!$D$7*SQRT(-2*LN(MAX(0.000000000001,AU501/2147483647)))*COS(2*PI()*AV501/2147483647),'Control Room'!$B$8+('Control Room'!$D$8-'Control Room'!$B$8)*AU501/2147483647)</x:f>
        <x:v>1198.4939995508482</x:v>
      </x:c>
      <x:c r="AX501" s="17" t="n">
        <x:f>IF('Control Room'!$B$5="Normal",'Control Room'!$B$7,('Control Room'!$B$8+'Control Room'!$D$8)/2)+'Control Room'!$B$9*(AX500-IF('Control Room'!$B$5="Normal",'Control Room'!$B$7,('Control Room'!$B$8+'Control Room'!$D$8)/2))+SQRT(1-'Control Room'!$B$9^2)*(AW501-IF('Control Room'!$B$5="Normal",'Control Room'!$B$7,('Control Room'!$B$8+'Control Room'!$D$8)/2))</x:f>
        <x:v>1059.1075122732864</x:v>
      </x:c>
      <x:c r="AY501" s="17" t="n">
        <x:f>IF(AND($A501&gt;='Control Room'!$A$13,$A501&lt;'Control Room'!$A$13+'Control Room'!$B$13,'Process'!BT2=1),1+('Control Room'!$C$13-1)*EXP(-0.5*(($A501-'Control Room'!$A$13-('Control Room'!$B$13-1)/2)/MAX(0.5,'Control Room'!$B$13/4))^2),1)*IF(AND($A501&gt;='Control Room'!$A$14,$A501&lt;'Control Room'!$A$14+'Control Room'!$B$14,'Process'!BT3=1),1+('Control Room'!$C$14-1)*EXP(-0.5*(($A501-'Control Room'!$A$14-('Control Room'!$B$14-1)/2)/MAX(0.5,'Control Room'!$B$14/4))^2),1)*IF(AND($A501&gt;='Control Room'!$A$15,$A501&lt;'Control Room'!$A$15+'Control Room'!$B$15,'Process'!BT4=1),1+('Control Room'!$C$15-1)*EXP(-0.5*(($A501-'Control Room'!$A$15-('Control Room'!$B$15-1)/2)/MAX(0.5,'Control Room'!$B$15/4))^2),1)*IF(AND($A501&gt;='Control Room'!$A$16,$A501&lt;'Control Room'!$A$16+'Control Room'!$B$16,'Process'!BT5=1),1+('Control Room'!$C$16-1)*EXP(-0.5*(($A501-'Control Room'!$A$16-('Control Room'!$B$16-1)/2)/MAX(0.5,'Control Room'!$B$16/4))^2),1)</x:f>
        <x:v>1</x:v>
      </x:c>
      <x:c r="AZ501" s="9" t="n">
        <x:f>MOD(BA500*16807,2147483647)</x:f>
        <x:v>455392640</x:v>
      </x:c>
      <x:c r="BA501" s="9" t="n">
        <x:f>MOD(AZ501*16807,2147483647)</x:f>
        <x:v>152382572</x:v>
      </x:c>
      <x:c r="BB501" s="17" t="n">
        <x:f>IF('Control Room'!$B$5="Normal",'Control Room'!$B$7+'Control Room'!$D$7*SQRT(-2*LN(MAX(0.000000000001,AZ501/2147483647)))*COS(2*PI()*BA501/2147483647),'Control Room'!$B$8+('Control Room'!$D$8-'Control Room'!$B$8)*AZ501/2147483647)</x:f>
        <x:v>1143.012253537292</x:v>
      </x:c>
      <x:c r="BC501" s="17" t="n">
        <x:f>IF('Control Room'!$B$5="Normal",'Control Room'!$B$7,('Control Room'!$B$8+'Control Room'!$D$8)/2)+'Control Room'!$B$9*(BC500-IF('Control Room'!$B$5="Normal",'Control Room'!$B$7,('Control Room'!$B$8+'Control Room'!$D$8)/2))+SQRT(1-'Control Room'!$B$9^2)*(BB501-IF('Control Room'!$B$5="Normal",'Control Room'!$B$7,('Control Room'!$B$8+'Control Room'!$D$8)/2))</x:f>
        <x:v>1094.1190453580655</x:v>
      </x:c>
      <x:c r="BD501" s="17" t="n">
        <x:f>IF(AND($A501&gt;='Control Room'!$A$13,$A501&lt;'Control Room'!$A$13+'Control Room'!$B$13,'Process'!BU2=1),1+('Control Room'!$C$13-1)*EXP(-0.5*(($A501-'Control Room'!$A$13-('Control Room'!$B$13-1)/2)/MAX(0.5,'Control Room'!$B$13/4))^2),1)*IF(AND($A501&gt;='Control Room'!$A$14,$A501&lt;'Control Room'!$A$14+'Control Room'!$B$14,'Process'!BU3=1),1+('Control Room'!$C$14-1)*EXP(-0.5*(($A501-'Control Room'!$A$14-('Control Room'!$B$14-1)/2)/MAX(0.5,'Control Room'!$B$14/4))^2),1)*IF(AND($A501&gt;='Control Room'!$A$15,$A501&lt;'Control Room'!$A$15+'Control Room'!$B$15,'Process'!BU4=1),1+('Control Room'!$C$15-1)*EXP(-0.5*(($A501-'Control Room'!$A$15-('Control Room'!$B$15-1)/2)/MAX(0.5,'Control Room'!$B$15/4))^2),1)*IF(AND($A501&gt;='Control Room'!$A$16,$A501&lt;'Control Room'!$A$16+'Control Room'!$B$16,'Process'!BU5=1),1+('Control Room'!$C$16-1)*EXP(-0.5*(($A501-'Control Room'!$A$16-('Control Room'!$B$16-1)/2)/MAX(0.5,'Control Room'!$B$16/4))^2),1)</x:f>
        <x:v>1</x:v>
      </x:c>
      <x:c r="BE501" s="9" t="n">
        <x:f>MOD(BF500*16807,2147483647)</x:f>
        <x:v>722959591</x:v>
      </x:c>
      <x:c r="BF501" s="9" t="n">
        <x:f>MOD(BE501*16807,2147483647)</x:f>
        <x:v>319371211</x:v>
      </x:c>
      <x:c r="BG501" s="17" t="n">
        <x:f>IF('Control Room'!$B$5="Normal",'Control Room'!$B$7+'Control Room'!$D$7*SQRT(-2*LN(MAX(0.000000000001,BE501/2147483647)))*COS(2*PI()*BF501/2147483647),'Control Room'!$B$8+('Control Room'!$D$8-'Control Room'!$B$8)*BE501/2147483647)</x:f>
        <x:v>1078.9226245143561</x:v>
      </x:c>
      <x:c r="BH501" s="17" t="n">
        <x:f>IF('Control Room'!$B$5="Normal",'Control Room'!$B$7,('Control Room'!$B$8+'Control Room'!$D$8)/2)+'Control Room'!$B$9*(BH500-IF('Control Room'!$B$5="Normal",'Control Room'!$B$7,('Control Room'!$B$8+'Control Room'!$D$8)/2))+SQRT(1-'Control Room'!$B$9^2)*(BG501-IF('Control Room'!$B$5="Normal",'Control Room'!$B$7,('Control Room'!$B$8+'Control Room'!$D$8)/2))</x:f>
        <x:v>977.6173674323686</x:v>
      </x:c>
      <x:c r="BI501" s="17" t="n">
        <x:f>IF(AND($A501&gt;='Control Room'!$A$13,$A501&lt;'Control Room'!$A$13+'Control Room'!$B$13,'Process'!BV2=1),1+('Control Room'!$C$13-1)*EXP(-0.5*(($A501-'Control Room'!$A$13-('Control Room'!$B$13-1)/2)/MAX(0.5,'Control Room'!$B$13/4))^2),1)*IF(AND($A501&gt;='Control Room'!$A$14,$A501&lt;'Control Room'!$A$14+'Control Room'!$B$14,'Process'!BV3=1),1+('Control Room'!$C$14-1)*EXP(-0.5*(($A501-'Control Room'!$A$14-('Control Room'!$B$14-1)/2)/MAX(0.5,'Control Room'!$B$14/4))^2),1)*IF(AND($A501&gt;='Control Room'!$A$15,$A501&lt;'Control Room'!$A$15+'Control Room'!$B$15,'Process'!BV4=1),1+('Control Room'!$C$15-1)*EXP(-0.5*(($A501-'Control Room'!$A$15-('Control Room'!$B$15-1)/2)/MAX(0.5,'Control Room'!$B$15/4))^2),1)*IF(AND($A501&gt;='Control Room'!$A$16,$A501&lt;'Control Room'!$A$16+'Control Room'!$B$16,'Process'!BV5=1),1+('Control Room'!$C$16-1)*EXP(-0.5*(($A501-'Control Room'!$A$16-('Control Room'!$B$16-1)/2)/MAX(0.5,'Control Room'!$B$16/4))^2),1)</x:f>
        <x:v>1</x:v>
      </x:c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Z501" t="str">
        <x:f>IF('Data'!A501="","",TEXT('Data'!A501,"mm-dd"))</x:f>
      </x:c>
    </x:row>
    <x:row r="502" ht="21" customHeight="1">
      <x:c r="A502" s="15" t="n">
        <x:f>'Control Room'!$B$1+500</x:f>
        <x:v>73491</x:v>
      </x:c>
      <x:c r="B502" s="9" t="n">
        <x:f>MOD(C501*16807,2147483647)</x:f>
        <x:v>976606293</x:v>
      </x:c>
      <x:c r="C502" s="9" t="n">
        <x:f>MOD(B502*16807,2147483647)</x:f>
        <x:v>604452430</x:v>
      </x:c>
      <x:c r="D502" s="17" t="n">
        <x:f>IF('Control Room'!$B$5="Normal",'Control Room'!$B$7+'Control Room'!$D$7*SQRT(-2*LN(MAX(0.000000000001,B502/2147483647)))*COS(2*PI()*C502/2147483647),'Control Room'!$B$8+('Control Room'!$D$8-'Control Room'!$B$8)*B502/2147483647)</x:f>
        <x:v>977.8049486991057</x:v>
      </x:c>
      <x:c r="E502" s="17" t="n">
        <x:f>IF('Control Room'!$B$5="Normal",'Control Room'!$B$7,('Control Room'!$B$8+'Control Room'!$D$8)/2)+'Control Room'!$B$9*(E501-IF('Control Room'!$B$5="Normal",'Control Room'!$B$7,('Control Room'!$B$8+'Control Room'!$D$8)/2))+SQRT(1-'Control Room'!$B$9^2)*(D502-IF('Control Room'!$B$5="Normal",'Control Room'!$B$7,('Control Room'!$B$8+'Control Room'!$D$8)/2))</x:f>
        <x:v>990.135310245129</x:v>
      </x:c>
      <x:c r="F502" s="17" t="n">
        <x:f>IF(AND($A502&gt;='Control Room'!$A$13,$A502&lt;'Control Room'!$A$13+'Control Room'!$B$13,'Process'!BK2=1),1+('Control Room'!$C$13-1)*EXP(-0.5*(($A502-'Control Room'!$A$13-('Control Room'!$B$13-1)/2)/MAX(0.5,'Control Room'!$B$13/4))^2),1)*IF(AND($A502&gt;='Control Room'!$A$14,$A502&lt;'Control Room'!$A$14+'Control Room'!$B$14,'Process'!BK3=1),1+('Control Room'!$C$14-1)*EXP(-0.5*(($A502-'Control Room'!$A$14-('Control Room'!$B$14-1)/2)/MAX(0.5,'Control Room'!$B$14/4))^2),1)*IF(AND($A502&gt;='Control Room'!$A$15,$A502&lt;'Control Room'!$A$15+'Control Room'!$B$15,'Process'!BK4=1),1+('Control Room'!$C$15-1)*EXP(-0.5*(($A502-'Control Room'!$A$15-('Control Room'!$B$15-1)/2)/MAX(0.5,'Control Room'!$B$15/4))^2),1)*IF(AND($A502&gt;='Control Room'!$A$16,$A502&lt;'Control Room'!$A$16+'Control Room'!$B$16,'Process'!BK5=1),1+('Control Room'!$C$16-1)*EXP(-0.5*(($A502-'Control Room'!$A$16-('Control Room'!$B$16-1)/2)/MAX(0.5,'Control Room'!$B$16/4))^2),1)</x:f>
        <x:v>1</x:v>
      </x:c>
      <x:c r="G502" s="9" t="n">
        <x:f>MOD(H501*16807,2147483647)</x:f>
        <x:v>793535337</x:v>
      </x:c>
      <x:c r="H502" s="9" t="n">
        <x:f>MOD(G502*16807,2147483647)</x:f>
        <x:v>1074961089</x:v>
      </x:c>
      <x:c r="I502" s="17" t="n">
        <x:f>IF('Control Room'!$B$5="Normal",'Control Room'!$B$7+'Control Room'!$D$7*SQRT(-2*LN(MAX(0.000000000001,G502/2147483647)))*COS(2*PI()*H502/2147483647),'Control Room'!$B$8+('Control Room'!$D$8-'Control Room'!$B$8)*G502/2147483647)</x:f>
        <x:v>873.004846480669</x:v>
      </x:c>
      <x:c r="J502" s="17" t="n">
        <x:f>IF('Control Room'!$B$5="Normal",'Control Room'!$B$7,('Control Room'!$B$8+'Control Room'!$D$8)/2)+'Control Room'!$B$9*(J501-IF('Control Room'!$B$5="Normal",'Control Room'!$B$7,('Control Room'!$B$8+'Control Room'!$D$8)/2))+SQRT(1-'Control Room'!$B$9^2)*(I502-IF('Control Room'!$B$5="Normal",'Control Room'!$B$7,('Control Room'!$B$8+'Control Room'!$D$8)/2))</x:f>
        <x:v>870.7029641947721</x:v>
      </x:c>
      <x:c r="K502" s="17" t="n">
        <x:f>IF(AND($A502&gt;='Control Room'!$A$13,$A502&lt;'Control Room'!$A$13+'Control Room'!$B$13,'Process'!BL2=1),1+('Control Room'!$C$13-1)*EXP(-0.5*(($A502-'Control Room'!$A$13-('Control Room'!$B$13-1)/2)/MAX(0.5,'Control Room'!$B$13/4))^2),1)*IF(AND($A502&gt;='Control Room'!$A$14,$A502&lt;'Control Room'!$A$14+'Control Room'!$B$14,'Process'!BL3=1),1+('Control Room'!$C$14-1)*EXP(-0.5*(($A502-'Control Room'!$A$14-('Control Room'!$B$14-1)/2)/MAX(0.5,'Control Room'!$B$14/4))^2),1)*IF(AND($A502&gt;='Control Room'!$A$15,$A502&lt;'Control Room'!$A$15+'Control Room'!$B$15,'Process'!BL4=1),1+('Control Room'!$C$15-1)*EXP(-0.5*(($A502-'Control Room'!$A$15-('Control Room'!$B$15-1)/2)/MAX(0.5,'Control Room'!$B$15/4))^2),1)*IF(AND($A502&gt;='Control Room'!$A$16,$A502&lt;'Control Room'!$A$16+'Control Room'!$B$16,'Process'!BL5=1),1+('Control Room'!$C$16-1)*EXP(-0.5*(($A502-'Control Room'!$A$16-('Control Room'!$B$16-1)/2)/MAX(0.5,'Control Room'!$B$16/4))^2),1)</x:f>
        <x:v>1</x:v>
      </x:c>
      <x:c r="L502" s="9" t="n">
        <x:f>MOD(M501*16807,2147483647)</x:f>
        <x:v>610464381</x:v>
      </x:c>
      <x:c r="M502" s="9" t="n">
        <x:f>MOD(L502*16807,2147483647)</x:f>
        <x:v>1545469748</x:v>
      </x:c>
      <x:c r="N502" s="17" t="n">
        <x:f>IF('Control Room'!$B$5="Normal",'Control Room'!$B$7+'Control Room'!$D$7*SQRT(-2*LN(MAX(0.000000000001,L502/2147483647)))*COS(2*PI()*M502/2147483647),'Control Room'!$B$8+('Control Room'!$D$8-'Control Room'!$B$8)*L502/2147483647)</x:f>
        <x:v>972.957063207832</x:v>
      </x:c>
      <x:c r="O502" s="17" t="n">
        <x:f>IF('Control Room'!$B$5="Normal",'Control Room'!$B$7,('Control Room'!$B$8+'Control Room'!$D$8)/2)+'Control Room'!$B$9*(O501-IF('Control Room'!$B$5="Normal",'Control Room'!$B$7,('Control Room'!$B$8+'Control Room'!$D$8)/2))+SQRT(1-'Control Room'!$B$9^2)*(N502-IF('Control Room'!$B$5="Normal",'Control Room'!$B$7,('Control Room'!$B$8+'Control Room'!$D$8)/2))</x:f>
        <x:v>798.1717628602214</x:v>
      </x:c>
      <x:c r="P502" s="17" t="n">
        <x:f>IF(AND($A502&gt;='Control Room'!$A$13,$A502&lt;'Control Room'!$A$13+'Control Room'!$B$13,'Process'!BM2=1),1+('Control Room'!$C$13-1)*EXP(-0.5*(($A502-'Control Room'!$A$13-('Control Room'!$B$13-1)/2)/MAX(0.5,'Control Room'!$B$13/4))^2),1)*IF(AND($A502&gt;='Control Room'!$A$14,$A502&lt;'Control Room'!$A$14+'Control Room'!$B$14,'Process'!BM3=1),1+('Control Room'!$C$14-1)*EXP(-0.5*(($A502-'Control Room'!$A$14-('Control Room'!$B$14-1)/2)/MAX(0.5,'Control Room'!$B$14/4))^2),1)*IF(AND($A502&gt;='Control Room'!$A$15,$A502&lt;'Control Room'!$A$15+'Control Room'!$B$15,'Process'!BM4=1),1+('Control Room'!$C$15-1)*EXP(-0.5*(($A502-'Control Room'!$A$15-('Control Room'!$B$15-1)/2)/MAX(0.5,'Control Room'!$B$15/4))^2),1)*IF(AND($A502&gt;='Control Room'!$A$16,$A502&lt;'Control Room'!$A$16+'Control Room'!$B$16,'Process'!BM5=1),1+('Control Room'!$C$16-1)*EXP(-0.5*(($A502-'Control Room'!$A$16-('Control Room'!$B$16-1)/2)/MAX(0.5,'Control Room'!$B$16/4))^2),1)</x:f>
        <x:v>1</x:v>
      </x:c>
      <x:c r="Q502" s="9" t="n">
        <x:f>MOD(R501*16807,2147483647)</x:f>
        <x:v>427393425</x:v>
      </x:c>
      <x:c r="R502" s="9" t="n">
        <x:f>MOD(Q502*16807,2147483647)</x:f>
        <x:v>2015978407</x:v>
      </x:c>
      <x:c r="S502" s="17" t="n">
        <x:f>IF('Control Room'!$B$5="Normal",'Control Room'!$B$7+'Control Room'!$D$7*SQRT(-2*LN(MAX(0.000000000001,Q502/2147483647)))*COS(2*PI()*R502/2147483647),'Control Room'!$B$8+('Control Room'!$D$8-'Control Room'!$B$8)*Q502/2147483647)</x:f>
        <x:v>1149.8935640903107</x:v>
      </x:c>
      <x:c r="T502" s="17" t="n">
        <x:f>IF('Control Room'!$B$5="Normal",'Control Room'!$B$7,('Control Room'!$B$8+'Control Room'!$D$8)/2)+'Control Room'!$B$9*(T501-IF('Control Room'!$B$5="Normal",'Control Room'!$B$7,('Control Room'!$B$8+'Control Room'!$D$8)/2))+SQRT(1-'Control Room'!$B$9^2)*(S502-IF('Control Room'!$B$5="Normal",'Control Room'!$B$7,('Control Room'!$B$8+'Control Room'!$D$8)/2))</x:f>
        <x:v>1097.637775592945</x:v>
      </x:c>
      <x:c r="U502" s="17" t="n">
        <x:f>IF(AND($A502&gt;='Control Room'!$A$13,$A502&lt;'Control Room'!$A$13+'Control Room'!$B$13,'Process'!BN2=1),1+('Control Room'!$C$13-1)*EXP(-0.5*(($A502-'Control Room'!$A$13-('Control Room'!$B$13-1)/2)/MAX(0.5,'Control Room'!$B$13/4))^2),1)*IF(AND($A502&gt;='Control Room'!$A$14,$A502&lt;'Control Room'!$A$14+'Control Room'!$B$14,'Process'!BN3=1),1+('Control Room'!$C$14-1)*EXP(-0.5*(($A502-'Control Room'!$A$14-('Control Room'!$B$14-1)/2)/MAX(0.5,'Control Room'!$B$14/4))^2),1)*IF(AND($A502&gt;='Control Room'!$A$15,$A502&lt;'Control Room'!$A$15+'Control Room'!$B$15,'Process'!BN4=1),1+('Control Room'!$C$15-1)*EXP(-0.5*(($A502-'Control Room'!$A$15-('Control Room'!$B$15-1)/2)/MAX(0.5,'Control Room'!$B$15/4))^2),1)*IF(AND($A502&gt;='Control Room'!$A$16,$A502&lt;'Control Room'!$A$16+'Control Room'!$B$16,'Process'!BN5=1),1+('Control Room'!$C$16-1)*EXP(-0.5*(($A502-'Control Room'!$A$16-('Control Room'!$B$16-1)/2)/MAX(0.5,'Control Room'!$B$16/4))^2),1)</x:f>
        <x:v>1</x:v>
      </x:c>
      <x:c r="V502" s="9" t="n">
        <x:f>MOD(W501*16807,2147483647)</x:f>
        <x:v>244322469</x:v>
      </x:c>
      <x:c r="W502" s="9" t="n">
        <x:f>MOD(V502*16807,2147483647)</x:f>
        <x:v>339003419</x:v>
      </x:c>
      <x:c r="X502" s="17" t="n">
        <x:f>IF('Control Room'!$B$5="Normal",'Control Room'!$B$7+'Control Room'!$D$7*SQRT(-2*LN(MAX(0.000000000001,V502/2147483647)))*COS(2*PI()*W502/2147483647),'Control Room'!$B$8+('Control Room'!$D$8-'Control Room'!$B$8)*V502/2147483647)</x:f>
        <x:v>1102.667181129245</x:v>
      </x:c>
      <x:c r="Y502" s="17" t="n">
        <x:f>IF('Control Room'!$B$5="Normal",'Control Room'!$B$7,('Control Room'!$B$8+'Control Room'!$D$8)/2)+'Control Room'!$B$9*(Y501-IF('Control Room'!$B$5="Normal",'Control Room'!$B$7,('Control Room'!$B$8+'Control Room'!$D$8)/2))+SQRT(1-'Control Room'!$B$9^2)*(X502-IF('Control Room'!$B$5="Normal",'Control Room'!$B$7,('Control Room'!$B$8+'Control Room'!$D$8)/2))</x:f>
        <x:v>968.444021864791</x:v>
      </x:c>
      <x:c r="Z502" s="17" t="n">
        <x:f>IF(AND($A502&gt;='Control Room'!$A$13,$A502&lt;'Control Room'!$A$13+'Control Room'!$B$13,'Process'!BO2=1),1+('Control Room'!$C$13-1)*EXP(-0.5*(($A502-'Control Room'!$A$13-('Control Room'!$B$13-1)/2)/MAX(0.5,'Control Room'!$B$13/4))^2),1)*IF(AND($A502&gt;='Control Room'!$A$14,$A502&lt;'Control Room'!$A$14+'Control Room'!$B$14,'Process'!BO3=1),1+('Control Room'!$C$14-1)*EXP(-0.5*(($A502-'Control Room'!$A$14-('Control Room'!$B$14-1)/2)/MAX(0.5,'Control Room'!$B$14/4))^2),1)*IF(AND($A502&gt;='Control Room'!$A$15,$A502&lt;'Control Room'!$A$15+'Control Room'!$B$15,'Process'!BO4=1),1+('Control Room'!$C$15-1)*EXP(-0.5*(($A502-'Control Room'!$A$15-('Control Room'!$B$15-1)/2)/MAX(0.5,'Control Room'!$B$15/4))^2),1)*IF(AND($A502&gt;='Control Room'!$A$16,$A502&lt;'Control Room'!$A$16+'Control Room'!$B$16,'Process'!BO5=1),1+('Control Room'!$C$16-1)*EXP(-0.5*(($A502-'Control Room'!$A$16-('Control Room'!$B$16-1)/2)/MAX(0.5,'Control Room'!$B$16/4))^2),1)</x:f>
        <x:v>1</x:v>
      </x:c>
      <x:c r="AA502" s="9" t="n">
        <x:f>MOD(AB501*16807,2147483647)</x:f>
        <x:v>61251513</x:v>
      </x:c>
      <x:c r="AB502" s="9" t="n">
        <x:f>MOD(AA502*16807,2147483647)</x:f>
        <x:v>809512078</x:v>
      </x:c>
      <x:c r="AC502" s="17" t="n">
        <x:f>IF('Control Room'!$B$5="Normal",'Control Room'!$B$7+'Control Room'!$D$7*SQRT(-2*LN(MAX(0.000000000001,AA502/2147483647)))*COS(2*PI()*AB502/2147483647),'Control Room'!$B$8+('Control Room'!$D$8-'Control Room'!$B$8)*AA502/2147483647)</x:f>
        <x:v>828.1825855294934</x:v>
      </x:c>
      <x:c r="AD502" s="17" t="n">
        <x:f>IF('Control Room'!$B$5="Normal",'Control Room'!$B$7,('Control Room'!$B$8+'Control Room'!$D$8)/2)+'Control Room'!$B$9*(AD501-IF('Control Room'!$B$5="Normal",'Control Room'!$B$7,('Control Room'!$B$8+'Control Room'!$D$8)/2))+SQRT(1-'Control Room'!$B$9^2)*(AC502-IF('Control Room'!$B$5="Normal",'Control Room'!$B$7,('Control Room'!$B$8+'Control Room'!$D$8)/2))</x:f>
        <x:v>770.1892950159856</x:v>
      </x:c>
      <x:c r="AE502" s="17" t="n">
        <x:f>IF(AND($A502&gt;='Control Room'!$A$13,$A502&lt;'Control Room'!$A$13+'Control Room'!$B$13,'Process'!BP2=1),1+('Control Room'!$C$13-1)*EXP(-0.5*(($A502-'Control Room'!$A$13-('Control Room'!$B$13-1)/2)/MAX(0.5,'Control Room'!$B$13/4))^2),1)*IF(AND($A502&gt;='Control Room'!$A$14,$A502&lt;'Control Room'!$A$14+'Control Room'!$B$14,'Process'!BP3=1),1+('Control Room'!$C$14-1)*EXP(-0.5*(($A502-'Control Room'!$A$14-('Control Room'!$B$14-1)/2)/MAX(0.5,'Control Room'!$B$14/4))^2),1)*IF(AND($A502&gt;='Control Room'!$A$15,$A502&lt;'Control Room'!$A$15+'Control Room'!$B$15,'Process'!BP4=1),1+('Control Room'!$C$15-1)*EXP(-0.5*(($A502-'Control Room'!$A$15-('Control Room'!$B$15-1)/2)/MAX(0.5,'Control Room'!$B$15/4))^2),1)*IF(AND($A502&gt;='Control Room'!$A$16,$A502&lt;'Control Room'!$A$16+'Control Room'!$B$16,'Process'!BP5=1),1+('Control Room'!$C$16-1)*EXP(-0.5*(($A502-'Control Room'!$A$16-('Control Room'!$B$16-1)/2)/MAX(0.5,'Control Room'!$B$16/4))^2),1)</x:f>
        <x:v>1</x:v>
      </x:c>
      <x:c r="AF502" s="9" t="n">
        <x:f>MOD(AG501*16807,2147483647)</x:f>
        <x:v>2025664204</x:v>
      </x:c>
      <x:c r="AG502" s="9" t="n">
        <x:f>MOD(AF502*16807,2147483647)</x:f>
        <x:v>1280020737</x:v>
      </x:c>
      <x:c r="AH502" s="17" t="n">
        <x:f>IF('Control Room'!$B$5="Normal",'Control Room'!$B$7+'Control Room'!$D$7*SQRT(-2*LN(MAX(0.000000000001,AF502/2147483647)))*COS(2*PI()*AG502/2147483647),'Control Room'!$B$8+('Control Room'!$D$8-'Control Room'!$B$8)*AF502/2147483647)</x:f>
        <x:v>974.6757889084505</x:v>
      </x:c>
      <x:c r="AI502" s="17" t="n">
        <x:f>IF('Control Room'!$B$5="Normal",'Control Room'!$B$7,('Control Room'!$B$8+'Control Room'!$D$8)/2)+'Control Room'!$B$9*(AI501-IF('Control Room'!$B$5="Normal",'Control Room'!$B$7,('Control Room'!$B$8+'Control Room'!$D$8)/2))+SQRT(1-'Control Room'!$B$9^2)*(AH502-IF('Control Room'!$B$5="Normal",'Control Room'!$B$7,('Control Room'!$B$8+'Control Room'!$D$8)/2))</x:f>
        <x:v>922.2457999665078</x:v>
      </x:c>
      <x:c r="AJ502" s="17" t="n">
        <x:f>IF(AND($A502&gt;='Control Room'!$A$13,$A502&lt;'Control Room'!$A$13+'Control Room'!$B$13,'Process'!BQ2=1),1+('Control Room'!$C$13-1)*EXP(-0.5*(($A502-'Control Room'!$A$13-('Control Room'!$B$13-1)/2)/MAX(0.5,'Control Room'!$B$13/4))^2),1)*IF(AND($A502&gt;='Control Room'!$A$14,$A502&lt;'Control Room'!$A$14+'Control Room'!$B$14,'Process'!BQ3=1),1+('Control Room'!$C$14-1)*EXP(-0.5*(($A502-'Control Room'!$A$14-('Control Room'!$B$14-1)/2)/MAX(0.5,'Control Room'!$B$14/4))^2),1)*IF(AND($A502&gt;='Control Room'!$A$15,$A502&lt;'Control Room'!$A$15+'Control Room'!$B$15,'Process'!BQ4=1),1+('Control Room'!$C$15-1)*EXP(-0.5*(($A502-'Control Room'!$A$15-('Control Room'!$B$15-1)/2)/MAX(0.5,'Control Room'!$B$15/4))^2),1)*IF(AND($A502&gt;='Control Room'!$A$16,$A502&lt;'Control Room'!$A$16+'Control Room'!$B$16,'Process'!BQ5=1),1+('Control Room'!$C$16-1)*EXP(-0.5*(($A502-'Control Room'!$A$16-('Control Room'!$B$16-1)/2)/MAX(0.5,'Control Room'!$B$16/4))^2),1)</x:f>
        <x:v>1</x:v>
      </x:c>
      <x:c r="AK502" s="9" t="n">
        <x:f>MOD(AL501*16807,2147483647)</x:f>
        <x:v>1842593248</x:v>
      </x:c>
      <x:c r="AL502" s="9" t="n">
        <x:f>MOD(AK502*16807,2147483647)</x:f>
        <x:v>1750529396</x:v>
      </x:c>
      <x:c r="AM502" s="17" t="n">
        <x:f>IF('Control Room'!$B$5="Normal",'Control Room'!$B$7+'Control Room'!$D$7*SQRT(-2*LN(MAX(0.000000000001,AK502/2147483647)))*COS(2*PI()*AL502/2147483647),'Control Room'!$B$8+('Control Room'!$D$8-'Control Room'!$B$8)*AK502/2147483647)</x:f>
        <x:v>1019.8243099322033</x:v>
      </x:c>
      <x:c r="AN502" s="17" t="n">
        <x:f>IF('Control Room'!$B$5="Normal",'Control Room'!$B$7,('Control Room'!$B$8+'Control Room'!$D$8)/2)+'Control Room'!$B$9*(AN501-IF('Control Room'!$B$5="Normal",'Control Room'!$B$7,('Control Room'!$B$8+'Control Room'!$D$8)/2))+SQRT(1-'Control Room'!$B$9^2)*(AM502-IF('Control Room'!$B$5="Normal",'Control Room'!$B$7,('Control Room'!$B$8+'Control Room'!$D$8)/2))</x:f>
        <x:v>1010.3103989239347</x:v>
      </x:c>
      <x:c r="AO502" s="17" t="n">
        <x:f>IF(AND($A502&gt;='Control Room'!$A$13,$A502&lt;'Control Room'!$A$13+'Control Room'!$B$13,'Process'!BR2=1),1+('Control Room'!$C$13-1)*EXP(-0.5*(($A502-'Control Room'!$A$13-('Control Room'!$B$13-1)/2)/MAX(0.5,'Control Room'!$B$13/4))^2),1)*IF(AND($A502&gt;='Control Room'!$A$14,$A502&lt;'Control Room'!$A$14+'Control Room'!$B$14,'Process'!BR3=1),1+('Control Room'!$C$14-1)*EXP(-0.5*(($A502-'Control Room'!$A$14-('Control Room'!$B$14-1)/2)/MAX(0.5,'Control Room'!$B$14/4))^2),1)*IF(AND($A502&gt;='Control Room'!$A$15,$A502&lt;'Control Room'!$A$15+'Control Room'!$B$15,'Process'!BR4=1),1+('Control Room'!$C$15-1)*EXP(-0.5*(($A502-'Control Room'!$A$15-('Control Room'!$B$15-1)/2)/MAX(0.5,'Control Room'!$B$15/4))^2),1)*IF(AND($A502&gt;='Control Room'!$A$16,$A502&lt;'Control Room'!$A$16+'Control Room'!$B$16,'Process'!BR5=1),1+('Control Room'!$C$16-1)*EXP(-0.5*(($A502-'Control Room'!$A$16-('Control Room'!$B$16-1)/2)/MAX(0.5,'Control Room'!$B$16/4))^2),1)</x:f>
        <x:v>1</x:v>
      </x:c>
      <x:c r="AP502" s="9" t="n">
        <x:f>MOD(AQ501*16807,2147483647)</x:f>
        <x:v>1659522292</x:v>
      </x:c>
      <x:c r="AQ502" s="9" t="n">
        <x:f>MOD(AP502*16807,2147483647)</x:f>
        <x:v>73554408</x:v>
      </x:c>
      <x:c r="AR502" s="17" t="n">
        <x:f>IF('Control Room'!$B$5="Normal",'Control Room'!$B$7+'Control Room'!$D$7*SQRT(-2*LN(MAX(0.000000000001,AP502/2147483647)))*COS(2*PI()*AQ502/2147483647),'Control Room'!$B$8+('Control Room'!$D$8-'Control Room'!$B$8)*AP502/2147483647)</x:f>
        <x:v>1063.1299528163515</x:v>
      </x:c>
      <x:c r="AS502" s="17" t="n">
        <x:f>IF('Control Room'!$B$5="Normal",'Control Room'!$B$7,('Control Room'!$B$8+'Control Room'!$D$8)/2)+'Control Room'!$B$9*(AS501-IF('Control Room'!$B$5="Normal",'Control Room'!$B$7,('Control Room'!$B$8+'Control Room'!$D$8)/2))+SQRT(1-'Control Room'!$B$9^2)*(AR502-IF('Control Room'!$B$5="Normal",'Control Room'!$B$7,('Control Room'!$B$8+'Control Room'!$D$8)/2))</x:f>
        <x:v>1116.884919703697</x:v>
      </x:c>
      <x:c r="AT502" s="17" t="n">
        <x:f>IF(AND($A502&gt;='Control Room'!$A$13,$A502&lt;'Control Room'!$A$13+'Control Room'!$B$13,'Process'!BS2=1),1+('Control Room'!$C$13-1)*EXP(-0.5*(($A502-'Control Room'!$A$13-('Control Room'!$B$13-1)/2)/MAX(0.5,'Control Room'!$B$13/4))^2),1)*IF(AND($A502&gt;='Control Room'!$A$14,$A502&lt;'Control Room'!$A$14+'Control Room'!$B$14,'Process'!BS3=1),1+('Control Room'!$C$14-1)*EXP(-0.5*(($A502-'Control Room'!$A$14-('Control Room'!$B$14-1)/2)/MAX(0.5,'Control Room'!$B$14/4))^2),1)*IF(AND($A502&gt;='Control Room'!$A$15,$A502&lt;'Control Room'!$A$15+'Control Room'!$B$15,'Process'!BS4=1),1+('Control Room'!$C$15-1)*EXP(-0.5*(($A502-'Control Room'!$A$15-('Control Room'!$B$15-1)/2)/MAX(0.5,'Control Room'!$B$15/4))^2),1)*IF(AND($A502&gt;='Control Room'!$A$16,$A502&lt;'Control Room'!$A$16+'Control Room'!$B$16,'Process'!BS5=1),1+('Control Room'!$C$16-1)*EXP(-0.5*(($A502-'Control Room'!$A$16-('Control Room'!$B$16-1)/2)/MAX(0.5,'Control Room'!$B$16/4))^2),1)</x:f>
        <x:v>1</x:v>
      </x:c>
      <x:c r="AU502" s="9" t="n">
        <x:f>MOD(AV501*16807,2147483647)</x:f>
        <x:v>1476451336</x:v>
      </x:c>
      <x:c r="AV502" s="9" t="n">
        <x:f>MOD(AU502*16807,2147483647)</x:f>
        <x:v>544063067</x:v>
      </x:c>
      <x:c r="AW502" s="17" t="n">
        <x:f>IF('Control Room'!$B$5="Normal",'Control Room'!$B$7+'Control Room'!$D$7*SQRT(-2*LN(MAX(0.000000000001,AU502/2147483647)))*COS(2*PI()*AV502/2147483647),'Control Room'!$B$8+('Control Room'!$D$8-'Control Room'!$B$8)*AU502/2147483647)</x:f>
        <x:v>998.360730153443</x:v>
      </x:c>
      <x:c r="AX502" s="17" t="n">
        <x:f>IF('Control Room'!$B$5="Normal",'Control Room'!$B$7,('Control Room'!$B$8+'Control Room'!$D$8)/2)+'Control Room'!$B$9*(AX501-IF('Control Room'!$B$5="Normal",'Control Room'!$B$7,('Control Room'!$B$8+'Control Room'!$D$8)/2))+SQRT(1-'Control Room'!$B$9^2)*(AW502-IF('Control Room'!$B$5="Normal",'Control Room'!$B$7,('Control Room'!$B$8+'Control Room'!$D$8)/2))</x:f>
        <x:v>1045.0780380854562</x:v>
      </x:c>
      <x:c r="AY502" s="17" t="n">
        <x:f>IF(AND($A502&gt;='Control Room'!$A$13,$A502&lt;'Control Room'!$A$13+'Control Room'!$B$13,'Process'!BT2=1),1+('Control Room'!$C$13-1)*EXP(-0.5*(($A502-'Control Room'!$A$13-('Control Room'!$B$13-1)/2)/MAX(0.5,'Control Room'!$B$13/4))^2),1)*IF(AND($A502&gt;='Control Room'!$A$14,$A502&lt;'Control Room'!$A$14+'Control Room'!$B$14,'Process'!BT3=1),1+('Control Room'!$C$14-1)*EXP(-0.5*(($A502-'Control Room'!$A$14-('Control Room'!$B$14-1)/2)/MAX(0.5,'Control Room'!$B$14/4))^2),1)*IF(AND($A502&gt;='Control Room'!$A$15,$A502&lt;'Control Room'!$A$15+'Control Room'!$B$15,'Process'!BT4=1),1+('Control Room'!$C$15-1)*EXP(-0.5*(($A502-'Control Room'!$A$15-('Control Room'!$B$15-1)/2)/MAX(0.5,'Control Room'!$B$15/4))^2),1)*IF(AND($A502&gt;='Control Room'!$A$16,$A502&lt;'Control Room'!$A$16+'Control Room'!$B$16,'Process'!BT5=1),1+('Control Room'!$C$16-1)*EXP(-0.5*(($A502-'Control Room'!$A$16-('Control Room'!$B$16-1)/2)/MAX(0.5,'Control Room'!$B$16/4))^2),1)</x:f>
        <x:v>1</x:v>
      </x:c>
      <x:c r="AZ502" s="9" t="n">
        <x:f>MOD(BA501*16807,2147483647)</x:f>
        <x:v>1293380380</x:v>
      </x:c>
      <x:c r="BA502" s="9" t="n">
        <x:f>MOD(AZ502*16807,2147483647)</x:f>
        <x:v>1014571726</x:v>
      </x:c>
      <x:c r="BB502" s="17" t="n">
        <x:f>IF('Control Room'!$B$5="Normal",'Control Room'!$B$7+'Control Room'!$D$7*SQRT(-2*LN(MAX(0.000000000001,AZ502/2147483647)))*COS(2*PI()*BA502/2147483647),'Control Room'!$B$8+('Control Room'!$D$8-'Control Room'!$B$8)*AZ502/2147483647)</x:f>
        <x:v>910.7236113983695</x:v>
      </x:c>
      <x:c r="BC502" s="17" t="n">
        <x:f>IF('Control Room'!$B$5="Normal",'Control Room'!$B$7,('Control Room'!$B$8+'Control Room'!$D$8)/2)+'Control Room'!$B$9*(BC501-IF('Control Room'!$B$5="Normal",'Control Room'!$B$7,('Control Room'!$B$8+'Control Room'!$D$8)/2))+SQRT(1-'Control Room'!$B$9^2)*(BB502-IF('Control Room'!$B$5="Normal",'Control Room'!$B$7,('Control Room'!$B$8+'Control Room'!$D$8)/2))</x:f>
        <x:v>1017.5455203186223</x:v>
      </x:c>
      <x:c r="BD502" s="17" t="n">
        <x:f>IF(AND($A502&gt;='Control Room'!$A$13,$A502&lt;'Control Room'!$A$13+'Control Room'!$B$13,'Process'!BU2=1),1+('Control Room'!$C$13-1)*EXP(-0.5*(($A502-'Control Room'!$A$13-('Control Room'!$B$13-1)/2)/MAX(0.5,'Control Room'!$B$13/4))^2),1)*IF(AND($A502&gt;='Control Room'!$A$14,$A502&lt;'Control Room'!$A$14+'Control Room'!$B$14,'Process'!BU3=1),1+('Control Room'!$C$14-1)*EXP(-0.5*(($A502-'Control Room'!$A$14-('Control Room'!$B$14-1)/2)/MAX(0.5,'Control Room'!$B$14/4))^2),1)*IF(AND($A502&gt;='Control Room'!$A$15,$A502&lt;'Control Room'!$A$15+'Control Room'!$B$15,'Process'!BU4=1),1+('Control Room'!$C$15-1)*EXP(-0.5*(($A502-'Control Room'!$A$15-('Control Room'!$B$15-1)/2)/MAX(0.5,'Control Room'!$B$15/4))^2),1)*IF(AND($A502&gt;='Control Room'!$A$16,$A502&lt;'Control Room'!$A$16+'Control Room'!$B$16,'Process'!BU5=1),1+('Control Room'!$C$16-1)*EXP(-0.5*(($A502-'Control Room'!$A$16-('Control Room'!$B$16-1)/2)/MAX(0.5,'Control Room'!$B$16/4))^2),1)</x:f>
        <x:v>1</x:v>
      </x:c>
      <x:c r="BE502" s="9" t="n">
        <x:f>MOD(BF501*16807,2147483647)</x:f>
        <x:v>1110309424</x:v>
      </x:c>
      <x:c r="BF502" s="9" t="n">
        <x:f>MOD(BE502*16807,2147483647)</x:f>
        <x:v>1485080385</x:v>
      </x:c>
      <x:c r="BG502" s="17" t="n">
        <x:f>IF('Control Room'!$B$5="Normal",'Control Room'!$B$7+'Control Room'!$D$7*SQRT(-2*LN(MAX(0.000000000001,BE502/2147483647)))*COS(2*PI()*BF502/2147483647),'Control Room'!$B$8+('Control Room'!$D$8-'Control Room'!$B$8)*BE502/2147483647)</x:f>
        <x:v>962.8794900293792</x:v>
      </x:c>
      <x:c r="BH502" s="17" t="n">
        <x:f>IF('Control Room'!$B$5="Normal",'Control Room'!$B$7,('Control Room'!$B$8+'Control Room'!$D$8)/2)+'Control Room'!$B$9*(BH501-IF('Control Room'!$B$5="Normal",'Control Room'!$B$7,('Control Room'!$B$8+'Control Room'!$D$8)/2))+SQRT(1-'Control Room'!$B$9^2)*(BG502-IF('Control Room'!$B$5="Normal",'Control Room'!$B$7,('Control Room'!$B$8+'Control Room'!$D$8)/2))</x:f>
        <x:v>959.3122919126141</x:v>
      </x:c>
      <x:c r="BI502" s="17" t="n">
        <x:f>IF(AND($A502&gt;='Control Room'!$A$13,$A502&lt;'Control Room'!$A$13+'Control Room'!$B$13,'Process'!BV2=1),1+('Control Room'!$C$13-1)*EXP(-0.5*(($A502-'Control Room'!$A$13-('Control Room'!$B$13-1)/2)/MAX(0.5,'Control Room'!$B$13/4))^2),1)*IF(AND($A502&gt;='Control Room'!$A$14,$A502&lt;'Control Room'!$A$14+'Control Room'!$B$14,'Process'!BV3=1),1+('Control Room'!$C$14-1)*EXP(-0.5*(($A502-'Control Room'!$A$14-('Control Room'!$B$14-1)/2)/MAX(0.5,'Control Room'!$B$14/4))^2),1)*IF(AND($A502&gt;='Control Room'!$A$15,$A502&lt;'Control Room'!$A$15+'Control Room'!$B$15,'Process'!BV4=1),1+('Control Room'!$C$15-1)*EXP(-0.5*(($A502-'Control Room'!$A$15-('Control Room'!$B$15-1)/2)/MAX(0.5,'Control Room'!$B$15/4))^2),1)*IF(AND($A502&gt;='Control Room'!$A$16,$A502&lt;'Control Room'!$A$16+'Control Room'!$B$16,'Process'!BV5=1),1+('Control Room'!$C$16-1)*EXP(-0.5*(($A502-'Control Room'!$A$16-('Control Room'!$B$16-1)/2)/MAX(0.5,'Control Room'!$B$16/4))^2),1)</x:f>
        <x:v>1</x:v>
      </x:c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Z502" t="str">
        <x:f>IF('Data'!A502="","",TEXT('Data'!A502,"mm-dd"))</x:f>
      </x:c>
    </x:row>
    <x:row r="503" ht="21" customHeight="1">
      <x:c r="A503" s="15" t="n">
        <x:f>'Control Room'!$B$1+501</x:f>
        <x:v>73492</x:v>
      </x:c>
      <x:c r="B503" s="9" t="n">
        <x:f>MOD(C502*16807,2147483647)</x:f>
        <x:v>1434340700</x:v>
      </x:c>
      <x:c r="C503" s="9" t="n">
        <x:f>MOD(B503*16807,2147483647)</x:f>
        <x:v>1460207325</x:v>
      </x:c>
      <x:c r="D503" s="17" t="n">
        <x:f>IF('Control Room'!$B$5="Normal",'Control Room'!$B$7+'Control Room'!$D$7*SQRT(-2*LN(MAX(0.000000000001,B503/2147483647)))*COS(2*PI()*C503/2147483647),'Control Room'!$B$8+('Control Room'!$D$8-'Control Room'!$B$8)*B503/2147483647)</x:f>
        <x:v>965.5544453671164</x:v>
      </x:c>
      <x:c r="E503" s="17" t="n">
        <x:f>IF('Control Room'!$B$5="Normal",'Control Room'!$B$7,('Control Room'!$B$8+'Control Room'!$D$8)/2)+'Control Room'!$B$9*(E502-IF('Control Room'!$B$5="Normal",'Control Room'!$B$7,('Control Room'!$B$8+'Control Room'!$D$8)/2))+SQRT(1-'Control Room'!$B$9^2)*(D503-IF('Control Room'!$B$5="Normal",'Control Room'!$B$7,('Control Room'!$B$8+'Control Room'!$D$8)/2))</x:f>
        <x:v>970.7502195574845</x:v>
      </x:c>
      <x:c r="F503" s="17" t="n">
        <x:f>IF(AND($A503&gt;='Control Room'!$A$13,$A503&lt;'Control Room'!$A$13+'Control Room'!$B$13,'Process'!BK2=1),1+('Control Room'!$C$13-1)*EXP(-0.5*(($A503-'Control Room'!$A$13-('Control Room'!$B$13-1)/2)/MAX(0.5,'Control Room'!$B$13/4))^2),1)*IF(AND($A503&gt;='Control Room'!$A$14,$A503&lt;'Control Room'!$A$14+'Control Room'!$B$14,'Process'!BK3=1),1+('Control Room'!$C$14-1)*EXP(-0.5*(($A503-'Control Room'!$A$14-('Control Room'!$B$14-1)/2)/MAX(0.5,'Control Room'!$B$14/4))^2),1)*IF(AND($A503&gt;='Control Room'!$A$15,$A503&lt;'Control Room'!$A$15+'Control Room'!$B$15,'Process'!BK4=1),1+('Control Room'!$C$15-1)*EXP(-0.5*(($A503-'Control Room'!$A$15-('Control Room'!$B$15-1)/2)/MAX(0.5,'Control Room'!$B$15/4))^2),1)*IF(AND($A503&gt;='Control Room'!$A$16,$A503&lt;'Control Room'!$A$16+'Control Room'!$B$16,'Process'!BK5=1),1+('Control Room'!$C$16-1)*EXP(-0.5*(($A503-'Control Room'!$A$16-('Control Room'!$B$16-1)/2)/MAX(0.5,'Control Room'!$B$16/4))^2),1)</x:f>
        <x:v>1</x:v>
      </x:c>
      <x:c r="G503" s="9" t="n">
        <x:f>MOD(H502*16807,2147483647)</x:f>
        <x:v>91100612</x:v>
      </x:c>
      <x:c r="H503" s="9" t="n">
        <x:f>MOD(G503*16807,2147483647)</x:f>
        <x:v>2119629220</x:v>
      </x:c>
      <x:c r="I503" s="17" t="n">
        <x:f>IF('Control Room'!$B$5="Normal",'Control Room'!$B$7+'Control Room'!$D$7*SQRT(-2*LN(MAX(0.000000000001,G503/2147483647)))*COS(2*PI()*H503/2147483647),'Control Room'!$B$8+('Control Room'!$D$8-'Control Room'!$B$8)*G503/2147483647)</x:f>
        <x:v>1225.5086502912854</x:v>
      </x:c>
      <x:c r="J503" s="17" t="n">
        <x:f>IF('Control Room'!$B$5="Normal",'Control Room'!$B$7,('Control Room'!$B$8+'Control Room'!$D$8)/2)+'Control Room'!$B$9*(J502-IF('Control Room'!$B$5="Normal",'Control Room'!$B$7,('Control Room'!$B$8+'Control Room'!$D$8)/2))+SQRT(1-'Control Room'!$B$9^2)*(I503-IF('Control Room'!$B$5="Normal",'Control Room'!$B$7,('Control Room'!$B$8+'Control Room'!$D$8)/2))</x:f>
        <x:v>1040.2670056283991</x:v>
      </x:c>
      <x:c r="K503" s="17" t="n">
        <x:f>IF(AND($A503&gt;='Control Room'!$A$13,$A503&lt;'Control Room'!$A$13+'Control Room'!$B$13,'Process'!BL2=1),1+('Control Room'!$C$13-1)*EXP(-0.5*(($A503-'Control Room'!$A$13-('Control Room'!$B$13-1)/2)/MAX(0.5,'Control Room'!$B$13/4))^2),1)*IF(AND($A503&gt;='Control Room'!$A$14,$A503&lt;'Control Room'!$A$14+'Control Room'!$B$14,'Process'!BL3=1),1+('Control Room'!$C$14-1)*EXP(-0.5*(($A503-'Control Room'!$A$14-('Control Room'!$B$14-1)/2)/MAX(0.5,'Control Room'!$B$14/4))^2),1)*IF(AND($A503&gt;='Control Room'!$A$15,$A503&lt;'Control Room'!$A$15+'Control Room'!$B$15,'Process'!BL4=1),1+('Control Room'!$C$15-1)*EXP(-0.5*(($A503-'Control Room'!$A$15-('Control Room'!$B$15-1)/2)/MAX(0.5,'Control Room'!$B$15/4))^2),1)*IF(AND($A503&gt;='Control Room'!$A$16,$A503&lt;'Control Room'!$A$16+'Control Room'!$B$16,'Process'!BL5=1),1+('Control Room'!$C$16-1)*EXP(-0.5*(($A503-'Control Room'!$A$16-('Control Room'!$B$16-1)/2)/MAX(0.5,'Control Room'!$B$16/4))^2),1)</x:f>
        <x:v>1</x:v>
      </x:c>
      <x:c r="L503" s="9" t="n">
        <x:f>MOD(M502*16807,2147483647)</x:f>
        <x:v>895344171</x:v>
      </x:c>
      <x:c r="M503" s="9" t="n">
        <x:f>MOD(L503*16807,2147483647)</x:f>
        <x:v>631567468</x:v>
      </x:c>
      <x:c r="N503" s="17" t="n">
        <x:f>IF('Control Room'!$B$5="Normal",'Control Room'!$B$7+'Control Room'!$D$7*SQRT(-2*LN(MAX(0.000000000001,L503/2147483647)))*COS(2*PI()*M503/2147483647),'Control Room'!$B$8+('Control Room'!$D$8-'Control Room'!$B$8)*L503/2147483647)</x:f>
        <x:v>967.4361176559071</x:v>
      </x:c>
      <x:c r="O503" s="17" t="n">
        <x:f>IF('Control Room'!$B$5="Normal",'Control Room'!$B$7,('Control Room'!$B$8+'Control Room'!$D$8)/2)+'Control Room'!$B$9*(O502-IF('Control Room'!$B$5="Normal",'Control Room'!$B$7,('Control Room'!$B$8+'Control Room'!$D$8)/2))+SQRT(1-'Control Room'!$B$9^2)*(N503-IF('Control Room'!$B$5="Normal",'Control Room'!$B$7,('Control Room'!$B$8+'Control Room'!$D$8)/2))</x:f>
        <x:v>822.1961645674296</x:v>
      </x:c>
      <x:c r="P503" s="17" t="n">
        <x:f>IF(AND($A503&gt;='Control Room'!$A$13,$A503&lt;'Control Room'!$A$13+'Control Room'!$B$13,'Process'!BM2=1),1+('Control Room'!$C$13-1)*EXP(-0.5*(($A503-'Control Room'!$A$13-('Control Room'!$B$13-1)/2)/MAX(0.5,'Control Room'!$B$13/4))^2),1)*IF(AND($A503&gt;='Control Room'!$A$14,$A503&lt;'Control Room'!$A$14+'Control Room'!$B$14,'Process'!BM3=1),1+('Control Room'!$C$14-1)*EXP(-0.5*(($A503-'Control Room'!$A$14-('Control Room'!$B$14-1)/2)/MAX(0.5,'Control Room'!$B$14/4))^2),1)*IF(AND($A503&gt;='Control Room'!$A$15,$A503&lt;'Control Room'!$A$15+'Control Room'!$B$15,'Process'!BM4=1),1+('Control Room'!$C$15-1)*EXP(-0.5*(($A503-'Control Room'!$A$15-('Control Room'!$B$15-1)/2)/MAX(0.5,'Control Room'!$B$15/4))^2),1)*IF(AND($A503&gt;='Control Room'!$A$16,$A503&lt;'Control Room'!$A$16+'Control Room'!$B$16,'Process'!BM5=1),1+('Control Room'!$C$16-1)*EXP(-0.5*(($A503-'Control Room'!$A$16-('Control Room'!$B$16-1)/2)/MAX(0.5,'Control Room'!$B$16/4))^2),1)</x:f>
        <x:v>1</x:v>
      </x:c>
      <x:c r="Q503" s="9" t="n">
        <x:f>MOD(R502*16807,2147483647)</x:f>
        <x:v>1699587730</x:v>
      </x:c>
      <x:c r="R503" s="9" t="n">
        <x:f>MOD(Q503*16807,2147483647)</x:f>
        <x:v>1290989363</x:v>
      </x:c>
      <x:c r="S503" s="17" t="n">
        <x:f>IF('Control Room'!$B$5="Normal",'Control Room'!$B$7+'Control Room'!$D$7*SQRT(-2*LN(MAX(0.000000000001,Q503/2147483647)))*COS(2*PI()*R503/2147483647),'Control Room'!$B$8+('Control Room'!$D$8-'Control Room'!$B$8)*Q503/2147483647)</x:f>
        <x:v>950.4646218254913</x:v>
      </x:c>
      <x:c r="T503" s="17" t="n">
        <x:f>IF('Control Room'!$B$5="Normal",'Control Room'!$B$7,('Control Room'!$B$8+'Control Room'!$D$8)/2)+'Control Room'!$B$9*(T502-IF('Control Room'!$B$5="Normal",'Control Room'!$B$7,('Control Room'!$B$8+'Control Room'!$D$8)/2))+SQRT(1-'Control Room'!$B$9^2)*(S503-IF('Control Room'!$B$5="Normal",'Control Room'!$B$7,('Control Room'!$B$8+'Control Room'!$D$8)/2))</x:f>
        <x:v>1045.1592400882703</x:v>
      </x:c>
      <x:c r="U503" s="17" t="n">
        <x:f>IF(AND($A503&gt;='Control Room'!$A$13,$A503&lt;'Control Room'!$A$13+'Control Room'!$B$13,'Process'!BN2=1),1+('Control Room'!$C$13-1)*EXP(-0.5*(($A503-'Control Room'!$A$13-('Control Room'!$B$13-1)/2)/MAX(0.5,'Control Room'!$B$13/4))^2),1)*IF(AND($A503&gt;='Control Room'!$A$14,$A503&lt;'Control Room'!$A$14+'Control Room'!$B$14,'Process'!BN3=1),1+('Control Room'!$C$14-1)*EXP(-0.5*(($A503-'Control Room'!$A$14-('Control Room'!$B$14-1)/2)/MAX(0.5,'Control Room'!$B$14/4))^2),1)*IF(AND($A503&gt;='Control Room'!$A$15,$A503&lt;'Control Room'!$A$15+'Control Room'!$B$15,'Process'!BN4=1),1+('Control Room'!$C$15-1)*EXP(-0.5*(($A503-'Control Room'!$A$15-('Control Room'!$B$15-1)/2)/MAX(0.5,'Control Room'!$B$15/4))^2),1)*IF(AND($A503&gt;='Control Room'!$A$16,$A503&lt;'Control Room'!$A$16+'Control Room'!$B$16,'Process'!BN5=1),1+('Control Room'!$C$16-1)*EXP(-0.5*(($A503-'Control Room'!$A$16-('Control Room'!$B$16-1)/2)/MAX(0.5,'Control Room'!$B$16/4))^2),1)</x:f>
        <x:v>1</x:v>
      </x:c>
      <x:c r="V503" s="9" t="n">
        <x:f>MOD(W502*16807,2147483647)</x:f>
        <x:v>356347642</x:v>
      </x:c>
      <x:c r="W503" s="9" t="n">
        <x:f>MOD(V503*16807,2147483647)</x:f>
        <x:v>1950411258</x:v>
      </x:c>
      <x:c r="X503" s="17" t="n">
        <x:f>IF('Control Room'!$B$5="Normal",'Control Room'!$B$7+'Control Room'!$D$7*SQRT(-2*LN(MAX(0.000000000001,V503/2147483647)))*COS(2*PI()*W503/2147483647),'Control Room'!$B$8+('Control Room'!$D$8-'Control Room'!$B$8)*V503/2147483647)</x:f>
        <x:v>1143.0007119052389</x:v>
      </x:c>
      <x:c r="Y503" s="17" t="n">
        <x:f>IF('Control Room'!$B$5="Normal",'Control Room'!$B$7,('Control Room'!$B$8+'Control Room'!$D$8)/2)+'Control Room'!$B$9*(Y502-IF('Control Room'!$B$5="Normal",'Control Room'!$B$7,('Control Room'!$B$8+'Control Room'!$D$8)/2))+SQRT(1-'Control Room'!$B$9^2)*(X503-IF('Control Room'!$B$5="Normal",'Control Room'!$B$7,('Control Room'!$B$8+'Control Room'!$D$8)/2))</x:f>
        <x:v>1064.873253036018</x:v>
      </x:c>
      <x:c r="Z503" s="17" t="n">
        <x:f>IF(AND($A503&gt;='Control Room'!$A$13,$A503&lt;'Control Room'!$A$13+'Control Room'!$B$13,'Process'!BO2=1),1+('Control Room'!$C$13-1)*EXP(-0.5*(($A503-'Control Room'!$A$13-('Control Room'!$B$13-1)/2)/MAX(0.5,'Control Room'!$B$13/4))^2),1)*IF(AND($A503&gt;='Control Room'!$A$14,$A503&lt;'Control Room'!$A$14+'Control Room'!$B$14,'Process'!BO3=1),1+('Control Room'!$C$14-1)*EXP(-0.5*(($A503-'Control Room'!$A$14-('Control Room'!$B$14-1)/2)/MAX(0.5,'Control Room'!$B$14/4))^2),1)*IF(AND($A503&gt;='Control Room'!$A$15,$A503&lt;'Control Room'!$A$15+'Control Room'!$B$15,'Process'!BO4=1),1+('Control Room'!$C$15-1)*EXP(-0.5*(($A503-'Control Room'!$A$15-('Control Room'!$B$15-1)/2)/MAX(0.5,'Control Room'!$B$15/4))^2),1)*IF(AND($A503&gt;='Control Room'!$A$16,$A503&lt;'Control Room'!$A$16+'Control Room'!$B$16,'Process'!BO5=1),1+('Control Room'!$C$16-1)*EXP(-0.5*(($A503-'Control Room'!$A$16-('Control Room'!$B$16-1)/2)/MAX(0.5,'Control Room'!$B$16/4))^2),1)</x:f>
        <x:v>1</x:v>
      </x:c>
      <x:c r="AA503" s="9" t="n">
        <x:f>MOD(AB502*16807,2147483647)</x:f>
        <x:v>1160591201</x:v>
      </x:c>
      <x:c r="AB503" s="9" t="n">
        <x:f>MOD(AA503*16807,2147483647)</x:f>
        <x:v>462349506</x:v>
      </x:c>
      <x:c r="AC503" s="17" t="n">
        <x:f>IF('Control Room'!$B$5="Normal",'Control Room'!$B$7+'Control Room'!$D$7*SQRT(-2*LN(MAX(0.000000000001,AA503/2147483647)))*COS(2*PI()*AB503/2147483647),'Control Room'!$B$8+('Control Room'!$D$8-'Control Room'!$B$8)*AA503/2147483647)</x:f>
        <x:v>1021.5977832580332</x:v>
      </x:c>
      <x:c r="AD503" s="17" t="n">
        <x:f>IF('Control Room'!$B$5="Normal",'Control Room'!$B$7,('Control Room'!$B$8+'Control Room'!$D$8)/2)+'Control Room'!$B$9*(AD502-IF('Control Room'!$B$5="Normal",'Control Room'!$B$7,('Control Room'!$B$8+'Control Room'!$D$8)/2))+SQRT(1-'Control Room'!$B$9^2)*(AC503-IF('Control Room'!$B$5="Normal",'Control Room'!$B$7,('Control Room'!$B$8+'Control Room'!$D$8)/2))</x:f>
        <x:v>834.2631004207065</x:v>
      </x:c>
      <x:c r="AE503" s="17" t="n">
        <x:f>IF(AND($A503&gt;='Control Room'!$A$13,$A503&lt;'Control Room'!$A$13+'Control Room'!$B$13,'Process'!BP2=1),1+('Control Room'!$C$13-1)*EXP(-0.5*(($A503-'Control Room'!$A$13-('Control Room'!$B$13-1)/2)/MAX(0.5,'Control Room'!$B$13/4))^2),1)*IF(AND($A503&gt;='Control Room'!$A$14,$A503&lt;'Control Room'!$A$14+'Control Room'!$B$14,'Process'!BP3=1),1+('Control Room'!$C$14-1)*EXP(-0.5*(($A503-'Control Room'!$A$14-('Control Room'!$B$14-1)/2)/MAX(0.5,'Control Room'!$B$14/4))^2),1)*IF(AND($A503&gt;='Control Room'!$A$15,$A503&lt;'Control Room'!$A$15+'Control Room'!$B$15,'Process'!BP4=1),1+('Control Room'!$C$15-1)*EXP(-0.5*(($A503-'Control Room'!$A$15-('Control Room'!$B$15-1)/2)/MAX(0.5,'Control Room'!$B$15/4))^2),1)*IF(AND($A503&gt;='Control Room'!$A$16,$A503&lt;'Control Room'!$A$16+'Control Room'!$B$16,'Process'!BP5=1),1+('Control Room'!$C$16-1)*EXP(-0.5*(($A503-'Control Room'!$A$16-('Control Room'!$B$16-1)/2)/MAX(0.5,'Control Room'!$B$16/4))^2),1)</x:f>
        <x:v>1</x:v>
      </x:c>
      <x:c r="AF503" s="9" t="n">
        <x:f>MOD(AG502*16807,2147483647)</x:f>
        <x:v>1964834760</x:v>
      </x:c>
      <x:c r="AG503" s="9" t="n">
        <x:f>MOD(AF503*16807,2147483647)</x:f>
        <x:v>1121771401</x:v>
      </x:c>
      <x:c r="AH503" s="17" t="n">
        <x:f>IF('Control Room'!$B$5="Normal",'Control Room'!$B$7+'Control Room'!$D$7*SQRT(-2*LN(MAX(0.000000000001,AF503/2147483647)))*COS(2*PI()*AG503/2147483647),'Control Room'!$B$8+('Control Room'!$D$8-'Control Room'!$B$8)*AF503/2147483647)</x:f>
        <x:v>962.4267980157467</x:v>
      </x:c>
      <x:c r="AI503" s="17" t="n">
        <x:f>IF('Control Room'!$B$5="Normal",'Control Room'!$B$7,('Control Room'!$B$8+'Control Room'!$D$8)/2)+'Control Room'!$B$9*(AI502-IF('Control Room'!$B$5="Normal",'Control Room'!$B$7,('Control Room'!$B$8+'Control Room'!$D$8)/2))+SQRT(1-'Control Room'!$B$9^2)*(AH503-IF('Control Room'!$B$5="Normal",'Control Room'!$B$7,('Control Room'!$B$8+'Control Room'!$D$8)/2))</x:f>
        <x:v>915.8391839010114</x:v>
      </x:c>
      <x:c r="AJ503" s="17" t="n">
        <x:f>IF(AND($A503&gt;='Control Room'!$A$13,$A503&lt;'Control Room'!$A$13+'Control Room'!$B$13,'Process'!BQ2=1),1+('Control Room'!$C$13-1)*EXP(-0.5*(($A503-'Control Room'!$A$13-('Control Room'!$B$13-1)/2)/MAX(0.5,'Control Room'!$B$13/4))^2),1)*IF(AND($A503&gt;='Control Room'!$A$14,$A503&lt;'Control Room'!$A$14+'Control Room'!$B$14,'Process'!BQ3=1),1+('Control Room'!$C$14-1)*EXP(-0.5*(($A503-'Control Room'!$A$14-('Control Room'!$B$14-1)/2)/MAX(0.5,'Control Room'!$B$14/4))^2),1)*IF(AND($A503&gt;='Control Room'!$A$15,$A503&lt;'Control Room'!$A$15+'Control Room'!$B$15,'Process'!BQ4=1),1+('Control Room'!$C$15-1)*EXP(-0.5*(($A503-'Control Room'!$A$15-('Control Room'!$B$15-1)/2)/MAX(0.5,'Control Room'!$B$15/4))^2),1)*IF(AND($A503&gt;='Control Room'!$A$16,$A503&lt;'Control Room'!$A$16+'Control Room'!$B$16,'Process'!BQ5=1),1+('Control Room'!$C$16-1)*EXP(-0.5*(($A503-'Control Room'!$A$16-('Control Room'!$B$16-1)/2)/MAX(0.5,'Control Room'!$B$16/4))^2),1)</x:f>
        <x:v>1</x:v>
      </x:c>
      <x:c r="AK503" s="9" t="n">
        <x:f>MOD(AL502*16807,2147483647)</x:f>
        <x:v>621594672</x:v>
      </x:c>
      <x:c r="AL503" s="9" t="n">
        <x:f>MOD(AK503*16807,2147483647)</x:f>
        <x:v>1781193296</x:v>
      </x:c>
      <x:c r="AM503" s="17" t="n">
        <x:f>IF('Control Room'!$B$5="Normal",'Control Room'!$B$7+'Control Room'!$D$7*SQRT(-2*LN(MAX(0.000000000001,AK503/2147483647)))*COS(2*PI()*AL503/2147483647),'Control Room'!$B$8+('Control Room'!$D$8-'Control Room'!$B$8)*AK503/2147483647)</x:f>
        <x:v>1067.8304282194058</x:v>
      </x:c>
      <x:c r="AN503" s="17" t="n">
        <x:f>IF('Control Room'!$B$5="Normal",'Control Room'!$B$7,('Control Room'!$B$8+'Control Room'!$D$8)/2)+'Control Room'!$B$9*(AN502-IF('Control Room'!$B$5="Normal",'Control Room'!$B$7,('Control Room'!$B$8+'Control Room'!$D$8)/2))+SQRT(1-'Control Room'!$B$9^2)*(AM503-IF('Control Room'!$B$5="Normal",'Control Room'!$B$7,('Control Room'!$B$8+'Control Room'!$D$8)/2))</x:f>
        <x:v>1050.4890035585206</x:v>
      </x:c>
      <x:c r="AO503" s="17" t="n">
        <x:f>IF(AND($A503&gt;='Control Room'!$A$13,$A503&lt;'Control Room'!$A$13+'Control Room'!$B$13,'Process'!BR2=1),1+('Control Room'!$C$13-1)*EXP(-0.5*(($A503-'Control Room'!$A$13-('Control Room'!$B$13-1)/2)/MAX(0.5,'Control Room'!$B$13/4))^2),1)*IF(AND($A503&gt;='Control Room'!$A$14,$A503&lt;'Control Room'!$A$14+'Control Room'!$B$14,'Process'!BR3=1),1+('Control Room'!$C$14-1)*EXP(-0.5*(($A503-'Control Room'!$A$14-('Control Room'!$B$14-1)/2)/MAX(0.5,'Control Room'!$B$14/4))^2),1)*IF(AND($A503&gt;='Control Room'!$A$15,$A503&lt;'Control Room'!$A$15+'Control Room'!$B$15,'Process'!BR4=1),1+('Control Room'!$C$15-1)*EXP(-0.5*(($A503-'Control Room'!$A$15-('Control Room'!$B$15-1)/2)/MAX(0.5,'Control Room'!$B$15/4))^2),1)*IF(AND($A503&gt;='Control Room'!$A$16,$A503&lt;'Control Room'!$A$16+'Control Room'!$B$16,'Process'!BR5=1),1+('Control Room'!$C$16-1)*EXP(-0.5*(($A503-'Control Room'!$A$16-('Control Room'!$B$16-1)/2)/MAX(0.5,'Control Room'!$B$16/4))^2),1)</x:f>
        <x:v>1</x:v>
      </x:c>
      <x:c r="AP503" s="9" t="n">
        <x:f>MOD(AQ502*16807,2147483647)</x:f>
        <x:v>1425838231</x:v>
      </x:c>
      <x:c r="AQ503" s="9" t="n">
        <x:f>MOD(AP503*16807,2147483647)</x:f>
        <x:v>293131544</x:v>
      </x:c>
      <x:c r="AR503" s="17" t="n">
        <x:f>IF('Control Room'!$B$5="Normal",'Control Room'!$B$7+'Control Room'!$D$7*SQRT(-2*LN(MAX(0.000000000001,AP503/2147483647)))*COS(2*PI()*AQ503/2147483647),'Control Room'!$B$8+('Control Room'!$D$8-'Control Room'!$B$8)*AP503/2147483647)</x:f>
        <x:v>1053.2872281838854</x:v>
      </x:c>
      <x:c r="AS503" s="17" t="n">
        <x:f>IF('Control Room'!$B$5="Normal",'Control Room'!$B$7,('Control Room'!$B$8+'Control Room'!$D$8)/2)+'Control Room'!$B$9*(AS502-IF('Control Room'!$B$5="Normal",'Control Room'!$B$7,('Control Room'!$B$8+'Control Room'!$D$8)/2))+SQRT(1-'Control Room'!$B$9^2)*(AR503-IF('Control Room'!$B$5="Normal",'Control Room'!$B$7,('Control Room'!$B$8+'Control Room'!$D$8)/2))</x:f>
        <x:v>1124.5162931181533</x:v>
      </x:c>
      <x:c r="AT503" s="17" t="n">
        <x:f>IF(AND($A503&gt;='Control Room'!$A$13,$A503&lt;'Control Room'!$A$13+'Control Room'!$B$13,'Process'!BS2=1),1+('Control Room'!$C$13-1)*EXP(-0.5*(($A503-'Control Room'!$A$13-('Control Room'!$B$13-1)/2)/MAX(0.5,'Control Room'!$B$13/4))^2),1)*IF(AND($A503&gt;='Control Room'!$A$14,$A503&lt;'Control Room'!$A$14+'Control Room'!$B$14,'Process'!BS3=1),1+('Control Room'!$C$14-1)*EXP(-0.5*(($A503-'Control Room'!$A$14-('Control Room'!$B$14-1)/2)/MAX(0.5,'Control Room'!$B$14/4))^2),1)*IF(AND($A503&gt;='Control Room'!$A$15,$A503&lt;'Control Room'!$A$15+'Control Room'!$B$15,'Process'!BS4=1),1+('Control Room'!$C$15-1)*EXP(-0.5*(($A503-'Control Room'!$A$15-('Control Room'!$B$15-1)/2)/MAX(0.5,'Control Room'!$B$15/4))^2),1)*IF(AND($A503&gt;='Control Room'!$A$16,$A503&lt;'Control Room'!$A$16+'Control Room'!$B$16,'Process'!BS5=1),1+('Control Room'!$C$16-1)*EXP(-0.5*(($A503-'Control Room'!$A$16-('Control Room'!$B$16-1)/2)/MAX(0.5,'Control Room'!$B$16/4))^2),1)</x:f>
        <x:v>1</x:v>
      </x:c>
      <x:c r="AU503" s="9" t="n">
        <x:f>MOD(AV502*16807,2147483647)</x:f>
        <x:v>82598143</x:v>
      </x:c>
      <x:c r="AV503" s="9" t="n">
        <x:f>MOD(AU503*16807,2147483647)</x:f>
        <x:v>952553439</x:v>
      </x:c>
      <x:c r="AW503" s="17" t="n">
        <x:f>IF('Control Room'!$B$5="Normal",'Control Room'!$B$7+'Control Room'!$D$7*SQRT(-2*LN(MAX(0.000000000001,AU503/2147483647)))*COS(2*PI()*AV503/2147483647),'Control Room'!$B$8+('Control Room'!$D$8-'Control Room'!$B$8)*AU503/2147483647)</x:f>
        <x:v>784.5509914860806</x:v>
      </x:c>
      <x:c r="AX503" s="17" t="n">
        <x:f>IF('Control Room'!$B$5="Normal",'Control Room'!$B$7,('Control Room'!$B$8+'Control Room'!$D$8)/2)+'Control Room'!$B$9*(AX502-IF('Control Room'!$B$5="Normal",'Control Room'!$B$7,('Control Room'!$B$8+'Control Room'!$D$8)/2))+SQRT(1-'Control Room'!$B$9^2)*(AW503-IF('Control Room'!$B$5="Normal",'Control Room'!$B$7,('Control Room'!$B$8+'Control Room'!$D$8)/2))</x:f>
        <x:v>900.3372938914912</x:v>
      </x:c>
      <x:c r="AY503" s="17" t="n">
        <x:f>IF(AND($A503&gt;='Control Room'!$A$13,$A503&lt;'Control Room'!$A$13+'Control Room'!$B$13,'Process'!BT2=1),1+('Control Room'!$C$13-1)*EXP(-0.5*(($A503-'Control Room'!$A$13-('Control Room'!$B$13-1)/2)/MAX(0.5,'Control Room'!$B$13/4))^2),1)*IF(AND($A503&gt;='Control Room'!$A$14,$A503&lt;'Control Room'!$A$14+'Control Room'!$B$14,'Process'!BT3=1),1+('Control Room'!$C$14-1)*EXP(-0.5*(($A503-'Control Room'!$A$14-('Control Room'!$B$14-1)/2)/MAX(0.5,'Control Room'!$B$14/4))^2),1)*IF(AND($A503&gt;='Control Room'!$A$15,$A503&lt;'Control Room'!$A$15+'Control Room'!$B$15,'Process'!BT4=1),1+('Control Room'!$C$15-1)*EXP(-0.5*(($A503-'Control Room'!$A$15-('Control Room'!$B$15-1)/2)/MAX(0.5,'Control Room'!$B$15/4))^2),1)*IF(AND($A503&gt;='Control Room'!$A$16,$A503&lt;'Control Room'!$A$16+'Control Room'!$B$16,'Process'!BT5=1),1+('Control Room'!$C$16-1)*EXP(-0.5*(($A503-'Control Room'!$A$16-('Control Room'!$B$16-1)/2)/MAX(0.5,'Control Room'!$B$16/4))^2),1)</x:f>
        <x:v>1</x:v>
      </x:c>
      <x:c r="AZ503" s="9" t="n">
        <x:f>MOD(BA502*16807,2147483647)</x:f>
        <x:v>886841702</x:v>
      </x:c>
      <x:c r="BA503" s="9" t="n">
        <x:f>MOD(AZ503*16807,2147483647)</x:f>
        <x:v>1611975334</x:v>
      </x:c>
      <x:c r="BB503" s="17" t="n">
        <x:f>IF('Control Room'!$B$5="Normal",'Control Room'!$B$7+'Control Room'!$D$7*SQRT(-2*LN(MAX(0.000000000001,AZ503/2147483647)))*COS(2*PI()*BA503/2147483647),'Control Room'!$B$8+('Control Room'!$D$8-'Control Room'!$B$8)*AZ503/2147483647)</x:f>
        <x:v>1000.477194205895</x:v>
      </x:c>
      <x:c r="BC503" s="17" t="n">
        <x:f>IF('Control Room'!$B$5="Normal",'Control Room'!$B$7,('Control Room'!$B$8+'Control Room'!$D$8)/2)+'Control Room'!$B$9*(BC502-IF('Control Room'!$B$5="Normal",'Control Room'!$B$7,('Control Room'!$B$8+'Control Room'!$D$8)/2))+SQRT(1-'Control Room'!$B$9^2)*(BB503-IF('Control Room'!$B$5="Normal",'Control Room'!$B$7,('Control Room'!$B$8+'Control Room'!$D$8)/2))</x:f>
        <x:v>1013.9841242067198</x:v>
      </x:c>
      <x:c r="BD503" s="17" t="n">
        <x:f>IF(AND($A503&gt;='Control Room'!$A$13,$A503&lt;'Control Room'!$A$13+'Control Room'!$B$13,'Process'!BU2=1),1+('Control Room'!$C$13-1)*EXP(-0.5*(($A503-'Control Room'!$A$13-('Control Room'!$B$13-1)/2)/MAX(0.5,'Control Room'!$B$13/4))^2),1)*IF(AND($A503&gt;='Control Room'!$A$14,$A503&lt;'Control Room'!$A$14+'Control Room'!$B$14,'Process'!BU3=1),1+('Control Room'!$C$14-1)*EXP(-0.5*(($A503-'Control Room'!$A$14-('Control Room'!$B$14-1)/2)/MAX(0.5,'Control Room'!$B$14/4))^2),1)*IF(AND($A503&gt;='Control Room'!$A$15,$A503&lt;'Control Room'!$A$15+'Control Room'!$B$15,'Process'!BU4=1),1+('Control Room'!$C$15-1)*EXP(-0.5*(($A503-'Control Room'!$A$15-('Control Room'!$B$15-1)/2)/MAX(0.5,'Control Room'!$B$15/4))^2),1)*IF(AND($A503&gt;='Control Room'!$A$16,$A503&lt;'Control Room'!$A$16+'Control Room'!$B$16,'Process'!BU5=1),1+('Control Room'!$C$16-1)*EXP(-0.5*(($A503-'Control Room'!$A$16-('Control Room'!$B$16-1)/2)/MAX(0.5,'Control Room'!$B$16/4))^2),1)</x:f>
        <x:v>1</x:v>
      </x:c>
      <x:c r="BE503" s="9" t="n">
        <x:f>MOD(BF502*16807,2147483647)</x:f>
        <x:v>1691085261</x:v>
      </x:c>
      <x:c r="BF503" s="9" t="n">
        <x:f>MOD(BE503*16807,2147483647)</x:f>
        <x:v>123913582</x:v>
      </x:c>
      <x:c r="BG503" s="17" t="n">
        <x:f>IF('Control Room'!$B$5="Normal",'Control Room'!$B$7+'Control Room'!$D$7*SQRT(-2*LN(MAX(0.000000000001,BE503/2147483647)))*COS(2*PI()*BF503/2147483647),'Control Room'!$B$8+('Control Room'!$D$8-'Control Room'!$B$8)*BE503/2147483647)</x:f>
        <x:v>1058.1699692172358</x:v>
      </x:c>
      <x:c r="BH503" s="17" t="n">
        <x:f>IF('Control Room'!$B$5="Normal",'Control Room'!$B$7,('Control Room'!$B$8+'Control Room'!$D$8)/2)+'Control Room'!$B$9*(BH502-IF('Control Room'!$B$5="Normal",'Control Room'!$B$7,('Control Room'!$B$8+'Control Room'!$D$8)/2))+SQRT(1-'Control Room'!$B$9^2)*(BG503-IF('Control Room'!$B$5="Normal",'Control Room'!$B$7,('Control Room'!$B$8+'Control Room'!$D$8)/2))</x:f>
        <x:v>1004.6651627513924</x:v>
      </x:c>
      <x:c r="BI503" s="17" t="n">
        <x:f>IF(AND($A503&gt;='Control Room'!$A$13,$A503&lt;'Control Room'!$A$13+'Control Room'!$B$13,'Process'!BV2=1),1+('Control Room'!$C$13-1)*EXP(-0.5*(($A503-'Control Room'!$A$13-('Control Room'!$B$13-1)/2)/MAX(0.5,'Control Room'!$B$13/4))^2),1)*IF(AND($A503&gt;='Control Room'!$A$14,$A503&lt;'Control Room'!$A$14+'Control Room'!$B$14,'Process'!BV3=1),1+('Control Room'!$C$14-1)*EXP(-0.5*(($A503-'Control Room'!$A$14-('Control Room'!$B$14-1)/2)/MAX(0.5,'Control Room'!$B$14/4))^2),1)*IF(AND($A503&gt;='Control Room'!$A$15,$A503&lt;'Control Room'!$A$15+'Control Room'!$B$15,'Process'!BV4=1),1+('Control Room'!$C$15-1)*EXP(-0.5*(($A503-'Control Room'!$A$15-('Control Room'!$B$15-1)/2)/MAX(0.5,'Control Room'!$B$15/4))^2),1)*IF(AND($A503&gt;='Control Room'!$A$16,$A503&lt;'Control Room'!$A$16+'Control Room'!$B$16,'Process'!BV5=1),1+('Control Room'!$C$16-1)*EXP(-0.5*(($A503-'Control Room'!$A$16-('Control Room'!$B$16-1)/2)/MAX(0.5,'Control Room'!$B$16/4))^2),1)</x:f>
        <x:v>1</x:v>
      </x:c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Z503" t="str">
        <x:f>IF('Data'!A503="","",TEXT('Data'!A503,"mm-dd"))</x:f>
      </x:c>
    </x:row>
    <x:row r="504" ht="21" customHeight="1">
      <x:c r="A504" s="15" t="n">
        <x:f>'Control Room'!$B$1+502</x:f>
        <x:v>73493</x:v>
      </x:c>
      <x:c r="B504" s="9" t="n">
        <x:f>MOD(C503*16807,2147483647)</x:f>
        <x:v>261393359</x:v>
      </x:c>
      <x:c r="C504" s="9" t="n">
        <x:f>MOD(B504*16807,2147483647)</x:f>
        <x:v>1634126598</x:v>
      </x:c>
      <x:c r="D504" s="17" t="n">
        <x:f>IF('Control Room'!$B$5="Normal",'Control Room'!$B$7+'Control Room'!$D$7*SQRT(-2*LN(MAX(0.000000000001,B504/2147483647)))*COS(2*PI()*C504/2147483647),'Control Room'!$B$8+('Control Room'!$D$8-'Control Room'!$B$8)*B504/2147483647)</x:f>
        <x:v>1012.6975715159585</x:v>
      </x:c>
      <x:c r="E504" s="17" t="n">
        <x:f>IF('Control Room'!$B$5="Normal",'Control Room'!$B$7,('Control Room'!$B$8+'Control Room'!$D$8)/2)+'Control Room'!$B$9*(E503-IF('Control Room'!$B$5="Normal",'Control Room'!$B$7,('Control Room'!$B$8+'Control Room'!$D$8)/2))+SQRT(1-'Control Room'!$B$9^2)*(D504-IF('Control Room'!$B$5="Normal",'Control Room'!$B$7,('Control Room'!$B$8+'Control Room'!$D$8)/2))</x:f>
        <x:v>985.1310513856332</x:v>
      </x:c>
      <x:c r="F504" s="17" t="n">
        <x:f>IF(AND($A504&gt;='Control Room'!$A$13,$A504&lt;'Control Room'!$A$13+'Control Room'!$B$13,'Process'!BK2=1),1+('Control Room'!$C$13-1)*EXP(-0.5*(($A504-'Control Room'!$A$13-('Control Room'!$B$13-1)/2)/MAX(0.5,'Control Room'!$B$13/4))^2),1)*IF(AND($A504&gt;='Control Room'!$A$14,$A504&lt;'Control Room'!$A$14+'Control Room'!$B$14,'Process'!BK3=1),1+('Control Room'!$C$14-1)*EXP(-0.5*(($A504-'Control Room'!$A$14-('Control Room'!$B$14-1)/2)/MAX(0.5,'Control Room'!$B$14/4))^2),1)*IF(AND($A504&gt;='Control Room'!$A$15,$A504&lt;'Control Room'!$A$15+'Control Room'!$B$15,'Process'!BK4=1),1+('Control Room'!$C$15-1)*EXP(-0.5*(($A504-'Control Room'!$A$15-('Control Room'!$B$15-1)/2)/MAX(0.5,'Control Room'!$B$15/4))^2),1)*IF(AND($A504&gt;='Control Room'!$A$16,$A504&lt;'Control Room'!$A$16+'Control Room'!$B$16,'Process'!BK5=1),1+('Control Room'!$C$16-1)*EXP(-0.5*(($A504-'Control Room'!$A$16-('Control Room'!$B$16-1)/2)/MAX(0.5,'Control Room'!$B$16/4))^2),1)</x:f>
        <x:v>1</x:v>
      </x:c>
      <x:c r="G504" s="9" t="n">
        <x:f>MOD(H503*16807,2147483647)</x:f>
        <x:v>2080457</x:v>
      </x:c>
      <x:c r="H504" s="9" t="n">
        <x:f>MOD(G504*16807,2147483647)</x:f>
        <x:v>606502447</x:v>
      </x:c>
      <x:c r="I504" s="17" t="n">
        <x:f>IF('Control Room'!$B$5="Normal",'Control Room'!$B$7+'Control Room'!$D$7*SQRT(-2*LN(MAX(0.000000000001,G504/2147483647)))*COS(2*PI()*H504/2147483647),'Control Room'!$B$8+('Control Room'!$D$8-'Control Room'!$B$8)*G504/2147483647)</x:f>
        <x:v>932.1627897789458</x:v>
      </x:c>
      <x:c r="J504" s="17" t="n">
        <x:f>IF('Control Room'!$B$5="Normal",'Control Room'!$B$7,('Control Room'!$B$8+'Control Room'!$D$8)/2)+'Control Room'!$B$9*(J503-IF('Control Room'!$B$5="Normal",'Control Room'!$B$7,('Control Room'!$B$8+'Control Room'!$D$8)/2))+SQRT(1-'Control Room'!$B$9^2)*(I504-IF('Control Room'!$B$5="Normal",'Control Room'!$B$7,('Control Room'!$B$8+'Control Room'!$D$8)/2))</x:f>
        <x:v>988.9571279546051</x:v>
      </x:c>
      <x:c r="K504" s="17" t="n">
        <x:f>IF(AND($A504&gt;='Control Room'!$A$13,$A504&lt;'Control Room'!$A$13+'Control Room'!$B$13,'Process'!BL2=1),1+('Control Room'!$C$13-1)*EXP(-0.5*(($A504-'Control Room'!$A$13-('Control Room'!$B$13-1)/2)/MAX(0.5,'Control Room'!$B$13/4))^2),1)*IF(AND($A504&gt;='Control Room'!$A$14,$A504&lt;'Control Room'!$A$14+'Control Room'!$B$14,'Process'!BL3=1),1+('Control Room'!$C$14-1)*EXP(-0.5*(($A504-'Control Room'!$A$14-('Control Room'!$B$14-1)/2)/MAX(0.5,'Control Room'!$B$14/4))^2),1)*IF(AND($A504&gt;='Control Room'!$A$15,$A504&lt;'Control Room'!$A$15+'Control Room'!$B$15,'Process'!BL4=1),1+('Control Room'!$C$15-1)*EXP(-0.5*(($A504-'Control Room'!$A$15-('Control Room'!$B$15-1)/2)/MAX(0.5,'Control Room'!$B$15/4))^2),1)*IF(AND($A504&gt;='Control Room'!$A$16,$A504&lt;'Control Room'!$A$16+'Control Room'!$B$16,'Process'!BL5=1),1+('Control Room'!$C$16-1)*EXP(-0.5*(($A504-'Control Room'!$A$16-('Control Room'!$B$16-1)/2)/MAX(0.5,'Control Room'!$B$16/4))^2),1)</x:f>
        <x:v>1</x:v>
      </x:c>
      <x:c r="L504" s="9" t="n">
        <x:f>MOD(M503*16807,2147483647)</x:f>
        <x:v>1890251202</x:v>
      </x:c>
      <x:c r="M504" s="9" t="n">
        <x:f>MOD(L504*16807,2147483647)</x:f>
        <x:v>1726361943</x:v>
      </x:c>
      <x:c r="N504" s="17" t="n">
        <x:f>IF('Control Room'!$B$5="Normal",'Control Room'!$B$7+'Control Room'!$D$7*SQRT(-2*LN(MAX(0.000000000001,L504/2147483647)))*COS(2*PI()*M504/2147483647),'Control Room'!$B$8+('Control Room'!$D$8-'Control Room'!$B$8)*L504/2147483647)</x:f>
        <x:v>1015.1041081853706</x:v>
      </x:c>
      <x:c r="O504" s="17" t="n">
        <x:f>IF('Control Room'!$B$5="Normal",'Control Room'!$B$7,('Control Room'!$B$8+'Control Room'!$D$8)/2)+'Control Room'!$B$9*(O503-IF('Control Room'!$B$5="Normal",'Control Room'!$B$7,('Control Room'!$B$8+'Control Room'!$D$8)/2))+SQRT(1-'Control Room'!$B$9^2)*(N504-IF('Control Room'!$B$5="Normal",'Control Room'!$B$7,('Control Room'!$B$8+'Control Room'!$D$8)/2))</x:f>
        <x:v>870.7648498405251</x:v>
      </x:c>
      <x:c r="P504" s="17" t="n">
        <x:f>IF(AND($A504&gt;='Control Room'!$A$13,$A504&lt;'Control Room'!$A$13+'Control Room'!$B$13,'Process'!BM2=1),1+('Control Room'!$C$13-1)*EXP(-0.5*(($A504-'Control Room'!$A$13-('Control Room'!$B$13-1)/2)/MAX(0.5,'Control Room'!$B$13/4))^2),1)*IF(AND($A504&gt;='Control Room'!$A$14,$A504&lt;'Control Room'!$A$14+'Control Room'!$B$14,'Process'!BM3=1),1+('Control Room'!$C$14-1)*EXP(-0.5*(($A504-'Control Room'!$A$14-('Control Room'!$B$14-1)/2)/MAX(0.5,'Control Room'!$B$14/4))^2),1)*IF(AND($A504&gt;='Control Room'!$A$15,$A504&lt;'Control Room'!$A$15+'Control Room'!$B$15,'Process'!BM4=1),1+('Control Room'!$C$15-1)*EXP(-0.5*(($A504-'Control Room'!$A$15-('Control Room'!$B$15-1)/2)/MAX(0.5,'Control Room'!$B$15/4))^2),1)*IF(AND($A504&gt;='Control Room'!$A$16,$A504&lt;'Control Room'!$A$16+'Control Room'!$B$16,'Process'!BM5=1),1+('Control Room'!$C$16-1)*EXP(-0.5*(($A504-'Control Room'!$A$16-('Control Room'!$B$16-1)/2)/MAX(0.5,'Control Room'!$B$16/4))^2),1)</x:f>
        <x:v>1</x:v>
      </x:c>
      <x:c r="Q504" s="9" t="n">
        <x:f>MOD(R503*16807,2147483647)</x:f>
        <x:v>1630938300</x:v>
      </x:c>
      <x:c r="R504" s="9" t="n">
        <x:f>MOD(Q504*16807,2147483647)</x:f>
        <x:v>698737792</x:v>
      </x:c>
      <x:c r="S504" s="17" t="n">
        <x:f>IF('Control Room'!$B$5="Normal",'Control Room'!$B$7+'Control Room'!$D$7*SQRT(-2*LN(MAX(0.000000000001,Q504/2147483647)))*COS(2*PI()*R504/2147483647),'Control Room'!$B$8+('Control Room'!$D$8-'Control Room'!$B$8)*Q504/2147483647)</x:f>
        <x:v>969.5501360620196</x:v>
      </x:c>
      <x:c r="T504" s="17" t="n">
        <x:f>IF('Control Room'!$B$5="Normal",'Control Room'!$B$7,('Control Room'!$B$8+'Control Room'!$D$8)/2)+'Control Room'!$B$9*(T503-IF('Control Room'!$B$5="Normal",'Control Room'!$B$7,('Control Room'!$B$8+'Control Room'!$D$8)/2))+SQRT(1-'Control Room'!$B$9^2)*(S504-IF('Control Room'!$B$5="Normal",'Control Room'!$B$7,('Control Room'!$B$8+'Control Room'!$D$8)/2))</x:f>
        <x:v>1016.1693062158321</x:v>
      </x:c>
      <x:c r="U504" s="17" t="n">
        <x:f>IF(AND($A504&gt;='Control Room'!$A$13,$A504&lt;'Control Room'!$A$13+'Control Room'!$B$13,'Process'!BN2=1),1+('Control Room'!$C$13-1)*EXP(-0.5*(($A504-'Control Room'!$A$13-('Control Room'!$B$13-1)/2)/MAX(0.5,'Control Room'!$B$13/4))^2),1)*IF(AND($A504&gt;='Control Room'!$A$14,$A504&lt;'Control Room'!$A$14+'Control Room'!$B$14,'Process'!BN3=1),1+('Control Room'!$C$14-1)*EXP(-0.5*(($A504-'Control Room'!$A$14-('Control Room'!$B$14-1)/2)/MAX(0.5,'Control Room'!$B$14/4))^2),1)*IF(AND($A504&gt;='Control Room'!$A$15,$A504&lt;'Control Room'!$A$15+'Control Room'!$B$15,'Process'!BN4=1),1+('Control Room'!$C$15-1)*EXP(-0.5*(($A504-'Control Room'!$A$15-('Control Room'!$B$15-1)/2)/MAX(0.5,'Control Room'!$B$15/4))^2),1)*IF(AND($A504&gt;='Control Room'!$A$16,$A504&lt;'Control Room'!$A$16+'Control Room'!$B$16,'Process'!BN5=1),1+('Control Room'!$C$16-1)*EXP(-0.5*(($A504-'Control Room'!$A$16-('Control Room'!$B$16-1)/2)/MAX(0.5,'Control Room'!$B$16/4))^2),1)</x:f>
        <x:v>1</x:v>
      </x:c>
      <x:c r="V504" s="9" t="n">
        <x:f>MOD(W503*16807,2147483647)</x:f>
        <x:v>1371625398</x:v>
      </x:c>
      <x:c r="W504" s="9" t="n">
        <x:f>MOD(V504*16807,2147483647)</x:f>
        <x:v>1818597288</x:v>
      </x:c>
      <x:c r="X504" s="17" t="n">
        <x:f>IF('Control Room'!$B$5="Normal",'Control Room'!$B$7+'Control Room'!$D$7*SQRT(-2*LN(MAX(0.000000000001,V504/2147483647)))*COS(2*PI()*W504/2147483647),'Control Room'!$B$8+('Control Room'!$D$8-'Control Room'!$B$8)*V504/2147483647)</x:f>
        <x:v>1048.716998290362</x:v>
      </x:c>
      <x:c r="Y504" s="17" t="n">
        <x:f>IF('Control Room'!$B$5="Normal",'Control Room'!$B$7,('Control Room'!$B$8+'Control Room'!$D$8)/2)+'Control Room'!$B$9*(Y503-IF('Control Room'!$B$5="Normal",'Control Room'!$B$7,('Control Room'!$B$8+'Control Room'!$D$8)/2))+SQRT(1-'Control Room'!$B$9^2)*(X504-IF('Control Room'!$B$5="Normal",'Control Room'!$B$7,('Control Room'!$B$8+'Control Room'!$D$8)/2))</x:f>
        <x:v>1081.0872368762452</x:v>
      </x:c>
      <x:c r="Z504" s="17" t="n">
        <x:f>IF(AND($A504&gt;='Control Room'!$A$13,$A504&lt;'Control Room'!$A$13+'Control Room'!$B$13,'Process'!BO2=1),1+('Control Room'!$C$13-1)*EXP(-0.5*(($A504-'Control Room'!$A$13-('Control Room'!$B$13-1)/2)/MAX(0.5,'Control Room'!$B$13/4))^2),1)*IF(AND($A504&gt;='Control Room'!$A$14,$A504&lt;'Control Room'!$A$14+'Control Room'!$B$14,'Process'!BO3=1),1+('Control Room'!$C$14-1)*EXP(-0.5*(($A504-'Control Room'!$A$14-('Control Room'!$B$14-1)/2)/MAX(0.5,'Control Room'!$B$14/4))^2),1)*IF(AND($A504&gt;='Control Room'!$A$15,$A504&lt;'Control Room'!$A$15+'Control Room'!$B$15,'Process'!BO4=1),1+('Control Room'!$C$15-1)*EXP(-0.5*(($A504-'Control Room'!$A$15-('Control Room'!$B$15-1)/2)/MAX(0.5,'Control Room'!$B$15/4))^2),1)*IF(AND($A504&gt;='Control Room'!$A$16,$A504&lt;'Control Room'!$A$16+'Control Room'!$B$16,'Process'!BO5=1),1+('Control Room'!$C$16-1)*EXP(-0.5*(($A504-'Control Room'!$A$16-('Control Room'!$B$16-1)/2)/MAX(0.5,'Control Room'!$B$16/4))^2),1)</x:f>
        <x:v>1</x:v>
      </x:c>
      <x:c r="AA504" s="9" t="n">
        <x:f>MOD(AB503*16807,2147483647)</x:f>
        <x:v>1112312496</x:v>
      </x:c>
      <x:c r="AB504" s="9" t="n">
        <x:f>MOD(AA504*16807,2147483647)</x:f>
        <x:v>790973137</x:v>
      </x:c>
      <x:c r="AC504" s="17" t="n">
        <x:f>IF('Control Room'!$B$5="Normal",'Control Room'!$B$7+'Control Room'!$D$7*SQRT(-2*LN(MAX(0.000000000001,AA504/2147483647)))*COS(2*PI()*AB504/2147483647),'Control Room'!$B$8+('Control Room'!$D$8-'Control Room'!$B$8)*AA504/2147483647)</x:f>
        <x:v>930.1270877325603</x:v>
      </x:c>
      <x:c r="AD504" s="17" t="n">
        <x:f>IF('Control Room'!$B$5="Normal",'Control Room'!$B$7,('Control Room'!$B$8+'Control Room'!$D$8)/2)+'Control Room'!$B$9*(AD503-IF('Control Room'!$B$5="Normal",'Control Room'!$B$7,('Control Room'!$B$8+'Control Room'!$D$8)/2))+SQRT(1-'Control Room'!$B$9^2)*(AC504-IF('Control Room'!$B$5="Normal",'Control Room'!$B$7,('Control Room'!$B$8+'Control Room'!$D$8)/2))</x:f>
        <x:v>827.0001812555998</x:v>
      </x:c>
      <x:c r="AE504" s="17" t="n">
        <x:f>IF(AND($A504&gt;='Control Room'!$A$13,$A504&lt;'Control Room'!$A$13+'Control Room'!$B$13,'Process'!BP2=1),1+('Control Room'!$C$13-1)*EXP(-0.5*(($A504-'Control Room'!$A$13-('Control Room'!$B$13-1)/2)/MAX(0.5,'Control Room'!$B$13/4))^2),1)*IF(AND($A504&gt;='Control Room'!$A$14,$A504&lt;'Control Room'!$A$14+'Control Room'!$B$14,'Process'!BP3=1),1+('Control Room'!$C$14-1)*EXP(-0.5*(($A504-'Control Room'!$A$14-('Control Room'!$B$14-1)/2)/MAX(0.5,'Control Room'!$B$14/4))^2),1)*IF(AND($A504&gt;='Control Room'!$A$15,$A504&lt;'Control Room'!$A$15+'Control Room'!$B$15,'Process'!BP4=1),1+('Control Room'!$C$15-1)*EXP(-0.5*(($A504-'Control Room'!$A$15-('Control Room'!$B$15-1)/2)/MAX(0.5,'Control Room'!$B$15/4))^2),1)*IF(AND($A504&gt;='Control Room'!$A$16,$A504&lt;'Control Room'!$A$16+'Control Room'!$B$16,'Process'!BP5=1),1+('Control Room'!$C$16-1)*EXP(-0.5*(($A504-'Control Room'!$A$16-('Control Room'!$B$16-1)/2)/MAX(0.5,'Control Room'!$B$16/4))^2),1)</x:f>
        <x:v>1</x:v>
      </x:c>
      <x:c r="AF504" s="9" t="n">
        <x:f>MOD(AG503*16807,2147483647)</x:f>
        <x:v>852999594</x:v>
      </x:c>
      <x:c r="AG504" s="9" t="n">
        <x:f>MOD(AF504*16807,2147483647)</x:f>
        <x:v>1910832633</x:v>
      </x:c>
      <x:c r="AH504" s="17" t="n">
        <x:f>IF('Control Room'!$B$5="Normal",'Control Room'!$B$7+'Control Room'!$D$7*SQRT(-2*LN(MAX(0.000000000001,AF504/2147483647)))*COS(2*PI()*AG504/2147483647),'Control Room'!$B$8+('Control Room'!$D$8-'Control Room'!$B$8)*AF504/2147483647)</x:f>
        <x:v>1094.136292725859</x:v>
      </x:c>
      <x:c r="AI504" s="17" t="n">
        <x:f>IF('Control Room'!$B$5="Normal",'Control Room'!$B$7,('Control Room'!$B$8+'Control Room'!$D$8)/2)+'Control Room'!$B$9*(AI503-IF('Control Room'!$B$5="Normal",'Control Room'!$B$7,('Control Room'!$B$8+'Control Room'!$D$8)/2))+SQRT(1-'Control Room'!$B$9^2)*(AH504-IF('Control Room'!$B$5="Normal",'Control Room'!$B$7,('Control Room'!$B$8+'Control Room'!$D$8)/2))</x:f>
        <x:v>993.2631269438524</x:v>
      </x:c>
      <x:c r="AJ504" s="17" t="n">
        <x:f>IF(AND($A504&gt;='Control Room'!$A$13,$A504&lt;'Control Room'!$A$13+'Control Room'!$B$13,'Process'!BQ2=1),1+('Control Room'!$C$13-1)*EXP(-0.5*(($A504-'Control Room'!$A$13-('Control Room'!$B$13-1)/2)/MAX(0.5,'Control Room'!$B$13/4))^2),1)*IF(AND($A504&gt;='Control Room'!$A$14,$A504&lt;'Control Room'!$A$14+'Control Room'!$B$14,'Process'!BQ3=1),1+('Control Room'!$C$14-1)*EXP(-0.5*(($A504-'Control Room'!$A$14-('Control Room'!$B$14-1)/2)/MAX(0.5,'Control Room'!$B$14/4))^2),1)*IF(AND($A504&gt;='Control Room'!$A$15,$A504&lt;'Control Room'!$A$15+'Control Room'!$B$15,'Process'!BQ4=1),1+('Control Room'!$C$15-1)*EXP(-0.5*(($A504-'Control Room'!$A$15-('Control Room'!$B$15-1)/2)/MAX(0.5,'Control Room'!$B$15/4))^2),1)*IF(AND($A504&gt;='Control Room'!$A$16,$A504&lt;'Control Room'!$A$16+'Control Room'!$B$16,'Process'!BQ5=1),1+('Control Room'!$C$16-1)*EXP(-0.5*(($A504-'Control Room'!$A$16-('Control Room'!$B$16-1)/2)/MAX(0.5,'Control Room'!$B$16/4))^2),1)</x:f>
        <x:v>1</x:v>
      </x:c>
      <x:c r="AK504" s="9" t="n">
        <x:f>MOD(AL503*16807,2147483647)</x:f>
        <x:v>593686692</x:v>
      </x:c>
      <x:c r="AL504" s="9" t="n">
        <x:f>MOD(AK504*16807,2147483647)</x:f>
        <x:v>883208482</x:v>
      </x:c>
      <x:c r="AM504" s="17" t="n">
        <x:f>IF('Control Room'!$B$5="Normal",'Control Room'!$B$7+'Control Room'!$D$7*SQRT(-2*LN(MAX(0.000000000001,AK504/2147483647)))*COS(2*PI()*AL504/2147483647),'Control Room'!$B$8+('Control Room'!$D$8-'Control Room'!$B$8)*AK504/2147483647)</x:f>
        <x:v>877.530288682099</x:v>
      </x:c>
      <x:c r="AN504" s="17" t="n">
        <x:f>IF('Control Room'!$B$5="Normal",'Control Room'!$B$7,('Control Room'!$B$8+'Control Room'!$D$8)/2)+'Control Room'!$B$9*(AN503-IF('Control Room'!$B$5="Normal",'Control Room'!$B$7,('Control Room'!$B$8+'Control Room'!$D$8)/2))+SQRT(1-'Control Room'!$B$9^2)*(AM504-IF('Control Room'!$B$5="Normal",'Control Room'!$B$7,('Control Room'!$B$8+'Control Room'!$D$8)/2))</x:f>
        <x:v>962.7423863613125</x:v>
      </x:c>
      <x:c r="AO504" s="17" t="n">
        <x:f>IF(AND($A504&gt;='Control Room'!$A$13,$A504&lt;'Control Room'!$A$13+'Control Room'!$B$13,'Process'!BR2=1),1+('Control Room'!$C$13-1)*EXP(-0.5*(($A504-'Control Room'!$A$13-('Control Room'!$B$13-1)/2)/MAX(0.5,'Control Room'!$B$13/4))^2),1)*IF(AND($A504&gt;='Control Room'!$A$14,$A504&lt;'Control Room'!$A$14+'Control Room'!$B$14,'Process'!BR3=1),1+('Control Room'!$C$14-1)*EXP(-0.5*(($A504-'Control Room'!$A$14-('Control Room'!$B$14-1)/2)/MAX(0.5,'Control Room'!$B$14/4))^2),1)*IF(AND($A504&gt;='Control Room'!$A$15,$A504&lt;'Control Room'!$A$15+'Control Room'!$B$15,'Process'!BR4=1),1+('Control Room'!$C$15-1)*EXP(-0.5*(($A504-'Control Room'!$A$15-('Control Room'!$B$15-1)/2)/MAX(0.5,'Control Room'!$B$15/4))^2),1)*IF(AND($A504&gt;='Control Room'!$A$16,$A504&lt;'Control Room'!$A$16+'Control Room'!$B$16,'Process'!BR5=1),1+('Control Room'!$C$16-1)*EXP(-0.5*(($A504-'Control Room'!$A$16-('Control Room'!$B$16-1)/2)/MAX(0.5,'Control Room'!$B$16/4))^2),1)</x:f>
        <x:v>1</x:v>
      </x:c>
      <x:c r="AP504" s="9" t="n">
        <x:f>MOD(AQ503*16807,2147483647)</x:f>
        <x:v>334373790</x:v>
      </x:c>
      <x:c r="AQ504" s="9" t="n">
        <x:f>MOD(AP504*16807,2147483647)</x:f>
        <x:v>2003067978</x:v>
      </x:c>
      <x:c r="AR504" s="17" t="n">
        <x:f>IF('Control Room'!$B$5="Normal",'Control Room'!$B$7+'Control Room'!$D$7*SQRT(-2*LN(MAX(0.000000000001,AP504/2147483647)))*COS(2*PI()*AQ504/2147483647),'Control Room'!$B$8+('Control Room'!$D$8-'Control Room'!$B$8)*AP504/2147483647)</x:f>
        <x:v>1158.310313024154</x:v>
      </x:c>
      <x:c r="AS504" s="17" t="n">
        <x:f>IF('Control Room'!$B$5="Normal",'Control Room'!$B$7,('Control Room'!$B$8+'Control Room'!$D$8)/2)+'Control Room'!$B$9*(AS503-IF('Control Room'!$B$5="Normal",'Control Room'!$B$7,('Control Room'!$B$8+'Control Room'!$D$8)/2))+SQRT(1-'Control Room'!$B$9^2)*(AR504-IF('Control Room'!$B$5="Normal",'Control Room'!$B$7,('Control Room'!$B$8+'Control Room'!$D$8)/2))</x:f>
        <x:v>1196.1900593596313</x:v>
      </x:c>
      <x:c r="AT504" s="17" t="n">
        <x:f>IF(AND($A504&gt;='Control Room'!$A$13,$A504&lt;'Control Room'!$A$13+'Control Room'!$B$13,'Process'!BS2=1),1+('Control Room'!$C$13-1)*EXP(-0.5*(($A504-'Control Room'!$A$13-('Control Room'!$B$13-1)/2)/MAX(0.5,'Control Room'!$B$13/4))^2),1)*IF(AND($A504&gt;='Control Room'!$A$14,$A504&lt;'Control Room'!$A$14+'Control Room'!$B$14,'Process'!BS3=1),1+('Control Room'!$C$14-1)*EXP(-0.5*(($A504-'Control Room'!$A$14-('Control Room'!$B$14-1)/2)/MAX(0.5,'Control Room'!$B$14/4))^2),1)*IF(AND($A504&gt;='Control Room'!$A$15,$A504&lt;'Control Room'!$A$15+'Control Room'!$B$15,'Process'!BS4=1),1+('Control Room'!$C$15-1)*EXP(-0.5*(($A504-'Control Room'!$A$15-('Control Room'!$B$15-1)/2)/MAX(0.5,'Control Room'!$B$15/4))^2),1)*IF(AND($A504&gt;='Control Room'!$A$16,$A504&lt;'Control Room'!$A$16+'Control Room'!$B$16,'Process'!BS5=1),1+('Control Room'!$C$16-1)*EXP(-0.5*(($A504-'Control Room'!$A$16-('Control Room'!$B$16-1)/2)/MAX(0.5,'Control Room'!$B$16/4))^2),1)</x:f>
        <x:v>1</x:v>
      </x:c>
      <x:c r="AU504" s="9" t="n">
        <x:f>MOD(AV503*16807,2147483647)</x:f>
        <x:v>75060888</x:v>
      </x:c>
      <x:c r="AV504" s="9" t="n">
        <x:f>MOD(AU504*16807,2147483647)</x:f>
        <x:v>975443827</x:v>
      </x:c>
      <x:c r="AW504" s="17" t="n">
        <x:f>IF('Control Room'!$B$5="Normal",'Control Room'!$B$7+'Control Room'!$D$7*SQRT(-2*LN(MAX(0.000000000001,AU504/2147483647)))*COS(2*PI()*AV504/2147483647),'Control Room'!$B$8+('Control Room'!$D$8-'Control Room'!$B$8)*AU504/2147483647)</x:f>
        <x:v>776.4841926499506</x:v>
      </x:c>
      <x:c r="AX504" s="17" t="n">
        <x:f>IF('Control Room'!$B$5="Normal",'Control Room'!$B$7,('Control Room'!$B$8+'Control Room'!$D$8)/2)+'Control Room'!$B$9*(AX503-IF('Control Room'!$B$5="Normal",'Control Room'!$B$7,('Control Room'!$B$8+'Control Room'!$D$8)/2))+SQRT(1-'Control Room'!$B$9^2)*(AW504-IF('Control Room'!$B$5="Normal",'Control Room'!$B$7,('Control Room'!$B$8+'Control Room'!$D$8)/2))</x:f>
        <x:v>782.391475965905</x:v>
      </x:c>
      <x:c r="AY504" s="17" t="n">
        <x:f>IF(AND($A504&gt;='Control Room'!$A$13,$A504&lt;'Control Room'!$A$13+'Control Room'!$B$13,'Process'!BT2=1),1+('Control Room'!$C$13-1)*EXP(-0.5*(($A504-'Control Room'!$A$13-('Control Room'!$B$13-1)/2)/MAX(0.5,'Control Room'!$B$13/4))^2),1)*IF(AND($A504&gt;='Control Room'!$A$14,$A504&lt;'Control Room'!$A$14+'Control Room'!$B$14,'Process'!BT3=1),1+('Control Room'!$C$14-1)*EXP(-0.5*(($A504-'Control Room'!$A$14-('Control Room'!$B$14-1)/2)/MAX(0.5,'Control Room'!$B$14/4))^2),1)*IF(AND($A504&gt;='Control Room'!$A$15,$A504&lt;'Control Room'!$A$15+'Control Room'!$B$15,'Process'!BT4=1),1+('Control Room'!$C$15-1)*EXP(-0.5*(($A504-'Control Room'!$A$15-('Control Room'!$B$15-1)/2)/MAX(0.5,'Control Room'!$B$15/4))^2),1)*IF(AND($A504&gt;='Control Room'!$A$16,$A504&lt;'Control Room'!$A$16+'Control Room'!$B$16,'Process'!BT5=1),1+('Control Room'!$C$16-1)*EXP(-0.5*(($A504-'Control Room'!$A$16-('Control Room'!$B$16-1)/2)/MAX(0.5,'Control Room'!$B$16/4))^2),1)</x:f>
        <x:v>1</x:v>
      </x:c>
      <x:c r="AZ504" s="9" t="n">
        <x:f>MOD(BA503*16807,2147483647)</x:f>
        <x:v>1963231633</x:v>
      </x:c>
      <x:c r="BA504" s="9" t="n">
        <x:f>MOD(AZ504*16807,2147483647)</x:f>
        <x:v>2095303323</x:v>
      </x:c>
      <x:c r="BB504" s="17" t="n">
        <x:f>IF('Control Room'!$B$5="Normal",'Control Room'!$B$7+'Control Room'!$D$7*SQRT(-2*LN(MAX(0.000000000001,AZ504/2147483647)))*COS(2*PI()*BA504/2147483647),'Control Room'!$B$8+('Control Room'!$D$8-'Control Room'!$B$8)*AZ504/2147483647)</x:f>
        <x:v>1037.6776946332607</x:v>
      </x:c>
      <x:c r="BC504" s="17" t="n">
        <x:f>IF('Control Room'!$B$5="Normal",'Control Room'!$B$7,('Control Room'!$B$8+'Control Room'!$D$8)/2)+'Control Room'!$B$9*(BC503-IF('Control Room'!$B$5="Normal",'Control Room'!$B$7,('Control Room'!$B$8+'Control Room'!$D$8)/2))+SQRT(1-'Control Room'!$B$9^2)*(BB504-IF('Control Room'!$B$5="Normal",'Control Room'!$B$7,('Control Room'!$B$8+'Control Room'!$D$8)/2))</x:f>
        <x:v>1034.4855463132067</x:v>
      </x:c>
      <x:c r="BD504" s="17" t="n">
        <x:f>IF(AND($A504&gt;='Control Room'!$A$13,$A504&lt;'Control Room'!$A$13+'Control Room'!$B$13,'Process'!BU2=1),1+('Control Room'!$C$13-1)*EXP(-0.5*(($A504-'Control Room'!$A$13-('Control Room'!$B$13-1)/2)/MAX(0.5,'Control Room'!$B$13/4))^2),1)*IF(AND($A504&gt;='Control Room'!$A$14,$A504&lt;'Control Room'!$A$14+'Control Room'!$B$14,'Process'!BU3=1),1+('Control Room'!$C$14-1)*EXP(-0.5*(($A504-'Control Room'!$A$14-('Control Room'!$B$14-1)/2)/MAX(0.5,'Control Room'!$B$14/4))^2),1)*IF(AND($A504&gt;='Control Room'!$A$15,$A504&lt;'Control Room'!$A$15+'Control Room'!$B$15,'Process'!BU4=1),1+('Control Room'!$C$15-1)*EXP(-0.5*(($A504-'Control Room'!$A$15-('Control Room'!$B$15-1)/2)/MAX(0.5,'Control Room'!$B$15/4))^2),1)*IF(AND($A504&gt;='Control Room'!$A$16,$A504&lt;'Control Room'!$A$16+'Control Room'!$B$16,'Process'!BU5=1),1+('Control Room'!$C$16-1)*EXP(-0.5*(($A504-'Control Room'!$A$16-('Control Room'!$B$16-1)/2)/MAX(0.5,'Control Room'!$B$16/4))^2),1)</x:f>
        <x:v>1</x:v>
      </x:c>
      <x:c r="BE504" s="9" t="n">
        <x:f>MOD(BF503*16807,2147483647)</x:f>
        <x:v>1703918731</x:v>
      </x:c>
      <x:c r="BF504" s="9" t="n">
        <x:f>MOD(BE504*16807,2147483647)</x:f>
        <x:v>1067679172</x:v>
      </x:c>
      <x:c r="BG504" s="17" t="n">
        <x:f>IF('Control Room'!$B$5="Normal",'Control Room'!$B$7+'Control Room'!$D$7*SQRT(-2*LN(MAX(0.000000000001,BE504/2147483647)))*COS(2*PI()*BF504/2147483647),'Control Room'!$B$8+('Control Room'!$D$8-'Control Room'!$B$8)*BE504/2147483647)</x:f>
        <x:v>938.7876613849305</x:v>
      </x:c>
      <x:c r="BH504" s="17" t="n">
        <x:f>IF('Control Room'!$B$5="Normal",'Control Room'!$B$7,('Control Room'!$B$8+'Control Room'!$D$8)/2)+'Control Room'!$B$9*(BH503-IF('Control Room'!$B$5="Normal",'Control Room'!$B$7,('Control Room'!$B$8+'Control Room'!$D$8)/2))+SQRT(1-'Control Room'!$B$9^2)*(BG504-IF('Control Room'!$B$5="Normal",'Control Room'!$B$7,('Control Room'!$B$8+'Control Room'!$D$8)/2))</x:f>
        <x:v>965.3333994436932</x:v>
      </x:c>
      <x:c r="BI504" s="17" t="n">
        <x:f>IF(AND($A504&gt;='Control Room'!$A$13,$A504&lt;'Control Room'!$A$13+'Control Room'!$B$13,'Process'!BV2=1),1+('Control Room'!$C$13-1)*EXP(-0.5*(($A504-'Control Room'!$A$13-('Control Room'!$B$13-1)/2)/MAX(0.5,'Control Room'!$B$13/4))^2),1)*IF(AND($A504&gt;='Control Room'!$A$14,$A504&lt;'Control Room'!$A$14+'Control Room'!$B$14,'Process'!BV3=1),1+('Control Room'!$C$14-1)*EXP(-0.5*(($A504-'Control Room'!$A$14-('Control Room'!$B$14-1)/2)/MAX(0.5,'Control Room'!$B$14/4))^2),1)*IF(AND($A504&gt;='Control Room'!$A$15,$A504&lt;'Control Room'!$A$15+'Control Room'!$B$15,'Process'!BV4=1),1+('Control Room'!$C$15-1)*EXP(-0.5*(($A504-'Control Room'!$A$15-('Control Room'!$B$15-1)/2)/MAX(0.5,'Control Room'!$B$15/4))^2),1)*IF(AND($A504&gt;='Control Room'!$A$16,$A504&lt;'Control Room'!$A$16+'Control Room'!$B$16,'Process'!BV5=1),1+('Control Room'!$C$16-1)*EXP(-0.5*(($A504-'Control Room'!$A$16-('Control Room'!$B$16-1)/2)/MAX(0.5,'Control Room'!$B$16/4))^2),1)</x:f>
        <x:v>1</x:v>
      </x:c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Z504" t="str">
        <x:f>IF('Data'!A504="","",TEXT('Data'!A504,"mm-dd"))</x:f>
      </x:c>
    </x:row>
    <x:row r="505" ht="21" customHeight="1">
      <x:c r="A505" s="15" t="n">
        <x:f>'Control Room'!$B$1+503</x:f>
        <x:v>73494</x:v>
      </x:c>
      <x:c r="B505" s="9" t="n">
        <x:f>MOD(C504*16807,2147483647)</x:f>
        <x:v>597371103</x:v>
      </x:c>
      <x:c r="C505" s="9" t="n">
        <x:f>MOD(B505*16807,2147483647)</x:f>
        <x:v>530078396</x:v>
      </x:c>
      <x:c r="D505" s="17" t="n">
        <x:f>IF('Control Room'!$B$5="Normal",'Control Room'!$B$7+'Control Room'!$D$7*SQRT(-2*LN(MAX(0.000000000001,B505/2147483647)))*COS(2*PI()*C505/2147483647),'Control Room'!$B$8+('Control Room'!$D$8-'Control Room'!$B$8)*B505/2147483647)</x:f>
        <x:v>1002.8610932479783</x:v>
      </x:c>
      <x:c r="E505" s="17" t="n">
        <x:f>IF('Control Room'!$B$5="Normal",'Control Room'!$B$7,('Control Room'!$B$8+'Control Room'!$D$8)/2)+'Control Room'!$B$9*(E504-IF('Control Room'!$B$5="Normal",'Control Room'!$B$7,('Control Room'!$B$8+'Control Room'!$D$8)/2))+SQRT(1-'Control Room'!$B$9^2)*(D505-IF('Control Room'!$B$5="Normal",'Control Room'!$B$7,('Control Room'!$B$8+'Control Room'!$D$8)/2))</x:f>
        <x:v>990.1926336226976</x:v>
      </x:c>
      <x:c r="F505" s="17" t="n">
        <x:f>IF(AND($A505&gt;='Control Room'!$A$13,$A505&lt;'Control Room'!$A$13+'Control Room'!$B$13,'Process'!BK2=1),1+('Control Room'!$C$13-1)*EXP(-0.5*(($A505-'Control Room'!$A$13-('Control Room'!$B$13-1)/2)/MAX(0.5,'Control Room'!$B$13/4))^2),1)*IF(AND($A505&gt;='Control Room'!$A$14,$A505&lt;'Control Room'!$A$14+'Control Room'!$B$14,'Process'!BK3=1),1+('Control Room'!$C$14-1)*EXP(-0.5*(($A505-'Control Room'!$A$14-('Control Room'!$B$14-1)/2)/MAX(0.5,'Control Room'!$B$14/4))^2),1)*IF(AND($A505&gt;='Control Room'!$A$15,$A505&lt;'Control Room'!$A$15+'Control Room'!$B$15,'Process'!BK4=1),1+('Control Room'!$C$15-1)*EXP(-0.5*(($A505-'Control Room'!$A$15-('Control Room'!$B$15-1)/2)/MAX(0.5,'Control Room'!$B$15/4))^2),1)*IF(AND($A505&gt;='Control Room'!$A$16,$A505&lt;'Control Room'!$A$16+'Control Room'!$B$16,'Process'!BK5=1),1+('Control Room'!$C$16-1)*EXP(-0.5*(($A505-'Control Room'!$A$16-('Control Room'!$B$16-1)/2)/MAX(0.5,'Control Room'!$B$16/4))^2),1)</x:f>
        <x:v>1</x:v>
      </x:c>
      <x:c r="G505" s="9" t="n">
        <x:f>MOD(H504*16807,2147483647)</x:f>
        <x:v>1529238067</x:v>
      </x:c>
      <x:c r="H505" s="9" t="n">
        <x:f>MOD(G505*16807,2147483647)</x:f>
        <x:v>819904773</x:v>
      </x:c>
      <x:c r="I505" s="17" t="n">
        <x:f>IF('Control Room'!$B$5="Normal",'Control Room'!$B$7+'Control Room'!$D$7*SQRT(-2*LN(MAX(0.000000000001,G505/2147483647)))*COS(2*PI()*H505/2147483647),'Control Room'!$B$8+('Control Room'!$D$8-'Control Room'!$B$8)*G505/2147483647)</x:f>
        <x:v>945.3665145847104</x:v>
      </x:c>
      <x:c r="J505" s="17" t="n">
        <x:f>IF('Control Room'!$B$5="Normal",'Control Room'!$B$7,('Control Room'!$B$8+'Control Room'!$D$8)/2)+'Control Room'!$B$9*(J504-IF('Control Room'!$B$5="Normal",'Control Room'!$B$7,('Control Room'!$B$8+'Control Room'!$D$8)/2))+SQRT(1-'Control Room'!$B$9^2)*(I505-IF('Control Room'!$B$5="Normal",'Control Room'!$B$7,('Control Room'!$B$8+'Control Room'!$D$8)/2))</x:f>
        <x:v>957.1980438594879</x:v>
      </x:c>
      <x:c r="K505" s="17" t="n">
        <x:f>IF(AND($A505&gt;='Control Room'!$A$13,$A505&lt;'Control Room'!$A$13+'Control Room'!$B$13,'Process'!BL2=1),1+('Control Room'!$C$13-1)*EXP(-0.5*(($A505-'Control Room'!$A$13-('Control Room'!$B$13-1)/2)/MAX(0.5,'Control Room'!$B$13/4))^2),1)*IF(AND($A505&gt;='Control Room'!$A$14,$A505&lt;'Control Room'!$A$14+'Control Room'!$B$14,'Process'!BL3=1),1+('Control Room'!$C$14-1)*EXP(-0.5*(($A505-'Control Room'!$A$14-('Control Room'!$B$14-1)/2)/MAX(0.5,'Control Room'!$B$14/4))^2),1)*IF(AND($A505&gt;='Control Room'!$A$15,$A505&lt;'Control Room'!$A$15+'Control Room'!$B$15,'Process'!BL4=1),1+('Control Room'!$C$15-1)*EXP(-0.5*(($A505-'Control Room'!$A$15-('Control Room'!$B$15-1)/2)/MAX(0.5,'Control Room'!$B$15/4))^2),1)*IF(AND($A505&gt;='Control Room'!$A$16,$A505&lt;'Control Room'!$A$16+'Control Room'!$B$16,'Process'!BL5=1),1+('Control Room'!$C$16-1)*EXP(-0.5*(($A505-'Control Room'!$A$16-('Control Room'!$B$16-1)/2)/MAX(0.5,'Control Room'!$B$16/4))^2),1)</x:f>
        <x:v>1</x:v>
      </x:c>
      <x:c r="L505" s="9" t="n">
        <x:f>MOD(M504*16807,2147483647)</x:f>
        <x:v>313621384</x:v>
      </x:c>
      <x:c r="M505" s="9" t="n">
        <x:f>MOD(L505*16807,2147483647)</x:f>
        <x:v>1109731150</x:v>
      </x:c>
      <x:c r="N505" s="17" t="n">
        <x:f>IF('Control Room'!$B$5="Normal",'Control Room'!$B$7+'Control Room'!$D$7*SQRT(-2*LN(MAX(0.000000000001,L505/2147483647)))*COS(2*PI()*M505/2147483647),'Control Room'!$B$8+('Control Room'!$D$8-'Control Room'!$B$8)*L505/2147483647)</x:f>
        <x:v>824.4371151118717</x:v>
      </x:c>
      <x:c r="O505" s="17" t="n">
        <x:f>IF('Control Room'!$B$5="Normal",'Control Room'!$B$7,('Control Room'!$B$8+'Control Room'!$D$8)/2)+'Control Room'!$B$9*(O504-IF('Control Room'!$B$5="Normal",'Control Room'!$B$7,('Control Room'!$B$8+'Control Room'!$D$8)/2))+SQRT(1-'Control Room'!$B$9^2)*(N505-IF('Control Room'!$B$5="Normal",'Control Room'!$B$7,('Control Room'!$B$8+'Control Room'!$D$8)/2))</x:f>
        <x:v>789.3329261138085</x:v>
      </x:c>
      <x:c r="P505" s="17" t="n">
        <x:f>IF(AND($A505&gt;='Control Room'!$A$13,$A505&lt;'Control Room'!$A$13+'Control Room'!$B$13,'Process'!BM2=1),1+('Control Room'!$C$13-1)*EXP(-0.5*(($A505-'Control Room'!$A$13-('Control Room'!$B$13-1)/2)/MAX(0.5,'Control Room'!$B$13/4))^2),1)*IF(AND($A505&gt;='Control Room'!$A$14,$A505&lt;'Control Room'!$A$14+'Control Room'!$B$14,'Process'!BM3=1),1+('Control Room'!$C$14-1)*EXP(-0.5*(($A505-'Control Room'!$A$14-('Control Room'!$B$14-1)/2)/MAX(0.5,'Control Room'!$B$14/4))^2),1)*IF(AND($A505&gt;='Control Room'!$A$15,$A505&lt;'Control Room'!$A$15+'Control Room'!$B$15,'Process'!BM4=1),1+('Control Room'!$C$15-1)*EXP(-0.5*(($A505-'Control Room'!$A$15-('Control Room'!$B$15-1)/2)/MAX(0.5,'Control Room'!$B$15/4))^2),1)*IF(AND($A505&gt;='Control Room'!$A$16,$A505&lt;'Control Room'!$A$16+'Control Room'!$B$16,'Process'!BM5=1),1+('Control Room'!$C$16-1)*EXP(-0.5*(($A505-'Control Room'!$A$16-('Control Room'!$B$16-1)/2)/MAX(0.5,'Control Room'!$B$16/4))^2),1)</x:f>
        <x:v>1</x:v>
      </x:c>
      <x:c r="Q505" s="9" t="n">
        <x:f>MOD(R504*16807,2147483647)</x:f>
        <x:v>1245488348</x:v>
      </x:c>
      <x:c r="R505" s="9" t="n">
        <x:f>MOD(Q505*16807,2147483647)</x:f>
        <x:v>1399557527</x:v>
      </x:c>
      <x:c r="S505" s="17" t="n">
        <x:f>IF('Control Room'!$B$5="Normal",'Control Room'!$B$7+'Control Room'!$D$7*SQRT(-2*LN(MAX(0.000000000001,Q505/2147483647)))*COS(2*PI()*R505/2147483647),'Control Room'!$B$8+('Control Room'!$D$8-'Control Room'!$B$8)*Q505/2147483647)</x:f>
        <x:v>945.6062248685608</x:v>
      </x:c>
      <x:c r="T505" s="17" t="n">
        <x:f>IF('Control Room'!$B$5="Normal",'Control Room'!$B$7,('Control Room'!$B$8+'Control Room'!$D$8)/2)+'Control Room'!$B$9*(T504-IF('Control Room'!$B$5="Normal",'Control Room'!$B$7,('Control Room'!$B$8+'Control Room'!$D$8)/2))+SQRT(1-'Control Room'!$B$9^2)*(S505-IF('Control Room'!$B$5="Normal",'Control Room'!$B$7,('Control Room'!$B$8+'Control Room'!$D$8)/2))</x:f>
        <x:v>978.5735486881465</x:v>
      </x:c>
      <x:c r="U505" s="17" t="n">
        <x:f>IF(AND($A505&gt;='Control Room'!$A$13,$A505&lt;'Control Room'!$A$13+'Control Room'!$B$13,'Process'!BN2=1),1+('Control Room'!$C$13-1)*EXP(-0.5*(($A505-'Control Room'!$A$13-('Control Room'!$B$13-1)/2)/MAX(0.5,'Control Room'!$B$13/4))^2),1)*IF(AND($A505&gt;='Control Room'!$A$14,$A505&lt;'Control Room'!$A$14+'Control Room'!$B$14,'Process'!BN3=1),1+('Control Room'!$C$14-1)*EXP(-0.5*(($A505-'Control Room'!$A$14-('Control Room'!$B$14-1)/2)/MAX(0.5,'Control Room'!$B$14/4))^2),1)*IF(AND($A505&gt;='Control Room'!$A$15,$A505&lt;'Control Room'!$A$15+'Control Room'!$B$15,'Process'!BN4=1),1+('Control Room'!$C$15-1)*EXP(-0.5*(($A505-'Control Room'!$A$15-('Control Room'!$B$15-1)/2)/MAX(0.5,'Control Room'!$B$15/4))^2),1)*IF(AND($A505&gt;='Control Room'!$A$16,$A505&lt;'Control Room'!$A$16+'Control Room'!$B$16,'Process'!BN5=1),1+('Control Room'!$C$16-1)*EXP(-0.5*(($A505-'Control Room'!$A$16-('Control Room'!$B$16-1)/2)/MAX(0.5,'Control Room'!$B$16/4))^2),1)</x:f>
        <x:v>1</x:v>
      </x:c>
      <x:c r="V505" s="9" t="n">
        <x:f>MOD(W504*16807,2147483647)</x:f>
        <x:v>29871665</x:v>
      </x:c>
      <x:c r="W505" s="9" t="n">
        <x:f>MOD(V505*16807,2147483647)</x:f>
        <x:v>1689383904</x:v>
      </x:c>
      <x:c r="X505" s="17" t="n">
        <x:f>IF('Control Room'!$B$5="Normal",'Control Room'!$B$7+'Control Room'!$D$7*SQRT(-2*LN(MAX(0.000000000001,V505/2147483647)))*COS(2*PI()*W505/2147483647),'Control Room'!$B$8+('Control Room'!$D$8-'Control Room'!$B$8)*V505/2147483647)</x:f>
        <x:v>1060.1171631304908</x:v>
      </x:c>
      <x:c r="Y505" s="17" t="n">
        <x:f>IF('Control Room'!$B$5="Normal",'Control Room'!$B$7,('Control Room'!$B$8+'Control Room'!$D$8)/2)+'Control Room'!$B$9*(Y504-IF('Control Room'!$B$5="Normal",'Control Room'!$B$7,('Control Room'!$B$8+'Control Room'!$D$8)/2))+SQRT(1-'Control Room'!$B$9^2)*(X505-IF('Control Room'!$B$5="Normal",'Control Room'!$B$7,('Control Room'!$B$8+'Control Room'!$D$8)/2))</x:f>
        <x:v>1100.8681338835042</x:v>
      </x:c>
      <x:c r="Z505" s="17" t="n">
        <x:f>IF(AND($A505&gt;='Control Room'!$A$13,$A505&lt;'Control Room'!$A$13+'Control Room'!$B$13,'Process'!BO2=1),1+('Control Room'!$C$13-1)*EXP(-0.5*(($A505-'Control Room'!$A$13-('Control Room'!$B$13-1)/2)/MAX(0.5,'Control Room'!$B$13/4))^2),1)*IF(AND($A505&gt;='Control Room'!$A$14,$A505&lt;'Control Room'!$A$14+'Control Room'!$B$14,'Process'!BO3=1),1+('Control Room'!$C$14-1)*EXP(-0.5*(($A505-'Control Room'!$A$14-('Control Room'!$B$14-1)/2)/MAX(0.5,'Control Room'!$B$14/4))^2),1)*IF(AND($A505&gt;='Control Room'!$A$15,$A505&lt;'Control Room'!$A$15+'Control Room'!$B$15,'Process'!BO4=1),1+('Control Room'!$C$15-1)*EXP(-0.5*(($A505-'Control Room'!$A$15-('Control Room'!$B$15-1)/2)/MAX(0.5,'Control Room'!$B$15/4))^2),1)*IF(AND($A505&gt;='Control Room'!$A$16,$A505&lt;'Control Room'!$A$16+'Control Room'!$B$16,'Process'!BO5=1),1+('Control Room'!$C$16-1)*EXP(-0.5*(($A505-'Control Room'!$A$16-('Control Room'!$B$16-1)/2)/MAX(0.5,'Control Room'!$B$16/4))^2),1)</x:f>
        <x:v>1</x:v>
      </x:c>
      <x:c r="AA505" s="9" t="n">
        <x:f>MOD(AB504*16807,2147483647)</x:f>
        <x:v>961738629</x:v>
      </x:c>
      <x:c r="AB505" s="9" t="n">
        <x:f>MOD(AA505*16807,2147483647)</x:f>
        <x:v>1979210281</x:v>
      </x:c>
      <x:c r="AC505" s="17" t="n">
        <x:f>IF('Control Room'!$B$5="Normal",'Control Room'!$B$7+'Control Room'!$D$7*SQRT(-2*LN(MAX(0.000000000001,AA505/2147483647)))*COS(2*PI()*AB505/2147483647),'Control Room'!$B$8+('Control Room'!$D$8-'Control Room'!$B$8)*AA505/2147483647)</x:f>
        <x:v>1100.5281544836846</x:v>
      </x:c>
      <x:c r="AD505" s="17" t="n">
        <x:f>IF('Control Room'!$B$5="Normal",'Control Room'!$B$7,('Control Room'!$B$8+'Control Room'!$D$8)/2)+'Control Room'!$B$9*(AD504-IF('Control Room'!$B$5="Normal",'Control Room'!$B$7,('Control Room'!$B$8+'Control Room'!$D$8)/2))+SQRT(1-'Control Room'!$B$9^2)*(AC505-IF('Control Room'!$B$5="Normal",'Control Room'!$B$7,('Control Room'!$B$8+'Control Room'!$D$8)/2))</x:f>
        <x:v>927.9686010240731</x:v>
      </x:c>
      <x:c r="AE505" s="17" t="n">
        <x:f>IF(AND($A505&gt;='Control Room'!$A$13,$A505&lt;'Control Room'!$A$13+'Control Room'!$B$13,'Process'!BP2=1),1+('Control Room'!$C$13-1)*EXP(-0.5*(($A505-'Control Room'!$A$13-('Control Room'!$B$13-1)/2)/MAX(0.5,'Control Room'!$B$13/4))^2),1)*IF(AND($A505&gt;='Control Room'!$A$14,$A505&lt;'Control Room'!$A$14+'Control Room'!$B$14,'Process'!BP3=1),1+('Control Room'!$C$14-1)*EXP(-0.5*(($A505-'Control Room'!$A$14-('Control Room'!$B$14-1)/2)/MAX(0.5,'Control Room'!$B$14/4))^2),1)*IF(AND($A505&gt;='Control Room'!$A$15,$A505&lt;'Control Room'!$A$15+'Control Room'!$B$15,'Process'!BP4=1),1+('Control Room'!$C$15-1)*EXP(-0.5*(($A505-'Control Room'!$A$15-('Control Room'!$B$15-1)/2)/MAX(0.5,'Control Room'!$B$15/4))^2),1)*IF(AND($A505&gt;='Control Room'!$A$16,$A505&lt;'Control Room'!$A$16+'Control Room'!$B$16,'Process'!BP5=1),1+('Control Room'!$C$16-1)*EXP(-0.5*(($A505-'Control Room'!$A$16-('Control Room'!$B$16-1)/2)/MAX(0.5,'Control Room'!$B$16/4))^2),1)</x:f>
        <x:v>1</x:v>
      </x:c>
      <x:c r="AF505" s="9" t="n">
        <x:f>MOD(AG504*16807,2147483647)</x:f>
        <x:v>1893605593</x:v>
      </x:c>
      <x:c r="AG505" s="9" t="n">
        <x:f>MOD(AF505*16807,2147483647)</x:f>
        <x:v>121553011</x:v>
      </x:c>
      <x:c r="AH505" s="17" t="n">
        <x:f>IF('Control Room'!$B$5="Normal",'Control Room'!$B$7+'Control Room'!$D$7*SQRT(-2*LN(MAX(0.000000000001,AF505/2147483647)))*COS(2*PI()*AG505/2147483647),'Control Room'!$B$8+('Control Room'!$D$8-'Control Room'!$B$8)*AF505/2147483647)</x:f>
        <x:v>1042.3211398270282</x:v>
      </x:c>
      <x:c r="AI505" s="17" t="n">
        <x:f>IF('Control Room'!$B$5="Normal",'Control Room'!$B$7,('Control Room'!$B$8+'Control Room'!$D$8)/2)+'Control Room'!$B$9*(AI504-IF('Control Room'!$B$5="Normal",'Control Room'!$B$7,('Control Room'!$B$8+'Control Room'!$D$8)/2))+SQRT(1-'Control Room'!$B$9^2)*(AH505-IF('Control Room'!$B$5="Normal",'Control Room'!$B$7,('Control Room'!$B$8+'Control Room'!$D$8)/2))</x:f>
        <x:v>1021.2289413242844</x:v>
      </x:c>
      <x:c r="AJ505" s="17" t="n">
        <x:f>IF(AND($A505&gt;='Control Room'!$A$13,$A505&lt;'Control Room'!$A$13+'Control Room'!$B$13,'Process'!BQ2=1),1+('Control Room'!$C$13-1)*EXP(-0.5*(($A505-'Control Room'!$A$13-('Control Room'!$B$13-1)/2)/MAX(0.5,'Control Room'!$B$13/4))^2),1)*IF(AND($A505&gt;='Control Room'!$A$14,$A505&lt;'Control Room'!$A$14+'Control Room'!$B$14,'Process'!BQ3=1),1+('Control Room'!$C$14-1)*EXP(-0.5*(($A505-'Control Room'!$A$14-('Control Room'!$B$14-1)/2)/MAX(0.5,'Control Room'!$B$14/4))^2),1)*IF(AND($A505&gt;='Control Room'!$A$15,$A505&lt;'Control Room'!$A$15+'Control Room'!$B$15,'Process'!BQ4=1),1+('Control Room'!$C$15-1)*EXP(-0.5*(($A505-'Control Room'!$A$15-('Control Room'!$B$15-1)/2)/MAX(0.5,'Control Room'!$B$15/4))^2),1)*IF(AND($A505&gt;='Control Room'!$A$16,$A505&lt;'Control Room'!$A$16+'Control Room'!$B$16,'Process'!BQ5=1),1+('Control Room'!$C$16-1)*EXP(-0.5*(($A505-'Control Room'!$A$16-('Control Room'!$B$16-1)/2)/MAX(0.5,'Control Room'!$B$16/4))^2),1)</x:f>
        <x:v>1</x:v>
      </x:c>
      <x:c r="AK505" s="9" t="n">
        <x:f>MOD(AL504*16807,2147483647)</x:f>
        <x:v>677988910</x:v>
      </x:c>
      <x:c r="AL505" s="9" t="n">
        <x:f>MOD(AK505*16807,2147483647)</x:f>
        <x:v>411379388</x:v>
      </x:c>
      <x:c r="AM505" s="17" t="n">
        <x:f>IF('Control Room'!$B$5="Normal",'Control Room'!$B$7+'Control Room'!$D$7*SQRT(-2*LN(MAX(0.000000000001,AK505/2147483647)))*COS(2*PI()*AL505/2147483647),'Control Room'!$B$8+('Control Room'!$D$8-'Control Room'!$B$8)*AK505/2147483647)</x:f>
        <x:v>1049.0590851938753</x:v>
      </x:c>
      <x:c r="AN505" s="17" t="n">
        <x:f>IF('Control Room'!$B$5="Normal",'Control Room'!$B$7,('Control Room'!$B$8+'Control Room'!$D$8)/2)+'Control Room'!$B$9*(AN504-IF('Control Room'!$B$5="Normal",'Control Room'!$B$7,('Control Room'!$B$8+'Control Room'!$D$8)/2))+SQRT(1-'Control Room'!$B$9^2)*(AM505-IF('Control Room'!$B$5="Normal",'Control Room'!$B$7,('Control Room'!$B$8+'Control Room'!$D$8)/2))</x:f>
        <x:v>1001.6392318461625</x:v>
      </x:c>
      <x:c r="AO505" s="17" t="n">
        <x:f>IF(AND($A505&gt;='Control Room'!$A$13,$A505&lt;'Control Room'!$A$13+'Control Room'!$B$13,'Process'!BR2=1),1+('Control Room'!$C$13-1)*EXP(-0.5*(($A505-'Control Room'!$A$13-('Control Room'!$B$13-1)/2)/MAX(0.5,'Control Room'!$B$13/4))^2),1)*IF(AND($A505&gt;='Control Room'!$A$14,$A505&lt;'Control Room'!$A$14+'Control Room'!$B$14,'Process'!BR3=1),1+('Control Room'!$C$14-1)*EXP(-0.5*(($A505-'Control Room'!$A$14-('Control Room'!$B$14-1)/2)/MAX(0.5,'Control Room'!$B$14/4))^2),1)*IF(AND($A505&gt;='Control Room'!$A$15,$A505&lt;'Control Room'!$A$15+'Control Room'!$B$15,'Process'!BR4=1),1+('Control Room'!$C$15-1)*EXP(-0.5*(($A505-'Control Room'!$A$15-('Control Room'!$B$15-1)/2)/MAX(0.5,'Control Room'!$B$15/4))^2),1)*IF(AND($A505&gt;='Control Room'!$A$16,$A505&lt;'Control Room'!$A$16+'Control Room'!$B$16,'Process'!BR5=1),1+('Control Room'!$C$16-1)*EXP(-0.5*(($A505-'Control Room'!$A$16-('Control Room'!$B$16-1)/2)/MAX(0.5,'Control Room'!$B$16/4))^2),1)</x:f>
        <x:v>1</x:v>
      </x:c>
      <x:c r="AP505" s="9" t="n">
        <x:f>MOD(AQ504*16807,2147483647)</x:f>
        <x:v>1609855874</x:v>
      </x:c>
      <x:c r="AQ505" s="9" t="n">
        <x:f>MOD(AP505*16807,2147483647)</x:f>
        <x:v>701205765</x:v>
      </x:c>
      <x:c r="AR505" s="17" t="n">
        <x:f>IF('Control Room'!$B$5="Normal",'Control Room'!$B$7+'Control Room'!$D$7*SQRT(-2*LN(MAX(0.000000000001,AP505/2147483647)))*COS(2*PI()*AQ505/2147483647),'Control Room'!$B$8+('Control Room'!$D$8-'Control Room'!$B$8)*AP505/2147483647)</x:f>
        <x:v>968.4002611947901</x:v>
      </x:c>
      <x:c r="AS505" s="17" t="n">
        <x:f>IF('Control Room'!$B$5="Normal",'Control Room'!$B$7,('Control Room'!$B$8+'Control Room'!$D$8)/2)+'Control Room'!$B$9*(AS504-IF('Control Room'!$B$5="Normal",'Control Room'!$B$7,('Control Room'!$B$8+'Control Room'!$D$8)/2))+SQRT(1-'Control Room'!$B$9^2)*(AR505-IF('Control Room'!$B$5="Normal",'Control Room'!$B$7,('Control Room'!$B$8+'Control Room'!$D$8)/2))</x:f>
        <x:v>1133.2537771120483</x:v>
      </x:c>
      <x:c r="AT505" s="17" t="n">
        <x:f>IF(AND($A505&gt;='Control Room'!$A$13,$A505&lt;'Control Room'!$A$13+'Control Room'!$B$13,'Process'!BS2=1),1+('Control Room'!$C$13-1)*EXP(-0.5*(($A505-'Control Room'!$A$13-('Control Room'!$B$13-1)/2)/MAX(0.5,'Control Room'!$B$13/4))^2),1)*IF(AND($A505&gt;='Control Room'!$A$14,$A505&lt;'Control Room'!$A$14+'Control Room'!$B$14,'Process'!BS3=1),1+('Control Room'!$C$14-1)*EXP(-0.5*(($A505-'Control Room'!$A$14-('Control Room'!$B$14-1)/2)/MAX(0.5,'Control Room'!$B$14/4))^2),1)*IF(AND($A505&gt;='Control Room'!$A$15,$A505&lt;'Control Room'!$A$15+'Control Room'!$B$15,'Process'!BS4=1),1+('Control Room'!$C$15-1)*EXP(-0.5*(($A505-'Control Room'!$A$15-('Control Room'!$B$15-1)/2)/MAX(0.5,'Control Room'!$B$15/4))^2),1)*IF(AND($A505&gt;='Control Room'!$A$16,$A505&lt;'Control Room'!$A$16+'Control Room'!$B$16,'Process'!BS5=1),1+('Control Room'!$C$16-1)*EXP(-0.5*(($A505-'Control Room'!$A$16-('Control Room'!$B$16-1)/2)/MAX(0.5,'Control Room'!$B$16/4))^2),1)</x:f>
        <x:v>1</x:v>
      </x:c>
      <x:c r="AU505" s="9" t="n">
        <x:f>MOD(AV504*16807,2147483647)</x:f>
        <x:v>394239191</x:v>
      </x:c>
      <x:c r="AV505" s="9" t="n">
        <x:f>MOD(AU505*16807,2147483647)</x:f>
        <x:v>991032142</x:v>
      </x:c>
      <x:c r="AW505" s="17" t="n">
        <x:f>IF('Control Room'!$B$5="Normal",'Control Room'!$B$7+'Control Room'!$D$7*SQRT(-2*LN(MAX(0.000000000001,AU505/2147483647)))*COS(2*PI()*AV505/2147483647),'Control Room'!$B$8+('Control Room'!$D$8-'Control Room'!$B$8)*AU505/2147483647)</x:f>
        <x:v>839.1163697226057</x:v>
      </x:c>
      <x:c r="AX505" s="17" t="n">
        <x:f>IF('Control Room'!$B$5="Normal",'Control Room'!$B$7,('Control Room'!$B$8+'Control Room'!$D$8)/2)+'Control Room'!$B$9*(AX504-IF('Control Room'!$B$5="Normal",'Control Room'!$B$7,('Control Room'!$B$8+'Control Room'!$D$8)/2))+SQRT(1-'Control Room'!$B$9^2)*(AW505-IF('Control Room'!$B$5="Normal",'Control Room'!$B$7,('Control Room'!$B$8+'Control Room'!$D$8)/2))</x:f>
        <x:v>729.5876713061258</x:v>
      </x:c>
      <x:c r="AY505" s="17" t="n">
        <x:f>IF(AND($A505&gt;='Control Room'!$A$13,$A505&lt;'Control Room'!$A$13+'Control Room'!$B$13,'Process'!BT2=1),1+('Control Room'!$C$13-1)*EXP(-0.5*(($A505-'Control Room'!$A$13-('Control Room'!$B$13-1)/2)/MAX(0.5,'Control Room'!$B$13/4))^2),1)*IF(AND($A505&gt;='Control Room'!$A$14,$A505&lt;'Control Room'!$A$14+'Control Room'!$B$14,'Process'!BT3=1),1+('Control Room'!$C$14-1)*EXP(-0.5*(($A505-'Control Room'!$A$14-('Control Room'!$B$14-1)/2)/MAX(0.5,'Control Room'!$B$14/4))^2),1)*IF(AND($A505&gt;='Control Room'!$A$15,$A505&lt;'Control Room'!$A$15+'Control Room'!$B$15,'Process'!BT4=1),1+('Control Room'!$C$15-1)*EXP(-0.5*(($A505-'Control Room'!$A$15-('Control Room'!$B$15-1)/2)/MAX(0.5,'Control Room'!$B$15/4))^2),1)*IF(AND($A505&gt;='Control Room'!$A$16,$A505&lt;'Control Room'!$A$16+'Control Room'!$B$16,'Process'!BT5=1),1+('Control Room'!$C$16-1)*EXP(-0.5*(($A505-'Control Room'!$A$16-('Control Room'!$B$16-1)/2)/MAX(0.5,'Control Room'!$B$16/4))^2),1)</x:f>
        <x:v>1</x:v>
      </x:c>
      <x:c r="AZ505" s="9" t="n">
        <x:f>MOD(BA504*16807,2147483647)</x:f>
        <x:v>1326106155</x:v>
      </x:c>
      <x:c r="BA505" s="9" t="n">
        <x:f>MOD(AZ505*16807,2147483647)</x:f>
        <x:v>1280858519</x:v>
      </x:c>
      <x:c r="BB505" s="17" t="n">
        <x:f>IF('Control Room'!$B$5="Normal",'Control Room'!$B$7+'Control Room'!$D$7*SQRT(-2*LN(MAX(0.000000000001,AZ505/2147483647)))*COS(2*PI()*BA505/2147483647),'Control Room'!$B$8+('Control Room'!$D$8-'Control Room'!$B$8)*AZ505/2147483647)</x:f>
        <x:v>927.3654918845257</x:v>
      </x:c>
      <x:c r="BC505" s="17" t="n">
        <x:f>IF('Control Room'!$B$5="Normal",'Control Room'!$B$7,('Control Room'!$B$8+'Control Room'!$D$8)/2)+'Control Room'!$B$9*(BC504-IF('Control Room'!$B$5="Normal",'Control Room'!$B$7,('Control Room'!$B$8+'Control Room'!$D$8)/2))+SQRT(1-'Control Room'!$B$9^2)*(BB505-IF('Control Room'!$B$5="Normal",'Control Room'!$B$7,('Control Room'!$B$8+'Control Room'!$D$8)/2))</x:f>
        <x:v>981.4455389444161</x:v>
      </x:c>
      <x:c r="BD505" s="17" t="n">
        <x:f>IF(AND($A505&gt;='Control Room'!$A$13,$A505&lt;'Control Room'!$A$13+'Control Room'!$B$13,'Process'!BU2=1),1+('Control Room'!$C$13-1)*EXP(-0.5*(($A505-'Control Room'!$A$13-('Control Room'!$B$13-1)/2)/MAX(0.5,'Control Room'!$B$13/4))^2),1)*IF(AND($A505&gt;='Control Room'!$A$14,$A505&lt;'Control Room'!$A$14+'Control Room'!$B$14,'Process'!BU3=1),1+('Control Room'!$C$14-1)*EXP(-0.5*(($A505-'Control Room'!$A$14-('Control Room'!$B$14-1)/2)/MAX(0.5,'Control Room'!$B$14/4))^2),1)*IF(AND($A505&gt;='Control Room'!$A$15,$A505&lt;'Control Room'!$A$15+'Control Room'!$B$15,'Process'!BU4=1),1+('Control Room'!$C$15-1)*EXP(-0.5*(($A505-'Control Room'!$A$15-('Control Room'!$B$15-1)/2)/MAX(0.5,'Control Room'!$B$15/4))^2),1)*IF(AND($A505&gt;='Control Room'!$A$16,$A505&lt;'Control Room'!$A$16+'Control Room'!$B$16,'Process'!BU5=1),1+('Control Room'!$C$16-1)*EXP(-0.5*(($A505-'Control Room'!$A$16-('Control Room'!$B$16-1)/2)/MAX(0.5,'Control Room'!$B$16/4))^2),1)</x:f>
        <x:v>1</x:v>
      </x:c>
      <x:c r="BE505" s="9" t="n">
        <x:f>MOD(BF504*16807,2147483647)</x:f>
        <x:v>110489472</x:v>
      </x:c>
      <x:c r="BF505" s="9" t="n">
        <x:f>MOD(BE505*16807,2147483647)</x:f>
        <x:v>1570684896</x:v>
      </x:c>
      <x:c r="BG505" s="17" t="n">
        <x:f>IF('Control Room'!$B$5="Normal",'Control Room'!$B$7+'Control Room'!$D$7*SQRT(-2*LN(MAX(0.000000000001,BE505/2147483647)))*COS(2*PI()*BF505/2147483647),'Control Room'!$B$8+('Control Room'!$D$8-'Control Room'!$B$8)*BE505/2147483647)</x:f>
        <x:v>974.4457315853035</x:v>
      </x:c>
      <x:c r="BH505" s="17" t="n">
        <x:f>IF('Control Room'!$B$5="Normal",'Control Room'!$B$7,('Control Room'!$B$8+'Control Room'!$D$8)/2)+'Control Room'!$B$9*(BH504-IF('Control Room'!$B$5="Normal",'Control Room'!$B$7,('Control Room'!$B$8+'Control Room'!$D$8)/2))+SQRT(1-'Control Room'!$B$9^2)*(BG505-IF('Control Room'!$B$5="Normal",'Control Room'!$B$7,('Control Room'!$B$8+'Control Room'!$D$8)/2))</x:f>
        <x:v>956.9687138998073</x:v>
      </x:c>
      <x:c r="BI505" s="17" t="n">
        <x:f>IF(AND($A505&gt;='Control Room'!$A$13,$A505&lt;'Control Room'!$A$13+'Control Room'!$B$13,'Process'!BV2=1),1+('Control Room'!$C$13-1)*EXP(-0.5*(($A505-'Control Room'!$A$13-('Control Room'!$B$13-1)/2)/MAX(0.5,'Control Room'!$B$13/4))^2),1)*IF(AND($A505&gt;='Control Room'!$A$14,$A505&lt;'Control Room'!$A$14+'Control Room'!$B$14,'Process'!BV3=1),1+('Control Room'!$C$14-1)*EXP(-0.5*(($A505-'Control Room'!$A$14-('Control Room'!$B$14-1)/2)/MAX(0.5,'Control Room'!$B$14/4))^2),1)*IF(AND($A505&gt;='Control Room'!$A$15,$A505&lt;'Control Room'!$A$15+'Control Room'!$B$15,'Process'!BV4=1),1+('Control Room'!$C$15-1)*EXP(-0.5*(($A505-'Control Room'!$A$15-('Control Room'!$B$15-1)/2)/MAX(0.5,'Control Room'!$B$15/4))^2),1)*IF(AND($A505&gt;='Control Room'!$A$16,$A505&lt;'Control Room'!$A$16+'Control Room'!$B$16,'Process'!BV5=1),1+('Control Room'!$C$16-1)*EXP(-0.5*(($A505-'Control Room'!$A$16-('Control Room'!$B$16-1)/2)/MAX(0.5,'Control Room'!$B$16/4))^2),1)</x:f>
        <x:v>1</x:v>
      </x:c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Z505" t="str">
        <x:f>IF('Data'!A505="","",TEXT('Data'!A505,"mm-dd"))</x:f>
      </x:c>
    </x:row>
    <x:row r="506" ht="21" customHeight="1">
      <x:c r="A506" s="15" t="n">
        <x:f>'Control Room'!$B$1+504</x:f>
        <x:v>73495</x:v>
      </x:c>
      <x:c r="B506" s="9" t="n">
        <x:f>MOD(C505*16807,2147483647)</x:f>
        <x:v>1265433816</x:v>
      </x:c>
      <x:c r="C506" s="9" t="n">
        <x:f>MOD(B506*16807,2147483647)</x:f>
        <x:v>1615589271</x:v>
      </x:c>
      <x:c r="D506" s="17" t="n">
        <x:f>IF('Control Room'!$B$5="Normal",'Control Room'!$B$7+'Control Room'!$D$7*SQRT(-2*LN(MAX(0.000000000001,B506/2147483647)))*COS(2*PI()*C506/2147483647),'Control Room'!$B$8+('Control Room'!$D$8-'Control Room'!$B$8)*B506/2147483647)</x:f>
        <x:v>1001.3477166288789</x:v>
      </x:c>
      <x:c r="E506" s="17" t="n">
        <x:f>IF('Control Room'!$B$5="Normal",'Control Room'!$B$7,('Control Room'!$B$8+'Control Room'!$D$8)/2)+'Control Room'!$B$9*(E505-IF('Control Room'!$B$5="Normal",'Control Room'!$B$7,('Control Room'!$B$8+'Control Room'!$D$8)/2))+SQRT(1-'Control Room'!$B$9^2)*(D506-IF('Control Room'!$B$5="Normal",'Control Room'!$B$7,('Control Room'!$B$8+'Control Room'!$D$8)/2))</x:f>
        <x:v>993.1936276825807</x:v>
      </x:c>
      <x:c r="F506" s="17" t="n">
        <x:f>IF(AND($A506&gt;='Control Room'!$A$13,$A506&lt;'Control Room'!$A$13+'Control Room'!$B$13,'Process'!BK2=1),1+('Control Room'!$C$13-1)*EXP(-0.5*(($A506-'Control Room'!$A$13-('Control Room'!$B$13-1)/2)/MAX(0.5,'Control Room'!$B$13/4))^2),1)*IF(AND($A506&gt;='Control Room'!$A$14,$A506&lt;'Control Room'!$A$14+'Control Room'!$B$14,'Process'!BK3=1),1+('Control Room'!$C$14-1)*EXP(-0.5*(($A506-'Control Room'!$A$14-('Control Room'!$B$14-1)/2)/MAX(0.5,'Control Room'!$B$14/4))^2),1)*IF(AND($A506&gt;='Control Room'!$A$15,$A506&lt;'Control Room'!$A$15+'Control Room'!$B$15,'Process'!BK4=1),1+('Control Room'!$C$15-1)*EXP(-0.5*(($A506-'Control Room'!$A$15-('Control Room'!$B$15-1)/2)/MAX(0.5,'Control Room'!$B$15/4))^2),1)*IF(AND($A506&gt;='Control Room'!$A$16,$A506&lt;'Control Room'!$A$16+'Control Room'!$B$16,'Process'!BK5=1),1+('Control Room'!$C$16-1)*EXP(-0.5*(($A506-'Control Room'!$A$16-('Control Room'!$B$16-1)/2)/MAX(0.5,'Control Room'!$B$16/4))^2),1)</x:f>
        <x:v>1</x:v>
      </x:c>
      <x:c r="G506" s="9" t="n">
        <x:f>MOD(H505*16807,2147483647)</x:f>
        <x:v>1884440659</x:v>
      </x:c>
      <x:c r="H506" s="9" t="n">
        <x:f>MOD(G506*16807,2147483647)</x:f>
        <x:v>705329857</x:v>
      </x:c>
      <x:c r="I506" s="17" t="n">
        <x:f>IF('Control Room'!$B$5="Normal",'Control Room'!$B$7+'Control Room'!$D$7*SQRT(-2*LN(MAX(0.000000000001,G506/2147483647)))*COS(2*PI()*H506/2147483647),'Control Room'!$B$8+('Control Room'!$D$8-'Control Room'!$B$8)*G506/2147483647)</x:f>
        <x:v>978.2302400768143</x:v>
      </x:c>
      <x:c r="J506" s="17" t="n">
        <x:f>IF('Control Room'!$B$5="Normal",'Control Room'!$B$7,('Control Room'!$B$8+'Control Room'!$D$8)/2)+'Control Room'!$B$9*(J505-IF('Control Room'!$B$5="Normal",'Control Room'!$B$7,('Control Room'!$B$8+'Control Room'!$D$8)/2))+SQRT(1-'Control Room'!$B$9^2)*(I506-IF('Control Room'!$B$5="Normal",'Control Room'!$B$7,('Control Room'!$B$8+'Control Room'!$D$8)/2))</x:f>
        <x:v>952.991404428244</x:v>
      </x:c>
      <x:c r="K506" s="17" t="n">
        <x:f>IF(AND($A506&gt;='Control Room'!$A$13,$A506&lt;'Control Room'!$A$13+'Control Room'!$B$13,'Process'!BL2=1),1+('Control Room'!$C$13-1)*EXP(-0.5*(($A506-'Control Room'!$A$13-('Control Room'!$B$13-1)/2)/MAX(0.5,'Control Room'!$B$13/4))^2),1)*IF(AND($A506&gt;='Control Room'!$A$14,$A506&lt;'Control Room'!$A$14+'Control Room'!$B$14,'Process'!BL3=1),1+('Control Room'!$C$14-1)*EXP(-0.5*(($A506-'Control Room'!$A$14-('Control Room'!$B$14-1)/2)/MAX(0.5,'Control Room'!$B$14/4))^2),1)*IF(AND($A506&gt;='Control Room'!$A$15,$A506&lt;'Control Room'!$A$15+'Control Room'!$B$15,'Process'!BL4=1),1+('Control Room'!$C$15-1)*EXP(-0.5*(($A506-'Control Room'!$A$15-('Control Room'!$B$15-1)/2)/MAX(0.5,'Control Room'!$B$15/4))^2),1)*IF(AND($A506&gt;='Control Room'!$A$16,$A506&lt;'Control Room'!$A$16+'Control Room'!$B$16,'Process'!BL5=1),1+('Control Room'!$C$16-1)*EXP(-0.5*(($A506-'Control Room'!$A$16-('Control Room'!$B$16-1)/2)/MAX(0.5,'Control Room'!$B$16/4))^2),1)</x:f>
        <x:v>1</x:v>
      </x:c>
      <x:c r="L506" s="9" t="n">
        <x:f>MOD(M505*16807,2147483647)</x:f>
        <x:v>355963855</x:v>
      </x:c>
      <x:c r="M506" s="9" t="n">
        <x:f>MOD(L506*16807,2147483647)</x:f>
        <x:v>1942554090</x:v>
      </x:c>
      <x:c r="N506" s="17" t="n">
        <x:f>IF('Control Room'!$B$5="Normal",'Control Room'!$B$7+'Control Room'!$D$7*SQRT(-2*LN(MAX(0.000000000001,L506/2147483647)))*COS(2*PI()*M506/2147483647),'Control Room'!$B$8+('Control Room'!$D$8-'Control Room'!$B$8)*L506/2147483647)</x:f>
        <x:v>1140.8674754335602</x:v>
      </x:c>
      <x:c r="O506" s="17" t="n">
        <x:f>IF('Control Room'!$B$5="Normal",'Control Room'!$B$7,('Control Room'!$B$8+'Control Room'!$D$8)/2)+'Control Room'!$B$9*(O505-IF('Control Room'!$B$5="Normal",'Control Room'!$B$7,('Control Room'!$B$8+'Control Room'!$D$8)/2))+SQRT(1-'Control Room'!$B$9^2)*(N506-IF('Control Room'!$B$5="Normal",'Control Room'!$B$7,('Control Room'!$B$8+'Control Room'!$D$8)/2))</x:f>
        <x:v>923.8316626679997</x:v>
      </x:c>
      <x:c r="P506" s="17" t="n">
        <x:f>IF(AND($A506&gt;='Control Room'!$A$13,$A506&lt;'Control Room'!$A$13+'Control Room'!$B$13,'Process'!BM2=1),1+('Control Room'!$C$13-1)*EXP(-0.5*(($A506-'Control Room'!$A$13-('Control Room'!$B$13-1)/2)/MAX(0.5,'Control Room'!$B$13/4))^2),1)*IF(AND($A506&gt;='Control Room'!$A$14,$A506&lt;'Control Room'!$A$14+'Control Room'!$B$14,'Process'!BM3=1),1+('Control Room'!$C$14-1)*EXP(-0.5*(($A506-'Control Room'!$A$14-('Control Room'!$B$14-1)/2)/MAX(0.5,'Control Room'!$B$14/4))^2),1)*IF(AND($A506&gt;='Control Room'!$A$15,$A506&lt;'Control Room'!$A$15+'Control Room'!$B$15,'Process'!BM4=1),1+('Control Room'!$C$15-1)*EXP(-0.5*(($A506-'Control Room'!$A$15-('Control Room'!$B$15-1)/2)/MAX(0.5,'Control Room'!$B$15/4))^2),1)*IF(AND($A506&gt;='Control Room'!$A$16,$A506&lt;'Control Room'!$A$16+'Control Room'!$B$16,'Process'!BM5=1),1+('Control Room'!$C$16-1)*EXP(-0.5*(($A506-'Control Room'!$A$16-('Control Room'!$B$16-1)/2)/MAX(0.5,'Control Room'!$B$16/4))^2),1)</x:f>
        <x:v>1</x:v>
      </x:c>
      <x:c r="Q506" s="9" t="n">
        <x:f>MOD(R505*16807,2147483647)</x:f>
        <x:v>974970698</x:v>
      </x:c>
      <x:c r="R506" s="9" t="n">
        <x:f>MOD(Q506*16807,2147483647)</x:f>
        <x:v>1032294676</x:v>
      </x:c>
      <x:c r="S506" s="17" t="n">
        <x:f>IF('Control Room'!$B$5="Normal",'Control Room'!$B$7+'Control Room'!$D$7*SQRT(-2*LN(MAX(0.000000000001,Q506/2147483647)))*COS(2*PI()*R506/2147483647),'Control Room'!$B$8+('Control Room'!$D$8-'Control Room'!$B$8)*Q506/2147483647)</x:f>
        <x:v>887.7278183314799</x:v>
      </x:c>
      <x:c r="T506" s="17" t="n">
        <x:f>IF('Control Room'!$B$5="Normal",'Control Room'!$B$7,('Control Room'!$B$8+'Control Room'!$D$8)/2)+'Control Room'!$B$9*(T505-IF('Control Room'!$B$5="Normal",'Control Room'!$B$7,('Control Room'!$B$8+'Control Room'!$D$8)/2))+SQRT(1-'Control Room'!$B$9^2)*(S506-IF('Control Room'!$B$5="Normal",'Control Room'!$B$7,('Control Room'!$B$8+'Control Room'!$D$8)/2))</x:f>
        <x:v>913.029736709253</x:v>
      </x:c>
      <x:c r="U506" s="17" t="n">
        <x:f>IF(AND($A506&gt;='Control Room'!$A$13,$A506&lt;'Control Room'!$A$13+'Control Room'!$B$13,'Process'!BN2=1),1+('Control Room'!$C$13-1)*EXP(-0.5*(($A506-'Control Room'!$A$13-('Control Room'!$B$13-1)/2)/MAX(0.5,'Control Room'!$B$13/4))^2),1)*IF(AND($A506&gt;='Control Room'!$A$14,$A506&lt;'Control Room'!$A$14+'Control Room'!$B$14,'Process'!BN3=1),1+('Control Room'!$C$14-1)*EXP(-0.5*(($A506-'Control Room'!$A$14-('Control Room'!$B$14-1)/2)/MAX(0.5,'Control Room'!$B$14/4))^2),1)*IF(AND($A506&gt;='Control Room'!$A$15,$A506&lt;'Control Room'!$A$15+'Control Room'!$B$15,'Process'!BN4=1),1+('Control Room'!$C$15-1)*EXP(-0.5*(($A506-'Control Room'!$A$15-('Control Room'!$B$15-1)/2)/MAX(0.5,'Control Room'!$B$15/4))^2),1)*IF(AND($A506&gt;='Control Room'!$A$16,$A506&lt;'Control Room'!$A$16+'Control Room'!$B$16,'Process'!BN5=1),1+('Control Room'!$C$16-1)*EXP(-0.5*(($A506-'Control Room'!$A$16-('Control Room'!$B$16-1)/2)/MAX(0.5,'Control Room'!$B$16/4))^2),1)</x:f>
        <x:v>1</x:v>
      </x:c>
      <x:c r="V506" s="9" t="n">
        <x:f>MOD(W505*16807,2147483647)</x:f>
        <x:v>1593977541</x:v>
      </x:c>
      <x:c r="W506" s="9" t="n">
        <x:f>MOD(V506*16807,2147483647)</x:f>
        <x:v>122035262</x:v>
      </x:c>
      <x:c r="X506" s="17" t="n">
        <x:f>IF('Control Room'!$B$5="Normal",'Control Room'!$B$7+'Control Room'!$D$7*SQRT(-2*LN(MAX(0.000000000001,V506/2147483647)))*COS(2*PI()*W506/2147483647),'Control Room'!$B$8+('Control Room'!$D$8-'Control Room'!$B$8)*V506/2147483647)</x:f>
        <x:v>1065.1057999848908</x:v>
      </x:c>
      <x:c r="Y506" s="17" t="n">
        <x:f>IF('Control Room'!$B$5="Normal",'Control Room'!$B$7,('Control Room'!$B$8+'Control Room'!$D$8)/2)+'Control Room'!$B$9*(Y505-IF('Control Room'!$B$5="Normal",'Control Room'!$B$7,('Control Room'!$B$8+'Control Room'!$D$8)/2))+SQRT(1-'Control Room'!$B$9^2)*(X506-IF('Control Room'!$B$5="Normal",'Control Room'!$B$7,('Control Room'!$B$8+'Control Room'!$D$8)/2))</x:f>
        <x:v>1119.4190202948687</x:v>
      </x:c>
      <x:c r="Z506" s="17" t="n">
        <x:f>IF(AND($A506&gt;='Control Room'!$A$13,$A506&lt;'Control Room'!$A$13+'Control Room'!$B$13,'Process'!BO2=1),1+('Control Room'!$C$13-1)*EXP(-0.5*(($A506-'Control Room'!$A$13-('Control Room'!$B$13-1)/2)/MAX(0.5,'Control Room'!$B$13/4))^2),1)*IF(AND($A506&gt;='Control Room'!$A$14,$A506&lt;'Control Room'!$A$14+'Control Room'!$B$14,'Process'!BO3=1),1+('Control Room'!$C$14-1)*EXP(-0.5*(($A506-'Control Room'!$A$14-('Control Room'!$B$14-1)/2)/MAX(0.5,'Control Room'!$B$14/4))^2),1)*IF(AND($A506&gt;='Control Room'!$A$15,$A506&lt;'Control Room'!$A$15+'Control Room'!$B$15,'Process'!BO4=1),1+('Control Room'!$C$15-1)*EXP(-0.5*(($A506-'Control Room'!$A$15-('Control Room'!$B$15-1)/2)/MAX(0.5,'Control Room'!$B$15/4))^2),1)*IF(AND($A506&gt;='Control Room'!$A$16,$A506&lt;'Control Room'!$A$16+'Control Room'!$B$16,'Process'!BO5=1),1+('Control Room'!$C$16-1)*EXP(-0.5*(($A506-'Control Room'!$A$16-('Control Room'!$B$16-1)/2)/MAX(0.5,'Control Room'!$B$16/4))^2),1)</x:f>
        <x:v>1</x:v>
      </x:c>
      <x:c r="AA506" s="9" t="n">
        <x:f>MOD(AB505*16807,2147483647)</x:f>
        <x:v>65500737</x:v>
      </x:c>
      <x:c r="AB506" s="9" t="n">
        <x:f>MOD(AA506*16807,2147483647)</x:f>
        <x:v>1359259495</x:v>
      </x:c>
      <x:c r="AC506" s="17" t="n">
        <x:f>IF('Control Room'!$B$5="Normal",'Control Room'!$B$7+'Control Room'!$D$7*SQRT(-2*LN(MAX(0.000000000001,AA506/2147483647)))*COS(2*PI()*AB506/2147483647),'Control Room'!$B$8+('Control Room'!$D$8-'Control Room'!$B$8)*AA506/2147483647)</x:f>
        <x:v>840.4760854690883</x:v>
      </x:c>
      <x:c r="AD506" s="17" t="n">
        <x:f>IF('Control Room'!$B$5="Normal",'Control Room'!$B$7,('Control Room'!$B$8+'Control Room'!$D$8)/2)+'Control Room'!$B$9*(AD505-IF('Control Room'!$B$5="Normal",'Control Room'!$B$7,('Control Room'!$B$8+'Control Room'!$D$8)/2))+SQRT(1-'Control Room'!$B$9^2)*(AC506-IF('Control Room'!$B$5="Normal",'Control Room'!$B$7,('Control Room'!$B$8+'Control Room'!$D$8)/2))</x:f>
        <x:v>843.9887111103546</x:v>
      </x:c>
      <x:c r="AE506" s="17" t="n">
        <x:f>IF(AND($A506&gt;='Control Room'!$A$13,$A506&lt;'Control Room'!$A$13+'Control Room'!$B$13,'Process'!BP2=1),1+('Control Room'!$C$13-1)*EXP(-0.5*(($A506-'Control Room'!$A$13-('Control Room'!$B$13-1)/2)/MAX(0.5,'Control Room'!$B$13/4))^2),1)*IF(AND($A506&gt;='Control Room'!$A$14,$A506&lt;'Control Room'!$A$14+'Control Room'!$B$14,'Process'!BP3=1),1+('Control Room'!$C$14-1)*EXP(-0.5*(($A506-'Control Room'!$A$14-('Control Room'!$B$14-1)/2)/MAX(0.5,'Control Room'!$B$14/4))^2),1)*IF(AND($A506&gt;='Control Room'!$A$15,$A506&lt;'Control Room'!$A$15+'Control Room'!$B$15,'Process'!BP4=1),1+('Control Room'!$C$15-1)*EXP(-0.5*(($A506-'Control Room'!$A$15-('Control Room'!$B$15-1)/2)/MAX(0.5,'Control Room'!$B$15/4))^2),1)*IF(AND($A506&gt;='Control Room'!$A$16,$A506&lt;'Control Room'!$A$16+'Control Room'!$B$16,'Process'!BP5=1),1+('Control Room'!$C$16-1)*EXP(-0.5*(($A506-'Control Room'!$A$16-('Control Room'!$B$16-1)/2)/MAX(0.5,'Control Room'!$B$16/4))^2),1)</x:f>
        <x:v>1</x:v>
      </x:c>
      <x:c r="AF506" s="9" t="n">
        <x:f>MOD(AG505*16807,2147483647)</x:f>
        <x:v>684507580</x:v>
      </x:c>
      <x:c r="AG506" s="9" t="n">
        <x:f>MOD(AF506*16807,2147483647)</x:f>
        <x:v>449000081</x:v>
      </x:c>
      <x:c r="AH506" s="17" t="n">
        <x:f>IF('Control Room'!$B$5="Normal",'Control Room'!$B$7+'Control Room'!$D$7*SQRT(-2*LN(MAX(0.000000000001,AF506/2147483647)))*COS(2*PI()*AG506/2147483647),'Control Room'!$B$8+('Control Room'!$D$8-'Control Room'!$B$8)*AF506/2147483647)</x:f>
        <x:v>1034.6056770258317</x:v>
      </x:c>
      <x:c r="AI506" s="17" t="n">
        <x:f>IF('Control Room'!$B$5="Normal",'Control Room'!$B$7,('Control Room'!$B$8+'Control Room'!$D$8)/2)+'Control Room'!$B$9*(AI505-IF('Control Room'!$B$5="Normal",'Control Room'!$B$7,('Control Room'!$B$8+'Control Room'!$D$8)/2))+SQRT(1-'Control Room'!$B$9^2)*(AH506-IF('Control Room'!$B$5="Normal",'Control Room'!$B$7,('Control Room'!$B$8+'Control Room'!$D$8)/2))</x:f>
        <x:v>1038.2140979798794</x:v>
      </x:c>
      <x:c r="AJ506" s="17" t="n">
        <x:f>IF(AND($A506&gt;='Control Room'!$A$13,$A506&lt;'Control Room'!$A$13+'Control Room'!$B$13,'Process'!BQ2=1),1+('Control Room'!$C$13-1)*EXP(-0.5*(($A506-'Control Room'!$A$13-('Control Room'!$B$13-1)/2)/MAX(0.5,'Control Room'!$B$13/4))^2),1)*IF(AND($A506&gt;='Control Room'!$A$14,$A506&lt;'Control Room'!$A$14+'Control Room'!$B$14,'Process'!BQ3=1),1+('Control Room'!$C$14-1)*EXP(-0.5*(($A506-'Control Room'!$A$14-('Control Room'!$B$14-1)/2)/MAX(0.5,'Control Room'!$B$14/4))^2),1)*IF(AND($A506&gt;='Control Room'!$A$15,$A506&lt;'Control Room'!$A$15+'Control Room'!$B$15,'Process'!BQ4=1),1+('Control Room'!$C$15-1)*EXP(-0.5*(($A506-'Control Room'!$A$15-('Control Room'!$B$15-1)/2)/MAX(0.5,'Control Room'!$B$15/4))^2),1)*IF(AND($A506&gt;='Control Room'!$A$16,$A506&lt;'Control Room'!$A$16+'Control Room'!$B$16,'Process'!BQ5=1),1+('Control Room'!$C$16-1)*EXP(-0.5*(($A506-'Control Room'!$A$16-('Control Room'!$B$16-1)/2)/MAX(0.5,'Control Room'!$B$16/4))^2),1)</x:f>
        <x:v>1</x:v>
      </x:c>
      <x:c r="AK506" s="9" t="n">
        <x:f>MOD(AL505*16807,2147483647)</x:f>
        <x:v>1303514423</x:v>
      </x:c>
      <x:c r="AL506" s="9" t="n">
        <x:f>MOD(AK506*16807,2147483647)</x:f>
        <x:v>1686224314</x:v>
      </x:c>
      <x:c r="AM506" s="17" t="n">
        <x:f>IF('Control Room'!$B$5="Normal",'Control Room'!$B$7+'Control Room'!$D$7*SQRT(-2*LN(MAX(0.000000000001,AK506/2147483647)))*COS(2*PI()*AL506/2147483647),'Control Room'!$B$8+('Control Room'!$D$8-'Control Room'!$B$8)*AK506/2147483647)</x:f>
        <x:v>1019.7332696496778</x:v>
      </x:c>
      <x:c r="AN506" s="17" t="n">
        <x:f>IF('Control Room'!$B$5="Normal",'Control Room'!$B$7,('Control Room'!$B$8+'Control Room'!$D$8)/2)+'Control Room'!$B$9*(AN505-IF('Control Room'!$B$5="Normal",'Control Room'!$B$7,('Control Room'!$B$8+'Control Room'!$D$8)/2))+SQRT(1-'Control Room'!$B$9^2)*(AM506-IF('Control Room'!$B$5="Normal",'Control Room'!$B$7,('Control Room'!$B$8+'Control Room'!$D$8)/2))</x:f>
        <x:v>1013.627276728773</x:v>
      </x:c>
      <x:c r="AO506" s="17" t="n">
        <x:f>IF(AND($A506&gt;='Control Room'!$A$13,$A506&lt;'Control Room'!$A$13+'Control Room'!$B$13,'Process'!BR2=1),1+('Control Room'!$C$13-1)*EXP(-0.5*(($A506-'Control Room'!$A$13-('Control Room'!$B$13-1)/2)/MAX(0.5,'Control Room'!$B$13/4))^2),1)*IF(AND($A506&gt;='Control Room'!$A$14,$A506&lt;'Control Room'!$A$14+'Control Room'!$B$14,'Process'!BR3=1),1+('Control Room'!$C$14-1)*EXP(-0.5*(($A506-'Control Room'!$A$14-('Control Room'!$B$14-1)/2)/MAX(0.5,'Control Room'!$B$14/4))^2),1)*IF(AND($A506&gt;='Control Room'!$A$15,$A506&lt;'Control Room'!$A$15+'Control Room'!$B$15,'Process'!BR4=1),1+('Control Room'!$C$15-1)*EXP(-0.5*(($A506-'Control Room'!$A$15-('Control Room'!$B$15-1)/2)/MAX(0.5,'Control Room'!$B$15/4))^2),1)*IF(AND($A506&gt;='Control Room'!$A$16,$A506&lt;'Control Room'!$A$16+'Control Room'!$B$16,'Process'!BR5=1),1+('Control Room'!$C$16-1)*EXP(-0.5*(($A506-'Control Room'!$A$16-('Control Room'!$B$16-1)/2)/MAX(0.5,'Control Room'!$B$16/4))^2),1)</x:f>
        <x:v>1</x:v>
      </x:c>
      <x:c r="AP506" s="9" t="n">
        <x:f>MOD(AQ505*16807,2147483647)</x:f>
        <x:v>1922521266</x:v>
      </x:c>
      <x:c r="AQ506" s="9" t="n">
        <x:f>MOD(AP506*16807,2147483647)</x:f>
        <x:v>775964900</x:v>
      </x:c>
      <x:c r="AR506" s="17" t="n">
        <x:f>IF('Control Room'!$B$5="Normal",'Control Room'!$B$7+'Control Room'!$D$7*SQRT(-2*LN(MAX(0.000000000001,AP506/2147483647)))*COS(2*PI()*AQ506/2147483647),'Control Room'!$B$8+('Control Room'!$D$8-'Control Room'!$B$8)*AP506/2147483647)</x:f>
        <x:v>972.7383682061487</x:v>
      </x:c>
      <x:c r="AS506" s="17" t="n">
        <x:f>IF('Control Room'!$B$5="Normal",'Control Room'!$B$7,('Control Room'!$B$8+'Control Room'!$D$8)/2)+'Control Room'!$B$9*(AS505-IF('Control Room'!$B$5="Normal",'Control Room'!$B$7,('Control Room'!$B$8+'Control Room'!$D$8)/2))+SQRT(1-'Control Room'!$B$9^2)*(AR506-IF('Control Room'!$B$5="Normal",'Control Room'!$B$7,('Control Room'!$B$8+'Control Room'!$D$8)/2))</x:f>
        <x:v>1086.8781754556892</x:v>
      </x:c>
      <x:c r="AT506" s="17" t="n">
        <x:f>IF(AND($A506&gt;='Control Room'!$A$13,$A506&lt;'Control Room'!$A$13+'Control Room'!$B$13,'Process'!BS2=1),1+('Control Room'!$C$13-1)*EXP(-0.5*(($A506-'Control Room'!$A$13-('Control Room'!$B$13-1)/2)/MAX(0.5,'Control Room'!$B$13/4))^2),1)*IF(AND($A506&gt;='Control Room'!$A$14,$A506&lt;'Control Room'!$A$14+'Control Room'!$B$14,'Process'!BS3=1),1+('Control Room'!$C$14-1)*EXP(-0.5*(($A506-'Control Room'!$A$14-('Control Room'!$B$14-1)/2)/MAX(0.5,'Control Room'!$B$14/4))^2),1)*IF(AND($A506&gt;='Control Room'!$A$15,$A506&lt;'Control Room'!$A$15+'Control Room'!$B$15,'Process'!BS4=1),1+('Control Room'!$C$15-1)*EXP(-0.5*(($A506-'Control Room'!$A$15-('Control Room'!$B$15-1)/2)/MAX(0.5,'Control Room'!$B$15/4))^2),1)*IF(AND($A506&gt;='Control Room'!$A$16,$A506&lt;'Control Room'!$A$16+'Control Room'!$B$16,'Process'!BS5=1),1+('Control Room'!$C$16-1)*EXP(-0.5*(($A506-'Control Room'!$A$16-('Control Room'!$B$16-1)/2)/MAX(0.5,'Control Room'!$B$16/4))^2),1)</x:f>
        <x:v>1</x:v>
      </x:c>
      <x:c r="AU506" s="9" t="n">
        <x:f>MOD(AV505*16807,2147483647)</x:f>
        <x:v>394044462</x:v>
      </x:c>
      <x:c r="AV506" s="9" t="n">
        <x:f>MOD(AU506*16807,2147483647)</x:f>
        <x:v>2013189133</x:v>
      </x:c>
      <x:c r="AW506" s="17" t="n">
        <x:f>IF('Control Room'!$B$5="Normal",'Control Room'!$B$7+'Control Room'!$D$7*SQRT(-2*LN(MAX(0.000000000001,AU506/2147483647)))*COS(2*PI()*AV506/2147483647),'Control Room'!$B$8+('Control Room'!$D$8-'Control Room'!$B$8)*AU506/2147483647)</x:f>
        <x:v>1153.1061477772628</x:v>
      </x:c>
      <x:c r="AX506" s="17" t="n">
        <x:f>IF('Control Room'!$B$5="Normal",'Control Room'!$B$7,('Control Room'!$B$8+'Control Room'!$D$8)/2)+'Control Room'!$B$9*(AX505-IF('Control Room'!$B$5="Normal",'Control Room'!$B$7,('Control Room'!$B$8+'Control Room'!$D$8)/2))+SQRT(1-'Control Room'!$B$9^2)*(AW506-IF('Control Room'!$B$5="Normal",'Control Room'!$B$7,('Control Room'!$B$8+'Control Room'!$D$8)/2))</x:f>
        <x:v>884.8890743478653</x:v>
      </x:c>
      <x:c r="AY506" s="17" t="n">
        <x:f>IF(AND($A506&gt;='Control Room'!$A$13,$A506&lt;'Control Room'!$A$13+'Control Room'!$B$13,'Process'!BT2=1),1+('Control Room'!$C$13-1)*EXP(-0.5*(($A506-'Control Room'!$A$13-('Control Room'!$B$13-1)/2)/MAX(0.5,'Control Room'!$B$13/4))^2),1)*IF(AND($A506&gt;='Control Room'!$A$14,$A506&lt;'Control Room'!$A$14+'Control Room'!$B$14,'Process'!BT3=1),1+('Control Room'!$C$14-1)*EXP(-0.5*(($A506-'Control Room'!$A$14-('Control Room'!$B$14-1)/2)/MAX(0.5,'Control Room'!$B$14/4))^2),1)*IF(AND($A506&gt;='Control Room'!$A$15,$A506&lt;'Control Room'!$A$15+'Control Room'!$B$15,'Process'!BT4=1),1+('Control Room'!$C$15-1)*EXP(-0.5*(($A506-'Control Room'!$A$15-('Control Room'!$B$15-1)/2)/MAX(0.5,'Control Room'!$B$15/4))^2),1)*IF(AND($A506&gt;='Control Room'!$A$16,$A506&lt;'Control Room'!$A$16+'Control Room'!$B$16,'Process'!BT5=1),1+('Control Room'!$C$16-1)*EXP(-0.5*(($A506-'Control Room'!$A$16-('Control Room'!$B$16-1)/2)/MAX(0.5,'Control Room'!$B$16/4))^2),1)</x:f>
        <x:v>1</x:v>
      </x:c>
      <x:c r="AZ506" s="9" t="n">
        <x:f>MOD(BA505*16807,2147483647)</x:f>
        <x:v>1013051305</x:v>
      </x:c>
      <x:c r="BA506" s="9" t="n">
        <x:f>MOD(AZ506*16807,2147483647)</x:f>
        <x:v>1102929719</x:v>
      </x:c>
      <x:c r="BB506" s="17" t="n">
        <x:f>IF('Control Room'!$B$5="Normal",'Control Room'!$B$7+'Control Room'!$D$7*SQRT(-2*LN(MAX(0.000000000001,AZ506/2147483647)))*COS(2*PI()*BA506/2147483647),'Control Room'!$B$8+('Control Room'!$D$8-'Control Room'!$B$8)*AZ506/2147483647)</x:f>
        <x:v>890.0773324127218</x:v>
      </x:c>
      <x:c r="BC506" s="17" t="n">
        <x:f>IF('Control Room'!$B$5="Normal",'Control Room'!$B$7,('Control Room'!$B$8+'Control Room'!$D$8)/2)+'Control Room'!$B$9*(BC505-IF('Control Room'!$B$5="Normal",'Control Room'!$B$7,('Control Room'!$B$8+'Control Room'!$D$8)/2))+SQRT(1-'Control Room'!$B$9^2)*(BB506-IF('Control Room'!$B$5="Normal",'Control Room'!$B$7,('Control Room'!$B$8+'Control Room'!$D$8)/2))</x:f>
        <x:v>916.7401668887724</x:v>
      </x:c>
      <x:c r="BD506" s="17" t="n">
        <x:f>IF(AND($A506&gt;='Control Room'!$A$13,$A506&lt;'Control Room'!$A$13+'Control Room'!$B$13,'Process'!BU2=1),1+('Control Room'!$C$13-1)*EXP(-0.5*(($A506-'Control Room'!$A$13-('Control Room'!$B$13-1)/2)/MAX(0.5,'Control Room'!$B$13/4))^2),1)*IF(AND($A506&gt;='Control Room'!$A$14,$A506&lt;'Control Room'!$A$14+'Control Room'!$B$14,'Process'!BU3=1),1+('Control Room'!$C$14-1)*EXP(-0.5*(($A506-'Control Room'!$A$14-('Control Room'!$B$14-1)/2)/MAX(0.5,'Control Room'!$B$14/4))^2),1)*IF(AND($A506&gt;='Control Room'!$A$15,$A506&lt;'Control Room'!$A$15+'Control Room'!$B$15,'Process'!BU4=1),1+('Control Room'!$C$15-1)*EXP(-0.5*(($A506-'Control Room'!$A$15-('Control Room'!$B$15-1)/2)/MAX(0.5,'Control Room'!$B$15/4))^2),1)*IF(AND($A506&gt;='Control Room'!$A$16,$A506&lt;'Control Room'!$A$16+'Control Room'!$B$16,'Process'!BU5=1),1+('Control Room'!$C$16-1)*EXP(-0.5*(($A506-'Control Room'!$A$16-('Control Room'!$B$16-1)/2)/MAX(0.5,'Control Room'!$B$16/4))^2),1)</x:f>
        <x:v>1</x:v>
      </x:c>
      <x:c r="BE506" s="9" t="n">
        <x:f>MOD(BF505*16807,2147483647)</x:f>
        <x:v>1632058148</x:v>
      </x:c>
      <x:c r="BF506" s="9" t="n">
        <x:f>MOD(BE506*16807,2147483647)</x:f>
        <x:v>192670305</x:v>
      </x:c>
      <x:c r="BG506" s="17" t="n">
        <x:f>IF('Control Room'!$B$5="Normal",'Control Room'!$B$7+'Control Room'!$D$7*SQRT(-2*LN(MAX(0.000000000001,BE506/2147483647)))*COS(2*PI()*BF506/2147483647),'Control Room'!$B$8+('Control Room'!$D$8-'Control Room'!$B$8)*BE506/2147483647)</x:f>
        <x:v>1056.3624187864916</x:v>
      </x:c>
      <x:c r="BH506" s="17" t="n">
        <x:f>IF('Control Room'!$B$5="Normal",'Control Room'!$B$7,('Control Room'!$B$8+'Control Room'!$D$8)/2)+'Control Room'!$B$9*(BH505-IF('Control Room'!$B$5="Normal",'Control Room'!$B$7,('Control Room'!$B$8+'Control Room'!$D$8)/2))+SQRT(1-'Control Room'!$B$9^2)*(BG506-IF('Control Room'!$B$5="Normal",'Control Room'!$B$7,('Control Room'!$B$8+'Control Room'!$D$8)/2))</x:f>
        <x:v>1001.7060438715266</x:v>
      </x:c>
      <x:c r="BI506" s="17" t="n">
        <x:f>IF(AND($A506&gt;='Control Room'!$A$13,$A506&lt;'Control Room'!$A$13+'Control Room'!$B$13,'Process'!BV2=1),1+('Control Room'!$C$13-1)*EXP(-0.5*(($A506-'Control Room'!$A$13-('Control Room'!$B$13-1)/2)/MAX(0.5,'Control Room'!$B$13/4))^2),1)*IF(AND($A506&gt;='Control Room'!$A$14,$A506&lt;'Control Room'!$A$14+'Control Room'!$B$14,'Process'!BV3=1),1+('Control Room'!$C$14-1)*EXP(-0.5*(($A506-'Control Room'!$A$14-('Control Room'!$B$14-1)/2)/MAX(0.5,'Control Room'!$B$14/4))^2),1)*IF(AND($A506&gt;='Control Room'!$A$15,$A506&lt;'Control Room'!$A$15+'Control Room'!$B$15,'Process'!BV4=1),1+('Control Room'!$C$15-1)*EXP(-0.5*(($A506-'Control Room'!$A$15-('Control Room'!$B$15-1)/2)/MAX(0.5,'Control Room'!$B$15/4))^2),1)*IF(AND($A506&gt;='Control Room'!$A$16,$A506&lt;'Control Room'!$A$16+'Control Room'!$B$16,'Process'!BV5=1),1+('Control Room'!$C$16-1)*EXP(-0.5*(($A506-'Control Room'!$A$16-('Control Room'!$B$16-1)/2)/MAX(0.5,'Control Room'!$B$16/4))^2),1)</x:f>
        <x:v>1</x:v>
      </x:c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Z506" t="str">
        <x:f>IF('Data'!A506="","",TEXT('Data'!A506,"mm-dd"))</x:f>
      </x:c>
    </x:row>
    <x:row r="507" ht="21" customHeight="1">
      <x:c r="A507" s="15" t="n">
        <x:f>'Control Room'!$B$1+505</x:f>
        <x:v>73496</x:v>
      </x:c>
      <x:c r="B507" s="9" t="n">
        <x:f>MOD(C506*16807,2147483647)</x:f>
        <x:v>425645029</x:v>
      </x:c>
      <x:c r="C507" s="9" t="n">
        <x:f>MOD(B507*16807,2147483647)</x:f>
        <x:v>547974246</x:v>
      </x:c>
      <x:c r="D507" s="17" t="n">
        <x:f>IF('Control Room'!$B$5="Normal",'Control Room'!$B$7+'Control Room'!$D$7*SQRT(-2*LN(MAX(0.000000000001,B507/2147483647)))*COS(2*PI()*C507/2147483647),'Control Room'!$B$8+('Control Room'!$D$8-'Control Room'!$B$8)*B507/2147483647)</x:f>
        <x:v>994.7406305598548</x:v>
      </x:c>
      <x:c r="E507" s="17" t="n">
        <x:f>IF('Control Room'!$B$5="Normal",'Control Room'!$B$7,('Control Room'!$B$8+'Control Room'!$D$8)/2)+'Control Room'!$B$9*(E506-IF('Control Room'!$B$5="Normal",'Control Room'!$B$7,('Control Room'!$B$8+'Control Room'!$D$8)/2))+SQRT(1-'Control Room'!$B$9^2)*(D507-IF('Control Room'!$B$5="Normal",'Control Room'!$B$7,('Control Room'!$B$8+'Control Room'!$D$8)/2))</x:f>
        <x:v>991.3998239408094</x:v>
      </x:c>
      <x:c r="F507" s="17" t="n">
        <x:f>IF(AND($A507&gt;='Control Room'!$A$13,$A507&lt;'Control Room'!$A$13+'Control Room'!$B$13,'Process'!BK2=1),1+('Control Room'!$C$13-1)*EXP(-0.5*(($A507-'Control Room'!$A$13-('Control Room'!$B$13-1)/2)/MAX(0.5,'Control Room'!$B$13/4))^2),1)*IF(AND($A507&gt;='Control Room'!$A$14,$A507&lt;'Control Room'!$A$14+'Control Room'!$B$14,'Process'!BK3=1),1+('Control Room'!$C$14-1)*EXP(-0.5*(($A507-'Control Room'!$A$14-('Control Room'!$B$14-1)/2)/MAX(0.5,'Control Room'!$B$14/4))^2),1)*IF(AND($A507&gt;='Control Room'!$A$15,$A507&lt;'Control Room'!$A$15+'Control Room'!$B$15,'Process'!BK4=1),1+('Control Room'!$C$15-1)*EXP(-0.5*(($A507-'Control Room'!$A$15-('Control Room'!$B$15-1)/2)/MAX(0.5,'Control Room'!$B$15/4))^2),1)*IF(AND($A507&gt;='Control Room'!$A$16,$A507&lt;'Control Room'!$A$16+'Control Room'!$B$16,'Process'!BK5=1),1+('Control Room'!$C$16-1)*EXP(-0.5*(($A507-'Control Room'!$A$16-('Control Room'!$B$16-1)/2)/MAX(0.5,'Control Room'!$B$16/4))^2),1)</x:f>
        <x:v>1</x:v>
      </x:c>
      <x:c r="G507" s="9" t="n">
        <x:f>MOD(H506*16807,2147483647)</x:f>
        <x:v>369175159</x:v>
      </x:c>
      <x:c r="H507" s="9" t="n">
        <x:f>MOD(G507*16807,2147483647)</x:f>
        <x:v>646641130</x:v>
      </x:c>
      <x:c r="I507" s="17" t="n">
        <x:f>IF('Control Room'!$B$5="Normal",'Control Room'!$B$7+'Control Room'!$D$7*SQRT(-2*LN(MAX(0.000000000001,G507/2147483647)))*COS(2*PI()*H507/2147483647),'Control Room'!$B$8+('Control Room'!$D$8-'Control Room'!$B$8)*G507/2147483647)</x:f>
        <x:v>946.6846083669911</x:v>
      </x:c>
      <x:c r="J507" s="17" t="n">
        <x:f>IF('Control Room'!$B$5="Normal",'Control Room'!$B$7,('Control Room'!$B$8+'Control Room'!$D$8)/2)+'Control Room'!$B$9*(J506-IF('Control Room'!$B$5="Normal",'Control Room'!$B$7,('Control Room'!$B$8+'Control Room'!$D$8)/2))+SQRT(1-'Control Room'!$B$9^2)*(I507-IF('Control Room'!$B$5="Normal",'Control Room'!$B$7,('Control Room'!$B$8+'Control Room'!$D$8)/2))</x:f>
        <x:v>929.9696155952587</x:v>
      </x:c>
      <x:c r="K507" s="17" t="n">
        <x:f>IF(AND($A507&gt;='Control Room'!$A$13,$A507&lt;'Control Room'!$A$13+'Control Room'!$B$13,'Process'!BL2=1),1+('Control Room'!$C$13-1)*EXP(-0.5*(($A507-'Control Room'!$A$13-('Control Room'!$B$13-1)/2)/MAX(0.5,'Control Room'!$B$13/4))^2),1)*IF(AND($A507&gt;='Control Room'!$A$14,$A507&lt;'Control Room'!$A$14+'Control Room'!$B$14,'Process'!BL3=1),1+('Control Room'!$C$14-1)*EXP(-0.5*(($A507-'Control Room'!$A$14-('Control Room'!$B$14-1)/2)/MAX(0.5,'Control Room'!$B$14/4))^2),1)*IF(AND($A507&gt;='Control Room'!$A$15,$A507&lt;'Control Room'!$A$15+'Control Room'!$B$15,'Process'!BL4=1),1+('Control Room'!$C$15-1)*EXP(-0.5*(($A507-'Control Room'!$A$15-('Control Room'!$B$15-1)/2)/MAX(0.5,'Control Room'!$B$15/4))^2),1)*IF(AND($A507&gt;='Control Room'!$A$16,$A507&lt;'Control Room'!$A$16+'Control Room'!$B$16,'Process'!BL5=1),1+('Control Room'!$C$16-1)*EXP(-0.5*(($A507-'Control Room'!$A$16-('Control Room'!$B$16-1)/2)/MAX(0.5,'Control Room'!$B$16/4))^2),1)</x:f>
        <x:v>1</x:v>
      </x:c>
      <x:c r="L507" s="9" t="n">
        <x:f>MOD(M506*16807,2147483647)</x:f>
        <x:v>312705289</x:v>
      </x:c>
      <x:c r="M507" s="9" t="n">
        <x:f>MOD(L507*16807,2147483647)</x:f>
        <x:v>745308014</x:v>
      </x:c>
      <x:c r="N507" s="17" t="n">
        <x:f>IF('Control Room'!$B$5="Normal",'Control Room'!$B$7+'Control Room'!$D$7*SQRT(-2*LN(MAX(0.000000000001,L507/2147483647)))*COS(2*PI()*M507/2147483647),'Control Room'!$B$8+('Control Room'!$D$8-'Control Room'!$B$8)*L507/2147483647)</x:f>
        <x:v>898.8100280461066</x:v>
      </x:c>
      <x:c r="O507" s="17" t="n">
        <x:f>IF('Control Room'!$B$5="Normal",'Control Room'!$B$7,('Control Room'!$B$8+'Control Room'!$D$8)/2)+'Control Room'!$B$9*(O506-IF('Control Room'!$B$5="Normal",'Control Room'!$B$7,('Control Room'!$B$8+'Control Room'!$D$8)/2))+SQRT(1-'Control Room'!$B$9^2)*(N507-IF('Control Room'!$B$5="Normal",'Control Room'!$B$7,('Control Room'!$B$8+'Control Room'!$D$8)/2))</x:f>
        <x:v>877.2660854215457</x:v>
      </x:c>
      <x:c r="P507" s="17" t="n">
        <x:f>IF(AND($A507&gt;='Control Room'!$A$13,$A507&lt;'Control Room'!$A$13+'Control Room'!$B$13,'Process'!BM2=1),1+('Control Room'!$C$13-1)*EXP(-0.5*(($A507-'Control Room'!$A$13-('Control Room'!$B$13-1)/2)/MAX(0.5,'Control Room'!$B$13/4))^2),1)*IF(AND($A507&gt;='Control Room'!$A$14,$A507&lt;'Control Room'!$A$14+'Control Room'!$B$14,'Process'!BM3=1),1+('Control Room'!$C$14-1)*EXP(-0.5*(($A507-'Control Room'!$A$14-('Control Room'!$B$14-1)/2)/MAX(0.5,'Control Room'!$B$14/4))^2),1)*IF(AND($A507&gt;='Control Room'!$A$15,$A507&lt;'Control Room'!$A$15+'Control Room'!$B$15,'Process'!BM4=1),1+('Control Room'!$C$15-1)*EXP(-0.5*(($A507-'Control Room'!$A$15-('Control Room'!$B$15-1)/2)/MAX(0.5,'Control Room'!$B$15/4))^2),1)*IF(AND($A507&gt;='Control Room'!$A$16,$A507&lt;'Control Room'!$A$16+'Control Room'!$B$16,'Process'!BM5=1),1+('Control Room'!$C$16-1)*EXP(-0.5*(($A507-'Control Room'!$A$16-('Control Room'!$B$16-1)/2)/MAX(0.5,'Control Room'!$B$16/4))^2),1)</x:f>
        <x:v>1</x:v>
      </x:c>
      <x:c r="Q507" s="9" t="n">
        <x:f>MOD(R506*16807,2147483647)</x:f>
        <x:v>256235419</x:v>
      </x:c>
      <x:c r="R507" s="9" t="n">
        <x:f>MOD(Q507*16807,2147483647)</x:f>
        <x:v>843974898</x:v>
      </x:c>
      <x:c r="S507" s="17" t="n">
        <x:f>IF('Control Room'!$B$5="Normal",'Control Room'!$B$7+'Control Room'!$D$7*SQRT(-2*LN(MAX(0.000000000001,Q507/2147483647)))*COS(2*PI()*R507/2147483647),'Control Room'!$B$8+('Control Room'!$D$8-'Control Room'!$B$8)*Q507/2147483647)</x:f>
        <x:v>854.7980975296558</x:v>
      </x:c>
      <x:c r="T507" s="17" t="n">
        <x:f>IF('Control Room'!$B$5="Normal",'Control Room'!$B$7,('Control Room'!$B$8+'Control Room'!$D$8)/2)+'Control Room'!$B$9*(T506-IF('Control Room'!$B$5="Normal",'Control Room'!$B$7,('Control Room'!$B$8+'Control Room'!$D$8)/2))+SQRT(1-'Control Room'!$B$9^2)*(S507-IF('Control Room'!$B$5="Normal",'Control Room'!$B$7,('Control Room'!$B$8+'Control Room'!$D$8)/2))</x:f>
        <x:v>841.2988186899332</x:v>
      </x:c>
      <x:c r="U507" s="17" t="n">
        <x:f>IF(AND($A507&gt;='Control Room'!$A$13,$A507&lt;'Control Room'!$A$13+'Control Room'!$B$13,'Process'!BN2=1),1+('Control Room'!$C$13-1)*EXP(-0.5*(($A507-'Control Room'!$A$13-('Control Room'!$B$13-1)/2)/MAX(0.5,'Control Room'!$B$13/4))^2),1)*IF(AND($A507&gt;='Control Room'!$A$14,$A507&lt;'Control Room'!$A$14+'Control Room'!$B$14,'Process'!BN3=1),1+('Control Room'!$C$14-1)*EXP(-0.5*(($A507-'Control Room'!$A$14-('Control Room'!$B$14-1)/2)/MAX(0.5,'Control Room'!$B$14/4))^2),1)*IF(AND($A507&gt;='Control Room'!$A$15,$A507&lt;'Control Room'!$A$15+'Control Room'!$B$15,'Process'!BN4=1),1+('Control Room'!$C$15-1)*EXP(-0.5*(($A507-'Control Room'!$A$15-('Control Room'!$B$15-1)/2)/MAX(0.5,'Control Room'!$B$15/4))^2),1)*IF(AND($A507&gt;='Control Room'!$A$16,$A507&lt;'Control Room'!$A$16+'Control Room'!$B$16,'Process'!BN5=1),1+('Control Room'!$C$16-1)*EXP(-0.5*(($A507-'Control Room'!$A$16-('Control Room'!$B$16-1)/2)/MAX(0.5,'Control Room'!$B$16/4))^2),1)</x:f>
        <x:v>1</x:v>
      </x:c>
      <x:c r="V507" s="9" t="n">
        <x:f>MOD(W506*16807,2147483647)</x:f>
        <x:v>199765549</x:v>
      </x:c>
      <x:c r="W507" s="9" t="n">
        <x:f>MOD(V507*16807,2147483647)</x:f>
        <x:v>942641782</x:v>
      </x:c>
      <x:c r="X507" s="17" t="n">
        <x:f>IF('Control Room'!$B$5="Normal",'Control Room'!$B$7+'Control Room'!$D$7*SQRT(-2*LN(MAX(0.000000000001,V507/2147483647)))*COS(2*PI()*W507/2147483647),'Control Room'!$B$8+('Control Room'!$D$8-'Control Room'!$B$8)*V507/2147483647)</x:f>
        <x:v>818.106980922991</x:v>
      </x:c>
      <x:c r="Y507" s="17" t="n">
        <x:f>IF('Control Room'!$B$5="Normal",'Control Room'!$B$7,('Control Room'!$B$8+'Control Room'!$D$8)/2)+'Control Room'!$B$9*(Y506-IF('Control Room'!$B$5="Normal",'Control Room'!$B$7,('Control Room'!$B$8+'Control Room'!$D$8)/2))+SQRT(1-'Control Room'!$B$9^2)*(X507-IF('Control Room'!$B$5="Normal",'Control Room'!$B$7,('Control Room'!$B$8+'Control Room'!$D$8)/2))</x:f>
        <x:v>979.3219107726426</x:v>
      </x:c>
      <x:c r="Z507" s="17" t="n">
        <x:f>IF(AND($A507&gt;='Control Room'!$A$13,$A507&lt;'Control Room'!$A$13+'Control Room'!$B$13,'Process'!BO2=1),1+('Control Room'!$C$13-1)*EXP(-0.5*(($A507-'Control Room'!$A$13-('Control Room'!$B$13-1)/2)/MAX(0.5,'Control Room'!$B$13/4))^2),1)*IF(AND($A507&gt;='Control Room'!$A$14,$A507&lt;'Control Room'!$A$14+'Control Room'!$B$14,'Process'!BO3=1),1+('Control Room'!$C$14-1)*EXP(-0.5*(($A507-'Control Room'!$A$14-('Control Room'!$B$14-1)/2)/MAX(0.5,'Control Room'!$B$14/4))^2),1)*IF(AND($A507&gt;='Control Room'!$A$15,$A507&lt;'Control Room'!$A$15+'Control Room'!$B$15,'Process'!BO4=1),1+('Control Room'!$C$15-1)*EXP(-0.5*(($A507-'Control Room'!$A$15-('Control Room'!$B$15-1)/2)/MAX(0.5,'Control Room'!$B$15/4))^2),1)*IF(AND($A507&gt;='Control Room'!$A$16,$A507&lt;'Control Room'!$A$16+'Control Room'!$B$16,'Process'!BO5=1),1+('Control Room'!$C$16-1)*EXP(-0.5*(($A507-'Control Room'!$A$16-('Control Room'!$B$16-1)/2)/MAX(0.5,'Control Room'!$B$16/4))^2),1)</x:f>
        <x:v>1</x:v>
      </x:c>
      <x:c r="AA507" s="9" t="n">
        <x:f>MOD(AB506*16807,2147483647)</x:f>
        <x:v>143295679</x:v>
      </x:c>
      <x:c r="AB507" s="9" t="n">
        <x:f>MOD(AA507*16807,2147483647)</x:f>
        <x:v>1041308666</x:v>
      </x:c>
      <x:c r="AC507" s="17" t="n">
        <x:f>IF('Control Room'!$B$5="Normal",'Control Room'!$B$7+'Control Room'!$D$7*SQRT(-2*LN(MAX(0.000000000001,AA507/2147483647)))*COS(2*PI()*AB507/2147483647),'Control Room'!$B$8+('Control Room'!$D$8-'Control Room'!$B$8)*AA507/2147483647)</x:f>
        <x:v>791.5246626542264</x:v>
      </x:c>
      <x:c r="AD507" s="17" t="n">
        <x:f>IF('Control Room'!$B$5="Normal",'Control Room'!$B$7,('Control Room'!$B$8+'Control Room'!$D$8)/2)+'Control Room'!$B$9*(AD506-IF('Control Room'!$B$5="Normal",'Control Room'!$B$7,('Control Room'!$B$8+'Control Room'!$D$8)/2))+SQRT(1-'Control Room'!$B$9^2)*(AC507-IF('Control Room'!$B$5="Normal",'Control Room'!$B$7,('Control Room'!$B$8+'Control Room'!$D$8)/2))</x:f>
        <x:v>747.8515994045184</x:v>
      </x:c>
      <x:c r="AE507" s="17" t="n">
        <x:f>IF(AND($A507&gt;='Control Room'!$A$13,$A507&lt;'Control Room'!$A$13+'Control Room'!$B$13,'Process'!BP2=1),1+('Control Room'!$C$13-1)*EXP(-0.5*(($A507-'Control Room'!$A$13-('Control Room'!$B$13-1)/2)/MAX(0.5,'Control Room'!$B$13/4))^2),1)*IF(AND($A507&gt;='Control Room'!$A$14,$A507&lt;'Control Room'!$A$14+'Control Room'!$B$14,'Process'!BP3=1),1+('Control Room'!$C$14-1)*EXP(-0.5*(($A507-'Control Room'!$A$14-('Control Room'!$B$14-1)/2)/MAX(0.5,'Control Room'!$B$14/4))^2),1)*IF(AND($A507&gt;='Control Room'!$A$15,$A507&lt;'Control Room'!$A$15+'Control Room'!$B$15,'Process'!BP4=1),1+('Control Room'!$C$15-1)*EXP(-0.5*(($A507-'Control Room'!$A$15-('Control Room'!$B$15-1)/2)/MAX(0.5,'Control Room'!$B$15/4))^2),1)*IF(AND($A507&gt;='Control Room'!$A$16,$A507&lt;'Control Room'!$A$16+'Control Room'!$B$16,'Process'!BP5=1),1+('Control Room'!$C$16-1)*EXP(-0.5*(($A507-'Control Room'!$A$16-('Control Room'!$B$16-1)/2)/MAX(0.5,'Control Room'!$B$16/4))^2),1)</x:f>
        <x:v>1</x:v>
      </x:c>
      <x:c r="AF507" s="9" t="n">
        <x:f>MOD(AG506*16807,2147483647)</x:f>
        <x:v>86825809</x:v>
      </x:c>
      <x:c r="AG507" s="9" t="n">
        <x:f>MOD(AF507*16807,2147483647)</x:f>
        <x:v>1139975550</x:v>
      </x:c>
      <x:c r="AH507" s="17" t="n">
        <x:f>IF('Control Room'!$B$5="Normal",'Control Room'!$B$7+'Control Room'!$D$7*SQRT(-2*LN(MAX(0.000000000001,AF507/2147483647)))*COS(2*PI()*AG507/2147483647),'Control Room'!$B$8+('Control Room'!$D$8-'Control Room'!$B$8)*AF507/2147483647)</x:f>
        <x:v>776.2936218610416</x:v>
      </x:c>
      <x:c r="AI507" s="17" t="n">
        <x:f>IF('Control Room'!$B$5="Normal",'Control Room'!$B$7,('Control Room'!$B$8+'Control Room'!$D$8)/2)+'Control Room'!$B$9*(AI506-IF('Control Room'!$B$5="Normal",'Control Room'!$B$7,('Control Room'!$B$8+'Control Room'!$D$8)/2))+SQRT(1-'Control Room'!$B$9^2)*(AH507-IF('Control Room'!$B$5="Normal",'Control Room'!$B$7,('Control Room'!$B$8+'Control Room'!$D$8)/2))</x:f>
        <x:v>889.8161278592033</x:v>
      </x:c>
      <x:c r="AJ507" s="17" t="n">
        <x:f>IF(AND($A507&gt;='Control Room'!$A$13,$A507&lt;'Control Room'!$A$13+'Control Room'!$B$13,'Process'!BQ2=1),1+('Control Room'!$C$13-1)*EXP(-0.5*(($A507-'Control Room'!$A$13-('Control Room'!$B$13-1)/2)/MAX(0.5,'Control Room'!$B$13/4))^2),1)*IF(AND($A507&gt;='Control Room'!$A$14,$A507&lt;'Control Room'!$A$14+'Control Room'!$B$14,'Process'!BQ3=1),1+('Control Room'!$C$14-1)*EXP(-0.5*(($A507-'Control Room'!$A$14-('Control Room'!$B$14-1)/2)/MAX(0.5,'Control Room'!$B$14/4))^2),1)*IF(AND($A507&gt;='Control Room'!$A$15,$A507&lt;'Control Room'!$A$15+'Control Room'!$B$15,'Process'!BQ4=1),1+('Control Room'!$C$15-1)*EXP(-0.5*(($A507-'Control Room'!$A$15-('Control Room'!$B$15-1)/2)/MAX(0.5,'Control Room'!$B$15/4))^2),1)*IF(AND($A507&gt;='Control Room'!$A$16,$A507&lt;'Control Room'!$A$16+'Control Room'!$B$16,'Process'!BQ5=1),1+('Control Room'!$C$16-1)*EXP(-0.5*(($A507-'Control Room'!$A$16-('Control Room'!$B$16-1)/2)/MAX(0.5,'Control Room'!$B$16/4))^2),1)</x:f>
        <x:v>1</x:v>
      </x:c>
      <x:c r="AK507" s="9" t="n">
        <x:f>MOD(AL506*16807,2147483647)</x:f>
        <x:v>30355939</x:v>
      </x:c>
      <x:c r="AL507" s="9" t="n">
        <x:f>MOD(AK507*16807,2147483647)</x:f>
        <x:v>1238642434</x:v>
      </x:c>
      <x:c r="AM507" s="17" t="n">
        <x:f>IF('Control Room'!$B$5="Normal",'Control Room'!$B$7+'Control Room'!$D$7*SQRT(-2*LN(MAX(0.000000000001,AK507/2147483647)))*COS(2*PI()*AL507/2147483647),'Control Room'!$B$8+('Control Room'!$D$8-'Control Room'!$B$8)*AK507/2147483647)</x:f>
        <x:v>767.3115261055218</x:v>
      </x:c>
      <x:c r="AN507" s="17" t="n">
        <x:f>IF('Control Room'!$B$5="Normal",'Control Room'!$B$7,('Control Room'!$B$8+'Control Room'!$D$8)/2)+'Control Room'!$B$9*(AN506-IF('Control Room'!$B$5="Normal",'Control Room'!$B$7,('Control Room'!$B$8+'Control Room'!$D$8)/2))+SQRT(1-'Control Room'!$B$9^2)*(AM507-IF('Control Room'!$B$5="Normal",'Control Room'!$B$7,('Control Room'!$B$8+'Control Room'!$D$8)/2))</x:f>
        <x:v>865.0175957677693</x:v>
      </x:c>
      <x:c r="AO507" s="17" t="n">
        <x:f>IF(AND($A507&gt;='Control Room'!$A$13,$A507&lt;'Control Room'!$A$13+'Control Room'!$B$13,'Process'!BR2=1),1+('Control Room'!$C$13-1)*EXP(-0.5*(($A507-'Control Room'!$A$13-('Control Room'!$B$13-1)/2)/MAX(0.5,'Control Room'!$B$13/4))^2),1)*IF(AND($A507&gt;='Control Room'!$A$14,$A507&lt;'Control Room'!$A$14+'Control Room'!$B$14,'Process'!BR3=1),1+('Control Room'!$C$14-1)*EXP(-0.5*(($A507-'Control Room'!$A$14-('Control Room'!$B$14-1)/2)/MAX(0.5,'Control Room'!$B$14/4))^2),1)*IF(AND($A507&gt;='Control Room'!$A$15,$A507&lt;'Control Room'!$A$15+'Control Room'!$B$15,'Process'!BR4=1),1+('Control Room'!$C$15-1)*EXP(-0.5*(($A507-'Control Room'!$A$15-('Control Room'!$B$15-1)/2)/MAX(0.5,'Control Room'!$B$15/4))^2),1)*IF(AND($A507&gt;='Control Room'!$A$16,$A507&lt;'Control Room'!$A$16+'Control Room'!$B$16,'Process'!BR5=1),1+('Control Room'!$C$16-1)*EXP(-0.5*(($A507-'Control Room'!$A$16-('Control Room'!$B$16-1)/2)/MAX(0.5,'Control Room'!$B$16/4))^2),1)</x:f>
        <x:v>1</x:v>
      </x:c>
      <x:c r="AP507" s="9" t="n">
        <x:f>MOD(AQ506*16807,2147483647)</x:f>
        <x:v>2121369716</x:v>
      </x:c>
      <x:c r="AQ507" s="9" t="n">
        <x:f>MOD(AP507*16807,2147483647)</x:f>
        <x:v>1337309318</x:v>
      </x:c>
      <x:c r="AR507" s="17" t="n">
        <x:f>IF('Control Room'!$B$5="Normal",'Control Room'!$B$7+'Control Room'!$D$7*SQRT(-2*LN(MAX(0.000000000001,AP507/2147483647)))*COS(2*PI()*AQ507/2147483647),'Control Room'!$B$8+('Control Room'!$D$8-'Control Room'!$B$8)*AP507/2147483647)</x:f>
        <x:v>989.9042394306415</x:v>
      </x:c>
      <x:c r="AS507" s="17" t="n">
        <x:f>IF('Control Room'!$B$5="Normal",'Control Room'!$B$7,('Control Room'!$B$8+'Control Room'!$D$8)/2)+'Control Room'!$B$9*(AS506-IF('Control Room'!$B$5="Normal",'Control Room'!$B$7,('Control Room'!$B$8+'Control Room'!$D$8)/2))+SQRT(1-'Control Room'!$B$9^2)*(AR507-IF('Control Room'!$B$5="Normal",'Control Room'!$B$7,('Control Room'!$B$8+'Control Room'!$D$8)/2))</x:f>
        <x:v>1061.44725671403</x:v>
      </x:c>
      <x:c r="AT507" s="17" t="n">
        <x:f>IF(AND($A507&gt;='Control Room'!$A$13,$A507&lt;'Control Room'!$A$13+'Control Room'!$B$13,'Process'!BS2=1),1+('Control Room'!$C$13-1)*EXP(-0.5*(($A507-'Control Room'!$A$13-('Control Room'!$B$13-1)/2)/MAX(0.5,'Control Room'!$B$13/4))^2),1)*IF(AND($A507&gt;='Control Room'!$A$14,$A507&lt;'Control Room'!$A$14+'Control Room'!$B$14,'Process'!BS3=1),1+('Control Room'!$C$14-1)*EXP(-0.5*(($A507-'Control Room'!$A$14-('Control Room'!$B$14-1)/2)/MAX(0.5,'Control Room'!$B$14/4))^2),1)*IF(AND($A507&gt;='Control Room'!$A$15,$A507&lt;'Control Room'!$A$15+'Control Room'!$B$15,'Process'!BS4=1),1+('Control Room'!$C$15-1)*EXP(-0.5*(($A507-'Control Room'!$A$15-('Control Room'!$B$15-1)/2)/MAX(0.5,'Control Room'!$B$15/4))^2),1)*IF(AND($A507&gt;='Control Room'!$A$16,$A507&lt;'Control Room'!$A$16+'Control Room'!$B$16,'Process'!BS5=1),1+('Control Room'!$C$16-1)*EXP(-0.5*(($A507-'Control Room'!$A$16-('Control Room'!$B$16-1)/2)/MAX(0.5,'Control Room'!$B$16/4))^2),1)</x:f>
        <x:v>1</x:v>
      </x:c>
      <x:c r="AU507" s="9" t="n">
        <x:f>MOD(AV506*16807,2147483647)</x:f>
        <x:v>2064899846</x:v>
      </x:c>
      <x:c r="AV507" s="9" t="n">
        <x:f>MOD(AU507*16807,2147483647)</x:f>
        <x:v>1435976202</x:v>
      </x:c>
      <x:c r="AW507" s="17" t="n">
        <x:f>IF('Control Room'!$B$5="Normal",'Control Room'!$B$7+'Control Room'!$D$7*SQRT(-2*LN(MAX(0.000000000001,AU507/2147483647)))*COS(2*PI()*AV507/2147483647),'Control Room'!$B$8+('Control Room'!$D$8-'Control Room'!$B$8)*AU507/2147483647)</x:f>
        <x:v>987.6745090472891</x:v>
      </x:c>
      <x:c r="AX507" s="17" t="n">
        <x:f>IF('Control Room'!$B$5="Normal",'Control Room'!$B$7,('Control Room'!$B$8+'Control Room'!$D$8)/2)+'Control Room'!$B$9*(AX506-IF('Control Room'!$B$5="Normal",'Control Room'!$B$7,('Control Room'!$B$8+'Control Room'!$D$8)/2))+SQRT(1-'Control Room'!$B$9^2)*(AW507-IF('Control Room'!$B$5="Normal",'Control Room'!$B$7,('Control Room'!$B$8+'Control Room'!$D$8)/2))</x:f>
        <x:v>902.5004382545353</x:v>
      </x:c>
      <x:c r="AY507" s="17" t="n">
        <x:f>IF(AND($A507&gt;='Control Room'!$A$13,$A507&lt;'Control Room'!$A$13+'Control Room'!$B$13,'Process'!BT2=1),1+('Control Room'!$C$13-1)*EXP(-0.5*(($A507-'Control Room'!$A$13-('Control Room'!$B$13-1)/2)/MAX(0.5,'Control Room'!$B$13/4))^2),1)*IF(AND($A507&gt;='Control Room'!$A$14,$A507&lt;'Control Room'!$A$14+'Control Room'!$B$14,'Process'!BT3=1),1+('Control Room'!$C$14-1)*EXP(-0.5*(($A507-'Control Room'!$A$14-('Control Room'!$B$14-1)/2)/MAX(0.5,'Control Room'!$B$14/4))^2),1)*IF(AND($A507&gt;='Control Room'!$A$15,$A507&lt;'Control Room'!$A$15+'Control Room'!$B$15,'Process'!BT4=1),1+('Control Room'!$C$15-1)*EXP(-0.5*(($A507-'Control Room'!$A$15-('Control Room'!$B$15-1)/2)/MAX(0.5,'Control Room'!$B$15/4))^2),1)*IF(AND($A507&gt;='Control Room'!$A$16,$A507&lt;'Control Room'!$A$16+'Control Room'!$B$16,'Process'!BT5=1),1+('Control Room'!$C$16-1)*EXP(-0.5*(($A507-'Control Room'!$A$16-('Control Room'!$B$16-1)/2)/MAX(0.5,'Control Room'!$B$16/4))^2),1)</x:f>
        <x:v>1</x:v>
      </x:c>
      <x:c r="AZ507" s="9" t="n">
        <x:f>MOD(BA506*16807,2147483647)</x:f>
        <x:v>2008429976</x:v>
      </x:c>
      <x:c r="BA507" s="9" t="n">
        <x:f>MOD(AZ507*16807,2147483647)</x:f>
        <x:v>1534643086</x:v>
      </x:c>
      <x:c r="BB507" s="17" t="n">
        <x:f>IF('Control Room'!$B$5="Normal",'Control Room'!$B$7+'Control Room'!$D$7*SQRT(-2*LN(MAX(0.000000000001,AZ507/2147483647)))*COS(2*PI()*BA507/2147483647),'Control Room'!$B$8+('Control Room'!$D$8-'Control Room'!$B$8)*AZ507/2147483647)</x:f>
        <x:v>992.7402839024514</x:v>
      </x:c>
      <x:c r="BC507" s="17" t="n">
        <x:f>IF('Control Room'!$B$5="Normal",'Control Room'!$B$7,('Control Room'!$B$8+'Control Room'!$D$8)/2)+'Control Room'!$B$9*(BC506-IF('Control Room'!$B$5="Normal",'Control Room'!$B$7,('Control Room'!$B$8+'Control Room'!$D$8)/2))+SQRT(1-'Control Room'!$B$9^2)*(BB507-IF('Control Room'!$B$5="Normal",'Control Room'!$B$7,('Control Room'!$B$8+'Control Room'!$D$8)/2))</x:f>
        <x:v>930.5143485627647</x:v>
      </x:c>
      <x:c r="BD507" s="17" t="n">
        <x:f>IF(AND($A507&gt;='Control Room'!$A$13,$A507&lt;'Control Room'!$A$13+'Control Room'!$B$13,'Process'!BU2=1),1+('Control Room'!$C$13-1)*EXP(-0.5*(($A507-'Control Room'!$A$13-('Control Room'!$B$13-1)/2)/MAX(0.5,'Control Room'!$B$13/4))^2),1)*IF(AND($A507&gt;='Control Room'!$A$14,$A507&lt;'Control Room'!$A$14+'Control Room'!$B$14,'Process'!BU3=1),1+('Control Room'!$C$14-1)*EXP(-0.5*(($A507-'Control Room'!$A$14-('Control Room'!$B$14-1)/2)/MAX(0.5,'Control Room'!$B$14/4))^2),1)*IF(AND($A507&gt;='Control Room'!$A$15,$A507&lt;'Control Room'!$A$15+'Control Room'!$B$15,'Process'!BU4=1),1+('Control Room'!$C$15-1)*EXP(-0.5*(($A507-'Control Room'!$A$15-('Control Room'!$B$15-1)/2)/MAX(0.5,'Control Room'!$B$15/4))^2),1)*IF(AND($A507&gt;='Control Room'!$A$16,$A507&lt;'Control Room'!$A$16+'Control Room'!$B$16,'Process'!BU5=1),1+('Control Room'!$C$16-1)*EXP(-0.5*(($A507-'Control Room'!$A$16-('Control Room'!$B$16-1)/2)/MAX(0.5,'Control Room'!$B$16/4))^2),1)</x:f>
        <x:v>1</x:v>
      </x:c>
      <x:c r="BE507" s="9" t="n">
        <x:f>MOD(BF506*16807,2147483647)</x:f>
        <x:v>1951960106</x:v>
      </x:c>
      <x:c r="BF507" s="9" t="n">
        <x:f>MOD(BE507*16807,2147483647)</x:f>
        <x:v>1633309970</x:v>
      </x:c>
      <x:c r="BG507" s="17" t="n">
        <x:f>IF('Control Room'!$B$5="Normal",'Control Room'!$B$7+'Control Room'!$D$7*SQRT(-2*LN(MAX(0.000000000001,BE507/2147483647)))*COS(2*PI()*BF507/2147483647),'Control Room'!$B$8+('Control Room'!$D$8-'Control Room'!$B$8)*BE507/2147483647)</x:f>
        <x:v>1002.6096248523775</x:v>
      </x:c>
      <x:c r="BH507" s="17" t="n">
        <x:f>IF('Control Room'!$B$5="Normal",'Control Room'!$B$7,('Control Room'!$B$8+'Control Room'!$D$8)/2)+'Control Room'!$B$9*(BH506-IF('Control Room'!$B$5="Normal",'Control Room'!$B$7,('Control Room'!$B$8+'Control Room'!$D$8)/2))+SQRT(1-'Control Room'!$B$9^2)*(BG507-IF('Control Room'!$B$5="Normal",'Control Room'!$B$7,('Control Room'!$B$8+'Control Room'!$D$8)/2))</x:f>
        <x:v>1002.9637639913376</x:v>
      </x:c>
      <x:c r="BI507" s="17" t="n">
        <x:f>IF(AND($A507&gt;='Control Room'!$A$13,$A507&lt;'Control Room'!$A$13+'Control Room'!$B$13,'Process'!BV2=1),1+('Control Room'!$C$13-1)*EXP(-0.5*(($A507-'Control Room'!$A$13-('Control Room'!$B$13-1)/2)/MAX(0.5,'Control Room'!$B$13/4))^2),1)*IF(AND($A507&gt;='Control Room'!$A$14,$A507&lt;'Control Room'!$A$14+'Control Room'!$B$14,'Process'!BV3=1),1+('Control Room'!$C$14-1)*EXP(-0.5*(($A507-'Control Room'!$A$14-('Control Room'!$B$14-1)/2)/MAX(0.5,'Control Room'!$B$14/4))^2),1)*IF(AND($A507&gt;='Control Room'!$A$15,$A507&lt;'Control Room'!$A$15+'Control Room'!$B$15,'Process'!BV4=1),1+('Control Room'!$C$15-1)*EXP(-0.5*(($A507-'Control Room'!$A$15-('Control Room'!$B$15-1)/2)/MAX(0.5,'Control Room'!$B$15/4))^2),1)*IF(AND($A507&gt;='Control Room'!$A$16,$A507&lt;'Control Room'!$A$16+'Control Room'!$B$16,'Process'!BV5=1),1+('Control Room'!$C$16-1)*EXP(-0.5*(($A507-'Control Room'!$A$16-('Control Room'!$B$16-1)/2)/MAX(0.5,'Control Room'!$B$16/4))^2),1)</x:f>
        <x:v>1</x:v>
      </x:c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Z507" t="str">
        <x:f>IF('Data'!A507="","",TEXT('Data'!A507,"mm-dd"))</x:f>
      </x:c>
    </x:row>
    <x:row r="508" ht="21" customHeight="1">
      <x:c r="A508" s="15" t="n">
        <x:f>'Control Room'!$B$1+506</x:f>
        <x:v>73497</x:v>
      </x:c>
      <x:c r="B508" s="9" t="n">
        <x:f>MOD(C507*16807,2147483647)</x:f>
        <x:v>1393274186</x:v>
      </x:c>
      <x:c r="C508" s="9" t="n">
        <x:f>MOD(B508*16807,2147483647)</x:f>
        <x:v>597557214</x:v>
      </x:c>
      <x:c r="D508" s="17" t="n">
        <x:f>IF('Control Room'!$B$5="Normal",'Control Room'!$B$7+'Control Room'!$D$7*SQRT(-2*LN(MAX(0.000000000001,B508/2147483647)))*COS(2*PI()*C508/2147483647),'Control Room'!$B$8+('Control Room'!$D$8-'Control Room'!$B$8)*B508/2147483647)</x:f>
        <x:v>985.213096061082</x:v>
      </x:c>
      <x:c r="E508" s="17" t="n">
        <x:f>IF('Control Room'!$B$5="Normal",'Control Room'!$B$7,('Control Room'!$B$8+'Control Room'!$D$8)/2)+'Control Room'!$B$9*(E507-IF('Control Room'!$B$5="Normal",'Control Room'!$B$7,('Control Room'!$B$8+'Control Room'!$D$8)/2))+SQRT(1-'Control Room'!$B$9^2)*(D508-IF('Control Room'!$B$5="Normal",'Control Room'!$B$7,('Control Room'!$B$8+'Control Room'!$D$8)/2))</x:f>
        <x:v>984.0385211150491</x:v>
      </x:c>
      <x:c r="F508" s="17" t="n">
        <x:f>IF(AND($A508&gt;='Control Room'!$A$13,$A508&lt;'Control Room'!$A$13+'Control Room'!$B$13,'Process'!BK2=1),1+('Control Room'!$C$13-1)*EXP(-0.5*(($A508-'Control Room'!$A$13-('Control Room'!$B$13-1)/2)/MAX(0.5,'Control Room'!$B$13/4))^2),1)*IF(AND($A508&gt;='Control Room'!$A$14,$A508&lt;'Control Room'!$A$14+'Control Room'!$B$14,'Process'!BK3=1),1+('Control Room'!$C$14-1)*EXP(-0.5*(($A508-'Control Room'!$A$14-('Control Room'!$B$14-1)/2)/MAX(0.5,'Control Room'!$B$14/4))^2),1)*IF(AND($A508&gt;='Control Room'!$A$15,$A508&lt;'Control Room'!$A$15+'Control Room'!$B$15,'Process'!BK4=1),1+('Control Room'!$C$15-1)*EXP(-0.5*(($A508-'Control Room'!$A$15-('Control Room'!$B$15-1)/2)/MAX(0.5,'Control Room'!$B$15/4))^2),1)*IF(AND($A508&gt;='Control Room'!$A$16,$A508&lt;'Control Room'!$A$16+'Control Room'!$B$16,'Process'!BK5=1),1+('Control Room'!$C$16-1)*EXP(-0.5*(($A508-'Control Room'!$A$16-('Control Room'!$B$16-1)/2)/MAX(0.5,'Control Room'!$B$16/4))^2),1)</x:f>
        <x:v>1</x:v>
      </x:c>
      <x:c r="G508" s="9" t="n">
        <x:f>MOD(H507*16807,2147483647)</x:f>
        <x:v>1830218090</x:v>
      </x:c>
      <x:c r="H508" s="9" t="n">
        <x:f>MOD(G508*16807,2147483647)</x:f>
        <x:v>2067162649</x:v>
      </x:c>
      <x:c r="I508" s="17" t="n">
        <x:f>IF('Control Room'!$B$5="Normal",'Control Room'!$B$7+'Control Room'!$D$7*SQRT(-2*LN(MAX(0.000000000001,G508/2147483647)))*COS(2*PI()*H508/2147483647),'Control Room'!$B$8+('Control Room'!$D$8-'Control Room'!$B$8)*G508/2147483647)</x:f>
        <x:v>1049.4908601094385</x:v>
      </x:c>
      <x:c r="J508" s="17" t="n">
        <x:f>IF('Control Room'!$B$5="Normal",'Control Room'!$B$7,('Control Room'!$B$8+'Control Room'!$D$8)/2)+'Control Room'!$B$9*(J507-IF('Control Room'!$B$5="Normal",'Control Room'!$B$7,('Control Room'!$B$8+'Control Room'!$D$8)/2))+SQRT(1-'Control Room'!$B$9^2)*(I508-IF('Control Room'!$B$5="Normal",'Control Room'!$B$7,('Control Room'!$B$8+'Control Room'!$D$8)/2))</x:f>
        <x:v>976.34666654541</x:v>
      </x:c>
      <x:c r="K508" s="17" t="n">
        <x:f>IF(AND($A508&gt;='Control Room'!$A$13,$A508&lt;'Control Room'!$A$13+'Control Room'!$B$13,'Process'!BL2=1),1+('Control Room'!$C$13-1)*EXP(-0.5*(($A508-'Control Room'!$A$13-('Control Room'!$B$13-1)/2)/MAX(0.5,'Control Room'!$B$13/4))^2),1)*IF(AND($A508&gt;='Control Room'!$A$14,$A508&lt;'Control Room'!$A$14+'Control Room'!$B$14,'Process'!BL3=1),1+('Control Room'!$C$14-1)*EXP(-0.5*(($A508-'Control Room'!$A$14-('Control Room'!$B$14-1)/2)/MAX(0.5,'Control Room'!$B$14/4))^2),1)*IF(AND($A508&gt;='Control Room'!$A$15,$A508&lt;'Control Room'!$A$15+'Control Room'!$B$15,'Process'!BL4=1),1+('Control Room'!$C$15-1)*EXP(-0.5*(($A508-'Control Room'!$A$15-('Control Room'!$B$15-1)/2)/MAX(0.5,'Control Room'!$B$15/4))^2),1)*IF(AND($A508&gt;='Control Room'!$A$16,$A508&lt;'Control Room'!$A$16+'Control Room'!$B$16,'Process'!BL5=1),1+('Control Room'!$C$16-1)*EXP(-0.5*(($A508-'Control Room'!$A$16-('Control Room'!$B$16-1)/2)/MAX(0.5,'Control Room'!$B$16/4))^2),1)</x:f>
        <x:v>1</x:v>
      </x:c>
      <x:c r="L508" s="9" t="n">
        <x:f>MOD(M507*16807,2147483647)</x:f>
        <x:v>119678347</x:v>
      </x:c>
      <x:c r="M508" s="9" t="n">
        <x:f>MOD(L508*16807,2147483647)</x:f>
        <x:v>1389284437</x:v>
      </x:c>
      <x:c r="N508" s="17" t="n">
        <x:f>IF('Control Room'!$B$5="Normal",'Control Room'!$B$7+'Control Room'!$D$7*SQRT(-2*LN(MAX(0.000000000001,L508/2147483647)))*COS(2*PI()*M508/2147483647),'Control Room'!$B$8+('Control Room'!$D$8-'Control Room'!$B$8)*L508/2147483647)</x:f>
        <x:v>869.5341344302637</x:v>
      </x:c>
      <x:c r="O508" s="17" t="n">
        <x:f>IF('Control Room'!$B$5="Normal",'Control Room'!$B$7,('Control Room'!$B$8+'Control Room'!$D$8)/2)+'Control Room'!$B$9*(O507-IF('Control Room'!$B$5="Normal",'Control Room'!$B$7,('Control Room'!$B$8+'Control Room'!$D$8)/2))+SQRT(1-'Control Room'!$B$9^2)*(N508-IF('Control Room'!$B$5="Normal",'Control Room'!$B$7,('Control Room'!$B$8+'Control Room'!$D$8)/2))</x:f>
        <x:v>822.6246806937971</x:v>
      </x:c>
      <x:c r="P508" s="17" t="n">
        <x:f>IF(AND($A508&gt;='Control Room'!$A$13,$A508&lt;'Control Room'!$A$13+'Control Room'!$B$13,'Process'!BM2=1),1+('Control Room'!$C$13-1)*EXP(-0.5*(($A508-'Control Room'!$A$13-('Control Room'!$B$13-1)/2)/MAX(0.5,'Control Room'!$B$13/4))^2),1)*IF(AND($A508&gt;='Control Room'!$A$14,$A508&lt;'Control Room'!$A$14+'Control Room'!$B$14,'Process'!BM3=1),1+('Control Room'!$C$14-1)*EXP(-0.5*(($A508-'Control Room'!$A$14-('Control Room'!$B$14-1)/2)/MAX(0.5,'Control Room'!$B$14/4))^2),1)*IF(AND($A508&gt;='Control Room'!$A$15,$A508&lt;'Control Room'!$A$15+'Control Room'!$B$15,'Process'!BM4=1),1+('Control Room'!$C$15-1)*EXP(-0.5*(($A508-'Control Room'!$A$15-('Control Room'!$B$15-1)/2)/MAX(0.5,'Control Room'!$B$15/4))^2),1)*IF(AND($A508&gt;='Control Room'!$A$16,$A508&lt;'Control Room'!$A$16+'Control Room'!$B$16,'Process'!BM5=1),1+('Control Room'!$C$16-1)*EXP(-0.5*(($A508-'Control Room'!$A$16-('Control Room'!$B$16-1)/2)/MAX(0.5,'Control Room'!$B$16/4))^2),1)</x:f>
        <x:v>1</x:v>
      </x:c>
      <x:c r="Q508" s="9" t="n">
        <x:f>MOD(R507*16807,2147483647)</x:f>
        <x:v>556622251</x:v>
      </x:c>
      <x:c r="R508" s="9" t="n">
        <x:f>MOD(Q508*16807,2147483647)</x:f>
        <x:v>711406225</x:v>
      </x:c>
      <x:c r="S508" s="17" t="n">
        <x:f>IF('Control Room'!$B$5="Normal",'Control Room'!$B$7+'Control Room'!$D$7*SQRT(-2*LN(MAX(0.000000000001,Q508/2147483647)))*COS(2*PI()*R508/2147483647),'Control Room'!$B$8+('Control Room'!$D$8-'Control Room'!$B$8)*Q508/2147483647)</x:f>
        <x:v>927.7160499221018</x:v>
      </x:c>
      <x:c r="T508" s="17" t="n">
        <x:f>IF('Control Room'!$B$5="Normal",'Control Room'!$B$7,('Control Room'!$B$8+'Control Room'!$D$8)/2)+'Control Room'!$B$9*(T507-IF('Control Room'!$B$5="Normal",'Control Room'!$B$7,('Control Room'!$B$8+'Control Room'!$D$8)/2))+SQRT(1-'Control Room'!$B$9^2)*(S508-IF('Control Room'!$B$5="Normal",'Control Room'!$B$7,('Control Room'!$B$8+'Control Room'!$D$8)/2))</x:f>
        <x:v>830.9792634366062</x:v>
      </x:c>
      <x:c r="U508" s="17" t="n">
        <x:f>IF(AND($A508&gt;='Control Room'!$A$13,$A508&lt;'Control Room'!$A$13+'Control Room'!$B$13,'Process'!BN2=1),1+('Control Room'!$C$13-1)*EXP(-0.5*(($A508-'Control Room'!$A$13-('Control Room'!$B$13-1)/2)/MAX(0.5,'Control Room'!$B$13/4))^2),1)*IF(AND($A508&gt;='Control Room'!$A$14,$A508&lt;'Control Room'!$A$14+'Control Room'!$B$14,'Process'!BN3=1),1+('Control Room'!$C$14-1)*EXP(-0.5*(($A508-'Control Room'!$A$14-('Control Room'!$B$14-1)/2)/MAX(0.5,'Control Room'!$B$14/4))^2),1)*IF(AND($A508&gt;='Control Room'!$A$15,$A508&lt;'Control Room'!$A$15+'Control Room'!$B$15,'Process'!BN4=1),1+('Control Room'!$C$15-1)*EXP(-0.5*(($A508-'Control Room'!$A$15-('Control Room'!$B$15-1)/2)/MAX(0.5,'Control Room'!$B$15/4))^2),1)*IF(AND($A508&gt;='Control Room'!$A$16,$A508&lt;'Control Room'!$A$16+'Control Room'!$B$16,'Process'!BN5=1),1+('Control Room'!$C$16-1)*EXP(-0.5*(($A508-'Control Room'!$A$16-('Control Room'!$B$16-1)/2)/MAX(0.5,'Control Room'!$B$16/4))^2),1)</x:f>
        <x:v>1</x:v>
      </x:c>
      <x:c r="V508" s="9" t="n">
        <x:f>MOD(W507*16807,2147483647)</x:f>
        <x:v>993566155</x:v>
      </x:c>
      <x:c r="W508" s="9" t="n">
        <x:f>MOD(V508*16807,2147483647)</x:f>
        <x:v>33528013</x:v>
      </x:c>
      <x:c r="X508" s="17" t="n">
        <x:f>IF('Control Room'!$B$5="Normal",'Control Room'!$B$7+'Control Room'!$D$7*SQRT(-2*LN(MAX(0.000000000001,V508/2147483647)))*COS(2*PI()*W508/2147483647),'Control Room'!$B$8+('Control Room'!$D$8-'Control Room'!$B$8)*V508/2147483647)</x:f>
        <x:v>1111.2043236840375</x:v>
      </x:c>
      <x:c r="Y508" s="17" t="n">
        <x:f>IF('Control Room'!$B$5="Normal",'Control Room'!$B$7,('Control Room'!$B$8+'Control Room'!$D$8)/2)+'Control Room'!$B$9*(Y507-IF('Control Room'!$B$5="Normal",'Control Room'!$B$7,('Control Room'!$B$8+'Control Room'!$D$8)/2))+SQRT(1-'Control Room'!$B$9^2)*(X508-IF('Control Room'!$B$5="Normal",'Control Room'!$B$7,('Control Room'!$B$8+'Control Room'!$D$8)/2))</x:f>
        <x:v>1053.460478019733</x:v>
      </x:c>
      <x:c r="Z508" s="17" t="n">
        <x:f>IF(AND($A508&gt;='Control Room'!$A$13,$A508&lt;'Control Room'!$A$13+'Control Room'!$B$13,'Process'!BO2=1),1+('Control Room'!$C$13-1)*EXP(-0.5*(($A508-'Control Room'!$A$13-('Control Room'!$B$13-1)/2)/MAX(0.5,'Control Room'!$B$13/4))^2),1)*IF(AND($A508&gt;='Control Room'!$A$14,$A508&lt;'Control Room'!$A$14+'Control Room'!$B$14,'Process'!BO3=1),1+('Control Room'!$C$14-1)*EXP(-0.5*(($A508-'Control Room'!$A$14-('Control Room'!$B$14-1)/2)/MAX(0.5,'Control Room'!$B$14/4))^2),1)*IF(AND($A508&gt;='Control Room'!$A$15,$A508&lt;'Control Room'!$A$15+'Control Room'!$B$15,'Process'!BO4=1),1+('Control Room'!$C$15-1)*EXP(-0.5*(($A508-'Control Room'!$A$15-('Control Room'!$B$15-1)/2)/MAX(0.5,'Control Room'!$B$15/4))^2),1)*IF(AND($A508&gt;='Control Room'!$A$16,$A508&lt;'Control Room'!$A$16+'Control Room'!$B$16,'Process'!BO5=1),1+('Control Room'!$C$16-1)*EXP(-0.5*(($A508-'Control Room'!$A$16-('Control Room'!$B$16-1)/2)/MAX(0.5,'Control Room'!$B$16/4))^2),1)</x:f>
        <x:v>1</x:v>
      </x:c>
      <x:c r="AA508" s="9" t="n">
        <x:f>MOD(AB507*16807,2147483647)</x:f>
        <x:v>1430510059</x:v>
      </x:c>
      <x:c r="AB508" s="9" t="n">
        <x:f>MOD(AA508*16807,2147483647)</x:f>
        <x:v>1503133448</x:v>
      </x:c>
      <x:c r="AC508" s="17" t="n">
        <x:f>IF('Control Room'!$B$5="Normal",'Control Room'!$B$7+'Control Room'!$D$7*SQRT(-2*LN(MAX(0.000000000001,AA508/2147483647)))*COS(2*PI()*AB508/2147483647),'Control Room'!$B$8+('Control Room'!$D$8-'Control Room'!$B$8)*AA508/2147483647)</x:f>
        <x:v>974.9068160881106</x:v>
      </x:c>
      <x:c r="AD508" s="17" t="n">
        <x:f>IF('Control Room'!$B$5="Normal",'Control Room'!$B$7,('Control Room'!$B$8+'Control Room'!$D$8)/2)+'Control Room'!$B$9*(AD507-IF('Control Room'!$B$5="Normal",'Control Room'!$B$7,('Control Room'!$B$8+'Control Room'!$D$8)/2))+SQRT(1-'Control Room'!$B$9^2)*(AC508-IF('Control Room'!$B$5="Normal",'Control Room'!$B$7,('Control Room'!$B$8+'Control Room'!$D$8)/2))</x:f>
        <x:v>787.6214471052782</x:v>
      </x:c>
      <x:c r="AE508" s="17" t="n">
        <x:f>IF(AND($A508&gt;='Control Room'!$A$13,$A508&lt;'Control Room'!$A$13+'Control Room'!$B$13,'Process'!BP2=1),1+('Control Room'!$C$13-1)*EXP(-0.5*(($A508-'Control Room'!$A$13-('Control Room'!$B$13-1)/2)/MAX(0.5,'Control Room'!$B$13/4))^2),1)*IF(AND($A508&gt;='Control Room'!$A$14,$A508&lt;'Control Room'!$A$14+'Control Room'!$B$14,'Process'!BP3=1),1+('Control Room'!$C$14-1)*EXP(-0.5*(($A508-'Control Room'!$A$14-('Control Room'!$B$14-1)/2)/MAX(0.5,'Control Room'!$B$14/4))^2),1)*IF(AND($A508&gt;='Control Room'!$A$15,$A508&lt;'Control Room'!$A$15+'Control Room'!$B$15,'Process'!BP4=1),1+('Control Room'!$C$15-1)*EXP(-0.5*(($A508-'Control Room'!$A$15-('Control Room'!$B$15-1)/2)/MAX(0.5,'Control Room'!$B$15/4))^2),1)*IF(AND($A508&gt;='Control Room'!$A$16,$A508&lt;'Control Room'!$A$16+'Control Room'!$B$16,'Process'!BP5=1),1+('Control Room'!$C$16-1)*EXP(-0.5*(($A508-'Control Room'!$A$16-('Control Room'!$B$16-1)/2)/MAX(0.5,'Control Room'!$B$16/4))^2),1)</x:f>
        <x:v>1</x:v>
      </x:c>
      <x:c r="AF508" s="9" t="n">
        <x:f>MOD(AG507*16807,2147483647)</x:f>
        <x:v>1867453963</x:v>
      </x:c>
      <x:c r="AG508" s="9" t="n">
        <x:f>MOD(AF508*16807,2147483647)</x:f>
        <x:v>825255236</x:v>
      </x:c>
      <x:c r="AH508" s="17" t="n">
        <x:f>IF('Control Room'!$B$5="Normal",'Control Room'!$B$7+'Control Room'!$D$7*SQRT(-2*LN(MAX(0.000000000001,AF508/2147483647)))*COS(2*PI()*AG508/2147483647),'Control Room'!$B$8+('Control Room'!$D$8-'Control Room'!$B$8)*AF508/2147483647)</x:f>
        <x:v>964.4535369771879</x:v>
      </x:c>
      <x:c r="AI508" s="17" t="n">
        <x:f>IF('Control Room'!$B$5="Normal",'Control Room'!$B$7,('Control Room'!$B$8+'Control Room'!$D$8)/2)+'Control Room'!$B$9*(AI507-IF('Control Room'!$B$5="Normal",'Control Room'!$B$7,('Control Room'!$B$8+'Control Room'!$D$8)/2))+SQRT(1-'Control Room'!$B$9^2)*(AH508-IF('Control Room'!$B$5="Normal",'Control Room'!$B$7,('Control Room'!$B$8+'Control Room'!$D$8)/2))</x:f>
        <x:v>891.8123313793794</x:v>
      </x:c>
      <x:c r="AJ508" s="17" t="n">
        <x:f>IF(AND($A508&gt;='Control Room'!$A$13,$A508&lt;'Control Room'!$A$13+'Control Room'!$B$13,'Process'!BQ2=1),1+('Control Room'!$C$13-1)*EXP(-0.5*(($A508-'Control Room'!$A$13-('Control Room'!$B$13-1)/2)/MAX(0.5,'Control Room'!$B$13/4))^2),1)*IF(AND($A508&gt;='Control Room'!$A$14,$A508&lt;'Control Room'!$A$14+'Control Room'!$B$14,'Process'!BQ3=1),1+('Control Room'!$C$14-1)*EXP(-0.5*(($A508-'Control Room'!$A$14-('Control Room'!$B$14-1)/2)/MAX(0.5,'Control Room'!$B$14/4))^2),1)*IF(AND($A508&gt;='Control Room'!$A$15,$A508&lt;'Control Room'!$A$15+'Control Room'!$B$15,'Process'!BQ4=1),1+('Control Room'!$C$15-1)*EXP(-0.5*(($A508-'Control Room'!$A$15-('Control Room'!$B$15-1)/2)/MAX(0.5,'Control Room'!$B$15/4))^2),1)*IF(AND($A508&gt;='Control Room'!$A$16,$A508&lt;'Control Room'!$A$16+'Control Room'!$B$16,'Process'!BQ5=1),1+('Control Room'!$C$16-1)*EXP(-0.5*(($A508-'Control Room'!$A$16-('Control Room'!$B$16-1)/2)/MAX(0.5,'Control Room'!$B$16/4))^2),1)</x:f>
        <x:v>1</x:v>
      </x:c>
      <x:c r="AK508" s="9" t="n">
        <x:f>MOD(AL507*16807,2147483647)</x:f>
        <x:v>156914220</x:v>
      </x:c>
      <x:c r="AL508" s="9" t="n">
        <x:f>MOD(AK508*16807,2147483647)</x:f>
        <x:v>147377024</x:v>
      </x:c>
      <x:c r="AM508" s="17" t="n">
        <x:f>IF('Control Room'!$B$5="Normal",'Control Room'!$B$7+'Control Room'!$D$7*SQRT(-2*LN(MAX(0.000000000001,AK508/2147483647)))*COS(2*PI()*AL508/2147483647),'Control Room'!$B$8+('Control Room'!$D$8-'Control Room'!$B$8)*AK508/2147483647)</x:f>
        <x:v>1187.0309930387627</x:v>
      </x:c>
      <x:c r="AN508" s="17" t="n">
        <x:f>IF('Control Room'!$B$5="Normal",'Control Room'!$B$7,('Control Room'!$B$8+'Control Room'!$D$8)/2)+'Control Room'!$B$9*(AN507-IF('Control Room'!$B$5="Normal",'Control Room'!$B$7,('Control Room'!$B$8+'Control Room'!$D$8)/2))+SQRT(1-'Control Room'!$B$9^2)*(AM508-IF('Control Room'!$B$5="Normal",'Control Room'!$B$7,('Control Room'!$B$8+'Control Room'!$D$8)/2))</x:f>
        <x:v>1011.7538886043627</x:v>
      </x:c>
      <x:c r="AO508" s="17" t="n">
        <x:f>IF(AND($A508&gt;='Control Room'!$A$13,$A508&lt;'Control Room'!$A$13+'Control Room'!$B$13,'Process'!BR2=1),1+('Control Room'!$C$13-1)*EXP(-0.5*(($A508-'Control Room'!$A$13-('Control Room'!$B$13-1)/2)/MAX(0.5,'Control Room'!$B$13/4))^2),1)*IF(AND($A508&gt;='Control Room'!$A$14,$A508&lt;'Control Room'!$A$14+'Control Room'!$B$14,'Process'!BR3=1),1+('Control Room'!$C$14-1)*EXP(-0.5*(($A508-'Control Room'!$A$14-('Control Room'!$B$14-1)/2)/MAX(0.5,'Control Room'!$B$14/4))^2),1)*IF(AND($A508&gt;='Control Room'!$A$15,$A508&lt;'Control Room'!$A$15+'Control Room'!$B$15,'Process'!BR4=1),1+('Control Room'!$C$15-1)*EXP(-0.5*(($A508-'Control Room'!$A$15-('Control Room'!$B$15-1)/2)/MAX(0.5,'Control Room'!$B$15/4))^2),1)*IF(AND($A508&gt;='Control Room'!$A$16,$A508&lt;'Control Room'!$A$16+'Control Room'!$B$16,'Process'!BR5=1),1+('Control Room'!$C$16-1)*EXP(-0.5*(($A508-'Control Room'!$A$16-('Control Room'!$B$16-1)/2)/MAX(0.5,'Control Room'!$B$16/4))^2),1)</x:f>
        <x:v>1</x:v>
      </x:c>
      <x:c r="AP508" s="9" t="n">
        <x:f>MOD(AQ507*16807,2147483647)</x:f>
        <x:v>593858124</x:v>
      </x:c>
      <x:c r="AQ508" s="9" t="n">
        <x:f>MOD(AP508*16807,2147483647)</x:f>
        <x:v>1616982459</x:v>
      </x:c>
      <x:c r="AR508" s="17" t="n">
        <x:f>IF('Control Room'!$B$5="Normal",'Control Room'!$B$7+'Control Room'!$D$7*SQRT(-2*LN(MAX(0.000000000001,AP508/2147483647)))*COS(2*PI()*AQ508/2147483647),'Control Room'!$B$8+('Control Room'!$D$8-'Control Room'!$B$8)*AP508/2147483647)</x:f>
        <x:v>1002.6892060150972</x:v>
      </x:c>
      <x:c r="AS508" s="17" t="n">
        <x:f>IF('Control Room'!$B$5="Normal",'Control Room'!$B$7,('Control Room'!$B$8+'Control Room'!$D$8)/2)+'Control Room'!$B$9*(AS507-IF('Control Room'!$B$5="Normal",'Control Room'!$B$7,('Control Room'!$B$8+'Control Room'!$D$8)/2))+SQRT(1-'Control Room'!$B$9^2)*(AR508-IF('Control Room'!$B$5="Normal",'Control Room'!$B$7,('Control Room'!$B$8+'Control Room'!$D$8)/2))</x:f>
        <x:v>1049.6117102698115</x:v>
      </x:c>
      <x:c r="AT508" s="17" t="n">
        <x:f>IF(AND($A508&gt;='Control Room'!$A$13,$A508&lt;'Control Room'!$A$13+'Control Room'!$B$13,'Process'!BS2=1),1+('Control Room'!$C$13-1)*EXP(-0.5*(($A508-'Control Room'!$A$13-('Control Room'!$B$13-1)/2)/MAX(0.5,'Control Room'!$B$13/4))^2),1)*IF(AND($A508&gt;='Control Room'!$A$14,$A508&lt;'Control Room'!$A$14+'Control Room'!$B$14,'Process'!BS3=1),1+('Control Room'!$C$14-1)*EXP(-0.5*(($A508-'Control Room'!$A$14-('Control Room'!$B$14-1)/2)/MAX(0.5,'Control Room'!$B$14/4))^2),1)*IF(AND($A508&gt;='Control Room'!$A$15,$A508&lt;'Control Room'!$A$15+'Control Room'!$B$15,'Process'!BS4=1),1+('Control Room'!$C$15-1)*EXP(-0.5*(($A508-'Control Room'!$A$15-('Control Room'!$B$15-1)/2)/MAX(0.5,'Control Room'!$B$15/4))^2),1)*IF(AND($A508&gt;='Control Room'!$A$16,$A508&lt;'Control Room'!$A$16+'Control Room'!$B$16,'Process'!BS5=1),1+('Control Room'!$C$16-1)*EXP(-0.5*(($A508-'Control Room'!$A$16-('Control Room'!$B$16-1)/2)/MAX(0.5,'Control Room'!$B$16/4))^2),1)</x:f>
        <x:v>1</x:v>
      </x:c>
      <x:c r="AU508" s="9" t="n">
        <x:f>MOD(AV507*16807,2147483647)</x:f>
        <x:v>1030802028</x:v>
      </x:c>
      <x:c r="AV508" s="9" t="n">
        <x:f>MOD(AU508*16807,2147483647)</x:f>
        <x:v>939104247</x:v>
      </x:c>
      <x:c r="AW508" s="17" t="n">
        <x:f>IF('Control Room'!$B$5="Normal",'Control Room'!$B$7+'Control Room'!$D$7*SQRT(-2*LN(MAX(0.000000000001,AU508/2147483647)))*COS(2*PI()*AV508/2147483647),'Control Room'!$B$8+('Control Room'!$D$8-'Control Room'!$B$8)*AU508/2147483647)</x:f>
        <x:v>899.3097160625045</x:v>
      </x:c>
      <x:c r="AX508" s="17" t="n">
        <x:f>IF('Control Room'!$B$5="Normal",'Control Room'!$B$7,('Control Room'!$B$8+'Control Room'!$D$8)/2)+'Control Room'!$B$9*(AX507-IF('Control Room'!$B$5="Normal",'Control Room'!$B$7,('Control Room'!$B$8+'Control Room'!$D$8)/2))+SQRT(1-'Control Room'!$B$9^2)*(AW508-IF('Control Room'!$B$5="Normal",'Control Room'!$B$7,('Control Room'!$B$8+'Control Room'!$D$8)/2))</x:f>
        <x:v>860.9404249030399</x:v>
      </x:c>
      <x:c r="AY508" s="17" t="n">
        <x:f>IF(AND($A508&gt;='Control Room'!$A$13,$A508&lt;'Control Room'!$A$13+'Control Room'!$B$13,'Process'!BT2=1),1+('Control Room'!$C$13-1)*EXP(-0.5*(($A508-'Control Room'!$A$13-('Control Room'!$B$13-1)/2)/MAX(0.5,'Control Room'!$B$13/4))^2),1)*IF(AND($A508&gt;='Control Room'!$A$14,$A508&lt;'Control Room'!$A$14+'Control Room'!$B$14,'Process'!BT3=1),1+('Control Room'!$C$14-1)*EXP(-0.5*(($A508-'Control Room'!$A$14-('Control Room'!$B$14-1)/2)/MAX(0.5,'Control Room'!$B$14/4))^2),1)*IF(AND($A508&gt;='Control Room'!$A$15,$A508&lt;'Control Room'!$A$15+'Control Room'!$B$15,'Process'!BT4=1),1+('Control Room'!$C$15-1)*EXP(-0.5*(($A508-'Control Room'!$A$15-('Control Room'!$B$15-1)/2)/MAX(0.5,'Control Room'!$B$15/4))^2),1)*IF(AND($A508&gt;='Control Room'!$A$16,$A508&lt;'Control Room'!$A$16+'Control Room'!$B$16,'Process'!BT5=1),1+('Control Room'!$C$16-1)*EXP(-0.5*(($A508-'Control Room'!$A$16-('Control Room'!$B$16-1)/2)/MAX(0.5,'Control Room'!$B$16/4))^2),1)</x:f>
        <x:v>1</x:v>
      </x:c>
      <x:c r="AZ508" s="9" t="n">
        <x:f>MOD(BA507*16807,2147483647)</x:f>
        <x:v>1467745932</x:v>
      </x:c>
      <x:c r="BA508" s="9" t="n">
        <x:f>MOD(AZ508*16807,2147483647)</x:f>
        <x:v>261226035</x:v>
      </x:c>
      <x:c r="BB508" s="17" t="n">
        <x:f>IF('Control Room'!$B$5="Normal",'Control Room'!$B$7+'Control Room'!$D$7*SQRT(-2*LN(MAX(0.000000000001,AZ508/2147483647)))*COS(2*PI()*BA508/2147483647),'Control Room'!$B$8+('Control Room'!$D$8-'Control Room'!$B$8)*AZ508/2147483647)</x:f>
        <x:v>1056.6799449265234</x:v>
      </x:c>
      <x:c r="BC508" s="17" t="n">
        <x:f>IF('Control Room'!$B$5="Normal",'Control Room'!$B$7,('Control Room'!$B$8+'Control Room'!$D$8)/2)+'Control Room'!$B$9*(BC507-IF('Control Room'!$B$5="Normal",'Control Room'!$B$7,('Control Room'!$B$8+'Control Room'!$D$8)/2))+SQRT(1-'Control Room'!$B$9^2)*(BB508-IF('Control Room'!$B$5="Normal",'Control Room'!$B$7,('Control Room'!$B$8+'Control Room'!$D$8)/2))</x:f>
        <x:v>981.2703402621887</x:v>
      </x:c>
      <x:c r="BD508" s="17" t="n">
        <x:f>IF(AND($A508&gt;='Control Room'!$A$13,$A508&lt;'Control Room'!$A$13+'Control Room'!$B$13,'Process'!BU2=1),1+('Control Room'!$C$13-1)*EXP(-0.5*(($A508-'Control Room'!$A$13-('Control Room'!$B$13-1)/2)/MAX(0.5,'Control Room'!$B$13/4))^2),1)*IF(AND($A508&gt;='Control Room'!$A$14,$A508&lt;'Control Room'!$A$14+'Control Room'!$B$14,'Process'!BU3=1),1+('Control Room'!$C$14-1)*EXP(-0.5*(($A508-'Control Room'!$A$14-('Control Room'!$B$14-1)/2)/MAX(0.5,'Control Room'!$B$14/4))^2),1)*IF(AND($A508&gt;='Control Room'!$A$15,$A508&lt;'Control Room'!$A$15+'Control Room'!$B$15,'Process'!BU4=1),1+('Control Room'!$C$15-1)*EXP(-0.5*(($A508-'Control Room'!$A$15-('Control Room'!$B$15-1)/2)/MAX(0.5,'Control Room'!$B$15/4))^2),1)*IF(AND($A508&gt;='Control Room'!$A$16,$A508&lt;'Control Room'!$A$16+'Control Room'!$B$16,'Process'!BU5=1),1+('Control Room'!$C$16-1)*EXP(-0.5*(($A508-'Control Room'!$A$16-('Control Room'!$B$16-1)/2)/MAX(0.5,'Control Room'!$B$16/4))^2),1)</x:f>
        <x:v>1</x:v>
      </x:c>
      <x:c r="BE508" s="9" t="n">
        <x:f>MOD(BF507*16807,2147483647)</x:f>
        <x:v>1904689836</x:v>
      </x:c>
      <x:c r="BF508" s="9" t="n">
        <x:f>MOD(BE508*16807,2147483647)</x:f>
        <x:v>1730831470</x:v>
      </x:c>
      <x:c r="BG508" s="17" t="n">
        <x:f>IF('Control Room'!$B$5="Normal",'Control Room'!$B$7+'Control Room'!$D$7*SQRT(-2*LN(MAX(0.000000000001,BE508/2147483647)))*COS(2*PI()*BF508/2147483647),'Control Room'!$B$8+('Control Room'!$D$8-'Control Room'!$B$8)*BE508/2147483647)</x:f>
        <x:v>1015.1892819984073</x:v>
      </x:c>
      <x:c r="BH508" s="17" t="n">
        <x:f>IF('Control Room'!$B$5="Normal",'Control Room'!$B$7,('Control Room'!$B$8+'Control Room'!$D$8)/2)+'Control Room'!$B$9*(BH507-IF('Control Room'!$B$5="Normal",'Control Room'!$B$7,('Control Room'!$B$8+'Control Room'!$D$8)/2))+SQRT(1-'Control Room'!$B$9^2)*(BG508-IF('Control Room'!$B$5="Normal",'Control Room'!$B$7,('Control Room'!$B$8+'Control Room'!$D$8)/2))</x:f>
        <x:v>1011.8168774184912</x:v>
      </x:c>
      <x:c r="BI508" s="17" t="n">
        <x:f>IF(AND($A508&gt;='Control Room'!$A$13,$A508&lt;'Control Room'!$A$13+'Control Room'!$B$13,'Process'!BV2=1),1+('Control Room'!$C$13-1)*EXP(-0.5*(($A508-'Control Room'!$A$13-('Control Room'!$B$13-1)/2)/MAX(0.5,'Control Room'!$B$13/4))^2),1)*IF(AND($A508&gt;='Control Room'!$A$14,$A508&lt;'Control Room'!$A$14+'Control Room'!$B$14,'Process'!BV3=1),1+('Control Room'!$C$14-1)*EXP(-0.5*(($A508-'Control Room'!$A$14-('Control Room'!$B$14-1)/2)/MAX(0.5,'Control Room'!$B$14/4))^2),1)*IF(AND($A508&gt;='Control Room'!$A$15,$A508&lt;'Control Room'!$A$15+'Control Room'!$B$15,'Process'!BV4=1),1+('Control Room'!$C$15-1)*EXP(-0.5*(($A508-'Control Room'!$A$15-('Control Room'!$B$15-1)/2)/MAX(0.5,'Control Room'!$B$15/4))^2),1)*IF(AND($A508&gt;='Control Room'!$A$16,$A508&lt;'Control Room'!$A$16+'Control Room'!$B$16,'Process'!BV5=1),1+('Control Room'!$C$16-1)*EXP(-0.5*(($A508-'Control Room'!$A$16-('Control Room'!$B$16-1)/2)/MAX(0.5,'Control Room'!$B$16/4))^2),1)</x:f>
        <x:v>1</x:v>
      </x:c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Z508" t="str">
        <x:f>IF('Data'!A508="","",TEXT('Data'!A508,"mm-dd"))</x:f>
      </x:c>
    </x:row>
    <x:row r="509" ht="21" customHeight="1">
      <x:c r="A509" s="15" t="n">
        <x:f>'Control Room'!$B$1+507</x:f>
        <x:v>73498</x:v>
      </x:c>
      <x:c r="B509" s="9" t="n">
        <x:f>MOD(C508*16807,2147483647)</x:f>
        <x:v>1510562326</x:v>
      </x:c>
      <x:c r="C509" s="9" t="n">
        <x:f>MOD(B509*16807,2147483647)</x:f>
        <x:v>469338248</x:v>
      </x:c>
      <x:c r="D509" s="17" t="n">
        <x:f>IF('Control Room'!$B$5="Normal",'Control Room'!$B$7+'Control Room'!$D$7*SQRT(-2*LN(MAX(0.000000000001,B509/2147483647)))*COS(2*PI()*C509/2147483647),'Control Room'!$B$8+('Control Room'!$D$8-'Control Room'!$B$8)*B509/2147483647)</x:f>
        <x:v>1014.8200208966844</x:v>
      </x:c>
      <x:c r="E509" s="17" t="n">
        <x:f>IF('Control Room'!$B$5="Normal",'Control Room'!$B$7,('Control Room'!$B$8+'Control Room'!$D$8)/2)+'Control Room'!$B$9*(E508-IF('Control Room'!$B$5="Normal",'Control Room'!$B$7,('Control Room'!$B$8+'Control Room'!$D$8)/2))+SQRT(1-'Control Room'!$B$9^2)*(D509-IF('Control Room'!$B$5="Normal",'Control Room'!$B$7,('Control Room'!$B$8+'Control Room'!$D$8)/2))</x:f>
        <x:v>996.8241119422529</x:v>
      </x:c>
      <x:c r="F509" s="17" t="n">
        <x:f>IF(AND($A509&gt;='Control Room'!$A$13,$A509&lt;'Control Room'!$A$13+'Control Room'!$B$13,'Process'!BK2=1),1+('Control Room'!$C$13-1)*EXP(-0.5*(($A509-'Control Room'!$A$13-('Control Room'!$B$13-1)/2)/MAX(0.5,'Control Room'!$B$13/4))^2),1)*IF(AND($A509&gt;='Control Room'!$A$14,$A509&lt;'Control Room'!$A$14+'Control Room'!$B$14,'Process'!BK3=1),1+('Control Room'!$C$14-1)*EXP(-0.5*(($A509-'Control Room'!$A$14-('Control Room'!$B$14-1)/2)/MAX(0.5,'Control Room'!$B$14/4))^2),1)*IF(AND($A509&gt;='Control Room'!$A$15,$A509&lt;'Control Room'!$A$15+'Control Room'!$B$15,'Process'!BK4=1),1+('Control Room'!$C$15-1)*EXP(-0.5*(($A509-'Control Room'!$A$15-('Control Room'!$B$15-1)/2)/MAX(0.5,'Control Room'!$B$15/4))^2),1)*IF(AND($A509&gt;='Control Room'!$A$16,$A509&lt;'Control Room'!$A$16+'Control Room'!$B$16,'Process'!BK5=1),1+('Control Room'!$C$16-1)*EXP(-0.5*(($A509-'Control Room'!$A$16-('Control Room'!$B$16-1)/2)/MAX(0.5,'Control Room'!$B$16/4))^2),1)</x:f>
        <x:v>1</x:v>
      </x:c>
      <x:c r="G509" s="9" t="n">
        <x:f>MOD(H508*16807,2147483647)</x:f>
        <x:v>812200577</x:v>
      </x:c>
      <x:c r="H509" s="9" t="n">
        <x:f>MOD(G509*16807,2147483647)</x:f>
        <x:v>1249037307</x:v>
      </x:c>
      <x:c r="I509" s="17" t="n">
        <x:f>IF('Control Room'!$B$5="Normal",'Control Room'!$B$7+'Control Room'!$D$7*SQRT(-2*LN(MAX(0.000000000001,G509/2147483647)))*COS(2*PI()*H509/2147483647),'Control Room'!$B$8+('Control Room'!$D$8-'Control Room'!$B$8)*G509/2147483647)</x:f>
        <x:v>890.6440550509105</x:v>
      </x:c>
      <x:c r="J509" s="17" t="n">
        <x:f>IF('Control Room'!$B$5="Normal",'Control Room'!$B$7,('Control Room'!$B$8+'Control Room'!$D$8)/2)+'Control Room'!$B$9*(J508-IF('Control Room'!$B$5="Normal",'Control Room'!$B$7,('Control Room'!$B$8+'Control Room'!$D$8)/2))+SQRT(1-'Control Room'!$B$9^2)*(I509-IF('Control Room'!$B$5="Normal",'Control Room'!$B$7,('Control Room'!$B$8+'Control Room'!$D$8)/2))</x:f>
        <x:v>913.1176898345818</x:v>
      </x:c>
      <x:c r="K509" s="17" t="n">
        <x:f>IF(AND($A509&gt;='Control Room'!$A$13,$A509&lt;'Control Room'!$A$13+'Control Room'!$B$13,'Process'!BL2=1),1+('Control Room'!$C$13-1)*EXP(-0.5*(($A509-'Control Room'!$A$13-('Control Room'!$B$13-1)/2)/MAX(0.5,'Control Room'!$B$13/4))^2),1)*IF(AND($A509&gt;='Control Room'!$A$14,$A509&lt;'Control Room'!$A$14+'Control Room'!$B$14,'Process'!BL3=1),1+('Control Room'!$C$14-1)*EXP(-0.5*(($A509-'Control Room'!$A$14-('Control Room'!$B$14-1)/2)/MAX(0.5,'Control Room'!$B$14/4))^2),1)*IF(AND($A509&gt;='Control Room'!$A$15,$A509&lt;'Control Room'!$A$15+'Control Room'!$B$15,'Process'!BL4=1),1+('Control Room'!$C$15-1)*EXP(-0.5*(($A509-'Control Room'!$A$15-('Control Room'!$B$15-1)/2)/MAX(0.5,'Control Room'!$B$15/4))^2),1)*IF(AND($A509&gt;='Control Room'!$A$16,$A509&lt;'Control Room'!$A$16+'Control Room'!$B$16,'Process'!BL5=1),1+('Control Room'!$C$16-1)*EXP(-0.5*(($A509-'Control Room'!$A$16-('Control Room'!$B$16-1)/2)/MAX(0.5,'Control Room'!$B$16/4))^2),1)</x:f>
        <x:v>1</x:v>
      </x:c>
      <x:c r="L509" s="9" t="n">
        <x:f>MOD(M508*16807,2147483647)</x:f>
        <x:v>113838828</x:v>
      </x:c>
      <x:c r="M509" s="9" t="n">
        <x:f>MOD(L509*16807,2147483647)</x:f>
        <x:v>2028736366</x:v>
      </x:c>
      <x:c r="N509" s="17" t="n">
        <x:f>IF('Control Room'!$B$5="Normal",'Control Room'!$B$7+'Control Room'!$D$7*SQRT(-2*LN(MAX(0.000000000001,L509/2147483647)))*COS(2*PI()*M509/2147483647),'Control Room'!$B$8+('Control Room'!$D$8-'Control Room'!$B$8)*L509/2147483647)</x:f>
        <x:v>1205.1031167696824</x:v>
      </x:c>
      <x:c r="O509" s="17" t="n">
        <x:f>IF('Control Room'!$B$5="Normal",'Control Room'!$B$7,('Control Room'!$B$8+'Control Room'!$D$8)/2)+'Control Room'!$B$9*(O508-IF('Control Room'!$B$5="Normal",'Control Room'!$B$7,('Control Room'!$B$8+'Control Room'!$D$8)/2))+SQRT(1-'Control Room'!$B$9^2)*(N509-IF('Control Room'!$B$5="Normal",'Control Room'!$B$7,('Control Room'!$B$8+'Control Room'!$D$8)/2))</x:f>
        <x:v>989.9965796498956</x:v>
      </x:c>
      <x:c r="P509" s="17" t="n">
        <x:f>IF(AND($A509&gt;='Control Room'!$A$13,$A509&lt;'Control Room'!$A$13+'Control Room'!$B$13,'Process'!BM2=1),1+('Control Room'!$C$13-1)*EXP(-0.5*(($A509-'Control Room'!$A$13-('Control Room'!$B$13-1)/2)/MAX(0.5,'Control Room'!$B$13/4))^2),1)*IF(AND($A509&gt;='Control Room'!$A$14,$A509&lt;'Control Room'!$A$14+'Control Room'!$B$14,'Process'!BM3=1),1+('Control Room'!$C$14-1)*EXP(-0.5*(($A509-'Control Room'!$A$14-('Control Room'!$B$14-1)/2)/MAX(0.5,'Control Room'!$B$14/4))^2),1)*IF(AND($A509&gt;='Control Room'!$A$15,$A509&lt;'Control Room'!$A$15+'Control Room'!$B$15,'Process'!BM4=1),1+('Control Room'!$C$15-1)*EXP(-0.5*(($A509-'Control Room'!$A$15-('Control Room'!$B$15-1)/2)/MAX(0.5,'Control Room'!$B$15/4))^2),1)*IF(AND($A509&gt;='Control Room'!$A$16,$A509&lt;'Control Room'!$A$16+'Control Room'!$B$16,'Process'!BM5=1),1+('Control Room'!$C$16-1)*EXP(-0.5*(($A509-'Control Room'!$A$16-('Control Room'!$B$16-1)/2)/MAX(0.5,'Control Room'!$B$16/4))^2),1)</x:f>
        <x:v>1</x:v>
      </x:c>
      <x:c r="Q509" s="9" t="n">
        <x:f>MOD(R508*16807,2147483647)</x:f>
        <x:v>1562960726</x:v>
      </x:c>
      <x:c r="R509" s="9" t="n">
        <x:f>MOD(Q509*16807,2147483647)</x:f>
        <x:v>660951778</x:v>
      </x:c>
      <x:c r="S509" s="17" t="n">
        <x:f>IF('Control Room'!$B$5="Normal",'Control Room'!$B$7+'Control Room'!$D$7*SQRT(-2*LN(MAX(0.000000000001,Q509/2147483647)))*COS(2*PI()*R509/2147483647),'Control Room'!$B$8+('Control Room'!$D$8-'Control Room'!$B$8)*Q509/2147483647)</x:f>
        <x:v>974.5229620619664</x:v>
      </x:c>
      <x:c r="T509" s="17" t="n">
        <x:f>IF('Control Room'!$B$5="Normal",'Control Room'!$B$7,('Control Room'!$B$8+'Control Room'!$D$8)/2)+'Control Room'!$B$9*(T508-IF('Control Room'!$B$5="Normal",'Control Room'!$B$7,('Control Room'!$B$8+'Control Room'!$D$8)/2))+SQRT(1-'Control Room'!$B$9^2)*(S509-IF('Control Room'!$B$5="Normal",'Control Room'!$B$7,('Control Room'!$B$8+'Control Room'!$D$8)/2))</x:f>
        <x:v>852.2208170644227</x:v>
      </x:c>
      <x:c r="U509" s="17" t="n">
        <x:f>IF(AND($A509&gt;='Control Room'!$A$13,$A509&lt;'Control Room'!$A$13+'Control Room'!$B$13,'Process'!BN2=1),1+('Control Room'!$C$13-1)*EXP(-0.5*(($A509-'Control Room'!$A$13-('Control Room'!$B$13-1)/2)/MAX(0.5,'Control Room'!$B$13/4))^2),1)*IF(AND($A509&gt;='Control Room'!$A$14,$A509&lt;'Control Room'!$A$14+'Control Room'!$B$14,'Process'!BN3=1),1+('Control Room'!$C$14-1)*EXP(-0.5*(($A509-'Control Room'!$A$14-('Control Room'!$B$14-1)/2)/MAX(0.5,'Control Room'!$B$14/4))^2),1)*IF(AND($A509&gt;='Control Room'!$A$15,$A509&lt;'Control Room'!$A$15+'Control Room'!$B$15,'Process'!BN4=1),1+('Control Room'!$C$15-1)*EXP(-0.5*(($A509-'Control Room'!$A$15-('Control Room'!$B$15-1)/2)/MAX(0.5,'Control Room'!$B$15/4))^2),1)*IF(AND($A509&gt;='Control Room'!$A$16,$A509&lt;'Control Room'!$A$16+'Control Room'!$B$16,'Process'!BN5=1),1+('Control Room'!$C$16-1)*EXP(-0.5*(($A509-'Control Room'!$A$16-('Control Room'!$B$16-1)/2)/MAX(0.5,'Control Room'!$B$16/4))^2),1)</x:f>
        <x:v>1</x:v>
      </x:c>
      <x:c r="V509" s="9" t="n">
        <x:f>MOD(W508*16807,2147483647)</x:f>
        <x:v>864598977</x:v>
      </x:c>
      <x:c r="W509" s="9" t="n">
        <x:f>MOD(V509*16807,2147483647)</x:f>
        <x:v>1440650837</x:v>
      </x:c>
      <x:c r="X509" s="17" t="n">
        <x:f>IF('Control Room'!$B$5="Normal",'Control Room'!$B$7+'Control Room'!$D$7*SQRT(-2*LN(MAX(0.000000000001,V509/2147483647)))*COS(2*PI()*W509/2147483647),'Control Room'!$B$8+('Control Room'!$D$8-'Control Room'!$B$8)*V509/2147483647)</x:f>
        <x:v>942.0865339704432</x:v>
      </x:c>
      <x:c r="Y509" s="17" t="n">
        <x:f>IF('Control Room'!$B$5="Normal",'Control Room'!$B$7,('Control Room'!$B$8+'Control Room'!$D$8)/2)+'Control Room'!$B$9*(Y508-IF('Control Room'!$B$5="Normal",'Control Room'!$B$7,('Control Room'!$B$8+'Control Room'!$D$8)/2))+SQRT(1-'Control Room'!$B$9^2)*(X509-IF('Control Room'!$B$5="Normal",'Control Room'!$B$7,('Control Room'!$B$8+'Control Room'!$D$8)/2))</x:f>
        <x:v>1005.4581122359344</x:v>
      </x:c>
      <x:c r="Z509" s="17" t="n">
        <x:f>IF(AND($A509&gt;='Control Room'!$A$13,$A509&lt;'Control Room'!$A$13+'Control Room'!$B$13,'Process'!BO2=1),1+('Control Room'!$C$13-1)*EXP(-0.5*(($A509-'Control Room'!$A$13-('Control Room'!$B$13-1)/2)/MAX(0.5,'Control Room'!$B$13/4))^2),1)*IF(AND($A509&gt;='Control Room'!$A$14,$A509&lt;'Control Room'!$A$14+'Control Room'!$B$14,'Process'!BO3=1),1+('Control Room'!$C$14-1)*EXP(-0.5*(($A509-'Control Room'!$A$14-('Control Room'!$B$14-1)/2)/MAX(0.5,'Control Room'!$B$14/4))^2),1)*IF(AND($A509&gt;='Control Room'!$A$15,$A509&lt;'Control Room'!$A$15+'Control Room'!$B$15,'Process'!BO4=1),1+('Control Room'!$C$15-1)*EXP(-0.5*(($A509-'Control Room'!$A$15-('Control Room'!$B$15-1)/2)/MAX(0.5,'Control Room'!$B$15/4))^2),1)*IF(AND($A509&gt;='Control Room'!$A$16,$A509&lt;'Control Room'!$A$16+'Control Room'!$B$16,'Process'!BO5=1),1+('Control Room'!$C$16-1)*EXP(-0.5*(($A509-'Control Room'!$A$16-('Control Room'!$B$16-1)/2)/MAX(0.5,'Control Room'!$B$16/4))^2),1)</x:f>
        <x:v>1</x:v>
      </x:c>
      <x:c r="AA509" s="9" t="n">
        <x:f>MOD(AB508*16807,2147483647)</x:f>
        <x:v>166237228</x:v>
      </x:c>
      <x:c r="AB509" s="9" t="n">
        <x:f>MOD(AA509*16807,2147483647)</x:f>
        <x:v>72866249</x:v>
      </x:c>
      <x:c r="AC509" s="17" t="n">
        <x:f>IF('Control Room'!$B$5="Normal",'Control Room'!$B$7+'Control Room'!$D$7*SQRT(-2*LN(MAX(0.000000000001,AA509/2147483647)))*COS(2*PI()*AB509/2147483647),'Control Room'!$B$8+('Control Room'!$D$8-'Control Room'!$B$8)*AA509/2147483647)</x:f>
        <x:v>1198.983157391353</x:v>
      </x:c>
      <x:c r="AD509" s="17" t="n">
        <x:f>IF('Control Room'!$B$5="Normal",'Control Room'!$B$7,('Control Room'!$B$8+'Control Room'!$D$8)/2)+'Control Room'!$B$9*(AD508-IF('Control Room'!$B$5="Normal",'Control Room'!$B$7,('Control Room'!$B$8+'Control Room'!$D$8)/2))+SQRT(1-'Control Room'!$B$9^2)*(AC509-IF('Control Room'!$B$5="Normal",'Control Room'!$B$7,('Control Room'!$B$8+'Control Room'!$D$8)/2))</x:f>
        <x:v>958.8643122460749</x:v>
      </x:c>
      <x:c r="AE509" s="17" t="n">
        <x:f>IF(AND($A509&gt;='Control Room'!$A$13,$A509&lt;'Control Room'!$A$13+'Control Room'!$B$13,'Process'!BP2=1),1+('Control Room'!$C$13-1)*EXP(-0.5*(($A509-'Control Room'!$A$13-('Control Room'!$B$13-1)/2)/MAX(0.5,'Control Room'!$B$13/4))^2),1)*IF(AND($A509&gt;='Control Room'!$A$14,$A509&lt;'Control Room'!$A$14+'Control Room'!$B$14,'Process'!BP3=1),1+('Control Room'!$C$14-1)*EXP(-0.5*(($A509-'Control Room'!$A$14-('Control Room'!$B$14-1)/2)/MAX(0.5,'Control Room'!$B$14/4))^2),1)*IF(AND($A509&gt;='Control Room'!$A$15,$A509&lt;'Control Room'!$A$15+'Control Room'!$B$15,'Process'!BP4=1),1+('Control Room'!$C$15-1)*EXP(-0.5*(($A509-'Control Room'!$A$15-('Control Room'!$B$15-1)/2)/MAX(0.5,'Control Room'!$B$15/4))^2),1)*IF(AND($A509&gt;='Control Room'!$A$16,$A509&lt;'Control Room'!$A$16+'Control Room'!$B$16,'Process'!BP5=1),1+('Control Room'!$C$16-1)*EXP(-0.5*(($A509-'Control Room'!$A$16-('Control Room'!$B$16-1)/2)/MAX(0.5,'Control Room'!$B$16/4))^2),1)</x:f>
        <x:v>1</x:v>
      </x:c>
      <x:c r="AF509" s="9" t="n">
        <x:f>MOD(AG508*16807,2147483647)</x:f>
        <x:v>1615359126</x:v>
      </x:c>
      <x:c r="AG509" s="9" t="n">
        <x:f>MOD(AF509*16807,2147483647)</x:f>
        <x:v>852565308</x:v>
      </x:c>
      <x:c r="AH509" s="17" t="n">
        <x:f>IF('Control Room'!$B$5="Normal",'Control Room'!$B$7+'Control Room'!$D$7*SQRT(-2*LN(MAX(0.000000000001,AF509/2147483647)))*COS(2*PI()*AG509/2147483647),'Control Room'!$B$8+('Control Room'!$D$8-'Control Room'!$B$8)*AF509/2147483647)</x:f>
        <x:v>945.8141273489504</x:v>
      </x:c>
      <x:c r="AI509" s="17" t="n">
        <x:f>IF('Control Room'!$B$5="Normal",'Control Room'!$B$7,('Control Room'!$B$8+'Control Room'!$D$8)/2)+'Control Room'!$B$9*(AI508-IF('Control Room'!$B$5="Normal",'Control Room'!$B$7,('Control Room'!$B$8+'Control Room'!$D$8)/2))+SQRT(1-'Control Room'!$B$9^2)*(AH509-IF('Control Room'!$B$5="Normal",'Control Room'!$B$7,('Control Room'!$B$8+'Control Room'!$D$8)/2))</x:f>
        <x:v>881.7052094288274</x:v>
      </x:c>
      <x:c r="AJ509" s="17" t="n">
        <x:f>IF(AND($A509&gt;='Control Room'!$A$13,$A509&lt;'Control Room'!$A$13+'Control Room'!$B$13,'Process'!BQ2=1),1+('Control Room'!$C$13-1)*EXP(-0.5*(($A509-'Control Room'!$A$13-('Control Room'!$B$13-1)/2)/MAX(0.5,'Control Room'!$B$13/4))^2),1)*IF(AND($A509&gt;='Control Room'!$A$14,$A509&lt;'Control Room'!$A$14+'Control Room'!$B$14,'Process'!BQ3=1),1+('Control Room'!$C$14-1)*EXP(-0.5*(($A509-'Control Room'!$A$14-('Control Room'!$B$14-1)/2)/MAX(0.5,'Control Room'!$B$14/4))^2),1)*IF(AND($A509&gt;='Control Room'!$A$15,$A509&lt;'Control Room'!$A$15+'Control Room'!$B$15,'Process'!BQ4=1),1+('Control Room'!$C$15-1)*EXP(-0.5*(($A509-'Control Room'!$A$15-('Control Room'!$B$15-1)/2)/MAX(0.5,'Control Room'!$B$15/4))^2),1)*IF(AND($A509&gt;='Control Room'!$A$16,$A509&lt;'Control Room'!$A$16+'Control Room'!$B$16,'Process'!BQ5=1),1+('Control Room'!$C$16-1)*EXP(-0.5*(($A509-'Control Room'!$A$16-('Control Room'!$B$16-1)/2)/MAX(0.5,'Control Room'!$B$16/4))^2),1)</x:f>
        <x:v>1</x:v>
      </x:c>
      <x:c r="AK509" s="9" t="n">
        <x:f>MOD(AL508*16807,2147483647)</x:f>
        <x:v>916997377</x:v>
      </x:c>
      <x:c r="AL509" s="9" t="n">
        <x:f>MOD(AK509*16807,2147483647)</x:f>
        <x:v>1632264367</x:v>
      </x:c>
      <x:c r="AM509" s="17" t="n">
        <x:f>IF('Control Room'!$B$5="Normal",'Control Room'!$B$7+'Control Room'!$D$7*SQRT(-2*LN(MAX(0.000000000001,AK509/2147483647)))*COS(2*PI()*AL509/2147483647),'Control Room'!$B$8+('Control Room'!$D$8-'Control Room'!$B$8)*AK509/2147483647)</x:f>
        <x:v>1007.4329119710003</x:v>
      </x:c>
      <x:c r="AN509" s="17" t="n">
        <x:f>IF('Control Room'!$B$5="Normal",'Control Room'!$B$7,('Control Room'!$B$8+'Control Room'!$D$8)/2)+'Control Room'!$B$9*(AN508-IF('Control Room'!$B$5="Normal",'Control Room'!$B$7,('Control Room'!$B$8+'Control Room'!$D$8)/2))+SQRT(1-'Control Room'!$B$9^2)*(AM509-IF('Control Room'!$B$5="Normal",'Control Room'!$B$7,('Control Room'!$B$8+'Control Room'!$D$8)/2))</x:f>
        <x:v>1013.8193971513765</x:v>
      </x:c>
      <x:c r="AO509" s="17" t="n">
        <x:f>IF(AND($A509&gt;='Control Room'!$A$13,$A509&lt;'Control Room'!$A$13+'Control Room'!$B$13,'Process'!BR2=1),1+('Control Room'!$C$13-1)*EXP(-0.5*(($A509-'Control Room'!$A$13-('Control Room'!$B$13-1)/2)/MAX(0.5,'Control Room'!$B$13/4))^2),1)*IF(AND($A509&gt;='Control Room'!$A$14,$A509&lt;'Control Room'!$A$14+'Control Room'!$B$14,'Process'!BR3=1),1+('Control Room'!$C$14-1)*EXP(-0.5*(($A509-'Control Room'!$A$14-('Control Room'!$B$14-1)/2)/MAX(0.5,'Control Room'!$B$14/4))^2),1)*IF(AND($A509&gt;='Control Room'!$A$15,$A509&lt;'Control Room'!$A$15+'Control Room'!$B$15,'Process'!BR4=1),1+('Control Room'!$C$15-1)*EXP(-0.5*(($A509-'Control Room'!$A$15-('Control Room'!$B$15-1)/2)/MAX(0.5,'Control Room'!$B$15/4))^2),1)*IF(AND($A509&gt;='Control Room'!$A$16,$A509&lt;'Control Room'!$A$16+'Control Room'!$B$16,'Process'!BR5=1),1+('Control Room'!$C$16-1)*EXP(-0.5*(($A509-'Control Room'!$A$16-('Control Room'!$B$16-1)/2)/MAX(0.5,'Control Room'!$B$16/4))^2),1)</x:f>
        <x:v>1</x:v>
      </x:c>
      <x:c r="AP509" s="9" t="n">
        <x:f>MOD(AQ508*16807,2147483647)</x:f>
        <x:v>218635628</x:v>
      </x:c>
      <x:c r="AQ509" s="9" t="n">
        <x:f>MOD(AP509*16807,2147483647)</x:f>
        <x:v>264479779</x:v>
      </x:c>
      <x:c r="AR509" s="17" t="n">
        <x:f>IF('Control Room'!$B$5="Normal",'Control Room'!$B$7+'Control Room'!$D$7*SQRT(-2*LN(MAX(0.000000000001,AP509/2147483647)))*COS(2*PI()*AQ509/2147483647),'Control Room'!$B$8+('Control Room'!$D$8-'Control Room'!$B$8)*AP509/2147483647)</x:f>
        <x:v>1137.600676030492</x:v>
      </x:c>
      <x:c r="AS509" s="17" t="n">
        <x:f>IF('Control Room'!$B$5="Normal",'Control Room'!$B$7,('Control Room'!$B$8+'Control Room'!$D$8)/2)+'Control Room'!$B$9*(AS508-IF('Control Room'!$B$5="Normal",'Control Room'!$B$7,('Control Room'!$B$8+'Control Room'!$D$8)/2))+SQRT(1-'Control Room'!$B$9^2)*(AR509-IF('Control Room'!$B$5="Normal",'Control Room'!$B$7,('Control Room'!$B$8+'Control Room'!$D$8)/2))</x:f>
        <x:v>1124.8048181672655</x:v>
      </x:c>
      <x:c r="AT509" s="17" t="n">
        <x:f>IF(AND($A509&gt;='Control Room'!$A$13,$A509&lt;'Control Room'!$A$13+'Control Room'!$B$13,'Process'!BS2=1),1+('Control Room'!$C$13-1)*EXP(-0.5*(($A509-'Control Room'!$A$13-('Control Room'!$B$13-1)/2)/MAX(0.5,'Control Room'!$B$13/4))^2),1)*IF(AND($A509&gt;='Control Room'!$A$14,$A509&lt;'Control Room'!$A$14+'Control Room'!$B$14,'Process'!BS3=1),1+('Control Room'!$C$14-1)*EXP(-0.5*(($A509-'Control Room'!$A$14-('Control Room'!$B$14-1)/2)/MAX(0.5,'Control Room'!$B$14/4))^2),1)*IF(AND($A509&gt;='Control Room'!$A$15,$A509&lt;'Control Room'!$A$15+'Control Room'!$B$15,'Process'!BS4=1),1+('Control Room'!$C$15-1)*EXP(-0.5*(($A509-'Control Room'!$A$15-('Control Room'!$B$15-1)/2)/MAX(0.5,'Control Room'!$B$15/4))^2),1)*IF(AND($A509&gt;='Control Room'!$A$16,$A509&lt;'Control Room'!$A$16+'Control Room'!$B$16,'Process'!BS5=1),1+('Control Room'!$C$16-1)*EXP(-0.5*(($A509-'Control Room'!$A$16-('Control Room'!$B$16-1)/2)/MAX(0.5,'Control Room'!$B$16/4))^2),1)</x:f>
        <x:v>1</x:v>
      </x:c>
      <x:c r="AU509" s="9" t="n">
        <x:f>MOD(AV508*16807,2147483647)</x:f>
        <x:v>1667757526</x:v>
      </x:c>
      <x:c r="AV509" s="9" t="n">
        <x:f>MOD(AU509*16807,2147483647)</x:f>
        <x:v>1044178838</x:v>
      </x:c>
      <x:c r="AW509" s="17" t="n">
        <x:f>IF('Control Room'!$B$5="Normal",'Control Room'!$B$7+'Control Room'!$D$7*SQRT(-2*LN(MAX(0.000000000001,AU509/2147483647)))*COS(2*PI()*AV509/2147483647),'Control Room'!$B$8+('Control Room'!$D$8-'Control Room'!$B$8)*AU509/2147483647)</x:f>
        <x:v>936.2421218269421</x:v>
      </x:c>
      <x:c r="AX509" s="17" t="n">
        <x:f>IF('Control Room'!$B$5="Normal",'Control Room'!$B$7,('Control Room'!$B$8+'Control Room'!$D$8)/2)+'Control Room'!$B$9*(AX508-IF('Control Room'!$B$5="Normal",'Control Room'!$B$7,('Control Room'!$B$8+'Control Room'!$D$8)/2))+SQRT(1-'Control Room'!$B$9^2)*(AW509-IF('Control Room'!$B$5="Normal",'Control Room'!$B$7,('Control Room'!$B$8+'Control Room'!$D$8)/2))</x:f>
        <x:v>851.6351574148016</x:v>
      </x:c>
      <x:c r="AY509" s="17" t="n">
        <x:f>IF(AND($A509&gt;='Control Room'!$A$13,$A509&lt;'Control Room'!$A$13+'Control Room'!$B$13,'Process'!BT2=1),1+('Control Room'!$C$13-1)*EXP(-0.5*(($A509-'Control Room'!$A$13-('Control Room'!$B$13-1)/2)/MAX(0.5,'Control Room'!$B$13/4))^2),1)*IF(AND($A509&gt;='Control Room'!$A$14,$A509&lt;'Control Room'!$A$14+'Control Room'!$B$14,'Process'!BT3=1),1+('Control Room'!$C$14-1)*EXP(-0.5*(($A509-'Control Room'!$A$14-('Control Room'!$B$14-1)/2)/MAX(0.5,'Control Room'!$B$14/4))^2),1)*IF(AND($A509&gt;='Control Room'!$A$15,$A509&lt;'Control Room'!$A$15+'Control Room'!$B$15,'Process'!BT4=1),1+('Control Room'!$C$15-1)*EXP(-0.5*(($A509-'Control Room'!$A$15-('Control Room'!$B$15-1)/2)/MAX(0.5,'Control Room'!$B$15/4))^2),1)*IF(AND($A509&gt;='Control Room'!$A$16,$A509&lt;'Control Room'!$A$16+'Control Room'!$B$16,'Process'!BT5=1),1+('Control Room'!$C$16-1)*EXP(-0.5*(($A509-'Control Room'!$A$16-('Control Room'!$B$16-1)/2)/MAX(0.5,'Control Room'!$B$16/4))^2),1)</x:f>
        <x:v>1</x:v>
      </x:c>
      <x:c r="AZ509" s="9" t="n">
        <x:f>MOD(BA508*16807,2147483647)</x:f>
        <x:v>969395777</x:v>
      </x:c>
      <x:c r="BA509" s="9" t="n">
        <x:f>MOD(AZ509*16807,2147483647)</x:f>
        <x:v>1823877897</x:v>
      </x:c>
      <x:c r="BB509" s="17" t="n">
        <x:f>IF('Control Room'!$B$5="Normal",'Control Room'!$B$7+'Control Room'!$D$7*SQRT(-2*LN(MAX(0.000000000001,AZ509/2147483647)))*COS(2*PI()*BA509/2147483647),'Control Room'!$B$8+('Control Room'!$D$8-'Control Room'!$B$8)*AZ509/2147483647)</x:f>
        <x:v>1066.3219619949757</x:v>
      </x:c>
      <x:c r="BC509" s="17" t="n">
        <x:f>IF('Control Room'!$B$5="Normal",'Control Room'!$B$7,('Control Room'!$B$8+'Control Room'!$D$8)/2)+'Control Room'!$B$9*(BC508-IF('Control Room'!$B$5="Normal",'Control Room'!$B$7,('Control Room'!$B$8+'Control Room'!$D$8)/2))+SQRT(1-'Control Room'!$B$9^2)*(BB509-IF('Control Room'!$B$5="Normal",'Control Room'!$B$7,('Control Room'!$B$8+'Control Room'!$D$8)/2))</x:f>
        <x:v>1026.8937905417206</x:v>
      </x:c>
      <x:c r="BD509" s="17" t="n">
        <x:f>IF(AND($A509&gt;='Control Room'!$A$13,$A509&lt;'Control Room'!$A$13+'Control Room'!$B$13,'Process'!BU2=1),1+('Control Room'!$C$13-1)*EXP(-0.5*(($A509-'Control Room'!$A$13-('Control Room'!$B$13-1)/2)/MAX(0.5,'Control Room'!$B$13/4))^2),1)*IF(AND($A509&gt;='Control Room'!$A$14,$A509&lt;'Control Room'!$A$14+'Control Room'!$B$14,'Process'!BU3=1),1+('Control Room'!$C$14-1)*EXP(-0.5*(($A509-'Control Room'!$A$14-('Control Room'!$B$14-1)/2)/MAX(0.5,'Control Room'!$B$14/4))^2),1)*IF(AND($A509&gt;='Control Room'!$A$15,$A509&lt;'Control Room'!$A$15+'Control Room'!$B$15,'Process'!BU4=1),1+('Control Room'!$C$15-1)*EXP(-0.5*(($A509-'Control Room'!$A$15-('Control Room'!$B$15-1)/2)/MAX(0.5,'Control Room'!$B$15/4))^2),1)*IF(AND($A509&gt;='Control Room'!$A$16,$A509&lt;'Control Room'!$A$16+'Control Room'!$B$16,'Process'!BU5=1),1+('Control Room'!$C$16-1)*EXP(-0.5*(($A509-'Control Room'!$A$16-('Control Room'!$B$16-1)/2)/MAX(0.5,'Control Room'!$B$16/4))^2),1)</x:f>
        <x:v>1</x:v>
      </x:c>
      <x:c r="BE509" s="9" t="n">
        <x:f>MOD(BF508*16807,2147483647)</x:f>
        <x:v>271034028</x:v>
      </x:c>
      <x:c r="BF509" s="9" t="n">
        <x:f>MOD(BE509*16807,2147483647)</x:f>
        <x:v>456093309</x:v>
      </x:c>
      <x:c r="BG509" s="17" t="n">
        <x:f>IF('Control Room'!$B$5="Normal",'Control Room'!$B$7+'Control Room'!$D$7*SQRT(-2*LN(MAX(0.000000000001,BE509/2147483647)))*COS(2*PI()*BF509/2147483647),'Control Room'!$B$8+('Control Room'!$D$8-'Control Room'!$B$8)*BE509/2147483647)</x:f>
        <x:v>1042.8758562586434</x:v>
      </x:c>
      <x:c r="BH509" s="17" t="n">
        <x:f>IF('Control Room'!$B$5="Normal",'Control Room'!$B$7,('Control Room'!$B$8+'Control Room'!$D$8)/2)+'Control Room'!$B$9*(BH508-IF('Control Room'!$B$5="Normal",'Control Room'!$B$7,('Control Room'!$B$8+'Control Room'!$D$8)/2))+SQRT(1-'Control Room'!$B$9^2)*(BG509-IF('Control Room'!$B$5="Normal",'Control Room'!$B$7,('Control Room'!$B$8+'Control Room'!$D$8)/2))</x:f>
        <x:v>1036.0479968734237</x:v>
      </x:c>
      <x:c r="BI509" s="17" t="n">
        <x:f>IF(AND($A509&gt;='Control Room'!$A$13,$A509&lt;'Control Room'!$A$13+'Control Room'!$B$13,'Process'!BV2=1),1+('Control Room'!$C$13-1)*EXP(-0.5*(($A509-'Control Room'!$A$13-('Control Room'!$B$13-1)/2)/MAX(0.5,'Control Room'!$B$13/4))^2),1)*IF(AND($A509&gt;='Control Room'!$A$14,$A509&lt;'Control Room'!$A$14+'Control Room'!$B$14,'Process'!BV3=1),1+('Control Room'!$C$14-1)*EXP(-0.5*(($A509-'Control Room'!$A$14-('Control Room'!$B$14-1)/2)/MAX(0.5,'Control Room'!$B$14/4))^2),1)*IF(AND($A509&gt;='Control Room'!$A$15,$A509&lt;'Control Room'!$A$15+'Control Room'!$B$15,'Process'!BV4=1),1+('Control Room'!$C$15-1)*EXP(-0.5*(($A509-'Control Room'!$A$15-('Control Room'!$B$15-1)/2)/MAX(0.5,'Control Room'!$B$15/4))^2),1)*IF(AND($A509&gt;='Control Room'!$A$16,$A509&lt;'Control Room'!$A$16+'Control Room'!$B$16,'Process'!BV5=1),1+('Control Room'!$C$16-1)*EXP(-0.5*(($A509-'Control Room'!$A$16-('Control Room'!$B$16-1)/2)/MAX(0.5,'Control Room'!$B$16/4))^2),1)</x:f>
        <x:v>1</x:v>
      </x:c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Z509" t="str">
        <x:f>IF('Data'!A509="","",TEXT('Data'!A509,"mm-dd"))</x:f>
      </x:c>
    </x:row>
    <x:row r="510" ht="21" customHeight="1">
      <x:c r="A510" s="15" t="n">
        <x:f>'Control Room'!$B$1+508</x:f>
        <x:v>73499</x:v>
      </x:c>
      <x:c r="B510" s="9" t="n">
        <x:f>MOD(C509*16807,2147483647)</x:f>
        <x:v>460498705</x:v>
      </x:c>
      <x:c r="C510" s="9" t="n">
        <x:f>MOD(B510*16807,2147483647)</x:f>
        <x:v>70671147</x:v>
      </x:c>
      <x:c r="D510" s="17" t="n">
        <x:f>IF('Control Room'!$B$5="Normal",'Control Room'!$B$7+'Control Room'!$D$7*SQRT(-2*LN(MAX(0.000000000001,B510/2147483647)))*COS(2*PI()*C510/2147483647),'Control Room'!$B$8+('Control Room'!$D$8-'Control Room'!$B$8)*B510/2147483647)</x:f>
        <x:v>1154.5718803295301</x:v>
      </x:c>
      <x:c r="E510" s="17" t="n">
        <x:f>IF('Control Room'!$B$5="Normal",'Control Room'!$B$7,('Control Room'!$B$8+'Control Room'!$D$8)/2)+'Control Room'!$B$9*(E509-IF('Control Room'!$B$5="Normal",'Control Room'!$B$7,('Control Room'!$B$8+'Control Room'!$D$8)/2))+SQRT(1-'Control Room'!$B$9^2)*(D510-IF('Control Room'!$B$5="Normal",'Control Room'!$B$7,('Control Room'!$B$8+'Control Room'!$D$8)/2))</x:f>
        <x:v>1094.25072344809</x:v>
      </x:c>
      <x:c r="F510" s="17" t="n">
        <x:f>IF(AND($A510&gt;='Control Room'!$A$13,$A510&lt;'Control Room'!$A$13+'Control Room'!$B$13,'Process'!BK2=1),1+('Control Room'!$C$13-1)*EXP(-0.5*(($A510-'Control Room'!$A$13-('Control Room'!$B$13-1)/2)/MAX(0.5,'Control Room'!$B$13/4))^2),1)*IF(AND($A510&gt;='Control Room'!$A$14,$A510&lt;'Control Room'!$A$14+'Control Room'!$B$14,'Process'!BK3=1),1+('Control Room'!$C$14-1)*EXP(-0.5*(($A510-'Control Room'!$A$14-('Control Room'!$B$14-1)/2)/MAX(0.5,'Control Room'!$B$14/4))^2),1)*IF(AND($A510&gt;='Control Room'!$A$15,$A510&lt;'Control Room'!$A$15+'Control Room'!$B$15,'Process'!BK4=1),1+('Control Room'!$C$15-1)*EXP(-0.5*(($A510-'Control Room'!$A$15-('Control Room'!$B$15-1)/2)/MAX(0.5,'Control Room'!$B$15/4))^2),1)*IF(AND($A510&gt;='Control Room'!$A$16,$A510&lt;'Control Room'!$A$16+'Control Room'!$B$16,'Process'!BK5=1),1+('Control Room'!$C$16-1)*EXP(-0.5*(($A510-'Control Room'!$A$16-('Control Room'!$B$16-1)/2)/MAX(0.5,'Control Room'!$B$16/4))^2),1)</x:f>
        <x:v>1</x:v>
      </x:c>
      <x:c r="G510" s="9" t="n">
        <x:f>MOD(H509*16807,2147483647)</x:f>
        <x:v>917369324</x:v>
      </x:c>
      <x:c r="H510" s="9" t="n">
        <x:f>MOD(G510*16807,2147483647)</x:f>
        <x:v>1441126655</x:v>
      </x:c>
      <x:c r="I510" s="17" t="n">
        <x:f>IF('Control Room'!$B$5="Normal",'Control Room'!$B$7+'Control Room'!$D$7*SQRT(-2*LN(MAX(0.000000000001,G510/2147483647)))*COS(2*PI()*H510/2147483647),'Control Room'!$B$8+('Control Room'!$D$8-'Control Room'!$B$8)*G510/2147483647)</x:f>
        <x:v>944.147585019629</x:v>
      </x:c>
      <x:c r="J510" s="17" t="n">
        <x:f>IF('Control Room'!$B$5="Normal",'Control Room'!$B$7,('Control Room'!$B$8+'Control Room'!$D$8)/2)+'Control Room'!$B$9*(J509-IF('Control Room'!$B$5="Normal",'Control Room'!$B$7,('Control Room'!$B$8+'Control Room'!$D$8)/2))+SQRT(1-'Control Room'!$B$9^2)*(I510-IF('Control Room'!$B$5="Normal",'Control Room'!$B$7,('Control Room'!$B$8+'Control Room'!$D$8)/2))</x:f>
        <x:v>897.2805009751712</x:v>
      </x:c>
      <x:c r="K510" s="17" t="n">
        <x:f>IF(AND($A510&gt;='Control Room'!$A$13,$A510&lt;'Control Room'!$A$13+'Control Room'!$B$13,'Process'!BL2=1),1+('Control Room'!$C$13-1)*EXP(-0.5*(($A510-'Control Room'!$A$13-('Control Room'!$B$13-1)/2)/MAX(0.5,'Control Room'!$B$13/4))^2),1)*IF(AND($A510&gt;='Control Room'!$A$14,$A510&lt;'Control Room'!$A$14+'Control Room'!$B$14,'Process'!BL3=1),1+('Control Room'!$C$14-1)*EXP(-0.5*(($A510-'Control Room'!$A$14-('Control Room'!$B$14-1)/2)/MAX(0.5,'Control Room'!$B$14/4))^2),1)*IF(AND($A510&gt;='Control Room'!$A$15,$A510&lt;'Control Room'!$A$15+'Control Room'!$B$15,'Process'!BL4=1),1+('Control Room'!$C$15-1)*EXP(-0.5*(($A510-'Control Room'!$A$15-('Control Room'!$B$15-1)/2)/MAX(0.5,'Control Room'!$B$15/4))^2),1)*IF(AND($A510&gt;='Control Room'!$A$16,$A510&lt;'Control Room'!$A$16+'Control Room'!$B$16,'Process'!BL5=1),1+('Control Room'!$C$16-1)*EXP(-0.5*(($A510-'Control Room'!$A$16-('Control Room'!$B$16-1)/2)/MAX(0.5,'Control Room'!$B$16/4))^2),1)</x:f>
        <x:v>1</x:v>
      </x:c>
      <x:c r="L510" s="9" t="n">
        <x:f>MOD(M509*16807,2147483647)</x:f>
        <x:v>1374239943</x:v>
      </x:c>
      <x:c r="M510" s="9" t="n">
        <x:f>MOD(L510*16807,2147483647)</x:f>
        <x:v>664098516</x:v>
      </x:c>
      <x:c r="N510" s="17" t="n">
        <x:f>IF('Control Room'!$B$5="Normal",'Control Room'!$B$7+'Control Room'!$D$7*SQRT(-2*LN(MAX(0.000000000001,L510/2147483647)))*COS(2*PI()*M510/2147483647),'Control Room'!$B$8+('Control Room'!$D$8-'Control Room'!$B$8)*L510/2147483647)</x:f>
        <x:v>969.0705382141289</x:v>
      </x:c>
      <x:c r="O510" s="17" t="n">
        <x:f>IF('Control Room'!$B$5="Normal",'Control Room'!$B$7,('Control Room'!$B$8+'Control Room'!$D$8)/2)+'Control Room'!$B$9*(O509-IF('Control Room'!$B$5="Normal",'Control Room'!$B$7,('Control Room'!$B$8+'Control Room'!$D$8)/2))+SQRT(1-'Control Room'!$B$9^2)*(N510-IF('Control Room'!$B$5="Normal",'Control Room'!$B$7,('Control Room'!$B$8+'Control Room'!$D$8)/2))</x:f>
        <x:v>972.8423085657856</x:v>
      </x:c>
      <x:c r="P510" s="17" t="n">
        <x:f>IF(AND($A510&gt;='Control Room'!$A$13,$A510&lt;'Control Room'!$A$13+'Control Room'!$B$13,'Process'!BM2=1),1+('Control Room'!$C$13-1)*EXP(-0.5*(($A510-'Control Room'!$A$13-('Control Room'!$B$13-1)/2)/MAX(0.5,'Control Room'!$B$13/4))^2),1)*IF(AND($A510&gt;='Control Room'!$A$14,$A510&lt;'Control Room'!$A$14+'Control Room'!$B$14,'Process'!BM3=1),1+('Control Room'!$C$14-1)*EXP(-0.5*(($A510-'Control Room'!$A$14-('Control Room'!$B$14-1)/2)/MAX(0.5,'Control Room'!$B$14/4))^2),1)*IF(AND($A510&gt;='Control Room'!$A$15,$A510&lt;'Control Room'!$A$15+'Control Room'!$B$15,'Process'!BM4=1),1+('Control Room'!$C$15-1)*EXP(-0.5*(($A510-'Control Room'!$A$15-('Control Room'!$B$15-1)/2)/MAX(0.5,'Control Room'!$B$15/4))^2),1)*IF(AND($A510&gt;='Control Room'!$A$16,$A510&lt;'Control Room'!$A$16+'Control Room'!$B$16,'Process'!BM5=1),1+('Control Room'!$C$16-1)*EXP(-0.5*(($A510-'Control Room'!$A$16-('Control Room'!$B$16-1)/2)/MAX(0.5,'Control Room'!$B$16/4))^2),1)</x:f>
        <x:v>1</x:v>
      </x:c>
      <x:c r="Q510" s="9" t="n">
        <x:f>MOD(R509*16807,2147483647)</x:f>
        <x:v>1831110562</x:v>
      </x:c>
      <x:c r="R510" s="9" t="n">
        <x:f>MOD(Q510*16807,2147483647)</x:f>
        <x:v>2034554024</x:v>
      </x:c>
      <x:c r="S510" s="17" t="n">
        <x:f>IF('Control Room'!$B$5="Normal",'Control Room'!$B$7+'Control Room'!$D$7*SQRT(-2*LN(MAX(0.000000000001,Q510/2147483647)))*COS(2*PI()*R510/2147483647),'Control Room'!$B$8+('Control Room'!$D$8-'Control Room'!$B$8)*Q510/2147483647)</x:f>
        <x:v>1048.063501758224</x:v>
      </x:c>
      <x:c r="T510" s="17" t="n">
        <x:f>IF('Control Room'!$B$5="Normal",'Control Room'!$B$7,('Control Room'!$B$8+'Control Room'!$D$8)/2)+'Control Room'!$B$9*(T509-IF('Control Room'!$B$5="Normal",'Control Room'!$B$7,('Control Room'!$B$8+'Control Room'!$D$8)/2))+SQRT(1-'Control Room'!$B$9^2)*(S510-IF('Control Room'!$B$5="Normal",'Control Room'!$B$7,('Control Room'!$B$8+'Control Room'!$D$8)/2))</x:f>
        <x:v>914.8093920761931</x:v>
      </x:c>
      <x:c r="U510" s="17" t="n">
        <x:f>IF(AND($A510&gt;='Control Room'!$A$13,$A510&lt;'Control Room'!$A$13+'Control Room'!$B$13,'Process'!BN2=1),1+('Control Room'!$C$13-1)*EXP(-0.5*(($A510-'Control Room'!$A$13-('Control Room'!$B$13-1)/2)/MAX(0.5,'Control Room'!$B$13/4))^2),1)*IF(AND($A510&gt;='Control Room'!$A$14,$A510&lt;'Control Room'!$A$14+'Control Room'!$B$14,'Process'!BN3=1),1+('Control Room'!$C$14-1)*EXP(-0.5*(($A510-'Control Room'!$A$14-('Control Room'!$B$14-1)/2)/MAX(0.5,'Control Room'!$B$14/4))^2),1)*IF(AND($A510&gt;='Control Room'!$A$15,$A510&lt;'Control Room'!$A$15+'Control Room'!$B$15,'Process'!BN4=1),1+('Control Room'!$C$15-1)*EXP(-0.5*(($A510-'Control Room'!$A$15-('Control Room'!$B$15-1)/2)/MAX(0.5,'Control Room'!$B$15/4))^2),1)*IF(AND($A510&gt;='Control Room'!$A$16,$A510&lt;'Control Room'!$A$16+'Control Room'!$B$16,'Process'!BN5=1),1+('Control Room'!$C$16-1)*EXP(-0.5*(($A510-'Control Room'!$A$16-('Control Room'!$B$16-1)/2)/MAX(0.5,'Control Room'!$B$16/4))^2),1)</x:f>
        <x:v>1</x:v>
      </x:c>
      <x:c r="V510" s="9" t="n">
        <x:f>MOD(W509*16807,2147483647)</x:f>
        <x:v>140497534</x:v>
      </x:c>
      <x:c r="W510" s="9" t="n">
        <x:f>MOD(V510*16807,2147483647)</x:f>
        <x:v>1257525885</x:v>
      </x:c>
      <x:c r="X510" s="17" t="n">
        <x:f>IF('Control Room'!$B$5="Normal",'Control Room'!$B$7+'Control Room'!$D$7*SQRT(-2*LN(MAX(0.000000000001,V510/2147483647)))*COS(2*PI()*W510/2147483647),'Control Room'!$B$8+('Control Room'!$D$8-'Control Room'!$B$8)*V510/2147483647)</x:f>
        <x:v>819.482052639343</x:v>
      </x:c>
      <x:c r="Y510" s="17" t="n">
        <x:f>IF('Control Room'!$B$5="Normal",'Control Room'!$B$7,('Control Room'!$B$8+'Control Room'!$D$8)/2)+'Control Room'!$B$9*(Y509-IF('Control Room'!$B$5="Normal",'Control Room'!$B$7,('Control Room'!$B$8+'Control Room'!$D$8)/2))+SQRT(1-'Control Room'!$B$9^2)*(X510-IF('Control Room'!$B$5="Normal",'Control Room'!$B$7,('Control Room'!$B$8+'Control Room'!$D$8)/2))</x:f>
        <x:v>891.2928941968917</x:v>
      </x:c>
      <x:c r="Z510" s="17" t="n">
        <x:f>IF(AND($A510&gt;='Control Room'!$A$13,$A510&lt;'Control Room'!$A$13+'Control Room'!$B$13,'Process'!BO2=1),1+('Control Room'!$C$13-1)*EXP(-0.5*(($A510-'Control Room'!$A$13-('Control Room'!$B$13-1)/2)/MAX(0.5,'Control Room'!$B$13/4))^2),1)*IF(AND($A510&gt;='Control Room'!$A$14,$A510&lt;'Control Room'!$A$14+'Control Room'!$B$14,'Process'!BO3=1),1+('Control Room'!$C$14-1)*EXP(-0.5*(($A510-'Control Room'!$A$14-('Control Room'!$B$14-1)/2)/MAX(0.5,'Control Room'!$B$14/4))^2),1)*IF(AND($A510&gt;='Control Room'!$A$15,$A510&lt;'Control Room'!$A$15+'Control Room'!$B$15,'Process'!BO4=1),1+('Control Room'!$C$15-1)*EXP(-0.5*(($A510-'Control Room'!$A$15-('Control Room'!$B$15-1)/2)/MAX(0.5,'Control Room'!$B$15/4))^2),1)*IF(AND($A510&gt;='Control Room'!$A$16,$A510&lt;'Control Room'!$A$16+'Control Room'!$B$16,'Process'!BO5=1),1+('Control Room'!$C$16-1)*EXP(-0.5*(($A510-'Control Room'!$A$16-('Control Room'!$B$16-1)/2)/MAX(0.5,'Control Room'!$B$16/4))^2),1)</x:f>
        <x:v>1</x:v>
      </x:c>
      <x:c r="AA510" s="9" t="n">
        <x:f>MOD(AB509*16807,2147483647)</x:f>
        <x:v>597368153</x:v>
      </x:c>
      <x:c r="AB510" s="9" t="n">
        <x:f>MOD(AA510*16807,2147483647)</x:f>
        <x:v>480497746</x:v>
      </x:c>
      <x:c r="AC510" s="17" t="n">
        <x:f>IF('Control Room'!$B$5="Normal",'Control Room'!$B$7+'Control Room'!$D$7*SQRT(-2*LN(MAX(0.000000000001,AA510/2147483647)))*COS(2*PI()*AB510/2147483647),'Control Room'!$B$8+('Control Room'!$D$8-'Control Room'!$B$8)*AA510/2147483647)</x:f>
        <x:v>1023.6391727801271</x:v>
      </x:c>
      <x:c r="AD510" s="17" t="n">
        <x:f>IF('Control Room'!$B$5="Normal",'Control Room'!$B$7,('Control Room'!$B$8+'Control Room'!$D$8)/2)+'Control Room'!$B$9*(AD509-IF('Control Room'!$B$5="Normal",'Control Room'!$B$7,('Control Room'!$B$8+'Control Room'!$D$8)/2))+SQRT(1-'Control Room'!$B$9^2)*(AC510-IF('Control Room'!$B$5="Normal",'Control Room'!$B$7,('Control Room'!$B$8+'Control Room'!$D$8)/2))</x:f>
        <x:v>982.7070736029648</x:v>
      </x:c>
      <x:c r="AE510" s="17" t="n">
        <x:f>IF(AND($A510&gt;='Control Room'!$A$13,$A510&lt;'Control Room'!$A$13+'Control Room'!$B$13,'Process'!BP2=1),1+('Control Room'!$C$13-1)*EXP(-0.5*(($A510-'Control Room'!$A$13-('Control Room'!$B$13-1)/2)/MAX(0.5,'Control Room'!$B$13/4))^2),1)*IF(AND($A510&gt;='Control Room'!$A$14,$A510&lt;'Control Room'!$A$14+'Control Room'!$B$14,'Process'!BP3=1),1+('Control Room'!$C$14-1)*EXP(-0.5*(($A510-'Control Room'!$A$14-('Control Room'!$B$14-1)/2)/MAX(0.5,'Control Room'!$B$14/4))^2),1)*IF(AND($A510&gt;='Control Room'!$A$15,$A510&lt;'Control Room'!$A$15+'Control Room'!$B$15,'Process'!BP4=1),1+('Control Room'!$C$15-1)*EXP(-0.5*(($A510-'Control Room'!$A$15-('Control Room'!$B$15-1)/2)/MAX(0.5,'Control Room'!$B$15/4))^2),1)*IF(AND($A510&gt;='Control Room'!$A$16,$A510&lt;'Control Room'!$A$16+'Control Room'!$B$16,'Process'!BP5=1),1+('Control Room'!$C$16-1)*EXP(-0.5*(($A510-'Control Room'!$A$16-('Control Room'!$B$16-1)/2)/MAX(0.5,'Control Room'!$B$16/4))^2),1)</x:f>
        <x:v>1</x:v>
      </x:c>
      <x:c r="AF510" s="9" t="n">
        <x:f>MOD(AG509*16807,2147483647)</x:f>
        <x:v>1054238772</x:v>
      </x:c>
      <x:c r="AG510" s="9" t="n">
        <x:f>MOD(AF510*16807,2147483647)</x:f>
        <x:v>1850953254</x:v>
      </x:c>
      <x:c r="AH510" s="17" t="n">
        <x:f>IF('Control Room'!$B$5="Normal",'Control Room'!$B$7+'Control Room'!$D$7*SQRT(-2*LN(MAX(0.000000000001,AF510/2147483647)))*COS(2*PI()*AG510/2147483647),'Control Room'!$B$8+('Control Room'!$D$8-'Control Room'!$B$8)*AF510/2147483647)</x:f>
        <x:v>1069.4246815657798</x:v>
      </x:c>
      <x:c r="AI510" s="17" t="n">
        <x:f>IF('Control Room'!$B$5="Normal",'Control Room'!$B$7,('Control Room'!$B$8+'Control Room'!$D$8)/2)+'Control Room'!$B$9*(AI509-IF('Control Room'!$B$5="Normal",'Control Room'!$B$7,('Control Room'!$B$8+'Control Room'!$D$8)/2))+SQRT(1-'Control Room'!$B$9^2)*(AH510-IF('Control Room'!$B$5="Normal",'Control Room'!$B$7,('Control Room'!$B$8+'Control Room'!$D$8)/2))</x:f>
        <x:v>951.1746068364426</x:v>
      </x:c>
      <x:c r="AJ510" s="17" t="n">
        <x:f>IF(AND($A510&gt;='Control Room'!$A$13,$A510&lt;'Control Room'!$A$13+'Control Room'!$B$13,'Process'!BQ2=1),1+('Control Room'!$C$13-1)*EXP(-0.5*(($A510-'Control Room'!$A$13-('Control Room'!$B$13-1)/2)/MAX(0.5,'Control Room'!$B$13/4))^2),1)*IF(AND($A510&gt;='Control Room'!$A$14,$A510&lt;'Control Room'!$A$14+'Control Room'!$B$14,'Process'!BQ3=1),1+('Control Room'!$C$14-1)*EXP(-0.5*(($A510-'Control Room'!$A$14-('Control Room'!$B$14-1)/2)/MAX(0.5,'Control Room'!$B$14/4))^2),1)*IF(AND($A510&gt;='Control Room'!$A$15,$A510&lt;'Control Room'!$A$15+'Control Room'!$B$15,'Process'!BQ4=1),1+('Control Room'!$C$15-1)*EXP(-0.5*(($A510-'Control Room'!$A$15-('Control Room'!$B$15-1)/2)/MAX(0.5,'Control Room'!$B$15/4))^2),1)*IF(AND($A510&gt;='Control Room'!$A$16,$A510&lt;'Control Room'!$A$16+'Control Room'!$B$16,'Process'!BQ5=1),1+('Control Room'!$C$16-1)*EXP(-0.5*(($A510-'Control Room'!$A$16-('Control Room'!$B$16-1)/2)/MAX(0.5,'Control Room'!$B$16/4))^2),1)</x:f>
        <x:v>1</x:v>
      </x:c>
      <x:c r="AK510" s="9" t="n">
        <x:f>MOD(AL509*16807,2147483647)</x:f>
        <x:v>1511109391</x:v>
      </x:c>
      <x:c r="AL510" s="9" t="n">
        <x:f>MOD(AK510*16807,2147483647)</x:f>
        <x:v>1073925115</x:v>
      </x:c>
      <x:c r="AM510" s="17" t="n">
        <x:f>IF('Control Room'!$B$5="Normal",'Control Room'!$B$7+'Control Room'!$D$7*SQRT(-2*LN(MAX(0.000000000001,AK510/2147483647)))*COS(2*PI()*AL510/2147483647),'Control Room'!$B$8+('Control Room'!$D$8-'Control Room'!$B$8)*AK510/2147483647)</x:f>
        <x:v>924.5445043437887</x:v>
      </x:c>
      <x:c r="AN510" s="17" t="n">
        <x:f>IF('Control Room'!$B$5="Normal",'Control Room'!$B$7,('Control Room'!$B$8+'Control Room'!$D$8)/2)+'Control Room'!$B$9*(AN509-IF('Control Room'!$B$5="Normal",'Control Room'!$B$7,('Control Room'!$B$8+'Control Room'!$D$8)/2))+SQRT(1-'Control Room'!$B$9^2)*(AM510-IF('Control Room'!$B$5="Normal",'Control Room'!$B$7,('Control Room'!$B$8+'Control Room'!$D$8)/2))</x:f>
        <x:v>963.5606263862663</x:v>
      </x:c>
      <x:c r="AO510" s="17" t="n">
        <x:f>IF(AND($A510&gt;='Control Room'!$A$13,$A510&lt;'Control Room'!$A$13+'Control Room'!$B$13,'Process'!BR2=1),1+('Control Room'!$C$13-1)*EXP(-0.5*(($A510-'Control Room'!$A$13-('Control Room'!$B$13-1)/2)/MAX(0.5,'Control Room'!$B$13/4))^2),1)*IF(AND($A510&gt;='Control Room'!$A$14,$A510&lt;'Control Room'!$A$14+'Control Room'!$B$14,'Process'!BR3=1),1+('Control Room'!$C$14-1)*EXP(-0.5*(($A510-'Control Room'!$A$14-('Control Room'!$B$14-1)/2)/MAX(0.5,'Control Room'!$B$14/4))^2),1)*IF(AND($A510&gt;='Control Room'!$A$15,$A510&lt;'Control Room'!$A$15+'Control Room'!$B$15,'Process'!BR4=1),1+('Control Room'!$C$15-1)*EXP(-0.5*(($A510-'Control Room'!$A$15-('Control Room'!$B$15-1)/2)/MAX(0.5,'Control Room'!$B$15/4))^2),1)*IF(AND($A510&gt;='Control Room'!$A$16,$A510&lt;'Control Room'!$A$16+'Control Room'!$B$16,'Process'!BR5=1),1+('Control Room'!$C$16-1)*EXP(-0.5*(($A510-'Control Room'!$A$16-('Control Room'!$B$16-1)/2)/MAX(0.5,'Control Room'!$B$16/4))^2),1)</x:f>
        <x:v>1</x:v>
      </x:c>
      <x:c r="AP510" s="9" t="n">
        <x:f>MOD(AQ509*16807,2147483647)</x:f>
        <x:v>1967980010</x:v>
      </x:c>
      <x:c r="AQ510" s="9" t="n">
        <x:f>MOD(AP510*16807,2147483647)</x:f>
        <x:v>296896976</x:v>
      </x:c>
      <x:c r="AR510" s="17" t="n">
        <x:f>IF('Control Room'!$B$5="Normal",'Control Room'!$B$7+'Control Room'!$D$7*SQRT(-2*LN(MAX(0.000000000001,AP510/2147483647)))*COS(2*PI()*AQ510/2147483647),'Control Room'!$B$8+('Control Room'!$D$8-'Control Room'!$B$8)*AP510/2147483647)</x:f>
        <x:v>1024.2864046070358</x:v>
      </x:c>
      <x:c r="AS510" s="17" t="n">
        <x:f>IF('Control Room'!$B$5="Normal",'Control Room'!$B$7,('Control Room'!$B$8+'Control Room'!$D$8)/2)+'Control Room'!$B$9*(AS509-IF('Control Room'!$B$5="Normal",'Control Room'!$B$7,('Control Room'!$B$8+'Control Room'!$D$8)/2))+SQRT(1-'Control Room'!$B$9^2)*(AR510-IF('Control Room'!$B$5="Normal",'Control Room'!$B$7,('Control Room'!$B$8+'Control Room'!$D$8)/2))</x:f>
        <x:v>1112.5456926395084</x:v>
      </x:c>
      <x:c r="AT510" s="17" t="n">
        <x:f>IF(AND($A510&gt;='Control Room'!$A$13,$A510&lt;'Control Room'!$A$13+'Control Room'!$B$13,'Process'!BS2=1),1+('Control Room'!$C$13-1)*EXP(-0.5*(($A510-'Control Room'!$A$13-('Control Room'!$B$13-1)/2)/MAX(0.5,'Control Room'!$B$13/4))^2),1)*IF(AND($A510&gt;='Control Room'!$A$14,$A510&lt;'Control Room'!$A$14+'Control Room'!$B$14,'Process'!BS3=1),1+('Control Room'!$C$14-1)*EXP(-0.5*(($A510-'Control Room'!$A$14-('Control Room'!$B$14-1)/2)/MAX(0.5,'Control Room'!$B$14/4))^2),1)*IF(AND($A510&gt;='Control Room'!$A$15,$A510&lt;'Control Room'!$A$15+'Control Room'!$B$15,'Process'!BS4=1),1+('Control Room'!$C$15-1)*EXP(-0.5*(($A510-'Control Room'!$A$15-('Control Room'!$B$15-1)/2)/MAX(0.5,'Control Room'!$B$15/4))^2),1)*IF(AND($A510&gt;='Control Room'!$A$16,$A510&lt;'Control Room'!$A$16+'Control Room'!$B$16,'Process'!BS5=1),1+('Control Room'!$C$16-1)*EXP(-0.5*(($A510-'Control Room'!$A$16-('Control Room'!$B$16-1)/2)/MAX(0.5,'Control Room'!$B$16/4))^2),1)</x:f>
        <x:v>1</x:v>
      </x:c>
      <x:c r="AU510" s="9" t="n">
        <x:f>MOD(AV509*16807,2147483647)</x:f>
        <x:v>277366982</x:v>
      </x:c>
      <x:c r="AV510" s="9" t="n">
        <x:f>MOD(AU510*16807,2147483647)</x:f>
        <x:v>1667352484</x:v>
      </x:c>
      <x:c r="AW510" s="17" t="n">
        <x:f>IF('Control Room'!$B$5="Normal",'Control Room'!$B$7+'Control Room'!$D$7*SQRT(-2*LN(MAX(0.000000000001,AU510/2147483647)))*COS(2*PI()*AV510/2147483647),'Control Room'!$B$8+('Control Room'!$D$8-'Control Room'!$B$8)*AU510/2147483647)</x:f>
        <x:v>1030.0902959578727</x:v>
      </x:c>
      <x:c r="AX510" s="17" t="n">
        <x:f>IF('Control Room'!$B$5="Normal",'Control Room'!$B$7,('Control Room'!$B$8+'Control Room'!$D$8)/2)+'Control Room'!$B$9*(AX509-IF('Control Room'!$B$5="Normal",'Control Room'!$B$7,('Control Room'!$B$8+'Control Room'!$D$8)/2))+SQRT(1-'Control Room'!$B$9^2)*(AW510-IF('Control Room'!$B$5="Normal",'Control Room'!$B$7,('Control Room'!$B$8+'Control Room'!$D$8)/2))</x:f>
        <x:v>903.1053135607631</x:v>
      </x:c>
      <x:c r="AY510" s="17" t="n">
        <x:f>IF(AND($A510&gt;='Control Room'!$A$13,$A510&lt;'Control Room'!$A$13+'Control Room'!$B$13,'Process'!BT2=1),1+('Control Room'!$C$13-1)*EXP(-0.5*(($A510-'Control Room'!$A$13-('Control Room'!$B$13-1)/2)/MAX(0.5,'Control Room'!$B$13/4))^2),1)*IF(AND($A510&gt;='Control Room'!$A$14,$A510&lt;'Control Room'!$A$14+'Control Room'!$B$14,'Process'!BT3=1),1+('Control Room'!$C$14-1)*EXP(-0.5*(($A510-'Control Room'!$A$14-('Control Room'!$B$14-1)/2)/MAX(0.5,'Control Room'!$B$14/4))^2),1)*IF(AND($A510&gt;='Control Room'!$A$15,$A510&lt;'Control Room'!$A$15+'Control Room'!$B$15,'Process'!BT4=1),1+('Control Room'!$C$15-1)*EXP(-0.5*(($A510-'Control Room'!$A$15-('Control Room'!$B$15-1)/2)/MAX(0.5,'Control Room'!$B$15/4))^2),1)*IF(AND($A510&gt;='Control Room'!$A$16,$A510&lt;'Control Room'!$A$16+'Control Room'!$B$16,'Process'!BT5=1),1+('Control Room'!$C$16-1)*EXP(-0.5*(($A510-'Control Room'!$A$16-('Control Room'!$B$16-1)/2)/MAX(0.5,'Control Room'!$B$16/4))^2),1)</x:f>
        <x:v>1</x:v>
      </x:c>
      <x:c r="AZ510" s="9" t="n">
        <x:f>MOD(BA509*16807,2147483647)</x:f>
        <x:v>734237601</x:v>
      </x:c>
      <x:c r="BA510" s="9" t="n">
        <x:f>MOD(AZ510*16807,2147483647)</x:f>
        <x:v>890324345</x:v>
      </x:c>
      <x:c r="BB510" s="17" t="n">
        <x:f>IF('Control Room'!$B$5="Normal",'Control Room'!$B$7+'Control Room'!$D$7*SQRT(-2*LN(MAX(0.000000000001,AZ510/2147483647)))*COS(2*PI()*BA510/2147483647),'Control Room'!$B$8+('Control Room'!$D$8-'Control Room'!$B$8)*AZ510/2147483647)</x:f>
        <x:v>886.6789768874826</x:v>
      </x:c>
      <x:c r="BC510" s="17" t="n">
        <x:f>IF('Control Room'!$B$5="Normal",'Control Room'!$B$7,('Control Room'!$B$8+'Control Room'!$D$8)/2)+'Control Room'!$B$9*(BC509-IF('Control Room'!$B$5="Normal",'Control Room'!$B$7,('Control Room'!$B$8+'Control Room'!$D$8)/2))+SQRT(1-'Control Room'!$B$9^2)*(BB510-IF('Control Room'!$B$5="Normal",'Control Room'!$B$7,('Control Room'!$B$8+'Control Room'!$D$8)/2))</x:f>
        <x:v>950.0631818660723</x:v>
      </x:c>
      <x:c r="BD510" s="17" t="n">
        <x:f>IF(AND($A510&gt;='Control Room'!$A$13,$A510&lt;'Control Room'!$A$13+'Control Room'!$B$13,'Process'!BU2=1),1+('Control Room'!$C$13-1)*EXP(-0.5*(($A510-'Control Room'!$A$13-('Control Room'!$B$13-1)/2)/MAX(0.5,'Control Room'!$B$13/4))^2),1)*IF(AND($A510&gt;='Control Room'!$A$14,$A510&lt;'Control Room'!$A$14+'Control Room'!$B$14,'Process'!BU3=1),1+('Control Room'!$C$14-1)*EXP(-0.5*(($A510-'Control Room'!$A$14-('Control Room'!$B$14-1)/2)/MAX(0.5,'Control Room'!$B$14/4))^2),1)*IF(AND($A510&gt;='Control Room'!$A$15,$A510&lt;'Control Room'!$A$15+'Control Room'!$B$15,'Process'!BU4=1),1+('Control Room'!$C$15-1)*EXP(-0.5*(($A510-'Control Room'!$A$15-('Control Room'!$B$15-1)/2)/MAX(0.5,'Control Room'!$B$15/4))^2),1)*IF(AND($A510&gt;='Control Room'!$A$16,$A510&lt;'Control Room'!$A$16+'Control Room'!$B$16,'Process'!BU5=1),1+('Control Room'!$C$16-1)*EXP(-0.5*(($A510-'Control Room'!$A$16-('Control Room'!$B$16-1)/2)/MAX(0.5,'Control Room'!$B$16/4))^2),1)</x:f>
        <x:v>1</x:v>
      </x:c>
      <x:c r="BE510" s="9" t="n">
        <x:f>MOD(BF509*16807,2147483647)</x:f>
        <x:v>1191108220</x:v>
      </x:c>
      <x:c r="BF510" s="9" t="n">
        <x:f>MOD(BE510*16807,2147483647)</x:f>
        <x:v>113296206</x:v>
      </x:c>
      <x:c r="BG510" s="17" t="n">
        <x:f>IF('Control Room'!$B$5="Normal",'Control Room'!$B$7+'Control Room'!$D$7*SQRT(-2*LN(MAX(0.000000000001,BE510/2147483647)))*COS(2*PI()*BF510/2147483647),'Control Room'!$B$8+('Control Room'!$D$8-'Control Room'!$B$8)*BE510/2147483647)</x:f>
        <x:v>1092.3966413793482</x:v>
      </x:c>
      <x:c r="BH510" s="17" t="n">
        <x:f>IF('Control Room'!$B$5="Normal",'Control Room'!$B$7,('Control Room'!$B$8+'Control Room'!$D$8)/2)+'Control Room'!$B$9*(BH509-IF('Control Room'!$B$5="Normal",'Control Room'!$B$7,('Control Room'!$B$8+'Control Room'!$D$8)/2))+SQRT(1-'Control Room'!$B$9^2)*(BG510-IF('Control Room'!$B$5="Normal",'Control Room'!$B$7,('Control Room'!$B$8+'Control Room'!$D$8)/2))</x:f>
        <x:v>1085.9373628883825</x:v>
      </x:c>
      <x:c r="BI510" s="17" t="n">
        <x:f>IF(AND($A510&gt;='Control Room'!$A$13,$A510&lt;'Control Room'!$A$13+'Control Room'!$B$13,'Process'!BV2=1),1+('Control Room'!$C$13-1)*EXP(-0.5*(($A510-'Control Room'!$A$13-('Control Room'!$B$13-1)/2)/MAX(0.5,'Control Room'!$B$13/4))^2),1)*IF(AND($A510&gt;='Control Room'!$A$14,$A510&lt;'Control Room'!$A$14+'Control Room'!$B$14,'Process'!BV3=1),1+('Control Room'!$C$14-1)*EXP(-0.5*(($A510-'Control Room'!$A$14-('Control Room'!$B$14-1)/2)/MAX(0.5,'Control Room'!$B$14/4))^2),1)*IF(AND($A510&gt;='Control Room'!$A$15,$A510&lt;'Control Room'!$A$15+'Control Room'!$B$15,'Process'!BV4=1),1+('Control Room'!$C$15-1)*EXP(-0.5*(($A510-'Control Room'!$A$15-('Control Room'!$B$15-1)/2)/MAX(0.5,'Control Room'!$B$15/4))^2),1)*IF(AND($A510&gt;='Control Room'!$A$16,$A510&lt;'Control Room'!$A$16+'Control Room'!$B$16,'Process'!BV5=1),1+('Control Room'!$C$16-1)*EXP(-0.5*(($A510-'Control Room'!$A$16-('Control Room'!$B$16-1)/2)/MAX(0.5,'Control Room'!$B$16/4))^2),1)</x:f>
        <x:v>1</x:v>
      </x:c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Z510" t="str">
        <x:f>IF('Data'!A510="","",TEXT('Data'!A510,"mm-dd"))</x:f>
      </x:c>
    </x:row>
    <x:row r="511" ht="21" customHeight="1">
      <x:c r="A511" s="15" t="n">
        <x:f>'Control Room'!$B$1+509</x:f>
        <x:v>73500</x:v>
      </x:c>
      <x:c r="B511" s="9" t="n">
        <x:f>MOD(C510*16807,2147483647)</x:f>
        <x:v>211510838</x:v>
      </x:c>
      <x:c r="C511" s="9" t="n">
        <x:f>MOD(B511*16807,2147483647)</x:f>
        <x:v>777218481</x:v>
      </x:c>
      <x:c r="D511" s="17" t="n">
        <x:f>IF('Control Room'!$B$5="Normal",'Control Room'!$B$7+'Control Room'!$D$7*SQRT(-2*LN(MAX(0.000000000001,B511/2147483647)))*COS(2*PI()*C511/2147483647),'Control Room'!$B$8+('Control Room'!$D$8-'Control Room'!$B$8)*B511/2147483647)</x:f>
        <x:v>874.6917975716127</x:v>
      </x:c>
      <x:c r="E511" s="17" t="n">
        <x:f>IF('Control Room'!$B$5="Normal",'Control Room'!$B$7,('Control Room'!$B$8+'Control Room'!$D$8)/2)+'Control Room'!$B$9*(E510-IF('Control Room'!$B$5="Normal",'Control Room'!$B$7,('Control Room'!$B$8+'Control Room'!$D$8)/2))+SQRT(1-'Control Room'!$B$9^2)*(D511-IF('Control Room'!$B$5="Normal",'Control Room'!$B$7,('Control Room'!$B$8+'Control Room'!$D$8)/2))</x:f>
        <x:v>995.1002582878853</x:v>
      </x:c>
      <x:c r="F511" s="17" t="n">
        <x:f>IF(AND($A511&gt;='Control Room'!$A$13,$A511&lt;'Control Room'!$A$13+'Control Room'!$B$13,'Process'!BK2=1),1+('Control Room'!$C$13-1)*EXP(-0.5*(($A511-'Control Room'!$A$13-('Control Room'!$B$13-1)/2)/MAX(0.5,'Control Room'!$B$13/4))^2),1)*IF(AND($A511&gt;='Control Room'!$A$14,$A511&lt;'Control Room'!$A$14+'Control Room'!$B$14,'Process'!BK3=1),1+('Control Room'!$C$14-1)*EXP(-0.5*(($A511-'Control Room'!$A$14-('Control Room'!$B$14-1)/2)/MAX(0.5,'Control Room'!$B$14/4))^2),1)*IF(AND($A511&gt;='Control Room'!$A$15,$A511&lt;'Control Room'!$A$15+'Control Room'!$B$15,'Process'!BK4=1),1+('Control Room'!$C$15-1)*EXP(-0.5*(($A511-'Control Room'!$A$15-('Control Room'!$B$15-1)/2)/MAX(0.5,'Control Room'!$B$15/4))^2),1)*IF(AND($A511&gt;='Control Room'!$A$16,$A511&lt;'Control Room'!$A$16+'Control Room'!$B$16,'Process'!BK5=1),1+('Control Room'!$C$16-1)*EXP(-0.5*(($A511-'Control Room'!$A$16-('Control Room'!$B$16-1)/2)/MAX(0.5,'Control Room'!$B$16/4))^2),1)</x:f>
        <x:v>1</x:v>
      </x:c>
      <x:c r="G511" s="9" t="n">
        <x:f>MOD(H510*16807,2147483647)</x:f>
        <x:v>1695119719</x:v>
      </x:c>
      <x:c r="H511" s="9" t="n">
        <x:f>MOD(G511*16807,2147483647)</x:f>
        <x:v>1359056131</x:v>
      </x:c>
      <x:c r="I511" s="17" t="n">
        <x:f>IF('Control Room'!$B$5="Normal",'Control Room'!$B$7+'Control Room'!$D$7*SQRT(-2*LN(MAX(0.000000000001,G511/2147483647)))*COS(2*PI()*H511/2147483647),'Control Room'!$B$8+('Control Room'!$D$8-'Control Room'!$B$8)*G511/2147483647)</x:f>
        <x:v>958.4420106043474</x:v>
      </x:c>
      <x:c r="J511" s="17" t="n">
        <x:f>IF('Control Room'!$B$5="Normal",'Control Room'!$B$7,('Control Room'!$B$8+'Control Room'!$D$8)/2)+'Control Room'!$B$9*(J510-IF('Control Room'!$B$5="Normal",'Control Room'!$B$7,('Control Room'!$B$8+'Control Room'!$D$8)/2))+SQRT(1-'Control Room'!$B$9^2)*(I511-IF('Control Room'!$B$5="Normal",'Control Room'!$B$7,('Control Room'!$B$8+'Control Room'!$D$8)/2))</x:f>
        <x:v>893.8726523585226</x:v>
      </x:c>
      <x:c r="K511" s="17" t="n">
        <x:f>IF(AND($A511&gt;='Control Room'!$A$13,$A511&lt;'Control Room'!$A$13+'Control Room'!$B$13,'Process'!BL2=1),1+('Control Room'!$C$13-1)*EXP(-0.5*(($A511-'Control Room'!$A$13-('Control Room'!$B$13-1)/2)/MAX(0.5,'Control Room'!$B$13/4))^2),1)*IF(AND($A511&gt;='Control Room'!$A$14,$A511&lt;'Control Room'!$A$14+'Control Room'!$B$14,'Process'!BL3=1),1+('Control Room'!$C$14-1)*EXP(-0.5*(($A511-'Control Room'!$A$14-('Control Room'!$B$14-1)/2)/MAX(0.5,'Control Room'!$B$14/4))^2),1)*IF(AND($A511&gt;='Control Room'!$A$15,$A511&lt;'Control Room'!$A$15+'Control Room'!$B$15,'Process'!BL4=1),1+('Control Room'!$C$15-1)*EXP(-0.5*(($A511-'Control Room'!$A$15-('Control Room'!$B$15-1)/2)/MAX(0.5,'Control Room'!$B$15/4))^2),1)*IF(AND($A511&gt;='Control Room'!$A$16,$A511&lt;'Control Room'!$A$16+'Control Room'!$B$16,'Process'!BL5=1),1+('Control Room'!$C$16-1)*EXP(-0.5*(($A511-'Control Room'!$A$16-('Control Room'!$B$16-1)/2)/MAX(0.5,'Control Room'!$B$16/4))^2),1)</x:f>
        <x:v>1</x:v>
      </x:c>
      <x:c r="L511" s="9" t="n">
        <x:f>MOD(M510*16807,2147483647)</x:f>
        <x:v>1031244953</x:v>
      </x:c>
      <x:c r="M511" s="9" t="n">
        <x:f>MOD(L511*16807,2147483647)</x:f>
        <x:v>1940893781</x:v>
      </x:c>
      <x:c r="N511" s="17" t="n">
        <x:f>IF('Control Room'!$B$5="Normal",'Control Room'!$B$7+'Control Room'!$D$7*SQRT(-2*LN(MAX(0.000000000001,L511/2147483647)))*COS(2*PI()*M511/2147483647),'Control Room'!$B$8+('Control Room'!$D$8-'Control Room'!$B$8)*L511/2147483647)</x:f>
        <x:v>1089.6951801917664</x:v>
      </x:c>
      <x:c r="O511" s="17" t="n">
        <x:f>IF('Control Room'!$B$5="Normal",'Control Room'!$B$7,('Control Room'!$B$8+'Control Room'!$D$8)/2)+'Control Room'!$B$9*(O510-IF('Control Room'!$B$5="Normal",'Control Room'!$B$7,('Control Room'!$B$8+'Control Room'!$D$8)/2))+SQRT(1-'Control Room'!$B$9^2)*(N511-IF('Control Room'!$B$5="Normal",'Control Room'!$B$7,('Control Room'!$B$8+'Control Room'!$D$8)/2))</x:f>
        <x:v>1034.9464069396768</x:v>
      </x:c>
      <x:c r="P511" s="17" t="n">
        <x:f>IF(AND($A511&gt;='Control Room'!$A$13,$A511&lt;'Control Room'!$A$13+'Control Room'!$B$13,'Process'!BM2=1),1+('Control Room'!$C$13-1)*EXP(-0.5*(($A511-'Control Room'!$A$13-('Control Room'!$B$13-1)/2)/MAX(0.5,'Control Room'!$B$13/4))^2),1)*IF(AND($A511&gt;='Control Room'!$A$14,$A511&lt;'Control Room'!$A$14+'Control Room'!$B$14,'Process'!BM3=1),1+('Control Room'!$C$14-1)*EXP(-0.5*(($A511-'Control Room'!$A$14-('Control Room'!$B$14-1)/2)/MAX(0.5,'Control Room'!$B$14/4))^2),1)*IF(AND($A511&gt;='Control Room'!$A$15,$A511&lt;'Control Room'!$A$15+'Control Room'!$B$15,'Process'!BM4=1),1+('Control Room'!$C$15-1)*EXP(-0.5*(($A511-'Control Room'!$A$15-('Control Room'!$B$15-1)/2)/MAX(0.5,'Control Room'!$B$15/4))^2),1)*IF(AND($A511&gt;='Control Room'!$A$16,$A511&lt;'Control Room'!$A$16+'Control Room'!$B$16,'Process'!BM5=1),1+('Control Room'!$C$16-1)*EXP(-0.5*(($A511-'Control Room'!$A$16-('Control Room'!$B$16-1)/2)/MAX(0.5,'Control Room'!$B$16/4))^2),1)</x:f>
        <x:v>1</x:v>
      </x:c>
      <x:c r="Q511" s="9" t="n">
        <x:f>MOD(R510*16807,2147483647)</x:f>
        <x:v>367370187</x:v>
      </x:c>
      <x:c r="R511" s="9" t="n">
        <x:f>MOD(Q511*16807,2147483647)</x:f>
        <x:v>375247784</x:v>
      </x:c>
      <x:c r="S511" s="17" t="n">
        <x:f>IF('Control Room'!$B$5="Normal",'Control Room'!$B$7+'Control Room'!$D$7*SQRT(-2*LN(MAX(0.000000000001,Q511/2147483647)))*COS(2*PI()*R511/2147483647),'Control Room'!$B$8+('Control Room'!$D$8-'Control Room'!$B$8)*Q511/2147483647)</x:f>
        <x:v>1077.0298144747662</x:v>
      </x:c>
      <x:c r="T511" s="17" t="n">
        <x:f>IF('Control Room'!$B$5="Normal",'Control Room'!$B$7,('Control Room'!$B$8+'Control Room'!$D$8)/2)+'Control Room'!$B$9*(T510-IF('Control Room'!$B$5="Normal",'Control Room'!$B$7,('Control Room'!$B$8+'Control Room'!$D$8)/2))+SQRT(1-'Control Room'!$B$9^2)*(S511-IF('Control Room'!$B$5="Normal",'Control Room'!$B$7,('Control Room'!$B$8+'Control Room'!$D$8)/2))</x:f>
        <x:v>981.7550056762157</x:v>
      </x:c>
      <x:c r="U511" s="17" t="n">
        <x:f>IF(AND($A511&gt;='Control Room'!$A$13,$A511&lt;'Control Room'!$A$13+'Control Room'!$B$13,'Process'!BN2=1),1+('Control Room'!$C$13-1)*EXP(-0.5*(($A511-'Control Room'!$A$13-('Control Room'!$B$13-1)/2)/MAX(0.5,'Control Room'!$B$13/4))^2),1)*IF(AND($A511&gt;='Control Room'!$A$14,$A511&lt;'Control Room'!$A$14+'Control Room'!$B$14,'Process'!BN3=1),1+('Control Room'!$C$14-1)*EXP(-0.5*(($A511-'Control Room'!$A$14-('Control Room'!$B$14-1)/2)/MAX(0.5,'Control Room'!$B$14/4))^2),1)*IF(AND($A511&gt;='Control Room'!$A$15,$A511&lt;'Control Room'!$A$15+'Control Room'!$B$15,'Process'!BN4=1),1+('Control Room'!$C$15-1)*EXP(-0.5*(($A511-'Control Room'!$A$15-('Control Room'!$B$15-1)/2)/MAX(0.5,'Control Room'!$B$15/4))^2),1)*IF(AND($A511&gt;='Control Room'!$A$16,$A511&lt;'Control Room'!$A$16+'Control Room'!$B$16,'Process'!BN5=1),1+('Control Room'!$C$16-1)*EXP(-0.5*(($A511-'Control Room'!$A$16-('Control Room'!$B$16-1)/2)/MAX(0.5,'Control Room'!$B$16/4))^2),1)</x:f>
        <x:v>1</x:v>
      </x:c>
      <x:c r="V511" s="9" t="n">
        <x:f>MOD(W510*16807,2147483647)</x:f>
        <x:v>1850979068</x:v>
      </x:c>
      <x:c r="W511" s="9" t="n">
        <x:f>MOD(V511*16807,2147483647)</x:f>
        <x:v>957085434</x:v>
      </x:c>
      <x:c r="X511" s="17" t="n">
        <x:f>IF('Control Room'!$B$5="Normal",'Control Room'!$B$7+'Control Room'!$D$7*SQRT(-2*LN(MAX(0.000000000001,V511/2147483647)))*COS(2*PI()*W511/2147483647),'Control Room'!$B$8+('Control Room'!$D$8-'Control Room'!$B$8)*V511/2147483647)</x:f>
        <x:v>953.7686553918081</x:v>
      </x:c>
      <x:c r="Y511" s="17" t="n">
        <x:f>IF('Control Room'!$B$5="Normal",'Control Room'!$B$7,('Control Room'!$B$8+'Control Room'!$D$8)/2)+'Control Room'!$B$9*(Y510-IF('Control Room'!$B$5="Normal",'Control Room'!$B$7,('Control Room'!$B$8+'Control Room'!$D$8)/2))+SQRT(1-'Control Room'!$B$9^2)*(X511-IF('Control Room'!$B$5="Normal",'Control Room'!$B$7,('Control Room'!$B$8+'Control Room'!$D$8)/2))</x:f>
        <x:v>886.2778291183428</x:v>
      </x:c>
      <x:c r="Z511" s="17" t="n">
        <x:f>IF(AND($A511&gt;='Control Room'!$A$13,$A511&lt;'Control Room'!$A$13+'Control Room'!$B$13,'Process'!BO2=1),1+('Control Room'!$C$13-1)*EXP(-0.5*(($A511-'Control Room'!$A$13-('Control Room'!$B$13-1)/2)/MAX(0.5,'Control Room'!$B$13/4))^2),1)*IF(AND($A511&gt;='Control Room'!$A$14,$A511&lt;'Control Room'!$A$14+'Control Room'!$B$14,'Process'!BO3=1),1+('Control Room'!$C$14-1)*EXP(-0.5*(($A511-'Control Room'!$A$14-('Control Room'!$B$14-1)/2)/MAX(0.5,'Control Room'!$B$14/4))^2),1)*IF(AND($A511&gt;='Control Room'!$A$15,$A511&lt;'Control Room'!$A$15+'Control Room'!$B$15,'Process'!BO4=1),1+('Control Room'!$C$15-1)*EXP(-0.5*(($A511-'Control Room'!$A$15-('Control Room'!$B$15-1)/2)/MAX(0.5,'Control Room'!$B$15/4))^2),1)*IF(AND($A511&gt;='Control Room'!$A$16,$A511&lt;'Control Room'!$A$16+'Control Room'!$B$16,'Process'!BO5=1),1+('Control Room'!$C$16-1)*EXP(-0.5*(($A511-'Control Room'!$A$16-('Control Room'!$B$16-1)/2)/MAX(0.5,'Control Room'!$B$16/4))^2),1)</x:f>
        <x:v>1</x:v>
      </x:c>
      <x:c r="AA511" s="9" t="n">
        <x:f>MOD(AB510*16807,2147483647)</x:f>
        <x:v>1187104302</x:v>
      </x:c>
      <x:c r="AB511" s="9" t="n">
        <x:f>MOD(AA511*16807,2147483647)</x:f>
        <x:v>1538923084</x:v>
      </x:c>
      <x:c r="AC511" s="17" t="n">
        <x:f>IF('Control Room'!$B$5="Normal",'Control Room'!$B$7+'Control Room'!$D$7*SQRT(-2*LN(MAX(0.000000000001,AA511/2147483647)))*COS(2*PI()*AB511/2147483647),'Control Room'!$B$8+('Control Room'!$D$8-'Control Room'!$B$8)*AA511/2147483647)</x:f>
        <x:v>979.5957117741502</x:v>
      </x:c>
      <x:c r="AD511" s="17" t="n">
        <x:f>IF('Control Room'!$B$5="Normal",'Control Room'!$B$7,('Control Room'!$B$8+'Control Room'!$D$8)/2)+'Control Room'!$B$9*(AD510-IF('Control Room'!$B$5="Normal",'Control Room'!$B$7,('Control Room'!$B$8+'Control Room'!$D$8)/2))+SQRT(1-'Control Room'!$B$9^2)*(AC511-IF('Control Room'!$B$5="Normal",'Control Room'!$B$7,('Control Room'!$B$8+'Control Room'!$D$8)/2))</x:f>
        <x:v>973.7429318431406</x:v>
      </x:c>
      <x:c r="AE511" s="17" t="n">
        <x:f>IF(AND($A511&gt;='Control Room'!$A$13,$A511&lt;'Control Room'!$A$13+'Control Room'!$B$13,'Process'!BP2=1),1+('Control Room'!$C$13-1)*EXP(-0.5*(($A511-'Control Room'!$A$13-('Control Room'!$B$13-1)/2)/MAX(0.5,'Control Room'!$B$13/4))^2),1)*IF(AND($A511&gt;='Control Room'!$A$14,$A511&lt;'Control Room'!$A$14+'Control Room'!$B$14,'Process'!BP3=1),1+('Control Room'!$C$14-1)*EXP(-0.5*(($A511-'Control Room'!$A$14-('Control Room'!$B$14-1)/2)/MAX(0.5,'Control Room'!$B$14/4))^2),1)*IF(AND($A511&gt;='Control Room'!$A$15,$A511&lt;'Control Room'!$A$15+'Control Room'!$B$15,'Process'!BP4=1),1+('Control Room'!$C$15-1)*EXP(-0.5*(($A511-'Control Room'!$A$15-('Control Room'!$B$15-1)/2)/MAX(0.5,'Control Room'!$B$15/4))^2),1)*IF(AND($A511&gt;='Control Room'!$A$16,$A511&lt;'Control Room'!$A$16+'Control Room'!$B$16,'Process'!BP5=1),1+('Control Room'!$C$16-1)*EXP(-0.5*(($A511-'Control Room'!$A$16-('Control Room'!$B$16-1)/2)/MAX(0.5,'Control Room'!$B$16/4))^2),1)</x:f>
        <x:v>1</x:v>
      </x:c>
      <x:c r="AF511" s="9" t="n">
        <x:f>MOD(AG510*16807,2147483647)</x:f>
        <x:v>523229536</x:v>
      </x:c>
      <x:c r="AG511" s="9" t="n">
        <x:f>MOD(AF511*16807,2147483647)</x:f>
        <x:v>2120760734</x:v>
      </x:c>
      <x:c r="AH511" s="17" t="n">
        <x:f>IF('Control Room'!$B$5="Normal",'Control Room'!$B$7+'Control Room'!$D$7*SQRT(-2*LN(MAX(0.000000000001,AF511/2147483647)))*COS(2*PI()*AG511/2147483647),'Control Room'!$B$8+('Control Room'!$D$8-'Control Room'!$B$8)*AF511/2147483647)</x:f>
        <x:v>1150.782495919748</x:v>
      </x:c>
      <x:c r="AI511" s="17" t="n">
        <x:f>IF('Control Room'!$B$5="Normal",'Control Room'!$B$7,('Control Room'!$B$8+'Control Room'!$D$8)/2)+'Control Room'!$B$9*(AI510-IF('Control Room'!$B$5="Normal",'Control Room'!$B$7,('Control Room'!$B$8+'Control Room'!$D$8)/2))+SQRT(1-'Control Room'!$B$9^2)*(AH511-IF('Control Room'!$B$5="Normal",'Control Room'!$B$7,('Control Room'!$B$8+'Control Room'!$D$8)/2))</x:f>
        <x:v>1056.2727903316754</x:v>
      </x:c>
      <x:c r="AJ511" s="17" t="n">
        <x:f>IF(AND($A511&gt;='Control Room'!$A$13,$A511&lt;'Control Room'!$A$13+'Control Room'!$B$13,'Process'!BQ2=1),1+('Control Room'!$C$13-1)*EXP(-0.5*(($A511-'Control Room'!$A$13-('Control Room'!$B$13-1)/2)/MAX(0.5,'Control Room'!$B$13/4))^2),1)*IF(AND($A511&gt;='Control Room'!$A$14,$A511&lt;'Control Room'!$A$14+'Control Room'!$B$14,'Process'!BQ3=1),1+('Control Room'!$C$14-1)*EXP(-0.5*(($A511-'Control Room'!$A$14-('Control Room'!$B$14-1)/2)/MAX(0.5,'Control Room'!$B$14/4))^2),1)*IF(AND($A511&gt;='Control Room'!$A$15,$A511&lt;'Control Room'!$A$15+'Control Room'!$B$15,'Process'!BQ4=1),1+('Control Room'!$C$15-1)*EXP(-0.5*(($A511-'Control Room'!$A$15-('Control Room'!$B$15-1)/2)/MAX(0.5,'Control Room'!$B$15/4))^2),1)*IF(AND($A511&gt;='Control Room'!$A$16,$A511&lt;'Control Room'!$A$16+'Control Room'!$B$16,'Process'!BQ5=1),1+('Control Room'!$C$16-1)*EXP(-0.5*(($A511-'Control Room'!$A$16-('Control Room'!$B$16-1)/2)/MAX(0.5,'Control Room'!$B$16/4))^2),1)</x:f>
        <x:v>1</x:v>
      </x:c>
      <x:c r="AK511" s="9" t="n">
        <x:f>MOD(AL510*16807,2147483647)</x:f>
        <x:v>2006838417</x:v>
      </x:c>
      <x:c r="AL511" s="9" t="n">
        <x:f>MOD(AK511*16807,2147483647)</x:f>
        <x:v>555114737</x:v>
      </x:c>
      <x:c r="AM511" s="17" t="n">
        <x:f>IF('Control Room'!$B$5="Normal",'Control Room'!$B$7+'Control Room'!$D$7*SQRT(-2*LN(MAX(0.000000000001,AK511/2147483647)))*COS(2*PI()*AL511/2147483647),'Control Room'!$B$8+('Control Room'!$D$8-'Control Room'!$B$8)*AK511/2147483647)</x:f>
        <x:v>998.2326295778682</x:v>
      </x:c>
      <x:c r="AN511" s="17" t="n">
        <x:f>IF('Control Room'!$B$5="Normal",'Control Room'!$B$7,('Control Room'!$B$8+'Control Room'!$D$8)/2)+'Control Room'!$B$9*(AN510-IF('Control Room'!$B$5="Normal",'Control Room'!$B$7,('Control Room'!$B$8+'Control Room'!$D$8)/2))+SQRT(1-'Control Room'!$B$9^2)*(AM511-IF('Control Room'!$B$5="Normal",'Control Room'!$B$7,('Control Room'!$B$8+'Control Room'!$D$8)/2))</x:f>
        <x:v>970.4713043776687</x:v>
      </x:c>
      <x:c r="AO511" s="17" t="n">
        <x:f>IF(AND($A511&gt;='Control Room'!$A$13,$A511&lt;'Control Room'!$A$13+'Control Room'!$B$13,'Process'!BR2=1),1+('Control Room'!$C$13-1)*EXP(-0.5*(($A511-'Control Room'!$A$13-('Control Room'!$B$13-1)/2)/MAX(0.5,'Control Room'!$B$13/4))^2),1)*IF(AND($A511&gt;='Control Room'!$A$14,$A511&lt;'Control Room'!$A$14+'Control Room'!$B$14,'Process'!BR3=1),1+('Control Room'!$C$14-1)*EXP(-0.5*(($A511-'Control Room'!$A$14-('Control Room'!$B$14-1)/2)/MAX(0.5,'Control Room'!$B$14/4))^2),1)*IF(AND($A511&gt;='Control Room'!$A$15,$A511&lt;'Control Room'!$A$15+'Control Room'!$B$15,'Process'!BR4=1),1+('Control Room'!$C$15-1)*EXP(-0.5*(($A511-'Control Room'!$A$15-('Control Room'!$B$15-1)/2)/MAX(0.5,'Control Room'!$B$15/4))^2),1)*IF(AND($A511&gt;='Control Room'!$A$16,$A511&lt;'Control Room'!$A$16+'Control Room'!$B$16,'Process'!BR5=1),1+('Control Room'!$C$16-1)*EXP(-0.5*(($A511-'Control Room'!$A$16-('Control Room'!$B$16-1)/2)/MAX(0.5,'Control Room'!$B$16/4))^2),1)</x:f>
        <x:v>1</x:v>
      </x:c>
      <x:c r="AP511" s="9" t="n">
        <x:f>MOD(AQ510*16807,2147483647)</x:f>
        <x:v>1342963651</x:v>
      </x:c>
      <x:c r="AQ511" s="9" t="n">
        <x:f>MOD(AP511*16807,2147483647)</x:f>
        <x:v>1136952387</x:v>
      </x:c>
      <x:c r="AR511" s="17" t="n">
        <x:f>IF('Control Room'!$B$5="Normal",'Control Room'!$B$7+'Control Room'!$D$7*SQRT(-2*LN(MAX(0.000000000001,AP511/2147483647)))*COS(2*PI()*AQ511/2147483647),'Control Room'!$B$8+('Control Room'!$D$8-'Control Room'!$B$8)*AP511/2147483647)</x:f>
        <x:v>914.2829419169656</x:v>
      </x:c>
      <x:c r="AS511" s="17" t="n">
        <x:f>IF('Control Room'!$B$5="Normal",'Control Room'!$B$7,('Control Room'!$B$8+'Control Room'!$D$8)/2)+'Control Room'!$B$9*(AS510-IF('Control Room'!$B$5="Normal",'Control Room'!$B$7,('Control Room'!$B$8+'Control Room'!$D$8)/2))+SQRT(1-'Control Room'!$B$9^2)*(AR511-IF('Control Room'!$B$5="Normal",'Control Room'!$B$7,('Control Room'!$B$8+'Control Room'!$D$8)/2))</x:f>
        <x:v>1034.145661319836</x:v>
      </x:c>
      <x:c r="AT511" s="17" t="n">
        <x:f>IF(AND($A511&gt;='Control Room'!$A$13,$A511&lt;'Control Room'!$A$13+'Control Room'!$B$13,'Process'!BS2=1),1+('Control Room'!$C$13-1)*EXP(-0.5*(($A511-'Control Room'!$A$13-('Control Room'!$B$13-1)/2)/MAX(0.5,'Control Room'!$B$13/4))^2),1)*IF(AND($A511&gt;='Control Room'!$A$14,$A511&lt;'Control Room'!$A$14+'Control Room'!$B$14,'Process'!BS3=1),1+('Control Room'!$C$14-1)*EXP(-0.5*(($A511-'Control Room'!$A$14-('Control Room'!$B$14-1)/2)/MAX(0.5,'Control Room'!$B$14/4))^2),1)*IF(AND($A511&gt;='Control Room'!$A$15,$A511&lt;'Control Room'!$A$15+'Control Room'!$B$15,'Process'!BS4=1),1+('Control Room'!$C$15-1)*EXP(-0.5*(($A511-'Control Room'!$A$15-('Control Room'!$B$15-1)/2)/MAX(0.5,'Control Room'!$B$15/4))^2),1)*IF(AND($A511&gt;='Control Room'!$A$16,$A511&lt;'Control Room'!$A$16+'Control Room'!$B$16,'Process'!BS5=1),1+('Control Room'!$C$16-1)*EXP(-0.5*(($A511-'Control Room'!$A$16-('Control Room'!$B$16-1)/2)/MAX(0.5,'Control Room'!$B$16/4))^2),1)</x:f>
        <x:v>1</x:v>
      </x:c>
      <x:c r="AU511" s="9" t="n">
        <x:f>MOD(AV510*16807,2147483647)</x:f>
        <x:v>679088885</x:v>
      </x:c>
      <x:c r="AV511" s="9" t="n">
        <x:f>MOD(AU511*16807,2147483647)</x:f>
        <x:v>1718790037</x:v>
      </x:c>
      <x:c r="AW511" s="17" t="n">
        <x:f>IF('Control Room'!$B$5="Normal",'Control Room'!$B$7+'Control Room'!$D$7*SQRT(-2*LN(MAX(0.000000000001,AU511/2147483647)))*COS(2*PI()*AV511/2147483647),'Control Room'!$B$8+('Control Room'!$D$8-'Control Room'!$B$8)*AU511/2147483647)</x:f>
        <x:v>1042.5071920256348</x:v>
      </x:c>
      <x:c r="AX511" s="17" t="n">
        <x:f>IF('Control Room'!$B$5="Normal",'Control Room'!$B$7,('Control Room'!$B$8+'Control Room'!$D$8)/2)+'Control Room'!$B$9*(AX510-IF('Control Room'!$B$5="Normal",'Control Room'!$B$7,('Control Room'!$B$8+'Control Room'!$D$8)/2))+SQRT(1-'Control Room'!$B$9^2)*(AW511-IF('Control Room'!$B$5="Normal",'Control Room'!$B$7,('Control Room'!$B$8+'Control Room'!$D$8)/2))</x:f>
        <x:v>951.0222745398762</x:v>
      </x:c>
      <x:c r="AY511" s="17" t="n">
        <x:f>IF(AND($A511&gt;='Control Room'!$A$13,$A511&lt;'Control Room'!$A$13+'Control Room'!$B$13,'Process'!BT2=1),1+('Control Room'!$C$13-1)*EXP(-0.5*(($A511-'Control Room'!$A$13-('Control Room'!$B$13-1)/2)/MAX(0.5,'Control Room'!$B$13/4))^2),1)*IF(AND($A511&gt;='Control Room'!$A$14,$A511&lt;'Control Room'!$A$14+'Control Room'!$B$14,'Process'!BT3=1),1+('Control Room'!$C$14-1)*EXP(-0.5*(($A511-'Control Room'!$A$14-('Control Room'!$B$14-1)/2)/MAX(0.5,'Control Room'!$B$14/4))^2),1)*IF(AND($A511&gt;='Control Room'!$A$15,$A511&lt;'Control Room'!$A$15+'Control Room'!$B$15,'Process'!BT4=1),1+('Control Room'!$C$15-1)*EXP(-0.5*(($A511-'Control Room'!$A$15-('Control Room'!$B$15-1)/2)/MAX(0.5,'Control Room'!$B$15/4))^2),1)*IF(AND($A511&gt;='Control Room'!$A$16,$A511&lt;'Control Room'!$A$16+'Control Room'!$B$16,'Process'!BT5=1),1+('Control Room'!$C$16-1)*EXP(-0.5*(($A511-'Control Room'!$A$16-('Control Room'!$B$16-1)/2)/MAX(0.5,'Control Room'!$B$16/4))^2),1)</x:f>
        <x:v>1</x:v>
      </x:c>
      <x:c r="AZ511" s="9" t="n">
        <x:f>MOD(BA510*16807,2147483647)</x:f>
        <x:v>15214119</x:v>
      </x:c>
      <x:c r="BA511" s="9" t="n">
        <x:f>MOD(AZ511*16807,2147483647)</x:f>
        <x:v>153144040</x:v>
      </x:c>
      <x:c r="BB511" s="17" t="n">
        <x:f>IF('Control Room'!$B$5="Normal",'Control Room'!$B$7+'Control Room'!$D$7*SQRT(-2*LN(MAX(0.000000000001,AZ511/2147483647)))*COS(2*PI()*BA511/2147483647),'Control Room'!$B$8+('Control Room'!$D$8-'Control Room'!$B$8)*AZ511/2147483647)</x:f>
        <x:v>1255.2194421666377</x:v>
      </x:c>
      <x:c r="BC511" s="17" t="n">
        <x:f>IF('Control Room'!$B$5="Normal",'Control Room'!$B$7,('Control Room'!$B$8+'Control Room'!$D$8)/2)+'Control Room'!$B$9*(BC510-IF('Control Room'!$B$5="Normal",'Control Room'!$B$7,('Control Room'!$B$8+'Control Room'!$D$8)/2))+SQRT(1-'Control Room'!$B$9^2)*(BB511-IF('Control Room'!$B$5="Normal",'Control Room'!$B$7,('Control Room'!$B$8+'Control Room'!$D$8)/2))</x:f>
        <x:v>1120.7603803089537</x:v>
      </x:c>
      <x:c r="BD511" s="17" t="n">
        <x:f>IF(AND($A511&gt;='Control Room'!$A$13,$A511&lt;'Control Room'!$A$13+'Control Room'!$B$13,'Process'!BU2=1),1+('Control Room'!$C$13-1)*EXP(-0.5*(($A511-'Control Room'!$A$13-('Control Room'!$B$13-1)/2)/MAX(0.5,'Control Room'!$B$13/4))^2),1)*IF(AND($A511&gt;='Control Room'!$A$14,$A511&lt;'Control Room'!$A$14+'Control Room'!$B$14,'Process'!BU3=1),1+('Control Room'!$C$14-1)*EXP(-0.5*(($A511-'Control Room'!$A$14-('Control Room'!$B$14-1)/2)/MAX(0.5,'Control Room'!$B$14/4))^2),1)*IF(AND($A511&gt;='Control Room'!$A$15,$A511&lt;'Control Room'!$A$15+'Control Room'!$B$15,'Process'!BU4=1),1+('Control Room'!$C$15-1)*EXP(-0.5*(($A511-'Control Room'!$A$15-('Control Room'!$B$15-1)/2)/MAX(0.5,'Control Room'!$B$15/4))^2),1)*IF(AND($A511&gt;='Control Room'!$A$16,$A511&lt;'Control Room'!$A$16+'Control Room'!$B$16,'Process'!BU5=1),1+('Control Room'!$C$16-1)*EXP(-0.5*(($A511-'Control Room'!$A$16-('Control Room'!$B$16-1)/2)/MAX(0.5,'Control Room'!$B$16/4))^2),1)</x:f>
        <x:v>1</x:v>
      </x:c>
      <x:c r="BE511" s="9" t="n">
        <x:f>MOD(BF510*16807,2147483647)</x:f>
        <x:v>1498823000</x:v>
      </x:c>
      <x:c r="BF511" s="9" t="n">
        <x:f>MOD(BE511*16807,2147483647)</x:f>
        <x:v>734981690</x:v>
      </x:c>
      <x:c r="BG511" s="17" t="n">
        <x:f>IF('Control Room'!$B$5="Normal",'Control Room'!$B$7+'Control Room'!$D$7*SQRT(-2*LN(MAX(0.000000000001,BE511/2147483647)))*COS(2*PI()*BF511/2147483647),'Control Room'!$B$8+('Control Room'!$D$8-'Control Room'!$B$8)*BE511/2147483647)</x:f>
        <x:v>958.1940617201574</x:v>
      </x:c>
      <x:c r="BH511" s="17" t="n">
        <x:f>IF('Control Room'!$B$5="Normal",'Control Room'!$B$7,('Control Room'!$B$8+'Control Room'!$D$8)/2)+'Control Room'!$B$9*(BH510-IF('Control Room'!$B$5="Normal",'Control Room'!$B$7,('Control Room'!$B$8+'Control Room'!$D$8)/2))+SQRT(1-'Control Room'!$B$9^2)*(BG511-IF('Control Room'!$B$5="Normal",'Control Room'!$B$7,('Control Room'!$B$8+'Control Room'!$D$8)/2))</x:f>
        <x:v>1040.8698433186103</x:v>
      </x:c>
      <x:c r="BI511" s="17" t="n">
        <x:f>IF(AND($A511&gt;='Control Room'!$A$13,$A511&lt;'Control Room'!$A$13+'Control Room'!$B$13,'Process'!BV2=1),1+('Control Room'!$C$13-1)*EXP(-0.5*(($A511-'Control Room'!$A$13-('Control Room'!$B$13-1)/2)/MAX(0.5,'Control Room'!$B$13/4))^2),1)*IF(AND($A511&gt;='Control Room'!$A$14,$A511&lt;'Control Room'!$A$14+'Control Room'!$B$14,'Process'!BV3=1),1+('Control Room'!$C$14-1)*EXP(-0.5*(($A511-'Control Room'!$A$14-('Control Room'!$B$14-1)/2)/MAX(0.5,'Control Room'!$B$14/4))^2),1)*IF(AND($A511&gt;='Control Room'!$A$15,$A511&lt;'Control Room'!$A$15+'Control Room'!$B$15,'Process'!BV4=1),1+('Control Room'!$C$15-1)*EXP(-0.5*(($A511-'Control Room'!$A$15-('Control Room'!$B$15-1)/2)/MAX(0.5,'Control Room'!$B$15/4))^2),1)*IF(AND($A511&gt;='Control Room'!$A$16,$A511&lt;'Control Room'!$A$16+'Control Room'!$B$16,'Process'!BV5=1),1+('Control Room'!$C$16-1)*EXP(-0.5*(($A511-'Control Room'!$A$16-('Control Room'!$B$16-1)/2)/MAX(0.5,'Control Room'!$B$16/4))^2),1)</x:f>
        <x:v>1</x:v>
      </x:c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Z511" t="str">
        <x:f>IF('Data'!A511="","",TEXT('Data'!A511,"mm-dd"))</x:f>
      </x:c>
    </x:row>
    <x:row r="512" ht="21" customHeight="1">
      <x:c r="A512" s="15" t="n">
        <x:f>'Control Room'!$B$1+510</x:f>
        <x:v>73501</x:v>
      </x:c>
      <x:c r="B512" s="9" t="n">
        <x:f>MOD(C511*16807,2147483647)</x:f>
        <x:v>1715469113</x:v>
      </x:c>
      <x:c r="C512" s="9" t="n">
        <x:f>MOD(B512*16807,2147483647)</x:f>
        <x:v>1921421216</x:v>
      </x:c>
      <x:c r="D512" s="17" t="n">
        <x:f>IF('Control Room'!$B$5="Normal",'Control Room'!$B$7+'Control Room'!$D$7*SQRT(-2*LN(MAX(0.000000000001,B512/2147483647)))*COS(2*PI()*C512/2147483647),'Control Room'!$B$8+('Control Room'!$D$8-'Control Room'!$B$8)*B512/2147483647)</x:f>
        <x:v>1047.6009006406287</x:v>
      </x:c>
      <x:c r="E512" s="17" t="n">
        <x:f>IF('Control Room'!$B$5="Normal",'Control Room'!$B$7,('Control Room'!$B$8+'Control Room'!$D$8)/2)+'Control Room'!$B$9*(E511-IF('Control Room'!$B$5="Normal",'Control Room'!$B$7,('Control Room'!$B$8+'Control Room'!$D$8)/2))+SQRT(1-'Control Room'!$B$9^2)*(D512-IF('Control Room'!$B$5="Normal",'Control Room'!$B$7,('Control Room'!$B$8+'Control Room'!$D$8)/2))</x:f>
        <x:v>1025.9658699280017</x:v>
      </x:c>
      <x:c r="F512" s="17" t="n">
        <x:f>IF(AND($A512&gt;='Control Room'!$A$13,$A512&lt;'Control Room'!$A$13+'Control Room'!$B$13,'Process'!BK2=1),1+('Control Room'!$C$13-1)*EXP(-0.5*(($A512-'Control Room'!$A$13-('Control Room'!$B$13-1)/2)/MAX(0.5,'Control Room'!$B$13/4))^2),1)*IF(AND($A512&gt;='Control Room'!$A$14,$A512&lt;'Control Room'!$A$14+'Control Room'!$B$14,'Process'!BK3=1),1+('Control Room'!$C$14-1)*EXP(-0.5*(($A512-'Control Room'!$A$14-('Control Room'!$B$14-1)/2)/MAX(0.5,'Control Room'!$B$14/4))^2),1)*IF(AND($A512&gt;='Control Room'!$A$15,$A512&lt;'Control Room'!$A$15+'Control Room'!$B$15,'Process'!BK4=1),1+('Control Room'!$C$15-1)*EXP(-0.5*(($A512-'Control Room'!$A$15-('Control Room'!$B$15-1)/2)/MAX(0.5,'Control Room'!$B$15/4))^2),1)*IF(AND($A512&gt;='Control Room'!$A$16,$A512&lt;'Control Room'!$A$16+'Control Room'!$B$16,'Process'!BK5=1),1+('Control Room'!$C$16-1)*EXP(-0.5*(($A512-'Control Room'!$A$16-('Control Room'!$B$16-1)/2)/MAX(0.5,'Control Room'!$B$16/4))^2),1)</x:f>
        <x:v>1</x:v>
      </x:c>
      <x:c r="G512" s="9" t="n">
        <x:f>MOD(H511*16807,2147483647)</x:f>
        <x:v>1020324225</x:v>
      </x:c>
      <x:c r="H512" s="9" t="n">
        <x:f>MOD(G512*16807,2147483647)</x:f>
        <x:v>932328280</x:v>
      </x:c>
      <x:c r="I512" s="17" t="n">
        <x:f>IF('Control Room'!$B$5="Normal",'Control Room'!$B$7+'Control Room'!$D$7*SQRT(-2*LN(MAX(0.000000000001,G512/2147483647)))*COS(2*PI()*H512/2147483647),'Control Room'!$B$8+('Control Room'!$D$8-'Control Room'!$B$8)*G512/2147483647)</x:f>
        <x:v>899.4666947152085</x:v>
      </x:c>
      <x:c r="J512" s="17" t="n">
        <x:f>IF('Control Room'!$B$5="Normal",'Control Room'!$B$7,('Control Room'!$B$8+'Control Room'!$D$8)/2)+'Control Room'!$B$9*(J511-IF('Control Room'!$B$5="Normal",'Control Room'!$B$7,('Control Room'!$B$8+'Control Room'!$D$8)/2))+SQRT(1-'Control Room'!$B$9^2)*(I512-IF('Control Room'!$B$5="Normal",'Control Room'!$B$7,('Control Room'!$B$8+'Control Room'!$D$8)/2))</x:f>
        <x:v>854.3089859291297</x:v>
      </x:c>
      <x:c r="K512" s="17" t="n">
        <x:f>IF(AND($A512&gt;='Control Room'!$A$13,$A512&lt;'Control Room'!$A$13+'Control Room'!$B$13,'Process'!BL2=1),1+('Control Room'!$C$13-1)*EXP(-0.5*(($A512-'Control Room'!$A$13-('Control Room'!$B$13-1)/2)/MAX(0.5,'Control Room'!$B$13/4))^2),1)*IF(AND($A512&gt;='Control Room'!$A$14,$A512&lt;'Control Room'!$A$14+'Control Room'!$B$14,'Process'!BL3=1),1+('Control Room'!$C$14-1)*EXP(-0.5*(($A512-'Control Room'!$A$14-('Control Room'!$B$14-1)/2)/MAX(0.5,'Control Room'!$B$14/4))^2),1)*IF(AND($A512&gt;='Control Room'!$A$15,$A512&lt;'Control Room'!$A$15+'Control Room'!$B$15,'Process'!BL4=1),1+('Control Room'!$C$15-1)*EXP(-0.5*(($A512-'Control Room'!$A$15-('Control Room'!$B$15-1)/2)/MAX(0.5,'Control Room'!$B$15/4))^2),1)*IF(AND($A512&gt;='Control Room'!$A$16,$A512&lt;'Control Room'!$A$16+'Control Room'!$B$16,'Process'!BL5=1),1+('Control Room'!$C$16-1)*EXP(-0.5*(($A512-'Control Room'!$A$16-('Control Room'!$B$16-1)/2)/MAX(0.5,'Control Room'!$B$16/4))^2),1)</x:f>
        <x:v>1</x:v>
      </x:c>
      <x:c r="L512" s="9" t="n">
        <x:f>MOD(M511*16807,2147483647)</x:f>
        <x:v>325179337</x:v>
      </x:c>
      <x:c r="M512" s="9" t="n">
        <x:f>MOD(L512*16807,2147483647)</x:f>
        <x:v>2090718991</x:v>
      </x:c>
      <x:c r="N512" s="17" t="n">
        <x:f>IF('Control Room'!$B$5="Normal",'Control Room'!$B$7+'Control Room'!$D$7*SQRT(-2*LN(MAX(0.000000000001,L512/2147483647)))*COS(2*PI()*M512/2147483647),'Control Room'!$B$8+('Control Room'!$D$8-'Control Room'!$B$8)*L512/2147483647)</x:f>
        <x:v>1172.466054755859</x:v>
      </x:c>
      <x:c r="O512" s="17" t="n">
        <x:f>IF('Control Room'!$B$5="Normal",'Control Room'!$B$7,('Control Room'!$B$8+'Control Room'!$D$8)/2)+'Control Room'!$B$9*(O511-IF('Control Room'!$B$5="Normal",'Control Room'!$B$7,('Control Room'!$B$8+'Control Room'!$D$8)/2))+SQRT(1-'Control Room'!$B$9^2)*(N512-IF('Control Room'!$B$5="Normal",'Control Room'!$B$7,('Control Room'!$B$8+'Control Room'!$D$8)/2))</x:f>
        <x:v>1135.1839213199883</x:v>
      </x:c>
      <x:c r="P512" s="17" t="n">
        <x:f>IF(AND($A512&gt;='Control Room'!$A$13,$A512&lt;'Control Room'!$A$13+'Control Room'!$B$13,'Process'!BM2=1),1+('Control Room'!$C$13-1)*EXP(-0.5*(($A512-'Control Room'!$A$13-('Control Room'!$B$13-1)/2)/MAX(0.5,'Control Room'!$B$13/4))^2),1)*IF(AND($A512&gt;='Control Room'!$A$14,$A512&lt;'Control Room'!$A$14+'Control Room'!$B$14,'Process'!BM3=1),1+('Control Room'!$C$14-1)*EXP(-0.5*(($A512-'Control Room'!$A$14-('Control Room'!$B$14-1)/2)/MAX(0.5,'Control Room'!$B$14/4))^2),1)*IF(AND($A512&gt;='Control Room'!$A$15,$A512&lt;'Control Room'!$A$15+'Control Room'!$B$15,'Process'!BM4=1),1+('Control Room'!$C$15-1)*EXP(-0.5*(($A512-'Control Room'!$A$15-('Control Room'!$B$15-1)/2)/MAX(0.5,'Control Room'!$B$15/4))^2),1)*IF(AND($A512&gt;='Control Room'!$A$16,$A512&lt;'Control Room'!$A$16+'Control Room'!$B$16,'Process'!BM5=1),1+('Control Room'!$C$16-1)*EXP(-0.5*(($A512-'Control Room'!$A$16-('Control Room'!$B$16-1)/2)/MAX(0.5,'Control Room'!$B$16/4))^2),1)</x:f>
        <x:v>1</x:v>
      </x:c>
      <x:c r="Q512" s="9" t="n">
        <x:f>MOD(R511*16807,2147483647)</x:f>
        <x:v>1777518096</x:v>
      </x:c>
      <x:c r="R512" s="9" t="n">
        <x:f>MOD(Q512*16807,2147483647)</x:f>
        <x:v>1101626055</x:v>
      </x:c>
      <x:c r="S512" s="17" t="n">
        <x:f>IF('Control Room'!$B$5="Normal",'Control Room'!$B$7+'Control Room'!$D$7*SQRT(-2*LN(MAX(0.000000000001,Q512/2147483647)))*COS(2*PI()*R512/2147483647),'Control Room'!$B$8+('Control Room'!$D$8-'Control Room'!$B$8)*Q512/2147483647)</x:f>
        <x:v>944.8390349560714</x:v>
      </x:c>
      <x:c r="T512" s="17" t="n">
        <x:f>IF('Control Room'!$B$5="Normal",'Control Room'!$B$7,('Control Room'!$B$8+'Control Room'!$D$8)/2)+'Control Room'!$B$9*(T511-IF('Control Room'!$B$5="Normal",'Control Room'!$B$7,('Control Room'!$B$8+'Control Room'!$D$8)/2))+SQRT(1-'Control Room'!$B$9^2)*(S512-IF('Control Room'!$B$5="Normal",'Control Room'!$B$7,('Control Room'!$B$8+'Control Room'!$D$8)/2))</x:f>
        <x:v>951.2503025367494</x:v>
      </x:c>
      <x:c r="U512" s="17" t="n">
        <x:f>IF(AND($A512&gt;='Control Room'!$A$13,$A512&lt;'Control Room'!$A$13+'Control Room'!$B$13,'Process'!BN2=1),1+('Control Room'!$C$13-1)*EXP(-0.5*(($A512-'Control Room'!$A$13-('Control Room'!$B$13-1)/2)/MAX(0.5,'Control Room'!$B$13/4))^2),1)*IF(AND($A512&gt;='Control Room'!$A$14,$A512&lt;'Control Room'!$A$14+'Control Room'!$B$14,'Process'!BN3=1),1+('Control Room'!$C$14-1)*EXP(-0.5*(($A512-'Control Room'!$A$14-('Control Room'!$B$14-1)/2)/MAX(0.5,'Control Room'!$B$14/4))^2),1)*IF(AND($A512&gt;='Control Room'!$A$15,$A512&lt;'Control Room'!$A$15+'Control Room'!$B$15,'Process'!BN4=1),1+('Control Room'!$C$15-1)*EXP(-0.5*(($A512-'Control Room'!$A$15-('Control Room'!$B$15-1)/2)/MAX(0.5,'Control Room'!$B$15/4))^2),1)*IF(AND($A512&gt;='Control Room'!$A$16,$A512&lt;'Control Room'!$A$16+'Control Room'!$B$16,'Process'!BN5=1),1+('Control Room'!$C$16-1)*EXP(-0.5*(($A512-'Control Room'!$A$16-('Control Room'!$B$16-1)/2)/MAX(0.5,'Control Room'!$B$16/4))^2),1)</x:f>
        <x:v>1</x:v>
      </x:c>
      <x:c r="V512" s="9" t="n">
        <x:f>MOD(W511*16807,2147483647)</x:f>
        <x:v>1082373208</x:v>
      </x:c>
      <x:c r="W512" s="9" t="n">
        <x:f>MOD(V512*16807,2147483647)</x:f>
        <x:v>112533119</x:v>
      </x:c>
      <x:c r="X512" s="17" t="n">
        <x:f>IF('Control Room'!$B$5="Normal",'Control Room'!$B$7+'Control Room'!$D$7*SQRT(-2*LN(MAX(0.000000000001,V512/2147483647)))*COS(2*PI()*W512/2147483647),'Control Room'!$B$8+('Control Room'!$D$8-'Control Room'!$B$8)*V512/2147483647)</x:f>
        <x:v>1099.6939691442535</x:v>
      </x:c>
      <x:c r="Y512" s="17" t="n">
        <x:f>IF('Control Room'!$B$5="Normal",'Control Room'!$B$7,('Control Room'!$B$8+'Control Room'!$D$8)/2)+'Control Room'!$B$9*(Y511-IF('Control Room'!$B$5="Normal",'Control Room'!$B$7,('Control Room'!$B$8+'Control Room'!$D$8)/2))+SQRT(1-'Control Room'!$B$9^2)*(X512-IF('Control Room'!$B$5="Normal",'Control Room'!$B$7,('Control Room'!$B$8+'Control Room'!$D$8)/2))</x:f>
        <x:v>973.6831502608121</x:v>
      </x:c>
      <x:c r="Z512" s="17" t="n">
        <x:f>IF(AND($A512&gt;='Control Room'!$A$13,$A512&lt;'Control Room'!$A$13+'Control Room'!$B$13,'Process'!BO2=1),1+('Control Room'!$C$13-1)*EXP(-0.5*(($A512-'Control Room'!$A$13-('Control Room'!$B$13-1)/2)/MAX(0.5,'Control Room'!$B$13/4))^2),1)*IF(AND($A512&gt;='Control Room'!$A$14,$A512&lt;'Control Room'!$A$14+'Control Room'!$B$14,'Process'!BO3=1),1+('Control Room'!$C$14-1)*EXP(-0.5*(($A512-'Control Room'!$A$14-('Control Room'!$B$14-1)/2)/MAX(0.5,'Control Room'!$B$14/4))^2),1)*IF(AND($A512&gt;='Control Room'!$A$15,$A512&lt;'Control Room'!$A$15+'Control Room'!$B$15,'Process'!BO4=1),1+('Control Room'!$C$15-1)*EXP(-0.5*(($A512-'Control Room'!$A$15-('Control Room'!$B$15-1)/2)/MAX(0.5,'Control Room'!$B$15/4))^2),1)*IF(AND($A512&gt;='Control Room'!$A$16,$A512&lt;'Control Room'!$A$16+'Control Room'!$B$16,'Process'!BO5=1),1+('Control Room'!$C$16-1)*EXP(-0.5*(($A512-'Control Room'!$A$16-('Control Room'!$B$16-1)/2)/MAX(0.5,'Control Room'!$B$16/4))^2),1)</x:f>
        <x:v>1</x:v>
      </x:c>
      <x:c r="AA512" s="9" t="n">
        <x:f>MOD(AB511*16807,2147483647)</x:f>
        <x:v>387228320</x:v>
      </x:c>
      <x:c r="AB512" s="9" t="n">
        <x:f>MOD(AA512*16807,2147483647)</x:f>
        <x:v>1270923830</x:v>
      </x:c>
      <x:c r="AC512" s="17" t="n">
        <x:f>IF('Control Room'!$B$5="Normal",'Control Room'!$B$7+'Control Room'!$D$7*SQRT(-2*LN(MAX(0.000000000001,AA512/2147483647)))*COS(2*PI()*AB512/2147483647),'Control Room'!$B$8+('Control Room'!$D$8-'Control Room'!$B$8)*AA512/2147483647)</x:f>
        <x:v>860.3759285365468</x:v>
      </x:c>
      <x:c r="AD512" s="17" t="n">
        <x:f>IF('Control Room'!$B$5="Normal",'Control Room'!$B$7,('Control Room'!$B$8+'Control Room'!$D$8)/2)+'Control Room'!$B$9*(AD511-IF('Control Room'!$B$5="Normal",'Control Room'!$B$7,('Control Room'!$B$8+'Control Room'!$D$8)/2))+SQRT(1-'Control Room'!$B$9^2)*(AC512-IF('Control Room'!$B$5="Normal",'Control Room'!$B$7,('Control Room'!$B$8+'Control Room'!$D$8)/2))</x:f>
        <x:v>892.1456032703986</x:v>
      </x:c>
      <x:c r="AE512" s="17" t="n">
        <x:f>IF(AND($A512&gt;='Control Room'!$A$13,$A512&lt;'Control Room'!$A$13+'Control Room'!$B$13,'Process'!BP2=1),1+('Control Room'!$C$13-1)*EXP(-0.5*(($A512-'Control Room'!$A$13-('Control Room'!$B$13-1)/2)/MAX(0.5,'Control Room'!$B$13/4))^2),1)*IF(AND($A512&gt;='Control Room'!$A$14,$A512&lt;'Control Room'!$A$14+'Control Room'!$B$14,'Process'!BP3=1),1+('Control Room'!$C$14-1)*EXP(-0.5*(($A512-'Control Room'!$A$14-('Control Room'!$B$14-1)/2)/MAX(0.5,'Control Room'!$B$14/4))^2),1)*IF(AND($A512&gt;='Control Room'!$A$15,$A512&lt;'Control Room'!$A$15+'Control Room'!$B$15,'Process'!BP4=1),1+('Control Room'!$C$15-1)*EXP(-0.5*(($A512-'Control Room'!$A$15-('Control Room'!$B$15-1)/2)/MAX(0.5,'Control Room'!$B$15/4))^2),1)*IF(AND($A512&gt;='Control Room'!$A$16,$A512&lt;'Control Room'!$A$16+'Control Room'!$B$16,'Process'!BP5=1),1+('Control Room'!$C$16-1)*EXP(-0.5*(($A512-'Control Room'!$A$16-('Control Room'!$B$16-1)/2)/MAX(0.5,'Control Room'!$B$16/4))^2),1)</x:f>
        <x:v>1</x:v>
      </x:c>
      <x:c r="AF512" s="9" t="n">
        <x:f>MOD(AG511*16807,2147483647)</x:f>
        <x:v>1839567079</x:v>
      </x:c>
      <x:c r="AG512" s="9" t="n">
        <x:f>MOD(AF512*16807,2147483647)</x:f>
        <x:v>281830894</x:v>
      </x:c>
      <x:c r="AH512" s="17" t="n">
        <x:f>IF('Control Room'!$B$5="Normal",'Control Room'!$B$7+'Control Room'!$D$7*SQRT(-2*LN(MAX(0.000000000001,AF512/2147483647)))*COS(2*PI()*AG512/2147483647),'Control Room'!$B$8+('Control Room'!$D$8-'Control Room'!$B$8)*AF512/2147483647)</x:f>
        <x:v>1033.9918259545163</x:v>
      </x:c>
      <x:c r="AI512" s="17" t="n">
        <x:f>IF('Control Room'!$B$5="Normal",'Control Room'!$B$7,('Control Room'!$B$8+'Control Room'!$D$8)/2)+'Control Room'!$B$9*(AI511-IF('Control Room'!$B$5="Normal",'Control Room'!$B$7,('Control Room'!$B$8+'Control Room'!$D$8)/2))+SQRT(1-'Control Room'!$B$9^2)*(AH512-IF('Control Room'!$B$5="Normal",'Control Room'!$B$7,('Control Room'!$B$8+'Control Room'!$D$8)/2))</x:f>
        <x:v>1065.1641647806377</x:v>
      </x:c>
      <x:c r="AJ512" s="17" t="n">
        <x:f>IF(AND($A512&gt;='Control Room'!$A$13,$A512&lt;'Control Room'!$A$13+'Control Room'!$B$13,'Process'!BQ2=1),1+('Control Room'!$C$13-1)*EXP(-0.5*(($A512-'Control Room'!$A$13-('Control Room'!$B$13-1)/2)/MAX(0.5,'Control Room'!$B$13/4))^2),1)*IF(AND($A512&gt;='Control Room'!$A$14,$A512&lt;'Control Room'!$A$14+'Control Room'!$B$14,'Process'!BQ3=1),1+('Control Room'!$C$14-1)*EXP(-0.5*(($A512-'Control Room'!$A$14-('Control Room'!$B$14-1)/2)/MAX(0.5,'Control Room'!$B$14/4))^2),1)*IF(AND($A512&gt;='Control Room'!$A$15,$A512&lt;'Control Room'!$A$15+'Control Room'!$B$15,'Process'!BQ4=1),1+('Control Room'!$C$15-1)*EXP(-0.5*(($A512-'Control Room'!$A$15-('Control Room'!$B$15-1)/2)/MAX(0.5,'Control Room'!$B$15/4))^2),1)*IF(AND($A512&gt;='Control Room'!$A$16,$A512&lt;'Control Room'!$A$16+'Control Room'!$B$16,'Process'!BQ5=1),1+('Control Room'!$C$16-1)*EXP(-0.5*(($A512-'Control Room'!$A$16-('Control Room'!$B$16-1)/2)/MAX(0.5,'Control Room'!$B$16/4))^2),1)</x:f>
        <x:v>1</x:v>
      </x:c>
      <x:c r="AK512" s="9" t="n">
        <x:f>MOD(AL511*16807,2147483647)</x:f>
        <x:v>1144422191</x:v>
      </x:c>
      <x:c r="AL512" s="9" t="n">
        <x:f>MOD(AK512*16807,2147483647)</x:f>
        <x:v>1440221605</x:v>
      </x:c>
      <x:c r="AM512" s="17" t="n">
        <x:f>IF('Control Room'!$B$5="Normal",'Control Room'!$B$7+'Control Room'!$D$7*SQRT(-2*LN(MAX(0.000000000001,AK512/2147483647)))*COS(2*PI()*AL512/2147483647),'Control Room'!$B$8+('Control Room'!$D$8-'Control Room'!$B$8)*AK512/2147483647)</x:f>
        <x:v>951.7190813690197</x:v>
      </x:c>
      <x:c r="AN512" s="17" t="n">
        <x:f>IF('Control Room'!$B$5="Normal",'Control Room'!$B$7,('Control Room'!$B$8+'Control Room'!$D$8)/2)+'Control Room'!$B$9*(AN511-IF('Control Room'!$B$5="Normal",'Control Room'!$B$7,('Control Room'!$B$8+'Control Room'!$D$8)/2))+SQRT(1-'Control Room'!$B$9^2)*(AM512-IF('Control Room'!$B$5="Normal",'Control Room'!$B$7,('Control Room'!$B$8+'Control Room'!$D$8)/2))</x:f>
        <x:v>946.754407623694</x:v>
      </x:c>
      <x:c r="AO512" s="17" t="n">
        <x:f>IF(AND($A512&gt;='Control Room'!$A$13,$A512&lt;'Control Room'!$A$13+'Control Room'!$B$13,'Process'!BR2=1),1+('Control Room'!$C$13-1)*EXP(-0.5*(($A512-'Control Room'!$A$13-('Control Room'!$B$13-1)/2)/MAX(0.5,'Control Room'!$B$13/4))^2),1)*IF(AND($A512&gt;='Control Room'!$A$14,$A512&lt;'Control Room'!$A$14+'Control Room'!$B$14,'Process'!BR3=1),1+('Control Room'!$C$14-1)*EXP(-0.5*(($A512-'Control Room'!$A$14-('Control Room'!$B$14-1)/2)/MAX(0.5,'Control Room'!$B$14/4))^2),1)*IF(AND($A512&gt;='Control Room'!$A$15,$A512&lt;'Control Room'!$A$15+'Control Room'!$B$15,'Process'!BR4=1),1+('Control Room'!$C$15-1)*EXP(-0.5*(($A512-'Control Room'!$A$15-('Control Room'!$B$15-1)/2)/MAX(0.5,'Control Room'!$B$15/4))^2),1)*IF(AND($A512&gt;='Control Room'!$A$16,$A512&lt;'Control Room'!$A$16+'Control Room'!$B$16,'Process'!BR5=1),1+('Control Room'!$C$16-1)*EXP(-0.5*(($A512-'Control Room'!$A$16-('Control Room'!$B$16-1)/2)/MAX(0.5,'Control Room'!$B$16/4))^2),1)</x:f>
        <x:v>1</x:v>
      </x:c>
      <x:c r="AP512" s="9" t="n">
        <x:f>MOD(AQ511*16807,2147483647)</x:f>
        <x:v>449277303</x:v>
      </x:c>
      <x:c r="AQ512" s="9" t="n">
        <x:f>MOD(AP512*16807,2147483647)</x:f>
        <x:v>451128669</x:v>
      </x:c>
      <x:c r="AR512" s="17" t="n">
        <x:f>IF('Control Room'!$B$5="Normal",'Control Room'!$B$7+'Control Room'!$D$7*SQRT(-2*LN(MAX(0.000000000001,AP512/2147483647)))*COS(2*PI()*AQ512/2147483647),'Control Room'!$B$8+('Control Room'!$D$8-'Control Room'!$B$8)*AP512/2147483647)</x:f>
        <x:v>1039.5196352442347</x:v>
      </x:c>
      <x:c r="AS512" s="17" t="n">
        <x:f>IF('Control Room'!$B$5="Normal",'Control Room'!$B$7,('Control Room'!$B$8+'Control Room'!$D$8)/2)+'Control Room'!$B$9*(AS511-IF('Control Room'!$B$5="Normal",'Control Room'!$B$7,('Control Room'!$B$8+'Control Room'!$D$8)/2))+SQRT(1-'Control Room'!$B$9^2)*(AR512-IF('Control Room'!$B$5="Normal",'Control Room'!$B$7,('Control Room'!$B$8+'Control Room'!$D$8)/2))</x:f>
        <x:v>1051.3641939615802</x:v>
      </x:c>
      <x:c r="AT512" s="17" t="n">
        <x:f>IF(AND($A512&gt;='Control Room'!$A$13,$A512&lt;'Control Room'!$A$13+'Control Room'!$B$13,'Process'!BS2=1),1+('Control Room'!$C$13-1)*EXP(-0.5*(($A512-'Control Room'!$A$13-('Control Room'!$B$13-1)/2)/MAX(0.5,'Control Room'!$B$13/4))^2),1)*IF(AND($A512&gt;='Control Room'!$A$14,$A512&lt;'Control Room'!$A$14+'Control Room'!$B$14,'Process'!BS3=1),1+('Control Room'!$C$14-1)*EXP(-0.5*(($A512-'Control Room'!$A$14-('Control Room'!$B$14-1)/2)/MAX(0.5,'Control Room'!$B$14/4))^2),1)*IF(AND($A512&gt;='Control Room'!$A$15,$A512&lt;'Control Room'!$A$15+'Control Room'!$B$15,'Process'!BS4=1),1+('Control Room'!$C$15-1)*EXP(-0.5*(($A512-'Control Room'!$A$15-('Control Room'!$B$15-1)/2)/MAX(0.5,'Control Room'!$B$15/4))^2),1)*IF(AND($A512&gt;='Control Room'!$A$16,$A512&lt;'Control Room'!$A$16+'Control Room'!$B$16,'Process'!BS5=1),1+('Control Room'!$C$16-1)*EXP(-0.5*(($A512-'Control Room'!$A$16-('Control Room'!$B$16-1)/2)/MAX(0.5,'Control Room'!$B$16/4))^2),1)</x:f>
        <x:v>1</x:v>
      </x:c>
      <x:c r="AU512" s="9" t="n">
        <x:f>MOD(AV511*16807,2147483647)</x:f>
        <x:v>1901616062</x:v>
      </x:c>
      <x:c r="AV512" s="9" t="n">
        <x:f>MOD(AU512*16807,2147483647)</x:f>
        <x:v>1609519380</x:v>
      </x:c>
      <x:c r="AW512" s="17" t="n">
        <x:f>IF('Control Room'!$B$5="Normal",'Control Room'!$B$7+'Control Room'!$D$7*SQRT(-2*LN(MAX(0.000000000001,AU512/2147483647)))*COS(2*PI()*AV512/2147483647),'Control Room'!$B$8+('Control Room'!$D$8-'Control Room'!$B$8)*AU512/2147483647)</x:f>
        <x:v>999.85802176497</x:v>
      </x:c>
      <x:c r="AX512" s="17" t="n">
        <x:f>IF('Control Room'!$B$5="Normal",'Control Room'!$B$7,('Control Room'!$B$8+'Control Room'!$D$8)/2)+'Control Room'!$B$9*(AX511-IF('Control Room'!$B$5="Normal",'Control Room'!$B$7,('Control Room'!$B$8+'Control Room'!$D$8)/2))+SQRT(1-'Control Room'!$B$9^2)*(AW512-IF('Control Room'!$B$5="Normal",'Control Room'!$B$7,('Control Room'!$B$8+'Control Room'!$D$8)/2))</x:f>
        <x:v>961.7085270702039</x:v>
      </x:c>
      <x:c r="AY512" s="17" t="n">
        <x:f>IF(AND($A512&gt;='Control Room'!$A$13,$A512&lt;'Control Room'!$A$13+'Control Room'!$B$13,'Process'!BT2=1),1+('Control Room'!$C$13-1)*EXP(-0.5*(($A512-'Control Room'!$A$13-('Control Room'!$B$13-1)/2)/MAX(0.5,'Control Room'!$B$13/4))^2),1)*IF(AND($A512&gt;='Control Room'!$A$14,$A512&lt;'Control Room'!$A$14+'Control Room'!$B$14,'Process'!BT3=1),1+('Control Room'!$C$14-1)*EXP(-0.5*(($A512-'Control Room'!$A$14-('Control Room'!$B$14-1)/2)/MAX(0.5,'Control Room'!$B$14/4))^2),1)*IF(AND($A512&gt;='Control Room'!$A$15,$A512&lt;'Control Room'!$A$15+'Control Room'!$B$15,'Process'!BT4=1),1+('Control Room'!$C$15-1)*EXP(-0.5*(($A512-'Control Room'!$A$15-('Control Room'!$B$15-1)/2)/MAX(0.5,'Control Room'!$B$15/4))^2),1)*IF(AND($A512&gt;='Control Room'!$A$16,$A512&lt;'Control Room'!$A$16+'Control Room'!$B$16,'Process'!BT5=1),1+('Control Room'!$C$16-1)*EXP(-0.5*(($A512-'Control Room'!$A$16-('Control Room'!$B$16-1)/2)/MAX(0.5,'Control Room'!$B$16/4))^2),1)</x:f>
        <x:v>1</x:v>
      </x:c>
      <x:c r="AZ512" s="9" t="n">
        <x:f>MOD(BA511*16807,2147483647)</x:f>
        <x:v>1206471174</x:v>
      </x:c>
      <x:c r="BA512" s="9" t="n">
        <x:f>MOD(AZ512*16807,2147483647)</x:f>
        <x:v>620426444</x:v>
      </x:c>
      <x:c r="BB512" s="17" t="n">
        <x:f>IF('Control Room'!$B$5="Normal",'Control Room'!$B$7+'Control Room'!$D$7*SQRT(-2*LN(MAX(0.000000000001,AZ512/2147483647)))*COS(2*PI()*BA512/2147483647),'Control Room'!$B$8+('Control Room'!$D$8-'Control Room'!$B$8)*AZ512/2147483647)</x:f>
        <x:v>976.6070869727822</x:v>
      </x:c>
      <x:c r="BC512" s="17" t="n">
        <x:f>IF('Control Room'!$B$5="Normal",'Control Room'!$B$7,('Control Room'!$B$8+'Control Room'!$D$8)/2)+'Control Room'!$B$9*(BC511-IF('Control Room'!$B$5="Normal",'Control Room'!$B$7,('Control Room'!$B$8+'Control Room'!$D$8)/2))+SQRT(1-'Control Room'!$B$9^2)*(BB512-IF('Control Room'!$B$5="Normal",'Control Room'!$B$7,('Control Room'!$B$8+'Control Room'!$D$8)/2))</x:f>
        <x:v>1079.5542908984228</x:v>
      </x:c>
      <x:c r="BD512" s="17" t="n">
        <x:f>IF(AND($A512&gt;='Control Room'!$A$13,$A512&lt;'Control Room'!$A$13+'Control Room'!$B$13,'Process'!BU2=1),1+('Control Room'!$C$13-1)*EXP(-0.5*(($A512-'Control Room'!$A$13-('Control Room'!$B$13-1)/2)/MAX(0.5,'Control Room'!$B$13/4))^2),1)*IF(AND($A512&gt;='Control Room'!$A$14,$A512&lt;'Control Room'!$A$14+'Control Room'!$B$14,'Process'!BU3=1),1+('Control Room'!$C$14-1)*EXP(-0.5*(($A512-'Control Room'!$A$14-('Control Room'!$B$14-1)/2)/MAX(0.5,'Control Room'!$B$14/4))^2),1)*IF(AND($A512&gt;='Control Room'!$A$15,$A512&lt;'Control Room'!$A$15+'Control Room'!$B$15,'Process'!BU4=1),1+('Control Room'!$C$15-1)*EXP(-0.5*(($A512-'Control Room'!$A$15-('Control Room'!$B$15-1)/2)/MAX(0.5,'Control Room'!$B$15/4))^2),1)*IF(AND($A512&gt;='Control Room'!$A$16,$A512&lt;'Control Room'!$A$16+'Control Room'!$B$16,'Process'!BU5=1),1+('Control Room'!$C$16-1)*EXP(-0.5*(($A512-'Control Room'!$A$16-('Control Room'!$B$16-1)/2)/MAX(0.5,'Control Room'!$B$16/4))^2),1)</x:f>
        <x:v>1</x:v>
      </x:c>
      <x:c r="BE512" s="9" t="n">
        <x:f>MOD(BF511*16807,2147483647)</x:f>
        <x:v>511326286</x:v>
      </x:c>
      <x:c r="BF512" s="9" t="n">
        <x:f>MOD(BE512*16807,2147483647)</x:f>
        <x:v>1778817155</x:v>
      </x:c>
      <x:c r="BG512" s="17" t="n">
        <x:f>IF('Control Room'!$B$5="Normal",'Control Room'!$B$7+'Control Room'!$D$7*SQRT(-2*LN(MAX(0.000000000001,BE512/2147483647)))*COS(2*PI()*BF512/2147483647),'Control Room'!$B$8+('Control Room'!$D$8-'Control Room'!$B$8)*BE512/2147483647)</x:f>
        <x:v>1072.044817007249</x:v>
      </x:c>
      <x:c r="BH512" s="17" t="n">
        <x:f>IF('Control Room'!$B$5="Normal",'Control Room'!$B$7,('Control Room'!$B$8+'Control Room'!$D$8)/2)+'Control Room'!$B$9*(BH511-IF('Control Room'!$B$5="Normal",'Control Room'!$B$7,('Control Room'!$B$8+'Control Room'!$D$8)/2))+SQRT(1-'Control Room'!$B$9^2)*(BG512-IF('Control Room'!$B$5="Normal",'Control Room'!$B$7,('Control Room'!$B$8+'Control Room'!$D$8)/2))</x:f>
        <x:v>1076.9626483533527</x:v>
      </x:c>
      <x:c r="BI512" s="17" t="n">
        <x:f>IF(AND($A512&gt;='Control Room'!$A$13,$A512&lt;'Control Room'!$A$13+'Control Room'!$B$13,'Process'!BV2=1),1+('Control Room'!$C$13-1)*EXP(-0.5*(($A512-'Control Room'!$A$13-('Control Room'!$B$13-1)/2)/MAX(0.5,'Control Room'!$B$13/4))^2),1)*IF(AND($A512&gt;='Control Room'!$A$14,$A512&lt;'Control Room'!$A$14+'Control Room'!$B$14,'Process'!BV3=1),1+('Control Room'!$C$14-1)*EXP(-0.5*(($A512-'Control Room'!$A$14-('Control Room'!$B$14-1)/2)/MAX(0.5,'Control Room'!$B$14/4))^2),1)*IF(AND($A512&gt;='Control Room'!$A$15,$A512&lt;'Control Room'!$A$15+'Control Room'!$B$15,'Process'!BV4=1),1+('Control Room'!$C$15-1)*EXP(-0.5*(($A512-'Control Room'!$A$15-('Control Room'!$B$15-1)/2)/MAX(0.5,'Control Room'!$B$15/4))^2),1)*IF(AND($A512&gt;='Control Room'!$A$16,$A512&lt;'Control Room'!$A$16+'Control Room'!$B$16,'Process'!BV5=1),1+('Control Room'!$C$16-1)*EXP(-0.5*(($A512-'Control Room'!$A$16-('Control Room'!$B$16-1)/2)/MAX(0.5,'Control Room'!$B$16/4))^2),1)</x:f>
        <x:v>1</x:v>
      </x:c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Z512" t="str">
        <x:f>IF('Data'!A512="","",TEXT('Data'!A512,"mm-dd"))</x:f>
      </x:c>
    </x:row>
    <x:row r="513" ht="21" customHeight="1">
      <x:c r="A513" s="15" t="n">
        <x:f>'Control Room'!$B$1+511</x:f>
        <x:v>73502</x:v>
      </x:c>
      <x:c r="B513" s="9" t="n">
        <x:f>MOD(C512*16807,2147483647)</x:f>
        <x:v>1614777373</x:v>
      </x:c>
      <x:c r="C513" s="9" t="n">
        <x:f>MOD(B513*16807,2147483647)</x:f>
        <x:v>1812460872</x:v>
      </x:c>
      <x:c r="D513" s="17" t="n">
        <x:f>IF('Control Room'!$B$5="Normal",'Control Room'!$B$7+'Control Room'!$D$7*SQRT(-2*LN(MAX(0.000000000001,B513/2147483647)))*COS(2*PI()*C513/2147483647),'Control Room'!$B$8+('Control Room'!$D$8-'Control Room'!$B$8)*B513/2147483647)</x:f>
        <x:v>1037.8429525145002</x:v>
      </x:c>
      <x:c r="E513" s="17" t="n">
        <x:f>IF('Control Room'!$B$5="Normal",'Control Room'!$B$7,('Control Room'!$B$8+'Control Room'!$D$8)/2)+'Control Room'!$B$9*(E512-IF('Control Room'!$B$5="Normal",'Control Room'!$B$7,('Control Room'!$B$8+'Control Room'!$D$8)/2))+SQRT(1-'Control Room'!$B$9^2)*(D513-IF('Control Room'!$B$5="Normal",'Control Room'!$B$7,('Control Room'!$B$8+'Control Room'!$D$8)/2))</x:f>
        <x:v>1043.9347229723944</x:v>
      </x:c>
      <x:c r="F513" s="17" t="n">
        <x:f>IF(AND($A513&gt;='Control Room'!$A$13,$A513&lt;'Control Room'!$A$13+'Control Room'!$B$13,'Process'!BK2=1),1+('Control Room'!$C$13-1)*EXP(-0.5*(($A513-'Control Room'!$A$13-('Control Room'!$B$13-1)/2)/MAX(0.5,'Control Room'!$B$13/4))^2),1)*IF(AND($A513&gt;='Control Room'!$A$14,$A513&lt;'Control Room'!$A$14+'Control Room'!$B$14,'Process'!BK3=1),1+('Control Room'!$C$14-1)*EXP(-0.5*(($A513-'Control Room'!$A$14-('Control Room'!$B$14-1)/2)/MAX(0.5,'Control Room'!$B$14/4))^2),1)*IF(AND($A513&gt;='Control Room'!$A$15,$A513&lt;'Control Room'!$A$15+'Control Room'!$B$15,'Process'!BK4=1),1+('Control Room'!$C$15-1)*EXP(-0.5*(($A513-'Control Room'!$A$15-('Control Room'!$B$15-1)/2)/MAX(0.5,'Control Room'!$B$15/4))^2),1)*IF(AND($A513&gt;='Control Room'!$A$16,$A513&lt;'Control Room'!$A$16+'Control Room'!$B$16,'Process'!BK5=1),1+('Control Room'!$C$16-1)*EXP(-0.5*(($A513-'Control Room'!$A$16-('Control Room'!$B$16-1)/2)/MAX(0.5,'Control Room'!$B$16/4))^2),1)</x:f>
        <x:v>1</x:v>
      </x:c>
      <x:c r="G513" s="9" t="n">
        <x:f>MOD(H512*16807,2147483647)</x:f>
        <x:v>1600713448</x:v>
      </x:c>
      <x:c r="H513" s="9" t="n">
        <x:f>MOD(G513*16807,2147483647)</x:f>
        <x:v>1663274567</x:v>
      </x:c>
      <x:c r="I513" s="17" t="n">
        <x:f>IF('Control Room'!$B$5="Normal",'Control Room'!$B$7+'Control Room'!$D$7*SQRT(-2*LN(MAX(0.000000000001,G513/2147483647)))*COS(2*PI()*H513/2147483647),'Control Room'!$B$8+('Control Room'!$D$8-'Control Room'!$B$8)*G513/2147483647)</x:f>
        <x:v>1010.588747141211</x:v>
      </x:c>
      <x:c r="J513" s="17" t="n">
        <x:f>IF('Control Room'!$B$5="Normal",'Control Room'!$B$7,('Control Room'!$B$8+'Control Room'!$D$8)/2)+'Control Room'!$B$9*(J512-IF('Control Room'!$B$5="Normal",'Control Room'!$B$7,('Control Room'!$B$8+'Control Room'!$D$8)/2))+SQRT(1-'Control Room'!$B$9^2)*(I513-IF('Control Room'!$B$5="Normal",'Control Room'!$B$7,('Control Room'!$B$8+'Control Room'!$D$8)/2))</x:f>
        <x:v>892.987230063415</x:v>
      </x:c>
      <x:c r="K513" s="17" t="n">
        <x:f>IF(AND($A513&gt;='Control Room'!$A$13,$A513&lt;'Control Room'!$A$13+'Control Room'!$B$13,'Process'!BL2=1),1+('Control Room'!$C$13-1)*EXP(-0.5*(($A513-'Control Room'!$A$13-('Control Room'!$B$13-1)/2)/MAX(0.5,'Control Room'!$B$13/4))^2),1)*IF(AND($A513&gt;='Control Room'!$A$14,$A513&lt;'Control Room'!$A$14+'Control Room'!$B$14,'Process'!BL3=1),1+('Control Room'!$C$14-1)*EXP(-0.5*(($A513-'Control Room'!$A$14-('Control Room'!$B$14-1)/2)/MAX(0.5,'Control Room'!$B$14/4))^2),1)*IF(AND($A513&gt;='Control Room'!$A$15,$A513&lt;'Control Room'!$A$15+'Control Room'!$B$15,'Process'!BL4=1),1+('Control Room'!$C$15-1)*EXP(-0.5*(($A513-'Control Room'!$A$15-('Control Room'!$B$15-1)/2)/MAX(0.5,'Control Room'!$B$15/4))^2),1)*IF(AND($A513&gt;='Control Room'!$A$16,$A513&lt;'Control Room'!$A$16+'Control Room'!$B$16,'Process'!BL5=1),1+('Control Room'!$C$16-1)*EXP(-0.5*(($A513-'Control Room'!$A$16-('Control Room'!$B$16-1)/2)/MAX(0.5,'Control Room'!$B$16/4))^2),1)</x:f>
        <x:v>1</x:v>
      </x:c>
      <x:c r="L513" s="9" t="n">
        <x:f>MOD(M512*16807,2147483647)</x:f>
        <x:v>1586649523</x:v>
      </x:c>
      <x:c r="M513" s="9" t="n">
        <x:f>MOD(L513*16807,2147483647)</x:f>
        <x:v>1514088262</x:v>
      </x:c>
      <x:c r="N513" s="17" t="n">
        <x:f>IF('Control Room'!$B$5="Normal",'Control Room'!$B$7+'Control Room'!$D$7*SQRT(-2*LN(MAX(0.000000000001,L513/2147483647)))*COS(2*PI()*M513/2147483647),'Control Room'!$B$8+('Control Room'!$D$8-'Control Room'!$B$8)*L513/2147483647)</x:f>
        <x:v>980.4861620011081</x:v>
      </x:c>
      <x:c r="O513" s="17" t="n">
        <x:f>IF('Control Room'!$B$5="Normal",'Control Room'!$B$7,('Control Room'!$B$8+'Control Room'!$D$8)/2)+'Control Room'!$B$9*(O512-IF('Control Room'!$B$5="Normal",'Control Room'!$B$7,('Control Room'!$B$8+'Control Room'!$D$8)/2))+SQRT(1-'Control Room'!$B$9^2)*(N513-IF('Control Room'!$B$5="Normal",'Control Room'!$B$7,('Control Room'!$B$8+'Control Room'!$D$8)/2))</x:f>
        <x:v>1093.2320985725848</x:v>
      </x:c>
      <x:c r="P513" s="17" t="n">
        <x:f>IF(AND($A513&gt;='Control Room'!$A$13,$A513&lt;'Control Room'!$A$13+'Control Room'!$B$13,'Process'!BM2=1),1+('Control Room'!$C$13-1)*EXP(-0.5*(($A513-'Control Room'!$A$13-('Control Room'!$B$13-1)/2)/MAX(0.5,'Control Room'!$B$13/4))^2),1)*IF(AND($A513&gt;='Control Room'!$A$14,$A513&lt;'Control Room'!$A$14+'Control Room'!$B$14,'Process'!BM3=1),1+('Control Room'!$C$14-1)*EXP(-0.5*(($A513-'Control Room'!$A$14-('Control Room'!$B$14-1)/2)/MAX(0.5,'Control Room'!$B$14/4))^2),1)*IF(AND($A513&gt;='Control Room'!$A$15,$A513&lt;'Control Room'!$A$15+'Control Room'!$B$15,'Process'!BM4=1),1+('Control Room'!$C$15-1)*EXP(-0.5*(($A513-'Control Room'!$A$15-('Control Room'!$B$15-1)/2)/MAX(0.5,'Control Room'!$B$15/4))^2),1)*IF(AND($A513&gt;='Control Room'!$A$16,$A513&lt;'Control Room'!$A$16+'Control Room'!$B$16,'Process'!BM5=1),1+('Control Room'!$C$16-1)*EXP(-0.5*(($A513-'Control Room'!$A$16-('Control Room'!$B$16-1)/2)/MAX(0.5,'Control Room'!$B$16/4))^2),1)</x:f>
        <x:v>1</x:v>
      </x:c>
      <x:c r="Q513" s="9" t="n">
        <x:f>MOD(R512*16807,2147483647)</x:f>
        <x:v>1572585598</x:v>
      </x:c>
      <x:c r="R513" s="9" t="n">
        <x:f>MOD(Q513*16807,2147483647)</x:f>
        <x:v>1364901957</x:v>
      </x:c>
      <x:c r="S513" s="17" t="n">
        <x:f>IF('Control Room'!$B$5="Normal",'Control Room'!$B$7+'Control Room'!$D$7*SQRT(-2*LN(MAX(0.000000000001,Q513/2147483647)))*COS(2*PI()*R513/2147483647),'Control Room'!$B$8+('Control Room'!$D$8-'Control Room'!$B$8)*Q513/2147483647)</x:f>
        <x:v>953.2116743961226</x:v>
      </x:c>
      <x:c r="T513" s="17" t="n">
        <x:f>IF('Control Room'!$B$5="Normal",'Control Room'!$B$7,('Control Room'!$B$8+'Control Room'!$D$8)/2)+'Control Room'!$B$9*(T512-IF('Control Room'!$B$5="Normal",'Control Room'!$B$7,('Control Room'!$B$8+'Control Room'!$D$8)/2))+SQRT(1-'Control Room'!$B$9^2)*(S513-IF('Control Room'!$B$5="Normal",'Control Room'!$B$7,('Control Room'!$B$8+'Control Room'!$D$8)/2))</x:f>
        <x:v>932.6960603267078</x:v>
      </x:c>
      <x:c r="U513" s="17" t="n">
        <x:f>IF(AND($A513&gt;='Control Room'!$A$13,$A513&lt;'Control Room'!$A$13+'Control Room'!$B$13,'Process'!BN2=1),1+('Control Room'!$C$13-1)*EXP(-0.5*(($A513-'Control Room'!$A$13-('Control Room'!$B$13-1)/2)/MAX(0.5,'Control Room'!$B$13/4))^2),1)*IF(AND($A513&gt;='Control Room'!$A$14,$A513&lt;'Control Room'!$A$14+'Control Room'!$B$14,'Process'!BN3=1),1+('Control Room'!$C$14-1)*EXP(-0.5*(($A513-'Control Room'!$A$14-('Control Room'!$B$14-1)/2)/MAX(0.5,'Control Room'!$B$14/4))^2),1)*IF(AND($A513&gt;='Control Room'!$A$15,$A513&lt;'Control Room'!$A$15+'Control Room'!$B$15,'Process'!BN4=1),1+('Control Room'!$C$15-1)*EXP(-0.5*(($A513-'Control Room'!$A$15-('Control Room'!$B$15-1)/2)/MAX(0.5,'Control Room'!$B$15/4))^2),1)*IF(AND($A513&gt;='Control Room'!$A$16,$A513&lt;'Control Room'!$A$16+'Control Room'!$B$16,'Process'!BN5=1),1+('Control Room'!$C$16-1)*EXP(-0.5*(($A513-'Control Room'!$A$16-('Control Room'!$B$16-1)/2)/MAX(0.5,'Control Room'!$B$16/4))^2),1)</x:f>
        <x:v>1</x:v>
      </x:c>
      <x:c r="V513" s="9" t="n">
        <x:f>MOD(W512*16807,2147483647)</x:f>
        <x:v>1558521673</x:v>
      </x:c>
      <x:c r="W513" s="9" t="n">
        <x:f>MOD(V513*16807,2147483647)</x:f>
        <x:v>1215715652</x:v>
      </x:c>
      <x:c r="X513" s="17" t="n">
        <x:f>IF('Control Room'!$B$5="Normal",'Control Room'!$B$7+'Control Room'!$D$7*SQRT(-2*LN(MAX(0.000000000001,V513/2147483647)))*COS(2*PI()*W513/2147483647),'Control Room'!$B$8+('Control Room'!$D$8-'Control Room'!$B$8)*V513/2147483647)</x:f>
        <x:v>934.0654965342626</x:v>
      </x:c>
      <x:c r="Y513" s="17" t="n">
        <x:f>IF('Control Room'!$B$5="Normal",'Control Room'!$B$7,('Control Room'!$B$8+'Control Room'!$D$8)/2)+'Control Room'!$B$9*(Y512-IF('Control Room'!$B$5="Normal",'Control Room'!$B$7,('Control Room'!$B$8+'Control Room'!$D$8)/2))+SQRT(1-'Control Room'!$B$9^2)*(X513-IF('Control Room'!$B$5="Normal",'Control Room'!$B$7,('Control Room'!$B$8+'Control Room'!$D$8)/2))</x:f>
        <x:v>938.2123956762979</x:v>
      </x:c>
      <x:c r="Z513" s="17" t="n">
        <x:f>IF(AND($A513&gt;='Control Room'!$A$13,$A513&lt;'Control Room'!$A$13+'Control Room'!$B$13,'Process'!BO2=1),1+('Control Room'!$C$13-1)*EXP(-0.5*(($A513-'Control Room'!$A$13-('Control Room'!$B$13-1)/2)/MAX(0.5,'Control Room'!$B$13/4))^2),1)*IF(AND($A513&gt;='Control Room'!$A$14,$A513&lt;'Control Room'!$A$14+'Control Room'!$B$14,'Process'!BO3=1),1+('Control Room'!$C$14-1)*EXP(-0.5*(($A513-'Control Room'!$A$14-('Control Room'!$B$14-1)/2)/MAX(0.5,'Control Room'!$B$14/4))^2),1)*IF(AND($A513&gt;='Control Room'!$A$15,$A513&lt;'Control Room'!$A$15+'Control Room'!$B$15,'Process'!BO4=1),1+('Control Room'!$C$15-1)*EXP(-0.5*(($A513-'Control Room'!$A$15-('Control Room'!$B$15-1)/2)/MAX(0.5,'Control Room'!$B$15/4))^2),1)*IF(AND($A513&gt;='Control Room'!$A$16,$A513&lt;'Control Room'!$A$16+'Control Room'!$B$16,'Process'!BO5=1),1+('Control Room'!$C$16-1)*EXP(-0.5*(($A513-'Control Room'!$A$16-('Control Room'!$B$16-1)/2)/MAX(0.5,'Control Room'!$B$16/4))^2),1)</x:f>
        <x:v>1</x:v>
      </x:c>
      <x:c r="AA513" s="9" t="n">
        <x:f>MOD(AB512*16807,2147483647)</x:f>
        <x:v>1544457748</x:v>
      </x:c>
      <x:c r="AB513" s="9" t="n">
        <x:f>MOD(AA513*16807,2147483647)</x:f>
        <x:v>1066529347</x:v>
      </x:c>
      <x:c r="AC513" s="17" t="n">
        <x:f>IF('Control Room'!$B$5="Normal",'Control Room'!$B$7+'Control Room'!$D$7*SQRT(-2*LN(MAX(0.000000000001,AA513/2147483647)))*COS(2*PI()*AB513/2147483647),'Control Room'!$B$8+('Control Room'!$D$8-'Control Room'!$B$8)*AA513/2147483647)</x:f>
        <x:v>926.9416033937844</x:v>
      </x:c>
      <x:c r="AD513" s="17" t="n">
        <x:f>IF('Control Room'!$B$5="Normal",'Control Room'!$B$7,('Control Room'!$B$8+'Control Room'!$D$8)/2)+'Control Room'!$B$9*(AD512-IF('Control Room'!$B$5="Normal",'Control Room'!$B$7,('Control Room'!$B$8+'Control Room'!$D$8)/2))+SQRT(1-'Control Room'!$B$9^2)*(AC513-IF('Control Room'!$B$5="Normal",'Control Room'!$B$7,('Control Room'!$B$8+'Control Room'!$D$8)/2))</x:f>
        <x:v>870.1551226373476</x:v>
      </x:c>
      <x:c r="AE513" s="17" t="n">
        <x:f>IF(AND($A513&gt;='Control Room'!$A$13,$A513&lt;'Control Room'!$A$13+'Control Room'!$B$13,'Process'!BP2=1),1+('Control Room'!$C$13-1)*EXP(-0.5*(($A513-'Control Room'!$A$13-('Control Room'!$B$13-1)/2)/MAX(0.5,'Control Room'!$B$13/4))^2),1)*IF(AND($A513&gt;='Control Room'!$A$14,$A513&lt;'Control Room'!$A$14+'Control Room'!$B$14,'Process'!BP3=1),1+('Control Room'!$C$14-1)*EXP(-0.5*(($A513-'Control Room'!$A$14-('Control Room'!$B$14-1)/2)/MAX(0.5,'Control Room'!$B$14/4))^2),1)*IF(AND($A513&gt;='Control Room'!$A$15,$A513&lt;'Control Room'!$A$15+'Control Room'!$B$15,'Process'!BP4=1),1+('Control Room'!$C$15-1)*EXP(-0.5*(($A513-'Control Room'!$A$15-('Control Room'!$B$15-1)/2)/MAX(0.5,'Control Room'!$B$15/4))^2),1)*IF(AND($A513&gt;='Control Room'!$A$16,$A513&lt;'Control Room'!$A$16+'Control Room'!$B$16,'Process'!BP5=1),1+('Control Room'!$C$16-1)*EXP(-0.5*(($A513-'Control Room'!$A$16-('Control Room'!$B$16-1)/2)/MAX(0.5,'Control Room'!$B$16/4))^2),1)</x:f>
        <x:v>1</x:v>
      </x:c>
      <x:c r="AF513" s="9" t="n">
        <x:f>MOD(AG512*16807,2147483647)</x:f>
        <x:v>1530393823</x:v>
      </x:c>
      <x:c r="AG513" s="9" t="n">
        <x:f>MOD(AF513*16807,2147483647)</x:f>
        <x:v>917343042</x:v>
      </x:c>
      <x:c r="AH513" s="17" t="n">
        <x:f>IF('Control Room'!$B$5="Normal",'Control Room'!$B$7+'Control Room'!$D$7*SQRT(-2*LN(MAX(0.000000000001,AF513/2147483647)))*COS(2*PI()*AG513/2147483647),'Control Room'!$B$8+('Control Room'!$D$8-'Control Room'!$B$8)*AF513/2147483647)</x:f>
        <x:v>933.5400598563876</x:v>
      </x:c>
      <x:c r="AI513" s="17" t="n">
        <x:f>IF('Control Room'!$B$5="Normal",'Control Room'!$B$7,('Control Room'!$B$8+'Control Room'!$D$8)/2)+'Control Room'!$B$9*(AI512-IF('Control Room'!$B$5="Normal",'Control Room'!$B$7,('Control Room'!$B$8+'Control Room'!$D$8)/2))+SQRT(1-'Control Room'!$B$9^2)*(AH513-IF('Control Room'!$B$5="Normal",'Control Room'!$B$7,('Control Room'!$B$8+'Control Room'!$D$8)/2))</x:f>
        <x:v>1009.2387794929031</x:v>
      </x:c>
      <x:c r="AJ513" s="17" t="n">
        <x:f>IF(AND($A513&gt;='Control Room'!$A$13,$A513&lt;'Control Room'!$A$13+'Control Room'!$B$13,'Process'!BQ2=1),1+('Control Room'!$C$13-1)*EXP(-0.5*(($A513-'Control Room'!$A$13-('Control Room'!$B$13-1)/2)/MAX(0.5,'Control Room'!$B$13/4))^2),1)*IF(AND($A513&gt;='Control Room'!$A$14,$A513&lt;'Control Room'!$A$14+'Control Room'!$B$14,'Process'!BQ3=1),1+('Control Room'!$C$14-1)*EXP(-0.5*(($A513-'Control Room'!$A$14-('Control Room'!$B$14-1)/2)/MAX(0.5,'Control Room'!$B$14/4))^2),1)*IF(AND($A513&gt;='Control Room'!$A$15,$A513&lt;'Control Room'!$A$15+'Control Room'!$B$15,'Process'!BQ4=1),1+('Control Room'!$C$15-1)*EXP(-0.5*(($A513-'Control Room'!$A$15-('Control Room'!$B$15-1)/2)/MAX(0.5,'Control Room'!$B$15/4))^2),1)*IF(AND($A513&gt;='Control Room'!$A$16,$A513&lt;'Control Room'!$A$16+'Control Room'!$B$16,'Process'!BQ5=1),1+('Control Room'!$C$16-1)*EXP(-0.5*(($A513-'Control Room'!$A$16-('Control Room'!$B$16-1)/2)/MAX(0.5,'Control Room'!$B$16/4))^2),1)</x:f>
        <x:v>1</x:v>
      </x:c>
      <x:c r="AK513" s="9" t="n">
        <x:f>MOD(AL512*16807,2147483647)</x:f>
        <x:v>1516329898</x:v>
      </x:c>
      <x:c r="AL513" s="9" t="n">
        <x:f>MOD(AK513*16807,2147483647)</x:f>
        <x:v>768156737</x:v>
      </x:c>
      <x:c r="AM513" s="17" t="n">
        <x:f>IF('Control Room'!$B$5="Normal",'Control Room'!$B$7+'Control Room'!$D$7*SQRT(-2*LN(MAX(0.000000000001,AK513/2147483647)))*COS(2*PI()*AL513/2147483647),'Control Room'!$B$8+('Control Room'!$D$8-'Control Room'!$B$8)*AK513/2147483647)</x:f>
        <x:v>952.9801336519645</x:v>
      </x:c>
      <x:c r="AN513" s="17" t="n">
        <x:f>IF('Control Room'!$B$5="Normal",'Control Room'!$B$7,('Control Room'!$B$8+'Control Room'!$D$8)/2)+'Control Room'!$B$9*(AN512-IF('Control Room'!$B$5="Normal",'Control Room'!$B$7,('Control Room'!$B$8+'Control Room'!$D$8)/2))+SQRT(1-'Control Room'!$B$9^2)*(AM513-IF('Control Room'!$B$5="Normal",'Control Room'!$B$7,('Control Room'!$B$8+'Control Room'!$D$8)/2))</x:f>
        <x:v>929.0443688402004</x:v>
      </x:c>
      <x:c r="AO513" s="17" t="n">
        <x:f>IF(AND($A513&gt;='Control Room'!$A$13,$A513&lt;'Control Room'!$A$13+'Control Room'!$B$13,'Process'!BR2=1),1+('Control Room'!$C$13-1)*EXP(-0.5*(($A513-'Control Room'!$A$13-('Control Room'!$B$13-1)/2)/MAX(0.5,'Control Room'!$B$13/4))^2),1)*IF(AND($A513&gt;='Control Room'!$A$14,$A513&lt;'Control Room'!$A$14+'Control Room'!$B$14,'Process'!BR3=1),1+('Control Room'!$C$14-1)*EXP(-0.5*(($A513-'Control Room'!$A$14-('Control Room'!$B$14-1)/2)/MAX(0.5,'Control Room'!$B$14/4))^2),1)*IF(AND($A513&gt;='Control Room'!$A$15,$A513&lt;'Control Room'!$A$15+'Control Room'!$B$15,'Process'!BR4=1),1+('Control Room'!$C$15-1)*EXP(-0.5*(($A513-'Control Room'!$A$15-('Control Room'!$B$15-1)/2)/MAX(0.5,'Control Room'!$B$15/4))^2),1)*IF(AND($A513&gt;='Control Room'!$A$16,$A513&lt;'Control Room'!$A$16+'Control Room'!$B$16,'Process'!BR5=1),1+('Control Room'!$C$16-1)*EXP(-0.5*(($A513-'Control Room'!$A$16-('Control Room'!$B$16-1)/2)/MAX(0.5,'Control Room'!$B$16/4))^2),1)</x:f>
        <x:v>1</x:v>
      </x:c>
      <x:c r="AP513" s="9" t="n">
        <x:f>MOD(AQ512*16807,2147483647)</x:f>
        <x:v>1502265973</x:v>
      </x:c>
      <x:c r="AQ513" s="9" t="n">
        <x:f>MOD(AP513*16807,2147483647)</x:f>
        <x:v>618970432</x:v>
      </x:c>
      <x:c r="AR513" s="17" t="n">
        <x:f>IF('Control Room'!$B$5="Normal",'Control Room'!$B$7+'Control Room'!$D$7*SQRT(-2*LN(MAX(0.000000000001,AP513/2147483647)))*COS(2*PI()*AQ513/2147483647),'Control Room'!$B$8+('Control Room'!$D$8-'Control Room'!$B$8)*AP513/2147483647)</x:f>
        <x:v>981.8993773498546</x:v>
      </x:c>
      <x:c r="AS513" s="17" t="n">
        <x:f>IF('Control Room'!$B$5="Normal",'Control Room'!$B$7,('Control Room'!$B$8+'Control Room'!$D$8)/2)+'Control Room'!$B$9*(AS512-IF('Control Room'!$B$5="Normal",'Control Room'!$B$7,('Control Room'!$B$8+'Control Room'!$D$8)/2))+SQRT(1-'Control Room'!$B$9^2)*(AR513-IF('Control Room'!$B$5="Normal",'Control Room'!$B$7,('Control Room'!$B$8+'Control Room'!$D$8)/2))</x:f>
        <x:v>1028.737072446982</x:v>
      </x:c>
      <x:c r="AT513" s="17" t="n">
        <x:f>IF(AND($A513&gt;='Control Room'!$A$13,$A513&lt;'Control Room'!$A$13+'Control Room'!$B$13,'Process'!BS2=1),1+('Control Room'!$C$13-1)*EXP(-0.5*(($A513-'Control Room'!$A$13-('Control Room'!$B$13-1)/2)/MAX(0.5,'Control Room'!$B$13/4))^2),1)*IF(AND($A513&gt;='Control Room'!$A$14,$A513&lt;'Control Room'!$A$14+'Control Room'!$B$14,'Process'!BS3=1),1+('Control Room'!$C$14-1)*EXP(-0.5*(($A513-'Control Room'!$A$14-('Control Room'!$B$14-1)/2)/MAX(0.5,'Control Room'!$B$14/4))^2),1)*IF(AND($A513&gt;='Control Room'!$A$15,$A513&lt;'Control Room'!$A$15+'Control Room'!$B$15,'Process'!BS4=1),1+('Control Room'!$C$15-1)*EXP(-0.5*(($A513-'Control Room'!$A$15-('Control Room'!$B$15-1)/2)/MAX(0.5,'Control Room'!$B$15/4))^2),1)*IF(AND($A513&gt;='Control Room'!$A$16,$A513&lt;'Control Room'!$A$16+'Control Room'!$B$16,'Process'!BS5=1),1+('Control Room'!$C$16-1)*EXP(-0.5*(($A513-'Control Room'!$A$16-('Control Room'!$B$16-1)/2)/MAX(0.5,'Control Room'!$B$16/4))^2),1)</x:f>
        <x:v>1</x:v>
      </x:c>
      <x:c r="AU513" s="9" t="n">
        <x:f>MOD(AV512*16807,2147483647)</x:f>
        <x:v>1488202048</x:v>
      </x:c>
      <x:c r="AV513" s="9" t="n">
        <x:f>MOD(AU513*16807,2147483647)</x:f>
        <x:v>469784127</x:v>
      </x:c>
      <x:c r="AW513" s="17" t="n">
        <x:f>IF('Control Room'!$B$5="Normal",'Control Room'!$B$7+'Control Room'!$D$7*SQRT(-2*LN(MAX(0.000000000001,AU513/2147483647)))*COS(2*PI()*AV513/2147483647),'Control Room'!$B$8+('Control Room'!$D$8-'Control Room'!$B$8)*AU513/2147483647)</x:f>
        <x:v>1015.0322582359146</x:v>
      </x:c>
      <x:c r="AX513" s="17" t="n">
        <x:f>IF('Control Room'!$B$5="Normal",'Control Room'!$B$7,('Control Room'!$B$8+'Control Room'!$D$8)/2)+'Control Room'!$B$9*(AX512-IF('Control Room'!$B$5="Normal",'Control Room'!$B$7,('Control Room'!$B$8+'Control Room'!$D$8)/2))+SQRT(1-'Control Room'!$B$9^2)*(AW513-IF('Control Room'!$B$5="Normal",'Control Room'!$B$7,('Control Room'!$B$8+'Control Room'!$D$8)/2))</x:f>
        <x:v>979.5395303662457</x:v>
      </x:c>
      <x:c r="AY513" s="17" t="n">
        <x:f>IF(AND($A513&gt;='Control Room'!$A$13,$A513&lt;'Control Room'!$A$13+'Control Room'!$B$13,'Process'!BT2=1),1+('Control Room'!$C$13-1)*EXP(-0.5*(($A513-'Control Room'!$A$13-('Control Room'!$B$13-1)/2)/MAX(0.5,'Control Room'!$B$13/4))^2),1)*IF(AND($A513&gt;='Control Room'!$A$14,$A513&lt;'Control Room'!$A$14+'Control Room'!$B$14,'Process'!BT3=1),1+('Control Room'!$C$14-1)*EXP(-0.5*(($A513-'Control Room'!$A$14-('Control Room'!$B$14-1)/2)/MAX(0.5,'Control Room'!$B$14/4))^2),1)*IF(AND($A513&gt;='Control Room'!$A$15,$A513&lt;'Control Room'!$A$15+'Control Room'!$B$15,'Process'!BT4=1),1+('Control Room'!$C$15-1)*EXP(-0.5*(($A513-'Control Room'!$A$15-('Control Room'!$B$15-1)/2)/MAX(0.5,'Control Room'!$B$15/4))^2),1)*IF(AND($A513&gt;='Control Room'!$A$16,$A513&lt;'Control Room'!$A$16+'Control Room'!$B$16,'Process'!BT5=1),1+('Control Room'!$C$16-1)*EXP(-0.5*(($A513-'Control Room'!$A$16-('Control Room'!$B$16-1)/2)/MAX(0.5,'Control Room'!$B$16/4))^2),1)</x:f>
        <x:v>1</x:v>
      </x:c>
      <x:c r="AZ513" s="9" t="n">
        <x:f>MOD(BA512*16807,2147483647)</x:f>
        <x:v>1474138123</x:v>
      </x:c>
      <x:c r="BA513" s="9" t="n">
        <x:f>MOD(AZ513*16807,2147483647)</x:f>
        <x:v>320597822</x:v>
      </x:c>
      <x:c r="BB513" s="17" t="n">
        <x:f>IF('Control Room'!$B$5="Normal",'Control Room'!$B$7+'Control Room'!$D$7*SQRT(-2*LN(MAX(0.000000000001,AZ513/2147483647)))*COS(2*PI()*BA513/2147483647),'Control Room'!$B$8+('Control Room'!$D$8-'Control Room'!$B$8)*AZ513/2147483647)</x:f>
        <x:v>1046.1692905768466</x:v>
      </x:c>
      <x:c r="BC513" s="17" t="n">
        <x:f>IF('Control Room'!$B$5="Normal",'Control Room'!$B$7,('Control Room'!$B$8+'Control Room'!$D$8)/2)+'Control Room'!$B$9*(BC512-IF('Control Room'!$B$5="Normal",'Control Room'!$B$7,('Control Room'!$B$8+'Control Room'!$D$8)/2))+SQRT(1-'Control Room'!$B$9^2)*(BB513-IF('Control Room'!$B$5="Normal",'Control Room'!$B$7,('Control Room'!$B$8+'Control Room'!$D$8)/2))</x:f>
        <x:v>1090.9441431144326</x:v>
      </x:c>
      <x:c r="BD513" s="17" t="n">
        <x:f>IF(AND($A513&gt;='Control Room'!$A$13,$A513&lt;'Control Room'!$A$13+'Control Room'!$B$13,'Process'!BU2=1),1+('Control Room'!$C$13-1)*EXP(-0.5*(($A513-'Control Room'!$A$13-('Control Room'!$B$13-1)/2)/MAX(0.5,'Control Room'!$B$13/4))^2),1)*IF(AND($A513&gt;='Control Room'!$A$14,$A513&lt;'Control Room'!$A$14+'Control Room'!$B$14,'Process'!BU3=1),1+('Control Room'!$C$14-1)*EXP(-0.5*(($A513-'Control Room'!$A$14-('Control Room'!$B$14-1)/2)/MAX(0.5,'Control Room'!$B$14/4))^2),1)*IF(AND($A513&gt;='Control Room'!$A$15,$A513&lt;'Control Room'!$A$15+'Control Room'!$B$15,'Process'!BU4=1),1+('Control Room'!$C$15-1)*EXP(-0.5*(($A513-'Control Room'!$A$15-('Control Room'!$B$15-1)/2)/MAX(0.5,'Control Room'!$B$15/4))^2),1)*IF(AND($A513&gt;='Control Room'!$A$16,$A513&lt;'Control Room'!$A$16+'Control Room'!$B$16,'Process'!BU5=1),1+('Control Room'!$C$16-1)*EXP(-0.5*(($A513-'Control Room'!$A$16-('Control Room'!$B$16-1)/2)/MAX(0.5,'Control Room'!$B$16/4))^2),1)</x:f>
        <x:v>1</x:v>
      </x:c>
      <x:c r="BE513" s="9" t="n">
        <x:f>MOD(BF512*16807,2147483647)</x:f>
        <x:v>1460074198</x:v>
      </x:c>
      <x:c r="BF513" s="9" t="n">
        <x:f>MOD(BE513*16807,2147483647)</x:f>
        <x:v>171411517</x:v>
      </x:c>
      <x:c r="BG513" s="17" t="n">
        <x:f>IF('Control Room'!$B$5="Normal",'Control Room'!$B$7+'Control Room'!$D$7*SQRT(-2*LN(MAX(0.000000000001,BE513/2147483647)))*COS(2*PI()*BF513/2147483647),'Control Room'!$B$8+('Control Room'!$D$8-'Control Room'!$B$8)*BE513/2147483647)</x:f>
        <x:v>1069.3218577491286</x:v>
      </x:c>
      <x:c r="BH513" s="17" t="n">
        <x:f>IF('Control Room'!$B$5="Normal",'Control Room'!$B$7,('Control Room'!$B$8+'Control Room'!$D$8)/2)+'Control Room'!$B$9*(BH512-IF('Control Room'!$B$5="Normal",'Control Room'!$B$7,('Control Room'!$B$8+'Control Room'!$D$8)/2))+SQRT(1-'Control Room'!$B$9^2)*(BG513-IF('Control Room'!$B$5="Normal",'Control Room'!$B$7,('Control Room'!$B$8+'Control Room'!$D$8)/2))</x:f>
        <x:v>1103.4110641595726</x:v>
      </x:c>
      <x:c r="BI513" s="17" t="n">
        <x:f>IF(AND($A513&gt;='Control Room'!$A$13,$A513&lt;'Control Room'!$A$13+'Control Room'!$B$13,'Process'!BV2=1),1+('Control Room'!$C$13-1)*EXP(-0.5*(($A513-'Control Room'!$A$13-('Control Room'!$B$13-1)/2)/MAX(0.5,'Control Room'!$B$13/4))^2),1)*IF(AND($A513&gt;='Control Room'!$A$14,$A513&lt;'Control Room'!$A$14+'Control Room'!$B$14,'Process'!BV3=1),1+('Control Room'!$C$14-1)*EXP(-0.5*(($A513-'Control Room'!$A$14-('Control Room'!$B$14-1)/2)/MAX(0.5,'Control Room'!$B$14/4))^2),1)*IF(AND($A513&gt;='Control Room'!$A$15,$A513&lt;'Control Room'!$A$15+'Control Room'!$B$15,'Process'!BV4=1),1+('Control Room'!$C$15-1)*EXP(-0.5*(($A513-'Control Room'!$A$15-('Control Room'!$B$15-1)/2)/MAX(0.5,'Control Room'!$B$15/4))^2),1)*IF(AND($A513&gt;='Control Room'!$A$16,$A513&lt;'Control Room'!$A$16+'Control Room'!$B$16,'Process'!BV5=1),1+('Control Room'!$C$16-1)*EXP(-0.5*(($A513-'Control Room'!$A$16-('Control Room'!$B$16-1)/2)/MAX(0.5,'Control Room'!$B$16/4))^2),1)</x:f>
        <x:v>1</x:v>
      </x:c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Z513" t="str">
        <x:f>IF('Data'!A513="","",TEXT('Data'!A513,"mm-dd"))</x:f>
      </x:c>
    </x:row>
    <x:row r="514" ht="21" customHeight="1">
      <x:c r="A514" s="15" t="n">
        <x:f>'Control Room'!$B$1+512</x:f>
        <x:v>73503</x:v>
      </x:c>
      <x:c r="B514" s="9" t="n">
        <x:f>MOD(C513*16807,2147483647)</x:f>
        <x:v>2121826656</x:v>
      </x:c>
      <x:c r="C514" s="9" t="n">
        <x:f>MOD(B514*16807,2147483647)</x:f>
        <x:v>427165310</x:v>
      </x:c>
      <x:c r="D514" s="17" t="n">
        <x:f>IF('Control Room'!$B$5="Normal",'Control Room'!$B$7+'Control Room'!$D$7*SQRT(-2*LN(MAX(0.000000000001,B514/2147483647)))*COS(2*PI()*C514/2147483647),'Control Room'!$B$8+('Control Room'!$D$8-'Control Room'!$B$8)*B514/2147483647)</x:f>
        <x:v>1004.4024526225588</x:v>
      </x:c>
      <x:c r="E514" s="17" t="n">
        <x:f>IF('Control Room'!$B$5="Normal",'Control Room'!$B$7,('Control Room'!$B$8+'Control Room'!$D$8)/2)+'Control Room'!$B$9*(E513-IF('Control Room'!$B$5="Normal",'Control Room'!$B$7,('Control Room'!$B$8+'Control Room'!$D$8)/2))+SQRT(1-'Control Room'!$B$9^2)*(D514-IF('Control Room'!$B$5="Normal",'Control Room'!$B$7,('Control Room'!$B$8+'Control Room'!$D$8)/2))</x:f>
        <x:v>1037.024048580521</x:v>
      </x:c>
      <x:c r="F514" s="17" t="n">
        <x:f>IF(AND($A514&gt;='Control Room'!$A$13,$A514&lt;'Control Room'!$A$13+'Control Room'!$B$13,'Process'!BK2=1),1+('Control Room'!$C$13-1)*EXP(-0.5*(($A514-'Control Room'!$A$13-('Control Room'!$B$13-1)/2)/MAX(0.5,'Control Room'!$B$13/4))^2),1)*IF(AND($A514&gt;='Control Room'!$A$14,$A514&lt;'Control Room'!$A$14+'Control Room'!$B$14,'Process'!BK3=1),1+('Control Room'!$C$14-1)*EXP(-0.5*(($A514-'Control Room'!$A$14-('Control Room'!$B$14-1)/2)/MAX(0.5,'Control Room'!$B$14/4))^2),1)*IF(AND($A514&gt;='Control Room'!$A$15,$A514&lt;'Control Room'!$A$15+'Control Room'!$B$15,'Process'!BK4=1),1+('Control Room'!$C$15-1)*EXP(-0.5*(($A514-'Control Room'!$A$15-('Control Room'!$B$15-1)/2)/MAX(0.5,'Control Room'!$B$15/4))^2),1)*IF(AND($A514&gt;='Control Room'!$A$16,$A514&lt;'Control Room'!$A$16+'Control Room'!$B$16,'Process'!BK5=1),1+('Control Room'!$C$16-1)*EXP(-0.5*(($A514-'Control Room'!$A$16-('Control Room'!$B$16-1)/2)/MAX(0.5,'Control Room'!$B$16/4))^2),1)</x:f>
        <x:v>1</x:v>
      </x:c>
      <x:c r="G514" s="9" t="n">
        <x:f>MOD(H513*16807,2147483647)</x:f>
        <x:v>861014570</x:v>
      </x:c>
      <x:c r="H514" s="9" t="n">
        <x:f>MOD(G514*16807,2147483647)</x:f>
        <x:v>1327064504</x:v>
      </x:c>
      <x:c r="I514" s="17" t="n">
        <x:f>IF('Control Room'!$B$5="Normal",'Control Room'!$B$7+'Control Room'!$D$7*SQRT(-2*LN(MAX(0.000000000001,G514/2147483647)))*COS(2*PI()*H514/2147483647),'Control Room'!$B$8+('Control Room'!$D$8-'Control Room'!$B$8)*G514/2147483647)</x:f>
        <x:v>910.2406374942943</x:v>
      </x:c>
      <x:c r="J514" s="17" t="n">
        <x:f>IF('Control Room'!$B$5="Normal",'Control Room'!$B$7,('Control Room'!$B$8+'Control Room'!$D$8)/2)+'Control Room'!$B$9*(J513-IF('Control Room'!$B$5="Normal",'Control Room'!$B$7,('Control Room'!$B$8+'Control Room'!$D$8)/2))+SQRT(1-'Control Room'!$B$9^2)*(I514-IF('Control Room'!$B$5="Normal",'Control Room'!$B$7,('Control Room'!$B$8+'Control Room'!$D$8)/2))</x:f>
        <x:v>860.3604692138829</x:v>
      </x:c>
      <x:c r="K514" s="17" t="n">
        <x:f>IF(AND($A514&gt;='Control Room'!$A$13,$A514&lt;'Control Room'!$A$13+'Control Room'!$B$13,'Process'!BL2=1),1+('Control Room'!$C$13-1)*EXP(-0.5*(($A514-'Control Room'!$A$13-('Control Room'!$B$13-1)/2)/MAX(0.5,'Control Room'!$B$13/4))^2),1)*IF(AND($A514&gt;='Control Room'!$A$14,$A514&lt;'Control Room'!$A$14+'Control Room'!$B$14,'Process'!BL3=1),1+('Control Room'!$C$14-1)*EXP(-0.5*(($A514-'Control Room'!$A$14-('Control Room'!$B$14-1)/2)/MAX(0.5,'Control Room'!$B$14/4))^2),1)*IF(AND($A514&gt;='Control Room'!$A$15,$A514&lt;'Control Room'!$A$15+'Control Room'!$B$15,'Process'!BL4=1),1+('Control Room'!$C$15-1)*EXP(-0.5*(($A514-'Control Room'!$A$15-('Control Room'!$B$15-1)/2)/MAX(0.5,'Control Room'!$B$15/4))^2),1)*IF(AND($A514&gt;='Control Room'!$A$16,$A514&lt;'Control Room'!$A$16+'Control Room'!$B$16,'Process'!BL5=1),1+('Control Room'!$C$16-1)*EXP(-0.5*(($A514-'Control Room'!$A$16-('Control Room'!$B$16-1)/2)/MAX(0.5,'Control Room'!$B$16/4))^2),1)</x:f>
        <x:v>1</x:v>
      </x:c>
      <x:c r="L514" s="9" t="n">
        <x:f>MOD(M513*16807,2147483647)</x:f>
        <x:v>1747686131</x:v>
      </x:c>
      <x:c r="M514" s="9" t="n">
        <x:f>MOD(L514*16807,2147483647)</x:f>
        <x:v>79480051</x:v>
      </x:c>
      <x:c r="N514" s="17" t="n">
        <x:f>IF('Control Room'!$B$5="Normal",'Control Room'!$B$7+'Control Room'!$D$7*SQRT(-2*LN(MAX(0.000000000001,L514/2147483647)))*COS(2*PI()*M514/2147483647),'Control Room'!$B$8+('Control Room'!$D$8-'Control Room'!$B$8)*L514/2147483647)</x:f>
        <x:v>1056.2140965644871</x:v>
      </x:c>
      <x:c r="O514" s="17" t="n">
        <x:f>IF('Control Room'!$B$5="Normal",'Control Room'!$B$7,('Control Room'!$B$8+'Control Room'!$D$8)/2)+'Control Room'!$B$9*(O513-IF('Control Room'!$B$5="Normal",'Control Room'!$B$7,('Control Room'!$B$8+'Control Room'!$D$8)/2))+SQRT(1-'Control Room'!$B$9^2)*(N514-IF('Control Room'!$B$5="Normal",'Control Room'!$B$7,('Control Room'!$B$8+'Control Room'!$D$8)/2))</x:f>
        <x:v>1107.8986669083088</x:v>
      </x:c>
      <x:c r="P514" s="17" t="n">
        <x:f>IF(AND($A514&gt;='Control Room'!$A$13,$A514&lt;'Control Room'!$A$13+'Control Room'!$B$13,'Process'!BM2=1),1+('Control Room'!$C$13-1)*EXP(-0.5*(($A514-'Control Room'!$A$13-('Control Room'!$B$13-1)/2)/MAX(0.5,'Control Room'!$B$13/4))^2),1)*IF(AND($A514&gt;='Control Room'!$A$14,$A514&lt;'Control Room'!$A$14+'Control Room'!$B$14,'Process'!BM3=1),1+('Control Room'!$C$14-1)*EXP(-0.5*(($A514-'Control Room'!$A$14-('Control Room'!$B$14-1)/2)/MAX(0.5,'Control Room'!$B$14/4))^2),1)*IF(AND($A514&gt;='Control Room'!$A$15,$A514&lt;'Control Room'!$A$15+'Control Room'!$B$15,'Process'!BM4=1),1+('Control Room'!$C$15-1)*EXP(-0.5*(($A514-'Control Room'!$A$15-('Control Room'!$B$15-1)/2)/MAX(0.5,'Control Room'!$B$15/4))^2),1)*IF(AND($A514&gt;='Control Room'!$A$16,$A514&lt;'Control Room'!$A$16+'Control Room'!$B$16,'Process'!BM5=1),1+('Control Room'!$C$16-1)*EXP(-0.5*(($A514-'Control Room'!$A$16-('Control Room'!$B$16-1)/2)/MAX(0.5,'Control Room'!$B$16/4))^2),1)</x:f>
        <x:v>1</x:v>
      </x:c>
      <x:c r="Q514" s="9" t="n">
        <x:f>MOD(R513*16807,2147483647)</x:f>
        <x:v>486874045</x:v>
      </x:c>
      <x:c r="R514" s="9" t="n">
        <x:f>MOD(Q514*16807,2147483647)</x:f>
        <x:v>979379245</x:v>
      </x:c>
      <x:c r="S514" s="17" t="n">
        <x:f>IF('Control Room'!$B$5="Normal",'Control Room'!$B$7+'Control Room'!$D$7*SQRT(-2*LN(MAX(0.000000000001,Q514/2147483647)))*COS(2*PI()*R514/2147483647),'Control Room'!$B$8+('Control Room'!$D$8-'Control Room'!$B$8)*Q514/2147483647)</x:f>
        <x:v>850.818666482432</x:v>
      </x:c>
      <x:c r="T514" s="17" t="n">
        <x:f>IF('Control Room'!$B$5="Normal",'Control Room'!$B$7,('Control Room'!$B$8+'Control Room'!$D$8)/2)+'Control Room'!$B$9*(T513-IF('Control Room'!$B$5="Normal",'Control Room'!$B$7,('Control Room'!$B$8+'Control Room'!$D$8)/2))+SQRT(1-'Control Room'!$B$9^2)*(S514-IF('Control Room'!$B$5="Normal",'Control Room'!$B$7,('Control Room'!$B$8+'Control Room'!$D$8)/2))</x:f>
        <x:v>854.1483046852715</x:v>
      </x:c>
      <x:c r="U514" s="17" t="n">
        <x:f>IF(AND($A514&gt;='Control Room'!$A$13,$A514&lt;'Control Room'!$A$13+'Control Room'!$B$13,'Process'!BN2=1),1+('Control Room'!$C$13-1)*EXP(-0.5*(($A514-'Control Room'!$A$13-('Control Room'!$B$13-1)/2)/MAX(0.5,'Control Room'!$B$13/4))^2),1)*IF(AND($A514&gt;='Control Room'!$A$14,$A514&lt;'Control Room'!$A$14+'Control Room'!$B$14,'Process'!BN3=1),1+('Control Room'!$C$14-1)*EXP(-0.5*(($A514-'Control Room'!$A$14-('Control Room'!$B$14-1)/2)/MAX(0.5,'Control Room'!$B$14/4))^2),1)*IF(AND($A514&gt;='Control Room'!$A$15,$A514&lt;'Control Room'!$A$15+'Control Room'!$B$15,'Process'!BN4=1),1+('Control Room'!$C$15-1)*EXP(-0.5*(($A514-'Control Room'!$A$15-('Control Room'!$B$15-1)/2)/MAX(0.5,'Control Room'!$B$15/4))^2),1)*IF(AND($A514&gt;='Control Room'!$A$16,$A514&lt;'Control Room'!$A$16+'Control Room'!$B$16,'Process'!BN5=1),1+('Control Room'!$C$16-1)*EXP(-0.5*(($A514-'Control Room'!$A$16-('Control Room'!$B$16-1)/2)/MAX(0.5,'Control Room'!$B$16/4))^2),1)</x:f>
        <x:v>1</x:v>
      </x:c>
      <x:c r="V514" s="9" t="n">
        <x:f>MOD(W513*16807,2147483647)</x:f>
        <x:v>1373545606</x:v>
      </x:c>
      <x:c r="W514" s="9" t="n">
        <x:f>MOD(V514*16807,2147483647)</x:f>
        <x:v>1879278439</x:v>
      </x:c>
      <x:c r="X514" s="17" t="n">
        <x:f>IF('Control Room'!$B$5="Normal",'Control Room'!$B$7+'Control Room'!$D$7*SQRT(-2*LN(MAX(0.000000000001,V514/2147483647)))*COS(2*PI()*W514/2147483647),'Control Room'!$B$8+('Control Room'!$D$8-'Control Room'!$B$8)*V514/2147483647)</x:f>
        <x:v>1060.2061291622074</x:v>
      </x:c>
      <x:c r="Y514" s="17" t="n">
        <x:f>IF('Control Room'!$B$5="Normal",'Control Room'!$B$7,('Control Room'!$B$8+'Control Room'!$D$8)/2)+'Control Room'!$B$9*(Y513-IF('Control Room'!$B$5="Normal",'Control Room'!$B$7,('Control Room'!$B$8+'Control Room'!$D$8)/2))+SQRT(1-'Control Room'!$B$9^2)*(X514-IF('Control Room'!$B$5="Normal",'Control Room'!$B$7,('Control Room'!$B$8+'Control Room'!$D$8)/2))</x:f>
        <x:v>989.4814308676251</x:v>
      </x:c>
      <x:c r="Z514" s="17" t="n">
        <x:f>IF(AND($A514&gt;='Control Room'!$A$13,$A514&lt;'Control Room'!$A$13+'Control Room'!$B$13,'Process'!BO2=1),1+('Control Room'!$C$13-1)*EXP(-0.5*(($A514-'Control Room'!$A$13-('Control Room'!$B$13-1)/2)/MAX(0.5,'Control Room'!$B$13/4))^2),1)*IF(AND($A514&gt;='Control Room'!$A$14,$A514&lt;'Control Room'!$A$14+'Control Room'!$B$14,'Process'!BO3=1),1+('Control Room'!$C$14-1)*EXP(-0.5*(($A514-'Control Room'!$A$14-('Control Room'!$B$14-1)/2)/MAX(0.5,'Control Room'!$B$14/4))^2),1)*IF(AND($A514&gt;='Control Room'!$A$15,$A514&lt;'Control Room'!$A$15+'Control Room'!$B$15,'Process'!BO4=1),1+('Control Room'!$C$15-1)*EXP(-0.5*(($A514-'Control Room'!$A$15-('Control Room'!$B$15-1)/2)/MAX(0.5,'Control Room'!$B$15/4))^2),1)*IF(AND($A514&gt;='Control Room'!$A$16,$A514&lt;'Control Room'!$A$16+'Control Room'!$B$16,'Process'!BO5=1),1+('Control Room'!$C$16-1)*EXP(-0.5*(($A514-'Control Room'!$A$16-('Control Room'!$B$16-1)/2)/MAX(0.5,'Control Room'!$B$16/4))^2),1)</x:f>
        <x:v>1</x:v>
      </x:c>
      <x:c r="AA514" s="9" t="n">
        <x:f>MOD(AB513*16807,2147483647)</x:f>
        <x:v>112733520</x:v>
      </x:c>
      <x:c r="AB514" s="9" t="n">
        <x:f>MOD(AA514*16807,2147483647)</x:f>
        <x:v>631693986</x:v>
      </x:c>
      <x:c r="AC514" s="17" t="n">
        <x:f>IF('Control Room'!$B$5="Normal",'Control Room'!$B$7+'Control Room'!$D$7*SQRT(-2*LN(MAX(0.000000000001,AA514/2147483647)))*COS(2*PI()*AB514/2147483647),'Control Room'!$B$8+('Control Room'!$D$8-'Control Room'!$B$8)*AA514/2147483647)</x:f>
        <x:v>940.1550173383289</x:v>
      </x:c>
      <x:c r="AD514" s="17" t="n">
        <x:f>IF('Control Room'!$B$5="Normal",'Control Room'!$B$7,('Control Room'!$B$8+'Control Room'!$D$8)/2)+'Control Room'!$B$9*(AD513-IF('Control Room'!$B$5="Normal",'Control Room'!$B$7,('Control Room'!$B$8+'Control Room'!$D$8)/2))+SQRT(1-'Control Room'!$B$9^2)*(AC514-IF('Control Room'!$B$5="Normal",'Control Room'!$B$7,('Control Room'!$B$8+'Control Room'!$D$8)/2))</x:f>
        <x:v>861.2712314985658</x:v>
      </x:c>
      <x:c r="AE514" s="17" t="n">
        <x:f>IF(AND($A514&gt;='Control Room'!$A$13,$A514&lt;'Control Room'!$A$13+'Control Room'!$B$13,'Process'!BP2=1),1+('Control Room'!$C$13-1)*EXP(-0.5*(($A514-'Control Room'!$A$13-('Control Room'!$B$13-1)/2)/MAX(0.5,'Control Room'!$B$13/4))^2),1)*IF(AND($A514&gt;='Control Room'!$A$14,$A514&lt;'Control Room'!$A$14+'Control Room'!$B$14,'Process'!BP3=1),1+('Control Room'!$C$14-1)*EXP(-0.5*(($A514-'Control Room'!$A$14-('Control Room'!$B$14-1)/2)/MAX(0.5,'Control Room'!$B$14/4))^2),1)*IF(AND($A514&gt;='Control Room'!$A$15,$A514&lt;'Control Room'!$A$15+'Control Room'!$B$15,'Process'!BP4=1),1+('Control Room'!$C$15-1)*EXP(-0.5*(($A514-'Control Room'!$A$15-('Control Room'!$B$15-1)/2)/MAX(0.5,'Control Room'!$B$15/4))^2),1)*IF(AND($A514&gt;='Control Room'!$A$16,$A514&lt;'Control Room'!$A$16+'Control Room'!$B$16,'Process'!BP5=1),1+('Control Room'!$C$16-1)*EXP(-0.5*(($A514-'Control Room'!$A$16-('Control Room'!$B$16-1)/2)/MAX(0.5,'Control Room'!$B$16/4))^2),1)</x:f>
        <x:v>1</x:v>
      </x:c>
      <x:c r="AF514" s="9" t="n">
        <x:f>MOD(AG513*16807,2147483647)</x:f>
        <x:v>999405081</x:v>
      </x:c>
      <x:c r="AG514" s="9" t="n">
        <x:f>MOD(AF514*16807,2147483647)</x:f>
        <x:v>1531593180</x:v>
      </x:c>
      <x:c r="AH514" s="17" t="n">
        <x:f>IF('Control Room'!$B$5="Normal",'Control Room'!$B$7+'Control Room'!$D$7*SQRT(-2*LN(MAX(0.000000000001,AF514/2147483647)))*COS(2*PI()*AG514/2147483647),'Control Room'!$B$8+('Control Room'!$D$8-'Control Room'!$B$8)*AF514/2147483647)</x:f>
        <x:v>974.4926018413009</x:v>
      </x:c>
      <x:c r="AI514" s="17" t="n">
        <x:f>IF('Control Room'!$B$5="Normal",'Control Room'!$B$7,('Control Room'!$B$8+'Control Room'!$D$8)/2)+'Control Room'!$B$9*(AI513-IF('Control Room'!$B$5="Normal",'Control Room'!$B$7,('Control Room'!$B$8+'Control Room'!$D$8)/2))+SQRT(1-'Control Room'!$B$9^2)*(AH514-IF('Control Room'!$B$5="Normal",'Control Room'!$B$7,('Control Room'!$B$8+'Control Room'!$D$8)/2))</x:f>
        <x:v>991.2442407842049</x:v>
      </x:c>
      <x:c r="AJ514" s="17" t="n">
        <x:f>IF(AND($A514&gt;='Control Room'!$A$13,$A514&lt;'Control Room'!$A$13+'Control Room'!$B$13,'Process'!BQ2=1),1+('Control Room'!$C$13-1)*EXP(-0.5*(($A514-'Control Room'!$A$13-('Control Room'!$B$13-1)/2)/MAX(0.5,'Control Room'!$B$13/4))^2),1)*IF(AND($A514&gt;='Control Room'!$A$14,$A514&lt;'Control Room'!$A$14+'Control Room'!$B$14,'Process'!BQ3=1),1+('Control Room'!$C$14-1)*EXP(-0.5*(($A514-'Control Room'!$A$14-('Control Room'!$B$14-1)/2)/MAX(0.5,'Control Room'!$B$14/4))^2),1)*IF(AND($A514&gt;='Control Room'!$A$15,$A514&lt;'Control Room'!$A$15+'Control Room'!$B$15,'Process'!BQ4=1),1+('Control Room'!$C$15-1)*EXP(-0.5*(($A514-'Control Room'!$A$15-('Control Room'!$B$15-1)/2)/MAX(0.5,'Control Room'!$B$15/4))^2),1)*IF(AND($A514&gt;='Control Room'!$A$16,$A514&lt;'Control Room'!$A$16+'Control Room'!$B$16,'Process'!BQ5=1),1+('Control Room'!$C$16-1)*EXP(-0.5*(($A514-'Control Room'!$A$16-('Control Room'!$B$16-1)/2)/MAX(0.5,'Control Room'!$B$16/4))^2),1)</x:f>
        <x:v>1</x:v>
      </x:c>
      <x:c r="AK514" s="9" t="n">
        <x:f>MOD(AL513*16807,2147483647)</x:f>
        <x:v>1886076642</x:v>
      </x:c>
      <x:c r="AL514" s="9" t="n">
        <x:f>MOD(AK514*16807,2147483647)</x:f>
        <x:v>284008727</x:v>
      </x:c>
      <x:c r="AM514" s="17" t="n">
        <x:f>IF('Control Room'!$B$5="Normal",'Control Room'!$B$7+'Control Room'!$D$7*SQRT(-2*LN(MAX(0.000000000001,AK514/2147483647)))*COS(2*PI()*AL514/2147483647),'Control Room'!$B$8+('Control Room'!$D$8-'Control Room'!$B$8)*AK514/2147483647)</x:f>
        <x:v>1030.9141628198836</x:v>
      </x:c>
      <x:c r="AN514" s="17" t="n">
        <x:f>IF('Control Room'!$B$5="Normal",'Control Room'!$B$7,('Control Room'!$B$8+'Control Room'!$D$8)/2)+'Control Room'!$B$9*(AN513-IF('Control Room'!$B$5="Normal",'Control Room'!$B$7,('Control Room'!$B$8+'Control Room'!$D$8)/2))+SQRT(1-'Control Room'!$B$9^2)*(AM514-IF('Control Room'!$B$5="Normal",'Control Room'!$B$7,('Control Room'!$B$8+'Control Room'!$D$8)/2))</x:f>
        <x:v>964.0000574769905</x:v>
      </x:c>
      <x:c r="AO514" s="17" t="n">
        <x:f>IF(AND($A514&gt;='Control Room'!$A$13,$A514&lt;'Control Room'!$A$13+'Control Room'!$B$13,'Process'!BR2=1),1+('Control Room'!$C$13-1)*EXP(-0.5*(($A514-'Control Room'!$A$13-('Control Room'!$B$13-1)/2)/MAX(0.5,'Control Room'!$B$13/4))^2),1)*IF(AND($A514&gt;='Control Room'!$A$14,$A514&lt;'Control Room'!$A$14+'Control Room'!$B$14,'Process'!BR3=1),1+('Control Room'!$C$14-1)*EXP(-0.5*(($A514-'Control Room'!$A$14-('Control Room'!$B$14-1)/2)/MAX(0.5,'Control Room'!$B$14/4))^2),1)*IF(AND($A514&gt;='Control Room'!$A$15,$A514&lt;'Control Room'!$A$15+'Control Room'!$B$15,'Process'!BR4=1),1+('Control Room'!$C$15-1)*EXP(-0.5*(($A514-'Control Room'!$A$15-('Control Room'!$B$15-1)/2)/MAX(0.5,'Control Room'!$B$15/4))^2),1)*IF(AND($A514&gt;='Control Room'!$A$16,$A514&lt;'Control Room'!$A$16+'Control Room'!$B$16,'Process'!BR5=1),1+('Control Room'!$C$16-1)*EXP(-0.5*(($A514-'Control Room'!$A$16-('Control Room'!$B$16-1)/2)/MAX(0.5,'Control Room'!$B$16/4))^2),1)</x:f>
        <x:v>1</x:v>
      </x:c>
      <x:c r="AP514" s="9" t="n">
        <x:f>MOD(AQ513*16807,2147483647)</x:f>
        <x:v>625264556</x:v>
      </x:c>
      <x:c r="AQ514" s="9" t="n">
        <x:f>MOD(AP514*16807,2147483647)</x:f>
        <x:v>1183907921</x:v>
      </x:c>
      <x:c r="AR514" s="17" t="n">
        <x:f>IF('Control Room'!$B$5="Normal",'Control Room'!$B$7+'Control Room'!$D$7*SQRT(-2*LN(MAX(0.000000000001,AP514/2147483647)))*COS(2*PI()*AQ514/2147483647),'Control Room'!$B$8+('Control Room'!$D$8-'Control Room'!$B$8)*AP514/2147483647)</x:f>
        <x:v>865.8992945674577</x:v>
      </x:c>
      <x:c r="AS514" s="17" t="n">
        <x:f>IF('Control Room'!$B$5="Normal",'Control Room'!$B$7,('Control Room'!$B$8+'Control Room'!$D$8)/2)+'Control Room'!$B$9*(AS513-IF('Control Room'!$B$5="Normal",'Control Room'!$B$7,('Control Room'!$B$8+'Control Room'!$D$8)/2))+SQRT(1-'Control Room'!$B$9^2)*(AR514-IF('Control Room'!$B$5="Normal",'Control Room'!$B$7,('Control Room'!$B$8+'Control Room'!$D$8)/2))</x:f>
        <x:v>938.4974422512355</x:v>
      </x:c>
      <x:c r="AT514" s="17" t="n">
        <x:f>IF(AND($A514&gt;='Control Room'!$A$13,$A514&lt;'Control Room'!$A$13+'Control Room'!$B$13,'Process'!BS2=1),1+('Control Room'!$C$13-1)*EXP(-0.5*(($A514-'Control Room'!$A$13-('Control Room'!$B$13-1)/2)/MAX(0.5,'Control Room'!$B$13/4))^2),1)*IF(AND($A514&gt;='Control Room'!$A$14,$A514&lt;'Control Room'!$A$14+'Control Room'!$B$14,'Process'!BS3=1),1+('Control Room'!$C$14-1)*EXP(-0.5*(($A514-'Control Room'!$A$14-('Control Room'!$B$14-1)/2)/MAX(0.5,'Control Room'!$B$14/4))^2),1)*IF(AND($A514&gt;='Control Room'!$A$15,$A514&lt;'Control Room'!$A$15+'Control Room'!$B$15,'Process'!BS4=1),1+('Control Room'!$C$15-1)*EXP(-0.5*(($A514-'Control Room'!$A$15-('Control Room'!$B$15-1)/2)/MAX(0.5,'Control Room'!$B$15/4))^2),1)*IF(AND($A514&gt;='Control Room'!$A$16,$A514&lt;'Control Room'!$A$16+'Control Room'!$B$16,'Process'!BS5=1),1+('Control Room'!$C$16-1)*EXP(-0.5*(($A514-'Control Room'!$A$16-('Control Room'!$B$16-1)/2)/MAX(0.5,'Control Room'!$B$16/4))^2),1)</x:f>
        <x:v>1</x:v>
      </x:c>
      <x:c r="AU514" s="9" t="n">
        <x:f>MOD(AV513*16807,2147483647)</x:f>
        <x:v>1511936117</x:v>
      </x:c>
      <x:c r="AV514" s="9" t="n">
        <x:f>MOD(AU514*16807,2147483647)</x:f>
        <x:v>2083807115</x:v>
      </x:c>
      <x:c r="AW514" s="17" t="n">
        <x:f>IF('Control Room'!$B$5="Normal",'Control Room'!$B$7+'Control Room'!$D$7*SQRT(-2*LN(MAX(0.000000000001,AU514/2147483647)))*COS(2*PI()*AV514/2147483647),'Control Room'!$B$8+('Control Room'!$D$8-'Control Room'!$B$8)*AU514/2147483647)</x:f>
        <x:v>1074.0920267155775</x:v>
      </x:c>
      <x:c r="AX514" s="17" t="n">
        <x:f>IF('Control Room'!$B$5="Normal",'Control Room'!$B$7,('Control Room'!$B$8+'Control Room'!$D$8)/2)+'Control Room'!$B$9*(AX513-IF('Control Room'!$B$5="Normal",'Control Room'!$B$7,('Control Room'!$B$8+'Control Room'!$D$8)/2))+SQRT(1-'Control Room'!$B$9^2)*(AW514-IF('Control Room'!$B$5="Normal",'Control Room'!$B$7,('Control Room'!$B$8+'Control Room'!$D$8)/2))</x:f>
        <x:v>1030.4061061466098</x:v>
      </x:c>
      <x:c r="AY514" s="17" t="n">
        <x:f>IF(AND($A514&gt;='Control Room'!$A$13,$A514&lt;'Control Room'!$A$13+'Control Room'!$B$13,'Process'!BT2=1),1+('Control Room'!$C$13-1)*EXP(-0.5*(($A514-'Control Room'!$A$13-('Control Room'!$B$13-1)/2)/MAX(0.5,'Control Room'!$B$13/4))^2),1)*IF(AND($A514&gt;='Control Room'!$A$14,$A514&lt;'Control Room'!$A$14+'Control Room'!$B$14,'Process'!BT3=1),1+('Control Room'!$C$14-1)*EXP(-0.5*(($A514-'Control Room'!$A$14-('Control Room'!$B$14-1)/2)/MAX(0.5,'Control Room'!$B$14/4))^2),1)*IF(AND($A514&gt;='Control Room'!$A$15,$A514&lt;'Control Room'!$A$15+'Control Room'!$B$15,'Process'!BT4=1),1+('Control Room'!$C$15-1)*EXP(-0.5*(($A514-'Control Room'!$A$15-('Control Room'!$B$15-1)/2)/MAX(0.5,'Control Room'!$B$15/4))^2),1)*IF(AND($A514&gt;='Control Room'!$A$16,$A514&lt;'Control Room'!$A$16+'Control Room'!$B$16,'Process'!BT5=1),1+('Control Room'!$C$16-1)*EXP(-0.5*(($A514-'Control Room'!$A$16-('Control Room'!$B$16-1)/2)/MAX(0.5,'Control Room'!$B$16/4))^2),1)</x:f>
        <x:v>1</x:v>
      </x:c>
      <x:c r="AZ514" s="9" t="n">
        <x:f>MOD(BA513*16807,2147483647)</x:f>
        <x:v>251124031</x:v>
      </x:c>
      <x:c r="BA514" s="9" t="n">
        <x:f>MOD(AZ514*16807,2147483647)</x:f>
        <x:v>836222662</x:v>
      </x:c>
      <x:c r="BB514" s="17" t="n">
        <x:f>IF('Control Room'!$B$5="Normal",'Control Room'!$B$7+'Control Room'!$D$7*SQRT(-2*LN(MAX(0.000000000001,AZ514/2147483647)))*COS(2*PI()*BA514/2147483647),'Control Room'!$B$8+('Control Room'!$D$8-'Control Room'!$B$8)*AZ514/2147483647)</x:f>
        <x:v>856.7826839275234</x:v>
      </x:c>
      <x:c r="BC514" s="17" t="n">
        <x:f>IF('Control Room'!$B$5="Normal",'Control Room'!$B$7,('Control Room'!$B$8+'Control Room'!$D$8)/2)+'Control Room'!$B$9*(BC513-IF('Control Room'!$B$5="Normal",'Control Room'!$B$7,('Control Room'!$B$8+'Control Room'!$D$8)/2))+SQRT(1-'Control Room'!$B$9^2)*(BB514-IF('Control Room'!$B$5="Normal",'Control Room'!$B$7,('Control Room'!$B$8+'Control Room'!$D$8)/2))</x:f>
        <x:v>981.3139691972966</x:v>
      </x:c>
      <x:c r="BD514" s="17" t="n">
        <x:f>IF(AND($A514&gt;='Control Room'!$A$13,$A514&lt;'Control Room'!$A$13+'Control Room'!$B$13,'Process'!BU2=1),1+('Control Room'!$C$13-1)*EXP(-0.5*(($A514-'Control Room'!$A$13-('Control Room'!$B$13-1)/2)/MAX(0.5,'Control Room'!$B$13/4))^2),1)*IF(AND($A514&gt;='Control Room'!$A$14,$A514&lt;'Control Room'!$A$14+'Control Room'!$B$14,'Process'!BU3=1),1+('Control Room'!$C$14-1)*EXP(-0.5*(($A514-'Control Room'!$A$14-('Control Room'!$B$14-1)/2)/MAX(0.5,'Control Room'!$B$14/4))^2),1)*IF(AND($A514&gt;='Control Room'!$A$15,$A514&lt;'Control Room'!$A$15+'Control Room'!$B$15,'Process'!BU4=1),1+('Control Room'!$C$15-1)*EXP(-0.5*(($A514-'Control Room'!$A$15-('Control Room'!$B$15-1)/2)/MAX(0.5,'Control Room'!$B$15/4))^2),1)*IF(AND($A514&gt;='Control Room'!$A$16,$A514&lt;'Control Room'!$A$16+'Control Room'!$B$16,'Process'!BU5=1),1+('Control Room'!$C$16-1)*EXP(-0.5*(($A514-'Control Room'!$A$16-('Control Room'!$B$16-1)/2)/MAX(0.5,'Control Room'!$B$16/4))^2),1)</x:f>
        <x:v>1</x:v>
      </x:c>
      <x:c r="BE514" s="9" t="n">
        <x:f>MOD(BF513*16807,2147483647)</x:f>
        <x:v>1137795592</x:v>
      </x:c>
      <x:c r="BF514" s="9" t="n">
        <x:f>MOD(BE514*16807,2147483647)</x:f>
        <x:v>1736121856</x:v>
      </x:c>
      <x:c r="BG514" s="17" t="n">
        <x:f>IF('Control Room'!$B$5="Normal",'Control Room'!$B$7+'Control Room'!$D$7*SQRT(-2*LN(MAX(0.000000000001,BE514/2147483647)))*COS(2*PI()*BF514/2147483647),'Control Room'!$B$8+('Control Room'!$D$8-'Control Room'!$B$8)*BE514/2147483647)</x:f>
        <x:v>1036.4195366438055</x:v>
      </x:c>
      <x:c r="BH514" s="17" t="n">
        <x:f>IF('Control Room'!$B$5="Normal",'Control Room'!$B$7,('Control Room'!$B$8+'Control Room'!$D$8)/2)+'Control Room'!$B$9*(BH513-IF('Control Room'!$B$5="Normal",'Control Room'!$B$7,('Control Room'!$B$8+'Control Room'!$D$8)/2))+SQRT(1-'Control Room'!$B$9^2)*(BG514-IF('Control Room'!$B$5="Normal",'Control Room'!$B$7,('Control Room'!$B$8+'Control Room'!$D$8)/2))</x:f>
        <x:v>1103.451229981398</x:v>
      </x:c>
      <x:c r="BI514" s="17" t="n">
        <x:f>IF(AND($A514&gt;='Control Room'!$A$13,$A514&lt;'Control Room'!$A$13+'Control Room'!$B$13,'Process'!BV2=1),1+('Control Room'!$C$13-1)*EXP(-0.5*(($A514-'Control Room'!$A$13-('Control Room'!$B$13-1)/2)/MAX(0.5,'Control Room'!$B$13/4))^2),1)*IF(AND($A514&gt;='Control Room'!$A$14,$A514&lt;'Control Room'!$A$14+'Control Room'!$B$14,'Process'!BV3=1),1+('Control Room'!$C$14-1)*EXP(-0.5*(($A514-'Control Room'!$A$14-('Control Room'!$B$14-1)/2)/MAX(0.5,'Control Room'!$B$14/4))^2),1)*IF(AND($A514&gt;='Control Room'!$A$15,$A514&lt;'Control Room'!$A$15+'Control Room'!$B$15,'Process'!BV4=1),1+('Control Room'!$C$15-1)*EXP(-0.5*(($A514-'Control Room'!$A$15-('Control Room'!$B$15-1)/2)/MAX(0.5,'Control Room'!$B$15/4))^2),1)*IF(AND($A514&gt;='Control Room'!$A$16,$A514&lt;'Control Room'!$A$16+'Control Room'!$B$16,'Process'!BV5=1),1+('Control Room'!$C$16-1)*EXP(-0.5*(($A514-'Control Room'!$A$16-('Control Room'!$B$16-1)/2)/MAX(0.5,'Control Room'!$B$16/4))^2),1)</x:f>
        <x:v>1</x:v>
      </x:c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Z514" t="str">
        <x:f>IF('Data'!A514="","",TEXT('Data'!A514,"mm-dd"))</x:f>
      </x:c>
    </x:row>
    <x:row r="515" ht="21" customHeight="1">
      <x:c r="A515" s="15" t="n">
        <x:f>'Control Room'!$B$1+513</x:f>
        <x:v>73504</x:v>
      </x:c>
      <x:c r="B515" s="9" t="n">
        <x:f>MOD(C514*16807,2147483647)</x:f>
        <x:v>329533249</x:v>
      </x:c>
      <x:c r="C515" s="9" t="n">
        <x:f>MOD(B515*16807,2147483647)</x:f>
        <x:v>104990330</x:v>
      </x:c>
      <x:c r="D515" s="17" t="n">
        <x:f>IF('Control Room'!$B$5="Normal",'Control Room'!$B$7+'Control Room'!$D$7*SQRT(-2*LN(MAX(0.000000000001,B515/2147483647)))*COS(2*PI()*C515/2147483647),'Control Room'!$B$8+('Control Room'!$D$8-'Control Room'!$B$8)*B515/2147483647)</x:f>
        <x:v>1166.098076155144</x:v>
      </x:c>
      <x:c r="E515" s="17" t="n">
        <x:f>IF('Control Room'!$B$5="Normal",'Control Room'!$B$7,('Control Room'!$B$8+'Control Room'!$D$8)/2)+'Control Room'!$B$9*(E514-IF('Control Room'!$B$5="Normal",'Control Room'!$B$7,('Control Room'!$B$8+'Control Room'!$D$8)/2))+SQRT(1-'Control Room'!$B$9^2)*(D515-IF('Control Room'!$B$5="Normal",'Control Room'!$B$7,('Control Room'!$B$8+'Control Room'!$D$8)/2))</x:f>
        <x:v>1132.819531246652</x:v>
      </x:c>
      <x:c r="F515" s="17" t="n">
        <x:f>IF(AND($A515&gt;='Control Room'!$A$13,$A515&lt;'Control Room'!$A$13+'Control Room'!$B$13,'Process'!BK2=1),1+('Control Room'!$C$13-1)*EXP(-0.5*(($A515-'Control Room'!$A$13-('Control Room'!$B$13-1)/2)/MAX(0.5,'Control Room'!$B$13/4))^2),1)*IF(AND($A515&gt;='Control Room'!$A$14,$A515&lt;'Control Room'!$A$14+'Control Room'!$B$14,'Process'!BK3=1),1+('Control Room'!$C$14-1)*EXP(-0.5*(($A515-'Control Room'!$A$14-('Control Room'!$B$14-1)/2)/MAX(0.5,'Control Room'!$B$14/4))^2),1)*IF(AND($A515&gt;='Control Room'!$A$15,$A515&lt;'Control Room'!$A$15+'Control Room'!$B$15,'Process'!BK4=1),1+('Control Room'!$C$15-1)*EXP(-0.5*(($A515-'Control Room'!$A$15-('Control Room'!$B$15-1)/2)/MAX(0.5,'Control Room'!$B$15/4))^2),1)*IF(AND($A515&gt;='Control Room'!$A$16,$A515&lt;'Control Room'!$A$16+'Control Room'!$B$16,'Process'!BK5=1),1+('Control Room'!$C$16-1)*EXP(-0.5*(($A515-'Control Room'!$A$16-('Control Room'!$B$16-1)/2)/MAX(0.5,'Control Room'!$B$16/4))^2),1)</x:f>
        <x:v>1</x:v>
      </x:c>
      <x:c r="G515" s="9" t="n">
        <x:f>MOD(H514*16807,2147483647)</x:f>
        <x:v>207960986</x:v>
      </x:c>
      <x:c r="H515" s="9" t="n">
        <x:f>MOD(G515*16807,2147483647)</x:f>
        <x:v>1244398033</x:v>
      </x:c>
      <x:c r="I515" s="17" t="n">
        <x:f>IF('Control Room'!$B$5="Normal",'Control Room'!$B$7+'Control Room'!$D$7*SQRT(-2*LN(MAX(0.000000000001,G515/2147483647)))*COS(2*PI()*H515/2147483647),'Control Room'!$B$8+('Control Room'!$D$8-'Control Room'!$B$8)*G515/2147483647)</x:f>
        <x:v>829.2643349488369</x:v>
      </x:c>
      <x:c r="J515" s="17" t="n">
        <x:f>IF('Control Room'!$B$5="Normal",'Control Room'!$B$7,('Control Room'!$B$8+'Control Room'!$D$8)/2)+'Control Room'!$B$9*(J514-IF('Control Room'!$B$5="Normal",'Control Room'!$B$7,('Control Room'!$B$8+'Control Room'!$D$8)/2))+SQRT(1-'Control Room'!$B$9^2)*(I515-IF('Control Room'!$B$5="Normal",'Control Room'!$B$7,('Control Room'!$B$8+'Control Room'!$D$8)/2))</x:f>
        <x:v>784.2382845080268</x:v>
      </x:c>
      <x:c r="K515" s="17" t="n">
        <x:f>IF(AND($A515&gt;='Control Room'!$A$13,$A515&lt;'Control Room'!$A$13+'Control Room'!$B$13,'Process'!BL2=1),1+('Control Room'!$C$13-1)*EXP(-0.5*(($A515-'Control Room'!$A$13-('Control Room'!$B$13-1)/2)/MAX(0.5,'Control Room'!$B$13/4))^2),1)*IF(AND($A515&gt;='Control Room'!$A$14,$A515&lt;'Control Room'!$A$14+'Control Room'!$B$14,'Process'!BL3=1),1+('Control Room'!$C$14-1)*EXP(-0.5*(($A515-'Control Room'!$A$14-('Control Room'!$B$14-1)/2)/MAX(0.5,'Control Room'!$B$14/4))^2),1)*IF(AND($A515&gt;='Control Room'!$A$15,$A515&lt;'Control Room'!$A$15+'Control Room'!$B$15,'Process'!BL4=1),1+('Control Room'!$C$15-1)*EXP(-0.5*(($A515-'Control Room'!$A$15-('Control Room'!$B$15-1)/2)/MAX(0.5,'Control Room'!$B$15/4))^2),1)*IF(AND($A515&gt;='Control Room'!$A$16,$A515&lt;'Control Room'!$A$16+'Control Room'!$B$16,'Process'!BL5=1),1+('Control Room'!$C$16-1)*EXP(-0.5*(($A515-'Control Room'!$A$16-('Control Room'!$B$16-1)/2)/MAX(0.5,'Control Room'!$B$16/4))^2),1)</x:f>
        <x:v>1</x:v>
      </x:c>
      <x:c r="L515" s="9" t="n">
        <x:f>MOD(M514*16807,2147483647)</x:f>
        <x:v>86388723</x:v>
      </x:c>
      <x:c r="M515" s="9" t="n">
        <x:f>MOD(L515*16807,2147483647)</x:f>
        <x:v>236322089</x:v>
      </x:c>
      <x:c r="N515" s="17" t="n">
        <x:f>IF('Control Room'!$B$5="Normal",'Control Room'!$B$7+'Control Room'!$D$7*SQRT(-2*LN(MAX(0.000000000001,L515/2147483647)))*COS(2*PI()*M515/2147483647),'Control Room'!$B$8+('Control Room'!$D$8-'Control Room'!$B$8)*L515/2147483647)</x:f>
        <x:v>1175.7527656097311</x:v>
      </x:c>
      <x:c r="O515" s="17" t="n">
        <x:f>IF('Control Room'!$B$5="Normal",'Control Room'!$B$7,('Control Room'!$B$8+'Control Room'!$D$8)/2)+'Control Room'!$B$9*(O514-IF('Control Room'!$B$5="Normal",'Control Room'!$B$7,('Control Room'!$B$8+'Control Room'!$D$8)/2))+SQRT(1-'Control Room'!$B$9^2)*(N515-IF('Control Room'!$B$5="Normal",'Control Room'!$B$7,('Control Room'!$B$8+'Control Room'!$D$8)/2))</x:f>
        <x:v>1194.143440415943</x:v>
      </x:c>
      <x:c r="P515" s="17" t="n">
        <x:f>IF(AND($A515&gt;='Control Room'!$A$13,$A515&lt;'Control Room'!$A$13+'Control Room'!$B$13,'Process'!BM2=1),1+('Control Room'!$C$13-1)*EXP(-0.5*(($A515-'Control Room'!$A$13-('Control Room'!$B$13-1)/2)/MAX(0.5,'Control Room'!$B$13/4))^2),1)*IF(AND($A515&gt;='Control Room'!$A$14,$A515&lt;'Control Room'!$A$14+'Control Room'!$B$14,'Process'!BM3=1),1+('Control Room'!$C$14-1)*EXP(-0.5*(($A515-'Control Room'!$A$14-('Control Room'!$B$14-1)/2)/MAX(0.5,'Control Room'!$B$14/4))^2),1)*IF(AND($A515&gt;='Control Room'!$A$15,$A515&lt;'Control Room'!$A$15+'Control Room'!$B$15,'Process'!BM4=1),1+('Control Room'!$C$15-1)*EXP(-0.5*(($A515-'Control Room'!$A$15-('Control Room'!$B$15-1)/2)/MAX(0.5,'Control Room'!$B$15/4))^2),1)*IF(AND($A515&gt;='Control Room'!$A$16,$A515&lt;'Control Room'!$A$16+'Control Room'!$B$16,'Process'!BM5=1),1+('Control Room'!$C$16-1)*EXP(-0.5*(($A515-'Control Room'!$A$16-('Control Room'!$B$16-1)/2)/MAX(0.5,'Control Room'!$B$16/4))^2),1)</x:f>
        <x:v>1</x:v>
      </x:c>
      <x:c r="Q515" s="9" t="n">
        <x:f>MOD(R514*16807,2147483647)</x:f>
        <x:v>2112300107</x:v>
      </x:c>
      <x:c r="R515" s="9" t="n">
        <x:f>MOD(Q515*16807,2147483647)</x:f>
        <x:v>1375729792</x:v>
      </x:c>
      <x:c r="S515" s="17" t="n">
        <x:f>IF('Control Room'!$B$5="Normal",'Control Room'!$B$7+'Control Room'!$D$7*SQRT(-2*LN(MAX(0.000000000001,Q515/2147483647)))*COS(2*PI()*R515/2147483647),'Control Room'!$B$8+('Control Room'!$D$8-'Control Room'!$B$8)*Q515/2147483647)</x:f>
        <x:v>989.6219685568342</x:v>
      </x:c>
      <x:c r="T515" s="17" t="n">
        <x:f>IF('Control Room'!$B$5="Normal",'Control Room'!$B$7,('Control Room'!$B$8+'Control Room'!$D$8)/2)+'Control Room'!$B$9*(T514-IF('Control Room'!$B$5="Normal",'Control Room'!$B$7,('Control Room'!$B$8+'Control Room'!$D$8)/2))+SQRT(1-'Control Room'!$B$9^2)*(S515-IF('Control Room'!$B$5="Normal",'Control Room'!$B$7,('Control Room'!$B$8+'Control Room'!$D$8)/2))</x:f>
        <x:v>879.7413181829088</x:v>
      </x:c>
      <x:c r="U515" s="17" t="n">
        <x:f>IF(AND($A515&gt;='Control Room'!$A$13,$A515&lt;'Control Room'!$A$13+'Control Room'!$B$13,'Process'!BN2=1),1+('Control Room'!$C$13-1)*EXP(-0.5*(($A515-'Control Room'!$A$13-('Control Room'!$B$13-1)/2)/MAX(0.5,'Control Room'!$B$13/4))^2),1)*IF(AND($A515&gt;='Control Room'!$A$14,$A515&lt;'Control Room'!$A$14+'Control Room'!$B$14,'Process'!BN3=1),1+('Control Room'!$C$14-1)*EXP(-0.5*(($A515-'Control Room'!$A$14-('Control Room'!$B$14-1)/2)/MAX(0.5,'Control Room'!$B$14/4))^2),1)*IF(AND($A515&gt;='Control Room'!$A$15,$A515&lt;'Control Room'!$A$15+'Control Room'!$B$15,'Process'!BN4=1),1+('Control Room'!$C$15-1)*EXP(-0.5*(($A515-'Control Room'!$A$15-('Control Room'!$B$15-1)/2)/MAX(0.5,'Control Room'!$B$15/4))^2),1)*IF(AND($A515&gt;='Control Room'!$A$16,$A515&lt;'Control Room'!$A$16+'Control Room'!$B$16,'Process'!BN5=1),1+('Control Room'!$C$16-1)*EXP(-0.5*(($A515-'Control Room'!$A$16-('Control Room'!$B$16-1)/2)/MAX(0.5,'Control Room'!$B$16/4))^2),1)</x:f>
        <x:v>1</x:v>
      </x:c>
      <x:c r="V515" s="9" t="n">
        <x:f>MOD(W514*16807,2147483647)</x:f>
        <x:v>1990727844</x:v>
      </x:c>
      <x:c r="W515" s="9" t="n">
        <x:f>MOD(V515*16807,2147483647)</x:f>
        <x:v>367653848</x:v>
      </x:c>
      <x:c r="X515" s="17" t="n">
        <x:f>IF('Control Room'!$B$5="Normal",'Control Room'!$B$7+'Control Room'!$D$7*SQRT(-2*LN(MAX(0.000000000001,V515/2147483647)))*COS(2*PI()*W515/2147483647),'Control Room'!$B$8+('Control Room'!$D$8-'Control Room'!$B$8)*V515/2147483647)</x:f>
        <x:v>1016.6489182734131</x:v>
      </x:c>
      <x:c r="Y515" s="17" t="n">
        <x:f>IF('Control Room'!$B$5="Normal",'Control Room'!$B$7,('Control Room'!$B$8+'Control Room'!$D$8)/2)+'Control Room'!$B$9*(Y514-IF('Control Room'!$B$5="Normal",'Control Room'!$B$7,('Control Room'!$B$8+'Control Room'!$D$8)/2))+SQRT(1-'Control Room'!$B$9^2)*(X515-IF('Control Room'!$B$5="Normal",'Control Room'!$B$7,('Control Room'!$B$8+'Control Room'!$D$8)/2))</x:f>
        <x:v>1002.2140680606198</x:v>
      </x:c>
      <x:c r="Z515" s="17" t="n">
        <x:f>IF(AND($A515&gt;='Control Room'!$A$13,$A515&lt;'Control Room'!$A$13+'Control Room'!$B$13,'Process'!BO2=1),1+('Control Room'!$C$13-1)*EXP(-0.5*(($A515-'Control Room'!$A$13-('Control Room'!$B$13-1)/2)/MAX(0.5,'Control Room'!$B$13/4))^2),1)*IF(AND($A515&gt;='Control Room'!$A$14,$A515&lt;'Control Room'!$A$14+'Control Room'!$B$14,'Process'!BO3=1),1+('Control Room'!$C$14-1)*EXP(-0.5*(($A515-'Control Room'!$A$14-('Control Room'!$B$14-1)/2)/MAX(0.5,'Control Room'!$B$14/4))^2),1)*IF(AND($A515&gt;='Control Room'!$A$15,$A515&lt;'Control Room'!$A$15+'Control Room'!$B$15,'Process'!BO4=1),1+('Control Room'!$C$15-1)*EXP(-0.5*(($A515-'Control Room'!$A$15-('Control Room'!$B$15-1)/2)/MAX(0.5,'Control Room'!$B$15/4))^2),1)*IF(AND($A515&gt;='Control Room'!$A$16,$A515&lt;'Control Room'!$A$16+'Control Room'!$B$16,'Process'!BO5=1),1+('Control Room'!$C$16-1)*EXP(-0.5*(($A515-'Control Room'!$A$16-('Control Room'!$B$16-1)/2)/MAX(0.5,'Control Room'!$B$16/4))^2),1)</x:f>
        <x:v>1</x:v>
      </x:c>
      <x:c r="AA515" s="9" t="n">
        <x:f>MOD(AB514*16807,2147483647)</x:f>
        <x:v>1869155581</x:v>
      </x:c>
      <x:c r="AB515" s="9" t="n">
        <x:f>MOD(AA515*16807,2147483647)</x:f>
        <x:v>1507061551</x:v>
      </x:c>
      <x:c r="AC515" s="17" t="n">
        <x:f>IF('Control Room'!$B$5="Normal",'Control Room'!$B$7+'Control Room'!$D$7*SQRT(-2*LN(MAX(0.000000000001,AA515/2147483647)))*COS(2*PI()*AB515/2147483647),'Control Room'!$B$8+('Control Room'!$D$8-'Control Room'!$B$8)*AA515/2147483647)</x:f>
        <x:v>985.8515687755456</x:v>
      </x:c>
      <x:c r="AD515" s="17" t="n">
        <x:f>IF('Control Room'!$B$5="Normal",'Control Room'!$B$7,('Control Room'!$B$8+'Control Room'!$D$8)/2)+'Control Room'!$B$9*(AD514-IF('Control Room'!$B$5="Normal",'Control Room'!$B$7,('Control Room'!$B$8+'Control Room'!$D$8)/2))+SQRT(1-'Control Room'!$B$9^2)*(AC515-IF('Control Room'!$B$5="Normal",'Control Room'!$B$7,('Control Room'!$B$8+'Control Room'!$D$8)/2))</x:f>
        <x:v>882.937762154986</x:v>
      </x:c>
      <x:c r="AE515" s="17" t="n">
        <x:f>IF(AND($A515&gt;='Control Room'!$A$13,$A515&lt;'Control Room'!$A$13+'Control Room'!$B$13,'Process'!BP2=1),1+('Control Room'!$C$13-1)*EXP(-0.5*(($A515-'Control Room'!$A$13-('Control Room'!$B$13-1)/2)/MAX(0.5,'Control Room'!$B$13/4))^2),1)*IF(AND($A515&gt;='Control Room'!$A$14,$A515&lt;'Control Room'!$A$14+'Control Room'!$B$14,'Process'!BP3=1),1+('Control Room'!$C$14-1)*EXP(-0.5*(($A515-'Control Room'!$A$14-('Control Room'!$B$14-1)/2)/MAX(0.5,'Control Room'!$B$14/4))^2),1)*IF(AND($A515&gt;='Control Room'!$A$15,$A515&lt;'Control Room'!$A$15+'Control Room'!$B$15,'Process'!BP4=1),1+('Control Room'!$C$15-1)*EXP(-0.5*(($A515-'Control Room'!$A$15-('Control Room'!$B$15-1)/2)/MAX(0.5,'Control Room'!$B$15/4))^2),1)*IF(AND($A515&gt;='Control Room'!$A$16,$A515&lt;'Control Room'!$A$16+'Control Room'!$B$16,'Process'!BP5=1),1+('Control Room'!$C$16-1)*EXP(-0.5*(($A515-'Control Room'!$A$16-('Control Room'!$B$16-1)/2)/MAX(0.5,'Control Room'!$B$16/4))^2),1)</x:f>
        <x:v>1</x:v>
      </x:c>
      <x:c r="AF515" s="9" t="n">
        <x:f>MOD(AG514*16807,2147483647)</x:f>
        <x:v>1747583318</x:v>
      </x:c>
      <x:c r="AG515" s="9" t="n">
        <x:f>MOD(AF515*16807,2147483647)</x:f>
        <x:v>498985607</x:v>
      </x:c>
      <x:c r="AH515" s="17" t="n">
        <x:f>IF('Control Room'!$B$5="Normal",'Control Room'!$B$7+'Control Room'!$D$7*SQRT(-2*LN(MAX(0.000000000001,AF515/2147483647)))*COS(2*PI()*AG515/2147483647),'Control Room'!$B$8+('Control Room'!$D$8-'Control Room'!$B$8)*AF515/2147483647)</x:f>
        <x:v>1006.3912891716003</x:v>
      </x:c>
      <x:c r="AI515" s="17" t="n">
        <x:f>IF('Control Room'!$B$5="Normal",'Control Room'!$B$7,('Control Room'!$B$8+'Control Room'!$D$8)/2)+'Control Room'!$B$9*(AI514-IF('Control Room'!$B$5="Normal",'Control Room'!$B$7,('Control Room'!$B$8+'Control Room'!$D$8)/2))+SQRT(1-'Control Room'!$B$9^2)*(AH515-IF('Control Room'!$B$5="Normal",'Control Room'!$B$7,('Control Room'!$B$8+'Control Room'!$D$8)/2))</x:f>
        <x:v>997.1700456425918</x:v>
      </x:c>
      <x:c r="AJ515" s="17" t="n">
        <x:f>IF(AND($A515&gt;='Control Room'!$A$13,$A515&lt;'Control Room'!$A$13+'Control Room'!$B$13,'Process'!BQ2=1),1+('Control Room'!$C$13-1)*EXP(-0.5*(($A515-'Control Room'!$A$13-('Control Room'!$B$13-1)/2)/MAX(0.5,'Control Room'!$B$13/4))^2),1)*IF(AND($A515&gt;='Control Room'!$A$14,$A515&lt;'Control Room'!$A$14+'Control Room'!$B$14,'Process'!BQ3=1),1+('Control Room'!$C$14-1)*EXP(-0.5*(($A515-'Control Room'!$A$14-('Control Room'!$B$14-1)/2)/MAX(0.5,'Control Room'!$B$14/4))^2),1)*IF(AND($A515&gt;='Control Room'!$A$15,$A515&lt;'Control Room'!$A$15+'Control Room'!$B$15,'Process'!BQ4=1),1+('Control Room'!$C$15-1)*EXP(-0.5*(($A515-'Control Room'!$A$15-('Control Room'!$B$15-1)/2)/MAX(0.5,'Control Room'!$B$15/4))^2),1)*IF(AND($A515&gt;='Control Room'!$A$16,$A515&lt;'Control Room'!$A$16+'Control Room'!$B$16,'Process'!BQ5=1),1+('Control Room'!$C$16-1)*EXP(-0.5*(($A515-'Control Room'!$A$16-('Control Room'!$B$16-1)/2)/MAX(0.5,'Control Room'!$B$16/4))^2),1)</x:f>
        <x:v>1</x:v>
      </x:c>
      <x:c r="AK515" s="9" t="n">
        <x:f>MOD(AL514*16807,2147483647)</x:f>
        <x:v>1626011055</x:v>
      </x:c>
      <x:c r="AL515" s="9" t="n">
        <x:f>MOD(AK515*16807,2147483647)</x:f>
        <x:v>1638393310</x:v>
      </x:c>
      <x:c r="AM515" s="17" t="n">
        <x:f>IF('Control Room'!$B$5="Normal",'Control Room'!$B$7+'Control Room'!$D$7*SQRT(-2*LN(MAX(0.000000000001,AK515/2147483647)))*COS(2*PI()*AL515/2147483647),'Control Room'!$B$8+('Control Room'!$D$8-'Control Room'!$B$8)*AK515/2147483647)</x:f>
        <x:v>1005.4503349069777</x:v>
      </x:c>
      <x:c r="AN515" s="17" t="n">
        <x:f>IF('Control Room'!$B$5="Normal",'Control Room'!$B$7,('Control Room'!$B$8+'Control Room'!$D$8)/2)+'Control Room'!$B$9*(AN514-IF('Control Room'!$B$5="Normal",'Control Room'!$B$7,('Control Room'!$B$8+'Control Room'!$D$8)/2))+SQRT(1-'Control Room'!$B$9^2)*(AM515-IF('Control Room'!$B$5="Normal",'Control Room'!$B$7,('Control Room'!$B$8+'Control Room'!$D$8)/2))</x:f>
        <x:v>975.3307527606596</x:v>
      </x:c>
      <x:c r="AO515" s="17" t="n">
        <x:f>IF(AND($A515&gt;='Control Room'!$A$13,$A515&lt;'Control Room'!$A$13+'Control Room'!$B$13,'Process'!BR2=1),1+('Control Room'!$C$13-1)*EXP(-0.5*(($A515-'Control Room'!$A$13-('Control Room'!$B$13-1)/2)/MAX(0.5,'Control Room'!$B$13/4))^2),1)*IF(AND($A515&gt;='Control Room'!$A$14,$A515&lt;'Control Room'!$A$14+'Control Room'!$B$14,'Process'!BR3=1),1+('Control Room'!$C$14-1)*EXP(-0.5*(($A515-'Control Room'!$A$14-('Control Room'!$B$14-1)/2)/MAX(0.5,'Control Room'!$B$14/4))^2),1)*IF(AND($A515&gt;='Control Room'!$A$15,$A515&lt;'Control Room'!$A$15+'Control Room'!$B$15,'Process'!BR4=1),1+('Control Room'!$C$15-1)*EXP(-0.5*(($A515-'Control Room'!$A$15-('Control Room'!$B$15-1)/2)/MAX(0.5,'Control Room'!$B$15/4))^2),1)*IF(AND($A515&gt;='Control Room'!$A$16,$A515&lt;'Control Room'!$A$16+'Control Room'!$B$16,'Process'!BR5=1),1+('Control Room'!$C$16-1)*EXP(-0.5*(($A515-'Control Room'!$A$16-('Control Room'!$B$16-1)/2)/MAX(0.5,'Control Room'!$B$16/4))^2),1)</x:f>
        <x:v>1</x:v>
      </x:c>
      <x:c r="AP515" s="9" t="n">
        <x:f>MOD(AQ514*16807,2147483647)</x:f>
        <x:v>1504438792</x:v>
      </x:c>
      <x:c r="AQ515" s="9" t="n">
        <x:f>MOD(AP515*16807,2147483647)</x:f>
        <x:v>630317366</x:v>
      </x:c>
      <x:c r="AR515" s="17" t="n">
        <x:f>IF('Control Room'!$B$5="Normal",'Control Room'!$B$7+'Control Room'!$D$7*SQRT(-2*LN(MAX(0.000000000001,AP515/2147483647)))*COS(2*PI()*AQ515/2147483647),'Control Room'!$B$8+('Control Room'!$D$8-'Control Room'!$B$8)*AP515/2147483647)</x:f>
        <x:v>979.4980164867901</x:v>
      </x:c>
      <x:c r="AS515" s="17" t="n">
        <x:f>IF('Control Room'!$B$5="Normal",'Control Room'!$B$7,('Control Room'!$B$8+'Control Room'!$D$8)/2)+'Control Room'!$B$9*(AS514-IF('Control Room'!$B$5="Normal",'Control Room'!$B$7,('Control Room'!$B$8+'Control Room'!$D$8)/2))+SQRT(1-'Control Room'!$B$9^2)*(AR515-IF('Control Room'!$B$5="Normal",'Control Room'!$B$7,('Control Room'!$B$8+'Control Room'!$D$8)/2))</x:f>
        <x:v>939.1982836793585</x:v>
      </x:c>
      <x:c r="AT515" s="17" t="n">
        <x:f>IF(AND($A515&gt;='Control Room'!$A$13,$A515&lt;'Control Room'!$A$13+'Control Room'!$B$13,'Process'!BS2=1),1+('Control Room'!$C$13-1)*EXP(-0.5*(($A515-'Control Room'!$A$13-('Control Room'!$B$13-1)/2)/MAX(0.5,'Control Room'!$B$13/4))^2),1)*IF(AND($A515&gt;='Control Room'!$A$14,$A515&lt;'Control Room'!$A$14+'Control Room'!$B$14,'Process'!BS3=1),1+('Control Room'!$C$14-1)*EXP(-0.5*(($A515-'Control Room'!$A$14-('Control Room'!$B$14-1)/2)/MAX(0.5,'Control Room'!$B$14/4))^2),1)*IF(AND($A515&gt;='Control Room'!$A$15,$A515&lt;'Control Room'!$A$15+'Control Room'!$B$15,'Process'!BS4=1),1+('Control Room'!$C$15-1)*EXP(-0.5*(($A515-'Control Room'!$A$15-('Control Room'!$B$15-1)/2)/MAX(0.5,'Control Room'!$B$15/4))^2),1)*IF(AND($A515&gt;='Control Room'!$A$16,$A515&lt;'Control Room'!$A$16+'Control Room'!$B$16,'Process'!BS5=1),1+('Control Room'!$C$16-1)*EXP(-0.5*(($A515-'Control Room'!$A$16-('Control Room'!$B$16-1)/2)/MAX(0.5,'Control Room'!$B$16/4))^2),1)</x:f>
        <x:v>1</x:v>
      </x:c>
      <x:c r="AU515" s="9" t="n">
        <x:f>MOD(AV514*16807,2147483647)</x:f>
        <x:v>1382866529</x:v>
      </x:c>
      <x:c r="AV515" s="9" t="n">
        <x:f>MOD(AU515*16807,2147483647)</x:f>
        <x:v>1769725069</x:v>
      </x:c>
      <x:c r="AW515" s="17" t="n">
        <x:f>IF('Control Room'!$B$5="Normal",'Control Room'!$B$7+'Control Room'!$D$7*SQRT(-2*LN(MAX(0.000000000001,AU515/2147483647)))*COS(2*PI()*AV515/2147483647),'Control Room'!$B$8+('Control Room'!$D$8-'Control Room'!$B$8)*AU515/2147483647)</x:f>
        <x:v>1037.9056506552806</x:v>
      </x:c>
      <x:c r="AX515" s="17" t="n">
        <x:f>IF('Control Room'!$B$5="Normal",'Control Room'!$B$7,('Control Room'!$B$8+'Control Room'!$D$8)/2)+'Control Room'!$B$9*(AX514-IF('Control Room'!$B$5="Normal",'Control Room'!$B$7,('Control Room'!$B$8+'Control Room'!$D$8)/2))+SQRT(1-'Control Room'!$B$9^2)*(AW515-IF('Control Room'!$B$5="Normal",'Control Room'!$B$7,('Control Room'!$B$8+'Control Room'!$D$8)/2))</x:f>
        <x:v>1047.4373424349678</x:v>
      </x:c>
      <x:c r="AY515" s="17" t="n">
        <x:f>IF(AND($A515&gt;='Control Room'!$A$13,$A515&lt;'Control Room'!$A$13+'Control Room'!$B$13,'Process'!BT2=1),1+('Control Room'!$C$13-1)*EXP(-0.5*(($A515-'Control Room'!$A$13-('Control Room'!$B$13-1)/2)/MAX(0.5,'Control Room'!$B$13/4))^2),1)*IF(AND($A515&gt;='Control Room'!$A$14,$A515&lt;'Control Room'!$A$14+'Control Room'!$B$14,'Process'!BT3=1),1+('Control Room'!$C$14-1)*EXP(-0.5*(($A515-'Control Room'!$A$14-('Control Room'!$B$14-1)/2)/MAX(0.5,'Control Room'!$B$14/4))^2),1)*IF(AND($A515&gt;='Control Room'!$A$15,$A515&lt;'Control Room'!$A$15+'Control Room'!$B$15,'Process'!BT4=1),1+('Control Room'!$C$15-1)*EXP(-0.5*(($A515-'Control Room'!$A$15-('Control Room'!$B$15-1)/2)/MAX(0.5,'Control Room'!$B$15/4))^2),1)*IF(AND($A515&gt;='Control Room'!$A$16,$A515&lt;'Control Room'!$A$16+'Control Room'!$B$16,'Process'!BT5=1),1+('Control Room'!$C$16-1)*EXP(-0.5*(($A515-'Control Room'!$A$16-('Control Room'!$B$16-1)/2)/MAX(0.5,'Control Room'!$B$16/4))^2),1)</x:f>
        <x:v>1</x:v>
      </x:c>
      <x:c r="AZ515" s="9" t="n">
        <x:f>MOD(BA514*16807,2147483647)</x:f>
        <x:v>1261294266</x:v>
      </x:c>
      <x:c r="BA515" s="9" t="n">
        <x:f>MOD(AZ515*16807,2147483647)</x:f>
        <x:v>761649125</x:v>
      </x:c>
      <x:c r="BB515" s="17" t="n">
        <x:f>IF('Control Room'!$B$5="Normal",'Control Room'!$B$7+'Control Room'!$D$7*SQRT(-2*LN(MAX(0.000000000001,AZ515/2147483647)))*COS(2*PI()*BA515/2147483647),'Control Room'!$B$8+('Control Room'!$D$8-'Control Room'!$B$8)*AZ515/2147483647)</x:f>
        <x:v>943.2441028413178</x:v>
      </x:c>
      <x:c r="BC515" s="17" t="n">
        <x:f>IF('Control Room'!$B$5="Normal",'Control Room'!$B$7,('Control Room'!$B$8+'Control Room'!$D$8)/2)+'Control Room'!$B$9*(BC514-IF('Control Room'!$B$5="Normal",'Control Room'!$B$7,('Control Room'!$B$8+'Control Room'!$D$8)/2))+SQRT(1-'Control Room'!$B$9^2)*(BB515-IF('Control Room'!$B$5="Normal",'Control Room'!$B$7,('Control Room'!$B$8+'Control Room'!$D$8)/2))</x:f>
        <x:v>949.9082182397401</x:v>
      </x:c>
      <x:c r="BD515" s="17" t="n">
        <x:f>IF(AND($A515&gt;='Control Room'!$A$13,$A515&lt;'Control Room'!$A$13+'Control Room'!$B$13,'Process'!BU2=1),1+('Control Room'!$C$13-1)*EXP(-0.5*(($A515-'Control Room'!$A$13-('Control Room'!$B$13-1)/2)/MAX(0.5,'Control Room'!$B$13/4))^2),1)*IF(AND($A515&gt;='Control Room'!$A$14,$A515&lt;'Control Room'!$A$14+'Control Room'!$B$14,'Process'!BU3=1),1+('Control Room'!$C$14-1)*EXP(-0.5*(($A515-'Control Room'!$A$14-('Control Room'!$B$14-1)/2)/MAX(0.5,'Control Room'!$B$14/4))^2),1)*IF(AND($A515&gt;='Control Room'!$A$15,$A515&lt;'Control Room'!$A$15+'Control Room'!$B$15,'Process'!BU4=1),1+('Control Room'!$C$15-1)*EXP(-0.5*(($A515-'Control Room'!$A$15-('Control Room'!$B$15-1)/2)/MAX(0.5,'Control Room'!$B$15/4))^2),1)*IF(AND($A515&gt;='Control Room'!$A$16,$A515&lt;'Control Room'!$A$16+'Control Room'!$B$16,'Process'!BU5=1),1+('Control Room'!$C$16-1)*EXP(-0.5*(($A515-'Control Room'!$A$16-('Control Room'!$B$16-1)/2)/MAX(0.5,'Control Room'!$B$16/4))^2),1)</x:f>
        <x:v>1</x:v>
      </x:c>
      <x:c r="BE515" s="9" t="n">
        <x:f>MOD(BF514*16807,2147483647)</x:f>
        <x:v>1139722003</x:v>
      </x:c>
      <x:c r="BF515" s="9" t="n">
        <x:f>MOD(BE515*16807,2147483647)</x:f>
        <x:v>1901056828</x:v>
      </x:c>
      <x:c r="BG515" s="17" t="n">
        <x:f>IF('Control Room'!$B$5="Normal",'Control Room'!$B$7+'Control Room'!$D$7*SQRT(-2*LN(MAX(0.000000000001,BE515/2147483647)))*COS(2*PI()*BF515/2147483647),'Control Room'!$B$8+('Control Room'!$D$8-'Control Room'!$B$8)*BE515/2147483647)</x:f>
        <x:v>1076.095274133153</x:v>
      </x:c>
      <x:c r="BH515" s="17" t="n">
        <x:f>IF('Control Room'!$B$5="Normal",'Control Room'!$B$7,('Control Room'!$B$8+'Control Room'!$D$8)/2)+'Control Room'!$B$9*(BH514-IF('Control Room'!$B$5="Normal",'Control Room'!$B$7,('Control Room'!$B$8+'Control Room'!$D$8)/2))+SQRT(1-'Control Room'!$B$9^2)*(BG515-IF('Control Room'!$B$5="Normal",'Control Room'!$B$7,('Control Room'!$B$8+'Control Room'!$D$8)/2))</x:f>
        <x:v>1128.3108230415935</x:v>
      </x:c>
      <x:c r="BI515" s="17" t="n">
        <x:f>IF(AND($A515&gt;='Control Room'!$A$13,$A515&lt;'Control Room'!$A$13+'Control Room'!$B$13,'Process'!BV2=1),1+('Control Room'!$C$13-1)*EXP(-0.5*(($A515-'Control Room'!$A$13-('Control Room'!$B$13-1)/2)/MAX(0.5,'Control Room'!$B$13/4))^2),1)*IF(AND($A515&gt;='Control Room'!$A$14,$A515&lt;'Control Room'!$A$14+'Control Room'!$B$14,'Process'!BV3=1),1+('Control Room'!$C$14-1)*EXP(-0.5*(($A515-'Control Room'!$A$14-('Control Room'!$B$14-1)/2)/MAX(0.5,'Control Room'!$B$14/4))^2),1)*IF(AND($A515&gt;='Control Room'!$A$15,$A515&lt;'Control Room'!$A$15+'Control Room'!$B$15,'Process'!BV4=1),1+('Control Room'!$C$15-1)*EXP(-0.5*(($A515-'Control Room'!$A$15-('Control Room'!$B$15-1)/2)/MAX(0.5,'Control Room'!$B$15/4))^2),1)*IF(AND($A515&gt;='Control Room'!$A$16,$A515&lt;'Control Room'!$A$16+'Control Room'!$B$16,'Process'!BV5=1),1+('Control Room'!$C$16-1)*EXP(-0.5*(($A515-'Control Room'!$A$16-('Control Room'!$B$16-1)/2)/MAX(0.5,'Control Room'!$B$16/4))^2),1)</x:f>
        <x:v>1</x:v>
      </x:c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Z515" t="str">
        <x:f>IF('Data'!A515="","",TEXT('Data'!A515,"mm-dd"))</x:f>
      </x:c>
    </x:row>
    <x:row r="516" ht="21" customHeight="1">
      <x:c r="A516" s="15" t="n">
        <x:f>'Control Room'!$B$1+514</x:f>
        <x:v>73505</x:v>
      </x:c>
      <x:c r="B516" s="9" t="n">
        <x:f>MOD(C515*16807,2147483647)</x:f>
        <x:v>1488402123</x:v>
      </x:c>
      <x:c r="C516" s="9" t="n">
        <x:f>MOD(B516*16807,2147483647)</x:f>
        <x:v>1684961005</x:v>
      </x:c>
      <x:c r="D516" s="17" t="n">
        <x:f>IF('Control Room'!$B$5="Normal",'Control Room'!$B$7+'Control Room'!$D$7*SQRT(-2*LN(MAX(0.000000000001,B516/2147483647)))*COS(2*PI()*C516/2147483647),'Control Room'!$B$8+('Control Room'!$D$8-'Control Room'!$B$8)*B516/2147483647)</x:f>
        <x:v>1016.6318398387224</x:v>
      </x:c>
      <x:c r="E516" s="17" t="n">
        <x:f>IF('Control Room'!$B$5="Normal",'Control Room'!$B$7,('Control Room'!$B$8+'Control Room'!$D$8)/2)+'Control Room'!$B$9*(E515-IF('Control Room'!$B$5="Normal",'Control Room'!$B$7,('Control Room'!$B$8+'Control Room'!$D$8)/2))+SQRT(1-'Control Room'!$B$9^2)*(D516-IF('Control Room'!$B$5="Normal",'Control Room'!$B$7,('Control Room'!$B$8+'Control Room'!$D$8)/2))</x:f>
        <x:v>1114.0070990217023</x:v>
      </x:c>
      <x:c r="F516" s="17" t="n">
        <x:f>IF(AND($A516&gt;='Control Room'!$A$13,$A516&lt;'Control Room'!$A$13+'Control Room'!$B$13,'Process'!BK2=1),1+('Control Room'!$C$13-1)*EXP(-0.5*(($A516-'Control Room'!$A$13-('Control Room'!$B$13-1)/2)/MAX(0.5,'Control Room'!$B$13/4))^2),1)*IF(AND($A516&gt;='Control Room'!$A$14,$A516&lt;'Control Room'!$A$14+'Control Room'!$B$14,'Process'!BK3=1),1+('Control Room'!$C$14-1)*EXP(-0.5*(($A516-'Control Room'!$A$14-('Control Room'!$B$14-1)/2)/MAX(0.5,'Control Room'!$B$14/4))^2),1)*IF(AND($A516&gt;='Control Room'!$A$15,$A516&lt;'Control Room'!$A$15+'Control Room'!$B$15,'Process'!BK4=1),1+('Control Room'!$C$15-1)*EXP(-0.5*(($A516-'Control Room'!$A$15-('Control Room'!$B$15-1)/2)/MAX(0.5,'Control Room'!$B$15/4))^2),1)*IF(AND($A516&gt;='Control Room'!$A$16,$A516&lt;'Control Room'!$A$16+'Control Room'!$B$16,'Process'!BK5=1),1+('Control Room'!$C$16-1)*EXP(-0.5*(($A516-'Control Room'!$A$16-('Control Room'!$B$16-1)/2)/MAX(0.5,'Control Room'!$B$16/4))^2),1)</x:f>
        <x:v>1</x:v>
      </x:c>
      <x:c r="G516" s="9" t="n">
        <x:f>MOD(H515*16807,2147483647)</x:f>
        <x:v>254502498</x:v>
      </x:c>
      <x:c r="H516" s="9" t="n">
        <x:f>MOD(G516*16807,2147483647)</x:f>
        <x:v>1783542709</x:v>
      </x:c>
      <x:c r="I516" s="17" t="n">
        <x:f>IF('Control Room'!$B$5="Normal",'Control Room'!$B$7+'Control Room'!$D$7*SQRT(-2*LN(MAX(0.000000000001,G516/2147483647)))*COS(2*PI()*H516/2147483647),'Control Room'!$B$8+('Control Room'!$D$8-'Control Room'!$B$8)*G516/2147483647)</x:f>
        <x:v>1090.0857748490164</x:v>
      </x:c>
      <x:c r="J516" s="17" t="n">
        <x:f>IF('Control Room'!$B$5="Normal",'Control Room'!$B$7,('Control Room'!$B$8+'Control Room'!$D$8)/2)+'Control Room'!$B$9*(J515-IF('Control Room'!$B$5="Normal",'Control Room'!$B$7,('Control Room'!$B$8+'Control Room'!$D$8)/2))+SQRT(1-'Control Room'!$B$9^2)*(I516-IF('Control Room'!$B$5="Normal",'Control Room'!$B$7,('Control Room'!$B$8+'Control Room'!$D$8)/2))</x:f>
        <x:v>888.0796943093653</x:v>
      </x:c>
      <x:c r="K516" s="17" t="n">
        <x:f>IF(AND($A516&gt;='Control Room'!$A$13,$A516&lt;'Control Room'!$A$13+'Control Room'!$B$13,'Process'!BL2=1),1+('Control Room'!$C$13-1)*EXP(-0.5*(($A516-'Control Room'!$A$13-('Control Room'!$B$13-1)/2)/MAX(0.5,'Control Room'!$B$13/4))^2),1)*IF(AND($A516&gt;='Control Room'!$A$14,$A516&lt;'Control Room'!$A$14+'Control Room'!$B$14,'Process'!BL3=1),1+('Control Room'!$C$14-1)*EXP(-0.5*(($A516-'Control Room'!$A$14-('Control Room'!$B$14-1)/2)/MAX(0.5,'Control Room'!$B$14/4))^2),1)*IF(AND($A516&gt;='Control Room'!$A$15,$A516&lt;'Control Room'!$A$15+'Control Room'!$B$15,'Process'!BL4=1),1+('Control Room'!$C$15-1)*EXP(-0.5*(($A516-'Control Room'!$A$15-('Control Room'!$B$15-1)/2)/MAX(0.5,'Control Room'!$B$15/4))^2),1)*IF(AND($A516&gt;='Control Room'!$A$16,$A516&lt;'Control Room'!$A$16+'Control Room'!$B$16,'Process'!BL5=1),1+('Control Room'!$C$16-1)*EXP(-0.5*(($A516-'Control Room'!$A$16-('Control Room'!$B$16-1)/2)/MAX(0.5,'Control Room'!$B$16/4))^2),1)</x:f>
        <x:v>1</x:v>
      </x:c>
      <x:c r="L516" s="9" t="n">
        <x:f>MOD(M515*16807,2147483647)</x:f>
        <x:v>1168086520</x:v>
      </x:c>
      <x:c r="M516" s="9" t="n">
        <x:f>MOD(L516*16807,2147483647)</x:f>
        <x:v>1882124413</x:v>
      </x:c>
      <x:c r="N516" s="17" t="n">
        <x:f>IF('Control Room'!$B$5="Normal",'Control Room'!$B$7+'Control Room'!$D$7*SQRT(-2*LN(MAX(0.000000000001,L516/2147483647)))*COS(2*PI()*M516/2147483647),'Control Room'!$B$8+('Control Room'!$D$8-'Control Room'!$B$8)*L516/2147483647)</x:f>
        <x:v>1070.8598173547666</x:v>
      </x:c>
      <x:c r="O516" s="17" t="n">
        <x:f>IF('Control Room'!$B$5="Normal",'Control Room'!$B$7,('Control Room'!$B$8+'Control Room'!$D$8)/2)+'Control Room'!$B$9*(O515-IF('Control Room'!$B$5="Normal",'Control Room'!$B$7,('Control Room'!$B$8+'Control Room'!$D$8)/2))+SQRT(1-'Control Room'!$B$9^2)*(N516-IF('Control Room'!$B$5="Normal",'Control Room'!$B$7,('Control Room'!$B$8+'Control Room'!$D$8)/2))</x:f>
        <x:v>1195.774505582786</x:v>
      </x:c>
      <x:c r="P516" s="17" t="n">
        <x:f>IF(AND($A516&gt;='Control Room'!$A$13,$A516&lt;'Control Room'!$A$13+'Control Room'!$B$13,'Process'!BM2=1),1+('Control Room'!$C$13-1)*EXP(-0.5*(($A516-'Control Room'!$A$13-('Control Room'!$B$13-1)/2)/MAX(0.5,'Control Room'!$B$13/4))^2),1)*IF(AND($A516&gt;='Control Room'!$A$14,$A516&lt;'Control Room'!$A$14+'Control Room'!$B$14,'Process'!BM3=1),1+('Control Room'!$C$14-1)*EXP(-0.5*(($A516-'Control Room'!$A$14-('Control Room'!$B$14-1)/2)/MAX(0.5,'Control Room'!$B$14/4))^2),1)*IF(AND($A516&gt;='Control Room'!$A$15,$A516&lt;'Control Room'!$A$15+'Control Room'!$B$15,'Process'!BM4=1),1+('Control Room'!$C$15-1)*EXP(-0.5*(($A516-'Control Room'!$A$15-('Control Room'!$B$15-1)/2)/MAX(0.5,'Control Room'!$B$15/4))^2),1)*IF(AND($A516&gt;='Control Room'!$A$16,$A516&lt;'Control Room'!$A$16+'Control Room'!$B$16,'Process'!BM5=1),1+('Control Room'!$C$16-1)*EXP(-0.5*(($A516-'Control Room'!$A$16-('Control Room'!$B$16-1)/2)/MAX(0.5,'Control Room'!$B$16/4))^2),1)</x:f>
        <x:v>1</x:v>
      </x:c>
      <x:c r="Q516" s="9" t="n">
        <x:f>MOD(R515*16807,2147483647)</x:f>
        <x:v>2081670542</x:v>
      </x:c>
      <x:c r="R516" s="9" t="n">
        <x:f>MOD(Q516*16807,2147483647)</x:f>
        <x:v>1980706117</x:v>
      </x:c>
      <x:c r="S516" s="17" t="n">
        <x:f>IF('Control Room'!$B$5="Normal",'Control Room'!$B$7+'Control Room'!$D$7*SQRT(-2*LN(MAX(0.000000000001,Q516/2147483647)))*COS(2*PI()*R516/2147483647),'Control Room'!$B$8+('Control Room'!$D$8-'Control Room'!$B$8)*Q516/2147483647)</x:f>
        <x:v>1019.834554994016</x:v>
      </x:c>
      <x:c r="T516" s="17" t="n">
        <x:f>IF('Control Room'!$B$5="Normal",'Control Room'!$B$7,('Control Room'!$B$8+'Control Room'!$D$8)/2)+'Control Room'!$B$9*(T515-IF('Control Room'!$B$5="Normal",'Control Room'!$B$7,('Control Room'!$B$8+'Control Room'!$D$8)/2))+SQRT(1-'Control Room'!$B$9^2)*(S516-IF('Control Room'!$B$5="Normal",'Control Room'!$B$7,('Control Room'!$B$8+'Control Room'!$D$8)/2))</x:f>
        <x:v>918.6102863649788</x:v>
      </x:c>
      <x:c r="U516" s="17" t="n">
        <x:f>IF(AND($A516&gt;='Control Room'!$A$13,$A516&lt;'Control Room'!$A$13+'Control Room'!$B$13,'Process'!BN2=1),1+('Control Room'!$C$13-1)*EXP(-0.5*(($A516-'Control Room'!$A$13-('Control Room'!$B$13-1)/2)/MAX(0.5,'Control Room'!$B$13/4))^2),1)*IF(AND($A516&gt;='Control Room'!$A$14,$A516&lt;'Control Room'!$A$14+'Control Room'!$B$14,'Process'!BN3=1),1+('Control Room'!$C$14-1)*EXP(-0.5*(($A516-'Control Room'!$A$14-('Control Room'!$B$14-1)/2)/MAX(0.5,'Control Room'!$B$14/4))^2),1)*IF(AND($A516&gt;='Control Room'!$A$15,$A516&lt;'Control Room'!$A$15+'Control Room'!$B$15,'Process'!BN4=1),1+('Control Room'!$C$15-1)*EXP(-0.5*(($A516-'Control Room'!$A$15-('Control Room'!$B$15-1)/2)/MAX(0.5,'Control Room'!$B$15/4))^2),1)*IF(AND($A516&gt;='Control Room'!$A$16,$A516&lt;'Control Room'!$A$16+'Control Room'!$B$16,'Process'!BN5=1),1+('Control Room'!$C$16-1)*EXP(-0.5*(($A516-'Control Room'!$A$16-('Control Room'!$B$16-1)/2)/MAX(0.5,'Control Room'!$B$16/4))^2),1)</x:f>
        <x:v>1</x:v>
      </x:c>
      <x:c r="V516" s="9" t="n">
        <x:f>MOD(W515*16807,2147483647)</x:f>
        <x:v>847770917</x:v>
      </x:c>
      <x:c r="W516" s="9" t="n">
        <x:f>MOD(V516*16807,2147483647)</x:f>
        <x:v>2079287821</x:v>
      </x:c>
      <x:c r="X516" s="17" t="n">
        <x:f>IF('Control Room'!$B$5="Normal",'Control Room'!$B$7+'Control Room'!$D$7*SQRT(-2*LN(MAX(0.000000000001,V516/2147483647)))*COS(2*PI()*W516/2147483647),'Control Room'!$B$8+('Control Room'!$D$8-'Control Room'!$B$8)*V516/2147483647)</x:f>
        <x:v>1120.2722621524488</x:v>
      </x:c>
      <x:c r="Y516" s="17" t="n">
        <x:f>IF('Control Room'!$B$5="Normal",'Control Room'!$B$7,('Control Room'!$B$8+'Control Room'!$D$8)/2)+'Control Room'!$B$9*(Y515-IF('Control Room'!$B$5="Normal",'Control Room'!$B$7,('Control Room'!$B$8+'Control Room'!$D$8)/2))+SQRT(1-'Control Room'!$B$9^2)*(X516-IF('Control Room'!$B$5="Normal",'Control Room'!$B$7,('Control Room'!$B$8+'Control Room'!$D$8)/2))</x:f>
        <x:v>1076.9908908310701</x:v>
      </x:c>
      <x:c r="Z516" s="17" t="n">
        <x:f>IF(AND($A516&gt;='Control Room'!$A$13,$A516&lt;'Control Room'!$A$13+'Control Room'!$B$13,'Process'!BO2=1),1+('Control Room'!$C$13-1)*EXP(-0.5*(($A516-'Control Room'!$A$13-('Control Room'!$B$13-1)/2)/MAX(0.5,'Control Room'!$B$13/4))^2),1)*IF(AND($A516&gt;='Control Room'!$A$14,$A516&lt;'Control Room'!$A$14+'Control Room'!$B$14,'Process'!BO3=1),1+('Control Room'!$C$14-1)*EXP(-0.5*(($A516-'Control Room'!$A$14-('Control Room'!$B$14-1)/2)/MAX(0.5,'Control Room'!$B$14/4))^2),1)*IF(AND($A516&gt;='Control Room'!$A$15,$A516&lt;'Control Room'!$A$15+'Control Room'!$B$15,'Process'!BO4=1),1+('Control Room'!$C$15-1)*EXP(-0.5*(($A516-'Control Room'!$A$15-('Control Room'!$B$15-1)/2)/MAX(0.5,'Control Room'!$B$15/4))^2),1)*IF(AND($A516&gt;='Control Room'!$A$16,$A516&lt;'Control Room'!$A$16+'Control Room'!$B$16,'Process'!BO5=1),1+('Control Room'!$C$16-1)*EXP(-0.5*(($A516-'Control Room'!$A$16-('Control Room'!$B$16-1)/2)/MAX(0.5,'Control Room'!$B$16/4))^2),1)</x:f>
        <x:v>1</x:v>
      </x:c>
      <x:c r="AA516" s="9" t="n">
        <x:f>MOD(AB515*16807,2147483647)</x:f>
        <x:v>1761354939</x:v>
      </x:c>
      <x:c r="AB516" s="9" t="n">
        <x:f>MOD(AA516*16807,2147483647)</x:f>
        <x:v>30385878</x:v>
      </x:c>
      <x:c r="AC516" s="17" t="n">
        <x:f>IF('Control Room'!$B$5="Normal",'Control Room'!$B$7+'Control Room'!$D$7*SQRT(-2*LN(MAX(0.000000000001,AA516/2147483647)))*COS(2*PI()*AB516/2147483647),'Control Room'!$B$8+('Control Room'!$D$8-'Control Room'!$B$8)*AA516/2147483647)</x:f>
        <x:v>1056.442393667775</x:v>
      </x:c>
      <x:c r="AD516" s="17" t="n">
        <x:f>IF('Control Room'!$B$5="Normal",'Control Room'!$B$7,('Control Room'!$B$8+'Control Room'!$D$8)/2)+'Control Room'!$B$9*(AD515-IF('Control Room'!$B$5="Normal",'Control Room'!$B$7,('Control Room'!$B$8+'Control Room'!$D$8)/2))+SQRT(1-'Control Room'!$B$9^2)*(AC516-IF('Control Room'!$B$5="Normal",'Control Room'!$B$7,('Control Room'!$B$8+'Control Room'!$D$8)/2))</x:f>
        <x:v>944.0119481528986</x:v>
      </x:c>
      <x:c r="AE516" s="17" t="n">
        <x:f>IF(AND($A516&gt;='Control Room'!$A$13,$A516&lt;'Control Room'!$A$13+'Control Room'!$B$13,'Process'!BP2=1),1+('Control Room'!$C$13-1)*EXP(-0.5*(($A516-'Control Room'!$A$13-('Control Room'!$B$13-1)/2)/MAX(0.5,'Control Room'!$B$13/4))^2),1)*IF(AND($A516&gt;='Control Room'!$A$14,$A516&lt;'Control Room'!$A$14+'Control Room'!$B$14,'Process'!BP3=1),1+('Control Room'!$C$14-1)*EXP(-0.5*(($A516-'Control Room'!$A$14-('Control Room'!$B$14-1)/2)/MAX(0.5,'Control Room'!$B$14/4))^2),1)*IF(AND($A516&gt;='Control Room'!$A$15,$A516&lt;'Control Room'!$A$15+'Control Room'!$B$15,'Process'!BP4=1),1+('Control Room'!$C$15-1)*EXP(-0.5*(($A516-'Control Room'!$A$15-('Control Room'!$B$15-1)/2)/MAX(0.5,'Control Room'!$B$15/4))^2),1)*IF(AND($A516&gt;='Control Room'!$A$16,$A516&lt;'Control Room'!$A$16+'Control Room'!$B$16,'Process'!BP5=1),1+('Control Room'!$C$16-1)*EXP(-0.5*(($A516-'Control Room'!$A$16-('Control Room'!$B$16-1)/2)/MAX(0.5,'Control Room'!$B$16/4))^2),1)</x:f>
        <x:v>1</x:v>
      </x:c>
      <x:c r="AF516" s="9" t="n">
        <x:f>MOD(AG515*16807,2147483647)</x:f>
        <x:v>527455314</x:v>
      </x:c>
      <x:c r="AG516" s="9" t="n">
        <x:f>MOD(AF516*16807,2147483647)</x:f>
        <x:v>128967582</x:v>
      </x:c>
      <x:c r="AH516" s="17" t="n">
        <x:f>IF('Control Room'!$B$5="Normal",'Control Room'!$B$7+'Control Room'!$D$7*SQRT(-2*LN(MAX(0.000000000001,AF516/2147483647)))*COS(2*PI()*AG516/2147483647),'Control Room'!$B$8+('Control Room'!$D$8-'Control Room'!$B$8)*AF516/2147483647)</x:f>
        <x:v>1140.2032458082044</x:v>
      </x:c>
      <x:c r="AI516" s="17" t="n">
        <x:f>IF('Control Room'!$B$5="Normal",'Control Room'!$B$7,('Control Room'!$B$8+'Control Room'!$D$8)/2)+'Control Room'!$B$9*(AI515-IF('Control Room'!$B$5="Normal",'Control Room'!$B$7,('Control Room'!$B$8+'Control Room'!$D$8)/2))+SQRT(1-'Control Room'!$B$9^2)*(AH516-IF('Control Room'!$B$5="Normal",'Control Room'!$B$7,('Control Room'!$B$8+'Control Room'!$D$8)/2))</x:f>
        <x:v>1085.5289546083866</x:v>
      </x:c>
      <x:c r="AJ516" s="17" t="n">
        <x:f>IF(AND($A516&gt;='Control Room'!$A$13,$A516&lt;'Control Room'!$A$13+'Control Room'!$B$13,'Process'!BQ2=1),1+('Control Room'!$C$13-1)*EXP(-0.5*(($A516-'Control Room'!$A$13-('Control Room'!$B$13-1)/2)/MAX(0.5,'Control Room'!$B$13/4))^2),1)*IF(AND($A516&gt;='Control Room'!$A$14,$A516&lt;'Control Room'!$A$14+'Control Room'!$B$14,'Process'!BQ3=1),1+('Control Room'!$C$14-1)*EXP(-0.5*(($A516-'Control Room'!$A$14-('Control Room'!$B$14-1)/2)/MAX(0.5,'Control Room'!$B$14/4))^2),1)*IF(AND($A516&gt;='Control Room'!$A$15,$A516&lt;'Control Room'!$A$15+'Control Room'!$B$15,'Process'!BQ4=1),1+('Control Room'!$C$15-1)*EXP(-0.5*(($A516-'Control Room'!$A$15-('Control Room'!$B$15-1)/2)/MAX(0.5,'Control Room'!$B$15/4))^2),1)*IF(AND($A516&gt;='Control Room'!$A$16,$A516&lt;'Control Room'!$A$16+'Control Room'!$B$16,'Process'!BQ5=1),1+('Control Room'!$C$16-1)*EXP(-0.5*(($A516-'Control Room'!$A$16-('Control Room'!$B$16-1)/2)/MAX(0.5,'Control Room'!$B$16/4))^2),1)</x:f>
        <x:v>1</x:v>
      </x:c>
      <x:c r="AK516" s="9" t="n">
        <x:f>MOD(AL515*16807,2147483647)</x:f>
        <x:v>1441039336</x:v>
      </x:c>
      <x:c r="AL516" s="9" t="n">
        <x:f>MOD(AK516*16807,2147483647)</x:f>
        <x:v>227549286</x:v>
      </x:c>
      <x:c r="AM516" s="17" t="n">
        <x:f>IF('Control Room'!$B$5="Normal",'Control Room'!$B$7+'Control Room'!$D$7*SQRT(-2*LN(MAX(0.000000000001,AK516/2147483647)))*COS(2*PI()*AL516/2147483647),'Control Room'!$B$8+('Control Room'!$D$8-'Control Room'!$B$8)*AK516/2147483647)</x:f>
        <x:v>1063.2226568169244</x:v>
      </x:c>
      <x:c r="AN516" s="17" t="n">
        <x:f>IF('Control Room'!$B$5="Normal",'Control Room'!$B$7,('Control Room'!$B$8+'Control Room'!$D$8)/2)+'Control Room'!$B$9*(AN515-IF('Control Room'!$B$5="Normal",'Control Room'!$B$7,('Control Room'!$B$8+'Control Room'!$D$8)/2))+SQRT(1-'Control Room'!$B$9^2)*(AM516-IF('Control Room'!$B$5="Normal",'Control Room'!$B$7,('Control Room'!$B$8+'Control Room'!$D$8)/2))</x:f>
        <x:v>1020.3214306028212</x:v>
      </x:c>
      <x:c r="AO516" s="17" t="n">
        <x:f>IF(AND($A516&gt;='Control Room'!$A$13,$A516&lt;'Control Room'!$A$13+'Control Room'!$B$13,'Process'!BR2=1),1+('Control Room'!$C$13-1)*EXP(-0.5*(($A516-'Control Room'!$A$13-('Control Room'!$B$13-1)/2)/MAX(0.5,'Control Room'!$B$13/4))^2),1)*IF(AND($A516&gt;='Control Room'!$A$14,$A516&lt;'Control Room'!$A$14+'Control Room'!$B$14,'Process'!BR3=1),1+('Control Room'!$C$14-1)*EXP(-0.5*(($A516-'Control Room'!$A$14-('Control Room'!$B$14-1)/2)/MAX(0.5,'Control Room'!$B$14/4))^2),1)*IF(AND($A516&gt;='Control Room'!$A$15,$A516&lt;'Control Room'!$A$15+'Control Room'!$B$15,'Process'!BR4=1),1+('Control Room'!$C$15-1)*EXP(-0.5*(($A516-'Control Room'!$A$15-('Control Room'!$B$15-1)/2)/MAX(0.5,'Control Room'!$B$15/4))^2),1)*IF(AND($A516&gt;='Control Room'!$A$16,$A516&lt;'Control Room'!$A$16+'Control Room'!$B$16,'Process'!BR5=1),1+('Control Room'!$C$16-1)*EXP(-0.5*(($A516-'Control Room'!$A$16-('Control Room'!$B$16-1)/2)/MAX(0.5,'Control Room'!$B$16/4))^2),1)</x:f>
        <x:v>1</x:v>
      </x:c>
      <x:c r="AP516" s="9" t="n">
        <x:f>MOD(AQ515*16807,2147483647)</x:f>
        <x:v>207139711</x:v>
      </x:c>
      <x:c r="AQ516" s="9" t="n">
        <x:f>MOD(AP516*16807,2147483647)</x:f>
        <x:v>326130990</x:v>
      </x:c>
      <x:c r="AR516" s="17" t="n">
        <x:f>IF('Control Room'!$B$5="Normal",'Control Room'!$B$7+'Control Room'!$D$7*SQRT(-2*LN(MAX(0.000000000001,AP516/2147483647)))*COS(2*PI()*AQ516/2147483647),'Control Room'!$B$8+('Control Room'!$D$8-'Control Room'!$B$8)*AP516/2147483647)</x:f>
        <x:v>1112.5542003033875</x:v>
      </x:c>
      <x:c r="AS516" s="17" t="n">
        <x:f>IF('Control Room'!$B$5="Normal",'Control Room'!$B$7,('Control Room'!$B$8+'Control Room'!$D$8)/2)+'Control Room'!$B$9*(AS515-IF('Control Room'!$B$5="Normal",'Control Room'!$B$7,('Control Room'!$B$8+'Control Room'!$D$8)/2))+SQRT(1-'Control Room'!$B$9^2)*(AR516-IF('Control Room'!$B$5="Normal",'Control Room'!$B$7,('Control Room'!$B$8+'Control Room'!$D$8)/2))</x:f>
        <x:v>1023.008774021635</x:v>
      </x:c>
      <x:c r="AT516" s="17" t="n">
        <x:f>IF(AND($A516&gt;='Control Room'!$A$13,$A516&lt;'Control Room'!$A$13+'Control Room'!$B$13,'Process'!BS2=1),1+('Control Room'!$C$13-1)*EXP(-0.5*(($A516-'Control Room'!$A$13-('Control Room'!$B$13-1)/2)/MAX(0.5,'Control Room'!$B$13/4))^2),1)*IF(AND($A516&gt;='Control Room'!$A$14,$A516&lt;'Control Room'!$A$14+'Control Room'!$B$14,'Process'!BS3=1),1+('Control Room'!$C$14-1)*EXP(-0.5*(($A516-'Control Room'!$A$14-('Control Room'!$B$14-1)/2)/MAX(0.5,'Control Room'!$B$14/4))^2),1)*IF(AND($A516&gt;='Control Room'!$A$15,$A516&lt;'Control Room'!$A$15+'Control Room'!$B$15,'Process'!BS4=1),1+('Control Room'!$C$15-1)*EXP(-0.5*(($A516-'Control Room'!$A$15-('Control Room'!$B$15-1)/2)/MAX(0.5,'Control Room'!$B$15/4))^2),1)*IF(AND($A516&gt;='Control Room'!$A$16,$A516&lt;'Control Room'!$A$16+'Control Room'!$B$16,'Process'!BS5=1),1+('Control Room'!$C$16-1)*EXP(-0.5*(($A516-'Control Room'!$A$16-('Control Room'!$B$16-1)/2)/MAX(0.5,'Control Room'!$B$16/4))^2),1)</x:f>
        <x:v>1</x:v>
      </x:c>
      <x:c r="AU516" s="9" t="n">
        <x:f>MOD(AV515*16807,2147483647)</x:f>
        <x:v>1120723733</x:v>
      </x:c>
      <x:c r="AV516" s="9" t="n">
        <x:f>MOD(AU516*16807,2147483647)</x:f>
        <x:v>424712694</x:v>
      </x:c>
      <x:c r="AW516" s="17" t="n">
        <x:f>IF('Control Room'!$B$5="Normal",'Control Room'!$B$7+'Control Room'!$D$7*SQRT(-2*LN(MAX(0.000000000001,AU516/2147483647)))*COS(2*PI()*AV516/2147483647),'Control Room'!$B$8+('Control Room'!$D$8-'Control Room'!$B$8)*AU516/2147483647)</x:f>
        <x:v>1033.0811094464154</x:v>
      </x:c>
      <x:c r="AX516" s="17" t="n">
        <x:f>IF('Control Room'!$B$5="Normal",'Control Room'!$B$7,('Control Room'!$B$8+'Control Room'!$D$8)/2)+'Control Room'!$B$9*(AX515-IF('Control Room'!$B$5="Normal",'Control Room'!$B$7,('Control Room'!$B$8+'Control Room'!$D$8)/2))+SQRT(1-'Control Room'!$B$9^2)*(AW516-IF('Control Room'!$B$5="Normal",'Control Room'!$B$7,('Control Room'!$B$8+'Control Room'!$D$8)/2))</x:f>
        <x:v>1057.7026076874783</x:v>
      </x:c>
      <x:c r="AY516" s="17" t="n">
        <x:f>IF(AND($A516&gt;='Control Room'!$A$13,$A516&lt;'Control Room'!$A$13+'Control Room'!$B$13,'Process'!BT2=1),1+('Control Room'!$C$13-1)*EXP(-0.5*(($A516-'Control Room'!$A$13-('Control Room'!$B$13-1)/2)/MAX(0.5,'Control Room'!$B$13/4))^2),1)*IF(AND($A516&gt;='Control Room'!$A$14,$A516&lt;'Control Room'!$A$14+'Control Room'!$B$14,'Process'!BT3=1),1+('Control Room'!$C$14-1)*EXP(-0.5*(($A516-'Control Room'!$A$14-('Control Room'!$B$14-1)/2)/MAX(0.5,'Control Room'!$B$14/4))^2),1)*IF(AND($A516&gt;='Control Room'!$A$15,$A516&lt;'Control Room'!$A$15+'Control Room'!$B$15,'Process'!BT4=1),1+('Control Room'!$C$15-1)*EXP(-0.5*(($A516-'Control Room'!$A$15-('Control Room'!$B$15-1)/2)/MAX(0.5,'Control Room'!$B$15/4))^2),1)*IF(AND($A516&gt;='Control Room'!$A$16,$A516&lt;'Control Room'!$A$16+'Control Room'!$B$16,'Process'!BT5=1),1+('Control Room'!$C$16-1)*EXP(-0.5*(($A516-'Control Room'!$A$16-('Control Room'!$B$16-1)/2)/MAX(0.5,'Control Room'!$B$16/4))^2),1)</x:f>
        <x:v>1</x:v>
      </x:c>
      <x:c r="AZ516" s="9" t="n">
        <x:f>MOD(BA515*16807,2147483647)</x:f>
        <x:v>2034307755</x:v>
      </x:c>
      <x:c r="BA516" s="9" t="n">
        <x:f>MOD(AZ516*16807,2147483647)</x:f>
        <x:v>523294398</x:v>
      </x:c>
      <x:c r="BB516" s="17" t="n">
        <x:f>IF('Control Room'!$B$5="Normal",'Control Room'!$B$7+'Control Room'!$D$7*SQRT(-2*LN(MAX(0.000000000001,AZ516/2147483647)))*COS(2*PI()*BA516/2147483647),'Control Room'!$B$8+('Control Room'!$D$8-'Control Room'!$B$8)*AZ516/2147483647)</x:f>
        <x:v>1001.1761030297623</x:v>
      </x:c>
      <x:c r="BC516" s="17" t="n">
        <x:f>IF('Control Room'!$B$5="Normal",'Control Room'!$B$7,('Control Room'!$B$8+'Control Room'!$D$8)/2)+'Control Room'!$B$9*(BC515-IF('Control Room'!$B$5="Normal",'Control Room'!$B$7,('Control Room'!$B$8+'Control Room'!$D$8)/2))+SQRT(1-'Control Room'!$B$9^2)*(BB516-IF('Control Room'!$B$5="Normal",'Control Room'!$B$7,('Control Room'!$B$8+'Control Room'!$D$8)/2))</x:f>
        <x:v>961.6643914092423</x:v>
      </x:c>
      <x:c r="BD516" s="17" t="n">
        <x:f>IF(AND($A516&gt;='Control Room'!$A$13,$A516&lt;'Control Room'!$A$13+'Control Room'!$B$13,'Process'!BU2=1),1+('Control Room'!$C$13-1)*EXP(-0.5*(($A516-'Control Room'!$A$13-('Control Room'!$B$13-1)/2)/MAX(0.5,'Control Room'!$B$13/4))^2),1)*IF(AND($A516&gt;='Control Room'!$A$14,$A516&lt;'Control Room'!$A$14+'Control Room'!$B$14,'Process'!BU3=1),1+('Control Room'!$C$14-1)*EXP(-0.5*(($A516-'Control Room'!$A$14-('Control Room'!$B$14-1)/2)/MAX(0.5,'Control Room'!$B$14/4))^2),1)*IF(AND($A516&gt;='Control Room'!$A$15,$A516&lt;'Control Room'!$A$15+'Control Room'!$B$15,'Process'!BU4=1),1+('Control Room'!$C$15-1)*EXP(-0.5*(($A516-'Control Room'!$A$15-('Control Room'!$B$15-1)/2)/MAX(0.5,'Control Room'!$B$15/4))^2),1)*IF(AND($A516&gt;='Control Room'!$A$16,$A516&lt;'Control Room'!$A$16+'Control Room'!$B$16,'Process'!BU5=1),1+('Control Room'!$C$16-1)*EXP(-0.5*(($A516-'Control Room'!$A$16-('Control Room'!$B$16-1)/2)/MAX(0.5,'Control Room'!$B$16/4))^2),1)</x:f>
        <x:v>1</x:v>
      </x:c>
      <x:c r="BE516" s="9" t="n">
        <x:f>MOD(BF515*16807,2147483647)</x:f>
        <x:v>800408130</x:v>
      </x:c>
      <x:c r="BF516" s="9" t="n">
        <x:f>MOD(BE516*16807,2147483647)</x:f>
        <x:v>621876102</x:v>
      </x:c>
      <x:c r="BG516" s="17" t="n">
        <x:f>IF('Control Room'!$B$5="Normal",'Control Room'!$B$7+'Control Room'!$D$7*SQRT(-2*LN(MAX(0.000000000001,BE516/2147483647)))*COS(2*PI()*BF516/2147483647),'Control Room'!$B$8+('Control Room'!$D$8-'Control Room'!$B$8)*BE516/2147483647)</x:f>
        <x:v>968.8749869498216</x:v>
      </x:c>
      <x:c r="BH516" s="17" t="n">
        <x:f>IF('Control Room'!$B$5="Normal",'Control Room'!$B$7,('Control Room'!$B$8+'Control Room'!$D$8)/2)+'Control Room'!$B$9*(BH515-IF('Control Room'!$B$5="Normal",'Control Room'!$B$7,('Control Room'!$B$8+'Control Room'!$D$8)/2))+SQRT(1-'Control Room'!$B$9^2)*(BG516-IF('Control Room'!$B$5="Normal",'Control Room'!$B$7,('Control Room'!$B$8+'Control Room'!$D$8)/2))</x:f>
        <x:v>1080.605046436192</x:v>
      </x:c>
      <x:c r="BI516" s="17" t="n">
        <x:f>IF(AND($A516&gt;='Control Room'!$A$13,$A516&lt;'Control Room'!$A$13+'Control Room'!$B$13,'Process'!BV2=1),1+('Control Room'!$C$13-1)*EXP(-0.5*(($A516-'Control Room'!$A$13-('Control Room'!$B$13-1)/2)/MAX(0.5,'Control Room'!$B$13/4))^2),1)*IF(AND($A516&gt;='Control Room'!$A$14,$A516&lt;'Control Room'!$A$14+'Control Room'!$B$14,'Process'!BV3=1),1+('Control Room'!$C$14-1)*EXP(-0.5*(($A516-'Control Room'!$A$14-('Control Room'!$B$14-1)/2)/MAX(0.5,'Control Room'!$B$14/4))^2),1)*IF(AND($A516&gt;='Control Room'!$A$15,$A516&lt;'Control Room'!$A$15+'Control Room'!$B$15,'Process'!BV4=1),1+('Control Room'!$C$15-1)*EXP(-0.5*(($A516-'Control Room'!$A$15-('Control Room'!$B$15-1)/2)/MAX(0.5,'Control Room'!$B$15/4))^2),1)*IF(AND($A516&gt;='Control Room'!$A$16,$A516&lt;'Control Room'!$A$16+'Control Room'!$B$16,'Process'!BV5=1),1+('Control Room'!$C$16-1)*EXP(-0.5*(($A516-'Control Room'!$A$16-('Control Room'!$B$16-1)/2)/MAX(0.5,'Control Room'!$B$16/4))^2),1)</x:f>
        <x:v>1</x:v>
      </x:c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Z516" t="str">
        <x:f>IF('Data'!A516="","",TEXT('Data'!A516,"mm-dd"))</x:f>
      </x:c>
    </x:row>
    <x:row r="517" ht="21" customHeight="1">
      <x:c r="A517" s="15" t="n">
        <x:f>'Control Room'!$B$1+515</x:f>
        <x:v>73506</x:v>
      </x:c>
      <x:c r="B517" s="9" t="n">
        <x:f>MOD(C516*16807,2147483647)</x:f>
        <x:v>272758046</x:v>
      </x:c>
      <x:c r="C517" s="9" t="n">
        <x:f>MOD(B517*16807,2147483647)</x:f>
        <x:v>1514376424</x:v>
      </x:c>
      <x:c r="D517" s="17" t="n">
        <x:f>IF('Control Room'!$B$5="Normal",'Control Room'!$B$7+'Control Room'!$D$7*SQRT(-2*LN(MAX(0.000000000001,B517/2147483647)))*COS(2*PI()*C517/2147483647),'Control Room'!$B$8+('Control Room'!$D$8-'Control Room'!$B$8)*B517/2147483647)</x:f>
        <x:v>949.1967701287256</x:v>
      </x:c>
      <x:c r="E517" s="17" t="n">
        <x:f>IF('Control Room'!$B$5="Normal",'Control Room'!$B$7,('Control Room'!$B$8+'Control Room'!$D$8)/2)+'Control Room'!$B$9*(E516-IF('Control Room'!$B$5="Normal",'Control Room'!$B$7,('Control Room'!$B$8+'Control Room'!$D$8)/2))+SQRT(1-'Control Room'!$B$9^2)*(D517-IF('Control Room'!$B$5="Normal",'Control Room'!$B$7,('Control Room'!$B$8+'Control Room'!$D$8)/2))</x:f>
        <x:v>1057.1339167442186</x:v>
      </x:c>
      <x:c r="F517" s="17" t="n">
        <x:f>IF(AND($A517&gt;='Control Room'!$A$13,$A517&lt;'Control Room'!$A$13+'Control Room'!$B$13,'Process'!BK2=1),1+('Control Room'!$C$13-1)*EXP(-0.5*(($A517-'Control Room'!$A$13-('Control Room'!$B$13-1)/2)/MAX(0.5,'Control Room'!$B$13/4))^2),1)*IF(AND($A517&gt;='Control Room'!$A$14,$A517&lt;'Control Room'!$A$14+'Control Room'!$B$14,'Process'!BK3=1),1+('Control Room'!$C$14-1)*EXP(-0.5*(($A517-'Control Room'!$A$14-('Control Room'!$B$14-1)/2)/MAX(0.5,'Control Room'!$B$14/4))^2),1)*IF(AND($A517&gt;='Control Room'!$A$15,$A517&lt;'Control Room'!$A$15+'Control Room'!$B$15,'Process'!BK4=1),1+('Control Room'!$C$15-1)*EXP(-0.5*(($A517-'Control Room'!$A$15-('Control Room'!$B$15-1)/2)/MAX(0.5,'Control Room'!$B$15/4))^2),1)*IF(AND($A517&gt;='Control Room'!$A$16,$A517&lt;'Control Room'!$A$16+'Control Room'!$B$16,'Process'!BK5=1),1+('Control Room'!$C$16-1)*EXP(-0.5*(($A517-'Control Room'!$A$16-('Control Room'!$B$16-1)/2)/MAX(0.5,'Control Room'!$B$16/4))^2),1)</x:f>
        <x:v>1</x:v>
      </x:c>
      <x:c r="G517" s="9" t="n">
        <x:f>MOD(H516*16807,2147483647)</x:f>
        <x:v>1425565337</x:v>
      </x:c>
      <x:c r="H517" s="9" t="n">
        <x:f>MOD(G517*16807,2147483647)</x:f>
        <x:v>1569380</x:v>
      </x:c>
      <x:c r="I517" s="17" t="n">
        <x:f>IF('Control Room'!$B$5="Normal",'Control Room'!$B$7+'Control Room'!$D$7*SQRT(-2*LN(MAX(0.000000000001,G517/2147483647)))*COS(2*PI()*H517/2147483647),'Control Room'!$B$8+('Control Room'!$D$8-'Control Room'!$B$8)*G517/2147483647)</x:f>
        <x:v>1081.470598789789</x:v>
      </x:c>
      <x:c r="J517" s="17" t="n">
        <x:f>IF('Control Room'!$B$5="Normal",'Control Room'!$B$7,('Control Room'!$B$8+'Control Room'!$D$8)/2)+'Control Room'!$B$9*(J516-IF('Control Room'!$B$5="Normal",'Control Room'!$B$7,('Control Room'!$B$8+'Control Room'!$D$8)/2))+SQRT(1-'Control Room'!$B$9^2)*(I517-IF('Control Room'!$B$5="Normal",'Control Room'!$B$7,('Control Room'!$B$8+'Control Room'!$D$8)/2))</x:f>
        <x:v>963.6847932680196</x:v>
      </x:c>
      <x:c r="K517" s="17" t="n">
        <x:f>IF(AND($A517&gt;='Control Room'!$A$13,$A517&lt;'Control Room'!$A$13+'Control Room'!$B$13,'Process'!BL2=1),1+('Control Room'!$C$13-1)*EXP(-0.5*(($A517-'Control Room'!$A$13-('Control Room'!$B$13-1)/2)/MAX(0.5,'Control Room'!$B$13/4))^2),1)*IF(AND($A517&gt;='Control Room'!$A$14,$A517&lt;'Control Room'!$A$14+'Control Room'!$B$14,'Process'!BL3=1),1+('Control Room'!$C$14-1)*EXP(-0.5*(($A517-'Control Room'!$A$14-('Control Room'!$B$14-1)/2)/MAX(0.5,'Control Room'!$B$14/4))^2),1)*IF(AND($A517&gt;='Control Room'!$A$15,$A517&lt;'Control Room'!$A$15+'Control Room'!$B$15,'Process'!BL4=1),1+('Control Room'!$C$15-1)*EXP(-0.5*(($A517-'Control Room'!$A$15-('Control Room'!$B$15-1)/2)/MAX(0.5,'Control Room'!$B$15/4))^2),1)*IF(AND($A517&gt;='Control Room'!$A$16,$A517&lt;'Control Room'!$A$16+'Control Room'!$B$16,'Process'!BL5=1),1+('Control Room'!$C$16-1)*EXP(-0.5*(($A517-'Control Room'!$A$16-('Control Room'!$B$16-1)/2)/MAX(0.5,'Control Room'!$B$16/4))^2),1)</x:f>
        <x:v>1</x:v>
      </x:c>
      <x:c r="L517" s="9" t="n">
        <x:f>MOD(M516*16807,2147483647)</x:f>
        <x:v>430888981</x:v>
      </x:c>
      <x:c r="M517" s="9" t="n">
        <x:f>MOD(L517*16807,2147483647)</x:f>
        <x:v>636245983</x:v>
      </x:c>
      <x:c r="N517" s="17" t="n">
        <x:f>IF('Control Room'!$B$5="Normal",'Control Room'!$B$7+'Control Room'!$D$7*SQRT(-2*LN(MAX(0.000000000001,L517/2147483647)))*COS(2*PI()*M517/2147483647),'Control Room'!$B$8+('Control Room'!$D$8-'Control Room'!$B$8)*L517/2147483647)</x:f>
        <x:v>953.7567292888468</x:v>
      </x:c>
      <x:c r="O517" s="17" t="n">
        <x:f>IF('Control Room'!$B$5="Normal",'Control Room'!$B$7,('Control Room'!$B$8+'Control Room'!$D$8)/2)+'Control Room'!$B$9*(O516-IF('Control Room'!$B$5="Normal",'Control Room'!$B$7,('Control Room'!$B$8+'Control Room'!$D$8)/2))+SQRT(1-'Control Room'!$B$9^2)*(N517-IF('Control Room'!$B$5="Normal",'Control Room'!$B$7,('Control Room'!$B$8+'Control Room'!$D$8)/2))</x:f>
        <x:v>1123.766022888427</x:v>
      </x:c>
      <x:c r="P517" s="17" t="n">
        <x:f>IF(AND($A517&gt;='Control Room'!$A$13,$A517&lt;'Control Room'!$A$13+'Control Room'!$B$13,'Process'!BM2=1),1+('Control Room'!$C$13-1)*EXP(-0.5*(($A517-'Control Room'!$A$13-('Control Room'!$B$13-1)/2)/MAX(0.5,'Control Room'!$B$13/4))^2),1)*IF(AND($A517&gt;='Control Room'!$A$14,$A517&lt;'Control Room'!$A$14+'Control Room'!$B$14,'Process'!BM3=1),1+('Control Room'!$C$14-1)*EXP(-0.5*(($A517-'Control Room'!$A$14-('Control Room'!$B$14-1)/2)/MAX(0.5,'Control Room'!$B$14/4))^2),1)*IF(AND($A517&gt;='Control Room'!$A$15,$A517&lt;'Control Room'!$A$15+'Control Room'!$B$15,'Process'!BM4=1),1+('Control Room'!$C$15-1)*EXP(-0.5*(($A517-'Control Room'!$A$15-('Control Room'!$B$15-1)/2)/MAX(0.5,'Control Room'!$B$15/4))^2),1)*IF(AND($A517&gt;='Control Room'!$A$16,$A517&lt;'Control Room'!$A$16+'Control Room'!$B$16,'Process'!BM5=1),1+('Control Room'!$C$16-1)*EXP(-0.5*(($A517-'Control Room'!$A$16-('Control Room'!$B$16-1)/2)/MAX(0.5,'Control Room'!$B$16/4))^2),1)</x:f>
        <x:v>1</x:v>
      </x:c>
      <x:c r="Q517" s="9" t="n">
        <x:f>MOD(R516*16807,2147483647)</x:f>
        <x:v>1583696272</x:v>
      </x:c>
      <x:c r="R517" s="9" t="n">
        <x:f>MOD(Q517*16807,2147483647)</x:f>
        <x:v>1270922586</x:v>
      </x:c>
      <x:c r="S517" s="17" t="n">
        <x:f>IF('Control Room'!$B$5="Normal",'Control Room'!$B$7+'Control Room'!$D$7*SQRT(-2*LN(MAX(0.000000000001,Q517/2147483647)))*COS(2*PI()*R517/2147483647),'Control Room'!$B$8+('Control Room'!$D$8-'Control Room'!$B$8)*Q517/2147483647)</x:f>
        <x:v>941.1296445536927</x:v>
      </x:c>
      <x:c r="T517" s="17" t="n">
        <x:f>IF('Control Room'!$B$5="Normal",'Control Room'!$B$7,('Control Room'!$B$8+'Control Room'!$D$8)/2)+'Control Room'!$B$9*(T516-IF('Control Room'!$B$5="Normal",'Control Room'!$B$7,('Control Room'!$B$8+'Control Room'!$D$8)/2))+SQRT(1-'Control Room'!$B$9^2)*(S517-IF('Control Room'!$B$5="Normal",'Control Room'!$B$7,('Control Room'!$B$8+'Control Room'!$D$8)/2))</x:f>
        <x:v>899.6761609511691</x:v>
      </x:c>
      <x:c r="U517" s="17" t="n">
        <x:f>IF(AND($A517&gt;='Control Room'!$A$13,$A517&lt;'Control Room'!$A$13+'Control Room'!$B$13,'Process'!BN2=1),1+('Control Room'!$C$13-1)*EXP(-0.5*(($A517-'Control Room'!$A$13-('Control Room'!$B$13-1)/2)/MAX(0.5,'Control Room'!$B$13/4))^2),1)*IF(AND($A517&gt;='Control Room'!$A$14,$A517&lt;'Control Room'!$A$14+'Control Room'!$B$14,'Process'!BN3=1),1+('Control Room'!$C$14-1)*EXP(-0.5*(($A517-'Control Room'!$A$14-('Control Room'!$B$14-1)/2)/MAX(0.5,'Control Room'!$B$14/4))^2),1)*IF(AND($A517&gt;='Control Room'!$A$15,$A517&lt;'Control Room'!$A$15+'Control Room'!$B$15,'Process'!BN4=1),1+('Control Room'!$C$15-1)*EXP(-0.5*(($A517-'Control Room'!$A$15-('Control Room'!$B$15-1)/2)/MAX(0.5,'Control Room'!$B$15/4))^2),1)*IF(AND($A517&gt;='Control Room'!$A$16,$A517&lt;'Control Room'!$A$16+'Control Room'!$B$16,'Process'!BN5=1),1+('Control Room'!$C$16-1)*EXP(-0.5*(($A517-'Control Room'!$A$16-('Control Room'!$B$16-1)/2)/MAX(0.5,'Control Room'!$B$16/4))^2),1)</x:f>
        <x:v>1</x:v>
      </x:c>
      <x:c r="V517" s="9" t="n">
        <x:f>MOD(W516*16807,2147483647)</x:f>
        <x:v>589019916</x:v>
      </x:c>
      <x:c r="W517" s="9" t="n">
        <x:f>MOD(V517*16807,2147483647)</x:f>
        <x:v>1905599189</x:v>
      </x:c>
      <x:c r="X517" s="17" t="n">
        <x:f>IF('Control Room'!$B$5="Normal",'Control Room'!$B$7+'Control Room'!$D$7*SQRT(-2*LN(MAX(0.000000000001,V517/2147483647)))*COS(2*PI()*W517/2147483647),'Control Room'!$B$8+('Control Room'!$D$8-'Control Room'!$B$8)*V517/2147483647)</x:f>
        <x:v>1109.9977812504897</x:v>
      </x:c>
      <x:c r="Y517" s="17" t="n">
        <x:f>IF('Control Room'!$B$5="Normal",'Control Room'!$B$7,('Control Room'!$B$8+'Control Room'!$D$8)/2)+'Control Room'!$B$9*(Y516-IF('Control Room'!$B$5="Normal",'Control Room'!$B$7,('Control Room'!$B$8+'Control Room'!$D$8)/2))+SQRT(1-'Control Room'!$B$9^2)*(X517-IF('Control Room'!$B$5="Normal",'Control Room'!$B$7,('Control Room'!$B$8+'Control Room'!$D$8)/2))</x:f>
        <x:v>1128.8872529277576</x:v>
      </x:c>
      <x:c r="Z517" s="17" t="n">
        <x:f>IF(AND($A517&gt;='Control Room'!$A$13,$A517&lt;'Control Room'!$A$13+'Control Room'!$B$13,'Process'!BO2=1),1+('Control Room'!$C$13-1)*EXP(-0.5*(($A517-'Control Room'!$A$13-('Control Room'!$B$13-1)/2)/MAX(0.5,'Control Room'!$B$13/4))^2),1)*IF(AND($A517&gt;='Control Room'!$A$14,$A517&lt;'Control Room'!$A$14+'Control Room'!$B$14,'Process'!BO3=1),1+('Control Room'!$C$14-1)*EXP(-0.5*(($A517-'Control Room'!$A$14-('Control Room'!$B$14-1)/2)/MAX(0.5,'Control Room'!$B$14/4))^2),1)*IF(AND($A517&gt;='Control Room'!$A$15,$A517&lt;'Control Room'!$A$15+'Control Room'!$B$15,'Process'!BO4=1),1+('Control Room'!$C$15-1)*EXP(-0.5*(($A517-'Control Room'!$A$15-('Control Room'!$B$15-1)/2)/MAX(0.5,'Control Room'!$B$15/4))^2),1)*IF(AND($A517&gt;='Control Room'!$A$16,$A517&lt;'Control Room'!$A$16+'Control Room'!$B$16,'Process'!BO5=1),1+('Control Room'!$C$16-1)*EXP(-0.5*(($A517-'Control Room'!$A$16-('Control Room'!$B$16-1)/2)/MAX(0.5,'Control Room'!$B$16/4))^2),1)</x:f>
        <x:v>1</x:v>
      </x:c>
      <x:c r="AA517" s="9" t="n">
        <x:f>MOD(AB516*16807,2147483647)</x:f>
        <x:v>1741827207</x:v>
      </x:c>
      <x:c r="AB517" s="9" t="n">
        <x:f>MOD(AA517*16807,2147483647)</x:f>
        <x:v>392792145</x:v>
      </x:c>
      <x:c r="AC517" s="17" t="n">
        <x:f>IF('Control Room'!$B$5="Normal",'Control Room'!$B$7+'Control Room'!$D$7*SQRT(-2*LN(MAX(0.000000000001,AA517/2147483647)))*COS(2*PI()*AB517/2147483647),'Control Room'!$B$8+('Control Room'!$D$8-'Control Room'!$B$8)*AA517/2147483647)</x:f>
        <x:v>1023.8295978636422</x:v>
      </x:c>
      <x:c r="AD517" s="17" t="n">
        <x:f>IF('Control Room'!$B$5="Normal",'Control Room'!$B$7,('Control Room'!$B$8+'Control Room'!$D$8)/2)+'Control Room'!$B$9*(AD516-IF('Control Room'!$B$5="Normal",'Control Room'!$B$7,('Control Room'!$B$8+'Control Room'!$D$8)/2))+SQRT(1-'Control Room'!$B$9^2)*(AC517-IF('Control Room'!$B$5="Normal",'Control Room'!$B$7,('Control Room'!$B$8+'Control Room'!$D$8)/2))</x:f>
        <x:v>971.2413937264813</x:v>
      </x:c>
      <x:c r="AE517" s="17" t="n">
        <x:f>IF(AND($A517&gt;='Control Room'!$A$13,$A517&lt;'Control Room'!$A$13+'Control Room'!$B$13,'Process'!BP2=1),1+('Control Room'!$C$13-1)*EXP(-0.5*(($A517-'Control Room'!$A$13-('Control Room'!$B$13-1)/2)/MAX(0.5,'Control Room'!$B$13/4))^2),1)*IF(AND($A517&gt;='Control Room'!$A$14,$A517&lt;'Control Room'!$A$14+'Control Room'!$B$14,'Process'!BP3=1),1+('Control Room'!$C$14-1)*EXP(-0.5*(($A517-'Control Room'!$A$14-('Control Room'!$B$14-1)/2)/MAX(0.5,'Control Room'!$B$14/4))^2),1)*IF(AND($A517&gt;='Control Room'!$A$15,$A517&lt;'Control Room'!$A$15+'Control Room'!$B$15,'Process'!BP4=1),1+('Control Room'!$C$15-1)*EXP(-0.5*(($A517-'Control Room'!$A$15-('Control Room'!$B$15-1)/2)/MAX(0.5,'Control Room'!$B$15/4))^2),1)*IF(AND($A517&gt;='Control Room'!$A$16,$A517&lt;'Control Room'!$A$16+'Control Room'!$B$16,'Process'!BP5=1),1+('Control Room'!$C$16-1)*EXP(-0.5*(($A517-'Control Room'!$A$16-('Control Room'!$B$16-1)/2)/MAX(0.5,'Control Room'!$B$16/4))^2),1)</x:f>
        <x:v>1</x:v>
      </x:c>
      <x:c r="AF517" s="9" t="n">
        <x:f>MOD(AG516*16807,2147483647)</x:f>
        <x:v>747150851</x:v>
      </x:c>
      <x:c r="AG517" s="9" t="n">
        <x:f>MOD(AF517*16807,2147483647)</x:f>
        <x:v>1027468748</x:v>
      </x:c>
      <x:c r="AH517" s="17" t="n">
        <x:f>IF('Control Room'!$B$5="Normal",'Control Room'!$B$7+'Control Room'!$D$7*SQRT(-2*LN(MAX(0.000000000001,AF517/2147483647)))*COS(2*PI()*AG517/2147483647),'Control Room'!$B$8+('Control Room'!$D$8-'Control Room'!$B$8)*AF517/2147483647)</x:f>
        <x:v>870.4155883448543</x:v>
      </x:c>
      <x:c r="AI517" s="17" t="n">
        <x:f>IF('Control Room'!$B$5="Normal",'Control Room'!$B$7,('Control Room'!$B$8+'Control Room'!$D$8)/2)+'Control Room'!$B$9*(AI516-IF('Control Room'!$B$5="Normal",'Control Room'!$B$7,('Control Room'!$B$8+'Control Room'!$D$8)/2))+SQRT(1-'Control Room'!$B$9^2)*(AH517-IF('Control Room'!$B$5="Normal",'Control Room'!$B$7,('Control Room'!$B$8+'Control Room'!$D$8)/2))</x:f>
        <x:v>985.621314461719</x:v>
      </x:c>
      <x:c r="AJ517" s="17" t="n">
        <x:f>IF(AND($A517&gt;='Control Room'!$A$13,$A517&lt;'Control Room'!$A$13+'Control Room'!$B$13,'Process'!BQ2=1),1+('Control Room'!$C$13-1)*EXP(-0.5*(($A517-'Control Room'!$A$13-('Control Room'!$B$13-1)/2)/MAX(0.5,'Control Room'!$B$13/4))^2),1)*IF(AND($A517&gt;='Control Room'!$A$14,$A517&lt;'Control Room'!$A$14+'Control Room'!$B$14,'Process'!BQ3=1),1+('Control Room'!$C$14-1)*EXP(-0.5*(($A517-'Control Room'!$A$14-('Control Room'!$B$14-1)/2)/MAX(0.5,'Control Room'!$B$14/4))^2),1)*IF(AND($A517&gt;='Control Room'!$A$15,$A517&lt;'Control Room'!$A$15+'Control Room'!$B$15,'Process'!BQ4=1),1+('Control Room'!$C$15-1)*EXP(-0.5*(($A517-'Control Room'!$A$15-('Control Room'!$B$15-1)/2)/MAX(0.5,'Control Room'!$B$15/4))^2),1)*IF(AND($A517&gt;='Control Room'!$A$16,$A517&lt;'Control Room'!$A$16+'Control Room'!$B$16,'Process'!BQ5=1),1+('Control Room'!$C$16-1)*EXP(-0.5*(($A517-'Control Room'!$A$16-('Control Room'!$B$16-1)/2)/MAX(0.5,'Control Room'!$B$16/4))^2),1)</x:f>
        <x:v>1</x:v>
      </x:c>
      <x:c r="AK517" s="9" t="n">
        <x:f>MOD(AL516*16807,2147483647)</x:f>
        <x:v>1899958142</x:v>
      </x:c>
      <x:c r="AL517" s="9" t="n">
        <x:f>MOD(AK517*16807,2147483647)</x:f>
        <x:v>1662145351</x:v>
      </x:c>
      <x:c r="AM517" s="17" t="n">
        <x:f>IF('Control Room'!$B$5="Normal",'Control Room'!$B$7+'Control Room'!$D$7*SQRT(-2*LN(MAX(0.000000000001,AK517/2147483647)))*COS(2*PI()*AL517/2147483647),'Control Room'!$B$8+('Control Room'!$D$8-'Control Room'!$B$8)*AK517/2147483647)</x:f>
        <x:v>1006.6903490245053</x:v>
      </x:c>
      <x:c r="AN517" s="17" t="n">
        <x:f>IF('Control Room'!$B$5="Normal",'Control Room'!$B$7,('Control Room'!$B$8+'Control Room'!$D$8)/2)+'Control Room'!$B$9*(AN516-IF('Control Room'!$B$5="Normal",'Control Room'!$B$7,('Control Room'!$B$8+'Control Room'!$D$8)/2))+SQRT(1-'Control Room'!$B$9^2)*(AM517-IF('Control Room'!$B$5="Normal",'Control Room'!$B$7,('Control Room'!$B$8+'Control Room'!$D$8)/2))</x:f>
        <x:v>1020.0373992304864</x:v>
      </x:c>
      <x:c r="AO517" s="17" t="n">
        <x:f>IF(AND($A517&gt;='Control Room'!$A$13,$A517&lt;'Control Room'!$A$13+'Control Room'!$B$13,'Process'!BR2=1),1+('Control Room'!$C$13-1)*EXP(-0.5*(($A517-'Control Room'!$A$13-('Control Room'!$B$13-1)/2)/MAX(0.5,'Control Room'!$B$13/4))^2),1)*IF(AND($A517&gt;='Control Room'!$A$14,$A517&lt;'Control Room'!$A$14+'Control Room'!$B$14,'Process'!BR3=1),1+('Control Room'!$C$14-1)*EXP(-0.5*(($A517-'Control Room'!$A$14-('Control Room'!$B$14-1)/2)/MAX(0.5,'Control Room'!$B$14/4))^2),1)*IF(AND($A517&gt;='Control Room'!$A$15,$A517&lt;'Control Room'!$A$15+'Control Room'!$B$15,'Process'!BR4=1),1+('Control Room'!$C$15-1)*EXP(-0.5*(($A517-'Control Room'!$A$15-('Control Room'!$B$15-1)/2)/MAX(0.5,'Control Room'!$B$15/4))^2),1)*IF(AND($A517&gt;='Control Room'!$A$16,$A517&lt;'Control Room'!$A$16+'Control Room'!$B$16,'Process'!BR5=1),1+('Control Room'!$C$16-1)*EXP(-0.5*(($A517-'Control Room'!$A$16-('Control Room'!$B$16-1)/2)/MAX(0.5,'Control Room'!$B$16/4))^2),1)</x:f>
        <x:v>1</x:v>
      </x:c>
      <x:c r="AP517" s="9" t="n">
        <x:f>MOD(AQ516*16807,2147483647)</x:f>
        <x:v>905281786</x:v>
      </x:c>
      <x:c r="AQ517" s="9" t="n">
        <x:f>MOD(AP517*16807,2147483647)</x:f>
        <x:v>149338307</x:v>
      </x:c>
      <x:c r="AR517" s="17" t="n">
        <x:f>IF('Control Room'!$B$5="Normal",'Control Room'!$B$7+'Control Room'!$D$7*SQRT(-2*LN(MAX(0.000000000001,AP517/2147483647)))*COS(2*PI()*AQ517/2147483647),'Control Room'!$B$8+('Control Room'!$D$8-'Control Room'!$B$8)*AP517/2147483647)</x:f>
        <x:v>1107.181103908962</x:v>
      </x:c>
      <x:c r="AS517" s="17" t="n">
        <x:f>IF('Control Room'!$B$5="Normal",'Control Room'!$B$7,('Control Room'!$B$8+'Control Room'!$D$8)/2)+'Control Room'!$B$9*(AS516-IF('Control Room'!$B$5="Normal",'Control Room'!$B$7,('Control Room'!$B$8+'Control Room'!$D$8)/2))+SQRT(1-'Control Room'!$B$9^2)*(AR517-IF('Control Room'!$B$5="Normal",'Control Room'!$B$7,('Control Room'!$B$8+'Control Room'!$D$8)/2))</x:f>
        <x:v>1085.018582838842</x:v>
      </x:c>
      <x:c r="AT517" s="17" t="n">
        <x:f>IF(AND($A517&gt;='Control Room'!$A$13,$A517&lt;'Control Room'!$A$13+'Control Room'!$B$13,'Process'!BS2=1),1+('Control Room'!$C$13-1)*EXP(-0.5*(($A517-'Control Room'!$A$13-('Control Room'!$B$13-1)/2)/MAX(0.5,'Control Room'!$B$13/4))^2),1)*IF(AND($A517&gt;='Control Room'!$A$14,$A517&lt;'Control Room'!$A$14+'Control Room'!$B$14,'Process'!BS3=1),1+('Control Room'!$C$14-1)*EXP(-0.5*(($A517-'Control Room'!$A$14-('Control Room'!$B$14-1)/2)/MAX(0.5,'Control Room'!$B$14/4))^2),1)*IF(AND($A517&gt;='Control Room'!$A$15,$A517&lt;'Control Room'!$A$15+'Control Room'!$B$15,'Process'!BS4=1),1+('Control Room'!$C$15-1)*EXP(-0.5*(($A517-'Control Room'!$A$15-('Control Room'!$B$15-1)/2)/MAX(0.5,'Control Room'!$B$15/4))^2),1)*IF(AND($A517&gt;='Control Room'!$A$16,$A517&lt;'Control Room'!$A$16+'Control Room'!$B$16,'Process'!BS5=1),1+('Control Room'!$C$16-1)*EXP(-0.5*(($A517-'Control Room'!$A$16-('Control Room'!$B$16-1)/2)/MAX(0.5,'Control Room'!$B$16/4))^2),1)</x:f>
        <x:v>1</x:v>
      </x:c>
      <x:c r="AU517" s="9" t="n">
        <x:f>MOD(AV516*16807,2147483647)</x:f>
        <x:v>2058089077</x:v>
      </x:c>
      <x:c r="AV517" s="9" t="n">
        <x:f>MOD(AU517*16807,2147483647)</x:f>
        <x:v>784014910</x:v>
      </x:c>
      <x:c r="AW517" s="17" t="n">
        <x:f>IF('Control Room'!$B$5="Normal",'Control Room'!$B$7+'Control Room'!$D$7*SQRT(-2*LN(MAX(0.000000000001,AU517/2147483647)))*COS(2*PI()*AV517/2147483647),'Control Room'!$B$8+('Control Room'!$D$8-'Control Room'!$B$8)*AU517/2147483647)</x:f>
        <x:v>982.6332446024542</x:v>
      </x:c>
      <x:c r="AX517" s="17" t="n">
        <x:f>IF('Control Room'!$B$5="Normal",'Control Room'!$B$7,('Control Room'!$B$8+'Control Room'!$D$8)/2)+'Control Room'!$B$9*(AX516-IF('Control Room'!$B$5="Normal",'Control Room'!$B$7,('Control Room'!$B$8+'Control Room'!$D$8)/2))+SQRT(1-'Control Room'!$B$9^2)*(AW517-IF('Control Room'!$B$5="Normal",'Control Room'!$B$7,('Control Room'!$B$8+'Control Room'!$D$8)/2))</x:f>
        <x:v>1034.1402742457715</x:v>
      </x:c>
      <x:c r="AY517" s="17" t="n">
        <x:f>IF(AND($A517&gt;='Control Room'!$A$13,$A517&lt;'Control Room'!$A$13+'Control Room'!$B$13,'Process'!BT2=1),1+('Control Room'!$C$13-1)*EXP(-0.5*(($A517-'Control Room'!$A$13-('Control Room'!$B$13-1)/2)/MAX(0.5,'Control Room'!$B$13/4))^2),1)*IF(AND($A517&gt;='Control Room'!$A$14,$A517&lt;'Control Room'!$A$14+'Control Room'!$B$14,'Process'!BT3=1),1+('Control Room'!$C$14-1)*EXP(-0.5*(($A517-'Control Room'!$A$14-('Control Room'!$B$14-1)/2)/MAX(0.5,'Control Room'!$B$14/4))^2),1)*IF(AND($A517&gt;='Control Room'!$A$15,$A517&lt;'Control Room'!$A$15+'Control Room'!$B$15,'Process'!BT4=1),1+('Control Room'!$C$15-1)*EXP(-0.5*(($A517-'Control Room'!$A$15-('Control Room'!$B$15-1)/2)/MAX(0.5,'Control Room'!$B$15/4))^2),1)*IF(AND($A517&gt;='Control Room'!$A$16,$A517&lt;'Control Room'!$A$16+'Control Room'!$B$16,'Process'!BT5=1),1+('Control Room'!$C$16-1)*EXP(-0.5*(($A517-'Control Room'!$A$16-('Control Room'!$B$16-1)/2)/MAX(0.5,'Control Room'!$B$16/4))^2),1)</x:f>
        <x:v>1</x:v>
      </x:c>
      <x:c r="AZ517" s="9" t="n">
        <x:f>MOD(BA516*16807,2147483647)</x:f>
        <x:v>1063412721</x:v>
      </x:c>
      <x:c r="BA517" s="9" t="n">
        <x:f>MOD(AZ517*16807,2147483647)</x:f>
        <x:v>1418691513</x:v>
      </x:c>
      <x:c r="BB517" s="17" t="n">
        <x:f>IF('Control Room'!$B$5="Normal",'Control Room'!$B$7+'Control Room'!$D$7*SQRT(-2*LN(MAX(0.000000000001,AZ517/2147483647)))*COS(2*PI()*BA517/2147483647),'Control Room'!$B$8+('Control Room'!$D$8-'Control Room'!$B$8)*AZ517/2147483647)</x:f>
        <x:v>943.1824616993233</x:v>
      </x:c>
      <x:c r="BC517" s="17" t="n">
        <x:f>IF('Control Room'!$B$5="Normal",'Control Room'!$B$7,('Control Room'!$B$8+'Control Room'!$D$8)/2)+'Control Room'!$B$9*(BC516-IF('Control Room'!$B$5="Normal",'Control Room'!$B$7,('Control Room'!$B$8+'Control Room'!$D$8)/2))+SQRT(1-'Control Room'!$B$9^2)*(BB517-IF('Control Room'!$B$5="Normal",'Control Room'!$B$7,('Control Room'!$B$8+'Control Room'!$D$8)/2))</x:f>
        <x:v>934.542973801185</x:v>
      </x:c>
      <x:c r="BD517" s="17" t="n">
        <x:f>IF(AND($A517&gt;='Control Room'!$A$13,$A517&lt;'Control Room'!$A$13+'Control Room'!$B$13,'Process'!BU2=1),1+('Control Room'!$C$13-1)*EXP(-0.5*(($A517-'Control Room'!$A$13-('Control Room'!$B$13-1)/2)/MAX(0.5,'Control Room'!$B$13/4))^2),1)*IF(AND($A517&gt;='Control Room'!$A$14,$A517&lt;'Control Room'!$A$14+'Control Room'!$B$14,'Process'!BU3=1),1+('Control Room'!$C$14-1)*EXP(-0.5*(($A517-'Control Room'!$A$14-('Control Room'!$B$14-1)/2)/MAX(0.5,'Control Room'!$B$14/4))^2),1)*IF(AND($A517&gt;='Control Room'!$A$15,$A517&lt;'Control Room'!$A$15+'Control Room'!$B$15,'Process'!BU4=1),1+('Control Room'!$C$15-1)*EXP(-0.5*(($A517-'Control Room'!$A$15-('Control Room'!$B$15-1)/2)/MAX(0.5,'Control Room'!$B$15/4))^2),1)*IF(AND($A517&gt;='Control Room'!$A$16,$A517&lt;'Control Room'!$A$16+'Control Room'!$B$16,'Process'!BU5=1),1+('Control Room'!$C$16-1)*EXP(-0.5*(($A517-'Control Room'!$A$16-('Control Room'!$B$16-1)/2)/MAX(0.5,'Control Room'!$B$16/4))^2),1)</x:f>
        <x:v>1</x:v>
      </x:c>
      <x:c r="BE517" s="9" t="n">
        <x:f>MOD(BF516*16807,2147483647)</x:f>
        <x:v>68736365</x:v>
      </x:c>
      <x:c r="BF517" s="9" t="n">
        <x:f>MOD(BE517*16807,2147483647)</x:f>
        <x:v>2053368116</x:v>
      </x:c>
      <x:c r="BG517" s="17" t="n">
        <x:f>IF('Control Room'!$B$5="Normal",'Control Room'!$B$7+'Control Room'!$D$7*SQRT(-2*LN(MAX(0.000000000001,BE517/2147483647)))*COS(2*PI()*BF517/2147483647),'Control Room'!$B$8+('Control Room'!$D$8-'Control Room'!$B$8)*BE517/2147483647)</x:f>
        <x:v>1227.2326267479775</x:v>
      </x:c>
      <x:c r="BH517" s="17" t="n">
        <x:f>IF('Control Room'!$B$5="Normal",'Control Room'!$B$7,('Control Room'!$B$8+'Control Room'!$D$8)/2)+'Control Room'!$B$9*(BH516-IF('Control Room'!$B$5="Normal",'Control Room'!$B$7,('Control Room'!$B$8+'Control Room'!$D$8)/2))+SQRT(1-'Control Room'!$B$9^2)*(BG517-IF('Control Room'!$B$5="Normal",'Control Room'!$B$7,('Control Room'!$B$8+'Control Room'!$D$8)/2))</x:f>
        <x:v>1205.0694589257273</x:v>
      </x:c>
      <x:c r="BI517" s="17" t="n">
        <x:f>IF(AND($A517&gt;='Control Room'!$A$13,$A517&lt;'Control Room'!$A$13+'Control Room'!$B$13,'Process'!BV2=1),1+('Control Room'!$C$13-1)*EXP(-0.5*(($A517-'Control Room'!$A$13-('Control Room'!$B$13-1)/2)/MAX(0.5,'Control Room'!$B$13/4))^2),1)*IF(AND($A517&gt;='Control Room'!$A$14,$A517&lt;'Control Room'!$A$14+'Control Room'!$B$14,'Process'!BV3=1),1+('Control Room'!$C$14-1)*EXP(-0.5*(($A517-'Control Room'!$A$14-('Control Room'!$B$14-1)/2)/MAX(0.5,'Control Room'!$B$14/4))^2),1)*IF(AND($A517&gt;='Control Room'!$A$15,$A517&lt;'Control Room'!$A$15+'Control Room'!$B$15,'Process'!BV4=1),1+('Control Room'!$C$15-1)*EXP(-0.5*(($A517-'Control Room'!$A$15-('Control Room'!$B$15-1)/2)/MAX(0.5,'Control Room'!$B$15/4))^2),1)*IF(AND($A517&gt;='Control Room'!$A$16,$A517&lt;'Control Room'!$A$16+'Control Room'!$B$16,'Process'!BV5=1),1+('Control Room'!$C$16-1)*EXP(-0.5*(($A517-'Control Room'!$A$16-('Control Room'!$B$16-1)/2)/MAX(0.5,'Control Room'!$B$16/4))^2),1)</x:f>
        <x:v>1</x:v>
      </x:c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Z517" t="str">
        <x:f>IF('Data'!A517="","",TEXT('Data'!A517,"mm-dd"))</x:f>
      </x:c>
    </x:row>
    <x:row r="518" ht="21" customHeight="1">
      <x:c r="A518" s="15" t="n">
        <x:f>'Control Room'!$B$1+516</x:f>
        <x:v>73507</x:v>
      </x:c>
      <x:c r="B518" s="9" t="n">
        <x:f>MOD(C517*16807,2147483647)</x:f>
        <x:v>148373924</x:v>
      </x:c>
      <x:c r="C518" s="9" t="n">
        <x:f>MOD(B518*16807,2147483647)</x:f>
        <x:v>492026501</x:v>
      </x:c>
      <x:c r="D518" s="17" t="n">
        <x:f>IF('Control Room'!$B$5="Normal",'Control Room'!$B$7+'Control Room'!$D$7*SQRT(-2*LN(MAX(0.000000000001,B518/2147483647)))*COS(2*PI()*C518/2147483647),'Control Room'!$B$8+('Control Room'!$D$8-'Control Room'!$B$8)*B518/2147483647)</x:f>
        <x:v>1027.2215573041465</x:v>
      </x:c>
      <x:c r="E518" s="17" t="n">
        <x:f>IF('Control Room'!$B$5="Normal",'Control Room'!$B$7,('Control Room'!$B$8+'Control Room'!$D$8)/2)+'Control Room'!$B$9*(E517-IF('Control Room'!$B$5="Normal",'Control Room'!$B$7,('Control Room'!$B$8+'Control Room'!$D$8)/2))+SQRT(1-'Control Room'!$B$9^2)*(D518-IF('Control Room'!$B$5="Normal",'Control Room'!$B$7,('Control Room'!$B$8+'Control Room'!$D$8)/2))</x:f>
        <x:v>1061.5991479575123</x:v>
      </x:c>
      <x:c r="F518" s="17" t="n">
        <x:f>IF(AND($A518&gt;='Control Room'!$A$13,$A518&lt;'Control Room'!$A$13+'Control Room'!$B$13,'Process'!BK2=1),1+('Control Room'!$C$13-1)*EXP(-0.5*(($A518-'Control Room'!$A$13-('Control Room'!$B$13-1)/2)/MAX(0.5,'Control Room'!$B$13/4))^2),1)*IF(AND($A518&gt;='Control Room'!$A$14,$A518&lt;'Control Room'!$A$14+'Control Room'!$B$14,'Process'!BK3=1),1+('Control Room'!$C$14-1)*EXP(-0.5*(($A518-'Control Room'!$A$14-('Control Room'!$B$14-1)/2)/MAX(0.5,'Control Room'!$B$14/4))^2),1)*IF(AND($A518&gt;='Control Room'!$A$15,$A518&lt;'Control Room'!$A$15+'Control Room'!$B$15,'Process'!BK4=1),1+('Control Room'!$C$15-1)*EXP(-0.5*(($A518-'Control Room'!$A$15-('Control Room'!$B$15-1)/2)/MAX(0.5,'Control Room'!$B$15/4))^2),1)*IF(AND($A518&gt;='Control Room'!$A$16,$A518&lt;'Control Room'!$A$16+'Control Room'!$B$16,'Process'!BK5=1),1+('Control Room'!$C$16-1)*EXP(-0.5*(($A518-'Control Room'!$A$16-('Control Room'!$B$16-1)/2)/MAX(0.5,'Control Room'!$B$16/4))^2),1)</x:f>
        <x:v>1</x:v>
      </x:c>
      <x:c r="G518" s="9" t="n">
        <x:f>MOD(H517*16807,2147483647)</x:f>
        <x:v>606765896</x:v>
      </x:c>
      <x:c r="H518" s="9" t="n">
        <x:f>MOD(G518*16807,2147483647)</x:f>
        <x:v>1662058116</x:v>
      </x:c>
      <x:c r="I518" s="17" t="n">
        <x:f>IF('Control Room'!$B$5="Normal",'Control Room'!$B$7+'Control Room'!$D$7*SQRT(-2*LN(MAX(0.000000000001,G518/2147483647)))*COS(2*PI()*H518/2147483647),'Control Room'!$B$8+('Control Room'!$D$8-'Control Room'!$B$8)*G518/2147483647)</x:f>
        <x:v>1021.45708028969</x:v>
      </x:c>
      <x:c r="J518" s="17" t="n">
        <x:f>IF('Control Room'!$B$5="Normal",'Control Room'!$B$7,('Control Room'!$B$8+'Control Room'!$D$8)/2)+'Control Room'!$B$9*(J517-IF('Control Room'!$B$5="Normal",'Control Room'!$B$7,('Control Room'!$B$8+'Control Room'!$D$8)/2))+SQRT(1-'Control Room'!$B$9^2)*(I518-IF('Control Room'!$B$5="Normal",'Control Room'!$B$7,('Control Room'!$B$8+'Control Room'!$D$8)/2))</x:f>
        <x:v>985.1015400221606</x:v>
      </x:c>
      <x:c r="K518" s="17" t="n">
        <x:f>IF(AND($A518&gt;='Control Room'!$A$13,$A518&lt;'Control Room'!$A$13+'Control Room'!$B$13,'Process'!BL2=1),1+('Control Room'!$C$13-1)*EXP(-0.5*(($A518-'Control Room'!$A$13-('Control Room'!$B$13-1)/2)/MAX(0.5,'Control Room'!$B$13/4))^2),1)*IF(AND($A518&gt;='Control Room'!$A$14,$A518&lt;'Control Room'!$A$14+'Control Room'!$B$14,'Process'!BL3=1),1+('Control Room'!$C$14-1)*EXP(-0.5*(($A518-'Control Room'!$A$14-('Control Room'!$B$14-1)/2)/MAX(0.5,'Control Room'!$B$14/4))^2),1)*IF(AND($A518&gt;='Control Room'!$A$15,$A518&lt;'Control Room'!$A$15+'Control Room'!$B$15,'Process'!BL4=1),1+('Control Room'!$C$15-1)*EXP(-0.5*(($A518-'Control Room'!$A$15-('Control Room'!$B$15-1)/2)/MAX(0.5,'Control Room'!$B$15/4))^2),1)*IF(AND($A518&gt;='Control Room'!$A$16,$A518&lt;'Control Room'!$A$16+'Control Room'!$B$16,'Process'!BL5=1),1+('Control Room'!$C$16-1)*EXP(-0.5*(($A518-'Control Room'!$A$16-('Control Room'!$B$16-1)/2)/MAX(0.5,'Control Room'!$B$16/4))^2),1)</x:f>
        <x:v>1</x:v>
      </x:c>
      <x:c r="L518" s="9" t="n">
        <x:f>MOD(M517*16807,2147483647)</x:f>
        <x:v>1065157868</x:v>
      </x:c>
      <x:c r="M518" s="9" t="n">
        <x:f>MOD(L518*16807,2147483647)</x:f>
        <x:v>684606084</x:v>
      </x:c>
      <x:c r="N518" s="17" t="n">
        <x:f>IF('Control Room'!$B$5="Normal",'Control Room'!$B$7+'Control Room'!$D$7*SQRT(-2*LN(MAX(0.000000000001,L518/2147483647)))*COS(2*PI()*M518/2147483647),'Control Room'!$B$8+('Control Room'!$D$8-'Control Room'!$B$8)*L518/2147483647)</x:f>
        <x:v>955.3527074424959</x:v>
      </x:c>
      <x:c r="O518" s="17" t="n">
        <x:f>IF('Control Room'!$B$5="Normal",'Control Room'!$B$7,('Control Room'!$B$8+'Control Room'!$D$8)/2)+'Control Room'!$B$9*(O517-IF('Control Room'!$B$5="Normal",'Control Room'!$B$7,('Control Room'!$B$8+'Control Room'!$D$8)/2))+SQRT(1-'Control Room'!$B$9^2)*(N518-IF('Control Room'!$B$5="Normal",'Control Room'!$B$7,('Control Room'!$B$8+'Control Room'!$D$8)/2))</x:f>
        <x:v>1068.5981368199907</x:v>
      </x:c>
      <x:c r="P518" s="17" t="n">
        <x:f>IF(AND($A518&gt;='Control Room'!$A$13,$A518&lt;'Control Room'!$A$13+'Control Room'!$B$13,'Process'!BM2=1),1+('Control Room'!$C$13-1)*EXP(-0.5*(($A518-'Control Room'!$A$13-('Control Room'!$B$13-1)/2)/MAX(0.5,'Control Room'!$B$13/4))^2),1)*IF(AND($A518&gt;='Control Room'!$A$14,$A518&lt;'Control Room'!$A$14+'Control Room'!$B$14,'Process'!BM3=1),1+('Control Room'!$C$14-1)*EXP(-0.5*(($A518-'Control Room'!$A$14-('Control Room'!$B$14-1)/2)/MAX(0.5,'Control Room'!$B$14/4))^2),1)*IF(AND($A518&gt;='Control Room'!$A$15,$A518&lt;'Control Room'!$A$15+'Control Room'!$B$15,'Process'!BM4=1),1+('Control Room'!$C$15-1)*EXP(-0.5*(($A518-'Control Room'!$A$15-('Control Room'!$B$15-1)/2)/MAX(0.5,'Control Room'!$B$15/4))^2),1)*IF(AND($A518&gt;='Control Room'!$A$16,$A518&lt;'Control Room'!$A$16+'Control Room'!$B$16,'Process'!BM5=1),1+('Control Room'!$C$16-1)*EXP(-0.5*(($A518-'Control Room'!$A$16-('Control Room'!$B$16-1)/2)/MAX(0.5,'Control Room'!$B$16/4))^2),1)</x:f>
        <x:v>1</x:v>
      </x:c>
      <x:c r="Q518" s="9" t="n">
        <x:f>MOD(R517*16807,2147483647)</x:f>
        <x:v>1523549840</x:v>
      </x:c>
      <x:c r="R518" s="9" t="n">
        <x:f>MOD(Q518*16807,2147483647)</x:f>
        <x:v>1854637699</x:v>
      </x:c>
      <x:c r="S518" s="17" t="n">
        <x:f>IF('Control Room'!$B$5="Normal",'Control Room'!$B$7+'Control Room'!$D$7*SQRT(-2*LN(MAX(0.000000000001,Q518/2147483647)))*COS(2*PI()*R518/2147483647),'Control Room'!$B$8+('Control Room'!$D$8-'Control Room'!$B$8)*Q518/2147483647)</x:f>
        <x:v>1048.8318782211015</x:v>
      </x:c>
      <x:c r="T518" s="17" t="n">
        <x:f>IF('Control Room'!$B$5="Normal",'Control Room'!$B$7,('Control Room'!$B$8+'Control Room'!$D$8)/2)+'Control Room'!$B$9*(T517-IF('Control Room'!$B$5="Normal",'Control Room'!$B$7,('Control Room'!$B$8+'Control Room'!$D$8)/2))+SQRT(1-'Control Room'!$B$9^2)*(S518-IF('Control Room'!$B$5="Normal",'Control Room'!$B$7,('Control Room'!$B$8+'Control Room'!$D$8)/2))</x:f>
        <x:v>952.3053945572766</x:v>
      </x:c>
      <x:c r="U518" s="17" t="n">
        <x:f>IF(AND($A518&gt;='Control Room'!$A$13,$A518&lt;'Control Room'!$A$13+'Control Room'!$B$13,'Process'!BN2=1),1+('Control Room'!$C$13-1)*EXP(-0.5*(($A518-'Control Room'!$A$13-('Control Room'!$B$13-1)/2)/MAX(0.5,'Control Room'!$B$13/4))^2),1)*IF(AND($A518&gt;='Control Room'!$A$14,$A518&lt;'Control Room'!$A$14+'Control Room'!$B$14,'Process'!BN3=1),1+('Control Room'!$C$14-1)*EXP(-0.5*(($A518-'Control Room'!$A$14-('Control Room'!$B$14-1)/2)/MAX(0.5,'Control Room'!$B$14/4))^2),1)*IF(AND($A518&gt;='Control Room'!$A$15,$A518&lt;'Control Room'!$A$15+'Control Room'!$B$15,'Process'!BN4=1),1+('Control Room'!$C$15-1)*EXP(-0.5*(($A518-'Control Room'!$A$15-('Control Room'!$B$15-1)/2)/MAX(0.5,'Control Room'!$B$15/4))^2),1)*IF(AND($A518&gt;='Control Room'!$A$16,$A518&lt;'Control Room'!$A$16+'Control Room'!$B$16,'Process'!BN5=1),1+('Control Room'!$C$16-1)*EXP(-0.5*(($A518-'Control Room'!$A$16-('Control Room'!$B$16-1)/2)/MAX(0.5,'Control Room'!$B$16/4))^2),1)</x:f>
        <x:v>1</x:v>
      </x:c>
      <x:c r="V518" s="9" t="n">
        <x:f>MOD(W517*16807,2147483647)</x:f>
        <x:v>1981941812</x:v>
      </x:c>
      <x:c r="W518" s="9" t="n">
        <x:f>MOD(V518*16807,2147483647)</x:f>
        <x:v>877185667</x:v>
      </x:c>
      <x:c r="X518" s="17" t="n">
        <x:f>IF('Control Room'!$B$5="Normal",'Control Room'!$B$7+'Control Room'!$D$7*SQRT(-2*LN(MAX(0.000000000001,V518/2147483647)))*COS(2*PI()*W518/2147483647),'Control Room'!$B$8+('Control Room'!$D$8-'Control Room'!$B$8)*V518/2147483647)</x:f>
        <x:v>969.7494117766522</x:v>
      </x:c>
      <x:c r="Y518" s="17" t="n">
        <x:f>IF('Control Room'!$B$5="Normal",'Control Room'!$B$7,('Control Room'!$B$8+'Control Room'!$D$8)/2)+'Control Room'!$B$9*(Y517-IF('Control Room'!$B$5="Normal",'Control Room'!$B$7,('Control Room'!$B$8+'Control Room'!$D$8)/2))+SQRT(1-'Control Room'!$B$9^2)*(X518-IF('Control Room'!$B$5="Normal",'Control Room'!$B$7,('Control Room'!$B$8+'Control Room'!$D$8)/2))</x:f>
        <x:v>1081.6018588904642</x:v>
      </x:c>
      <x:c r="Z518" s="17" t="n">
        <x:f>IF(AND($A518&gt;='Control Room'!$A$13,$A518&lt;'Control Room'!$A$13+'Control Room'!$B$13,'Process'!BO2=1),1+('Control Room'!$C$13-1)*EXP(-0.5*(($A518-'Control Room'!$A$13-('Control Room'!$B$13-1)/2)/MAX(0.5,'Control Room'!$B$13/4))^2),1)*IF(AND($A518&gt;='Control Room'!$A$14,$A518&lt;'Control Room'!$A$14+'Control Room'!$B$14,'Process'!BO3=1),1+('Control Room'!$C$14-1)*EXP(-0.5*(($A518-'Control Room'!$A$14-('Control Room'!$B$14-1)/2)/MAX(0.5,'Control Room'!$B$14/4))^2),1)*IF(AND($A518&gt;='Control Room'!$A$15,$A518&lt;'Control Room'!$A$15+'Control Room'!$B$15,'Process'!BO4=1),1+('Control Room'!$C$15-1)*EXP(-0.5*(($A518-'Control Room'!$A$15-('Control Room'!$B$15-1)/2)/MAX(0.5,'Control Room'!$B$15/4))^2),1)*IF(AND($A518&gt;='Control Room'!$A$16,$A518&lt;'Control Room'!$A$16+'Control Room'!$B$16,'Process'!BO5=1),1+('Control Room'!$C$16-1)*EXP(-0.5*(($A518-'Control Room'!$A$16-('Control Room'!$B$16-1)/2)/MAX(0.5,'Control Room'!$B$16/4))^2),1)</x:f>
        <x:v>1</x:v>
      </x:c>
      <x:c r="AA518" s="9" t="n">
        <x:f>MOD(AB517*16807,2147483647)</x:f>
        <x:v>292850137</x:v>
      </x:c>
      <x:c r="AB518" s="9" t="n">
        <x:f>MOD(AA518*16807,2147483647)</x:f>
        <x:v>2047217282</x:v>
      </x:c>
      <x:c r="AC518" s="17" t="n">
        <x:f>IF('Control Room'!$B$5="Normal",'Control Room'!$B$7+'Control Room'!$D$7*SQRT(-2*LN(MAX(0.000000000001,AA518/2147483647)))*COS(2*PI()*AB518/2147483647),'Control Room'!$B$8+('Control Room'!$D$8-'Control Room'!$B$8)*AA518/2147483647)</x:f>
        <x:v>1171.9817394424033</x:v>
      </x:c>
      <x:c r="AD518" s="17" t="n">
        <x:f>IF('Control Room'!$B$5="Normal",'Control Room'!$B$7,('Control Room'!$B$8+'Control Room'!$D$8)/2)+'Control Room'!$B$9*(AD517-IF('Control Room'!$B$5="Normal",'Control Room'!$B$7,('Control Room'!$B$8+'Control Room'!$D$8)/2))+SQRT(1-'Control Room'!$B$9^2)*(AC518-IF('Control Room'!$B$5="Normal",'Control Room'!$B$7,('Control Room'!$B$8+'Control Room'!$D$8)/2))</x:f>
        <x:v>1085.190936412274</x:v>
      </x:c>
      <x:c r="AE518" s="17" t="n">
        <x:f>IF(AND($A518&gt;='Control Room'!$A$13,$A518&lt;'Control Room'!$A$13+'Control Room'!$B$13,'Process'!BP2=1),1+('Control Room'!$C$13-1)*EXP(-0.5*(($A518-'Control Room'!$A$13-('Control Room'!$B$13-1)/2)/MAX(0.5,'Control Room'!$B$13/4))^2),1)*IF(AND($A518&gt;='Control Room'!$A$14,$A518&lt;'Control Room'!$A$14+'Control Room'!$B$14,'Process'!BP3=1),1+('Control Room'!$C$14-1)*EXP(-0.5*(($A518-'Control Room'!$A$14-('Control Room'!$B$14-1)/2)/MAX(0.5,'Control Room'!$B$14/4))^2),1)*IF(AND($A518&gt;='Control Room'!$A$15,$A518&lt;'Control Room'!$A$15+'Control Room'!$B$15,'Process'!BP4=1),1+('Control Room'!$C$15-1)*EXP(-0.5*(($A518-'Control Room'!$A$15-('Control Room'!$B$15-1)/2)/MAX(0.5,'Control Room'!$B$15/4))^2),1)*IF(AND($A518&gt;='Control Room'!$A$16,$A518&lt;'Control Room'!$A$16+'Control Room'!$B$16,'Process'!BP5=1),1+('Control Room'!$C$16-1)*EXP(-0.5*(($A518-'Control Room'!$A$16-('Control Room'!$B$16-1)/2)/MAX(0.5,'Control Room'!$B$16/4))^2),1)</x:f>
        <x:v>1</x:v>
      </x:c>
      <x:c r="AF518" s="9" t="n">
        <x:f>MOD(AG517*16807,2147483647)</x:f>
        <x:v>751242109</x:v>
      </x:c>
      <x:c r="AG518" s="9" t="n">
        <x:f>MOD(AF518*16807,2147483647)</x:f>
        <x:v>1069765250</x:v>
      </x:c>
      <x:c r="AH518" s="17" t="n">
        <x:f>IF('Control Room'!$B$5="Normal",'Control Room'!$B$7+'Control Room'!$D$7*SQRT(-2*LN(MAX(0.000000000001,AF518/2147483647)))*COS(2*PI()*AG518/2147483647),'Control Room'!$B$8+('Control Room'!$D$8-'Control Room'!$B$8)*AF518/2147483647)</x:f>
        <x:v>869.5663138002519</x:v>
      </x:c>
      <x:c r="AI518" s="17" t="n">
        <x:f>IF('Control Room'!$B$5="Normal",'Control Room'!$B$7,('Control Room'!$B$8+'Control Room'!$D$8)/2)+'Control Room'!$B$9*(AI517-IF('Control Room'!$B$5="Normal",'Control Room'!$B$7,('Control Room'!$B$8+'Control Room'!$D$8)/2))+SQRT(1-'Control Room'!$B$9^2)*(AH518-IF('Control Room'!$B$5="Normal",'Control Room'!$B$7,('Control Room'!$B$8+'Control Room'!$D$8)/2))</x:f>
        <x:v>907.1618965356406</x:v>
      </x:c>
      <x:c r="AJ518" s="17" t="n">
        <x:f>IF(AND($A518&gt;='Control Room'!$A$13,$A518&lt;'Control Room'!$A$13+'Control Room'!$B$13,'Process'!BQ2=1),1+('Control Room'!$C$13-1)*EXP(-0.5*(($A518-'Control Room'!$A$13-('Control Room'!$B$13-1)/2)/MAX(0.5,'Control Room'!$B$13/4))^2),1)*IF(AND($A518&gt;='Control Room'!$A$14,$A518&lt;'Control Room'!$A$14+'Control Room'!$B$14,'Process'!BQ3=1),1+('Control Room'!$C$14-1)*EXP(-0.5*(($A518-'Control Room'!$A$14-('Control Room'!$B$14-1)/2)/MAX(0.5,'Control Room'!$B$14/4))^2),1)*IF(AND($A518&gt;='Control Room'!$A$15,$A518&lt;'Control Room'!$A$15+'Control Room'!$B$15,'Process'!BQ4=1),1+('Control Room'!$C$15-1)*EXP(-0.5*(($A518-'Control Room'!$A$15-('Control Room'!$B$15-1)/2)/MAX(0.5,'Control Room'!$B$15/4))^2),1)*IF(AND($A518&gt;='Control Room'!$A$16,$A518&lt;'Control Room'!$A$16+'Control Room'!$B$16,'Process'!BQ5=1),1+('Control Room'!$C$16-1)*EXP(-0.5*(($A518-'Control Room'!$A$16-('Control Room'!$B$16-1)/2)/MAX(0.5,'Control Room'!$B$16/4))^2),1)</x:f>
        <x:v>1</x:v>
      </x:c>
      <x:c r="AK518" s="9" t="n">
        <x:f>MOD(AL517*16807,2147483647)</x:f>
        <x:v>1209634081</x:v>
      </x:c>
      <x:c r="AL518" s="9" t="n">
        <x:f>MOD(AK518*16807,2147483647)</x:f>
        <x:v>92313218</x:v>
      </x:c>
      <x:c r="AM518" s="17" t="n">
        <x:f>IF('Control Room'!$B$5="Normal",'Control Room'!$B$7+'Control Room'!$D$7*SQRT(-2*LN(MAX(0.000000000001,AK518/2147483647)))*COS(2*PI()*AL518/2147483647),'Control Room'!$B$8+('Control Room'!$D$8-'Control Room'!$B$8)*AK518/2147483647)</x:f>
        <x:v>1092.9325899025598</x:v>
      </x:c>
      <x:c r="AN518" s="17" t="n">
        <x:f>IF('Control Room'!$B$5="Normal",'Control Room'!$B$7,('Control Room'!$B$8+'Control Room'!$D$8)/2)+'Control Room'!$B$9*(AN517-IF('Control Room'!$B$5="Normal",'Control Room'!$B$7,('Control Room'!$B$8+'Control Room'!$D$8)/2))+SQRT(1-'Control Room'!$B$9^2)*(AM518-IF('Control Room'!$B$5="Normal",'Control Room'!$B$7,('Control Room'!$B$8+'Control Room'!$D$8)/2))</x:f>
        <x:v>1073.7844823332148</x:v>
      </x:c>
      <x:c r="AO518" s="17" t="n">
        <x:f>IF(AND($A518&gt;='Control Room'!$A$13,$A518&lt;'Control Room'!$A$13+'Control Room'!$B$13,'Process'!BR2=1),1+('Control Room'!$C$13-1)*EXP(-0.5*(($A518-'Control Room'!$A$13-('Control Room'!$B$13-1)/2)/MAX(0.5,'Control Room'!$B$13/4))^2),1)*IF(AND($A518&gt;='Control Room'!$A$14,$A518&lt;'Control Room'!$A$14+'Control Room'!$B$14,'Process'!BR3=1),1+('Control Room'!$C$14-1)*EXP(-0.5*(($A518-'Control Room'!$A$14-('Control Room'!$B$14-1)/2)/MAX(0.5,'Control Room'!$B$14/4))^2),1)*IF(AND($A518&gt;='Control Room'!$A$15,$A518&lt;'Control Room'!$A$15+'Control Room'!$B$15,'Process'!BR4=1),1+('Control Room'!$C$15-1)*EXP(-0.5*(($A518-'Control Room'!$A$15-('Control Room'!$B$15-1)/2)/MAX(0.5,'Control Room'!$B$15/4))^2),1)*IF(AND($A518&gt;='Control Room'!$A$16,$A518&lt;'Control Room'!$A$16+'Control Room'!$B$16,'Process'!BR5=1),1+('Control Room'!$C$16-1)*EXP(-0.5*(($A518-'Control Room'!$A$16-('Control Room'!$B$16-1)/2)/MAX(0.5,'Control Room'!$B$16/4))^2),1)</x:f>
        <x:v>1</x:v>
      </x:c>
      <x:c r="AP518" s="9" t="n">
        <x:f>MOD(AQ517*16807,2147483647)</x:f>
        <x:v>1668026053</x:v>
      </x:c>
      <x:c r="AQ518" s="9" t="n">
        <x:f>MOD(AP518*16807,2147483647)</x:f>
        <x:v>1262344833</x:v>
      </x:c>
      <x:c r="AR518" s="17" t="n">
        <x:f>IF('Control Room'!$B$5="Normal",'Control Room'!$B$7+'Control Room'!$D$7*SQRT(-2*LN(MAX(0.000000000001,AP518/2147483647)))*COS(2*PI()*AQ518/2147483647),'Control Room'!$B$8+('Control Room'!$D$8-'Control Room'!$B$8)*AP518/2147483647)</x:f>
        <x:v>945.519252944282</x:v>
      </x:c>
      <x:c r="AS518" s="17" t="n">
        <x:f>IF('Control Room'!$B$5="Normal",'Control Room'!$B$7,('Control Room'!$B$8+'Control Room'!$D$8)/2)+'Control Room'!$B$9*(AS517-IF('Control Room'!$B$5="Normal",'Control Room'!$B$7,('Control Room'!$B$8+'Control Room'!$D$8)/2))+SQRT(1-'Control Room'!$B$9^2)*(AR518-IF('Control Room'!$B$5="Normal",'Control Room'!$B$7,('Control Room'!$B$8+'Control Room'!$D$8)/2))</x:f>
        <x:v>1032.221559205597</x:v>
      </x:c>
      <x:c r="AT518" s="17" t="n">
        <x:f>IF(AND($A518&gt;='Control Room'!$A$13,$A518&lt;'Control Room'!$A$13+'Control Room'!$B$13,'Process'!BS2=1),1+('Control Room'!$C$13-1)*EXP(-0.5*(($A518-'Control Room'!$A$13-('Control Room'!$B$13-1)/2)/MAX(0.5,'Control Room'!$B$13/4))^2),1)*IF(AND($A518&gt;='Control Room'!$A$14,$A518&lt;'Control Room'!$A$14+'Control Room'!$B$14,'Process'!BS3=1),1+('Control Room'!$C$14-1)*EXP(-0.5*(($A518-'Control Room'!$A$14-('Control Room'!$B$14-1)/2)/MAX(0.5,'Control Room'!$B$14/4))^2),1)*IF(AND($A518&gt;='Control Room'!$A$15,$A518&lt;'Control Room'!$A$15+'Control Room'!$B$15,'Process'!BS4=1),1+('Control Room'!$C$15-1)*EXP(-0.5*(($A518-'Control Room'!$A$15-('Control Room'!$B$15-1)/2)/MAX(0.5,'Control Room'!$B$15/4))^2),1)*IF(AND($A518&gt;='Control Room'!$A$16,$A518&lt;'Control Room'!$A$16+'Control Room'!$B$16,'Process'!BS5=1),1+('Control Room'!$C$16-1)*EXP(-0.5*(($A518-'Control Room'!$A$16-('Control Room'!$B$16-1)/2)/MAX(0.5,'Control Room'!$B$16/4))^2),1)</x:f>
        <x:v>1</x:v>
      </x:c>
      <x:c r="AU518" s="9" t="n">
        <x:f>MOD(AV517*16807,2147483647)</x:f>
        <x:v>2126418025</x:v>
      </x:c>
      <x:c r="AV518" s="9" t="n">
        <x:f>MOD(AU518*16807,2147483647)</x:f>
        <x:v>284892801</x:v>
      </x:c>
      <x:c r="AW518" s="17" t="n">
        <x:f>IF('Control Room'!$B$5="Normal",'Control Room'!$B$7+'Control Room'!$D$7*SQRT(-2*LN(MAX(0.000000000001,AU518/2147483647)))*COS(2*PI()*AV518/2147483647),'Control Room'!$B$8+('Control Room'!$D$8-'Control Room'!$B$8)*AU518/2147483647)</x:f>
        <x:v>1008.4953508087935</x:v>
      </x:c>
      <x:c r="AX518" s="17" t="n">
        <x:f>IF('Control Room'!$B$5="Normal",'Control Room'!$B$7,('Control Room'!$B$8+'Control Room'!$D$8)/2)+'Control Room'!$B$9*(AX517-IF('Control Room'!$B$5="Normal",'Control Room'!$B$7,('Control Room'!$B$8+'Control Room'!$D$8)/2))+SQRT(1-'Control Room'!$B$9^2)*(AW518-IF('Control Room'!$B$5="Normal",'Control Room'!$B$7,('Control Room'!$B$8+'Control Room'!$D$8)/2))</x:f>
        <x:v>1031.9456304111236</x:v>
      </x:c>
      <x:c r="AY518" s="17" t="n">
        <x:f>IF(AND($A518&gt;='Control Room'!$A$13,$A518&lt;'Control Room'!$A$13+'Control Room'!$B$13,'Process'!BT2=1),1+('Control Room'!$C$13-1)*EXP(-0.5*(($A518-'Control Room'!$A$13-('Control Room'!$B$13-1)/2)/MAX(0.5,'Control Room'!$B$13/4))^2),1)*IF(AND($A518&gt;='Control Room'!$A$14,$A518&lt;'Control Room'!$A$14+'Control Room'!$B$14,'Process'!BT3=1),1+('Control Room'!$C$14-1)*EXP(-0.5*(($A518-'Control Room'!$A$14-('Control Room'!$B$14-1)/2)/MAX(0.5,'Control Room'!$B$14/4))^2),1)*IF(AND($A518&gt;='Control Room'!$A$15,$A518&lt;'Control Room'!$A$15+'Control Room'!$B$15,'Process'!BT4=1),1+('Control Room'!$C$15-1)*EXP(-0.5*(($A518-'Control Room'!$A$15-('Control Room'!$B$15-1)/2)/MAX(0.5,'Control Room'!$B$15/4))^2),1)*IF(AND($A518&gt;='Control Room'!$A$16,$A518&lt;'Control Room'!$A$16+'Control Room'!$B$16,'Process'!BT5=1),1+('Control Room'!$C$16-1)*EXP(-0.5*(($A518-'Control Room'!$A$16-('Control Room'!$B$16-1)/2)/MAX(0.5,'Control Room'!$B$16/4))^2),1)</x:f>
        <x:v>1</x:v>
      </x:c>
      <x:c r="AZ518" s="9" t="n">
        <x:f>MOD(BA517*16807,2147483647)</x:f>
        <x:v>437326350</x:v>
      </x:c>
      <x:c r="BA518" s="9" t="n">
        <x:f>MOD(AZ518*16807,2147483647)</x:f>
        <x:v>1454924416</x:v>
      </x:c>
      <x:c r="BB518" s="17" t="n">
        <x:f>IF('Control Room'!$B$5="Normal",'Control Room'!$B$7+'Control Room'!$D$7*SQRT(-2*LN(MAX(0.000000000001,AZ518/2147483647)))*COS(2*PI()*BA518/2147483647),'Control Room'!$B$8+('Control Room'!$D$8-'Control Room'!$B$8)*AZ518/2147483647)</x:f>
        <x:v>929.3641740366198</x:v>
      </x:c>
      <x:c r="BC518" s="17" t="n">
        <x:f>IF('Control Room'!$B$5="Normal",'Control Room'!$B$7,('Control Room'!$B$8+'Control Room'!$D$8)/2)+'Control Room'!$B$9*(BC517-IF('Control Room'!$B$5="Normal",'Control Room'!$B$7,('Control Room'!$B$8+'Control Room'!$D$8)/2))+SQRT(1-'Control Room'!$B$9^2)*(BB518-IF('Control Room'!$B$5="Normal",'Control Room'!$B$7,('Control Room'!$B$8+'Control Room'!$D$8)/2))</x:f>
        <x:v>904.7410667305902</x:v>
      </x:c>
      <x:c r="BD518" s="17" t="n">
        <x:f>IF(AND($A518&gt;='Control Room'!$A$13,$A518&lt;'Control Room'!$A$13+'Control Room'!$B$13,'Process'!BU2=1),1+('Control Room'!$C$13-1)*EXP(-0.5*(($A518-'Control Room'!$A$13-('Control Room'!$B$13-1)/2)/MAX(0.5,'Control Room'!$B$13/4))^2),1)*IF(AND($A518&gt;='Control Room'!$A$14,$A518&lt;'Control Room'!$A$14+'Control Room'!$B$14,'Process'!BU3=1),1+('Control Room'!$C$14-1)*EXP(-0.5*(($A518-'Control Room'!$A$14-('Control Room'!$B$14-1)/2)/MAX(0.5,'Control Room'!$B$14/4))^2),1)*IF(AND($A518&gt;='Control Room'!$A$15,$A518&lt;'Control Room'!$A$15+'Control Room'!$B$15,'Process'!BU4=1),1+('Control Room'!$C$15-1)*EXP(-0.5*(($A518-'Control Room'!$A$15-('Control Room'!$B$15-1)/2)/MAX(0.5,'Control Room'!$B$15/4))^2),1)*IF(AND($A518&gt;='Control Room'!$A$16,$A518&lt;'Control Room'!$A$16+'Control Room'!$B$16,'Process'!BU5=1),1+('Control Room'!$C$16-1)*EXP(-0.5*(($A518-'Control Room'!$A$16-('Control Room'!$B$16-1)/2)/MAX(0.5,'Control Room'!$B$16/4))^2),1)</x:f>
        <x:v>1</x:v>
      </x:c>
      <x:c r="BE518" s="9" t="n">
        <x:f>MOD(BF517*16807,2147483647)</x:f>
        <x:v>895718322</x:v>
      </x:c>
      <x:c r="BF518" s="9" t="n">
        <x:f>MOD(BE518*16807,2147483647)</x:f>
        <x:v>477472384</x:v>
      </x:c>
      <x:c r="BG518" s="17" t="n">
        <x:f>IF('Control Room'!$B$5="Normal",'Control Room'!$B$7+'Control Room'!$D$7*SQRT(-2*LN(MAX(0.000000000001,BE518/2147483647)))*COS(2*PI()*BF518/2147483647),'Control Room'!$B$8+('Control Room'!$D$8-'Control Room'!$B$8)*BE518/2147483647)</x:f>
        <x:v>1020.580520600115</x:v>
      </x:c>
      <x:c r="BH518" s="17" t="n">
        <x:f>IF('Control Room'!$B$5="Normal",'Control Room'!$B$7,('Control Room'!$B$8+'Control Room'!$D$8)/2)+'Control Room'!$B$9*(BH517-IF('Control Room'!$B$5="Normal",'Control Room'!$B$7,('Control Room'!$B$8+'Control Room'!$D$8)/2))+SQRT(1-'Control Room'!$B$9^2)*(BG518-IF('Control Room'!$B$5="Normal",'Control Room'!$B$7,('Control Room'!$B$8+'Control Room'!$D$8)/2))</x:f>
        <x:v>1172.833046138738</x:v>
      </x:c>
      <x:c r="BI518" s="17" t="n">
        <x:f>IF(AND($A518&gt;='Control Room'!$A$13,$A518&lt;'Control Room'!$A$13+'Control Room'!$B$13,'Process'!BV2=1),1+('Control Room'!$C$13-1)*EXP(-0.5*(($A518-'Control Room'!$A$13-('Control Room'!$B$13-1)/2)/MAX(0.5,'Control Room'!$B$13/4))^2),1)*IF(AND($A518&gt;='Control Room'!$A$14,$A518&lt;'Control Room'!$A$14+'Control Room'!$B$14,'Process'!BV3=1),1+('Control Room'!$C$14-1)*EXP(-0.5*(($A518-'Control Room'!$A$14-('Control Room'!$B$14-1)/2)/MAX(0.5,'Control Room'!$B$14/4))^2),1)*IF(AND($A518&gt;='Control Room'!$A$15,$A518&lt;'Control Room'!$A$15+'Control Room'!$B$15,'Process'!BV4=1),1+('Control Room'!$C$15-1)*EXP(-0.5*(($A518-'Control Room'!$A$15-('Control Room'!$B$15-1)/2)/MAX(0.5,'Control Room'!$B$15/4))^2),1)*IF(AND($A518&gt;='Control Room'!$A$16,$A518&lt;'Control Room'!$A$16+'Control Room'!$B$16,'Process'!BV5=1),1+('Control Room'!$C$16-1)*EXP(-0.5*(($A518-'Control Room'!$A$16-('Control Room'!$B$16-1)/2)/MAX(0.5,'Control Room'!$B$16/4))^2),1)</x:f>
        <x:v>1</x:v>
      </x:c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Z518" t="str">
        <x:f>IF('Data'!A518="","",TEXT('Data'!A518,"mm-dd"))</x:f>
      </x:c>
    </x:row>
    <x:row r="519" ht="21" customHeight="1">
      <x:c r="A519" s="15" t="n">
        <x:f>'Control Room'!$B$1+517</x:f>
        <x:v>73508</x:v>
      </x:c>
      <x:c r="B519" s="9" t="n">
        <x:f>MOD(C518*16807,2147483647)</x:f>
        <x:v>1677361357</x:v>
      </x:c>
      <x:c r="C519" s="9" t="n">
        <x:f>MOD(B519*16807,2147483647)</x:f>
        <x:v>1394492930</x:v>
      </x:c>
      <x:c r="D519" s="17" t="n">
        <x:f>IF('Control Room'!$B$5="Normal",'Control Room'!$B$7+'Control Room'!$D$7*SQRT(-2*LN(MAX(0.000000000001,B519/2147483647)))*COS(2*PI()*C519/2147483647),'Control Room'!$B$8+('Control Room'!$D$8-'Control Room'!$B$8)*B519/2147483647)</x:f>
        <x:v>962.6079811731312</x:v>
      </x:c>
      <x:c r="E519" s="17" t="n">
        <x:f>IF('Control Room'!$B$5="Normal",'Control Room'!$B$7,('Control Room'!$B$8+'Control Room'!$D$8)/2)+'Control Room'!$B$9*(E518-IF('Control Room'!$B$5="Normal",'Control Room'!$B$7,('Control Room'!$B$8+'Control Room'!$D$8)/2))+SQRT(1-'Control Room'!$B$9^2)*(D519-IF('Control Room'!$B$5="Normal",'Control Room'!$B$7,('Control Room'!$B$8+'Control Room'!$D$8)/2))</x:f>
        <x:v>1024.6481760421473</x:v>
      </x:c>
      <x:c r="F519" s="17" t="n">
        <x:f>IF(AND($A519&gt;='Control Room'!$A$13,$A519&lt;'Control Room'!$A$13+'Control Room'!$B$13,'Process'!BK2=1),1+('Control Room'!$C$13-1)*EXP(-0.5*(($A519-'Control Room'!$A$13-('Control Room'!$B$13-1)/2)/MAX(0.5,'Control Room'!$B$13/4))^2),1)*IF(AND($A519&gt;='Control Room'!$A$14,$A519&lt;'Control Room'!$A$14+'Control Room'!$B$14,'Process'!BK3=1),1+('Control Room'!$C$14-1)*EXP(-0.5*(($A519-'Control Room'!$A$14-('Control Room'!$B$14-1)/2)/MAX(0.5,'Control Room'!$B$14/4))^2),1)*IF(AND($A519&gt;='Control Room'!$A$15,$A519&lt;'Control Room'!$A$15+'Control Room'!$B$15,'Process'!BK4=1),1+('Control Room'!$C$15-1)*EXP(-0.5*(($A519-'Control Room'!$A$15-('Control Room'!$B$15-1)/2)/MAX(0.5,'Control Room'!$B$15/4))^2),1)*IF(AND($A519&gt;='Control Room'!$A$16,$A519&lt;'Control Room'!$A$16+'Control Room'!$B$16,'Process'!BK5=1),1+('Control Room'!$C$16-1)*EXP(-0.5*(($A519-'Control Room'!$A$16-('Control Room'!$B$16-1)/2)/MAX(0.5,'Control Room'!$B$16/4))^2),1)</x:f>
        <x:v>1</x:v>
      </x:c>
      <x:c r="G519" s="9" t="n">
        <x:f>MOD(H518*16807,2147483647)</x:f>
        <x:v>1890959083</x:v>
      </x:c>
      <x:c r="H519" s="9" t="n">
        <x:f>MOD(G519*16807,2147483647)</x:f>
        <x:v>738816028</x:v>
      </x:c>
      <x:c r="I519" s="17" t="n">
        <x:f>IF('Control Room'!$B$5="Normal",'Control Room'!$B$7+'Control Room'!$D$7*SQRT(-2*LN(MAX(0.000000000001,G519/2147483647)))*COS(2*PI()*H519/2147483647),'Control Room'!$B$8+('Control Room'!$D$8-'Control Room'!$B$8)*G519/2147483647)</x:f>
        <x:v>974.7107761005886</x:v>
      </x:c>
      <x:c r="J519" s="17" t="n">
        <x:f>IF('Control Room'!$B$5="Normal",'Control Room'!$B$7,('Control Room'!$B$8+'Control Room'!$D$8)/2)+'Control Room'!$B$9*(J518-IF('Control Room'!$B$5="Normal",'Control Room'!$B$7,('Control Room'!$B$8+'Control Room'!$D$8)/2))+SQRT(1-'Control Room'!$B$9^2)*(I519-IF('Control Room'!$B$5="Normal",'Control Room'!$B$7,('Control Room'!$B$8+'Control Room'!$D$8)/2))</x:f>
        <x:v>972.5537229789453</x:v>
      </x:c>
      <x:c r="K519" s="17" t="n">
        <x:f>IF(AND($A519&gt;='Control Room'!$A$13,$A519&lt;'Control Room'!$A$13+'Control Room'!$B$13,'Process'!BL2=1),1+('Control Room'!$C$13-1)*EXP(-0.5*(($A519-'Control Room'!$A$13-('Control Room'!$B$13-1)/2)/MAX(0.5,'Control Room'!$B$13/4))^2),1)*IF(AND($A519&gt;='Control Room'!$A$14,$A519&lt;'Control Room'!$A$14+'Control Room'!$B$14,'Process'!BL3=1),1+('Control Room'!$C$14-1)*EXP(-0.5*(($A519-'Control Room'!$A$14-('Control Room'!$B$14-1)/2)/MAX(0.5,'Control Room'!$B$14/4))^2),1)*IF(AND($A519&gt;='Control Room'!$A$15,$A519&lt;'Control Room'!$A$15+'Control Room'!$B$15,'Process'!BL4=1),1+('Control Room'!$C$15-1)*EXP(-0.5*(($A519-'Control Room'!$A$15-('Control Room'!$B$15-1)/2)/MAX(0.5,'Control Room'!$B$15/4))^2),1)*IF(AND($A519&gt;='Control Room'!$A$16,$A519&lt;'Control Room'!$A$16+'Control Room'!$B$16,'Process'!BL5=1),1+('Control Room'!$C$16-1)*EXP(-0.5*(($A519-'Control Room'!$A$16-('Control Room'!$B$16-1)/2)/MAX(0.5,'Control Room'!$B$16/4))^2),1)</x:f>
        <x:v>1</x:v>
      </x:c>
      <x:c r="L519" s="9" t="n">
        <x:f>MOD(M518*16807,2147483647)</x:f>
        <x:v>2104556809</x:v>
      </x:c>
      <x:c r="M519" s="9" t="n">
        <x:f>MOD(L519*16807,2147483647)</x:f>
        <x:v>83139126</x:v>
      </x:c>
      <x:c r="N519" s="17" t="n">
        <x:f>IF('Control Room'!$B$5="Normal",'Control Room'!$B$7+'Control Room'!$D$7*SQRT(-2*LN(MAX(0.000000000001,L519/2147483647)))*COS(2*PI()*M519/2147483647),'Control Room'!$B$8+('Control Room'!$D$8-'Control Room'!$B$8)*L519/2147483647)</x:f>
        <x:v>1017.5536732326848</x:v>
      </x:c>
      <x:c r="O519" s="17" t="n">
        <x:f>IF('Control Room'!$B$5="Normal",'Control Room'!$B$7,('Control Room'!$B$8+'Control Room'!$D$8)/2)+'Control Room'!$B$9*(O518-IF('Control Room'!$B$5="Normal",'Control Room'!$B$7,('Control Room'!$B$8+'Control Room'!$D$8)/2))+SQRT(1-'Control Room'!$B$9^2)*(N519-IF('Control Room'!$B$5="Normal",'Control Room'!$B$7,('Control Room'!$B$8+'Control Room'!$D$8)/2))</x:f>
        <x:v>1064.4912758220644</x:v>
      </x:c>
      <x:c r="P519" s="17" t="n">
        <x:f>IF(AND($A519&gt;='Control Room'!$A$13,$A519&lt;'Control Room'!$A$13+'Control Room'!$B$13,'Process'!BM2=1),1+('Control Room'!$C$13-1)*EXP(-0.5*(($A519-'Control Room'!$A$13-('Control Room'!$B$13-1)/2)/MAX(0.5,'Control Room'!$B$13/4))^2),1)*IF(AND($A519&gt;='Control Room'!$A$14,$A519&lt;'Control Room'!$A$14+'Control Room'!$B$14,'Process'!BM3=1),1+('Control Room'!$C$14-1)*EXP(-0.5*(($A519-'Control Room'!$A$14-('Control Room'!$B$14-1)/2)/MAX(0.5,'Control Room'!$B$14/4))^2),1)*IF(AND($A519&gt;='Control Room'!$A$15,$A519&lt;'Control Room'!$A$15+'Control Room'!$B$15,'Process'!BM4=1),1+('Control Room'!$C$15-1)*EXP(-0.5*(($A519-'Control Room'!$A$15-('Control Room'!$B$15-1)/2)/MAX(0.5,'Control Room'!$B$15/4))^2),1)*IF(AND($A519&gt;='Control Room'!$A$16,$A519&lt;'Control Room'!$A$16+'Control Room'!$B$16,'Process'!BM5=1),1+('Control Room'!$C$16-1)*EXP(-0.5*(($A519-'Control Room'!$A$16-('Control Room'!$B$16-1)/2)/MAX(0.5,'Control Room'!$B$16/4))^2),1)</x:f>
        <x:v>1</x:v>
      </x:c>
      <x:c r="Q519" s="9" t="n">
        <x:f>MOD(R518*16807,2147483647)</x:f>
        <x:v>170670888</x:v>
      </x:c>
      <x:c r="R519" s="9" t="n">
        <x:f>MOD(Q519*16807,2147483647)</x:f>
        <x:v>1574945871</x:v>
      </x:c>
      <x:c r="S519" s="17" t="n">
        <x:f>IF('Control Room'!$B$5="Normal",'Control Room'!$B$7+'Control Room'!$D$7*SQRT(-2*LN(MAX(0.000000000001,Q519/2147483647)))*COS(2*PI()*R519/2147483647),'Control Room'!$B$8+('Control Room'!$D$8-'Control Room'!$B$8)*Q519/2147483647)</x:f>
        <x:v>978.9019282123875</x:v>
      </x:c>
      <x:c r="T519" s="17" t="n">
        <x:f>IF('Control Room'!$B$5="Normal",'Control Room'!$B$7,('Control Room'!$B$8+'Control Room'!$D$8)/2)+'Control Room'!$B$9*(T518-IF('Control Room'!$B$5="Normal",'Control Room'!$B$7,('Control Room'!$B$8+'Control Room'!$D$8)/2))+SQRT(1-'Control Room'!$B$9^2)*(S519-IF('Control Room'!$B$5="Normal",'Control Room'!$B$7,('Control Room'!$B$8+'Control Room'!$D$8)/2))</x:f>
        <x:v>949.5954666474815</x:v>
      </x:c>
      <x:c r="U519" s="17" t="n">
        <x:f>IF(AND($A519&gt;='Control Room'!$A$13,$A519&lt;'Control Room'!$A$13+'Control Room'!$B$13,'Process'!BN2=1),1+('Control Room'!$C$13-1)*EXP(-0.5*(($A519-'Control Room'!$A$13-('Control Room'!$B$13-1)/2)/MAX(0.5,'Control Room'!$B$13/4))^2),1)*IF(AND($A519&gt;='Control Room'!$A$14,$A519&lt;'Control Room'!$A$14+'Control Room'!$B$14,'Process'!BN3=1),1+('Control Room'!$C$14-1)*EXP(-0.5*(($A519-'Control Room'!$A$14-('Control Room'!$B$14-1)/2)/MAX(0.5,'Control Room'!$B$14/4))^2),1)*IF(AND($A519&gt;='Control Room'!$A$15,$A519&lt;'Control Room'!$A$15+'Control Room'!$B$15,'Process'!BN4=1),1+('Control Room'!$C$15-1)*EXP(-0.5*(($A519-'Control Room'!$A$15-('Control Room'!$B$15-1)/2)/MAX(0.5,'Control Room'!$B$15/4))^2),1)*IF(AND($A519&gt;='Control Room'!$A$16,$A519&lt;'Control Room'!$A$16+'Control Room'!$B$16,'Process'!BN5=1),1+('Control Room'!$C$16-1)*EXP(-0.5*(($A519-'Control Room'!$A$16-('Control Room'!$B$16-1)/2)/MAX(0.5,'Control Room'!$B$16/4))^2),1)</x:f>
        <x:v>1</x:v>
      </x:c>
      <x:c r="V519" s="9" t="n">
        <x:f>MOD(W518*16807,2147483647)</x:f>
        <x:v>384268614</x:v>
      </x:c>
      <x:c r="W519" s="9" t="n">
        <x:f>MOD(V519*16807,2147483647)</x:f>
        <x:v>919268969</x:v>
      </x:c>
      <x:c r="X519" s="17" t="n">
        <x:f>IF('Control Room'!$B$5="Normal",'Control Room'!$B$7+'Control Room'!$D$7*SQRT(-2*LN(MAX(0.000000000001,V519/2147483647)))*COS(2*PI()*W519/2147483647),'Control Room'!$B$8+('Control Room'!$D$8-'Control Room'!$B$8)*V519/2147483647)</x:f>
        <x:v>849.8045110212407</x:v>
      </x:c>
      <x:c r="Y519" s="17" t="n">
        <x:f>IF('Control Room'!$B$5="Normal",'Control Room'!$B$7,('Control Room'!$B$8+'Control Room'!$D$8)/2)+'Control Room'!$B$9*(Y518-IF('Control Room'!$B$5="Normal",'Control Room'!$B$7,('Control Room'!$B$8+'Control Room'!$D$8)/2))+SQRT(1-'Control Room'!$B$9^2)*(X519-IF('Control Room'!$B$5="Normal",'Control Room'!$B$7,('Control Room'!$B$8+'Control Room'!$D$8)/2))</x:f>
        <x:v>969.6601898534917</x:v>
      </x:c>
      <x:c r="Z519" s="17" t="n">
        <x:f>IF(AND($A519&gt;='Control Room'!$A$13,$A519&lt;'Control Room'!$A$13+'Control Room'!$B$13,'Process'!BO2=1),1+('Control Room'!$C$13-1)*EXP(-0.5*(($A519-'Control Room'!$A$13-('Control Room'!$B$13-1)/2)/MAX(0.5,'Control Room'!$B$13/4))^2),1)*IF(AND($A519&gt;='Control Room'!$A$14,$A519&lt;'Control Room'!$A$14+'Control Room'!$B$14,'Process'!BO3=1),1+('Control Room'!$C$14-1)*EXP(-0.5*(($A519-'Control Room'!$A$14-('Control Room'!$B$14-1)/2)/MAX(0.5,'Control Room'!$B$14/4))^2),1)*IF(AND($A519&gt;='Control Room'!$A$15,$A519&lt;'Control Room'!$A$15+'Control Room'!$B$15,'Process'!BO4=1),1+('Control Room'!$C$15-1)*EXP(-0.5*(($A519-'Control Room'!$A$15-('Control Room'!$B$15-1)/2)/MAX(0.5,'Control Room'!$B$15/4))^2),1)*IF(AND($A519&gt;='Control Room'!$A$16,$A519&lt;'Control Room'!$A$16+'Control Room'!$B$16,'Process'!BO5=1),1+('Control Room'!$C$16-1)*EXP(-0.5*(($A519-'Control Room'!$A$16-('Control Room'!$B$16-1)/2)/MAX(0.5,'Control Room'!$B$16/4))^2),1)</x:f>
        <x:v>1</x:v>
      </x:c>
      <x:c r="AA519" s="9" t="n">
        <x:f>MOD(AB518*16807,2147483647)</x:f>
        <x:v>597866340</x:v>
      </x:c>
      <x:c r="AB519" s="9" t="n">
        <x:f>MOD(AA519*16807,2147483647)</x:f>
        <x:v>263592067</x:v>
      </x:c>
      <x:c r="AC519" s="17" t="n">
        <x:f>IF('Control Room'!$B$5="Normal",'Control Room'!$B$7+'Control Room'!$D$7*SQRT(-2*LN(MAX(0.000000000001,AA519/2147483647)))*COS(2*PI()*AB519/2147483647),'Control Room'!$B$8+('Control Room'!$D$8-'Control Room'!$B$8)*AA519/2147483647)</x:f>
        <x:v>1103.2029791584273</x:v>
      </x:c>
      <x:c r="AD519" s="17" t="n">
        <x:f>IF('Control Room'!$B$5="Normal",'Control Room'!$B$7,('Control Room'!$B$8+'Control Room'!$D$8)/2)+'Control Room'!$B$9*(AD518-IF('Control Room'!$B$5="Normal",'Control Room'!$B$7,('Control Room'!$B$8+'Control Room'!$D$8)/2))+SQRT(1-'Control Room'!$B$9^2)*(AC519-IF('Control Room'!$B$5="Normal",'Control Room'!$B$7,('Control Room'!$B$8+'Control Room'!$D$8)/2))</x:f>
        <x:v>1131.031240530971</x:v>
      </x:c>
      <x:c r="AE519" s="17" t="n">
        <x:f>IF(AND($A519&gt;='Control Room'!$A$13,$A519&lt;'Control Room'!$A$13+'Control Room'!$B$13,'Process'!BP2=1),1+('Control Room'!$C$13-1)*EXP(-0.5*(($A519-'Control Room'!$A$13-('Control Room'!$B$13-1)/2)/MAX(0.5,'Control Room'!$B$13/4))^2),1)*IF(AND($A519&gt;='Control Room'!$A$14,$A519&lt;'Control Room'!$A$14+'Control Room'!$B$14,'Process'!BP3=1),1+('Control Room'!$C$14-1)*EXP(-0.5*(($A519-'Control Room'!$A$14-('Control Room'!$B$14-1)/2)/MAX(0.5,'Control Room'!$B$14/4))^2),1)*IF(AND($A519&gt;='Control Room'!$A$15,$A519&lt;'Control Room'!$A$15+'Control Room'!$B$15,'Process'!BP4=1),1+('Control Room'!$C$15-1)*EXP(-0.5*(($A519-'Control Room'!$A$15-('Control Room'!$B$15-1)/2)/MAX(0.5,'Control Room'!$B$15/4))^2),1)*IF(AND($A519&gt;='Control Room'!$A$16,$A519&lt;'Control Room'!$A$16+'Control Room'!$B$16,'Process'!BP5=1),1+('Control Room'!$C$16-1)*EXP(-0.5*(($A519-'Control Room'!$A$16-('Control Room'!$B$16-1)/2)/MAX(0.5,'Control Room'!$B$16/4))^2),1)</x:f>
        <x:v>1</x:v>
      </x:c>
      <x:c r="AF519" s="9" t="n">
        <x:f>MOD(AG518*16807,2147483647)</x:f>
        <x:v>811464066</x:v>
      </x:c>
      <x:c r="AG519" s="9" t="n">
        <x:f>MOD(AF519*16807,2147483647)</x:f>
        <x:v>1755398812</x:v>
      </x:c>
      <x:c r="AH519" s="17" t="n">
        <x:f>IF('Control Room'!$B$5="Normal",'Control Room'!$B$7+'Control Room'!$D$7*SQRT(-2*LN(MAX(0.000000000001,AF519/2147483647)))*COS(2*PI()*AG519/2147483647),'Control Room'!$B$8+('Control Room'!$D$8-'Control Room'!$B$8)*AF519/2147483647)</x:f>
        <x:v>1051.6143067837313</x:v>
      </x:c>
      <x:c r="AI519" s="17" t="n">
        <x:f>IF('Control Room'!$B$5="Normal",'Control Room'!$B$7,('Control Room'!$B$8+'Control Room'!$D$8)/2)+'Control Room'!$B$9*(AI518-IF('Control Room'!$B$5="Normal",'Control Room'!$B$7,('Control Room'!$B$8+'Control Room'!$D$8)/2))+SQRT(1-'Control Room'!$B$9^2)*(AH519-IF('Control Room'!$B$5="Normal",'Control Room'!$B$7,('Control Room'!$B$8+'Control Room'!$D$8)/2))</x:f>
        <x:v>959.8854551065108</x:v>
      </x:c>
      <x:c r="AJ519" s="17" t="n">
        <x:f>IF(AND($A519&gt;='Control Room'!$A$13,$A519&lt;'Control Room'!$A$13+'Control Room'!$B$13,'Process'!BQ2=1),1+('Control Room'!$C$13-1)*EXP(-0.5*(($A519-'Control Room'!$A$13-('Control Room'!$B$13-1)/2)/MAX(0.5,'Control Room'!$B$13/4))^2),1)*IF(AND($A519&gt;='Control Room'!$A$14,$A519&lt;'Control Room'!$A$14+'Control Room'!$B$14,'Process'!BQ3=1),1+('Control Room'!$C$14-1)*EXP(-0.5*(($A519-'Control Room'!$A$14-('Control Room'!$B$14-1)/2)/MAX(0.5,'Control Room'!$B$14/4))^2),1)*IF(AND($A519&gt;='Control Room'!$A$15,$A519&lt;'Control Room'!$A$15+'Control Room'!$B$15,'Process'!BQ4=1),1+('Control Room'!$C$15-1)*EXP(-0.5*(($A519-'Control Room'!$A$15-('Control Room'!$B$15-1)/2)/MAX(0.5,'Control Room'!$B$15/4))^2),1)*IF(AND($A519&gt;='Control Room'!$A$16,$A519&lt;'Control Room'!$A$16+'Control Room'!$B$16,'Process'!BQ5=1),1+('Control Room'!$C$16-1)*EXP(-0.5*(($A519-'Control Room'!$A$16-('Control Room'!$B$16-1)/2)/MAX(0.5,'Control Room'!$B$16/4))^2),1)</x:f>
        <x:v>1</x:v>
      </x:c>
      <x:c r="AK519" s="9" t="n">
        <x:f>MOD(AL518*16807,2147483647)</x:f>
        <x:v>1025061792</x:v>
      </x:c>
      <x:c r="AL519" s="9" t="n">
        <x:f>MOD(AK519*16807,2147483647)</x:f>
        <x:v>1099721910</x:v>
      </x:c>
      <x:c r="AM519" s="17" t="n">
        <x:f>IF('Control Room'!$B$5="Normal",'Control Room'!$B$7+'Control Room'!$D$7*SQRT(-2*LN(MAX(0.000000000001,AK519/2147483647)))*COS(2*PI()*AL519/2147483647),'Control Room'!$B$8+('Control Room'!$D$8-'Control Room'!$B$8)*AK519/2147483647)</x:f>
        <x:v>890.8600931095987</x:v>
      </x:c>
      <x:c r="AN519" s="17" t="n">
        <x:f>IF('Control Room'!$B$5="Normal",'Control Room'!$B$7,('Control Room'!$B$8+'Control Room'!$D$8)/2)+'Control Room'!$B$9*(AN518-IF('Control Room'!$B$5="Normal",'Control Room'!$B$7,('Control Room'!$B$8+'Control Room'!$D$8)/2))+SQRT(1-'Control Room'!$B$9^2)*(AM519-IF('Control Room'!$B$5="Normal",'Control Room'!$B$7,('Control Room'!$B$8+'Control Room'!$D$8)/2))</x:f>
        <x:v>989.2543783404165</x:v>
      </x:c>
      <x:c r="AO519" s="17" t="n">
        <x:f>IF(AND($A519&gt;='Control Room'!$A$13,$A519&lt;'Control Room'!$A$13+'Control Room'!$B$13,'Process'!BR2=1),1+('Control Room'!$C$13-1)*EXP(-0.5*(($A519-'Control Room'!$A$13-('Control Room'!$B$13-1)/2)/MAX(0.5,'Control Room'!$B$13/4))^2),1)*IF(AND($A519&gt;='Control Room'!$A$14,$A519&lt;'Control Room'!$A$14+'Control Room'!$B$14,'Process'!BR3=1),1+('Control Room'!$C$14-1)*EXP(-0.5*(($A519-'Control Room'!$A$14-('Control Room'!$B$14-1)/2)/MAX(0.5,'Control Room'!$B$14/4))^2),1)*IF(AND($A519&gt;='Control Room'!$A$15,$A519&lt;'Control Room'!$A$15+'Control Room'!$B$15,'Process'!BR4=1),1+('Control Room'!$C$15-1)*EXP(-0.5*(($A519-'Control Room'!$A$15-('Control Room'!$B$15-1)/2)/MAX(0.5,'Control Room'!$B$15/4))^2),1)*IF(AND($A519&gt;='Control Room'!$A$16,$A519&lt;'Control Room'!$A$16+'Control Room'!$B$16,'Process'!BR5=1),1+('Control Room'!$C$16-1)*EXP(-0.5*(($A519-'Control Room'!$A$16-('Control Room'!$B$16-1)/2)/MAX(0.5,'Control Room'!$B$16/4))^2),1)</x:f>
        <x:v>1</x:v>
      </x:c>
      <x:c r="AP519" s="9" t="n">
        <x:f>MOD(AQ518*16807,2147483647)</x:f>
        <x:v>1238659518</x:v>
      </x:c>
      <x:c r="AQ519" s="9" t="n">
        <x:f>MOD(AP519*16807,2147483647)</x:f>
        <x:v>444045008</x:v>
      </x:c>
      <x:c r="AR519" s="17" t="n">
        <x:f>IF('Control Room'!$B$5="Normal",'Control Room'!$B$7+'Control Room'!$D$7*SQRT(-2*LN(MAX(0.000000000001,AP519/2147483647)))*COS(2*PI()*AQ519/2147483647),'Control Room'!$B$8+('Control Room'!$D$8-'Control Room'!$B$8)*AP519/2147483647)</x:f>
        <x:v>1025.3285949668498</x:v>
      </x:c>
      <x:c r="AS519" s="17" t="n">
        <x:f>IF('Control Room'!$B$5="Normal",'Control Room'!$B$7,('Control Room'!$B$8+'Control Room'!$D$8)/2)+'Control Room'!$B$9*(AS518-IF('Control Room'!$B$5="Normal",'Control Room'!$B$7,('Control Room'!$B$8+'Control Room'!$D$8)/2))+SQRT(1-'Control Room'!$B$9^2)*(AR519-IF('Control Room'!$B$5="Normal",'Control Room'!$B$7,('Control Room'!$B$8+'Control Room'!$D$8)/2))</x:f>
        <x:v>1040.9829320261483</x:v>
      </x:c>
      <x:c r="AT519" s="17" t="n">
        <x:f>IF(AND($A519&gt;='Control Room'!$A$13,$A519&lt;'Control Room'!$A$13+'Control Room'!$B$13,'Process'!BS2=1),1+('Control Room'!$C$13-1)*EXP(-0.5*(($A519-'Control Room'!$A$13-('Control Room'!$B$13-1)/2)/MAX(0.5,'Control Room'!$B$13/4))^2),1)*IF(AND($A519&gt;='Control Room'!$A$14,$A519&lt;'Control Room'!$A$14+'Control Room'!$B$14,'Process'!BS3=1),1+('Control Room'!$C$14-1)*EXP(-0.5*(($A519-'Control Room'!$A$14-('Control Room'!$B$14-1)/2)/MAX(0.5,'Control Room'!$B$14/4))^2),1)*IF(AND($A519&gt;='Control Room'!$A$15,$A519&lt;'Control Room'!$A$15+'Control Room'!$B$15,'Process'!BS4=1),1+('Control Room'!$C$15-1)*EXP(-0.5*(($A519-'Control Room'!$A$15-('Control Room'!$B$15-1)/2)/MAX(0.5,'Control Room'!$B$15/4))^2),1)*IF(AND($A519&gt;='Control Room'!$A$16,$A519&lt;'Control Room'!$A$16+'Control Room'!$B$16,'Process'!BS5=1),1+('Control Room'!$C$16-1)*EXP(-0.5*(($A519-'Control Room'!$A$16-('Control Room'!$B$16-1)/2)/MAX(0.5,'Control Room'!$B$16/4))^2),1)</x:f>
        <x:v>1</x:v>
      </x:c>
      <x:c r="AU519" s="9" t="n">
        <x:f>MOD(AV518*16807,2147483647)</x:f>
        <x:v>1452257244</x:v>
      </x:c>
      <x:c r="AV519" s="9" t="n">
        <x:f>MOD(AU519*16807,2147483647)</x:f>
        <x:v>1935851753</x:v>
      </x:c>
      <x:c r="AW519" s="17" t="n">
        <x:f>IF('Control Room'!$B$5="Normal",'Control Room'!$B$7+'Control Room'!$D$7*SQRT(-2*LN(MAX(0.000000000001,AU519/2147483647)))*COS(2*PI()*AV519/2147483647),'Control Room'!$B$8+('Control Room'!$D$8-'Control Room'!$B$8)*AU519/2147483647)</x:f>
        <x:v>1064.826392159061</x:v>
      </x:c>
      <x:c r="AX519" s="17" t="n">
        <x:f>IF('Control Room'!$B$5="Normal",'Control Room'!$B$7,('Control Room'!$B$8+'Control Room'!$D$8)/2)+'Control Room'!$B$9*(AX518-IF('Control Room'!$B$5="Normal",'Control Room'!$B$7,('Control Room'!$B$8+'Control Room'!$D$8)/2))+SQRT(1-'Control Room'!$B$9^2)*(AW519-IF('Control Room'!$B$5="Normal",'Control Room'!$B$7,('Control Room'!$B$8+'Control Room'!$D$8)/2))</x:f>
        <x:v>1065.4846198929881</x:v>
      </x:c>
      <x:c r="AY519" s="17" t="n">
        <x:f>IF(AND($A519&gt;='Control Room'!$A$13,$A519&lt;'Control Room'!$A$13+'Control Room'!$B$13,'Process'!BT2=1),1+('Control Room'!$C$13-1)*EXP(-0.5*(($A519-'Control Room'!$A$13-('Control Room'!$B$13-1)/2)/MAX(0.5,'Control Room'!$B$13/4))^2),1)*IF(AND($A519&gt;='Control Room'!$A$14,$A519&lt;'Control Room'!$A$14+'Control Room'!$B$14,'Process'!BT3=1),1+('Control Room'!$C$14-1)*EXP(-0.5*(($A519-'Control Room'!$A$14-('Control Room'!$B$14-1)/2)/MAX(0.5,'Control Room'!$B$14/4))^2),1)*IF(AND($A519&gt;='Control Room'!$A$15,$A519&lt;'Control Room'!$A$15+'Control Room'!$B$15,'Process'!BT4=1),1+('Control Room'!$C$15-1)*EXP(-0.5*(($A519-'Control Room'!$A$15-('Control Room'!$B$15-1)/2)/MAX(0.5,'Control Room'!$B$15/4))^2),1)*IF(AND($A519&gt;='Control Room'!$A$16,$A519&lt;'Control Room'!$A$16+'Control Room'!$B$16,'Process'!BT5=1),1+('Control Room'!$C$16-1)*EXP(-0.5*(($A519-'Control Room'!$A$16-('Control Room'!$B$16-1)/2)/MAX(0.5,'Control Room'!$B$16/4))^2),1)</x:f>
        <x:v>1</x:v>
      </x:c>
      <x:c r="AZ519" s="9" t="n">
        <x:f>MOD(BA518*16807,2147483647)</x:f>
        <x:v>1665854970</x:v>
      </x:c>
      <x:c r="BA519" s="9" t="n">
        <x:f>MOD(AZ519*16807,2147483647)</x:f>
        <x:v>1280174851</x:v>
      </x:c>
      <x:c r="BB519" s="17" t="n">
        <x:f>IF('Control Room'!$B$5="Normal",'Control Room'!$B$7+'Control Room'!$D$7*SQRT(-2*LN(MAX(0.000000000001,AZ519/2147483647)))*COS(2*PI()*BA519/2147483647),'Control Room'!$B$8+('Control Room'!$D$8-'Control Room'!$B$8)*AZ519/2147483647)</x:f>
        <x:v>947.2066853574454</x:v>
      </x:c>
      <x:c r="BC519" s="17" t="n">
        <x:f>IF('Control Room'!$B$5="Normal",'Control Room'!$B$7,('Control Room'!$B$8+'Control Room'!$D$8)/2)+'Control Room'!$B$9*(BC518-IF('Control Room'!$B$5="Normal",'Control Room'!$B$7,('Control Room'!$B$8+'Control Room'!$D$8)/2))+SQRT(1-'Control Room'!$B$9^2)*(BB519-IF('Control Room'!$B$5="Normal",'Control Room'!$B$7,('Control Room'!$B$8+'Control Room'!$D$8)/2))</x:f>
        <x:v>892.6610572763865</x:v>
      </x:c>
      <x:c r="BD519" s="17" t="n">
        <x:f>IF(AND($A519&gt;='Control Room'!$A$13,$A519&lt;'Control Room'!$A$13+'Control Room'!$B$13,'Process'!BU2=1),1+('Control Room'!$C$13-1)*EXP(-0.5*(($A519-'Control Room'!$A$13-('Control Room'!$B$13-1)/2)/MAX(0.5,'Control Room'!$B$13/4))^2),1)*IF(AND($A519&gt;='Control Room'!$A$14,$A519&lt;'Control Room'!$A$14+'Control Room'!$B$14,'Process'!BU3=1),1+('Control Room'!$C$14-1)*EXP(-0.5*(($A519-'Control Room'!$A$14-('Control Room'!$B$14-1)/2)/MAX(0.5,'Control Room'!$B$14/4))^2),1)*IF(AND($A519&gt;='Control Room'!$A$15,$A519&lt;'Control Room'!$A$15+'Control Room'!$B$15,'Process'!BU4=1),1+('Control Room'!$C$15-1)*EXP(-0.5*(($A519-'Control Room'!$A$15-('Control Room'!$B$15-1)/2)/MAX(0.5,'Control Room'!$B$15/4))^2),1)*IF(AND($A519&gt;='Control Room'!$A$16,$A519&lt;'Control Room'!$A$16+'Control Room'!$B$16,'Process'!BU5=1),1+('Control Room'!$C$16-1)*EXP(-0.5*(($A519-'Control Room'!$A$16-('Control Room'!$B$16-1)/2)/MAX(0.5,'Control Room'!$B$16/4))^2),1)</x:f>
        <x:v>1</x:v>
      </x:c>
      <x:c r="BE519" s="9" t="n">
        <x:f>MOD(BF518*16807,2147483647)</x:f>
        <x:v>1879452696</x:v>
      </x:c>
      <x:c r="BF519" s="9" t="n">
        <x:f>MOD(BE519*16807,2147483647)</x:f>
        <x:v>624497949</x:v>
      </x:c>
      <x:c r="BG519" s="17" t="n">
        <x:f>IF('Control Room'!$B$5="Normal",'Control Room'!$B$7+'Control Room'!$D$7*SQRT(-2*LN(MAX(0.000000000001,BE519/2147483647)))*COS(2*PI()*BF519/2147483647),'Control Room'!$B$8+('Control Room'!$D$8-'Control Room'!$B$8)*BE519/2147483647)</x:f>
        <x:v>988.2152951949063</x:v>
      </x:c>
      <x:c r="BH519" s="17" t="n">
        <x:f>IF('Control Room'!$B$5="Normal",'Control Room'!$B$7,('Control Room'!$B$8+'Control Room'!$D$8)/2)+'Control Room'!$B$9*(BH518-IF('Control Room'!$B$5="Normal",'Control Room'!$B$7,('Control Room'!$B$8+'Control Room'!$D$8)/2))+SQRT(1-'Control Room'!$B$9^2)*(BG519-IF('Control Room'!$B$5="Normal",'Control Room'!$B$7,('Control Room'!$B$8+'Control Room'!$D$8)/2))</x:f>
        <x:v>1127.4351491439884</x:v>
      </x:c>
      <x:c r="BI519" s="17" t="n">
        <x:f>IF(AND($A519&gt;='Control Room'!$A$13,$A519&lt;'Control Room'!$A$13+'Control Room'!$B$13,'Process'!BV2=1),1+('Control Room'!$C$13-1)*EXP(-0.5*(($A519-'Control Room'!$A$13-('Control Room'!$B$13-1)/2)/MAX(0.5,'Control Room'!$B$13/4))^2),1)*IF(AND($A519&gt;='Control Room'!$A$14,$A519&lt;'Control Room'!$A$14+'Control Room'!$B$14,'Process'!BV3=1),1+('Control Room'!$C$14-1)*EXP(-0.5*(($A519-'Control Room'!$A$14-('Control Room'!$B$14-1)/2)/MAX(0.5,'Control Room'!$B$14/4))^2),1)*IF(AND($A519&gt;='Control Room'!$A$15,$A519&lt;'Control Room'!$A$15+'Control Room'!$B$15,'Process'!BV4=1),1+('Control Room'!$C$15-1)*EXP(-0.5*(($A519-'Control Room'!$A$15-('Control Room'!$B$15-1)/2)/MAX(0.5,'Control Room'!$B$15/4))^2),1)*IF(AND($A519&gt;='Control Room'!$A$16,$A519&lt;'Control Room'!$A$16+'Control Room'!$B$16,'Process'!BV5=1),1+('Control Room'!$C$16-1)*EXP(-0.5*(($A519-'Control Room'!$A$16-('Control Room'!$B$16-1)/2)/MAX(0.5,'Control Room'!$B$16/4))^2),1)</x:f>
        <x:v>1</x:v>
      </x:c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Z519" t="str">
        <x:f>IF('Data'!A519="","",TEXT('Data'!A519,"mm-dd"))</x:f>
      </x:c>
    </x:row>
    <x:row r="520" ht="21" customHeight="1">
      <x:c r="A520" s="15" t="n">
        <x:f>'Control Room'!$B$1+518</x:f>
        <x:v>73509</x:v>
      </x:c>
      <x:c r="B520" s="9" t="n">
        <x:f>MOD(C519*16807,2147483647)</x:f>
        <x:v>1753634799</x:v>
      </x:c>
      <x:c r="C520" s="9" t="n">
        <x:f>MOD(B520*16807,2147483647)</x:f>
        <x:v>1274495365</x:v>
      </x:c>
      <x:c r="D520" s="17" t="n">
        <x:f>IF('Control Room'!$B$5="Normal",'Control Room'!$B$7+'Control Room'!$D$7*SQRT(-2*LN(MAX(0.000000000001,B520/2147483647)))*COS(2*PI()*C520/2147483647),'Control Room'!$B$8+('Control Room'!$D$8-'Control Room'!$B$8)*B520/2147483647)</x:f>
        <x:v>952.3112647935776</x:v>
      </x:c>
      <x:c r="E520" s="17" t="n">
        <x:f>IF('Control Room'!$B$5="Normal",'Control Room'!$B$7,('Control Room'!$B$8+'Control Room'!$D$8)/2)+'Control Room'!$B$9*(E519-IF('Control Room'!$B$5="Normal",'Control Room'!$B$7,('Control Room'!$B$8+'Control Room'!$D$8)/2))+SQRT(1-'Control Room'!$B$9^2)*(D520-IF('Control Room'!$B$5="Normal",'Control Room'!$B$7,('Control Room'!$B$8+'Control Room'!$D$8)/2))</x:f>
        <x:v>989.3829437775388</x:v>
      </x:c>
      <x:c r="F520" s="17" t="n">
        <x:f>IF(AND($A520&gt;='Control Room'!$A$13,$A520&lt;'Control Room'!$A$13+'Control Room'!$B$13,'Process'!BK2=1),1+('Control Room'!$C$13-1)*EXP(-0.5*(($A520-'Control Room'!$A$13-('Control Room'!$B$13-1)/2)/MAX(0.5,'Control Room'!$B$13/4))^2),1)*IF(AND($A520&gt;='Control Room'!$A$14,$A520&lt;'Control Room'!$A$14+'Control Room'!$B$14,'Process'!BK3=1),1+('Control Room'!$C$14-1)*EXP(-0.5*(($A520-'Control Room'!$A$14-('Control Room'!$B$14-1)/2)/MAX(0.5,'Control Room'!$B$14/4))^2),1)*IF(AND($A520&gt;='Control Room'!$A$15,$A520&lt;'Control Room'!$A$15+'Control Room'!$B$15,'Process'!BK4=1),1+('Control Room'!$C$15-1)*EXP(-0.5*(($A520-'Control Room'!$A$15-('Control Room'!$B$15-1)/2)/MAX(0.5,'Control Room'!$B$15/4))^2),1)*IF(AND($A520&gt;='Control Room'!$A$16,$A520&lt;'Control Room'!$A$16+'Control Room'!$B$16,'Process'!BK5=1),1+('Control Room'!$C$16-1)*EXP(-0.5*(($A520-'Control Room'!$A$16-('Control Room'!$B$16-1)/2)/MAX(0.5,'Control Room'!$B$16/4))^2),1)</x:f>
        <x:v>1</x:v>
      </x:c>
      <x:c r="G520" s="9" t="n">
        <x:f>MOD(H519*16807,2147483647)</x:f>
        <x:v>530535642</x:v>
      </x:c>
      <x:c r="H520" s="9" t="n">
        <x:f>MOD(G520*16807,2147483647)</x:f>
        <x:v>360432750</x:v>
      </x:c>
      <x:c r="I520" s="17" t="n">
        <x:f>IF('Control Room'!$B$5="Normal",'Control Room'!$B$7+'Control Room'!$D$7*SQRT(-2*LN(MAX(0.000000000001,G520/2147483647)))*COS(2*PI()*H520/2147483647),'Control Room'!$B$8+('Control Room'!$D$8-'Control Room'!$B$8)*G520/2147483647)</x:f>
        <x:v>1074.2874671177083</x:v>
      </x:c>
      <x:c r="J520" s="17" t="n">
        <x:f>IF('Control Room'!$B$5="Normal",'Control Room'!$B$7,('Control Room'!$B$8+'Control Room'!$D$8)/2)+'Control Room'!$B$9*(J519-IF('Control Room'!$B$5="Normal",'Control Room'!$B$7,('Control Room'!$B$8+'Control Room'!$D$8)/2))+SQRT(1-'Control Room'!$B$9^2)*(I520-IF('Control Room'!$B$5="Normal",'Control Room'!$B$7,('Control Room'!$B$8+'Control Room'!$D$8)/2))</x:f>
        <x:v>1025.0794789843546</x:v>
      </x:c>
      <x:c r="K520" s="17" t="n">
        <x:f>IF(AND($A520&gt;='Control Room'!$A$13,$A520&lt;'Control Room'!$A$13+'Control Room'!$B$13,'Process'!BL2=1),1+('Control Room'!$C$13-1)*EXP(-0.5*(($A520-'Control Room'!$A$13-('Control Room'!$B$13-1)/2)/MAX(0.5,'Control Room'!$B$13/4))^2),1)*IF(AND($A520&gt;='Control Room'!$A$14,$A520&lt;'Control Room'!$A$14+'Control Room'!$B$14,'Process'!BL3=1),1+('Control Room'!$C$14-1)*EXP(-0.5*(($A520-'Control Room'!$A$14-('Control Room'!$B$14-1)/2)/MAX(0.5,'Control Room'!$B$14/4))^2),1)*IF(AND($A520&gt;='Control Room'!$A$15,$A520&lt;'Control Room'!$A$15+'Control Room'!$B$15,'Process'!BL4=1),1+('Control Room'!$C$15-1)*EXP(-0.5*(($A520-'Control Room'!$A$15-('Control Room'!$B$15-1)/2)/MAX(0.5,'Control Room'!$B$15/4))^2),1)*IF(AND($A520&gt;='Control Room'!$A$16,$A520&lt;'Control Room'!$A$16+'Control Room'!$B$16,'Process'!BL5=1),1+('Control Room'!$C$16-1)*EXP(-0.5*(($A520-'Control Room'!$A$16-('Control Room'!$B$16-1)/2)/MAX(0.5,'Control Room'!$B$16/4))^2),1)</x:f>
        <x:v>1</x:v>
      </x:c>
      <x:c r="L520" s="9" t="n">
        <x:f>MOD(M519*16807,2147483647)</x:f>
        <x:v>1454920132</x:v>
      </x:c>
      <x:c r="M520" s="9" t="n">
        <x:f>MOD(L520*16807,2147483647)</x:f>
        <x:v>1593853782</x:v>
      </x:c>
      <x:c r="N520" s="17" t="n">
        <x:f>IF('Control Room'!$B$5="Normal",'Control Room'!$B$7+'Control Room'!$D$7*SQRT(-2*LN(MAX(0.000000000001,L520/2147483647)))*COS(2*PI()*M520/2147483647),'Control Room'!$B$8+('Control Room'!$D$8-'Control Room'!$B$8)*L520/2147483647)</x:f>
        <x:v>996.1073256310414</x:v>
      </x:c>
      <x:c r="O520" s="17" t="n">
        <x:f>IF('Control Room'!$B$5="Normal",'Control Room'!$B$7,('Control Room'!$B$8+'Control Room'!$D$8)/2)+'Control Room'!$B$9*(O519-IF('Control Room'!$B$5="Normal",'Control Room'!$B$7,('Control Room'!$B$8+'Control Room'!$D$8)/2))+SQRT(1-'Control Room'!$B$9^2)*(N520-IF('Control Room'!$B$5="Normal",'Control Room'!$B$7,('Control Room'!$B$8+'Control Room'!$D$8)/2))</x:f>
        <x:v>1047.8672392668848</x:v>
      </x:c>
      <x:c r="P520" s="17" t="n">
        <x:f>IF(AND($A520&gt;='Control Room'!$A$13,$A520&lt;'Control Room'!$A$13+'Control Room'!$B$13,'Process'!BM2=1),1+('Control Room'!$C$13-1)*EXP(-0.5*(($A520-'Control Room'!$A$13-('Control Room'!$B$13-1)/2)/MAX(0.5,'Control Room'!$B$13/4))^2),1)*IF(AND($A520&gt;='Control Room'!$A$14,$A520&lt;'Control Room'!$A$14+'Control Room'!$B$14,'Process'!BM3=1),1+('Control Room'!$C$14-1)*EXP(-0.5*(($A520-'Control Room'!$A$14-('Control Room'!$B$14-1)/2)/MAX(0.5,'Control Room'!$B$14/4))^2),1)*IF(AND($A520&gt;='Control Room'!$A$15,$A520&lt;'Control Room'!$A$15+'Control Room'!$B$15,'Process'!BM4=1),1+('Control Room'!$C$15-1)*EXP(-0.5*(($A520-'Control Room'!$A$15-('Control Room'!$B$15-1)/2)/MAX(0.5,'Control Room'!$B$15/4))^2),1)*IF(AND($A520&gt;='Control Room'!$A$16,$A520&lt;'Control Room'!$A$16+'Control Room'!$B$16,'Process'!BM5=1),1+('Control Room'!$C$16-1)*EXP(-0.5*(($A520-'Control Room'!$A$16-('Control Room'!$B$16-1)/2)/MAX(0.5,'Control Room'!$B$16/4))^2),1)</x:f>
        <x:v>1</x:v>
      </x:c>
      <x:c r="Q520" s="9" t="n">
        <x:f>MOD(R519*16807,2147483647)</x:f>
        <x:v>231820975</x:v>
      </x:c>
      <x:c r="R520" s="9" t="n">
        <x:f>MOD(Q520*16807,2147483647)</x:f>
        <x:v>679791167</x:v>
      </x:c>
      <x:c r="S520" s="17" t="n">
        <x:f>IF('Control Room'!$B$5="Normal",'Control Room'!$B$7+'Control Room'!$D$7*SQRT(-2*LN(MAX(0.000000000001,Q520/2147483647)))*COS(2*PI()*R520/2147483647),'Control Room'!$B$8+('Control Room'!$D$8-'Control Room'!$B$8)*Q520/2147483647)</x:f>
        <x:v>922.8846173173181</x:v>
      </x:c>
      <x:c r="T520" s="17" t="n">
        <x:f>IF('Control Room'!$B$5="Normal",'Control Room'!$B$7,('Control Room'!$B$8+'Control Room'!$D$8)/2)+'Control Room'!$B$9*(T519-IF('Control Room'!$B$5="Normal",'Control Room'!$B$7,('Control Room'!$B$8+'Control Room'!$D$8)/2))+SQRT(1-'Control Room'!$B$9^2)*(S520-IF('Control Room'!$B$5="Normal",'Control Room'!$B$7,('Control Room'!$B$8+'Control Room'!$D$8)/2))</x:f>
        <x:v>912.427237296697</x:v>
      </x:c>
      <x:c r="U520" s="17" t="n">
        <x:f>IF(AND($A520&gt;='Control Room'!$A$13,$A520&lt;'Control Room'!$A$13+'Control Room'!$B$13,'Process'!BN2=1),1+('Control Room'!$C$13-1)*EXP(-0.5*(($A520-'Control Room'!$A$13-('Control Room'!$B$13-1)/2)/MAX(0.5,'Control Room'!$B$13/4))^2),1)*IF(AND($A520&gt;='Control Room'!$A$14,$A520&lt;'Control Room'!$A$14+'Control Room'!$B$14,'Process'!BN3=1),1+('Control Room'!$C$14-1)*EXP(-0.5*(($A520-'Control Room'!$A$14-('Control Room'!$B$14-1)/2)/MAX(0.5,'Control Room'!$B$14/4))^2),1)*IF(AND($A520&gt;='Control Room'!$A$15,$A520&lt;'Control Room'!$A$15+'Control Room'!$B$15,'Process'!BN4=1),1+('Control Room'!$C$15-1)*EXP(-0.5*(($A520-'Control Room'!$A$15-('Control Room'!$B$15-1)/2)/MAX(0.5,'Control Room'!$B$15/4))^2),1)*IF(AND($A520&gt;='Control Room'!$A$16,$A520&lt;'Control Room'!$A$16+'Control Room'!$B$16,'Process'!BN5=1),1+('Control Room'!$C$16-1)*EXP(-0.5*(($A520-'Control Room'!$A$16-('Control Room'!$B$16-1)/2)/MAX(0.5,'Control Room'!$B$16/4))^2),1)</x:f>
        <x:v>1</x:v>
      </x:c>
      <x:c r="V520" s="9" t="n">
        <x:f>MOD(W519*16807,2147483647)</x:f>
        <x:v>1156205465</x:v>
      </x:c>
      <x:c r="W520" s="9" t="n">
        <x:f>MOD(V520*16807,2147483647)</x:f>
        <x:v>1913212199</x:v>
      </x:c>
      <x:c r="X520" s="17" t="n">
        <x:f>IF('Control Room'!$B$5="Normal",'Control Room'!$B$7+'Control Room'!$D$7*SQRT(-2*LN(MAX(0.000000000001,V520/2147483647)))*COS(2*PI()*W520/2147483647),'Control Room'!$B$8+('Control Room'!$D$8-'Control Room'!$B$8)*V520/2147483647)</x:f>
        <x:v>1077.5311952426212</x:v>
      </x:c>
      <x:c r="Y520" s="17" t="n">
        <x:f>IF('Control Room'!$B$5="Normal",'Control Room'!$B$7,('Control Room'!$B$8+'Control Room'!$D$8)/2)+'Control Room'!$B$9*(Y519-IF('Control Room'!$B$5="Normal",'Control Room'!$B$7,('Control Room'!$B$8+'Control Room'!$D$8)/2))+SQRT(1-'Control Room'!$B$9^2)*(X520-IF('Control Room'!$B$5="Normal",'Control Room'!$B$7,('Control Room'!$B$8+'Control Room'!$D$8)/2))</x:f>
        <x:v>1024.8523817556888</x:v>
      </x:c>
      <x:c r="Z520" s="17" t="n">
        <x:f>IF(AND($A520&gt;='Control Room'!$A$13,$A520&lt;'Control Room'!$A$13+'Control Room'!$B$13,'Process'!BO2=1),1+('Control Room'!$C$13-1)*EXP(-0.5*(($A520-'Control Room'!$A$13-('Control Room'!$B$13-1)/2)/MAX(0.5,'Control Room'!$B$13/4))^2),1)*IF(AND($A520&gt;='Control Room'!$A$14,$A520&lt;'Control Room'!$A$14+'Control Room'!$B$14,'Process'!BO3=1),1+('Control Room'!$C$14-1)*EXP(-0.5*(($A520-'Control Room'!$A$14-('Control Room'!$B$14-1)/2)/MAX(0.5,'Control Room'!$B$14/4))^2),1)*IF(AND($A520&gt;='Control Room'!$A$15,$A520&lt;'Control Room'!$A$15+'Control Room'!$B$15,'Process'!BO4=1),1+('Control Room'!$C$15-1)*EXP(-0.5*(($A520-'Control Room'!$A$15-('Control Room'!$B$15-1)/2)/MAX(0.5,'Control Room'!$B$15/4))^2),1)*IF(AND($A520&gt;='Control Room'!$A$16,$A520&lt;'Control Room'!$A$16+'Control Room'!$B$16,'Process'!BO5=1),1+('Control Room'!$C$16-1)*EXP(-0.5*(($A520-'Control Room'!$A$16-('Control Room'!$B$16-1)/2)/MAX(0.5,'Control Room'!$B$16/4))^2),1)</x:f>
        <x:v>1</x:v>
      </x:c>
      <x:c r="AA520" s="9" t="n">
        <x:f>MOD(AB519*16807,2147483647)</x:f>
        <x:v>2080589955</x:v>
      </x:c>
      <x:c r="AB520" s="9" t="n">
        <x:f>MOD(AA520*16807,2147483647)</x:f>
        <x:v>999149584</x:v>
      </x:c>
      <x:c r="AC520" s="17" t="n">
        <x:f>IF('Control Room'!$B$5="Normal",'Control Room'!$B$7+'Control Room'!$D$7*SQRT(-2*LN(MAX(0.000000000001,AA520/2147483647)))*COS(2*PI()*AB520/2147483647),'Control Room'!$B$8+('Control Room'!$D$8-'Control Room'!$B$8)*AA520/2147483647)</x:f>
        <x:v>977.8952355542422</x:v>
      </x:c>
      <x:c r="AD520" s="17" t="n">
        <x:f>IF('Control Room'!$B$5="Normal",'Control Room'!$B$7,('Control Room'!$B$8+'Control Room'!$D$8)/2)+'Control Room'!$B$9*(AD519-IF('Control Room'!$B$5="Normal",'Control Room'!$B$7,('Control Room'!$B$8+'Control Room'!$D$8)/2))+SQRT(1-'Control Room'!$B$9^2)*(AC520-IF('Control Room'!$B$5="Normal",'Control Room'!$B$7,('Control Room'!$B$8+'Control Room'!$D$8)/2))</x:f>
        <x:v>1088.371658864716</x:v>
      </x:c>
      <x:c r="AE520" s="17" t="n">
        <x:f>IF(AND($A520&gt;='Control Room'!$A$13,$A520&lt;'Control Room'!$A$13+'Control Room'!$B$13,'Process'!BP2=1),1+('Control Room'!$C$13-1)*EXP(-0.5*(($A520-'Control Room'!$A$13-('Control Room'!$B$13-1)/2)/MAX(0.5,'Control Room'!$B$13/4))^2),1)*IF(AND($A520&gt;='Control Room'!$A$14,$A520&lt;'Control Room'!$A$14+'Control Room'!$B$14,'Process'!BP3=1),1+('Control Room'!$C$14-1)*EXP(-0.5*(($A520-'Control Room'!$A$14-('Control Room'!$B$14-1)/2)/MAX(0.5,'Control Room'!$B$14/4))^2),1)*IF(AND($A520&gt;='Control Room'!$A$15,$A520&lt;'Control Room'!$A$15+'Control Room'!$B$15,'Process'!BP4=1),1+('Control Room'!$C$15-1)*EXP(-0.5*(($A520-'Control Room'!$A$15-('Control Room'!$B$15-1)/2)/MAX(0.5,'Control Room'!$B$15/4))^2),1)*IF(AND($A520&gt;='Control Room'!$A$16,$A520&lt;'Control Room'!$A$16+'Control Room'!$B$16,'Process'!BP5=1),1+('Control Room'!$C$16-1)*EXP(-0.5*(($A520-'Control Room'!$A$16-('Control Room'!$B$16-1)/2)/MAX(0.5,'Control Room'!$B$16/4))^2),1)</x:f>
        <x:v>1</x:v>
      </x:c>
      <x:c r="AF520" s="9" t="n">
        <x:f>MOD(AG519*16807,2147483647)</x:f>
        <x:v>857490798</x:v>
      </x:c>
      <x:c r="AG520" s="9" t="n">
        <x:f>MOD(AF520*16807,2147483647)</x:f>
        <x:v>85086969</x:v>
      </x:c>
      <x:c r="AH520" s="17" t="n">
        <x:f>IF('Control Room'!$B$5="Normal",'Control Room'!$B$7+'Control Room'!$D$7*SQRT(-2*LN(MAX(0.000000000001,AF520/2147483647)))*COS(2*PI()*AG520/2147483647),'Control Room'!$B$8+('Control Room'!$D$8-'Control Room'!$B$8)*AF520/2147483647)</x:f>
        <x:v>1118.1923408709265</x:v>
      </x:c>
      <x:c r="AI520" s="17" t="n">
        <x:f>IF('Control Room'!$B$5="Normal",'Control Room'!$B$7,('Control Room'!$B$8+'Control Room'!$D$8)/2)+'Control Room'!$B$9*(AI519-IF('Control Room'!$B$5="Normal",'Control Room'!$B$7,('Control Room'!$B$8+'Control Room'!$D$8)/2))+SQRT(1-'Control Room'!$B$9^2)*(AH520-IF('Control Room'!$B$5="Normal",'Control Room'!$B$7,('Control Room'!$B$8+'Control Room'!$D$8)/2))</x:f>
        <x:v>1042.673000598392</x:v>
      </x:c>
      <x:c r="AJ520" s="17" t="n">
        <x:f>IF(AND($A520&gt;='Control Room'!$A$13,$A520&lt;'Control Room'!$A$13+'Control Room'!$B$13,'Process'!BQ2=1),1+('Control Room'!$C$13-1)*EXP(-0.5*(($A520-'Control Room'!$A$13-('Control Room'!$B$13-1)/2)/MAX(0.5,'Control Room'!$B$13/4))^2),1)*IF(AND($A520&gt;='Control Room'!$A$14,$A520&lt;'Control Room'!$A$14+'Control Room'!$B$14,'Process'!BQ3=1),1+('Control Room'!$C$14-1)*EXP(-0.5*(($A520-'Control Room'!$A$14-('Control Room'!$B$14-1)/2)/MAX(0.5,'Control Room'!$B$14/4))^2),1)*IF(AND($A520&gt;='Control Room'!$A$15,$A520&lt;'Control Room'!$A$15+'Control Room'!$B$15,'Process'!BQ4=1),1+('Control Room'!$C$15-1)*EXP(-0.5*(($A520-'Control Room'!$A$15-('Control Room'!$B$15-1)/2)/MAX(0.5,'Control Room'!$B$15/4))^2),1)*IF(AND($A520&gt;='Control Room'!$A$16,$A520&lt;'Control Room'!$A$16+'Control Room'!$B$16,'Process'!BQ5=1),1+('Control Room'!$C$16-1)*EXP(-0.5*(($A520-'Control Room'!$A$16-('Control Room'!$B$16-1)/2)/MAX(0.5,'Control Room'!$B$16/4))^2),1)</x:f>
        <x:v>1</x:v>
      </x:c>
      <x:c r="AK520" s="9" t="n">
        <x:f>MOD(AL519*16807,2147483647)</x:f>
        <x:v>1781875288</x:v>
      </x:c>
      <x:c r="AL520" s="9" t="n">
        <x:f>MOD(AK520*16807,2147483647)</x:f>
        <x:v>1318508001</x:v>
      </x:c>
      <x:c r="AM520" s="17" t="n">
        <x:f>IF('Control Room'!$B$5="Normal",'Control Room'!$B$7+'Control Room'!$D$7*SQRT(-2*LN(MAX(0.000000000001,AK520/2147483647)))*COS(2*PI()*AL520/2147483647),'Control Room'!$B$8+('Control Room'!$D$8-'Control Room'!$B$8)*AK520/2147483647)</x:f>
        <x:v>958.5220990421925</x:v>
      </x:c>
      <x:c r="AN520" s="17" t="n">
        <x:f>IF('Control Room'!$B$5="Normal",'Control Room'!$B$7,('Control Room'!$B$8+'Control Room'!$D$8)/2)+'Control Room'!$B$9*(AN519-IF('Control Room'!$B$5="Normal",'Control Room'!$B$7,('Control Room'!$B$8+'Control Room'!$D$8)/2))+SQRT(1-'Control Room'!$B$9^2)*(AM520-IF('Control Room'!$B$5="Normal",'Control Room'!$B$7,('Control Room'!$B$8+'Control Room'!$D$8)/2))</x:f>
        <x:v>965.6623944071165</x:v>
      </x:c>
      <x:c r="AO520" s="17" t="n">
        <x:f>IF(AND($A520&gt;='Control Room'!$A$13,$A520&lt;'Control Room'!$A$13+'Control Room'!$B$13,'Process'!BR2=1),1+('Control Room'!$C$13-1)*EXP(-0.5*(($A520-'Control Room'!$A$13-('Control Room'!$B$13-1)/2)/MAX(0.5,'Control Room'!$B$13/4))^2),1)*IF(AND($A520&gt;='Control Room'!$A$14,$A520&lt;'Control Room'!$A$14+'Control Room'!$B$14,'Process'!BR3=1),1+('Control Room'!$C$14-1)*EXP(-0.5*(($A520-'Control Room'!$A$14-('Control Room'!$B$14-1)/2)/MAX(0.5,'Control Room'!$B$14/4))^2),1)*IF(AND($A520&gt;='Control Room'!$A$15,$A520&lt;'Control Room'!$A$15+'Control Room'!$B$15,'Process'!BR4=1),1+('Control Room'!$C$15-1)*EXP(-0.5*(($A520-'Control Room'!$A$15-('Control Room'!$B$15-1)/2)/MAX(0.5,'Control Room'!$B$15/4))^2),1)*IF(AND($A520&gt;='Control Room'!$A$16,$A520&lt;'Control Room'!$A$16+'Control Room'!$B$16,'Process'!BR5=1),1+('Control Room'!$C$16-1)*EXP(-0.5*(($A520-'Control Room'!$A$16-('Control Room'!$B$16-1)/2)/MAX(0.5,'Control Room'!$B$16/4))^2),1)</x:f>
        <x:v>1</x:v>
      </x:c>
      <x:c r="AP520" s="9" t="n">
        <x:f>MOD(AQ519*16807,2147483647)</x:f>
        <x:v>558776131</x:v>
      </x:c>
      <x:c r="AQ520" s="9" t="n">
        <x:f>MOD(AP520*16807,2147483647)</x:f>
        <x:v>404445386</x:v>
      </x:c>
      <x:c r="AR520" s="17" t="n">
        <x:f>IF('Control Room'!$B$5="Normal",'Control Room'!$B$7+'Control Room'!$D$7*SQRT(-2*LN(MAX(0.000000000001,AP520/2147483647)))*COS(2*PI()*AQ520/2147483647),'Control Room'!$B$8+('Control Room'!$D$8-'Control Room'!$B$8)*AP520/2147483647)</x:f>
        <x:v>1055.7994058585932</x:v>
      </x:c>
      <x:c r="AS520" s="17" t="n">
        <x:f>IF('Control Room'!$B$5="Normal",'Control Room'!$B$7,('Control Room'!$B$8+'Control Room'!$D$8)/2)+'Control Room'!$B$9*(AS519-IF('Control Room'!$B$5="Normal",'Control Room'!$B$7,('Control Room'!$B$8+'Control Room'!$D$8)/2))+SQRT(1-'Control Room'!$B$9^2)*(AR520-IF('Control Room'!$B$5="Normal",'Control Room'!$B$7,('Control Room'!$B$8+'Control Room'!$D$8)/2))</x:f>
        <x:v>1066.8848120537407</x:v>
      </x:c>
      <x:c r="AT520" s="17" t="n">
        <x:f>IF(AND($A520&gt;='Control Room'!$A$13,$A520&lt;'Control Room'!$A$13+'Control Room'!$B$13,'Process'!BS2=1),1+('Control Room'!$C$13-1)*EXP(-0.5*(($A520-'Control Room'!$A$13-('Control Room'!$B$13-1)/2)/MAX(0.5,'Control Room'!$B$13/4))^2),1)*IF(AND($A520&gt;='Control Room'!$A$14,$A520&lt;'Control Room'!$A$14+'Control Room'!$B$14,'Process'!BS3=1),1+('Control Room'!$C$14-1)*EXP(-0.5*(($A520-'Control Room'!$A$14-('Control Room'!$B$14-1)/2)/MAX(0.5,'Control Room'!$B$14/4))^2),1)*IF(AND($A520&gt;='Control Room'!$A$15,$A520&lt;'Control Room'!$A$15+'Control Room'!$B$15,'Process'!BS4=1),1+('Control Room'!$C$15-1)*EXP(-0.5*(($A520-'Control Room'!$A$15-('Control Room'!$B$15-1)/2)/MAX(0.5,'Control Room'!$B$15/4))^2),1)*IF(AND($A520&gt;='Control Room'!$A$16,$A520&lt;'Control Room'!$A$16+'Control Room'!$B$16,'Process'!BS5=1),1+('Control Room'!$C$16-1)*EXP(-0.5*(($A520-'Control Room'!$A$16-('Control Room'!$B$16-1)/2)/MAX(0.5,'Control Room'!$B$16/4))^2),1)</x:f>
        <x:v>1</x:v>
      </x:c>
      <x:c r="AU520" s="9" t="n">
        <x:f>MOD(AV519*16807,2147483647)</x:f>
        <x:v>1483160621</x:v>
      </x:c>
      <x:c r="AV520" s="9" t="n">
        <x:f>MOD(AU520*16807,2147483647)</x:f>
        <x:v>1637866418</x:v>
      </x:c>
      <x:c r="AW520" s="17" t="n">
        <x:f>IF('Control Room'!$B$5="Normal",'Control Room'!$B$7+'Control Room'!$D$7*SQRT(-2*LN(MAX(0.000000000001,AU520/2147483647)))*COS(2*PI()*AV520/2147483647),'Control Room'!$B$8+('Control Room'!$D$8-'Control Room'!$B$8)*AU520/2147483647)</x:f>
        <x:v>1006.168001414774</x:v>
      </x:c>
      <x:c r="AX520" s="17" t="n">
        <x:f>IF('Control Room'!$B$5="Normal",'Control Room'!$B$7,('Control Room'!$B$8+'Control Room'!$D$8)/2)+'Control Room'!$B$9*(AX519-IF('Control Room'!$B$5="Normal",'Control Room'!$B$7,('Control Room'!$B$8+'Control Room'!$D$8)/2))+SQRT(1-'Control Room'!$B$9^2)*(AW520-IF('Control Room'!$B$5="Normal",'Control Room'!$B$7,('Control Room'!$B$8+'Control Room'!$D$8)/2))</x:f>
        <x:v>1054.9378124435193</x:v>
      </x:c>
      <x:c r="AY520" s="17" t="n">
        <x:f>IF(AND($A520&gt;='Control Room'!$A$13,$A520&lt;'Control Room'!$A$13+'Control Room'!$B$13,'Process'!BT2=1),1+('Control Room'!$C$13-1)*EXP(-0.5*(($A520-'Control Room'!$A$13-('Control Room'!$B$13-1)/2)/MAX(0.5,'Control Room'!$B$13/4))^2),1)*IF(AND($A520&gt;='Control Room'!$A$14,$A520&lt;'Control Room'!$A$14+'Control Room'!$B$14,'Process'!BT3=1),1+('Control Room'!$C$14-1)*EXP(-0.5*(($A520-'Control Room'!$A$14-('Control Room'!$B$14-1)/2)/MAX(0.5,'Control Room'!$B$14/4))^2),1)*IF(AND($A520&gt;='Control Room'!$A$15,$A520&lt;'Control Room'!$A$15+'Control Room'!$B$15,'Process'!BT4=1),1+('Control Room'!$C$15-1)*EXP(-0.5*(($A520-'Control Room'!$A$15-('Control Room'!$B$15-1)/2)/MAX(0.5,'Control Room'!$B$15/4))^2),1)*IF(AND($A520&gt;='Control Room'!$A$16,$A520&lt;'Control Room'!$A$16+'Control Room'!$B$16,'Process'!BT5=1),1+('Control Room'!$C$16-1)*EXP(-0.5*(($A520-'Control Room'!$A$16-('Control Room'!$B$16-1)/2)/MAX(0.5,'Control Room'!$B$16/4))^2),1)</x:f>
        <x:v>1</x:v>
      </x:c>
      <x:c r="AZ520" s="9" t="n">
        <x:f>MOD(BA519*16807,2147483647)</x:f>
        <x:v>260061464</x:v>
      </x:c>
      <x:c r="BA520" s="9" t="n">
        <x:f>MOD(AZ520*16807,2147483647)</x:f>
        <x:v>723803803</x:v>
      </x:c>
      <x:c r="BB520" s="17" t="n">
        <x:f>IF('Control Room'!$B$5="Normal",'Control Room'!$B$7+'Control Room'!$D$7*SQRT(-2*LN(MAX(0.000000000001,AZ520/2147483647)))*COS(2*PI()*BA520/2147483647),'Control Room'!$B$8+('Control Room'!$D$8-'Control Room'!$B$8)*AZ520/2147483647)</x:f>
        <x:v>903.82134100338</x:v>
      </x:c>
      <x:c r="BC520" s="17" t="n">
        <x:f>IF('Control Room'!$B$5="Normal",'Control Room'!$B$7,('Control Room'!$B$8+'Control Room'!$D$8)/2)+'Control Room'!$B$9*(BC519-IF('Control Room'!$B$5="Normal",'Control Room'!$B$7,('Control Room'!$B$8+'Control Room'!$D$8)/2))+SQRT(1-'Control Room'!$B$9^2)*(BB520-IF('Control Room'!$B$5="Normal",'Control Room'!$B$7,('Control Room'!$B$8+'Control Room'!$D$8)/2))</x:f>
        <x:v>856.0889902024229</x:v>
      </x:c>
      <x:c r="BD520" s="17" t="n">
        <x:f>IF(AND($A520&gt;='Control Room'!$A$13,$A520&lt;'Control Room'!$A$13+'Control Room'!$B$13,'Process'!BU2=1),1+('Control Room'!$C$13-1)*EXP(-0.5*(($A520-'Control Room'!$A$13-('Control Room'!$B$13-1)/2)/MAX(0.5,'Control Room'!$B$13/4))^2),1)*IF(AND($A520&gt;='Control Room'!$A$14,$A520&lt;'Control Room'!$A$14+'Control Room'!$B$14,'Process'!BU3=1),1+('Control Room'!$C$14-1)*EXP(-0.5*(($A520-'Control Room'!$A$14-('Control Room'!$B$14-1)/2)/MAX(0.5,'Control Room'!$B$14/4))^2),1)*IF(AND($A520&gt;='Control Room'!$A$15,$A520&lt;'Control Room'!$A$15+'Control Room'!$B$15,'Process'!BU4=1),1+('Control Room'!$C$15-1)*EXP(-0.5*(($A520-'Control Room'!$A$15-('Control Room'!$B$15-1)/2)/MAX(0.5,'Control Room'!$B$15/4))^2),1)*IF(AND($A520&gt;='Control Room'!$A$16,$A520&lt;'Control Room'!$A$16+'Control Room'!$B$16,'Process'!BU5=1),1+('Control Room'!$C$16-1)*EXP(-0.5*(($A520-'Control Room'!$A$16-('Control Room'!$B$16-1)/2)/MAX(0.5,'Control Room'!$B$16/4))^2),1)</x:f>
        <x:v>1</x:v>
      </x:c>
      <x:c r="BE520" s="9" t="n">
        <x:f>MOD(BF519*16807,2147483647)</x:f>
        <x:v>1184445954</x:v>
      </x:c>
      <x:c r="BF520" s="9" t="n">
        <x:f>MOD(BE520*16807,2147483647)</x:f>
        <x:v>1957224835</x:v>
      </x:c>
      <x:c r="BG520" s="17" t="n">
        <x:f>IF('Control Room'!$B$5="Normal",'Control Room'!$B$7+'Control Room'!$D$7*SQRT(-2*LN(MAX(0.000000000001,BE520/2147483647)))*COS(2*PI()*BF520/2147483647),'Control Room'!$B$8+('Control Room'!$D$8-'Control Room'!$B$8)*BE520/2147483647)</x:f>
        <x:v>1083.357077977402</x:v>
      </x:c>
      <x:c r="BH520" s="17" t="n">
        <x:f>IF('Control Room'!$B$5="Normal",'Control Room'!$B$7,('Control Room'!$B$8+'Control Room'!$D$8)/2)+'Control Room'!$B$9*(BH519-IF('Control Room'!$B$5="Normal",'Control Room'!$B$7,('Control Room'!$B$8+'Control Room'!$D$8)/2))+SQRT(1-'Control Room'!$B$9^2)*(BG520-IF('Control Room'!$B$5="Normal",'Control Room'!$B$7,('Control Room'!$B$8+'Control Room'!$D$8)/2))</x:f>
        <x:v>1151.562568068007</x:v>
      </x:c>
      <x:c r="BI520" s="17" t="n">
        <x:f>IF(AND($A520&gt;='Control Room'!$A$13,$A520&lt;'Control Room'!$A$13+'Control Room'!$B$13,'Process'!BV2=1),1+('Control Room'!$C$13-1)*EXP(-0.5*(($A520-'Control Room'!$A$13-('Control Room'!$B$13-1)/2)/MAX(0.5,'Control Room'!$B$13/4))^2),1)*IF(AND($A520&gt;='Control Room'!$A$14,$A520&lt;'Control Room'!$A$14+'Control Room'!$B$14,'Process'!BV3=1),1+('Control Room'!$C$14-1)*EXP(-0.5*(($A520-'Control Room'!$A$14-('Control Room'!$B$14-1)/2)/MAX(0.5,'Control Room'!$B$14/4))^2),1)*IF(AND($A520&gt;='Control Room'!$A$15,$A520&lt;'Control Room'!$A$15+'Control Room'!$B$15,'Process'!BV4=1),1+('Control Room'!$C$15-1)*EXP(-0.5*(($A520-'Control Room'!$A$15-('Control Room'!$B$15-1)/2)/MAX(0.5,'Control Room'!$B$15/4))^2),1)*IF(AND($A520&gt;='Control Room'!$A$16,$A520&lt;'Control Room'!$A$16+'Control Room'!$B$16,'Process'!BV5=1),1+('Control Room'!$C$16-1)*EXP(-0.5*(($A520-'Control Room'!$A$16-('Control Room'!$B$16-1)/2)/MAX(0.5,'Control Room'!$B$16/4))^2),1)</x:f>
        <x:v>1</x:v>
      </x:c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Z520" t="str">
        <x:f>IF('Data'!A520="","",TEXT('Data'!A520,"mm-dd"))</x:f>
      </x:c>
    </x:row>
    <x:row r="521" ht="21" customHeight="1">
      <x:c r="A521" s="15" t="n">
        <x:f>'Control Room'!$B$1+519</x:f>
        <x:v>73510</x:v>
      </x:c>
      <x:c r="B521" s="9" t="n">
        <x:f>MOD(C520*16807,2147483647)</x:f>
        <x:v>1441704377</x:v>
      </x:c>
      <x:c r="C521" s="9" t="n">
        <x:f>MOD(B521*16807,2147483647)</x:f>
        <x:v>667475138</x:v>
      </x:c>
      <x:c r="D521" s="17" t="n">
        <x:f>IF('Control Room'!$B$5="Normal",'Control Room'!$B$7+'Control Room'!$D$7*SQRT(-2*LN(MAX(0.000000000001,B521/2147483647)))*COS(2*PI()*C521/2147483647),'Control Room'!$B$8+('Control Room'!$D$8-'Control Room'!$B$8)*B521/2147483647)</x:f>
        <x:v>970.0400070790491</x:v>
      </x:c>
      <x:c r="E521" s="17" t="n">
        <x:f>IF('Control Room'!$B$5="Normal",'Control Room'!$B$7,('Control Room'!$B$8+'Control Room'!$D$8)/2)+'Control Room'!$B$9*(E520-IF('Control Room'!$B$5="Normal",'Control Room'!$B$7,('Control Room'!$B$8+'Control Room'!$D$8)/2))+SQRT(1-'Control Room'!$B$9^2)*(D521-IF('Control Room'!$B$5="Normal",'Control Room'!$B$7,('Control Room'!$B$8+'Control Room'!$D$8)/2))</x:f>
        <x:v>972.9703463403653</x:v>
      </x:c>
      <x:c r="F521" s="17" t="n">
        <x:f>IF(AND($A521&gt;='Control Room'!$A$13,$A521&lt;'Control Room'!$A$13+'Control Room'!$B$13,'Process'!BK2=1),1+('Control Room'!$C$13-1)*EXP(-0.5*(($A521-'Control Room'!$A$13-('Control Room'!$B$13-1)/2)/MAX(0.5,'Control Room'!$B$13/4))^2),1)*IF(AND($A521&gt;='Control Room'!$A$14,$A521&lt;'Control Room'!$A$14+'Control Room'!$B$14,'Process'!BK3=1),1+('Control Room'!$C$14-1)*EXP(-0.5*(($A521-'Control Room'!$A$14-('Control Room'!$B$14-1)/2)/MAX(0.5,'Control Room'!$B$14/4))^2),1)*IF(AND($A521&gt;='Control Room'!$A$15,$A521&lt;'Control Room'!$A$15+'Control Room'!$B$15,'Process'!BK4=1),1+('Control Room'!$C$15-1)*EXP(-0.5*(($A521-'Control Room'!$A$15-('Control Room'!$B$15-1)/2)/MAX(0.5,'Control Room'!$B$15/4))^2),1)*IF(AND($A521&gt;='Control Room'!$A$16,$A521&lt;'Control Room'!$A$16+'Control Room'!$B$16,'Process'!BK5=1),1+('Control Room'!$C$16-1)*EXP(-0.5*(($A521-'Control Room'!$A$16-('Control Room'!$B$16-1)/2)/MAX(0.5,'Control Room'!$B$16/4))^2),1)</x:f>
        <x:v>1</x:v>
      </x:c>
      <x:c r="G521" s="9" t="n">
        <x:f>MOD(H520*16807,2147483647)</x:f>
        <x:v>1889344710</x:v>
      </x:c>
      <x:c r="H521" s="9" t="n">
        <x:f>MOD(G521*16807,2147483647)</x:f>
        <x:v>1523336428</x:v>
      </x:c>
      <x:c r="I521" s="17" t="n">
        <x:f>IF('Control Room'!$B$5="Normal",'Control Room'!$B$7+'Control Room'!$D$7*SQRT(-2*LN(MAX(0.000000000001,G521/2147483647)))*COS(2*PI()*H521/2147483647),'Control Room'!$B$8+('Control Room'!$D$8-'Control Room'!$B$8)*G521/2147483647)</x:f>
        <x:v>988.49486111144</x:v>
      </x:c>
      <x:c r="J521" s="17" t="n">
        <x:f>IF('Control Room'!$B$5="Normal",'Control Room'!$B$7,('Control Room'!$B$8+'Control Room'!$D$8)/2)+'Control Room'!$B$9*(J520-IF('Control Room'!$B$5="Normal",'Control Room'!$B$7,('Control Room'!$B$8+'Control Room'!$D$8)/2))+SQRT(1-'Control Room'!$B$9^2)*(I521-IF('Control Room'!$B$5="Normal",'Control Room'!$B$7,('Control Room'!$B$8+'Control Room'!$D$8)/2))</x:f>
        <x:v>1012.362313386917</x:v>
      </x:c>
      <x:c r="K521" s="17" t="n">
        <x:f>IF(AND($A521&gt;='Control Room'!$A$13,$A521&lt;'Control Room'!$A$13+'Control Room'!$B$13,'Process'!BL2=1),1+('Control Room'!$C$13-1)*EXP(-0.5*(($A521-'Control Room'!$A$13-('Control Room'!$B$13-1)/2)/MAX(0.5,'Control Room'!$B$13/4))^2),1)*IF(AND($A521&gt;='Control Room'!$A$14,$A521&lt;'Control Room'!$A$14+'Control Room'!$B$14,'Process'!BL3=1),1+('Control Room'!$C$14-1)*EXP(-0.5*(($A521-'Control Room'!$A$14-('Control Room'!$B$14-1)/2)/MAX(0.5,'Control Room'!$B$14/4))^2),1)*IF(AND($A521&gt;='Control Room'!$A$15,$A521&lt;'Control Room'!$A$15+'Control Room'!$B$15,'Process'!BL4=1),1+('Control Room'!$C$15-1)*EXP(-0.5*(($A521-'Control Room'!$A$15-('Control Room'!$B$15-1)/2)/MAX(0.5,'Control Room'!$B$15/4))^2),1)*IF(AND($A521&gt;='Control Room'!$A$16,$A521&lt;'Control Room'!$A$16+'Control Room'!$B$16,'Process'!BL5=1),1+('Control Room'!$C$16-1)*EXP(-0.5*(($A521-'Control Room'!$A$16-('Control Room'!$B$16-1)/2)/MAX(0.5,'Control Room'!$B$16/4))^2),1)</x:f>
        <x:v>1</x:v>
      </x:c>
      <x:c r="L521" s="9" t="n">
        <x:f>MOD(M520*16807,2147483647)</x:f>
        <x:v>189501396</x:v>
      </x:c>
      <x:c r="M521" s="9" t="n">
        <x:f>MOD(L521*16807,2147483647)</x:f>
        <x:v>231714071</x:v>
      </x:c>
      <x:c r="N521" s="17" t="n">
        <x:f>IF('Control Room'!$B$5="Normal",'Control Room'!$B$7+'Control Room'!$D$7*SQRT(-2*LN(MAX(0.000000000001,L521/2147483647)))*COS(2*PI()*M521/2147483647),'Control Room'!$B$8+('Control Room'!$D$8-'Control Room'!$B$8)*L521/2147483647)</x:f>
        <x:v>1154.4571154815121</x:v>
      </x:c>
      <x:c r="O521" s="17" t="n">
        <x:f>IF('Control Room'!$B$5="Normal",'Control Room'!$B$7,('Control Room'!$B$8+'Control Room'!$D$8)/2)+'Control Room'!$B$9*(O520-IF('Control Room'!$B$5="Normal",'Control Room'!$B$7,('Control Room'!$B$8+'Control Room'!$D$8)/2))+SQRT(1-'Control Room'!$B$9^2)*(N521-IF('Control Room'!$B$5="Normal",'Control Room'!$B$7,('Control Room'!$B$8+'Control Room'!$D$8)/2))</x:f>
        <x:v>1133.9925452704988</x:v>
      </x:c>
      <x:c r="P521" s="17" t="n">
        <x:f>IF(AND($A521&gt;='Control Room'!$A$13,$A521&lt;'Control Room'!$A$13+'Control Room'!$B$13,'Process'!BM2=1),1+('Control Room'!$C$13-1)*EXP(-0.5*(($A521-'Control Room'!$A$13-('Control Room'!$B$13-1)/2)/MAX(0.5,'Control Room'!$B$13/4))^2),1)*IF(AND($A521&gt;='Control Room'!$A$14,$A521&lt;'Control Room'!$A$14+'Control Room'!$B$14,'Process'!BM3=1),1+('Control Room'!$C$14-1)*EXP(-0.5*(($A521-'Control Room'!$A$14-('Control Room'!$B$14-1)/2)/MAX(0.5,'Control Room'!$B$14/4))^2),1)*IF(AND($A521&gt;='Control Room'!$A$15,$A521&lt;'Control Room'!$A$15+'Control Room'!$B$15,'Process'!BM4=1),1+('Control Room'!$C$15-1)*EXP(-0.5*(($A521-'Control Room'!$A$15-('Control Room'!$B$15-1)/2)/MAX(0.5,'Control Room'!$B$15/4))^2),1)*IF(AND($A521&gt;='Control Room'!$A$16,$A521&lt;'Control Room'!$A$16+'Control Room'!$B$16,'Process'!BM5=1),1+('Control Room'!$C$16-1)*EXP(-0.5*(($A521-'Control Room'!$A$16-('Control Room'!$B$16-1)/2)/MAX(0.5,'Control Room'!$B$16/4))^2),1)</x:f>
        <x:v>1</x:v>
      </x:c>
      <x:c r="Q521" s="9" t="n">
        <x:f>MOD(R520*16807,2147483647)</x:f>
        <x:v>637141729</x:v>
      </x:c>
      <x:c r="R521" s="9" t="n">
        <x:f>MOD(Q521*16807,2147483647)</x:f>
        <x:v>1087575361</x:v>
      </x:c>
      <x:c r="S521" s="17" t="n">
        <x:f>IF('Control Room'!$B$5="Normal",'Control Room'!$B$7+'Control Room'!$D$7*SQRT(-2*LN(MAX(0.000000000001,Q521/2147483647)))*COS(2*PI()*R521/2147483647),'Control Room'!$B$8+('Control Room'!$D$8-'Control Room'!$B$8)*Q521/2147483647)</x:f>
        <x:v>859.8153291011736</x:v>
      </x:c>
      <x:c r="T521" s="17" t="n">
        <x:f>IF('Control Room'!$B$5="Normal",'Control Room'!$B$7,('Control Room'!$B$8+'Control Room'!$D$8)/2)+'Control Room'!$B$9*(T520-IF('Control Room'!$B$5="Normal",'Control Room'!$B$7,('Control Room'!$B$8+'Control Room'!$D$8)/2))+SQRT(1-'Control Room'!$B$9^2)*(S521-IF('Control Room'!$B$5="Normal",'Control Room'!$B$7,('Control Room'!$B$8+'Control Room'!$D$8)/2))</x:f>
        <x:v>843.9685498820197</x:v>
      </x:c>
      <x:c r="U521" s="17" t="n">
        <x:f>IF(AND($A521&gt;='Control Room'!$A$13,$A521&lt;'Control Room'!$A$13+'Control Room'!$B$13,'Process'!BN2=1),1+('Control Room'!$C$13-1)*EXP(-0.5*(($A521-'Control Room'!$A$13-('Control Room'!$B$13-1)/2)/MAX(0.5,'Control Room'!$B$13/4))^2),1)*IF(AND($A521&gt;='Control Room'!$A$14,$A521&lt;'Control Room'!$A$14+'Control Room'!$B$14,'Process'!BN3=1),1+('Control Room'!$C$14-1)*EXP(-0.5*(($A521-'Control Room'!$A$14-('Control Room'!$B$14-1)/2)/MAX(0.5,'Control Room'!$B$14/4))^2),1)*IF(AND($A521&gt;='Control Room'!$A$15,$A521&lt;'Control Room'!$A$15+'Control Room'!$B$15,'Process'!BN4=1),1+('Control Room'!$C$15-1)*EXP(-0.5*(($A521-'Control Room'!$A$15-('Control Room'!$B$15-1)/2)/MAX(0.5,'Control Room'!$B$15/4))^2),1)*IF(AND($A521&gt;='Control Room'!$A$16,$A521&lt;'Control Room'!$A$16+'Control Room'!$B$16,'Process'!BN5=1),1+('Control Room'!$C$16-1)*EXP(-0.5*(($A521-'Control Room'!$A$16-('Control Room'!$B$16-1)/2)/MAX(0.5,'Control Room'!$B$16/4))^2),1)</x:f>
        <x:v>1</x:v>
      </x:c>
      <x:c r="V521" s="9" t="n">
        <x:f>MOD(W520*16807,2147483647)</x:f>
        <x:v>1084782062</x:v>
      </x:c>
      <x:c r="W521" s="9" t="n">
        <x:f>MOD(V521*16807,2147483647)</x:f>
        <x:v>1943436651</x:v>
      </x:c>
      <x:c r="X521" s="17" t="n">
        <x:f>IF('Control Room'!$B$5="Normal",'Control Room'!$B$7+'Control Room'!$D$7*SQRT(-2*LN(MAX(0.000000000001,V521/2147483647)))*COS(2*PI()*W521/2147483647),'Control Room'!$B$8+('Control Room'!$D$8-'Control Room'!$B$8)*V521/2147483647)</x:f>
        <x:v>1086.9878035165682</x:v>
      </x:c>
      <x:c r="Y521" s="17" t="n">
        <x:f>IF('Control Room'!$B$5="Normal",'Control Room'!$B$7,('Control Room'!$B$8+'Control Room'!$D$8)/2)+'Control Room'!$B$9*(Y520-IF('Control Room'!$B$5="Normal",'Control Room'!$B$7,('Control Room'!$B$8+'Control Room'!$D$8)/2))+SQRT(1-'Control Room'!$B$9^2)*(X521-IF('Control Room'!$B$5="Normal",'Control Room'!$B$7,('Control Room'!$B$8+'Control Room'!$D$8)/2))</x:f>
        <x:v>1073.820043168088</x:v>
      </x:c>
      <x:c r="Z521" s="17" t="n">
        <x:f>IF(AND($A521&gt;='Control Room'!$A$13,$A521&lt;'Control Room'!$A$13+'Control Room'!$B$13,'Process'!BO2=1),1+('Control Room'!$C$13-1)*EXP(-0.5*(($A521-'Control Room'!$A$13-('Control Room'!$B$13-1)/2)/MAX(0.5,'Control Room'!$B$13/4))^2),1)*IF(AND($A521&gt;='Control Room'!$A$14,$A521&lt;'Control Room'!$A$14+'Control Room'!$B$14,'Process'!BO3=1),1+('Control Room'!$C$14-1)*EXP(-0.5*(($A521-'Control Room'!$A$14-('Control Room'!$B$14-1)/2)/MAX(0.5,'Control Room'!$B$14/4))^2),1)*IF(AND($A521&gt;='Control Room'!$A$15,$A521&lt;'Control Room'!$A$15+'Control Room'!$B$15,'Process'!BO4=1),1+('Control Room'!$C$15-1)*EXP(-0.5*(($A521-'Control Room'!$A$15-('Control Room'!$B$15-1)/2)/MAX(0.5,'Control Room'!$B$15/4))^2),1)*IF(AND($A521&gt;='Control Room'!$A$16,$A521&lt;'Control Room'!$A$16+'Control Room'!$B$16,'Process'!BO5=1),1+('Control Room'!$C$16-1)*EXP(-0.5*(($A521-'Control Room'!$A$16-('Control Room'!$B$16-1)/2)/MAX(0.5,'Control Room'!$B$16/4))^2),1)</x:f>
        <x:v>1</x:v>
      </x:c>
      <x:c r="AA521" s="9" t="n">
        <x:f>MOD(AB520*16807,2147483647)</x:f>
        <x:v>1532422395</x:v>
      </x:c>
      <x:c r="AB521" s="9" t="n">
        <x:f>MOD(AA521*16807,2147483647)</x:f>
        <x:v>651814294</x:v>
      </x:c>
      <x:c r="AC521" s="17" t="n">
        <x:f>IF('Control Room'!$B$5="Normal",'Control Room'!$B$7+'Control Room'!$D$7*SQRT(-2*LN(MAX(0.000000000001,AA521/2147483647)))*COS(2*PI()*AB521/2147483647),'Control Room'!$B$8+('Control Room'!$D$8-'Control Room'!$B$8)*AA521/2147483647)</x:f>
        <x:v>975.6007410100043</x:v>
      </x:c>
      <x:c r="AD521" s="17" t="n">
        <x:f>IF('Control Room'!$B$5="Normal",'Control Room'!$B$7,('Control Room'!$B$8+'Control Room'!$D$8)/2)+'Control Room'!$B$9*(AD520-IF('Control Room'!$B$5="Normal",'Control Room'!$B$7,('Control Room'!$B$8+'Control Room'!$D$8)/2))+SQRT(1-'Control Room'!$B$9^2)*(AC521-IF('Control Room'!$B$5="Normal",'Control Room'!$B$7,('Control Room'!$B$8+'Control Room'!$D$8)/2))</x:f>
        <x:v>1053.6613374845288</x:v>
      </x:c>
      <x:c r="AE521" s="17" t="n">
        <x:f>IF(AND($A521&gt;='Control Room'!$A$13,$A521&lt;'Control Room'!$A$13+'Control Room'!$B$13,'Process'!BP2=1),1+('Control Room'!$C$13-1)*EXP(-0.5*(($A521-'Control Room'!$A$13-('Control Room'!$B$13-1)/2)/MAX(0.5,'Control Room'!$B$13/4))^2),1)*IF(AND($A521&gt;='Control Room'!$A$14,$A521&lt;'Control Room'!$A$14+'Control Room'!$B$14,'Process'!BP3=1),1+('Control Room'!$C$14-1)*EXP(-0.5*(($A521-'Control Room'!$A$14-('Control Room'!$B$14-1)/2)/MAX(0.5,'Control Room'!$B$14/4))^2),1)*IF(AND($A521&gt;='Control Room'!$A$15,$A521&lt;'Control Room'!$A$15+'Control Room'!$B$15,'Process'!BP4=1),1+('Control Room'!$C$15-1)*EXP(-0.5*(($A521-'Control Room'!$A$15-('Control Room'!$B$15-1)/2)/MAX(0.5,'Control Room'!$B$15/4))^2),1)*IF(AND($A521&gt;='Control Room'!$A$16,$A521&lt;'Control Room'!$A$16+'Control Room'!$B$16,'Process'!BP5=1),1+('Control Room'!$C$16-1)*EXP(-0.5*(($A521-'Control Room'!$A$16-('Control Room'!$B$16-1)/2)/MAX(0.5,'Control Room'!$B$16/4))^2),1)</x:f>
        <x:v>1</x:v>
      </x:c>
      <x:c r="AF521" s="9" t="n">
        <x:f>MOD(AG520*16807,2147483647)</x:f>
        <x:v>1980062728</x:v>
      </x:c>
      <x:c r="AG521" s="9" t="n">
        <x:f>MOD(AF521*16807,2147483647)</x:f>
        <x:v>1507675584</x:v>
      </x:c>
      <x:c r="AH521" s="17" t="n">
        <x:f>IF('Control Room'!$B$5="Normal",'Control Room'!$B$7+'Control Room'!$D$7*SQRT(-2*LN(MAX(0.000000000001,AF521/2147483647)))*COS(2*PI()*AG521/2147483647),'Control Room'!$B$8+('Control Room'!$D$8-'Control Room'!$B$8)*AF521/2147483647)</x:f>
        <x:v>989.2431008976916</x:v>
      </x:c>
      <x:c r="AI521" s="17" t="n">
        <x:f>IF('Control Room'!$B$5="Normal",'Control Room'!$B$7,('Control Room'!$B$8+'Control Room'!$D$8)/2)+'Control Room'!$B$9*(AI520-IF('Control Room'!$B$5="Normal",'Control Room'!$B$7,('Control Room'!$B$8+'Control Room'!$D$8)/2))+SQRT(1-'Control Room'!$B$9^2)*(AH521-IF('Control Room'!$B$5="Normal",'Control Room'!$B$7,('Control Room'!$B$8+'Control Room'!$D$8)/2))</x:f>
        <x:v>1026.5534933755773</x:v>
      </x:c>
      <x:c r="AJ521" s="17" t="n">
        <x:f>IF(AND($A521&gt;='Control Room'!$A$13,$A521&lt;'Control Room'!$A$13+'Control Room'!$B$13,'Process'!BQ2=1),1+('Control Room'!$C$13-1)*EXP(-0.5*(($A521-'Control Room'!$A$13-('Control Room'!$B$13-1)/2)/MAX(0.5,'Control Room'!$B$13/4))^2),1)*IF(AND($A521&gt;='Control Room'!$A$14,$A521&lt;'Control Room'!$A$14+'Control Room'!$B$14,'Process'!BQ3=1),1+('Control Room'!$C$14-1)*EXP(-0.5*(($A521-'Control Room'!$A$14-('Control Room'!$B$14-1)/2)/MAX(0.5,'Control Room'!$B$14/4))^2),1)*IF(AND($A521&gt;='Control Room'!$A$15,$A521&lt;'Control Room'!$A$15+'Control Room'!$B$15,'Process'!BQ4=1),1+('Control Room'!$C$15-1)*EXP(-0.5*(($A521-'Control Room'!$A$15-('Control Room'!$B$15-1)/2)/MAX(0.5,'Control Room'!$B$15/4))^2),1)*IF(AND($A521&gt;='Control Room'!$A$16,$A521&lt;'Control Room'!$A$16+'Control Room'!$B$16,'Process'!BQ5=1),1+('Control Room'!$C$16-1)*EXP(-0.5*(($A521-'Control Room'!$A$16-('Control Room'!$B$16-1)/2)/MAX(0.5,'Control Room'!$B$16/4))^2),1)</x:f>
        <x:v>1</x:v>
      </x:c>
      <x:c r="AK521" s="9" t="n">
        <x:f>MOD(AL520*16807,2147483647)</x:f>
        <x:v>280219414</x:v>
      </x:c>
      <x:c r="AL521" s="9" t="n">
        <x:f>MOD(AK521*16807,2147483647)</x:f>
        <x:v>216053227</x:v>
      </x:c>
      <x:c r="AM521" s="17" t="n">
        <x:f>IF('Control Room'!$B$5="Normal",'Control Room'!$B$7+'Control Room'!$D$7*SQRT(-2*LN(MAX(0.000000000001,AK521/2147483647)))*COS(2*PI()*AL521/2147483647),'Control Room'!$B$8+('Control Room'!$D$8-'Control Room'!$B$8)*AK521/2147483647)</x:f>
        <x:v>1146.5364413232555</x:v>
      </x:c>
      <x:c r="AN521" s="17" t="n">
        <x:f>IF('Control Room'!$B$5="Normal",'Control Room'!$B$7,('Control Room'!$B$8+'Control Room'!$D$8)/2)+'Control Room'!$B$9*(AN520-IF('Control Room'!$B$5="Normal",'Control Room'!$B$7,('Control Room'!$B$8+'Control Room'!$D$8)/2))+SQRT(1-'Control Room'!$B$9^2)*(AM521-IF('Control Room'!$B$5="Normal",'Control Room'!$B$7,('Control Room'!$B$8+'Control Room'!$D$8)/2))</x:f>
        <x:v>1064.9161706554723</x:v>
      </x:c>
      <x:c r="AO521" s="17" t="n">
        <x:f>IF(AND($A521&gt;='Control Room'!$A$13,$A521&lt;'Control Room'!$A$13+'Control Room'!$B$13,'Process'!BR2=1),1+('Control Room'!$C$13-1)*EXP(-0.5*(($A521-'Control Room'!$A$13-('Control Room'!$B$13-1)/2)/MAX(0.5,'Control Room'!$B$13/4))^2),1)*IF(AND($A521&gt;='Control Room'!$A$14,$A521&lt;'Control Room'!$A$14+'Control Room'!$B$14,'Process'!BR3=1),1+('Control Room'!$C$14-1)*EXP(-0.5*(($A521-'Control Room'!$A$14-('Control Room'!$B$14-1)/2)/MAX(0.5,'Control Room'!$B$14/4))^2),1)*IF(AND($A521&gt;='Control Room'!$A$15,$A521&lt;'Control Room'!$A$15+'Control Room'!$B$15,'Process'!BR4=1),1+('Control Room'!$C$15-1)*EXP(-0.5*(($A521-'Control Room'!$A$15-('Control Room'!$B$15-1)/2)/MAX(0.5,'Control Room'!$B$15/4))^2),1)*IF(AND($A521&gt;='Control Room'!$A$16,$A521&lt;'Control Room'!$A$16+'Control Room'!$B$16,'Process'!BR5=1),1+('Control Room'!$C$16-1)*EXP(-0.5*(($A521-'Control Room'!$A$16-('Control Room'!$B$16-1)/2)/MAX(0.5,'Control Room'!$B$16/4))^2),1)</x:f>
        <x:v>1</x:v>
      </x:c>
      <x:c r="AP521" s="9" t="n">
        <x:f>MOD(AQ520*16807,2147483647)</x:f>
        <x:v>727859747</x:v>
      </x:c>
      <x:c r="AQ521" s="9" t="n">
        <x:f>MOD(AP521*16807,2147483647)</x:f>
        <x:v>1071914517</x:v>
      </x:c>
      <x:c r="AR521" s="17" t="n">
        <x:f>IF('Control Room'!$B$5="Normal",'Control Room'!$B$7+'Control Room'!$D$7*SQRT(-2*LN(MAX(0.000000000001,AP521/2147483647)))*COS(2*PI()*AQ521/2147483647),'Control Room'!$B$8+('Control Room'!$D$8-'Control Room'!$B$8)*AP521/2147483647)</x:f>
        <x:v>867.610474869057</x:v>
      </x:c>
      <x:c r="AS521" s="17" t="n">
        <x:f>IF('Control Room'!$B$5="Normal",'Control Room'!$B$7,('Control Room'!$B$8+'Control Room'!$D$8)/2)+'Control Room'!$B$9*(AS520-IF('Control Room'!$B$5="Normal",'Control Room'!$B$7,('Control Room'!$B$8+'Control Room'!$D$8)/2))+SQRT(1-'Control Room'!$B$9^2)*(AR521-IF('Control Room'!$B$5="Normal",'Control Room'!$B$7,('Control Room'!$B$8+'Control Room'!$D$8)/2))</x:f>
        <x:v>969.3235007218143</x:v>
      </x:c>
      <x:c r="AT521" s="17" t="n">
        <x:f>IF(AND($A521&gt;='Control Room'!$A$13,$A521&lt;'Control Room'!$A$13+'Control Room'!$B$13,'Process'!BS2=1),1+('Control Room'!$C$13-1)*EXP(-0.5*(($A521-'Control Room'!$A$13-('Control Room'!$B$13-1)/2)/MAX(0.5,'Control Room'!$B$13/4))^2),1)*IF(AND($A521&gt;='Control Room'!$A$14,$A521&lt;'Control Room'!$A$14+'Control Room'!$B$14,'Process'!BS3=1),1+('Control Room'!$C$14-1)*EXP(-0.5*(($A521-'Control Room'!$A$14-('Control Room'!$B$14-1)/2)/MAX(0.5,'Control Room'!$B$14/4))^2),1)*IF(AND($A521&gt;='Control Room'!$A$15,$A521&lt;'Control Room'!$A$15+'Control Room'!$B$15,'Process'!BS4=1),1+('Control Room'!$C$15-1)*EXP(-0.5*(($A521-'Control Room'!$A$15-('Control Room'!$B$15-1)/2)/MAX(0.5,'Control Room'!$B$15/4))^2),1)*IF(AND($A521&gt;='Control Room'!$A$16,$A521&lt;'Control Room'!$A$16+'Control Room'!$B$16,'Process'!BS5=1),1+('Control Room'!$C$16-1)*EXP(-0.5*(($A521-'Control Room'!$A$16-('Control Room'!$B$16-1)/2)/MAX(0.5,'Control Room'!$B$16/4))^2),1)</x:f>
        <x:v>1</x:v>
      </x:c>
      <x:c r="AU521" s="9" t="n">
        <x:f>MOD(AV520*16807,2147483647)</x:f>
        <x:v>1175500080</x:v>
      </x:c>
      <x:c r="AV521" s="9" t="n">
        <x:f>MOD(AU521*16807,2147483647)</x:f>
        <x:v>1927775807</x:v>
      </x:c>
      <x:c r="AW521" s="17" t="n">
        <x:f>IF('Control Room'!$B$5="Normal",'Control Room'!$B$7+'Control Room'!$D$7*SQRT(-2*LN(MAX(0.000000000001,AU521/2147483647)))*COS(2*PI()*AV521/2147483647),'Control Room'!$B$8+('Control Room'!$D$8-'Control Room'!$B$8)*AU521/2147483647)</x:f>
        <x:v>1079.082774271262</x:v>
      </x:c>
      <x:c r="AX521" s="17" t="n">
        <x:f>IF('Control Room'!$B$5="Normal",'Control Room'!$B$7,('Control Room'!$B$8+'Control Room'!$D$8)/2)+'Control Room'!$B$9*(AX520-IF('Control Room'!$B$5="Normal",'Control Room'!$B$7,('Control Room'!$B$8+'Control Room'!$D$8)/2))+SQRT(1-'Control Room'!$B$9^2)*(AW521-IF('Control Room'!$B$5="Normal",'Control Room'!$B$7,('Control Room'!$B$8+'Control Room'!$D$8)/2))</x:f>
        <x:v>1092.3398737462098</x:v>
      </x:c>
      <x:c r="AY521" s="17" t="n">
        <x:f>IF(AND($A521&gt;='Control Room'!$A$13,$A521&lt;'Control Room'!$A$13+'Control Room'!$B$13,'Process'!BT2=1),1+('Control Room'!$C$13-1)*EXP(-0.5*(($A521-'Control Room'!$A$13-('Control Room'!$B$13-1)/2)/MAX(0.5,'Control Room'!$B$13/4))^2),1)*IF(AND($A521&gt;='Control Room'!$A$14,$A521&lt;'Control Room'!$A$14+'Control Room'!$B$14,'Process'!BT3=1),1+('Control Room'!$C$14-1)*EXP(-0.5*(($A521-'Control Room'!$A$14-('Control Room'!$B$14-1)/2)/MAX(0.5,'Control Room'!$B$14/4))^2),1)*IF(AND($A521&gt;='Control Room'!$A$15,$A521&lt;'Control Room'!$A$15+'Control Room'!$B$15,'Process'!BT4=1),1+('Control Room'!$C$15-1)*EXP(-0.5*(($A521-'Control Room'!$A$15-('Control Room'!$B$15-1)/2)/MAX(0.5,'Control Room'!$B$15/4))^2),1)*IF(AND($A521&gt;='Control Room'!$A$16,$A521&lt;'Control Room'!$A$16+'Control Room'!$B$16,'Process'!BT5=1),1+('Control Room'!$C$16-1)*EXP(-0.5*(($A521-'Control Room'!$A$16-('Control Room'!$B$16-1)/2)/MAX(0.5,'Control Room'!$B$16/4))^2),1)</x:f>
        <x:v>1</x:v>
      </x:c>
      <x:c r="AZ521" s="9" t="n">
        <x:f>MOD(BA520*16807,2147483647)</x:f>
        <x:v>1623140413</x:v>
      </x:c>
      <x:c r="BA521" s="9" t="n">
        <x:f>MOD(AZ521*16807,2147483647)</x:f>
        <x:v>636153450</x:v>
      </x:c>
      <x:c r="BB521" s="17" t="n">
        <x:f>IF('Control Room'!$B$5="Normal",'Control Room'!$B$7+'Control Room'!$D$7*SQRT(-2*LN(MAX(0.000000000001,AZ521/2147483647)))*COS(2*PI()*BA521/2147483647),'Control Room'!$B$8+('Control Room'!$D$8-'Control Room'!$B$8)*AZ521/2147483647)</x:f>
        <x:v>980.7121780220576</x:v>
      </x:c>
      <x:c r="BC521" s="17" t="n">
        <x:f>IF('Control Room'!$B$5="Normal",'Control Room'!$B$7,('Control Room'!$B$8+'Control Room'!$D$8)/2)+'Control Room'!$B$9*(BC520-IF('Control Room'!$B$5="Normal",'Control Room'!$B$7,('Control Room'!$B$8+'Control Room'!$D$8)/2))+SQRT(1-'Control Room'!$B$9^2)*(BB521-IF('Control Room'!$B$5="Normal",'Control Room'!$B$7,('Control Room'!$B$8+'Control Room'!$D$8)/2))</x:f>
        <x:v>875.6794884966042</x:v>
      </x:c>
      <x:c r="BD521" s="17" t="n">
        <x:f>IF(AND($A521&gt;='Control Room'!$A$13,$A521&lt;'Control Room'!$A$13+'Control Room'!$B$13,'Process'!BU2=1),1+('Control Room'!$C$13-1)*EXP(-0.5*(($A521-'Control Room'!$A$13-('Control Room'!$B$13-1)/2)/MAX(0.5,'Control Room'!$B$13/4))^2),1)*IF(AND($A521&gt;='Control Room'!$A$14,$A521&lt;'Control Room'!$A$14+'Control Room'!$B$14,'Process'!BU3=1),1+('Control Room'!$C$14-1)*EXP(-0.5*(($A521-'Control Room'!$A$14-('Control Room'!$B$14-1)/2)/MAX(0.5,'Control Room'!$B$14/4))^2),1)*IF(AND($A521&gt;='Control Room'!$A$15,$A521&lt;'Control Room'!$A$15+'Control Room'!$B$15,'Process'!BU4=1),1+('Control Room'!$C$15-1)*EXP(-0.5*(($A521-'Control Room'!$A$15-('Control Room'!$B$15-1)/2)/MAX(0.5,'Control Room'!$B$15/4))^2),1)*IF(AND($A521&gt;='Control Room'!$A$16,$A521&lt;'Control Room'!$A$16+'Control Room'!$B$16,'Process'!BU5=1),1+('Control Room'!$C$16-1)*EXP(-0.5*(($A521-'Control Room'!$A$16-('Control Room'!$B$16-1)/2)/MAX(0.5,'Control Room'!$B$16/4))^2),1)</x:f>
        <x:v>1</x:v>
      </x:c>
      <x:c r="BE521" s="9" t="n">
        <x:f>MOD(BF520*16807,2147483647)</x:f>
        <x:v>2070780746</x:v>
      </x:c>
      <x:c r="BF521" s="9" t="n">
        <x:f>MOD(BE521*16807,2147483647)</x:f>
        <x:v>1492014740</x:v>
      </x:c>
      <x:c r="BG521" s="17" t="n">
        <x:f>IF('Control Room'!$B$5="Normal",'Control Room'!$B$7+'Control Room'!$D$7*SQRT(-2*LN(MAX(0.000000000001,BE521/2147483647)))*COS(2*PI()*BF521/2147483647),'Control Room'!$B$8+('Control Room'!$D$8-'Control Room'!$B$8)*BE521/2147483647)</x:f>
        <x:v>991.7450940506898</x:v>
      </x:c>
      <x:c r="BH521" s="17" t="n">
        <x:f>IF('Control Room'!$B$5="Normal",'Control Room'!$B$7,('Control Room'!$B$8+'Control Room'!$D$8)/2)+'Control Room'!$B$9*(BH520-IF('Control Room'!$B$5="Normal",'Control Room'!$B$7,('Control Room'!$B$8+'Control Room'!$D$8)/2))+SQRT(1-'Control Room'!$B$9^2)*(BG521-IF('Control Room'!$B$5="Normal",'Control Room'!$B$7,('Control Room'!$B$8+'Control Room'!$D$8)/2))</x:f>
        <x:v>1113.0530520609077</x:v>
      </x:c>
      <x:c r="BI521" s="17" t="n">
        <x:f>IF(AND($A521&gt;='Control Room'!$A$13,$A521&lt;'Control Room'!$A$13+'Control Room'!$B$13,'Process'!BV2=1),1+('Control Room'!$C$13-1)*EXP(-0.5*(($A521-'Control Room'!$A$13-('Control Room'!$B$13-1)/2)/MAX(0.5,'Control Room'!$B$13/4))^2),1)*IF(AND($A521&gt;='Control Room'!$A$14,$A521&lt;'Control Room'!$A$14+'Control Room'!$B$14,'Process'!BV3=1),1+('Control Room'!$C$14-1)*EXP(-0.5*(($A521-'Control Room'!$A$14-('Control Room'!$B$14-1)/2)/MAX(0.5,'Control Room'!$B$14/4))^2),1)*IF(AND($A521&gt;='Control Room'!$A$15,$A521&lt;'Control Room'!$A$15+'Control Room'!$B$15,'Process'!BV4=1),1+('Control Room'!$C$15-1)*EXP(-0.5*(($A521-'Control Room'!$A$15-('Control Room'!$B$15-1)/2)/MAX(0.5,'Control Room'!$B$15/4))^2),1)*IF(AND($A521&gt;='Control Room'!$A$16,$A521&lt;'Control Room'!$A$16+'Control Room'!$B$16,'Process'!BV5=1),1+('Control Room'!$C$16-1)*EXP(-0.5*(($A521-'Control Room'!$A$16-('Control Room'!$B$16-1)/2)/MAX(0.5,'Control Room'!$B$16/4))^2),1)</x:f>
        <x:v>1</x:v>
      </x:c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Z521" t="str">
        <x:f>IF('Data'!A521="","",TEXT('Data'!A521,"mm-dd"))</x:f>
      </x:c>
    </x:row>
    <x:row r="522" ht="21" customHeight="1">
      <x:c r="A522" s="15" t="n">
        <x:f>'Control Room'!$B$1+520</x:f>
        <x:v>73511</x:v>
      </x:c>
      <x:c r="B522" s="9" t="n">
        <x:f>MOD(C521*16807,2147483647)</x:f>
        <x:v>1947556085</x:v>
      </x:c>
      <x:c r="C522" s="9" t="n">
        <x:f>MOD(B522*16807,2147483647)</x:f>
        <x:v>629373021</x:v>
      </x:c>
      <x:c r="D522" s="17" t="n">
        <x:f>IF('Control Room'!$B$5="Normal",'Control Room'!$B$7+'Control Room'!$D$7*SQRT(-2*LN(MAX(0.000000000001,B522/2147483647)))*COS(2*PI()*C522/2147483647),'Control Room'!$B$8+('Control Room'!$D$8-'Control Room'!$B$8)*B522/2147483647)</x:f>
        <x:v>989.3625100769244</x:v>
      </x:c>
      <x:c r="E522" s="17" t="n">
        <x:f>IF('Control Room'!$B$5="Normal",'Control Room'!$B$7,('Control Room'!$B$8+'Control Room'!$D$8)/2)+'Control Room'!$B$9*(E521-IF('Control Room'!$B$5="Normal",'Control Room'!$B$7,('Control Room'!$B$8+'Control Room'!$D$8)/2))+SQRT(1-'Control Room'!$B$9^2)*(D522-IF('Control Room'!$B$5="Normal",'Control Room'!$B$7,('Control Room'!$B$8+'Control Room'!$D$8)/2))</x:f>
        <x:v>972.2601468724504</x:v>
      </x:c>
      <x:c r="F522" s="17" t="n">
        <x:f>IF(AND($A522&gt;='Control Room'!$A$13,$A522&lt;'Control Room'!$A$13+'Control Room'!$B$13,'Process'!BK2=1),1+('Control Room'!$C$13-1)*EXP(-0.5*(($A522-'Control Room'!$A$13-('Control Room'!$B$13-1)/2)/MAX(0.5,'Control Room'!$B$13/4))^2),1)*IF(AND($A522&gt;='Control Room'!$A$14,$A522&lt;'Control Room'!$A$14+'Control Room'!$B$14,'Process'!BK3=1),1+('Control Room'!$C$14-1)*EXP(-0.5*(($A522-'Control Room'!$A$14-('Control Room'!$B$14-1)/2)/MAX(0.5,'Control Room'!$B$14/4))^2),1)*IF(AND($A522&gt;='Control Room'!$A$15,$A522&lt;'Control Room'!$A$15+'Control Room'!$B$15,'Process'!BK4=1),1+('Control Room'!$C$15-1)*EXP(-0.5*(($A522-'Control Room'!$A$15-('Control Room'!$B$15-1)/2)/MAX(0.5,'Control Room'!$B$15/4))^2),1)*IF(AND($A522&gt;='Control Room'!$A$16,$A522&lt;'Control Room'!$A$16+'Control Room'!$B$16,'Process'!BK5=1),1+('Control Room'!$C$16-1)*EXP(-0.5*(($A522-'Control Room'!$A$16-('Control Room'!$B$16-1)/2)/MAX(0.5,'Control Room'!$B$16/4))^2),1)</x:f>
        <x:v>1</x:v>
      </x:c>
      <x:c r="G522" s="9" t="n">
        <x:f>MOD(H521*16807,2147483647)</x:f>
        <x:v>415305862</x:v>
      </x:c>
      <x:c r="H522" s="9" t="n">
        <x:f>MOD(G522*16807,2147483647)</x:f>
        <x:v>723769884</x:v>
      </x:c>
      <x:c r="I522" s="17" t="n">
        <x:f>IF('Control Room'!$B$5="Normal",'Control Room'!$B$7+'Control Room'!$D$7*SQRT(-2*LN(MAX(0.000000000001,G522/2147483647)))*COS(2*PI()*H522/2147483647),'Control Room'!$B$8+('Control Room'!$D$8-'Control Room'!$B$8)*G522/2147483647)</x:f>
        <x:v>915.1652735567632</x:v>
      </x:c>
      <x:c r="J522" s="17" t="n">
        <x:f>IF('Control Room'!$B$5="Normal",'Control Room'!$B$7,('Control Room'!$B$8+'Control Room'!$D$8)/2)+'Control Room'!$B$9*(J521-IF('Control Room'!$B$5="Normal",'Control Room'!$B$7,('Control Room'!$B$8+'Control Room'!$D$8)/2))+SQRT(1-'Control Room'!$B$9^2)*(I522-IF('Control Room'!$B$5="Normal",'Control Room'!$B$7,('Control Room'!$B$8+'Control Room'!$D$8)/2))</x:f>
        <x:v>956.5547705674539</x:v>
      </x:c>
      <x:c r="K522" s="17" t="n">
        <x:f>IF(AND($A522&gt;='Control Room'!$A$13,$A522&lt;'Control Room'!$A$13+'Control Room'!$B$13,'Process'!BL2=1),1+('Control Room'!$C$13-1)*EXP(-0.5*(($A522-'Control Room'!$A$13-('Control Room'!$B$13-1)/2)/MAX(0.5,'Control Room'!$B$13/4))^2),1)*IF(AND($A522&gt;='Control Room'!$A$14,$A522&lt;'Control Room'!$A$14+'Control Room'!$B$14,'Process'!BL3=1),1+('Control Room'!$C$14-1)*EXP(-0.5*(($A522-'Control Room'!$A$14-('Control Room'!$B$14-1)/2)/MAX(0.5,'Control Room'!$B$14/4))^2),1)*IF(AND($A522&gt;='Control Room'!$A$15,$A522&lt;'Control Room'!$A$15+'Control Room'!$B$15,'Process'!BL4=1),1+('Control Room'!$C$15-1)*EXP(-0.5*(($A522-'Control Room'!$A$15-('Control Room'!$B$15-1)/2)/MAX(0.5,'Control Room'!$B$15/4))^2),1)*IF(AND($A522&gt;='Control Room'!$A$16,$A522&lt;'Control Room'!$A$16+'Control Room'!$B$16,'Process'!BL5=1),1+('Control Room'!$C$16-1)*EXP(-0.5*(($A522-'Control Room'!$A$16-('Control Room'!$B$16-1)/2)/MAX(0.5,'Control Room'!$B$16/4))^2),1)</x:f>
        <x:v>1</x:v>
      </x:c>
      <x:c r="L522" s="9" t="n">
        <x:f>MOD(M521*16807,2147483647)</x:f>
        <x:v>1030539286</x:v>
      </x:c>
      <x:c r="M522" s="9" t="n">
        <x:f>MOD(L522*16807,2147483647)</x:f>
        <x:v>818166747</x:v>
      </x:c>
      <x:c r="N522" s="17" t="n">
        <x:f>IF('Control Room'!$B$5="Normal",'Control Room'!$B$7+'Control Room'!$D$7*SQRT(-2*LN(MAX(0.000000000001,L522/2147483647)))*COS(2*PI()*M522/2147483647),'Control Room'!$B$8+('Control Room'!$D$8-'Control Room'!$B$8)*L522/2147483647)</x:f>
        <x:v>920.0358488083516</x:v>
      </x:c>
      <x:c r="O522" s="17" t="n">
        <x:f>IF('Control Room'!$B$5="Normal",'Control Room'!$B$7,('Control Room'!$B$8+'Control Room'!$D$8)/2)+'Control Room'!$B$9*(O521-IF('Control Room'!$B$5="Normal",'Control Room'!$B$7,('Control Room'!$B$8+'Control Room'!$D$8)/2))+SQRT(1-'Control Room'!$B$9^2)*(N522-IF('Control Room'!$B$5="Normal",'Control Room'!$B$7,('Control Room'!$B$8+'Control Room'!$D$8)/2))</x:f>
        <x:v>1054.4742576499343</x:v>
      </x:c>
      <x:c r="P522" s="17" t="n">
        <x:f>IF(AND($A522&gt;='Control Room'!$A$13,$A522&lt;'Control Room'!$A$13+'Control Room'!$B$13,'Process'!BM2=1),1+('Control Room'!$C$13-1)*EXP(-0.5*(($A522-'Control Room'!$A$13-('Control Room'!$B$13-1)/2)/MAX(0.5,'Control Room'!$B$13/4))^2),1)*IF(AND($A522&gt;='Control Room'!$A$14,$A522&lt;'Control Room'!$A$14+'Control Room'!$B$14,'Process'!BM3=1),1+('Control Room'!$C$14-1)*EXP(-0.5*(($A522-'Control Room'!$A$14-('Control Room'!$B$14-1)/2)/MAX(0.5,'Control Room'!$B$14/4))^2),1)*IF(AND($A522&gt;='Control Room'!$A$15,$A522&lt;'Control Room'!$A$15+'Control Room'!$B$15,'Process'!BM4=1),1+('Control Room'!$C$15-1)*EXP(-0.5*(($A522-'Control Room'!$A$15-('Control Room'!$B$15-1)/2)/MAX(0.5,'Control Room'!$B$15/4))^2),1)*IF(AND($A522&gt;='Control Room'!$A$16,$A522&lt;'Control Room'!$A$16+'Control Room'!$B$16,'Process'!BM5=1),1+('Control Room'!$C$16-1)*EXP(-0.5*(($A522-'Control Room'!$A$16-('Control Room'!$B$16-1)/2)/MAX(0.5,'Control Room'!$B$16/4))^2),1)</x:f>
        <x:v>1</x:v>
      </x:c>
      <x:c r="Q522" s="9" t="n">
        <x:f>MOD(R521*16807,2147483647)</x:f>
        <x:v>1645772710</x:v>
      </x:c>
      <x:c r="R522" s="9" t="n">
        <x:f>MOD(Q522*16807,2147483647)</x:f>
        <x:v>912563610</x:v>
      </x:c>
      <x:c r="S522" s="17" t="n">
        <x:f>IF('Control Room'!$B$5="Normal",'Control Room'!$B$7+'Control Room'!$D$7*SQRT(-2*LN(MAX(0.000000000001,Q522/2147483647)))*COS(2*PI()*R522/2147483647),'Control Room'!$B$8+('Control Room'!$D$8-'Control Room'!$B$8)*Q522/2147483647)</x:f>
        <x:v>941.5109893917073</x:v>
      </x:c>
      <x:c r="T522" s="17" t="n">
        <x:f>IF('Control Room'!$B$5="Normal",'Control Room'!$B$7,('Control Room'!$B$8+'Control Room'!$D$8)/2)+'Control Room'!$B$9*(T521-IF('Control Room'!$B$5="Normal",'Control Room'!$B$7,('Control Room'!$B$8+'Control Room'!$D$8)/2))+SQRT(1-'Control Room'!$B$9^2)*(S522-IF('Control Room'!$B$5="Normal",'Control Room'!$B$7,('Control Room'!$B$8+'Control Room'!$D$8)/2))</x:f>
        <x:v>841.6942442818169</x:v>
      </x:c>
      <x:c r="U522" s="17" t="n">
        <x:f>IF(AND($A522&gt;='Control Room'!$A$13,$A522&lt;'Control Room'!$A$13+'Control Room'!$B$13,'Process'!BN2=1),1+('Control Room'!$C$13-1)*EXP(-0.5*(($A522-'Control Room'!$A$13-('Control Room'!$B$13-1)/2)/MAX(0.5,'Control Room'!$B$13/4))^2),1)*IF(AND($A522&gt;='Control Room'!$A$14,$A522&lt;'Control Room'!$A$14+'Control Room'!$B$14,'Process'!BN3=1),1+('Control Room'!$C$14-1)*EXP(-0.5*(($A522-'Control Room'!$A$14-('Control Room'!$B$14-1)/2)/MAX(0.5,'Control Room'!$B$14/4))^2),1)*IF(AND($A522&gt;='Control Room'!$A$15,$A522&lt;'Control Room'!$A$15+'Control Room'!$B$15,'Process'!BN4=1),1+('Control Room'!$C$15-1)*EXP(-0.5*(($A522-'Control Room'!$A$15-('Control Room'!$B$15-1)/2)/MAX(0.5,'Control Room'!$B$15/4))^2),1)*IF(AND($A522&gt;='Control Room'!$A$16,$A522&lt;'Control Room'!$A$16+'Control Room'!$B$16,'Process'!BN5=1),1+('Control Room'!$C$16-1)*EXP(-0.5*(($A522-'Control Room'!$A$16-('Control Room'!$B$16-1)/2)/MAX(0.5,'Control Room'!$B$16/4))^2),1)</x:f>
        <x:v>1</x:v>
      </x:c>
      <x:c r="V522" s="9" t="n">
        <x:f>MOD(W521*16807,2147483647)</x:f>
        <x:v>113522487</x:v>
      </x:c>
      <x:c r="W522" s="9" t="n">
        <x:f>MOD(V522*16807,2147483647)</x:f>
        <x:v>1006960473</x:v>
      </x:c>
      <x:c r="X522" s="17" t="n">
        <x:f>IF('Control Room'!$B$5="Normal",'Control Room'!$B$7+'Control Room'!$D$7*SQRT(-2*LN(MAX(0.000000000001,V522/2147483647)))*COS(2*PI()*W522/2147483647),'Control Room'!$B$8+('Control Room'!$D$8-'Control Room'!$B$8)*V522/2147483647)</x:f>
        <x:v>785.9124271085088</x:v>
      </x:c>
      <x:c r="Y522" s="17" t="n">
        <x:f>IF('Control Room'!$B$5="Normal",'Control Room'!$B$7,('Control Room'!$B$8+'Control Room'!$D$8)/2)+'Control Room'!$B$9*(Y521-IF('Control Room'!$B$5="Normal",'Control Room'!$B$7,('Control Room'!$B$8+'Control Room'!$D$8)/2))+SQRT(1-'Control Room'!$B$9^2)*(X522-IF('Control Room'!$B$5="Normal",'Control Room'!$B$7,('Control Room'!$B$8+'Control Room'!$D$8)/2))</x:f>
        <x:v>923.6080163779349</x:v>
      </x:c>
      <x:c r="Z522" s="17" t="n">
        <x:f>IF(AND($A522&gt;='Control Room'!$A$13,$A522&lt;'Control Room'!$A$13+'Control Room'!$B$13,'Process'!BO2=1),1+('Control Room'!$C$13-1)*EXP(-0.5*(($A522-'Control Room'!$A$13-('Control Room'!$B$13-1)/2)/MAX(0.5,'Control Room'!$B$13/4))^2),1)*IF(AND($A522&gt;='Control Room'!$A$14,$A522&lt;'Control Room'!$A$14+'Control Room'!$B$14,'Process'!BO3=1),1+('Control Room'!$C$14-1)*EXP(-0.5*(($A522-'Control Room'!$A$14-('Control Room'!$B$14-1)/2)/MAX(0.5,'Control Room'!$B$14/4))^2),1)*IF(AND($A522&gt;='Control Room'!$A$15,$A522&lt;'Control Room'!$A$15+'Control Room'!$B$15,'Process'!BO4=1),1+('Control Room'!$C$15-1)*EXP(-0.5*(($A522-'Control Room'!$A$15-('Control Room'!$B$15-1)/2)/MAX(0.5,'Control Room'!$B$15/4))^2),1)*IF(AND($A522&gt;='Control Room'!$A$16,$A522&lt;'Control Room'!$A$16+'Control Room'!$B$16,'Process'!BO5=1),1+('Control Room'!$C$16-1)*EXP(-0.5*(($A522-'Control Room'!$A$16-('Control Room'!$B$16-1)/2)/MAX(0.5,'Control Room'!$B$16/4))^2),1)</x:f>
        <x:v>1</x:v>
      </x:c>
      <x:c r="AA522" s="9" t="n">
        <x:f>MOD(AB521*16807,2147483647)</x:f>
        <x:v>728755911</x:v>
      </x:c>
      <x:c r="AB522" s="9" t="n">
        <x:f>MOD(AA522*16807,2147483647)</x:f>
        <x:v>1101357336</x:v>
      </x:c>
      <x:c r="AC522" s="17" t="n">
        <x:f>IF('Control Room'!$B$5="Normal",'Control Room'!$B$7+'Control Room'!$D$7*SQRT(-2*LN(MAX(0.000000000001,AA522/2147483647)))*COS(2*PI()*AB522/2147483647),'Control Room'!$B$8+('Control Room'!$D$8-'Control Room'!$B$8)*AA522/2147483647)</x:f>
        <x:v>868.1155581017565</x:v>
      </x:c>
      <x:c r="AD522" s="17" t="n">
        <x:f>IF('Control Room'!$B$5="Normal",'Control Room'!$B$7,('Control Room'!$B$8+'Control Room'!$D$8)/2)+'Control Room'!$B$9*(AD521-IF('Control Room'!$B$5="Normal",'Control Room'!$B$7,('Control Room'!$B$8+'Control Room'!$D$8)/2))+SQRT(1-'Control Room'!$B$9^2)*(AC522-IF('Control Room'!$B$5="Normal",'Control Room'!$B$7,('Control Room'!$B$8+'Control Room'!$D$8)/2))</x:f>
        <x:v>959.32526129766</x:v>
      </x:c>
      <x:c r="AE522" s="17" t="n">
        <x:f>IF(AND($A522&gt;='Control Room'!$A$13,$A522&lt;'Control Room'!$A$13+'Control Room'!$B$13,'Process'!BP2=1),1+('Control Room'!$C$13-1)*EXP(-0.5*(($A522-'Control Room'!$A$13-('Control Room'!$B$13-1)/2)/MAX(0.5,'Control Room'!$B$13/4))^2),1)*IF(AND($A522&gt;='Control Room'!$A$14,$A522&lt;'Control Room'!$A$14+'Control Room'!$B$14,'Process'!BP3=1),1+('Control Room'!$C$14-1)*EXP(-0.5*(($A522-'Control Room'!$A$14-('Control Room'!$B$14-1)/2)/MAX(0.5,'Control Room'!$B$14/4))^2),1)*IF(AND($A522&gt;='Control Room'!$A$15,$A522&lt;'Control Room'!$A$15+'Control Room'!$B$15,'Process'!BP4=1),1+('Control Room'!$C$15-1)*EXP(-0.5*(($A522-'Control Room'!$A$15-('Control Room'!$B$15-1)/2)/MAX(0.5,'Control Room'!$B$15/4))^2),1)*IF(AND($A522&gt;='Control Room'!$A$16,$A522&lt;'Control Room'!$A$16+'Control Room'!$B$16,'Process'!BP5=1),1+('Control Room'!$C$16-1)*EXP(-0.5*(($A522-'Control Room'!$A$16-('Control Room'!$B$16-1)/2)/MAX(0.5,'Control Room'!$B$16/4))^2),1)</x:f>
        <x:v>1</x:v>
      </x:c>
      <x:c r="AF522" s="9" t="n">
        <x:f>MOD(AG521*16807,2147483647)</x:f>
        <x:v>1343989335</x:v>
      </x:c>
      <x:c r="AG522" s="9" t="n">
        <x:f>MOD(AF522*16807,2147483647)</x:f>
        <x:v>1195754199</x:v>
      </x:c>
      <x:c r="AH522" s="17" t="n">
        <x:f>IF('Control Room'!$B$5="Normal",'Control Room'!$B$7+'Control Room'!$D$7*SQRT(-2*LN(MAX(0.000000000001,AF522/2147483647)))*COS(2*PI()*AG522/2147483647),'Control Room'!$B$8+('Control Room'!$D$8-'Control Room'!$B$8)*AF522/2147483647)</x:f>
        <x:v>918.3601980975398</x:v>
      </x:c>
      <x:c r="AI522" s="17" t="n">
        <x:f>IF('Control Room'!$B$5="Normal",'Control Room'!$B$7,('Control Room'!$B$8+'Control Room'!$D$8)/2)+'Control Room'!$B$9*(AI521-IF('Control Room'!$B$5="Normal",'Control Room'!$B$7,('Control Room'!$B$8+'Control Room'!$D$8)/2))+SQRT(1-'Control Room'!$B$9^2)*(AH522-IF('Control Room'!$B$5="Normal",'Control Room'!$B$7,('Control Room'!$B$8+'Control Room'!$D$8)/2))</x:f>
        <x:v>969.6232092846401</x:v>
      </x:c>
      <x:c r="AJ522" s="17" t="n">
        <x:f>IF(AND($A522&gt;='Control Room'!$A$13,$A522&lt;'Control Room'!$A$13+'Control Room'!$B$13,'Process'!BQ2=1),1+('Control Room'!$C$13-1)*EXP(-0.5*(($A522-'Control Room'!$A$13-('Control Room'!$B$13-1)/2)/MAX(0.5,'Control Room'!$B$13/4))^2),1)*IF(AND($A522&gt;='Control Room'!$A$14,$A522&lt;'Control Room'!$A$14+'Control Room'!$B$14,'Process'!BQ3=1),1+('Control Room'!$C$14-1)*EXP(-0.5*(($A522-'Control Room'!$A$14-('Control Room'!$B$14-1)/2)/MAX(0.5,'Control Room'!$B$14/4))^2),1)*IF(AND($A522&gt;='Control Room'!$A$15,$A522&lt;'Control Room'!$A$15+'Control Room'!$B$15,'Process'!BQ4=1),1+('Control Room'!$C$15-1)*EXP(-0.5*(($A522-'Control Room'!$A$15-('Control Room'!$B$15-1)/2)/MAX(0.5,'Control Room'!$B$15/4))^2),1)*IF(AND($A522&gt;='Control Room'!$A$16,$A522&lt;'Control Room'!$A$16+'Control Room'!$B$16,'Process'!BQ5=1),1+('Control Room'!$C$16-1)*EXP(-0.5*(($A522-'Control Room'!$A$16-('Control Room'!$B$16-1)/2)/MAX(0.5,'Control Room'!$B$16/4))^2),1)</x:f>
        <x:v>1</x:v>
      </x:c>
      <x:c r="AK522" s="9" t="n">
        <x:f>MOD(AL521*16807,2147483647)</x:f>
        <x:v>1959222759</x:v>
      </x:c>
      <x:c r="AL522" s="9" t="n">
        <x:f>MOD(AK522*16807,2147483647)</x:f>
        <x:v>1290151062</x:v>
      </x:c>
      <x:c r="AM522" s="17" t="n">
        <x:f>IF('Control Room'!$B$5="Normal",'Control Room'!$B$7+'Control Room'!$D$7*SQRT(-2*LN(MAX(0.000000000001,AK522/2147483647)))*COS(2*PI()*AL522/2147483647),'Control Room'!$B$8+('Control Room'!$D$8-'Control Room'!$B$8)*AK522/2147483647)</x:f>
        <x:v>968.9204691325613</x:v>
      </x:c>
      <x:c r="AN522" s="17" t="n">
        <x:f>IF('Control Room'!$B$5="Normal",'Control Room'!$B$7,('Control Room'!$B$8+'Control Room'!$D$8)/2)+'Control Room'!$B$9*(AN521-IF('Control Room'!$B$5="Normal",'Control Room'!$B$7,('Control Room'!$B$8+'Control Room'!$D$8)/2))+SQRT(1-'Control Room'!$B$9^2)*(AM522-IF('Control Room'!$B$5="Normal",'Control Room'!$B$7,('Control Room'!$B$8+'Control Room'!$D$8)/2))</x:f>
        <x:v>1031.1856793932227</x:v>
      </x:c>
      <x:c r="AO522" s="17" t="n">
        <x:f>IF(AND($A522&gt;='Control Room'!$A$13,$A522&lt;'Control Room'!$A$13+'Control Room'!$B$13,'Process'!BR2=1),1+('Control Room'!$C$13-1)*EXP(-0.5*(($A522-'Control Room'!$A$13-('Control Room'!$B$13-1)/2)/MAX(0.5,'Control Room'!$B$13/4))^2),1)*IF(AND($A522&gt;='Control Room'!$A$14,$A522&lt;'Control Room'!$A$14+'Control Room'!$B$14,'Process'!BR3=1),1+('Control Room'!$C$14-1)*EXP(-0.5*(($A522-'Control Room'!$A$14-('Control Room'!$B$14-1)/2)/MAX(0.5,'Control Room'!$B$14/4))^2),1)*IF(AND($A522&gt;='Control Room'!$A$15,$A522&lt;'Control Room'!$A$15+'Control Room'!$B$15,'Process'!BR4=1),1+('Control Room'!$C$15-1)*EXP(-0.5*(($A522-'Control Room'!$A$15-('Control Room'!$B$15-1)/2)/MAX(0.5,'Control Room'!$B$15/4))^2),1)*IF(AND($A522&gt;='Control Room'!$A$16,$A522&lt;'Control Room'!$A$16+'Control Room'!$B$16,'Process'!BR5=1),1+('Control Room'!$C$16-1)*EXP(-0.5*(($A522-'Control Room'!$A$16-('Control Room'!$B$16-1)/2)/MAX(0.5,'Control Room'!$B$16/4))^2),1)</x:f>
        <x:v>1</x:v>
      </x:c>
      <x:c r="AP522" s="9" t="n">
        <x:f>MOD(AQ521*16807,2147483647)</x:f>
        <x:v>426972536</x:v>
      </x:c>
      <x:c r="AQ522" s="9" t="n">
        <x:f>MOD(AP522*16807,2147483647)</x:f>
        <x:v>1384547925</x:v>
      </x:c>
      <x:c r="AR522" s="17" t="n">
        <x:f>IF('Control Room'!$B$5="Normal",'Control Room'!$B$7+'Control Room'!$D$7*SQRT(-2*LN(MAX(0.000000000001,AP522/2147483647)))*COS(2*PI()*AQ522/2147483647),'Control Room'!$B$8+('Control Room'!$D$8-'Control Room'!$B$8)*AP522/2147483647)</x:f>
        <x:v>900.6357989525605</x:v>
      </x:c>
      <x:c r="AS522" s="17" t="n">
        <x:f>IF('Control Room'!$B$5="Normal",'Control Room'!$B$7,('Control Room'!$B$8+'Control Room'!$D$8)/2)+'Control Room'!$B$9*(AS521-IF('Control Room'!$B$5="Normal",'Control Room'!$B$7,('Control Room'!$B$8+'Control Room'!$D$8)/2))+SQRT(1-'Control Room'!$B$9^2)*(AR522-IF('Control Room'!$B$5="Normal",'Control Room'!$B$7,('Control Room'!$B$8+'Control Room'!$D$8)/2))</x:f>
        <x:v>913.89224913383</x:v>
      </x:c>
      <x:c r="AT522" s="17" t="n">
        <x:f>IF(AND($A522&gt;='Control Room'!$A$13,$A522&lt;'Control Room'!$A$13+'Control Room'!$B$13,'Process'!BS2=1),1+('Control Room'!$C$13-1)*EXP(-0.5*(($A522-'Control Room'!$A$13-('Control Room'!$B$13-1)/2)/MAX(0.5,'Control Room'!$B$13/4))^2),1)*IF(AND($A522&gt;='Control Room'!$A$14,$A522&lt;'Control Room'!$A$14+'Control Room'!$B$14,'Process'!BS3=1),1+('Control Room'!$C$14-1)*EXP(-0.5*(($A522-'Control Room'!$A$14-('Control Room'!$B$14-1)/2)/MAX(0.5,'Control Room'!$B$14/4))^2),1)*IF(AND($A522&gt;='Control Room'!$A$15,$A522&lt;'Control Room'!$A$15+'Control Room'!$B$15,'Process'!BS4=1),1+('Control Room'!$C$15-1)*EXP(-0.5*(($A522-'Control Room'!$A$15-('Control Room'!$B$15-1)/2)/MAX(0.5,'Control Room'!$B$15/4))^2),1)*IF(AND($A522&gt;='Control Room'!$A$16,$A522&lt;'Control Room'!$A$16+'Control Room'!$B$16,'Process'!BS5=1),1+('Control Room'!$C$16-1)*EXP(-0.5*(($A522-'Control Room'!$A$16-('Control Room'!$B$16-1)/2)/MAX(0.5,'Control Room'!$B$16/4))^2),1)</x:f>
        <x:v>1</x:v>
      </x:c>
      <x:c r="AU522" s="9" t="n">
        <x:f>MOD(AV521*16807,2147483647)</x:f>
        <x:v>1042205960</x:v>
      </x:c>
      <x:c r="AV522" s="9" t="n">
        <x:f>MOD(AU522*16807,2147483647)</x:f>
        <x:v>1478944788</x:v>
      </x:c>
      <x:c r="AW522" s="17" t="n">
        <x:f>IF('Control Room'!$B$5="Normal",'Control Room'!$B$7+'Control Room'!$D$7*SQRT(-2*LN(MAX(0.000000000001,AU522/2147483647)))*COS(2*PI()*AV522/2147483647),'Control Room'!$B$8+('Control Room'!$D$8-'Control Room'!$B$8)*AU522/2147483647)</x:f>
        <x:v>959.3324494400065</x:v>
      </x:c>
      <x:c r="AX522" s="17" t="n">
        <x:f>IF('Control Room'!$B$5="Normal",'Control Room'!$B$7,('Control Room'!$B$8+'Control Room'!$D$8)/2)+'Control Room'!$B$9*(AX521-IF('Control Room'!$B$5="Normal",'Control Room'!$B$7,('Control Room'!$B$8+'Control Room'!$D$8)/2))+SQRT(1-'Control Room'!$B$9^2)*(AW522-IF('Control Room'!$B$5="Normal",'Control Room'!$B$7,('Control Room'!$B$8+'Control Room'!$D$8)/2))</x:f>
        <x:v>1046.5761815016572</x:v>
      </x:c>
      <x:c r="AY522" s="17" t="n">
        <x:f>IF(AND($A522&gt;='Control Room'!$A$13,$A522&lt;'Control Room'!$A$13+'Control Room'!$B$13,'Process'!BT2=1),1+('Control Room'!$C$13-1)*EXP(-0.5*(($A522-'Control Room'!$A$13-('Control Room'!$B$13-1)/2)/MAX(0.5,'Control Room'!$B$13/4))^2),1)*IF(AND($A522&gt;='Control Room'!$A$14,$A522&lt;'Control Room'!$A$14+'Control Room'!$B$14,'Process'!BT3=1),1+('Control Room'!$C$14-1)*EXP(-0.5*(($A522-'Control Room'!$A$14-('Control Room'!$B$14-1)/2)/MAX(0.5,'Control Room'!$B$14/4))^2),1)*IF(AND($A522&gt;='Control Room'!$A$15,$A522&lt;'Control Room'!$A$15+'Control Room'!$B$15,'Process'!BT4=1),1+('Control Room'!$C$15-1)*EXP(-0.5*(($A522-'Control Room'!$A$15-('Control Room'!$B$15-1)/2)/MAX(0.5,'Control Room'!$B$15/4))^2),1)*IF(AND($A522&gt;='Control Room'!$A$16,$A522&lt;'Control Room'!$A$16+'Control Room'!$B$16,'Process'!BT5=1),1+('Control Room'!$C$16-1)*EXP(-0.5*(($A522-'Control Room'!$A$16-('Control Room'!$B$16-1)/2)/MAX(0.5,'Control Room'!$B$16/4))^2),1)</x:f>
        <x:v>1</x:v>
      </x:c>
      <x:c r="AZ522" s="9" t="n">
        <x:f>MOD(BA521*16807,2147483647)</x:f>
        <x:v>1657439384</x:v>
      </x:c>
      <x:c r="BA522" s="9" t="n">
        <x:f>MOD(AZ522*16807,2147483647)</x:f>
        <x:v>1573341651</x:v>
      </x:c>
      <x:c r="BB522" s="17" t="n">
        <x:f>IF('Control Room'!$B$5="Normal",'Control Room'!$B$7+'Control Room'!$D$7*SQRT(-2*LN(MAX(0.000000000001,AZ522/2147483647)))*COS(2*PI()*BA522/2147483647),'Control Room'!$B$8+('Control Room'!$D$8-'Control Room'!$B$8)*AZ522/2147483647)</x:f>
        <x:v>992.9500259818852</x:v>
      </x:c>
      <x:c r="BC522" s="17" t="n">
        <x:f>IF('Control Room'!$B$5="Normal",'Control Room'!$B$7,('Control Room'!$B$8+'Control Room'!$D$8)/2)+'Control Room'!$B$9*(BC521-IF('Control Room'!$B$5="Normal",'Control Room'!$B$7,('Control Room'!$B$8+'Control Room'!$D$8)/2))+SQRT(1-'Control Room'!$B$9^2)*(BB522-IF('Control Room'!$B$5="Normal",'Control Room'!$B$7,('Control Room'!$B$8+'Control Room'!$D$8)/2))</x:f>
        <x:v>898.6182717133831</x:v>
      </x:c>
      <x:c r="BD522" s="17" t="n">
        <x:f>IF(AND($A522&gt;='Control Room'!$A$13,$A522&lt;'Control Room'!$A$13+'Control Room'!$B$13,'Process'!BU2=1),1+('Control Room'!$C$13-1)*EXP(-0.5*(($A522-'Control Room'!$A$13-('Control Room'!$B$13-1)/2)/MAX(0.5,'Control Room'!$B$13/4))^2),1)*IF(AND($A522&gt;='Control Room'!$A$14,$A522&lt;'Control Room'!$A$14+'Control Room'!$B$14,'Process'!BU3=1),1+('Control Room'!$C$14-1)*EXP(-0.5*(($A522-'Control Room'!$A$14-('Control Room'!$B$14-1)/2)/MAX(0.5,'Control Room'!$B$14/4))^2),1)*IF(AND($A522&gt;='Control Room'!$A$15,$A522&lt;'Control Room'!$A$15+'Control Room'!$B$15,'Process'!BU4=1),1+('Control Room'!$C$15-1)*EXP(-0.5*(($A522-'Control Room'!$A$15-('Control Room'!$B$15-1)/2)/MAX(0.5,'Control Room'!$B$15/4))^2),1)*IF(AND($A522&gt;='Control Room'!$A$16,$A522&lt;'Control Room'!$A$16+'Control Room'!$B$16,'Process'!BU5=1),1+('Control Room'!$C$16-1)*EXP(-0.5*(($A522-'Control Room'!$A$16-('Control Room'!$B$16-1)/2)/MAX(0.5,'Control Room'!$B$16/4))^2),1)</x:f>
        <x:v>1</x:v>
      </x:c>
      <x:c r="BE522" s="9" t="n">
        <x:f>MOD(BF521*16807,2147483647)</x:f>
        <x:v>125189161</x:v>
      </x:c>
      <x:c r="BF522" s="9" t="n">
        <x:f>MOD(BE522*16807,2147483647)</x:f>
        <x:v>1667738514</x:v>
      </x:c>
      <x:c r="BG522" s="17" t="n">
        <x:f>IF('Control Room'!$B$5="Normal",'Control Room'!$B$7+'Control Room'!$D$7*SQRT(-2*LN(MAX(0.000000000001,BE522/2147483647)))*COS(2*PI()*BF522/2147483647),'Control Room'!$B$8+('Control Room'!$D$8-'Control Room'!$B$8)*BE522/2147483647)</x:f>
        <x:v>1035.6980914785288</x:v>
      </x:c>
      <x:c r="BH522" s="17" t="n">
        <x:f>IF('Control Room'!$B$5="Normal",'Control Room'!$B$7,('Control Room'!$B$8+'Control Room'!$D$8)/2)+'Control Room'!$B$9*(BH521-IF('Control Room'!$B$5="Normal",'Control Room'!$B$7,('Control Room'!$B$8+'Control Room'!$D$8)/2))+SQRT(1-'Control Room'!$B$9^2)*(BG522-IF('Control Room'!$B$5="Normal",'Control Room'!$B$7,('Control Room'!$B$8+'Control Room'!$D$8)/2))</x:f>
        <x:v>1110.520514939617</x:v>
      </x:c>
      <x:c r="BI522" s="17" t="n">
        <x:f>IF(AND($A522&gt;='Control Room'!$A$13,$A522&lt;'Control Room'!$A$13+'Control Room'!$B$13,'Process'!BV2=1),1+('Control Room'!$C$13-1)*EXP(-0.5*(($A522-'Control Room'!$A$13-('Control Room'!$B$13-1)/2)/MAX(0.5,'Control Room'!$B$13/4))^2),1)*IF(AND($A522&gt;='Control Room'!$A$14,$A522&lt;'Control Room'!$A$14+'Control Room'!$B$14,'Process'!BV3=1),1+('Control Room'!$C$14-1)*EXP(-0.5*(($A522-'Control Room'!$A$14-('Control Room'!$B$14-1)/2)/MAX(0.5,'Control Room'!$B$14/4))^2),1)*IF(AND($A522&gt;='Control Room'!$A$15,$A522&lt;'Control Room'!$A$15+'Control Room'!$B$15,'Process'!BV4=1),1+('Control Room'!$C$15-1)*EXP(-0.5*(($A522-'Control Room'!$A$15-('Control Room'!$B$15-1)/2)/MAX(0.5,'Control Room'!$B$15/4))^2),1)*IF(AND($A522&gt;='Control Room'!$A$16,$A522&lt;'Control Room'!$A$16+'Control Room'!$B$16,'Process'!BV5=1),1+('Control Room'!$C$16-1)*EXP(-0.5*(($A522-'Control Room'!$A$16-('Control Room'!$B$16-1)/2)/MAX(0.5,'Control Room'!$B$16/4))^2),1)</x:f>
        <x:v>1</x:v>
      </x:c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Z522" t="str">
        <x:f>IF('Data'!A522="","",TEXT('Data'!A522,"mm-dd"))</x:f>
      </x:c>
    </x:row>
    <x:row r="523" ht="21" customHeight="1">
      <x:c r="A523" s="15" t="n">
        <x:f>'Control Room'!$B$1+521</x:f>
        <x:v>73512</x:v>
      </x:c>
      <x:c r="B523" s="9" t="n">
        <x:f>MOD(C522*16807,2147483647)</x:f>
        <x:v>1515402472</x:v>
      </x:c>
      <x:c r="C523" s="9" t="n">
        <x:f>MOD(B523*16807,2147483647)</x:f>
        <x:v>213293484</x:v>
      </x:c>
      <x:c r="D523" s="17" t="n">
        <x:f>IF('Control Room'!$B$5="Normal",'Control Room'!$B$7+'Control Room'!$D$7*SQRT(-2*LN(MAX(0.000000000001,B523/2147483647)))*COS(2*PI()*C523/2147483647),'Control Room'!$B$8+('Control Room'!$D$8-'Control Room'!$B$8)*B523/2147483647)</x:f>
        <x:v>1060.9853845719758</x:v>
      </x:c>
      <x:c r="E523" s="17" t="n">
        <x:f>IF('Control Room'!$B$5="Normal",'Control Room'!$B$7,('Control Room'!$B$8+'Control Room'!$D$8)/2)+'Control Room'!$B$9*(E522-IF('Control Room'!$B$5="Normal",'Control Room'!$B$7,('Control Room'!$B$8+'Control Room'!$D$8)/2))+SQRT(1-'Control Room'!$B$9^2)*(D523-IF('Control Room'!$B$5="Normal",'Control Room'!$B$7,('Control Room'!$B$8+'Control Room'!$D$8)/2))</x:f>
        <x:v>1016.5263188721424</x:v>
      </x:c>
      <x:c r="F523" s="17" t="n">
        <x:f>IF(AND($A523&gt;='Control Room'!$A$13,$A523&lt;'Control Room'!$A$13+'Control Room'!$B$13,'Process'!BK2=1),1+('Control Room'!$C$13-1)*EXP(-0.5*(($A523-'Control Room'!$A$13-('Control Room'!$B$13-1)/2)/MAX(0.5,'Control Room'!$B$13/4))^2),1)*IF(AND($A523&gt;='Control Room'!$A$14,$A523&lt;'Control Room'!$A$14+'Control Room'!$B$14,'Process'!BK3=1),1+('Control Room'!$C$14-1)*EXP(-0.5*(($A523-'Control Room'!$A$14-('Control Room'!$B$14-1)/2)/MAX(0.5,'Control Room'!$B$14/4))^2),1)*IF(AND($A523&gt;='Control Room'!$A$15,$A523&lt;'Control Room'!$A$15+'Control Room'!$B$15,'Process'!BK4=1),1+('Control Room'!$C$15-1)*EXP(-0.5*(($A523-'Control Room'!$A$15-('Control Room'!$B$15-1)/2)/MAX(0.5,'Control Room'!$B$15/4))^2),1)*IF(AND($A523&gt;='Control Room'!$A$16,$A523&lt;'Control Room'!$A$16+'Control Room'!$B$16,'Process'!BK5=1),1+('Control Room'!$C$16-1)*EXP(-0.5*(($A523-'Control Room'!$A$16-('Control Room'!$B$16-1)/2)/MAX(0.5,'Control Room'!$B$16/4))^2),1)</x:f>
        <x:v>1</x:v>
      </x:c>
      <x:c r="G523" s="9" t="n">
        <x:f>MOD(H522*16807,2147483647)</x:f>
        <x:v>1053063780</x:v>
      </x:c>
      <x:c r="H523" s="9" t="n">
        <x:f>MOD(G523*16807,2147483647)</x:f>
        <x:v>1430215533</x:v>
      </x:c>
      <x:c r="I523" s="17" t="n">
        <x:f>IF('Control Room'!$B$5="Normal",'Control Room'!$B$7+'Control Room'!$D$7*SQRT(-2*LN(MAX(0.000000000001,G523/2147483647)))*COS(2*PI()*H523/2147483647),'Control Room'!$B$8+('Control Room'!$D$8-'Control Room'!$B$8)*G523/2147483647)</x:f>
        <x:v>945.8868652806179</x:v>
      </x:c>
      <x:c r="J523" s="17" t="n">
        <x:f>IF('Control Room'!$B$5="Normal",'Control Room'!$B$7,('Control Room'!$B$8+'Control Room'!$D$8)/2)+'Control Room'!$B$9*(J522-IF('Control Room'!$B$5="Normal",'Control Room'!$B$7,('Control Room'!$B$8+'Control Room'!$D$8)/2))+SQRT(1-'Control Room'!$B$9^2)*(I523-IF('Control Room'!$B$5="Normal",'Control Room'!$B$7,('Control Room'!$B$8+'Control Room'!$D$8)/2))</x:f>
        <x:v>932.2498299030456</x:v>
      </x:c>
      <x:c r="K523" s="17" t="n">
        <x:f>IF(AND($A523&gt;='Control Room'!$A$13,$A523&lt;'Control Room'!$A$13+'Control Room'!$B$13,'Process'!BL2=1),1+('Control Room'!$C$13-1)*EXP(-0.5*(($A523-'Control Room'!$A$13-('Control Room'!$B$13-1)/2)/MAX(0.5,'Control Room'!$B$13/4))^2),1)*IF(AND($A523&gt;='Control Room'!$A$14,$A523&lt;'Control Room'!$A$14+'Control Room'!$B$14,'Process'!BL3=1),1+('Control Room'!$C$14-1)*EXP(-0.5*(($A523-'Control Room'!$A$14-('Control Room'!$B$14-1)/2)/MAX(0.5,'Control Room'!$B$14/4))^2),1)*IF(AND($A523&gt;='Control Room'!$A$15,$A523&lt;'Control Room'!$A$15+'Control Room'!$B$15,'Process'!BL4=1),1+('Control Room'!$C$15-1)*EXP(-0.5*(($A523-'Control Room'!$A$15-('Control Room'!$B$15-1)/2)/MAX(0.5,'Control Room'!$B$15/4))^2),1)*IF(AND($A523&gt;='Control Room'!$A$16,$A523&lt;'Control Room'!$A$16+'Control Room'!$B$16,'Process'!BL5=1),1+('Control Room'!$C$16-1)*EXP(-0.5*(($A523-'Control Room'!$A$16-('Control Room'!$B$16-1)/2)/MAX(0.5,'Control Room'!$B$16/4))^2),1)</x:f>
        <x:v>1</x:v>
      </x:c>
      <x:c r="L523" s="9" t="n">
        <x:f>MOD(M522*16807,2147483647)</x:f>
        <x:v>590725088</x:v>
      </x:c>
      <x:c r="M523" s="9" t="n">
        <x:f>MOD(L523*16807,2147483647)</x:f>
        <x:v>499653935</x:v>
      </x:c>
      <x:c r="N523" s="17" t="n">
        <x:f>IF('Control Room'!$B$5="Normal",'Control Room'!$B$7+'Control Room'!$D$7*SQRT(-2*LN(MAX(0.000000000001,L523/2147483647)))*COS(2*PI()*M523/2147483647),'Control Room'!$B$8+('Control Room'!$D$8-'Control Room'!$B$8)*L523/2147483647)</x:f>
        <x:v>1015.7145837476446</x:v>
      </x:c>
      <x:c r="O523" s="17" t="n">
        <x:f>IF('Control Room'!$B$5="Normal",'Control Room'!$B$7,('Control Room'!$B$8+'Control Room'!$D$8)/2)+'Control Room'!$B$9*(O522-IF('Control Room'!$B$5="Normal",'Control Room'!$B$7,('Control Room'!$B$8+'Control Room'!$D$8)/2))+SQRT(1-'Control Room'!$B$9^2)*(N523-IF('Control Room'!$B$5="Normal",'Control Room'!$B$7,('Control Room'!$B$8+'Control Room'!$D$8)/2))</x:f>
        <x:v>1052.3237855454784</x:v>
      </x:c>
      <x:c r="P523" s="17" t="n">
        <x:f>IF(AND($A523&gt;='Control Room'!$A$13,$A523&lt;'Control Room'!$A$13+'Control Room'!$B$13,'Process'!BM2=1),1+('Control Room'!$C$13-1)*EXP(-0.5*(($A523-'Control Room'!$A$13-('Control Room'!$B$13-1)/2)/MAX(0.5,'Control Room'!$B$13/4))^2),1)*IF(AND($A523&gt;='Control Room'!$A$14,$A523&lt;'Control Room'!$A$14+'Control Room'!$B$14,'Process'!BM3=1),1+('Control Room'!$C$14-1)*EXP(-0.5*(($A523-'Control Room'!$A$14-('Control Room'!$B$14-1)/2)/MAX(0.5,'Control Room'!$B$14/4))^2),1)*IF(AND($A523&gt;='Control Room'!$A$15,$A523&lt;'Control Room'!$A$15+'Control Room'!$B$15,'Process'!BM4=1),1+('Control Room'!$C$15-1)*EXP(-0.5*(($A523-'Control Room'!$A$15-('Control Room'!$B$15-1)/2)/MAX(0.5,'Control Room'!$B$15/4))^2),1)*IF(AND($A523&gt;='Control Room'!$A$16,$A523&lt;'Control Room'!$A$16+'Control Room'!$B$16,'Process'!BM5=1),1+('Control Room'!$C$16-1)*EXP(-0.5*(($A523-'Control Room'!$A$16-('Control Room'!$B$16-1)/2)/MAX(0.5,'Control Room'!$B$16/4))^2),1)</x:f>
        <x:v>1</x:v>
      </x:c>
      <x:c r="Q523" s="9" t="n">
        <x:f>MOD(R522*16807,2147483647)</x:f>
        <x:v>128386396</x:v>
      </x:c>
      <x:c r="R523" s="9" t="n">
        <x:f>MOD(Q523*16807,2147483647)</x:f>
        <x:v>1716575984</x:v>
      </x:c>
      <x:c r="S523" s="17" t="n">
        <x:f>IF('Control Room'!$B$5="Normal",'Control Room'!$B$7+'Control Room'!$D$7*SQRT(-2*LN(MAX(0.000000000001,Q523/2147483647)))*COS(2*PI()*R523/2147483647),'Control Room'!$B$8+('Control Room'!$D$8-'Control Room'!$B$8)*Q523/2147483647)</x:f>
        <x:v>1065.1743953445512</x:v>
      </x:c>
      <x:c r="T523" s="17" t="n">
        <x:f>IF('Control Room'!$B$5="Normal",'Control Room'!$B$7,('Control Room'!$B$8+'Control Room'!$D$8)/2)+'Control Room'!$B$9*(T522-IF('Control Room'!$B$5="Normal",'Control Room'!$B$7,('Control Room'!$B$8+'Control Room'!$D$8)/2))+SQRT(1-'Control Room'!$B$9^2)*(S523-IF('Control Room'!$B$5="Normal",'Control Room'!$B$7,('Control Room'!$B$8+'Control Room'!$D$8)/2))</x:f>
        <x:v>917.3063119763757</x:v>
      </x:c>
      <x:c r="U523" s="17" t="n">
        <x:f>IF(AND($A523&gt;='Control Room'!$A$13,$A523&lt;'Control Room'!$A$13+'Control Room'!$B$13,'Process'!BN2=1),1+('Control Room'!$C$13-1)*EXP(-0.5*(($A523-'Control Room'!$A$13-('Control Room'!$B$13-1)/2)/MAX(0.5,'Control Room'!$B$13/4))^2),1)*IF(AND($A523&gt;='Control Room'!$A$14,$A523&lt;'Control Room'!$A$14+'Control Room'!$B$14,'Process'!BN3=1),1+('Control Room'!$C$14-1)*EXP(-0.5*(($A523-'Control Room'!$A$14-('Control Room'!$B$14-1)/2)/MAX(0.5,'Control Room'!$B$14/4))^2),1)*IF(AND($A523&gt;='Control Room'!$A$15,$A523&lt;'Control Room'!$A$15+'Control Room'!$B$15,'Process'!BN4=1),1+('Control Room'!$C$15-1)*EXP(-0.5*(($A523-'Control Room'!$A$15-('Control Room'!$B$15-1)/2)/MAX(0.5,'Control Room'!$B$15/4))^2),1)*IF(AND($A523&gt;='Control Room'!$A$16,$A523&lt;'Control Room'!$A$16+'Control Room'!$B$16,'Process'!BN5=1),1+('Control Room'!$C$16-1)*EXP(-0.5*(($A523-'Control Room'!$A$16-('Control Room'!$B$16-1)/2)/MAX(0.5,'Control Room'!$B$16/4))^2),1)</x:f>
        <x:v>1</x:v>
      </x:c>
      <x:c r="V523" s="9" t="n">
        <x:f>MOD(W522*16807,2147483647)</x:f>
        <x:v>1813531351</x:v>
      </x:c>
      <x:c r="W523" s="9" t="n">
        <x:f>MOD(V523*16807,2147483647)</x:f>
        <x:v>786014386</x:v>
      </x:c>
      <x:c r="X523" s="17" t="n">
        <x:f>IF('Control Room'!$B$5="Normal",'Control Room'!$B$7+'Control Room'!$D$7*SQRT(-2*LN(MAX(0.000000000001,V523/2147483647)))*COS(2*PI()*W523/2147483647),'Control Room'!$B$8+('Control Room'!$D$8-'Control Room'!$B$8)*V523/2147483647)</x:f>
        <x:v>965.1454181991171</x:v>
      </x:c>
      <x:c r="Y523" s="17" t="n">
        <x:f>IF('Control Room'!$B$5="Normal",'Control Room'!$B$7,('Control Room'!$B$8+'Control Room'!$D$8)/2)+'Control Room'!$B$9*(Y522-IF('Control Room'!$B$5="Normal",'Control Room'!$B$7,('Control Room'!$B$8+'Control Room'!$D$8)/2))+SQRT(1-'Control Room'!$B$9^2)*(X523-IF('Control Room'!$B$5="Normal",'Control Room'!$B$7,('Control Room'!$B$8+'Control Room'!$D$8)/2))</x:f>
        <x:v>918.6029695187161</x:v>
      </x:c>
      <x:c r="Z523" s="17" t="n">
        <x:f>IF(AND($A523&gt;='Control Room'!$A$13,$A523&lt;'Control Room'!$A$13+'Control Room'!$B$13,'Process'!BO2=1),1+('Control Room'!$C$13-1)*EXP(-0.5*(($A523-'Control Room'!$A$13-('Control Room'!$B$13-1)/2)/MAX(0.5,'Control Room'!$B$13/4))^2),1)*IF(AND($A523&gt;='Control Room'!$A$14,$A523&lt;'Control Room'!$A$14+'Control Room'!$B$14,'Process'!BO3=1),1+('Control Room'!$C$14-1)*EXP(-0.5*(($A523-'Control Room'!$A$14-('Control Room'!$B$14-1)/2)/MAX(0.5,'Control Room'!$B$14/4))^2),1)*IF(AND($A523&gt;='Control Room'!$A$15,$A523&lt;'Control Room'!$A$15+'Control Room'!$B$15,'Process'!BO4=1),1+('Control Room'!$C$15-1)*EXP(-0.5*(($A523-'Control Room'!$A$15-('Control Room'!$B$15-1)/2)/MAX(0.5,'Control Room'!$B$15/4))^2),1)*IF(AND($A523&gt;='Control Room'!$A$16,$A523&lt;'Control Room'!$A$16+'Control Room'!$B$16,'Process'!BO5=1),1+('Control Room'!$C$16-1)*EXP(-0.5*(($A523-'Control Room'!$A$16-('Control Room'!$B$16-1)/2)/MAX(0.5,'Control Room'!$B$16/4))^2),1)</x:f>
        <x:v>1</x:v>
      </x:c>
      <x:c r="AA523" s="9" t="n">
        <x:f>MOD(AB522*16807,2147483647)</x:f>
        <x:v>1351192659</x:v>
      </x:c>
      <x:c r="AB523" s="9" t="n">
        <x:f>MOD(AA523*16807,2147483647)</x:f>
        <x:v>2002936435</x:v>
      </x:c>
      <x:c r="AC523" s="17" t="n">
        <x:f>IF('Control Room'!$B$5="Normal",'Control Room'!$B$7+'Control Room'!$D$7*SQRT(-2*LN(MAX(0.000000000001,AA523/2147483647)))*COS(2*PI()*AB523/2147483647),'Control Room'!$B$8+('Control Room'!$D$8-'Control Room'!$B$8)*AA523/2147483647)</x:f>
        <x:v>1079.0018358378666</x:v>
      </x:c>
      <x:c r="AD523" s="17" t="n">
        <x:f>IF('Control Room'!$B$5="Normal",'Control Room'!$B$7,('Control Room'!$B$8+'Control Room'!$D$8)/2)+'Control Room'!$B$9*(AD522-IF('Control Room'!$B$5="Normal",'Control Room'!$B$7,('Control Room'!$B$8+'Control Room'!$D$8)/2))+SQRT(1-'Control Room'!$B$9^2)*(AC523-IF('Control Room'!$B$5="Normal",'Control Room'!$B$7,('Control Room'!$B$8+'Control Room'!$D$8)/2))</x:f>
        <x:v>1017.7114342389344</x:v>
      </x:c>
      <x:c r="AE523" s="17" t="n">
        <x:f>IF(AND($A523&gt;='Control Room'!$A$13,$A523&lt;'Control Room'!$A$13+'Control Room'!$B$13,'Process'!BP2=1),1+('Control Room'!$C$13-1)*EXP(-0.5*(($A523-'Control Room'!$A$13-('Control Room'!$B$13-1)/2)/MAX(0.5,'Control Room'!$B$13/4))^2),1)*IF(AND($A523&gt;='Control Room'!$A$14,$A523&lt;'Control Room'!$A$14+'Control Room'!$B$14,'Process'!BP3=1),1+('Control Room'!$C$14-1)*EXP(-0.5*(($A523-'Control Room'!$A$14-('Control Room'!$B$14-1)/2)/MAX(0.5,'Control Room'!$B$14/4))^2),1)*IF(AND($A523&gt;='Control Room'!$A$15,$A523&lt;'Control Room'!$A$15+'Control Room'!$B$15,'Process'!BP4=1),1+('Control Room'!$C$15-1)*EXP(-0.5*(($A523-'Control Room'!$A$15-('Control Room'!$B$15-1)/2)/MAX(0.5,'Control Room'!$B$15/4))^2),1)*IF(AND($A523&gt;='Control Room'!$A$16,$A523&lt;'Control Room'!$A$16+'Control Room'!$B$16,'Process'!BP5=1),1+('Control Room'!$C$16-1)*EXP(-0.5*(($A523-'Control Room'!$A$16-('Control Room'!$B$16-1)/2)/MAX(0.5,'Control Room'!$B$16/4))^2),1)</x:f>
        <x:v>1</x:v>
      </x:c>
      <x:c r="AF523" s="9" t="n">
        <x:f>MOD(AG522*16807,2147483647)</x:f>
        <x:v>888853967</x:v>
      </x:c>
      <x:c r="AG523" s="9" t="n">
        <x:f>MOD(AF523*16807,2147483647)</x:f>
        <x:v>1072374837</x:v>
      </x:c>
      <x:c r="AH523" s="17" t="n">
        <x:f>IF('Control Room'!$B$5="Normal",'Control Room'!$B$7+'Control Room'!$D$7*SQRT(-2*LN(MAX(0.000000000001,AF523/2147483647)))*COS(2*PI()*AG523/2147483647),'Control Room'!$B$8+('Control Room'!$D$8-'Control Room'!$B$8)*AF523/2147483647)</x:f>
        <x:v>880.458791386304</x:v>
      </x:c>
      <x:c r="AI523" s="17" t="n">
        <x:f>IF('Control Room'!$B$5="Normal",'Control Room'!$B$7,('Control Room'!$B$8+'Control Room'!$D$8)/2)+'Control Room'!$B$9*(AI522-IF('Control Room'!$B$5="Normal",'Control Room'!$B$7,('Control Room'!$B$8+'Control Room'!$D$8)/2))+SQRT(1-'Control Room'!$B$9^2)*(AH523-IF('Control Room'!$B$5="Normal",'Control Room'!$B$7,('Control Room'!$B$8+'Control Room'!$D$8)/2))</x:f>
        <x:v>901.4996638263383</x:v>
      </x:c>
      <x:c r="AJ523" s="17" t="n">
        <x:f>IF(AND($A523&gt;='Control Room'!$A$13,$A523&lt;'Control Room'!$A$13+'Control Room'!$B$13,'Process'!BQ2=1),1+('Control Room'!$C$13-1)*EXP(-0.5*(($A523-'Control Room'!$A$13-('Control Room'!$B$13-1)/2)/MAX(0.5,'Control Room'!$B$13/4))^2),1)*IF(AND($A523&gt;='Control Room'!$A$14,$A523&lt;'Control Room'!$A$14+'Control Room'!$B$14,'Process'!BQ3=1),1+('Control Room'!$C$14-1)*EXP(-0.5*(($A523-'Control Room'!$A$14-('Control Room'!$B$14-1)/2)/MAX(0.5,'Control Room'!$B$14/4))^2),1)*IF(AND($A523&gt;='Control Room'!$A$15,$A523&lt;'Control Room'!$A$15+'Control Room'!$B$15,'Process'!BQ4=1),1+('Control Room'!$C$15-1)*EXP(-0.5*(($A523-'Control Room'!$A$15-('Control Room'!$B$15-1)/2)/MAX(0.5,'Control Room'!$B$15/4))^2),1)*IF(AND($A523&gt;='Control Room'!$A$16,$A523&lt;'Control Room'!$A$16+'Control Room'!$B$16,'Process'!BQ5=1),1+('Control Room'!$C$16-1)*EXP(-0.5*(($A523-'Control Room'!$A$16-('Control Room'!$B$16-1)/2)/MAX(0.5,'Control Room'!$B$16/4))^2),1)</x:f>
        <x:v>1</x:v>
      </x:c>
      <x:c r="AK523" s="9" t="n">
        <x:f>MOD(AL522*16807,2147483647)</x:f>
        <x:v>426515275</x:v>
      </x:c>
      <x:c r="AL523" s="9" t="n">
        <x:f>MOD(AK523*16807,2147483647)</x:f>
        <x:v>141813239</x:v>
      </x:c>
      <x:c r="AM523" s="17" t="n">
        <x:f>IF('Control Room'!$B$5="Normal",'Control Room'!$B$7+'Control Room'!$D$7*SQRT(-2*LN(MAX(0.000000000001,AK523/2147483647)))*COS(2*PI()*AL523/2147483647),'Control Room'!$B$8+('Control Room'!$D$8-'Control Room'!$B$8)*AK523/2147483647)</x:f>
        <x:v>1148.089276944189</x:v>
      </x:c>
      <x:c r="AN523" s="17" t="n">
        <x:f>IF('Control Room'!$B$5="Normal",'Control Room'!$B$7,('Control Room'!$B$8+'Control Room'!$D$8)/2)+'Control Room'!$B$9*(AN522-IF('Control Room'!$B$5="Normal",'Control Room'!$B$7,('Control Room'!$B$8+'Control Room'!$D$8)/2))+SQRT(1-'Control Room'!$B$9^2)*(AM523-IF('Control Room'!$B$5="Normal",'Control Room'!$B$7,('Control Room'!$B$8+'Control Room'!$D$8)/2))</x:f>
        <x:v>1116.9960656646485</x:v>
      </x:c>
      <x:c r="AO523" s="17" t="n">
        <x:f>IF(AND($A523&gt;='Control Room'!$A$13,$A523&lt;'Control Room'!$A$13+'Control Room'!$B$13,'Process'!BR2=1),1+('Control Room'!$C$13-1)*EXP(-0.5*(($A523-'Control Room'!$A$13-('Control Room'!$B$13-1)/2)/MAX(0.5,'Control Room'!$B$13/4))^2),1)*IF(AND($A523&gt;='Control Room'!$A$14,$A523&lt;'Control Room'!$A$14+'Control Room'!$B$14,'Process'!BR3=1),1+('Control Room'!$C$14-1)*EXP(-0.5*(($A523-'Control Room'!$A$14-('Control Room'!$B$14-1)/2)/MAX(0.5,'Control Room'!$B$14/4))^2),1)*IF(AND($A523&gt;='Control Room'!$A$15,$A523&lt;'Control Room'!$A$15+'Control Room'!$B$15,'Process'!BR4=1),1+('Control Room'!$C$15-1)*EXP(-0.5*(($A523-'Control Room'!$A$15-('Control Room'!$B$15-1)/2)/MAX(0.5,'Control Room'!$B$15/4))^2),1)*IF(AND($A523&gt;='Control Room'!$A$16,$A523&lt;'Control Room'!$A$16+'Control Room'!$B$16,'Process'!BR5=1),1+('Control Room'!$C$16-1)*EXP(-0.5*(($A523-'Control Room'!$A$16-('Control Room'!$B$16-1)/2)/MAX(0.5,'Control Room'!$B$16/4))^2),1)</x:f>
        <x:v>1</x:v>
      </x:c>
      <x:c r="AP523" s="9" t="n">
        <x:f>MOD(AQ522*16807,2147483647)</x:f>
        <x:v>2111660230</x:v>
      </x:c>
      <x:c r="AQ523" s="9" t="n">
        <x:f>MOD(AP523*16807,2147483647)</x:f>
        <x:v>1358735288</x:v>
      </x:c>
      <x:c r="AR523" s="17" t="n">
        <x:f>IF('Control Room'!$B$5="Normal",'Control Room'!$B$7+'Control Room'!$D$7*SQRT(-2*LN(MAX(0.000000000001,AP523/2147483647)))*COS(2*PI()*AQ523/2147483647),'Control Room'!$B$8+('Control Room'!$D$8-'Control Room'!$B$8)*AP523/2147483647)</x:f>
        <x:v>988.9059212586778</x:v>
      </x:c>
      <x:c r="AS523" s="17" t="n">
        <x:f>IF('Control Room'!$B$5="Normal",'Control Room'!$B$7,('Control Room'!$B$8+'Control Room'!$D$8)/2)+'Control Room'!$B$9*(AS522-IF('Control Room'!$B$5="Normal",'Control Room'!$B$7,('Control Room'!$B$8+'Control Room'!$D$8)/2))+SQRT(1-'Control Room'!$B$9^2)*(AR523-IF('Control Room'!$B$5="Normal",'Control Room'!$B$7,('Control Room'!$B$8+'Control Room'!$D$8)/2))</x:f>
        <x:v>925.8935071226244</x:v>
      </x:c>
      <x:c r="AT523" s="17" t="n">
        <x:f>IF(AND($A523&gt;='Control Room'!$A$13,$A523&lt;'Control Room'!$A$13+'Control Room'!$B$13,'Process'!BS2=1),1+('Control Room'!$C$13-1)*EXP(-0.5*(($A523-'Control Room'!$A$13-('Control Room'!$B$13-1)/2)/MAX(0.5,'Control Room'!$B$13/4))^2),1)*IF(AND($A523&gt;='Control Room'!$A$14,$A523&lt;'Control Room'!$A$14+'Control Room'!$B$14,'Process'!BS3=1),1+('Control Room'!$C$14-1)*EXP(-0.5*(($A523-'Control Room'!$A$14-('Control Room'!$B$14-1)/2)/MAX(0.5,'Control Room'!$B$14/4))^2),1)*IF(AND($A523&gt;='Control Room'!$A$15,$A523&lt;'Control Room'!$A$15+'Control Room'!$B$15,'Process'!BS4=1),1+('Control Room'!$C$15-1)*EXP(-0.5*(($A523-'Control Room'!$A$15-('Control Room'!$B$15-1)/2)/MAX(0.5,'Control Room'!$B$15/4))^2),1)*IF(AND($A523&gt;='Control Room'!$A$16,$A523&lt;'Control Room'!$A$16+'Control Room'!$B$16,'Process'!BS5=1),1+('Control Room'!$C$16-1)*EXP(-0.5*(($A523-'Control Room'!$A$16-('Control Room'!$B$16-1)/2)/MAX(0.5,'Control Room'!$B$16/4))^2),1)</x:f>
        <x:v>1</x:v>
      </x:c>
      <x:c r="AU523" s="9" t="n">
        <x:f>MOD(AV522*16807,2147483647)</x:f>
        <x:v>1649321538</x:v>
      </x:c>
      <x:c r="AV523" s="9" t="n">
        <x:f>MOD(AU523*16807,2147483647)</x:f>
        <x:v>428173690</x:v>
      </x:c>
      <x:c r="AW523" s="17" t="n">
        <x:f>IF('Control Room'!$B$5="Normal",'Control Room'!$B$7+'Control Room'!$D$7*SQRT(-2*LN(MAX(0.000000000001,AU523/2147483647)))*COS(2*PI()*AV523/2147483647),'Control Room'!$B$8+('Control Room'!$D$8-'Control Room'!$B$8)*AU523/2147483647)</x:f>
        <x:v>1020.4468663189402</x:v>
      </x:c>
      <x:c r="AX523" s="17" t="n">
        <x:f>IF('Control Room'!$B$5="Normal",'Control Room'!$B$7,('Control Room'!$B$8+'Control Room'!$D$8)/2)+'Control Room'!$B$9*(AX522-IF('Control Room'!$B$5="Normal",'Control Room'!$B$7,('Control Room'!$B$8+'Control Room'!$D$8)/2))+SQRT(1-'Control Room'!$B$9^2)*(AW523-IF('Control Room'!$B$5="Normal",'Control Room'!$B$7,('Control Room'!$B$8+'Control Room'!$D$8)/2))</x:f>
        <x:v>1049.124651636861</x:v>
      </x:c>
      <x:c r="AY523" s="17" t="n">
        <x:f>IF(AND($A523&gt;='Control Room'!$A$13,$A523&lt;'Control Room'!$A$13+'Control Room'!$B$13,'Process'!BT2=1),1+('Control Room'!$C$13-1)*EXP(-0.5*(($A523-'Control Room'!$A$13-('Control Room'!$B$13-1)/2)/MAX(0.5,'Control Room'!$B$13/4))^2),1)*IF(AND($A523&gt;='Control Room'!$A$14,$A523&lt;'Control Room'!$A$14+'Control Room'!$B$14,'Process'!BT3=1),1+('Control Room'!$C$14-1)*EXP(-0.5*(($A523-'Control Room'!$A$14-('Control Room'!$B$14-1)/2)/MAX(0.5,'Control Room'!$B$14/4))^2),1)*IF(AND($A523&gt;='Control Room'!$A$15,$A523&lt;'Control Room'!$A$15+'Control Room'!$B$15,'Process'!BT4=1),1+('Control Room'!$C$15-1)*EXP(-0.5*(($A523-'Control Room'!$A$15-('Control Room'!$B$15-1)/2)/MAX(0.5,'Control Room'!$B$15/4))^2),1)*IF(AND($A523&gt;='Control Room'!$A$16,$A523&lt;'Control Room'!$A$16+'Control Room'!$B$16,'Process'!BT5=1),1+('Control Room'!$C$16-1)*EXP(-0.5*(($A523-'Control Room'!$A$16-('Control Room'!$B$16-1)/2)/MAX(0.5,'Control Room'!$B$16/4))^2),1)</x:f>
        <x:v>1</x:v>
      </x:c>
      <x:c r="AZ523" s="9" t="n">
        <x:f>MOD(BA522*16807,2147483647)</x:f>
        <x:v>1186982846</x:v>
      </x:c>
      <x:c r="BA523" s="9" t="n">
        <x:f>MOD(AZ523*16807,2147483647)</x:f>
        <x:v>1645095739</x:v>
      </x:c>
      <x:c r="BB523" s="17" t="n">
        <x:f>IF('Control Room'!$B$5="Normal",'Control Room'!$B$7+'Control Room'!$D$7*SQRT(-2*LN(MAX(0.000000000001,AZ523/2147483647)))*COS(2*PI()*BA523/2147483647),'Control Room'!$B$8+('Control Room'!$D$8-'Control Room'!$B$8)*AZ523/2147483647)</x:f>
        <x:v>1009.870967638134</x:v>
      </x:c>
      <x:c r="BC523" s="17" t="n">
        <x:f>IF('Control Room'!$B$5="Normal",'Control Room'!$B$7,('Control Room'!$B$8+'Control Room'!$D$8)/2)+'Control Room'!$B$9*(BC522-IF('Control Room'!$B$5="Normal",'Control Room'!$B$7,('Control Room'!$B$8+'Control Room'!$D$8)/2))+SQRT(1-'Control Room'!$B$9^2)*(BB523-IF('Control Room'!$B$5="Normal",'Control Room'!$B$7,('Control Room'!$B$8+'Control Room'!$D$8)/2))</x:f>
        <x:v>927.0993012666196</x:v>
      </x:c>
      <x:c r="BD523" s="17" t="n">
        <x:f>IF(AND($A523&gt;='Control Room'!$A$13,$A523&lt;'Control Room'!$A$13+'Control Room'!$B$13,'Process'!BU2=1),1+('Control Room'!$C$13-1)*EXP(-0.5*(($A523-'Control Room'!$A$13-('Control Room'!$B$13-1)/2)/MAX(0.5,'Control Room'!$B$13/4))^2),1)*IF(AND($A523&gt;='Control Room'!$A$14,$A523&lt;'Control Room'!$A$14+'Control Room'!$B$14,'Process'!BU3=1),1+('Control Room'!$C$14-1)*EXP(-0.5*(($A523-'Control Room'!$A$14-('Control Room'!$B$14-1)/2)/MAX(0.5,'Control Room'!$B$14/4))^2),1)*IF(AND($A523&gt;='Control Room'!$A$15,$A523&lt;'Control Room'!$A$15+'Control Room'!$B$15,'Process'!BU4=1),1+('Control Room'!$C$15-1)*EXP(-0.5*(($A523-'Control Room'!$A$15-('Control Room'!$B$15-1)/2)/MAX(0.5,'Control Room'!$B$15/4))^2),1)*IF(AND($A523&gt;='Control Room'!$A$16,$A523&lt;'Control Room'!$A$16+'Control Room'!$B$16,'Process'!BU5=1),1+('Control Room'!$C$16-1)*EXP(-0.5*(($A523-'Control Room'!$A$16-('Control Room'!$B$16-1)/2)/MAX(0.5,'Control Room'!$B$16/4))^2),1)</x:f>
        <x:v>1</x:v>
      </x:c>
      <x:c r="BE523" s="9" t="n">
        <x:f>MOD(BF522*16807,2147483647)</x:f>
        <x:v>724644154</x:v>
      </x:c>
      <x:c r="BF523" s="9" t="n">
        <x:f>MOD(BE523*16807,2147483647)</x:f>
        <x:v>714534141</x:v>
      </x:c>
      <x:c r="BG523" s="17" t="n">
        <x:f>IF('Control Room'!$B$5="Normal",'Control Room'!$B$7+'Control Room'!$D$7*SQRT(-2*LN(MAX(0.000000000001,BE523/2147483647)))*COS(2*PI()*BF523/2147483647),'Control Room'!$B$8+('Control Room'!$D$8-'Control Room'!$B$8)*BE523/2147483647)</x:f>
        <x:v>934.1043420545578</x:v>
      </x:c>
      <x:c r="BH523" s="17" t="n">
        <x:f>IF('Control Room'!$B$5="Normal",'Control Room'!$B$7,('Control Room'!$B$8+'Control Room'!$D$8)/2)+'Control Room'!$B$9*(BH522-IF('Control Room'!$B$5="Normal",'Control Room'!$B$7,('Control Room'!$B$8+'Control Room'!$D$8)/2))+SQRT(1-'Control Room'!$B$9^2)*(BG523-IF('Control Room'!$B$5="Normal",'Control Room'!$B$7,('Control Room'!$B$8+'Control Room'!$D$8)/2))</x:f>
        <x:v>1044.9698488565728</x:v>
      </x:c>
      <x:c r="BI523" s="17" t="n">
        <x:f>IF(AND($A523&gt;='Control Room'!$A$13,$A523&lt;'Control Room'!$A$13+'Control Room'!$B$13,'Process'!BV2=1),1+('Control Room'!$C$13-1)*EXP(-0.5*(($A523-'Control Room'!$A$13-('Control Room'!$B$13-1)/2)/MAX(0.5,'Control Room'!$B$13/4))^2),1)*IF(AND($A523&gt;='Control Room'!$A$14,$A523&lt;'Control Room'!$A$14+'Control Room'!$B$14,'Process'!BV3=1),1+('Control Room'!$C$14-1)*EXP(-0.5*(($A523-'Control Room'!$A$14-('Control Room'!$B$14-1)/2)/MAX(0.5,'Control Room'!$B$14/4))^2),1)*IF(AND($A523&gt;='Control Room'!$A$15,$A523&lt;'Control Room'!$A$15+'Control Room'!$B$15,'Process'!BV4=1),1+('Control Room'!$C$15-1)*EXP(-0.5*(($A523-'Control Room'!$A$15-('Control Room'!$B$15-1)/2)/MAX(0.5,'Control Room'!$B$15/4))^2),1)*IF(AND($A523&gt;='Control Room'!$A$16,$A523&lt;'Control Room'!$A$16+'Control Room'!$B$16,'Process'!BV5=1),1+('Control Room'!$C$16-1)*EXP(-0.5*(($A523-'Control Room'!$A$16-('Control Room'!$B$16-1)/2)/MAX(0.5,'Control Room'!$B$16/4))^2),1)</x:f>
        <x:v>1</x:v>
      </x:c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Z523" t="str">
        <x:f>IF('Data'!A523="","",TEXT('Data'!A523,"mm-dd"))</x:f>
      </x:c>
    </x:row>
    <x:row r="524" ht="21" customHeight="1">
      <x:c r="A524" s="15" t="n">
        <x:f>'Control Room'!$B$1+522</x:f>
        <x:v>73513</x:v>
      </x:c>
      <x:c r="B524" s="9" t="n">
        <x:f>MOD(C523*16807,2147483647)</x:f>
        <x:v>673378745</x:v>
      </x:c>
      <x:c r="C524" s="9" t="n">
        <x:f>MOD(B524*16807,2147483647)</x:f>
        <x:v>237747525</x:v>
      </x:c>
      <x:c r="D524" s="17" t="n">
        <x:f>IF('Control Room'!$B$5="Normal",'Control Room'!$B$7+'Control Room'!$D$7*SQRT(-2*LN(MAX(0.000000000001,B524/2147483647)))*COS(2*PI()*C524/2147483647),'Control Room'!$B$8+('Control Room'!$D$8-'Control Room'!$B$8)*B524/2147483647)</x:f>
        <x:v>1105.2226045272241</x:v>
      </x:c>
      <x:c r="E524" s="17" t="n">
        <x:f>IF('Control Room'!$B$5="Normal",'Control Room'!$B$7,('Control Room'!$B$8+'Control Room'!$D$8)/2)+'Control Room'!$B$9*(E523-IF('Control Room'!$B$5="Normal",'Control Room'!$B$7,('Control Room'!$B$8+'Control Room'!$D$8)/2))+SQRT(1-'Control Room'!$B$9^2)*(D524-IF('Control Room'!$B$5="Normal",'Control Room'!$B$7,('Control Room'!$B$8+'Control Room'!$D$8)/2))</x:f>
        <x:v>1078.7366790311867</x:v>
      </x:c>
      <x:c r="F524" s="17" t="n">
        <x:f>IF(AND($A524&gt;='Control Room'!$A$13,$A524&lt;'Control Room'!$A$13+'Control Room'!$B$13,'Process'!BK2=1),1+('Control Room'!$C$13-1)*EXP(-0.5*(($A524-'Control Room'!$A$13-('Control Room'!$B$13-1)/2)/MAX(0.5,'Control Room'!$B$13/4))^2),1)*IF(AND($A524&gt;='Control Room'!$A$14,$A524&lt;'Control Room'!$A$14+'Control Room'!$B$14,'Process'!BK3=1),1+('Control Room'!$C$14-1)*EXP(-0.5*(($A524-'Control Room'!$A$14-('Control Room'!$B$14-1)/2)/MAX(0.5,'Control Room'!$B$14/4))^2),1)*IF(AND($A524&gt;='Control Room'!$A$15,$A524&lt;'Control Room'!$A$15+'Control Room'!$B$15,'Process'!BK4=1),1+('Control Room'!$C$15-1)*EXP(-0.5*(($A524-'Control Room'!$A$15-('Control Room'!$B$15-1)/2)/MAX(0.5,'Control Room'!$B$15/4))^2),1)*IF(AND($A524&gt;='Control Room'!$A$16,$A524&lt;'Control Room'!$A$16+'Control Room'!$B$16,'Process'!BK5=1),1+('Control Room'!$C$16-1)*EXP(-0.5*(($A524-'Control Room'!$A$16-('Control Room'!$B$16-1)/2)/MAX(0.5,'Control Room'!$B$16/4))^2),1)</x:f>
        <x:v>1</x:v>
      </x:c>
      <x:c r="G524" s="9" t="n">
        <x:f>MOD(H523*16807,2147483647)</x:f>
        <x:v>848002260</x:v>
      </x:c>
      <x:c r="H524" s="9" t="n">
        <x:f>MOD(G524*16807,2147483647)</x:f>
        <x:v>1672502328</x:v>
      </x:c>
      <x:c r="I524" s="17" t="n">
        <x:f>IF('Control Room'!$B$5="Normal",'Control Room'!$B$7+'Control Room'!$D$7*SQRT(-2*LN(MAX(0.000000000001,G524/2147483647)))*COS(2*PI()*H524/2147483647),'Control Room'!$B$8+('Control Room'!$D$8-'Control Room'!$B$8)*G524/2147483647)</x:f>
        <x:v>1022.0951240792483</x:v>
      </x:c>
      <x:c r="J524" s="17" t="n">
        <x:f>IF('Control Room'!$B$5="Normal",'Control Room'!$B$7,('Control Room'!$B$8+'Control Room'!$D$8)/2)+'Control Room'!$B$9*(J523-IF('Control Room'!$B$5="Normal",'Control Room'!$B$7,('Control Room'!$B$8+'Control Room'!$D$8)/2))+SQRT(1-'Control Room'!$B$9^2)*(I524-IF('Control Room'!$B$5="Normal",'Control Room'!$B$7,('Control Room'!$B$8+'Control Room'!$D$8)/2))</x:f>
        <x:v>960.9815433299491</x:v>
      </x:c>
      <x:c r="K524" s="17" t="n">
        <x:f>IF(AND($A524&gt;='Control Room'!$A$13,$A524&lt;'Control Room'!$A$13+'Control Room'!$B$13,'Process'!BL2=1),1+('Control Room'!$C$13-1)*EXP(-0.5*(($A524-'Control Room'!$A$13-('Control Room'!$B$13-1)/2)/MAX(0.5,'Control Room'!$B$13/4))^2),1)*IF(AND($A524&gt;='Control Room'!$A$14,$A524&lt;'Control Room'!$A$14+'Control Room'!$B$14,'Process'!BL3=1),1+('Control Room'!$C$14-1)*EXP(-0.5*(($A524-'Control Room'!$A$14-('Control Room'!$B$14-1)/2)/MAX(0.5,'Control Room'!$B$14/4))^2),1)*IF(AND($A524&gt;='Control Room'!$A$15,$A524&lt;'Control Room'!$A$15+'Control Room'!$B$15,'Process'!BL4=1),1+('Control Room'!$C$15-1)*EXP(-0.5*(($A524-'Control Room'!$A$15-('Control Room'!$B$15-1)/2)/MAX(0.5,'Control Room'!$B$15/4))^2),1)*IF(AND($A524&gt;='Control Room'!$A$16,$A524&lt;'Control Room'!$A$16+'Control Room'!$B$16,'Process'!BL5=1),1+('Control Room'!$C$16-1)*EXP(-0.5*(($A524-'Control Room'!$A$16-('Control Room'!$B$16-1)/2)/MAX(0.5,'Control Room'!$B$16/4))^2),1)</x:f>
        <x:v>1</x:v>
      </x:c>
      <x:c r="L524" s="9" t="n">
        <x:f>MOD(M523*16807,2147483647)</x:f>
        <x:v>1022625775</x:v>
      </x:c>
      <x:c r="M524" s="9" t="n">
        <x:f>MOD(L524*16807,2147483647)</x:f>
        <x:v>959773484</x:v>
      </x:c>
      <x:c r="N524" s="17" t="n">
        <x:f>IF('Control Room'!$B$5="Normal",'Control Room'!$B$7+'Control Room'!$D$7*SQRT(-2*LN(MAX(0.000000000001,L524/2147483647)))*COS(2*PI()*M524/2147483647),'Control Room'!$B$8+('Control Room'!$D$8-'Control Room'!$B$8)*L524/2147483647)</x:f>
        <x:v>896.4068500015682</x:v>
      </x:c>
      <x:c r="O524" s="17" t="n">
        <x:f>IF('Control Room'!$B$5="Normal",'Control Room'!$B$7,('Control Room'!$B$8+'Control Room'!$D$8)/2)+'Control Room'!$B$9*(O523-IF('Control Room'!$B$5="Normal",'Control Room'!$B$7,('Control Room'!$B$8+'Control Room'!$D$8)/2))+SQRT(1-'Control Room'!$B$9^2)*(N524-IF('Control Room'!$B$5="Normal",'Control Room'!$B$7,('Control Room'!$B$8+'Control Room'!$D$8)/2))</x:f>
        <x:v>975.9860816774851</x:v>
      </x:c>
      <x:c r="P524" s="17" t="n">
        <x:f>IF(AND($A524&gt;='Control Room'!$A$13,$A524&lt;'Control Room'!$A$13+'Control Room'!$B$13,'Process'!BM2=1),1+('Control Room'!$C$13-1)*EXP(-0.5*(($A524-'Control Room'!$A$13-('Control Room'!$B$13-1)/2)/MAX(0.5,'Control Room'!$B$13/4))^2),1)*IF(AND($A524&gt;='Control Room'!$A$14,$A524&lt;'Control Room'!$A$14+'Control Room'!$B$14,'Process'!BM3=1),1+('Control Room'!$C$14-1)*EXP(-0.5*(($A524-'Control Room'!$A$14-('Control Room'!$B$14-1)/2)/MAX(0.5,'Control Room'!$B$14/4))^2),1)*IF(AND($A524&gt;='Control Room'!$A$15,$A524&lt;'Control Room'!$A$15+'Control Room'!$B$15,'Process'!BM4=1),1+('Control Room'!$C$15-1)*EXP(-0.5*(($A524-'Control Room'!$A$15-('Control Room'!$B$15-1)/2)/MAX(0.5,'Control Room'!$B$15/4))^2),1)*IF(AND($A524&gt;='Control Room'!$A$16,$A524&lt;'Control Room'!$A$16+'Control Room'!$B$16,'Process'!BM5=1),1+('Control Room'!$C$16-1)*EXP(-0.5*(($A524-'Control Room'!$A$16-('Control Room'!$B$16-1)/2)/MAX(0.5,'Control Room'!$B$16/4))^2),1)</x:f>
        <x:v>1</x:v>
      </x:c>
      <x:c r="Q524" s="9" t="n">
        <x:f>MOD(R523*16807,2147483647)</x:f>
        <x:v>1197249290</x:v>
      </x:c>
      <x:c r="R524" s="9" t="n">
        <x:f>MOD(Q524*16807,2147483647)</x:f>
        <x:v>247044640</x:v>
      </x:c>
      <x:c r="S524" s="17" t="n">
        <x:f>IF('Control Room'!$B$5="Normal",'Control Room'!$B$7+'Control Room'!$D$7*SQRT(-2*LN(MAX(0.000000000001,Q524/2147483647)))*COS(2*PI()*R524/2147483647),'Control Room'!$B$8+('Control Room'!$D$8-'Control Room'!$B$8)*Q524/2147483647)</x:f>
        <x:v>1072.9618374526228</x:v>
      </x:c>
      <x:c r="T524" s="17" t="n">
        <x:f>IF('Control Room'!$B$5="Normal",'Control Room'!$B$7,('Control Room'!$B$8+'Control Room'!$D$8)/2)+'Control Room'!$B$9*(T523-IF('Control Room'!$B$5="Normal",'Control Room'!$B$7,('Control Room'!$B$8+'Control Room'!$D$8)/2))+SQRT(1-'Control Room'!$B$9^2)*(S524-IF('Control Room'!$B$5="Normal",'Control Room'!$B$7,('Control Room'!$B$8+'Control Room'!$D$8)/2))</x:f>
        <x:v>981.1569465149397</x:v>
      </x:c>
      <x:c r="U524" s="17" t="n">
        <x:f>IF(AND($A524&gt;='Control Room'!$A$13,$A524&lt;'Control Room'!$A$13+'Control Room'!$B$13,'Process'!BN2=1),1+('Control Room'!$C$13-1)*EXP(-0.5*(($A524-'Control Room'!$A$13-('Control Room'!$B$13-1)/2)/MAX(0.5,'Control Room'!$B$13/4))^2),1)*IF(AND($A524&gt;='Control Room'!$A$14,$A524&lt;'Control Room'!$A$14+'Control Room'!$B$14,'Process'!BN3=1),1+('Control Room'!$C$14-1)*EXP(-0.5*(($A524-'Control Room'!$A$14-('Control Room'!$B$14-1)/2)/MAX(0.5,'Control Room'!$B$14/4))^2),1)*IF(AND($A524&gt;='Control Room'!$A$15,$A524&lt;'Control Room'!$A$15+'Control Room'!$B$15,'Process'!BN4=1),1+('Control Room'!$C$15-1)*EXP(-0.5*(($A524-'Control Room'!$A$15-('Control Room'!$B$15-1)/2)/MAX(0.5,'Control Room'!$B$15/4))^2),1)*IF(AND($A524&gt;='Control Room'!$A$16,$A524&lt;'Control Room'!$A$16+'Control Room'!$B$16,'Process'!BN5=1),1+('Control Room'!$C$16-1)*EXP(-0.5*(($A524-'Control Room'!$A$16-('Control Room'!$B$16-1)/2)/MAX(0.5,'Control Room'!$B$16/4))^2),1)</x:f>
        <x:v>1</x:v>
      </x:c>
      <x:c r="V524" s="9" t="n">
        <x:f>MOD(W523*16807,2147483647)</x:f>
        <x:v>1371872805</x:v>
      </x:c>
      <x:c r="W524" s="9" t="n">
        <x:f>MOD(V524*16807,2147483647)</x:f>
        <x:v>1681799443</x:v>
      </x:c>
      <x:c r="X524" s="17" t="n">
        <x:f>IF('Control Room'!$B$5="Normal",'Control Room'!$B$7+'Control Room'!$D$7*SQRT(-2*LN(MAX(0.000000000001,V524/2147483647)))*COS(2*PI()*W524/2147483647),'Control Room'!$B$8+('Control Room'!$D$8-'Control Room'!$B$8)*V524/2147483647)</x:f>
        <x:v>1017.6180968155755</x:v>
      </x:c>
      <x:c r="Y524" s="17" t="n">
        <x:f>IF('Control Room'!$B$5="Normal",'Control Room'!$B$7,('Control Room'!$B$8+'Control Room'!$D$8)/2)+'Control Room'!$B$9*(Y523-IF('Control Room'!$B$5="Normal",'Control Room'!$B$7,('Control Room'!$B$8+'Control Room'!$D$8)/2))+SQRT(1-'Control Room'!$B$9^2)*(X524-IF('Control Room'!$B$5="Normal",'Control Room'!$B$7,('Control Room'!$B$8+'Control Room'!$D$8)/2))</x:f>
        <x:v>947.5353602854544</x:v>
      </x:c>
      <x:c r="Z524" s="17" t="n">
        <x:f>IF(AND($A524&gt;='Control Room'!$A$13,$A524&lt;'Control Room'!$A$13+'Control Room'!$B$13,'Process'!BO2=1),1+('Control Room'!$C$13-1)*EXP(-0.5*(($A524-'Control Room'!$A$13-('Control Room'!$B$13-1)/2)/MAX(0.5,'Control Room'!$B$13/4))^2),1)*IF(AND($A524&gt;='Control Room'!$A$14,$A524&lt;'Control Room'!$A$14+'Control Room'!$B$14,'Process'!BO3=1),1+('Control Room'!$C$14-1)*EXP(-0.5*(($A524-'Control Room'!$A$14-('Control Room'!$B$14-1)/2)/MAX(0.5,'Control Room'!$B$14/4))^2),1)*IF(AND($A524&gt;='Control Room'!$A$15,$A524&lt;'Control Room'!$A$15+'Control Room'!$B$15,'Process'!BO4=1),1+('Control Room'!$C$15-1)*EXP(-0.5*(($A524-'Control Room'!$A$15-('Control Room'!$B$15-1)/2)/MAX(0.5,'Control Room'!$B$15/4))^2),1)*IF(AND($A524&gt;='Control Room'!$A$16,$A524&lt;'Control Room'!$A$16+'Control Room'!$B$16,'Process'!BO5=1),1+('Control Room'!$C$16-1)*EXP(-0.5*(($A524-'Control Room'!$A$16-('Control Room'!$B$16-1)/2)/MAX(0.5,'Control Room'!$B$16/4))^2),1)</x:f>
        <x:v>1</x:v>
      </x:c>
      <x:c r="AA524" s="9" t="n">
        <x:f>MOD(AB523*16807,2147483647)</x:f>
        <x:v>1546496320</x:v>
      </x:c>
      <x:c r="AB524" s="9" t="n">
        <x:f>MOD(AA524*16807,2147483647)</x:f>
        <x:v>969070599</x:v>
      </x:c>
      <x:c r="AC524" s="17" t="n">
        <x:f>IF('Control Room'!$B$5="Normal",'Control Room'!$B$7+'Control Room'!$D$7*SQRT(-2*LN(MAX(0.000000000001,AA524/2147483647)))*COS(2*PI()*AB524/2147483647),'Control Room'!$B$8+('Control Room'!$D$8-'Control Room'!$B$8)*AA524/2147483647)</x:f>
        <x:v>930.4650030852994</x:v>
      </x:c>
      <x:c r="AD524" s="17" t="n">
        <x:f>IF('Control Room'!$B$5="Normal",'Control Room'!$B$7,('Control Room'!$B$8+'Control Room'!$D$8)/2)+'Control Room'!$B$9*(AD523-IF('Control Room'!$B$5="Normal",'Control Room'!$B$7,('Control Room'!$B$8+'Control Room'!$D$8)/2))+SQRT(1-'Control Room'!$B$9^2)*(AC524-IF('Control Room'!$B$5="Normal",'Control Room'!$B$7,('Control Room'!$B$8+'Control Room'!$D$8)/2))</x:f>
        <x:v>970.3013421389896</x:v>
      </x:c>
      <x:c r="AE524" s="17" t="n">
        <x:f>IF(AND($A524&gt;='Control Room'!$A$13,$A524&lt;'Control Room'!$A$13+'Control Room'!$B$13,'Process'!BP2=1),1+('Control Room'!$C$13-1)*EXP(-0.5*(($A524-'Control Room'!$A$13-('Control Room'!$B$13-1)/2)/MAX(0.5,'Control Room'!$B$13/4))^2),1)*IF(AND($A524&gt;='Control Room'!$A$14,$A524&lt;'Control Room'!$A$14+'Control Room'!$B$14,'Process'!BP3=1),1+('Control Room'!$C$14-1)*EXP(-0.5*(($A524-'Control Room'!$A$14-('Control Room'!$B$14-1)/2)/MAX(0.5,'Control Room'!$B$14/4))^2),1)*IF(AND($A524&gt;='Control Room'!$A$15,$A524&lt;'Control Room'!$A$15+'Control Room'!$B$15,'Process'!BP4=1),1+('Control Room'!$C$15-1)*EXP(-0.5*(($A524-'Control Room'!$A$15-('Control Room'!$B$15-1)/2)/MAX(0.5,'Control Room'!$B$15/4))^2),1)*IF(AND($A524&gt;='Control Room'!$A$16,$A524&lt;'Control Room'!$A$16+'Control Room'!$B$16,'Process'!BP5=1),1+('Control Room'!$C$16-1)*EXP(-0.5*(($A524-'Control Room'!$A$16-('Control Room'!$B$16-1)/2)/MAX(0.5,'Control Room'!$B$16/4))^2),1)</x:f>
        <x:v>1</x:v>
      </x:c>
      <x:c r="AF524" s="9" t="n">
        <x:f>MOD(AG523*16807,2147483647)</x:f>
        <x:v>1721119835</x:v>
      </x:c>
      <x:c r="AG524" s="9" t="n">
        <x:f>MOD(AF524*16807,2147483647)</x:f>
        <x:v>256341755</x:v>
      </x:c>
      <x:c r="AH524" s="17" t="n">
        <x:f>IF('Control Room'!$B$5="Normal",'Control Room'!$B$7+'Control Room'!$D$7*SQRT(-2*LN(MAX(0.000000000001,AF524/2147483647)))*COS(2*PI()*AG524/2147483647),'Control Room'!$B$8+('Control Room'!$D$8-'Control Room'!$B$8)*AF524/2147483647)</x:f>
        <x:v>1043.8117111080508</x:v>
      </x:c>
      <x:c r="AI524" s="17" t="n">
        <x:f>IF('Control Room'!$B$5="Normal",'Control Room'!$B$7,('Control Room'!$B$8+'Control Room'!$D$8)/2)+'Control Room'!$B$9*(AI523-IF('Control Room'!$B$5="Normal",'Control Room'!$B$7,('Control Room'!$B$8+'Control Room'!$D$8)/2))+SQRT(1-'Control Room'!$B$9^2)*(AH524-IF('Control Room'!$B$5="Normal",'Control Room'!$B$7,('Control Room'!$B$8+'Control Room'!$D$8)/2))</x:f>
        <x:v>950.5862090642747</x:v>
      </x:c>
      <x:c r="AJ524" s="17" t="n">
        <x:f>IF(AND($A524&gt;='Control Room'!$A$13,$A524&lt;'Control Room'!$A$13+'Control Room'!$B$13,'Process'!BQ2=1),1+('Control Room'!$C$13-1)*EXP(-0.5*(($A524-'Control Room'!$A$13-('Control Room'!$B$13-1)/2)/MAX(0.5,'Control Room'!$B$13/4))^2),1)*IF(AND($A524&gt;='Control Room'!$A$14,$A524&lt;'Control Room'!$A$14+'Control Room'!$B$14,'Process'!BQ3=1),1+('Control Room'!$C$14-1)*EXP(-0.5*(($A524-'Control Room'!$A$14-('Control Room'!$B$14-1)/2)/MAX(0.5,'Control Room'!$B$14/4))^2),1)*IF(AND($A524&gt;='Control Room'!$A$15,$A524&lt;'Control Room'!$A$15+'Control Room'!$B$15,'Process'!BQ4=1),1+('Control Room'!$C$15-1)*EXP(-0.5*(($A524-'Control Room'!$A$15-('Control Room'!$B$15-1)/2)/MAX(0.5,'Control Room'!$B$15/4))^2),1)*IF(AND($A524&gt;='Control Room'!$A$16,$A524&lt;'Control Room'!$A$16+'Control Room'!$B$16,'Process'!BQ5=1),1+('Control Room'!$C$16-1)*EXP(-0.5*(($A524-'Control Room'!$A$16-('Control Room'!$B$16-1)/2)/MAX(0.5,'Control Room'!$B$16/4))^2),1)</x:f>
        <x:v>1</x:v>
      </x:c>
      <x:c r="AK524" s="9" t="n">
        <x:f>MOD(AL523*16807,2147483647)</x:f>
        <x:v>1895743350</x:v>
      </x:c>
      <x:c r="AL524" s="9" t="n">
        <x:f>MOD(AK524*16807,2147483647)</x:f>
        <x:v>1691096558</x:v>
      </x:c>
      <x:c r="AM524" s="17" t="n">
        <x:f>IF('Control Room'!$B$5="Normal",'Control Room'!$B$7+'Control Room'!$D$7*SQRT(-2*LN(MAX(0.000000000001,AK524/2147483647)))*COS(2*PI()*AL524/2147483647),'Control Room'!$B$8+('Control Room'!$D$8-'Control Room'!$B$8)*AK524/2147483647)</x:f>
        <x:v>1010.4858414386132</x:v>
      </x:c>
      <x:c r="AN524" s="17" t="n">
        <x:f>IF('Control Room'!$B$5="Normal",'Control Room'!$B$7,('Control Room'!$B$8+'Control Room'!$D$8)/2)+'Control Room'!$B$9*(AN523-IF('Control Room'!$B$5="Normal",'Control Room'!$B$7,('Control Room'!$B$8+'Control Room'!$D$8)/2))+SQRT(1-'Control Room'!$B$9^2)*(AM524-IF('Control Room'!$B$5="Normal",'Control Room'!$B$7,('Control Room'!$B$8+'Control Room'!$D$8)/2))</x:f>
        <x:v>1097.818755976572</x:v>
      </x:c>
      <x:c r="AO524" s="17" t="n">
        <x:f>IF(AND($A524&gt;='Control Room'!$A$13,$A524&lt;'Control Room'!$A$13+'Control Room'!$B$13,'Process'!BR2=1),1+('Control Room'!$C$13-1)*EXP(-0.5*(($A524-'Control Room'!$A$13-('Control Room'!$B$13-1)/2)/MAX(0.5,'Control Room'!$B$13/4))^2),1)*IF(AND($A524&gt;='Control Room'!$A$14,$A524&lt;'Control Room'!$A$14+'Control Room'!$B$14,'Process'!BR3=1),1+('Control Room'!$C$14-1)*EXP(-0.5*(($A524-'Control Room'!$A$14-('Control Room'!$B$14-1)/2)/MAX(0.5,'Control Room'!$B$14/4))^2),1)*IF(AND($A524&gt;='Control Room'!$A$15,$A524&lt;'Control Room'!$A$15+'Control Room'!$B$15,'Process'!BR4=1),1+('Control Room'!$C$15-1)*EXP(-0.5*(($A524-'Control Room'!$A$15-('Control Room'!$B$15-1)/2)/MAX(0.5,'Control Room'!$B$15/4))^2),1)*IF(AND($A524&gt;='Control Room'!$A$16,$A524&lt;'Control Room'!$A$16+'Control Room'!$B$16,'Process'!BR5=1),1+('Control Room'!$C$16-1)*EXP(-0.5*(($A524-'Control Room'!$A$16-('Control Room'!$B$16-1)/2)/MAX(0.5,'Control Room'!$B$16/4))^2),1)</x:f>
        <x:v>1</x:v>
      </x:c>
      <x:c r="AP524" s="9" t="n">
        <x:f>MOD(AQ523*16807,2147483647)</x:f>
        <x:v>2070366865</x:v>
      </x:c>
      <x:c r="AQ524" s="9" t="n">
        <x:f>MOD(AP524*16807,2147483647)</x:f>
        <x:v>978367714</x:v>
      </x:c>
      <x:c r="AR524" s="17" t="n">
        <x:f>IF('Control Room'!$B$5="Normal",'Control Room'!$B$7+'Control Room'!$D$7*SQRT(-2*LN(MAX(0.000000000001,AP524/2147483647)))*COS(2*PI()*AQ524/2147483647),'Control Room'!$B$8+('Control Room'!$D$8-'Control Room'!$B$8)*AP524/2147483647)</x:f>
        <x:v>976.6012556655659</x:v>
      </x:c>
      <x:c r="AS524" s="17" t="n">
        <x:f>IF('Control Room'!$B$5="Normal",'Control Room'!$B$7,('Control Room'!$B$8+'Control Room'!$D$8)/2)+'Control Room'!$B$9*(AS523-IF('Control Room'!$B$5="Normal",'Control Room'!$B$7,('Control Room'!$B$8+'Control Room'!$D$8)/2))+SQRT(1-'Control Room'!$B$9^2)*(AR524-IF('Control Room'!$B$5="Normal",'Control Room'!$B$7,('Control Room'!$B$8+'Control Room'!$D$8)/2))</x:f>
        <x:v>927.5544807004909</x:v>
      </x:c>
      <x:c r="AT524" s="17" t="n">
        <x:f>IF(AND($A524&gt;='Control Room'!$A$13,$A524&lt;'Control Room'!$A$13+'Control Room'!$B$13,'Process'!BS2=1),1+('Control Room'!$C$13-1)*EXP(-0.5*(($A524-'Control Room'!$A$13-('Control Room'!$B$13-1)/2)/MAX(0.5,'Control Room'!$B$13/4))^2),1)*IF(AND($A524&gt;='Control Room'!$A$14,$A524&lt;'Control Room'!$A$14+'Control Room'!$B$14,'Process'!BS3=1),1+('Control Room'!$C$14-1)*EXP(-0.5*(($A524-'Control Room'!$A$14-('Control Room'!$B$14-1)/2)/MAX(0.5,'Control Room'!$B$14/4))^2),1)*IF(AND($A524&gt;='Control Room'!$A$15,$A524&lt;'Control Room'!$A$15+'Control Room'!$B$15,'Process'!BS4=1),1+('Control Room'!$C$15-1)*EXP(-0.5*(($A524-'Control Room'!$A$15-('Control Room'!$B$15-1)/2)/MAX(0.5,'Control Room'!$B$15/4))^2),1)*IF(AND($A524&gt;='Control Room'!$A$16,$A524&lt;'Control Room'!$A$16+'Control Room'!$B$16,'Process'!BS5=1),1+('Control Room'!$C$16-1)*EXP(-0.5*(($A524-'Control Room'!$A$16-('Control Room'!$B$16-1)/2)/MAX(0.5,'Control Room'!$B$16/4))^2),1)</x:f>
        <x:v>1</x:v>
      </x:c>
      <x:c r="AU524" s="9" t="n">
        <x:f>MOD(AV523*16807,2147483647)</x:f>
        <x:v>97506733</x:v>
      </x:c>
      <x:c r="AV524" s="9" t="n">
        <x:f>MOD(AU524*16807,2147483647)</x:f>
        <x:v>265638870</x:v>
      </x:c>
      <x:c r="AW524" s="17" t="n">
        <x:f>IF('Control Room'!$B$5="Normal",'Control Room'!$B$7+'Control Room'!$D$7*SQRT(-2*LN(MAX(0.000000000001,AU524/2147483647)))*COS(2*PI()*AV524/2147483647),'Control Room'!$B$8+('Control Room'!$D$8-'Control Room'!$B$8)*AU524/2147483647)</x:f>
        <x:v>1159.5497233554063</x:v>
      </x:c>
      <x:c r="AX524" s="17" t="n">
        <x:f>IF('Control Room'!$B$5="Normal",'Control Room'!$B$7,('Control Room'!$B$8+'Control Room'!$D$8)/2)+'Control Room'!$B$9*(AX523-IF('Control Room'!$B$5="Normal",'Control Room'!$B$7,('Control Room'!$B$8+'Control Room'!$D$8)/2))+SQRT(1-'Control Room'!$B$9^2)*(AW524-IF('Control Room'!$B$5="Normal",'Control Room'!$B$7,('Control Room'!$B$8+'Control Room'!$D$8)/2))</x:f>
        <x:v>1138.1601765988203</x:v>
      </x:c>
      <x:c r="AY524" s="17" t="n">
        <x:f>IF(AND($A524&gt;='Control Room'!$A$13,$A524&lt;'Control Room'!$A$13+'Control Room'!$B$13,'Process'!BT2=1),1+('Control Room'!$C$13-1)*EXP(-0.5*(($A524-'Control Room'!$A$13-('Control Room'!$B$13-1)/2)/MAX(0.5,'Control Room'!$B$13/4))^2),1)*IF(AND($A524&gt;='Control Room'!$A$14,$A524&lt;'Control Room'!$A$14+'Control Room'!$B$14,'Process'!BT3=1),1+('Control Room'!$C$14-1)*EXP(-0.5*(($A524-'Control Room'!$A$14-('Control Room'!$B$14-1)/2)/MAX(0.5,'Control Room'!$B$14/4))^2),1)*IF(AND($A524&gt;='Control Room'!$A$15,$A524&lt;'Control Room'!$A$15+'Control Room'!$B$15,'Process'!BT4=1),1+('Control Room'!$C$15-1)*EXP(-0.5*(($A524-'Control Room'!$A$15-('Control Room'!$B$15-1)/2)/MAX(0.5,'Control Room'!$B$15/4))^2),1)*IF(AND($A524&gt;='Control Room'!$A$16,$A524&lt;'Control Room'!$A$16+'Control Room'!$B$16,'Process'!BT5=1),1+('Control Room'!$C$16-1)*EXP(-0.5*(($A524-'Control Room'!$A$16-('Control Room'!$B$16-1)/2)/MAX(0.5,'Control Room'!$B$16/4))^2),1)</x:f>
        <x:v>1</x:v>
      </x:c>
      <x:c r="AZ524" s="9" t="n">
        <x:f>MOD(BA523*16807,2147483647)</x:f>
        <x:v>272130248</x:v>
      </x:c>
      <x:c r="BA524" s="9" t="n">
        <x:f>MOD(AZ524*16807,2147483647)</x:f>
        <x:v>1700393673</x:v>
      </x:c>
      <x:c r="BB524" s="17" t="n">
        <x:f>IF('Control Room'!$B$5="Normal",'Control Room'!$B$7+'Control Room'!$D$7*SQRT(-2*LN(MAX(0.000000000001,AZ524/2147483647)))*COS(2*PI()*BA524/2147483647),'Control Room'!$B$8+('Control Room'!$D$8-'Control Room'!$B$8)*AZ524/2147483647)</x:f>
        <x:v>1047.503609958085</x:v>
      </x:c>
      <x:c r="BC524" s="17" t="n">
        <x:f>IF('Control Room'!$B$5="Normal",'Control Room'!$B$7,('Control Room'!$B$8+'Control Room'!$D$8)/2)+'Control Room'!$B$9*(BC523-IF('Control Room'!$B$5="Normal",'Control Room'!$B$7,('Control Room'!$B$8+'Control Room'!$D$8)/2))+SQRT(1-'Control Room'!$B$9^2)*(BB524-IF('Control Room'!$B$5="Normal",'Control Room'!$B$7,('Control Room'!$B$8+'Control Room'!$D$8)/2))</x:f>
        <x:v>972.8642409353868</x:v>
      </x:c>
      <x:c r="BD524" s="17" t="n">
        <x:f>IF(AND($A524&gt;='Control Room'!$A$13,$A524&lt;'Control Room'!$A$13+'Control Room'!$B$13,'Process'!BU2=1),1+('Control Room'!$C$13-1)*EXP(-0.5*(($A524-'Control Room'!$A$13-('Control Room'!$B$13-1)/2)/MAX(0.5,'Control Room'!$B$13/4))^2),1)*IF(AND($A524&gt;='Control Room'!$A$14,$A524&lt;'Control Room'!$A$14+'Control Room'!$B$14,'Process'!BU3=1),1+('Control Room'!$C$14-1)*EXP(-0.5*(($A524-'Control Room'!$A$14-('Control Room'!$B$14-1)/2)/MAX(0.5,'Control Room'!$B$14/4))^2),1)*IF(AND($A524&gt;='Control Room'!$A$15,$A524&lt;'Control Room'!$A$15+'Control Room'!$B$15,'Process'!BU4=1),1+('Control Room'!$C$15-1)*EXP(-0.5*(($A524-'Control Room'!$A$15-('Control Room'!$B$15-1)/2)/MAX(0.5,'Control Room'!$B$15/4))^2),1)*IF(AND($A524&gt;='Control Room'!$A$16,$A524&lt;'Control Room'!$A$16+'Control Room'!$B$16,'Process'!BU5=1),1+('Control Room'!$C$16-1)*EXP(-0.5*(($A524-'Control Room'!$A$16-('Control Room'!$B$16-1)/2)/MAX(0.5,'Control Room'!$B$16/4))^2),1)</x:f>
        <x:v>1</x:v>
      </x:c>
      <x:c r="BE524" s="9" t="n">
        <x:f>MOD(BF523*16807,2147483647)</x:f>
        <x:v>446753763</x:v>
      </x:c>
      <x:c r="BF524" s="9" t="n">
        <x:f>MOD(BE524*16807,2147483647)</x:f>
        <x:v>987664829</x:v>
      </x:c>
      <x:c r="BG524" s="17" t="n">
        <x:f>IF('Control Room'!$B$5="Normal",'Control Room'!$B$7+'Control Room'!$D$7*SQRT(-2*LN(MAX(0.000000000001,BE524/2147483647)))*COS(2*PI()*BF524/2147483647),'Control Room'!$B$8+('Control Room'!$D$8-'Control Room'!$B$8)*BE524/2147483647)</x:f>
        <x:v>845.5484125249118</x:v>
      </x:c>
      <x:c r="BH524" s="17" t="n">
        <x:f>IF('Control Room'!$B$5="Normal",'Control Room'!$B$7,('Control Room'!$B$8+'Control Room'!$D$8)/2)+'Control Room'!$B$9*(BH523-IF('Control Room'!$B$5="Normal",'Control Room'!$B$7,('Control Room'!$B$8+'Control Room'!$D$8)/2))+SQRT(1-'Control Room'!$B$9^2)*(BG524-IF('Control Room'!$B$5="Normal",'Control Room'!$B$7,('Control Room'!$B$8+'Control Room'!$D$8)/2))</x:f>
        <x:v>938.4238427789709</x:v>
      </x:c>
      <x:c r="BI524" s="17" t="n">
        <x:f>IF(AND($A524&gt;='Control Room'!$A$13,$A524&lt;'Control Room'!$A$13+'Control Room'!$B$13,'Process'!BV2=1),1+('Control Room'!$C$13-1)*EXP(-0.5*(($A524-'Control Room'!$A$13-('Control Room'!$B$13-1)/2)/MAX(0.5,'Control Room'!$B$13/4))^2),1)*IF(AND($A524&gt;='Control Room'!$A$14,$A524&lt;'Control Room'!$A$14+'Control Room'!$B$14,'Process'!BV3=1),1+('Control Room'!$C$14-1)*EXP(-0.5*(($A524-'Control Room'!$A$14-('Control Room'!$B$14-1)/2)/MAX(0.5,'Control Room'!$B$14/4))^2),1)*IF(AND($A524&gt;='Control Room'!$A$15,$A524&lt;'Control Room'!$A$15+'Control Room'!$B$15,'Process'!BV4=1),1+('Control Room'!$C$15-1)*EXP(-0.5*(($A524-'Control Room'!$A$15-('Control Room'!$B$15-1)/2)/MAX(0.5,'Control Room'!$B$15/4))^2),1)*IF(AND($A524&gt;='Control Room'!$A$16,$A524&lt;'Control Room'!$A$16+'Control Room'!$B$16,'Process'!BV5=1),1+('Control Room'!$C$16-1)*EXP(-0.5*(($A524-'Control Room'!$A$16-('Control Room'!$B$16-1)/2)/MAX(0.5,'Control Room'!$B$16/4))^2),1)</x:f>
        <x:v>1</x:v>
      </x:c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Z524" t="str">
        <x:f>IF('Data'!A524="","",TEXT('Data'!A524,"mm-dd"))</x:f>
      </x:c>
    </x:row>
    <x:row r="525" ht="21" customHeight="1">
      <x:c r="A525" s="15" t="n">
        <x:f>'Control Room'!$B$1+523</x:f>
        <x:v>73514</x:v>
      </x:c>
      <x:c r="B525" s="9" t="n">
        <x:f>MOD(C524*16807,2147483647)</x:f>
        <x:v>1503069255</x:v>
      </x:c>
      <x:c r="C525" s="9" t="n">
        <x:f>MOD(B525*16807,2147483647)</x:f>
        <x:v>1234829124</x:v>
      </x:c>
      <x:c r="D525" s="17" t="n">
        <x:f>IF('Control Room'!$B$5="Normal",'Control Room'!$B$7+'Control Room'!$D$7*SQRT(-2*LN(MAX(0.000000000001,B525/2147483647)))*COS(2*PI()*C525/2147483647),'Control Room'!$B$8+('Control Room'!$D$8-'Control Room'!$B$8)*B525/2147483647)</x:f>
        <x:v>932.2629313959462</x:v>
      </x:c>
      <x:c r="E525" s="17" t="n">
        <x:f>IF('Control Room'!$B$5="Normal",'Control Room'!$B$7,('Control Room'!$B$8+'Control Room'!$D$8)/2)+'Control Room'!$B$9*(E524-IF('Control Room'!$B$5="Normal",'Control Room'!$B$7,('Control Room'!$B$8+'Control Room'!$D$8)/2))+SQRT(1-'Control Room'!$B$9^2)*(D525-IF('Control Room'!$B$5="Normal",'Control Room'!$B$7,('Control Room'!$B$8+'Control Room'!$D$8)/2))</x:f>
        <x:v>1019.0261397811856</x:v>
      </x:c>
      <x:c r="F525" s="17" t="n">
        <x:f>IF(AND($A525&gt;='Control Room'!$A$13,$A525&lt;'Control Room'!$A$13+'Control Room'!$B$13,'Process'!BK2=1),1+('Control Room'!$C$13-1)*EXP(-0.5*(($A525-'Control Room'!$A$13-('Control Room'!$B$13-1)/2)/MAX(0.5,'Control Room'!$B$13/4))^2),1)*IF(AND($A525&gt;='Control Room'!$A$14,$A525&lt;'Control Room'!$A$14+'Control Room'!$B$14,'Process'!BK3=1),1+('Control Room'!$C$14-1)*EXP(-0.5*(($A525-'Control Room'!$A$14-('Control Room'!$B$14-1)/2)/MAX(0.5,'Control Room'!$B$14/4))^2),1)*IF(AND($A525&gt;='Control Room'!$A$15,$A525&lt;'Control Room'!$A$15+'Control Room'!$B$15,'Process'!BK4=1),1+('Control Room'!$C$15-1)*EXP(-0.5*(($A525-'Control Room'!$A$15-('Control Room'!$B$15-1)/2)/MAX(0.5,'Control Room'!$B$15/4))^2),1)*IF(AND($A525&gt;='Control Room'!$A$16,$A525&lt;'Control Room'!$A$16+'Control Room'!$B$16,'Process'!BK5=1),1+('Control Room'!$C$16-1)*EXP(-0.5*(($A525-'Control Room'!$A$16-('Control Room'!$B$16-1)/2)/MAX(0.5,'Control Room'!$B$16/4))^2),1)</x:f>
        <x:v>1</x:v>
      </x:c>
      <x:c r="G525" s="9" t="n">
        <x:f>MOD(H524*16807,2147483647)</x:f>
        <x:v>1333171113</x:v>
      </x:c>
      <x:c r="H525" s="9" t="n">
        <x:f>MOD(G525*16807,2147483647)</x:f>
        <x:v>1910007040</x:v>
      </x:c>
      <x:c r="I525" s="17" t="n">
        <x:f>IF('Control Room'!$B$5="Normal",'Control Room'!$B$7+'Control Room'!$D$7*SQRT(-2*LN(MAX(0.000000000001,G525/2147483647)))*COS(2*PI()*H525/2147483647),'Control Room'!$B$8+('Control Room'!$D$8-'Control Room'!$B$8)*G525/2147483647)</x:f>
        <x:v>1067.507846136097</x:v>
      </x:c>
      <x:c r="J525" s="17" t="n">
        <x:f>IF('Control Room'!$B$5="Normal",'Control Room'!$B$7,('Control Room'!$B$8+'Control Room'!$D$8)/2)+'Control Room'!$B$9*(J524-IF('Control Room'!$B$5="Normal",'Control Room'!$B$7,('Control Room'!$B$8+'Control Room'!$D$8)/2))+SQRT(1-'Control Room'!$B$9^2)*(I525-IF('Control Room'!$B$5="Normal",'Control Room'!$B$7,('Control Room'!$B$8+'Control Room'!$D$8)/2))</x:f>
        <x:v>1011.8106309359304</x:v>
      </x:c>
      <x:c r="K525" s="17" t="n">
        <x:f>IF(AND($A525&gt;='Control Room'!$A$13,$A525&lt;'Control Room'!$A$13+'Control Room'!$B$13,'Process'!BL2=1),1+('Control Room'!$C$13-1)*EXP(-0.5*(($A525-'Control Room'!$A$13-('Control Room'!$B$13-1)/2)/MAX(0.5,'Control Room'!$B$13/4))^2),1)*IF(AND($A525&gt;='Control Room'!$A$14,$A525&lt;'Control Room'!$A$14+'Control Room'!$B$14,'Process'!BL3=1),1+('Control Room'!$C$14-1)*EXP(-0.5*(($A525-'Control Room'!$A$14-('Control Room'!$B$14-1)/2)/MAX(0.5,'Control Room'!$B$14/4))^2),1)*IF(AND($A525&gt;='Control Room'!$A$15,$A525&lt;'Control Room'!$A$15+'Control Room'!$B$15,'Process'!BL4=1),1+('Control Room'!$C$15-1)*EXP(-0.5*(($A525-'Control Room'!$A$15-('Control Room'!$B$15-1)/2)/MAX(0.5,'Control Room'!$B$15/4))^2),1)*IF(AND($A525&gt;='Control Room'!$A$16,$A525&lt;'Control Room'!$A$16+'Control Room'!$B$16,'Process'!BL5=1),1+('Control Room'!$C$16-1)*EXP(-0.5*(($A525-'Control Room'!$A$16-('Control Room'!$B$16-1)/2)/MAX(0.5,'Control Room'!$B$16/4))^2),1)</x:f>
        <x:v>1</x:v>
      </x:c>
      <x:c r="L525" s="9" t="n">
        <x:f>MOD(M524*16807,2147483647)</x:f>
        <x:v>1163272971</x:v>
      </x:c>
      <x:c r="M525" s="9" t="n">
        <x:f>MOD(L525*16807,2147483647)</x:f>
        <x:v>437701309</x:v>
      </x:c>
      <x:c r="N525" s="17" t="n">
        <x:f>IF('Control Room'!$B$5="Normal",'Control Room'!$B$7+'Control Room'!$D$7*SQRT(-2*LN(MAX(0.000000000001,L525/2147483647)))*COS(2*PI()*M525/2147483647),'Control Room'!$B$8+('Control Room'!$D$8-'Control Room'!$B$8)*L525/2147483647)</x:f>
        <x:v>1028.5119072637838</x:v>
      </x:c>
      <x:c r="O525" s="17" t="n">
        <x:f>IF('Control Room'!$B$5="Normal",'Control Room'!$B$7,('Control Room'!$B$8+'Control Room'!$D$8)/2)+'Control Room'!$B$9*(O524-IF('Control Room'!$B$5="Normal",'Control Room'!$B$7,('Control Room'!$B$8+'Control Room'!$D$8)/2))+SQRT(1-'Control Room'!$B$9^2)*(N525-IF('Control Room'!$B$5="Normal",'Control Room'!$B$7,('Control Room'!$B$8+'Control Room'!$D$8)/2))</x:f>
        <x:v>999.1113111759454</x:v>
      </x:c>
      <x:c r="P525" s="17" t="n">
        <x:f>IF(AND($A525&gt;='Control Room'!$A$13,$A525&lt;'Control Room'!$A$13+'Control Room'!$B$13,'Process'!BM2=1),1+('Control Room'!$C$13-1)*EXP(-0.5*(($A525-'Control Room'!$A$13-('Control Room'!$B$13-1)/2)/MAX(0.5,'Control Room'!$B$13/4))^2),1)*IF(AND($A525&gt;='Control Room'!$A$14,$A525&lt;'Control Room'!$A$14+'Control Room'!$B$14,'Process'!BM3=1),1+('Control Room'!$C$14-1)*EXP(-0.5*(($A525-'Control Room'!$A$14-('Control Room'!$B$14-1)/2)/MAX(0.5,'Control Room'!$B$14/4))^2),1)*IF(AND($A525&gt;='Control Room'!$A$15,$A525&lt;'Control Room'!$A$15+'Control Room'!$B$15,'Process'!BM4=1),1+('Control Room'!$C$15-1)*EXP(-0.5*(($A525-'Control Room'!$A$15-('Control Room'!$B$15-1)/2)/MAX(0.5,'Control Room'!$B$15/4))^2),1)*IF(AND($A525&gt;='Control Room'!$A$16,$A525&lt;'Control Room'!$A$16+'Control Room'!$B$16,'Process'!BM5=1),1+('Control Room'!$C$16-1)*EXP(-0.5*(($A525-'Control Room'!$A$16-('Control Room'!$B$16-1)/2)/MAX(0.5,'Control Room'!$B$16/4))^2),1)</x:f>
        <x:v>1</x:v>
      </x:c>
      <x:c r="Q525" s="9" t="n">
        <x:f>MOD(R524*16807,2147483647)</x:f>
        <x:v>993374829</x:v>
      </x:c>
      <x:c r="R525" s="9" t="n">
        <x:f>MOD(Q525*16807,2147483647)</x:f>
        <x:v>1112879225</x:v>
      </x:c>
      <x:c r="S525" s="17" t="n">
        <x:f>IF('Control Room'!$B$5="Normal",'Control Room'!$B$7+'Control Room'!$D$7*SQRT(-2*LN(MAX(0.000000000001,Q525/2147483647)))*COS(2*PI()*R525/2147483647),'Control Room'!$B$8+('Control Room'!$D$8-'Control Room'!$B$8)*Q525/2147483647)</x:f>
        <x:v>888.9763914451527</x:v>
      </x:c>
      <x:c r="T525" s="17" t="n">
        <x:f>IF('Control Room'!$B$5="Normal",'Control Room'!$B$7,('Control Room'!$B$8+'Control Room'!$D$8)/2)+'Control Room'!$B$9*(T524-IF('Control Room'!$B$5="Normal",'Control Room'!$B$7,('Control Room'!$B$8+'Control Room'!$D$8)/2))+SQRT(1-'Control Room'!$B$9^2)*(S525-IF('Control Room'!$B$5="Normal",'Control Room'!$B$7,('Control Room'!$B$8+'Control Room'!$D$8)/2))</x:f>
        <x:v>915.8261184902777</x:v>
      </x:c>
      <x:c r="U525" s="17" t="n">
        <x:f>IF(AND($A525&gt;='Control Room'!$A$13,$A525&lt;'Control Room'!$A$13+'Control Room'!$B$13,'Process'!BN2=1),1+('Control Room'!$C$13-1)*EXP(-0.5*(($A525-'Control Room'!$A$13-('Control Room'!$B$13-1)/2)/MAX(0.5,'Control Room'!$B$13/4))^2),1)*IF(AND($A525&gt;='Control Room'!$A$14,$A525&lt;'Control Room'!$A$14+'Control Room'!$B$14,'Process'!BN3=1),1+('Control Room'!$C$14-1)*EXP(-0.5*(($A525-'Control Room'!$A$14-('Control Room'!$B$14-1)/2)/MAX(0.5,'Control Room'!$B$14/4))^2),1)*IF(AND($A525&gt;='Control Room'!$A$15,$A525&lt;'Control Room'!$A$15+'Control Room'!$B$15,'Process'!BN4=1),1+('Control Room'!$C$15-1)*EXP(-0.5*(($A525-'Control Room'!$A$15-('Control Room'!$B$15-1)/2)/MAX(0.5,'Control Room'!$B$15/4))^2),1)*IF(AND($A525&gt;='Control Room'!$A$16,$A525&lt;'Control Room'!$A$16+'Control Room'!$B$16,'Process'!BN5=1),1+('Control Room'!$C$16-1)*EXP(-0.5*(($A525-'Control Room'!$A$16-('Control Room'!$B$16-1)/2)/MAX(0.5,'Control Room'!$B$16/4))^2),1)</x:f>
        <x:v>1</x:v>
      </x:c>
      <x:c r="V525" s="9" t="n">
        <x:f>MOD(W524*16807,2147483647)</x:f>
        <x:v>823476687</x:v>
      </x:c>
      <x:c r="W525" s="9" t="n">
        <x:f>MOD(V525*16807,2147483647)</x:f>
        <x:v>1788057141</x:v>
      </x:c>
      <x:c r="X525" s="17" t="n">
        <x:f>IF('Control Room'!$B$5="Normal",'Control Room'!$B$7+'Control Room'!$D$7*SQRT(-2*LN(MAX(0.000000000001,V525/2147483647)))*COS(2*PI()*W525/2147483647),'Control Room'!$B$8+('Control Room'!$D$8-'Control Room'!$B$8)*V525/2147483647)</x:f>
        <x:v>1061.8274470655288</x:v>
      </x:c>
      <x:c r="Y525" s="17" t="n">
        <x:f>IF('Control Room'!$B$5="Normal",'Control Room'!$B$7,('Control Room'!$B$8+'Control Room'!$D$8)/2)+'Control Room'!$B$9*(Y524-IF('Control Room'!$B$5="Normal",'Control Room'!$B$7,('Control Room'!$B$8+'Control Room'!$D$8)/2))+SQRT(1-'Control Room'!$B$9^2)*(X525-IF('Control Room'!$B$5="Normal",'Control Room'!$B$7,('Control Room'!$B$8+'Control Room'!$D$8)/2))</x:f>
        <x:v>997.7679307921632</x:v>
      </x:c>
      <x:c r="Z525" s="17" t="n">
        <x:f>IF(AND($A525&gt;='Control Room'!$A$13,$A525&lt;'Control Room'!$A$13+'Control Room'!$B$13,'Process'!BO2=1),1+('Control Room'!$C$13-1)*EXP(-0.5*(($A525-'Control Room'!$A$13-('Control Room'!$B$13-1)/2)/MAX(0.5,'Control Room'!$B$13/4))^2),1)*IF(AND($A525&gt;='Control Room'!$A$14,$A525&lt;'Control Room'!$A$14+'Control Room'!$B$14,'Process'!BO3=1),1+('Control Room'!$C$14-1)*EXP(-0.5*(($A525-'Control Room'!$A$14-('Control Room'!$B$14-1)/2)/MAX(0.5,'Control Room'!$B$14/4))^2),1)*IF(AND($A525&gt;='Control Room'!$A$15,$A525&lt;'Control Room'!$A$15+'Control Room'!$B$15,'Process'!BO4=1),1+('Control Room'!$C$15-1)*EXP(-0.5*(($A525-'Control Room'!$A$15-('Control Room'!$B$15-1)/2)/MAX(0.5,'Control Room'!$B$15/4))^2),1)*IF(AND($A525&gt;='Control Room'!$A$16,$A525&lt;'Control Room'!$A$16+'Control Room'!$B$16,'Process'!BO5=1),1+('Control Room'!$C$16-1)*EXP(-0.5*(($A525-'Control Room'!$A$16-('Control Room'!$B$16-1)/2)/MAX(0.5,'Control Room'!$B$16/4))^2),1)</x:f>
        <x:v>1</x:v>
      </x:c>
      <x:c r="AA525" s="9" t="n">
        <x:f>MOD(AB524*16807,2147483647)</x:f>
        <x:v>653578545</x:v>
      </x:c>
      <x:c r="AB525" s="9" t="n">
        <x:f>MOD(AA525*16807,2147483647)</x:f>
        <x:v>315751410</x:v>
      </x:c>
      <x:c r="AC525" s="17" t="n">
        <x:f>IF('Control Room'!$B$5="Normal",'Control Room'!$B$7+'Control Room'!$D$7*SQRT(-2*LN(MAX(0.000000000001,AA525/2147483647)))*COS(2*PI()*AB525/2147483647),'Control Room'!$B$8+('Control Room'!$D$8-'Control Room'!$B$8)*AA525/2147483647)</x:f>
        <x:v>1083.6763387693095</x:v>
      </x:c>
      <x:c r="AD525" s="17" t="n">
        <x:f>IF('Control Room'!$B$5="Normal",'Control Room'!$B$7,('Control Room'!$B$8+'Control Room'!$D$8)/2)+'Control Room'!$B$9*(AD524-IF('Control Room'!$B$5="Normal",'Control Room'!$B$7,('Control Room'!$B$8+'Control Room'!$D$8)/2))+SQRT(1-'Control Room'!$B$9^2)*(AC525-IF('Control Room'!$B$5="Normal",'Control Room'!$B$7,('Control Room'!$B$8+'Control Room'!$D$8)/2))</x:f>
        <x:v>1029.1979854672709</x:v>
      </x:c>
      <x:c r="AE525" s="17" t="n">
        <x:f>IF(AND($A525&gt;='Control Room'!$A$13,$A525&lt;'Control Room'!$A$13+'Control Room'!$B$13,'Process'!BP2=1),1+('Control Room'!$C$13-1)*EXP(-0.5*(($A525-'Control Room'!$A$13-('Control Room'!$B$13-1)/2)/MAX(0.5,'Control Room'!$B$13/4))^2),1)*IF(AND($A525&gt;='Control Room'!$A$14,$A525&lt;'Control Room'!$A$14+'Control Room'!$B$14,'Process'!BP3=1),1+('Control Room'!$C$14-1)*EXP(-0.5*(($A525-'Control Room'!$A$14-('Control Room'!$B$14-1)/2)/MAX(0.5,'Control Room'!$B$14/4))^2),1)*IF(AND($A525&gt;='Control Room'!$A$15,$A525&lt;'Control Room'!$A$15+'Control Room'!$B$15,'Process'!BP4=1),1+('Control Room'!$C$15-1)*EXP(-0.5*(($A525-'Control Room'!$A$15-('Control Room'!$B$15-1)/2)/MAX(0.5,'Control Room'!$B$15/4))^2),1)*IF(AND($A525&gt;='Control Room'!$A$16,$A525&lt;'Control Room'!$A$16+'Control Room'!$B$16,'Process'!BP5=1),1+('Control Room'!$C$16-1)*EXP(-0.5*(($A525-'Control Room'!$A$16-('Control Room'!$B$16-1)/2)/MAX(0.5,'Control Room'!$B$16/4))^2),1)</x:f>
        <x:v>1</x:v>
      </x:c>
      <x:c r="AF525" s="9" t="n">
        <x:f>MOD(AG524*16807,2147483647)</x:f>
        <x:v>483680403</x:v>
      </x:c>
      <x:c r="AG525" s="9" t="n">
        <x:f>MOD(AF525*16807,2147483647)</x:f>
        <x:v>990929326</x:v>
      </x:c>
      <x:c r="AH525" s="17" t="n">
        <x:f>IF('Control Room'!$B$5="Normal",'Control Room'!$B$7+'Control Room'!$D$7*SQRT(-2*LN(MAX(0.000000000001,AF525/2147483647)))*COS(2*PI()*AG525/2147483647),'Control Room'!$B$8+('Control Room'!$D$8-'Control Room'!$B$8)*AF525/2147483647)</x:f>
        <x:v>849.1423784767394</x:v>
      </x:c>
      <x:c r="AI525" s="17" t="n">
        <x:f>IF('Control Room'!$B$5="Normal",'Control Room'!$B$7,('Control Room'!$B$8+'Control Room'!$D$8)/2)+'Control Room'!$B$9*(AI524-IF('Control Room'!$B$5="Normal",'Control Room'!$B$7,('Control Room'!$B$8+'Control Room'!$D$8)/2))+SQRT(1-'Control Room'!$B$9^2)*(AH525-IF('Control Room'!$B$5="Normal",'Control Room'!$B$7,('Control Room'!$B$8+'Control Room'!$D$8)/2))</x:f>
        <x:v>867.0536340072376</x:v>
      </x:c>
      <x:c r="AJ525" s="17" t="n">
        <x:f>IF(AND($A525&gt;='Control Room'!$A$13,$A525&lt;'Control Room'!$A$13+'Control Room'!$B$13,'Process'!BQ2=1),1+('Control Room'!$C$13-1)*EXP(-0.5*(($A525-'Control Room'!$A$13-('Control Room'!$B$13-1)/2)/MAX(0.5,'Control Room'!$B$13/4))^2),1)*IF(AND($A525&gt;='Control Room'!$A$14,$A525&lt;'Control Room'!$A$14+'Control Room'!$B$14,'Process'!BQ3=1),1+('Control Room'!$C$14-1)*EXP(-0.5*(($A525-'Control Room'!$A$14-('Control Room'!$B$14-1)/2)/MAX(0.5,'Control Room'!$B$14/4))^2),1)*IF(AND($A525&gt;='Control Room'!$A$15,$A525&lt;'Control Room'!$A$15+'Control Room'!$B$15,'Process'!BQ4=1),1+('Control Room'!$C$15-1)*EXP(-0.5*(($A525-'Control Room'!$A$15-('Control Room'!$B$15-1)/2)/MAX(0.5,'Control Room'!$B$15/4))^2),1)*IF(AND($A525&gt;='Control Room'!$A$16,$A525&lt;'Control Room'!$A$16+'Control Room'!$B$16,'Process'!BQ5=1),1+('Control Room'!$C$16-1)*EXP(-0.5*(($A525-'Control Room'!$A$16-('Control Room'!$B$16-1)/2)/MAX(0.5,'Control Room'!$B$16/4))^2),1)</x:f>
        <x:v>1</x:v>
      </x:c>
      <x:c r="AK525" s="9" t="n">
        <x:f>MOD(AL524*16807,2147483647)</x:f>
        <x:v>313782261</x:v>
      </x:c>
      <x:c r="AL525" s="9" t="n">
        <x:f>MOD(AK525*16807,2147483647)</x:f>
        <x:v>1666107242</x:v>
      </x:c>
      <x:c r="AM525" s="17" t="n">
        <x:f>IF('Control Room'!$B$5="Normal",'Control Room'!$B$7+'Control Room'!$D$7*SQRT(-2*LN(MAX(0.000000000001,AK525/2147483647)))*COS(2*PI()*AL525/2147483647),'Control Room'!$B$8+('Control Room'!$D$8-'Control Room'!$B$8)*AK525/2147483647)</x:f>
        <x:v>1028.5349459966553</x:v>
      </x:c>
      <x:c r="AN525" s="17" t="n">
        <x:f>IF('Control Room'!$B$5="Normal",'Control Room'!$B$7,('Control Room'!$B$8+'Control Room'!$D$8)/2)+'Control Room'!$B$9*(AN524-IF('Control Room'!$B$5="Normal",'Control Room'!$B$7,('Control Room'!$B$8+'Control Room'!$D$8)/2))+SQRT(1-'Control Room'!$B$9^2)*(AM525-IF('Control Room'!$B$5="Normal",'Control Room'!$B$7,('Control Room'!$B$8+'Control Room'!$D$8)/2))</x:f>
        <x:v>1094.15521429629</x:v>
      </x:c>
      <x:c r="AO525" s="17" t="n">
        <x:f>IF(AND($A525&gt;='Control Room'!$A$13,$A525&lt;'Control Room'!$A$13+'Control Room'!$B$13,'Process'!BR2=1),1+('Control Room'!$C$13-1)*EXP(-0.5*(($A525-'Control Room'!$A$13-('Control Room'!$B$13-1)/2)/MAX(0.5,'Control Room'!$B$13/4))^2),1)*IF(AND($A525&gt;='Control Room'!$A$14,$A525&lt;'Control Room'!$A$14+'Control Room'!$B$14,'Process'!BR3=1),1+('Control Room'!$C$14-1)*EXP(-0.5*(($A525-'Control Room'!$A$14-('Control Room'!$B$14-1)/2)/MAX(0.5,'Control Room'!$B$14/4))^2),1)*IF(AND($A525&gt;='Control Room'!$A$15,$A525&lt;'Control Room'!$A$15+'Control Room'!$B$15,'Process'!BR4=1),1+('Control Room'!$C$15-1)*EXP(-0.5*(($A525-'Control Room'!$A$15-('Control Room'!$B$15-1)/2)/MAX(0.5,'Control Room'!$B$15/4))^2),1)*IF(AND($A525&gt;='Control Room'!$A$16,$A525&lt;'Control Room'!$A$16+'Control Room'!$B$16,'Process'!BR5=1),1+('Control Room'!$C$16-1)*EXP(-0.5*(($A525-'Control Room'!$A$16-('Control Room'!$B$16-1)/2)/MAX(0.5,'Control Room'!$B$16/4))^2),1)</x:f>
        <x:v>1</x:v>
      </x:c>
      <x:c r="AP525" s="9" t="n">
        <x:f>MOD(AQ524*16807,2147483647)</x:f>
        <x:v>143884119</x:v>
      </x:c>
      <x:c r="AQ525" s="9" t="n">
        <x:f>MOD(AP525*16807,2147483647)</x:f>
        <x:v>193801511</x:v>
      </x:c>
      <x:c r="AR525" s="17" t="n">
        <x:f>IF('Control Room'!$B$5="Normal",'Control Room'!$B$7+'Control Room'!$D$7*SQRT(-2*LN(MAX(0.000000000001,AP525/2147483647)))*COS(2*PI()*AQ525/2147483647),'Control Room'!$B$8+('Control Room'!$D$8-'Control Room'!$B$8)*AP525/2147483647)</x:f>
        <x:v>1176.5097548866522</x:v>
      </x:c>
      <x:c r="AS525" s="17" t="n">
        <x:f>IF('Control Room'!$B$5="Normal",'Control Room'!$B$7,('Control Room'!$B$8+'Control Room'!$D$8)/2)+'Control Room'!$B$9*(AS524-IF('Control Room'!$B$5="Normal",'Control Room'!$B$7,('Control Room'!$B$8+'Control Room'!$D$8)/2))+SQRT(1-'Control Room'!$B$9^2)*(AR525-IF('Control Room'!$B$5="Normal",'Control Room'!$B$7,('Control Room'!$B$8+'Control Room'!$D$8)/2))</x:f>
        <x:v>1053.948683555574</x:v>
      </x:c>
      <x:c r="AT525" s="17" t="n">
        <x:f>IF(AND($A525&gt;='Control Room'!$A$13,$A525&lt;'Control Room'!$A$13+'Control Room'!$B$13,'Process'!BS2=1),1+('Control Room'!$C$13-1)*EXP(-0.5*(($A525-'Control Room'!$A$13-('Control Room'!$B$13-1)/2)/MAX(0.5,'Control Room'!$B$13/4))^2),1)*IF(AND($A525&gt;='Control Room'!$A$14,$A525&lt;'Control Room'!$A$14+'Control Room'!$B$14,'Process'!BS3=1),1+('Control Room'!$C$14-1)*EXP(-0.5*(($A525-'Control Room'!$A$14-('Control Room'!$B$14-1)/2)/MAX(0.5,'Control Room'!$B$14/4))^2),1)*IF(AND($A525&gt;='Control Room'!$A$15,$A525&lt;'Control Room'!$A$15+'Control Room'!$B$15,'Process'!BS4=1),1+('Control Room'!$C$15-1)*EXP(-0.5*(($A525-'Control Room'!$A$15-('Control Room'!$B$15-1)/2)/MAX(0.5,'Control Room'!$B$15/4))^2),1)*IF(AND($A525&gt;='Control Room'!$A$16,$A525&lt;'Control Room'!$A$16+'Control Room'!$B$16,'Process'!BS5=1),1+('Control Room'!$C$16-1)*EXP(-0.5*(($A525-'Control Room'!$A$16-('Control Room'!$B$16-1)/2)/MAX(0.5,'Control Room'!$B$16/4))^2),1)</x:f>
        <x:v>1</x:v>
      </x:c>
      <x:c r="AU525" s="9" t="n">
        <x:f>MOD(AV524*16807,2147483647)</x:f>
        <x:v>2121469624</x:v>
      </x:c>
      <x:c r="AV525" s="9" t="n">
        <x:f>MOD(AU525*16807,2147483647)</x:f>
        <x:v>868979427</x:v>
      </x:c>
      <x:c r="AW525" s="17" t="n">
        <x:f>IF('Control Room'!$B$5="Normal",'Control Room'!$B$7+'Control Room'!$D$7*SQRT(-2*LN(MAX(0.000000000001,AU525/2147483647)))*COS(2*PI()*AV525/2147483647),'Control Room'!$B$8+('Control Room'!$D$8-'Control Room'!$B$8)*AU525/2147483647)</x:f>
        <x:v>988.3957888452235</x:v>
      </x:c>
      <x:c r="AX525" s="17" t="n">
        <x:f>IF('Control Room'!$B$5="Normal",'Control Room'!$B$7,('Control Room'!$B$8+'Control Room'!$D$8)/2)+'Control Room'!$B$9*(AX524-IF('Control Room'!$B$5="Normal",'Control Room'!$B$7,('Control Room'!$B$8+'Control Room'!$D$8)/2))+SQRT(1-'Control Room'!$B$9^2)*(AW525-IF('Control Room'!$B$5="Normal",'Control Room'!$B$7,('Control Room'!$B$8+'Control Room'!$D$8)/2))</x:f>
        <x:v>1100.5032601316077</x:v>
      </x:c>
      <x:c r="AY525" s="17" t="n">
        <x:f>IF(AND($A525&gt;='Control Room'!$A$13,$A525&lt;'Control Room'!$A$13+'Control Room'!$B$13,'Process'!BT2=1),1+('Control Room'!$C$13-1)*EXP(-0.5*(($A525-'Control Room'!$A$13-('Control Room'!$B$13-1)/2)/MAX(0.5,'Control Room'!$B$13/4))^2),1)*IF(AND($A525&gt;='Control Room'!$A$14,$A525&lt;'Control Room'!$A$14+'Control Room'!$B$14,'Process'!BT3=1),1+('Control Room'!$C$14-1)*EXP(-0.5*(($A525-'Control Room'!$A$14-('Control Room'!$B$14-1)/2)/MAX(0.5,'Control Room'!$B$14/4))^2),1)*IF(AND($A525&gt;='Control Room'!$A$15,$A525&lt;'Control Room'!$A$15+'Control Room'!$B$15,'Process'!BT4=1),1+('Control Room'!$C$15-1)*EXP(-0.5*(($A525-'Control Room'!$A$15-('Control Room'!$B$15-1)/2)/MAX(0.5,'Control Room'!$B$15/4))^2),1)*IF(AND($A525&gt;='Control Room'!$A$16,$A525&lt;'Control Room'!$A$16+'Control Room'!$B$16,'Process'!BT5=1),1+('Control Room'!$C$16-1)*EXP(-0.5*(($A525-'Control Room'!$A$16-('Control Room'!$B$16-1)/2)/MAX(0.5,'Control Room'!$B$16/4))^2),1)</x:f>
        <x:v>1</x:v>
      </x:c>
      <x:c r="AZ525" s="9" t="n">
        <x:f>MOD(BA524*16807,2147483647)</x:f>
        <x:v>1951571482</x:v>
      </x:c>
      <x:c r="BA525" s="9" t="n">
        <x:f>MOD(AZ525*16807,2147483647)</x:f>
        <x:v>1544157343</x:v>
      </x:c>
      <x:c r="BB525" s="17" t="n">
        <x:f>IF('Control Room'!$B$5="Normal",'Control Room'!$B$7+'Control Room'!$D$7*SQRT(-2*LN(MAX(0.000000000001,AZ525/2147483647)))*COS(2*PI()*BA525/2147483647),'Control Room'!$B$8+('Control Room'!$D$8-'Control Room'!$B$8)*AZ525/2147483647)</x:f>
        <x:v>992.3938108812912</x:v>
      </x:c>
      <x:c r="BC525" s="17" t="n">
        <x:f>IF('Control Room'!$B$5="Normal",'Control Room'!$B$7,('Control Room'!$B$8+'Control Room'!$D$8)/2)+'Control Room'!$B$9*(BC524-IF('Control Room'!$B$5="Normal",'Control Room'!$B$7,('Control Room'!$B$8+'Control Room'!$D$8)/2))+SQRT(1-'Control Room'!$B$9^2)*(BB525-IF('Control Room'!$B$5="Normal",'Control Room'!$B$7,('Control Room'!$B$8+'Control Room'!$D$8)/2))</x:f>
        <x:v>974.0743106003674</x:v>
      </x:c>
      <x:c r="BD525" s="17" t="n">
        <x:f>IF(AND($A525&gt;='Control Room'!$A$13,$A525&lt;'Control Room'!$A$13+'Control Room'!$B$13,'Process'!BU2=1),1+('Control Room'!$C$13-1)*EXP(-0.5*(($A525-'Control Room'!$A$13-('Control Room'!$B$13-1)/2)/MAX(0.5,'Control Room'!$B$13/4))^2),1)*IF(AND($A525&gt;='Control Room'!$A$14,$A525&lt;'Control Room'!$A$14+'Control Room'!$B$14,'Process'!BU3=1),1+('Control Room'!$C$14-1)*EXP(-0.5*(($A525-'Control Room'!$A$14-('Control Room'!$B$14-1)/2)/MAX(0.5,'Control Room'!$B$14/4))^2),1)*IF(AND($A525&gt;='Control Room'!$A$15,$A525&lt;'Control Room'!$A$15+'Control Room'!$B$15,'Process'!BU4=1),1+('Control Room'!$C$15-1)*EXP(-0.5*(($A525-'Control Room'!$A$15-('Control Room'!$B$15-1)/2)/MAX(0.5,'Control Room'!$B$15/4))^2),1)*IF(AND($A525&gt;='Control Room'!$A$16,$A525&lt;'Control Room'!$A$16+'Control Room'!$B$16,'Process'!BU5=1),1+('Control Room'!$C$16-1)*EXP(-0.5*(($A525-'Control Room'!$A$16-('Control Room'!$B$16-1)/2)/MAX(0.5,'Control Room'!$B$16/4))^2),1)</x:f>
        <x:v>1</x:v>
      </x:c>
      <x:c r="BE525" s="9" t="n">
        <x:f>MOD(BF524*16807,2147483647)</x:f>
        <x:v>1781673340</x:v>
      </x:c>
      <x:c r="BF525" s="9" t="n">
        <x:f>MOD(BE525*16807,2147483647)</x:f>
        <x:v>71851612</x:v>
      </x:c>
      <x:c r="BG525" s="17" t="n">
        <x:f>IF('Control Room'!$B$5="Normal",'Control Room'!$B$7+'Control Room'!$D$7*SQRT(-2*LN(MAX(0.000000000001,BE525/2147483647)))*COS(2*PI()*BF525/2147483647),'Control Room'!$B$8+('Control Room'!$D$8-'Control Room'!$B$8)*BE525/2147483647)</x:f>
        <x:v>1053.791320036711</x:v>
      </x:c>
      <x:c r="BH525" s="17" t="n">
        <x:f>IF('Control Room'!$B$5="Normal",'Control Room'!$B$7,('Control Room'!$B$8+'Control Room'!$D$8)/2)+'Control Room'!$B$9*(BH524-IF('Control Room'!$B$5="Normal",'Control Room'!$B$7,('Control Room'!$B$8+'Control Room'!$D$8)/2))+SQRT(1-'Control Room'!$B$9^2)*(BG525-IF('Control Room'!$B$5="Normal",'Control Room'!$B$7,('Control Room'!$B$8+'Control Room'!$D$8)/2))</x:f>
        <x:v>985.6321034714824</x:v>
      </x:c>
      <x:c r="BI525" s="17" t="n">
        <x:f>IF(AND($A525&gt;='Control Room'!$A$13,$A525&lt;'Control Room'!$A$13+'Control Room'!$B$13,'Process'!BV2=1),1+('Control Room'!$C$13-1)*EXP(-0.5*(($A525-'Control Room'!$A$13-('Control Room'!$B$13-1)/2)/MAX(0.5,'Control Room'!$B$13/4))^2),1)*IF(AND($A525&gt;='Control Room'!$A$14,$A525&lt;'Control Room'!$A$14+'Control Room'!$B$14,'Process'!BV3=1),1+('Control Room'!$C$14-1)*EXP(-0.5*(($A525-'Control Room'!$A$14-('Control Room'!$B$14-1)/2)/MAX(0.5,'Control Room'!$B$14/4))^2),1)*IF(AND($A525&gt;='Control Room'!$A$15,$A525&lt;'Control Room'!$A$15+'Control Room'!$B$15,'Process'!BV4=1),1+('Control Room'!$C$15-1)*EXP(-0.5*(($A525-'Control Room'!$A$15-('Control Room'!$B$15-1)/2)/MAX(0.5,'Control Room'!$B$15/4))^2),1)*IF(AND($A525&gt;='Control Room'!$A$16,$A525&lt;'Control Room'!$A$16+'Control Room'!$B$16,'Process'!BV5=1),1+('Control Room'!$C$16-1)*EXP(-0.5*(($A525-'Control Room'!$A$16-('Control Room'!$B$16-1)/2)/MAX(0.5,'Control Room'!$B$16/4))^2),1)</x:f>
        <x:v>1</x:v>
      </x:c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Z525" t="str">
        <x:f>IF('Data'!A525="","",TEXT('Data'!A525,"mm-dd"))</x:f>
      </x:c>
    </x:row>
    <x:row r="526" ht="21" customHeight="1">
      <x:c r="A526" s="15" t="n">
        <x:f>'Control Room'!$B$1+524</x:f>
        <x:v>73515</x:v>
      </x:c>
      <x:c r="B526" s="9" t="n">
        <x:f>MOD(C525*16807,2147483647)</x:f>
        <x:v>491122460</x:v>
      </x:c>
      <x:c r="C526" s="9" t="n">
        <x:f>MOD(B526*16807,2147483647)</x:f>
        <x:v>1515529799</x:v>
      </x:c>
      <x:c r="D526" s="17" t="n">
        <x:f>IF('Control Room'!$B$5="Normal",'Control Room'!$B$7+'Control Room'!$D$7*SQRT(-2*LN(MAX(0.000000000001,B526/2147483647)))*COS(2*PI()*C526/2147483647),'Control Room'!$B$8+('Control Room'!$D$8-'Control Room'!$B$8)*B526/2147483647)</x:f>
        <x:v>957.5436728721124</x:v>
      </x:c>
      <x:c r="E526" s="17" t="n">
        <x:f>IF('Control Room'!$B$5="Normal",'Control Room'!$B$7,('Control Room'!$B$8+'Control Room'!$D$8)/2)+'Control Room'!$B$9*(E525-IF('Control Room'!$B$5="Normal",'Control Room'!$B$7,('Control Room'!$B$8+'Control Room'!$D$8)/2))+SQRT(1-'Control Room'!$B$9^2)*(D526-IF('Control Room'!$B$5="Normal",'Control Room'!$B$7,('Control Room'!$B$8+'Control Room'!$D$8)/2))</x:f>
        <x:v>988.2720892778299</x:v>
      </x:c>
      <x:c r="F526" s="17" t="n">
        <x:f>IF(AND($A526&gt;='Control Room'!$A$13,$A526&lt;'Control Room'!$A$13+'Control Room'!$B$13,'Process'!BK2=1),1+('Control Room'!$C$13-1)*EXP(-0.5*(($A526-'Control Room'!$A$13-('Control Room'!$B$13-1)/2)/MAX(0.5,'Control Room'!$B$13/4))^2),1)*IF(AND($A526&gt;='Control Room'!$A$14,$A526&lt;'Control Room'!$A$14+'Control Room'!$B$14,'Process'!BK3=1),1+('Control Room'!$C$14-1)*EXP(-0.5*(($A526-'Control Room'!$A$14-('Control Room'!$B$14-1)/2)/MAX(0.5,'Control Room'!$B$14/4))^2),1)*IF(AND($A526&gt;='Control Room'!$A$15,$A526&lt;'Control Room'!$A$15+'Control Room'!$B$15,'Process'!BK4=1),1+('Control Room'!$C$15-1)*EXP(-0.5*(($A526-'Control Room'!$A$15-('Control Room'!$B$15-1)/2)/MAX(0.5,'Control Room'!$B$15/4))^2),1)*IF(AND($A526&gt;='Control Room'!$A$16,$A526&lt;'Control Room'!$A$16+'Control Room'!$B$16,'Process'!BK5=1),1+('Control Room'!$C$16-1)*EXP(-0.5*(($A526-'Control Room'!$A$16-('Control Room'!$B$16-1)/2)/MAX(0.5,'Control Room'!$B$16/4))^2),1)</x:f>
        <x:v>1</x:v>
      </x:c>
      <x:c r="G526" s="9" t="n">
        <x:f>MOD(H525*16807,2147483647)</x:f>
        <x:v>902765924</x:v>
      </x:c>
      <x:c r="H526" s="9" t="n">
        <x:f>MOD(G526*16807,2147483647)</x:f>
        <x:v>814918613</x:v>
      </x:c>
      <x:c r="I526" s="17" t="n">
        <x:f>IF('Control Room'!$B$5="Normal",'Control Room'!$B$7+'Control Room'!$D$7*SQRT(-2*LN(MAX(0.000000000001,G526/2147483647)))*COS(2*PI()*H526/2147483647),'Control Room'!$B$8+('Control Room'!$D$8-'Control Room'!$B$8)*G526/2147483647)</x:f>
        <x:v>913.8955050330019</x:v>
      </x:c>
      <x:c r="J526" s="17" t="n">
        <x:f>IF('Control Room'!$B$5="Normal",'Control Room'!$B$7,('Control Room'!$B$8+'Control Room'!$D$8)/2)+'Control Room'!$B$9*(J525-IF('Control Room'!$B$5="Normal",'Control Room'!$B$7,('Control Room'!$B$8+'Control Room'!$D$8)/2))+SQRT(1-'Control Room'!$B$9^2)*(I526-IF('Control Room'!$B$5="Normal",'Control Room'!$B$7,('Control Room'!$B$8+'Control Room'!$D$8)/2))</x:f>
        <x:v>955.3298631261367</x:v>
      </x:c>
      <x:c r="K526" s="17" t="n">
        <x:f>IF(AND($A526&gt;='Control Room'!$A$13,$A526&lt;'Control Room'!$A$13+'Control Room'!$B$13,'Process'!BL2=1),1+('Control Room'!$C$13-1)*EXP(-0.5*(($A526-'Control Room'!$A$13-('Control Room'!$B$13-1)/2)/MAX(0.5,'Control Room'!$B$13/4))^2),1)*IF(AND($A526&gt;='Control Room'!$A$14,$A526&lt;'Control Room'!$A$14+'Control Room'!$B$14,'Process'!BL3=1),1+('Control Room'!$C$14-1)*EXP(-0.5*(($A526-'Control Room'!$A$14-('Control Room'!$B$14-1)/2)/MAX(0.5,'Control Room'!$B$14/4))^2),1)*IF(AND($A526&gt;='Control Room'!$A$15,$A526&lt;'Control Room'!$A$15+'Control Room'!$B$15,'Process'!BL4=1),1+('Control Room'!$C$15-1)*EXP(-0.5*(($A526-'Control Room'!$A$15-('Control Room'!$B$15-1)/2)/MAX(0.5,'Control Room'!$B$15/4))^2),1)*IF(AND($A526&gt;='Control Room'!$A$16,$A526&lt;'Control Room'!$A$16+'Control Room'!$B$16,'Process'!BL5=1),1+('Control Room'!$C$16-1)*EXP(-0.5*(($A526-'Control Room'!$A$16-('Control Room'!$B$16-1)/2)/MAX(0.5,'Control Room'!$B$16/4))^2),1)</x:f>
        <x:v>1</x:v>
      </x:c>
      <x:c r="L526" s="9" t="n">
        <x:f>MOD(M525*16807,2147483647)</x:f>
        <x:v>1314409388</x:v>
      </x:c>
      <x:c r="M526" s="9" t="n">
        <x:f>MOD(L526*16807,2147483647)</x:f>
        <x:v>114307427</x:v>
      </x:c>
      <x:c r="N526" s="17" t="n">
        <x:f>IF('Control Room'!$B$5="Normal",'Control Room'!$B$7+'Control Room'!$D$7*SQRT(-2*LN(MAX(0.000000000001,L526/2147483647)))*COS(2*PI()*M526/2147483647),'Control Room'!$B$8+('Control Room'!$D$8-'Control Room'!$B$8)*L526/2147483647)</x:f>
        <x:v>1084.2369692837356</x:v>
      </x:c>
      <x:c r="O526" s="17" t="n">
        <x:f>IF('Control Room'!$B$5="Normal",'Control Room'!$B$7,('Control Room'!$B$8+'Control Room'!$D$8)/2)+'Control Room'!$B$9*(O525-IF('Control Room'!$B$5="Normal",'Control Room'!$B$7,('Control Room'!$B$8+'Control Room'!$D$8)/2))+SQRT(1-'Control Room'!$B$9^2)*(N526-IF('Control Room'!$B$5="Normal",'Control Room'!$B$7,('Control Room'!$B$8+'Control Room'!$D$8)/2))</x:f>
        <x:v>1052.020592406884</x:v>
      </x:c>
      <x:c r="P526" s="17" t="n">
        <x:f>IF(AND($A526&gt;='Control Room'!$A$13,$A526&lt;'Control Room'!$A$13+'Control Room'!$B$13,'Process'!BM2=1),1+('Control Room'!$C$13-1)*EXP(-0.5*(($A526-'Control Room'!$A$13-('Control Room'!$B$13-1)/2)/MAX(0.5,'Control Room'!$B$13/4))^2),1)*IF(AND($A526&gt;='Control Room'!$A$14,$A526&lt;'Control Room'!$A$14+'Control Room'!$B$14,'Process'!BM3=1),1+('Control Room'!$C$14-1)*EXP(-0.5*(($A526-'Control Room'!$A$14-('Control Room'!$B$14-1)/2)/MAX(0.5,'Control Room'!$B$14/4))^2),1)*IF(AND($A526&gt;='Control Room'!$A$15,$A526&lt;'Control Room'!$A$15+'Control Room'!$B$15,'Process'!BM4=1),1+('Control Room'!$C$15-1)*EXP(-0.5*(($A526-'Control Room'!$A$15-('Control Room'!$B$15-1)/2)/MAX(0.5,'Control Room'!$B$15/4))^2),1)*IF(AND($A526&gt;='Control Room'!$A$16,$A526&lt;'Control Room'!$A$16+'Control Room'!$B$16,'Process'!BM5=1),1+('Control Room'!$C$16-1)*EXP(-0.5*(($A526-'Control Room'!$A$16-('Control Room'!$B$16-1)/2)/MAX(0.5,'Control Room'!$B$16/4))^2),1)</x:f>
        <x:v>1</x:v>
      </x:c>
      <x:c r="Q526" s="9" t="n">
        <x:f>MOD(R525*16807,2147483647)</x:f>
        <x:v>1726052852</x:v>
      </x:c>
      <x:c r="R526" s="9" t="n">
        <x:f>MOD(Q526*16807,2147483647)</x:f>
        <x:v>1561179888</x:v>
      </x:c>
      <x:c r="S526" s="17" t="n">
        <x:f>IF('Control Room'!$B$5="Normal",'Control Room'!$B$7+'Control Room'!$D$7*SQRT(-2*LN(MAX(0.000000000001,Q526/2147483647)))*COS(2*PI()*R526/2147483647),'Control Room'!$B$8+('Control Room'!$D$8-'Control Room'!$B$8)*Q526/2147483647)</x:f>
        <x:v>991.4258029742051</x:v>
      </x:c>
      <x:c r="T526" s="17" t="n">
        <x:f>IF('Control Room'!$B$5="Normal",'Control Room'!$B$7,('Control Room'!$B$8+'Control Room'!$D$8)/2)+'Control Room'!$B$9*(T525-IF('Control Room'!$B$5="Normal",'Control Room'!$B$7,('Control Room'!$B$8+'Control Room'!$D$8)/2))+SQRT(1-'Control Room'!$B$9^2)*(S526-IF('Control Room'!$B$5="Normal",'Control Room'!$B$7,('Control Room'!$B$8+'Control Room'!$D$8)/2))</x:f>
        <x:v>928.9788155756478</x:v>
      </x:c>
      <x:c r="U526" s="17" t="n">
        <x:f>IF(AND($A526&gt;='Control Room'!$A$13,$A526&lt;'Control Room'!$A$13+'Control Room'!$B$13,'Process'!BN2=1),1+('Control Room'!$C$13-1)*EXP(-0.5*(($A526-'Control Room'!$A$13-('Control Room'!$B$13-1)/2)/MAX(0.5,'Control Room'!$B$13/4))^2),1)*IF(AND($A526&gt;='Control Room'!$A$14,$A526&lt;'Control Room'!$A$14+'Control Room'!$B$14,'Process'!BN3=1),1+('Control Room'!$C$14-1)*EXP(-0.5*(($A526-'Control Room'!$A$14-('Control Room'!$B$14-1)/2)/MAX(0.5,'Control Room'!$B$14/4))^2),1)*IF(AND($A526&gt;='Control Room'!$A$15,$A526&lt;'Control Room'!$A$15+'Control Room'!$B$15,'Process'!BN4=1),1+('Control Room'!$C$15-1)*EXP(-0.5*(($A526-'Control Room'!$A$15-('Control Room'!$B$15-1)/2)/MAX(0.5,'Control Room'!$B$15/4))^2),1)*IF(AND($A526&gt;='Control Room'!$A$16,$A526&lt;'Control Room'!$A$16+'Control Room'!$B$16,'Process'!BN5=1),1+('Control Room'!$C$16-1)*EXP(-0.5*(($A526-'Control Room'!$A$16-('Control Room'!$B$16-1)/2)/MAX(0.5,'Control Room'!$B$16/4))^2),1)</x:f>
        <x:v>1</x:v>
      </x:c>
      <x:c r="V526" s="9" t="n">
        <x:f>MOD(W525*16807,2147483647)</x:f>
        <x:v>2137696316</x:v>
      </x:c>
      <x:c r="W526" s="9" t="n">
        <x:f>MOD(V526*16807,2147483647)</x:f>
        <x:v>860568702</x:v>
      </x:c>
      <x:c r="X526" s="17" t="n">
        <x:f>IF('Control Room'!$B$5="Normal",'Control Room'!$B$7+'Control Room'!$D$7*SQRT(-2*LN(MAX(0.000000000001,V526/2147483647)))*COS(2*PI()*W526/2147483647),'Control Room'!$B$8+('Control Room'!$D$8-'Control Room'!$B$8)*V526/2147483647)</x:f>
        <x:v>993.0172681638151</x:v>
      </x:c>
      <x:c r="Y526" s="17" t="n">
        <x:f>IF('Control Room'!$B$5="Normal",'Control Room'!$B$7,('Control Room'!$B$8+'Control Room'!$D$8)/2)+'Control Room'!$B$9*(Y525-IF('Control Room'!$B$5="Normal",'Control Room'!$B$7,('Control Room'!$B$8+'Control Room'!$D$8)/2))+SQRT(1-'Control Room'!$B$9^2)*(X526-IF('Control Room'!$B$5="Normal",'Control Room'!$B$7,('Control Room'!$B$8+'Control Room'!$D$8)/2))</x:f>
        <x:v>993.8893354838399</x:v>
      </x:c>
      <x:c r="Z526" s="17" t="n">
        <x:f>IF(AND($A526&gt;='Control Room'!$A$13,$A526&lt;'Control Room'!$A$13+'Control Room'!$B$13,'Process'!BO2=1),1+('Control Room'!$C$13-1)*EXP(-0.5*(($A526-'Control Room'!$A$13-('Control Room'!$B$13-1)/2)/MAX(0.5,'Control Room'!$B$13/4))^2),1)*IF(AND($A526&gt;='Control Room'!$A$14,$A526&lt;'Control Room'!$A$14+'Control Room'!$B$14,'Process'!BO3=1),1+('Control Room'!$C$14-1)*EXP(-0.5*(($A526-'Control Room'!$A$14-('Control Room'!$B$14-1)/2)/MAX(0.5,'Control Room'!$B$14/4))^2),1)*IF(AND($A526&gt;='Control Room'!$A$15,$A526&lt;'Control Room'!$A$15+'Control Room'!$B$15,'Process'!BO4=1),1+('Control Room'!$C$15-1)*EXP(-0.5*(($A526-'Control Room'!$A$15-('Control Room'!$B$15-1)/2)/MAX(0.5,'Control Room'!$B$15/4))^2),1)*IF(AND($A526&gt;='Control Room'!$A$16,$A526&lt;'Control Room'!$A$16+'Control Room'!$B$16,'Process'!BO5=1),1+('Control Room'!$C$16-1)*EXP(-0.5*(($A526-'Control Room'!$A$16-('Control Room'!$B$16-1)/2)/MAX(0.5,'Control Room'!$B$16/4))^2),1)</x:f>
        <x:v>1</x:v>
      </x:c>
      <x:c r="AA526" s="9" t="n">
        <x:f>MOD(AB525*16807,2147483647)</x:f>
        <x:v>401856133</x:v>
      </x:c>
      <x:c r="AB526" s="9" t="n">
        <x:f>MOD(AA526*16807,2147483647)</x:f>
        <x:v>159957516</x:v>
      </x:c>
      <x:c r="AC526" s="17" t="n">
        <x:f>IF('Control Room'!$B$5="Normal",'Control Room'!$B$7+'Control Room'!$D$7*SQRT(-2*LN(MAX(0.000000000001,AA526/2147483647)))*COS(2*PI()*AB526/2147483647),'Control Room'!$B$8+('Control Room'!$D$8-'Control Room'!$B$8)*AA526/2147483647)</x:f>
        <x:v>1147.055648689505</x:v>
      </x:c>
      <x:c r="AD526" s="17" t="n">
        <x:f>IF('Control Room'!$B$5="Normal",'Control Room'!$B$7,('Control Room'!$B$8+'Control Room'!$D$8)/2)+'Control Room'!$B$9*(AD525-IF('Control Room'!$B$5="Normal",'Control Room'!$B$7,('Control Room'!$B$8+'Control Room'!$D$8)/2))+SQRT(1-'Control Room'!$B$9^2)*(AC526-IF('Control Room'!$B$5="Normal",'Control Room'!$B$7,('Control Room'!$B$8+'Control Room'!$D$8)/2))</x:f>
        <x:v>1114.7988410156509</x:v>
      </x:c>
      <x:c r="AE526" s="17" t="n">
        <x:f>IF(AND($A526&gt;='Control Room'!$A$13,$A526&lt;'Control Room'!$A$13+'Control Room'!$B$13,'Process'!BP2=1),1+('Control Room'!$C$13-1)*EXP(-0.5*(($A526-'Control Room'!$A$13-('Control Room'!$B$13-1)/2)/MAX(0.5,'Control Room'!$B$13/4))^2),1)*IF(AND($A526&gt;='Control Room'!$A$14,$A526&lt;'Control Room'!$A$14+'Control Room'!$B$14,'Process'!BP3=1),1+('Control Room'!$C$14-1)*EXP(-0.5*(($A526-'Control Room'!$A$14-('Control Room'!$B$14-1)/2)/MAX(0.5,'Control Room'!$B$14/4))^2),1)*IF(AND($A526&gt;='Control Room'!$A$15,$A526&lt;'Control Room'!$A$15+'Control Room'!$B$15,'Process'!BP4=1),1+('Control Room'!$C$15-1)*EXP(-0.5*(($A526-'Control Room'!$A$15-('Control Room'!$B$15-1)/2)/MAX(0.5,'Control Room'!$B$15/4))^2),1)*IF(AND($A526&gt;='Control Room'!$A$16,$A526&lt;'Control Room'!$A$16+'Control Room'!$B$16,'Process'!BP5=1),1+('Control Room'!$C$16-1)*EXP(-0.5*(($A526-'Control Room'!$A$16-('Control Room'!$B$16-1)/2)/MAX(0.5,'Control Room'!$B$16/4))^2),1)</x:f>
        <x:v>1</x:v>
      </x:c>
      <x:c r="AF526" s="9" t="n">
        <x:f>MOD(AG525*16807,2147483647)</x:f>
        <x:v>813499597</x:v>
      </x:c>
      <x:c r="AG526" s="9" t="n">
        <x:f>MOD(AF526*16807,2147483647)</x:f>
        <x:v>1606829977</x:v>
      </x:c>
      <x:c r="AH526" s="17" t="n">
        <x:f>IF('Control Room'!$B$5="Normal",'Control Room'!$B$7+'Control Room'!$D$7*SQRT(-2*LN(MAX(0.000000000001,AF526/2147483647)))*COS(2*PI()*AG526/2147483647),'Control Room'!$B$8+('Control Room'!$D$8-'Control Room'!$B$8)*AF526/2147483647)</x:f>
        <x:v>998.6121222165467</x:v>
      </x:c>
      <x:c r="AI526" s="17" t="n">
        <x:f>IF('Control Room'!$B$5="Normal",'Control Room'!$B$7,('Control Room'!$B$8+'Control Room'!$D$8)/2)+'Control Room'!$B$9*(AI525-IF('Control Room'!$B$5="Normal",'Control Room'!$B$7,('Control Room'!$B$8+'Control Room'!$D$8)/2))+SQRT(1-'Control Room'!$B$9^2)*(AH526-IF('Control Room'!$B$5="Normal",'Control Room'!$B$7,('Control Room'!$B$8+'Control Room'!$D$8)/2))</x:f>
        <x:v>895.433329040982</x:v>
      </x:c>
      <x:c r="AJ526" s="17" t="n">
        <x:f>IF(AND($A526&gt;='Control Room'!$A$13,$A526&lt;'Control Room'!$A$13+'Control Room'!$B$13,'Process'!BQ2=1),1+('Control Room'!$C$13-1)*EXP(-0.5*(($A526-'Control Room'!$A$13-('Control Room'!$B$13-1)/2)/MAX(0.5,'Control Room'!$B$13/4))^2),1)*IF(AND($A526&gt;='Control Room'!$A$14,$A526&lt;'Control Room'!$A$14+'Control Room'!$B$14,'Process'!BQ3=1),1+('Control Room'!$C$14-1)*EXP(-0.5*(($A526-'Control Room'!$A$14-('Control Room'!$B$14-1)/2)/MAX(0.5,'Control Room'!$B$14/4))^2),1)*IF(AND($A526&gt;='Control Room'!$A$15,$A526&lt;'Control Room'!$A$15+'Control Room'!$B$15,'Process'!BQ4=1),1+('Control Room'!$C$15-1)*EXP(-0.5*(($A526-'Control Room'!$A$15-('Control Room'!$B$15-1)/2)/MAX(0.5,'Control Room'!$B$15/4))^2),1)*IF(AND($A526&gt;='Control Room'!$A$16,$A526&lt;'Control Room'!$A$16+'Control Room'!$B$16,'Process'!BQ5=1),1+('Control Room'!$C$16-1)*EXP(-0.5*(($A526-'Control Room'!$A$16-('Control Room'!$B$16-1)/2)/MAX(0.5,'Control Room'!$B$16/4))^2),1)</x:f>
        <x:v>1</x:v>
      </x:c>
      <x:c r="AK526" s="9" t="n">
        <x:f>MOD(AL525*16807,2147483647)</x:f>
        <x:v>1225143061</x:v>
      </x:c>
      <x:c r="AL526" s="9" t="n">
        <x:f>MOD(AK526*16807,2147483647)</x:f>
        <x:v>906218791</x:v>
      </x:c>
      <x:c r="AM526" s="17" t="n">
        <x:f>IF('Control Room'!$B$5="Normal",'Control Room'!$B$7+'Control Room'!$D$7*SQRT(-2*LN(MAX(0.000000000001,AK526/2147483647)))*COS(2*PI()*AL526/2147483647),'Control Room'!$B$8+('Control Room'!$D$8-'Control Room'!$B$8)*AK526/2147483647)</x:f>
        <x:v>915.8739781493239</x:v>
      </x:c>
      <x:c r="AN526" s="17" t="n">
        <x:f>IF('Control Room'!$B$5="Normal",'Control Room'!$B$7,('Control Room'!$B$8+'Control Room'!$D$8)/2)+'Control Room'!$B$9*(AN525-IF('Control Room'!$B$5="Normal",'Control Room'!$B$7,('Control Room'!$B$8+'Control Room'!$D$8)/2))+SQRT(1-'Control Room'!$B$9^2)*(AM526-IF('Control Room'!$B$5="Normal",'Control Room'!$B$7,('Control Room'!$B$8+'Control Room'!$D$8)/2))</x:f>
        <x:v>1020.7967260921866</x:v>
      </x:c>
      <x:c r="AO526" s="17" t="n">
        <x:f>IF(AND($A526&gt;='Control Room'!$A$13,$A526&lt;'Control Room'!$A$13+'Control Room'!$B$13,'Process'!BR2=1),1+('Control Room'!$C$13-1)*EXP(-0.5*(($A526-'Control Room'!$A$13-('Control Room'!$B$13-1)/2)/MAX(0.5,'Control Room'!$B$13/4))^2),1)*IF(AND($A526&gt;='Control Room'!$A$14,$A526&lt;'Control Room'!$A$14+'Control Room'!$B$14,'Process'!BR3=1),1+('Control Room'!$C$14-1)*EXP(-0.5*(($A526-'Control Room'!$A$14-('Control Room'!$B$14-1)/2)/MAX(0.5,'Control Room'!$B$14/4))^2),1)*IF(AND($A526&gt;='Control Room'!$A$15,$A526&lt;'Control Room'!$A$15+'Control Room'!$B$15,'Process'!BR4=1),1+('Control Room'!$C$15-1)*EXP(-0.5*(($A526-'Control Room'!$A$15-('Control Room'!$B$15-1)/2)/MAX(0.5,'Control Room'!$B$15/4))^2),1)*IF(AND($A526&gt;='Control Room'!$A$16,$A526&lt;'Control Room'!$A$16+'Control Room'!$B$16,'Process'!BR5=1),1+('Control Room'!$C$16-1)*EXP(-0.5*(($A526-'Control Room'!$A$16-('Control Room'!$B$16-1)/2)/MAX(0.5,'Control Room'!$B$16/4))^2),1)</x:f>
        <x:v>1</x:v>
      </x:c>
      <x:c r="AP526" s="9" t="n">
        <x:f>MOD(AQ525*16807,2147483647)</x:f>
        <x:v>1636786525</x:v>
      </x:c>
      <x:c r="AQ526" s="9" t="n">
        <x:f>MOD(AP526*16807,2147483647)</x:f>
        <x:v>205607605</x:v>
      </x:c>
      <x:c r="AR526" s="17" t="n">
        <x:f>IF('Control Room'!$B$5="Normal",'Control Room'!$B$7+'Control Room'!$D$7*SQRT(-2*LN(MAX(0.000000000001,AP526/2147483647)))*COS(2*PI()*AQ526/2147483647),'Control Room'!$B$8+('Control Room'!$D$8-'Control Room'!$B$8)*AP526/2147483647)</x:f>
        <x:v>1054.6832089603895</x:v>
      </x:c>
      <x:c r="AS526" s="17" t="n">
        <x:f>IF('Control Room'!$B$5="Normal",'Control Room'!$B$7,('Control Room'!$B$8+'Control Room'!$D$8)/2)+'Control Room'!$B$9*(AS525-IF('Control Room'!$B$5="Normal",'Control Room'!$B$7,('Control Room'!$B$8+'Control Room'!$D$8)/2))+SQRT(1-'Control Room'!$B$9^2)*(AR526-IF('Control Room'!$B$5="Normal",'Control Room'!$B$7,('Control Room'!$B$8+'Control Room'!$D$8)/2))</x:f>
        <x:v>1076.2996050943332</x:v>
      </x:c>
      <x:c r="AT526" s="17" t="n">
        <x:f>IF(AND($A526&gt;='Control Room'!$A$13,$A526&lt;'Control Room'!$A$13+'Control Room'!$B$13,'Process'!BS2=1),1+('Control Room'!$C$13-1)*EXP(-0.5*(($A526-'Control Room'!$A$13-('Control Room'!$B$13-1)/2)/MAX(0.5,'Control Room'!$B$13/4))^2),1)*IF(AND($A526&gt;='Control Room'!$A$14,$A526&lt;'Control Room'!$A$14+'Control Room'!$B$14,'Process'!BS3=1),1+('Control Room'!$C$14-1)*EXP(-0.5*(($A526-'Control Room'!$A$14-('Control Room'!$B$14-1)/2)/MAX(0.5,'Control Room'!$B$14/4))^2),1)*IF(AND($A526&gt;='Control Room'!$A$15,$A526&lt;'Control Room'!$A$15+'Control Room'!$B$15,'Process'!BS4=1),1+('Control Room'!$C$15-1)*EXP(-0.5*(($A526-'Control Room'!$A$15-('Control Room'!$B$15-1)/2)/MAX(0.5,'Control Room'!$B$15/4))^2),1)*IF(AND($A526&gt;='Control Room'!$A$16,$A526&lt;'Control Room'!$A$16+'Control Room'!$B$16,'Process'!BS5=1),1+('Control Room'!$C$16-1)*EXP(-0.5*(($A526-'Control Room'!$A$16-('Control Room'!$B$16-1)/2)/MAX(0.5,'Control Room'!$B$16/4))^2),1)</x:f>
        <x:v>1</x:v>
      </x:c>
      <x:c r="AU526" s="9" t="n">
        <x:f>MOD(AV525*16807,2147483647)</x:f>
        <x:v>2048429989</x:v>
      </x:c>
      <x:c r="AV526" s="9" t="n">
        <x:f>MOD(AU526*16807,2147483647)</x:f>
        <x:v>1652480066</x:v>
      </x:c>
      <x:c r="AW526" s="17" t="n">
        <x:f>IF('Control Room'!$B$5="Normal",'Control Room'!$B$7+'Control Room'!$D$7*SQRT(-2*LN(MAX(0.000000000001,AU526/2147483647)))*COS(2*PI()*AV526/2147483647),'Control Room'!$B$8+('Control Room'!$D$8-'Control Room'!$B$8)*AU526/2147483647)</x:f>
        <x:v>1003.3796633366678</x:v>
      </x:c>
      <x:c r="AX526" s="17" t="n">
        <x:f>IF('Control Room'!$B$5="Normal",'Control Room'!$B$7,('Control Room'!$B$8+'Control Room'!$D$8)/2)+'Control Room'!$B$9*(AX525-IF('Control Room'!$B$5="Normal",'Control Room'!$B$7,('Control Room'!$B$8+'Control Room'!$D$8)/2))+SQRT(1-'Control Room'!$B$9^2)*(AW526-IF('Control Room'!$B$5="Normal",'Control Room'!$B$7,('Control Room'!$B$8+'Control Room'!$D$8)/2))</x:f>
        <x:v>1080.507466982574</x:v>
      </x:c>
      <x:c r="AY526" s="17" t="n">
        <x:f>IF(AND($A526&gt;='Control Room'!$A$13,$A526&lt;'Control Room'!$A$13+'Control Room'!$B$13,'Process'!BT2=1),1+('Control Room'!$C$13-1)*EXP(-0.5*(($A526-'Control Room'!$A$13-('Control Room'!$B$13-1)/2)/MAX(0.5,'Control Room'!$B$13/4))^2),1)*IF(AND($A526&gt;='Control Room'!$A$14,$A526&lt;'Control Room'!$A$14+'Control Room'!$B$14,'Process'!BT3=1),1+('Control Room'!$C$14-1)*EXP(-0.5*(($A526-'Control Room'!$A$14-('Control Room'!$B$14-1)/2)/MAX(0.5,'Control Room'!$B$14/4))^2),1)*IF(AND($A526&gt;='Control Room'!$A$15,$A526&lt;'Control Room'!$A$15+'Control Room'!$B$15,'Process'!BT4=1),1+('Control Room'!$C$15-1)*EXP(-0.5*(($A526-'Control Room'!$A$15-('Control Room'!$B$15-1)/2)/MAX(0.5,'Control Room'!$B$15/4))^2),1)*IF(AND($A526&gt;='Control Room'!$A$16,$A526&lt;'Control Room'!$A$16+'Control Room'!$B$16,'Process'!BT5=1),1+('Control Room'!$C$16-1)*EXP(-0.5*(($A526-'Control Room'!$A$16-('Control Room'!$B$16-1)/2)/MAX(0.5,'Control Room'!$B$16/4))^2),1)</x:f>
        <x:v>1</x:v>
      </x:c>
      <x:c r="AZ526" s="9" t="n">
        <x:f>MOD(BA525*16807,2147483647)</x:f>
        <x:v>312589806</x:v>
      </x:c>
      <x:c r="BA526" s="9" t="n">
        <x:f>MOD(AZ526*16807,2147483647)</x:f>
        <x:v>951868880</x:v>
      </x:c>
      <x:c r="BB526" s="17" t="n">
        <x:f>IF('Control Room'!$B$5="Normal",'Control Room'!$B$7+'Control Room'!$D$7*SQRT(-2*LN(MAX(0.000000000001,AZ526/2147483647)))*COS(2*PI()*BA526/2147483647),'Control Room'!$B$8+('Control Room'!$D$8-'Control Room'!$B$8)*AZ526/2147483647)</x:f>
        <x:v>834.4228056236541</x:v>
      </x:c>
      <x:c r="BC526" s="17" t="n">
        <x:f>IF('Control Room'!$B$5="Normal",'Control Room'!$B$7,('Control Room'!$B$8+'Control Room'!$D$8)/2)+'Control Room'!$B$9*(BC525-IF('Control Room'!$B$5="Normal",'Control Room'!$B$7,('Control Room'!$B$8+'Control Room'!$D$8)/2))+SQRT(1-'Control Room'!$B$9^2)*(BB526-IF('Control Room'!$B$5="Normal",'Control Room'!$B$7,('Control Room'!$B$8+'Control Room'!$D$8)/2))</x:f>
        <x:v>876.1631460607696</x:v>
      </x:c>
      <x:c r="BD526" s="17" t="n">
        <x:f>IF(AND($A526&gt;='Control Room'!$A$13,$A526&lt;'Control Room'!$A$13+'Control Room'!$B$13,'Process'!BU2=1),1+('Control Room'!$C$13-1)*EXP(-0.5*(($A526-'Control Room'!$A$13-('Control Room'!$B$13-1)/2)/MAX(0.5,'Control Room'!$B$13/4))^2),1)*IF(AND($A526&gt;='Control Room'!$A$14,$A526&lt;'Control Room'!$A$14+'Control Room'!$B$14,'Process'!BU3=1),1+('Control Room'!$C$14-1)*EXP(-0.5*(($A526-'Control Room'!$A$14-('Control Room'!$B$14-1)/2)/MAX(0.5,'Control Room'!$B$14/4))^2),1)*IF(AND($A526&gt;='Control Room'!$A$15,$A526&lt;'Control Room'!$A$15+'Control Room'!$B$15,'Process'!BU4=1),1+('Control Room'!$C$15-1)*EXP(-0.5*(($A526-'Control Room'!$A$15-('Control Room'!$B$15-1)/2)/MAX(0.5,'Control Room'!$B$15/4))^2),1)*IF(AND($A526&gt;='Control Room'!$A$16,$A526&lt;'Control Room'!$A$16+'Control Room'!$B$16,'Process'!BU5=1),1+('Control Room'!$C$16-1)*EXP(-0.5*(($A526-'Control Room'!$A$16-('Control Room'!$B$16-1)/2)/MAX(0.5,'Control Room'!$B$16/4))^2),1)</x:f>
        <x:v>1</x:v>
      </x:c>
      <x:c r="BE526" s="9" t="n">
        <x:f>MOD(BF525*16807,2147483647)</x:f>
        <x:v>724233270</x:v>
      </x:c>
      <x:c r="BF526" s="9" t="n">
        <x:f>MOD(BE526*16807,2147483647)</x:f>
        <x:v>251257694</x:v>
      </x:c>
      <x:c r="BG526" s="17" t="n">
        <x:f>IF('Control Room'!$B$5="Normal",'Control Room'!$B$7+'Control Room'!$D$7*SQRT(-2*LN(MAX(0.000000000001,BE526/2147483647)))*COS(2*PI()*BF526/2147483647),'Control Room'!$B$8+('Control Room'!$D$8-'Control Room'!$B$8)*BE526/2147483647)</x:f>
        <x:v>1098.4261075502882</x:v>
      </x:c>
      <x:c r="BH526" s="17" t="n">
        <x:f>IF('Control Room'!$B$5="Normal",'Control Room'!$B$7,('Control Room'!$B$8+'Control Room'!$D$8)/2)+'Control Room'!$B$9*(BH525-IF('Control Room'!$B$5="Normal",'Control Room'!$B$7,('Control Room'!$B$8+'Control Room'!$D$8)/2))+SQRT(1-'Control Room'!$B$9^2)*(BG526-IF('Control Room'!$B$5="Normal",'Control Room'!$B$7,('Control Room'!$B$8+'Control Room'!$D$8)/2))</x:f>
        <x:v>1050.386082444314</x:v>
      </x:c>
      <x:c r="BI526" s="17" t="n">
        <x:f>IF(AND($A526&gt;='Control Room'!$A$13,$A526&lt;'Control Room'!$A$13+'Control Room'!$B$13,'Process'!BV2=1),1+('Control Room'!$C$13-1)*EXP(-0.5*(($A526-'Control Room'!$A$13-('Control Room'!$B$13-1)/2)/MAX(0.5,'Control Room'!$B$13/4))^2),1)*IF(AND($A526&gt;='Control Room'!$A$14,$A526&lt;'Control Room'!$A$14+'Control Room'!$B$14,'Process'!BV3=1),1+('Control Room'!$C$14-1)*EXP(-0.5*(($A526-'Control Room'!$A$14-('Control Room'!$B$14-1)/2)/MAX(0.5,'Control Room'!$B$14/4))^2),1)*IF(AND($A526&gt;='Control Room'!$A$15,$A526&lt;'Control Room'!$A$15+'Control Room'!$B$15,'Process'!BV4=1),1+('Control Room'!$C$15-1)*EXP(-0.5*(($A526-'Control Room'!$A$15-('Control Room'!$B$15-1)/2)/MAX(0.5,'Control Room'!$B$15/4))^2),1)*IF(AND($A526&gt;='Control Room'!$A$16,$A526&lt;'Control Room'!$A$16+'Control Room'!$B$16,'Process'!BV5=1),1+('Control Room'!$C$16-1)*EXP(-0.5*(($A526-'Control Room'!$A$16-('Control Room'!$B$16-1)/2)/MAX(0.5,'Control Room'!$B$16/4))^2),1)</x:f>
        <x:v>1</x:v>
      </x:c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Z526" t="str">
        <x:f>IF('Data'!A526="","",TEXT('Data'!A526,"mm-dd"))</x:f>
      </x:c>
    </x:row>
    <x:row r="527" ht="21" customHeight="1">
      <x:c r="A527" s="15" t="n">
        <x:f>'Control Room'!$B$1+525</x:f>
        <x:v>73516</x:v>
      </x:c>
      <x:c r="B527" s="9" t="n">
        <x:f>MOD(C526*16807,2147483647)</x:f>
        <x:v>205794726</x:v>
      </x:c>
      <x:c r="C527" s="9" t="n">
        <x:f>MOD(B527*16807,2147483647)</x:f>
        <x:v>1343288212</x:v>
      </x:c>
      <x:c r="D527" s="17" t="n">
        <x:f>IF('Control Room'!$B$5="Normal",'Control Room'!$B$7+'Control Room'!$D$7*SQRT(-2*LN(MAX(0.000000000001,B527/2147483647)))*COS(2*PI()*C527/2147483647),'Control Room'!$B$8+('Control Room'!$D$8-'Control Room'!$B$8)*B527/2147483647)</x:f>
        <x:v>862.623102056696</x:v>
      </x:c>
      <x:c r="E527" s="17" t="n">
        <x:f>IF('Control Room'!$B$5="Normal",'Control Room'!$B$7,('Control Room'!$B$8+'Control Room'!$D$8)/2)+'Control Room'!$B$9*(E526-IF('Control Room'!$B$5="Normal",'Control Room'!$B$7,('Control Room'!$B$8+'Control Room'!$D$8)/2))+SQRT(1-'Control Room'!$B$9^2)*(D527-IF('Control Room'!$B$5="Normal",'Control Room'!$B$7,('Control Room'!$B$8+'Control Room'!$D$8)/2))</x:f>
        <x:v>904.8845812225138</x:v>
      </x:c>
      <x:c r="F527" s="17" t="n">
        <x:f>IF(AND($A527&gt;='Control Room'!$A$13,$A527&lt;'Control Room'!$A$13+'Control Room'!$B$13,'Process'!BK2=1),1+('Control Room'!$C$13-1)*EXP(-0.5*(($A527-'Control Room'!$A$13-('Control Room'!$B$13-1)/2)/MAX(0.5,'Control Room'!$B$13/4))^2),1)*IF(AND($A527&gt;='Control Room'!$A$14,$A527&lt;'Control Room'!$A$14+'Control Room'!$B$14,'Process'!BK3=1),1+('Control Room'!$C$14-1)*EXP(-0.5*(($A527-'Control Room'!$A$14-('Control Room'!$B$14-1)/2)/MAX(0.5,'Control Room'!$B$14/4))^2),1)*IF(AND($A527&gt;='Control Room'!$A$15,$A527&lt;'Control Room'!$A$15+'Control Room'!$B$15,'Process'!BK4=1),1+('Control Room'!$C$15-1)*EXP(-0.5*(($A527-'Control Room'!$A$15-('Control Room'!$B$15-1)/2)/MAX(0.5,'Control Room'!$B$15/4))^2),1)*IF(AND($A527&gt;='Control Room'!$A$16,$A527&lt;'Control Room'!$A$16+'Control Room'!$B$16,'Process'!BK5=1),1+('Control Room'!$C$16-1)*EXP(-0.5*(($A527-'Control Room'!$A$16-('Control Room'!$B$16-1)/2)/MAX(0.5,'Control Room'!$B$16/4))^2),1)</x:f>
        <x:v>1</x:v>
      </x:c>
      <x:c r="G527" s="9" t="n">
        <x:f>MOD(H526*16807,2147483647)</x:f>
        <x:v>1833911772</x:v>
      </x:c>
      <x:c r="H527" s="9" t="n">
        <x:f>MOD(G527*16807,2147483647)</x:f>
        <x:v>1869850260</x:v>
      </x:c>
      <x:c r="I527" s="17" t="n">
        <x:f>IF('Control Room'!$B$5="Normal",'Control Room'!$B$7+'Control Room'!$D$7*SQRT(-2*LN(MAX(0.000000000001,G527/2147483647)))*COS(2*PI()*H527/2147483647),'Control Room'!$B$8+('Control Room'!$D$8-'Control Room'!$B$8)*G527/2147483647)</x:f>
        <x:v>1034.7816913169904</x:v>
      </x:c>
      <x:c r="J527" s="17" t="n">
        <x:f>IF('Control Room'!$B$5="Normal",'Control Room'!$B$7,('Control Room'!$B$8+'Control Room'!$D$8)/2)+'Control Room'!$B$9*(J526-IF('Control Room'!$B$5="Normal",'Control Room'!$B$7,('Control Room'!$B$8+'Control Room'!$D$8)/2))+SQRT(1-'Control Room'!$B$9^2)*(I527-IF('Control Room'!$B$5="Normal",'Control Room'!$B$7,('Control Room'!$B$8+'Control Room'!$D$8)/2))</x:f>
        <x:v>986.9229631228825</x:v>
      </x:c>
      <x:c r="K527" s="17" t="n">
        <x:f>IF(AND($A527&gt;='Control Room'!$A$13,$A527&lt;'Control Room'!$A$13+'Control Room'!$B$13,'Process'!BL2=1),1+('Control Room'!$C$13-1)*EXP(-0.5*(($A527-'Control Room'!$A$13-('Control Room'!$B$13-1)/2)/MAX(0.5,'Control Room'!$B$13/4))^2),1)*IF(AND($A527&gt;='Control Room'!$A$14,$A527&lt;'Control Room'!$A$14+'Control Room'!$B$14,'Process'!BL3=1),1+('Control Room'!$C$14-1)*EXP(-0.5*(($A527-'Control Room'!$A$14-('Control Room'!$B$14-1)/2)/MAX(0.5,'Control Room'!$B$14/4))^2),1)*IF(AND($A527&gt;='Control Room'!$A$15,$A527&lt;'Control Room'!$A$15+'Control Room'!$B$15,'Process'!BL4=1),1+('Control Room'!$C$15-1)*EXP(-0.5*(($A527-'Control Room'!$A$15-('Control Room'!$B$15-1)/2)/MAX(0.5,'Control Room'!$B$15/4))^2),1)*IF(AND($A527&gt;='Control Room'!$A$16,$A527&lt;'Control Room'!$A$16+'Control Room'!$B$16,'Process'!BL5=1),1+('Control Room'!$C$16-1)*EXP(-0.5*(($A527-'Control Room'!$A$16-('Control Room'!$B$16-1)/2)/MAX(0.5,'Control Room'!$B$16/4))^2),1)</x:f>
        <x:v>1</x:v>
      </x:c>
      <x:c r="L527" s="9" t="n">
        <x:f>MOD(M526*16807,2147483647)</x:f>
        <x:v>1314545171</x:v>
      </x:c>
      <x:c r="M527" s="9" t="n">
        <x:f>MOD(L527*16807,2147483647)</x:f>
        <x:v>248928661</x:v>
      </x:c>
      <x:c r="N527" s="17" t="n">
        <x:f>IF('Control Room'!$B$5="Normal",'Control Room'!$B$7+'Control Room'!$D$7*SQRT(-2*LN(MAX(0.000000000001,L527/2147483647)))*COS(2*PI()*M527/2147483647),'Control Room'!$B$8+('Control Room'!$D$8-'Control Room'!$B$8)*L527/2147483647)</x:f>
        <x:v>1066.5457752455188</x:v>
      </x:c>
      <x:c r="O527" s="17" t="n">
        <x:f>IF('Control Room'!$B$5="Normal",'Control Room'!$B$7,('Control Room'!$B$8+'Control Room'!$D$8)/2)+'Control Room'!$B$9*(O526-IF('Control Room'!$B$5="Normal",'Control Room'!$B$7,('Control Room'!$B$8+'Control Room'!$D$8)/2))+SQRT(1-'Control Room'!$B$9^2)*(N527-IF('Control Room'!$B$5="Normal",'Control Room'!$B$7,('Control Room'!$B$8+'Control Room'!$D$8)/2))</x:f>
        <x:v>1082.2190449617092</x:v>
      </x:c>
      <x:c r="P527" s="17" t="n">
        <x:f>IF(AND($A527&gt;='Control Room'!$A$13,$A527&lt;'Control Room'!$A$13+'Control Room'!$B$13,'Process'!BM2=1),1+('Control Room'!$C$13-1)*EXP(-0.5*(($A527-'Control Room'!$A$13-('Control Room'!$B$13-1)/2)/MAX(0.5,'Control Room'!$B$13/4))^2),1)*IF(AND($A527&gt;='Control Room'!$A$14,$A527&lt;'Control Room'!$A$14+'Control Room'!$B$14,'Process'!BM3=1),1+('Control Room'!$C$14-1)*EXP(-0.5*(($A527-'Control Room'!$A$14-('Control Room'!$B$14-1)/2)/MAX(0.5,'Control Room'!$B$14/4))^2),1)*IF(AND($A527&gt;='Control Room'!$A$15,$A527&lt;'Control Room'!$A$15+'Control Room'!$B$15,'Process'!BM4=1),1+('Control Room'!$C$15-1)*EXP(-0.5*(($A527-'Control Room'!$A$15-('Control Room'!$B$15-1)/2)/MAX(0.5,'Control Room'!$B$15/4))^2),1)*IF(AND($A527&gt;='Control Room'!$A$16,$A527&lt;'Control Room'!$A$16+'Control Room'!$B$16,'Process'!BM5=1),1+('Control Room'!$C$16-1)*EXP(-0.5*(($A527-'Control Room'!$A$16-('Control Room'!$B$16-1)/2)/MAX(0.5,'Control Room'!$B$16/4))^2),1)</x:f>
        <x:v>1</x:v>
      </x:c>
      <x:c r="Q527" s="9" t="n">
        <x:f>MOD(R526*16807,2147483647)</x:f>
        <x:v>795178570</x:v>
      </x:c>
      <x:c r="R527" s="9" t="n">
        <x:f>MOD(Q527*16807,2147483647)</x:f>
        <x:v>775490709</x:v>
      </x:c>
      <x:c r="S527" s="17" t="n">
        <x:f>IF('Control Room'!$B$5="Normal",'Control Room'!$B$7+'Control Room'!$D$7*SQRT(-2*LN(MAX(0.000000000001,Q527/2147483647)))*COS(2*PI()*R527/2147483647),'Control Room'!$B$8+('Control Room'!$D$8-'Control Room'!$B$8)*Q527/2147483647)</x:f>
        <x:v>918.4504368829511</x:v>
      </x:c>
      <x:c r="T527" s="17" t="n">
        <x:f>IF('Control Room'!$B$5="Normal",'Control Room'!$B$7,('Control Room'!$B$8+'Control Room'!$D$8)/2)+'Control Room'!$B$9*(T526-IF('Control Room'!$B$5="Normal",'Control Room'!$B$7,('Control Room'!$B$8+'Control Room'!$D$8)/2))+SQRT(1-'Control Room'!$B$9^2)*(S527-IF('Control Room'!$B$5="Normal",'Control Room'!$B$7,('Control Room'!$B$8+'Control Room'!$D$8)/2))</x:f>
        <x:v>893.5714301839635</x:v>
      </x:c>
      <x:c r="U527" s="17" t="n">
        <x:f>IF(AND($A527&gt;='Control Room'!$A$13,$A527&lt;'Control Room'!$A$13+'Control Room'!$B$13,'Process'!BN2=1),1+('Control Room'!$C$13-1)*EXP(-0.5*(($A527-'Control Room'!$A$13-('Control Room'!$B$13-1)/2)/MAX(0.5,'Control Room'!$B$13/4))^2),1)*IF(AND($A527&gt;='Control Room'!$A$14,$A527&lt;'Control Room'!$A$14+'Control Room'!$B$14,'Process'!BN3=1),1+('Control Room'!$C$14-1)*EXP(-0.5*(($A527-'Control Room'!$A$14-('Control Room'!$B$14-1)/2)/MAX(0.5,'Control Room'!$B$14/4))^2),1)*IF(AND($A527&gt;='Control Room'!$A$15,$A527&lt;'Control Room'!$A$15+'Control Room'!$B$15,'Process'!BN4=1),1+('Control Room'!$C$15-1)*EXP(-0.5*(($A527-'Control Room'!$A$15-('Control Room'!$B$15-1)/2)/MAX(0.5,'Control Room'!$B$15/4))^2),1)*IF(AND($A527&gt;='Control Room'!$A$16,$A527&lt;'Control Room'!$A$16+'Control Room'!$B$16,'Process'!BN5=1),1+('Control Room'!$C$16-1)*EXP(-0.5*(($A527-'Control Room'!$A$16-('Control Room'!$B$16-1)/2)/MAX(0.5,'Control Room'!$B$16/4))^2),1)</x:f>
        <x:v>1</x:v>
      </x:c>
      <x:c r="V527" s="9" t="n">
        <x:f>MOD(W526*16807,2147483647)</x:f>
        <x:v>275811969</x:v>
      </x:c>
      <x:c r="W527" s="9" t="n">
        <x:f>MOD(V527*16807,2147483647)</x:f>
        <x:v>1302052757</x:v>
      </x:c>
      <x:c r="X527" s="17" t="n">
        <x:f>IF('Control Room'!$B$5="Normal",'Control Room'!$B$7+'Control Room'!$D$7*SQRT(-2*LN(MAX(0.000000000001,V527/2147483647)))*COS(2*PI()*W527/2147483647),'Control Room'!$B$8+('Control Room'!$D$8-'Control Room'!$B$8)*V527/2147483647)</x:f>
        <x:v>856.8520113770993</x:v>
      </x:c>
      <x:c r="Y527" s="17" t="n">
        <x:f>IF('Control Room'!$B$5="Normal",'Control Room'!$B$7,('Control Room'!$B$8+'Control Room'!$D$8)/2)+'Control Room'!$B$9*(Y526-IF('Control Room'!$B$5="Normal",'Control Room'!$B$7,('Control Room'!$B$8+'Control Room'!$D$8)/2))+SQRT(1-'Control Room'!$B$9^2)*(X527-IF('Control Room'!$B$5="Normal",'Control Room'!$B$7,('Control Room'!$B$8+'Control Room'!$D$8)/2))</x:f>
        <x:v>905.6546029431289</x:v>
      </x:c>
      <x:c r="Z527" s="17" t="n">
        <x:f>IF(AND($A527&gt;='Control Room'!$A$13,$A527&lt;'Control Room'!$A$13+'Control Room'!$B$13,'Process'!BO2=1),1+('Control Room'!$C$13-1)*EXP(-0.5*(($A527-'Control Room'!$A$13-('Control Room'!$B$13-1)/2)/MAX(0.5,'Control Room'!$B$13/4))^2),1)*IF(AND($A527&gt;='Control Room'!$A$14,$A527&lt;'Control Room'!$A$14+'Control Room'!$B$14,'Process'!BO3=1),1+('Control Room'!$C$14-1)*EXP(-0.5*(($A527-'Control Room'!$A$14-('Control Room'!$B$14-1)/2)/MAX(0.5,'Control Room'!$B$14/4))^2),1)*IF(AND($A527&gt;='Control Room'!$A$15,$A527&lt;'Control Room'!$A$15+'Control Room'!$B$15,'Process'!BO4=1),1+('Control Room'!$C$15-1)*EXP(-0.5*(($A527-'Control Room'!$A$15-('Control Room'!$B$15-1)/2)/MAX(0.5,'Control Room'!$B$15/4))^2),1)*IF(AND($A527&gt;='Control Room'!$A$16,$A527&lt;'Control Room'!$A$16+'Control Room'!$B$16,'Process'!BO5=1),1+('Control Room'!$C$16-1)*EXP(-0.5*(($A527-'Control Room'!$A$16-('Control Room'!$B$16-1)/2)/MAX(0.5,'Control Room'!$B$16/4))^2),1)</x:f>
        <x:v>1</x:v>
      </x:c>
      <x:c r="AA527" s="9" t="n">
        <x:f>MOD(AB526*16807,2147483647)</x:f>
        <x:v>1903929015</x:v>
      </x:c>
      <x:c r="AB527" s="9" t="n">
        <x:f>MOD(AA527*16807,2147483647)</x:f>
        <x:v>1828614805</x:v>
      </x:c>
      <x:c r="AC527" s="17" t="n">
        <x:f>IF('Control Room'!$B$5="Normal",'Control Room'!$B$7+'Control Room'!$D$7*SQRT(-2*LN(MAX(0.000000000001,AA527/2147483647)))*COS(2*PI()*AB527/2147483647),'Control Room'!$B$8+('Control Room'!$D$8-'Control Room'!$B$8)*AA527/2147483647)</x:f>
        <x:v>1026.2955456490743</x:v>
      </x:c>
      <x:c r="AD527" s="17" t="n">
        <x:f>IF('Control Room'!$B$5="Normal",'Control Room'!$B$7,('Control Room'!$B$8+'Control Room'!$D$8)/2)+'Control Room'!$B$9*(AD526-IF('Control Room'!$B$5="Normal",'Control Room'!$B$7,('Control Room'!$B$8+'Control Room'!$D$8)/2))+SQRT(1-'Control Room'!$B$9^2)*(AC527-IF('Control Room'!$B$5="Normal",'Control Room'!$B$7,('Control Room'!$B$8+'Control Room'!$D$8)/2))</x:f>
        <x:v>1105.9983097658653</x:v>
      </x:c>
      <x:c r="AE527" s="17" t="n">
        <x:f>IF(AND($A527&gt;='Control Room'!$A$13,$A527&lt;'Control Room'!$A$13+'Control Room'!$B$13,'Process'!BP2=1),1+('Control Room'!$C$13-1)*EXP(-0.5*(($A527-'Control Room'!$A$13-('Control Room'!$B$13-1)/2)/MAX(0.5,'Control Room'!$B$13/4))^2),1)*IF(AND($A527&gt;='Control Room'!$A$14,$A527&lt;'Control Room'!$A$14+'Control Room'!$B$14,'Process'!BP3=1),1+('Control Room'!$C$14-1)*EXP(-0.5*(($A527-'Control Room'!$A$14-('Control Room'!$B$14-1)/2)/MAX(0.5,'Control Room'!$B$14/4))^2),1)*IF(AND($A527&gt;='Control Room'!$A$15,$A527&lt;'Control Room'!$A$15+'Control Room'!$B$15,'Process'!BP4=1),1+('Control Room'!$C$15-1)*EXP(-0.5*(($A527-'Control Room'!$A$15-('Control Room'!$B$15-1)/2)/MAX(0.5,'Control Room'!$B$15/4))^2),1)*IF(AND($A527&gt;='Control Room'!$A$16,$A527&lt;'Control Room'!$A$16+'Control Room'!$B$16,'Process'!BP5=1),1+('Control Room'!$C$16-1)*EXP(-0.5*(($A527-'Control Room'!$A$16-('Control Room'!$B$16-1)/2)/MAX(0.5,'Control Room'!$B$16/4))^2),1)</x:f>
        <x:v>1</x:v>
      </x:c>
      <x:c r="AF527" s="9" t="n">
        <x:f>MOD(AG526*16807,2147483647)</x:f>
        <x:v>1384562414</x:v>
      </x:c>
      <x:c r="AG527" s="9" t="n">
        <x:f>MOD(AF527*16807,2147483647)</x:f>
        <x:v>207693206</x:v>
      </x:c>
      <x:c r="AH527" s="17" t="n">
        <x:f>IF('Control Room'!$B$5="Normal",'Control Room'!$B$7+'Control Room'!$D$7*SQRT(-2*LN(MAX(0.000000000001,AF527/2147483647)))*COS(2*PI()*AG527/2147483647),'Control Room'!$B$8+('Control Room'!$D$8-'Control Room'!$B$8)*AF527/2147483647)</x:f>
        <x:v>1069.2273201055662</x:v>
      </x:c>
      <x:c r="AI527" s="17" t="n">
        <x:f>IF('Control Room'!$B$5="Normal",'Control Room'!$B$7,('Control Room'!$B$8+'Control Room'!$D$8)/2)+'Control Room'!$B$9*(AI526-IF('Control Room'!$B$5="Normal",'Control Room'!$B$7,('Control Room'!$B$8+'Control Room'!$D$8)/2))+SQRT(1-'Control Room'!$B$9^2)*(AH527-IF('Control Room'!$B$5="Normal",'Control Room'!$B$7,('Control Room'!$B$8+'Control Room'!$D$8)/2))</x:f>
        <x:v>961.7590353752909</x:v>
      </x:c>
      <x:c r="AJ527" s="17" t="n">
        <x:f>IF(AND($A527&gt;='Control Room'!$A$13,$A527&lt;'Control Room'!$A$13+'Control Room'!$B$13,'Process'!BQ2=1),1+('Control Room'!$C$13-1)*EXP(-0.5*(($A527-'Control Room'!$A$13-('Control Room'!$B$13-1)/2)/MAX(0.5,'Control Room'!$B$13/4))^2),1)*IF(AND($A527&gt;='Control Room'!$A$14,$A527&lt;'Control Room'!$A$14+'Control Room'!$B$14,'Process'!BQ3=1),1+('Control Room'!$C$14-1)*EXP(-0.5*(($A527-'Control Room'!$A$14-('Control Room'!$B$14-1)/2)/MAX(0.5,'Control Room'!$B$14/4))^2),1)*IF(AND($A527&gt;='Control Room'!$A$15,$A527&lt;'Control Room'!$A$15+'Control Room'!$B$15,'Process'!BQ4=1),1+('Control Room'!$C$15-1)*EXP(-0.5*(($A527-'Control Room'!$A$15-('Control Room'!$B$15-1)/2)/MAX(0.5,'Control Room'!$B$15/4))^2),1)*IF(AND($A527&gt;='Control Room'!$A$16,$A527&lt;'Control Room'!$A$16+'Control Room'!$B$16,'Process'!BQ5=1),1+('Control Room'!$C$16-1)*EXP(-0.5*(($A527-'Control Room'!$A$16-('Control Room'!$B$16-1)/2)/MAX(0.5,'Control Room'!$B$16/4))^2),1)</x:f>
        <x:v>1</x:v>
      </x:c>
      <x:c r="AK527" s="9" t="n">
        <x:f>MOD(AL526*16807,2147483647)</x:f>
        <x:v>865195813</x:v>
      </x:c>
      <x:c r="AL527" s="9" t="n">
        <x:f>MOD(AK527*16807,2147483647)</x:f>
        <x:v>734255254</x:v>
      </x:c>
      <x:c r="AM527" s="17" t="n">
        <x:f>IF('Control Room'!$B$5="Normal",'Control Room'!$B$7+'Control Room'!$D$7*SQRT(-2*LN(MAX(0.000000000001,AK527/2147483647)))*COS(2*PI()*AL527/2147483647),'Control Room'!$B$8+('Control Room'!$D$8-'Control Room'!$B$8)*AK527/2147483647)</x:f>
        <x:v>933.7463619302434</x:v>
      </x:c>
      <x:c r="AN527" s="17" t="n">
        <x:f>IF('Control Room'!$B$5="Normal",'Control Room'!$B$7,('Control Room'!$B$8+'Control Room'!$D$8)/2)+'Control Room'!$B$9*(AN526-IF('Control Room'!$B$5="Normal",'Control Room'!$B$7,('Control Room'!$B$8+'Control Room'!$D$8)/2))+SQRT(1-'Control Room'!$B$9^2)*(AM527-IF('Control Room'!$B$5="Normal",'Control Room'!$B$7,('Control Room'!$B$8+'Control Room'!$D$8)/2))</x:f>
        <x:v>974.7612769274025</x:v>
      </x:c>
      <x:c r="AO527" s="17" t="n">
        <x:f>IF(AND($A527&gt;='Control Room'!$A$13,$A527&lt;'Control Room'!$A$13+'Control Room'!$B$13,'Process'!BR2=1),1+('Control Room'!$C$13-1)*EXP(-0.5*(($A527-'Control Room'!$A$13-('Control Room'!$B$13-1)/2)/MAX(0.5,'Control Room'!$B$13/4))^2),1)*IF(AND($A527&gt;='Control Room'!$A$14,$A527&lt;'Control Room'!$A$14+'Control Room'!$B$14,'Process'!BR3=1),1+('Control Room'!$C$14-1)*EXP(-0.5*(($A527-'Control Room'!$A$14-('Control Room'!$B$14-1)/2)/MAX(0.5,'Control Room'!$B$14/4))^2),1)*IF(AND($A527&gt;='Control Room'!$A$15,$A527&lt;'Control Room'!$A$15+'Control Room'!$B$15,'Process'!BR4=1),1+('Control Room'!$C$15-1)*EXP(-0.5*(($A527-'Control Room'!$A$15-('Control Room'!$B$15-1)/2)/MAX(0.5,'Control Room'!$B$15/4))^2),1)*IF(AND($A527&gt;='Control Room'!$A$16,$A527&lt;'Control Room'!$A$16+'Control Room'!$B$16,'Process'!BR5=1),1+('Control Room'!$C$16-1)*EXP(-0.5*(($A527-'Control Room'!$A$16-('Control Room'!$B$16-1)/2)/MAX(0.5,'Control Room'!$B$16/4))^2),1)</x:f>
        <x:v>1</x:v>
      </x:c>
      <x:c r="AP527" s="9" t="n">
        <x:f>MOD(AQ526*16807,2147483647)</x:f>
        <x:v>345829212</x:v>
      </x:c>
      <x:c r="AQ527" s="9" t="n">
        <x:f>MOD(AP527*16807,2147483647)</x:f>
        <x:v>1260817302</x:v>
      </x:c>
      <x:c r="AR527" s="17" t="n">
        <x:f>IF('Control Room'!$B$5="Normal",'Control Room'!$B$7+'Control Room'!$D$7*SQRT(-2*LN(MAX(0.000000000001,AP527/2147483647)))*COS(2*PI()*AQ527/2147483647),'Control Room'!$B$8+('Control Room'!$D$8-'Control Room'!$B$8)*AP527/2147483647)</x:f>
        <x:v>853.1309013329505</x:v>
      </x:c>
      <x:c r="AS527" s="17" t="n">
        <x:f>IF('Control Room'!$B$5="Normal",'Control Room'!$B$7,('Control Room'!$B$8+'Control Room'!$D$8)/2)+'Control Room'!$B$9*(AS526-IF('Control Room'!$B$5="Normal",'Control Room'!$B$7,('Control Room'!$B$8+'Control Room'!$D$8)/2))+SQRT(1-'Control Room'!$B$9^2)*(AR527-IF('Control Room'!$B$5="Normal",'Control Room'!$B$7,('Control Room'!$B$8+'Control Room'!$D$8)/2))</x:f>
        <x:v>967.6060188047682</x:v>
      </x:c>
      <x:c r="AT527" s="17" t="n">
        <x:f>IF(AND($A527&gt;='Control Room'!$A$13,$A527&lt;'Control Room'!$A$13+'Control Room'!$B$13,'Process'!BS2=1),1+('Control Room'!$C$13-1)*EXP(-0.5*(($A527-'Control Room'!$A$13-('Control Room'!$B$13-1)/2)/MAX(0.5,'Control Room'!$B$13/4))^2),1)*IF(AND($A527&gt;='Control Room'!$A$14,$A527&lt;'Control Room'!$A$14+'Control Room'!$B$14,'Process'!BS3=1),1+('Control Room'!$C$14-1)*EXP(-0.5*(($A527-'Control Room'!$A$14-('Control Room'!$B$14-1)/2)/MAX(0.5,'Control Room'!$B$14/4))^2),1)*IF(AND($A527&gt;='Control Room'!$A$15,$A527&lt;'Control Room'!$A$15+'Control Room'!$B$15,'Process'!BS4=1),1+('Control Room'!$C$15-1)*EXP(-0.5*(($A527-'Control Room'!$A$15-('Control Room'!$B$15-1)/2)/MAX(0.5,'Control Room'!$B$15/4))^2),1)*IF(AND($A527&gt;='Control Room'!$A$16,$A527&lt;'Control Room'!$A$16+'Control Room'!$B$16,'Process'!BS5=1),1+('Control Room'!$C$16-1)*EXP(-0.5*(($A527-'Control Room'!$A$16-('Control Room'!$B$16-1)/2)/MAX(0.5,'Control Room'!$B$16/4))^2),1)</x:f>
        <x:v>1</x:v>
      </x:c>
      <x:c r="AU527" s="9" t="n">
        <x:f>MOD(AV526*16807,2147483647)</x:f>
        <x:v>1973946258</x:v>
      </x:c>
      <x:c r="AV527" s="9" t="n">
        <x:f>MOD(AU527*16807,2147483647)</x:f>
        <x:v>1787379350</x:v>
      </x:c>
      <x:c r="AW527" s="17" t="n">
        <x:f>IF('Control Room'!$B$5="Normal",'Control Room'!$B$7+'Control Room'!$D$7*SQRT(-2*LN(MAX(0.000000000001,AU527/2147483647)))*COS(2*PI()*AV527/2147483647),'Control Room'!$B$8+('Control Room'!$D$8-'Control Room'!$B$8)*AU527/2147483647)</x:f>
        <x:v>1018.2678262724603</x:v>
      </x:c>
      <x:c r="AX527" s="17" t="n">
        <x:f>IF('Control Room'!$B$5="Normal",'Control Room'!$B$7,('Control Room'!$B$8+'Control Room'!$D$8)/2)+'Control Room'!$B$9*(AX526-IF('Control Room'!$B$5="Normal",'Control Room'!$B$7,('Control Room'!$B$8+'Control Room'!$D$8)/2))+SQRT(1-'Control Room'!$B$9^2)*(AW527-IF('Control Room'!$B$5="Normal",'Control Room'!$B$7,('Control Room'!$B$8+'Control Room'!$D$8)/2))</x:f>
        <x:v>1074.2274556909506</x:v>
      </x:c>
      <x:c r="AY527" s="17" t="n">
        <x:f>IF(AND($A527&gt;='Control Room'!$A$13,$A527&lt;'Control Room'!$A$13+'Control Room'!$B$13,'Process'!BT2=1),1+('Control Room'!$C$13-1)*EXP(-0.5*(($A527-'Control Room'!$A$13-('Control Room'!$B$13-1)/2)/MAX(0.5,'Control Room'!$B$13/4))^2),1)*IF(AND($A527&gt;='Control Room'!$A$14,$A527&lt;'Control Room'!$A$14+'Control Room'!$B$14,'Process'!BT3=1),1+('Control Room'!$C$14-1)*EXP(-0.5*(($A527-'Control Room'!$A$14-('Control Room'!$B$14-1)/2)/MAX(0.5,'Control Room'!$B$14/4))^2),1)*IF(AND($A527&gt;='Control Room'!$A$15,$A527&lt;'Control Room'!$A$15+'Control Room'!$B$15,'Process'!BT4=1),1+('Control Room'!$C$15-1)*EXP(-0.5*(($A527-'Control Room'!$A$15-('Control Room'!$B$15-1)/2)/MAX(0.5,'Control Room'!$B$15/4))^2),1)*IF(AND($A527&gt;='Control Room'!$A$16,$A527&lt;'Control Room'!$A$16+'Control Room'!$B$16,'Process'!BT5=1),1+('Control Room'!$C$16-1)*EXP(-0.5*(($A527-'Control Room'!$A$16-('Control Room'!$B$16-1)/2)/MAX(0.5,'Control Room'!$B$16/4))^2),1)</x:f>
        <x:v>1</x:v>
      </x:c>
      <x:c r="AZ527" s="9" t="n">
        <x:f>MOD(BA526*16807,2147483647)</x:f>
        <x:v>1454579657</x:v>
      </x:c>
      <x:c r="BA527" s="9" t="n">
        <x:f>MOD(AZ527*16807,2147483647)</x:f>
        <x:v>166457751</x:v>
      </x:c>
      <x:c r="BB527" s="17" t="n">
        <x:f>IF('Control Room'!$B$5="Normal",'Control Room'!$B$7+'Control Room'!$D$7*SQRT(-2*LN(MAX(0.000000000001,AZ527/2147483647)))*COS(2*PI()*BA527/2147483647),'Control Room'!$B$8+('Control Room'!$D$8-'Control Room'!$B$8)*AZ527/2147483647)</x:f>
        <x:v>1070.205986172865</x:v>
      </x:c>
      <x:c r="BC527" s="17" t="n">
        <x:f>IF('Control Room'!$B$5="Normal",'Control Room'!$B$7,('Control Room'!$B$8+'Control Room'!$D$8)/2)+'Control Room'!$B$9*(BC526-IF('Control Room'!$B$5="Normal",'Control Room'!$B$7,('Control Room'!$B$8+'Control Room'!$D$8)/2))+SQRT(1-'Control Room'!$B$9^2)*(BB527-IF('Control Room'!$B$5="Normal",'Control Room'!$B$7,('Control Room'!$B$8+'Control Room'!$D$8)/2))</x:f>
        <x:v>947.3407218265768</x:v>
      </x:c>
      <x:c r="BD527" s="17" t="n">
        <x:f>IF(AND($A527&gt;='Control Room'!$A$13,$A527&lt;'Control Room'!$A$13+'Control Room'!$B$13,'Process'!BU2=1),1+('Control Room'!$C$13-1)*EXP(-0.5*(($A527-'Control Room'!$A$13-('Control Room'!$B$13-1)/2)/MAX(0.5,'Control Room'!$B$13/4))^2),1)*IF(AND($A527&gt;='Control Room'!$A$14,$A527&lt;'Control Room'!$A$14+'Control Room'!$B$14,'Process'!BU3=1),1+('Control Room'!$C$14-1)*EXP(-0.5*(($A527-'Control Room'!$A$14-('Control Room'!$B$14-1)/2)/MAX(0.5,'Control Room'!$B$14/4))^2),1)*IF(AND($A527&gt;='Control Room'!$A$15,$A527&lt;'Control Room'!$A$15+'Control Room'!$B$15,'Process'!BU4=1),1+('Control Room'!$C$15-1)*EXP(-0.5*(($A527-'Control Room'!$A$15-('Control Room'!$B$15-1)/2)/MAX(0.5,'Control Room'!$B$15/4))^2),1)*IF(AND($A527&gt;='Control Room'!$A$16,$A527&lt;'Control Room'!$A$16+'Control Room'!$B$16,'Process'!BU5=1),1+('Control Room'!$C$16-1)*EXP(-0.5*(($A527-'Control Room'!$A$16-('Control Room'!$B$16-1)/2)/MAX(0.5,'Control Room'!$B$16/4))^2),1)</x:f>
        <x:v>1</x:v>
      </x:c>
      <x:c r="BE527" s="9" t="n">
        <x:f>MOD(BF526*16807,2147483647)</x:f>
        <x:v>935213056</x:v>
      </x:c>
      <x:c r="BF527" s="9" t="n">
        <x:f>MOD(BE527*16807,2147483647)</x:f>
        <x:v>693019799</x:v>
      </x:c>
      <x:c r="BG527" s="17" t="n">
        <x:f>IF('Control Room'!$B$5="Normal",'Control Room'!$B$7+'Control Room'!$D$7*SQRT(-2*LN(MAX(0.000000000001,BE527/2147483647)))*COS(2*PI()*BF527/2147483647),'Control Room'!$B$8+('Control Room'!$D$8-'Control Room'!$B$8)*BE527/2147483647)</x:f>
        <x:v>948.8076819988707</x:v>
      </x:c>
      <x:c r="BH527" s="17" t="n">
        <x:f>IF('Control Room'!$B$5="Normal",'Control Room'!$B$7,('Control Room'!$B$8+'Control Room'!$D$8)/2)+'Control Room'!$B$9*(BH526-IF('Control Room'!$B$5="Normal",'Control Room'!$B$7,('Control Room'!$B$8+'Control Room'!$D$8)/2))+SQRT(1-'Control Room'!$B$9^2)*(BG527-IF('Control Room'!$B$5="Normal",'Control Room'!$B$7,('Control Room'!$B$8+'Control Room'!$D$8)/2))</x:f>
        <x:v>1007.2660404330962</x:v>
      </x:c>
      <x:c r="BI527" s="17" t="n">
        <x:f>IF(AND($A527&gt;='Control Room'!$A$13,$A527&lt;'Control Room'!$A$13+'Control Room'!$B$13,'Process'!BV2=1),1+('Control Room'!$C$13-1)*EXP(-0.5*(($A527-'Control Room'!$A$13-('Control Room'!$B$13-1)/2)/MAX(0.5,'Control Room'!$B$13/4))^2),1)*IF(AND($A527&gt;='Control Room'!$A$14,$A527&lt;'Control Room'!$A$14+'Control Room'!$B$14,'Process'!BV3=1),1+('Control Room'!$C$14-1)*EXP(-0.5*(($A527-'Control Room'!$A$14-('Control Room'!$B$14-1)/2)/MAX(0.5,'Control Room'!$B$14/4))^2),1)*IF(AND($A527&gt;='Control Room'!$A$15,$A527&lt;'Control Room'!$A$15+'Control Room'!$B$15,'Process'!BV4=1),1+('Control Room'!$C$15-1)*EXP(-0.5*(($A527-'Control Room'!$A$15-('Control Room'!$B$15-1)/2)/MAX(0.5,'Control Room'!$B$15/4))^2),1)*IF(AND($A527&gt;='Control Room'!$A$16,$A527&lt;'Control Room'!$A$16+'Control Room'!$B$16,'Process'!BV5=1),1+('Control Room'!$C$16-1)*EXP(-0.5*(($A527-'Control Room'!$A$16-('Control Room'!$B$16-1)/2)/MAX(0.5,'Control Room'!$B$16/4))^2),1)</x:f>
        <x:v>1</x:v>
      </x:c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Z527" t="str">
        <x:f>IF('Data'!A527="","",TEXT('Data'!A527,"mm-dd"))</x:f>
      </x:c>
    </x:row>
    <x:row r="528" ht="21" customHeight="1">
      <x:c r="A528" s="15" t="n">
        <x:f>'Control Room'!$B$1+526</x:f>
        <x:v>73517</x:v>
      </x:c>
      <x:c r="B528" s="9" t="n">
        <x:f>MOD(C527*16807,2147483647)</x:f>
        <x:v>149398173</x:v>
      </x:c>
      <x:c r="C528" s="9" t="n">
        <x:f>MOD(B528*16807,2147483647)</x:f>
        <x:v>526710268</x:v>
      </x:c>
      <x:c r="D528" s="17" t="n">
        <x:f>IF('Control Room'!$B$5="Normal",'Control Room'!$B$7+'Control Room'!$D$7*SQRT(-2*LN(MAX(0.000000000001,B528/2147483647)))*COS(2*PI()*C528/2147483647),'Control Room'!$B$8+('Control Room'!$D$8-'Control Room'!$B$8)*B528/2147483647)</x:f>
        <x:v>1006.1765928394785</x:v>
      </x:c>
      <x:c r="E528" s="17" t="n">
        <x:f>IF('Control Room'!$B$5="Normal",'Control Room'!$B$7,('Control Room'!$B$8+'Control Room'!$D$8)/2)+'Control Room'!$B$9*(E527-IF('Control Room'!$B$5="Normal",'Control Room'!$B$7,('Control Room'!$B$8+'Control Room'!$D$8)/2))+SQRT(1-'Control Room'!$B$9^2)*(D528-IF('Control Room'!$B$5="Normal",'Control Room'!$B$7,('Control Room'!$B$8+'Control Room'!$D$8)/2))</x:f>
        <x:v>929.6751586181243</x:v>
      </x:c>
      <x:c r="F528" s="17" t="n">
        <x:f>IF(AND($A528&gt;='Control Room'!$A$13,$A528&lt;'Control Room'!$A$13+'Control Room'!$B$13,'Process'!BK2=1),1+('Control Room'!$C$13-1)*EXP(-0.5*(($A528-'Control Room'!$A$13-('Control Room'!$B$13-1)/2)/MAX(0.5,'Control Room'!$B$13/4))^2),1)*IF(AND($A528&gt;='Control Room'!$A$14,$A528&lt;'Control Room'!$A$14+'Control Room'!$B$14,'Process'!BK3=1),1+('Control Room'!$C$14-1)*EXP(-0.5*(($A528-'Control Room'!$A$14-('Control Room'!$B$14-1)/2)/MAX(0.5,'Control Room'!$B$14/4))^2),1)*IF(AND($A528&gt;='Control Room'!$A$15,$A528&lt;'Control Room'!$A$15+'Control Room'!$B$15,'Process'!BK4=1),1+('Control Room'!$C$15-1)*EXP(-0.5*(($A528-'Control Room'!$A$15-('Control Room'!$B$15-1)/2)/MAX(0.5,'Control Room'!$B$15/4))^2),1)*IF(AND($A528&gt;='Control Room'!$A$16,$A528&lt;'Control Room'!$A$16+'Control Room'!$B$16,'Process'!BK5=1),1+('Control Room'!$C$16-1)*EXP(-0.5*(($A528-'Control Room'!$A$16-('Control Room'!$B$16-1)/2)/MAX(0.5,'Control Room'!$B$16/4))^2),1)</x:f>
        <x:v>1</x:v>
      </x:c>
      <x:c r="G528" s="9" t="n">
        <x:f>MOD(H527*16807,2147483647)</x:f>
        <x:v>297629622</x:v>
      </x:c>
      <x:c r="H528" s="9" t="n">
        <x:f>MOD(G528*16807,2147483647)</x:f>
        <x:v>771643091</x:v>
      </x:c>
      <x:c r="I528" s="17" t="n">
        <x:f>IF('Control Room'!$B$5="Normal",'Control Room'!$B$7+'Control Room'!$D$7*SQRT(-2*LN(MAX(0.000000000001,G528/2147483647)))*COS(2*PI()*H528/2147483647),'Control Room'!$B$8+('Control Room'!$D$8-'Control Room'!$B$8)*G528/2147483647)</x:f>
        <x:v>886.5346668620601</x:v>
      </x:c>
      <x:c r="J528" s="17" t="n">
        <x:f>IF('Control Room'!$B$5="Normal",'Control Room'!$B$7,('Control Room'!$B$8+'Control Room'!$D$8)/2)+'Control Room'!$B$9*(J527-IF('Control Room'!$B$5="Normal",'Control Room'!$B$7,('Control Room'!$B$8+'Control Room'!$D$8)/2))+SQRT(1-'Control Room'!$B$9^2)*(I528-IF('Control Room'!$B$5="Normal",'Control Room'!$B$7,('Control Room'!$B$8+'Control Room'!$D$8)/2))</x:f>
        <x:v>918.7956302218207</x:v>
      </x:c>
      <x:c r="K528" s="17" t="n">
        <x:f>IF(AND($A528&gt;='Control Room'!$A$13,$A528&lt;'Control Room'!$A$13+'Control Room'!$B$13,'Process'!BL2=1),1+('Control Room'!$C$13-1)*EXP(-0.5*(($A528-'Control Room'!$A$13-('Control Room'!$B$13-1)/2)/MAX(0.5,'Control Room'!$B$13/4))^2),1)*IF(AND($A528&gt;='Control Room'!$A$14,$A528&lt;'Control Room'!$A$14+'Control Room'!$B$14,'Process'!BL3=1),1+('Control Room'!$C$14-1)*EXP(-0.5*(($A528-'Control Room'!$A$14-('Control Room'!$B$14-1)/2)/MAX(0.5,'Control Room'!$B$14/4))^2),1)*IF(AND($A528&gt;='Control Room'!$A$15,$A528&lt;'Control Room'!$A$15+'Control Room'!$B$15,'Process'!BL4=1),1+('Control Room'!$C$15-1)*EXP(-0.5*(($A528-'Control Room'!$A$15-('Control Room'!$B$15-1)/2)/MAX(0.5,'Control Room'!$B$15/4))^2),1)*IF(AND($A528&gt;='Control Room'!$A$16,$A528&lt;'Control Room'!$A$16+'Control Room'!$B$16,'Process'!BL5=1),1+('Control Room'!$C$16-1)*EXP(-0.5*(($A528-'Control Room'!$A$16-('Control Room'!$B$16-1)/2)/MAX(0.5,'Control Room'!$B$16/4))^2),1)</x:f>
        <x:v>1</x:v>
      </x:c>
      <x:c r="L528" s="9" t="n">
        <x:f>MOD(M527*16807,2147483647)</x:f>
        <x:v>445861071</x:v>
      </x:c>
      <x:c r="M528" s="9" t="n">
        <x:f>MOD(L528*16807,2147483647)</x:f>
        <x:v>1016575914</x:v>
      </x:c>
      <x:c r="N528" s="17" t="n">
        <x:f>IF('Control Room'!$B$5="Normal",'Control Room'!$B$7+'Control Room'!$D$7*SQRT(-2*LN(MAX(0.000000000001,L528/2147483647)))*COS(2*PI()*M528/2147483647),'Control Room'!$B$8+('Control Room'!$D$8-'Control Room'!$B$8)*L528/2147483647)</x:f>
        <x:v>842.6427871092098</x:v>
      </x:c>
      <x:c r="O528" s="17" t="n">
        <x:f>IF('Control Room'!$B$5="Normal",'Control Room'!$B$7,('Control Room'!$B$8+'Control Room'!$D$8)/2)+'Control Room'!$B$9*(O527-IF('Control Room'!$B$5="Normal",'Control Room'!$B$7,('Control Room'!$B$8+'Control Room'!$D$8)/2))+SQRT(1-'Control Room'!$B$9^2)*(N528-IF('Control Room'!$B$5="Normal",'Control Room'!$B$7,('Control Room'!$B$8+'Control Room'!$D$8)/2))</x:f>
        <x:v>965.659934880803</x:v>
      </x:c>
      <x:c r="P528" s="17" t="n">
        <x:f>IF(AND($A528&gt;='Control Room'!$A$13,$A528&lt;'Control Room'!$A$13+'Control Room'!$B$13,'Process'!BM2=1),1+('Control Room'!$C$13-1)*EXP(-0.5*(($A528-'Control Room'!$A$13-('Control Room'!$B$13-1)/2)/MAX(0.5,'Control Room'!$B$13/4))^2),1)*IF(AND($A528&gt;='Control Room'!$A$14,$A528&lt;'Control Room'!$A$14+'Control Room'!$B$14,'Process'!BM3=1),1+('Control Room'!$C$14-1)*EXP(-0.5*(($A528-'Control Room'!$A$14-('Control Room'!$B$14-1)/2)/MAX(0.5,'Control Room'!$B$14/4))^2),1)*IF(AND($A528&gt;='Control Room'!$A$15,$A528&lt;'Control Room'!$A$15+'Control Room'!$B$15,'Process'!BM4=1),1+('Control Room'!$C$15-1)*EXP(-0.5*(($A528-'Control Room'!$A$15-('Control Room'!$B$15-1)/2)/MAX(0.5,'Control Room'!$B$15/4))^2),1)*IF(AND($A528&gt;='Control Room'!$A$16,$A528&lt;'Control Room'!$A$16+'Control Room'!$B$16,'Process'!BM5=1),1+('Control Room'!$C$16-1)*EXP(-0.5*(($A528-'Control Room'!$A$16-('Control Room'!$B$16-1)/2)/MAX(0.5,'Control Room'!$B$16/4))^2),1)</x:f>
        <x:v>1</x:v>
      </x:c>
      <x:c r="Q528" s="9" t="n">
        <x:f>MOD(R527*16807,2147483647)</x:f>
        <x:v>594092520</x:v>
      </x:c>
      <x:c r="R528" s="9" t="n">
        <x:f>MOD(Q528*16807,2147483647)</x:f>
        <x:v>1261508737</x:v>
      </x:c>
      <x:c r="S528" s="17" t="n">
        <x:f>IF('Control Room'!$B$5="Normal",'Control Room'!$B$7+'Control Room'!$D$7*SQRT(-2*LN(MAX(0.000000000001,Q528/2147483647)))*COS(2*PI()*R528/2147483647),'Control Room'!$B$8+('Control Room'!$D$8-'Control Room'!$B$8)*Q528/2147483647)</x:f>
        <x:v>876.949024639191</x:v>
      </x:c>
      <x:c r="T528" s="17" t="n">
        <x:f>IF('Control Room'!$B$5="Normal",'Control Room'!$B$7,('Control Room'!$B$8+'Control Room'!$D$8)/2)+'Control Room'!$B$9*(T527-IF('Control Room'!$B$5="Normal",'Control Room'!$B$7,('Control Room'!$B$8+'Control Room'!$D$8)/2))+SQRT(1-'Control Room'!$B$9^2)*(S528-IF('Control Room'!$B$5="Normal",'Control Room'!$B$7,('Control Room'!$B$8+'Control Room'!$D$8)/2))</x:f>
        <x:v>839.9829359989471</x:v>
      </x:c>
      <x:c r="U528" s="17" t="n">
        <x:f>IF(AND($A528&gt;='Control Room'!$A$13,$A528&lt;'Control Room'!$A$13+'Control Room'!$B$13,'Process'!BN2=1),1+('Control Room'!$C$13-1)*EXP(-0.5*(($A528-'Control Room'!$A$13-('Control Room'!$B$13-1)/2)/MAX(0.5,'Control Room'!$B$13/4))^2),1)*IF(AND($A528&gt;='Control Room'!$A$14,$A528&lt;'Control Room'!$A$14+'Control Room'!$B$14,'Process'!BN3=1),1+('Control Room'!$C$14-1)*EXP(-0.5*(($A528-'Control Room'!$A$14-('Control Room'!$B$14-1)/2)/MAX(0.5,'Control Room'!$B$14/4))^2),1)*IF(AND($A528&gt;='Control Room'!$A$15,$A528&lt;'Control Room'!$A$15+'Control Room'!$B$15,'Process'!BN4=1),1+('Control Room'!$C$15-1)*EXP(-0.5*(($A528-'Control Room'!$A$15-('Control Room'!$B$15-1)/2)/MAX(0.5,'Control Room'!$B$15/4))^2),1)*IF(AND($A528&gt;='Control Room'!$A$16,$A528&lt;'Control Room'!$A$16+'Control Room'!$B$16,'Process'!BN5=1),1+('Control Room'!$C$16-1)*EXP(-0.5*(($A528-'Control Room'!$A$16-('Control Room'!$B$16-1)/2)/MAX(0.5,'Control Room'!$B$16/4))^2),1)</x:f>
        <x:v>1</x:v>
      </x:c>
      <x:c r="V528" s="9" t="n">
        <x:f>MOD(W527*16807,2147483647)</x:f>
        <x:v>742323969</x:v>
      </x:c>
      <x:c r="W528" s="9" t="n">
        <x:f>MOD(V528*16807,2147483647)</x:f>
        <x:v>1506441560</x:v>
      </x:c>
      <x:c r="X528" s="17" t="n">
        <x:f>IF('Control Room'!$B$5="Normal",'Control Room'!$B$7+'Control Room'!$D$7*SQRT(-2*LN(MAX(0.000000000001,V528/2147483647)))*COS(2*PI()*W528/2147483647),'Control Room'!$B$8+('Control Room'!$D$8-'Control Room'!$B$8)*V528/2147483647)</x:f>
        <x:v>960.6334986883209</x:v>
      </x:c>
      <x:c r="Y528" s="17" t="n">
        <x:f>IF('Control Room'!$B$5="Normal",'Control Room'!$B$7,('Control Room'!$B$8+'Control Room'!$D$8)/2)+'Control Room'!$B$9*(Y527-IF('Control Room'!$B$5="Normal",'Control Room'!$B$7,('Control Room'!$B$8+'Control Room'!$D$8)/2))+SQRT(1-'Control Room'!$B$9^2)*(X528-IF('Control Room'!$B$5="Normal",'Control Room'!$B$7,('Control Room'!$B$8+'Control Room'!$D$8)/2))</x:f>
        <x:v>901.7758402414065</x:v>
      </x:c>
      <x:c r="Z528" s="17" t="n">
        <x:f>IF(AND($A528&gt;='Control Room'!$A$13,$A528&lt;'Control Room'!$A$13+'Control Room'!$B$13,'Process'!BO2=1),1+('Control Room'!$C$13-1)*EXP(-0.5*(($A528-'Control Room'!$A$13-('Control Room'!$B$13-1)/2)/MAX(0.5,'Control Room'!$B$13/4))^2),1)*IF(AND($A528&gt;='Control Room'!$A$14,$A528&lt;'Control Room'!$A$14+'Control Room'!$B$14,'Process'!BO3=1),1+('Control Room'!$C$14-1)*EXP(-0.5*(($A528-'Control Room'!$A$14-('Control Room'!$B$14-1)/2)/MAX(0.5,'Control Room'!$B$14/4))^2),1)*IF(AND($A528&gt;='Control Room'!$A$15,$A528&lt;'Control Room'!$A$15+'Control Room'!$B$15,'Process'!BO4=1),1+('Control Room'!$C$15-1)*EXP(-0.5*(($A528-'Control Room'!$A$15-('Control Room'!$B$15-1)/2)/MAX(0.5,'Control Room'!$B$15/4))^2),1)*IF(AND($A528&gt;='Control Room'!$A$16,$A528&lt;'Control Room'!$A$16+'Control Room'!$B$16,'Process'!BO5=1),1+('Control Room'!$C$16-1)*EXP(-0.5*(($A528-'Control Room'!$A$16-('Control Room'!$B$16-1)/2)/MAX(0.5,'Control Room'!$B$16/4))^2),1)</x:f>
        <x:v>1</x:v>
      </x:c>
      <x:c r="AA528" s="9" t="n">
        <x:f>MOD(AB527*16807,2147483647)</x:f>
        <x:v>890555418</x:v>
      </x:c>
      <x:c r="AB528" s="9" t="n">
        <x:f>MOD(AA528*16807,2147483647)</x:f>
        <x:v>1751374383</x:v>
      </x:c>
      <x:c r="AC528" s="17" t="n">
        <x:f>IF('Control Room'!$B$5="Normal",'Control Room'!$B$7+'Control Room'!$D$7*SQRT(-2*LN(MAX(0.000000000001,AA528/2147483647)))*COS(2*PI()*AB528/2147483647),'Control Room'!$B$8+('Control Room'!$D$8-'Control Room'!$B$8)*AA528/2147483647)</x:f>
        <x:v>1047.8009743072346</x:v>
      </x:c>
      <x:c r="AD528" s="17" t="n">
        <x:f>IF('Control Room'!$B$5="Normal",'Control Room'!$B$7,('Control Room'!$B$8+'Control Room'!$D$8)/2)+'Control Room'!$B$9*(AD527-IF('Control Room'!$B$5="Normal",'Control Room'!$B$7,('Control Room'!$B$8+'Control Room'!$D$8)/2))+SQRT(1-'Control Room'!$B$9^2)*(AC528-IF('Control Room'!$B$5="Normal",'Control Room'!$B$7,('Control Room'!$B$8+'Control Room'!$D$8)/2))</x:f>
        <x:v>1112.5915520826563</x:v>
      </x:c>
      <x:c r="AE528" s="17" t="n">
        <x:f>IF(AND($A528&gt;='Control Room'!$A$13,$A528&lt;'Control Room'!$A$13+'Control Room'!$B$13,'Process'!BP2=1),1+('Control Room'!$C$13-1)*EXP(-0.5*(($A528-'Control Room'!$A$13-('Control Room'!$B$13-1)/2)/MAX(0.5,'Control Room'!$B$13/4))^2),1)*IF(AND($A528&gt;='Control Room'!$A$14,$A528&lt;'Control Room'!$A$14+'Control Room'!$B$14,'Process'!BP3=1),1+('Control Room'!$C$14-1)*EXP(-0.5*(($A528-'Control Room'!$A$14-('Control Room'!$B$14-1)/2)/MAX(0.5,'Control Room'!$B$14/4))^2),1)*IF(AND($A528&gt;='Control Room'!$A$15,$A528&lt;'Control Room'!$A$15+'Control Room'!$B$15,'Process'!BP4=1),1+('Control Room'!$C$15-1)*EXP(-0.5*(($A528-'Control Room'!$A$15-('Control Room'!$B$15-1)/2)/MAX(0.5,'Control Room'!$B$15/4))^2),1)*IF(AND($A528&gt;='Control Room'!$A$16,$A528&lt;'Control Room'!$A$16+'Control Room'!$B$16,'Process'!BP5=1),1+('Control Room'!$C$16-1)*EXP(-0.5*(($A528-'Control Room'!$A$16-('Control Room'!$B$16-1)/2)/MAX(0.5,'Control Room'!$B$16/4))^2),1)</x:f>
        <x:v>1</x:v>
      </x:c>
      <x:c r="AF528" s="9" t="n">
        <x:f>MOD(AG527*16807,2147483647)</x:f>
        <x:v>1038786867</x:v>
      </x:c>
      <x:c r="AG528" s="9" t="n">
        <x:f>MOD(AF528*16807,2147483647)</x:f>
        <x:v>1996307206</x:v>
      </x:c>
      <x:c r="AH528" s="17" t="n">
        <x:f>IF('Control Room'!$B$5="Normal",'Control Room'!$B$7+'Control Room'!$D$7*SQRT(-2*LN(MAX(0.000000000001,AF528/2147483647)))*COS(2*PI()*AG528/2147483647),'Control Room'!$B$8+('Control Room'!$D$8-'Control Room'!$B$8)*AF528/2147483647)</x:f>
        <x:v>1098.0285733366486</x:v>
      </x:c>
      <x:c r="AI528" s="17" t="n">
        <x:f>IF('Control Room'!$B$5="Normal",'Control Room'!$B$7,('Control Room'!$B$8+'Control Room'!$D$8)/2)+'Control Room'!$B$9*(AI527-IF('Control Room'!$B$5="Normal",'Control Room'!$B$7,('Control Room'!$B$8+'Control Room'!$D$8)/2))+SQRT(1-'Control Room'!$B$9^2)*(AH528-IF('Control Room'!$B$5="Normal",'Control Room'!$B$7,('Control Room'!$B$8+'Control Room'!$D$8)/2))</x:f>
        <x:v>1031.51632056232</x:v>
      </x:c>
      <x:c r="AJ528" s="17" t="n">
        <x:f>IF(AND($A528&gt;='Control Room'!$A$13,$A528&lt;'Control Room'!$A$13+'Control Room'!$B$13,'Process'!BQ2=1),1+('Control Room'!$C$13-1)*EXP(-0.5*(($A528-'Control Room'!$A$13-('Control Room'!$B$13-1)/2)/MAX(0.5,'Control Room'!$B$13/4))^2),1)*IF(AND($A528&gt;='Control Room'!$A$14,$A528&lt;'Control Room'!$A$14+'Control Room'!$B$14,'Process'!BQ3=1),1+('Control Room'!$C$14-1)*EXP(-0.5*(($A528-'Control Room'!$A$14-('Control Room'!$B$14-1)/2)/MAX(0.5,'Control Room'!$B$14/4))^2),1)*IF(AND($A528&gt;='Control Room'!$A$15,$A528&lt;'Control Room'!$A$15+'Control Room'!$B$15,'Process'!BQ4=1),1+('Control Room'!$C$15-1)*EXP(-0.5*(($A528-'Control Room'!$A$15-('Control Room'!$B$15-1)/2)/MAX(0.5,'Control Room'!$B$15/4))^2),1)*IF(AND($A528&gt;='Control Room'!$A$16,$A528&lt;'Control Room'!$A$16+'Control Room'!$B$16,'Process'!BQ5=1),1+('Control Room'!$C$16-1)*EXP(-0.5*(($A528-'Control Room'!$A$16-('Control Room'!$B$16-1)/2)/MAX(0.5,'Control Room'!$B$16/4))^2),1)</x:f>
        <x:v>1</x:v>
      </x:c>
      <x:c r="AK528" s="9" t="n">
        <x:f>MOD(AL527*16807,2147483647)</x:f>
        <x:v>1187018316</x:v>
      </x:c>
      <x:c r="AL528" s="9" t="n">
        <x:f>MOD(AK528*16807,2147483647)</x:f>
        <x:v>93756382</x:v>
      </x:c>
      <x:c r="AM528" s="17" t="n">
        <x:f>IF('Control Room'!$B$5="Normal",'Control Room'!$B$7+'Control Room'!$D$7*SQRT(-2*LN(MAX(0.000000000001,AK528/2147483647)))*COS(2*PI()*AL528/2147483647),'Control Room'!$B$8+('Control Room'!$D$8-'Control Room'!$B$8)*AK528/2147483647)</x:f>
        <x:v>1094.336865669005</x:v>
      </x:c>
      <x:c r="AN528" s="17" t="n">
        <x:f>IF('Control Room'!$B$5="Normal",'Control Room'!$B$7,('Control Room'!$B$8+'Control Room'!$D$8)/2)+'Control Room'!$B$9*(AN527-IF('Control Room'!$B$5="Normal",'Control Room'!$B$7,('Control Room'!$B$8+'Control Room'!$D$8)/2))+SQRT(1-'Control Room'!$B$9^2)*(AM528-IF('Control Room'!$B$5="Normal",'Control Room'!$B$7,('Control Room'!$B$8+'Control Room'!$D$8)/2))</x:f>
        <x:v>1039.347873943298</x:v>
      </x:c>
      <x:c r="AO528" s="17" t="n">
        <x:f>IF(AND($A528&gt;='Control Room'!$A$13,$A528&lt;'Control Room'!$A$13+'Control Room'!$B$13,'Process'!BR2=1),1+('Control Room'!$C$13-1)*EXP(-0.5*(($A528-'Control Room'!$A$13-('Control Room'!$B$13-1)/2)/MAX(0.5,'Control Room'!$B$13/4))^2),1)*IF(AND($A528&gt;='Control Room'!$A$14,$A528&lt;'Control Room'!$A$14+'Control Room'!$B$14,'Process'!BR3=1),1+('Control Room'!$C$14-1)*EXP(-0.5*(($A528-'Control Room'!$A$14-('Control Room'!$B$14-1)/2)/MAX(0.5,'Control Room'!$B$14/4))^2),1)*IF(AND($A528&gt;='Control Room'!$A$15,$A528&lt;'Control Room'!$A$15+'Control Room'!$B$15,'Process'!BR4=1),1+('Control Room'!$C$15-1)*EXP(-0.5*(($A528-'Control Room'!$A$15-('Control Room'!$B$15-1)/2)/MAX(0.5,'Control Room'!$B$15/4))^2),1)*IF(AND($A528&gt;='Control Room'!$A$16,$A528&lt;'Control Room'!$A$16+'Control Room'!$B$16,'Process'!BR5=1),1+('Control Room'!$C$16-1)*EXP(-0.5*(($A528-'Control Room'!$A$16-('Control Room'!$B$16-1)/2)/MAX(0.5,'Control Room'!$B$16/4))^2),1)</x:f>
        <x:v>1</x:v>
      </x:c>
      <x:c r="AP528" s="9" t="n">
        <x:f>MOD(AQ527*16807,2147483647)</x:f>
        <x:v>1335249765</x:v>
      </x:c>
      <x:c r="AQ528" s="9" t="n">
        <x:f>MOD(AP528*16807,2147483647)</x:f>
        <x:v>338689205</x:v>
      </x:c>
      <x:c r="AR528" s="17" t="n">
        <x:f>IF('Control Room'!$B$5="Normal",'Control Room'!$B$7+'Control Room'!$D$7*SQRT(-2*LN(MAX(0.000000000001,AP528/2147483647)))*COS(2*PI()*AQ528/2147483647),'Control Room'!$B$8+('Control Room'!$D$8-'Control Room'!$B$8)*AP528/2147483647)</x:f>
        <x:v>1048.0711019087378</x:v>
      </x:c>
      <x:c r="AS528" s="17" t="n">
        <x:f>IF('Control Room'!$B$5="Normal",'Control Room'!$B$7,('Control Room'!$B$8+'Control Room'!$D$8)/2)+'Control Room'!$B$9*(AS527-IF('Control Room'!$B$5="Normal",'Control Room'!$B$7,('Control Room'!$B$8+'Control Room'!$D$8)/2))+SQRT(1-'Control Room'!$B$9^2)*(AR528-IF('Control Room'!$B$5="Normal",'Control Room'!$B$7,('Control Room'!$B$8+'Control Room'!$D$8)/2))</x:f>
        <x:v>1004.8146054521566</x:v>
      </x:c>
      <x:c r="AT528" s="17" t="n">
        <x:f>IF(AND($A528&gt;='Control Room'!$A$13,$A528&lt;'Control Room'!$A$13+'Control Room'!$B$13,'Process'!BS2=1),1+('Control Room'!$C$13-1)*EXP(-0.5*(($A528-'Control Room'!$A$13-('Control Room'!$B$13-1)/2)/MAX(0.5,'Control Room'!$B$13/4))^2),1)*IF(AND($A528&gt;='Control Room'!$A$14,$A528&lt;'Control Room'!$A$14+'Control Room'!$B$14,'Process'!BS3=1),1+('Control Room'!$C$14-1)*EXP(-0.5*(($A528-'Control Room'!$A$14-('Control Room'!$B$14-1)/2)/MAX(0.5,'Control Room'!$B$14/4))^2),1)*IF(AND($A528&gt;='Control Room'!$A$15,$A528&lt;'Control Room'!$A$15+'Control Room'!$B$15,'Process'!BS4=1),1+('Control Room'!$C$15-1)*EXP(-0.5*(($A528-'Control Room'!$A$15-('Control Room'!$B$15-1)/2)/MAX(0.5,'Control Room'!$B$15/4))^2),1)*IF(AND($A528&gt;='Control Room'!$A$16,$A528&lt;'Control Room'!$A$16+'Control Room'!$B$16,'Process'!BS5=1),1+('Control Room'!$C$16-1)*EXP(-0.5*(($A528-'Control Room'!$A$16-('Control Room'!$B$16-1)/2)/MAX(0.5,'Control Room'!$B$16/4))^2),1)</x:f>
        <x:v>1</x:v>
      </x:c>
      <x:c r="AU528" s="9" t="n">
        <x:f>MOD(AV527*16807,2147483647)</x:f>
        <x:v>1483481214</x:v>
      </x:c>
      <x:c r="AV528" s="9" t="n">
        <x:f>MOD(AU528*16807,2147483647)</x:f>
        <x:v>583622028</x:v>
      </x:c>
      <x:c r="AW528" s="17" t="n">
        <x:f>IF('Control Room'!$B$5="Normal",'Control Room'!$B$7+'Control Room'!$D$7*SQRT(-2*LN(MAX(0.000000000001,AU528/2147483647)))*COS(2*PI()*AV528/2147483647),'Control Room'!$B$8+('Control Room'!$D$8-'Control Room'!$B$8)*AU528/2147483647)</x:f>
        <x:v>989.4442378071086</x:v>
      </x:c>
      <x:c r="AX528" s="17" t="n">
        <x:f>IF('Control Room'!$B$5="Normal",'Control Room'!$B$7,('Control Room'!$B$8+'Control Room'!$D$8)/2)+'Control Room'!$B$9*(AX527-IF('Control Room'!$B$5="Normal",'Control Room'!$B$7,('Control Room'!$B$8+'Control Room'!$D$8)/2))+SQRT(1-'Control Room'!$B$9^2)*(AW528-IF('Control Room'!$B$5="Normal",'Control Room'!$B$7,('Control Room'!$B$8+'Control Room'!$D$8)/2))</x:f>
        <x:v>1051.2918357051726</x:v>
      </x:c>
      <x:c r="AY528" s="17" t="n">
        <x:f>IF(AND($A528&gt;='Control Room'!$A$13,$A528&lt;'Control Room'!$A$13+'Control Room'!$B$13,'Process'!BT2=1),1+('Control Room'!$C$13-1)*EXP(-0.5*(($A528-'Control Room'!$A$13-('Control Room'!$B$13-1)/2)/MAX(0.5,'Control Room'!$B$13/4))^2),1)*IF(AND($A528&gt;='Control Room'!$A$14,$A528&lt;'Control Room'!$A$14+'Control Room'!$B$14,'Process'!BT3=1),1+('Control Room'!$C$14-1)*EXP(-0.5*(($A528-'Control Room'!$A$14-('Control Room'!$B$14-1)/2)/MAX(0.5,'Control Room'!$B$14/4))^2),1)*IF(AND($A528&gt;='Control Room'!$A$15,$A528&lt;'Control Room'!$A$15+'Control Room'!$B$15,'Process'!BT4=1),1+('Control Room'!$C$15-1)*EXP(-0.5*(($A528-'Control Room'!$A$15-('Control Room'!$B$15-1)/2)/MAX(0.5,'Control Room'!$B$15/4))^2),1)*IF(AND($A528&gt;='Control Room'!$A$16,$A528&lt;'Control Room'!$A$16+'Control Room'!$B$16,'Process'!BT5=1),1+('Control Room'!$C$16-1)*EXP(-0.5*(($A528-'Control Room'!$A$16-('Control Room'!$B$16-1)/2)/MAX(0.5,'Control Room'!$B$16/4))^2),1)</x:f>
        <x:v>1</x:v>
      </x:c>
      <x:c r="AZ528" s="9" t="n">
        <x:f>MOD(BA527*16807,2147483647)</x:f>
        <x:v>1631712663</x:v>
      </x:c>
      <x:c r="BA528" s="9" t="n">
        <x:f>MOD(AZ528*16807,2147483647)</x:f>
        <x:v>828554851</x:v>
      </x:c>
      <x:c r="BB528" s="17" t="n">
        <x:f>IF('Control Room'!$B$5="Normal",'Control Room'!$B$7+'Control Room'!$D$7*SQRT(-2*LN(MAX(0.000000000001,AZ528/2147483647)))*COS(2*PI()*BA528/2147483647),'Control Room'!$B$8+('Control Room'!$D$8-'Control Room'!$B$8)*AZ528/2147483647)</x:f>
        <x:v>949.735361743706</x:v>
      </x:c>
      <x:c r="BC528" s="17" t="n">
        <x:f>IF('Control Room'!$B$5="Normal",'Control Room'!$B$7,('Control Room'!$B$8+'Control Room'!$D$8)/2)+'Control Room'!$B$9*(BC527-IF('Control Room'!$B$5="Normal",'Control Room'!$B$7,('Control Room'!$B$8+'Control Room'!$D$8)/2))+SQRT(1-'Control Room'!$B$9^2)*(BB528-IF('Control Room'!$B$5="Normal",'Control Room'!$B$7,('Control Room'!$B$8+'Control Room'!$D$8)/2))</x:f>
        <x:v>927.4711821310265</x:v>
      </x:c>
      <x:c r="BD528" s="17" t="n">
        <x:f>IF(AND($A528&gt;='Control Room'!$A$13,$A528&lt;'Control Room'!$A$13+'Control Room'!$B$13,'Process'!BU2=1),1+('Control Room'!$C$13-1)*EXP(-0.5*(($A528-'Control Room'!$A$13-('Control Room'!$B$13-1)/2)/MAX(0.5,'Control Room'!$B$13/4))^2),1)*IF(AND($A528&gt;='Control Room'!$A$14,$A528&lt;'Control Room'!$A$14+'Control Room'!$B$14,'Process'!BU3=1),1+('Control Room'!$C$14-1)*EXP(-0.5*(($A528-'Control Room'!$A$14-('Control Room'!$B$14-1)/2)/MAX(0.5,'Control Room'!$B$14/4))^2),1)*IF(AND($A528&gt;='Control Room'!$A$15,$A528&lt;'Control Room'!$A$15+'Control Room'!$B$15,'Process'!BU4=1),1+('Control Room'!$C$15-1)*EXP(-0.5*(($A528-'Control Room'!$A$15-('Control Room'!$B$15-1)/2)/MAX(0.5,'Control Room'!$B$15/4))^2),1)*IF(AND($A528&gt;='Control Room'!$A$16,$A528&lt;'Control Room'!$A$16+'Control Room'!$B$16,'Process'!BU5=1),1+('Control Room'!$C$16-1)*EXP(-0.5*(($A528-'Control Room'!$A$16-('Control Room'!$B$16-1)/2)/MAX(0.5,'Control Room'!$B$16/4))^2),1)</x:f>
        <x:v>1</x:v>
      </x:c>
      <x:c r="BE528" s="9" t="n">
        <x:f>MOD(BF527*16807,2147483647)</x:f>
        <x:v>1779944112</x:v>
      </x:c>
      <x:c r="BF528" s="9" t="n">
        <x:f>MOD(BE528*16807,2147483647)</x:f>
        <x:v>1073487674</x:v>
      </x:c>
      <x:c r="BG528" s="17" t="n">
        <x:f>IF('Control Room'!$B$5="Normal",'Control Room'!$B$7+'Control Room'!$D$7*SQRT(-2*LN(MAX(0.000000000001,BE528/2147483647)))*COS(2*PI()*BF528/2147483647),'Control Room'!$B$8+('Control Room'!$D$8-'Control Room'!$B$8)*BE528/2147483647)</x:f>
        <x:v>944.8549369435116</x:v>
      </x:c>
      <x:c r="BH528" s="17" t="n">
        <x:f>IF('Control Room'!$B$5="Normal",'Control Room'!$B$7,('Control Room'!$B$8+'Control Room'!$D$8)/2)+'Control Room'!$B$9*(BH527-IF('Control Room'!$B$5="Normal",'Control Room'!$B$7,('Control Room'!$B$8+'Control Room'!$D$8)/2))+SQRT(1-'Control Room'!$B$9^2)*(BG528-IF('Control Room'!$B$5="Normal",'Control Room'!$B$7,('Control Room'!$B$8+'Control Room'!$D$8)/2))</x:f>
        <x:v>971.1588607850864</x:v>
      </x:c>
      <x:c r="BI528" s="17" t="n">
        <x:f>IF(AND($A528&gt;='Control Room'!$A$13,$A528&lt;'Control Room'!$A$13+'Control Room'!$B$13,'Process'!BV2=1),1+('Control Room'!$C$13-1)*EXP(-0.5*(($A528-'Control Room'!$A$13-('Control Room'!$B$13-1)/2)/MAX(0.5,'Control Room'!$B$13/4))^2),1)*IF(AND($A528&gt;='Control Room'!$A$14,$A528&lt;'Control Room'!$A$14+'Control Room'!$B$14,'Process'!BV3=1),1+('Control Room'!$C$14-1)*EXP(-0.5*(($A528-'Control Room'!$A$14-('Control Room'!$B$14-1)/2)/MAX(0.5,'Control Room'!$B$14/4))^2),1)*IF(AND($A528&gt;='Control Room'!$A$15,$A528&lt;'Control Room'!$A$15+'Control Room'!$B$15,'Process'!BV4=1),1+('Control Room'!$C$15-1)*EXP(-0.5*(($A528-'Control Room'!$A$15-('Control Room'!$B$15-1)/2)/MAX(0.5,'Control Room'!$B$15/4))^2),1)*IF(AND($A528&gt;='Control Room'!$A$16,$A528&lt;'Control Room'!$A$16+'Control Room'!$B$16,'Process'!BV5=1),1+('Control Room'!$C$16-1)*EXP(-0.5*(($A528-'Control Room'!$A$16-('Control Room'!$B$16-1)/2)/MAX(0.5,'Control Room'!$B$16/4))^2),1)</x:f>
        <x:v>1</x:v>
      </x:c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Z528" t="str">
        <x:f>IF('Data'!A528="","",TEXT('Data'!A528,"mm-dd"))</x:f>
      </x:c>
    </x:row>
    <x:row r="529" ht="21" customHeight="1">
      <x:c r="A529" s="15" t="n">
        <x:f>'Control Room'!$B$1+527</x:f>
        <x:v>73518</x:v>
      </x:c>
      <x:c r="B529" s="9" t="n">
        <x:f>MOD(C528*16807,2147483647)</x:f>
        <x:v>491881342</x:v>
      </x:c>
      <x:c r="C529" s="9" t="n">
        <x:f>MOD(B529*16807,2147483647)</x:f>
        <x:v>1385157691</x:v>
      </x:c>
      <x:c r="D529" s="17" t="n">
        <x:f>IF('Control Room'!$B$5="Normal",'Control Room'!$B$7+'Control Room'!$D$7*SQRT(-2*LN(MAX(0.000000000001,B529/2147483647)))*COS(2*PI()*C529/2147483647),'Control Room'!$B$8+('Control Room'!$D$8-'Control Room'!$B$8)*B529/2147483647)</x:f>
        <x:v>905.3058425889009</x:v>
      </x:c>
      <x:c r="E529" s="17" t="n">
        <x:f>IF('Control Room'!$B$5="Normal",'Control Room'!$B$7,('Control Room'!$B$8+'Control Room'!$D$8)/2)+'Control Room'!$B$9*(E528-IF('Control Room'!$B$5="Normal",'Control Room'!$B$7,('Control Room'!$B$8+'Control Room'!$D$8)/2))+SQRT(1-'Control Room'!$B$9^2)*(D529-IF('Control Room'!$B$5="Normal",'Control Room'!$B$7,('Control Room'!$B$8+'Control Room'!$D$8)/2))</x:f>
        <x:v>885.8889599295295</x:v>
      </x:c>
      <x:c r="F529" s="17" t="n">
        <x:f>IF(AND($A529&gt;='Control Room'!$A$13,$A529&lt;'Control Room'!$A$13+'Control Room'!$B$13,'Process'!BK2=1),1+('Control Room'!$C$13-1)*EXP(-0.5*(($A529-'Control Room'!$A$13-('Control Room'!$B$13-1)/2)/MAX(0.5,'Control Room'!$B$13/4))^2),1)*IF(AND($A529&gt;='Control Room'!$A$14,$A529&lt;'Control Room'!$A$14+'Control Room'!$B$14,'Process'!BK3=1),1+('Control Room'!$C$14-1)*EXP(-0.5*(($A529-'Control Room'!$A$14-('Control Room'!$B$14-1)/2)/MAX(0.5,'Control Room'!$B$14/4))^2),1)*IF(AND($A529&gt;='Control Room'!$A$15,$A529&lt;'Control Room'!$A$15+'Control Room'!$B$15,'Process'!BK4=1),1+('Control Room'!$C$15-1)*EXP(-0.5*(($A529-'Control Room'!$A$15-('Control Room'!$B$15-1)/2)/MAX(0.5,'Control Room'!$B$15/4))^2),1)*IF(AND($A529&gt;='Control Room'!$A$16,$A529&lt;'Control Room'!$A$16+'Control Room'!$B$16,'Process'!BK5=1),1+('Control Room'!$C$16-1)*EXP(-0.5*(($A529-'Control Room'!$A$16-('Control Room'!$B$16-1)/2)/MAX(0.5,'Control Room'!$B$16/4))^2),1)</x:f>
        <x:v>1</x:v>
      </x:c>
      <x:c r="G529" s="9" t="n">
        <x:f>MOD(H528*16807,2147483647)</x:f>
        <x:v>351686204</x:v>
      </x:c>
      <x:c r="H529" s="9" t="n">
        <x:f>MOD(G529*16807,2147483647)</x:f>
        <x:v>915034084</x:v>
      </x:c>
      <x:c r="I529" s="17" t="n">
        <x:f>IF('Control Room'!$B$5="Normal",'Control Room'!$B$7+'Control Room'!$D$7*SQRT(-2*LN(MAX(0.000000000001,G529/2147483647)))*COS(2*PI()*H529/2147483647),'Control Room'!$B$8+('Control Room'!$D$8-'Control Room'!$B$8)*G529/2147483647)</x:f>
        <x:v>846.9243736547417</x:v>
      </x:c>
      <x:c r="J529" s="17" t="n">
        <x:f>IF('Control Room'!$B$5="Normal",'Control Room'!$B$7,('Control Room'!$B$8+'Control Room'!$D$8)/2)+'Control Room'!$B$9*(J528-IF('Control Room'!$B$5="Normal",'Control Room'!$B$7,('Control Room'!$B$8+'Control Room'!$D$8)/2))+SQRT(1-'Control Room'!$B$9^2)*(I529-IF('Control Room'!$B$5="Normal",'Control Room'!$B$7,('Control Room'!$B$8+'Control Room'!$D$8)/2))</x:f>
        <x:v>840.8690005308158</x:v>
      </x:c>
      <x:c r="K529" s="17" t="n">
        <x:f>IF(AND($A529&gt;='Control Room'!$A$13,$A529&lt;'Control Room'!$A$13+'Control Room'!$B$13,'Process'!BL2=1),1+('Control Room'!$C$13-1)*EXP(-0.5*(($A529-'Control Room'!$A$13-('Control Room'!$B$13-1)/2)/MAX(0.5,'Control Room'!$B$13/4))^2),1)*IF(AND($A529&gt;='Control Room'!$A$14,$A529&lt;'Control Room'!$A$14+'Control Room'!$B$14,'Process'!BL3=1),1+('Control Room'!$C$14-1)*EXP(-0.5*(($A529-'Control Room'!$A$14-('Control Room'!$B$14-1)/2)/MAX(0.5,'Control Room'!$B$14/4))^2),1)*IF(AND($A529&gt;='Control Room'!$A$15,$A529&lt;'Control Room'!$A$15+'Control Room'!$B$15,'Process'!BL4=1),1+('Control Room'!$C$15-1)*EXP(-0.5*(($A529-'Control Room'!$A$15-('Control Room'!$B$15-1)/2)/MAX(0.5,'Control Room'!$B$15/4))^2),1)*IF(AND($A529&gt;='Control Room'!$A$16,$A529&lt;'Control Room'!$A$16+'Control Room'!$B$16,'Process'!BL5=1),1+('Control Room'!$C$16-1)*EXP(-0.5*(($A529-'Control Room'!$A$16-('Control Room'!$B$16-1)/2)/MAX(0.5,'Control Room'!$B$16/4))^2),1)</x:f>
        <x:v>1</x:v>
      </x:c>
      <x:c r="L529" s="9" t="n">
        <x:f>MOD(M528*16807,2147483647)</x:f>
        <x:v>211491066</x:v>
      </x:c>
      <x:c r="M529" s="9" t="n">
        <x:f>MOD(L529*16807,2147483647)</x:f>
        <x:v>444910477</x:v>
      </x:c>
      <x:c r="N529" s="17" t="n">
        <x:f>IF('Control Room'!$B$5="Normal",'Control Room'!$B$7+'Control Room'!$D$7*SQRT(-2*LN(MAX(0.000000000001,L529/2147483647)))*COS(2*PI()*M529/2147483647),'Control Room'!$B$8+('Control Room'!$D$8-'Control Room'!$B$8)*L529/2147483647)</x:f>
        <x:v>1051.5110315054917</x:v>
      </x:c>
      <x:c r="O529" s="17" t="n">
        <x:f>IF('Control Room'!$B$5="Normal",'Control Room'!$B$7,('Control Room'!$B$8+'Control Room'!$D$8)/2)+'Control Room'!$B$9*(O528-IF('Control Room'!$B$5="Normal",'Control Room'!$B$7,('Control Room'!$B$8+'Control Room'!$D$8)/2))+SQRT(1-'Control Room'!$B$9^2)*(N529-IF('Control Room'!$B$5="Normal",'Control Room'!$B$7,('Control Room'!$B$8+'Control Room'!$D$8)/2))</x:f>
        <x:v>1005.4492974623241</x:v>
      </x:c>
      <x:c r="P529" s="17" t="n">
        <x:f>IF(AND($A529&gt;='Control Room'!$A$13,$A529&lt;'Control Room'!$A$13+'Control Room'!$B$13,'Process'!BM2=1),1+('Control Room'!$C$13-1)*EXP(-0.5*(($A529-'Control Room'!$A$13-('Control Room'!$B$13-1)/2)/MAX(0.5,'Control Room'!$B$13/4))^2),1)*IF(AND($A529&gt;='Control Room'!$A$14,$A529&lt;'Control Room'!$A$14+'Control Room'!$B$14,'Process'!BM3=1),1+('Control Room'!$C$14-1)*EXP(-0.5*(($A529-'Control Room'!$A$14-('Control Room'!$B$14-1)/2)/MAX(0.5,'Control Room'!$B$14/4))^2),1)*IF(AND($A529&gt;='Control Room'!$A$15,$A529&lt;'Control Room'!$A$15+'Control Room'!$B$15,'Process'!BM4=1),1+('Control Room'!$C$15-1)*EXP(-0.5*(($A529-'Control Room'!$A$15-('Control Room'!$B$15-1)/2)/MAX(0.5,'Control Room'!$B$15/4))^2),1)*IF(AND($A529&gt;='Control Room'!$A$16,$A529&lt;'Control Room'!$A$16+'Control Room'!$B$16,'Process'!BM5=1),1+('Control Room'!$C$16-1)*EXP(-0.5*(($A529-'Control Room'!$A$16-('Control Room'!$B$16-1)/2)/MAX(0.5,'Control Room'!$B$16/4))^2),1)</x:f>
        <x:v>1</x:v>
      </x:c>
      <x:c r="Q529" s="9" t="n">
        <x:f>MOD(R528*16807,2147483647)</x:f>
        <x:v>71295928</x:v>
      </x:c>
      <x:c r="R529" s="9" t="n">
        <x:f>MOD(Q529*16807,2147483647)</x:f>
        <x:v>2122270517</x:v>
      </x:c>
      <x:c r="S529" s="17" t="n">
        <x:f>IF('Control Room'!$B$5="Normal",'Control Room'!$B$7+'Control Room'!$D$7*SQRT(-2*LN(MAX(0.000000000001,Q529/2147483647)))*COS(2*PI()*R529/2147483647),'Control Room'!$B$8+('Control Room'!$D$8-'Control Room'!$B$8)*Q529/2147483647)</x:f>
        <x:v>1234.2323428719628</x:v>
      </x:c>
      <x:c r="T529" s="17" t="n">
        <x:f>IF('Control Room'!$B$5="Normal",'Control Room'!$B$7,('Control Room'!$B$8+'Control Room'!$D$8)/2)+'Control Room'!$B$9*(T528-IF('Control Room'!$B$5="Normal",'Control Room'!$B$7,('Control Room'!$B$8+'Control Room'!$D$8)/2))+SQRT(1-'Control Room'!$B$9^2)*(S529-IF('Control Room'!$B$5="Normal",'Control Room'!$B$7,('Control Room'!$B$8+'Control Room'!$D$8)/2))</x:f>
        <x:v>1021.7644917380871</x:v>
      </x:c>
      <x:c r="U529" s="17" t="n">
        <x:f>IF(AND($A529&gt;='Control Room'!$A$13,$A529&lt;'Control Room'!$A$13+'Control Room'!$B$13,'Process'!BN2=1),1+('Control Room'!$C$13-1)*EXP(-0.5*(($A529-'Control Room'!$A$13-('Control Room'!$B$13-1)/2)/MAX(0.5,'Control Room'!$B$13/4))^2),1)*IF(AND($A529&gt;='Control Room'!$A$14,$A529&lt;'Control Room'!$A$14+'Control Room'!$B$14,'Process'!BN3=1),1+('Control Room'!$C$14-1)*EXP(-0.5*(($A529-'Control Room'!$A$14-('Control Room'!$B$14-1)/2)/MAX(0.5,'Control Room'!$B$14/4))^2),1)*IF(AND($A529&gt;='Control Room'!$A$15,$A529&lt;'Control Room'!$A$15+'Control Room'!$B$15,'Process'!BN4=1),1+('Control Room'!$C$15-1)*EXP(-0.5*(($A529-'Control Room'!$A$15-('Control Room'!$B$15-1)/2)/MAX(0.5,'Control Room'!$B$15/4))^2),1)*IF(AND($A529&gt;='Control Room'!$A$16,$A529&lt;'Control Room'!$A$16+'Control Room'!$B$16,'Process'!BN5=1),1+('Control Room'!$C$16-1)*EXP(-0.5*(($A529-'Control Room'!$A$16-('Control Room'!$B$16-1)/2)/MAX(0.5,'Control Room'!$B$16/4))^2),1)</x:f>
        <x:v>1</x:v>
      </x:c>
      <x:c r="V529" s="9" t="n">
        <x:f>MOD(W528*16807,2147483647)</x:f>
        <x:v>2078584437</x:v>
      </x:c>
      <x:c r="W529" s="9" t="n">
        <x:f>MOD(V529*16807,2147483647)</x:f>
        <x:v>1652146910</x:v>
      </x:c>
      <x:c r="X529" s="17" t="n">
        <x:f>IF('Control Room'!$B$5="Normal",'Control Room'!$B$7+'Control Room'!$D$7*SQRT(-2*LN(MAX(0.000000000001,V529/2147483647)))*COS(2*PI()*W529/2147483647),'Control Room'!$B$8+('Control Room'!$D$8-'Control Room'!$B$8)*V529/2147483647)</x:f>
        <x:v>1002.7862287389106</x:v>
      </x:c>
      <x:c r="Y529" s="17" t="n">
        <x:f>IF('Control Room'!$B$5="Normal",'Control Room'!$B$7,('Control Room'!$B$8+'Control Room'!$D$8)/2)+'Control Room'!$B$9*(Y528-IF('Control Room'!$B$5="Normal",'Control Room'!$B$7,('Control Room'!$B$8+'Control Room'!$D$8)/2))+SQRT(1-'Control Room'!$B$9^2)*(X529-IF('Control Room'!$B$5="Normal",'Control Room'!$B$7,('Control Room'!$B$8+'Control Room'!$D$8)/2))</x:f>
        <x:v>925.1287202541091</x:v>
      </x:c>
      <x:c r="Z529" s="17" t="n">
        <x:f>IF(AND($A529&gt;='Control Room'!$A$13,$A529&lt;'Control Room'!$A$13+'Control Room'!$B$13,'Process'!BO2=1),1+('Control Room'!$C$13-1)*EXP(-0.5*(($A529-'Control Room'!$A$13-('Control Room'!$B$13-1)/2)/MAX(0.5,'Control Room'!$B$13/4))^2),1)*IF(AND($A529&gt;='Control Room'!$A$14,$A529&lt;'Control Room'!$A$14+'Control Room'!$B$14,'Process'!BO3=1),1+('Control Room'!$C$14-1)*EXP(-0.5*(($A529-'Control Room'!$A$14-('Control Room'!$B$14-1)/2)/MAX(0.5,'Control Room'!$B$14/4))^2),1)*IF(AND($A529&gt;='Control Room'!$A$15,$A529&lt;'Control Room'!$A$15+'Control Room'!$B$15,'Process'!BO4=1),1+('Control Room'!$C$15-1)*EXP(-0.5*(($A529-'Control Room'!$A$15-('Control Room'!$B$15-1)/2)/MAX(0.5,'Control Room'!$B$15/4))^2),1)*IF(AND($A529&gt;='Control Room'!$A$16,$A529&lt;'Control Room'!$A$16+'Control Room'!$B$16,'Process'!BO5=1),1+('Control Room'!$C$16-1)*EXP(-0.5*(($A529-'Control Room'!$A$16-('Control Room'!$B$16-1)/2)/MAX(0.5,'Control Room'!$B$16/4))^2),1)</x:f>
        <x:v>1</x:v>
      </x:c>
      <x:c r="AA529" s="9" t="n">
        <x:f>MOD(AB528*16807,2147483647)</x:f>
        <x:v>1938389299</x:v>
      </x:c>
      <x:c r="AB529" s="9" t="n">
        <x:f>MOD(AA529*16807,2147483647)</x:f>
        <x:v>1182023303</x:v>
      </x:c>
      <x:c r="AC529" s="17" t="n">
        <x:f>IF('Control Room'!$B$5="Normal",'Control Room'!$B$7+'Control Room'!$D$7*SQRT(-2*LN(MAX(0.000000000001,AA529/2147483647)))*COS(2*PI()*AB529/2147483647),'Control Room'!$B$8+('Control Room'!$D$8-'Control Room'!$B$8)*AA529/2147483647)</x:f>
        <x:v>961.2901900904084</x:v>
      </x:c>
      <x:c r="AD529" s="17" t="n">
        <x:f>IF('Control Room'!$B$5="Normal",'Control Room'!$B$7,('Control Room'!$B$8+'Control Room'!$D$8)/2)+'Control Room'!$B$9*(AD528-IF('Control Room'!$B$5="Normal",'Control Room'!$B$7,('Control Room'!$B$8+'Control Room'!$D$8)/2))+SQRT(1-'Control Room'!$B$9^2)*(AC529-IF('Control Room'!$B$5="Normal",'Control Room'!$B$7,('Control Room'!$B$8+'Control Room'!$D$8)/2))</x:f>
        <x:v>1063.5976045966097</x:v>
      </x:c>
      <x:c r="AE529" s="17" t="n">
        <x:f>IF(AND($A529&gt;='Control Room'!$A$13,$A529&lt;'Control Room'!$A$13+'Control Room'!$B$13,'Process'!BP2=1),1+('Control Room'!$C$13-1)*EXP(-0.5*(($A529-'Control Room'!$A$13-('Control Room'!$B$13-1)/2)/MAX(0.5,'Control Room'!$B$13/4))^2),1)*IF(AND($A529&gt;='Control Room'!$A$14,$A529&lt;'Control Room'!$A$14+'Control Room'!$B$14,'Process'!BP3=1),1+('Control Room'!$C$14-1)*EXP(-0.5*(($A529-'Control Room'!$A$14-('Control Room'!$B$14-1)/2)/MAX(0.5,'Control Room'!$B$14/4))^2),1)*IF(AND($A529&gt;='Control Room'!$A$15,$A529&lt;'Control Room'!$A$15+'Control Room'!$B$15,'Process'!BP4=1),1+('Control Room'!$C$15-1)*EXP(-0.5*(($A529-'Control Room'!$A$15-('Control Room'!$B$15-1)/2)/MAX(0.5,'Control Room'!$B$15/4))^2),1)*IF(AND($A529&gt;='Control Room'!$A$16,$A529&lt;'Control Room'!$A$16+'Control Room'!$B$16,'Process'!BP5=1),1+('Control Room'!$C$16-1)*EXP(-0.5*(($A529-'Control Room'!$A$16-('Control Room'!$B$16-1)/2)/MAX(0.5,'Control Room'!$B$16/4))^2),1)</x:f>
        <x:v>1</x:v>
      </x:c>
      <x:c r="AF529" s="9" t="n">
        <x:f>MOD(AG528*16807,2147483647)</x:f>
        <x:v>1798194161</x:v>
      </x:c>
      <x:c r="AG529" s="9" t="n">
        <x:f>MOD(AF529*16807,2147483647)</x:f>
        <x:v>711899696</x:v>
      </x:c>
      <x:c r="AH529" s="17" t="n">
        <x:f>IF('Control Room'!$B$5="Normal",'Control Room'!$B$7+'Control Room'!$D$7*SQRT(-2*LN(MAX(0.000000000001,AF529/2147483647)))*COS(2*PI()*AG529/2147483647),'Control Room'!$B$8+('Control Room'!$D$8-'Control Room'!$B$8)*AF529/2147483647)</x:f>
        <x:v>973.7226296742192</x:v>
      </x:c>
      <x:c r="AI529" s="17" t="n">
        <x:f>IF('Control Room'!$B$5="Normal",'Control Room'!$B$7,('Control Room'!$B$8+'Control Room'!$D$8)/2)+'Control Room'!$B$9*(AI528-IF('Control Room'!$B$5="Normal",'Control Room'!$B$7,('Control Room'!$B$8+'Control Room'!$D$8)/2))+SQRT(1-'Control Room'!$B$9^2)*(AH529-IF('Control Room'!$B$5="Normal",'Control Room'!$B$7,('Control Room'!$B$8+'Control Room'!$D$8)/2))</x:f>
        <x:v>1008.1388900099275</x:v>
      </x:c>
      <x:c r="AJ529" s="17" t="n">
        <x:f>IF(AND($A529&gt;='Control Room'!$A$13,$A529&lt;'Control Room'!$A$13+'Control Room'!$B$13,'Process'!BQ2=1),1+('Control Room'!$C$13-1)*EXP(-0.5*(($A529-'Control Room'!$A$13-('Control Room'!$B$13-1)/2)/MAX(0.5,'Control Room'!$B$13/4))^2),1)*IF(AND($A529&gt;='Control Room'!$A$14,$A529&lt;'Control Room'!$A$14+'Control Room'!$B$14,'Process'!BQ3=1),1+('Control Room'!$C$14-1)*EXP(-0.5*(($A529-'Control Room'!$A$14-('Control Room'!$B$14-1)/2)/MAX(0.5,'Control Room'!$B$14/4))^2),1)*IF(AND($A529&gt;='Control Room'!$A$15,$A529&lt;'Control Room'!$A$15+'Control Room'!$B$15,'Process'!BQ4=1),1+('Control Room'!$C$15-1)*EXP(-0.5*(($A529-'Control Room'!$A$15-('Control Room'!$B$15-1)/2)/MAX(0.5,'Control Room'!$B$15/4))^2),1)*IF(AND($A529&gt;='Control Room'!$A$16,$A529&lt;'Control Room'!$A$16+'Control Room'!$B$16,'Process'!BQ5=1),1+('Control Room'!$C$16-1)*EXP(-0.5*(($A529-'Control Room'!$A$16-('Control Room'!$B$16-1)/2)/MAX(0.5,'Control Room'!$B$16/4))^2),1)</x:f>
        <x:v>1</x:v>
      </x:c>
      <x:c r="AK529" s="9" t="n">
        <x:f>MOD(AL528*16807,2147483647)</x:f>
        <x:v>1657999023</x:v>
      </x:c>
      <x:c r="AL529" s="9" t="n">
        <x:f>MOD(AK529*16807,2147483647)</x:f>
        <x:v>241776089</x:v>
      </x:c>
      <x:c r="AM529" s="17" t="n">
        <x:f>IF('Control Room'!$B$5="Normal",'Control Room'!$B$7+'Control Room'!$D$7*SQRT(-2*LN(MAX(0.000000000001,AK529/2147483647)))*COS(2*PI()*AL529/2147483647),'Control Room'!$B$8+('Control Room'!$D$8-'Control Room'!$B$8)*AK529/2147483647)</x:f>
        <x:v>1049.2026960946716</x:v>
      </x:c>
      <x:c r="AN529" s="17" t="n">
        <x:f>IF('Control Room'!$B$5="Normal",'Control Room'!$B$7,('Control Room'!$B$8+'Control Room'!$D$8)/2)+'Control Room'!$B$9*(AN528-IF('Control Room'!$B$5="Normal",'Control Room'!$B$7,('Control Room'!$B$8+'Control Room'!$D$8)/2))+SQRT(1-'Control Room'!$B$9^2)*(AM529-IF('Control Room'!$B$5="Normal",'Control Room'!$B$7,('Control Room'!$B$8+'Control Room'!$D$8)/2))</x:f>
        <x:v>1061.4813809198004</x:v>
      </x:c>
      <x:c r="AO529" s="17" t="n">
        <x:f>IF(AND($A529&gt;='Control Room'!$A$13,$A529&lt;'Control Room'!$A$13+'Control Room'!$B$13,'Process'!BR2=1),1+('Control Room'!$C$13-1)*EXP(-0.5*(($A529-'Control Room'!$A$13-('Control Room'!$B$13-1)/2)/MAX(0.5,'Control Room'!$B$13/4))^2),1)*IF(AND($A529&gt;='Control Room'!$A$14,$A529&lt;'Control Room'!$A$14+'Control Room'!$B$14,'Process'!BR3=1),1+('Control Room'!$C$14-1)*EXP(-0.5*(($A529-'Control Room'!$A$14-('Control Room'!$B$14-1)/2)/MAX(0.5,'Control Room'!$B$14/4))^2),1)*IF(AND($A529&gt;='Control Room'!$A$15,$A529&lt;'Control Room'!$A$15+'Control Room'!$B$15,'Process'!BR4=1),1+('Control Room'!$C$15-1)*EXP(-0.5*(($A529-'Control Room'!$A$15-('Control Room'!$B$15-1)/2)/MAX(0.5,'Control Room'!$B$15/4))^2),1)*IF(AND($A529&gt;='Control Room'!$A$16,$A529&lt;'Control Room'!$A$16+'Control Room'!$B$16,'Process'!BR5=1),1+('Control Room'!$C$16-1)*EXP(-0.5*(($A529-'Control Room'!$A$16-('Control Room'!$B$16-1)/2)/MAX(0.5,'Control Room'!$B$16/4))^2),1)</x:f>
        <x:v>1</x:v>
      </x:c>
      <x:c r="AP529" s="9" t="n">
        <x:f>MOD(AQ528*16807,2147483647)</x:f>
        <x:v>1517803885</x:v>
      </x:c>
      <x:c r="AQ529" s="9" t="n">
        <x:f>MOD(AP529*16807,2147483647)</x:f>
        <x:v>1919136129</x:v>
      </x:c>
      <x:c r="AR529" s="17" t="n">
        <x:f>IF('Control Room'!$B$5="Normal",'Control Room'!$B$7+'Control Room'!$D$7*SQRT(-2*LN(MAX(0.000000000001,AP529/2147483647)))*COS(2*PI()*AQ529/2147483647),'Control Room'!$B$8+('Control Room'!$D$8-'Control Room'!$B$8)*AP529/2147483647)</x:f>
        <x:v>1058.8585590746927</x:v>
      </x:c>
      <x:c r="AS529" s="17" t="n">
        <x:f>IF('Control Room'!$B$5="Normal",'Control Room'!$B$7,('Control Room'!$B$8+'Control Room'!$D$8)/2)+'Control Room'!$B$9*(AS528-IF('Control Room'!$B$5="Normal",'Control Room'!$B$7,('Control Room'!$B$8+'Control Room'!$D$8)/2))+SQRT(1-'Control Room'!$B$9^2)*(AR529-IF('Control Room'!$B$5="Normal",'Control Room'!$B$7,('Control Room'!$B$8+'Control Room'!$D$8)/2))</x:f>
        <x:v>1040.587872738502</x:v>
      </x:c>
      <x:c r="AT529" s="17" t="n">
        <x:f>IF(AND($A529&gt;='Control Room'!$A$13,$A529&lt;'Control Room'!$A$13+'Control Room'!$B$13,'Process'!BS2=1),1+('Control Room'!$C$13-1)*EXP(-0.5*(($A529-'Control Room'!$A$13-('Control Room'!$B$13-1)/2)/MAX(0.5,'Control Room'!$B$13/4))^2),1)*IF(AND($A529&gt;='Control Room'!$A$14,$A529&lt;'Control Room'!$A$14+'Control Room'!$B$14,'Process'!BS3=1),1+('Control Room'!$C$14-1)*EXP(-0.5*(($A529-'Control Room'!$A$14-('Control Room'!$B$14-1)/2)/MAX(0.5,'Control Room'!$B$14/4))^2),1)*IF(AND($A529&gt;='Control Room'!$A$15,$A529&lt;'Control Room'!$A$15+'Control Room'!$B$15,'Process'!BS4=1),1+('Control Room'!$C$15-1)*EXP(-0.5*(($A529-'Control Room'!$A$15-('Control Room'!$B$15-1)/2)/MAX(0.5,'Control Room'!$B$15/4))^2),1)*IF(AND($A529&gt;='Control Room'!$A$16,$A529&lt;'Control Room'!$A$16+'Control Room'!$B$16,'Process'!BS5=1),1+('Control Room'!$C$16-1)*EXP(-0.5*(($A529-'Control Room'!$A$16-('Control Room'!$B$16-1)/2)/MAX(0.5,'Control Room'!$B$16/4))^2),1)</x:f>
        <x:v>1</x:v>
      </x:c>
      <x:c r="AU529" s="9" t="n">
        <x:f>MOD(AV528*16807,2147483647)</x:f>
        <x:v>1377608747</x:v>
      </x:c>
      <x:c r="AV529" s="9" t="n">
        <x:f>MOD(AU529*16807,2147483647)</x:f>
        <x:v>1449012522</x:v>
      </x:c>
      <x:c r="AW529" s="17" t="n">
        <x:f>IF('Control Room'!$B$5="Normal",'Control Room'!$B$7+'Control Room'!$D$7*SQRT(-2*LN(MAX(0.000000000001,AU529/2147483647)))*COS(2*PI()*AV529/2147483647),'Control Room'!$B$8+('Control Room'!$D$8-'Control Room'!$B$8)*AU529/2147483647)</x:f>
        <x:v>961.3800665114514</x:v>
      </x:c>
      <x:c r="AX529" s="17" t="n">
        <x:f>IF('Control Room'!$B$5="Normal",'Control Room'!$B$7,('Control Room'!$B$8+'Control Room'!$D$8)/2)+'Control Room'!$B$9*(AX528-IF('Control Room'!$B$5="Normal",'Control Room'!$B$7,('Control Room'!$B$8+'Control Room'!$D$8)/2))+SQRT(1-'Control Room'!$B$9^2)*(AW529-IF('Control Room'!$B$5="Normal",'Control Room'!$B$7,('Control Room'!$B$8+'Control Room'!$D$8)/2))</x:f>
        <x:v>1015.8400686452425</x:v>
      </x:c>
      <x:c r="AY529" s="17" t="n">
        <x:f>IF(AND($A529&gt;='Control Room'!$A$13,$A529&lt;'Control Room'!$A$13+'Control Room'!$B$13,'Process'!BT2=1),1+('Control Room'!$C$13-1)*EXP(-0.5*(($A529-'Control Room'!$A$13-('Control Room'!$B$13-1)/2)/MAX(0.5,'Control Room'!$B$13/4))^2),1)*IF(AND($A529&gt;='Control Room'!$A$14,$A529&lt;'Control Room'!$A$14+'Control Room'!$B$14,'Process'!BT3=1),1+('Control Room'!$C$14-1)*EXP(-0.5*(($A529-'Control Room'!$A$14-('Control Room'!$B$14-1)/2)/MAX(0.5,'Control Room'!$B$14/4))^2),1)*IF(AND($A529&gt;='Control Room'!$A$15,$A529&lt;'Control Room'!$A$15+'Control Room'!$B$15,'Process'!BT4=1),1+('Control Room'!$C$15-1)*EXP(-0.5*(($A529-'Control Room'!$A$15-('Control Room'!$B$15-1)/2)/MAX(0.5,'Control Room'!$B$15/4))^2),1)*IF(AND($A529&gt;='Control Room'!$A$16,$A529&lt;'Control Room'!$A$16+'Control Room'!$B$16,'Process'!BT5=1),1+('Control Room'!$C$16-1)*EXP(-0.5*(($A529-'Control Room'!$A$16-('Control Room'!$B$16-1)/2)/MAX(0.5,'Control Room'!$B$16/4))^2),1)</x:f>
        <x:v>1</x:v>
      </x:c>
      <x:c r="AZ529" s="9" t="n">
        <x:f>MOD(BA528*16807,2147483647)</x:f>
        <x:v>1237413609</x:v>
      </x:c>
      <x:c r="BA529" s="9" t="n">
        <x:f>MOD(AZ529*16807,2147483647)</x:f>
        <x:v>978888915</x:v>
      </x:c>
      <x:c r="BB529" s="17" t="n">
        <x:f>IF('Control Room'!$B$5="Normal",'Control Room'!$B$7+'Control Room'!$D$7*SQRT(-2*LN(MAX(0.000000000001,AZ529/2147483647)))*COS(2*PI()*BA529/2147483647),'Control Room'!$B$8+('Control Room'!$D$8-'Control Room'!$B$8)*AZ529/2147483647)</x:f>
        <x:v>909.1139536152663</x:v>
      </x:c>
      <x:c r="BC529" s="17" t="n">
        <x:f>IF('Control Room'!$B$5="Normal",'Control Room'!$B$7,('Control Room'!$B$8+'Control Room'!$D$8)/2)+'Control Room'!$B$9*(BC528-IF('Control Room'!$B$5="Normal",'Control Room'!$B$7,('Control Room'!$B$8+'Control Room'!$D$8)/2))+SQRT(1-'Control Room'!$B$9^2)*(BB529-IF('Control Room'!$B$5="Normal",'Control Room'!$B$7,('Control Room'!$B$8+'Control Room'!$D$8)/2))</x:f>
        <x:v>886.5528961364978</x:v>
      </x:c>
      <x:c r="BD529" s="17" t="n">
        <x:f>IF(AND($A529&gt;='Control Room'!$A$13,$A529&lt;'Control Room'!$A$13+'Control Room'!$B$13,'Process'!BU2=1),1+('Control Room'!$C$13-1)*EXP(-0.5*(($A529-'Control Room'!$A$13-('Control Room'!$B$13-1)/2)/MAX(0.5,'Control Room'!$B$13/4))^2),1)*IF(AND($A529&gt;='Control Room'!$A$14,$A529&lt;'Control Room'!$A$14+'Control Room'!$B$14,'Process'!BU3=1),1+('Control Room'!$C$14-1)*EXP(-0.5*(($A529-'Control Room'!$A$14-('Control Room'!$B$14-1)/2)/MAX(0.5,'Control Room'!$B$14/4))^2),1)*IF(AND($A529&gt;='Control Room'!$A$15,$A529&lt;'Control Room'!$A$15+'Control Room'!$B$15,'Process'!BU4=1),1+('Control Room'!$C$15-1)*EXP(-0.5*(($A529-'Control Room'!$A$15-('Control Room'!$B$15-1)/2)/MAX(0.5,'Control Room'!$B$15/4))^2),1)*IF(AND($A529&gt;='Control Room'!$A$16,$A529&lt;'Control Room'!$A$16+'Control Room'!$B$16,'Process'!BU5=1),1+('Control Room'!$C$16-1)*EXP(-0.5*(($A529-'Control Room'!$A$16-('Control Room'!$B$16-1)/2)/MAX(0.5,'Control Room'!$B$16/4))^2),1)</x:f>
        <x:v>1</x:v>
      </x:c>
      <x:c r="BE529" s="9" t="n">
        <x:f>MOD(BF528*16807,2147483647)</x:f>
        <x:v>1097218471</x:v>
      </x:c>
      <x:c r="BF529" s="9" t="n">
        <x:f>MOD(BE529*16807,2147483647)</x:f>
        <x:v>508765308</x:v>
      </x:c>
      <x:c r="BG529" s="17" t="n">
        <x:f>IF('Control Room'!$B$5="Normal",'Control Room'!$B$7+'Control Room'!$D$7*SQRT(-2*LN(MAX(0.000000000001,BE529/2147483647)))*COS(2*PI()*BF529/2147483647),'Control Room'!$B$8+('Control Room'!$D$8-'Control Room'!$B$8)*BE529/2147483647)</x:f>
        <x:v>1008.5672182398135</x:v>
      </x:c>
      <x:c r="BH529" s="17" t="n">
        <x:f>IF('Control Room'!$B$5="Normal",'Control Room'!$B$7,('Control Room'!$B$8+'Control Room'!$D$8)/2)+'Control Room'!$B$9*(BH528-IF('Control Room'!$B$5="Normal",'Control Room'!$B$7,('Control Room'!$B$8+'Control Room'!$D$8)/2))+SQRT(1-'Control Room'!$B$9^2)*(BG529-IF('Control Room'!$B$5="Normal",'Control Room'!$B$7,('Control Room'!$B$8+'Control Room'!$D$8)/2))</x:f>
        <x:v>982.8651010778374</x:v>
      </x:c>
      <x:c r="BI529" s="17" t="n">
        <x:f>IF(AND($A529&gt;='Control Room'!$A$13,$A529&lt;'Control Room'!$A$13+'Control Room'!$B$13,'Process'!BV2=1),1+('Control Room'!$C$13-1)*EXP(-0.5*(($A529-'Control Room'!$A$13-('Control Room'!$B$13-1)/2)/MAX(0.5,'Control Room'!$B$13/4))^2),1)*IF(AND($A529&gt;='Control Room'!$A$14,$A529&lt;'Control Room'!$A$14+'Control Room'!$B$14,'Process'!BV3=1),1+('Control Room'!$C$14-1)*EXP(-0.5*(($A529-'Control Room'!$A$14-('Control Room'!$B$14-1)/2)/MAX(0.5,'Control Room'!$B$14/4))^2),1)*IF(AND($A529&gt;='Control Room'!$A$15,$A529&lt;'Control Room'!$A$15+'Control Room'!$B$15,'Process'!BV4=1),1+('Control Room'!$C$15-1)*EXP(-0.5*(($A529-'Control Room'!$A$15-('Control Room'!$B$15-1)/2)/MAX(0.5,'Control Room'!$B$15/4))^2),1)*IF(AND($A529&gt;='Control Room'!$A$16,$A529&lt;'Control Room'!$A$16+'Control Room'!$B$16,'Process'!BV5=1),1+('Control Room'!$C$16-1)*EXP(-0.5*(($A529-'Control Room'!$A$16-('Control Room'!$B$16-1)/2)/MAX(0.5,'Control Room'!$B$16/4))^2),1)</x:f>
        <x:v>1</x:v>
      </x:c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Z529" t="str">
        <x:f>IF('Data'!A529="","",TEXT('Data'!A529,"mm-dd"))</x:f>
      </x:c>
    </x:row>
    <x:row r="530" ht="21" customHeight="1">
      <x:c r="A530" s="15" t="n">
        <x:f>'Control Room'!$B$1+528</x:f>
        <x:v>73519</x:v>
      </x:c>
      <x:c r="B530" s="9" t="n">
        <x:f>MOD(C529*16807,2147483647)</x:f>
        <x:v>1622579157</x:v>
      </x:c>
      <x:c r="C530" s="9" t="n">
        <x:f>MOD(B530*16807,2147483647)</x:f>
        <x:v>1940542093</x:v>
      </x:c>
      <x:c r="D530" s="17" t="n">
        <x:f>IF('Control Room'!$B$5="Normal",'Control Room'!$B$7+'Control Room'!$D$7*SQRT(-2*LN(MAX(0.000000000001,B530/2147483647)))*COS(2*PI()*C530/2147483647),'Control Room'!$B$8+('Control Room'!$D$8-'Control Room'!$B$8)*B530/2147483647)</x:f>
        <x:v>1055.4047597829147</x:v>
      </x:c>
      <x:c r="E530" s="17" t="n">
        <x:f>IF('Control Room'!$B$5="Normal",'Control Room'!$B$7,('Control Room'!$B$8+'Control Room'!$D$8)/2)+'Control Room'!$B$9*(E529-IF('Control Room'!$B$5="Normal",'Control Room'!$B$7,('Control Room'!$B$8+'Control Room'!$D$8)/2))+SQRT(1-'Control Room'!$B$9^2)*(D530-IF('Control Room'!$B$5="Normal",'Control Room'!$B$7,('Control Room'!$B$8+'Control Room'!$D$8)/2))</x:f>
        <x:v>945.6645523889825</x:v>
      </x:c>
      <x:c r="F530" s="17" t="n">
        <x:f>IF(AND($A530&gt;='Control Room'!$A$13,$A530&lt;'Control Room'!$A$13+'Control Room'!$B$13,'Process'!BK2=1),1+('Control Room'!$C$13-1)*EXP(-0.5*(($A530-'Control Room'!$A$13-('Control Room'!$B$13-1)/2)/MAX(0.5,'Control Room'!$B$13/4))^2),1)*IF(AND($A530&gt;='Control Room'!$A$14,$A530&lt;'Control Room'!$A$14+'Control Room'!$B$14,'Process'!BK3=1),1+('Control Room'!$C$14-1)*EXP(-0.5*(($A530-'Control Room'!$A$14-('Control Room'!$B$14-1)/2)/MAX(0.5,'Control Room'!$B$14/4))^2),1)*IF(AND($A530&gt;='Control Room'!$A$15,$A530&lt;'Control Room'!$A$15+'Control Room'!$B$15,'Process'!BK4=1),1+('Control Room'!$C$15-1)*EXP(-0.5*(($A530-'Control Room'!$A$15-('Control Room'!$B$15-1)/2)/MAX(0.5,'Control Room'!$B$15/4))^2),1)*IF(AND($A530&gt;='Control Room'!$A$16,$A530&lt;'Control Room'!$A$16+'Control Room'!$B$16,'Process'!BK5=1),1+('Control Room'!$C$16-1)*EXP(-0.5*(($A530-'Control Room'!$A$16-('Control Room'!$B$16-1)/2)/MAX(0.5,'Control Room'!$B$16/4))^2),1)</x:f>
        <x:v>1</x:v>
      </x:c>
      <x:c r="G530" s="9" t="n">
        <x:f>MOD(H529*16807,2147483647)</x:f>
        <x:v>847453621</x:v>
      </x:c>
      <x:c r="H530" s="9" t="n">
        <x:f>MOD(G530*16807,2147483647)</x:f>
        <x:v>1041461243</x:v>
      </x:c>
      <x:c r="I530" s="17" t="n">
        <x:f>IF('Control Room'!$B$5="Normal",'Control Room'!$B$7+'Control Room'!$D$7*SQRT(-2*LN(MAX(0.000000000001,G530/2147483647)))*COS(2*PI()*H530/2147483647),'Control Room'!$B$8+('Control Room'!$D$8-'Control Room'!$B$8)*G530/2147483647)</x:f>
        <x:v>877.8155107144491</x:v>
      </x:c>
      <x:c r="J530" s="17" t="n">
        <x:f>IF('Control Room'!$B$5="Normal",'Control Room'!$B$7,('Control Room'!$B$8+'Control Room'!$D$8)/2)+'Control Room'!$B$9*(J529-IF('Control Room'!$B$5="Normal",'Control Room'!$B$7,('Control Room'!$B$8+'Control Room'!$D$8)/2))+SQRT(1-'Control Room'!$B$9^2)*(I530-IF('Control Room'!$B$5="Normal",'Control Room'!$B$7,('Control Room'!$B$8+'Control Room'!$D$8)/2))</x:f>
        <x:v>799.4172701044565</x:v>
      </x:c>
      <x:c r="K530" s="17" t="n">
        <x:f>IF(AND($A530&gt;='Control Room'!$A$13,$A530&lt;'Control Room'!$A$13+'Control Room'!$B$13,'Process'!BL2=1),1+('Control Room'!$C$13-1)*EXP(-0.5*(($A530-'Control Room'!$A$13-('Control Room'!$B$13-1)/2)/MAX(0.5,'Control Room'!$B$13/4))^2),1)*IF(AND($A530&gt;='Control Room'!$A$14,$A530&lt;'Control Room'!$A$14+'Control Room'!$B$14,'Process'!BL3=1),1+('Control Room'!$C$14-1)*EXP(-0.5*(($A530-'Control Room'!$A$14-('Control Room'!$B$14-1)/2)/MAX(0.5,'Control Room'!$B$14/4))^2),1)*IF(AND($A530&gt;='Control Room'!$A$15,$A530&lt;'Control Room'!$A$15+'Control Room'!$B$15,'Process'!BL4=1),1+('Control Room'!$C$15-1)*EXP(-0.5*(($A530-'Control Room'!$A$15-('Control Room'!$B$15-1)/2)/MAX(0.5,'Control Room'!$B$15/4))^2),1)*IF(AND($A530&gt;='Control Room'!$A$16,$A530&lt;'Control Room'!$A$16+'Control Room'!$B$16,'Process'!BL5=1),1+('Control Room'!$C$16-1)*EXP(-0.5*(($A530-'Control Room'!$A$16-('Control Room'!$B$16-1)/2)/MAX(0.5,'Control Room'!$B$16/4))^2),1)</x:f>
        <x:v>1</x:v>
      </x:c>
      <x:c r="L530" s="9" t="n">
        <x:f>MOD(M529*16807,2147483647)</x:f>
        <x:v>72328085</x:v>
      </x:c>
      <x:c r="M530" s="9" t="n">
        <x:f>MOD(L530*16807,2147483647)</x:f>
        <x:v>142380393</x:v>
      </x:c>
      <x:c r="N530" s="17" t="n">
        <x:f>IF('Control Room'!$B$5="Normal",'Control Room'!$B$7+'Control Room'!$D$7*SQRT(-2*LN(MAX(0.000000000001,L530/2147483647)))*COS(2*PI()*M530/2147483647),'Control Room'!$B$8+('Control Room'!$D$8-'Control Room'!$B$8)*L530/2147483647)</x:f>
        <x:v>1214.3305738862673</x:v>
      </x:c>
      <x:c r="O530" s="17" t="n">
        <x:f>IF('Control Room'!$B$5="Normal",'Control Room'!$B$7,('Control Room'!$B$8+'Control Room'!$D$8)/2)+'Control Room'!$B$9*(O529-IF('Control Room'!$B$5="Normal",'Control Room'!$B$7,('Control Room'!$B$8+'Control Room'!$D$8)/2))+SQRT(1-'Control Room'!$B$9^2)*(N530-IF('Control Room'!$B$5="Normal",'Control Room'!$B$7,('Control Room'!$B$8+'Control Room'!$D$8)/2))</x:f>
        <x:v>1138.3741343581714</x:v>
      </x:c>
      <x:c r="P530" s="17" t="n">
        <x:f>IF(AND($A530&gt;='Control Room'!$A$13,$A530&lt;'Control Room'!$A$13+'Control Room'!$B$13,'Process'!BM2=1),1+('Control Room'!$C$13-1)*EXP(-0.5*(($A530-'Control Room'!$A$13-('Control Room'!$B$13-1)/2)/MAX(0.5,'Control Room'!$B$13/4))^2),1)*IF(AND($A530&gt;='Control Room'!$A$14,$A530&lt;'Control Room'!$A$14+'Control Room'!$B$14,'Process'!BM3=1),1+('Control Room'!$C$14-1)*EXP(-0.5*(($A530-'Control Room'!$A$14-('Control Room'!$B$14-1)/2)/MAX(0.5,'Control Room'!$B$14/4))^2),1)*IF(AND($A530&gt;='Control Room'!$A$15,$A530&lt;'Control Room'!$A$15+'Control Room'!$B$15,'Process'!BM4=1),1+('Control Room'!$C$15-1)*EXP(-0.5*(($A530-'Control Room'!$A$15-('Control Room'!$B$15-1)/2)/MAX(0.5,'Control Room'!$B$15/4))^2),1)*IF(AND($A530&gt;='Control Room'!$A$16,$A530&lt;'Control Room'!$A$16+'Control Room'!$B$16,'Process'!BM5=1),1+('Control Room'!$C$16-1)*EXP(-0.5*(($A530-'Control Room'!$A$16-('Control Room'!$B$16-1)/2)/MAX(0.5,'Control Room'!$B$16/4))^2),1)</x:f>
        <x:v>1</x:v>
      </x:c>
      <x:c r="Q530" s="9" t="n">
        <x:f>MOD(R529*16807,2147483647)</x:f>
        <x:v>1444686196</x:v>
      </x:c>
      <x:c r="R530" s="9" t="n">
        <x:f>MOD(Q530*16807,2147483647)</x:f>
        <x:v>1390783190</x:v>
      </x:c>
      <x:c r="S530" s="17" t="n">
        <x:f>IF('Control Room'!$B$5="Normal",'Control Room'!$B$7+'Control Room'!$D$7*SQRT(-2*LN(MAX(0.000000000001,Q530/2147483647)))*COS(2*PI()*R530/2147483647),'Control Room'!$B$8+('Control Room'!$D$8-'Control Room'!$B$8)*Q530/2147483647)</x:f>
        <x:v>951.9387409089894</x:v>
      </x:c>
      <x:c r="T530" s="17" t="n">
        <x:f>IF('Control Room'!$B$5="Normal",'Control Room'!$B$7,('Control Room'!$B$8+'Control Room'!$D$8)/2)+'Control Room'!$B$9*(T529-IF('Control Room'!$B$5="Normal",'Control Room'!$B$7,('Control Room'!$B$8+'Control Room'!$D$8)/2))+SQRT(1-'Control Room'!$B$9^2)*(S530-IF('Control Room'!$B$5="Normal",'Control Room'!$B$7,('Control Room'!$B$8+'Control Room'!$D$8)/2))</x:f>
        <x:v>986.9005522049632</x:v>
      </x:c>
      <x:c r="U530" s="17" t="n">
        <x:f>IF(AND($A530&gt;='Control Room'!$A$13,$A530&lt;'Control Room'!$A$13+'Control Room'!$B$13,'Process'!BN2=1),1+('Control Room'!$C$13-1)*EXP(-0.5*(($A530-'Control Room'!$A$13-('Control Room'!$B$13-1)/2)/MAX(0.5,'Control Room'!$B$13/4))^2),1)*IF(AND($A530&gt;='Control Room'!$A$14,$A530&lt;'Control Room'!$A$14+'Control Room'!$B$14,'Process'!BN3=1),1+('Control Room'!$C$14-1)*EXP(-0.5*(($A530-'Control Room'!$A$14-('Control Room'!$B$14-1)/2)/MAX(0.5,'Control Room'!$B$14/4))^2),1)*IF(AND($A530&gt;='Control Room'!$A$15,$A530&lt;'Control Room'!$A$15+'Control Room'!$B$15,'Process'!BN4=1),1+('Control Room'!$C$15-1)*EXP(-0.5*(($A530-'Control Room'!$A$15-('Control Room'!$B$15-1)/2)/MAX(0.5,'Control Room'!$B$15/4))^2),1)*IF(AND($A530&gt;='Control Room'!$A$16,$A530&lt;'Control Room'!$A$16+'Control Room'!$B$16,'Process'!BN5=1),1+('Control Room'!$C$16-1)*EXP(-0.5*(($A530-'Control Room'!$A$16-('Control Room'!$B$16-1)/2)/MAX(0.5,'Control Room'!$B$16/4))^2),1)</x:f>
        <x:v>1</x:v>
      </x:c>
      <x:c r="V530" s="9" t="n">
        <x:f>MOD(W529*16807,2147483647)</x:f>
        <x:v>669560660</x:v>
      </x:c>
      <x:c r="W530" s="9" t="n">
        <x:f>MOD(V530*16807,2147483647)</x:f>
        <x:v>491702340</x:v>
      </x:c>
      <x:c r="X530" s="17" t="n">
        <x:f>IF('Control Room'!$B$5="Normal",'Control Room'!$B$7+'Control Room'!$D$7*SQRT(-2*LN(MAX(0.000000000001,V530/2147483647)))*COS(2*PI()*W530/2147483647),'Control Room'!$B$8+('Control Room'!$D$8-'Control Room'!$B$8)*V530/2147483647)</x:f>
        <x:v>1018.1059830013656</x:v>
      </x:c>
      <x:c r="Y530" s="17" t="n">
        <x:f>IF('Control Room'!$B$5="Normal",'Control Room'!$B$7,('Control Room'!$B$8+'Control Room'!$D$8)/2)+'Control Room'!$B$9*(Y529-IF('Control Room'!$B$5="Normal",'Control Room'!$B$7,('Control Room'!$B$8+'Control Room'!$D$8)/2))+SQRT(1-'Control Room'!$B$9^2)*(X530-IF('Control Room'!$B$5="Normal",'Control Room'!$B$7,('Control Room'!$B$8+'Control Room'!$D$8)/2))</x:f>
        <x:v>952.9307550392366</x:v>
      </x:c>
      <x:c r="Z530" s="17" t="n">
        <x:f>IF(AND($A530&gt;='Control Room'!$A$13,$A530&lt;'Control Room'!$A$13+'Control Room'!$B$13,'Process'!BO2=1),1+('Control Room'!$C$13-1)*EXP(-0.5*(($A530-'Control Room'!$A$13-('Control Room'!$B$13-1)/2)/MAX(0.5,'Control Room'!$B$13/4))^2),1)*IF(AND($A530&gt;='Control Room'!$A$14,$A530&lt;'Control Room'!$A$14+'Control Room'!$B$14,'Process'!BO3=1),1+('Control Room'!$C$14-1)*EXP(-0.5*(($A530-'Control Room'!$A$14-('Control Room'!$B$14-1)/2)/MAX(0.5,'Control Room'!$B$14/4))^2),1)*IF(AND($A530&gt;='Control Room'!$A$15,$A530&lt;'Control Room'!$A$15+'Control Room'!$B$15,'Process'!BO4=1),1+('Control Room'!$C$15-1)*EXP(-0.5*(($A530-'Control Room'!$A$15-('Control Room'!$B$15-1)/2)/MAX(0.5,'Control Room'!$B$15/4))^2),1)*IF(AND($A530&gt;='Control Room'!$A$16,$A530&lt;'Control Room'!$A$16+'Control Room'!$B$16,'Process'!BO5=1),1+('Control Room'!$C$16-1)*EXP(-0.5*(($A530-'Control Room'!$A$16-('Control Room'!$B$16-1)/2)/MAX(0.5,'Control Room'!$B$16/4))^2),1)</x:f>
        <x:v>1</x:v>
      </x:c>
      <x:c r="AA530" s="9" t="n">
        <x:f>MOD(AB529*16807,2147483647)</x:f>
        <x:v>2041918771</x:v>
      </x:c>
      <x:c r="AB530" s="9" t="n">
        <x:f>MOD(AA530*16807,2147483647)</x:f>
        <x:v>1740105137</x:v>
      </x:c>
      <x:c r="AC530" s="17" t="n">
        <x:f>IF('Control Room'!$B$5="Normal",'Control Room'!$B$7+'Control Room'!$D$7*SQRT(-2*LN(MAX(0.000000000001,AA530/2147483647)))*COS(2*PI()*AB530/2147483647),'Control Room'!$B$8+('Control Room'!$D$8-'Control Room'!$B$8)*AA530/2147483647)</x:f>
        <x:v>1010.5695410039593</x:v>
      </x:c>
      <x:c r="AD530" s="17" t="n">
        <x:f>IF('Control Room'!$B$5="Normal",'Control Room'!$B$7,('Control Room'!$B$8+'Control Room'!$D$8)/2)+'Control Room'!$B$9*(AD529-IF('Control Room'!$B$5="Normal",'Control Room'!$B$7,('Control Room'!$B$8+'Control Room'!$D$8)/2))+SQRT(1-'Control Room'!$B$9^2)*(AC530-IF('Control Room'!$B$5="Normal",'Control Room'!$B$7,('Control Room'!$B$8+'Control Room'!$D$8)/2))</x:f>
        <x:v>1056.2203338168165</x:v>
      </x:c>
      <x:c r="AE530" s="17" t="n">
        <x:f>IF(AND($A530&gt;='Control Room'!$A$13,$A530&lt;'Control Room'!$A$13+'Control Room'!$B$13,'Process'!BP2=1),1+('Control Room'!$C$13-1)*EXP(-0.5*(($A530-'Control Room'!$A$13-('Control Room'!$B$13-1)/2)/MAX(0.5,'Control Room'!$B$13/4))^2),1)*IF(AND($A530&gt;='Control Room'!$A$14,$A530&lt;'Control Room'!$A$14+'Control Room'!$B$14,'Process'!BP3=1),1+('Control Room'!$C$14-1)*EXP(-0.5*(($A530-'Control Room'!$A$14-('Control Room'!$B$14-1)/2)/MAX(0.5,'Control Room'!$B$14/4))^2),1)*IF(AND($A530&gt;='Control Room'!$A$15,$A530&lt;'Control Room'!$A$15+'Control Room'!$B$15,'Process'!BP4=1),1+('Control Room'!$C$15-1)*EXP(-0.5*(($A530-'Control Room'!$A$15-('Control Room'!$B$15-1)/2)/MAX(0.5,'Control Room'!$B$15/4))^2),1)*IF(AND($A530&gt;='Control Room'!$A$16,$A530&lt;'Control Room'!$A$16+'Control Room'!$B$16,'Process'!BP5=1),1+('Control Room'!$C$16-1)*EXP(-0.5*(($A530-'Control Room'!$A$16-('Control Room'!$B$16-1)/2)/MAX(0.5,'Control Room'!$B$16/4))^2),1)</x:f>
        <x:v>1</x:v>
      </x:c>
      <x:c r="AF530" s="9" t="n">
        <x:f>MOD(AG529*16807,2147483647)</x:f>
        <x:v>1266793235</x:v>
      </x:c>
      <x:c r="AG530" s="9" t="n">
        <x:f>MOD(AF530*16807,2147483647)</x:f>
        <x:v>841024287</x:v>
      </x:c>
      <x:c r="AH530" s="17" t="n">
        <x:f>IF('Control Room'!$B$5="Normal",'Control Room'!$B$7+'Control Room'!$D$7*SQRT(-2*LN(MAX(0.000000000001,AF530/2147483647)))*COS(2*PI()*AG530/2147483647),'Control Room'!$B$8+('Control Room'!$D$8-'Control Room'!$B$8)*AF530/2147483647)</x:f>
        <x:v>928.150708078192</x:v>
      </x:c>
      <x:c r="AI530" s="17" t="n">
        <x:f>IF('Control Room'!$B$5="Normal",'Control Room'!$B$7,('Control Room'!$B$8+'Control Room'!$D$8)/2)+'Control Room'!$B$9*(AI529-IF('Control Room'!$B$5="Normal",'Control Room'!$B$7,('Control Room'!$B$8+'Control Room'!$D$8)/2))+SQRT(1-'Control Room'!$B$9^2)*(AH530-IF('Control Room'!$B$5="Normal",'Control Room'!$B$7,('Control Room'!$B$8+'Control Room'!$D$8)/2))</x:f>
        <x:v>961.3865192358267</x:v>
      </x:c>
      <x:c r="AJ530" s="17" t="n">
        <x:f>IF(AND($A530&gt;='Control Room'!$A$13,$A530&lt;'Control Room'!$A$13+'Control Room'!$B$13,'Process'!BQ2=1),1+('Control Room'!$C$13-1)*EXP(-0.5*(($A530-'Control Room'!$A$13-('Control Room'!$B$13-1)/2)/MAX(0.5,'Control Room'!$B$13/4))^2),1)*IF(AND($A530&gt;='Control Room'!$A$14,$A530&lt;'Control Room'!$A$14+'Control Room'!$B$14,'Process'!BQ3=1),1+('Control Room'!$C$14-1)*EXP(-0.5*(($A530-'Control Room'!$A$14-('Control Room'!$B$14-1)/2)/MAX(0.5,'Control Room'!$B$14/4))^2),1)*IF(AND($A530&gt;='Control Room'!$A$15,$A530&lt;'Control Room'!$A$15+'Control Room'!$B$15,'Process'!BQ4=1),1+('Control Room'!$C$15-1)*EXP(-0.5*(($A530-'Control Room'!$A$15-('Control Room'!$B$15-1)/2)/MAX(0.5,'Control Room'!$B$15/4))^2),1)*IF(AND($A530&gt;='Control Room'!$A$16,$A530&lt;'Control Room'!$A$16+'Control Room'!$B$16,'Process'!BQ5=1),1+('Control Room'!$C$16-1)*EXP(-0.5*(($A530-'Control Room'!$A$16-('Control Room'!$B$16-1)/2)/MAX(0.5,'Control Room'!$B$16/4))^2),1)</x:f>
        <x:v>1</x:v>
      </x:c>
      <x:c r="AK530" s="9" t="n">
        <x:f>MOD(AL529*16807,2147483647)</x:f>
        <x:v>491667699</x:v>
      </x:c>
      <x:c r="AL530" s="9" t="n">
        <x:f>MOD(AK530*16807,2147483647)</x:f>
        <x:v>2089427084</x:v>
      </x:c>
      <x:c r="AM530" s="17" t="n">
        <x:f>IF('Control Room'!$B$5="Normal",'Control Room'!$B$7+'Control Room'!$D$7*SQRT(-2*LN(MAX(0.000000000001,AK530/2147483647)))*COS(2*PI()*AL530/2147483647),'Control Room'!$B$8+('Control Room'!$D$8-'Control Room'!$B$8)*AK530/2147483647)</x:f>
        <x:v>1152.3165309254262</x:v>
      </x:c>
      <x:c r="AN530" s="17" t="n">
        <x:f>IF('Control Room'!$B$5="Normal",'Control Room'!$B$7,('Control Room'!$B$8+'Control Room'!$D$8)/2)+'Control Room'!$B$9*(AN529-IF('Control Room'!$B$5="Normal",'Control Room'!$B$7,('Control Room'!$B$8+'Control Room'!$D$8)/2))+SQRT(1-'Control Room'!$B$9^2)*(AM530-IF('Control Room'!$B$5="Normal",'Control Room'!$B$7,('Control Room'!$B$8+'Control Room'!$D$8)/2))</x:f>
        <x:v>1143.2720417968326</x:v>
      </x:c>
      <x:c r="AO530" s="17" t="n">
        <x:f>IF(AND($A530&gt;='Control Room'!$A$13,$A530&lt;'Control Room'!$A$13+'Control Room'!$B$13,'Process'!BR2=1),1+('Control Room'!$C$13-1)*EXP(-0.5*(($A530-'Control Room'!$A$13-('Control Room'!$B$13-1)/2)/MAX(0.5,'Control Room'!$B$13/4))^2),1)*IF(AND($A530&gt;='Control Room'!$A$14,$A530&lt;'Control Room'!$A$14+'Control Room'!$B$14,'Process'!BR3=1),1+('Control Room'!$C$14-1)*EXP(-0.5*(($A530-'Control Room'!$A$14-('Control Room'!$B$14-1)/2)/MAX(0.5,'Control Room'!$B$14/4))^2),1)*IF(AND($A530&gt;='Control Room'!$A$15,$A530&lt;'Control Room'!$A$15+'Control Room'!$B$15,'Process'!BR4=1),1+('Control Room'!$C$15-1)*EXP(-0.5*(($A530-'Control Room'!$A$15-('Control Room'!$B$15-1)/2)/MAX(0.5,'Control Room'!$B$15/4))^2),1)*IF(AND($A530&gt;='Control Room'!$A$16,$A530&lt;'Control Room'!$A$16+'Control Room'!$B$16,'Process'!BR5=1),1+('Control Room'!$C$16-1)*EXP(-0.5*(($A530-'Control Room'!$A$16-('Control Room'!$B$16-1)/2)/MAX(0.5,'Control Room'!$B$16/4))^2),1)</x:f>
        <x:v>1</x:v>
      </x:c>
      <x:c r="AP530" s="9" t="n">
        <x:f>MOD(AQ529*16807,2147483647)</x:f>
        <x:v>1864025810</x:v>
      </x:c>
      <x:c r="AQ530" s="9" t="n">
        <x:f>MOD(AP530*16807,2147483647)</x:f>
        <x:v>1190346234</x:v>
      </x:c>
      <x:c r="AR530" s="17" t="n">
        <x:f>IF('Control Room'!$B$5="Normal",'Control Room'!$B$7+'Control Room'!$D$7*SQRT(-2*LN(MAX(0.000000000001,AP530/2147483647)))*COS(2*PI()*AQ530/2147483647),'Control Room'!$B$8+('Control Room'!$D$8-'Control Room'!$B$8)*AP530/2147483647)</x:f>
        <x:v>954.8721813532503</x:v>
      </x:c>
      <x:c r="AS530" s="17" t="n">
        <x:f>IF('Control Room'!$B$5="Normal",'Control Room'!$B$7,('Control Room'!$B$8+'Control Room'!$D$8)/2)+'Control Room'!$B$9*(AS529-IF('Control Room'!$B$5="Normal",'Control Room'!$B$7,('Control Room'!$B$8+'Control Room'!$D$8)/2))+SQRT(1-'Control Room'!$B$9^2)*(AR530-IF('Control Room'!$B$5="Normal",'Control Room'!$B$7,('Control Room'!$B$8+'Control Room'!$D$8)/2))</x:f>
        <x:v>1003.4184763205114</x:v>
      </x:c>
      <x:c r="AT530" s="17" t="n">
        <x:f>IF(AND($A530&gt;='Control Room'!$A$13,$A530&lt;'Control Room'!$A$13+'Control Room'!$B$13,'Process'!BS2=1),1+('Control Room'!$C$13-1)*EXP(-0.5*(($A530-'Control Room'!$A$13-('Control Room'!$B$13-1)/2)/MAX(0.5,'Control Room'!$B$13/4))^2),1)*IF(AND($A530&gt;='Control Room'!$A$14,$A530&lt;'Control Room'!$A$14+'Control Room'!$B$14,'Process'!BS3=1),1+('Control Room'!$C$14-1)*EXP(-0.5*(($A530-'Control Room'!$A$14-('Control Room'!$B$14-1)/2)/MAX(0.5,'Control Room'!$B$14/4))^2),1)*IF(AND($A530&gt;='Control Room'!$A$15,$A530&lt;'Control Room'!$A$15+'Control Room'!$B$15,'Process'!BS4=1),1+('Control Room'!$C$15-1)*EXP(-0.5*(($A530-'Control Room'!$A$15-('Control Room'!$B$15-1)/2)/MAX(0.5,'Control Room'!$B$15/4))^2),1)*IF(AND($A530&gt;='Control Room'!$A$16,$A530&lt;'Control Room'!$A$16+'Control Room'!$B$16,'Process'!BS5=1),1+('Control Room'!$C$16-1)*EXP(-0.5*(($A530-'Control Room'!$A$16-('Control Room'!$B$16-1)/2)/MAX(0.5,'Control Room'!$B$16/4))^2),1)</x:f>
        <x:v>1</x:v>
      </x:c>
      <x:c r="AU530" s="9" t="n">
        <x:f>MOD(AV529*16807,2147483647)</x:f>
        <x:v>1088900274</x:v>
      </x:c>
      <x:c r="AV530" s="9" t="n">
        <x:f>MOD(AU530*16807,2147483647)</x:f>
        <x:v>291265384</x:v>
      </x:c>
      <x:c r="AW530" s="17" t="n">
        <x:f>IF('Control Room'!$B$5="Normal",'Control Room'!$B$7+'Control Room'!$D$7*SQRT(-2*LN(MAX(0.000000000001,AU530/2147483647)))*COS(2*PI()*AV530/2147483647),'Control Room'!$B$8+('Control Room'!$D$8-'Control Room'!$B$8)*AU530/2147483647)</x:f>
        <x:v>1069.052416355448</x:v>
      </x:c>
      <x:c r="AX530" s="17" t="n">
        <x:f>IF('Control Room'!$B$5="Normal",'Control Room'!$B$7,('Control Room'!$B$8+'Control Room'!$D$8)/2)+'Control Room'!$B$9*(AX529-IF('Control Room'!$B$5="Normal",'Control Room'!$B$7,('Control Room'!$B$8+'Control Room'!$D$8)/2))+SQRT(1-'Control Room'!$B$9^2)*(AW530-IF('Control Room'!$B$5="Normal",'Control Room'!$B$7,('Control Room'!$B$8+'Control Room'!$D$8)/2))</x:f>
        <x:v>1055.5668410828882</x:v>
      </x:c>
      <x:c r="AY530" s="17" t="n">
        <x:f>IF(AND($A530&gt;='Control Room'!$A$13,$A530&lt;'Control Room'!$A$13+'Control Room'!$B$13,'Process'!BT2=1),1+('Control Room'!$C$13-1)*EXP(-0.5*(($A530-'Control Room'!$A$13-('Control Room'!$B$13-1)/2)/MAX(0.5,'Control Room'!$B$13/4))^2),1)*IF(AND($A530&gt;='Control Room'!$A$14,$A530&lt;'Control Room'!$A$14+'Control Room'!$B$14,'Process'!BT3=1),1+('Control Room'!$C$14-1)*EXP(-0.5*(($A530-'Control Room'!$A$14-('Control Room'!$B$14-1)/2)/MAX(0.5,'Control Room'!$B$14/4))^2),1)*IF(AND($A530&gt;='Control Room'!$A$15,$A530&lt;'Control Room'!$A$15+'Control Room'!$B$15,'Process'!BT4=1),1+('Control Room'!$C$15-1)*EXP(-0.5*(($A530-'Control Room'!$A$15-('Control Room'!$B$15-1)/2)/MAX(0.5,'Control Room'!$B$15/4))^2),1)*IF(AND($A530&gt;='Control Room'!$A$16,$A530&lt;'Control Room'!$A$16+'Control Room'!$B$16,'Process'!BT5=1),1+('Control Room'!$C$16-1)*EXP(-0.5*(($A530-'Control Room'!$A$16-('Control Room'!$B$16-1)/2)/MAX(0.5,'Control Room'!$B$16/4))^2),1)</x:f>
        <x:v>1</x:v>
      </x:c>
      <x:c r="AZ530" s="9" t="n">
        <x:f>MOD(BA529*16807,2147483647)</x:f>
        <x:v>313774738</x:v>
      </x:c>
      <x:c r="BA530" s="9" t="n">
        <x:f>MOD(AZ530*16807,2147483647)</x:f>
        <x:v>1539668181</x:v>
      </x:c>
      <x:c r="BB530" s="17" t="n">
        <x:f>IF('Control Room'!$B$5="Normal",'Control Room'!$B$7+'Control Room'!$D$7*SQRT(-2*LN(MAX(0.000000000001,AZ530/2147483647)))*COS(2*PI()*BA530/2147483647),'Control Room'!$B$8+('Control Room'!$D$8-'Control Room'!$B$8)*AZ530/2147483647)</x:f>
        <x:v>963.6222715758447</x:v>
      </x:c>
      <x:c r="BC530" s="17" t="n">
        <x:f>IF('Control Room'!$B$5="Normal",'Control Room'!$B$7,('Control Room'!$B$8+'Control Room'!$D$8)/2)+'Control Room'!$B$9*(BC529-IF('Control Room'!$B$5="Normal",'Control Room'!$B$7,('Control Room'!$B$8+'Control Room'!$D$8)/2))+SQRT(1-'Control Room'!$B$9^2)*(BB530-IF('Control Room'!$B$5="Normal",'Control Room'!$B$7,('Control Room'!$B$8+'Control Room'!$D$8)/2))</x:f>
        <x:v>888.746821776906</x:v>
      </x:c>
      <x:c r="BD530" s="17" t="n">
        <x:f>IF(AND($A530&gt;='Control Room'!$A$13,$A530&lt;'Control Room'!$A$13+'Control Room'!$B$13,'Process'!BU2=1),1+('Control Room'!$C$13-1)*EXP(-0.5*(($A530-'Control Room'!$A$13-('Control Room'!$B$13-1)/2)/MAX(0.5,'Control Room'!$B$13/4))^2),1)*IF(AND($A530&gt;='Control Room'!$A$14,$A530&lt;'Control Room'!$A$14+'Control Room'!$B$14,'Process'!BU3=1),1+('Control Room'!$C$14-1)*EXP(-0.5*(($A530-'Control Room'!$A$14-('Control Room'!$B$14-1)/2)/MAX(0.5,'Control Room'!$B$14/4))^2),1)*IF(AND($A530&gt;='Control Room'!$A$15,$A530&lt;'Control Room'!$A$15+'Control Room'!$B$15,'Process'!BU4=1),1+('Control Room'!$C$15-1)*EXP(-0.5*(($A530-'Control Room'!$A$15-('Control Room'!$B$15-1)/2)/MAX(0.5,'Control Room'!$B$15/4))^2),1)*IF(AND($A530&gt;='Control Room'!$A$16,$A530&lt;'Control Room'!$A$16+'Control Room'!$B$16,'Process'!BU5=1),1+('Control Room'!$C$16-1)*EXP(-0.5*(($A530-'Control Room'!$A$16-('Control Room'!$B$16-1)/2)/MAX(0.5,'Control Room'!$B$16/4))^2),1)</x:f>
        <x:v>1</x:v>
      </x:c>
      <x:c r="BE530" s="9" t="n">
        <x:f>MOD(BF529*16807,2147483647)</x:f>
        <x:v>1686132849</x:v>
      </x:c>
      <x:c r="BF530" s="9" t="n">
        <x:f>MOD(BE530*16807,2147483647)</x:f>
        <x:v>640587331</x:v>
      </x:c>
      <x:c r="BG530" s="17" t="n">
        <x:f>IF('Control Room'!$B$5="Normal",'Control Room'!$B$7+'Control Room'!$D$7*SQRT(-2*LN(MAX(0.000000000001,BE530/2147483647)))*COS(2*PI()*BF530/2147483647),'Control Room'!$B$8+('Control Room'!$D$8-'Control Room'!$B$8)*BE530/2147483647)</x:f>
        <x:v>981.2953218719093</x:v>
      </x:c>
      <x:c r="BH530" s="17" t="n">
        <x:f>IF('Control Room'!$B$5="Normal",'Control Room'!$B$7,('Control Room'!$B$8+'Control Room'!$D$8)/2)+'Control Room'!$B$9*(BH529-IF('Control Room'!$B$5="Normal",'Control Room'!$B$7,('Control Room'!$B$8+'Control Room'!$D$8)/2))+SQRT(1-'Control Room'!$B$9^2)*(BG530-IF('Control Room'!$B$5="Normal",'Control Room'!$B$7,('Control Room'!$B$8+'Control Room'!$D$8)/2))</x:f>
        <x:v>974.9297744543135</x:v>
      </x:c>
      <x:c r="BI530" s="17" t="n">
        <x:f>IF(AND($A530&gt;='Control Room'!$A$13,$A530&lt;'Control Room'!$A$13+'Control Room'!$B$13,'Process'!BV2=1),1+('Control Room'!$C$13-1)*EXP(-0.5*(($A530-'Control Room'!$A$13-('Control Room'!$B$13-1)/2)/MAX(0.5,'Control Room'!$B$13/4))^2),1)*IF(AND($A530&gt;='Control Room'!$A$14,$A530&lt;'Control Room'!$A$14+'Control Room'!$B$14,'Process'!BV3=1),1+('Control Room'!$C$14-1)*EXP(-0.5*(($A530-'Control Room'!$A$14-('Control Room'!$B$14-1)/2)/MAX(0.5,'Control Room'!$B$14/4))^2),1)*IF(AND($A530&gt;='Control Room'!$A$15,$A530&lt;'Control Room'!$A$15+'Control Room'!$B$15,'Process'!BV4=1),1+('Control Room'!$C$15-1)*EXP(-0.5*(($A530-'Control Room'!$A$15-('Control Room'!$B$15-1)/2)/MAX(0.5,'Control Room'!$B$15/4))^2),1)*IF(AND($A530&gt;='Control Room'!$A$16,$A530&lt;'Control Room'!$A$16+'Control Room'!$B$16,'Process'!BV5=1),1+('Control Room'!$C$16-1)*EXP(-0.5*(($A530-'Control Room'!$A$16-('Control Room'!$B$16-1)/2)/MAX(0.5,'Control Room'!$B$16/4))^2),1)</x:f>
        <x:v>1</x:v>
      </x:c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Z530" t="str">
        <x:f>IF('Data'!A530="","",TEXT('Data'!A530,"mm-dd"))</x:f>
      </x:c>
    </x:row>
    <x:row r="531" ht="21" customHeight="1">
      <x:c r="A531" s="15" t="n">
        <x:f>'Control Room'!$B$1+529</x:f>
        <x:v>73520</x:v>
      </x:c>
      <x:c r="B531" s="9" t="n">
        <x:f>MOD(C530*16807,2147483647)</x:f>
        <x:v>856810062</x:v>
      </x:c>
      <x:c r="C531" s="9" t="n">
        <x:f>MOD(B531*16807,2147483647)</x:f>
        <x:v>1528858899</x:v>
      </x:c>
      <x:c r="D531" s="17" t="n">
        <x:f>IF('Control Room'!$B$5="Normal",'Control Room'!$B$7+'Control Room'!$D$7*SQRT(-2*LN(MAX(0.000000000001,B531/2147483647)))*COS(2*PI()*C531/2147483647),'Control Room'!$B$8+('Control Room'!$D$8-'Control Room'!$B$8)*B531/2147483647)</x:f>
        <x:v>971.094182829938</x:v>
      </x:c>
      <x:c r="E531" s="17" t="n">
        <x:f>IF('Control Room'!$B$5="Normal",'Control Room'!$B$7,('Control Room'!$B$8+'Control Room'!$D$8)/2)+'Control Room'!$B$9*(E530-IF('Control Room'!$B$5="Normal",'Control Room'!$B$7,('Control Room'!$B$8+'Control Room'!$D$8)/2))+SQRT(1-'Control Room'!$B$9^2)*(D531-IF('Control Room'!$B$5="Normal",'Control Room'!$B$7,('Control Room'!$B$8+'Control Room'!$D$8)/2))</x:f>
        <x:v>939.5296826462335</x:v>
      </x:c>
      <x:c r="F531" s="17" t="n">
        <x:f>IF(AND($A531&gt;='Control Room'!$A$13,$A531&lt;'Control Room'!$A$13+'Control Room'!$B$13,'Process'!BK2=1),1+('Control Room'!$C$13-1)*EXP(-0.5*(($A531-'Control Room'!$A$13-('Control Room'!$B$13-1)/2)/MAX(0.5,'Control Room'!$B$13/4))^2),1)*IF(AND($A531&gt;='Control Room'!$A$14,$A531&lt;'Control Room'!$A$14+'Control Room'!$B$14,'Process'!BK3=1),1+('Control Room'!$C$14-1)*EXP(-0.5*(($A531-'Control Room'!$A$14-('Control Room'!$B$14-1)/2)/MAX(0.5,'Control Room'!$B$14/4))^2),1)*IF(AND($A531&gt;='Control Room'!$A$15,$A531&lt;'Control Room'!$A$15+'Control Room'!$B$15,'Process'!BK4=1),1+('Control Room'!$C$15-1)*EXP(-0.5*(($A531-'Control Room'!$A$15-('Control Room'!$B$15-1)/2)/MAX(0.5,'Control Room'!$B$15/4))^2),1)*IF(AND($A531&gt;='Control Room'!$A$16,$A531&lt;'Control Room'!$A$16+'Control Room'!$B$16,'Process'!BK5=1),1+('Control Room'!$C$16-1)*EXP(-0.5*(($A531-'Control Room'!$A$16-('Control Room'!$B$16-1)/2)/MAX(0.5,'Control Room'!$B$16/4))^2),1)</x:f>
        <x:v>1</x:v>
      </x:c>
      <x:c r="G531" s="9" t="n">
        <x:f>MOD(H530*16807,2147483647)</x:f>
        <x:v>1847388051</x:v>
      </x:c>
      <x:c r="H531" s="9" t="n">
        <x:f>MOD(G531*16807,2147483647)</x:f>
        <x:v>732404831</x:v>
      </x:c>
      <x:c r="I531" s="17" t="n">
        <x:f>IF('Control Room'!$B$5="Normal",'Control Room'!$B$7+'Control Room'!$D$7*SQRT(-2*LN(MAX(0.000000000001,G531/2147483647)))*COS(2*PI()*H531/2147483647),'Control Room'!$B$8+('Control Room'!$D$8-'Control Room'!$B$8)*G531/2147483647)</x:f>
        <x:v>973.2651452454644</x:v>
      </x:c>
      <x:c r="J531" s="17" t="n">
        <x:f>IF('Control Room'!$B$5="Normal",'Control Room'!$B$7,('Control Room'!$B$8+'Control Room'!$D$8)/2)+'Control Room'!$B$9*(J530-IF('Control Room'!$B$5="Normal",'Control Room'!$B$7,('Control Room'!$B$8+'Control Room'!$D$8)/2))+SQRT(1-'Control Room'!$B$9^2)*(I531-IF('Control Room'!$B$5="Normal",'Control Room'!$B$7,('Control Room'!$B$8+'Control Room'!$D$8)/2))</x:f>
        <x:v>826.8153462693572</x:v>
      </x:c>
      <x:c r="K531" s="17" t="n">
        <x:f>IF(AND($A531&gt;='Control Room'!$A$13,$A531&lt;'Control Room'!$A$13+'Control Room'!$B$13,'Process'!BL2=1),1+('Control Room'!$C$13-1)*EXP(-0.5*(($A531-'Control Room'!$A$13-('Control Room'!$B$13-1)/2)/MAX(0.5,'Control Room'!$B$13/4))^2),1)*IF(AND($A531&gt;='Control Room'!$A$14,$A531&lt;'Control Room'!$A$14+'Control Room'!$B$14,'Process'!BL3=1),1+('Control Room'!$C$14-1)*EXP(-0.5*(($A531-'Control Room'!$A$14-('Control Room'!$B$14-1)/2)/MAX(0.5,'Control Room'!$B$14/4))^2),1)*IF(AND($A531&gt;='Control Room'!$A$15,$A531&lt;'Control Room'!$A$15+'Control Room'!$B$15,'Process'!BL4=1),1+('Control Room'!$C$15-1)*EXP(-0.5*(($A531-'Control Room'!$A$15-('Control Room'!$B$15-1)/2)/MAX(0.5,'Control Room'!$B$15/4))^2),1)*IF(AND($A531&gt;='Control Room'!$A$16,$A531&lt;'Control Room'!$A$16+'Control Room'!$B$16,'Process'!BL5=1),1+('Control Room'!$C$16-1)*EXP(-0.5*(($A531-'Control Room'!$A$16-('Control Room'!$B$16-1)/2)/MAX(0.5,'Control Room'!$B$16/4))^2),1)</x:f>
        <x:v>1</x:v>
      </x:c>
      <x:c r="L531" s="9" t="n">
        <x:f>MOD(M530*16807,2147483647)</x:f>
        <x:v>690482393</x:v>
      </x:c>
      <x:c r="M531" s="9" t="n">
        <x:f>MOD(L531*16807,2147483647)</x:f>
        <x:v>2083434410</x:v>
      </x:c>
      <x:c r="N531" s="17" t="n">
        <x:f>IF('Control Room'!$B$5="Normal",'Control Room'!$B$7+'Control Room'!$D$7*SQRT(-2*LN(MAX(0.000000000001,L531/2147483647)))*COS(2*PI()*M531/2147483647),'Control Room'!$B$8+('Control Room'!$D$8-'Control Room'!$B$8)*L531/2147483647)</x:f>
        <x:v>1133.2048013475796</x:v>
      </x:c>
      <x:c r="O531" s="17" t="n">
        <x:f>IF('Control Room'!$B$5="Normal",'Control Room'!$B$7,('Control Room'!$B$8+'Control Room'!$D$8)/2)+'Control Room'!$B$9*(O530-IF('Control Room'!$B$5="Normal",'Control Room'!$B$7,('Control Room'!$B$8+'Control Room'!$D$8)/2))+SQRT(1-'Control Room'!$B$9^2)*(N531-IF('Control Room'!$B$5="Normal",'Control Room'!$B$7,('Control Room'!$B$8+'Control Room'!$D$8)/2))</x:f>
        <x:v>1191.2886606340073</x:v>
      </x:c>
      <x:c r="P531" s="17" t="n">
        <x:f>IF(AND($A531&gt;='Control Room'!$A$13,$A531&lt;'Control Room'!$A$13+'Control Room'!$B$13,'Process'!BM2=1),1+('Control Room'!$C$13-1)*EXP(-0.5*(($A531-'Control Room'!$A$13-('Control Room'!$B$13-1)/2)/MAX(0.5,'Control Room'!$B$13/4))^2),1)*IF(AND($A531&gt;='Control Room'!$A$14,$A531&lt;'Control Room'!$A$14+'Control Room'!$B$14,'Process'!BM3=1),1+('Control Room'!$C$14-1)*EXP(-0.5*(($A531-'Control Room'!$A$14-('Control Room'!$B$14-1)/2)/MAX(0.5,'Control Room'!$B$14/4))^2),1)*IF(AND($A531&gt;='Control Room'!$A$15,$A531&lt;'Control Room'!$A$15+'Control Room'!$B$15,'Process'!BM4=1),1+('Control Room'!$C$15-1)*EXP(-0.5*(($A531-'Control Room'!$A$15-('Control Room'!$B$15-1)/2)/MAX(0.5,'Control Room'!$B$15/4))^2),1)*IF(AND($A531&gt;='Control Room'!$A$16,$A531&lt;'Control Room'!$A$16+'Control Room'!$B$16,'Process'!BM5=1),1+('Control Room'!$C$16-1)*EXP(-0.5*(($A531-'Control Room'!$A$16-('Control Room'!$B$16-1)/2)/MAX(0.5,'Control Room'!$B$16/4))^2),1)</x:f>
        <x:v>1</x:v>
      </x:c>
      <x:c r="Q531" s="9" t="n">
        <x:f>MOD(R530*16807,2147483647)</x:f>
        <x:v>1681060382</x:v>
      </x:c>
      <x:c r="R531" s="9" t="n">
        <x:f>MOD(Q531*16807,2147483647)</x:f>
        <x:v>1286980342</x:v>
      </x:c>
      <x:c r="S531" s="17" t="n">
        <x:f>IF('Control Room'!$B$5="Normal",'Control Room'!$B$7+'Control Room'!$D$7*SQRT(-2*LN(MAX(0.000000000001,Q531/2147483647)))*COS(2*PI()*R531/2147483647),'Control Room'!$B$8+('Control Room'!$D$8-'Control Room'!$B$8)*Q531/2147483647)</x:f>
        <x:v>948.8822027087465</x:v>
      </x:c>
      <x:c r="T531" s="17" t="n">
        <x:f>IF('Control Room'!$B$5="Normal",'Control Room'!$B$7,('Control Room'!$B$8+'Control Room'!$D$8)/2)+'Control Room'!$B$9*(T530-IF('Control Room'!$B$5="Normal",'Control Room'!$B$7,('Control Room'!$B$8+'Control Room'!$D$8)/2))+SQRT(1-'Control Room'!$B$9^2)*(S531-IF('Control Room'!$B$5="Normal",'Control Room'!$B$7,('Control Room'!$B$8+'Control Room'!$D$8)/2))</x:f>
        <x:v>957.793960380003</x:v>
      </x:c>
      <x:c r="U531" s="17" t="n">
        <x:f>IF(AND($A531&gt;='Control Room'!$A$13,$A531&lt;'Control Room'!$A$13+'Control Room'!$B$13,'Process'!BN2=1),1+('Control Room'!$C$13-1)*EXP(-0.5*(($A531-'Control Room'!$A$13-('Control Room'!$B$13-1)/2)/MAX(0.5,'Control Room'!$B$13/4))^2),1)*IF(AND($A531&gt;='Control Room'!$A$14,$A531&lt;'Control Room'!$A$14+'Control Room'!$B$14,'Process'!BN3=1),1+('Control Room'!$C$14-1)*EXP(-0.5*(($A531-'Control Room'!$A$14-('Control Room'!$B$14-1)/2)/MAX(0.5,'Control Room'!$B$14/4))^2),1)*IF(AND($A531&gt;='Control Room'!$A$15,$A531&lt;'Control Room'!$A$15+'Control Room'!$B$15,'Process'!BN4=1),1+('Control Room'!$C$15-1)*EXP(-0.5*(($A531-'Control Room'!$A$15-('Control Room'!$B$15-1)/2)/MAX(0.5,'Control Room'!$B$15/4))^2),1)*IF(AND($A531&gt;='Control Room'!$A$16,$A531&lt;'Control Room'!$A$16+'Control Room'!$B$16,'Process'!BN5=1),1+('Control Room'!$C$16-1)*EXP(-0.5*(($A531-'Control Room'!$A$16-('Control Room'!$B$16-1)/2)/MAX(0.5,'Control Room'!$B$16/4))^2),1)</x:f>
        <x:v>1</x:v>
      </x:c>
      <x:c r="V531" s="9" t="n">
        <x:f>MOD(W530*16807,2147483647)</x:f>
        <x:v>524154724</x:v>
      </x:c>
      <x:c r="W531" s="9" t="n">
        <x:f>MOD(V531*16807,2147483647)</x:f>
        <x:v>490526274</x:v>
      </x:c>
      <x:c r="X531" s="17" t="n">
        <x:f>IF('Control Room'!$B$5="Normal",'Control Room'!$B$7+'Control Room'!$D$7*SQRT(-2*LN(MAX(0.000000000001,V531/2147483647)))*COS(2*PI()*W531/2147483647),'Control Room'!$B$8+('Control Room'!$D$8-'Control Room'!$B$8)*V531/2147483647)</x:f>
        <x:v>1020.4326976831883</x:v>
      </x:c>
      <x:c r="Y531" s="17" t="n">
        <x:f>IF('Control Room'!$B$5="Normal",'Control Room'!$B$7,('Control Room'!$B$8+'Control Room'!$D$8)/2)+'Control Room'!$B$9*(Y530-IF('Control Room'!$B$5="Normal",'Control Room'!$B$7,('Control Room'!$B$8+'Control Room'!$D$8)/2))+SQRT(1-'Control Room'!$B$9^2)*(X531-IF('Control Room'!$B$5="Normal",'Control Room'!$B$7,('Control Room'!$B$8+'Control Room'!$D$8)/2))</x:f>
        <x:v>976.0723525541795</x:v>
      </x:c>
      <x:c r="Z531" s="17" t="n">
        <x:f>IF(AND($A531&gt;='Control Room'!$A$13,$A531&lt;'Control Room'!$A$13+'Control Room'!$B$13,'Process'!BO2=1),1+('Control Room'!$C$13-1)*EXP(-0.5*(($A531-'Control Room'!$A$13-('Control Room'!$B$13-1)/2)/MAX(0.5,'Control Room'!$B$13/4))^2),1)*IF(AND($A531&gt;='Control Room'!$A$14,$A531&lt;'Control Room'!$A$14+'Control Room'!$B$14,'Process'!BO3=1),1+('Control Room'!$C$14-1)*EXP(-0.5*(($A531-'Control Room'!$A$14-('Control Room'!$B$14-1)/2)/MAX(0.5,'Control Room'!$B$14/4))^2),1)*IF(AND($A531&gt;='Control Room'!$A$15,$A531&lt;'Control Room'!$A$15+'Control Room'!$B$15,'Process'!BO4=1),1+('Control Room'!$C$15-1)*EXP(-0.5*(($A531-'Control Room'!$A$15-('Control Room'!$B$15-1)/2)/MAX(0.5,'Control Room'!$B$15/4))^2),1)*IF(AND($A531&gt;='Control Room'!$A$16,$A531&lt;'Control Room'!$A$16+'Control Room'!$B$16,'Process'!BO5=1),1+('Control Room'!$C$16-1)*EXP(-0.5*(($A531-'Control Room'!$A$16-('Control Room'!$B$16-1)/2)/MAX(0.5,'Control Room'!$B$16/4))^2),1)</x:f>
        <x:v>1</x:v>
      </x:c>
      <x:c r="AA531" s="9" t="n">
        <x:f>MOD(AB530*16807,2147483647)</x:f>
        <x:v>1514732713</x:v>
      </x:c>
      <x:c r="AB531" s="9" t="n">
        <x:f>MOD(AA531*16807,2147483647)</x:f>
        <x:v>1841555853</x:v>
      </x:c>
      <x:c r="AC531" s="17" t="n">
        <x:f>IF('Control Room'!$B$5="Normal",'Control Room'!$B$7+'Control Room'!$D$7*SQRT(-2*LN(MAX(0.000000000001,AA531/2147483647)))*COS(2*PI()*AB531/2147483647),'Control Room'!$B$8+('Control Room'!$D$8-'Control Room'!$B$8)*AA531/2147483647)</x:f>
        <x:v>1047.0321991509998</x:v>
      </x:c>
      <x:c r="AD531" s="17" t="n">
        <x:f>IF('Control Room'!$B$5="Normal",'Control Room'!$B$7,('Control Room'!$B$8+'Control Room'!$D$8)/2)+'Control Room'!$B$9*(AD530-IF('Control Room'!$B$5="Normal",'Control Room'!$B$7,('Control Room'!$B$8+'Control Room'!$D$8)/2))+SQRT(1-'Control Room'!$B$9^2)*(AC531-IF('Control Room'!$B$5="Normal",'Control Room'!$B$7,('Control Room'!$B$8+'Control Room'!$D$8)/2))</x:f>
        <x:v>1073.2836470988418</x:v>
      </x:c>
      <x:c r="AE531" s="17" t="n">
        <x:f>IF(AND($A531&gt;='Control Room'!$A$13,$A531&lt;'Control Room'!$A$13+'Control Room'!$B$13,'Process'!BP2=1),1+('Control Room'!$C$13-1)*EXP(-0.5*(($A531-'Control Room'!$A$13-('Control Room'!$B$13-1)/2)/MAX(0.5,'Control Room'!$B$13/4))^2),1)*IF(AND($A531&gt;='Control Room'!$A$14,$A531&lt;'Control Room'!$A$14+'Control Room'!$B$14,'Process'!BP3=1),1+('Control Room'!$C$14-1)*EXP(-0.5*(($A531-'Control Room'!$A$14-('Control Room'!$B$14-1)/2)/MAX(0.5,'Control Room'!$B$14/4))^2),1)*IF(AND($A531&gt;='Control Room'!$A$15,$A531&lt;'Control Room'!$A$15+'Control Room'!$B$15,'Process'!BP4=1),1+('Control Room'!$C$15-1)*EXP(-0.5*(($A531-'Control Room'!$A$15-('Control Room'!$B$15-1)/2)/MAX(0.5,'Control Room'!$B$15/4))^2),1)*IF(AND($A531&gt;='Control Room'!$A$16,$A531&lt;'Control Room'!$A$16+'Control Room'!$B$16,'Process'!BP5=1),1+('Control Room'!$C$16-1)*EXP(-0.5*(($A531-'Control Room'!$A$16-('Control Room'!$B$16-1)/2)/MAX(0.5,'Control Room'!$B$16/4))^2),1)</x:f>
        <x:v>1</x:v>
      </x:c>
      <x:c r="AF531" s="9" t="n">
        <x:f>MOD(AG530*16807,2147483647)</x:f>
        <x:v>357827055</x:v>
      </x:c>
      <x:c r="AG531" s="9" t="n">
        <x:f>MOD(AF531*16807,2147483647)</x:f>
        <x:v>1045101785</x:v>
      </x:c>
      <x:c r="AH531" s="17" t="n">
        <x:f>IF('Control Room'!$B$5="Normal",'Control Room'!$B$7+'Control Room'!$D$7*SQRT(-2*LN(MAX(0.000000000001,AF531/2147483647)))*COS(2*PI()*AG531/2147483647),'Control Room'!$B$8+('Control Room'!$D$8-'Control Room'!$B$8)*AF531/2147483647)</x:f>
        <x:v>830.2146417186431</x:v>
      </x:c>
      <x:c r="AI531" s="17" t="n">
        <x:f>IF('Control Room'!$B$5="Normal",'Control Room'!$B$7,('Control Room'!$B$8+'Control Room'!$D$8)/2)+'Control Room'!$B$9*(AI530-IF('Control Room'!$B$5="Normal",'Control Room'!$B$7,('Control Room'!$B$8+'Control Room'!$D$8)/2))+SQRT(1-'Control Room'!$B$9^2)*(AH531-IF('Control Room'!$B$5="Normal",'Control Room'!$B$7,('Control Room'!$B$8+'Control Room'!$D$8)/2))</x:f>
        <x:v>863.6332860335954</x:v>
      </x:c>
      <x:c r="AJ531" s="17" t="n">
        <x:f>IF(AND($A531&gt;='Control Room'!$A$13,$A531&lt;'Control Room'!$A$13+'Control Room'!$B$13,'Process'!BQ2=1),1+('Control Room'!$C$13-1)*EXP(-0.5*(($A531-'Control Room'!$A$13-('Control Room'!$B$13-1)/2)/MAX(0.5,'Control Room'!$B$13/4))^2),1)*IF(AND($A531&gt;='Control Room'!$A$14,$A531&lt;'Control Room'!$A$14+'Control Room'!$B$14,'Process'!BQ3=1),1+('Control Room'!$C$14-1)*EXP(-0.5*(($A531-'Control Room'!$A$14-('Control Room'!$B$14-1)/2)/MAX(0.5,'Control Room'!$B$14/4))^2),1)*IF(AND($A531&gt;='Control Room'!$A$15,$A531&lt;'Control Room'!$A$15+'Control Room'!$B$15,'Process'!BQ4=1),1+('Control Room'!$C$15-1)*EXP(-0.5*(($A531-'Control Room'!$A$15-('Control Room'!$B$15-1)/2)/MAX(0.5,'Control Room'!$B$15/4))^2),1)*IF(AND($A531&gt;='Control Room'!$A$16,$A531&lt;'Control Room'!$A$16+'Control Room'!$B$16,'Process'!BQ5=1),1+('Control Room'!$C$16-1)*EXP(-0.5*(($A531-'Control Room'!$A$16-('Control Room'!$B$16-1)/2)/MAX(0.5,'Control Room'!$B$16/4))^2),1)</x:f>
        <x:v>1</x:v>
      </x:c>
      <x:c r="AK531" s="9" t="n">
        <x:f>MOD(AL530*16807,2147483647)</x:f>
        <x:v>1348405044</x:v>
      </x:c>
      <x:c r="AL531" s="9" t="n">
        <x:f>MOD(AK531*16807,2147483647)</x:f>
        <x:v>248647717</x:v>
      </x:c>
      <x:c r="AM531" s="17" t="n">
        <x:f>IF('Control Room'!$B$5="Normal",'Control Room'!$B$7+'Control Room'!$D$7*SQRT(-2*LN(MAX(0.000000000001,AK531/2147483647)))*COS(2*PI()*AL531/2147483647),'Control Room'!$B$8+('Control Room'!$D$8-'Control Room'!$B$8)*AK531/2147483647)</x:f>
        <x:v>1064.8462527063687</x:v>
      </x:c>
      <x:c r="AN531" s="17" t="n">
        <x:f>IF('Control Room'!$B$5="Normal",'Control Room'!$B$7,('Control Room'!$B$8+'Control Room'!$D$8)/2)+'Control Room'!$B$9*(AN530-IF('Control Room'!$B$5="Normal",'Control Room'!$B$7,('Control Room'!$B$8+'Control Room'!$D$8)/2))+SQRT(1-'Control Room'!$B$9^2)*(AM531-IF('Control Room'!$B$5="Normal",'Control Room'!$B$7,('Control Room'!$B$8+'Control Room'!$D$8)/2))</x:f>
        <x:v>1152.3316490974807</x:v>
      </x:c>
      <x:c r="AO531" s="17" t="n">
        <x:f>IF(AND($A531&gt;='Control Room'!$A$13,$A531&lt;'Control Room'!$A$13+'Control Room'!$B$13,'Process'!BR2=1),1+('Control Room'!$C$13-1)*EXP(-0.5*(($A531-'Control Room'!$A$13-('Control Room'!$B$13-1)/2)/MAX(0.5,'Control Room'!$B$13/4))^2),1)*IF(AND($A531&gt;='Control Room'!$A$14,$A531&lt;'Control Room'!$A$14+'Control Room'!$B$14,'Process'!BR3=1),1+('Control Room'!$C$14-1)*EXP(-0.5*(($A531-'Control Room'!$A$14-('Control Room'!$B$14-1)/2)/MAX(0.5,'Control Room'!$B$14/4))^2),1)*IF(AND($A531&gt;='Control Room'!$A$15,$A531&lt;'Control Room'!$A$15+'Control Room'!$B$15,'Process'!BR4=1),1+('Control Room'!$C$15-1)*EXP(-0.5*(($A531-'Control Room'!$A$15-('Control Room'!$B$15-1)/2)/MAX(0.5,'Control Room'!$B$15/4))^2),1)*IF(AND($A531&gt;='Control Room'!$A$16,$A531&lt;'Control Room'!$A$16+'Control Room'!$B$16,'Process'!BR5=1),1+('Control Room'!$C$16-1)*EXP(-0.5*(($A531-'Control Room'!$A$16-('Control Room'!$B$16-1)/2)/MAX(0.5,'Control Room'!$B$16/4))^2),1)</x:f>
        <x:v>1</x:v>
      </x:c>
      <x:c r="AP531" s="9" t="n">
        <x:f>MOD(AQ530*16807,2147483647)</x:f>
        <x:v>191499386</x:v>
      </x:c>
      <x:c r="AQ531" s="9" t="n">
        <x:f>MOD(AP531*16807,2147483647)</x:f>
        <x:v>1599677296</x:v>
      </x:c>
      <x:c r="AR531" s="17" t="n">
        <x:f>IF('Control Room'!$B$5="Normal",'Control Room'!$B$7+'Control Room'!$D$7*SQRT(-2*LN(MAX(0.000000000001,AP531/2147483647)))*COS(2*PI()*AQ531/2147483647),'Control Room'!$B$8+('Control Room'!$D$8-'Control Room'!$B$8)*AP531/2147483647)</x:f>
        <x:v>993.6697186950358</x:v>
      </x:c>
      <x:c r="AS531" s="17" t="n">
        <x:f>IF('Control Room'!$B$5="Normal",'Control Room'!$B$7,('Control Room'!$B$8+'Control Room'!$D$8)/2)+'Control Room'!$B$9*(AS530-IF('Control Room'!$B$5="Normal",'Control Room'!$B$7,('Control Room'!$B$8+'Control Room'!$D$8)/2))+SQRT(1-'Control Room'!$B$9^2)*(AR531-IF('Control Room'!$B$5="Normal",'Control Room'!$B$7,('Control Room'!$B$8+'Control Room'!$D$8)/2))</x:f>
        <x:v>998.7050511722139</x:v>
      </x:c>
      <x:c r="AT531" s="17" t="n">
        <x:f>IF(AND($A531&gt;='Control Room'!$A$13,$A531&lt;'Control Room'!$A$13+'Control Room'!$B$13,'Process'!BS2=1),1+('Control Room'!$C$13-1)*EXP(-0.5*(($A531-'Control Room'!$A$13-('Control Room'!$B$13-1)/2)/MAX(0.5,'Control Room'!$B$13/4))^2),1)*IF(AND($A531&gt;='Control Room'!$A$14,$A531&lt;'Control Room'!$A$14+'Control Room'!$B$14,'Process'!BS3=1),1+('Control Room'!$C$14-1)*EXP(-0.5*(($A531-'Control Room'!$A$14-('Control Room'!$B$14-1)/2)/MAX(0.5,'Control Room'!$B$14/4))^2),1)*IF(AND($A531&gt;='Control Room'!$A$15,$A531&lt;'Control Room'!$A$15+'Control Room'!$B$15,'Process'!BS4=1),1+('Control Room'!$C$15-1)*EXP(-0.5*(($A531-'Control Room'!$A$15-('Control Room'!$B$15-1)/2)/MAX(0.5,'Control Room'!$B$15/4))^2),1)*IF(AND($A531&gt;='Control Room'!$A$16,$A531&lt;'Control Room'!$A$16+'Control Room'!$B$16,'Process'!BS5=1),1+('Control Room'!$C$16-1)*EXP(-0.5*(($A531-'Control Room'!$A$16-('Control Room'!$B$16-1)/2)/MAX(0.5,'Control Room'!$B$16/4))^2),1)</x:f>
        <x:v>1</x:v>
      </x:c>
      <x:c r="AU531" s="9" t="n">
        <x:f>MOD(AV530*16807,2147483647)</x:f>
        <x:v>1182077375</x:v>
      </x:c>
      <x:c r="AV531" s="9" t="n">
        <x:f>MOD(AU531*16807,2147483647)</x:f>
        <x:v>803223228</x:v>
      </x:c>
      <x:c r="AW531" s="17" t="n">
        <x:f>IF('Control Room'!$B$5="Normal",'Control Room'!$B$7+'Control Room'!$D$7*SQRT(-2*LN(MAX(0.000000000001,AU531/2147483647)))*COS(2*PI()*AV531/2147483647),'Control Room'!$B$8+('Control Room'!$D$8-'Control Room'!$B$8)*AU531/2147483647)</x:f>
        <x:v>930.8845741849726</x:v>
      </x:c>
      <x:c r="AX531" s="17" t="n">
        <x:f>IF('Control Room'!$B$5="Normal",'Control Room'!$B$7,('Control Room'!$B$8+'Control Room'!$D$8)/2)+'Control Room'!$B$9*(AX530-IF('Control Room'!$B$5="Normal",'Control Room'!$B$7,('Control Room'!$B$8+'Control Room'!$D$8)/2))+SQRT(1-'Control Room'!$B$9^2)*(AW531-IF('Control Room'!$B$5="Normal",'Control Room'!$B$7,('Control Room'!$B$8+'Control Room'!$D$8)/2))</x:f>
        <x:v>1000.0911184760678</x:v>
      </x:c>
      <x:c r="AY531" s="17" t="n">
        <x:f>IF(AND($A531&gt;='Control Room'!$A$13,$A531&lt;'Control Room'!$A$13+'Control Room'!$B$13,'Process'!BT2=1),1+('Control Room'!$C$13-1)*EXP(-0.5*(($A531-'Control Room'!$A$13-('Control Room'!$B$13-1)/2)/MAX(0.5,'Control Room'!$B$13/4))^2),1)*IF(AND($A531&gt;='Control Room'!$A$14,$A531&lt;'Control Room'!$A$14+'Control Room'!$B$14,'Process'!BT3=1),1+('Control Room'!$C$14-1)*EXP(-0.5*(($A531-'Control Room'!$A$14-('Control Room'!$B$14-1)/2)/MAX(0.5,'Control Room'!$B$14/4))^2),1)*IF(AND($A531&gt;='Control Room'!$A$15,$A531&lt;'Control Room'!$A$15+'Control Room'!$B$15,'Process'!BT4=1),1+('Control Room'!$C$15-1)*EXP(-0.5*(($A531-'Control Room'!$A$15-('Control Room'!$B$15-1)/2)/MAX(0.5,'Control Room'!$B$15/4))^2),1)*IF(AND($A531&gt;='Control Room'!$A$16,$A531&lt;'Control Room'!$A$16+'Control Room'!$B$16,'Process'!BT5=1),1+('Control Room'!$C$16-1)*EXP(-0.5*(($A531-'Control Room'!$A$16-('Control Room'!$B$16-1)/2)/MAX(0.5,'Control Room'!$B$16/4))^2),1)</x:f>
        <x:v>1</x:v>
      </x:c>
      <x:c r="AZ531" s="9" t="n">
        <x:f>MOD(BA530*16807,2147483647)</x:f>
        <x:v>25171717</x:v>
      </x:c>
      <x:c r="BA531" s="9" t="n">
        <x:f>MOD(AZ531*16807,2147483647)</x:f>
        <x:v>6769160</x:v>
      </x:c>
      <x:c r="BB531" s="17" t="n">
        <x:f>IF('Control Room'!$B$5="Normal",'Control Room'!$B$7+'Control Room'!$D$7*SQRT(-2*LN(MAX(0.000000000001,AZ531/2147483647)))*COS(2*PI()*BA531/2147483647),'Control Room'!$B$8+('Control Room'!$D$8-'Control Room'!$B$8)*AZ531/2147483647)</x:f>
        <x:v>1268.3324649285578</x:v>
      </x:c>
      <x:c r="BC531" s="17" t="n">
        <x:f>IF('Control Room'!$B$5="Normal",'Control Room'!$B$7,('Control Room'!$B$8+'Control Room'!$D$8)/2)+'Control Room'!$B$9*(BC530-IF('Control Room'!$B$5="Normal",'Control Room'!$B$7,('Control Room'!$B$8+'Control Room'!$D$8)/2))+SQRT(1-'Control Room'!$B$9^2)*(BB531-IF('Control Room'!$B$5="Normal",'Control Room'!$B$7,('Control Room'!$B$8+'Control Room'!$D$8)/2))</x:f>
        <x:v>1081.1394804489407</x:v>
      </x:c>
      <x:c r="BD531" s="17" t="n">
        <x:f>IF(AND($A531&gt;='Control Room'!$A$13,$A531&lt;'Control Room'!$A$13+'Control Room'!$B$13,'Process'!BU2=1),1+('Control Room'!$C$13-1)*EXP(-0.5*(($A531-'Control Room'!$A$13-('Control Room'!$B$13-1)/2)/MAX(0.5,'Control Room'!$B$13/4))^2),1)*IF(AND($A531&gt;='Control Room'!$A$14,$A531&lt;'Control Room'!$A$14+'Control Room'!$B$14,'Process'!BU3=1),1+('Control Room'!$C$14-1)*EXP(-0.5*(($A531-'Control Room'!$A$14-('Control Room'!$B$14-1)/2)/MAX(0.5,'Control Room'!$B$14/4))^2),1)*IF(AND($A531&gt;='Control Room'!$A$15,$A531&lt;'Control Room'!$A$15+'Control Room'!$B$15,'Process'!BU4=1),1+('Control Room'!$C$15-1)*EXP(-0.5*(($A531-'Control Room'!$A$15-('Control Room'!$B$15-1)/2)/MAX(0.5,'Control Room'!$B$15/4))^2),1)*IF(AND($A531&gt;='Control Room'!$A$16,$A531&lt;'Control Room'!$A$16+'Control Room'!$B$16,'Process'!BU5=1),1+('Control Room'!$C$16-1)*EXP(-0.5*(($A531-'Control Room'!$A$16-('Control Room'!$B$16-1)/2)/MAX(0.5,'Control Room'!$B$16/4))^2),1)</x:f>
        <x:v>1</x:v>
      </x:c>
      <x:c r="BE531" s="9" t="n">
        <x:f>MOD(BF530*16807,2147483647)</x:f>
        <x:v>1015749706</x:v>
      </x:c>
      <x:c r="BF531" s="9" t="n">
        <x:f>MOD(BE531*16807,2147483647)</x:f>
        <x:v>1357798739</x:v>
      </x:c>
      <x:c r="BG531" s="17" t="n">
        <x:f>IF('Control Room'!$B$5="Normal",'Control Room'!$B$7+'Control Room'!$D$7*SQRT(-2*LN(MAX(0.000000000001,BE531/2147483647)))*COS(2*PI()*BF531/2147483647),'Control Room'!$B$8+('Control Room'!$D$8-'Control Room'!$B$8)*BE531/2147483647)</x:f>
        <x:v>925.7662064539281</x:v>
      </x:c>
      <x:c r="BH531" s="17" t="n">
        <x:f>IF('Control Room'!$B$5="Normal",'Control Room'!$B$7,('Control Room'!$B$8+'Control Room'!$D$8)/2)+'Control Room'!$B$9*(BH530-IF('Control Room'!$B$5="Normal",'Control Room'!$B$7,('Control Room'!$B$8+'Control Room'!$D$8)/2))+SQRT(1-'Control Room'!$B$9^2)*(BG531-IF('Control Room'!$B$5="Normal",'Control Room'!$B$7,('Control Room'!$B$8+'Control Room'!$D$8)/2))</x:f>
        <x:v>933.9912368351544</x:v>
      </x:c>
      <x:c r="BI531" s="17" t="n">
        <x:f>IF(AND($A531&gt;='Control Room'!$A$13,$A531&lt;'Control Room'!$A$13+'Control Room'!$B$13,'Process'!BV2=1),1+('Control Room'!$C$13-1)*EXP(-0.5*(($A531-'Control Room'!$A$13-('Control Room'!$B$13-1)/2)/MAX(0.5,'Control Room'!$B$13/4))^2),1)*IF(AND($A531&gt;='Control Room'!$A$14,$A531&lt;'Control Room'!$A$14+'Control Room'!$B$14,'Process'!BV3=1),1+('Control Room'!$C$14-1)*EXP(-0.5*(($A531-'Control Room'!$A$14-('Control Room'!$B$14-1)/2)/MAX(0.5,'Control Room'!$B$14/4))^2),1)*IF(AND($A531&gt;='Control Room'!$A$15,$A531&lt;'Control Room'!$A$15+'Control Room'!$B$15,'Process'!BV4=1),1+('Control Room'!$C$15-1)*EXP(-0.5*(($A531-'Control Room'!$A$15-('Control Room'!$B$15-1)/2)/MAX(0.5,'Control Room'!$B$15/4))^2),1)*IF(AND($A531&gt;='Control Room'!$A$16,$A531&lt;'Control Room'!$A$16+'Control Room'!$B$16,'Process'!BV5=1),1+('Control Room'!$C$16-1)*EXP(-0.5*(($A531-'Control Room'!$A$16-('Control Room'!$B$16-1)/2)/MAX(0.5,'Control Room'!$B$16/4))^2),1)</x:f>
        <x:v>1</x:v>
      </x:c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Z531" t="str">
        <x:f>IF('Data'!A531="","",TEXT('Data'!A531,"mm-dd"))</x:f>
      </x:c>
    </x:row>
    <x:row r="532" ht="21" customHeight="1">
      <x:c r="A532" s="15" t="n">
        <x:f>'Control Room'!$B$1+530</x:f>
        <x:v>73521</x:v>
      </x:c>
      <x:c r="B532" s="9" t="n">
        <x:f>MOD(C531*16807,2147483647)</x:f>
        <x:v>889679138</x:v>
      </x:c>
      <x:c r="C532" s="9" t="n">
        <x:f>MOD(B532*16807,2147483647)</x:f>
        <x:v>2056121952</x:v>
      </x:c>
      <x:c r="D532" s="17" t="n">
        <x:f>IF('Control Room'!$B$5="Normal",'Control Room'!$B$7+'Control Room'!$D$7*SQRT(-2*LN(MAX(0.000000000001,B532/2147483647)))*COS(2*PI()*C532/2147483647),'Control Room'!$B$8+('Control Room'!$D$8-'Control Room'!$B$8)*B532/2147483647)</x:f>
        <x:v>1115.2359775665477</x:v>
      </x:c>
      <x:c r="E532" s="17" t="n">
        <x:f>IF('Control Room'!$B$5="Normal",'Control Room'!$B$7,('Control Room'!$B$8+'Control Room'!$D$8)/2)+'Control Room'!$B$9*(E531-IF('Control Room'!$B$5="Normal",'Control Room'!$B$7,('Control Room'!$B$8+'Control Room'!$D$8)/2))+SQRT(1-'Control Room'!$B$9^2)*(D532-IF('Control Room'!$B$5="Normal",'Control Room'!$B$7,('Control Room'!$B$8+'Control Room'!$D$8)/2))</x:f>
        <x:v>1024.9454664878897</x:v>
      </x:c>
      <x:c r="F532" s="17" t="n">
        <x:f>IF(AND($A532&gt;='Control Room'!$A$13,$A532&lt;'Control Room'!$A$13+'Control Room'!$B$13,'Process'!BK2=1),1+('Control Room'!$C$13-1)*EXP(-0.5*(($A532-'Control Room'!$A$13-('Control Room'!$B$13-1)/2)/MAX(0.5,'Control Room'!$B$13/4))^2),1)*IF(AND($A532&gt;='Control Room'!$A$14,$A532&lt;'Control Room'!$A$14+'Control Room'!$B$14,'Process'!BK3=1),1+('Control Room'!$C$14-1)*EXP(-0.5*(($A532-'Control Room'!$A$14-('Control Room'!$B$14-1)/2)/MAX(0.5,'Control Room'!$B$14/4))^2),1)*IF(AND($A532&gt;='Control Room'!$A$15,$A532&lt;'Control Room'!$A$15+'Control Room'!$B$15,'Process'!BK4=1),1+('Control Room'!$C$15-1)*EXP(-0.5*(($A532-'Control Room'!$A$15-('Control Room'!$B$15-1)/2)/MAX(0.5,'Control Room'!$B$15/4))^2),1)*IF(AND($A532&gt;='Control Room'!$A$16,$A532&lt;'Control Room'!$A$16+'Control Room'!$B$16,'Process'!BK5=1),1+('Control Room'!$C$16-1)*EXP(-0.5*(($A532-'Control Room'!$A$16-('Control Room'!$B$16-1)/2)/MAX(0.5,'Control Room'!$B$16/4))^2),1)</x:f>
        <x:v>1</x:v>
      </x:c>
      <x:c r="G532" s="9" t="n">
        <x:f>MOD(H531*16807,2147483647)</x:f>
        <x:v>151730013</x:v>
      </x:c>
      <x:c r="H532" s="9" t="n">
        <x:f>MOD(G532*16807,2147483647)</x:f>
        <x:v>1063239502</x:v>
      </x:c>
      <x:c r="I532" s="17" t="n">
        <x:f>IF('Control Room'!$B$5="Normal",'Control Room'!$B$7+'Control Room'!$D$7*SQRT(-2*LN(MAX(0.000000000001,G532/2147483647)))*COS(2*PI()*H532/2147483647),'Control Room'!$B$8+('Control Room'!$D$8-'Control Room'!$B$8)*G532/2147483647)</x:f>
        <x:v>792.9042310534776</x:v>
      </x:c>
      <x:c r="J532" s="17" t="n">
        <x:f>IF('Control Room'!$B$5="Normal",'Control Room'!$B$7,('Control Room'!$B$8+'Control Room'!$D$8)/2)+'Control Room'!$B$9*(J531-IF('Control Room'!$B$5="Normal",'Control Room'!$B$7,('Control Room'!$B$8+'Control Room'!$D$8)/2))+SQRT(1-'Control Room'!$B$9^2)*(I532-IF('Control Room'!$B$5="Normal",'Control Room'!$B$7,('Control Room'!$B$8+'Control Room'!$D$8)/2))</x:f>
        <x:v>735.3196804707969</x:v>
      </x:c>
      <x:c r="K532" s="17" t="n">
        <x:f>IF(AND($A532&gt;='Control Room'!$A$13,$A532&lt;'Control Room'!$A$13+'Control Room'!$B$13,'Process'!BL2=1),1+('Control Room'!$C$13-1)*EXP(-0.5*(($A532-'Control Room'!$A$13-('Control Room'!$B$13-1)/2)/MAX(0.5,'Control Room'!$B$13/4))^2),1)*IF(AND($A532&gt;='Control Room'!$A$14,$A532&lt;'Control Room'!$A$14+'Control Room'!$B$14,'Process'!BL3=1),1+('Control Room'!$C$14-1)*EXP(-0.5*(($A532-'Control Room'!$A$14-('Control Room'!$B$14-1)/2)/MAX(0.5,'Control Room'!$B$14/4))^2),1)*IF(AND($A532&gt;='Control Room'!$A$15,$A532&lt;'Control Room'!$A$15+'Control Room'!$B$15,'Process'!BL4=1),1+('Control Room'!$C$15-1)*EXP(-0.5*(($A532-'Control Room'!$A$15-('Control Room'!$B$15-1)/2)/MAX(0.5,'Control Room'!$B$15/4))^2),1)*IF(AND($A532&gt;='Control Room'!$A$16,$A532&lt;'Control Room'!$A$16+'Control Room'!$B$16,'Process'!BL5=1),1+('Control Room'!$C$16-1)*EXP(-0.5*(($A532-'Control Room'!$A$16-('Control Room'!$B$16-1)/2)/MAX(0.5,'Control Room'!$B$16/4))^2),1)</x:f>
        <x:v>1</x:v>
      </x:c>
      <x:c r="L532" s="9" t="n">
        <x:f>MOD(M531*16807,2147483647)</x:f>
        <x:v>1561264535</x:v>
      </x:c>
      <x:c r="M532" s="9" t="n">
        <x:f>MOD(L532*16807,2147483647)</x:f>
        <x:v>70357052</x:v>
      </x:c>
      <x:c r="N532" s="17" t="n">
        <x:f>IF('Control Room'!$B$5="Normal",'Control Room'!$B$7+'Control Room'!$D$7*SQRT(-2*LN(MAX(0.000000000001,L532/2147483647)))*COS(2*PI()*M532/2147483647),'Control Room'!$B$8+('Control Room'!$D$8-'Control Room'!$B$8)*L532/2147483647)</x:f>
        <x:v>1070.3476597228566</x:v>
      </x:c>
      <x:c r="O532" s="17" t="n">
        <x:f>IF('Control Room'!$B$5="Normal",'Control Room'!$B$7,('Control Room'!$B$8+'Control Room'!$D$8)/2)+'Control Room'!$B$9*(O531-IF('Control Room'!$B$5="Normal",'Control Room'!$B$7,('Control Room'!$B$8+'Control Room'!$D$8)/2))+SQRT(1-'Control Room'!$B$9^2)*(N532-IF('Control Room'!$B$5="Normal",'Control Room'!$B$7,('Control Room'!$B$8+'Control Room'!$D$8)/2))</x:f>
        <x:v>1193.2272795989463</x:v>
      </x:c>
      <x:c r="P532" s="17" t="n">
        <x:f>IF(AND($A532&gt;='Control Room'!$A$13,$A532&lt;'Control Room'!$A$13+'Control Room'!$B$13,'Process'!BM2=1),1+('Control Room'!$C$13-1)*EXP(-0.5*(($A532-'Control Room'!$A$13-('Control Room'!$B$13-1)/2)/MAX(0.5,'Control Room'!$B$13/4))^2),1)*IF(AND($A532&gt;='Control Room'!$A$14,$A532&lt;'Control Room'!$A$14+'Control Room'!$B$14,'Process'!BM3=1),1+('Control Room'!$C$14-1)*EXP(-0.5*(($A532-'Control Room'!$A$14-('Control Room'!$B$14-1)/2)/MAX(0.5,'Control Room'!$B$14/4))^2),1)*IF(AND($A532&gt;='Control Room'!$A$15,$A532&lt;'Control Room'!$A$15+'Control Room'!$B$15,'Process'!BM4=1),1+('Control Room'!$C$15-1)*EXP(-0.5*(($A532-'Control Room'!$A$15-('Control Room'!$B$15-1)/2)/MAX(0.5,'Control Room'!$B$15/4))^2),1)*IF(AND($A532&gt;='Control Room'!$A$16,$A532&lt;'Control Room'!$A$16+'Control Room'!$B$16,'Process'!BM5=1),1+('Control Room'!$C$16-1)*EXP(-0.5*(($A532-'Control Room'!$A$16-('Control Room'!$B$16-1)/2)/MAX(0.5,'Control Room'!$B$16/4))^2),1)</x:f>
        <x:v>1</x:v>
      </x:c>
      <x:c r="Q532" s="9" t="n">
        <x:f>MOD(R531*16807,2147483647)</x:f>
        <x:v>823315410</x:v>
      </x:c>
      <x:c r="R532" s="9" t="n">
        <x:f>MOD(Q532*16807,2147483647)</x:f>
        <x:v>1224958249</x:v>
      </x:c>
      <x:c r="S532" s="17" t="n">
        <x:f>IF('Control Room'!$B$5="Normal",'Control Room'!$B$7+'Control Room'!$D$7*SQRT(-2*LN(MAX(0.000000000001,Q532/2147483647)))*COS(2*PI()*R532/2147483647),'Control Room'!$B$8+('Control Room'!$D$8-'Control Room'!$B$8)*Q532/2147483647)</x:f>
        <x:v>887.3757768659079</x:v>
      </x:c>
      <x:c r="T532" s="17" t="n">
        <x:f>IF('Control Room'!$B$5="Normal",'Control Room'!$B$7,('Control Room'!$B$8+'Control Room'!$D$8)/2)+'Control Room'!$B$9*(T531-IF('Control Room'!$B$5="Normal",'Control Room'!$B$7,('Control Room'!$B$8+'Control Room'!$D$8)/2))+SQRT(1-'Control Room'!$B$9^2)*(S532-IF('Control Room'!$B$5="Normal",'Control Room'!$B$7,('Control Room'!$B$8+'Control Room'!$D$8)/2))</x:f>
        <x:v>896.6013574917077</x:v>
      </x:c>
      <x:c r="U532" s="17" t="n">
        <x:f>IF(AND($A532&gt;='Control Room'!$A$13,$A532&lt;'Control Room'!$A$13+'Control Room'!$B$13,'Process'!BN2=1),1+('Control Room'!$C$13-1)*EXP(-0.5*(($A532-'Control Room'!$A$13-('Control Room'!$B$13-1)/2)/MAX(0.5,'Control Room'!$B$13/4))^2),1)*IF(AND($A532&gt;='Control Room'!$A$14,$A532&lt;'Control Room'!$A$14+'Control Room'!$B$14,'Process'!BN3=1),1+('Control Room'!$C$14-1)*EXP(-0.5*(($A532-'Control Room'!$A$14-('Control Room'!$B$14-1)/2)/MAX(0.5,'Control Room'!$B$14/4))^2),1)*IF(AND($A532&gt;='Control Room'!$A$15,$A532&lt;'Control Room'!$A$15+'Control Room'!$B$15,'Process'!BN4=1),1+('Control Room'!$C$15-1)*EXP(-0.5*(($A532-'Control Room'!$A$15-('Control Room'!$B$15-1)/2)/MAX(0.5,'Control Room'!$B$15/4))^2),1)*IF(AND($A532&gt;='Control Room'!$A$16,$A532&lt;'Control Room'!$A$16+'Control Room'!$B$16,'Process'!BN5=1),1+('Control Room'!$C$16-1)*EXP(-0.5*(($A532-'Control Room'!$A$16-('Control Room'!$B$16-1)/2)/MAX(0.5,'Control Room'!$B$16/4))^2),1)</x:f>
        <x:v>1</x:v>
      </x:c>
      <x:c r="V532" s="9" t="n">
        <x:f>MOD(W531*16807,2147483647)</x:f>
        <x:v>85366285</x:v>
      </x:c>
      <x:c r="W532" s="9" t="n">
        <x:f>MOD(V532*16807,2147483647)</x:f>
        <x:v>232075799</x:v>
      </x:c>
      <x:c r="X532" s="17" t="n">
        <x:f>IF('Control Room'!$B$5="Normal",'Control Room'!$B$7+'Control Room'!$D$7*SQRT(-2*LN(MAX(0.000000000001,V532/2147483647)))*COS(2*PI()*W532/2147483647),'Control Room'!$B$8+('Control Room'!$D$8-'Control Room'!$B$8)*V532/2147483647)</x:f>
        <x:v>1177.8752330102843</x:v>
      </x:c>
      <x:c r="Y532" s="17" t="n">
        <x:f>IF('Control Room'!$B$5="Normal",'Control Room'!$B$7,('Control Room'!$B$8+'Control Room'!$D$8)/2)+'Control Room'!$B$9*(Y531-IF('Control Room'!$B$5="Normal",'Control Room'!$B$7,('Control Room'!$B$8+'Control Room'!$D$8)/2))+SQRT(1-'Control Room'!$B$9^2)*(X532-IF('Control Room'!$B$5="Normal",'Control Room'!$B$7,('Control Room'!$B$8+'Control Room'!$D$8)/2))</x:f>
        <x:v>1092.6471118378802</x:v>
      </x:c>
      <x:c r="Z532" s="17" t="n">
        <x:f>IF(AND($A532&gt;='Control Room'!$A$13,$A532&lt;'Control Room'!$A$13+'Control Room'!$B$13,'Process'!BO2=1),1+('Control Room'!$C$13-1)*EXP(-0.5*(($A532-'Control Room'!$A$13-('Control Room'!$B$13-1)/2)/MAX(0.5,'Control Room'!$B$13/4))^2),1)*IF(AND($A532&gt;='Control Room'!$A$14,$A532&lt;'Control Room'!$A$14+'Control Room'!$B$14,'Process'!BO3=1),1+('Control Room'!$C$14-1)*EXP(-0.5*(($A532-'Control Room'!$A$14-('Control Room'!$B$14-1)/2)/MAX(0.5,'Control Room'!$B$14/4))^2),1)*IF(AND($A532&gt;='Control Room'!$A$15,$A532&lt;'Control Room'!$A$15+'Control Room'!$B$15,'Process'!BO4=1),1+('Control Room'!$C$15-1)*EXP(-0.5*(($A532-'Control Room'!$A$15-('Control Room'!$B$15-1)/2)/MAX(0.5,'Control Room'!$B$15/4))^2),1)*IF(AND($A532&gt;='Control Room'!$A$16,$A532&lt;'Control Room'!$A$16+'Control Room'!$B$16,'Process'!BO5=1),1+('Control Room'!$C$16-1)*EXP(-0.5*(($A532-'Control Room'!$A$16-('Control Room'!$B$16-1)/2)/MAX(0.5,'Control Room'!$B$16/4))^2),1)</x:f>
        <x:v>1</x:v>
      </x:c>
      <x:c r="AA532" s="9" t="n">
        <x:f>MOD(AB531*16807,2147483647)</x:f>
        <x:v>1494900807</x:v>
      </x:c>
      <x:c r="AB532" s="9" t="n">
        <x:f>MOD(AA532*16807,2147483647)</x:f>
        <x:v>1386676996</x:v>
      </x:c>
      <x:c r="AC532" s="17" t="n">
        <x:f>IF('Control Room'!$B$5="Normal",'Control Room'!$B$7+'Control Room'!$D$7*SQRT(-2*LN(MAX(0.000000000001,AA532/2147483647)))*COS(2*PI()*AB532/2147483647),'Control Room'!$B$8+('Control Room'!$D$8-'Control Room'!$B$8)*AA532/2147483647)</x:f>
        <x:v>953.3236009604888</x:v>
      </x:c>
      <x:c r="AD532" s="17" t="n">
        <x:f>IF('Control Room'!$B$5="Normal",'Control Room'!$B$7,('Control Room'!$B$8+'Control Room'!$D$8)/2)+'Control Room'!$B$9*(AD531-IF('Control Room'!$B$5="Normal",'Control Room'!$B$7,('Control Room'!$B$8+'Control Room'!$D$8)/2))+SQRT(1-'Control Room'!$B$9^2)*(AC532-IF('Control Room'!$B$5="Normal",'Control Room'!$B$7,('Control Room'!$B$8+'Control Room'!$D$8)/2))</x:f>
        <x:v>1027.95211043618</x:v>
      </x:c>
      <x:c r="AE532" s="17" t="n">
        <x:f>IF(AND($A532&gt;='Control Room'!$A$13,$A532&lt;'Control Room'!$A$13+'Control Room'!$B$13,'Process'!BP2=1),1+('Control Room'!$C$13-1)*EXP(-0.5*(($A532-'Control Room'!$A$13-('Control Room'!$B$13-1)/2)/MAX(0.5,'Control Room'!$B$13/4))^2),1)*IF(AND($A532&gt;='Control Room'!$A$14,$A532&lt;'Control Room'!$A$14+'Control Room'!$B$14,'Process'!BP3=1),1+('Control Room'!$C$14-1)*EXP(-0.5*(($A532-'Control Room'!$A$14-('Control Room'!$B$14-1)/2)/MAX(0.5,'Control Room'!$B$14/4))^2),1)*IF(AND($A532&gt;='Control Room'!$A$15,$A532&lt;'Control Room'!$A$15+'Control Room'!$B$15,'Process'!BP4=1),1+('Control Room'!$C$15-1)*EXP(-0.5*(($A532-'Control Room'!$A$15-('Control Room'!$B$15-1)/2)/MAX(0.5,'Control Room'!$B$15/4))^2),1)*IF(AND($A532&gt;='Control Room'!$A$16,$A532&lt;'Control Room'!$A$16+'Control Room'!$B$16,'Process'!BP5=1),1+('Control Room'!$C$16-1)*EXP(-0.5*(($A532-'Control Room'!$A$16-('Control Room'!$B$16-1)/2)/MAX(0.5,'Control Room'!$B$16/4))^2),1)</x:f>
        <x:v>1</x:v>
      </x:c>
      <x:c r="AF532" s="9" t="n">
        <x:f>MOD(AG531*16807,2147483647)</x:f>
        <x:v>756951682</x:v>
      </x:c>
      <x:c r="AG532" s="9" t="n">
        <x:f>MOD(AF532*16807,2147483647)</x:f>
        <x:v>393794546</x:v>
      </x:c>
      <x:c r="AH532" s="17" t="n">
        <x:f>IF('Control Room'!$B$5="Normal",'Control Room'!$B$7+'Control Room'!$D$7*SQRT(-2*LN(MAX(0.000000000001,AF532/2147483647)))*COS(2*PI()*AG532/2147483647),'Control Room'!$B$8+('Control Room'!$D$8-'Control Room'!$B$8)*AF532/2147483647)</x:f>
        <x:v>1052.833180555657</x:v>
      </x:c>
      <x:c r="AI532" s="17" t="n">
        <x:f>IF('Control Room'!$B$5="Normal",'Control Room'!$B$7,('Control Room'!$B$8+'Control Room'!$D$8)/2)+'Control Room'!$B$9*(AI531-IF('Control Room'!$B$5="Normal",'Control Room'!$B$7,('Control Room'!$B$8+'Control Room'!$D$8)/2))+SQRT(1-'Control Room'!$B$9^2)*(AH532-IF('Control Room'!$B$5="Normal",'Control Room'!$B$7,('Control Room'!$B$8+'Control Room'!$D$8)/2))</x:f>
        <x:v>926.6958851514001</x:v>
      </x:c>
      <x:c r="AJ532" s="17" t="n">
        <x:f>IF(AND($A532&gt;='Control Room'!$A$13,$A532&lt;'Control Room'!$A$13+'Control Room'!$B$13,'Process'!BQ2=1),1+('Control Room'!$C$13-1)*EXP(-0.5*(($A532-'Control Room'!$A$13-('Control Room'!$B$13-1)/2)/MAX(0.5,'Control Room'!$B$13/4))^2),1)*IF(AND($A532&gt;='Control Room'!$A$14,$A532&lt;'Control Room'!$A$14+'Control Room'!$B$14,'Process'!BQ3=1),1+('Control Room'!$C$14-1)*EXP(-0.5*(($A532-'Control Room'!$A$14-('Control Room'!$B$14-1)/2)/MAX(0.5,'Control Room'!$B$14/4))^2),1)*IF(AND($A532&gt;='Control Room'!$A$15,$A532&lt;'Control Room'!$A$15+'Control Room'!$B$15,'Process'!BQ4=1),1+('Control Room'!$C$15-1)*EXP(-0.5*(($A532-'Control Room'!$A$15-('Control Room'!$B$15-1)/2)/MAX(0.5,'Control Room'!$B$15/4))^2),1)*IF(AND($A532&gt;='Control Room'!$A$16,$A532&lt;'Control Room'!$A$16+'Control Room'!$B$16,'Process'!BQ5=1),1+('Control Room'!$C$16-1)*EXP(-0.5*(($A532-'Control Room'!$A$16-('Control Room'!$B$16-1)/2)/MAX(0.5,'Control Room'!$B$16/4))^2),1)</x:f>
        <x:v>1</x:v>
      </x:c>
      <x:c r="AK532" s="9" t="n">
        <x:f>MOD(AL531*16807,2147483647)</x:f>
        <x:v>19002557</x:v>
      </x:c>
      <x:c r="AL532" s="9" t="n">
        <x:f>MOD(AK532*16807,2147483647)</x:f>
        <x:v>1548395743</x:v>
      </x:c>
      <x:c r="AM532" s="17" t="n">
        <x:f>IF('Control Room'!$B$5="Normal",'Control Room'!$B$7+'Control Room'!$D$7*SQRT(-2*LN(MAX(0.000000000001,AK532/2147483647)))*COS(2*PI()*AL532/2147483647),'Control Room'!$B$8+('Control Room'!$D$8-'Control Room'!$B$8)*AK532/2147483647)</x:f>
        <x:v>949.9008813891197</x:v>
      </x:c>
      <x:c r="AN532" s="17" t="n">
        <x:f>IF('Control Room'!$B$5="Normal",'Control Room'!$B$7,('Control Room'!$B$8+'Control Room'!$D$8)/2)+'Control Room'!$B$9*(AN531-IF('Control Room'!$B$5="Normal",'Control Room'!$B$7,('Control Room'!$B$8+'Control Room'!$D$8)/2))+SQRT(1-'Control Room'!$B$9^2)*(AM532-IF('Control Room'!$B$5="Normal",'Control Room'!$B$7,('Control Room'!$B$8+'Control Room'!$D$8)/2))</x:f>
        <x:v>1087.4676842055771</x:v>
      </x:c>
      <x:c r="AO532" s="17" t="n">
        <x:f>IF(AND($A532&gt;='Control Room'!$A$13,$A532&lt;'Control Room'!$A$13+'Control Room'!$B$13,'Process'!BR2=1),1+('Control Room'!$C$13-1)*EXP(-0.5*(($A532-'Control Room'!$A$13-('Control Room'!$B$13-1)/2)/MAX(0.5,'Control Room'!$B$13/4))^2),1)*IF(AND($A532&gt;='Control Room'!$A$14,$A532&lt;'Control Room'!$A$14+'Control Room'!$B$14,'Process'!BR3=1),1+('Control Room'!$C$14-1)*EXP(-0.5*(($A532-'Control Room'!$A$14-('Control Room'!$B$14-1)/2)/MAX(0.5,'Control Room'!$B$14/4))^2),1)*IF(AND($A532&gt;='Control Room'!$A$15,$A532&lt;'Control Room'!$A$15+'Control Room'!$B$15,'Process'!BR4=1),1+('Control Room'!$C$15-1)*EXP(-0.5*(($A532-'Control Room'!$A$15-('Control Room'!$B$15-1)/2)/MAX(0.5,'Control Room'!$B$15/4))^2),1)*IF(AND($A532&gt;='Control Room'!$A$16,$A532&lt;'Control Room'!$A$16+'Control Room'!$B$16,'Process'!BR5=1),1+('Control Room'!$C$16-1)*EXP(-0.5*(($A532-'Control Room'!$A$16-('Control Room'!$B$16-1)/2)/MAX(0.5,'Control Room'!$B$16/4))^2),1)</x:f>
        <x:v>1</x:v>
      </x:c>
      <x:c r="AP532" s="9" t="n">
        <x:f>MOD(AQ531*16807,2147483647)</x:f>
        <x:v>1428537079</x:v>
      </x:c>
      <x:c r="AQ532" s="9" t="n">
        <x:f>MOD(AP532*16807,2147483647)</x:f>
        <x:v>555513293</x:v>
      </x:c>
      <x:c r="AR532" s="17" t="n">
        <x:f>IF('Control Room'!$B$5="Normal",'Control Room'!$B$7+'Control Room'!$D$7*SQRT(-2*LN(MAX(0.000000000001,AP532/2147483647)))*COS(2*PI()*AQ532/2147483647),'Control Room'!$B$8+('Control Room'!$D$8-'Control Room'!$B$8)*AP532/2147483647)</x:f>
        <x:v>995.5696804995046</x:v>
      </x:c>
      <x:c r="AS532" s="17" t="n">
        <x:f>IF('Control Room'!$B$5="Normal",'Control Room'!$B$7,('Control Room'!$B$8+'Control Room'!$D$8)/2)+'Control Room'!$B$9*(AS531-IF('Control Room'!$B$5="Normal",'Control Room'!$B$7,('Control Room'!$B$8+'Control Room'!$D$8)/2))+SQRT(1-'Control Room'!$B$9^2)*(AR532-IF('Control Room'!$B$5="Normal",'Control Room'!$B$7,('Control Room'!$B$8+'Control Room'!$D$8)/2))</x:f>
        <x:v>996.217536730945</x:v>
      </x:c>
      <x:c r="AT532" s="17" t="n">
        <x:f>IF(AND($A532&gt;='Control Room'!$A$13,$A532&lt;'Control Room'!$A$13+'Control Room'!$B$13,'Process'!BS2=1),1+('Control Room'!$C$13-1)*EXP(-0.5*(($A532-'Control Room'!$A$13-('Control Room'!$B$13-1)/2)/MAX(0.5,'Control Room'!$B$13/4))^2),1)*IF(AND($A532&gt;='Control Room'!$A$14,$A532&lt;'Control Room'!$A$14+'Control Room'!$B$14,'Process'!BS3=1),1+('Control Room'!$C$14-1)*EXP(-0.5*(($A532-'Control Room'!$A$14-('Control Room'!$B$14-1)/2)/MAX(0.5,'Control Room'!$B$14/4))^2),1)*IF(AND($A532&gt;='Control Room'!$A$15,$A532&lt;'Control Room'!$A$15+'Control Room'!$B$15,'Process'!BS4=1),1+('Control Room'!$C$15-1)*EXP(-0.5*(($A532-'Control Room'!$A$15-('Control Room'!$B$15-1)/2)/MAX(0.5,'Control Room'!$B$15/4))^2),1)*IF(AND($A532&gt;='Control Room'!$A$16,$A532&lt;'Control Room'!$A$16+'Control Room'!$B$16,'Process'!BS5=1),1+('Control Room'!$C$16-1)*EXP(-0.5*(($A532-'Control Room'!$A$16-('Control Room'!$B$16-1)/2)/MAX(0.5,'Control Room'!$B$16/4))^2),1)</x:f>
        <x:v>1</x:v>
      </x:c>
      <x:c r="AU532" s="9" t="n">
        <x:f>MOD(AV531*16807,2147483647)</x:f>
        <x:v>690587954</x:v>
      </x:c>
      <x:c r="AV532" s="9" t="n">
        <x:f>MOD(AU532*16807,2147483647)</x:f>
        <x:v>1710114490</x:v>
      </x:c>
      <x:c r="AW532" s="17" t="n">
        <x:f>IF('Control Room'!$B$5="Normal",'Control Room'!$B$7+'Control Room'!$D$7*SQRT(-2*LN(MAX(0.000000000001,AU532/2147483647)))*COS(2*PI()*AV532/2147483647),'Control Room'!$B$8+('Control Room'!$D$8-'Control Room'!$B$8)*AU532/2147483647)</x:f>
        <x:v>1038.9125796132514</x:v>
      </x:c>
      <x:c r="AX532" s="17" t="n">
        <x:f>IF('Control Room'!$B$5="Normal",'Control Room'!$B$7,('Control Room'!$B$8+'Control Room'!$D$8)/2)+'Control Room'!$B$9*(AX531-IF('Control Room'!$B$5="Normal",'Control Room'!$B$7,('Control Room'!$B$8+'Control Room'!$D$8)/2))+SQRT(1-'Control Room'!$B$9^2)*(AW532-IF('Control Room'!$B$5="Normal",'Control Room'!$B$7,('Control Room'!$B$8+'Control Room'!$D$8)/2))</x:f>
        <x:v>1024.4217675657824</x:v>
      </x:c>
      <x:c r="AY532" s="17" t="n">
        <x:f>IF(AND($A532&gt;='Control Room'!$A$13,$A532&lt;'Control Room'!$A$13+'Control Room'!$B$13,'Process'!BT2=1),1+('Control Room'!$C$13-1)*EXP(-0.5*(($A532-'Control Room'!$A$13-('Control Room'!$B$13-1)/2)/MAX(0.5,'Control Room'!$B$13/4))^2),1)*IF(AND($A532&gt;='Control Room'!$A$14,$A532&lt;'Control Room'!$A$14+'Control Room'!$B$14,'Process'!BT3=1),1+('Control Room'!$C$14-1)*EXP(-0.5*(($A532-'Control Room'!$A$14-('Control Room'!$B$14-1)/2)/MAX(0.5,'Control Room'!$B$14/4))^2),1)*IF(AND($A532&gt;='Control Room'!$A$15,$A532&lt;'Control Room'!$A$15+'Control Room'!$B$15,'Process'!BT4=1),1+('Control Room'!$C$15-1)*EXP(-0.5*(($A532-'Control Room'!$A$15-('Control Room'!$B$15-1)/2)/MAX(0.5,'Control Room'!$B$15/4))^2),1)*IF(AND($A532&gt;='Control Room'!$A$16,$A532&lt;'Control Room'!$A$16+'Control Room'!$B$16,'Process'!BT5=1),1+('Control Room'!$C$16-1)*EXP(-0.5*(($A532-'Control Room'!$A$16-('Control Room'!$B$16-1)/2)/MAX(0.5,'Control Room'!$B$16/4))^2),1)</x:f>
        <x:v>1</x:v>
      </x:c>
      <x:c r="AZ532" s="9" t="n">
        <x:f>MOD(BA531*16807,2147483647)</x:f>
        <x:v>2100122476</x:v>
      </x:c>
      <x:c r="BA532" s="9" t="n">
        <x:f>MOD(AZ532*16807,2147483647)</x:f>
        <x:v>717232040</x:v>
      </x:c>
      <x:c r="BB532" s="17" t="n">
        <x:f>IF('Control Room'!$B$5="Normal",'Control Room'!$B$7+'Control Room'!$D$7*SQRT(-2*LN(MAX(0.000000000001,AZ532/2147483647)))*COS(2*PI()*BA532/2147483647),'Control Room'!$B$8+('Control Room'!$D$8-'Control Room'!$B$8)*AZ532/2147483647)</x:f>
        <x:v>990.428800101641</x:v>
      </x:c>
      <x:c r="BC532" s="17" t="n">
        <x:f>IF('Control Room'!$B$5="Normal",'Control Room'!$B$7,('Control Room'!$B$8+'Control Room'!$D$8)/2)+'Control Room'!$B$9*(BC531-IF('Control Room'!$B$5="Normal",'Control Room'!$B$7,('Control Room'!$B$8+'Control Room'!$D$8)/2))+SQRT(1-'Control Room'!$B$9^2)*(BB532-IF('Control Room'!$B$5="Normal",'Control Room'!$B$7,('Control Room'!$B$8+'Control Room'!$D$8)/2))</x:f>
        <x:v>1057.2993339304683</x:v>
      </x:c>
      <x:c r="BD532" s="17" t="n">
        <x:f>IF(AND($A532&gt;='Control Room'!$A$13,$A532&lt;'Control Room'!$A$13+'Control Room'!$B$13,'Process'!BU2=1),1+('Control Room'!$C$13-1)*EXP(-0.5*(($A532-'Control Room'!$A$13-('Control Room'!$B$13-1)/2)/MAX(0.5,'Control Room'!$B$13/4))^2),1)*IF(AND($A532&gt;='Control Room'!$A$14,$A532&lt;'Control Room'!$A$14+'Control Room'!$B$14,'Process'!BU3=1),1+('Control Room'!$C$14-1)*EXP(-0.5*(($A532-'Control Room'!$A$14-('Control Room'!$B$14-1)/2)/MAX(0.5,'Control Room'!$B$14/4))^2),1)*IF(AND($A532&gt;='Control Room'!$A$15,$A532&lt;'Control Room'!$A$15+'Control Room'!$B$15,'Process'!BU4=1),1+('Control Room'!$C$15-1)*EXP(-0.5*(($A532-'Control Room'!$A$15-('Control Room'!$B$15-1)/2)/MAX(0.5,'Control Room'!$B$15/4))^2),1)*IF(AND($A532&gt;='Control Room'!$A$16,$A532&lt;'Control Room'!$A$16+'Control Room'!$B$16,'Process'!BU5=1),1+('Control Room'!$C$16-1)*EXP(-0.5*(($A532-'Control Room'!$A$16-('Control Room'!$B$16-1)/2)/MAX(0.5,'Control Room'!$B$16/4))^2),1)</x:f>
        <x:v>1</x:v>
      </x:c>
      <x:c r="BE532" s="9" t="n">
        <x:f>MOD(BF531*16807,2147483647)</x:f>
        <x:v>1362173351</x:v>
      </x:c>
      <x:c r="BF532" s="9" t="n">
        <x:f>MOD(BE532*16807,2147483647)</x:f>
        <x:v>1871833237</x:v>
      </x:c>
      <x:c r="BG532" s="17" t="n">
        <x:f>IF('Control Room'!$B$5="Normal",'Control Room'!$B$7+'Control Room'!$D$7*SQRT(-2*LN(MAX(0.000000000001,BE532/2147483647)))*COS(2*PI()*BF532/2147483647),'Control Room'!$B$8+('Control Room'!$D$8-'Control Room'!$B$8)*BE532/2147483647)</x:f>
        <x:v>1059.427403411065</x:v>
      </x:c>
      <x:c r="BH532" s="17" t="n">
        <x:f>IF('Control Room'!$B$5="Normal",'Control Room'!$B$7,('Control Room'!$B$8+'Control Room'!$D$8)/2)+'Control Room'!$B$9*(BH531-IF('Control Room'!$B$5="Normal",'Control Room'!$B$7,('Control Room'!$B$8+'Control Room'!$D$8)/2))+SQRT(1-'Control Room'!$B$9^2)*(BG532-IF('Control Room'!$B$5="Normal",'Control Room'!$B$7,('Control Room'!$B$8+'Control Room'!$D$8)/2))</x:f>
        <x:v>985.7016163495324</x:v>
      </x:c>
      <x:c r="BI532" s="17" t="n">
        <x:f>IF(AND($A532&gt;='Control Room'!$A$13,$A532&lt;'Control Room'!$A$13+'Control Room'!$B$13,'Process'!BV2=1),1+('Control Room'!$C$13-1)*EXP(-0.5*(($A532-'Control Room'!$A$13-('Control Room'!$B$13-1)/2)/MAX(0.5,'Control Room'!$B$13/4))^2),1)*IF(AND($A532&gt;='Control Room'!$A$14,$A532&lt;'Control Room'!$A$14+'Control Room'!$B$14,'Process'!BV3=1),1+('Control Room'!$C$14-1)*EXP(-0.5*(($A532-'Control Room'!$A$14-('Control Room'!$B$14-1)/2)/MAX(0.5,'Control Room'!$B$14/4))^2),1)*IF(AND($A532&gt;='Control Room'!$A$15,$A532&lt;'Control Room'!$A$15+'Control Room'!$B$15,'Process'!BV4=1),1+('Control Room'!$C$15-1)*EXP(-0.5*(($A532-'Control Room'!$A$15-('Control Room'!$B$15-1)/2)/MAX(0.5,'Control Room'!$B$15/4))^2),1)*IF(AND($A532&gt;='Control Room'!$A$16,$A532&lt;'Control Room'!$A$16+'Control Room'!$B$16,'Process'!BV5=1),1+('Control Room'!$C$16-1)*EXP(-0.5*(($A532-'Control Room'!$A$16-('Control Room'!$B$16-1)/2)/MAX(0.5,'Control Room'!$B$16/4))^2),1)</x:f>
        <x:v>1</x:v>
      </x:c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Z532" t="str">
        <x:f>IF('Data'!A532="","",TEXT('Data'!A532,"mm-dd"))</x:f>
      </x:c>
    </x:row>
    <x:row r="533" ht="21" customHeight="1">
      <x:c r="A533" s="15" t="n">
        <x:f>'Control Room'!$B$1+531</x:f>
        <x:v>73522</x:v>
      </x:c>
      <x:c r="B533" s="9" t="n">
        <x:f>MOD(C532*16807,2147483647)</x:f>
        <x:v>2082283387</x:v>
      </x:c>
      <x:c r="C533" s="9" t="n">
        <x:f>MOD(B533*16807,2147483647)</x:f>
        <x:v>1543373797</x:v>
      </x:c>
      <x:c r="D533" s="17" t="n">
        <x:f>IF('Control Room'!$B$5="Normal",'Control Room'!$B$7+'Control Room'!$D$7*SQRT(-2*LN(MAX(0.000000000001,B533/2147483647)))*COS(2*PI()*C533/2147483647),'Control Room'!$B$8+('Control Room'!$D$8-'Control Room'!$B$8)*B533/2147483647)</x:f>
        <x:v>995.631604261008</x:v>
      </x:c>
      <x:c r="E533" s="17" t="n">
        <x:f>IF('Control Room'!$B$5="Normal",'Control Room'!$B$7,('Control Room'!$B$8+'Control Room'!$D$8)/2)+'Control Room'!$B$9*(E532-IF('Control Room'!$B$5="Normal",'Control Room'!$B$7,('Control Room'!$B$8+'Control Room'!$D$8)/2))+SQRT(1-'Control Room'!$B$9^2)*(D533-IF('Control Room'!$B$5="Normal",'Control Room'!$B$7,('Control Room'!$B$8+'Control Room'!$D$8)/2))</x:f>
        <x:v>1016.7238112985438</x:v>
      </x:c>
      <x:c r="F533" s="17" t="n">
        <x:f>IF(AND($A533&gt;='Control Room'!$A$13,$A533&lt;'Control Room'!$A$13+'Control Room'!$B$13,'Process'!BK2=1),1+('Control Room'!$C$13-1)*EXP(-0.5*(($A533-'Control Room'!$A$13-('Control Room'!$B$13-1)/2)/MAX(0.5,'Control Room'!$B$13/4))^2),1)*IF(AND($A533&gt;='Control Room'!$A$14,$A533&lt;'Control Room'!$A$14+'Control Room'!$B$14,'Process'!BK3=1),1+('Control Room'!$C$14-1)*EXP(-0.5*(($A533-'Control Room'!$A$14-('Control Room'!$B$14-1)/2)/MAX(0.5,'Control Room'!$B$14/4))^2),1)*IF(AND($A533&gt;='Control Room'!$A$15,$A533&lt;'Control Room'!$A$15+'Control Room'!$B$15,'Process'!BK4=1),1+('Control Room'!$C$15-1)*EXP(-0.5*(($A533-'Control Room'!$A$15-('Control Room'!$B$15-1)/2)/MAX(0.5,'Control Room'!$B$15/4))^2),1)*IF(AND($A533&gt;='Control Room'!$A$16,$A533&lt;'Control Room'!$A$16+'Control Room'!$B$16,'Process'!BK5=1),1+('Control Room'!$C$16-1)*EXP(-0.5*(($A533-'Control Room'!$A$16-('Control Room'!$B$16-1)/2)/MAX(0.5,'Control Room'!$B$16/4))^2),1)</x:f>
        <x:v>1</x:v>
      </x:c>
      <x:c r="G533" s="9" t="n">
        <x:f>MOD(H532*16807,2147483647)</x:f>
        <x:v>654883427</x:v>
      </x:c>
      <x:c r="H533" s="9" t="n">
        <x:f>MOD(G533*16807,2147483647)</x:f>
        <x:v>772066714</x:v>
      </x:c>
      <x:c r="I533" s="17" t="n">
        <x:f>IF('Control Room'!$B$5="Normal",'Control Room'!$B$7+'Control Room'!$D$7*SQRT(-2*LN(MAX(0.000000000001,G533/2147483647)))*COS(2*PI()*H533/2147483647),'Control Room'!$B$8+('Control Room'!$D$8-'Control Room'!$B$8)*G533/2147483647)</x:f>
        <x:v>911.907862658707</x:v>
      </x:c>
      <x:c r="J533" s="17" t="n">
        <x:f>IF('Control Room'!$B$5="Normal",'Control Room'!$B$7,('Control Room'!$B$8+'Control Room'!$D$8)/2)+'Control Room'!$B$9*(J532-IF('Control Room'!$B$5="Normal",'Control Room'!$B$7,('Control Room'!$B$8+'Control Room'!$D$8)/2))+SQRT(1-'Control Room'!$B$9^2)*(I533-IF('Control Room'!$B$5="Normal",'Control Room'!$B$7,('Control Room'!$B$8+'Control Room'!$D$8)/2))</x:f>
        <x:v>738.4230958845661</x:v>
      </x:c>
      <x:c r="K533" s="17" t="n">
        <x:f>IF(AND($A533&gt;='Control Room'!$A$13,$A533&lt;'Control Room'!$A$13+'Control Room'!$B$13,'Process'!BL2=1),1+('Control Room'!$C$13-1)*EXP(-0.5*(($A533-'Control Room'!$A$13-('Control Room'!$B$13-1)/2)/MAX(0.5,'Control Room'!$B$13/4))^2),1)*IF(AND($A533&gt;='Control Room'!$A$14,$A533&lt;'Control Room'!$A$14+'Control Room'!$B$14,'Process'!BL3=1),1+('Control Room'!$C$14-1)*EXP(-0.5*(($A533-'Control Room'!$A$14-('Control Room'!$B$14-1)/2)/MAX(0.5,'Control Room'!$B$14/4))^2),1)*IF(AND($A533&gt;='Control Room'!$A$15,$A533&lt;'Control Room'!$A$15+'Control Room'!$B$15,'Process'!BL4=1),1+('Control Room'!$C$15-1)*EXP(-0.5*(($A533-'Control Room'!$A$15-('Control Room'!$B$15-1)/2)/MAX(0.5,'Control Room'!$B$15/4))^2),1)*IF(AND($A533&gt;='Control Room'!$A$16,$A533&lt;'Control Room'!$A$16+'Control Room'!$B$16,'Process'!BL5=1),1+('Control Room'!$C$16-1)*EXP(-0.5*(($A533-'Control Room'!$A$16-('Control Room'!$B$16-1)/2)/MAX(0.5,'Control Room'!$B$16/4))^2),1)</x:f>
        <x:v>1</x:v>
      </x:c>
      <x:c r="L533" s="9" t="n">
        <x:f>MOD(M532*16807,2147483647)</x:f>
        <x:v>1374967114</x:v>
      </x:c>
      <x:c r="M533" s="9" t="n">
        <x:f>MOD(L533*16807,2147483647)</x:f>
        <x:v>759631</x:v>
      </x:c>
      <x:c r="N533" s="17" t="n">
        <x:f>IF('Control Room'!$B$5="Normal",'Control Room'!$B$7+'Control Room'!$D$7*SQRT(-2*LN(MAX(0.000000000001,L533/2147483647)))*COS(2*PI()*M533/2147483647),'Control Room'!$B$8+('Control Room'!$D$8-'Control Room'!$B$8)*L533/2147483647)</x:f>
        <x:v>1084.9882865370691</x:v>
      </x:c>
      <x:c r="O533" s="17" t="n">
        <x:f>IF('Control Room'!$B$5="Normal",'Control Room'!$B$7,('Control Room'!$B$8+'Control Room'!$D$8)/2)+'Control Room'!$B$9*(O532-IF('Control Room'!$B$5="Normal",'Control Room'!$B$7,('Control Room'!$B$8+'Control Room'!$D$8)/2))+SQRT(1-'Control Room'!$B$9^2)*(N533-IF('Control Room'!$B$5="Normal",'Control Room'!$B$7,('Control Room'!$B$8+'Control Room'!$D$8)/2))</x:f>
        <x:v>1203.90120672239</x:v>
      </x:c>
      <x:c r="P533" s="17" t="n">
        <x:f>IF(AND($A533&gt;='Control Room'!$A$13,$A533&lt;'Control Room'!$A$13+'Control Room'!$B$13,'Process'!BM2=1),1+('Control Room'!$C$13-1)*EXP(-0.5*(($A533-'Control Room'!$A$13-('Control Room'!$B$13-1)/2)/MAX(0.5,'Control Room'!$B$13/4))^2),1)*IF(AND($A533&gt;='Control Room'!$A$14,$A533&lt;'Control Room'!$A$14+'Control Room'!$B$14,'Process'!BM3=1),1+('Control Room'!$C$14-1)*EXP(-0.5*(($A533-'Control Room'!$A$14-('Control Room'!$B$14-1)/2)/MAX(0.5,'Control Room'!$B$14/4))^2),1)*IF(AND($A533&gt;='Control Room'!$A$15,$A533&lt;'Control Room'!$A$15+'Control Room'!$B$15,'Process'!BM4=1),1+('Control Room'!$C$15-1)*EXP(-0.5*(($A533-'Control Room'!$A$15-('Control Room'!$B$15-1)/2)/MAX(0.5,'Control Room'!$B$15/4))^2),1)*IF(AND($A533&gt;='Control Room'!$A$16,$A533&lt;'Control Room'!$A$16+'Control Room'!$B$16,'Process'!BM5=1),1+('Control Room'!$C$16-1)*EXP(-0.5*(($A533-'Control Room'!$A$16-('Control Room'!$B$16-1)/2)/MAX(0.5,'Control Room'!$B$16/4))^2),1)</x:f>
        <x:v>1</x:v>
      </x:c>
      <x:c r="Q533" s="9" t="n">
        <x:f>MOD(R532*16807,2147483647)</x:f>
        <x:v>2095050801</x:v>
      </x:c>
      <x:c r="R533" s="9" t="n">
        <x:f>MOD(Q533*16807,2147483647)</x:f>
        <x:v>1376936195</x:v>
      </x:c>
      <x:c r="S533" s="17" t="n">
        <x:f>IF('Control Room'!$B$5="Normal",'Control Room'!$B$7+'Control Room'!$D$7*SQRT(-2*LN(MAX(0.000000000001,Q533/2147483647)))*COS(2*PI()*R533/2147483647),'Control Room'!$B$8+('Control Room'!$D$8-'Control Room'!$B$8)*Q533/2147483647)</x:f>
        <x:v>987.3596378309629</x:v>
      </x:c>
      <x:c r="T533" s="17" t="n">
        <x:f>IF('Control Room'!$B$5="Normal",'Control Room'!$B$7,('Control Room'!$B$8+'Control Room'!$D$8)/2)+'Control Room'!$B$9*(T532-IF('Control Room'!$B$5="Normal",'Control Room'!$B$7,('Control Room'!$B$8+'Control Room'!$D$8)/2))+SQRT(1-'Control Room'!$B$9^2)*(S533-IF('Control Room'!$B$5="Normal",'Control Room'!$B$7,('Control Room'!$B$8+'Control Room'!$D$8)/2))</x:f>
        <x:v>911.438979150043</x:v>
      </x:c>
      <x:c r="U533" s="17" t="n">
        <x:f>IF(AND($A533&gt;='Control Room'!$A$13,$A533&lt;'Control Room'!$A$13+'Control Room'!$B$13,'Process'!BN2=1),1+('Control Room'!$C$13-1)*EXP(-0.5*(($A533-'Control Room'!$A$13-('Control Room'!$B$13-1)/2)/MAX(0.5,'Control Room'!$B$13/4))^2),1)*IF(AND($A533&gt;='Control Room'!$A$14,$A533&lt;'Control Room'!$A$14+'Control Room'!$B$14,'Process'!BN3=1),1+('Control Room'!$C$14-1)*EXP(-0.5*(($A533-'Control Room'!$A$14-('Control Room'!$B$14-1)/2)/MAX(0.5,'Control Room'!$B$14/4))^2),1)*IF(AND($A533&gt;='Control Room'!$A$15,$A533&lt;'Control Room'!$A$15+'Control Room'!$B$15,'Process'!BN4=1),1+('Control Room'!$C$15-1)*EXP(-0.5*(($A533-'Control Room'!$A$15-('Control Room'!$B$15-1)/2)/MAX(0.5,'Control Room'!$B$15/4))^2),1)*IF(AND($A533&gt;='Control Room'!$A$16,$A533&lt;'Control Room'!$A$16+'Control Room'!$B$16,'Process'!BN5=1),1+('Control Room'!$C$16-1)*EXP(-0.5*(($A533-'Control Room'!$A$16-('Control Room'!$B$16-1)/2)/MAX(0.5,'Control Room'!$B$16/4))^2),1)</x:f>
        <x:v>1</x:v>
      </x:c>
      <x:c r="V533" s="9" t="n">
        <x:f>MOD(W532*16807,2147483647)</x:f>
        <x:v>667650841</x:v>
      </x:c>
      <x:c r="W533" s="9" t="n">
        <x:f>MOD(V533*16807,2147483647)</x:f>
        <x:v>605629112</x:v>
      </x:c>
      <x:c r="X533" s="17" t="n">
        <x:f>IF('Control Room'!$B$5="Normal",'Control Room'!$B$7+'Control Room'!$D$7*SQRT(-2*LN(MAX(0.000000000001,V533/2147483647)))*COS(2*PI()*W533/2147483647),'Control Room'!$B$8+('Control Room'!$D$8-'Control Room'!$B$8)*V533/2147483647)</x:f>
        <x:v>972.5100885343622</x:v>
      </x:c>
      <x:c r="Y533" s="17" t="n">
        <x:f>IF('Control Room'!$B$5="Normal",'Control Room'!$B$7,('Control Room'!$B$8+'Control Room'!$D$8)/2)+'Control Room'!$B$9*(Y532-IF('Control Room'!$B$5="Normal",'Control Room'!$B$7,('Control Room'!$B$8+'Control Room'!$D$8)/2))+SQRT(1-'Control Room'!$B$9^2)*(X533-IF('Control Room'!$B$5="Normal",'Control Room'!$B$7,('Control Room'!$B$8+'Control Room'!$D$8)/2))</x:f>
        <x:v>1055.0621237997973</x:v>
      </x:c>
      <x:c r="Z533" s="17" t="n">
        <x:f>IF(AND($A533&gt;='Control Room'!$A$13,$A533&lt;'Control Room'!$A$13+'Control Room'!$B$13,'Process'!BO2=1),1+('Control Room'!$C$13-1)*EXP(-0.5*(($A533-'Control Room'!$A$13-('Control Room'!$B$13-1)/2)/MAX(0.5,'Control Room'!$B$13/4))^2),1)*IF(AND($A533&gt;='Control Room'!$A$14,$A533&lt;'Control Room'!$A$14+'Control Room'!$B$14,'Process'!BO3=1),1+('Control Room'!$C$14-1)*EXP(-0.5*(($A533-'Control Room'!$A$14-('Control Room'!$B$14-1)/2)/MAX(0.5,'Control Room'!$B$14/4))^2),1)*IF(AND($A533&gt;='Control Room'!$A$15,$A533&lt;'Control Room'!$A$15+'Control Room'!$B$15,'Process'!BO4=1),1+('Control Room'!$C$15-1)*EXP(-0.5*(($A533-'Control Room'!$A$15-('Control Room'!$B$15-1)/2)/MAX(0.5,'Control Room'!$B$15/4))^2),1)*IF(AND($A533&gt;='Control Room'!$A$16,$A533&lt;'Control Room'!$A$16+'Control Room'!$B$16,'Process'!BO5=1),1+('Control Room'!$C$16-1)*EXP(-0.5*(($A533-'Control Room'!$A$16-('Control Room'!$B$16-1)/2)/MAX(0.5,'Control Room'!$B$16/4))^2),1)</x:f>
        <x:v>1</x:v>
      </x:c>
      <x:c r="AA533" s="9" t="n">
        <x:f>MOD(AB532*16807,2147483647)</x:f>
        <x:v>1387734528</x:v>
      </x:c>
      <x:c r="AB533" s="9" t="n">
        <x:f>MOD(AA533*16807,2147483647)</x:f>
        <x:v>1981805676</x:v>
      </x:c>
      <x:c r="AC533" s="17" t="n">
        <x:f>IF('Control Room'!$B$5="Normal",'Control Room'!$B$7+'Control Room'!$D$7*SQRT(-2*LN(MAX(0.000000000001,AA533/2147483647)))*COS(2*PI()*AB533/2147483647),'Control Room'!$B$8+('Control Room'!$D$8-'Control Room'!$B$8)*AA533/2147483647)</x:f>
        <x:v>1074.4137352556766</x:v>
      </x:c>
      <x:c r="AD533" s="17" t="n">
        <x:f>IF('Control Room'!$B$5="Normal",'Control Room'!$B$7,('Control Room'!$B$8+'Control Room'!$D$8)/2)+'Control Room'!$B$9*(AD532-IF('Control Room'!$B$5="Normal",'Control Room'!$B$7,('Control Room'!$B$8+'Control Room'!$D$8)/2))+SQRT(1-'Control Room'!$B$9^2)*(AC533-IF('Control Room'!$B$5="Normal",'Control Room'!$B$7,('Control Room'!$B$8+'Control Room'!$D$8)/2))</x:f>
        <x:v>1068.3692372149949</x:v>
      </x:c>
      <x:c r="AE533" s="17" t="n">
        <x:f>IF(AND($A533&gt;='Control Room'!$A$13,$A533&lt;'Control Room'!$A$13+'Control Room'!$B$13,'Process'!BP2=1),1+('Control Room'!$C$13-1)*EXP(-0.5*(($A533-'Control Room'!$A$13-('Control Room'!$B$13-1)/2)/MAX(0.5,'Control Room'!$B$13/4))^2),1)*IF(AND($A533&gt;='Control Room'!$A$14,$A533&lt;'Control Room'!$A$14+'Control Room'!$B$14,'Process'!BP3=1),1+('Control Room'!$C$14-1)*EXP(-0.5*(($A533-'Control Room'!$A$14-('Control Room'!$B$14-1)/2)/MAX(0.5,'Control Room'!$B$14/4))^2),1)*IF(AND($A533&gt;='Control Room'!$A$15,$A533&lt;'Control Room'!$A$15+'Control Room'!$B$15,'Process'!BP4=1),1+('Control Room'!$C$15-1)*EXP(-0.5*(($A533-'Control Room'!$A$15-('Control Room'!$B$15-1)/2)/MAX(0.5,'Control Room'!$B$15/4))^2),1)*IF(AND($A533&gt;='Control Room'!$A$16,$A533&lt;'Control Room'!$A$16+'Control Room'!$B$16,'Process'!BP5=1),1+('Control Room'!$C$16-1)*EXP(-0.5*(($A533-'Control Room'!$A$16-('Control Room'!$B$16-1)/2)/MAX(0.5,'Control Room'!$B$16/4))^2),1)</x:f>
        <x:v>1</x:v>
      </x:c>
      <x:c r="AF533" s="9" t="n">
        <x:f>MOD(AG532*16807,2147483647)</x:f>
        <x:v>2107818215</x:v>
      </x:c>
      <x:c r="AG533" s="9" t="n">
        <x:f>MOD(AF533*16807,2147483647)</x:f>
        <x:v>1210498593</x:v>
      </x:c>
      <x:c r="AH533" s="17" t="n">
        <x:f>IF('Control Room'!$B$5="Normal",'Control Room'!$B$7+'Control Room'!$D$7*SQRT(-2*LN(MAX(0.000000000001,AF533/2147483647)))*COS(2*PI()*AG533/2147483647),'Control Room'!$B$8+('Control Room'!$D$8-'Control Room'!$B$8)*AF533/2147483647)</x:f>
        <x:v>983.9939339800753</x:v>
      </x:c>
      <x:c r="AI533" s="17" t="n">
        <x:f>IF('Control Room'!$B$5="Normal",'Control Room'!$B$7,('Control Room'!$B$8+'Control Room'!$D$8)/2)+'Control Room'!$B$9*(AI532-IF('Control Room'!$B$5="Normal",'Control Room'!$B$7,('Control Room'!$B$8+'Control Room'!$D$8)/2))+SQRT(1-'Control Room'!$B$9^2)*(AH533-IF('Control Room'!$B$5="Normal",'Control Room'!$B$7,('Control Room'!$B$8+'Control Room'!$D$8)/2))</x:f>
        <x:v>932.8065222049088</x:v>
      </x:c>
      <x:c r="AJ533" s="17" t="n">
        <x:f>IF(AND($A533&gt;='Control Room'!$A$13,$A533&lt;'Control Room'!$A$13+'Control Room'!$B$13,'Process'!BQ2=1),1+('Control Room'!$C$13-1)*EXP(-0.5*(($A533-'Control Room'!$A$13-('Control Room'!$B$13-1)/2)/MAX(0.5,'Control Room'!$B$13/4))^2),1)*IF(AND($A533&gt;='Control Room'!$A$14,$A533&lt;'Control Room'!$A$14+'Control Room'!$B$14,'Process'!BQ3=1),1+('Control Room'!$C$14-1)*EXP(-0.5*(($A533-'Control Room'!$A$14-('Control Room'!$B$14-1)/2)/MAX(0.5,'Control Room'!$B$14/4))^2),1)*IF(AND($A533&gt;='Control Room'!$A$15,$A533&lt;'Control Room'!$A$15+'Control Room'!$B$15,'Process'!BQ4=1),1+('Control Room'!$C$15-1)*EXP(-0.5*(($A533-'Control Room'!$A$15-('Control Room'!$B$15-1)/2)/MAX(0.5,'Control Room'!$B$15/4))^2),1)*IF(AND($A533&gt;='Control Room'!$A$16,$A533&lt;'Control Room'!$A$16+'Control Room'!$B$16,'Process'!BQ5=1),1+('Control Room'!$C$16-1)*EXP(-0.5*(($A533-'Control Room'!$A$16-('Control Room'!$B$16-1)/2)/MAX(0.5,'Control Room'!$B$16/4))^2),1)</x:f>
        <x:v>1</x:v>
      </x:c>
      <x:c r="AK533" s="9" t="n">
        <x:f>MOD(AL532*16807,2147483647)</x:f>
        <x:v>680418255</x:v>
      </x:c>
      <x:c r="AL533" s="9" t="n">
        <x:f>MOD(AK533*16807,2147483647)</x:f>
        <x:v>439191510</x:v>
      </x:c>
      <x:c r="AM533" s="17" t="n">
        <x:f>IF('Control Room'!$B$5="Normal",'Control Room'!$B$7+'Control Room'!$D$7*SQRT(-2*LN(MAX(0.000000000001,AK533/2147483647)))*COS(2*PI()*AL533/2147483647),'Control Room'!$B$8+('Control Room'!$D$8-'Control Room'!$B$8)*AK533/2147483647)</x:f>
        <x:v>1038.4686849814</x:v>
      </x:c>
      <x:c r="AN533" s="17" t="n">
        <x:f>IF('Control Room'!$B$5="Normal",'Control Room'!$B$7,('Control Room'!$B$8+'Control Room'!$D$8)/2)+'Control Room'!$B$9*(AN532-IF('Control Room'!$B$5="Normal",'Control Room'!$B$7,('Control Room'!$B$8+'Control Room'!$D$8)/2))+SQRT(1-'Control Room'!$B$9^2)*(AM533-IF('Control Room'!$B$5="Normal",'Control Room'!$B$7,('Control Room'!$B$8+'Control Room'!$D$8)/2))</x:f>
        <x:v>1092.2977086678627</x:v>
      </x:c>
      <x:c r="AO533" s="17" t="n">
        <x:f>IF(AND($A533&gt;='Control Room'!$A$13,$A533&lt;'Control Room'!$A$13+'Control Room'!$B$13,'Process'!BR2=1),1+('Control Room'!$C$13-1)*EXP(-0.5*(($A533-'Control Room'!$A$13-('Control Room'!$B$13-1)/2)/MAX(0.5,'Control Room'!$B$13/4))^2),1)*IF(AND($A533&gt;='Control Room'!$A$14,$A533&lt;'Control Room'!$A$14+'Control Room'!$B$14,'Process'!BR3=1),1+('Control Room'!$C$14-1)*EXP(-0.5*(($A533-'Control Room'!$A$14-('Control Room'!$B$14-1)/2)/MAX(0.5,'Control Room'!$B$14/4))^2),1)*IF(AND($A533&gt;='Control Room'!$A$15,$A533&lt;'Control Room'!$A$15+'Control Room'!$B$15,'Process'!BR4=1),1+('Control Room'!$C$15-1)*EXP(-0.5*(($A533-'Control Room'!$A$15-('Control Room'!$B$15-1)/2)/MAX(0.5,'Control Room'!$B$15/4))^2),1)*IF(AND($A533&gt;='Control Room'!$A$16,$A533&lt;'Control Room'!$A$16+'Control Room'!$B$16,'Process'!BR5=1),1+('Control Room'!$C$16-1)*EXP(-0.5*(($A533-'Control Room'!$A$16-('Control Room'!$B$16-1)/2)/MAX(0.5,'Control Room'!$B$16/4))^2),1)</x:f>
        <x:v>1</x:v>
      </x:c>
      <x:c r="AP533" s="9" t="n">
        <x:f>MOD(AQ532*16807,2147483647)</x:f>
        <x:v>1400501942</x:v>
      </x:c>
      <x:c r="AQ533" s="9" t="n">
        <x:f>MOD(AP533*16807,2147483647)</x:f>
        <x:v>1815368074</x:v>
      </x:c>
      <x:c r="AR533" s="17" t="n">
        <x:f>IF('Control Room'!$B$5="Normal",'Control Room'!$B$7+'Control Room'!$D$7*SQRT(-2*LN(MAX(0.000000000001,AP533/2147483647)))*COS(2*PI()*AQ533/2147483647),'Control Room'!$B$8+('Control Room'!$D$8-'Control Room'!$B$8)*AP533/2147483647)</x:f>
        <x:v>1046.9242818572066</x:v>
      </x:c>
      <x:c r="AS533" s="17" t="n">
        <x:f>IF('Control Room'!$B$5="Normal",'Control Room'!$B$7,('Control Room'!$B$8+'Control Room'!$D$8)/2)+'Control Room'!$B$9*(AS532-IF('Control Room'!$B$5="Normal",'Control Room'!$B$7,('Control Room'!$B$8+'Control Room'!$D$8)/2))+SQRT(1-'Control Room'!$B$9^2)*(AR533-IF('Control Room'!$B$5="Normal",'Control Room'!$B$7,('Control Room'!$B$8+'Control Room'!$D$8)/2))</x:f>
        <x:v>1026.413932940212</x:v>
      </x:c>
      <x:c r="AT533" s="17" t="n">
        <x:f>IF(AND($A533&gt;='Control Room'!$A$13,$A533&lt;'Control Room'!$A$13+'Control Room'!$B$13,'Process'!BS2=1),1+('Control Room'!$C$13-1)*EXP(-0.5*(($A533-'Control Room'!$A$13-('Control Room'!$B$13-1)/2)/MAX(0.5,'Control Room'!$B$13/4))^2),1)*IF(AND($A533&gt;='Control Room'!$A$14,$A533&lt;'Control Room'!$A$14+'Control Room'!$B$14,'Process'!BS3=1),1+('Control Room'!$C$14-1)*EXP(-0.5*(($A533-'Control Room'!$A$14-('Control Room'!$B$14-1)/2)/MAX(0.5,'Control Room'!$B$14/4))^2),1)*IF(AND($A533&gt;='Control Room'!$A$15,$A533&lt;'Control Room'!$A$15+'Control Room'!$B$15,'Process'!BS4=1),1+('Control Room'!$C$15-1)*EXP(-0.5*(($A533-'Control Room'!$A$15-('Control Room'!$B$15-1)/2)/MAX(0.5,'Control Room'!$B$15/4))^2),1)*IF(AND($A533&gt;='Control Room'!$A$16,$A533&lt;'Control Room'!$A$16+'Control Room'!$B$16,'Process'!BS5=1),1+('Control Room'!$C$16-1)*EXP(-0.5*(($A533-'Control Room'!$A$16-('Control Room'!$B$16-1)/2)/MAX(0.5,'Control Room'!$B$16/4))^2),1)</x:f>
        <x:v>1</x:v>
      </x:c>
      <x:c r="AU533" s="9" t="n">
        <x:f>MOD(AV532*16807,2147483647)</x:f>
        <x:v>2120585629</x:v>
      </x:c>
      <x:c r="AV533" s="9" t="n">
        <x:f>MOD(AU533*16807,2147483647)</x:f>
        <x:v>1044060991</x:v>
      </x:c>
      <x:c r="AW533" s="17" t="n">
        <x:f>IF('Control Room'!$B$5="Normal",'Control Room'!$B$7+'Control Room'!$D$7*SQRT(-2*LN(MAX(0.000000000001,AU533/2147483647)))*COS(2*PI()*AV533/2147483647),'Control Room'!$B$8+('Control Room'!$D$8-'Control Room'!$B$8)*AU533/2147483647)</x:f>
        <x:v>985.7642572105553</x:v>
      </x:c>
      <x:c r="AX533" s="17" t="n">
        <x:f>IF('Control Room'!$B$5="Normal",'Control Room'!$B$7,('Control Room'!$B$8+'Control Room'!$D$8)/2)+'Control Room'!$B$9*(AX532-IF('Control Room'!$B$5="Normal",'Control Room'!$B$7,('Control Room'!$B$8+'Control Room'!$D$8)/2))+SQRT(1-'Control Room'!$B$9^2)*(AW533-IF('Control Room'!$B$5="Normal",'Control Room'!$B$7,('Control Room'!$B$8+'Control Room'!$D$8)/2))</x:f>
        <x:v>1010.1405424987186</x:v>
      </x:c>
      <x:c r="AY533" s="17" t="n">
        <x:f>IF(AND($A533&gt;='Control Room'!$A$13,$A533&lt;'Control Room'!$A$13+'Control Room'!$B$13,'Process'!BT2=1),1+('Control Room'!$C$13-1)*EXP(-0.5*(($A533-'Control Room'!$A$13-('Control Room'!$B$13-1)/2)/MAX(0.5,'Control Room'!$B$13/4))^2),1)*IF(AND($A533&gt;='Control Room'!$A$14,$A533&lt;'Control Room'!$A$14+'Control Room'!$B$14,'Process'!BT3=1),1+('Control Room'!$C$14-1)*EXP(-0.5*(($A533-'Control Room'!$A$14-('Control Room'!$B$14-1)/2)/MAX(0.5,'Control Room'!$B$14/4))^2),1)*IF(AND($A533&gt;='Control Room'!$A$15,$A533&lt;'Control Room'!$A$15+'Control Room'!$B$15,'Process'!BT4=1),1+('Control Room'!$C$15-1)*EXP(-0.5*(($A533-'Control Room'!$A$15-('Control Room'!$B$15-1)/2)/MAX(0.5,'Control Room'!$B$15/4))^2),1)*IF(AND($A533&gt;='Control Room'!$A$16,$A533&lt;'Control Room'!$A$16+'Control Room'!$B$16,'Process'!BT5=1),1+('Control Room'!$C$16-1)*EXP(-0.5*(($A533-'Control Room'!$A$16-('Control Room'!$B$16-1)/2)/MAX(0.5,'Control Room'!$B$16/4))^2),1)</x:f>
        <x:v>1</x:v>
      </x:c>
      <x:c r="AZ533" s="9" t="n">
        <x:f>MOD(BA532*16807,2147483647)</x:f>
        <x:v>693185669</x:v>
      </x:c>
      <x:c r="BA533" s="9" t="n">
        <x:f>MOD(AZ533*16807,2147483647)</x:f>
        <x:v>272753908</x:v>
      </x:c>
      <x:c r="BB533" s="17" t="n">
        <x:f>IF('Control Room'!$B$5="Normal",'Control Room'!$B$7+'Control Room'!$D$7*SQRT(-2*LN(MAX(0.000000000001,AZ533/2147483647)))*COS(2*PI()*BA533/2147483647),'Control Room'!$B$8+('Control Room'!$D$8-'Control Room'!$B$8)*AZ533/2147483647)</x:f>
        <x:v>1094.48640687946</x:v>
      </x:c>
      <x:c r="BC533" s="17" t="n">
        <x:f>IF('Control Room'!$B$5="Normal",'Control Room'!$B$7,('Control Room'!$B$8+'Control Room'!$D$8)/2)+'Control Room'!$B$9*(BC532-IF('Control Room'!$B$5="Normal",'Control Room'!$B$7,('Control Room'!$B$8+'Control Room'!$D$8)/2))+SQRT(1-'Control Room'!$B$9^2)*(BB533-IF('Control Room'!$B$5="Normal",'Control Room'!$B$7,('Control Room'!$B$8+'Control Room'!$D$8)/2))</x:f>
        <x:v>1103.821138231674</x:v>
      </x:c>
      <x:c r="BD533" s="17" t="n">
        <x:f>IF(AND($A533&gt;='Control Room'!$A$13,$A533&lt;'Control Room'!$A$13+'Control Room'!$B$13,'Process'!BU2=1),1+('Control Room'!$C$13-1)*EXP(-0.5*(($A533-'Control Room'!$A$13-('Control Room'!$B$13-1)/2)/MAX(0.5,'Control Room'!$B$13/4))^2),1)*IF(AND($A533&gt;='Control Room'!$A$14,$A533&lt;'Control Room'!$A$14+'Control Room'!$B$14,'Process'!BU3=1),1+('Control Room'!$C$14-1)*EXP(-0.5*(($A533-'Control Room'!$A$14-('Control Room'!$B$14-1)/2)/MAX(0.5,'Control Room'!$B$14/4))^2),1)*IF(AND($A533&gt;='Control Room'!$A$15,$A533&lt;'Control Room'!$A$15+'Control Room'!$B$15,'Process'!BU4=1),1+('Control Room'!$C$15-1)*EXP(-0.5*(($A533-'Control Room'!$A$15-('Control Room'!$B$15-1)/2)/MAX(0.5,'Control Room'!$B$15/4))^2),1)*IF(AND($A533&gt;='Control Room'!$A$16,$A533&lt;'Control Room'!$A$16+'Control Room'!$B$16,'Process'!BU5=1),1+('Control Room'!$C$16-1)*EXP(-0.5*(($A533-'Control Room'!$A$16-('Control Room'!$B$16-1)/2)/MAX(0.5,'Control Room'!$B$16/4))^2),1)</x:f>
        <x:v>1</x:v>
      </x:c>
      <x:c r="BE533" s="9" t="n">
        <x:f>MOD(BF532*16807,2147483647)</x:f>
        <x:v>1413269356</x:v>
      </x:c>
      <x:c r="BF533" s="9" t="n">
        <x:f>MOD(BE533*16807,2147483647)</x:f>
        <x:v>1648930472</x:v>
      </x:c>
      <x:c r="BG533" s="17" t="n">
        <x:f>IF('Control Room'!$B$5="Normal",'Control Room'!$B$7+'Control Room'!$D$7*SQRT(-2*LN(MAX(0.000000000001,BE533/2147483647)))*COS(2*PI()*BF533/2147483647),'Control Room'!$B$8+('Control Room'!$D$8-'Control Room'!$B$8)*BE533/2147483647)</x:f>
        <x:v>1009.2106100785754</x:v>
      </x:c>
      <x:c r="BH533" s="17" t="n">
        <x:f>IF('Control Room'!$B$5="Normal",'Control Room'!$B$7,('Control Room'!$B$8+'Control Room'!$D$8)/2)+'Control Room'!$B$9*(BH532-IF('Control Room'!$B$5="Normal",'Control Room'!$B$7,('Control Room'!$B$8+'Control Room'!$D$8)/2))+SQRT(1-'Control Room'!$B$9^2)*(BG533-IF('Control Room'!$B$5="Normal",'Control Room'!$B$7,('Control Room'!$B$8+'Control Room'!$D$8)/2))</x:f>
        <x:v>994.6110718502041</x:v>
      </x:c>
      <x:c r="BI533" s="17" t="n">
        <x:f>IF(AND($A533&gt;='Control Room'!$A$13,$A533&lt;'Control Room'!$A$13+'Control Room'!$B$13,'Process'!BV2=1),1+('Control Room'!$C$13-1)*EXP(-0.5*(($A533-'Control Room'!$A$13-('Control Room'!$B$13-1)/2)/MAX(0.5,'Control Room'!$B$13/4))^2),1)*IF(AND($A533&gt;='Control Room'!$A$14,$A533&lt;'Control Room'!$A$14+'Control Room'!$B$14,'Process'!BV3=1),1+('Control Room'!$C$14-1)*EXP(-0.5*(($A533-'Control Room'!$A$14-('Control Room'!$B$14-1)/2)/MAX(0.5,'Control Room'!$B$14/4))^2),1)*IF(AND($A533&gt;='Control Room'!$A$15,$A533&lt;'Control Room'!$A$15+'Control Room'!$B$15,'Process'!BV4=1),1+('Control Room'!$C$15-1)*EXP(-0.5*(($A533-'Control Room'!$A$15-('Control Room'!$B$15-1)/2)/MAX(0.5,'Control Room'!$B$15/4))^2),1)*IF(AND($A533&gt;='Control Room'!$A$16,$A533&lt;'Control Room'!$A$16+'Control Room'!$B$16,'Process'!BV5=1),1+('Control Room'!$C$16-1)*EXP(-0.5*(($A533-'Control Room'!$A$16-('Control Room'!$B$16-1)/2)/MAX(0.5,'Control Room'!$B$16/4))^2),1)</x:f>
        <x:v>1</x:v>
      </x:c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Z533" t="str">
        <x:f>IF('Data'!A533="","",TEXT('Data'!A533,"mm-dd"))</x:f>
      </x:c>
    </x:row>
    <x:row r="534" ht="21" customHeight="1">
      <x:c r="A534" s="15" t="n">
        <x:f>'Control Room'!$B$1+532</x:f>
        <x:v>73523</x:v>
      </x:c>
      <x:c r="B534" s="9" t="n">
        <x:f>MOD(C533*16807,2147483647)</x:f>
        <x:v>28434066</x:v>
      </x:c>
      <x:c r="C534" s="9" t="n">
        <x:f>MOD(B534*16807,2147483647)</x:f>
        <x:v>1149977628</x:v>
      </x:c>
      <x:c r="D534" s="17" t="n">
        <x:f>IF('Control Room'!$B$5="Normal",'Control Room'!$B$7+'Control Room'!$D$7*SQRT(-2*LN(MAX(0.000000000001,B534/2147483647)))*COS(2*PI()*C534/2147483647),'Control Room'!$B$8+('Control Room'!$D$8-'Control Room'!$B$8)*B534/2147483647)</x:f>
        <x:v>741.8755352329755</x:v>
      </x:c>
      <x:c r="E534" s="17" t="n">
        <x:f>IF('Control Room'!$B$5="Normal",'Control Room'!$B$7,('Control Room'!$B$8+'Control Room'!$D$8)/2)+'Control Room'!$B$9*(E533-IF('Control Room'!$B$5="Normal",'Control Room'!$B$7,('Control Room'!$B$8+'Control Room'!$D$8)/2))+SQRT(1-'Control Room'!$B$9^2)*(D534-IF('Control Room'!$B$5="Normal",'Control Room'!$B$7,('Control Room'!$B$8+'Control Room'!$D$8)/2))</x:f>
        <x:v>851.5155707287475</x:v>
      </x:c>
      <x:c r="F534" s="17" t="n">
        <x:f>IF(AND($A534&gt;='Control Room'!$A$13,$A534&lt;'Control Room'!$A$13+'Control Room'!$B$13,'Process'!BK2=1),1+('Control Room'!$C$13-1)*EXP(-0.5*(($A534-'Control Room'!$A$13-('Control Room'!$B$13-1)/2)/MAX(0.5,'Control Room'!$B$13/4))^2),1)*IF(AND($A534&gt;='Control Room'!$A$14,$A534&lt;'Control Room'!$A$14+'Control Room'!$B$14,'Process'!BK3=1),1+('Control Room'!$C$14-1)*EXP(-0.5*(($A534-'Control Room'!$A$14-('Control Room'!$B$14-1)/2)/MAX(0.5,'Control Room'!$B$14/4))^2),1)*IF(AND($A534&gt;='Control Room'!$A$15,$A534&lt;'Control Room'!$A$15+'Control Room'!$B$15,'Process'!BK4=1),1+('Control Room'!$C$15-1)*EXP(-0.5*(($A534-'Control Room'!$A$15-('Control Room'!$B$15-1)/2)/MAX(0.5,'Control Room'!$B$15/4))^2),1)*IF(AND($A534&gt;='Control Room'!$A$16,$A534&lt;'Control Room'!$A$16+'Control Room'!$B$16,'Process'!BK5=1),1+('Control Room'!$C$16-1)*EXP(-0.5*(($A534-'Control Room'!$A$16-('Control Room'!$B$16-1)/2)/MAX(0.5,'Control Room'!$B$16/4))^2),1)</x:f>
        <x:v>1</x:v>
      </x:c>
      <x:c r="G534" s="9" t="n">
        <x:f>MOD(H533*16807,2147483647)</x:f>
        <x:v>1029067024</x:v>
      </x:c>
      <x:c r="H534" s="9" t="n">
        <x:f>MOD(G534*16807,2147483647)</x:f>
        <x:v>1843663077</x:v>
      </x:c>
      <x:c r="I534" s="17" t="n">
        <x:f>IF('Control Room'!$B$5="Normal",'Control Room'!$B$7+'Control Room'!$D$7*SQRT(-2*LN(MAX(0.000000000001,G534/2147483647)))*COS(2*PI()*H534/2147483647),'Control Room'!$B$8+('Control Room'!$D$8-'Control Room'!$B$8)*G534/2147483647)</x:f>
        <x:v>1068.8018238720404</x:v>
      </x:c>
      <x:c r="J534" s="17" t="n">
        <x:f>IF('Control Room'!$B$5="Normal",'Control Room'!$B$7,('Control Room'!$B$8+'Control Room'!$D$8)/2)+'Control Room'!$B$9*(J533-IF('Control Room'!$B$5="Normal",'Control Room'!$B$7,('Control Room'!$B$8+'Control Room'!$D$8)/2))+SQRT(1-'Control Room'!$B$9^2)*(I534-IF('Control Room'!$B$5="Normal",'Control Room'!$B$7,('Control Room'!$B$8+'Control Room'!$D$8)/2))</x:f>
        <x:v>839.0247866871102</x:v>
      </x:c>
      <x:c r="K534" s="17" t="n">
        <x:f>IF(AND($A534&gt;='Control Room'!$A$13,$A534&lt;'Control Room'!$A$13+'Control Room'!$B$13,'Process'!BL2=1),1+('Control Room'!$C$13-1)*EXP(-0.5*(($A534-'Control Room'!$A$13-('Control Room'!$B$13-1)/2)/MAX(0.5,'Control Room'!$B$13/4))^2),1)*IF(AND($A534&gt;='Control Room'!$A$14,$A534&lt;'Control Room'!$A$14+'Control Room'!$B$14,'Process'!BL3=1),1+('Control Room'!$C$14-1)*EXP(-0.5*(($A534-'Control Room'!$A$14-('Control Room'!$B$14-1)/2)/MAX(0.5,'Control Room'!$B$14/4))^2),1)*IF(AND($A534&gt;='Control Room'!$A$15,$A534&lt;'Control Room'!$A$15+'Control Room'!$B$15,'Process'!BL4=1),1+('Control Room'!$C$15-1)*EXP(-0.5*(($A534-'Control Room'!$A$15-('Control Room'!$B$15-1)/2)/MAX(0.5,'Control Room'!$B$15/4))^2),1)*IF(AND($A534&gt;='Control Room'!$A$16,$A534&lt;'Control Room'!$A$16+'Control Room'!$B$16,'Process'!BL5=1),1+('Control Room'!$C$16-1)*EXP(-0.5*(($A534-'Control Room'!$A$16-('Control Room'!$B$16-1)/2)/MAX(0.5,'Control Room'!$B$16/4))^2),1)</x:f>
        <x:v>1</x:v>
      </x:c>
      <x:c r="L534" s="9" t="n">
        <x:f>MOD(M533*16807,2147483647)</x:f>
        <x:v>2029699982</x:v>
      </x:c>
      <x:c r="M534" s="9" t="n">
        <x:f>MOD(L534*16807,2147483647)</x:f>
        <x:v>389864879</x:v>
      </x:c>
      <x:c r="N534" s="17" t="n">
        <x:f>IF('Control Room'!$B$5="Normal",'Control Room'!$B$7+'Control Room'!$D$7*SQRT(-2*LN(MAX(0.000000000001,L534/2147483647)))*COS(2*PI()*M534/2147483647),'Control Room'!$B$8+('Control Room'!$D$8-'Control Room'!$B$8)*L534/2147483647)</x:f>
        <x:v>1012.6049672016077</x:v>
      </x:c>
      <x:c r="O534" s="17" t="n">
        <x:f>IF('Control Room'!$B$5="Normal",'Control Room'!$B$7,('Control Room'!$B$8+'Control Room'!$D$8)/2)+'Control Room'!$B$9*(O533-IF('Control Room'!$B$5="Normal",'Control Room'!$B$7,('Control Room'!$B$8+'Control Room'!$D$8)/2))+SQRT(1-'Control Room'!$B$9^2)*(N534-IF('Control Room'!$B$5="Normal",'Control Room'!$B$7,('Control Room'!$B$8+'Control Room'!$D$8)/2))</x:f>
        <x:v>1166.9308714914412</x:v>
      </x:c>
      <x:c r="P534" s="17" t="n">
        <x:f>IF(AND($A534&gt;='Control Room'!$A$13,$A534&lt;'Control Room'!$A$13+'Control Room'!$B$13,'Process'!BM2=1),1+('Control Room'!$C$13-1)*EXP(-0.5*(($A534-'Control Room'!$A$13-('Control Room'!$B$13-1)/2)/MAX(0.5,'Control Room'!$B$13/4))^2),1)*IF(AND($A534&gt;='Control Room'!$A$14,$A534&lt;'Control Room'!$A$14+'Control Room'!$B$14,'Process'!BM3=1),1+('Control Room'!$C$14-1)*EXP(-0.5*(($A534-'Control Room'!$A$14-('Control Room'!$B$14-1)/2)/MAX(0.5,'Control Room'!$B$14/4))^2),1)*IF(AND($A534&gt;='Control Room'!$A$15,$A534&lt;'Control Room'!$A$15+'Control Room'!$B$15,'Process'!BM4=1),1+('Control Room'!$C$15-1)*EXP(-0.5*(($A534-'Control Room'!$A$15-('Control Room'!$B$15-1)/2)/MAX(0.5,'Control Room'!$B$15/4))^2),1)*IF(AND($A534&gt;='Control Room'!$A$16,$A534&lt;'Control Room'!$A$16+'Control Room'!$B$16,'Process'!BM5=1),1+('Control Room'!$C$16-1)*EXP(-0.5*(($A534-'Control Room'!$A$16-('Control Room'!$B$16-1)/2)/MAX(0.5,'Control Room'!$B$16/4))^2),1)</x:f>
        <x:v>1</x:v>
      </x:c>
      <x:c r="Q534" s="9" t="n">
        <x:f>MOD(R533*16807,2147483647)</x:f>
        <x:v>882849293</x:v>
      </x:c>
      <x:c r="R534" s="9" t="n">
        <x:f>MOD(Q534*16807,2147483647)</x:f>
        <x:v>1083550328</x:v>
      </x:c>
      <x:c r="S534" s="17" t="n">
        <x:f>IF('Control Room'!$B$5="Normal",'Control Room'!$B$7+'Control Room'!$D$7*SQRT(-2*LN(MAX(0.000000000001,Q534/2147483647)))*COS(2*PI()*R534/2147483647),'Control Room'!$B$8+('Control Room'!$D$8-'Control Room'!$B$8)*Q534/2147483647)</x:f>
        <x:v>880.048828420938</x:v>
      </x:c>
      <x:c r="T534" s="17" t="n">
        <x:f>IF('Control Room'!$B$5="Normal",'Control Room'!$B$7,('Control Room'!$B$8+'Control Room'!$D$8)/2)+'Control Room'!$B$9*(T533-IF('Control Room'!$B$5="Normal",'Control Room'!$B$7,('Control Room'!$B$8+'Control Room'!$D$8)/2))+SQRT(1-'Control Room'!$B$9^2)*(S534-IF('Control Room'!$B$5="Normal",'Control Room'!$B$7,('Control Room'!$B$8+'Control Room'!$D$8)/2))</x:f>
        <x:v>855.8594178961743</x:v>
      </x:c>
      <x:c r="U534" s="17" t="n">
        <x:f>IF(AND($A534&gt;='Control Room'!$A$13,$A534&lt;'Control Room'!$A$13+'Control Room'!$B$13,'Process'!BN2=1),1+('Control Room'!$C$13-1)*EXP(-0.5*(($A534-'Control Room'!$A$13-('Control Room'!$B$13-1)/2)/MAX(0.5,'Control Room'!$B$13/4))^2),1)*IF(AND($A534&gt;='Control Room'!$A$14,$A534&lt;'Control Room'!$A$14+'Control Room'!$B$14,'Process'!BN3=1),1+('Control Room'!$C$14-1)*EXP(-0.5*(($A534-'Control Room'!$A$14-('Control Room'!$B$14-1)/2)/MAX(0.5,'Control Room'!$B$14/4))^2),1)*IF(AND($A534&gt;='Control Room'!$A$15,$A534&lt;'Control Room'!$A$15+'Control Room'!$B$15,'Process'!BN4=1),1+('Control Room'!$C$15-1)*EXP(-0.5*(($A534-'Control Room'!$A$15-('Control Room'!$B$15-1)/2)/MAX(0.5,'Control Room'!$B$15/4))^2),1)*IF(AND($A534&gt;='Control Room'!$A$16,$A534&lt;'Control Room'!$A$16+'Control Room'!$B$16,'Process'!BN5=1),1+('Control Room'!$C$16-1)*EXP(-0.5*(($A534-'Control Room'!$A$16-('Control Room'!$B$16-1)/2)/MAX(0.5,'Control Room'!$B$16/4))^2),1)</x:f>
        <x:v>1</x:v>
      </x:c>
      <x:c r="V534" s="9" t="n">
        <x:f>MOD(W533*16807,2147483647)</x:f>
        <x:v>1883482251</x:v>
      </x:c>
      <x:c r="W534" s="9" t="n">
        <x:f>MOD(V534*16807,2147483647)</x:f>
        <x:v>1777235777</x:v>
      </x:c>
      <x:c r="X534" s="17" t="n">
        <x:f>IF('Control Room'!$B$5="Normal",'Control Room'!$B$7+'Control Room'!$D$7*SQRT(-2*LN(MAX(0.000000000001,V534/2147483647)))*COS(2*PI()*W534/2147483647),'Control Room'!$B$8+('Control Room'!$D$8-'Control Room'!$B$8)*V534/2147483647)</x:f>
        <x:v>1021.593638662373</x:v>
      </x:c>
      <x:c r="Y534" s="17" t="n">
        <x:f>IF('Control Room'!$B$5="Normal",'Control Room'!$B$7,('Control Room'!$B$8+'Control Room'!$D$8)/2)+'Control Room'!$B$9*(Y533-IF('Control Room'!$B$5="Normal",'Control Room'!$B$7,('Control Room'!$B$8+'Control Room'!$D$8)/2))+SQRT(1-'Control Room'!$B$9^2)*(X534-IF('Control Room'!$B$5="Normal",'Control Room'!$B$7,('Control Room'!$B$8+'Control Room'!$D$8)/2))</x:f>
        <x:v>1056.461313269022</x:v>
      </x:c>
      <x:c r="Z534" s="17" t="n">
        <x:f>IF(AND($A534&gt;='Control Room'!$A$13,$A534&lt;'Control Room'!$A$13+'Control Room'!$B$13,'Process'!BO2=1),1+('Control Room'!$C$13-1)*EXP(-0.5*(($A534-'Control Room'!$A$13-('Control Room'!$B$13-1)/2)/MAX(0.5,'Control Room'!$B$13/4))^2),1)*IF(AND($A534&gt;='Control Room'!$A$14,$A534&lt;'Control Room'!$A$14+'Control Room'!$B$14,'Process'!BO3=1),1+('Control Room'!$C$14-1)*EXP(-0.5*(($A534-'Control Room'!$A$14-('Control Room'!$B$14-1)/2)/MAX(0.5,'Control Room'!$B$14/4))^2),1)*IF(AND($A534&gt;='Control Room'!$A$15,$A534&lt;'Control Room'!$A$15+'Control Room'!$B$15,'Process'!BO4=1),1+('Control Room'!$C$15-1)*EXP(-0.5*(($A534-'Control Room'!$A$15-('Control Room'!$B$15-1)/2)/MAX(0.5,'Control Room'!$B$15/4))^2),1)*IF(AND($A534&gt;='Control Room'!$A$16,$A534&lt;'Control Room'!$A$16+'Control Room'!$B$16,'Process'!BO5=1),1+('Control Room'!$C$16-1)*EXP(-0.5*(($A534-'Control Room'!$A$16-('Control Room'!$B$16-1)/2)/MAX(0.5,'Control Room'!$B$16/4))^2),1)</x:f>
        <x:v>1</x:v>
      </x:c>
      <x:c r="AA534" s="9" t="n">
        <x:f>MOD(AB533*16807,2147483647)</x:f>
        <x:v>736631562</x:v>
      </x:c>
      <x:c r="AB534" s="9" t="n">
        <x:f>MOD(AA534*16807,2147483647)</x:f>
        <x:v>323437579</x:v>
      </x:c>
      <x:c r="AC534" s="17" t="n">
        <x:f>IF('Control Room'!$B$5="Normal",'Control Room'!$B$7+'Control Room'!$D$7*SQRT(-2*LN(MAX(0.000000000001,AA534/2147483647)))*COS(2*PI()*AB534/2147483647),'Control Room'!$B$8+('Control Room'!$D$8-'Control Room'!$B$8)*AA534/2147483647)</x:f>
        <x:v>1076.975332356901</x:v>
      </x:c>
      <x:c r="AD534" s="17" t="n">
        <x:f>IF('Control Room'!$B$5="Normal",'Control Room'!$B$7,('Control Room'!$B$8+'Control Room'!$D$8)/2)+'Control Room'!$B$9*(AD533-IF('Control Room'!$B$5="Normal",'Control Room'!$B$7,('Control Room'!$B$8+'Control Room'!$D$8)/2))+SQRT(1-'Control Room'!$B$9^2)*(AC534-IF('Control Room'!$B$5="Normal",'Control Room'!$B$7,('Control Room'!$B$8+'Control Room'!$D$8)/2))</x:f>
        <x:v>1101.4975910912478</x:v>
      </x:c>
      <x:c r="AE534" s="17" t="n">
        <x:f>IF(AND($A534&gt;='Control Room'!$A$13,$A534&lt;'Control Room'!$A$13+'Control Room'!$B$13,'Process'!BP2=1),1+('Control Room'!$C$13-1)*EXP(-0.5*(($A534-'Control Room'!$A$13-('Control Room'!$B$13-1)/2)/MAX(0.5,'Control Room'!$B$13/4))^2),1)*IF(AND($A534&gt;='Control Room'!$A$14,$A534&lt;'Control Room'!$A$14+'Control Room'!$B$14,'Process'!BP3=1),1+('Control Room'!$C$14-1)*EXP(-0.5*(($A534-'Control Room'!$A$14-('Control Room'!$B$14-1)/2)/MAX(0.5,'Control Room'!$B$14/4))^2),1)*IF(AND($A534&gt;='Control Room'!$A$15,$A534&lt;'Control Room'!$A$15+'Control Room'!$B$15,'Process'!BP4=1),1+('Control Room'!$C$15-1)*EXP(-0.5*(($A534-'Control Room'!$A$15-('Control Room'!$B$15-1)/2)/MAX(0.5,'Control Room'!$B$15/4))^2),1)*IF(AND($A534&gt;='Control Room'!$A$16,$A534&lt;'Control Room'!$A$16+'Control Room'!$B$16,'Process'!BP5=1),1+('Control Room'!$C$16-1)*EXP(-0.5*(($A534-'Control Room'!$A$16-('Control Room'!$B$16-1)/2)/MAX(0.5,'Control Room'!$B$16/4))^2),1)</x:f>
        <x:v>1</x:v>
      </x:c>
      <x:c r="AF534" s="9" t="n">
        <x:f>MOD(AG533*16807,2147483647)</x:f>
        <x:v>1737264520</x:v>
      </x:c>
      <x:c r="AG534" s="9" t="n">
        <x:f>MOD(AF534*16807,2147483647)</x:f>
        <x:v>1017123028</x:v>
      </x:c>
      <x:c r="AH534" s="17" t="n">
        <x:f>IF('Control Room'!$B$5="Normal",'Control Room'!$B$7+'Control Room'!$D$7*SQRT(-2*LN(MAX(0.000000000001,AF534/2147483647)))*COS(2*PI()*AG534/2147483647),'Control Room'!$B$8+('Control Room'!$D$8-'Control Room'!$B$8)*AF534/2147483647)</x:f>
        <x:v>942.200566004265</x:v>
      </x:c>
      <x:c r="AI534" s="17" t="n">
        <x:f>IF('Control Room'!$B$5="Normal",'Control Room'!$B$7,('Control Room'!$B$8+'Control Room'!$D$8)/2)+'Control Room'!$B$9*(AI533-IF('Control Room'!$B$5="Normal",'Control Room'!$B$7,('Control Room'!$B$8+'Control Room'!$D$8)/2))+SQRT(1-'Control Room'!$B$9^2)*(AH534-IF('Control Room'!$B$5="Normal",'Control Room'!$B$7,('Control Room'!$B$8+'Control Room'!$D$8)/2))</x:f>
        <x:v>911.4193856110642</x:v>
      </x:c>
      <x:c r="AJ534" s="17" t="n">
        <x:f>IF(AND($A534&gt;='Control Room'!$A$13,$A534&lt;'Control Room'!$A$13+'Control Room'!$B$13,'Process'!BQ2=1),1+('Control Room'!$C$13-1)*EXP(-0.5*(($A534-'Control Room'!$A$13-('Control Room'!$B$13-1)/2)/MAX(0.5,'Control Room'!$B$13/4))^2),1)*IF(AND($A534&gt;='Control Room'!$A$14,$A534&lt;'Control Room'!$A$14+'Control Room'!$B$14,'Process'!BQ3=1),1+('Control Room'!$C$14-1)*EXP(-0.5*(($A534-'Control Room'!$A$14-('Control Room'!$B$14-1)/2)/MAX(0.5,'Control Room'!$B$14/4))^2),1)*IF(AND($A534&gt;='Control Room'!$A$15,$A534&lt;'Control Room'!$A$15+'Control Room'!$B$15,'Process'!BQ4=1),1+('Control Room'!$C$15-1)*EXP(-0.5*(($A534-'Control Room'!$A$15-('Control Room'!$B$15-1)/2)/MAX(0.5,'Control Room'!$B$15/4))^2),1)*IF(AND($A534&gt;='Control Room'!$A$16,$A534&lt;'Control Room'!$A$16+'Control Room'!$B$16,'Process'!BQ5=1),1+('Control Room'!$C$16-1)*EXP(-0.5*(($A534-'Control Room'!$A$16-('Control Room'!$B$16-1)/2)/MAX(0.5,'Control Room'!$B$16/4))^2),1)</x:f>
        <x:v>1</x:v>
      </x:c>
      <x:c r="AK534" s="9" t="n">
        <x:f>MOD(AL533*16807,2147483647)</x:f>
        <x:v>590413831</x:v>
      </x:c>
      <x:c r="AL534" s="9" t="n">
        <x:f>MOD(AK534*16807,2147483647)</x:f>
        <x:v>1710808477</x:v>
      </x:c>
      <x:c r="AM534" s="17" t="n">
        <x:f>IF('Control Room'!$B$5="Normal",'Control Room'!$B$7+'Control Room'!$D$7*SQRT(-2*LN(MAX(0.000000000001,AK534/2147483647)))*COS(2*PI()*AL534/2147483647),'Control Room'!$B$8+('Control Room'!$D$8-'Control Room'!$B$8)*AK534/2147483647)</x:f>
        <x:v>1041.7945632637013</x:v>
      </x:c>
      <x:c r="AN534" s="17" t="n">
        <x:f>IF('Control Room'!$B$5="Normal",'Control Room'!$B$7,('Control Room'!$B$8+'Control Room'!$D$8)/2)+'Control Room'!$B$9*(AN533-IF('Control Room'!$B$5="Normal",'Control Room'!$B$7,('Control Room'!$B$8+'Control Room'!$D$8)/2))+SQRT(1-'Control Room'!$B$9^2)*(AM534-IF('Control Room'!$B$5="Normal",'Control Room'!$B$7,('Control Room'!$B$8+'Control Room'!$D$8)/2))</x:f>
        <x:v>1098.1463942431897</x:v>
      </x:c>
      <x:c r="AO534" s="17" t="n">
        <x:f>IF(AND($A534&gt;='Control Room'!$A$13,$A534&lt;'Control Room'!$A$13+'Control Room'!$B$13,'Process'!BR2=1),1+('Control Room'!$C$13-1)*EXP(-0.5*(($A534-'Control Room'!$A$13-('Control Room'!$B$13-1)/2)/MAX(0.5,'Control Room'!$B$13/4))^2),1)*IF(AND($A534&gt;='Control Room'!$A$14,$A534&lt;'Control Room'!$A$14+'Control Room'!$B$14,'Process'!BR3=1),1+('Control Room'!$C$14-1)*EXP(-0.5*(($A534-'Control Room'!$A$14-('Control Room'!$B$14-1)/2)/MAX(0.5,'Control Room'!$B$14/4))^2),1)*IF(AND($A534&gt;='Control Room'!$A$15,$A534&lt;'Control Room'!$A$15+'Control Room'!$B$15,'Process'!BR4=1),1+('Control Room'!$C$15-1)*EXP(-0.5*(($A534-'Control Room'!$A$15-('Control Room'!$B$15-1)/2)/MAX(0.5,'Control Room'!$B$15/4))^2),1)*IF(AND($A534&gt;='Control Room'!$A$16,$A534&lt;'Control Room'!$A$16+'Control Room'!$B$16,'Process'!BR5=1),1+('Control Room'!$C$16-1)*EXP(-0.5*(($A534-'Control Room'!$A$16-('Control Room'!$B$16-1)/2)/MAX(0.5,'Control Room'!$B$16/4))^2),1)</x:f>
        <x:v>1</x:v>
      </x:c>
      <x:c r="AP534" s="9" t="n">
        <x:f>MOD(AQ533*16807,2147483647)</x:f>
        <x:v>1591046789</x:v>
      </x:c>
      <x:c r="AQ534" s="9" t="n">
        <x:f>MOD(AP534*16807,2147483647)</x:f>
        <x:v>257010279</x:v>
      </x:c>
      <x:c r="AR534" s="17" t="n">
        <x:f>IF('Control Room'!$B$5="Normal",'Control Room'!$B$7+'Control Room'!$D$7*SQRT(-2*LN(MAX(0.000000000001,AP534/2147483647)))*COS(2*PI()*AQ534/2147483647),'Control Room'!$B$8+('Control Room'!$D$8-'Control Room'!$B$8)*AP534/2147483647)</x:f>
        <x:v>1050.906931626767</x:v>
      </x:c>
      <x:c r="AS534" s="17" t="n">
        <x:f>IF('Control Room'!$B$5="Normal",'Control Room'!$B$7,('Control Room'!$B$8+'Control Room'!$D$8)/2)+'Control Room'!$B$9*(AS533-IF('Control Room'!$B$5="Normal",'Control Room'!$B$7,('Control Room'!$B$8+'Control Room'!$D$8)/2))+SQRT(1-'Control Room'!$B$9^2)*(AR534-IF('Control Room'!$B$5="Normal",'Control Room'!$B$7,('Control Room'!$B$8+'Control Room'!$D$8)/2))</x:f>
        <x:v>1052.4593826202158</x:v>
      </x:c>
      <x:c r="AT534" s="17" t="n">
        <x:f>IF(AND($A534&gt;='Control Room'!$A$13,$A534&lt;'Control Room'!$A$13+'Control Room'!$B$13,'Process'!BS2=1),1+('Control Room'!$C$13-1)*EXP(-0.5*(($A534-'Control Room'!$A$13-('Control Room'!$B$13-1)/2)/MAX(0.5,'Control Room'!$B$13/4))^2),1)*IF(AND($A534&gt;='Control Room'!$A$14,$A534&lt;'Control Room'!$A$14+'Control Room'!$B$14,'Process'!BS3=1),1+('Control Room'!$C$14-1)*EXP(-0.5*(($A534-'Control Room'!$A$14-('Control Room'!$B$14-1)/2)/MAX(0.5,'Control Room'!$B$14/4))^2),1)*IF(AND($A534&gt;='Control Room'!$A$15,$A534&lt;'Control Room'!$A$15+'Control Room'!$B$15,'Process'!BS4=1),1+('Control Room'!$C$15-1)*EXP(-0.5*(($A534-'Control Room'!$A$15-('Control Room'!$B$15-1)/2)/MAX(0.5,'Control Room'!$B$15/4))^2),1)*IF(AND($A534&gt;='Control Room'!$A$16,$A534&lt;'Control Room'!$A$16+'Control Room'!$B$16,'Process'!BS5=1),1+('Control Room'!$C$16-1)*EXP(-0.5*(($A534-'Control Room'!$A$16-('Control Room'!$B$16-1)/2)/MAX(0.5,'Control Room'!$B$16/4))^2),1)</x:f>
        <x:v>1</x:v>
      </x:c>
      <x:c r="AU534" s="9" t="n">
        <x:f>MOD(AV533*16807,2147483647)</x:f>
        <x:v>444196100</x:v>
      </x:c>
      <x:c r="AV534" s="9" t="n">
        <x:f>MOD(AU534*16807,2147483647)</x:f>
        <x:v>950695728</x:v>
      </x:c>
      <x:c r="AW534" s="17" t="n">
        <x:f>IF('Control Room'!$B$5="Normal",'Control Room'!$B$7+'Control Room'!$D$7*SQRT(-2*LN(MAX(0.000000000001,AU534/2147483647)))*COS(2*PI()*AV534/2147483647),'Control Room'!$B$8+('Control Room'!$D$8-'Control Room'!$B$8)*AU534/2147483647)</x:f>
        <x:v>850.4687347668637</x:v>
      </x:c>
      <x:c r="AX534" s="17" t="n">
        <x:f>IF('Control Room'!$B$5="Normal",'Control Room'!$B$7,('Control Room'!$B$8+'Control Room'!$D$8)/2)+'Control Room'!$B$9*(AX533-IF('Control Room'!$B$5="Normal",'Control Room'!$B$7,('Control Room'!$B$8+'Control Room'!$D$8)/2))+SQRT(1-'Control Room'!$B$9^2)*(AW534-IF('Control Room'!$B$5="Normal",'Control Room'!$B$7,('Control Room'!$B$8+'Control Room'!$D$8)/2))</x:f>
        <x:v>914.336020680578</x:v>
      </x:c>
      <x:c r="AY534" s="17" t="n">
        <x:f>IF(AND($A534&gt;='Control Room'!$A$13,$A534&lt;'Control Room'!$A$13+'Control Room'!$B$13,'Process'!BT2=1),1+('Control Room'!$C$13-1)*EXP(-0.5*(($A534-'Control Room'!$A$13-('Control Room'!$B$13-1)/2)/MAX(0.5,'Control Room'!$B$13/4))^2),1)*IF(AND($A534&gt;='Control Room'!$A$14,$A534&lt;'Control Room'!$A$14+'Control Room'!$B$14,'Process'!BT3=1),1+('Control Room'!$C$14-1)*EXP(-0.5*(($A534-'Control Room'!$A$14-('Control Room'!$B$14-1)/2)/MAX(0.5,'Control Room'!$B$14/4))^2),1)*IF(AND($A534&gt;='Control Room'!$A$15,$A534&lt;'Control Room'!$A$15+'Control Room'!$B$15,'Process'!BT4=1),1+('Control Room'!$C$15-1)*EXP(-0.5*(($A534-'Control Room'!$A$15-('Control Room'!$B$15-1)/2)/MAX(0.5,'Control Room'!$B$15/4))^2),1)*IF(AND($A534&gt;='Control Room'!$A$16,$A534&lt;'Control Room'!$A$16+'Control Room'!$B$16,'Process'!BT5=1),1+('Control Room'!$C$16-1)*EXP(-0.5*(($A534-'Control Room'!$A$16-('Control Room'!$B$16-1)/2)/MAX(0.5,'Control Room'!$B$16/4))^2),1)</x:f>
        <x:v>1</x:v>
      </x:c>
      <x:c r="AZ534" s="9" t="n">
        <x:f>MOD(BA533*16807,2147483647)</x:f>
        <x:v>1444829058</x:v>
      </x:c>
      <x:c r="BA534" s="9" t="n">
        <x:f>MOD(AZ534*16807,2147483647)</x:f>
        <x:v>1644381177</x:v>
      </x:c>
      <x:c r="BB534" s="17" t="n">
        <x:f>IF('Control Room'!$B$5="Normal",'Control Room'!$B$7+'Control Room'!$D$7*SQRT(-2*LN(MAX(0.000000000001,AZ534/2147483647)))*COS(2*PI()*BA534/2147483647),'Control Room'!$B$8+('Control Room'!$D$8-'Control Room'!$B$8)*AZ534/2147483647)</x:f>
        <x:v>1007.9036357053903</x:v>
      </x:c>
      <x:c r="BC534" s="17" t="n">
        <x:f>IF('Control Room'!$B$5="Normal",'Control Room'!$B$7,('Control Room'!$B$8+'Control Room'!$D$8)/2)+'Control Room'!$B$9*(BC533-IF('Control Room'!$B$5="Normal",'Control Room'!$B$7,('Control Room'!$B$8+'Control Room'!$D$8)/2))+SQRT(1-'Control Room'!$B$9^2)*(BB534-IF('Control Room'!$B$5="Normal",'Control Room'!$B$7,('Control Room'!$B$8+'Control Room'!$D$8)/2))</x:f>
        <x:v>1085.9264211303607</x:v>
      </x:c>
      <x:c r="BD534" s="17" t="n">
        <x:f>IF(AND($A534&gt;='Control Room'!$A$13,$A534&lt;'Control Room'!$A$13+'Control Room'!$B$13,'Process'!BU2=1),1+('Control Room'!$C$13-1)*EXP(-0.5*(($A534-'Control Room'!$A$13-('Control Room'!$B$13-1)/2)/MAX(0.5,'Control Room'!$B$13/4))^2),1)*IF(AND($A534&gt;='Control Room'!$A$14,$A534&lt;'Control Room'!$A$14+'Control Room'!$B$14,'Process'!BU3=1),1+('Control Room'!$C$14-1)*EXP(-0.5*(($A534-'Control Room'!$A$14-('Control Room'!$B$14-1)/2)/MAX(0.5,'Control Room'!$B$14/4))^2),1)*IF(AND($A534&gt;='Control Room'!$A$15,$A534&lt;'Control Room'!$A$15+'Control Room'!$B$15,'Process'!BU4=1),1+('Control Room'!$C$15-1)*EXP(-0.5*(($A534-'Control Room'!$A$15-('Control Room'!$B$15-1)/2)/MAX(0.5,'Control Room'!$B$15/4))^2),1)*IF(AND($A534&gt;='Control Room'!$A$16,$A534&lt;'Control Room'!$A$16+'Control Room'!$B$16,'Process'!BU5=1),1+('Control Room'!$C$16-1)*EXP(-0.5*(($A534-'Control Room'!$A$16-('Control Room'!$B$16-1)/2)/MAX(0.5,'Control Room'!$B$16/4))^2),1)</x:f>
        <x:v>1</x:v>
      </x:c>
      <x:c r="BE534" s="9" t="n">
        <x:f>MOD(BF533*16807,2147483647)</x:f>
        <x:v>297978369</x:v>
      </x:c>
      <x:c r="BF534" s="9" t="n">
        <x:f>MOD(BE534*16807,2147483647)</x:f>
        <x:v>190582979</x:v>
      </x:c>
      <x:c r="BG534" s="17" t="n">
        <x:f>IF('Control Room'!$B$5="Normal",'Control Room'!$B$7+'Control Room'!$D$7*SQRT(-2*LN(MAX(0.000000000001,BE534/2147483647)))*COS(2*PI()*BF534/2147483647),'Control Room'!$B$8+('Control Room'!$D$8-'Control Room'!$B$8)*BE534/2147483647)</x:f>
        <x:v>1151.7771750454879</x:v>
      </x:c>
      <x:c r="BH534" s="17" t="n">
        <x:f>IF('Control Room'!$B$5="Normal",'Control Room'!$B$7,('Control Room'!$B$8+'Control Room'!$D$8)/2)+'Control Room'!$B$9*(BH533-IF('Control Room'!$B$5="Normal",'Control Room'!$B$7,('Control Room'!$B$8+'Control Room'!$D$8)/2))+SQRT(1-'Control Room'!$B$9^2)*(BG534-IF('Control Room'!$B$5="Normal",'Control Room'!$B$7,('Control Room'!$B$8+'Control Room'!$D$8)/2))</x:f>
        <x:v>1090.7756828621878</x:v>
      </x:c>
      <x:c r="BI534" s="17" t="n">
        <x:f>IF(AND($A534&gt;='Control Room'!$A$13,$A534&lt;'Control Room'!$A$13+'Control Room'!$B$13,'Process'!BV2=1),1+('Control Room'!$C$13-1)*EXP(-0.5*(($A534-'Control Room'!$A$13-('Control Room'!$B$13-1)/2)/MAX(0.5,'Control Room'!$B$13/4))^2),1)*IF(AND($A534&gt;='Control Room'!$A$14,$A534&lt;'Control Room'!$A$14+'Control Room'!$B$14,'Process'!BV3=1),1+('Control Room'!$C$14-1)*EXP(-0.5*(($A534-'Control Room'!$A$14-('Control Room'!$B$14-1)/2)/MAX(0.5,'Control Room'!$B$14/4))^2),1)*IF(AND($A534&gt;='Control Room'!$A$15,$A534&lt;'Control Room'!$A$15+'Control Room'!$B$15,'Process'!BV4=1),1+('Control Room'!$C$15-1)*EXP(-0.5*(($A534-'Control Room'!$A$15-('Control Room'!$B$15-1)/2)/MAX(0.5,'Control Room'!$B$15/4))^2),1)*IF(AND($A534&gt;='Control Room'!$A$16,$A534&lt;'Control Room'!$A$16+'Control Room'!$B$16,'Process'!BV5=1),1+('Control Room'!$C$16-1)*EXP(-0.5*(($A534-'Control Room'!$A$16-('Control Room'!$B$16-1)/2)/MAX(0.5,'Control Room'!$B$16/4))^2),1)</x:f>
        <x:v>1</x:v>
      </x:c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Z534" t="str">
        <x:f>IF('Data'!A534="","",TEXT('Data'!A534,"mm-dd"))</x:f>
      </x:c>
    </x:row>
    <x:row r="535" ht="21" customHeight="1">
      <x:c r="A535" s="15" t="n">
        <x:f>'Control Room'!$B$1+533</x:f>
        <x:v>73524</x:v>
      </x:c>
      <x:c r="B535" s="9" t="n">
        <x:f>MOD(C534*16807,2147483647)</x:f>
        <x:v>321170796</x:v>
      </x:c>
      <x:c r="C535" s="9" t="n">
        <x:f>MOD(B535*16807,2147483647)</x:f>
        <x:v>1291163461</x:v>
      </x:c>
      <x:c r="D535" s="17" t="n">
        <x:f>IF('Control Room'!$B$5="Normal",'Control Room'!$B$7+'Control Room'!$D$7*SQRT(-2*LN(MAX(0.000000000001,B535/2147483647)))*COS(2*PI()*C535/2147483647),'Control Room'!$B$8+('Control Room'!$D$8-'Control Room'!$B$8)*B535/2147483647)</x:f>
        <x:v>858.8721771473856</x:v>
      </x:c>
      <x:c r="E535" s="17" t="n">
        <x:f>IF('Control Room'!$B$5="Normal",'Control Room'!$B$7,('Control Room'!$B$8+'Control Room'!$D$8)/2)+'Control Room'!$B$9*(E534-IF('Control Room'!$B$5="Normal",'Control Room'!$B$7,('Control Room'!$B$8+'Control Room'!$D$8)/2))+SQRT(1-'Control Room'!$B$9^2)*(D535-IF('Control Room'!$B$5="Normal",'Control Room'!$B$7,('Control Room'!$B$8+'Control Room'!$D$8)/2))</x:f>
        <x:v>795.8672447878566</x:v>
      </x:c>
      <x:c r="F535" s="17" t="n">
        <x:f>IF(AND($A535&gt;='Control Room'!$A$13,$A535&lt;'Control Room'!$A$13+'Control Room'!$B$13,'Process'!BK2=1),1+('Control Room'!$C$13-1)*EXP(-0.5*(($A535-'Control Room'!$A$13-('Control Room'!$B$13-1)/2)/MAX(0.5,'Control Room'!$B$13/4))^2),1)*IF(AND($A535&gt;='Control Room'!$A$14,$A535&lt;'Control Room'!$A$14+'Control Room'!$B$14,'Process'!BK3=1),1+('Control Room'!$C$14-1)*EXP(-0.5*(($A535-'Control Room'!$A$14-('Control Room'!$B$14-1)/2)/MAX(0.5,'Control Room'!$B$14/4))^2),1)*IF(AND($A535&gt;='Control Room'!$A$15,$A535&lt;'Control Room'!$A$15+'Control Room'!$B$15,'Process'!BK4=1),1+('Control Room'!$C$15-1)*EXP(-0.5*(($A535-'Control Room'!$A$15-('Control Room'!$B$15-1)/2)/MAX(0.5,'Control Room'!$B$15/4))^2),1)*IF(AND($A535&gt;='Control Room'!$A$16,$A535&lt;'Control Room'!$A$16+'Control Room'!$B$16,'Process'!BK5=1),1+('Control Room'!$C$16-1)*EXP(-0.5*(($A535-'Control Room'!$A$16-('Control Room'!$B$16-1)/2)/MAX(0.5,'Control Room'!$B$16/4))^2),1)</x:f>
        <x:v>1</x:v>
      </x:c>
      <x:c r="G535" s="9" t="n">
        <x:f>MOD(H534*16807,2147483647)</x:f>
        <x:v>403792576</x:v>
      </x:c>
      <x:c r="H535" s="9" t="n">
        <x:f>MOD(G535*16807,2147483647)</x:f>
        <x:v>493500312</x:v>
      </x:c>
      <x:c r="I535" s="17" t="n">
        <x:f>IF('Control Room'!$B$5="Normal",'Control Room'!$B$7+'Control Room'!$D$7*SQRT(-2*LN(MAX(0.000000000001,G535/2147483647)))*COS(2*PI()*H535/2147483647),'Control Room'!$B$8+('Control Room'!$D$8-'Control Room'!$B$8)*G535/2147483647)</x:f>
        <x:v>1020.8230619222974</x:v>
      </x:c>
      <x:c r="J535" s="17" t="n">
        <x:f>IF('Control Room'!$B$5="Normal",'Control Room'!$B$7,('Control Room'!$B$8+'Control Room'!$D$8)/2)+'Control Room'!$B$9*(J534-IF('Control Room'!$B$5="Normal",'Control Room'!$B$7,('Control Room'!$B$8+'Control Room'!$D$8)/2))+SQRT(1-'Control Room'!$B$9^2)*(I535-IF('Control Room'!$B$5="Normal",'Control Room'!$B$7,('Control Room'!$B$8+'Control Room'!$D$8)/2))</x:f>
        <x:v>887.4699791833093</x:v>
      </x:c>
      <x:c r="K535" s="17" t="n">
        <x:f>IF(AND($A535&gt;='Control Room'!$A$13,$A535&lt;'Control Room'!$A$13+'Control Room'!$B$13,'Process'!BL2=1),1+('Control Room'!$C$13-1)*EXP(-0.5*(($A535-'Control Room'!$A$13-('Control Room'!$B$13-1)/2)/MAX(0.5,'Control Room'!$B$13/4))^2),1)*IF(AND($A535&gt;='Control Room'!$A$14,$A535&lt;'Control Room'!$A$14+'Control Room'!$B$14,'Process'!BL3=1),1+('Control Room'!$C$14-1)*EXP(-0.5*(($A535-'Control Room'!$A$14-('Control Room'!$B$14-1)/2)/MAX(0.5,'Control Room'!$B$14/4))^2),1)*IF(AND($A535&gt;='Control Room'!$A$15,$A535&lt;'Control Room'!$A$15+'Control Room'!$B$15,'Process'!BL4=1),1+('Control Room'!$C$15-1)*EXP(-0.5*(($A535-'Control Room'!$A$15-('Control Room'!$B$15-1)/2)/MAX(0.5,'Control Room'!$B$15/4))^2),1)*IF(AND($A535&gt;='Control Room'!$A$16,$A535&lt;'Control Room'!$A$16+'Control Room'!$B$16,'Process'!BL5=1),1+('Control Room'!$C$16-1)*EXP(-0.5*(($A535-'Control Room'!$A$16-('Control Room'!$B$16-1)/2)/MAX(0.5,'Control Room'!$B$16/4))^2),1)</x:f>
        <x:v>1</x:v>
      </x:c>
      <x:c r="L535" s="9" t="n">
        <x:f>MOD(M534*16807,2147483647)</x:f>
        <x:v>486414356</x:v>
      </x:c>
      <x:c r="M535" s="9" t="n">
        <x:f>MOD(L535*16807,2147483647)</x:f>
        <x:v>1843320810</x:v>
      </x:c>
      <x:c r="N535" s="17" t="n">
        <x:f>IF('Control Room'!$B$5="Normal",'Control Room'!$B$7+'Control Room'!$D$7*SQRT(-2*LN(MAX(0.000000000001,L535/2147483647)))*COS(2*PI()*M535/2147483647),'Control Room'!$B$8+('Control Room'!$D$8-'Control Room'!$B$8)*L535/2147483647)</x:f>
        <x:v>1097.631885619221</x:v>
      </x:c>
      <x:c r="O535" s="17" t="n">
        <x:f>IF('Control Room'!$B$5="Normal",'Control Room'!$B$7,('Control Room'!$B$8+'Control Room'!$D$8)/2)+'Control Room'!$B$9*(O534-IF('Control Room'!$B$5="Normal",'Control Room'!$B$7,('Control Room'!$B$8+'Control Room'!$D$8)/2))+SQRT(1-'Control Room'!$B$9^2)*(N535-IF('Control Room'!$B$5="Normal",'Control Room'!$B$7,('Control Room'!$B$8+'Control Room'!$D$8)/2))</x:f>
        <x:v>1191.3021136859409</x:v>
      </x:c>
      <x:c r="P535" s="17" t="n">
        <x:f>IF(AND($A535&gt;='Control Room'!$A$13,$A535&lt;'Control Room'!$A$13+'Control Room'!$B$13,'Process'!BM2=1),1+('Control Room'!$C$13-1)*EXP(-0.5*(($A535-'Control Room'!$A$13-('Control Room'!$B$13-1)/2)/MAX(0.5,'Control Room'!$B$13/4))^2),1)*IF(AND($A535&gt;='Control Room'!$A$14,$A535&lt;'Control Room'!$A$14+'Control Room'!$B$14,'Process'!BM3=1),1+('Control Room'!$C$14-1)*EXP(-0.5*(($A535-'Control Room'!$A$14-('Control Room'!$B$14-1)/2)/MAX(0.5,'Control Room'!$B$14/4))^2),1)*IF(AND($A535&gt;='Control Room'!$A$15,$A535&lt;'Control Room'!$A$15+'Control Room'!$B$15,'Process'!BM4=1),1+('Control Room'!$C$15-1)*EXP(-0.5*(($A535-'Control Room'!$A$15-('Control Room'!$B$15-1)/2)/MAX(0.5,'Control Room'!$B$15/4))^2),1)*IF(AND($A535&gt;='Control Room'!$A$16,$A535&lt;'Control Room'!$A$16+'Control Room'!$B$16,'Process'!BM5=1),1+('Control Room'!$C$16-1)*EXP(-0.5*(($A535-'Control Room'!$A$16-('Control Room'!$B$16-1)/2)/MAX(0.5,'Control Room'!$B$16/4))^2),1)</x:f>
        <x:v>1</x:v>
      </x:c>
      <x:c r="Q535" s="9" t="n">
        <x:f>MOD(R534*16807,2147483647)</x:f>
        <x:v>569036136</x:v>
      </x:c>
      <x:c r="R535" s="9" t="n">
        <x:f>MOD(Q535*16807,2147483647)</x:f>
        <x:v>1045657661</x:v>
      </x:c>
      <x:c r="S535" s="17" t="n">
        <x:f>IF('Control Room'!$B$5="Normal",'Control Room'!$B$7+'Control Room'!$D$7*SQRT(-2*LN(MAX(0.000000000001,Q535/2147483647)))*COS(2*PI()*R535/2147483647),'Control Room'!$B$8+('Control Room'!$D$8-'Control Room'!$B$8)*Q535/2147483647)</x:f>
        <x:v>853.8137852964252</x:v>
      </x:c>
      <x:c r="T535" s="17" t="n">
        <x:f>IF('Control Room'!$B$5="Normal",'Control Room'!$B$7,('Control Room'!$B$8+'Control Room'!$D$8)/2)+'Control Room'!$B$9*(T534-IF('Control Room'!$B$5="Normal",'Control Room'!$B$7,('Control Room'!$B$8+'Control Room'!$D$8)/2))+SQRT(1-'Control Room'!$B$9^2)*(S535-IF('Control Room'!$B$5="Normal",'Control Room'!$B$7,('Control Room'!$B$8+'Control Room'!$D$8)/2))</x:f>
        <x:v>796.0900075849081</x:v>
      </x:c>
      <x:c r="U535" s="17" t="n">
        <x:f>IF(AND($A535&gt;='Control Room'!$A$13,$A535&lt;'Control Room'!$A$13+'Control Room'!$B$13,'Process'!BN2=1),1+('Control Room'!$C$13-1)*EXP(-0.5*(($A535-'Control Room'!$A$13-('Control Room'!$B$13-1)/2)/MAX(0.5,'Control Room'!$B$13/4))^2),1)*IF(AND($A535&gt;='Control Room'!$A$14,$A535&lt;'Control Room'!$A$14+'Control Room'!$B$14,'Process'!BN3=1),1+('Control Room'!$C$14-1)*EXP(-0.5*(($A535-'Control Room'!$A$14-('Control Room'!$B$14-1)/2)/MAX(0.5,'Control Room'!$B$14/4))^2),1)*IF(AND($A535&gt;='Control Room'!$A$15,$A535&lt;'Control Room'!$A$15+'Control Room'!$B$15,'Process'!BN4=1),1+('Control Room'!$C$15-1)*EXP(-0.5*(($A535-'Control Room'!$A$15-('Control Room'!$B$15-1)/2)/MAX(0.5,'Control Room'!$B$15/4))^2),1)*IF(AND($A535&gt;='Control Room'!$A$16,$A535&lt;'Control Room'!$A$16+'Control Room'!$B$16,'Process'!BN5=1),1+('Control Room'!$C$16-1)*EXP(-0.5*(($A535-'Control Room'!$A$16-('Control Room'!$B$16-1)/2)/MAX(0.5,'Control Room'!$B$16/4))^2),1)</x:f>
        <x:v>1</x:v>
      </x:c>
      <x:c r="V535" s="9" t="n">
        <x:f>MOD(W534*16807,2147483647)</x:f>
        <x:v>651657916</x:v>
      </x:c>
      <x:c r="W535" s="9" t="n">
        <x:f>MOD(V535*16807,2147483647)</x:f>
        <x:v>247994512</x:v>
      </x:c>
      <x:c r="X535" s="17" t="n">
        <x:f>IF('Control Room'!$B$5="Normal",'Control Room'!$B$7+'Control Room'!$D$7*SQRT(-2*LN(MAX(0.000000000001,V535/2147483647)))*COS(2*PI()*W535/2147483647),'Control Room'!$B$8+('Control Room'!$D$8-'Control Room'!$B$8)*V535/2147483647)</x:f>
        <x:v>1103.9815765858598</x:v>
      </x:c>
      <x:c r="Y535" s="17" t="n">
        <x:f>IF('Control Room'!$B$5="Normal",'Control Room'!$B$7,('Control Room'!$B$8+'Control Room'!$D$8)/2)+'Control Room'!$B$9*(Y534-IF('Control Room'!$B$5="Normal",'Control Room'!$B$7,('Control Room'!$B$8+'Control Room'!$D$8)/2))+SQRT(1-'Control Room'!$B$9^2)*(X535-IF('Control Room'!$B$5="Normal",'Control Room'!$B$7,('Control Room'!$B$8+'Control Room'!$D$8)/2))</x:f>
        <x:v>1109.1093647988862</x:v>
      </x:c>
      <x:c r="Z535" s="17" t="n">
        <x:f>IF(AND($A535&gt;='Control Room'!$A$13,$A535&lt;'Control Room'!$A$13+'Control Room'!$B$13,'Process'!BO2=1),1+('Control Room'!$C$13-1)*EXP(-0.5*(($A535-'Control Room'!$A$13-('Control Room'!$B$13-1)/2)/MAX(0.5,'Control Room'!$B$13/4))^2),1)*IF(AND($A535&gt;='Control Room'!$A$14,$A535&lt;'Control Room'!$A$14+'Control Room'!$B$14,'Process'!BO3=1),1+('Control Room'!$C$14-1)*EXP(-0.5*(($A535-'Control Room'!$A$14-('Control Room'!$B$14-1)/2)/MAX(0.5,'Control Room'!$B$14/4))^2),1)*IF(AND($A535&gt;='Control Room'!$A$15,$A535&lt;'Control Room'!$A$15+'Control Room'!$B$15,'Process'!BO4=1),1+('Control Room'!$C$15-1)*EXP(-0.5*(($A535-'Control Room'!$A$15-('Control Room'!$B$15-1)/2)/MAX(0.5,'Control Room'!$B$15/4))^2),1)*IF(AND($A535&gt;='Control Room'!$A$16,$A535&lt;'Control Room'!$A$16+'Control Room'!$B$16,'Process'!BO5=1),1+('Control Room'!$C$16-1)*EXP(-0.5*(($A535-'Control Room'!$A$16-('Control Room'!$B$16-1)/2)/MAX(0.5,'Control Room'!$B$16/4))^2),1)</x:f>
        <x:v>1</x:v>
      </x:c>
      <x:c r="AA535" s="9" t="n">
        <x:f>MOD(AB534*16807,2147483647)</x:f>
        <x:v>734279696</x:v>
      </x:c>
      <x:c r="AB535" s="9" t="n">
        <x:f>MOD(AA535*16807,2147483647)</x:f>
        <x:v>1597815010</x:v>
      </x:c>
      <x:c r="AC535" s="17" t="n">
        <x:f>IF('Control Room'!$B$5="Normal",'Control Room'!$B$7+'Control Room'!$D$7*SQRT(-2*LN(MAX(0.000000000001,AA535/2147483647)))*COS(2*PI()*AB535/2147483647),'Control Room'!$B$8+('Control Room'!$D$8-'Control Room'!$B$8)*AA535/2147483647)</x:f>
        <x:v>995.0640420441076</x:v>
      </x:c>
      <x:c r="AD535" s="17" t="n">
        <x:f>IF('Control Room'!$B$5="Normal",'Control Room'!$B$7,('Control Room'!$B$8+'Control Room'!$D$8)/2)+'Control Room'!$B$9*(AD534-IF('Control Room'!$B$5="Normal",'Control Room'!$B$7,('Control Room'!$B$8+'Control Room'!$D$8)/2))+SQRT(1-'Control Room'!$B$9^2)*(AC535-IF('Control Room'!$B$5="Normal",'Control Room'!$B$7,('Control Room'!$B$8+'Control Room'!$D$8)/2))</x:f>
        <x:v>1076.079299680971</x:v>
      </x:c>
      <x:c r="AE535" s="17" t="n">
        <x:f>IF(AND($A535&gt;='Control Room'!$A$13,$A535&lt;'Control Room'!$A$13+'Control Room'!$B$13,'Process'!BP2=1),1+('Control Room'!$C$13-1)*EXP(-0.5*(($A535-'Control Room'!$A$13-('Control Room'!$B$13-1)/2)/MAX(0.5,'Control Room'!$B$13/4))^2),1)*IF(AND($A535&gt;='Control Room'!$A$14,$A535&lt;'Control Room'!$A$14+'Control Room'!$B$14,'Process'!BP3=1),1+('Control Room'!$C$14-1)*EXP(-0.5*(($A535-'Control Room'!$A$14-('Control Room'!$B$14-1)/2)/MAX(0.5,'Control Room'!$B$14/4))^2),1)*IF(AND($A535&gt;='Control Room'!$A$15,$A535&lt;'Control Room'!$A$15+'Control Room'!$B$15,'Process'!BP4=1),1+('Control Room'!$C$15-1)*EXP(-0.5*(($A535-'Control Room'!$A$15-('Control Room'!$B$15-1)/2)/MAX(0.5,'Control Room'!$B$15/4))^2),1)*IF(AND($A535&gt;='Control Room'!$A$16,$A535&lt;'Control Room'!$A$16+'Control Room'!$B$16,'Process'!BP5=1),1+('Control Room'!$C$16-1)*EXP(-0.5*(($A535-'Control Room'!$A$16-('Control Room'!$B$16-1)/2)/MAX(0.5,'Control Room'!$B$16/4))^2),1)</x:f>
        <x:v>1</x:v>
      </x:c>
      <x:c r="AF535" s="9" t="n">
        <x:f>MOD(AG534*16807,2147483647)</x:f>
        <x:v>816901476</x:v>
      </x:c>
      <x:c r="AG535" s="9" t="n">
        <x:f>MOD(AF535*16807,2147483647)</x:f>
        <x:v>800151861</x:v>
      </x:c>
      <x:c r="AH535" s="17" t="n">
        <x:f>IF('Control Room'!$B$5="Normal",'Control Room'!$B$7+'Control Room'!$D$7*SQRT(-2*LN(MAX(0.000000000001,AF535/2147483647)))*COS(2*PI()*AG535/2147483647),'Control Room'!$B$8+('Control Room'!$D$8-'Control Room'!$B$8)*AF535/2147483647)</x:f>
        <x:v>912.863223694949</x:v>
      </x:c>
      <x:c r="AI535" s="17" t="n">
        <x:f>IF('Control Room'!$B$5="Normal",'Control Room'!$B$7,('Control Room'!$B$8+'Control Room'!$D$8)/2)+'Control Room'!$B$9*(AI534-IF('Control Room'!$B$5="Normal",'Control Room'!$B$7,('Control Room'!$B$8+'Control Room'!$D$8)/2))+SQRT(1-'Control Room'!$B$9^2)*(AH535-IF('Control Room'!$B$5="Normal",'Control Room'!$B$7,('Control Room'!$B$8+'Control Room'!$D$8)/2))</x:f>
        <x:v>876.3787112588203</x:v>
      </x:c>
      <x:c r="AJ535" s="17" t="n">
        <x:f>IF(AND($A535&gt;='Control Room'!$A$13,$A535&lt;'Control Room'!$A$13+'Control Room'!$B$13,'Process'!BQ2=1),1+('Control Room'!$C$13-1)*EXP(-0.5*(($A535-'Control Room'!$A$13-('Control Room'!$B$13-1)/2)/MAX(0.5,'Control Room'!$B$13/4))^2),1)*IF(AND($A535&gt;='Control Room'!$A$14,$A535&lt;'Control Room'!$A$14+'Control Room'!$B$14,'Process'!BQ3=1),1+('Control Room'!$C$14-1)*EXP(-0.5*(($A535-'Control Room'!$A$14-('Control Room'!$B$14-1)/2)/MAX(0.5,'Control Room'!$B$14/4))^2),1)*IF(AND($A535&gt;='Control Room'!$A$15,$A535&lt;'Control Room'!$A$15+'Control Room'!$B$15,'Process'!BQ4=1),1+('Control Room'!$C$15-1)*EXP(-0.5*(($A535-'Control Room'!$A$15-('Control Room'!$B$15-1)/2)/MAX(0.5,'Control Room'!$B$15/4))^2),1)*IF(AND($A535&gt;='Control Room'!$A$16,$A535&lt;'Control Room'!$A$16+'Control Room'!$B$16,'Process'!BQ5=1),1+('Control Room'!$C$16-1)*EXP(-0.5*(($A535-'Control Room'!$A$16-('Control Room'!$B$16-1)/2)/MAX(0.5,'Control Room'!$B$16/4))^2),1)</x:f>
        <x:v>1</x:v>
      </x:c>
      <x:c r="AK535" s="9" t="n">
        <x:f>MOD(AL534*16807,2147483647)</x:f>
        <x:v>899523256</x:v>
      </x:c>
      <x:c r="AL535" s="9" t="n">
        <x:f>MOD(AK535*16807,2147483647)</x:f>
        <x:v>2488712</x:v>
      </x:c>
      <x:c r="AM535" s="17" t="n">
        <x:f>IF('Control Room'!$B$5="Normal",'Control Room'!$B$7+'Control Room'!$D$7*SQRT(-2*LN(MAX(0.000000000001,AK535/2147483647)))*COS(2*PI()*AL535/2147483647),'Control Room'!$B$8+('Control Room'!$D$8-'Control Room'!$B$8)*AK535/2147483647)</x:f>
        <x:v>1118.7277730885721</x:v>
      </x:c>
      <x:c r="AN535" s="17" t="n">
        <x:f>IF('Control Room'!$B$5="Normal",'Control Room'!$B$7,('Control Room'!$B$8+'Control Room'!$D$8)/2)+'Control Room'!$B$9*(AN534-IF('Control Room'!$B$5="Normal",'Control Room'!$B$7,('Control Room'!$B$8+'Control Room'!$D$8)/2))+SQRT(1-'Control Room'!$B$9^2)*(AM535-IF('Control Room'!$B$5="Normal",'Control Room'!$B$7,('Control Room'!$B$8+'Control Room'!$D$8)/2))</x:f>
        <x:v>1150.851595637879</x:v>
      </x:c>
      <x:c r="AO535" s="17" t="n">
        <x:f>IF(AND($A535&gt;='Control Room'!$A$13,$A535&lt;'Control Room'!$A$13+'Control Room'!$B$13,'Process'!BR2=1),1+('Control Room'!$C$13-1)*EXP(-0.5*(($A535-'Control Room'!$A$13-('Control Room'!$B$13-1)/2)/MAX(0.5,'Control Room'!$B$13/4))^2),1)*IF(AND($A535&gt;='Control Room'!$A$14,$A535&lt;'Control Room'!$A$14+'Control Room'!$B$14,'Process'!BR3=1),1+('Control Room'!$C$14-1)*EXP(-0.5*(($A535-'Control Room'!$A$14-('Control Room'!$B$14-1)/2)/MAX(0.5,'Control Room'!$B$14/4))^2),1)*IF(AND($A535&gt;='Control Room'!$A$15,$A535&lt;'Control Room'!$A$15+'Control Room'!$B$15,'Process'!BR4=1),1+('Control Room'!$C$15-1)*EXP(-0.5*(($A535-'Control Room'!$A$15-('Control Room'!$B$15-1)/2)/MAX(0.5,'Control Room'!$B$15/4))^2),1)*IF(AND($A535&gt;='Control Room'!$A$16,$A535&lt;'Control Room'!$A$16+'Control Room'!$B$16,'Process'!BR5=1),1+('Control Room'!$C$16-1)*EXP(-0.5*(($A535-'Control Room'!$A$16-('Control Room'!$B$16-1)/2)/MAX(0.5,'Control Room'!$B$16/4))^2),1)</x:f>
        <x:v>1</x:v>
      </x:c>
      <x:c r="AP535" s="9" t="n">
        <x:f>MOD(AQ534*16807,2147483647)</x:f>
        <x:v>982145036</x:v>
      </x:c>
      <x:c r="AQ535" s="9" t="n">
        <x:f>MOD(AP535*16807,2147483647)</x:f>
        <x:v>1352309210</x:v>
      </x:c>
      <x:c r="AR535" s="17" t="n">
        <x:f>IF('Control Room'!$B$5="Normal",'Control Room'!$B$7+'Control Room'!$D$7*SQRT(-2*LN(MAX(0.000000000001,AP535/2147483647)))*COS(2*PI()*AQ535/2147483647),'Control Room'!$B$8+('Control Room'!$D$8-'Control Room'!$B$8)*AP535/2147483647)</x:f>
        <x:v>922.7908121663039</x:v>
      </x:c>
      <x:c r="AS535" s="17" t="n">
        <x:f>IF('Control Room'!$B$5="Normal",'Control Room'!$B$7,('Control Room'!$B$8+'Control Room'!$D$8)/2)+'Control Room'!$B$9*(AS534-IF('Control Room'!$B$5="Normal",'Control Room'!$B$7,('Control Room'!$B$8+'Control Room'!$D$8)/2))+SQRT(1-'Control Room'!$B$9^2)*(AR535-IF('Control Room'!$B$5="Normal",'Control Room'!$B$7,('Control Room'!$B$8+'Control Room'!$D$8)/2))</x:f>
        <x:v>992.6023904136281</x:v>
      </x:c>
      <x:c r="AT535" s="17" t="n">
        <x:f>IF(AND($A535&gt;='Control Room'!$A$13,$A535&lt;'Control Room'!$A$13+'Control Room'!$B$13,'Process'!BS2=1),1+('Control Room'!$C$13-1)*EXP(-0.5*(($A535-'Control Room'!$A$13-('Control Room'!$B$13-1)/2)/MAX(0.5,'Control Room'!$B$13/4))^2),1)*IF(AND($A535&gt;='Control Room'!$A$14,$A535&lt;'Control Room'!$A$14+'Control Room'!$B$14,'Process'!BS3=1),1+('Control Room'!$C$14-1)*EXP(-0.5*(($A535-'Control Room'!$A$14-('Control Room'!$B$14-1)/2)/MAX(0.5,'Control Room'!$B$14/4))^2),1)*IF(AND($A535&gt;='Control Room'!$A$15,$A535&lt;'Control Room'!$A$15+'Control Room'!$B$15,'Process'!BS4=1),1+('Control Room'!$C$15-1)*EXP(-0.5*(($A535-'Control Room'!$A$15-('Control Room'!$B$15-1)/2)/MAX(0.5,'Control Room'!$B$15/4))^2),1)*IF(AND($A535&gt;='Control Room'!$A$16,$A535&lt;'Control Room'!$A$16+'Control Room'!$B$16,'Process'!BS5=1),1+('Control Room'!$C$16-1)*EXP(-0.5*(($A535-'Control Room'!$A$16-('Control Room'!$B$16-1)/2)/MAX(0.5,'Control Room'!$B$16/4))^2),1)</x:f>
        <x:v>1</x:v>
      </x:c>
      <x:c r="AU535" s="9" t="n">
        <x:f>MOD(AV534*16807,2147483647)</x:f>
        <x:v>1064766816</x:v>
      </x:c>
      <x:c r="AV535" s="9" t="n">
        <x:f>MOD(AU535*16807,2147483647)</x:f>
        <x:v>554646061</x:v>
      </x:c>
      <x:c r="AW535" s="17" t="n">
        <x:f>IF('Control Room'!$B$5="Normal",'Control Room'!$B$7+'Control Room'!$D$7*SQRT(-2*LN(MAX(0.000000000001,AU535/2147483647)))*COS(2*PI()*AV535/2147483647),'Control Room'!$B$8+('Control Room'!$D$8-'Control Room'!$B$8)*AU535/2147483647)</x:f>
        <x:v>994.458191917389</x:v>
      </x:c>
      <x:c r="AX535" s="17" t="n">
        <x:f>IF('Control Room'!$B$5="Normal",'Control Room'!$B$7,('Control Room'!$B$8+'Control Room'!$D$8)/2)+'Control Room'!$B$9*(AX534-IF('Control Room'!$B$5="Normal",'Control Room'!$B$7,('Control Room'!$B$8+'Control Room'!$D$8)/2))+SQRT(1-'Control Room'!$B$9^2)*(AW535-IF('Control Room'!$B$5="Normal",'Control Room'!$B$7,('Control Room'!$B$8+'Control Room'!$D$8)/2))</x:f>
        <x:v>929.7141461628623</x:v>
      </x:c>
      <x:c r="AY535" s="17" t="n">
        <x:f>IF(AND($A535&gt;='Control Room'!$A$13,$A535&lt;'Control Room'!$A$13+'Control Room'!$B$13,'Process'!BT2=1),1+('Control Room'!$C$13-1)*EXP(-0.5*(($A535-'Control Room'!$A$13-('Control Room'!$B$13-1)/2)/MAX(0.5,'Control Room'!$B$13/4))^2),1)*IF(AND($A535&gt;='Control Room'!$A$14,$A535&lt;'Control Room'!$A$14+'Control Room'!$B$14,'Process'!BT3=1),1+('Control Room'!$C$14-1)*EXP(-0.5*(($A535-'Control Room'!$A$14-('Control Room'!$B$14-1)/2)/MAX(0.5,'Control Room'!$B$14/4))^2),1)*IF(AND($A535&gt;='Control Room'!$A$15,$A535&lt;'Control Room'!$A$15+'Control Room'!$B$15,'Process'!BT4=1),1+('Control Room'!$C$15-1)*EXP(-0.5*(($A535-'Control Room'!$A$15-('Control Room'!$B$15-1)/2)/MAX(0.5,'Control Room'!$B$15/4))^2),1)*IF(AND($A535&gt;='Control Room'!$A$16,$A535&lt;'Control Room'!$A$16+'Control Room'!$B$16,'Process'!BT5=1),1+('Control Room'!$C$16-1)*EXP(-0.5*(($A535-'Control Room'!$A$16-('Control Room'!$B$16-1)/2)/MAX(0.5,'Control Room'!$B$16/4))^2),1)</x:f>
        <x:v>1</x:v>
      </x:c>
      <x:c r="AZ535" s="9" t="n">
        <x:f>MOD(BA534*16807,2147483647)</x:f>
        <x:v>1147388596</x:v>
      </x:c>
      <x:c r="BA535" s="9" t="n">
        <x:f>MOD(AZ535*16807,2147483647)</x:f>
        <x:v>1904466559</x:v>
      </x:c>
      <x:c r="BB535" s="17" t="n">
        <x:f>IF('Control Room'!$B$5="Normal",'Control Room'!$B$7+'Control Room'!$D$7*SQRT(-2*LN(MAX(0.000000000001,AZ535/2147483647)))*COS(2*PI()*BA535/2147483647),'Control Room'!$B$8+('Control Room'!$D$8-'Control Room'!$B$8)*AZ535/2147483647)</x:f>
        <x:v>1076.3514203769287</x:v>
      </x:c>
      <x:c r="BC535" s="17" t="n">
        <x:f>IF('Control Room'!$B$5="Normal",'Control Room'!$B$7,('Control Room'!$B$8+'Control Room'!$D$8)/2)+'Control Room'!$B$9*(BC534-IF('Control Room'!$B$5="Normal",'Control Room'!$B$7,('Control Room'!$B$8+'Control Room'!$D$8)/2))+SQRT(1-'Control Room'!$B$9^2)*(BB535-IF('Control Room'!$B$5="Normal",'Control Room'!$B$7,('Control Room'!$B$8+'Control Room'!$D$8)/2))</x:f>
        <x:v>1114.801763209698</x:v>
      </x:c>
      <x:c r="BD535" s="17" t="n">
        <x:f>IF(AND($A535&gt;='Control Room'!$A$13,$A535&lt;'Control Room'!$A$13+'Control Room'!$B$13,'Process'!BU2=1),1+('Control Room'!$C$13-1)*EXP(-0.5*(($A535-'Control Room'!$A$13-('Control Room'!$B$13-1)/2)/MAX(0.5,'Control Room'!$B$13/4))^2),1)*IF(AND($A535&gt;='Control Room'!$A$14,$A535&lt;'Control Room'!$A$14+'Control Room'!$B$14,'Process'!BU3=1),1+('Control Room'!$C$14-1)*EXP(-0.5*(($A535-'Control Room'!$A$14-('Control Room'!$B$14-1)/2)/MAX(0.5,'Control Room'!$B$14/4))^2),1)*IF(AND($A535&gt;='Control Room'!$A$15,$A535&lt;'Control Room'!$A$15+'Control Room'!$B$15,'Process'!BU4=1),1+('Control Room'!$C$15-1)*EXP(-0.5*(($A535-'Control Room'!$A$15-('Control Room'!$B$15-1)/2)/MAX(0.5,'Control Room'!$B$15/4))^2),1)*IF(AND($A535&gt;='Control Room'!$A$16,$A535&lt;'Control Room'!$A$16+'Control Room'!$B$16,'Process'!BU5=1),1+('Control Room'!$C$16-1)*EXP(-0.5*(($A535-'Control Room'!$A$16-('Control Room'!$B$16-1)/2)/MAX(0.5,'Control Room'!$B$16/4))^2),1)</x:f>
        <x:v>1</x:v>
      </x:c>
      <x:c r="BE535" s="9" t="n">
        <x:f>MOD(BF534*16807,2147483647)</x:f>
        <x:v>1230010376</x:v>
      </x:c>
      <x:c r="BF535" s="9" t="n">
        <x:f>MOD(BE535*16807,2147483647)</x:f>
        <x:v>1106803410</x:v>
      </x:c>
      <x:c r="BG535" s="17" t="n">
        <x:f>IF('Control Room'!$B$5="Normal",'Control Room'!$B$7+'Control Room'!$D$7*SQRT(-2*LN(MAX(0.000000000001,BE535/2147483647)))*COS(2*PI()*BF535/2147483647),'Control Room'!$B$8+('Control Room'!$D$8-'Control Room'!$B$8)*BE535/2147483647)</x:f>
        <x:v>905.4292388617292</x:v>
      </x:c>
      <x:c r="BH535" s="17" t="n">
        <x:f>IF('Control Room'!$B$5="Normal",'Control Room'!$B$7,('Control Room'!$B$8+'Control Room'!$D$8)/2)+'Control Room'!$B$9*(BH534-IF('Control Room'!$B$5="Normal",'Control Room'!$B$7,('Control Room'!$B$8+'Control Room'!$D$8)/2))+SQRT(1-'Control Room'!$B$9^2)*(BG535-IF('Control Room'!$B$5="Normal",'Control Room'!$B$7,('Control Room'!$B$8+'Control Room'!$D$8)/2))</x:f>
        <x:v>1011.6245876995249</x:v>
      </x:c>
      <x:c r="BI535" s="17" t="n">
        <x:f>IF(AND($A535&gt;='Control Room'!$A$13,$A535&lt;'Control Room'!$A$13+'Control Room'!$B$13,'Process'!BV2=1),1+('Control Room'!$C$13-1)*EXP(-0.5*(($A535-'Control Room'!$A$13-('Control Room'!$B$13-1)/2)/MAX(0.5,'Control Room'!$B$13/4))^2),1)*IF(AND($A535&gt;='Control Room'!$A$14,$A535&lt;'Control Room'!$A$14+'Control Room'!$B$14,'Process'!BV3=1),1+('Control Room'!$C$14-1)*EXP(-0.5*(($A535-'Control Room'!$A$14-('Control Room'!$B$14-1)/2)/MAX(0.5,'Control Room'!$B$14/4))^2),1)*IF(AND($A535&gt;='Control Room'!$A$15,$A535&lt;'Control Room'!$A$15+'Control Room'!$B$15,'Process'!BV4=1),1+('Control Room'!$C$15-1)*EXP(-0.5*(($A535-'Control Room'!$A$15-('Control Room'!$B$15-1)/2)/MAX(0.5,'Control Room'!$B$15/4))^2),1)*IF(AND($A535&gt;='Control Room'!$A$16,$A535&lt;'Control Room'!$A$16+'Control Room'!$B$16,'Process'!BV5=1),1+('Control Room'!$C$16-1)*EXP(-0.5*(($A535-'Control Room'!$A$16-('Control Room'!$B$16-1)/2)/MAX(0.5,'Control Room'!$B$16/4))^2),1)</x:f>
        <x:v>1</x:v>
      </x:c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Z535" t="str">
        <x:f>IF('Data'!A535="","",TEXT('Data'!A535,"mm-dd"))</x:f>
      </x:c>
    </x:row>
    <x:row r="536" ht="21" customHeight="1">
      <x:c r="A536" s="15" t="n">
        <x:f>'Control Room'!$B$1+534</x:f>
        <x:v>73525</x:v>
      </x:c>
      <x:c r="B536" s="9" t="n">
        <x:f>MOD(C535*16807,2147483647)</x:f>
        <x:v>262036092</x:v>
      </x:c>
      <x:c r="C536" s="9" t="n">
        <x:f>MOD(B536*16807,2147483647)</x:f>
        <x:v>1699121894</x:v>
      </x:c>
      <x:c r="D536" s="17" t="n">
        <x:f>IF('Control Room'!$B$5="Normal",'Control Room'!$B$7+'Control Room'!$D$7*SQRT(-2*LN(MAX(0.000000000001,B536/2147483647)))*COS(2*PI()*C536/2147483647),'Control Room'!$B$8+('Control Room'!$D$8-'Control Room'!$B$8)*B536/2147483647)</x:f>
        <x:v>1047.2725663091308</x:v>
      </x:c>
      <x:c r="E536" s="17" t="n">
        <x:f>IF('Control Room'!$B$5="Normal",'Control Room'!$B$7,('Control Room'!$B$8+'Control Room'!$D$8)/2)+'Control Room'!$B$9*(E535-IF('Control Room'!$B$5="Normal",'Control Room'!$B$7,('Control Room'!$B$8+'Control Room'!$D$8)/2))+SQRT(1-'Control Room'!$B$9^2)*(D536-IF('Control Room'!$B$5="Normal",'Control Room'!$B$7,('Control Room'!$B$8+'Control Room'!$D$8)/2))</x:f>
        <x:v>870.3586544996224</x:v>
      </x:c>
      <x:c r="F536" s="17" t="n">
        <x:f>IF(AND($A536&gt;='Control Room'!$A$13,$A536&lt;'Control Room'!$A$13+'Control Room'!$B$13,'Process'!BK2=1),1+('Control Room'!$C$13-1)*EXP(-0.5*(($A536-'Control Room'!$A$13-('Control Room'!$B$13-1)/2)/MAX(0.5,'Control Room'!$B$13/4))^2),1)*IF(AND($A536&gt;='Control Room'!$A$14,$A536&lt;'Control Room'!$A$14+'Control Room'!$B$14,'Process'!BK3=1),1+('Control Room'!$C$14-1)*EXP(-0.5*(($A536-'Control Room'!$A$14-('Control Room'!$B$14-1)/2)/MAX(0.5,'Control Room'!$B$14/4))^2),1)*IF(AND($A536&gt;='Control Room'!$A$15,$A536&lt;'Control Room'!$A$15+'Control Room'!$B$15,'Process'!BK4=1),1+('Control Room'!$C$15-1)*EXP(-0.5*(($A536-'Control Room'!$A$15-('Control Room'!$B$15-1)/2)/MAX(0.5,'Control Room'!$B$15/4))^2),1)*IF(AND($A536&gt;='Control Room'!$A$16,$A536&lt;'Control Room'!$A$16+'Control Room'!$B$16,'Process'!BK5=1),1+('Control Room'!$C$16-1)*EXP(-0.5*(($A536-'Control Room'!$A$16-('Control Room'!$B$16-1)/2)/MAX(0.5,'Control Room'!$B$16/4))^2),1)</x:f>
        <x:v>1</x:v>
      </x:c>
      <x:c r="G536" s="9" t="n">
        <x:f>MOD(H535*16807,2147483647)</x:f>
        <x:v>677899070</x:v>
      </x:c>
      <x:c r="H536" s="9" t="n">
        <x:f>MOD(G536*16807,2147483647)</x:f>
        <x:v>1048922155</x:v>
      </x:c>
      <x:c r="I536" s="17" t="n">
        <x:f>IF('Control Room'!$B$5="Normal",'Control Room'!$B$7+'Control Room'!$D$7*SQRT(-2*LN(MAX(0.000000000001,G536/2147483647)))*COS(2*PI()*H536/2147483647),'Control Room'!$B$8+('Control Room'!$D$8-'Control Room'!$B$8)*G536/2147483647)</x:f>
        <x:v>863.6873550079176</x:v>
      </x:c>
      <x:c r="J536" s="17" t="n">
        <x:f>IF('Control Room'!$B$5="Normal",'Control Room'!$B$7,('Control Room'!$B$8+'Control Room'!$D$8)/2)+'Control Room'!$B$9*(J535-IF('Control Room'!$B$5="Normal",'Control Room'!$B$7,('Control Room'!$B$8+'Control Room'!$D$8)/2))+SQRT(1-'Control Room'!$B$9^2)*(I536-IF('Control Room'!$B$5="Normal",'Control Room'!$B$7,('Control Room'!$B$8+'Control Room'!$D$8)/2))</x:f>
        <x:v>826.9249230432556</x:v>
      </x:c>
      <x:c r="K536" s="17" t="n">
        <x:f>IF(AND($A536&gt;='Control Room'!$A$13,$A536&lt;'Control Room'!$A$13+'Control Room'!$B$13,'Process'!BL2=1),1+('Control Room'!$C$13-1)*EXP(-0.5*(($A536-'Control Room'!$A$13-('Control Room'!$B$13-1)/2)/MAX(0.5,'Control Room'!$B$13/4))^2),1)*IF(AND($A536&gt;='Control Room'!$A$14,$A536&lt;'Control Room'!$A$14+'Control Room'!$B$14,'Process'!BL3=1),1+('Control Room'!$C$14-1)*EXP(-0.5*(($A536-'Control Room'!$A$14-('Control Room'!$B$14-1)/2)/MAX(0.5,'Control Room'!$B$14/4))^2),1)*IF(AND($A536&gt;='Control Room'!$A$15,$A536&lt;'Control Room'!$A$15+'Control Room'!$B$15,'Process'!BL4=1),1+('Control Room'!$C$15-1)*EXP(-0.5*(($A536-'Control Room'!$A$15-('Control Room'!$B$15-1)/2)/MAX(0.5,'Control Room'!$B$15/4))^2),1)*IF(AND($A536&gt;='Control Room'!$A$16,$A536&lt;'Control Room'!$A$16+'Control Room'!$B$16,'Process'!BL5=1),1+('Control Room'!$C$16-1)*EXP(-0.5*(($A536-'Control Room'!$A$16-('Control Room'!$B$16-1)/2)/MAX(0.5,'Control Room'!$B$16/4))^2),1)</x:f>
        <x:v>1</x:v>
      </x:c>
      <x:c r="L536" s="9" t="n">
        <x:f>MOD(M535*16807,2147483647)</x:f>
        <x:v>1093762048</x:v>
      </x:c>
      <x:c r="M536" s="9" t="n">
        <x:f>MOD(L536*16807,2147483647)</x:f>
        <x:v>398722416</x:v>
      </x:c>
      <x:c r="N536" s="17" t="n">
        <x:f>IF('Control Room'!$B$5="Normal",'Control Room'!$B$7+'Control Room'!$D$7*SQRT(-2*LN(MAX(0.000000000001,L536/2147483647)))*COS(2*PI()*M536/2147483647),'Control Room'!$B$8+('Control Room'!$D$8-'Control Room'!$B$8)*L536/2147483647)</x:f>
        <x:v>1041.1158986172056</x:v>
      </x:c>
      <x:c r="O536" s="17" t="n">
        <x:f>IF('Control Room'!$B$5="Normal",'Control Room'!$B$7,('Control Room'!$B$8+'Control Room'!$D$8)/2)+'Control Room'!$B$9*(O535-IF('Control Room'!$B$5="Normal",'Control Room'!$B$7,('Control Room'!$B$8+'Control Room'!$D$8)/2))+SQRT(1-'Control Room'!$B$9^2)*(N536-IF('Control Room'!$B$5="Normal",'Control Room'!$B$7,('Control Room'!$B$8+'Control Room'!$D$8)/2))</x:f>
        <x:v>1174.9451357247146</x:v>
      </x:c>
      <x:c r="P536" s="17" t="n">
        <x:f>IF(AND($A536&gt;='Control Room'!$A$13,$A536&lt;'Control Room'!$A$13+'Control Room'!$B$13,'Process'!BM2=1),1+('Control Room'!$C$13-1)*EXP(-0.5*(($A536-'Control Room'!$A$13-('Control Room'!$B$13-1)/2)/MAX(0.5,'Control Room'!$B$13/4))^2),1)*IF(AND($A536&gt;='Control Room'!$A$14,$A536&lt;'Control Room'!$A$14+'Control Room'!$B$14,'Process'!BM3=1),1+('Control Room'!$C$14-1)*EXP(-0.5*(($A536-'Control Room'!$A$14-('Control Room'!$B$14-1)/2)/MAX(0.5,'Control Room'!$B$14/4))^2),1)*IF(AND($A536&gt;='Control Room'!$A$15,$A536&lt;'Control Room'!$A$15+'Control Room'!$B$15,'Process'!BM4=1),1+('Control Room'!$C$15-1)*EXP(-0.5*(($A536-'Control Room'!$A$15-('Control Room'!$B$15-1)/2)/MAX(0.5,'Control Room'!$B$15/4))^2),1)*IF(AND($A536&gt;='Control Room'!$A$16,$A536&lt;'Control Room'!$A$16+'Control Room'!$B$16,'Process'!BM5=1),1+('Control Room'!$C$16-1)*EXP(-0.5*(($A536-'Control Room'!$A$16-('Control Room'!$B$16-1)/2)/MAX(0.5,'Control Room'!$B$16/4))^2),1)</x:f>
        <x:v>1</x:v>
      </x:c>
      <x:c r="Q536" s="9" t="n">
        <x:f>MOD(R535*16807,2147483647)</x:f>
        <x:v>1509625026</x:v>
      </x:c>
      <x:c r="R536" s="9" t="n">
        <x:f>MOD(Q536*16807,2147483647)</x:f>
        <x:v>1896006324</x:v>
      </x:c>
      <x:c r="S536" s="17" t="n">
        <x:f>IF('Control Room'!$B$5="Normal",'Control Room'!$B$7+'Control Room'!$D$7*SQRT(-2*LN(MAX(0.000000000001,Q536/2147483647)))*COS(2*PI()*R536/2147483647),'Control Room'!$B$8+('Control Room'!$D$8-'Control Room'!$B$8)*Q536/2147483647)</x:f>
        <x:v>1056.0138106350803</x:v>
      </x:c>
      <x:c r="T536" s="17" t="n">
        <x:f>IF('Control Room'!$B$5="Normal",'Control Room'!$B$7,('Control Room'!$B$8+'Control Room'!$D$8)/2)+'Control Room'!$B$9*(T535-IF('Control Room'!$B$5="Normal",'Control Room'!$B$7,('Control Room'!$B$8+'Control Room'!$D$8)/2))+SQRT(1-'Control Room'!$B$9^2)*(S536-IF('Control Room'!$B$5="Normal",'Control Room'!$B$7,('Control Room'!$B$8+'Control Room'!$D$8)/2))</x:f>
        <x:v>876.0025011063783</x:v>
      </x:c>
      <x:c r="U536" s="17" t="n">
        <x:f>IF(AND($A536&gt;='Control Room'!$A$13,$A536&lt;'Control Room'!$A$13+'Control Room'!$B$13,'Process'!BN2=1),1+('Control Room'!$C$13-1)*EXP(-0.5*(($A536-'Control Room'!$A$13-('Control Room'!$B$13-1)/2)/MAX(0.5,'Control Room'!$B$13/4))^2),1)*IF(AND($A536&gt;='Control Room'!$A$14,$A536&lt;'Control Room'!$A$14+'Control Room'!$B$14,'Process'!BN3=1),1+('Control Room'!$C$14-1)*EXP(-0.5*(($A536-'Control Room'!$A$14-('Control Room'!$B$14-1)/2)/MAX(0.5,'Control Room'!$B$14/4))^2),1)*IF(AND($A536&gt;='Control Room'!$A$15,$A536&lt;'Control Room'!$A$15+'Control Room'!$B$15,'Process'!BN4=1),1+('Control Room'!$C$15-1)*EXP(-0.5*(($A536-'Control Room'!$A$15-('Control Room'!$B$15-1)/2)/MAX(0.5,'Control Room'!$B$15/4))^2),1)*IF(AND($A536&gt;='Control Room'!$A$16,$A536&lt;'Control Room'!$A$16+'Control Room'!$B$16,'Process'!BN5=1),1+('Control Room'!$C$16-1)*EXP(-0.5*(($A536-'Control Room'!$A$16-('Control Room'!$B$16-1)/2)/MAX(0.5,'Control Room'!$B$16/4))^2),1)</x:f>
        <x:v>1</x:v>
      </x:c>
      <x:c r="V536" s="9" t="n">
        <x:f>MOD(W535*16807,2147483647)</x:f>
        <x:v>1925488004</x:v>
      </x:c>
      <x:c r="W536" s="9" t="n">
        <x:f>MOD(V536*16807,2147483647)</x:f>
        <x:v>1245806585</x:v>
      </x:c>
      <x:c r="X536" s="17" t="n">
        <x:f>IF('Control Room'!$B$5="Normal",'Control Room'!$B$7+'Control Room'!$D$7*SQRT(-2*LN(MAX(0.000000000001,V536/2147483647)))*COS(2*PI()*W536/2147483647),'Control Room'!$B$8+('Control Room'!$D$8-'Control Room'!$B$8)*V536/2147483647)</x:f>
        <x:v>963.1723141631096</x:v>
      </x:c>
      <x:c r="Y536" s="17" t="n">
        <x:f>IF('Control Room'!$B$5="Normal",'Control Room'!$B$7,('Control Room'!$B$8+'Control Room'!$D$8)/2)+'Control Room'!$B$9*(Y535-IF('Control Room'!$B$5="Normal",'Control Room'!$B$7,('Control Room'!$B$8+'Control Room'!$D$8)/2))+SQRT(1-'Control Room'!$B$9^2)*(X536-IF('Control Room'!$B$5="Normal",'Control Room'!$B$7,('Control Room'!$B$8+'Control Room'!$D$8)/2))</x:f>
        <x:v>1062.059293202558</x:v>
      </x:c>
      <x:c r="Z536" s="17" t="n">
        <x:f>IF(AND($A536&gt;='Control Room'!$A$13,$A536&lt;'Control Room'!$A$13+'Control Room'!$B$13,'Process'!BO2=1),1+('Control Room'!$C$13-1)*EXP(-0.5*(($A536-'Control Room'!$A$13-('Control Room'!$B$13-1)/2)/MAX(0.5,'Control Room'!$B$13/4))^2),1)*IF(AND($A536&gt;='Control Room'!$A$14,$A536&lt;'Control Room'!$A$14+'Control Room'!$B$14,'Process'!BO3=1),1+('Control Room'!$C$14-1)*EXP(-0.5*(($A536-'Control Room'!$A$14-('Control Room'!$B$14-1)/2)/MAX(0.5,'Control Room'!$B$14/4))^2),1)*IF(AND($A536&gt;='Control Room'!$A$15,$A536&lt;'Control Room'!$A$15+'Control Room'!$B$15,'Process'!BO4=1),1+('Control Room'!$C$15-1)*EXP(-0.5*(($A536-'Control Room'!$A$15-('Control Room'!$B$15-1)/2)/MAX(0.5,'Control Room'!$B$15/4))^2),1)*IF(AND($A536&gt;='Control Room'!$A$16,$A536&lt;'Control Room'!$A$16+'Control Room'!$B$16,'Process'!BO5=1),1+('Control Room'!$C$16-1)*EXP(-0.5*(($A536-'Control Room'!$A$16-('Control Room'!$B$16-1)/2)/MAX(0.5,'Control Room'!$B$16/4))^2),1)</x:f>
        <x:v>1</x:v>
      </x:c>
      <x:c r="AA536" s="9" t="n">
        <x:f>MOD(AB535*16807,2147483647)</x:f>
        <x:v>193867335</x:v>
      </x:c>
      <x:c r="AB536" s="9" t="n">
        <x:f>MOD(AA536*16807,2147483647)</x:f>
        <x:v>595606846</x:v>
      </x:c>
      <x:c r="AC536" s="17" t="n">
        <x:f>IF('Control Room'!$B$5="Normal",'Control Room'!$B$7+'Control Room'!$D$7*SQRT(-2*LN(MAX(0.000000000001,AA536/2147483647)))*COS(2*PI()*AB536/2147483647),'Control Room'!$B$8+('Control Room'!$D$8-'Control Room'!$B$8)*AA536/2147483647)</x:f>
        <x:v>966.2465528609274</x:v>
      </x:c>
      <x:c r="AD536" s="17" t="n">
        <x:f>IF('Control Room'!$B$5="Normal",'Control Room'!$B$7,('Control Room'!$B$8+'Control Room'!$D$8)/2)+'Control Room'!$B$9*(AD535-IF('Control Room'!$B$5="Normal",'Control Room'!$B$7,('Control Room'!$B$8+'Control Room'!$D$8)/2))+SQRT(1-'Control Room'!$B$9^2)*(AC536-IF('Control Room'!$B$5="Normal",'Control Room'!$B$7,('Control Room'!$B$8+'Control Room'!$D$8)/2))</x:f>
        <x:v>1038.2196380084754</x:v>
      </x:c>
      <x:c r="AE536" s="17" t="n">
        <x:f>IF(AND($A536&gt;='Control Room'!$A$13,$A536&lt;'Control Room'!$A$13+'Control Room'!$B$13,'Process'!BP2=1),1+('Control Room'!$C$13-1)*EXP(-0.5*(($A536-'Control Room'!$A$13-('Control Room'!$B$13-1)/2)/MAX(0.5,'Control Room'!$B$13/4))^2),1)*IF(AND($A536&gt;='Control Room'!$A$14,$A536&lt;'Control Room'!$A$14+'Control Room'!$B$14,'Process'!BP3=1),1+('Control Room'!$C$14-1)*EXP(-0.5*(($A536-'Control Room'!$A$14-('Control Room'!$B$14-1)/2)/MAX(0.5,'Control Room'!$B$14/4))^2),1)*IF(AND($A536&gt;='Control Room'!$A$15,$A536&lt;'Control Room'!$A$15+'Control Room'!$B$15,'Process'!BP4=1),1+('Control Room'!$C$15-1)*EXP(-0.5*(($A536-'Control Room'!$A$15-('Control Room'!$B$15-1)/2)/MAX(0.5,'Control Room'!$B$15/4))^2),1)*IF(AND($A536&gt;='Control Room'!$A$16,$A536&lt;'Control Room'!$A$16+'Control Room'!$B$16,'Process'!BP5=1),1+('Control Room'!$C$16-1)*EXP(-0.5*(($A536-'Control Room'!$A$16-('Control Room'!$B$16-1)/2)/MAX(0.5,'Control Room'!$B$16/4))^2),1)</x:f>
        <x:v>1</x:v>
      </x:c>
      <x:c r="AF536" s="9" t="n">
        <x:f>MOD(AG535*16807,2147483647)</x:f>
        <x:v>609730313</x:v>
      </x:c>
      <x:c r="AG536" s="9" t="n">
        <x:f>MOD(AF536*16807,2147483647)</x:f>
        <x:v>2092890754</x:v>
      </x:c>
      <x:c r="AH536" s="17" t="n">
        <x:f>IF('Control Room'!$B$5="Normal",'Control Room'!$B$7+'Control Room'!$D$7*SQRT(-2*LN(MAX(0.000000000001,AF536/2147483647)))*COS(2*PI()*AG536/2147483647),'Control Room'!$B$8+('Control Room'!$D$8-'Control Room'!$B$8)*AF536/2147483647)</x:f>
        <x:v>1140.9978611681238</x:v>
      </x:c>
      <x:c r="AI536" s="17" t="n">
        <x:f>IF('Control Room'!$B$5="Normal",'Control Room'!$B$7,('Control Room'!$B$8+'Control Room'!$D$8)/2)+'Control Room'!$B$9*(AI535-IF('Control Room'!$B$5="Normal",'Control Room'!$B$7,('Control Room'!$B$8+'Control Room'!$D$8)/2))+SQRT(1-'Control Room'!$B$9^2)*(AH536-IF('Control Room'!$B$5="Normal",'Control Room'!$B$7,('Control Room'!$B$8+'Control Room'!$D$8)/2))</x:f>
        <x:v>991.8089678027018</x:v>
      </x:c>
      <x:c r="AJ536" s="17" t="n">
        <x:f>IF(AND($A536&gt;='Control Room'!$A$13,$A536&lt;'Control Room'!$A$13+'Control Room'!$B$13,'Process'!BQ2=1),1+('Control Room'!$C$13-1)*EXP(-0.5*(($A536-'Control Room'!$A$13-('Control Room'!$B$13-1)/2)/MAX(0.5,'Control Room'!$B$13/4))^2),1)*IF(AND($A536&gt;='Control Room'!$A$14,$A536&lt;'Control Room'!$A$14+'Control Room'!$B$14,'Process'!BQ3=1),1+('Control Room'!$C$14-1)*EXP(-0.5*(($A536-'Control Room'!$A$14-('Control Room'!$B$14-1)/2)/MAX(0.5,'Control Room'!$B$14/4))^2),1)*IF(AND($A536&gt;='Control Room'!$A$15,$A536&lt;'Control Room'!$A$15+'Control Room'!$B$15,'Process'!BQ4=1),1+('Control Room'!$C$15-1)*EXP(-0.5*(($A536-'Control Room'!$A$15-('Control Room'!$B$15-1)/2)/MAX(0.5,'Control Room'!$B$15/4))^2),1)*IF(AND($A536&gt;='Control Room'!$A$16,$A536&lt;'Control Room'!$A$16+'Control Room'!$B$16,'Process'!BQ5=1),1+('Control Room'!$C$16-1)*EXP(-0.5*(($A536-'Control Room'!$A$16-('Control Room'!$B$16-1)/2)/MAX(0.5,'Control Room'!$B$16/4))^2),1)</x:f>
        <x:v>1</x:v>
      </x:c>
      <x:c r="AK536" s="9" t="n">
        <x:f>MOD(AL535*16807,2147483647)</x:f>
        <x:v>1025593291</x:v>
      </x:c>
      <x:c r="AL536" s="9" t="n">
        <x:f>MOD(AK536*16807,2147483647)</x:f>
        <x:v>1442691015</x:v>
      </x:c>
      <x:c r="AM536" s="17" t="n">
        <x:f>IF('Control Room'!$B$5="Normal",'Control Room'!$B$7+'Control Room'!$D$7*SQRT(-2*LN(MAX(0.000000000001,AK536/2147483647)))*COS(2*PI()*AL536/2147483647),'Control Room'!$B$8+('Control Room'!$D$8-'Control Room'!$B$8)*AK536/2147483647)</x:f>
        <x:v>948.3786750912708</x:v>
      </x:c>
      <x:c r="AN536" s="17" t="n">
        <x:f>IF('Control Room'!$B$5="Normal",'Control Room'!$B$7,('Control Room'!$B$8+'Control Room'!$D$8)/2)+'Control Room'!$B$9*(AN535-IF('Control Room'!$B$5="Normal",'Control Room'!$B$7,('Control Room'!$B$8+'Control Room'!$D$8)/2))+SQRT(1-'Control Room'!$B$9^2)*(AM536-IF('Control Room'!$B$5="Normal",'Control Room'!$B$7,('Control Room'!$B$8+'Control Room'!$D$8)/2))</x:f>
        <x:v>1085.360676989985</x:v>
      </x:c>
      <x:c r="AO536" s="17" t="n">
        <x:f>IF(AND($A536&gt;='Control Room'!$A$13,$A536&lt;'Control Room'!$A$13+'Control Room'!$B$13,'Process'!BR2=1),1+('Control Room'!$C$13-1)*EXP(-0.5*(($A536-'Control Room'!$A$13-('Control Room'!$B$13-1)/2)/MAX(0.5,'Control Room'!$B$13/4))^2),1)*IF(AND($A536&gt;='Control Room'!$A$14,$A536&lt;'Control Room'!$A$14+'Control Room'!$B$14,'Process'!BR3=1),1+('Control Room'!$C$14-1)*EXP(-0.5*(($A536-'Control Room'!$A$14-('Control Room'!$B$14-1)/2)/MAX(0.5,'Control Room'!$B$14/4))^2),1)*IF(AND($A536&gt;='Control Room'!$A$15,$A536&lt;'Control Room'!$A$15+'Control Room'!$B$15,'Process'!BR4=1),1+('Control Room'!$C$15-1)*EXP(-0.5*(($A536-'Control Room'!$A$15-('Control Room'!$B$15-1)/2)/MAX(0.5,'Control Room'!$B$15/4))^2),1)*IF(AND($A536&gt;='Control Room'!$A$16,$A536&lt;'Control Room'!$A$16+'Control Room'!$B$16,'Process'!BR5=1),1+('Control Room'!$C$16-1)*EXP(-0.5*(($A536-'Control Room'!$A$16-('Control Room'!$B$16-1)/2)/MAX(0.5,'Control Room'!$B$16/4))^2),1)</x:f>
        <x:v>1</x:v>
      </x:c>
      <x:c r="AP536" s="9" t="n">
        <x:f>MOD(AQ535*16807,2147483647)</x:f>
        <x:v>1441456269</x:v>
      </x:c>
      <x:c r="AQ536" s="9" t="n">
        <x:f>MOD(AP536*16807,2147483647)</x:f>
        <x:v>792491276</x:v>
      </x:c>
      <x:c r="AR536" s="17" t="n">
        <x:f>IF('Control Room'!$B$5="Normal",'Control Room'!$B$7+'Control Room'!$D$7*SQRT(-2*LN(MAX(0.000000000001,AP536/2147483647)))*COS(2*PI()*AQ536/2147483647),'Control Room'!$B$8+('Control Room'!$D$8-'Control Room'!$B$8)*AP536/2147483647)</x:f>
        <x:v>945.3457072960631</x:v>
      </x:c>
      <x:c r="AS536" s="17" t="n">
        <x:f>IF('Control Room'!$B$5="Normal",'Control Room'!$B$7,('Control Room'!$B$8+'Control Room'!$D$8)/2)+'Control Room'!$B$9*(AS535-IF('Control Room'!$B$5="Normal",'Control Room'!$B$7,('Control Room'!$B$8+'Control Room'!$D$8)/2))+SQRT(1-'Control Room'!$B$9^2)*(AR536-IF('Control Room'!$B$5="Normal",'Control Room'!$B$7,('Control Room'!$B$8+'Control Room'!$D$8)/2))</x:f>
        <x:v>960.0283278025508</x:v>
      </x:c>
      <x:c r="AT536" s="17" t="n">
        <x:f>IF(AND($A536&gt;='Control Room'!$A$13,$A536&lt;'Control Room'!$A$13+'Control Room'!$B$13,'Process'!BS2=1),1+('Control Room'!$C$13-1)*EXP(-0.5*(($A536-'Control Room'!$A$13-('Control Room'!$B$13-1)/2)/MAX(0.5,'Control Room'!$B$13/4))^2),1)*IF(AND($A536&gt;='Control Room'!$A$14,$A536&lt;'Control Room'!$A$14+'Control Room'!$B$14,'Process'!BS3=1),1+('Control Room'!$C$14-1)*EXP(-0.5*(($A536-'Control Room'!$A$14-('Control Room'!$B$14-1)/2)/MAX(0.5,'Control Room'!$B$14/4))^2),1)*IF(AND($A536&gt;='Control Room'!$A$15,$A536&lt;'Control Room'!$A$15+'Control Room'!$B$15,'Process'!BS4=1),1+('Control Room'!$C$15-1)*EXP(-0.5*(($A536-'Control Room'!$A$15-('Control Room'!$B$15-1)/2)/MAX(0.5,'Control Room'!$B$15/4))^2),1)*IF(AND($A536&gt;='Control Room'!$A$16,$A536&lt;'Control Room'!$A$16+'Control Room'!$B$16,'Process'!BS5=1),1+('Control Room'!$C$16-1)*EXP(-0.5*(($A536-'Control Room'!$A$16-('Control Room'!$B$16-1)/2)/MAX(0.5,'Control Room'!$B$16/4))^2),1)</x:f>
        <x:v>1</x:v>
      </x:c>
      <x:c r="AU536" s="9" t="n">
        <x:f>MOD(AV535*16807,2147483647)</x:f>
        <x:v>1857319247</x:v>
      </x:c>
      <x:c r="AV536" s="9" t="n">
        <x:f>MOD(AU536*16807,2147483647)</x:f>
        <x:v>142291537</x:v>
      </x:c>
      <x:c r="AW536" s="17" t="n">
        <x:f>IF('Control Room'!$B$5="Normal",'Control Room'!$B$7+'Control Room'!$D$7*SQRT(-2*LN(MAX(0.000000000001,AU536/2147483647)))*COS(2*PI()*AV536/2147483647),'Control Room'!$B$8+('Control Room'!$D$8-'Control Room'!$B$8)*AU536/2147483647)</x:f>
        <x:v>1044.3514459990668</x:v>
      </x:c>
      <x:c r="AX536" s="17" t="n">
        <x:f>IF('Control Room'!$B$5="Normal",'Control Room'!$B$7,('Control Room'!$B$8+'Control Room'!$D$8)/2)+'Control Room'!$B$9*(AX535-IF('Control Room'!$B$5="Normal",'Control Room'!$B$7,('Control Room'!$B$8+'Control Room'!$D$8)/2))+SQRT(1-'Control Room'!$B$9^2)*(AW536-IF('Control Room'!$B$5="Normal",'Control Room'!$B$7,('Control Room'!$B$8+'Control Room'!$D$8)/2))</x:f>
        <x:v>972.9312603244911</x:v>
      </x:c>
      <x:c r="AY536" s="17" t="n">
        <x:f>IF(AND($A536&gt;='Control Room'!$A$13,$A536&lt;'Control Room'!$A$13+'Control Room'!$B$13,'Process'!BT2=1),1+('Control Room'!$C$13-1)*EXP(-0.5*(($A536-'Control Room'!$A$13-('Control Room'!$B$13-1)/2)/MAX(0.5,'Control Room'!$B$13/4))^2),1)*IF(AND($A536&gt;='Control Room'!$A$14,$A536&lt;'Control Room'!$A$14+'Control Room'!$B$14,'Process'!BT3=1),1+('Control Room'!$C$14-1)*EXP(-0.5*(($A536-'Control Room'!$A$14-('Control Room'!$B$14-1)/2)/MAX(0.5,'Control Room'!$B$14/4))^2),1)*IF(AND($A536&gt;='Control Room'!$A$15,$A536&lt;'Control Room'!$A$15+'Control Room'!$B$15,'Process'!BT4=1),1+('Control Room'!$C$15-1)*EXP(-0.5*(($A536-'Control Room'!$A$15-('Control Room'!$B$15-1)/2)/MAX(0.5,'Control Room'!$B$15/4))^2),1)*IF(AND($A536&gt;='Control Room'!$A$16,$A536&lt;'Control Room'!$A$16+'Control Room'!$B$16,'Process'!BT5=1),1+('Control Room'!$C$16-1)*EXP(-0.5*(($A536-'Control Room'!$A$16-('Control Room'!$B$16-1)/2)/MAX(0.5,'Control Room'!$B$16/4))^2),1)</x:f>
        <x:v>1</x:v>
      </x:c>
      <x:c r="AZ536" s="9" t="n">
        <x:f>MOD(BA535*16807,2147483647)</x:f>
        <x:v>125698578</x:v>
      </x:c>
      <x:c r="BA536" s="9" t="n">
        <x:f>MOD(AZ536*16807,2147483647)</x:f>
        <x:v>1639575445</x:v>
      </x:c>
      <x:c r="BB536" s="17" t="n">
        <x:f>IF('Control Room'!$B$5="Normal",'Control Room'!$B$7+'Control Room'!$D$7*SQRT(-2*LN(MAX(0.000000000001,AZ536/2147483647)))*COS(2*PI()*BA536/2147483647),'Control Room'!$B$8+('Control Room'!$D$8-'Control Room'!$B$8)*AZ536/2147483647)</x:f>
        <x:v>1018.1487051741532</x:v>
      </x:c>
      <x:c r="BC536" s="17" t="n">
        <x:f>IF('Control Room'!$B$5="Normal",'Control Room'!$B$7,('Control Room'!$B$8+'Control Room'!$D$8)/2)+'Control Room'!$B$9*(BC535-IF('Control Room'!$B$5="Normal",'Control Room'!$B$7,('Control Room'!$B$8+'Control Room'!$D$8)/2))+SQRT(1-'Control Room'!$B$9^2)*(BB536-IF('Control Room'!$B$5="Normal",'Control Room'!$B$7,('Control Room'!$B$8+'Control Room'!$D$8)/2))</x:f>
        <x:v>1100.902463205115</x:v>
      </x:c>
      <x:c r="BD536" s="17" t="n">
        <x:f>IF(AND($A536&gt;='Control Room'!$A$13,$A536&lt;'Control Room'!$A$13+'Control Room'!$B$13,'Process'!BU2=1),1+('Control Room'!$C$13-1)*EXP(-0.5*(($A536-'Control Room'!$A$13-('Control Room'!$B$13-1)/2)/MAX(0.5,'Control Room'!$B$13/4))^2),1)*IF(AND($A536&gt;='Control Room'!$A$14,$A536&lt;'Control Room'!$A$14+'Control Room'!$B$14,'Process'!BU3=1),1+('Control Room'!$C$14-1)*EXP(-0.5*(($A536-'Control Room'!$A$14-('Control Room'!$B$14-1)/2)/MAX(0.5,'Control Room'!$B$14/4))^2),1)*IF(AND($A536&gt;='Control Room'!$A$15,$A536&lt;'Control Room'!$A$15+'Control Room'!$B$15,'Process'!BU4=1),1+('Control Room'!$C$15-1)*EXP(-0.5*(($A536-'Control Room'!$A$15-('Control Room'!$B$15-1)/2)/MAX(0.5,'Control Room'!$B$15/4))^2),1)*IF(AND($A536&gt;='Control Room'!$A$16,$A536&lt;'Control Room'!$A$16+'Control Room'!$B$16,'Process'!BU5=1),1+('Control Room'!$C$16-1)*EXP(-0.5*(($A536-'Control Room'!$A$16-('Control Room'!$B$16-1)/2)/MAX(0.5,'Control Room'!$B$16/4))^2),1)</x:f>
        <x:v>1</x:v>
      </x:c>
      <x:c r="BE536" s="9" t="n">
        <x:f>MOD(BF535*16807,2147483647)</x:f>
        <x:v>541561556</x:v>
      </x:c>
      <x:c r="BF536" s="9" t="n">
        <x:f>MOD(BE536*16807,2147483647)</x:f>
        <x:v>989375706</x:v>
      </x:c>
      <x:c r="BG536" s="17" t="n">
        <x:f>IF('Control Room'!$B$5="Normal",'Control Room'!$B$7+'Control Room'!$D$7*SQRT(-2*LN(MAX(0.000000000001,BE536/2147483647)))*COS(2*PI()*BF536/2147483647),'Control Room'!$B$8+('Control Room'!$D$8-'Control Room'!$B$8)*BE536/2147483647)</x:f>
        <x:v>855.13922127695</x:v>
      </x:c>
      <x:c r="BH536" s="17" t="n">
        <x:f>IF('Control Room'!$B$5="Normal",'Control Room'!$B$7,('Control Room'!$B$8+'Control Room'!$D$8)/2)+'Control Room'!$B$9*(BH535-IF('Control Room'!$B$5="Normal",'Control Room'!$B$7,('Control Room'!$B$8+'Control Room'!$D$8)/2))+SQRT(1-'Control Room'!$B$9^2)*(BG536-IF('Control Room'!$B$5="Normal",'Control Room'!$B$7,('Control Room'!$B$8+'Control Room'!$D$8)/2))</x:f>
        <x:v>918.4162707151022</x:v>
      </x:c>
      <x:c r="BI536" s="17" t="n">
        <x:f>IF(AND($A536&gt;='Control Room'!$A$13,$A536&lt;'Control Room'!$A$13+'Control Room'!$B$13,'Process'!BV2=1),1+('Control Room'!$C$13-1)*EXP(-0.5*(($A536-'Control Room'!$A$13-('Control Room'!$B$13-1)/2)/MAX(0.5,'Control Room'!$B$13/4))^2),1)*IF(AND($A536&gt;='Control Room'!$A$14,$A536&lt;'Control Room'!$A$14+'Control Room'!$B$14,'Process'!BV3=1),1+('Control Room'!$C$14-1)*EXP(-0.5*(($A536-'Control Room'!$A$14-('Control Room'!$B$14-1)/2)/MAX(0.5,'Control Room'!$B$14/4))^2),1)*IF(AND($A536&gt;='Control Room'!$A$15,$A536&lt;'Control Room'!$A$15+'Control Room'!$B$15,'Process'!BV4=1),1+('Control Room'!$C$15-1)*EXP(-0.5*(($A536-'Control Room'!$A$15-('Control Room'!$B$15-1)/2)/MAX(0.5,'Control Room'!$B$15/4))^2),1)*IF(AND($A536&gt;='Control Room'!$A$16,$A536&lt;'Control Room'!$A$16+'Control Room'!$B$16,'Process'!BV5=1),1+('Control Room'!$C$16-1)*EXP(-0.5*(($A536-'Control Room'!$A$16-('Control Room'!$B$16-1)/2)/MAX(0.5,'Control Room'!$B$16/4))^2),1)</x:f>
        <x:v>1</x:v>
      </x:c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Z536" t="str">
        <x:f>IF('Data'!A536="","",TEXT('Data'!A536,"mm-dd"))</x:f>
      </x:c>
    </x:row>
    <x:row r="537" ht="21" customHeight="1">
      <x:c r="A537" s="15" t="n">
        <x:f>'Control Room'!$B$1+535</x:f>
        <x:v>73526</x:v>
      </x:c>
      <x:c r="B537" s="9" t="n">
        <x:f>MOD(C536*16807,2147483647)</x:f>
        <x:v>2051618299</x:v>
      </x:c>
      <x:c r="C537" s="9" t="n">
        <x:f>MOD(B537*16807,2147483647)</x:f>
        <x:v>1551315061</x:v>
      </x:c>
      <x:c r="D537" s="17" t="n">
        <x:f>IF('Control Room'!$B$5="Normal",'Control Room'!$B$7+'Control Room'!$D$7*SQRT(-2*LN(MAX(0.000000000001,B537/2147483647)))*COS(2*PI()*C537/2147483647),'Control Room'!$B$8+('Control Room'!$D$8-'Control Room'!$B$8)*B537/2147483647)</x:f>
        <x:v>995.3046326586926</x:v>
      </x:c>
      <x:c r="E537" s="17" t="n">
        <x:f>IF('Control Room'!$B$5="Normal",'Control Room'!$B$7,('Control Room'!$B$8+'Control Room'!$D$8)/2)+'Control Room'!$B$9*(E536-IF('Control Room'!$B$5="Normal",'Control Room'!$B$7,('Control Room'!$B$8+'Control Room'!$D$8)/2))+SQRT(1-'Control Room'!$B$9^2)*(D537-IF('Control Room'!$B$5="Normal",'Control Room'!$B$7,('Control Room'!$B$8+'Control Room'!$D$8)/2))</x:f>
        <x:v>895.9414858173436</x:v>
      </x:c>
      <x:c r="F537" s="17" t="n">
        <x:f>IF(AND($A537&gt;='Control Room'!$A$13,$A537&lt;'Control Room'!$A$13+'Control Room'!$B$13,'Process'!BK2=1),1+('Control Room'!$C$13-1)*EXP(-0.5*(($A537-'Control Room'!$A$13-('Control Room'!$B$13-1)/2)/MAX(0.5,'Control Room'!$B$13/4))^2),1)*IF(AND($A537&gt;='Control Room'!$A$14,$A537&lt;'Control Room'!$A$14+'Control Room'!$B$14,'Process'!BK3=1),1+('Control Room'!$C$14-1)*EXP(-0.5*(($A537-'Control Room'!$A$14-('Control Room'!$B$14-1)/2)/MAX(0.5,'Control Room'!$B$14/4))^2),1)*IF(AND($A537&gt;='Control Room'!$A$15,$A537&lt;'Control Room'!$A$15+'Control Room'!$B$15,'Process'!BK4=1),1+('Control Room'!$C$15-1)*EXP(-0.5*(($A537-'Control Room'!$A$15-('Control Room'!$B$15-1)/2)/MAX(0.5,'Control Room'!$B$15/4))^2),1)*IF(AND($A537&gt;='Control Room'!$A$16,$A537&lt;'Control Room'!$A$16+'Control Room'!$B$16,'Process'!BK5=1),1+('Control Room'!$C$16-1)*EXP(-0.5*(($A537-'Control Room'!$A$16-('Control Room'!$B$16-1)/2)/MAX(0.5,'Control Room'!$B$16/4))^2),1)</x:f>
        <x:v>1</x:v>
      </x:c>
      <x:c r="G537" s="9" t="n">
        <x:f>MOD(H536*16807,2147483647)</x:f>
        <x:v>541400862</x:v>
      </x:c>
      <x:c r="H537" s="9" t="n">
        <x:f>MOD(G537*16807,2147483647)</x:f>
        <x:v>436075295</x:v>
      </x:c>
      <x:c r="I537" s="17" t="n">
        <x:f>IF('Control Room'!$B$5="Normal",'Control Room'!$B$7+'Control Room'!$D$7*SQRT(-2*LN(MAX(0.000000000001,G537/2147483647)))*COS(2*PI()*H537/2147483647),'Control Room'!$B$8+('Control Room'!$D$8-'Control Room'!$B$8)*G537/2147483647)</x:f>
        <x:v>1043.425327859387</x:v>
      </x:c>
      <x:c r="J537" s="17" t="n">
        <x:f>IF('Control Room'!$B$5="Normal",'Control Room'!$B$7,('Control Room'!$B$8+'Control Room'!$D$8)/2)+'Control Room'!$B$9*(J536-IF('Control Room'!$B$5="Normal",'Control Room'!$B$7,('Control Room'!$B$8+'Control Room'!$D$8)/2))+SQRT(1-'Control Room'!$B$9^2)*(I537-IF('Control Room'!$B$5="Normal",'Control Room'!$B$7,('Control Room'!$B$8+'Control Room'!$D$8)/2))</x:f>
        <x:v>892.1761205319475</x:v>
      </x:c>
      <x:c r="K537" s="17" t="n">
        <x:f>IF(AND($A537&gt;='Control Room'!$A$13,$A537&lt;'Control Room'!$A$13+'Control Room'!$B$13,'Process'!BL2=1),1+('Control Room'!$C$13-1)*EXP(-0.5*(($A537-'Control Room'!$A$13-('Control Room'!$B$13-1)/2)/MAX(0.5,'Control Room'!$B$13/4))^2),1)*IF(AND($A537&gt;='Control Room'!$A$14,$A537&lt;'Control Room'!$A$14+'Control Room'!$B$14,'Process'!BL3=1),1+('Control Room'!$C$14-1)*EXP(-0.5*(($A537-'Control Room'!$A$14-('Control Room'!$B$14-1)/2)/MAX(0.5,'Control Room'!$B$14/4))^2),1)*IF(AND($A537&gt;='Control Room'!$A$15,$A537&lt;'Control Room'!$A$15+'Control Room'!$B$15,'Process'!BL4=1),1+('Control Room'!$C$15-1)*EXP(-0.5*(($A537-'Control Room'!$A$15-('Control Room'!$B$15-1)/2)/MAX(0.5,'Control Room'!$B$15/4))^2),1)*IF(AND($A537&gt;='Control Room'!$A$16,$A537&lt;'Control Room'!$A$16+'Control Room'!$B$16,'Process'!BL5=1),1+('Control Room'!$C$16-1)*EXP(-0.5*(($A537-'Control Room'!$A$16-('Control Room'!$B$16-1)/2)/MAX(0.5,'Control Room'!$B$16/4))^2),1)</x:f>
        <x:v>1</x:v>
      </x:c>
      <x:c r="L537" s="9" t="n">
        <x:f>MOD(M536*16807,2147483647)</x:f>
        <x:v>1178667072</x:v>
      </x:c>
      <x:c r="M537" s="9" t="n">
        <x:f>MOD(L537*16807,2147483647)</x:f>
        <x:v>1468319176</x:v>
      </x:c>
      <x:c r="N537" s="17" t="n">
        <x:f>IF('Control Room'!$B$5="Normal",'Control Room'!$B$7+'Control Room'!$D$7*SQRT(-2*LN(MAX(0.000000000001,L537/2147483647)))*COS(2*PI()*M537/2147483647),'Control Room'!$B$8+('Control Room'!$D$8-'Control Room'!$B$8)*L537/2147483647)</x:f>
        <x:v>960.1326392274183</x:v>
      </x:c>
      <x:c r="O537" s="17" t="n">
        <x:f>IF('Control Room'!$B$5="Normal",'Control Room'!$B$7,('Control Room'!$B$8+'Control Room'!$D$8)/2)+'Control Room'!$B$9*(O536-IF('Control Room'!$B$5="Normal",'Control Room'!$B$7,('Control Room'!$B$8+'Control Room'!$D$8)/2))+SQRT(1-'Control Room'!$B$9^2)*(N537-IF('Control Room'!$B$5="Normal",'Control Room'!$B$7,('Control Room'!$B$8+'Control Room'!$D$8)/2))</x:f>
        <x:v>1111.5090282210745</x:v>
      </x:c>
      <x:c r="P537" s="17" t="n">
        <x:f>IF(AND($A537&gt;='Control Room'!$A$13,$A537&lt;'Control Room'!$A$13+'Control Room'!$B$13,'Process'!BM2=1),1+('Control Room'!$C$13-1)*EXP(-0.5*(($A537-'Control Room'!$A$13-('Control Room'!$B$13-1)/2)/MAX(0.5,'Control Room'!$B$13/4))^2),1)*IF(AND($A537&gt;='Control Room'!$A$14,$A537&lt;'Control Room'!$A$14+'Control Room'!$B$14,'Process'!BM3=1),1+('Control Room'!$C$14-1)*EXP(-0.5*(($A537-'Control Room'!$A$14-('Control Room'!$B$14-1)/2)/MAX(0.5,'Control Room'!$B$14/4))^2),1)*IF(AND($A537&gt;='Control Room'!$A$15,$A537&lt;'Control Room'!$A$15+'Control Room'!$B$15,'Process'!BM4=1),1+('Control Room'!$C$15-1)*EXP(-0.5*(($A537-'Control Room'!$A$15-('Control Room'!$B$15-1)/2)/MAX(0.5,'Control Room'!$B$15/4))^2),1)*IF(AND($A537&gt;='Control Room'!$A$16,$A537&lt;'Control Room'!$A$16+'Control Room'!$B$16,'Process'!BM5=1),1+('Control Room'!$C$16-1)*EXP(-0.5*(($A537-'Control Room'!$A$16-('Control Room'!$B$16-1)/2)/MAX(0.5,'Control Room'!$B$16/4))^2),1)</x:f>
        <x:v>1</x:v>
      </x:c>
      <x:c r="Q537" s="9" t="n">
        <x:f>MOD(R536*16807,2147483647)</x:f>
        <x:v>1815933282</x:v>
      </x:c>
      <x:c r="R537" s="9" t="n">
        <x:f>MOD(Q537*16807,2147483647)</x:f>
        <x:v>353079410</x:v>
      </x:c>
      <x:c r="S537" s="17" t="n">
        <x:f>IF('Control Room'!$B$5="Normal",'Control Room'!$B$7+'Control Room'!$D$7*SQRT(-2*LN(MAX(0.000000000001,Q537/2147483647)))*COS(2*PI()*R537/2147483647),'Control Room'!$B$8+('Control Room'!$D$8-'Control Room'!$B$8)*Q537/2147483647)</x:f>
        <x:v>1026.6968255168217</x:v>
      </x:c>
      <x:c r="T537" s="17" t="n">
        <x:f>IF('Control Room'!$B$5="Normal",'Control Room'!$B$7,('Control Room'!$B$8+'Control Room'!$D$8)/2)+'Control Room'!$B$9*(T536-IF('Control Room'!$B$5="Normal",'Control Room'!$B$7,('Control Room'!$B$8+'Control Room'!$D$8)/2))+SQRT(1-'Control Room'!$B$9^2)*(S537-IF('Control Room'!$B$5="Normal",'Control Room'!$B$7,('Control Room'!$B$8+'Control Room'!$D$8)/2))</x:f>
        <x:v>919.988277357204</x:v>
      </x:c>
      <x:c r="U537" s="17" t="n">
        <x:f>IF(AND($A537&gt;='Control Room'!$A$13,$A537&lt;'Control Room'!$A$13+'Control Room'!$B$13,'Process'!BN2=1),1+('Control Room'!$C$13-1)*EXP(-0.5*(($A537-'Control Room'!$A$13-('Control Room'!$B$13-1)/2)/MAX(0.5,'Control Room'!$B$13/4))^2),1)*IF(AND($A537&gt;='Control Room'!$A$14,$A537&lt;'Control Room'!$A$14+'Control Room'!$B$14,'Process'!BN3=1),1+('Control Room'!$C$14-1)*EXP(-0.5*(($A537-'Control Room'!$A$14-('Control Room'!$B$14-1)/2)/MAX(0.5,'Control Room'!$B$14/4))^2),1)*IF(AND($A537&gt;='Control Room'!$A$15,$A537&lt;'Control Room'!$A$15+'Control Room'!$B$15,'Process'!BN4=1),1+('Control Room'!$C$15-1)*EXP(-0.5*(($A537-'Control Room'!$A$15-('Control Room'!$B$15-1)/2)/MAX(0.5,'Control Room'!$B$15/4))^2),1)*IF(AND($A537&gt;='Control Room'!$A$16,$A537&lt;'Control Room'!$A$16+'Control Room'!$B$16,'Process'!BN5=1),1+('Control Room'!$C$16-1)*EXP(-0.5*(($A537-'Control Room'!$A$16-('Control Room'!$B$16-1)/2)/MAX(0.5,'Control Room'!$B$16/4))^2),1)</x:f>
        <x:v>1</x:v>
      </x:c>
      <x:c r="V537" s="9" t="n">
        <x:f>MOD(W536*16807,2147483647)</x:f>
        <x:v>305715845</x:v>
      </x:c>
      <x:c r="W537" s="9" t="n">
        <x:f>MOD(V537*16807,2147483647)</x:f>
        <x:v>1385323291</x:v>
      </x:c>
      <x:c r="X537" s="17" t="n">
        <x:f>IF('Control Room'!$B$5="Normal",'Control Room'!$B$7+'Control Room'!$D$7*SQRT(-2*LN(MAX(0.000000000001,V537/2147483647)))*COS(2*PI()*W537/2147483647),'Control Room'!$B$8+('Control Room'!$D$8-'Control Room'!$B$8)*V537/2147483647)</x:f>
        <x:v>891.1620538028958</x:v>
      </x:c>
      <x:c r="Y537" s="17" t="n">
        <x:f>IF('Control Room'!$B$5="Normal",'Control Room'!$B$7,('Control Room'!$B$8+'Control Room'!$D$8)/2)+'Control Room'!$B$9*(Y536-IF('Control Room'!$B$5="Normal",'Control Room'!$B$7,('Control Room'!$B$8+'Control Room'!$D$8)/2))+SQRT(1-'Control Room'!$B$9^2)*(X537-IF('Control Room'!$B$5="Normal",'Control Room'!$B$7,('Control Room'!$B$8+'Control Room'!$D$8)/2))</x:f>
        <x:v>980.2976916343683</x:v>
      </x:c>
      <x:c r="Z537" s="17" t="n">
        <x:f>IF(AND($A537&gt;='Control Room'!$A$13,$A537&lt;'Control Room'!$A$13+'Control Room'!$B$13,'Process'!BO2=1),1+('Control Room'!$C$13-1)*EXP(-0.5*(($A537-'Control Room'!$A$13-('Control Room'!$B$13-1)/2)/MAX(0.5,'Control Room'!$B$13/4))^2),1)*IF(AND($A537&gt;='Control Room'!$A$14,$A537&lt;'Control Room'!$A$14+'Control Room'!$B$14,'Process'!BO3=1),1+('Control Room'!$C$14-1)*EXP(-0.5*(($A537-'Control Room'!$A$14-('Control Room'!$B$14-1)/2)/MAX(0.5,'Control Room'!$B$14/4))^2),1)*IF(AND($A537&gt;='Control Room'!$A$15,$A537&lt;'Control Room'!$A$15+'Control Room'!$B$15,'Process'!BO4=1),1+('Control Room'!$C$15-1)*EXP(-0.5*(($A537-'Control Room'!$A$15-('Control Room'!$B$15-1)/2)/MAX(0.5,'Control Room'!$B$15/4))^2),1)*IF(AND($A537&gt;='Control Room'!$A$16,$A537&lt;'Control Room'!$A$16+'Control Room'!$B$16,'Process'!BO5=1),1+('Control Room'!$C$16-1)*EXP(-0.5*(($A537-'Control Room'!$A$16-('Control Room'!$B$16-1)/2)/MAX(0.5,'Control Room'!$B$16/4))^2),1)</x:f>
        <x:v>1</x:v>
      </x:c>
      <x:c r="AA537" s="9" t="n">
        <x:f>MOD(AB536*16807,2147483647)</x:f>
        <x:v>942982055</x:v>
      </x:c>
      <x:c r="AB537" s="9" t="n">
        <x:f>MOD(AA537*16807,2147483647)</x:f>
        <x:v>270083525</x:v>
      </x:c>
      <x:c r="AC537" s="17" t="n">
        <x:f>IF('Control Room'!$B$5="Normal",'Control Room'!$B$7+'Control Room'!$D$7*SQRT(-2*LN(MAX(0.000000000001,AA537/2147483647)))*COS(2*PI()*AB537/2147483647),'Control Room'!$B$8+('Control Room'!$D$8-'Control Room'!$B$8)*AA537/2147483647)</x:f>
        <x:v>1081.252999063996</x:v>
      </x:c>
      <x:c r="AD537" s="17" t="n">
        <x:f>IF('Control Room'!$B$5="Normal",'Control Room'!$B$7,('Control Room'!$B$8+'Control Room'!$D$8)/2)+'Control Room'!$B$9*(AD536-IF('Control Room'!$B$5="Normal",'Control Room'!$B$7,('Control Room'!$B$8+'Control Room'!$D$8)/2))+SQRT(1-'Control Room'!$B$9^2)*(AC537-IF('Control Room'!$B$5="Normal",'Control Room'!$B$7,('Control Room'!$B$8+'Control Room'!$D$8)/2))</x:f>
        <x:v>1080.6577799026968</x:v>
      </x:c>
      <x:c r="AE537" s="17" t="n">
        <x:f>IF(AND($A537&gt;='Control Room'!$A$13,$A537&lt;'Control Room'!$A$13+'Control Room'!$B$13,'Process'!BP2=1),1+('Control Room'!$C$13-1)*EXP(-0.5*(($A537-'Control Room'!$A$13-('Control Room'!$B$13-1)/2)/MAX(0.5,'Control Room'!$B$13/4))^2),1)*IF(AND($A537&gt;='Control Room'!$A$14,$A537&lt;'Control Room'!$A$14+'Control Room'!$B$14,'Process'!BP3=1),1+('Control Room'!$C$14-1)*EXP(-0.5*(($A537-'Control Room'!$A$14-('Control Room'!$B$14-1)/2)/MAX(0.5,'Control Room'!$B$14/4))^2),1)*IF(AND($A537&gt;='Control Room'!$A$15,$A537&lt;'Control Room'!$A$15+'Control Room'!$B$15,'Process'!BP4=1),1+('Control Room'!$C$15-1)*EXP(-0.5*(($A537-'Control Room'!$A$15-('Control Room'!$B$15-1)/2)/MAX(0.5,'Control Room'!$B$15/4))^2),1)*IF(AND($A537&gt;='Control Room'!$A$16,$A537&lt;'Control Room'!$A$16+'Control Room'!$B$16,'Process'!BP5=1),1+('Control Room'!$C$16-1)*EXP(-0.5*(($A537-'Control Room'!$A$16-('Control Room'!$B$16-1)/2)/MAX(0.5,'Control Room'!$B$16/4))^2),1)</x:f>
        <x:v>1</x:v>
      </x:c>
      <x:c r="AF537" s="9" t="n">
        <x:f>MOD(AG536*16807,2147483647)</x:f>
        <x:v>1580248265</x:v>
      </x:c>
      <x:c r="AG537" s="9" t="n">
        <x:f>MOD(AF537*16807,2147483647)</x:f>
        <x:v>1302327406</x:v>
      </x:c>
      <x:c r="AH537" s="17" t="n">
        <x:f>IF('Control Room'!$B$5="Normal",'Control Room'!$B$7+'Control Room'!$D$7*SQRT(-2*LN(MAX(0.000000000001,AF537/2147483647)))*COS(2*PI()*AG537/2147483647),'Control Room'!$B$8+('Control Room'!$D$8-'Control Room'!$B$8)*AF537/2147483647)</x:f>
        <x:v>944.6964320131127</x:v>
      </x:c>
      <x:c r="AI537" s="17" t="n">
        <x:f>IF('Control Room'!$B$5="Normal",'Control Room'!$B$7,('Control Room'!$B$8+'Control Room'!$D$8)/2)+'Control Room'!$B$9*(AI536-IF('Control Room'!$B$5="Normal",'Control Room'!$B$7,('Control Room'!$B$8+'Control Room'!$D$8)/2))+SQRT(1-'Control Room'!$B$9^2)*(AH537-IF('Control Room'!$B$5="Normal",'Control Room'!$B$7,('Control Room'!$B$8+'Control Room'!$D$8)/2))</x:f>
        <x:v>959.0031549950851</x:v>
      </x:c>
      <x:c r="AJ537" s="17" t="n">
        <x:f>IF(AND($A537&gt;='Control Room'!$A$13,$A537&lt;'Control Room'!$A$13+'Control Room'!$B$13,'Process'!BQ2=1),1+('Control Room'!$C$13-1)*EXP(-0.5*(($A537-'Control Room'!$A$13-('Control Room'!$B$13-1)/2)/MAX(0.5,'Control Room'!$B$13/4))^2),1)*IF(AND($A537&gt;='Control Room'!$A$14,$A537&lt;'Control Room'!$A$14+'Control Room'!$B$14,'Process'!BQ3=1),1+('Control Room'!$C$14-1)*EXP(-0.5*(($A537-'Control Room'!$A$14-('Control Room'!$B$14-1)/2)/MAX(0.5,'Control Room'!$B$14/4))^2),1)*IF(AND($A537&gt;='Control Room'!$A$15,$A537&lt;'Control Room'!$A$15+'Control Room'!$B$15,'Process'!BQ4=1),1+('Control Room'!$C$15-1)*EXP(-0.5*(($A537-'Control Room'!$A$15-('Control Room'!$B$15-1)/2)/MAX(0.5,'Control Room'!$B$15/4))^2),1)*IF(AND($A537&gt;='Control Room'!$A$16,$A537&lt;'Control Room'!$A$16+'Control Room'!$B$16,'Process'!BQ5=1),1+('Control Room'!$C$16-1)*EXP(-0.5*(($A537-'Control Room'!$A$16-('Control Room'!$B$16-1)/2)/MAX(0.5,'Control Room'!$B$16/4))^2),1)</x:f>
        <x:v>1</x:v>
      </x:c>
      <x:c r="AK537" s="9" t="n">
        <x:f>MOD(AL536*16807,2147483647)</x:f>
        <x:v>70030828</x:v>
      </x:c>
      <x:c r="AL537" s="9" t="n">
        <x:f>MOD(AK537*16807,2147483647)</x:f>
        <x:v>187087640</x:v>
      </x:c>
      <x:c r="AM537" s="17" t="n">
        <x:f>IF('Control Room'!$B$5="Normal",'Control Room'!$B$7+'Control Room'!$D$7*SQRT(-2*LN(MAX(0.000000000001,AK537/2147483647)))*COS(2*PI()*AL537/2147483647),'Control Room'!$B$8+('Control Room'!$D$8-'Control Room'!$B$8)*AK537/2147483647)</x:f>
        <x:v>1201.0799371151063</x:v>
      </x:c>
      <x:c r="AN537" s="17" t="n">
        <x:f>IF('Control Room'!$B$5="Normal",'Control Room'!$B$7,('Control Room'!$B$8+'Control Room'!$D$8)/2)+'Control Room'!$B$9*(AN536-IF('Control Room'!$B$5="Normal",'Control Room'!$B$7,('Control Room'!$B$8+'Control Room'!$D$8)/2))+SQRT(1-'Control Room'!$B$9^2)*(AM537-IF('Control Room'!$B$5="Normal",'Control Room'!$B$7,('Control Room'!$B$8+'Control Room'!$D$8)/2))</x:f>
        <x:v>1192.4130333524038</x:v>
      </x:c>
      <x:c r="AO537" s="17" t="n">
        <x:f>IF(AND($A537&gt;='Control Room'!$A$13,$A537&lt;'Control Room'!$A$13+'Control Room'!$B$13,'Process'!BR2=1),1+('Control Room'!$C$13-1)*EXP(-0.5*(($A537-'Control Room'!$A$13-('Control Room'!$B$13-1)/2)/MAX(0.5,'Control Room'!$B$13/4))^2),1)*IF(AND($A537&gt;='Control Room'!$A$14,$A537&lt;'Control Room'!$A$14+'Control Room'!$B$14,'Process'!BR3=1),1+('Control Room'!$C$14-1)*EXP(-0.5*(($A537-'Control Room'!$A$14-('Control Room'!$B$14-1)/2)/MAX(0.5,'Control Room'!$B$14/4))^2),1)*IF(AND($A537&gt;='Control Room'!$A$15,$A537&lt;'Control Room'!$A$15+'Control Room'!$B$15,'Process'!BR4=1),1+('Control Room'!$C$15-1)*EXP(-0.5*(($A537-'Control Room'!$A$15-('Control Room'!$B$15-1)/2)/MAX(0.5,'Control Room'!$B$15/4))^2),1)*IF(AND($A537&gt;='Control Room'!$A$16,$A537&lt;'Control Room'!$A$16+'Control Room'!$B$16,'Process'!BR5=1),1+('Control Room'!$C$16-1)*EXP(-0.5*(($A537-'Control Room'!$A$16-('Control Room'!$B$16-1)/2)/MAX(0.5,'Control Room'!$B$16/4))^2),1)</x:f>
        <x:v>1</x:v>
      </x:c>
      <x:c r="AP537" s="9" t="n">
        <x:f>MOD(AQ536*16807,2147483647)</x:f>
        <x:v>707297038</x:v>
      </x:c>
      <x:c r="AQ537" s="9" t="n">
        <x:f>MOD(AP537*16807,2147483647)</x:f>
        <x:v>1219331521</x:v>
      </x:c>
      <x:c r="AR537" s="17" t="n">
        <x:f>IF('Control Room'!$B$5="Normal",'Control Room'!$B$7+'Control Room'!$D$7*SQRT(-2*LN(MAX(0.000000000001,AP537/2147483647)))*COS(2*PI()*AQ537/2147483647),'Control Room'!$B$8+('Control Room'!$D$8-'Control Room'!$B$8)*AP537/2147483647)</x:f>
        <x:v>877.8531638490183</x:v>
      </x:c>
      <x:c r="AS537" s="17" t="n">
        <x:f>IF('Control Room'!$B$5="Normal",'Control Room'!$B$7,('Control Room'!$B$8+'Control Room'!$D$8)/2)+'Control Room'!$B$9*(AS536-IF('Control Room'!$B$5="Normal",'Control Room'!$B$7,('Control Room'!$B$8+'Control Room'!$D$8)/2))+SQRT(1-'Control Room'!$B$9^2)*(AR537-IF('Control Room'!$B$5="Normal",'Control Room'!$B$7,('Control Room'!$B$8+'Control Room'!$D$8)/2))</x:f>
        <x:v>892.3851079366567</x:v>
      </x:c>
      <x:c r="AT537" s="17" t="n">
        <x:f>IF(AND($A537&gt;='Control Room'!$A$13,$A537&lt;'Control Room'!$A$13+'Control Room'!$B$13,'Process'!BS2=1),1+('Control Room'!$C$13-1)*EXP(-0.5*(($A537-'Control Room'!$A$13-('Control Room'!$B$13-1)/2)/MAX(0.5,'Control Room'!$B$13/4))^2),1)*IF(AND($A537&gt;='Control Room'!$A$14,$A537&lt;'Control Room'!$A$14+'Control Room'!$B$14,'Process'!BS3=1),1+('Control Room'!$C$14-1)*EXP(-0.5*(($A537-'Control Room'!$A$14-('Control Room'!$B$14-1)/2)/MAX(0.5,'Control Room'!$B$14/4))^2),1)*IF(AND($A537&gt;='Control Room'!$A$15,$A537&lt;'Control Room'!$A$15+'Control Room'!$B$15,'Process'!BS4=1),1+('Control Room'!$C$15-1)*EXP(-0.5*(($A537-'Control Room'!$A$15-('Control Room'!$B$15-1)/2)/MAX(0.5,'Control Room'!$B$15/4))^2),1)*IF(AND($A537&gt;='Control Room'!$A$16,$A537&lt;'Control Room'!$A$16+'Control Room'!$B$16,'Process'!BS5=1),1+('Control Room'!$C$16-1)*EXP(-0.5*(($A537-'Control Room'!$A$16-('Control Room'!$B$16-1)/2)/MAX(0.5,'Control Room'!$B$16/4))^2),1)</x:f>
        <x:v>1</x:v>
      </x:c>
      <x:c r="AU537" s="9" t="n">
        <x:f>MOD(AV536*16807,2147483647)</x:f>
        <x:v>1344563248</x:v>
      </x:c>
      <x:c r="AV537" s="9" t="n">
        <x:f>MOD(AU537*16807,2147483647)</x:f>
        <x:v>104091755</x:v>
      </x:c>
      <x:c r="AW537" s="17" t="n">
        <x:f>IF('Control Room'!$B$5="Normal",'Control Room'!$B$7+'Control Room'!$D$7*SQRT(-2*LN(MAX(0.000000000001,AU537/2147483647)))*COS(2*PI()*AV537/2147483647),'Control Room'!$B$8+('Control Room'!$D$8-'Control Room'!$B$8)*AU537/2147483647)</x:f>
        <x:v>1083.0855331606072</x:v>
      </x:c>
      <x:c r="AX537" s="17" t="n">
        <x:f>IF('Control Room'!$B$5="Normal",'Control Room'!$B$7,('Control Room'!$B$8+'Control Room'!$D$8)/2)+'Control Room'!$B$9*(AX536-IF('Control Room'!$B$5="Normal",'Control Room'!$B$7,('Control Room'!$B$8+'Control Room'!$D$8)/2))+SQRT(1-'Control Room'!$B$9^2)*(AW537-IF('Control Room'!$B$5="Normal",'Control Room'!$B$7,('Control Room'!$B$8+'Control Room'!$D$8)/2))</x:f>
        <x:v>1030.8796076053468</x:v>
      </x:c>
      <x:c r="AY537" s="17" t="n">
        <x:f>IF(AND($A537&gt;='Control Room'!$A$13,$A537&lt;'Control Room'!$A$13+'Control Room'!$B$13,'Process'!BT2=1),1+('Control Room'!$C$13-1)*EXP(-0.5*(($A537-'Control Room'!$A$13-('Control Room'!$B$13-1)/2)/MAX(0.5,'Control Room'!$B$13/4))^2),1)*IF(AND($A537&gt;='Control Room'!$A$14,$A537&lt;'Control Room'!$A$14+'Control Room'!$B$14,'Process'!BT3=1),1+('Control Room'!$C$14-1)*EXP(-0.5*(($A537-'Control Room'!$A$14-('Control Room'!$B$14-1)/2)/MAX(0.5,'Control Room'!$B$14/4))^2),1)*IF(AND($A537&gt;='Control Room'!$A$15,$A537&lt;'Control Room'!$A$15+'Control Room'!$B$15,'Process'!BT4=1),1+('Control Room'!$C$15-1)*EXP(-0.5*(($A537-'Control Room'!$A$15-('Control Room'!$B$15-1)/2)/MAX(0.5,'Control Room'!$B$15/4))^2),1)*IF(AND($A537&gt;='Control Room'!$A$16,$A537&lt;'Control Room'!$A$16+'Control Room'!$B$16,'Process'!BT5=1),1+('Control Room'!$C$16-1)*EXP(-0.5*(($A537-'Control Room'!$A$16-('Control Room'!$B$16-1)/2)/MAX(0.5,'Control Room'!$B$16/4))^2),1)</x:f>
        <x:v>1</x:v>
      </x:c>
      <x:c r="AZ537" s="9" t="n">
        <x:f>MOD(BA536*16807,2147483647)</x:f>
        <x:v>1981829458</x:v>
      </x:c>
      <x:c r="BA537" s="9" t="n">
        <x:f>MOD(AZ537*16807,2147483647)</x:f>
        <x:v>1136335636</x:v>
      </x:c>
      <x:c r="BB537" s="17" t="n">
        <x:f>IF('Control Room'!$B$5="Normal",'Control Room'!$B$7+'Control Room'!$D$7*SQRT(-2*LN(MAX(0.000000000001,AZ537/2147483647)))*COS(2*PI()*BA537/2147483647),'Control Room'!$B$8+('Control Room'!$D$8-'Control Room'!$B$8)*AZ537/2147483647)</x:f>
        <x:v>964.5409428233621</x:v>
      </x:c>
      <x:c r="BC537" s="17" t="n">
        <x:f>IF('Control Room'!$B$5="Normal",'Control Room'!$B$7,('Control Room'!$B$8+'Control Room'!$D$8)/2)+'Control Room'!$B$9*(BC536-IF('Control Room'!$B$5="Normal",'Control Room'!$B$7,('Control Room'!$B$8+'Control Room'!$D$8)/2))+SQRT(1-'Control Room'!$B$9^2)*(BB537-IF('Control Room'!$B$5="Normal",'Control Room'!$B$7,('Control Room'!$B$8+'Control Room'!$D$8)/2))</x:f>
        <x:v>1056.5143697371204</x:v>
      </x:c>
      <x:c r="BD537" s="17" t="n">
        <x:f>IF(AND($A537&gt;='Control Room'!$A$13,$A537&lt;'Control Room'!$A$13+'Control Room'!$B$13,'Process'!BU2=1),1+('Control Room'!$C$13-1)*EXP(-0.5*(($A537-'Control Room'!$A$13-('Control Room'!$B$13-1)/2)/MAX(0.5,'Control Room'!$B$13/4))^2),1)*IF(AND($A537&gt;='Control Room'!$A$14,$A537&lt;'Control Room'!$A$14+'Control Room'!$B$14,'Process'!BU3=1),1+('Control Room'!$C$14-1)*EXP(-0.5*(($A537-'Control Room'!$A$14-('Control Room'!$B$14-1)/2)/MAX(0.5,'Control Room'!$B$14/4))^2),1)*IF(AND($A537&gt;='Control Room'!$A$15,$A537&lt;'Control Room'!$A$15+'Control Room'!$B$15,'Process'!BU4=1),1+('Control Room'!$C$15-1)*EXP(-0.5*(($A537-'Control Room'!$A$15-('Control Room'!$B$15-1)/2)/MAX(0.5,'Control Room'!$B$15/4))^2),1)*IF(AND($A537&gt;='Control Room'!$A$16,$A537&lt;'Control Room'!$A$16+'Control Room'!$B$16,'Process'!BU5=1),1+('Control Room'!$C$16-1)*EXP(-0.5*(($A537-'Control Room'!$A$16-('Control Room'!$B$16-1)/2)/MAX(0.5,'Control Room'!$B$16/4))^2),1)</x:f>
        <x:v>1</x:v>
      </x:c>
      <x:c r="BE537" s="9" t="n">
        <x:f>MOD(BF536*16807,2147483647)</x:f>
        <x:v>471612021</x:v>
      </x:c>
      <x:c r="BF537" s="9" t="n">
        <x:f>MOD(BE537*16807,2147483647)</x:f>
        <x:v>21095870</x:v>
      </x:c>
      <x:c r="BG537" s="17" t="n">
        <x:f>IF('Control Room'!$B$5="Normal",'Control Room'!$B$7+'Control Room'!$D$7*SQRT(-2*LN(MAX(0.000000000001,BE537/2147483647)))*COS(2*PI()*BF537/2147483647),'Control Room'!$B$8+('Control Room'!$D$8-'Control Room'!$B$8)*BE537/2147483647)</x:f>
        <x:v>1156.4099303286475</x:v>
      </x:c>
      <x:c r="BH537" s="17" t="n">
        <x:f>IF('Control Room'!$B$5="Normal",'Control Room'!$B$7,('Control Room'!$B$8+'Control Room'!$D$8)/2)+'Control Room'!$B$9*(BH536-IF('Control Room'!$B$5="Normal",'Control Room'!$B$7,('Control Room'!$B$8+'Control Room'!$D$8)/2))+SQRT(1-'Control Room'!$B$9^2)*(BG537-IF('Control Room'!$B$5="Normal",'Control Room'!$B$7,('Control Room'!$B$8+'Control Room'!$D$8)/2))</x:f>
        <x:v>1034.242821325859</x:v>
      </x:c>
      <x:c r="BI537" s="17" t="n">
        <x:f>IF(AND($A537&gt;='Control Room'!$A$13,$A537&lt;'Control Room'!$A$13+'Control Room'!$B$13,'Process'!BV2=1),1+('Control Room'!$C$13-1)*EXP(-0.5*(($A537-'Control Room'!$A$13-('Control Room'!$B$13-1)/2)/MAX(0.5,'Control Room'!$B$13/4))^2),1)*IF(AND($A537&gt;='Control Room'!$A$14,$A537&lt;'Control Room'!$A$14+'Control Room'!$B$14,'Process'!BV3=1),1+('Control Room'!$C$14-1)*EXP(-0.5*(($A537-'Control Room'!$A$14-('Control Room'!$B$14-1)/2)/MAX(0.5,'Control Room'!$B$14/4))^2),1)*IF(AND($A537&gt;='Control Room'!$A$15,$A537&lt;'Control Room'!$A$15+'Control Room'!$B$15,'Process'!BV4=1),1+('Control Room'!$C$15-1)*EXP(-0.5*(($A537-'Control Room'!$A$15-('Control Room'!$B$15-1)/2)/MAX(0.5,'Control Room'!$B$15/4))^2),1)*IF(AND($A537&gt;='Control Room'!$A$16,$A537&lt;'Control Room'!$A$16+'Control Room'!$B$16,'Process'!BV5=1),1+('Control Room'!$C$16-1)*EXP(-0.5*(($A537-'Control Room'!$A$16-('Control Room'!$B$16-1)/2)/MAX(0.5,'Control Room'!$B$16/4))^2),1)</x:f>
        <x:v>1</x:v>
      </x:c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Z537" t="str">
        <x:f>IF('Data'!A537="","",TEXT('Data'!A537,"mm-dd"))</x:f>
      </x:c>
    </x:row>
    <x:row r="538" ht="21" customHeight="1">
      <x:c r="A538" s="15" t="n">
        <x:f>'Control Room'!$B$1+536</x:f>
        <x:v>73527</x:v>
      </x:c>
      <x:c r="B538" s="9" t="n">
        <x:f>MOD(C537*16807,2147483647)</x:f>
        <x:v>353272000</x:v>
      </x:c>
      <x:c r="C538" s="9" t="n">
        <x:f>MOD(B538*16807,2147483647)</x:f>
        <x:v>1797703692</x:v>
      </x:c>
      <x:c r="D538" s="17" t="n">
        <x:f>IF('Control Room'!$B$5="Normal",'Control Room'!$B$7+'Control Room'!$D$7*SQRT(-2*LN(MAX(0.000000000001,B538/2147483647)))*COS(2*PI()*C538/2147483647),'Control Room'!$B$8+('Control Room'!$D$8-'Control Room'!$B$8)*B538/2147483647)</x:f>
        <x:v>1088.9952229531439</x:v>
      </x:c>
      <x:c r="E538" s="17" t="n">
        <x:f>IF('Control Room'!$B$5="Normal",'Control Room'!$B$7,('Control Room'!$B$8+'Control Room'!$D$8)/2)+'Control Room'!$B$9*(E537-IF('Control Room'!$B$5="Normal",'Control Room'!$B$7,('Control Room'!$B$8+'Control Room'!$D$8)/2))+SQRT(1-'Control Room'!$B$9^2)*(D538-IF('Control Room'!$B$5="Normal",'Control Room'!$B$7,('Control Room'!$B$8+'Control Room'!$D$8)/2))</x:f>
        <x:v>974.5257462953654</x:v>
      </x:c>
      <x:c r="F538" s="17" t="n">
        <x:f>IF(AND($A538&gt;='Control Room'!$A$13,$A538&lt;'Control Room'!$A$13+'Control Room'!$B$13,'Process'!BK2=1),1+('Control Room'!$C$13-1)*EXP(-0.5*(($A538-'Control Room'!$A$13-('Control Room'!$B$13-1)/2)/MAX(0.5,'Control Room'!$B$13/4))^2),1)*IF(AND($A538&gt;='Control Room'!$A$14,$A538&lt;'Control Room'!$A$14+'Control Room'!$B$14,'Process'!BK3=1),1+('Control Room'!$C$14-1)*EXP(-0.5*(($A538-'Control Room'!$A$14-('Control Room'!$B$14-1)/2)/MAX(0.5,'Control Room'!$B$14/4))^2),1)*IF(AND($A538&gt;='Control Room'!$A$15,$A538&lt;'Control Room'!$A$15+'Control Room'!$B$15,'Process'!BK4=1),1+('Control Room'!$C$15-1)*EXP(-0.5*(($A538-'Control Room'!$A$15-('Control Room'!$B$15-1)/2)/MAX(0.5,'Control Room'!$B$15/4))^2),1)*IF(AND($A538&gt;='Control Room'!$A$16,$A538&lt;'Control Room'!$A$16+'Control Room'!$B$16,'Process'!BK5=1),1+('Control Room'!$C$16-1)*EXP(-0.5*(($A538-'Control Room'!$A$16-('Control Room'!$B$16-1)/2)/MAX(0.5,'Control Room'!$B$16/4))^2),1)</x:f>
        <x:v>1</x:v>
      </x:c>
      <x:c r="G538" s="9" t="n">
        <x:f>MOD(H537*16807,2147483647)</x:f>
        <x:v>1903279501</x:v>
      </x:c>
      <x:c r="H538" s="9" t="n">
        <x:f>MOD(G538*16807,2147483647)</x:f>
        <x:v>1649651242</x:v>
      </x:c>
      <x:c r="I538" s="17" t="n">
        <x:f>IF('Control Room'!$B$5="Normal",'Control Room'!$B$7+'Control Room'!$D$7*SQRT(-2*LN(MAX(0.000000000001,G538/2147483647)))*COS(2*PI()*H538/2147483647),'Control Room'!$B$8+('Control Room'!$D$8-'Control Room'!$B$8)*G538/2147483647)</x:f>
        <x:v>1005.040139381338</x:v>
      </x:c>
      <x:c r="J538" s="17" t="n">
        <x:f>IF('Control Room'!$B$5="Normal",'Control Room'!$B$7,('Control Room'!$B$8+'Control Room'!$D$8)/2)+'Control Room'!$B$9*(J537-IF('Control Room'!$B$5="Normal",'Control Room'!$B$7,('Control Room'!$B$8+'Control Room'!$D$8)/2))+SQRT(1-'Control Room'!$B$9^2)*(I538-IF('Control Room'!$B$5="Normal",'Control Room'!$B$7,('Control Room'!$B$8+'Control Room'!$D$8)/2))</x:f>
        <x:v>919.0513899868928</x:v>
      </x:c>
      <x:c r="K538" s="17" t="n">
        <x:f>IF(AND($A538&gt;='Control Room'!$A$13,$A538&lt;'Control Room'!$A$13+'Control Room'!$B$13,'Process'!BL2=1),1+('Control Room'!$C$13-1)*EXP(-0.5*(($A538-'Control Room'!$A$13-('Control Room'!$B$13-1)/2)/MAX(0.5,'Control Room'!$B$13/4))^2),1)*IF(AND($A538&gt;='Control Room'!$A$14,$A538&lt;'Control Room'!$A$14+'Control Room'!$B$14,'Process'!BL3=1),1+('Control Room'!$C$14-1)*EXP(-0.5*(($A538-'Control Room'!$A$14-('Control Room'!$B$14-1)/2)/MAX(0.5,'Control Room'!$B$14/4))^2),1)*IF(AND($A538&gt;='Control Room'!$A$15,$A538&lt;'Control Room'!$A$15+'Control Room'!$B$15,'Process'!BL4=1),1+('Control Room'!$C$15-1)*EXP(-0.5*(($A538-'Control Room'!$A$15-('Control Room'!$B$15-1)/2)/MAX(0.5,'Control Room'!$B$15/4))^2),1)*IF(AND($A538&gt;='Control Room'!$A$16,$A538&lt;'Control Room'!$A$16+'Control Room'!$B$16,'Process'!BL5=1),1+('Control Room'!$C$16-1)*EXP(-0.5*(($A538-'Control Room'!$A$16-('Control Room'!$B$16-1)/2)/MAX(0.5,'Control Room'!$B$16/4))^2),1)</x:f>
        <x:v>1</x:v>
      </x:c>
      <x:c r="L538" s="9" t="n">
        <x:f>MOD(M537*16807,2147483647)</x:f>
        <x:v>1305803355</x:v>
      </x:c>
      <x:c r="M538" s="9" t="n">
        <x:f>MOD(L538*16807,2147483647)</x:f>
        <x:v>1501598792</x:v>
      </x:c>
      <x:c r="N538" s="17" t="n">
        <x:f>IF('Control Room'!$B$5="Normal",'Control Room'!$B$7+'Control Room'!$D$7*SQRT(-2*LN(MAX(0.000000000001,L538/2147483647)))*COS(2*PI()*M538/2147483647),'Control Room'!$B$8+('Control Room'!$D$8-'Control Room'!$B$8)*L538/2147483647)</x:f>
        <x:v>971.8493917593935</x:v>
      </x:c>
      <x:c r="O538" s="17" t="n">
        <x:f>IF('Control Room'!$B$5="Normal",'Control Room'!$B$7,('Control Room'!$B$8+'Control Room'!$D$8)/2)+'Control Room'!$B$9*(O537-IF('Control Room'!$B$5="Normal",'Control Room'!$B$7,('Control Room'!$B$8+'Control Room'!$D$8)/2))+SQRT(1-'Control Room'!$B$9^2)*(N538-IF('Control Room'!$B$5="Normal",'Control Room'!$B$7,('Control Room'!$B$8+'Control Room'!$D$8)/2))</x:f>
        <x:v>1069.3609680720226</x:v>
      </x:c>
      <x:c r="P538" s="17" t="n">
        <x:f>IF(AND($A538&gt;='Control Room'!$A$13,$A538&lt;'Control Room'!$A$13+'Control Room'!$B$13,'Process'!BM2=1),1+('Control Room'!$C$13-1)*EXP(-0.5*(($A538-'Control Room'!$A$13-('Control Room'!$B$13-1)/2)/MAX(0.5,'Control Room'!$B$13/4))^2),1)*IF(AND($A538&gt;='Control Room'!$A$14,$A538&lt;'Control Room'!$A$14+'Control Room'!$B$14,'Process'!BM3=1),1+('Control Room'!$C$14-1)*EXP(-0.5*(($A538-'Control Room'!$A$14-('Control Room'!$B$14-1)/2)/MAX(0.5,'Control Room'!$B$14/4))^2),1)*IF(AND($A538&gt;='Control Room'!$A$15,$A538&lt;'Control Room'!$A$15+'Control Room'!$B$15,'Process'!BM4=1),1+('Control Room'!$C$15-1)*EXP(-0.5*(($A538-'Control Room'!$A$15-('Control Room'!$B$15-1)/2)/MAX(0.5,'Control Room'!$B$15/4))^2),1)*IF(AND($A538&gt;='Control Room'!$A$16,$A538&lt;'Control Room'!$A$16+'Control Room'!$B$16,'Process'!BM5=1),1+('Control Room'!$C$16-1)*EXP(-0.5*(($A538-'Control Room'!$A$16-('Control Room'!$B$16-1)/2)/MAX(0.5,'Control Room'!$B$16/4))^2),1)</x:f>
        <x:v>1</x:v>
      </x:c>
      <x:c r="Q538" s="9" t="n">
        <x:f>MOD(R537*16807,2147483647)</x:f>
        <x:v>708327209</x:v>
      </x:c>
      <x:c r="R538" s="9" t="n">
        <x:f>MOD(Q538*16807,2147483647)</x:f>
        <x:v>1353546342</x:v>
      </x:c>
      <x:c r="S538" s="17" t="n">
        <x:f>IF('Control Room'!$B$5="Normal",'Control Room'!$B$7+'Control Room'!$D$7*SQRT(-2*LN(MAX(0.000000000001,Q538/2147483647)))*COS(2*PI()*R538/2147483647),'Control Room'!$B$8+('Control Room'!$D$8-'Control Room'!$B$8)*Q538/2147483647)</x:f>
        <x:v>908.4203664740954</x:v>
      </x:c>
      <x:c r="T538" s="17" t="n">
        <x:f>IF('Control Room'!$B$5="Normal",'Control Room'!$B$7,('Control Room'!$B$8+'Control Room'!$D$8)/2)+'Control Room'!$B$9*(T537-IF('Control Room'!$B$5="Normal",'Control Room'!$B$7,('Control Room'!$B$8+'Control Room'!$D$8)/2))+SQRT(1-'Control Room'!$B$9^2)*(S538-IF('Control Room'!$B$5="Normal",'Control Room'!$B$7,('Control Room'!$B$8+'Control Room'!$D$8)/2))</x:f>
        <x:v>880.2821977888765</x:v>
      </x:c>
      <x:c r="U538" s="17" t="n">
        <x:f>IF(AND($A538&gt;='Control Room'!$A$13,$A538&lt;'Control Room'!$A$13+'Control Room'!$B$13,'Process'!BN2=1),1+('Control Room'!$C$13-1)*EXP(-0.5*(($A538-'Control Room'!$A$13-('Control Room'!$B$13-1)/2)/MAX(0.5,'Control Room'!$B$13/4))^2),1)*IF(AND($A538&gt;='Control Room'!$A$14,$A538&lt;'Control Room'!$A$14+'Control Room'!$B$14,'Process'!BN3=1),1+('Control Room'!$C$14-1)*EXP(-0.5*(($A538-'Control Room'!$A$14-('Control Room'!$B$14-1)/2)/MAX(0.5,'Control Room'!$B$14/4))^2),1)*IF(AND($A538&gt;='Control Room'!$A$15,$A538&lt;'Control Room'!$A$15+'Control Room'!$B$15,'Process'!BN4=1),1+('Control Room'!$C$15-1)*EXP(-0.5*(($A538-'Control Room'!$A$15-('Control Room'!$B$15-1)/2)/MAX(0.5,'Control Room'!$B$15/4))^2),1)*IF(AND($A538&gt;='Control Room'!$A$16,$A538&lt;'Control Room'!$A$16+'Control Room'!$B$16,'Process'!BN5=1),1+('Control Room'!$C$16-1)*EXP(-0.5*(($A538-'Control Room'!$A$16-('Control Room'!$B$16-1)/2)/MAX(0.5,'Control Room'!$B$16/4))^2),1)</x:f>
        <x:v>1</x:v>
      </x:c>
      <x:c r="V538" s="9" t="n">
        <x:f>MOD(W537*16807,2147483647)</x:f>
        <x:v>110851063</x:v>
      </x:c>
      <x:c r="W538" s="9" t="n">
        <x:f>MOD(V538*16807,2147483647)</x:f>
        <x:v>1205493892</x:v>
      </x:c>
      <x:c r="X538" s="17" t="n">
        <x:f>IF('Control Room'!$B$5="Normal",'Control Room'!$B$7+'Control Room'!$D$7*SQRT(-2*LN(MAX(0.000000000001,V538/2147483647)))*COS(2*PI()*W538/2147483647),'Control Room'!$B$8+('Control Room'!$D$8-'Control Room'!$B$8)*V538/2147483647)</x:f>
        <x:v>796.9576810595522</x:v>
      </x:c>
      <x:c r="Y538" s="17" t="n">
        <x:f>IF('Control Room'!$B$5="Normal",'Control Room'!$B$7,('Control Room'!$B$8+'Control Room'!$D$8)/2)+'Control Room'!$B$9*(Y537-IF('Control Room'!$B$5="Normal",'Control Room'!$B$7,('Control Room'!$B$8+'Control Room'!$D$8)/2))+SQRT(1-'Control Room'!$B$9^2)*(X538-IF('Control Room'!$B$5="Normal",'Control Room'!$B$7,('Control Room'!$B$8+'Control Room'!$D$8)/2))</x:f>
        <x:v>857.5724758298701</x:v>
      </x:c>
      <x:c r="Z538" s="17" t="n">
        <x:f>IF(AND($A538&gt;='Control Room'!$A$13,$A538&lt;'Control Room'!$A$13+'Control Room'!$B$13,'Process'!BO2=1),1+('Control Room'!$C$13-1)*EXP(-0.5*(($A538-'Control Room'!$A$13-('Control Room'!$B$13-1)/2)/MAX(0.5,'Control Room'!$B$13/4))^2),1)*IF(AND($A538&gt;='Control Room'!$A$14,$A538&lt;'Control Room'!$A$14+'Control Room'!$B$14,'Process'!BO3=1),1+('Control Room'!$C$14-1)*EXP(-0.5*(($A538-'Control Room'!$A$14-('Control Room'!$B$14-1)/2)/MAX(0.5,'Control Room'!$B$14/4))^2),1)*IF(AND($A538&gt;='Control Room'!$A$15,$A538&lt;'Control Room'!$A$15+'Control Room'!$B$15,'Process'!BO4=1),1+('Control Room'!$C$15-1)*EXP(-0.5*(($A538-'Control Room'!$A$15-('Control Room'!$B$15-1)/2)/MAX(0.5,'Control Room'!$B$15/4))^2),1)*IF(AND($A538&gt;='Control Room'!$A$16,$A538&lt;'Control Room'!$A$16+'Control Room'!$B$16,'Process'!BO5=1),1+('Control Room'!$C$16-1)*EXP(-0.5*(($A538-'Control Room'!$A$16-('Control Room'!$B$16-1)/2)/MAX(0.5,'Control Room'!$B$16/4))^2),1)</x:f>
        <x:v>1</x:v>
      </x:c>
      <x:c r="AA538" s="9" t="n">
        <x:f>MOD(AB537*16807,2147483647)</x:f>
        <x:v>1660858564</x:v>
      </x:c>
      <x:c r="AB538" s="9" t="n">
        <x:f>MOD(AA538*16807,2147483647)</x:f>
        <x:v>1057441442</x:v>
      </x:c>
      <x:c r="AC538" s="17" t="n">
        <x:f>IF('Control Room'!$B$5="Normal",'Control Room'!$B$7+'Control Room'!$D$7*SQRT(-2*LN(MAX(0.000000000001,AA538/2147483647)))*COS(2*PI()*AB538/2147483647),'Control Room'!$B$8+('Control Room'!$D$8-'Control Room'!$B$8)*AA538/2147483647)</x:f>
        <x:v>935.5537086189555</x:v>
      </x:c>
      <x:c r="AD538" s="17" t="n">
        <x:f>IF('Control Room'!$B$5="Normal",'Control Room'!$B$7,('Control Room'!$B$8+'Control Room'!$D$8)/2)+'Control Room'!$B$9*(AD537-IF('Control Room'!$B$5="Normal",'Control Room'!$B$7,('Control Room'!$B$8+'Control Room'!$D$8)/2))+SQRT(1-'Control Room'!$B$9^2)*(AC538-IF('Control Room'!$B$5="Normal",'Control Room'!$B$7,('Control Room'!$B$8+'Control Room'!$D$8)/2))</x:f>
        <x:v>1022.583899431887</x:v>
      </x:c>
      <x:c r="AE538" s="17" t="n">
        <x:f>IF(AND($A538&gt;='Control Room'!$A$13,$A538&lt;'Control Room'!$A$13+'Control Room'!$B$13,'Process'!BP2=1),1+('Control Room'!$C$13-1)*EXP(-0.5*(($A538-'Control Room'!$A$13-('Control Room'!$B$13-1)/2)/MAX(0.5,'Control Room'!$B$13/4))^2),1)*IF(AND($A538&gt;='Control Room'!$A$14,$A538&lt;'Control Room'!$A$14+'Control Room'!$B$14,'Process'!BP3=1),1+('Control Room'!$C$14-1)*EXP(-0.5*(($A538-'Control Room'!$A$14-('Control Room'!$B$14-1)/2)/MAX(0.5,'Control Room'!$B$14/4))^2),1)*IF(AND($A538&gt;='Control Room'!$A$15,$A538&lt;'Control Room'!$A$15+'Control Room'!$B$15,'Process'!BP4=1),1+('Control Room'!$C$15-1)*EXP(-0.5*(($A538-'Control Room'!$A$15-('Control Room'!$B$15-1)/2)/MAX(0.5,'Control Room'!$B$15/4))^2),1)*IF(AND($A538&gt;='Control Room'!$A$16,$A538&lt;'Control Room'!$A$16+'Control Room'!$B$16,'Process'!BP5=1),1+('Control Room'!$C$16-1)*EXP(-0.5*(($A538-'Control Room'!$A$16-('Control Room'!$B$16-1)/2)/MAX(0.5,'Control Room'!$B$16/4))^2),1)</x:f>
        <x:v>1</x:v>
      </x:c>
      <x:c r="AF538" s="9" t="n">
        <x:f>MOD(AG537*16807,2147483647)</x:f>
        <x:v>1063382418</x:v>
      </x:c>
      <x:c r="AG538" s="9" t="n">
        <x:f>MOD(AF538*16807,2147483647)</x:f>
        <x:v>909388992</x:v>
      </x:c>
      <x:c r="AH538" s="17" t="n">
        <x:f>IF('Control Room'!$B$5="Normal",'Control Room'!$B$7+'Control Room'!$D$7*SQRT(-2*LN(MAX(0.000000000001,AF538/2147483647)))*COS(2*PI()*AG538/2147483647),'Control Room'!$B$8+('Control Room'!$D$8-'Control Room'!$B$8)*AF538/2147483647)</x:f>
        <x:v>905.3957398322237</x:v>
      </x:c>
      <x:c r="AI538" s="17" t="n">
        <x:f>IF('Control Room'!$B$5="Normal",'Control Room'!$B$7,('Control Room'!$B$8+'Control Room'!$D$8)/2)+'Control Room'!$B$9*(AI537-IF('Control Room'!$B$5="Normal",'Control Room'!$B$7,('Control Room'!$B$8+'Control Room'!$D$8)/2))+SQRT(1-'Control Room'!$B$9^2)*(AH538-IF('Control Room'!$B$5="Normal",'Control Room'!$B$7,('Control Room'!$B$8+'Control Room'!$D$8)/2))</x:f>
        <x:v>908.8210529567853</x:v>
      </x:c>
      <x:c r="AJ538" s="17" t="n">
        <x:f>IF(AND($A538&gt;='Control Room'!$A$13,$A538&lt;'Control Room'!$A$13+'Control Room'!$B$13,'Process'!BQ2=1),1+('Control Room'!$C$13-1)*EXP(-0.5*(($A538-'Control Room'!$A$13-('Control Room'!$B$13-1)/2)/MAX(0.5,'Control Room'!$B$13/4))^2),1)*IF(AND($A538&gt;='Control Room'!$A$14,$A538&lt;'Control Room'!$A$14+'Control Room'!$B$14,'Process'!BQ3=1),1+('Control Room'!$C$14-1)*EXP(-0.5*(($A538-'Control Room'!$A$14-('Control Room'!$B$14-1)/2)/MAX(0.5,'Control Room'!$B$14/4))^2),1)*IF(AND($A538&gt;='Control Room'!$A$15,$A538&lt;'Control Room'!$A$15+'Control Room'!$B$15,'Process'!BQ4=1),1+('Control Room'!$C$15-1)*EXP(-0.5*(($A538-'Control Room'!$A$15-('Control Room'!$B$15-1)/2)/MAX(0.5,'Control Room'!$B$15/4))^2),1)*IF(AND($A538&gt;='Control Room'!$A$16,$A538&lt;'Control Room'!$A$16+'Control Room'!$B$16,'Process'!BQ5=1),1+('Control Room'!$C$16-1)*EXP(-0.5*(($A538-'Control Room'!$A$16-('Control Room'!$B$16-1)/2)/MAX(0.5,'Control Room'!$B$16/4))^2),1)</x:f>
        <x:v>1</x:v>
      </x:c>
      <x:c r="AK538" s="9" t="n">
        <x:f>MOD(AL537*16807,2147483647)</x:f>
        <x:v>465906272</x:v>
      </x:c>
      <x:c r="AL538" s="9" t="n">
        <x:f>MOD(AK538*16807,2147483647)</x:f>
        <x:v>761336542</x:v>
      </x:c>
      <x:c r="AM538" s="17" t="n">
        <x:f>IF('Control Room'!$B$5="Normal",'Control Room'!$B$7+'Control Room'!$D$7*SQRT(-2*LN(MAX(0.000000000001,AK538/2147483647)))*COS(2*PI()*AL538/2147483647),'Control Room'!$B$8+('Control Room'!$D$8-'Control Room'!$B$8)*AK538/2147483647)</x:f>
        <x:v>903.93900413493</x:v>
      </x:c>
      <x:c r="AN538" s="17" t="n">
        <x:f>IF('Control Room'!$B$5="Normal",'Control Room'!$B$7,('Control Room'!$B$8+'Control Room'!$D$8)/2)+'Control Room'!$B$9*(AN537-IF('Control Room'!$B$5="Normal",'Control Room'!$B$7,('Control Room'!$B$8+'Control Room'!$D$8)/2))+SQRT(1-'Control Room'!$B$9^2)*(AM538-IF('Control Room'!$B$5="Normal",'Control Room'!$B$7,('Control Room'!$B$8+'Control Room'!$D$8)/2))</x:f>
        <x:v>1089.9691627189802</x:v>
      </x:c>
      <x:c r="AO538" s="17" t="n">
        <x:f>IF(AND($A538&gt;='Control Room'!$A$13,$A538&lt;'Control Room'!$A$13+'Control Room'!$B$13,'Process'!BR2=1),1+('Control Room'!$C$13-1)*EXP(-0.5*(($A538-'Control Room'!$A$13-('Control Room'!$B$13-1)/2)/MAX(0.5,'Control Room'!$B$13/4))^2),1)*IF(AND($A538&gt;='Control Room'!$A$14,$A538&lt;'Control Room'!$A$14+'Control Room'!$B$14,'Process'!BR3=1),1+('Control Room'!$C$14-1)*EXP(-0.5*(($A538-'Control Room'!$A$14-('Control Room'!$B$14-1)/2)/MAX(0.5,'Control Room'!$B$14/4))^2),1)*IF(AND($A538&gt;='Control Room'!$A$15,$A538&lt;'Control Room'!$A$15+'Control Room'!$B$15,'Process'!BR4=1),1+('Control Room'!$C$15-1)*EXP(-0.5*(($A538-'Control Room'!$A$15-('Control Room'!$B$15-1)/2)/MAX(0.5,'Control Room'!$B$15/4))^2),1)*IF(AND($A538&gt;='Control Room'!$A$16,$A538&lt;'Control Room'!$A$16+'Control Room'!$B$16,'Process'!BR5=1),1+('Control Room'!$C$16-1)*EXP(-0.5*(($A538-'Control Room'!$A$16-('Control Room'!$B$16-1)/2)/MAX(0.5,'Control Room'!$B$16/4))^2),1)</x:f>
        <x:v>1</x:v>
      </x:c>
      <x:c r="AP538" s="9" t="n">
        <x:f>MOD(AQ537*16807,2147483647)</x:f>
        <x:v>2015913773</x:v>
      </x:c>
      <x:c r="AQ538" s="9" t="n">
        <x:f>MOD(AP538*16807,2147483647)</x:f>
        <x:v>613284092</x:v>
      </x:c>
      <x:c r="AR538" s="17" t="n">
        <x:f>IF('Control Room'!$B$5="Normal",'Control Room'!$B$7+'Control Room'!$D$7*SQRT(-2*LN(MAX(0.000000000001,AP538/2147483647)))*COS(2*PI()*AQ538/2147483647),'Control Room'!$B$8+('Control Room'!$D$8-'Control Room'!$B$8)*AP538/2147483647)</x:f>
        <x:v>992.9043311575552</x:v>
      </x:c>
      <x:c r="AS538" s="17" t="n">
        <x:f>IF('Control Room'!$B$5="Normal",'Control Room'!$B$7,('Control Room'!$B$8+'Control Room'!$D$8)/2)+'Control Room'!$B$9*(AS537-IF('Control Room'!$B$5="Normal",'Control Room'!$B$7,('Control Room'!$B$8+'Control Room'!$D$8)/2))+SQRT(1-'Control Room'!$B$9^2)*(AR538-IF('Control Room'!$B$5="Normal",'Control Room'!$B$7,('Control Room'!$B$8+'Control Room'!$D$8)/2))</x:f>
        <x:v>911.6200599916677</x:v>
      </x:c>
      <x:c r="AT538" s="17" t="n">
        <x:f>IF(AND($A538&gt;='Control Room'!$A$13,$A538&lt;'Control Room'!$A$13+'Control Room'!$B$13,'Process'!BS2=1),1+('Control Room'!$C$13-1)*EXP(-0.5*(($A538-'Control Room'!$A$13-('Control Room'!$B$13-1)/2)/MAX(0.5,'Control Room'!$B$13/4))^2),1)*IF(AND($A538&gt;='Control Room'!$A$14,$A538&lt;'Control Room'!$A$14+'Control Room'!$B$14,'Process'!BS3=1),1+('Control Room'!$C$14-1)*EXP(-0.5*(($A538-'Control Room'!$A$14-('Control Room'!$B$14-1)/2)/MAX(0.5,'Control Room'!$B$14/4))^2),1)*IF(AND($A538&gt;='Control Room'!$A$15,$A538&lt;'Control Room'!$A$15+'Control Room'!$B$15,'Process'!BS4=1),1+('Control Room'!$C$15-1)*EXP(-0.5*(($A538-'Control Room'!$A$15-('Control Room'!$B$15-1)/2)/MAX(0.5,'Control Room'!$B$15/4))^2),1)*IF(AND($A538&gt;='Control Room'!$A$16,$A538&lt;'Control Room'!$A$16+'Control Room'!$B$16,'Process'!BS5=1),1+('Control Room'!$C$16-1)*EXP(-0.5*(($A538-'Control Room'!$A$16-('Control Room'!$B$16-1)/2)/MAX(0.5,'Control Room'!$B$16/4))^2),1)</x:f>
        <x:v>1</x:v>
      </x:c>
      <x:c r="AU538" s="9" t="n">
        <x:f>MOD(AV537*16807,2147483647)</x:f>
        <x:v>1418437627</x:v>
      </x:c>
      <x:c r="AV538" s="9" t="n">
        <x:f>MOD(AU538*16807,2147483647)</x:f>
        <x:v>465231642</x:v>
      </x:c>
      <x:c r="AW538" s="17" t="n">
        <x:f>IF('Control Room'!$B$5="Normal",'Control Room'!$B$7+'Control Room'!$D$7*SQRT(-2*LN(MAX(0.000000000001,AU538/2147483647)))*COS(2*PI()*AV538/2147483647),'Control Room'!$B$8+('Control Room'!$D$8-'Control Room'!$B$8)*AU538/2147483647)</x:f>
        <x:v>1017.0554148634171</x:v>
      </x:c>
      <x:c r="AX538" s="17" t="n">
        <x:f>IF('Control Room'!$B$5="Normal",'Control Room'!$B$7,('Control Room'!$B$8+'Control Room'!$D$8)/2)+'Control Room'!$B$9*(AX537-IF('Control Room'!$B$5="Normal",'Control Room'!$B$7,('Control Room'!$B$8+'Control Room'!$D$8)/2))+SQRT(1-'Control Room'!$B$9^2)*(AW538-IF('Control Room'!$B$5="Normal",'Control Room'!$B$7,('Control Room'!$B$8+'Control Room'!$D$8)/2))</x:f>
        <x:v>1034.759023154532</x:v>
      </x:c>
      <x:c r="AY538" s="17" t="n">
        <x:f>IF(AND($A538&gt;='Control Room'!$A$13,$A538&lt;'Control Room'!$A$13+'Control Room'!$B$13,'Process'!BT2=1),1+('Control Room'!$C$13-1)*EXP(-0.5*(($A538-'Control Room'!$A$13-('Control Room'!$B$13-1)/2)/MAX(0.5,'Control Room'!$B$13/4))^2),1)*IF(AND($A538&gt;='Control Room'!$A$14,$A538&lt;'Control Room'!$A$14+'Control Room'!$B$14,'Process'!BT3=1),1+('Control Room'!$C$14-1)*EXP(-0.5*(($A538-'Control Room'!$A$14-('Control Room'!$B$14-1)/2)/MAX(0.5,'Control Room'!$B$14/4))^2),1)*IF(AND($A538&gt;='Control Room'!$A$15,$A538&lt;'Control Room'!$A$15+'Control Room'!$B$15,'Process'!BT4=1),1+('Control Room'!$C$15-1)*EXP(-0.5*(($A538-'Control Room'!$A$15-('Control Room'!$B$15-1)/2)/MAX(0.5,'Control Room'!$B$15/4))^2),1)*IF(AND($A538&gt;='Control Room'!$A$16,$A538&lt;'Control Room'!$A$16+'Control Room'!$B$16,'Process'!BT5=1),1+('Control Room'!$C$16-1)*EXP(-0.5*(($A538-'Control Room'!$A$16-('Control Room'!$B$16-1)/2)/MAX(0.5,'Control Room'!$B$16/4))^2),1)</x:f>
        <x:v>1</x:v>
      </x:c>
      <x:c r="AZ538" s="9" t="n">
        <x:f>MOD(BA537*16807,2147483647)</x:f>
        <x:v>820961481</x:v>
      </x:c>
      <x:c r="BA538" s="9" t="n">
        <x:f>MOD(AZ538*16807,2147483647)</x:f>
        <x:v>317179192</x:v>
      </x:c>
      <x:c r="BB538" s="17" t="n">
        <x:f>IF('Control Room'!$B$5="Normal",'Control Room'!$B$7+'Control Room'!$D$7*SQRT(-2*LN(MAX(0.000000000001,AZ538/2147483647)))*COS(2*PI()*BA538/2147483647),'Control Room'!$B$8+('Control Room'!$D$8-'Control Room'!$B$8)*AZ538/2147483647)</x:f>
        <x:v>1074.814159149222</x:v>
      </x:c>
      <x:c r="BC538" s="17" t="n">
        <x:f>IF('Control Room'!$B$5="Normal",'Control Room'!$B$7,('Control Room'!$B$8+'Control Room'!$D$8)/2)+'Control Room'!$B$9*(BC537-IF('Control Room'!$B$5="Normal",'Control Room'!$B$7,('Control Room'!$B$8+'Control Room'!$D$8)/2))+SQRT(1-'Control Room'!$B$9^2)*(BB538-IF('Control Room'!$B$5="Normal",'Control Room'!$B$7,('Control Room'!$B$8+'Control Room'!$D$8)/2))</x:f>
        <x:v>1090.89837653918</x:v>
      </x:c>
      <x:c r="BD538" s="17" t="n">
        <x:f>IF(AND($A538&gt;='Control Room'!$A$13,$A538&lt;'Control Room'!$A$13+'Control Room'!$B$13,'Process'!BU2=1),1+('Control Room'!$C$13-1)*EXP(-0.5*(($A538-'Control Room'!$A$13-('Control Room'!$B$13-1)/2)/MAX(0.5,'Control Room'!$B$13/4))^2),1)*IF(AND($A538&gt;='Control Room'!$A$14,$A538&lt;'Control Room'!$A$14+'Control Room'!$B$14,'Process'!BU3=1),1+('Control Room'!$C$14-1)*EXP(-0.5*(($A538-'Control Room'!$A$14-('Control Room'!$B$14-1)/2)/MAX(0.5,'Control Room'!$B$14/4))^2),1)*IF(AND($A538&gt;='Control Room'!$A$15,$A538&lt;'Control Room'!$A$15+'Control Room'!$B$15,'Process'!BU4=1),1+('Control Room'!$C$15-1)*EXP(-0.5*(($A538-'Control Room'!$A$15-('Control Room'!$B$15-1)/2)/MAX(0.5,'Control Room'!$B$15/4))^2),1)*IF(AND($A538&gt;='Control Room'!$A$16,$A538&lt;'Control Room'!$A$16+'Control Room'!$B$16,'Process'!BU5=1),1+('Control Room'!$C$16-1)*EXP(-0.5*(($A538-'Control Room'!$A$16-('Control Room'!$B$16-1)/2)/MAX(0.5,'Control Room'!$B$16/4))^2),1)</x:f>
        <x:v>1</x:v>
      </x:c>
      <x:c r="BE538" s="9" t="n">
        <x:f>MOD(BF537*16807,2147483647)</x:f>
        <x:v>223485335</x:v>
      </x:c>
      <x:c r="BF538" s="9" t="n">
        <x:f>MOD(BE538*16807,2147483647)</x:f>
        <x:v>169126742</x:v>
      </x:c>
      <x:c r="BG538" s="17" t="n">
        <x:f>IF('Control Room'!$B$5="Normal",'Control Room'!$B$7+'Control Room'!$D$7*SQRT(-2*LN(MAX(0.000000000001,BE538/2147483647)))*COS(2*PI()*BF538/2147483647),'Control Room'!$B$8+('Control Room'!$D$8-'Control Room'!$B$8)*BE538/2147483647)</x:f>
        <x:v>1168.4911130322816</x:v>
      </x:c>
      <x:c r="BH538" s="17" t="n">
        <x:f>IF('Control Room'!$B$5="Normal",'Control Room'!$B$7,('Control Room'!$B$8+'Control Room'!$D$8)/2)+'Control Room'!$B$9*(BH537-IF('Control Room'!$B$5="Normal",'Control Room'!$B$7,('Control Room'!$B$8+'Control Room'!$D$8)/2))+SQRT(1-'Control Room'!$B$9^2)*(BG538-IF('Control Room'!$B$5="Normal",'Control Room'!$B$7,('Control Room'!$B$8+'Control Room'!$D$8)/2))</x:f>
        <x:v>1132.1476874417035</x:v>
      </x:c>
      <x:c r="BI538" s="17" t="n">
        <x:f>IF(AND($A538&gt;='Control Room'!$A$13,$A538&lt;'Control Room'!$A$13+'Control Room'!$B$13,'Process'!BV2=1),1+('Control Room'!$C$13-1)*EXP(-0.5*(($A538-'Control Room'!$A$13-('Control Room'!$B$13-1)/2)/MAX(0.5,'Control Room'!$B$13/4))^2),1)*IF(AND($A538&gt;='Control Room'!$A$14,$A538&lt;'Control Room'!$A$14+'Control Room'!$B$14,'Process'!BV3=1),1+('Control Room'!$C$14-1)*EXP(-0.5*(($A538-'Control Room'!$A$14-('Control Room'!$B$14-1)/2)/MAX(0.5,'Control Room'!$B$14/4))^2),1)*IF(AND($A538&gt;='Control Room'!$A$15,$A538&lt;'Control Room'!$A$15+'Control Room'!$B$15,'Process'!BV4=1),1+('Control Room'!$C$15-1)*EXP(-0.5*(($A538-'Control Room'!$A$15-('Control Room'!$B$15-1)/2)/MAX(0.5,'Control Room'!$B$15/4))^2),1)*IF(AND($A538&gt;='Control Room'!$A$16,$A538&lt;'Control Room'!$A$16+'Control Room'!$B$16,'Process'!BV5=1),1+('Control Room'!$C$16-1)*EXP(-0.5*(($A538-'Control Room'!$A$16-('Control Room'!$B$16-1)/2)/MAX(0.5,'Control Room'!$B$16/4))^2),1)</x:f>
        <x:v>1</x:v>
      </x:c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Z538" t="str">
        <x:f>IF('Data'!A538="","",TEXT('Data'!A538,"mm-dd"))</x:f>
      </x:c>
    </x:row>
    <x:row r="539" ht="21" customHeight="1">
      <x:c r="A539" s="15" t="n">
        <x:f>'Control Room'!$B$1+537</x:f>
        <x:v>73528</x:v>
      </x:c>
      <x:c r="B539" s="9" t="n">
        <x:f>MOD(C538*16807,2147483647)</x:f>
        <x:v>1058521801</x:v>
      </x:c>
      <x:c r="C539" s="9" t="n">
        <x:f>MOD(B539*16807,2147483647)</x:f>
        <x:v>821377659</x:v>
      </x:c>
      <x:c r="D539" s="17" t="n">
        <x:f>IF('Control Room'!$B$5="Normal",'Control Room'!$B$7+'Control Room'!$D$7*SQRT(-2*LN(MAX(0.000000000001,B539/2147483647)))*COS(2*PI()*C539/2147483647),'Control Room'!$B$8+('Control Room'!$D$8-'Control Room'!$B$8)*B539/2147483647)</x:f>
        <x:v>920.8279150339897</x:v>
      </x:c>
      <x:c r="E539" s="17" t="n">
        <x:f>IF('Control Room'!$B$5="Normal",'Control Room'!$B$7,('Control Room'!$B$8+'Control Room'!$D$8)/2)+'Control Room'!$B$9*(E538-IF('Control Room'!$B$5="Normal",'Control Room'!$B$7,('Control Room'!$B$8+'Control Room'!$D$8)/2))+SQRT(1-'Control Room'!$B$9^2)*(D539-IF('Control Room'!$B$5="Normal",'Control Room'!$B$7,('Control Room'!$B$8+'Control Room'!$D$8)/2))</x:f>
        <x:v>930.5858132669758</x:v>
      </x:c>
      <x:c r="F539" s="17" t="n">
        <x:f>IF(AND($A539&gt;='Control Room'!$A$13,$A539&lt;'Control Room'!$A$13+'Control Room'!$B$13,'Process'!BK2=1),1+('Control Room'!$C$13-1)*EXP(-0.5*(($A539-'Control Room'!$A$13-('Control Room'!$B$13-1)/2)/MAX(0.5,'Control Room'!$B$13/4))^2),1)*IF(AND($A539&gt;='Control Room'!$A$14,$A539&lt;'Control Room'!$A$14+'Control Room'!$B$14,'Process'!BK3=1),1+('Control Room'!$C$14-1)*EXP(-0.5*(($A539-'Control Room'!$A$14-('Control Room'!$B$14-1)/2)/MAX(0.5,'Control Room'!$B$14/4))^2),1)*IF(AND($A539&gt;='Control Room'!$A$15,$A539&lt;'Control Room'!$A$15+'Control Room'!$B$15,'Process'!BK4=1),1+('Control Room'!$C$15-1)*EXP(-0.5*(($A539-'Control Room'!$A$15-('Control Room'!$B$15-1)/2)/MAX(0.5,'Control Room'!$B$15/4))^2),1)*IF(AND($A539&gt;='Control Room'!$A$16,$A539&lt;'Control Room'!$A$16+'Control Room'!$B$16,'Process'!BK5=1),1+('Control Room'!$C$16-1)*EXP(-0.5*(($A539-'Control Room'!$A$16-('Control Room'!$B$16-1)/2)/MAX(0.5,'Control Room'!$B$16/4))^2),1)</x:f>
        <x:v>1</x:v>
      </x:c>
      <x:c r="G539" s="9" t="n">
        <x:f>MOD(H538*16807,2147483647)</x:f>
        <x:v>1674541524</x:v>
      </x:c>
      <x:c r="H539" s="9" t="n">
        <x:f>MOD(G539*16807,2147483647)</x:f>
        <x:v>1246199933</x:v>
      </x:c>
      <x:c r="I539" s="17" t="n">
        <x:f>IF('Control Room'!$B$5="Normal",'Control Room'!$B$7+'Control Room'!$D$7*SQRT(-2*LN(MAX(0.000000000001,G539/2147483647)))*COS(2*PI()*H539/2147483647),'Control Room'!$B$8+('Control Room'!$D$8-'Control Room'!$B$8)*G539/2147483647)</x:f>
        <x:v>944.430064336165</x:v>
      </x:c>
      <x:c r="J539" s="17" t="n">
        <x:f>IF('Control Room'!$B$5="Normal",'Control Room'!$B$7,('Control Room'!$B$8+'Control Room'!$D$8)/2)+'Control Room'!$B$9*(J538-IF('Control Room'!$B$5="Normal",'Control Room'!$B$7,('Control Room'!$B$8+'Control Room'!$D$8)/2))+SQRT(1-'Control Room'!$B$9^2)*(I539-IF('Control Room'!$B$5="Normal",'Control Room'!$B$7,('Control Room'!$B$8+'Control Room'!$D$8)/2))</x:f>
        <x:v>902.0855568633586</x:v>
      </x:c>
      <x:c r="K539" s="17" t="n">
        <x:f>IF(AND($A539&gt;='Control Room'!$A$13,$A539&lt;'Control Room'!$A$13+'Control Room'!$B$13,'Process'!BL2=1),1+('Control Room'!$C$13-1)*EXP(-0.5*(($A539-'Control Room'!$A$13-('Control Room'!$B$13-1)/2)/MAX(0.5,'Control Room'!$B$13/4))^2),1)*IF(AND($A539&gt;='Control Room'!$A$14,$A539&lt;'Control Room'!$A$14+'Control Room'!$B$14,'Process'!BL3=1),1+('Control Room'!$C$14-1)*EXP(-0.5*(($A539-'Control Room'!$A$14-('Control Room'!$B$14-1)/2)/MAX(0.5,'Control Room'!$B$14/4))^2),1)*IF(AND($A539&gt;='Control Room'!$A$15,$A539&lt;'Control Room'!$A$15+'Control Room'!$B$15,'Process'!BL4=1),1+('Control Room'!$C$15-1)*EXP(-0.5*(($A539-'Control Room'!$A$15-('Control Room'!$B$15-1)/2)/MAX(0.5,'Control Room'!$B$15/4))^2),1)*IF(AND($A539&gt;='Control Room'!$A$16,$A539&lt;'Control Room'!$A$16+'Control Room'!$B$16,'Process'!BL5=1),1+('Control Room'!$C$16-1)*EXP(-0.5*(($A539-'Control Room'!$A$16-('Control Room'!$B$16-1)/2)/MAX(0.5,'Control Room'!$B$16/4))^2),1)</x:f>
        <x:v>1</x:v>
      </x:c>
      <x:c r="L539" s="9" t="n">
        <x:f>MOD(M538*16807,2147483647)</x:f>
        <x:v>143077600</x:v>
      </x:c>
      <x:c r="M539" s="9" t="n">
        <x:f>MOD(L539*16807,2147483647)</x:f>
        <x:v>1671022207</x:v>
      </x:c>
      <x:c r="N539" s="17" t="n">
        <x:f>IF('Control Room'!$B$5="Normal",'Control Room'!$B$7+'Control Room'!$D$7*SQRT(-2*LN(MAX(0.000000000001,L539/2147483647)))*COS(2*PI()*M539/2147483647),'Control Room'!$B$8+('Control Room'!$D$8-'Control Room'!$B$8)*L539/2147483647)</x:f>
        <x:v>1036.8321106921073</x:v>
      </x:c>
      <x:c r="O539" s="17" t="n">
        <x:f>IF('Control Room'!$B$5="Normal",'Control Room'!$B$7,('Control Room'!$B$8+'Control Room'!$D$8)/2)+'Control Room'!$B$9*(O538-IF('Control Room'!$B$5="Normal",'Control Room'!$B$7,('Control Room'!$B$8+'Control Room'!$D$8)/2))+SQRT(1-'Control Room'!$B$9^2)*(N539-IF('Control Room'!$B$5="Normal",'Control Room'!$B$7,('Control Room'!$B$8+'Control Room'!$D$8)/2))</x:f>
        <x:v>1077.1503354204976</x:v>
      </x:c>
      <x:c r="P539" s="17" t="n">
        <x:f>IF(AND($A539&gt;='Control Room'!$A$13,$A539&lt;'Control Room'!$A$13+'Control Room'!$B$13,'Process'!BM2=1),1+('Control Room'!$C$13-1)*EXP(-0.5*(($A539-'Control Room'!$A$13-('Control Room'!$B$13-1)/2)/MAX(0.5,'Control Room'!$B$13/4))^2),1)*IF(AND($A539&gt;='Control Room'!$A$14,$A539&lt;'Control Room'!$A$14+'Control Room'!$B$14,'Process'!BM3=1),1+('Control Room'!$C$14-1)*EXP(-0.5*(($A539-'Control Room'!$A$14-('Control Room'!$B$14-1)/2)/MAX(0.5,'Control Room'!$B$14/4))^2),1)*IF(AND($A539&gt;='Control Room'!$A$15,$A539&lt;'Control Room'!$A$15+'Control Room'!$B$15,'Process'!BM4=1),1+('Control Room'!$C$15-1)*EXP(-0.5*(($A539-'Control Room'!$A$15-('Control Room'!$B$15-1)/2)/MAX(0.5,'Control Room'!$B$15/4))^2),1)*IF(AND($A539&gt;='Control Room'!$A$16,$A539&lt;'Control Room'!$A$16+'Control Room'!$B$16,'Process'!BM5=1),1+('Control Room'!$C$16-1)*EXP(-0.5*(($A539-'Control Room'!$A$16-('Control Room'!$B$16-1)/2)/MAX(0.5,'Control Room'!$B$16/4))^2),1)</x:f>
        <x:v>1</x:v>
      </x:c>
      <x:c r="Q539" s="9" t="n">
        <x:f>MOD(R538*16807,2147483647)</x:f>
        <x:v>759097323</x:v>
      </x:c>
      <x:c r="R539" s="9" t="n">
        <x:f>MOD(Q539*16807,2147483647)</x:f>
        <x:v>2095844481</x:v>
      </x:c>
      <x:c r="S539" s="17" t="n">
        <x:f>IF('Control Room'!$B$5="Normal",'Control Room'!$B$7+'Control Room'!$D$7*SQRT(-2*LN(MAX(0.000000000001,Q539/2147483647)))*COS(2*PI()*R539/2147483647),'Control Room'!$B$8+('Control Room'!$D$8-'Control Room'!$B$8)*Q539/2147483647)</x:f>
        <x:v>1128.3163493234715</x:v>
      </x:c>
      <x:c r="T539" s="17" t="n">
        <x:f>IF('Control Room'!$B$5="Normal",'Control Room'!$B$7,('Control Room'!$B$8+'Control Room'!$D$8)/2)+'Control Room'!$B$9*(T538-IF('Control Room'!$B$5="Normal",'Control Room'!$B$7,('Control Room'!$B$8+'Control Room'!$D$8)/2))+SQRT(1-'Control Room'!$B$9^2)*(S539-IF('Control Room'!$B$5="Normal",'Control Room'!$B$7,('Control Room'!$B$8+'Control Room'!$D$8)/2))</x:f>
        <x:v>986.9178569786535</x:v>
      </x:c>
      <x:c r="U539" s="17" t="n">
        <x:f>IF(AND($A539&gt;='Control Room'!$A$13,$A539&lt;'Control Room'!$A$13+'Control Room'!$B$13,'Process'!BN2=1),1+('Control Room'!$C$13-1)*EXP(-0.5*(($A539-'Control Room'!$A$13-('Control Room'!$B$13-1)/2)/MAX(0.5,'Control Room'!$B$13/4))^2),1)*IF(AND($A539&gt;='Control Room'!$A$14,$A539&lt;'Control Room'!$A$14+'Control Room'!$B$14,'Process'!BN3=1),1+('Control Room'!$C$14-1)*EXP(-0.5*(($A539-'Control Room'!$A$14-('Control Room'!$B$14-1)/2)/MAX(0.5,'Control Room'!$B$14/4))^2),1)*IF(AND($A539&gt;='Control Room'!$A$15,$A539&lt;'Control Room'!$A$15+'Control Room'!$B$15,'Process'!BN4=1),1+('Control Room'!$C$15-1)*EXP(-0.5*(($A539-'Control Room'!$A$15-('Control Room'!$B$15-1)/2)/MAX(0.5,'Control Room'!$B$15/4))^2),1)*IF(AND($A539&gt;='Control Room'!$A$16,$A539&lt;'Control Room'!$A$16+'Control Room'!$B$16,'Process'!BN5=1),1+('Control Room'!$C$16-1)*EXP(-0.5*(($A539-'Control Room'!$A$16-('Control Room'!$B$16-1)/2)/MAX(0.5,'Control Room'!$B$16/4))^2),1)</x:f>
        <x:v>1</x:v>
      </x:c>
      <x:c r="V539" s="9" t="n">
        <x:f>MOD(W538*16807,2147483647)</x:f>
        <x:v>1375117046</x:v>
      </x:c>
      <x:c r="W539" s="9" t="n">
        <x:f>MOD(V539*16807,2147483647)</x:f>
        <x:v>373183108</x:v>
      </x:c>
      <x:c r="X539" s="17" t="n">
        <x:f>IF('Control Room'!$B$5="Normal",'Control Room'!$B$7+'Control Room'!$D$7*SQRT(-2*LN(MAX(0.000000000001,V539/2147483647)))*COS(2*PI()*W539/2147483647),'Control Room'!$B$8+('Control Room'!$D$8-'Control Room'!$B$8)*V539/2147483647)</x:f>
        <x:v>1039.159969323093</x:v>
      </x:c>
      <x:c r="Y539" s="17" t="n">
        <x:f>IF('Control Room'!$B$5="Normal",'Control Room'!$B$7,('Control Room'!$B$8+'Control Room'!$D$8)/2)+'Control Room'!$B$9*(Y538-IF('Control Room'!$B$5="Normal",'Control Room'!$B$7,('Control Room'!$B$8+'Control Room'!$D$8)/2))+SQRT(1-'Control Room'!$B$9^2)*(X539-IF('Control Room'!$B$5="Normal",'Control Room'!$B$7,('Control Room'!$B$8+'Control Room'!$D$8)/2))</x:f>
        <x:v>913.4120377141134</x:v>
      </x:c>
      <x:c r="Z539" s="17" t="n">
        <x:f>IF(AND($A539&gt;='Control Room'!$A$13,$A539&lt;'Control Room'!$A$13+'Control Room'!$B$13,'Process'!BO2=1),1+('Control Room'!$C$13-1)*EXP(-0.5*(($A539-'Control Room'!$A$13-('Control Room'!$B$13-1)/2)/MAX(0.5,'Control Room'!$B$13/4))^2),1)*IF(AND($A539&gt;='Control Room'!$A$14,$A539&lt;'Control Room'!$A$14+'Control Room'!$B$14,'Process'!BO3=1),1+('Control Room'!$C$14-1)*EXP(-0.5*(($A539-'Control Room'!$A$14-('Control Room'!$B$14-1)/2)/MAX(0.5,'Control Room'!$B$14/4))^2),1)*IF(AND($A539&gt;='Control Room'!$A$15,$A539&lt;'Control Room'!$A$15+'Control Room'!$B$15,'Process'!BO4=1),1+('Control Room'!$C$15-1)*EXP(-0.5*(($A539-'Control Room'!$A$15-('Control Room'!$B$15-1)/2)/MAX(0.5,'Control Room'!$B$15/4))^2),1)*IF(AND($A539&gt;='Control Room'!$A$16,$A539&lt;'Control Room'!$A$16+'Control Room'!$B$16,'Process'!BO5=1),1+('Control Room'!$C$16-1)*EXP(-0.5*(($A539-'Control Room'!$A$16-('Control Room'!$B$16-1)/2)/MAX(0.5,'Control Room'!$B$16/4))^2),1)</x:f>
        <x:v>1</x:v>
      </x:c>
      <x:c r="AA539" s="9" t="n">
        <x:f>MOD(AB538*16807,2147483647)</x:f>
        <x:v>1991136769</x:v>
      </x:c>
      <x:c r="AB539" s="9" t="n">
        <x:f>MOD(AA539*16807,2147483647)</x:f>
        <x:v>798005382</x:v>
      </x:c>
      <x:c r="AC539" s="17" t="n">
        <x:f>IF('Control Room'!$B$5="Normal",'Control Room'!$B$7+'Control Room'!$D$7*SQRT(-2*LN(MAX(0.000000000001,AA539/2147483647)))*COS(2*PI()*AB539/2147483647),'Control Room'!$B$8+('Control Room'!$D$8-'Control Room'!$B$8)*AA539/2147483647)</x:f>
        <x:v>975.7897404327047</x:v>
      </x:c>
      <x:c r="AD539" s="17" t="n">
        <x:f>IF('Control Room'!$B$5="Normal",'Control Room'!$B$7,('Control Room'!$B$8+'Control Room'!$D$8)/2)+'Control Room'!$B$9*(AD538-IF('Control Room'!$B$5="Normal",'Control Room'!$B$7,('Control Room'!$B$8+'Control Room'!$D$8)/2))+SQRT(1-'Control Room'!$B$9^2)*(AC539-IF('Control Room'!$B$5="Normal",'Control Room'!$B$7,('Control Room'!$B$8+'Control Room'!$D$8)/2))</x:f>
        <x:v>1002.4651570937842</x:v>
      </x:c>
      <x:c r="AE539" s="17" t="n">
        <x:f>IF(AND($A539&gt;='Control Room'!$A$13,$A539&lt;'Control Room'!$A$13+'Control Room'!$B$13,'Process'!BP2=1),1+('Control Room'!$C$13-1)*EXP(-0.5*(($A539-'Control Room'!$A$13-('Control Room'!$B$13-1)/2)/MAX(0.5,'Control Room'!$B$13/4))^2),1)*IF(AND($A539&gt;='Control Room'!$A$14,$A539&lt;'Control Room'!$A$14+'Control Room'!$B$14,'Process'!BP3=1),1+('Control Room'!$C$14-1)*EXP(-0.5*(($A539-'Control Room'!$A$14-('Control Room'!$B$14-1)/2)/MAX(0.5,'Control Room'!$B$14/4))^2),1)*IF(AND($A539&gt;='Control Room'!$A$15,$A539&lt;'Control Room'!$A$15+'Control Room'!$B$15,'Process'!BP4=1),1+('Control Room'!$C$15-1)*EXP(-0.5*(($A539-'Control Room'!$A$15-('Control Room'!$B$15-1)/2)/MAX(0.5,'Control Room'!$B$15/4))^2),1)*IF(AND($A539&gt;='Control Room'!$A$16,$A539&lt;'Control Room'!$A$16+'Control Room'!$B$16,'Process'!BP5=1),1+('Control Room'!$C$16-1)*EXP(-0.5*(($A539-'Control Room'!$A$16-('Control Room'!$B$16-1)/2)/MAX(0.5,'Control Room'!$B$16/4))^2),1)</x:f>
        <x:v>1</x:v>
      </x:c>
      <x:c r="AF539" s="9" t="n">
        <x:f>MOD(AG538*16807,2147483647)</x:f>
        <x:v>459672845</x:v>
      </x:c>
      <x:c r="AG539" s="9" t="n">
        <x:f>MOD(AF539*16807,2147483647)</x:f>
        <x:v>1222827656</x:v>
      </x:c>
      <x:c r="AH539" s="17" t="n">
        <x:f>IF('Control Room'!$B$5="Normal",'Control Room'!$B$7+'Control Room'!$D$7*SQRT(-2*LN(MAX(0.000000000001,AF539/2147483647)))*COS(2*PI()*AG539/2147483647),'Control Room'!$B$8+('Control Room'!$D$8-'Control Room'!$B$8)*AF539/2147483647)</x:f>
        <x:v>856.7690601698712</x:v>
      </x:c>
      <x:c r="AI539" s="17" t="n">
        <x:f>IF('Control Room'!$B$5="Normal",'Control Room'!$B$7,('Control Room'!$B$8+'Control Room'!$D$8)/2)+'Control Room'!$B$9*(AI538-IF('Control Room'!$B$5="Normal",'Control Room'!$B$7,('Control Room'!$B$8+'Control Room'!$D$8)/2))+SQRT(1-'Control Room'!$B$9^2)*(AH539-IF('Control Room'!$B$5="Normal",'Control Room'!$B$7,('Control Room'!$B$8+'Control Room'!$D$8)/2))</x:f>
        <x:v>839.2494334058907</x:v>
      </x:c>
      <x:c r="AJ539" s="17" t="n">
        <x:f>IF(AND($A539&gt;='Control Room'!$A$13,$A539&lt;'Control Room'!$A$13+'Control Room'!$B$13,'Process'!BQ2=1),1+('Control Room'!$C$13-1)*EXP(-0.5*(($A539-'Control Room'!$A$13-('Control Room'!$B$13-1)/2)/MAX(0.5,'Control Room'!$B$13/4))^2),1)*IF(AND($A539&gt;='Control Room'!$A$14,$A539&lt;'Control Room'!$A$14+'Control Room'!$B$14,'Process'!BQ3=1),1+('Control Room'!$C$14-1)*EXP(-0.5*(($A539-'Control Room'!$A$14-('Control Room'!$B$14-1)/2)/MAX(0.5,'Control Room'!$B$14/4))^2),1)*IF(AND($A539&gt;='Control Room'!$A$15,$A539&lt;'Control Room'!$A$15+'Control Room'!$B$15,'Process'!BQ4=1),1+('Control Room'!$C$15-1)*EXP(-0.5*(($A539-'Control Room'!$A$15-('Control Room'!$B$15-1)/2)/MAX(0.5,'Control Room'!$B$15/4))^2),1)*IF(AND($A539&gt;='Control Room'!$A$16,$A539&lt;'Control Room'!$A$16+'Control Room'!$B$16,'Process'!BQ5=1),1+('Control Room'!$C$16-1)*EXP(-0.5*(($A539-'Control Room'!$A$16-('Control Room'!$B$16-1)/2)/MAX(0.5,'Control Room'!$B$16/4))^2),1)</x:f>
        <x:v>1</x:v>
      </x:c>
      <x:c r="AK539" s="9" t="n">
        <x:f>MOD(AL538*16807,2147483647)</x:f>
        <x:v>1075692568</x:v>
      </x:c>
      <x:c r="AL539" s="9" t="n">
        <x:f>MOD(AK539*16807,2147483647)</x:f>
        <x:v>1647649930</x:v>
      </x:c>
      <x:c r="AM539" s="17" t="n">
        <x:f>IF('Control Room'!$B$5="Normal",'Control Room'!$B$7+'Control Room'!$D$7*SQRT(-2*LN(MAX(0.000000000001,AK539/2147483647)))*COS(2*PI()*AL539/2147483647),'Control Room'!$B$8+('Control Room'!$D$8-'Control Room'!$B$8)*AK539/2147483647)</x:f>
        <x:v>1011.4456017102632</x:v>
      </x:c>
      <x:c r="AN539" s="17" t="n">
        <x:f>IF('Control Room'!$B$5="Normal",'Control Room'!$B$7,('Control Room'!$B$8+'Control Room'!$D$8)/2)+'Control Room'!$B$9*(AN538-IF('Control Room'!$B$5="Normal",'Control Room'!$B$7,('Control Room'!$B$8+'Control Room'!$D$8)/2))+SQRT(1-'Control Room'!$B$9^2)*(AM539-IF('Control Room'!$B$5="Normal",'Control Room'!$B$7,('Control Room'!$B$8+'Control Room'!$D$8)/2))</x:f>
        <x:v>1077.3383699951914</x:v>
      </x:c>
      <x:c r="AO539" s="17" t="n">
        <x:f>IF(AND($A539&gt;='Control Room'!$A$13,$A539&lt;'Control Room'!$A$13+'Control Room'!$B$13,'Process'!BR2=1),1+('Control Room'!$C$13-1)*EXP(-0.5*(($A539-'Control Room'!$A$13-('Control Room'!$B$13-1)/2)/MAX(0.5,'Control Room'!$B$13/4))^2),1)*IF(AND($A539&gt;='Control Room'!$A$14,$A539&lt;'Control Room'!$A$14+'Control Room'!$B$14,'Process'!BR3=1),1+('Control Room'!$C$14-1)*EXP(-0.5*(($A539-'Control Room'!$A$14-('Control Room'!$B$14-1)/2)/MAX(0.5,'Control Room'!$B$14/4))^2),1)*IF(AND($A539&gt;='Control Room'!$A$15,$A539&lt;'Control Room'!$A$15+'Control Room'!$B$15,'Process'!BR4=1),1+('Control Room'!$C$15-1)*EXP(-0.5*(($A539-'Control Room'!$A$15-('Control Room'!$B$15-1)/2)/MAX(0.5,'Control Room'!$B$15/4))^2),1)*IF(AND($A539&gt;='Control Room'!$A$16,$A539&lt;'Control Room'!$A$16+'Control Room'!$B$16,'Process'!BR5=1),1+('Control Room'!$C$16-1)*EXP(-0.5*(($A539-'Control Room'!$A$16-('Control Room'!$B$16-1)/2)/MAX(0.5,'Control Room'!$B$16/4))^2),1)</x:f>
        <x:v>1</x:v>
      </x:c>
      <x:c r="AP539" s="9" t="n">
        <x:f>MOD(AQ538*16807,2147483647)</x:f>
        <x:v>1691712291</x:v>
      </x:c>
      <x:c r="AQ539" s="9" t="n">
        <x:f>MOD(AP539*16807,2147483647)</x:f>
        <x:v>2072472204</x:v>
      </x:c>
      <x:c r="AR539" s="17" t="n">
        <x:f>IF('Control Room'!$B$5="Normal",'Control Room'!$B$7+'Control Room'!$D$7*SQRT(-2*LN(MAX(0.000000000001,AP539/2147483647)))*COS(2*PI()*AQ539/2147483647),'Control Room'!$B$8+('Control Room'!$D$8-'Control Room'!$B$8)*AP539/2147483647)</x:f>
        <x:v>1060.674715488781</x:v>
      </x:c>
      <x:c r="AS539" s="17" t="n">
        <x:f>IF('Control Room'!$B$5="Normal",'Control Room'!$B$7,('Control Room'!$B$8+'Control Room'!$D$8)/2)+'Control Room'!$B$9*(AS538-IF('Control Room'!$B$5="Normal",'Control Room'!$B$7,('Control Room'!$B$8+'Control Room'!$D$8)/2))+SQRT(1-'Control Room'!$B$9^2)*(AR539-IF('Control Room'!$B$5="Normal",'Control Room'!$B$7,('Control Room'!$B$8+'Control Room'!$D$8)/2))</x:f>
        <x:v>969.0326407572708</x:v>
      </x:c>
      <x:c r="AT539" s="17" t="n">
        <x:f>IF(AND($A539&gt;='Control Room'!$A$13,$A539&lt;'Control Room'!$A$13+'Control Room'!$B$13,'Process'!BS2=1),1+('Control Room'!$C$13-1)*EXP(-0.5*(($A539-'Control Room'!$A$13-('Control Room'!$B$13-1)/2)/MAX(0.5,'Control Room'!$B$13/4))^2),1)*IF(AND($A539&gt;='Control Room'!$A$14,$A539&lt;'Control Room'!$A$14+'Control Room'!$B$14,'Process'!BS3=1),1+('Control Room'!$C$14-1)*EXP(-0.5*(($A539-'Control Room'!$A$14-('Control Room'!$B$14-1)/2)/MAX(0.5,'Control Room'!$B$14/4))^2),1)*IF(AND($A539&gt;='Control Room'!$A$15,$A539&lt;'Control Room'!$A$15+'Control Room'!$B$15,'Process'!BS4=1),1+('Control Room'!$C$15-1)*EXP(-0.5*(($A539-'Control Room'!$A$15-('Control Room'!$B$15-1)/2)/MAX(0.5,'Control Room'!$B$15/4))^2),1)*IF(AND($A539&gt;='Control Room'!$A$16,$A539&lt;'Control Room'!$A$16+'Control Room'!$B$16,'Process'!BS5=1),1+('Control Room'!$C$16-1)*EXP(-0.5*(($A539-'Control Room'!$A$16-('Control Room'!$B$16-1)/2)/MAX(0.5,'Control Room'!$B$16/4))^2),1)</x:f>
        <x:v>1</x:v>
      </x:c>
      <x:c r="AU539" s="9" t="n">
        <x:f>MOD(AV538*16807,2147483647)</x:f>
        <x:v>160248367</x:v>
      </x:c>
      <x:c r="AV539" s="9" t="n">
        <x:f>MOD(AU539*16807,2147483647)</x:f>
        <x:v>349810831</x:v>
      </x:c>
      <x:c r="AW539" s="17" t="n">
        <x:f>IF('Control Room'!$B$5="Normal",'Control Room'!$B$7+'Control Room'!$D$7*SQRT(-2*LN(MAX(0.000000000001,AU539/2147483647)))*COS(2*PI()*AV539/2147483647),'Control Room'!$B$8+('Control Room'!$D$8-'Control Room'!$B$8)*AU539/2147483647)</x:f>
        <x:v>1106.7043639959904</x:v>
      </x:c>
      <x:c r="AX539" s="17" t="n">
        <x:f>IF('Control Room'!$B$5="Normal",'Control Room'!$B$7,('Control Room'!$B$8+'Control Room'!$D$8)/2)+'Control Room'!$B$9*(AX538-IF('Control Room'!$B$5="Normal",'Control Room'!$B$7,('Control Room'!$B$8+'Control Room'!$D$8)/2))+SQRT(1-'Control Room'!$B$9^2)*(AW539-IF('Control Room'!$B$5="Normal",'Control Room'!$B$7,('Control Room'!$B$8+'Control Room'!$D$8)/2))</x:f>
        <x:v>1093.8854430915121</x:v>
      </x:c>
      <x:c r="AY539" s="17" t="n">
        <x:f>IF(AND($A539&gt;='Control Room'!$A$13,$A539&lt;'Control Room'!$A$13+'Control Room'!$B$13,'Process'!BT2=1),1+('Control Room'!$C$13-1)*EXP(-0.5*(($A539-'Control Room'!$A$13-('Control Room'!$B$13-1)/2)/MAX(0.5,'Control Room'!$B$13/4))^2),1)*IF(AND($A539&gt;='Control Room'!$A$14,$A539&lt;'Control Room'!$A$14+'Control Room'!$B$14,'Process'!BT3=1),1+('Control Room'!$C$14-1)*EXP(-0.5*(($A539-'Control Room'!$A$14-('Control Room'!$B$14-1)/2)/MAX(0.5,'Control Room'!$B$14/4))^2),1)*IF(AND($A539&gt;='Control Room'!$A$15,$A539&lt;'Control Room'!$A$15+'Control Room'!$B$15,'Process'!BT4=1),1+('Control Room'!$C$15-1)*EXP(-0.5*(($A539-'Control Room'!$A$15-('Control Room'!$B$15-1)/2)/MAX(0.5,'Control Room'!$B$15/4))^2),1)*IF(AND($A539&gt;='Control Room'!$A$16,$A539&lt;'Control Room'!$A$16+'Control Room'!$B$16,'Process'!BT5=1),1+('Control Room'!$C$16-1)*EXP(-0.5*(($A539-'Control Room'!$A$16-('Control Room'!$B$16-1)/2)/MAX(0.5,'Control Room'!$B$16/4))^2),1)</x:f>
        <x:v>1</x:v>
      </x:c>
      <x:c r="AZ539" s="9" t="n">
        <x:f>MOD(BA538*16807,2147483647)</x:f>
        <x:v>776268090</x:v>
      </x:c>
      <x:c r="BA539" s="9" t="n">
        <x:f>MOD(AZ539*16807,2147483647)</x:f>
        <x:v>774633105</x:v>
      </x:c>
      <x:c r="BB539" s="17" t="n">
        <x:f>IF('Control Room'!$B$5="Normal",'Control Room'!$B$7+'Control Room'!$D$7*SQRT(-2*LN(MAX(0.000000000001,AZ539/2147483647)))*COS(2*PI()*BA539/2147483647),'Control Room'!$B$8+('Control Room'!$D$8-'Control Room'!$B$8)*AZ539/2147483647)</x:f>
        <x:v>917.7155571578539</x:v>
      </x:c>
      <x:c r="BC539" s="17" t="n">
        <x:f>IF('Control Room'!$B$5="Normal",'Control Room'!$B$7,('Control Room'!$B$8+'Control Room'!$D$8)/2)+'Control Room'!$B$9*(BC538-IF('Control Room'!$B$5="Normal",'Control Room'!$B$7,('Control Room'!$B$8+'Control Room'!$D$8)/2))+SQRT(1-'Control Room'!$B$9^2)*(BB539-IF('Control Room'!$B$5="Normal",'Control Room'!$B$7,('Control Room'!$B$8+'Control Room'!$D$8)/2))</x:f>
        <x:v>1019.4088150583823</x:v>
      </x:c>
      <x:c r="BD539" s="17" t="n">
        <x:f>IF(AND($A539&gt;='Control Room'!$A$13,$A539&lt;'Control Room'!$A$13+'Control Room'!$B$13,'Process'!BU2=1),1+('Control Room'!$C$13-1)*EXP(-0.5*(($A539-'Control Room'!$A$13-('Control Room'!$B$13-1)/2)/MAX(0.5,'Control Room'!$B$13/4))^2),1)*IF(AND($A539&gt;='Control Room'!$A$14,$A539&lt;'Control Room'!$A$14+'Control Room'!$B$14,'Process'!BU3=1),1+('Control Room'!$C$14-1)*EXP(-0.5*(($A539-'Control Room'!$A$14-('Control Room'!$B$14-1)/2)/MAX(0.5,'Control Room'!$B$14/4))^2),1)*IF(AND($A539&gt;='Control Room'!$A$15,$A539&lt;'Control Room'!$A$15+'Control Room'!$B$15,'Process'!BU4=1),1+('Control Room'!$C$15-1)*EXP(-0.5*(($A539-'Control Room'!$A$15-('Control Room'!$B$15-1)/2)/MAX(0.5,'Control Room'!$B$15/4))^2),1)*IF(AND($A539&gt;='Control Room'!$A$16,$A539&lt;'Control Room'!$A$16+'Control Room'!$B$16,'Process'!BU5=1),1+('Control Room'!$C$16-1)*EXP(-0.5*(($A539-'Control Room'!$A$16-('Control Room'!$B$16-1)/2)/MAX(0.5,'Control Room'!$B$16/4))^2),1)</x:f>
        <x:v>1</x:v>
      </x:c>
      <x:c r="BE539" s="9" t="n">
        <x:f>MOD(BF538*16807,2147483647)</x:f>
        <x:v>1392287813</x:v>
      </x:c>
      <x:c r="BF539" s="9" t="n">
        <x:f>MOD(BE539*16807,2147483647)</x:f>
        <x:v>1199455379</x:v>
      </x:c>
      <x:c r="BG539" s="17" t="n">
        <x:f>IF('Control Room'!$B$5="Normal",'Control Room'!$B$7+'Control Room'!$D$7*SQRT(-2*LN(MAX(0.000000000001,BE539/2147483647)))*COS(2*PI()*BF539/2147483647),'Control Room'!$B$8+('Control Room'!$D$8-'Control Room'!$B$8)*BE539/2147483647)</x:f>
        <x:v>921.8172320179946</x:v>
      </x:c>
      <x:c r="BH539" s="17" t="n">
        <x:f>IF('Control Room'!$B$5="Normal",'Control Room'!$B$7,('Control Room'!$B$8+'Control Room'!$D$8)/2)+'Control Room'!$B$9*(BH538-IF('Control Room'!$B$5="Normal",'Control Room'!$B$7,('Control Room'!$B$8+'Control Room'!$D$8)/2))+SQRT(1-'Control Room'!$B$9^2)*(BG539-IF('Control Room'!$B$5="Normal",'Control Room'!$B$7,('Control Room'!$B$8+'Control Room'!$D$8)/2))</x:f>
        <x:v>1054.15002166245</x:v>
      </x:c>
      <x:c r="BI539" s="17" t="n">
        <x:f>IF(AND($A539&gt;='Control Room'!$A$13,$A539&lt;'Control Room'!$A$13+'Control Room'!$B$13,'Process'!BV2=1),1+('Control Room'!$C$13-1)*EXP(-0.5*(($A539-'Control Room'!$A$13-('Control Room'!$B$13-1)/2)/MAX(0.5,'Control Room'!$B$13/4))^2),1)*IF(AND($A539&gt;='Control Room'!$A$14,$A539&lt;'Control Room'!$A$14+'Control Room'!$B$14,'Process'!BV3=1),1+('Control Room'!$C$14-1)*EXP(-0.5*(($A539-'Control Room'!$A$14-('Control Room'!$B$14-1)/2)/MAX(0.5,'Control Room'!$B$14/4))^2),1)*IF(AND($A539&gt;='Control Room'!$A$15,$A539&lt;'Control Room'!$A$15+'Control Room'!$B$15,'Process'!BV4=1),1+('Control Room'!$C$15-1)*EXP(-0.5*(($A539-'Control Room'!$A$15-('Control Room'!$B$15-1)/2)/MAX(0.5,'Control Room'!$B$15/4))^2),1)*IF(AND($A539&gt;='Control Room'!$A$16,$A539&lt;'Control Room'!$A$16+'Control Room'!$B$16,'Process'!BV5=1),1+('Control Room'!$C$16-1)*EXP(-0.5*(($A539-'Control Room'!$A$16-('Control Room'!$B$16-1)/2)/MAX(0.5,'Control Room'!$B$16/4))^2),1)</x:f>
        <x:v>1</x:v>
      </x:c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Z539" t="str">
        <x:f>IF('Data'!A539="","",TEXT('Data'!A539,"mm-dd"))</x:f>
      </x:c>
    </x:row>
    <x:row r="540" ht="21" customHeight="1">
      <x:c r="A540" s="15" t="n">
        <x:f>'Control Room'!$B$1+538</x:f>
        <x:v>73529</x:v>
      </x:c>
      <x:c r="B540" s="9" t="n">
        <x:f>MOD(C539*16807,2147483647)</x:f>
        <x:v>869431897</x:v>
      </x:c>
      <x:c r="C540" s="9" t="n">
        <x:f>MOD(B540*16807,2147483647)</x:f>
        <x:v>1063158691</x:v>
      </x:c>
      <x:c r="D540" s="17" t="n">
        <x:f>IF('Control Room'!$B$5="Normal",'Control Room'!$B$7+'Control Room'!$D$7*SQRT(-2*LN(MAX(0.000000000001,B540/2147483647)))*COS(2*PI()*C540/2147483647),'Control Room'!$B$8+('Control Room'!$D$8-'Control Room'!$B$8)*B540/2147483647)</x:f>
        <x:v>879.0281244547845</x:v>
      </x:c>
      <x:c r="E540" s="17" t="n">
        <x:f>IF('Control Room'!$B$5="Normal",'Control Room'!$B$7,('Control Room'!$B$8+'Control Room'!$D$8)/2)+'Control Room'!$B$9*(E539-IF('Control Room'!$B$5="Normal",'Control Room'!$B$7,('Control Room'!$B$8+'Control Room'!$D$8)/2))+SQRT(1-'Control Room'!$B$9^2)*(D540-IF('Control Room'!$B$5="Normal",'Control Room'!$B$7,('Control Room'!$B$8+'Control Room'!$D$8)/2))</x:f>
        <x:v>870.1552128756204</x:v>
      </x:c>
      <x:c r="F540" s="17" t="n">
        <x:f>IF(AND($A540&gt;='Control Room'!$A$13,$A540&lt;'Control Room'!$A$13+'Control Room'!$B$13,'Process'!BK2=1),1+('Control Room'!$C$13-1)*EXP(-0.5*(($A540-'Control Room'!$A$13-('Control Room'!$B$13-1)/2)/MAX(0.5,'Control Room'!$B$13/4))^2),1)*IF(AND($A540&gt;='Control Room'!$A$14,$A540&lt;'Control Room'!$A$14+'Control Room'!$B$14,'Process'!BK3=1),1+('Control Room'!$C$14-1)*EXP(-0.5*(($A540-'Control Room'!$A$14-('Control Room'!$B$14-1)/2)/MAX(0.5,'Control Room'!$B$14/4))^2),1)*IF(AND($A540&gt;='Control Room'!$A$15,$A540&lt;'Control Room'!$A$15+'Control Room'!$B$15,'Process'!BK4=1),1+('Control Room'!$C$15-1)*EXP(-0.5*(($A540-'Control Room'!$A$15-('Control Room'!$B$15-1)/2)/MAX(0.5,'Control Room'!$B$15/4))^2),1)*IF(AND($A540&gt;='Control Room'!$A$16,$A540&lt;'Control Room'!$A$16+'Control Room'!$B$16,'Process'!BK5=1),1+('Control Room'!$C$16-1)*EXP(-0.5*(($A540-'Control Room'!$A$16-('Control Room'!$B$16-1)/2)/MAX(0.5,'Control Room'!$B$16/4))^2),1)</x:f>
        <x:v>1</x:v>
      </x:c>
      <x:c r="G540" s="9" t="n">
        <x:f>MOD(H539*16807,2147483647)</x:f>
        <x:v>474264740</x:v>
      </x:c>
      <x:c r="H540" s="9" t="n">
        <x:f>MOD(G540*16807,2147483647)</x:f>
        <x:v>1655671163</x:v>
      </x:c>
      <x:c r="I540" s="17" t="n">
        <x:f>IF('Control Room'!$B$5="Normal",'Control Room'!$B$7+'Control Room'!$D$7*SQRT(-2*LN(MAX(0.000000000001,G540/2147483647)))*COS(2*PI()*H540/2147483647),'Control Room'!$B$8+('Control Room'!$D$8-'Control Room'!$B$8)*G540/2147483647)</x:f>
        <x:v>1020.5614837001086</x:v>
      </x:c>
      <x:c r="J540" s="17" t="n">
        <x:f>IF('Control Room'!$B$5="Normal",'Control Room'!$B$7,('Control Room'!$B$8+'Control Room'!$D$8)/2)+'Control Room'!$B$9*(J539-IF('Control Room'!$B$5="Normal",'Control Room'!$B$7,('Control Room'!$B$8+'Control Room'!$D$8)/2))+SQRT(1-'Control Room'!$B$9^2)*(I540-IF('Control Room'!$B$5="Normal",'Control Room'!$B$7,('Control Room'!$B$8+'Control Room'!$D$8)/2))</x:f>
        <x:v>936.4936896280585</x:v>
      </x:c>
      <x:c r="K540" s="17" t="n">
        <x:f>IF(AND($A540&gt;='Control Room'!$A$13,$A540&lt;'Control Room'!$A$13+'Control Room'!$B$13,'Process'!BL2=1),1+('Control Room'!$C$13-1)*EXP(-0.5*(($A540-'Control Room'!$A$13-('Control Room'!$B$13-1)/2)/MAX(0.5,'Control Room'!$B$13/4))^2),1)*IF(AND($A540&gt;='Control Room'!$A$14,$A540&lt;'Control Room'!$A$14+'Control Room'!$B$14,'Process'!BL3=1),1+('Control Room'!$C$14-1)*EXP(-0.5*(($A540-'Control Room'!$A$14-('Control Room'!$B$14-1)/2)/MAX(0.5,'Control Room'!$B$14/4))^2),1)*IF(AND($A540&gt;='Control Room'!$A$15,$A540&lt;'Control Room'!$A$15+'Control Room'!$B$15,'Process'!BL4=1),1+('Control Room'!$C$15-1)*EXP(-0.5*(($A540-'Control Room'!$A$15-('Control Room'!$B$15-1)/2)/MAX(0.5,'Control Room'!$B$15/4))^2),1)*IF(AND($A540&gt;='Control Room'!$A$16,$A540&lt;'Control Room'!$A$16+'Control Room'!$B$16,'Process'!BL5=1),1+('Control Room'!$C$16-1)*EXP(-0.5*(($A540-'Control Room'!$A$16-('Control Room'!$B$16-1)/2)/MAX(0.5,'Control Room'!$B$16/4))^2),1)</x:f>
        <x:v>1</x:v>
      </x:c>
      <x:c r="L540" s="9" t="n">
        <x:f>MOD(M539*16807,2147483647)</x:f>
        <x:v>79097583</x:v>
      </x:c>
      <x:c r="M540" s="9" t="n">
        <x:f>MOD(L540*16807,2147483647)</x:f>
        <x:v>100699988</x:v>
      </x:c>
      <x:c r="N540" s="17" t="n">
        <x:f>IF('Control Room'!$B$5="Normal",'Control Room'!$B$7+'Control Room'!$D$7*SQRT(-2*LN(MAX(0.000000000001,L540/2147483647)))*COS(2*PI()*M540/2147483647),'Control Room'!$B$8+('Control Room'!$D$8-'Control Room'!$B$8)*L540/2147483647)</x:f>
        <x:v>1221.296886677577</x:v>
      </x:c>
      <x:c r="O540" s="17" t="n">
        <x:f>IF('Control Room'!$B$5="Normal",'Control Room'!$B$7,('Control Room'!$B$8+'Control Room'!$D$8)/2)+'Control Room'!$B$9*(O539-IF('Control Room'!$B$5="Normal",'Control Room'!$B$7,('Control Room'!$B$8+'Control Room'!$D$8)/2))+SQRT(1-'Control Room'!$B$9^2)*(N540-IF('Control Room'!$B$5="Normal",'Control Room'!$B$7,('Control Room'!$B$8+'Control Room'!$D$8)/2))</x:f>
        <x:v>1198.660319797674</x:v>
      </x:c>
      <x:c r="P540" s="17" t="n">
        <x:f>IF(AND($A540&gt;='Control Room'!$A$13,$A540&lt;'Control Room'!$A$13+'Control Room'!$B$13,'Process'!BM2=1),1+('Control Room'!$C$13-1)*EXP(-0.5*(($A540-'Control Room'!$A$13-('Control Room'!$B$13-1)/2)/MAX(0.5,'Control Room'!$B$13/4))^2),1)*IF(AND($A540&gt;='Control Room'!$A$14,$A540&lt;'Control Room'!$A$14+'Control Room'!$B$14,'Process'!BM3=1),1+('Control Room'!$C$14-1)*EXP(-0.5*(($A540-'Control Room'!$A$14-('Control Room'!$B$14-1)/2)/MAX(0.5,'Control Room'!$B$14/4))^2),1)*IF(AND($A540&gt;='Control Room'!$A$15,$A540&lt;'Control Room'!$A$15+'Control Room'!$B$15,'Process'!BM4=1),1+('Control Room'!$C$15-1)*EXP(-0.5*(($A540-'Control Room'!$A$15-('Control Room'!$B$15-1)/2)/MAX(0.5,'Control Room'!$B$15/4))^2),1)*IF(AND($A540&gt;='Control Room'!$A$16,$A540&lt;'Control Room'!$A$16+'Control Room'!$B$16,'Process'!BM5=1),1+('Control Room'!$C$16-1)*EXP(-0.5*(($A540-'Control Room'!$A$16-('Control Room'!$B$16-1)/2)/MAX(0.5,'Control Room'!$B$16/4))^2),1)</x:f>
        <x:v>1</x:v>
      </x:c>
      <x:c r="Q540" s="9" t="n">
        <x:f>MOD(R539*16807,2147483647)</x:f>
        <x:v>1831414073</x:v>
      </x:c>
      <x:c r="R540" s="9" t="n">
        <x:f>MOD(Q540*16807,2147483647)</x:f>
        <x:v>693212460</x:v>
      </x:c>
      <x:c r="S540" s="17" t="n">
        <x:f>IF('Control Room'!$B$5="Normal",'Control Room'!$B$7+'Control Room'!$D$7*SQRT(-2*LN(MAX(0.000000000001,Q540/2147483647)))*COS(2*PI()*R540/2147483647),'Control Room'!$B$8+('Control Room'!$D$8-'Control Room'!$B$8)*Q540/2147483647)</x:f>
        <x:v>977.5708729317255</x:v>
      </x:c>
      <x:c r="T540" s="17" t="n">
        <x:f>IF('Control Room'!$B$5="Normal",'Control Room'!$B$7,('Control Room'!$B$8+'Control Room'!$D$8)/2)+'Control Room'!$B$9*(T539-IF('Control Room'!$B$5="Normal",'Control Room'!$B$7,('Control Room'!$B$8+'Control Room'!$D$8)/2))+SQRT(1-'Control Room'!$B$9^2)*(S540-IF('Control Room'!$B$5="Normal",'Control Room'!$B$7,('Control Room'!$B$8+'Control Room'!$D$8)/2))</x:f>
        <x:v>975.7602402096668</x:v>
      </x:c>
      <x:c r="U540" s="17" t="n">
        <x:f>IF(AND($A540&gt;='Control Room'!$A$13,$A540&lt;'Control Room'!$A$13+'Control Room'!$B$13,'Process'!BN2=1),1+('Control Room'!$C$13-1)*EXP(-0.5*(($A540-'Control Room'!$A$13-('Control Room'!$B$13-1)/2)/MAX(0.5,'Control Room'!$B$13/4))^2),1)*IF(AND($A540&gt;='Control Room'!$A$14,$A540&lt;'Control Room'!$A$14+'Control Room'!$B$14,'Process'!BN3=1),1+('Control Room'!$C$14-1)*EXP(-0.5*(($A540-'Control Room'!$A$14-('Control Room'!$B$14-1)/2)/MAX(0.5,'Control Room'!$B$14/4))^2),1)*IF(AND($A540&gt;='Control Room'!$A$15,$A540&lt;'Control Room'!$A$15+'Control Room'!$B$15,'Process'!BN4=1),1+('Control Room'!$C$15-1)*EXP(-0.5*(($A540-'Control Room'!$A$15-('Control Room'!$B$15-1)/2)/MAX(0.5,'Control Room'!$B$15/4))^2),1)*IF(AND($A540&gt;='Control Room'!$A$16,$A540&lt;'Control Room'!$A$16+'Control Room'!$B$16,'Process'!BN5=1),1+('Control Room'!$C$16-1)*EXP(-0.5*(($A540-'Control Room'!$A$16-('Control Room'!$B$16-1)/2)/MAX(0.5,'Control Room'!$B$16/4))^2),1)</x:f>
        <x:v>1</x:v>
      </x:c>
      <x:c r="V540" s="9" t="n">
        <x:f>MOD(W539*16807,2147483647)</x:f>
        <x:v>1436246916</x:v>
      </x:c>
      <x:c r="W540" s="9" t="n">
        <x:f>MOD(V540*16807,2147483647)</x:f>
        <x:v>1285724932</x:v>
      </x:c>
      <x:c r="X540" s="17" t="n">
        <x:f>IF('Control Room'!$B$5="Normal",'Control Room'!$B$7+'Control Room'!$D$7*SQRT(-2*LN(MAX(0.000000000001,V540/2147483647)))*COS(2*PI()*W540/2147483647),'Control Room'!$B$8+('Control Room'!$D$8-'Control Room'!$B$8)*V540/2147483647)</x:f>
        <x:v>934.3096406531707</x:v>
      </x:c>
      <x:c r="Y540" s="17" t="n">
        <x:f>IF('Control Room'!$B$5="Normal",'Control Room'!$B$7,('Control Room'!$B$8+'Control Room'!$D$8)/2)+'Control Room'!$B$9*(Y539-IF('Control Room'!$B$5="Normal",'Control Room'!$B$7,('Control Room'!$B$8+'Control Room'!$D$8)/2))+SQRT(1-'Control Room'!$B$9^2)*(X540-IF('Control Room'!$B$5="Normal",'Control Room'!$B$7,('Control Room'!$B$8+'Control Room'!$D$8)/2))</x:f>
        <x:v>891.3537082779213</x:v>
      </x:c>
      <x:c r="Z540" s="17" t="n">
        <x:f>IF(AND($A540&gt;='Control Room'!$A$13,$A540&lt;'Control Room'!$A$13+'Control Room'!$B$13,'Process'!BO2=1),1+('Control Room'!$C$13-1)*EXP(-0.5*(($A540-'Control Room'!$A$13-('Control Room'!$B$13-1)/2)/MAX(0.5,'Control Room'!$B$13/4))^2),1)*IF(AND($A540&gt;='Control Room'!$A$14,$A540&lt;'Control Room'!$A$14+'Control Room'!$B$14,'Process'!BO3=1),1+('Control Room'!$C$14-1)*EXP(-0.5*(($A540-'Control Room'!$A$14-('Control Room'!$B$14-1)/2)/MAX(0.5,'Control Room'!$B$14/4))^2),1)*IF(AND($A540&gt;='Control Room'!$A$15,$A540&lt;'Control Room'!$A$15+'Control Room'!$B$15,'Process'!BO4=1),1+('Control Room'!$C$15-1)*EXP(-0.5*(($A540-'Control Room'!$A$15-('Control Room'!$B$15-1)/2)/MAX(0.5,'Control Room'!$B$15/4))^2),1)*IF(AND($A540&gt;='Control Room'!$A$16,$A540&lt;'Control Room'!$A$16+'Control Room'!$B$16,'Process'!BO5=1),1+('Control Room'!$C$16-1)*EXP(-0.5*(($A540-'Control Room'!$A$16-('Control Room'!$B$16-1)/2)/MAX(0.5,'Control Room'!$B$16/4))^2),1)</x:f>
        <x:v>1</x:v>
      </x:c>
      <x:c r="AA540" s="9" t="n">
        <x:f>MOD(AB539*16807,2147483647)</x:f>
        <x:v>1041079759</x:v>
      </x:c>
      <x:c r="AB540" s="9" t="n">
        <x:f>MOD(AA540*16807,2147483647)</x:f>
        <x:v>1878237404</x:v>
      </x:c>
      <x:c r="AC540" s="17" t="n">
        <x:f>IF('Control Room'!$B$5="Normal",'Control Room'!$B$7+'Control Room'!$D$7*SQRT(-2*LN(MAX(0.000000000001,AA540/2147483647)))*COS(2*PI()*AB540/2147483647),'Control Room'!$B$8+('Control Room'!$D$8-'Control Room'!$B$8)*AA540/2147483647)</x:f>
        <x:v>1076.3995150240883</x:v>
      </x:c>
      <x:c r="AD540" s="17" t="n">
        <x:f>IF('Control Room'!$B$5="Normal",'Control Room'!$B$7,('Control Room'!$B$8+'Control Room'!$D$8)/2)+'Control Room'!$B$9*(AD539-IF('Control Room'!$B$5="Normal",'Control Room'!$B$7,('Control Room'!$B$8+'Control Room'!$D$8)/2))+SQRT(1-'Control Room'!$B$9^2)*(AC540-IF('Control Room'!$B$5="Normal",'Control Room'!$B$7,('Control Room'!$B$8+'Control Room'!$D$8)/2))</x:f>
        <x:v>1049.7320739060885</x:v>
      </x:c>
      <x:c r="AE540" s="17" t="n">
        <x:f>IF(AND($A540&gt;='Control Room'!$A$13,$A540&lt;'Control Room'!$A$13+'Control Room'!$B$13,'Process'!BP2=1),1+('Control Room'!$C$13-1)*EXP(-0.5*(($A540-'Control Room'!$A$13-('Control Room'!$B$13-1)/2)/MAX(0.5,'Control Room'!$B$13/4))^2),1)*IF(AND($A540&gt;='Control Room'!$A$14,$A540&lt;'Control Room'!$A$14+'Control Room'!$B$14,'Process'!BP3=1),1+('Control Room'!$C$14-1)*EXP(-0.5*(($A540-'Control Room'!$A$14-('Control Room'!$B$14-1)/2)/MAX(0.5,'Control Room'!$B$14/4))^2),1)*IF(AND($A540&gt;='Control Room'!$A$15,$A540&lt;'Control Room'!$A$15+'Control Room'!$B$15,'Process'!BP4=1),1+('Control Room'!$C$15-1)*EXP(-0.5*(($A540-'Control Room'!$A$15-('Control Room'!$B$15-1)/2)/MAX(0.5,'Control Room'!$B$15/4))^2),1)*IF(AND($A540&gt;='Control Room'!$A$16,$A540&lt;'Control Room'!$A$16+'Control Room'!$B$16,'Process'!BP5=1),1+('Control Room'!$C$16-1)*EXP(-0.5*(($A540-'Control Room'!$A$16-('Control Room'!$B$16-1)/2)/MAX(0.5,'Control Room'!$B$16/4))^2),1)</x:f>
        <x:v>1</x:v>
      </x:c>
      <x:c r="AF540" s="9" t="n">
        <x:f>MOD(AG539*16807,2147483647)</x:f>
        <x:v>645912602</x:v>
      </x:c>
      <x:c r="AG540" s="9" t="n">
        <x:f>MOD(AF540*16807,2147483647)</x:f>
        <x:v>323266229</x:v>
      </x:c>
      <x:c r="AH540" s="17" t="n">
        <x:f>IF('Control Room'!$B$5="Normal",'Control Room'!$B$7+'Control Room'!$D$7*SQRT(-2*LN(MAX(0.000000000001,AF540/2147483647)))*COS(2*PI()*AG540/2147483647),'Control Room'!$B$8+('Control Room'!$D$8-'Control Room'!$B$8)*AF540/2147483647)</x:f>
        <x:v>1081.6226188129785</x:v>
      </x:c>
      <x:c r="AI540" s="17" t="n">
        <x:f>IF('Control Room'!$B$5="Normal",'Control Room'!$B$7,('Control Room'!$B$8+'Control Room'!$D$8)/2)+'Control Room'!$B$9*(AI539-IF('Control Room'!$B$5="Normal",'Control Room'!$B$7,('Control Room'!$B$8+'Control Room'!$D$8)/2))+SQRT(1-'Control Room'!$B$9^2)*(AH540-IF('Control Room'!$B$5="Normal",'Control Room'!$B$7,('Control Room'!$B$8+'Control Room'!$D$8)/2))</x:f>
        <x:v>925.692320779522</x:v>
      </x:c>
      <x:c r="AJ540" s="17" t="n">
        <x:f>IF(AND($A540&gt;='Control Room'!$A$13,$A540&lt;'Control Room'!$A$13+'Control Room'!$B$13,'Process'!BQ2=1),1+('Control Room'!$C$13-1)*EXP(-0.5*(($A540-'Control Room'!$A$13-('Control Room'!$B$13-1)/2)/MAX(0.5,'Control Room'!$B$13/4))^2),1)*IF(AND($A540&gt;='Control Room'!$A$14,$A540&lt;'Control Room'!$A$14+'Control Room'!$B$14,'Process'!BQ3=1),1+('Control Room'!$C$14-1)*EXP(-0.5*(($A540-'Control Room'!$A$14-('Control Room'!$B$14-1)/2)/MAX(0.5,'Control Room'!$B$14/4))^2),1)*IF(AND($A540&gt;='Control Room'!$A$15,$A540&lt;'Control Room'!$A$15+'Control Room'!$B$15,'Process'!BQ4=1),1+('Control Room'!$C$15-1)*EXP(-0.5*(($A540-'Control Room'!$A$15-('Control Room'!$B$15-1)/2)/MAX(0.5,'Control Room'!$B$15/4))^2),1)*IF(AND($A540&gt;='Control Room'!$A$16,$A540&lt;'Control Room'!$A$16+'Control Room'!$B$16,'Process'!BQ5=1),1+('Control Room'!$C$16-1)*EXP(-0.5*(($A540-'Control Room'!$A$16-('Control Room'!$B$16-1)/2)/MAX(0.5,'Control Room'!$B$16/4))^2),1)</x:f>
        <x:v>1</x:v>
      </x:c>
      <x:c r="AK540" s="9" t="n">
        <x:f>MOD(AL539*16807,2147483647)</x:f>
        <x:v>250745445</x:v>
      </x:c>
      <x:c r="AL540" s="9" t="n">
        <x:f>MOD(AK540*16807,2147483647)</x:f>
        <x:v>915778701</x:v>
      </x:c>
      <x:c r="AM540" s="17" t="n">
        <x:f>IF('Control Room'!$B$5="Normal",'Control Room'!$B$7+'Control Room'!$D$7*SQRT(-2*LN(MAX(0.000000000001,AK540/2147483647)))*COS(2*PI()*AL540/2147483647),'Control Room'!$B$8+('Control Room'!$D$8-'Control Room'!$B$8)*AK540/2147483647)</x:f>
        <x:v>833.0448016742538</x:v>
      </x:c>
      <x:c r="AN540" s="17" t="n">
        <x:f>IF('Control Room'!$B$5="Normal",'Control Room'!$B$7,('Control Room'!$B$8+'Control Room'!$D$8)/2)+'Control Room'!$B$9*(AN539-IF('Control Room'!$B$5="Normal",'Control Room'!$B$7,('Control Room'!$B$8+'Control Room'!$D$8)/2))+SQRT(1-'Control Room'!$B$9^2)*(AM540-IF('Control Room'!$B$5="Normal",'Control Room'!$B$7,('Control Room'!$B$8+'Control Room'!$D$8)/2))</x:f>
        <x:v>955.8467857471429</x:v>
      </x:c>
      <x:c r="AO540" s="17" t="n">
        <x:f>IF(AND($A540&gt;='Control Room'!$A$13,$A540&lt;'Control Room'!$A$13+'Control Room'!$B$13,'Process'!BR2=1),1+('Control Room'!$C$13-1)*EXP(-0.5*(($A540-'Control Room'!$A$13-('Control Room'!$B$13-1)/2)/MAX(0.5,'Control Room'!$B$13/4))^2),1)*IF(AND($A540&gt;='Control Room'!$A$14,$A540&lt;'Control Room'!$A$14+'Control Room'!$B$14,'Process'!BR3=1),1+('Control Room'!$C$14-1)*EXP(-0.5*(($A540-'Control Room'!$A$14-('Control Room'!$B$14-1)/2)/MAX(0.5,'Control Room'!$B$14/4))^2),1)*IF(AND($A540&gt;='Control Room'!$A$15,$A540&lt;'Control Room'!$A$15+'Control Room'!$B$15,'Process'!BR4=1),1+('Control Room'!$C$15-1)*EXP(-0.5*(($A540-'Control Room'!$A$15-('Control Room'!$B$15-1)/2)/MAX(0.5,'Control Room'!$B$15/4))^2),1)*IF(AND($A540&gt;='Control Room'!$A$16,$A540&lt;'Control Room'!$A$16+'Control Room'!$B$16,'Process'!BR5=1),1+('Control Room'!$C$16-1)*EXP(-0.5*(($A540-'Control Room'!$A$16-('Control Room'!$B$16-1)/2)/MAX(0.5,'Control Room'!$B$16/4))^2),1)</x:f>
        <x:v>1</x:v>
      </x:c>
      <x:c r="AP540" s="9" t="n">
        <x:f>MOD(AQ539*16807,2147483647)</x:f>
        <x:v>2003061935</x:v>
      </x:c>
      <x:c r="AQ540" s="9" t="n">
        <x:f>MOD(AP540*16807,2147483647)</x:f>
        <x:v>1508291173</x:v>
      </x:c>
      <x:c r="AR540" s="17" t="n">
        <x:f>IF('Control Room'!$B$5="Normal",'Control Room'!$B$7+'Control Room'!$D$7*SQRT(-2*LN(MAX(0.000000000001,AP540/2147483647)))*COS(2*PI()*AQ540/2147483647),'Control Room'!$B$8+('Control Room'!$D$8-'Control Room'!$B$8)*AP540/2147483647)</x:f>
        <x:v>990.0954634061054</x:v>
      </x:c>
      <x:c r="AS540" s="17" t="n">
        <x:f>IF('Control Room'!$B$5="Normal",'Control Room'!$B$7,('Control Room'!$B$8+'Control Room'!$D$8)/2)+'Control Room'!$B$9*(AS539-IF('Control Room'!$B$5="Normal",'Control Room'!$B$7,('Control Room'!$B$8+'Control Room'!$D$8)/2))+SQRT(1-'Control Room'!$B$9^2)*(AR540-IF('Control Room'!$B$5="Normal",'Control Room'!$B$7,('Control Room'!$B$8+'Control Room'!$D$8)/2))</x:f>
        <x:v>969.6474036956729</x:v>
      </x:c>
      <x:c r="AT540" s="17" t="n">
        <x:f>IF(AND($A540&gt;='Control Room'!$A$13,$A540&lt;'Control Room'!$A$13+'Control Room'!$B$13,'Process'!BS2=1),1+('Control Room'!$C$13-1)*EXP(-0.5*(($A540-'Control Room'!$A$13-('Control Room'!$B$13-1)/2)/MAX(0.5,'Control Room'!$B$13/4))^2),1)*IF(AND($A540&gt;='Control Room'!$A$14,$A540&lt;'Control Room'!$A$14+'Control Room'!$B$14,'Process'!BS3=1),1+('Control Room'!$C$14-1)*EXP(-0.5*(($A540-'Control Room'!$A$14-('Control Room'!$B$14-1)/2)/MAX(0.5,'Control Room'!$B$14/4))^2),1)*IF(AND($A540&gt;='Control Room'!$A$15,$A540&lt;'Control Room'!$A$15+'Control Room'!$B$15,'Process'!BS4=1),1+('Control Room'!$C$15-1)*EXP(-0.5*(($A540-'Control Room'!$A$15-('Control Room'!$B$15-1)/2)/MAX(0.5,'Control Room'!$B$15/4))^2),1)*IF(AND($A540&gt;='Control Room'!$A$16,$A540&lt;'Control Room'!$A$16+'Control Room'!$B$16,'Process'!BS5=1),1+('Control Room'!$C$16-1)*EXP(-0.5*(($A540-'Control Room'!$A$16-('Control Room'!$B$16-1)/2)/MAX(0.5,'Control Room'!$B$16/4))^2),1)</x:f>
        <x:v>1</x:v>
      </x:c>
      <x:c r="AU540" s="9" t="n">
        <x:f>MOD(AV539*16807,2147483647)</x:f>
        <x:v>1607894778</x:v>
      </x:c>
      <x:c r="AV540" s="9" t="n">
        <x:f>MOD(AU540*16807,2147483647)</x:f>
        <x:v>2100803645</x:v>
      </x:c>
      <x:c r="AW540" s="17" t="n">
        <x:f>IF('Control Room'!$B$5="Normal",'Control Room'!$B$7+'Control Room'!$D$7*SQRT(-2*LN(MAX(0.000000000001,AU540/2147483647)))*COS(2*PI()*AV540/2147483647),'Control Room'!$B$8+('Control Room'!$D$8-'Control Room'!$B$8)*AU540/2147483647)</x:f>
        <x:v>1067.8299982196525</x:v>
      </x:c>
      <x:c r="AX540" s="17" t="n">
        <x:f>IF('Control Room'!$B$5="Normal",'Control Room'!$B$7,('Control Room'!$B$8+'Control Room'!$D$8)/2)+'Control Room'!$B$9*(AX539-IF('Control Room'!$B$5="Normal",'Control Room'!$B$7,('Control Room'!$B$8+'Control Room'!$D$8)/2))+SQRT(1-'Control Room'!$B$9^2)*(AW540-IF('Control Room'!$B$5="Normal",'Control Room'!$B$7,('Control Room'!$B$8+'Control Room'!$D$8)/2))</x:f>
        <x:v>1115.6772689241945</x:v>
      </x:c>
      <x:c r="AY540" s="17" t="n">
        <x:f>IF(AND($A540&gt;='Control Room'!$A$13,$A540&lt;'Control Room'!$A$13+'Control Room'!$B$13,'Process'!BT2=1),1+('Control Room'!$C$13-1)*EXP(-0.5*(($A540-'Control Room'!$A$13-('Control Room'!$B$13-1)/2)/MAX(0.5,'Control Room'!$B$13/4))^2),1)*IF(AND($A540&gt;='Control Room'!$A$14,$A540&lt;'Control Room'!$A$14+'Control Room'!$B$14,'Process'!BT3=1),1+('Control Room'!$C$14-1)*EXP(-0.5*(($A540-'Control Room'!$A$14-('Control Room'!$B$14-1)/2)/MAX(0.5,'Control Room'!$B$14/4))^2),1)*IF(AND($A540&gt;='Control Room'!$A$15,$A540&lt;'Control Room'!$A$15+'Control Room'!$B$15,'Process'!BT4=1),1+('Control Room'!$C$15-1)*EXP(-0.5*(($A540-'Control Room'!$A$15-('Control Room'!$B$15-1)/2)/MAX(0.5,'Control Room'!$B$15/4))^2),1)*IF(AND($A540&gt;='Control Room'!$A$16,$A540&lt;'Control Room'!$A$16+'Control Room'!$B$16,'Process'!BT5=1),1+('Control Room'!$C$16-1)*EXP(-0.5*(($A540-'Control Room'!$A$16-('Control Room'!$B$16-1)/2)/MAX(0.5,'Control Room'!$B$16/4))^2),1)</x:f>
        <x:v>1</x:v>
      </x:c>
      <x:c r="AZ540" s="9" t="n">
        <x:f>MOD(BA539*16807,2147483647)</x:f>
        <x:v>1212727621</x:v>
      </x:c>
      <x:c r="BA540" s="9" t="n">
        <x:f>MOD(AZ540*16807,2147483647)</x:f>
        <x:v>545832470</x:v>
      </x:c>
      <x:c r="BB540" s="17" t="n">
        <x:f>IF('Control Room'!$B$5="Normal",'Control Room'!$B$7+'Control Room'!$D$7*SQRT(-2*LN(MAX(0.000000000001,AZ540/2147483647)))*COS(2*PI()*BA540/2147483647),'Control Room'!$B$8+('Control Room'!$D$8-'Control Room'!$B$8)*AZ540/2147483647)</x:f>
        <x:v>997.477560344968</x:v>
      </x:c>
      <x:c r="BC540" s="17" t="n">
        <x:f>IF('Control Room'!$B$5="Normal",'Control Room'!$B$7,('Control Room'!$B$8+'Control Room'!$D$8)/2)+'Control Room'!$B$9*(BC539-IF('Control Room'!$B$5="Normal",'Control Room'!$B$7,('Control Room'!$B$8+'Control Room'!$D$8)/2))+SQRT(1-'Control Room'!$B$9^2)*(BB540-IF('Control Room'!$B$5="Normal",'Control Room'!$B$7,('Control Room'!$B$8+'Control Room'!$D$8)/2))</x:f>
        <x:v>1013.5603846844042</x:v>
      </x:c>
      <x:c r="BD540" s="17" t="n">
        <x:f>IF(AND($A540&gt;='Control Room'!$A$13,$A540&lt;'Control Room'!$A$13+'Control Room'!$B$13,'Process'!BU2=1),1+('Control Room'!$C$13-1)*EXP(-0.5*(($A540-'Control Room'!$A$13-('Control Room'!$B$13-1)/2)/MAX(0.5,'Control Room'!$B$13/4))^2),1)*IF(AND($A540&gt;='Control Room'!$A$14,$A540&lt;'Control Room'!$A$14+'Control Room'!$B$14,'Process'!BU3=1),1+('Control Room'!$C$14-1)*EXP(-0.5*(($A540-'Control Room'!$A$14-('Control Room'!$B$14-1)/2)/MAX(0.5,'Control Room'!$B$14/4))^2),1)*IF(AND($A540&gt;='Control Room'!$A$15,$A540&lt;'Control Room'!$A$15+'Control Room'!$B$15,'Process'!BU4=1),1+('Control Room'!$C$15-1)*EXP(-0.5*(($A540-'Control Room'!$A$15-('Control Room'!$B$15-1)/2)/MAX(0.5,'Control Room'!$B$15/4))^2),1)*IF(AND($A540&gt;='Control Room'!$A$16,$A540&lt;'Control Room'!$A$16+'Control Room'!$B$16,'Process'!BU5=1),1+('Control Room'!$C$16-1)*EXP(-0.5*(($A540-'Control Room'!$A$16-('Control Room'!$B$16-1)/2)/MAX(0.5,'Control Room'!$B$16/4))^2),1)</x:f>
        <x:v>1</x:v>
      </x:c>
      <x:c r="BE540" s="9" t="n">
        <x:f>MOD(BF539*16807,2147483647)</x:f>
        <x:v>817560464</x:v>
      </x:c>
      <x:c r="BF540" s="9" t="n">
        <x:f>MOD(BE540*16807,2147483647)</x:f>
        <x:v>1138344942</x:v>
      </x:c>
      <x:c r="BG540" s="17" t="n">
        <x:f>IF('Control Room'!$B$5="Normal",'Control Room'!$B$7+'Control Room'!$D$7*SQRT(-2*LN(MAX(0.000000000001,BE540/2147483647)))*COS(2*PI()*BF540/2147483647),'Control Room'!$B$8+('Control Room'!$D$8-'Control Room'!$B$8)*BE540/2147483647)</x:f>
        <x:v>877.1486633933255</x:v>
      </x:c>
      <x:c r="BH540" s="17" t="n">
        <x:f>IF('Control Room'!$B$5="Normal",'Control Room'!$B$7,('Control Room'!$B$8+'Control Room'!$D$8)/2)+'Control Room'!$B$9*(BH539-IF('Control Room'!$B$5="Normal",'Control Room'!$B$7,('Control Room'!$B$8+'Control Room'!$D$8)/2))+SQRT(1-'Control Room'!$B$9^2)*(BG540-IF('Control Room'!$B$5="Normal",'Control Room'!$B$7,('Control Room'!$B$8+'Control Room'!$D$8)/2))</x:f>
        <x:v>965.3591671946817</x:v>
      </x:c>
      <x:c r="BI540" s="17" t="n">
        <x:f>IF(AND($A540&gt;='Control Room'!$A$13,$A540&lt;'Control Room'!$A$13+'Control Room'!$B$13,'Process'!BV2=1),1+('Control Room'!$C$13-1)*EXP(-0.5*(($A540-'Control Room'!$A$13-('Control Room'!$B$13-1)/2)/MAX(0.5,'Control Room'!$B$13/4))^2),1)*IF(AND($A540&gt;='Control Room'!$A$14,$A540&lt;'Control Room'!$A$14+'Control Room'!$B$14,'Process'!BV3=1),1+('Control Room'!$C$14-1)*EXP(-0.5*(($A540-'Control Room'!$A$14-('Control Room'!$B$14-1)/2)/MAX(0.5,'Control Room'!$B$14/4))^2),1)*IF(AND($A540&gt;='Control Room'!$A$15,$A540&lt;'Control Room'!$A$15+'Control Room'!$B$15,'Process'!BV4=1),1+('Control Room'!$C$15-1)*EXP(-0.5*(($A540-'Control Room'!$A$15-('Control Room'!$B$15-1)/2)/MAX(0.5,'Control Room'!$B$15/4))^2),1)*IF(AND($A540&gt;='Control Room'!$A$16,$A540&lt;'Control Room'!$A$16+'Control Room'!$B$16,'Process'!BV5=1),1+('Control Room'!$C$16-1)*EXP(-0.5*(($A540-'Control Room'!$A$16-('Control Room'!$B$16-1)/2)/MAX(0.5,'Control Room'!$B$16/4))^2),1)</x:f>
        <x:v>1</x:v>
      </x:c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Z540" t="str">
        <x:f>IF('Data'!A540="","",TEXT('Data'!A540,"mm-dd"))</x:f>
      </x:c>
    </x:row>
    <x:row r="541" ht="21" customHeight="1">
      <x:c r="A541" s="15" t="n">
        <x:f>'Control Room'!$B$1+539</x:f>
        <x:v>73530</x:v>
      </x:c>
      <x:c r="B541" s="9" t="n">
        <x:f>MOD(C540*16807,2147483647)</x:f>
        <x:v>1444176597</x:v>
      </x:c>
      <x:c r="C541" s="9" t="n">
        <x:f>MOD(B541*16807,2147483647)</x:f>
        <x:v>1415887385</x:v>
      </x:c>
      <x:c r="D541" s="17" t="n">
        <x:f>IF('Control Room'!$B$5="Normal",'Control Room'!$B$7+'Control Room'!$D$7*SQRT(-2*LN(MAX(0.000000000001,B541/2147483647)))*COS(2*PI()*C541/2147483647),'Control Room'!$B$8+('Control Room'!$D$8-'Control Room'!$B$8)*B541/2147483647)</x:f>
        <x:v>956.7548097968086</x:v>
      </x:c>
      <x:c r="E541" s="17" t="n">
        <x:f>IF('Control Room'!$B$5="Normal",'Control Room'!$B$7,('Control Room'!$B$8+'Control Room'!$D$8)/2)+'Control Room'!$B$9*(E540-IF('Control Room'!$B$5="Normal",'Control Room'!$B$7,('Control Room'!$B$8+'Control Room'!$D$8)/2))+SQRT(1-'Control Room'!$B$9^2)*(D541-IF('Control Room'!$B$5="Normal",'Control Room'!$B$7,('Control Room'!$B$8+'Control Room'!$D$8)/2))</x:f>
        <x:v>871.6591119397024</x:v>
      </x:c>
      <x:c r="F541" s="17" t="n">
        <x:f>IF(AND($A541&gt;='Control Room'!$A$13,$A541&lt;'Control Room'!$A$13+'Control Room'!$B$13,'Process'!BK2=1),1+('Control Room'!$C$13-1)*EXP(-0.5*(($A541-'Control Room'!$A$13-('Control Room'!$B$13-1)/2)/MAX(0.5,'Control Room'!$B$13/4))^2),1)*IF(AND($A541&gt;='Control Room'!$A$14,$A541&lt;'Control Room'!$A$14+'Control Room'!$B$14,'Process'!BK3=1),1+('Control Room'!$C$14-1)*EXP(-0.5*(($A541-'Control Room'!$A$14-('Control Room'!$B$14-1)/2)/MAX(0.5,'Control Room'!$B$14/4))^2),1)*IF(AND($A541&gt;='Control Room'!$A$15,$A541&lt;'Control Room'!$A$15+'Control Room'!$B$15,'Process'!BK4=1),1+('Control Room'!$C$15-1)*EXP(-0.5*(($A541-'Control Room'!$A$15-('Control Room'!$B$15-1)/2)/MAX(0.5,'Control Room'!$B$15/4))^2),1)*IF(AND($A541&gt;='Control Room'!$A$16,$A541&lt;'Control Room'!$A$16+'Control Room'!$B$16,'Process'!BK5=1),1+('Control Room'!$C$16-1)*EXP(-0.5*(($A541-'Control Room'!$A$16-('Control Room'!$B$16-1)/2)/MAX(0.5,'Control Room'!$B$16/4))^2),1)</x:f>
        <x:v>1</x:v>
      </x:c>
      <x:c r="G541" s="9" t="n">
        <x:f>MOD(H540*16807,2147483647)</x:f>
        <x:v>1919622362</x:v>
      </x:c>
      <x:c r="H541" s="9" t="n">
        <x:f>MOD(G541*16807,2147483647)</x:f>
        <x:v>1446209253</x:v>
      </x:c>
      <x:c r="I541" s="17" t="n">
        <x:f>IF('Control Room'!$B$5="Normal",'Control Room'!$B$7+'Control Room'!$D$7*SQRT(-2*LN(MAX(0.000000000001,G541/2147483647)))*COS(2*PI()*H541/2147483647),'Control Room'!$B$8+('Control Room'!$D$8-'Control Room'!$B$8)*G541/2147483647)</x:f>
        <x:v>980.2769191148474</x:v>
      </x:c>
      <x:c r="J541" s="17" t="n">
        <x:f>IF('Control Room'!$B$5="Normal",'Control Room'!$B$7,('Control Room'!$B$8+'Control Room'!$D$8)/2)+'Control Room'!$B$9*(J540-IF('Control Room'!$B$5="Normal",'Control Room'!$B$7,('Control Room'!$B$8+'Control Room'!$D$8)/2))+SQRT(1-'Control Room'!$B$9^2)*(I541-IF('Control Room'!$B$5="Normal",'Control Room'!$B$7,('Control Room'!$B$8+'Control Room'!$D$8)/2))</x:f>
        <x:v>938.1227779412311</x:v>
      </x:c>
      <x:c r="K541" s="17" t="n">
        <x:f>IF(AND($A541&gt;='Control Room'!$A$13,$A541&lt;'Control Room'!$A$13+'Control Room'!$B$13,'Process'!BL2=1),1+('Control Room'!$C$13-1)*EXP(-0.5*(($A541-'Control Room'!$A$13-('Control Room'!$B$13-1)/2)/MAX(0.5,'Control Room'!$B$13/4))^2),1)*IF(AND($A541&gt;='Control Room'!$A$14,$A541&lt;'Control Room'!$A$14+'Control Room'!$B$14,'Process'!BL3=1),1+('Control Room'!$C$14-1)*EXP(-0.5*(($A541-'Control Room'!$A$14-('Control Room'!$B$14-1)/2)/MAX(0.5,'Control Room'!$B$14/4))^2),1)*IF(AND($A541&gt;='Control Room'!$A$15,$A541&lt;'Control Room'!$A$15+'Control Room'!$B$15,'Process'!BL4=1),1+('Control Room'!$C$15-1)*EXP(-0.5*(($A541-'Control Room'!$A$15-('Control Room'!$B$15-1)/2)/MAX(0.5,'Control Room'!$B$15/4))^2),1)*IF(AND($A541&gt;='Control Room'!$A$16,$A541&lt;'Control Room'!$A$16+'Control Room'!$B$16,'Process'!BL5=1),1+('Control Room'!$C$16-1)*EXP(-0.5*(($A541-'Control Room'!$A$16-('Control Room'!$B$16-1)/2)/MAX(0.5,'Control Room'!$B$16/4))^2),1)</x:f>
        <x:v>1</x:v>
      </x:c>
      <x:c r="L541" s="9" t="n">
        <x:f>MOD(M540*16807,2147483647)</x:f>
        <x:v>247584480</x:v>
      </x:c>
      <x:c r="M541" s="9" t="n">
        <x:f>MOD(L541*16807,2147483647)</x:f>
        <x:v>1476531121</x:v>
      </x:c>
      <x:c r="N541" s="17" t="n">
        <x:f>IF('Control Room'!$B$5="Normal",'Control Room'!$B$7+'Control Room'!$D$7*SQRT(-2*LN(MAX(0.000000000001,L541/2147483647)))*COS(2*PI()*M541/2147483647),'Control Room'!$B$8+('Control Room'!$D$8-'Control Room'!$B$8)*L541/2147483647)</x:f>
        <x:v>928.4785302638467</x:v>
      </x:c>
      <x:c r="O541" s="17" t="n">
        <x:f>IF('Control Room'!$B$5="Normal",'Control Room'!$B$7,('Control Room'!$B$8+'Control Room'!$D$8)/2)+'Control Room'!$B$9*(O540-IF('Control Room'!$B$5="Normal",'Control Room'!$B$7,('Control Room'!$B$8+'Control Room'!$D$8)/2))+SQRT(1-'Control Room'!$B$9^2)*(N541-IF('Control Room'!$B$5="Normal",'Control Room'!$B$7,('Control Room'!$B$8+'Control Room'!$D$8)/2))</x:f>
        <x:v>1110.198378878249</x:v>
      </x:c>
      <x:c r="P541" s="17" t="n">
        <x:f>IF(AND($A541&gt;='Control Room'!$A$13,$A541&lt;'Control Room'!$A$13+'Control Room'!$B$13,'Process'!BM2=1),1+('Control Room'!$C$13-1)*EXP(-0.5*(($A541-'Control Room'!$A$13-('Control Room'!$B$13-1)/2)/MAX(0.5,'Control Room'!$B$13/4))^2),1)*IF(AND($A541&gt;='Control Room'!$A$14,$A541&lt;'Control Room'!$A$14+'Control Room'!$B$14,'Process'!BM3=1),1+('Control Room'!$C$14-1)*EXP(-0.5*(($A541-'Control Room'!$A$14-('Control Room'!$B$14-1)/2)/MAX(0.5,'Control Room'!$B$14/4))^2),1)*IF(AND($A541&gt;='Control Room'!$A$15,$A541&lt;'Control Room'!$A$15+'Control Room'!$B$15,'Process'!BM4=1),1+('Control Room'!$C$15-1)*EXP(-0.5*(($A541-'Control Room'!$A$15-('Control Room'!$B$15-1)/2)/MAX(0.5,'Control Room'!$B$15/4))^2),1)*IF(AND($A541&gt;='Control Room'!$A$16,$A541&lt;'Control Room'!$A$16+'Control Room'!$B$16,'Process'!BM5=1),1+('Control Room'!$C$16-1)*EXP(-0.5*(($A541-'Control Room'!$A$16-('Control Room'!$B$16-1)/2)/MAX(0.5,'Control Room'!$B$16/4))^2),1)</x:f>
        <x:v>1</x:v>
      </x:c>
      <x:c r="Q541" s="9" t="n">
        <x:f>MOD(R540*16807,2147483647)</x:f>
        <x:v>723030245</x:v>
      </x:c>
      <x:c r="R541" s="9" t="n">
        <x:f>MOD(Q541*16807,2147483647)</x:f>
        <x:v>1506852989</x:v>
      </x:c>
      <x:c r="S541" s="17" t="n">
        <x:f>IF('Control Room'!$B$5="Normal",'Control Room'!$B$7+'Control Room'!$D$7*SQRT(-2*LN(MAX(0.000000000001,Q541/2147483647)))*COS(2*PI()*R541/2147483647),'Control Room'!$B$8+('Control Room'!$D$8-'Control Room'!$B$8)*Q541/2147483647)</x:f>
        <x:v>960.301037313503</x:v>
      </x:c>
      <x:c r="T541" s="17" t="n">
        <x:f>IF('Control Room'!$B$5="Normal",'Control Room'!$B$7,('Control Room'!$B$8+'Control Room'!$D$8)/2)+'Control Room'!$B$9*(T540-IF('Control Room'!$B$5="Normal",'Control Room'!$B$7,('Control Room'!$B$8+'Control Room'!$D$8)/2))+SQRT(1-'Control Room'!$B$9^2)*(S541-IF('Control Room'!$B$5="Normal",'Control Room'!$B$7,('Control Room'!$B$8+'Control Room'!$D$8)/2))</x:f>
        <x:v>956.2501897917865</x:v>
      </x:c>
      <x:c r="U541" s="17" t="n">
        <x:f>IF(AND($A541&gt;='Control Room'!$A$13,$A541&lt;'Control Room'!$A$13+'Control Room'!$B$13,'Process'!BN2=1),1+('Control Room'!$C$13-1)*EXP(-0.5*(($A541-'Control Room'!$A$13-('Control Room'!$B$13-1)/2)/MAX(0.5,'Control Room'!$B$13/4))^2),1)*IF(AND($A541&gt;='Control Room'!$A$14,$A541&lt;'Control Room'!$A$14+'Control Room'!$B$14,'Process'!BN3=1),1+('Control Room'!$C$14-1)*EXP(-0.5*(($A541-'Control Room'!$A$14-('Control Room'!$B$14-1)/2)/MAX(0.5,'Control Room'!$B$14/4))^2),1)*IF(AND($A541&gt;='Control Room'!$A$15,$A541&lt;'Control Room'!$A$15+'Control Room'!$B$15,'Process'!BN4=1),1+('Control Room'!$C$15-1)*EXP(-0.5*(($A541-'Control Room'!$A$15-('Control Room'!$B$15-1)/2)/MAX(0.5,'Control Room'!$B$15/4))^2),1)*IF(AND($A541&gt;='Control Room'!$A$16,$A541&lt;'Control Room'!$A$16+'Control Room'!$B$16,'Process'!BN5=1),1+('Control Room'!$C$16-1)*EXP(-0.5*(($A541-'Control Room'!$A$16-('Control Room'!$B$16-1)/2)/MAX(0.5,'Control Room'!$B$16/4))^2),1)</x:f>
        <x:v>1</x:v>
      </x:c>
      <x:c r="V541" s="9" t="n">
        <x:f>MOD(W540*16807,2147483647)</x:f>
        <x:v>1198476010</x:v>
      </x:c>
      <x:c r="W541" s="9" t="n">
        <x:f>MOD(V541*16807,2147483647)</x:f>
        <x:v>1537174857</x:v>
      </x:c>
      <x:c r="X541" s="17" t="n">
        <x:f>IF('Control Room'!$B$5="Normal",'Control Room'!$B$7+'Control Room'!$D$7*SQRT(-2*LN(MAX(0.000000000001,V541/2147483647)))*COS(2*PI()*W541/2147483647),'Control Room'!$B$8+('Control Room'!$D$8-'Control Room'!$B$8)*V541/2147483647)</x:f>
        <x:v>979.2744237962057</x:v>
      </x:c>
      <x:c r="Y541" s="17" t="n">
        <x:f>IF('Control Room'!$B$5="Normal",'Control Room'!$B$7,('Control Room'!$B$8+'Control Room'!$D$8)/2)+'Control Room'!$B$9*(Y540-IF('Control Room'!$B$5="Normal",'Control Room'!$B$7,('Control Room'!$B$8+'Control Room'!$D$8)/2))+SQRT(1-'Control Room'!$B$9^2)*(X541-IF('Control Room'!$B$5="Normal",'Control Room'!$B$7,('Control Room'!$B$8+'Control Room'!$D$8)/2))</x:f>
        <x:v>902.2862514549511</x:v>
      </x:c>
      <x:c r="Z541" s="17" t="n">
        <x:f>IF(AND($A541&gt;='Control Room'!$A$13,$A541&lt;'Control Room'!$A$13+'Control Room'!$B$13,'Process'!BO2=1),1+('Control Room'!$C$13-1)*EXP(-0.5*(($A541-'Control Room'!$A$13-('Control Room'!$B$13-1)/2)/MAX(0.5,'Control Room'!$B$13/4))^2),1)*IF(AND($A541&gt;='Control Room'!$A$14,$A541&lt;'Control Room'!$A$14+'Control Room'!$B$14,'Process'!BO3=1),1+('Control Room'!$C$14-1)*EXP(-0.5*(($A541-'Control Room'!$A$14-('Control Room'!$B$14-1)/2)/MAX(0.5,'Control Room'!$B$14/4))^2),1)*IF(AND($A541&gt;='Control Room'!$A$15,$A541&lt;'Control Room'!$A$15+'Control Room'!$B$15,'Process'!BO4=1),1+('Control Room'!$C$15-1)*EXP(-0.5*(($A541-'Control Room'!$A$15-('Control Room'!$B$15-1)/2)/MAX(0.5,'Control Room'!$B$15/4))^2),1)*IF(AND($A541&gt;='Control Room'!$A$16,$A541&lt;'Control Room'!$A$16+'Control Room'!$B$16,'Process'!BO5=1),1+('Control Room'!$C$16-1)*EXP(-0.5*(($A541-'Control Room'!$A$16-('Control Room'!$B$16-1)/2)/MAX(0.5,'Control Room'!$B$16/4))^2),1)</x:f>
        <x:v>1</x:v>
      </x:c>
      <x:c r="AA541" s="9" t="n">
        <x:f>MOD(AB540*16807,2147483647)</x:f>
        <x:v>1673921775</x:v>
      </x:c>
      <x:c r="AB541" s="9" t="n">
        <x:f>MOD(AA541*16807,2147483647)</x:f>
        <x:v>1567496725</x:v>
      </x:c>
      <x:c r="AC541" s="17" t="n">
        <x:f>IF('Control Room'!$B$5="Normal",'Control Room'!$B$7+'Control Room'!$D$7*SQRT(-2*LN(MAX(0.000000000001,AA541/2147483647)))*COS(2*PI()*AB541/2147483647),'Control Room'!$B$8+('Control Room'!$D$8-'Control Room'!$B$8)*AA541/2147483647)</x:f>
        <x:v>992.0070991040321</x:v>
      </x:c>
      <x:c r="AD541" s="17" t="n">
        <x:f>IF('Control Room'!$B$5="Normal",'Control Room'!$B$7,('Control Room'!$B$8+'Control Room'!$D$8)/2)+'Control Room'!$B$9*(AD540-IF('Control Room'!$B$5="Normal",'Control Room'!$B$7,('Control Room'!$B$8+'Control Room'!$D$8)/2))+SQRT(1-'Control Room'!$B$9^2)*(AC541-IF('Control Room'!$B$5="Normal",'Control Room'!$B$7,('Control Room'!$B$8+'Control Room'!$D$8)/2))</x:f>
        <x:v>1033.7892240095273</x:v>
      </x:c>
      <x:c r="AE541" s="17" t="n">
        <x:f>IF(AND($A541&gt;='Control Room'!$A$13,$A541&lt;'Control Room'!$A$13+'Control Room'!$B$13,'Process'!BP2=1),1+('Control Room'!$C$13-1)*EXP(-0.5*(($A541-'Control Room'!$A$13-('Control Room'!$B$13-1)/2)/MAX(0.5,'Control Room'!$B$13/4))^2),1)*IF(AND($A541&gt;='Control Room'!$A$14,$A541&lt;'Control Room'!$A$14+'Control Room'!$B$14,'Process'!BP3=1),1+('Control Room'!$C$14-1)*EXP(-0.5*(($A541-'Control Room'!$A$14-('Control Room'!$B$14-1)/2)/MAX(0.5,'Control Room'!$B$14/4))^2),1)*IF(AND($A541&gt;='Control Room'!$A$15,$A541&lt;'Control Room'!$A$15+'Control Room'!$B$15,'Process'!BP4=1),1+('Control Room'!$C$15-1)*EXP(-0.5*(($A541-'Control Room'!$A$15-('Control Room'!$B$15-1)/2)/MAX(0.5,'Control Room'!$B$15/4))^2),1)*IF(AND($A541&gt;='Control Room'!$A$16,$A541&lt;'Control Room'!$A$16+'Control Room'!$B$16,'Process'!BP5=1),1+('Control Room'!$C$16-1)*EXP(-0.5*(($A541-'Control Room'!$A$16-('Control Room'!$B$16-1)/2)/MAX(0.5,'Control Room'!$B$16/4))^2),1)</x:f>
        <x:v>1</x:v>
      </x:c>
      <x:c r="AF541" s="9" t="n">
        <x:f>MOD(AG540*16807,2147483647)</x:f>
        <x:v>1883893</x:v>
      </x:c>
      <x:c r="AG541" s="9" t="n">
        <x:f>MOD(AF541*16807,2147483647)</x:f>
        <x:v>1597818593</x:v>
      </x:c>
      <x:c r="AH541" s="17" t="n">
        <x:f>IF('Control Room'!$B$5="Normal",'Control Room'!$B$7+'Control Room'!$D$7*SQRT(-2*LN(MAX(0.000000000001,AF541/2147483647)))*COS(2*PI()*AG541/2147483647),'Control Room'!$B$8+('Control Room'!$D$8-'Control Room'!$B$8)*AF541/2147483647)</x:f>
        <x:v>987.3624222514788</x:v>
      </x:c>
      <x:c r="AI541" s="17" t="n">
        <x:f>IF('Control Room'!$B$5="Normal",'Control Room'!$B$7,('Control Room'!$B$8+'Control Room'!$D$8)/2)+'Control Room'!$B$9*(AI540-IF('Control Room'!$B$5="Normal",'Control Room'!$B$7,('Control Room'!$B$8+'Control Room'!$D$8)/2))+SQRT(1-'Control Room'!$B$9^2)*(AH541-IF('Control Room'!$B$5="Normal",'Control Room'!$B$7,('Control Room'!$B$8+'Control Room'!$D$8)/2))</x:f>
        <x:v>934.131672947855</x:v>
      </x:c>
      <x:c r="AJ541" s="17" t="n">
        <x:f>IF(AND($A541&gt;='Control Room'!$A$13,$A541&lt;'Control Room'!$A$13+'Control Room'!$B$13,'Process'!BQ2=1),1+('Control Room'!$C$13-1)*EXP(-0.5*(($A541-'Control Room'!$A$13-('Control Room'!$B$13-1)/2)/MAX(0.5,'Control Room'!$B$13/4))^2),1)*IF(AND($A541&gt;='Control Room'!$A$14,$A541&lt;'Control Room'!$A$14+'Control Room'!$B$14,'Process'!BQ3=1),1+('Control Room'!$C$14-1)*EXP(-0.5*(($A541-'Control Room'!$A$14-('Control Room'!$B$14-1)/2)/MAX(0.5,'Control Room'!$B$14/4))^2),1)*IF(AND($A541&gt;='Control Room'!$A$15,$A541&lt;'Control Room'!$A$15+'Control Room'!$B$15,'Process'!BQ4=1),1+('Control Room'!$C$15-1)*EXP(-0.5*(($A541-'Control Room'!$A$15-('Control Room'!$B$15-1)/2)/MAX(0.5,'Control Room'!$B$15/4))^2),1)*IF(AND($A541&gt;='Control Room'!$A$16,$A541&lt;'Control Room'!$A$16+'Control Room'!$B$16,'Process'!BQ5=1),1+('Control Room'!$C$16-1)*EXP(-0.5*(($A541-'Control Room'!$A$16-('Control Room'!$B$16-1)/2)/MAX(0.5,'Control Room'!$B$16/4))^2),1)</x:f>
        <x:v>1</x:v>
      </x:c>
      <x:c r="AK541" s="9" t="n">
        <x:f>MOD(AL540*16807,2147483647)</x:f>
        <x:v>477329658</x:v>
      </x:c>
      <x:c r="AL541" s="9" t="n">
        <x:f>MOD(AK541*16807,2147483647)</x:f>
        <x:v>1628140461</x:v>
      </x:c>
      <x:c r="AM541" s="17" t="n">
        <x:f>IF('Control Room'!$B$5="Normal",'Control Room'!$B$7+'Control Room'!$D$7*SQRT(-2*LN(MAX(0.000000000001,AK541/2147483647)))*COS(2*PI()*AL541/2147483647),'Control Room'!$B$8+('Control Room'!$D$8-'Control Room'!$B$8)*AK541/2147483647)</x:f>
        <x:v>1008.0009985380686</x:v>
      </x:c>
      <x:c r="AN541" s="17" t="n">
        <x:f>IF('Control Room'!$B$5="Normal",'Control Room'!$B$7,('Control Room'!$B$8+'Control Room'!$D$8)/2)+'Control Room'!$B$9*(AN540-IF('Control Room'!$B$5="Normal",'Control Room'!$B$7,('Control Room'!$B$8+'Control Room'!$D$8)/2))+SQRT(1-'Control Room'!$B$9^2)*(AM541-IF('Control Room'!$B$5="Normal",'Control Room'!$B$7,('Control Room'!$B$8+'Control Room'!$D$8)/2))</x:f>
        <x:v>970.5673538585305</x:v>
      </x:c>
      <x:c r="AO541" s="17" t="n">
        <x:f>IF(AND($A541&gt;='Control Room'!$A$13,$A541&lt;'Control Room'!$A$13+'Control Room'!$B$13,'Process'!BR2=1),1+('Control Room'!$C$13-1)*EXP(-0.5*(($A541-'Control Room'!$A$13-('Control Room'!$B$13-1)/2)/MAX(0.5,'Control Room'!$B$13/4))^2),1)*IF(AND($A541&gt;='Control Room'!$A$14,$A541&lt;'Control Room'!$A$14+'Control Room'!$B$14,'Process'!BR3=1),1+('Control Room'!$C$14-1)*EXP(-0.5*(($A541-'Control Room'!$A$14-('Control Room'!$B$14-1)/2)/MAX(0.5,'Control Room'!$B$14/4))^2),1)*IF(AND($A541&gt;='Control Room'!$A$15,$A541&lt;'Control Room'!$A$15+'Control Room'!$B$15,'Process'!BR4=1),1+('Control Room'!$C$15-1)*EXP(-0.5*(($A541-'Control Room'!$A$15-('Control Room'!$B$15-1)/2)/MAX(0.5,'Control Room'!$B$15/4))^2),1)*IF(AND($A541&gt;='Control Room'!$A$16,$A541&lt;'Control Room'!$A$16+'Control Room'!$B$16,'Process'!BR5=1),1+('Control Room'!$C$16-1)*EXP(-0.5*(($A541-'Control Room'!$A$16-('Control Room'!$B$16-1)/2)/MAX(0.5,'Control Room'!$B$16/4))^2),1)</x:f>
        <x:v>1</x:v>
      </x:c>
      <x:c r="AP541" s="9" t="n">
        <x:f>MOD(AQ540*16807,2147483647)</x:f>
        <x:v>952775423</x:v>
      </x:c>
      <x:c r="AQ541" s="9" t="n">
        <x:f>MOD(AP541*16807,2147483647)</x:f>
        <x:v>1658462329</x:v>
      </x:c>
      <x:c r="AR541" s="17" t="n">
        <x:f>IF('Control Room'!$B$5="Normal",'Control Room'!$B$7+'Control Room'!$D$7*SQRT(-2*LN(MAX(0.000000000001,AP541/2147483647)))*COS(2*PI()*AQ541/2147483647),'Control Room'!$B$8+('Control Room'!$D$8-'Control Room'!$B$8)*AP541/2147483647)</x:f>
        <x:v>1016.011204580313</x:v>
      </x:c>
      <x:c r="AS541" s="17" t="n">
        <x:f>IF('Control Room'!$B$5="Normal",'Control Room'!$B$7,('Control Room'!$B$8+'Control Room'!$D$8)/2)+'Control Room'!$B$9*(AS540-IF('Control Room'!$B$5="Normal",'Control Room'!$B$7,('Control Room'!$B$8+'Control Room'!$D$8)/2))+SQRT(1-'Control Room'!$B$9^2)*(AR541-IF('Control Room'!$B$5="Normal",'Control Room'!$B$7,('Control Room'!$B$8+'Control Room'!$D$8)/2))</x:f>
        <x:v>986.3444587016301</x:v>
      </x:c>
      <x:c r="AT541" s="17" t="n">
        <x:f>IF(AND($A541&gt;='Control Room'!$A$13,$A541&lt;'Control Room'!$A$13+'Control Room'!$B$13,'Process'!BS2=1),1+('Control Room'!$C$13-1)*EXP(-0.5*(($A541-'Control Room'!$A$13-('Control Room'!$B$13-1)/2)/MAX(0.5,'Control Room'!$B$13/4))^2),1)*IF(AND($A541&gt;='Control Room'!$A$14,$A541&lt;'Control Room'!$A$14+'Control Room'!$B$14,'Process'!BS3=1),1+('Control Room'!$C$14-1)*EXP(-0.5*(($A541-'Control Room'!$A$14-('Control Room'!$B$14-1)/2)/MAX(0.5,'Control Room'!$B$14/4))^2),1)*IF(AND($A541&gt;='Control Room'!$A$15,$A541&lt;'Control Room'!$A$15+'Control Room'!$B$15,'Process'!BS4=1),1+('Control Room'!$C$15-1)*EXP(-0.5*(($A541-'Control Room'!$A$15-('Control Room'!$B$15-1)/2)/MAX(0.5,'Control Room'!$B$15/4))^2),1)*IF(AND($A541&gt;='Control Room'!$A$16,$A541&lt;'Control Room'!$A$16+'Control Room'!$B$16,'Process'!BS5=1),1+('Control Room'!$C$16-1)*EXP(-0.5*(($A541-'Control Room'!$A$16-('Control Room'!$B$16-1)/2)/MAX(0.5,'Control Room'!$B$16/4))^2),1)</x:f>
        <x:v>1</x:v>
      </x:c>
      <x:c r="AU541" s="9" t="n">
        <x:f>MOD(AV540*16807,2147483647)</x:f>
        <x:v>1428221188</x:v>
      </x:c>
      <x:c r="AV541" s="9" t="n">
        <x:f>MOD(AU541*16807,2147483647)</x:f>
        <x:v>1688784197</x:v>
      </x:c>
      <x:c r="AW541" s="17" t="n">
        <x:f>IF('Control Room'!$B$5="Normal",'Control Room'!$B$7+'Control Room'!$D$7*SQRT(-2*LN(MAX(0.000000000001,AU541/2147483647)))*COS(2*PI()*AV541/2147483647),'Control Room'!$B$8+('Control Room'!$D$8-'Control Room'!$B$8)*AU541/2147483647)</x:f>
        <x:v>1018.4298577971869</x:v>
      </x:c>
      <x:c r="AX541" s="17" t="n">
        <x:f>IF('Control Room'!$B$5="Normal",'Control Room'!$B$7,('Control Room'!$B$8+'Control Room'!$D$8)/2)+'Control Room'!$B$9*(AX540-IF('Control Room'!$B$5="Normal",'Control Room'!$B$7,('Control Room'!$B$8+'Control Room'!$D$8)/2))+SQRT(1-'Control Room'!$B$9^2)*(AW541-IF('Control Room'!$B$5="Normal",'Control Room'!$B$7,('Control Room'!$B$8+'Control Room'!$D$8)/2))</x:f>
        <x:v>1101.7612972141924</x:v>
      </x:c>
      <x:c r="AY541" s="17" t="n">
        <x:f>IF(AND($A541&gt;='Control Room'!$A$13,$A541&lt;'Control Room'!$A$13+'Control Room'!$B$13,'Process'!BT2=1),1+('Control Room'!$C$13-1)*EXP(-0.5*(($A541-'Control Room'!$A$13-('Control Room'!$B$13-1)/2)/MAX(0.5,'Control Room'!$B$13/4))^2),1)*IF(AND($A541&gt;='Control Room'!$A$14,$A541&lt;'Control Room'!$A$14+'Control Room'!$B$14,'Process'!BT3=1),1+('Control Room'!$C$14-1)*EXP(-0.5*(($A541-'Control Room'!$A$14-('Control Room'!$B$14-1)/2)/MAX(0.5,'Control Room'!$B$14/4))^2),1)*IF(AND($A541&gt;='Control Room'!$A$15,$A541&lt;'Control Room'!$A$15+'Control Room'!$B$15,'Process'!BT4=1),1+('Control Room'!$C$15-1)*EXP(-0.5*(($A541-'Control Room'!$A$15-('Control Room'!$B$15-1)/2)/MAX(0.5,'Control Room'!$B$15/4))^2),1)*IF(AND($A541&gt;='Control Room'!$A$16,$A541&lt;'Control Room'!$A$16+'Control Room'!$B$16,'Process'!BT5=1),1+('Control Room'!$C$16-1)*EXP(-0.5*(($A541-'Control Room'!$A$16-('Control Room'!$B$16-1)/2)/MAX(0.5,'Control Room'!$B$16/4))^2),1)</x:f>
        <x:v>1</x:v>
      </x:c>
      <x:c r="AZ541" s="9" t="n">
        <x:f>MOD(BA540*16807,2147483647)</x:f>
        <x:v>1903666953</x:v>
      </x:c>
      <x:c r="BA541" s="9" t="n">
        <x:f>MOD(AZ541*16807,2147483647)</x:f>
        <x:v>1719106065</x:v>
      </x:c>
      <x:c r="BB541" s="17" t="n">
        <x:f>IF('Control Room'!$B$5="Normal",'Control Room'!$B$7+'Control Room'!$D$7*SQRT(-2*LN(MAX(0.000000000001,AZ541/2147483647)))*COS(2*PI()*BA541/2147483647),'Control Room'!$B$8+('Control Room'!$D$8-'Control Room'!$B$8)*AZ541/2147483647)</x:f>
        <x:v>1013.7915302839558</x:v>
      </x:c>
      <x:c r="BC541" s="17" t="n">
        <x:f>IF('Control Room'!$B$5="Normal",'Control Room'!$B$7,('Control Room'!$B$8+'Control Room'!$D$8)/2)+'Control Room'!$B$9*(BC540-IF('Control Room'!$B$5="Normal",'Control Room'!$B$7,('Control Room'!$B$8+'Control Room'!$D$8)/2))+SQRT(1-'Control Room'!$B$9^2)*(BB541-IF('Control Room'!$B$5="Normal",'Control Room'!$B$7,('Control Room'!$B$8+'Control Room'!$D$8)/2))</x:f>
        <x:v>1019.2075571706798</x:v>
      </x:c>
      <x:c r="BD541" s="17" t="n">
        <x:f>IF(AND($A541&gt;='Control Room'!$A$13,$A541&lt;'Control Room'!$A$13+'Control Room'!$B$13,'Process'!BU2=1),1+('Control Room'!$C$13-1)*EXP(-0.5*(($A541-'Control Room'!$A$13-('Control Room'!$B$13-1)/2)/MAX(0.5,'Control Room'!$B$13/4))^2),1)*IF(AND($A541&gt;='Control Room'!$A$14,$A541&lt;'Control Room'!$A$14+'Control Room'!$B$14,'Process'!BU3=1),1+('Control Room'!$C$14-1)*EXP(-0.5*(($A541-'Control Room'!$A$14-('Control Room'!$B$14-1)/2)/MAX(0.5,'Control Room'!$B$14/4))^2),1)*IF(AND($A541&gt;='Control Room'!$A$15,$A541&lt;'Control Room'!$A$15+'Control Room'!$B$15,'Process'!BU4=1),1+('Control Room'!$C$15-1)*EXP(-0.5*(($A541-'Control Room'!$A$15-('Control Room'!$B$15-1)/2)/MAX(0.5,'Control Room'!$B$15/4))^2),1)*IF(AND($A541&gt;='Control Room'!$A$16,$A541&lt;'Control Room'!$A$16+'Control Room'!$B$16,'Process'!BU5=1),1+('Control Room'!$C$16-1)*EXP(-0.5*(($A541-'Control Room'!$A$16-('Control Room'!$B$16-1)/2)/MAX(0.5,'Control Room'!$B$16/4))^2),1)</x:f>
        <x:v>1</x:v>
      </x:c>
      <x:c r="BE541" s="9" t="n">
        <x:f>MOD(BF540*16807,2147483647)</x:f>
        <x:v>231629071</x:v>
      </x:c>
      <x:c r="BF541" s="9" t="n">
        <x:f>MOD(BE541*16807,2147483647)</x:f>
        <x:v>1749427933</x:v>
      </x:c>
      <x:c r="BG541" s="17" t="n">
        <x:f>IF('Control Room'!$B$5="Normal",'Control Room'!$B$7+'Control Room'!$D$7*SQRT(-2*LN(MAX(0.000000000001,BE541/2147483647)))*COS(2*PI()*BF541/2147483647),'Control Room'!$B$8+('Control Room'!$D$8-'Control Room'!$B$8)*BE541/2147483647)</x:f>
        <x:v>1075.0394943299461</x:v>
      </x:c>
      <x:c r="BH541" s="17" t="n">
        <x:f>IF('Control Room'!$B$5="Normal",'Control Room'!$B$7,('Control Room'!$B$8+'Control Room'!$D$8)/2)+'Control Room'!$B$9*(BH540-IF('Control Room'!$B$5="Normal",'Control Room'!$B$7,('Control Room'!$B$8+'Control Room'!$D$8)/2))+SQRT(1-'Control Room'!$B$9^2)*(BG541-IF('Control Room'!$B$5="Normal",'Control Room'!$B$7,('Control Room'!$B$8+'Control Room'!$D$8)/2))</x:f>
        <x:v>1019.9383286959327</x:v>
      </x:c>
      <x:c r="BI541" s="17" t="n">
        <x:f>IF(AND($A541&gt;='Control Room'!$A$13,$A541&lt;'Control Room'!$A$13+'Control Room'!$B$13,'Process'!BV2=1),1+('Control Room'!$C$13-1)*EXP(-0.5*(($A541-'Control Room'!$A$13-('Control Room'!$B$13-1)/2)/MAX(0.5,'Control Room'!$B$13/4))^2),1)*IF(AND($A541&gt;='Control Room'!$A$14,$A541&lt;'Control Room'!$A$14+'Control Room'!$B$14,'Process'!BV3=1),1+('Control Room'!$C$14-1)*EXP(-0.5*(($A541-'Control Room'!$A$14-('Control Room'!$B$14-1)/2)/MAX(0.5,'Control Room'!$B$14/4))^2),1)*IF(AND($A541&gt;='Control Room'!$A$15,$A541&lt;'Control Room'!$A$15+'Control Room'!$B$15,'Process'!BV4=1),1+('Control Room'!$C$15-1)*EXP(-0.5*(($A541-'Control Room'!$A$15-('Control Room'!$B$15-1)/2)/MAX(0.5,'Control Room'!$B$15/4))^2),1)*IF(AND($A541&gt;='Control Room'!$A$16,$A541&lt;'Control Room'!$A$16+'Control Room'!$B$16,'Process'!BV5=1),1+('Control Room'!$C$16-1)*EXP(-0.5*(($A541-'Control Room'!$A$16-('Control Room'!$B$16-1)/2)/MAX(0.5,'Control Room'!$B$16/4))^2),1)</x:f>
        <x:v>1</x:v>
      </x:c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Z541" t="str">
        <x:f>IF('Data'!A541="","",TEXT('Data'!A541,"mm-dd"))</x:f>
      </x:c>
    </x:row>
    <x:row r="542" ht="21" customHeight="1">
      <x:c r="A542" s="15" t="n">
        <x:f>'Control Room'!$B$1+540</x:f>
        <x:v>73531</x:v>
      </x:c>
      <x:c r="B542" s="9" t="n">
        <x:f>MOD(C541*16807,2147483647)</x:f>
        <x:v>552987288</x:v>
      </x:c>
      <x:c r="C542" s="9" t="n">
        <x:f>MOD(B542*16807,2147483647)</x:f>
        <x:v>1895608847</x:v>
      </x:c>
      <x:c r="D542" s="17" t="n">
        <x:f>IF('Control Room'!$B$5="Normal",'Control Room'!$B$7+'Control Room'!$D$7*SQRT(-2*LN(MAX(0.000000000001,B542/2147483647)))*COS(2*PI()*C542/2147483647),'Control Room'!$B$8+('Control Room'!$D$8-'Control Room'!$B$8)*B542/2147483647)</x:f>
        <x:v>1109.7847814219342</x:v>
      </x:c>
      <x:c r="E542" s="17" t="n">
        <x:f>IF('Control Room'!$B$5="Normal",'Control Room'!$B$7,('Control Room'!$B$8+'Control Room'!$D$8)/2)+'Control Room'!$B$9*(E541-IF('Control Room'!$B$5="Normal",'Control Room'!$B$7,('Control Room'!$B$8+'Control Room'!$D$8)/2))+SQRT(1-'Control Room'!$B$9^2)*(D542-IF('Control Room'!$B$5="Normal",'Control Room'!$B$7,('Control Room'!$B$8+'Control Room'!$D$8)/2))</x:f>
        <x:v>968.5951744633194</x:v>
      </x:c>
      <x:c r="F542" s="17" t="n">
        <x:f>IF(AND($A542&gt;='Control Room'!$A$13,$A542&lt;'Control Room'!$A$13+'Control Room'!$B$13,'Process'!BK2=1),1+('Control Room'!$C$13-1)*EXP(-0.5*(($A542-'Control Room'!$A$13-('Control Room'!$B$13-1)/2)/MAX(0.5,'Control Room'!$B$13/4))^2),1)*IF(AND($A542&gt;='Control Room'!$A$14,$A542&lt;'Control Room'!$A$14+'Control Room'!$B$14,'Process'!BK3=1),1+('Control Room'!$C$14-1)*EXP(-0.5*(($A542-'Control Room'!$A$14-('Control Room'!$B$14-1)/2)/MAX(0.5,'Control Room'!$B$14/4))^2),1)*IF(AND($A542&gt;='Control Room'!$A$15,$A542&lt;'Control Room'!$A$15+'Control Room'!$B$15,'Process'!BK4=1),1+('Control Room'!$C$15-1)*EXP(-0.5*(($A542-'Control Room'!$A$15-('Control Room'!$B$15-1)/2)/MAX(0.5,'Control Room'!$B$15/4))^2),1)*IF(AND($A542&gt;='Control Room'!$A$16,$A542&lt;'Control Room'!$A$16+'Control Room'!$B$16,'Process'!BK5=1),1+('Control Room'!$C$16-1)*EXP(-0.5*(($A542-'Control Room'!$A$16-('Control Room'!$B$16-1)/2)/MAX(0.5,'Control Room'!$B$16/4))^2),1)</x:f>
        <x:v>1</x:v>
      </x:c>
      <x:c r="G542" s="9" t="n">
        <x:f>MOD(H541*16807,2147483647)</x:f>
        <x:v>1218998425</x:v>
      </x:c>
      <x:c r="H542" s="9" t="n">
        <x:f>MOD(G542*16807,2147483647)</x:f>
        <x:v>712536595</x:v>
      </x:c>
      <x:c r="I542" s="17" t="n">
        <x:f>IF('Control Room'!$B$5="Normal",'Control Room'!$B$7+'Control Room'!$D$7*SQRT(-2*LN(MAX(0.000000000001,G542/2147483647)))*COS(2*PI()*H542/2147483647),'Control Room'!$B$8+('Control Room'!$D$8-'Control Room'!$B$8)*G542/2147483647)</x:f>
        <x:v>952.9116951787678</x:v>
      </x:c>
      <x:c r="J542" s="17" t="n">
        <x:f>IF('Control Room'!$B$5="Normal",'Control Room'!$B$7,('Control Room'!$B$8+'Control Room'!$D$8)/2)+'Control Room'!$B$9*(J541-IF('Control Room'!$B$5="Normal",'Control Room'!$B$7,('Control Room'!$B$8+'Control Room'!$D$8)/2))+SQRT(1-'Control Room'!$B$9^2)*(I542-IF('Control Room'!$B$5="Normal",'Control Room'!$B$7,('Control Room'!$B$8+'Control Room'!$D$8)/2))</x:f>
        <x:v>922.268870293391</x:v>
      </x:c>
      <x:c r="K542" s="17" t="n">
        <x:f>IF(AND($A542&gt;='Control Room'!$A$13,$A542&lt;'Control Room'!$A$13+'Control Room'!$B$13,'Process'!BL2=1),1+('Control Room'!$C$13-1)*EXP(-0.5*(($A542-'Control Room'!$A$13-('Control Room'!$B$13-1)/2)/MAX(0.5,'Control Room'!$B$13/4))^2),1)*IF(AND($A542&gt;='Control Room'!$A$14,$A542&lt;'Control Room'!$A$14+'Control Room'!$B$14,'Process'!BL3=1),1+('Control Room'!$C$14-1)*EXP(-0.5*(($A542-'Control Room'!$A$14-('Control Room'!$B$14-1)/2)/MAX(0.5,'Control Room'!$B$14/4))^2),1)*IF(AND($A542&gt;='Control Room'!$A$15,$A542&lt;'Control Room'!$A$15+'Control Room'!$B$15,'Process'!BL4=1),1+('Control Room'!$C$15-1)*EXP(-0.5*(($A542-'Control Room'!$A$15-('Control Room'!$B$15-1)/2)/MAX(0.5,'Control Room'!$B$15/4))^2),1)*IF(AND($A542&gt;='Control Room'!$A$16,$A542&lt;'Control Room'!$A$16+'Control Room'!$B$16,'Process'!BL5=1),1+('Control Room'!$C$16-1)*EXP(-0.5*(($A542-'Control Room'!$A$16-('Control Room'!$B$16-1)/2)/MAX(0.5,'Control Room'!$B$16/4))^2),1)</x:f>
        <x:v>1</x:v>
      </x:c>
      <x:c r="L542" s="9" t="n">
        <x:f>MOD(M541*16807,2147483647)</x:f>
        <x:v>1885009562</x:v>
      </x:c>
      <x:c r="M542" s="9" t="n">
        <x:f>MOD(L542*16807,2147483647)</x:f>
        <x:v>1676947990</x:v>
      </x:c>
      <x:c r="N542" s="17" t="n">
        <x:f>IF('Control Room'!$B$5="Normal",'Control Room'!$B$7+'Control Room'!$D$7*SQRT(-2*LN(MAX(0.000000000001,L542/2147483647)))*COS(2*PI()*M542/2147483647),'Control Room'!$B$8+('Control Room'!$D$8-'Control Room'!$B$8)*L542/2147483647)</x:f>
        <x:v>1008.8634029382868</x:v>
      </x:c>
      <x:c r="O542" s="17" t="n">
        <x:f>IF('Control Room'!$B$5="Normal",'Control Room'!$B$7,('Control Room'!$B$8+'Control Room'!$D$8)/2)+'Control Room'!$B$9*(O541-IF('Control Room'!$B$5="Normal",'Control Room'!$B$7,('Control Room'!$B$8+'Control Room'!$D$8)/2))+SQRT(1-'Control Room'!$B$9^2)*(N542-IF('Control Room'!$B$5="Normal",'Control Room'!$B$7,('Control Room'!$B$8+'Control Room'!$D$8)/2))</x:f>
        <x:v>1091.5012715071352</x:v>
      </x:c>
      <x:c r="P542" s="17" t="n">
        <x:f>IF(AND($A542&gt;='Control Room'!$A$13,$A542&lt;'Control Room'!$A$13+'Control Room'!$B$13,'Process'!BM2=1),1+('Control Room'!$C$13-1)*EXP(-0.5*(($A542-'Control Room'!$A$13-('Control Room'!$B$13-1)/2)/MAX(0.5,'Control Room'!$B$13/4))^2),1)*IF(AND($A542&gt;='Control Room'!$A$14,$A542&lt;'Control Room'!$A$14+'Control Room'!$B$14,'Process'!BM3=1),1+('Control Room'!$C$14-1)*EXP(-0.5*(($A542-'Control Room'!$A$14-('Control Room'!$B$14-1)/2)/MAX(0.5,'Control Room'!$B$14/4))^2),1)*IF(AND($A542&gt;='Control Room'!$A$15,$A542&lt;'Control Room'!$A$15+'Control Room'!$B$15,'Process'!BM4=1),1+('Control Room'!$C$15-1)*EXP(-0.5*(($A542-'Control Room'!$A$15-('Control Room'!$B$15-1)/2)/MAX(0.5,'Control Room'!$B$15/4))^2),1)*IF(AND($A542&gt;='Control Room'!$A$16,$A542&lt;'Control Room'!$A$16+'Control Room'!$B$16,'Process'!BM5=1),1+('Control Room'!$C$16-1)*EXP(-0.5*(($A542-'Control Room'!$A$16-('Control Room'!$B$16-1)/2)/MAX(0.5,'Control Room'!$B$16/4))^2),1)</x:f>
        <x:v>1</x:v>
      </x:c>
      <x:c r="Q542" s="9" t="n">
        <x:f>MOD(R541*16807,2147483647)</x:f>
        <x:v>403537052</x:v>
      </x:c>
      <x:c r="R542" s="9" t="n">
        <x:f>MOD(Q542*16807,2147483647)</x:f>
        <x:v>493875738</x:v>
      </x:c>
      <x:c r="S542" s="17" t="n">
        <x:f>IF('Control Room'!$B$5="Normal",'Control Room'!$B$7+'Control Room'!$D$7*SQRT(-2*LN(MAX(0.000000000001,Q542/2147483647)))*COS(2*PI()*R542/2147483647),'Control Room'!$B$8+('Control Room'!$D$8-'Control Room'!$B$8)*Q542/2147483647)</x:f>
        <x:v>1020.6476780777866</x:v>
      </x:c>
      <x:c r="T542" s="17" t="n">
        <x:f>IF('Control Room'!$B$5="Normal",'Control Room'!$B$7,('Control Room'!$B$8+'Control Room'!$D$8)/2)+'Control Room'!$B$9*(T541-IF('Control Room'!$B$5="Normal",'Control Room'!$B$7,('Control Room'!$B$8+'Control Room'!$D$8)/2))+SQRT(1-'Control Room'!$B$9^2)*(S542-IF('Control Room'!$B$5="Normal",'Control Room'!$B$7,('Control Room'!$B$8+'Control Room'!$D$8)/2))</x:f>
        <x:v>978.7960419879953</x:v>
      </x:c>
      <x:c r="U542" s="17" t="n">
        <x:f>IF(AND($A542&gt;='Control Room'!$A$13,$A542&lt;'Control Room'!$A$13+'Control Room'!$B$13,'Process'!BN2=1),1+('Control Room'!$C$13-1)*EXP(-0.5*(($A542-'Control Room'!$A$13-('Control Room'!$B$13-1)/2)/MAX(0.5,'Control Room'!$B$13/4))^2),1)*IF(AND($A542&gt;='Control Room'!$A$14,$A542&lt;'Control Room'!$A$14+'Control Room'!$B$14,'Process'!BN3=1),1+('Control Room'!$C$14-1)*EXP(-0.5*(($A542-'Control Room'!$A$14-('Control Room'!$B$14-1)/2)/MAX(0.5,'Control Room'!$B$14/4))^2),1)*IF(AND($A542&gt;='Control Room'!$A$15,$A542&lt;'Control Room'!$A$15+'Control Room'!$B$15,'Process'!BN4=1),1+('Control Room'!$C$15-1)*EXP(-0.5*(($A542-'Control Room'!$A$15-('Control Room'!$B$15-1)/2)/MAX(0.5,'Control Room'!$B$15/4))^2),1)*IF(AND($A542&gt;='Control Room'!$A$16,$A542&lt;'Control Room'!$A$16+'Control Room'!$B$16,'Process'!BN5=1),1+('Control Room'!$C$16-1)*EXP(-0.5*(($A542-'Control Room'!$A$16-('Control Room'!$B$16-1)/2)/MAX(0.5,'Control Room'!$B$16/4))^2),1)</x:f>
        <x:v>1</x:v>
      </x:c>
      <x:c r="V542" s="9" t="n">
        <x:f>MOD(W541*16807,2147483647)</x:f>
        <x:v>1069548189</x:v>
      </x:c>
      <x:c r="W542" s="9" t="n">
        <x:f>MOD(V542*16807,2147483647)</x:f>
        <x:v>1458287133</x:v>
      </x:c>
      <x:c r="X542" s="17" t="n">
        <x:f>IF('Control Room'!$B$5="Normal",'Control Room'!$B$7+'Control Room'!$D$7*SQRT(-2*LN(MAX(0.000000000001,V542/2147483647)))*COS(2*PI()*W542/2147483647),'Control Room'!$B$8+('Control Room'!$D$8-'Control Room'!$B$8)*V542/2147483647)</x:f>
        <x:v>954.1919426730542</x:v>
      </x:c>
      <x:c r="Y542" s="17" t="n">
        <x:f>IF('Control Room'!$B$5="Normal",'Control Room'!$B$7,('Control Room'!$B$8+'Control Room'!$D$8)/2)+'Control Room'!$B$9*(Y541-IF('Control Room'!$B$5="Normal",'Control Room'!$B$7,('Control Room'!$B$8+'Control Room'!$D$8)/2))+SQRT(1-'Control Room'!$B$9^2)*(X542-IF('Control Room'!$B$5="Normal",'Control Room'!$B$7,('Control Room'!$B$8+'Control Room'!$D$8)/2))</x:f>
        <x:v>895.1175322887216</x:v>
      </x:c>
      <x:c r="Z542" s="17" t="n">
        <x:f>IF(AND($A542&gt;='Control Room'!$A$13,$A542&lt;'Control Room'!$A$13+'Control Room'!$B$13,'Process'!BO2=1),1+('Control Room'!$C$13-1)*EXP(-0.5*(($A542-'Control Room'!$A$13-('Control Room'!$B$13-1)/2)/MAX(0.5,'Control Room'!$B$13/4))^2),1)*IF(AND($A542&gt;='Control Room'!$A$14,$A542&lt;'Control Room'!$A$14+'Control Room'!$B$14,'Process'!BO3=1),1+('Control Room'!$C$14-1)*EXP(-0.5*(($A542-'Control Room'!$A$14-('Control Room'!$B$14-1)/2)/MAX(0.5,'Control Room'!$B$14/4))^2),1)*IF(AND($A542&gt;='Control Room'!$A$15,$A542&lt;'Control Room'!$A$15+'Control Room'!$B$15,'Process'!BO4=1),1+('Control Room'!$C$15-1)*EXP(-0.5*(($A542-'Control Room'!$A$15-('Control Room'!$B$15-1)/2)/MAX(0.5,'Control Room'!$B$15/4))^2),1)*IF(AND($A542&gt;='Control Room'!$A$16,$A542&lt;'Control Room'!$A$16+'Control Room'!$B$16,'Process'!BO5=1),1+('Control Room'!$C$16-1)*EXP(-0.5*(($A542-'Control Room'!$A$16-('Control Room'!$B$16-1)/2)/MAX(0.5,'Control Room'!$B$16/4))^2),1)</x:f>
        <x:v>1</x:v>
      </x:c>
      <x:c r="AA542" s="9" t="n">
        <x:f>MOD(AB541*16807,2147483647)</x:f>
        <x:v>1735559326</x:v>
      </x:c>
      <x:c r="AB542" s="9" t="n">
        <x:f>MOD(AA542*16807,2147483647)</x:f>
        <x:v>275214881</x:v>
      </x:c>
      <x:c r="AC542" s="17" t="n">
        <x:f>IF('Control Room'!$B$5="Normal",'Control Room'!$B$7+'Control Room'!$D$7*SQRT(-2*LN(MAX(0.000000000001,AA542/2147483647)))*COS(2*PI()*AB542/2147483647),'Control Room'!$B$8+('Control Room'!$D$8-'Control Room'!$B$8)*AA542/2147483647)</x:f>
        <x:v>1040.7015611409254</x:v>
      </x:c>
      <x:c r="AD542" s="17" t="n">
        <x:f>IF('Control Room'!$B$5="Normal",'Control Room'!$B$7,('Control Room'!$B$8+'Control Room'!$D$8)/2)+'Control Room'!$B$9*(AD541-IF('Control Room'!$B$5="Normal",'Control Room'!$B$7,('Control Room'!$B$8+'Control Room'!$D$8)/2))+SQRT(1-'Control Room'!$B$9^2)*(AC542-IF('Control Room'!$B$5="Normal",'Control Room'!$B$7,('Control Room'!$B$8+'Control Room'!$D$8)/2))</x:f>
        <x:v>1051.8257978726203</x:v>
      </x:c>
      <x:c r="AE542" s="17" t="n">
        <x:f>IF(AND($A542&gt;='Control Room'!$A$13,$A542&lt;'Control Room'!$A$13+'Control Room'!$B$13,'Process'!BP2=1),1+('Control Room'!$C$13-1)*EXP(-0.5*(($A542-'Control Room'!$A$13-('Control Room'!$B$13-1)/2)/MAX(0.5,'Control Room'!$B$13/4))^2),1)*IF(AND($A542&gt;='Control Room'!$A$14,$A542&lt;'Control Room'!$A$14+'Control Room'!$B$14,'Process'!BP3=1),1+('Control Room'!$C$14-1)*EXP(-0.5*(($A542-'Control Room'!$A$14-('Control Room'!$B$14-1)/2)/MAX(0.5,'Control Room'!$B$14/4))^2),1)*IF(AND($A542&gt;='Control Room'!$A$15,$A542&lt;'Control Room'!$A$15+'Control Room'!$B$15,'Process'!BP4=1),1+('Control Room'!$C$15-1)*EXP(-0.5*(($A542-'Control Room'!$A$15-('Control Room'!$B$15-1)/2)/MAX(0.5,'Control Room'!$B$15/4))^2),1)*IF(AND($A542&gt;='Control Room'!$A$16,$A542&lt;'Control Room'!$A$16+'Control Room'!$B$16,'Process'!BP5=1),1+('Control Room'!$C$16-1)*EXP(-0.5*(($A542-'Control Room'!$A$16-('Control Room'!$B$16-1)/2)/MAX(0.5,'Control Room'!$B$16/4))^2),1)</x:f>
        <x:v>1</x:v>
      </x:c>
      <x:c r="AF542" s="9" t="n">
        <x:f>MOD(AG541*16807,2147483647)</x:f>
        <x:v>254086816</x:v>
      </x:c>
      <x:c r="AG542" s="9" t="n">
        <x:f>MOD(AF542*16807,2147483647)</x:f>
        <x:v>1239626276</x:v>
      </x:c>
      <x:c r="AH542" s="17" t="n">
        <x:f>IF('Control Room'!$B$5="Normal",'Control Room'!$B$7+'Control Room'!$D$7*SQRT(-2*LN(MAX(0.000000000001,AF542/2147483647)))*COS(2*PI()*AG542/2147483647),'Control Room'!$B$8+('Control Room'!$D$8-'Control Room'!$B$8)*AF542/2147483647)</x:f>
        <x:v>835.5263232858553</x:v>
      </x:c>
      <x:c r="AI542" s="17" t="n">
        <x:f>IF('Control Room'!$B$5="Normal",'Control Room'!$B$7,('Control Room'!$B$8+'Control Room'!$D$8)/2)+'Control Room'!$B$9*(AI541-IF('Control Room'!$B$5="Normal",'Control Room'!$B$7,('Control Room'!$B$8+'Control Room'!$D$8)/2))+SQRT(1-'Control Room'!$B$9^2)*(AH542-IF('Control Room'!$B$5="Normal",'Control Room'!$B$7,('Control Room'!$B$8+'Control Room'!$D$8)/2))</x:f>
        <x:v>845.6984474380272</x:v>
      </x:c>
      <x:c r="AJ542" s="17" t="n">
        <x:f>IF(AND($A542&gt;='Control Room'!$A$13,$A542&lt;'Control Room'!$A$13+'Control Room'!$B$13,'Process'!BQ2=1),1+('Control Room'!$C$13-1)*EXP(-0.5*(($A542-'Control Room'!$A$13-('Control Room'!$B$13-1)/2)/MAX(0.5,'Control Room'!$B$13/4))^2),1)*IF(AND($A542&gt;='Control Room'!$A$14,$A542&lt;'Control Room'!$A$14+'Control Room'!$B$14,'Process'!BQ3=1),1+('Control Room'!$C$14-1)*EXP(-0.5*(($A542-'Control Room'!$A$14-('Control Room'!$B$14-1)/2)/MAX(0.5,'Control Room'!$B$14/4))^2),1)*IF(AND($A542&gt;='Control Room'!$A$15,$A542&lt;'Control Room'!$A$15+'Control Room'!$B$15,'Process'!BQ4=1),1+('Control Room'!$C$15-1)*EXP(-0.5*(($A542-'Control Room'!$A$15-('Control Room'!$B$15-1)/2)/MAX(0.5,'Control Room'!$B$15/4))^2),1)*IF(AND($A542&gt;='Control Room'!$A$16,$A542&lt;'Control Room'!$A$16+'Control Room'!$B$16,'Process'!BQ5=1),1+('Control Room'!$C$16-1)*EXP(-0.5*(($A542-'Control Room'!$A$16-('Control Room'!$B$16-1)/2)/MAX(0.5,'Control Room'!$B$16/4))^2),1)</x:f>
        <x:v>1</x:v>
      </x:c>
      <x:c r="AK542" s="9" t="n">
        <x:f>MOD(AL541*16807,2147483647)</x:f>
        <x:v>920097953</x:v>
      </x:c>
      <x:c r="AL542" s="9" t="n">
        <x:f>MOD(AK542*16807,2147483647)</x:f>
        <x:v>56554024</x:v>
      </x:c>
      <x:c r="AM542" s="17" t="n">
        <x:f>IF('Control Room'!$B$5="Normal",'Control Room'!$B$7+'Control Room'!$D$7*SQRT(-2*LN(MAX(0.000000000001,AK542/2147483647)))*COS(2*PI()*AL542/2147483647),'Control Room'!$B$8+('Control Room'!$D$8-'Control Room'!$B$8)*AK542/2147483647)</x:f>
        <x:v>1115.577434303462</x:v>
      </x:c>
      <x:c r="AN542" s="17" t="n">
        <x:f>IF('Control Room'!$B$5="Normal",'Control Room'!$B$7,('Control Room'!$B$8+'Control Room'!$D$8)/2)+'Control Room'!$B$9*(AN541-IF('Control Room'!$B$5="Normal",'Control Room'!$B$7,('Control Room'!$B$8+'Control Room'!$D$8)/2))+SQRT(1-'Control Room'!$B$9^2)*(AM542-IF('Control Room'!$B$5="Normal",'Control Room'!$B$7,('Control Room'!$B$8+'Control Room'!$D$8)/2))</x:f>
        <x:v>1049.3685266643208</x:v>
      </x:c>
      <x:c r="AO542" s="17" t="n">
        <x:f>IF(AND($A542&gt;='Control Room'!$A$13,$A542&lt;'Control Room'!$A$13+'Control Room'!$B$13,'Process'!BR2=1),1+('Control Room'!$C$13-1)*EXP(-0.5*(($A542-'Control Room'!$A$13-('Control Room'!$B$13-1)/2)/MAX(0.5,'Control Room'!$B$13/4))^2),1)*IF(AND($A542&gt;='Control Room'!$A$14,$A542&lt;'Control Room'!$A$14+'Control Room'!$B$14,'Process'!BR3=1),1+('Control Room'!$C$14-1)*EXP(-0.5*(($A542-'Control Room'!$A$14-('Control Room'!$B$14-1)/2)/MAX(0.5,'Control Room'!$B$14/4))^2),1)*IF(AND($A542&gt;='Control Room'!$A$15,$A542&lt;'Control Room'!$A$15+'Control Room'!$B$15,'Process'!BR4=1),1+('Control Room'!$C$15-1)*EXP(-0.5*(($A542-'Control Room'!$A$15-('Control Room'!$B$15-1)/2)/MAX(0.5,'Control Room'!$B$15/4))^2),1)*IF(AND($A542&gt;='Control Room'!$A$16,$A542&lt;'Control Room'!$A$16+'Control Room'!$B$16,'Process'!BR5=1),1+('Control Room'!$C$16-1)*EXP(-0.5*(($A542-'Control Room'!$A$16-('Control Room'!$B$16-1)/2)/MAX(0.5,'Control Room'!$B$16/4))^2),1)</x:f>
        <x:v>1</x:v>
      </x:c>
      <x:c r="AP542" s="9" t="n">
        <x:f>MOD(AQ541*16807,2147483647)</x:f>
        <x:v>1586109090</x:v>
      </x:c>
      <x:c r="AQ542" s="9" t="n">
        <x:f>MOD(AP542*16807,2147483647)</x:f>
        <x:v>1020965419</x:v>
      </x:c>
      <x:c r="AR542" s="17" t="n">
        <x:f>IF('Control Room'!$B$5="Normal",'Control Room'!$B$7+'Control Room'!$D$7*SQRT(-2*LN(MAX(0.000000000001,AP542/2147483647)))*COS(2*PI()*AQ542/2147483647),'Control Room'!$B$8+('Control Room'!$D$8-'Control Room'!$B$8)*AP542/2147483647)</x:f>
        <x:v>930.7707443461248</x:v>
      </x:c>
      <x:c r="AS542" s="17" t="n">
        <x:f>IF('Control Room'!$B$5="Normal",'Control Room'!$B$7,('Control Room'!$B$8+'Control Room'!$D$8)/2)+'Control Room'!$B$9*(AS541-IF('Control Room'!$B$5="Normal",'Control Room'!$B$7,('Control Room'!$B$8+'Control Room'!$D$8)/2))+SQRT(1-'Control Room'!$B$9^2)*(AR542-IF('Control Room'!$B$5="Normal",'Control Room'!$B$7,('Control Room'!$B$8+'Control Room'!$D$8)/2))</x:f>
        <x:v>946.0264278374665</x:v>
      </x:c>
      <x:c r="AT542" s="17" t="n">
        <x:f>IF(AND($A542&gt;='Control Room'!$A$13,$A542&lt;'Control Room'!$A$13+'Control Room'!$B$13,'Process'!BS2=1),1+('Control Room'!$C$13-1)*EXP(-0.5*(($A542-'Control Room'!$A$13-('Control Room'!$B$13-1)/2)/MAX(0.5,'Control Room'!$B$13/4))^2),1)*IF(AND($A542&gt;='Control Room'!$A$14,$A542&lt;'Control Room'!$A$14+'Control Room'!$B$14,'Process'!BS3=1),1+('Control Room'!$C$14-1)*EXP(-0.5*(($A542-'Control Room'!$A$14-('Control Room'!$B$14-1)/2)/MAX(0.5,'Control Room'!$B$14/4))^2),1)*IF(AND($A542&gt;='Control Room'!$A$15,$A542&lt;'Control Room'!$A$15+'Control Room'!$B$15,'Process'!BS4=1),1+('Control Room'!$C$15-1)*EXP(-0.5*(($A542-'Control Room'!$A$15-('Control Room'!$B$15-1)/2)/MAX(0.5,'Control Room'!$B$15/4))^2),1)*IF(AND($A542&gt;='Control Room'!$A$16,$A542&lt;'Control Room'!$A$16+'Control Room'!$B$16,'Process'!BS5=1),1+('Control Room'!$C$16-1)*EXP(-0.5*(($A542-'Control Room'!$A$16-('Control Room'!$B$16-1)/2)/MAX(0.5,'Control Room'!$B$16/4))^2),1)</x:f>
        <x:v>1</x:v>
      </x:c>
      <x:c r="AU542" s="9" t="n">
        <x:f>MOD(AV541*16807,2147483647)</x:f>
        <x:v>104636580</x:v>
      </x:c>
      <x:c r="AV542" s="9" t="n">
        <x:f>MOD(AU542*16807,2147483647)</x:f>
        <x:v>1985376814</x:v>
      </x:c>
      <x:c r="AW542" s="17" t="n">
        <x:f>IF('Control Room'!$B$5="Normal",'Control Room'!$B$7+'Control Room'!$D$7*SQRT(-2*LN(MAX(0.000000000001,AU542/2147483647)))*COS(2*PI()*AV542/2147483647),'Control Room'!$B$8+('Control Room'!$D$8-'Control Room'!$B$8)*AU542/2147483647)</x:f>
        <x:v>1196.822352554689</x:v>
      </x:c>
      <x:c r="AX542" s="17" t="n">
        <x:f>IF('Control Room'!$B$5="Normal",'Control Room'!$B$7,('Control Room'!$B$8+'Control Room'!$D$8)/2)+'Control Room'!$B$9*(AX541-IF('Control Room'!$B$5="Normal",'Control Room'!$B$7,('Control Room'!$B$8+'Control Room'!$D$8)/2))+SQRT(1-'Control Room'!$B$9^2)*(AW542-IF('Control Room'!$B$5="Normal",'Control Room'!$B$7,('Control Room'!$B$8+'Control Room'!$D$8)/2))</x:f>
        <x:v>1202.5412079307368</x:v>
      </x:c>
      <x:c r="AY542" s="17" t="n">
        <x:f>IF(AND($A542&gt;='Control Room'!$A$13,$A542&lt;'Control Room'!$A$13+'Control Room'!$B$13,'Process'!BT2=1),1+('Control Room'!$C$13-1)*EXP(-0.5*(($A542-'Control Room'!$A$13-('Control Room'!$B$13-1)/2)/MAX(0.5,'Control Room'!$B$13/4))^2),1)*IF(AND($A542&gt;='Control Room'!$A$14,$A542&lt;'Control Room'!$A$14+'Control Room'!$B$14,'Process'!BT3=1),1+('Control Room'!$C$14-1)*EXP(-0.5*(($A542-'Control Room'!$A$14-('Control Room'!$B$14-1)/2)/MAX(0.5,'Control Room'!$B$14/4))^2),1)*IF(AND($A542&gt;='Control Room'!$A$15,$A542&lt;'Control Room'!$A$15+'Control Room'!$B$15,'Process'!BT4=1),1+('Control Room'!$C$15-1)*EXP(-0.5*(($A542-'Control Room'!$A$15-('Control Room'!$B$15-1)/2)/MAX(0.5,'Control Room'!$B$15/4))^2),1)*IF(AND($A542&gt;='Control Room'!$A$16,$A542&lt;'Control Room'!$A$16+'Control Room'!$B$16,'Process'!BT5=1),1+('Control Room'!$C$16-1)*EXP(-0.5*(($A542-'Control Room'!$A$16-('Control Room'!$B$16-1)/2)/MAX(0.5,'Control Room'!$B$16/4))^2),1)</x:f>
        <x:v>1</x:v>
      </x:c>
      <x:c r="AZ542" s="9" t="n">
        <x:f>MOD(BA541*16807,2147483647)</x:f>
        <x:v>770647717</x:v>
      </x:c>
      <x:c r="BA542" s="9" t="n">
        <x:f>MOD(AZ542*16807,2147483647)</x:f>
        <x:v>802304562</x:v>
      </x:c>
      <x:c r="BB542" s="17" t="n">
        <x:f>IF('Control Room'!$B$5="Normal",'Control Room'!$B$7+'Control Room'!$D$7*SQRT(-2*LN(MAX(0.000000000001,AZ542/2147483647)))*COS(2*PI()*BA542/2147483647),'Control Room'!$B$8+('Control Room'!$D$8-'Control Room'!$B$8)*AZ542/2147483647)</x:f>
        <x:v>909.6936197039789</x:v>
      </x:c>
      <x:c r="BC542" s="17" t="n">
        <x:f>IF('Control Room'!$B$5="Normal",'Control Room'!$B$7,('Control Room'!$B$8+'Control Room'!$D$8)/2)+'Control Room'!$B$9*(BC541-IF('Control Room'!$B$5="Normal",'Control Room'!$B$7,('Control Room'!$B$8+'Control Room'!$D$8)/2))+SQRT(1-'Control Room'!$B$9^2)*(BB542-IF('Control Room'!$B$5="Normal",'Control Room'!$B$7,('Control Room'!$B$8+'Control Room'!$D$8)/2))</x:f>
        <x:v>958.4700118306386</x:v>
      </x:c>
      <x:c r="BD542" s="17" t="n">
        <x:f>IF(AND($A542&gt;='Control Room'!$A$13,$A542&lt;'Control Room'!$A$13+'Control Room'!$B$13,'Process'!BU2=1),1+('Control Room'!$C$13-1)*EXP(-0.5*(($A542-'Control Room'!$A$13-('Control Room'!$B$13-1)/2)/MAX(0.5,'Control Room'!$B$13/4))^2),1)*IF(AND($A542&gt;='Control Room'!$A$14,$A542&lt;'Control Room'!$A$14+'Control Room'!$B$14,'Process'!BU3=1),1+('Control Room'!$C$14-1)*EXP(-0.5*(($A542-'Control Room'!$A$14-('Control Room'!$B$14-1)/2)/MAX(0.5,'Control Room'!$B$14/4))^2),1)*IF(AND($A542&gt;='Control Room'!$A$15,$A542&lt;'Control Room'!$A$15+'Control Room'!$B$15,'Process'!BU4=1),1+('Control Room'!$C$15-1)*EXP(-0.5*(($A542-'Control Room'!$A$15-('Control Room'!$B$15-1)/2)/MAX(0.5,'Control Room'!$B$15/4))^2),1)*IF(AND($A542&gt;='Control Room'!$A$16,$A542&lt;'Control Room'!$A$16+'Control Room'!$B$16,'Process'!BU5=1),1+('Control Room'!$C$16-1)*EXP(-0.5*(($A542-'Control Room'!$A$16-('Control Room'!$B$16-1)/2)/MAX(0.5,'Control Room'!$B$16/4))^2),1)</x:f>
        <x:v>1</x:v>
      </x:c>
      <x:c r="BE542" s="9" t="n">
        <x:f>MOD(BF541*16807,2147483647)</x:f>
        <x:v>1436658854</x:v>
      </x:c>
      <x:c r="BF542" s="9" t="n">
        <x:f>MOD(BE542*16807,2147483647)</x:f>
        <x:v>1766715957</x:v>
      </x:c>
      <x:c r="BG542" s="17" t="n">
        <x:f>IF('Control Room'!$B$5="Normal",'Control Room'!$B$7+'Control Room'!$D$7*SQRT(-2*LN(MAX(0.000000000001,BE542/2147483647)))*COS(2*PI()*BF542/2147483647),'Control Room'!$B$8+('Control Room'!$D$8-'Control Room'!$B$8)*BE542/2147483647)</x:f>
        <x:v>1035.5888576894074</x:v>
      </x:c>
      <x:c r="BH542" s="17" t="n">
        <x:f>IF('Control Room'!$B$5="Normal",'Control Room'!$B$7,('Control Room'!$B$8+'Control Room'!$D$8)/2)+'Control Room'!$B$9*(BH541-IF('Control Room'!$B$5="Normal",'Control Room'!$B$7,('Control Room'!$B$8+'Control Room'!$D$8)/2))+SQRT(1-'Control Room'!$B$9^2)*(BG542-IF('Control Room'!$B$5="Normal",'Control Room'!$B$7,('Control Room'!$B$8+'Control Room'!$D$8)/2))</x:f>
        <x:v>1037.82267444748</x:v>
      </x:c>
      <x:c r="BI542" s="17" t="n">
        <x:f>IF(AND($A542&gt;='Control Room'!$A$13,$A542&lt;'Control Room'!$A$13+'Control Room'!$B$13,'Process'!BV2=1),1+('Control Room'!$C$13-1)*EXP(-0.5*(($A542-'Control Room'!$A$13-('Control Room'!$B$13-1)/2)/MAX(0.5,'Control Room'!$B$13/4))^2),1)*IF(AND($A542&gt;='Control Room'!$A$14,$A542&lt;'Control Room'!$A$14+'Control Room'!$B$14,'Process'!BV3=1),1+('Control Room'!$C$14-1)*EXP(-0.5*(($A542-'Control Room'!$A$14-('Control Room'!$B$14-1)/2)/MAX(0.5,'Control Room'!$B$14/4))^2),1)*IF(AND($A542&gt;='Control Room'!$A$15,$A542&lt;'Control Room'!$A$15+'Control Room'!$B$15,'Process'!BV4=1),1+('Control Room'!$C$15-1)*EXP(-0.5*(($A542-'Control Room'!$A$15-('Control Room'!$B$15-1)/2)/MAX(0.5,'Control Room'!$B$15/4))^2),1)*IF(AND($A542&gt;='Control Room'!$A$16,$A542&lt;'Control Room'!$A$16+'Control Room'!$B$16,'Process'!BV5=1),1+('Control Room'!$C$16-1)*EXP(-0.5*(($A542-'Control Room'!$A$16-('Control Room'!$B$16-1)/2)/MAX(0.5,'Control Room'!$B$16/4))^2),1)</x:f>
        <x:v>1</x:v>
      </x:c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Z542" t="str">
        <x:f>IF('Data'!A542="","",TEXT('Data'!A542,"mm-dd"))</x:f>
      </x:c>
    </x:row>
    <x:row r="543" ht="21" customHeight="1">
      <x:c r="A543" s="15" t="n">
        <x:f>'Control Room'!$B$1+541</x:f>
        <x:v>73532</x:v>
      </x:c>
      <x:c r="B543" s="9" t="n">
        <x:f>MOD(C542*16807,2147483647)</x:f>
        <x:v>1577988284</x:v>
      </x:c>
      <x:c r="C543" s="9" t="n">
        <x:f>MOD(B543*16807,2147483647)</x:f>
        <x:v>1973532385</x:v>
      </x:c>
      <x:c r="D543" s="17" t="n">
        <x:f>IF('Control Room'!$B$5="Normal",'Control Room'!$B$7+'Control Room'!$D$7*SQRT(-2*LN(MAX(0.000000000001,B543/2147483647)))*COS(2*PI()*C543/2147483647),'Control Room'!$B$8+('Control Room'!$D$8-'Control Room'!$B$8)*B543/2147483647)</x:f>
        <x:v>1061.6988301915317</x:v>
      </x:c>
      <x:c r="E543" s="17" t="n">
        <x:f>IF('Control Room'!$B$5="Normal",'Control Room'!$B$7,('Control Room'!$B$8+'Control Room'!$D$8)/2)+'Control Room'!$B$9*(E542-IF('Control Room'!$B$5="Normal",'Control Room'!$B$7,('Control Room'!$B$8+'Control Room'!$D$8)/2))+SQRT(1-'Control Room'!$B$9^2)*(D543-IF('Control Room'!$B$5="Normal",'Control Room'!$B$7,('Control Room'!$B$8+'Control Room'!$D$8)/2))</x:f>
        <x:v>1014.1141000460103</x:v>
      </x:c>
      <x:c r="F543" s="17" t="n">
        <x:f>IF(AND($A543&gt;='Control Room'!$A$13,$A543&lt;'Control Room'!$A$13+'Control Room'!$B$13,'Process'!BK2=1),1+('Control Room'!$C$13-1)*EXP(-0.5*(($A543-'Control Room'!$A$13-('Control Room'!$B$13-1)/2)/MAX(0.5,'Control Room'!$B$13/4))^2),1)*IF(AND($A543&gt;='Control Room'!$A$14,$A543&lt;'Control Room'!$A$14+'Control Room'!$B$14,'Process'!BK3=1),1+('Control Room'!$C$14-1)*EXP(-0.5*(($A543-'Control Room'!$A$14-('Control Room'!$B$14-1)/2)/MAX(0.5,'Control Room'!$B$14/4))^2),1)*IF(AND($A543&gt;='Control Room'!$A$15,$A543&lt;'Control Room'!$A$15+'Control Room'!$B$15,'Process'!BK4=1),1+('Control Room'!$C$15-1)*EXP(-0.5*(($A543-'Control Room'!$A$15-('Control Room'!$B$15-1)/2)/MAX(0.5,'Control Room'!$B$15/4))^2),1)*IF(AND($A543&gt;='Control Room'!$A$16,$A543&lt;'Control Room'!$A$16+'Control Room'!$B$16,'Process'!BK5=1),1+('Control Room'!$C$16-1)*EXP(-0.5*(($A543-'Control Room'!$A$16-('Control Room'!$B$16-1)/2)/MAX(0.5,'Control Room'!$B$16/4))^2),1)</x:f>
        <x:v>1</x:v>
      </x:c>
      <x:c r="G543" s="9" t="n">
        <x:f>MOD(H542*16807,2147483647)</x:f>
        <x:v>1233736493</x:v>
      </x:c>
      <x:c r="H543" s="9" t="n">
        <x:f>MOD(G543*16807,2147483647)</x:f>
        <x:v>1454626066</x:v>
      </x:c>
      <x:c r="I543" s="17" t="n">
        <x:f>IF('Control Room'!$B$5="Normal",'Control Room'!$B$7+'Control Room'!$D$7*SQRT(-2*LN(MAX(0.000000000001,G543/2147483647)))*COS(2*PI()*H543/2147483647),'Control Room'!$B$8+('Control Room'!$D$8-'Control Room'!$B$8)*G543/2147483647)</x:f>
        <x:v>958.2395891310655</x:v>
      </x:c>
      <x:c r="J543" s="17" t="n">
        <x:f>IF('Control Room'!$B$5="Normal",'Control Room'!$B$7,('Control Room'!$B$8+'Control Room'!$D$8)/2)+'Control Room'!$B$9*(J542-IF('Control Room'!$B$5="Normal",'Control Room'!$B$7,('Control Room'!$B$8+'Control Room'!$D$8)/2))+SQRT(1-'Control Room'!$B$9^2)*(I543-IF('Control Room'!$B$5="Normal",'Control Room'!$B$7,('Control Room'!$B$8+'Control Room'!$D$8)/2))</x:f>
        <x:v>913.2369092155835</x:v>
      </x:c>
      <x:c r="K543" s="17" t="n">
        <x:f>IF(AND($A543&gt;='Control Room'!$A$13,$A543&lt;'Control Room'!$A$13+'Control Room'!$B$13,'Process'!BL2=1),1+('Control Room'!$C$13-1)*EXP(-0.5*(($A543-'Control Room'!$A$13-('Control Room'!$B$13-1)/2)/MAX(0.5,'Control Room'!$B$13/4))^2),1)*IF(AND($A543&gt;='Control Room'!$A$14,$A543&lt;'Control Room'!$A$14+'Control Room'!$B$14,'Process'!BL3=1),1+('Control Room'!$C$14-1)*EXP(-0.5*(($A543-'Control Room'!$A$14-('Control Room'!$B$14-1)/2)/MAX(0.5,'Control Room'!$B$14/4))^2),1)*IF(AND($A543&gt;='Control Room'!$A$15,$A543&lt;'Control Room'!$A$15+'Control Room'!$B$15,'Process'!BL4=1),1+('Control Room'!$C$15-1)*EXP(-0.5*(($A543-'Control Room'!$A$15-('Control Room'!$B$15-1)/2)/MAX(0.5,'Control Room'!$B$15/4))^2),1)*IF(AND($A543&gt;='Control Room'!$A$16,$A543&lt;'Control Room'!$A$16+'Control Room'!$B$16,'Process'!BL5=1),1+('Control Room'!$C$16-1)*EXP(-0.5*(($A543-'Control Room'!$A$16-('Control Room'!$B$16-1)/2)/MAX(0.5,'Control Room'!$B$16/4))^2),1)</x:f>
        <x:v>1</x:v>
      </x:c>
      <x:c r="L543" s="9" t="n">
        <x:f>MOD(M542*16807,2147483647)</x:f>
        <x:v>889484702</x:v>
      </x:c>
      <x:c r="M543" s="9" t="n">
        <x:f>MOD(L543*16807,2147483647)</x:f>
        <x:v>935719747</x:v>
      </x:c>
      <x:c r="N543" s="17" t="n">
        <x:f>IF('Control Room'!$B$5="Normal",'Control Room'!$B$7+'Control Room'!$D$7*SQRT(-2*LN(MAX(0.000000000001,L543/2147483647)))*COS(2*PI()*M543/2147483647),'Control Room'!$B$8+('Control Room'!$D$8-'Control Room'!$B$8)*L543/2147483647)</x:f>
        <x:v>890.1176824409318</x:v>
      </x:c>
      <x:c r="O543" s="17" t="n">
        <x:f>IF('Control Room'!$B$5="Normal",'Control Room'!$B$7,('Control Room'!$B$8+'Control Room'!$D$8)/2)+'Control Room'!$B$9*(O542-IF('Control Room'!$B$5="Normal",'Control Room'!$B$7,('Control Room'!$B$8+'Control Room'!$D$8)/2))+SQRT(1-'Control Room'!$B$9^2)*(N543-IF('Control Room'!$B$5="Normal",'Control Room'!$B$7,('Control Room'!$B$8+'Control Room'!$D$8)/2))</x:f>
        <x:v>1002.6088885087319</x:v>
      </x:c>
      <x:c r="P543" s="17" t="n">
        <x:f>IF(AND($A543&gt;='Control Room'!$A$13,$A543&lt;'Control Room'!$A$13+'Control Room'!$B$13,'Process'!BM2=1),1+('Control Room'!$C$13-1)*EXP(-0.5*(($A543-'Control Room'!$A$13-('Control Room'!$B$13-1)/2)/MAX(0.5,'Control Room'!$B$13/4))^2),1)*IF(AND($A543&gt;='Control Room'!$A$14,$A543&lt;'Control Room'!$A$14+'Control Room'!$B$14,'Process'!BM3=1),1+('Control Room'!$C$14-1)*EXP(-0.5*(($A543-'Control Room'!$A$14-('Control Room'!$B$14-1)/2)/MAX(0.5,'Control Room'!$B$14/4))^2),1)*IF(AND($A543&gt;='Control Room'!$A$15,$A543&lt;'Control Room'!$A$15+'Control Room'!$B$15,'Process'!BM4=1),1+('Control Room'!$C$15-1)*EXP(-0.5*(($A543-'Control Room'!$A$15-('Control Room'!$B$15-1)/2)/MAX(0.5,'Control Room'!$B$15/4))^2),1)*IF(AND($A543&gt;='Control Room'!$A$16,$A543&lt;'Control Room'!$A$16+'Control Room'!$B$16,'Process'!BM5=1),1+('Control Room'!$C$16-1)*EXP(-0.5*(($A543-'Control Room'!$A$16-('Control Room'!$B$16-1)/2)/MAX(0.5,'Control Room'!$B$16/4))^2),1)</x:f>
        <x:v>1</x:v>
      </x:c>
      <x:c r="Q543" s="9" t="n">
        <x:f>MOD(R542*16807,2147483647)</x:f>
        <x:v>545232911</x:v>
      </x:c>
      <x:c r="R543" s="9" t="n">
        <x:f>MOD(Q543*16807,2147483647)</x:f>
        <x:v>416813428</x:v>
      </x:c>
      <x:c r="S543" s="17" t="n">
        <x:f>IF('Control Room'!$B$5="Normal",'Control Room'!$B$7+'Control Room'!$D$7*SQRT(-2*LN(MAX(0.000000000001,Q543/2147483647)))*COS(2*PI()*R543/2147483647),'Control Room'!$B$8+('Control Room'!$D$8-'Control Room'!$B$8)*Q543/2147483647)</x:f>
        <x:v>1051.276893797646</x:v>
      </x:c>
      <x:c r="T543" s="17" t="n">
        <x:f>IF('Control Room'!$B$5="Normal",'Control Room'!$B$7,('Control Room'!$B$8+'Control Room'!$D$8)/2)+'Control Room'!$B$9*(T542-IF('Control Room'!$B$5="Normal",'Control Room'!$B$7,('Control Room'!$B$8+'Control Room'!$D$8)/2))+SQRT(1-'Control Room'!$B$9^2)*(S543-IF('Control Room'!$B$5="Normal",'Control Room'!$B$7,('Control Room'!$B$8+'Control Room'!$D$8)/2))</x:f>
        <x:v>1015.548942424936</x:v>
      </x:c>
      <x:c r="U543" s="17" t="n">
        <x:f>IF(AND($A543&gt;='Control Room'!$A$13,$A543&lt;'Control Room'!$A$13+'Control Room'!$B$13,'Process'!BN2=1),1+('Control Room'!$C$13-1)*EXP(-0.5*(($A543-'Control Room'!$A$13-('Control Room'!$B$13-1)/2)/MAX(0.5,'Control Room'!$B$13/4))^2),1)*IF(AND($A543&gt;='Control Room'!$A$14,$A543&lt;'Control Room'!$A$14+'Control Room'!$B$14,'Process'!BN3=1),1+('Control Room'!$C$14-1)*EXP(-0.5*(($A543-'Control Room'!$A$14-('Control Room'!$B$14-1)/2)/MAX(0.5,'Control Room'!$B$14/4))^2),1)*IF(AND($A543&gt;='Control Room'!$A$15,$A543&lt;'Control Room'!$A$15+'Control Room'!$B$15,'Process'!BN4=1),1+('Control Room'!$C$15-1)*EXP(-0.5*(($A543-'Control Room'!$A$15-('Control Room'!$B$15-1)/2)/MAX(0.5,'Control Room'!$B$15/4))^2),1)*IF(AND($A543&gt;='Control Room'!$A$16,$A543&lt;'Control Room'!$A$16+'Control Room'!$B$16,'Process'!BN5=1),1+('Control Room'!$C$16-1)*EXP(-0.5*(($A543-'Control Room'!$A$16-('Control Room'!$B$16-1)/2)/MAX(0.5,'Control Room'!$B$16/4))^2),1)</x:f>
        <x:v>1</x:v>
      </x:c>
      <x:c r="V543" s="9" t="n">
        <x:f>MOD(W542*16807,2147483647)</x:f>
        <x:v>200981120</x:v>
      </x:c>
      <x:c r="W543" s="9" t="n">
        <x:f>MOD(V543*16807,2147483647)</x:f>
        <x:v>2045390756</x:v>
      </x:c>
      <x:c r="X543" s="17" t="n">
        <x:f>IF('Control Room'!$B$5="Normal",'Control Room'!$B$7+'Control Room'!$D$7*SQRT(-2*LN(MAX(0.000000000001,V543/2147483647)))*COS(2*PI()*W543/2147483647),'Control Room'!$B$8+('Control Room'!$D$8-'Control Room'!$B$8)*V543/2147483647)</x:f>
        <x:v>1187.2212467910424</x:v>
      </x:c>
      <x:c r="Y543" s="17" t="n">
        <x:f>IF('Control Room'!$B$5="Normal",'Control Room'!$B$7,('Control Room'!$B$8+'Control Room'!$D$8)/2)+'Control Room'!$B$9*(Y542-IF('Control Room'!$B$5="Normal",'Control Room'!$B$7,('Control Room'!$B$8+'Control Room'!$D$8)/2))+SQRT(1-'Control Room'!$B$9^2)*(X543-IF('Control Room'!$B$5="Normal",'Control Room'!$B$7,('Control Room'!$B$8+'Control Room'!$D$8)/2))</x:f>
        <x:v>1035.3508959913222</x:v>
      </x:c>
      <x:c r="Z543" s="17" t="n">
        <x:f>IF(AND($A543&gt;='Control Room'!$A$13,$A543&lt;'Control Room'!$A$13+'Control Room'!$B$13,'Process'!BO2=1),1+('Control Room'!$C$13-1)*EXP(-0.5*(($A543-'Control Room'!$A$13-('Control Room'!$B$13-1)/2)/MAX(0.5,'Control Room'!$B$13/4))^2),1)*IF(AND($A543&gt;='Control Room'!$A$14,$A543&lt;'Control Room'!$A$14+'Control Room'!$B$14,'Process'!BO3=1),1+('Control Room'!$C$14-1)*EXP(-0.5*(($A543-'Control Room'!$A$14-('Control Room'!$B$14-1)/2)/MAX(0.5,'Control Room'!$B$14/4))^2),1)*IF(AND($A543&gt;='Control Room'!$A$15,$A543&lt;'Control Room'!$A$15+'Control Room'!$B$15,'Process'!BO4=1),1+('Control Room'!$C$15-1)*EXP(-0.5*(($A543-'Control Room'!$A$15-('Control Room'!$B$15-1)/2)/MAX(0.5,'Control Room'!$B$15/4))^2),1)*IF(AND($A543&gt;='Control Room'!$A$16,$A543&lt;'Control Room'!$A$16+'Control Room'!$B$16,'Process'!BO5=1),1+('Control Room'!$C$16-1)*EXP(-0.5*(($A543-'Control Room'!$A$16-('Control Room'!$B$16-1)/2)/MAX(0.5,'Control Room'!$B$16/4))^2),1)</x:f>
        <x:v>1</x:v>
      </x:c>
      <x:c r="AA543" s="9" t="n">
        <x:f>MOD(AB542*16807,2147483647)</x:f>
        <x:v>2004212976</x:v>
      </x:c>
      <x:c r="AB543" s="9" t="n">
        <x:f>MOD(AA543*16807,2147483647)</x:f>
        <x:v>1526484437</x:v>
      </x:c>
      <x:c r="AC543" s="17" t="n">
        <x:f>IF('Control Room'!$B$5="Normal",'Control Room'!$B$7+'Control Room'!$D$7*SQRT(-2*LN(MAX(0.000000000001,AA543/2147483647)))*COS(2*PI()*AB543/2147483647),'Control Room'!$B$8+('Control Room'!$D$8-'Control Room'!$B$8)*AA543/2147483647)</x:f>
        <x:v>991.8506621278109</x:v>
      </x:c>
      <x:c r="AD543" s="17" t="n">
        <x:f>IF('Control Room'!$B$5="Normal",'Control Room'!$B$7,('Control Room'!$B$8+'Control Room'!$D$8)/2)+'Control Room'!$B$9*(AD542-IF('Control Room'!$B$5="Normal",'Control Room'!$B$7,('Control Room'!$B$8+'Control Room'!$D$8)/2))+SQRT(1-'Control Room'!$B$9^2)*(AC543-IF('Control Room'!$B$5="Normal",'Control Room'!$B$7,('Control Room'!$B$8+'Control Room'!$D$8)/2))</x:f>
        <x:v>1035.3244336484886</x:v>
      </x:c>
      <x:c r="AE543" s="17" t="n">
        <x:f>IF(AND($A543&gt;='Control Room'!$A$13,$A543&lt;'Control Room'!$A$13+'Control Room'!$B$13,'Process'!BP2=1),1+('Control Room'!$C$13-1)*EXP(-0.5*(($A543-'Control Room'!$A$13-('Control Room'!$B$13-1)/2)/MAX(0.5,'Control Room'!$B$13/4))^2),1)*IF(AND($A543&gt;='Control Room'!$A$14,$A543&lt;'Control Room'!$A$14+'Control Room'!$B$14,'Process'!BP3=1),1+('Control Room'!$C$14-1)*EXP(-0.5*(($A543-'Control Room'!$A$14-('Control Room'!$B$14-1)/2)/MAX(0.5,'Control Room'!$B$14/4))^2),1)*IF(AND($A543&gt;='Control Room'!$A$15,$A543&lt;'Control Room'!$A$15+'Control Room'!$B$15,'Process'!BP4=1),1+('Control Room'!$C$15-1)*EXP(-0.5*(($A543-'Control Room'!$A$15-('Control Room'!$B$15-1)/2)/MAX(0.5,'Control Room'!$B$15/4))^2),1)*IF(AND($A543&gt;='Control Room'!$A$16,$A543&lt;'Control Room'!$A$16+'Control Room'!$B$16,'Process'!BP5=1),1+('Control Room'!$C$16-1)*EXP(-0.5*(($A543-'Control Room'!$A$16-('Control Room'!$B$16-1)/2)/MAX(0.5,'Control Room'!$B$16/4))^2),1)</x:f>
        <x:v>1</x:v>
      </x:c>
      <x:c r="AF543" s="9" t="n">
        <x:f>MOD(AG542*16807,2147483647)</x:f>
        <x:v>1659961185</x:v>
      </x:c>
      <x:c r="AG543" s="9" t="n">
        <x:f>MOD(AF543*16807,2147483647)</x:f>
        <x:v>1007578118</x:v>
      </x:c>
      <x:c r="AH543" s="17" t="n">
        <x:f>IF('Control Room'!$B$5="Normal",'Control Room'!$B$7+'Control Room'!$D$7*SQRT(-2*LN(MAX(0.000000000001,AF543/2147483647)))*COS(2*PI()*AG543/2147483647),'Control Room'!$B$8+('Control Room'!$D$8-'Control Room'!$B$8)*AF543/2147483647)</x:f>
        <x:v>936.6189584959094</x:v>
      </x:c>
      <x:c r="AI543" s="17" t="n">
        <x:f>IF('Control Room'!$B$5="Normal",'Control Room'!$B$7,('Control Room'!$B$8+'Control Room'!$D$8)/2)+'Control Room'!$B$9*(AI542-IF('Control Room'!$B$5="Normal",'Control Room'!$B$7,('Control Room'!$B$8+'Control Room'!$D$8)/2))+SQRT(1-'Control Room'!$B$9^2)*(AH543-IF('Control Room'!$B$5="Normal",'Control Room'!$B$7,('Control Room'!$B$8+'Control Room'!$D$8)/2))</x:f>
        <x:v>839.9822316596126</x:v>
      </x:c>
      <x:c r="AJ543" s="17" t="n">
        <x:f>IF(AND($A543&gt;='Control Room'!$A$13,$A543&lt;'Control Room'!$A$13+'Control Room'!$B$13,'Process'!BQ2=1),1+('Control Room'!$C$13-1)*EXP(-0.5*(($A543-'Control Room'!$A$13-('Control Room'!$B$13-1)/2)/MAX(0.5,'Control Room'!$B$13/4))^2),1)*IF(AND($A543&gt;='Control Room'!$A$14,$A543&lt;'Control Room'!$A$14+'Control Room'!$B$14,'Process'!BQ3=1),1+('Control Room'!$C$14-1)*EXP(-0.5*(($A543-'Control Room'!$A$14-('Control Room'!$B$14-1)/2)/MAX(0.5,'Control Room'!$B$14/4))^2),1)*IF(AND($A543&gt;='Control Room'!$A$15,$A543&lt;'Control Room'!$A$15+'Control Room'!$B$15,'Process'!BQ4=1),1+('Control Room'!$C$15-1)*EXP(-0.5*(($A543-'Control Room'!$A$15-('Control Room'!$B$15-1)/2)/MAX(0.5,'Control Room'!$B$15/4))^2),1)*IF(AND($A543&gt;='Control Room'!$A$16,$A543&lt;'Control Room'!$A$16+'Control Room'!$B$16,'Process'!BQ5=1),1+('Control Room'!$C$16-1)*EXP(-0.5*(($A543-'Control Room'!$A$16-('Control Room'!$B$16-1)/2)/MAX(0.5,'Control Room'!$B$16/4))^2),1)</x:f>
        <x:v>1</x:v>
      </x:c>
      <x:c r="AK543" s="9" t="n">
        <x:f>MOD(AL542*16807,2147483647)</x:f>
        <x:v>1315709394</x:v>
      </x:c>
      <x:c r="AL543" s="9" t="n">
        <x:f>MOD(AK543*16807,2147483647)</x:f>
        <x:v>488671799</x:v>
      </x:c>
      <x:c r="AM543" s="17" t="n">
        <x:f>IF('Control Room'!$B$5="Normal",'Control Room'!$B$7+'Control Room'!$D$7*SQRT(-2*LN(MAX(0.000000000001,AK543/2147483647)))*COS(2*PI()*AL543/2147483647),'Control Room'!$B$8+('Control Room'!$D$8-'Control Room'!$B$8)*AK543/2147483647)</x:f>
        <x:v>1012.5218653390737</x:v>
      </x:c>
      <x:c r="AN543" s="17" t="n">
        <x:f>IF('Control Room'!$B$5="Normal",'Control Room'!$B$7,('Control Room'!$B$8+'Control Room'!$D$8)/2)+'Control Room'!$B$9*(AN542-IF('Control Room'!$B$5="Normal",'Control Room'!$B$7,('Control Room'!$B$8+'Control Room'!$D$8)/2))+SQRT(1-'Control Room'!$B$9^2)*(AM543-IF('Control Room'!$B$5="Normal",'Control Room'!$B$7,('Control Room'!$B$8+'Control Room'!$D$8)/2))</x:f>
        <x:v>1046.3433776030079</x:v>
      </x:c>
      <x:c r="AO543" s="17" t="n">
        <x:f>IF(AND($A543&gt;='Control Room'!$A$13,$A543&lt;'Control Room'!$A$13+'Control Room'!$B$13,'Process'!BR2=1),1+('Control Room'!$C$13-1)*EXP(-0.5*(($A543-'Control Room'!$A$13-('Control Room'!$B$13-1)/2)/MAX(0.5,'Control Room'!$B$13/4))^2),1)*IF(AND($A543&gt;='Control Room'!$A$14,$A543&lt;'Control Room'!$A$14+'Control Room'!$B$14,'Process'!BR3=1),1+('Control Room'!$C$14-1)*EXP(-0.5*(($A543-'Control Room'!$A$14-('Control Room'!$B$14-1)/2)/MAX(0.5,'Control Room'!$B$14/4))^2),1)*IF(AND($A543&gt;='Control Room'!$A$15,$A543&lt;'Control Room'!$A$15+'Control Room'!$B$15,'Process'!BR4=1),1+('Control Room'!$C$15-1)*EXP(-0.5*(($A543-'Control Room'!$A$15-('Control Room'!$B$15-1)/2)/MAX(0.5,'Control Room'!$B$15/4))^2),1)*IF(AND($A543&gt;='Control Room'!$A$16,$A543&lt;'Control Room'!$A$16+'Control Room'!$B$16,'Process'!BR5=1),1+('Control Room'!$C$16-1)*EXP(-0.5*(($A543-'Control Room'!$A$16-('Control Room'!$B$16-1)/2)/MAX(0.5,'Control Room'!$B$16/4))^2),1)</x:f>
        <x:v>1</x:v>
      </x:c>
      <x:c r="AP543" s="9" t="n">
        <x:f>MOD(AQ542*16807,2147483647)</x:f>
        <x:v>971457603</x:v>
      </x:c>
      <x:c r="AQ543" s="9" t="n">
        <x:f>MOD(AP543*16807,2147483647)</x:f>
        <x:v>2117249127</x:v>
      </x:c>
      <x:c r="AR543" s="17" t="n">
        <x:f>IF('Control Room'!$B$5="Normal",'Control Room'!$B$7+'Control Room'!$D$7*SQRT(-2*LN(MAX(0.000000000001,AP543/2147483647)))*COS(2*PI()*AQ543/2147483647),'Control Room'!$B$8+('Control Room'!$D$8-'Control Room'!$B$8)*AP543/2147483647)</x:f>
        <x:v>1112.917764604679</x:v>
      </x:c>
      <x:c r="AS543" s="17" t="n">
        <x:f>IF('Control Room'!$B$5="Normal",'Control Room'!$B$7,('Control Room'!$B$8+'Control Room'!$D$8)/2)+'Control Room'!$B$9*(AS542-IF('Control Room'!$B$5="Normal",'Control Room'!$B$7,('Control Room'!$B$8+'Control Room'!$D$8)/2))+SQRT(1-'Control Room'!$B$9^2)*(AR543-IF('Control Room'!$B$5="Normal",'Control Room'!$B$7,('Control Room'!$B$8+'Control Room'!$D$8)/2))</x:f>
        <x:v>1028.562237556688</x:v>
      </x:c>
      <x:c r="AT543" s="17" t="n">
        <x:f>IF(AND($A543&gt;='Control Room'!$A$13,$A543&lt;'Control Room'!$A$13+'Control Room'!$B$13,'Process'!BS2=1),1+('Control Room'!$C$13-1)*EXP(-0.5*(($A543-'Control Room'!$A$13-('Control Room'!$B$13-1)/2)/MAX(0.5,'Control Room'!$B$13/4))^2),1)*IF(AND($A543&gt;='Control Room'!$A$14,$A543&lt;'Control Room'!$A$14+'Control Room'!$B$14,'Process'!BS3=1),1+('Control Room'!$C$14-1)*EXP(-0.5*(($A543-'Control Room'!$A$14-('Control Room'!$B$14-1)/2)/MAX(0.5,'Control Room'!$B$14/4))^2),1)*IF(AND($A543&gt;='Control Room'!$A$15,$A543&lt;'Control Room'!$A$15+'Control Room'!$B$15,'Process'!BS4=1),1+('Control Room'!$C$15-1)*EXP(-0.5*(($A543-'Control Room'!$A$15-('Control Room'!$B$15-1)/2)/MAX(0.5,'Control Room'!$B$15/4))^2),1)*IF(AND($A543&gt;='Control Room'!$A$16,$A543&lt;'Control Room'!$A$16+'Control Room'!$B$16,'Process'!BS5=1),1+('Control Room'!$C$16-1)*EXP(-0.5*(($A543-'Control Room'!$A$16-('Control Room'!$B$16-1)/2)/MAX(0.5,'Control Room'!$B$16/4))^2),1)</x:f>
        <x:v>1</x:v>
      </x:c>
      <x:c r="AU543" s="9" t="n">
        <x:f>MOD(AV542*16807,2147483647)</x:f>
        <x:v>627205812</x:v>
      </x:c>
      <x:c r="AV543" s="9" t="n">
        <x:f>MOD(AU543*16807,2147483647)</x:f>
        <x:v>1598342808</x:v>
      </x:c>
      <x:c r="AW543" s="17" t="n">
        <x:f>IF('Control Room'!$B$5="Normal",'Control Room'!$B$7+'Control Room'!$D$7*SQRT(-2*LN(MAX(0.000000000001,AU543/2147483647)))*COS(2*PI()*AV543/2147483647),'Control Room'!$B$8+('Control Room'!$D$8-'Control Room'!$B$8)*AU543/2147483647)</x:f>
        <x:v>994.9318909930196</x:v>
      </x:c>
      <x:c r="AX543" s="17" t="n">
        <x:f>IF('Control Room'!$B$5="Normal",'Control Room'!$B$7,('Control Room'!$B$8+'Control Room'!$D$8)/2)+'Control Room'!$B$9*(AX542-IF('Control Room'!$B$5="Normal",'Control Room'!$B$7,('Control Room'!$B$8+'Control Room'!$D$8)/2))+SQRT(1-'Control Room'!$B$9^2)*(AW543-IF('Control Room'!$B$5="Normal",'Control Room'!$B$7,('Control Room'!$B$8+'Control Room'!$D$8)/2))</x:f>
        <x:v>1154.8106233952628</x:v>
      </x:c>
      <x:c r="AY543" s="17" t="n">
        <x:f>IF(AND($A543&gt;='Control Room'!$A$13,$A543&lt;'Control Room'!$A$13+'Control Room'!$B$13,'Process'!BT2=1),1+('Control Room'!$C$13-1)*EXP(-0.5*(($A543-'Control Room'!$A$13-('Control Room'!$B$13-1)/2)/MAX(0.5,'Control Room'!$B$13/4))^2),1)*IF(AND($A543&gt;='Control Room'!$A$14,$A543&lt;'Control Room'!$A$14+'Control Room'!$B$14,'Process'!BT3=1),1+('Control Room'!$C$14-1)*EXP(-0.5*(($A543-'Control Room'!$A$14-('Control Room'!$B$14-1)/2)/MAX(0.5,'Control Room'!$B$14/4))^2),1)*IF(AND($A543&gt;='Control Room'!$A$15,$A543&lt;'Control Room'!$A$15+'Control Room'!$B$15,'Process'!BT4=1),1+('Control Room'!$C$15-1)*EXP(-0.5*(($A543-'Control Room'!$A$15-('Control Room'!$B$15-1)/2)/MAX(0.5,'Control Room'!$B$15/4))^2),1)*IF(AND($A543&gt;='Control Room'!$A$16,$A543&lt;'Control Room'!$A$16+'Control Room'!$B$16,'Process'!BT5=1),1+('Control Room'!$C$16-1)*EXP(-0.5*(($A543-'Control Room'!$A$16-('Control Room'!$B$16-1)/2)/MAX(0.5,'Control Room'!$B$16/4))^2),1)</x:f>
        <x:v>1</x:v>
      </x:c>
      <x:c r="AZ543" s="9" t="n">
        <x:f>MOD(BA542*16807,2147483647)</x:f>
        <x:v>282954021</x:v>
      </x:c>
      <x:c r="BA543" s="9" t="n">
        <x:f>MOD(AZ543*16807,2147483647)</x:f>
        <x:v>1079436489</x:v>
      </x:c>
      <x:c r="BB543" s="17" t="n">
        <x:f>IF('Control Room'!$B$5="Normal",'Control Room'!$B$7+'Control Room'!$D$7*SQRT(-2*LN(MAX(0.000000000001,AZ543/2147483647)))*COS(2*PI()*BA543/2147483647),'Control Room'!$B$8+('Control Room'!$D$8-'Control Room'!$B$8)*AZ543/2147483647)</x:f>
        <x:v>818.824611533781</x:v>
      </x:c>
      <x:c r="BC543" s="17" t="n">
        <x:f>IF('Control Room'!$B$5="Normal",'Control Room'!$B$7,('Control Room'!$B$8+'Control Room'!$D$8)/2)+'Control Room'!$B$9*(BC542-IF('Control Room'!$B$5="Normal",'Control Room'!$B$7,('Control Room'!$B$8+'Control Room'!$D$8)/2))+SQRT(1-'Control Room'!$B$9^2)*(BB543-IF('Control Room'!$B$5="Normal",'Control Room'!$B$7,('Control Room'!$B$8+'Control Room'!$D$8)/2))</x:f>
        <x:v>854.2307627053133</x:v>
      </x:c>
      <x:c r="BD543" s="17" t="n">
        <x:f>IF(AND($A543&gt;='Control Room'!$A$13,$A543&lt;'Control Room'!$A$13+'Control Room'!$B$13,'Process'!BU2=1),1+('Control Room'!$C$13-1)*EXP(-0.5*(($A543-'Control Room'!$A$13-('Control Room'!$B$13-1)/2)/MAX(0.5,'Control Room'!$B$13/4))^2),1)*IF(AND($A543&gt;='Control Room'!$A$14,$A543&lt;'Control Room'!$A$14+'Control Room'!$B$14,'Process'!BU3=1),1+('Control Room'!$C$14-1)*EXP(-0.5*(($A543-'Control Room'!$A$14-('Control Room'!$B$14-1)/2)/MAX(0.5,'Control Room'!$B$14/4))^2),1)*IF(AND($A543&gt;='Control Room'!$A$15,$A543&lt;'Control Room'!$A$15+'Control Room'!$B$15,'Process'!BU4=1),1+('Control Room'!$C$15-1)*EXP(-0.5*(($A543-'Control Room'!$A$15-('Control Room'!$B$15-1)/2)/MAX(0.5,'Control Room'!$B$15/4))^2),1)*IF(AND($A543&gt;='Control Room'!$A$16,$A543&lt;'Control Room'!$A$16+'Control Room'!$B$16,'Process'!BU5=1),1+('Control Room'!$C$16-1)*EXP(-0.5*(($A543-'Control Room'!$A$16-('Control Room'!$B$16-1)/2)/MAX(0.5,'Control Room'!$B$16/4))^2),1)</x:f>
        <x:v>1</x:v>
      </x:c>
      <x:c r="BE543" s="9" t="n">
        <x:f>MOD(BF542*16807,2147483647)</x:f>
        <x:v>2086185877</x:v>
      </x:c>
      <x:c r="BF543" s="9" t="n">
        <x:f>MOD(BE543*16807,2147483647)</x:f>
        <x:v>560530170</x:v>
      </x:c>
      <x:c r="BG543" s="17" t="n">
        <x:f>IF('Control Room'!$B$5="Normal",'Control Room'!$B$7+'Control Room'!$D$7*SQRT(-2*LN(MAX(0.000000000001,BE543/2147483647)))*COS(2*PI()*BF543/2147483647),'Control Room'!$B$8+('Control Room'!$D$8-'Control Room'!$B$8)*BE543/2147483647)</x:f>
        <x:v>998.5018483810173</x:v>
      </x:c>
      <x:c r="BH543" s="17" t="n">
        <x:f>IF('Control Room'!$B$5="Normal",'Control Room'!$B$7,('Control Room'!$B$8+'Control Room'!$D$8)/2)+'Control Room'!$B$9*(BH542-IF('Control Room'!$B$5="Normal",'Control Room'!$B$7,('Control Room'!$B$8+'Control Room'!$D$8)/2))+SQRT(1-'Control Room'!$B$9^2)*(BG543-IF('Control Room'!$B$5="Normal",'Control Room'!$B$7,('Control Room'!$B$8+'Control Room'!$D$8)/2))</x:f>
        <x:v>1028.564173477179</x:v>
      </x:c>
      <x:c r="BI543" s="17" t="n">
        <x:f>IF(AND($A543&gt;='Control Room'!$A$13,$A543&lt;'Control Room'!$A$13+'Control Room'!$B$13,'Process'!BV2=1),1+('Control Room'!$C$13-1)*EXP(-0.5*(($A543-'Control Room'!$A$13-('Control Room'!$B$13-1)/2)/MAX(0.5,'Control Room'!$B$13/4))^2),1)*IF(AND($A543&gt;='Control Room'!$A$14,$A543&lt;'Control Room'!$A$14+'Control Room'!$B$14,'Process'!BV3=1),1+('Control Room'!$C$14-1)*EXP(-0.5*(($A543-'Control Room'!$A$14-('Control Room'!$B$14-1)/2)/MAX(0.5,'Control Room'!$B$14/4))^2),1)*IF(AND($A543&gt;='Control Room'!$A$15,$A543&lt;'Control Room'!$A$15+'Control Room'!$B$15,'Process'!BV4=1),1+('Control Room'!$C$15-1)*EXP(-0.5*(($A543-'Control Room'!$A$15-('Control Room'!$B$15-1)/2)/MAX(0.5,'Control Room'!$B$15/4))^2),1)*IF(AND($A543&gt;='Control Room'!$A$16,$A543&lt;'Control Room'!$A$16+'Control Room'!$B$16,'Process'!BV5=1),1+('Control Room'!$C$16-1)*EXP(-0.5*(($A543-'Control Room'!$A$16-('Control Room'!$B$16-1)/2)/MAX(0.5,'Control Room'!$B$16/4))^2),1)</x:f>
        <x:v>1</x:v>
      </x:c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Z543" t="str">
        <x:f>IF('Data'!A543="","",TEXT('Data'!A543,"mm-dd"))</x:f>
      </x:c>
    </x:row>
    <x:row r="544" ht="21" customHeight="1">
      <x:c r="A544" s="15" t="n">
        <x:f>'Control Room'!$B$1+542</x:f>
        <x:v>73533</x:v>
      </x:c>
      <x:c r="B544" s="9" t="n">
        <x:f>MOD(C543*16807,2147483647)</x:f>
        <x:v>1273866780</x:v>
      </x:c>
      <x:c r="C544" s="9" t="n">
        <x:f>MOD(B544*16807,2147483647)</x:f>
        <x:v>1614494517</x:v>
      </x:c>
      <x:c r="D544" s="17" t="n">
        <x:f>IF('Control Room'!$B$5="Normal",'Control Room'!$B$7+'Control Room'!$D$7*SQRT(-2*LN(MAX(0.000000000001,B544/2147483647)))*COS(2*PI()*C544/2147483647),'Control Room'!$B$8+('Control Room'!$D$8-'Control Room'!$B$8)*B544/2147483647)</x:f>
        <x:v>1001.0446342501023</x:v>
      </x:c>
      <x:c r="E544" s="17" t="n">
        <x:f>IF('Control Room'!$B$5="Normal",'Control Room'!$B$7,('Control Room'!$B$8+'Control Room'!$D$8)/2)+'Control Room'!$B$9*(E543-IF('Control Room'!$B$5="Normal",'Control Room'!$B$7,('Control Room'!$B$8+'Control Room'!$D$8)/2))+SQRT(1-'Control Room'!$B$9^2)*(D544-IF('Control Room'!$B$5="Normal",'Control Room'!$B$7,('Control Room'!$B$8+'Control Room'!$D$8)/2))</x:f>
        <x:v>1011.6627087491062</x:v>
      </x:c>
      <x:c r="F544" s="17" t="n">
        <x:f>IF(AND($A544&gt;='Control Room'!$A$13,$A544&lt;'Control Room'!$A$13+'Control Room'!$B$13,'Process'!BK2=1),1+('Control Room'!$C$13-1)*EXP(-0.5*(($A544-'Control Room'!$A$13-('Control Room'!$B$13-1)/2)/MAX(0.5,'Control Room'!$B$13/4))^2),1)*IF(AND($A544&gt;='Control Room'!$A$14,$A544&lt;'Control Room'!$A$14+'Control Room'!$B$14,'Process'!BK3=1),1+('Control Room'!$C$14-1)*EXP(-0.5*(($A544-'Control Room'!$A$14-('Control Room'!$B$14-1)/2)/MAX(0.5,'Control Room'!$B$14/4))^2),1)*IF(AND($A544&gt;='Control Room'!$A$15,$A544&lt;'Control Room'!$A$15+'Control Room'!$B$15,'Process'!BK4=1),1+('Control Room'!$C$15-1)*EXP(-0.5*(($A544-'Control Room'!$A$15-('Control Room'!$B$15-1)/2)/MAX(0.5,'Control Room'!$B$15/4))^2),1)*IF(AND($A544&gt;='Control Room'!$A$16,$A544&lt;'Control Room'!$A$16+'Control Room'!$B$16,'Process'!BK5=1),1+('Control Room'!$C$16-1)*EXP(-0.5*(($A544-'Control Room'!$A$16-('Control Room'!$B$16-1)/2)/MAX(0.5,'Control Room'!$B$16/4))^2),1)</x:f>
        <x:v>1</x:v>
      </x:c>
      <x:c r="G544" s="9" t="n">
        <x:f>MOD(H543*16807,2147483647)</x:f>
        <x:v>946453814</x:v>
      </x:c>
      <x:c r="H544" s="9" t="n">
        <x:f>MOD(G544*16807,2147483647)</x:f>
        <x:v>637878569</x:v>
      </x:c>
      <x:c r="I544" s="17" t="n">
        <x:f>IF('Control Room'!$B$5="Normal",'Control Room'!$B$7+'Control Room'!$D$7*SQRT(-2*LN(MAX(0.000000000001,G544/2147483647)))*COS(2*PI()*H544/2147483647),'Control Room'!$B$8+('Control Room'!$D$8-'Control Room'!$B$8)*G544/2147483647)</x:f>
        <x:v>966.4454915707217</x:v>
      </x:c>
      <x:c r="J544" s="17" t="n">
        <x:f>IF('Control Room'!$B$5="Normal",'Control Room'!$B$7,('Control Room'!$B$8+'Control Room'!$D$8)/2)+'Control Room'!$B$9*(J543-IF('Control Room'!$B$5="Normal",'Control Room'!$B$7,('Control Room'!$B$8+'Control Room'!$D$8)/2))+SQRT(1-'Control Room'!$B$9^2)*(I544-IF('Control Room'!$B$5="Normal",'Control Room'!$B$7,('Control Room'!$B$8+'Control Room'!$D$8)/2))</x:f>
        <x:v>911.3270652145816</x:v>
      </x:c>
      <x:c r="K544" s="17" t="n">
        <x:f>IF(AND($A544&gt;='Control Room'!$A$13,$A544&lt;'Control Room'!$A$13+'Control Room'!$B$13,'Process'!BL2=1),1+('Control Room'!$C$13-1)*EXP(-0.5*(($A544-'Control Room'!$A$13-('Control Room'!$B$13-1)/2)/MAX(0.5,'Control Room'!$B$13/4))^2),1)*IF(AND($A544&gt;='Control Room'!$A$14,$A544&lt;'Control Room'!$A$14+'Control Room'!$B$14,'Process'!BL3=1),1+('Control Room'!$C$14-1)*EXP(-0.5*(($A544-'Control Room'!$A$14-('Control Room'!$B$14-1)/2)/MAX(0.5,'Control Room'!$B$14/4))^2),1)*IF(AND($A544&gt;='Control Room'!$A$15,$A544&lt;'Control Room'!$A$15+'Control Room'!$B$15,'Process'!BL4=1),1+('Control Room'!$C$15-1)*EXP(-0.5*(($A544-'Control Room'!$A$15-('Control Room'!$B$15-1)/2)/MAX(0.5,'Control Room'!$B$15/4))^2),1)*IF(AND($A544&gt;='Control Room'!$A$16,$A544&lt;'Control Room'!$A$16+'Control Room'!$B$16,'Process'!BL5=1),1+('Control Room'!$C$16-1)*EXP(-0.5*(($A544-'Control Room'!$A$16-('Control Room'!$B$16-1)/2)/MAX(0.5,'Control Room'!$B$16/4))^2),1)</x:f>
        <x:v>1</x:v>
      </x:c>
      <x:c r="L544" s="9" t="n">
        <x:f>MOD(M543*16807,2147483647)</x:f>
        <x:v>619040848</x:v>
      </x:c>
      <x:c r="M544" s="9" t="n">
        <x:f>MOD(L544*16807,2147483647)</x:f>
        <x:v>1808746268</x:v>
      </x:c>
      <x:c r="N544" s="17" t="n">
        <x:f>IF('Control Room'!$B$5="Normal",'Control Room'!$B$7+'Control Room'!$D$7*SQRT(-2*LN(MAX(0.000000000001,L544/2147483647)))*COS(2*PI()*M544/2147483647),'Control Room'!$B$8+('Control Room'!$D$8-'Control Room'!$B$8)*L544/2147483647)</x:f>
        <x:v>1077.7591733538684</x:v>
      </x:c>
      <x:c r="O544" s="17" t="n">
        <x:f>IF('Control Room'!$B$5="Normal",'Control Room'!$B$7,('Control Room'!$B$8+'Control Room'!$D$8)/2)+'Control Room'!$B$9*(O543-IF('Control Room'!$B$5="Normal",'Control Room'!$B$7,('Control Room'!$B$8+'Control Room'!$D$8)/2))+SQRT(1-'Control Room'!$B$9^2)*(N544-IF('Control Room'!$B$5="Normal",'Control Room'!$B$7,('Control Room'!$B$8+'Control Room'!$D$8)/2))</x:f>
        <x:v>1050.695030738409</x:v>
      </x:c>
      <x:c r="P544" s="17" t="n">
        <x:f>IF(AND($A544&gt;='Control Room'!$A$13,$A544&lt;'Control Room'!$A$13+'Control Room'!$B$13,'Process'!BM2=1),1+('Control Room'!$C$13-1)*EXP(-0.5*(($A544-'Control Room'!$A$13-('Control Room'!$B$13-1)/2)/MAX(0.5,'Control Room'!$B$13/4))^2),1)*IF(AND($A544&gt;='Control Room'!$A$14,$A544&lt;'Control Room'!$A$14+'Control Room'!$B$14,'Process'!BM3=1),1+('Control Room'!$C$14-1)*EXP(-0.5*(($A544-'Control Room'!$A$14-('Control Room'!$B$14-1)/2)/MAX(0.5,'Control Room'!$B$14/4))^2),1)*IF(AND($A544&gt;='Control Room'!$A$15,$A544&lt;'Control Room'!$A$15+'Control Room'!$B$15,'Process'!BM4=1),1+('Control Room'!$C$15-1)*EXP(-0.5*(($A544-'Control Room'!$A$15-('Control Room'!$B$15-1)/2)/MAX(0.5,'Control Room'!$B$15/4))^2),1)*IF(AND($A544&gt;='Control Room'!$A$16,$A544&lt;'Control Room'!$A$16+'Control Room'!$B$16,'Process'!BM5=1),1+('Control Room'!$C$16-1)*EXP(-0.5*(($A544-'Control Room'!$A$16-('Control Room'!$B$16-1)/2)/MAX(0.5,'Control Room'!$B$16/4))^2),1)</x:f>
        <x:v>1</x:v>
      </x:c>
      <x:c r="Q544" s="9" t="n">
        <x:f>MOD(R543*16807,2147483647)</x:f>
        <x:v>291627882</x:v>
      </x:c>
      <x:c r="R544" s="9" t="n">
        <x:f>MOD(Q544*16807,2147483647)</x:f>
        <x:v>832130320</x:v>
      </x:c>
      <x:c r="S544" s="17" t="n">
        <x:f>IF('Control Room'!$B$5="Normal",'Control Room'!$B$7+'Control Room'!$D$7*SQRT(-2*LN(MAX(0.000000000001,Q544/2147483647)))*COS(2*PI()*R544/2147483647),'Control Room'!$B$8+('Control Room'!$D$8-'Control Room'!$B$8)*Q544/2147483647)</x:f>
        <x:v>863.2509238725743</x:v>
      </x:c>
      <x:c r="T544" s="17" t="n">
        <x:f>IF('Control Room'!$B$5="Normal",'Control Room'!$B$7,('Control Room'!$B$8+'Control Room'!$D$8)/2)+'Control Room'!$B$9*(T543-IF('Control Room'!$B$5="Normal",'Control Room'!$B$7,('Control Room'!$B$8+'Control Room'!$D$8)/2))+SQRT(1-'Control Room'!$B$9^2)*(S544-IF('Control Room'!$B$5="Normal",'Control Room'!$B$7,('Control Room'!$B$8+'Control Room'!$D$8)/2))</x:f>
        <x:v>926.5534047080043</x:v>
      </x:c>
      <x:c r="U544" s="17" t="n">
        <x:f>IF(AND($A544&gt;='Control Room'!$A$13,$A544&lt;'Control Room'!$A$13+'Control Room'!$B$13,'Process'!BN2=1),1+('Control Room'!$C$13-1)*EXP(-0.5*(($A544-'Control Room'!$A$13-('Control Room'!$B$13-1)/2)/MAX(0.5,'Control Room'!$B$13/4))^2),1)*IF(AND($A544&gt;='Control Room'!$A$14,$A544&lt;'Control Room'!$A$14+'Control Room'!$B$14,'Process'!BN3=1),1+('Control Room'!$C$14-1)*EXP(-0.5*(($A544-'Control Room'!$A$14-('Control Room'!$B$14-1)/2)/MAX(0.5,'Control Room'!$B$14/4))^2),1)*IF(AND($A544&gt;='Control Room'!$A$15,$A544&lt;'Control Room'!$A$15+'Control Room'!$B$15,'Process'!BN4=1),1+('Control Room'!$C$15-1)*EXP(-0.5*(($A544-'Control Room'!$A$15-('Control Room'!$B$15-1)/2)/MAX(0.5,'Control Room'!$B$15/4))^2),1)*IF(AND($A544&gt;='Control Room'!$A$16,$A544&lt;'Control Room'!$A$16+'Control Room'!$B$16,'Process'!BN5=1),1+('Control Room'!$C$16-1)*EXP(-0.5*(($A544-'Control Room'!$A$16-('Control Room'!$B$16-1)/2)/MAX(0.5,'Control Room'!$B$16/4))^2),1)</x:f>
        <x:v>1</x:v>
      </x:c>
      <x:c r="V544" s="9" t="n">
        <x:f>MOD(W543*16807,2147483647)</x:f>
        <x:v>2111698563</x:v>
      </x:c>
      <x:c r="W544" s="9" t="n">
        <x:f>MOD(V544*16807,2147483647)</x:f>
        <x:v>2002998019</x:v>
      </x:c>
      <x:c r="X544" s="17" t="n">
        <x:f>IF('Control Room'!$B$5="Normal",'Control Room'!$B$7+'Control Room'!$D$7*SQRT(-2*LN(MAX(0.000000000001,V544/2147483647)))*COS(2*PI()*W544/2147483647),'Control Room'!$B$8+('Control Room'!$D$8-'Control Room'!$B$8)*V544/2147483647)</x:f>
        <x:v>1015.0468293406561</x:v>
      </x:c>
      <x:c r="Y544" s="17" t="n">
        <x:f>IF('Control Room'!$B$5="Normal",'Control Room'!$B$7,('Control Room'!$B$8+'Control Room'!$D$8)/2)+'Control Room'!$B$9*(Y543-IF('Control Room'!$B$5="Normal",'Control Room'!$B$7,('Control Room'!$B$8+'Control Room'!$D$8)/2))+SQRT(1-'Control Room'!$B$9^2)*(X544-IF('Control Room'!$B$5="Normal",'Control Room'!$B$7,('Control Room'!$B$8+'Control Room'!$D$8)/2))</x:f>
        <x:v>1036.98969642356</x:v>
      </x:c>
      <x:c r="Z544" s="17" t="n">
        <x:f>IF(AND($A544&gt;='Control Room'!$A$13,$A544&lt;'Control Room'!$A$13+'Control Room'!$B$13,'Process'!BO2=1),1+('Control Room'!$C$13-1)*EXP(-0.5*(($A544-'Control Room'!$A$13-('Control Room'!$B$13-1)/2)/MAX(0.5,'Control Room'!$B$13/4))^2),1)*IF(AND($A544&gt;='Control Room'!$A$14,$A544&lt;'Control Room'!$A$14+'Control Room'!$B$14,'Process'!BO3=1),1+('Control Room'!$C$14-1)*EXP(-0.5*(($A544-'Control Room'!$A$14-('Control Room'!$B$14-1)/2)/MAX(0.5,'Control Room'!$B$14/4))^2),1)*IF(AND($A544&gt;='Control Room'!$A$15,$A544&lt;'Control Room'!$A$15+'Control Room'!$B$15,'Process'!BO4=1),1+('Control Room'!$C$15-1)*EXP(-0.5*(($A544-'Control Room'!$A$15-('Control Room'!$B$15-1)/2)/MAX(0.5,'Control Room'!$B$15/4))^2),1)*IF(AND($A544&gt;='Control Room'!$A$16,$A544&lt;'Control Room'!$A$16+'Control Room'!$B$16,'Process'!BO5=1),1+('Control Room'!$C$16-1)*EXP(-0.5*(($A544-'Control Room'!$A$16-('Control Room'!$B$16-1)/2)/MAX(0.5,'Control Room'!$B$16/4))^2),1)</x:f>
        <x:v>1</x:v>
      </x:c>
      <x:c r="AA544" s="9" t="n">
        <x:f>MOD(AB543*16807,2147483647)</x:f>
        <x:v>1784285597</x:v>
      </x:c>
      <x:c r="AB544" s="9" t="n">
        <x:f>MOD(AA544*16807,2147483647)</x:f>
        <x:v>1026382071</x:v>
      </x:c>
      <x:c r="AC544" s="17" t="n">
        <x:f>IF('Control Room'!$B$5="Normal",'Control Room'!$B$7+'Control Room'!$D$7*SQRT(-2*LN(MAX(0.000000000001,AA544/2147483647)))*COS(2*PI()*AB544/2147483647),'Control Room'!$B$8+('Control Room'!$D$8-'Control Room'!$B$8)*AA544/2147483647)</x:f>
        <x:v>945.739050484826</x:v>
      </x:c>
      <x:c r="AD544" s="17" t="n">
        <x:f>IF('Control Room'!$B$5="Normal",'Control Room'!$B$7,('Control Room'!$B$8+'Control Room'!$D$8)/2)+'Control Room'!$B$9*(AD543-IF('Control Room'!$B$5="Normal",'Control Room'!$B$7,('Control Room'!$B$8+'Control Room'!$D$8)/2))+SQRT(1-'Control Room'!$B$9^2)*(AC544-IF('Control Room'!$B$5="Normal",'Control Room'!$B$7,('Control Room'!$B$8+'Control Room'!$D$8)/2))</x:f>
        <x:v>993.5976676351967</x:v>
      </x:c>
      <x:c r="AE544" s="17" t="n">
        <x:f>IF(AND($A544&gt;='Control Room'!$A$13,$A544&lt;'Control Room'!$A$13+'Control Room'!$B$13,'Process'!BP2=1),1+('Control Room'!$C$13-1)*EXP(-0.5*(($A544-'Control Room'!$A$13-('Control Room'!$B$13-1)/2)/MAX(0.5,'Control Room'!$B$13/4))^2),1)*IF(AND($A544&gt;='Control Room'!$A$14,$A544&lt;'Control Room'!$A$14+'Control Room'!$B$14,'Process'!BP3=1),1+('Control Room'!$C$14-1)*EXP(-0.5*(($A544-'Control Room'!$A$14-('Control Room'!$B$14-1)/2)/MAX(0.5,'Control Room'!$B$14/4))^2),1)*IF(AND($A544&gt;='Control Room'!$A$15,$A544&lt;'Control Room'!$A$15+'Control Room'!$B$15,'Process'!BP4=1),1+('Control Room'!$C$15-1)*EXP(-0.5*(($A544-'Control Room'!$A$15-('Control Room'!$B$15-1)/2)/MAX(0.5,'Control Room'!$B$15/4))^2),1)*IF(AND($A544&gt;='Control Room'!$A$16,$A544&lt;'Control Room'!$A$16+'Control Room'!$B$16,'Process'!BP5=1),1+('Control Room'!$C$16-1)*EXP(-0.5*(($A544-'Control Room'!$A$16-('Control Room'!$B$16-1)/2)/MAX(0.5,'Control Room'!$B$16/4))^2),1)</x:f>
        <x:v>1</x:v>
      </x:c>
      <x:c r="AF544" s="9" t="n">
        <x:f>MOD(AG543*16807,2147483647)</x:f>
        <x:v>1456872631</x:v>
      </x:c>
      <x:c r="AG544" s="9" t="n">
        <x:f>MOD(AF544*16807,2147483647)</x:f>
        <x:v>49766123</x:v>
      </x:c>
      <x:c r="AH544" s="17" t="n">
        <x:f>IF('Control Room'!$B$5="Normal",'Control Room'!$B$7+'Control Room'!$D$7*SQRT(-2*LN(MAX(0.000000000001,AF544/2147483647)))*COS(2*PI()*AG544/2147483647),'Control Room'!$B$8+('Control Room'!$D$8-'Control Room'!$B$8)*AF544/2147483647)</x:f>
        <x:v>1078.4432821030432</x:v>
      </x:c>
      <x:c r="AI544" s="17" t="n">
        <x:f>IF('Control Room'!$B$5="Normal",'Control Room'!$B$7,('Control Room'!$B$8+'Control Room'!$D$8)/2)+'Control Room'!$B$9*(AI543-IF('Control Room'!$B$5="Normal",'Control Room'!$B$7,('Control Room'!$B$8+'Control Room'!$D$8)/2))+SQRT(1-'Control Room'!$B$9^2)*(AH544-IF('Control Room'!$B$5="Normal",'Control Room'!$B$7,('Control Room'!$B$8+'Control Room'!$D$8)/2))</x:f>
        <x:v>924.2743396366002</x:v>
      </x:c>
      <x:c r="AJ544" s="17" t="n">
        <x:f>IF(AND($A544&gt;='Control Room'!$A$13,$A544&lt;'Control Room'!$A$13+'Control Room'!$B$13,'Process'!BQ2=1),1+('Control Room'!$C$13-1)*EXP(-0.5*(($A544-'Control Room'!$A$13-('Control Room'!$B$13-1)/2)/MAX(0.5,'Control Room'!$B$13/4))^2),1)*IF(AND($A544&gt;='Control Room'!$A$14,$A544&lt;'Control Room'!$A$14+'Control Room'!$B$14,'Process'!BQ3=1),1+('Control Room'!$C$14-1)*EXP(-0.5*(($A544-'Control Room'!$A$14-('Control Room'!$B$14-1)/2)/MAX(0.5,'Control Room'!$B$14/4))^2),1)*IF(AND($A544&gt;='Control Room'!$A$15,$A544&lt;'Control Room'!$A$15+'Control Room'!$B$15,'Process'!BQ4=1),1+('Control Room'!$C$15-1)*EXP(-0.5*(($A544-'Control Room'!$A$15-('Control Room'!$B$15-1)/2)/MAX(0.5,'Control Room'!$B$15/4))^2),1)*IF(AND($A544&gt;='Control Room'!$A$16,$A544&lt;'Control Room'!$A$16+'Control Room'!$B$16,'Process'!BQ5=1),1+('Control Room'!$C$16-1)*EXP(-0.5*(($A544-'Control Room'!$A$16-('Control Room'!$B$16-1)/2)/MAX(0.5,'Control Room'!$B$16/4))^2),1)</x:f>
        <x:v>1</x:v>
      </x:c>
      <x:c r="AK544" s="9" t="n">
        <x:f>MOD(AL543*16807,2147483647)</x:f>
        <x:v>1129459665</x:v>
      </x:c>
      <x:c r="AL544" s="9" t="n">
        <x:f>MOD(AK544*16807,2147483647)</x:f>
        <x:v>1220633822</x:v>
      </x:c>
      <x:c r="AM544" s="17" t="n">
        <x:f>IF('Control Room'!$B$5="Normal",'Control Room'!$B$7+'Control Room'!$D$7*SQRT(-2*LN(MAX(0.000000000001,AK544/2147483647)))*COS(2*PI()*AL544/2147483647),'Control Room'!$B$8+('Control Room'!$D$8-'Control Room'!$B$8)*AK544/2147483647)</x:f>
        <x:v>907.2520285525867</x:v>
      </x:c>
      <x:c r="AN544" s="17" t="n">
        <x:f>IF('Control Room'!$B$5="Normal",'Control Room'!$B$7,('Control Room'!$B$8+'Control Room'!$D$8)/2)+'Control Room'!$B$9*(AN543-IF('Control Room'!$B$5="Normal",'Control Room'!$B$7,('Control Room'!$B$8+'Control Room'!$D$8)/2))+SQRT(1-'Control Room'!$B$9^2)*(AM544-IF('Control Room'!$B$5="Normal",'Control Room'!$B$7,('Control Room'!$B$8+'Control Room'!$D$8)/2))</x:f>
        <x:v>978.1080540440267</x:v>
      </x:c>
      <x:c r="AO544" s="17" t="n">
        <x:f>IF(AND($A544&gt;='Control Room'!$A$13,$A544&lt;'Control Room'!$A$13+'Control Room'!$B$13,'Process'!BR2=1),1+('Control Room'!$C$13-1)*EXP(-0.5*(($A544-'Control Room'!$A$13-('Control Room'!$B$13-1)/2)/MAX(0.5,'Control Room'!$B$13/4))^2),1)*IF(AND($A544&gt;='Control Room'!$A$14,$A544&lt;'Control Room'!$A$14+'Control Room'!$B$14,'Process'!BR3=1),1+('Control Room'!$C$14-1)*EXP(-0.5*(($A544-'Control Room'!$A$14-('Control Room'!$B$14-1)/2)/MAX(0.5,'Control Room'!$B$14/4))^2),1)*IF(AND($A544&gt;='Control Room'!$A$15,$A544&lt;'Control Room'!$A$15+'Control Room'!$B$15,'Process'!BR4=1),1+('Control Room'!$C$15-1)*EXP(-0.5*(($A544-'Control Room'!$A$15-('Control Room'!$B$15-1)/2)/MAX(0.5,'Control Room'!$B$15/4))^2),1)*IF(AND($A544&gt;='Control Room'!$A$16,$A544&lt;'Control Room'!$A$16+'Control Room'!$B$16,'Process'!BR5=1),1+('Control Room'!$C$16-1)*EXP(-0.5*(($A544-'Control Room'!$A$16-('Control Room'!$B$16-1)/2)/MAX(0.5,'Control Room'!$B$16/4))^2),1)</x:f>
        <x:v>1</x:v>
      </x:c>
      <x:c r="AP544" s="9" t="n">
        <x:f>MOD(AQ543*16807,2147483647)</x:f>
        <x:v>802046699</x:v>
      </x:c>
      <x:c r="AQ544" s="9" t="n">
        <x:f>MOD(AP544*16807,2147483647)</x:f>
        <x:v>244017874</x:v>
      </x:c>
      <x:c r="AR544" s="17" t="n">
        <x:f>IF('Control Room'!$B$5="Normal",'Control Room'!$B$7+'Control Room'!$D$7*SQRT(-2*LN(MAX(0.000000000001,AP544/2147483647)))*COS(2*PI()*AQ544/2147483647),'Control Room'!$B$8+('Control Room'!$D$8-'Control Room'!$B$8)*AP544/2147483647)</x:f>
        <x:v>1095.4649685896004</x:v>
      </x:c>
      <x:c r="AS544" s="17" t="n">
        <x:f>IF('Control Room'!$B$5="Normal",'Control Room'!$B$7,('Control Room'!$B$8+'Control Room'!$D$8)/2)+'Control Room'!$B$9*(AS543-IF('Control Room'!$B$5="Normal",'Control Room'!$B$7,('Control Room'!$B$8+'Control Room'!$D$8)/2))+SQRT(1-'Control Room'!$B$9^2)*(AR544-IF('Control Room'!$B$5="Normal",'Control Room'!$B$7,('Control Room'!$B$8+'Control Room'!$D$8)/2))</x:f>
        <x:v>1082.0185669314048</x:v>
      </x:c>
      <x:c r="AT544" s="17" t="n">
        <x:f>IF(AND($A544&gt;='Control Room'!$A$13,$A544&lt;'Control Room'!$A$13+'Control Room'!$B$13,'Process'!BS2=1),1+('Control Room'!$C$13-1)*EXP(-0.5*(($A544-'Control Room'!$A$13-('Control Room'!$B$13-1)/2)/MAX(0.5,'Control Room'!$B$13/4))^2),1)*IF(AND($A544&gt;='Control Room'!$A$14,$A544&lt;'Control Room'!$A$14+'Control Room'!$B$14,'Process'!BS3=1),1+('Control Room'!$C$14-1)*EXP(-0.5*(($A544-'Control Room'!$A$14-('Control Room'!$B$14-1)/2)/MAX(0.5,'Control Room'!$B$14/4))^2),1)*IF(AND($A544&gt;='Control Room'!$A$15,$A544&lt;'Control Room'!$A$15+'Control Room'!$B$15,'Process'!BS4=1),1+('Control Room'!$C$15-1)*EXP(-0.5*(($A544-'Control Room'!$A$15-('Control Room'!$B$15-1)/2)/MAX(0.5,'Control Room'!$B$15/4))^2),1)*IF(AND($A544&gt;='Control Room'!$A$16,$A544&lt;'Control Room'!$A$16+'Control Room'!$B$16,'Process'!BS5=1),1+('Control Room'!$C$16-1)*EXP(-0.5*(($A544-'Control Room'!$A$16-('Control Room'!$B$16-1)/2)/MAX(0.5,'Control Room'!$B$16/4))^2),1)</x:f>
        <x:v>1</x:v>
      </x:c>
      <x:c r="AU544" s="9" t="n">
        <x:f>MOD(AV543*16807,2147483647)</x:f>
        <x:v>474633733</x:v>
      </x:c>
      <x:c r="AV544" s="9" t="n">
        <x:f>MOD(AU544*16807,2147483647)</x:f>
        <x:v>1414885573</x:v>
      </x:c>
      <x:c r="AW544" s="17" t="n">
        <x:f>IF('Control Room'!$B$5="Normal",'Control Room'!$B$7+'Control Room'!$D$7*SQRT(-2*LN(MAX(0.000000000001,AU544/2147483647)))*COS(2*PI()*AV544/2147483647),'Control Room'!$B$8+('Control Room'!$D$8-'Control Room'!$B$8)*AU544/2147483647)</x:f>
        <x:v>915.2628475001782</x:v>
      </x:c>
      <x:c r="AX544" s="17" t="n">
        <x:f>IF('Control Room'!$B$5="Normal",'Control Room'!$B$7,('Control Room'!$B$8+'Control Room'!$D$8)/2)+'Control Room'!$B$9*(AX543-IF('Control Room'!$B$5="Normal",'Control Room'!$B$7,('Control Room'!$B$8+'Control Room'!$D$8)/2))+SQRT(1-'Control Room'!$B$9^2)*(AW544-IF('Control Room'!$B$5="Normal",'Control Room'!$B$7,('Control Room'!$B$8+'Control Room'!$D$8)/2))</x:f>
        <x:v>1067.7255121488417</x:v>
      </x:c>
      <x:c r="AY544" s="17" t="n">
        <x:f>IF(AND($A544&gt;='Control Room'!$A$13,$A544&lt;'Control Room'!$A$13+'Control Room'!$B$13,'Process'!BT2=1),1+('Control Room'!$C$13-1)*EXP(-0.5*(($A544-'Control Room'!$A$13-('Control Room'!$B$13-1)/2)/MAX(0.5,'Control Room'!$B$13/4))^2),1)*IF(AND($A544&gt;='Control Room'!$A$14,$A544&lt;'Control Room'!$A$14+'Control Room'!$B$14,'Process'!BT3=1),1+('Control Room'!$C$14-1)*EXP(-0.5*(($A544-'Control Room'!$A$14-('Control Room'!$B$14-1)/2)/MAX(0.5,'Control Room'!$B$14/4))^2),1)*IF(AND($A544&gt;='Control Room'!$A$15,$A544&lt;'Control Room'!$A$15+'Control Room'!$B$15,'Process'!BT4=1),1+('Control Room'!$C$15-1)*EXP(-0.5*(($A544-'Control Room'!$A$15-('Control Room'!$B$15-1)/2)/MAX(0.5,'Control Room'!$B$15/4))^2),1)*IF(AND($A544&gt;='Control Room'!$A$16,$A544&lt;'Control Room'!$A$16+'Control Room'!$B$16,'Process'!BT5=1),1+('Control Room'!$C$16-1)*EXP(-0.5*(($A544-'Control Room'!$A$16-('Control Room'!$B$16-1)/2)/MAX(0.5,'Control Room'!$B$16/4))^2),1)</x:f>
        <x:v>1</x:v>
      </x:c>
      <x:c r="AZ544" s="9" t="n">
        <x:f>MOD(BA543*16807,2147483647)</x:f>
        <x:v>147220767</x:v>
      </x:c>
      <x:c r="BA544" s="9" t="n">
        <x:f>MOD(AZ544*16807,2147483647)</x:f>
        <x:v>438269625</x:v>
      </x:c>
      <x:c r="BB544" s="17" t="n">
        <x:f>IF('Control Room'!$B$5="Normal",'Control Room'!$B$7+'Control Room'!$D$7*SQRT(-2*LN(MAX(0.000000000001,AZ544/2147483647)))*COS(2*PI()*BA544/2147483647),'Control Room'!$B$8+('Control Room'!$D$8-'Control Room'!$B$8)*AZ544/2147483647)</x:f>
        <x:v>1059.282447705782</x:v>
      </x:c>
      <x:c r="BC544" s="17" t="n">
        <x:f>IF('Control Room'!$B$5="Normal",'Control Room'!$B$7,('Control Room'!$B$8+'Control Room'!$D$8)/2)+'Control Room'!$B$9*(BC543-IF('Control Room'!$B$5="Normal",'Control Room'!$B$7,('Control Room'!$B$8+'Control Room'!$D$8)/2))+SQRT(1-'Control Room'!$B$9^2)*(BB544-IF('Control Room'!$B$5="Normal",'Control Room'!$B$7,('Control Room'!$B$8+'Control Room'!$D$8)/2))</x:f>
        <x:v>923.3977362174694</x:v>
      </x:c>
      <x:c r="BD544" s="17" t="n">
        <x:f>IF(AND($A544&gt;='Control Room'!$A$13,$A544&lt;'Control Room'!$A$13+'Control Room'!$B$13,'Process'!BU2=1),1+('Control Room'!$C$13-1)*EXP(-0.5*(($A544-'Control Room'!$A$13-('Control Room'!$B$13-1)/2)/MAX(0.5,'Control Room'!$B$13/4))^2),1)*IF(AND($A544&gt;='Control Room'!$A$14,$A544&lt;'Control Room'!$A$14+'Control Room'!$B$14,'Process'!BU3=1),1+('Control Room'!$C$14-1)*EXP(-0.5*(($A544-'Control Room'!$A$14-('Control Room'!$B$14-1)/2)/MAX(0.5,'Control Room'!$B$14/4))^2),1)*IF(AND($A544&gt;='Control Room'!$A$15,$A544&lt;'Control Room'!$A$15+'Control Room'!$B$15,'Process'!BU4=1),1+('Control Room'!$C$15-1)*EXP(-0.5*(($A544-'Control Room'!$A$15-('Control Room'!$B$15-1)/2)/MAX(0.5,'Control Room'!$B$15/4))^2),1)*IF(AND($A544&gt;='Control Room'!$A$16,$A544&lt;'Control Room'!$A$16+'Control Room'!$B$16,'Process'!BU5=1),1+('Control Room'!$C$16-1)*EXP(-0.5*(($A544-'Control Room'!$A$16-('Control Room'!$B$16-1)/2)/MAX(0.5,'Control Room'!$B$16/4))^2),1)</x:f>
        <x:v>1</x:v>
      </x:c>
      <x:c r="BE544" s="9" t="n">
        <x:f>MOD(BF543*16807,2147483647)</x:f>
        <x:v>1967291448</x:v>
      </x:c>
      <x:c r="BF544" s="9" t="n">
        <x:f>MOD(BE544*16807,2147483647)</x:f>
        <x:v>1609137324</x:v>
      </x:c>
      <x:c r="BG544" s="17" t="n">
        <x:f>IF('Control Room'!$B$5="Normal",'Control Room'!$B$7+'Control Room'!$D$7*SQRT(-2*LN(MAX(0.000000000001,BE544/2147483647)))*COS(2*PI()*BF544/2147483647),'Control Room'!$B$8+('Control Room'!$D$8-'Control Room'!$B$8)*BE544/2147483647)</x:f>
        <x:v>999.8373447392603</x:v>
      </x:c>
      <x:c r="BH544" s="17" t="n">
        <x:f>IF('Control Room'!$B$5="Normal",'Control Room'!$B$7,('Control Room'!$B$8+'Control Room'!$D$8)/2)+'Control Room'!$B$9*(BH543-IF('Control Room'!$B$5="Normal",'Control Room'!$B$7,('Control Room'!$B$8+'Control Room'!$D$8)/2))+SQRT(1-'Control Room'!$B$9^2)*(BG544-IF('Control Room'!$B$5="Normal",'Control Room'!$B$7,('Control Room'!$B$8+'Control Room'!$D$8)/2))</x:f>
        <x:v>1022.1782689822029</x:v>
      </x:c>
      <x:c r="BI544" s="17" t="n">
        <x:f>IF(AND($A544&gt;='Control Room'!$A$13,$A544&lt;'Control Room'!$A$13+'Control Room'!$B$13,'Process'!BV2=1),1+('Control Room'!$C$13-1)*EXP(-0.5*(($A544-'Control Room'!$A$13-('Control Room'!$B$13-1)/2)/MAX(0.5,'Control Room'!$B$13/4))^2),1)*IF(AND($A544&gt;='Control Room'!$A$14,$A544&lt;'Control Room'!$A$14+'Control Room'!$B$14,'Process'!BV3=1),1+('Control Room'!$C$14-1)*EXP(-0.5*(($A544-'Control Room'!$A$14-('Control Room'!$B$14-1)/2)/MAX(0.5,'Control Room'!$B$14/4))^2),1)*IF(AND($A544&gt;='Control Room'!$A$15,$A544&lt;'Control Room'!$A$15+'Control Room'!$B$15,'Process'!BV4=1),1+('Control Room'!$C$15-1)*EXP(-0.5*(($A544-'Control Room'!$A$15-('Control Room'!$B$15-1)/2)/MAX(0.5,'Control Room'!$B$15/4))^2),1)*IF(AND($A544&gt;='Control Room'!$A$16,$A544&lt;'Control Room'!$A$16+'Control Room'!$B$16,'Process'!BV5=1),1+('Control Room'!$C$16-1)*EXP(-0.5*(($A544-'Control Room'!$A$16-('Control Room'!$B$16-1)/2)/MAX(0.5,'Control Room'!$B$16/4))^2),1)</x:f>
        <x:v>1</x:v>
      </x:c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Z544" t="str">
        <x:f>IF('Data'!A544="","",TEXT('Data'!A544,"mm-dd"))</x:f>
      </x:c>
    </x:row>
    <x:row r="545" ht="21" customHeight="1">
      <x:c r="A545" s="15" t="n">
        <x:f>'Control Room'!$B$1+543</x:f>
        <x:v>73534</x:v>
      </x:c>
      <x:c r="B545" s="9" t="n">
        <x:f>MOD(C544*16807,2147483647)</x:f>
        <x:v>1353467374</x:v>
      </x:c>
      <x:c r="C545" s="9" t="n">
        <x:f>MOD(B545*16807,2147483647)</x:f>
        <x:v>1579365794</x:v>
      </x:c>
      <x:c r="D545" s="17" t="n">
        <x:f>IF('Control Room'!$B$5="Normal",'Control Room'!$B$7+'Control Room'!$D$7*SQRT(-2*LN(MAX(0.000000000001,B545/2147483647)))*COS(2*PI()*C545/2147483647),'Control Room'!$B$8+('Control Room'!$D$8-'Control Room'!$B$8)*B545/2147483647)</x:f>
        <x:v>992.1049391751753</x:v>
      </x:c>
      <x:c r="E545" s="17" t="n">
        <x:f>IF('Control Room'!$B$5="Normal",'Control Room'!$B$7,('Control Room'!$B$8+'Control Room'!$D$8)/2)+'Control Room'!$B$9*(E544-IF('Control Room'!$B$5="Normal",'Control Room'!$B$7,('Control Room'!$B$8+'Control Room'!$D$8)/2))+SQRT(1-'Control Room'!$B$9^2)*(D545-IF('Control Room'!$B$5="Normal",'Control Room'!$B$7,('Control Room'!$B$8+'Control Room'!$D$8)/2))</x:f>
        <x:v>1004.1563454992398</x:v>
      </x:c>
      <x:c r="F545" s="17" t="n">
        <x:f>IF(AND($A545&gt;='Control Room'!$A$13,$A545&lt;'Control Room'!$A$13+'Control Room'!$B$13,'Process'!BK2=1),1+('Control Room'!$C$13-1)*EXP(-0.5*(($A545-'Control Room'!$A$13-('Control Room'!$B$13-1)/2)/MAX(0.5,'Control Room'!$B$13/4))^2),1)*IF(AND($A545&gt;='Control Room'!$A$14,$A545&lt;'Control Room'!$A$14+'Control Room'!$B$14,'Process'!BK3=1),1+('Control Room'!$C$14-1)*EXP(-0.5*(($A545-'Control Room'!$A$14-('Control Room'!$B$14-1)/2)/MAX(0.5,'Control Room'!$B$14/4))^2),1)*IF(AND($A545&gt;='Control Room'!$A$15,$A545&lt;'Control Room'!$A$15+'Control Room'!$B$15,'Process'!BK4=1),1+('Control Room'!$C$15-1)*EXP(-0.5*(($A545-'Control Room'!$A$15-('Control Room'!$B$15-1)/2)/MAX(0.5,'Control Room'!$B$15/4))^2),1)*IF(AND($A545&gt;='Control Room'!$A$16,$A545&lt;'Control Room'!$A$16+'Control Room'!$B$16,'Process'!BK5=1),1+('Control Room'!$C$16-1)*EXP(-0.5*(($A545-'Control Room'!$A$16-('Control Room'!$B$16-1)/2)/MAX(0.5,'Control Room'!$B$16/4))^2),1)</x:f>
        <x:v>1</x:v>
      </x:c>
      <x:c r="G545" s="9" t="n">
        <x:f>MOD(H544*16807,2147483647)</x:f>
        <x:v>586743359</x:v>
      </x:c>
      <x:c r="H545" s="9" t="n">
        <x:f>MOD(G545*16807,2147483647)</x:f>
        <x:v>150727689</x:v>
      </x:c>
      <x:c r="I545" s="17" t="n">
        <x:f>IF('Control Room'!$B$5="Normal",'Control Room'!$B$7+'Control Room'!$D$7*SQRT(-2*LN(MAX(0.000000000001,G545/2147483647)))*COS(2*PI()*H545/2147483647),'Control Room'!$B$8+('Control Room'!$D$8-'Control Room'!$B$8)*G545/2147483647)</x:f>
        <x:v>1131.1079398771822</x:v>
      </x:c>
      <x:c r="J545" s="17" t="n">
        <x:f>IF('Control Room'!$B$5="Normal",'Control Room'!$B$7,('Control Room'!$B$8+'Control Room'!$D$8)/2)+'Control Room'!$B$9*(J544-IF('Control Room'!$B$5="Normal",'Control Room'!$B$7,('Control Room'!$B$8+'Control Room'!$D$8)/2))+SQRT(1-'Control Room'!$B$9^2)*(I545-IF('Control Room'!$B$5="Normal",'Control Room'!$B$7,('Control Room'!$B$8+'Control Room'!$D$8)/2))</x:f>
        <x:v>1012.8797737503746</x:v>
      </x:c>
      <x:c r="K545" s="17" t="n">
        <x:f>IF(AND($A545&gt;='Control Room'!$A$13,$A545&lt;'Control Room'!$A$13+'Control Room'!$B$13,'Process'!BL2=1),1+('Control Room'!$C$13-1)*EXP(-0.5*(($A545-'Control Room'!$A$13-('Control Room'!$B$13-1)/2)/MAX(0.5,'Control Room'!$B$13/4))^2),1)*IF(AND($A545&gt;='Control Room'!$A$14,$A545&lt;'Control Room'!$A$14+'Control Room'!$B$14,'Process'!BL3=1),1+('Control Room'!$C$14-1)*EXP(-0.5*(($A545-'Control Room'!$A$14-('Control Room'!$B$14-1)/2)/MAX(0.5,'Control Room'!$B$14/4))^2),1)*IF(AND($A545&gt;='Control Room'!$A$15,$A545&lt;'Control Room'!$A$15+'Control Room'!$B$15,'Process'!BL4=1),1+('Control Room'!$C$15-1)*EXP(-0.5*(($A545-'Control Room'!$A$15-('Control Room'!$B$15-1)/2)/MAX(0.5,'Control Room'!$B$15/4))^2),1)*IF(AND($A545&gt;='Control Room'!$A$16,$A545&lt;'Control Room'!$A$16+'Control Room'!$B$16,'Process'!BL5=1),1+('Control Room'!$C$16-1)*EXP(-0.5*(($A545-'Control Room'!$A$16-('Control Room'!$B$16-1)/2)/MAX(0.5,'Control Room'!$B$16/4))^2),1)</x:f>
        <x:v>1</x:v>
      </x:c>
      <x:c r="L545" s="9" t="n">
        <x:f>MOD(M544*16807,2147483647)</x:f>
        <x:v>1967502991</x:v>
      </x:c>
      <x:c r="M545" s="9" t="n">
        <x:f>MOD(L545*16807,2147483647)</x:f>
        <x:v>869573231</x:v>
      </x:c>
      <x:c r="N545" s="17" t="n">
        <x:f>IF('Control Room'!$B$5="Normal",'Control Room'!$B$7+'Control Room'!$D$7*SQRT(-2*LN(MAX(0.000000000001,L545/2147483647)))*COS(2*PI()*M545/2147483647),'Control Room'!$B$8+('Control Room'!$D$8-'Control Room'!$B$8)*L545/2147483647)</x:f>
        <x:v>968.8648181957079</x:v>
      </x:c>
      <x:c r="O545" s="17" t="n">
        <x:f>IF('Control Room'!$B$5="Normal",'Control Room'!$B$7,('Control Room'!$B$8+'Control Room'!$D$8)/2)+'Control Room'!$B$9*(O544-IF('Control Room'!$B$5="Normal",'Control Room'!$B$7,('Control Room'!$B$8+'Control Room'!$D$8)/2))+SQRT(1-'Control Room'!$B$9^2)*(N545-IF('Control Room'!$B$5="Normal",'Control Room'!$B$7,('Control Room'!$B$8+'Control Room'!$D$8)/2))</x:f>
        <x:v>1020.058365041702</x:v>
      </x:c>
      <x:c r="P545" s="17" t="n">
        <x:f>IF(AND($A545&gt;='Control Room'!$A$13,$A545&lt;'Control Room'!$A$13+'Control Room'!$B$13,'Process'!BM2=1),1+('Control Room'!$C$13-1)*EXP(-0.5*(($A545-'Control Room'!$A$13-('Control Room'!$B$13-1)/2)/MAX(0.5,'Control Room'!$B$13/4))^2),1)*IF(AND($A545&gt;='Control Room'!$A$14,$A545&lt;'Control Room'!$A$14+'Control Room'!$B$14,'Process'!BM3=1),1+('Control Room'!$C$14-1)*EXP(-0.5*(($A545-'Control Room'!$A$14-('Control Room'!$B$14-1)/2)/MAX(0.5,'Control Room'!$B$14/4))^2),1)*IF(AND($A545&gt;='Control Room'!$A$15,$A545&lt;'Control Room'!$A$15+'Control Room'!$B$15,'Process'!BM4=1),1+('Control Room'!$C$15-1)*EXP(-0.5*(($A545-'Control Room'!$A$15-('Control Room'!$B$15-1)/2)/MAX(0.5,'Control Room'!$B$15/4))^2),1)*IF(AND($A545&gt;='Control Room'!$A$16,$A545&lt;'Control Room'!$A$16+'Control Room'!$B$16,'Process'!BM5=1),1+('Control Room'!$C$16-1)*EXP(-0.5*(($A545-'Control Room'!$A$16-('Control Room'!$B$16-1)/2)/MAX(0.5,'Control Room'!$B$16/4))^2),1)</x:f>
        <x:v>1</x:v>
      </x:c>
      <x:c r="Q545" s="9" t="n">
        <x:f>MOD(R544*16807,2147483647)</x:f>
        <x:v>1200778976</x:v>
      </x:c>
      <x:c r="R545" s="9" t="n">
        <x:f>MOD(Q545*16807,2147483647)</x:f>
        <x:v>1588418773</x:v>
      </x:c>
      <x:c r="S545" s="17" t="n">
        <x:f>IF('Control Room'!$B$5="Normal",'Control Room'!$B$7+'Control Room'!$D$7*SQRT(-2*LN(MAX(0.000000000001,Q545/2147483647)))*COS(2*PI()*R545/2147483647),'Control Room'!$B$8+('Control Room'!$D$8-'Control Room'!$B$8)*Q545/2147483647)</x:f>
        <x:v>993.7028060290033</x:v>
      </x:c>
      <x:c r="T545" s="17" t="n">
        <x:f>IF('Control Room'!$B$5="Normal",'Control Room'!$B$7,('Control Room'!$B$8+'Control Room'!$D$8)/2)+'Control Room'!$B$9*(T544-IF('Control Room'!$B$5="Normal",'Control Room'!$B$7,('Control Room'!$B$8+'Control Room'!$D$8)/2))+SQRT(1-'Control Room'!$B$9^2)*(S545-IF('Control Room'!$B$5="Normal",'Control Room'!$B$7,('Control Room'!$B$8+'Control Room'!$D$8)/2))</x:f>
        <x:v>938.7710006902242</x:v>
      </x:c>
      <x:c r="U545" s="17" t="n">
        <x:f>IF(AND($A545&gt;='Control Room'!$A$13,$A545&lt;'Control Room'!$A$13+'Control Room'!$B$13,'Process'!BN2=1),1+('Control Room'!$C$13-1)*EXP(-0.5*(($A545-'Control Room'!$A$13-('Control Room'!$B$13-1)/2)/MAX(0.5,'Control Room'!$B$13/4))^2),1)*IF(AND($A545&gt;='Control Room'!$A$14,$A545&lt;'Control Room'!$A$14+'Control Room'!$B$14,'Process'!BN3=1),1+('Control Room'!$C$14-1)*EXP(-0.5*(($A545-'Control Room'!$A$14-('Control Room'!$B$14-1)/2)/MAX(0.5,'Control Room'!$B$14/4))^2),1)*IF(AND($A545&gt;='Control Room'!$A$15,$A545&lt;'Control Room'!$A$15+'Control Room'!$B$15,'Process'!BN4=1),1+('Control Room'!$C$15-1)*EXP(-0.5*(($A545-'Control Room'!$A$15-('Control Room'!$B$15-1)/2)/MAX(0.5,'Control Room'!$B$15/4))^2),1)*IF(AND($A545&gt;='Control Room'!$A$16,$A545&lt;'Control Room'!$A$16+'Control Room'!$B$16,'Process'!BN5=1),1+('Control Room'!$C$16-1)*EXP(-0.5*(($A545-'Control Room'!$A$16-('Control Room'!$B$16-1)/2)/MAX(0.5,'Control Room'!$B$16/4))^2),1)</x:f>
        <x:v>1</x:v>
      </x:c>
      <x:c r="V545" s="9" t="n">
        <x:f>MOD(W544*16807,2147483647)</x:f>
        <x:v>434054961</x:v>
      </x:c>
      <x:c r="W545" s="9" t="n">
        <x:f>MOD(V545*16807,2147483647)</x:f>
        <x:v>159780668</x:v>
      </x:c>
      <x:c r="X545" s="17" t="n">
        <x:f>IF('Control Room'!$B$5="Normal",'Control Room'!$B$7+'Control Room'!$D$7*SQRT(-2*LN(MAX(0.000000000001,V545/2147483647)))*COS(2*PI()*W545/2147483647),'Control Room'!$B$8+('Control Room'!$D$8-'Control Room'!$B$8)*V545/2147483647)</x:f>
        <x:v>1143.6718640901595</x:v>
      </x:c>
      <x:c r="Y545" s="17" t="n">
        <x:f>IF('Control Room'!$B$5="Normal",'Control Room'!$B$7,('Control Room'!$B$8+'Control Room'!$D$8)/2)+'Control Room'!$B$9*(Y544-IF('Control Room'!$B$5="Normal",'Control Room'!$B$7,('Control Room'!$B$8+'Control Room'!$D$8)/2))+SQRT(1-'Control Room'!$B$9^2)*(X545-IF('Control Room'!$B$5="Normal",'Control Room'!$B$7,('Control Room'!$B$8+'Control Room'!$D$8)/2))</x:f>
        <x:v>1118.7588724798813</x:v>
      </x:c>
      <x:c r="Z545" s="17" t="n">
        <x:f>IF(AND($A545&gt;='Control Room'!$A$13,$A545&lt;'Control Room'!$A$13+'Control Room'!$B$13,'Process'!BO2=1),1+('Control Room'!$C$13-1)*EXP(-0.5*(($A545-'Control Room'!$A$13-('Control Room'!$B$13-1)/2)/MAX(0.5,'Control Room'!$B$13/4))^2),1)*IF(AND($A545&gt;='Control Room'!$A$14,$A545&lt;'Control Room'!$A$14+'Control Room'!$B$14,'Process'!BO3=1),1+('Control Room'!$C$14-1)*EXP(-0.5*(($A545-'Control Room'!$A$14-('Control Room'!$B$14-1)/2)/MAX(0.5,'Control Room'!$B$14/4))^2),1)*IF(AND($A545&gt;='Control Room'!$A$15,$A545&lt;'Control Room'!$A$15+'Control Room'!$B$15,'Process'!BO4=1),1+('Control Room'!$C$15-1)*EXP(-0.5*(($A545-'Control Room'!$A$15-('Control Room'!$B$15-1)/2)/MAX(0.5,'Control Room'!$B$15/4))^2),1)*IF(AND($A545&gt;='Control Room'!$A$16,$A545&lt;'Control Room'!$A$16+'Control Room'!$B$16,'Process'!BO5=1),1+('Control Room'!$C$16-1)*EXP(-0.5*(($A545-'Control Room'!$A$16-('Control Room'!$B$16-1)/2)/MAX(0.5,'Control Room'!$B$16/4))^2),1)</x:f>
        <x:v>1</x:v>
      </x:c>
      <x:c r="AA545" s="9" t="n">
        <x:f>MOD(AB544*16807,2147483647)</x:f>
        <x:v>1814814593</x:v>
      </x:c>
      <x:c r="AB545" s="9" t="n">
        <x:f>MOD(AA545*16807,2147483647)</x:f>
        <x:v>878626210</x:v>
      </x:c>
      <x:c r="AC545" s="17" t="n">
        <x:f>IF('Control Room'!$B$5="Normal",'Control Room'!$B$7+'Control Room'!$D$7*SQRT(-2*LN(MAX(0.000000000001,AA545/2147483647)))*COS(2*PI()*AB545/2147483647),'Control Room'!$B$8+('Control Room'!$D$8-'Control Room'!$B$8)*AA545/2147483647)</x:f>
        <x:v>956.0626605023374</x:v>
      </x:c>
      <x:c r="AD545" s="17" t="n">
        <x:f>IF('Control Room'!$B$5="Normal",'Control Room'!$B$7,('Control Room'!$B$8+'Control Room'!$D$8)/2)+'Control Room'!$B$9*(AD544-IF('Control Room'!$B$5="Normal",'Control Room'!$B$7,('Control Room'!$B$8+'Control Room'!$D$8)/2))+SQRT(1-'Control Room'!$B$9^2)*(AC545-IF('Control Room'!$B$5="Normal",'Control Room'!$B$7,('Control Room'!$B$8+'Control Room'!$D$8)/2))</x:f>
        <x:v>967.5110938031409</x:v>
      </x:c>
      <x:c r="AE545" s="17" t="n">
        <x:f>IF(AND($A545&gt;='Control Room'!$A$13,$A545&lt;'Control Room'!$A$13+'Control Room'!$B$13,'Process'!BP2=1),1+('Control Room'!$C$13-1)*EXP(-0.5*(($A545-'Control Room'!$A$13-('Control Room'!$B$13-1)/2)/MAX(0.5,'Control Room'!$B$13/4))^2),1)*IF(AND($A545&gt;='Control Room'!$A$14,$A545&lt;'Control Room'!$A$14+'Control Room'!$B$14,'Process'!BP3=1),1+('Control Room'!$C$14-1)*EXP(-0.5*(($A545-'Control Room'!$A$14-('Control Room'!$B$14-1)/2)/MAX(0.5,'Control Room'!$B$14/4))^2),1)*IF(AND($A545&gt;='Control Room'!$A$15,$A545&lt;'Control Room'!$A$15+'Control Room'!$B$15,'Process'!BP4=1),1+('Control Room'!$C$15-1)*EXP(-0.5*(($A545-'Control Room'!$A$15-('Control Room'!$B$15-1)/2)/MAX(0.5,'Control Room'!$B$15/4))^2),1)*IF(AND($A545&gt;='Control Room'!$A$16,$A545&lt;'Control Room'!$A$16+'Control Room'!$B$16,'Process'!BP5=1),1+('Control Room'!$C$16-1)*EXP(-0.5*(($A545-'Control Room'!$A$16-('Control Room'!$B$16-1)/2)/MAX(0.5,'Control Room'!$B$16/4))^2),1)</x:f>
        <x:v>1</x:v>
      </x:c>
      <x:c r="AF545" s="9" t="n">
        <x:f>MOD(AG544*16807,2147483647)</x:f>
        <x:v>1048090578</x:v>
      </x:c>
      <x:c r="AG545" s="9" t="n">
        <x:f>MOD(AF545*16807,2147483647)</x:f>
        <x:v>1597471752</x:v>
      </x:c>
      <x:c r="AH545" s="17" t="n">
        <x:f>IF('Control Room'!$B$5="Normal",'Control Room'!$B$7+'Control Room'!$D$7*SQRT(-2*LN(MAX(0.000000000001,AF545/2147483647)))*COS(2*PI()*AG545/2147483647),'Control Room'!$B$8+('Control Room'!$D$8-'Control Room'!$B$8)*AF545/2147483647)</x:f>
        <x:v>995.8563136164639</x:v>
      </x:c>
      <x:c r="AI545" s="17" t="n">
        <x:f>IF('Control Room'!$B$5="Normal",'Control Room'!$B$7,('Control Room'!$B$8+'Control Room'!$D$8)/2)+'Control Room'!$B$9*(AI544-IF('Control Room'!$B$5="Normal",'Control Room'!$B$7,('Control Room'!$B$8+'Control Room'!$D$8)/2))+SQRT(1-'Control Room'!$B$9^2)*(AH545-IF('Control Room'!$B$5="Normal",'Control Room'!$B$7,('Control Room'!$B$8+'Control Room'!$D$8)/2))</x:f>
        <x:v>938.340950865761</x:v>
      </x:c>
      <x:c r="AJ545" s="17" t="n">
        <x:f>IF(AND($A545&gt;='Control Room'!$A$13,$A545&lt;'Control Room'!$A$13+'Control Room'!$B$13,'Process'!BQ2=1),1+('Control Room'!$C$13-1)*EXP(-0.5*(($A545-'Control Room'!$A$13-('Control Room'!$B$13-1)/2)/MAX(0.5,'Control Room'!$B$13/4))^2),1)*IF(AND($A545&gt;='Control Room'!$A$14,$A545&lt;'Control Room'!$A$14+'Control Room'!$B$14,'Process'!BQ3=1),1+('Control Room'!$C$14-1)*EXP(-0.5*(($A545-'Control Room'!$A$14-('Control Room'!$B$14-1)/2)/MAX(0.5,'Control Room'!$B$14/4))^2),1)*IF(AND($A545&gt;='Control Room'!$A$15,$A545&lt;'Control Room'!$A$15+'Control Room'!$B$15,'Process'!BQ4=1),1+('Control Room'!$C$15-1)*EXP(-0.5*(($A545-'Control Room'!$A$15-('Control Room'!$B$15-1)/2)/MAX(0.5,'Control Room'!$B$15/4))^2),1)*IF(AND($A545&gt;='Control Room'!$A$16,$A545&lt;'Control Room'!$A$16+'Control Room'!$B$16,'Process'!BQ5=1),1+('Control Room'!$C$16-1)*EXP(-0.5*(($A545-'Control Room'!$A$16-('Control Room'!$B$16-1)/2)/MAX(0.5,'Control Room'!$B$16/4))^2),1)</x:f>
        <x:v>1</x:v>
      </x:c>
      <x:c r="AK545" s="9" t="n">
        <x:f>MOD(AL544*16807,2147483647)</x:f>
        <x:v>281366563</x:v>
      </x:c>
      <x:c r="AL545" s="9" t="n">
        <x:f>MOD(AK545*16807,2147483647)</x:f>
        <x:v>168833647</x:v>
      </x:c>
      <x:c r="AM545" s="17" t="n">
        <x:f>IF('Control Room'!$B$5="Normal",'Control Room'!$B$7+'Control Room'!$D$7*SQRT(-2*LN(MAX(0.000000000001,AK545/2147483647)))*COS(2*PI()*AL545/2147483647),'Control Room'!$B$8+('Control Room'!$D$8-'Control Room'!$B$8)*AK545/2147483647)</x:f>
        <x:v>1159.7598327322137</x:v>
      </x:c>
      <x:c r="AN545" s="17" t="n">
        <x:f>IF('Control Room'!$B$5="Normal",'Control Room'!$B$7,('Control Room'!$B$8+'Control Room'!$D$8)/2)+'Control Room'!$B$9*(AN544-IF('Control Room'!$B$5="Normal",'Control Room'!$B$7,('Control Room'!$B$8+'Control Room'!$D$8)/2))+SQRT(1-'Control Room'!$B$9^2)*(AM545-IF('Control Room'!$B$5="Normal",'Control Room'!$B$7,('Control Room'!$B$8+'Control Room'!$D$8)/2))</x:f>
        <x:v>1082.898712620091</x:v>
      </x:c>
      <x:c r="AO545" s="17" t="n">
        <x:f>IF(AND($A545&gt;='Control Room'!$A$13,$A545&lt;'Control Room'!$A$13+'Control Room'!$B$13,'Process'!BR2=1),1+('Control Room'!$C$13-1)*EXP(-0.5*(($A545-'Control Room'!$A$13-('Control Room'!$B$13-1)/2)/MAX(0.5,'Control Room'!$B$13/4))^2),1)*IF(AND($A545&gt;='Control Room'!$A$14,$A545&lt;'Control Room'!$A$14+'Control Room'!$B$14,'Process'!BR3=1),1+('Control Room'!$C$14-1)*EXP(-0.5*(($A545-'Control Room'!$A$14-('Control Room'!$B$14-1)/2)/MAX(0.5,'Control Room'!$B$14/4))^2),1)*IF(AND($A545&gt;='Control Room'!$A$15,$A545&lt;'Control Room'!$A$15+'Control Room'!$B$15,'Process'!BR4=1),1+('Control Room'!$C$15-1)*EXP(-0.5*(($A545-'Control Room'!$A$15-('Control Room'!$B$15-1)/2)/MAX(0.5,'Control Room'!$B$15/4))^2),1)*IF(AND($A545&gt;='Control Room'!$A$16,$A545&lt;'Control Room'!$A$16+'Control Room'!$B$16,'Process'!BR5=1),1+('Control Room'!$C$16-1)*EXP(-0.5*(($A545-'Control Room'!$A$16-('Control Room'!$B$16-1)/2)/MAX(0.5,'Control Room'!$B$16/4))^2),1)</x:f>
        <x:v>1</x:v>
      </x:c>
      <x:c r="AP545" s="9" t="n">
        <x:f>MOD(AQ544*16807,2147483647)</x:f>
        <x:v>1662126195</x:v>
      </x:c>
      <x:c r="AQ545" s="9" t="n">
        <x:f>MOD(AP545*16807,2147483647)</x:f>
        <x:v>887679189</x:v>
      </x:c>
      <x:c r="AR545" s="17" t="n">
        <x:f>IF('Control Room'!$B$5="Normal",'Control Room'!$B$7+'Control Room'!$D$7*SQRT(-2*LN(MAX(0.000000000001,AP545/2147483647)))*COS(2*PI()*AQ545/2147483647),'Control Room'!$B$8+('Control Room'!$D$8-'Control Room'!$B$8)*AP545/2147483647)</x:f>
        <x:v>944.8890469979157</x:v>
      </x:c>
      <x:c r="AS545" s="17" t="n">
        <x:f>IF('Control Room'!$B$5="Normal",'Control Room'!$B$7,('Control Room'!$B$8+'Control Room'!$D$8)/2)+'Control Room'!$B$9*(AS544-IF('Control Room'!$B$5="Normal",'Control Room'!$B$7,('Control Room'!$B$8+'Control Room'!$D$8)/2))+SQRT(1-'Control Room'!$B$9^2)*(AR545-IF('Control Room'!$B$5="Normal",'Control Room'!$B$7,('Control Room'!$B$8+'Control Room'!$D$8)/2))</x:f>
        <x:v>1029.487176827031</x:v>
      </x:c>
      <x:c r="AT545" s="17" t="n">
        <x:f>IF(AND($A545&gt;='Control Room'!$A$13,$A545&lt;'Control Room'!$A$13+'Control Room'!$B$13,'Process'!BS2=1),1+('Control Room'!$C$13-1)*EXP(-0.5*(($A545-'Control Room'!$A$13-('Control Room'!$B$13-1)/2)/MAX(0.5,'Control Room'!$B$13/4))^2),1)*IF(AND($A545&gt;='Control Room'!$A$14,$A545&lt;'Control Room'!$A$14+'Control Room'!$B$14,'Process'!BS3=1),1+('Control Room'!$C$14-1)*EXP(-0.5*(($A545-'Control Room'!$A$14-('Control Room'!$B$14-1)/2)/MAX(0.5,'Control Room'!$B$14/4))^2),1)*IF(AND($A545&gt;='Control Room'!$A$15,$A545&lt;'Control Room'!$A$15+'Control Room'!$B$15,'Process'!BS4=1),1+('Control Room'!$C$15-1)*EXP(-0.5*(($A545-'Control Room'!$A$15-('Control Room'!$B$15-1)/2)/MAX(0.5,'Control Room'!$B$15/4))^2),1)*IF(AND($A545&gt;='Control Room'!$A$16,$A545&lt;'Control Room'!$A$16+'Control Room'!$B$16,'Process'!BS5=1),1+('Control Room'!$C$16-1)*EXP(-0.5*(($A545-'Control Room'!$A$16-('Control Room'!$B$16-1)/2)/MAX(0.5,'Control Room'!$B$16/4))^2),1)</x:f>
        <x:v>1</x:v>
      </x:c>
      <x:c r="AU545" s="9" t="n">
        <x:f>MOD(AV544*16807,2147483647)</x:f>
        <x:v>895402180</x:v>
      </x:c>
      <x:c r="AV545" s="9" t="n">
        <x:f>MOD(AU545*16807,2147483647)</x:f>
        <x:v>1606524731</x:v>
      </x:c>
      <x:c r="AW545" s="17" t="n">
        <x:f>IF('Control Room'!$B$5="Normal",'Control Room'!$B$7+'Control Room'!$D$7*SQRT(-2*LN(MAX(0.000000000001,AU545/2147483647)))*COS(2*PI()*AV545/2147483647),'Control Room'!$B$8+('Control Room'!$D$8-'Control Room'!$B$8)*AU545/2147483647)</x:f>
        <x:v>998.576171497123</x:v>
      </x:c>
      <x:c r="AX545" s="17" t="n">
        <x:f>IF('Control Room'!$B$5="Normal",'Control Room'!$B$7,('Control Room'!$B$8+'Control Room'!$D$8)/2)+'Control Room'!$B$9*(AX544-IF('Control Room'!$B$5="Normal",'Control Room'!$B$7,('Control Room'!$B$8+'Control Room'!$D$8)/2))+SQRT(1-'Control Room'!$B$9^2)*(AW545-IF('Control Room'!$B$5="Normal",'Control Room'!$B$7,('Control Room'!$B$8+'Control Room'!$D$8)/2))</x:f>
        <x:v>1051.9348967677086</x:v>
      </x:c>
      <x:c r="AY545" s="17" t="n">
        <x:f>IF(AND($A545&gt;='Control Room'!$A$13,$A545&lt;'Control Room'!$A$13+'Control Room'!$B$13,'Process'!BT2=1),1+('Control Room'!$C$13-1)*EXP(-0.5*(($A545-'Control Room'!$A$13-('Control Room'!$B$13-1)/2)/MAX(0.5,'Control Room'!$B$13/4))^2),1)*IF(AND($A545&gt;='Control Room'!$A$14,$A545&lt;'Control Room'!$A$14+'Control Room'!$B$14,'Process'!BT3=1),1+('Control Room'!$C$14-1)*EXP(-0.5*(($A545-'Control Room'!$A$14-('Control Room'!$B$14-1)/2)/MAX(0.5,'Control Room'!$B$14/4))^2),1)*IF(AND($A545&gt;='Control Room'!$A$15,$A545&lt;'Control Room'!$A$15+'Control Room'!$B$15,'Process'!BT4=1),1+('Control Room'!$C$15-1)*EXP(-0.5*(($A545-'Control Room'!$A$15-('Control Room'!$B$15-1)/2)/MAX(0.5,'Control Room'!$B$15/4))^2),1)*IF(AND($A545&gt;='Control Room'!$A$16,$A545&lt;'Control Room'!$A$16+'Control Room'!$B$16,'Process'!BT5=1),1+('Control Room'!$C$16-1)*EXP(-0.5*(($A545-'Control Room'!$A$16-('Control Room'!$B$16-1)/2)/MAX(0.5,'Control Room'!$B$16/4))^2),1)</x:f>
        <x:v>1</x:v>
      </x:c>
      <x:c r="AZ545" s="9" t="n">
        <x:f>MOD(BA544*16807,2147483647)</x:f>
        <x:v>128678165</x:v>
      </x:c>
      <x:c r="BA545" s="9" t="n">
        <x:f>MOD(AZ545*16807,2147483647)</x:f>
        <x:v>177886626</x:v>
      </x:c>
      <x:c r="BB545" s="17" t="n">
        <x:f>IF('Control Room'!$B$5="Normal",'Control Room'!$B$7+'Control Room'!$D$7*SQRT(-2*LN(MAX(0.000000000001,AZ545/2147483647)))*COS(2*PI()*BA545/2147483647),'Control Room'!$B$8+('Control Room'!$D$8-'Control Room'!$B$8)*AZ545/2147483647)</x:f>
        <x:v>1185.2633405439472</x:v>
      </x:c>
      <x:c r="BC545" s="17" t="n">
        <x:f>IF('Control Room'!$B$5="Normal",'Control Room'!$B$7,('Control Room'!$B$8+'Control Room'!$D$8)/2)+'Control Room'!$B$9*(BC544-IF('Control Room'!$B$5="Normal",'Control Room'!$B$7,('Control Room'!$B$8+'Control Room'!$D$8)/2))+SQRT(1-'Control Room'!$B$9^2)*(BB545-IF('Control Room'!$B$5="Normal",'Control Room'!$B$7,('Control Room'!$B$8+'Control Room'!$D$8)/2))</x:f>
        <x:v>1056.184237436203</x:v>
      </x:c>
      <x:c r="BD545" s="17" t="n">
        <x:f>IF(AND($A545&gt;='Control Room'!$A$13,$A545&lt;'Control Room'!$A$13+'Control Room'!$B$13,'Process'!BU2=1),1+('Control Room'!$C$13-1)*EXP(-0.5*(($A545-'Control Room'!$A$13-('Control Room'!$B$13-1)/2)/MAX(0.5,'Control Room'!$B$13/4))^2),1)*IF(AND($A545&gt;='Control Room'!$A$14,$A545&lt;'Control Room'!$A$14+'Control Room'!$B$14,'Process'!BU3=1),1+('Control Room'!$C$14-1)*EXP(-0.5*(($A545-'Control Room'!$A$14-('Control Room'!$B$14-1)/2)/MAX(0.5,'Control Room'!$B$14/4))^2),1)*IF(AND($A545&gt;='Control Room'!$A$15,$A545&lt;'Control Room'!$A$15+'Control Room'!$B$15,'Process'!BU4=1),1+('Control Room'!$C$15-1)*EXP(-0.5*(($A545-'Control Room'!$A$15-('Control Room'!$B$15-1)/2)/MAX(0.5,'Control Room'!$B$15/4))^2),1)*IF(AND($A545&gt;='Control Room'!$A$16,$A545&lt;'Control Room'!$A$16+'Control Room'!$B$16,'Process'!BU5=1),1+('Control Room'!$C$16-1)*EXP(-0.5*(($A545-'Control Room'!$A$16-('Control Room'!$B$16-1)/2)/MAX(0.5,'Control Room'!$B$16/4))^2),1)</x:f>
        <x:v>1</x:v>
      </x:c>
      <x:c r="BE545" s="9" t="n">
        <x:f>MOD(BF544*16807,2147483647)</x:f>
        <x:v>1509437797</x:v>
      </x:c>
      <x:c r="BF545" s="9" t="n">
        <x:f>MOD(BE545*16807,2147483647)</x:f>
        <x:v>896732168</x:v>
      </x:c>
      <x:c r="BG545" s="17" t="n">
        <x:f>IF('Control Room'!$B$5="Normal",'Control Room'!$B$7+'Control Room'!$D$7*SQRT(-2*LN(MAX(0.000000000001,BE545/2147483647)))*COS(2*PI()*BF545/2147483647),'Control Room'!$B$8+('Control Room'!$D$8-'Control Room'!$B$8)*BE545/2147483647)</x:f>
        <x:v>934.3365694934291</x:v>
      </x:c>
      <x:c r="BH545" s="17" t="n">
        <x:f>IF('Control Room'!$B$5="Normal",'Control Room'!$B$7,('Control Room'!$B$8+'Control Room'!$D$8)/2)+'Control Room'!$B$9*(BH544-IF('Control Room'!$B$5="Normal",'Control Room'!$B$7,('Control Room'!$B$8+'Control Room'!$D$8)/2))+SQRT(1-'Control Room'!$B$9^2)*(BG545-IF('Control Room'!$B$5="Normal",'Control Room'!$B$7,('Control Room'!$B$8+'Control Room'!$D$8)/2))</x:f>
        <x:v>976.2082201835976</x:v>
      </x:c>
      <x:c r="BI545" s="17" t="n">
        <x:f>IF(AND($A545&gt;='Control Room'!$A$13,$A545&lt;'Control Room'!$A$13+'Control Room'!$B$13,'Process'!BV2=1),1+('Control Room'!$C$13-1)*EXP(-0.5*(($A545-'Control Room'!$A$13-('Control Room'!$B$13-1)/2)/MAX(0.5,'Control Room'!$B$13/4))^2),1)*IF(AND($A545&gt;='Control Room'!$A$14,$A545&lt;'Control Room'!$A$14+'Control Room'!$B$14,'Process'!BV3=1),1+('Control Room'!$C$14-1)*EXP(-0.5*(($A545-'Control Room'!$A$14-('Control Room'!$B$14-1)/2)/MAX(0.5,'Control Room'!$B$14/4))^2),1)*IF(AND($A545&gt;='Control Room'!$A$15,$A545&lt;'Control Room'!$A$15+'Control Room'!$B$15,'Process'!BV4=1),1+('Control Room'!$C$15-1)*EXP(-0.5*(($A545-'Control Room'!$A$15-('Control Room'!$B$15-1)/2)/MAX(0.5,'Control Room'!$B$15/4))^2),1)*IF(AND($A545&gt;='Control Room'!$A$16,$A545&lt;'Control Room'!$A$16+'Control Room'!$B$16,'Process'!BV5=1),1+('Control Room'!$C$16-1)*EXP(-0.5*(($A545-'Control Room'!$A$16-('Control Room'!$B$16-1)/2)/MAX(0.5,'Control Room'!$B$16/4))^2),1)</x:f>
        <x:v>1</x:v>
      </x:c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Z545" t="str">
        <x:f>IF('Data'!A545="","",TEXT('Data'!A545,"mm-dd"))</x:f>
      </x:c>
    </x:row>
    <x:row r="546" ht="21" customHeight="1">
      <x:c r="A546" s="15" t="n">
        <x:f>'Control Room'!$B$1+544</x:f>
        <x:v>73535</x:v>
      </x:c>
      <x:c r="B546" s="9" t="n">
        <x:f>MOD(C545*16807,2147483647)</x:f>
        <x:v>1503022838</x:v>
      </x:c>
      <x:c r="C546" s="9" t="n">
        <x:f>MOD(B546*16807,2147483647)</x:f>
        <x:v>454698605</x:v>
      </x:c>
      <x:c r="D546" s="17" t="n">
        <x:f>IF('Control Room'!$B$5="Normal",'Control Room'!$B$7+'Control Room'!$D$7*SQRT(-2*LN(MAX(0.000000000001,B546/2147483647)))*COS(2*PI()*C546/2147483647),'Control Room'!$B$8+('Control Room'!$D$8-'Control Room'!$B$8)*B546/2147483647)</x:f>
        <x:v>1018.1035866614037</x:v>
      </x:c>
      <x:c r="E546" s="17" t="n">
        <x:f>IF('Control Room'!$B$5="Normal",'Control Room'!$B$7,('Control Room'!$B$8+'Control Room'!$D$8)/2)+'Control Room'!$B$9*(E545-IF('Control Room'!$B$5="Normal",'Control Room'!$B$7,('Control Room'!$B$8+'Control Room'!$D$8)/2))+SQRT(1-'Control Room'!$B$9^2)*(D546-IF('Control Room'!$B$5="Normal",'Control Room'!$B$7,('Control Room'!$B$8+'Control Room'!$D$8)/2))</x:f>
        <x:v>1014.570803149982</x:v>
      </x:c>
      <x:c r="F546" s="17" t="n">
        <x:f>IF(AND($A546&gt;='Control Room'!$A$13,$A546&lt;'Control Room'!$A$13+'Control Room'!$B$13,'Process'!BK2=1),1+('Control Room'!$C$13-1)*EXP(-0.5*(($A546-'Control Room'!$A$13-('Control Room'!$B$13-1)/2)/MAX(0.5,'Control Room'!$B$13/4))^2),1)*IF(AND($A546&gt;='Control Room'!$A$14,$A546&lt;'Control Room'!$A$14+'Control Room'!$B$14,'Process'!BK3=1),1+('Control Room'!$C$14-1)*EXP(-0.5*(($A546-'Control Room'!$A$14-('Control Room'!$B$14-1)/2)/MAX(0.5,'Control Room'!$B$14/4))^2),1)*IF(AND($A546&gt;='Control Room'!$A$15,$A546&lt;'Control Room'!$A$15+'Control Room'!$B$15,'Process'!BK4=1),1+('Control Room'!$C$15-1)*EXP(-0.5*(($A546-'Control Room'!$A$15-('Control Room'!$B$15-1)/2)/MAX(0.5,'Control Room'!$B$15/4))^2),1)*IF(AND($A546&gt;='Control Room'!$A$16,$A546&lt;'Control Room'!$A$16+'Control Room'!$B$16,'Process'!BK5=1),1+('Control Room'!$C$16-1)*EXP(-0.5*(($A546-'Control Room'!$A$16-('Control Room'!$B$16-1)/2)/MAX(0.5,'Control Room'!$B$16/4))^2),1)</x:f>
        <x:v>1</x:v>
      </x:c>
      <x:c r="G546" s="9" t="n">
        <x:f>MOD(H545*16807,2147483647)</x:f>
        <x:v>1397049210</x:v>
      </x:c>
      <x:c r="H546" s="9" t="n">
        <x:f>MOD(G546*16807,2147483647)</x:f>
        <x:v>1767359819</x:v>
      </x:c>
      <x:c r="I546" s="17" t="n">
        <x:f>IF('Control Room'!$B$5="Normal",'Control Room'!$B$7+'Control Room'!$D$7*SQRT(-2*LN(MAX(0.000000000001,G546/2147483647)))*COS(2*PI()*H546/2147483647),'Control Room'!$B$8+('Control Room'!$D$8-'Control Room'!$B$8)*G546/2147483647)</x:f>
        <x:v>1036.9467130854368</x:v>
      </x:c>
      <x:c r="J546" s="17" t="n">
        <x:f>IF('Control Room'!$B$5="Normal",'Control Room'!$B$7,('Control Room'!$B$8+'Control Room'!$D$8)/2)+'Control Room'!$B$9*(J545-IF('Control Room'!$B$5="Normal",'Control Room'!$B$7,('Control Room'!$B$8+'Control Room'!$D$8)/2))+SQRT(1-'Control Room'!$B$9^2)*(I546-IF('Control Room'!$B$5="Normal",'Control Room'!$B$7,('Control Room'!$B$8+'Control Room'!$D$8)/2))</x:f>
        <x:v>1033.1667196796002</x:v>
      </x:c>
      <x:c r="K546" s="17" t="n">
        <x:f>IF(AND($A546&gt;='Control Room'!$A$13,$A546&lt;'Control Room'!$A$13+'Control Room'!$B$13,'Process'!BL2=1),1+('Control Room'!$C$13-1)*EXP(-0.5*(($A546-'Control Room'!$A$13-('Control Room'!$B$13-1)/2)/MAX(0.5,'Control Room'!$B$13/4))^2),1)*IF(AND($A546&gt;='Control Room'!$A$14,$A546&lt;'Control Room'!$A$14+'Control Room'!$B$14,'Process'!BL3=1),1+('Control Room'!$C$14-1)*EXP(-0.5*(($A546-'Control Room'!$A$14-('Control Room'!$B$14-1)/2)/MAX(0.5,'Control Room'!$B$14/4))^2),1)*IF(AND($A546&gt;='Control Room'!$A$15,$A546&lt;'Control Room'!$A$15+'Control Room'!$B$15,'Process'!BL4=1),1+('Control Room'!$C$15-1)*EXP(-0.5*(($A546-'Control Room'!$A$15-('Control Room'!$B$15-1)/2)/MAX(0.5,'Control Room'!$B$15/4))^2),1)*IF(AND($A546&gt;='Control Room'!$A$16,$A546&lt;'Control Room'!$A$16+'Control Room'!$B$16,'Process'!BL5=1),1+('Control Room'!$C$16-1)*EXP(-0.5*(($A546-'Control Room'!$A$16-('Control Room'!$B$16-1)/2)/MAX(0.5,'Control Room'!$B$16/4))^2),1)</x:f>
        <x:v>1</x:v>
      </x:c>
      <x:c r="L546" s="9" t="n">
        <x:f>MOD(M545*16807,2147483647)</x:f>
        <x:v>1291075582</x:v>
      </x:c>
      <x:c r="M546" s="9" t="n">
        <x:f>MOD(L546*16807,2147483647)</x:f>
        <x:v>932537386</x:v>
      </x:c>
      <x:c r="N546" s="17" t="n">
        <x:f>IF('Control Room'!$B$5="Normal",'Control Room'!$B$7+'Control Room'!$D$7*SQRT(-2*LN(MAX(0.000000000001,L546/2147483647)))*COS(2*PI()*M546/2147483647),'Control Room'!$B$8+('Control Room'!$D$8-'Control Room'!$B$8)*L546/2147483647)</x:f>
        <x:v>916.8482924469749</x:v>
      </x:c>
      <x:c r="O546" s="17" t="n">
        <x:f>IF('Control Room'!$B$5="Normal",'Control Room'!$B$7,('Control Room'!$B$8+'Control Room'!$D$8)/2)+'Control Room'!$B$9*(O545-IF('Control Room'!$B$5="Normal",'Control Room'!$B$7,('Control Room'!$B$8+'Control Room'!$D$8)/2))+SQRT(1-'Control Room'!$B$9^2)*(N546-IF('Control Room'!$B$5="Normal",'Control Room'!$B$7,('Control Room'!$B$8+'Control Room'!$D$8)/2))</x:f>
        <x:v>963.6108896011647</x:v>
      </x:c>
      <x:c r="P546" s="17" t="n">
        <x:f>IF(AND($A546&gt;='Control Room'!$A$13,$A546&lt;'Control Room'!$A$13+'Control Room'!$B$13,'Process'!BM2=1),1+('Control Room'!$C$13-1)*EXP(-0.5*(($A546-'Control Room'!$A$13-('Control Room'!$B$13-1)/2)/MAX(0.5,'Control Room'!$B$13/4))^2),1)*IF(AND($A546&gt;='Control Room'!$A$14,$A546&lt;'Control Room'!$A$14+'Control Room'!$B$14,'Process'!BM3=1),1+('Control Room'!$C$14-1)*EXP(-0.5*(($A546-'Control Room'!$A$14-('Control Room'!$B$14-1)/2)/MAX(0.5,'Control Room'!$B$14/4))^2),1)*IF(AND($A546&gt;='Control Room'!$A$15,$A546&lt;'Control Room'!$A$15+'Control Room'!$B$15,'Process'!BM4=1),1+('Control Room'!$C$15-1)*EXP(-0.5*(($A546-'Control Room'!$A$15-('Control Room'!$B$15-1)/2)/MAX(0.5,'Control Room'!$B$15/4))^2),1)*IF(AND($A546&gt;='Control Room'!$A$16,$A546&lt;'Control Room'!$A$16+'Control Room'!$B$16,'Process'!BM5=1),1+('Control Room'!$C$16-1)*EXP(-0.5*(($A546-'Control Room'!$A$16-('Control Room'!$B$16-1)/2)/MAX(0.5,'Control Room'!$B$16/4))^2),1)</x:f>
        <x:v>1</x:v>
      </x:c>
      <x:c r="Q546" s="9" t="n">
        <x:f>MOD(R545*16807,2147483647)</x:f>
        <x:v>1185101954</x:v>
      </x:c>
      <x:c r="R546" s="9" t="n">
        <x:f>MOD(Q546*16807,2147483647)</x:f>
        <x:v>97714953</x:v>
      </x:c>
      <x:c r="S546" s="17" t="n">
        <x:f>IF('Control Room'!$B$5="Normal",'Control Room'!$B$7+'Control Room'!$D$7*SQRT(-2*LN(MAX(0.000000000001,Q546/2147483647)))*COS(2*PI()*R546/2147483647),'Control Room'!$B$8+('Control Room'!$D$8-'Control Room'!$B$8)*Q546/2147483647)</x:f>
        <x:v>1094.1511067002955</x:v>
      </x:c>
      <x:c r="T546" s="17" t="n">
        <x:f>IF('Control Room'!$B$5="Normal",'Control Room'!$B$7,('Control Room'!$B$8+'Control Room'!$D$8)/2)+'Control Room'!$B$9*(T545-IF('Control Room'!$B$5="Normal",'Control Room'!$B$7,('Control Room'!$B$8+'Control Room'!$D$8)/2))+SQRT(1-'Control Room'!$B$9^2)*(S546-IF('Control Room'!$B$5="Normal",'Control Room'!$B$7,('Control Room'!$B$8+'Control Room'!$D$8)/2))</x:f>
        <x:v>1011.15921432116</x:v>
      </x:c>
      <x:c r="U546" s="17" t="n">
        <x:f>IF(AND($A546&gt;='Control Room'!$A$13,$A546&lt;'Control Room'!$A$13+'Control Room'!$B$13,'Process'!BN2=1),1+('Control Room'!$C$13-1)*EXP(-0.5*(($A546-'Control Room'!$A$13-('Control Room'!$B$13-1)/2)/MAX(0.5,'Control Room'!$B$13/4))^2),1)*IF(AND($A546&gt;='Control Room'!$A$14,$A546&lt;'Control Room'!$A$14+'Control Room'!$B$14,'Process'!BN3=1),1+('Control Room'!$C$14-1)*EXP(-0.5*(($A546-'Control Room'!$A$14-('Control Room'!$B$14-1)/2)/MAX(0.5,'Control Room'!$B$14/4))^2),1)*IF(AND($A546&gt;='Control Room'!$A$15,$A546&lt;'Control Room'!$A$15+'Control Room'!$B$15,'Process'!BN4=1),1+('Control Room'!$C$15-1)*EXP(-0.5*(($A546-'Control Room'!$A$15-('Control Room'!$B$15-1)/2)/MAX(0.5,'Control Room'!$B$15/4))^2),1)*IF(AND($A546&gt;='Control Room'!$A$16,$A546&lt;'Control Room'!$A$16+'Control Room'!$B$16,'Process'!BN5=1),1+('Control Room'!$C$16-1)*EXP(-0.5*(($A546-'Control Room'!$A$16-('Control Room'!$B$16-1)/2)/MAX(0.5,'Control Room'!$B$16/4))^2),1)</x:f>
        <x:v>1</x:v>
      </x:c>
      <x:c r="V546" s="9" t="n">
        <x:f>MOD(W545*16807,2147483647)</x:f>
        <x:v>1079128326</x:v>
      </x:c>
      <x:c r="W546" s="9" t="n">
        <x:f>MOD(V546*16807,2147483647)</x:f>
        <x:v>1410376167</x:v>
      </x:c>
      <x:c r="X546" s="17" t="n">
        <x:f>IF('Control Room'!$B$5="Normal",'Control Room'!$B$7+'Control Room'!$D$7*SQRT(-2*LN(MAX(0.000000000001,V546/2147483647)))*COS(2*PI()*W546/2147483647),'Control Room'!$B$8+('Control Room'!$D$8-'Control Room'!$B$8)*V546/2147483647)</x:f>
        <x:v>941.6211149543856</x:v>
      </x:c>
      <x:c r="Y546" s="17" t="n">
        <x:f>IF('Control Room'!$B$5="Normal",'Control Room'!$B$7,('Control Room'!$B$8+'Control Room'!$D$8)/2)+'Control Room'!$B$9*(Y545-IF('Control Room'!$B$5="Normal",'Control Room'!$B$7,('Control Room'!$B$8+'Control Room'!$D$8)/2))+SQRT(1-'Control Room'!$B$9^2)*(X546-IF('Control Room'!$B$5="Normal",'Control Room'!$B$7,('Control Room'!$B$8+'Control Room'!$D$8)/2))</x:f>
        <x:v>1056.0996102292281</x:v>
      </x:c>
      <x:c r="Z546" s="17" t="n">
        <x:f>IF(AND($A546&gt;='Control Room'!$A$13,$A546&lt;'Control Room'!$A$13+'Control Room'!$B$13,'Process'!BO2=1),1+('Control Room'!$C$13-1)*EXP(-0.5*(($A546-'Control Room'!$A$13-('Control Room'!$B$13-1)/2)/MAX(0.5,'Control Room'!$B$13/4))^2),1)*IF(AND($A546&gt;='Control Room'!$A$14,$A546&lt;'Control Room'!$A$14+'Control Room'!$B$14,'Process'!BO3=1),1+('Control Room'!$C$14-1)*EXP(-0.5*(($A546-'Control Room'!$A$14-('Control Room'!$B$14-1)/2)/MAX(0.5,'Control Room'!$B$14/4))^2),1)*IF(AND($A546&gt;='Control Room'!$A$15,$A546&lt;'Control Room'!$A$15+'Control Room'!$B$15,'Process'!BO4=1),1+('Control Room'!$C$15-1)*EXP(-0.5*(($A546-'Control Room'!$A$15-('Control Room'!$B$15-1)/2)/MAX(0.5,'Control Room'!$B$15/4))^2),1)*IF(AND($A546&gt;='Control Room'!$A$16,$A546&lt;'Control Room'!$A$16+'Control Room'!$B$16,'Process'!BO5=1),1+('Control Room'!$C$16-1)*EXP(-0.5*(($A546-'Control Room'!$A$16-('Control Room'!$B$16-1)/2)/MAX(0.5,'Control Room'!$B$16/4))^2),1)</x:f>
        <x:v>1</x:v>
      </x:c>
      <x:c r="AA546" s="9" t="n">
        <x:f>MOD(AB545*16807,2147483647)</x:f>
        <x:v>973154698</x:v>
      </x:c>
      <x:c r="AB546" s="9" t="n">
        <x:f>MOD(AA546*16807,2147483647)</x:f>
        <x:v>575553734</x:v>
      </x:c>
      <x:c r="AC546" s="17" t="n">
        <x:f>IF('Control Room'!$B$5="Normal",'Control Room'!$B$7+'Control Room'!$D$7*SQRT(-2*LN(MAX(0.000000000001,AA546/2147483647)))*COS(2*PI()*AB546/2147483647),'Control Room'!$B$8+('Control Room'!$D$8-'Control Room'!$B$8)*AA546/2147483647)</x:f>
        <x:v>987.2113118385815</x:v>
      </x:c>
      <x:c r="AD546" s="17" t="n">
        <x:f>IF('Control Room'!$B$5="Normal",'Control Room'!$B$7,('Control Room'!$B$8+'Control Room'!$D$8)/2)+'Control Room'!$B$9*(AD545-IF('Control Room'!$B$5="Normal",'Control Room'!$B$7,('Control Room'!$B$8+'Control Room'!$D$8)/2))+SQRT(1-'Control Room'!$B$9^2)*(AC546-IF('Control Room'!$B$5="Normal",'Control Room'!$B$7,('Control Room'!$B$8+'Control Room'!$D$8)/2))</x:f>
        <x:v>966.6557541055516</x:v>
      </x:c>
      <x:c r="AE546" s="17" t="n">
        <x:f>IF(AND($A546&gt;='Control Room'!$A$13,$A546&lt;'Control Room'!$A$13+'Control Room'!$B$13,'Process'!BP2=1),1+('Control Room'!$C$13-1)*EXP(-0.5*(($A546-'Control Room'!$A$13-('Control Room'!$B$13-1)/2)/MAX(0.5,'Control Room'!$B$13/4))^2),1)*IF(AND($A546&gt;='Control Room'!$A$14,$A546&lt;'Control Room'!$A$14+'Control Room'!$B$14,'Process'!BP3=1),1+('Control Room'!$C$14-1)*EXP(-0.5*(($A546-'Control Room'!$A$14-('Control Room'!$B$14-1)/2)/MAX(0.5,'Control Room'!$B$14/4))^2),1)*IF(AND($A546&gt;='Control Room'!$A$15,$A546&lt;'Control Room'!$A$15+'Control Room'!$B$15,'Process'!BP4=1),1+('Control Room'!$C$15-1)*EXP(-0.5*(($A546-'Control Room'!$A$15-('Control Room'!$B$15-1)/2)/MAX(0.5,'Control Room'!$B$15/4))^2),1)*IF(AND($A546&gt;='Control Room'!$A$16,$A546&lt;'Control Room'!$A$16+'Control Room'!$B$16,'Process'!BP5=1),1+('Control Room'!$C$16-1)*EXP(-0.5*(($A546-'Control Room'!$A$16-('Control Room'!$B$16-1)/2)/MAX(0.5,'Control Room'!$B$16/4))^2),1)</x:f>
        <x:v>1</x:v>
      </x:c>
      <x:c r="AF546" s="9" t="n">
        <x:f>MOD(AG545*16807,2147483647)</x:f>
        <x:v>867181070</x:v>
      </x:c>
      <x:c r="AG546" s="9" t="n">
        <x:f>MOD(AF546*16807,2147483647)</x:f>
        <x:v>1888214948</x:v>
      </x:c>
      <x:c r="AH546" s="17" t="n">
        <x:f>IF('Control Room'!$B$5="Normal",'Control Room'!$B$7+'Control Room'!$D$7*SQRT(-2*LN(MAX(0.000000000001,AF546/2147483647)))*COS(2*PI()*AG546/2147483647),'Control Room'!$B$8+('Control Room'!$D$8-'Control Room'!$B$8)*AF546/2147483647)</x:f>
        <x:v>1087.9711522923399</x:v>
      </x:c>
      <x:c r="AI546" s="17" t="n">
        <x:f>IF('Control Room'!$B$5="Normal",'Control Room'!$B$7,('Control Room'!$B$8+'Control Room'!$D$8)/2)+'Control Room'!$B$9*(AI545-IF('Control Room'!$B$5="Normal",'Control Room'!$B$7,('Control Room'!$B$8+'Control Room'!$D$8)/2))+SQRT(1-'Control Room'!$B$9^2)*(AH546-IF('Control Room'!$B$5="Normal",'Control Room'!$B$7,('Control Room'!$B$8+'Control Room'!$D$8)/2))</x:f>
        <x:v>1006.9564865928276</x:v>
      </x:c>
      <x:c r="AJ546" s="17" t="n">
        <x:f>IF(AND($A546&gt;='Control Room'!$A$13,$A546&lt;'Control Room'!$A$13+'Control Room'!$B$13,'Process'!BQ2=1),1+('Control Room'!$C$13-1)*EXP(-0.5*(($A546-'Control Room'!$A$13-('Control Room'!$B$13-1)/2)/MAX(0.5,'Control Room'!$B$13/4))^2),1)*IF(AND($A546&gt;='Control Room'!$A$14,$A546&lt;'Control Room'!$A$14+'Control Room'!$B$14,'Process'!BQ3=1),1+('Control Room'!$C$14-1)*EXP(-0.5*(($A546-'Control Room'!$A$14-('Control Room'!$B$14-1)/2)/MAX(0.5,'Control Room'!$B$14/4))^2),1)*IF(AND($A546&gt;='Control Room'!$A$15,$A546&lt;'Control Room'!$A$15+'Control Room'!$B$15,'Process'!BQ4=1),1+('Control Room'!$C$15-1)*EXP(-0.5*(($A546-'Control Room'!$A$15-('Control Room'!$B$15-1)/2)/MAX(0.5,'Control Room'!$B$15/4))^2),1)*IF(AND($A546&gt;='Control Room'!$A$16,$A546&lt;'Control Room'!$A$16+'Control Room'!$B$16,'Process'!BQ5=1),1+('Control Room'!$C$16-1)*EXP(-0.5*(($A546-'Control Room'!$A$16-('Control Room'!$B$16-1)/2)/MAX(0.5,'Control Room'!$B$16/4))^2),1)</x:f>
        <x:v>1</x:v>
      </x:c>
      <x:c r="AK546" s="9" t="n">
        <x:f>MOD(AL545*16807,2147483647)</x:f>
        <x:v>761207442</x:v>
      </x:c>
      <x:c r="AL546" s="9" t="n">
        <x:f>MOD(AK546*16807,2147483647)</x:f>
        <x:v>1053392515</x:v>
      </x:c>
      <x:c r="AM546" s="17" t="n">
        <x:f>IF('Control Room'!$B$5="Normal",'Control Room'!$B$7+'Control Room'!$D$7*SQRT(-2*LN(MAX(0.000000000001,AK546/2147483647)))*COS(2*PI()*AL546/2147483647),'Control Room'!$B$8+('Control Room'!$D$8-'Control Room'!$B$8)*AK546/2147483647)</x:f>
        <x:v>870.6080464040498</x:v>
      </x:c>
      <x:c r="AN546" s="17" t="n">
        <x:f>IF('Control Room'!$B$5="Normal",'Control Room'!$B$7,('Control Room'!$B$8+'Control Room'!$D$8)/2)+'Control Room'!$B$9*(AN545-IF('Control Room'!$B$5="Normal",'Control Room'!$B$7,('Control Room'!$B$8+'Control Room'!$D$8)/2))+SQRT(1-'Control Room'!$B$9^2)*(AM546-IF('Control Room'!$B$5="Normal",'Control Room'!$B$7,('Control Room'!$B$8+'Control Room'!$D$8)/2))</x:f>
        <x:v>983.6901620215751</x:v>
      </x:c>
      <x:c r="AO546" s="17" t="n">
        <x:f>IF(AND($A546&gt;='Control Room'!$A$13,$A546&lt;'Control Room'!$A$13+'Control Room'!$B$13,'Process'!BR2=1),1+('Control Room'!$C$13-1)*EXP(-0.5*(($A546-'Control Room'!$A$13-('Control Room'!$B$13-1)/2)/MAX(0.5,'Control Room'!$B$13/4))^2),1)*IF(AND($A546&gt;='Control Room'!$A$14,$A546&lt;'Control Room'!$A$14+'Control Room'!$B$14,'Process'!BR3=1),1+('Control Room'!$C$14-1)*EXP(-0.5*(($A546-'Control Room'!$A$14-('Control Room'!$B$14-1)/2)/MAX(0.5,'Control Room'!$B$14/4))^2),1)*IF(AND($A546&gt;='Control Room'!$A$15,$A546&lt;'Control Room'!$A$15+'Control Room'!$B$15,'Process'!BR4=1),1+('Control Room'!$C$15-1)*EXP(-0.5*(($A546-'Control Room'!$A$15-('Control Room'!$B$15-1)/2)/MAX(0.5,'Control Room'!$B$15/4))^2),1)*IF(AND($A546&gt;='Control Room'!$A$16,$A546&lt;'Control Room'!$A$16+'Control Room'!$B$16,'Process'!BR5=1),1+('Control Room'!$C$16-1)*EXP(-0.5*(($A546-'Control Room'!$A$16-('Control Room'!$B$16-1)/2)/MAX(0.5,'Control Room'!$B$16/4))^2),1)</x:f>
        <x:v>1</x:v>
      </x:c>
      <x:c r="AP546" s="9" t="n">
        <x:f>MOD(AQ545*16807,2147483647)</x:f>
        <x:v>655233814</x:v>
      </x:c>
      <x:c r="AQ546" s="9" t="n">
        <x:f>MOD(AP546*16807,2147483647)</x:f>
        <x:v>218570082</x:v>
      </x:c>
      <x:c r="AR546" s="17" t="n">
        <x:f>IF('Control Room'!$B$5="Normal",'Control Room'!$B$7+'Control Room'!$D$7*SQRT(-2*LN(MAX(0.000000000001,AP546/2147483647)))*COS(2*PI()*AQ546/2147483647),'Control Room'!$B$8+('Control Room'!$D$8-'Control Room'!$B$8)*AP546/2147483647)</x:f>
        <x:v>1111.2708881262174</x:v>
      </x:c>
      <x:c r="AS546" s="17" t="n">
        <x:f>IF('Control Room'!$B$5="Normal",'Control Room'!$B$7,('Control Room'!$B$8+'Control Room'!$D$8)/2)+'Control Room'!$B$9*(AS545-IF('Control Room'!$B$5="Normal",'Control Room'!$B$7,('Control Room'!$B$8+'Control Room'!$D$8)/2))+SQRT(1-'Control Room'!$B$9^2)*(AR546-IF('Control Room'!$B$5="Normal",'Control Room'!$B$7,('Control Room'!$B$8+'Control Room'!$D$8)/2))</x:f>
        <x:v>1092.6310402064255</x:v>
      </x:c>
      <x:c r="AT546" s="17" t="n">
        <x:f>IF(AND($A546&gt;='Control Room'!$A$13,$A546&lt;'Control Room'!$A$13+'Control Room'!$B$13,'Process'!BS2=1),1+('Control Room'!$C$13-1)*EXP(-0.5*(($A546-'Control Room'!$A$13-('Control Room'!$B$13-1)/2)/MAX(0.5,'Control Room'!$B$13/4))^2),1)*IF(AND($A546&gt;='Control Room'!$A$14,$A546&lt;'Control Room'!$A$14+'Control Room'!$B$14,'Process'!BS3=1),1+('Control Room'!$C$14-1)*EXP(-0.5*(($A546-'Control Room'!$A$14-('Control Room'!$B$14-1)/2)/MAX(0.5,'Control Room'!$B$14/4))^2),1)*IF(AND($A546&gt;='Control Room'!$A$15,$A546&lt;'Control Room'!$A$15+'Control Room'!$B$15,'Process'!BS4=1),1+('Control Room'!$C$15-1)*EXP(-0.5*(($A546-'Control Room'!$A$15-('Control Room'!$B$15-1)/2)/MAX(0.5,'Control Room'!$B$15/4))^2),1)*IF(AND($A546&gt;='Control Room'!$A$16,$A546&lt;'Control Room'!$A$16+'Control Room'!$B$16,'Process'!BS5=1),1+('Control Room'!$C$16-1)*EXP(-0.5*(($A546-'Control Room'!$A$16-('Control Room'!$B$16-1)/2)/MAX(0.5,'Control Room'!$B$16/4))^2),1)</x:f>
        <x:v>1</x:v>
      </x:c>
      <x:c r="AU546" s="9" t="n">
        <x:f>MOD(AV545*16807,2147483647)</x:f>
        <x:v>549260186</x:v>
      </x:c>
      <x:c r="AV546" s="9" t="n">
        <x:f>MOD(AU546*16807,2147483647)</x:f>
        <x:v>1531231296</x:v>
      </x:c>
      <x:c r="AW546" s="17" t="n">
        <x:f>IF('Control Room'!$B$5="Normal",'Control Room'!$B$7+'Control Room'!$D$7*SQRT(-2*LN(MAX(0.000000000001,AU546/2147483647)))*COS(2*PI()*AV546/2147483647),'Control Room'!$B$8+('Control Room'!$D$8-'Control Room'!$B$8)*AU546/2147483647)</x:f>
        <x:v>965.791090096332</x:v>
      </x:c>
      <x:c r="AX546" s="17" t="n">
        <x:f>IF('Control Room'!$B$5="Normal",'Control Room'!$B$7,('Control Room'!$B$8+'Control Room'!$D$8)/2)+'Control Room'!$B$9*(AX545-IF('Control Room'!$B$5="Normal",'Control Room'!$B$7,('Control Room'!$B$8+'Control Room'!$D$8)/2))+SQRT(1-'Control Room'!$B$9^2)*(AW546-IF('Control Room'!$B$5="Normal",'Control Room'!$B$7,('Control Room'!$B$8+'Control Room'!$D$8)/2))</x:f>
        <x:v>1019.1019844687089</x:v>
      </x:c>
      <x:c r="AY546" s="17" t="n">
        <x:f>IF(AND($A546&gt;='Control Room'!$A$13,$A546&lt;'Control Room'!$A$13+'Control Room'!$B$13,'Process'!BT2=1),1+('Control Room'!$C$13-1)*EXP(-0.5*(($A546-'Control Room'!$A$13-('Control Room'!$B$13-1)/2)/MAX(0.5,'Control Room'!$B$13/4))^2),1)*IF(AND($A546&gt;='Control Room'!$A$14,$A546&lt;'Control Room'!$A$14+'Control Room'!$B$14,'Process'!BT3=1),1+('Control Room'!$C$14-1)*EXP(-0.5*(($A546-'Control Room'!$A$14-('Control Room'!$B$14-1)/2)/MAX(0.5,'Control Room'!$B$14/4))^2),1)*IF(AND($A546&gt;='Control Room'!$A$15,$A546&lt;'Control Room'!$A$15+'Control Room'!$B$15,'Process'!BT4=1),1+('Control Room'!$C$15-1)*EXP(-0.5*(($A546-'Control Room'!$A$15-('Control Room'!$B$15-1)/2)/MAX(0.5,'Control Room'!$B$15/4))^2),1)*IF(AND($A546&gt;='Control Room'!$A$16,$A546&lt;'Control Room'!$A$16+'Control Room'!$B$16,'Process'!BT5=1),1+('Control Room'!$C$16-1)*EXP(-0.5*(($A546-'Control Room'!$A$16-('Control Room'!$B$16-1)/2)/MAX(0.5,'Control Room'!$B$16/4))^2),1)</x:f>
        <x:v>1</x:v>
      </x:c>
      <x:c r="AZ546" s="9" t="n">
        <x:f>MOD(BA545*16807,2147483647)</x:f>
        <x:v>443286558</x:v>
      </x:c>
      <x:c r="BA546" s="9" t="n">
        <x:f>MOD(AZ546*16807,2147483647)</x:f>
        <x:v>696408863</x:v>
      </x:c>
      <x:c r="BB546" s="17" t="n">
        <x:f>IF('Control Room'!$B$5="Normal",'Control Room'!$B$7+'Control Room'!$D$7*SQRT(-2*LN(MAX(0.000000000001,AZ546/2147483647)))*COS(2*PI()*BA546/2147483647),'Control Room'!$B$8+('Control Room'!$D$8-'Control Room'!$B$8)*AZ546/2147483647)</x:f>
        <x:v>928.0525878110345</x:v>
      </x:c>
      <x:c r="BC546" s="17" t="n">
        <x:f>IF('Control Room'!$B$5="Normal",'Control Room'!$B$7,('Control Room'!$B$8+'Control Room'!$D$8)/2)+'Control Room'!$B$9*(BC545-IF('Control Room'!$B$5="Normal",'Control Room'!$B$7,('Control Room'!$B$8+'Control Room'!$D$8)/2))+SQRT(1-'Control Room'!$B$9^2)*(BB546-IF('Control Room'!$B$5="Normal",'Control Room'!$B$7,('Control Room'!$B$8+'Control Room'!$D$8)/2))</x:f>
        <x:v>998.8004885752372</x:v>
      </x:c>
      <x:c r="BD546" s="17" t="n">
        <x:f>IF(AND($A546&gt;='Control Room'!$A$13,$A546&lt;'Control Room'!$A$13+'Control Room'!$B$13,'Process'!BU2=1),1+('Control Room'!$C$13-1)*EXP(-0.5*(($A546-'Control Room'!$A$13-('Control Room'!$B$13-1)/2)/MAX(0.5,'Control Room'!$B$13/4))^2),1)*IF(AND($A546&gt;='Control Room'!$A$14,$A546&lt;'Control Room'!$A$14+'Control Room'!$B$14,'Process'!BU3=1),1+('Control Room'!$C$14-1)*EXP(-0.5*(($A546-'Control Room'!$A$14-('Control Room'!$B$14-1)/2)/MAX(0.5,'Control Room'!$B$14/4))^2),1)*IF(AND($A546&gt;='Control Room'!$A$15,$A546&lt;'Control Room'!$A$15+'Control Room'!$B$15,'Process'!BU4=1),1+('Control Room'!$C$15-1)*EXP(-0.5*(($A546-'Control Room'!$A$15-('Control Room'!$B$15-1)/2)/MAX(0.5,'Control Room'!$B$15/4))^2),1)*IF(AND($A546&gt;='Control Room'!$A$16,$A546&lt;'Control Room'!$A$16+'Control Room'!$B$16,'Process'!BU5=1),1+('Control Room'!$C$16-1)*EXP(-0.5*(($A546-'Control Room'!$A$16-('Control Room'!$B$16-1)/2)/MAX(0.5,'Control Room'!$B$16/4))^2),1)</x:f>
        <x:v>1</x:v>
      </x:c>
      <x:c r="BE546" s="9" t="n">
        <x:f>MOD(BF545*16807,2147483647)</x:f>
        <x:v>337312930</x:v>
      </x:c>
      <x:c r="BF546" s="9" t="n">
        <x:f>MOD(BE546*16807,2147483647)</x:f>
        <x:v>2009070077</x:v>
      </x:c>
      <x:c r="BG546" s="17" t="n">
        <x:f>IF('Control Room'!$B$5="Normal",'Control Room'!$B$7+'Control Room'!$D$7*SQRT(-2*LN(MAX(0.000000000001,BE546/2147483647)))*COS(2*PI()*BF546/2147483647),'Control Room'!$B$8+('Control Room'!$D$8-'Control Room'!$B$8)*BE546/2147483647)</x:f>
        <x:v>1159.1600239011034</x:v>
      </x:c>
      <x:c r="BH546" s="17" t="n">
        <x:f>IF('Control Room'!$B$5="Normal",'Control Room'!$B$7,('Control Room'!$B$8+'Control Room'!$D$8)/2)+'Control Room'!$B$9*(BH545-IF('Control Room'!$B$5="Normal",'Control Room'!$B$7,('Control Room'!$B$8+'Control Room'!$D$8)/2))+SQRT(1-'Control Room'!$B$9^2)*(BG546-IF('Control Room'!$B$5="Normal",'Control Room'!$B$7,('Control Room'!$B$8+'Control Room'!$D$8)/2))</x:f>
        <x:v>1081.0414941301992</x:v>
      </x:c>
      <x:c r="BI546" s="17" t="n">
        <x:f>IF(AND($A546&gt;='Control Room'!$A$13,$A546&lt;'Control Room'!$A$13+'Control Room'!$B$13,'Process'!BV2=1),1+('Control Room'!$C$13-1)*EXP(-0.5*(($A546-'Control Room'!$A$13-('Control Room'!$B$13-1)/2)/MAX(0.5,'Control Room'!$B$13/4))^2),1)*IF(AND($A546&gt;='Control Room'!$A$14,$A546&lt;'Control Room'!$A$14+'Control Room'!$B$14,'Process'!BV3=1),1+('Control Room'!$C$14-1)*EXP(-0.5*(($A546-'Control Room'!$A$14-('Control Room'!$B$14-1)/2)/MAX(0.5,'Control Room'!$B$14/4))^2),1)*IF(AND($A546&gt;='Control Room'!$A$15,$A546&lt;'Control Room'!$A$15+'Control Room'!$B$15,'Process'!BV4=1),1+('Control Room'!$C$15-1)*EXP(-0.5*(($A546-'Control Room'!$A$15-('Control Room'!$B$15-1)/2)/MAX(0.5,'Control Room'!$B$15/4))^2),1)*IF(AND($A546&gt;='Control Room'!$A$16,$A546&lt;'Control Room'!$A$16+'Control Room'!$B$16,'Process'!BV5=1),1+('Control Room'!$C$16-1)*EXP(-0.5*(($A546-'Control Room'!$A$16-('Control Room'!$B$16-1)/2)/MAX(0.5,'Control Room'!$B$16/4))^2),1)</x:f>
        <x:v>1</x:v>
      </x:c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Z546" t="str">
        <x:f>IF('Data'!A546="","",TEXT('Data'!A546,"mm-dd"))</x:f>
      </x:c>
    </x:row>
    <x:row r="547" ht="21" customHeight="1">
      <x:c r="A547" s="15" t="n">
        <x:f>'Control Room'!$B$1+545</x:f>
        <x:v>73536</x:v>
      </x:c>
      <x:c r="B547" s="9" t="n">
        <x:f>MOD(C546*16807,2147483647)</x:f>
        <x:v>1372638209</x:v>
      </x:c>
      <x:c r="C547" s="9" t="n">
        <x:f>MOD(B547*16807,2147483647)</x:f>
        <x:v>1661042589</x:v>
      </x:c>
      <x:c r="D547" s="17" t="n">
        <x:f>IF('Control Room'!$B$5="Normal",'Control Room'!$B$7+'Control Room'!$D$7*SQRT(-2*LN(MAX(0.000000000001,B547/2147483647)))*COS(2*PI()*C547/2147483647),'Control Room'!$B$8+('Control Room'!$D$8-'Control Room'!$B$8)*B547/2147483647)</x:f>
        <x:v>1012.5182878400163</x:v>
      </x:c>
      <x:c r="E547" s="17" t="n">
        <x:f>IF('Control Room'!$B$5="Normal",'Control Room'!$B$7,('Control Room'!$B$8+'Control Room'!$D$8)/2)+'Control Room'!$B$9*(E546-IF('Control Room'!$B$5="Normal",'Control Room'!$B$7,('Control Room'!$B$8+'Control Room'!$D$8)/2))+SQRT(1-'Control Room'!$B$9^2)*(D547-IF('Control Room'!$B$5="Normal",'Control Room'!$B$7,('Control Room'!$B$8+'Control Room'!$D$8)/2))</x:f>
        <x:v>1019.1989145362024</x:v>
      </x:c>
      <x:c r="F547" s="17" t="n">
        <x:f>IF(AND($A547&gt;='Control Room'!$A$13,$A547&lt;'Control Room'!$A$13+'Control Room'!$B$13,'Process'!BK2=1),1+('Control Room'!$C$13-1)*EXP(-0.5*(($A547-'Control Room'!$A$13-('Control Room'!$B$13-1)/2)/MAX(0.5,'Control Room'!$B$13/4))^2),1)*IF(AND($A547&gt;='Control Room'!$A$14,$A547&lt;'Control Room'!$A$14+'Control Room'!$B$14,'Process'!BK3=1),1+('Control Room'!$C$14-1)*EXP(-0.5*(($A547-'Control Room'!$A$14-('Control Room'!$B$14-1)/2)/MAX(0.5,'Control Room'!$B$14/4))^2),1)*IF(AND($A547&gt;='Control Room'!$A$15,$A547&lt;'Control Room'!$A$15+'Control Room'!$B$15,'Process'!BK4=1),1+('Control Room'!$C$15-1)*EXP(-0.5*(($A547-'Control Room'!$A$15-('Control Room'!$B$15-1)/2)/MAX(0.5,'Control Room'!$B$15/4))^2),1)*IF(AND($A547&gt;='Control Room'!$A$16,$A547&lt;'Control Room'!$A$16+'Control Room'!$B$16,'Process'!BK5=1),1+('Control Room'!$C$16-1)*EXP(-0.5*(($A547-'Control Room'!$A$16-('Control Room'!$B$16-1)/2)/MAX(0.5,'Control Room'!$B$16/4))^2),1)</x:f>
        <x:v>1</x:v>
      </x:c>
      <x:c r="G547" s="9" t="n">
        <x:f>MOD(H546*16807,2147483647)</x:f>
        <x:v>22672629</x:v>
      </x:c>
      <x:c r="H547" s="9" t="n">
        <x:f>MOD(G547*16807,2147483647)</x:f>
        <x:v>954270084</x:v>
      </x:c>
      <x:c r="I547" s="17" t="n">
        <x:f>IF('Control Room'!$B$5="Normal",'Control Room'!$B$7+'Control Room'!$D$7*SQRT(-2*LN(MAX(0.000000000001,G547/2147483647)))*COS(2*PI()*H547/2147483647),'Control Room'!$B$8+('Control Room'!$D$8-'Control Room'!$B$8)*G547/2147483647)</x:f>
        <x:v>744.8977270026198</x:v>
      </x:c>
      <x:c r="J547" s="17" t="n">
        <x:f>IF('Control Room'!$B$5="Normal",'Control Room'!$B$7,('Control Room'!$B$8+'Control Room'!$D$8)/2)+'Control Room'!$B$9*(J546-IF('Control Room'!$B$5="Normal",'Control Room'!$B$7,('Control Room'!$B$8+'Control Room'!$D$8)/2))+SQRT(1-'Control Room'!$B$9^2)*(I547-IF('Control Room'!$B$5="Normal",'Control Room'!$B$7,('Control Room'!$B$8+'Control Room'!$D$8)/2))</x:f>
        <x:v>866.2322649624513</x:v>
      </x:c>
      <x:c r="K547" s="17" t="n">
        <x:f>IF(AND($A547&gt;='Control Room'!$A$13,$A547&lt;'Control Room'!$A$13+'Control Room'!$B$13,'Process'!BL2=1),1+('Control Room'!$C$13-1)*EXP(-0.5*(($A547-'Control Room'!$A$13-('Control Room'!$B$13-1)/2)/MAX(0.5,'Control Room'!$B$13/4))^2),1)*IF(AND($A547&gt;='Control Room'!$A$14,$A547&lt;'Control Room'!$A$14+'Control Room'!$B$14,'Process'!BL3=1),1+('Control Room'!$C$14-1)*EXP(-0.5*(($A547-'Control Room'!$A$14-('Control Room'!$B$14-1)/2)/MAX(0.5,'Control Room'!$B$14/4))^2),1)*IF(AND($A547&gt;='Control Room'!$A$15,$A547&lt;'Control Room'!$A$15+'Control Room'!$B$15,'Process'!BL4=1),1+('Control Room'!$C$15-1)*EXP(-0.5*(($A547-'Control Room'!$A$15-('Control Room'!$B$15-1)/2)/MAX(0.5,'Control Room'!$B$15/4))^2),1)*IF(AND($A547&gt;='Control Room'!$A$16,$A547&lt;'Control Room'!$A$16+'Control Room'!$B$16,'Process'!BL5=1),1+('Control Room'!$C$16-1)*EXP(-0.5*(($A547-'Control Room'!$A$16-('Control Room'!$B$16-1)/2)/MAX(0.5,'Control Room'!$B$16/4))^2),1)</x:f>
        <x:v>1</x:v>
      </x:c>
      <x:c r="L547" s="9" t="n">
        <x:f>MOD(M546*16807,2147483647)</x:f>
        <x:v>820190696</x:v>
      </x:c>
      <x:c r="M547" s="9" t="n">
        <x:f>MOD(L547*16807,2147483647)</x:f>
        <x:v>247497579</x:v>
      </x:c>
      <x:c r="N547" s="17" t="n">
        <x:f>IF('Control Room'!$B$5="Normal",'Control Room'!$B$7+'Control Room'!$D$7*SQRT(-2*LN(MAX(0.000000000001,L547/2147483647)))*COS(2*PI()*M547/2147483647),'Control Room'!$B$8+('Control Room'!$D$8-'Control Room'!$B$8)*L547/2147483647)</x:f>
        <x:v>1093.5372054622167</x:v>
      </x:c>
      <x:c r="O547" s="17" t="n">
        <x:f>IF('Control Room'!$B$5="Normal",'Control Room'!$B$7,('Control Room'!$B$8+'Control Room'!$D$8)/2)+'Control Room'!$B$9*(O546-IF('Control Room'!$B$5="Normal",'Control Room'!$B$7,('Control Room'!$B$8+'Control Room'!$D$8)/2))+SQRT(1-'Control Room'!$B$9^2)*(N547-IF('Control Room'!$B$5="Normal",'Control Room'!$B$7,('Control Room'!$B$8+'Control Room'!$D$8)/2))</x:f>
        <x:v>1030.1501608533542</x:v>
      </x:c>
      <x:c r="P547" s="17" t="n">
        <x:f>IF(AND($A547&gt;='Control Room'!$A$13,$A547&lt;'Control Room'!$A$13+'Control Room'!$B$13,'Process'!BM2=1),1+('Control Room'!$C$13-1)*EXP(-0.5*(($A547-'Control Room'!$A$13-('Control Room'!$B$13-1)/2)/MAX(0.5,'Control Room'!$B$13/4))^2),1)*IF(AND($A547&gt;='Control Room'!$A$14,$A547&lt;'Control Room'!$A$14+'Control Room'!$B$14,'Process'!BM3=1),1+('Control Room'!$C$14-1)*EXP(-0.5*(($A547-'Control Room'!$A$14-('Control Room'!$B$14-1)/2)/MAX(0.5,'Control Room'!$B$14/4))^2),1)*IF(AND($A547&gt;='Control Room'!$A$15,$A547&lt;'Control Room'!$A$15+'Control Room'!$B$15,'Process'!BM4=1),1+('Control Room'!$C$15-1)*EXP(-0.5*(($A547-'Control Room'!$A$15-('Control Room'!$B$15-1)/2)/MAX(0.5,'Control Room'!$B$15/4))^2),1)*IF(AND($A547&gt;='Control Room'!$A$16,$A547&lt;'Control Room'!$A$16+'Control Room'!$B$16,'Process'!BM5=1),1+('Control Room'!$C$16-1)*EXP(-0.5*(($A547-'Control Room'!$A$16-('Control Room'!$B$16-1)/2)/MAX(0.5,'Control Room'!$B$16/4))^2),1)</x:f>
        <x:v>1</x:v>
      </x:c>
      <x:c r="Q547" s="9" t="n">
        <x:f>MOD(R546*16807,2147483647)</x:f>
        <x:v>1617708763</x:v>
      </x:c>
      <x:c r="R547" s="9" t="n">
        <x:f>MOD(Q547*16807,2147483647)</x:f>
        <x:v>1688208721</x:v>
      </x:c>
      <x:c r="S547" s="17" t="n">
        <x:f>IF('Control Room'!$B$5="Normal",'Control Room'!$B$7+'Control Room'!$D$7*SQRT(-2*LN(MAX(0.000000000001,Q547/2147483647)))*COS(2*PI()*R547/2147483647),'Control Room'!$B$8+('Control Room'!$D$8-'Control Room'!$B$8)*Q547/2147483647)</x:f>
        <x:v>1015.2483191488853</x:v>
      </x:c>
      <x:c r="T547" s="17" t="n">
        <x:f>IF('Control Room'!$B$5="Normal",'Control Room'!$B$7,('Control Room'!$B$8+'Control Room'!$D$8)/2)+'Control Room'!$B$9*(T546-IF('Control Room'!$B$5="Normal",'Control Room'!$B$7,('Control Room'!$B$8+'Control Room'!$D$8)/2))+SQRT(1-'Control Room'!$B$9^2)*(S547-IF('Control Room'!$B$5="Normal",'Control Room'!$B$7,('Control Room'!$B$8+'Control Room'!$D$8)/2))</x:f>
        <x:v>1018.2462729150802</x:v>
      </x:c>
      <x:c r="U547" s="17" t="n">
        <x:f>IF(AND($A547&gt;='Control Room'!$A$13,$A547&lt;'Control Room'!$A$13+'Control Room'!$B$13,'Process'!BN2=1),1+('Control Room'!$C$13-1)*EXP(-0.5*(($A547-'Control Room'!$A$13-('Control Room'!$B$13-1)/2)/MAX(0.5,'Control Room'!$B$13/4))^2),1)*IF(AND($A547&gt;='Control Room'!$A$14,$A547&lt;'Control Room'!$A$14+'Control Room'!$B$14,'Process'!BN3=1),1+('Control Room'!$C$14-1)*EXP(-0.5*(($A547-'Control Room'!$A$14-('Control Room'!$B$14-1)/2)/MAX(0.5,'Control Room'!$B$14/4))^2),1)*IF(AND($A547&gt;='Control Room'!$A$15,$A547&lt;'Control Room'!$A$15+'Control Room'!$B$15,'Process'!BN4=1),1+('Control Room'!$C$15-1)*EXP(-0.5*(($A547-'Control Room'!$A$15-('Control Room'!$B$15-1)/2)/MAX(0.5,'Control Room'!$B$15/4))^2),1)*IF(AND($A547&gt;='Control Room'!$A$16,$A547&lt;'Control Room'!$A$16+'Control Room'!$B$16,'Process'!BN5=1),1+('Control Room'!$C$16-1)*EXP(-0.5*(($A547-'Control Room'!$A$16-('Control Room'!$B$16-1)/2)/MAX(0.5,'Control Room'!$B$16/4))^2),1)</x:f>
        <x:v>1</x:v>
      </x:c>
      <x:c r="V547" s="9" t="n">
        <x:f>MOD(W546*16807,2147483647)</x:f>
        <x:v>267743183</x:v>
      </x:c>
      <x:c r="W547" s="9" t="n">
        <x:f>MOD(V547*16807,2147483647)</x:f>
        <x:v>981436216</x:v>
      </x:c>
      <x:c r="X547" s="17" t="n">
        <x:f>IF('Control Room'!$B$5="Normal",'Control Room'!$B$7+'Control Room'!$D$7*SQRT(-2*LN(MAX(0.000000000001,V547/2147483647)))*COS(2*PI()*W547/2147483647),'Control Room'!$B$8+('Control Room'!$D$8-'Control Room'!$B$8)*V547/2147483647)</x:f>
        <x:v>823.0031189639038</x:v>
      </x:c>
      <x:c r="Y547" s="17" t="n">
        <x:f>IF('Control Room'!$B$5="Normal",'Control Room'!$B$7,('Control Room'!$B$8+'Control Room'!$D$8)/2)+'Control Room'!$B$9*(Y546-IF('Control Room'!$B$5="Normal",'Control Room'!$B$7,('Control Room'!$B$8+'Control Room'!$D$8)/2))+SQRT(1-'Control Room'!$B$9^2)*(X547-IF('Control Room'!$B$5="Normal",'Control Room'!$B$7,('Control Room'!$B$8+'Control Room'!$D$8)/2))</x:f>
        <x:v>932.9966738046065</x:v>
      </x:c>
      <x:c r="Z547" s="17" t="n">
        <x:f>IF(AND($A547&gt;='Control Room'!$A$13,$A547&lt;'Control Room'!$A$13+'Control Room'!$B$13,'Process'!BO2=1),1+('Control Room'!$C$13-1)*EXP(-0.5*(($A547-'Control Room'!$A$13-('Control Room'!$B$13-1)/2)/MAX(0.5,'Control Room'!$B$13/4))^2),1)*IF(AND($A547&gt;='Control Room'!$A$14,$A547&lt;'Control Room'!$A$14+'Control Room'!$B$14,'Process'!BO3=1),1+('Control Room'!$C$14-1)*EXP(-0.5*(($A547-'Control Room'!$A$14-('Control Room'!$B$14-1)/2)/MAX(0.5,'Control Room'!$B$14/4))^2),1)*IF(AND($A547&gt;='Control Room'!$A$15,$A547&lt;'Control Room'!$A$15+'Control Room'!$B$15,'Process'!BO4=1),1+('Control Room'!$C$15-1)*EXP(-0.5*(($A547-'Control Room'!$A$15-('Control Room'!$B$15-1)/2)/MAX(0.5,'Control Room'!$B$15/4))^2),1)*IF(AND($A547&gt;='Control Room'!$A$16,$A547&lt;'Control Room'!$A$16+'Control Room'!$B$16,'Process'!BO5=1),1+('Control Room'!$C$16-1)*EXP(-0.5*(($A547-'Control Room'!$A$16-('Control Room'!$B$16-1)/2)/MAX(0.5,'Control Room'!$B$16/4))^2),1)</x:f>
        <x:v>1</x:v>
      </x:c>
      <x:c r="AA547" s="9" t="n">
        <x:f>MOD(AB546*16807,2147483647)</x:f>
        <x:v>1065261250</x:v>
      </x:c>
      <x:c r="AB547" s="9" t="n">
        <x:f>MOD(AA547*16807,2147483647)</x:f>
        <x:v>274663711</x:v>
      </x:c>
      <x:c r="AC547" s="17" t="n">
        <x:f>IF('Control Room'!$B$5="Normal",'Control Room'!$B$7+'Control Room'!$D$7*SQRT(-2*LN(MAX(0.000000000001,AA547/2147483647)))*COS(2*PI()*AB547/2147483647),'Control Room'!$B$8+('Control Room'!$D$8-'Control Room'!$B$8)*AA547/2147483647)</x:f>
        <x:v>1073.9716293976446</x:v>
      </x:c>
      <x:c r="AD547" s="17" t="n">
        <x:f>IF('Control Room'!$B$5="Normal",'Control Room'!$B$7,('Control Room'!$B$8+'Control Room'!$D$8)/2)+'Control Room'!$B$9*(AD546-IF('Control Room'!$B$5="Normal",'Control Room'!$B$7,('Control Room'!$B$8+'Control Room'!$D$8)/2))+SQRT(1-'Control Room'!$B$9^2)*(AC547-IF('Control Room'!$B$5="Normal",'Control Room'!$B$7,('Control Room'!$B$8+'Control Room'!$D$8)/2))</x:f>
        <x:v>1020.2814184881793</x:v>
      </x:c>
      <x:c r="AE547" s="17" t="n">
        <x:f>IF(AND($A547&gt;='Control Room'!$A$13,$A547&lt;'Control Room'!$A$13+'Control Room'!$B$13,'Process'!BP2=1),1+('Control Room'!$C$13-1)*EXP(-0.5*(($A547-'Control Room'!$A$13-('Control Room'!$B$13-1)/2)/MAX(0.5,'Control Room'!$B$13/4))^2),1)*IF(AND($A547&gt;='Control Room'!$A$14,$A547&lt;'Control Room'!$A$14+'Control Room'!$B$14,'Process'!BP3=1),1+('Control Room'!$C$14-1)*EXP(-0.5*(($A547-'Control Room'!$A$14-('Control Room'!$B$14-1)/2)/MAX(0.5,'Control Room'!$B$14/4))^2),1)*IF(AND($A547&gt;='Control Room'!$A$15,$A547&lt;'Control Room'!$A$15+'Control Room'!$B$15,'Process'!BP4=1),1+('Control Room'!$C$15-1)*EXP(-0.5*(($A547-'Control Room'!$A$15-('Control Room'!$B$15-1)/2)/MAX(0.5,'Control Room'!$B$15/4))^2),1)*IF(AND($A547&gt;='Control Room'!$A$16,$A547&lt;'Control Room'!$A$16+'Control Room'!$B$16,'Process'!BP5=1),1+('Control Room'!$C$16-1)*EXP(-0.5*(($A547-'Control Room'!$A$16-('Control Room'!$B$16-1)/2)/MAX(0.5,'Control Room'!$B$16/4))^2),1)</x:f>
        <x:v>1</x:v>
      </x:c>
      <x:c r="AF547" s="9" t="n">
        <x:f>MOD(AG546*16807,2147483647)</x:f>
        <x:v>1862779317</x:v>
      </x:c>
      <x:c r="AG547" s="9" t="n">
        <x:f>MOD(AF547*16807,2147483647)</x:f>
        <x:v>1715374853</x:v>
      </x:c>
      <x:c r="AH547" s="17" t="n">
        <x:f>IF('Control Room'!$B$5="Normal",'Control Room'!$B$7+'Control Room'!$D$7*SQRT(-2*LN(MAX(0.000000000001,AF547/2147483647)))*COS(2*PI()*AG547/2147483647),'Control Room'!$B$8+('Control Room'!$D$8-'Control Room'!$B$8)*AF547/2147483647)</x:f>
        <x:v>1014.4837515615129</x:v>
      </x:c>
      <x:c r="AI547" s="17" t="n">
        <x:f>IF('Control Room'!$B$5="Normal",'Control Room'!$B$7,('Control Room'!$B$8+'Control Room'!$D$8)/2)+'Control Room'!$B$9*(AI546-IF('Control Room'!$B$5="Normal",'Control Room'!$B$7,('Control Room'!$B$8+'Control Room'!$D$8)/2))+SQRT(1-'Control Room'!$B$9^2)*(AH547-IF('Control Room'!$B$5="Normal",'Control Room'!$B$7,('Control Room'!$B$8+'Control Room'!$D$8)/2))</x:f>
        <x:v>1014.4896945538216</x:v>
      </x:c>
      <x:c r="AJ547" s="17" t="n">
        <x:f>IF(AND($A547&gt;='Control Room'!$A$13,$A547&lt;'Control Room'!$A$13+'Control Room'!$B$13,'Process'!BQ2=1),1+('Control Room'!$C$13-1)*EXP(-0.5*(($A547-'Control Room'!$A$13-('Control Room'!$B$13-1)/2)/MAX(0.5,'Control Room'!$B$13/4))^2),1)*IF(AND($A547&gt;='Control Room'!$A$14,$A547&lt;'Control Room'!$A$14+'Control Room'!$B$14,'Process'!BQ3=1),1+('Control Room'!$C$14-1)*EXP(-0.5*(($A547-'Control Room'!$A$14-('Control Room'!$B$14-1)/2)/MAX(0.5,'Control Room'!$B$14/4))^2),1)*IF(AND($A547&gt;='Control Room'!$A$15,$A547&lt;'Control Room'!$A$15+'Control Room'!$B$15,'Process'!BQ4=1),1+('Control Room'!$C$15-1)*EXP(-0.5*(($A547-'Control Room'!$A$15-('Control Room'!$B$15-1)/2)/MAX(0.5,'Control Room'!$B$15/4))^2),1)*IF(AND($A547&gt;='Control Room'!$A$16,$A547&lt;'Control Room'!$A$16+'Control Room'!$B$16,'Process'!BQ5=1),1+('Control Room'!$C$16-1)*EXP(-0.5*(($A547-'Control Room'!$A$16-('Control Room'!$B$16-1)/2)/MAX(0.5,'Control Room'!$B$16/4))^2),1)</x:f>
        <x:v>1</x:v>
      </x:c>
      <x:c r="AK547" s="9" t="n">
        <x:f>MOD(AL546*16807,2147483647)</x:f>
        <x:v>512813737</x:v>
      </x:c>
      <x:c r="AL547" s="9" t="n">
        <x:f>MOD(AK547*16807,2147483647)</x:f>
        <x:v>1008602348</x:v>
      </x:c>
      <x:c r="AM547" s="17" t="n">
        <x:f>IF('Control Room'!$B$5="Normal",'Control Room'!$B$7+'Control Room'!$D$7*SQRT(-2*LN(MAX(0.000000000001,AK547/2147483647)))*COS(2*PI()*AL547/2147483647),'Control Room'!$B$8+('Control Room'!$D$8-'Control Room'!$B$8)*AK547/2147483647)</x:f>
        <x:v>850.4403761834606</x:v>
      </x:c>
      <x:c r="AN547" s="17" t="n">
        <x:f>IF('Control Room'!$B$5="Normal",'Control Room'!$B$7,('Control Room'!$B$8+'Control Room'!$D$8)/2)+'Control Room'!$B$9*(AN546-IF('Control Room'!$B$5="Normal",'Control Room'!$B$7,('Control Room'!$B$8+'Control Room'!$D$8)/2))+SQRT(1-'Control Room'!$B$9^2)*(AM547-IF('Control Room'!$B$5="Normal",'Control Room'!$B$7,('Control Room'!$B$8+'Control Room'!$D$8)/2))</x:f>
        <x:v>893.6869776878697</x:v>
      </x:c>
      <x:c r="AO547" s="17" t="n">
        <x:f>IF(AND($A547&gt;='Control Room'!$A$13,$A547&lt;'Control Room'!$A$13+'Control Room'!$B$13,'Process'!BR2=1),1+('Control Room'!$C$13-1)*EXP(-0.5*(($A547-'Control Room'!$A$13-('Control Room'!$B$13-1)/2)/MAX(0.5,'Control Room'!$B$13/4))^2),1)*IF(AND($A547&gt;='Control Room'!$A$14,$A547&lt;'Control Room'!$A$14+'Control Room'!$B$14,'Process'!BR3=1),1+('Control Room'!$C$14-1)*EXP(-0.5*(($A547-'Control Room'!$A$14-('Control Room'!$B$14-1)/2)/MAX(0.5,'Control Room'!$B$14/4))^2),1)*IF(AND($A547&gt;='Control Room'!$A$15,$A547&lt;'Control Room'!$A$15+'Control Room'!$B$15,'Process'!BR4=1),1+('Control Room'!$C$15-1)*EXP(-0.5*(($A547-'Control Room'!$A$15-('Control Room'!$B$15-1)/2)/MAX(0.5,'Control Room'!$B$15/4))^2),1)*IF(AND($A547&gt;='Control Room'!$A$16,$A547&lt;'Control Room'!$A$16+'Control Room'!$B$16,'Process'!BR5=1),1+('Control Room'!$C$16-1)*EXP(-0.5*(($A547-'Control Room'!$A$16-('Control Room'!$B$16-1)/2)/MAX(0.5,'Control Room'!$B$16/4))^2),1)</x:f>
        <x:v>1</x:v>
      </x:c>
      <x:c r="AP547" s="9" t="n">
        <x:f>MOD(AQ546*16807,2147483647)</x:f>
        <x:v>1310331804</x:v>
      </x:c>
      <x:c r="AQ547" s="9" t="n">
        <x:f>MOD(AP547*16807,2147483647)</x:f>
        <x:v>301829843</x:v>
      </x:c>
      <x:c r="AR547" s="17" t="n">
        <x:f>IF('Control Room'!$B$5="Normal",'Control Room'!$B$7+'Control Room'!$D$7*SQRT(-2*LN(MAX(0.000000000001,AP547/2147483647)))*COS(2*PI()*AQ547/2147483647),'Control Room'!$B$8+('Control Room'!$D$8-'Control Room'!$B$8)*AP547/2147483647)</x:f>
        <x:v>1056.7851054307587</x:v>
      </x:c>
      <x:c r="AS547" s="17" t="n">
        <x:f>IF('Control Room'!$B$5="Normal",'Control Room'!$B$7,('Control Room'!$B$8+'Control Room'!$D$8)/2)+'Control Room'!$B$9*(AS546-IF('Control Room'!$B$5="Normal",'Control Room'!$B$7,('Control Room'!$B$8+'Control Room'!$D$8)/2))+SQRT(1-'Control Room'!$B$9^2)*(AR547-IF('Control Room'!$B$5="Normal",'Control Room'!$B$7,('Control Room'!$B$8+'Control Room'!$D$8)/2))</x:f>
        <x:v>1107.7871670334646</x:v>
      </x:c>
      <x:c r="AT547" s="17" t="n">
        <x:f>IF(AND($A547&gt;='Control Room'!$A$13,$A547&lt;'Control Room'!$A$13+'Control Room'!$B$13,'Process'!BS2=1),1+('Control Room'!$C$13-1)*EXP(-0.5*(($A547-'Control Room'!$A$13-('Control Room'!$B$13-1)/2)/MAX(0.5,'Control Room'!$B$13/4))^2),1)*IF(AND($A547&gt;='Control Room'!$A$14,$A547&lt;'Control Room'!$A$14+'Control Room'!$B$14,'Process'!BS3=1),1+('Control Room'!$C$14-1)*EXP(-0.5*(($A547-'Control Room'!$A$14-('Control Room'!$B$14-1)/2)/MAX(0.5,'Control Room'!$B$14/4))^2),1)*IF(AND($A547&gt;='Control Room'!$A$15,$A547&lt;'Control Room'!$A$15+'Control Room'!$B$15,'Process'!BS4=1),1+('Control Room'!$C$15-1)*EXP(-0.5*(($A547-'Control Room'!$A$15-('Control Room'!$B$15-1)/2)/MAX(0.5,'Control Room'!$B$15/4))^2),1)*IF(AND($A547&gt;='Control Room'!$A$16,$A547&lt;'Control Room'!$A$16+'Control Room'!$B$16,'Process'!BS5=1),1+('Control Room'!$C$16-1)*EXP(-0.5*(($A547-'Control Room'!$A$16-('Control Room'!$B$16-1)/2)/MAX(0.5,'Control Room'!$B$16/4))^2),1)</x:f>
        <x:v>1</x:v>
      </x:c>
      <x:c r="AU547" s="9" t="n">
        <x:f>MOD(AV546*16807,2147483647)</x:f>
        <x:v>2107849871</x:v>
      </x:c>
      <x:c r="AV547" s="9" t="n">
        <x:f>MOD(AU547*16807,2147483647)</x:f>
        <x:v>1742540985</x:v>
      </x:c>
      <x:c r="AW547" s="17" t="n">
        <x:f>IF('Control Room'!$B$5="Normal",'Control Room'!$B$7+'Control Room'!$D$7*SQRT(-2*LN(MAX(0.000000000001,AU547/2147483647)))*COS(2*PI()*AV547/2147483647),'Control Room'!$B$8+('Control Room'!$D$8-'Control Room'!$B$8)*AU547/2147483647)</x:f>
        <x:v>1006.5402405397873</x:v>
      </x:c>
      <x:c r="AX547" s="17" t="n">
        <x:f>IF('Control Room'!$B$5="Normal",'Control Room'!$B$7,('Control Room'!$B$8+'Control Room'!$D$8)/2)+'Control Room'!$B$9*(AX546-IF('Control Room'!$B$5="Normal",'Control Room'!$B$7,('Control Room'!$B$8+'Control Room'!$D$8)/2))+SQRT(1-'Control Room'!$B$9^2)*(AW547-IF('Control Room'!$B$5="Normal",'Control Room'!$B$7,('Control Room'!$B$8+'Control Room'!$D$8)/2))</x:f>
        <x:v>1018.9922964312817</x:v>
      </x:c>
      <x:c r="AY547" s="17" t="n">
        <x:f>IF(AND($A547&gt;='Control Room'!$A$13,$A547&lt;'Control Room'!$A$13+'Control Room'!$B$13,'Process'!BT2=1),1+('Control Room'!$C$13-1)*EXP(-0.5*(($A547-'Control Room'!$A$13-('Control Room'!$B$13-1)/2)/MAX(0.5,'Control Room'!$B$13/4))^2),1)*IF(AND($A547&gt;='Control Room'!$A$14,$A547&lt;'Control Room'!$A$14+'Control Room'!$B$14,'Process'!BT3=1),1+('Control Room'!$C$14-1)*EXP(-0.5*(($A547-'Control Room'!$A$14-('Control Room'!$B$14-1)/2)/MAX(0.5,'Control Room'!$B$14/4))^2),1)*IF(AND($A547&gt;='Control Room'!$A$15,$A547&lt;'Control Room'!$A$15+'Control Room'!$B$15,'Process'!BT4=1),1+('Control Room'!$C$15-1)*EXP(-0.5*(($A547-'Control Room'!$A$15-('Control Room'!$B$15-1)/2)/MAX(0.5,'Control Room'!$B$15/4))^2),1)*IF(AND($A547&gt;='Control Room'!$A$16,$A547&lt;'Control Room'!$A$16+'Control Room'!$B$16,'Process'!BT5=1),1+('Control Room'!$C$16-1)*EXP(-0.5*(($A547-'Control Room'!$A$16-('Control Room'!$B$16-1)/2)/MAX(0.5,'Control Room'!$B$16/4))^2),1)</x:f>
        <x:v>1</x:v>
      </x:c>
      <x:c r="AZ547" s="9" t="n">
        <x:f>MOD(BA546*16807,2147483647)</x:f>
        <x:v>757884291</x:v>
      </x:c>
      <x:c r="BA547" s="9" t="n">
        <x:f>MOD(AZ547*16807,2147483647)</x:f>
        <x:v>1035768480</x:v>
      </x:c>
      <x:c r="BB547" s="17" t="n">
        <x:f>IF('Control Room'!$B$5="Normal",'Control Room'!$B$7+'Control Room'!$D$7*SQRT(-2*LN(MAX(0.000000000001,AZ547/2147483647)))*COS(2*PI()*BA547/2147483647),'Control Room'!$B$8+('Control Room'!$D$8-'Control Room'!$B$8)*AZ547/2147483647)</x:f>
        <x:v>870.9061422440427</x:v>
      </x:c>
      <x:c r="BC547" s="17" t="n">
        <x:f>IF('Control Room'!$B$5="Normal",'Control Room'!$B$7,('Control Room'!$B$8+'Control Room'!$D$8)/2)+'Control Room'!$B$9*(BC546-IF('Control Room'!$B$5="Normal",'Control Room'!$B$7,('Control Room'!$B$8+'Control Room'!$D$8)/2))+SQRT(1-'Control Room'!$B$9^2)*(BB547-IF('Control Room'!$B$5="Normal",'Control Room'!$B$7,('Control Room'!$B$8+'Control Room'!$D$8)/2))</x:f>
        <x:v>918.2800895364315</x:v>
      </x:c>
      <x:c r="BD547" s="17" t="n">
        <x:f>IF(AND($A547&gt;='Control Room'!$A$13,$A547&lt;'Control Room'!$A$13+'Control Room'!$B$13,'Process'!BU2=1),1+('Control Room'!$C$13-1)*EXP(-0.5*(($A547-'Control Room'!$A$13-('Control Room'!$B$13-1)/2)/MAX(0.5,'Control Room'!$B$13/4))^2),1)*IF(AND($A547&gt;='Control Room'!$A$14,$A547&lt;'Control Room'!$A$14+'Control Room'!$B$14,'Process'!BU3=1),1+('Control Room'!$C$14-1)*EXP(-0.5*(($A547-'Control Room'!$A$14-('Control Room'!$B$14-1)/2)/MAX(0.5,'Control Room'!$B$14/4))^2),1)*IF(AND($A547&gt;='Control Room'!$A$15,$A547&lt;'Control Room'!$A$15+'Control Room'!$B$15,'Process'!BU4=1),1+('Control Room'!$C$15-1)*EXP(-0.5*(($A547-'Control Room'!$A$15-('Control Room'!$B$15-1)/2)/MAX(0.5,'Control Room'!$B$15/4))^2),1)*IF(AND($A547&gt;='Control Room'!$A$16,$A547&lt;'Control Room'!$A$16+'Control Room'!$B$16,'Process'!BU5=1),1+('Control Room'!$C$16-1)*EXP(-0.5*(($A547-'Control Room'!$A$16-('Control Room'!$B$16-1)/2)/MAX(0.5,'Control Room'!$B$16/4))^2),1)</x:f>
        <x:v>1</x:v>
      </x:c>
      <x:c r="BE547" s="9" t="n">
        <x:f>MOD(BF546*16807,2147483647)</x:f>
        <x:v>1555402358</x:v>
      </x:c>
      <x:c r="BF547" s="9" t="n">
        <x:f>MOD(BE547*16807,2147483647)</x:f>
        <x:v>328995975</x:v>
      </x:c>
      <x:c r="BG547" s="17" t="n">
        <x:f>IF('Control Room'!$B$5="Normal",'Control Room'!$B$7+'Control Room'!$D$7*SQRT(-2*LN(MAX(0.000000000001,BE547/2147483647)))*COS(2*PI()*BF547/2147483647),'Control Room'!$B$8+('Control Room'!$D$8-'Control Room'!$B$8)*BE547/2147483647)</x:f>
        <x:v>1041.305031671705</x:v>
      </x:c>
      <x:c r="BH547" s="17" t="n">
        <x:f>IF('Control Room'!$B$5="Normal",'Control Room'!$B$7,('Control Room'!$B$8+'Control Room'!$D$8)/2)+'Control Room'!$B$9*(BH546-IF('Control Room'!$B$5="Normal",'Control Room'!$B$7,('Control Room'!$B$8+'Control Room'!$D$8)/2))+SQRT(1-'Control Room'!$B$9^2)*(BG547-IF('Control Room'!$B$5="Normal",'Control Room'!$B$7,('Control Room'!$B$8+'Control Room'!$D$8)/2))</x:f>
        <x:v>1089.0602080621406</x:v>
      </x:c>
      <x:c r="BI547" s="17" t="n">
        <x:f>IF(AND($A547&gt;='Control Room'!$A$13,$A547&lt;'Control Room'!$A$13+'Control Room'!$B$13,'Process'!BV2=1),1+('Control Room'!$C$13-1)*EXP(-0.5*(($A547-'Control Room'!$A$13-('Control Room'!$B$13-1)/2)/MAX(0.5,'Control Room'!$B$13/4))^2),1)*IF(AND($A547&gt;='Control Room'!$A$14,$A547&lt;'Control Room'!$A$14+'Control Room'!$B$14,'Process'!BV3=1),1+('Control Room'!$C$14-1)*EXP(-0.5*(($A547-'Control Room'!$A$14-('Control Room'!$B$14-1)/2)/MAX(0.5,'Control Room'!$B$14/4))^2),1)*IF(AND($A547&gt;='Control Room'!$A$15,$A547&lt;'Control Room'!$A$15+'Control Room'!$B$15,'Process'!BV4=1),1+('Control Room'!$C$15-1)*EXP(-0.5*(($A547-'Control Room'!$A$15-('Control Room'!$B$15-1)/2)/MAX(0.5,'Control Room'!$B$15/4))^2),1)*IF(AND($A547&gt;='Control Room'!$A$16,$A547&lt;'Control Room'!$A$16+'Control Room'!$B$16,'Process'!BV5=1),1+('Control Room'!$C$16-1)*EXP(-0.5*(($A547-'Control Room'!$A$16-('Control Room'!$B$16-1)/2)/MAX(0.5,'Control Room'!$B$16/4))^2),1)</x:f>
        <x:v>1</x:v>
      </x:c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Z547" t="str">
        <x:f>IF('Data'!A547="","",TEXT('Data'!A547,"mm-dd"))</x:f>
      </x:c>
    </x:row>
    <x:row r="548" ht="21" customHeight="1">
      <x:c r="A548" s="15" t="n">
        <x:f>'Control Room'!$B$1+546</x:f>
        <x:v>73537</x:v>
      </x:c>
      <x:c r="B548" s="9" t="n">
        <x:f>MOD(C547*16807,2147483647)</x:f>
        <x:v>2002865970</x:v>
      </x:c>
      <x:c r="C548" s="9" t="n">
        <x:f>MOD(B548*16807,2147483647)</x:f>
        <x:v>362191065</x:v>
      </x:c>
      <x:c r="D548" s="17" t="n">
        <x:f>IF('Control Room'!$B$5="Normal",'Control Room'!$B$7+'Control Room'!$D$7*SQRT(-2*LN(MAX(0.000000000001,B548/2147483647)))*COS(2*PI()*C548/2147483647),'Control Room'!$B$8+('Control Room'!$D$8-'Control Room'!$B$8)*B548/2147483647)</x:f>
        <x:v>1016.4379386959562</x:v>
      </x:c>
      <x:c r="E548" s="17" t="n">
        <x:f>IF('Control Room'!$B$5="Normal",'Control Room'!$B$7,('Control Room'!$B$8+'Control Room'!$D$8)/2)+'Control Room'!$B$9*(E547-IF('Control Room'!$B$5="Normal",'Control Room'!$B$7,('Control Room'!$B$8+'Control Room'!$D$8)/2))+SQRT(1-'Control Room'!$B$9^2)*(D548-IF('Control Room'!$B$5="Normal",'Control Room'!$B$7,('Control Room'!$B$8+'Control Room'!$D$8)/2))</x:f>
        <x:v>1025.261678624689</x:v>
      </x:c>
      <x:c r="F548" s="17" t="n">
        <x:f>IF(AND($A548&gt;='Control Room'!$A$13,$A548&lt;'Control Room'!$A$13+'Control Room'!$B$13,'Process'!BK2=1),1+('Control Room'!$C$13-1)*EXP(-0.5*(($A548-'Control Room'!$A$13-('Control Room'!$B$13-1)/2)/MAX(0.5,'Control Room'!$B$13/4))^2),1)*IF(AND($A548&gt;='Control Room'!$A$14,$A548&lt;'Control Room'!$A$14+'Control Room'!$B$14,'Process'!BK3=1),1+('Control Room'!$C$14-1)*EXP(-0.5*(($A548-'Control Room'!$A$14-('Control Room'!$B$14-1)/2)/MAX(0.5,'Control Room'!$B$14/4))^2),1)*IF(AND($A548&gt;='Control Room'!$A$15,$A548&lt;'Control Room'!$A$15+'Control Room'!$B$15,'Process'!BK4=1),1+('Control Room'!$C$15-1)*EXP(-0.5*(($A548-'Control Room'!$A$15-('Control Room'!$B$15-1)/2)/MAX(0.5,'Control Room'!$B$15/4))^2),1)*IF(AND($A548&gt;='Control Room'!$A$16,$A548&lt;'Control Room'!$A$16+'Control Room'!$B$16,'Process'!BK5=1),1+('Control Room'!$C$16-1)*EXP(-0.5*(($A548-'Control Room'!$A$16-('Control Room'!$B$16-1)/2)/MAX(0.5,'Control Room'!$B$16/4))^2),1)</x:f>
        <x:v>1</x:v>
      </x:c>
      <x:c r="G548" s="9" t="n">
        <x:f>MOD(H547*16807,2147483647)</x:f>
        <x:v>1009425992</x:v>
      </x:c>
      <x:c r="H548" s="9" t="n">
        <x:f>MOD(G548*16807,2147483647)</x:f>
        <x:v>301836244</x:v>
      </x:c>
      <x:c r="I548" s="17" t="n">
        <x:f>IF('Control Room'!$B$5="Normal",'Control Room'!$B$7+'Control Room'!$D$7*SQRT(-2*LN(MAX(0.000000000001,G548/2147483647)))*COS(2*PI()*H548/2147483647),'Control Room'!$B$8+('Control Room'!$D$8-'Control Room'!$B$8)*G548/2147483647)</x:f>
        <x:v>1070.1944649788152</x:v>
      </x:c>
      <x:c r="J548" s="17" t="n">
        <x:f>IF('Control Room'!$B$5="Normal",'Control Room'!$B$7,('Control Room'!$B$8+'Control Room'!$D$8)/2)+'Control Room'!$B$9*(J547-IF('Control Room'!$B$5="Normal",'Control Room'!$B$7,('Control Room'!$B$8+'Control Room'!$D$8)/2))+SQRT(1-'Control Room'!$B$9^2)*(I548-IF('Control Room'!$B$5="Normal",'Control Room'!$B$7,('Control Room'!$B$8+'Control Room'!$D$8)/2))</x:f>
        <x:v>939.5874248426765</x:v>
      </x:c>
      <x:c r="K548" s="17" t="n">
        <x:f>IF(AND($A548&gt;='Control Room'!$A$13,$A548&lt;'Control Room'!$A$13+'Control Room'!$B$13,'Process'!BL2=1),1+('Control Room'!$C$13-1)*EXP(-0.5*(($A548-'Control Room'!$A$13-('Control Room'!$B$13-1)/2)/MAX(0.5,'Control Room'!$B$13/4))^2),1)*IF(AND($A548&gt;='Control Room'!$A$14,$A548&lt;'Control Room'!$A$14+'Control Room'!$B$14,'Process'!BL3=1),1+('Control Room'!$C$14-1)*EXP(-0.5*(($A548-'Control Room'!$A$14-('Control Room'!$B$14-1)/2)/MAX(0.5,'Control Room'!$B$14/4))^2),1)*IF(AND($A548&gt;='Control Room'!$A$15,$A548&lt;'Control Room'!$A$15+'Control Room'!$B$15,'Process'!BL4=1),1+('Control Room'!$C$15-1)*EXP(-0.5*(($A548-'Control Room'!$A$15-('Control Room'!$B$15-1)/2)/MAX(0.5,'Control Room'!$B$15/4))^2),1)*IF(AND($A548&gt;='Control Room'!$A$16,$A548&lt;'Control Room'!$A$16+'Control Room'!$B$16,'Process'!BL5=1),1+('Control Room'!$C$16-1)*EXP(-0.5*(($A548-'Control Room'!$A$16-('Control Room'!$B$16-1)/2)/MAX(0.5,'Control Room'!$B$16/4))^2),1)</x:f>
        <x:v>1</x:v>
      </x:c>
      <x:c r="L548" s="9" t="n">
        <x:f>MOD(M547*16807,2147483647)</x:f>
        <x:v>15986014</x:v>
      </x:c>
      <x:c r="M548" s="9" t="n">
        <x:f>MOD(L548*16807,2147483647)</x:f>
        <x:v>241481423</x:v>
      </x:c>
      <x:c r="N548" s="17" t="n">
        <x:f>IF('Control Room'!$B$5="Normal",'Control Room'!$B$7+'Control Room'!$D$7*SQRT(-2*LN(MAX(0.000000000001,L548/2147483647)))*COS(2*PI()*M548/2147483647),'Control Room'!$B$8+('Control Room'!$D$8-'Control Room'!$B$8)*L548/2147483647)</x:f>
        <x:v>1214.3067751222588</x:v>
      </x:c>
      <x:c r="O548" s="17" t="n">
        <x:f>IF('Control Room'!$B$5="Normal",'Control Room'!$B$7,('Control Room'!$B$8+'Control Room'!$D$8)/2)+'Control Room'!$B$9*(O547-IF('Control Room'!$B$5="Normal",'Control Room'!$B$7,('Control Room'!$B$8+'Control Room'!$D$8)/2))+SQRT(1-'Control Room'!$B$9^2)*(N548-IF('Control Room'!$B$5="Normal",'Control Room'!$B$7,('Control Room'!$B$8+'Control Room'!$D$8)/2))</x:f>
        <x:v>1157.6259150242029</x:v>
      </x:c>
      <x:c r="P548" s="17" t="n">
        <x:f>IF(AND($A548&gt;='Control Room'!$A$13,$A548&lt;'Control Room'!$A$13+'Control Room'!$B$13,'Process'!BM2=1),1+('Control Room'!$C$13-1)*EXP(-0.5*(($A548-'Control Room'!$A$13-('Control Room'!$B$13-1)/2)/MAX(0.5,'Control Room'!$B$13/4))^2),1)*IF(AND($A548&gt;='Control Room'!$A$14,$A548&lt;'Control Room'!$A$14+'Control Room'!$B$14,'Process'!BM3=1),1+('Control Room'!$C$14-1)*EXP(-0.5*(($A548-'Control Room'!$A$14-('Control Room'!$B$14-1)/2)/MAX(0.5,'Control Room'!$B$14/4))^2),1)*IF(AND($A548&gt;='Control Room'!$A$15,$A548&lt;'Control Room'!$A$15+'Control Room'!$B$15,'Process'!BM4=1),1+('Control Room'!$C$15-1)*EXP(-0.5*(($A548-'Control Room'!$A$15-('Control Room'!$B$15-1)/2)/MAX(0.5,'Control Room'!$B$15/4))^2),1)*IF(AND($A548&gt;='Control Room'!$A$16,$A548&lt;'Control Room'!$A$16+'Control Room'!$B$16,'Process'!BM5=1),1+('Control Room'!$C$16-1)*EXP(-0.5*(($A548-'Control Room'!$A$16-('Control Room'!$B$16-1)/2)/MAX(0.5,'Control Room'!$B$16/4))^2),1)</x:f>
        <x:v>1</x:v>
      </x:c>
      <x:c r="Q548" s="9" t="n">
        <x:f>MOD(R547*16807,2147483647)</x:f>
        <x:v>1170029683</x:v>
      </x:c>
      <x:c r="R548" s="9" t="n">
        <x:f>MOD(Q548*16807,2147483647)</x:f>
        <x:v>181126602</x:v>
      </x:c>
      <x:c r="S548" s="17" t="n">
        <x:f>IF('Control Room'!$B$5="Normal",'Control Room'!$B$7+'Control Room'!$D$7*SQRT(-2*LN(MAX(0.000000000001,Q548/2147483647)))*COS(2*PI()*R548/2147483647),'Control Room'!$B$8+('Control Room'!$D$8-'Control Room'!$B$8)*Q548/2147483647)</x:f>
        <x:v>1085.580499890056</x:v>
      </x:c>
      <x:c r="T548" s="17" t="n">
        <x:f>IF('Control Room'!$B$5="Normal",'Control Room'!$B$7,('Control Room'!$B$8+'Control Room'!$D$8)/2)+'Control Room'!$B$9*(T547-IF('Control Room'!$B$5="Normal",'Control Room'!$B$7,('Control Room'!$B$8+'Control Room'!$D$8)/2))+SQRT(1-'Control Room'!$B$9^2)*(S548-IF('Control Room'!$B$5="Normal",'Control Room'!$B$7,('Control Room'!$B$8+'Control Room'!$D$8)/2))</x:f>
        <x:v>1067.7866164931238</x:v>
      </x:c>
      <x:c r="U548" s="17" t="n">
        <x:f>IF(AND($A548&gt;='Control Room'!$A$13,$A548&lt;'Control Room'!$A$13+'Control Room'!$B$13,'Process'!BN2=1),1+('Control Room'!$C$13-1)*EXP(-0.5*(($A548-'Control Room'!$A$13-('Control Room'!$B$13-1)/2)/MAX(0.5,'Control Room'!$B$13/4))^2),1)*IF(AND($A548&gt;='Control Room'!$A$14,$A548&lt;'Control Room'!$A$14+'Control Room'!$B$14,'Process'!BN3=1),1+('Control Room'!$C$14-1)*EXP(-0.5*(($A548-'Control Room'!$A$14-('Control Room'!$B$14-1)/2)/MAX(0.5,'Control Room'!$B$14/4))^2),1)*IF(AND($A548&gt;='Control Room'!$A$15,$A548&lt;'Control Room'!$A$15+'Control Room'!$B$15,'Process'!BN4=1),1+('Control Room'!$C$15-1)*EXP(-0.5*(($A548-'Control Room'!$A$15-('Control Room'!$B$15-1)/2)/MAX(0.5,'Control Room'!$B$15/4))^2),1)*IF(AND($A548&gt;='Control Room'!$A$16,$A548&lt;'Control Room'!$A$16+'Control Room'!$B$16,'Process'!BN5=1),1+('Control Room'!$C$16-1)*EXP(-0.5*(($A548-'Control Room'!$A$16-('Control Room'!$B$16-1)/2)/MAX(0.5,'Control Room'!$B$16/4))^2),1)</x:f>
        <x:v>1</x:v>
      </x:c>
      <x:c r="V548" s="9" t="n">
        <x:f>MOD(W547*16807,2147483647)</x:f>
        <x:v>176589705</x:v>
      </x:c>
      <x:c r="W548" s="9" t="n">
        <x:f>MOD(V548*16807,2147483647)</x:f>
        <x:v>120771781</x:v>
      </x:c>
      <x:c r="X548" s="17" t="n">
        <x:f>IF('Control Room'!$B$5="Normal",'Control Room'!$B$7+'Control Room'!$D$7*SQRT(-2*LN(MAX(0.000000000001,V548/2147483647)))*COS(2*PI()*W548/2147483647),'Control Room'!$B$8+('Control Room'!$D$8-'Control Room'!$B$8)*V548/2147483647)</x:f>
        <x:v>1188.745176446998</x:v>
      </x:c>
      <x:c r="Y548" s="17" t="n">
        <x:f>IF('Control Room'!$B$5="Normal",'Control Room'!$B$7,('Control Room'!$B$8+'Control Room'!$D$8)/2)+'Control Room'!$B$9*(Y547-IF('Control Room'!$B$5="Normal",'Control Room'!$B$7,('Control Room'!$B$8+'Control Room'!$D$8)/2))+SQRT(1-'Control Room'!$B$9^2)*(X548-IF('Control Room'!$B$5="Normal",'Control Room'!$B$7,('Control Room'!$B$8+'Control Room'!$D$8)/2))</x:f>
        <x:v>1065.8502703330134</x:v>
      </x:c>
      <x:c r="Z548" s="17" t="n">
        <x:f>IF(AND($A548&gt;='Control Room'!$A$13,$A548&lt;'Control Room'!$A$13+'Control Room'!$B$13,'Process'!BO2=1),1+('Control Room'!$C$13-1)*EXP(-0.5*(($A548-'Control Room'!$A$13-('Control Room'!$B$13-1)/2)/MAX(0.5,'Control Room'!$B$13/4))^2),1)*IF(AND($A548&gt;='Control Room'!$A$14,$A548&lt;'Control Room'!$A$14+'Control Room'!$B$14,'Process'!BO3=1),1+('Control Room'!$C$14-1)*EXP(-0.5*(($A548-'Control Room'!$A$14-('Control Room'!$B$14-1)/2)/MAX(0.5,'Control Room'!$B$14/4))^2),1)*IF(AND($A548&gt;='Control Room'!$A$15,$A548&lt;'Control Room'!$A$15+'Control Room'!$B$15,'Process'!BO4=1),1+('Control Room'!$C$15-1)*EXP(-0.5*(($A548-'Control Room'!$A$15-('Control Room'!$B$15-1)/2)/MAX(0.5,'Control Room'!$B$15/4))^2),1)*IF(AND($A548&gt;='Control Room'!$A$16,$A548&lt;'Control Room'!$A$16+'Control Room'!$B$16,'Process'!BO5=1),1+('Control Room'!$C$16-1)*EXP(-0.5*(($A548-'Control Room'!$A$16-('Control Room'!$B$16-1)/2)/MAX(0.5,'Control Room'!$B$16/4))^2),1)</x:f>
        <x:v>1</x:v>
      </x:c>
      <x:c r="AA548" s="9" t="n">
        <x:f>MOD(AB547*16807,2147483647)</x:f>
        <x:v>1330633374</x:v>
      </x:c>
      <x:c r="AB548" s="9" t="n">
        <x:f>MOD(AA548*16807,2147483647)</x:f>
        <x:v>60416960</x:v>
      </x:c>
      <x:c r="AC548" s="17" t="n">
        <x:f>IF('Control Room'!$B$5="Normal",'Control Room'!$B$7+'Control Room'!$D$7*SQRT(-2*LN(MAX(0.000000000001,AA548/2147483647)))*COS(2*PI()*AB548/2147483647),'Control Room'!$B$8+('Control Room'!$D$8-'Control Room'!$B$8)*AA548/2147483647)</x:f>
        <x:v>1086.6845693634832</x:v>
      </x:c>
      <x:c r="AD548" s="17" t="n">
        <x:f>IF('Control Room'!$B$5="Normal",'Control Room'!$B$7,('Control Room'!$B$8+'Control Room'!$D$8)/2)+'Control Room'!$B$9*(AD547-IF('Control Room'!$B$5="Normal",'Control Room'!$B$7,('Control Room'!$B$8+'Control Room'!$D$8)/2))+SQRT(1-'Control Room'!$B$9^2)*(AC548-IF('Control Room'!$B$5="Normal",'Control Room'!$B$7,('Control Room'!$B$8+'Control Room'!$D$8)/2))</x:f>
        <x:v>1070.0649340985192</x:v>
      </x:c>
      <x:c r="AE548" s="17" t="n">
        <x:f>IF(AND($A548&gt;='Control Room'!$A$13,$A548&lt;'Control Room'!$A$13+'Control Room'!$B$13,'Process'!BP2=1),1+('Control Room'!$C$13-1)*EXP(-0.5*(($A548-'Control Room'!$A$13-('Control Room'!$B$13-1)/2)/MAX(0.5,'Control Room'!$B$13/4))^2),1)*IF(AND($A548&gt;='Control Room'!$A$14,$A548&lt;'Control Room'!$A$14+'Control Room'!$B$14,'Process'!BP3=1),1+('Control Room'!$C$14-1)*EXP(-0.5*(($A548-'Control Room'!$A$14-('Control Room'!$B$14-1)/2)/MAX(0.5,'Control Room'!$B$14/4))^2),1)*IF(AND($A548&gt;='Control Room'!$A$15,$A548&lt;'Control Room'!$A$15+'Control Room'!$B$15,'Process'!BP4=1),1+('Control Room'!$C$15-1)*EXP(-0.5*(($A548-'Control Room'!$A$15-('Control Room'!$B$15-1)/2)/MAX(0.5,'Control Room'!$B$15/4))^2),1)*IF(AND($A548&gt;='Control Room'!$A$16,$A548&lt;'Control Room'!$A$16+'Control Room'!$B$16,'Process'!BP5=1),1+('Control Room'!$C$16-1)*EXP(-0.5*(($A548-'Control Room'!$A$16-('Control Room'!$B$16-1)/2)/MAX(0.5,'Control Room'!$B$16/4))^2),1)</x:f>
        <x:v>1</x:v>
      </x:c>
      <x:c r="AF548" s="9" t="n">
        <x:f>MOD(AG547*16807,2147483647)</x:f>
        <x:v>337193396</x:v>
      </x:c>
      <x:c r="AG548" s="9" t="n">
        <x:f>MOD(AF548*16807,2147483647)</x:f>
        <x:v>62139</x:v>
      </x:c>
      <x:c r="AH548" s="17" t="n">
        <x:f>IF('Control Room'!$B$5="Normal",'Control Room'!$B$7+'Control Room'!$D$7*SQRT(-2*LN(MAX(0.000000000001,AF548/2147483647)))*COS(2*PI()*AG548/2147483647),'Control Room'!$B$8+('Control Room'!$D$8-'Control Room'!$B$8)*AF548/2147483647)</x:f>
        <x:v>1173.1837303360603</x:v>
      </x:c>
      <x:c r="AI548" s="17" t="n">
        <x:f>IF('Control Room'!$B$5="Normal",'Control Room'!$B$7,('Control Room'!$B$8+'Control Room'!$D$8)/2)+'Control Room'!$B$9*(AI547-IF('Control Room'!$B$5="Normal",'Control Room'!$B$7,('Control Room'!$B$8+'Control Room'!$D$8)/2))+SQRT(1-'Control Room'!$B$9^2)*(AH548-IF('Control Room'!$B$5="Normal",'Control Room'!$B$7,('Control Room'!$B$8+'Control Room'!$D$8)/2))</x:f>
        <x:v>1119.676792334728</x:v>
      </x:c>
      <x:c r="AJ548" s="17" t="n">
        <x:f>IF(AND($A548&gt;='Control Room'!$A$13,$A548&lt;'Control Room'!$A$13+'Control Room'!$B$13,'Process'!BQ2=1),1+('Control Room'!$C$13-1)*EXP(-0.5*(($A548-'Control Room'!$A$13-('Control Room'!$B$13-1)/2)/MAX(0.5,'Control Room'!$B$13/4))^2),1)*IF(AND($A548&gt;='Control Room'!$A$14,$A548&lt;'Control Room'!$A$14+'Control Room'!$B$14,'Process'!BQ3=1),1+('Control Room'!$C$14-1)*EXP(-0.5*(($A548-'Control Room'!$A$14-('Control Room'!$B$14-1)/2)/MAX(0.5,'Control Room'!$B$14/4))^2),1)*IF(AND($A548&gt;='Control Room'!$A$15,$A548&lt;'Control Room'!$A$15+'Control Room'!$B$15,'Process'!BQ4=1),1+('Control Room'!$C$15-1)*EXP(-0.5*(($A548-'Control Room'!$A$15-('Control Room'!$B$15-1)/2)/MAX(0.5,'Control Room'!$B$15/4))^2),1)*IF(AND($A548&gt;='Control Room'!$A$16,$A548&lt;'Control Room'!$A$16+'Control Room'!$B$16,'Process'!BQ5=1),1+('Control Room'!$C$16-1)*EXP(-0.5*(($A548-'Control Room'!$A$16-('Control Room'!$B$16-1)/2)/MAX(0.5,'Control Room'!$B$16/4))^2),1)</x:f>
        <x:v>1</x:v>
      </x:c>
      <x:c r="AK548" s="9" t="n">
        <x:f>MOD(AL547*16807,2147483647)</x:f>
        <x:v>1491237065</x:v>
      </x:c>
      <x:c r="AL548" s="9" t="n">
        <x:f>MOD(AK548*16807,2147483647)</x:f>
        <x:v>2087190965</x:v>
      </x:c>
      <x:c r="AM548" s="17" t="n">
        <x:f>IF('Control Room'!$B$5="Normal",'Control Room'!$B$7+'Control Room'!$D$7*SQRT(-2*LN(MAX(0.000000000001,AK548/2147483647)))*COS(2*PI()*AL548/2147483647),'Control Room'!$B$8+('Control Room'!$D$8-'Control Room'!$B$8)*AK548/2147483647)</x:f>
        <x:v>1075.670581759828</x:v>
      </x:c>
      <x:c r="AN548" s="17" t="n">
        <x:f>IF('Control Room'!$B$5="Normal",'Control Room'!$B$7,('Control Room'!$B$8+'Control Room'!$D$8)/2)+'Control Room'!$B$9*(AN547-IF('Control Room'!$B$5="Normal",'Control Room'!$B$7,('Control Room'!$B$8+'Control Room'!$D$8)/2))+SQRT(1-'Control Room'!$B$9^2)*(AM548-IF('Control Room'!$B$5="Normal",'Control Room'!$B$7,('Control Room'!$B$8+'Control Room'!$D$8)/2))</x:f>
        <x:v>964.4289424657107</x:v>
      </x:c>
      <x:c r="AO548" s="17" t="n">
        <x:f>IF(AND($A548&gt;='Control Room'!$A$13,$A548&lt;'Control Room'!$A$13+'Control Room'!$B$13,'Process'!BR2=1),1+('Control Room'!$C$13-1)*EXP(-0.5*(($A548-'Control Room'!$A$13-('Control Room'!$B$13-1)/2)/MAX(0.5,'Control Room'!$B$13/4))^2),1)*IF(AND($A548&gt;='Control Room'!$A$14,$A548&lt;'Control Room'!$A$14+'Control Room'!$B$14,'Process'!BR3=1),1+('Control Room'!$C$14-1)*EXP(-0.5*(($A548-'Control Room'!$A$14-('Control Room'!$B$14-1)/2)/MAX(0.5,'Control Room'!$B$14/4))^2),1)*IF(AND($A548&gt;='Control Room'!$A$15,$A548&lt;'Control Room'!$A$15+'Control Room'!$B$15,'Process'!BR4=1),1+('Control Room'!$C$15-1)*EXP(-0.5*(($A548-'Control Room'!$A$15-('Control Room'!$B$15-1)/2)/MAX(0.5,'Control Room'!$B$15/4))^2),1)*IF(AND($A548&gt;='Control Room'!$A$16,$A548&lt;'Control Room'!$A$16+'Control Room'!$B$16,'Process'!BR5=1),1+('Control Room'!$C$16-1)*EXP(-0.5*(($A548-'Control Room'!$A$16-('Control Room'!$B$16-1)/2)/MAX(0.5,'Control Room'!$B$16/4))^2),1)</x:f>
        <x:v>1</x:v>
      </x:c>
      <x:c r="AP548" s="9" t="n">
        <x:f>MOD(AQ547*16807,2147483647)</x:f>
        <x:v>497797087</x:v>
      </x:c>
      <x:c r="AQ548" s="9" t="n">
        <x:f>MOD(AP548*16807,2147483647)</x:f>
        <x:v>2026836144</x:v>
      </x:c>
      <x:c r="AR548" s="17" t="n">
        <x:f>IF('Control Room'!$B$5="Normal",'Control Room'!$B$7+'Control Room'!$D$7*SQRT(-2*LN(MAX(0.000000000001,AP548/2147483647)))*COS(2*PI()*AQ548/2147483647),'Control Room'!$B$8+('Control Room'!$D$8-'Control Room'!$B$8)*AP548/2147483647)</x:f>
        <x:v>1144.401361123197</x:v>
      </x:c>
      <x:c r="AS548" s="17" t="n">
        <x:f>IF('Control Room'!$B$5="Normal",'Control Room'!$B$7,('Control Room'!$B$8+'Control Room'!$D$8)/2)+'Control Room'!$B$9*(AS547-IF('Control Room'!$B$5="Normal",'Control Room'!$B$7,('Control Room'!$B$8+'Control Room'!$D$8)/2))+SQRT(1-'Control Room'!$B$9^2)*(AR548-IF('Control Room'!$B$5="Normal",'Control Room'!$B$7,('Control Room'!$B$8+'Control Room'!$D$8)/2))</x:f>
        <x:v>1174.4374038543226</x:v>
      </x:c>
      <x:c r="AT548" s="17" t="n">
        <x:f>IF(AND($A548&gt;='Control Room'!$A$13,$A548&lt;'Control Room'!$A$13+'Control Room'!$B$13,'Process'!BS2=1),1+('Control Room'!$C$13-1)*EXP(-0.5*(($A548-'Control Room'!$A$13-('Control Room'!$B$13-1)/2)/MAX(0.5,'Control Room'!$B$13/4))^2),1)*IF(AND($A548&gt;='Control Room'!$A$14,$A548&lt;'Control Room'!$A$14+'Control Room'!$B$14,'Process'!BS3=1),1+('Control Room'!$C$14-1)*EXP(-0.5*(($A548-'Control Room'!$A$14-('Control Room'!$B$14-1)/2)/MAX(0.5,'Control Room'!$B$14/4))^2),1)*IF(AND($A548&gt;='Control Room'!$A$15,$A548&lt;'Control Room'!$A$15+'Control Room'!$B$15,'Process'!BS4=1),1+('Control Room'!$C$15-1)*EXP(-0.5*(($A548-'Control Room'!$A$15-('Control Room'!$B$15-1)/2)/MAX(0.5,'Control Room'!$B$15/4))^2),1)*IF(AND($A548&gt;='Control Room'!$A$16,$A548&lt;'Control Room'!$A$16+'Control Room'!$B$16,'Process'!BS5=1),1+('Control Room'!$C$16-1)*EXP(-0.5*(($A548-'Control Room'!$A$16-('Control Room'!$B$16-1)/2)/MAX(0.5,'Control Room'!$B$16/4))^2),1)</x:f>
        <x:v>1</x:v>
      </x:c>
      <x:c r="AU548" s="9" t="n">
        <x:f>MOD(AV547*16807,2147483647)</x:f>
        <x:v>1651840756</x:v>
      </x:c>
      <x:c r="AV548" s="9" t="n">
        <x:f>MOD(AU548*16807,2147483647)</x:f>
        <x:v>1966481323</x:v>
      </x:c>
      <x:c r="AW548" s="17" t="n">
        <x:f>IF('Control Room'!$B$5="Normal",'Control Room'!$B$7+'Control Room'!$D$7*SQRT(-2*LN(MAX(0.000000000001,AU548/2147483647)))*COS(2*PI()*AV548/2147483647),'Control Room'!$B$8+('Control Room'!$D$8-'Control Room'!$B$8)*AU548/2147483647)</x:f>
        <x:v>1056.2683922704252</x:v>
      </x:c>
      <x:c r="AX548" s="17" t="n">
        <x:f>IF('Control Room'!$B$5="Normal",'Control Room'!$B$7,('Control Room'!$B$8+'Control Room'!$D$8)/2)+'Control Room'!$B$9*(AX547-IF('Control Room'!$B$5="Normal",'Control Room'!$B$7,('Control Room'!$B$8+'Control Room'!$D$8)/2))+SQRT(1-'Control Room'!$B$9^2)*(AW548-IF('Control Room'!$B$5="Normal",'Control Room'!$B$7,('Control Room'!$B$8+'Control Room'!$D$8)/2))</x:f>
        <x:v>1050.0255983785603</x:v>
      </x:c>
      <x:c r="AY548" s="17" t="n">
        <x:f>IF(AND($A548&gt;='Control Room'!$A$13,$A548&lt;'Control Room'!$A$13+'Control Room'!$B$13,'Process'!BT2=1),1+('Control Room'!$C$13-1)*EXP(-0.5*(($A548-'Control Room'!$A$13-('Control Room'!$B$13-1)/2)/MAX(0.5,'Control Room'!$B$13/4))^2),1)*IF(AND($A548&gt;='Control Room'!$A$14,$A548&lt;'Control Room'!$A$14+'Control Room'!$B$14,'Process'!BT3=1),1+('Control Room'!$C$14-1)*EXP(-0.5*(($A548-'Control Room'!$A$14-('Control Room'!$B$14-1)/2)/MAX(0.5,'Control Room'!$B$14/4))^2),1)*IF(AND($A548&gt;='Control Room'!$A$15,$A548&lt;'Control Room'!$A$15+'Control Room'!$B$15,'Process'!BT4=1),1+('Control Room'!$C$15-1)*EXP(-0.5*(($A548-'Control Room'!$A$15-('Control Room'!$B$15-1)/2)/MAX(0.5,'Control Room'!$B$15/4))^2),1)*IF(AND($A548&gt;='Control Room'!$A$16,$A548&lt;'Control Room'!$A$16+'Control Room'!$B$16,'Process'!BT5=1),1+('Control Room'!$C$16-1)*EXP(-0.5*(($A548-'Control Room'!$A$16-('Control Room'!$B$16-1)/2)/MAX(0.5,'Control Room'!$B$16/4))^2),1)</x:f>
        <x:v>1</x:v>
      </x:c>
      <x:c r="AZ548" s="9" t="n">
        <x:f>MOD(BA547*16807,2147483647)</x:f>
        <x:v>658400778</x:v>
      </x:c>
      <x:c r="BA548" s="9" t="n">
        <x:f>MOD(AZ548*16807,2147483647)</x:f>
        <x:v>1906126502</x:v>
      </x:c>
      <x:c r="BB548" s="17" t="n">
        <x:f>IF('Control Room'!$B$5="Normal",'Control Room'!$B$7+'Control Room'!$D$7*SQRT(-2*LN(MAX(0.000000000001,AZ548/2147483647)))*COS(2*PI()*BA548/2147483647),'Control Room'!$B$8+('Control Room'!$D$8-'Control Room'!$B$8)*AZ548/2147483647)</x:f>
        <x:v>1105.2955753564136</x:v>
      </x:c>
      <x:c r="BC548" s="17" t="n">
        <x:f>IF('Control Room'!$B$5="Normal",'Control Room'!$B$7,('Control Room'!$B$8+'Control Room'!$D$8)/2)+'Control Room'!$B$9*(BC547-IF('Control Room'!$B$5="Normal",'Control Room'!$B$7,('Control Room'!$B$8+'Control Room'!$D$8)/2))+SQRT(1-'Control Room'!$B$9^2)*(BB548-IF('Control Room'!$B$5="Normal",'Control Room'!$B$7,('Control Room'!$B$8+'Control Room'!$D$8)/2))</x:f>
        <x:v>1002.1502837993504</x:v>
      </x:c>
      <x:c r="BD548" s="17" t="n">
        <x:f>IF(AND($A548&gt;='Control Room'!$A$13,$A548&lt;'Control Room'!$A$13+'Control Room'!$B$13,'Process'!BU2=1),1+('Control Room'!$C$13-1)*EXP(-0.5*(($A548-'Control Room'!$A$13-('Control Room'!$B$13-1)/2)/MAX(0.5,'Control Room'!$B$13/4))^2),1)*IF(AND($A548&gt;='Control Room'!$A$14,$A548&lt;'Control Room'!$A$14+'Control Room'!$B$14,'Process'!BU3=1),1+('Control Room'!$C$14-1)*EXP(-0.5*(($A548-'Control Room'!$A$14-('Control Room'!$B$14-1)/2)/MAX(0.5,'Control Room'!$B$14/4))^2),1)*IF(AND($A548&gt;='Control Room'!$A$15,$A548&lt;'Control Room'!$A$15+'Control Room'!$B$15,'Process'!BU4=1),1+('Control Room'!$C$15-1)*EXP(-0.5*(($A548-'Control Room'!$A$15-('Control Room'!$B$15-1)/2)/MAX(0.5,'Control Room'!$B$15/4))^2),1)*IF(AND($A548&gt;='Control Room'!$A$16,$A548&lt;'Control Room'!$A$16+'Control Room'!$B$16,'Process'!BU5=1),1+('Control Room'!$C$16-1)*EXP(-0.5*(($A548-'Control Room'!$A$16-('Control Room'!$B$16-1)/2)/MAX(0.5,'Control Room'!$B$16/4))^2),1)</x:f>
        <x:v>1</x:v>
      </x:c>
      <x:c r="BE548" s="9" t="n">
        <x:f>MOD(BF547*16807,2147483647)</x:f>
        <x:v>1812444447</x:v>
      </x:c>
      <x:c r="BF548" s="9" t="n">
        <x:f>MOD(BE548*16807,2147483647)</x:f>
        <x:v>1845771681</x:v>
      </x:c>
      <x:c r="BG548" s="17" t="n">
        <x:f>IF('Control Room'!$B$5="Normal",'Control Room'!$B$7+'Control Room'!$D$7*SQRT(-2*LN(MAX(0.000000000001,BE548/2147483647)))*COS(2*PI()*BF548/2147483647),'Control Room'!$B$8+('Control Room'!$D$8-'Control Room'!$B$8)*BE548/2147483647)</x:f>
        <x:v>1033.287789518049</x:v>
      </x:c>
      <x:c r="BH548" s="17" t="n">
        <x:f>IF('Control Room'!$B$5="Normal",'Control Room'!$B$7,('Control Room'!$B$8+'Control Room'!$D$8)/2)+'Control Room'!$B$9*(BH547-IF('Control Room'!$B$5="Normal",'Control Room'!$B$7,('Control Room'!$B$8+'Control Room'!$D$8)/2))+SQRT(1-'Control Room'!$B$9^2)*(BG548-IF('Control Room'!$B$5="Normal",'Control Room'!$B$7,('Control Room'!$B$8+'Control Room'!$D$8)/2))</x:f>
        <x:v>1090.2977790314299</x:v>
      </x:c>
      <x:c r="BI548" s="17" t="n">
        <x:f>IF(AND($A548&gt;='Control Room'!$A$13,$A548&lt;'Control Room'!$A$13+'Control Room'!$B$13,'Process'!BV2=1),1+('Control Room'!$C$13-1)*EXP(-0.5*(($A548-'Control Room'!$A$13-('Control Room'!$B$13-1)/2)/MAX(0.5,'Control Room'!$B$13/4))^2),1)*IF(AND($A548&gt;='Control Room'!$A$14,$A548&lt;'Control Room'!$A$14+'Control Room'!$B$14,'Process'!BV3=1),1+('Control Room'!$C$14-1)*EXP(-0.5*(($A548-'Control Room'!$A$14-('Control Room'!$B$14-1)/2)/MAX(0.5,'Control Room'!$B$14/4))^2),1)*IF(AND($A548&gt;='Control Room'!$A$15,$A548&lt;'Control Room'!$A$15+'Control Room'!$B$15,'Process'!BV4=1),1+('Control Room'!$C$15-1)*EXP(-0.5*(($A548-'Control Room'!$A$15-('Control Room'!$B$15-1)/2)/MAX(0.5,'Control Room'!$B$15/4))^2),1)*IF(AND($A548&gt;='Control Room'!$A$16,$A548&lt;'Control Room'!$A$16+'Control Room'!$B$16,'Process'!BV5=1),1+('Control Room'!$C$16-1)*EXP(-0.5*(($A548-'Control Room'!$A$16-('Control Room'!$B$16-1)/2)/MAX(0.5,'Control Room'!$B$16/4))^2),1)</x:f>
        <x:v>1</x:v>
      </x:c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Z548" t="str">
        <x:f>IF('Data'!A548="","",TEXT('Data'!A548,"mm-dd"))</x:f>
      </x:c>
    </x:row>
    <x:row r="549" ht="21" customHeight="1">
      <x:c r="A549" s="15" t="n">
        <x:f>'Control Room'!$B$1+547</x:f>
        <x:v>73538</x:v>
      </x:c>
      <x:c r="B549" s="9" t="n">
        <x:f>MOD(C548*16807,2147483647)</x:f>
        <x:v>1376573857</x:v>
      </x:c>
      <x:c r="C549" s="9" t="n">
        <x:f>MOD(B549*16807,2147483647)</x:f>
        <x:v>1235485468</x:v>
      </x:c>
      <x:c r="D549" s="17" t="n">
        <x:f>IF('Control Room'!$B$5="Normal",'Control Room'!$B$7+'Control Room'!$D$7*SQRT(-2*LN(MAX(0.000000000001,B549/2147483647)))*COS(2*PI()*C549/2147483647),'Control Room'!$B$8+('Control Room'!$D$8-'Control Room'!$B$8)*B549/2147483647)</x:f>
        <x:v>924.451018965496</x:v>
      </x:c>
      <x:c r="E549" s="17" t="n">
        <x:f>IF('Control Room'!$B$5="Normal",'Control Room'!$B$7,('Control Room'!$B$8+'Control Room'!$D$8)/2)+'Control Room'!$B$9*(E548-IF('Control Room'!$B$5="Normal",'Control Room'!$B$7,('Control Room'!$B$8+'Control Room'!$D$8)/2))+SQRT(1-'Control Room'!$B$9^2)*(D549-IF('Control Room'!$B$5="Normal",'Control Room'!$B$7,('Control Room'!$B$8+'Control Room'!$D$8)/2))</x:f>
        <x:v>972.4271047008666</x:v>
      </x:c>
      <x:c r="F549" s="17" t="n">
        <x:f>IF(AND($A549&gt;='Control Room'!$A$13,$A549&lt;'Control Room'!$A$13+'Control Room'!$B$13,'Process'!BK2=1),1+('Control Room'!$C$13-1)*EXP(-0.5*(($A549-'Control Room'!$A$13-('Control Room'!$B$13-1)/2)/MAX(0.5,'Control Room'!$B$13/4))^2),1)*IF(AND($A549&gt;='Control Room'!$A$14,$A549&lt;'Control Room'!$A$14+'Control Room'!$B$14,'Process'!BK3=1),1+('Control Room'!$C$14-1)*EXP(-0.5*(($A549-'Control Room'!$A$14-('Control Room'!$B$14-1)/2)/MAX(0.5,'Control Room'!$B$14/4))^2),1)*IF(AND($A549&gt;='Control Room'!$A$15,$A549&lt;'Control Room'!$A$15+'Control Room'!$B$15,'Process'!BK4=1),1+('Control Room'!$C$15-1)*EXP(-0.5*(($A549-'Control Room'!$A$15-('Control Room'!$B$15-1)/2)/MAX(0.5,'Control Room'!$B$15/4))^2),1)*IF(AND($A549&gt;='Control Room'!$A$16,$A549&lt;'Control Room'!$A$16+'Control Room'!$B$16,'Process'!BK5=1),1+('Control Room'!$C$16-1)*EXP(-0.5*(($A549-'Control Room'!$A$16-('Control Room'!$B$16-1)/2)/MAX(0.5,'Control Room'!$B$16/4))^2),1)</x:f>
        <x:v>1</x:v>
      </x:c>
      <x:c r="G549" s="9" t="n">
        <x:f>MOD(H548*16807,2147483647)</x:f>
        <x:v>605378694</x:v>
      </x:c>
      <x:c r="H549" s="9" t="n">
        <x:f>MOD(G549*16807,2147483647)</x:f>
        <x:v>1969674219</x:v>
      </x:c>
      <x:c r="I549" s="17" t="n">
        <x:f>IF('Control Room'!$B$5="Normal",'Control Room'!$B$7+'Control Room'!$D$7*SQRT(-2*LN(MAX(0.000000000001,G549/2147483647)))*COS(2*PI()*H549/2147483647),'Control Room'!$B$8+('Control Room'!$D$8-'Control Room'!$B$8)*G549/2147483647)</x:f>
        <x:v>1124.273213299097</x:v>
      </x:c>
      <x:c r="J549" s="17" t="n">
        <x:f>IF('Control Room'!$B$5="Normal",'Control Room'!$B$7,('Control Room'!$B$8+'Control Room'!$D$8)/2)+'Control Room'!$B$9*(J548-IF('Control Room'!$B$5="Normal",'Control Room'!$B$7,('Control Room'!$B$8+'Control Room'!$D$8)/2))+SQRT(1-'Control Room'!$B$9^2)*(I549-IF('Control Room'!$B$5="Normal",'Control Room'!$B$7,('Control Room'!$B$8+'Control Room'!$D$8)/2))</x:f>
        <x:v>1030.6458223847076</x:v>
      </x:c>
      <x:c r="K549" s="17" t="n">
        <x:f>IF(AND($A549&gt;='Control Room'!$A$13,$A549&lt;'Control Room'!$A$13+'Control Room'!$B$13,'Process'!BL2=1),1+('Control Room'!$C$13-1)*EXP(-0.5*(($A549-'Control Room'!$A$13-('Control Room'!$B$13-1)/2)/MAX(0.5,'Control Room'!$B$13/4))^2),1)*IF(AND($A549&gt;='Control Room'!$A$14,$A549&lt;'Control Room'!$A$14+'Control Room'!$B$14,'Process'!BL3=1),1+('Control Room'!$C$14-1)*EXP(-0.5*(($A549-'Control Room'!$A$14-('Control Room'!$B$14-1)/2)/MAX(0.5,'Control Room'!$B$14/4))^2),1)*IF(AND($A549&gt;='Control Room'!$A$15,$A549&lt;'Control Room'!$A$15+'Control Room'!$B$15,'Process'!BL4=1),1+('Control Room'!$C$15-1)*EXP(-0.5*(($A549-'Control Room'!$A$15-('Control Room'!$B$15-1)/2)/MAX(0.5,'Control Room'!$B$15/4))^2),1)*IF(AND($A549&gt;='Control Room'!$A$16,$A549&lt;'Control Room'!$A$16+'Control Room'!$B$16,'Process'!BL5=1),1+('Control Room'!$C$16-1)*EXP(-0.5*(($A549-'Control Room'!$A$16-('Control Room'!$B$16-1)/2)/MAX(0.5,'Control Room'!$B$16/4))^2),1)</x:f>
        <x:v>1</x:v>
      </x:c>
      <x:c r="L549" s="9" t="n">
        <x:f>MOD(M548*16807,2147483647)</x:f>
        <x:v>1981667178</x:v>
      </x:c>
      <x:c r="M549" s="9" t="n">
        <x:f>MOD(L549*16807,2147483647)</x:f>
        <x:v>556379323</x:v>
      </x:c>
      <x:c r="N549" s="17" t="n">
        <x:f>IF('Control Room'!$B$5="Normal",'Control Room'!$B$7+'Control Room'!$D$7*SQRT(-2*LN(MAX(0.000000000001,L549/2147483647)))*COS(2*PI()*M549/2147483647),'Control Room'!$B$8+('Control Room'!$D$8-'Control Room'!$B$8)*L549/2147483647)</x:f>
        <x:v>997.9416992500437</x:v>
      </x:c>
      <x:c r="O549" s="17" t="n">
        <x:f>IF('Control Room'!$B$5="Normal",'Control Room'!$B$7,('Control Room'!$B$8+'Control Room'!$D$8)/2)+'Control Room'!$B$9*(O548-IF('Control Room'!$B$5="Normal",'Control Room'!$B$7,('Control Room'!$B$8+'Control Room'!$D$8)/2))+SQRT(1-'Control Room'!$B$9^2)*(N549-IF('Control Room'!$B$5="Normal",'Control Room'!$B$7,('Control Room'!$B$8+'Control Room'!$D$8)/2))</x:f>
        <x:v>1121.6601712761383</x:v>
      </x:c>
      <x:c r="P549" s="17" t="n">
        <x:f>IF(AND($A549&gt;='Control Room'!$A$13,$A549&lt;'Control Room'!$A$13+'Control Room'!$B$13,'Process'!BM2=1),1+('Control Room'!$C$13-1)*EXP(-0.5*(($A549-'Control Room'!$A$13-('Control Room'!$B$13-1)/2)/MAX(0.5,'Control Room'!$B$13/4))^2),1)*IF(AND($A549&gt;='Control Room'!$A$14,$A549&lt;'Control Room'!$A$14+'Control Room'!$B$14,'Process'!BM3=1),1+('Control Room'!$C$14-1)*EXP(-0.5*(($A549-'Control Room'!$A$14-('Control Room'!$B$14-1)/2)/MAX(0.5,'Control Room'!$B$14/4))^2),1)*IF(AND($A549&gt;='Control Room'!$A$15,$A549&lt;'Control Room'!$A$15+'Control Room'!$B$15,'Process'!BM4=1),1+('Control Room'!$C$15-1)*EXP(-0.5*(($A549-'Control Room'!$A$15-('Control Room'!$B$15-1)/2)/MAX(0.5,'Control Room'!$B$15/4))^2),1)*IF(AND($A549&gt;='Control Room'!$A$16,$A549&lt;'Control Room'!$A$16+'Control Room'!$B$16,'Process'!BM5=1),1+('Control Room'!$C$16-1)*EXP(-0.5*(($A549-'Control Room'!$A$16-('Control Room'!$B$16-1)/2)/MAX(0.5,'Control Room'!$B$16/4))^2),1)</x:f>
        <x:v>1</x:v>
      </x:c>
      <x:c r="Q549" s="9" t="n">
        <x:f>MOD(R548*16807,2147483647)</x:f>
        <x:v>1210472015</x:v>
      </x:c>
      <x:c r="R549" s="9" t="n">
        <x:f>MOD(Q549*16807,2147483647)</x:f>
        <x:v>1290568074</x:v>
      </x:c>
      <x:c r="S549" s="17" t="n">
        <x:f>IF('Control Room'!$B$5="Normal",'Control Room'!$B$7+'Control Room'!$D$7*SQRT(-2*LN(MAX(0.000000000001,Q549/2147483647)))*COS(2*PI()*R549/2147483647),'Control Room'!$B$8+('Control Room'!$D$8-'Control Room'!$B$8)*Q549/2147483647)</x:f>
        <x:v>922.3805853521992</x:v>
      </x:c>
      <x:c r="T549" s="17" t="n">
        <x:f>IF('Control Room'!$B$5="Normal",'Control Room'!$B$7,('Control Room'!$B$8+'Control Room'!$D$8)/2)+'Control Room'!$B$9*(T548-IF('Control Room'!$B$5="Normal",'Control Room'!$B$7,('Control Room'!$B$8+'Control Room'!$D$8)/2))+SQRT(1-'Control Room'!$B$9^2)*(S549-IF('Control Room'!$B$5="Normal",'Control Room'!$B$7,('Control Room'!$B$8+'Control Room'!$D$8)/2))</x:f>
        <x:v>1004.3009212981826</x:v>
      </x:c>
      <x:c r="U549" s="17" t="n">
        <x:f>IF(AND($A549&gt;='Control Room'!$A$13,$A549&lt;'Control Room'!$A$13+'Control Room'!$B$13,'Process'!BN2=1),1+('Control Room'!$C$13-1)*EXP(-0.5*(($A549-'Control Room'!$A$13-('Control Room'!$B$13-1)/2)/MAX(0.5,'Control Room'!$B$13/4))^2),1)*IF(AND($A549&gt;='Control Room'!$A$14,$A549&lt;'Control Room'!$A$14+'Control Room'!$B$14,'Process'!BN3=1),1+('Control Room'!$C$14-1)*EXP(-0.5*(($A549-'Control Room'!$A$14-('Control Room'!$B$14-1)/2)/MAX(0.5,'Control Room'!$B$14/4))^2),1)*IF(AND($A549&gt;='Control Room'!$A$15,$A549&lt;'Control Room'!$A$15+'Control Room'!$B$15,'Process'!BN4=1),1+('Control Room'!$C$15-1)*EXP(-0.5*(($A549-'Control Room'!$A$15-('Control Room'!$B$15-1)/2)/MAX(0.5,'Control Room'!$B$15/4))^2),1)*IF(AND($A549&gt;='Control Room'!$A$16,$A549&lt;'Control Room'!$A$16+'Control Room'!$B$16,'Process'!BN5=1),1+('Control Room'!$C$16-1)*EXP(-0.5*(($A549-'Control Room'!$A$16-('Control Room'!$B$16-1)/2)/MAX(0.5,'Control Room'!$B$16/4))^2),1)</x:f>
        <x:v>1</x:v>
      </x:c>
      <x:c r="V549" s="9" t="n">
        <x:f>MOD(W548*16807,2147483647)</x:f>
        <x:v>439276852</x:v>
      </x:c>
      <x:c r="W549" s="9" t="n">
        <x:f>MOD(V549*16807,2147483647)</x:f>
        <x:v>2024756825</x:v>
      </x:c>
      <x:c r="X549" s="17" t="n">
        <x:f>IF('Control Room'!$B$5="Normal",'Control Room'!$B$7+'Control Room'!$D$7*SQRT(-2*LN(MAX(0.000000000001,V549/2147483647)))*COS(2*PI()*W549/2147483647),'Control Room'!$B$8+('Control Room'!$D$8-'Control Room'!$B$8)*V549/2147483647)</x:f>
        <x:v>1150.1114122636423</x:v>
      </x:c>
      <x:c r="Y549" s="17" t="n">
        <x:f>IF('Control Room'!$B$5="Normal",'Control Room'!$B$7,('Control Room'!$B$8+'Control Room'!$D$8)/2)+'Control Room'!$B$9*(Y548-IF('Control Room'!$B$5="Normal",'Control Room'!$B$7,('Control Room'!$B$8+'Control Room'!$D$8)/2))+SQRT(1-'Control Room'!$B$9^2)*(X549-IF('Control Room'!$B$5="Normal",'Control Room'!$B$7,('Control Room'!$B$8+'Control Room'!$D$8)/2))</x:f>
        <x:v>1145.2998574549056</x:v>
      </x:c>
      <x:c r="Z549" s="17" t="n">
        <x:f>IF(AND($A549&gt;='Control Room'!$A$13,$A549&lt;'Control Room'!$A$13+'Control Room'!$B$13,'Process'!BO2=1),1+('Control Room'!$C$13-1)*EXP(-0.5*(($A549-'Control Room'!$A$13-('Control Room'!$B$13-1)/2)/MAX(0.5,'Control Room'!$B$13/4))^2),1)*IF(AND($A549&gt;='Control Room'!$A$14,$A549&lt;'Control Room'!$A$14+'Control Room'!$B$14,'Process'!BO3=1),1+('Control Room'!$C$14-1)*EXP(-0.5*(($A549-'Control Room'!$A$14-('Control Room'!$B$14-1)/2)/MAX(0.5,'Control Room'!$B$14/4))^2),1)*IF(AND($A549&gt;='Control Room'!$A$15,$A549&lt;'Control Room'!$A$15+'Control Room'!$B$15,'Process'!BO4=1),1+('Control Room'!$C$15-1)*EXP(-0.5*(($A549-'Control Room'!$A$15-('Control Room'!$B$15-1)/2)/MAX(0.5,'Control Room'!$B$15/4))^2),1)*IF(AND($A549&gt;='Control Room'!$A$16,$A549&lt;'Control Room'!$A$16+'Control Room'!$B$16,'Process'!BO5=1),1+('Control Room'!$C$16-1)*EXP(-0.5*(($A549-'Control Room'!$A$16-('Control Room'!$B$16-1)/2)/MAX(0.5,'Control Room'!$B$16/4))^2),1)</x:f>
        <x:v>1</x:v>
      </x:c>
      <x:c r="AA549" s="9" t="n">
        <x:f>MOD(AB548*16807,2147483647)</x:f>
        <x:v>1815565336</x:v>
      </x:c>
      <x:c r="AB549" s="9" t="n">
        <x:f>MOD(AA549*16807,2147483647)</x:f>
        <x:v>611461929</x:v>
      </x:c>
      <x:c r="AC549" s="17" t="n">
        <x:f>IF('Control Room'!$B$5="Normal",'Control Room'!$B$7+'Control Room'!$D$7*SQRT(-2*LN(MAX(0.000000000001,AA549/2147483647)))*COS(2*PI()*AB549/2147483647),'Control Room'!$B$8+('Control Room'!$D$8-'Control Room'!$B$8)*AA549/2147483647)</x:f>
        <x:v>988.708121316107</x:v>
      </x:c>
      <x:c r="AD549" s="17" t="n">
        <x:f>IF('Control Room'!$B$5="Normal",'Control Room'!$B$7,('Control Room'!$B$8+'Control Room'!$D$8)/2)+'Control Room'!$B$9*(AD548-IF('Control Room'!$B$5="Normal",'Control Room'!$B$7,('Control Room'!$B$8+'Control Room'!$D$8)/2))+SQRT(1-'Control Room'!$B$9^2)*(AC549-IF('Control Room'!$B$5="Normal",'Control Room'!$B$7,('Control Room'!$B$8+'Control Room'!$D$8)/2))</x:f>
        <x:v>1047.5844222431733</x:v>
      </x:c>
      <x:c r="AE549" s="17" t="n">
        <x:f>IF(AND($A549&gt;='Control Room'!$A$13,$A549&lt;'Control Room'!$A$13+'Control Room'!$B$13,'Process'!BP2=1),1+('Control Room'!$C$13-1)*EXP(-0.5*(($A549-'Control Room'!$A$13-('Control Room'!$B$13-1)/2)/MAX(0.5,'Control Room'!$B$13/4))^2),1)*IF(AND($A549&gt;='Control Room'!$A$14,$A549&lt;'Control Room'!$A$14+'Control Room'!$B$14,'Process'!BP3=1),1+('Control Room'!$C$14-1)*EXP(-0.5*(($A549-'Control Room'!$A$14-('Control Room'!$B$14-1)/2)/MAX(0.5,'Control Room'!$B$14/4))^2),1)*IF(AND($A549&gt;='Control Room'!$A$15,$A549&lt;'Control Room'!$A$15+'Control Room'!$B$15,'Process'!BP4=1),1+('Control Room'!$C$15-1)*EXP(-0.5*(($A549-'Control Room'!$A$15-('Control Room'!$B$15-1)/2)/MAX(0.5,'Control Room'!$B$15/4))^2),1)*IF(AND($A549&gt;='Control Room'!$A$16,$A549&lt;'Control Room'!$A$16+'Control Room'!$B$16,'Process'!BP5=1),1+('Control Room'!$C$16-1)*EXP(-0.5*(($A549-'Control Room'!$A$16-('Control Room'!$B$16-1)/2)/MAX(0.5,'Control Room'!$B$16/4))^2),1)</x:f>
        <x:v>1</x:v>
      </x:c>
      <x:c r="AF549" s="9" t="n">
        <x:f>MOD(AG548*16807,2147483647)</x:f>
        <x:v>1044370173</x:v>
      </x:c>
      <x:c r="AG549" s="9" t="n">
        <x:f>MOD(AF549*16807,2147483647)</x:f>
        <x:v>1345650680</x:v>
      </x:c>
      <x:c r="AH549" s="17" t="n">
        <x:f>IF('Control Room'!$B$5="Normal",'Control Room'!$B$7+'Control Room'!$D$7*SQRT(-2*LN(MAX(0.000000000001,AF549/2147483647)))*COS(2*PI()*AG549/2147483647),'Control Room'!$B$8+('Control Room'!$D$8-'Control Room'!$B$8)*AF549/2147483647)</x:f>
        <x:v>924.3661674447623</x:v>
      </x:c>
      <x:c r="AI549" s="17" t="n">
        <x:f>IF('Control Room'!$B$5="Normal",'Control Room'!$B$7,('Control Room'!$B$8+'Control Room'!$D$8)/2)+'Control Room'!$B$9*(AI548-IF('Control Room'!$B$5="Normal",'Control Room'!$B$7,('Control Room'!$B$8+'Control Room'!$D$8)/2))+SQRT(1-'Control Room'!$B$9^2)*(AH549-IF('Control Room'!$B$5="Normal",'Control Room'!$B$7,('Control Room'!$B$8+'Control Room'!$D$8)/2))</x:f>
        <x:v>1046.0177950512996</x:v>
      </x:c>
      <x:c r="AJ549" s="17" t="n">
        <x:f>IF(AND($A549&gt;='Control Room'!$A$13,$A549&lt;'Control Room'!$A$13+'Control Room'!$B$13,'Process'!BQ2=1),1+('Control Room'!$C$13-1)*EXP(-0.5*(($A549-'Control Room'!$A$13-('Control Room'!$B$13-1)/2)/MAX(0.5,'Control Room'!$B$13/4))^2),1)*IF(AND($A549&gt;='Control Room'!$A$14,$A549&lt;'Control Room'!$A$14+'Control Room'!$B$14,'Process'!BQ3=1),1+('Control Room'!$C$14-1)*EXP(-0.5*(($A549-'Control Room'!$A$14-('Control Room'!$B$14-1)/2)/MAX(0.5,'Control Room'!$B$14/4))^2),1)*IF(AND($A549&gt;='Control Room'!$A$15,$A549&lt;'Control Room'!$A$15+'Control Room'!$B$15,'Process'!BQ4=1),1+('Control Room'!$C$15-1)*EXP(-0.5*(($A549-'Control Room'!$A$15-('Control Room'!$B$15-1)/2)/MAX(0.5,'Control Room'!$B$15/4))^2),1)*IF(AND($A549&gt;='Control Room'!$A$16,$A549&lt;'Control Room'!$A$16+'Control Room'!$B$16,'Process'!BQ5=1),1+('Control Room'!$C$16-1)*EXP(-0.5*(($A549-'Control Room'!$A$16-('Control Room'!$B$16-1)/2)/MAX(0.5,'Control Room'!$B$16/4))^2),1)</x:f>
        <x:v>1</x:v>
      </x:c>
      <x:c r="AK549" s="9" t="n">
        <x:f>MOD(AL548*16807,2147483647)</x:f>
        <x:v>273175010</x:v>
      </x:c>
      <x:c r="AL549" s="9" t="n">
        <x:f>MOD(AK549*16807,2147483647)</x:f>
        <x:v>2079839431</x:v>
      </x:c>
      <x:c r="AM549" s="17" t="n">
        <x:f>IF('Control Room'!$B$5="Normal",'Control Room'!$B$7+'Control Room'!$D$7*SQRT(-2*LN(MAX(0.000000000001,AK549/2147483647)))*COS(2*PI()*AL549/2147483647),'Control Room'!$B$8+('Control Room'!$D$8-'Control Room'!$B$8)*AK549/2147483647)</x:f>
        <x:v>1179.1981526283835</x:v>
      </x:c>
      <x:c r="AN549" s="17" t="n">
        <x:f>IF('Control Room'!$B$5="Normal",'Control Room'!$B$7,('Control Room'!$B$8+'Control Room'!$D$8)/2)+'Control Room'!$B$9*(AN548-IF('Control Room'!$B$5="Normal",'Control Room'!$B$7,('Control Room'!$B$8+'Control Room'!$D$8)/2))+SQRT(1-'Control Room'!$B$9^2)*(AM549-IF('Control Room'!$B$5="Normal",'Control Room'!$B$7,('Control Room'!$B$8+'Control Room'!$D$8)/2))</x:f>
        <x:v>1084.3931079643996</x:v>
      </x:c>
      <x:c r="AO549" s="17" t="n">
        <x:f>IF(AND($A549&gt;='Control Room'!$A$13,$A549&lt;'Control Room'!$A$13+'Control Room'!$B$13,'Process'!BR2=1),1+('Control Room'!$C$13-1)*EXP(-0.5*(($A549-'Control Room'!$A$13-('Control Room'!$B$13-1)/2)/MAX(0.5,'Control Room'!$B$13/4))^2),1)*IF(AND($A549&gt;='Control Room'!$A$14,$A549&lt;'Control Room'!$A$14+'Control Room'!$B$14,'Process'!BR3=1),1+('Control Room'!$C$14-1)*EXP(-0.5*(($A549-'Control Room'!$A$14-('Control Room'!$B$14-1)/2)/MAX(0.5,'Control Room'!$B$14/4))^2),1)*IF(AND($A549&gt;='Control Room'!$A$15,$A549&lt;'Control Room'!$A$15+'Control Room'!$B$15,'Process'!BR4=1),1+('Control Room'!$C$15-1)*EXP(-0.5*(($A549-'Control Room'!$A$15-('Control Room'!$B$15-1)/2)/MAX(0.5,'Control Room'!$B$15/4))^2),1)*IF(AND($A549&gt;='Control Room'!$A$16,$A549&lt;'Control Room'!$A$16+'Control Room'!$B$16,'Process'!BR5=1),1+('Control Room'!$C$16-1)*EXP(-0.5*(($A549-'Control Room'!$A$16-('Control Room'!$B$16-1)/2)/MAX(0.5,'Control Room'!$B$16/4))^2),1)</x:f>
        <x:v>1</x:v>
      </x:c>
      <x:c r="AP549" s="9" t="n">
        <x:f>MOD(AQ548*16807,2147483647)</x:f>
        <x:v>1649463494</x:v>
      </x:c>
      <x:c r="AQ549" s="9" t="n">
        <x:f>MOD(AP549*16807,2147483647)</x:f>
        <x:v>666544535</x:v>
      </x:c>
      <x:c r="AR549" s="17" t="n">
        <x:f>IF('Control Room'!$B$5="Normal",'Control Room'!$B$7+'Control Room'!$D$7*SQRT(-2*LN(MAX(0.000000000001,AP549/2147483647)))*COS(2*PI()*AQ549/2147483647),'Control Room'!$B$8+('Control Room'!$D$8-'Control Room'!$B$8)*AP549/2147483647)</x:f>
        <x:v>975.786070734951</x:v>
      </x:c>
      <x:c r="AS549" s="17" t="n">
        <x:f>IF('Control Room'!$B$5="Normal",'Control Room'!$B$7,('Control Room'!$B$8+'Control Room'!$D$8)/2)+'Control Room'!$B$9*(AS548-IF('Control Room'!$B$5="Normal",'Control Room'!$B$7,('Control Room'!$B$8+'Control Room'!$D$8)/2))+SQRT(1-'Control Room'!$B$9^2)*(AR549-IF('Control Room'!$B$5="Normal",'Control Room'!$B$7,('Control Room'!$B$8+'Control Room'!$D$8)/2))</x:f>
        <x:v>1120.9085941216076</x:v>
      </x:c>
      <x:c r="AT549" s="17" t="n">
        <x:f>IF(AND($A549&gt;='Control Room'!$A$13,$A549&lt;'Control Room'!$A$13+'Control Room'!$B$13,'Process'!BS2=1),1+('Control Room'!$C$13-1)*EXP(-0.5*(($A549-'Control Room'!$A$13-('Control Room'!$B$13-1)/2)/MAX(0.5,'Control Room'!$B$13/4))^2),1)*IF(AND($A549&gt;='Control Room'!$A$14,$A549&lt;'Control Room'!$A$14+'Control Room'!$B$14,'Process'!BS3=1),1+('Control Room'!$C$14-1)*EXP(-0.5*(($A549-'Control Room'!$A$14-('Control Room'!$B$14-1)/2)/MAX(0.5,'Control Room'!$B$14/4))^2),1)*IF(AND($A549&gt;='Control Room'!$A$15,$A549&lt;'Control Room'!$A$15+'Control Room'!$B$15,'Process'!BS4=1),1+('Control Room'!$C$15-1)*EXP(-0.5*(($A549-'Control Room'!$A$15-('Control Room'!$B$15-1)/2)/MAX(0.5,'Control Room'!$B$15/4))^2),1)*IF(AND($A549&gt;='Control Room'!$A$16,$A549&lt;'Control Room'!$A$16+'Control Room'!$B$16,'Process'!BS5=1),1+('Control Room'!$C$16-1)*EXP(-0.5*(($A549-'Control Room'!$A$16-('Control Room'!$B$16-1)/2)/MAX(0.5,'Control Room'!$B$16/4))^2),1)</x:f>
        <x:v>1</x:v>
      </x:c>
      <x:c r="AU549" s="9" t="n">
        <x:f>MOD(AV548*16807,2147483647)</x:f>
        <x:v>878268331</x:v>
      </x:c>
      <x:c r="AV549" s="9" t="n">
        <x:f>MOD(AU549*16807,2147483647)</x:f>
        <x:v>1400733286</x:v>
      </x:c>
      <x:c r="AW549" s="17" t="n">
        <x:f>IF('Control Room'!$B$5="Normal",'Control Room'!$B$7+'Control Room'!$D$7*SQRT(-2*LN(MAX(0.000000000001,AU549/2147483647)))*COS(2*PI()*AV549/2147483647),'Control Room'!$B$8+('Control Room'!$D$8-'Control Room'!$B$8)*AU549/2147483647)</x:f>
        <x:v>930.6534988156332</x:v>
      </x:c>
      <x:c r="AX549" s="17" t="n">
        <x:f>IF('Control Room'!$B$5="Normal",'Control Room'!$B$7,('Control Room'!$B$8+'Control Room'!$D$8)/2)+'Control Room'!$B$9*(AX548-IF('Control Room'!$B$5="Normal",'Control Room'!$B$7,('Control Room'!$B$8+'Control Room'!$D$8)/2))+SQRT(1-'Control Room'!$B$9^2)*(AW549-IF('Control Room'!$B$5="Normal",'Control Room'!$B$7,('Control Room'!$B$8+'Control Room'!$D$8)/2))</x:f>
        <x:v>995.6243469343956</x:v>
      </x:c>
      <x:c r="AY549" s="17" t="n">
        <x:f>IF(AND($A549&gt;='Control Room'!$A$13,$A549&lt;'Control Room'!$A$13+'Control Room'!$B$13,'Process'!BT2=1),1+('Control Room'!$C$13-1)*EXP(-0.5*(($A549-'Control Room'!$A$13-('Control Room'!$B$13-1)/2)/MAX(0.5,'Control Room'!$B$13/4))^2),1)*IF(AND($A549&gt;='Control Room'!$A$14,$A549&lt;'Control Room'!$A$14+'Control Room'!$B$14,'Process'!BT3=1),1+('Control Room'!$C$14-1)*EXP(-0.5*(($A549-'Control Room'!$A$14-('Control Room'!$B$14-1)/2)/MAX(0.5,'Control Room'!$B$14/4))^2),1)*IF(AND($A549&gt;='Control Room'!$A$15,$A549&lt;'Control Room'!$A$15+'Control Room'!$B$15,'Process'!BT4=1),1+('Control Room'!$C$15-1)*EXP(-0.5*(($A549-'Control Room'!$A$15-('Control Room'!$B$15-1)/2)/MAX(0.5,'Control Room'!$B$15/4))^2),1)*IF(AND($A549&gt;='Control Room'!$A$16,$A549&lt;'Control Room'!$A$16+'Control Room'!$B$16,'Process'!BT5=1),1+('Control Room'!$C$16-1)*EXP(-0.5*(($A549-'Control Room'!$A$16-('Control Room'!$B$16-1)/2)/MAX(0.5,'Control Room'!$B$16/4))^2),1)</x:f>
        <x:v>1</x:v>
      </x:c>
      <x:c r="AZ549" s="9" t="n">
        <x:f>MOD(BA548*16807,2147483647)</x:f>
        <x:v>107073168</x:v>
      </x:c>
      <x:c r="BA549" s="9" t="n">
        <x:f>MOD(AZ549*16807,2147483647)</x:f>
        <x:v>2134922037</x:v>
      </x:c>
      <x:c r="BB549" s="17" t="n">
        <x:f>IF('Control Room'!$B$5="Normal",'Control Room'!$B$7+'Control Room'!$D$7*SQRT(-2*LN(MAX(0.000000000001,AZ549/2147483647)))*COS(2*PI()*BA549/2147483647),'Control Room'!$B$8+('Control Room'!$D$8-'Control Room'!$B$8)*AZ549/2147483647)</x:f>
        <x:v>1220.2515711838182</x:v>
      </x:c>
      <x:c r="BC549" s="17" t="n">
        <x:f>IF('Control Room'!$B$5="Normal",'Control Room'!$B$7,('Control Room'!$B$8+'Control Room'!$D$8)/2)+'Control Room'!$B$9*(BC548-IF('Control Room'!$B$5="Normal",'Control Room'!$B$7,('Control Room'!$B$8+'Control Room'!$D$8)/2))+SQRT(1-'Control Room'!$B$9^2)*(BB549-IF('Control Room'!$B$5="Normal",'Control Room'!$B$7,('Control Room'!$B$8+'Control Room'!$D$8)/2))</x:f>
        <x:v>1139.5061425116367</x:v>
      </x:c>
      <x:c r="BD549" s="17" t="n">
        <x:f>IF(AND($A549&gt;='Control Room'!$A$13,$A549&lt;'Control Room'!$A$13+'Control Room'!$B$13,'Process'!BU2=1),1+('Control Room'!$C$13-1)*EXP(-0.5*(($A549-'Control Room'!$A$13-('Control Room'!$B$13-1)/2)/MAX(0.5,'Control Room'!$B$13/4))^2),1)*IF(AND($A549&gt;='Control Room'!$A$14,$A549&lt;'Control Room'!$A$14+'Control Room'!$B$14,'Process'!BU3=1),1+('Control Room'!$C$14-1)*EXP(-0.5*(($A549-'Control Room'!$A$14-('Control Room'!$B$14-1)/2)/MAX(0.5,'Control Room'!$B$14/4))^2),1)*IF(AND($A549&gt;='Control Room'!$A$15,$A549&lt;'Control Room'!$A$15+'Control Room'!$B$15,'Process'!BU4=1),1+('Control Room'!$C$15-1)*EXP(-0.5*(($A549-'Control Room'!$A$15-('Control Room'!$B$15-1)/2)/MAX(0.5,'Control Room'!$B$15/4))^2),1)*IF(AND($A549&gt;='Control Room'!$A$16,$A549&lt;'Control Room'!$A$16+'Control Room'!$B$16,'Process'!BU5=1),1+('Control Room'!$C$16-1)*EXP(-0.5*(($A549-'Control Room'!$A$16-('Control Room'!$B$16-1)/2)/MAX(0.5,'Control Room'!$B$16/4))^2),1)</x:f>
        <x:v>1</x:v>
      </x:c>
      <x:c r="BE549" s="9" t="n">
        <x:f>MOD(BF548*16807,2147483647)</x:f>
        <x:v>1483361652</x:v>
      </x:c>
      <x:c r="BF549" s="9" t="n">
        <x:f>MOD(BE549*16807,2147483647)</x:f>
        <x:v>721627141</x:v>
      </x:c>
      <x:c r="BG549" s="17" t="n">
        <x:f>IF('Control Room'!$B$5="Normal",'Control Room'!$B$7+'Control Room'!$D$7*SQRT(-2*LN(MAX(0.000000000001,BE549/2147483647)))*COS(2*PI()*BF549/2147483647),'Control Room'!$B$8+('Control Room'!$D$8-'Control Room'!$B$8)*BE549/2147483647)</x:f>
        <x:v>960.1582670451597</x:v>
      </x:c>
      <x:c r="BH549" s="17" t="n">
        <x:f>IF('Control Room'!$B$5="Normal",'Control Room'!$B$7,('Control Room'!$B$8+'Control Room'!$D$8)/2)+'Control Room'!$B$9*(BH548-IF('Control Room'!$B$5="Normal",'Control Room'!$B$7,('Control Room'!$B$8+'Control Room'!$D$8)/2))+SQRT(1-'Control Room'!$B$9^2)*(BG549-IF('Control Room'!$B$5="Normal",'Control Room'!$B$7,('Control Room'!$B$8+'Control Room'!$D$8)/2))</x:f>
        <x:v>1045.5001273636406</x:v>
      </x:c>
      <x:c r="BI549" s="17" t="n">
        <x:f>IF(AND($A549&gt;='Control Room'!$A$13,$A549&lt;'Control Room'!$A$13+'Control Room'!$B$13,'Process'!BV2=1),1+('Control Room'!$C$13-1)*EXP(-0.5*(($A549-'Control Room'!$A$13-('Control Room'!$B$13-1)/2)/MAX(0.5,'Control Room'!$B$13/4))^2),1)*IF(AND($A549&gt;='Control Room'!$A$14,$A549&lt;'Control Room'!$A$14+'Control Room'!$B$14,'Process'!BV3=1),1+('Control Room'!$C$14-1)*EXP(-0.5*(($A549-'Control Room'!$A$14-('Control Room'!$B$14-1)/2)/MAX(0.5,'Control Room'!$B$14/4))^2),1)*IF(AND($A549&gt;='Control Room'!$A$15,$A549&lt;'Control Room'!$A$15+'Control Room'!$B$15,'Process'!BV4=1),1+('Control Room'!$C$15-1)*EXP(-0.5*(($A549-'Control Room'!$A$15-('Control Room'!$B$15-1)/2)/MAX(0.5,'Control Room'!$B$15/4))^2),1)*IF(AND($A549&gt;='Control Room'!$A$16,$A549&lt;'Control Room'!$A$16+'Control Room'!$B$16,'Process'!BV5=1),1+('Control Room'!$C$16-1)*EXP(-0.5*(($A549-'Control Room'!$A$16-('Control Room'!$B$16-1)/2)/MAX(0.5,'Control Room'!$B$16/4))^2),1)</x:f>
        <x:v>1</x:v>
      </x:c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Z549" t="str">
        <x:f>IF('Data'!A549="","",TEXT('Data'!A549,"mm-dd"))</x:f>
      </x:c>
    </x:row>
    <x:row r="550" ht="21" customHeight="1">
      <x:c r="A550" s="15" t="n">
        <x:f>'Control Room'!$B$1+548</x:f>
        <x:v>73539</x:v>
      </x:c>
      <x:c r="B550" s="9" t="n">
        <x:f>MOD(C549*16807,2147483647)</x:f>
        <x:v>784877833</x:v>
      </x:c>
      <x:c r="C550" s="9" t="n">
        <x:f>MOD(B550*16807,2147483647)</x:f>
        <x:v>1597179357</x:v>
      </x:c>
      <x:c r="D550" s="17" t="n">
        <x:f>IF('Control Room'!$B$5="Normal",'Control Room'!$B$7+'Control Room'!$D$7*SQRT(-2*LN(MAX(0.000000000001,B550/2147483647)))*COS(2*PI()*C550/2147483647),'Control Room'!$B$8+('Control Room'!$D$8-'Control Room'!$B$8)*B550/2147483647)</x:f>
        <x:v>994.982435188429</x:v>
      </x:c>
      <x:c r="E550" s="17" t="n">
        <x:f>IF('Control Room'!$B$5="Normal",'Control Room'!$B$7,('Control Room'!$B$8+'Control Room'!$D$8)/2)+'Control Room'!$B$9*(E549-IF('Control Room'!$B$5="Normal",'Control Room'!$B$7,('Control Room'!$B$8+'Control Room'!$D$8)/2))+SQRT(1-'Control Room'!$B$9^2)*(D550-IF('Control Room'!$B$5="Normal",'Control Room'!$B$7,('Control Room'!$B$8+'Control Room'!$D$8)/2))</x:f>
        <x:v>975.3532523979972</x:v>
      </x:c>
      <x:c r="F550" s="17" t="n">
        <x:f>IF(AND($A550&gt;='Control Room'!$A$13,$A550&lt;'Control Room'!$A$13+'Control Room'!$B$13,'Process'!BK2=1),1+('Control Room'!$C$13-1)*EXP(-0.5*(($A550-'Control Room'!$A$13-('Control Room'!$B$13-1)/2)/MAX(0.5,'Control Room'!$B$13/4))^2),1)*IF(AND($A550&gt;='Control Room'!$A$14,$A550&lt;'Control Room'!$A$14+'Control Room'!$B$14,'Process'!BK3=1),1+('Control Room'!$C$14-1)*EXP(-0.5*(($A550-'Control Room'!$A$14-('Control Room'!$B$14-1)/2)/MAX(0.5,'Control Room'!$B$14/4))^2),1)*IF(AND($A550&gt;='Control Room'!$A$15,$A550&lt;'Control Room'!$A$15+'Control Room'!$B$15,'Process'!BK4=1),1+('Control Room'!$C$15-1)*EXP(-0.5*(($A550-'Control Room'!$A$15-('Control Room'!$B$15-1)/2)/MAX(0.5,'Control Room'!$B$15/4))^2),1)*IF(AND($A550&gt;='Control Room'!$A$16,$A550&lt;'Control Room'!$A$16+'Control Room'!$B$16,'Process'!BK5=1),1+('Control Room'!$C$16-1)*EXP(-0.5*(($A550-'Control Room'!$A$16-('Control Room'!$B$16-1)/2)/MAX(0.5,'Control Room'!$B$16/4))^2),1)</x:f>
        <x:v>1</x:v>
      </x:c>
      <x:c r="G550" s="9" t="n">
        <x:f>MOD(H549*16807,2147483647)</x:f>
        <x:v>854180228</x:v>
      </x:c>
      <x:c r="H550" s="9" t="n">
        <x:f>MOD(G550*16807,2147483647)</x:f>
        <x:v>278911801</x:v>
      </x:c>
      <x:c r="I550" s="17" t="n">
        <x:f>IF('Control Room'!$B$5="Normal",'Control Room'!$B$7+'Control Room'!$D$7*SQRT(-2*LN(MAX(0.000000000001,G550/2147483647)))*COS(2*PI()*H550/2147483647),'Control Room'!$B$8+('Control Room'!$D$8-'Control Room'!$B$8)*G550/2147483647)</x:f>
        <x:v>1083.7255606066904</x:v>
      </x:c>
      <x:c r="J550" s="17" t="n">
        <x:f>IF('Control Room'!$B$5="Normal",'Control Room'!$B$7,('Control Room'!$B$8+'Control Room'!$D$8)/2)+'Control Room'!$B$9*(J549-IF('Control Room'!$B$5="Normal",'Control Room'!$B$7,('Control Room'!$B$8+'Control Room'!$D$8)/2))+SQRT(1-'Control Room'!$B$9^2)*(I550-IF('Control Room'!$B$5="Normal",'Control Room'!$B$7,('Control Room'!$B$8+'Control Room'!$D$8)/2))</x:f>
        <x:v>1076.2974820763998</x:v>
      </x:c>
      <x:c r="K550" s="17" t="n">
        <x:f>IF(AND($A550&gt;='Control Room'!$A$13,$A550&lt;'Control Room'!$A$13+'Control Room'!$B$13,'Process'!BL2=1),1+('Control Room'!$C$13-1)*EXP(-0.5*(($A550-'Control Room'!$A$13-('Control Room'!$B$13-1)/2)/MAX(0.5,'Control Room'!$B$13/4))^2),1)*IF(AND($A550&gt;='Control Room'!$A$14,$A550&lt;'Control Room'!$A$14+'Control Room'!$B$14,'Process'!BL3=1),1+('Control Room'!$C$14-1)*EXP(-0.5*(($A550-'Control Room'!$A$14-('Control Room'!$B$14-1)/2)/MAX(0.5,'Control Room'!$B$14/4))^2),1)*IF(AND($A550&gt;='Control Room'!$A$15,$A550&lt;'Control Room'!$A$15+'Control Room'!$B$15,'Process'!BL4=1),1+('Control Room'!$C$15-1)*EXP(-0.5*(($A550-'Control Room'!$A$15-('Control Room'!$B$15-1)/2)/MAX(0.5,'Control Room'!$B$15/4))^2),1)*IF(AND($A550&gt;='Control Room'!$A$16,$A550&lt;'Control Room'!$A$16+'Control Room'!$B$16,'Process'!BL5=1),1+('Control Room'!$C$16-1)*EXP(-0.5*(($A550-'Control Room'!$A$16-('Control Room'!$B$16-1)/2)/MAX(0.5,'Control Room'!$B$16/4))^2),1)</x:f>
        <x:v>1</x:v>
      </x:c>
      <x:c r="L550" s="9" t="n">
        <x:f>MOD(M549*16807,2147483647)</x:f>
        <x:v>923482623</x:v>
      </x:c>
      <x:c r="M550" s="9" t="n">
        <x:f>MOD(L550*16807,2147483647)</x:f>
        <x:v>1108127892</x:v>
      </x:c>
      <x:c r="N550" s="17" t="n">
        <x:f>IF('Control Room'!$B$5="Normal",'Control Room'!$B$7+'Control Room'!$D$7*SQRT(-2*LN(MAX(0.000000000001,L550/2147483647)))*COS(2*PI()*M550/2147483647),'Control Room'!$B$8+('Control Room'!$D$8-'Control Room'!$B$8)*L550/2147483647)</x:f>
        <x:v>883.6674255375</x:v>
      </x:c>
      <x:c r="O550" s="17" t="n">
        <x:f>IF('Control Room'!$B$5="Normal",'Control Room'!$B$7,('Control Room'!$B$8+'Control Room'!$D$8)/2)+'Control Room'!$B$9*(O549-IF('Control Room'!$B$5="Normal",'Control Room'!$B$7,('Control Room'!$B$8+'Control Room'!$D$8)/2))+SQRT(1-'Control Room'!$B$9^2)*(N550-IF('Control Room'!$B$5="Normal",'Control Room'!$B$7,('Control Room'!$B$8+'Control Room'!$D$8)/2))</x:f>
        <x:v>1022.0963916990818</x:v>
      </x:c>
      <x:c r="P550" s="17" t="n">
        <x:f>IF(AND($A550&gt;='Control Room'!$A$13,$A550&lt;'Control Room'!$A$13+'Control Room'!$B$13,'Process'!BM2=1),1+('Control Room'!$C$13-1)*EXP(-0.5*(($A550-'Control Room'!$A$13-('Control Room'!$B$13-1)/2)/MAX(0.5,'Control Room'!$B$13/4))^2),1)*IF(AND($A550&gt;='Control Room'!$A$14,$A550&lt;'Control Room'!$A$14+'Control Room'!$B$14,'Process'!BM3=1),1+('Control Room'!$C$14-1)*EXP(-0.5*(($A550-'Control Room'!$A$14-('Control Room'!$B$14-1)/2)/MAX(0.5,'Control Room'!$B$14/4))^2),1)*IF(AND($A550&gt;='Control Room'!$A$15,$A550&lt;'Control Room'!$A$15+'Control Room'!$B$15,'Process'!BM4=1),1+('Control Room'!$C$15-1)*EXP(-0.5*(($A550-'Control Room'!$A$15-('Control Room'!$B$15-1)/2)/MAX(0.5,'Control Room'!$B$15/4))^2),1)*IF(AND($A550&gt;='Control Room'!$A$16,$A550&lt;'Control Room'!$A$16+'Control Room'!$B$16,'Process'!BM5=1),1+('Control Room'!$C$16-1)*EXP(-0.5*(($A550-'Control Room'!$A$16-('Control Room'!$B$16-1)/2)/MAX(0.5,'Control Room'!$B$16/4))^2),1)</x:f>
        <x:v>1</x:v>
      </x:c>
      <x:c r="Q550" s="9" t="n">
        <x:f>MOD(R549*16807,2147483647)</x:f>
        <x:v>992785018</x:v>
      </x:c>
      <x:c r="R550" s="9" t="n">
        <x:f>MOD(Q550*16807,2147483647)</x:f>
        <x:v>1937343983</x:v>
      </x:c>
      <x:c r="S550" s="17" t="n">
        <x:f>IF('Control Room'!$B$5="Normal",'Control Room'!$B$7+'Control Room'!$D$7*SQRT(-2*LN(MAX(0.000000000001,Q550/2147483647)))*COS(2*PI()*R550/2147483647),'Control Room'!$B$8+('Control Room'!$D$8-'Control Room'!$B$8)*Q550/2147483647)</x:f>
        <x:v>1091.3247717959819</x:v>
      </x:c>
      <x:c r="T550" s="17" t="n">
        <x:f>IF('Control Room'!$B$5="Normal",'Control Room'!$B$7,('Control Room'!$B$8+'Control Room'!$D$8)/2)+'Control Room'!$B$9*(T549-IF('Control Room'!$B$5="Normal",'Control Room'!$B$7,('Control Room'!$B$8+'Control Room'!$D$8)/2))+SQRT(1-'Control Room'!$B$9^2)*(S550-IF('Control Room'!$B$5="Normal",'Control Room'!$B$7,('Control Room'!$B$8+'Control Room'!$D$8)/2))</x:f>
        <x:v>1060.5038899128658</x:v>
      </x:c>
      <x:c r="U550" s="17" t="n">
        <x:f>IF(AND($A550&gt;='Control Room'!$A$13,$A550&lt;'Control Room'!$A$13+'Control Room'!$B$13,'Process'!BN2=1),1+('Control Room'!$C$13-1)*EXP(-0.5*(($A550-'Control Room'!$A$13-('Control Room'!$B$13-1)/2)/MAX(0.5,'Control Room'!$B$13/4))^2),1)*IF(AND($A550&gt;='Control Room'!$A$14,$A550&lt;'Control Room'!$A$14+'Control Room'!$B$14,'Process'!BN3=1),1+('Control Room'!$C$14-1)*EXP(-0.5*(($A550-'Control Room'!$A$14-('Control Room'!$B$14-1)/2)/MAX(0.5,'Control Room'!$B$14/4))^2),1)*IF(AND($A550&gt;='Control Room'!$A$15,$A550&lt;'Control Room'!$A$15+'Control Room'!$B$15,'Process'!BN4=1),1+('Control Room'!$C$15-1)*EXP(-0.5*(($A550-'Control Room'!$A$15-('Control Room'!$B$15-1)/2)/MAX(0.5,'Control Room'!$B$15/4))^2),1)*IF(AND($A550&gt;='Control Room'!$A$16,$A550&lt;'Control Room'!$A$16+'Control Room'!$B$16,'Process'!BN5=1),1+('Control Room'!$C$16-1)*EXP(-0.5*(($A550-'Control Room'!$A$16-('Control Room'!$B$16-1)/2)/MAX(0.5,'Control Room'!$B$16/4))^2),1)</x:f>
        <x:v>1</x:v>
      </x:c>
      <x:c r="V550" s="9" t="n">
        <x:f>MOD(W549*16807,2147483647)</x:f>
        <x:v>1062087413</x:v>
      </x:c>
      <x:c r="W550" s="9" t="n">
        <x:f>MOD(V550*16807,2147483647)</x:f>
        <x:v>619076427</x:v>
      </x:c>
      <x:c r="X550" s="17" t="n">
        <x:f>IF('Control Room'!$B$5="Normal",'Control Room'!$B$7+'Control Room'!$D$7*SQRT(-2*LN(MAX(0.000000000001,V550/2147483647)))*COS(2*PI()*W550/2147483647),'Control Room'!$B$8+('Control Room'!$D$8-'Control Room'!$B$8)*V550/2147483647)</x:f>
        <x:v>974.5599446206519</x:v>
      </x:c>
      <x:c r="Y550" s="17" t="n">
        <x:f>IF('Control Room'!$B$5="Normal",'Control Room'!$B$7,('Control Room'!$B$8+'Control Room'!$D$8)/2)+'Control Room'!$B$9*(Y549-IF('Control Room'!$B$5="Normal",'Control Room'!$B$7,('Control Room'!$B$8+'Control Room'!$D$8)/2))+SQRT(1-'Control Room'!$B$9^2)*(X550-IF('Control Room'!$B$5="Normal",'Control Room'!$B$7,('Control Room'!$B$8+'Control Room'!$D$8)/2))</x:f>
        <x:v>1097.4140233262929</x:v>
      </x:c>
      <x:c r="Z550" s="17" t="n">
        <x:f>IF(AND($A550&gt;='Control Room'!$A$13,$A550&lt;'Control Room'!$A$13+'Control Room'!$B$13,'Process'!BO2=1),1+('Control Room'!$C$13-1)*EXP(-0.5*(($A550-'Control Room'!$A$13-('Control Room'!$B$13-1)/2)/MAX(0.5,'Control Room'!$B$13/4))^2),1)*IF(AND($A550&gt;='Control Room'!$A$14,$A550&lt;'Control Room'!$A$14+'Control Room'!$B$14,'Process'!BO3=1),1+('Control Room'!$C$14-1)*EXP(-0.5*(($A550-'Control Room'!$A$14-('Control Room'!$B$14-1)/2)/MAX(0.5,'Control Room'!$B$14/4))^2),1)*IF(AND($A550&gt;='Control Room'!$A$15,$A550&lt;'Control Room'!$A$15+'Control Room'!$B$15,'Process'!BO4=1),1+('Control Room'!$C$15-1)*EXP(-0.5*(($A550-'Control Room'!$A$15-('Control Room'!$B$15-1)/2)/MAX(0.5,'Control Room'!$B$15/4))^2),1)*IF(AND($A550&gt;='Control Room'!$A$16,$A550&lt;'Control Room'!$A$16+'Control Room'!$B$16,'Process'!BO5=1),1+('Control Room'!$C$16-1)*EXP(-0.5*(($A550-'Control Room'!$A$16-('Control Room'!$B$16-1)/2)/MAX(0.5,'Control Room'!$B$16/4))^2),1)</x:f>
        <x:v>1</x:v>
      </x:c>
      <x:c r="AA550" s="9" t="n">
        <x:f>MOD(AB549*16807,2147483647)</x:f>
        <x:v>1131389808</x:v>
      </x:c>
      <x:c r="AB550" s="9" t="n">
        <x:f>MOD(AA550*16807,2147483647)</x:f>
        <x:v>1448292518</x:v>
      </x:c>
      <x:c r="AC550" s="17" t="n">
        <x:f>IF('Control Room'!$B$5="Normal",'Control Room'!$B$7+'Control Room'!$D$7*SQRT(-2*LN(MAX(0.000000000001,AA550/2147483647)))*COS(2*PI()*AB550/2147483647),'Control Room'!$B$8+('Control Room'!$D$8-'Control Room'!$B$8)*AA550/2147483647)</x:f>
        <x:v>953.4083778420593</x:v>
      </x:c>
      <x:c r="AD550" s="17" t="n">
        <x:f>IF('Control Room'!$B$5="Normal",'Control Room'!$B$7,('Control Room'!$B$8+'Control Room'!$D$8)/2)+'Control Room'!$B$9*(AD549-IF('Control Room'!$B$5="Normal",'Control Room'!$B$7,('Control Room'!$B$8+'Control Room'!$D$8)/2))+SQRT(1-'Control Room'!$B$9^2)*(AC550-IF('Control Room'!$B$5="Normal",'Control Room'!$B$7,('Control Room'!$B$8+'Control Room'!$D$8)/2))</x:f>
        <x:v>1007.9597666844966</x:v>
      </x:c>
      <x:c r="AE550" s="17" t="n">
        <x:f>IF(AND($A550&gt;='Control Room'!$A$13,$A550&lt;'Control Room'!$A$13+'Control Room'!$B$13,'Process'!BP2=1),1+('Control Room'!$C$13-1)*EXP(-0.5*(($A550-'Control Room'!$A$13-('Control Room'!$B$13-1)/2)/MAX(0.5,'Control Room'!$B$13/4))^2),1)*IF(AND($A550&gt;='Control Room'!$A$14,$A550&lt;'Control Room'!$A$14+'Control Room'!$B$14,'Process'!BP3=1),1+('Control Room'!$C$14-1)*EXP(-0.5*(($A550-'Control Room'!$A$14-('Control Room'!$B$14-1)/2)/MAX(0.5,'Control Room'!$B$14/4))^2),1)*IF(AND($A550&gt;='Control Room'!$A$15,$A550&lt;'Control Room'!$A$15+'Control Room'!$B$15,'Process'!BP4=1),1+('Control Room'!$C$15-1)*EXP(-0.5*(($A550-'Control Room'!$A$15-('Control Room'!$B$15-1)/2)/MAX(0.5,'Control Room'!$B$15/4))^2),1)*IF(AND($A550&gt;='Control Room'!$A$16,$A550&lt;'Control Room'!$A$16+'Control Room'!$B$16,'Process'!BP5=1),1+('Control Room'!$C$16-1)*EXP(-0.5*(($A550-'Control Room'!$A$16-('Control Room'!$B$16-1)/2)/MAX(0.5,'Control Room'!$B$16/4))^2),1)</x:f>
        <x:v>1</x:v>
      </x:c>
      <x:c r="AF550" s="9" t="n">
        <x:f>MOD(AG549*16807,2147483647)</x:f>
        <x:v>1200692203</x:v>
      </x:c>
      <x:c r="AG550" s="9" t="n">
        <x:f>MOD(AF550*16807,2147483647)</x:f>
        <x:v>130024962</x:v>
      </x:c>
      <x:c r="AH550" s="17" t="n">
        <x:f>IF('Control Room'!$B$5="Normal",'Control Room'!$B$7+'Control Room'!$D$7*SQRT(-2*LN(MAX(0.000000000001,AF550/2147483647)))*COS(2*PI()*AG550/2147483647),'Control Room'!$B$8+('Control Room'!$D$8-'Control Room'!$B$8)*AF550/2147483647)</x:f>
        <x:v>1090.1111316725887</x:v>
      </x:c>
      <x:c r="AI550" s="17" t="n">
        <x:f>IF('Control Room'!$B$5="Normal",'Control Room'!$B$7,('Control Room'!$B$8+'Control Room'!$D$8)/2)+'Control Room'!$B$9*(AI549-IF('Control Room'!$B$5="Normal",'Control Room'!$B$7,('Control Room'!$B$8+'Control Room'!$D$8)/2))+SQRT(1-'Control Room'!$B$9^2)*(AH550-IF('Control Room'!$B$5="Normal",'Control Room'!$B$7,('Control Room'!$B$8+'Control Room'!$D$8)/2))</x:f>
        <x:v>1092.2835803138469</x:v>
      </x:c>
      <x:c r="AJ550" s="17" t="n">
        <x:f>IF(AND($A550&gt;='Control Room'!$A$13,$A550&lt;'Control Room'!$A$13+'Control Room'!$B$13,'Process'!BQ2=1),1+('Control Room'!$C$13-1)*EXP(-0.5*(($A550-'Control Room'!$A$13-('Control Room'!$B$13-1)/2)/MAX(0.5,'Control Room'!$B$13/4))^2),1)*IF(AND($A550&gt;='Control Room'!$A$14,$A550&lt;'Control Room'!$A$14+'Control Room'!$B$14,'Process'!BQ3=1),1+('Control Room'!$C$14-1)*EXP(-0.5*(($A550-'Control Room'!$A$14-('Control Room'!$B$14-1)/2)/MAX(0.5,'Control Room'!$B$14/4))^2),1)*IF(AND($A550&gt;='Control Room'!$A$15,$A550&lt;'Control Room'!$A$15+'Control Room'!$B$15,'Process'!BQ4=1),1+('Control Room'!$C$15-1)*EXP(-0.5*(($A550-'Control Room'!$A$15-('Control Room'!$B$15-1)/2)/MAX(0.5,'Control Room'!$B$15/4))^2),1)*IF(AND($A550&gt;='Control Room'!$A$16,$A550&lt;'Control Room'!$A$16+'Control Room'!$B$16,'Process'!BQ5=1),1+('Control Room'!$C$16-1)*EXP(-0.5*(($A550-'Control Room'!$A$16-('Control Room'!$B$16-1)/2)/MAX(0.5,'Control Room'!$B$16/4))^2),1)</x:f>
        <x:v>1</x:v>
      </x:c>
      <x:c r="AK550" s="9" t="n">
        <x:f>MOD(AL549*16807,2147483647)</x:f>
        <x:v>1269994598</x:v>
      </x:c>
      <x:c r="AL550" s="9" t="n">
        <x:f>MOD(AK550*16807,2147483647)</x:f>
        <x:v>959241053</x:v>
      </x:c>
      <x:c r="AM550" s="17" t="n">
        <x:f>IF('Control Room'!$B$5="Normal",'Control Room'!$B$7+'Control Room'!$D$7*SQRT(-2*LN(MAX(0.000000000001,AK550/2147483647)))*COS(2*PI()*AL550/2147483647),'Control Room'!$B$8+('Control Room'!$D$8-'Control Room'!$B$8)*AK550/2147483647)</x:f>
        <x:v>912.8808212131103</x:v>
      </x:c>
      <x:c r="AN550" s="17" t="n">
        <x:f>IF('Control Room'!$B$5="Normal",'Control Room'!$B$7,('Control Room'!$B$8+'Control Room'!$D$8)/2)+'Control Room'!$B$9*(AN549-IF('Control Room'!$B$5="Normal",'Control Room'!$B$7,('Control Room'!$B$8+'Control Room'!$D$8)/2))+SQRT(1-'Control Room'!$B$9^2)*(AM550-IF('Control Room'!$B$5="Normal",'Control Room'!$B$7,('Control Room'!$B$8+'Control Room'!$D$8)/2))</x:f>
        <x:v>1011.3092268607825</x:v>
      </x:c>
      <x:c r="AO550" s="17" t="n">
        <x:f>IF(AND($A550&gt;='Control Room'!$A$13,$A550&lt;'Control Room'!$A$13+'Control Room'!$B$13,'Process'!BR2=1),1+('Control Room'!$C$13-1)*EXP(-0.5*(($A550-'Control Room'!$A$13-('Control Room'!$B$13-1)/2)/MAX(0.5,'Control Room'!$B$13/4))^2),1)*IF(AND($A550&gt;='Control Room'!$A$14,$A550&lt;'Control Room'!$A$14+'Control Room'!$B$14,'Process'!BR3=1),1+('Control Room'!$C$14-1)*EXP(-0.5*(($A550-'Control Room'!$A$14-('Control Room'!$B$14-1)/2)/MAX(0.5,'Control Room'!$B$14/4))^2),1)*IF(AND($A550&gt;='Control Room'!$A$15,$A550&lt;'Control Room'!$A$15+'Control Room'!$B$15,'Process'!BR4=1),1+('Control Room'!$C$15-1)*EXP(-0.5*(($A550-'Control Room'!$A$15-('Control Room'!$B$15-1)/2)/MAX(0.5,'Control Room'!$B$15/4))^2),1)*IF(AND($A550&gt;='Control Room'!$A$16,$A550&lt;'Control Room'!$A$16+'Control Room'!$B$16,'Process'!BR5=1),1+('Control Room'!$C$16-1)*EXP(-0.5*(($A550-'Control Room'!$A$16-('Control Room'!$B$16-1)/2)/MAX(0.5,'Control Room'!$B$16/4))^2),1)</x:f>
        <x:v>1</x:v>
      </x:c>
      <x:c r="AP550" s="9" t="n">
        <x:f>MOD(AQ549*16807,2147483647)</x:f>
        <x:v>1339296993</x:v>
      </x:c>
      <x:c r="AQ550" s="9" t="n">
        <x:f>MOD(AP550*16807,2147483647)</x:f>
        <x:v>1788457144</x:v>
      </x:c>
      <x:c r="AR550" s="17" t="n">
        <x:f>IF('Control Room'!$B$5="Normal",'Control Room'!$B$7+'Control Room'!$D$7*SQRT(-2*LN(MAX(0.000000000001,AP550/2147483647)))*COS(2*PI()*AQ550/2147483647),'Control Room'!$B$8+('Control Room'!$D$8-'Control Room'!$B$8)*AP550/2147483647)</x:f>
        <x:v>1043.4821033706075</x:v>
      </x:c>
      <x:c r="AS550" s="17" t="n">
        <x:f>IF('Control Room'!$B$5="Normal",'Control Room'!$B$7,('Control Room'!$B$8+'Control Room'!$D$8)/2)+'Control Room'!$B$9*(AS549-IF('Control Room'!$B$5="Normal",'Control Room'!$B$7,('Control Room'!$B$8+'Control Room'!$D$8)/2))+SQRT(1-'Control Room'!$B$9^2)*(AR550-IF('Control Room'!$B$5="Normal",'Control Room'!$B$7,('Control Room'!$B$8+'Control Room'!$D$8)/2))</x:f>
        <x:v>1121.5189129248743</x:v>
      </x:c>
      <x:c r="AT550" s="17" t="n">
        <x:f>IF(AND($A550&gt;='Control Room'!$A$13,$A550&lt;'Control Room'!$A$13+'Control Room'!$B$13,'Process'!BS2=1),1+('Control Room'!$C$13-1)*EXP(-0.5*(($A550-'Control Room'!$A$13-('Control Room'!$B$13-1)/2)/MAX(0.5,'Control Room'!$B$13/4))^2),1)*IF(AND($A550&gt;='Control Room'!$A$14,$A550&lt;'Control Room'!$A$14+'Control Room'!$B$14,'Process'!BS3=1),1+('Control Room'!$C$14-1)*EXP(-0.5*(($A550-'Control Room'!$A$14-('Control Room'!$B$14-1)/2)/MAX(0.5,'Control Room'!$B$14/4))^2),1)*IF(AND($A550&gt;='Control Room'!$A$15,$A550&lt;'Control Room'!$A$15+'Control Room'!$B$15,'Process'!BS4=1),1+('Control Room'!$C$15-1)*EXP(-0.5*(($A550-'Control Room'!$A$15-('Control Room'!$B$15-1)/2)/MAX(0.5,'Control Room'!$B$15/4))^2),1)*IF(AND($A550&gt;='Control Room'!$A$16,$A550&lt;'Control Room'!$A$16+'Control Room'!$B$16,'Process'!BS5=1),1+('Control Room'!$C$16-1)*EXP(-0.5*(($A550-'Control Room'!$A$16-('Control Room'!$B$16-1)/2)/MAX(0.5,'Control Room'!$B$16/4))^2),1)</x:f>
        <x:v>1</x:v>
      </x:c>
      <x:c r="AU550" s="9" t="n">
        <x:f>MOD(AV549*16807,2147483647)</x:f>
        <x:v>1408599388</x:v>
      </x:c>
      <x:c r="AV550" s="9" t="n">
        <x:f>MOD(AU550*16807,2147483647)</x:f>
        <x:v>470189588</x:v>
      </x:c>
      <x:c r="AW550" s="17" t="n">
        <x:f>IF('Control Room'!$B$5="Normal",'Control Room'!$B$7+'Control Room'!$D$7*SQRT(-2*LN(MAX(0.000000000001,AU550/2147483647)))*COS(2*PI()*AV550/2147483647),'Control Room'!$B$8+('Control Room'!$D$8-'Control Room'!$B$8)*AU550/2147483647)</x:f>
        <x:v>1016.0234250069368</x:v>
      </x:c>
      <x:c r="AX550" s="17" t="n">
        <x:f>IF('Control Room'!$B$5="Normal",'Control Room'!$B$7,('Control Room'!$B$8+'Control Room'!$D$8)/2)+'Control Room'!$B$9*(AX549-IF('Control Room'!$B$5="Normal",'Control Room'!$B$7,('Control Room'!$B$8+'Control Room'!$D$8)/2))+SQRT(1-'Control Room'!$B$9^2)*(AW550-IF('Control Room'!$B$5="Normal",'Control Room'!$B$7,('Control Room'!$B$8+'Control Room'!$D$8)/2))</x:f>
        <x:v>1006.614121720466</x:v>
      </x:c>
      <x:c r="AY550" s="17" t="n">
        <x:f>IF(AND($A550&gt;='Control Room'!$A$13,$A550&lt;'Control Room'!$A$13+'Control Room'!$B$13,'Process'!BT2=1),1+('Control Room'!$C$13-1)*EXP(-0.5*(($A550-'Control Room'!$A$13-('Control Room'!$B$13-1)/2)/MAX(0.5,'Control Room'!$B$13/4))^2),1)*IF(AND($A550&gt;='Control Room'!$A$14,$A550&lt;'Control Room'!$A$14+'Control Room'!$B$14,'Process'!BT3=1),1+('Control Room'!$C$14-1)*EXP(-0.5*(($A550-'Control Room'!$A$14-('Control Room'!$B$14-1)/2)/MAX(0.5,'Control Room'!$B$14/4))^2),1)*IF(AND($A550&gt;='Control Room'!$A$15,$A550&lt;'Control Room'!$A$15+'Control Room'!$B$15,'Process'!BT4=1),1+('Control Room'!$C$15-1)*EXP(-0.5*(($A550-'Control Room'!$A$15-('Control Room'!$B$15-1)/2)/MAX(0.5,'Control Room'!$B$15/4))^2),1)*IF(AND($A550&gt;='Control Room'!$A$16,$A550&lt;'Control Room'!$A$16+'Control Room'!$B$16,'Process'!BT5=1),1+('Control Room'!$C$16-1)*EXP(-0.5*(($A550-'Control Room'!$A$16-('Control Room'!$B$16-1)/2)/MAX(0.5,'Control Room'!$B$16/4))^2),1)</x:f>
        <x:v>1</x:v>
      </x:c>
      <x:c r="AZ550" s="9" t="n">
        <x:f>MOD(BA549*16807,2147483647)</x:f>
        <x:v>1477901783</x:v>
      </x:c>
      <x:c r="BA550" s="9" t="n">
        <x:f>MOD(AZ550*16807,2147483647)</x:f>
        <x:v>1299405679</x:v>
      </x:c>
      <x:c r="BB550" s="17" t="n">
        <x:f>IF('Control Room'!$B$5="Normal",'Control Room'!$B$7+'Control Room'!$D$7*SQRT(-2*LN(MAX(0.000000000001,AZ550/2147483647)))*COS(2*PI()*BA550/2147483647),'Control Room'!$B$8+('Control Room'!$D$8-'Control Room'!$B$8)*AZ550/2147483647)</x:f>
        <x:v>938.547396800044</x:v>
      </x:c>
      <x:c r="BC550" s="17" t="n">
        <x:f>IF('Control Room'!$B$5="Normal",'Control Room'!$B$7,('Control Room'!$B$8+'Control Room'!$D$8)/2)+'Control Room'!$B$9*(BC549-IF('Control Room'!$B$5="Normal",'Control Room'!$B$7,('Control Room'!$B$8+'Control Room'!$D$8)/2))+SQRT(1-'Control Room'!$B$9^2)*(BB550-IF('Control Room'!$B$5="Normal",'Control Room'!$B$7,('Control Room'!$B$8+'Control Room'!$D$8)/2))</x:f>
        <x:v>1070.3590110015493</x:v>
      </x:c>
      <x:c r="BD550" s="17" t="n">
        <x:f>IF(AND($A550&gt;='Control Room'!$A$13,$A550&lt;'Control Room'!$A$13+'Control Room'!$B$13,'Process'!BU2=1),1+('Control Room'!$C$13-1)*EXP(-0.5*(($A550-'Control Room'!$A$13-('Control Room'!$B$13-1)/2)/MAX(0.5,'Control Room'!$B$13/4))^2),1)*IF(AND($A550&gt;='Control Room'!$A$14,$A550&lt;'Control Room'!$A$14+'Control Room'!$B$14,'Process'!BU3=1),1+('Control Room'!$C$14-1)*EXP(-0.5*(($A550-'Control Room'!$A$14-('Control Room'!$B$14-1)/2)/MAX(0.5,'Control Room'!$B$14/4))^2),1)*IF(AND($A550&gt;='Control Room'!$A$15,$A550&lt;'Control Room'!$A$15+'Control Room'!$B$15,'Process'!BU4=1),1+('Control Room'!$C$15-1)*EXP(-0.5*(($A550-'Control Room'!$A$15-('Control Room'!$B$15-1)/2)/MAX(0.5,'Control Room'!$B$15/4))^2),1)*IF(AND($A550&gt;='Control Room'!$A$16,$A550&lt;'Control Room'!$A$16+'Control Room'!$B$16,'Process'!BU5=1),1+('Control Room'!$C$16-1)*EXP(-0.5*(($A550-'Control Room'!$A$16-('Control Room'!$B$16-1)/2)/MAX(0.5,'Control Room'!$B$16/4))^2),1)</x:f>
        <x:v>1</x:v>
      </x:c>
      <x:c r="BE550" s="9" t="n">
        <x:f>MOD(BF549*16807,2147483647)</x:f>
        <x:v>1547204178</x:v>
      </x:c>
      <x:c r="BF550" s="9" t="n">
        <x:f>MOD(BE550*16807,2147483647)</x:f>
        <x:v>2128621770</x:v>
      </x:c>
      <x:c r="BG550" s="17" t="n">
        <x:f>IF('Control Room'!$B$5="Normal",'Control Room'!$B$7+'Control Room'!$D$7*SQRT(-2*LN(MAX(0.000000000001,BE550/2147483647)))*COS(2*PI()*BF550/2147483647),'Control Room'!$B$8+('Control Room'!$D$8-'Control Room'!$B$8)*BE550/2147483647)</x:f>
        <x:v>1072.7665158614732</x:v>
      </x:c>
      <x:c r="BH550" s="17" t="n">
        <x:f>IF('Control Room'!$B$5="Normal",'Control Room'!$B$7,('Control Room'!$B$8+'Control Room'!$D$8)/2)+'Control Room'!$B$9*(BH549-IF('Control Room'!$B$5="Normal",'Control Room'!$B$7,('Control Room'!$B$8+'Control Room'!$D$8)/2))+SQRT(1-'Control Room'!$B$9^2)*(BG550-IF('Control Room'!$B$5="Normal",'Control Room'!$B$7,('Control Room'!$B$8+'Control Room'!$D$8)/2))</x:f>
        <x:v>1081.0258942666453</x:v>
      </x:c>
      <x:c r="BI550" s="17" t="n">
        <x:f>IF(AND($A550&gt;='Control Room'!$A$13,$A550&lt;'Control Room'!$A$13+'Control Room'!$B$13,'Process'!BV2=1),1+('Control Room'!$C$13-1)*EXP(-0.5*(($A550-'Control Room'!$A$13-('Control Room'!$B$13-1)/2)/MAX(0.5,'Control Room'!$B$13/4))^2),1)*IF(AND($A550&gt;='Control Room'!$A$14,$A550&lt;'Control Room'!$A$14+'Control Room'!$B$14,'Process'!BV3=1),1+('Control Room'!$C$14-1)*EXP(-0.5*(($A550-'Control Room'!$A$14-('Control Room'!$B$14-1)/2)/MAX(0.5,'Control Room'!$B$14/4))^2),1)*IF(AND($A550&gt;='Control Room'!$A$15,$A550&lt;'Control Room'!$A$15+'Control Room'!$B$15,'Process'!BV4=1),1+('Control Room'!$C$15-1)*EXP(-0.5*(($A550-'Control Room'!$A$15-('Control Room'!$B$15-1)/2)/MAX(0.5,'Control Room'!$B$15/4))^2),1)*IF(AND($A550&gt;='Control Room'!$A$16,$A550&lt;'Control Room'!$A$16+'Control Room'!$B$16,'Process'!BV5=1),1+('Control Room'!$C$16-1)*EXP(-0.5*(($A550-'Control Room'!$A$16-('Control Room'!$B$16-1)/2)/MAX(0.5,'Control Room'!$B$16/4))^2),1)</x:f>
        <x:v>1</x:v>
      </x:c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Z550" t="str">
        <x:f>IF('Data'!A550="","",TEXT('Data'!A550,"mm-dd"))</x:f>
      </x:c>
    </x:row>
    <x:row r="551" ht="21" customHeight="1">
      <x:c r="A551" s="15" t="n">
        <x:f>'Control Room'!$B$1+549</x:f>
        <x:v>73540</x:v>
      </x:c>
      <x:c r="B551" s="9" t="n">
        <x:f>MOD(C550*16807,2147483647)</x:f>
        <x:v>247865599</x:v>
      </x:c>
      <x:c r="C551" s="9" t="n">
        <x:f>MOD(B551*16807,2147483647)</x:f>
        <x:v>1906330860</x:v>
      </x:c>
      <x:c r="D551" s="17" t="n">
        <x:f>IF('Control Room'!$B$5="Normal",'Control Room'!$B$7+'Control Room'!$D$7*SQRT(-2*LN(MAX(0.000000000001,B551/2147483647)))*COS(2*PI()*C551/2147483647),'Control Room'!$B$8+('Control Room'!$D$8-'Control Room'!$B$8)*B551/2147483647)</x:f>
        <x:v>1142.371125873868</x:v>
      </x:c>
      <x:c r="E551" s="17" t="n">
        <x:f>IF('Control Room'!$B$5="Normal",'Control Room'!$B$7,('Control Room'!$B$8+'Control Room'!$D$8)/2)+'Control Room'!$B$9*(E550-IF('Control Room'!$B$5="Normal",'Control Room'!$B$7,('Control Room'!$B$8+'Control Room'!$D$8)/2))+SQRT(1-'Control Room'!$B$9^2)*(D551-IF('Control Room'!$B$5="Normal",'Control Room'!$B$7,('Control Room'!$B$8+'Control Room'!$D$8)/2))</x:f>
        <x:v>1069.868470811258</x:v>
      </x:c>
      <x:c r="F551" s="17" t="n">
        <x:f>IF(AND($A551&gt;='Control Room'!$A$13,$A551&lt;'Control Room'!$A$13+'Control Room'!$B$13,'Process'!BK2=1),1+('Control Room'!$C$13-1)*EXP(-0.5*(($A551-'Control Room'!$A$13-('Control Room'!$B$13-1)/2)/MAX(0.5,'Control Room'!$B$13/4))^2),1)*IF(AND($A551&gt;='Control Room'!$A$14,$A551&lt;'Control Room'!$A$14+'Control Room'!$B$14,'Process'!BK3=1),1+('Control Room'!$C$14-1)*EXP(-0.5*(($A551-'Control Room'!$A$14-('Control Room'!$B$14-1)/2)/MAX(0.5,'Control Room'!$B$14/4))^2),1)*IF(AND($A551&gt;='Control Room'!$A$15,$A551&lt;'Control Room'!$A$15+'Control Room'!$B$15,'Process'!BK4=1),1+('Control Room'!$C$15-1)*EXP(-0.5*(($A551-'Control Room'!$A$15-('Control Room'!$B$15-1)/2)/MAX(0.5,'Control Room'!$B$15/4))^2),1)*IF(AND($A551&gt;='Control Room'!$A$16,$A551&lt;'Control Room'!$A$16+'Control Room'!$B$16,'Process'!BK5=1),1+('Control Room'!$C$16-1)*EXP(-0.5*(($A551-'Control Room'!$A$16-('Control Room'!$B$16-1)/2)/MAX(0.5,'Control Room'!$B$16/4))^2),1)</x:f>
        <x:v>1</x:v>
      </x:c>
      <x:c r="G551" s="9" t="n">
        <x:f>MOD(H550*16807,2147483647)</x:f>
        <x:v>1861321653</x:v>
      </x:c>
      <x:c r="H551" s="9" t="n">
        <x:f>MOD(G551*16807,2147483647)</x:f>
        <x:v>838736122</x:v>
      </x:c>
      <x:c r="I551" s="17" t="n">
        <x:f>IF('Control Room'!$B$5="Normal",'Control Room'!$B$7+'Control Room'!$D$7*SQRT(-2*LN(MAX(0.000000000001,G551/2147483647)))*COS(2*PI()*H551/2147483647),'Control Room'!$B$8+('Control Room'!$D$8-'Control Room'!$B$8)*G551/2147483647)</x:f>
        <x:v>962.8040247354782</x:v>
      </x:c>
      <x:c r="J551" s="17" t="n">
        <x:f>IF('Control Room'!$B$5="Normal",'Control Room'!$B$7,('Control Room'!$B$8+'Control Room'!$D$8)/2)+'Control Room'!$B$9*(J550-IF('Control Room'!$B$5="Normal",'Control Room'!$B$7,('Control Room'!$B$8+'Control Room'!$D$8)/2))+SQRT(1-'Control Room'!$B$9^2)*(I551-IF('Control Room'!$B$5="Normal",'Control Room'!$B$7,('Control Room'!$B$8+'Control Room'!$D$8)/2))</x:f>
        <x:v>1036.2355567000257</x:v>
      </x:c>
      <x:c r="K551" s="17" t="n">
        <x:f>IF(AND($A551&gt;='Control Room'!$A$13,$A551&lt;'Control Room'!$A$13+'Control Room'!$B$13,'Process'!BL2=1),1+('Control Room'!$C$13-1)*EXP(-0.5*(($A551-'Control Room'!$A$13-('Control Room'!$B$13-1)/2)/MAX(0.5,'Control Room'!$B$13/4))^2),1)*IF(AND($A551&gt;='Control Room'!$A$14,$A551&lt;'Control Room'!$A$14+'Control Room'!$B$14,'Process'!BL3=1),1+('Control Room'!$C$14-1)*EXP(-0.5*(($A551-'Control Room'!$A$14-('Control Room'!$B$14-1)/2)/MAX(0.5,'Control Room'!$B$14/4))^2),1)*IF(AND($A551&gt;='Control Room'!$A$15,$A551&lt;'Control Room'!$A$15+'Control Room'!$B$15,'Process'!BL4=1),1+('Control Room'!$C$15-1)*EXP(-0.5*(($A551-'Control Room'!$A$15-('Control Room'!$B$15-1)/2)/MAX(0.5,'Control Room'!$B$15/4))^2),1)*IF(AND($A551&gt;='Control Room'!$A$16,$A551&lt;'Control Room'!$A$16+'Control Room'!$B$16,'Process'!BL5=1),1+('Control Room'!$C$16-1)*EXP(-0.5*(($A551-'Control Room'!$A$16-('Control Room'!$B$16-1)/2)/MAX(0.5,'Control Room'!$B$16/4))^2),1)</x:f>
        <x:v>1</x:v>
      </x:c>
      <x:c r="L551" s="9" t="n">
        <x:f>MOD(M550*16807,2147483647)</x:f>
        <x:v>1327294060</x:v>
      </x:c>
      <x:c r="M551" s="9" t="n">
        <x:f>MOD(L551*16807,2147483647)</x:f>
        <x:v>1918625031</x:v>
      </x:c>
      <x:c r="N551" s="17" t="n">
        <x:f>IF('Control Room'!$B$5="Normal",'Control Room'!$B$7+'Control Room'!$D$7*SQRT(-2*LN(MAX(0.000000000001,L551/2147483647)))*COS(2*PI()*M551/2147483647),'Control Room'!$B$8+('Control Room'!$D$8-'Control Room'!$B$8)*L551/2147483647)</x:f>
        <x:v>1069.2235106656922</x:v>
      </x:c>
      <x:c r="O551" s="17" t="n">
        <x:f>IF('Control Room'!$B$5="Normal",'Control Room'!$B$7,('Control Room'!$B$8+'Control Room'!$D$8)/2)+'Control Room'!$B$9*(O550-IF('Control Room'!$B$5="Normal",'Control Room'!$B$7,('Control Room'!$B$8+'Control Room'!$D$8)/2))+SQRT(1-'Control Room'!$B$9^2)*(N551-IF('Control Room'!$B$5="Normal",'Control Room'!$B$7,('Control Room'!$B$8+'Control Room'!$D$8)/2))</x:f>
        <x:v>1060.5538403791763</x:v>
      </x:c>
      <x:c r="P551" s="17" t="n">
        <x:f>IF(AND($A551&gt;='Control Room'!$A$13,$A551&lt;'Control Room'!$A$13+'Control Room'!$B$13,'Process'!BM2=1),1+('Control Room'!$C$13-1)*EXP(-0.5*(($A551-'Control Room'!$A$13-('Control Room'!$B$13-1)/2)/MAX(0.5,'Control Room'!$B$13/4))^2),1)*IF(AND($A551&gt;='Control Room'!$A$14,$A551&lt;'Control Room'!$A$14+'Control Room'!$B$14,'Process'!BM3=1),1+('Control Room'!$C$14-1)*EXP(-0.5*(($A551-'Control Room'!$A$14-('Control Room'!$B$14-1)/2)/MAX(0.5,'Control Room'!$B$14/4))^2),1)*IF(AND($A551&gt;='Control Room'!$A$15,$A551&lt;'Control Room'!$A$15+'Control Room'!$B$15,'Process'!BM4=1),1+('Control Room'!$C$15-1)*EXP(-0.5*(($A551-'Control Room'!$A$15-('Control Room'!$B$15-1)/2)/MAX(0.5,'Control Room'!$B$15/4))^2),1)*IF(AND($A551&gt;='Control Room'!$A$16,$A551&lt;'Control Room'!$A$16+'Control Room'!$B$16,'Process'!BM5=1),1+('Control Room'!$C$16-1)*EXP(-0.5*(($A551-'Control Room'!$A$16-('Control Room'!$B$16-1)/2)/MAX(0.5,'Control Room'!$B$16/4))^2),1)</x:f>
        <x:v>1</x:v>
      </x:c>
      <x:c r="Q551" s="9" t="n">
        <x:f>MOD(R550*16807,2147483647)</x:f>
        <x:v>793266467</x:v>
      </x:c>
      <x:c r="R551" s="9" t="n">
        <x:f>MOD(Q551*16807,2147483647)</x:f>
        <x:v>851030293</x:v>
      </x:c>
      <x:c r="S551" s="17" t="n">
        <x:f>IF('Control Room'!$B$5="Normal",'Control Room'!$B$7+'Control Room'!$D$7*SQRT(-2*LN(MAX(0.000000000001,Q551/2147483647)))*COS(2*PI()*R551/2147483647),'Control Room'!$B$8+('Control Room'!$D$8-'Control Room'!$B$8)*Q551/2147483647)</x:f>
        <x:v>899.0078314280554</x:v>
      </x:c>
      <x:c r="T551" s="17" t="n">
        <x:f>IF('Control Room'!$B$5="Normal",'Control Room'!$B$7,('Control Room'!$B$8+'Control Room'!$D$8)/2)+'Control Room'!$B$9*(T550-IF('Control Room'!$B$5="Normal",'Control Room'!$B$7,('Control Room'!$B$8+'Control Room'!$D$8)/2))+SQRT(1-'Control Room'!$B$9^2)*(S551-IF('Control Room'!$B$5="Normal",'Control Room'!$B$7,('Control Room'!$B$8+'Control Room'!$D$8)/2))</x:f>
        <x:v>983.9942039767424</x:v>
      </x:c>
      <x:c r="U551" s="17" t="n">
        <x:f>IF(AND($A551&gt;='Control Room'!$A$13,$A551&lt;'Control Room'!$A$13+'Control Room'!$B$13,'Process'!BN2=1),1+('Control Room'!$C$13-1)*EXP(-0.5*(($A551-'Control Room'!$A$13-('Control Room'!$B$13-1)/2)/MAX(0.5,'Control Room'!$B$13/4))^2),1)*IF(AND($A551&gt;='Control Room'!$A$14,$A551&lt;'Control Room'!$A$14+'Control Room'!$B$14,'Process'!BN3=1),1+('Control Room'!$C$14-1)*EXP(-0.5*(($A551-'Control Room'!$A$14-('Control Room'!$B$14-1)/2)/MAX(0.5,'Control Room'!$B$14/4))^2),1)*IF(AND($A551&gt;='Control Room'!$A$15,$A551&lt;'Control Room'!$A$15+'Control Room'!$B$15,'Process'!BN4=1),1+('Control Room'!$C$15-1)*EXP(-0.5*(($A551-'Control Room'!$A$15-('Control Room'!$B$15-1)/2)/MAX(0.5,'Control Room'!$B$15/4))^2),1)*IF(AND($A551&gt;='Control Room'!$A$16,$A551&lt;'Control Room'!$A$16+'Control Room'!$B$16,'Process'!BN5=1),1+('Control Room'!$C$16-1)*EXP(-0.5*(($A551-'Control Room'!$A$16-('Control Room'!$B$16-1)/2)/MAX(0.5,'Control Room'!$B$16/4))^2),1)</x:f>
        <x:v>1</x:v>
      </x:c>
      <x:c r="V551" s="9" t="n">
        <x:f>MOD(W550*16807,2147483647)</x:f>
        <x:v>259238874</x:v>
      </x:c>
      <x:c r="W551" s="9" t="n">
        <x:f>MOD(V551*16807,2147483647)</x:f>
        <x:v>1930919202</x:v>
      </x:c>
      <x:c r="X551" s="17" t="n">
        <x:f>IF('Control Room'!$B$5="Normal",'Control Room'!$B$7+'Control Room'!$D$7*SQRT(-2*LN(MAX(0.000000000001,V551/2147483647)))*COS(2*PI()*W551/2147483647),'Control Room'!$B$8+('Control Room'!$D$8-'Control Room'!$B$8)*V551/2147483647)</x:f>
        <x:v>1149.1463667560024</x:v>
      </x:c>
      <x:c r="Y551" s="17" t="n">
        <x:f>IF('Control Room'!$B$5="Normal",'Control Room'!$B$7,('Control Room'!$B$8+'Control Room'!$D$8)/2)+'Control Room'!$B$9*(Y550-IF('Control Room'!$B$5="Normal",'Control Room'!$B$7,('Control Room'!$B$8+'Control Room'!$D$8)/2))+SQRT(1-'Control Room'!$B$9^2)*(X551-IF('Control Room'!$B$5="Normal",'Control Room'!$B$7,('Control Room'!$B$8+'Control Room'!$D$8)/2))</x:f>
        <x:v>1169.3156790810144</x:v>
      </x:c>
      <x:c r="Z551" s="17" t="n">
        <x:f>IF(AND($A551&gt;='Control Room'!$A$13,$A551&lt;'Control Room'!$A$13+'Control Room'!$B$13,'Process'!BO2=1),1+('Control Room'!$C$13-1)*EXP(-0.5*(($A551-'Control Room'!$A$13-('Control Room'!$B$13-1)/2)/MAX(0.5,'Control Room'!$B$13/4))^2),1)*IF(AND($A551&gt;='Control Room'!$A$14,$A551&lt;'Control Room'!$A$14+'Control Room'!$B$14,'Process'!BO3=1),1+('Control Room'!$C$14-1)*EXP(-0.5*(($A551-'Control Room'!$A$14-('Control Room'!$B$14-1)/2)/MAX(0.5,'Control Room'!$B$14/4))^2),1)*IF(AND($A551&gt;='Control Room'!$A$15,$A551&lt;'Control Room'!$A$15+'Control Room'!$B$15,'Process'!BO4=1),1+('Control Room'!$C$15-1)*EXP(-0.5*(($A551-'Control Room'!$A$15-('Control Room'!$B$15-1)/2)/MAX(0.5,'Control Room'!$B$15/4))^2),1)*IF(AND($A551&gt;='Control Room'!$A$16,$A551&lt;'Control Room'!$A$16+'Control Room'!$B$16,'Process'!BO5=1),1+('Control Room'!$C$16-1)*EXP(-0.5*(($A551-'Control Room'!$A$16-('Control Room'!$B$16-1)/2)/MAX(0.5,'Control Room'!$B$16/4))^2),1)</x:f>
        <x:v>1</x:v>
      </x:c>
      <x:c r="AA551" s="9" t="n">
        <x:f>MOD(AB550*16807,2147483647)</x:f>
        <x:v>1872694928</x:v>
      </x:c>
      <x:c r="AB551" s="9" t="n">
        <x:f>MOD(AA551*16807,2147483647)</x:f>
        <x:v>863324464</x:v>
      </x:c>
      <x:c r="AC551" s="17" t="n">
        <x:f>IF('Control Room'!$B$5="Normal",'Control Room'!$B$7+'Control Room'!$D$7*SQRT(-2*LN(MAX(0.000000000001,AA551/2147483647)))*COS(2*PI()*AB551/2147483647),'Control Room'!$B$8+('Control Room'!$D$8-'Control Room'!$B$8)*AA551/2147483647)</x:f>
        <x:v>961.5504539429874</x:v>
      </x:c>
      <x:c r="AD551" s="17" t="n">
        <x:f>IF('Control Room'!$B$5="Normal",'Control Room'!$B$7,('Control Room'!$B$8+'Control Room'!$D$8)/2)+'Control Room'!$B$9*(AD550-IF('Control Room'!$B$5="Normal",'Control Room'!$B$7,('Control Room'!$B$8+'Control Room'!$D$8)/2))+SQRT(1-'Control Room'!$B$9^2)*(AC551-IF('Control Room'!$B$5="Normal",'Control Room'!$B$7,('Control Room'!$B$8+'Control Room'!$D$8)/2))</x:f>
        <x:v>982.1476797731941</x:v>
      </x:c>
      <x:c r="AE551" s="17" t="n">
        <x:f>IF(AND($A551&gt;='Control Room'!$A$13,$A551&lt;'Control Room'!$A$13+'Control Room'!$B$13,'Process'!BP2=1),1+('Control Room'!$C$13-1)*EXP(-0.5*(($A551-'Control Room'!$A$13-('Control Room'!$B$13-1)/2)/MAX(0.5,'Control Room'!$B$13/4))^2),1)*IF(AND($A551&gt;='Control Room'!$A$14,$A551&lt;'Control Room'!$A$14+'Control Room'!$B$14,'Process'!BP3=1),1+('Control Room'!$C$14-1)*EXP(-0.5*(($A551-'Control Room'!$A$14-('Control Room'!$B$14-1)/2)/MAX(0.5,'Control Room'!$B$14/4))^2),1)*IF(AND($A551&gt;='Control Room'!$A$15,$A551&lt;'Control Room'!$A$15+'Control Room'!$B$15,'Process'!BP4=1),1+('Control Room'!$C$15-1)*EXP(-0.5*(($A551-'Control Room'!$A$15-('Control Room'!$B$15-1)/2)/MAX(0.5,'Control Room'!$B$15/4))^2),1)*IF(AND($A551&gt;='Control Room'!$A$16,$A551&lt;'Control Room'!$A$16+'Control Room'!$B$16,'Process'!BP5=1),1+('Control Room'!$C$16-1)*EXP(-0.5*(($A551-'Control Room'!$A$16-('Control Room'!$B$16-1)/2)/MAX(0.5,'Control Room'!$B$16/4))^2),1)</x:f>
        <x:v>1</x:v>
      </x:c>
      <x:c r="AF551" s="9" t="n">
        <x:f>MOD(AG550*16807,2147483647)</x:f>
        <x:v>1338667335</x:v>
      </x:c>
      <x:c r="AG551" s="9" t="n">
        <x:f>MOD(AF551*16807,2147483647)</x:f>
        <x:v>1943213373</x:v>
      </x:c>
      <x:c r="AH551" s="17" t="n">
        <x:f>IF('Control Room'!$B$5="Normal",'Control Room'!$B$7+'Control Room'!$D$7*SQRT(-2*LN(MAX(0.000000000001,AF551/2147483647)))*COS(2*PI()*AG551/2147483647),'Control Room'!$B$8+('Control Room'!$D$8-'Control Room'!$B$8)*AF551/2147483647)</x:f>
        <x:v>1072.33329458343</x:v>
      </x:c>
      <x:c r="AI551" s="17" t="n">
        <x:f>IF('Control Room'!$B$5="Normal",'Control Room'!$B$7,('Control Room'!$B$8+'Control Room'!$D$8)/2)+'Control Room'!$B$9*(AI550-IF('Control Room'!$B$5="Normal",'Control Room'!$B$7,('Control Room'!$B$8+'Control Room'!$D$8)/2))+SQRT(1-'Control Room'!$B$9^2)*(AH551-IF('Control Room'!$B$5="Normal",'Control Room'!$B$7,('Control Room'!$B$8+'Control Room'!$D$8)/2))</x:f>
        <x:v>1117.245886567027</x:v>
      </x:c>
      <x:c r="AJ551" s="17" t="n">
        <x:f>IF(AND($A551&gt;='Control Room'!$A$13,$A551&lt;'Control Room'!$A$13+'Control Room'!$B$13,'Process'!BQ2=1),1+('Control Room'!$C$13-1)*EXP(-0.5*(($A551-'Control Room'!$A$13-('Control Room'!$B$13-1)/2)/MAX(0.5,'Control Room'!$B$13/4))^2),1)*IF(AND($A551&gt;='Control Room'!$A$14,$A551&lt;'Control Room'!$A$14+'Control Room'!$B$14,'Process'!BQ3=1),1+('Control Room'!$C$14-1)*EXP(-0.5*(($A551-'Control Room'!$A$14-('Control Room'!$B$14-1)/2)/MAX(0.5,'Control Room'!$B$14/4))^2),1)*IF(AND($A551&gt;='Control Room'!$A$15,$A551&lt;'Control Room'!$A$15+'Control Room'!$B$15,'Process'!BQ4=1),1+('Control Room'!$C$15-1)*EXP(-0.5*(($A551-'Control Room'!$A$15-('Control Room'!$B$15-1)/2)/MAX(0.5,'Control Room'!$B$15/4))^2),1)*IF(AND($A551&gt;='Control Room'!$A$16,$A551&lt;'Control Room'!$A$16+'Control Room'!$B$16,'Process'!BQ5=1),1+('Control Room'!$C$16-1)*EXP(-0.5*(($A551-'Control Room'!$A$16-('Control Room'!$B$16-1)/2)/MAX(0.5,'Control Room'!$B$16/4))^2),1)</x:f>
        <x:v>1</x:v>
      </x:c>
      <x:c r="AK551" s="9" t="n">
        <x:f>MOD(AL550*16807,2147483647)</x:f>
        <x:v>804639742</x:v>
      </x:c>
      <x:c r="AL551" s="9" t="n">
        <x:f>MOD(AK551*16807,2147483647)</x:f>
        <x:v>875618635</x:v>
      </x:c>
      <x:c r="AM551" s="17" t="n">
        <x:f>IF('Control Room'!$B$5="Normal",'Control Room'!$B$7+'Control Room'!$D$7*SQRT(-2*LN(MAX(0.000000000001,AK551/2147483647)))*COS(2*PI()*AL551/2147483647),'Control Room'!$B$8+('Control Room'!$D$8-'Control Room'!$B$8)*AK551/2147483647)</x:f>
        <x:v>894.4942350852099</x:v>
      </x:c>
      <x:c r="AN551" s="17" t="n">
        <x:f>IF('Control Room'!$B$5="Normal",'Control Room'!$B$7,('Control Room'!$B$8+'Control Room'!$D$8)/2)+'Control Room'!$B$9*(AN550-IF('Control Room'!$B$5="Normal",'Control Room'!$B$7,('Control Room'!$B$8+'Control Room'!$D$8)/2))+SQRT(1-'Control Room'!$B$9^2)*(AM551-IF('Control Room'!$B$5="Normal",'Control Room'!$B$7,('Control Room'!$B$8+'Control Room'!$D$8)/2))</x:f>
        <x:v>942.7978506708117</x:v>
      </x:c>
      <x:c r="AO551" s="17" t="n">
        <x:f>IF(AND($A551&gt;='Control Room'!$A$13,$A551&lt;'Control Room'!$A$13+'Control Room'!$B$13,'Process'!BR2=1),1+('Control Room'!$C$13-1)*EXP(-0.5*(($A551-'Control Room'!$A$13-('Control Room'!$B$13-1)/2)/MAX(0.5,'Control Room'!$B$13/4))^2),1)*IF(AND($A551&gt;='Control Room'!$A$14,$A551&lt;'Control Room'!$A$14+'Control Room'!$B$14,'Process'!BR3=1),1+('Control Room'!$C$14-1)*EXP(-0.5*(($A551-'Control Room'!$A$14-('Control Room'!$B$14-1)/2)/MAX(0.5,'Control Room'!$B$14/4))^2),1)*IF(AND($A551&gt;='Control Room'!$A$15,$A551&lt;'Control Room'!$A$15+'Control Room'!$B$15,'Process'!BR4=1),1+('Control Room'!$C$15-1)*EXP(-0.5*(($A551-'Control Room'!$A$15-('Control Room'!$B$15-1)/2)/MAX(0.5,'Control Room'!$B$15/4))^2),1)*IF(AND($A551&gt;='Control Room'!$A$16,$A551&lt;'Control Room'!$A$16+'Control Room'!$B$16,'Process'!BR5=1),1+('Control Room'!$C$16-1)*EXP(-0.5*(($A551-'Control Room'!$A$16-('Control Room'!$B$16-1)/2)/MAX(0.5,'Control Room'!$B$16/4))^2),1)</x:f>
        <x:v>1</x:v>
      </x:c>
      <x:c r="AP551" s="9" t="n">
        <x:f>MOD(AQ550*16807,2147483647)</x:f>
        <x:v>270612149</x:v>
      </x:c>
      <x:c r="AQ551" s="9" t="n">
        <x:f>MOD(AP551*16807,2147483647)</x:f>
        <x:v>1955507544</x:v>
      </x:c>
      <x:c r="AR551" s="17" t="n">
        <x:f>IF('Control Room'!$B$5="Normal",'Control Room'!$B$7+'Control Room'!$D$7*SQRT(-2*LN(MAX(0.000000000001,AP551/2147483647)))*COS(2*PI()*AQ551/2147483647),'Control Room'!$B$8+('Control Room'!$D$8-'Control Room'!$B$8)*AP551/2147483647)</x:f>
        <x:v>1155.0382568351197</x:v>
      </x:c>
      <x:c r="AS551" s="17" t="n">
        <x:f>IF('Control Room'!$B$5="Normal",'Control Room'!$B$7,('Control Room'!$B$8+'Control Room'!$D$8)/2)+'Control Room'!$B$9*(AS550-IF('Control Room'!$B$5="Normal",'Control Room'!$B$7,('Control Room'!$B$8+'Control Room'!$D$8)/2))+SQRT(1-'Control Room'!$B$9^2)*(AR551-IF('Control Room'!$B$5="Normal",'Control Room'!$B$7,('Control Room'!$B$8+'Control Room'!$D$8)/2))</x:f>
        <x:v>1191.8045170774903</x:v>
      </x:c>
      <x:c r="AT551" s="17" t="n">
        <x:f>IF(AND($A551&gt;='Control Room'!$A$13,$A551&lt;'Control Room'!$A$13+'Control Room'!$B$13,'Process'!BS2=1),1+('Control Room'!$C$13-1)*EXP(-0.5*(($A551-'Control Room'!$A$13-('Control Room'!$B$13-1)/2)/MAX(0.5,'Control Room'!$B$13/4))^2),1)*IF(AND($A551&gt;='Control Room'!$A$14,$A551&lt;'Control Room'!$A$14+'Control Room'!$B$14,'Process'!BS3=1),1+('Control Room'!$C$14-1)*EXP(-0.5*(($A551-'Control Room'!$A$14-('Control Room'!$B$14-1)/2)/MAX(0.5,'Control Room'!$B$14/4))^2),1)*IF(AND($A551&gt;='Control Room'!$A$15,$A551&lt;'Control Room'!$A$15+'Control Room'!$B$15,'Process'!BS4=1),1+('Control Room'!$C$15-1)*EXP(-0.5*(($A551-'Control Room'!$A$15-('Control Room'!$B$15-1)/2)/MAX(0.5,'Control Room'!$B$15/4))^2),1)*IF(AND($A551&gt;='Control Room'!$A$16,$A551&lt;'Control Room'!$A$16+'Control Room'!$B$16,'Process'!BS5=1),1+('Control Room'!$C$16-1)*EXP(-0.5*(($A551-'Control Room'!$A$16-('Control Room'!$B$16-1)/2)/MAX(0.5,'Control Room'!$B$16/4))^2),1)</x:f>
        <x:v>1</x:v>
      </x:c>
      <x:c r="AU551" s="9" t="n">
        <x:f>MOD(AV550*16807,2147483647)</x:f>
        <x:v>1884068203</x:v>
      </x:c>
      <x:c r="AV551" s="9" t="n">
        <x:f>MOD(AU551*16807,2147483647)</x:f>
        <x:v>887912806</x:v>
      </x:c>
      <x:c r="AW551" s="17" t="n">
        <x:f>IF('Control Room'!$B$5="Normal",'Control Room'!$B$7+'Control Room'!$D$7*SQRT(-2*LN(MAX(0.000000000001,AU551/2147483647)))*COS(2*PI()*AV551/2147483647),'Control Room'!$B$8+('Control Room'!$D$8-'Control Room'!$B$8)*AU551/2147483647)</x:f>
        <x:v>960.5962331689816</x:v>
      </x:c>
      <x:c r="AX551" s="17" t="n">
        <x:f>IF('Control Room'!$B$5="Normal",'Control Room'!$B$7,('Control Room'!$B$8+'Control Room'!$D$8)/2)+'Control Room'!$B$9*(AX550-IF('Control Room'!$B$5="Normal",'Control Room'!$B$7,('Control Room'!$B$8+'Control Room'!$D$8)/2))+SQRT(1-'Control Room'!$B$9^2)*(AW551-IF('Control Room'!$B$5="Normal",'Control Room'!$B$7,('Control Room'!$B$8+'Control Room'!$D$8)/2))</x:f>
        <x:v>980.5009448891526</x:v>
      </x:c>
      <x:c r="AY551" s="17" t="n">
        <x:f>IF(AND($A551&gt;='Control Room'!$A$13,$A551&lt;'Control Room'!$A$13+'Control Room'!$B$13,'Process'!BT2=1),1+('Control Room'!$C$13-1)*EXP(-0.5*(($A551-'Control Room'!$A$13-('Control Room'!$B$13-1)/2)/MAX(0.5,'Control Room'!$B$13/4))^2),1)*IF(AND($A551&gt;='Control Room'!$A$14,$A551&lt;'Control Room'!$A$14+'Control Room'!$B$14,'Process'!BT3=1),1+('Control Room'!$C$14-1)*EXP(-0.5*(($A551-'Control Room'!$A$14-('Control Room'!$B$14-1)/2)/MAX(0.5,'Control Room'!$B$14/4))^2),1)*IF(AND($A551&gt;='Control Room'!$A$15,$A551&lt;'Control Room'!$A$15+'Control Room'!$B$15,'Process'!BT4=1),1+('Control Room'!$C$15-1)*EXP(-0.5*(($A551-'Control Room'!$A$15-('Control Room'!$B$15-1)/2)/MAX(0.5,'Control Room'!$B$15/4))^2),1)*IF(AND($A551&gt;='Control Room'!$A$16,$A551&lt;'Control Room'!$A$16+'Control Room'!$B$16,'Process'!BT5=1),1+('Control Room'!$C$16-1)*EXP(-0.5*(($A551-'Control Room'!$A$16-('Control Room'!$B$16-1)/2)/MAX(0.5,'Control Room'!$B$16/4))^2),1)</x:f>
        <x:v>1</x:v>
      </x:c>
      <x:c r="AZ551" s="9" t="n">
        <x:f>MOD(BA550*16807,2147483647)</x:f>
        <x:v>1350040610</x:v>
      </x:c>
      <x:c r="BA551" s="9" t="n">
        <x:f>MOD(AZ551*16807,2147483647)</x:f>
        <x:v>1967801715</x:v>
      </x:c>
      <x:c r="BB551" s="17" t="n">
        <x:f>IF('Control Room'!$B$5="Normal",'Control Room'!$B$7+'Control Room'!$D$7*SQRT(-2*LN(MAX(0.000000000001,AZ551/2147483647)))*COS(2*PI()*BA551/2147483647),'Control Room'!$B$8+('Control Room'!$D$8-'Control Room'!$B$8)*AZ551/2147483647)</x:f>
        <x:v>1075.00493133652</x:v>
      </x:c>
      <x:c r="BC551" s="17" t="n">
        <x:f>IF('Control Room'!$B$5="Normal",'Control Room'!$B$7,('Control Room'!$B$8+'Control Room'!$D$8)/2)+'Control Room'!$B$9*(BC550-IF('Control Room'!$B$5="Normal",'Control Room'!$B$7,('Control Room'!$B$8+'Control Room'!$D$8)/2))+SQRT(1-'Control Room'!$B$9^2)*(BB551-IF('Control Room'!$B$5="Normal",'Control Room'!$B$7,('Control Room'!$B$8+'Control Room'!$D$8)/2))</x:f>
        <x:v>1101.8165780520649</x:v>
      </x:c>
      <x:c r="BD551" s="17" t="n">
        <x:f>IF(AND($A551&gt;='Control Room'!$A$13,$A551&lt;'Control Room'!$A$13+'Control Room'!$B$13,'Process'!BU2=1),1+('Control Room'!$C$13-1)*EXP(-0.5*(($A551-'Control Room'!$A$13-('Control Room'!$B$13-1)/2)/MAX(0.5,'Control Room'!$B$13/4))^2),1)*IF(AND($A551&gt;='Control Room'!$A$14,$A551&lt;'Control Room'!$A$14+'Control Room'!$B$14,'Process'!BU3=1),1+('Control Room'!$C$14-1)*EXP(-0.5*(($A551-'Control Room'!$A$14-('Control Room'!$B$14-1)/2)/MAX(0.5,'Control Room'!$B$14/4))^2),1)*IF(AND($A551&gt;='Control Room'!$A$15,$A551&lt;'Control Room'!$A$15+'Control Room'!$B$15,'Process'!BU4=1),1+('Control Room'!$C$15-1)*EXP(-0.5*(($A551-'Control Room'!$A$15-('Control Room'!$B$15-1)/2)/MAX(0.5,'Control Room'!$B$15/4))^2),1)*IF(AND($A551&gt;='Control Room'!$A$16,$A551&lt;'Control Room'!$A$16+'Control Room'!$B$16,'Process'!BU5=1),1+('Control Room'!$C$16-1)*EXP(-0.5*(($A551-'Control Room'!$A$16-('Control Room'!$B$16-1)/2)/MAX(0.5,'Control Room'!$B$16/4))^2),1)</x:f>
        <x:v>1</x:v>
      </x:c>
      <x:c r="BE551" s="9" t="n">
        <x:f>MOD(BF550*16807,2147483647)</x:f>
        <x:v>816013017</x:v>
      </x:c>
      <x:c r="BF551" s="9" t="n">
        <x:f>MOD(BE551*16807,2147483647)</x:f>
        <x:v>900206977</x:v>
      </x:c>
      <x:c r="BG551" s="17" t="n">
        <x:f>IF('Control Room'!$B$5="Normal",'Control Room'!$B$7+'Control Room'!$D$7*SQRT(-2*LN(MAX(0.000000000001,BE551/2147483647)))*COS(2*PI()*BF551/2147483647),'Control Room'!$B$8+('Control Room'!$D$8-'Control Room'!$B$8)*BE551/2147483647)</x:f>
        <x:v>890.5926952555366</x:v>
      </x:c>
      <x:c r="BH551" s="17" t="n">
        <x:f>IF('Control Room'!$B$5="Normal",'Control Room'!$B$7,('Control Room'!$B$8+'Control Room'!$D$8)/2)+'Control Room'!$B$9*(BH550-IF('Control Room'!$B$5="Normal",'Control Room'!$B$7,('Control Room'!$B$8+'Control Room'!$D$8)/2))+SQRT(1-'Control Room'!$B$9^2)*(BG551-IF('Control Room'!$B$5="Normal",'Control Room'!$B$7,('Control Room'!$B$8+'Control Room'!$D$8)/2))</x:f>
        <x:v>994.735347549363</x:v>
      </x:c>
      <x:c r="BI551" s="17" t="n">
        <x:f>IF(AND($A551&gt;='Control Room'!$A$13,$A551&lt;'Control Room'!$A$13+'Control Room'!$B$13,'Process'!BV2=1),1+('Control Room'!$C$13-1)*EXP(-0.5*(($A551-'Control Room'!$A$13-('Control Room'!$B$13-1)/2)/MAX(0.5,'Control Room'!$B$13/4))^2),1)*IF(AND($A551&gt;='Control Room'!$A$14,$A551&lt;'Control Room'!$A$14+'Control Room'!$B$14,'Process'!BV3=1),1+('Control Room'!$C$14-1)*EXP(-0.5*(($A551-'Control Room'!$A$14-('Control Room'!$B$14-1)/2)/MAX(0.5,'Control Room'!$B$14/4))^2),1)*IF(AND($A551&gt;='Control Room'!$A$15,$A551&lt;'Control Room'!$A$15+'Control Room'!$B$15,'Process'!BV4=1),1+('Control Room'!$C$15-1)*EXP(-0.5*(($A551-'Control Room'!$A$15-('Control Room'!$B$15-1)/2)/MAX(0.5,'Control Room'!$B$15/4))^2),1)*IF(AND($A551&gt;='Control Room'!$A$16,$A551&lt;'Control Room'!$A$16+'Control Room'!$B$16,'Process'!BV5=1),1+('Control Room'!$C$16-1)*EXP(-0.5*(($A551-'Control Room'!$A$16-('Control Room'!$B$16-1)/2)/MAX(0.5,'Control Room'!$B$16/4))^2),1)</x:f>
        <x:v>1</x:v>
      </x:c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Z551" t="str">
        <x:f>IF('Data'!A551="","",TEXT('Data'!A551,"mm-dd"))</x:f>
      </x:c>
    </x:row>
    <x:row r="552" ht="21" customHeight="1">
      <x:c r="A552" s="15" t="n">
        <x:f>'Control Room'!$B$1+550</x:f>
        <x:v>73541</x:v>
      </x:c>
      <x:c r="B552" s="9" t="n">
        <x:f>MOD(C551*16807,2147483647)</x:f>
        <x:v>1394234427</x:v>
      </x:c>
      <x:c r="C552" s="9" t="n">
        <x:f>MOD(B552*16807,2147483647)</x:f>
        <x:v>1703942172</x:v>
      </x:c>
      <x:c r="D552" s="17" t="n">
        <x:f>IF('Control Room'!$B$5="Normal",'Control Room'!$B$7+'Control Room'!$D$7*SQRT(-2*LN(MAX(0.000000000001,B552/2147483647)))*COS(2*PI()*C552/2147483647),'Control Room'!$B$8+('Control Room'!$D$8-'Control Room'!$B$8)*B552/2147483647)</x:f>
        <x:v>1022.5596752014395</x:v>
      </x:c>
      <x:c r="E552" s="17" t="n">
        <x:f>IF('Control Room'!$B$5="Normal",'Control Room'!$B$7,('Control Room'!$B$8+'Control Room'!$D$8)/2)+'Control Room'!$B$9*(E551-IF('Control Room'!$B$5="Normal",'Control Room'!$B$7,('Control Room'!$B$8+'Control Room'!$D$8)/2))+SQRT(1-'Control Room'!$B$9^2)*(D552-IF('Control Room'!$B$5="Normal",'Control Room'!$B$7,('Control Room'!$B$8+'Control Room'!$D$8)/2))</x:f>
        <x:v>1068.6147898137751</x:v>
      </x:c>
      <x:c r="F552" s="17" t="n">
        <x:f>IF(AND($A552&gt;='Control Room'!$A$13,$A552&lt;'Control Room'!$A$13+'Control Room'!$B$13,'Process'!BK2=1),1+('Control Room'!$C$13-1)*EXP(-0.5*(($A552-'Control Room'!$A$13-('Control Room'!$B$13-1)/2)/MAX(0.5,'Control Room'!$B$13/4))^2),1)*IF(AND($A552&gt;='Control Room'!$A$14,$A552&lt;'Control Room'!$A$14+'Control Room'!$B$14,'Process'!BK3=1),1+('Control Room'!$C$14-1)*EXP(-0.5*(($A552-'Control Room'!$A$14-('Control Room'!$B$14-1)/2)/MAX(0.5,'Control Room'!$B$14/4))^2),1)*IF(AND($A552&gt;='Control Room'!$A$15,$A552&lt;'Control Room'!$A$15+'Control Room'!$B$15,'Process'!BK4=1),1+('Control Room'!$C$15-1)*EXP(-0.5*(($A552-'Control Room'!$A$15-('Control Room'!$B$15-1)/2)/MAX(0.5,'Control Room'!$B$15/4))^2),1)*IF(AND($A552&gt;='Control Room'!$A$16,$A552&lt;'Control Room'!$A$16+'Control Room'!$B$16,'Process'!BK5=1),1+('Control Room'!$C$16-1)*EXP(-0.5*(($A552-'Control Room'!$A$16-('Control Room'!$B$16-1)/2)/MAX(0.5,'Control Room'!$B$16/4))^2),1)</x:f>
        <x:v>1</x:v>
      </x:c>
      <x:c r="G552" s="9" t="n">
        <x:f>MOD(H551*16807,2147483647)</x:f>
        <x:v>555343546</x:v>
      </x:c>
      <x:c r="H552" s="9" t="n">
        <x:f>MOD(G552*16807,2147483647)</x:f>
        <x:v>695047760</x:v>
      </x:c>
      <x:c r="I552" s="17" t="n">
        <x:f>IF('Control Room'!$B$5="Normal",'Control Room'!$B$7+'Control Room'!$D$7*SQRT(-2*LN(MAX(0.000000000001,G552/2147483647)))*COS(2*PI()*H552/2147483647),'Control Room'!$B$8+('Control Room'!$D$8-'Control Room'!$B$8)*G552/2147483647)</x:f>
        <x:v>933.9157237714342</x:v>
      </x:c>
      <x:c r="J552" s="17" t="n">
        <x:f>IF('Control Room'!$B$5="Normal",'Control Room'!$B$7,('Control Room'!$B$8+'Control Room'!$D$8)/2)+'Control Room'!$B$9*(J551-IF('Control Room'!$B$5="Normal",'Control Room'!$B$7,('Control Room'!$B$8+'Control Room'!$D$8)/2))+SQRT(1-'Control Room'!$B$9^2)*(I552-IF('Control Room'!$B$5="Normal",'Control Room'!$B$7,('Control Room'!$B$8+'Control Room'!$D$8)/2))</x:f>
        <x:v>986.9095479721682</x:v>
      </x:c>
      <x:c r="K552" s="17" t="n">
        <x:f>IF(AND($A552&gt;='Control Room'!$A$13,$A552&lt;'Control Room'!$A$13+'Control Room'!$B$13,'Process'!BL2=1),1+('Control Room'!$C$13-1)*EXP(-0.5*(($A552-'Control Room'!$A$13-('Control Room'!$B$13-1)/2)/MAX(0.5,'Control Room'!$B$13/4))^2),1)*IF(AND($A552&gt;='Control Room'!$A$14,$A552&lt;'Control Room'!$A$14+'Control Room'!$B$14,'Process'!BL3=1),1+('Control Room'!$C$14-1)*EXP(-0.5*(($A552-'Control Room'!$A$14-('Control Room'!$B$14-1)/2)/MAX(0.5,'Control Room'!$B$14/4))^2),1)*IF(AND($A552&gt;='Control Room'!$A$15,$A552&lt;'Control Room'!$A$15+'Control Room'!$B$15,'Process'!BL4=1),1+('Control Room'!$C$15-1)*EXP(-0.5*(($A552-'Control Room'!$A$15-('Control Room'!$B$15-1)/2)/MAX(0.5,'Control Room'!$B$15/4))^2),1)*IF(AND($A552&gt;='Control Room'!$A$16,$A552&lt;'Control Room'!$A$16+'Control Room'!$B$16,'Process'!BL5=1),1+('Control Room'!$C$16-1)*EXP(-0.5*(($A552-'Control Room'!$A$16-('Control Room'!$B$16-1)/2)/MAX(0.5,'Control Room'!$B$16/4))^2),1)</x:f>
        <x:v>1</x:v>
      </x:c>
      <x:c r="L552" s="9" t="n">
        <x:f>MOD(M551*16807,2147483647)</x:f>
        <x:v>1863936312</x:v>
      </x:c>
      <x:c r="M552" s="9" t="n">
        <x:f>MOD(L552*16807,2147483647)</x:f>
        <x:v>1833636995</x:v>
      </x:c>
      <x:c r="N552" s="17" t="n">
        <x:f>IF('Control Room'!$B$5="Normal",'Control Room'!$B$7+'Control Room'!$D$7*SQRT(-2*LN(MAX(0.000000000001,L552/2147483647)))*COS(2*PI()*M552/2147483647),'Control Room'!$B$8+('Control Room'!$D$8-'Control Room'!$B$8)*L552/2147483647)</x:f>
        <x:v>1029.0824359464743</x:v>
      </x:c>
      <x:c r="O552" s="17" t="n">
        <x:f>IF('Control Room'!$B$5="Normal",'Control Room'!$B$7,('Control Room'!$B$8+'Control Room'!$D$8)/2)+'Control Room'!$B$9*(O551-IF('Control Room'!$B$5="Normal",'Control Room'!$B$7,('Control Room'!$B$8+'Control Room'!$D$8)/2))+SQRT(1-'Control Room'!$B$9^2)*(N552-IF('Control Room'!$B$5="Normal",'Control Room'!$B$7,('Control Room'!$B$8+'Control Room'!$D$8)/2))</x:f>
        <x:v>1065.4311881249769</x:v>
      </x:c>
      <x:c r="P552" s="17" t="n">
        <x:f>IF(AND($A552&gt;='Control Room'!$A$13,$A552&lt;'Control Room'!$A$13+'Control Room'!$B$13,'Process'!BM2=1),1+('Control Room'!$C$13-1)*EXP(-0.5*(($A552-'Control Room'!$A$13-('Control Room'!$B$13-1)/2)/MAX(0.5,'Control Room'!$B$13/4))^2),1)*IF(AND($A552&gt;='Control Room'!$A$14,$A552&lt;'Control Room'!$A$14+'Control Room'!$B$14,'Process'!BM3=1),1+('Control Room'!$C$14-1)*EXP(-0.5*(($A552-'Control Room'!$A$14-('Control Room'!$B$14-1)/2)/MAX(0.5,'Control Room'!$B$14/4))^2),1)*IF(AND($A552&gt;='Control Room'!$A$15,$A552&lt;'Control Room'!$A$15+'Control Room'!$B$15,'Process'!BM4=1),1+('Control Room'!$C$15-1)*EXP(-0.5*(($A552-'Control Room'!$A$15-('Control Room'!$B$15-1)/2)/MAX(0.5,'Control Room'!$B$15/4))^2),1)*IF(AND($A552&gt;='Control Room'!$A$16,$A552&lt;'Control Room'!$A$16+'Control Room'!$B$16,'Process'!BM5=1),1+('Control Room'!$C$16-1)*EXP(-0.5*(($A552-'Control Room'!$A$16-('Control Room'!$B$16-1)/2)/MAX(0.5,'Control Room'!$B$16/4))^2),1)</x:f>
        <x:v>1</x:v>
      </x:c>
      <x:c r="Q552" s="9" t="n">
        <x:f>MOD(R551*16807,2147483647)</x:f>
        <x:v>1025045431</x:v>
      </x:c>
      <x:c r="R552" s="9" t="n">
        <x:f>MOD(Q552*16807,2147483647)</x:f>
        <x:v>824742583</x:v>
      </x:c>
      <x:c r="S552" s="17" t="n">
        <x:f>IF('Control Room'!$B$5="Normal",'Control Room'!$B$7+'Control Room'!$D$7*SQRT(-2*LN(MAX(0.000000000001,Q552/2147483647)))*COS(2*PI()*R552/2147483647),'Control Room'!$B$8+('Control Room'!$D$8-'Control Room'!$B$8)*Q552/2147483647)</x:f>
        <x:v>918.3281876390583</x:v>
      </x:c>
      <x:c r="T552" s="17" t="n">
        <x:f>IF('Control Room'!$B$5="Normal",'Control Room'!$B$7,('Control Room'!$B$8+'Control Room'!$D$8)/2)+'Control Room'!$B$9*(T551-IF('Control Room'!$B$5="Normal",'Control Room'!$B$7,('Control Room'!$B$8+'Control Room'!$D$8)/2))+SQRT(1-'Control Room'!$B$9^2)*(S552-IF('Control Room'!$B$5="Normal",'Control Room'!$B$7,('Control Room'!$B$8+'Control Room'!$D$8)/2))</x:f>
        <x:v>936.4069320644011</x:v>
      </x:c>
      <x:c r="U552" s="17" t="n">
        <x:f>IF(AND($A552&gt;='Control Room'!$A$13,$A552&lt;'Control Room'!$A$13+'Control Room'!$B$13,'Process'!BN2=1),1+('Control Room'!$C$13-1)*EXP(-0.5*(($A552-'Control Room'!$A$13-('Control Room'!$B$13-1)/2)/MAX(0.5,'Control Room'!$B$13/4))^2),1)*IF(AND($A552&gt;='Control Room'!$A$14,$A552&lt;'Control Room'!$A$14+'Control Room'!$B$14,'Process'!BN3=1),1+('Control Room'!$C$14-1)*EXP(-0.5*(($A552-'Control Room'!$A$14-('Control Room'!$B$14-1)/2)/MAX(0.5,'Control Room'!$B$14/4))^2),1)*IF(AND($A552&gt;='Control Room'!$A$15,$A552&lt;'Control Room'!$A$15+'Control Room'!$B$15,'Process'!BN4=1),1+('Control Room'!$C$15-1)*EXP(-0.5*(($A552-'Control Room'!$A$15-('Control Room'!$B$15-1)/2)/MAX(0.5,'Control Room'!$B$15/4))^2),1)*IF(AND($A552&gt;='Control Room'!$A$16,$A552&lt;'Control Room'!$A$16+'Control Room'!$B$16,'Process'!BN5=1),1+('Control Room'!$C$16-1)*EXP(-0.5*(($A552-'Control Room'!$A$16-('Control Room'!$B$16-1)/2)/MAX(0.5,'Control Room'!$B$16/4))^2),1)</x:f>
        <x:v>1</x:v>
      </x:c>
      <x:c r="V552" s="9" t="n">
        <x:f>MOD(W551*16807,2147483647)</x:f>
        <x:v>186154550</x:v>
      </x:c>
      <x:c r="W552" s="9" t="n">
        <x:f>MOD(V552*16807,2147483647)</x:f>
        <x:v>1963331818</x:v>
      </x:c>
      <x:c r="X552" s="17" t="n">
        <x:f>IF('Control Room'!$B$5="Normal",'Control Room'!$B$7+'Control Room'!$D$7*SQRT(-2*LN(MAX(0.000000000001,V552/2147483647)))*COS(2*PI()*W552/2147483647),'Control Room'!$B$8+('Control Room'!$D$8-'Control Room'!$B$8)*V552/2147483647)</x:f>
        <x:v>1170.8407137073257</x:v>
      </x:c>
      <x:c r="Y552" s="17" t="n">
        <x:f>IF('Control Room'!$B$5="Normal",'Control Room'!$B$7,('Control Room'!$B$8+'Control Room'!$D$8)/2)+'Control Room'!$B$9*(Y551-IF('Control Room'!$B$5="Normal",'Control Room'!$B$7,('Control Room'!$B$8+'Control Room'!$D$8)/2))+SQRT(1-'Control Room'!$B$9^2)*(X552-IF('Control Room'!$B$5="Normal",'Control Room'!$B$7,('Control Room'!$B$8+'Control Room'!$D$8)/2))</x:f>
        <x:v>1238.974848458981</x:v>
      </x:c>
      <x:c r="Z552" s="17" t="n">
        <x:f>IF(AND($A552&gt;='Control Room'!$A$13,$A552&lt;'Control Room'!$A$13+'Control Room'!$B$13,'Process'!BO2=1),1+('Control Room'!$C$13-1)*EXP(-0.5*(($A552-'Control Room'!$A$13-('Control Room'!$B$13-1)/2)/MAX(0.5,'Control Room'!$B$13/4))^2),1)*IF(AND($A552&gt;='Control Room'!$A$14,$A552&lt;'Control Room'!$A$14+'Control Room'!$B$14,'Process'!BO3=1),1+('Control Room'!$C$14-1)*EXP(-0.5*(($A552-'Control Room'!$A$14-('Control Room'!$B$14-1)/2)/MAX(0.5,'Control Room'!$B$14/4))^2),1)*IF(AND($A552&gt;='Control Room'!$A$15,$A552&lt;'Control Room'!$A$15+'Control Room'!$B$15,'Process'!BO4=1),1+('Control Room'!$C$15-1)*EXP(-0.5*(($A552-'Control Room'!$A$15-('Control Room'!$B$15-1)/2)/MAX(0.5,'Control Room'!$B$15/4))^2),1)*IF(AND($A552&gt;='Control Room'!$A$16,$A552&lt;'Control Room'!$A$16+'Control Room'!$B$16,'Process'!BO5=1),1+('Control Room'!$C$16-1)*EXP(-0.5*(($A552-'Control Room'!$A$16-('Control Room'!$B$16-1)/2)/MAX(0.5,'Control Room'!$B$16/4))^2),1)</x:f>
        <x:v>1</x:v>
      </x:c>
      <x:c r="AA552" s="9" t="n">
        <x:f>MOD(AB551*16807,2147483647)</x:f>
        <x:v>1494747316</x:v>
      </x:c>
      <x:c r="AB552" s="9" t="n">
        <x:f>MOD(AA552*16807,2147483647)</x:f>
        <x:v>954437406</x:v>
      </x:c>
      <x:c r="AC552" s="17" t="n">
        <x:f>IF('Control Room'!$B$5="Normal",'Control Room'!$B$7+'Control Room'!$D$7*SQRT(-2*LN(MAX(0.000000000001,AA552/2147483647)))*COS(2*PI()*AB552/2147483647),'Control Room'!$B$8+('Control Room'!$D$8-'Control Room'!$B$8)*AA552/2147483647)</x:f>
        <x:v>928.0051680626731</x:v>
      </x:c>
      <x:c r="AD552" s="17" t="n">
        <x:f>IF('Control Room'!$B$5="Normal",'Control Room'!$B$7,('Control Room'!$B$8+'Control Room'!$D$8)/2)+'Control Room'!$B$9*(AD551-IF('Control Room'!$B$5="Normal",'Control Room'!$B$7,('Control Room'!$B$8+'Control Room'!$D$8)/2))+SQRT(1-'Control Room'!$B$9^2)*(AC552-IF('Control Room'!$B$5="Normal",'Control Room'!$B$7,('Control Room'!$B$8+'Control Room'!$D$8)/2))</x:f>
        <x:v>941.0222992910121</x:v>
      </x:c>
      <x:c r="AE552" s="17" t="n">
        <x:f>IF(AND($A552&gt;='Control Room'!$A$13,$A552&lt;'Control Room'!$A$13+'Control Room'!$B$13,'Process'!BP2=1),1+('Control Room'!$C$13-1)*EXP(-0.5*(($A552-'Control Room'!$A$13-('Control Room'!$B$13-1)/2)/MAX(0.5,'Control Room'!$B$13/4))^2),1)*IF(AND($A552&gt;='Control Room'!$A$14,$A552&lt;'Control Room'!$A$14+'Control Room'!$B$14,'Process'!BP3=1),1+('Control Room'!$C$14-1)*EXP(-0.5*(($A552-'Control Room'!$A$14-('Control Room'!$B$14-1)/2)/MAX(0.5,'Control Room'!$B$14/4))^2),1)*IF(AND($A552&gt;='Control Room'!$A$15,$A552&lt;'Control Room'!$A$15+'Control Room'!$B$15,'Process'!BP4=1),1+('Control Room'!$C$15-1)*EXP(-0.5*(($A552-'Control Room'!$A$15-('Control Room'!$B$15-1)/2)/MAX(0.5,'Control Room'!$B$15/4))^2),1)*IF(AND($A552&gt;='Control Room'!$A$16,$A552&lt;'Control Room'!$A$16+'Control Room'!$B$16,'Process'!BP5=1),1+('Control Room'!$C$16-1)*EXP(-0.5*(($A552-'Control Room'!$A$16-('Control Room'!$B$16-1)/2)/MAX(0.5,'Control Room'!$B$16/4))^2),1)</x:f>
        <x:v>1</x:v>
      </x:c>
      <x:c r="AF552" s="9" t="n">
        <x:f>MOD(AG551*16807,2147483647)</x:f>
        <x:v>655856435</x:v>
      </x:c>
      <x:c r="AG552" s="9" t="n">
        <x:f>MOD(AF552*16807,2147483647)</x:f>
        <x:v>2093026641</x:v>
      </x:c>
      <x:c r="AH552" s="17" t="n">
        <x:f>IF('Control Room'!$B$5="Normal",'Control Room'!$B$7+'Control Room'!$D$7*SQRT(-2*LN(MAX(0.000000000001,AF552/2147483647)))*COS(2*PI()*AG552/2147483647),'Control Room'!$B$8+('Control Room'!$D$8-'Control Room'!$B$8)*AF552/2147483647)</x:f>
        <x:v>1136.8623086257437</x:v>
      </x:c>
      <x:c r="AI552" s="17" t="n">
        <x:f>IF('Control Room'!$B$5="Normal",'Control Room'!$B$7,('Control Room'!$B$8+'Control Room'!$D$8)/2)+'Control Room'!$B$9*(AI551-IF('Control Room'!$B$5="Normal",'Control Room'!$B$7,('Control Room'!$B$8+'Control Room'!$D$8)/2))+SQRT(1-'Control Room'!$B$9^2)*(AH552-IF('Control Room'!$B$5="Normal",'Control Room'!$B$7,('Control Room'!$B$8+'Control Room'!$D$8)/2))</x:f>
        <x:v>1177.0974204834804</x:v>
      </x:c>
      <x:c r="AJ552" s="17" t="n">
        <x:f>IF(AND($A552&gt;='Control Room'!$A$13,$A552&lt;'Control Room'!$A$13+'Control Room'!$B$13,'Process'!BQ2=1),1+('Control Room'!$C$13-1)*EXP(-0.5*(($A552-'Control Room'!$A$13-('Control Room'!$B$13-1)/2)/MAX(0.5,'Control Room'!$B$13/4))^2),1)*IF(AND($A552&gt;='Control Room'!$A$14,$A552&lt;'Control Room'!$A$14+'Control Room'!$B$14,'Process'!BQ3=1),1+('Control Room'!$C$14-1)*EXP(-0.5*(($A552-'Control Room'!$A$14-('Control Room'!$B$14-1)/2)/MAX(0.5,'Control Room'!$B$14/4))^2),1)*IF(AND($A552&gt;='Control Room'!$A$15,$A552&lt;'Control Room'!$A$15+'Control Room'!$B$15,'Process'!BQ4=1),1+('Control Room'!$C$15-1)*EXP(-0.5*(($A552-'Control Room'!$A$15-('Control Room'!$B$15-1)/2)/MAX(0.5,'Control Room'!$B$15/4))^2),1)*IF(AND($A552&gt;='Control Room'!$A$16,$A552&lt;'Control Room'!$A$16+'Control Room'!$B$16,'Process'!BQ5=1),1+('Control Room'!$C$16-1)*EXP(-0.5*(($A552-'Control Room'!$A$16-('Control Room'!$B$16-1)/2)/MAX(0.5,'Control Room'!$B$16/4))^2),1)</x:f>
        <x:v>1</x:v>
      </x:c>
      <x:c r="AK552" s="9" t="n">
        <x:f>MOD(AL551*16807,2147483647)</x:f>
        <x:v>1964449201</x:v>
      </x:c>
      <x:c r="AL552" s="9" t="n">
        <x:f>MOD(AK552*16807,2147483647)</x:f>
        <x:v>1084132229</x:v>
      </x:c>
      <x:c r="AM552" s="17" t="n">
        <x:f>IF('Control Room'!$B$5="Normal",'Control Room'!$B$7+'Control Room'!$D$7*SQRT(-2*LN(MAX(0.000000000001,AK552/2147483647)))*COS(2*PI()*AL552/2147483647),'Control Room'!$B$8+('Control Room'!$D$8-'Control Room'!$B$8)*AK552/2147483647)</x:f>
        <x:v>962.0284139977906</x:v>
      </x:c>
      <x:c r="AN552" s="17" t="n">
        <x:f>IF('Control Room'!$B$5="Normal",'Control Room'!$B$7,('Control Room'!$B$8+'Control Room'!$D$8)/2)+'Control Room'!$B$9*(AN551-IF('Control Room'!$B$5="Normal",'Control Room'!$B$7,('Control Room'!$B$8+'Control Room'!$D$8)/2))+SQRT(1-'Control Room'!$B$9^2)*(AM552-IF('Control Room'!$B$5="Normal",'Control Room'!$B$7,('Control Room'!$B$8+'Control Room'!$D$8)/2))</x:f>
        <x:v>931.6204828932719</x:v>
      </x:c>
      <x:c r="AO552" s="17" t="n">
        <x:f>IF(AND($A552&gt;='Control Room'!$A$13,$A552&lt;'Control Room'!$A$13+'Control Room'!$B$13,'Process'!BR2=1),1+('Control Room'!$C$13-1)*EXP(-0.5*(($A552-'Control Room'!$A$13-('Control Room'!$B$13-1)/2)/MAX(0.5,'Control Room'!$B$13/4))^2),1)*IF(AND($A552&gt;='Control Room'!$A$14,$A552&lt;'Control Room'!$A$14+'Control Room'!$B$14,'Process'!BR3=1),1+('Control Room'!$C$14-1)*EXP(-0.5*(($A552-'Control Room'!$A$14-('Control Room'!$B$14-1)/2)/MAX(0.5,'Control Room'!$B$14/4))^2),1)*IF(AND($A552&gt;='Control Room'!$A$15,$A552&lt;'Control Room'!$A$15+'Control Room'!$B$15,'Process'!BR4=1),1+('Control Room'!$C$15-1)*EXP(-0.5*(($A552-'Control Room'!$A$15-('Control Room'!$B$15-1)/2)/MAX(0.5,'Control Room'!$B$15/4))^2),1)*IF(AND($A552&gt;='Control Room'!$A$16,$A552&lt;'Control Room'!$A$16+'Control Room'!$B$16,'Process'!BR5=1),1+('Control Room'!$C$16-1)*EXP(-0.5*(($A552-'Control Room'!$A$16-('Control Room'!$B$16-1)/2)/MAX(0.5,'Control Room'!$B$16/4))^2),1)</x:f>
        <x:v>1</x:v>
      </x:c>
      <x:c r="AP552" s="9" t="n">
        <x:f>MOD(AQ551*16807,2147483647)</x:f>
        <x:v>1125558320</x:v>
      </x:c>
      <x:c r="AQ552" s="9" t="n">
        <x:f>MOD(AP552*16807,2147483647)</x:f>
        <x:v>75237817</x:v>
      </x:c>
      <x:c r="AR552" s="17" t="n">
        <x:f>IF('Control Room'!$B$5="Normal",'Control Room'!$B$7+'Control Room'!$D$7*SQRT(-2*LN(MAX(0.000000000001,AP552/2147483647)))*COS(2*PI()*AQ552/2147483647),'Control Room'!$B$8+('Control Room'!$D$8-'Control Room'!$B$8)*AP552/2147483647)</x:f>
        <x:v>1099.832255018138</x:v>
      </x:c>
      <x:c r="AS552" s="17" t="n">
        <x:f>IF('Control Room'!$B$5="Normal",'Control Room'!$B$7,('Control Room'!$B$8+'Control Room'!$D$8)/2)+'Control Room'!$B$9*(AS551-IF('Control Room'!$B$5="Normal",'Control Room'!$B$7,('Control Room'!$B$8+'Control Room'!$D$8)/2))+SQRT(1-'Control Room'!$B$9^2)*(AR552-IF('Control Room'!$B$5="Normal",'Control Room'!$B$7,('Control Room'!$B$8+'Control Room'!$D$8)/2))</x:f>
        <x:v>1212.080503335884</x:v>
      </x:c>
      <x:c r="AT552" s="17" t="n">
        <x:f>IF(AND($A552&gt;='Control Room'!$A$13,$A552&lt;'Control Room'!$A$13+'Control Room'!$B$13,'Process'!BS2=1),1+('Control Room'!$C$13-1)*EXP(-0.5*(($A552-'Control Room'!$A$13-('Control Room'!$B$13-1)/2)/MAX(0.5,'Control Room'!$B$13/4))^2),1)*IF(AND($A552&gt;='Control Room'!$A$14,$A552&lt;'Control Room'!$A$14+'Control Room'!$B$14,'Process'!BS3=1),1+('Control Room'!$C$14-1)*EXP(-0.5*(($A552-'Control Room'!$A$14-('Control Room'!$B$14-1)/2)/MAX(0.5,'Control Room'!$B$14/4))^2),1)*IF(AND($A552&gt;='Control Room'!$A$15,$A552&lt;'Control Room'!$A$15+'Control Room'!$B$15,'Process'!BS4=1),1+('Control Room'!$C$15-1)*EXP(-0.5*(($A552-'Control Room'!$A$15-('Control Room'!$B$15-1)/2)/MAX(0.5,'Control Room'!$B$15/4))^2),1)*IF(AND($A552&gt;='Control Room'!$A$16,$A552&lt;'Control Room'!$A$16+'Control Room'!$B$16,'Process'!BS5=1),1+('Control Room'!$C$16-1)*EXP(-0.5*(($A552-'Control Room'!$A$16-('Control Room'!$B$16-1)/2)/MAX(0.5,'Control Room'!$B$16/4))^2),1)</x:f>
        <x:v>1</x:v>
      </x:c>
      <x:c r="AU552" s="9" t="n">
        <x:f>MOD(AV551*16807,2147483647)</x:f>
        <x:v>286667439</x:v>
      </x:c>
      <x:c r="AV552" s="9" t="n">
        <x:f>MOD(AU552*16807,2147483647)</x:f>
        <x:v>1213827052</x:v>
      </x:c>
      <x:c r="AW552" s="17" t="n">
        <x:f>IF('Control Room'!$B$5="Normal",'Control Room'!$B$7+'Control Room'!$D$7*SQRT(-2*LN(MAX(0.000000000001,AU552/2147483647)))*COS(2*PI()*AV552/2147483647),'Control Room'!$B$8+('Control Room'!$D$8-'Control Room'!$B$8)*AU552/2147483647)</x:f>
        <x:v>834.3429938774489</x:v>
      </x:c>
      <x:c r="AX552" s="17" t="n">
        <x:f>IF('Control Room'!$B$5="Normal",'Control Room'!$B$7,('Control Room'!$B$8+'Control Room'!$D$8)/2)+'Control Room'!$B$9*(AX551-IF('Control Room'!$B$5="Normal",'Control Room'!$B$7,('Control Room'!$B$8+'Control Room'!$D$8)/2))+SQRT(1-'Control Room'!$B$9^2)*(AW552-IF('Control Room'!$B$5="Normal",'Control Room'!$B$7,('Control Room'!$B$8+'Control Room'!$D$8)/2))</x:f>
        <x:v>881.1259762502792</x:v>
      </x:c>
      <x:c r="AY552" s="17" t="n">
        <x:f>IF(AND($A552&gt;='Control Room'!$A$13,$A552&lt;'Control Room'!$A$13+'Control Room'!$B$13,'Process'!BT2=1),1+('Control Room'!$C$13-1)*EXP(-0.5*(($A552-'Control Room'!$A$13-('Control Room'!$B$13-1)/2)/MAX(0.5,'Control Room'!$B$13/4))^2),1)*IF(AND($A552&gt;='Control Room'!$A$14,$A552&lt;'Control Room'!$A$14+'Control Room'!$B$14,'Process'!BT3=1),1+('Control Room'!$C$14-1)*EXP(-0.5*(($A552-'Control Room'!$A$14-('Control Room'!$B$14-1)/2)/MAX(0.5,'Control Room'!$B$14/4))^2),1)*IF(AND($A552&gt;='Control Room'!$A$15,$A552&lt;'Control Room'!$A$15+'Control Room'!$B$15,'Process'!BT4=1),1+('Control Room'!$C$15-1)*EXP(-0.5*(($A552-'Control Room'!$A$15-('Control Room'!$B$15-1)/2)/MAX(0.5,'Control Room'!$B$15/4))^2),1)*IF(AND($A552&gt;='Control Room'!$A$16,$A552&lt;'Control Room'!$A$16+'Control Room'!$B$16,'Process'!BT5=1),1+('Control Room'!$C$16-1)*EXP(-0.5*(($A552-'Control Room'!$A$16-('Control Room'!$B$16-1)/2)/MAX(0.5,'Control Room'!$B$16/4))^2),1)</x:f>
        <x:v>1</x:v>
      </x:c>
      <x:c r="AZ552" s="9" t="n">
        <x:f>MOD(BA551*16807,2147483647)</x:f>
        <x:v>1595260205</x:v>
      </x:c>
      <x:c r="BA552" s="9" t="n">
        <x:f>MOD(AZ552*16807,2147483647)</x:f>
        <x:v>204932640</x:v>
      </x:c>
      <x:c r="BB552" s="17" t="n">
        <x:f>IF('Control Room'!$B$5="Normal",'Control Room'!$B$7+'Control Room'!$D$7*SQRT(-2*LN(MAX(0.000000000001,AZ552/2147483647)))*COS(2*PI()*BA552/2147483647),'Control Room'!$B$8+('Control Room'!$D$8-'Control Room'!$B$8)*AZ552/2147483647)</x:f>
        <x:v>1057.2895289767982</x:v>
      </x:c>
      <x:c r="BC552" s="17" t="n">
        <x:f>IF('Control Room'!$B$5="Normal",'Control Room'!$B$7,('Control Room'!$B$8+'Control Room'!$D$8)/2)+'Control Room'!$B$9*(BC551-IF('Control Room'!$B$5="Normal",'Control Room'!$B$7,('Control Room'!$B$8+'Control Room'!$D$8)/2))+SQRT(1-'Control Room'!$B$9^2)*(BB552-IF('Control Room'!$B$5="Normal",'Control Room'!$B$7,('Control Room'!$B$8+'Control Room'!$D$8)/2))</x:f>
        <x:v>1115.2675444744968</x:v>
      </x:c>
      <x:c r="BD552" s="17" t="n">
        <x:f>IF(AND($A552&gt;='Control Room'!$A$13,$A552&lt;'Control Room'!$A$13+'Control Room'!$B$13,'Process'!BU2=1),1+('Control Room'!$C$13-1)*EXP(-0.5*(($A552-'Control Room'!$A$13-('Control Room'!$B$13-1)/2)/MAX(0.5,'Control Room'!$B$13/4))^2),1)*IF(AND($A552&gt;='Control Room'!$A$14,$A552&lt;'Control Room'!$A$14+'Control Room'!$B$14,'Process'!BU3=1),1+('Control Room'!$C$14-1)*EXP(-0.5*(($A552-'Control Room'!$A$14-('Control Room'!$B$14-1)/2)/MAX(0.5,'Control Room'!$B$14/4))^2),1)*IF(AND($A552&gt;='Control Room'!$A$15,$A552&lt;'Control Room'!$A$15+'Control Room'!$B$15,'Process'!BU4=1),1+('Control Room'!$C$15-1)*EXP(-0.5*(($A552-'Control Room'!$A$15-('Control Room'!$B$15-1)/2)/MAX(0.5,'Control Room'!$B$15/4))^2),1)*IF(AND($A552&gt;='Control Room'!$A$16,$A552&lt;'Control Room'!$A$16+'Control Room'!$B$16,'Process'!BU5=1),1+('Control Room'!$C$16-1)*EXP(-0.5*(($A552-'Control Room'!$A$16-('Control Room'!$B$16-1)/2)/MAX(0.5,'Control Room'!$B$16/4))^2),1)</x:f>
        <x:v>1</x:v>
      </x:c>
      <x:c r="BE552" s="9" t="n">
        <x:f>MOD(BF551*16807,2147483647)</x:f>
        <x:v>756369324</x:v>
      </x:c>
      <x:c r="BF552" s="9" t="n">
        <x:f>MOD(BE552*16807,2147483647)</x:f>
        <x:v>1343521875</x:v>
      </x:c>
      <x:c r="BG552" s="17" t="n">
        <x:f>IF('Control Room'!$B$5="Normal",'Control Room'!$B$7+'Control Room'!$D$7*SQRT(-2*LN(MAX(0.000000000001,BE552/2147483647)))*COS(2*PI()*BF552/2147483647),'Control Room'!$B$8+('Control Room'!$D$8-'Control Room'!$B$8)*BE552/2147483647)</x:f>
        <x:v>908.4247558271127</x:v>
      </x:c>
      <x:c r="BH552" s="17" t="n">
        <x:f>IF('Control Room'!$B$5="Normal",'Control Room'!$B$7,('Control Room'!$B$8+'Control Room'!$D$8)/2)+'Control Room'!$B$9*(BH551-IF('Control Room'!$B$5="Normal",'Control Room'!$B$7,('Control Room'!$B$8+'Control Room'!$D$8)/2))+SQRT(1-'Control Room'!$B$9^2)*(BG552-IF('Control Room'!$B$5="Normal",'Control Room'!$B$7,('Control Room'!$B$8+'Control Room'!$D$8)/2))</x:f>
        <x:v>938.587659305958</x:v>
      </x:c>
      <x:c r="BI552" s="17" t="n">
        <x:f>IF(AND($A552&gt;='Control Room'!$A$13,$A552&lt;'Control Room'!$A$13+'Control Room'!$B$13,'Process'!BV2=1),1+('Control Room'!$C$13-1)*EXP(-0.5*(($A552-'Control Room'!$A$13-('Control Room'!$B$13-1)/2)/MAX(0.5,'Control Room'!$B$13/4))^2),1)*IF(AND($A552&gt;='Control Room'!$A$14,$A552&lt;'Control Room'!$A$14+'Control Room'!$B$14,'Process'!BV3=1),1+('Control Room'!$C$14-1)*EXP(-0.5*(($A552-'Control Room'!$A$14-('Control Room'!$B$14-1)/2)/MAX(0.5,'Control Room'!$B$14/4))^2),1)*IF(AND($A552&gt;='Control Room'!$A$15,$A552&lt;'Control Room'!$A$15+'Control Room'!$B$15,'Process'!BV4=1),1+('Control Room'!$C$15-1)*EXP(-0.5*(($A552-'Control Room'!$A$15-('Control Room'!$B$15-1)/2)/MAX(0.5,'Control Room'!$B$15/4))^2),1)*IF(AND($A552&gt;='Control Room'!$A$16,$A552&lt;'Control Room'!$A$16+'Control Room'!$B$16,'Process'!BV5=1),1+('Control Room'!$C$16-1)*EXP(-0.5*(($A552-'Control Room'!$A$16-('Control Room'!$B$16-1)/2)/MAX(0.5,'Control Room'!$B$16/4))^2),1)</x:f>
        <x:v>1</x:v>
      </x:c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Z552" t="str">
        <x:f>IF('Data'!A552="","",TEXT('Data'!A552,"mm-dd"))</x:f>
      </x:c>
    </x:row>
    <x:row r="553" ht="21" customHeight="1">
      <x:c r="A553" s="15" t="n">
        <x:f>'Control Room'!$B$1+551</x:f>
        <x:v>73542</x:v>
      </x:c>
      <x:c r="B553" s="9" t="n">
        <x:f>MOD(C552*16807,2147483647)</x:f>
        <x:v>1461652059</x:v>
      </x:c>
      <x:c r="C553" s="9" t="n">
        <x:f>MOD(B553*16807,2147483647)</x:f>
        <x:v>920717580</x:v>
      </x:c>
      <x:c r="D553" s="17" t="n">
        <x:f>IF('Control Room'!$B$5="Normal",'Control Room'!$B$7+'Control Room'!$D$7*SQRT(-2*LN(MAX(0.000000000001,B553/2147483647)))*COS(2*PI()*C553/2147483647),'Control Room'!$B$8+('Control Room'!$D$8-'Control Room'!$B$8)*B553/2147483647)</x:f>
        <x:v>928.8344960989327</x:v>
      </x:c>
      <x:c r="E553" s="17" t="n">
        <x:f>IF('Control Room'!$B$5="Normal",'Control Room'!$B$7,('Control Room'!$B$8+'Control Room'!$D$8)/2)+'Control Room'!$B$9*(E552-IF('Control Room'!$B$5="Normal",'Control Room'!$B$7,('Control Room'!$B$8+'Control Room'!$D$8)/2))+SQRT(1-'Control Room'!$B$9^2)*(D553-IF('Control Room'!$B$5="Normal",'Control Room'!$B$7,('Control Room'!$B$8+'Control Room'!$D$8)/2))</x:f>
        <x:v>1008.9856216180482</x:v>
      </x:c>
      <x:c r="F553" s="17" t="n">
        <x:f>IF(AND($A553&gt;='Control Room'!$A$13,$A553&lt;'Control Room'!$A$13+'Control Room'!$B$13,'Process'!BK2=1),1+('Control Room'!$C$13-1)*EXP(-0.5*(($A553-'Control Room'!$A$13-('Control Room'!$B$13-1)/2)/MAX(0.5,'Control Room'!$B$13/4))^2),1)*IF(AND($A553&gt;='Control Room'!$A$14,$A553&lt;'Control Room'!$A$14+'Control Room'!$B$14,'Process'!BK3=1),1+('Control Room'!$C$14-1)*EXP(-0.5*(($A553-'Control Room'!$A$14-('Control Room'!$B$14-1)/2)/MAX(0.5,'Control Room'!$B$14/4))^2),1)*IF(AND($A553&gt;='Control Room'!$A$15,$A553&lt;'Control Room'!$A$15+'Control Room'!$B$15,'Process'!BK4=1),1+('Control Room'!$C$15-1)*EXP(-0.5*(($A553-'Control Room'!$A$15-('Control Room'!$B$15-1)/2)/MAX(0.5,'Control Room'!$B$15/4))^2),1)*IF(AND($A553&gt;='Control Room'!$A$16,$A553&lt;'Control Room'!$A$16+'Control Room'!$B$16,'Process'!BK5=1),1+('Control Room'!$C$16-1)*EXP(-0.5*(($A553-'Control Room'!$A$16-('Control Room'!$B$16-1)/2)/MAX(0.5,'Control Room'!$B$16/4))^2),1)</x:f>
        <x:v>1</x:v>
      </x:c>
      <x:c r="G553" s="9" t="n">
        <x:f>MOD(H552*16807,2147483647)</x:f>
        <x:v>1504146287</x:v>
      </x:c>
      <x:c r="H553" s="9" t="n">
        <x:f>MOD(G553*16807,2147483647)</x:f>
        <x:v>9153125</x:v>
      </x:c>
      <x:c r="I553" s="17" t="n">
        <x:f>IF('Control Room'!$B$5="Normal",'Control Room'!$B$7+'Control Room'!$D$7*SQRT(-2*LN(MAX(0.000000000001,G553/2147483647)))*COS(2*PI()*H553/2147483647),'Control Room'!$B$8+('Control Room'!$D$8-'Control Room'!$B$8)*G553/2147483647)</x:f>
        <x:v>1075.9224510644326</x:v>
      </x:c>
      <x:c r="J553" s="17" t="n">
        <x:f>IF('Control Room'!$B$5="Normal",'Control Room'!$B$7,('Control Room'!$B$8+'Control Room'!$D$8)/2)+'Control Room'!$B$9*(J552-IF('Control Room'!$B$5="Normal",'Control Room'!$B$7,('Control Room'!$B$8+'Control Room'!$D$8)/2))+SQRT(1-'Control Room'!$B$9^2)*(I553-IF('Control Room'!$B$5="Normal",'Control Room'!$B$7,('Control Room'!$B$8+'Control Room'!$D$8)/2))</x:f>
        <x:v>1037.300161938462</x:v>
      </x:c>
      <x:c r="K553" s="17" t="n">
        <x:f>IF(AND($A553&gt;='Control Room'!$A$13,$A553&lt;'Control Room'!$A$13+'Control Room'!$B$13,'Process'!BL2=1),1+('Control Room'!$C$13-1)*EXP(-0.5*(($A553-'Control Room'!$A$13-('Control Room'!$B$13-1)/2)/MAX(0.5,'Control Room'!$B$13/4))^2),1)*IF(AND($A553&gt;='Control Room'!$A$14,$A553&lt;'Control Room'!$A$14+'Control Room'!$B$14,'Process'!BL3=1),1+('Control Room'!$C$14-1)*EXP(-0.5*(($A553-'Control Room'!$A$14-('Control Room'!$B$14-1)/2)/MAX(0.5,'Control Room'!$B$14/4))^2),1)*IF(AND($A553&gt;='Control Room'!$A$15,$A553&lt;'Control Room'!$A$15+'Control Room'!$B$15,'Process'!BL4=1),1+('Control Room'!$C$15-1)*EXP(-0.5*(($A553-'Control Room'!$A$15-('Control Room'!$B$15-1)/2)/MAX(0.5,'Control Room'!$B$15/4))^2),1)*IF(AND($A553&gt;='Control Room'!$A$16,$A553&lt;'Control Room'!$A$16+'Control Room'!$B$16,'Process'!BL5=1),1+('Control Room'!$C$16-1)*EXP(-0.5*(($A553-'Control Room'!$A$16-('Control Room'!$B$16-1)/2)/MAX(0.5,'Control Room'!$B$16/4))^2),1)</x:f>
        <x:v>1</x:v>
      </x:c>
      <x:c r="L553" s="9" t="n">
        <x:f>MOD(M552*16807,2147483647)</x:f>
        <x:v>1546640515</x:v>
      </x:c>
      <x:c r="M553" s="9" t="n">
        <x:f>MOD(L553*16807,2147483647)</x:f>
        <x:v>1245072317</x:v>
      </x:c>
      <x:c r="N553" s="17" t="n">
        <x:f>IF('Control Room'!$B$5="Normal",'Control Room'!$B$7+'Control Room'!$D$7*SQRT(-2*LN(MAX(0.000000000001,L553/2147483647)))*COS(2*PI()*M553/2147483647),'Control Room'!$B$8+('Control Room'!$D$8-'Control Room'!$B$8)*L553/2147483647)</x:f>
        <x:v>936.0534497258459</x:v>
      </x:c>
      <x:c r="O553" s="17" t="n">
        <x:f>IF('Control Room'!$B$5="Normal",'Control Room'!$B$7,('Control Room'!$B$8+'Control Room'!$D$8)/2)+'Control Room'!$B$9*(O552-IF('Control Room'!$B$5="Normal",'Control Room'!$B$7,('Control Room'!$B$8+'Control Room'!$D$8)/2))+SQRT(1-'Control Room'!$B$9^2)*(N553-IF('Control Room'!$B$5="Normal",'Control Room'!$B$7,('Control Room'!$B$8+'Control Room'!$D$8)/2))</x:f>
        <x:v>1011.0198855922043</x:v>
      </x:c>
      <x:c r="P553" s="17" t="n">
        <x:f>IF(AND($A553&gt;='Control Room'!$A$13,$A553&lt;'Control Room'!$A$13+'Control Room'!$B$13,'Process'!BM2=1),1+('Control Room'!$C$13-1)*EXP(-0.5*(($A553-'Control Room'!$A$13-('Control Room'!$B$13-1)/2)/MAX(0.5,'Control Room'!$B$13/4))^2),1)*IF(AND($A553&gt;='Control Room'!$A$14,$A553&lt;'Control Room'!$A$14+'Control Room'!$B$14,'Process'!BM3=1),1+('Control Room'!$C$14-1)*EXP(-0.5*(($A553-'Control Room'!$A$14-('Control Room'!$B$14-1)/2)/MAX(0.5,'Control Room'!$B$14/4))^2),1)*IF(AND($A553&gt;='Control Room'!$A$15,$A553&lt;'Control Room'!$A$15+'Control Room'!$B$15,'Process'!BM4=1),1+('Control Room'!$C$15-1)*EXP(-0.5*(($A553-'Control Room'!$A$15-('Control Room'!$B$15-1)/2)/MAX(0.5,'Control Room'!$B$15/4))^2),1)*IF(AND($A553&gt;='Control Room'!$A$16,$A553&lt;'Control Room'!$A$16+'Control Room'!$B$16,'Process'!BM5=1),1+('Control Room'!$C$16-1)*EXP(-0.5*(($A553-'Control Room'!$A$16-('Control Room'!$B$16-1)/2)/MAX(0.5,'Control Room'!$B$16/4))^2),1)</x:f>
        <x:v>1</x:v>
      </x:c>
      <x:c r="Q553" s="9" t="n">
        <x:f>MOD(R552*16807,2147483647)</x:f>
        <x:v>1589134743</x:v>
      </x:c>
      <x:c r="R553" s="9" t="n">
        <x:f>MOD(Q553*16807,2147483647)</x:f>
        <x:v>333507862</x:v>
      </x:c>
      <x:c r="S553" s="17" t="n">
        <x:f>IF('Control Room'!$B$5="Normal",'Control Room'!$B$7+'Control Room'!$D$7*SQRT(-2*LN(MAX(0.000000000001,Q553/2147483647)))*COS(2*PI()*R553/2147483647),'Control Room'!$B$8+('Control Room'!$D$8-'Control Room'!$B$8)*Q553/2147483647)</x:f>
        <x:v>1039.1475744742245</x:v>
      </x:c>
      <x:c r="T553" s="17" t="n">
        <x:f>IF('Control Room'!$B$5="Normal",'Control Room'!$B$7,('Control Room'!$B$8+'Control Room'!$D$8)/2)+'Control Room'!$B$9*(T552-IF('Control Room'!$B$5="Normal",'Control Room'!$B$7,('Control Room'!$B$8+'Control Room'!$D$8)/2))+SQRT(1-'Control Room'!$B$9^2)*(S553-IF('Control Room'!$B$5="Normal",'Control Room'!$B$7,('Control Room'!$B$8+'Control Room'!$D$8)/2))</x:f>
        <x:v>974.8951571345478</x:v>
      </x:c>
      <x:c r="U553" s="17" t="n">
        <x:f>IF(AND($A553&gt;='Control Room'!$A$13,$A553&lt;'Control Room'!$A$13+'Control Room'!$B$13,'Process'!BN2=1),1+('Control Room'!$C$13-1)*EXP(-0.5*(($A553-'Control Room'!$A$13-('Control Room'!$B$13-1)/2)/MAX(0.5,'Control Room'!$B$13/4))^2),1)*IF(AND($A553&gt;='Control Room'!$A$14,$A553&lt;'Control Room'!$A$14+'Control Room'!$B$14,'Process'!BN3=1),1+('Control Room'!$C$14-1)*EXP(-0.5*(($A553-'Control Room'!$A$14-('Control Room'!$B$14-1)/2)/MAX(0.5,'Control Room'!$B$14/4))^2),1)*IF(AND($A553&gt;='Control Room'!$A$15,$A553&lt;'Control Room'!$A$15+'Control Room'!$B$15,'Process'!BN4=1),1+('Control Room'!$C$15-1)*EXP(-0.5*(($A553-'Control Room'!$A$15-('Control Room'!$B$15-1)/2)/MAX(0.5,'Control Room'!$B$15/4))^2),1)*IF(AND($A553&gt;='Control Room'!$A$16,$A553&lt;'Control Room'!$A$16+'Control Room'!$B$16,'Process'!BN5=1),1+('Control Room'!$C$16-1)*EXP(-0.5*(($A553-'Control Room'!$A$16-('Control Room'!$B$16-1)/2)/MAX(0.5,'Control Room'!$B$16/4))^2),1)</x:f>
        <x:v>1</x:v>
      </x:c>
      <x:c r="V553" s="9" t="n">
        <x:f>MOD(W552*16807,2147483647)</x:f>
        <x:v>1631628971</x:v>
      </x:c>
      <x:c r="W553" s="9" t="n">
        <x:f>MOD(V553*16807,2147483647)</x:f>
        <x:v>1569427054</x:v>
      </x:c>
      <x:c r="X553" s="17" t="n">
        <x:f>IF('Control Room'!$B$5="Normal",'Control Room'!$B$7+'Control Room'!$D$7*SQRT(-2*LN(MAX(0.000000000001,V553/2147483647)))*COS(2*PI()*W553/2147483647),'Control Room'!$B$8+('Control Room'!$D$8-'Control Room'!$B$8)*V553/2147483647)</x:f>
        <x:v>991.9805301430544</x:v>
      </x:c>
      <x:c r="Y553" s="17" t="n">
        <x:f>IF('Control Room'!$B$5="Normal",'Control Room'!$B$7,('Control Room'!$B$8+'Control Room'!$D$8)/2)+'Control Room'!$B$9*(Y552-IF('Control Room'!$B$5="Normal",'Control Room'!$B$7,('Control Room'!$B$8+'Control Room'!$D$8)/2))+SQRT(1-'Control Room'!$B$9^2)*(X553-IF('Control Room'!$B$5="Normal",'Control Room'!$B$7,('Control Room'!$B$8+'Control Room'!$D$8)/2))</x:f>
        <x:v>1181.3819618492985</x:v>
      </x:c>
      <x:c r="Z553" s="17" t="n">
        <x:f>IF(AND($A553&gt;='Control Room'!$A$13,$A553&lt;'Control Room'!$A$13+'Control Room'!$B$13,'Process'!BO2=1),1+('Control Room'!$C$13-1)*EXP(-0.5*(($A553-'Control Room'!$A$13-('Control Room'!$B$13-1)/2)/MAX(0.5,'Control Room'!$B$13/4))^2),1)*IF(AND($A553&gt;='Control Room'!$A$14,$A553&lt;'Control Room'!$A$14+'Control Room'!$B$14,'Process'!BO3=1),1+('Control Room'!$C$14-1)*EXP(-0.5*(($A553-'Control Room'!$A$14-('Control Room'!$B$14-1)/2)/MAX(0.5,'Control Room'!$B$14/4))^2),1)*IF(AND($A553&gt;='Control Room'!$A$15,$A553&lt;'Control Room'!$A$15+'Control Room'!$B$15,'Process'!BO4=1),1+('Control Room'!$C$15-1)*EXP(-0.5*(($A553-'Control Room'!$A$15-('Control Room'!$B$15-1)/2)/MAX(0.5,'Control Room'!$B$15/4))^2),1)*IF(AND($A553&gt;='Control Room'!$A$16,$A553&lt;'Control Room'!$A$16+'Control Room'!$B$16,'Process'!BO5=1),1+('Control Room'!$C$16-1)*EXP(-0.5*(($A553-'Control Room'!$A$16-('Control Room'!$B$16-1)/2)/MAX(0.5,'Control Room'!$B$16/4))^2),1)</x:f>
        <x:v>1</x:v>
      </x:c>
      <x:c r="AA553" s="9" t="n">
        <x:f>MOD(AB552*16807,2147483647)</x:f>
        <x:v>1674123199</x:v>
      </x:c>
      <x:c r="AB553" s="9" t="n">
        <x:f>MOD(AA553*16807,2147483647)</x:f>
        <x:v>657862599</x:v>
      </x:c>
      <x:c r="AC553" s="17" t="n">
        <x:f>IF('Control Room'!$B$5="Normal",'Control Room'!$B$7+'Control Room'!$D$7*SQRT(-2*LN(MAX(0.000000000001,AA553/2147483647)))*COS(2*PI()*AB553/2147483647),'Control Room'!$B$8+('Control Room'!$D$8-'Control Room'!$B$8)*AA553/2147483647)</x:f>
        <x:v>977.9829044749422</x:v>
      </x:c>
      <x:c r="AD553" s="17" t="n">
        <x:f>IF('Control Room'!$B$5="Normal",'Control Room'!$B$7,('Control Room'!$B$8+'Control Room'!$D$8)/2)+'Control Room'!$B$9*(AD552-IF('Control Room'!$B$5="Normal",'Control Room'!$B$7,('Control Room'!$B$8+'Control Room'!$D$8)/2))+SQRT(1-'Control Room'!$B$9^2)*(AC553-IF('Control Room'!$B$5="Normal",'Control Room'!$B$7,('Control Room'!$B$8+'Control Room'!$D$8)/2))</x:f>
        <x:v>940.2195461121266</x:v>
      </x:c>
      <x:c r="AE553" s="17" t="n">
        <x:f>IF(AND($A553&gt;='Control Room'!$A$13,$A553&lt;'Control Room'!$A$13+'Control Room'!$B$13,'Process'!BP2=1),1+('Control Room'!$C$13-1)*EXP(-0.5*(($A553-'Control Room'!$A$13-('Control Room'!$B$13-1)/2)/MAX(0.5,'Control Room'!$B$13/4))^2),1)*IF(AND($A553&gt;='Control Room'!$A$14,$A553&lt;'Control Room'!$A$14+'Control Room'!$B$14,'Process'!BP3=1),1+('Control Room'!$C$14-1)*EXP(-0.5*(($A553-'Control Room'!$A$14-('Control Room'!$B$14-1)/2)/MAX(0.5,'Control Room'!$B$14/4))^2),1)*IF(AND($A553&gt;='Control Room'!$A$15,$A553&lt;'Control Room'!$A$15+'Control Room'!$B$15,'Process'!BP4=1),1+('Control Room'!$C$15-1)*EXP(-0.5*(($A553-'Control Room'!$A$15-('Control Room'!$B$15-1)/2)/MAX(0.5,'Control Room'!$B$15/4))^2),1)*IF(AND($A553&gt;='Control Room'!$A$16,$A553&lt;'Control Room'!$A$16+'Control Room'!$B$16,'Process'!BP5=1),1+('Control Room'!$C$16-1)*EXP(-0.5*(($A553-'Control Room'!$A$16-('Control Room'!$B$16-1)/2)/MAX(0.5,'Control Room'!$B$16/4))^2),1)</x:f>
        <x:v>1</x:v>
      </x:c>
      <x:c r="AF553" s="9" t="n">
        <x:f>MOD(AG552*16807,2147483647)</x:f>
        <x:v>1716617427</x:v>
      </x:c>
      <x:c r="AG553" s="9" t="n">
        <x:f>MOD(AF553*16807,2147483647)</x:f>
        <x:v>1893781791</x:v>
      </x:c>
      <x:c r="AH553" s="17" t="n">
        <x:f>IF('Control Room'!$B$5="Normal",'Control Room'!$B$7+'Control Room'!$D$7*SQRT(-2*LN(MAX(0.000000000001,AF553/2147483647)))*COS(2*PI()*AG553/2147483647),'Control Room'!$B$8+('Control Room'!$D$8-'Control Room'!$B$8)*AF553/2147483647)</x:f>
        <x:v>1044.3860118581176</x:v>
      </x:c>
      <x:c r="AI553" s="17" t="n">
        <x:f>IF('Control Room'!$B$5="Normal",'Control Room'!$B$7,('Control Room'!$B$8+'Control Room'!$D$8)/2)+'Control Room'!$B$9*(AI552-IF('Control Room'!$B$5="Normal",'Control Room'!$B$7,('Control Room'!$B$8+'Control Room'!$D$8)/2))+SQRT(1-'Control Room'!$B$9^2)*(AH553-IF('Control Room'!$B$5="Normal",'Control Room'!$B$7,('Control Room'!$B$8+'Control Room'!$D$8)/2))</x:f>
        <x:v>1165.9118449010473</x:v>
      </x:c>
      <x:c r="AJ553" s="17" t="n">
        <x:f>IF(AND($A553&gt;='Control Room'!$A$13,$A553&lt;'Control Room'!$A$13+'Control Room'!$B$13,'Process'!BQ2=1),1+('Control Room'!$C$13-1)*EXP(-0.5*(($A553-'Control Room'!$A$13-('Control Room'!$B$13-1)/2)/MAX(0.5,'Control Room'!$B$13/4))^2),1)*IF(AND($A553&gt;='Control Room'!$A$14,$A553&lt;'Control Room'!$A$14+'Control Room'!$B$14,'Process'!BQ3=1),1+('Control Room'!$C$14-1)*EXP(-0.5*(($A553-'Control Room'!$A$14-('Control Room'!$B$14-1)/2)/MAX(0.5,'Control Room'!$B$14/4))^2),1)*IF(AND($A553&gt;='Control Room'!$A$15,$A553&lt;'Control Room'!$A$15+'Control Room'!$B$15,'Process'!BQ4=1),1+('Control Room'!$C$15-1)*EXP(-0.5*(($A553-'Control Room'!$A$15-('Control Room'!$B$15-1)/2)/MAX(0.5,'Control Room'!$B$15/4))^2),1)*IF(AND($A553&gt;='Control Room'!$A$16,$A553&lt;'Control Room'!$A$16+'Control Room'!$B$16,'Process'!BQ5=1),1+('Control Room'!$C$16-1)*EXP(-0.5*(($A553-'Control Room'!$A$16-('Control Room'!$B$16-1)/2)/MAX(0.5,'Control Room'!$B$16/4))^2),1)</x:f>
        <x:v>1</x:v>
      </x:c>
      <x:c r="AK553" s="9" t="n">
        <x:f>MOD(AL552*16807,2147483647)</x:f>
        <x:v>1759111655</x:v>
      </x:c>
      <x:c r="AL553" s="9" t="n">
        <x:f>MOD(AK553*16807,2147483647)</x:f>
        <x:v>982217336</x:v>
      </x:c>
      <x:c r="AM553" s="17" t="n">
        <x:f>IF('Control Room'!$B$5="Normal",'Control Room'!$B$7+'Control Room'!$D$7*SQRT(-2*LN(MAX(0.000000000001,AK553/2147483647)))*COS(2*PI()*AL553/2147483647),'Control Room'!$B$8+('Control Room'!$D$8-'Control Room'!$B$8)*AK553/2147483647)</x:f>
        <x:v>945.1780457265231</x:v>
      </x:c>
      <x:c r="AN553" s="17" t="n">
        <x:f>IF('Control Room'!$B$5="Normal",'Control Room'!$B$7,('Control Room'!$B$8+'Control Room'!$D$8)/2)+'Control Room'!$B$9*(AN552-IF('Control Room'!$B$5="Normal",'Control Room'!$B$7,('Control Room'!$B$8+'Control Room'!$D$8)/2))+SQRT(1-'Control Room'!$B$9^2)*(AM553-IF('Control Room'!$B$5="Normal",'Control Room'!$B$7,('Control Room'!$B$8+'Control Room'!$D$8)/2))</x:f>
        <x:v>912.3575207611889</x:v>
      </x:c>
      <x:c r="AO553" s="17" t="n">
        <x:f>IF(AND($A553&gt;='Control Room'!$A$13,$A553&lt;'Control Room'!$A$13+'Control Room'!$B$13,'Process'!BR2=1),1+('Control Room'!$C$13-1)*EXP(-0.5*(($A553-'Control Room'!$A$13-('Control Room'!$B$13-1)/2)/MAX(0.5,'Control Room'!$B$13/4))^2),1)*IF(AND($A553&gt;='Control Room'!$A$14,$A553&lt;'Control Room'!$A$14+'Control Room'!$B$14,'Process'!BR3=1),1+('Control Room'!$C$14-1)*EXP(-0.5*(($A553-'Control Room'!$A$14-('Control Room'!$B$14-1)/2)/MAX(0.5,'Control Room'!$B$14/4))^2),1)*IF(AND($A553&gt;='Control Room'!$A$15,$A553&lt;'Control Room'!$A$15+'Control Room'!$B$15,'Process'!BR4=1),1+('Control Room'!$C$15-1)*EXP(-0.5*(($A553-'Control Room'!$A$15-('Control Room'!$B$15-1)/2)/MAX(0.5,'Control Room'!$B$15/4))^2),1)*IF(AND($A553&gt;='Control Room'!$A$16,$A553&lt;'Control Room'!$A$16+'Control Room'!$B$16,'Process'!BR5=1),1+('Control Room'!$C$16-1)*EXP(-0.5*(($A553-'Control Room'!$A$16-('Control Room'!$B$16-1)/2)/MAX(0.5,'Control Room'!$B$16/4))^2),1)</x:f>
        <x:v>1</x:v>
      </x:c>
      <x:c r="AP553" s="9" t="n">
        <x:f>MOD(AQ552*16807,2147483647)</x:f>
        <x:v>1801605883</x:v>
      </x:c>
      <x:c r="AQ553" s="9" t="n">
        <x:f>MOD(AP553*16807,2147483647)</x:f>
        <x:v>70652881</x:v>
      </x:c>
      <x:c r="AR553" s="17" t="n">
        <x:f>IF('Control Room'!$B$5="Normal",'Control Room'!$B$7+'Control Room'!$D$7*SQRT(-2*LN(MAX(0.000000000001,AP553/2147483647)))*COS(2*PI()*AQ553/2147483647),'Control Room'!$B$8+('Control Room'!$D$8-'Control Room'!$B$8)*AP553/2147483647)</x:f>
        <x:v>1052.2031018508117</x:v>
      </x:c>
      <x:c r="AS553" s="17" t="n">
        <x:f>IF('Control Room'!$B$5="Normal",'Control Room'!$B$7,('Control Room'!$B$8+'Control Room'!$D$8)/2)+'Control Room'!$B$9*(AS552-IF('Control Room'!$B$5="Normal",'Control Room'!$B$7,('Control Room'!$B$8+'Control Room'!$D$8)/2))+SQRT(1-'Control Room'!$B$9^2)*(AR553-IF('Control Room'!$B$5="Normal",'Control Room'!$B$7,('Control Room'!$B$8+'Control Room'!$D$8)/2))</x:f>
        <x:v>1198.090424301557</x:v>
      </x:c>
      <x:c r="AT553" s="17" t="n">
        <x:f>IF(AND($A553&gt;='Control Room'!$A$13,$A553&lt;'Control Room'!$A$13+'Control Room'!$B$13,'Process'!BS2=1),1+('Control Room'!$C$13-1)*EXP(-0.5*(($A553-'Control Room'!$A$13-('Control Room'!$B$13-1)/2)/MAX(0.5,'Control Room'!$B$13/4))^2),1)*IF(AND($A553&gt;='Control Room'!$A$14,$A553&lt;'Control Room'!$A$14+'Control Room'!$B$14,'Process'!BS3=1),1+('Control Room'!$C$14-1)*EXP(-0.5*(($A553-'Control Room'!$A$14-('Control Room'!$B$14-1)/2)/MAX(0.5,'Control Room'!$B$14/4))^2),1)*IF(AND($A553&gt;='Control Room'!$A$15,$A553&lt;'Control Room'!$A$15+'Control Room'!$B$15,'Process'!BS4=1),1+('Control Room'!$C$15-1)*EXP(-0.5*(($A553-'Control Room'!$A$15-('Control Room'!$B$15-1)/2)/MAX(0.5,'Control Room'!$B$15/4))^2),1)*IF(AND($A553&gt;='Control Room'!$A$16,$A553&lt;'Control Room'!$A$16+'Control Room'!$B$16,'Process'!BS5=1),1+('Control Room'!$C$16-1)*EXP(-0.5*(($A553-'Control Room'!$A$16-('Control Room'!$B$16-1)/2)/MAX(0.5,'Control Room'!$B$16/4))^2),1)</x:f>
        <x:v>1</x:v>
      </x:c>
      <x:c r="AU553" s="9" t="n">
        <x:f>MOD(AV552*16807,2147483647)</x:f>
        <x:v>1844100111</x:v>
      </x:c>
      <x:c r="AV553" s="9" t="n">
        <x:f>MOD(AU553*16807,2147483647)</x:f>
        <x:v>1306572073</x:v>
      </x:c>
      <x:c r="AW553" s="17" t="n">
        <x:f>IF('Control Room'!$B$5="Normal",'Control Room'!$B$7+'Control Room'!$D$7*SQRT(-2*LN(MAX(0.000000000001,AU553/2147483647)))*COS(2*PI()*AV553/2147483647),'Control Room'!$B$8+('Control Room'!$D$8-'Control Room'!$B$8)*AU553/2147483647)</x:f>
        <x:v>961.4143352108697</x:v>
      </x:c>
      <x:c r="AX553" s="17" t="n">
        <x:f>IF('Control Room'!$B$5="Normal",'Control Room'!$B$7,('Control Room'!$B$8+'Control Room'!$D$8)/2)+'Control Room'!$B$9*(AX552-IF('Control Room'!$B$5="Normal",'Control Room'!$B$7,('Control Room'!$B$8+'Control Room'!$D$8)/2))+SQRT(1-'Control Room'!$B$9^2)*(AW553-IF('Control Room'!$B$5="Normal",'Control Room'!$B$7,('Control Room'!$B$8+'Control Room'!$D$8)/2))</x:f>
        <x:v>883.1321429204891</x:v>
      </x:c>
      <x:c r="AY553" s="17" t="n">
        <x:f>IF(AND($A553&gt;='Control Room'!$A$13,$A553&lt;'Control Room'!$A$13+'Control Room'!$B$13,'Process'!BT2=1),1+('Control Room'!$C$13-1)*EXP(-0.5*(($A553-'Control Room'!$A$13-('Control Room'!$B$13-1)/2)/MAX(0.5,'Control Room'!$B$13/4))^2),1)*IF(AND($A553&gt;='Control Room'!$A$14,$A553&lt;'Control Room'!$A$14+'Control Room'!$B$14,'Process'!BT3=1),1+('Control Room'!$C$14-1)*EXP(-0.5*(($A553-'Control Room'!$A$14-('Control Room'!$B$14-1)/2)/MAX(0.5,'Control Room'!$B$14/4))^2),1)*IF(AND($A553&gt;='Control Room'!$A$15,$A553&lt;'Control Room'!$A$15+'Control Room'!$B$15,'Process'!BT4=1),1+('Control Room'!$C$15-1)*EXP(-0.5*(($A553-'Control Room'!$A$15-('Control Room'!$B$15-1)/2)/MAX(0.5,'Control Room'!$B$15/4))^2),1)*IF(AND($A553&gt;='Control Room'!$A$16,$A553&lt;'Control Room'!$A$16+'Control Room'!$B$16,'Process'!BT5=1),1+('Control Room'!$C$16-1)*EXP(-0.5*(($A553-'Control Room'!$A$16-('Control Room'!$B$16-1)/2)/MAX(0.5,'Control Room'!$B$16/4))^2),1)</x:f>
        <x:v>1</x:v>
      </x:c>
      <x:c r="AZ553" s="9" t="n">
        <x:f>MOD(BA552*16807,2147483647)</x:f>
        <x:v>1886594339</x:v>
      </x:c>
      <x:c r="BA553" s="9" t="n">
        <x:f>MOD(AZ553*16807,2147483647)</x:f>
        <x:v>395007618</x:v>
      </x:c>
      <x:c r="BB553" s="17" t="n">
        <x:f>IF('Control Room'!$B$5="Normal",'Control Room'!$B$7+'Control Room'!$D$7*SQRT(-2*LN(MAX(0.000000000001,AZ553/2147483647)))*COS(2*PI()*BA553/2147483647),'Control Room'!$B$8+('Control Room'!$D$8-'Control Room'!$B$8)*AZ553/2147483647)</x:f>
        <x:v>1018.4718003134523</x:v>
      </x:c>
      <x:c r="BC553" s="17" t="n">
        <x:f>IF('Control Room'!$B$5="Normal",'Control Room'!$B$7,('Control Room'!$B$8+'Control Room'!$D$8)/2)+'Control Room'!$B$9*(BC552-IF('Control Room'!$B$5="Normal",'Control Room'!$B$7,('Control Room'!$B$8+'Control Room'!$D$8)/2))+SQRT(1-'Control Room'!$B$9^2)*(BB553-IF('Control Room'!$B$5="Normal",'Control Room'!$B$7,('Control Room'!$B$8+'Control Room'!$D$8)/2))</x:f>
        <x:v>1101.4679589108678</x:v>
      </x:c>
      <x:c r="BD553" s="17" t="n">
        <x:f>IF(AND($A553&gt;='Control Room'!$A$13,$A553&lt;'Control Room'!$A$13+'Control Room'!$B$13,'Process'!BU2=1),1+('Control Room'!$C$13-1)*EXP(-0.5*(($A553-'Control Room'!$A$13-('Control Room'!$B$13-1)/2)/MAX(0.5,'Control Room'!$B$13/4))^2),1)*IF(AND($A553&gt;='Control Room'!$A$14,$A553&lt;'Control Room'!$A$14+'Control Room'!$B$14,'Process'!BU3=1),1+('Control Room'!$C$14-1)*EXP(-0.5*(($A553-'Control Room'!$A$14-('Control Room'!$B$14-1)/2)/MAX(0.5,'Control Room'!$B$14/4))^2),1)*IF(AND($A553&gt;='Control Room'!$A$15,$A553&lt;'Control Room'!$A$15+'Control Room'!$B$15,'Process'!BU4=1),1+('Control Room'!$C$15-1)*EXP(-0.5*(($A553-'Control Room'!$A$15-('Control Room'!$B$15-1)/2)/MAX(0.5,'Control Room'!$B$15/4))^2),1)*IF(AND($A553&gt;='Control Room'!$A$16,$A553&lt;'Control Room'!$A$16+'Control Room'!$B$16,'Process'!BU5=1),1+('Control Room'!$C$16-1)*EXP(-0.5*(($A553-'Control Room'!$A$16-('Control Room'!$B$16-1)/2)/MAX(0.5,'Control Room'!$B$16/4))^2),1)</x:f>
        <x:v>1</x:v>
      </x:c>
      <x:c r="BE553" s="9" t="n">
        <x:f>MOD(BF552*16807,2147483647)</x:f>
        <x:v>1929088567</x:v>
      </x:c>
      <x:c r="BF553" s="9" t="n">
        <x:f>MOD(BE553*16807,2147483647)</x:f>
        <x:v>1630926810</x:v>
      </x:c>
      <x:c r="BG553" s="17" t="n">
        <x:f>IF('Control Room'!$B$5="Normal",'Control Room'!$B$7+'Control Room'!$D$7*SQRT(-2*LN(MAX(0.000000000001,BE553/2147483647)))*COS(2*PI()*BF553/2147483647),'Control Room'!$B$8+('Control Room'!$D$8-'Control Room'!$B$8)*BE553/2147483647)</x:f>
        <x:v>1002.475971744596</x:v>
      </x:c>
      <x:c r="BH553" s="17" t="n">
        <x:f>IF('Control Room'!$B$5="Normal",'Control Room'!$B$7,('Control Room'!$B$8+'Control Room'!$D$8)/2)+'Control Room'!$B$9*(BH552-IF('Control Room'!$B$5="Normal",'Control Room'!$B$7,('Control Room'!$B$8+'Control Room'!$D$8)/2))+SQRT(1-'Control Room'!$B$9^2)*(BG553-IF('Control Room'!$B$5="Normal",'Control Room'!$B$7,('Control Room'!$B$8+'Control Room'!$D$8)/2))</x:f>
        <x:v>953.6477866533772</x:v>
      </x:c>
      <x:c r="BI553" s="17" t="n">
        <x:f>IF(AND($A553&gt;='Control Room'!$A$13,$A553&lt;'Control Room'!$A$13+'Control Room'!$B$13,'Process'!BV2=1),1+('Control Room'!$C$13-1)*EXP(-0.5*(($A553-'Control Room'!$A$13-('Control Room'!$B$13-1)/2)/MAX(0.5,'Control Room'!$B$13/4))^2),1)*IF(AND($A553&gt;='Control Room'!$A$14,$A553&lt;'Control Room'!$A$14+'Control Room'!$B$14,'Process'!BV3=1),1+('Control Room'!$C$14-1)*EXP(-0.5*(($A553-'Control Room'!$A$14-('Control Room'!$B$14-1)/2)/MAX(0.5,'Control Room'!$B$14/4))^2),1)*IF(AND($A553&gt;='Control Room'!$A$15,$A553&lt;'Control Room'!$A$15+'Control Room'!$B$15,'Process'!BV4=1),1+('Control Room'!$C$15-1)*EXP(-0.5*(($A553-'Control Room'!$A$15-('Control Room'!$B$15-1)/2)/MAX(0.5,'Control Room'!$B$15/4))^2),1)*IF(AND($A553&gt;='Control Room'!$A$16,$A553&lt;'Control Room'!$A$16+'Control Room'!$B$16,'Process'!BV5=1),1+('Control Room'!$C$16-1)*EXP(-0.5*(($A553-'Control Room'!$A$16-('Control Room'!$B$16-1)/2)/MAX(0.5,'Control Room'!$B$16/4))^2),1)</x:f>
        <x:v>1</x:v>
      </x:c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Z553" t="str">
        <x:f>IF('Data'!A553="","",TEXT('Data'!A553,"mm-dd"))</x:f>
      </x:c>
    </x:row>
    <x:row r="554" ht="21" customHeight="1">
      <x:c r="A554" s="15" t="n">
        <x:f>'Control Room'!$B$1+552</x:f>
        <x:v>73543</x:v>
      </x:c>
      <x:c r="B554" s="9" t="n">
        <x:f>MOD(C553*16807,2147483647)</x:f>
        <x:v>1880690425</x:v>
      </x:c>
      <x:c r="C554" s="9" t="n">
        <x:f>MOD(B554*16807,2147483647)</x:f>
        <x:v>2099656429</x:v>
      </x:c>
      <x:c r="D554" s="17" t="n">
        <x:f>IF('Control Room'!$B$5="Normal",'Control Room'!$B$7+'Control Room'!$D$7*SQRT(-2*LN(MAX(0.000000000001,B554/2147483647)))*COS(2*PI()*C554/2147483647),'Control Room'!$B$8+('Control Room'!$D$8-'Control Room'!$B$8)*B554/2147483647)</x:f>
        <x:v>1045.9047733003536</x:v>
      </x:c>
      <x:c r="E554" s="17" t="n">
        <x:f>IF('Control Room'!$B$5="Normal",'Control Room'!$B$7,('Control Room'!$B$8+'Control Room'!$D$8)/2)+'Control Room'!$B$9*(E553-IF('Control Room'!$B$5="Normal",'Control Room'!$B$7,('Control Room'!$B$8+'Control Room'!$D$8)/2))+SQRT(1-'Control Room'!$B$9^2)*(D554-IF('Control Room'!$B$5="Normal",'Control Room'!$B$7,('Control Room'!$B$8+'Control Room'!$D$8)/2))</x:f>
        <x:v>1035.735051583042</x:v>
      </x:c>
      <x:c r="F554" s="17" t="n">
        <x:f>IF(AND($A554&gt;='Control Room'!$A$13,$A554&lt;'Control Room'!$A$13+'Control Room'!$B$13,'Process'!BK2=1),1+('Control Room'!$C$13-1)*EXP(-0.5*(($A554-'Control Room'!$A$13-('Control Room'!$B$13-1)/2)/MAX(0.5,'Control Room'!$B$13/4))^2),1)*IF(AND($A554&gt;='Control Room'!$A$14,$A554&lt;'Control Room'!$A$14+'Control Room'!$B$14,'Process'!BK3=1),1+('Control Room'!$C$14-1)*EXP(-0.5*(($A554-'Control Room'!$A$14-('Control Room'!$B$14-1)/2)/MAX(0.5,'Control Room'!$B$14/4))^2),1)*IF(AND($A554&gt;='Control Room'!$A$15,$A554&lt;'Control Room'!$A$15+'Control Room'!$B$15,'Process'!BK4=1),1+('Control Room'!$C$15-1)*EXP(-0.5*(($A554-'Control Room'!$A$15-('Control Room'!$B$15-1)/2)/MAX(0.5,'Control Room'!$B$15/4))^2),1)*IF(AND($A554&gt;='Control Room'!$A$16,$A554&lt;'Control Room'!$A$16+'Control Room'!$B$16,'Process'!BK5=1),1+('Control Room'!$C$16-1)*EXP(-0.5*(($A554-'Control Room'!$A$16-('Control Room'!$B$16-1)/2)/MAX(0.5,'Control Room'!$B$16/4))^2),1)</x:f>
        <x:v>1</x:v>
      </x:c>
      <x:c r="G554" s="9" t="n">
        <x:f>MOD(H553*16807,2147483647)</x:f>
        <x:v>1365232938</x:v>
      </x:c>
      <x:c r="H554" s="9" t="n">
        <x:f>MOD(G554*16807,2147483647)</x:f>
        <x:v>1754704418</x:v>
      </x:c>
      <x:c r="I554" s="17" t="n">
        <x:f>IF('Control Room'!$B$5="Normal",'Control Room'!$B$7+'Control Room'!$D$7*SQRT(-2*LN(MAX(0.000000000001,G554/2147483647)))*COS(2*PI()*H554/2147483647),'Control Room'!$B$8+('Control Room'!$D$8-'Control Room'!$B$8)*G554/2147483647)</x:f>
        <x:v>1035.0541815764934</x:v>
      </x:c>
      <x:c r="J554" s="17" t="n">
        <x:f>IF('Control Room'!$B$5="Normal",'Control Room'!$B$7,('Control Room'!$B$8+'Control Room'!$D$8)/2)+'Control Room'!$B$9*(J553-IF('Control Room'!$B$5="Normal",'Control Room'!$B$7,('Control Room'!$B$8+'Control Room'!$D$8)/2))+SQRT(1-'Control Room'!$B$9^2)*(I554-IF('Control Room'!$B$5="Normal",'Control Room'!$B$7,('Control Room'!$B$8+'Control Room'!$D$8)/2))</x:f>
        <x:v>1051.0303150186269</x:v>
      </x:c>
      <x:c r="K554" s="17" t="n">
        <x:f>IF(AND($A554&gt;='Control Room'!$A$13,$A554&lt;'Control Room'!$A$13+'Control Room'!$B$13,'Process'!BL2=1),1+('Control Room'!$C$13-1)*EXP(-0.5*(($A554-'Control Room'!$A$13-('Control Room'!$B$13-1)/2)/MAX(0.5,'Control Room'!$B$13/4))^2),1)*IF(AND($A554&gt;='Control Room'!$A$14,$A554&lt;'Control Room'!$A$14+'Control Room'!$B$14,'Process'!BL3=1),1+('Control Room'!$C$14-1)*EXP(-0.5*(($A554-'Control Room'!$A$14-('Control Room'!$B$14-1)/2)/MAX(0.5,'Control Room'!$B$14/4))^2),1)*IF(AND($A554&gt;='Control Room'!$A$15,$A554&lt;'Control Room'!$A$15+'Control Room'!$B$15,'Process'!BL4=1),1+('Control Room'!$C$15-1)*EXP(-0.5*(($A554-'Control Room'!$A$15-('Control Room'!$B$15-1)/2)/MAX(0.5,'Control Room'!$B$15/4))^2),1)*IF(AND($A554&gt;='Control Room'!$A$16,$A554&lt;'Control Room'!$A$16+'Control Room'!$B$16,'Process'!BL5=1),1+('Control Room'!$C$16-1)*EXP(-0.5*(($A554-'Control Room'!$A$16-('Control Room'!$B$16-1)/2)/MAX(0.5,'Control Room'!$B$16/4))^2),1)</x:f>
        <x:v>1</x:v>
      </x:c>
      <x:c r="L554" s="9" t="n">
        <x:f>MOD(M553*16807,2147483647)</x:f>
        <x:v>849775451</x:v>
      </x:c>
      <x:c r="M554" s="9" t="n">
        <x:f>MOD(L554*16807,2147483647)</x:f>
        <x:v>1409752407</x:v>
      </x:c>
      <x:c r="N554" s="17" t="n">
        <x:f>IF('Control Room'!$B$5="Normal",'Control Room'!$B$7+'Control Room'!$D$7*SQRT(-2*LN(MAX(0.000000000001,L554/2147483647)))*COS(2*PI()*M554/2147483647),'Control Room'!$B$8+('Control Room'!$D$8-'Control Room'!$B$8)*L554/2147483647)</x:f>
        <x:v>932.0535056936131</x:v>
      </x:c>
      <x:c r="O554" s="17" t="n">
        <x:f>IF('Control Room'!$B$5="Normal",'Control Room'!$B$7,('Control Room'!$B$8+'Control Room'!$D$8)/2)+'Control Room'!$B$9*(O553-IF('Control Room'!$B$5="Normal",'Control Room'!$B$7,('Control Room'!$B$8+'Control Room'!$D$8)/2))+SQRT(1-'Control Room'!$B$9^2)*(N554-IF('Control Room'!$B$5="Normal",'Control Room'!$B$7,('Control Room'!$B$8+'Control Room'!$D$8)/2))</x:f>
        <x:v>966.0759865845781</x:v>
      </x:c>
      <x:c r="P554" s="17" t="n">
        <x:f>IF(AND($A554&gt;='Control Room'!$A$13,$A554&lt;'Control Room'!$A$13+'Control Room'!$B$13,'Process'!BM2=1),1+('Control Room'!$C$13-1)*EXP(-0.5*(($A554-'Control Room'!$A$13-('Control Room'!$B$13-1)/2)/MAX(0.5,'Control Room'!$B$13/4))^2),1)*IF(AND($A554&gt;='Control Room'!$A$14,$A554&lt;'Control Room'!$A$14+'Control Room'!$B$14,'Process'!BM3=1),1+('Control Room'!$C$14-1)*EXP(-0.5*(($A554-'Control Room'!$A$14-('Control Room'!$B$14-1)/2)/MAX(0.5,'Control Room'!$B$14/4))^2),1)*IF(AND($A554&gt;='Control Room'!$A$15,$A554&lt;'Control Room'!$A$15+'Control Room'!$B$15,'Process'!BM4=1),1+('Control Room'!$C$15-1)*EXP(-0.5*(($A554-'Control Room'!$A$15-('Control Room'!$B$15-1)/2)/MAX(0.5,'Control Room'!$B$15/4))^2),1)*IF(AND($A554&gt;='Control Room'!$A$16,$A554&lt;'Control Room'!$A$16+'Control Room'!$B$16,'Process'!BM5=1),1+('Control Room'!$C$16-1)*EXP(-0.5*(($A554-'Control Room'!$A$16-('Control Room'!$B$16-1)/2)/MAX(0.5,'Control Room'!$B$16/4))^2),1)</x:f>
        <x:v>1</x:v>
      </x:c>
      <x:c r="Q554" s="9" t="n">
        <x:f>MOD(R553*16807,2147483647)</x:f>
        <x:v>334317964</x:v>
      </x:c>
      <x:c r="R554" s="9" t="n">
        <x:f>MOD(Q554*16807,2147483647)</x:f>
        <x:v>1064800396</x:v>
      </x:c>
      <x:c r="S554" s="17" t="n">
        <x:f>IF('Control Room'!$B$5="Normal",'Control Room'!$B$7+'Control Room'!$D$7*SQRT(-2*LN(MAX(0.000000000001,Q554/2147483647)))*COS(2*PI()*R554/2147483647),'Control Room'!$B$8+('Control Room'!$D$8-'Control Room'!$B$8)*Q554/2147483647)</x:f>
        <x:v>826.4755731600737</x:v>
      </x:c>
      <x:c r="T554" s="17" t="n">
        <x:f>IF('Control Room'!$B$5="Normal",'Control Room'!$B$7,('Control Room'!$B$8+'Control Room'!$D$8)/2)+'Control Room'!$B$9*(T553-IF('Control Room'!$B$5="Normal",'Control Room'!$B$7,('Control Room'!$B$8+'Control Room'!$D$8)/2))+SQRT(1-'Control Room'!$B$9^2)*(S554-IF('Control Room'!$B$5="Normal",'Control Room'!$B$7,('Control Room'!$B$8+'Control Room'!$D$8)/2))</x:f>
        <x:v>871.8301910896281</x:v>
      </x:c>
      <x:c r="U554" s="17" t="n">
        <x:f>IF(AND($A554&gt;='Control Room'!$A$13,$A554&lt;'Control Room'!$A$13+'Control Room'!$B$13,'Process'!BN2=1),1+('Control Room'!$C$13-1)*EXP(-0.5*(($A554-'Control Room'!$A$13-('Control Room'!$B$13-1)/2)/MAX(0.5,'Control Room'!$B$13/4))^2),1)*IF(AND($A554&gt;='Control Room'!$A$14,$A554&lt;'Control Room'!$A$14+'Control Room'!$B$14,'Process'!BN3=1),1+('Control Room'!$C$14-1)*EXP(-0.5*(($A554-'Control Room'!$A$14-('Control Room'!$B$14-1)/2)/MAX(0.5,'Control Room'!$B$14/4))^2),1)*IF(AND($A554&gt;='Control Room'!$A$15,$A554&lt;'Control Room'!$A$15+'Control Room'!$B$15,'Process'!BN4=1),1+('Control Room'!$C$15-1)*EXP(-0.5*(($A554-'Control Room'!$A$15-('Control Room'!$B$15-1)/2)/MAX(0.5,'Control Room'!$B$15/4))^2),1)*IF(AND($A554&gt;='Control Room'!$A$16,$A554&lt;'Control Room'!$A$16+'Control Room'!$B$16,'Process'!BN5=1),1+('Control Room'!$C$16-1)*EXP(-0.5*(($A554-'Control Room'!$A$16-('Control Room'!$B$16-1)/2)/MAX(0.5,'Control Room'!$B$16/4))^2),1)</x:f>
        <x:v>1</x:v>
      </x:c>
      <x:c r="V554" s="9" t="n">
        <x:f>MOD(W553*16807,2147483647)</x:f>
        <x:v>1966344124</x:v>
      </x:c>
      <x:c r="W554" s="9" t="n">
        <x:f>MOD(V554*16807,2147483647)</x:f>
        <x:v>719848385</x:v>
      </x:c>
      <x:c r="X554" s="17" t="n">
        <x:f>IF('Control Room'!$B$5="Normal",'Control Room'!$B$7+'Control Room'!$D$7*SQRT(-2*LN(MAX(0.000000000001,V554/2147483647)))*COS(2*PI()*W554/2147483647),'Control Room'!$B$8+('Control Room'!$D$8-'Control Room'!$B$8)*V554/2147483647)</x:f>
        <x:v>980.7249040593753</x:v>
      </x:c>
      <x:c r="Y554" s="17" t="n">
        <x:f>IF('Control Room'!$B$5="Normal",'Control Room'!$B$7,('Control Room'!$B$8+'Control Room'!$D$8)/2)+'Control Room'!$B$9*(Y553-IF('Control Room'!$B$5="Normal",'Control Room'!$B$7,('Control Room'!$B$8+'Control Room'!$D$8)/2))+SQRT(1-'Control Room'!$B$9^2)*(X554-IF('Control Room'!$B$5="Normal",'Control Room'!$B$7,('Control Room'!$B$8+'Control Room'!$D$8)/2))</x:f>
        <x:v>1129.4159700746134</x:v>
      </x:c>
      <x:c r="Z554" s="17" t="n">
        <x:f>IF(AND($A554&gt;='Control Room'!$A$13,$A554&lt;'Control Room'!$A$13+'Control Room'!$B$13,'Process'!BO2=1),1+('Control Room'!$C$13-1)*EXP(-0.5*(($A554-'Control Room'!$A$13-('Control Room'!$B$13-1)/2)/MAX(0.5,'Control Room'!$B$13/4))^2),1)*IF(AND($A554&gt;='Control Room'!$A$14,$A554&lt;'Control Room'!$A$14+'Control Room'!$B$14,'Process'!BO3=1),1+('Control Room'!$C$14-1)*EXP(-0.5*(($A554-'Control Room'!$A$14-('Control Room'!$B$14-1)/2)/MAX(0.5,'Control Room'!$B$14/4))^2),1)*IF(AND($A554&gt;='Control Room'!$A$15,$A554&lt;'Control Room'!$A$15+'Control Room'!$B$15,'Process'!BO4=1),1+('Control Room'!$C$15-1)*EXP(-0.5*(($A554-'Control Room'!$A$15-('Control Room'!$B$15-1)/2)/MAX(0.5,'Control Room'!$B$15/4))^2),1)*IF(AND($A554&gt;='Control Room'!$A$16,$A554&lt;'Control Room'!$A$16+'Control Room'!$B$16,'Process'!BO5=1),1+('Control Room'!$C$16-1)*EXP(-0.5*(($A554-'Control Room'!$A$16-('Control Room'!$B$16-1)/2)/MAX(0.5,'Control Room'!$B$16/4))^2),1)</x:f>
        <x:v>1</x:v>
      </x:c>
      <x:c r="AA554" s="9" t="n">
        <x:f>MOD(AB553*16807,2147483647)</x:f>
        <x:v>1450886637</x:v>
      </x:c>
      <x:c r="AB554" s="9" t="n">
        <x:f>MOD(AA554*16807,2147483647)</x:f>
        <x:v>374896374</x:v>
      </x:c>
      <x:c r="AC554" s="17" t="n">
        <x:f>IF('Control Room'!$B$5="Normal",'Control Room'!$B$7+'Control Room'!$D$7*SQRT(-2*LN(MAX(0.000000000001,AA554/2147483647)))*COS(2*PI()*AB554/2147483647),'Control Room'!$B$8+('Control Room'!$D$8-'Control Room'!$B$8)*AA554/2147483647)</x:f>
        <x:v>1036.373481221298</x:v>
      </x:c>
      <x:c r="AD554" s="17" t="n">
        <x:f>IF('Control Room'!$B$5="Normal",'Control Room'!$B$7,('Control Room'!$B$8+'Control Room'!$D$8)/2)+'Control Room'!$B$9*(AD553-IF('Control Room'!$B$5="Normal",'Control Room'!$B$7,('Control Room'!$B$8+'Control Room'!$D$8)/2))+SQRT(1-'Control Room'!$B$9^2)*(AC554-IF('Control Room'!$B$5="Normal",'Control Room'!$B$7,('Control Room'!$B$8+'Control Room'!$D$8)/2))</x:f>
        <x:v>976.1330253644817</x:v>
      </x:c>
      <x:c r="AE554" s="17" t="n">
        <x:f>IF(AND($A554&gt;='Control Room'!$A$13,$A554&lt;'Control Room'!$A$13+'Control Room'!$B$13,'Process'!BP2=1),1+('Control Room'!$C$13-1)*EXP(-0.5*(($A554-'Control Room'!$A$13-('Control Room'!$B$13-1)/2)/MAX(0.5,'Control Room'!$B$13/4))^2),1)*IF(AND($A554&gt;='Control Room'!$A$14,$A554&lt;'Control Room'!$A$14+'Control Room'!$B$14,'Process'!BP3=1),1+('Control Room'!$C$14-1)*EXP(-0.5*(($A554-'Control Room'!$A$14-('Control Room'!$B$14-1)/2)/MAX(0.5,'Control Room'!$B$14/4))^2),1)*IF(AND($A554&gt;='Control Room'!$A$15,$A554&lt;'Control Room'!$A$15+'Control Room'!$B$15,'Process'!BP4=1),1+('Control Room'!$C$15-1)*EXP(-0.5*(($A554-'Control Room'!$A$15-('Control Room'!$B$15-1)/2)/MAX(0.5,'Control Room'!$B$15/4))^2),1)*IF(AND($A554&gt;='Control Room'!$A$16,$A554&lt;'Control Room'!$A$16+'Control Room'!$B$16,'Process'!BP5=1),1+('Control Room'!$C$16-1)*EXP(-0.5*(($A554-'Control Room'!$A$16-('Control Room'!$B$16-1)/2)/MAX(0.5,'Control Room'!$B$16/4))^2),1)</x:f>
        <x:v>1</x:v>
      </x:c>
      <x:c r="AF554" s="9" t="n">
        <x:f>MOD(AG553*16807,2147483647)</x:f>
        <x:v>935429150</x:v>
      </x:c>
      <x:c r="AG554" s="9" t="n">
        <x:f>MOD(AF554*16807,2147483647)</x:f>
        <x:v>29944363</x:v>
      </x:c>
      <x:c r="AH554" s="17" t="n">
        <x:f>IF('Control Room'!$B$5="Normal",'Control Room'!$B$7+'Control Room'!$D$7*SQRT(-2*LN(MAX(0.000000000001,AF554/2147483647)))*COS(2*PI()*AG554/2147483647),'Control Room'!$B$8+('Control Room'!$D$8-'Control Room'!$B$8)*AF554/2147483647)</x:f>
        <x:v>1115.5849430477779</x:v>
      </x:c>
      <x:c r="AI554" s="17" t="n">
        <x:f>IF('Control Room'!$B$5="Normal",'Control Room'!$B$7,('Control Room'!$B$8+'Control Room'!$D$8)/2)+'Control Room'!$B$9*(AI553-IF('Control Room'!$B$5="Normal",'Control Room'!$B$7,('Control Room'!$B$8+'Control Room'!$D$8)/2))+SQRT(1-'Control Room'!$B$9^2)*(AH554-IF('Control Room'!$B$5="Normal",'Control Room'!$B$7,('Control Room'!$B$8+'Control Room'!$D$8)/2))</x:f>
        <x:v>1201.7419284958519</x:v>
      </x:c>
      <x:c r="AJ554" s="17" t="n">
        <x:f>IF(AND($A554&gt;='Control Room'!$A$13,$A554&lt;'Control Room'!$A$13+'Control Room'!$B$13,'Process'!BQ2=1),1+('Control Room'!$C$13-1)*EXP(-0.5*(($A554-'Control Room'!$A$13-('Control Room'!$B$13-1)/2)/MAX(0.5,'Control Room'!$B$13/4))^2),1)*IF(AND($A554&gt;='Control Room'!$A$14,$A554&lt;'Control Room'!$A$14+'Control Room'!$B$14,'Process'!BQ3=1),1+('Control Room'!$C$14-1)*EXP(-0.5*(($A554-'Control Room'!$A$14-('Control Room'!$B$14-1)/2)/MAX(0.5,'Control Room'!$B$14/4))^2),1)*IF(AND($A554&gt;='Control Room'!$A$15,$A554&lt;'Control Room'!$A$15+'Control Room'!$B$15,'Process'!BQ4=1),1+('Control Room'!$C$15-1)*EXP(-0.5*(($A554-'Control Room'!$A$15-('Control Room'!$B$15-1)/2)/MAX(0.5,'Control Room'!$B$15/4))^2),1)*IF(AND($A554&gt;='Control Room'!$A$16,$A554&lt;'Control Room'!$A$16+'Control Room'!$B$16,'Process'!BQ5=1),1+('Control Room'!$C$16-1)*EXP(-0.5*(($A554-'Control Room'!$A$16-('Control Room'!$B$16-1)/2)/MAX(0.5,'Control Room'!$B$16/4))^2),1)</x:f>
        <x:v>1</x:v>
      </x:c>
      <x:c r="AK554" s="9" t="n">
        <x:f>MOD(AL553*16807,2147483647)</x:f>
        <x:v>419971663</x:v>
      </x:c>
      <x:c r="AL554" s="9" t="n">
        <x:f>MOD(AK554*16807,2147483647)</x:f>
        <x:v>1832475999</x:v>
      </x:c>
      <x:c r="AM554" s="17" t="n">
        <x:f>IF('Control Room'!$B$5="Normal",'Control Room'!$B$7+'Control Room'!$D$7*SQRT(-2*LN(MAX(0.000000000001,AK554/2147483647)))*COS(2*PI()*AL554/2147483647),'Control Room'!$B$8+('Control Room'!$D$8-'Control Room'!$B$8)*AK554/2147483647)</x:f>
        <x:v>1098.2866362120146</x:v>
      </x:c>
      <x:c r="AN554" s="17" t="n">
        <x:f>IF('Control Room'!$B$5="Normal",'Control Room'!$B$7,('Control Room'!$B$8+'Control Room'!$D$8)/2)+'Control Room'!$B$9*(AN553-IF('Control Room'!$B$5="Normal",'Control Room'!$B$7,('Control Room'!$B$8+'Control Room'!$D$8)/2))+SQRT(1-'Control Room'!$B$9^2)*(AM554-IF('Control Room'!$B$5="Normal",'Control Room'!$B$7,('Control Room'!$B$8+'Control Room'!$D$8)/2))</x:f>
        <x:v>993.1446296240192</x:v>
      </x:c>
      <x:c r="AO554" s="17" t="n">
        <x:f>IF(AND($A554&gt;='Control Room'!$A$13,$A554&lt;'Control Room'!$A$13+'Control Room'!$B$13,'Process'!BR2=1),1+('Control Room'!$C$13-1)*EXP(-0.5*(($A554-'Control Room'!$A$13-('Control Room'!$B$13-1)/2)/MAX(0.5,'Control Room'!$B$13/4))^2),1)*IF(AND($A554&gt;='Control Room'!$A$14,$A554&lt;'Control Room'!$A$14+'Control Room'!$B$14,'Process'!BR3=1),1+('Control Room'!$C$14-1)*EXP(-0.5*(($A554-'Control Room'!$A$14-('Control Room'!$B$14-1)/2)/MAX(0.5,'Control Room'!$B$14/4))^2),1)*IF(AND($A554&gt;='Control Room'!$A$15,$A554&lt;'Control Room'!$A$15+'Control Room'!$B$15,'Process'!BR4=1),1+('Control Room'!$C$15-1)*EXP(-0.5*(($A554-'Control Room'!$A$15-('Control Room'!$B$15-1)/2)/MAX(0.5,'Control Room'!$B$15/4))^2),1)*IF(AND($A554&gt;='Control Room'!$A$16,$A554&lt;'Control Room'!$A$16+'Control Room'!$B$16,'Process'!BR5=1),1+('Control Room'!$C$16-1)*EXP(-0.5*(($A554-'Control Room'!$A$16-('Control Room'!$B$16-1)/2)/MAX(0.5,'Control Room'!$B$16/4))^2),1)</x:f>
        <x:v>1</x:v>
      </x:c>
      <x:c r="AP554" s="9" t="n">
        <x:f>MOD(AQ553*16807,2147483647)</x:f>
        <x:v>2051997823</x:v>
      </x:c>
      <x:c r="AQ554" s="9" t="n">
        <x:f>MOD(AP554*16807,2147483647)</x:f>
        <x:v>1487523988</x:v>
      </x:c>
      <x:c r="AR554" s="17" t="n">
        <x:f>IF('Control Room'!$B$5="Normal",'Control Room'!$B$7+'Control Room'!$D$7*SQRT(-2*LN(MAX(0.000000000001,AP554/2147483647)))*COS(2*PI()*AQ554/2147483647),'Control Room'!$B$8+('Control Room'!$D$8-'Control Room'!$B$8)*AP554/2147483647)</x:f>
        <x:v>990.4342053821865</x:v>
      </x:c>
      <x:c r="AS554" s="17" t="n">
        <x:f>IF('Control Room'!$B$5="Normal",'Control Room'!$B$7,('Control Room'!$B$8+'Control Room'!$D$8)/2)+'Control Room'!$B$9*(AS553-IF('Control Room'!$B$5="Normal",'Control Room'!$B$7,('Control Room'!$B$8+'Control Room'!$D$8)/2))+SQRT(1-'Control Room'!$B$9^2)*(AR554-IF('Control Room'!$B$5="Normal",'Control Room'!$B$7,('Control Room'!$B$8+'Control Room'!$D$8)/2))</x:f>
        <x:v>1148.5244526493414</x:v>
      </x:c>
      <x:c r="AT554" s="17" t="n">
        <x:f>IF(AND($A554&gt;='Control Room'!$A$13,$A554&lt;'Control Room'!$A$13+'Control Room'!$B$13,'Process'!BS2=1),1+('Control Room'!$C$13-1)*EXP(-0.5*(($A554-'Control Room'!$A$13-('Control Room'!$B$13-1)/2)/MAX(0.5,'Control Room'!$B$13/4))^2),1)*IF(AND($A554&gt;='Control Room'!$A$14,$A554&lt;'Control Room'!$A$14+'Control Room'!$B$14,'Process'!BS3=1),1+('Control Room'!$C$14-1)*EXP(-0.5*(($A554-'Control Room'!$A$14-('Control Room'!$B$14-1)/2)/MAX(0.5,'Control Room'!$B$14/4))^2),1)*IF(AND($A554&gt;='Control Room'!$A$15,$A554&lt;'Control Room'!$A$15+'Control Room'!$B$15,'Process'!BS4=1),1+('Control Room'!$C$15-1)*EXP(-0.5*(($A554-'Control Room'!$A$15-('Control Room'!$B$15-1)/2)/MAX(0.5,'Control Room'!$B$15/4))^2),1)*IF(AND($A554&gt;='Control Room'!$A$16,$A554&lt;'Control Room'!$A$16+'Control Room'!$B$16,'Process'!BS5=1),1+('Control Room'!$C$16-1)*EXP(-0.5*(($A554-'Control Room'!$A$16-('Control Room'!$B$16-1)/2)/MAX(0.5,'Control Room'!$B$16/4))^2),1)</x:f>
        <x:v>1</x:v>
      </x:c>
      <x:c r="AU554" s="9" t="n">
        <x:f>MOD(AV553*16807,2147483647)</x:f>
        <x:v>1536540336</x:v>
      </x:c>
      <x:c r="AV554" s="9" t="n">
        <x:f>MOD(AU554*16807,2147483647)</x:f>
        <x:v>1142571977</x:v>
      </x:c>
      <x:c r="AW554" s="17" t="n">
        <x:f>IF('Control Room'!$B$5="Normal",'Control Room'!$B$7+'Control Room'!$D$7*SQRT(-2*LN(MAX(0.000000000001,AU554/2147483647)))*COS(2*PI()*AV554/2147483647),'Control Room'!$B$8+('Control Room'!$D$8-'Control Room'!$B$8)*AU554/2147483647)</x:f>
        <x:v>927.8461274075484</x:v>
      </x:c>
      <x:c r="AX554" s="17" t="n">
        <x:f>IF('Control Room'!$B$5="Normal",'Control Room'!$B$7,('Control Room'!$B$8+'Control Room'!$D$8)/2)+'Control Room'!$B$9*(AX553-IF('Control Room'!$B$5="Normal",'Control Room'!$B$7,('Control Room'!$B$8+'Control Room'!$D$8)/2))+SQRT(1-'Control Room'!$B$9^2)*(AW554-IF('Control Room'!$B$5="Normal",'Control Room'!$B$7,('Control Room'!$B$8+'Control Room'!$D$8)/2))</x:f>
        <x:v>863.69065616205</x:v>
      </x:c>
      <x:c r="AY554" s="17" t="n">
        <x:f>IF(AND($A554&gt;='Control Room'!$A$13,$A554&lt;'Control Room'!$A$13+'Control Room'!$B$13,'Process'!BT2=1),1+('Control Room'!$C$13-1)*EXP(-0.5*(($A554-'Control Room'!$A$13-('Control Room'!$B$13-1)/2)/MAX(0.5,'Control Room'!$B$13/4))^2),1)*IF(AND($A554&gt;='Control Room'!$A$14,$A554&lt;'Control Room'!$A$14+'Control Room'!$B$14,'Process'!BT3=1),1+('Control Room'!$C$14-1)*EXP(-0.5*(($A554-'Control Room'!$A$14-('Control Room'!$B$14-1)/2)/MAX(0.5,'Control Room'!$B$14/4))^2),1)*IF(AND($A554&gt;='Control Room'!$A$15,$A554&lt;'Control Room'!$A$15+'Control Room'!$B$15,'Process'!BT4=1),1+('Control Room'!$C$15-1)*EXP(-0.5*(($A554-'Control Room'!$A$15-('Control Room'!$B$15-1)/2)/MAX(0.5,'Control Room'!$B$15/4))^2),1)*IF(AND($A554&gt;='Control Room'!$A$16,$A554&lt;'Control Room'!$A$16+'Control Room'!$B$16,'Process'!BT5=1),1+('Control Room'!$C$16-1)*EXP(-0.5*(($A554-'Control Room'!$A$16-('Control Room'!$B$16-1)/2)/MAX(0.5,'Control Room'!$B$16/4))^2),1)</x:f>
        <x:v>1</x:v>
      </x:c>
      <x:c r="AZ554" s="9" t="n">
        <x:f>MOD(BA553*16807,2147483647)</x:f>
        <x:v>1021082849</x:v>
      </x:c>
      <x:c r="BA554" s="9" t="n">
        <x:f>MOD(AZ554*16807,2147483647)</x:f>
        <x:v>797619966</x:v>
      </x:c>
      <x:c r="BB554" s="17" t="n">
        <x:f>IF('Control Room'!$B$5="Normal",'Control Room'!$B$7+'Control Room'!$D$7*SQRT(-2*LN(MAX(0.000000000001,AZ554/2147483647)))*COS(2*PI()*BA554/2147483647),'Control Room'!$B$8+('Control Room'!$D$8-'Control Room'!$B$8)*AZ554/2147483647)</x:f>
        <x:v>924.1643319439113</x:v>
      </x:c>
      <x:c r="BC554" s="17" t="n">
        <x:f>IF('Control Room'!$B$5="Normal",'Control Room'!$B$7,('Control Room'!$B$8+'Control Room'!$D$8)/2)+'Control Room'!$B$9*(BC553-IF('Control Room'!$B$5="Normal",'Control Room'!$B$7,('Control Room'!$B$8+'Control Room'!$D$8)/2))+SQRT(1-'Control Room'!$B$9^2)*(BB554-IF('Control Room'!$B$5="Normal",'Control Room'!$B$7,('Control Room'!$B$8+'Control Room'!$D$8)/2))</x:f>
        <x:v>1031.688600459081</x:v>
      </x:c>
      <x:c r="BD554" s="17" t="n">
        <x:f>IF(AND($A554&gt;='Control Room'!$A$13,$A554&lt;'Control Room'!$A$13+'Control Room'!$B$13,'Process'!BU2=1),1+('Control Room'!$C$13-1)*EXP(-0.5*(($A554-'Control Room'!$A$13-('Control Room'!$B$13-1)/2)/MAX(0.5,'Control Room'!$B$13/4))^2),1)*IF(AND($A554&gt;='Control Room'!$A$14,$A554&lt;'Control Room'!$A$14+'Control Room'!$B$14,'Process'!BU3=1),1+('Control Room'!$C$14-1)*EXP(-0.5*(($A554-'Control Room'!$A$14-('Control Room'!$B$14-1)/2)/MAX(0.5,'Control Room'!$B$14/4))^2),1)*IF(AND($A554&gt;='Control Room'!$A$15,$A554&lt;'Control Room'!$A$15+'Control Room'!$B$15,'Process'!BU4=1),1+('Control Room'!$C$15-1)*EXP(-0.5*(($A554-'Control Room'!$A$15-('Control Room'!$B$15-1)/2)/MAX(0.5,'Control Room'!$B$15/4))^2),1)*IF(AND($A554&gt;='Control Room'!$A$16,$A554&lt;'Control Room'!$A$16+'Control Room'!$B$16,'Process'!BU5=1),1+('Control Room'!$C$16-1)*EXP(-0.5*(($A554-'Control Room'!$A$16-('Control Room'!$B$16-1)/2)/MAX(0.5,'Control Room'!$B$16/4))^2),1)</x:f>
        <x:v>1</x:v>
      </x:c>
      <x:c r="BE554" s="9" t="n">
        <x:f>MOD(BF553*16807,2147483647)</x:f>
        <x:v>505625362</x:v>
      </x:c>
      <x:c r="BF554" s="9" t="n">
        <x:f>MOD(BE554*16807,2147483647)</x:f>
        <x:v>452667955</x:v>
      </x:c>
      <x:c r="BG554" s="17" t="n">
        <x:f>IF('Control Room'!$B$5="Normal",'Control Room'!$B$7+'Control Room'!$D$7*SQRT(-2*LN(MAX(0.000000000001,BE554/2147483647)))*COS(2*PI()*BF554/2147483647),'Control Room'!$B$8+('Control Room'!$D$8-'Control Room'!$B$8)*BE554/2147483647)</x:f>
        <x:v>1037.3297647386569</x:v>
      </x:c>
      <x:c r="BH554" s="17" t="n">
        <x:f>IF('Control Room'!$B$5="Normal",'Control Room'!$B$7,('Control Room'!$B$8+'Control Room'!$D$8)/2)+'Control Room'!$B$9*(BH553-IF('Control Room'!$B$5="Normal",'Control Room'!$B$7,('Control Room'!$B$8+'Control Room'!$D$8)/2))+SQRT(1-'Control Room'!$B$9^2)*(BG554-IF('Control Room'!$B$5="Normal",'Control Room'!$B$7,('Control Room'!$B$8+'Control Room'!$D$8)/2))</x:f>
        <x:v>987.2054756212875</x:v>
      </x:c>
      <x:c r="BI554" s="17" t="n">
        <x:f>IF(AND($A554&gt;='Control Room'!$A$13,$A554&lt;'Control Room'!$A$13+'Control Room'!$B$13,'Process'!BV2=1),1+('Control Room'!$C$13-1)*EXP(-0.5*(($A554-'Control Room'!$A$13-('Control Room'!$B$13-1)/2)/MAX(0.5,'Control Room'!$B$13/4))^2),1)*IF(AND($A554&gt;='Control Room'!$A$14,$A554&lt;'Control Room'!$A$14+'Control Room'!$B$14,'Process'!BV3=1),1+('Control Room'!$C$14-1)*EXP(-0.5*(($A554-'Control Room'!$A$14-('Control Room'!$B$14-1)/2)/MAX(0.5,'Control Room'!$B$14/4))^2),1)*IF(AND($A554&gt;='Control Room'!$A$15,$A554&lt;'Control Room'!$A$15+'Control Room'!$B$15,'Process'!BV4=1),1+('Control Room'!$C$15-1)*EXP(-0.5*(($A554-'Control Room'!$A$15-('Control Room'!$B$15-1)/2)/MAX(0.5,'Control Room'!$B$15/4))^2),1)*IF(AND($A554&gt;='Control Room'!$A$16,$A554&lt;'Control Room'!$A$16+'Control Room'!$B$16,'Process'!BV5=1),1+('Control Room'!$C$16-1)*EXP(-0.5*(($A554-'Control Room'!$A$16-('Control Room'!$B$16-1)/2)/MAX(0.5,'Control Room'!$B$16/4))^2),1)</x:f>
        <x:v>1</x:v>
      </x:c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Z554" t="str">
        <x:f>IF('Data'!A554="","",TEXT('Data'!A554,"mm-dd"))</x:f>
      </x:c>
    </x:row>
    <x:row r="555" ht="21" customHeight="1">
      <x:c r="A555" s="15" t="n">
        <x:f>'Control Room'!$B$1+553</x:f>
        <x:v>73544</x:v>
      </x:c>
      <x:c r="B555" s="9" t="n">
        <x:f>MOD(C554*16807,2147483647)</x:f>
        <x:v>1474314699</x:v>
      </x:c>
      <x:c r="C555" s="9" t="n">
        <x:f>MOD(B555*16807,2147483647)</x:f>
        <x:v>1140827007</x:v>
      </x:c>
      <x:c r="D555" s="17" t="n">
        <x:f>IF('Control Room'!$B$5="Normal",'Control Room'!$B$7+'Control Room'!$D$7*SQRT(-2*LN(MAX(0.000000000001,B555/2147483647)))*COS(2*PI()*C555/2147483647),'Control Room'!$B$8+('Control Room'!$D$8-'Control Room'!$B$8)*B555/2147483647)</x:f>
        <x:v>923.4419061238704</x:v>
      </x:c>
      <x:c r="E555" s="17" t="n">
        <x:f>IF('Control Room'!$B$5="Normal",'Control Room'!$B$7,('Control Room'!$B$8+'Control Room'!$D$8)/2)+'Control Room'!$B$9*(E554-IF('Control Room'!$B$5="Normal",'Control Room'!$B$7,('Control Room'!$B$8+'Control Room'!$D$8)/2))+SQRT(1-'Control Room'!$B$9^2)*(D555-IF('Control Room'!$B$5="Normal",'Control Room'!$B$7,('Control Room'!$B$8+'Control Room'!$D$8)/2))</x:f>
        <x:v>979.9648534648928</x:v>
      </x:c>
      <x:c r="F555" s="17" t="n">
        <x:f>IF(AND($A555&gt;='Control Room'!$A$13,$A555&lt;'Control Room'!$A$13+'Control Room'!$B$13,'Process'!BK2=1),1+('Control Room'!$C$13-1)*EXP(-0.5*(($A555-'Control Room'!$A$13-('Control Room'!$B$13-1)/2)/MAX(0.5,'Control Room'!$B$13/4))^2),1)*IF(AND($A555&gt;='Control Room'!$A$14,$A555&lt;'Control Room'!$A$14+'Control Room'!$B$14,'Process'!BK3=1),1+('Control Room'!$C$14-1)*EXP(-0.5*(($A555-'Control Room'!$A$14-('Control Room'!$B$14-1)/2)/MAX(0.5,'Control Room'!$B$14/4))^2),1)*IF(AND($A555&gt;='Control Room'!$A$15,$A555&lt;'Control Room'!$A$15+'Control Room'!$B$15,'Process'!BK4=1),1+('Control Room'!$C$15-1)*EXP(-0.5*(($A555-'Control Room'!$A$15-('Control Room'!$B$15-1)/2)/MAX(0.5,'Control Room'!$B$15/4))^2),1)*IF(AND($A555&gt;='Control Room'!$A$16,$A555&lt;'Control Room'!$A$16+'Control Room'!$B$16,'Process'!BK5=1),1+('Control Room'!$C$16-1)*EXP(-0.5*(($A555-'Control Room'!$A$16-('Control Room'!$B$16-1)/2)/MAX(0.5,'Control Room'!$B$16/4))^2),1)</x:f>
        <x:v>1</x:v>
      </x:c>
      <x:c r="G555" s="9" t="n">
        <x:f>MOD(H554*16807,2147483647)</x:f>
        <x:v>2071712722</x:v>
      </x:c>
      <x:c r="H555" s="9" t="n">
        <x:f>MOD(G555*16807,2147483647)</x:f>
        <x:v>2123349843</x:v>
      </x:c>
      <x:c r="I555" s="17" t="n">
        <x:f>IF('Control Room'!$B$5="Normal",'Control Room'!$B$7+'Control Room'!$D$7*SQRT(-2*LN(MAX(0.000000000001,G555/2147483647)))*COS(2*PI()*H555/2147483647),'Control Room'!$B$8+('Control Room'!$D$8-'Control Room'!$B$8)*G555/2147483647)</x:f>
        <x:v>1024.0629396831068</x:v>
      </x:c>
      <x:c r="J555" s="17" t="n">
        <x:f>IF('Control Room'!$B$5="Normal",'Control Room'!$B$7,('Control Room'!$B$8+'Control Room'!$D$8)/2)+'Control Room'!$B$9*(J554-IF('Control Room'!$B$5="Normal",'Control Room'!$B$7,('Control Room'!$B$8+'Control Room'!$D$8)/2))+SQRT(1-'Control Room'!$B$9^2)*(I555-IF('Control Room'!$B$5="Normal",'Control Room'!$B$7,('Control Room'!$B$8+'Control Room'!$D$8)/2))</x:f>
        <x:v>1054.8617404121032</x:v>
      </x:c>
      <x:c r="K555" s="17" t="n">
        <x:f>IF(AND($A555&gt;='Control Room'!$A$13,$A555&lt;'Control Room'!$A$13+'Control Room'!$B$13,'Process'!BL2=1),1+('Control Room'!$C$13-1)*EXP(-0.5*(($A555-'Control Room'!$A$13-('Control Room'!$B$13-1)/2)/MAX(0.5,'Control Room'!$B$13/4))^2),1)*IF(AND($A555&gt;='Control Room'!$A$14,$A555&lt;'Control Room'!$A$14+'Control Room'!$B$14,'Process'!BL3=1),1+('Control Room'!$C$14-1)*EXP(-0.5*(($A555-'Control Room'!$A$14-('Control Room'!$B$14-1)/2)/MAX(0.5,'Control Room'!$B$14/4))^2),1)*IF(AND($A555&gt;='Control Room'!$A$15,$A555&lt;'Control Room'!$A$15+'Control Room'!$B$15,'Process'!BL4=1),1+('Control Room'!$C$15-1)*EXP(-0.5*(($A555-'Control Room'!$A$15-('Control Room'!$B$15-1)/2)/MAX(0.5,'Control Room'!$B$15/4))^2),1)*IF(AND($A555&gt;='Control Room'!$A$16,$A555&lt;'Control Room'!$A$16+'Control Room'!$B$16,'Process'!BL5=1),1+('Control Room'!$C$16-1)*EXP(-0.5*(($A555-'Control Room'!$A$16-('Control Room'!$B$16-1)/2)/MAX(0.5,'Control Room'!$B$16/4))^2),1)</x:f>
        <x:v>1</x:v>
      </x:c>
      <x:c r="L555" s="9" t="n">
        <x:f>MOD(M554*16807,2147483647)</x:f>
        <x:v>521627098</x:v>
      </x:c>
      <x:c r="M555" s="9" t="n">
        <x:f>MOD(L555*16807,2147483647)</x:f>
        <x:v>958389032</x:v>
      </x:c>
      <x:c r="N555" s="17" t="n">
        <x:f>IF('Control Room'!$B$5="Normal",'Control Room'!$B$7+'Control Room'!$D$7*SQRT(-2*LN(MAX(0.000000000001,L555/2147483647)))*COS(2*PI()*M555/2147483647),'Control Room'!$B$8+('Control Room'!$D$8-'Control Room'!$B$8)*L555/2147483647)</x:f>
        <x:v>857.1330915219031</x:v>
      </x:c>
      <x:c r="O555" s="17" t="n">
        <x:f>IF('Control Room'!$B$5="Normal",'Control Room'!$B$7,('Control Room'!$B$8+'Control Room'!$D$8)/2)+'Control Room'!$B$9*(O554-IF('Control Room'!$B$5="Normal",'Control Room'!$B$7,('Control Room'!$B$8+'Control Room'!$D$8)/2))+SQRT(1-'Control Room'!$B$9^2)*(N555-IF('Control Room'!$B$5="Normal",'Control Room'!$B$7,('Control Room'!$B$8+'Control Room'!$D$8)/2))</x:f>
        <x:v>884.1360849980831</x:v>
      </x:c>
      <x:c r="P555" s="17" t="n">
        <x:f>IF(AND($A555&gt;='Control Room'!$A$13,$A555&lt;'Control Room'!$A$13+'Control Room'!$B$13,'Process'!BM2=1),1+('Control Room'!$C$13-1)*EXP(-0.5*(($A555-'Control Room'!$A$13-('Control Room'!$B$13-1)/2)/MAX(0.5,'Control Room'!$B$13/4))^2),1)*IF(AND($A555&gt;='Control Room'!$A$14,$A555&lt;'Control Room'!$A$14+'Control Room'!$B$14,'Process'!BM3=1),1+('Control Room'!$C$14-1)*EXP(-0.5*(($A555-'Control Room'!$A$14-('Control Room'!$B$14-1)/2)/MAX(0.5,'Control Room'!$B$14/4))^2),1)*IF(AND($A555&gt;='Control Room'!$A$15,$A555&lt;'Control Room'!$A$15+'Control Room'!$B$15,'Process'!BM4=1),1+('Control Room'!$C$15-1)*EXP(-0.5*(($A555-'Control Room'!$A$15-('Control Room'!$B$15-1)/2)/MAX(0.5,'Control Room'!$B$15/4))^2),1)*IF(AND($A555&gt;='Control Room'!$A$16,$A555&lt;'Control Room'!$A$16+'Control Room'!$B$16,'Process'!BM5=1),1+('Control Room'!$C$16-1)*EXP(-0.5*(($A555-'Control Room'!$A$16-('Control Room'!$B$16-1)/2)/MAX(0.5,'Control Room'!$B$16/4))^2),1)</x:f>
        <x:v>1</x:v>
      </x:c>
      <x:c r="Q555" s="9" t="n">
        <x:f>MOD(R554*16807,2147483647)</x:f>
        <x:v>1119025121</x:v>
      </x:c>
      <x:c r="R555" s="9" t="n">
        <x:f>MOD(Q555*16807,2147483647)</x:f>
        <x:v>1940911868</x:v>
      </x:c>
      <x:c r="S555" s="17" t="n">
        <x:f>IF('Control Room'!$B$5="Normal",'Control Room'!$B$7+'Control Room'!$D$7*SQRT(-2*LN(MAX(0.000000000001,Q555/2147483647)))*COS(2*PI()*R555/2147483647),'Control Room'!$B$8+('Control Room'!$D$8-'Control Room'!$B$8)*Q555/2147483647)</x:f>
        <x:v>1084.5563391113344</x:v>
      </x:c>
      <x:c r="T555" s="17" t="n">
        <x:f>IF('Control Room'!$B$5="Normal",'Control Room'!$B$7,('Control Room'!$B$8+'Control Room'!$D$8)/2)+'Control Room'!$B$9*(T554-IF('Control Room'!$B$5="Normal",'Control Room'!$B$7,('Control Room'!$B$8+'Control Room'!$D$8)/2))+SQRT(1-'Control Room'!$B$9^2)*(S555-IF('Control Room'!$B$5="Normal",'Control Room'!$B$7,('Control Room'!$B$8+'Control Room'!$D$8)/2))</x:f>
        <x:v>952.9411738350211</x:v>
      </x:c>
      <x:c r="U555" s="17" t="n">
        <x:f>IF(AND($A555&gt;='Control Room'!$A$13,$A555&lt;'Control Room'!$A$13+'Control Room'!$B$13,'Process'!BN2=1),1+('Control Room'!$C$13-1)*EXP(-0.5*(($A555-'Control Room'!$A$13-('Control Room'!$B$13-1)/2)/MAX(0.5,'Control Room'!$B$13/4))^2),1)*IF(AND($A555&gt;='Control Room'!$A$14,$A555&lt;'Control Room'!$A$14+'Control Room'!$B$14,'Process'!BN3=1),1+('Control Room'!$C$14-1)*EXP(-0.5*(($A555-'Control Room'!$A$14-('Control Room'!$B$14-1)/2)/MAX(0.5,'Control Room'!$B$14/4))^2),1)*IF(AND($A555&gt;='Control Room'!$A$15,$A555&lt;'Control Room'!$A$15+'Control Room'!$B$15,'Process'!BN4=1),1+('Control Room'!$C$15-1)*EXP(-0.5*(($A555-'Control Room'!$A$15-('Control Room'!$B$15-1)/2)/MAX(0.5,'Control Room'!$B$15/4))^2),1)*IF(AND($A555&gt;='Control Room'!$A$16,$A555&lt;'Control Room'!$A$16+'Control Room'!$B$16,'Process'!BN5=1),1+('Control Room'!$C$16-1)*EXP(-0.5*(($A555-'Control Room'!$A$16-('Control Room'!$B$16-1)/2)/MAX(0.5,'Control Room'!$B$16/4))^2),1)</x:f>
        <x:v>1</x:v>
      </x:c>
      <x:c r="V555" s="9" t="n">
        <x:f>MOD(W554*16807,2147483647)</x:f>
        <x:v>1716423144</x:v>
      </x:c>
      <x:c r="W555" s="9" t="n">
        <x:f>MOD(V555*16807,2147483647)</x:f>
        <x:v>775951057</x:v>
      </x:c>
      <x:c r="X555" s="17" t="n">
        <x:f>IF('Control Room'!$B$5="Normal",'Control Room'!$B$7+'Control Room'!$D$7*SQRT(-2*LN(MAX(0.000000000001,V555/2147483647)))*COS(2*PI()*W555/2147483647),'Control Room'!$B$8+('Control Room'!$D$8-'Control Room'!$B$8)*V555/2147483647)</x:f>
        <x:v>961.2105538525213</x:v>
      </x:c>
      <x:c r="Y555" s="17" t="n">
        <x:f>IF('Control Room'!$B$5="Normal",'Control Room'!$B$7,('Control Room'!$B$8+'Control Room'!$D$8)/2)+'Control Room'!$B$9*(Y554-IF('Control Room'!$B$5="Normal",'Control Room'!$B$7,('Control Room'!$B$8+'Control Room'!$D$8)/2))+SQRT(1-'Control Room'!$B$9^2)*(X555-IF('Control Room'!$B$5="Normal",'Control Room'!$B$7,('Control Room'!$B$8+'Control Room'!$D$8)/2))</x:f>
        <x:v>1076.6708159041036</x:v>
      </x:c>
      <x:c r="Z555" s="17" t="n">
        <x:f>IF(AND($A555&gt;='Control Room'!$A$13,$A555&lt;'Control Room'!$A$13+'Control Room'!$B$13,'Process'!BO2=1),1+('Control Room'!$C$13-1)*EXP(-0.5*(($A555-'Control Room'!$A$13-('Control Room'!$B$13-1)/2)/MAX(0.5,'Control Room'!$B$13/4))^2),1)*IF(AND($A555&gt;='Control Room'!$A$14,$A555&lt;'Control Room'!$A$14+'Control Room'!$B$14,'Process'!BO3=1),1+('Control Room'!$C$14-1)*EXP(-0.5*(($A555-'Control Room'!$A$14-('Control Room'!$B$14-1)/2)/MAX(0.5,'Control Room'!$B$14/4))^2),1)*IF(AND($A555&gt;='Control Room'!$A$15,$A555&lt;'Control Room'!$A$15+'Control Room'!$B$15,'Process'!BO4=1),1+('Control Room'!$C$15-1)*EXP(-0.5*(($A555-'Control Room'!$A$15-('Control Room'!$B$15-1)/2)/MAX(0.5,'Control Room'!$B$15/4))^2),1)*IF(AND($A555&gt;='Control Room'!$A$16,$A555&lt;'Control Room'!$A$16+'Control Room'!$B$16,'Process'!BO5=1),1+('Control Room'!$C$16-1)*EXP(-0.5*(($A555-'Control Room'!$A$16-('Control Room'!$B$16-1)/2)/MAX(0.5,'Control Room'!$B$16/4))^2),1)</x:f>
        <x:v>1</x:v>
      </x:c>
      <x:c r="AA555" s="9" t="n">
        <x:f>MOD(AB554*16807,2147483647)</x:f>
        <x:v>166337520</x:v>
      </x:c>
      <x:c r="AB555" s="9" t="n">
        <x:f>MOD(AA555*16807,2147483647)</x:f>
        <x:v>1758473893</x:v>
      </x:c>
      <x:c r="AC555" s="17" t="n">
        <x:f>IF('Control Room'!$B$5="Normal",'Control Room'!$B$7+'Control Room'!$D$7*SQRT(-2*LN(MAX(0.000000000001,AA555/2147483647)))*COS(2*PI()*AB555/2147483647),'Control Room'!$B$8+('Control Room'!$D$8-'Control Room'!$B$8)*AA555/2147483647)</x:f>
        <x:v>1085.3458120083858</x:v>
      </x:c>
      <x:c r="AD555" s="17" t="n">
        <x:f>IF('Control Room'!$B$5="Normal",'Control Room'!$B$7,('Control Room'!$B$8+'Control Room'!$D$8)/2)+'Control Room'!$B$9*(AD554-IF('Control Room'!$B$5="Normal",'Control Room'!$B$7,('Control Room'!$B$8+'Control Room'!$D$8)/2))+SQRT(1-'Control Room'!$B$9^2)*(AC555-IF('Control Room'!$B$5="Normal",'Control Room'!$B$7,('Control Room'!$B$8+'Control Room'!$D$8)/2))</x:f>
        <x:v>1034.7914205351503</x:v>
      </x:c>
      <x:c r="AE555" s="17" t="n">
        <x:f>IF(AND($A555&gt;='Control Room'!$A$13,$A555&lt;'Control Room'!$A$13+'Control Room'!$B$13,'Process'!BP2=1),1+('Control Room'!$C$13-1)*EXP(-0.5*(($A555-'Control Room'!$A$13-('Control Room'!$B$13-1)/2)/MAX(0.5,'Control Room'!$B$13/4))^2),1)*IF(AND($A555&gt;='Control Room'!$A$14,$A555&lt;'Control Room'!$A$14+'Control Room'!$B$14,'Process'!BP3=1),1+('Control Room'!$C$14-1)*EXP(-0.5*(($A555-'Control Room'!$A$14-('Control Room'!$B$14-1)/2)/MAX(0.5,'Control Room'!$B$14/4))^2),1)*IF(AND($A555&gt;='Control Room'!$A$15,$A555&lt;'Control Room'!$A$15+'Control Room'!$B$15,'Process'!BP4=1),1+('Control Room'!$C$15-1)*EXP(-0.5*(($A555-'Control Room'!$A$15-('Control Room'!$B$15-1)/2)/MAX(0.5,'Control Room'!$B$15/4))^2),1)*IF(AND($A555&gt;='Control Room'!$A$16,$A555&lt;'Control Room'!$A$16+'Control Room'!$B$16,'Process'!BP5=1),1+('Control Room'!$C$16-1)*EXP(-0.5*(($A555-'Control Room'!$A$16-('Control Room'!$B$16-1)/2)/MAX(0.5,'Control Room'!$B$16/4))^2),1)</x:f>
        <x:v>1</x:v>
      </x:c>
      <x:c r="AF555" s="9" t="n">
        <x:f>MOD(AG554*16807,2147483647)</x:f>
        <x:v>763735543</x:v>
      </x:c>
      <x:c r="AG555" s="9" t="n">
        <x:f>MOD(AF555*16807,2147483647)</x:f>
        <x:v>593513082</x:v>
      </x:c>
      <x:c r="AH555" s="17" t="n">
        <x:f>IF('Control Room'!$B$5="Normal",'Control Room'!$B$7+'Control Room'!$D$7*SQRT(-2*LN(MAX(0.000000000001,AF555/2147483647)))*COS(2*PI()*AG555/2147483647),'Control Room'!$B$8+('Control Room'!$D$8-'Control Room'!$B$8)*AF555/2147483647)</x:f>
        <x:v>978.6507683439486</x:v>
      </x:c>
      <x:c r="AI555" s="17" t="n">
        <x:f>IF('Control Room'!$B$5="Normal",'Control Room'!$B$7,('Control Room'!$B$8+'Control Room'!$D$8)/2)+'Control Room'!$B$9*(AI554-IF('Control Room'!$B$5="Normal",'Control Room'!$B$7,('Control Room'!$B$8+'Control Room'!$D$8)/2))+SQRT(1-'Control Room'!$B$9^2)*(AH555-IF('Control Room'!$B$5="Normal",'Control Room'!$B$7,('Control Room'!$B$8+'Control Room'!$D$8)/2))</x:f>
        <x:v>1143.9987924191907</x:v>
      </x:c>
      <x:c r="AJ555" s="17" t="n">
        <x:f>IF(AND($A555&gt;='Control Room'!$A$13,$A555&lt;'Control Room'!$A$13+'Control Room'!$B$13,'Process'!BQ2=1),1+('Control Room'!$C$13-1)*EXP(-0.5*(($A555-'Control Room'!$A$13-('Control Room'!$B$13-1)/2)/MAX(0.5,'Control Room'!$B$13/4))^2),1)*IF(AND($A555&gt;='Control Room'!$A$14,$A555&lt;'Control Room'!$A$14+'Control Room'!$B$14,'Process'!BQ3=1),1+('Control Room'!$C$14-1)*EXP(-0.5*(($A555-'Control Room'!$A$14-('Control Room'!$B$14-1)/2)/MAX(0.5,'Control Room'!$B$14/4))^2),1)*IF(AND($A555&gt;='Control Room'!$A$15,$A555&lt;'Control Room'!$A$15+'Control Room'!$B$15,'Process'!BQ4=1),1+('Control Room'!$C$15-1)*EXP(-0.5*(($A555-'Control Room'!$A$15-('Control Room'!$B$15-1)/2)/MAX(0.5,'Control Room'!$B$15/4))^2),1)*IF(AND($A555&gt;='Control Room'!$A$16,$A555&lt;'Control Room'!$A$16+'Control Room'!$B$16,'Process'!BQ5=1),1+('Control Room'!$C$16-1)*EXP(-0.5*(($A555-'Control Room'!$A$16-('Control Room'!$B$16-1)/2)/MAX(0.5,'Control Room'!$B$16/4))^2),1)</x:f>
        <x:v>1</x:v>
      </x:c>
      <x:c r="AK555" s="9" t="n">
        <x:f>MOD(AL554*16807,2147483647)</x:f>
        <x:v>1361133566</x:v>
      </x:c>
      <x:c r="AL555" s="9" t="n">
        <x:f>MOD(AK555*16807,2147483647)</x:f>
        <x:v>1576035918</x:v>
      </x:c>
      <x:c r="AM555" s="17" t="n">
        <x:f>IF('Control Room'!$B$5="Normal",'Control Room'!$B$7+'Control Room'!$D$7*SQRT(-2*LN(MAX(0.000000000001,AK555/2147483647)))*COS(2*PI()*AL555/2147483647),'Control Room'!$B$8+('Control Room'!$D$8-'Control Room'!$B$8)*AK555/2147483647)</x:f>
        <x:v>991.3199176995412</x:v>
      </x:c>
      <x:c r="AN555" s="17" t="n">
        <x:f>IF('Control Room'!$B$5="Normal",'Control Room'!$B$7,('Control Room'!$B$8+'Control Room'!$D$8)/2)+'Control Room'!$B$9*(AN554-IF('Control Room'!$B$5="Normal",'Control Room'!$B$7,('Control Room'!$B$8+'Control Room'!$D$8)/2))+SQRT(1-'Control Room'!$B$9^2)*(AM555-IF('Control Room'!$B$5="Normal",'Control Room'!$B$7,('Control Room'!$B$8+'Control Room'!$D$8)/2))</x:f>
        <x:v>989.2209934242593</x:v>
      </x:c>
      <x:c r="AO555" s="17" t="n">
        <x:f>IF(AND($A555&gt;='Control Room'!$A$13,$A555&lt;'Control Room'!$A$13+'Control Room'!$B$13,'Process'!BR2=1),1+('Control Room'!$C$13-1)*EXP(-0.5*(($A555-'Control Room'!$A$13-('Control Room'!$B$13-1)/2)/MAX(0.5,'Control Room'!$B$13/4))^2),1)*IF(AND($A555&gt;='Control Room'!$A$14,$A555&lt;'Control Room'!$A$14+'Control Room'!$B$14,'Process'!BR3=1),1+('Control Room'!$C$14-1)*EXP(-0.5*(($A555-'Control Room'!$A$14-('Control Room'!$B$14-1)/2)/MAX(0.5,'Control Room'!$B$14/4))^2),1)*IF(AND($A555&gt;='Control Room'!$A$15,$A555&lt;'Control Room'!$A$15+'Control Room'!$B$15,'Process'!BR4=1),1+('Control Room'!$C$15-1)*EXP(-0.5*(($A555-'Control Room'!$A$15-('Control Room'!$B$15-1)/2)/MAX(0.5,'Control Room'!$B$15/4))^2),1)*IF(AND($A555&gt;='Control Room'!$A$16,$A555&lt;'Control Room'!$A$16+'Control Room'!$B$16,'Process'!BR5=1),1+('Control Room'!$C$16-1)*EXP(-0.5*(($A555-'Control Room'!$A$16-('Control Room'!$B$16-1)/2)/MAX(0.5,'Control Room'!$B$16/4))^2),1)</x:f>
        <x:v>1</x:v>
      </x:c>
      <x:c r="AP555" s="9" t="n">
        <x:f>MOD(AQ554*16807,2147483647)</x:f>
        <x:v>1958531589</x:v>
      </x:c>
      <x:c r="AQ555" s="9" t="n">
        <x:f>MOD(AP555*16807,2147483647)</x:f>
        <x:v>411075107</x:v>
      </x:c>
      <x:c r="AR555" s="17" t="n">
        <x:f>IF('Control Room'!$B$5="Normal",'Control Room'!$B$7+'Control Room'!$D$7*SQRT(-2*LN(MAX(0.000000000001,AP555/2147483647)))*COS(2*PI()*AQ555/2147483647),'Control Room'!$B$8+('Control Room'!$D$8-'Control Room'!$B$8)*AP555/2147483647)</x:f>
        <x:v>1013.898168156658</x:v>
      </x:c>
      <x:c r="AS555" s="17" t="n">
        <x:f>IF('Control Room'!$B$5="Normal",'Control Room'!$B$7,('Control Room'!$B$8+'Control Room'!$D$8)/2)+'Control Room'!$B$9*(AS554-IF('Control Room'!$B$5="Normal",'Control Room'!$B$7,('Control Room'!$B$8+'Control Room'!$D$8)/2))+SQRT(1-'Control Room'!$B$9^2)*(AR555-IF('Control Room'!$B$5="Normal",'Control Room'!$B$7,('Control Room'!$B$8+'Control Room'!$D$8)/2))</x:f>
        <x:v>1124.5462619794723</x:v>
      </x:c>
      <x:c r="AT555" s="17" t="n">
        <x:f>IF(AND($A555&gt;='Control Room'!$A$13,$A555&lt;'Control Room'!$A$13+'Control Room'!$B$13,'Process'!BS2=1),1+('Control Room'!$C$13-1)*EXP(-0.5*(($A555-'Control Room'!$A$13-('Control Room'!$B$13-1)/2)/MAX(0.5,'Control Room'!$B$13/4))^2),1)*IF(AND($A555&gt;='Control Room'!$A$14,$A555&lt;'Control Room'!$A$14+'Control Room'!$B$14,'Process'!BS3=1),1+('Control Room'!$C$14-1)*EXP(-0.5*(($A555-'Control Room'!$A$14-('Control Room'!$B$14-1)/2)/MAX(0.5,'Control Room'!$B$14/4))^2),1)*IF(AND($A555&gt;='Control Room'!$A$15,$A555&lt;'Control Room'!$A$15+'Control Room'!$B$15,'Process'!BS4=1),1+('Control Room'!$C$15-1)*EXP(-0.5*(($A555-'Control Room'!$A$15-('Control Room'!$B$15-1)/2)/MAX(0.5,'Control Room'!$B$15/4))^2),1)*IF(AND($A555&gt;='Control Room'!$A$16,$A555&lt;'Control Room'!$A$16+'Control Room'!$B$16,'Process'!BS5=1),1+('Control Room'!$C$16-1)*EXP(-0.5*(($A555-'Control Room'!$A$16-('Control Room'!$B$16-1)/2)/MAX(0.5,'Control Room'!$B$16/4))^2),1)</x:f>
        <x:v>1</x:v>
      </x:c>
      <x:c r="AU555" s="9" t="n">
        <x:f>MOD(AV554*16807,2147483647)</x:f>
        <x:v>408445965</x:v>
      </x:c>
      <x:c r="AV555" s="9" t="n">
        <x:f>MOD(AU555*16807,2147483647)</x:f>
        <x:v>1393597943</x:v>
      </x:c>
      <x:c r="AW555" s="17" t="n">
        <x:f>IF('Control Room'!$B$5="Normal",'Control Room'!$B$7+'Control Room'!$D$7*SQRT(-2*LN(MAX(0.000000000001,AU555/2147483647)))*COS(2*PI()*AV555/2147483647),'Control Room'!$B$8+('Control Room'!$D$8-'Control Room'!$B$8)*AU555/2147483647)</x:f>
        <x:v>902.7417711211915</x:v>
      </x:c>
      <x:c r="AX555" s="17" t="n">
        <x:f>IF('Control Room'!$B$5="Normal",'Control Room'!$B$7,('Control Room'!$B$8+'Control Room'!$D$8)/2)+'Control Room'!$B$9*(AX554-IF('Control Room'!$B$5="Normal",'Control Room'!$B$7,('Control Room'!$B$8+'Control Room'!$D$8)/2))+SQRT(1-'Control Room'!$B$9^2)*(AW555-IF('Control Room'!$B$5="Normal",'Control Room'!$B$7,('Control Room'!$B$8+'Control Room'!$D$8)/2))</x:f>
        <x:v>832.8165046171581</x:v>
      </x:c>
      <x:c r="AY555" s="17" t="n">
        <x:f>IF(AND($A555&gt;='Control Room'!$A$13,$A555&lt;'Control Room'!$A$13+'Control Room'!$B$13,'Process'!BT2=1),1+('Control Room'!$C$13-1)*EXP(-0.5*(($A555-'Control Room'!$A$13-('Control Room'!$B$13-1)/2)/MAX(0.5,'Control Room'!$B$13/4))^2),1)*IF(AND($A555&gt;='Control Room'!$A$14,$A555&lt;'Control Room'!$A$14+'Control Room'!$B$14,'Process'!BT3=1),1+('Control Room'!$C$14-1)*EXP(-0.5*(($A555-'Control Room'!$A$14-('Control Room'!$B$14-1)/2)/MAX(0.5,'Control Room'!$B$14/4))^2),1)*IF(AND($A555&gt;='Control Room'!$A$15,$A555&lt;'Control Room'!$A$15+'Control Room'!$B$15,'Process'!BT4=1),1+('Control Room'!$C$15-1)*EXP(-0.5*(($A555-'Control Room'!$A$15-('Control Room'!$B$15-1)/2)/MAX(0.5,'Control Room'!$B$15/4))^2),1)*IF(AND($A555&gt;='Control Room'!$A$16,$A555&lt;'Control Room'!$A$16+'Control Room'!$B$16,'Process'!BT5=1),1+('Control Room'!$C$16-1)*EXP(-0.5*(($A555-'Control Room'!$A$16-('Control Room'!$B$16-1)/2)/MAX(0.5,'Control Room'!$B$16/4))^2),1)</x:f>
        <x:v>1</x:v>
      </x:c>
      <x:c r="AZ555" s="9" t="n">
        <x:f>MOD(BA554*16807,2147483647)</x:f>
        <x:v>1005843988</x:v>
      </x:c>
      <x:c r="BA555" s="9" t="n">
        <x:f>MOD(AZ555*16807,2147483647)</x:f>
        <x:v>228637132</x:v>
      </x:c>
      <x:c r="BB555" s="17" t="n">
        <x:f>IF('Control Room'!$B$5="Normal",'Control Room'!$B$7+'Control Room'!$D$7*SQRT(-2*LN(MAX(0.000000000001,AZ555/2147483647)))*COS(2*PI()*BA555/2147483647),'Control Room'!$B$8+('Control Room'!$D$8-'Control Room'!$B$8)*AZ555/2147483647)</x:f>
        <x:v>1086.9567208731742</x:v>
      </x:c>
      <x:c r="BC555" s="17" t="n">
        <x:f>IF('Control Room'!$B$5="Normal",'Control Room'!$B$7,('Control Room'!$B$8+'Control Room'!$D$8)/2)+'Control Room'!$B$9*(BC554-IF('Control Room'!$B$5="Normal",'Control Room'!$B$7,('Control Room'!$B$8+'Control Room'!$D$8)/2))+SQRT(1-'Control Room'!$B$9^2)*(BB555-IF('Control Room'!$B$5="Normal",'Control Room'!$B$7,('Control Room'!$B$8+'Control Room'!$D$8)/2))</x:f>
        <x:v>1079.1328428752604</x:v>
      </x:c>
      <x:c r="BD555" s="17" t="n">
        <x:f>IF(AND($A555&gt;='Control Room'!$A$13,$A555&lt;'Control Room'!$A$13+'Control Room'!$B$13,'Process'!BU2=1),1+('Control Room'!$C$13-1)*EXP(-0.5*(($A555-'Control Room'!$A$13-('Control Room'!$B$13-1)/2)/MAX(0.5,'Control Room'!$B$13/4))^2),1)*IF(AND($A555&gt;='Control Room'!$A$14,$A555&lt;'Control Room'!$A$14+'Control Room'!$B$14,'Process'!BU3=1),1+('Control Room'!$C$14-1)*EXP(-0.5*(($A555-'Control Room'!$A$14-('Control Room'!$B$14-1)/2)/MAX(0.5,'Control Room'!$B$14/4))^2),1)*IF(AND($A555&gt;='Control Room'!$A$15,$A555&lt;'Control Room'!$A$15+'Control Room'!$B$15,'Process'!BU4=1),1+('Control Room'!$C$15-1)*EXP(-0.5*(($A555-'Control Room'!$A$15-('Control Room'!$B$15-1)/2)/MAX(0.5,'Control Room'!$B$15/4))^2),1)*IF(AND($A555&gt;='Control Room'!$A$16,$A555&lt;'Control Room'!$A$16+'Control Room'!$B$16,'Process'!BU5=1),1+('Control Room'!$C$16-1)*EXP(-0.5*(($A555-'Control Room'!$A$16-('Control Room'!$B$16-1)/2)/MAX(0.5,'Control Room'!$B$16/4))^2),1)</x:f>
        <x:v>1</x:v>
      </x:c>
      <x:c r="BE555" s="9" t="n">
        <x:f>MOD(BF554*16807,2147483647)</x:f>
        <x:v>1603242011</x:v>
      </x:c>
      <x:c r="BF555" s="9" t="n">
        <x:f>MOD(BE555*16807,2147483647)</x:f>
        <x:v>1211159968</x:v>
      </x:c>
      <x:c r="BG555" s="17" t="n">
        <x:f>IF('Control Room'!$B$5="Normal",'Control Room'!$B$7+'Control Room'!$D$7*SQRT(-2*LN(MAX(0.000000000001,BE555/2147483647)))*COS(2*PI()*BF555/2147483647),'Control Room'!$B$8+('Control Room'!$D$8-'Control Room'!$B$8)*BE555/2147483647)</x:f>
        <x:v>936.677605174541</x:v>
      </x:c>
      <x:c r="BH555" s="17" t="n">
        <x:f>IF('Control Room'!$B$5="Normal",'Control Room'!$B$7,('Control Room'!$B$8+'Control Room'!$D$8)/2)+'Control Room'!$B$9*(BH554-IF('Control Room'!$B$5="Normal",'Control Room'!$B$7,('Control Room'!$B$8+'Control Room'!$D$8)/2))+SQRT(1-'Control Room'!$B$9^2)*(BG555-IF('Control Room'!$B$5="Normal",'Control Room'!$B$7,('Control Room'!$B$8+'Control Room'!$D$8)/2))</x:f>
        <x:v>950.3944135326008</x:v>
      </x:c>
      <x:c r="BI555" s="17" t="n">
        <x:f>IF(AND($A555&gt;='Control Room'!$A$13,$A555&lt;'Control Room'!$A$13+'Control Room'!$B$13,'Process'!BV2=1),1+('Control Room'!$C$13-1)*EXP(-0.5*(($A555-'Control Room'!$A$13-('Control Room'!$B$13-1)/2)/MAX(0.5,'Control Room'!$B$13/4))^2),1)*IF(AND($A555&gt;='Control Room'!$A$14,$A555&lt;'Control Room'!$A$14+'Control Room'!$B$14,'Process'!BV3=1),1+('Control Room'!$C$14-1)*EXP(-0.5*(($A555-'Control Room'!$A$14-('Control Room'!$B$14-1)/2)/MAX(0.5,'Control Room'!$B$14/4))^2),1)*IF(AND($A555&gt;='Control Room'!$A$15,$A555&lt;'Control Room'!$A$15+'Control Room'!$B$15,'Process'!BV4=1),1+('Control Room'!$C$15-1)*EXP(-0.5*(($A555-'Control Room'!$A$15-('Control Room'!$B$15-1)/2)/MAX(0.5,'Control Room'!$B$15/4))^2),1)*IF(AND($A555&gt;='Control Room'!$A$16,$A555&lt;'Control Room'!$A$16+'Control Room'!$B$16,'Process'!BV5=1),1+('Control Room'!$C$16-1)*EXP(-0.5*(($A555-'Control Room'!$A$16-('Control Room'!$B$16-1)/2)/MAX(0.5,'Control Room'!$B$16/4))^2),1)</x:f>
        <x:v>1</x:v>
      </x:c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Z555" t="str">
        <x:f>IF('Data'!A555="","",TEXT('Data'!A555,"mm-dd"))</x:f>
      </x:c>
    </x:row>
    <x:row r="556" ht="21" customHeight="1">
      <x:c r="A556" s="15" t="n">
        <x:f>'Control Room'!$B$1+554</x:f>
        <x:v>73545</x:v>
      </x:c>
      <x:c r="B556" s="9" t="n">
        <x:f>MOD(C555*16807,2147483647)</x:f>
        <x:v>1145506233</x:v>
      </x:c>
      <x:c r="C556" s="9" t="n">
        <x:f>MOD(B556*16807,2147483647)</x:f>
        <x:v>332362676</x:v>
      </x:c>
      <x:c r="D556" s="17" t="n">
        <x:f>IF('Control Room'!$B$5="Normal",'Control Room'!$B$7+'Control Room'!$D$7*SQRT(-2*LN(MAX(0.000000000001,B556/2147483647)))*COS(2*PI()*C556/2147483647),'Control Room'!$B$8+('Control Room'!$D$8-'Control Room'!$B$8)*B556/2147483647)</x:f>
        <x:v>1056.8358025835246</x:v>
      </x:c>
      <x:c r="E556" s="17" t="n">
        <x:f>IF('Control Room'!$B$5="Normal",'Control Room'!$B$7,('Control Room'!$B$8+'Control Room'!$D$8)/2)+'Control Room'!$B$9*(E555-IF('Control Room'!$B$5="Normal",'Control Room'!$B$7,('Control Room'!$B$8+'Control Room'!$D$8)/2))+SQRT(1-'Control Room'!$B$9^2)*(D556-IF('Control Room'!$B$5="Normal",'Control Room'!$B$7,('Control Room'!$B$8+'Control Room'!$D$8)/2))</x:f>
        <x:v>1019.9392666146824</x:v>
      </x:c>
      <x:c r="F556" s="17" t="n">
        <x:f>IF(AND($A556&gt;='Control Room'!$A$13,$A556&lt;'Control Room'!$A$13+'Control Room'!$B$13,'Process'!BK2=1),1+('Control Room'!$C$13-1)*EXP(-0.5*(($A556-'Control Room'!$A$13-('Control Room'!$B$13-1)/2)/MAX(0.5,'Control Room'!$B$13/4))^2),1)*IF(AND($A556&gt;='Control Room'!$A$14,$A556&lt;'Control Room'!$A$14+'Control Room'!$B$14,'Process'!BK3=1),1+('Control Room'!$C$14-1)*EXP(-0.5*(($A556-'Control Room'!$A$14-('Control Room'!$B$14-1)/2)/MAX(0.5,'Control Room'!$B$14/4))^2),1)*IF(AND($A556&gt;='Control Room'!$A$15,$A556&lt;'Control Room'!$A$15+'Control Room'!$B$15,'Process'!BK4=1),1+('Control Room'!$C$15-1)*EXP(-0.5*(($A556-'Control Room'!$A$15-('Control Room'!$B$15-1)/2)/MAX(0.5,'Control Room'!$B$15/4))^2),1)*IF(AND($A556&gt;='Control Room'!$A$16,$A556&lt;'Control Room'!$A$16+'Control Room'!$B$16,'Process'!BK5=1),1+('Control Room'!$C$16-1)*EXP(-0.5*(($A556-'Control Room'!$A$16-('Control Room'!$B$16-1)/2)/MAX(0.5,'Control Room'!$B$16/4))^2),1)</x:f>
        <x:v>1</x:v>
      </x:c>
      <x:c r="G556" s="9" t="n">
        <x:f>MOD(H555*16807,2147483647)</x:f>
        <x:v>257565455</x:v>
      </x:c>
      <x:c r="H556" s="9" t="n">
        <x:f>MOD(G556*16807,2147483647)</x:f>
        <x:v>1723053480</x:v>
      </x:c>
      <x:c r="I556" s="17" t="n">
        <x:f>IF('Control Room'!$B$5="Normal",'Control Room'!$B$7+'Control Room'!$D$7*SQRT(-2*LN(MAX(0.000000000001,G556/2147483647)))*COS(2*PI()*H556/2147483647),'Control Room'!$B$8+('Control Room'!$D$8-'Control Room'!$B$8)*G556/2147483647)</x:f>
        <x:v>1059.8847777342085</x:v>
      </x:c>
      <x:c r="J556" s="17" t="n">
        <x:f>IF('Control Room'!$B$5="Normal",'Control Room'!$B$7,('Control Room'!$B$8+'Control Room'!$D$8)/2)+'Control Room'!$B$9*(J555-IF('Control Room'!$B$5="Normal",'Control Room'!$B$7,('Control Room'!$B$8+'Control Room'!$D$8)/2))+SQRT(1-'Control Room'!$B$9^2)*(I556-IF('Control Room'!$B$5="Normal",'Control Room'!$B$7,('Control Room'!$B$8+'Control Room'!$D$8)/2))</x:f>
        <x:v>1080.2668246211533</x:v>
      </x:c>
      <x:c r="K556" s="17" t="n">
        <x:f>IF(AND($A556&gt;='Control Room'!$A$13,$A556&lt;'Control Room'!$A$13+'Control Room'!$B$13,'Process'!BL2=1),1+('Control Room'!$C$13-1)*EXP(-0.5*(($A556-'Control Room'!$A$13-('Control Room'!$B$13-1)/2)/MAX(0.5,'Control Room'!$B$13/4))^2),1)*IF(AND($A556&gt;='Control Room'!$A$14,$A556&lt;'Control Room'!$A$14+'Control Room'!$B$14,'Process'!BL3=1),1+('Control Room'!$C$14-1)*EXP(-0.5*(($A556-'Control Room'!$A$14-('Control Room'!$B$14-1)/2)/MAX(0.5,'Control Room'!$B$14/4))^2),1)*IF(AND($A556&gt;='Control Room'!$A$15,$A556&lt;'Control Room'!$A$15+'Control Room'!$B$15,'Process'!BL4=1),1+('Control Room'!$C$15-1)*EXP(-0.5*(($A556-'Control Room'!$A$15-('Control Room'!$B$15-1)/2)/MAX(0.5,'Control Room'!$B$15/4))^2),1)*IF(AND($A556&gt;='Control Room'!$A$16,$A556&lt;'Control Room'!$A$16+'Control Room'!$B$16,'Process'!BL5=1),1+('Control Room'!$C$16-1)*EXP(-0.5*(($A556-'Control Room'!$A$16-('Control Room'!$B$16-1)/2)/MAX(0.5,'Control Room'!$B$16/4))^2),1)</x:f>
        <x:v>1</x:v>
      </x:c>
      <x:c r="L556" s="9" t="n">
        <x:f>MOD(M555*16807,2147483647)</x:f>
        <x:v>1517108324</x:v>
      </x:c>
      <x:c r="M556" s="9" t="n">
        <x:f>MOD(L556*16807,2147483647)</x:f>
        <x:v>966260637</x:v>
      </x:c>
      <x:c r="N556" s="17" t="n">
        <x:f>IF('Control Room'!$B$5="Normal",'Control Room'!$B$7+'Control Room'!$D$7*SQRT(-2*LN(MAX(0.000000000001,L556/2147483647)))*COS(2*PI()*M556/2147483647),'Control Room'!$B$8+('Control Room'!$D$8-'Control Room'!$B$8)*L556/2147483647)</x:f>
        <x:v>928.650456981524</x:v>
      </x:c>
      <x:c r="O556" s="17" t="n">
        <x:f>IF('Control Room'!$B$5="Normal",'Control Room'!$B$7,('Control Room'!$B$8+'Control Room'!$D$8)/2)+'Control Room'!$B$9*(O555-IF('Control Room'!$B$5="Normal",'Control Room'!$B$7,('Control Room'!$B$8+'Control Room'!$D$8)/2))+SQRT(1-'Control Room'!$B$9^2)*(N556-IF('Control Room'!$B$5="Normal",'Control Room'!$B$7,('Control Room'!$B$8+'Control Room'!$D$8)/2))</x:f>
        <x:v>864.9770639523805</x:v>
      </x:c>
      <x:c r="P556" s="17" t="n">
        <x:f>IF(AND($A556&gt;='Control Room'!$A$13,$A556&lt;'Control Room'!$A$13+'Control Room'!$B$13,'Process'!BM2=1),1+('Control Room'!$C$13-1)*EXP(-0.5*(($A556-'Control Room'!$A$13-('Control Room'!$B$13-1)/2)/MAX(0.5,'Control Room'!$B$13/4))^2),1)*IF(AND($A556&gt;='Control Room'!$A$14,$A556&lt;'Control Room'!$A$14+'Control Room'!$B$14,'Process'!BM3=1),1+('Control Room'!$C$14-1)*EXP(-0.5*(($A556-'Control Room'!$A$14-('Control Room'!$B$14-1)/2)/MAX(0.5,'Control Room'!$B$14/4))^2),1)*IF(AND($A556&gt;='Control Room'!$A$15,$A556&lt;'Control Room'!$A$15+'Control Room'!$B$15,'Process'!BM4=1),1+('Control Room'!$C$15-1)*EXP(-0.5*(($A556-'Control Room'!$A$15-('Control Room'!$B$15-1)/2)/MAX(0.5,'Control Room'!$B$15/4))^2),1)*IF(AND($A556&gt;='Control Room'!$A$16,$A556&lt;'Control Room'!$A$16+'Control Room'!$B$16,'Process'!BM5=1),1+('Control Room'!$C$16-1)*EXP(-0.5*(($A556-'Control Room'!$A$16-('Control Room'!$B$16-1)/2)/MAX(0.5,'Control Room'!$B$16/4))^2),1)</x:f>
        <x:v>1</x:v>
      </x:c>
      <x:c r="Q556" s="9" t="n">
        <x:f>MOD(R555*16807,2147483647)</x:f>
        <x:v>629167546</x:v>
      </x:c>
      <x:c r="R556" s="9" t="n">
        <x:f>MOD(Q556*16807,2147483647)</x:f>
        <x:v>209467794</x:v>
      </x:c>
      <x:c r="S556" s="17" t="n">
        <x:f>IF('Control Room'!$B$5="Normal",'Control Room'!$B$7+'Control Room'!$D$7*SQRT(-2*LN(MAX(0.000000000001,Q556/2147483647)))*COS(2*PI()*R556/2147483647),'Control Room'!$B$8+('Control Room'!$D$8-'Control Room'!$B$8)*Q556/2147483647)</x:f>
        <x:v>1115.3585078457286</x:v>
      </x:c>
      <x:c r="T556" s="17" t="n">
        <x:f>IF('Control Room'!$B$5="Normal",'Control Room'!$B$7,('Control Room'!$B$8+'Control Room'!$D$8)/2)+'Control Room'!$B$9*(T555-IF('Control Room'!$B$5="Normal",'Control Room'!$B$7,('Control Room'!$B$8+'Control Room'!$D$8)/2))+SQRT(1-'Control Room'!$B$9^2)*(S556-IF('Control Room'!$B$5="Normal",'Control Room'!$B$7,('Control Room'!$B$8+'Control Room'!$D$8)/2))</x:f>
        <x:v>1035.4831065536862</x:v>
      </x:c>
      <x:c r="U556" s="17" t="n">
        <x:f>IF(AND($A556&gt;='Control Room'!$A$13,$A556&lt;'Control Room'!$A$13+'Control Room'!$B$13,'Process'!BN2=1),1+('Control Room'!$C$13-1)*EXP(-0.5*(($A556-'Control Room'!$A$13-('Control Room'!$B$13-1)/2)/MAX(0.5,'Control Room'!$B$13/4))^2),1)*IF(AND($A556&gt;='Control Room'!$A$14,$A556&lt;'Control Room'!$A$14+'Control Room'!$B$14,'Process'!BN3=1),1+('Control Room'!$C$14-1)*EXP(-0.5*(($A556-'Control Room'!$A$14-('Control Room'!$B$14-1)/2)/MAX(0.5,'Control Room'!$B$14/4))^2),1)*IF(AND($A556&gt;='Control Room'!$A$15,$A556&lt;'Control Room'!$A$15+'Control Room'!$B$15,'Process'!BN4=1),1+('Control Room'!$C$15-1)*EXP(-0.5*(($A556-'Control Room'!$A$15-('Control Room'!$B$15-1)/2)/MAX(0.5,'Control Room'!$B$15/4))^2),1)*IF(AND($A556&gt;='Control Room'!$A$16,$A556&lt;'Control Room'!$A$16+'Control Room'!$B$16,'Process'!BN5=1),1+('Control Room'!$C$16-1)*EXP(-0.5*(($A556-'Control Room'!$A$16-('Control Room'!$B$16-1)/2)/MAX(0.5,'Control Room'!$B$16/4))^2),1)</x:f>
        <x:v>1</x:v>
      </x:c>
      <x:c r="V556" s="9" t="n">
        <x:f>MOD(W555*16807,2147483647)</x:f>
        <x:v>1888710415</x:v>
      </x:c>
      <x:c r="W556" s="9" t="n">
        <x:f>MOD(V556*16807,2147483647)</x:f>
        <x:v>1600158598</x:v>
      </x:c>
      <x:c r="X556" s="17" t="n">
        <x:f>IF('Control Room'!$B$5="Normal",'Control Room'!$B$7+'Control Room'!$D$7*SQRT(-2*LN(MAX(0.000000000001,V556/2147483647)))*COS(2*PI()*W556/2147483647),'Control Room'!$B$8+('Control Room'!$D$8-'Control Room'!$B$8)*V556/2147483647)</x:f>
        <x:v>998.6051911337765</x:v>
      </x:c>
      <x:c r="Y556" s="17" t="n">
        <x:f>IF('Control Room'!$B$5="Normal",'Control Room'!$B$7,('Control Room'!$B$8+'Control Room'!$D$8)/2)+'Control Room'!$B$9*(Y555-IF('Control Room'!$B$5="Normal",'Control Room'!$B$7,('Control Room'!$B$8+'Control Room'!$D$8)/2))+SQRT(1-'Control Room'!$B$9^2)*(X556-IF('Control Room'!$B$5="Normal",'Control Room'!$B$7,('Control Room'!$B$8+'Control Room'!$D$8)/2))</x:f>
        <x:v>1058.9303935909309</x:v>
      </x:c>
      <x:c r="Z556" s="17" t="n">
        <x:f>IF(AND($A556&gt;='Control Room'!$A$13,$A556&lt;'Control Room'!$A$13+'Control Room'!$B$13,'Process'!BO2=1),1+('Control Room'!$C$13-1)*EXP(-0.5*(($A556-'Control Room'!$A$13-('Control Room'!$B$13-1)/2)/MAX(0.5,'Control Room'!$B$13/4))^2),1)*IF(AND($A556&gt;='Control Room'!$A$14,$A556&lt;'Control Room'!$A$14+'Control Room'!$B$14,'Process'!BO3=1),1+('Control Room'!$C$14-1)*EXP(-0.5*(($A556-'Control Room'!$A$14-('Control Room'!$B$14-1)/2)/MAX(0.5,'Control Room'!$B$14/4))^2),1)*IF(AND($A556&gt;='Control Room'!$A$15,$A556&lt;'Control Room'!$A$15+'Control Room'!$B$15,'Process'!BO4=1),1+('Control Room'!$C$15-1)*EXP(-0.5*(($A556-'Control Room'!$A$15-('Control Room'!$B$15-1)/2)/MAX(0.5,'Control Room'!$B$15/4))^2),1)*IF(AND($A556&gt;='Control Room'!$A$16,$A556&lt;'Control Room'!$A$16+'Control Room'!$B$16,'Process'!BO5=1),1+('Control Room'!$C$16-1)*EXP(-0.5*(($A556-'Control Room'!$A$16-('Control Room'!$B$16-1)/2)/MAX(0.5,'Control Room'!$B$16/4))^2),1)</x:f>
        <x:v>1</x:v>
      </x:c>
      <x:c r="AA556" s="9" t="n">
        <x:f>MOD(AB555*16807,2147483647)</x:f>
        <x:v>1000769637</x:v>
      </x:c>
      <x:c r="AB556" s="9" t="n">
        <x:f>MOD(AA556*16807,2147483647)</x:f>
        <x:v>843365755</x:v>
      </x:c>
      <x:c r="AC556" s="17" t="n">
        <x:f>IF('Control Room'!$B$5="Normal",'Control Room'!$B$7+'Control Room'!$D$7*SQRT(-2*LN(MAX(0.000000000001,AA556/2147483647)))*COS(2*PI()*AB556/2147483647),'Control Room'!$B$8+('Control Room'!$D$8-'Control Room'!$B$8)*AA556/2147483647)</x:f>
        <x:v>913.1058885939377</x:v>
      </x:c>
      <x:c r="AD556" s="17" t="n">
        <x:f>IF('Control Room'!$B$5="Normal",'Control Room'!$B$7,('Control Room'!$B$8+'Control Room'!$D$8)/2)+'Control Room'!$B$9*(AD555-IF('Control Room'!$B$5="Normal",'Control Room'!$B$7,('Control Room'!$B$8+'Control Room'!$D$8)/2))+SQRT(1-'Control Room'!$B$9^2)*(AC556-IF('Control Room'!$B$5="Normal",'Control Room'!$B$7,('Control Room'!$B$8+'Control Room'!$D$8)/2))</x:f>
        <x:v>972.760753222134</x:v>
      </x:c>
      <x:c r="AE556" s="17" t="n">
        <x:f>IF(AND($A556&gt;='Control Room'!$A$13,$A556&lt;'Control Room'!$A$13+'Control Room'!$B$13,'Process'!BP2=1),1+('Control Room'!$C$13-1)*EXP(-0.5*(($A556-'Control Room'!$A$13-('Control Room'!$B$13-1)/2)/MAX(0.5,'Control Room'!$B$13/4))^2),1)*IF(AND($A556&gt;='Control Room'!$A$14,$A556&lt;'Control Room'!$A$14+'Control Room'!$B$14,'Process'!BP3=1),1+('Control Room'!$C$14-1)*EXP(-0.5*(($A556-'Control Room'!$A$14-('Control Room'!$B$14-1)/2)/MAX(0.5,'Control Room'!$B$14/4))^2),1)*IF(AND($A556&gt;='Control Room'!$A$15,$A556&lt;'Control Room'!$A$15+'Control Room'!$B$15,'Process'!BP4=1),1+('Control Room'!$C$15-1)*EXP(-0.5*(($A556-'Control Room'!$A$15-('Control Room'!$B$15-1)/2)/MAX(0.5,'Control Room'!$B$15/4))^2),1)*IF(AND($A556&gt;='Control Room'!$A$16,$A556&lt;'Control Room'!$A$16+'Control Room'!$B$16,'Process'!BP5=1),1+('Control Room'!$C$16-1)*EXP(-0.5*(($A556-'Control Room'!$A$16-('Control Room'!$B$16-1)/2)/MAX(0.5,'Control Room'!$B$16/4))^2),1)</x:f>
        <x:v>1</x:v>
      </x:c>
      <x:c r="AF556" s="9" t="n">
        <x:f>MOD(AG555*16807,2147483647)</x:f>
        <x:v>112828859</x:v>
      </x:c>
      <x:c r="AG556" s="9" t="n">
        <x:f>MOD(AF556*16807,2147483647)</x:f>
        <x:v>86572912</x:v>
      </x:c>
      <x:c r="AH556" s="17" t="n">
        <x:f>IF('Control Room'!$B$5="Normal",'Control Room'!$B$7+'Control Room'!$D$7*SQRT(-2*LN(MAX(0.000000000001,AF556/2147483647)))*COS(2*PI()*AG556/2147483647),'Control Room'!$B$8+('Control Room'!$D$8-'Control Room'!$B$8)*AF556/2147483647)</x:f>
        <x:v>1211.4966045788467</x:v>
      </x:c>
      <x:c r="AI556" s="17" t="n">
        <x:f>IF('Control Room'!$B$5="Normal",'Control Room'!$B$7,('Control Room'!$B$8+'Control Room'!$D$8)/2)+'Control Room'!$B$9*(AI555-IF('Control Room'!$B$5="Normal",'Control Room'!$B$7,('Control Room'!$B$8+'Control Room'!$D$8)/2))+SQRT(1-'Control Room'!$B$9^2)*(AH556-IF('Control Room'!$B$5="Normal",'Control Room'!$B$7,('Control Room'!$B$8+'Control Room'!$D$8)/2))</x:f>
        <x:v>1244.6693004889607</x:v>
      </x:c>
      <x:c r="AJ556" s="17" t="n">
        <x:f>IF(AND($A556&gt;='Control Room'!$A$13,$A556&lt;'Control Room'!$A$13+'Control Room'!$B$13,'Process'!BQ2=1),1+('Control Room'!$C$13-1)*EXP(-0.5*(($A556-'Control Room'!$A$13-('Control Room'!$B$13-1)/2)/MAX(0.5,'Control Room'!$B$13/4))^2),1)*IF(AND($A556&gt;='Control Room'!$A$14,$A556&lt;'Control Room'!$A$14+'Control Room'!$B$14,'Process'!BQ3=1),1+('Control Room'!$C$14-1)*EXP(-0.5*(($A556-'Control Room'!$A$14-('Control Room'!$B$14-1)/2)/MAX(0.5,'Control Room'!$B$14/4))^2),1)*IF(AND($A556&gt;='Control Room'!$A$15,$A556&lt;'Control Room'!$A$15+'Control Room'!$B$15,'Process'!BQ4=1),1+('Control Room'!$C$15-1)*EXP(-0.5*(($A556-'Control Room'!$A$15-('Control Room'!$B$15-1)/2)/MAX(0.5,'Control Room'!$B$15/4))^2),1)*IF(AND($A556&gt;='Control Room'!$A$16,$A556&lt;'Control Room'!$A$16+'Control Room'!$B$16,'Process'!BQ5=1),1+('Control Room'!$C$16-1)*EXP(-0.5*(($A556-'Control Room'!$A$16-('Control Room'!$B$16-1)/2)/MAX(0.5,'Control Room'!$B$16/4))^2),1)</x:f>
        <x:v>1</x:v>
      </x:c>
      <x:c r="AK556" s="9" t="n">
        <x:f>MOD(AL555*16807,2147483647)</x:f>
        <x:v>1372371728</x:v>
      </x:c>
      <x:c r="AL556" s="9" t="n">
        <x:f>MOD(AK556*16807,2147483647)</x:f>
        <x:v>1477263716</x:v>
      </x:c>
      <x:c r="AM556" s="17" t="n">
        <x:f>IF('Control Room'!$B$5="Normal",'Control Room'!$B$7+'Control Room'!$D$7*SQRT(-2*LN(MAX(0.000000000001,AK556/2147483647)))*COS(2*PI()*AL556/2147483647),'Control Room'!$B$8+('Control Room'!$D$8-'Control Room'!$B$8)*AK556/2147483647)</x:f>
        <x:v>967.6075724628829</x:v>
      </x:c>
      <x:c r="AN556" s="17" t="n">
        <x:f>IF('Control Room'!$B$5="Normal",'Control Room'!$B$7,('Control Room'!$B$8+'Control Room'!$D$8)/2)+'Control Room'!$B$9*(AN555-IF('Control Room'!$B$5="Normal",'Control Room'!$B$7,('Control Room'!$B$8+'Control Room'!$D$8)/2))+SQRT(1-'Control Room'!$B$9^2)*(AM556-IF('Control Room'!$B$5="Normal",'Control Room'!$B$7,('Control Room'!$B$8+'Control Room'!$D$8)/2))</x:f>
        <x:v>971.3218573131421</x:v>
      </x:c>
      <x:c r="AO556" s="17" t="n">
        <x:f>IF(AND($A556&gt;='Control Room'!$A$13,$A556&lt;'Control Room'!$A$13+'Control Room'!$B$13,'Process'!BR2=1),1+('Control Room'!$C$13-1)*EXP(-0.5*(($A556-'Control Room'!$A$13-('Control Room'!$B$13-1)/2)/MAX(0.5,'Control Room'!$B$13/4))^2),1)*IF(AND($A556&gt;='Control Room'!$A$14,$A556&lt;'Control Room'!$A$14+'Control Room'!$B$14,'Process'!BR3=1),1+('Control Room'!$C$14-1)*EXP(-0.5*(($A556-'Control Room'!$A$14-('Control Room'!$B$14-1)/2)/MAX(0.5,'Control Room'!$B$14/4))^2),1)*IF(AND($A556&gt;='Control Room'!$A$15,$A556&lt;'Control Room'!$A$15+'Control Room'!$B$15,'Process'!BR4=1),1+('Control Room'!$C$15-1)*EXP(-0.5*(($A556-'Control Room'!$A$15-('Control Room'!$B$15-1)/2)/MAX(0.5,'Control Room'!$B$15/4))^2),1)*IF(AND($A556&gt;='Control Room'!$A$16,$A556&lt;'Control Room'!$A$16+'Control Room'!$B$16,'Process'!BR5=1),1+('Control Room'!$C$16-1)*EXP(-0.5*(($A556-'Control Room'!$A$16-('Control Room'!$B$16-1)/2)/MAX(0.5,'Control Room'!$B$16/4))^2),1)</x:f>
        <x:v>1</x:v>
      </x:c>
      <x:c r="AP556" s="9" t="n">
        <x:f>MOD(AQ555*16807,2147483647)</x:f>
        <x:v>484430950</x:v>
      </x:c>
      <x:c r="AQ556" s="9" t="n">
        <x:f>MOD(AP556*16807,2147483647)</x:f>
        <x:v>720470873</x:v>
      </x:c>
      <x:c r="AR556" s="17" t="n">
        <x:f>IF('Control Room'!$B$5="Normal",'Control Room'!$B$7+'Control Room'!$D$7*SQRT(-2*LN(MAX(0.000000000001,AP556/2147483647)))*COS(2*PI()*AQ556/2147483647),'Control Room'!$B$8+('Control Room'!$D$8-'Control Room'!$B$8)*AP556/2147483647)</x:f>
        <x:v>920.5220025747129</x:v>
      </x:c>
      <x:c r="AS556" s="17" t="n">
        <x:f>IF('Control Room'!$B$5="Normal",'Control Room'!$B$7,('Control Room'!$B$8+'Control Room'!$D$8)/2)+'Control Room'!$B$9*(AS555-IF('Control Room'!$B$5="Normal",'Control Room'!$B$7,('Control Room'!$B$8+'Control Room'!$D$8)/2))+SQRT(1-'Control Room'!$B$9^2)*(AR556-IF('Control Room'!$B$5="Normal",'Control Room'!$B$7,('Control Room'!$B$8+'Control Room'!$D$8)/2))</x:f>
        <x:v>1047.4103817505213</x:v>
      </x:c>
      <x:c r="AT556" s="17" t="n">
        <x:f>IF(AND($A556&gt;='Control Room'!$A$13,$A556&lt;'Control Room'!$A$13+'Control Room'!$B$13,'Process'!BS2=1),1+('Control Room'!$C$13-1)*EXP(-0.5*(($A556-'Control Room'!$A$13-('Control Room'!$B$13-1)/2)/MAX(0.5,'Control Room'!$B$13/4))^2),1)*IF(AND($A556&gt;='Control Room'!$A$14,$A556&lt;'Control Room'!$A$14+'Control Room'!$B$14,'Process'!BS3=1),1+('Control Room'!$C$14-1)*EXP(-0.5*(($A556-'Control Room'!$A$14-('Control Room'!$B$14-1)/2)/MAX(0.5,'Control Room'!$B$14/4))^2),1)*IF(AND($A556&gt;='Control Room'!$A$15,$A556&lt;'Control Room'!$A$15+'Control Room'!$B$15,'Process'!BS4=1),1+('Control Room'!$C$15-1)*EXP(-0.5*(($A556-'Control Room'!$A$15-('Control Room'!$B$15-1)/2)/MAX(0.5,'Control Room'!$B$15/4))^2),1)*IF(AND($A556&gt;='Control Room'!$A$16,$A556&lt;'Control Room'!$A$16+'Control Room'!$B$16,'Process'!BS5=1),1+('Control Room'!$C$16-1)*EXP(-0.5*(($A556-'Control Room'!$A$16-('Control Room'!$B$16-1)/2)/MAX(0.5,'Control Room'!$B$16/4))^2),1)</x:f>
        <x:v>1</x:v>
      </x:c>
      <x:c r="AU556" s="9" t="n">
        <x:f>MOD(AV555*16807,2147483647)</x:f>
        <x:v>1743973819</x:v>
      </x:c>
      <x:c r="AV556" s="9" t="n">
        <x:f>MOD(AU556*16807,2147483647)</x:f>
        <x:v>2111161677</x:v>
      </x:c>
      <x:c r="AW556" s="17" t="n">
        <x:f>IF('Control Room'!$B$5="Normal",'Control Room'!$B$7+'Control Room'!$D$7*SQRT(-2*LN(MAX(0.000000000001,AU556/2147483647)))*COS(2*PI()*AV556/2147483647),'Control Room'!$B$8+('Control Room'!$D$8-'Control Room'!$B$8)*AU556/2147483647)</x:f>
        <x:v>1057.7388693273174</x:v>
      </x:c>
      <x:c r="AX556" s="17" t="n">
        <x:f>IF('Control Room'!$B$5="Normal",'Control Room'!$B$7,('Control Room'!$B$8+'Control Room'!$D$8)/2)+'Control Room'!$B$9*(AX555-IF('Control Room'!$B$5="Normal",'Control Room'!$B$7,('Control Room'!$B$8+'Control Room'!$D$8)/2))+SQRT(1-'Control Room'!$B$9^2)*(AW556-IF('Control Room'!$B$5="Normal",'Control Room'!$B$7,('Control Room'!$B$8+'Control Room'!$D$8)/2))</x:f>
        <x:v>905.728675181387</x:v>
      </x:c>
      <x:c r="AY556" s="17" t="n">
        <x:f>IF(AND($A556&gt;='Control Room'!$A$13,$A556&lt;'Control Room'!$A$13+'Control Room'!$B$13,'Process'!BT2=1),1+('Control Room'!$C$13-1)*EXP(-0.5*(($A556-'Control Room'!$A$13-('Control Room'!$B$13-1)/2)/MAX(0.5,'Control Room'!$B$13/4))^2),1)*IF(AND($A556&gt;='Control Room'!$A$14,$A556&lt;'Control Room'!$A$14+'Control Room'!$B$14,'Process'!BT3=1),1+('Control Room'!$C$14-1)*EXP(-0.5*(($A556-'Control Room'!$A$14-('Control Room'!$B$14-1)/2)/MAX(0.5,'Control Room'!$B$14/4))^2),1)*IF(AND($A556&gt;='Control Room'!$A$15,$A556&lt;'Control Room'!$A$15+'Control Room'!$B$15,'Process'!BT4=1),1+('Control Room'!$C$15-1)*EXP(-0.5*(($A556-'Control Room'!$A$15-('Control Room'!$B$15-1)/2)/MAX(0.5,'Control Room'!$B$15/4))^2),1)*IF(AND($A556&gt;='Control Room'!$A$16,$A556&lt;'Control Room'!$A$16+'Control Room'!$B$16,'Process'!BT5=1),1+('Control Room'!$C$16-1)*EXP(-0.5*(($A556-'Control Room'!$A$16-('Control Room'!$B$16-1)/2)/MAX(0.5,'Control Room'!$B$16/4))^2),1)</x:f>
        <x:v>1</x:v>
      </x:c>
      <x:c r="AZ556" s="9" t="n">
        <x:f>MOD(BA555*16807,2147483647)</x:f>
        <x:v>856033041</x:v>
      </x:c>
      <x:c r="BA556" s="9" t="n">
        <x:f>MOD(AZ556*16807,2147483647)</x:f>
        <x:v>1354368834</x:v>
      </x:c>
      <x:c r="BB556" s="17" t="n">
        <x:f>IF('Control Room'!$B$5="Normal",'Control Room'!$B$7+'Control Room'!$D$7*SQRT(-2*LN(MAX(0.000000000001,AZ556/2147483647)))*COS(2*PI()*BA556/2147483647),'Control Room'!$B$8+('Control Room'!$D$8-'Control Room'!$B$8)*AZ556/2147483647)</x:f>
        <x:v>916.820164639709</x:v>
      </x:c>
      <x:c r="BC556" s="17" t="n">
        <x:f>IF('Control Room'!$B$5="Normal",'Control Room'!$B$7,('Control Room'!$B$8+'Control Room'!$D$8)/2)+'Control Room'!$B$9*(BC555-IF('Control Room'!$B$5="Normal",'Control Room'!$B$7,('Control Room'!$B$8+'Control Room'!$D$8)/2))+SQRT(1-'Control Room'!$B$9^2)*(BB556-IF('Control Room'!$B$5="Normal",'Control Room'!$B$7,('Control Room'!$B$8+'Control Room'!$D$8)/2))</x:f>
        <x:v>1009.6713805057826</x:v>
      </x:c>
      <x:c r="BD556" s="17" t="n">
        <x:f>IF(AND($A556&gt;='Control Room'!$A$13,$A556&lt;'Control Room'!$A$13+'Control Room'!$B$13,'Process'!BU2=1),1+('Control Room'!$C$13-1)*EXP(-0.5*(($A556-'Control Room'!$A$13-('Control Room'!$B$13-1)/2)/MAX(0.5,'Control Room'!$B$13/4))^2),1)*IF(AND($A556&gt;='Control Room'!$A$14,$A556&lt;'Control Room'!$A$14+'Control Room'!$B$14,'Process'!BU3=1),1+('Control Room'!$C$14-1)*EXP(-0.5*(($A556-'Control Room'!$A$14-('Control Room'!$B$14-1)/2)/MAX(0.5,'Control Room'!$B$14/4))^2),1)*IF(AND($A556&gt;='Control Room'!$A$15,$A556&lt;'Control Room'!$A$15+'Control Room'!$B$15,'Process'!BU4=1),1+('Control Room'!$C$15-1)*EXP(-0.5*(($A556-'Control Room'!$A$15-('Control Room'!$B$15-1)/2)/MAX(0.5,'Control Room'!$B$15/4))^2),1)*IF(AND($A556&gt;='Control Room'!$A$16,$A556&lt;'Control Room'!$A$16+'Control Room'!$B$16,'Process'!BU5=1),1+('Control Room'!$C$16-1)*EXP(-0.5*(($A556-'Control Room'!$A$16-('Control Room'!$B$16-1)/2)/MAX(0.5,'Control Room'!$B$16/4))^2),1)</x:f>
        <x:v>1</x:v>
      </x:c>
      <x:c r="BE556" s="9" t="n">
        <x:f>MOD(BF555*16807,2147483647)</x:f>
        <x:v>2115575910</x:v>
      </x:c>
      <x:c r="BF556" s="9" t="n">
        <x:f>MOD(BE556*16807,2147483647)</x:f>
        <x:v>597575991</x:v>
      </x:c>
      <x:c r="BG556" s="17" t="n">
        <x:f>IF('Control Room'!$B$5="Normal",'Control Room'!$B$7+'Control Room'!$D$7*SQRT(-2*LN(MAX(0.000000000001,BE556/2147483647)))*COS(2*PI()*BF556/2147483647),'Control Room'!$B$8+('Control Room'!$D$8-'Control Room'!$B$8)*BE556/2147483647)</x:f>
        <x:v>997.2486041144437</x:v>
      </x:c>
      <x:c r="BH556" s="17" t="n">
        <x:f>IF('Control Room'!$B$5="Normal",'Control Room'!$B$7,('Control Room'!$B$8+'Control Room'!$D$8)/2)+'Control Room'!$B$9*(BH555-IF('Control Room'!$B$5="Normal",'Control Room'!$B$7,('Control Room'!$B$8+'Control Room'!$D$8)/2))+SQRT(1-'Control Room'!$B$9^2)*(BG556-IF('Control Room'!$B$5="Normal",'Control Room'!$B$7,('Control Room'!$B$8+'Control Room'!$D$8)/2))</x:f>
        <x:v>959.5858753756559</x:v>
      </x:c>
      <x:c r="BI556" s="17" t="n">
        <x:f>IF(AND($A556&gt;='Control Room'!$A$13,$A556&lt;'Control Room'!$A$13+'Control Room'!$B$13,'Process'!BV2=1),1+('Control Room'!$C$13-1)*EXP(-0.5*(($A556-'Control Room'!$A$13-('Control Room'!$B$13-1)/2)/MAX(0.5,'Control Room'!$B$13/4))^2),1)*IF(AND($A556&gt;='Control Room'!$A$14,$A556&lt;'Control Room'!$A$14+'Control Room'!$B$14,'Process'!BV3=1),1+('Control Room'!$C$14-1)*EXP(-0.5*(($A556-'Control Room'!$A$14-('Control Room'!$B$14-1)/2)/MAX(0.5,'Control Room'!$B$14/4))^2),1)*IF(AND($A556&gt;='Control Room'!$A$15,$A556&lt;'Control Room'!$A$15+'Control Room'!$B$15,'Process'!BV4=1),1+('Control Room'!$C$15-1)*EXP(-0.5*(($A556-'Control Room'!$A$15-('Control Room'!$B$15-1)/2)/MAX(0.5,'Control Room'!$B$15/4))^2),1)*IF(AND($A556&gt;='Control Room'!$A$16,$A556&lt;'Control Room'!$A$16+'Control Room'!$B$16,'Process'!BV5=1),1+('Control Room'!$C$16-1)*EXP(-0.5*(($A556-'Control Room'!$A$16-('Control Room'!$B$16-1)/2)/MAX(0.5,'Control Room'!$B$16/4))^2),1)</x:f>
        <x:v>1</x:v>
      </x:c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Z556" t="str">
        <x:f>IF('Data'!A556="","",TEXT('Data'!A556,"mm-dd"))</x:f>
      </x:c>
    </x:row>
    <x:row r="557" ht="21" customHeight="1">
      <x:c r="A557" s="15" t="n">
        <x:f>'Control Room'!$B$1+555</x:f>
        <x:v>73546</x:v>
      </x:c>
      <x:c r="B557" s="9" t="n">
        <x:f>MOD(C556*16807,2147483647)</x:f>
        <x:v>414529685</x:v>
      </x:c>
      <x:c r="C557" s="9" t="n">
        <x:f>MOD(B557*16807,2147483647)</x:f>
        <x:v>563464927</x:v>
      </x:c>
      <x:c r="D557" s="17" t="n">
        <x:f>IF('Control Room'!$B$5="Normal",'Control Room'!$B$7+'Control Room'!$D$7*SQRT(-2*LN(MAX(0.000000000001,B557/2147483647)))*COS(2*PI()*C557/2147483647),'Control Room'!$B$8+('Control Room'!$D$8-'Control Room'!$B$8)*B557/2147483647)</x:f>
        <x:v>987.3111039281641</x:v>
      </x:c>
      <x:c r="E557" s="17" t="n">
        <x:f>IF('Control Room'!$B$5="Normal",'Control Room'!$B$7,('Control Room'!$B$8+'Control Room'!$D$8)/2)+'Control Room'!$B$9*(E556-IF('Control Room'!$B$5="Normal",'Control Room'!$B$7,('Control Room'!$B$8+'Control Room'!$D$8)/2))+SQRT(1-'Control Room'!$B$9^2)*(D557-IF('Control Room'!$B$5="Normal",'Control Room'!$B$7,('Control Room'!$B$8+'Control Room'!$D$8)/2))</x:f>
        <x:v>1007.6121767438627</x:v>
      </x:c>
      <x:c r="F557" s="17" t="n">
        <x:f>IF(AND($A557&gt;='Control Room'!$A$13,$A557&lt;'Control Room'!$A$13+'Control Room'!$B$13,'Process'!BK2=1),1+('Control Room'!$C$13-1)*EXP(-0.5*(($A557-'Control Room'!$A$13-('Control Room'!$B$13-1)/2)/MAX(0.5,'Control Room'!$B$13/4))^2),1)*IF(AND($A557&gt;='Control Room'!$A$14,$A557&lt;'Control Room'!$A$14+'Control Room'!$B$14,'Process'!BK3=1),1+('Control Room'!$C$14-1)*EXP(-0.5*(($A557-'Control Room'!$A$14-('Control Room'!$B$14-1)/2)/MAX(0.5,'Control Room'!$B$14/4))^2),1)*IF(AND($A557&gt;='Control Room'!$A$15,$A557&lt;'Control Room'!$A$15+'Control Room'!$B$15,'Process'!BK4=1),1+('Control Room'!$C$15-1)*EXP(-0.5*(($A557-'Control Room'!$A$15-('Control Room'!$B$15-1)/2)/MAX(0.5,'Control Room'!$B$15/4))^2),1)*IF(AND($A557&gt;='Control Room'!$A$16,$A557&lt;'Control Room'!$A$16+'Control Room'!$B$16,'Process'!BK5=1),1+('Control Room'!$C$16-1)*EXP(-0.5*(($A557-'Control Room'!$A$16-('Control Room'!$B$16-1)/2)/MAX(0.5,'Control Room'!$B$16/4))^2),1)</x:f>
        <x:v>1</x:v>
      </x:c>
      <x:c r="G557" s="9" t="n">
        <x:f>MOD(H556*16807,2147483647)</x:f>
        <x:v>542858565</x:v>
      </x:c>
      <x:c r="H557" s="9" t="n">
        <x:f>MOD(G557*16807,2147483647)</x:f>
        <x:v>1313369499</x:v>
      </x:c>
      <x:c r="I557" s="17" t="n">
        <x:f>IF('Control Room'!$B$5="Normal",'Control Room'!$B$7+'Control Room'!$D$7*SQRT(-2*LN(MAX(0.000000000001,G557/2147483647)))*COS(2*PI()*H557/2147483647),'Control Room'!$B$8+('Control Room'!$D$8-'Control Room'!$B$8)*G557/2147483647)</x:f>
        <x:v>885.9472391467364</x:v>
      </x:c>
      <x:c r="J557" s="17" t="n">
        <x:f>IF('Control Room'!$B$5="Normal",'Control Room'!$B$7,('Control Room'!$B$8+'Control Room'!$D$8)/2)+'Control Room'!$B$9*(J556-IF('Control Room'!$B$5="Normal",'Control Room'!$B$7,('Control Room'!$B$8+'Control Room'!$D$8)/2))+SQRT(1-'Control Room'!$B$9^2)*(I557-IF('Control Room'!$B$5="Normal",'Control Room'!$B$7,('Control Room'!$B$8+'Control Room'!$D$8)/2))</x:f>
        <x:v>991.2362419603332</x:v>
      </x:c>
      <x:c r="K557" s="17" t="n">
        <x:f>IF(AND($A557&gt;='Control Room'!$A$13,$A557&lt;'Control Room'!$A$13+'Control Room'!$B$13,'Process'!BL2=1),1+('Control Room'!$C$13-1)*EXP(-0.5*(($A557-'Control Room'!$A$13-('Control Room'!$B$13-1)/2)/MAX(0.5,'Control Room'!$B$13/4))^2),1)*IF(AND($A557&gt;='Control Room'!$A$14,$A557&lt;'Control Room'!$A$14+'Control Room'!$B$14,'Process'!BL3=1),1+('Control Room'!$C$14-1)*EXP(-0.5*(($A557-'Control Room'!$A$14-('Control Room'!$B$14-1)/2)/MAX(0.5,'Control Room'!$B$14/4))^2),1)*IF(AND($A557&gt;='Control Room'!$A$15,$A557&lt;'Control Room'!$A$15+'Control Room'!$B$15,'Process'!BL4=1),1+('Control Room'!$C$15-1)*EXP(-0.5*(($A557-'Control Room'!$A$15-('Control Room'!$B$15-1)/2)/MAX(0.5,'Control Room'!$B$15/4))^2),1)*IF(AND($A557&gt;='Control Room'!$A$16,$A557&lt;'Control Room'!$A$16+'Control Room'!$B$16,'Process'!BL5=1),1+('Control Room'!$C$16-1)*EXP(-0.5*(($A557-'Control Room'!$A$16-('Control Room'!$B$16-1)/2)/MAX(0.5,'Control Room'!$B$16/4))^2),1)</x:f>
        <x:v>1</x:v>
      </x:c>
      <x:c r="L557" s="9" t="n">
        <x:f>MOD(M556*16807,2147483647)</x:f>
        <x:v>671187445</x:v>
      </x:c>
      <x:c r="M557" s="9" t="n">
        <x:f>MOD(L557*16807,2147483647)</x:f>
        <x:v>2063274071</x:v>
      </x:c>
      <x:c r="N557" s="17" t="n">
        <x:f>IF('Control Room'!$B$5="Normal",'Control Room'!$B$7+'Control Room'!$D$7*SQRT(-2*LN(MAX(0.000000000001,L557/2147483647)))*COS(2*PI()*M557/2147483647),'Control Room'!$B$8+('Control Room'!$D$8-'Control Room'!$B$8)*L557/2147483647)</x:f>
        <x:v>1133.1161015145215</x:v>
      </x:c>
      <x:c r="O557" s="17" t="n">
        <x:f>IF('Control Room'!$B$5="Normal",'Control Room'!$B$7,('Control Room'!$B$8+'Control Room'!$D$8)/2)+'Control Room'!$B$9*(O556-IF('Control Room'!$B$5="Normal",'Control Room'!$B$7,('Control Room'!$B$8+'Control Room'!$D$8)/2))+SQRT(1-'Control Room'!$B$9^2)*(N557-IF('Control Room'!$B$5="Normal",'Control Room'!$B$7,('Control Room'!$B$8+'Control Room'!$D$8)/2))</x:f>
        <x:v>977.9834391790774</x:v>
      </x:c>
      <x:c r="P557" s="17" t="n">
        <x:f>IF(AND($A557&gt;='Control Room'!$A$13,$A557&lt;'Control Room'!$A$13+'Control Room'!$B$13,'Process'!BM2=1),1+('Control Room'!$C$13-1)*EXP(-0.5*(($A557-'Control Room'!$A$13-('Control Room'!$B$13-1)/2)/MAX(0.5,'Control Room'!$B$13/4))^2),1)*IF(AND($A557&gt;='Control Room'!$A$14,$A557&lt;'Control Room'!$A$14+'Control Room'!$B$14,'Process'!BM3=1),1+('Control Room'!$C$14-1)*EXP(-0.5*(($A557-'Control Room'!$A$14-('Control Room'!$B$14-1)/2)/MAX(0.5,'Control Room'!$B$14/4))^2),1)*IF(AND($A557&gt;='Control Room'!$A$15,$A557&lt;'Control Room'!$A$15+'Control Room'!$B$15,'Process'!BM4=1),1+('Control Room'!$C$15-1)*EXP(-0.5*(($A557-'Control Room'!$A$15-('Control Room'!$B$15-1)/2)/MAX(0.5,'Control Room'!$B$15/4))^2),1)*IF(AND($A557&gt;='Control Room'!$A$16,$A557&lt;'Control Room'!$A$16+'Control Room'!$B$16,'Process'!BM5=1),1+('Control Room'!$C$16-1)*EXP(-0.5*(($A557-'Control Room'!$A$16-('Control Room'!$B$16-1)/2)/MAX(0.5,'Control Room'!$B$16/4))^2),1)</x:f>
        <x:v>1</x:v>
      </x:c>
      <x:c r="Q557" s="9" t="n">
        <x:f>MOD(R556*16807,2147483647)</x:f>
        <x:v>799516325</x:v>
      </x:c>
      <x:c r="R557" s="9" t="n">
        <x:f>MOD(Q557*16807,2147483647)</x:f>
        <x:v>665694996</x:v>
      </x:c>
      <x:c r="S557" s="17" t="n">
        <x:f>IF('Control Room'!$B$5="Normal",'Control Room'!$B$7+'Control Room'!$D$7*SQRT(-2*LN(MAX(0.000000000001,Q557/2147483647)))*COS(2*PI()*R557/2147483647),'Control Room'!$B$8+('Control Room'!$D$8-'Control Room'!$B$8)*Q557/2147483647)</x:f>
        <x:v>953.4348891773391</x:v>
      </x:c>
      <x:c r="T557" s="17" t="n">
        <x:f>IF('Control Room'!$B$5="Normal",'Control Room'!$B$7,('Control Room'!$B$8+'Control Room'!$D$8)/2)+'Control Room'!$B$9*(T556-IF('Control Room'!$B$5="Normal",'Control Room'!$B$7,('Control Room'!$B$8+'Control Room'!$D$8)/2))+SQRT(1-'Control Room'!$B$9^2)*(S557-IF('Control Room'!$B$5="Normal",'Control Room'!$B$7,('Control Room'!$B$8+'Control Room'!$D$8)/2))</x:f>
        <x:v>998.5373306972003</x:v>
      </x:c>
      <x:c r="U557" s="17" t="n">
        <x:f>IF(AND($A557&gt;='Control Room'!$A$13,$A557&lt;'Control Room'!$A$13+'Control Room'!$B$13,'Process'!BN2=1),1+('Control Room'!$C$13-1)*EXP(-0.5*(($A557-'Control Room'!$A$13-('Control Room'!$B$13-1)/2)/MAX(0.5,'Control Room'!$B$13/4))^2),1)*IF(AND($A557&gt;='Control Room'!$A$14,$A557&lt;'Control Room'!$A$14+'Control Room'!$B$14,'Process'!BN3=1),1+('Control Room'!$C$14-1)*EXP(-0.5*(($A557-'Control Room'!$A$14-('Control Room'!$B$14-1)/2)/MAX(0.5,'Control Room'!$B$14/4))^2),1)*IF(AND($A557&gt;='Control Room'!$A$15,$A557&lt;'Control Room'!$A$15+'Control Room'!$B$15,'Process'!BN4=1),1+('Control Room'!$C$15-1)*EXP(-0.5*(($A557-'Control Room'!$A$15-('Control Room'!$B$15-1)/2)/MAX(0.5,'Control Room'!$B$15/4))^2),1)*IF(AND($A557&gt;='Control Room'!$A$16,$A557&lt;'Control Room'!$A$16+'Control Room'!$B$16,'Process'!BN5=1),1+('Control Room'!$C$16-1)*EXP(-0.5*(($A557-'Control Room'!$A$16-('Control Room'!$B$16-1)/2)/MAX(0.5,'Control Room'!$B$16/4))^2),1)</x:f>
        <x:v>1</x:v>
      </x:c>
      <x:c r="V557" s="9" t="n">
        <x:f>MOD(W556*16807,2147483647)</x:f>
        <x:v>927845205</x:v>
      </x:c>
      <x:c r="W557" s="9" t="n">
        <x:f>MOD(V557*16807,2147483647)</x:f>
        <x:v>1415599568</x:v>
      </x:c>
      <x:c r="X557" s="17" t="n">
        <x:f>IF('Control Room'!$B$5="Normal",'Control Room'!$B$7+'Control Room'!$D$7*SQRT(-2*LN(MAX(0.000000000001,V557/2147483647)))*COS(2*PI()*W557/2147483647),'Control Room'!$B$8+('Control Room'!$D$8-'Control Room'!$B$8)*V557/2147483647)</x:f>
        <x:v>937.0240010643096</x:v>
      </x:c>
      <x:c r="Y557" s="17" t="n">
        <x:f>IF('Control Room'!$B$5="Normal",'Control Room'!$B$7,('Control Room'!$B$8+'Control Room'!$D$8)/2)+'Control Room'!$B$9*(Y556-IF('Control Room'!$B$5="Normal",'Control Room'!$B$7,('Control Room'!$B$8+'Control Room'!$D$8)/2))+SQRT(1-'Control Room'!$B$9^2)*(X557-IF('Control Room'!$B$5="Normal",'Control Room'!$B$7,('Control Room'!$B$8+'Control Room'!$D$8)/2))</x:f>
        <x:v>1006.5566170004342</x:v>
      </x:c>
      <x:c r="Z557" s="17" t="n">
        <x:f>IF(AND($A557&gt;='Control Room'!$A$13,$A557&lt;'Control Room'!$A$13+'Control Room'!$B$13,'Process'!BO2=1),1+('Control Room'!$C$13-1)*EXP(-0.5*(($A557-'Control Room'!$A$13-('Control Room'!$B$13-1)/2)/MAX(0.5,'Control Room'!$B$13/4))^2),1)*IF(AND($A557&gt;='Control Room'!$A$14,$A557&lt;'Control Room'!$A$14+'Control Room'!$B$14,'Process'!BO3=1),1+('Control Room'!$C$14-1)*EXP(-0.5*(($A557-'Control Room'!$A$14-('Control Room'!$B$14-1)/2)/MAX(0.5,'Control Room'!$B$14/4))^2),1)*IF(AND($A557&gt;='Control Room'!$A$15,$A557&lt;'Control Room'!$A$15+'Control Room'!$B$15,'Process'!BO4=1),1+('Control Room'!$C$15-1)*EXP(-0.5*(($A557-'Control Room'!$A$15-('Control Room'!$B$15-1)/2)/MAX(0.5,'Control Room'!$B$15/4))^2),1)*IF(AND($A557&gt;='Control Room'!$A$16,$A557&lt;'Control Room'!$A$16+'Control Room'!$B$16,'Process'!BO5=1),1+('Control Room'!$C$16-1)*EXP(-0.5*(($A557-'Control Room'!$A$16-('Control Room'!$B$16-1)/2)/MAX(0.5,'Control Room'!$B$16/4))^2),1)</x:f>
        <x:v>1</x:v>
      </x:c>
      <x:c r="AA557" s="9" t="n">
        <x:f>MOD(AB556*16807,2147483647)</x:f>
        <x:v>1056174085</x:v>
      </x:c>
      <x:c r="AB557" s="9" t="n">
        <x:f>MOD(AA557*16807,2147483647)</x:f>
        <x:v>18020493</x:v>
      </x:c>
      <x:c r="AC557" s="17" t="n">
        <x:f>IF('Control Room'!$B$5="Normal",'Control Room'!$B$7+'Control Room'!$D$7*SQRT(-2*LN(MAX(0.000000000001,AA557/2147483647)))*COS(2*PI()*AB557/2147483647),'Control Room'!$B$8+('Control Room'!$D$8-'Control Room'!$B$8)*AA557/2147483647)</x:f>
        <x:v>1107.0714688344501</x:v>
      </x:c>
      <x:c r="AD557" s="17" t="n">
        <x:f>IF('Control Room'!$B$5="Normal",'Control Room'!$B$7,('Control Room'!$B$8+'Control Room'!$D$8)/2)+'Control Room'!$B$9*(AD556-IF('Control Room'!$B$5="Normal",'Control Room'!$B$7,('Control Room'!$B$8+'Control Room'!$D$8)/2))+SQRT(1-'Control Room'!$B$9^2)*(AC557-IF('Control Room'!$B$5="Normal",'Control Room'!$B$7,('Control Room'!$B$8+'Control Room'!$D$8)/2))</x:f>
        <x:v>1045.7565192315983</x:v>
      </x:c>
      <x:c r="AE557" s="17" t="n">
        <x:f>IF(AND($A557&gt;='Control Room'!$A$13,$A557&lt;'Control Room'!$A$13+'Control Room'!$B$13,'Process'!BP2=1),1+('Control Room'!$C$13-1)*EXP(-0.5*(($A557-'Control Room'!$A$13-('Control Room'!$B$13-1)/2)/MAX(0.5,'Control Room'!$B$13/4))^2),1)*IF(AND($A557&gt;='Control Room'!$A$14,$A557&lt;'Control Room'!$A$14+'Control Room'!$B$14,'Process'!BP3=1),1+('Control Room'!$C$14-1)*EXP(-0.5*(($A557-'Control Room'!$A$14-('Control Room'!$B$14-1)/2)/MAX(0.5,'Control Room'!$B$14/4))^2),1)*IF(AND($A557&gt;='Control Room'!$A$15,$A557&lt;'Control Room'!$A$15+'Control Room'!$B$15,'Process'!BP4=1),1+('Control Room'!$C$15-1)*EXP(-0.5*(($A557-'Control Room'!$A$15-('Control Room'!$B$15-1)/2)/MAX(0.5,'Control Room'!$B$15/4))^2),1)*IF(AND($A557&gt;='Control Room'!$A$16,$A557&lt;'Control Room'!$A$16+'Control Room'!$B$16,'Process'!BP5=1),1+('Control Room'!$C$16-1)*EXP(-0.5*(($A557-'Control Room'!$A$16-('Control Room'!$B$16-1)/2)/MAX(0.5,'Control Room'!$B$16/4))^2),1)</x:f>
        <x:v>1</x:v>
      </x:c>
      <x:c r="AF557" s="9" t="n">
        <x:f>MOD(AG556*16807,2147483647)</x:f>
        <x:v>1184502965</x:v>
      </x:c>
      <x:c r="AG557" s="9" t="n">
        <x:f>MOD(AF557*16807,2147483647)</x:f>
        <x:v>767925065</x:v>
      </x:c>
      <x:c r="AH557" s="17" t="n">
        <x:f>IF('Control Room'!$B$5="Normal",'Control Room'!$B$7+'Control Room'!$D$7*SQRT(-2*LN(MAX(0.000000000001,AF557/2147483647)))*COS(2*PI()*AG557/2147483647),'Control Room'!$B$8+('Control Room'!$D$8-'Control Room'!$B$8)*AF557/2147483647)</x:f>
        <x:v>938.5712881984226</x:v>
      </x:c>
      <x:c r="AI557" s="17" t="n">
        <x:f>IF('Control Room'!$B$5="Normal",'Control Room'!$B$7,('Control Room'!$B$8+'Control Room'!$D$8)/2)+'Control Room'!$B$9*(AI556-IF('Control Room'!$B$5="Normal",'Control Room'!$B$7,('Control Room'!$B$8+'Control Room'!$D$8)/2))+SQRT(1-'Control Room'!$B$9^2)*(AH557-IF('Control Room'!$B$5="Normal",'Control Room'!$B$7,('Control Room'!$B$8+'Control Room'!$D$8)/2))</x:f>
        <x:v>1152.4012249715254</x:v>
      </x:c>
      <x:c r="AJ557" s="17" t="n">
        <x:f>IF(AND($A557&gt;='Control Room'!$A$13,$A557&lt;'Control Room'!$A$13+'Control Room'!$B$13,'Process'!BQ2=1),1+('Control Room'!$C$13-1)*EXP(-0.5*(($A557-'Control Room'!$A$13-('Control Room'!$B$13-1)/2)/MAX(0.5,'Control Room'!$B$13/4))^2),1)*IF(AND($A557&gt;='Control Room'!$A$14,$A557&lt;'Control Room'!$A$14+'Control Room'!$B$14,'Process'!BQ3=1),1+('Control Room'!$C$14-1)*EXP(-0.5*(($A557-'Control Room'!$A$14-('Control Room'!$B$14-1)/2)/MAX(0.5,'Control Room'!$B$14/4))^2),1)*IF(AND($A557&gt;='Control Room'!$A$15,$A557&lt;'Control Room'!$A$15+'Control Room'!$B$15,'Process'!BQ4=1),1+('Control Room'!$C$15-1)*EXP(-0.5*(($A557-'Control Room'!$A$15-('Control Room'!$B$15-1)/2)/MAX(0.5,'Control Room'!$B$15/4))^2),1)*IF(AND($A557&gt;='Control Room'!$A$16,$A557&lt;'Control Room'!$A$16+'Control Room'!$B$16,'Process'!BQ5=1),1+('Control Room'!$C$16-1)*EXP(-0.5*(($A557-'Control Room'!$A$16-('Control Room'!$B$16-1)/2)/MAX(0.5,'Control Room'!$B$16/4))^2),1)</x:f>
        <x:v>1</x:v>
      </x:c>
      <x:c r="AK557" s="9" t="n">
        <x:f>MOD(AL556*16807,2147483647)</x:f>
        <x:v>1312831845</x:v>
      </x:c>
      <x:c r="AL557" s="9" t="n">
        <x:f>MOD(AK557*16807,2147483647)</x:f>
        <x:v>1517829637</x:v>
      </x:c>
      <x:c r="AM557" s="17" t="n">
        <x:f>IF('Control Room'!$B$5="Normal",'Control Room'!$B$7+'Control Room'!$D$7*SQRT(-2*LN(MAX(0.000000000001,AK557/2147483647)))*COS(2*PI()*AL557/2147483647),'Control Room'!$B$8+('Control Room'!$D$8-'Control Room'!$B$8)*AK557/2147483647)</x:f>
        <x:v>976.0580125370009</x:v>
      </x:c>
      <x:c r="AN557" s="17" t="n">
        <x:f>IF('Control Room'!$B$5="Normal",'Control Room'!$B$7,('Control Room'!$B$8+'Control Room'!$D$8)/2)+'Control Room'!$B$9*(AN556-IF('Control Room'!$B$5="Normal",'Control Room'!$B$7,('Control Room'!$B$8+'Control Room'!$D$8)/2))+SQRT(1-'Control Room'!$B$9^2)*(AM557-IF('Control Room'!$B$5="Normal",'Control Room'!$B$7,('Control Room'!$B$8+'Control Room'!$D$8)/2))</x:f>
        <x:v>962.648643428179</x:v>
      </x:c>
      <x:c r="AO557" s="17" t="n">
        <x:f>IF(AND($A557&gt;='Control Room'!$A$13,$A557&lt;'Control Room'!$A$13+'Control Room'!$B$13,'Process'!BR2=1),1+('Control Room'!$C$13-1)*EXP(-0.5*(($A557-'Control Room'!$A$13-('Control Room'!$B$13-1)/2)/MAX(0.5,'Control Room'!$B$13/4))^2),1)*IF(AND($A557&gt;='Control Room'!$A$14,$A557&lt;'Control Room'!$A$14+'Control Room'!$B$14,'Process'!BR3=1),1+('Control Room'!$C$14-1)*EXP(-0.5*(($A557-'Control Room'!$A$14-('Control Room'!$B$14-1)/2)/MAX(0.5,'Control Room'!$B$14/4))^2),1)*IF(AND($A557&gt;='Control Room'!$A$15,$A557&lt;'Control Room'!$A$15+'Control Room'!$B$15,'Process'!BR4=1),1+('Control Room'!$C$15-1)*EXP(-0.5*(($A557-'Control Room'!$A$15-('Control Room'!$B$15-1)/2)/MAX(0.5,'Control Room'!$B$15/4))^2),1)*IF(AND($A557&gt;='Control Room'!$A$16,$A557&lt;'Control Room'!$A$16+'Control Room'!$B$16,'Process'!BR5=1),1+('Control Room'!$C$16-1)*EXP(-0.5*(($A557-'Control Room'!$A$16-('Control Room'!$B$16-1)/2)/MAX(0.5,'Control Room'!$B$16/4))^2),1)</x:f>
        <x:v>1</x:v>
      </x:c>
      <x:c r="AP557" s="9" t="n">
        <x:f>MOD(AQ556*16807,2147483647)</x:f>
        <x:v>1441160725</x:v>
      </x:c>
      <x:c r="AQ557" s="9" t="n">
        <x:f>MOD(AP557*16807,2147483647)</x:f>
        <x:v>120250562</x:v>
      </x:c>
      <x:c r="AR557" s="17" t="n">
        <x:f>IF('Control Room'!$B$5="Normal",'Control Room'!$B$7+'Control Room'!$D$7*SQRT(-2*LN(MAX(0.000000000001,AP557/2147483647)))*COS(2*PI()*AQ557/2147483647),'Control Room'!$B$8+('Control Room'!$D$8-'Control Room'!$B$8)*AP557/2147483647)</x:f>
        <x:v>1075.4584059005258</x:v>
      </x:c>
      <x:c r="AS557" s="17" t="n">
        <x:f>IF('Control Room'!$B$5="Normal",'Control Room'!$B$7,('Control Room'!$B$8+'Control Room'!$D$8)/2)+'Control Room'!$B$9*(AS556-IF('Control Room'!$B$5="Normal",'Control Room'!$B$7,('Control Room'!$B$8+'Control Room'!$D$8)/2))+SQRT(1-'Control Room'!$B$9^2)*(AR557-IF('Control Room'!$B$5="Normal",'Control Room'!$B$7,('Control Room'!$B$8+'Control Room'!$D$8)/2))</x:f>
        <x:v>1084.2004223284862</x:v>
      </x:c>
      <x:c r="AT557" s="17" t="n">
        <x:f>IF(AND($A557&gt;='Control Room'!$A$13,$A557&lt;'Control Room'!$A$13+'Control Room'!$B$13,'Process'!BS2=1),1+('Control Room'!$C$13-1)*EXP(-0.5*(($A557-'Control Room'!$A$13-('Control Room'!$B$13-1)/2)/MAX(0.5,'Control Room'!$B$13/4))^2),1)*IF(AND($A557&gt;='Control Room'!$A$14,$A557&lt;'Control Room'!$A$14+'Control Room'!$B$14,'Process'!BS3=1),1+('Control Room'!$C$14-1)*EXP(-0.5*(($A557-'Control Room'!$A$14-('Control Room'!$B$14-1)/2)/MAX(0.5,'Control Room'!$B$14/4))^2),1)*IF(AND($A557&gt;='Control Room'!$A$15,$A557&lt;'Control Room'!$A$15+'Control Room'!$B$15,'Process'!BS4=1),1+('Control Room'!$C$15-1)*EXP(-0.5*(($A557-'Control Room'!$A$15-('Control Room'!$B$15-1)/2)/MAX(0.5,'Control Room'!$B$15/4))^2),1)*IF(AND($A557&gt;='Control Room'!$A$16,$A557&lt;'Control Room'!$A$16+'Control Room'!$B$16,'Process'!BS5=1),1+('Control Room'!$C$16-1)*EXP(-0.5*(($A557-'Control Room'!$A$16-('Control Room'!$B$16-1)/2)/MAX(0.5,'Control Room'!$B$16/4))^2),1)</x:f>
        <x:v>1</x:v>
      </x:c>
      <x:c r="AU557" s="9" t="n">
        <x:f>MOD(AV556*16807,2147483647)</x:f>
        <x:v>1569489605</x:v>
      </x:c>
      <x:c r="AV557" s="9" t="n">
        <x:f>MOD(AU557*16807,2147483647)</x:f>
        <x:v>870155134</x:v>
      </x:c>
      <x:c r="AW557" s="17" t="n">
        <x:f>IF('Control Room'!$B$5="Normal",'Control Room'!$B$7+'Control Room'!$D$7*SQRT(-2*LN(MAX(0.000000000001,AU557/2147483647)))*COS(2*PI()*AV557/2147483647),'Control Room'!$B$8+('Control Room'!$D$8-'Control Room'!$B$8)*AU557/2147483647)</x:f>
        <x:v>941.0040720946442</x:v>
      </x:c>
      <x:c r="AX557" s="17" t="n">
        <x:f>IF('Control Room'!$B$5="Normal",'Control Room'!$B$7,('Control Room'!$B$8+'Control Room'!$D$8)/2)+'Control Room'!$B$9*(AX556-IF('Control Room'!$B$5="Normal",'Control Room'!$B$7,('Control Room'!$B$8+'Control Room'!$D$8)/2))+SQRT(1-'Control Room'!$B$9^2)*(AW557-IF('Control Room'!$B$5="Normal",'Control Room'!$B$7,('Control Room'!$B$8+'Control Room'!$D$8)/2))</x:f>
        <x:v>889.5499235555865</x:v>
      </x:c>
      <x:c r="AY557" s="17" t="n">
        <x:f>IF(AND($A557&gt;='Control Room'!$A$13,$A557&lt;'Control Room'!$A$13+'Control Room'!$B$13,'Process'!BT2=1),1+('Control Room'!$C$13-1)*EXP(-0.5*(($A557-'Control Room'!$A$13-('Control Room'!$B$13-1)/2)/MAX(0.5,'Control Room'!$B$13/4))^2),1)*IF(AND($A557&gt;='Control Room'!$A$14,$A557&lt;'Control Room'!$A$14+'Control Room'!$B$14,'Process'!BT3=1),1+('Control Room'!$C$14-1)*EXP(-0.5*(($A557-'Control Room'!$A$14-('Control Room'!$B$14-1)/2)/MAX(0.5,'Control Room'!$B$14/4))^2),1)*IF(AND($A557&gt;='Control Room'!$A$15,$A557&lt;'Control Room'!$A$15+'Control Room'!$B$15,'Process'!BT4=1),1+('Control Room'!$C$15-1)*EXP(-0.5*(($A557-'Control Room'!$A$15-('Control Room'!$B$15-1)/2)/MAX(0.5,'Control Room'!$B$15/4))^2),1)*IF(AND($A557&gt;='Control Room'!$A$16,$A557&lt;'Control Room'!$A$16+'Control Room'!$B$16,'Process'!BT5=1),1+('Control Room'!$C$16-1)*EXP(-0.5*(($A557-'Control Room'!$A$16-('Control Room'!$B$16-1)/2)/MAX(0.5,'Control Room'!$B$16/4))^2),1)</x:f>
        <x:v>1</x:v>
      </x:c>
      <x:c r="AZ557" s="9" t="n">
        <x:f>MOD(BA556*16807,2147483647)</x:f>
        <x:v>1697818485</x:v>
      </x:c>
      <x:c r="BA557" s="9" t="n">
        <x:f>MOD(AZ557*16807,2147483647)</x:f>
        <x:v>1620059706</x:v>
      </x:c>
      <x:c r="BB557" s="17" t="n">
        <x:f>IF('Control Room'!$B$5="Normal",'Control Room'!$B$7+'Control Room'!$D$7*SQRT(-2*LN(MAX(0.000000000001,AZ557/2147483647)))*COS(2*PI()*BA557/2147483647),'Control Room'!$B$8+('Control Room'!$D$8-'Control Room'!$B$8)*AZ557/2147483647)</x:f>
        <x:v>1001.7050412364084</x:v>
      </x:c>
      <x:c r="BC557" s="17" t="n">
        <x:f>IF('Control Room'!$B$5="Normal",'Control Room'!$B$7,('Control Room'!$B$8+'Control Room'!$D$8)/2)+'Control Room'!$B$9*(BC556-IF('Control Room'!$B$5="Normal",'Control Room'!$B$7,('Control Room'!$B$8+'Control Room'!$D$8)/2))+SQRT(1-'Control Room'!$B$9^2)*(BB557-IF('Control Room'!$B$5="Normal",'Control Room'!$B$7,('Control Room'!$B$8+'Control Room'!$D$8)/2))</x:f>
        <x:v>1008.6106566705865</x:v>
      </x:c>
      <x:c r="BD557" s="17" t="n">
        <x:f>IF(AND($A557&gt;='Control Room'!$A$13,$A557&lt;'Control Room'!$A$13+'Control Room'!$B$13,'Process'!BU2=1),1+('Control Room'!$C$13-1)*EXP(-0.5*(($A557-'Control Room'!$A$13-('Control Room'!$B$13-1)/2)/MAX(0.5,'Control Room'!$B$13/4))^2),1)*IF(AND($A557&gt;='Control Room'!$A$14,$A557&lt;'Control Room'!$A$14+'Control Room'!$B$14,'Process'!BU3=1),1+('Control Room'!$C$14-1)*EXP(-0.5*(($A557-'Control Room'!$A$14-('Control Room'!$B$14-1)/2)/MAX(0.5,'Control Room'!$B$14/4))^2),1)*IF(AND($A557&gt;='Control Room'!$A$15,$A557&lt;'Control Room'!$A$15+'Control Room'!$B$15,'Process'!BU4=1),1+('Control Room'!$C$15-1)*EXP(-0.5*(($A557-'Control Room'!$A$15-('Control Room'!$B$15-1)/2)/MAX(0.5,'Control Room'!$B$15/4))^2),1)*IF(AND($A557&gt;='Control Room'!$A$16,$A557&lt;'Control Room'!$A$16+'Control Room'!$B$16,'Process'!BU5=1),1+('Control Room'!$C$16-1)*EXP(-0.5*(($A557-'Control Room'!$A$16-('Control Room'!$B$16-1)/2)/MAX(0.5,'Control Room'!$B$16/4))^2),1)</x:f>
        <x:v>1</x:v>
      </x:c>
      <x:c r="BE557" s="9" t="n">
        <x:f>MOD(BF556*16807,2147483647)</x:f>
        <x:v>1826147365</x:v>
      </x:c>
      <x:c r="BF557" s="9" t="n">
        <x:f>MOD(BE557*16807,2147483647)</x:f>
        <x:v>222480631</x:v>
      </x:c>
      <x:c r="BG557" s="17" t="n">
        <x:f>IF('Control Room'!$B$5="Normal",'Control Room'!$B$7+'Control Room'!$D$7*SQRT(-2*LN(MAX(0.000000000001,BE557/2147483647)))*COS(2*PI()*BF557/2147483647),'Control Room'!$B$8+('Control Room'!$D$8-'Control Room'!$B$8)*BE557/2147483647)</x:f>
        <x:v>1040.7643788811786</x:v>
      </x:c>
      <x:c r="BH557" s="17" t="n">
        <x:f>IF('Control Room'!$B$5="Normal",'Control Room'!$B$7,('Control Room'!$B$8+'Control Room'!$D$8)/2)+'Control Room'!$B$9*(BH556-IF('Control Room'!$B$5="Normal",'Control Room'!$B$7,('Control Room'!$B$8+'Control Room'!$D$8)/2))+SQRT(1-'Control Room'!$B$9^2)*(BG557-IF('Control Room'!$B$5="Normal",'Control Room'!$B$7,('Control Room'!$B$8+'Control Room'!$D$8)/2))</x:f>
        <x:v>993.9864959931598</x:v>
      </x:c>
      <x:c r="BI557" s="17" t="n">
        <x:f>IF(AND($A557&gt;='Control Room'!$A$13,$A557&lt;'Control Room'!$A$13+'Control Room'!$B$13,'Process'!BV2=1),1+('Control Room'!$C$13-1)*EXP(-0.5*(($A557-'Control Room'!$A$13-('Control Room'!$B$13-1)/2)/MAX(0.5,'Control Room'!$B$13/4))^2),1)*IF(AND($A557&gt;='Control Room'!$A$14,$A557&lt;'Control Room'!$A$14+'Control Room'!$B$14,'Process'!BV3=1),1+('Control Room'!$C$14-1)*EXP(-0.5*(($A557-'Control Room'!$A$14-('Control Room'!$B$14-1)/2)/MAX(0.5,'Control Room'!$B$14/4))^2),1)*IF(AND($A557&gt;='Control Room'!$A$15,$A557&lt;'Control Room'!$A$15+'Control Room'!$B$15,'Process'!BV4=1),1+('Control Room'!$C$15-1)*EXP(-0.5*(($A557-'Control Room'!$A$15-('Control Room'!$B$15-1)/2)/MAX(0.5,'Control Room'!$B$15/4))^2),1)*IF(AND($A557&gt;='Control Room'!$A$16,$A557&lt;'Control Room'!$A$16+'Control Room'!$B$16,'Process'!BV5=1),1+('Control Room'!$C$16-1)*EXP(-0.5*(($A557-'Control Room'!$A$16-('Control Room'!$B$16-1)/2)/MAX(0.5,'Control Room'!$B$16/4))^2),1)</x:f>
        <x:v>1</x:v>
      </x:c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Z557" t="str">
        <x:f>IF('Data'!A557="","",TEXT('Data'!A557,"mm-dd"))</x:f>
      </x:c>
    </x:row>
    <x:row r="558" ht="21" customHeight="1">
      <x:c r="A558" s="15" t="n">
        <x:f>'Control Room'!$B$1+556</x:f>
        <x:v>73547</x:v>
      </x:c>
      <x:c r="B558" s="9" t="n">
        <x:f>MOD(C557*16807,2147483647)</x:f>
        <x:v>1899628466</x:v>
      </x:c>
      <x:c r="C558" s="9" t="n">
        <x:f>MOD(B558*16807,2147483647)</x:f>
        <x:v>416248113</x:v>
      </x:c>
      <x:c r="D558" s="17" t="n">
        <x:f>IF('Control Room'!$B$5="Normal",'Control Room'!$B$7+'Control Room'!$D$7*SQRT(-2*LN(MAX(0.000000000001,B558/2147483647)))*COS(2*PI()*C558/2147483647),'Control Room'!$B$8+('Control Room'!$D$8-'Control Room'!$B$8)*B558/2147483647)</x:f>
        <x:v>1015.4062500596957</x:v>
      </x:c>
      <x:c r="E558" s="17" t="n">
        <x:f>IF('Control Room'!$B$5="Normal",'Control Room'!$B$7,('Control Room'!$B$8+'Control Room'!$D$8)/2)+'Control Room'!$B$9*(E557-IF('Control Room'!$B$5="Normal",'Control Room'!$B$7,('Control Room'!$B$8+'Control Room'!$D$8)/2))+SQRT(1-'Control Room'!$B$9^2)*(D558-IF('Control Room'!$B$5="Normal",'Control Room'!$B$7,('Control Room'!$B$8+'Control Room'!$D$8)/2))</x:f>
        <x:v>1015.5784135333829</x:v>
      </x:c>
      <x:c r="F558" s="17" t="n">
        <x:f>IF(AND($A558&gt;='Control Room'!$A$13,$A558&lt;'Control Room'!$A$13+'Control Room'!$B$13,'Process'!BK2=1),1+('Control Room'!$C$13-1)*EXP(-0.5*(($A558-'Control Room'!$A$13-('Control Room'!$B$13-1)/2)/MAX(0.5,'Control Room'!$B$13/4))^2),1)*IF(AND($A558&gt;='Control Room'!$A$14,$A558&lt;'Control Room'!$A$14+'Control Room'!$B$14,'Process'!BK3=1),1+('Control Room'!$C$14-1)*EXP(-0.5*(($A558-'Control Room'!$A$14-('Control Room'!$B$14-1)/2)/MAX(0.5,'Control Room'!$B$14/4))^2),1)*IF(AND($A558&gt;='Control Room'!$A$15,$A558&lt;'Control Room'!$A$15+'Control Room'!$B$15,'Process'!BK4=1),1+('Control Room'!$C$15-1)*EXP(-0.5*(($A558-'Control Room'!$A$15-('Control Room'!$B$15-1)/2)/MAX(0.5,'Control Room'!$B$15/4))^2),1)*IF(AND($A558&gt;='Control Room'!$A$16,$A558&lt;'Control Room'!$A$16+'Control Room'!$B$16,'Process'!BK5=1),1+('Control Room'!$C$16-1)*EXP(-0.5*(($A558-'Control Room'!$A$16-('Control Room'!$B$16-1)/2)/MAX(0.5,'Control Room'!$B$16/4))^2),1)</x:f>
        <x:v>1</x:v>
      </x:c>
      <x:c r="G558" s="9" t="n">
        <x:f>MOD(H557*16807,2147483647)</x:f>
        <x:v>1964245827</x:v>
      </x:c>
      <x:c r="H558" s="9" t="n">
        <x:f>MOD(G558*16807,2147483647)</x:f>
        <x:v>1960992705</x:v>
      </x:c>
      <x:c r="I558" s="17" t="n">
        <x:f>IF('Control Room'!$B$5="Normal",'Control Room'!$B$7+'Control Room'!$D$7*SQRT(-2*LN(MAX(0.000000000001,G558/2147483647)))*COS(2*PI()*H558/2147483647),'Control Room'!$B$8+('Control Room'!$D$8-'Control Room'!$B$8)*G558/2147483647)</x:f>
        <x:v>1032.4917647829163</x:v>
      </x:c>
      <x:c r="J558" s="17" t="n">
        <x:f>IF('Control Room'!$B$5="Normal",'Control Room'!$B$7,('Control Room'!$B$8+'Control Room'!$D$8)/2)+'Control Room'!$B$9*(J557-IF('Control Room'!$B$5="Normal",'Control Room'!$B$7,('Control Room'!$B$8+'Control Room'!$D$8)/2))+SQRT(1-'Control Room'!$B$9^2)*(I558-IF('Control Room'!$B$5="Normal",'Control Room'!$B$7,('Control Room'!$B$8+'Control Room'!$D$8)/2))</x:f>
        <x:v>1013.4969495002272</x:v>
      </x:c>
      <x:c r="K558" s="17" t="n">
        <x:f>IF(AND($A558&gt;='Control Room'!$A$13,$A558&lt;'Control Room'!$A$13+'Control Room'!$B$13,'Process'!BL2=1),1+('Control Room'!$C$13-1)*EXP(-0.5*(($A558-'Control Room'!$A$13-('Control Room'!$B$13-1)/2)/MAX(0.5,'Control Room'!$B$13/4))^2),1)*IF(AND($A558&gt;='Control Room'!$A$14,$A558&lt;'Control Room'!$A$14+'Control Room'!$B$14,'Process'!BL3=1),1+('Control Room'!$C$14-1)*EXP(-0.5*(($A558-'Control Room'!$A$14-('Control Room'!$B$14-1)/2)/MAX(0.5,'Control Room'!$B$14/4))^2),1)*IF(AND($A558&gt;='Control Room'!$A$15,$A558&lt;'Control Room'!$A$15+'Control Room'!$B$15,'Process'!BL4=1),1+('Control Room'!$C$15-1)*EXP(-0.5*(($A558-'Control Room'!$A$15-('Control Room'!$B$15-1)/2)/MAX(0.5,'Control Room'!$B$15/4))^2),1)*IF(AND($A558&gt;='Control Room'!$A$16,$A558&lt;'Control Room'!$A$16+'Control Room'!$B$16,'Process'!BL5=1),1+('Control Room'!$C$16-1)*EXP(-0.5*(($A558-'Control Room'!$A$16-('Control Room'!$B$16-1)/2)/MAX(0.5,'Control Room'!$B$16/4))^2),1)</x:f>
        <x:v>1</x:v>
      </x:c>
      <x:c r="L558" s="9" t="n">
        <x:f>MOD(M557*16807,2147483647)</x:f>
        <x:v>2028863188</x:v>
      </x:c>
      <x:c r="M558" s="9" t="n">
        <x:f>MOD(L558*16807,2147483647)</x:f>
        <x:v>1358253650</x:v>
      </x:c>
      <x:c r="N558" s="17" t="n">
        <x:f>IF('Control Room'!$B$5="Normal",'Control Room'!$B$7+'Control Room'!$D$7*SQRT(-2*LN(MAX(0.000000000001,L558/2147483647)))*COS(2*PI()*M558/2147483647),'Control Room'!$B$8+('Control Room'!$D$8-'Control Room'!$B$8)*L558/2147483647)</x:f>
        <x:v>979.5789942021603</x:v>
      </x:c>
      <x:c r="O558" s="17" t="n">
        <x:f>IF('Control Room'!$B$5="Normal",'Control Room'!$B$7,('Control Room'!$B$8+'Control Room'!$D$8)/2)+'Control Room'!$B$9*(O557-IF('Control Room'!$B$5="Normal",'Control Room'!$B$7,('Control Room'!$B$8+'Control Room'!$D$8)/2))+SQRT(1-'Control Room'!$B$9^2)*(N558-IF('Control Room'!$B$5="Normal",'Control Room'!$B$7,('Control Room'!$B$8+'Control Room'!$D$8)/2))</x:f>
        <x:v>970.0480354784353</x:v>
      </x:c>
      <x:c r="P558" s="17" t="n">
        <x:f>IF(AND($A558&gt;='Control Room'!$A$13,$A558&lt;'Control Room'!$A$13+'Control Room'!$B$13,'Process'!BM2=1),1+('Control Room'!$C$13-1)*EXP(-0.5*(($A558-'Control Room'!$A$13-('Control Room'!$B$13-1)/2)/MAX(0.5,'Control Room'!$B$13/4))^2),1)*IF(AND($A558&gt;='Control Room'!$A$14,$A558&lt;'Control Room'!$A$14+'Control Room'!$B$14,'Process'!BM3=1),1+('Control Room'!$C$14-1)*EXP(-0.5*(($A558-'Control Room'!$A$14-('Control Room'!$B$14-1)/2)/MAX(0.5,'Control Room'!$B$14/4))^2),1)*IF(AND($A558&gt;='Control Room'!$A$15,$A558&lt;'Control Room'!$A$15+'Control Room'!$B$15,'Process'!BM4=1),1+('Control Room'!$C$15-1)*EXP(-0.5*(($A558-'Control Room'!$A$15-('Control Room'!$B$15-1)/2)/MAX(0.5,'Control Room'!$B$15/4))^2),1)*IF(AND($A558&gt;='Control Room'!$A$16,$A558&lt;'Control Room'!$A$16+'Control Room'!$B$16,'Process'!BM5=1),1+('Control Room'!$C$16-1)*EXP(-0.5*(($A558-'Control Room'!$A$16-('Control Room'!$B$16-1)/2)/MAX(0.5,'Control Room'!$B$16/4))^2),1)</x:f>
        <x:v>1</x:v>
      </x:c>
      <x:c r="Q558" s="9" t="n">
        <x:f>MOD(R557*16807,2147483647)</x:f>
        <x:v>2093480549</x:v>
      </x:c>
      <x:c r="R558" s="9" t="n">
        <x:f>MOD(Q558*16807,2147483647)</x:f>
        <x:v>755514595</x:v>
      </x:c>
      <x:c r="S558" s="17" t="n">
        <x:f>IF('Control Room'!$B$5="Normal",'Control Room'!$B$7+'Control Room'!$D$7*SQRT(-2*LN(MAX(0.000000000001,Q558/2147483647)))*COS(2*PI()*R558/2147483647),'Control Room'!$B$8+('Control Room'!$D$8-'Control Room'!$B$8)*Q558/2147483647)</x:f>
        <x:v>987.8741604570512</x:v>
      </x:c>
      <x:c r="T558" s="17" t="n">
        <x:f>IF('Control Room'!$B$5="Normal",'Control Room'!$B$7,('Control Room'!$B$8+'Control Room'!$D$8)/2)+'Control Room'!$B$9*(T557-IF('Control Room'!$B$5="Normal",'Control Room'!$B$7,('Control Room'!$B$8+'Control Room'!$D$8)/2))+SQRT(1-'Control Room'!$B$9^2)*(S558-IF('Control Room'!$B$5="Normal",'Control Room'!$B$7,('Control Room'!$B$8+'Control Room'!$D$8)/2))</x:f>
        <x:v>991.2710159691643</x:v>
      </x:c>
      <x:c r="U558" s="17" t="n">
        <x:f>IF(AND($A558&gt;='Control Room'!$A$13,$A558&lt;'Control Room'!$A$13+'Control Room'!$B$13,'Process'!BN2=1),1+('Control Room'!$C$13-1)*EXP(-0.5*(($A558-'Control Room'!$A$13-('Control Room'!$B$13-1)/2)/MAX(0.5,'Control Room'!$B$13/4))^2),1)*IF(AND($A558&gt;='Control Room'!$A$14,$A558&lt;'Control Room'!$A$14+'Control Room'!$B$14,'Process'!BN3=1),1+('Control Room'!$C$14-1)*EXP(-0.5*(($A558-'Control Room'!$A$14-('Control Room'!$B$14-1)/2)/MAX(0.5,'Control Room'!$B$14/4))^2),1)*IF(AND($A558&gt;='Control Room'!$A$15,$A558&lt;'Control Room'!$A$15+'Control Room'!$B$15,'Process'!BN4=1),1+('Control Room'!$C$15-1)*EXP(-0.5*(($A558-'Control Room'!$A$15-('Control Room'!$B$15-1)/2)/MAX(0.5,'Control Room'!$B$15/4))^2),1)*IF(AND($A558&gt;='Control Room'!$A$16,$A558&lt;'Control Room'!$A$16+'Control Room'!$B$16,'Process'!BN5=1),1+('Control Room'!$C$16-1)*EXP(-0.5*(($A558-'Control Room'!$A$16-('Control Room'!$B$16-1)/2)/MAX(0.5,'Control Room'!$B$16/4))^2),1)</x:f>
        <x:v>1</x:v>
      </x:c>
      <x:c r="V558" s="9" t="n">
        <x:f>MOD(W557*16807,2147483647)</x:f>
        <x:v>10614263</x:v>
      </x:c>
      <x:c r="W558" s="9" t="n">
        <x:f>MOD(V558*16807,2147483647)</x:f>
        <x:v>152775540</x:v>
      </x:c>
      <x:c r="X558" s="17" t="n">
        <x:f>IF('Control Room'!$B$5="Normal",'Control Room'!$B$7+'Control Room'!$D$7*SQRT(-2*LN(MAX(0.000000000001,V558/2147483647)))*COS(2*PI()*W558/2147483647),'Control Room'!$B$8+('Control Room'!$D$8-'Control Room'!$B$8)*V558/2147483647)</x:f>
        <x:v>1264.4750599255394</x:v>
      </x:c>
      <x:c r="Y558" s="17" t="n">
        <x:f>IF('Control Room'!$B$5="Normal",'Control Room'!$B$7,('Control Room'!$B$8+'Control Room'!$D$8)/2)+'Control Room'!$B$9*(Y557-IF('Control Room'!$B$5="Normal",'Control Room'!$B$7,('Control Room'!$B$8+'Control Room'!$D$8)/2))+SQRT(1-'Control Room'!$B$9^2)*(X558-IF('Control Room'!$B$5="Normal",'Control Room'!$B$7,('Control Room'!$B$8+'Control Room'!$D$8)/2))</x:f>
        <x:v>1170.6172356956406</x:v>
      </x:c>
      <x:c r="Z558" s="17" t="n">
        <x:f>IF(AND($A558&gt;='Control Room'!$A$13,$A558&lt;'Control Room'!$A$13+'Control Room'!$B$13,'Process'!BO2=1),1+('Control Room'!$C$13-1)*EXP(-0.5*(($A558-'Control Room'!$A$13-('Control Room'!$B$13-1)/2)/MAX(0.5,'Control Room'!$B$13/4))^2),1)*IF(AND($A558&gt;='Control Room'!$A$14,$A558&lt;'Control Room'!$A$14+'Control Room'!$B$14,'Process'!BO3=1),1+('Control Room'!$C$14-1)*EXP(-0.5*(($A558-'Control Room'!$A$14-('Control Room'!$B$14-1)/2)/MAX(0.5,'Control Room'!$B$14/4))^2),1)*IF(AND($A558&gt;='Control Room'!$A$15,$A558&lt;'Control Room'!$A$15+'Control Room'!$B$15,'Process'!BO4=1),1+('Control Room'!$C$15-1)*EXP(-0.5*(($A558-'Control Room'!$A$15-('Control Room'!$B$15-1)/2)/MAX(0.5,'Control Room'!$B$15/4))^2),1)*IF(AND($A558&gt;='Control Room'!$A$16,$A558&lt;'Control Room'!$A$16+'Control Room'!$B$16,'Process'!BO5=1),1+('Control Room'!$C$16-1)*EXP(-0.5*(($A558-'Control Room'!$A$16-('Control Room'!$B$16-1)/2)/MAX(0.5,'Control Room'!$B$16/4))^2),1)</x:f>
        <x:v>1</x:v>
      </x:c>
      <x:c r="AA558" s="9" t="n">
        <x:f>MOD(AB557*16807,2147483647)</x:f>
        <x:v>75231624</x:v>
      </x:c>
      <x:c r="AB558" s="9" t="n">
        <x:f>MOD(AA558*16807,2147483647)</x:f>
        <x:v>1697520132</x:v>
      </x:c>
      <x:c r="AC558" s="17" t="n">
        <x:f>IF('Control Room'!$B$5="Normal",'Control Room'!$B$7+'Control Room'!$D$7*SQRT(-2*LN(MAX(0.000000000001,AA558/2147483647)))*COS(2*PI()*AB558/2147483647),'Control Room'!$B$8+('Control Room'!$D$8-'Control Room'!$B$8)*AA558/2147483647)</x:f>
        <x:v>1058.6127982247936</x:v>
      </x:c>
      <x:c r="AD558" s="17" t="n">
        <x:f>IF('Control Room'!$B$5="Normal",'Control Room'!$B$7,('Control Room'!$B$8+'Control Room'!$D$8)/2)+'Control Room'!$B$9*(AD557-IF('Control Room'!$B$5="Normal",'Control Room'!$B$7,('Control Room'!$B$8+'Control Room'!$D$8)/2))+SQRT(1-'Control Room'!$B$9^2)*(AC558-IF('Control Room'!$B$5="Normal",'Control Room'!$B$7,('Control Room'!$B$8+'Control Room'!$D$8)/2))</x:f>
        <x:v>1072.3687733812842</x:v>
      </x:c>
      <x:c r="AE558" s="17" t="n">
        <x:f>IF(AND($A558&gt;='Control Room'!$A$13,$A558&lt;'Control Room'!$A$13+'Control Room'!$B$13,'Process'!BP2=1),1+('Control Room'!$C$13-1)*EXP(-0.5*(($A558-'Control Room'!$A$13-('Control Room'!$B$13-1)/2)/MAX(0.5,'Control Room'!$B$13/4))^2),1)*IF(AND($A558&gt;='Control Room'!$A$14,$A558&lt;'Control Room'!$A$14+'Control Room'!$B$14,'Process'!BP3=1),1+('Control Room'!$C$14-1)*EXP(-0.5*(($A558-'Control Room'!$A$14-('Control Room'!$B$14-1)/2)/MAX(0.5,'Control Room'!$B$14/4))^2),1)*IF(AND($A558&gt;='Control Room'!$A$15,$A558&lt;'Control Room'!$A$15+'Control Room'!$B$15,'Process'!BP4=1),1+('Control Room'!$C$15-1)*EXP(-0.5*(($A558-'Control Room'!$A$15-('Control Room'!$B$15-1)/2)/MAX(0.5,'Control Room'!$B$15/4))^2),1)*IF(AND($A558&gt;='Control Room'!$A$16,$A558&lt;'Control Room'!$A$16+'Control Room'!$B$16,'Process'!BP5=1),1+('Control Room'!$C$16-1)*EXP(-0.5*(($A558-'Control Room'!$A$16-('Control Room'!$B$16-1)/2)/MAX(0.5,'Control Room'!$B$16/4))^2),1)</x:f>
        <x:v>1</x:v>
      </x:c>
      <x:c r="AF558" s="9" t="n">
        <x:f>MOD(AG557*16807,2147483647)</x:f>
        <x:v>139848985</x:v>
      </x:c>
      <x:c r="AG558" s="9" t="n">
        <x:f>MOD(AF558*16807,2147483647)</x:f>
        <x:v>1094781077</x:v>
      </x:c>
      <x:c r="AH558" s="17" t="n">
        <x:f>IF('Control Room'!$B$5="Normal",'Control Room'!$B$7+'Control Room'!$D$7*SQRT(-2*LN(MAX(0.000000000001,AF558/2147483647)))*COS(2*PI()*AG558/2147483647),'Control Room'!$B$8+('Control Room'!$D$8-'Control Room'!$B$8)*AF558/2147483647)</x:f>
        <x:v>790.041304364812</x:v>
      </x:c>
      <x:c r="AI558" s="17" t="n">
        <x:f>IF('Control Room'!$B$5="Normal",'Control Room'!$B$7,('Control Room'!$B$8+'Control Room'!$D$8)/2)+'Control Room'!$B$9*(AI557-IF('Control Room'!$B$5="Normal",'Control Room'!$B$7,('Control Room'!$B$8+'Control Room'!$D$8)/2))+SQRT(1-'Control Room'!$B$9^2)*(AH558-IF('Control Room'!$B$5="Normal",'Control Room'!$B$7,('Control Room'!$B$8+'Control Room'!$D$8)/2))</x:f>
        <x:v>987.4851049869625</x:v>
      </x:c>
      <x:c r="AJ558" s="17" t="n">
        <x:f>IF(AND($A558&gt;='Control Room'!$A$13,$A558&lt;'Control Room'!$A$13+'Control Room'!$B$13,'Process'!BQ2=1),1+('Control Room'!$C$13-1)*EXP(-0.5*(($A558-'Control Room'!$A$13-('Control Room'!$B$13-1)/2)/MAX(0.5,'Control Room'!$B$13/4))^2),1)*IF(AND($A558&gt;='Control Room'!$A$14,$A558&lt;'Control Room'!$A$14+'Control Room'!$B$14,'Process'!BQ3=1),1+('Control Room'!$C$14-1)*EXP(-0.5*(($A558-'Control Room'!$A$14-('Control Room'!$B$14-1)/2)/MAX(0.5,'Control Room'!$B$14/4))^2),1)*IF(AND($A558&gt;='Control Room'!$A$15,$A558&lt;'Control Room'!$A$15+'Control Room'!$B$15,'Process'!BQ4=1),1+('Control Room'!$C$15-1)*EXP(-0.5*(($A558-'Control Room'!$A$15-('Control Room'!$B$15-1)/2)/MAX(0.5,'Control Room'!$B$15/4))^2),1)*IF(AND($A558&gt;='Control Room'!$A$16,$A558&lt;'Control Room'!$A$16+'Control Room'!$B$16,'Process'!BQ5=1),1+('Control Room'!$C$16-1)*EXP(-0.5*(($A558-'Control Room'!$A$16-('Control Room'!$B$16-1)/2)/MAX(0.5,'Control Room'!$B$16/4))^2),1)</x:f>
        <x:v>1</x:v>
      </x:c>
      <x:c r="AK558" s="9" t="n">
        <x:f>MOD(AL557*16807,2147483647)</x:f>
        <x:v>204466346</x:v>
      </x:c>
      <x:c r="AL558" s="9" t="n">
        <x:f>MOD(AK558*16807,2147483647)</x:f>
        <x:v>492042022</x:v>
      </x:c>
      <x:c r="AM558" s="17" t="n">
        <x:f>IF('Control Room'!$B$5="Normal",'Control Room'!$B$7+'Control Room'!$D$7*SQRT(-2*LN(MAX(0.000000000001,AK558/2147483647)))*COS(2*PI()*AL558/2147483647),'Control Room'!$B$8+('Control Room'!$D$8-'Control Room'!$B$8)*AK558/2147483647)</x:f>
        <x:v>1025.5273520356066</x:v>
      </x:c>
      <x:c r="AN558" s="17" t="n">
        <x:f>IF('Control Room'!$B$5="Normal",'Control Room'!$B$7,('Control Room'!$B$8+'Control Room'!$D$8)/2)+'Control Room'!$B$9*(AN557-IF('Control Room'!$B$5="Normal",'Control Room'!$B$7,('Control Room'!$B$8+'Control Room'!$D$8)/2))+SQRT(1-'Control Room'!$B$9^2)*(AM558-IF('Control Room'!$B$5="Normal",'Control Room'!$B$7,('Control Room'!$B$8+'Control Room'!$D$8)/2))</x:f>
        <x:v>986.8404358216305</x:v>
      </x:c>
      <x:c r="AO558" s="17" t="n">
        <x:f>IF(AND($A558&gt;='Control Room'!$A$13,$A558&lt;'Control Room'!$A$13+'Control Room'!$B$13,'Process'!BR2=1),1+('Control Room'!$C$13-1)*EXP(-0.5*(($A558-'Control Room'!$A$13-('Control Room'!$B$13-1)/2)/MAX(0.5,'Control Room'!$B$13/4))^2),1)*IF(AND($A558&gt;='Control Room'!$A$14,$A558&lt;'Control Room'!$A$14+'Control Room'!$B$14,'Process'!BR3=1),1+('Control Room'!$C$14-1)*EXP(-0.5*(($A558-'Control Room'!$A$14-('Control Room'!$B$14-1)/2)/MAX(0.5,'Control Room'!$B$14/4))^2),1)*IF(AND($A558&gt;='Control Room'!$A$15,$A558&lt;'Control Room'!$A$15+'Control Room'!$B$15,'Process'!BR4=1),1+('Control Room'!$C$15-1)*EXP(-0.5*(($A558-'Control Room'!$A$15-('Control Room'!$B$15-1)/2)/MAX(0.5,'Control Room'!$B$15/4))^2),1)*IF(AND($A558&gt;='Control Room'!$A$16,$A558&lt;'Control Room'!$A$16+'Control Room'!$B$16,'Process'!BR5=1),1+('Control Room'!$C$16-1)*EXP(-0.5*(($A558-'Control Room'!$A$16-('Control Room'!$B$16-1)/2)/MAX(0.5,'Control Room'!$B$16/4))^2),1)</x:f>
        <x:v>1</x:v>
      </x:c>
      <x:c r="AP558" s="9" t="n">
        <x:f>MOD(AQ557*16807,2147483647)</x:f>
        <x:v>269083707</x:v>
      </x:c>
      <x:c r="AQ558" s="9" t="n">
        <x:f>MOD(AP558*16807,2147483647)</x:f>
        <x:v>2036786614</x:v>
      </x:c>
      <x:c r="AR558" s="17" t="n">
        <x:f>IF('Control Room'!$B$5="Normal",'Control Room'!$B$7+'Control Room'!$D$7*SQRT(-2*LN(MAX(0.000000000001,AP558/2147483647)))*COS(2*PI()*AQ558/2147483647),'Control Room'!$B$8+('Control Room'!$D$8-'Control Room'!$B$8)*AP558/2147483647)</x:f>
        <x:v>1173.8963764752955</x:v>
      </x:c>
      <x:c r="AS558" s="17" t="n">
        <x:f>IF('Control Room'!$B$5="Normal",'Control Room'!$B$7,('Control Room'!$B$8+'Control Room'!$D$8)/2)+'Control Room'!$B$9*(AS557-IF('Control Room'!$B$5="Normal",'Control Room'!$B$7,('Control Room'!$B$8+'Control Room'!$D$8)/2))+SQRT(1-'Control Room'!$B$9^2)*(AR558-IF('Control Room'!$B$5="Normal",'Control Room'!$B$7,('Control Room'!$B$8+'Control Room'!$D$8)/2))</x:f>
        <x:v>1174.49711935355</x:v>
      </x:c>
      <x:c r="AT558" s="17" t="n">
        <x:f>IF(AND($A558&gt;='Control Room'!$A$13,$A558&lt;'Control Room'!$A$13+'Control Room'!$B$13,'Process'!BS2=1),1+('Control Room'!$C$13-1)*EXP(-0.5*(($A558-'Control Room'!$A$13-('Control Room'!$B$13-1)/2)/MAX(0.5,'Control Room'!$B$13/4))^2),1)*IF(AND($A558&gt;='Control Room'!$A$14,$A558&lt;'Control Room'!$A$14+'Control Room'!$B$14,'Process'!BS3=1),1+('Control Room'!$C$14-1)*EXP(-0.5*(($A558-'Control Room'!$A$14-('Control Room'!$B$14-1)/2)/MAX(0.5,'Control Room'!$B$14/4))^2),1)*IF(AND($A558&gt;='Control Room'!$A$15,$A558&lt;'Control Room'!$A$15+'Control Room'!$B$15,'Process'!BS4=1),1+('Control Room'!$C$15-1)*EXP(-0.5*(($A558-'Control Room'!$A$15-('Control Room'!$B$15-1)/2)/MAX(0.5,'Control Room'!$B$15/4))^2),1)*IF(AND($A558&gt;='Control Room'!$A$16,$A558&lt;'Control Room'!$A$16+'Control Room'!$B$16,'Process'!BS5=1),1+('Control Room'!$C$16-1)*EXP(-0.5*(($A558-'Control Room'!$A$16-('Control Room'!$B$16-1)/2)/MAX(0.5,'Control Room'!$B$16/4))^2),1)</x:f>
        <x:v>1</x:v>
      </x:c>
      <x:c r="AU558" s="9" t="n">
        <x:f>MOD(AV557*16807,2147483647)</x:f>
        <x:v>333701068</x:v>
      </x:c>
      <x:c r="AV558" s="9" t="n">
        <x:f>MOD(AU558*16807,2147483647)</x:f>
        <x:v>1434047559</x:v>
      </x:c>
      <x:c r="AW558" s="17" t="n">
        <x:f>IF('Control Room'!$B$5="Normal",'Control Room'!$B$7+'Control Room'!$D$7*SQRT(-2*LN(MAX(0.000000000001,AU558/2147483647)))*COS(2*PI()*AV558/2147483647),'Control Room'!$B$8+('Control Room'!$D$8-'Control Room'!$B$8)*AU558/2147483647)</x:f>
        <x:v>914.2196412200253</x:v>
      </x:c>
      <x:c r="AX558" s="17" t="n">
        <x:f>IF('Control Room'!$B$5="Normal",'Control Room'!$B$7,('Control Room'!$B$8+'Control Room'!$D$8)/2)+'Control Room'!$B$9*(AX557-IF('Control Room'!$B$5="Normal",'Control Room'!$B$7,('Control Room'!$B$8+'Control Room'!$D$8)/2))+SQRT(1-'Control Room'!$B$9^2)*(AW558-IF('Control Room'!$B$5="Normal",'Control Room'!$B$7,('Control Room'!$B$8+'Control Room'!$D$8)/2))</x:f>
        <x:v>860.169349155017</x:v>
      </x:c>
      <x:c r="AY558" s="17" t="n">
        <x:f>IF(AND($A558&gt;='Control Room'!$A$13,$A558&lt;'Control Room'!$A$13+'Control Room'!$B$13,'Process'!BT2=1),1+('Control Room'!$C$13-1)*EXP(-0.5*(($A558-'Control Room'!$A$13-('Control Room'!$B$13-1)/2)/MAX(0.5,'Control Room'!$B$13/4))^2),1)*IF(AND($A558&gt;='Control Room'!$A$14,$A558&lt;'Control Room'!$A$14+'Control Room'!$B$14,'Process'!BT3=1),1+('Control Room'!$C$14-1)*EXP(-0.5*(($A558-'Control Room'!$A$14-('Control Room'!$B$14-1)/2)/MAX(0.5,'Control Room'!$B$14/4))^2),1)*IF(AND($A558&gt;='Control Room'!$A$15,$A558&lt;'Control Room'!$A$15+'Control Room'!$B$15,'Process'!BT4=1),1+('Control Room'!$C$15-1)*EXP(-0.5*(($A558-'Control Room'!$A$15-('Control Room'!$B$15-1)/2)/MAX(0.5,'Control Room'!$B$15/4))^2),1)*IF(AND($A558&gt;='Control Room'!$A$16,$A558&lt;'Control Room'!$A$16+'Control Room'!$B$16,'Process'!BT5=1),1+('Control Room'!$C$16-1)*EXP(-0.5*(($A558-'Control Room'!$A$16-('Control Room'!$B$16-1)/2)/MAX(0.5,'Control Room'!$B$16/4))^2),1)</x:f>
        <x:v>1</x:v>
      </x:c>
      <x:c r="AZ558" s="9" t="n">
        <x:f>MOD(BA557*16807,2147483647)</x:f>
        <x:v>398318429</x:v>
      </x:c>
      <x:c r="BA558" s="9" t="n">
        <x:f>MOD(AZ558*16807,2147483647)</x:f>
        <x:v>831308504</x:v>
      </x:c>
      <x:c r="BB558" s="17" t="n">
        <x:f>IF('Control Room'!$B$5="Normal",'Control Room'!$B$7+'Control Room'!$D$7*SQRT(-2*LN(MAX(0.000000000001,AZ558/2147483647)))*COS(2*PI()*BA558/2147483647),'Control Room'!$B$8+('Control Room'!$D$8-'Control Room'!$B$8)*AZ558/2147483647)</x:f>
        <x:v>874.6391841196752</x:v>
      </x:c>
      <x:c r="BC558" s="17" t="n">
        <x:f>IF('Control Room'!$B$5="Normal",'Control Room'!$B$7,('Control Room'!$B$8+'Control Room'!$D$8)/2)+'Control Room'!$B$9*(BC557-IF('Control Room'!$B$5="Normal",'Control Room'!$B$7,('Control Room'!$B$8+'Control Room'!$D$8)/2))+SQRT(1-'Control Room'!$B$9^2)*(BB558-IF('Control Room'!$B$5="Normal",'Control Room'!$B$7,('Control Room'!$B$8+'Control Room'!$D$8)/2))</x:f>
        <x:v>928.2680817810552</x:v>
      </x:c>
      <x:c r="BD558" s="17" t="n">
        <x:f>IF(AND($A558&gt;='Control Room'!$A$13,$A558&lt;'Control Room'!$A$13+'Control Room'!$B$13,'Process'!BU2=1),1+('Control Room'!$C$13-1)*EXP(-0.5*(($A558-'Control Room'!$A$13-('Control Room'!$B$13-1)/2)/MAX(0.5,'Control Room'!$B$13/4))^2),1)*IF(AND($A558&gt;='Control Room'!$A$14,$A558&lt;'Control Room'!$A$14+'Control Room'!$B$14,'Process'!BU3=1),1+('Control Room'!$C$14-1)*EXP(-0.5*(($A558-'Control Room'!$A$14-('Control Room'!$B$14-1)/2)/MAX(0.5,'Control Room'!$B$14/4))^2),1)*IF(AND($A558&gt;='Control Room'!$A$15,$A558&lt;'Control Room'!$A$15+'Control Room'!$B$15,'Process'!BU4=1),1+('Control Room'!$C$15-1)*EXP(-0.5*(($A558-'Control Room'!$A$15-('Control Room'!$B$15-1)/2)/MAX(0.5,'Control Room'!$B$15/4))^2),1)*IF(AND($A558&gt;='Control Room'!$A$16,$A558&lt;'Control Room'!$A$16+'Control Room'!$B$16,'Process'!BU5=1),1+('Control Room'!$C$16-1)*EXP(-0.5*(($A558-'Control Room'!$A$16-('Control Room'!$B$16-1)/2)/MAX(0.5,'Control Room'!$B$16/4))^2),1)</x:f>
        <x:v>1</x:v>
      </x:c>
      <x:c r="BE558" s="9" t="n">
        <x:f>MOD(BF557*16807,2147483647)</x:f>
        <x:v>462935790</x:v>
      </x:c>
      <x:c r="BF558" s="9" t="n">
        <x:f>MOD(BE558*16807,2147483647)</x:f>
        <x:v>228569449</x:v>
      </x:c>
      <x:c r="BG558" s="17" t="n">
        <x:f>IF('Control Room'!$B$5="Normal",'Control Room'!$B$7+'Control Room'!$D$7*SQRT(-2*LN(MAX(0.000000000001,BE558/2147483647)))*COS(2*PI()*BF558/2147483647),'Control Room'!$B$8+('Control Room'!$D$8-'Control Room'!$B$8)*BE558/2147483647)</x:f>
        <x:v>1123.7030180080762</x:v>
      </x:c>
      <x:c r="BH558" s="17" t="n">
        <x:f>IF('Control Room'!$B$5="Normal",'Control Room'!$B$7,('Control Room'!$B$8+'Control Room'!$D$8)/2)+'Control Room'!$B$9*(BH557-IF('Control Room'!$B$5="Normal",'Control Room'!$B$7,('Control Room'!$B$8+'Control Room'!$D$8)/2))+SQRT(1-'Control Room'!$B$9^2)*(BG558-IF('Control Room'!$B$5="Normal",'Control Room'!$B$7,('Control Room'!$B$8+'Control Room'!$D$8)/2))</x:f>
        <x:v>1072.7202813500492</x:v>
      </x:c>
      <x:c r="BI558" s="17" t="n">
        <x:f>IF(AND($A558&gt;='Control Room'!$A$13,$A558&lt;'Control Room'!$A$13+'Control Room'!$B$13,'Process'!BV2=1),1+('Control Room'!$C$13-1)*EXP(-0.5*(($A558-'Control Room'!$A$13-('Control Room'!$B$13-1)/2)/MAX(0.5,'Control Room'!$B$13/4))^2),1)*IF(AND($A558&gt;='Control Room'!$A$14,$A558&lt;'Control Room'!$A$14+'Control Room'!$B$14,'Process'!BV3=1),1+('Control Room'!$C$14-1)*EXP(-0.5*(($A558-'Control Room'!$A$14-('Control Room'!$B$14-1)/2)/MAX(0.5,'Control Room'!$B$14/4))^2),1)*IF(AND($A558&gt;='Control Room'!$A$15,$A558&lt;'Control Room'!$A$15+'Control Room'!$B$15,'Process'!BV4=1),1+('Control Room'!$C$15-1)*EXP(-0.5*(($A558-'Control Room'!$A$15-('Control Room'!$B$15-1)/2)/MAX(0.5,'Control Room'!$B$15/4))^2),1)*IF(AND($A558&gt;='Control Room'!$A$16,$A558&lt;'Control Room'!$A$16+'Control Room'!$B$16,'Process'!BV5=1),1+('Control Room'!$C$16-1)*EXP(-0.5*(($A558-'Control Room'!$A$16-('Control Room'!$B$16-1)/2)/MAX(0.5,'Control Room'!$B$16/4))^2),1)</x:f>
        <x:v>1</x:v>
      </x:c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Z558" t="str">
        <x:f>IF('Data'!A558="","",TEXT('Data'!A558,"mm-dd"))</x:f>
      </x:c>
    </x:row>
    <x:row r="559" ht="21" customHeight="1">
      <x:c r="A559" s="15" t="n">
        <x:f>'Control Room'!$B$1+557</x:f>
        <x:v>73548</x:v>
      </x:c>
      <x:c r="B559" s="9" t="n">
        <x:f>MOD(C558*16807,2147483647)</x:f>
        <x:v>1527796912</x:v>
      </x:c>
      <x:c r="C559" s="9" t="n">
        <x:f>MOD(B559*16807,2147483647)</x:f>
        <x:v>220732805</x:v>
      </x:c>
      <x:c r="D559" s="17" t="n">
        <x:f>IF('Control Room'!$B$5="Normal",'Control Room'!$B$7+'Control Room'!$D$7*SQRT(-2*LN(MAX(0.000000000001,B559/2147483647)))*COS(2*PI()*C559/2147483647),'Control Room'!$B$8+('Control Room'!$D$8-'Control Room'!$B$8)*B559/2147483647)</x:f>
        <x:v>1059.309894160813</x:v>
      </x:c>
      <x:c r="E559" s="17" t="n">
        <x:f>IF('Control Room'!$B$5="Normal",'Control Room'!$B$7,('Control Room'!$B$8+'Control Room'!$D$8)/2)+'Control Room'!$B$9*(E558-IF('Control Room'!$B$5="Normal",'Control Room'!$B$7,('Control Room'!$B$8+'Control Room'!$D$8)/2))+SQRT(1-'Control Room'!$B$9^2)*(D559-IF('Control Room'!$B$5="Normal",'Control Room'!$B$7,('Control Room'!$B$8+'Control Room'!$D$8)/2))</x:f>
        <x:v>1049.2660792926508</x:v>
      </x:c>
      <x:c r="F559" s="17" t="n">
        <x:f>IF(AND($A559&gt;='Control Room'!$A$13,$A559&lt;'Control Room'!$A$13+'Control Room'!$B$13,'Process'!BK2=1),1+('Control Room'!$C$13-1)*EXP(-0.5*(($A559-'Control Room'!$A$13-('Control Room'!$B$13-1)/2)/MAX(0.5,'Control Room'!$B$13/4))^2),1)*IF(AND($A559&gt;='Control Room'!$A$14,$A559&lt;'Control Room'!$A$14+'Control Room'!$B$14,'Process'!BK3=1),1+('Control Room'!$C$14-1)*EXP(-0.5*(($A559-'Control Room'!$A$14-('Control Room'!$B$14-1)/2)/MAX(0.5,'Control Room'!$B$14/4))^2),1)*IF(AND($A559&gt;='Control Room'!$A$15,$A559&lt;'Control Room'!$A$15+'Control Room'!$B$15,'Process'!BK4=1),1+('Control Room'!$C$15-1)*EXP(-0.5*(($A559-'Control Room'!$A$15-('Control Room'!$B$15-1)/2)/MAX(0.5,'Control Room'!$B$15/4))^2),1)*IF(AND($A559&gt;='Control Room'!$A$16,$A559&lt;'Control Room'!$A$16+'Control Room'!$B$16,'Process'!BK5=1),1+('Control Room'!$C$16-1)*EXP(-0.5*(($A559-'Control Room'!$A$16-('Control Room'!$B$16-1)/2)/MAX(0.5,'Control Room'!$B$16/4))^2),1)</x:f>
        <x:v>1</x:v>
      </x:c>
      <x:c r="G559" s="9" t="n">
        <x:f>MOD(H558*16807,2147483647)</x:f>
        <x:v>972862426</x:v>
      </x:c>
      <x:c r="H559" s="9" t="n">
        <x:f>MOD(G559*16807,2147483647)</x:f>
        <x:v>2105789171</x:v>
      </x:c>
      <x:c r="I559" s="17" t="n">
        <x:f>IF('Control Room'!$B$5="Normal",'Control Room'!$B$7+'Control Room'!$D$7*SQRT(-2*LN(MAX(0.000000000001,G559/2147483647)))*COS(2*PI()*H559/2147483647),'Control Room'!$B$8+('Control Room'!$D$8-'Control Room'!$B$8)*G559/2147483647)</x:f>
        <x:v>1112.41602421053</x:v>
      </x:c>
      <x:c r="J559" s="17" t="n">
        <x:f>IF('Control Room'!$B$5="Normal",'Control Room'!$B$7,('Control Room'!$B$8+'Control Room'!$D$8)/2)+'Control Room'!$B$9*(J558-IF('Control Room'!$B$5="Normal",'Control Room'!$B$7,('Control Room'!$B$8+'Control Room'!$D$8)/2))+SQRT(1-'Control Room'!$B$9^2)*(I559-IF('Control Room'!$B$5="Normal",'Control Room'!$B$7,('Control Room'!$B$8+'Control Room'!$D$8)/2))</x:f>
        <x:v>1080.8752655936935</x:v>
      </x:c>
      <x:c r="K559" s="17" t="n">
        <x:f>IF(AND($A559&gt;='Control Room'!$A$13,$A559&lt;'Control Room'!$A$13+'Control Room'!$B$13,'Process'!BL2=1),1+('Control Room'!$C$13-1)*EXP(-0.5*(($A559-'Control Room'!$A$13-('Control Room'!$B$13-1)/2)/MAX(0.5,'Control Room'!$B$13/4))^2),1)*IF(AND($A559&gt;='Control Room'!$A$14,$A559&lt;'Control Room'!$A$14+'Control Room'!$B$14,'Process'!BL3=1),1+('Control Room'!$C$14-1)*EXP(-0.5*(($A559-'Control Room'!$A$14-('Control Room'!$B$14-1)/2)/MAX(0.5,'Control Room'!$B$14/4))^2),1)*IF(AND($A559&gt;='Control Room'!$A$15,$A559&lt;'Control Room'!$A$15+'Control Room'!$B$15,'Process'!BL4=1),1+('Control Room'!$C$15-1)*EXP(-0.5*(($A559-'Control Room'!$A$15-('Control Room'!$B$15-1)/2)/MAX(0.5,'Control Room'!$B$15/4))^2),1)*IF(AND($A559&gt;='Control Room'!$A$16,$A559&lt;'Control Room'!$A$16+'Control Room'!$B$16,'Process'!BL5=1),1+('Control Room'!$C$16-1)*EXP(-0.5*(($A559-'Control Room'!$A$16-('Control Room'!$B$16-1)/2)/MAX(0.5,'Control Room'!$B$16/4))^2),1)</x:f>
        <x:v>1</x:v>
      </x:c>
      <x:c r="L559" s="9" t="n">
        <x:f>MOD(M558*16807,2147483647)</x:f>
        <x:v>417927940</x:v>
      </x:c>
      <x:c r="M559" s="9" t="n">
        <x:f>MOD(L559*16807,2147483647)</x:f>
        <x:v>1843361890</x:v>
      </x:c>
      <x:c r="N559" s="17" t="n">
        <x:f>IF('Control Room'!$B$5="Normal",'Control Room'!$B$7+'Control Room'!$D$7*SQRT(-2*LN(MAX(0.000000000001,L559/2147483647)))*COS(2*PI()*M559/2147483647),'Control Room'!$B$8+('Control Room'!$D$8-'Control Room'!$B$8)*L559/2147483647)</x:f>
        <x:v>1102.5142914036328</x:v>
      </x:c>
      <x:c r="O559" s="17" t="n">
        <x:f>IF('Control Room'!$B$5="Normal",'Control Room'!$B$7,('Control Room'!$B$8+'Control Room'!$D$8)/2)+'Control Room'!$B$9*(O558-IF('Control Room'!$B$5="Normal",'Control Room'!$B$7,('Control Room'!$B$8+'Control Room'!$D$8)/2))+SQRT(1-'Control Room'!$B$9^2)*(N559-IF('Control Room'!$B$5="Normal",'Control Room'!$B$7,('Control Room'!$B$8+'Control Room'!$D$8)/2))</x:f>
        <x:v>1040.788811114162</x:v>
      </x:c>
      <x:c r="P559" s="17" t="n">
        <x:f>IF(AND($A559&gt;='Control Room'!$A$13,$A559&lt;'Control Room'!$A$13+'Control Room'!$B$13,'Process'!BM2=1),1+('Control Room'!$C$13-1)*EXP(-0.5*(($A559-'Control Room'!$A$13-('Control Room'!$B$13-1)/2)/MAX(0.5,'Control Room'!$B$13/4))^2),1)*IF(AND($A559&gt;='Control Room'!$A$14,$A559&lt;'Control Room'!$A$14+'Control Room'!$B$14,'Process'!BM3=1),1+('Control Room'!$C$14-1)*EXP(-0.5*(($A559-'Control Room'!$A$14-('Control Room'!$B$14-1)/2)/MAX(0.5,'Control Room'!$B$14/4))^2),1)*IF(AND($A559&gt;='Control Room'!$A$15,$A559&lt;'Control Room'!$A$15+'Control Room'!$B$15,'Process'!BM4=1),1+('Control Room'!$C$15-1)*EXP(-0.5*(($A559-'Control Room'!$A$15-('Control Room'!$B$15-1)/2)/MAX(0.5,'Control Room'!$B$15/4))^2),1)*IF(AND($A559&gt;='Control Room'!$A$16,$A559&lt;'Control Room'!$A$16+'Control Room'!$B$16,'Process'!BM5=1),1+('Control Room'!$C$16-1)*EXP(-0.5*(($A559-'Control Room'!$A$16-('Control Room'!$B$16-1)/2)/MAX(0.5,'Control Room'!$B$16/4))^2),1)</x:f>
        <x:v>1</x:v>
      </x:c>
      <x:c r="Q559" s="9" t="n">
        <x:f>MOD(R558*16807,2147483647)</x:f>
        <x:v>2010477101</x:v>
      </x:c>
      <x:c r="R559" s="9" t="n">
        <x:f>MOD(Q559*16807,2147483647)</x:f>
        <x:v>1580934609</x:v>
      </x:c>
      <x:c r="S559" s="17" t="n">
        <x:f>IF('Control Room'!$B$5="Normal",'Control Room'!$B$7+'Control Room'!$D$7*SQRT(-2*LN(MAX(0.000000000001,Q559/2147483647)))*COS(2*PI()*R559/2147483647),'Control Room'!$B$8+('Control Room'!$D$8-'Control Room'!$B$8)*Q559/2147483647)</x:f>
        <x:v>997.1658542910719</x:v>
      </x:c>
      <x:c r="T559" s="17" t="n">
        <x:f>IF('Control Room'!$B$5="Normal",'Control Room'!$B$7,('Control Room'!$B$8+'Control Room'!$D$8)/2)+'Control Room'!$B$9*(T558-IF('Control Room'!$B$5="Normal",'Control Room'!$B$7,('Control Room'!$B$8+'Control Room'!$D$8)/2))+SQRT(1-'Control Room'!$B$9^2)*(S559-IF('Control Room'!$B$5="Normal",'Control Room'!$B$7,('Control Room'!$B$8+'Control Room'!$D$8)/2))</x:f>
        <x:v>991.4178421319317</x:v>
      </x:c>
      <x:c r="U559" s="17" t="n">
        <x:f>IF(AND($A559&gt;='Control Room'!$A$13,$A559&lt;'Control Room'!$A$13+'Control Room'!$B$13,'Process'!BN2=1),1+('Control Room'!$C$13-1)*EXP(-0.5*(($A559-'Control Room'!$A$13-('Control Room'!$B$13-1)/2)/MAX(0.5,'Control Room'!$B$13/4))^2),1)*IF(AND($A559&gt;='Control Room'!$A$14,$A559&lt;'Control Room'!$A$14+'Control Room'!$B$14,'Process'!BN3=1),1+('Control Room'!$C$14-1)*EXP(-0.5*(($A559-'Control Room'!$A$14-('Control Room'!$B$14-1)/2)/MAX(0.5,'Control Room'!$B$14/4))^2),1)*IF(AND($A559&gt;='Control Room'!$A$15,$A559&lt;'Control Room'!$A$15+'Control Room'!$B$15,'Process'!BN4=1),1+('Control Room'!$C$15-1)*EXP(-0.5*(($A559-'Control Room'!$A$15-('Control Room'!$B$15-1)/2)/MAX(0.5,'Control Room'!$B$15/4))^2),1)*IF(AND($A559&gt;='Control Room'!$A$16,$A559&lt;'Control Room'!$A$16+'Control Room'!$B$16,'Process'!BN5=1),1+('Control Room'!$C$16-1)*EXP(-0.5*(($A559-'Control Room'!$A$16-('Control Room'!$B$16-1)/2)/MAX(0.5,'Control Room'!$B$16/4))^2),1)</x:f>
        <x:v>1</x:v>
      </x:c>
      <x:c r="V559" s="9" t="n">
        <x:f>MOD(W558*16807,2147483647)</x:f>
        <x:v>1455542615</x:v>
      </x:c>
      <x:c r="W559" s="9" t="n">
        <x:f>MOD(V559*16807,2147483647)</x:f>
        <x:v>1318507328</x:v>
      </x:c>
      <x:c r="X559" s="17" t="n">
        <x:f>IF('Control Room'!$B$5="Normal",'Control Room'!$B$7+'Control Room'!$D$7*SQRT(-2*LN(MAX(0.000000000001,V559/2147483647)))*COS(2*PI()*W559/2147483647),'Control Room'!$B$8+('Control Room'!$D$8-'Control Room'!$B$8)*V559/2147483647)</x:f>
        <x:v>940.1236496291099</x:v>
      </x:c>
      <x:c r="Y559" s="17" t="n">
        <x:f>IF('Control Room'!$B$5="Normal",'Control Room'!$B$7,('Control Room'!$B$8+'Control Room'!$D$8)/2)+'Control Room'!$B$9*(Y558-IF('Control Room'!$B$5="Normal",'Control Room'!$B$7,('Control Room'!$B$8+'Control Room'!$D$8)/2))+SQRT(1-'Control Room'!$B$9^2)*(X559-IF('Control Room'!$B$5="Normal",'Control Room'!$B$7,('Control Room'!$B$8+'Control Room'!$D$8)/2))</x:f>
        <x:v>1095.6120504142073</x:v>
      </x:c>
      <x:c r="Z559" s="17" t="n">
        <x:f>IF(AND($A559&gt;='Control Room'!$A$13,$A559&lt;'Control Room'!$A$13+'Control Room'!$B$13,'Process'!BO2=1),1+('Control Room'!$C$13-1)*EXP(-0.5*(($A559-'Control Room'!$A$13-('Control Room'!$B$13-1)/2)/MAX(0.5,'Control Room'!$B$13/4))^2),1)*IF(AND($A559&gt;='Control Room'!$A$14,$A559&lt;'Control Room'!$A$14+'Control Room'!$B$14,'Process'!BO3=1),1+('Control Room'!$C$14-1)*EXP(-0.5*(($A559-'Control Room'!$A$14-('Control Room'!$B$14-1)/2)/MAX(0.5,'Control Room'!$B$14/4))^2),1)*IF(AND($A559&gt;='Control Room'!$A$15,$A559&lt;'Control Room'!$A$15+'Control Room'!$B$15,'Process'!BO4=1),1+('Control Room'!$C$15-1)*EXP(-0.5*(($A559-'Control Room'!$A$15-('Control Room'!$B$15-1)/2)/MAX(0.5,'Control Room'!$B$15/4))^2),1)*IF(AND($A559&gt;='Control Room'!$A$16,$A559&lt;'Control Room'!$A$16+'Control Room'!$B$16,'Process'!BO5=1),1+('Control Room'!$C$16-1)*EXP(-0.5*(($A559-'Control Room'!$A$16-('Control Room'!$B$16-1)/2)/MAX(0.5,'Control Room'!$B$16/4))^2),1)</x:f>
        <x:v>1</x:v>
      </x:c>
      <x:c r="AA559" s="9" t="n">
        <x:f>MOD(AB558*16807,2147483647)</x:f>
        <x:v>900608129</x:v>
      </x:c>
      <x:c r="AB559" s="9" t="n">
        <x:f>MOD(AA559*16807,2147483647)</x:f>
        <x:v>1056080047</x:v>
      </x:c>
      <x:c r="AC559" s="17" t="n">
        <x:f>IF('Control Room'!$B$5="Normal",'Control Room'!$B$7+'Control Room'!$D$7*SQRT(-2*LN(MAX(0.000000000001,AA559/2147483647)))*COS(2*PI()*AB559/2147483647),'Control Room'!$B$8+('Control Room'!$D$8-'Control Room'!$B$8)*AA559/2147483647)</x:f>
        <x:v>881.5097186615519</x:v>
      </x:c>
      <x:c r="AD559" s="17" t="n">
        <x:f>IF('Control Room'!$B$5="Normal",'Control Room'!$B$7,('Control Room'!$B$8+'Control Room'!$D$8)/2)+'Control Room'!$B$9*(AD558-IF('Control Room'!$B$5="Normal",'Control Room'!$B$7,('Control Room'!$B$8+'Control Room'!$D$8)/2))+SQRT(1-'Control Room'!$B$9^2)*(AC559-IF('Control Room'!$B$5="Normal",'Control Room'!$B$7,('Control Room'!$B$8+'Control Room'!$D$8)/2))</x:f>
        <x:v>982.2988525811554</x:v>
      </x:c>
      <x:c r="AE559" s="17" t="n">
        <x:f>IF(AND($A559&gt;='Control Room'!$A$13,$A559&lt;'Control Room'!$A$13+'Control Room'!$B$13,'Process'!BP2=1),1+('Control Room'!$C$13-1)*EXP(-0.5*(($A559-'Control Room'!$A$13-('Control Room'!$B$13-1)/2)/MAX(0.5,'Control Room'!$B$13/4))^2),1)*IF(AND($A559&gt;='Control Room'!$A$14,$A559&lt;'Control Room'!$A$14+'Control Room'!$B$14,'Process'!BP3=1),1+('Control Room'!$C$14-1)*EXP(-0.5*(($A559-'Control Room'!$A$14-('Control Room'!$B$14-1)/2)/MAX(0.5,'Control Room'!$B$14/4))^2),1)*IF(AND($A559&gt;='Control Room'!$A$15,$A559&lt;'Control Room'!$A$15+'Control Room'!$B$15,'Process'!BP4=1),1+('Control Room'!$C$15-1)*EXP(-0.5*(($A559-'Control Room'!$A$15-('Control Room'!$B$15-1)/2)/MAX(0.5,'Control Room'!$B$15/4))^2),1)*IF(AND($A559&gt;='Control Room'!$A$16,$A559&lt;'Control Room'!$A$16+'Control Room'!$B$16,'Process'!BP5=1),1+('Control Room'!$C$16-1)*EXP(-0.5*(($A559-'Control Room'!$A$16-('Control Room'!$B$16-1)/2)/MAX(0.5,'Control Room'!$B$16/4))^2),1)</x:f>
        <x:v>1</x:v>
      </x:c>
      <x:c r="AF559" s="9" t="n">
        <x:f>MOD(AG558*16807,2147483647)</x:f>
        <x:v>345673643</x:v>
      </x:c>
      <x:c r="AG559" s="9" t="n">
        <x:f>MOD(AF559*16807,2147483647)</x:f>
        <x:v>793652766</x:v>
      </x:c>
      <x:c r="AH559" s="17" t="n">
        <x:f>IF('Control Room'!$B$5="Normal",'Control Room'!$B$7+'Control Room'!$D$7*SQRT(-2*LN(MAX(0.000000000001,AF559/2147483647)))*COS(2*PI()*AG559/2147483647),'Control Room'!$B$8+('Control Room'!$D$8-'Control Room'!$B$8)*AF559/2147483647)</x:f>
        <x:v>882.582075051184</x:v>
      </x:c>
      <x:c r="AI559" s="17" t="n">
        <x:f>IF('Control Room'!$B$5="Normal",'Control Room'!$B$7,('Control Room'!$B$8+'Control Room'!$D$8)/2)+'Control Room'!$B$9*(AI558-IF('Control Room'!$B$5="Normal",'Control Room'!$B$7,('Control Room'!$B$8+'Control Room'!$D$8)/2))+SQRT(1-'Control Room'!$B$9^2)*(AH559-IF('Control Room'!$B$5="Normal",'Control Room'!$B$7,('Control Room'!$B$8+'Control Room'!$D$8)/2))</x:f>
        <x:v>916.7606498938014</x:v>
      </x:c>
      <x:c r="AJ559" s="17" t="n">
        <x:f>IF(AND($A559&gt;='Control Room'!$A$13,$A559&lt;'Control Room'!$A$13+'Control Room'!$B$13,'Process'!BQ2=1),1+('Control Room'!$C$13-1)*EXP(-0.5*(($A559-'Control Room'!$A$13-('Control Room'!$B$13-1)/2)/MAX(0.5,'Control Room'!$B$13/4))^2),1)*IF(AND($A559&gt;='Control Room'!$A$14,$A559&lt;'Control Room'!$A$14+'Control Room'!$B$14,'Process'!BQ3=1),1+('Control Room'!$C$14-1)*EXP(-0.5*(($A559-'Control Room'!$A$14-('Control Room'!$B$14-1)/2)/MAX(0.5,'Control Room'!$B$14/4))^2),1)*IF(AND($A559&gt;='Control Room'!$A$15,$A559&lt;'Control Room'!$A$15+'Control Room'!$B$15,'Process'!BQ4=1),1+('Control Room'!$C$15-1)*EXP(-0.5*(($A559-'Control Room'!$A$15-('Control Room'!$B$15-1)/2)/MAX(0.5,'Control Room'!$B$15/4))^2),1)*IF(AND($A559&gt;='Control Room'!$A$16,$A559&lt;'Control Room'!$A$16+'Control Room'!$B$16,'Process'!BQ5=1),1+('Control Room'!$C$16-1)*EXP(-0.5*(($A559-'Control Room'!$A$16-('Control Room'!$B$16-1)/2)/MAX(0.5,'Control Room'!$B$16/4))^2),1)</x:f>
        <x:v>1</x:v>
      </x:c>
      <x:c r="AK559" s="9" t="n">
        <x:f>MOD(AL558*16807,2147483647)</x:f>
        <x:v>1938222804</x:v>
      </x:c>
      <x:c r="AL559" s="9" t="n">
        <x:f>MOD(AK559*16807,2147483647)</x:f>
        <x:v>531225485</x:v>
      </x:c>
      <x:c r="AM559" s="17" t="n">
        <x:f>IF('Control Room'!$B$5="Normal",'Control Room'!$B$7+'Control Room'!$D$7*SQRT(-2*LN(MAX(0.000000000001,AK559/2147483647)))*COS(2*PI()*AL559/2147483647),'Control Room'!$B$8+('Control Room'!$D$8-'Control Room'!$B$8)*AK559/2147483647)</x:f>
        <x:v>1000.6731316882336</x:v>
      </x:c>
      <x:c r="AN559" s="17" t="n">
        <x:f>IF('Control Room'!$B$5="Normal",'Control Room'!$B$7,('Control Room'!$B$8+'Control Room'!$D$8)/2)+'Control Room'!$B$9*(AN558-IF('Control Room'!$B$5="Normal",'Control Room'!$B$7,('Control Room'!$B$8+'Control Room'!$D$8)/2))+SQRT(1-'Control Room'!$B$9^2)*(AM559-IF('Control Room'!$B$5="Normal",'Control Room'!$B$7,('Control Room'!$B$8+'Control Room'!$D$8)/2))</x:f>
        <x:v>990.1567719615163</x:v>
      </x:c>
      <x:c r="AO559" s="17" t="n">
        <x:f>IF(AND($A559&gt;='Control Room'!$A$13,$A559&lt;'Control Room'!$A$13+'Control Room'!$B$13,'Process'!BR2=1),1+('Control Room'!$C$13-1)*EXP(-0.5*(($A559-'Control Room'!$A$13-('Control Room'!$B$13-1)/2)/MAX(0.5,'Control Room'!$B$13/4))^2),1)*IF(AND($A559&gt;='Control Room'!$A$14,$A559&lt;'Control Room'!$A$14+'Control Room'!$B$14,'Process'!BR3=1),1+('Control Room'!$C$14-1)*EXP(-0.5*(($A559-'Control Room'!$A$14-('Control Room'!$B$14-1)/2)/MAX(0.5,'Control Room'!$B$14/4))^2),1)*IF(AND($A559&gt;='Control Room'!$A$15,$A559&lt;'Control Room'!$A$15+'Control Room'!$B$15,'Process'!BR4=1),1+('Control Room'!$C$15-1)*EXP(-0.5*(($A559-'Control Room'!$A$15-('Control Room'!$B$15-1)/2)/MAX(0.5,'Control Room'!$B$15/4))^2),1)*IF(AND($A559&gt;='Control Room'!$A$16,$A559&lt;'Control Room'!$A$16+'Control Room'!$B$16,'Process'!BR5=1),1+('Control Room'!$C$16-1)*EXP(-0.5*(($A559-'Control Room'!$A$16-('Control Room'!$B$16-1)/2)/MAX(0.5,'Control Room'!$B$16/4))^2),1)</x:f>
        <x:v>1</x:v>
      </x:c>
      <x:c r="AP559" s="9" t="n">
        <x:f>MOD(AQ558*16807,2147483647)</x:f>
        <x:v>1383288318</x:v>
      </x:c>
      <x:c r="AQ559" s="9" t="n">
        <x:f>MOD(AP559*16807,2147483647)</x:f>
        <x:v>268798204</x:v>
      </x:c>
      <x:c r="AR559" s="17" t="n">
        <x:f>IF('Control Room'!$B$5="Normal",'Control Room'!$B$7+'Control Room'!$D$7*SQRT(-2*LN(MAX(0.000000000001,AP559/2147483647)))*COS(2*PI()*AQ559/2147483647),'Control Room'!$B$8+('Control Room'!$D$8-'Control Room'!$B$8)*AP559/2147483647)</x:f>
        <x:v>1059.6245503488137</x:v>
      </x:c>
      <x:c r="AS559" s="17" t="n">
        <x:f>IF('Control Room'!$B$5="Normal",'Control Room'!$B$7,('Control Room'!$B$8+'Control Room'!$D$8)/2)+'Control Room'!$B$9*(AS558-IF('Control Room'!$B$5="Normal",'Control Room'!$B$7,('Control Room'!$B$8+'Control Room'!$D$8)/2))+SQRT(1-'Control Room'!$B$9^2)*(AR559-IF('Control Room'!$B$5="Normal",'Control Room'!$B$7,('Control Room'!$B$8+'Control Room'!$D$8)/2))</x:f>
        <x:v>1173.4195752287496</x:v>
      </x:c>
      <x:c r="AT559" s="17" t="n">
        <x:f>IF(AND($A559&gt;='Control Room'!$A$13,$A559&lt;'Control Room'!$A$13+'Control Room'!$B$13,'Process'!BS2=1),1+('Control Room'!$C$13-1)*EXP(-0.5*(($A559-'Control Room'!$A$13-('Control Room'!$B$13-1)/2)/MAX(0.5,'Control Room'!$B$13/4))^2),1)*IF(AND($A559&gt;='Control Room'!$A$14,$A559&lt;'Control Room'!$A$14+'Control Room'!$B$14,'Process'!BS3=1),1+('Control Room'!$C$14-1)*EXP(-0.5*(($A559-'Control Room'!$A$14-('Control Room'!$B$14-1)/2)/MAX(0.5,'Control Room'!$B$14/4))^2),1)*IF(AND($A559&gt;='Control Room'!$A$15,$A559&lt;'Control Room'!$A$15+'Control Room'!$B$15,'Process'!BS4=1),1+('Control Room'!$C$15-1)*EXP(-0.5*(($A559-'Control Room'!$A$15-('Control Room'!$B$15-1)/2)/MAX(0.5,'Control Room'!$B$15/4))^2),1)*IF(AND($A559&gt;='Control Room'!$A$16,$A559&lt;'Control Room'!$A$16+'Control Room'!$B$16,'Process'!BS5=1),1+('Control Room'!$C$16-1)*EXP(-0.5*(($A559-'Control Room'!$A$16-('Control Room'!$B$16-1)/2)/MAX(0.5,'Control Room'!$B$16/4))^2),1)</x:f>
        <x:v>1</x:v>
      </x:c>
      <x:c r="AU559" s="9" t="n">
        <x:f>MOD(AV558*16807,2147483647)</x:f>
        <x:v>828353832</x:v>
      </x:c>
      <x:c r="AV559" s="9" t="n">
        <x:f>MOD(AU559*16807,2147483647)</x:f>
        <x:v>6370923</x:v>
      </x:c>
      <x:c r="AW559" s="17" t="n">
        <x:f>IF('Control Room'!$B$5="Normal",'Control Room'!$B$7+'Control Room'!$D$7*SQRT(-2*LN(MAX(0.000000000001,AU559/2147483647)))*COS(2*PI()*AV559/2147483647),'Control Room'!$B$8+('Control Room'!$D$8-'Control Room'!$B$8)*AU559/2147483647)</x:f>
        <x:v>1124.2052620487889</x:v>
      </x:c>
      <x:c r="AX559" s="17" t="n">
        <x:f>IF('Control Room'!$B$5="Normal",'Control Room'!$B$7,('Control Room'!$B$8+'Control Room'!$D$8)/2)+'Control Room'!$B$9*(AX558-IF('Control Room'!$B$5="Normal",'Control Room'!$B$7,('Control Room'!$B$8+'Control Room'!$D$8)/2))+SQRT(1-'Control Room'!$B$9^2)*(AW559-IF('Control Room'!$B$5="Normal",'Control Room'!$B$7,('Control Room'!$B$8+'Control Room'!$D$8)/2))</x:f>
        <x:v>968.6572008479474</x:v>
      </x:c>
      <x:c r="AY559" s="17" t="n">
        <x:f>IF(AND($A559&gt;='Control Room'!$A$13,$A559&lt;'Control Room'!$A$13+'Control Room'!$B$13,'Process'!BT2=1),1+('Control Room'!$C$13-1)*EXP(-0.5*(($A559-'Control Room'!$A$13-('Control Room'!$B$13-1)/2)/MAX(0.5,'Control Room'!$B$13/4))^2),1)*IF(AND($A559&gt;='Control Room'!$A$14,$A559&lt;'Control Room'!$A$14+'Control Room'!$B$14,'Process'!BT3=1),1+('Control Room'!$C$14-1)*EXP(-0.5*(($A559-'Control Room'!$A$14-('Control Room'!$B$14-1)/2)/MAX(0.5,'Control Room'!$B$14/4))^2),1)*IF(AND($A559&gt;='Control Room'!$A$15,$A559&lt;'Control Room'!$A$15+'Control Room'!$B$15,'Process'!BT4=1),1+('Control Room'!$C$15-1)*EXP(-0.5*(($A559-'Control Room'!$A$15-('Control Room'!$B$15-1)/2)/MAX(0.5,'Control Room'!$B$15/4))^2),1)*IF(AND($A559&gt;='Control Room'!$A$16,$A559&lt;'Control Room'!$A$16+'Control Room'!$B$16,'Process'!BT5=1),1+('Control Room'!$C$16-1)*EXP(-0.5*(($A559-'Control Room'!$A$16-('Control Room'!$B$16-1)/2)/MAX(0.5,'Control Room'!$B$16/4))^2),1)</x:f>
        <x:v>1</x:v>
      </x:c>
      <x:c r="AZ559" s="9" t="n">
        <x:f>MOD(BA558*16807,2147483647)</x:f>
        <x:v>273419346</x:v>
      </x:c>
      <x:c r="BA559" s="9" t="n">
        <x:f>MOD(AZ559*16807,2147483647)</x:f>
        <x:v>1891427289</x:v>
      </x:c>
      <x:c r="BB559" s="17" t="n">
        <x:f>IF('Control Room'!$B$5="Normal",'Control Room'!$B$7+'Control Room'!$D$7*SQRT(-2*LN(MAX(0.000000000001,AZ559/2147483647)))*COS(2*PI()*BA559/2147483647),'Control Room'!$B$8+('Control Room'!$D$8-'Control Room'!$B$8)*AZ559/2147483647)</x:f>
        <x:v>1133.801087291968</x:v>
      </x:c>
      <x:c r="BC559" s="17" t="n">
        <x:f>IF('Control Room'!$B$5="Normal",'Control Room'!$B$7,('Control Room'!$B$8+'Control Room'!$D$8)/2)+'Control Room'!$B$9*(BC558-IF('Control Room'!$B$5="Normal",'Control Room'!$B$7,('Control Room'!$B$8+'Control Room'!$D$8)/2))+SQRT(1-'Control Room'!$B$9^2)*(BB559-IF('Control Room'!$B$5="Normal",'Control Room'!$B$7,('Control Room'!$B$8+'Control Room'!$D$8)/2))</x:f>
        <x:v>1027.7790831522734</x:v>
      </x:c>
      <x:c r="BD559" s="17" t="n">
        <x:f>IF(AND($A559&gt;='Control Room'!$A$13,$A559&lt;'Control Room'!$A$13+'Control Room'!$B$13,'Process'!BU2=1),1+('Control Room'!$C$13-1)*EXP(-0.5*(($A559-'Control Room'!$A$13-('Control Room'!$B$13-1)/2)/MAX(0.5,'Control Room'!$B$13/4))^2),1)*IF(AND($A559&gt;='Control Room'!$A$14,$A559&lt;'Control Room'!$A$14+'Control Room'!$B$14,'Process'!BU3=1),1+('Control Room'!$C$14-1)*EXP(-0.5*(($A559-'Control Room'!$A$14-('Control Room'!$B$14-1)/2)/MAX(0.5,'Control Room'!$B$14/4))^2),1)*IF(AND($A559&gt;='Control Room'!$A$15,$A559&lt;'Control Room'!$A$15+'Control Room'!$B$15,'Process'!BU4=1),1+('Control Room'!$C$15-1)*EXP(-0.5*(($A559-'Control Room'!$A$15-('Control Room'!$B$15-1)/2)/MAX(0.5,'Control Room'!$B$15/4))^2),1)*IF(AND($A559&gt;='Control Room'!$A$16,$A559&lt;'Control Room'!$A$16+'Control Room'!$B$16,'Process'!BU5=1),1+('Control Room'!$C$16-1)*EXP(-0.5*(($A559-'Control Room'!$A$16-('Control Room'!$B$16-1)/2)/MAX(0.5,'Control Room'!$B$16/4))^2),1)</x:f>
        <x:v>1</x:v>
      </x:c>
      <x:c r="BE559" s="9" t="n">
        <x:f>MOD(BF558*16807,2147483647)</x:f>
        <x:v>1865968507</x:v>
      </x:c>
      <x:c r="BF559" s="9" t="n">
        <x:f>MOD(BE559*16807,2147483647)</x:f>
        <x:v>1629000008</x:v>
      </x:c>
      <x:c r="BG559" s="17" t="n">
        <x:f>IF('Control Room'!$B$5="Normal",'Control Room'!$B$7+'Control Room'!$D$7*SQRT(-2*LN(MAX(0.000000000001,BE559/2147483647)))*COS(2*PI()*BF559/2147483647),'Control Room'!$B$8+('Control Room'!$D$8-'Control Room'!$B$8)*BE559/2147483647)</x:f>
        <x:v>1002.5655414286759</x:v>
      </x:c>
      <x:c r="BH559" s="17" t="n">
        <x:f>IF('Control Room'!$B$5="Normal",'Control Room'!$B$7,('Control Room'!$B$8+'Control Room'!$D$8)/2)+'Control Room'!$B$9*(BH558-IF('Control Room'!$B$5="Normal",'Control Room'!$B$7,('Control Room'!$B$8+'Control Room'!$D$8)/2))+SQRT(1-'Control Room'!$B$9^2)*(BG559-IF('Control Room'!$B$5="Normal",'Control Room'!$B$7,('Control Room'!$B$8+'Control Room'!$D$8)/2))</x:f>
        <x:v>1058.3272827211308</x:v>
      </x:c>
      <x:c r="BI559" s="17" t="n">
        <x:f>IF(AND($A559&gt;='Control Room'!$A$13,$A559&lt;'Control Room'!$A$13+'Control Room'!$B$13,'Process'!BV2=1),1+('Control Room'!$C$13-1)*EXP(-0.5*(($A559-'Control Room'!$A$13-('Control Room'!$B$13-1)/2)/MAX(0.5,'Control Room'!$B$13/4))^2),1)*IF(AND($A559&gt;='Control Room'!$A$14,$A559&lt;'Control Room'!$A$14+'Control Room'!$B$14,'Process'!BV3=1),1+('Control Room'!$C$14-1)*EXP(-0.5*(($A559-'Control Room'!$A$14-('Control Room'!$B$14-1)/2)/MAX(0.5,'Control Room'!$B$14/4))^2),1)*IF(AND($A559&gt;='Control Room'!$A$15,$A559&lt;'Control Room'!$A$15+'Control Room'!$B$15,'Process'!BV4=1),1+('Control Room'!$C$15-1)*EXP(-0.5*(($A559-'Control Room'!$A$15-('Control Room'!$B$15-1)/2)/MAX(0.5,'Control Room'!$B$15/4))^2),1)*IF(AND($A559&gt;='Control Room'!$A$16,$A559&lt;'Control Room'!$A$16+'Control Room'!$B$16,'Process'!BV5=1),1+('Control Room'!$C$16-1)*EXP(-0.5*(($A559-'Control Room'!$A$16-('Control Room'!$B$16-1)/2)/MAX(0.5,'Control Room'!$B$16/4))^2),1)</x:f>
        <x:v>1</x:v>
      </x:c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Z559" t="str">
        <x:f>IF('Data'!A559="","",TEXT('Data'!A559,"mm-dd"))</x:f>
      </x:c>
    </x:row>
    <x:row r="560" ht="21" customHeight="1">
      <x:c r="A560" s="15" t="n">
        <x:f>'Control Room'!$B$1+558</x:f>
        <x:v>73549</x:v>
      </x:c>
      <x:c r="B560" s="9" t="n">
        <x:f>MOD(C559*16807,2147483647)</x:f>
        <x:v>1151995266</x:v>
      </x:c>
      <x:c r="C560" s="9" t="n">
        <x:f>MOD(B560*16807,2147483647)</x:f>
        <x:v>2019357957</x:v>
      </x:c>
      <x:c r="D560" s="17" t="n">
        <x:f>IF('Control Room'!$B$5="Normal",'Control Room'!$B$7+'Control Room'!$D$7*SQRT(-2*LN(MAX(0.000000000001,B560/2147483647)))*COS(2*PI()*C560/2147483647),'Control Room'!$B$8+('Control Room'!$D$8-'Control Room'!$B$8)*B560/2147483647)</x:f>
        <x:v>1093.470292713769</x:v>
      </x:c>
      <x:c r="E560" s="17" t="n">
        <x:f>IF('Control Room'!$B$5="Normal",'Control Room'!$B$7,('Control Room'!$B$8+'Control Room'!$D$8)/2)+'Control Room'!$B$9*(E559-IF('Control Room'!$B$5="Normal",'Control Room'!$B$7,('Control Room'!$B$8+'Control Room'!$D$8)/2))+SQRT(1-'Control Room'!$B$9^2)*(D560-IF('Control Room'!$B$5="Normal",'Control Room'!$B$7,('Control Room'!$B$8+'Control Room'!$D$8)/2))</x:f>
        <x:v>1096.9193361855168</x:v>
      </x:c>
      <x:c r="F560" s="17" t="n">
        <x:f>IF(AND($A560&gt;='Control Room'!$A$13,$A560&lt;'Control Room'!$A$13+'Control Room'!$B$13,'Process'!BK2=1),1+('Control Room'!$C$13-1)*EXP(-0.5*(($A560-'Control Room'!$A$13-('Control Room'!$B$13-1)/2)/MAX(0.5,'Control Room'!$B$13/4))^2),1)*IF(AND($A560&gt;='Control Room'!$A$14,$A560&lt;'Control Room'!$A$14+'Control Room'!$B$14,'Process'!BK3=1),1+('Control Room'!$C$14-1)*EXP(-0.5*(($A560-'Control Room'!$A$14-('Control Room'!$B$14-1)/2)/MAX(0.5,'Control Room'!$B$14/4))^2),1)*IF(AND($A560&gt;='Control Room'!$A$15,$A560&lt;'Control Room'!$A$15+'Control Room'!$B$15,'Process'!BK4=1),1+('Control Room'!$C$15-1)*EXP(-0.5*(($A560-'Control Room'!$A$15-('Control Room'!$B$15-1)/2)/MAX(0.5,'Control Room'!$B$15/4))^2),1)*IF(AND($A560&gt;='Control Room'!$A$16,$A560&lt;'Control Room'!$A$16+'Control Room'!$B$16,'Process'!BK5=1),1+('Control Room'!$C$16-1)*EXP(-0.5*(($A560-'Control Room'!$A$16-('Control Room'!$B$16-1)/2)/MAX(0.5,'Control Room'!$B$16/4))^2),1)</x:f>
        <x:v>1</x:v>
      </x:c>
      <x:c r="G560" s="9" t="n">
        <x:f>MOD(H559*16807,2147483647)</x:f>
        <x:v>1468094437</x:v>
      </x:c>
      <x:c r="H560" s="9" t="n">
        <x:f>MOD(G560*16807,2147483647)</x:f>
        <x:v>1823582276</x:v>
      </x:c>
      <x:c r="I560" s="17" t="n">
        <x:f>IF('Control Room'!$B$5="Normal",'Control Room'!$B$7+'Control Room'!$D$7*SQRT(-2*LN(MAX(0.000000000001,G560/2147483647)))*COS(2*PI()*H560/2147483647),'Control Room'!$B$8+('Control Room'!$D$8-'Control Room'!$B$8)*G560/2147483647)</x:f>
        <x:v>1045.806719481753</x:v>
      </x:c>
      <x:c r="J560" s="17" t="n">
        <x:f>IF('Control Room'!$B$5="Normal",'Control Room'!$B$7,('Control Room'!$B$8+'Control Room'!$D$8)/2)+'Control Room'!$B$9*(J559-IF('Control Room'!$B$5="Normal",'Control Room'!$B$7,('Control Room'!$B$8+'Control Room'!$D$8)/2))+SQRT(1-'Control Room'!$B$9^2)*(I560-IF('Control Room'!$B$5="Normal",'Control Room'!$B$7,('Control Room'!$B$8+'Control Room'!$D$8)/2))</x:f>
        <x:v>1091.7476138131065</x:v>
      </x:c>
      <x:c r="K560" s="17" t="n">
        <x:f>IF(AND($A560&gt;='Control Room'!$A$13,$A560&lt;'Control Room'!$A$13+'Control Room'!$B$13,'Process'!BL2=1),1+('Control Room'!$C$13-1)*EXP(-0.5*(($A560-'Control Room'!$A$13-('Control Room'!$B$13-1)/2)/MAX(0.5,'Control Room'!$B$13/4))^2),1)*IF(AND($A560&gt;='Control Room'!$A$14,$A560&lt;'Control Room'!$A$14+'Control Room'!$B$14,'Process'!BL3=1),1+('Control Room'!$C$14-1)*EXP(-0.5*(($A560-'Control Room'!$A$14-('Control Room'!$B$14-1)/2)/MAX(0.5,'Control Room'!$B$14/4))^2),1)*IF(AND($A560&gt;='Control Room'!$A$15,$A560&lt;'Control Room'!$A$15+'Control Room'!$B$15,'Process'!BL4=1),1+('Control Room'!$C$15-1)*EXP(-0.5*(($A560-'Control Room'!$A$15-('Control Room'!$B$15-1)/2)/MAX(0.5,'Control Room'!$B$15/4))^2),1)*IF(AND($A560&gt;='Control Room'!$A$16,$A560&lt;'Control Room'!$A$16+'Control Room'!$B$16,'Process'!BL5=1),1+('Control Room'!$C$16-1)*EXP(-0.5*(($A560-'Control Room'!$A$16-('Control Room'!$B$16-1)/2)/MAX(0.5,'Control Room'!$B$16/4))^2),1)</x:f>
        <x:v>1</x:v>
      </x:c>
      <x:c r="L560" s="9" t="n">
        <x:f>MOD(M559*16807,2147483647)</x:f>
        <x:v>1784193608</x:v>
      </x:c>
      <x:c r="M560" s="9" t="n">
        <x:f>MOD(L560*16807,2147483647)</x:f>
        <x:v>1627806595</x:v>
      </x:c>
      <x:c r="N560" s="17" t="n">
        <x:f>IF('Control Room'!$B$5="Normal",'Control Room'!$B$7+'Control Room'!$D$7*SQRT(-2*LN(MAX(0.000000000001,L560/2147483647)))*COS(2*PI()*M560/2147483647),'Control Room'!$B$8+('Control Room'!$D$8-'Control Room'!$B$8)*L560/2147483647)</x:f>
        <x:v>1002.7553120995497</x:v>
      </x:c>
      <x:c r="O560" s="17" t="n">
        <x:f>IF('Control Room'!$B$5="Normal",'Control Room'!$B$7,('Control Room'!$B$8+'Control Room'!$D$8)/2)+'Control Room'!$B$9*(O559-IF('Control Room'!$B$5="Normal",'Control Room'!$B$7,('Control Room'!$B$8+'Control Room'!$D$8)/2))+SQRT(1-'Control Room'!$B$9^2)*(N560-IF('Control Room'!$B$5="Normal",'Control Room'!$B$7,('Control Room'!$B$8+'Control Room'!$D$8)/2))</x:f>
        <x:v>1033.5394905353082</x:v>
      </x:c>
      <x:c r="P560" s="17" t="n">
        <x:f>IF(AND($A560&gt;='Control Room'!$A$13,$A560&lt;'Control Room'!$A$13+'Control Room'!$B$13,'Process'!BM2=1),1+('Control Room'!$C$13-1)*EXP(-0.5*(($A560-'Control Room'!$A$13-('Control Room'!$B$13-1)/2)/MAX(0.5,'Control Room'!$B$13/4))^2),1)*IF(AND($A560&gt;='Control Room'!$A$14,$A560&lt;'Control Room'!$A$14+'Control Room'!$B$14,'Process'!BM3=1),1+('Control Room'!$C$14-1)*EXP(-0.5*(($A560-'Control Room'!$A$14-('Control Room'!$B$14-1)/2)/MAX(0.5,'Control Room'!$B$14/4))^2),1)*IF(AND($A560&gt;='Control Room'!$A$15,$A560&lt;'Control Room'!$A$15+'Control Room'!$B$15,'Process'!BM4=1),1+('Control Room'!$C$15-1)*EXP(-0.5*(($A560-'Control Room'!$A$15-('Control Room'!$B$15-1)/2)/MAX(0.5,'Control Room'!$B$15/4))^2),1)*IF(AND($A560&gt;='Control Room'!$A$16,$A560&lt;'Control Room'!$A$16+'Control Room'!$B$16,'Process'!BM5=1),1+('Control Room'!$C$16-1)*EXP(-0.5*(($A560-'Control Room'!$A$16-('Control Room'!$B$16-1)/2)/MAX(0.5,'Control Room'!$B$16/4))^2),1)</x:f>
        <x:v>1</x:v>
      </x:c>
      <x:c r="Q560" s="9" t="n">
        <x:f>MOD(R559*16807,2147483647)</x:f>
        <x:v>2100292779</x:v>
      </x:c>
      <x:c r="R560" s="9" t="n">
        <x:f>MOD(Q560*16807,2147483647)</x:f>
        <x:v>1432030914</x:v>
      </x:c>
      <x:c r="S560" s="17" t="n">
        <x:f>IF('Control Room'!$B$5="Normal",'Control Room'!$B$7+'Control Room'!$D$7*SQRT(-2*LN(MAX(0.000000000001,Q560/2147483647)))*COS(2*PI()*R560/2147483647),'Control Room'!$B$8+('Control Room'!$D$8-'Control Room'!$B$8)*Q560/2147483647)</x:f>
        <x:v>990.5316806534418</x:v>
      </x:c>
      <x:c r="T560" s="17" t="n">
        <x:f>IF('Control Room'!$B$5="Normal",'Control Room'!$B$7,('Control Room'!$B$8+'Control Room'!$D$8)/2)+'Control Room'!$B$9*(T559-IF('Control Room'!$B$5="Normal",'Control Room'!$B$7,('Control Room'!$B$8+'Control Room'!$D$8)/2))+SQRT(1-'Control Room'!$B$9^2)*(S560-IF('Control Room'!$B$5="Normal",'Control Room'!$B$7,('Control Room'!$B$8+'Control Room'!$D$8)/2))</x:f>
        <x:v>987.3808365848956</x:v>
      </x:c>
      <x:c r="U560" s="17" t="n">
        <x:f>IF(AND($A560&gt;='Control Room'!$A$13,$A560&lt;'Control Room'!$A$13+'Control Room'!$B$13,'Process'!BN2=1),1+('Control Room'!$C$13-1)*EXP(-0.5*(($A560-'Control Room'!$A$13-('Control Room'!$B$13-1)/2)/MAX(0.5,'Control Room'!$B$13/4))^2),1)*IF(AND($A560&gt;='Control Room'!$A$14,$A560&lt;'Control Room'!$A$14+'Control Room'!$B$14,'Process'!BN3=1),1+('Control Room'!$C$14-1)*EXP(-0.5*(($A560-'Control Room'!$A$14-('Control Room'!$B$14-1)/2)/MAX(0.5,'Control Room'!$B$14/4))^2),1)*IF(AND($A560&gt;='Control Room'!$A$15,$A560&lt;'Control Room'!$A$15+'Control Room'!$B$15,'Process'!BN4=1),1+('Control Room'!$C$15-1)*EXP(-0.5*(($A560-'Control Room'!$A$15-('Control Room'!$B$15-1)/2)/MAX(0.5,'Control Room'!$B$15/4))^2),1)*IF(AND($A560&gt;='Control Room'!$A$16,$A560&lt;'Control Room'!$A$16+'Control Room'!$B$16,'Process'!BN5=1),1+('Control Room'!$C$16-1)*EXP(-0.5*(($A560-'Control Room'!$A$16-('Control Room'!$B$16-1)/2)/MAX(0.5,'Control Room'!$B$16/4))^2),1)</x:f>
        <x:v>1</x:v>
      </x:c>
      <x:c r="V560" s="9" t="n">
        <x:f>MOD(W559*16807,2147483647)</x:f>
        <x:v>268908303</x:v>
      </x:c>
      <x:c r="W560" s="9" t="n">
        <x:f>MOD(V560*16807,2147483647)</x:f>
        <x:v>1236255233</x:v>
      </x:c>
      <x:c r="X560" s="17" t="n">
        <x:f>IF('Control Room'!$B$5="Normal",'Control Room'!$B$7+'Control Room'!$D$7*SQRT(-2*LN(MAX(0.000000000001,V560/2147483647)))*COS(2*PI()*W560/2147483647),'Control Room'!$B$8+('Control Room'!$D$8-'Control Room'!$B$8)*V560/2147483647)</x:f>
        <x:v>836.8891800118847</x:v>
      </x:c>
      <x:c r="Y560" s="17" t="n">
        <x:f>IF('Control Room'!$B$5="Normal",'Control Room'!$B$7,('Control Room'!$B$8+'Control Room'!$D$8)/2)+'Control Room'!$B$9*(Y559-IF('Control Room'!$B$5="Normal",'Control Room'!$B$7,('Control Room'!$B$8+'Control Room'!$D$8)/2))+SQRT(1-'Control Room'!$B$9^2)*(X560-IF('Control Room'!$B$5="Normal",'Control Room'!$B$7,('Control Room'!$B$8+'Control Room'!$D$8)/2))</x:f>
        <x:v>972.5059896812936</x:v>
      </x:c>
      <x:c r="Z560" s="17" t="n">
        <x:f>IF(AND($A560&gt;='Control Room'!$A$13,$A560&lt;'Control Room'!$A$13+'Control Room'!$B$13,'Process'!BO2=1),1+('Control Room'!$C$13-1)*EXP(-0.5*(($A560-'Control Room'!$A$13-('Control Room'!$B$13-1)/2)/MAX(0.5,'Control Room'!$B$13/4))^2),1)*IF(AND($A560&gt;='Control Room'!$A$14,$A560&lt;'Control Room'!$A$14+'Control Room'!$B$14,'Process'!BO3=1),1+('Control Room'!$C$14-1)*EXP(-0.5*(($A560-'Control Room'!$A$14-('Control Room'!$B$14-1)/2)/MAX(0.5,'Control Room'!$B$14/4))^2),1)*IF(AND($A560&gt;='Control Room'!$A$15,$A560&lt;'Control Room'!$A$15+'Control Room'!$B$15,'Process'!BO4=1),1+('Control Room'!$C$15-1)*EXP(-0.5*(($A560-'Control Room'!$A$15-('Control Room'!$B$15-1)/2)/MAX(0.5,'Control Room'!$B$15/4))^2),1)*IF(AND($A560&gt;='Control Room'!$A$16,$A560&lt;'Control Room'!$A$16+'Control Room'!$B$16,'Process'!BO5=1),1+('Control Room'!$C$16-1)*EXP(-0.5*(($A560-'Control Room'!$A$16-('Control Room'!$B$16-1)/2)/MAX(0.5,'Control Room'!$B$16/4))^2),1)</x:f>
        <x:v>1</x:v>
      </x:c>
      <x:c r="AA560" s="9" t="n">
        <x:f>MOD(AB559*16807,2147483647)</x:f>
        <x:v>585007474</x:v>
      </x:c>
      <x:c r="AB560" s="9" t="n">
        <x:f>MOD(AA560*16807,2147483647)</x:f>
        <x:v>1040479552</x:v>
      </x:c>
      <x:c r="AC560" s="17" t="n">
        <x:f>IF('Control Room'!$B$5="Normal",'Control Room'!$B$7+'Control Room'!$D$7*SQRT(-2*LN(MAX(0.000000000001,AA560/2147483647)))*COS(2*PI()*AB560/2147483647),'Control Room'!$B$8+('Control Room'!$D$8-'Control Room'!$B$8)*AA560/2147483647)</x:f>
        <x:v>855.5423080655962</x:v>
      </x:c>
      <x:c r="AD560" s="17" t="n">
        <x:f>IF('Control Room'!$B$5="Normal",'Control Room'!$B$7,('Control Room'!$B$8+'Control Room'!$D$8)/2)+'Control Room'!$B$9*(AD559-IF('Control Room'!$B$5="Normal",'Control Room'!$B$7,('Control Room'!$B$8+'Control Room'!$D$8)/2))+SQRT(1-'Control Room'!$B$9^2)*(AC560-IF('Control Room'!$B$5="Normal",'Control Room'!$B$7,('Control Room'!$B$8+'Control Room'!$D$8)/2))</x:f>
        <x:v>895.794440777427</x:v>
      </x:c>
      <x:c r="AE560" s="17" t="n">
        <x:f>IF(AND($A560&gt;='Control Room'!$A$13,$A560&lt;'Control Room'!$A$13+'Control Room'!$B$13,'Process'!BP2=1),1+('Control Room'!$C$13-1)*EXP(-0.5*(($A560-'Control Room'!$A$13-('Control Room'!$B$13-1)/2)/MAX(0.5,'Control Room'!$B$13/4))^2),1)*IF(AND($A560&gt;='Control Room'!$A$14,$A560&lt;'Control Room'!$A$14+'Control Room'!$B$14,'Process'!BP3=1),1+('Control Room'!$C$14-1)*EXP(-0.5*(($A560-'Control Room'!$A$14-('Control Room'!$B$14-1)/2)/MAX(0.5,'Control Room'!$B$14/4))^2),1)*IF(AND($A560&gt;='Control Room'!$A$15,$A560&lt;'Control Room'!$A$15+'Control Room'!$B$15,'Process'!BP4=1),1+('Control Room'!$C$15-1)*EXP(-0.5*(($A560-'Control Room'!$A$15-('Control Room'!$B$15-1)/2)/MAX(0.5,'Control Room'!$B$15/4))^2),1)*IF(AND($A560&gt;='Control Room'!$A$16,$A560&lt;'Control Room'!$A$16+'Control Room'!$B$16,'Process'!BP5=1),1+('Control Room'!$C$16-1)*EXP(-0.5*(($A560-'Control Room'!$A$16-('Control Room'!$B$16-1)/2)/MAX(0.5,'Control Room'!$B$16/4))^2),1)</x:f>
        <x:v>1</x:v>
      </x:c>
      <x:c r="AF560" s="9" t="n">
        <x:f>MOD(AG559*16807,2147483647)</x:f>
        <x:v>901106645</x:v>
      </x:c>
      <x:c r="AG560" s="9" t="n">
        <x:f>MOD(AF560*16807,2147483647)</x:f>
        <x:v>844703871</x:v>
      </x:c>
      <x:c r="AH560" s="17" t="n">
        <x:f>IF('Control Room'!$B$5="Normal",'Control Room'!$B$7+'Control Room'!$D$7*SQRT(-2*LN(MAX(0.000000000001,AF560/2147483647)))*COS(2*PI()*AG560/2147483647),'Control Room'!$B$8+('Control Room'!$D$8-'Control Room'!$B$8)*AF560/2147483647)</x:f>
        <x:v>907.0396172275302</x:v>
      </x:c>
      <x:c r="AI560" s="17" t="n">
        <x:f>IF('Control Room'!$B$5="Normal",'Control Room'!$B$7,('Control Room'!$B$8+'Control Room'!$D$8)/2)+'Control Room'!$B$9*(AI559-IF('Control Room'!$B$5="Normal",'Control Room'!$B$7,('Control Room'!$B$8+'Control Room'!$D$8)/2))+SQRT(1-'Control Room'!$B$9^2)*(AH560-IF('Control Room'!$B$5="Normal",'Control Room'!$B$7,('Control Room'!$B$8+'Control Room'!$D$8)/2))</x:f>
        <x:v>876.9006037751078</x:v>
      </x:c>
      <x:c r="AJ560" s="17" t="n">
        <x:f>IF(AND($A560&gt;='Control Room'!$A$13,$A560&lt;'Control Room'!$A$13+'Control Room'!$B$13,'Process'!BQ2=1),1+('Control Room'!$C$13-1)*EXP(-0.5*(($A560-'Control Room'!$A$13-('Control Room'!$B$13-1)/2)/MAX(0.5,'Control Room'!$B$13/4))^2),1)*IF(AND($A560&gt;='Control Room'!$A$14,$A560&lt;'Control Room'!$A$14+'Control Room'!$B$14,'Process'!BQ3=1),1+('Control Room'!$C$14-1)*EXP(-0.5*(($A560-'Control Room'!$A$14-('Control Room'!$B$14-1)/2)/MAX(0.5,'Control Room'!$B$14/4))^2),1)*IF(AND($A560&gt;='Control Room'!$A$15,$A560&lt;'Control Room'!$A$15+'Control Room'!$B$15,'Process'!BQ4=1),1+('Control Room'!$C$15-1)*EXP(-0.5*(($A560-'Control Room'!$A$15-('Control Room'!$B$15-1)/2)/MAX(0.5,'Control Room'!$B$15/4))^2),1)*IF(AND($A560&gt;='Control Room'!$A$16,$A560&lt;'Control Room'!$A$16+'Control Room'!$B$16,'Process'!BQ5=1),1+('Control Room'!$C$16-1)*EXP(-0.5*(($A560-'Control Room'!$A$16-('Control Room'!$B$16-1)/2)/MAX(0.5,'Control Room'!$B$16/4))^2),1)</x:f>
        <x:v>1</x:v>
      </x:c>
      <x:c r="AK560" s="9" t="n">
        <x:f>MOD(AL559*16807,2147483647)</x:f>
        <x:v>1217205816</x:v>
      </x:c>
      <x:c r="AL560" s="9" t="n">
        <x:f>MOD(AK560*16807,2147483647)</x:f>
        <x:v>648928190</x:v>
      </x:c>
      <x:c r="AM560" s="17" t="n">
        <x:f>IF('Control Room'!$B$5="Normal",'Control Room'!$B$7+'Control Room'!$D$7*SQRT(-2*LN(MAX(0.000000000001,AK560/2147483647)))*COS(2*PI()*AL560/2147483647),'Control Room'!$B$8+('Control Room'!$D$8-'Control Room'!$B$8)*AK560/2147483647)</x:f>
        <x:v>969.1174458595472</x:v>
      </x:c>
      <x:c r="AN560" s="17" t="n">
        <x:f>IF('Control Room'!$B$5="Normal",'Control Room'!$B$7,('Control Room'!$B$8+'Control Room'!$D$8)/2)+'Control Room'!$B$9*(AN559-IF('Control Room'!$B$5="Normal",'Control Room'!$B$7,('Control Room'!$B$8+'Control Room'!$D$8)/2))+SQRT(1-'Control Room'!$B$9^2)*(AM560-IF('Control Room'!$B$5="Normal",'Control Room'!$B$7,('Control Room'!$B$8+'Control Room'!$D$8)/2))</x:f>
        <x:v>972.9966124123972</x:v>
      </x:c>
      <x:c r="AO560" s="17" t="n">
        <x:f>IF(AND($A560&gt;='Control Room'!$A$13,$A560&lt;'Control Room'!$A$13+'Control Room'!$B$13,'Process'!BR2=1),1+('Control Room'!$C$13-1)*EXP(-0.5*(($A560-'Control Room'!$A$13-('Control Room'!$B$13-1)/2)/MAX(0.5,'Control Room'!$B$13/4))^2),1)*IF(AND($A560&gt;='Control Room'!$A$14,$A560&lt;'Control Room'!$A$14+'Control Room'!$B$14,'Process'!BR3=1),1+('Control Room'!$C$14-1)*EXP(-0.5*(($A560-'Control Room'!$A$14-('Control Room'!$B$14-1)/2)/MAX(0.5,'Control Room'!$B$14/4))^2),1)*IF(AND($A560&gt;='Control Room'!$A$15,$A560&lt;'Control Room'!$A$15+'Control Room'!$B$15,'Process'!BR4=1),1+('Control Room'!$C$15-1)*EXP(-0.5*(($A560-'Control Room'!$A$15-('Control Room'!$B$15-1)/2)/MAX(0.5,'Control Room'!$B$15/4))^2),1)*IF(AND($A560&gt;='Control Room'!$A$16,$A560&lt;'Control Room'!$A$16+'Control Room'!$B$16,'Process'!BR5=1),1+('Control Room'!$C$16-1)*EXP(-0.5*(($A560-'Control Room'!$A$16-('Control Room'!$B$16-1)/2)/MAX(0.5,'Control Room'!$B$16/4))^2),1)</x:f>
        <x:v>1</x:v>
      </x:c>
      <x:c r="AP560" s="9" t="n">
        <x:f>MOD(AQ559*16807,2147483647)</x:f>
        <x:v>1533304987</x:v>
      </x:c>
      <x:c r="AQ560" s="9" t="n">
        <x:f>MOD(AP560*16807,2147483647)</x:f>
        <x:v>453152509</x:v>
      </x:c>
      <x:c r="AR560" s="17" t="n">
        <x:f>IF('Control Room'!$B$5="Normal",'Control Room'!$B$7+'Control Room'!$D$7*SQRT(-2*LN(MAX(0.000000000001,AP560/2147483647)))*COS(2*PI()*AQ560/2147483647),'Control Room'!$B$8+('Control Room'!$D$8-'Control Room'!$B$8)*AP560/2147483647)</x:f>
        <x:v>1017.9146709987714</x:v>
      </x:c>
      <x:c r="AS560" s="17" t="n">
        <x:f>IF('Control Room'!$B$5="Normal",'Control Room'!$B$7,('Control Room'!$B$8+'Control Room'!$D$8)/2)+'Control Room'!$B$9*(AS559-IF('Control Room'!$B$5="Normal",'Control Room'!$B$7,('Control Room'!$B$8+'Control Room'!$D$8)/2))+SQRT(1-'Control Room'!$B$9^2)*(AR560-IF('Control Room'!$B$5="Normal",'Control Room'!$B$7,('Control Room'!$B$8+'Control Room'!$D$8)/2))</x:f>
        <x:v>1146.477902787472</x:v>
      </x:c>
      <x:c r="AT560" s="17" t="n">
        <x:f>IF(AND($A560&gt;='Control Room'!$A$13,$A560&lt;'Control Room'!$A$13+'Control Room'!$B$13,'Process'!BS2=1),1+('Control Room'!$C$13-1)*EXP(-0.5*(($A560-'Control Room'!$A$13-('Control Room'!$B$13-1)/2)/MAX(0.5,'Control Room'!$B$13/4))^2),1)*IF(AND($A560&gt;='Control Room'!$A$14,$A560&lt;'Control Room'!$A$14+'Control Room'!$B$14,'Process'!BS3=1),1+('Control Room'!$C$14-1)*EXP(-0.5*(($A560-'Control Room'!$A$14-('Control Room'!$B$14-1)/2)/MAX(0.5,'Control Room'!$B$14/4))^2),1)*IF(AND($A560&gt;='Control Room'!$A$15,$A560&lt;'Control Room'!$A$15+'Control Room'!$B$15,'Process'!BS4=1),1+('Control Room'!$C$15-1)*EXP(-0.5*(($A560-'Control Room'!$A$15-('Control Room'!$B$15-1)/2)/MAX(0.5,'Control Room'!$B$15/4))^2),1)*IF(AND($A560&gt;='Control Room'!$A$16,$A560&lt;'Control Room'!$A$16+'Control Room'!$B$16,'Process'!BS5=1),1+('Control Room'!$C$16-1)*EXP(-0.5*(($A560-'Control Room'!$A$16-('Control Room'!$B$16-1)/2)/MAX(0.5,'Control Room'!$B$16/4))^2),1)</x:f>
        <x:v>1</x:v>
      </x:c>
      <x:c r="AU560" s="9" t="n">
        <x:f>MOD(AV559*16807,2147483647)</x:f>
        <x:v>1849404158</x:v>
      </x:c>
      <x:c r="AV560" s="9" t="n">
        <x:f>MOD(AU560*16807,2147483647)</x:f>
        <x:v>257376828</x:v>
      </x:c>
      <x:c r="AW560" s="17" t="n">
        <x:f>IF('Control Room'!$B$5="Normal",'Control Room'!$B$7+'Control Room'!$D$7*SQRT(-2*LN(MAX(0.000000000001,AU560/2147483647)))*COS(2*PI()*AV560/2147483647),'Control Room'!$B$8+('Control Room'!$D$8-'Control Room'!$B$8)*AU560/2147483647)</x:f>
        <x:v>1035.8982176125776</x:v>
      </x:c>
      <x:c r="AX560" s="17" t="n">
        <x:f>IF('Control Room'!$B$5="Normal",'Control Room'!$B$7,('Control Room'!$B$8+'Control Room'!$D$8)/2)+'Control Room'!$B$9*(AX559-IF('Control Room'!$B$5="Normal",'Control Room'!$B$7,('Control Room'!$B$8+'Control Room'!$D$8)/2))+SQRT(1-'Control Room'!$B$9^2)*(AW560-IF('Control Room'!$B$5="Normal",'Control Room'!$B$7,('Control Room'!$B$8+'Control Room'!$D$8)/2))</x:f>
        <x:v>998.0169858283888</x:v>
      </x:c>
      <x:c r="AY560" s="17" t="n">
        <x:f>IF(AND($A560&gt;='Control Room'!$A$13,$A560&lt;'Control Room'!$A$13+'Control Room'!$B$13,'Process'!BT2=1),1+('Control Room'!$C$13-1)*EXP(-0.5*(($A560-'Control Room'!$A$13-('Control Room'!$B$13-1)/2)/MAX(0.5,'Control Room'!$B$13/4))^2),1)*IF(AND($A560&gt;='Control Room'!$A$14,$A560&lt;'Control Room'!$A$14+'Control Room'!$B$14,'Process'!BT3=1),1+('Control Room'!$C$14-1)*EXP(-0.5*(($A560-'Control Room'!$A$14-('Control Room'!$B$14-1)/2)/MAX(0.5,'Control Room'!$B$14/4))^2),1)*IF(AND($A560&gt;='Control Room'!$A$15,$A560&lt;'Control Room'!$A$15+'Control Room'!$B$15,'Process'!BT4=1),1+('Control Room'!$C$15-1)*EXP(-0.5*(($A560-'Control Room'!$A$15-('Control Room'!$B$15-1)/2)/MAX(0.5,'Control Room'!$B$15/4))^2),1)*IF(AND($A560&gt;='Control Room'!$A$16,$A560&lt;'Control Room'!$A$16+'Control Room'!$B$16,'Process'!BT5=1),1+('Control Room'!$C$16-1)*EXP(-0.5*(($A560-'Control Room'!$A$16-('Control Room'!$B$16-1)/2)/MAX(0.5,'Control Room'!$B$16/4))^2),1)</x:f>
        <x:v>1</x:v>
      </x:c>
      <x:c r="AZ560" s="9" t="n">
        <x:f>MOD(BA559*16807,2147483647)</x:f>
        <x:v>18019682</x:v>
      </x:c>
      <x:c r="BA560" s="9" t="n">
        <x:f>MOD(AZ560*16807,2147483647)</x:f>
        <x:v>61601147</x:v>
      </x:c>
      <x:c r="BB560" s="17" t="n">
        <x:f>IF('Control Room'!$B$5="Normal",'Control Room'!$B$7+'Control Room'!$D$7*SQRT(-2*LN(MAX(0.000000000001,AZ560/2147483647)))*COS(2*PI()*BA560/2147483647),'Control Room'!$B$8+('Control Room'!$D$8-'Control Room'!$B$8)*AZ560/2147483647)</x:f>
        <x:v>1273.7824922778543</x:v>
      </x:c>
      <x:c r="BC560" s="17" t="n">
        <x:f>IF('Control Room'!$B$5="Normal",'Control Room'!$B$7,('Control Room'!$B$8+'Control Room'!$D$8)/2)+'Control Room'!$B$9*(BC559-IF('Control Room'!$B$5="Normal",'Control Room'!$B$7,('Control Room'!$B$8+'Control Room'!$D$8)/2))+SQRT(1-'Control Room'!$B$9^2)*(BB560-IF('Control Room'!$B$5="Normal",'Control Room'!$B$7,('Control Room'!$B$8+'Control Room'!$D$8)/2))</x:f>
        <x:v>1192.9951597870381</x:v>
      </x:c>
      <x:c r="BD560" s="17" t="n">
        <x:f>IF(AND($A560&gt;='Control Room'!$A$13,$A560&lt;'Control Room'!$A$13+'Control Room'!$B$13,'Process'!BU2=1),1+('Control Room'!$C$13-1)*EXP(-0.5*(($A560-'Control Room'!$A$13-('Control Room'!$B$13-1)/2)/MAX(0.5,'Control Room'!$B$13/4))^2),1)*IF(AND($A560&gt;='Control Room'!$A$14,$A560&lt;'Control Room'!$A$14+'Control Room'!$B$14,'Process'!BU3=1),1+('Control Room'!$C$14-1)*EXP(-0.5*(($A560-'Control Room'!$A$14-('Control Room'!$B$14-1)/2)/MAX(0.5,'Control Room'!$B$14/4))^2),1)*IF(AND($A560&gt;='Control Room'!$A$15,$A560&lt;'Control Room'!$A$15+'Control Room'!$B$15,'Process'!BU4=1),1+('Control Room'!$C$15-1)*EXP(-0.5*(($A560-'Control Room'!$A$15-('Control Room'!$B$15-1)/2)/MAX(0.5,'Control Room'!$B$15/4))^2),1)*IF(AND($A560&gt;='Control Room'!$A$16,$A560&lt;'Control Room'!$A$16+'Control Room'!$B$16,'Process'!BU5=1),1+('Control Room'!$C$16-1)*EXP(-0.5*(($A560-'Control Room'!$A$16-('Control Room'!$B$16-1)/2)/MAX(0.5,'Control Room'!$B$16/4))^2),1)</x:f>
        <x:v>1</x:v>
      </x:c>
      <x:c r="BE560" s="9" t="n">
        <x:f>MOD(BF559*16807,2147483647)</x:f>
        <x:v>334118853</x:v>
      </x:c>
      <x:c r="BF560" s="9" t="n">
        <x:f>MOD(BE560*16807,2147483647)</x:f>
        <x:v>2013309113</x:v>
      </x:c>
      <x:c r="BG560" s="17" t="n">
        <x:f>IF('Control Room'!$B$5="Normal",'Control Room'!$B$7+'Control Room'!$D$7*SQRT(-2*LN(MAX(0.000000000001,BE560/2147483647)))*COS(2*PI()*BF560/2147483647),'Control Room'!$B$8+('Control Room'!$D$8-'Control Room'!$B$8)*BE560/2147483647)</x:f>
        <x:v>1160.404619121951</x:v>
      </x:c>
      <x:c r="BH560" s="17" t="n">
        <x:f>IF('Control Room'!$B$5="Normal",'Control Room'!$B$7,('Control Room'!$B$8+'Control Room'!$D$8)/2)+'Control Room'!$B$9*(BH559-IF('Control Room'!$B$5="Normal",'Control Room'!$B$7,('Control Room'!$B$8+'Control Room'!$D$8)/2))+SQRT(1-'Control Room'!$B$9^2)*(BG560-IF('Control Room'!$B$5="Normal",'Control Room'!$B$7,('Control Room'!$B$8+'Control Room'!$D$8)/2))</x:f>
        <x:v>1145.8732051017628</x:v>
      </x:c>
      <x:c r="BI560" s="17" t="n">
        <x:f>IF(AND($A560&gt;='Control Room'!$A$13,$A560&lt;'Control Room'!$A$13+'Control Room'!$B$13,'Process'!BV2=1),1+('Control Room'!$C$13-1)*EXP(-0.5*(($A560-'Control Room'!$A$13-('Control Room'!$B$13-1)/2)/MAX(0.5,'Control Room'!$B$13/4))^2),1)*IF(AND($A560&gt;='Control Room'!$A$14,$A560&lt;'Control Room'!$A$14+'Control Room'!$B$14,'Process'!BV3=1),1+('Control Room'!$C$14-1)*EXP(-0.5*(($A560-'Control Room'!$A$14-('Control Room'!$B$14-1)/2)/MAX(0.5,'Control Room'!$B$14/4))^2),1)*IF(AND($A560&gt;='Control Room'!$A$15,$A560&lt;'Control Room'!$A$15+'Control Room'!$B$15,'Process'!BV4=1),1+('Control Room'!$C$15-1)*EXP(-0.5*(($A560-'Control Room'!$A$15-('Control Room'!$B$15-1)/2)/MAX(0.5,'Control Room'!$B$15/4))^2),1)*IF(AND($A560&gt;='Control Room'!$A$16,$A560&lt;'Control Room'!$A$16+'Control Room'!$B$16,'Process'!BV5=1),1+('Control Room'!$C$16-1)*EXP(-0.5*(($A560-'Control Room'!$A$16-('Control Room'!$B$16-1)/2)/MAX(0.5,'Control Room'!$B$16/4))^2),1)</x:f>
        <x:v>1</x:v>
      </x:c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Z560" t="str">
        <x:f>IF('Data'!A560="","",TEXT('Data'!A560,"mm-dd"))</x:f>
      </x:c>
    </x:row>
    <x:row r="561" ht="21" customHeight="1">
      <x:c r="A561" s="15" t="n">
        <x:f>'Control Room'!$B$1+559</x:f>
        <x:v>73550</x:v>
      </x:c>
      <x:c r="B561" s="9" t="n">
        <x:f>MOD(C560*16807,2147483647)</x:f>
        <x:v>517626111</x:v>
      </x:c>
      <x:c r="C561" s="9" t="n">
        <x:f>MOD(B561*16807,2147483647)</x:f>
        <x:v>285793580</x:v>
      </x:c>
      <x:c r="D561" s="17" t="n">
        <x:f>IF('Control Room'!$B$5="Normal",'Control Room'!$B$7+'Control Room'!$D$7*SQRT(-2*LN(MAX(0.000000000001,B561/2147483647)))*COS(2*PI()*C561/2147483647),'Control Room'!$B$8+('Control Room'!$D$8-'Control Room'!$B$8)*B561/2147483647)</x:f>
        <x:v>1101.7648025606566</x:v>
      </x:c>
      <x:c r="E561" s="17" t="n">
        <x:f>IF('Control Room'!$B$5="Normal",'Control Room'!$B$7,('Control Room'!$B$8+'Control Room'!$D$8)/2)+'Control Room'!$B$9*(E560-IF('Control Room'!$B$5="Normal",'Control Room'!$B$7,('Control Room'!$B$8+'Control Room'!$D$8)/2))+SQRT(1-'Control Room'!$B$9^2)*(D561-IF('Control Room'!$B$5="Normal",'Control Room'!$B$7,('Control Room'!$B$8+'Control Room'!$D$8)/2))</x:f>
        <x:v>1139.2794109018646</x:v>
      </x:c>
      <x:c r="F561" s="17" t="n">
        <x:f>IF(AND($A561&gt;='Control Room'!$A$13,$A561&lt;'Control Room'!$A$13+'Control Room'!$B$13,'Process'!BK2=1),1+('Control Room'!$C$13-1)*EXP(-0.5*(($A561-'Control Room'!$A$13-('Control Room'!$B$13-1)/2)/MAX(0.5,'Control Room'!$B$13/4))^2),1)*IF(AND($A561&gt;='Control Room'!$A$14,$A561&lt;'Control Room'!$A$14+'Control Room'!$B$14,'Process'!BK3=1),1+('Control Room'!$C$14-1)*EXP(-0.5*(($A561-'Control Room'!$A$14-('Control Room'!$B$14-1)/2)/MAX(0.5,'Control Room'!$B$14/4))^2),1)*IF(AND($A561&gt;='Control Room'!$A$15,$A561&lt;'Control Room'!$A$15+'Control Room'!$B$15,'Process'!BK4=1),1+('Control Room'!$C$15-1)*EXP(-0.5*(($A561-'Control Room'!$A$15-('Control Room'!$B$15-1)/2)/MAX(0.5,'Control Room'!$B$15/4))^2),1)*IF(AND($A561&gt;='Control Room'!$A$16,$A561&lt;'Control Room'!$A$16+'Control Room'!$B$16,'Process'!BK5=1),1+('Control Room'!$C$16-1)*EXP(-0.5*(($A561-'Control Room'!$A$16-('Control Room'!$B$16-1)/2)/MAX(0.5,'Control Room'!$B$16/4))^2),1)</x:f>
        <x:v>1</x:v>
      </x:c>
      <x:c r="G561" s="9" t="n">
        <x:f>MOD(H560*16807,2147483647)</x:f>
        <x:v>60702748</x:v>
      </x:c>
      <x:c r="H561" s="9" t="n">
        <x:f>MOD(G561*16807,2147483647)</x:f>
        <x:v>176353311</x:v>
      </x:c>
      <x:c r="I561" s="17" t="n">
        <x:f>IF('Control Room'!$B$5="Normal",'Control Room'!$B$7+'Control Room'!$D$7*SQRT(-2*LN(MAX(0.000000000001,G561/2147483647)))*COS(2*PI()*H561/2147483647),'Control Room'!$B$8+('Control Room'!$D$8-'Control Room'!$B$8)*G561/2147483647)</x:f>
        <x:v>1209.0624346517507</x:v>
      </x:c>
      <x:c r="J561" s="17" t="n">
        <x:f>IF('Control Room'!$B$5="Normal",'Control Room'!$B$7,('Control Room'!$B$8+'Control Room'!$D$8)/2)+'Control Room'!$B$9*(J560-IF('Control Room'!$B$5="Normal",'Control Room'!$B$7,('Control Room'!$B$8+'Control Room'!$D$8)/2))+SQRT(1-'Control Room'!$B$9^2)*(I561-IF('Control Room'!$B$5="Normal",'Control Room'!$B$7,('Control Room'!$B$8+'Control Room'!$D$8)/2))</x:f>
        <x:v>1202.3901275025196</x:v>
      </x:c>
      <x:c r="K561" s="17" t="n">
        <x:f>IF(AND($A561&gt;='Control Room'!$A$13,$A561&lt;'Control Room'!$A$13+'Control Room'!$B$13,'Process'!BL2=1),1+('Control Room'!$C$13-1)*EXP(-0.5*(($A561-'Control Room'!$A$13-('Control Room'!$B$13-1)/2)/MAX(0.5,'Control Room'!$B$13/4))^2),1)*IF(AND($A561&gt;='Control Room'!$A$14,$A561&lt;'Control Room'!$A$14+'Control Room'!$B$14,'Process'!BL3=1),1+('Control Room'!$C$14-1)*EXP(-0.5*(($A561-'Control Room'!$A$14-('Control Room'!$B$14-1)/2)/MAX(0.5,'Control Room'!$B$14/4))^2),1)*IF(AND($A561&gt;='Control Room'!$A$15,$A561&lt;'Control Room'!$A$15+'Control Room'!$B$15,'Process'!BL4=1),1+('Control Room'!$C$15-1)*EXP(-0.5*(($A561-'Control Room'!$A$15-('Control Room'!$B$15-1)/2)/MAX(0.5,'Control Room'!$B$15/4))^2),1)*IF(AND($A561&gt;='Control Room'!$A$16,$A561&lt;'Control Room'!$A$16+'Control Room'!$B$16,'Process'!BL5=1),1+('Control Room'!$C$16-1)*EXP(-0.5*(($A561-'Control Room'!$A$16-('Control Room'!$B$16-1)/2)/MAX(0.5,'Control Room'!$B$16/4))^2),1)</x:f>
        <x:v>1</x:v>
      </x:c>
      <x:c r="L561" s="9" t="n">
        <x:f>MOD(M560*16807,2147483647)</x:f>
        <x:v>1751263032</x:v>
      </x:c>
      <x:c r="M561" s="9" t="n">
        <x:f>MOD(L561*16807,2147483647)</x:f>
        <x:v>66913042</x:v>
      </x:c>
      <x:c r="N561" s="17" t="n">
        <x:f>IF('Control Room'!$B$5="Normal",'Control Room'!$B$7+'Control Room'!$D$7*SQRT(-2*LN(MAX(0.000000000001,L561/2147483647)))*COS(2*PI()*M561/2147483647),'Control Room'!$B$8+('Control Room'!$D$8-'Control Room'!$B$8)*L561/2147483647)</x:f>
        <x:v>1056.3836045106361</x:v>
      </x:c>
      <x:c r="O561" s="17" t="n">
        <x:f>IF('Control Room'!$B$5="Normal",'Control Room'!$B$7,('Control Room'!$B$8+'Control Room'!$D$8)/2)+'Control Room'!$B$9*(O560-IF('Control Room'!$B$5="Normal",'Control Room'!$B$7,('Control Room'!$B$8+'Control Room'!$D$8)/2))+SQRT(1-'Control Room'!$B$9^2)*(N561-IF('Control Room'!$B$5="Normal",'Control Room'!$B$7,('Control Room'!$B$8+'Control Room'!$D$8)/2))</x:f>
        <x:v>1061.444507239374</x:v>
      </x:c>
      <x:c r="P561" s="17" t="n">
        <x:f>IF(AND($A561&gt;='Control Room'!$A$13,$A561&lt;'Control Room'!$A$13+'Control Room'!$B$13,'Process'!BM2=1),1+('Control Room'!$C$13-1)*EXP(-0.5*(($A561-'Control Room'!$A$13-('Control Room'!$B$13-1)/2)/MAX(0.5,'Control Room'!$B$13/4))^2),1)*IF(AND($A561&gt;='Control Room'!$A$14,$A561&lt;'Control Room'!$A$14+'Control Room'!$B$14,'Process'!BM3=1),1+('Control Room'!$C$14-1)*EXP(-0.5*(($A561-'Control Room'!$A$14-('Control Room'!$B$14-1)/2)/MAX(0.5,'Control Room'!$B$14/4))^2),1)*IF(AND($A561&gt;='Control Room'!$A$15,$A561&lt;'Control Room'!$A$15+'Control Room'!$B$15,'Process'!BM4=1),1+('Control Room'!$C$15-1)*EXP(-0.5*(($A561-'Control Room'!$A$15-('Control Room'!$B$15-1)/2)/MAX(0.5,'Control Room'!$B$15/4))^2),1)*IF(AND($A561&gt;='Control Room'!$A$16,$A561&lt;'Control Room'!$A$16+'Control Room'!$B$16,'Process'!BM5=1),1+('Control Room'!$C$16-1)*EXP(-0.5*(($A561-'Control Room'!$A$16-('Control Room'!$B$16-1)/2)/MAX(0.5,'Control Room'!$B$16/4))^2),1)</x:f>
        <x:v>1</x:v>
      </x:c>
      <x:c r="Q561" s="9" t="n">
        <x:f>MOD(R560*16807,2147483647)</x:f>
        <x:v>1294339669</x:v>
      </x:c>
      <x:c r="R561" s="9" t="n">
        <x:f>MOD(Q561*16807,2147483647)</x:f>
        <x:v>2104956420</x:v>
      </x:c>
      <x:c r="S561" s="17" t="n">
        <x:f>IF('Control Room'!$B$5="Normal",'Control Room'!$B$7+'Control Room'!$D$7*SQRT(-2*LN(MAX(0.000000000001,Q561/2147483647)))*COS(2*PI()*R561/2147483647),'Control Room'!$B$8+('Control Room'!$D$8-'Control Room'!$B$8)*Q561/2147483647)</x:f>
        <x:v>1089.8647064905456</x:v>
      </x:c>
      <x:c r="T561" s="17" t="n">
        <x:f>IF('Control Room'!$B$5="Normal",'Control Room'!$B$7,('Control Room'!$B$8+'Control Room'!$D$8)/2)+'Control Room'!$B$9*(T560-IF('Control Room'!$B$5="Normal",'Control Room'!$B$7,('Control Room'!$B$8+'Control Room'!$D$8)/2))+SQRT(1-'Control Room'!$B$9^2)*(S561-IF('Control Room'!$B$5="Normal",'Control Room'!$B$7,('Control Room'!$B$8+'Control Room'!$D$8)/2))</x:f>
        <x:v>1046.3925448794234</x:v>
      </x:c>
      <x:c r="U561" s="17" t="n">
        <x:f>IF(AND($A561&gt;='Control Room'!$A$13,$A561&lt;'Control Room'!$A$13+'Control Room'!$B$13,'Process'!BN2=1),1+('Control Room'!$C$13-1)*EXP(-0.5*(($A561-'Control Room'!$A$13-('Control Room'!$B$13-1)/2)/MAX(0.5,'Control Room'!$B$13/4))^2),1)*IF(AND($A561&gt;='Control Room'!$A$14,$A561&lt;'Control Room'!$A$14+'Control Room'!$B$14,'Process'!BN3=1),1+('Control Room'!$C$14-1)*EXP(-0.5*(($A561-'Control Room'!$A$14-('Control Room'!$B$14-1)/2)/MAX(0.5,'Control Room'!$B$14/4))^2),1)*IF(AND($A561&gt;='Control Room'!$A$15,$A561&lt;'Control Room'!$A$15+'Control Room'!$B$15,'Process'!BN4=1),1+('Control Room'!$C$15-1)*EXP(-0.5*(($A561-'Control Room'!$A$15-('Control Room'!$B$15-1)/2)/MAX(0.5,'Control Room'!$B$15/4))^2),1)*IF(AND($A561&gt;='Control Room'!$A$16,$A561&lt;'Control Room'!$A$16+'Control Room'!$B$16,'Process'!BN5=1),1+('Control Room'!$C$16-1)*EXP(-0.5*(($A561-'Control Room'!$A$16-('Control Room'!$B$16-1)/2)/MAX(0.5,'Control Room'!$B$16/4))^2),1)</x:f>
        <x:v>1</x:v>
      </x:c>
      <x:c r="V561" s="9" t="n">
        <x:f>MOD(W560*16807,2147483647)</x:f>
        <x:v>837416306</x:v>
      </x:c>
      <x:c r="W561" s="9" t="n">
        <x:f>MOD(V561*16807,2147483647)</x:f>
        <x:v>1995516151</x:v>
      </x:c>
      <x:c r="X561" s="17" t="n">
        <x:f>IF('Control Room'!$B$5="Normal",'Control Room'!$B$7+'Control Room'!$D$7*SQRT(-2*LN(MAX(0.000000000001,V561/2147483647)))*COS(2*PI()*W561/2147483647),'Control Room'!$B$8+('Control Room'!$D$8-'Control Room'!$B$8)*V561/2147483647)</x:f>
        <x:v>1111.50581576141</x:v>
      </x:c>
      <x:c r="Y561" s="17" t="n">
        <x:f>IF('Control Room'!$B$5="Normal",'Control Room'!$B$7,('Control Room'!$B$8+'Control Room'!$D$8)/2)+'Control Room'!$B$9*(Y560-IF('Control Room'!$B$5="Normal",'Control Room'!$B$7,('Control Room'!$B$8+'Control Room'!$D$8)/2))+SQRT(1-'Control Room'!$B$9^2)*(X561-IF('Control Room'!$B$5="Normal",'Control Room'!$B$7,('Control Room'!$B$8+'Control Room'!$D$8)/2))</x:f>
        <x:v>1048.3327271340997</x:v>
      </x:c>
      <x:c r="Z561" s="17" t="n">
        <x:f>IF(AND($A561&gt;='Control Room'!$A$13,$A561&lt;'Control Room'!$A$13+'Control Room'!$B$13,'Process'!BO2=1),1+('Control Room'!$C$13-1)*EXP(-0.5*(($A561-'Control Room'!$A$13-('Control Room'!$B$13-1)/2)/MAX(0.5,'Control Room'!$B$13/4))^2),1)*IF(AND($A561&gt;='Control Room'!$A$14,$A561&lt;'Control Room'!$A$14+'Control Room'!$B$14,'Process'!BO3=1),1+('Control Room'!$C$14-1)*EXP(-0.5*(($A561-'Control Room'!$A$14-('Control Room'!$B$14-1)/2)/MAX(0.5,'Control Room'!$B$14/4))^2),1)*IF(AND($A561&gt;='Control Room'!$A$15,$A561&lt;'Control Room'!$A$15+'Control Room'!$B$15,'Process'!BO4=1),1+('Control Room'!$C$15-1)*EXP(-0.5*(($A561-'Control Room'!$A$15-('Control Room'!$B$15-1)/2)/MAX(0.5,'Control Room'!$B$15/4))^2),1)*IF(AND($A561&gt;='Control Room'!$A$16,$A561&lt;'Control Room'!$A$16+'Control Room'!$B$16,'Process'!BO5=1),1+('Control Room'!$C$16-1)*EXP(-0.5*(($A561-'Control Room'!$A$16-('Control Room'!$B$16-1)/2)/MAX(0.5,'Control Room'!$B$16/4))^2),1)</x:f>
        <x:v>1</x:v>
      </x:c>
      <x:c r="AA561" s="9" t="n">
        <x:f>MOD(AB560*16807,2147483647)</x:f>
        <x:v>380492943</x:v>
      </x:c>
      <x:c r="AB561" s="9" t="n">
        <x:f>MOD(AA561*16807,2147483647)</x:f>
        <x:v>1886075882</x:v>
      </x:c>
      <x:c r="AC561" s="17" t="n">
        <x:f>IF('Control Room'!$B$5="Normal",'Control Room'!$B$7+'Control Room'!$D$7*SQRT(-2*LN(MAX(0.000000000001,AA561/2147483647)))*COS(2*PI()*AB561/2147483647),'Control Room'!$B$8+('Control Room'!$D$8-'Control Room'!$B$8)*AA561/2147483647)</x:f>
        <x:v>1120.805765322896</x:v>
      </x:c>
      <x:c r="AD561" s="17" t="n">
        <x:f>IF('Control Room'!$B$5="Normal",'Control Room'!$B$7,('Control Room'!$B$8+'Control Room'!$D$8)/2)+'Control Room'!$B$9*(AD560-IF('Control Room'!$B$5="Normal",'Control Room'!$B$7,('Control Room'!$B$8+'Control Room'!$D$8)/2))+SQRT(1-'Control Room'!$B$9^2)*(AC561-IF('Control Room'!$B$5="Normal",'Control Room'!$B$7,('Control Room'!$B$8+'Control Room'!$D$8)/2))</x:f>
        <x:v>994.3174369048392</x:v>
      </x:c>
      <x:c r="AE561" s="17" t="n">
        <x:f>IF(AND($A561&gt;='Control Room'!$A$13,$A561&lt;'Control Room'!$A$13+'Control Room'!$B$13,'Process'!BP2=1),1+('Control Room'!$C$13-1)*EXP(-0.5*(($A561-'Control Room'!$A$13-('Control Room'!$B$13-1)/2)/MAX(0.5,'Control Room'!$B$13/4))^2),1)*IF(AND($A561&gt;='Control Room'!$A$14,$A561&lt;'Control Room'!$A$14+'Control Room'!$B$14,'Process'!BP3=1),1+('Control Room'!$C$14-1)*EXP(-0.5*(($A561-'Control Room'!$A$14-('Control Room'!$B$14-1)/2)/MAX(0.5,'Control Room'!$B$14/4))^2),1)*IF(AND($A561&gt;='Control Room'!$A$15,$A561&lt;'Control Room'!$A$15+'Control Room'!$B$15,'Process'!BP4=1),1+('Control Room'!$C$15-1)*EXP(-0.5*(($A561-'Control Room'!$A$15-('Control Room'!$B$15-1)/2)/MAX(0.5,'Control Room'!$B$15/4))^2),1)*IF(AND($A561&gt;='Control Room'!$A$16,$A561&lt;'Control Room'!$A$16+'Control Room'!$B$16,'Process'!BP5=1),1+('Control Room'!$C$16-1)*EXP(-0.5*(($A561-'Control Room'!$A$16-('Control Room'!$B$16-1)/2)/MAX(0.5,'Control Room'!$B$16/4))^2),1)</x:f>
        <x:v>1</x:v>
      </x:c>
      <x:c r="AF561" s="9" t="n">
        <x:f>MOD(AG560*16807,2147483647)</x:f>
        <x:v>2071053227</x:v>
      </x:c>
      <x:c r="AG561" s="9" t="n">
        <x:f>MOD(AF561*16807,2147483647)</x:f>
        <x:v>1776635613</x:v>
      </x:c>
      <x:c r="AH561" s="17" t="n">
        <x:f>IF('Control Room'!$B$5="Normal",'Control Room'!$B$7+'Control Room'!$D$7*SQRT(-2*LN(MAX(0.000000000001,AF561/2147483647)))*COS(2*PI()*AG561/2147483647),'Control Room'!$B$8+('Control Room'!$D$8-'Control Room'!$B$8)*AF561/2147483647)</x:f>
        <x:v>1011.3122962241958</x:v>
      </x:c>
      <x:c r="AI561" s="17" t="n">
        <x:f>IF('Control Room'!$B$5="Normal",'Control Room'!$B$7,('Control Room'!$B$8+'Control Room'!$D$8)/2)+'Control Room'!$B$9*(AI560-IF('Control Room'!$B$5="Normal",'Control Room'!$B$7,('Control Room'!$B$8+'Control Room'!$D$8)/2))+SQRT(1-'Control Room'!$B$9^2)*(AH561-IF('Control Room'!$B$5="Normal",'Control Room'!$B$7,('Control Room'!$B$8+'Control Room'!$D$8)/2))</x:f>
        <x:v>911.0614741767013</x:v>
      </x:c>
      <x:c r="AJ561" s="17" t="n">
        <x:f>IF(AND($A561&gt;='Control Room'!$A$13,$A561&lt;'Control Room'!$A$13+'Control Room'!$B$13,'Process'!BQ2=1),1+('Control Room'!$C$13-1)*EXP(-0.5*(($A561-'Control Room'!$A$13-('Control Room'!$B$13-1)/2)/MAX(0.5,'Control Room'!$B$13/4))^2),1)*IF(AND($A561&gt;='Control Room'!$A$14,$A561&lt;'Control Room'!$A$14+'Control Room'!$B$14,'Process'!BQ3=1),1+('Control Room'!$C$14-1)*EXP(-0.5*(($A561-'Control Room'!$A$14-('Control Room'!$B$14-1)/2)/MAX(0.5,'Control Room'!$B$14/4))^2),1)*IF(AND($A561&gt;='Control Room'!$A$15,$A561&lt;'Control Room'!$A$15+'Control Room'!$B$15,'Process'!BQ4=1),1+('Control Room'!$C$15-1)*EXP(-0.5*(($A561-'Control Room'!$A$15-('Control Room'!$B$15-1)/2)/MAX(0.5,'Control Room'!$B$15/4))^2),1)*IF(AND($A561&gt;='Control Room'!$A$16,$A561&lt;'Control Room'!$A$16+'Control Room'!$B$16,'Process'!BQ5=1),1+('Control Room'!$C$16-1)*EXP(-0.5*(($A561-'Control Room'!$A$16-('Control Room'!$B$16-1)/2)/MAX(0.5,'Control Room'!$B$16/4))^2),1)</x:f>
        <x:v>1</x:v>
      </x:c>
      <x:c r="AK561" s="9" t="n">
        <x:f>MOD(AL560*16807,2147483647)</x:f>
        <x:v>1614129864</x:v>
      </x:c>
      <x:c r="AL561" s="9" t="n">
        <x:f>MOD(AK561*16807,2147483647)</x:f>
        <x:v>1667195344</x:v>
      </x:c>
      <x:c r="AM561" s="17" t="n">
        <x:f>IF('Control Room'!$B$5="Normal",'Control Room'!$B$7+'Control Room'!$D$7*SQRT(-2*LN(MAX(0.000000000001,AK561/2147483647)))*COS(2*PI()*AL561/2147483647),'Control Room'!$B$8+('Control Room'!$D$8-'Control Room'!$B$8)*AK561/2147483647)</x:f>
        <x:v>1011.2074928315294</x:v>
      </x:c>
      <x:c r="AN561" s="17" t="n">
        <x:f>IF('Control Room'!$B$5="Normal",'Control Room'!$B$7,('Control Room'!$B$8+'Control Room'!$D$8)/2)+'Control Room'!$B$9*(AN560-IF('Control Room'!$B$5="Normal",'Control Room'!$B$7,('Control Room'!$B$8+'Control Room'!$D$8)/2))+SQRT(1-'Control Room'!$B$9^2)*(AM561-IF('Control Room'!$B$5="Normal",'Control Room'!$B$7,('Control Room'!$B$8+'Control Room'!$D$8)/2))</x:f>
        <x:v>985.9507770976705</x:v>
      </x:c>
      <x:c r="AO561" s="17" t="n">
        <x:f>IF(AND($A561&gt;='Control Room'!$A$13,$A561&lt;'Control Room'!$A$13+'Control Room'!$B$13,'Process'!BR2=1),1+('Control Room'!$C$13-1)*EXP(-0.5*(($A561-'Control Room'!$A$13-('Control Room'!$B$13-1)/2)/MAX(0.5,'Control Room'!$B$13/4))^2),1)*IF(AND($A561&gt;='Control Room'!$A$14,$A561&lt;'Control Room'!$A$14+'Control Room'!$B$14,'Process'!BR3=1),1+('Control Room'!$C$14-1)*EXP(-0.5*(($A561-'Control Room'!$A$14-('Control Room'!$B$14-1)/2)/MAX(0.5,'Control Room'!$B$14/4))^2),1)*IF(AND($A561&gt;='Control Room'!$A$15,$A561&lt;'Control Room'!$A$15+'Control Room'!$B$15,'Process'!BR4=1),1+('Control Room'!$C$15-1)*EXP(-0.5*(($A561-'Control Room'!$A$15-('Control Room'!$B$15-1)/2)/MAX(0.5,'Control Room'!$B$15/4))^2),1)*IF(AND($A561&gt;='Control Room'!$A$16,$A561&lt;'Control Room'!$A$16+'Control Room'!$B$16,'Process'!BR5=1),1+('Control Room'!$C$16-1)*EXP(-0.5*(($A561-'Control Room'!$A$16-('Control Room'!$B$16-1)/2)/MAX(0.5,'Control Room'!$B$16/4))^2),1)</x:f>
        <x:v>1</x:v>
      </x:c>
      <x:c r="AP561" s="9" t="n">
        <x:f>MOD(AQ560*16807,2147483647)</x:f>
        <x:v>1157206501</x:v>
      </x:c>
      <x:c r="AQ561" s="9" t="n">
        <x:f>MOD(AP561*16807,2147483647)</x:f>
        <x:v>1557755075</x:v>
      </x:c>
      <x:c r="AR561" s="17" t="n">
        <x:f>IF('Control Room'!$B$5="Normal",'Control Room'!$B$7+'Control Room'!$D$7*SQRT(-2*LN(MAX(0.000000000001,AP561/2147483647)))*COS(2*PI()*AQ561/2147483647),'Control Room'!$B$8+('Control Room'!$D$8-'Control Room'!$B$8)*AP561/2147483647)</x:f>
        <x:v>984.5837689120959</x:v>
      </x:c>
      <x:c r="AS561" s="17" t="n">
        <x:f>IF('Control Room'!$B$5="Normal",'Control Room'!$B$7,('Control Room'!$B$8+'Control Room'!$D$8)/2)+'Control Room'!$B$9*(AS560-IF('Control Room'!$B$5="Normal",'Control Room'!$B$7,('Control Room'!$B$8+'Control Room'!$D$8)/2))+SQRT(1-'Control Room'!$B$9^2)*(AR561-IF('Control Room'!$B$5="Normal",'Control Room'!$B$7,('Control Room'!$B$8+'Control Room'!$D$8)/2))</x:f>
        <x:v>1104.6056025780779</x:v>
      </x:c>
      <x:c r="AT561" s="17" t="n">
        <x:f>IF(AND($A561&gt;='Control Room'!$A$13,$A561&lt;'Control Room'!$A$13+'Control Room'!$B$13,'Process'!BS2=1),1+('Control Room'!$C$13-1)*EXP(-0.5*(($A561-'Control Room'!$A$13-('Control Room'!$B$13-1)/2)/MAX(0.5,'Control Room'!$B$13/4))^2),1)*IF(AND($A561&gt;='Control Room'!$A$14,$A561&lt;'Control Room'!$A$14+'Control Room'!$B$14,'Process'!BS3=1),1+('Control Room'!$C$14-1)*EXP(-0.5*(($A561-'Control Room'!$A$14-('Control Room'!$B$14-1)/2)/MAX(0.5,'Control Room'!$B$14/4))^2),1)*IF(AND($A561&gt;='Control Room'!$A$15,$A561&lt;'Control Room'!$A$15+'Control Room'!$B$15,'Process'!BS4=1),1+('Control Room'!$C$15-1)*EXP(-0.5*(($A561-'Control Room'!$A$15-('Control Room'!$B$15-1)/2)/MAX(0.5,'Control Room'!$B$15/4))^2),1)*IF(AND($A561&gt;='Control Room'!$A$16,$A561&lt;'Control Room'!$A$16+'Control Room'!$B$16,'Process'!BS5=1),1+('Control Room'!$C$16-1)*EXP(-0.5*(($A561-'Control Room'!$A$16-('Control Room'!$B$16-1)/2)/MAX(0.5,'Control Room'!$B$16/4))^2),1)</x:f>
        <x:v>1</x:v>
      </x:c>
      <x:c r="AU561" s="9" t="n">
        <x:f>MOD(AV560*16807,2147483647)</x:f>
        <x:v>700283138</x:v>
      </x:c>
      <x:c r="AV561" s="9" t="n">
        <x:f>MOD(AU561*16807,2147483647)</x:f>
        <x:v>1448314806</x:v>
      </x:c>
      <x:c r="AW561" s="17" t="n">
        <x:f>IF('Control Room'!$B$5="Normal",'Control Room'!$B$7+'Control Room'!$D$7*SQRT(-2*LN(MAX(0.000000000001,AU561/2147483647)))*COS(2*PI()*AV561/2147483647),'Control Room'!$B$8+('Control Room'!$D$8-'Control Room'!$B$8)*AU561/2147483647)</x:f>
        <x:v>938.398180841279</x:v>
      </x:c>
      <x:c r="AX561" s="17" t="n">
        <x:f>IF('Control Room'!$B$5="Normal",'Control Room'!$B$7,('Control Room'!$B$8+'Control Room'!$D$8)/2)+'Control Room'!$B$9*(AX560-IF('Control Room'!$B$5="Normal",'Control Room'!$B$7,('Control Room'!$B$8+'Control Room'!$D$8)/2))+SQRT(1-'Control Room'!$B$9^2)*(AW561-IF('Control Room'!$B$5="Normal",'Control Room'!$B$7,('Control Room'!$B$8+'Control Room'!$D$8)/2))</x:f>
        <x:v>959.904092498476</x:v>
      </x:c>
      <x:c r="AY561" s="17" t="n">
        <x:f>IF(AND($A561&gt;='Control Room'!$A$13,$A561&lt;'Control Room'!$A$13+'Control Room'!$B$13,'Process'!BT2=1),1+('Control Room'!$C$13-1)*EXP(-0.5*(($A561-'Control Room'!$A$13-('Control Room'!$B$13-1)/2)/MAX(0.5,'Control Room'!$B$13/4))^2),1)*IF(AND($A561&gt;='Control Room'!$A$14,$A561&lt;'Control Room'!$A$14+'Control Room'!$B$14,'Process'!BT3=1),1+('Control Room'!$C$14-1)*EXP(-0.5*(($A561-'Control Room'!$A$14-('Control Room'!$B$14-1)/2)/MAX(0.5,'Control Room'!$B$14/4))^2),1)*IF(AND($A561&gt;='Control Room'!$A$15,$A561&lt;'Control Room'!$A$15+'Control Room'!$B$15,'Process'!BT4=1),1+('Control Room'!$C$15-1)*EXP(-0.5*(($A561-'Control Room'!$A$15-('Control Room'!$B$15-1)/2)/MAX(0.5,'Control Room'!$B$15/4))^2),1)*IF(AND($A561&gt;='Control Room'!$A$16,$A561&lt;'Control Room'!$A$16+'Control Room'!$B$16,'Process'!BT5=1),1+('Control Room'!$C$16-1)*EXP(-0.5*(($A561-'Control Room'!$A$16-('Control Room'!$B$16-1)/2)/MAX(0.5,'Control Room'!$B$16/4))^2),1)</x:f>
        <x:v>1</x:v>
      </x:c>
      <x:c r="AZ561" s="9" t="n">
        <x:f>MOD(BA560*16807,2147483647)</x:f>
        <x:v>243359775</x:v>
      </x:c>
      <x:c r="BA561" s="9" t="n">
        <x:f>MOD(AZ561*16807,2147483647)</x:f>
        <x:v>1338874537</x:v>
      </x:c>
      <x:c r="BB561" s="17" t="n">
        <x:f>IF('Control Room'!$B$5="Normal",'Control Room'!$B$7+'Control Room'!$D$7*SQRT(-2*LN(MAX(0.000000000001,AZ561/2147483647)))*COS(2*PI()*BA561/2147483647),'Control Room'!$B$8+('Control Room'!$D$8-'Control Room'!$B$8)*AZ561/2147483647)</x:f>
        <x:v>865.9153332478506</x:v>
      </x:c>
      <x:c r="BC561" s="17" t="n">
        <x:f>IF('Control Room'!$B$5="Normal",'Control Room'!$B$7,('Control Room'!$B$8+'Control Room'!$D$8)/2)+'Control Room'!$B$9*(BC560-IF('Control Room'!$B$5="Normal",'Control Room'!$B$7,('Control Room'!$B$8+'Control Room'!$D$8)/2))+SQRT(1-'Control Room'!$B$9^2)*(BB561-IF('Control Room'!$B$5="Normal",'Control Room'!$B$7,('Control Room'!$B$8+'Control Room'!$D$8)/2))</x:f>
        <x:v>1066.6287870540991</x:v>
      </x:c>
      <x:c r="BD561" s="17" t="n">
        <x:f>IF(AND($A561&gt;='Control Room'!$A$13,$A561&lt;'Control Room'!$A$13+'Control Room'!$B$13,'Process'!BU2=1),1+('Control Room'!$C$13-1)*EXP(-0.5*(($A561-'Control Room'!$A$13-('Control Room'!$B$13-1)/2)/MAX(0.5,'Control Room'!$B$13/4))^2),1)*IF(AND($A561&gt;='Control Room'!$A$14,$A561&lt;'Control Room'!$A$14+'Control Room'!$B$14,'Process'!BU3=1),1+('Control Room'!$C$14-1)*EXP(-0.5*(($A561-'Control Room'!$A$14-('Control Room'!$B$14-1)/2)/MAX(0.5,'Control Room'!$B$14/4))^2),1)*IF(AND($A561&gt;='Control Room'!$A$15,$A561&lt;'Control Room'!$A$15+'Control Room'!$B$15,'Process'!BU4=1),1+('Control Room'!$C$15-1)*EXP(-0.5*(($A561-'Control Room'!$A$15-('Control Room'!$B$15-1)/2)/MAX(0.5,'Control Room'!$B$15/4))^2),1)*IF(AND($A561&gt;='Control Room'!$A$16,$A561&lt;'Control Room'!$A$16+'Control Room'!$B$16,'Process'!BU5=1),1+('Control Room'!$C$16-1)*EXP(-0.5*(($A561-'Control Room'!$A$16-('Control Room'!$B$16-1)/2)/MAX(0.5,'Control Room'!$B$16/4))^2),1)</x:f>
        <x:v>1</x:v>
      </x:c>
      <x:c r="BE561" s="9" t="n">
        <x:f>MOD(BF560*16807,2147483647)</x:f>
        <x:v>1933920059</x:v>
      </x:c>
      <x:c r="BF561" s="9" t="n">
        <x:f>MOD(BE561*16807,2147483647)</x:f>
        <x:v>1229434268</x:v>
      </x:c>
      <x:c r="BG561" s="17" t="n">
        <x:f>IF('Control Room'!$B$5="Normal",'Control Room'!$B$7+'Control Room'!$D$7*SQRT(-2*LN(MAX(0.000000000001,BE561/2147483647)))*COS(2*PI()*BF561/2147483647),'Control Room'!$B$8+('Control Room'!$D$8-'Control Room'!$B$8)*BE561/2147483647)</x:f>
        <x:v>963.0070045521918</x:v>
      </x:c>
      <x:c r="BH561" s="17" t="n">
        <x:f>IF('Control Room'!$B$5="Normal",'Control Room'!$B$7,('Control Room'!$B$8+'Control Room'!$D$8)/2)+'Control Room'!$B$9*(BH560-IF('Control Room'!$B$5="Normal",'Control Room'!$B$7,('Control Room'!$B$8+'Control Room'!$D$8)/2))+SQRT(1-'Control Room'!$B$9^2)*(BG561-IF('Control Room'!$B$5="Normal",'Control Room'!$B$7,('Control Room'!$B$8+'Control Room'!$D$8)/2))</x:f>
        <x:v>1090.6316412708409</x:v>
      </x:c>
      <x:c r="BI561" s="17" t="n">
        <x:f>IF(AND($A561&gt;='Control Room'!$A$13,$A561&lt;'Control Room'!$A$13+'Control Room'!$B$13,'Process'!BV2=1),1+('Control Room'!$C$13-1)*EXP(-0.5*(($A561-'Control Room'!$A$13-('Control Room'!$B$13-1)/2)/MAX(0.5,'Control Room'!$B$13/4))^2),1)*IF(AND($A561&gt;='Control Room'!$A$14,$A561&lt;'Control Room'!$A$14+'Control Room'!$B$14,'Process'!BV3=1),1+('Control Room'!$C$14-1)*EXP(-0.5*(($A561-'Control Room'!$A$14-('Control Room'!$B$14-1)/2)/MAX(0.5,'Control Room'!$B$14/4))^2),1)*IF(AND($A561&gt;='Control Room'!$A$15,$A561&lt;'Control Room'!$A$15+'Control Room'!$B$15,'Process'!BV4=1),1+('Control Room'!$C$15-1)*EXP(-0.5*(($A561-'Control Room'!$A$15-('Control Room'!$B$15-1)/2)/MAX(0.5,'Control Room'!$B$15/4))^2),1)*IF(AND($A561&gt;='Control Room'!$A$16,$A561&lt;'Control Room'!$A$16+'Control Room'!$B$16,'Process'!BV5=1),1+('Control Room'!$C$16-1)*EXP(-0.5*(($A561-'Control Room'!$A$16-('Control Room'!$B$16-1)/2)/MAX(0.5,'Control Room'!$B$16/4))^2),1)</x:f>
        <x:v>1</x:v>
      </x:c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Z561" t="str">
        <x:f>IF('Data'!A561="","",TEXT('Data'!A561,"mm-dd"))</x:f>
      </x:c>
    </x:row>
    <x:row r="562" ht="21" customHeight="1">
      <x:c r="A562" s="15" t="n">
        <x:f>'Control Room'!$B$1+560</x:f>
        <x:v>73551</x:v>
      </x:c>
      <x:c r="B562" s="9" t="n">
        <x:f>MOD(C561*16807,2147483647)</x:f>
        <x:v>1559264368</x:v>
      </x:c>
      <x:c r="C562" s="9" t="n">
        <x:f>MOD(B562*16807,2147483647)</x:f>
        <x:v>813288635</x:v>
      </x:c>
      <x:c r="D562" s="17" t="n">
        <x:f>IF('Control Room'!$B$5="Normal",'Control Room'!$B$7+'Control Room'!$D$7*SQRT(-2*LN(MAX(0.000000000001,B562/2147483647)))*COS(2*PI()*C562/2147483647),'Control Room'!$B$8+('Control Room'!$D$8-'Control Room'!$B$8)*B562/2147483647)</x:f>
        <x:v>947.9065486655098</x:v>
      </x:c>
      <x:c r="E562" s="17" t="n">
        <x:f>IF('Control Room'!$B$5="Normal",'Control Room'!$B$7,('Control Room'!$B$8+'Control Room'!$D$8)/2)+'Control Room'!$B$9*(E561-IF('Control Room'!$B$5="Normal",'Control Room'!$B$7,('Control Room'!$B$8+'Control Room'!$D$8)/2))+SQRT(1-'Control Room'!$B$9^2)*(D562-IF('Control Room'!$B$5="Normal",'Control Room'!$B$7,('Control Room'!$B$8+'Control Room'!$D$8)/2))</x:f>
        <x:v>1076.0389258506882</x:v>
      </x:c>
      <x:c r="F562" s="17" t="n">
        <x:f>IF(AND($A562&gt;='Control Room'!$A$13,$A562&lt;'Control Room'!$A$13+'Control Room'!$B$13,'Process'!BK2=1),1+('Control Room'!$C$13-1)*EXP(-0.5*(($A562-'Control Room'!$A$13-('Control Room'!$B$13-1)/2)/MAX(0.5,'Control Room'!$B$13/4))^2),1)*IF(AND($A562&gt;='Control Room'!$A$14,$A562&lt;'Control Room'!$A$14+'Control Room'!$B$14,'Process'!BK3=1),1+('Control Room'!$C$14-1)*EXP(-0.5*(($A562-'Control Room'!$A$14-('Control Room'!$B$14-1)/2)/MAX(0.5,'Control Room'!$B$14/4))^2),1)*IF(AND($A562&gt;='Control Room'!$A$15,$A562&lt;'Control Room'!$A$15+'Control Room'!$B$15,'Process'!BK4=1),1+('Control Room'!$C$15-1)*EXP(-0.5*(($A562-'Control Room'!$A$15-('Control Room'!$B$15-1)/2)/MAX(0.5,'Control Room'!$B$15/4))^2),1)*IF(AND($A562&gt;='Control Room'!$A$16,$A562&lt;'Control Room'!$A$16+'Control Room'!$B$16,'Process'!BK5=1),1+('Control Room'!$C$16-1)*EXP(-0.5*(($A562-'Control Room'!$A$16-('Control Room'!$B$16-1)/2)/MAX(0.5,'Control Room'!$B$16/4))^2),1)</x:f>
        <x:v>1</x:v>
      </x:c>
      <x:c r="G562" s="9" t="n">
        <x:f>MOD(H561*16807,2147483647)</x:f>
        <x:v>442665117</x:v>
      </x:c>
      <x:c r="H562" s="9" t="n">
        <x:f>MOD(G562*16807,2147483647)</x:f>
        <x:v>989268211</x:v>
      </x:c>
      <x:c r="I562" s="17" t="n">
        <x:f>IF('Control Room'!$B$5="Normal",'Control Room'!$B$7+'Control Room'!$D$7*SQRT(-2*LN(MAX(0.000000000001,G562/2147483647)))*COS(2*PI()*H562/2147483647),'Control Room'!$B$8+('Control Room'!$D$8-'Control Room'!$B$8)*G562/2147483647)</x:f>
        <x:v>844.9115665646016</x:v>
      </x:c>
      <x:c r="J562" s="17" t="n">
        <x:f>IF('Control Room'!$B$5="Normal",'Control Room'!$B$7,('Control Room'!$B$8+'Control Room'!$D$8)/2)+'Control Room'!$B$9*(J561-IF('Control Room'!$B$5="Normal",'Control Room'!$B$7,('Control Room'!$B$8+'Control Room'!$D$8)/2))+SQRT(1-'Control Room'!$B$9^2)*(I562-IF('Control Room'!$B$5="Normal",'Control Room'!$B$7,('Control Room'!$B$8+'Control Room'!$D$8)/2))</x:f>
        <x:v>1060.8131349673458</x:v>
      </x:c>
      <x:c r="K562" s="17" t="n">
        <x:f>IF(AND($A562&gt;='Control Room'!$A$13,$A562&lt;'Control Room'!$A$13+'Control Room'!$B$13,'Process'!BL2=1),1+('Control Room'!$C$13-1)*EXP(-0.5*(($A562-'Control Room'!$A$13-('Control Room'!$B$13-1)/2)/MAX(0.5,'Control Room'!$B$13/4))^2),1)*IF(AND($A562&gt;='Control Room'!$A$14,$A562&lt;'Control Room'!$A$14+'Control Room'!$B$14,'Process'!BL3=1),1+('Control Room'!$C$14-1)*EXP(-0.5*(($A562-'Control Room'!$A$14-('Control Room'!$B$14-1)/2)/MAX(0.5,'Control Room'!$B$14/4))^2),1)*IF(AND($A562&gt;='Control Room'!$A$15,$A562&lt;'Control Room'!$A$15+'Control Room'!$B$15,'Process'!BL4=1),1+('Control Room'!$C$15-1)*EXP(-0.5*(($A562-'Control Room'!$A$15-('Control Room'!$B$15-1)/2)/MAX(0.5,'Control Room'!$B$15/4))^2),1)*IF(AND($A562&gt;='Control Room'!$A$16,$A562&lt;'Control Room'!$A$16+'Control Room'!$B$16,'Process'!BL5=1),1+('Control Room'!$C$16-1)*EXP(-0.5*(($A562-'Control Room'!$A$16-('Control Room'!$B$16-1)/2)/MAX(0.5,'Control Room'!$B$16/4))^2),1)</x:f>
        <x:v>1</x:v>
      </x:c>
      <x:c r="L562" s="9" t="n">
        <x:f>MOD(M561*16807,2147483647)</x:f>
        <x:v>1473549513</x:v>
      </x:c>
      <x:c r="M562" s="9" t="n">
        <x:f>MOD(L562*16807,2147483647)</x:f>
        <x:v>1165247787</x:v>
      </x:c>
      <x:c r="N562" s="17" t="n">
        <x:f>IF('Control Room'!$B$5="Normal",'Control Room'!$B$7+'Control Room'!$D$7*SQRT(-2*LN(MAX(0.000000000001,L562/2147483647)))*COS(2*PI()*M562/2147483647),'Control Room'!$B$8+('Control Room'!$D$8-'Control Room'!$B$8)*L562/2147483647)</x:f>
        <x:v>924.6720779504914</x:v>
      </x:c>
      <x:c r="O562" s="17" t="n">
        <x:f>IF('Control Room'!$B$5="Normal",'Control Room'!$B$7,('Control Room'!$B$8+'Control Room'!$D$8)/2)+'Control Room'!$B$9*(O561-IF('Control Room'!$B$5="Normal",'Control Room'!$B$7,('Control Room'!$B$8+'Control Room'!$D$8)/2))+SQRT(1-'Control Room'!$B$9^2)*(N562-IF('Control Room'!$B$5="Normal",'Control Room'!$B$7,('Control Room'!$B$8+'Control Room'!$D$8)/2))</x:f>
        <x:v>1000.7880452044915</x:v>
      </x:c>
      <x:c r="P562" s="17" t="n">
        <x:f>IF(AND($A562&gt;='Control Room'!$A$13,$A562&lt;'Control Room'!$A$13+'Control Room'!$B$13,'Process'!BM2=1),1+('Control Room'!$C$13-1)*EXP(-0.5*(($A562-'Control Room'!$A$13-('Control Room'!$B$13-1)/2)/MAX(0.5,'Control Room'!$B$13/4))^2),1)*IF(AND($A562&gt;='Control Room'!$A$14,$A562&lt;'Control Room'!$A$14+'Control Room'!$B$14,'Process'!BM3=1),1+('Control Room'!$C$14-1)*EXP(-0.5*(($A562-'Control Room'!$A$14-('Control Room'!$B$14-1)/2)/MAX(0.5,'Control Room'!$B$14/4))^2),1)*IF(AND($A562&gt;='Control Room'!$A$15,$A562&lt;'Control Room'!$A$15+'Control Room'!$B$15,'Process'!BM4=1),1+('Control Room'!$C$15-1)*EXP(-0.5*(($A562-'Control Room'!$A$15-('Control Room'!$B$15-1)/2)/MAX(0.5,'Control Room'!$B$15/4))^2),1)*IF(AND($A562&gt;='Control Room'!$A$16,$A562&lt;'Control Room'!$A$16+'Control Room'!$B$16,'Process'!BM5=1),1+('Control Room'!$C$16-1)*EXP(-0.5*(($A562-'Control Room'!$A$16-('Control Room'!$B$16-1)/2)/MAX(0.5,'Control Room'!$B$16/4))^2),1)</x:f>
        <x:v>1</x:v>
      </x:c>
      <x:c r="Q562" s="9" t="n">
        <x:f>MOD(R561*16807,2147483647)</x:f>
        <x:v>356950262</x:v>
      </x:c>
      <x:c r="R562" s="9" t="n">
        <x:f>MOD(Q562*16807,2147483647)</x:f>
        <x:v>1341227363</x:v>
      </x:c>
      <x:c r="S562" s="17" t="n">
        <x:f>IF('Control Room'!$B$5="Normal",'Control Room'!$B$7+'Control Room'!$D$7*SQRT(-2*LN(MAX(0.000000000001,Q562/2147483647)))*COS(2*PI()*R562/2147483647),'Control Room'!$B$8+('Control Room'!$D$8-'Control Room'!$B$8)*Q562/2147483647)</x:f>
        <x:v>879.1038271981017</x:v>
      </x:c>
      <x:c r="T562" s="17" t="n">
        <x:f>IF('Control Room'!$B$5="Normal",'Control Room'!$B$7,('Control Room'!$B$8+'Control Room'!$D$8)/2)+'Control Room'!$B$9*(T561-IF('Control Room'!$B$5="Normal",'Control Room'!$B$7,('Control Room'!$B$8+'Control Room'!$D$8)/2))+SQRT(1-'Control Room'!$B$9^2)*(S562-IF('Control Room'!$B$5="Normal",'Control Room'!$B$7,('Control Room'!$B$8+'Control Room'!$D$8)/2))</x:f>
        <x:v>960.5318367592425</x:v>
      </x:c>
      <x:c r="U562" s="17" t="n">
        <x:f>IF(AND($A562&gt;='Control Room'!$A$13,$A562&lt;'Control Room'!$A$13+'Control Room'!$B$13,'Process'!BN2=1),1+('Control Room'!$C$13-1)*EXP(-0.5*(($A562-'Control Room'!$A$13-('Control Room'!$B$13-1)/2)/MAX(0.5,'Control Room'!$B$13/4))^2),1)*IF(AND($A562&gt;='Control Room'!$A$14,$A562&lt;'Control Room'!$A$14+'Control Room'!$B$14,'Process'!BN3=1),1+('Control Room'!$C$14-1)*EXP(-0.5*(($A562-'Control Room'!$A$14-('Control Room'!$B$14-1)/2)/MAX(0.5,'Control Room'!$B$14/4))^2),1)*IF(AND($A562&gt;='Control Room'!$A$15,$A562&lt;'Control Room'!$A$15+'Control Room'!$B$15,'Process'!BN4=1),1+('Control Room'!$C$15-1)*EXP(-0.5*(($A562-'Control Room'!$A$15-('Control Room'!$B$15-1)/2)/MAX(0.5,'Control Room'!$B$15/4))^2),1)*IF(AND($A562&gt;='Control Room'!$A$16,$A562&lt;'Control Room'!$A$16+'Control Room'!$B$16,'Process'!BN5=1),1+('Control Room'!$C$16-1)*EXP(-0.5*(($A562-'Control Room'!$A$16-('Control Room'!$B$16-1)/2)/MAX(0.5,'Control Room'!$B$16/4))^2),1)</x:f>
        <x:v>1</x:v>
      </x:c>
      <x:c r="V562" s="9" t="n">
        <x:f>MOD(W561*16807,2147483647)</x:f>
        <x:v>1387834658</x:v>
      </x:c>
      <x:c r="W562" s="9" t="n">
        <x:f>MOD(V562*16807,2147483647)</x:f>
        <x:v>1517206939</x:v>
      </x:c>
      <x:c r="X562" s="17" t="n">
        <x:f>IF('Control Room'!$B$5="Normal",'Control Room'!$B$7+'Control Room'!$D$7*SQRT(-2*LN(MAX(0.000000000001,V562/2147483647)))*COS(2*PI()*W562/2147483647),'Control Room'!$B$8+('Control Room'!$D$8-'Control Room'!$B$8)*V562/2147483647)</x:f>
        <x:v>977.3024092729045</x:v>
      </x:c>
      <x:c r="Y562" s="17" t="n">
        <x:f>IF('Control Room'!$B$5="Normal",'Control Room'!$B$7,('Control Room'!$B$8+'Control Room'!$D$8)/2)+'Control Room'!$B$9*(Y561-IF('Control Room'!$B$5="Normal",'Control Room'!$B$7,('Control Room'!$B$8+'Control Room'!$D$8)/2))+SQRT(1-'Control Room'!$B$9^2)*(X562-IF('Control Room'!$B$5="Normal",'Control Room'!$B$7,('Control Room'!$B$8+'Control Room'!$D$8)/2))</x:f>
        <x:v>1023.4958398730017</x:v>
      </x:c>
      <x:c r="Z562" s="17" t="n">
        <x:f>IF(AND($A562&gt;='Control Room'!$A$13,$A562&lt;'Control Room'!$A$13+'Control Room'!$B$13,'Process'!BO2=1),1+('Control Room'!$C$13-1)*EXP(-0.5*(($A562-'Control Room'!$A$13-('Control Room'!$B$13-1)/2)/MAX(0.5,'Control Room'!$B$13/4))^2),1)*IF(AND($A562&gt;='Control Room'!$A$14,$A562&lt;'Control Room'!$A$14+'Control Room'!$B$14,'Process'!BO3=1),1+('Control Room'!$C$14-1)*EXP(-0.5*(($A562-'Control Room'!$A$14-('Control Room'!$B$14-1)/2)/MAX(0.5,'Control Room'!$B$14/4))^2),1)*IF(AND($A562&gt;='Control Room'!$A$15,$A562&lt;'Control Room'!$A$15+'Control Room'!$B$15,'Process'!BO4=1),1+('Control Room'!$C$15-1)*EXP(-0.5*(($A562-'Control Room'!$A$15-('Control Room'!$B$15-1)/2)/MAX(0.5,'Control Room'!$B$15/4))^2),1)*IF(AND($A562&gt;='Control Room'!$A$16,$A562&lt;'Control Room'!$A$16+'Control Room'!$B$16,'Process'!BO5=1),1+('Control Room'!$C$16-1)*EXP(-0.5*(($A562-'Control Room'!$A$16-('Control Room'!$B$16-1)/2)/MAX(0.5,'Control Room'!$B$16/4))^2),1)</x:f>
        <x:v>1</x:v>
      </x:c>
      <x:c r="AA562" s="9" t="n">
        <x:f>MOD(AB561*16807,2147483647)</x:f>
        <x:v>271235407</x:v>
      </x:c>
      <x:c r="AB562" s="9" t="n">
        <x:f>MOD(AA562*16807,2147483647)</x:f>
        <x:v>1693186515</x:v>
      </x:c>
      <x:c r="AC562" s="17" t="n">
        <x:f>IF('Control Room'!$B$5="Normal",'Control Room'!$B$7+'Control Room'!$D$7*SQRT(-2*LN(MAX(0.000000000001,AA562/2147483647)))*COS(2*PI()*AB562/2147483647),'Control Room'!$B$8+('Control Room'!$D$8-'Control Room'!$B$8)*AA562/2147483647)</x:f>
        <x:v>1043.8029716862106</x:v>
      </x:c>
      <x:c r="AD562" s="17" t="n">
        <x:f>IF('Control Room'!$B$5="Normal",'Control Room'!$B$7,('Control Room'!$B$8+'Control Room'!$D$8)/2)+'Control Room'!$B$9*(AD561-IF('Control Room'!$B$5="Normal",'Control Room'!$B$7,('Control Room'!$B$8+'Control Room'!$D$8)/2))+SQRT(1-'Control Room'!$B$9^2)*(AC562-IF('Control Room'!$B$5="Normal",'Control Room'!$B$7,('Control Room'!$B$8+'Control Room'!$D$8)/2))</x:f>
        <x:v>1022.9786031143547</x:v>
      </x:c>
      <x:c r="AE562" s="17" t="n">
        <x:f>IF(AND($A562&gt;='Control Room'!$A$13,$A562&lt;'Control Room'!$A$13+'Control Room'!$B$13,'Process'!BP2=1),1+('Control Room'!$C$13-1)*EXP(-0.5*(($A562-'Control Room'!$A$13-('Control Room'!$B$13-1)/2)/MAX(0.5,'Control Room'!$B$13/4))^2),1)*IF(AND($A562&gt;='Control Room'!$A$14,$A562&lt;'Control Room'!$A$14+'Control Room'!$B$14,'Process'!BP3=1),1+('Control Room'!$C$14-1)*EXP(-0.5*(($A562-'Control Room'!$A$14-('Control Room'!$B$14-1)/2)/MAX(0.5,'Control Room'!$B$14/4))^2),1)*IF(AND($A562&gt;='Control Room'!$A$15,$A562&lt;'Control Room'!$A$15+'Control Room'!$B$15,'Process'!BP4=1),1+('Control Room'!$C$15-1)*EXP(-0.5*(($A562-'Control Room'!$A$15-('Control Room'!$B$15-1)/2)/MAX(0.5,'Control Room'!$B$15/4))^2),1)*IF(AND($A562&gt;='Control Room'!$A$16,$A562&lt;'Control Room'!$A$16+'Control Room'!$B$16,'Process'!BP5=1),1+('Control Room'!$C$16-1)*EXP(-0.5*(($A562-'Control Room'!$A$16-('Control Room'!$B$16-1)/2)/MAX(0.5,'Control Room'!$B$16/4))^2),1)</x:f>
        <x:v>1</x:v>
      </x:c>
      <x:c r="AF562" s="9" t="n">
        <x:f>MOD(AG561*16807,2147483647)</x:f>
        <x:v>1302119803</x:v>
      </x:c>
      <x:c r="AG562" s="9" t="n">
        <x:f>MOD(AF562*16807,2147483647)</x:f>
        <x:v>1869166091</x:v>
      </x:c>
      <x:c r="AH562" s="17" t="n">
        <x:f>IF('Control Room'!$B$5="Normal",'Control Room'!$B$7+'Control Room'!$D$7*SQRT(-2*LN(MAX(0.000000000001,AF562/2147483647)))*COS(2*PI()*AG562/2147483647),'Control Room'!$B$8+('Control Room'!$D$8-'Control Room'!$B$8)*AF562/2147483647)</x:f>
        <x:v>1061.7919569220824</x:v>
      </x:c>
      <x:c r="AI562" s="17" t="n">
        <x:f>IF('Control Room'!$B$5="Normal",'Control Room'!$B$7,('Control Room'!$B$8+'Control Room'!$D$8)/2)+'Control Room'!$B$9*(AI561-IF('Control Room'!$B$5="Normal",'Control Room'!$B$7,('Control Room'!$B$8+'Control Room'!$D$8)/2))+SQRT(1-'Control Room'!$B$9^2)*(AH562-IF('Control Room'!$B$5="Normal",'Control Room'!$B$7,('Control Room'!$B$8+'Control Room'!$D$8)/2))</x:f>
        <x:v>969.2960906226219</x:v>
      </x:c>
      <x:c r="AJ562" s="17" t="n">
        <x:f>IF(AND($A562&gt;='Control Room'!$A$13,$A562&lt;'Control Room'!$A$13+'Control Room'!$B$13,'Process'!BQ2=1),1+('Control Room'!$C$13-1)*EXP(-0.5*(($A562-'Control Room'!$A$13-('Control Room'!$B$13-1)/2)/MAX(0.5,'Control Room'!$B$13/4))^2),1)*IF(AND($A562&gt;='Control Room'!$A$14,$A562&lt;'Control Room'!$A$14+'Control Room'!$B$14,'Process'!BQ3=1),1+('Control Room'!$C$14-1)*EXP(-0.5*(($A562-'Control Room'!$A$14-('Control Room'!$B$14-1)/2)/MAX(0.5,'Control Room'!$B$14/4))^2),1)*IF(AND($A562&gt;='Control Room'!$A$15,$A562&lt;'Control Room'!$A$15+'Control Room'!$B$15,'Process'!BQ4=1),1+('Control Room'!$C$15-1)*EXP(-0.5*(($A562-'Control Room'!$A$15-('Control Room'!$B$15-1)/2)/MAX(0.5,'Control Room'!$B$15/4))^2),1)*IF(AND($A562&gt;='Control Room'!$A$16,$A562&lt;'Control Room'!$A$16+'Control Room'!$B$16,'Process'!BQ5=1),1+('Control Room'!$C$16-1)*EXP(-0.5*(($A562-'Control Room'!$A$16-('Control Room'!$B$16-1)/2)/MAX(0.5,'Control Room'!$B$16/4))^2),1)</x:f>
        <x:v>1</x:v>
      </x:c>
      <x:c r="AK562" s="9" t="n">
        <x:f>MOD(AL561*16807,2147483647)</x:f>
        <x:v>185520552</x:v>
      </x:c>
      <x:c r="AL562" s="9" t="n">
        <x:f>MOD(AK562*16807,2147483647)</x:f>
        <x:v>2045145667</x:v>
      </x:c>
      <x:c r="AM562" s="17" t="n">
        <x:f>IF('Control Room'!$B$5="Normal",'Control Room'!$B$7+'Control Room'!$D$7*SQRT(-2*LN(MAX(0.000000000001,AK562/2147483647)))*COS(2*PI()*AL562/2147483647),'Control Room'!$B$8+('Control Room'!$D$8-'Control Room'!$B$8)*AK562/2147483647)</x:f>
        <x:v>1190.3160744598238</x:v>
      </x:c>
      <x:c r="AN562" s="17" t="n">
        <x:f>IF('Control Room'!$B$5="Normal",'Control Room'!$B$7,('Control Room'!$B$8+'Control Room'!$D$8)/2)+'Control Room'!$B$9*(AN561-IF('Control Room'!$B$5="Normal",'Control Room'!$B$7,('Control Room'!$B$8+'Control Room'!$D$8)/2))+SQRT(1-'Control Room'!$B$9^2)*(AM562-IF('Control Room'!$B$5="Normal",'Control Room'!$B$7,('Control Room'!$B$8+'Control Room'!$D$8)/2))</x:f>
        <x:v>1108.1375066964347</x:v>
      </x:c>
      <x:c r="AO562" s="17" t="n">
        <x:f>IF(AND($A562&gt;='Control Room'!$A$13,$A562&lt;'Control Room'!$A$13+'Control Room'!$B$13,'Process'!BR2=1),1+('Control Room'!$C$13-1)*EXP(-0.5*(($A562-'Control Room'!$A$13-('Control Room'!$B$13-1)/2)/MAX(0.5,'Control Room'!$B$13/4))^2),1)*IF(AND($A562&gt;='Control Room'!$A$14,$A562&lt;'Control Room'!$A$14+'Control Room'!$B$14,'Process'!BR3=1),1+('Control Room'!$C$14-1)*EXP(-0.5*(($A562-'Control Room'!$A$14-('Control Room'!$B$14-1)/2)/MAX(0.5,'Control Room'!$B$14/4))^2),1)*IF(AND($A562&gt;='Control Room'!$A$15,$A562&lt;'Control Room'!$A$15+'Control Room'!$B$15,'Process'!BR4=1),1+('Control Room'!$C$15-1)*EXP(-0.5*(($A562-'Control Room'!$A$15-('Control Room'!$B$15-1)/2)/MAX(0.5,'Control Room'!$B$15/4))^2),1)*IF(AND($A562&gt;='Control Room'!$A$16,$A562&lt;'Control Room'!$A$16+'Control Room'!$B$16,'Process'!BR5=1),1+('Control Room'!$C$16-1)*EXP(-0.5*(($A562-'Control Room'!$A$16-('Control Room'!$B$16-1)/2)/MAX(0.5,'Control Room'!$B$16/4))^2),1)</x:f>
        <x:v>1</x:v>
      </x:c>
      <x:c r="AP562" s="9" t="n">
        <x:f>MOD(AQ561*16807,2147483647)</x:f>
        <x:v>1216404948</x:v>
      </x:c>
      <x:c r="AQ562" s="9" t="n">
        <x:f>MOD(AP562*16807,2147483647)</x:f>
        <x:v>73641596</x:v>
      </x:c>
      <x:c r="AR562" s="17" t="n">
        <x:f>IF('Control Room'!$B$5="Normal",'Control Room'!$B$7+'Control Room'!$D$7*SQRT(-2*LN(MAX(0.000000000001,AP562/2147483647)))*COS(2*PI()*AQ562/2147483647),'Control Room'!$B$8+('Control Room'!$D$8-'Control Room'!$B$8)*AP562/2147483647)</x:f>
        <x:v>1093.7396849419192</x:v>
      </x:c>
      <x:c r="AS562" s="17" t="n">
        <x:f>IF('Control Room'!$B$5="Normal",'Control Room'!$B$7,('Control Room'!$B$8+'Control Room'!$D$8)/2)+'Control Room'!$B$9*(AS561-IF('Control Room'!$B$5="Normal",'Control Room'!$B$7,('Control Room'!$B$8+'Control Room'!$D$8)/2))+SQRT(1-'Control Room'!$B$9^2)*(AR562-IF('Control Room'!$B$5="Normal",'Control Room'!$B$7,('Control Room'!$B$8+'Control Room'!$D$8)/2))</x:f>
        <x:v>1140.252744485727</x:v>
      </x:c>
      <x:c r="AT562" s="17" t="n">
        <x:f>IF(AND($A562&gt;='Control Room'!$A$13,$A562&lt;'Control Room'!$A$13+'Control Room'!$B$13,'Process'!BS2=1),1+('Control Room'!$C$13-1)*EXP(-0.5*(($A562-'Control Room'!$A$13-('Control Room'!$B$13-1)/2)/MAX(0.5,'Control Room'!$B$13/4))^2),1)*IF(AND($A562&gt;='Control Room'!$A$14,$A562&lt;'Control Room'!$A$14+'Control Room'!$B$14,'Process'!BS3=1),1+('Control Room'!$C$14-1)*EXP(-0.5*(($A562-'Control Room'!$A$14-('Control Room'!$B$14-1)/2)/MAX(0.5,'Control Room'!$B$14/4))^2),1)*IF(AND($A562&gt;='Control Room'!$A$15,$A562&lt;'Control Room'!$A$15+'Control Room'!$B$15,'Process'!BS4=1),1+('Control Room'!$C$15-1)*EXP(-0.5*(($A562-'Control Room'!$A$15-('Control Room'!$B$15-1)/2)/MAX(0.5,'Control Room'!$B$15/4))^2),1)*IF(AND($A562&gt;='Control Room'!$A$16,$A562&lt;'Control Room'!$A$16+'Control Room'!$B$16,'Process'!BS5=1),1+('Control Room'!$C$16-1)*EXP(-0.5*(($A562-'Control Room'!$A$16-('Control Room'!$B$16-1)/2)/MAX(0.5,'Control Room'!$B$16/4))^2),1)</x:f>
        <x:v>1</x:v>
      </x:c>
      <x:c r="AU562" s="9" t="n">
        <x:f>MOD(AV561*16807,2147483647)</x:f>
        <x:v>99805697</x:v>
      </x:c>
      <x:c r="AV562" s="9" t="n">
        <x:f>MOD(AU562*16807,2147483647)</x:f>
        <x:v>249621172</x:v>
      </x:c>
      <x:c r="AW562" s="17" t="n">
        <x:f>IF('Control Room'!$B$5="Normal",'Control Room'!$B$7+'Control Room'!$D$7*SQRT(-2*LN(MAX(0.000000000001,AU562/2147483647)))*COS(2*PI()*AV562/2147483647),'Control Room'!$B$8+('Control Room'!$D$8-'Control Room'!$B$8)*AU562/2147483647)</x:f>
        <x:v>1166.0983395612486</x:v>
      </x:c>
      <x:c r="AX562" s="17" t="n">
        <x:f>IF('Control Room'!$B$5="Normal",'Control Room'!$B$7,('Control Room'!$B$8+'Control Room'!$D$8)/2)+'Control Room'!$B$9*(AX561-IF('Control Room'!$B$5="Normal",'Control Room'!$B$7,('Control Room'!$B$8+'Control Room'!$D$8)/2))+SQRT(1-'Control Room'!$B$9^2)*(AW562-IF('Control Room'!$B$5="Normal",'Control Room'!$B$7,('Control Room'!$B$8+'Control Room'!$D$8)/2))</x:f>
        <x:v>1072.666130336801</x:v>
      </x:c>
      <x:c r="AY562" s="17" t="n">
        <x:f>IF(AND($A562&gt;='Control Room'!$A$13,$A562&lt;'Control Room'!$A$13+'Control Room'!$B$13,'Process'!BT2=1),1+('Control Room'!$C$13-1)*EXP(-0.5*(($A562-'Control Room'!$A$13-('Control Room'!$B$13-1)/2)/MAX(0.5,'Control Room'!$B$13/4))^2),1)*IF(AND($A562&gt;='Control Room'!$A$14,$A562&lt;'Control Room'!$A$14+'Control Room'!$B$14,'Process'!BT3=1),1+('Control Room'!$C$14-1)*EXP(-0.5*(($A562-'Control Room'!$A$14-('Control Room'!$B$14-1)/2)/MAX(0.5,'Control Room'!$B$14/4))^2),1)*IF(AND($A562&gt;='Control Room'!$A$15,$A562&lt;'Control Room'!$A$15+'Control Room'!$B$15,'Process'!BT4=1),1+('Control Room'!$C$15-1)*EXP(-0.5*(($A562-'Control Room'!$A$15-('Control Room'!$B$15-1)/2)/MAX(0.5,'Control Room'!$B$15/4))^2),1)*IF(AND($A562&gt;='Control Room'!$A$16,$A562&lt;'Control Room'!$A$16+'Control Room'!$B$16,'Process'!BT5=1),1+('Control Room'!$C$16-1)*EXP(-0.5*(($A562-'Control Room'!$A$16-('Control Room'!$B$16-1)/2)/MAX(0.5,'Control Room'!$B$16/4))^2),1)</x:f>
        <x:v>1</x:v>
      </x:c>
      <x:c r="AZ562" s="9" t="n">
        <x:f>MOD(BA561*16807,2147483647)</x:f>
        <x:v>1130690093</x:v>
      </x:c>
      <x:c r="BA562" s="9" t="n">
        <x:f>MOD(AZ562*16807,2147483647)</x:f>
        <x:v>425600748</x:v>
      </x:c>
      <x:c r="BB562" s="17" t="n">
        <x:f>IF('Control Room'!$B$5="Normal",'Control Room'!$B$7+'Control Room'!$D$7*SQRT(-2*LN(MAX(0.000000000001,AZ562/2147483647)))*COS(2*PI()*BA562/2147483647),'Control Room'!$B$8+('Control Room'!$D$8-'Control Room'!$B$8)*AZ562/2147483647)</x:f>
        <x:v>1032.6043070529906</x:v>
      </x:c>
      <x:c r="BC562" s="17" t="n">
        <x:f>IF('Control Room'!$B$5="Normal",'Control Room'!$B$7,('Control Room'!$B$8+'Control Room'!$D$8)/2)+'Control Room'!$B$9*(BC561-IF('Control Room'!$B$5="Normal",'Control Room'!$B$7,('Control Room'!$B$8+'Control Room'!$D$8)/2))+SQRT(1-'Control Room'!$B$9^2)*(BB562-IF('Control Room'!$B$5="Normal",'Control Room'!$B$7,('Control Room'!$B$8+'Control Room'!$D$8)/2))</x:f>
        <x:v>1072.3735613204233</x:v>
      </x:c>
      <x:c r="BD562" s="17" t="n">
        <x:f>IF(AND($A562&gt;='Control Room'!$A$13,$A562&lt;'Control Room'!$A$13+'Control Room'!$B$13,'Process'!BU2=1),1+('Control Room'!$C$13-1)*EXP(-0.5*(($A562-'Control Room'!$A$13-('Control Room'!$B$13-1)/2)/MAX(0.5,'Control Room'!$B$13/4))^2),1)*IF(AND($A562&gt;='Control Room'!$A$14,$A562&lt;'Control Room'!$A$14+'Control Room'!$B$14,'Process'!BU3=1),1+('Control Room'!$C$14-1)*EXP(-0.5*(($A562-'Control Room'!$A$14-('Control Room'!$B$14-1)/2)/MAX(0.5,'Control Room'!$B$14/4))^2),1)*IF(AND($A562&gt;='Control Room'!$A$15,$A562&lt;'Control Room'!$A$15+'Control Room'!$B$15,'Process'!BU4=1),1+('Control Room'!$C$15-1)*EXP(-0.5*(($A562-'Control Room'!$A$15-('Control Room'!$B$15-1)/2)/MAX(0.5,'Control Room'!$B$15/4))^2),1)*IF(AND($A562&gt;='Control Room'!$A$16,$A562&lt;'Control Room'!$A$16+'Control Room'!$B$16,'Process'!BU5=1),1+('Control Room'!$C$16-1)*EXP(-0.5*(($A562-'Control Room'!$A$16-('Control Room'!$B$16-1)/2)/MAX(0.5,'Control Room'!$B$16/4))^2),1)</x:f>
        <x:v>1</x:v>
      </x:c>
      <x:c r="BE562" s="9" t="n">
        <x:f>MOD(BF561*16807,2147483647)</x:f>
        <x:v>14090842</x:v>
      </x:c>
      <x:c r="BF562" s="9" t="n">
        <x:f>MOD(BE562*16807,2147483647)</x:f>
        <x:v>601580324</x:v>
      </x:c>
      <x:c r="BG562" s="17" t="n">
        <x:f>IF('Control Room'!$B$5="Normal",'Control Room'!$B$7+'Control Room'!$D$7*SQRT(-2*LN(MAX(0.000000000001,BE562/2147483647)))*COS(2*PI()*BF562/2147483647),'Control Room'!$B$8+('Control Room'!$D$8-'Control Room'!$B$8)*BE562/2147483647)</x:f>
        <x:v>946.2954254135827</x:v>
      </x:c>
      <x:c r="BH562" s="17" t="n">
        <x:f>IF('Control Room'!$B$5="Normal",'Control Room'!$B$7,('Control Room'!$B$8+'Control Room'!$D$8)/2)+'Control Room'!$B$9*(BH561-IF('Control Room'!$B$5="Normal",'Control Room'!$B$7,('Control Room'!$B$8+'Control Room'!$D$8)/2))+SQRT(1-'Control Room'!$B$9^2)*(BG562-IF('Control Room'!$B$5="Normal",'Control Room'!$B$7,('Control Room'!$B$8+'Control Room'!$D$8)/2))</x:f>
        <x:v>1037.0854576130876</x:v>
      </x:c>
      <x:c r="BI562" s="17" t="n">
        <x:f>IF(AND($A562&gt;='Control Room'!$A$13,$A562&lt;'Control Room'!$A$13+'Control Room'!$B$13,'Process'!BV2=1),1+('Control Room'!$C$13-1)*EXP(-0.5*(($A562-'Control Room'!$A$13-('Control Room'!$B$13-1)/2)/MAX(0.5,'Control Room'!$B$13/4))^2),1)*IF(AND($A562&gt;='Control Room'!$A$14,$A562&lt;'Control Room'!$A$14+'Control Room'!$B$14,'Process'!BV3=1),1+('Control Room'!$C$14-1)*EXP(-0.5*(($A562-'Control Room'!$A$14-('Control Room'!$B$14-1)/2)/MAX(0.5,'Control Room'!$B$14/4))^2),1)*IF(AND($A562&gt;='Control Room'!$A$15,$A562&lt;'Control Room'!$A$15+'Control Room'!$B$15,'Process'!BV4=1),1+('Control Room'!$C$15-1)*EXP(-0.5*(($A562-'Control Room'!$A$15-('Control Room'!$B$15-1)/2)/MAX(0.5,'Control Room'!$B$15/4))^2),1)*IF(AND($A562&gt;='Control Room'!$A$16,$A562&lt;'Control Room'!$A$16+'Control Room'!$B$16,'Process'!BV5=1),1+('Control Room'!$C$16-1)*EXP(-0.5*(($A562-'Control Room'!$A$16-('Control Room'!$B$16-1)/2)/MAX(0.5,'Control Room'!$B$16/4))^2),1)</x:f>
        <x:v>1</x:v>
      </x:c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Z562" t="str">
        <x:f>IF('Data'!A562="","",TEXT('Data'!A562,"mm-dd"))</x:f>
      </x:c>
    </x:row>
    <x:row r="563" ht="21" customHeight="1">
      <x:c r="A563" s="15" t="n">
        <x:f>'Control Room'!$B$1+561</x:f>
        <x:v>73552</x:v>
      </x:c>
      <x:c r="B563" s="9" t="n">
        <x:f>MOD(C562*16807,2147483647)</x:f>
        <x:v>208675290</x:v>
      </x:c>
      <x:c r="C563" s="9" t="n">
        <x:f>MOD(B563*16807,2147483647)</x:f>
        <x:v>364803479</x:v>
      </x:c>
      <x:c r="D563" s="17" t="n">
        <x:f>IF('Control Room'!$B$5="Normal",'Control Room'!$B$7+'Control Room'!$D$7*SQRT(-2*LN(MAX(0.000000000001,B563/2147483647)))*COS(2*PI()*C563/2147483647),'Control Room'!$B$8+('Control Room'!$D$8-'Control Room'!$B$8)*B563/2147483647)</x:f>
        <x:v>1093.7561254579107</x:v>
      </x:c>
      <x:c r="E563" s="17" t="n">
        <x:f>IF('Control Room'!$B$5="Normal",'Control Room'!$B$7,('Control Room'!$B$8+'Control Room'!$D$8)/2)+'Control Room'!$B$9*(E562-IF('Control Room'!$B$5="Normal",'Control Room'!$B$7,('Control Room'!$B$8+'Control Room'!$D$8)/2))+SQRT(1-'Control Room'!$B$9^2)*(D563-IF('Control Room'!$B$5="Normal",'Control Room'!$B$7,('Control Room'!$B$8+'Control Room'!$D$8)/2))</x:f>
        <x:v>1117.981024776468</x:v>
      </x:c>
      <x:c r="F563" s="17" t="n">
        <x:f>IF(AND($A563&gt;='Control Room'!$A$13,$A563&lt;'Control Room'!$A$13+'Control Room'!$B$13,'Process'!BK2=1),1+('Control Room'!$C$13-1)*EXP(-0.5*(($A563-'Control Room'!$A$13-('Control Room'!$B$13-1)/2)/MAX(0.5,'Control Room'!$B$13/4))^2),1)*IF(AND($A563&gt;='Control Room'!$A$14,$A563&lt;'Control Room'!$A$14+'Control Room'!$B$14,'Process'!BK3=1),1+('Control Room'!$C$14-1)*EXP(-0.5*(($A563-'Control Room'!$A$14-('Control Room'!$B$14-1)/2)/MAX(0.5,'Control Room'!$B$14/4))^2),1)*IF(AND($A563&gt;='Control Room'!$A$15,$A563&lt;'Control Room'!$A$15+'Control Room'!$B$15,'Process'!BK4=1),1+('Control Room'!$C$15-1)*EXP(-0.5*(($A563-'Control Room'!$A$15-('Control Room'!$B$15-1)/2)/MAX(0.5,'Control Room'!$B$15/4))^2),1)*IF(AND($A563&gt;='Control Room'!$A$16,$A563&lt;'Control Room'!$A$16+'Control Room'!$B$16,'Process'!BK5=1),1+('Control Room'!$C$16-1)*EXP(-0.5*(($A563-'Control Room'!$A$16-('Control Room'!$B$16-1)/2)/MAX(0.5,'Control Room'!$B$16/4))^2),1)</x:f>
        <x:v>1</x:v>
      </x:c>
      <x:c r="G563" s="9" t="n">
        <x:f>MOD(H562*16807,2147483647)</x:f>
        <x:v>812427203</x:v>
      </x:c>
      <x:c r="H563" s="9" t="n">
        <x:f>MOD(G563*16807,2147483647)</x:f>
        <x:v>762973195</x:v>
      </x:c>
      <x:c r="I563" s="17" t="n">
        <x:f>IF('Control Room'!$B$5="Normal",'Control Room'!$B$7+'Control Room'!$D$7*SQRT(-2*LN(MAX(0.000000000001,G563/2147483647)))*COS(2*PI()*H563/2147483647),'Control Room'!$B$8+('Control Room'!$D$8-'Control Room'!$B$8)*G563/2147483647)</x:f>
        <x:v>922.9098227145568</x:v>
      </x:c>
      <x:c r="J563" s="17" t="n">
        <x:f>IF('Control Room'!$B$5="Normal",'Control Room'!$B$7,('Control Room'!$B$8+'Control Room'!$D$8)/2)+'Control Room'!$B$9*(J562-IF('Control Room'!$B$5="Normal",'Control Room'!$B$7,('Control Room'!$B$8+'Control Room'!$D$8)/2))+SQRT(1-'Control Room'!$B$9^2)*(I563-IF('Control Room'!$B$5="Normal",'Control Room'!$B$7,('Control Room'!$B$8+'Control Room'!$D$8)/2))</x:f>
        <x:v>999.1927916074225</x:v>
      </x:c>
      <x:c r="K563" s="17" t="n">
        <x:f>IF(AND($A563&gt;='Control Room'!$A$13,$A563&lt;'Control Room'!$A$13+'Control Room'!$B$13,'Process'!BL2=1),1+('Control Room'!$C$13-1)*EXP(-0.5*(($A563-'Control Room'!$A$13-('Control Room'!$B$13-1)/2)/MAX(0.5,'Control Room'!$B$13/4))^2),1)*IF(AND($A563&gt;='Control Room'!$A$14,$A563&lt;'Control Room'!$A$14+'Control Room'!$B$14,'Process'!BL3=1),1+('Control Room'!$C$14-1)*EXP(-0.5*(($A563-'Control Room'!$A$14-('Control Room'!$B$14-1)/2)/MAX(0.5,'Control Room'!$B$14/4))^2),1)*IF(AND($A563&gt;='Control Room'!$A$15,$A563&lt;'Control Room'!$A$15+'Control Room'!$B$15,'Process'!BL4=1),1+('Control Room'!$C$15-1)*EXP(-0.5*(($A563-'Control Room'!$A$15-('Control Room'!$B$15-1)/2)/MAX(0.5,'Control Room'!$B$15/4))^2),1)*IF(AND($A563&gt;='Control Room'!$A$16,$A563&lt;'Control Room'!$A$16+'Control Room'!$B$16,'Process'!BL5=1),1+('Control Room'!$C$16-1)*EXP(-0.5*(($A563-'Control Room'!$A$16-('Control Room'!$B$16-1)/2)/MAX(0.5,'Control Room'!$B$16/4))^2),1)</x:f>
        <x:v>1</x:v>
      </x:c>
      <x:c r="L563" s="9" t="n">
        <x:f>MOD(M562*16807,2147483647)</x:f>
        <x:v>1416179116</x:v>
      </x:c>
      <x:c r="M563" s="9" t="n">
        <x:f>MOD(L563*16807,2147483647)</x:f>
        <x:v>1161142911</x:v>
      </x:c>
      <x:c r="N563" s="17" t="n">
        <x:f>IF('Control Room'!$B$5="Normal",'Control Room'!$B$7+'Control Room'!$D$7*SQRT(-2*LN(MAX(0.000000000001,L563/2147483647)))*COS(2*PI()*M563/2147483647),'Control Room'!$B$8+('Control Room'!$D$8-'Control Room'!$B$8)*L563/2147483647)</x:f>
        <x:v>920.5450267645665</x:v>
      </x:c>
      <x:c r="O563" s="17" t="n">
        <x:f>IF('Control Room'!$B$5="Normal",'Control Room'!$B$7,('Control Room'!$B$8+'Control Room'!$D$8)/2)+'Control Room'!$B$9*(O562-IF('Control Room'!$B$5="Normal",'Control Room'!$B$7,('Control Room'!$B$8+'Control Room'!$D$8)/2))+SQRT(1-'Control Room'!$B$9^2)*(N563-IF('Control Room'!$B$5="Normal",'Control Room'!$B$7,('Control Room'!$B$8+'Control Room'!$D$8)/2))</x:f>
        <x:v>950.8933807323704</x:v>
      </x:c>
      <x:c r="P563" s="17" t="n">
        <x:f>IF(AND($A563&gt;='Control Room'!$A$13,$A563&lt;'Control Room'!$A$13+'Control Room'!$B$13,'Process'!BM2=1),1+('Control Room'!$C$13-1)*EXP(-0.5*(($A563-'Control Room'!$A$13-('Control Room'!$B$13-1)/2)/MAX(0.5,'Control Room'!$B$13/4))^2),1)*IF(AND($A563&gt;='Control Room'!$A$14,$A563&lt;'Control Room'!$A$14+'Control Room'!$B$14,'Process'!BM3=1),1+('Control Room'!$C$14-1)*EXP(-0.5*(($A563-'Control Room'!$A$14-('Control Room'!$B$14-1)/2)/MAX(0.5,'Control Room'!$B$14/4))^2),1)*IF(AND($A563&gt;='Control Room'!$A$15,$A563&lt;'Control Room'!$A$15+'Control Room'!$B$15,'Process'!BM4=1),1+('Control Room'!$C$15-1)*EXP(-0.5*(($A563-'Control Room'!$A$15-('Control Room'!$B$15-1)/2)/MAX(0.5,'Control Room'!$B$15/4))^2),1)*IF(AND($A563&gt;='Control Room'!$A$16,$A563&lt;'Control Room'!$A$16+'Control Room'!$B$16,'Process'!BM5=1),1+('Control Room'!$C$16-1)*EXP(-0.5*(($A563-'Control Room'!$A$16-('Control Room'!$B$16-1)/2)/MAX(0.5,'Control Room'!$B$16/4))^2),1)</x:f>
        <x:v>1</x:v>
      </x:c>
      <x:c r="Q563" s="9" t="n">
        <x:f>MOD(R562*16807,2147483647)</x:f>
        <x:v>2019931029</x:v>
      </x:c>
      <x:c r="R563" s="9" t="n">
        <x:f>MOD(Q563*16807,2147483647)</x:f>
        <x:v>1559312627</x:v>
      </x:c>
      <x:c r="S563" s="17" t="n">
        <x:f>IF('Control Room'!$B$5="Normal",'Control Room'!$B$7+'Control Room'!$D$7*SQRT(-2*LN(MAX(0.000000000001,Q563/2147483647)))*COS(2*PI()*R563/2147483647),'Control Room'!$B$8+('Control Room'!$D$8-'Control Room'!$B$8)*Q563/2147483647)</x:f>
        <x:v>995.2903563806269</x:v>
      </x:c>
      <x:c r="T563" s="17" t="n">
        <x:f>IF('Control Room'!$B$5="Normal",'Control Room'!$B$7,('Control Room'!$B$8+'Control Room'!$D$8)/2)+'Control Room'!$B$9*(T562-IF('Control Room'!$B$5="Normal",'Control Room'!$B$7,('Control Room'!$B$8+'Control Room'!$D$8)/2))+SQRT(1-'Control Room'!$B$9^2)*(S563-IF('Control Room'!$B$5="Normal",'Control Room'!$B$7,('Control Room'!$B$8+'Control Room'!$D$8)/2))</x:f>
        <x:v>966.2676341774993</x:v>
      </x:c>
      <x:c r="U563" s="17" t="n">
        <x:f>IF(AND($A563&gt;='Control Room'!$A$13,$A563&lt;'Control Room'!$A$13+'Control Room'!$B$13,'Process'!BN2=1),1+('Control Room'!$C$13-1)*EXP(-0.5*(($A563-'Control Room'!$A$13-('Control Room'!$B$13-1)/2)/MAX(0.5,'Control Room'!$B$13/4))^2),1)*IF(AND($A563&gt;='Control Room'!$A$14,$A563&lt;'Control Room'!$A$14+'Control Room'!$B$14,'Process'!BN3=1),1+('Control Room'!$C$14-1)*EXP(-0.5*(($A563-'Control Room'!$A$14-('Control Room'!$B$14-1)/2)/MAX(0.5,'Control Room'!$B$14/4))^2),1)*IF(AND($A563&gt;='Control Room'!$A$15,$A563&lt;'Control Room'!$A$15+'Control Room'!$B$15,'Process'!BN4=1),1+('Control Room'!$C$15-1)*EXP(-0.5*(($A563-'Control Room'!$A$15-('Control Room'!$B$15-1)/2)/MAX(0.5,'Control Room'!$B$15/4))^2),1)*IF(AND($A563&gt;='Control Room'!$A$16,$A563&lt;'Control Room'!$A$16+'Control Room'!$B$16,'Process'!BN5=1),1+('Control Room'!$C$16-1)*EXP(-0.5*(($A563-'Control Room'!$A$16-('Control Room'!$B$16-1)/2)/MAX(0.5,'Control Room'!$B$16/4))^2),1)</x:f>
        <x:v>1</x:v>
      </x:c>
      <x:c r="V563" s="9" t="n">
        <x:f>MOD(W562*16807,2147483647)</x:f>
        <x:v>476199295</x:v>
      </x:c>
      <x:c r="W563" s="9" t="n">
        <x:f>MOD(V563*16807,2147483647)</x:f>
        <x:v>1957482343</x:v>
      </x:c>
      <x:c r="X563" s="17" t="n">
        <x:f>IF('Control Room'!$B$5="Normal",'Control Room'!$B$7+'Control Room'!$D$7*SQRT(-2*LN(MAX(0.000000000001,V563/2147483647)))*COS(2*PI()*W563/2147483647),'Control Room'!$B$8+('Control Room'!$D$8-'Control Room'!$B$8)*V563/2147483647)</x:f>
        <x:v>1132.685396044971</x:v>
      </x:c>
      <x:c r="Y563" s="17" t="n">
        <x:f>IF('Control Room'!$B$5="Normal",'Control Room'!$B$7,('Control Room'!$B$8+'Control Room'!$D$8)/2)+'Control Room'!$B$9*(Y562-IF('Control Room'!$B$5="Normal",'Control Room'!$B$7,('Control Room'!$B$8+'Control Room'!$D$8)/2))+SQRT(1-'Control Room'!$B$9^2)*(X563-IF('Control Room'!$B$5="Normal",'Control Room'!$B$7,('Control Room'!$B$8+'Control Room'!$D$8)/2))</x:f>
        <x:v>1101.3585577377985</x:v>
      </x:c>
      <x:c r="Z563" s="17" t="n">
        <x:f>IF(AND($A563&gt;='Control Room'!$A$13,$A563&lt;'Control Room'!$A$13+'Control Room'!$B$13,'Process'!BO2=1),1+('Control Room'!$C$13-1)*EXP(-0.5*(($A563-'Control Room'!$A$13-('Control Room'!$B$13-1)/2)/MAX(0.5,'Control Room'!$B$13/4))^2),1)*IF(AND($A563&gt;='Control Room'!$A$14,$A563&lt;'Control Room'!$A$14+'Control Room'!$B$14,'Process'!BO3=1),1+('Control Room'!$C$14-1)*EXP(-0.5*(($A563-'Control Room'!$A$14-('Control Room'!$B$14-1)/2)/MAX(0.5,'Control Room'!$B$14/4))^2),1)*IF(AND($A563&gt;='Control Room'!$A$15,$A563&lt;'Control Room'!$A$15+'Control Room'!$B$15,'Process'!BO4=1),1+('Control Room'!$C$15-1)*EXP(-0.5*(($A563-'Control Room'!$A$15-('Control Room'!$B$15-1)/2)/MAX(0.5,'Control Room'!$B$15/4))^2),1)*IF(AND($A563&gt;='Control Room'!$A$16,$A563&lt;'Control Room'!$A$16+'Control Room'!$B$16,'Process'!BO5=1),1+('Control Room'!$C$16-1)*EXP(-0.5*(($A563-'Control Room'!$A$16-('Control Room'!$B$16-1)/2)/MAX(0.5,'Control Room'!$B$16/4))^2),1)</x:f>
        <x:v>1</x:v>
      </x:c>
      <x:c r="AA563" s="9" t="n">
        <x:f>MOD(AB562*16807,2147483647)</x:f>
        <x:v>1079951208</x:v>
      </x:c>
      <x:c r="AB563" s="9" t="n">
        <x:f>MOD(AA563*16807,2147483647)</x:f>
        <x:v>208168412</x:v>
      </x:c>
      <x:c r="AC563" s="17" t="n">
        <x:f>IF('Control Room'!$B$5="Normal",'Control Room'!$B$7+'Control Room'!$D$7*SQRT(-2*LN(MAX(0.000000000001,AA563/2147483647)))*COS(2*PI()*AB563/2147483647),'Control Room'!$B$8+('Control Room'!$D$8-'Control Room'!$B$8)*AA563/2147483647)</x:f>
        <x:v>1086.5499156409187</x:v>
      </x:c>
      <x:c r="AD563" s="17" t="n">
        <x:f>IF('Control Room'!$B$5="Normal",'Control Room'!$B$7,('Control Room'!$B$8+'Control Room'!$D$8)/2)+'Control Room'!$B$9*(AD562-IF('Control Room'!$B$5="Normal",'Control Room'!$B$7,('Control Room'!$B$8+'Control Room'!$D$8)/2))+SQRT(1-'Control Room'!$B$9^2)*(AC563-IF('Control Room'!$B$5="Normal",'Control Room'!$B$7,('Control Room'!$B$8+'Control Room'!$D$8)/2))</x:f>
        <x:v>1072.0844745658867</x:v>
      </x:c>
      <x:c r="AE563" s="17" t="n">
        <x:f>IF(AND($A563&gt;='Control Room'!$A$13,$A563&lt;'Control Room'!$A$13+'Control Room'!$B$13,'Process'!BP2=1),1+('Control Room'!$C$13-1)*EXP(-0.5*(($A563-'Control Room'!$A$13-('Control Room'!$B$13-1)/2)/MAX(0.5,'Control Room'!$B$13/4))^2),1)*IF(AND($A563&gt;='Control Room'!$A$14,$A563&lt;'Control Room'!$A$14+'Control Room'!$B$14,'Process'!BP3=1),1+('Control Room'!$C$14-1)*EXP(-0.5*(($A563-'Control Room'!$A$14-('Control Room'!$B$14-1)/2)/MAX(0.5,'Control Room'!$B$14/4))^2),1)*IF(AND($A563&gt;='Control Room'!$A$15,$A563&lt;'Control Room'!$A$15+'Control Room'!$B$15,'Process'!BP4=1),1+('Control Room'!$C$15-1)*EXP(-0.5*(($A563-'Control Room'!$A$15-('Control Room'!$B$15-1)/2)/MAX(0.5,'Control Room'!$B$15/4))^2),1)*IF(AND($A563&gt;='Control Room'!$A$16,$A563&lt;'Control Room'!$A$16+'Control Room'!$B$16,'Process'!BP5=1),1+('Control Room'!$C$16-1)*EXP(-0.5*(($A563-'Control Room'!$A$16-('Control Room'!$B$16-1)/2)/MAX(0.5,'Control Room'!$B$16/4))^2),1)</x:f>
        <x:v>1</x:v>
      </x:c>
      <x:c r="AF563" s="9" t="n">
        <x:f>MOD(AG562*16807,2147483647)</x:f>
        <x:v>1683703121</x:v>
      </x:c>
      <x:c r="AG563" s="9" t="n">
        <x:f>MOD(AF563*16807,2147483647)</x:f>
        <x:v>606338128</x:v>
      </x:c>
      <x:c r="AH563" s="17" t="n">
        <x:f>IF('Control Room'!$B$5="Normal",'Control Room'!$B$7+'Control Room'!$D$7*SQRT(-2*LN(MAX(0.000000000001,AF563/2147483647)))*COS(2*PI()*AG563/2147483647),'Control Room'!$B$8+('Control Room'!$D$8-'Control Room'!$B$8)*AF563/2147483647)</x:f>
        <x:v>987.3274150081235</x:v>
      </x:c>
      <x:c r="AI563" s="17" t="n">
        <x:f>IF('Control Room'!$B$5="Normal",'Control Room'!$B$7,('Control Room'!$B$8+'Control Room'!$D$8)/2)+'Control Room'!$B$9*(AI562-IF('Control Room'!$B$5="Normal",'Control Room'!$B$7,('Control Room'!$B$8+'Control Room'!$D$8)/2))+SQRT(1-'Control Room'!$B$9^2)*(AH563-IF('Control Room'!$B$5="Normal",'Control Room'!$B$7,('Control Room'!$B$8+'Control Room'!$D$8)/2))</x:f>
        <x:v>968.1207066097436</x:v>
      </x:c>
      <x:c r="AJ563" s="17" t="n">
        <x:f>IF(AND($A563&gt;='Control Room'!$A$13,$A563&lt;'Control Room'!$A$13+'Control Room'!$B$13,'Process'!BQ2=1),1+('Control Room'!$C$13-1)*EXP(-0.5*(($A563-'Control Room'!$A$13-('Control Room'!$B$13-1)/2)/MAX(0.5,'Control Room'!$B$13/4))^2),1)*IF(AND($A563&gt;='Control Room'!$A$14,$A563&lt;'Control Room'!$A$14+'Control Room'!$B$14,'Process'!BQ3=1),1+('Control Room'!$C$14-1)*EXP(-0.5*(($A563-'Control Room'!$A$14-('Control Room'!$B$14-1)/2)/MAX(0.5,'Control Room'!$B$14/4))^2),1)*IF(AND($A563&gt;='Control Room'!$A$15,$A563&lt;'Control Room'!$A$15+'Control Room'!$B$15,'Process'!BQ4=1),1+('Control Room'!$C$15-1)*EXP(-0.5*(($A563-'Control Room'!$A$15-('Control Room'!$B$15-1)/2)/MAX(0.5,'Control Room'!$B$15/4))^2),1)*IF(AND($A563&gt;='Control Room'!$A$16,$A563&lt;'Control Room'!$A$16+'Control Room'!$B$16,'Process'!BQ5=1),1+('Control Room'!$C$16-1)*EXP(-0.5*(($A563-'Control Room'!$A$16-('Control Room'!$B$16-1)/2)/MAX(0.5,'Control Room'!$B$16/4))^2),1)</x:f>
        <x:v>1</x:v>
      </x:c>
      <x:c r="AK563" s="9" t="n">
        <x:f>MOD(AL562*16807,2147483647)</x:f>
        <x:v>139971387</x:v>
      </x:c>
      <x:c r="AL563" s="9" t="n">
        <x:f>MOD(AK563*16807,2147483647)</x:f>
        <x:v>1004507844</x:v>
      </x:c>
      <x:c r="AM563" s="17" t="n">
        <x:f>IF('Control Room'!$B$5="Normal",'Control Room'!$B$7+'Control Room'!$D$7*SQRT(-2*LN(MAX(0.000000000001,AK563/2147483647)))*COS(2*PI()*AL563/2147483647),'Control Room'!$B$8+('Control Room'!$D$8-'Control Room'!$B$8)*AK563/2147483647)</x:f>
        <x:v>793.9769839442864</x:v>
      </x:c>
      <x:c r="AN563" s="17" t="n">
        <x:f>IF('Control Room'!$B$5="Normal",'Control Room'!$B$7,('Control Room'!$B$8+'Control Room'!$D$8)/2)+'Control Room'!$B$9*(AN562-IF('Control Room'!$B$5="Normal",'Control Room'!$B$7,('Control Room'!$B$8+'Control Room'!$D$8)/2))+SQRT(1-'Control Room'!$B$9^2)*(AM563-IF('Control Room'!$B$5="Normal",'Control Room'!$B$7,('Control Room'!$B$8+'Control Room'!$D$8)/2))</x:f>
        <x:v>955.422272386448</x:v>
      </x:c>
      <x:c r="AO563" s="17" t="n">
        <x:f>IF(AND($A563&gt;='Control Room'!$A$13,$A563&lt;'Control Room'!$A$13+'Control Room'!$B$13,'Process'!BR2=1),1+('Control Room'!$C$13-1)*EXP(-0.5*(($A563-'Control Room'!$A$13-('Control Room'!$B$13-1)/2)/MAX(0.5,'Control Room'!$B$13/4))^2),1)*IF(AND($A563&gt;='Control Room'!$A$14,$A563&lt;'Control Room'!$A$14+'Control Room'!$B$14,'Process'!BR3=1),1+('Control Room'!$C$14-1)*EXP(-0.5*(($A563-'Control Room'!$A$14-('Control Room'!$B$14-1)/2)/MAX(0.5,'Control Room'!$B$14/4))^2),1)*IF(AND($A563&gt;='Control Room'!$A$15,$A563&lt;'Control Room'!$A$15+'Control Room'!$B$15,'Process'!BR4=1),1+('Control Room'!$C$15-1)*EXP(-0.5*(($A563-'Control Room'!$A$15-('Control Room'!$B$15-1)/2)/MAX(0.5,'Control Room'!$B$15/4))^2),1)*IF(AND($A563&gt;='Control Room'!$A$16,$A563&lt;'Control Room'!$A$16+'Control Room'!$B$16,'Process'!BR5=1),1+('Control Room'!$C$16-1)*EXP(-0.5*(($A563-'Control Room'!$A$16-('Control Room'!$B$16-1)/2)/MAX(0.5,'Control Room'!$B$16/4))^2),1)</x:f>
        <x:v>1</x:v>
      </x:c>
      <x:c r="AP563" s="9" t="n">
        <x:f>MOD(AQ562*16807,2147483647)</x:f>
        <x:v>743723300</x:v>
      </x:c>
      <x:c r="AQ563" s="9" t="n">
        <x:f>MOD(AP563*16807,2147483647)</x:f>
        <x:v>1402677560</x:v>
      </x:c>
      <x:c r="AR563" s="17" t="n">
        <x:f>IF('Control Room'!$B$5="Normal",'Control Room'!$B$7+'Control Room'!$D$7*SQRT(-2*LN(MAX(0.000000000001,AP563/2147483647)))*COS(2*PI()*AQ563/2147483647),'Control Room'!$B$8+('Control Room'!$D$8-'Control Room'!$B$8)*AP563/2147483647)</x:f>
        <x:v>925.0904283778011</x:v>
      </x:c>
      <x:c r="AS563" s="17" t="n">
        <x:f>IF('Control Room'!$B$5="Normal",'Control Room'!$B$7,('Control Room'!$B$8+'Control Room'!$D$8)/2)+'Control Room'!$B$9*(AS562-IF('Control Room'!$B$5="Normal",'Control Room'!$B$7,('Control Room'!$B$8+'Control Room'!$D$8)/2))+SQRT(1-'Control Room'!$B$9^2)*(AR563-IF('Control Room'!$B$5="Normal",'Control Room'!$B$7,('Control Room'!$B$8+'Control Room'!$D$8)/2))</x:f>
        <x:v>1062.5202653836827</x:v>
      </x:c>
      <x:c r="AT563" s="17" t="n">
        <x:f>IF(AND($A563&gt;='Control Room'!$A$13,$A563&lt;'Control Room'!$A$13+'Control Room'!$B$13,'Process'!BS2=1),1+('Control Room'!$C$13-1)*EXP(-0.5*(($A563-'Control Room'!$A$13-('Control Room'!$B$13-1)/2)/MAX(0.5,'Control Room'!$B$13/4))^2),1)*IF(AND($A563&gt;='Control Room'!$A$14,$A563&lt;'Control Room'!$A$14+'Control Room'!$B$14,'Process'!BS3=1),1+('Control Room'!$C$14-1)*EXP(-0.5*(($A563-'Control Room'!$A$14-('Control Room'!$B$14-1)/2)/MAX(0.5,'Control Room'!$B$14/4))^2),1)*IF(AND($A563&gt;='Control Room'!$A$15,$A563&lt;'Control Room'!$A$15+'Control Room'!$B$15,'Process'!BS4=1),1+('Control Room'!$C$15-1)*EXP(-0.5*(($A563-'Control Room'!$A$15-('Control Room'!$B$15-1)/2)/MAX(0.5,'Control Room'!$B$15/4))^2),1)*IF(AND($A563&gt;='Control Room'!$A$16,$A563&lt;'Control Room'!$A$16+'Control Room'!$B$16,'Process'!BS5=1),1+('Control Room'!$C$16-1)*EXP(-0.5*(($A563-'Control Room'!$A$16-('Control Room'!$B$16-1)/2)/MAX(0.5,'Control Room'!$B$16/4))^2),1)</x:f>
        <x:v>1</x:v>
      </x:c>
      <x:c r="AU563" s="9" t="n">
        <x:f>MOD(AV562*16807,2147483647)</x:f>
        <x:v>1347475213</x:v>
      </x:c>
      <x:c r="AV563" s="9" t="n">
        <x:f>MOD(AU563*16807,2147483647)</x:f>
        <x:v>1800847276</x:v>
      </x:c>
      <x:c r="AW563" s="17" t="n">
        <x:f>IF('Control Room'!$B$5="Normal",'Control Room'!$B$7+'Control Room'!$D$7*SQRT(-2*LN(MAX(0.000000000001,AU563/2147483647)))*COS(2*PI()*AV563/2147483647),'Control Room'!$B$8+('Control Room'!$D$8-'Control Room'!$B$8)*AU563/2147483647)</x:f>
        <x:v>1045.9049547743998</x:v>
      </x:c>
      <x:c r="AX563" s="17" t="n">
        <x:f>IF('Control Room'!$B$5="Normal",'Control Room'!$B$7,('Control Room'!$B$8+'Control Room'!$D$8)/2)+'Control Room'!$B$9*(AX562-IF('Control Room'!$B$5="Normal",'Control Room'!$B$7,('Control Room'!$B$8+'Control Room'!$D$8)/2))+SQRT(1-'Control Room'!$B$9^2)*(AW563-IF('Control Room'!$B$5="Normal",'Control Room'!$B$7,('Control Room'!$B$8+'Control Room'!$D$8)/2))</x:f>
        <x:v>1085.4059619464097</x:v>
      </x:c>
      <x:c r="AY563" s="17" t="n">
        <x:f>IF(AND($A563&gt;='Control Room'!$A$13,$A563&lt;'Control Room'!$A$13+'Control Room'!$B$13,'Process'!BT2=1),1+('Control Room'!$C$13-1)*EXP(-0.5*(($A563-'Control Room'!$A$13-('Control Room'!$B$13-1)/2)/MAX(0.5,'Control Room'!$B$13/4))^2),1)*IF(AND($A563&gt;='Control Room'!$A$14,$A563&lt;'Control Room'!$A$14+'Control Room'!$B$14,'Process'!BT3=1),1+('Control Room'!$C$14-1)*EXP(-0.5*(($A563-'Control Room'!$A$14-('Control Room'!$B$14-1)/2)/MAX(0.5,'Control Room'!$B$14/4))^2),1)*IF(AND($A563&gt;='Control Room'!$A$15,$A563&lt;'Control Room'!$A$15+'Control Room'!$B$15,'Process'!BT4=1),1+('Control Room'!$C$15-1)*EXP(-0.5*(($A563-'Control Room'!$A$15-('Control Room'!$B$15-1)/2)/MAX(0.5,'Control Room'!$B$15/4))^2),1)*IF(AND($A563&gt;='Control Room'!$A$16,$A563&lt;'Control Room'!$A$16+'Control Room'!$B$16,'Process'!BT5=1),1+('Control Room'!$C$16-1)*EXP(-0.5*(($A563-'Control Room'!$A$16-('Control Room'!$B$16-1)/2)/MAX(0.5,'Control Room'!$B$16/4))^2),1)</x:f>
        <x:v>1</x:v>
      </x:c>
      <x:c r="AZ563" s="9" t="n">
        <x:f>MOD(BA562*16807,2147483647)</x:f>
        <x:v>1951227126</x:v>
      </x:c>
      <x:c r="BA563" s="9" t="n">
        <x:f>MOD(AZ563*16807,2147483647)</x:f>
        <x:v>51533345</x:v>
      </x:c>
      <x:c r="BB563" s="17" t="n">
        <x:f>IF('Control Room'!$B$5="Normal",'Control Room'!$B$7+'Control Room'!$D$7*SQRT(-2*LN(MAX(0.000000000001,AZ563/2147483647)))*COS(2*PI()*BA563/2147483647),'Control Room'!$B$8+('Control Room'!$D$8-'Control Room'!$B$8)*AZ563/2147483647)</x:f>
        <x:v>1038.955751013938</x:v>
      </x:c>
      <x:c r="BC563" s="17" t="n">
        <x:f>IF('Control Room'!$B$5="Normal",'Control Room'!$B$7,('Control Room'!$B$8+'Control Room'!$D$8)/2)+'Control Room'!$B$9*(BC562-IF('Control Room'!$B$5="Normal",'Control Room'!$B$7,('Control Room'!$B$8+'Control Room'!$D$8)/2))+SQRT(1-'Control Room'!$B$9^2)*(BB563-IF('Control Room'!$B$5="Normal",'Control Room'!$B$7,('Control Room'!$B$8+'Control Room'!$D$8)/2))</x:f>
        <x:v>1080.829088762515</x:v>
      </x:c>
      <x:c r="BD563" s="17" t="n">
        <x:f>IF(AND($A563&gt;='Control Room'!$A$13,$A563&lt;'Control Room'!$A$13+'Control Room'!$B$13,'Process'!BU2=1),1+('Control Room'!$C$13-1)*EXP(-0.5*(($A563-'Control Room'!$A$13-('Control Room'!$B$13-1)/2)/MAX(0.5,'Control Room'!$B$13/4))^2),1)*IF(AND($A563&gt;='Control Room'!$A$14,$A563&lt;'Control Room'!$A$14+'Control Room'!$B$14,'Process'!BU3=1),1+('Control Room'!$C$14-1)*EXP(-0.5*(($A563-'Control Room'!$A$14-('Control Room'!$B$14-1)/2)/MAX(0.5,'Control Room'!$B$14/4))^2),1)*IF(AND($A563&gt;='Control Room'!$A$15,$A563&lt;'Control Room'!$A$15+'Control Room'!$B$15,'Process'!BU4=1),1+('Control Room'!$C$15-1)*EXP(-0.5*(($A563-'Control Room'!$A$15-('Control Room'!$B$15-1)/2)/MAX(0.5,'Control Room'!$B$15/4))^2),1)*IF(AND($A563&gt;='Control Room'!$A$16,$A563&lt;'Control Room'!$A$16+'Control Room'!$B$16,'Process'!BU5=1),1+('Control Room'!$C$16-1)*EXP(-0.5*(($A563-'Control Room'!$A$16-('Control Room'!$B$16-1)/2)/MAX(0.5,'Control Room'!$B$16/4))^2),1)</x:f>
        <x:v>1</x:v>
      </x:c>
      <x:c r="BE563" s="9" t="n">
        <x:f>MOD(BF562*16807,2147483647)</x:f>
        <x:v>407495392</x:v>
      </x:c>
      <x:c r="BF563" s="9" t="n">
        <x:f>MOD(BE563*16807,2147483647)</x:f>
        <x:v>449703061</x:v>
      </x:c>
      <x:c r="BG563" s="17" t="n">
        <x:f>IF('Control Room'!$B$5="Normal",'Control Room'!$B$7+'Control Room'!$D$7*SQRT(-2*LN(MAX(0.000000000001,BE563/2147483647)))*COS(2*PI()*BF563/2147483647),'Control Room'!$B$8+('Control Room'!$D$8-'Control Room'!$B$8)*BE563/2147483647)</x:f>
        <x:v>1041.3965297014647</x:v>
      </x:c>
      <x:c r="BH563" s="17" t="n">
        <x:f>IF('Control Room'!$B$5="Normal",'Control Room'!$B$7,('Control Room'!$B$8+'Control Room'!$D$8)/2)+'Control Room'!$B$9*(BH562-IF('Control Room'!$B$5="Normal",'Control Room'!$B$7,('Control Room'!$B$8+'Control Room'!$D$8)/2))+SQRT(1-'Control Room'!$B$9^2)*(BG563-IF('Control Room'!$B$5="Normal",'Control Room'!$B$7,('Control Room'!$B$8+'Control Room'!$D$8)/2))</x:f>
        <x:v>1054.831757171378</x:v>
      </x:c>
      <x:c r="BI563" s="17" t="n">
        <x:f>IF(AND($A563&gt;='Control Room'!$A$13,$A563&lt;'Control Room'!$A$13+'Control Room'!$B$13,'Process'!BV2=1),1+('Control Room'!$C$13-1)*EXP(-0.5*(($A563-'Control Room'!$A$13-('Control Room'!$B$13-1)/2)/MAX(0.5,'Control Room'!$B$13/4))^2),1)*IF(AND($A563&gt;='Control Room'!$A$14,$A563&lt;'Control Room'!$A$14+'Control Room'!$B$14,'Process'!BV3=1),1+('Control Room'!$C$14-1)*EXP(-0.5*(($A563-'Control Room'!$A$14-('Control Room'!$B$14-1)/2)/MAX(0.5,'Control Room'!$B$14/4))^2),1)*IF(AND($A563&gt;='Control Room'!$A$15,$A563&lt;'Control Room'!$A$15+'Control Room'!$B$15,'Process'!BV4=1),1+('Control Room'!$C$15-1)*EXP(-0.5*(($A563-'Control Room'!$A$15-('Control Room'!$B$15-1)/2)/MAX(0.5,'Control Room'!$B$15/4))^2),1)*IF(AND($A563&gt;='Control Room'!$A$16,$A563&lt;'Control Room'!$A$16+'Control Room'!$B$16,'Process'!BV5=1),1+('Control Room'!$C$16-1)*EXP(-0.5*(($A563-'Control Room'!$A$16-('Control Room'!$B$16-1)/2)/MAX(0.5,'Control Room'!$B$16/4))^2),1)</x:f>
        <x:v>1</x:v>
      </x:c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Z563" t="str">
        <x:f>IF('Data'!A563="","",TEXT('Data'!A563,"mm-dd"))</x:f>
      </x:c>
    </x:row>
    <x:row r="564" ht="21" customHeight="1">
      <x:c r="A564" s="15" t="n">
        <x:f>'Control Room'!$B$1+562</x:f>
        <x:v>73553</x:v>
      </x:c>
      <x:c r="B564" s="9" t="n">
        <x:f>MOD(C563*16807,2147483647)</x:f>
        <x:v>186259368</x:v>
      </x:c>
      <x:c r="C564" s="9" t="n">
        <x:f>MOD(B564*16807,2147483647)</x:f>
        <x:v>1577524297</x:v>
      </x:c>
      <x:c r="D564" s="17" t="n">
        <x:f>IF('Control Room'!$B$5="Normal",'Control Room'!$B$7+'Control Room'!$D$7*SQRT(-2*LN(MAX(0.000000000001,B564/2147483647)))*COS(2*PI()*C564/2147483647),'Control Room'!$B$8+('Control Room'!$D$8-'Control Room'!$B$8)*B564/2147483647)</x:f>
        <x:v>980.7630253070638</x:v>
      </x:c>
      <x:c r="E564" s="17" t="n">
        <x:f>IF('Control Room'!$B$5="Normal",'Control Room'!$B$7,('Control Room'!$B$8+'Control Room'!$D$8)/2)+'Control Room'!$B$9*(E563-IF('Control Room'!$B$5="Normal",'Control Room'!$B$7,('Control Room'!$B$8+'Control Room'!$D$8)/2))+SQRT(1-'Control Room'!$B$9^2)*(D564-IF('Control Room'!$B$5="Normal",'Control Room'!$B$7,('Control Room'!$B$8+'Control Room'!$D$8)/2))</x:f>
        <x:v>1079.987094653653</x:v>
      </x:c>
      <x:c r="F564" s="17" t="n">
        <x:f>IF(AND($A564&gt;='Control Room'!$A$13,$A564&lt;'Control Room'!$A$13+'Control Room'!$B$13,'Process'!BK2=1),1+('Control Room'!$C$13-1)*EXP(-0.5*(($A564-'Control Room'!$A$13-('Control Room'!$B$13-1)/2)/MAX(0.5,'Control Room'!$B$13/4))^2),1)*IF(AND($A564&gt;='Control Room'!$A$14,$A564&lt;'Control Room'!$A$14+'Control Room'!$B$14,'Process'!BK3=1),1+('Control Room'!$C$14-1)*EXP(-0.5*(($A564-'Control Room'!$A$14-('Control Room'!$B$14-1)/2)/MAX(0.5,'Control Room'!$B$14/4))^2),1)*IF(AND($A564&gt;='Control Room'!$A$15,$A564&lt;'Control Room'!$A$15+'Control Room'!$B$15,'Process'!BK4=1),1+('Control Room'!$C$15-1)*EXP(-0.5*(($A564-'Control Room'!$A$15-('Control Room'!$B$15-1)/2)/MAX(0.5,'Control Room'!$B$15/4))^2),1)*IF(AND($A564&gt;='Control Room'!$A$16,$A564&lt;'Control Room'!$A$16+'Control Room'!$B$16,'Process'!BK5=1),1+('Control Room'!$C$16-1)*EXP(-0.5*(($A564-'Control Room'!$A$16-('Control Room'!$B$16-1)/2)/MAX(0.5,'Control Room'!$B$16/4))^2),1)</x:f>
        <x:v>1</x:v>
      </x:c>
      <x:c r="G564" s="9" t="n">
        <x:f>MOD(H563*16807,2147483647)</x:f>
        <x:v>665632128</x:v>
      </x:c>
      <x:c r="H564" s="9" t="n">
        <x:f>MOD(G564*16807,2147483647)</x:f>
        <x:v>1036858073</x:v>
      </x:c>
      <x:c r="I564" s="17" t="n">
        <x:f>IF('Control Room'!$B$5="Normal",'Control Room'!$B$7+'Control Room'!$D$7*SQRT(-2*LN(MAX(0.000000000001,G564/2147483647)))*COS(2*PI()*H564/2147483647),'Control Room'!$B$8+('Control Room'!$D$8-'Control Room'!$B$8)*G564/2147483647)</x:f>
        <x:v>863.050466936077</x:v>
      </x:c>
      <x:c r="J564" s="17" t="n">
        <x:f>IF('Control Room'!$B$5="Normal",'Control Room'!$B$7,('Control Room'!$B$8+'Control Room'!$D$8)/2)+'Control Room'!$B$9*(J563-IF('Control Room'!$B$5="Normal",'Control Room'!$B$7,('Control Room'!$B$8+'Control Room'!$D$8)/2))+SQRT(1-'Control Room'!$B$9^2)*(I564-IF('Control Room'!$B$5="Normal",'Control Room'!$B$7,('Control Room'!$B$8+'Control Room'!$D$8)/2))</x:f>
        <x:v>913.6701652260673</x:v>
      </x:c>
      <x:c r="K564" s="17" t="n">
        <x:f>IF(AND($A564&gt;='Control Room'!$A$13,$A564&lt;'Control Room'!$A$13+'Control Room'!$B$13,'Process'!BL2=1),1+('Control Room'!$C$13-1)*EXP(-0.5*(($A564-'Control Room'!$A$13-('Control Room'!$B$13-1)/2)/MAX(0.5,'Control Room'!$B$13/4))^2),1)*IF(AND($A564&gt;='Control Room'!$A$14,$A564&lt;'Control Room'!$A$14+'Control Room'!$B$14,'Process'!BL3=1),1+('Control Room'!$C$14-1)*EXP(-0.5*(($A564-'Control Room'!$A$14-('Control Room'!$B$14-1)/2)/MAX(0.5,'Control Room'!$B$14/4))^2),1)*IF(AND($A564&gt;='Control Room'!$A$15,$A564&lt;'Control Room'!$A$15+'Control Room'!$B$15,'Process'!BL4=1),1+('Control Room'!$C$15-1)*EXP(-0.5*(($A564-'Control Room'!$A$15-('Control Room'!$B$15-1)/2)/MAX(0.5,'Control Room'!$B$15/4))^2),1)*IF(AND($A564&gt;='Control Room'!$A$16,$A564&lt;'Control Room'!$A$16+'Control Room'!$B$16,'Process'!BL5=1),1+('Control Room'!$C$16-1)*EXP(-0.5*(($A564-'Control Room'!$A$16-('Control Room'!$B$16-1)/2)/MAX(0.5,'Control Room'!$B$16/4))^2),1)</x:f>
        <x:v>1</x:v>
      </x:c>
      <x:c r="L564" s="9" t="n">
        <x:f>MOD(M563*16807,2147483647)</x:f>
        <x:v>1145004888</x:v>
      </x:c>
      <x:c r="M564" s="9" t="n">
        <x:f>MOD(L564*16807,2147483647)</x:f>
        <x:v>496191849</x:v>
      </x:c>
      <x:c r="N564" s="17" t="n">
        <x:f>IF('Control Room'!$B$5="Normal",'Control Room'!$B$7+'Control Room'!$D$7*SQRT(-2*LN(MAX(0.000000000001,L564/2147483647)))*COS(2*PI()*M564/2147483647),'Control Room'!$B$8+('Control Room'!$D$8-'Control Room'!$B$8)*L564/2147483647)</x:f>
        <x:v>1011.985032352653</x:v>
      </x:c>
      <x:c r="O564" s="17" t="n">
        <x:f>IF('Control Room'!$B$5="Normal",'Control Room'!$B$7,('Control Room'!$B$8+'Control Room'!$D$8)/2)+'Control Room'!$B$9*(O563-IF('Control Room'!$B$5="Normal",'Control Room'!$B$7,('Control Room'!$B$8+'Control Room'!$D$8)/2))+SQRT(1-'Control Room'!$B$9^2)*(N564-IF('Control Room'!$B$5="Normal",'Control Room'!$B$7,('Control Room'!$B$8+'Control Room'!$D$8)/2))</x:f>
        <x:v>969.1968246908058</x:v>
      </x:c>
      <x:c r="P564" s="17" t="n">
        <x:f>IF(AND($A564&gt;='Control Room'!$A$13,$A564&lt;'Control Room'!$A$13+'Control Room'!$B$13,'Process'!BM2=1),1+('Control Room'!$C$13-1)*EXP(-0.5*(($A564-'Control Room'!$A$13-('Control Room'!$B$13-1)/2)/MAX(0.5,'Control Room'!$B$13/4))^2),1)*IF(AND($A564&gt;='Control Room'!$A$14,$A564&lt;'Control Room'!$A$14+'Control Room'!$B$14,'Process'!BM3=1),1+('Control Room'!$C$14-1)*EXP(-0.5*(($A564-'Control Room'!$A$14-('Control Room'!$B$14-1)/2)/MAX(0.5,'Control Room'!$B$14/4))^2),1)*IF(AND($A564&gt;='Control Room'!$A$15,$A564&lt;'Control Room'!$A$15+'Control Room'!$B$15,'Process'!BM4=1),1+('Control Room'!$C$15-1)*EXP(-0.5*(($A564-'Control Room'!$A$15-('Control Room'!$B$15-1)/2)/MAX(0.5,'Control Room'!$B$15/4))^2),1)*IF(AND($A564&gt;='Control Room'!$A$16,$A564&lt;'Control Room'!$A$16+'Control Room'!$B$16,'Process'!BM5=1),1+('Control Room'!$C$16-1)*EXP(-0.5*(($A564-'Control Room'!$A$16-('Control Room'!$B$16-1)/2)/MAX(0.5,'Control Room'!$B$16/4))^2),1)</x:f>
        <x:v>1</x:v>
      </x:c>
      <x:c r="Q564" s="9" t="n">
        <x:f>MOD(R563*16807,2147483647)</x:f>
        <x:v>1624377648</x:v>
      </x:c>
      <x:c r="R564" s="9" t="n">
        <x:f>MOD(Q564*16807,2147483647)</x:f>
        <x:v>2103009272</x:v>
      </x:c>
      <x:c r="S564" s="17" t="n">
        <x:f>IF('Control Room'!$B$5="Normal",'Control Room'!$B$7+'Control Room'!$D$7*SQRT(-2*LN(MAX(0.000000000001,Q564/2147483647)))*COS(2*PI()*R564/2147483647),'Control Room'!$B$8+('Control Room'!$D$8-'Control Room'!$B$8)*Q564/2147483647)</x:f>
        <x:v>1066.6816260055489</x:v>
      </x:c>
      <x:c r="T564" s="17" t="n">
        <x:f>IF('Control Room'!$B$5="Normal",'Control Room'!$B$7,('Control Room'!$B$8+'Control Room'!$D$8)/2)+'Control Room'!$B$9*(T563-IF('Control Room'!$B$5="Normal",'Control Room'!$B$7,('Control Room'!$B$8+'Control Room'!$D$8)/2))+SQRT(1-'Control Room'!$B$9^2)*(S564-IF('Control Room'!$B$5="Normal",'Control Room'!$B$7,('Control Room'!$B$8+'Control Room'!$D$8)/2))</x:f>
        <x:v>1015.4167501653619</x:v>
      </x:c>
      <x:c r="U564" s="17" t="n">
        <x:f>IF(AND($A564&gt;='Control Room'!$A$13,$A564&lt;'Control Room'!$A$13+'Control Room'!$B$13,'Process'!BN2=1),1+('Control Room'!$C$13-1)*EXP(-0.5*(($A564-'Control Room'!$A$13-('Control Room'!$B$13-1)/2)/MAX(0.5,'Control Room'!$B$13/4))^2),1)*IF(AND($A564&gt;='Control Room'!$A$14,$A564&lt;'Control Room'!$A$14+'Control Room'!$B$14,'Process'!BN3=1),1+('Control Room'!$C$14-1)*EXP(-0.5*(($A564-'Control Room'!$A$14-('Control Room'!$B$14-1)/2)/MAX(0.5,'Control Room'!$B$14/4))^2),1)*IF(AND($A564&gt;='Control Room'!$A$15,$A564&lt;'Control Room'!$A$15+'Control Room'!$B$15,'Process'!BN4=1),1+('Control Room'!$C$15-1)*EXP(-0.5*(($A564-'Control Room'!$A$15-('Control Room'!$B$15-1)/2)/MAX(0.5,'Control Room'!$B$15/4))^2),1)*IF(AND($A564&gt;='Control Room'!$A$16,$A564&lt;'Control Room'!$A$16+'Control Room'!$B$16,'Process'!BN5=1),1+('Control Room'!$C$16-1)*EXP(-0.5*(($A564-'Control Room'!$A$16-('Control Room'!$B$16-1)/2)/MAX(0.5,'Control Room'!$B$16/4))^2),1)</x:f>
        <x:v>1</x:v>
      </x:c>
      <x:c r="V564" s="9" t="n">
        <x:f>MOD(W563*16807,2147483647)</x:f>
        <x:v>2103750408</x:v>
      </x:c>
      <x:c r="W564" s="9" t="n">
        <x:f>MOD(V564*16807,2147483647)</x:f>
        <x:v>1562343048</x:v>
      </x:c>
      <x:c r="X564" s="17" t="n">
        <x:f>IF('Control Room'!$B$5="Normal",'Control Room'!$B$7+'Control Room'!$D$7*SQRT(-2*LN(MAX(0.000000000001,V564/2147483647)))*COS(2*PI()*W564/2147483647),'Control Room'!$B$8+('Control Room'!$D$8-'Control Room'!$B$8)*V564/2147483647)</x:f>
        <x:v>997.4301469559102</x:v>
      </x:c>
      <x:c r="Y564" s="17" t="n">
        <x:f>IF('Control Room'!$B$5="Normal",'Control Room'!$B$7,('Control Room'!$B$8+'Control Room'!$D$8)/2)+'Control Room'!$B$9*(Y563-IF('Control Room'!$B$5="Normal",'Control Room'!$B$7,('Control Room'!$B$8+'Control Room'!$D$8)/2))+SQRT(1-'Control Room'!$B$9^2)*(X564-IF('Control Room'!$B$5="Normal",'Control Room'!$B$7,('Control Room'!$B$8+'Control Room'!$D$8)/2))</x:f>
        <x:v>1077.4515136467926</x:v>
      </x:c>
      <x:c r="Z564" s="17" t="n">
        <x:f>IF(AND($A564&gt;='Control Room'!$A$13,$A564&lt;'Control Room'!$A$13+'Control Room'!$B$13,'Process'!BO2=1),1+('Control Room'!$C$13-1)*EXP(-0.5*(($A564-'Control Room'!$A$13-('Control Room'!$B$13-1)/2)/MAX(0.5,'Control Room'!$B$13/4))^2),1)*IF(AND($A564&gt;='Control Room'!$A$14,$A564&lt;'Control Room'!$A$14+'Control Room'!$B$14,'Process'!BO3=1),1+('Control Room'!$C$14-1)*EXP(-0.5*(($A564-'Control Room'!$A$14-('Control Room'!$B$14-1)/2)/MAX(0.5,'Control Room'!$B$14/4))^2),1)*IF(AND($A564&gt;='Control Room'!$A$15,$A564&lt;'Control Room'!$A$15+'Control Room'!$B$15,'Process'!BO4=1),1+('Control Room'!$C$15-1)*EXP(-0.5*(($A564-'Control Room'!$A$15-('Control Room'!$B$15-1)/2)/MAX(0.5,'Control Room'!$B$15/4))^2),1)*IF(AND($A564&gt;='Control Room'!$A$16,$A564&lt;'Control Room'!$A$16+'Control Room'!$B$16,'Process'!BO5=1),1+('Control Room'!$C$16-1)*EXP(-0.5*(($A564-'Control Room'!$A$16-('Control Room'!$B$16-1)/2)/MAX(0.5,'Control Room'!$B$16/4))^2),1)</x:f>
        <x:v>1</x:v>
      </x:c>
      <x:c r="AA564" s="9" t="n">
        <x:f>MOD(AB563*16807,2147483647)</x:f>
        <x:v>435639521</x:v>
      </x:c>
      <x:c r="AB564" s="9" t="n">
        <x:f>MOD(AA564*16807,2147483647)</x:f>
        <x:v>1021676824</x:v>
      </x:c>
      <x:c r="AC564" s="17" t="n">
        <x:f>IF('Control Room'!$B$5="Normal",'Control Room'!$B$7+'Control Room'!$D$7*SQRT(-2*LN(MAX(0.000000000001,AA564/2147483647)))*COS(2*PI()*AB564/2147483647),'Control Room'!$B$8+('Control Room'!$D$8-'Control Room'!$B$8)*AA564/2147483647)</x:f>
        <x:v>841.104545356499</x:v>
      </x:c>
      <x:c r="AD564" s="17" t="n">
        <x:f>IF('Control Room'!$B$5="Normal",'Control Room'!$B$7,('Control Room'!$B$8+'Control Room'!$D$8)/2)+'Control Room'!$B$9*(AD563-IF('Control Room'!$B$5="Normal",'Control Room'!$B$7,('Control Room'!$B$8+'Control Room'!$D$8)/2))+SQRT(1-'Control Room'!$B$9^2)*(AC564-IF('Control Room'!$B$5="Normal",'Control Room'!$B$7,('Control Room'!$B$8+'Control Room'!$D$8)/2))</x:f>
        <x:v>956.7923697958101</x:v>
      </x:c>
      <x:c r="AE564" s="17" t="n">
        <x:f>IF(AND($A564&gt;='Control Room'!$A$13,$A564&lt;'Control Room'!$A$13+'Control Room'!$B$13,'Process'!BP2=1),1+('Control Room'!$C$13-1)*EXP(-0.5*(($A564-'Control Room'!$A$13-('Control Room'!$B$13-1)/2)/MAX(0.5,'Control Room'!$B$13/4))^2),1)*IF(AND($A564&gt;='Control Room'!$A$14,$A564&lt;'Control Room'!$A$14+'Control Room'!$B$14,'Process'!BP3=1),1+('Control Room'!$C$14-1)*EXP(-0.5*(($A564-'Control Room'!$A$14-('Control Room'!$B$14-1)/2)/MAX(0.5,'Control Room'!$B$14/4))^2),1)*IF(AND($A564&gt;='Control Room'!$A$15,$A564&lt;'Control Room'!$A$15+'Control Room'!$B$15,'Process'!BP4=1),1+('Control Room'!$C$15-1)*EXP(-0.5*(($A564-'Control Room'!$A$15-('Control Room'!$B$15-1)/2)/MAX(0.5,'Control Room'!$B$15/4))^2),1)*IF(AND($A564&gt;='Control Room'!$A$16,$A564&lt;'Control Room'!$A$16+'Control Room'!$B$16,'Process'!BP5=1),1+('Control Room'!$C$16-1)*EXP(-0.5*(($A564-'Control Room'!$A$16-('Control Room'!$B$16-1)/2)/MAX(0.5,'Control Room'!$B$16/4))^2),1)</x:f>
        <x:v>1</x:v>
      </x:c>
      <x:c r="AF564" s="9" t="n">
        <x:f>MOD(AG563*16807,2147483647)</x:f>
        <x:v>915012281</x:v>
      </x:c>
      <x:c r="AG564" s="9" t="n">
        <x:f>MOD(AF564*16807,2147483647)</x:f>
        <x:v>481010600</x:v>
      </x:c>
      <x:c r="AH564" s="17" t="n">
        <x:f>IF('Control Room'!$B$5="Normal",'Control Room'!$B$7+'Control Room'!$D$7*SQRT(-2*LN(MAX(0.000000000001,AF564/2147483647)))*COS(2*PI()*AG564/2147483647),'Control Room'!$B$8+('Control Room'!$D$8-'Control Room'!$B$8)*AF564/2147483647)</x:f>
        <x:v>1019.1284304152864</x:v>
      </x:c>
      <x:c r="AI564" s="17" t="n">
        <x:f>IF('Control Room'!$B$5="Normal",'Control Room'!$B$7,('Control Room'!$B$8+'Control Room'!$D$8)/2)+'Control Room'!$B$9*(AI563-IF('Control Room'!$B$5="Normal",'Control Room'!$B$7,('Control Room'!$B$8+'Control Room'!$D$8)/2))+SQRT(1-'Control Room'!$B$9^2)*(AH564-IF('Control Room'!$B$5="Normal",'Control Room'!$B$7,('Control Room'!$B$8+'Control Room'!$D$8)/2))</x:f>
        <x:v>987.1043310422892</x:v>
      </x:c>
      <x:c r="AJ564" s="17" t="n">
        <x:f>IF(AND($A564&gt;='Control Room'!$A$13,$A564&lt;'Control Room'!$A$13+'Control Room'!$B$13,'Process'!BQ2=1),1+('Control Room'!$C$13-1)*EXP(-0.5*(($A564-'Control Room'!$A$13-('Control Room'!$B$13-1)/2)/MAX(0.5,'Control Room'!$B$13/4))^2),1)*IF(AND($A564&gt;='Control Room'!$A$14,$A564&lt;'Control Room'!$A$14+'Control Room'!$B$14,'Process'!BQ3=1),1+('Control Room'!$C$14-1)*EXP(-0.5*(($A564-'Control Room'!$A$14-('Control Room'!$B$14-1)/2)/MAX(0.5,'Control Room'!$B$14/4))^2),1)*IF(AND($A564&gt;='Control Room'!$A$15,$A564&lt;'Control Room'!$A$15+'Control Room'!$B$15,'Process'!BQ4=1),1+('Control Room'!$C$15-1)*EXP(-0.5*(($A564-'Control Room'!$A$15-('Control Room'!$B$15-1)/2)/MAX(0.5,'Control Room'!$B$15/4))^2),1)*IF(AND($A564&gt;='Control Room'!$A$16,$A564&lt;'Control Room'!$A$16+'Control Room'!$B$16,'Process'!BQ5=1),1+('Control Room'!$C$16-1)*EXP(-0.5*(($A564-'Control Room'!$A$16-('Control Room'!$B$16-1)/2)/MAX(0.5,'Control Room'!$B$16/4))^2),1)</x:f>
        <x:v>1</x:v>
      </x:c>
      <x:c r="AK564" s="9" t="n">
        <x:f>MOD(AL563*16807,2147483647)</x:f>
        <x:v>1394385041</x:v>
      </x:c>
      <x:c r="AL564" s="9" t="n">
        <x:f>MOD(AK564*16807,2147483647)</x:f>
        <x:v>2087828023</x:v>
      </x:c>
      <x:c r="AM564" s="17" t="n">
        <x:f>IF('Control Room'!$B$5="Normal",'Control Room'!$B$7+'Control Room'!$D$7*SQRT(-2*LN(MAX(0.000000000001,AK564/2147483647)))*COS(2*PI()*AL564/2147483647),'Control Room'!$B$8+('Control Room'!$D$8-'Control Room'!$B$8)*AK564/2147483647)</x:f>
        <x:v>1082.3704248480265</x:v>
      </x:c>
      <x:c r="AN564" s="17" t="n">
        <x:f>IF('Control Room'!$B$5="Normal",'Control Room'!$B$7,('Control Room'!$B$8+'Control Room'!$D$8)/2)+'Control Room'!$B$9*(AN563-IF('Control Room'!$B$5="Normal",'Control Room'!$B$7,('Control Room'!$B$8+'Control Room'!$D$8)/2))+SQRT(1-'Control Room'!$B$9^2)*(AM564-IF('Control Room'!$B$5="Normal",'Control Room'!$B$7,('Control Room'!$B$8+'Control Room'!$D$8)/2))</x:f>
        <x:v>1016.7750968814503</x:v>
      </x:c>
      <x:c r="AO564" s="17" t="n">
        <x:f>IF(AND($A564&gt;='Control Room'!$A$13,$A564&lt;'Control Room'!$A$13+'Control Room'!$B$13,'Process'!BR2=1),1+('Control Room'!$C$13-1)*EXP(-0.5*(($A564-'Control Room'!$A$13-('Control Room'!$B$13-1)/2)/MAX(0.5,'Control Room'!$B$13/4))^2),1)*IF(AND($A564&gt;='Control Room'!$A$14,$A564&lt;'Control Room'!$A$14+'Control Room'!$B$14,'Process'!BR3=1),1+('Control Room'!$C$14-1)*EXP(-0.5*(($A564-'Control Room'!$A$14-('Control Room'!$B$14-1)/2)/MAX(0.5,'Control Room'!$B$14/4))^2),1)*IF(AND($A564&gt;='Control Room'!$A$15,$A564&lt;'Control Room'!$A$15+'Control Room'!$B$15,'Process'!BR4=1),1+('Control Room'!$C$15-1)*EXP(-0.5*(($A564-'Control Room'!$A$15-('Control Room'!$B$15-1)/2)/MAX(0.5,'Control Room'!$B$15/4))^2),1)*IF(AND($A564&gt;='Control Room'!$A$16,$A564&lt;'Control Room'!$A$16+'Control Room'!$B$16,'Process'!BR5=1),1+('Control Room'!$C$16-1)*EXP(-0.5*(($A564-'Control Room'!$A$16-('Control Room'!$B$16-1)/2)/MAX(0.5,'Control Room'!$B$16/4))^2),1)</x:f>
        <x:v>1</x:v>
      </x:c>
      <x:c r="AP564" s="9" t="n">
        <x:f>MOD(AQ563*16807,2147483647)</x:f>
        <x:v>1873757801</x:v>
      </x:c>
      <x:c r="AQ564" s="9" t="n">
        <x:f>MOD(AP564*16807,2147483647)</x:f>
        <x:v>1547161799</x:v>
      </x:c>
      <x:c r="AR564" s="17" t="n">
        <x:f>IF('Control Room'!$B$5="Normal",'Control Room'!$B$7+'Control Room'!$D$7*SQRT(-2*LN(MAX(0.000000000001,AP564/2147483647)))*COS(2*PI()*AQ564/2147483647),'Control Room'!$B$8+('Control Room'!$D$8-'Control Room'!$B$8)*AP564/2147483647)</x:f>
        <x:v>991.3248516046798</x:v>
      </x:c>
      <x:c r="AS564" s="17" t="n">
        <x:f>IF('Control Room'!$B$5="Normal",'Control Room'!$B$7,('Control Room'!$B$8+'Control Room'!$D$8)/2)+'Control Room'!$B$9*(AS563-IF('Control Room'!$B$5="Normal",'Control Room'!$B$7,('Control Room'!$B$8+'Control Room'!$D$8)/2))+SQRT(1-'Control Room'!$B$9^2)*(AR564-IF('Control Room'!$B$5="Normal",'Control Room'!$B$7,('Control Room'!$B$8+'Control Room'!$D$8)/2))</x:f>
        <x:v>1043.337076853556</x:v>
      </x:c>
      <x:c r="AT564" s="17" t="n">
        <x:f>IF(AND($A564&gt;='Control Room'!$A$13,$A564&lt;'Control Room'!$A$13+'Control Room'!$B$13,'Process'!BS2=1),1+('Control Room'!$C$13-1)*EXP(-0.5*(($A564-'Control Room'!$A$13-('Control Room'!$B$13-1)/2)/MAX(0.5,'Control Room'!$B$13/4))^2),1)*IF(AND($A564&gt;='Control Room'!$A$14,$A564&lt;'Control Room'!$A$14+'Control Room'!$B$14,'Process'!BS3=1),1+('Control Room'!$C$14-1)*EXP(-0.5*(($A564-'Control Room'!$A$14-('Control Room'!$B$14-1)/2)/MAX(0.5,'Control Room'!$B$14/4))^2),1)*IF(AND($A564&gt;='Control Room'!$A$15,$A564&lt;'Control Room'!$A$15+'Control Room'!$B$15,'Process'!BS4=1),1+('Control Room'!$C$15-1)*EXP(-0.5*(($A564-'Control Room'!$A$15-('Control Room'!$B$15-1)/2)/MAX(0.5,'Control Room'!$B$15/4))^2),1)*IF(AND($A564&gt;='Control Room'!$A$16,$A564&lt;'Control Room'!$A$16+'Control Room'!$B$16,'Process'!BS5=1),1+('Control Room'!$C$16-1)*EXP(-0.5*(($A564-'Control Room'!$A$16-('Control Room'!$B$16-1)/2)/MAX(0.5,'Control Room'!$B$16/4))^2),1)</x:f>
        <x:v>1</x:v>
      </x:c>
      <x:c r="AU564" s="9" t="n">
        <x:f>MOD(AV563*16807,2147483647)</x:f>
        <x:v>205646914</x:v>
      </x:c>
      <x:c r="AV564" s="9" t="n">
        <x:f>MOD(AU564*16807,2147483647)</x:f>
        <x:v>1006495575</x:v>
      </x:c>
      <x:c r="AW564" s="17" t="n">
        <x:f>IF('Control Room'!$B$5="Normal",'Control Room'!$B$7+'Control Room'!$D$7*SQRT(-2*LN(MAX(0.000000000001,AU564/2147483647)))*COS(2*PI()*AV564/2147483647),'Control Room'!$B$8+('Control Room'!$D$8-'Control Room'!$B$8)*AU564/2147483647)</x:f>
        <x:v>808.8164010353391</x:v>
      </x:c>
      <x:c r="AX564" s="17" t="n">
        <x:f>IF('Control Room'!$B$5="Normal",'Control Room'!$B$7,('Control Room'!$B$8+'Control Room'!$D$8)/2)+'Control Room'!$B$9*(AX563-IF('Control Room'!$B$5="Normal",'Control Room'!$B$7,('Control Room'!$B$8+'Control Room'!$D$8)/2))+SQRT(1-'Control Room'!$B$9^2)*(AW564-IF('Control Room'!$B$5="Normal",'Control Room'!$B$7,('Control Room'!$B$8+'Control Room'!$D$8)/2))</x:f>
        <x:v>946.9778706950262</x:v>
      </x:c>
      <x:c r="AY564" s="17" t="n">
        <x:f>IF(AND($A564&gt;='Control Room'!$A$13,$A564&lt;'Control Room'!$A$13+'Control Room'!$B$13,'Process'!BT2=1),1+('Control Room'!$C$13-1)*EXP(-0.5*(($A564-'Control Room'!$A$13-('Control Room'!$B$13-1)/2)/MAX(0.5,'Control Room'!$B$13/4))^2),1)*IF(AND($A564&gt;='Control Room'!$A$14,$A564&lt;'Control Room'!$A$14+'Control Room'!$B$14,'Process'!BT3=1),1+('Control Room'!$C$14-1)*EXP(-0.5*(($A564-'Control Room'!$A$14-('Control Room'!$B$14-1)/2)/MAX(0.5,'Control Room'!$B$14/4))^2),1)*IF(AND($A564&gt;='Control Room'!$A$15,$A564&lt;'Control Room'!$A$15+'Control Room'!$B$15,'Process'!BT4=1),1+('Control Room'!$C$15-1)*EXP(-0.5*(($A564-'Control Room'!$A$15-('Control Room'!$B$15-1)/2)/MAX(0.5,'Control Room'!$B$15/4))^2),1)*IF(AND($A564&gt;='Control Room'!$A$16,$A564&lt;'Control Room'!$A$16+'Control Room'!$B$16,'Process'!BT5=1),1+('Control Room'!$C$16-1)*EXP(-0.5*(($A564-'Control Room'!$A$16-('Control Room'!$B$16-1)/2)/MAX(0.5,'Control Room'!$B$16/4))^2),1)</x:f>
        <x:v>1</x:v>
      </x:c>
      <x:c r="AZ564" s="9" t="n">
        <x:f>MOD(BA563*16807,2147483647)</x:f>
        <x:v>685019674</x:v>
      </x:c>
      <x:c r="BA564" s="9" t="n">
        <x:f>MOD(AZ564*16807,2147483647)</x:f>
        <x:v>465829351</x:v>
      </x:c>
      <x:c r="BB564" s="17" t="n">
        <x:f>IF('Control Room'!$B$5="Normal",'Control Room'!$B$7+'Control Room'!$D$7*SQRT(-2*LN(MAX(0.000000000001,AZ564/2147483647)))*COS(2*PI()*BA564/2147483647),'Control Room'!$B$8+('Control Room'!$D$8-'Control Room'!$B$8)*AZ564/2147483647)</x:f>
        <x:v>1028.07606455718</x:v>
      </x:c>
      <x:c r="BC564" s="17" t="n">
        <x:f>IF('Control Room'!$B$5="Normal",'Control Room'!$B$7,('Control Room'!$B$8+'Control Room'!$D$8)/2)+'Control Room'!$B$9*(BC563-IF('Control Room'!$B$5="Normal",'Control Room'!$B$7,('Control Room'!$B$8+'Control Room'!$D$8)/2))+SQRT(1-'Control Room'!$B$9^2)*(BB564-IF('Control Room'!$B$5="Normal",'Control Room'!$B$7,('Control Room'!$B$8+'Control Room'!$D$8)/2))</x:f>
        <x:v>1080.6161152651994</x:v>
      </x:c>
      <x:c r="BD564" s="17" t="n">
        <x:f>IF(AND($A564&gt;='Control Room'!$A$13,$A564&lt;'Control Room'!$A$13+'Control Room'!$B$13,'Process'!BU2=1),1+('Control Room'!$C$13-1)*EXP(-0.5*(($A564-'Control Room'!$A$13-('Control Room'!$B$13-1)/2)/MAX(0.5,'Control Room'!$B$13/4))^2),1)*IF(AND($A564&gt;='Control Room'!$A$14,$A564&lt;'Control Room'!$A$14+'Control Room'!$B$14,'Process'!BU3=1),1+('Control Room'!$C$14-1)*EXP(-0.5*(($A564-'Control Room'!$A$14-('Control Room'!$B$14-1)/2)/MAX(0.5,'Control Room'!$B$14/4))^2),1)*IF(AND($A564&gt;='Control Room'!$A$15,$A564&lt;'Control Room'!$A$15+'Control Room'!$B$15,'Process'!BU4=1),1+('Control Room'!$C$15-1)*EXP(-0.5*(($A564-'Control Room'!$A$15-('Control Room'!$B$15-1)/2)/MAX(0.5,'Control Room'!$B$15/4))^2),1)*IF(AND($A564&gt;='Control Room'!$A$16,$A564&lt;'Control Room'!$A$16+'Control Room'!$B$16,'Process'!BU5=1),1+('Control Room'!$C$16-1)*EXP(-0.5*(($A564-'Control Room'!$A$16-('Control Room'!$B$16-1)/2)/MAX(0.5,'Control Room'!$B$16/4))^2),1)</x:f>
        <x:v>1</x:v>
      </x:c>
      <x:c r="BE564" s="9" t="n">
        <x:f>MOD(BF563*16807,2147483647)</x:f>
        <x:v>1164392434</x:v>
      </x:c>
      <x:c r="BF564" s="9" t="n">
        <x:f>MOD(BE564*16807,2147483647)</x:f>
        <x:v>2072646774</x:v>
      </x:c>
      <x:c r="BG564" s="17" t="n">
        <x:f>IF('Control Room'!$B$5="Normal",'Control Room'!$B$7+'Control Room'!$D$7*SQRT(-2*LN(MAX(0.000000000001,BE564/2147483647)))*COS(2*PI()*BF564/2147483647),'Control Room'!$B$8+('Control Room'!$D$8-'Control Room'!$B$8)*BE564/2147483647)</x:f>
        <x:v>1097.2014277623857</x:v>
      </x:c>
      <x:c r="BH564" s="17" t="n">
        <x:f>IF('Control Room'!$B$5="Normal",'Control Room'!$B$7,('Control Room'!$B$8+'Control Room'!$D$8)/2)+'Control Room'!$B$9*(BH563-IF('Control Room'!$B$5="Normal",'Control Room'!$B$7,('Control Room'!$B$8+'Control Room'!$D$8)/2))+SQRT(1-'Control Room'!$B$9^2)*(BG564-IF('Control Room'!$B$5="Normal",'Control Room'!$B$7,('Control Room'!$B$8+'Control Room'!$D$8)/2))</x:f>
        <x:v>1103.5954328078924</x:v>
      </x:c>
      <x:c r="BI564" s="17" t="n">
        <x:f>IF(AND($A564&gt;='Control Room'!$A$13,$A564&lt;'Control Room'!$A$13+'Control Room'!$B$13,'Process'!BV2=1),1+('Control Room'!$C$13-1)*EXP(-0.5*(($A564-'Control Room'!$A$13-('Control Room'!$B$13-1)/2)/MAX(0.5,'Control Room'!$B$13/4))^2),1)*IF(AND($A564&gt;='Control Room'!$A$14,$A564&lt;'Control Room'!$A$14+'Control Room'!$B$14,'Process'!BV3=1),1+('Control Room'!$C$14-1)*EXP(-0.5*(($A564-'Control Room'!$A$14-('Control Room'!$B$14-1)/2)/MAX(0.5,'Control Room'!$B$14/4))^2),1)*IF(AND($A564&gt;='Control Room'!$A$15,$A564&lt;'Control Room'!$A$15+'Control Room'!$B$15,'Process'!BV4=1),1+('Control Room'!$C$15-1)*EXP(-0.5*(($A564-'Control Room'!$A$15-('Control Room'!$B$15-1)/2)/MAX(0.5,'Control Room'!$B$15/4))^2),1)*IF(AND($A564&gt;='Control Room'!$A$16,$A564&lt;'Control Room'!$A$16+'Control Room'!$B$16,'Process'!BV5=1),1+('Control Room'!$C$16-1)*EXP(-0.5*(($A564-'Control Room'!$A$16-('Control Room'!$B$16-1)/2)/MAX(0.5,'Control Room'!$B$16/4))^2),1)</x:f>
        <x:v>1</x:v>
      </x:c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Z564" t="str">
        <x:f>IF('Data'!A564="","",TEXT('Data'!A564,"mm-dd"))</x:f>
      </x:c>
    </x:row>
    <x:row r="565" ht="21" customHeight="1">
      <x:c r="A565" s="15" t="n">
        <x:f>'Control Room'!$B$1+563</x:f>
        <x:v>73554</x:v>
      </x:c>
      <x:c r="B565" s="9" t="n">
        <x:f>MOD(C564*16807,2147483647)</x:f>
        <x:v>617753817</x:v>
      </x:c>
      <x:c r="C565" s="9" t="n">
        <x:f>MOD(B565*16807,2147483647)</x:f>
        <x:v>1652452721</x:v>
      </x:c>
      <x:c r="D565" s="17" t="n">
        <x:f>IF('Control Room'!$B$5="Normal",'Control Room'!$B$7+'Control Room'!$D$7*SQRT(-2*LN(MAX(0.000000000001,B565/2147483647)))*COS(2*PI()*C565/2147483647),'Control Room'!$B$8+('Control Room'!$D$8-'Control Room'!$B$8)*B565/2147483647)</x:f>
        <x:v>1017.3486697910001</x:v>
      </x:c>
      <x:c r="E565" s="17" t="n">
        <x:f>IF('Control Room'!$B$5="Normal",'Control Room'!$B$7,('Control Room'!$B$8+'Control Room'!$D$8)/2)+'Control Room'!$B$9*(E564-IF('Control Room'!$B$5="Normal",'Control Room'!$B$7,('Control Room'!$B$8+'Control Room'!$D$8)/2))+SQRT(1-'Control Room'!$B$9^2)*(D565-IF('Control Room'!$B$5="Normal",'Control Room'!$B$7,('Control Room'!$B$8+'Control Room'!$D$8)/2))</x:f>
        <x:v>1073.2463759782383</x:v>
      </x:c>
      <x:c r="F565" s="17" t="n">
        <x:f>IF(AND($A565&gt;='Control Room'!$A$13,$A565&lt;'Control Room'!$A$13+'Control Room'!$B$13,'Process'!BK2=1),1+('Control Room'!$C$13-1)*EXP(-0.5*(($A565-'Control Room'!$A$13-('Control Room'!$B$13-1)/2)/MAX(0.5,'Control Room'!$B$13/4))^2),1)*IF(AND($A565&gt;='Control Room'!$A$14,$A565&lt;'Control Room'!$A$14+'Control Room'!$B$14,'Process'!BK3=1),1+('Control Room'!$C$14-1)*EXP(-0.5*(($A565-'Control Room'!$A$14-('Control Room'!$B$14-1)/2)/MAX(0.5,'Control Room'!$B$14/4))^2),1)*IF(AND($A565&gt;='Control Room'!$A$15,$A565&lt;'Control Room'!$A$15+'Control Room'!$B$15,'Process'!BK4=1),1+('Control Room'!$C$15-1)*EXP(-0.5*(($A565-'Control Room'!$A$15-('Control Room'!$B$15-1)/2)/MAX(0.5,'Control Room'!$B$15/4))^2),1)*IF(AND($A565&gt;='Control Room'!$A$16,$A565&lt;'Control Room'!$A$16+'Control Room'!$B$16,'Process'!BK5=1),1+('Control Room'!$C$16-1)*EXP(-0.5*(($A565-'Control Room'!$A$16-('Control Room'!$B$16-1)/2)/MAX(0.5,'Control Room'!$B$16/4))^2),1)</x:f>
        <x:v>1</x:v>
      </x:c>
      <x:c r="G565" s="9" t="n">
        <x:f>MOD(H564*16807,2147483647)</x:f>
        <x:v>1791321153</x:v>
      </x:c>
      <x:c r="H565" s="9" t="n">
        <x:f>MOD(G565*16807,2147483647)</x:f>
        <x:v>1161371178</x:v>
      </x:c>
      <x:c r="I565" s="17" t="n">
        <x:f>IF('Control Room'!$B$5="Normal",'Control Room'!$B$7+'Control Room'!$D$7*SQRT(-2*LN(MAX(0.000000000001,G565/2147483647)))*COS(2*PI()*H565/2147483647),'Control Room'!$B$8+('Control Room'!$D$8-'Control Room'!$B$8)*G565/2147483647)</x:f>
        <x:v>947.5706024565396</x:v>
      </x:c>
      <x:c r="J565" s="17" t="n">
        <x:f>IF('Control Room'!$B$5="Normal",'Control Room'!$B$7,('Control Room'!$B$8+'Control Room'!$D$8)/2)+'Control Room'!$B$9*(J564-IF('Control Room'!$B$5="Normal",'Control Room'!$B$7,('Control Room'!$B$8+'Control Room'!$D$8)/2))+SQRT(1-'Control Room'!$B$9^2)*(I565-IF('Control Room'!$B$5="Normal",'Control Room'!$B$7,('Control Room'!$B$8+'Control Room'!$D$8)/2))</x:f>
        <x:v>899.8534859682248</x:v>
      </x:c>
      <x:c r="K565" s="17" t="n">
        <x:f>IF(AND($A565&gt;='Control Room'!$A$13,$A565&lt;'Control Room'!$A$13+'Control Room'!$B$13,'Process'!BL2=1),1+('Control Room'!$C$13-1)*EXP(-0.5*(($A565-'Control Room'!$A$13-('Control Room'!$B$13-1)/2)/MAX(0.5,'Control Room'!$B$13/4))^2),1)*IF(AND($A565&gt;='Control Room'!$A$14,$A565&lt;'Control Room'!$A$14+'Control Room'!$B$14,'Process'!BL3=1),1+('Control Room'!$C$14-1)*EXP(-0.5*(($A565-'Control Room'!$A$14-('Control Room'!$B$14-1)/2)/MAX(0.5,'Control Room'!$B$14/4))^2),1)*IF(AND($A565&gt;='Control Room'!$A$15,$A565&lt;'Control Room'!$A$15+'Control Room'!$B$15,'Process'!BL4=1),1+('Control Room'!$C$15-1)*EXP(-0.5*(($A565-'Control Room'!$A$15-('Control Room'!$B$15-1)/2)/MAX(0.5,'Control Room'!$B$15/4))^2),1)*IF(AND($A565&gt;='Control Room'!$A$16,$A565&lt;'Control Room'!$A$16+'Control Room'!$B$16,'Process'!BL5=1),1+('Control Room'!$C$16-1)*EXP(-0.5*(($A565-'Control Room'!$A$16-('Control Room'!$B$16-1)/2)/MAX(0.5,'Control Room'!$B$16/4))^2),1)</x:f>
        <x:v>1</x:v>
      </x:c>
      <x:c r="L565" s="9" t="n">
        <x:f>MOD(M564*16807,2147483647)</x:f>
        <x:v>817404842</x:v>
      </x:c>
      <x:c r="M565" s="9" t="n">
        <x:f>MOD(L565*16807,2147483647)</x:f>
        <x:v>670289635</x:v>
      </x:c>
      <x:c r="N565" s="17" t="n">
        <x:f>IF('Control Room'!$B$5="Normal",'Control Room'!$B$7+'Control Room'!$D$7*SQRT(-2*LN(MAX(0.000000000001,L565/2147483647)))*COS(2*PI()*M565/2147483647),'Control Room'!$B$8+('Control Room'!$D$8-'Control Room'!$B$8)*L565/2147483647)</x:f>
        <x:v>952.3998884503877</x:v>
      </x:c>
      <x:c r="O565" s="17" t="n">
        <x:f>IF('Control Room'!$B$5="Normal",'Control Room'!$B$7,('Control Room'!$B$8+'Control Room'!$D$8)/2)+'Control Room'!$B$9*(O564-IF('Control Room'!$B$5="Normal",'Control Room'!$B$7,('Control Room'!$B$8+'Control Room'!$D$8)/2))+SQRT(1-'Control Room'!$B$9^2)*(N565-IF('Control Room'!$B$5="Normal",'Control Room'!$B$7,('Control Room'!$B$8+'Control Room'!$D$8)/2))</x:f>
        <x:v>946.1863485923699</x:v>
      </x:c>
      <x:c r="P565" s="17" t="n">
        <x:f>IF(AND($A565&gt;='Control Room'!$A$13,$A565&lt;'Control Room'!$A$13+'Control Room'!$B$13,'Process'!BM2=1),1+('Control Room'!$C$13-1)*EXP(-0.5*(($A565-'Control Room'!$A$13-('Control Room'!$B$13-1)/2)/MAX(0.5,'Control Room'!$B$13/4))^2),1)*IF(AND($A565&gt;='Control Room'!$A$14,$A565&lt;'Control Room'!$A$14+'Control Room'!$B$14,'Process'!BM3=1),1+('Control Room'!$C$14-1)*EXP(-0.5*(($A565-'Control Room'!$A$14-('Control Room'!$B$14-1)/2)/MAX(0.5,'Control Room'!$B$14/4))^2),1)*IF(AND($A565&gt;='Control Room'!$A$15,$A565&lt;'Control Room'!$A$15+'Control Room'!$B$15,'Process'!BM4=1),1+('Control Room'!$C$15-1)*EXP(-0.5*(($A565-'Control Room'!$A$15-('Control Room'!$B$15-1)/2)/MAX(0.5,'Control Room'!$B$15/4))^2),1)*IF(AND($A565&gt;='Control Room'!$A$16,$A565&lt;'Control Room'!$A$16+'Control Room'!$B$16,'Process'!BM5=1),1+('Control Room'!$C$16-1)*EXP(-0.5*(($A565-'Control Room'!$A$16-('Control Room'!$B$16-1)/2)/MAX(0.5,'Control Room'!$B$16/4))^2),1)</x:f>
        <x:v>1</x:v>
      </x:c>
      <x:c r="Q565" s="9" t="n">
        <x:f>MOD(R564*16807,2147483647)</x:f>
        <x:v>1990972178</x:v>
      </x:c>
      <x:c r="R565" s="9" t="n">
        <x:f>MOD(Q565*16807,2147483647)</x:f>
        <x:v>179208092</x:v>
      </x:c>
      <x:c r="S565" s="17" t="n">
        <x:f>IF('Control Room'!$B$5="Normal",'Control Room'!$B$7+'Control Room'!$D$7*SQRT(-2*LN(MAX(0.000000000001,Q565/2147483647)))*COS(2*PI()*R565/2147483647),'Control Room'!$B$8+('Control Room'!$D$8-'Control Room'!$B$8)*Q565/2147483647)</x:f>
        <x:v>1030.3093249393823</x:v>
      </x:c>
      <x:c r="T565" s="17" t="n">
        <x:f>IF('Control Room'!$B$5="Normal",'Control Room'!$B$7,('Control Room'!$B$8+'Control Room'!$D$8)/2)+'Control Room'!$B$9*(T564-IF('Control Room'!$B$5="Normal",'Control Room'!$B$7,('Control Room'!$B$8+'Control Room'!$D$8)/2))+SQRT(1-'Control Room'!$B$9^2)*(S565-IF('Control Room'!$B$5="Normal",'Control Room'!$B$7,('Control Room'!$B$8+'Control Room'!$D$8)/2))</x:f>
        <x:v>1030.9920197557765</x:v>
      </x:c>
      <x:c r="U565" s="17" t="n">
        <x:f>IF(AND($A565&gt;='Control Room'!$A$13,$A565&lt;'Control Room'!$A$13+'Control Room'!$B$13,'Process'!BN2=1),1+('Control Room'!$C$13-1)*EXP(-0.5*(($A565-'Control Room'!$A$13-('Control Room'!$B$13-1)/2)/MAX(0.5,'Control Room'!$B$13/4))^2),1)*IF(AND($A565&gt;='Control Room'!$A$14,$A565&lt;'Control Room'!$A$14+'Control Room'!$B$14,'Process'!BN3=1),1+('Control Room'!$C$14-1)*EXP(-0.5*(($A565-'Control Room'!$A$14-('Control Room'!$B$14-1)/2)/MAX(0.5,'Control Room'!$B$14/4))^2),1)*IF(AND($A565&gt;='Control Room'!$A$15,$A565&lt;'Control Room'!$A$15+'Control Room'!$B$15,'Process'!BN4=1),1+('Control Room'!$C$15-1)*EXP(-0.5*(($A565-'Control Room'!$A$15-('Control Room'!$B$15-1)/2)/MAX(0.5,'Control Room'!$B$15/4))^2),1)*IF(AND($A565&gt;='Control Room'!$A$16,$A565&lt;'Control Room'!$A$16+'Control Room'!$B$16,'Process'!BN5=1),1+('Control Room'!$C$16-1)*EXP(-0.5*(($A565-'Control Room'!$A$16-('Control Room'!$B$16-1)/2)/MAX(0.5,'Control Room'!$B$16/4))^2),1)</x:f>
        <x:v>1</x:v>
      </x:c>
      <x:c r="V565" s="9" t="n">
        <x:f>MOD(W564*16807,2147483647)</x:f>
        <x:v>1017055867</x:v>
      </x:c>
      <x:c r="W565" s="9" t="n">
        <x:f>MOD(V565*16807,2147483647)</x:f>
        <x:v>1835610196</x:v>
      </x:c>
      <x:c r="X565" s="17" t="n">
        <x:f>IF('Control Room'!$B$5="Normal",'Control Room'!$B$7+'Control Room'!$D$7*SQRT(-2*LN(MAX(0.000000000001,V565/2147483647)))*COS(2*PI()*W565/2147483647),'Control Room'!$B$8+('Control Room'!$D$8-'Control Room'!$B$8)*V565/2147483647)</x:f>
        <x:v>1067.3167450003987</x:v>
      </x:c>
      <x:c r="Y565" s="17" t="n">
        <x:f>IF('Control Room'!$B$5="Normal",'Control Room'!$B$7,('Control Room'!$B$8+'Control Room'!$D$8)/2)+'Control Room'!$B$9*(Y564-IF('Control Room'!$B$5="Normal",'Control Room'!$B$7,('Control Room'!$B$8+'Control Room'!$D$8)/2))+SQRT(1-'Control Room'!$B$9^2)*(X565-IF('Control Room'!$B$5="Normal",'Control Room'!$B$7,('Control Room'!$B$8+'Control Room'!$D$8)/2))</x:f>
        <x:v>1102.5376206072679</x:v>
      </x:c>
      <x:c r="Z565" s="17" t="n">
        <x:f>IF(AND($A565&gt;='Control Room'!$A$13,$A565&lt;'Control Room'!$A$13+'Control Room'!$B$13,'Process'!BO2=1),1+('Control Room'!$C$13-1)*EXP(-0.5*(($A565-'Control Room'!$A$13-('Control Room'!$B$13-1)/2)/MAX(0.5,'Control Room'!$B$13/4))^2),1)*IF(AND($A565&gt;='Control Room'!$A$14,$A565&lt;'Control Room'!$A$14+'Control Room'!$B$14,'Process'!BO3=1),1+('Control Room'!$C$14-1)*EXP(-0.5*(($A565-'Control Room'!$A$14-('Control Room'!$B$14-1)/2)/MAX(0.5,'Control Room'!$B$14/4))^2),1)*IF(AND($A565&gt;='Control Room'!$A$15,$A565&lt;'Control Room'!$A$15+'Control Room'!$B$15,'Process'!BO4=1),1+('Control Room'!$C$15-1)*EXP(-0.5*(($A565-'Control Room'!$A$15-('Control Room'!$B$15-1)/2)/MAX(0.5,'Control Room'!$B$15/4))^2),1)*IF(AND($A565&gt;='Control Room'!$A$16,$A565&lt;'Control Room'!$A$16+'Control Room'!$B$16,'Process'!BO5=1),1+('Control Room'!$C$16-1)*EXP(-0.5*(($A565-'Control Room'!$A$16-('Control Room'!$B$16-1)/2)/MAX(0.5,'Control Room'!$B$16/4))^2),1)</x:f>
        <x:v>1</x:v>
      </x:c>
      <x:c r="AA565" s="9" t="n">
        <x:f>MOD(AB564*16807,2147483647)</x:f>
        <x:v>43139556</x:v>
      </x:c>
      <x:c r="AB565" s="9" t="n">
        <x:f>MOD(AA565*16807,2147483647)</x:f>
        <x:v>1344528653</x:v>
      </x:c>
      <x:c r="AC565" s="17" t="n">
        <x:f>IF('Control Room'!$B$5="Normal",'Control Room'!$B$7+'Control Room'!$D$7*SQRT(-2*LN(MAX(0.000000000001,AA565/2147483647)))*COS(2*PI()*AB565/2147483647),'Control Room'!$B$8+('Control Room'!$D$8-'Control Room'!$B$8)*AA565/2147483647)</x:f>
        <x:v>823.3190488388697</x:v>
      </x:c>
      <x:c r="AD565" s="17" t="n">
        <x:f>IF('Control Room'!$B$5="Normal",'Control Room'!$B$7,('Control Room'!$B$8+'Control Room'!$D$8)/2)+'Control Room'!$B$9*(AD564-IF('Control Room'!$B$5="Normal",'Control Room'!$B$7,('Control Room'!$B$8+'Control Room'!$D$8)/2))+SQRT(1-'Control Room'!$B$9^2)*(AC565-IF('Control Room'!$B$5="Normal",'Control Room'!$B$7,('Control Room'!$B$8+'Control Room'!$D$8)/2))</x:f>
        <x:v>855.7347287101188</x:v>
      </x:c>
      <x:c r="AE565" s="17" t="n">
        <x:f>IF(AND($A565&gt;='Control Room'!$A$13,$A565&lt;'Control Room'!$A$13+'Control Room'!$B$13,'Process'!BP2=1),1+('Control Room'!$C$13-1)*EXP(-0.5*(($A565-'Control Room'!$A$13-('Control Room'!$B$13-1)/2)/MAX(0.5,'Control Room'!$B$13/4))^2),1)*IF(AND($A565&gt;='Control Room'!$A$14,$A565&lt;'Control Room'!$A$14+'Control Room'!$B$14,'Process'!BP3=1),1+('Control Room'!$C$14-1)*EXP(-0.5*(($A565-'Control Room'!$A$14-('Control Room'!$B$14-1)/2)/MAX(0.5,'Control Room'!$B$14/4))^2),1)*IF(AND($A565&gt;='Control Room'!$A$15,$A565&lt;'Control Room'!$A$15+'Control Room'!$B$15,'Process'!BP4=1),1+('Control Room'!$C$15-1)*EXP(-0.5*(($A565-'Control Room'!$A$15-('Control Room'!$B$15-1)/2)/MAX(0.5,'Control Room'!$B$15/4))^2),1)*IF(AND($A565&gt;='Control Room'!$A$16,$A565&lt;'Control Room'!$A$16+'Control Room'!$B$16,'Process'!BP5=1),1+('Control Room'!$C$16-1)*EXP(-0.5*(($A565-'Control Room'!$A$16-('Control Room'!$B$16-1)/2)/MAX(0.5,'Control Room'!$B$16/4))^2),1)</x:f>
        <x:v>1</x:v>
      </x:c>
      <x:c r="AF565" s="9" t="n">
        <x:f>MOD(AG564*16807,2147483647)</x:f>
        <x:v>1216706892</x:v>
      </x:c>
      <x:c r="AG565" s="9" t="n">
        <x:f>MOD(AF565*16807,2147483647)</x:f>
        <x:v>853447110</x:v>
      </x:c>
      <x:c r="AH565" s="17" t="n">
        <x:f>IF('Control Room'!$B$5="Normal",'Control Room'!$B$7+'Control Room'!$D$7*SQRT(-2*LN(MAX(0.000000000001,AF565/2147483647)))*COS(2*PI()*AG565/2147483647),'Control Room'!$B$8+('Control Room'!$D$8-'Control Room'!$B$8)*AF565/2147483647)</x:f>
        <x:v>923.3101731436145</x:v>
      </x:c>
      <x:c r="AI565" s="17" t="n">
        <x:f>IF('Control Room'!$B$5="Normal",'Control Room'!$B$7,('Control Room'!$B$8+'Control Room'!$D$8)/2)+'Control Room'!$B$9*(AI564-IF('Control Room'!$B$5="Normal",'Control Room'!$B$7,('Control Room'!$B$8+'Control Room'!$D$8)/2))+SQRT(1-'Control Room'!$B$9^2)*(AH565-IF('Control Room'!$B$5="Normal",'Control Room'!$B$7,('Control Room'!$B$8+'Control Room'!$D$8)/2))</x:f>
        <x:v>941.9504556427582</x:v>
      </x:c>
      <x:c r="AJ565" s="17" t="n">
        <x:f>IF(AND($A565&gt;='Control Room'!$A$13,$A565&lt;'Control Room'!$A$13+'Control Room'!$B$13,'Process'!BQ2=1),1+('Control Room'!$C$13-1)*EXP(-0.5*(($A565-'Control Room'!$A$13-('Control Room'!$B$13-1)/2)/MAX(0.5,'Control Room'!$B$13/4))^2),1)*IF(AND($A565&gt;='Control Room'!$A$14,$A565&lt;'Control Room'!$A$14+'Control Room'!$B$14,'Process'!BQ3=1),1+('Control Room'!$C$14-1)*EXP(-0.5*(($A565-'Control Room'!$A$14-('Control Room'!$B$14-1)/2)/MAX(0.5,'Control Room'!$B$14/4))^2),1)*IF(AND($A565&gt;='Control Room'!$A$15,$A565&lt;'Control Room'!$A$15+'Control Room'!$B$15,'Process'!BQ4=1),1+('Control Room'!$C$15-1)*EXP(-0.5*(($A565-'Control Room'!$A$15-('Control Room'!$B$15-1)/2)/MAX(0.5,'Control Room'!$B$15/4))^2),1)*IF(AND($A565&gt;='Control Room'!$A$16,$A565&lt;'Control Room'!$A$16+'Control Room'!$B$16,'Process'!BQ5=1),1+('Control Room'!$C$16-1)*EXP(-0.5*(($A565-'Control Room'!$A$16-('Control Room'!$B$16-1)/2)/MAX(0.5,'Control Room'!$B$16/4))^2),1)</x:f>
        <x:v>1</x:v>
      </x:c>
      <x:c r="AK565" s="9" t="n">
        <x:f>MOD(AL564*16807,2147483647)</x:f>
        <x:v>242790581</x:v>
      </x:c>
      <x:c r="AL565" s="9" t="n">
        <x:f>MOD(AK565*16807,2147483647)</x:f>
        <x:v>362365567</x:v>
      </x:c>
      <x:c r="AM565" s="17" t="n">
        <x:f>IF('Control Room'!$B$5="Normal",'Control Room'!$B$7+'Control Room'!$D$7*SQRT(-2*LN(MAX(0.000000000001,AK565/2147483647)))*COS(2*PI()*AL565/2147483647),'Control Room'!$B$8+('Control Room'!$D$8-'Control Room'!$B$8)*AK565/2147483647)</x:f>
        <x:v>1091.8319954990607</x:v>
      </x:c>
      <x:c r="AN565" s="17" t="n">
        <x:f>IF('Control Room'!$B$5="Normal",'Control Room'!$B$7,('Control Room'!$B$8+'Control Room'!$D$8)/2)+'Control Room'!$B$9*(AN564-IF('Control Room'!$B$5="Normal",'Control Room'!$B$7,('Control Room'!$B$8+'Control Room'!$D$8)/2))+SQRT(1-'Control Room'!$B$9^2)*(AM565-IF('Control Room'!$B$5="Normal",'Control Room'!$B$7,('Control Room'!$B$8+'Control Room'!$D$8)/2))</x:f>
        <x:v>1070.551157070159</x:v>
      </x:c>
      <x:c r="AO565" s="17" t="n">
        <x:f>IF(AND($A565&gt;='Control Room'!$A$13,$A565&lt;'Control Room'!$A$13+'Control Room'!$B$13,'Process'!BR2=1),1+('Control Room'!$C$13-1)*EXP(-0.5*(($A565-'Control Room'!$A$13-('Control Room'!$B$13-1)/2)/MAX(0.5,'Control Room'!$B$13/4))^2),1)*IF(AND($A565&gt;='Control Room'!$A$14,$A565&lt;'Control Room'!$A$14+'Control Room'!$B$14,'Process'!BR3=1),1+('Control Room'!$C$14-1)*EXP(-0.5*(($A565-'Control Room'!$A$14-('Control Room'!$B$14-1)/2)/MAX(0.5,'Control Room'!$B$14/4))^2),1)*IF(AND($A565&gt;='Control Room'!$A$15,$A565&lt;'Control Room'!$A$15+'Control Room'!$B$15,'Process'!BR4=1),1+('Control Room'!$C$15-1)*EXP(-0.5*(($A565-'Control Room'!$A$15-('Control Room'!$B$15-1)/2)/MAX(0.5,'Control Room'!$B$15/4))^2),1)*IF(AND($A565&gt;='Control Room'!$A$16,$A565&lt;'Control Room'!$A$16+'Control Room'!$B$16,'Process'!BR5=1),1+('Control Room'!$C$16-1)*EXP(-0.5*(($A565-'Control Room'!$A$16-('Control Room'!$B$16-1)/2)/MAX(0.5,'Control Room'!$B$16/4))^2),1)</x:f>
        <x:v>1</x:v>
      </x:c>
      <x:c r="AP565" s="9" t="n">
        <x:f>MOD(AQ564*16807,2147483647)</x:f>
        <x:v>1416357917</x:v>
      </x:c>
      <x:c r="AQ565" s="9" t="n">
        <x:f>MOD(AP565*16807,2147483647)</x:f>
        <x:v>2018767671</x:v>
      </x:c>
      <x:c r="AR565" s="17" t="n">
        <x:f>IF('Control Room'!$B$5="Normal",'Control Room'!$B$7+'Control Room'!$D$7*SQRT(-2*LN(MAX(0.000000000001,AP565/2147483647)))*COS(2*PI()*AQ565/2147483647),'Control Room'!$B$8+('Control Room'!$D$8-'Control Room'!$B$8)*AP565/2147483647)</x:f>
        <x:v>1076.3586407141922</x:v>
      </x:c>
      <x:c r="AS565" s="17" t="n">
        <x:f>IF('Control Room'!$B$5="Normal",'Control Room'!$B$7,('Control Room'!$B$8+'Control Room'!$D$8)/2)+'Control Room'!$B$9*(AS564-IF('Control Room'!$B$5="Normal",'Control Room'!$B$7,('Control Room'!$B$8+'Control Room'!$D$8)/2))+SQRT(1-'Control Room'!$B$9^2)*(AR565-IF('Control Room'!$B$5="Normal",'Control Room'!$B$7,('Control Room'!$B$8+'Control Room'!$D$8)/2))</x:f>
        <x:v>1081.5865930129335</x:v>
      </x:c>
      <x:c r="AT565" s="17" t="n">
        <x:f>IF(AND($A565&gt;='Control Room'!$A$13,$A565&lt;'Control Room'!$A$13+'Control Room'!$B$13,'Process'!BS2=1),1+('Control Room'!$C$13-1)*EXP(-0.5*(($A565-'Control Room'!$A$13-('Control Room'!$B$13-1)/2)/MAX(0.5,'Control Room'!$B$13/4))^2),1)*IF(AND($A565&gt;='Control Room'!$A$14,$A565&lt;'Control Room'!$A$14+'Control Room'!$B$14,'Process'!BS3=1),1+('Control Room'!$C$14-1)*EXP(-0.5*(($A565-'Control Room'!$A$14-('Control Room'!$B$14-1)/2)/MAX(0.5,'Control Room'!$B$14/4))^2),1)*IF(AND($A565&gt;='Control Room'!$A$15,$A565&lt;'Control Room'!$A$15+'Control Room'!$B$15,'Process'!BS4=1),1+('Control Room'!$C$15-1)*EXP(-0.5*(($A565-'Control Room'!$A$15-('Control Room'!$B$15-1)/2)/MAX(0.5,'Control Room'!$B$15/4))^2),1)*IF(AND($A565&gt;='Control Room'!$A$16,$A565&lt;'Control Room'!$A$16+'Control Room'!$B$16,'Process'!BS5=1),1+('Control Room'!$C$16-1)*EXP(-0.5*(($A565-'Control Room'!$A$16-('Control Room'!$B$16-1)/2)/MAX(0.5,'Control Room'!$B$16/4))^2),1)</x:f>
        <x:v>1</x:v>
      </x:c>
      <x:c r="AU565" s="9" t="n">
        <x:f>MOD(AV564*16807,2147483647)</x:f>
        <x:v>442441606</x:v>
      </x:c>
      <x:c r="AV565" s="9" t="n">
        <x:f>MOD(AU565*16807,2147483647)</x:f>
        <x:v>1527686128</x:v>
      </x:c>
      <x:c r="AW565" s="17" t="n">
        <x:f>IF('Control Room'!$B$5="Normal",'Control Room'!$B$7+'Control Room'!$D$7*SQRT(-2*LN(MAX(0.000000000001,AU565/2147483647)))*COS(2*PI()*AV565/2147483647),'Control Room'!$B$8+('Control Room'!$D$8-'Control Room'!$B$8)*AU565/2147483647)</x:f>
        <x:v>961.5651475311781</x:v>
      </x:c>
      <x:c r="AX565" s="17" t="n">
        <x:f>IF('Control Room'!$B$5="Normal",'Control Room'!$B$7,('Control Room'!$B$8+'Control Room'!$D$8)/2)+'Control Room'!$B$9*(AX564-IF('Control Room'!$B$5="Normal",'Control Room'!$B$7,('Control Room'!$B$8+'Control Room'!$D$8)/2))+SQRT(1-'Control Room'!$B$9^2)*(AW565-IF('Control Room'!$B$5="Normal",'Control Room'!$B$7,('Control Room'!$B$8+'Control Room'!$D$8)/2))</x:f>
        <x:v>934.5909958478826</x:v>
      </x:c>
      <x:c r="AY565" s="17" t="n">
        <x:f>IF(AND($A565&gt;='Control Room'!$A$13,$A565&lt;'Control Room'!$A$13+'Control Room'!$B$13,'Process'!BT2=1),1+('Control Room'!$C$13-1)*EXP(-0.5*(($A565-'Control Room'!$A$13-('Control Room'!$B$13-1)/2)/MAX(0.5,'Control Room'!$B$13/4))^2),1)*IF(AND($A565&gt;='Control Room'!$A$14,$A565&lt;'Control Room'!$A$14+'Control Room'!$B$14,'Process'!BT3=1),1+('Control Room'!$C$14-1)*EXP(-0.5*(($A565-'Control Room'!$A$14-('Control Room'!$B$14-1)/2)/MAX(0.5,'Control Room'!$B$14/4))^2),1)*IF(AND($A565&gt;='Control Room'!$A$15,$A565&lt;'Control Room'!$A$15+'Control Room'!$B$15,'Process'!BT4=1),1+('Control Room'!$C$15-1)*EXP(-0.5*(($A565-'Control Room'!$A$15-('Control Room'!$B$15-1)/2)/MAX(0.5,'Control Room'!$B$15/4))^2),1)*IF(AND($A565&gt;='Control Room'!$A$16,$A565&lt;'Control Room'!$A$16+'Control Room'!$B$16,'Process'!BT5=1),1+('Control Room'!$C$16-1)*EXP(-0.5*(($A565-'Control Room'!$A$16-('Control Room'!$B$16-1)/2)/MAX(0.5,'Control Room'!$B$16/4))^2),1)</x:f>
        <x:v>1</x:v>
      </x:c>
      <x:c r="AZ565" s="9" t="n">
        <x:f>MOD(BA564*16807,2147483647)</x:f>
        <x:v>1616008942</x:v>
      </x:c>
      <x:c r="BA565" s="9" t="n">
        <x:f>MOD(AZ565*16807,2147483647)</x:f>
        <x:v>1036604585</x:v>
      </x:c>
      <x:c r="BB565" s="17" t="n">
        <x:f>IF('Control Room'!$B$5="Normal",'Control Room'!$B$7+'Control Room'!$D$7*SQRT(-2*LN(MAX(0.000000000001,AZ565/2147483647)))*COS(2*PI()*BA565/2147483647),'Control Room'!$B$8+('Control Room'!$D$8-'Control Room'!$B$8)*AZ565/2147483647)</x:f>
        <x:v>932.5307937100415</x:v>
      </x:c>
      <x:c r="BC565" s="17" t="n">
        <x:f>IF('Control Room'!$B$5="Normal",'Control Room'!$B$7,('Control Room'!$B$8+'Control Room'!$D$8)/2)+'Control Room'!$B$9*(BC564-IF('Control Room'!$B$5="Normal",'Control Room'!$B$7,('Control Room'!$B$8+'Control Room'!$D$8)/2))+SQRT(1-'Control Room'!$B$9^2)*(BB565-IF('Control Room'!$B$5="Normal",'Control Room'!$B$7,('Control Room'!$B$8+'Control Room'!$D$8)/2))</x:f>
        <x:v>1020.6597227924186</x:v>
      </x:c>
      <x:c r="BD565" s="17" t="n">
        <x:f>IF(AND($A565&gt;='Control Room'!$A$13,$A565&lt;'Control Room'!$A$13+'Control Room'!$B$13,'Process'!BU2=1),1+('Control Room'!$C$13-1)*EXP(-0.5*(($A565-'Control Room'!$A$13-('Control Room'!$B$13-1)/2)/MAX(0.5,'Control Room'!$B$13/4))^2),1)*IF(AND($A565&gt;='Control Room'!$A$14,$A565&lt;'Control Room'!$A$14+'Control Room'!$B$14,'Process'!BU3=1),1+('Control Room'!$C$14-1)*EXP(-0.5*(($A565-'Control Room'!$A$14-('Control Room'!$B$14-1)/2)/MAX(0.5,'Control Room'!$B$14/4))^2),1)*IF(AND($A565&gt;='Control Room'!$A$15,$A565&lt;'Control Room'!$A$15+'Control Room'!$B$15,'Process'!BU4=1),1+('Control Room'!$C$15-1)*EXP(-0.5*(($A565-'Control Room'!$A$15-('Control Room'!$B$15-1)/2)/MAX(0.5,'Control Room'!$B$15/4))^2),1)*IF(AND($A565&gt;='Control Room'!$A$16,$A565&lt;'Control Room'!$A$16+'Control Room'!$B$16,'Process'!BU5=1),1+('Control Room'!$C$16-1)*EXP(-0.5*(($A565-'Control Room'!$A$16-('Control Room'!$B$16-1)/2)/MAX(0.5,'Control Room'!$B$16/4))^2),1)</x:f>
        <x:v>1</x:v>
      </x:c>
      <x:c r="BE565" s="9" t="n">
        <x:f>MOD(BF564*16807,2147483647)</x:f>
        <x:v>642092631</x:v>
      </x:c>
      <x:c r="BF565" s="9" t="n">
        <x:f>MOD(BE565*16807,2147483647)</x:f>
        <x:v>545523042</x:v>
      </x:c>
      <x:c r="BG565" s="17" t="n">
        <x:f>IF('Control Room'!$B$5="Normal",'Control Room'!$B$7+'Control Room'!$D$7*SQRT(-2*LN(MAX(0.000000000001,BE565/2147483647)))*COS(2*PI()*BF565/2147483647),'Control Room'!$B$8+('Control Room'!$D$8-'Control Room'!$B$8)*BE565/2147483647)</x:f>
        <x:v>996.460065116541</x:v>
      </x:c>
      <x:c r="BH565" s="17" t="n">
        <x:f>IF('Control Room'!$B$5="Normal",'Control Room'!$B$7,('Control Room'!$B$8+'Control Room'!$D$8)/2)+'Control Room'!$B$9*(BH564-IF('Control Room'!$B$5="Normal",'Control Room'!$B$7,('Control Room'!$B$8+'Control Room'!$D$8)/2))+SQRT(1-'Control Room'!$B$9^2)*(BG565-IF('Control Room'!$B$5="Normal",'Control Room'!$B$7,('Control Room'!$B$8+'Control Room'!$D$8)/2))</x:f>
        <x:v>1078.5892188595953</x:v>
      </x:c>
      <x:c r="BI565" s="17" t="n">
        <x:f>IF(AND($A565&gt;='Control Room'!$A$13,$A565&lt;'Control Room'!$A$13+'Control Room'!$B$13,'Process'!BV2=1),1+('Control Room'!$C$13-1)*EXP(-0.5*(($A565-'Control Room'!$A$13-('Control Room'!$B$13-1)/2)/MAX(0.5,'Control Room'!$B$13/4))^2),1)*IF(AND($A565&gt;='Control Room'!$A$14,$A565&lt;'Control Room'!$A$14+'Control Room'!$B$14,'Process'!BV3=1),1+('Control Room'!$C$14-1)*EXP(-0.5*(($A565-'Control Room'!$A$14-('Control Room'!$B$14-1)/2)/MAX(0.5,'Control Room'!$B$14/4))^2),1)*IF(AND($A565&gt;='Control Room'!$A$15,$A565&lt;'Control Room'!$A$15+'Control Room'!$B$15,'Process'!BV4=1),1+('Control Room'!$C$15-1)*EXP(-0.5*(($A565-'Control Room'!$A$15-('Control Room'!$B$15-1)/2)/MAX(0.5,'Control Room'!$B$15/4))^2),1)*IF(AND($A565&gt;='Control Room'!$A$16,$A565&lt;'Control Room'!$A$16+'Control Room'!$B$16,'Process'!BV5=1),1+('Control Room'!$C$16-1)*EXP(-0.5*(($A565-'Control Room'!$A$16-('Control Room'!$B$16-1)/2)/MAX(0.5,'Control Room'!$B$16/4))^2),1)</x:f>
        <x:v>1</x:v>
      </x:c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Z565" t="str">
        <x:f>IF('Data'!A565="","",TEXT('Data'!A565,"mm-dd"))</x:f>
      </x:c>
    </x:row>
    <x:row r="566" ht="21" customHeight="1">
      <x:c r="A566" s="15" t="n">
        <x:f>'Control Room'!$B$1+564</x:f>
        <x:v>73555</x:v>
      </x:c>
      <x:c r="B566" s="9" t="n">
        <x:f>MOD(C565*16807,2147483647)</x:f>
        <x:v>1514358843</x:v>
      </x:c>
      <x:c r="C566" s="9" t="n">
        <x:f>MOD(B566*16807,2147483647)</x:f>
        <x:v>2000373704</x:v>
      </x:c>
      <x:c r="D566" s="17" t="n">
        <x:f>IF('Control Room'!$B$5="Normal",'Control Room'!$B$7+'Control Room'!$D$7*SQRT(-2*LN(MAX(0.000000000001,B566/2147483647)))*COS(2*PI()*C566/2147483647),'Control Room'!$B$8+('Control Room'!$D$8-'Control Room'!$B$8)*B566/2147483647)</x:f>
        <x:v>1068.3633868185225</x:v>
      </x:c>
      <x:c r="E566" s="17" t="n">
        <x:f>IF('Control Room'!$B$5="Normal",'Control Room'!$B$7,('Control Room'!$B$8+'Control Room'!$D$8)/2)+'Control Room'!$B$9*(E565-IF('Control Room'!$B$5="Normal",'Control Room'!$B$7,('Control Room'!$B$8+'Control Room'!$D$8)/2))+SQRT(1-'Control Room'!$B$9^2)*(D566-IF('Control Room'!$B$5="Normal",'Control Room'!$B$7,('Control Room'!$B$8+'Control Room'!$D$8)/2))</x:f>
        <x:v>1099.9125802339543</x:v>
      </x:c>
      <x:c r="F566" s="17" t="n">
        <x:f>IF(AND($A566&gt;='Control Room'!$A$13,$A566&lt;'Control Room'!$A$13+'Control Room'!$B$13,'Process'!BK2=1),1+('Control Room'!$C$13-1)*EXP(-0.5*(($A566-'Control Room'!$A$13-('Control Room'!$B$13-1)/2)/MAX(0.5,'Control Room'!$B$13/4))^2),1)*IF(AND($A566&gt;='Control Room'!$A$14,$A566&lt;'Control Room'!$A$14+'Control Room'!$B$14,'Process'!BK3=1),1+('Control Room'!$C$14-1)*EXP(-0.5*(($A566-'Control Room'!$A$14-('Control Room'!$B$14-1)/2)/MAX(0.5,'Control Room'!$B$14/4))^2),1)*IF(AND($A566&gt;='Control Room'!$A$15,$A566&lt;'Control Room'!$A$15+'Control Room'!$B$15,'Process'!BK4=1),1+('Control Room'!$C$15-1)*EXP(-0.5*(($A566-'Control Room'!$A$15-('Control Room'!$B$15-1)/2)/MAX(0.5,'Control Room'!$B$15/4))^2),1)*IF(AND($A566&gt;='Control Room'!$A$16,$A566&lt;'Control Room'!$A$16+'Control Room'!$B$16,'Process'!BK5=1),1+('Control Room'!$C$16-1)*EXP(-0.5*(($A566-'Control Room'!$A$16-('Control Room'!$B$16-1)/2)/MAX(0.5,'Control Room'!$B$16/4))^2),1)</x:f>
        <x:v>1</x:v>
      </x:c>
      <x:c r="G566" s="9" t="n">
        <x:f>MOD(H565*16807,2147483647)</x:f>
        <x:v>686521063</x:v>
      </x:c>
      <x:c r="H566" s="9" t="n">
        <x:f>MOD(G566*16807,2147483647)</x:f>
        <x:v>2077354157</x:v>
      </x:c>
      <x:c r="I566" s="17" t="n">
        <x:f>IF('Control Room'!$B$5="Normal",'Control Room'!$B$7+'Control Room'!$D$7*SQRT(-2*LN(MAX(0.000000000001,G566/2147483647)))*COS(2*PI()*H566/2147483647),'Control Room'!$B$8+('Control Room'!$D$8-'Control Room'!$B$8)*G566/2147483647)</x:f>
        <x:v>1133.0705057772407</x:v>
      </x:c>
      <x:c r="J566" s="17" t="n">
        <x:f>IF('Control Room'!$B$5="Normal",'Control Room'!$B$7,('Control Room'!$B$8+'Control Room'!$D$8)/2)+'Control Room'!$B$9*(J565-IF('Control Room'!$B$5="Normal",'Control Room'!$B$7,('Control Room'!$B$8+'Control Room'!$D$8)/2))+SQRT(1-'Control Room'!$B$9^2)*(I566-IF('Control Room'!$B$5="Normal",'Control Room'!$B$7,('Control Room'!$B$8+'Control Room'!$D$8)/2))</x:f>
        <x:v>1005.1585154731251</x:v>
      </x:c>
      <x:c r="K566" s="17" t="n">
        <x:f>IF(AND($A566&gt;='Control Room'!$A$13,$A566&lt;'Control Room'!$A$13+'Control Room'!$B$13,'Process'!BL2=1),1+('Control Room'!$C$13-1)*EXP(-0.5*(($A566-'Control Room'!$A$13-('Control Room'!$B$13-1)/2)/MAX(0.5,'Control Room'!$B$13/4))^2),1)*IF(AND($A566&gt;='Control Room'!$A$14,$A566&lt;'Control Room'!$A$14+'Control Room'!$B$14,'Process'!BL3=1),1+('Control Room'!$C$14-1)*EXP(-0.5*(($A566-'Control Room'!$A$14-('Control Room'!$B$14-1)/2)/MAX(0.5,'Control Room'!$B$14/4))^2),1)*IF(AND($A566&gt;='Control Room'!$A$15,$A566&lt;'Control Room'!$A$15+'Control Room'!$B$15,'Process'!BL4=1),1+('Control Room'!$C$15-1)*EXP(-0.5*(($A566-'Control Room'!$A$15-('Control Room'!$B$15-1)/2)/MAX(0.5,'Control Room'!$B$15/4))^2),1)*IF(AND($A566&gt;='Control Room'!$A$16,$A566&lt;'Control Room'!$A$16+'Control Room'!$B$16,'Process'!BL5=1),1+('Control Room'!$C$16-1)*EXP(-0.5*(($A566-'Control Room'!$A$16-('Control Room'!$B$16-1)/2)/MAX(0.5,'Control Room'!$B$16/4))^2),1)</x:f>
        <x:v>1</x:v>
      </x:c>
      <x:c r="L566" s="9" t="n">
        <x:f>MOD(M565*16807,2147483647)</x:f>
        <x:v>2006166930</x:v>
      </x:c>
      <x:c r="M566" s="9" t="n">
        <x:f>MOD(L566*16807,2147483647)</x:f>
        <x:v>6850963</x:v>
      </x:c>
      <x:c r="N566" s="17" t="n">
        <x:f>IF('Control Room'!$B$5="Normal",'Control Room'!$B$7+'Control Room'!$D$7*SQRT(-2*LN(MAX(0.000000000001,L566/2147483647)))*COS(2*PI()*M566/2147483647),'Control Room'!$B$8+('Control Room'!$D$8-'Control Room'!$B$8)*L566/2147483647)</x:f>
        <x:v>1033.200977244442</x:v>
      </x:c>
      <x:c r="O566" s="17" t="n">
        <x:f>IF('Control Room'!$B$5="Normal",'Control Room'!$B$7,('Control Room'!$B$8+'Control Room'!$D$8)/2)+'Control Room'!$B$9*(O565-IF('Control Room'!$B$5="Normal",'Control Room'!$B$7,('Control Room'!$B$8+'Control Room'!$D$8)/2))+SQRT(1-'Control Room'!$B$9^2)*(N566-IF('Control Room'!$B$5="Normal",'Control Room'!$B$7,('Control Room'!$B$8+'Control Room'!$D$8)/2))</x:f>
        <x:v>978.8018433026315</x:v>
      </x:c>
      <x:c r="P566" s="17" t="n">
        <x:f>IF(AND($A566&gt;='Control Room'!$A$13,$A566&lt;'Control Room'!$A$13+'Control Room'!$B$13,'Process'!BM2=1),1+('Control Room'!$C$13-1)*EXP(-0.5*(($A566-'Control Room'!$A$13-('Control Room'!$B$13-1)/2)/MAX(0.5,'Control Room'!$B$13/4))^2),1)*IF(AND($A566&gt;='Control Room'!$A$14,$A566&lt;'Control Room'!$A$14+'Control Room'!$B$14,'Process'!BM3=1),1+('Control Room'!$C$14-1)*EXP(-0.5*(($A566-'Control Room'!$A$14-('Control Room'!$B$14-1)/2)/MAX(0.5,'Control Room'!$B$14/4))^2),1)*IF(AND($A566&gt;='Control Room'!$A$15,$A566&lt;'Control Room'!$A$15+'Control Room'!$B$15,'Process'!BM4=1),1+('Control Room'!$C$15-1)*EXP(-0.5*(($A566-'Control Room'!$A$15-('Control Room'!$B$15-1)/2)/MAX(0.5,'Control Room'!$B$15/4))^2),1)*IF(AND($A566&gt;='Control Room'!$A$16,$A566&lt;'Control Room'!$A$16+'Control Room'!$B$16,'Process'!BM5=1),1+('Control Room'!$C$16-1)*EXP(-0.5*(($A566-'Control Room'!$A$16-('Control Room'!$B$16-1)/2)/MAX(0.5,'Control Room'!$B$16/4))^2),1)</x:f>
        <x:v>1</x:v>
      </x:c>
      <x:c r="Q566" s="9" t="n">
        <x:f>MOD(R565*16807,2147483647)</x:f>
        <x:v>1178329150</x:v>
      </x:c>
      <x:c r="R566" s="9" t="n">
        <x:f>MOD(Q566*16807,2147483647)</x:f>
        <x:v>83831416</x:v>
      </x:c>
      <x:c r="S566" s="17" t="n">
        <x:f>IF('Control Room'!$B$5="Normal",'Control Room'!$B$7+'Control Room'!$D$7*SQRT(-2*LN(MAX(0.000000000001,Q566/2147483647)))*COS(2*PI()*R566/2147483647),'Control Room'!$B$8+('Control Room'!$D$8-'Control Room'!$B$8)*Q566/2147483647)</x:f>
        <x:v>1095.6551526790863</x:v>
      </x:c>
      <x:c r="T566" s="17" t="n">
        <x:f>IF('Control Room'!$B$5="Normal",'Control Room'!$B$7,('Control Room'!$B$8+'Control Room'!$D$8)/2)+'Control Room'!$B$9*(T565-IF('Control Room'!$B$5="Normal",'Control Room'!$B$7,('Control Room'!$B$8+'Control Room'!$D$8)/2))+SQRT(1-'Control Room'!$B$9^2)*(S566-IF('Control Room'!$B$5="Normal",'Control Room'!$B$7,('Control Room'!$B$8+'Control Room'!$D$8)/2))</x:f>
        <x:v>1084.0328103537613</x:v>
      </x:c>
      <x:c r="U566" s="17" t="n">
        <x:f>IF(AND($A566&gt;='Control Room'!$A$13,$A566&lt;'Control Room'!$A$13+'Control Room'!$B$13,'Process'!BN2=1),1+('Control Room'!$C$13-1)*EXP(-0.5*(($A566-'Control Room'!$A$13-('Control Room'!$B$13-1)/2)/MAX(0.5,'Control Room'!$B$13/4))^2),1)*IF(AND($A566&gt;='Control Room'!$A$14,$A566&lt;'Control Room'!$A$14+'Control Room'!$B$14,'Process'!BN3=1),1+('Control Room'!$C$14-1)*EXP(-0.5*(($A566-'Control Room'!$A$14-('Control Room'!$B$14-1)/2)/MAX(0.5,'Control Room'!$B$14/4))^2),1)*IF(AND($A566&gt;='Control Room'!$A$15,$A566&lt;'Control Room'!$A$15+'Control Room'!$B$15,'Process'!BN4=1),1+('Control Room'!$C$15-1)*EXP(-0.5*(($A566-'Control Room'!$A$15-('Control Room'!$B$15-1)/2)/MAX(0.5,'Control Room'!$B$15/4))^2),1)*IF(AND($A566&gt;='Control Room'!$A$16,$A566&lt;'Control Room'!$A$16+'Control Room'!$B$16,'Process'!BN5=1),1+('Control Room'!$C$16-1)*EXP(-0.5*(($A566-'Control Room'!$A$16-('Control Room'!$B$16-1)/2)/MAX(0.5,'Control Room'!$B$16/4))^2),1)</x:f>
        <x:v>1</x:v>
      </x:c>
      <x:c r="V566" s="9" t="n">
        <x:f>MOD(W565*16807,2147483647)</x:f>
        <x:v>350491370</x:v>
      </x:c>
      <x:c r="W566" s="9" t="n">
        <x:f>MOD(V566*16807,2147483647)</x:f>
        <x:v>160811869</x:v>
      </x:c>
      <x:c r="X566" s="17" t="n">
        <x:f>IF('Control Room'!$B$5="Normal",'Control Room'!$B$7+'Control Room'!$D$7*SQRT(-2*LN(MAX(0.000000000001,V566/2147483647)))*COS(2*PI()*W566/2147483647),'Control Room'!$B$8+('Control Room'!$D$8-'Control Room'!$B$8)*V566/2147483647)</x:f>
        <x:v>1152.7441545788674</x:v>
      </x:c>
      <x:c r="Y566" s="17" t="n">
        <x:f>IF('Control Room'!$B$5="Normal",'Control Room'!$B$7,('Control Room'!$B$8+'Control Room'!$D$8)/2)+'Control Room'!$B$9*(Y565-IF('Control Room'!$B$5="Normal",'Control Room'!$B$7,('Control Room'!$B$8+'Control Room'!$D$8)/2))+SQRT(1-'Control Room'!$B$9^2)*(X566-IF('Control Room'!$B$5="Normal",'Control Room'!$B$7,('Control Room'!$B$8+'Control Room'!$D$8)/2))</x:f>
        <x:v>1175.5635068750341</x:v>
      </x:c>
      <x:c r="Z566" s="17" t="n">
        <x:f>IF(AND($A566&gt;='Control Room'!$A$13,$A566&lt;'Control Room'!$A$13+'Control Room'!$B$13,'Process'!BO2=1),1+('Control Room'!$C$13-1)*EXP(-0.5*(($A566-'Control Room'!$A$13-('Control Room'!$B$13-1)/2)/MAX(0.5,'Control Room'!$B$13/4))^2),1)*IF(AND($A566&gt;='Control Room'!$A$14,$A566&lt;'Control Room'!$A$14+'Control Room'!$B$14,'Process'!BO3=1),1+('Control Room'!$C$14-1)*EXP(-0.5*(($A566-'Control Room'!$A$14-('Control Room'!$B$14-1)/2)/MAX(0.5,'Control Room'!$B$14/4))^2),1)*IF(AND($A566&gt;='Control Room'!$A$15,$A566&lt;'Control Room'!$A$15+'Control Room'!$B$15,'Process'!BO4=1),1+('Control Room'!$C$15-1)*EXP(-0.5*(($A566-'Control Room'!$A$15-('Control Room'!$B$15-1)/2)/MAX(0.5,'Control Room'!$B$15/4))^2),1)*IF(AND($A566&gt;='Control Room'!$A$16,$A566&lt;'Control Room'!$A$16+'Control Room'!$B$16,'Process'!BO5=1),1+('Control Room'!$C$16-1)*EXP(-0.5*(($A566-'Control Room'!$A$16-('Control Room'!$B$16-1)/2)/MAX(0.5,'Control Room'!$B$16/4))^2),1)</x:f>
        <x:v>1</x:v>
      </x:c>
      <x:c r="AA566" s="9" t="n">
        <x:f>MOD(AB565*16807,2147483647)</x:f>
        <x:v>1670137237</x:v>
      </x:c>
      <x:c r="AB566" s="9" t="n">
        <x:f>MOD(AA566*16807,2147483647)</x:f>
        <x:v>237792322</x:v>
      </x:c>
      <x:c r="AC566" s="17" t="n">
        <x:f>IF('Control Room'!$B$5="Normal",'Control Room'!$B$7+'Control Room'!$D$7*SQRT(-2*LN(MAX(0.000000000001,AA566/2147483647)))*COS(2*PI()*AB566/2147483647),'Control Room'!$B$8+('Control Room'!$D$8-'Control Room'!$B$8)*AA566/2147483647)</x:f>
        <x:v>1048.9841147515783</x:v>
      </x:c>
      <x:c r="AD566" s="17" t="n">
        <x:f>IF('Control Room'!$B$5="Normal",'Control Room'!$B$7,('Control Room'!$B$8+'Control Room'!$D$8)/2)+'Control Room'!$B$9*(AD565-IF('Control Room'!$B$5="Normal",'Control Room'!$B$7,('Control Room'!$B$8+'Control Room'!$D$8)/2))+SQRT(1-'Control Room'!$B$9^2)*(AC566-IF('Control Room'!$B$5="Normal",'Control Room'!$B$7,('Control Room'!$B$8+'Control Room'!$D$8)/2))</x:f>
        <x:v>918.126343911295</x:v>
      </x:c>
      <x:c r="AE566" s="17" t="n">
        <x:f>IF(AND($A566&gt;='Control Room'!$A$13,$A566&lt;'Control Room'!$A$13+'Control Room'!$B$13,'Process'!BP2=1),1+('Control Room'!$C$13-1)*EXP(-0.5*(($A566-'Control Room'!$A$13-('Control Room'!$B$13-1)/2)/MAX(0.5,'Control Room'!$B$13/4))^2),1)*IF(AND($A566&gt;='Control Room'!$A$14,$A566&lt;'Control Room'!$A$14+'Control Room'!$B$14,'Process'!BP3=1),1+('Control Room'!$C$14-1)*EXP(-0.5*(($A566-'Control Room'!$A$14-('Control Room'!$B$14-1)/2)/MAX(0.5,'Control Room'!$B$14/4))^2),1)*IF(AND($A566&gt;='Control Room'!$A$15,$A566&lt;'Control Room'!$A$15+'Control Room'!$B$15,'Process'!BP4=1),1+('Control Room'!$C$15-1)*EXP(-0.5*(($A566-'Control Room'!$A$15-('Control Room'!$B$15-1)/2)/MAX(0.5,'Control Room'!$B$15/4))^2),1)*IF(AND($A566&gt;='Control Room'!$A$16,$A566&lt;'Control Room'!$A$16+'Control Room'!$B$16,'Process'!BP5=1),1+('Control Room'!$C$16-1)*EXP(-0.5*(($A566-'Control Room'!$A$16-('Control Room'!$B$16-1)/2)/MAX(0.5,'Control Room'!$B$16/4))^2),1)</x:f>
        <x:v>1</x:v>
      </x:c>
      <x:c r="AF566" s="9" t="n">
        <x:f>MOD(AG565*16807,2147483647)</x:f>
        <x:v>842299457</x:v>
      </x:c>
      <x:c r="AG566" s="9" t="n">
        <x:f>MOD(AF566*16807,2147483647)</x:f>
        <x:v>314772775</x:v>
      </x:c>
      <x:c r="AH566" s="17" t="n">
        <x:f>IF('Control Room'!$B$5="Normal",'Control Room'!$B$7+'Control Room'!$D$7*SQRT(-2*LN(MAX(0.000000000001,AF566/2147483647)))*COS(2*PI()*AG566/2147483647),'Control Room'!$B$8+('Control Room'!$D$8-'Control Room'!$B$8)*AF566/2147483647)</x:f>
        <x:v>1074.5013144332052</x:v>
      </x:c>
      <x:c r="AI566" s="17" t="n">
        <x:f>IF('Control Room'!$B$5="Normal",'Control Room'!$B$7,('Control Room'!$B$8+'Control Room'!$D$8)/2)+'Control Room'!$B$9*(AI565-IF('Control Room'!$B$5="Normal",'Control Room'!$B$7,('Control Room'!$B$8+'Control Room'!$D$8)/2))+SQRT(1-'Control Room'!$B$9^2)*(AH566-IF('Control Room'!$B$5="Normal",'Control Room'!$B$7,('Control Room'!$B$8+'Control Room'!$D$8)/2))</x:f>
        <x:v>1001.3427517312664</x:v>
      </x:c>
      <x:c r="AJ566" s="17" t="n">
        <x:f>IF(AND($A566&gt;='Control Room'!$A$13,$A566&lt;'Control Room'!$A$13+'Control Room'!$B$13,'Process'!BQ2=1),1+('Control Room'!$C$13-1)*EXP(-0.5*(($A566-'Control Room'!$A$13-('Control Room'!$B$13-1)/2)/MAX(0.5,'Control Room'!$B$13/4))^2),1)*IF(AND($A566&gt;='Control Room'!$A$14,$A566&lt;'Control Room'!$A$14+'Control Room'!$B$14,'Process'!BQ3=1),1+('Control Room'!$C$14-1)*EXP(-0.5*(($A566-'Control Room'!$A$14-('Control Room'!$B$14-1)/2)/MAX(0.5,'Control Room'!$B$14/4))^2),1)*IF(AND($A566&gt;='Control Room'!$A$15,$A566&lt;'Control Room'!$A$15+'Control Room'!$B$15,'Process'!BQ4=1),1+('Control Room'!$C$15-1)*EXP(-0.5*(($A566-'Control Room'!$A$15-('Control Room'!$B$15-1)/2)/MAX(0.5,'Control Room'!$B$15/4))^2),1)*IF(AND($A566&gt;='Control Room'!$A$16,$A566&lt;'Control Room'!$A$16+'Control Room'!$B$16,'Process'!BQ5=1),1+('Control Room'!$C$16-1)*EXP(-0.5*(($A566-'Control Room'!$A$16-('Control Room'!$B$16-1)/2)/MAX(0.5,'Control Room'!$B$16/4))^2),1)</x:f>
        <x:v>1</x:v>
      </x:c>
      <x:c r="AK566" s="9" t="n">
        <x:f>MOD(AL565*16807,2147483647)</x:f>
        <x:v>14461677</x:v>
      </x:c>
      <x:c r="AL566" s="9" t="n">
        <x:f>MOD(AK566*16807,2147483647)</x:f>
        <x:v>391753228</x:v>
      </x:c>
      <x:c r="AM566" s="17" t="n">
        <x:f>IF('Control Room'!$B$5="Normal",'Control Room'!$B$7+'Control Room'!$D$7*SQRT(-2*LN(MAX(0.000000000001,AK566/2147483647)))*COS(2*PI()*AL566/2147483647),'Control Room'!$B$8+('Control Room'!$D$8-'Control Room'!$B$8)*AK566/2147483647)</x:f>
        <x:v>1117.2488279016065</x:v>
      </x:c>
      <x:c r="AN566" s="17" t="n">
        <x:f>IF('Control Room'!$B$5="Normal",'Control Room'!$B$7,('Control Room'!$B$8+'Control Room'!$D$8)/2)+'Control Room'!$B$9*(AN565-IF('Control Room'!$B$5="Normal",'Control Room'!$B$7,('Control Room'!$B$8+'Control Room'!$D$8)/2))+SQRT(1-'Control Room'!$B$9^2)*(AM566-IF('Control Room'!$B$5="Normal",'Control Room'!$B$7,('Control Room'!$B$8+'Control Room'!$D$8)/2))</x:f>
        <x:v>1128.401817042751</x:v>
      </x:c>
      <x:c r="AO566" s="17" t="n">
        <x:f>IF(AND($A566&gt;='Control Room'!$A$13,$A566&lt;'Control Room'!$A$13+'Control Room'!$B$13,'Process'!BR2=1),1+('Control Room'!$C$13-1)*EXP(-0.5*(($A566-'Control Room'!$A$13-('Control Room'!$B$13-1)/2)/MAX(0.5,'Control Room'!$B$13/4))^2),1)*IF(AND($A566&gt;='Control Room'!$A$14,$A566&lt;'Control Room'!$A$14+'Control Room'!$B$14,'Process'!BR3=1),1+('Control Room'!$C$14-1)*EXP(-0.5*(($A566-'Control Room'!$A$14-('Control Room'!$B$14-1)/2)/MAX(0.5,'Control Room'!$B$14/4))^2),1)*IF(AND($A566&gt;='Control Room'!$A$15,$A566&lt;'Control Room'!$A$15+'Control Room'!$B$15,'Process'!BR4=1),1+('Control Room'!$C$15-1)*EXP(-0.5*(($A566-'Control Room'!$A$15-('Control Room'!$B$15-1)/2)/MAX(0.5,'Control Room'!$B$15/4))^2),1)*IF(AND($A566&gt;='Control Room'!$A$16,$A566&lt;'Control Room'!$A$16+'Control Room'!$B$16,'Process'!BR5=1),1+('Control Room'!$C$16-1)*EXP(-0.5*(($A566-'Control Room'!$A$16-('Control Room'!$B$16-1)/2)/MAX(0.5,'Control Room'!$B$16/4))^2),1)</x:f>
        <x:v>1</x:v>
      </x:c>
      <x:c r="AP566" s="9" t="n">
        <x:f>MOD(AQ565*16807,2147483647)</x:f>
        <x:v>1334107544</x:v>
      </x:c>
      <x:c r="AQ566" s="9" t="n">
        <x:f>MOD(AP566*16807,2147483647)</x:f>
        <x:v>468733681</x:v>
      </x:c>
      <x:c r="AR566" s="17" t="n">
        <x:f>IF('Control Room'!$B$5="Normal",'Control Room'!$B$7+'Control Room'!$D$7*SQRT(-2*LN(MAX(0.000000000001,AP566/2147483647)))*COS(2*PI()*AQ566/2147483647),'Control Room'!$B$8+('Control Room'!$D$8-'Control Room'!$B$8)*AP566/2147483647)</x:f>
        <x:v>1017.3912378884138</x:v>
      </x:c>
      <x:c r="AS566" s="17" t="n">
        <x:f>IF('Control Room'!$B$5="Normal",'Control Room'!$B$7,('Control Room'!$B$8+'Control Room'!$D$8)/2)+'Control Room'!$B$9*(AS565-IF('Control Room'!$B$5="Normal",'Control Room'!$B$7,('Control Room'!$B$8+'Control Room'!$D$8)/2))+SQRT(1-'Control Room'!$B$9^2)*(AR566-IF('Control Room'!$B$5="Normal",'Control Room'!$B$7,('Control Room'!$B$8+'Control Room'!$D$8)/2))</x:f>
        <x:v>1074.5206229417838</x:v>
      </x:c>
      <x:c r="AT566" s="17" t="n">
        <x:f>IF(AND($A566&gt;='Control Room'!$A$13,$A566&lt;'Control Room'!$A$13+'Control Room'!$B$13,'Process'!BS2=1),1+('Control Room'!$C$13-1)*EXP(-0.5*(($A566-'Control Room'!$A$13-('Control Room'!$B$13-1)/2)/MAX(0.5,'Control Room'!$B$13/4))^2),1)*IF(AND($A566&gt;='Control Room'!$A$14,$A566&lt;'Control Room'!$A$14+'Control Room'!$B$14,'Process'!BS3=1),1+('Control Room'!$C$14-1)*EXP(-0.5*(($A566-'Control Room'!$A$14-('Control Room'!$B$14-1)/2)/MAX(0.5,'Control Room'!$B$14/4))^2),1)*IF(AND($A566&gt;='Control Room'!$A$15,$A566&lt;'Control Room'!$A$15+'Control Room'!$B$15,'Process'!BS4=1),1+('Control Room'!$C$15-1)*EXP(-0.5*(($A566-'Control Room'!$A$15-('Control Room'!$B$15-1)/2)/MAX(0.5,'Control Room'!$B$15/4))^2),1)*IF(AND($A566&gt;='Control Room'!$A$16,$A566&lt;'Control Room'!$A$16+'Control Room'!$B$16,'Process'!BS5=1),1+('Control Room'!$C$16-1)*EXP(-0.5*(($A566-'Control Room'!$A$16-('Control Room'!$B$16-1)/2)/MAX(0.5,'Control Room'!$B$16/4))^2),1)</x:f>
        <x:v>1</x:v>
      </x:c>
      <x:c r="AU566" s="9" t="n">
        <x:f>MOD(AV565*16807,2147483647)</x:f>
        <x:v>506269764</x:v>
      </x:c>
      <x:c r="AV566" s="9" t="n">
        <x:f>MOD(AU566*16807,2147483647)</x:f>
        <x:v>545714134</x:v>
      </x:c>
      <x:c r="AW566" s="17" t="n">
        <x:f>IF('Control Room'!$B$5="Normal",'Control Room'!$B$7+'Control Room'!$D$7*SQRT(-2*LN(MAX(0.000000000001,AU566/2147483647)))*COS(2*PI()*AV566/2147483647),'Control Room'!$B$8+('Control Room'!$D$8-'Control Room'!$B$8)*AU566/2147483647)</x:f>
        <x:v>996.0417714382343</x:v>
      </x:c>
      <x:c r="AX566" s="17" t="n">
        <x:f>IF('Control Room'!$B$5="Normal",'Control Room'!$B$7,('Control Room'!$B$8+'Control Room'!$D$8)/2)+'Control Room'!$B$9*(AX565-IF('Control Room'!$B$5="Normal",'Control Room'!$B$7,('Control Room'!$B$8+'Control Room'!$D$8)/2))+SQRT(1-'Control Room'!$B$9^2)*(AW566-IF('Control Room'!$B$5="Normal",'Control Room'!$B$7,('Control Room'!$B$8+'Control Room'!$D$8)/2))</x:f>
        <x:v>946.5039984161151</x:v>
      </x:c>
      <x:c r="AY566" s="17" t="n">
        <x:f>IF(AND($A566&gt;='Control Room'!$A$13,$A566&lt;'Control Room'!$A$13+'Control Room'!$B$13,'Process'!BT2=1),1+('Control Room'!$C$13-1)*EXP(-0.5*(($A566-'Control Room'!$A$13-('Control Room'!$B$13-1)/2)/MAX(0.5,'Control Room'!$B$13/4))^2),1)*IF(AND($A566&gt;='Control Room'!$A$14,$A566&lt;'Control Room'!$A$14+'Control Room'!$B$14,'Process'!BT3=1),1+('Control Room'!$C$14-1)*EXP(-0.5*(($A566-'Control Room'!$A$14-('Control Room'!$B$14-1)/2)/MAX(0.5,'Control Room'!$B$14/4))^2),1)*IF(AND($A566&gt;='Control Room'!$A$15,$A566&lt;'Control Room'!$A$15+'Control Room'!$B$15,'Process'!BT4=1),1+('Control Room'!$C$15-1)*EXP(-0.5*(($A566-'Control Room'!$A$15-('Control Room'!$B$15-1)/2)/MAX(0.5,'Control Room'!$B$15/4))^2),1)*IF(AND($A566&gt;='Control Room'!$A$16,$A566&lt;'Control Room'!$A$16+'Control Room'!$B$16,'Process'!BT5=1),1+('Control Room'!$C$16-1)*EXP(-0.5*(($A566-'Control Room'!$A$16-('Control Room'!$B$16-1)/2)/MAX(0.5,'Control Room'!$B$16/4))^2),1)</x:f>
        <x:v>1</x:v>
      </x:c>
      <x:c r="AZ566" s="9" t="n">
        <x:f>MOD(BA565*16807,2147483647)</x:f>
        <x:v>1825915631</x:v>
      </x:c>
      <x:c r="BA566" s="9" t="n">
        <x:f>MOD(AZ566*16807,2147483647)</x:f>
        <x:v>622694587</x:v>
      </x:c>
      <x:c r="BB566" s="17" t="n">
        <x:f>IF('Control Room'!$B$5="Normal",'Control Room'!$B$7+'Control Room'!$D$7*SQRT(-2*LN(MAX(0.000000000001,AZ566/2147483647)))*COS(2*PI()*BA566/2147483647),'Control Room'!$B$8+('Control Room'!$D$8-'Control Room'!$B$8)*AZ566/2147483647)</x:f>
        <x:v>987.2624259815085</x:v>
      </x:c>
      <x:c r="BC566" s="17" t="n">
        <x:f>IF('Control Room'!$B$5="Normal",'Control Room'!$B$7,('Control Room'!$B$8+'Control Room'!$D$8)/2)+'Control Room'!$B$9*(BC565-IF('Control Room'!$B$5="Normal",'Control Room'!$B$7,('Control Room'!$B$8+'Control Room'!$D$8)/2))+SQRT(1-'Control Room'!$B$9^2)*(BB566-IF('Control Room'!$B$5="Normal",'Control Room'!$B$7,('Control Room'!$B$8+'Control Room'!$D$8)/2))</x:f>
        <x:v>1008.1436709007019</x:v>
      </x:c>
      <x:c r="BD566" s="17" t="n">
        <x:f>IF(AND($A566&gt;='Control Room'!$A$13,$A566&lt;'Control Room'!$A$13+'Control Room'!$B$13,'Process'!BU2=1),1+('Control Room'!$C$13-1)*EXP(-0.5*(($A566-'Control Room'!$A$13-('Control Room'!$B$13-1)/2)/MAX(0.5,'Control Room'!$B$13/4))^2),1)*IF(AND($A566&gt;='Control Room'!$A$14,$A566&lt;'Control Room'!$A$14+'Control Room'!$B$14,'Process'!BU3=1),1+('Control Room'!$C$14-1)*EXP(-0.5*(($A566-'Control Room'!$A$14-('Control Room'!$B$14-1)/2)/MAX(0.5,'Control Room'!$B$14/4))^2),1)*IF(AND($A566&gt;='Control Room'!$A$15,$A566&lt;'Control Room'!$A$15+'Control Room'!$B$15,'Process'!BU4=1),1+('Control Room'!$C$15-1)*EXP(-0.5*(($A566-'Control Room'!$A$15-('Control Room'!$B$15-1)/2)/MAX(0.5,'Control Room'!$B$15/4))^2),1)*IF(AND($A566&gt;='Control Room'!$A$16,$A566&lt;'Control Room'!$A$16+'Control Room'!$B$16,'Process'!BU5=1),1+('Control Room'!$C$16-1)*EXP(-0.5*(($A566-'Control Room'!$A$16-('Control Room'!$B$16-1)/2)/MAX(0.5,'Control Room'!$B$16/4))^2),1)</x:f>
        <x:v>1</x:v>
      </x:c>
      <x:c r="BE566" s="9" t="n">
        <x:f>MOD(BF565*16807,2147483647)</x:f>
        <x:v>998077851</x:v>
      </x:c>
      <x:c r="BF566" s="9" t="n">
        <x:f>MOD(BE566*16807,2147483647)</x:f>
        <x:v>699675040</x:v>
      </x:c>
      <x:c r="BG566" s="17" t="n">
        <x:f>IF('Control Room'!$B$5="Normal",'Control Room'!$B$7+'Control Room'!$D$7*SQRT(-2*LN(MAX(0.000000000001,BE566/2147483647)))*COS(2*PI()*BF566/2147483647),'Control Room'!$B$8+('Control Room'!$D$8-'Control Room'!$B$8)*BE566/2147483647)</x:f>
        <x:v>948.9141746982376</x:v>
      </x:c>
      <x:c r="BH566" s="17" t="n">
        <x:f>IF('Control Room'!$B$5="Normal",'Control Room'!$B$7,('Control Room'!$B$8+'Control Room'!$D$8)/2)+'Control Room'!$B$9*(BH565-IF('Control Room'!$B$5="Normal",'Control Room'!$B$7,('Control Room'!$B$8+'Control Room'!$D$8)/2))+SQRT(1-'Control Room'!$B$9^2)*(BG566-IF('Control Room'!$B$5="Normal",'Control Room'!$B$7,('Control Room'!$B$8+'Control Room'!$D$8)/2))</x:f>
        <x:v>1029.3311277866578</x:v>
      </x:c>
      <x:c r="BI566" s="17" t="n">
        <x:f>IF(AND($A566&gt;='Control Room'!$A$13,$A566&lt;'Control Room'!$A$13+'Control Room'!$B$13,'Process'!BV2=1),1+('Control Room'!$C$13-1)*EXP(-0.5*(($A566-'Control Room'!$A$13-('Control Room'!$B$13-1)/2)/MAX(0.5,'Control Room'!$B$13/4))^2),1)*IF(AND($A566&gt;='Control Room'!$A$14,$A566&lt;'Control Room'!$A$14+'Control Room'!$B$14,'Process'!BV3=1),1+('Control Room'!$C$14-1)*EXP(-0.5*(($A566-'Control Room'!$A$14-('Control Room'!$B$14-1)/2)/MAX(0.5,'Control Room'!$B$14/4))^2),1)*IF(AND($A566&gt;='Control Room'!$A$15,$A566&lt;'Control Room'!$A$15+'Control Room'!$B$15,'Process'!BV4=1),1+('Control Room'!$C$15-1)*EXP(-0.5*(($A566-'Control Room'!$A$15-('Control Room'!$B$15-1)/2)/MAX(0.5,'Control Room'!$B$15/4))^2),1)*IF(AND($A566&gt;='Control Room'!$A$16,$A566&lt;'Control Room'!$A$16+'Control Room'!$B$16,'Process'!BV5=1),1+('Control Room'!$C$16-1)*EXP(-0.5*(($A566-'Control Room'!$A$16-('Control Room'!$B$16-1)/2)/MAX(0.5,'Control Room'!$B$16/4))^2),1)</x:f>
        <x:v>1</x:v>
      </x:c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Z566" t="str">
        <x:f>IF('Data'!A566="","",TEXT('Data'!A566,"mm-dd"))</x:f>
      </x:c>
    </x:row>
    <x:row r="567" ht="21" customHeight="1">
      <x:c r="A567" s="15" t="n">
        <x:f>'Control Room'!$B$1+565</x:f>
        <x:v>73556</x:v>
      </x:c>
      <x:c r="B567" s="9" t="n">
        <x:f>MOD(C566*16807,2147483647)</x:f>
        <x:v>1424349343</x:v>
      </x:c>
      <x:c r="C567" s="9" t="n">
        <x:f>MOD(B567*16807,2147483647)</x:f>
        <x:v>1039194692</x:v>
      </x:c>
      <x:c r="D567" s="17" t="n">
        <x:f>IF('Control Room'!$B$5="Normal",'Control Room'!$B$7+'Control Room'!$D$7*SQRT(-2*LN(MAX(0.000000000001,B567/2147483647)))*COS(2*PI()*C567/2147483647),'Control Room'!$B$8+('Control Room'!$D$8-'Control Room'!$B$8)*B567/2147483647)</x:f>
        <x:v>918.8600209066807</x:v>
      </x:c>
      <x:c r="E567" s="17" t="n">
        <x:f>IF('Control Room'!$B$5="Normal",'Control Room'!$B$7,('Control Room'!$B$8+'Control Room'!$D$8)/2)+'Control Room'!$B$9*(E566-IF('Control Room'!$B$5="Normal",'Control Room'!$B$7,('Control Room'!$B$8+'Control Room'!$D$8)/2))+SQRT(1-'Control Room'!$B$9^2)*(D567-IF('Control Room'!$B$5="Normal",'Control Room'!$B$7,('Control Room'!$B$8+'Control Room'!$D$8)/2))</x:f>
        <x:v>1027.1560759087079</x:v>
      </x:c>
      <x:c r="F567" s="17" t="n">
        <x:f>IF(AND($A567&gt;='Control Room'!$A$13,$A567&lt;'Control Room'!$A$13+'Control Room'!$B$13,'Process'!BK2=1),1+('Control Room'!$C$13-1)*EXP(-0.5*(($A567-'Control Room'!$A$13-('Control Room'!$B$13-1)/2)/MAX(0.5,'Control Room'!$B$13/4))^2),1)*IF(AND($A567&gt;='Control Room'!$A$14,$A567&lt;'Control Room'!$A$14+'Control Room'!$B$14,'Process'!BK3=1),1+('Control Room'!$C$14-1)*EXP(-0.5*(($A567-'Control Room'!$A$14-('Control Room'!$B$14-1)/2)/MAX(0.5,'Control Room'!$B$14/4))^2),1)*IF(AND($A567&gt;='Control Room'!$A$15,$A567&lt;'Control Room'!$A$15+'Control Room'!$B$15,'Process'!BK4=1),1+('Control Room'!$C$15-1)*EXP(-0.5*(($A567-'Control Room'!$A$15-('Control Room'!$B$15-1)/2)/MAX(0.5,'Control Room'!$B$15/4))^2),1)*IF(AND($A567&gt;='Control Room'!$A$16,$A567&lt;'Control Room'!$A$16+'Control Room'!$B$16,'Process'!BK5=1),1+('Control Room'!$C$16-1)*EXP(-0.5*(($A567-'Control Room'!$A$16-('Control Room'!$B$16-1)/2)/MAX(0.5,'Control Room'!$B$16/4))^2),1)</x:f>
        <x:v>1</x:v>
      </x:c>
      <x:c r="G567" s="9" t="n">
        <x:f>MOD(H566*16807,2147483647)</x:f>
        <x:v>302183773</x:v>
      </x:c>
      <x:c r="H567" s="9" t="n">
        <x:f>MOD(G567*16807,2147483647)</x:f>
        <x:v>3847656</x:v>
      </x:c>
      <x:c r="I567" s="17" t="n">
        <x:f>IF('Control Room'!$B$5="Normal",'Control Room'!$B$7+'Control Room'!$D$7*SQRT(-2*LN(MAX(0.000000000001,G567/2147483647)))*COS(2*PI()*H567/2147483647),'Control Room'!$B$8+('Control Room'!$D$8-'Control Room'!$B$8)*G567/2147483647)</x:f>
        <x:v>1178.2258240446658</x:v>
      </x:c>
      <x:c r="J567" s="17" t="n">
        <x:f>IF('Control Room'!$B$5="Normal",'Control Room'!$B$7,('Control Room'!$B$8+'Control Room'!$D$8)/2)+'Control Room'!$B$9*(J566-IF('Control Room'!$B$5="Normal",'Control Room'!$B$7,('Control Room'!$B$8+'Control Room'!$D$8)/2))+SQRT(1-'Control Room'!$B$9^2)*(I567-IF('Control Room'!$B$5="Normal",'Control Room'!$B$7,('Control Room'!$B$8+'Control Room'!$D$8)/2))</x:f>
        <x:v>1115.553711601726</x:v>
      </x:c>
      <x:c r="K567" s="17" t="n">
        <x:f>IF(AND($A567&gt;='Control Room'!$A$13,$A567&lt;'Control Room'!$A$13+'Control Room'!$B$13,'Process'!BL2=1),1+('Control Room'!$C$13-1)*EXP(-0.5*(($A567-'Control Room'!$A$13-('Control Room'!$B$13-1)/2)/MAX(0.5,'Control Room'!$B$13/4))^2),1)*IF(AND($A567&gt;='Control Room'!$A$14,$A567&lt;'Control Room'!$A$14+'Control Room'!$B$14,'Process'!BL3=1),1+('Control Room'!$C$14-1)*EXP(-0.5*(($A567-'Control Room'!$A$14-('Control Room'!$B$14-1)/2)/MAX(0.5,'Control Room'!$B$14/4))^2),1)*IF(AND($A567&gt;='Control Room'!$A$15,$A567&lt;'Control Room'!$A$15+'Control Room'!$B$15,'Process'!BL4=1),1+('Control Room'!$C$15-1)*EXP(-0.5*(($A567-'Control Room'!$A$15-('Control Room'!$B$15-1)/2)/MAX(0.5,'Control Room'!$B$15/4))^2),1)*IF(AND($A567&gt;='Control Room'!$A$16,$A567&lt;'Control Room'!$A$16+'Control Room'!$B$16,'Process'!BL5=1),1+('Control Room'!$C$16-1)*EXP(-0.5*(($A567-'Control Room'!$A$16-('Control Room'!$B$16-1)/2)/MAX(0.5,'Control Room'!$B$16/4))^2),1)</x:f>
        <x:v>1</x:v>
      </x:c>
      <x:c r="L567" s="9" t="n">
        <x:f>MOD(M566*16807,2147483647)</x:f>
        <x:v>1327501850</x:v>
      </x:c>
      <x:c r="M567" s="9" t="n">
        <x:f>MOD(L567*16807,2147483647)</x:f>
        <x:v>1115984267</x:v>
      </x:c>
      <x:c r="N567" s="17" t="n">
        <x:f>IF('Control Room'!$B$5="Normal",'Control Room'!$B$7+'Control Room'!$D$7*SQRT(-2*LN(MAX(0.000000000001,L567/2147483647)))*COS(2*PI()*M567/2147483647),'Control Room'!$B$8+('Control Room'!$D$8-'Control Room'!$B$8)*L567/2147483647)</x:f>
        <x:v>912.4001098549234</x:v>
      </x:c>
      <x:c r="O567" s="17" t="n">
        <x:f>IF('Control Room'!$B$5="Normal",'Control Room'!$B$7,('Control Room'!$B$8+'Control Room'!$D$8)/2)+'Control Room'!$B$9*(O566-IF('Control Room'!$B$5="Normal",'Control Room'!$B$7,('Control Room'!$B$8+'Control Room'!$D$8)/2))+SQRT(1-'Control Room'!$B$9^2)*(N567-IF('Control Room'!$B$5="Normal",'Control Room'!$B$7,('Control Room'!$B$8+'Control Room'!$D$8)/2))</x:f>
        <x:v>928.6472211045574</x:v>
      </x:c>
      <x:c r="P567" s="17" t="n">
        <x:f>IF(AND($A567&gt;='Control Room'!$A$13,$A567&lt;'Control Room'!$A$13+'Control Room'!$B$13,'Process'!BM2=1),1+('Control Room'!$C$13-1)*EXP(-0.5*(($A567-'Control Room'!$A$13-('Control Room'!$B$13-1)/2)/MAX(0.5,'Control Room'!$B$13/4))^2),1)*IF(AND($A567&gt;='Control Room'!$A$14,$A567&lt;'Control Room'!$A$14+'Control Room'!$B$14,'Process'!BM3=1),1+('Control Room'!$C$14-1)*EXP(-0.5*(($A567-'Control Room'!$A$14-('Control Room'!$B$14-1)/2)/MAX(0.5,'Control Room'!$B$14/4))^2),1)*IF(AND($A567&gt;='Control Room'!$A$15,$A567&lt;'Control Room'!$A$15+'Control Room'!$B$15,'Process'!BM4=1),1+('Control Room'!$C$15-1)*EXP(-0.5*(($A567-'Control Room'!$A$15-('Control Room'!$B$15-1)/2)/MAX(0.5,'Control Room'!$B$15/4))^2),1)*IF(AND($A567&gt;='Control Room'!$A$16,$A567&lt;'Control Room'!$A$16+'Control Room'!$B$16,'Process'!BM5=1),1+('Control Room'!$C$16-1)*EXP(-0.5*(($A567-'Control Room'!$A$16-('Control Room'!$B$16-1)/2)/MAX(0.5,'Control Room'!$B$16/4))^2),1)</x:f>
        <x:v>1</x:v>
      </x:c>
      <x:c r="Q567" s="9" t="n">
        <x:f>MOD(R566*16807,2147483647)</x:f>
        <x:v>205336280</x:v>
      </x:c>
      <x:c r="R567" s="9" t="n">
        <x:f>MOD(Q567*16807,2147483647)</x:f>
        <x:v>80637231</x:v>
      </x:c>
      <x:c r="S567" s="17" t="n">
        <x:f>IF('Control Room'!$B$5="Normal",'Control Room'!$B$7+'Control Room'!$D$7*SQRT(-2*LN(MAX(0.000000000001,Q567/2147483647)))*COS(2*PI()*R567/2147483647),'Control Room'!$B$8+('Control Room'!$D$8-'Control Room'!$B$8)*Q567/2147483647)</x:f>
        <x:v>1189.6052296353464</x:v>
      </x:c>
      <x:c r="T567" s="17" t="n">
        <x:f>IF('Control Room'!$B$5="Normal",'Control Room'!$B$7,('Control Room'!$B$8+'Control Room'!$D$8)/2)+'Control Room'!$B$9*(T566-IF('Control Room'!$B$5="Normal",'Control Room'!$B$7,('Control Room'!$B$8+'Control Room'!$D$8)/2))+SQRT(1-'Control Room'!$B$9^2)*(S567-IF('Control Room'!$B$5="Normal",'Control Room'!$B$7,('Control Room'!$B$8+'Control Room'!$D$8)/2))</x:f>
        <x:v>1184.1966605074754</x:v>
      </x:c>
      <x:c r="U567" s="17" t="n">
        <x:f>IF(AND($A567&gt;='Control Room'!$A$13,$A567&lt;'Control Room'!$A$13+'Control Room'!$B$13,'Process'!BN2=1),1+('Control Room'!$C$13-1)*EXP(-0.5*(($A567-'Control Room'!$A$13-('Control Room'!$B$13-1)/2)/MAX(0.5,'Control Room'!$B$13/4))^2),1)*IF(AND($A567&gt;='Control Room'!$A$14,$A567&lt;'Control Room'!$A$14+'Control Room'!$B$14,'Process'!BN3=1),1+('Control Room'!$C$14-1)*EXP(-0.5*(($A567-'Control Room'!$A$14-('Control Room'!$B$14-1)/2)/MAX(0.5,'Control Room'!$B$14/4))^2),1)*IF(AND($A567&gt;='Control Room'!$A$15,$A567&lt;'Control Room'!$A$15+'Control Room'!$B$15,'Process'!BN4=1),1+('Control Room'!$C$15-1)*EXP(-0.5*(($A567-'Control Room'!$A$15-('Control Room'!$B$15-1)/2)/MAX(0.5,'Control Room'!$B$15/4))^2),1)*IF(AND($A567&gt;='Control Room'!$A$16,$A567&lt;'Control Room'!$A$16+'Control Room'!$B$16,'Process'!BN5=1),1+('Control Room'!$C$16-1)*EXP(-0.5*(($A567-'Control Room'!$A$16-('Control Room'!$B$16-1)/2)/MAX(0.5,'Control Room'!$B$16/4))^2),1)</x:f>
        <x:v>1</x:v>
      </x:c>
      <x:c r="V567" s="9" t="n">
        <x:f>MOD(W566*16807,2147483647)</x:f>
        <x:v>1230654357</x:v>
      </x:c>
      <x:c r="W567" s="9" t="n">
        <x:f>MOD(V567*16807,2147483647)</x:f>
        <x:v>1192773842</x:v>
      </x:c>
      <x:c r="X567" s="17" t="n">
        <x:f>IF('Control Room'!$B$5="Normal",'Control Room'!$B$7+'Control Room'!$D$7*SQRT(-2*LN(MAX(0.000000000001,V567/2147483647)))*COS(2*PI()*W567/2147483647),'Control Room'!$B$8+('Control Room'!$D$8-'Control Room'!$B$8)*V567/2147483647)</x:f>
        <x:v>910.7312088074007</x:v>
      </x:c>
      <x:c r="Y567" s="17" t="n">
        <x:f>IF('Control Room'!$B$5="Normal",'Control Room'!$B$7,('Control Room'!$B$8+'Control Room'!$D$8)/2)+'Control Room'!$B$9*(Y566-IF('Control Room'!$B$5="Normal",'Control Room'!$B$7,('Control Room'!$B$8+'Control Room'!$D$8)/2))+SQRT(1-'Control Room'!$B$9^2)*(X567-IF('Control Room'!$B$5="Normal",'Control Room'!$B$7,('Control Room'!$B$8+'Control Room'!$D$8)/2))</x:f>
        <x:v>1081.0769546047882</x:v>
      </x:c>
      <x:c r="Z567" s="17" t="n">
        <x:f>IF(AND($A567&gt;='Control Room'!$A$13,$A567&lt;'Control Room'!$A$13+'Control Room'!$B$13,'Process'!BO2=1),1+('Control Room'!$C$13-1)*EXP(-0.5*(($A567-'Control Room'!$A$13-('Control Room'!$B$13-1)/2)/MAX(0.5,'Control Room'!$B$13/4))^2),1)*IF(AND($A567&gt;='Control Room'!$A$14,$A567&lt;'Control Room'!$A$14+'Control Room'!$B$14,'Process'!BO3=1),1+('Control Room'!$C$14-1)*EXP(-0.5*(($A567-'Control Room'!$A$14-('Control Room'!$B$14-1)/2)/MAX(0.5,'Control Room'!$B$14/4))^2),1)*IF(AND($A567&gt;='Control Room'!$A$15,$A567&lt;'Control Room'!$A$15+'Control Room'!$B$15,'Process'!BO4=1),1+('Control Room'!$C$15-1)*EXP(-0.5*(($A567-'Control Room'!$A$15-('Control Room'!$B$15-1)/2)/MAX(0.5,'Control Room'!$B$15/4))^2),1)*IF(AND($A567&gt;='Control Room'!$A$16,$A567&lt;'Control Room'!$A$16+'Control Room'!$B$16,'Process'!BO5=1),1+('Control Room'!$C$16-1)*EXP(-0.5*(($A567-'Control Room'!$A$16-('Control Room'!$B$16-1)/2)/MAX(0.5,'Control Room'!$B$16/4))^2),1)</x:f>
        <x:v>1</x:v>
      </x:c>
      <x:c r="AA567" s="9" t="n">
        <x:f>MOD(AB566*16807,2147483647)</x:f>
        <x:v>108488787</x:v>
      </x:c>
      <x:c r="AB567" s="9" t="n">
        <x:f>MOD(AA567*16807,2147483647)</x:f>
        <x:v>157426806</x:v>
      </x:c>
      <x:c r="AC567" s="17" t="n">
        <x:f>IF('Control Room'!$B$5="Normal",'Control Room'!$B$7+'Control Room'!$D$7*SQRT(-2*LN(MAX(0.000000000001,AA567/2147483647)))*COS(2*PI()*AB567/2147483647),'Control Room'!$B$8+('Control Room'!$D$8-'Control Room'!$B$8)*AA567/2147483647)</x:f>
        <x:v>1196.99822787209</x:v>
      </x:c>
      <x:c r="AD567" s="17" t="n">
        <x:f>IF('Control Room'!$B$5="Normal",'Control Room'!$B$7,('Control Room'!$B$8+'Control Room'!$D$8)/2)+'Control Room'!$B$9*(AD566-IF('Control Room'!$B$5="Normal",'Control Room'!$B$7,('Control Room'!$B$8+'Control Room'!$D$8)/2))+SQRT(1-'Control Room'!$B$9^2)*(AC567-IF('Control Room'!$B$5="Normal",'Control Room'!$B$7,('Control Room'!$B$8+'Control Room'!$D$8)/2))</x:f>
        <x:v>1059.4160035251048</x:v>
      </x:c>
      <x:c r="AE567" s="17" t="n">
        <x:f>IF(AND($A567&gt;='Control Room'!$A$13,$A567&lt;'Control Room'!$A$13+'Control Room'!$B$13,'Process'!BP2=1),1+('Control Room'!$C$13-1)*EXP(-0.5*(($A567-'Control Room'!$A$13-('Control Room'!$B$13-1)/2)/MAX(0.5,'Control Room'!$B$13/4))^2),1)*IF(AND($A567&gt;='Control Room'!$A$14,$A567&lt;'Control Room'!$A$14+'Control Room'!$B$14,'Process'!BP3=1),1+('Control Room'!$C$14-1)*EXP(-0.5*(($A567-'Control Room'!$A$14-('Control Room'!$B$14-1)/2)/MAX(0.5,'Control Room'!$B$14/4))^2),1)*IF(AND($A567&gt;='Control Room'!$A$15,$A567&lt;'Control Room'!$A$15+'Control Room'!$B$15,'Process'!BP4=1),1+('Control Room'!$C$15-1)*EXP(-0.5*(($A567-'Control Room'!$A$15-('Control Room'!$B$15-1)/2)/MAX(0.5,'Control Room'!$B$15/4))^2),1)*IF(AND($A567&gt;='Control Room'!$A$16,$A567&lt;'Control Room'!$A$16+'Control Room'!$B$16,'Process'!BP5=1),1+('Control Room'!$C$16-1)*EXP(-0.5*(($A567-'Control Room'!$A$16-('Control Room'!$B$16-1)/2)/MAX(0.5,'Control Room'!$B$16/4))^2),1)</x:f>
        <x:v>1</x:v>
      </x:c>
      <x:c r="AF567" s="9" t="n">
        <x:f>MOD(AG566*16807,2147483647)</x:f>
        <x:v>1133806864</x:v>
      </x:c>
      <x:c r="AG567" s="9" t="n">
        <x:f>MOD(AF567*16807,2147483647)</x:f>
        <x:v>1269563417</x:v>
      </x:c>
      <x:c r="AH567" s="17" t="n">
        <x:f>IF('Control Room'!$B$5="Normal",'Control Room'!$B$7+'Control Room'!$D$7*SQRT(-2*LN(MAX(0.000000000001,AF567/2147483647)))*COS(2*PI()*AG567/2147483647),'Control Room'!$B$8+('Control Room'!$D$8-'Control Room'!$B$8)*AF567/2147483647)</x:f>
        <x:v>914.5227012472637</x:v>
      </x:c>
      <x:c r="AI567" s="17" t="n">
        <x:f>IF('Control Room'!$B$5="Normal",'Control Room'!$B$7,('Control Room'!$B$8+'Control Room'!$D$8)/2)+'Control Room'!$B$9*(AI566-IF('Control Room'!$B$5="Normal",'Control Room'!$B$7,('Control Room'!$B$8+'Control Room'!$D$8)/2))+SQRT(1-'Control Room'!$B$9^2)*(AH567-IF('Control Room'!$B$5="Normal",'Control Room'!$B$7,('Control Room'!$B$8+'Control Room'!$D$8)/2))</x:f>
        <x:v>947.557403888571</x:v>
      </x:c>
      <x:c r="AJ567" s="17" t="n">
        <x:f>IF(AND($A567&gt;='Control Room'!$A$13,$A567&lt;'Control Room'!$A$13+'Control Room'!$B$13,'Process'!BQ2=1),1+('Control Room'!$C$13-1)*EXP(-0.5*(($A567-'Control Room'!$A$13-('Control Room'!$B$13-1)/2)/MAX(0.5,'Control Room'!$B$13/4))^2),1)*IF(AND($A567&gt;='Control Room'!$A$14,$A567&lt;'Control Room'!$A$14+'Control Room'!$B$14,'Process'!BQ3=1),1+('Control Room'!$C$14-1)*EXP(-0.5*(($A567-'Control Room'!$A$14-('Control Room'!$B$14-1)/2)/MAX(0.5,'Control Room'!$B$14/4))^2),1)*IF(AND($A567&gt;='Control Room'!$A$15,$A567&lt;'Control Room'!$A$15+'Control Room'!$B$15,'Process'!BQ4=1),1+('Control Room'!$C$15-1)*EXP(-0.5*(($A567-'Control Room'!$A$15-('Control Room'!$B$15-1)/2)/MAX(0.5,'Control Room'!$B$15/4))^2),1)*IF(AND($A567&gt;='Control Room'!$A$16,$A567&lt;'Control Room'!$A$16+'Control Room'!$B$16,'Process'!BQ5=1),1+('Control Room'!$C$16-1)*EXP(-0.5*(($A567-'Control Room'!$A$16-('Control Room'!$B$16-1)/2)/MAX(0.5,'Control Room'!$B$16/4))^2),1)</x:f>
        <x:v>1</x:v>
      </x:c>
      <x:c r="AK567" s="9" t="n">
        <x:f>MOD(AL566*16807,2147483647)</x:f>
        <x:v>11641294</x:v>
      </x:c>
      <x:c r="AL567" s="9" t="n">
        <x:f>MOD(AK567*16807,2147483647)</x:f>
        <x:v>234216381</x:v>
      </x:c>
      <x:c r="AM567" s="17" t="n">
        <x:f>IF('Control Room'!$B$5="Normal",'Control Room'!$B$7+'Control Room'!$D$7*SQRT(-2*LN(MAX(0.000000000001,AK567/2147483647)))*COS(2*PI()*AL567/2147483647),'Control Room'!$B$8+('Control Room'!$D$8-'Control Room'!$B$8)*AK567/2147483647)</x:f>
        <x:v>1225.0948490676506</x:v>
      </x:c>
      <x:c r="AN567" s="17" t="n">
        <x:f>IF('Control Room'!$B$5="Normal",'Control Room'!$B$7,('Control Room'!$B$8+'Control Room'!$D$8)/2)+'Control Room'!$B$9*(AN566-IF('Control Room'!$B$5="Normal",'Control Room'!$B$7,('Control Room'!$B$8+'Control Room'!$D$8)/2))+SQRT(1-'Control Room'!$B$9^2)*(AM567-IF('Control Room'!$B$5="Normal",'Control Room'!$B$7,('Control Room'!$B$8+'Control Room'!$D$8)/2))</x:f>
        <x:v>1241.0131625212507</x:v>
      </x:c>
      <x:c r="AO567" s="17" t="n">
        <x:f>IF(AND($A567&gt;='Control Room'!$A$13,$A567&lt;'Control Room'!$A$13+'Control Room'!$B$13,'Process'!BR2=1),1+('Control Room'!$C$13-1)*EXP(-0.5*(($A567-'Control Room'!$A$13-('Control Room'!$B$13-1)/2)/MAX(0.5,'Control Room'!$B$13/4))^2),1)*IF(AND($A567&gt;='Control Room'!$A$14,$A567&lt;'Control Room'!$A$14+'Control Room'!$B$14,'Process'!BR3=1),1+('Control Room'!$C$14-1)*EXP(-0.5*(($A567-'Control Room'!$A$14-('Control Room'!$B$14-1)/2)/MAX(0.5,'Control Room'!$B$14/4))^2),1)*IF(AND($A567&gt;='Control Room'!$A$15,$A567&lt;'Control Room'!$A$15+'Control Room'!$B$15,'Process'!BR4=1),1+('Control Room'!$C$15-1)*EXP(-0.5*(($A567-'Control Room'!$A$15-('Control Room'!$B$15-1)/2)/MAX(0.5,'Control Room'!$B$15/4))^2),1)*IF(AND($A567&gt;='Control Room'!$A$16,$A567&lt;'Control Room'!$A$16+'Control Room'!$B$16,'Process'!BR5=1),1+('Control Room'!$C$16-1)*EXP(-0.5*(($A567-'Control Room'!$A$16-('Control Room'!$B$16-1)/2)/MAX(0.5,'Control Room'!$B$16/4))^2),1)</x:f>
        <x:v>1</x:v>
      </x:c>
      <x:c r="AP567" s="9" t="n">
        <x:f>MOD(AQ566*16807,2147483647)</x:f>
        <x:v>1036959371</x:v>
      </x:c>
      <x:c r="AQ567" s="9" t="n">
        <x:f>MOD(AP567*16807,2147483647)</x:f>
        <x:v>1346352992</x:v>
      </x:c>
      <x:c r="AR567" s="17" t="n">
        <x:f>IF('Control Room'!$B$5="Normal",'Control Room'!$B$7+'Control Room'!$D$7*SQRT(-2*LN(MAX(0.000000000001,AP567/2147483647)))*COS(2*PI()*AQ567/2147483647),'Control Room'!$B$8+('Control Room'!$D$8-'Control Room'!$B$8)*AP567/2147483647)</x:f>
        <x:v>924.1530600366671</x:v>
      </x:c>
      <x:c r="AS567" s="17" t="n">
        <x:f>IF('Control Room'!$B$5="Normal",'Control Room'!$B$7,('Control Room'!$B$8+'Control Room'!$D$8)/2)+'Control Room'!$B$9*(AS566-IF('Control Room'!$B$5="Normal",'Control Room'!$B$7,('Control Room'!$B$8+'Control Room'!$D$8)/2))+SQRT(1-'Control Room'!$B$9^2)*(AR567-IF('Control Room'!$B$5="Normal",'Control Room'!$B$7,('Control Room'!$B$8+'Control Room'!$D$8)/2))</x:f>
        <x:v>1010.6626246745598</x:v>
      </x:c>
      <x:c r="AT567" s="17" t="n">
        <x:f>IF(AND($A567&gt;='Control Room'!$A$13,$A567&lt;'Control Room'!$A$13+'Control Room'!$B$13,'Process'!BS2=1),1+('Control Room'!$C$13-1)*EXP(-0.5*(($A567-'Control Room'!$A$13-('Control Room'!$B$13-1)/2)/MAX(0.5,'Control Room'!$B$13/4))^2),1)*IF(AND($A567&gt;='Control Room'!$A$14,$A567&lt;'Control Room'!$A$14+'Control Room'!$B$14,'Process'!BS3=1),1+('Control Room'!$C$14-1)*EXP(-0.5*(($A567-'Control Room'!$A$14-('Control Room'!$B$14-1)/2)/MAX(0.5,'Control Room'!$B$14/4))^2),1)*IF(AND($A567&gt;='Control Room'!$A$15,$A567&lt;'Control Room'!$A$15+'Control Room'!$B$15,'Process'!BS4=1),1+('Control Room'!$C$15-1)*EXP(-0.5*(($A567-'Control Room'!$A$15-('Control Room'!$B$15-1)/2)/MAX(0.5,'Control Room'!$B$15/4))^2),1)*IF(AND($A567&gt;='Control Room'!$A$16,$A567&lt;'Control Room'!$A$16+'Control Room'!$B$16,'Process'!BS5=1),1+('Control Room'!$C$16-1)*EXP(-0.5*(($A567-'Control Room'!$A$16-('Control Room'!$B$16-1)/2)/MAX(0.5,'Control Room'!$B$16/4))^2),1)</x:f>
        <x:v>1</x:v>
      </x:c>
      <x:c r="AU567" s="9" t="n">
        <x:f>MOD(AV566*16807,2147483647)</x:f>
        <x:v>2062277448</x:v>
      </x:c>
      <x:c r="AV567" s="9" t="n">
        <x:f>MOD(AU567*16807,2147483647)</x:f>
        <x:v>311005956</x:v>
      </x:c>
      <x:c r="AW567" s="17" t="n">
        <x:f>IF('Control Room'!$B$5="Normal",'Control Room'!$B$7+'Control Room'!$D$7*SQRT(-2*LN(MAX(0.000000000001,AU567/2147483647)))*COS(2*PI()*AV567/2147483647),'Control Room'!$B$8+('Control Room'!$D$8-'Control Room'!$B$8)*AU567/2147483647)</x:f>
        <x:v>1015.7189698889825</x:v>
      </x:c>
      <x:c r="AX567" s="17" t="n">
        <x:f>IF('Control Room'!$B$5="Normal",'Control Room'!$B$7,('Control Room'!$B$8+'Control Room'!$D$8)/2)+'Control Room'!$B$9*(AX566-IF('Control Room'!$B$5="Normal",'Control Room'!$B$7,('Control Room'!$B$8+'Control Room'!$D$8)/2))+SQRT(1-'Control Room'!$B$9^2)*(AW567-IF('Control Room'!$B$5="Normal",'Control Room'!$B$7,('Control Room'!$B$8+'Control Room'!$D$8)/2))</x:f>
        <x:v>968.1097281004935</x:v>
      </x:c>
      <x:c r="AY567" s="17" t="n">
        <x:f>IF(AND($A567&gt;='Control Room'!$A$13,$A567&lt;'Control Room'!$A$13+'Control Room'!$B$13,'Process'!BT2=1),1+('Control Room'!$C$13-1)*EXP(-0.5*(($A567-'Control Room'!$A$13-('Control Room'!$B$13-1)/2)/MAX(0.5,'Control Room'!$B$13/4))^2),1)*IF(AND($A567&gt;='Control Room'!$A$14,$A567&lt;'Control Room'!$A$14+'Control Room'!$B$14,'Process'!BT3=1),1+('Control Room'!$C$14-1)*EXP(-0.5*(($A567-'Control Room'!$A$14-('Control Room'!$B$14-1)/2)/MAX(0.5,'Control Room'!$B$14/4))^2),1)*IF(AND($A567&gt;='Control Room'!$A$15,$A567&lt;'Control Room'!$A$15+'Control Room'!$B$15,'Process'!BT4=1),1+('Control Room'!$C$15-1)*EXP(-0.5*(($A567-'Control Room'!$A$15-('Control Room'!$B$15-1)/2)/MAX(0.5,'Control Room'!$B$15/4))^2),1)*IF(AND($A567&gt;='Control Room'!$A$16,$A567&lt;'Control Room'!$A$16+'Control Room'!$B$16,'Process'!BT5=1),1+('Control Room'!$C$16-1)*EXP(-0.5*(($A567-'Control Room'!$A$16-('Control Room'!$B$16-1)/2)/MAX(0.5,'Control Room'!$B$16/4))^2),1)</x:f>
        <x:v>1</x:v>
      </x:c>
      <x:c r="AZ567" s="9" t="n">
        <x:f>MOD(BA566*16807,2147483647)</x:f>
        <x:v>940111878</x:v>
      </x:c>
      <x:c r="BA567" s="9" t="n">
        <x:f>MOD(AZ567*16807,2147483647)</x:f>
        <x:v>1423142567</x:v>
      </x:c>
      <x:c r="BB567" s="17" t="n">
        <x:f>IF('Control Room'!$B$5="Normal",'Control Room'!$B$7+'Control Room'!$D$7*SQRT(-2*LN(MAX(0.000000000001,AZ567/2147483647)))*COS(2*PI()*BA567/2147483647),'Control Room'!$B$8+('Control Room'!$D$8-'Control Room'!$B$8)*AZ567/2147483647)</x:f>
        <x:v>939.6824009788853</x:v>
      </x:c>
      <x:c r="BC567" s="17" t="n">
        <x:f>IF('Control Room'!$B$5="Normal",'Control Room'!$B$7,('Control Room'!$B$8+'Control Room'!$D$8)/2)+'Control Room'!$B$9*(BC566-IF('Control Room'!$B$5="Normal",'Control Room'!$B$7,('Control Room'!$B$8+'Control Room'!$D$8)/2))+SQRT(1-'Control Room'!$B$9^2)*(BB567-IF('Control Room'!$B$5="Normal",'Control Room'!$B$7,('Control Room'!$B$8+'Control Room'!$D$8)/2))</x:f>
        <x:v>968.6065455083146</x:v>
      </x:c>
      <x:c r="BD567" s="17" t="n">
        <x:f>IF(AND($A567&gt;='Control Room'!$A$13,$A567&lt;'Control Room'!$A$13+'Control Room'!$B$13,'Process'!BU2=1),1+('Control Room'!$C$13-1)*EXP(-0.5*(($A567-'Control Room'!$A$13-('Control Room'!$B$13-1)/2)/MAX(0.5,'Control Room'!$B$13/4))^2),1)*IF(AND($A567&gt;='Control Room'!$A$14,$A567&lt;'Control Room'!$A$14+'Control Room'!$B$14,'Process'!BU3=1),1+('Control Room'!$C$14-1)*EXP(-0.5*(($A567-'Control Room'!$A$14-('Control Room'!$B$14-1)/2)/MAX(0.5,'Control Room'!$B$14/4))^2),1)*IF(AND($A567&gt;='Control Room'!$A$15,$A567&lt;'Control Room'!$A$15+'Control Room'!$B$15,'Process'!BU4=1),1+('Control Room'!$C$15-1)*EXP(-0.5*(($A567-'Control Room'!$A$15-('Control Room'!$B$15-1)/2)/MAX(0.5,'Control Room'!$B$15/4))^2),1)*IF(AND($A567&gt;='Control Room'!$A$16,$A567&lt;'Control Room'!$A$16+'Control Room'!$B$16,'Process'!BU5=1),1+('Control Room'!$C$16-1)*EXP(-0.5*(($A567-'Control Room'!$A$16-('Control Room'!$B$16-1)/2)/MAX(0.5,'Control Room'!$B$16/4))^2),1)</x:f>
        <x:v>1</x:v>
      </x:c>
      <x:c r="BE567" s="9" t="n">
        <x:f>MOD(BF566*16807,2147483647)</x:f>
        <x:v>1965429955</x:v>
      </x:c>
      <x:c r="BF567" s="9" t="n">
        <x:f>MOD(BE567*16807,2147483647)</x:f>
        <x:v>387795531</x:v>
      </x:c>
      <x:c r="BG567" s="17" t="n">
        <x:f>IF('Control Room'!$B$5="Normal",'Control Room'!$B$7+'Control Room'!$D$7*SQRT(-2*LN(MAX(0.000000000001,BE567/2147483647)))*COS(2*PI()*BF567/2147483647),'Control Room'!$B$8+('Control Room'!$D$8-'Control Room'!$B$8)*BE567/2147483647)</x:f>
        <x:v>1016.0042963217003</x:v>
      </x:c>
      <x:c r="BH567" s="17" t="n">
        <x:f>IF('Control Room'!$B$5="Normal",'Control Room'!$B$7,('Control Room'!$B$8+'Control Room'!$D$8)/2)+'Control Room'!$B$9*(BH566-IF('Control Room'!$B$5="Normal",'Control Room'!$B$7,('Control Room'!$B$8+'Control Room'!$D$8)/2))+SQRT(1-'Control Room'!$B$9^2)*(BG567-IF('Control Room'!$B$5="Normal",'Control Room'!$B$7,('Control Room'!$B$8+'Control Room'!$D$8)/2))</x:f>
        <x:v>1032.8934404458819</x:v>
      </x:c>
      <x:c r="BI567" s="17" t="n">
        <x:f>IF(AND($A567&gt;='Control Room'!$A$13,$A567&lt;'Control Room'!$A$13+'Control Room'!$B$13,'Process'!BV2=1),1+('Control Room'!$C$13-1)*EXP(-0.5*(($A567-'Control Room'!$A$13-('Control Room'!$B$13-1)/2)/MAX(0.5,'Control Room'!$B$13/4))^2),1)*IF(AND($A567&gt;='Control Room'!$A$14,$A567&lt;'Control Room'!$A$14+'Control Room'!$B$14,'Process'!BV3=1),1+('Control Room'!$C$14-1)*EXP(-0.5*(($A567-'Control Room'!$A$14-('Control Room'!$B$14-1)/2)/MAX(0.5,'Control Room'!$B$14/4))^2),1)*IF(AND($A567&gt;='Control Room'!$A$15,$A567&lt;'Control Room'!$A$15+'Control Room'!$B$15,'Process'!BV4=1),1+('Control Room'!$C$15-1)*EXP(-0.5*(($A567-'Control Room'!$A$15-('Control Room'!$B$15-1)/2)/MAX(0.5,'Control Room'!$B$15/4))^2),1)*IF(AND($A567&gt;='Control Room'!$A$16,$A567&lt;'Control Room'!$A$16+'Control Room'!$B$16,'Process'!BV5=1),1+('Control Room'!$C$16-1)*EXP(-0.5*(($A567-'Control Room'!$A$16-('Control Room'!$B$16-1)/2)/MAX(0.5,'Control Room'!$B$16/4))^2),1)</x:f>
        <x:v>1</x:v>
      </x:c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Z567" t="str">
        <x:f>IF('Data'!A567="","",TEXT('Data'!A567,"mm-dd"))</x:f>
      </x:c>
    </x:row>
    <x:row r="568" ht="21" customHeight="1">
      <x:c r="A568" s="15" t="n">
        <x:f>'Control Room'!$B$1+566</x:f>
        <x:v>73557</x:v>
      </x:c>
      <x:c r="B568" s="9" t="n">
        <x:f>MOD(C567*16807,2147483647)</x:f>
        <x:v>260687393</x:v>
      </x:c>
      <x:c r="C568" s="9" t="n">
        <x:f>MOD(B568*16807,2147483647)</x:f>
        <x:v>506374271</x:v>
      </x:c>
      <x:c r="D568" s="17" t="n">
        <x:f>IF('Control Room'!$B$5="Normal",'Control Room'!$B$7+'Control Room'!$D$7*SQRT(-2*LN(MAX(0.000000000001,B568/2147483647)))*COS(2*PI()*C568/2147483647),'Control Room'!$B$8+('Control Room'!$D$8-'Control Room'!$B$8)*B568/2147483647)</x:f>
        <x:v>1016.4699989934461</x:v>
      </x:c>
      <x:c r="E568" s="17" t="n">
        <x:f>IF('Control Room'!$B$5="Normal",'Control Room'!$B$7,('Control Room'!$B$8+'Control Room'!$D$8)/2)+'Control Room'!$B$9*(E567-IF('Control Room'!$B$5="Normal",'Control Room'!$B$7,('Control Room'!$B$8+'Control Room'!$D$8)/2))+SQRT(1-'Control Room'!$B$9^2)*(D568-IF('Control Room'!$B$5="Normal",'Control Room'!$B$7,('Control Room'!$B$8+'Control Room'!$D$8)/2))</x:f>
        <x:v>1031.4883271726217</x:v>
      </x:c>
      <x:c r="F568" s="17" t="n">
        <x:f>IF(AND($A568&gt;='Control Room'!$A$13,$A568&lt;'Control Room'!$A$13+'Control Room'!$B$13,'Process'!BK2=1),1+('Control Room'!$C$13-1)*EXP(-0.5*(($A568-'Control Room'!$A$13-('Control Room'!$B$13-1)/2)/MAX(0.5,'Control Room'!$B$13/4))^2),1)*IF(AND($A568&gt;='Control Room'!$A$14,$A568&lt;'Control Room'!$A$14+'Control Room'!$B$14,'Process'!BK3=1),1+('Control Room'!$C$14-1)*EXP(-0.5*(($A568-'Control Room'!$A$14-('Control Room'!$B$14-1)/2)/MAX(0.5,'Control Room'!$B$14/4))^2),1)*IF(AND($A568&gt;='Control Room'!$A$15,$A568&lt;'Control Room'!$A$15+'Control Room'!$B$15,'Process'!BK4=1),1+('Control Room'!$C$15-1)*EXP(-0.5*(($A568-'Control Room'!$A$15-('Control Room'!$B$15-1)/2)/MAX(0.5,'Control Room'!$B$15/4))^2),1)*IF(AND($A568&gt;='Control Room'!$A$16,$A568&lt;'Control Room'!$A$16+'Control Room'!$B$16,'Process'!BK5=1),1+('Control Room'!$C$16-1)*EXP(-0.5*(($A568-'Control Room'!$A$16-('Control Room'!$B$16-1)/2)/MAX(0.5,'Control Room'!$B$16/4))^2),1)</x:f>
        <x:v>1</x:v>
      </x:c>
      <x:c r="G568" s="9" t="n">
        <x:f>MOD(H567*16807,2147483647)</x:f>
        <x:v>243044982</x:v>
      </x:c>
      <x:c r="H568" s="9" t="n">
        <x:f>MOD(G568*16807,2147483647)</x:f>
        <x:v>343115880</x:v>
      </x:c>
      <x:c r="I568" s="17" t="n">
        <x:f>IF('Control Room'!$B$5="Normal",'Control Room'!$B$7+'Control Room'!$D$7*SQRT(-2*LN(MAX(0.000000000001,G568/2147483647)))*COS(2*PI()*H568/2147483647),'Control Room'!$B$8+('Control Room'!$D$8-'Control Room'!$B$8)*G568/2147483647)</x:f>
        <x:v>1100.8913106828115</x:v>
      </x:c>
      <x:c r="J568" s="17" t="n">
        <x:f>IF('Control Room'!$B$5="Normal",'Control Room'!$B$7,('Control Room'!$B$8+'Control Room'!$D$8)/2)+'Control Room'!$B$9*(J567-IF('Control Room'!$B$5="Normal",'Control Room'!$B$7,('Control Room'!$B$8+'Control Room'!$D$8)/2))+SQRT(1-'Control Room'!$B$9^2)*(I568-IF('Control Room'!$B$5="Normal",'Control Room'!$B$7,('Control Room'!$B$8+'Control Room'!$D$8)/2))</x:f>
        <x:v>1153.267610403806</x:v>
      </x:c>
      <x:c r="K568" s="17" t="n">
        <x:f>IF(AND($A568&gt;='Control Room'!$A$13,$A568&lt;'Control Room'!$A$13+'Control Room'!$B$13,'Process'!BL2=1),1+('Control Room'!$C$13-1)*EXP(-0.5*(($A568-'Control Room'!$A$13-('Control Room'!$B$13-1)/2)/MAX(0.5,'Control Room'!$B$13/4))^2),1)*IF(AND($A568&gt;='Control Room'!$A$14,$A568&lt;'Control Room'!$A$14+'Control Room'!$B$14,'Process'!BL3=1),1+('Control Room'!$C$14-1)*EXP(-0.5*(($A568-'Control Room'!$A$14-('Control Room'!$B$14-1)/2)/MAX(0.5,'Control Room'!$B$14/4))^2),1)*IF(AND($A568&gt;='Control Room'!$A$15,$A568&lt;'Control Room'!$A$15+'Control Room'!$B$15,'Process'!BL4=1),1+('Control Room'!$C$15-1)*EXP(-0.5*(($A568-'Control Room'!$A$15-('Control Room'!$B$15-1)/2)/MAX(0.5,'Control Room'!$B$15/4))^2),1)*IF(AND($A568&gt;='Control Room'!$A$16,$A568&lt;'Control Room'!$A$16+'Control Room'!$B$16,'Process'!BL5=1),1+('Control Room'!$C$16-1)*EXP(-0.5*(($A568-'Control Room'!$A$16-('Control Room'!$B$16-1)/2)/MAX(0.5,'Control Room'!$B$16/4))^2),1)</x:f>
        <x:v>1</x:v>
      </x:c>
      <x:c r="L568" s="9" t="n">
        <x:f>MOD(M567*16807,2147483647)</x:f>
        <x:v>225402571</x:v>
      </x:c>
      <x:c r="M568" s="9" t="n">
        <x:f>MOD(L568*16807,2147483647)</x:f>
        <x:v>179857489</x:v>
      </x:c>
      <x:c r="N568" s="17" t="n">
        <x:f>IF('Control Room'!$B$5="Normal",'Control Room'!$B$7+'Control Room'!$D$7*SQRT(-2*LN(MAX(0.000000000001,L568/2147483647)))*COS(2*PI()*M568/2147483647),'Control Room'!$B$8+('Control Room'!$D$8-'Control Room'!$B$8)*L568/2147483647)</x:f>
        <x:v>1165.2411628780696</x:v>
      </x:c>
      <x:c r="O568" s="17" t="n">
        <x:f>IF('Control Room'!$B$5="Normal",'Control Room'!$B$7,('Control Room'!$B$8+'Control Room'!$D$8)/2)+'Control Room'!$B$9*(O567-IF('Control Room'!$B$5="Normal",'Control Room'!$B$7,('Control Room'!$B$8+'Control Room'!$D$8)/2))+SQRT(1-'Control Room'!$B$9^2)*(N568-IF('Control Room'!$B$5="Normal",'Control Room'!$B$7,('Control Room'!$B$8+'Control Room'!$D$8)/2))</x:f>
        <x:v>1047.7493670414299</x:v>
      </x:c>
      <x:c r="P568" s="17" t="n">
        <x:f>IF(AND($A568&gt;='Control Room'!$A$13,$A568&lt;'Control Room'!$A$13+'Control Room'!$B$13,'Process'!BM2=1),1+('Control Room'!$C$13-1)*EXP(-0.5*(($A568-'Control Room'!$A$13-('Control Room'!$B$13-1)/2)/MAX(0.5,'Control Room'!$B$13/4))^2),1)*IF(AND($A568&gt;='Control Room'!$A$14,$A568&lt;'Control Room'!$A$14+'Control Room'!$B$14,'Process'!BM3=1),1+('Control Room'!$C$14-1)*EXP(-0.5*(($A568-'Control Room'!$A$14-('Control Room'!$B$14-1)/2)/MAX(0.5,'Control Room'!$B$14/4))^2),1)*IF(AND($A568&gt;='Control Room'!$A$15,$A568&lt;'Control Room'!$A$15+'Control Room'!$B$15,'Process'!BM4=1),1+('Control Room'!$C$15-1)*EXP(-0.5*(($A568-'Control Room'!$A$15-('Control Room'!$B$15-1)/2)/MAX(0.5,'Control Room'!$B$15/4))^2),1)*IF(AND($A568&gt;='Control Room'!$A$16,$A568&lt;'Control Room'!$A$16+'Control Room'!$B$16,'Process'!BM5=1),1+('Control Room'!$C$16-1)*EXP(-0.5*(($A568-'Control Room'!$A$16-('Control Room'!$B$16-1)/2)/MAX(0.5,'Control Room'!$B$16/4))^2),1)</x:f>
        <x:v>1</x:v>
      </x:c>
      <x:c r="Q568" s="9" t="n">
        <x:f>MOD(R567*16807,2147483647)</x:f>
        <x:v>207760160</x:v>
      </x:c>
      <x:c r="R568" s="9" t="n">
        <x:f>MOD(Q568*16807,2147483647)</x:f>
        <x:v>16599098</x:v>
      </x:c>
      <x:c r="S568" s="17" t="n">
        <x:f>IF('Control Room'!$B$5="Normal",'Control Room'!$B$7+'Control Room'!$D$7*SQRT(-2*LN(MAX(0.000000000001,Q568/2147483647)))*COS(2*PI()*R568/2147483647),'Control Room'!$B$8+('Control Room'!$D$8-'Control Room'!$B$8)*Q568/2147483647)</x:f>
        <x:v>1194.290091401494</x:v>
      </x:c>
      <x:c r="T568" s="17" t="n">
        <x:f>IF('Control Room'!$B$5="Normal",'Control Room'!$B$7,('Control Room'!$B$8+'Control Room'!$D$8)/2)+'Control Room'!$B$9*(T567-IF('Control Room'!$B$5="Normal",'Control Room'!$B$7,('Control Room'!$B$8+'Control Room'!$D$8)/2))+SQRT(1-'Control Room'!$B$9^2)*(S568-IF('Control Room'!$B$5="Normal",'Control Room'!$B$7,('Control Room'!$B$8+'Control Room'!$D$8)/2))</x:f>
        <x:v>1265.2561541460177</x:v>
      </x:c>
      <x:c r="U568" s="17" t="n">
        <x:f>IF(AND($A568&gt;='Control Room'!$A$13,$A568&lt;'Control Room'!$A$13+'Control Room'!$B$13,'Process'!BN2=1),1+('Control Room'!$C$13-1)*EXP(-0.5*(($A568-'Control Room'!$A$13-('Control Room'!$B$13-1)/2)/MAX(0.5,'Control Room'!$B$13/4))^2),1)*IF(AND($A568&gt;='Control Room'!$A$14,$A568&lt;'Control Room'!$A$14+'Control Room'!$B$14,'Process'!BN3=1),1+('Control Room'!$C$14-1)*EXP(-0.5*(($A568-'Control Room'!$A$14-('Control Room'!$B$14-1)/2)/MAX(0.5,'Control Room'!$B$14/4))^2),1)*IF(AND($A568&gt;='Control Room'!$A$15,$A568&lt;'Control Room'!$A$15+'Control Room'!$B$15,'Process'!BN4=1),1+('Control Room'!$C$15-1)*EXP(-0.5*(($A568-'Control Room'!$A$15-('Control Room'!$B$15-1)/2)/MAX(0.5,'Control Room'!$B$15/4))^2),1)*IF(AND($A568&gt;='Control Room'!$A$16,$A568&lt;'Control Room'!$A$16+'Control Room'!$B$16,'Process'!BN5=1),1+('Control Room'!$C$16-1)*EXP(-0.5*(($A568-'Control Room'!$A$16-('Control Room'!$B$16-1)/2)/MAX(0.5,'Control Room'!$B$16/4))^2),1)</x:f>
        <x:v>1</x:v>
      </x:c>
      <x:c r="V568" s="9" t="n">
        <x:f>MOD(W567*16807,2147483647)</x:f>
        <x:v>190117749</x:v>
      </x:c>
      <x:c r="W568" s="9" t="n">
        <x:f>MOD(V568*16807,2147483647)</x:f>
        <x:v>2000824354</x:v>
      </x:c>
      <x:c r="X568" s="17" t="n">
        <x:f>IF('Control Room'!$B$5="Normal",'Control Room'!$B$7+'Control Room'!$D$7*SQRT(-2*LN(MAX(0.000000000001,V568/2147483647)))*COS(2*PI()*W568/2147483647),'Control Room'!$B$8+('Control Room'!$D$8-'Control Room'!$B$8)*V568/2147483647)</x:f>
        <x:v>1180.2132644699411</x:v>
      </x:c>
      <x:c r="Y568" s="17" t="n">
        <x:f>IF('Control Room'!$B$5="Normal",'Control Room'!$B$7,('Control Room'!$B$8+'Control Room'!$D$8)/2)+'Control Room'!$B$9*(Y567-IF('Control Room'!$B$5="Normal",'Control Room'!$B$7,('Control Room'!$B$8+'Control Room'!$D$8)/2))+SQRT(1-'Control Room'!$B$9^2)*(X568-IF('Control Room'!$B$5="Normal",'Control Room'!$B$7,('Control Room'!$B$8+'Control Room'!$D$8)/2))</x:f>
        <x:v>1176.0137936276303</x:v>
      </x:c>
      <x:c r="Z568" s="17" t="n">
        <x:f>IF(AND($A568&gt;='Control Room'!$A$13,$A568&lt;'Control Room'!$A$13+'Control Room'!$B$13,'Process'!BO2=1),1+('Control Room'!$C$13-1)*EXP(-0.5*(($A568-'Control Room'!$A$13-('Control Room'!$B$13-1)/2)/MAX(0.5,'Control Room'!$B$13/4))^2),1)*IF(AND($A568&gt;='Control Room'!$A$14,$A568&lt;'Control Room'!$A$14+'Control Room'!$B$14,'Process'!BO3=1),1+('Control Room'!$C$14-1)*EXP(-0.5*(($A568-'Control Room'!$A$14-('Control Room'!$B$14-1)/2)/MAX(0.5,'Control Room'!$B$14/4))^2),1)*IF(AND($A568&gt;='Control Room'!$A$15,$A568&lt;'Control Room'!$A$15+'Control Room'!$B$15,'Process'!BO4=1),1+('Control Room'!$C$15-1)*EXP(-0.5*(($A568-'Control Room'!$A$15-('Control Room'!$B$15-1)/2)/MAX(0.5,'Control Room'!$B$15/4))^2),1)*IF(AND($A568&gt;='Control Room'!$A$16,$A568&lt;'Control Room'!$A$16+'Control Room'!$B$16,'Process'!BO5=1),1+('Control Room'!$C$16-1)*EXP(-0.5*(($A568-'Control Room'!$A$16-('Control Room'!$B$16-1)/2)/MAX(0.5,'Control Room'!$B$16/4))^2),1)</x:f>
        <x:v>1</x:v>
      </x:c>
      <x:c r="AA568" s="9" t="n">
        <x:f>MOD(AB567*16807,2147483647)</x:f>
        <x:v>172475338</x:v>
      </x:c>
      <x:c r="AB568" s="9" t="n">
        <x:f>MOD(AA568*16807,2147483647)</x:f>
        <x:v>1837565963</x:v>
      </x:c>
      <x:c r="AC568" s="17" t="n">
        <x:f>IF('Control Room'!$B$5="Normal",'Control Room'!$B$7+'Control Room'!$D$7*SQRT(-2*LN(MAX(0.000000000001,AA568/2147483647)))*COS(2*PI()*AB568/2147483647),'Control Room'!$B$8+('Control Room'!$D$8-'Control Room'!$B$8)*AA568/2147483647)</x:f>
        <x:v>1124.5662884719711</x:v>
      </x:c>
      <x:c r="AD568" s="17" t="n">
        <x:f>IF('Control Room'!$B$5="Normal",'Control Room'!$B$7,('Control Room'!$B$8+'Control Room'!$D$8)/2)+'Control Room'!$B$9*(AD567-IF('Control Room'!$B$5="Normal",'Control Room'!$B$7,('Control Room'!$B$8+'Control Room'!$D$8)/2))+SQRT(1-'Control Room'!$B$9^2)*(AC568-IF('Control Room'!$B$5="Normal",'Control Room'!$B$7,('Control Room'!$B$8+'Control Room'!$D$8)/2))</x:f>
        <x:v>1124.2955141962148</x:v>
      </x:c>
      <x:c r="AE568" s="17" t="n">
        <x:f>IF(AND($A568&gt;='Control Room'!$A$13,$A568&lt;'Control Room'!$A$13+'Control Room'!$B$13,'Process'!BP2=1),1+('Control Room'!$C$13-1)*EXP(-0.5*(($A568-'Control Room'!$A$13-('Control Room'!$B$13-1)/2)/MAX(0.5,'Control Room'!$B$13/4))^2),1)*IF(AND($A568&gt;='Control Room'!$A$14,$A568&lt;'Control Room'!$A$14+'Control Room'!$B$14,'Process'!BP3=1),1+('Control Room'!$C$14-1)*EXP(-0.5*(($A568-'Control Room'!$A$14-('Control Room'!$B$14-1)/2)/MAX(0.5,'Control Room'!$B$14/4))^2),1)*IF(AND($A568&gt;='Control Room'!$A$15,$A568&lt;'Control Room'!$A$15+'Control Room'!$B$15,'Process'!BP4=1),1+('Control Room'!$C$15-1)*EXP(-0.5*(($A568-'Control Room'!$A$15-('Control Room'!$B$15-1)/2)/MAX(0.5,'Control Room'!$B$15/4))^2),1)*IF(AND($A568&gt;='Control Room'!$A$16,$A568&lt;'Control Room'!$A$16+'Control Room'!$B$16,'Process'!BP5=1),1+('Control Room'!$C$16-1)*EXP(-0.5*(($A568-'Control Room'!$A$16-('Control Room'!$B$16-1)/2)/MAX(0.5,'Control Room'!$B$16/4))^2),1)</x:f>
        <x:v>1</x:v>
      </x:c>
      <x:c r="AF568" s="9" t="n">
        <x:f>MOD(AG567*16807,2147483647)</x:f>
        <x:v>154832927</x:v>
      </x:c>
      <x:c r="AG568" s="9" t="n">
        <x:f>MOD(AF568*16807,2147483647)</x:f>
        <x:v>1674307572</x:v>
      </x:c>
      <x:c r="AH568" s="17" t="n">
        <x:f>IF('Control Room'!$B$5="Normal",'Control Room'!$B$7+'Control Room'!$D$7*SQRT(-2*LN(MAX(0.000000000001,AF568/2147483647)))*COS(2*PI()*AG568/2147483647),'Control Room'!$B$8+('Control Room'!$D$8-'Control Room'!$B$8)*AF568/2147483647)</x:f>
        <x:v>1038.2426966401586</x:v>
      </x:c>
      <x:c r="AI568" s="17" t="n">
        <x:f>IF('Control Room'!$B$5="Normal",'Control Room'!$B$7,('Control Room'!$B$8+'Control Room'!$D$8)/2)+'Control Room'!$B$9*(AI567-IF('Control Room'!$B$5="Normal",'Control Room'!$B$7,('Control Room'!$B$8+'Control Room'!$D$8)/2))+SQRT(1-'Control Room'!$B$9^2)*(AH568-IF('Control Room'!$B$5="Normal",'Control Room'!$B$7,('Control Room'!$B$8+'Control Room'!$D$8)/2))</x:f>
        <x:v>983.0262711462719</x:v>
      </x:c>
      <x:c r="AJ568" s="17" t="n">
        <x:f>IF(AND($A568&gt;='Control Room'!$A$13,$A568&lt;'Control Room'!$A$13+'Control Room'!$B$13,'Process'!BQ2=1),1+('Control Room'!$C$13-1)*EXP(-0.5*(($A568-'Control Room'!$A$13-('Control Room'!$B$13-1)/2)/MAX(0.5,'Control Room'!$B$13/4))^2),1)*IF(AND($A568&gt;='Control Room'!$A$14,$A568&lt;'Control Room'!$A$14+'Control Room'!$B$14,'Process'!BQ3=1),1+('Control Room'!$C$14-1)*EXP(-0.5*(($A568-'Control Room'!$A$14-('Control Room'!$B$14-1)/2)/MAX(0.5,'Control Room'!$B$14/4))^2),1)*IF(AND($A568&gt;='Control Room'!$A$15,$A568&lt;'Control Room'!$A$15+'Control Room'!$B$15,'Process'!BQ4=1),1+('Control Room'!$C$15-1)*EXP(-0.5*(($A568-'Control Room'!$A$15-('Control Room'!$B$15-1)/2)/MAX(0.5,'Control Room'!$B$15/4))^2),1)*IF(AND($A568&gt;='Control Room'!$A$16,$A568&lt;'Control Room'!$A$16+'Control Room'!$B$16,'Process'!BQ5=1),1+('Control Room'!$C$16-1)*EXP(-0.5*(($A568-'Control Room'!$A$16-('Control Room'!$B$16-1)/2)/MAX(0.5,'Control Room'!$B$16/4))^2),1)</x:f>
        <x:v>1</x:v>
      </x:c>
      <x:c r="AK568" s="9" t="n">
        <x:f>MOD(AL567*16807,2147483647)</x:f>
        <x:v>137190516</x:v>
      </x:c>
      <x:c r="AL568" s="9" t="n">
        <x:f>MOD(AK568*16807,2147483647)</x:f>
        <x:v>1511049181</x:v>
      </x:c>
      <x:c r="AM568" s="17" t="n">
        <x:f>IF('Control Room'!$B$5="Normal",'Control Room'!$B$7+'Control Room'!$D$7*SQRT(-2*LN(MAX(0.000000000001,AK568/2147483647)))*COS(2*PI()*AL568/2147483647),'Control Room'!$B$8+('Control Room'!$D$8-'Control Room'!$B$8)*AK568/2147483647)</x:f>
        <x:v>939.3726978875261</x:v>
      </x:c>
      <x:c r="AN568" s="17" t="n">
        <x:f>IF('Control Room'!$B$5="Normal",'Control Room'!$B$7,('Control Room'!$B$8+'Control Room'!$D$8)/2)+'Control Room'!$B$9*(AN567-IF('Control Room'!$B$5="Normal",'Control Room'!$B$7,('Control Room'!$B$8+'Control Room'!$D$8)/2))+SQRT(1-'Control Room'!$B$9^2)*(AM568-IF('Control Room'!$B$5="Normal",'Control Room'!$B$7,('Control Room'!$B$8+'Control Room'!$D$8)/2))</x:f>
        <x:v>1150.050943122383</x:v>
      </x:c>
      <x:c r="AO568" s="17" t="n">
        <x:f>IF(AND($A568&gt;='Control Room'!$A$13,$A568&lt;'Control Room'!$A$13+'Control Room'!$B$13,'Process'!BR2=1),1+('Control Room'!$C$13-1)*EXP(-0.5*(($A568-'Control Room'!$A$13-('Control Room'!$B$13-1)/2)/MAX(0.5,'Control Room'!$B$13/4))^2),1)*IF(AND($A568&gt;='Control Room'!$A$14,$A568&lt;'Control Room'!$A$14+'Control Room'!$B$14,'Process'!BR3=1),1+('Control Room'!$C$14-1)*EXP(-0.5*(($A568-'Control Room'!$A$14-('Control Room'!$B$14-1)/2)/MAX(0.5,'Control Room'!$B$14/4))^2),1)*IF(AND($A568&gt;='Control Room'!$A$15,$A568&lt;'Control Room'!$A$15+'Control Room'!$B$15,'Process'!BR4=1),1+('Control Room'!$C$15-1)*EXP(-0.5*(($A568-'Control Room'!$A$15-('Control Room'!$B$15-1)/2)/MAX(0.5,'Control Room'!$B$15/4))^2),1)*IF(AND($A568&gt;='Control Room'!$A$16,$A568&lt;'Control Room'!$A$16+'Control Room'!$B$16,'Process'!BR5=1),1+('Control Room'!$C$16-1)*EXP(-0.5*(($A568-'Control Room'!$A$16-('Control Room'!$B$16-1)/2)/MAX(0.5,'Control Room'!$B$16/4))^2),1)</x:f>
        <x:v>1</x:v>
      </x:c>
      <x:c r="AP568" s="9" t="n">
        <x:f>MOD(AQ567*16807,2147483647)</x:f>
        <x:v>119548105</x:v>
      </x:c>
      <x:c r="AQ568" s="9" t="n">
        <x:f>MOD(AP568*16807,2147483647)</x:f>
        <x:v>1347790790</x:v>
      </x:c>
      <x:c r="AR568" s="17" t="n">
        <x:f>IF('Control Room'!$B$5="Normal",'Control Room'!$B$7+'Control Room'!$D$7*SQRT(-2*LN(MAX(0.000000000001,AP568/2147483647)))*COS(2*PI()*AQ568/2147483647),'Control Room'!$B$8+('Control Room'!$D$8-'Control Room'!$B$8)*AP568/2147483647)</x:f>
        <x:v>849.5768242491373</x:v>
      </x:c>
      <x:c r="AS568" s="17" t="n">
        <x:f>IF('Control Room'!$B$5="Normal",'Control Room'!$B$7,('Control Room'!$B$8+'Control Room'!$D$8)/2)+'Control Room'!$B$9*(AS567-IF('Control Room'!$B$5="Normal",'Control Room'!$B$7,('Control Room'!$B$8+'Control Room'!$D$8)/2))+SQRT(1-'Control Room'!$B$9^2)*(AR568-IF('Control Room'!$B$5="Normal",'Control Room'!$B$7,('Control Room'!$B$8+'Control Room'!$D$8)/2))</x:f>
        <x:v>914.1851054475211</x:v>
      </x:c>
      <x:c r="AT568" s="17" t="n">
        <x:f>IF(AND($A568&gt;='Control Room'!$A$13,$A568&lt;'Control Room'!$A$13+'Control Room'!$B$13,'Process'!BS2=1),1+('Control Room'!$C$13-1)*EXP(-0.5*(($A568-'Control Room'!$A$13-('Control Room'!$B$13-1)/2)/MAX(0.5,'Control Room'!$B$13/4))^2),1)*IF(AND($A568&gt;='Control Room'!$A$14,$A568&lt;'Control Room'!$A$14+'Control Room'!$B$14,'Process'!BS3=1),1+('Control Room'!$C$14-1)*EXP(-0.5*(($A568-'Control Room'!$A$14-('Control Room'!$B$14-1)/2)/MAX(0.5,'Control Room'!$B$14/4))^2),1)*IF(AND($A568&gt;='Control Room'!$A$15,$A568&lt;'Control Room'!$A$15+'Control Room'!$B$15,'Process'!BS4=1),1+('Control Room'!$C$15-1)*EXP(-0.5*(($A568-'Control Room'!$A$15-('Control Room'!$B$15-1)/2)/MAX(0.5,'Control Room'!$B$15/4))^2),1)*IF(AND($A568&gt;='Control Room'!$A$16,$A568&lt;'Control Room'!$A$16+'Control Room'!$B$16,'Process'!BS5=1),1+('Control Room'!$C$16-1)*EXP(-0.5*(($A568-'Control Room'!$A$16-('Control Room'!$B$16-1)/2)/MAX(0.5,'Control Room'!$B$16/4))^2),1)</x:f>
        <x:v>1</x:v>
      </x:c>
      <x:c r="AU568" s="9" t="n">
        <x:f>MOD(AV567*16807,2147483647)</x:f>
        <x:v>101905694</x:v>
      </x:c>
      <x:c r="AV568" s="9" t="n">
        <x:f>MOD(AU568*16807,2147483647)</x:f>
        <x:v>1184532399</x:v>
      </x:c>
      <x:c r="AW568" s="17" t="n">
        <x:f>IF('Control Room'!$B$5="Normal",'Control Room'!$B$7+'Control Room'!$D$7*SQRT(-2*LN(MAX(0.000000000001,AU568/2147483647)))*COS(2*PI()*AV568/2147483647),'Control Room'!$B$8+('Control Room'!$D$8-'Control Room'!$B$8)*AU568/2147483647)</x:f>
        <x:v>789.3618368898618</x:v>
      </x:c>
      <x:c r="AX568" s="17" t="n">
        <x:f>IF('Control Room'!$B$5="Normal",'Control Room'!$B$7,('Control Room'!$B$8+'Control Room'!$D$8)/2)+'Control Room'!$B$9*(AX567-IF('Control Room'!$B$5="Normal",'Control Room'!$B$7,('Control Room'!$B$8+'Control Room'!$D$8)/2))+SQRT(1-'Control Room'!$B$9^2)*(AW568-IF('Control Room'!$B$5="Normal",'Control Room'!$B$7,('Control Room'!$B$8+'Control Room'!$D$8)/2))</x:f>
        <x:v>843.3125406013814</x:v>
      </x:c>
      <x:c r="AY568" s="17" t="n">
        <x:f>IF(AND($A568&gt;='Control Room'!$A$13,$A568&lt;'Control Room'!$A$13+'Control Room'!$B$13,'Process'!BT2=1),1+('Control Room'!$C$13-1)*EXP(-0.5*(($A568-'Control Room'!$A$13-('Control Room'!$B$13-1)/2)/MAX(0.5,'Control Room'!$B$13/4))^2),1)*IF(AND($A568&gt;='Control Room'!$A$14,$A568&lt;'Control Room'!$A$14+'Control Room'!$B$14,'Process'!BT3=1),1+('Control Room'!$C$14-1)*EXP(-0.5*(($A568-'Control Room'!$A$14-('Control Room'!$B$14-1)/2)/MAX(0.5,'Control Room'!$B$14/4))^2),1)*IF(AND($A568&gt;='Control Room'!$A$15,$A568&lt;'Control Room'!$A$15+'Control Room'!$B$15,'Process'!BT4=1),1+('Control Room'!$C$15-1)*EXP(-0.5*(($A568-'Control Room'!$A$15-('Control Room'!$B$15-1)/2)/MAX(0.5,'Control Room'!$B$15/4))^2),1)*IF(AND($A568&gt;='Control Room'!$A$16,$A568&lt;'Control Room'!$A$16+'Control Room'!$B$16,'Process'!BT5=1),1+('Control Room'!$C$16-1)*EXP(-0.5*(($A568-'Control Room'!$A$16-('Control Room'!$B$16-1)/2)/MAX(0.5,'Control Room'!$B$16/4))^2),1)</x:f>
        <x:v>1</x:v>
      </x:c>
      <x:c r="AZ568" s="9" t="n">
        <x:f>MOD(BA567*16807,2147483647)</x:f>
        <x:v>84263283</x:v>
      </x:c>
      <x:c r="BA568" s="9" t="n">
        <x:f>MOD(AZ568*16807,2147483647)</x:f>
        <x:v>1021274008</x:v>
      </x:c>
      <x:c r="BB568" s="17" t="n">
        <x:f>IF('Control Room'!$B$5="Normal",'Control Room'!$B$7+'Control Room'!$D$7*SQRT(-2*LN(MAX(0.000000000001,AZ568/2147483647)))*COS(2*PI()*BA568/2147483647),'Control Room'!$B$8+('Control Room'!$D$8-'Control Room'!$B$8)*AZ568/2147483647)</x:f>
        <x:v>773.6578136533446</x:v>
      </x:c>
      <x:c r="BC568" s="17" t="n">
        <x:f>IF('Control Room'!$B$5="Normal",'Control Room'!$B$7,('Control Room'!$B$8+'Control Room'!$D$8)/2)+'Control Room'!$B$9*(BC567-IF('Control Room'!$B$5="Normal",'Control Room'!$B$7,('Control Room'!$B$8+'Control Room'!$D$8)/2))+SQRT(1-'Control Room'!$B$9^2)*(BB568-IF('Control Room'!$B$5="Normal",'Control Room'!$B$7,('Control Room'!$B$8+'Control Room'!$D$8)/2))</x:f>
        <x:v>833.8728021524722</x:v>
      </x:c>
      <x:c r="BD568" s="17" t="n">
        <x:f>IF(AND($A568&gt;='Control Room'!$A$13,$A568&lt;'Control Room'!$A$13+'Control Room'!$B$13,'Process'!BU2=1),1+('Control Room'!$C$13-1)*EXP(-0.5*(($A568-'Control Room'!$A$13-('Control Room'!$B$13-1)/2)/MAX(0.5,'Control Room'!$B$13/4))^2),1)*IF(AND($A568&gt;='Control Room'!$A$14,$A568&lt;'Control Room'!$A$14+'Control Room'!$B$14,'Process'!BU3=1),1+('Control Room'!$C$14-1)*EXP(-0.5*(($A568-'Control Room'!$A$14-('Control Room'!$B$14-1)/2)/MAX(0.5,'Control Room'!$B$14/4))^2),1)*IF(AND($A568&gt;='Control Room'!$A$15,$A568&lt;'Control Room'!$A$15+'Control Room'!$B$15,'Process'!BU4=1),1+('Control Room'!$C$15-1)*EXP(-0.5*(($A568-'Control Room'!$A$15-('Control Room'!$B$15-1)/2)/MAX(0.5,'Control Room'!$B$15/4))^2),1)*IF(AND($A568&gt;='Control Room'!$A$16,$A568&lt;'Control Room'!$A$16+'Control Room'!$B$16,'Process'!BU5=1),1+('Control Room'!$C$16-1)*EXP(-0.5*(($A568-'Control Room'!$A$16-('Control Room'!$B$16-1)/2)/MAX(0.5,'Control Room'!$B$16/4))^2),1)</x:f>
        <x:v>1</x:v>
      </x:c>
      <x:c r="BE568" s="9" t="n">
        <x:f>MOD(BF567*16807,2147483647)</x:f>
        <x:v>66620872</x:v>
      </x:c>
      <x:c r="BF568" s="9" t="n">
        <x:f>MOD(BE568*16807,2147483647)</x:f>
        <x:v>858015617</x:v>
      </x:c>
      <x:c r="BG568" s="17" t="n">
        <x:f>IF('Control Room'!$B$5="Normal",'Control Room'!$B$7+'Control Room'!$D$7*SQRT(-2*LN(MAX(0.000000000001,BE568/2147483647)))*COS(2*PI()*BF568/2147483647),'Control Room'!$B$8+('Control Room'!$D$8-'Control Room'!$B$8)*BE568/2147483647)</x:f>
        <x:v>808.5020123407364</x:v>
      </x:c>
      <x:c r="BH568" s="17" t="n">
        <x:f>IF('Control Room'!$B$5="Normal",'Control Room'!$B$7,('Control Room'!$B$8+'Control Room'!$D$8)/2)+'Control Room'!$B$9*(BH567-IF('Control Room'!$B$5="Normal",'Control Room'!$B$7,('Control Room'!$B$8+'Control Room'!$D$8)/2))+SQRT(1-'Control Room'!$B$9^2)*(BG568-IF('Control Room'!$B$5="Normal",'Control Room'!$B$7,('Control Room'!$B$8+'Control Room'!$D$8)/2))</x:f>
        <x:v>905.8213659201347</x:v>
      </x:c>
      <x:c r="BI568" s="17" t="n">
        <x:f>IF(AND($A568&gt;='Control Room'!$A$13,$A568&lt;'Control Room'!$A$13+'Control Room'!$B$13,'Process'!BV2=1),1+('Control Room'!$C$13-1)*EXP(-0.5*(($A568-'Control Room'!$A$13-('Control Room'!$B$13-1)/2)/MAX(0.5,'Control Room'!$B$13/4))^2),1)*IF(AND($A568&gt;='Control Room'!$A$14,$A568&lt;'Control Room'!$A$14+'Control Room'!$B$14,'Process'!BV3=1),1+('Control Room'!$C$14-1)*EXP(-0.5*(($A568-'Control Room'!$A$14-('Control Room'!$B$14-1)/2)/MAX(0.5,'Control Room'!$B$14/4))^2),1)*IF(AND($A568&gt;='Control Room'!$A$15,$A568&lt;'Control Room'!$A$15+'Control Room'!$B$15,'Process'!BV4=1),1+('Control Room'!$C$15-1)*EXP(-0.5*(($A568-'Control Room'!$A$15-('Control Room'!$B$15-1)/2)/MAX(0.5,'Control Room'!$B$15/4))^2),1)*IF(AND($A568&gt;='Control Room'!$A$16,$A568&lt;'Control Room'!$A$16+'Control Room'!$B$16,'Process'!BV5=1),1+('Control Room'!$C$16-1)*EXP(-0.5*(($A568-'Control Room'!$A$16-('Control Room'!$B$16-1)/2)/MAX(0.5,'Control Room'!$B$16/4))^2),1)</x:f>
        <x:v>1</x:v>
      </x:c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Z568" t="str">
        <x:f>IF('Data'!A568="","",TEXT('Data'!A568,"mm-dd"))</x:f>
      </x:c>
    </x:row>
    <x:row r="569" ht="21" customHeight="1">
      <x:c r="A569" s="15" t="n">
        <x:f>'Control Room'!$B$1+567</x:f>
        <x:v>73558</x:v>
      </x:c>
      <x:c r="B569" s="9" t="n">
        <x:f>MOD(C568*16807,2147483647)</x:f>
        <x:v>154679636</x:v>
      </x:c>
      <x:c r="C569" s="9" t="n">
        <x:f>MOD(B569*16807,2147483647)</x:f>
        <x:v>1245429382</x:v>
      </x:c>
      <x:c r="D569" s="17" t="n">
        <x:f>IF('Control Room'!$B$5="Normal",'Control Room'!$B$7+'Control Room'!$D$7*SQRT(-2*LN(MAX(0.000000000001,B569/2147483647)))*COS(2*PI()*C569/2147483647),'Control Room'!$B$8+('Control Room'!$D$8-'Control Room'!$B$8)*B569/2147483647)</x:f>
        <x:v>819.0633442804846</x:v>
      </x:c>
      <x:c r="E569" s="17" t="n">
        <x:f>IF('Control Room'!$B$5="Normal",'Control Room'!$B$7,('Control Room'!$B$8+'Control Room'!$D$8)/2)+'Control Room'!$B$9*(E568-IF('Control Room'!$B$5="Normal",'Control Room'!$B$7,('Control Room'!$B$8+'Control Room'!$D$8)/2))+SQRT(1-'Control Room'!$B$9^2)*(D569-IF('Control Room'!$B$5="Normal",'Control Room'!$B$7,('Control Room'!$B$8+'Control Room'!$D$8)/2))</x:f>
        <x:v>911.3344427342411</x:v>
      </x:c>
      <x:c r="F569" s="17" t="n">
        <x:f>IF(AND($A569&gt;='Control Room'!$A$13,$A569&lt;'Control Room'!$A$13+'Control Room'!$B$13,'Process'!BK2=1),1+('Control Room'!$C$13-1)*EXP(-0.5*(($A569-'Control Room'!$A$13-('Control Room'!$B$13-1)/2)/MAX(0.5,'Control Room'!$B$13/4))^2),1)*IF(AND($A569&gt;='Control Room'!$A$14,$A569&lt;'Control Room'!$A$14+'Control Room'!$B$14,'Process'!BK3=1),1+('Control Room'!$C$14-1)*EXP(-0.5*(($A569-'Control Room'!$A$14-('Control Room'!$B$14-1)/2)/MAX(0.5,'Control Room'!$B$14/4))^2),1)*IF(AND($A569&gt;='Control Room'!$A$15,$A569&lt;'Control Room'!$A$15+'Control Room'!$B$15,'Process'!BK4=1),1+('Control Room'!$C$15-1)*EXP(-0.5*(($A569-'Control Room'!$A$15-('Control Room'!$B$15-1)/2)/MAX(0.5,'Control Room'!$B$15/4))^2),1)*IF(AND($A569&gt;='Control Room'!$A$16,$A569&lt;'Control Room'!$A$16+'Control Room'!$B$16,'Process'!BK5=1),1+('Control Room'!$C$16-1)*EXP(-0.5*(($A569-'Control Room'!$A$16-('Control Room'!$B$16-1)/2)/MAX(0.5,'Control Room'!$B$16/4))^2),1)</x:f>
        <x:v>1</x:v>
      </x:c>
      <x:c r="G569" s="9" t="n">
        <x:f>MOD(H568*16807,2147483647)</x:f>
        <x:v>755002965</x:v>
      </x:c>
      <x:c r="H569" s="9" t="n">
        <x:f>MOD(G569*16807,2147483647)</x:f>
        <x:v>2001446279</x:v>
      </x:c>
      <x:c r="I569" s="17" t="n">
        <x:f>IF('Control Room'!$B$5="Normal",'Control Room'!$B$7+'Control Room'!$D$7*SQRT(-2*LN(MAX(0.000000000001,G569/2147483647)))*COS(2*PI()*H569/2147483647),'Control Room'!$B$8+('Control Room'!$D$8-'Control Room'!$B$8)*G569/2147483647)</x:f>
        <x:v>1118.4326227643999</x:v>
      </x:c>
      <x:c r="J569" s="17" t="n">
        <x:f>IF('Control Room'!$B$5="Normal",'Control Room'!$B$7,('Control Room'!$B$8+'Control Room'!$D$8)/2)+'Control Room'!$B$9*(J568-IF('Control Room'!$B$5="Normal",'Control Room'!$B$7,('Control Room'!$B$8+'Control Room'!$D$8)/2))+SQRT(1-'Control Room'!$B$9^2)*(I569-IF('Control Room'!$B$5="Normal",'Control Room'!$B$7,('Control Room'!$B$8+'Control Room'!$D$8)/2))</x:f>
        <x:v>1193.6614452167757</x:v>
      </x:c>
      <x:c r="K569" s="17" t="n">
        <x:f>IF(AND($A569&gt;='Control Room'!$A$13,$A569&lt;'Control Room'!$A$13+'Control Room'!$B$13,'Process'!BL2=1),1+('Control Room'!$C$13-1)*EXP(-0.5*(($A569-'Control Room'!$A$13-('Control Room'!$B$13-1)/2)/MAX(0.5,'Control Room'!$B$13/4))^2),1)*IF(AND($A569&gt;='Control Room'!$A$14,$A569&lt;'Control Room'!$A$14+'Control Room'!$B$14,'Process'!BL3=1),1+('Control Room'!$C$14-1)*EXP(-0.5*(($A569-'Control Room'!$A$14-('Control Room'!$B$14-1)/2)/MAX(0.5,'Control Room'!$B$14/4))^2),1)*IF(AND($A569&gt;='Control Room'!$A$15,$A569&lt;'Control Room'!$A$15+'Control Room'!$B$15,'Process'!BL4=1),1+('Control Room'!$C$15-1)*EXP(-0.5*(($A569-'Control Room'!$A$15-('Control Room'!$B$15-1)/2)/MAX(0.5,'Control Room'!$B$15/4))^2),1)*IF(AND($A569&gt;='Control Room'!$A$16,$A569&lt;'Control Room'!$A$16+'Control Room'!$B$16,'Process'!BL5=1),1+('Control Room'!$C$16-1)*EXP(-0.5*(($A569-'Control Room'!$A$16-('Control Room'!$B$16-1)/2)/MAX(0.5,'Control Room'!$B$16/4))^2),1)</x:f>
        <x:v>1</x:v>
      </x:c>
      <x:c r="L569" s="9" t="n">
        <x:f>MOD(M568*16807,2147483647)</x:f>
        <x:v>1355326294</x:v>
      </x:c>
      <x:c r="M569" s="9" t="n">
        <x:f>MOD(L569*16807,2147483647)</x:f>
        <x:v>609979529</x:v>
      </x:c>
      <x:c r="N569" s="17" t="n">
        <x:f>IF('Control Room'!$B$5="Normal",'Control Room'!$B$7+'Control Room'!$D$7*SQRT(-2*LN(MAX(0.000000000001,L569/2147483647)))*COS(2*PI()*M569/2147483647),'Control Room'!$B$8+('Control Room'!$D$8-'Control Room'!$B$8)*L569/2147483647)</x:f>
        <x:v>981.6701799108577</x:v>
      </x:c>
      <x:c r="O569" s="17" t="n">
        <x:f>IF('Control Room'!$B$5="Normal",'Control Room'!$B$7,('Control Room'!$B$8+'Control Room'!$D$8)/2)+'Control Room'!$B$9*(O568-IF('Control Room'!$B$5="Normal",'Control Room'!$B$7,('Control Room'!$B$8+'Control Room'!$D$8)/2))+SQRT(1-'Control Room'!$B$9^2)*(N569-IF('Control Room'!$B$5="Normal",'Control Room'!$B$7,('Control Room'!$B$8+'Control Room'!$D$8)/2))</x:f>
        <x:v>1025.774080387305</x:v>
      </x:c>
      <x:c r="P569" s="17" t="n">
        <x:f>IF(AND($A569&gt;='Control Room'!$A$13,$A569&lt;'Control Room'!$A$13+'Control Room'!$B$13,'Process'!BM2=1),1+('Control Room'!$C$13-1)*EXP(-0.5*(($A569-'Control Room'!$A$13-('Control Room'!$B$13-1)/2)/MAX(0.5,'Control Room'!$B$13/4))^2),1)*IF(AND($A569&gt;='Control Room'!$A$14,$A569&lt;'Control Room'!$A$14+'Control Room'!$B$14,'Process'!BM3=1),1+('Control Room'!$C$14-1)*EXP(-0.5*(($A569-'Control Room'!$A$14-('Control Room'!$B$14-1)/2)/MAX(0.5,'Control Room'!$B$14/4))^2),1)*IF(AND($A569&gt;='Control Room'!$A$15,$A569&lt;'Control Room'!$A$15+'Control Room'!$B$15,'Process'!BM4=1),1+('Control Room'!$C$15-1)*EXP(-0.5*(($A569-'Control Room'!$A$15-('Control Room'!$B$15-1)/2)/MAX(0.5,'Control Room'!$B$15/4))^2),1)*IF(AND($A569&gt;='Control Room'!$A$16,$A569&lt;'Control Room'!$A$16+'Control Room'!$B$16,'Process'!BM5=1),1+('Control Room'!$C$16-1)*EXP(-0.5*(($A569-'Control Room'!$A$16-('Control Room'!$B$16-1)/2)/MAX(0.5,'Control Room'!$B$16/4))^2),1)</x:f>
        <x:v>1</x:v>
      </x:c>
      <x:c r="Q569" s="9" t="n">
        <x:f>MOD(R568*16807,2147483647)</x:f>
        <x:v>1955649623</x:v>
      </x:c>
      <x:c r="R569" s="9" t="n">
        <x:f>MOD(Q569*16807,2147483647)</x:f>
        <x:v>1365996426</x:v>
      </x:c>
      <x:c r="S569" s="17" t="n">
        <x:f>IF('Control Room'!$B$5="Normal",'Control Room'!$B$7+'Control Room'!$D$7*SQRT(-2*LN(MAX(0.000000000001,Q569/2147483647)))*COS(2*PI()*R569/2147483647),'Control Room'!$B$8+('Control Room'!$D$8-'Control Room'!$B$8)*Q569/2147483647)</x:f>
        <x:v>974.4530025854639</x:v>
      </x:c>
      <x:c r="T569" s="17" t="n">
        <x:f>IF('Control Room'!$B$5="Normal",'Control Room'!$B$7,('Control Room'!$B$8+'Control Room'!$D$8)/2)+'Control Room'!$B$9*(T568-IF('Control Room'!$B$5="Normal",'Control Room'!$B$7,('Control Room'!$B$8+'Control Room'!$D$8)/2))+SQRT(1-'Control Room'!$B$9^2)*(S569-IF('Control Room'!$B$5="Normal",'Control Room'!$B$7,('Control Room'!$B$8+'Control Room'!$D$8)/2))</x:f>
        <x:v>1190.913012610566</x:v>
      </x:c>
      <x:c r="U569" s="17" t="n">
        <x:f>IF(AND($A569&gt;='Control Room'!$A$13,$A569&lt;'Control Room'!$A$13+'Control Room'!$B$13,'Process'!BN2=1),1+('Control Room'!$C$13-1)*EXP(-0.5*(($A569-'Control Room'!$A$13-('Control Room'!$B$13-1)/2)/MAX(0.5,'Control Room'!$B$13/4))^2),1)*IF(AND($A569&gt;='Control Room'!$A$14,$A569&lt;'Control Room'!$A$14+'Control Room'!$B$14,'Process'!BN3=1),1+('Control Room'!$C$14-1)*EXP(-0.5*(($A569-'Control Room'!$A$14-('Control Room'!$B$14-1)/2)/MAX(0.5,'Control Room'!$B$14/4))^2),1)*IF(AND($A569&gt;='Control Room'!$A$15,$A569&lt;'Control Room'!$A$15+'Control Room'!$B$15,'Process'!BN4=1),1+('Control Room'!$C$15-1)*EXP(-0.5*(($A569-'Control Room'!$A$15-('Control Room'!$B$15-1)/2)/MAX(0.5,'Control Room'!$B$15/4))^2),1)*IF(AND($A569&gt;='Control Room'!$A$16,$A569&lt;'Control Room'!$A$16+'Control Room'!$B$16,'Process'!BN5=1),1+('Control Room'!$C$16-1)*EXP(-0.5*(($A569-'Control Room'!$A$16-('Control Room'!$B$16-1)/2)/MAX(0.5,'Control Room'!$B$16/4))^2),1)</x:f>
        <x:v>1</x:v>
      </x:c>
      <x:c r="V569" s="9" t="n">
        <x:f>MOD(W568*16807,2147483647)</x:f>
        <x:v>408489305</x:v>
      </x:c>
      <x:c r="W569" s="9" t="n">
        <x:f>MOD(V569*16807,2147483647)</x:f>
        <x:v>2122013323</x:v>
      </x:c>
      <x:c r="X569" s="17" t="n">
        <x:f>IF('Control Room'!$B$5="Normal",'Control Room'!$B$7+'Control Room'!$D$7*SQRT(-2*LN(MAX(0.000000000001,V569/2147483647)))*COS(2*PI()*W569/2147483647),'Control Room'!$B$8+('Control Room'!$D$8-'Control Room'!$B$8)*V569/2147483647)</x:f>
        <x:v>1163.5122811946426</x:v>
      </x:c>
      <x:c r="Y569" s="17" t="n">
        <x:f>IF('Control Room'!$B$5="Normal",'Control Room'!$B$7,('Control Room'!$B$8+'Control Room'!$D$8)/2)+'Control Room'!$B$9*(Y568-IF('Control Room'!$B$5="Normal",'Control Room'!$B$7,('Control Room'!$B$8+'Control Room'!$D$8)/2))+SQRT(1-'Control Room'!$B$9^2)*(X569-IF('Control Room'!$B$5="Normal",'Control Room'!$B$7,('Control Room'!$B$8+'Control Room'!$D$8)/2))</x:f>
        <x:v>1239.6133948700046</x:v>
      </x:c>
      <x:c r="Z569" s="17" t="n">
        <x:f>IF(AND($A569&gt;='Control Room'!$A$13,$A569&lt;'Control Room'!$A$13+'Control Room'!$B$13,'Process'!BO2=1),1+('Control Room'!$C$13-1)*EXP(-0.5*(($A569-'Control Room'!$A$13-('Control Room'!$B$13-1)/2)/MAX(0.5,'Control Room'!$B$13/4))^2),1)*IF(AND($A569&gt;='Control Room'!$A$14,$A569&lt;'Control Room'!$A$14+'Control Room'!$B$14,'Process'!BO3=1),1+('Control Room'!$C$14-1)*EXP(-0.5*(($A569-'Control Room'!$A$14-('Control Room'!$B$14-1)/2)/MAX(0.5,'Control Room'!$B$14/4))^2),1)*IF(AND($A569&gt;='Control Room'!$A$15,$A569&lt;'Control Room'!$A$15+'Control Room'!$B$15,'Process'!BO4=1),1+('Control Room'!$C$15-1)*EXP(-0.5*(($A569-'Control Room'!$A$15-('Control Room'!$B$15-1)/2)/MAX(0.5,'Control Room'!$B$15/4))^2),1)*IF(AND($A569&gt;='Control Room'!$A$16,$A569&lt;'Control Room'!$A$16+'Control Room'!$B$16,'Process'!BO5=1),1+('Control Room'!$C$16-1)*EXP(-0.5*(($A569-'Control Room'!$A$16-('Control Room'!$B$16-1)/2)/MAX(0.5,'Control Room'!$B$16/4))^2),1)</x:f>
        <x:v>1</x:v>
      </x:c>
      <x:c r="AA569" s="9" t="n">
        <x:f>MOD(AB568*16807,2147483647)</x:f>
        <x:v>1008812634</x:v>
      </x:c>
      <x:c r="AB569" s="9" t="n">
        <x:f>MOD(AA569*16807,2147483647)</x:f>
        <x:v>730546573</x:v>
      </x:c>
      <x:c r="AC569" s="17" t="n">
        <x:f>IF('Control Room'!$B$5="Normal",'Control Room'!$B$7+'Control Room'!$D$7*SQRT(-2*LN(MAX(0.000000000001,AA569/2147483647)))*COS(2*PI()*AB569/2147483647),'Control Room'!$B$8+('Control Room'!$D$8-'Control Room'!$B$8)*AA569/2147483647)</x:f>
        <x:v>940.610477640835</x:v>
      </x:c>
      <x:c r="AD569" s="17" t="n">
        <x:f>IF('Control Room'!$B$5="Normal",'Control Room'!$B$7,('Control Room'!$B$8+'Control Room'!$D$8)/2)+'Control Room'!$B$9*(AD568-IF('Control Room'!$B$5="Normal",'Control Room'!$B$7,('Control Room'!$B$8+'Control Room'!$D$8)/2))+SQRT(1-'Control Room'!$B$9^2)*(AC569-IF('Control Room'!$B$5="Normal",'Control Room'!$B$7,('Control Room'!$B$8+'Control Room'!$D$8)/2))</x:f>
        <x:v>1059.785754641179</x:v>
      </x:c>
      <x:c r="AE569" s="17" t="n">
        <x:f>IF(AND($A569&gt;='Control Room'!$A$13,$A569&lt;'Control Room'!$A$13+'Control Room'!$B$13,'Process'!BP2=1),1+('Control Room'!$C$13-1)*EXP(-0.5*(($A569-'Control Room'!$A$13-('Control Room'!$B$13-1)/2)/MAX(0.5,'Control Room'!$B$13/4))^2),1)*IF(AND($A569&gt;='Control Room'!$A$14,$A569&lt;'Control Room'!$A$14+'Control Room'!$B$14,'Process'!BP3=1),1+('Control Room'!$C$14-1)*EXP(-0.5*(($A569-'Control Room'!$A$14-('Control Room'!$B$14-1)/2)/MAX(0.5,'Control Room'!$B$14/4))^2),1)*IF(AND($A569&gt;='Control Room'!$A$15,$A569&lt;'Control Room'!$A$15+'Control Room'!$B$15,'Process'!BP4=1),1+('Control Room'!$C$15-1)*EXP(-0.5*(($A569-'Control Room'!$A$15-('Control Room'!$B$15-1)/2)/MAX(0.5,'Control Room'!$B$15/4))^2),1)*IF(AND($A569&gt;='Control Room'!$A$16,$A569&lt;'Control Room'!$A$16+'Control Room'!$B$16,'Process'!BP5=1),1+('Control Room'!$C$16-1)*EXP(-0.5*(($A569-'Control Room'!$A$16-('Control Room'!$B$16-1)/2)/MAX(0.5,'Control Room'!$B$16/4))^2),1)</x:f>
        <x:v>1</x:v>
      </x:c>
      <x:c r="AF569" s="9" t="n">
        <x:f>MOD(AG568*16807,2147483647)</x:f>
        <x:v>1609135963</x:v>
      </x:c>
      <x:c r="AG569" s="9" t="n">
        <x:f>MOD(AF569*16807,2147483647)</x:f>
        <x:v>1486563470</x:v>
      </x:c>
      <x:c r="AH569" s="17" t="n">
        <x:f>IF('Control Room'!$B$5="Normal",'Control Room'!$B$7+'Control Room'!$D$7*SQRT(-2*LN(MAX(0.000000000001,AF569/2147483647)))*COS(2*PI()*AG569/2147483647),'Control Room'!$B$8+('Control Room'!$D$8-'Control Room'!$B$8)*AF569/2147483647)</x:f>
        <x:v>975.7242769121881</x:v>
      </x:c>
      <x:c r="AI569" s="17" t="n">
        <x:f>IF('Control Room'!$B$5="Normal",'Control Room'!$B$7,('Control Room'!$B$8+'Control Room'!$D$8)/2)+'Control Room'!$B$9*(AI568-IF('Control Room'!$B$5="Normal",'Control Room'!$B$7,('Control Room'!$B$8+'Control Room'!$D$8)/2))+SQRT(1-'Control Room'!$B$9^2)*(AH569-IF('Control Room'!$B$5="Normal",'Control Room'!$B$7,('Control Room'!$B$8+'Control Room'!$D$8)/2))</x:f>
        <x:v>971.5692413009583</x:v>
      </x:c>
      <x:c r="AJ569" s="17" t="n">
        <x:f>IF(AND($A569&gt;='Control Room'!$A$13,$A569&lt;'Control Room'!$A$13+'Control Room'!$B$13,'Process'!BQ2=1),1+('Control Room'!$C$13-1)*EXP(-0.5*(($A569-'Control Room'!$A$13-('Control Room'!$B$13-1)/2)/MAX(0.5,'Control Room'!$B$13/4))^2),1)*IF(AND($A569&gt;='Control Room'!$A$14,$A569&lt;'Control Room'!$A$14+'Control Room'!$B$14,'Process'!BQ3=1),1+('Control Room'!$C$14-1)*EXP(-0.5*(($A569-'Control Room'!$A$14-('Control Room'!$B$14-1)/2)/MAX(0.5,'Control Room'!$B$14/4))^2),1)*IF(AND($A569&gt;='Control Room'!$A$15,$A569&lt;'Control Room'!$A$15+'Control Room'!$B$15,'Process'!BQ4=1),1+('Control Room'!$C$15-1)*EXP(-0.5*(($A569-'Control Room'!$A$15-('Control Room'!$B$15-1)/2)/MAX(0.5,'Control Room'!$B$15/4))^2),1)*IF(AND($A569&gt;='Control Room'!$A$16,$A569&lt;'Control Room'!$A$16+'Control Room'!$B$16,'Process'!BQ5=1),1+('Control Room'!$C$16-1)*EXP(-0.5*(($A569-'Control Room'!$A$16-('Control Room'!$B$16-1)/2)/MAX(0.5,'Control Room'!$B$16/4))^2),1)</x:f>
        <x:v>1</x:v>
      </x:c>
      <x:c r="AK569" s="9" t="n">
        <x:f>MOD(AL568*16807,2147483647)</x:f>
        <x:v>61975645</x:v>
      </x:c>
      <x:c r="AL569" s="9" t="n">
        <x:f>MOD(AK569*16807,2147483647)</x:f>
        <x:v>95096720</x:v>
      </x:c>
      <x:c r="AM569" s="17" t="n">
        <x:f>IF('Control Room'!$B$5="Normal",'Control Room'!$B$7+'Control Room'!$D$7*SQRT(-2*LN(MAX(0.000000000001,AK569/2147483647)))*COS(2*PI()*AL569/2147483647),'Control Room'!$B$8+('Control Room'!$D$8-'Control Room'!$B$8)*AK569/2147483647)</x:f>
        <x:v>1230.437139710974</x:v>
      </x:c>
      <x:c r="AN569" s="17" t="n">
        <x:f>IF('Control Room'!$B$5="Normal",'Control Room'!$B$7,('Control Room'!$B$8+'Control Room'!$D$8)/2)+'Control Room'!$B$9*(AN568-IF('Control Room'!$B$5="Normal",'Control Room'!$B$7,('Control Room'!$B$8+'Control Room'!$D$8)/2))+SQRT(1-'Control Room'!$B$9^2)*(AM569-IF('Control Room'!$B$5="Normal",'Control Room'!$B$7,('Control Room'!$B$8+'Control Room'!$D$8)/2))</x:f>
        <x:v>1261.2425769051831</x:v>
      </x:c>
      <x:c r="AO569" s="17" t="n">
        <x:f>IF(AND($A569&gt;='Control Room'!$A$13,$A569&lt;'Control Room'!$A$13+'Control Room'!$B$13,'Process'!BR2=1),1+('Control Room'!$C$13-1)*EXP(-0.5*(($A569-'Control Room'!$A$13-('Control Room'!$B$13-1)/2)/MAX(0.5,'Control Room'!$B$13/4))^2),1)*IF(AND($A569&gt;='Control Room'!$A$14,$A569&lt;'Control Room'!$A$14+'Control Room'!$B$14,'Process'!BR3=1),1+('Control Room'!$C$14-1)*EXP(-0.5*(($A569-'Control Room'!$A$14-('Control Room'!$B$14-1)/2)/MAX(0.5,'Control Room'!$B$14/4))^2),1)*IF(AND($A569&gt;='Control Room'!$A$15,$A569&lt;'Control Room'!$A$15+'Control Room'!$B$15,'Process'!BR4=1),1+('Control Room'!$C$15-1)*EXP(-0.5*(($A569-'Control Room'!$A$15-('Control Room'!$B$15-1)/2)/MAX(0.5,'Control Room'!$B$15/4))^2),1)*IF(AND($A569&gt;='Control Room'!$A$16,$A569&lt;'Control Room'!$A$16+'Control Room'!$B$16,'Process'!BR5=1),1+('Control Room'!$C$16-1)*EXP(-0.5*(($A569-'Control Room'!$A$16-('Control Room'!$B$16-1)/2)/MAX(0.5,'Control Room'!$B$16/4))^2),1)</x:f>
        <x:v>1</x:v>
      </x:c>
      <x:c r="AP569" s="9" t="n">
        <x:f>MOD(AQ568*16807,2147483647)</x:f>
        <x:v>662298974</x:v>
      </x:c>
      <x:c r="AQ569" s="9" t="n">
        <x:f>MOD(AP569*16807,2147483647)</x:f>
        <x:v>851113617</x:v>
      </x:c>
      <x:c r="AR569" s="17" t="n">
        <x:f>IF('Control Room'!$B$5="Normal",'Control Room'!$B$7+'Control Room'!$D$7*SQRT(-2*LN(MAX(0.000000000001,AP569/2147483647)))*COS(2*PI()*AQ569/2147483647),'Control Room'!$B$8+('Control Room'!$D$8-'Control Room'!$B$8)*AP569/2147483647)</x:f>
        <x:v>890.2188863624115</x:v>
      </x:c>
      <x:c r="AS569" s="17" t="n">
        <x:f>IF('Control Room'!$B$5="Normal",'Control Room'!$B$7,('Control Room'!$B$8+'Control Room'!$D$8)/2)+'Control Room'!$B$9*(AS568-IF('Control Room'!$B$5="Normal",'Control Room'!$B$7,('Control Room'!$B$8+'Control Room'!$D$8)/2))+SQRT(1-'Control Room'!$B$9^2)*(AR569-IF('Control Room'!$B$5="Normal",'Control Room'!$B$7,('Control Room'!$B$8+'Control Room'!$D$8)/2))</x:f>
        <x:v>864.3656103230198</x:v>
      </x:c>
      <x:c r="AT569" s="17" t="n">
        <x:f>IF(AND($A569&gt;='Control Room'!$A$13,$A569&lt;'Control Room'!$A$13+'Control Room'!$B$13,'Process'!BS2=1),1+('Control Room'!$C$13-1)*EXP(-0.5*(($A569-'Control Room'!$A$13-('Control Room'!$B$13-1)/2)/MAX(0.5,'Control Room'!$B$13/4))^2),1)*IF(AND($A569&gt;='Control Room'!$A$14,$A569&lt;'Control Room'!$A$14+'Control Room'!$B$14,'Process'!BS3=1),1+('Control Room'!$C$14-1)*EXP(-0.5*(($A569-'Control Room'!$A$14-('Control Room'!$B$14-1)/2)/MAX(0.5,'Control Room'!$B$14/4))^2),1)*IF(AND($A569&gt;='Control Room'!$A$15,$A569&lt;'Control Room'!$A$15+'Control Room'!$B$15,'Process'!BS4=1),1+('Control Room'!$C$15-1)*EXP(-0.5*(($A569-'Control Room'!$A$15-('Control Room'!$B$15-1)/2)/MAX(0.5,'Control Room'!$B$15/4))^2),1)*IF(AND($A569&gt;='Control Room'!$A$16,$A569&lt;'Control Room'!$A$16+'Control Room'!$B$16,'Process'!BS5=1),1+('Control Room'!$C$16-1)*EXP(-0.5*(($A569-'Control Room'!$A$16-('Control Room'!$B$16-1)/2)/MAX(0.5,'Control Room'!$B$16/4))^2),1)</x:f>
        <x:v>1</x:v>
      </x:c>
      <x:c r="AU569" s="9" t="n">
        <x:f>MOD(AV568*16807,2147483647)</x:f>
        <x:v>1262622303</x:v>
      </x:c>
      <x:c r="AV569" s="9" t="n">
        <x:f>MOD(AU569*16807,2147483647)</x:f>
        <x:v>1607130514</x:v>
      </x:c>
      <x:c r="AW569" s="17" t="n">
        <x:f>IF('Control Room'!$B$5="Normal",'Control Room'!$B$7+'Control Room'!$D$7*SQRT(-2*LN(MAX(0.000000000001,AU569/2147483647)))*COS(2*PI()*AV569/2147483647),'Control Room'!$B$8+('Control Room'!$D$8-'Control Room'!$B$8)*AU569/2147483647)</x:f>
        <x:v>999.0549670185092</x:v>
      </x:c>
      <x:c r="AX569" s="17" t="n">
        <x:f>IF('Control Room'!$B$5="Normal",'Control Room'!$B$7,('Control Room'!$B$8+'Control Room'!$D$8)/2)+'Control Room'!$B$9*(AX568-IF('Control Room'!$B$5="Normal",'Control Room'!$B$7,('Control Room'!$B$8+'Control Room'!$D$8)/2))+SQRT(1-'Control Room'!$B$9^2)*(AW569-IF('Control Room'!$B$5="Normal",'Control Room'!$B$7,('Control Room'!$B$8+'Control Room'!$D$8)/2))</x:f>
        <x:v>877.1923993893134</x:v>
      </x:c>
      <x:c r="AY569" s="17" t="n">
        <x:f>IF(AND($A569&gt;='Control Room'!$A$13,$A569&lt;'Control Room'!$A$13+'Control Room'!$B$13,'Process'!BT2=1),1+('Control Room'!$C$13-1)*EXP(-0.5*(($A569-'Control Room'!$A$13-('Control Room'!$B$13-1)/2)/MAX(0.5,'Control Room'!$B$13/4))^2),1)*IF(AND($A569&gt;='Control Room'!$A$14,$A569&lt;'Control Room'!$A$14+'Control Room'!$B$14,'Process'!BT3=1),1+('Control Room'!$C$14-1)*EXP(-0.5*(($A569-'Control Room'!$A$14-('Control Room'!$B$14-1)/2)/MAX(0.5,'Control Room'!$B$14/4))^2),1)*IF(AND($A569&gt;='Control Room'!$A$15,$A569&lt;'Control Room'!$A$15+'Control Room'!$B$15,'Process'!BT4=1),1+('Control Room'!$C$15-1)*EXP(-0.5*(($A569-'Control Room'!$A$15-('Control Room'!$B$15-1)/2)/MAX(0.5,'Control Room'!$B$15/4))^2),1)*IF(AND($A569&gt;='Control Room'!$A$16,$A569&lt;'Control Room'!$A$16+'Control Room'!$B$16,'Process'!BT5=1),1+('Control Room'!$C$16-1)*EXP(-0.5*(($A569-'Control Room'!$A$16-('Control Room'!$B$16-1)/2)/MAX(0.5,'Control Room'!$B$16/4))^2),1)</x:f>
        <x:v>1</x:v>
      </x:c>
      <x:c r="AZ569" s="9" t="n">
        <x:f>MOD(BA568*16807,2147483647)</x:f>
        <x:v>1862945632</x:v>
      </x:c>
      <x:c r="BA569" s="9" t="n">
        <x:f>MOD(AZ569*16807,2147483647)</x:f>
        <x:v>215663764</x:v>
      </x:c>
      <x:c r="BB569" s="17" t="n">
        <x:f>IF('Control Room'!$B$5="Normal",'Control Room'!$B$7+'Control Room'!$D$7*SQRT(-2*LN(MAX(0.000000000001,AZ569/2147483647)))*COS(2*PI()*BA569/2147483647),'Control Room'!$B$8+('Control Room'!$D$8-'Control Room'!$B$8)*AZ569/2147483647)</x:f>
        <x:v>1038.7456139339408</x:v>
      </x:c>
      <x:c r="BC569" s="17" t="n">
        <x:f>IF('Control Room'!$B$5="Normal",'Control Room'!$B$7,('Control Room'!$B$8+'Control Room'!$D$8)/2)+'Control Room'!$B$9*(BC568-IF('Control Room'!$B$5="Normal",'Control Room'!$B$7,('Control Room'!$B$8+'Control Room'!$D$8)/2))+SQRT(1-'Control Room'!$B$9^2)*(BB569-IF('Control Room'!$B$5="Normal",'Control Room'!$B$7,('Control Room'!$B$8+'Control Room'!$D$8)/2))</x:f>
        <x:v>894.666997131743</x:v>
      </x:c>
      <x:c r="BD569" s="17" t="n">
        <x:f>IF(AND($A569&gt;='Control Room'!$A$13,$A569&lt;'Control Room'!$A$13+'Control Room'!$B$13,'Process'!BU2=1),1+('Control Room'!$C$13-1)*EXP(-0.5*(($A569-'Control Room'!$A$13-('Control Room'!$B$13-1)/2)/MAX(0.5,'Control Room'!$B$13/4))^2),1)*IF(AND($A569&gt;='Control Room'!$A$14,$A569&lt;'Control Room'!$A$14+'Control Room'!$B$14,'Process'!BU3=1),1+('Control Room'!$C$14-1)*EXP(-0.5*(($A569-'Control Room'!$A$14-('Control Room'!$B$14-1)/2)/MAX(0.5,'Control Room'!$B$14/4))^2),1)*IF(AND($A569&gt;='Control Room'!$A$15,$A569&lt;'Control Room'!$A$15+'Control Room'!$B$15,'Process'!BU4=1),1+('Control Room'!$C$15-1)*EXP(-0.5*(($A569-'Control Room'!$A$15-('Control Room'!$B$15-1)/2)/MAX(0.5,'Control Room'!$B$15/4))^2),1)*IF(AND($A569&gt;='Control Room'!$A$16,$A569&lt;'Control Room'!$A$16+'Control Room'!$B$16,'Process'!BU5=1),1+('Control Room'!$C$16-1)*EXP(-0.5*(($A569-'Control Room'!$A$16-('Control Room'!$B$16-1)/2)/MAX(0.5,'Control Room'!$B$16/4))^2),1)</x:f>
        <x:v>1</x:v>
      </x:c>
      <x:c r="BE569" s="9" t="n">
        <x:f>MOD(BF568*16807,2147483647)</x:f>
        <x:v>315785314</x:v>
      </x:c>
      <x:c r="BF569" s="9" t="n">
        <x:f>MOD(BE569*16807,2147483647)</x:f>
        <x:v>971680661</x:v>
      </x:c>
      <x:c r="BG569" s="17" t="n">
        <x:f>IF('Control Room'!$B$5="Normal",'Control Room'!$B$7+'Control Room'!$D$7*SQRT(-2*LN(MAX(0.000000000001,BE569/2147483647)))*COS(2*PI()*BF569/2147483647),'Control Room'!$B$8+('Control Room'!$D$8-'Control Room'!$B$8)*BE569/2147483647)</x:f>
        <x:v>831.573879921044</x:v>
      </x:c>
      <x:c r="BH569" s="17" t="n">
        <x:f>IF('Control Room'!$B$5="Normal",'Control Room'!$B$7,('Control Room'!$B$8+'Control Room'!$D$8)/2)+'Control Room'!$B$9*(BH568-IF('Control Room'!$B$5="Normal",'Control Room'!$B$7,('Control Room'!$B$8+'Control Room'!$D$8)/2))+SQRT(1-'Control Room'!$B$9^2)*(BG569-IF('Control Room'!$B$5="Normal",'Control Room'!$B$7,('Control Room'!$B$8+'Control Room'!$D$8)/2))</x:f>
        <x:v>821.1430498689099</x:v>
      </x:c>
      <x:c r="BI569" s="17" t="n">
        <x:f>IF(AND($A569&gt;='Control Room'!$A$13,$A569&lt;'Control Room'!$A$13+'Control Room'!$B$13,'Process'!BV2=1),1+('Control Room'!$C$13-1)*EXP(-0.5*(($A569-'Control Room'!$A$13-('Control Room'!$B$13-1)/2)/MAX(0.5,'Control Room'!$B$13/4))^2),1)*IF(AND($A569&gt;='Control Room'!$A$14,$A569&lt;'Control Room'!$A$14+'Control Room'!$B$14,'Process'!BV3=1),1+('Control Room'!$C$14-1)*EXP(-0.5*(($A569-'Control Room'!$A$14-('Control Room'!$B$14-1)/2)/MAX(0.5,'Control Room'!$B$14/4))^2),1)*IF(AND($A569&gt;='Control Room'!$A$15,$A569&lt;'Control Room'!$A$15+'Control Room'!$B$15,'Process'!BV4=1),1+('Control Room'!$C$15-1)*EXP(-0.5*(($A569-'Control Room'!$A$15-('Control Room'!$B$15-1)/2)/MAX(0.5,'Control Room'!$B$15/4))^2),1)*IF(AND($A569&gt;='Control Room'!$A$16,$A569&lt;'Control Room'!$A$16+'Control Room'!$B$16,'Process'!BV5=1),1+('Control Room'!$C$16-1)*EXP(-0.5*(($A569-'Control Room'!$A$16-('Control Room'!$B$16-1)/2)/MAX(0.5,'Control Room'!$B$16/4))^2),1)</x:f>
        <x:v>1</x:v>
      </x:c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Z569" t="str">
        <x:f>IF('Data'!A569="","",TEXT('Data'!A569,"mm-dd"))</x:f>
      </x:c>
    </x:row>
    <x:row r="570" ht="21" customHeight="1">
      <x:c r="A570" s="15" t="n">
        <x:f>'Control Room'!$B$1+568</x:f>
        <x:v>73559</x:v>
      </x:c>
      <x:c r="B570" s="9" t="n">
        <x:f>MOD(C569*16807,2147483647)</x:f>
        <x:v>408515965</x:v>
      </x:c>
      <x:c r="C570" s="9" t="n">
        <x:f>MOD(B570*16807,2147483647)</x:f>
        <x:v>422604296</x:v>
      </x:c>
      <x:c r="D570" s="17" t="n">
        <x:f>IF('Control Room'!$B$5="Normal",'Control Room'!$B$7+'Control Room'!$D$7*SQRT(-2*LN(MAX(0.000000000001,B570/2147483647)))*COS(2*PI()*C570/2147483647),'Control Room'!$B$8+('Control Room'!$D$8-'Control Room'!$B$8)*B570/2147483647)</x:f>
        <x:v>1053.8018816313236</x:v>
      </x:c>
      <x:c r="E570" s="17" t="n">
        <x:f>IF('Control Room'!$B$5="Normal",'Control Room'!$B$7,('Control Room'!$B$8+'Control Room'!$D$8)/2)+'Control Room'!$B$9*(E569-IF('Control Room'!$B$5="Normal",'Control Room'!$B$7,('Control Room'!$B$8+'Control Room'!$D$8)/2))+SQRT(1-'Control Room'!$B$9^2)*(D570-IF('Control Room'!$B$5="Normal",'Control Room'!$B$7,('Control Room'!$B$8+'Control Room'!$D$8)/2))</x:f>
        <x:v>964.5089806661357</x:v>
      </x:c>
      <x:c r="F570" s="17" t="n">
        <x:f>IF(AND($A570&gt;='Control Room'!$A$13,$A570&lt;'Control Room'!$A$13+'Control Room'!$B$13,'Process'!BK2=1),1+('Control Room'!$C$13-1)*EXP(-0.5*(($A570-'Control Room'!$A$13-('Control Room'!$B$13-1)/2)/MAX(0.5,'Control Room'!$B$13/4))^2),1)*IF(AND($A570&gt;='Control Room'!$A$14,$A570&lt;'Control Room'!$A$14+'Control Room'!$B$14,'Process'!BK3=1),1+('Control Room'!$C$14-1)*EXP(-0.5*(($A570-'Control Room'!$A$14-('Control Room'!$B$14-1)/2)/MAX(0.5,'Control Room'!$B$14/4))^2),1)*IF(AND($A570&gt;='Control Room'!$A$15,$A570&lt;'Control Room'!$A$15+'Control Room'!$B$15,'Process'!BK4=1),1+('Control Room'!$C$15-1)*EXP(-0.5*(($A570-'Control Room'!$A$15-('Control Room'!$B$15-1)/2)/MAX(0.5,'Control Room'!$B$15/4))^2),1)*IF(AND($A570&gt;='Control Room'!$A$16,$A570&lt;'Control Room'!$A$16+'Control Room'!$B$16,'Process'!BK5=1),1+('Control Room'!$C$16-1)*EXP(-0.5*(($A570-'Control Room'!$A$16-('Control Room'!$B$16-1)/2)/MAX(0.5,'Control Room'!$B$16/4))^2),1)</x:f>
        <x:v>1</x:v>
      </x:c>
      <x:c r="G570" s="9" t="n">
        <x:f>MOD(H569*16807,2147483647)</x:f>
        <x:v>123764545</x:v>
      </x:c>
      <x:c r="H570" s="9" t="n">
        <x:f>MOD(G570*16807,2147483647)</x:f>
        <x:v>1346537519</x:v>
      </x:c>
      <x:c r="I570" s="17" t="n">
        <x:f>IF('Control Room'!$B$5="Normal",'Control Room'!$B$7+'Control Room'!$D$7*SQRT(-2*LN(MAX(0.000000000001,G570/2147483647)))*COS(2*PI()*H570/2147483647),'Control Room'!$B$8+('Control Room'!$D$8-'Control Room'!$B$8)*G570/2147483647)</x:f>
        <x:v>849.9165746454576</x:v>
      </x:c>
      <x:c r="J570" s="17" t="n">
        <x:f>IF('Control Room'!$B$5="Normal",'Control Room'!$B$7,('Control Room'!$B$8+'Control Room'!$D$8)/2)+'Control Room'!$B$9*(J569-IF('Control Room'!$B$5="Normal",'Control Room'!$B$7,('Control Room'!$B$8+'Control Room'!$D$8)/2))+SQRT(1-'Control Room'!$B$9^2)*(I570-IF('Control Room'!$B$5="Normal",'Control Room'!$B$7,('Control Room'!$B$8+'Control Room'!$D$8)/2))</x:f>
        <x:v>1057.1367943083017</x:v>
      </x:c>
      <x:c r="K570" s="17" t="n">
        <x:f>IF(AND($A570&gt;='Control Room'!$A$13,$A570&lt;'Control Room'!$A$13+'Control Room'!$B$13,'Process'!BL2=1),1+('Control Room'!$C$13-1)*EXP(-0.5*(($A570-'Control Room'!$A$13-('Control Room'!$B$13-1)/2)/MAX(0.5,'Control Room'!$B$13/4))^2),1)*IF(AND($A570&gt;='Control Room'!$A$14,$A570&lt;'Control Room'!$A$14+'Control Room'!$B$14,'Process'!BL3=1),1+('Control Room'!$C$14-1)*EXP(-0.5*(($A570-'Control Room'!$A$14-('Control Room'!$B$14-1)/2)/MAX(0.5,'Control Room'!$B$14/4))^2),1)*IF(AND($A570&gt;='Control Room'!$A$15,$A570&lt;'Control Room'!$A$15+'Control Room'!$B$15,'Process'!BL4=1),1+('Control Room'!$C$15-1)*EXP(-0.5*(($A570-'Control Room'!$A$15-('Control Room'!$B$15-1)/2)/MAX(0.5,'Control Room'!$B$15/4))^2),1)*IF(AND($A570&gt;='Control Room'!$A$16,$A570&lt;'Control Room'!$A$16+'Control Room'!$B$16,'Process'!BL5=1),1+('Control Room'!$C$16-1)*EXP(-0.5*(($A570-'Control Room'!$A$16-('Control Room'!$B$16-1)/2)/MAX(0.5,'Control Room'!$B$16/4))^2),1)</x:f>
        <x:v>1</x:v>
      </x:c>
      <x:c r="L570" s="9" t="n">
        <x:f>MOD(M569*16807,2147483647)</x:f>
        <x:v>1986496772</x:v>
      </x:c>
      <x:c r="M570" s="9" t="n">
        <x:f>MOD(L570*16807,2147483647)</x:f>
        <x:v>122987095</x:v>
      </x:c>
      <x:c r="N570" s="17" t="n">
        <x:f>IF('Control Room'!$B$5="Normal",'Control Room'!$B$7+'Control Room'!$D$7*SQRT(-2*LN(MAX(0.000000000001,L570/2147483647)))*COS(2*PI()*M570/2147483647),'Control Room'!$B$8+('Control Room'!$D$8-'Control Room'!$B$8)*L570/2147483647)</x:f>
        <x:v>1033.2542747465336</x:v>
      </x:c>
      <x:c r="O570" s="17" t="n">
        <x:f>IF('Control Room'!$B$5="Normal",'Control Room'!$B$7,('Control Room'!$B$8+'Control Room'!$D$8)/2)+'Control Room'!$B$9*(O569-IF('Control Room'!$B$5="Normal",'Control Room'!$B$7,('Control Room'!$B$8+'Control Room'!$D$8)/2))+SQRT(1-'Control Room'!$B$9^2)*(N570-IF('Control Room'!$B$5="Normal",'Control Room'!$B$7,('Control Room'!$B$8+'Control Room'!$D$8)/2))</x:f>
        <x:v>1040.9136265876314</x:v>
      </x:c>
      <x:c r="P570" s="17" t="n">
        <x:f>IF(AND($A570&gt;='Control Room'!$A$13,$A570&lt;'Control Room'!$A$13+'Control Room'!$B$13,'Process'!BM2=1),1+('Control Room'!$C$13-1)*EXP(-0.5*(($A570-'Control Room'!$A$13-('Control Room'!$B$13-1)/2)/MAX(0.5,'Control Room'!$B$13/4))^2),1)*IF(AND($A570&gt;='Control Room'!$A$14,$A570&lt;'Control Room'!$A$14+'Control Room'!$B$14,'Process'!BM3=1),1+('Control Room'!$C$14-1)*EXP(-0.5*(($A570-'Control Room'!$A$14-('Control Room'!$B$14-1)/2)/MAX(0.5,'Control Room'!$B$14/4))^2),1)*IF(AND($A570&gt;='Control Room'!$A$15,$A570&lt;'Control Room'!$A$15+'Control Room'!$B$15,'Process'!BM4=1),1+('Control Room'!$C$15-1)*EXP(-0.5*(($A570-'Control Room'!$A$15-('Control Room'!$B$15-1)/2)/MAX(0.5,'Control Room'!$B$15/4))^2),1)*IF(AND($A570&gt;='Control Room'!$A$16,$A570&lt;'Control Room'!$A$16+'Control Room'!$B$16,'Process'!BM5=1),1+('Control Room'!$C$16-1)*EXP(-0.5*(($A570-'Control Room'!$A$16-('Control Room'!$B$16-1)/2)/MAX(0.5,'Control Room'!$B$16/4))^2),1)</x:f>
        <x:v>1</x:v>
      </x:c>
      <x:c r="Q570" s="9" t="n">
        <x:f>MOD(R569*16807,2147483647)</x:f>
        <x:v>1701745352</x:v>
      </x:c>
      <x:c r="R570" s="9" t="n">
        <x:f>MOD(Q570*16807,2147483647)</x:f>
        <x:v>1046920318</x:v>
      </x:c>
      <x:c r="S570" s="17" t="n">
        <x:f>IF('Control Room'!$B$5="Normal",'Control Room'!$B$7+'Control Room'!$D$7*SQRT(-2*LN(MAX(0.000000000001,Q570/2147483647)))*COS(2*PI()*R570/2147483647),'Control Room'!$B$8+('Control Room'!$D$8-'Control Room'!$B$8)*Q570/2147483647)</x:f>
        <x:v>938.7983327643141</x:v>
      </x:c>
      <x:c r="T570" s="17" t="n">
        <x:f>IF('Control Room'!$B$5="Normal",'Control Room'!$B$7,('Control Room'!$B$8+'Control Room'!$D$8)/2)+'Control Room'!$B$9*(T569-IF('Control Room'!$B$5="Normal",'Control Room'!$B$7,('Control Room'!$B$8+'Control Room'!$D$8)/2))+SQRT(1-'Control Room'!$B$9^2)*(S570-IF('Control Room'!$B$5="Normal",'Control Room'!$B$7,('Control Room'!$B$8+'Control Room'!$D$8)/2))</x:f>
        <x:v>1110.613400264452</x:v>
      </x:c>
      <x:c r="U570" s="17" t="n">
        <x:f>IF(AND($A570&gt;='Control Room'!$A$13,$A570&lt;'Control Room'!$A$13+'Control Room'!$B$13,'Process'!BN2=1),1+('Control Room'!$C$13-1)*EXP(-0.5*(($A570-'Control Room'!$A$13-('Control Room'!$B$13-1)/2)/MAX(0.5,'Control Room'!$B$13/4))^2),1)*IF(AND($A570&gt;='Control Room'!$A$14,$A570&lt;'Control Room'!$A$14+'Control Room'!$B$14,'Process'!BN3=1),1+('Control Room'!$C$14-1)*EXP(-0.5*(($A570-'Control Room'!$A$14-('Control Room'!$B$14-1)/2)/MAX(0.5,'Control Room'!$B$14/4))^2),1)*IF(AND($A570&gt;='Control Room'!$A$15,$A570&lt;'Control Room'!$A$15+'Control Room'!$B$15,'Process'!BN4=1),1+('Control Room'!$C$15-1)*EXP(-0.5*(($A570-'Control Room'!$A$15-('Control Room'!$B$15-1)/2)/MAX(0.5,'Control Room'!$B$15/4))^2),1)*IF(AND($A570&gt;='Control Room'!$A$16,$A570&lt;'Control Room'!$A$16+'Control Room'!$B$16,'Process'!BN5=1),1+('Control Room'!$C$16-1)*EXP(-0.5*(($A570-'Control Room'!$A$16-('Control Room'!$B$16-1)/2)/MAX(0.5,'Control Room'!$B$16/4))^2),1)</x:f>
        <x:v>1</x:v>
      </x:c>
      <x:c r="V570" s="9" t="n">
        <x:f>MOD(W569*16807,2147483647)</x:f>
        <x:v>1416993932</x:v>
      </x:c>
      <x:c r="W570" s="9" t="n">
        <x:f>MOD(V570*16807,2147483647)</x:f>
        <x:v>1970853541</x:v>
      </x:c>
      <x:c r="X570" s="17" t="n">
        <x:f>IF('Control Room'!$B$5="Normal",'Control Room'!$B$7+'Control Room'!$D$7*SQRT(-2*LN(MAX(0.000000000001,V570/2147483647)))*COS(2*PI()*W570/2147483647),'Control Room'!$B$8+('Control Room'!$D$8-'Control Room'!$B$8)*V570/2147483647)</x:f>
        <x:v>1071.3514282688916</x:v>
      </x:c>
      <x:c r="Y570" s="17" t="n">
        <x:f>IF('Control Room'!$B$5="Normal",'Control Room'!$B$7,('Control Room'!$B$8+'Control Room'!$D$8)/2)+'Control Room'!$B$9*(Y569-IF('Control Room'!$B$5="Normal",'Control Room'!$B$7,('Control Room'!$B$8+'Control Room'!$D$8)/2))+SQRT(1-'Control Room'!$B$9^2)*(X570-IF('Control Room'!$B$5="Normal",'Control Room'!$B$7,('Control Room'!$B$8+'Control Room'!$D$8)/2))</x:f>
        <x:v>1231.5487100958167</x:v>
      </x:c>
      <x:c r="Z570" s="17" t="n">
        <x:f>IF(AND($A570&gt;='Control Room'!$A$13,$A570&lt;'Control Room'!$A$13+'Control Room'!$B$13,'Process'!BO2=1),1+('Control Room'!$C$13-1)*EXP(-0.5*(($A570-'Control Room'!$A$13-('Control Room'!$B$13-1)/2)/MAX(0.5,'Control Room'!$B$13/4))^2),1)*IF(AND($A570&gt;='Control Room'!$A$14,$A570&lt;'Control Room'!$A$14+'Control Room'!$B$14,'Process'!BO3=1),1+('Control Room'!$C$14-1)*EXP(-0.5*(($A570-'Control Room'!$A$14-('Control Room'!$B$14-1)/2)/MAX(0.5,'Control Room'!$B$14/4))^2),1)*IF(AND($A570&gt;='Control Room'!$A$15,$A570&lt;'Control Room'!$A$15+'Control Room'!$B$15,'Process'!BO4=1),1+('Control Room'!$C$15-1)*EXP(-0.5*(($A570-'Control Room'!$A$15-('Control Room'!$B$15-1)/2)/MAX(0.5,'Control Room'!$B$15/4))^2),1)*IF(AND($A570&gt;='Control Room'!$A$16,$A570&lt;'Control Room'!$A$16+'Control Room'!$B$16,'Process'!BO5=1),1+('Control Room'!$C$16-1)*EXP(-0.5*(($A570-'Control Room'!$A$16-('Control Room'!$B$16-1)/2)/MAX(0.5,'Control Room'!$B$16/4))^2),1)</x:f>
        <x:v>1</x:v>
      </x:c>
      <x:c r="AA570" s="9" t="n">
        <x:f>MOD(AB569*16807,2147483647)</x:f>
        <x:v>1132242512</x:v>
      </x:c>
      <x:c r="AB570" s="9" t="n">
        <x:f>MOD(AA570*16807,2147483647)</x:f>
        <x:v>747303117</x:v>
      </x:c>
      <x:c r="AC570" s="17" t="n">
        <x:f>IF('Control Room'!$B$5="Normal",'Control Room'!$B$7+'Control Room'!$D$7*SQRT(-2*LN(MAX(0.000000000001,AA570/2147483647)))*COS(2*PI()*AB570/2147483647),'Control Room'!$B$8+('Control Room'!$D$8-'Control Room'!$B$8)*AA570/2147483647)</x:f>
        <x:v>941.1903148604599</x:v>
      </x:c>
      <x:c r="AD570" s="17" t="n">
        <x:f>IF('Control Room'!$B$5="Normal",'Control Room'!$B$7,('Control Room'!$B$8+'Control Room'!$D$8)/2)+'Control Room'!$B$9*(AD569-IF('Control Room'!$B$5="Normal",'Control Room'!$B$7,('Control Room'!$B$8+'Control Room'!$D$8)/2))+SQRT(1-'Control Room'!$B$9^2)*(AC570-IF('Control Room'!$B$5="Normal",'Control Room'!$B$7,('Control Room'!$B$8+'Control Room'!$D$8)/2))</x:f>
        <x:v>1009.8309924416811</x:v>
      </x:c>
      <x:c r="AE570" s="17" t="n">
        <x:f>IF(AND($A570&gt;='Control Room'!$A$13,$A570&lt;'Control Room'!$A$13+'Control Room'!$B$13,'Process'!BP2=1),1+('Control Room'!$C$13-1)*EXP(-0.5*(($A570-'Control Room'!$A$13-('Control Room'!$B$13-1)/2)/MAX(0.5,'Control Room'!$B$13/4))^2),1)*IF(AND($A570&gt;='Control Room'!$A$14,$A570&lt;'Control Room'!$A$14+'Control Room'!$B$14,'Process'!BP3=1),1+('Control Room'!$C$14-1)*EXP(-0.5*(($A570-'Control Room'!$A$14-('Control Room'!$B$14-1)/2)/MAX(0.5,'Control Room'!$B$14/4))^2),1)*IF(AND($A570&gt;='Control Room'!$A$15,$A570&lt;'Control Room'!$A$15+'Control Room'!$B$15,'Process'!BP4=1),1+('Control Room'!$C$15-1)*EXP(-0.5*(($A570-'Control Room'!$A$15-('Control Room'!$B$15-1)/2)/MAX(0.5,'Control Room'!$B$15/4))^2),1)*IF(AND($A570&gt;='Control Room'!$A$16,$A570&lt;'Control Room'!$A$16+'Control Room'!$B$16,'Process'!BP5=1),1+('Control Room'!$C$16-1)*EXP(-0.5*(($A570-'Control Room'!$A$16-('Control Room'!$B$16-1)/2)/MAX(0.5,'Control Room'!$B$16/4))^2),1)</x:f>
        <x:v>1</x:v>
      </x:c>
      <x:c r="AF570" s="9" t="n">
        <x:f>MOD(AG569*16807,2147483647)</x:f>
        <x:v>847491092</x:v>
      </x:c>
      <x:c r="AG570" s="9" t="n">
        <x:f>MOD(AF570*16807,2147483647)</x:f>
        <x:v>1671236340</x:v>
      </x:c>
      <x:c r="AH570" s="17" t="n">
        <x:f>IF('Control Room'!$B$5="Normal",'Control Room'!$B$7+'Control Room'!$D$7*SQRT(-2*LN(MAX(0.000000000001,AF570/2147483647)))*COS(2*PI()*AG570/2147483647),'Control Room'!$B$8+('Control Room'!$D$8-'Control Room'!$B$8)*AF570/2147483647)</x:f>
        <x:v>1021.6549785047087</x:v>
      </x:c>
      <x:c r="AI570" s="17" t="n">
        <x:f>IF('Control Room'!$B$5="Normal",'Control Room'!$B$7,('Control Room'!$B$8+'Control Room'!$D$8)/2)+'Control Room'!$B$9*(AI569-IF('Control Room'!$B$5="Normal",'Control Room'!$B$7,('Control Room'!$B$8+'Control Room'!$D$8)/2))+SQRT(1-'Control Room'!$B$9^2)*(AH570-IF('Control Room'!$B$5="Normal",'Control Room'!$B$7,('Control Room'!$B$8+'Control Room'!$D$8)/2))</x:f>
        <x:v>991.3752501366462</x:v>
      </x:c>
      <x:c r="AJ570" s="17" t="n">
        <x:f>IF(AND($A570&gt;='Control Room'!$A$13,$A570&lt;'Control Room'!$A$13+'Control Room'!$B$13,'Process'!BQ2=1),1+('Control Room'!$C$13-1)*EXP(-0.5*(($A570-'Control Room'!$A$13-('Control Room'!$B$13-1)/2)/MAX(0.5,'Control Room'!$B$13/4))^2),1)*IF(AND($A570&gt;='Control Room'!$A$14,$A570&lt;'Control Room'!$A$14+'Control Room'!$B$14,'Process'!BQ3=1),1+('Control Room'!$C$14-1)*EXP(-0.5*(($A570-'Control Room'!$A$14-('Control Room'!$B$14-1)/2)/MAX(0.5,'Control Room'!$B$14/4))^2),1)*IF(AND($A570&gt;='Control Room'!$A$15,$A570&lt;'Control Room'!$A$15+'Control Room'!$B$15,'Process'!BQ4=1),1+('Control Room'!$C$15-1)*EXP(-0.5*(($A570-'Control Room'!$A$15-('Control Room'!$B$15-1)/2)/MAX(0.5,'Control Room'!$B$15/4))^2),1)*IF(AND($A570&gt;='Control Room'!$A$16,$A570&lt;'Control Room'!$A$16+'Control Room'!$B$16,'Process'!BQ5=1),1+('Control Room'!$C$16-1)*EXP(-0.5*(($A570-'Control Room'!$A$16-('Control Room'!$B$16-1)/2)/MAX(0.5,'Control Room'!$B$16/4))^2),1)</x:f>
        <x:v>1</x:v>
      </x:c>
      <x:c r="AK570" s="9" t="n">
        <x:f>MOD(AL569*16807,2147483647)</x:f>
        <x:v>562739672</x:v>
      </x:c>
      <x:c r="AL570" s="9" t="n">
        <x:f>MOD(AK570*16807,2147483647)</x:f>
        <x:v>447685916</x:v>
      </x:c>
      <x:c r="AM570" s="17" t="n">
        <x:f>IF('Control Room'!$B$5="Normal",'Control Room'!$B$7+'Control Room'!$D$7*SQRT(-2*LN(MAX(0.000000000001,AK570/2147483647)))*COS(2*PI()*AL570/2147483647),'Control Room'!$B$8+('Control Room'!$D$8-'Control Room'!$B$8)*AK570/2147483647)</x:f>
        <x:v>1038.0003792600844</x:v>
      </x:c>
      <x:c r="AN570" s="17" t="n">
        <x:f>IF('Control Room'!$B$5="Normal",'Control Room'!$B$7,('Control Room'!$B$8+'Control Room'!$D$8)/2)+'Control Room'!$B$9*(AN569-IF('Control Room'!$B$5="Normal",'Control Room'!$B$7,('Control Room'!$B$8+'Control Room'!$D$8)/2))+SQRT(1-'Control Room'!$B$9^2)*(AM570-IF('Control Room'!$B$5="Normal",'Control Room'!$B$7,('Control Room'!$B$8+'Control Room'!$D$8)/2))</x:f>
        <x:v>1227.5490688469204</x:v>
      </x:c>
      <x:c r="AO570" s="17" t="n">
        <x:f>IF(AND($A570&gt;='Control Room'!$A$13,$A570&lt;'Control Room'!$A$13+'Control Room'!$B$13,'Process'!BR2=1),1+('Control Room'!$C$13-1)*EXP(-0.5*(($A570-'Control Room'!$A$13-('Control Room'!$B$13-1)/2)/MAX(0.5,'Control Room'!$B$13/4))^2),1)*IF(AND($A570&gt;='Control Room'!$A$14,$A570&lt;'Control Room'!$A$14+'Control Room'!$B$14,'Process'!BR3=1),1+('Control Room'!$C$14-1)*EXP(-0.5*(($A570-'Control Room'!$A$14-('Control Room'!$B$14-1)/2)/MAX(0.5,'Control Room'!$B$14/4))^2),1)*IF(AND($A570&gt;='Control Room'!$A$15,$A570&lt;'Control Room'!$A$15+'Control Room'!$B$15,'Process'!BR4=1),1+('Control Room'!$C$15-1)*EXP(-0.5*(($A570-'Control Room'!$A$15-('Control Room'!$B$15-1)/2)/MAX(0.5,'Control Room'!$B$15/4))^2),1)*IF(AND($A570&gt;='Control Room'!$A$16,$A570&lt;'Control Room'!$A$16+'Control Room'!$B$16,'Process'!BR5=1),1+('Control Room'!$C$16-1)*EXP(-0.5*(($A570-'Control Room'!$A$16-('Control Room'!$B$16-1)/2)/MAX(0.5,'Control Room'!$B$16/4))^2),1)</x:f>
        <x:v>1</x:v>
      </x:c>
      <x:c r="AP570" s="9" t="n">
        <x:f>MOD(AQ569*16807,2147483647)</x:f>
        <x:v>277988252</x:v>
      </x:c>
      <x:c r="AQ570" s="9" t="n">
        <x:f>MOD(AP570*16807,2147483647)</x:f>
        <x:v>1371619139</x:v>
      </x:c>
      <x:c r="AR570" s="17" t="n">
        <x:f>IF('Control Room'!$B$5="Normal",'Control Room'!$B$7+'Control Room'!$D$7*SQRT(-2*LN(MAX(0.000000000001,AP570/2147483647)))*COS(2*PI()*AQ570/2147483647),'Control Room'!$B$8+('Control Room'!$D$8-'Control Room'!$B$8)*AP570/2147483647)</x:f>
        <x:v>882.8622142900896</x:v>
      </x:c>
      <x:c r="AS570" s="17" t="n">
        <x:f>IF('Control Room'!$B$5="Normal",'Control Room'!$B$7,('Control Room'!$B$8+'Control Room'!$D$8)/2)+'Control Room'!$B$9*(AS569-IF('Control Room'!$B$5="Normal",'Control Room'!$B$7,('Control Room'!$B$8+'Control Room'!$D$8)/2))+SQRT(1-'Control Room'!$B$9^2)*(AR570-IF('Control Room'!$B$5="Normal",'Control Room'!$B$7,('Control Room'!$B$8+'Control Room'!$D$8)/2))</x:f>
        <x:v>820.902749452669</x:v>
      </x:c>
      <x:c r="AT570" s="17" t="n">
        <x:f>IF(AND($A570&gt;='Control Room'!$A$13,$A570&lt;'Control Room'!$A$13+'Control Room'!$B$13,'Process'!BS2=1),1+('Control Room'!$C$13-1)*EXP(-0.5*(($A570-'Control Room'!$A$13-('Control Room'!$B$13-1)/2)/MAX(0.5,'Control Room'!$B$13/4))^2),1)*IF(AND($A570&gt;='Control Room'!$A$14,$A570&lt;'Control Room'!$A$14+'Control Room'!$B$14,'Process'!BS3=1),1+('Control Room'!$C$14-1)*EXP(-0.5*(($A570-'Control Room'!$A$14-('Control Room'!$B$14-1)/2)/MAX(0.5,'Control Room'!$B$14/4))^2),1)*IF(AND($A570&gt;='Control Room'!$A$15,$A570&lt;'Control Room'!$A$15+'Control Room'!$B$15,'Process'!BS4=1),1+('Control Room'!$C$15-1)*EXP(-0.5*(($A570-'Control Room'!$A$15-('Control Room'!$B$15-1)/2)/MAX(0.5,'Control Room'!$B$15/4))^2),1)*IF(AND($A570&gt;='Control Room'!$A$16,$A570&lt;'Control Room'!$A$16+'Control Room'!$B$16,'Process'!BS5=1),1+('Control Room'!$C$16-1)*EXP(-0.5*(($A570-'Control Room'!$A$16-('Control Room'!$B$16-1)/2)/MAX(0.5,'Control Room'!$B$16/4))^2),1)</x:f>
        <x:v>1</x:v>
      </x:c>
      <x:c r="AU570" s="9" t="n">
        <x:f>MOD(AV569*16807,2147483647)</x:f>
        <x:v>2140720479</x:v>
      </x:c>
      <x:c r="AV570" s="9" t="n">
        <x:f>MOD(AU570*16807,2147483647)</x:f>
        <x:v>148068715</x:v>
      </x:c>
      <x:c r="AW570" s="17" t="n">
        <x:f>IF('Control Room'!$B$5="Normal",'Control Room'!$B$7+'Control Room'!$D$7*SQRT(-2*LN(MAX(0.000000000001,AU570/2147483647)))*COS(2*PI()*AV570/2147483647),'Control Room'!$B$8+('Control Room'!$D$8-'Control Room'!$B$8)*AU570/2147483647)</x:f>
        <x:v>1006.4880251734853</x:v>
      </x:c>
      <x:c r="AX570" s="17" t="n">
        <x:f>IF('Control Room'!$B$5="Normal",'Control Room'!$B$7,('Control Room'!$B$8+'Control Room'!$D$8)/2)+'Control Room'!$B$9*(AX569-IF('Control Room'!$B$5="Normal",'Control Room'!$B$7,('Control Room'!$B$8+'Control Room'!$D$8)/2))+SQRT(1-'Control Room'!$B$9^2)*(AW570-IF('Control Room'!$B$5="Normal",'Control Room'!$B$7,('Control Room'!$B$8+'Control Room'!$D$8)/2))</x:f>
        <x:v>908.2701447628114</x:v>
      </x:c>
      <x:c r="AY570" s="17" t="n">
        <x:f>IF(AND($A570&gt;='Control Room'!$A$13,$A570&lt;'Control Room'!$A$13+'Control Room'!$B$13,'Process'!BT2=1),1+('Control Room'!$C$13-1)*EXP(-0.5*(($A570-'Control Room'!$A$13-('Control Room'!$B$13-1)/2)/MAX(0.5,'Control Room'!$B$13/4))^2),1)*IF(AND($A570&gt;='Control Room'!$A$14,$A570&lt;'Control Room'!$A$14+'Control Room'!$B$14,'Process'!BT3=1),1+('Control Room'!$C$14-1)*EXP(-0.5*(($A570-'Control Room'!$A$14-('Control Room'!$B$14-1)/2)/MAX(0.5,'Control Room'!$B$14/4))^2),1)*IF(AND($A570&gt;='Control Room'!$A$15,$A570&lt;'Control Room'!$A$15+'Control Room'!$B$15,'Process'!BT4=1),1+('Control Room'!$C$15-1)*EXP(-0.5*(($A570-'Control Room'!$A$15-('Control Room'!$B$15-1)/2)/MAX(0.5,'Control Room'!$B$15/4))^2),1)*IF(AND($A570&gt;='Control Room'!$A$16,$A570&lt;'Control Room'!$A$16+'Control Room'!$B$16,'Process'!BT5=1),1+('Control Room'!$C$16-1)*EXP(-0.5*(($A570-'Control Room'!$A$16-('Control Room'!$B$16-1)/2)/MAX(0.5,'Control Room'!$B$16/4))^2),1)</x:f>
        <x:v>1</x:v>
      </x:c>
      <x:c r="AZ570" s="9" t="n">
        <x:f>MOD(BA569*16807,2147483647)</x:f>
        <x:v>1855969059</x:v>
      </x:c>
      <x:c r="BA570" s="9" t="n">
        <x:f>MOD(AZ570*16807,2147483647)</x:f>
        <x:v>1072001938</x:v>
      </x:c>
      <x:c r="BB570" s="17" t="n">
        <x:f>IF('Control Room'!$B$5="Normal",'Control Room'!$B$7+'Control Room'!$D$7*SQRT(-2*LN(MAX(0.000000000001,AZ570/2147483647)))*COS(2*PI()*BA570/2147483647),'Control Room'!$B$8+('Control Room'!$D$8-'Control Room'!$B$8)*AZ570/2147483647)</x:f>
        <x:v>951.3856661299349</x:v>
      </x:c>
      <x:c r="BC570" s="17" t="n">
        <x:f>IF('Control Room'!$B$5="Normal",'Control Room'!$B$7,('Control Room'!$B$8+'Control Room'!$D$8)/2)+'Control Room'!$B$9*(BC569-IF('Control Room'!$B$5="Normal",'Control Room'!$B$7,('Control Room'!$B$8+'Control Room'!$D$8)/2))+SQRT(1-'Control Room'!$B$9^2)*(BB570-IF('Control Room'!$B$5="Normal",'Control Room'!$B$7,('Control Room'!$B$8+'Control Room'!$D$8)/2))</x:f>
        <x:v>887.4184035456351</x:v>
      </x:c>
      <x:c r="BD570" s="17" t="n">
        <x:f>IF(AND($A570&gt;='Control Room'!$A$13,$A570&lt;'Control Room'!$A$13+'Control Room'!$B$13,'Process'!BU2=1),1+('Control Room'!$C$13-1)*EXP(-0.5*(($A570-'Control Room'!$A$13-('Control Room'!$B$13-1)/2)/MAX(0.5,'Control Room'!$B$13/4))^2),1)*IF(AND($A570&gt;='Control Room'!$A$14,$A570&lt;'Control Room'!$A$14+'Control Room'!$B$14,'Process'!BU3=1),1+('Control Room'!$C$14-1)*EXP(-0.5*(($A570-'Control Room'!$A$14-('Control Room'!$B$14-1)/2)/MAX(0.5,'Control Room'!$B$14/4))^2),1)*IF(AND($A570&gt;='Control Room'!$A$15,$A570&lt;'Control Room'!$A$15+'Control Room'!$B$15,'Process'!BU4=1),1+('Control Room'!$C$15-1)*EXP(-0.5*(($A570-'Control Room'!$A$15-('Control Room'!$B$15-1)/2)/MAX(0.5,'Control Room'!$B$15/4))^2),1)*IF(AND($A570&gt;='Control Room'!$A$16,$A570&lt;'Control Room'!$A$16+'Control Room'!$B$16,'Process'!BU5=1),1+('Control Room'!$C$16-1)*EXP(-0.5*(($A570-'Control Room'!$A$16-('Control Room'!$B$16-1)/2)/MAX(0.5,'Control Room'!$B$16/4))^2),1)</x:f>
        <x:v>1</x:v>
      </x:c>
      <x:c r="BE570" s="9" t="n">
        <x:f>MOD(BF569*16807,2147483647)</x:f>
        <x:v>1571217639</x:v>
      </x:c>
      <x:c r="BF570" s="9" t="n">
        <x:f>MOD(BE570*16807,2147483647)</x:f>
        <x:v>1995935161</x:v>
      </x:c>
      <x:c r="BG570" s="17" t="n">
        <x:f>IF('Control Room'!$B$5="Normal",'Control Room'!$B$7+'Control Room'!$D$7*SQRT(-2*LN(MAX(0.000000000001,BE570/2147483647)))*COS(2*PI()*BF570/2147483647),'Control Room'!$B$8+('Control Room'!$D$8-'Control Room'!$B$8)*BE570/2147483647)</x:f>
        <x:v>1064.2650462141041</x:v>
      </x:c>
      <x:c r="BH570" s="17" t="n">
        <x:f>IF('Control Room'!$B$5="Normal",'Control Room'!$B$7,('Control Room'!$B$8+'Control Room'!$D$8)/2)+'Control Room'!$B$9*(BH569-IF('Control Room'!$B$5="Normal",'Control Room'!$B$7,('Control Room'!$B$8+'Control Room'!$D$8)/2))+SQRT(1-'Control Room'!$B$9^2)*(BG570-IF('Control Room'!$B$5="Normal",'Control Room'!$B$7,('Control Room'!$B$8+'Control Room'!$D$8)/2))</x:f>
        <x:v>900.707328277504</x:v>
      </x:c>
      <x:c r="BI570" s="17" t="n">
        <x:f>IF(AND($A570&gt;='Control Room'!$A$13,$A570&lt;'Control Room'!$A$13+'Control Room'!$B$13,'Process'!BV2=1),1+('Control Room'!$C$13-1)*EXP(-0.5*(($A570-'Control Room'!$A$13-('Control Room'!$B$13-1)/2)/MAX(0.5,'Control Room'!$B$13/4))^2),1)*IF(AND($A570&gt;='Control Room'!$A$14,$A570&lt;'Control Room'!$A$14+'Control Room'!$B$14,'Process'!BV3=1),1+('Control Room'!$C$14-1)*EXP(-0.5*(($A570-'Control Room'!$A$14-('Control Room'!$B$14-1)/2)/MAX(0.5,'Control Room'!$B$14/4))^2),1)*IF(AND($A570&gt;='Control Room'!$A$15,$A570&lt;'Control Room'!$A$15+'Control Room'!$B$15,'Process'!BV4=1),1+('Control Room'!$C$15-1)*EXP(-0.5*(($A570-'Control Room'!$A$15-('Control Room'!$B$15-1)/2)/MAX(0.5,'Control Room'!$B$15/4))^2),1)*IF(AND($A570&gt;='Control Room'!$A$16,$A570&lt;'Control Room'!$A$16+'Control Room'!$B$16,'Process'!BV5=1),1+('Control Room'!$C$16-1)*EXP(-0.5*(($A570-'Control Room'!$A$16-('Control Room'!$B$16-1)/2)/MAX(0.5,'Control Room'!$B$16/4))^2),1)</x:f>
        <x:v>1</x:v>
      </x:c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Z570" t="str">
        <x:f>IF('Data'!A570="","",TEXT('Data'!A570,"mm-dd"))</x:f>
      </x:c>
    </x:row>
    <x:row r="571" ht="21" customHeight="1">
      <x:c r="A571" s="15" t="n">
        <x:f>'Control Room'!$B$1+569</x:f>
        <x:v>73560</x:v>
      </x:c>
      <x:c r="B571" s="9" t="n">
        <x:f>MOD(C570*16807,2147483647)</x:f>
        <x:v>981982243</x:v>
      </x:c>
      <x:c r="C571" s="9" t="n">
        <x:f>MOD(B571*16807,2147483647)</x:f>
        <x:v>763730906</x:v>
      </x:c>
      <x:c r="D571" s="17" t="n">
        <x:f>IF('Control Room'!$B$5="Normal",'Control Room'!$B$7+'Control Room'!$D$7*SQRT(-2*LN(MAX(0.000000000001,B571/2147483647)))*COS(2*PI()*C571/2147483647),'Control Room'!$B$8+('Control Room'!$D$8-'Control Room'!$B$8)*B571/2147483647)</x:f>
        <x:v>930.6366175131111</x:v>
      </x:c>
      <x:c r="E571" s="17" t="n">
        <x:f>IF('Control Room'!$B$5="Normal",'Control Room'!$B$7,('Control Room'!$B$8+'Control Room'!$D$8)/2)+'Control Room'!$B$9*(E570-IF('Control Room'!$B$5="Normal",'Control Room'!$B$7,('Control Room'!$B$8+'Control Room'!$D$8)/2))+SQRT(1-'Control Room'!$B$9^2)*(D571-IF('Control Room'!$B$5="Normal",'Control Room'!$B$7,('Control Room'!$B$8+'Control Room'!$D$8)/2))</x:f>
        <x:v>928.9108211454185</x:v>
      </x:c>
      <x:c r="F571" s="17" t="n">
        <x:f>IF(AND($A571&gt;='Control Room'!$A$13,$A571&lt;'Control Room'!$A$13+'Control Room'!$B$13,'Process'!BK2=1),1+('Control Room'!$C$13-1)*EXP(-0.5*(($A571-'Control Room'!$A$13-('Control Room'!$B$13-1)/2)/MAX(0.5,'Control Room'!$B$13/4))^2),1)*IF(AND($A571&gt;='Control Room'!$A$14,$A571&lt;'Control Room'!$A$14+'Control Room'!$B$14,'Process'!BK3=1),1+('Control Room'!$C$14-1)*EXP(-0.5*(($A571-'Control Room'!$A$14-('Control Room'!$B$14-1)/2)/MAX(0.5,'Control Room'!$B$14/4))^2),1)*IF(AND($A571&gt;='Control Room'!$A$15,$A571&lt;'Control Room'!$A$15+'Control Room'!$B$15,'Process'!BK4=1),1+('Control Room'!$C$15-1)*EXP(-0.5*(($A571-'Control Room'!$A$15-('Control Room'!$B$15-1)/2)/MAX(0.5,'Control Room'!$B$15/4))^2),1)*IF(AND($A571&gt;='Control Room'!$A$16,$A571&lt;'Control Room'!$A$16+'Control Room'!$B$16,'Process'!BK5=1),1+('Control Room'!$C$16-1)*EXP(-0.5*(($A571-'Control Room'!$A$16-('Control Room'!$B$16-1)/2)/MAX(0.5,'Control Room'!$B$16/4))^2),1)</x:f>
        <x:v>1</x:v>
      </x:c>
      <x:c r="G571" s="9" t="n">
        <x:f>MOD(H570*16807,2147483647)</x:f>
        <x:v>1073409747</x:v>
      </x:c>
      <x:c r="H571" s="9" t="n">
        <x:f>MOD(G571*16807,2147483647)</x:f>
        <x:v>1934983029</x:v>
      </x:c>
      <x:c r="I571" s="17" t="n">
        <x:f>IF('Control Room'!$B$5="Normal",'Control Room'!$B$7+'Control Room'!$D$7*SQRT(-2*LN(MAX(0.000000000001,G571/2147483647)))*COS(2*PI()*H571/2147483647),'Control Room'!$B$8+('Control Room'!$D$8-'Control Room'!$B$8)*G571/2147483647)</x:f>
        <x:v>1086.1560097625572</x:v>
      </x:c>
      <x:c r="J571" s="17" t="n">
        <x:f>IF('Control Room'!$B$5="Normal",'Control Room'!$B$7,('Control Room'!$B$8+'Control Room'!$D$8)/2)+'Control Room'!$B$9*(J570-IF('Control Room'!$B$5="Normal",'Control Room'!$B$7,('Control Room'!$B$8+'Control Room'!$D$8)/2))+SQRT(1-'Control Room'!$B$9^2)*(I571-IF('Control Room'!$B$5="Normal",'Control Room'!$B$7,('Control Room'!$B$8+'Control Room'!$D$8)/2))</x:f>
        <x:v>1098.4813654680872</x:v>
      </x:c>
      <x:c r="K571" s="17" t="n">
        <x:f>IF(AND($A571&gt;='Control Room'!$A$13,$A571&lt;'Control Room'!$A$13+'Control Room'!$B$13,'Process'!BL2=1),1+('Control Room'!$C$13-1)*EXP(-0.5*(($A571-'Control Room'!$A$13-('Control Room'!$B$13-1)/2)/MAX(0.5,'Control Room'!$B$13/4))^2),1)*IF(AND($A571&gt;='Control Room'!$A$14,$A571&lt;'Control Room'!$A$14+'Control Room'!$B$14,'Process'!BL3=1),1+('Control Room'!$C$14-1)*EXP(-0.5*(($A571-'Control Room'!$A$14-('Control Room'!$B$14-1)/2)/MAX(0.5,'Control Room'!$B$14/4))^2),1)*IF(AND($A571&gt;='Control Room'!$A$15,$A571&lt;'Control Room'!$A$15+'Control Room'!$B$15,'Process'!BL4=1),1+('Control Room'!$C$15-1)*EXP(-0.5*(($A571-'Control Room'!$A$15-('Control Room'!$B$15-1)/2)/MAX(0.5,'Control Room'!$B$15/4))^2),1)*IF(AND($A571&gt;='Control Room'!$A$16,$A571&lt;'Control Room'!$A$16+'Control Room'!$B$16,'Process'!BL5=1),1+('Control Room'!$C$16-1)*EXP(-0.5*(($A571-'Control Room'!$A$16-('Control Room'!$B$16-1)/2)/MAX(0.5,'Control Room'!$B$16/4))^2),1)</x:f>
        <x:v>1</x:v>
      </x:c>
      <x:c r="L571" s="9" t="n">
        <x:f>MOD(M570*16807,2147483647)</x:f>
        <x:v>1164837251</x:v>
      </x:c>
      <x:c r="M571" s="9" t="n">
        <x:f>MOD(L571*16807,2147483647)</x:f>
        <x:v>958751505</x:v>
      </x:c>
      <x:c r="N571" s="17" t="n">
        <x:f>IF('Control Room'!$B$5="Normal",'Control Room'!$B$7+'Control Room'!$D$7*SQRT(-2*LN(MAX(0.000000000001,L571/2147483647)))*COS(2*PI()*M571/2147483647),'Control Room'!$B$8+('Control Room'!$D$8-'Control Room'!$B$8)*L571/2147483647)</x:f>
        <x:v>906.033233503367</x:v>
      </x:c>
      <x:c r="O571" s="17" t="n">
        <x:f>IF('Control Room'!$B$5="Normal",'Control Room'!$B$7,('Control Room'!$B$8+'Control Room'!$D$8)/2)+'Control Room'!$B$9*(O570-IF('Control Room'!$B$5="Normal",'Control Room'!$B$7,('Control Room'!$B$8+'Control Room'!$D$8)/2))+SQRT(1-'Control Room'!$B$9^2)*(N571-IF('Control Room'!$B$5="Normal",'Control Room'!$B$7,('Control Room'!$B$8+'Control Room'!$D$8)/2))</x:f>
        <x:v>973.1101512786049</x:v>
      </x:c>
      <x:c r="P571" s="17" t="n">
        <x:f>IF(AND($A571&gt;='Control Room'!$A$13,$A571&lt;'Control Room'!$A$13+'Control Room'!$B$13,'Process'!BM2=1),1+('Control Room'!$C$13-1)*EXP(-0.5*(($A571-'Control Room'!$A$13-('Control Room'!$B$13-1)/2)/MAX(0.5,'Control Room'!$B$13/4))^2),1)*IF(AND($A571&gt;='Control Room'!$A$14,$A571&lt;'Control Room'!$A$14+'Control Room'!$B$14,'Process'!BM3=1),1+('Control Room'!$C$14-1)*EXP(-0.5*(($A571-'Control Room'!$A$14-('Control Room'!$B$14-1)/2)/MAX(0.5,'Control Room'!$B$14/4))^2),1)*IF(AND($A571&gt;='Control Room'!$A$15,$A571&lt;'Control Room'!$A$15+'Control Room'!$B$15,'Process'!BM4=1),1+('Control Room'!$C$15-1)*EXP(-0.5*(($A571-'Control Room'!$A$15-('Control Room'!$B$15-1)/2)/MAX(0.5,'Control Room'!$B$15/4))^2),1)*IF(AND($A571&gt;='Control Room'!$A$16,$A571&lt;'Control Room'!$A$16+'Control Room'!$B$16,'Process'!BM5=1),1+('Control Room'!$C$16-1)*EXP(-0.5*(($A571-'Control Room'!$A$16-('Control Room'!$B$16-1)/2)/MAX(0.5,'Control Room'!$B$16/4))^2),1)</x:f>
        <x:v>1</x:v>
      </x:c>
      <x:c r="Q571" s="9" t="n">
        <x:f>MOD(R570*16807,2147483647)</x:f>
        <x:v>1256264755</x:v>
      </x:c>
      <x:c r="R571" s="9" t="n">
        <x:f>MOD(Q571*16807,2147483647)</x:f>
        <x:v>2130003628</x:v>
      </x:c>
      <x:c r="S571" s="17" t="n">
        <x:f>IF('Control Room'!$B$5="Normal",'Control Room'!$B$7+'Control Room'!$D$7*SQRT(-2*LN(MAX(0.000000000001,Q571/2147483647)))*COS(2*PI()*R571/2147483647),'Control Room'!$B$8+('Control Room'!$D$8-'Control Room'!$B$8)*Q571/2147483647)</x:f>
        <x:v>1093.0752082127744</x:v>
      </x:c>
      <x:c r="T571" s="17" t="n">
        <x:f>IF('Control Room'!$B$5="Normal",'Control Room'!$B$7,('Control Room'!$B$8+'Control Room'!$D$8)/2)+'Control Room'!$B$9*(T570-IF('Control Room'!$B$5="Normal",'Control Room'!$B$7,('Control Room'!$B$8+'Control Room'!$D$8)/2))+SQRT(1-'Control Room'!$B$9^2)*(S571-IF('Control Room'!$B$5="Normal",'Control Room'!$B$7,('Control Room'!$B$8+'Control Room'!$D$8)/2))</x:f>
        <x:v>1144.5230107565455</x:v>
      </x:c>
      <x:c r="U571" s="17" t="n">
        <x:f>IF(AND($A571&gt;='Control Room'!$A$13,$A571&lt;'Control Room'!$A$13+'Control Room'!$B$13,'Process'!BN2=1),1+('Control Room'!$C$13-1)*EXP(-0.5*(($A571-'Control Room'!$A$13-('Control Room'!$B$13-1)/2)/MAX(0.5,'Control Room'!$B$13/4))^2),1)*IF(AND($A571&gt;='Control Room'!$A$14,$A571&lt;'Control Room'!$A$14+'Control Room'!$B$14,'Process'!BN3=1),1+('Control Room'!$C$14-1)*EXP(-0.5*(($A571-'Control Room'!$A$14-('Control Room'!$B$14-1)/2)/MAX(0.5,'Control Room'!$B$14/4))^2),1)*IF(AND($A571&gt;='Control Room'!$A$15,$A571&lt;'Control Room'!$A$15+'Control Room'!$B$15,'Process'!BN4=1),1+('Control Room'!$C$15-1)*EXP(-0.5*(($A571-'Control Room'!$A$15-('Control Room'!$B$15-1)/2)/MAX(0.5,'Control Room'!$B$15/4))^2),1)*IF(AND($A571&gt;='Control Room'!$A$16,$A571&lt;'Control Room'!$A$16+'Control Room'!$B$16,'Process'!BN5=1),1+('Control Room'!$C$16-1)*EXP(-0.5*(($A571-'Control Room'!$A$16-('Control Room'!$B$16-1)/2)/MAX(0.5,'Control Room'!$B$16/4))^2),1)</x:f>
        <x:v>1</x:v>
      </x:c>
      <x:c r="V571" s="9" t="n">
        <x:f>MOD(W570*16807,2147483647)</x:f>
        <x:v>1347692259</x:v>
      </x:c>
      <x:c r="W571" s="9" t="n">
        <x:f>MOD(V571*16807,2147483647)</x:f>
        <x:v>1153772104</x:v>
      </x:c>
      <x:c r="X571" s="17" t="n">
        <x:f>IF('Control Room'!$B$5="Normal",'Control Room'!$B$7+'Control Room'!$D$7*SQRT(-2*LN(MAX(0.000000000001,V571/2147483647)))*COS(2*PI()*W571/2147483647),'Control Room'!$B$8+('Control Room'!$D$8-'Control Room'!$B$8)*V571/2147483647)</x:f>
        <x:v>915.4937255510783</x:v>
      </x:c>
      <x:c r="Y571" s="17" t="n">
        <x:f>IF('Control Room'!$B$5="Normal",'Control Room'!$B$7,('Control Room'!$B$8+'Control Room'!$D$8)/2)+'Control Room'!$B$9*(Y570-IF('Control Room'!$B$5="Normal",'Control Room'!$B$7,('Control Room'!$B$8+'Control Room'!$D$8)/2))+SQRT(1-'Control Room'!$B$9^2)*(X571-IF('Control Room'!$B$5="Normal",'Control Room'!$B$7,('Control Room'!$B$8+'Control Room'!$D$8)/2))</x:f>
        <x:v>1127.7256985297333</x:v>
      </x:c>
      <x:c r="Z571" s="17" t="n">
        <x:f>IF(AND($A571&gt;='Control Room'!$A$13,$A571&lt;'Control Room'!$A$13+'Control Room'!$B$13,'Process'!BO2=1),1+('Control Room'!$C$13-1)*EXP(-0.5*(($A571-'Control Room'!$A$13-('Control Room'!$B$13-1)/2)/MAX(0.5,'Control Room'!$B$13/4))^2),1)*IF(AND($A571&gt;='Control Room'!$A$14,$A571&lt;'Control Room'!$A$14+'Control Room'!$B$14,'Process'!BO3=1),1+('Control Room'!$C$14-1)*EXP(-0.5*(($A571-'Control Room'!$A$14-('Control Room'!$B$14-1)/2)/MAX(0.5,'Control Room'!$B$14/4))^2),1)*IF(AND($A571&gt;='Control Room'!$A$15,$A571&lt;'Control Room'!$A$15+'Control Room'!$B$15,'Process'!BO4=1),1+('Control Room'!$C$15-1)*EXP(-0.5*(($A571-'Control Room'!$A$15-('Control Room'!$B$15-1)/2)/MAX(0.5,'Control Room'!$B$15/4))^2),1)*IF(AND($A571&gt;='Control Room'!$A$16,$A571&lt;'Control Room'!$A$16+'Control Room'!$B$16,'Process'!BO5=1),1+('Control Room'!$C$16-1)*EXP(-0.5*(($A571-'Control Room'!$A$16-('Control Room'!$B$16-1)/2)/MAX(0.5,'Control Room'!$B$16/4))^2),1)</x:f>
        <x:v>1</x:v>
      </x:c>
      <x:c r="AA571" s="9" t="n">
        <x:f>MOD(AB570*16807,2147483647)</x:f>
        <x:v>1439119763</x:v>
      </x:c>
      <x:c r="AB571" s="9" t="n">
        <x:f>MOD(AA571*16807,2147483647)</x:f>
        <x:v>177540580</x:v>
      </x:c>
      <x:c r="AC571" s="17" t="n">
        <x:f>IF('Control Room'!$B$5="Normal",'Control Room'!$B$7+'Control Room'!$D$7*SQRT(-2*LN(MAX(0.000000000001,AA571/2147483647)))*COS(2*PI()*AB571/2147483647),'Control Room'!$B$8+('Control Room'!$D$8-'Control Room'!$B$8)*AA571/2147483647)</x:f>
        <x:v>1069.9030524149257</x:v>
      </x:c>
      <x:c r="AD571" s="17" t="n">
        <x:f>IF('Control Room'!$B$5="Normal",'Control Room'!$B$7,('Control Room'!$B$8+'Control Room'!$D$8)/2)+'Control Room'!$B$9*(AD570-IF('Control Room'!$B$5="Normal",'Control Room'!$B$7,('Control Room'!$B$8+'Control Room'!$D$8)/2))+SQRT(1-'Control Room'!$B$9^2)*(AC571-IF('Control Room'!$B$5="Normal",'Control Room'!$B$7,('Control Room'!$B$8+'Control Room'!$D$8)/2))</x:f>
        <x:v>1051.4120722639047</x:v>
      </x:c>
      <x:c r="AE571" s="17" t="n">
        <x:f>IF(AND($A571&gt;='Control Room'!$A$13,$A571&lt;'Control Room'!$A$13+'Control Room'!$B$13,'Process'!BP2=1),1+('Control Room'!$C$13-1)*EXP(-0.5*(($A571-'Control Room'!$A$13-('Control Room'!$B$13-1)/2)/MAX(0.5,'Control Room'!$B$13/4))^2),1)*IF(AND($A571&gt;='Control Room'!$A$14,$A571&lt;'Control Room'!$A$14+'Control Room'!$B$14,'Process'!BP3=1),1+('Control Room'!$C$14-1)*EXP(-0.5*(($A571-'Control Room'!$A$14-('Control Room'!$B$14-1)/2)/MAX(0.5,'Control Room'!$B$14/4))^2),1)*IF(AND($A571&gt;='Control Room'!$A$15,$A571&lt;'Control Room'!$A$15+'Control Room'!$B$15,'Process'!BP4=1),1+('Control Room'!$C$15-1)*EXP(-0.5*(($A571-'Control Room'!$A$15-('Control Room'!$B$15-1)/2)/MAX(0.5,'Control Room'!$B$15/4))^2),1)*IF(AND($A571&gt;='Control Room'!$A$16,$A571&lt;'Control Room'!$A$16+'Control Room'!$B$16,'Process'!BP5=1),1+('Control Room'!$C$16-1)*EXP(-0.5*(($A571-'Control Room'!$A$16-('Control Room'!$B$16-1)/2)/MAX(0.5,'Control Room'!$B$16/4))^2),1)</x:f>
        <x:v>1</x:v>
      </x:c>
      <x:c r="AF571" s="9" t="n">
        <x:f>MOD(AG570*16807,2147483647)</x:f>
        <x:v>1530547267</x:v>
      </x:c>
      <x:c r="AG571" s="9" t="n">
        <x:f>MOD(AF571*16807,2147483647)</x:f>
        <x:v>1348792703</x:v>
      </x:c>
      <x:c r="AH571" s="17" t="n">
        <x:f>IF('Control Room'!$B$5="Normal",'Control Room'!$B$7+'Control Room'!$D$7*SQRT(-2*LN(MAX(0.000000000001,AF571/2147483647)))*COS(2*PI()*AG571/2147483647),'Control Room'!$B$8+('Control Room'!$D$8-'Control Room'!$B$8)*AF571/2147483647)</x:f>
        <x:v>948.6475848245796</x:v>
      </x:c>
      <x:c r="AI571" s="17" t="n">
        <x:f>IF('Control Room'!$B$5="Normal",'Control Room'!$B$7,('Control Room'!$B$8+'Control Room'!$D$8)/2)+'Control Room'!$B$9*(AI570-IF('Control Room'!$B$5="Normal",'Control Room'!$B$7,('Control Room'!$B$8+'Control Room'!$D$8)/2))+SQRT(1-'Control Room'!$B$9^2)*(AH571-IF('Control Room'!$B$5="Normal",'Control Room'!$B$7,('Control Room'!$B$8+'Control Room'!$D$8)/2))</x:f>
        <x:v>961.1374057012127</x:v>
      </x:c>
      <x:c r="AJ571" s="17" t="n">
        <x:f>IF(AND($A571&gt;='Control Room'!$A$13,$A571&lt;'Control Room'!$A$13+'Control Room'!$B$13,'Process'!BQ2=1),1+('Control Room'!$C$13-1)*EXP(-0.5*(($A571-'Control Room'!$A$13-('Control Room'!$B$13-1)/2)/MAX(0.5,'Control Room'!$B$13/4))^2),1)*IF(AND($A571&gt;='Control Room'!$A$14,$A571&lt;'Control Room'!$A$14+'Control Room'!$B$14,'Process'!BQ3=1),1+('Control Room'!$C$14-1)*EXP(-0.5*(($A571-'Control Room'!$A$14-('Control Room'!$B$14-1)/2)/MAX(0.5,'Control Room'!$B$14/4))^2),1)*IF(AND($A571&gt;='Control Room'!$A$15,$A571&lt;'Control Room'!$A$15+'Control Room'!$B$15,'Process'!BQ4=1),1+('Control Room'!$C$15-1)*EXP(-0.5*(($A571-'Control Room'!$A$15-('Control Room'!$B$15-1)/2)/MAX(0.5,'Control Room'!$B$15/4))^2),1)*IF(AND($A571&gt;='Control Room'!$A$16,$A571&lt;'Control Room'!$A$16+'Control Room'!$B$16,'Process'!BQ5=1),1+('Control Room'!$C$16-1)*EXP(-0.5*(($A571-'Control Room'!$A$16-('Control Room'!$B$16-1)/2)/MAX(0.5,'Control Room'!$B$16/4))^2),1)</x:f>
        <x:v>1</x:v>
      </x:c>
      <x:c r="AK571" s="9" t="n">
        <x:f>MOD(AL570*16807,2147483647)</x:f>
        <x:v>1621974771</x:v>
      </x:c>
      <x:c r="AL571" s="9" t="n">
        <x:f>MOD(AK571*16807,2147483647)</x:f>
        <x:v>372561179</x:v>
      </x:c>
      <x:c r="AM571" s="17" t="n">
        <x:f>IF('Control Room'!$B$5="Normal",'Control Room'!$B$7+'Control Room'!$D$7*SQRT(-2*LN(MAX(0.000000000001,AK571/2147483647)))*COS(2*PI()*AL571/2147483647),'Control Room'!$B$8+('Control Room'!$D$8-'Control Room'!$B$8)*AK571/2147483647)</x:f>
        <x:v>1031.1814098347143</x:v>
      </x:c>
      <x:c r="AN571" s="17" t="n">
        <x:f>IF('Control Room'!$B$5="Normal",'Control Room'!$B$7,('Control Room'!$B$8+'Control Room'!$D$8)/2)+'Control Room'!$B$9*(AN570-IF('Control Room'!$B$5="Normal",'Control Room'!$B$7,('Control Room'!$B$8+'Control Room'!$D$8)/2))+SQRT(1-'Control Room'!$B$9^2)*(AM571-IF('Control Room'!$B$5="Normal",'Control Room'!$B$7,('Control Room'!$B$8+'Control Room'!$D$8)/2))</x:f>
        <x:v>1197.0009611892604</x:v>
      </x:c>
      <x:c r="AO571" s="17" t="n">
        <x:f>IF(AND($A571&gt;='Control Room'!$A$13,$A571&lt;'Control Room'!$A$13+'Control Room'!$B$13,'Process'!BR2=1),1+('Control Room'!$C$13-1)*EXP(-0.5*(($A571-'Control Room'!$A$13-('Control Room'!$B$13-1)/2)/MAX(0.5,'Control Room'!$B$13/4))^2),1)*IF(AND($A571&gt;='Control Room'!$A$14,$A571&lt;'Control Room'!$A$14+'Control Room'!$B$14,'Process'!BR3=1),1+('Control Room'!$C$14-1)*EXP(-0.5*(($A571-'Control Room'!$A$14-('Control Room'!$B$14-1)/2)/MAX(0.5,'Control Room'!$B$14/4))^2),1)*IF(AND($A571&gt;='Control Room'!$A$15,$A571&lt;'Control Room'!$A$15+'Control Room'!$B$15,'Process'!BR4=1),1+('Control Room'!$C$15-1)*EXP(-0.5*(($A571-'Control Room'!$A$15-('Control Room'!$B$15-1)/2)/MAX(0.5,'Control Room'!$B$15/4))^2),1)*IF(AND($A571&gt;='Control Room'!$A$16,$A571&lt;'Control Room'!$A$16+'Control Room'!$B$16,'Process'!BR5=1),1+('Control Room'!$C$16-1)*EXP(-0.5*(($A571-'Control Room'!$A$16-('Control Room'!$B$16-1)/2)/MAX(0.5,'Control Room'!$B$16/4))^2),1)</x:f>
        <x:v>1</x:v>
      </x:c>
      <x:c r="AP571" s="9" t="n">
        <x:f>MOD(AQ570*16807,2147483647)</x:f>
        <x:v>1713402275</x:v>
      </x:c>
      <x:c r="AQ571" s="9" t="n">
        <x:f>MOD(AP571*16807,2147483647)</x:f>
        <x:v>1543813302</x:v>
      </x:c>
      <x:c r="AR571" s="17" t="n">
        <x:f>IF('Control Room'!$B$5="Normal",'Control Room'!$B$7+'Control Room'!$D$7*SQRT(-2*LN(MAX(0.000000000001,AP571/2147483647)))*COS(2*PI()*AQ571/2147483647),'Control Room'!$B$8+('Control Room'!$D$8-'Control Room'!$B$8)*AP571/2147483647)</x:f>
        <x:v>988.2540280019614</x:v>
      </x:c>
      <x:c r="AS571" s="17" t="n">
        <x:f>IF('Control Room'!$B$5="Normal",'Control Room'!$B$7,('Control Room'!$B$8+'Control Room'!$D$8)/2)+'Control Room'!$B$9*(AS570-IF('Control Room'!$B$5="Normal",'Control Room'!$B$7,('Control Room'!$B$8+'Control Room'!$D$8)/2))+SQRT(1-'Control Room'!$B$9^2)*(AR571-IF('Control Room'!$B$5="Normal",'Control Room'!$B$7,('Control Room'!$B$8+'Control Room'!$D$8)/2))</x:f>
        <x:v>852.9537559260251</x:v>
      </x:c>
      <x:c r="AT571" s="17" t="n">
        <x:f>IF(AND($A571&gt;='Control Room'!$A$13,$A571&lt;'Control Room'!$A$13+'Control Room'!$B$13,'Process'!BS2=1),1+('Control Room'!$C$13-1)*EXP(-0.5*(($A571-'Control Room'!$A$13-('Control Room'!$B$13-1)/2)/MAX(0.5,'Control Room'!$B$13/4))^2),1)*IF(AND($A571&gt;='Control Room'!$A$14,$A571&lt;'Control Room'!$A$14+'Control Room'!$B$14,'Process'!BS3=1),1+('Control Room'!$C$14-1)*EXP(-0.5*(($A571-'Control Room'!$A$14-('Control Room'!$B$14-1)/2)/MAX(0.5,'Control Room'!$B$14/4))^2),1)*IF(AND($A571&gt;='Control Room'!$A$15,$A571&lt;'Control Room'!$A$15+'Control Room'!$B$15,'Process'!BS4=1),1+('Control Room'!$C$15-1)*EXP(-0.5*(($A571-'Control Room'!$A$15-('Control Room'!$B$15-1)/2)/MAX(0.5,'Control Room'!$B$15/4))^2),1)*IF(AND($A571&gt;='Control Room'!$A$16,$A571&lt;'Control Room'!$A$16+'Control Room'!$B$16,'Process'!BS5=1),1+('Control Room'!$C$16-1)*EXP(-0.5*(($A571-'Control Room'!$A$16-('Control Room'!$B$16-1)/2)/MAX(0.5,'Control Room'!$B$16/4))^2),1)</x:f>
        <x:v>1</x:v>
      </x:c>
      <x:c r="AU571" s="9" t="n">
        <x:f>MOD(AV570*16807,2147483647)</x:f>
        <x:v>1804829779</x:v>
      </x:c>
      <x:c r="AV571" s="9" t="n">
        <x:f>MOD(AU571*16807,2147483647)</x:f>
        <x:v>567581778</x:v>
      </x:c>
      <x:c r="AW571" s="17" t="n">
        <x:f>IF('Control Room'!$B$5="Normal",'Control Room'!$B$7+'Control Room'!$D$7*SQRT(-2*LN(MAX(0.000000000001,AU571/2147483647)))*COS(2*PI()*AV571/2147483647),'Control Room'!$B$8+('Control Room'!$D$8-'Control Room'!$B$8)*AU571/2147483647)</x:f>
        <x:v>995.2381252061937</x:v>
      </x:c>
      <x:c r="AX571" s="17" t="n">
        <x:f>IF('Control Room'!$B$5="Normal",'Control Room'!$B$7,('Control Room'!$B$8+'Control Room'!$D$8)/2)+'Control Room'!$B$9*(AX570-IF('Control Room'!$B$5="Normal",'Control Room'!$B$7,('Control Room'!$B$8+'Control Room'!$D$8)/2))+SQRT(1-'Control Room'!$B$9^2)*(AW571-IF('Control Room'!$B$5="Normal",'Control Room'!$B$7,('Control Room'!$B$8+'Control Room'!$D$8)/2))</x:f>
        <x:v>925.4708292213364</x:v>
      </x:c>
      <x:c r="AY571" s="17" t="n">
        <x:f>IF(AND($A571&gt;='Control Room'!$A$13,$A571&lt;'Control Room'!$A$13+'Control Room'!$B$13,'Process'!BT2=1),1+('Control Room'!$C$13-1)*EXP(-0.5*(($A571-'Control Room'!$A$13-('Control Room'!$B$13-1)/2)/MAX(0.5,'Control Room'!$B$13/4))^2),1)*IF(AND($A571&gt;='Control Room'!$A$14,$A571&lt;'Control Room'!$A$14+'Control Room'!$B$14,'Process'!BT3=1),1+('Control Room'!$C$14-1)*EXP(-0.5*(($A571-'Control Room'!$A$14-('Control Room'!$B$14-1)/2)/MAX(0.5,'Control Room'!$B$14/4))^2),1)*IF(AND($A571&gt;='Control Room'!$A$15,$A571&lt;'Control Room'!$A$15+'Control Room'!$B$15,'Process'!BT4=1),1+('Control Room'!$C$15-1)*EXP(-0.5*(($A571-'Control Room'!$A$15-('Control Room'!$B$15-1)/2)/MAX(0.5,'Control Room'!$B$15/4))^2),1)*IF(AND($A571&gt;='Control Room'!$A$16,$A571&lt;'Control Room'!$A$16+'Control Room'!$B$16,'Process'!BT5=1),1+('Control Room'!$C$16-1)*EXP(-0.5*(($A571-'Control Room'!$A$16-('Control Room'!$B$16-1)/2)/MAX(0.5,'Control Room'!$B$16/4))^2),1)</x:f>
        <x:v>1</x:v>
      </x:c>
      <x:c r="AZ571" s="9" t="n">
        <x:f>MOD(BA570*16807,2147483647)</x:f>
        <x:v>1896257283</x:v>
      </x:c>
      <x:c r="BA571" s="9" t="n">
        <x:f>MOD(AZ571*16807,2147483647)</x:f>
        <x:v>1738833901</x:v>
      </x:c>
      <x:c r="BB571" s="17" t="n">
        <x:f>IF('Control Room'!$B$5="Normal",'Control Room'!$B$7+'Control Room'!$D$7*SQRT(-2*LN(MAX(0.000000000001,AZ571/2147483647)))*COS(2*PI()*BA571/2147483647),'Control Room'!$B$8+('Control Room'!$D$8-'Control Room'!$B$8)*AZ571/2147483647)</x:f>
        <x:v>1016.4500663640981</x:v>
      </x:c>
      <x:c r="BC571" s="17" t="n">
        <x:f>IF('Control Room'!$B$5="Normal",'Control Room'!$B$7,('Control Room'!$B$8+'Control Room'!$D$8)/2)+'Control Room'!$B$9*(BC570-IF('Control Room'!$B$5="Normal",'Control Room'!$B$7,('Control Room'!$B$8+'Control Room'!$D$8)/2))+SQRT(1-'Control Room'!$B$9^2)*(BB571-IF('Control Room'!$B$5="Normal",'Control Room'!$B$7,('Control Room'!$B$8+'Control Room'!$D$8)/2))</x:f>
        <x:v>922.480469298321</x:v>
      </x:c>
      <x:c r="BD571" s="17" t="n">
        <x:f>IF(AND($A571&gt;='Control Room'!$A$13,$A571&lt;'Control Room'!$A$13+'Control Room'!$B$13,'Process'!BU2=1),1+('Control Room'!$C$13-1)*EXP(-0.5*(($A571-'Control Room'!$A$13-('Control Room'!$B$13-1)/2)/MAX(0.5,'Control Room'!$B$13/4))^2),1)*IF(AND($A571&gt;='Control Room'!$A$14,$A571&lt;'Control Room'!$A$14+'Control Room'!$B$14,'Process'!BU3=1),1+('Control Room'!$C$14-1)*EXP(-0.5*(($A571-'Control Room'!$A$14-('Control Room'!$B$14-1)/2)/MAX(0.5,'Control Room'!$B$14/4))^2),1)*IF(AND($A571&gt;='Control Room'!$A$15,$A571&lt;'Control Room'!$A$15+'Control Room'!$B$15,'Process'!BU4=1),1+('Control Room'!$C$15-1)*EXP(-0.5*(($A571-'Control Room'!$A$15-('Control Room'!$B$15-1)/2)/MAX(0.5,'Control Room'!$B$15/4))^2),1)*IF(AND($A571&gt;='Control Room'!$A$16,$A571&lt;'Control Room'!$A$16+'Control Room'!$B$16,'Process'!BU5=1),1+('Control Room'!$C$16-1)*EXP(-0.5*(($A571-'Control Room'!$A$16-('Control Room'!$B$16-1)/2)/MAX(0.5,'Control Room'!$B$16/4))^2),1)</x:f>
        <x:v>1</x:v>
      </x:c>
      <x:c r="BE571" s="9" t="n">
        <x:f>MOD(BF570*16807,2147483647)</x:f>
        <x:v>1987684787</x:v>
      </x:c>
      <x:c r="BF571" s="9" t="n">
        <x:f>MOD(BE571*16807,2147483647)</x:f>
        <x:v>762602377</x:v>
      </x:c>
      <x:c r="BG571" s="17" t="n">
        <x:f>IF('Control Room'!$B$5="Normal",'Control Room'!$B$7+'Control Room'!$D$7*SQRT(-2*LN(MAX(0.000000000001,BE571/2147483647)))*COS(2*PI()*BF571/2147483647),'Control Room'!$B$8+('Control Room'!$D$8-'Control Room'!$B$8)*BE571/2147483647)</x:f>
        <x:v>978.2871072333768</x:v>
      </x:c>
      <x:c r="BH571" s="17" t="n">
        <x:f>IF('Control Room'!$B$5="Normal",'Control Room'!$B$7,('Control Room'!$B$8+'Control Room'!$D$8)/2)+'Control Room'!$B$9*(BH570-IF('Control Room'!$B$5="Normal",'Control Room'!$B$7,('Control Room'!$B$8+'Control Room'!$D$8)/2))+SQRT(1-'Control Room'!$B$9^2)*(BG571-IF('Control Room'!$B$5="Normal",'Control Room'!$B$7,('Control Room'!$B$8+'Control Room'!$D$8)/2))</x:f>
        <x:v>908.9642325758863</x:v>
      </x:c>
      <x:c r="BI571" s="17" t="n">
        <x:f>IF(AND($A571&gt;='Control Room'!$A$13,$A571&lt;'Control Room'!$A$13+'Control Room'!$B$13,'Process'!BV2=1),1+('Control Room'!$C$13-1)*EXP(-0.5*(($A571-'Control Room'!$A$13-('Control Room'!$B$13-1)/2)/MAX(0.5,'Control Room'!$B$13/4))^2),1)*IF(AND($A571&gt;='Control Room'!$A$14,$A571&lt;'Control Room'!$A$14+'Control Room'!$B$14,'Process'!BV3=1),1+('Control Room'!$C$14-1)*EXP(-0.5*(($A571-'Control Room'!$A$14-('Control Room'!$B$14-1)/2)/MAX(0.5,'Control Room'!$B$14/4))^2),1)*IF(AND($A571&gt;='Control Room'!$A$15,$A571&lt;'Control Room'!$A$15+'Control Room'!$B$15,'Process'!BV4=1),1+('Control Room'!$C$15-1)*EXP(-0.5*(($A571-'Control Room'!$A$15-('Control Room'!$B$15-1)/2)/MAX(0.5,'Control Room'!$B$15/4))^2),1)*IF(AND($A571&gt;='Control Room'!$A$16,$A571&lt;'Control Room'!$A$16+'Control Room'!$B$16,'Process'!BV5=1),1+('Control Room'!$C$16-1)*EXP(-0.5*(($A571-'Control Room'!$A$16-('Control Room'!$B$16-1)/2)/MAX(0.5,'Control Room'!$B$16/4))^2),1)</x:f>
        <x:v>1</x:v>
      </x:c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Z571" t="str">
        <x:f>IF('Data'!A571="","",TEXT('Data'!A571,"mm-dd"))</x:f>
      </x:c>
    </x:row>
    <x:row r="572" ht="21" customHeight="1">
      <x:c r="A572" s="15" t="n">
        <x:f>'Control Room'!$B$1+570</x:f>
        <x:v>73561</x:v>
      </x:c>
      <x:c r="B572" s="9" t="n">
        <x:f>MOD(C571*16807,2147483647)</x:f>
        <x:v>515579023</x:v>
      </x:c>
      <x:c r="C572" s="9" t="n">
        <x:f>MOD(B572*16807,2147483647)</x:f>
        <x:v>240123916</x:v>
      </x:c>
      <x:c r="D572" s="17" t="n">
        <x:f>IF('Control Room'!$B$5="Normal",'Control Room'!$B$7+'Control Room'!$D$7*SQRT(-2*LN(MAX(0.000000000001,B572/2147483647)))*COS(2*PI()*C572/2147483647),'Control Room'!$B$8+('Control Room'!$D$8-'Control Room'!$B$8)*B572/2147483647)</x:f>
        <x:v>1116.0285723439067</x:v>
      </x:c>
      <x:c r="E572" s="17" t="n">
        <x:f>IF('Control Room'!$B$5="Normal",'Control Room'!$B$7,('Control Room'!$B$8+'Control Room'!$D$8)/2)+'Control Room'!$B$9*(E571-IF('Control Room'!$B$5="Normal",'Control Room'!$B$7,('Control Room'!$B$8+'Control Room'!$D$8)/2))+SQRT(1-'Control Room'!$B$9^2)*(D572-IF('Control Room'!$B$5="Normal",'Control Room'!$B$7,('Control Room'!$B$8+'Control Room'!$D$8)/2))</x:f>
        <x:v>1017.1587440917388</x:v>
      </x:c>
      <x:c r="F572" s="17" t="n">
        <x:f>IF(AND($A572&gt;='Control Room'!$A$13,$A572&lt;'Control Room'!$A$13+'Control Room'!$B$13,'Process'!BK2=1),1+('Control Room'!$C$13-1)*EXP(-0.5*(($A572-'Control Room'!$A$13-('Control Room'!$B$13-1)/2)/MAX(0.5,'Control Room'!$B$13/4))^2),1)*IF(AND($A572&gt;='Control Room'!$A$14,$A572&lt;'Control Room'!$A$14+'Control Room'!$B$14,'Process'!BK3=1),1+('Control Room'!$C$14-1)*EXP(-0.5*(($A572-'Control Room'!$A$14-('Control Room'!$B$14-1)/2)/MAX(0.5,'Control Room'!$B$14/4))^2),1)*IF(AND($A572&gt;='Control Room'!$A$15,$A572&lt;'Control Room'!$A$15+'Control Room'!$B$15,'Process'!BK4=1),1+('Control Room'!$C$15-1)*EXP(-0.5*(($A572-'Control Room'!$A$15-('Control Room'!$B$15-1)/2)/MAX(0.5,'Control Room'!$B$15/4))^2),1)*IF(AND($A572&gt;='Control Room'!$A$16,$A572&lt;'Control Room'!$A$16+'Control Room'!$B$16,'Process'!BK5=1),1+('Control Room'!$C$16-1)*EXP(-0.5*(($A572-'Control Room'!$A$16-('Control Room'!$B$16-1)/2)/MAX(0.5,'Control Room'!$B$16/4))^2),1)</x:f>
        <x:v>1</x:v>
      </x:c>
      <x:c r="G572" s="9" t="n">
        <x:f>MOD(H571*16807,2147483647)</x:f>
        <x:v>1914901882</x:v>
      </x:c>
      <x:c r="H572" s="9" t="n">
        <x:f>MOD(G572*16807,2147483647)</x:f>
        <x:v>1565996832</x:v>
      </x:c>
      <x:c r="I572" s="17" t="n">
        <x:f>IF('Control Room'!$B$5="Normal",'Control Room'!$B$7+'Control Room'!$D$7*SQRT(-2*LN(MAX(0.000000000001,G572/2147483647)))*COS(2*PI()*H572/2147483647),'Control Room'!$B$8+('Control Room'!$D$8-'Control Room'!$B$8)*G572/2147483647)</x:f>
        <x:v>994.3906449323138</x:v>
      </x:c>
      <x:c r="J572" s="17" t="n">
        <x:f>IF('Control Room'!$B$5="Normal",'Control Room'!$B$7,('Control Room'!$B$8+'Control Room'!$D$8)/2)+'Control Room'!$B$9*(J571-IF('Control Room'!$B$5="Normal",'Control Room'!$B$7,('Control Room'!$B$8+'Control Room'!$D$8)/2))+SQRT(1-'Control Room'!$B$9^2)*(I572-IF('Control Room'!$B$5="Normal",'Control Room'!$B$7,('Control Room'!$B$8+'Control Room'!$D$8)/2))</x:f>
        <x:v>1073.3052455776349</x:v>
      </x:c>
      <x:c r="K572" s="17" t="n">
        <x:f>IF(AND($A572&gt;='Control Room'!$A$13,$A572&lt;'Control Room'!$A$13+'Control Room'!$B$13,'Process'!BL2=1),1+('Control Room'!$C$13-1)*EXP(-0.5*(($A572-'Control Room'!$A$13-('Control Room'!$B$13-1)/2)/MAX(0.5,'Control Room'!$B$13/4))^2),1)*IF(AND($A572&gt;='Control Room'!$A$14,$A572&lt;'Control Room'!$A$14+'Control Room'!$B$14,'Process'!BL3=1),1+('Control Room'!$C$14-1)*EXP(-0.5*(($A572-'Control Room'!$A$14-('Control Room'!$B$14-1)/2)/MAX(0.5,'Control Room'!$B$14/4))^2),1)*IF(AND($A572&gt;='Control Room'!$A$15,$A572&lt;'Control Room'!$A$15+'Control Room'!$B$15,'Process'!BL4=1),1+('Control Room'!$C$15-1)*EXP(-0.5*(($A572-'Control Room'!$A$15-('Control Room'!$B$15-1)/2)/MAX(0.5,'Control Room'!$B$15/4))^2),1)*IF(AND($A572&gt;='Control Room'!$A$16,$A572&lt;'Control Room'!$A$16+'Control Room'!$B$16,'Process'!BL5=1),1+('Control Room'!$C$16-1)*EXP(-0.5*(($A572-'Control Room'!$A$16-('Control Room'!$B$16-1)/2)/MAX(0.5,'Control Room'!$B$16/4))^2),1)</x:f>
        <x:v>1</x:v>
      </x:c>
      <x:c r="L572" s="9" t="n">
        <x:f>MOD(M571*16807,2147483647)</x:f>
        <x:v>1166741094</x:v>
      </x:c>
      <x:c r="M572" s="9" t="n">
        <x:f>MOD(L572*16807,2147483647)</x:f>
        <x:v>744386101</x:v>
      </x:c>
      <x:c r="N572" s="17" t="n">
        <x:f>IF('Control Room'!$B$5="Normal",'Control Room'!$B$7+'Control Room'!$D$7*SQRT(-2*LN(MAX(0.000000000001,L572/2147483647)))*COS(2*PI()*M572/2147483647),'Control Room'!$B$8+('Control Room'!$D$8-'Control Room'!$B$8)*L572/2147483647)</x:f>
        <x:v>943.2804273538862</x:v>
      </x:c>
      <x:c r="O572" s="17" t="n">
        <x:f>IF('Control Room'!$B$5="Normal",'Control Room'!$B$7,('Control Room'!$B$8+'Control Room'!$D$8)/2)+'Control Room'!$B$9*(O571-IF('Control Room'!$B$5="Normal",'Control Room'!$B$7,('Control Room'!$B$8+'Control Room'!$D$8)/2))+SQRT(1-'Control Room'!$B$9^2)*(N572-IF('Control Room'!$B$5="Normal",'Control Room'!$B$7,('Control Room'!$B$8+'Control Room'!$D$8)/2))</x:f>
        <x:v>943.5319713989778</x:v>
      </x:c>
      <x:c r="P572" s="17" t="n">
        <x:f>IF(AND($A572&gt;='Control Room'!$A$13,$A572&lt;'Control Room'!$A$13+'Control Room'!$B$13,'Process'!BM2=1),1+('Control Room'!$C$13-1)*EXP(-0.5*(($A572-'Control Room'!$A$13-('Control Room'!$B$13-1)/2)/MAX(0.5,'Control Room'!$B$13/4))^2),1)*IF(AND($A572&gt;='Control Room'!$A$14,$A572&lt;'Control Room'!$A$14+'Control Room'!$B$14,'Process'!BM3=1),1+('Control Room'!$C$14-1)*EXP(-0.5*(($A572-'Control Room'!$A$14-('Control Room'!$B$14-1)/2)/MAX(0.5,'Control Room'!$B$14/4))^2),1)*IF(AND($A572&gt;='Control Room'!$A$15,$A572&lt;'Control Room'!$A$15+'Control Room'!$B$15,'Process'!BM4=1),1+('Control Room'!$C$15-1)*EXP(-0.5*(($A572-'Control Room'!$A$15-('Control Room'!$B$15-1)/2)/MAX(0.5,'Control Room'!$B$15/4))^2),1)*IF(AND($A572&gt;='Control Room'!$A$16,$A572&lt;'Control Room'!$A$16+'Control Room'!$B$16,'Process'!BM5=1),1+('Control Room'!$C$16-1)*EXP(-0.5*(($A572-'Control Room'!$A$16-('Control Room'!$B$16-1)/2)/MAX(0.5,'Control Room'!$B$16/4))^2),1)</x:f>
        <x:v>1</x:v>
      </x:c>
      <x:c r="Q572" s="9" t="n">
        <x:f>MOD(R571*16807,2147483647)</x:f>
        <x:v>418580306</x:v>
      </x:c>
      <x:c r="R572" s="9" t="n">
        <x:f>MOD(Q572*16807,2147483647)</x:f>
        <x:v>2070259017</x:v>
      </x:c>
      <x:c r="S572" s="17" t="n">
        <x:f>IF('Control Room'!$B$5="Normal",'Control Room'!$B$7+'Control Room'!$D$7*SQRT(-2*LN(MAX(0.000000000001,Q572/2147483647)))*COS(2*PI()*R572/2147483647),'Control Room'!$B$8+('Control Room'!$D$8-'Control Room'!$B$8)*Q572/2147483647)</x:f>
        <x:v>1158.620503169968</x:v>
      </x:c>
      <x:c r="T572" s="17" t="n">
        <x:f>IF('Control Room'!$B$5="Normal",'Control Room'!$B$7,('Control Room'!$B$8+'Control Room'!$D$8)/2)+'Control Room'!$B$9*(T571-IF('Control Room'!$B$5="Normal",'Control Room'!$B$7,('Control Room'!$B$8+'Control Room'!$D$8)/2))+SQRT(1-'Control Room'!$B$9^2)*(S572-IF('Control Room'!$B$5="Normal",'Control Room'!$B$7,('Control Room'!$B$8+'Control Room'!$D$8)/2))</x:f>
        <x:v>1211.989409756237</x:v>
      </x:c>
      <x:c r="U572" s="17" t="n">
        <x:f>IF(AND($A572&gt;='Control Room'!$A$13,$A572&lt;'Control Room'!$A$13+'Control Room'!$B$13,'Process'!BN2=1),1+('Control Room'!$C$13-1)*EXP(-0.5*(($A572-'Control Room'!$A$13-('Control Room'!$B$13-1)/2)/MAX(0.5,'Control Room'!$B$13/4))^2),1)*IF(AND($A572&gt;='Control Room'!$A$14,$A572&lt;'Control Room'!$A$14+'Control Room'!$B$14,'Process'!BN3=1),1+('Control Room'!$C$14-1)*EXP(-0.5*(($A572-'Control Room'!$A$14-('Control Room'!$B$14-1)/2)/MAX(0.5,'Control Room'!$B$14/4))^2),1)*IF(AND($A572&gt;='Control Room'!$A$15,$A572&lt;'Control Room'!$A$15+'Control Room'!$B$15,'Process'!BN4=1),1+('Control Room'!$C$15-1)*EXP(-0.5*(($A572-'Control Room'!$A$15-('Control Room'!$B$15-1)/2)/MAX(0.5,'Control Room'!$B$15/4))^2),1)*IF(AND($A572&gt;='Control Room'!$A$16,$A572&lt;'Control Room'!$A$16+'Control Room'!$B$16,'Process'!BN5=1),1+('Control Room'!$C$16-1)*EXP(-0.5*(($A572-'Control Room'!$A$16-('Control Room'!$B$16-1)/2)/MAX(0.5,'Control Room'!$B$16/4))^2),1)</x:f>
        <x:v>1</x:v>
      </x:c>
      <x:c r="V572" s="9" t="n">
        <x:f>MOD(W571*16807,2147483647)</x:f>
        <x:v>1817903165</x:v>
      </x:c>
      <x:c r="W572" s="9" t="n">
        <x:f>MOD(V572*16807,2147483647)</x:f>
        <x:v>1248648286</x:v>
      </x:c>
      <x:c r="X572" s="17" t="n">
        <x:f>IF('Control Room'!$B$5="Normal",'Control Room'!$B$7+'Control Room'!$D$7*SQRT(-2*LN(MAX(0.000000000001,V572/2147483647)))*COS(2*PI()*W572/2147483647),'Control Room'!$B$8+('Control Room'!$D$8-'Control Room'!$B$8)*V572/2147483647)</x:f>
        <x:v>954.7025566136992</x:v>
      </x:c>
      <x:c r="Y572" s="17" t="n">
        <x:f>IF('Control Room'!$B$5="Normal",'Control Room'!$B$7,('Control Room'!$B$8+'Control Room'!$D$8)/2)+'Control Room'!$B$9*(Y571-IF('Control Room'!$B$5="Normal",'Control Room'!$B$7,('Control Room'!$B$8+'Control Room'!$D$8)/2))+SQRT(1-'Control Room'!$B$9^2)*(X572-IF('Control Room'!$B$5="Normal",'Control Room'!$B$7,('Control Room'!$B$8+'Control Room'!$D$8)/2))</x:f>
        <x:v>1071.2798327506125</x:v>
      </x:c>
      <x:c r="Z572" s="17" t="n">
        <x:f>IF(AND($A572&gt;='Control Room'!$A$13,$A572&lt;'Control Room'!$A$13+'Control Room'!$B$13,'Process'!BO2=1),1+('Control Room'!$C$13-1)*EXP(-0.5*(($A572-'Control Room'!$A$13-('Control Room'!$B$13-1)/2)/MAX(0.5,'Control Room'!$B$13/4))^2),1)*IF(AND($A572&gt;='Control Room'!$A$14,$A572&lt;'Control Room'!$A$14+'Control Room'!$B$14,'Process'!BO3=1),1+('Control Room'!$C$14-1)*EXP(-0.5*(($A572-'Control Room'!$A$14-('Control Room'!$B$14-1)/2)/MAX(0.5,'Control Room'!$B$14/4))^2),1)*IF(AND($A572&gt;='Control Room'!$A$15,$A572&lt;'Control Room'!$A$15+'Control Room'!$B$15,'Process'!BO4=1),1+('Control Room'!$C$15-1)*EXP(-0.5*(($A572-'Control Room'!$A$15-('Control Room'!$B$15-1)/2)/MAX(0.5,'Control Room'!$B$15/4))^2),1)*IF(AND($A572&gt;='Control Room'!$A$16,$A572&lt;'Control Room'!$A$16+'Control Room'!$B$16,'Process'!BO5=1),1+('Control Room'!$C$16-1)*EXP(-0.5*(($A572-'Control Room'!$A$16-('Control Room'!$B$16-1)/2)/MAX(0.5,'Control Room'!$B$16/4))^2),1)</x:f>
        <x:v>1</x:v>
      </x:c>
      <x:c r="AA572" s="9" t="n">
        <x:f>MOD(AB571*16807,2147483647)</x:f>
        <x:v>1069742377</x:v>
      </x:c>
      <x:c r="AB572" s="9" t="n">
        <x:f>MOD(AA572*16807,2147483647)</x:f>
        <x:v>427037555</x:v>
      </x:c>
      <x:c r="AC572" s="17" t="n">
        <x:f>IF('Control Room'!$B$5="Normal",'Control Room'!$B$7+'Control Room'!$D$7*SQRT(-2*LN(MAX(0.000000000001,AA572/2147483647)))*COS(2*PI()*AB572/2147483647),'Control Room'!$B$8+('Control Room'!$D$8-'Control Room'!$B$8)*AA572/2147483647)</x:f>
        <x:v>1033.5598253944058</x:v>
      </x:c>
      <x:c r="AD572" s="17" t="n">
        <x:f>IF('Control Room'!$B$5="Normal",'Control Room'!$B$7,('Control Room'!$B$8+'Control Room'!$D$8)/2)+'Control Room'!$B$9*(AD571-IF('Control Room'!$B$5="Normal",'Control Room'!$B$7,('Control Room'!$B$8+'Control Room'!$D$8)/2))+SQRT(1-'Control Room'!$B$9^2)*(AC572-IF('Control Room'!$B$5="Normal",'Control Room'!$B$7,('Control Room'!$B$8+'Control Room'!$D$8)/2))</x:f>
        <x:v>1061.1024675872723</x:v>
      </x:c>
      <x:c r="AE572" s="17" t="n">
        <x:f>IF(AND($A572&gt;='Control Room'!$A$13,$A572&lt;'Control Room'!$A$13+'Control Room'!$B$13,'Process'!BP2=1),1+('Control Room'!$C$13-1)*EXP(-0.5*(($A572-'Control Room'!$A$13-('Control Room'!$B$13-1)/2)/MAX(0.5,'Control Room'!$B$13/4))^2),1)*IF(AND($A572&gt;='Control Room'!$A$14,$A572&lt;'Control Room'!$A$14+'Control Room'!$B$14,'Process'!BP3=1),1+('Control Room'!$C$14-1)*EXP(-0.5*(($A572-'Control Room'!$A$14-('Control Room'!$B$14-1)/2)/MAX(0.5,'Control Room'!$B$14/4))^2),1)*IF(AND($A572&gt;='Control Room'!$A$15,$A572&lt;'Control Room'!$A$15+'Control Room'!$B$15,'Process'!BP4=1),1+('Control Room'!$C$15-1)*EXP(-0.5*(($A572-'Control Room'!$A$15-('Control Room'!$B$15-1)/2)/MAX(0.5,'Control Room'!$B$15/4))^2),1)*IF(AND($A572&gt;='Control Room'!$A$16,$A572&lt;'Control Room'!$A$16+'Control Room'!$B$16,'Process'!BP5=1),1+('Control Room'!$C$16-1)*EXP(-0.5*(($A572-'Control Room'!$A$16-('Control Room'!$B$16-1)/2)/MAX(0.5,'Control Room'!$B$16/4))^2),1)</x:f>
        <x:v>1</x:v>
      </x:c>
      <x:c r="AF572" s="9" t="n">
        <x:f>MOD(AG571*16807,2147483647)</x:f>
        <x:v>321581589</x:v>
      </x:c>
      <x:c r="AG572" s="9" t="n">
        <x:f>MOD(AF572*16807,2147483647)</x:f>
        <x:v>1752910471</x:v>
      </x:c>
      <x:c r="AH572" s="17" t="n">
        <x:f>IF('Control Room'!$B$5="Normal",'Control Room'!$B$7+'Control Room'!$D$7*SQRT(-2*LN(MAX(0.000000000001,AF572/2147483647)))*COS(2*PI()*AG572/2147483647),'Control Room'!$B$8+('Control Room'!$D$8-'Control Room'!$B$8)*AF572/2147483647)</x:f>
        <x:v>1070.9292239508245</x:v>
      </x:c>
      <x:c r="AI572" s="17" t="n">
        <x:f>IF('Control Room'!$B$5="Normal",'Control Room'!$B$7,('Control Room'!$B$8+'Control Room'!$D$8)/2)+'Control Room'!$B$9*(AI571-IF('Control Room'!$B$5="Normal",'Control Room'!$B$7,('Control Room'!$B$8+'Control Room'!$D$8)/2))+SQRT(1-'Control Room'!$B$9^2)*(AH572-IF('Control Room'!$B$5="Normal",'Control Room'!$B$7,('Control Room'!$B$8+'Control Room'!$D$8)/2))</x:f>
        <x:v>1014.0732317312383</x:v>
      </x:c>
      <x:c r="AJ572" s="17" t="n">
        <x:f>IF(AND($A572&gt;='Control Room'!$A$13,$A572&lt;'Control Room'!$A$13+'Control Room'!$B$13,'Process'!BQ2=1),1+('Control Room'!$C$13-1)*EXP(-0.5*(($A572-'Control Room'!$A$13-('Control Room'!$B$13-1)/2)/MAX(0.5,'Control Room'!$B$13/4))^2),1)*IF(AND($A572&gt;='Control Room'!$A$14,$A572&lt;'Control Room'!$A$14+'Control Room'!$B$14,'Process'!BQ3=1),1+('Control Room'!$C$14-1)*EXP(-0.5*(($A572-'Control Room'!$A$14-('Control Room'!$B$14-1)/2)/MAX(0.5,'Control Room'!$B$14/4))^2),1)*IF(AND($A572&gt;='Control Room'!$A$15,$A572&lt;'Control Room'!$A$15+'Control Room'!$B$15,'Process'!BQ4=1),1+('Control Room'!$C$15-1)*EXP(-0.5*(($A572-'Control Room'!$A$15-('Control Room'!$B$15-1)/2)/MAX(0.5,'Control Room'!$B$15/4))^2),1)*IF(AND($A572&gt;='Control Room'!$A$16,$A572&lt;'Control Room'!$A$16+'Control Room'!$B$16,'Process'!BQ5=1),1+('Control Room'!$C$16-1)*EXP(-0.5*(($A572-'Control Room'!$A$16-('Control Room'!$B$16-1)/2)/MAX(0.5,'Control Room'!$B$16/4))^2),1)</x:f>
        <x:v>1</x:v>
      </x:c>
      <x:c r="AK572" s="9" t="n">
        <x:f>MOD(AL571*16807,2147483647)</x:f>
        <x:v>1720904448</x:v>
      </x:c>
      <x:c r="AL572" s="9" t="n">
        <x:f>MOD(AK572*16807,2147483647)</x:f>
        <x:v>931299740</x:v>
      </x:c>
      <x:c r="AM572" s="17" t="n">
        <x:f>IF('Control Room'!$B$5="Normal",'Control Room'!$B$7+'Control Room'!$D$7*SQRT(-2*LN(MAX(0.000000000001,AK572/2147483647)))*COS(2*PI()*AL572/2147483647),'Control Room'!$B$8+('Control Room'!$D$8-'Control Room'!$B$8)*AK572/2147483647)</x:f>
        <x:v>945.2315456450347</x:v>
      </x:c>
      <x:c r="AN572" s="17" t="n">
        <x:f>IF('Control Room'!$B$5="Normal",'Control Room'!$B$7,('Control Room'!$B$8+'Control Room'!$D$8)/2)+'Control Room'!$B$9*(AN571-IF('Control Room'!$B$5="Normal",'Control Room'!$B$7,('Control Room'!$B$8+'Control Room'!$D$8)/2))+SQRT(1-'Control Room'!$B$9^2)*(AM572-IF('Control Room'!$B$5="Normal",'Control Room'!$B$7,('Control Room'!$B$8+'Control Room'!$D$8)/2))</x:f>
        <x:v>1119.387772985059</x:v>
      </x:c>
      <x:c r="AO572" s="17" t="n">
        <x:f>IF(AND($A572&gt;='Control Room'!$A$13,$A572&lt;'Control Room'!$A$13+'Control Room'!$B$13,'Process'!BR2=1),1+('Control Room'!$C$13-1)*EXP(-0.5*(($A572-'Control Room'!$A$13-('Control Room'!$B$13-1)/2)/MAX(0.5,'Control Room'!$B$13/4))^2),1)*IF(AND($A572&gt;='Control Room'!$A$14,$A572&lt;'Control Room'!$A$14+'Control Room'!$B$14,'Process'!BR3=1),1+('Control Room'!$C$14-1)*EXP(-0.5*(($A572-'Control Room'!$A$14-('Control Room'!$B$14-1)/2)/MAX(0.5,'Control Room'!$B$14/4))^2),1)*IF(AND($A572&gt;='Control Room'!$A$15,$A572&lt;'Control Room'!$A$15+'Control Room'!$B$15,'Process'!BR4=1),1+('Control Room'!$C$15-1)*EXP(-0.5*(($A572-'Control Room'!$A$15-('Control Room'!$B$15-1)/2)/MAX(0.5,'Control Room'!$B$15/4))^2),1)*IF(AND($A572&gt;='Control Room'!$A$16,$A572&lt;'Control Room'!$A$16+'Control Room'!$B$16,'Process'!BR5=1),1+('Control Room'!$C$16-1)*EXP(-0.5*(($A572-'Control Room'!$A$16-('Control Room'!$B$16-1)/2)/MAX(0.5,'Control Room'!$B$16/4))^2),1)</x:f>
        <x:v>1</x:v>
      </x:c>
      <x:c r="AP572" s="9" t="n">
        <x:f>MOD(AQ571*16807,2147483647)</x:f>
        <x:v>972743660</x:v>
      </x:c>
      <x:c r="AQ572" s="9" t="n">
        <x:f>MOD(AP572*16807,2147483647)</x:f>
        <x:v>109689009</x:v>
      </x:c>
      <x:c r="AR572" s="17" t="n">
        <x:f>IF('Control Room'!$B$5="Normal",'Control Room'!$B$7+'Control Room'!$D$7*SQRT(-2*LN(MAX(0.000000000001,AP572/2147483647)))*COS(2*PI()*AQ572/2147483647),'Control Room'!$B$8+('Control Room'!$D$8-'Control Room'!$B$8)*AP572/2147483647)</x:f>
        <x:v>1107.483272827332</x:v>
      </x:c>
      <x:c r="AS572" s="17" t="n">
        <x:f>IF('Control Room'!$B$5="Normal",'Control Room'!$B$7,('Control Room'!$B$8+'Control Room'!$D$8)/2)+'Control Room'!$B$9*(AS571-IF('Control Room'!$B$5="Normal",'Control Room'!$B$7,('Control Room'!$B$8+'Control Room'!$D$8)/2))+SQRT(1-'Control Room'!$B$9^2)*(AR572-IF('Control Room'!$B$5="Normal",'Control Room'!$B$7,('Control Room'!$B$8+'Control Room'!$D$8)/2))</x:f>
        <x:v>952.5647598431154</x:v>
      </x:c>
      <x:c r="AT572" s="17" t="n">
        <x:f>IF(AND($A572&gt;='Control Room'!$A$13,$A572&lt;'Control Room'!$A$13+'Control Room'!$B$13,'Process'!BS2=1),1+('Control Room'!$C$13-1)*EXP(-0.5*(($A572-'Control Room'!$A$13-('Control Room'!$B$13-1)/2)/MAX(0.5,'Control Room'!$B$13/4))^2),1)*IF(AND($A572&gt;='Control Room'!$A$14,$A572&lt;'Control Room'!$A$14+'Control Room'!$B$14,'Process'!BS3=1),1+('Control Room'!$C$14-1)*EXP(-0.5*(($A572-'Control Room'!$A$14-('Control Room'!$B$14-1)/2)/MAX(0.5,'Control Room'!$B$14/4))^2),1)*IF(AND($A572&gt;='Control Room'!$A$15,$A572&lt;'Control Room'!$A$15+'Control Room'!$B$15,'Process'!BS4=1),1+('Control Room'!$C$15-1)*EXP(-0.5*(($A572-'Control Room'!$A$15-('Control Room'!$B$15-1)/2)/MAX(0.5,'Control Room'!$B$15/4))^2),1)*IF(AND($A572&gt;='Control Room'!$A$16,$A572&lt;'Control Room'!$A$16+'Control Room'!$B$16,'Process'!BS5=1),1+('Control Room'!$C$16-1)*EXP(-0.5*(($A572-'Control Room'!$A$16-('Control Room'!$B$16-1)/2)/MAX(0.5,'Control Room'!$B$16/4))^2),1)</x:f>
        <x:v>1</x:v>
      </x:c>
      <x:c r="AU572" s="9" t="n">
        <x:f>MOD(AV571*16807,2147483647)</x:f>
        <x:v>224582872</x:v>
      </x:c>
      <x:c r="AV572" s="9" t="n">
        <x:f>MOD(AU572*16807,2147483647)</x:f>
        <x:v>1435561925</x:v>
      </x:c>
      <x:c r="AW572" s="17" t="n">
        <x:f>IF('Control Room'!$B$5="Normal",'Control Room'!$B$7+'Control Room'!$D$7*SQRT(-2*LN(MAX(0.000000000001,AU572/2147483647)))*COS(2*PI()*AV572/2147483647),'Control Room'!$B$8+('Control Room'!$D$8-'Control Room'!$B$8)*AU572/2147483647)</x:f>
        <x:v>906.2742321211067</x:v>
      </x:c>
      <x:c r="AX572" s="17" t="n">
        <x:f>IF('Control Room'!$B$5="Normal",'Control Room'!$B$7,('Control Room'!$B$8+'Control Room'!$D$8)/2)+'Control Room'!$B$9*(AX571-IF('Control Room'!$B$5="Normal",'Control Room'!$B$7,('Control Room'!$B$8+'Control Room'!$D$8)/2))+SQRT(1-'Control Room'!$B$9^2)*(AW572-IF('Control Room'!$B$5="Normal",'Control Room'!$B$7,('Control Room'!$B$8+'Control Room'!$D$8)/2))</x:f>
        <x:v>883.2155813307514</x:v>
      </x:c>
      <x:c r="AY572" s="17" t="n">
        <x:f>IF(AND($A572&gt;='Control Room'!$A$13,$A572&lt;'Control Room'!$A$13+'Control Room'!$B$13,'Process'!BT2=1),1+('Control Room'!$C$13-1)*EXP(-0.5*(($A572-'Control Room'!$A$13-('Control Room'!$B$13-1)/2)/MAX(0.5,'Control Room'!$B$13/4))^2),1)*IF(AND($A572&gt;='Control Room'!$A$14,$A572&lt;'Control Room'!$A$14+'Control Room'!$B$14,'Process'!BT3=1),1+('Control Room'!$C$14-1)*EXP(-0.5*(($A572-'Control Room'!$A$14-('Control Room'!$B$14-1)/2)/MAX(0.5,'Control Room'!$B$14/4))^2),1)*IF(AND($A572&gt;='Control Room'!$A$15,$A572&lt;'Control Room'!$A$15+'Control Room'!$B$15,'Process'!BT4=1),1+('Control Room'!$C$15-1)*EXP(-0.5*(($A572-'Control Room'!$A$15-('Control Room'!$B$15-1)/2)/MAX(0.5,'Control Room'!$B$15/4))^2),1)*IF(AND($A572&gt;='Control Room'!$A$16,$A572&lt;'Control Room'!$A$16+'Control Room'!$B$16,'Process'!BT5=1),1+('Control Room'!$C$16-1)*EXP(-0.5*(($A572-'Control Room'!$A$16-('Control Room'!$B$16-1)/2)/MAX(0.5,'Control Room'!$B$16/4))^2),1)</x:f>
        <x:v>1</x:v>
      </x:c>
      <x:c r="AZ572" s="9" t="n">
        <x:f>MOD(BA571*16807,2147483647)</x:f>
        <x:v>1623905731</x:v>
      </x:c>
      <x:c r="BA572" s="9" t="n">
        <x:f>MOD(AZ572*16807,2147483647)</x:f>
        <x:v>613951194</x:v>
      </x:c>
      <x:c r="BB572" s="17" t="n">
        <x:f>IF('Control Room'!$B$5="Normal",'Control Room'!$B$7+'Control Room'!$D$7*SQRT(-2*LN(MAX(0.000000000001,AZ572/2147483647)))*COS(2*PI()*BA572/2147483647),'Control Room'!$B$8+('Control Room'!$D$8-'Control Room'!$B$8)*AZ572/2147483647)</x:f>
        <x:v>984.9538665069232</x:v>
      </x:c>
      <x:c r="BC572" s="17" t="n">
        <x:f>IF('Control Room'!$B$5="Normal",'Control Room'!$B$7,('Control Room'!$B$8+'Control Room'!$D$8)/2)+'Control Room'!$B$9*(BC571-IF('Control Room'!$B$5="Normal",'Control Room'!$B$7,('Control Room'!$B$8+'Control Room'!$D$8)/2))+SQRT(1-'Control Room'!$B$9^2)*(BB572-IF('Control Room'!$B$5="Normal",'Control Room'!$B$7,('Control Room'!$B$8+'Control Room'!$D$8)/2))</x:f>
        <x:v>930.1192039495218</x:v>
      </x:c>
      <x:c r="BD572" s="17" t="n">
        <x:f>IF(AND($A572&gt;='Control Room'!$A$13,$A572&lt;'Control Room'!$A$13+'Control Room'!$B$13,'Process'!BU2=1),1+('Control Room'!$C$13-1)*EXP(-0.5*(($A572-'Control Room'!$A$13-('Control Room'!$B$13-1)/2)/MAX(0.5,'Control Room'!$B$13/4))^2),1)*IF(AND($A572&gt;='Control Room'!$A$14,$A572&lt;'Control Room'!$A$14+'Control Room'!$B$14,'Process'!BU3=1),1+('Control Room'!$C$14-1)*EXP(-0.5*(($A572-'Control Room'!$A$14-('Control Room'!$B$14-1)/2)/MAX(0.5,'Control Room'!$B$14/4))^2),1)*IF(AND($A572&gt;='Control Room'!$A$15,$A572&lt;'Control Room'!$A$15+'Control Room'!$B$15,'Process'!BU4=1),1+('Control Room'!$C$15-1)*EXP(-0.5*(($A572-'Control Room'!$A$15-('Control Room'!$B$15-1)/2)/MAX(0.5,'Control Room'!$B$15/4))^2),1)*IF(AND($A572&gt;='Control Room'!$A$16,$A572&lt;'Control Room'!$A$16+'Control Room'!$B$16,'Process'!BU5=1),1+('Control Room'!$C$16-1)*EXP(-0.5*(($A572-'Control Room'!$A$16-('Control Room'!$B$16-1)/2)/MAX(0.5,'Control Room'!$B$16/4))^2),1)</x:f>
        <x:v>1</x:v>
      </x:c>
      <x:c r="BE572" s="9" t="n">
        <x:f>MOD(BF571*16807,2147483647)</x:f>
        <x:v>875744943</x:v>
      </x:c>
      <x:c r="BF572" s="9" t="n">
        <x:f>MOD(BE572*16807,2147483647)</x:f>
        <x:v>1939824110</x:v>
      </x:c>
      <x:c r="BG572" s="17" t="n">
        <x:f>IF('Control Room'!$B$5="Normal",'Control Room'!$B$7+'Control Room'!$D$7*SQRT(-2*LN(MAX(0.000000000001,BE572/2147483647)))*COS(2*PI()*BF572/2147483647),'Control Room'!$B$8+('Control Room'!$D$8-'Control Room'!$B$8)*BE572/2147483647)</x:f>
        <x:v>1098.9712209504455</x:v>
      </x:c>
      <x:c r="BH572" s="17" t="n">
        <x:f>IF('Control Room'!$B$5="Normal",'Control Room'!$B$7,('Control Room'!$B$8+'Control Room'!$D$8)/2)+'Control Room'!$B$9*(BH571-IF('Control Room'!$B$5="Normal",'Control Room'!$B$7,('Control Room'!$B$8+'Control Room'!$D$8)/2))+SQRT(1-'Control Room'!$B$9^2)*(BG572-IF('Control Room'!$B$5="Normal",'Control Room'!$B$7,('Control Room'!$B$8+'Control Room'!$D$8)/2))</x:f>
        <x:v>990.9262639443125</x:v>
      </x:c>
      <x:c r="BI572" s="17" t="n">
        <x:f>IF(AND($A572&gt;='Control Room'!$A$13,$A572&lt;'Control Room'!$A$13+'Control Room'!$B$13,'Process'!BV2=1),1+('Control Room'!$C$13-1)*EXP(-0.5*(($A572-'Control Room'!$A$13-('Control Room'!$B$13-1)/2)/MAX(0.5,'Control Room'!$B$13/4))^2),1)*IF(AND($A572&gt;='Control Room'!$A$14,$A572&lt;'Control Room'!$A$14+'Control Room'!$B$14,'Process'!BV3=1),1+('Control Room'!$C$14-1)*EXP(-0.5*(($A572-'Control Room'!$A$14-('Control Room'!$B$14-1)/2)/MAX(0.5,'Control Room'!$B$14/4))^2),1)*IF(AND($A572&gt;='Control Room'!$A$15,$A572&lt;'Control Room'!$A$15+'Control Room'!$B$15,'Process'!BV4=1),1+('Control Room'!$C$15-1)*EXP(-0.5*(($A572-'Control Room'!$A$15-('Control Room'!$B$15-1)/2)/MAX(0.5,'Control Room'!$B$15/4))^2),1)*IF(AND($A572&gt;='Control Room'!$A$16,$A572&lt;'Control Room'!$A$16+'Control Room'!$B$16,'Process'!BV5=1),1+('Control Room'!$C$16-1)*EXP(-0.5*(($A572-'Control Room'!$A$16-('Control Room'!$B$16-1)/2)/MAX(0.5,'Control Room'!$B$16/4))^2),1)</x:f>
        <x:v>1</x:v>
      </x:c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Z572" t="str">
        <x:f>IF('Data'!A572="","",TEXT('Data'!A572,"mm-dd"))</x:f>
      </x:c>
    </x:row>
    <x:row r="573" ht="21" customHeight="1">
      <x:c r="A573" s="15" t="n">
        <x:f>'Control Room'!$B$1+571</x:f>
        <x:v>73562</x:v>
      </x:c>
      <x:c r="B573" s="9" t="n">
        <x:f>MOD(C572*16807,2147483647)</x:f>
        <x:v>640883499</x:v>
      </x:c>
      <x:c r="C573" s="9" t="n">
        <x:f>MOD(B573*16807,2147483647)</x:f>
        <x:v>1698477988</x:v>
      </x:c>
      <x:c r="D573" s="17" t="n">
        <x:f>IF('Control Room'!$B$5="Normal",'Control Room'!$B$7+'Control Room'!$D$7*SQRT(-2*LN(MAX(0.000000000001,B573/2147483647)))*COS(2*PI()*C573/2147483647),'Control Room'!$B$8+('Control Room'!$D$8-'Control Room'!$B$8)*B573/2147483647)</x:f>
        <x:v>1035.5860841826895</x:v>
      </x:c>
      <x:c r="E573" s="17" t="n">
        <x:f>IF('Control Room'!$B$5="Normal",'Control Room'!$B$7,('Control Room'!$B$8+'Control Room'!$D$8)/2)+'Control Room'!$B$9*(E572-IF('Control Room'!$B$5="Normal",'Control Room'!$B$7,('Control Room'!$B$8+'Control Room'!$D$8)/2))+SQRT(1-'Control Room'!$B$9^2)*(D573-IF('Control Room'!$B$5="Normal",'Control Room'!$B$7,('Control Room'!$B$8+'Control Room'!$D$8)/2))</x:f>
        <x:v>1035.6528628525232</x:v>
      </x:c>
      <x:c r="F573" s="17" t="n">
        <x:f>IF(AND($A573&gt;='Control Room'!$A$13,$A573&lt;'Control Room'!$A$13+'Control Room'!$B$13,'Process'!BK2=1),1+('Control Room'!$C$13-1)*EXP(-0.5*(($A573-'Control Room'!$A$13-('Control Room'!$B$13-1)/2)/MAX(0.5,'Control Room'!$B$13/4))^2),1)*IF(AND($A573&gt;='Control Room'!$A$14,$A573&lt;'Control Room'!$A$14+'Control Room'!$B$14,'Process'!BK3=1),1+('Control Room'!$C$14-1)*EXP(-0.5*(($A573-'Control Room'!$A$14-('Control Room'!$B$14-1)/2)/MAX(0.5,'Control Room'!$B$14/4))^2),1)*IF(AND($A573&gt;='Control Room'!$A$15,$A573&lt;'Control Room'!$A$15+'Control Room'!$B$15,'Process'!BK4=1),1+('Control Room'!$C$15-1)*EXP(-0.5*(($A573-'Control Room'!$A$15-('Control Room'!$B$15-1)/2)/MAX(0.5,'Control Room'!$B$15/4))^2),1)*IF(AND($A573&gt;='Control Room'!$A$16,$A573&lt;'Control Room'!$A$16+'Control Room'!$B$16,'Process'!BK5=1),1+('Control Room'!$C$16-1)*EXP(-0.5*(($A573-'Control Room'!$A$16-('Control Room'!$B$16-1)/2)/MAX(0.5,'Control Room'!$B$16/4))^2),1)</x:f>
        <x:v>1</x:v>
      </x:c>
      <x:c r="G573" s="9" t="n">
        <x:f>MOD(H572*16807,2147483647)</x:f>
        <x:v>149177792</x:v>
      </x:c>
      <x:c r="H573" s="9" t="n">
        <x:f>MOD(G573*16807,2147483647)</x:f>
        <x:v>1117734095</x:v>
      </x:c>
      <x:c r="I573" s="17" t="n">
        <x:f>IF('Control Room'!$B$5="Normal",'Control Room'!$B$7+'Control Room'!$D$7*SQRT(-2*LN(MAX(0.000000000001,G573/2147483647)))*COS(2*PI()*H573/2147483647),'Control Room'!$B$8+('Control Room'!$D$8-'Control Room'!$B$8)*G573/2147483647)</x:f>
        <x:v>793.8637274699086</x:v>
      </x:c>
      <x:c r="J573" s="17" t="n">
        <x:f>IF('Control Room'!$B$5="Normal",'Control Room'!$B$7,('Control Room'!$B$8+'Control Room'!$D$8)/2)+'Control Room'!$B$9*(J572-IF('Control Room'!$B$5="Normal",'Control Room'!$B$7,('Control Room'!$B$8+'Control Room'!$D$8)/2))+SQRT(1-'Control Room'!$B$9^2)*(I573-IF('Control Room'!$B$5="Normal",'Control Room'!$B$7,('Control Room'!$B$8+'Control Room'!$D$8)/2))</x:f>
        <x:v>928.1822351323034</x:v>
      </x:c>
      <x:c r="K573" s="17" t="n">
        <x:f>IF(AND($A573&gt;='Control Room'!$A$13,$A573&lt;'Control Room'!$A$13+'Control Room'!$B$13,'Process'!BL2=1),1+('Control Room'!$C$13-1)*EXP(-0.5*(($A573-'Control Room'!$A$13-('Control Room'!$B$13-1)/2)/MAX(0.5,'Control Room'!$B$13/4))^2),1)*IF(AND($A573&gt;='Control Room'!$A$14,$A573&lt;'Control Room'!$A$14+'Control Room'!$B$14,'Process'!BL3=1),1+('Control Room'!$C$14-1)*EXP(-0.5*(($A573-'Control Room'!$A$14-('Control Room'!$B$14-1)/2)/MAX(0.5,'Control Room'!$B$14/4))^2),1)*IF(AND($A573&gt;='Control Room'!$A$15,$A573&lt;'Control Room'!$A$15+'Control Room'!$B$15,'Process'!BL4=1),1+('Control Room'!$C$15-1)*EXP(-0.5*(($A573-'Control Room'!$A$15-('Control Room'!$B$15-1)/2)/MAX(0.5,'Control Room'!$B$15/4))^2),1)*IF(AND($A573&gt;='Control Room'!$A$16,$A573&lt;'Control Room'!$A$16+'Control Room'!$B$16,'Process'!BL5=1),1+('Control Room'!$C$16-1)*EXP(-0.5*(($A573-'Control Room'!$A$16-('Control Room'!$B$16-1)/2)/MAX(0.5,'Control Room'!$B$16/4))^2),1)</x:f>
        <x:v>1</x:v>
      </x:c>
      <x:c r="L573" s="9" t="n">
        <x:f>MOD(M572*16807,2147483647)</x:f>
        <x:v>1804955732</x:v>
      </x:c>
      <x:c r="M573" s="9" t="n">
        <x:f>MOD(L573*16807,2147483647)</x:f>
        <x:v>536990202</x:v>
      </x:c>
      <x:c r="N573" s="17" t="n">
        <x:f>IF('Control Room'!$B$5="Normal",'Control Room'!$B$7+'Control Room'!$D$7*SQRT(-2*LN(MAX(0.000000000001,L573/2147483647)))*COS(2*PI()*M573/2147483647),'Control Room'!$B$8+('Control Room'!$D$8-'Control Room'!$B$8)*L573/2147483647)</x:f>
        <x:v>999.9814822498113</x:v>
      </x:c>
      <x:c r="O573" s="17" t="n">
        <x:f>IF('Control Room'!$B$5="Normal",'Control Room'!$B$7,('Control Room'!$B$8+'Control Room'!$D$8)/2)+'Control Room'!$B$9*(O572-IF('Control Room'!$B$5="Normal",'Control Room'!$B$7,('Control Room'!$B$8+'Control Room'!$D$8)/2))+SQRT(1-'Control Room'!$B$9^2)*(N573-IF('Control Room'!$B$5="Normal",'Control Room'!$B$7,('Control Room'!$B$8+'Control Room'!$D$8)/2))</x:f>
        <x:v>955.9433496624913</x:v>
      </x:c>
      <x:c r="P573" s="17" t="n">
        <x:f>IF(AND($A573&gt;='Control Room'!$A$13,$A573&lt;'Control Room'!$A$13+'Control Room'!$B$13,'Process'!BM2=1),1+('Control Room'!$C$13-1)*EXP(-0.5*(($A573-'Control Room'!$A$13-('Control Room'!$B$13-1)/2)/MAX(0.5,'Control Room'!$B$13/4))^2),1)*IF(AND($A573&gt;='Control Room'!$A$14,$A573&lt;'Control Room'!$A$14+'Control Room'!$B$14,'Process'!BM3=1),1+('Control Room'!$C$14-1)*EXP(-0.5*(($A573-'Control Room'!$A$14-('Control Room'!$B$14-1)/2)/MAX(0.5,'Control Room'!$B$14/4))^2),1)*IF(AND($A573&gt;='Control Room'!$A$15,$A573&lt;'Control Room'!$A$15+'Control Room'!$B$15,'Process'!BM4=1),1+('Control Room'!$C$15-1)*EXP(-0.5*(($A573-'Control Room'!$A$15-('Control Room'!$B$15-1)/2)/MAX(0.5,'Control Room'!$B$15/4))^2),1)*IF(AND($A573&gt;='Control Room'!$A$16,$A573&lt;'Control Room'!$A$16+'Control Room'!$B$16,'Process'!BM5=1),1+('Control Room'!$C$16-1)*EXP(-0.5*(($A573-'Control Room'!$A$16-('Control Room'!$B$16-1)/2)/MAX(0.5,'Control Room'!$B$16/4))^2),1)</x:f>
        <x:v>1</x:v>
      </x:c>
      <x:c r="Q573" s="9" t="n">
        <x:f>MOD(R572*16807,2147483647)</x:f>
        <x:v>1313250025</x:v>
      </x:c>
      <x:c r="R573" s="9" t="n">
        <x:f>MOD(Q573*16807,2147483647)</x:f>
        <x:v>2103729956</x:v>
      </x:c>
      <x:c r="S573" s="17" t="n">
        <x:f>IF('Control Room'!$B$5="Normal",'Control Room'!$B$7+'Control Room'!$D$7*SQRT(-2*LN(MAX(0.000000000001,Q573/2147483647)))*COS(2*PI()*R573/2147483647),'Control Room'!$B$8+('Control Room'!$D$8-'Control Room'!$B$8)*Q573/2147483647)</x:f>
        <x:v>1088.5278121725662</x:v>
      </x:c>
      <x:c r="T573" s="17" t="n">
        <x:f>IF('Control Room'!$B$5="Normal",'Control Room'!$B$7,('Control Room'!$B$8+'Control Room'!$D$8)/2)+'Control Room'!$B$9*(T572-IF('Control Room'!$B$5="Normal",'Control Room'!$B$7,('Control Room'!$B$8+'Control Room'!$D$8)/2))+SQRT(1-'Control Room'!$B$9^2)*(S573-IF('Control Room'!$B$5="Normal",'Control Room'!$B$7,('Control Room'!$B$8+'Control Room'!$D$8)/2))</x:f>
        <x:v>1220.750630876647</x:v>
      </x:c>
      <x:c r="U573" s="17" t="n">
        <x:f>IF(AND($A573&gt;='Control Room'!$A$13,$A573&lt;'Control Room'!$A$13+'Control Room'!$B$13,'Process'!BN2=1),1+('Control Room'!$C$13-1)*EXP(-0.5*(($A573-'Control Room'!$A$13-('Control Room'!$B$13-1)/2)/MAX(0.5,'Control Room'!$B$13/4))^2),1)*IF(AND($A573&gt;='Control Room'!$A$14,$A573&lt;'Control Room'!$A$14+'Control Room'!$B$14,'Process'!BN3=1),1+('Control Room'!$C$14-1)*EXP(-0.5*(($A573-'Control Room'!$A$14-('Control Room'!$B$14-1)/2)/MAX(0.5,'Control Room'!$B$14/4))^2),1)*IF(AND($A573&gt;='Control Room'!$A$15,$A573&lt;'Control Room'!$A$15+'Control Room'!$B$15,'Process'!BN4=1),1+('Control Room'!$C$15-1)*EXP(-0.5*(($A573-'Control Room'!$A$15-('Control Room'!$B$15-1)/2)/MAX(0.5,'Control Room'!$B$15/4))^2),1)*IF(AND($A573&gt;='Control Room'!$A$16,$A573&lt;'Control Room'!$A$16+'Control Room'!$B$16,'Process'!BN5=1),1+('Control Room'!$C$16-1)*EXP(-0.5*(($A573-'Control Room'!$A$16-('Control Room'!$B$16-1)/2)/MAX(0.5,'Control Room'!$B$16/4))^2),1)</x:f>
        <x:v>1</x:v>
      </x:c>
      <x:c r="V573" s="9" t="n">
        <x:f>MOD(W572*16807,2147483647)</x:f>
        <x:v>821544318</x:v>
      </x:c>
      <x:c r="W573" s="9" t="n">
        <x:f>MOD(V573*16807,2147483647)</x:f>
        <x:v>1522986063</x:v>
      </x:c>
      <x:c r="X573" s="17" t="n">
        <x:f>IF('Control Room'!$B$5="Normal",'Control Room'!$B$7+'Control Room'!$D$7*SQRT(-2*LN(MAX(0.000000000001,V573/2147483647)))*COS(2*PI()*W573/2147483647),'Control Room'!$B$8+('Control Room'!$D$8-'Control Room'!$B$8)*V573/2147483647)</x:f>
        <x:v>968.3621462262873</x:v>
      </x:c>
      <x:c r="Y573" s="17" t="n">
        <x:f>IF('Control Room'!$B$5="Normal",'Control Room'!$B$7,('Control Room'!$B$8+'Control Room'!$D$8)/2)+'Control Room'!$B$9*(Y572-IF('Control Room'!$B$5="Normal",'Control Room'!$B$7,('Control Room'!$B$8+'Control Room'!$D$8)/2))+SQRT(1-'Control Room'!$B$9^2)*(X573-IF('Control Room'!$B$5="Normal",'Control Room'!$B$7,('Control Room'!$B$8+'Control Room'!$D$8)/2))</x:f>
        <x:v>1035.7999487905522</x:v>
      </x:c>
      <x:c r="Z573" s="17" t="n">
        <x:f>IF(AND($A573&gt;='Control Room'!$A$13,$A573&lt;'Control Room'!$A$13+'Control Room'!$B$13,'Process'!BO2=1),1+('Control Room'!$C$13-1)*EXP(-0.5*(($A573-'Control Room'!$A$13-('Control Room'!$B$13-1)/2)/MAX(0.5,'Control Room'!$B$13/4))^2),1)*IF(AND($A573&gt;='Control Room'!$A$14,$A573&lt;'Control Room'!$A$14+'Control Room'!$B$14,'Process'!BO3=1),1+('Control Room'!$C$14-1)*EXP(-0.5*(($A573-'Control Room'!$A$14-('Control Room'!$B$14-1)/2)/MAX(0.5,'Control Room'!$B$14/4))^2),1)*IF(AND($A573&gt;='Control Room'!$A$15,$A573&lt;'Control Room'!$A$15+'Control Room'!$B$15,'Process'!BO4=1),1+('Control Room'!$C$15-1)*EXP(-0.5*(($A573-'Control Room'!$A$15-('Control Room'!$B$15-1)/2)/MAX(0.5,'Control Room'!$B$15/4))^2),1)*IF(AND($A573&gt;='Control Room'!$A$16,$A573&lt;'Control Room'!$A$16+'Control Room'!$B$16,'Process'!BO5=1),1+('Control Room'!$C$16-1)*EXP(-0.5*(($A573-'Control Room'!$A$16-('Control Room'!$B$16-1)/2)/MAX(0.5,'Control Room'!$B$16/4))^2),1)</x:f>
        <x:v>1</x:v>
      </x:c>
      <x:c r="AA573" s="9" t="n">
        <x:f>MOD(AB572*16807,2147483647)</x:f>
        <x:v>329838611</x:v>
      </x:c>
      <x:c r="AB573" s="9" t="n">
        <x:f>MOD(AA573*16807,2147483647)</x:f>
        <x:v>942242170</x:v>
      </x:c>
      <x:c r="AC573" s="17" t="n">
        <x:f>IF('Control Room'!$B$5="Normal",'Control Room'!$B$7+'Control Room'!$D$7*SQRT(-2*LN(MAX(0.000000000001,AA573/2147483647)))*COS(2*PI()*AB573/2147483647),'Control Room'!$B$8+('Control Room'!$D$8-'Control Room'!$B$8)*AA573/2147483647)</x:f>
        <x:v>838.5238853510962</x:v>
      </x:c>
      <x:c r="AD573" s="17" t="n">
        <x:f>IF('Control Room'!$B$5="Normal",'Control Room'!$B$7,('Control Room'!$B$8+'Control Room'!$D$8)/2)+'Control Room'!$B$9*(AD572-IF('Control Room'!$B$5="Normal",'Control Room'!$B$7,('Control Room'!$B$8+'Control Room'!$D$8)/2))+SQRT(1-'Control Room'!$B$9^2)*(AC573-IF('Control Room'!$B$5="Normal",'Control Room'!$B$7,('Control Room'!$B$8+'Control Room'!$D$8)/2))</x:f>
        <x:v>946.6114801888036</x:v>
      </x:c>
      <x:c r="AE573" s="17" t="n">
        <x:f>IF(AND($A573&gt;='Control Room'!$A$13,$A573&lt;'Control Room'!$A$13+'Control Room'!$B$13,'Process'!BP2=1),1+('Control Room'!$C$13-1)*EXP(-0.5*(($A573-'Control Room'!$A$13-('Control Room'!$B$13-1)/2)/MAX(0.5,'Control Room'!$B$13/4))^2),1)*IF(AND($A573&gt;='Control Room'!$A$14,$A573&lt;'Control Room'!$A$14+'Control Room'!$B$14,'Process'!BP3=1),1+('Control Room'!$C$14-1)*EXP(-0.5*(($A573-'Control Room'!$A$14-('Control Room'!$B$14-1)/2)/MAX(0.5,'Control Room'!$B$14/4))^2),1)*IF(AND($A573&gt;='Control Room'!$A$15,$A573&lt;'Control Room'!$A$15+'Control Room'!$B$15,'Process'!BP4=1),1+('Control Room'!$C$15-1)*EXP(-0.5*(($A573-'Control Room'!$A$15-('Control Room'!$B$15-1)/2)/MAX(0.5,'Control Room'!$B$15/4))^2),1)*IF(AND($A573&gt;='Control Room'!$A$16,$A573&lt;'Control Room'!$A$16+'Control Room'!$B$16,'Process'!BP5=1),1+('Control Room'!$C$16-1)*EXP(-0.5*(($A573-'Control Room'!$A$16-('Control Room'!$B$16-1)/2)/MAX(0.5,'Control Room'!$B$16/4))^2),1)</x:f>
        <x:v>1</x:v>
      </x:c>
      <x:c r="AF573" s="9" t="n">
        <x:f>MOD(AG572*16807,2147483647)</x:f>
        <x:v>1985616551</x:v>
      </x:c>
      <x:c r="AG573" s="9" t="n">
        <x:f>MOD(AF573*16807,2147483647)</x:f>
        <x:v>361498277</x:v>
      </x:c>
      <x:c r="AH573" s="17" t="n">
        <x:f>IF('Control Room'!$B$5="Normal",'Control Room'!$B$7+'Control Room'!$D$7*SQRT(-2*LN(MAX(0.000000000001,AF573/2147483647)))*COS(2*PI()*AG573/2147483647),'Control Room'!$B$8+('Control Room'!$D$8-'Control Room'!$B$8)*AF573/2147483647)</x:f>
        <x:v>1017.4907951410066</x:v>
      </x:c>
      <x:c r="AI573" s="17" t="n">
        <x:f>IF('Control Room'!$B$5="Normal",'Control Room'!$B$7,('Control Room'!$B$8+'Control Room'!$D$8)/2)+'Control Room'!$B$9*(AI572-IF('Control Room'!$B$5="Normal",'Control Room'!$B$7,('Control Room'!$B$8+'Control Room'!$D$8)/2))+SQRT(1-'Control Room'!$B$9^2)*(AH573-IF('Control Room'!$B$5="Normal",'Control Room'!$B$7,('Control Room'!$B$8+'Control Room'!$D$8)/2))</x:f>
        <x:v>1021.9225020311931</x:v>
      </x:c>
      <x:c r="AJ573" s="17" t="n">
        <x:f>IF(AND($A573&gt;='Control Room'!$A$13,$A573&lt;'Control Room'!$A$13+'Control Room'!$B$13,'Process'!BQ2=1),1+('Control Room'!$C$13-1)*EXP(-0.5*(($A573-'Control Room'!$A$13-('Control Room'!$B$13-1)/2)/MAX(0.5,'Control Room'!$B$13/4))^2),1)*IF(AND($A573&gt;='Control Room'!$A$14,$A573&lt;'Control Room'!$A$14+'Control Room'!$B$14,'Process'!BQ3=1),1+('Control Room'!$C$14-1)*EXP(-0.5*(($A573-'Control Room'!$A$14-('Control Room'!$B$14-1)/2)/MAX(0.5,'Control Room'!$B$14/4))^2),1)*IF(AND($A573&gt;='Control Room'!$A$15,$A573&lt;'Control Room'!$A$15+'Control Room'!$B$15,'Process'!BQ4=1),1+('Control Room'!$C$15-1)*EXP(-0.5*(($A573-'Control Room'!$A$15-('Control Room'!$B$15-1)/2)/MAX(0.5,'Control Room'!$B$15/4))^2),1)*IF(AND($A573&gt;='Control Room'!$A$16,$A573&lt;'Control Room'!$A$16+'Control Room'!$B$16,'Process'!BQ5=1),1+('Control Room'!$C$16-1)*EXP(-0.5*(($A573-'Control Room'!$A$16-('Control Room'!$B$16-1)/2)/MAX(0.5,'Control Room'!$B$16/4))^2),1)</x:f>
        <x:v>1</x:v>
      </x:c>
      <x:c r="AK573" s="9" t="n">
        <x:f>MOD(AL572*16807,2147483647)</x:f>
        <x:v>1493910844</x:v>
      </x:c>
      <x:c r="AL573" s="9" t="n">
        <x:f>MOD(AK573*16807,2147483647)</x:f>
        <x:v>1928238031</x:v>
      </x:c>
      <x:c r="AM573" s="17" t="n">
        <x:f>IF('Control Room'!$B$5="Normal",'Control Room'!$B$7+'Control Room'!$D$7*SQRT(-2*LN(MAX(0.000000000001,AK573/2147483647)))*COS(2*PI()*AL573/2147483647),'Control Room'!$B$8+('Control Room'!$D$8-'Control Room'!$B$8)*AK573/2147483647)</x:f>
        <x:v>1061.4325547720885</x:v>
      </x:c>
      <x:c r="AN573" s="17" t="n">
        <x:f>IF('Control Room'!$B$5="Normal",'Control Room'!$B$7,('Control Room'!$B$8+'Control Room'!$D$8)/2)+'Control Room'!$B$9*(AN572-IF('Control Room'!$B$5="Normal",'Control Room'!$B$7,('Control Room'!$B$8+'Control Room'!$D$8)/2))+SQRT(1-'Control Room'!$B$9^2)*(AM573-IF('Control Room'!$B$5="Normal",'Control Room'!$B$7,('Control Room'!$B$8+'Control Room'!$D$8)/2))</x:f>
        <x:v>1131.5656971904282</x:v>
      </x:c>
      <x:c r="AO573" s="17" t="n">
        <x:f>IF(AND($A573&gt;='Control Room'!$A$13,$A573&lt;'Control Room'!$A$13+'Control Room'!$B$13,'Process'!BR2=1),1+('Control Room'!$C$13-1)*EXP(-0.5*(($A573-'Control Room'!$A$13-('Control Room'!$B$13-1)/2)/MAX(0.5,'Control Room'!$B$13/4))^2),1)*IF(AND($A573&gt;='Control Room'!$A$14,$A573&lt;'Control Room'!$A$14+'Control Room'!$B$14,'Process'!BR3=1),1+('Control Room'!$C$14-1)*EXP(-0.5*(($A573-'Control Room'!$A$14-('Control Room'!$B$14-1)/2)/MAX(0.5,'Control Room'!$B$14/4))^2),1)*IF(AND($A573&gt;='Control Room'!$A$15,$A573&lt;'Control Room'!$A$15+'Control Room'!$B$15,'Process'!BR4=1),1+('Control Room'!$C$15-1)*EXP(-0.5*(($A573-'Control Room'!$A$15-('Control Room'!$B$15-1)/2)/MAX(0.5,'Control Room'!$B$15/4))^2),1)*IF(AND($A573&gt;='Control Room'!$A$16,$A573&lt;'Control Room'!$A$16+'Control Room'!$B$16,'Process'!BR5=1),1+('Control Room'!$C$16-1)*EXP(-0.5*(($A573-'Control Room'!$A$16-('Control Room'!$B$16-1)/2)/MAX(0.5,'Control Room'!$B$16/4))^2),1)</x:f>
        <x:v>1</x:v>
      </x:c>
      <x:c r="AP573" s="9" t="n">
        <x:f>MOD(AQ572*16807,2147483647)</x:f>
        <x:v>1002205137</x:v>
      </x:c>
      <x:c r="AQ573" s="9" t="n">
        <x:f>MOD(AP573*16807,2147483647)</x:f>
        <x:v>1347494138</x:v>
      </x:c>
      <x:c r="AR573" s="17" t="n">
        <x:f>IF('Control Room'!$B$5="Normal",'Control Room'!$B$7+'Control Room'!$D$7*SQRT(-2*LN(MAX(0.000000000001,AP573/2147483647)))*COS(2*PI()*AQ573/2147483647),'Control Room'!$B$8+('Control Room'!$D$8-'Control Room'!$B$8)*AP573/2147483647)</x:f>
        <x:v>922.663485788791</x:v>
      </x:c>
      <x:c r="AS573" s="17" t="n">
        <x:f>IF('Control Room'!$B$5="Normal",'Control Room'!$B$7,('Control Room'!$B$8+'Control Room'!$D$8)/2)+'Control Room'!$B$9*(AS572-IF('Control Room'!$B$5="Normal",'Control Room'!$B$7,('Control Room'!$B$8+'Control Room'!$D$8)/2))+SQRT(1-'Control Room'!$B$9^2)*(AR573-IF('Control Room'!$B$5="Normal",'Control Room'!$B$7,('Control Room'!$B$8+'Control Room'!$D$8)/2))</x:f>
        <x:v>914.6049064088647</x:v>
      </x:c>
      <x:c r="AT573" s="17" t="n">
        <x:f>IF(AND($A573&gt;='Control Room'!$A$13,$A573&lt;'Control Room'!$A$13+'Control Room'!$B$13,'Process'!BS2=1),1+('Control Room'!$C$13-1)*EXP(-0.5*(($A573-'Control Room'!$A$13-('Control Room'!$B$13-1)/2)/MAX(0.5,'Control Room'!$B$13/4))^2),1)*IF(AND($A573&gt;='Control Room'!$A$14,$A573&lt;'Control Room'!$A$14+'Control Room'!$B$14,'Process'!BS3=1),1+('Control Room'!$C$14-1)*EXP(-0.5*(($A573-'Control Room'!$A$14-('Control Room'!$B$14-1)/2)/MAX(0.5,'Control Room'!$B$14/4))^2),1)*IF(AND($A573&gt;='Control Room'!$A$15,$A573&lt;'Control Room'!$A$15+'Control Room'!$B$15,'Process'!BS4=1),1+('Control Room'!$C$15-1)*EXP(-0.5*(($A573-'Control Room'!$A$15-('Control Room'!$B$15-1)/2)/MAX(0.5,'Control Room'!$B$15/4))^2),1)*IF(AND($A573&gt;='Control Room'!$A$16,$A573&lt;'Control Room'!$A$16+'Control Room'!$B$16,'Process'!BS5=1),1+('Control Room'!$C$16-1)*EXP(-0.5*(($A573-'Control Room'!$A$16-('Control Room'!$B$16-1)/2)/MAX(0.5,'Control Room'!$B$16/4))^2),1)</x:f>
        <x:v>1</x:v>
      </x:c>
      <x:c r="AU573" s="9" t="n">
        <x:f>MOD(AV572*16807,2147483647)</x:f>
        <x:v>510499430</x:v>
      </x:c>
      <x:c r="AV573" s="9" t="n">
        <x:f>MOD(AU573*16807,2147483647)</x:f>
        <x:v>766750245</x:v>
      </x:c>
      <x:c r="AW573" s="17" t="n">
        <x:f>IF('Control Room'!$B$5="Normal",'Control Room'!$B$7+'Control Room'!$D$7*SQRT(-2*LN(MAX(0.000000000001,AU573/2147483647)))*COS(2*PI()*AV573/2147483647),'Control Room'!$B$8+('Control Room'!$D$8-'Control Room'!$B$8)*AU573/2147483647)</x:f>
        <x:v>904.9543394034439</x:v>
      </x:c>
      <x:c r="AX573" s="17" t="n">
        <x:f>IF('Control Room'!$B$5="Normal",'Control Room'!$B$7,('Control Room'!$B$8+'Control Room'!$D$8)/2)+'Control Room'!$B$9*(AX572-IF('Control Room'!$B$5="Normal",'Control Room'!$B$7,('Control Room'!$B$8+'Control Room'!$D$8)/2))+SQRT(1-'Control Room'!$B$9^2)*(AW573-IF('Control Room'!$B$5="Normal",'Control Room'!$B$7,('Control Room'!$B$8+'Control Room'!$D$8)/2))</x:f>
        <x:v>849.4305261528539</x:v>
      </x:c>
      <x:c r="AY573" s="17" t="n">
        <x:f>IF(AND($A573&gt;='Control Room'!$A$13,$A573&lt;'Control Room'!$A$13+'Control Room'!$B$13,'Process'!BT2=1),1+('Control Room'!$C$13-1)*EXP(-0.5*(($A573-'Control Room'!$A$13-('Control Room'!$B$13-1)/2)/MAX(0.5,'Control Room'!$B$13/4))^2),1)*IF(AND($A573&gt;='Control Room'!$A$14,$A573&lt;'Control Room'!$A$14+'Control Room'!$B$14,'Process'!BT3=1),1+('Control Room'!$C$14-1)*EXP(-0.5*(($A573-'Control Room'!$A$14-('Control Room'!$B$14-1)/2)/MAX(0.5,'Control Room'!$B$14/4))^2),1)*IF(AND($A573&gt;='Control Room'!$A$15,$A573&lt;'Control Room'!$A$15+'Control Room'!$B$15,'Process'!BT4=1),1+('Control Room'!$C$15-1)*EXP(-0.5*(($A573-'Control Room'!$A$15-('Control Room'!$B$15-1)/2)/MAX(0.5,'Control Room'!$B$15/4))^2),1)*IF(AND($A573&gt;='Control Room'!$A$16,$A573&lt;'Control Room'!$A$16+'Control Room'!$B$16,'Process'!BT5=1),1+('Control Room'!$C$16-1)*EXP(-0.5*(($A573-'Control Room'!$A$16-('Control Room'!$B$16-1)/2)/MAX(0.5,'Control Room'!$B$16/4))^2),1)</x:f>
        <x:v>1</x:v>
      </x:c>
      <x:c r="AZ573" s="9" t="n">
        <x:f>MOD(BA572*16807,2147483647)</x:f>
        <x:v>18793723</x:v>
      </x:c>
      <x:c r="BA573" s="9" t="n">
        <x:f>MOD(AZ573*16807,2147483647)</x:f>
        <x:v>186006352</x:v>
      </x:c>
      <x:c r="BB573" s="17" t="n">
        <x:f>IF('Control Room'!$B$5="Normal",'Control Room'!$B$7+'Control Room'!$D$7*SQRT(-2*LN(MAX(0.000000000001,AZ573/2147483647)))*COS(2*PI()*BA573/2147483647),'Control Room'!$B$8+('Control Room'!$D$8-'Control Room'!$B$8)*AZ573/2147483647)</x:f>
        <x:v>1237.0359157279072</x:v>
      </x:c>
      <x:c r="BC573" s="17" t="n">
        <x:f>IF('Control Room'!$B$5="Normal",'Control Room'!$B$7,('Control Room'!$B$8+'Control Room'!$D$8)/2)+'Control Room'!$B$9*(BC572-IF('Control Room'!$B$5="Normal",'Control Room'!$B$7,('Control Room'!$B$8+'Control Room'!$D$8)/2))+SQRT(1-'Control Room'!$B$9^2)*(BB573-IF('Control Room'!$B$5="Normal",'Control Room'!$B$7,('Control Room'!$B$8+'Control Room'!$D$8)/2))</x:f>
        <x:v>1093.8251991984735</x:v>
      </x:c>
      <x:c r="BD573" s="17" t="n">
        <x:f>IF(AND($A573&gt;='Control Room'!$A$13,$A573&lt;'Control Room'!$A$13+'Control Room'!$B$13,'Process'!BU2=1),1+('Control Room'!$C$13-1)*EXP(-0.5*(($A573-'Control Room'!$A$13-('Control Room'!$B$13-1)/2)/MAX(0.5,'Control Room'!$B$13/4))^2),1)*IF(AND($A573&gt;='Control Room'!$A$14,$A573&lt;'Control Room'!$A$14+'Control Room'!$B$14,'Process'!BU3=1),1+('Control Room'!$C$14-1)*EXP(-0.5*(($A573-'Control Room'!$A$14-('Control Room'!$B$14-1)/2)/MAX(0.5,'Control Room'!$B$14/4))^2),1)*IF(AND($A573&gt;='Control Room'!$A$15,$A573&lt;'Control Room'!$A$15+'Control Room'!$B$15,'Process'!BU4=1),1+('Control Room'!$C$15-1)*EXP(-0.5*(($A573-'Control Room'!$A$15-('Control Room'!$B$15-1)/2)/MAX(0.5,'Control Room'!$B$15/4))^2),1)*IF(AND($A573&gt;='Control Room'!$A$16,$A573&lt;'Control Room'!$A$16+'Control Room'!$B$16,'Process'!BU5=1),1+('Control Room'!$C$16-1)*EXP(-0.5*(($A573-'Control Room'!$A$16-('Control Room'!$B$16-1)/2)/MAX(0.5,'Control Room'!$B$16/4))^2),1)</x:f>
        <x:v>1</x:v>
      </x:c>
      <x:c r="BE573" s="9" t="n">
        <x:f>MOD(BF572*16807,2147483647)</x:f>
        <x:v>1674571663</x:v>
      </x:c>
      <x:c r="BF573" s="9" t="n">
        <x:f>MOD(BE573*16807,2147483647)</x:f>
        <x:v>1752746106</x:v>
      </x:c>
      <x:c r="BG573" s="17" t="n">
        <x:f>IF('Control Room'!$B$5="Normal",'Control Room'!$B$7+'Control Room'!$D$7*SQRT(-2*LN(MAX(0.000000000001,BE573/2147483647)))*COS(2*PI()*BF573/2147483647),'Control Room'!$B$8+('Control Room'!$D$8-'Control Room'!$B$8)*BE573/2147483647)</x:f>
        <x:v>1025.643962502097</x:v>
      </x:c>
      <x:c r="BH573" s="17" t="n">
        <x:f>IF('Control Room'!$B$5="Normal",'Control Room'!$B$7,('Control Room'!$B$8+'Control Room'!$D$8)/2)+'Control Room'!$B$9*(BH572-IF('Control Room'!$B$5="Normal",'Control Room'!$B$7,('Control Room'!$B$8+'Control Room'!$D$8)/2))+SQRT(1-'Control Room'!$B$9^2)*(BG573-IF('Control Room'!$B$5="Normal",'Control Room'!$B$7,('Control Room'!$B$8+'Control Room'!$D$8)/2))</x:f>
        <x:v>1008.9699522652493</x:v>
      </x:c>
      <x:c r="BI573" s="17" t="n">
        <x:f>IF(AND($A573&gt;='Control Room'!$A$13,$A573&lt;'Control Room'!$A$13+'Control Room'!$B$13,'Process'!BV2=1),1+('Control Room'!$C$13-1)*EXP(-0.5*(($A573-'Control Room'!$A$13-('Control Room'!$B$13-1)/2)/MAX(0.5,'Control Room'!$B$13/4))^2),1)*IF(AND($A573&gt;='Control Room'!$A$14,$A573&lt;'Control Room'!$A$14+'Control Room'!$B$14,'Process'!BV3=1),1+('Control Room'!$C$14-1)*EXP(-0.5*(($A573-'Control Room'!$A$14-('Control Room'!$B$14-1)/2)/MAX(0.5,'Control Room'!$B$14/4))^2),1)*IF(AND($A573&gt;='Control Room'!$A$15,$A573&lt;'Control Room'!$A$15+'Control Room'!$B$15,'Process'!BV4=1),1+('Control Room'!$C$15-1)*EXP(-0.5*(($A573-'Control Room'!$A$15-('Control Room'!$B$15-1)/2)/MAX(0.5,'Control Room'!$B$15/4))^2),1)*IF(AND($A573&gt;='Control Room'!$A$16,$A573&lt;'Control Room'!$A$16+'Control Room'!$B$16,'Process'!BV5=1),1+('Control Room'!$C$16-1)*EXP(-0.5*(($A573-'Control Room'!$A$16-('Control Room'!$B$16-1)/2)/MAX(0.5,'Control Room'!$B$16/4))^2),1)</x:f>
        <x:v>1</x:v>
      </x:c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Z573" t="str">
        <x:f>IF('Data'!A573="","",TEXT('Data'!A573,"mm-dd"))</x:f>
      </x:c>
    </x:row>
    <x:row r="574" ht="21" customHeight="1">
      <x:c r="A574" s="15" t="n">
        <x:f>'Control Room'!$B$1+572</x:f>
        <x:v>73563</x:v>
      </x:c>
      <x:c r="B574" s="9" t="n">
        <x:f>MOD(C573*16807,2147483647)</x:f>
        <x:v>1966908392</x:v>
      </x:c>
      <x:c r="C574" s="9" t="n">
        <x:f>MOD(B574*16807,2147483647)</x:f>
        <x:v>1613566073</x:v>
      </x:c>
      <x:c r="D574" s="17" t="n">
        <x:f>IF('Control Room'!$B$5="Normal",'Control Room'!$B$7+'Control Room'!$D$7*SQRT(-2*LN(MAX(0.000000000001,B574/2147483647)))*COS(2*PI()*C574/2147483647),'Control Room'!$B$8+('Control Room'!$D$8-'Control Room'!$B$8)*B574/2147483647)</x:f>
        <x:v>1000.3259462912378</x:v>
      </x:c>
      <x:c r="E574" s="17" t="n">
        <x:f>IF('Control Room'!$B$5="Normal",'Control Room'!$B$7,('Control Room'!$B$8+'Control Room'!$D$8)/2)+'Control Room'!$B$9*(E573-IF('Control Room'!$B$5="Normal",'Control Room'!$B$7,('Control Room'!$B$8+'Control Room'!$D$8)/2))+SQRT(1-'Control Room'!$B$9^2)*(D574-IF('Control Room'!$B$5="Normal",'Control Room'!$B$7,('Control Room'!$B$8+'Control Room'!$D$8)/2))</x:f>
        <x:v>1028.0132035366519</x:v>
      </x:c>
      <x:c r="F574" s="17" t="n">
        <x:f>IF(AND($A574&gt;='Control Room'!$A$13,$A574&lt;'Control Room'!$A$13+'Control Room'!$B$13,'Process'!BK2=1),1+('Control Room'!$C$13-1)*EXP(-0.5*(($A574-'Control Room'!$A$13-('Control Room'!$B$13-1)/2)/MAX(0.5,'Control Room'!$B$13/4))^2),1)*IF(AND($A574&gt;='Control Room'!$A$14,$A574&lt;'Control Room'!$A$14+'Control Room'!$B$14,'Process'!BK3=1),1+('Control Room'!$C$14-1)*EXP(-0.5*(($A574-'Control Room'!$A$14-('Control Room'!$B$14-1)/2)/MAX(0.5,'Control Room'!$B$14/4))^2),1)*IF(AND($A574&gt;='Control Room'!$A$15,$A574&lt;'Control Room'!$A$15+'Control Room'!$B$15,'Process'!BK4=1),1+('Control Room'!$C$15-1)*EXP(-0.5*(($A574-'Control Room'!$A$15-('Control Room'!$B$15-1)/2)/MAX(0.5,'Control Room'!$B$15/4))^2),1)*IF(AND($A574&gt;='Control Room'!$A$16,$A574&lt;'Control Room'!$A$16+'Control Room'!$B$16,'Process'!BK5=1),1+('Control Room'!$C$16-1)*EXP(-0.5*(($A574-'Control Room'!$A$16-('Control Room'!$B$16-1)/2)/MAX(0.5,'Control Room'!$B$16/4))^2),1)</x:f>
        <x:v>1</x:v>
      </x:c>
      <x:c r="G574" s="9" t="n">
        <x:f>MOD(H573*16807,2147483647)</x:f>
        <x:v>1717474356</x:v>
      </x:c>
      <x:c r="H574" s="9" t="n">
        <x:f>MOD(G574*16807,2147483647)</x:f>
        <x:v>1263801965</x:v>
      </x:c>
      <x:c r="I574" s="17" t="n">
        <x:f>IF('Control Room'!$B$5="Normal",'Control Room'!$B$7+'Control Room'!$D$7*SQRT(-2*LN(MAX(0.000000000001,G574/2147483647)))*COS(2*PI()*H574/2147483647),'Control Room'!$B$8+('Control Room'!$D$8-'Control Room'!$B$8)*G574/2147483647)</x:f>
        <x:v>948.9006410486346</x:v>
      </x:c>
      <x:c r="J574" s="17" t="n">
        <x:f>IF('Control Room'!$B$5="Normal",'Control Room'!$B$7,('Control Room'!$B$8+'Control Room'!$D$8)/2)+'Control Room'!$B$9*(J573-IF('Control Room'!$B$5="Normal",'Control Room'!$B$7,('Control Room'!$B$8+'Control Room'!$D$8)/2))+SQRT(1-'Control Room'!$B$9^2)*(I574-IF('Control Room'!$B$5="Normal",'Control Room'!$B$7,('Control Room'!$B$8+'Control Room'!$D$8)/2))</x:f>
        <x:v>912.0052113987005</x:v>
      </x:c>
      <x:c r="K574" s="17" t="n">
        <x:f>IF(AND($A574&gt;='Control Room'!$A$13,$A574&lt;'Control Room'!$A$13+'Control Room'!$B$13,'Process'!BL2=1),1+('Control Room'!$C$13-1)*EXP(-0.5*(($A574-'Control Room'!$A$13-('Control Room'!$B$13-1)/2)/MAX(0.5,'Control Room'!$B$13/4))^2),1)*IF(AND($A574&gt;='Control Room'!$A$14,$A574&lt;'Control Room'!$A$14+'Control Room'!$B$14,'Process'!BL3=1),1+('Control Room'!$C$14-1)*EXP(-0.5*(($A574-'Control Room'!$A$14-('Control Room'!$B$14-1)/2)/MAX(0.5,'Control Room'!$B$14/4))^2),1)*IF(AND($A574&gt;='Control Room'!$A$15,$A574&lt;'Control Room'!$A$15+'Control Room'!$B$15,'Process'!BL4=1),1+('Control Room'!$C$15-1)*EXP(-0.5*(($A574-'Control Room'!$A$15-('Control Room'!$B$15-1)/2)/MAX(0.5,'Control Room'!$B$15/4))^2),1)*IF(AND($A574&gt;='Control Room'!$A$16,$A574&lt;'Control Room'!$A$16+'Control Room'!$B$16,'Process'!BL5=1),1+('Control Room'!$C$16-1)*EXP(-0.5*(($A574-'Control Room'!$A$16-('Control Room'!$B$16-1)/2)/MAX(0.5,'Control Room'!$B$16/4))^2),1)</x:f>
        <x:v>1</x:v>
      </x:c>
      <x:c r="L574" s="9" t="n">
        <x:f>MOD(M573*16807,2147483647)</x:f>
        <x:v>1468040320</x:v>
      </x:c>
      <x:c r="M574" s="9" t="n">
        <x:f>MOD(L574*16807,2147483647)</x:f>
        <x:v>914037857</x:v>
      </x:c>
      <x:c r="N574" s="17" t="n">
        <x:f>IF('Control Room'!$B$5="Normal",'Control Room'!$B$7+'Control Room'!$D$7*SQRT(-2*LN(MAX(0.000000000001,L574/2147483647)))*COS(2*PI()*M574/2147483647),'Control Room'!$B$8+('Control Room'!$D$8-'Control Room'!$B$8)*L574/2147483647)</x:f>
        <x:v>929.9166175555472</x:v>
      </x:c>
      <x:c r="O574" s="17" t="n">
        <x:f>IF('Control Room'!$B$5="Normal",'Control Room'!$B$7,('Control Room'!$B$8+'Control Room'!$D$8)/2)+'Control Room'!$B$9*(O573-IF('Control Room'!$B$5="Normal",'Control Room'!$B$7,('Control Room'!$B$8+'Control Room'!$D$8)/2))+SQRT(1-'Control Room'!$B$9^2)*(N574-IF('Control Room'!$B$5="Normal",'Control Room'!$B$7,('Control Room'!$B$8+'Control Room'!$D$8)/2))</x:f>
        <x:v>921.7790677391332</x:v>
      </x:c>
      <x:c r="P574" s="17" t="n">
        <x:f>IF(AND($A574&gt;='Control Room'!$A$13,$A574&lt;'Control Room'!$A$13+'Control Room'!$B$13,'Process'!BM2=1),1+('Control Room'!$C$13-1)*EXP(-0.5*(($A574-'Control Room'!$A$13-('Control Room'!$B$13-1)/2)/MAX(0.5,'Control Room'!$B$13/4))^2),1)*IF(AND($A574&gt;='Control Room'!$A$14,$A574&lt;'Control Room'!$A$14+'Control Room'!$B$14,'Process'!BM3=1),1+('Control Room'!$C$14-1)*EXP(-0.5*(($A574-'Control Room'!$A$14-('Control Room'!$B$14-1)/2)/MAX(0.5,'Control Room'!$B$14/4))^2),1)*IF(AND($A574&gt;='Control Room'!$A$15,$A574&lt;'Control Room'!$A$15+'Control Room'!$B$15,'Process'!BM4=1),1+('Control Room'!$C$15-1)*EXP(-0.5*(($A574-'Control Room'!$A$15-('Control Room'!$B$15-1)/2)/MAX(0.5,'Control Room'!$B$15/4))^2),1)*IF(AND($A574&gt;='Control Room'!$A$16,$A574&lt;'Control Room'!$A$16+'Control Room'!$B$16,'Process'!BM5=1),1+('Control Room'!$C$16-1)*EXP(-0.5*(($A574-'Control Room'!$A$16-('Control Room'!$B$16-1)/2)/MAX(0.5,'Control Room'!$B$16/4))^2),1)</x:f>
        <x:v>1</x:v>
      </x:c>
      <x:c r="Q574" s="9" t="n">
        <x:f>MOD(R573*16807,2147483647)</x:f>
        <x:v>1218606284</x:v>
      </x:c>
      <x:c r="R574" s="9" t="n">
        <x:f>MOD(Q574*16807,2147483647)</x:f>
        <x:v>564273749</x:v>
      </x:c>
      <x:c r="S574" s="17" t="n">
        <x:f>IF('Control Room'!$B$5="Normal",'Control Room'!$B$7+'Control Room'!$D$7*SQRT(-2*LN(MAX(0.000000000001,Q574/2147483647)))*COS(2*PI()*R574/2147483647),'Control Room'!$B$8+('Control Room'!$D$8-'Control Room'!$B$8)*Q574/2147483647)</x:f>
        <x:v>992.3268851364717</x:v>
      </x:c>
      <x:c r="T574" s="17" t="n">
        <x:f>IF('Control Room'!$B$5="Normal",'Control Room'!$B$7,('Control Room'!$B$8+'Control Room'!$D$8)/2)+'Control Room'!$B$9*(T573-IF('Control Room'!$B$5="Normal",'Control Room'!$B$7,('Control Room'!$B$8+'Control Room'!$D$8)/2))+SQRT(1-'Control Room'!$B$9^2)*(S574-IF('Control Room'!$B$5="Normal",'Control Room'!$B$7,('Control Room'!$B$8+'Control Room'!$D$8)/2))</x:f>
        <x:v>1167.3838139944908</x:v>
      </x:c>
      <x:c r="U574" s="17" t="n">
        <x:f>IF(AND($A574&gt;='Control Room'!$A$13,$A574&lt;'Control Room'!$A$13+'Control Room'!$B$13,'Process'!BN2=1),1+('Control Room'!$C$13-1)*EXP(-0.5*(($A574-'Control Room'!$A$13-('Control Room'!$B$13-1)/2)/MAX(0.5,'Control Room'!$B$13/4))^2),1)*IF(AND($A574&gt;='Control Room'!$A$14,$A574&lt;'Control Room'!$A$14+'Control Room'!$B$14,'Process'!BN3=1),1+('Control Room'!$C$14-1)*EXP(-0.5*(($A574-'Control Room'!$A$14-('Control Room'!$B$14-1)/2)/MAX(0.5,'Control Room'!$B$14/4))^2),1)*IF(AND($A574&gt;='Control Room'!$A$15,$A574&lt;'Control Room'!$A$15+'Control Room'!$B$15,'Process'!BN4=1),1+('Control Room'!$C$15-1)*EXP(-0.5*(($A574-'Control Room'!$A$15-('Control Room'!$B$15-1)/2)/MAX(0.5,'Control Room'!$B$15/4))^2),1)*IF(AND($A574&gt;='Control Room'!$A$16,$A574&lt;'Control Room'!$A$16+'Control Room'!$B$16,'Process'!BN5=1),1+('Control Room'!$C$16-1)*EXP(-0.5*(($A574-'Control Room'!$A$16-('Control Room'!$B$16-1)/2)/MAX(0.5,'Control Room'!$B$16/4))^2),1)</x:f>
        <x:v>1</x:v>
      </x:c>
      <x:c r="V574" s="9" t="n">
        <x:f>MOD(W573*16807,2147483647)</x:f>
        <x:v>969172248</x:v>
      </x:c>
      <x:c r="W574" s="9" t="n">
        <x:f>MOD(V574*16807,2147483647)</x:f>
        <x:v>214509641</x:v>
      </x:c>
      <x:c r="X574" s="17" t="n">
        <x:f>IF('Control Room'!$B$5="Normal",'Control Room'!$B$7+'Control Room'!$D$7*SQRT(-2*LN(MAX(0.000000000001,V574/2147483647)))*COS(2*PI()*W574/2147483647),'Control Room'!$B$8+('Control Room'!$D$8-'Control Room'!$B$8)*V574/2147483647)</x:f>
        <x:v>1091.8936305297927</x:v>
      </x:c>
      <x:c r="Y574" s="17" t="n">
        <x:f>IF('Control Room'!$B$5="Normal",'Control Room'!$B$7,('Control Room'!$B$8+'Control Room'!$D$8)/2)+'Control Room'!$B$9*(Y573-IF('Control Room'!$B$5="Normal",'Control Room'!$B$7,('Control Room'!$B$8+'Control Room'!$D$8)/2))+SQRT(1-'Control Room'!$B$9^2)*(X574-IF('Control Room'!$B$5="Normal",'Control Room'!$B$7,('Control Room'!$B$8+'Control Room'!$D$8)/2))</x:f>
        <x:v>1085.4291114988282</x:v>
      </x:c>
      <x:c r="Z574" s="17" t="n">
        <x:f>IF(AND($A574&gt;='Control Room'!$A$13,$A574&lt;'Control Room'!$A$13+'Control Room'!$B$13,'Process'!BO2=1),1+('Control Room'!$C$13-1)*EXP(-0.5*(($A574-'Control Room'!$A$13-('Control Room'!$B$13-1)/2)/MAX(0.5,'Control Room'!$B$13/4))^2),1)*IF(AND($A574&gt;='Control Room'!$A$14,$A574&lt;'Control Room'!$A$14+'Control Room'!$B$14,'Process'!BO3=1),1+('Control Room'!$C$14-1)*EXP(-0.5*(($A574-'Control Room'!$A$14-('Control Room'!$B$14-1)/2)/MAX(0.5,'Control Room'!$B$14/4))^2),1)*IF(AND($A574&gt;='Control Room'!$A$15,$A574&lt;'Control Room'!$A$15+'Control Room'!$B$15,'Process'!BO4=1),1+('Control Room'!$C$15-1)*EXP(-0.5*(($A574-'Control Room'!$A$15-('Control Room'!$B$15-1)/2)/MAX(0.5,'Control Room'!$B$15/4))^2),1)*IF(AND($A574&gt;='Control Room'!$A$16,$A574&lt;'Control Room'!$A$16+'Control Room'!$B$16,'Process'!BO5=1),1+('Control Room'!$C$16-1)*EXP(-0.5*(($A574-'Control Room'!$A$16-('Control Room'!$B$16-1)/2)/MAX(0.5,'Control Room'!$B$16/4))^2),1)</x:f>
        <x:v>1</x:v>
      </x:c>
      <x:c r="AA574" s="9" t="n">
        <x:f>MOD(AB573*16807,2147483647)</x:f>
        <x:v>719738212</x:v>
      </x:c>
      <x:c r="AB574" s="9" t="n">
        <x:f>MOD(AA574*16807,2147483647)</x:f>
        <x:v>2012229180</x:v>
      </x:c>
      <x:c r="AC574" s="17" t="n">
        <x:f>IF('Control Room'!$B$5="Normal",'Control Room'!$B$7+'Control Room'!$D$7*SQRT(-2*LN(MAX(0.000000000001,AA574/2147483647)))*COS(2*PI()*AB574/2147483647),'Control Room'!$B$8+('Control Room'!$D$8-'Control Room'!$B$8)*AA574/2147483647)</x:f>
        <x:v>1122.7913008538999</x:v>
      </x:c>
      <x:c r="AD574" s="17" t="n">
        <x:f>IF('Control Room'!$B$5="Normal",'Control Room'!$B$7,('Control Room'!$B$8+'Control Room'!$D$8)/2)+'Control Room'!$B$9*(AD573-IF('Control Room'!$B$5="Normal",'Control Room'!$B$7,('Control Room'!$B$8+'Control Room'!$D$8)/2))+SQRT(1-'Control Room'!$B$9^2)*(AC574-IF('Control Room'!$B$5="Normal",'Control Room'!$B$7,('Control Room'!$B$8+'Control Room'!$D$8)/2))</x:f>
        <x:v>1035.1972351051088</x:v>
      </x:c>
      <x:c r="AE574" s="17" t="n">
        <x:f>IF(AND($A574&gt;='Control Room'!$A$13,$A574&lt;'Control Room'!$A$13+'Control Room'!$B$13,'Process'!BP2=1),1+('Control Room'!$C$13-1)*EXP(-0.5*(($A574-'Control Room'!$A$13-('Control Room'!$B$13-1)/2)/MAX(0.5,'Control Room'!$B$13/4))^2),1)*IF(AND($A574&gt;='Control Room'!$A$14,$A574&lt;'Control Room'!$A$14+'Control Room'!$B$14,'Process'!BP3=1),1+('Control Room'!$C$14-1)*EXP(-0.5*(($A574-'Control Room'!$A$14-('Control Room'!$B$14-1)/2)/MAX(0.5,'Control Room'!$B$14/4))^2),1)*IF(AND($A574&gt;='Control Room'!$A$15,$A574&lt;'Control Room'!$A$15+'Control Room'!$B$15,'Process'!BP4=1),1+('Control Room'!$C$15-1)*EXP(-0.5*(($A574-'Control Room'!$A$15-('Control Room'!$B$15-1)/2)/MAX(0.5,'Control Room'!$B$15/4))^2),1)*IF(AND($A574&gt;='Control Room'!$A$16,$A574&lt;'Control Room'!$A$16+'Control Room'!$B$16,'Process'!BP5=1),1+('Control Room'!$C$16-1)*EXP(-0.5*(($A574-'Control Room'!$A$16-('Control Room'!$B$16-1)/2)/MAX(0.5,'Control Room'!$B$16/4))^2),1)</x:f>
        <x:v>1</x:v>
      </x:c>
      <x:c r="AF574" s="9" t="n">
        <x:f>MOD(AG573*16807,2147483647)</x:f>
        <x:v>470304176</x:v>
      </x:c>
      <x:c r="AG574" s="9" t="n">
        <x:f>MOD(AF574*16807,2147483647)</x:f>
        <x:v>1662465072</x:v>
      </x:c>
      <x:c r="AH574" s="17" t="n">
        <x:f>IF('Control Room'!$B$5="Normal",'Control Room'!$B$7+'Control Room'!$D$7*SQRT(-2*LN(MAX(0.000000000001,AF574/2147483647)))*COS(2*PI()*AG574/2147483647),'Control Room'!$B$8+('Control Room'!$D$8-'Control Room'!$B$8)*AF574/2147483647)</x:f>
        <x:v>1023.7050365447071</x:v>
      </x:c>
      <x:c r="AI574" s="17" t="n">
        <x:f>IF('Control Room'!$B$5="Normal",'Control Room'!$B$7,('Control Room'!$B$8+'Control Room'!$D$8)/2)+'Control Room'!$B$9*(AI573-IF('Control Room'!$B$5="Normal",'Control Room'!$B$7,('Control Room'!$B$8+'Control Room'!$D$8)/2))+SQRT(1-'Control Room'!$B$9^2)*(AH574-IF('Control Room'!$B$5="Normal",'Control Room'!$B$7,('Control Room'!$B$8+'Control Room'!$D$8)/2))</x:f>
        <x:v>1031.9336778299387</x:v>
      </x:c>
      <x:c r="AJ574" s="17" t="n">
        <x:f>IF(AND($A574&gt;='Control Room'!$A$13,$A574&lt;'Control Room'!$A$13+'Control Room'!$B$13,'Process'!BQ2=1),1+('Control Room'!$C$13-1)*EXP(-0.5*(($A574-'Control Room'!$A$13-('Control Room'!$B$13-1)/2)/MAX(0.5,'Control Room'!$B$13/4))^2),1)*IF(AND($A574&gt;='Control Room'!$A$14,$A574&lt;'Control Room'!$A$14+'Control Room'!$B$14,'Process'!BQ3=1),1+('Control Room'!$C$14-1)*EXP(-0.5*(($A574-'Control Room'!$A$14-('Control Room'!$B$14-1)/2)/MAX(0.5,'Control Room'!$B$14/4))^2),1)*IF(AND($A574&gt;='Control Room'!$A$15,$A574&lt;'Control Room'!$A$15+'Control Room'!$B$15,'Process'!BQ4=1),1+('Control Room'!$C$15-1)*EXP(-0.5*(($A574-'Control Room'!$A$15-('Control Room'!$B$15-1)/2)/MAX(0.5,'Control Room'!$B$15/4))^2),1)*IF(AND($A574&gt;='Control Room'!$A$16,$A574&lt;'Control Room'!$A$16+'Control Room'!$B$16,'Process'!BQ5=1),1+('Control Room'!$C$16-1)*EXP(-0.5*(($A574-'Control Room'!$A$16-('Control Room'!$B$16-1)/2)/MAX(0.5,'Control Room'!$B$16/4))^2),1)</x:f>
        <x:v>1</x:v>
      </x:c>
      <x:c r="AK574" s="9" t="n">
        <x:f>MOD(AL573*16807,2147483647)</x:f>
        <x:v>220870140</x:v>
      </x:c>
      <x:c r="AL574" s="9" t="n">
        <x:f>MOD(AK574*16807,2147483647)</x:f>
        <x:v>1312700964</x:v>
      </x:c>
      <x:c r="AM574" s="17" t="n">
        <x:f>IF('Control Room'!$B$5="Normal",'Control Room'!$B$7+'Control Room'!$D$7*SQRT(-2*LN(MAX(0.000000000001,AK574/2147483647)))*COS(2*PI()*AL574/2147483647),'Control Room'!$B$8+('Control Room'!$D$8-'Control Room'!$B$8)*AK574/2147483647)</x:f>
        <x:v>853.0806977090089</x:v>
      </x:c>
      <x:c r="AN574" s="17" t="n">
        <x:f>IF('Control Room'!$B$5="Normal",'Control Room'!$B$7,('Control Room'!$B$8+'Control Room'!$D$8)/2)+'Control Room'!$B$9*(AN573-IF('Control Room'!$B$5="Normal",'Control Room'!$B$7,('Control Room'!$B$8+'Control Room'!$D$8)/2))+SQRT(1-'Control Room'!$B$9^2)*(AM574-IF('Control Room'!$B$5="Normal",'Control Room'!$B$7,('Control Room'!$B$8+'Control Room'!$D$8)/2))</x:f>
        <x:v>1010.6821542403367</x:v>
      </x:c>
      <x:c r="AO574" s="17" t="n">
        <x:f>IF(AND($A574&gt;='Control Room'!$A$13,$A574&lt;'Control Room'!$A$13+'Control Room'!$B$13,'Process'!BR2=1),1+('Control Room'!$C$13-1)*EXP(-0.5*(($A574-'Control Room'!$A$13-('Control Room'!$B$13-1)/2)/MAX(0.5,'Control Room'!$B$13/4))^2),1)*IF(AND($A574&gt;='Control Room'!$A$14,$A574&lt;'Control Room'!$A$14+'Control Room'!$B$14,'Process'!BR3=1),1+('Control Room'!$C$14-1)*EXP(-0.5*(($A574-'Control Room'!$A$14-('Control Room'!$B$14-1)/2)/MAX(0.5,'Control Room'!$B$14/4))^2),1)*IF(AND($A574&gt;='Control Room'!$A$15,$A574&lt;'Control Room'!$A$15+'Control Room'!$B$15,'Process'!BR4=1),1+('Control Room'!$C$15-1)*EXP(-0.5*(($A574-'Control Room'!$A$15-('Control Room'!$B$15-1)/2)/MAX(0.5,'Control Room'!$B$15/4))^2),1)*IF(AND($A574&gt;='Control Room'!$A$16,$A574&lt;'Control Room'!$A$16+'Control Room'!$B$16,'Process'!BR5=1),1+('Control Room'!$C$16-1)*EXP(-0.5*(($A574-'Control Room'!$A$16-('Control Room'!$B$16-1)/2)/MAX(0.5,'Control Room'!$B$16/4))^2),1)</x:f>
        <x:v>1</x:v>
      </x:c>
      <x:c r="AP574" s="9" t="n">
        <x:f>MOD(AQ573*16807,2147483647)</x:f>
        <x:v>2118919751</x:v>
      </x:c>
      <x:c r="AQ574" s="9" t="n">
        <x:f>MOD(AP574*16807,2147483647)</x:f>
        <x:v>962936856</x:v>
      </x:c>
      <x:c r="AR574" s="17" t="n">
        <x:f>IF('Control Room'!$B$5="Normal",'Control Room'!$B$7+'Control Room'!$D$7*SQRT(-2*LN(MAX(0.000000000001,AP574/2147483647)))*COS(2*PI()*AQ574/2147483647),'Control Room'!$B$8+('Control Room'!$D$8-'Control Room'!$B$8)*AP574/2147483647)</x:f>
        <x:v>986.0389160949372</x:v>
      </x:c>
      <x:c r="AS574" s="17" t="n">
        <x:f>IF('Control Room'!$B$5="Normal",'Control Room'!$B$7,('Control Room'!$B$8+'Control Room'!$D$8)/2)+'Control Room'!$B$9*(AS573-IF('Control Room'!$B$5="Normal",'Control Room'!$B$7,('Control Room'!$B$8+'Control Room'!$D$8)/2))+SQRT(1-'Control Room'!$B$9^2)*(AR574-IF('Control Room'!$B$5="Normal",'Control Room'!$B$7,('Control Room'!$B$8+'Control Room'!$D$8)/2))</x:f>
        <x:v>924.6552666994759</x:v>
      </x:c>
      <x:c r="AT574" s="17" t="n">
        <x:f>IF(AND($A574&gt;='Control Room'!$A$13,$A574&lt;'Control Room'!$A$13+'Control Room'!$B$13,'Process'!BS2=1),1+('Control Room'!$C$13-1)*EXP(-0.5*(($A574-'Control Room'!$A$13-('Control Room'!$B$13-1)/2)/MAX(0.5,'Control Room'!$B$13/4))^2),1)*IF(AND($A574&gt;='Control Room'!$A$14,$A574&lt;'Control Room'!$A$14+'Control Room'!$B$14,'Process'!BS3=1),1+('Control Room'!$C$14-1)*EXP(-0.5*(($A574-'Control Room'!$A$14-('Control Room'!$B$14-1)/2)/MAX(0.5,'Control Room'!$B$14/4))^2),1)*IF(AND($A574&gt;='Control Room'!$A$15,$A574&lt;'Control Room'!$A$15+'Control Room'!$B$15,'Process'!BS4=1),1+('Control Room'!$C$15-1)*EXP(-0.5*(($A574-'Control Room'!$A$15-('Control Room'!$B$15-1)/2)/MAX(0.5,'Control Room'!$B$15/4))^2),1)*IF(AND($A574&gt;='Control Room'!$A$16,$A574&lt;'Control Room'!$A$16+'Control Room'!$B$16,'Process'!BS5=1),1+('Control Room'!$C$16-1)*EXP(-0.5*(($A574-'Control Room'!$A$16-('Control Room'!$B$16-1)/2)/MAX(0.5,'Control Room'!$B$16/4))^2),1)</x:f>
        <x:v>1</x:v>
      </x:c>
      <x:c r="AU574" s="9" t="n">
        <x:f>MOD(AV573*16807,2147483647)</x:f>
        <x:v>1869485715</x:v>
      </x:c>
      <x:c r="AV574" s="9" t="n">
        <x:f>MOD(AU574*16807,2147483647)</x:f>
        <x:v>613172748</x:v>
      </x:c>
      <x:c r="AW574" s="17" t="n">
        <x:f>IF('Control Room'!$B$5="Normal",'Control Room'!$B$7+'Control Room'!$D$7*SQRT(-2*LN(MAX(0.000000000001,AU574/2147483647)))*COS(2*PI()*AV574/2147483647),'Control Room'!$B$8+('Control Room'!$D$8-'Control Room'!$B$8)*AU574/2147483647)</x:f>
        <x:v>989.5078877117548</x:v>
      </x:c>
      <x:c r="AX574" s="17" t="n">
        <x:f>IF('Control Room'!$B$5="Normal",'Control Room'!$B$7,('Control Room'!$B$8+'Control Room'!$D$8)/2)+'Control Room'!$B$9*(AX573-IF('Control Room'!$B$5="Normal",'Control Room'!$B$7,('Control Room'!$B$8+'Control Room'!$D$8)/2))+SQRT(1-'Control Room'!$B$9^2)*(AW574-IF('Control Room'!$B$5="Normal",'Control Room'!$B$7,('Control Room'!$B$8+'Control Room'!$D$8)/2))</x:f>
        <x:v>875.9900614718456</x:v>
      </x:c>
      <x:c r="AY574" s="17" t="n">
        <x:f>IF(AND($A574&gt;='Control Room'!$A$13,$A574&lt;'Control Room'!$A$13+'Control Room'!$B$13,'Process'!BT2=1),1+('Control Room'!$C$13-1)*EXP(-0.5*(($A574-'Control Room'!$A$13-('Control Room'!$B$13-1)/2)/MAX(0.5,'Control Room'!$B$13/4))^2),1)*IF(AND($A574&gt;='Control Room'!$A$14,$A574&lt;'Control Room'!$A$14+'Control Room'!$B$14,'Process'!BT3=1),1+('Control Room'!$C$14-1)*EXP(-0.5*(($A574-'Control Room'!$A$14-('Control Room'!$B$14-1)/2)/MAX(0.5,'Control Room'!$B$14/4))^2),1)*IF(AND($A574&gt;='Control Room'!$A$15,$A574&lt;'Control Room'!$A$15+'Control Room'!$B$15,'Process'!BT4=1),1+('Control Room'!$C$15-1)*EXP(-0.5*(($A574-'Control Room'!$A$15-('Control Room'!$B$15-1)/2)/MAX(0.5,'Control Room'!$B$15/4))^2),1)*IF(AND($A574&gt;='Control Room'!$A$16,$A574&lt;'Control Room'!$A$16+'Control Room'!$B$16,'Process'!BT5=1),1+('Control Room'!$C$16-1)*EXP(-0.5*(($A574-'Control Room'!$A$16-('Control Room'!$B$16-1)/2)/MAX(0.5,'Control Room'!$B$16/4))^2),1)</x:f>
        <x:v>1</x:v>
      </x:c>
      <x:c r="AZ574" s="9" t="n">
        <x:f>MOD(BA573*16807,2147483647)</x:f>
        <x:v>1620051679</x:v>
      </x:c>
      <x:c r="BA574" s="9" t="n">
        <x:f>MOD(AZ574*16807,2147483647)</x:f>
        <x:v>263408640</x:v>
      </x:c>
      <x:c r="BB574" s="17" t="n">
        <x:f>IF('Control Room'!$B$5="Normal",'Control Room'!$B$7+'Control Room'!$D$7*SQRT(-2*LN(MAX(0.000000000001,AZ574/2147483647)))*COS(2*PI()*BA574/2147483647),'Control Room'!$B$8+('Control Room'!$D$8-'Control Room'!$B$8)*AZ574/2147483647)</x:f>
        <x:v>1048.4771680674808</x:v>
      </x:c>
      <x:c r="BC574" s="17" t="n">
        <x:f>IF('Control Room'!$B$5="Normal",'Control Room'!$B$7,('Control Room'!$B$8+'Control Room'!$D$8)/2)+'Control Room'!$B$9*(BC573-IF('Control Room'!$B$5="Normal",'Control Room'!$B$7,('Control Room'!$B$8+'Control Room'!$D$8)/2))+SQRT(1-'Control Room'!$B$9^2)*(BB574-IF('Control Room'!$B$5="Normal",'Control Room'!$B$7,('Control Room'!$B$8+'Control Room'!$D$8)/2))</x:f>
        <x:v>1103.5196740426707</x:v>
      </x:c>
      <x:c r="BD574" s="17" t="n">
        <x:f>IF(AND($A574&gt;='Control Room'!$A$13,$A574&lt;'Control Room'!$A$13+'Control Room'!$B$13,'Process'!BU2=1),1+('Control Room'!$C$13-1)*EXP(-0.5*(($A574-'Control Room'!$A$13-('Control Room'!$B$13-1)/2)/MAX(0.5,'Control Room'!$B$13/4))^2),1)*IF(AND($A574&gt;='Control Room'!$A$14,$A574&lt;'Control Room'!$A$14+'Control Room'!$B$14,'Process'!BU3=1),1+('Control Room'!$C$14-1)*EXP(-0.5*(($A574-'Control Room'!$A$14-('Control Room'!$B$14-1)/2)/MAX(0.5,'Control Room'!$B$14/4))^2),1)*IF(AND($A574&gt;='Control Room'!$A$15,$A574&lt;'Control Room'!$A$15+'Control Room'!$B$15,'Process'!BU4=1),1+('Control Room'!$C$15-1)*EXP(-0.5*(($A574-'Control Room'!$A$15-('Control Room'!$B$15-1)/2)/MAX(0.5,'Control Room'!$B$15/4))^2),1)*IF(AND($A574&gt;='Control Room'!$A$16,$A574&lt;'Control Room'!$A$16+'Control Room'!$B$16,'Process'!BU5=1),1+('Control Room'!$C$16-1)*EXP(-0.5*(($A574-'Control Room'!$A$16-('Control Room'!$B$16-1)/2)/MAX(0.5,'Control Room'!$B$16/4))^2),1)</x:f>
        <x:v>1</x:v>
      </x:c>
      <x:c r="BE574" s="9" t="n">
        <x:f>MOD(BF573*16807,2147483647)</x:f>
        <x:v>1370617643</x:v>
      </x:c>
      <x:c r="BF574" s="9" t="n">
        <x:f>MOD(BE574*16807,2147483647)</x:f>
        <x:v>2061128179</x:v>
      </x:c>
      <x:c r="BG574" s="17" t="n">
        <x:f>IF('Control Room'!$B$5="Normal",'Control Room'!$B$7+'Control Room'!$D$7*SQRT(-2*LN(MAX(0.000000000001,BE574/2147483647)))*COS(2*PI()*BF574/2147483647),'Control Room'!$B$8+('Control Room'!$D$8-'Control Room'!$B$8)*BE574/2147483647)</x:f>
        <x:v>1082.582007042196</x:v>
      </x:c>
      <x:c r="BH574" s="17" t="n">
        <x:f>IF('Control Room'!$B$5="Normal",'Control Room'!$B$7,('Control Room'!$B$8+'Control Room'!$D$8)/2)+'Control Room'!$B$9*(BH573-IF('Control Room'!$B$5="Normal",'Control Room'!$B$7,('Control Room'!$B$8+'Control Room'!$D$8)/2))+SQRT(1-'Control Room'!$B$9^2)*(BG574-IF('Control Room'!$B$5="Normal",'Control Room'!$B$7,('Control Room'!$B$8+'Control Room'!$D$8)/2))</x:f>
        <x:v>1058.6746909895296</x:v>
      </x:c>
      <x:c r="BI574" s="17" t="n">
        <x:f>IF(AND($A574&gt;='Control Room'!$A$13,$A574&lt;'Control Room'!$A$13+'Control Room'!$B$13,'Process'!BV2=1),1+('Control Room'!$C$13-1)*EXP(-0.5*(($A574-'Control Room'!$A$13-('Control Room'!$B$13-1)/2)/MAX(0.5,'Control Room'!$B$13/4))^2),1)*IF(AND($A574&gt;='Control Room'!$A$14,$A574&lt;'Control Room'!$A$14+'Control Room'!$B$14,'Process'!BV3=1),1+('Control Room'!$C$14-1)*EXP(-0.5*(($A574-'Control Room'!$A$14-('Control Room'!$B$14-1)/2)/MAX(0.5,'Control Room'!$B$14/4))^2),1)*IF(AND($A574&gt;='Control Room'!$A$15,$A574&lt;'Control Room'!$A$15+'Control Room'!$B$15,'Process'!BV4=1),1+('Control Room'!$C$15-1)*EXP(-0.5*(($A574-'Control Room'!$A$15-('Control Room'!$B$15-1)/2)/MAX(0.5,'Control Room'!$B$15/4))^2),1)*IF(AND($A574&gt;='Control Room'!$A$16,$A574&lt;'Control Room'!$A$16+'Control Room'!$B$16,'Process'!BV5=1),1+('Control Room'!$C$16-1)*EXP(-0.5*(($A574-'Control Room'!$A$16-('Control Room'!$B$16-1)/2)/MAX(0.5,'Control Room'!$B$16/4))^2),1)</x:f>
        <x:v>1</x:v>
      </x:c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Z574" t="str">
        <x:f>IF('Data'!A574="","",TEXT('Data'!A574,"mm-dd"))</x:f>
      </x:c>
    </x:row>
    <x:row r="575" ht="21" customHeight="1">
      <x:c r="A575" s="15" t="n">
        <x:f>'Control Room'!$B$1+573</x:f>
        <x:v>73564</x:v>
      </x:c>
      <x:c r="B575" s="9" t="n">
        <x:f>MOD(C574*16807,2147483647)</x:f>
        <x:v>781494595</x:v>
      </x:c>
      <x:c r="C575" s="9" t="n">
        <x:f>MOD(B575*16807,2147483647)</x:f>
        <x:v>569673113</x:v>
      </x:c>
      <x:c r="D575" s="17" t="n">
        <x:f>IF('Control Room'!$B$5="Normal",'Control Room'!$B$7+'Control Room'!$D$7*SQRT(-2*LN(MAX(0.000000000001,B575/2147483647)))*COS(2*PI()*C575/2147483647),'Control Room'!$B$8+('Control Room'!$D$8-'Control Room'!$B$8)*B575/2147483647)</x:f>
        <x:v>987.7373139940241</x:v>
      </x:c>
      <x:c r="E575" s="17" t="n">
        <x:f>IF('Control Room'!$B$5="Normal",'Control Room'!$B$7,('Control Room'!$B$8+'Control Room'!$D$8)/2)+'Control Room'!$B$9*(E574-IF('Control Room'!$B$5="Normal",'Control Room'!$B$7,('Control Room'!$B$8+'Control Room'!$D$8)/2))+SQRT(1-'Control Room'!$B$9^2)*(D575-IF('Control Room'!$B$5="Normal",'Control Room'!$B$7,('Control Room'!$B$8+'Control Room'!$D$8)/2))</x:f>
        <x:v>1014.1765610708263</x:v>
      </x:c>
      <x:c r="F575" s="17" t="n">
        <x:f>IF(AND($A575&gt;='Control Room'!$A$13,$A575&lt;'Control Room'!$A$13+'Control Room'!$B$13,'Process'!BK2=1),1+('Control Room'!$C$13-1)*EXP(-0.5*(($A575-'Control Room'!$A$13-('Control Room'!$B$13-1)/2)/MAX(0.5,'Control Room'!$B$13/4))^2),1)*IF(AND($A575&gt;='Control Room'!$A$14,$A575&lt;'Control Room'!$A$14+'Control Room'!$B$14,'Process'!BK3=1),1+('Control Room'!$C$14-1)*EXP(-0.5*(($A575-'Control Room'!$A$14-('Control Room'!$B$14-1)/2)/MAX(0.5,'Control Room'!$B$14/4))^2),1)*IF(AND($A575&gt;='Control Room'!$A$15,$A575&lt;'Control Room'!$A$15+'Control Room'!$B$15,'Process'!BK4=1),1+('Control Room'!$C$15-1)*EXP(-0.5*(($A575-'Control Room'!$A$15-('Control Room'!$B$15-1)/2)/MAX(0.5,'Control Room'!$B$15/4))^2),1)*IF(AND($A575&gt;='Control Room'!$A$16,$A575&lt;'Control Room'!$A$16+'Control Room'!$B$16,'Process'!BK5=1),1+('Control Room'!$C$16-1)*EXP(-0.5*(($A575-'Control Room'!$A$16-('Control Room'!$B$16-1)/2)/MAX(0.5,'Control Room'!$B$16/4))^2),1)</x:f>
        <x:v>1</x:v>
      </x:c>
      <x:c r="G575" s="9" t="n">
        <x:f>MOD(H574*16807,2147483647)</x:f>
        <x:v>2106356925</x:v>
      </x:c>
      <x:c r="H575" s="9" t="n">
        <x:f>MOD(G575*16807,2147483647)</x:f>
        <x:v>272917680</x:v>
      </x:c>
      <x:c r="I575" s="17" t="n">
        <x:f>IF('Control Room'!$B$5="Normal",'Control Room'!$B$7+'Control Room'!$D$7*SQRT(-2*LN(MAX(0.000000000001,G575/2147483647)))*COS(2*PI()*H575/2147483647),'Control Room'!$B$8+('Control Room'!$D$8-'Control Room'!$B$8)*G575/2147483647)</x:f>
        <x:v>1012.3499419262408</x:v>
      </x:c>
      <x:c r="J575" s="17" t="n">
        <x:f>IF('Control Room'!$B$5="Normal",'Control Room'!$B$7,('Control Room'!$B$8+'Control Room'!$D$8)/2)+'Control Room'!$B$9*(J574-IF('Control Room'!$B$5="Normal",'Control Room'!$B$7,('Control Room'!$B$8+'Control Room'!$D$8)/2))+SQRT(1-'Control Room'!$B$9^2)*(I575-IF('Control Room'!$B$5="Normal",'Control Room'!$B$7,('Control Room'!$B$8+'Control Room'!$D$8)/2))</x:f>
        <x:v>939.0924055461156</x:v>
      </x:c>
      <x:c r="K575" s="17" t="n">
        <x:f>IF(AND($A575&gt;='Control Room'!$A$13,$A575&lt;'Control Room'!$A$13+'Control Room'!$B$13,'Process'!BL2=1),1+('Control Room'!$C$13-1)*EXP(-0.5*(($A575-'Control Room'!$A$13-('Control Room'!$B$13-1)/2)/MAX(0.5,'Control Room'!$B$13/4))^2),1)*IF(AND($A575&gt;='Control Room'!$A$14,$A575&lt;'Control Room'!$A$14+'Control Room'!$B$14,'Process'!BL3=1),1+('Control Room'!$C$14-1)*EXP(-0.5*(($A575-'Control Room'!$A$14-('Control Room'!$B$14-1)/2)/MAX(0.5,'Control Room'!$B$14/4))^2),1)*IF(AND($A575&gt;='Control Room'!$A$15,$A575&lt;'Control Room'!$A$15+'Control Room'!$B$15,'Process'!BL4=1),1+('Control Room'!$C$15-1)*EXP(-0.5*(($A575-'Control Room'!$A$15-('Control Room'!$B$15-1)/2)/MAX(0.5,'Control Room'!$B$15/4))^2),1)*IF(AND($A575&gt;='Control Room'!$A$16,$A575&lt;'Control Room'!$A$16+'Control Room'!$B$16,'Process'!BL5=1),1+('Control Room'!$C$16-1)*EXP(-0.5*(($A575-'Control Room'!$A$16-('Control Room'!$B$16-1)/2)/MAX(0.5,'Control Room'!$B$16/4))^2),1)</x:f>
        <x:v>1</x:v>
      </x:c>
      <x:c r="L575" s="9" t="n">
        <x:f>MOD(M574*16807,2147483647)</x:f>
        <x:v>1283735608</x:v>
      </x:c>
      <x:c r="M575" s="9" t="n">
        <x:f>MOD(L575*16807,2147483647)</x:f>
        <x:v>2123645894</x:v>
      </x:c>
      <x:c r="N575" s="17" t="n">
        <x:f>IF('Control Room'!$B$5="Normal",'Control Room'!$B$7+'Control Room'!$D$7*SQRT(-2*LN(MAX(0.000000000001,L575/2147483647)))*COS(2*PI()*M575/2147483647),'Control Room'!$B$8+('Control Room'!$D$8-'Control Room'!$B$8)*L575/2147483647)</x:f>
        <x:v>1091.0757038492304</x:v>
      </x:c>
      <x:c r="O575" s="17" t="n">
        <x:f>IF('Control Room'!$B$5="Normal",'Control Room'!$B$7,('Control Room'!$B$8+'Control Room'!$D$8)/2)+'Control Room'!$B$9*(O574-IF('Control Room'!$B$5="Normal",'Control Room'!$B$7,('Control Room'!$B$8+'Control Room'!$D$8)/2))+SQRT(1-'Control Room'!$B$9^2)*(N575-IF('Control Room'!$B$5="Normal",'Control Room'!$B$7,('Control Room'!$B$8+'Control Room'!$D$8)/2))</x:f>
        <x:v>995.9809825181644</x:v>
      </x:c>
      <x:c r="P575" s="17" t="n">
        <x:f>IF(AND($A575&gt;='Control Room'!$A$13,$A575&lt;'Control Room'!$A$13+'Control Room'!$B$13,'Process'!BM2=1),1+('Control Room'!$C$13-1)*EXP(-0.5*(($A575-'Control Room'!$A$13-('Control Room'!$B$13-1)/2)/MAX(0.5,'Control Room'!$B$13/4))^2),1)*IF(AND($A575&gt;='Control Room'!$A$14,$A575&lt;'Control Room'!$A$14+'Control Room'!$B$14,'Process'!BM3=1),1+('Control Room'!$C$14-1)*EXP(-0.5*(($A575-'Control Room'!$A$14-('Control Room'!$B$14-1)/2)/MAX(0.5,'Control Room'!$B$14/4))^2),1)*IF(AND($A575&gt;='Control Room'!$A$15,$A575&lt;'Control Room'!$A$15+'Control Room'!$B$15,'Process'!BM4=1),1+('Control Room'!$C$15-1)*EXP(-0.5*(($A575-'Control Room'!$A$15-('Control Room'!$B$15-1)/2)/MAX(0.5,'Control Room'!$B$15/4))^2),1)*IF(AND($A575&gt;='Control Room'!$A$16,$A575&lt;'Control Room'!$A$16+'Control Room'!$B$16,'Process'!BM5=1),1+('Control Room'!$C$16-1)*EXP(-0.5*(($A575-'Control Room'!$A$16-('Control Room'!$B$16-1)/2)/MAX(0.5,'Control Room'!$B$16/4))^2),1)</x:f>
        <x:v>1</x:v>
      </x:c>
      <x:c r="Q575" s="9" t="n">
        <x:f>MOD(R574*16807,2147483647)</x:f>
        <x:v>461114291</x:v>
      </x:c>
      <x:c r="R575" s="9" t="n">
        <x:f>MOD(Q575*16807,2147483647)</x:f>
        <x:v>1826890461</x:v>
      </x:c>
      <x:c r="S575" s="17" t="n">
        <x:f>IF('Control Room'!$B$5="Normal",'Control Room'!$B$7+'Control Room'!$D$7*SQRT(-2*LN(MAX(0.000000000001,Q575/2147483647)))*COS(2*PI()*R575/2147483647),'Control Room'!$B$8+('Control Room'!$D$8-'Control Room'!$B$8)*Q575/2147483647)</x:f>
        <x:v>1093.3628085385878</x:v>
      </x:c>
      <x:c r="T575" s="17" t="n">
        <x:f>IF('Control Room'!$B$5="Normal",'Control Room'!$B$7,('Control Room'!$B$8+'Control Room'!$D$8)/2)+'Control Room'!$B$9*(T574-IF('Control Room'!$B$5="Normal",'Control Room'!$B$7,('Control Room'!$B$8+'Control Room'!$D$8)/2))+SQRT(1-'Control Room'!$B$9^2)*(S575-IF('Control Room'!$B$5="Normal",'Control Room'!$B$7,('Control Room'!$B$8+'Control Room'!$D$8)/2))</x:f>
        <x:v>1188.983907858057</x:v>
      </x:c>
      <x:c r="U575" s="17" t="n">
        <x:f>IF(AND($A575&gt;='Control Room'!$A$13,$A575&lt;'Control Room'!$A$13+'Control Room'!$B$13,'Process'!BN2=1),1+('Control Room'!$C$13-1)*EXP(-0.5*(($A575-'Control Room'!$A$13-('Control Room'!$B$13-1)/2)/MAX(0.5,'Control Room'!$B$13/4))^2),1)*IF(AND($A575&gt;='Control Room'!$A$14,$A575&lt;'Control Room'!$A$14+'Control Room'!$B$14,'Process'!BN3=1),1+('Control Room'!$C$14-1)*EXP(-0.5*(($A575-'Control Room'!$A$14-('Control Room'!$B$14-1)/2)/MAX(0.5,'Control Room'!$B$14/4))^2),1)*IF(AND($A575&gt;='Control Room'!$A$15,$A575&lt;'Control Room'!$A$15+'Control Room'!$B$15,'Process'!BN4=1),1+('Control Room'!$C$15-1)*EXP(-0.5*(($A575-'Control Room'!$A$15-('Control Room'!$B$15-1)/2)/MAX(0.5,'Control Room'!$B$15/4))^2),1)*IF(AND($A575&gt;='Control Room'!$A$16,$A575&lt;'Control Room'!$A$16+'Control Room'!$B$16,'Process'!BN5=1),1+('Control Room'!$C$16-1)*EXP(-0.5*(($A575-'Control Room'!$A$16-('Control Room'!$B$16-1)/2)/MAX(0.5,'Control Room'!$B$16/4))^2),1)</x:f>
        <x:v>1</x:v>
      </x:c>
      <x:c r="V575" s="9" t="n">
        <x:f>MOD(W574*16807,2147483647)</x:f>
        <x:v>1785976621</x:v>
      </x:c>
      <x:c r="W575" s="9" t="n">
        <x:f>MOD(V575*16807,2147483647)</x:f>
        <x:v>1530135028</x:v>
      </x:c>
      <x:c r="X575" s="17" t="n">
        <x:f>IF('Control Room'!$B$5="Normal",'Control Room'!$B$7+'Control Room'!$D$7*SQRT(-2*LN(MAX(0.000000000001,V575/2147483647)))*COS(2*PI()*W575/2147483647),'Control Room'!$B$8+('Control Room'!$D$8-'Control Room'!$B$8)*V575/2147483647)</x:f>
        <x:v>987.2514102514078</x:v>
      </x:c>
      <x:c r="Y575" s="17" t="n">
        <x:f>IF('Control Room'!$B$5="Normal",'Control Room'!$B$7,('Control Room'!$B$8+'Control Room'!$D$8)/2)+'Control Room'!$B$9*(Y574-IF('Control Room'!$B$5="Normal",'Control Room'!$B$7,('Control Room'!$B$8+'Control Room'!$D$8)/2))+SQRT(1-'Control Room'!$B$9^2)*(X575-IF('Control Room'!$B$5="Normal",'Control Room'!$B$7,('Control Room'!$B$8+'Control Room'!$D$8)/2))</x:f>
        <x:v>1058.6569006734737</x:v>
      </x:c>
      <x:c r="Z575" s="17" t="n">
        <x:f>IF(AND($A575&gt;='Control Room'!$A$13,$A575&lt;'Control Room'!$A$13+'Control Room'!$B$13,'Process'!BO2=1),1+('Control Room'!$C$13-1)*EXP(-0.5*(($A575-'Control Room'!$A$13-('Control Room'!$B$13-1)/2)/MAX(0.5,'Control Room'!$B$13/4))^2),1)*IF(AND($A575&gt;='Control Room'!$A$14,$A575&lt;'Control Room'!$A$14+'Control Room'!$B$14,'Process'!BO3=1),1+('Control Room'!$C$14-1)*EXP(-0.5*(($A575-'Control Room'!$A$14-('Control Room'!$B$14-1)/2)/MAX(0.5,'Control Room'!$B$14/4))^2),1)*IF(AND($A575&gt;='Control Room'!$A$15,$A575&lt;'Control Room'!$A$15+'Control Room'!$B$15,'Process'!BO4=1),1+('Control Room'!$C$15-1)*EXP(-0.5*(($A575-'Control Room'!$A$15-('Control Room'!$B$15-1)/2)/MAX(0.5,'Control Room'!$B$15/4))^2),1)*IF(AND($A575&gt;='Control Room'!$A$16,$A575&lt;'Control Room'!$A$16+'Control Room'!$B$16,'Process'!BO5=1),1+('Control Room'!$C$16-1)*EXP(-0.5*(($A575-'Control Room'!$A$16-('Control Room'!$B$16-1)/2)/MAX(0.5,'Control Room'!$B$16/4))^2),1)</x:f>
        <x:v>1</x:v>
      </x:c>
      <x:c r="AA575" s="9" t="n">
        <x:f>MOD(AB574*16807,2147483647)</x:f>
        <x:v>963355304</x:v>
      </x:c>
      <x:c r="AB575" s="9" t="n">
        <x:f>MOD(AA575*16807,2147483647)</x:f>
        <x:v>1233379595</x:v>
      </x:c>
      <x:c r="AC575" s="17" t="n">
        <x:f>IF('Control Room'!$B$5="Normal",'Control Room'!$B$7+'Control Room'!$D$7*SQRT(-2*LN(MAX(0.000000000001,AA575/2147483647)))*COS(2*PI()*AB575/2147483647),'Control Room'!$B$8+('Control Room'!$D$8-'Control Room'!$B$8)*AA575/2147483647)</x:f>
        <x:v>898.2481773629747</x:v>
      </x:c>
      <x:c r="AD575" s="17" t="n">
        <x:f>IF('Control Room'!$B$5="Normal",'Control Room'!$B$7,('Control Room'!$B$8+'Control Room'!$D$8)/2)+'Control Room'!$B$9*(AD574-IF('Control Room'!$B$5="Normal",'Control Room'!$B$7,('Control Room'!$B$8+'Control Room'!$D$8)/2))+SQRT(1-'Control Room'!$B$9^2)*(AC575-IF('Control Room'!$B$5="Normal",'Control Room'!$B$7,('Control Room'!$B$8+'Control Room'!$D$8)/2))</x:f>
        <x:v>963.7796372751237</x:v>
      </x:c>
      <x:c r="AE575" s="17" t="n">
        <x:f>IF(AND($A575&gt;='Control Room'!$A$13,$A575&lt;'Control Room'!$A$13+'Control Room'!$B$13,'Process'!BP2=1),1+('Control Room'!$C$13-1)*EXP(-0.5*(($A575-'Control Room'!$A$13-('Control Room'!$B$13-1)/2)/MAX(0.5,'Control Room'!$B$13/4))^2),1)*IF(AND($A575&gt;='Control Room'!$A$14,$A575&lt;'Control Room'!$A$14+'Control Room'!$B$14,'Process'!BP3=1),1+('Control Room'!$C$14-1)*EXP(-0.5*(($A575-'Control Room'!$A$14-('Control Room'!$B$14-1)/2)/MAX(0.5,'Control Room'!$B$14/4))^2),1)*IF(AND($A575&gt;='Control Room'!$A$15,$A575&lt;'Control Room'!$A$15+'Control Room'!$B$15,'Process'!BP4=1),1+('Control Room'!$C$15-1)*EXP(-0.5*(($A575-'Control Room'!$A$15-('Control Room'!$B$15-1)/2)/MAX(0.5,'Control Room'!$B$15/4))^2),1)*IF(AND($A575&gt;='Control Room'!$A$16,$A575&lt;'Control Room'!$A$16+'Control Room'!$B$16,'Process'!BP5=1),1+('Control Room'!$C$16-1)*EXP(-0.5*(($A575-'Control Room'!$A$16-('Control Room'!$B$16-1)/2)/MAX(0.5,'Control Room'!$B$16/4))^2),1)</x:f>
        <x:v>1</x:v>
      </x:c>
      <x:c r="AF575" s="9" t="n">
        <x:f>MOD(AG574*16807,2147483647)</x:f>
        <x:v>140733987</x:v>
      </x:c>
      <x:c r="AG575" s="9" t="n">
        <x:f>MOD(AF575*16807,2147483647)</x:f>
        <x:v>936624162</x:v>
      </x:c>
      <x:c r="AH575" s="17" t="n">
        <x:f>IF('Control Room'!$B$5="Normal",'Control Room'!$B$7+'Control Room'!$D$7*SQRT(-2*LN(MAX(0.000000000001,AF575/2147483647)))*COS(2*PI()*AG575/2147483647),'Control Room'!$B$8+('Control Room'!$D$8-'Control Room'!$B$8)*AF575/2147483647)</x:f>
        <x:v>806.5691182353237</x:v>
      </x:c>
      <x:c r="AI575" s="17" t="n">
        <x:f>IF('Control Room'!$B$5="Normal",'Control Room'!$B$7,('Control Room'!$B$8+'Control Room'!$D$8)/2)+'Control Room'!$B$9*(AI574-IF('Control Room'!$B$5="Normal",'Control Room'!$B$7,('Control Room'!$B$8+'Control Room'!$D$8)/2))+SQRT(1-'Control Room'!$B$9^2)*(AH575-IF('Control Room'!$B$5="Normal",'Control Room'!$B$7,('Control Room'!$B$8+'Control Room'!$D$8)/2))</x:f>
        <x:v>903.8631855460197</x:v>
      </x:c>
      <x:c r="AJ575" s="17" t="n">
        <x:f>IF(AND($A575&gt;='Control Room'!$A$13,$A575&lt;'Control Room'!$A$13+'Control Room'!$B$13,'Process'!BQ2=1),1+('Control Room'!$C$13-1)*EXP(-0.5*(($A575-'Control Room'!$A$13-('Control Room'!$B$13-1)/2)/MAX(0.5,'Control Room'!$B$13/4))^2),1)*IF(AND($A575&gt;='Control Room'!$A$14,$A575&lt;'Control Room'!$A$14+'Control Room'!$B$14,'Process'!BQ3=1),1+('Control Room'!$C$14-1)*EXP(-0.5*(($A575-'Control Room'!$A$14-('Control Room'!$B$14-1)/2)/MAX(0.5,'Control Room'!$B$14/4))^2),1)*IF(AND($A575&gt;='Control Room'!$A$15,$A575&lt;'Control Room'!$A$15+'Control Room'!$B$15,'Process'!BQ4=1),1+('Control Room'!$C$15-1)*EXP(-0.5*(($A575-'Control Room'!$A$15-('Control Room'!$B$15-1)/2)/MAX(0.5,'Control Room'!$B$15/4))^2),1)*IF(AND($A575&gt;='Control Room'!$A$16,$A575&lt;'Control Room'!$A$16+'Control Room'!$B$16,'Process'!BQ5=1),1+('Control Room'!$C$16-1)*EXP(-0.5*(($A575-'Control Room'!$A$16-('Control Room'!$B$16-1)/2)/MAX(0.5,'Control Room'!$B$16/4))^2),1)</x:f>
        <x:v>1</x:v>
      </x:c>
      <x:c r="AK575" s="9" t="n">
        <x:f>MOD(AL574*16807,2147483647)</x:f>
        <x:v>1465596317</x:v>
      </x:c>
      <x:c r="AL575" s="9" t="n">
        <x:f>MOD(AK575*16807,2147483647)</x:f>
        <x:v>639868729</x:v>
      </x:c>
      <x:c r="AM575" s="17" t="n">
        <x:f>IF('Control Room'!$B$5="Normal",'Control Room'!$B$7+'Control Room'!$D$7*SQRT(-2*LN(MAX(0.000000000001,AK575/2147483647)))*COS(2*PI()*AL575/2147483647),'Control Room'!$B$8+('Control Room'!$D$8-'Control Room'!$B$8)*AK575/2147483647)</x:f>
        <x:v>976.6496466677123</x:v>
      </x:c>
      <x:c r="AN575" s="17" t="n">
        <x:f>IF('Control Room'!$B$5="Normal",'Control Room'!$B$7,('Control Room'!$B$8+'Control Room'!$D$8)/2)+'Control Room'!$B$9*(AN574-IF('Control Room'!$B$5="Normal",'Control Room'!$B$7,('Control Room'!$B$8+'Control Room'!$D$8)/2))+SQRT(1-'Control Room'!$B$9^2)*(AM575-IF('Control Room'!$B$5="Normal",'Control Room'!$B$7,('Control Room'!$B$8+'Control Room'!$D$8)/2))</x:f>
        <x:v>993.719907550106</x:v>
      </x:c>
      <x:c r="AO575" s="17" t="n">
        <x:f>IF(AND($A575&gt;='Control Room'!$A$13,$A575&lt;'Control Room'!$A$13+'Control Room'!$B$13,'Process'!BR2=1),1+('Control Room'!$C$13-1)*EXP(-0.5*(($A575-'Control Room'!$A$13-('Control Room'!$B$13-1)/2)/MAX(0.5,'Control Room'!$B$13/4))^2),1)*IF(AND($A575&gt;='Control Room'!$A$14,$A575&lt;'Control Room'!$A$14+'Control Room'!$B$14,'Process'!BR3=1),1+('Control Room'!$C$14-1)*EXP(-0.5*(($A575-'Control Room'!$A$14-('Control Room'!$B$14-1)/2)/MAX(0.5,'Control Room'!$B$14/4))^2),1)*IF(AND($A575&gt;='Control Room'!$A$15,$A575&lt;'Control Room'!$A$15+'Control Room'!$B$15,'Process'!BR4=1),1+('Control Room'!$C$15-1)*EXP(-0.5*(($A575-'Control Room'!$A$15-('Control Room'!$B$15-1)/2)/MAX(0.5,'Control Room'!$B$15/4))^2),1)*IF(AND($A575&gt;='Control Room'!$A$16,$A575&lt;'Control Room'!$A$16+'Control Room'!$B$16,'Process'!BR5=1),1+('Control Room'!$C$16-1)*EXP(-0.5*(($A575-'Control Room'!$A$16-('Control Room'!$B$16-1)/2)/MAX(0.5,'Control Room'!$B$16/4))^2),1)</x:f>
        <x:v>1</x:v>
      </x:c>
      <x:c r="AP575" s="9" t="n">
        <x:f>MOD(AQ574*16807,2147483647)</x:f>
        <x:v>642975000</x:v>
      </x:c>
      <x:c r="AQ575" s="9" t="n">
        <x:f>MOD(AP575*16807,2147483647)</x:f>
        <x:v>343113296</x:v>
      </x:c>
      <x:c r="AR575" s="17" t="n">
        <x:f>IF('Control Room'!$B$5="Normal",'Control Room'!$B$7+'Control Room'!$D$7*SQRT(-2*LN(MAX(0.000000000001,AP575/2147483647)))*COS(2*PI()*AQ575/2147483647),'Control Room'!$B$8+('Control Room'!$D$8-'Control Room'!$B$8)*AP575/2147483647)</x:f>
        <x:v>1075.0608807501076</x:v>
      </x:c>
      <x:c r="AS575" s="17" t="n">
        <x:f>IF('Control Room'!$B$5="Normal",'Control Room'!$B$7,('Control Room'!$B$8+'Control Room'!$D$8)/2)+'Control Room'!$B$9*(AS574-IF('Control Room'!$B$5="Normal",'Control Room'!$B$7,('Control Room'!$B$8+'Control Room'!$D$8)/2))+SQRT(1-'Control Room'!$B$9^2)*(AR575-IF('Control Room'!$B$5="Normal",'Control Room'!$B$7,('Control Room'!$B$8+'Control Room'!$D$8)/2))</x:f>
        <x:v>988.2026694932846</x:v>
      </x:c>
      <x:c r="AT575" s="17" t="n">
        <x:f>IF(AND($A575&gt;='Control Room'!$A$13,$A575&lt;'Control Room'!$A$13+'Control Room'!$B$13,'Process'!BS2=1),1+('Control Room'!$C$13-1)*EXP(-0.5*(($A575-'Control Room'!$A$13-('Control Room'!$B$13-1)/2)/MAX(0.5,'Control Room'!$B$13/4))^2),1)*IF(AND($A575&gt;='Control Room'!$A$14,$A575&lt;'Control Room'!$A$14+'Control Room'!$B$14,'Process'!BS3=1),1+('Control Room'!$C$14-1)*EXP(-0.5*(($A575-'Control Room'!$A$14-('Control Room'!$B$14-1)/2)/MAX(0.5,'Control Room'!$B$14/4))^2),1)*IF(AND($A575&gt;='Control Room'!$A$15,$A575&lt;'Control Room'!$A$15+'Control Room'!$B$15,'Process'!BS4=1),1+('Control Room'!$C$15-1)*EXP(-0.5*(($A575-'Control Room'!$A$15-('Control Room'!$B$15-1)/2)/MAX(0.5,'Control Room'!$B$15/4))^2),1)*IF(AND($A575&gt;='Control Room'!$A$16,$A575&lt;'Control Room'!$A$16+'Control Room'!$B$16,'Process'!BS5=1),1+('Control Room'!$C$16-1)*EXP(-0.5*(($A575-'Control Room'!$A$16-('Control Room'!$B$16-1)/2)/MAX(0.5,'Control Room'!$B$16/4))^2),1)</x:f>
        <x:v>1</x:v>
      </x:c>
      <x:c r="AU575" s="9" t="n">
        <x:f>MOD(AV574*16807,2147483647)</x:f>
        <x:v>1967837330</x:v>
      </x:c>
      <x:c r="AV575" s="9" t="n">
        <x:f>MOD(AU575*16807,2147483647)</x:f>
        <x:v>46357863</x:v>
      </x:c>
      <x:c r="AW575" s="17" t="n">
        <x:f>IF('Control Room'!$B$5="Normal",'Control Room'!$B$7+'Control Room'!$D$7*SQRT(-2*LN(MAX(0.000000000001,AU575/2147483647)))*COS(2*PI()*AV575/2147483647),'Control Room'!$B$8+('Control Room'!$D$8-'Control Room'!$B$8)*AU575/2147483647)</x:f>
        <x:v>1037.2744021868805</x:v>
      </x:c>
      <x:c r="AX575" s="17" t="n">
        <x:f>IF('Control Room'!$B$5="Normal",'Control Room'!$B$7,('Control Room'!$B$8+'Control Room'!$D$8)/2)+'Control Room'!$B$9*(AX574-IF('Control Room'!$B$5="Normal",'Control Room'!$B$7,('Control Room'!$B$8+'Control Room'!$D$8)/2))+SQRT(1-'Control Room'!$B$9^2)*(AW575-IF('Control Room'!$B$5="Normal",'Control Room'!$B$7,('Control Room'!$B$8+'Control Room'!$D$8)/2))</x:f>
        <x:v>926.5978052289547</x:v>
      </x:c>
      <x:c r="AY575" s="17" t="n">
        <x:f>IF(AND($A575&gt;='Control Room'!$A$13,$A575&lt;'Control Room'!$A$13+'Control Room'!$B$13,'Process'!BT2=1),1+('Control Room'!$C$13-1)*EXP(-0.5*(($A575-'Control Room'!$A$13-('Control Room'!$B$13-1)/2)/MAX(0.5,'Control Room'!$B$13/4))^2),1)*IF(AND($A575&gt;='Control Room'!$A$14,$A575&lt;'Control Room'!$A$14+'Control Room'!$B$14,'Process'!BT3=1),1+('Control Room'!$C$14-1)*EXP(-0.5*(($A575-'Control Room'!$A$14-('Control Room'!$B$14-1)/2)/MAX(0.5,'Control Room'!$B$14/4))^2),1)*IF(AND($A575&gt;='Control Room'!$A$15,$A575&lt;'Control Room'!$A$15+'Control Room'!$B$15,'Process'!BT4=1),1+('Control Room'!$C$15-1)*EXP(-0.5*(($A575-'Control Room'!$A$15-('Control Room'!$B$15-1)/2)/MAX(0.5,'Control Room'!$B$15/4))^2),1)*IF(AND($A575&gt;='Control Room'!$A$16,$A575&lt;'Control Room'!$A$16+'Control Room'!$B$16,'Process'!BT5=1),1+('Control Room'!$C$16-1)*EXP(-0.5*(($A575-'Control Room'!$A$16-('Control Room'!$B$16-1)/2)/MAX(0.5,'Control Room'!$B$16/4))^2),1)</x:f>
        <x:v>1</x:v>
      </x:c>
      <x:c r="AZ575" s="9" t="n">
        <x:f>MOD(BA574*16807,2147483647)</x:f>
        <x:v>1145216013</x:v>
      </x:c>
      <x:c r="BA575" s="9" t="n">
        <x:f>MOD(AZ575*16807,2147483647)</x:f>
        <x:v>1897086077</x:v>
      </x:c>
      <x:c r="BB575" s="17" t="n">
        <x:f>IF('Control Room'!$B$5="Normal",'Control Room'!$B$7+'Control Room'!$D$7*SQRT(-2*LN(MAX(0.000000000001,AZ575/2147483647)))*COS(2*PI()*BA575/2147483647),'Control Room'!$B$8+('Control Room'!$D$8-'Control Room'!$B$8)*AZ575/2147483647)</x:f>
        <x:v>1075.0268152280412</x:v>
      </x:c>
      <x:c r="BC575" s="17" t="n">
        <x:f>IF('Control Room'!$B$5="Normal",'Control Room'!$B$7,('Control Room'!$B$8+'Control Room'!$D$8)/2)+'Control Room'!$B$9*(BC574-IF('Control Room'!$B$5="Normal",'Control Room'!$B$7,('Control Room'!$B$8+'Control Room'!$D$8)/2))+SQRT(1-'Control Room'!$B$9^2)*(BB575-IF('Control Room'!$B$5="Normal",'Control Room'!$B$7,('Control Room'!$B$8+'Control Room'!$D$8)/2))</x:f>
        <x:v>1127.6955897151374</x:v>
      </x:c>
      <x:c r="BD575" s="17" t="n">
        <x:f>IF(AND($A575&gt;='Control Room'!$A$13,$A575&lt;'Control Room'!$A$13+'Control Room'!$B$13,'Process'!BU2=1),1+('Control Room'!$C$13-1)*EXP(-0.5*(($A575-'Control Room'!$A$13-('Control Room'!$B$13-1)/2)/MAX(0.5,'Control Room'!$B$13/4))^2),1)*IF(AND($A575&gt;='Control Room'!$A$14,$A575&lt;'Control Room'!$A$14+'Control Room'!$B$14,'Process'!BU3=1),1+('Control Room'!$C$14-1)*EXP(-0.5*(($A575-'Control Room'!$A$14-('Control Room'!$B$14-1)/2)/MAX(0.5,'Control Room'!$B$14/4))^2),1)*IF(AND($A575&gt;='Control Room'!$A$15,$A575&lt;'Control Room'!$A$15+'Control Room'!$B$15,'Process'!BU4=1),1+('Control Room'!$C$15-1)*EXP(-0.5*(($A575-'Control Room'!$A$15-('Control Room'!$B$15-1)/2)/MAX(0.5,'Control Room'!$B$15/4))^2),1)*IF(AND($A575&gt;='Control Room'!$A$16,$A575&lt;'Control Room'!$A$16+'Control Room'!$B$16,'Process'!BU5=1),1+('Control Room'!$C$16-1)*EXP(-0.5*(($A575-'Control Room'!$A$16-('Control Room'!$B$16-1)/2)/MAX(0.5,'Control Room'!$B$16/4))^2),1)</x:f>
        <x:v>1</x:v>
      </x:c>
      <x:c r="BE575" s="9" t="n">
        <x:f>MOD(BF574*16807,2147483647)</x:f>
        <x:v>322594696</x:v>
      </x:c>
      <x:c r="BF575" s="9" t="n">
        <x:f>MOD(BE575*16807,2147483647)</x:f>
        <x:v>1600330644</x:v>
      </x:c>
      <x:c r="BG575" s="17" t="n">
        <x:f>IF('Control Room'!$B$5="Normal",'Control Room'!$B$7+'Control Room'!$D$7*SQRT(-2*LN(MAX(0.000000000001,BE575/2147483647)))*COS(2*PI()*BF575/2147483647),'Control Room'!$B$8+('Control Room'!$D$8-'Control Room'!$B$8)*BE575/2147483647)</x:f>
        <x:v>994.7288771245179</x:v>
      </x:c>
      <x:c r="BH575" s="17" t="n">
        <x:f>IF('Control Room'!$B$5="Normal",'Control Room'!$B$7,('Control Room'!$B$8+'Control Room'!$D$8)/2)+'Control Room'!$B$9*(BH574-IF('Control Room'!$B$5="Normal",'Control Room'!$B$7,('Control Room'!$B$8+'Control Room'!$D$8)/2))+SQRT(1-'Control Room'!$B$9^2)*(BG575-IF('Control Room'!$B$5="Normal",'Control Room'!$B$7,('Control Room'!$B$8+'Control Room'!$D$8)/2))</x:f>
        <x:v>1042.4676982611782</x:v>
      </x:c>
      <x:c r="BI575" s="17" t="n">
        <x:f>IF(AND($A575&gt;='Control Room'!$A$13,$A575&lt;'Control Room'!$A$13+'Control Room'!$B$13,'Process'!BV2=1),1+('Control Room'!$C$13-1)*EXP(-0.5*(($A575-'Control Room'!$A$13-('Control Room'!$B$13-1)/2)/MAX(0.5,'Control Room'!$B$13/4))^2),1)*IF(AND($A575&gt;='Control Room'!$A$14,$A575&lt;'Control Room'!$A$14+'Control Room'!$B$14,'Process'!BV3=1),1+('Control Room'!$C$14-1)*EXP(-0.5*(($A575-'Control Room'!$A$14-('Control Room'!$B$14-1)/2)/MAX(0.5,'Control Room'!$B$14/4))^2),1)*IF(AND($A575&gt;='Control Room'!$A$15,$A575&lt;'Control Room'!$A$15+'Control Room'!$B$15,'Process'!BV4=1),1+('Control Room'!$C$15-1)*EXP(-0.5*(($A575-'Control Room'!$A$15-('Control Room'!$B$15-1)/2)/MAX(0.5,'Control Room'!$B$15/4))^2),1)*IF(AND($A575&gt;='Control Room'!$A$16,$A575&lt;'Control Room'!$A$16+'Control Room'!$B$16,'Process'!BV5=1),1+('Control Room'!$C$16-1)*EXP(-0.5*(($A575-'Control Room'!$A$16-('Control Room'!$B$16-1)/2)/MAX(0.5,'Control Room'!$B$16/4))^2),1)</x:f>
        <x:v>1</x:v>
      </x:c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Z575" t="str">
        <x:f>IF('Data'!A575="","",TEXT('Data'!A575,"mm-dd"))</x:f>
      </x:c>
    </x:row>
    <x:row r="576" ht="21" customHeight="1">
      <x:c r="A576" s="15" t="n">
        <x:f>'Control Room'!$B$1+574</x:f>
        <x:v>73565</x:v>
      </x:c>
      <x:c r="B576" s="9" t="n">
        <x:f>MOD(C575*16807,2147483647)</x:f>
        <x:v>1013911865</x:v>
      </x:c>
      <x:c r="C576" s="9" t="n">
        <x:f>MOD(B576*16807,2147483647)</x:f>
        <x:v>533976110</x:v>
      </x:c>
      <x:c r="D576" s="17" t="n">
        <x:f>IF('Control Room'!$B$5="Normal",'Control Room'!$B$7+'Control Room'!$D$7*SQRT(-2*LN(MAX(0.000000000001,B576/2147483647)))*COS(2*PI()*C576/2147483647),'Control Room'!$B$8+('Control Room'!$D$8-'Control Room'!$B$8)*B576/2147483647)</x:f>
        <x:v>1000.933879690085</x:v>
      </x:c>
      <x:c r="E576" s="17" t="n">
        <x:f>IF('Control Room'!$B$5="Normal",'Control Room'!$B$7,('Control Room'!$B$8+'Control Room'!$D$8)/2)+'Control Room'!$B$9*(E575-IF('Control Room'!$B$5="Normal",'Control Room'!$B$7,('Control Room'!$B$8+'Control Room'!$D$8)/2))+SQRT(1-'Control Room'!$B$9^2)*(D576-IF('Control Room'!$B$5="Normal",'Control Room'!$B$7,('Control Room'!$B$8+'Control Room'!$D$8)/2))</x:f>
        <x:v>1011.6421204137343</x:v>
      </x:c>
      <x:c r="F576" s="17" t="n">
        <x:f>IF(AND($A576&gt;='Control Room'!$A$13,$A576&lt;'Control Room'!$A$13+'Control Room'!$B$13,'Process'!BK2=1),1+('Control Room'!$C$13-1)*EXP(-0.5*(($A576-'Control Room'!$A$13-('Control Room'!$B$13-1)/2)/MAX(0.5,'Control Room'!$B$13/4))^2),1)*IF(AND($A576&gt;='Control Room'!$A$14,$A576&lt;'Control Room'!$A$14+'Control Room'!$B$14,'Process'!BK3=1),1+('Control Room'!$C$14-1)*EXP(-0.5*(($A576-'Control Room'!$A$14-('Control Room'!$B$14-1)/2)/MAX(0.5,'Control Room'!$B$14/4))^2),1)*IF(AND($A576&gt;='Control Room'!$A$15,$A576&lt;'Control Room'!$A$15+'Control Room'!$B$15,'Process'!BK4=1),1+('Control Room'!$C$15-1)*EXP(-0.5*(($A576-'Control Room'!$A$15-('Control Room'!$B$15-1)/2)/MAX(0.5,'Control Room'!$B$15/4))^2),1)*IF(AND($A576&gt;='Control Room'!$A$16,$A576&lt;'Control Room'!$A$16+'Control Room'!$B$16,'Process'!BK5=1),1+('Control Room'!$C$16-1)*EXP(-0.5*(($A576-'Control Room'!$A$16-('Control Room'!$B$16-1)/2)/MAX(0.5,'Control Room'!$B$16/4))^2),1)</x:f>
        <x:v>1</x:v>
      </x:c>
      <x:c r="G576" s="9" t="n">
        <x:f>MOD(H575*16807,2147483647)</x:f>
        <x:v>2049861415</x:v>
      </x:c>
      <x:c r="H576" s="9" t="n">
        <x:f>MOD(G576*16807,2147483647)</x:f>
        <x:v>2088136731</x:v>
      </x:c>
      <x:c r="I576" s="17" t="n">
        <x:f>IF('Control Room'!$B$5="Normal",'Control Room'!$B$7+'Control Room'!$D$7*SQRT(-2*LN(MAX(0.000000000001,G576/2147483647)))*COS(2*PI()*H576/2147483647),'Control Room'!$B$8+('Control Room'!$D$8-'Control Room'!$B$8)*G576/2147483647)</x:f>
        <x:v>1027.0407296626702</x:v>
      </x:c>
      <x:c r="J576" s="17" t="n">
        <x:f>IF('Control Room'!$B$5="Normal",'Control Room'!$B$7,('Control Room'!$B$8+'Control Room'!$D$8)/2)+'Control Room'!$B$9*(J575-IF('Control Room'!$B$5="Normal",'Control Room'!$B$7,('Control Room'!$B$8+'Control Room'!$D$8)/2))+SQRT(1-'Control Room'!$B$9^2)*(I576-IF('Control Room'!$B$5="Normal",'Control Room'!$B$7,('Control Room'!$B$8+'Control Room'!$D$8)/2))</x:f>
        <x:v>969.4136109894116</x:v>
      </x:c>
      <x:c r="K576" s="17" t="n">
        <x:f>IF(AND($A576&gt;='Control Room'!$A$13,$A576&lt;'Control Room'!$A$13+'Control Room'!$B$13,'Process'!BL2=1),1+('Control Room'!$C$13-1)*EXP(-0.5*(($A576-'Control Room'!$A$13-('Control Room'!$B$13-1)/2)/MAX(0.5,'Control Room'!$B$13/4))^2),1)*IF(AND($A576&gt;='Control Room'!$A$14,$A576&lt;'Control Room'!$A$14+'Control Room'!$B$14,'Process'!BL3=1),1+('Control Room'!$C$14-1)*EXP(-0.5*(($A576-'Control Room'!$A$14-('Control Room'!$B$14-1)/2)/MAX(0.5,'Control Room'!$B$14/4))^2),1)*IF(AND($A576&gt;='Control Room'!$A$15,$A576&lt;'Control Room'!$A$15+'Control Room'!$B$15,'Process'!BL4=1),1+('Control Room'!$C$15-1)*EXP(-0.5*(($A576-'Control Room'!$A$15-('Control Room'!$B$15-1)/2)/MAX(0.5,'Control Room'!$B$15/4))^2),1)*IF(AND($A576&gt;='Control Room'!$A$16,$A576&lt;'Control Room'!$A$16+'Control Room'!$B$16,'Process'!BL5=1),1+('Control Room'!$C$16-1)*EXP(-0.5*(($A576-'Control Room'!$A$16-('Control Room'!$B$16-1)/2)/MAX(0.5,'Control Room'!$B$16/4))^2),1)</x:f>
        <x:v>1</x:v>
      </x:c>
      <x:c r="L576" s="9" t="n">
        <x:f>MOD(M575*16807,2147483647)</x:f>
        <x:v>938327318</x:v>
      </x:c>
      <x:c r="M576" s="9" t="n">
        <x:f>MOD(L576*16807,2147483647)</x:f>
        <x:v>1494813705</x:v>
      </x:c>
      <x:c r="N576" s="17" t="n">
        <x:f>IF('Control Room'!$B$5="Normal",'Control Room'!$B$7+'Control Room'!$D$7*SQRT(-2*LN(MAX(0.000000000001,L576/2147483647)))*COS(2*PI()*M576/2147483647),'Control Room'!$B$8+('Control Room'!$D$8-'Control Room'!$B$8)*L576/2147483647)</x:f>
        <x:v>961.5076512698255</x:v>
      </x:c>
      <x:c r="O576" s="17" t="n">
        <x:f>IF('Control Room'!$B$5="Normal",'Control Room'!$B$7,('Control Room'!$B$8+'Control Room'!$D$8)/2)+'Control Room'!$B$9*(O575-IF('Control Room'!$B$5="Normal",'Control Room'!$B$7,('Control Room'!$B$8+'Control Room'!$D$8)/2))+SQRT(1-'Control Room'!$B$9^2)*(N576-IF('Control Room'!$B$5="Normal",'Control Room'!$B$7,('Control Room'!$B$8+'Control Room'!$D$8)/2))</x:f>
        <x:v>972.7774430874507</x:v>
      </x:c>
      <x:c r="P576" s="17" t="n">
        <x:f>IF(AND($A576&gt;='Control Room'!$A$13,$A576&lt;'Control Room'!$A$13+'Control Room'!$B$13,'Process'!BM2=1),1+('Control Room'!$C$13-1)*EXP(-0.5*(($A576-'Control Room'!$A$13-('Control Room'!$B$13-1)/2)/MAX(0.5,'Control Room'!$B$13/4))^2),1)*IF(AND($A576&gt;='Control Room'!$A$14,$A576&lt;'Control Room'!$A$14+'Control Room'!$B$14,'Process'!BM3=1),1+('Control Room'!$C$14-1)*EXP(-0.5*(($A576-'Control Room'!$A$14-('Control Room'!$B$14-1)/2)/MAX(0.5,'Control Room'!$B$14/4))^2),1)*IF(AND($A576&gt;='Control Room'!$A$15,$A576&lt;'Control Room'!$A$15+'Control Room'!$B$15,'Process'!BM4=1),1+('Control Room'!$C$15-1)*EXP(-0.5*(($A576-'Control Room'!$A$15-('Control Room'!$B$15-1)/2)/MAX(0.5,'Control Room'!$B$15/4))^2),1)*IF(AND($A576&gt;='Control Room'!$A$16,$A576&lt;'Control Room'!$A$16+'Control Room'!$B$16,'Process'!BM5=1),1+('Control Room'!$C$16-1)*EXP(-0.5*(($A576-'Control Room'!$A$16-('Control Room'!$B$16-1)/2)/MAX(0.5,'Control Room'!$B$16/4))^2),1)</x:f>
        <x:v>1</x:v>
      </x:c>
      <x:c r="Q576" s="9" t="n">
        <x:f>MOD(R575*16807,2147483647)</x:f>
        <x:v>1974276868</x:v>
      </x:c>
      <x:c r="R576" s="9" t="n">
        <x:f>MOD(Q576*16807,2147483647)</x:f>
        <x:v>901490679</x:v>
      </x:c>
      <x:c r="S576" s="17" t="n">
        <x:f>IF('Control Room'!$B$5="Normal",'Control Room'!$B$7+'Control Room'!$D$7*SQRT(-2*LN(MAX(0.000000000001,Q576/2147483647)))*COS(2*PI()*R576/2147483647),'Control Room'!$B$8+('Control Room'!$D$8-'Control Room'!$B$8)*Q576/2147483647)</x:f>
        <x:v>967.6792783117436</x:v>
      </x:c>
      <x:c r="T576" s="17" t="n">
        <x:f>IF('Control Room'!$B$5="Normal",'Control Room'!$B$7,('Control Room'!$B$8+'Control Room'!$D$8)/2)+'Control Room'!$B$9*(T575-IF('Control Room'!$B$5="Normal",'Control Room'!$B$7,('Control Room'!$B$8+'Control Room'!$D$8)/2))+SQRT(1-'Control Room'!$B$9^2)*(S576-IF('Control Room'!$B$5="Normal",'Control Room'!$B$7,('Control Room'!$B$8+'Control Room'!$D$8)/2))</x:f>
        <x:v>1127.181802622747</x:v>
      </x:c>
      <x:c r="U576" s="17" t="n">
        <x:f>IF(AND($A576&gt;='Control Room'!$A$13,$A576&lt;'Control Room'!$A$13+'Control Room'!$B$13,'Process'!BN2=1),1+('Control Room'!$C$13-1)*EXP(-0.5*(($A576-'Control Room'!$A$13-('Control Room'!$B$13-1)/2)/MAX(0.5,'Control Room'!$B$13/4))^2),1)*IF(AND($A576&gt;='Control Room'!$A$14,$A576&lt;'Control Room'!$A$14+'Control Room'!$B$14,'Process'!BN3=1),1+('Control Room'!$C$14-1)*EXP(-0.5*(($A576-'Control Room'!$A$14-('Control Room'!$B$14-1)/2)/MAX(0.5,'Control Room'!$B$14/4))^2),1)*IF(AND($A576&gt;='Control Room'!$A$15,$A576&lt;'Control Room'!$A$15+'Control Room'!$B$15,'Process'!BN4=1),1+('Control Room'!$C$15-1)*EXP(-0.5*(($A576-'Control Room'!$A$15-('Control Room'!$B$15-1)/2)/MAX(0.5,'Control Room'!$B$15/4))^2),1)*IF(AND($A576&gt;='Control Room'!$A$16,$A576&lt;'Control Room'!$A$16+'Control Room'!$B$16,'Process'!BN5=1),1+('Control Room'!$C$16-1)*EXP(-0.5*(($A576-'Control Room'!$A$16-('Control Room'!$B$16-1)/2)/MAX(0.5,'Control Room'!$B$16/4))^2),1)</x:f>
        <x:v>1</x:v>
      </x:c>
      <x:c r="V576" s="9" t="n">
        <x:f>MOD(W575*16807,2147483647)</x:f>
        <x:v>862742771</x:v>
      </x:c>
      <x:c r="W576" s="9" t="n">
        <x:f>MOD(V576*16807,2147483647)</x:f>
        <x:v>308167653</x:v>
      </x:c>
      <x:c r="X576" s="17" t="n">
        <x:f>IF('Control Room'!$B$5="Normal",'Control Room'!$B$7+'Control Room'!$D$7*SQRT(-2*LN(MAX(0.000000000001,V576/2147483647)))*COS(2*PI()*W576/2147483647),'Control Room'!$B$8+('Control Room'!$D$8-'Control Room'!$B$8)*V576/2147483647)</x:f>
        <x:v>1075.396996981367</x:v>
      </x:c>
      <x:c r="Y576" s="17" t="n">
        <x:f>IF('Control Room'!$B$5="Normal",'Control Room'!$B$7,('Control Room'!$B$8+'Control Room'!$D$8)/2)+'Control Room'!$B$9*(Y575-IF('Control Room'!$B$5="Normal",'Control Room'!$B$7,('Control Room'!$B$8+'Control Room'!$D$8)/2))+SQRT(1-'Control Room'!$B$9^2)*(X576-IF('Control Room'!$B$5="Normal",'Control Room'!$B$7,('Control Room'!$B$8+'Control Room'!$D$8)/2))</x:f>
        <x:v>1092.9342786448099</x:v>
      </x:c>
      <x:c r="Z576" s="17" t="n">
        <x:f>IF(AND($A576&gt;='Control Room'!$A$13,$A576&lt;'Control Room'!$A$13+'Control Room'!$B$13,'Process'!BO2=1),1+('Control Room'!$C$13-1)*EXP(-0.5*(($A576-'Control Room'!$A$13-('Control Room'!$B$13-1)/2)/MAX(0.5,'Control Room'!$B$13/4))^2),1)*IF(AND($A576&gt;='Control Room'!$A$14,$A576&lt;'Control Room'!$A$14+'Control Room'!$B$14,'Process'!BO3=1),1+('Control Room'!$C$14-1)*EXP(-0.5*(($A576-'Control Room'!$A$14-('Control Room'!$B$14-1)/2)/MAX(0.5,'Control Room'!$B$14/4))^2),1)*IF(AND($A576&gt;='Control Room'!$A$15,$A576&lt;'Control Room'!$A$15+'Control Room'!$B$15,'Process'!BO4=1),1+('Control Room'!$C$15-1)*EXP(-0.5*(($A576-'Control Room'!$A$15-('Control Room'!$B$15-1)/2)/MAX(0.5,'Control Room'!$B$15/4))^2),1)*IF(AND($A576&gt;='Control Room'!$A$16,$A576&lt;'Control Room'!$A$16+'Control Room'!$B$16,'Process'!BO5=1),1+('Control Room'!$C$16-1)*EXP(-0.5*(($A576-'Control Room'!$A$16-('Control Room'!$B$16-1)/2)/MAX(0.5,'Control Room'!$B$16/4))^2),1)</x:f>
        <x:v>1</x:v>
      </x:c>
      <x:c r="AA576" s="9" t="n">
        <x:f>MOD(AB575*16807,2147483647)</x:f>
        <x:v>1898692321</x:v>
      </x:c>
      <x:c r="AB576" s="9" t="n">
        <x:f>MOD(AA576*16807,2147483647)</x:f>
        <x:v>1862328274</x:v>
      </x:c>
      <x:c r="AC576" s="17" t="n">
        <x:f>IF('Control Room'!$B$5="Normal",'Control Room'!$B$7+'Control Room'!$D$7*SQRT(-2*LN(MAX(0.000000000001,AA576/2147483647)))*COS(2*PI()*AB576/2147483647),'Control Room'!$B$8+('Control Room'!$D$8-'Control Room'!$B$8)*AA576/2147483647)</x:f>
        <x:v>1029.998967875055</x:v>
      </x:c>
      <x:c r="AD576" s="17" t="n">
        <x:f>IF('Control Room'!$B$5="Normal",'Control Room'!$B$7,('Control Room'!$B$8+'Control Room'!$D$8)/2)+'Control Room'!$B$9*(AD575-IF('Control Room'!$B$5="Normal",'Control Room'!$B$7,('Control Room'!$B$8+'Control Room'!$D$8)/2))+SQRT(1-'Control Room'!$B$9^2)*(AC576-IF('Control Room'!$B$5="Normal",'Control Room'!$B$7,('Control Room'!$B$8+'Control Room'!$D$8)/2))</x:f>
        <x:v>990.5208566085446</x:v>
      </x:c>
      <x:c r="AE576" s="17" t="n">
        <x:f>IF(AND($A576&gt;='Control Room'!$A$13,$A576&lt;'Control Room'!$A$13+'Control Room'!$B$13,'Process'!BP2=1),1+('Control Room'!$C$13-1)*EXP(-0.5*(($A576-'Control Room'!$A$13-('Control Room'!$B$13-1)/2)/MAX(0.5,'Control Room'!$B$13/4))^2),1)*IF(AND($A576&gt;='Control Room'!$A$14,$A576&lt;'Control Room'!$A$14+'Control Room'!$B$14,'Process'!BP3=1),1+('Control Room'!$C$14-1)*EXP(-0.5*(($A576-'Control Room'!$A$14-('Control Room'!$B$14-1)/2)/MAX(0.5,'Control Room'!$B$14/4))^2),1)*IF(AND($A576&gt;='Control Room'!$A$15,$A576&lt;'Control Room'!$A$15+'Control Room'!$B$15,'Process'!BP4=1),1+('Control Room'!$C$15-1)*EXP(-0.5*(($A576-'Control Room'!$A$15-('Control Room'!$B$15-1)/2)/MAX(0.5,'Control Room'!$B$15/4))^2),1)*IF(AND($A576&gt;='Control Room'!$A$16,$A576&lt;'Control Room'!$A$16+'Control Room'!$B$16,'Process'!BP5=1),1+('Control Room'!$C$16-1)*EXP(-0.5*(($A576-'Control Room'!$A$16-('Control Room'!$B$16-1)/2)/MAX(0.5,'Control Room'!$B$16/4))^2),1)</x:f>
        <x:v>1</x:v>
      </x:c>
      <x:c r="AF576" s="9" t="n">
        <x:f>MOD(AG575*16807,2147483647)</x:f>
        <x:v>787158224</x:v>
      </x:c>
      <x:c r="AG576" s="9" t="n">
        <x:f>MOD(AF576*16807,2147483647)</x:f>
        <x:v>1269005248</x:v>
      </x:c>
      <x:c r="AH576" s="17" t="n">
        <x:f>IF('Control Room'!$B$5="Normal",'Control Room'!$B$7+'Control Room'!$D$7*SQRT(-2*LN(MAX(0.000000000001,AF576/2147483647)))*COS(2*PI()*AG576/2147483647),'Control Room'!$B$8+('Control Room'!$D$8-'Control Room'!$B$8)*AF576/2147483647)</x:f>
        <x:v>892.7397215175632</x:v>
      </x:c>
      <x:c r="AI576" s="17" t="n">
        <x:f>IF('Control Room'!$B$5="Normal",'Control Room'!$B$7,('Control Room'!$B$8+'Control Room'!$D$8)/2)+'Control Room'!$B$9*(AI575-IF('Control Room'!$B$5="Normal",'Control Room'!$B$7,('Control Room'!$B$8+'Control Room'!$D$8)/2))+SQRT(1-'Control Room'!$B$9^2)*(AH576-IF('Control Room'!$B$5="Normal",'Control Room'!$B$7,('Control Room'!$B$8+'Control Room'!$D$8)/2))</x:f>
        <x:v>857.8919997978276</x:v>
      </x:c>
      <x:c r="AJ576" s="17" t="n">
        <x:f>IF(AND($A576&gt;='Control Room'!$A$13,$A576&lt;'Control Room'!$A$13+'Control Room'!$B$13,'Process'!BQ2=1),1+('Control Room'!$C$13-1)*EXP(-0.5*(($A576-'Control Room'!$A$13-('Control Room'!$B$13-1)/2)/MAX(0.5,'Control Room'!$B$13/4))^2),1)*IF(AND($A576&gt;='Control Room'!$A$14,$A576&lt;'Control Room'!$A$14+'Control Room'!$B$14,'Process'!BQ3=1),1+('Control Room'!$C$14-1)*EXP(-0.5*(($A576-'Control Room'!$A$14-('Control Room'!$B$14-1)/2)/MAX(0.5,'Control Room'!$B$14/4))^2),1)*IF(AND($A576&gt;='Control Room'!$A$15,$A576&lt;'Control Room'!$A$15+'Control Room'!$B$15,'Process'!BQ4=1),1+('Control Room'!$C$15-1)*EXP(-0.5*(($A576-'Control Room'!$A$15-('Control Room'!$B$15-1)/2)/MAX(0.5,'Control Room'!$B$15/4))^2),1)*IF(AND($A576&gt;='Control Room'!$A$16,$A576&lt;'Control Room'!$A$16+'Control Room'!$B$16,'Process'!BQ5=1),1+('Control Room'!$C$16-1)*EXP(-0.5*(($A576-'Control Room'!$A$16-('Control Room'!$B$16-1)/2)/MAX(0.5,'Control Room'!$B$16/4))^2),1)</x:f>
        <x:v>1</x:v>
      </x:c>
      <x:c r="AK576" s="9" t="n">
        <x:f>MOD(AL575*16807,2147483647)</x:f>
        <x:v>1823107774</x:v>
      </x:c>
      <x:c r="AL576" s="9" t="n">
        <x:f>MOD(AK576*16807,2147483647)</x:f>
        <x:v>675682222</x:v>
      </x:c>
      <x:c r="AM576" s="17" t="n">
        <x:f>IF('Control Room'!$B$5="Normal",'Control Room'!$B$7+'Control Room'!$D$7*SQRT(-2*LN(MAX(0.000000000001,AK576/2147483647)))*COS(2*PI()*AL576/2147483647),'Control Room'!$B$8+('Control Room'!$D$8-'Control Room'!$B$8)*AK576/2147483647)</x:f>
        <x:v>979.6519513512934</x:v>
      </x:c>
      <x:c r="AN576" s="17" t="n">
        <x:f>IF('Control Room'!$B$5="Normal",'Control Room'!$B$7,('Control Room'!$B$8+'Control Room'!$D$8)/2)+'Control Room'!$B$9*(AN575-IF('Control Room'!$B$5="Normal",'Control Room'!$B$7,('Control Room'!$B$8+'Control Room'!$D$8)/2))+SQRT(1-'Control Room'!$B$9^2)*(AM576-IF('Control Room'!$B$5="Normal",'Control Room'!$B$7,('Control Room'!$B$8+'Control Room'!$D$8)/2))</x:f>
        <x:v>982.3681358971565</x:v>
      </x:c>
      <x:c r="AO576" s="17" t="n">
        <x:f>IF(AND($A576&gt;='Control Room'!$A$13,$A576&lt;'Control Room'!$A$13+'Control Room'!$B$13,'Process'!BR2=1),1+('Control Room'!$C$13-1)*EXP(-0.5*(($A576-'Control Room'!$A$13-('Control Room'!$B$13-1)/2)/MAX(0.5,'Control Room'!$B$13/4))^2),1)*IF(AND($A576&gt;='Control Room'!$A$14,$A576&lt;'Control Room'!$A$14+'Control Room'!$B$14,'Process'!BR3=1),1+('Control Room'!$C$14-1)*EXP(-0.5*(($A576-'Control Room'!$A$14-('Control Room'!$B$14-1)/2)/MAX(0.5,'Control Room'!$B$14/4))^2),1)*IF(AND($A576&gt;='Control Room'!$A$15,$A576&lt;'Control Room'!$A$15+'Control Room'!$B$15,'Process'!BR4=1),1+('Control Room'!$C$15-1)*EXP(-0.5*(($A576-'Control Room'!$A$15-('Control Room'!$B$15-1)/2)/MAX(0.5,'Control Room'!$B$15/4))^2),1)*IF(AND($A576&gt;='Control Room'!$A$16,$A576&lt;'Control Room'!$A$16+'Control Room'!$B$16,'Process'!BR5=1),1+('Control Room'!$C$16-1)*EXP(-0.5*(($A576-'Control Room'!$A$16-('Control Room'!$B$16-1)/2)/MAX(0.5,'Control Room'!$B$16/4))^2),1)</x:f>
        <x:v>1</x:v>
      </x:c>
      <x:c r="AP576" s="9" t="n">
        <x:f>MOD(AQ575*16807,2147483647)</x:f>
        <x:v>711573677</x:v>
      </x:c>
      <x:c r="AQ576" s="9" t="n">
        <x:f>MOD(AP576*16807,2147483647)</x:f>
        <x:v>82359196</x:v>
      </x:c>
      <x:c r="AR576" s="17" t="n">
        <x:f>IF('Control Room'!$B$5="Normal",'Control Room'!$B$7+'Control Room'!$D$7*SQRT(-2*LN(MAX(0.000000000001,AP576/2147483647)))*COS(2*PI()*AQ576/2147483647),'Control Room'!$B$8+('Control Room'!$D$8-'Control Room'!$B$8)*AP576/2147483647)</x:f>
        <x:v>1129.9037972390834</x:v>
      </x:c>
      <x:c r="AS576" s="17" t="n">
        <x:f>IF('Control Room'!$B$5="Normal",'Control Room'!$B$7,('Control Room'!$B$8+'Control Room'!$D$8)/2)+'Control Room'!$B$9*(AS575-IF('Control Room'!$B$5="Normal",'Control Room'!$B$7,('Control Room'!$B$8+'Control Room'!$D$8)/2))+SQRT(1-'Control Room'!$B$9^2)*(AR576-IF('Control Room'!$B$5="Normal",'Control Room'!$B$7,('Control Room'!$B$8+'Control Room'!$D$8)/2))</x:f>
        <x:v>1072.0892172930435</x:v>
      </x:c>
      <x:c r="AT576" s="17" t="n">
        <x:f>IF(AND($A576&gt;='Control Room'!$A$13,$A576&lt;'Control Room'!$A$13+'Control Room'!$B$13,'Process'!BS2=1),1+('Control Room'!$C$13-1)*EXP(-0.5*(($A576-'Control Room'!$A$13-('Control Room'!$B$13-1)/2)/MAX(0.5,'Control Room'!$B$13/4))^2),1)*IF(AND($A576&gt;='Control Room'!$A$14,$A576&lt;'Control Room'!$A$14+'Control Room'!$B$14,'Process'!BS3=1),1+('Control Room'!$C$14-1)*EXP(-0.5*(($A576-'Control Room'!$A$14-('Control Room'!$B$14-1)/2)/MAX(0.5,'Control Room'!$B$14/4))^2),1)*IF(AND($A576&gt;='Control Room'!$A$15,$A576&lt;'Control Room'!$A$15+'Control Room'!$B$15,'Process'!BS4=1),1+('Control Room'!$C$15-1)*EXP(-0.5*(($A576-'Control Room'!$A$15-('Control Room'!$B$15-1)/2)/MAX(0.5,'Control Room'!$B$15/4))^2),1)*IF(AND($A576&gt;='Control Room'!$A$16,$A576&lt;'Control Room'!$A$16+'Control Room'!$B$16,'Process'!BS5=1),1+('Control Room'!$C$16-1)*EXP(-0.5*(($A576-'Control Room'!$A$16-('Control Room'!$B$16-1)/2)/MAX(0.5,'Control Room'!$B$16/4))^2),1)</x:f>
        <x:v>1</x:v>
      </x:c>
      <x:c r="AU576" s="9" t="n">
        <x:f>MOD(AV575*16807,2147483647)</x:f>
        <x:v>1747523227</x:v>
      </x:c>
      <x:c r="AV576" s="9" t="n">
        <x:f>MOD(AU576*16807,2147483647)</x:f>
        <x:v>1636519817</x:v>
      </x:c>
      <x:c r="AW576" s="17" t="n">
        <x:f>IF('Control Room'!$B$5="Normal",'Control Room'!$B$7+'Control Room'!$D$7*SQRT(-2*LN(MAX(0.000000000001,AU576/2147483647)))*COS(2*PI()*AV576/2147483647),'Control Room'!$B$8+('Control Room'!$D$8-'Control Room'!$B$8)*AU576/2147483647)</x:f>
        <x:v>1004.3756861797091</x:v>
      </x:c>
      <x:c r="AX576" s="17" t="n">
        <x:f>IF('Control Room'!$B$5="Normal",'Control Room'!$B$7,('Control Room'!$B$8+'Control Room'!$D$8)/2)+'Control Room'!$B$9*(AX575-IF('Control Room'!$B$5="Normal",'Control Room'!$B$7,('Control Room'!$B$8+'Control Room'!$D$8)/2))+SQRT(1-'Control Room'!$B$9^2)*(AW576-IF('Control Room'!$B$5="Normal",'Control Room'!$B$7,('Control Room'!$B$8+'Control Room'!$D$8)/2))</x:f>
        <x:v>945.4845028490429</x:v>
      </x:c>
      <x:c r="AY576" s="17" t="n">
        <x:f>IF(AND($A576&gt;='Control Room'!$A$13,$A576&lt;'Control Room'!$A$13+'Control Room'!$B$13,'Process'!BT2=1),1+('Control Room'!$C$13-1)*EXP(-0.5*(($A576-'Control Room'!$A$13-('Control Room'!$B$13-1)/2)/MAX(0.5,'Control Room'!$B$13/4))^2),1)*IF(AND($A576&gt;='Control Room'!$A$14,$A576&lt;'Control Room'!$A$14+'Control Room'!$B$14,'Process'!BT3=1),1+('Control Room'!$C$14-1)*EXP(-0.5*(($A576-'Control Room'!$A$14-('Control Room'!$B$14-1)/2)/MAX(0.5,'Control Room'!$B$14/4))^2),1)*IF(AND($A576&gt;='Control Room'!$A$15,$A576&lt;'Control Room'!$A$15+'Control Room'!$B$15,'Process'!BT4=1),1+('Control Room'!$C$15-1)*EXP(-0.5*(($A576-'Control Room'!$A$15-('Control Room'!$B$15-1)/2)/MAX(0.5,'Control Room'!$B$15/4))^2),1)*IF(AND($A576&gt;='Control Room'!$A$16,$A576&lt;'Control Room'!$A$16+'Control Room'!$B$16,'Process'!BT5=1),1+('Control Room'!$C$16-1)*EXP(-0.5*(($A576-'Control Room'!$A$16-('Control Room'!$B$16-1)/2)/MAX(0.5,'Control Room'!$B$16/4))^2),1)</x:f>
        <x:v>1</x:v>
      </x:c>
      <x:c r="AZ576" s="9" t="n">
        <x:f>MOD(BA575*16807,2147483647)</x:f>
        <x:v>635989130</x:v>
      </x:c>
      <x:c r="BA576" s="9" t="n">
        <x:f>MOD(AZ576*16807,2147483647)</x:f>
        <x:v>1043196791</x:v>
      </x:c>
      <x:c r="BB576" s="17" t="n">
        <x:f>IF('Control Room'!$B$5="Normal",'Control Room'!$B$7+'Control Room'!$D$7*SQRT(-2*LN(MAX(0.000000000001,AZ576/2147483647)))*COS(2*PI()*BA576/2147483647),'Control Room'!$B$8+('Control Room'!$D$8-'Control Room'!$B$8)*AZ576/2147483647)</x:f>
        <x:v>860.1562562349541</x:v>
      </x:c>
      <x:c r="BC576" s="17" t="n">
        <x:f>IF('Control Room'!$B$5="Normal",'Control Room'!$B$7,('Control Room'!$B$8+'Control Room'!$D$8)/2)+'Control Room'!$B$9*(BC575-IF('Control Room'!$B$5="Normal",'Control Room'!$B$7,('Control Room'!$B$8+'Control Room'!$D$8)/2))+SQRT(1-'Control Room'!$B$9^2)*(BB576-IF('Control Room'!$B$5="Normal",'Control Room'!$B$7,('Control Room'!$B$8+'Control Room'!$D$8)/2))</x:f>
        <x:v>1012.0912099844512</x:v>
      </x:c>
      <x:c r="BD576" s="17" t="n">
        <x:f>IF(AND($A576&gt;='Control Room'!$A$13,$A576&lt;'Control Room'!$A$13+'Control Room'!$B$13,'Process'!BU2=1),1+('Control Room'!$C$13-1)*EXP(-0.5*(($A576-'Control Room'!$A$13-('Control Room'!$B$13-1)/2)/MAX(0.5,'Control Room'!$B$13/4))^2),1)*IF(AND($A576&gt;='Control Room'!$A$14,$A576&lt;'Control Room'!$A$14+'Control Room'!$B$14,'Process'!BU3=1),1+('Control Room'!$C$14-1)*EXP(-0.5*(($A576-'Control Room'!$A$14-('Control Room'!$B$14-1)/2)/MAX(0.5,'Control Room'!$B$14/4))^2),1)*IF(AND($A576&gt;='Control Room'!$A$15,$A576&lt;'Control Room'!$A$15+'Control Room'!$B$15,'Process'!BU4=1),1+('Control Room'!$C$15-1)*EXP(-0.5*(($A576-'Control Room'!$A$15-('Control Room'!$B$15-1)/2)/MAX(0.5,'Control Room'!$B$15/4))^2),1)*IF(AND($A576&gt;='Control Room'!$A$16,$A576&lt;'Control Room'!$A$16+'Control Room'!$B$16,'Process'!BU5=1),1+('Control Room'!$C$16-1)*EXP(-0.5*(($A576-'Control Room'!$A$16-('Control Room'!$B$16-1)/2)/MAX(0.5,'Control Room'!$B$16/4))^2),1)</x:f>
        <x:v>1</x:v>
      </x:c>
      <x:c r="BE576" s="9" t="n">
        <x:f>MOD(BF575*16807,2147483647)</x:f>
        <x:v>1671938680</x:v>
      </x:c>
      <x:c r="BF576" s="9" t="n">
        <x:f>MOD(BE576*16807,2147483647)</x:f>
        <x:v>449873765</x:v>
      </x:c>
      <x:c r="BG576" s="17" t="n">
        <x:f>IF('Control Room'!$B$5="Normal",'Control Room'!$B$7+'Control Room'!$D$7*SQRT(-2*LN(MAX(0.000000000001,BE576/2147483647)))*COS(2*PI()*BF576/2147483647),'Control Room'!$B$8+('Control Room'!$D$8-'Control Room'!$B$8)*BE576/2147483647)</x:f>
        <x:v>1016.0344587441324</x:v>
      </x:c>
      <x:c r="BH576" s="17" t="n">
        <x:f>IF('Control Room'!$B$5="Normal",'Control Room'!$B$7,('Control Room'!$B$8+'Control Room'!$D$8)/2)+'Control Room'!$B$9*(BH575-IF('Control Room'!$B$5="Normal",'Control Room'!$B$7,('Control Room'!$B$8+'Control Room'!$D$8)/2))+SQRT(1-'Control Room'!$B$9^2)*(BG576-IF('Control Room'!$B$5="Normal",'Control Room'!$B$7,('Control Room'!$B$8+'Control Room'!$D$8)/2))</x:f>
        <x:v>1043.158840442055</x:v>
      </x:c>
      <x:c r="BI576" s="17" t="n">
        <x:f>IF(AND($A576&gt;='Control Room'!$A$13,$A576&lt;'Control Room'!$A$13+'Control Room'!$B$13,'Process'!BV2=1),1+('Control Room'!$C$13-1)*EXP(-0.5*(($A576-'Control Room'!$A$13-('Control Room'!$B$13-1)/2)/MAX(0.5,'Control Room'!$B$13/4))^2),1)*IF(AND($A576&gt;='Control Room'!$A$14,$A576&lt;'Control Room'!$A$14+'Control Room'!$B$14,'Process'!BV3=1),1+('Control Room'!$C$14-1)*EXP(-0.5*(($A576-'Control Room'!$A$14-('Control Room'!$B$14-1)/2)/MAX(0.5,'Control Room'!$B$14/4))^2),1)*IF(AND($A576&gt;='Control Room'!$A$15,$A576&lt;'Control Room'!$A$15+'Control Room'!$B$15,'Process'!BV4=1),1+('Control Room'!$C$15-1)*EXP(-0.5*(($A576-'Control Room'!$A$15-('Control Room'!$B$15-1)/2)/MAX(0.5,'Control Room'!$B$15/4))^2),1)*IF(AND($A576&gt;='Control Room'!$A$16,$A576&lt;'Control Room'!$A$16+'Control Room'!$B$16,'Process'!BV5=1),1+('Control Room'!$C$16-1)*EXP(-0.5*(($A576-'Control Room'!$A$16-('Control Room'!$B$16-1)/2)/MAX(0.5,'Control Room'!$B$16/4))^2),1)</x:f>
        <x:v>1</x:v>
      </x:c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Z576" t="str">
        <x:f>IF('Data'!A576="","",TEXT('Data'!A576,"mm-dd"))</x:f>
      </x:c>
    </x:row>
    <x:row r="577" ht="21" customHeight="1">
      <x:c r="A577" s="15" t="n">
        <x:f>'Control Room'!$B$1+575</x:f>
        <x:v>73566</x:v>
      </x:c>
      <x:c r="B577" s="9" t="n">
        <x:f>MOD(C576*16807,2147483647)</x:f>
        <x:v>202319957</x:v>
      </x:c>
      <x:c r="C577" s="9" t="n">
        <x:f>MOD(B577*16807,2147483647)</x:f>
        <x:v>924904098</x:v>
      </x:c>
      <x:c r="D577" s="17" t="n">
        <x:f>IF('Control Room'!$B$5="Normal",'Control Room'!$B$7+'Control Room'!$D$7*SQRT(-2*LN(MAX(0.000000000001,B577/2147483647)))*COS(2*PI()*C577/2147483647),'Control Room'!$B$8+('Control Room'!$D$8-'Control Room'!$B$8)*B577/2147483647)</x:f>
        <x:v>822.6361252858352</x:v>
      </x:c>
      <x:c r="E577" s="17" t="n">
        <x:f>IF('Control Room'!$B$5="Normal",'Control Room'!$B$7,('Control Room'!$B$8+'Control Room'!$D$8)/2)+'Control Room'!$B$9*(E576-IF('Control Room'!$B$5="Normal",'Control Room'!$B$7,('Control Room'!$B$8+'Control Room'!$D$8)/2))+SQRT(1-'Control Room'!$B$9^2)*(D577-IF('Control Room'!$B$5="Normal",'Control Room'!$B$7,('Control Room'!$B$8+'Control Room'!$D$8)/2))</x:f>
        <x:v>898.0901746230601</x:v>
      </x:c>
      <x:c r="F577" s="17" t="n">
        <x:f>IF(AND($A577&gt;='Control Room'!$A$13,$A577&lt;'Control Room'!$A$13+'Control Room'!$B$13,'Process'!BK2=1),1+('Control Room'!$C$13-1)*EXP(-0.5*(($A577-'Control Room'!$A$13-('Control Room'!$B$13-1)/2)/MAX(0.5,'Control Room'!$B$13/4))^2),1)*IF(AND($A577&gt;='Control Room'!$A$14,$A577&lt;'Control Room'!$A$14+'Control Room'!$B$14,'Process'!BK3=1),1+('Control Room'!$C$14-1)*EXP(-0.5*(($A577-'Control Room'!$A$14-('Control Room'!$B$14-1)/2)/MAX(0.5,'Control Room'!$B$14/4))^2),1)*IF(AND($A577&gt;='Control Room'!$A$15,$A577&lt;'Control Room'!$A$15+'Control Room'!$B$15,'Process'!BK4=1),1+('Control Room'!$C$15-1)*EXP(-0.5*(($A577-'Control Room'!$A$15-('Control Room'!$B$15-1)/2)/MAX(0.5,'Control Room'!$B$15/4))^2),1)*IF(AND($A577&gt;='Control Room'!$A$16,$A577&lt;'Control Room'!$A$16+'Control Room'!$B$16,'Process'!BK5=1),1+('Control Room'!$C$16-1)*EXP(-0.5*(($A577-'Control Room'!$A$16-('Control Room'!$B$16-1)/2)/MAX(0.5,'Control Room'!$B$16/4))^2),1)</x:f>
        <x:v>1</x:v>
      </x:c>
      <x:c r="G577" s="9" t="n">
        <x:f>MOD(H576*16807,2147483647)</x:f>
        <x:v>1136278643</x:v>
      </x:c>
      <x:c r="H577" s="9" t="n">
        <x:f>MOD(G577*16807,2147483647)</x:f>
        <x:v>2010563777</x:v>
      </x:c>
      <x:c r="I577" s="17" t="n">
        <x:f>IF('Control Room'!$B$5="Normal",'Control Room'!$B$7+'Control Room'!$D$7*SQRT(-2*LN(MAX(0.000000000001,G577/2147483647)))*COS(2*PI()*H577/2147483647),'Control Room'!$B$8+('Control Room'!$D$8-'Control Room'!$B$8)*G577/2147483647)</x:f>
        <x:v>1093.5076036730761</x:v>
      </x:c>
      <x:c r="J577" s="17" t="n">
        <x:f>IF('Control Room'!$B$5="Normal",'Control Room'!$B$7,('Control Room'!$B$8+'Control Room'!$D$8)/2)+'Control Room'!$B$9*(J576-IF('Control Room'!$B$5="Normal",'Control Room'!$B$7,('Control Room'!$B$8+'Control Room'!$D$8)/2))+SQRT(1-'Control Room'!$B$9^2)*(I577-IF('Control Room'!$B$5="Normal",'Control Room'!$B$7,('Control Room'!$B$8+'Control Room'!$D$8)/2))</x:f>
        <x:v>1034.6577593429683</x:v>
      </x:c>
      <x:c r="K577" s="17" t="n">
        <x:f>IF(AND($A577&gt;='Control Room'!$A$13,$A577&lt;'Control Room'!$A$13+'Control Room'!$B$13,'Process'!BL2=1),1+('Control Room'!$C$13-1)*EXP(-0.5*(($A577-'Control Room'!$A$13-('Control Room'!$B$13-1)/2)/MAX(0.5,'Control Room'!$B$13/4))^2),1)*IF(AND($A577&gt;='Control Room'!$A$14,$A577&lt;'Control Room'!$A$14+'Control Room'!$B$14,'Process'!BL3=1),1+('Control Room'!$C$14-1)*EXP(-0.5*(($A577-'Control Room'!$A$14-('Control Room'!$B$14-1)/2)/MAX(0.5,'Control Room'!$B$14/4))^2),1)*IF(AND($A577&gt;='Control Room'!$A$15,$A577&lt;'Control Room'!$A$15+'Control Room'!$B$15,'Process'!BL4=1),1+('Control Room'!$C$15-1)*EXP(-0.5*(($A577-'Control Room'!$A$15-('Control Room'!$B$15-1)/2)/MAX(0.5,'Control Room'!$B$15/4))^2),1)*IF(AND($A577&gt;='Control Room'!$A$16,$A577&lt;'Control Room'!$A$16+'Control Room'!$B$16,'Process'!BL5=1),1+('Control Room'!$C$16-1)*EXP(-0.5*(($A577-'Control Room'!$A$16-('Control Room'!$B$16-1)/2)/MAX(0.5,'Control Room'!$B$16/4))^2),1)</x:f>
        <x:v>1</x:v>
      </x:c>
      <x:c r="L577" s="9" t="n">
        <x:f>MOD(M576*16807,2147483647)</x:f>
        <x:v>2070237329</x:v>
      </x:c>
      <x:c r="M577" s="9" t="n">
        <x:f>MOD(L577*16807,2147483647)</x:f>
        <x:v>948739809</x:v>
      </x:c>
      <x:c r="N577" s="17" t="n">
        <x:f>IF('Control Room'!$B$5="Normal",'Control Room'!$B$7+'Control Room'!$D$7*SQRT(-2*LN(MAX(0.000000000001,L577/2147483647)))*COS(2*PI()*M577/2147483647),'Control Room'!$B$8+('Control Room'!$D$8-'Control Room'!$B$8)*L577/2147483647)</x:f>
        <x:v>977.2501258276903</x:v>
      </x:c>
      <x:c r="O577" s="17" t="n">
        <x:f>IF('Control Room'!$B$5="Normal",'Control Room'!$B$7,('Control Room'!$B$8+'Control Room'!$D$8)/2)+'Control Room'!$B$9*(O576-IF('Control Room'!$B$5="Normal",'Control Room'!$B$7,('Control Room'!$B$8+'Control Room'!$D$8)/2))+SQRT(1-'Control Room'!$B$9^2)*(N577-IF('Control Room'!$B$5="Normal",'Control Room'!$B$7,('Control Room'!$B$8+'Control Room'!$D$8)/2))</x:f>
        <x:v>964.5300004076851</x:v>
      </x:c>
      <x:c r="P577" s="17" t="n">
        <x:f>IF(AND($A577&gt;='Control Room'!$A$13,$A577&lt;'Control Room'!$A$13+'Control Room'!$B$13,'Process'!BM2=1),1+('Control Room'!$C$13-1)*EXP(-0.5*(($A577-'Control Room'!$A$13-('Control Room'!$B$13-1)/2)/MAX(0.5,'Control Room'!$B$13/4))^2),1)*IF(AND($A577&gt;='Control Room'!$A$14,$A577&lt;'Control Room'!$A$14+'Control Room'!$B$14,'Process'!BM3=1),1+('Control Room'!$C$14-1)*EXP(-0.5*(($A577-'Control Room'!$A$14-('Control Room'!$B$14-1)/2)/MAX(0.5,'Control Room'!$B$14/4))^2),1)*IF(AND($A577&gt;='Control Room'!$A$15,$A577&lt;'Control Room'!$A$15+'Control Room'!$B$15,'Process'!BM4=1),1+('Control Room'!$C$15-1)*EXP(-0.5*(($A577-'Control Room'!$A$15-('Control Room'!$B$15-1)/2)/MAX(0.5,'Control Room'!$B$15/4))^2),1)*IF(AND($A577&gt;='Control Room'!$A$16,$A577&lt;'Control Room'!$A$16+'Control Room'!$B$16,'Process'!BM5=1),1+('Control Room'!$C$16-1)*EXP(-0.5*(($A577-'Control Room'!$A$16-('Control Room'!$B$16-1)/2)/MAX(0.5,'Control Room'!$B$16/4))^2),1)</x:f>
        <x:v>1</x:v>
      </x:c>
      <x:c r="Q577" s="9" t="n">
        <x:f>MOD(R576*16807,2147483647)</x:f>
        <x:v>856712368</x:v>
      </x:c>
      <x:c r="R577" s="9" t="n">
        <x:f>MOD(Q577*16807,2147483647)</x:f>
        <x:v>2034399488</x:v>
      </x:c>
      <x:c r="S577" s="17" t="n">
        <x:f>IF('Control Room'!$B$5="Normal",'Control Room'!$B$7+'Control Room'!$D$7*SQRT(-2*LN(MAX(0.000000000001,Q577/2147483647)))*COS(2*PI()*R577/2147483647),'Control Room'!$B$8+('Control Room'!$D$8-'Control Room'!$B$8)*Q577/2147483647)</x:f>
        <x:v>1115.3944743991678</x:v>
      </x:c>
      <x:c r="T577" s="17" t="n">
        <x:f>IF('Control Room'!$B$5="Normal",'Control Room'!$B$7,('Control Room'!$B$8+'Control Room'!$D$8)/2)+'Control Room'!$B$9*(T576-IF('Control Room'!$B$5="Normal",'Control Room'!$B$7,('Control Room'!$B$8+'Control Room'!$D$8)/2))+SQRT(1-'Control Room'!$B$9^2)*(S577-IF('Control Room'!$B$5="Normal",'Control Room'!$B$7,('Control Room'!$B$8+'Control Room'!$D$8)/2))</x:f>
        <x:v>1171.4133041404398</x:v>
      </x:c>
      <x:c r="U577" s="17" t="n">
        <x:f>IF(AND($A577&gt;='Control Room'!$A$13,$A577&lt;'Control Room'!$A$13+'Control Room'!$B$13,'Process'!BN2=1),1+('Control Room'!$C$13-1)*EXP(-0.5*(($A577-'Control Room'!$A$13-('Control Room'!$B$13-1)/2)/MAX(0.5,'Control Room'!$B$13/4))^2),1)*IF(AND($A577&gt;='Control Room'!$A$14,$A577&lt;'Control Room'!$A$14+'Control Room'!$B$14,'Process'!BN3=1),1+('Control Room'!$C$14-1)*EXP(-0.5*(($A577-'Control Room'!$A$14-('Control Room'!$B$14-1)/2)/MAX(0.5,'Control Room'!$B$14/4))^2),1)*IF(AND($A577&gt;='Control Room'!$A$15,$A577&lt;'Control Room'!$A$15+'Control Room'!$B$15,'Process'!BN4=1),1+('Control Room'!$C$15-1)*EXP(-0.5*(($A577-'Control Room'!$A$15-('Control Room'!$B$15-1)/2)/MAX(0.5,'Control Room'!$B$15/4))^2),1)*IF(AND($A577&gt;='Control Room'!$A$16,$A577&lt;'Control Room'!$A$16+'Control Room'!$B$16,'Process'!BN5=1),1+('Control Room'!$C$16-1)*EXP(-0.5*(($A577-'Control Room'!$A$16-('Control Room'!$B$16-1)/2)/MAX(0.5,'Control Room'!$B$16/4))^2),1)</x:f>
        <x:v>1</x:v>
      </x:c>
      <x:c r="V577" s="9" t="n">
        <x:f>MOD(W576*16807,2147483647)</x:f>
        <x:v>1790671054</x:v>
      </x:c>
      <x:c r="W577" s="9" t="n">
        <x:f>MOD(V577*16807,2147483647)</x:f>
        <x:v>972575520</x:v>
      </x:c>
      <x:c r="X577" s="17" t="n">
        <x:f>IF('Control Room'!$B$5="Normal",'Control Room'!$B$7+'Control Room'!$D$7*SQRT(-2*LN(MAX(0.000000000001,V577/2147483647)))*COS(2*PI()*W577/2147483647),'Control Room'!$B$8+('Control Room'!$D$8-'Control Room'!$B$8)*V577/2147483647)</x:f>
        <x:v>948.1041076713227</x:v>
      </x:c>
      <x:c r="Y577" s="17" t="n">
        <x:f>IF('Control Room'!$B$5="Normal",'Control Room'!$B$7,('Control Room'!$B$8+'Control Room'!$D$8)/2)+'Control Room'!$B$9*(Y576-IF('Control Room'!$B$5="Normal",'Control Room'!$B$7,('Control Room'!$B$8+'Control Room'!$D$8)/2))+SQRT(1-'Control Room'!$B$9^2)*(X577-IF('Control Room'!$B$5="Normal",'Control Room'!$B$7,('Control Room'!$B$8+'Control Room'!$D$8)/2))</x:f>
        <x:v>1040.013351068807</x:v>
      </x:c>
      <x:c r="Z577" s="17" t="n">
        <x:f>IF(AND($A577&gt;='Control Room'!$A$13,$A577&lt;'Control Room'!$A$13+'Control Room'!$B$13,'Process'!BO2=1),1+('Control Room'!$C$13-1)*EXP(-0.5*(($A577-'Control Room'!$A$13-('Control Room'!$B$13-1)/2)/MAX(0.5,'Control Room'!$B$13/4))^2),1)*IF(AND($A577&gt;='Control Room'!$A$14,$A577&lt;'Control Room'!$A$14+'Control Room'!$B$14,'Process'!BO3=1),1+('Control Room'!$C$14-1)*EXP(-0.5*(($A577-'Control Room'!$A$14-('Control Room'!$B$14-1)/2)/MAX(0.5,'Control Room'!$B$14/4))^2),1)*IF(AND($A577&gt;='Control Room'!$A$15,$A577&lt;'Control Room'!$A$15+'Control Room'!$B$15,'Process'!BO4=1),1+('Control Room'!$C$15-1)*EXP(-0.5*(($A577-'Control Room'!$A$15-('Control Room'!$B$15-1)/2)/MAX(0.5,'Control Room'!$B$15/4))^2),1)*IF(AND($A577&gt;='Control Room'!$A$16,$A577&lt;'Control Room'!$A$16+'Control Room'!$B$16,'Process'!BO5=1),1+('Control Room'!$C$16-1)*EXP(-0.5*(($A577-'Control Room'!$A$16-('Control Room'!$B$16-1)/2)/MAX(0.5,'Control Room'!$B$16/4))^2),1)</x:f>
        <x:v>1</x:v>
      </x:c>
      <x:c r="AA577" s="9" t="n">
        <x:f>MOD(AB576*16807,2147483647)</x:f>
        <x:v>577146093</x:v>
      </x:c>
      <x:c r="AB577" s="9" t="n">
        <x:f>MOD(AA577*16807,2147483647)</x:f>
        <x:v>2058235199</x:v>
      </x:c>
      <x:c r="AC577" s="17" t="n">
        <x:f>IF('Control Room'!$B$5="Normal",'Control Room'!$B$7+'Control Room'!$D$7*SQRT(-2*LN(MAX(0.000000000001,AA577/2147483647)))*COS(2*PI()*AB577/2147483647),'Control Room'!$B$8+('Control Room'!$D$8-'Control Room'!$B$8)*AA577/2147483647)</x:f>
        <x:v>1140.9516013488555</x:v>
      </x:c>
      <x:c r="AD577" s="17" t="n">
        <x:f>IF('Control Room'!$B$5="Normal",'Control Room'!$B$7,('Control Room'!$B$8+'Control Room'!$D$8)/2)+'Control Room'!$B$9*(AD576-IF('Control Room'!$B$5="Normal",'Control Room'!$B$7,('Control Room'!$B$8+'Control Room'!$D$8)/2))+SQRT(1-'Control Room'!$B$9^2)*(AC577-IF('Control Room'!$B$5="Normal",'Control Room'!$B$7,('Control Room'!$B$8+'Control Room'!$D$8)/2))</x:f>
        <x:v>1080.8108927282726</x:v>
      </x:c>
      <x:c r="AE577" s="17" t="n">
        <x:f>IF(AND($A577&gt;='Control Room'!$A$13,$A577&lt;'Control Room'!$A$13+'Control Room'!$B$13,'Process'!BP2=1),1+('Control Room'!$C$13-1)*EXP(-0.5*(($A577-'Control Room'!$A$13-('Control Room'!$B$13-1)/2)/MAX(0.5,'Control Room'!$B$13/4))^2),1)*IF(AND($A577&gt;='Control Room'!$A$14,$A577&lt;'Control Room'!$A$14+'Control Room'!$B$14,'Process'!BP3=1),1+('Control Room'!$C$14-1)*EXP(-0.5*(($A577-'Control Room'!$A$14-('Control Room'!$B$14-1)/2)/MAX(0.5,'Control Room'!$B$14/4))^2),1)*IF(AND($A577&gt;='Control Room'!$A$15,$A577&lt;'Control Room'!$A$15+'Control Room'!$B$15,'Process'!BP4=1),1+('Control Room'!$C$15-1)*EXP(-0.5*(($A577-'Control Room'!$A$15-('Control Room'!$B$15-1)/2)/MAX(0.5,'Control Room'!$B$15/4))^2),1)*IF(AND($A577&gt;='Control Room'!$A$16,$A577&lt;'Control Room'!$A$16+'Control Room'!$B$16,'Process'!BP5=1),1+('Control Room'!$C$16-1)*EXP(-0.5*(($A577-'Control Room'!$A$16-('Control Room'!$B$16-1)/2)/MAX(0.5,'Control Room'!$B$16/4))^2),1)</x:f>
        <x:v>1</x:v>
      </x:c>
      <x:c r="AF577" s="9" t="n">
        <x:f>MOD(AG576*16807,2147483647)</x:f>
        <x:v>1511104779</x:v>
      </x:c>
      <x:c r="AG577" s="9" t="n">
        <x:f>MOD(AF577*16807,2147483647)</x:f>
        <x:v>996411231</x:v>
      </x:c>
      <x:c r="AH577" s="17" t="n">
        <x:f>IF('Control Room'!$B$5="Normal",'Control Room'!$B$7+'Control Room'!$D$7*SQRT(-2*LN(MAX(0.000000000001,AF577/2147483647)))*COS(2*PI()*AG577/2147483647),'Control Room'!$B$8+('Control Room'!$D$8-'Control Room'!$B$8)*AF577/2147483647)</x:f>
        <x:v>926.4673108000387</x:v>
      </x:c>
      <x:c r="AI577" s="17" t="n">
        <x:f>IF('Control Room'!$B$5="Normal",'Control Room'!$B$7,('Control Room'!$B$8+'Control Room'!$D$8)/2)+'Control Room'!$B$9*(AI576-IF('Control Room'!$B$5="Normal",'Control Room'!$B$7,('Control Room'!$B$8+'Control Room'!$D$8)/2))+SQRT(1-'Control Room'!$B$9^2)*(AH577-IF('Control Room'!$B$5="Normal",'Control Room'!$B$7,('Control Room'!$B$8+'Control Room'!$D$8)/2))</x:f>
        <x:v>843.1405093399881</x:v>
      </x:c>
      <x:c r="AJ577" s="17" t="n">
        <x:f>IF(AND($A577&gt;='Control Room'!$A$13,$A577&lt;'Control Room'!$A$13+'Control Room'!$B$13,'Process'!BQ2=1),1+('Control Room'!$C$13-1)*EXP(-0.5*(($A577-'Control Room'!$A$13-('Control Room'!$B$13-1)/2)/MAX(0.5,'Control Room'!$B$13/4))^2),1)*IF(AND($A577&gt;='Control Room'!$A$14,$A577&lt;'Control Room'!$A$14+'Control Room'!$B$14,'Process'!BQ3=1),1+('Control Room'!$C$14-1)*EXP(-0.5*(($A577-'Control Room'!$A$14-('Control Room'!$B$14-1)/2)/MAX(0.5,'Control Room'!$B$14/4))^2),1)*IF(AND($A577&gt;='Control Room'!$A$15,$A577&lt;'Control Room'!$A$15+'Control Room'!$B$15,'Process'!BQ4=1),1+('Control Room'!$C$15-1)*EXP(-0.5*(($A577-'Control Room'!$A$15-('Control Room'!$B$15-1)/2)/MAX(0.5,'Control Room'!$B$15/4))^2),1)*IF(AND($A577&gt;='Control Room'!$A$16,$A577&lt;'Control Room'!$A$16+'Control Room'!$B$16,'Process'!BQ5=1),1+('Control Room'!$C$16-1)*EXP(-0.5*(($A577-'Control Room'!$A$16-('Control Room'!$B$16-1)/2)/MAX(0.5,'Control Room'!$B$16/4))^2),1)</x:f>
        <x:v>1</x:v>
      </x:c>
      <x:c r="AK577" s="9" t="n">
        <x:f>MOD(AL576*16807,2147483647)</x:f>
        <x:v>297579818</x:v>
      </x:c>
      <x:c r="AL577" s="9" t="n">
        <x:f>MOD(AK577*16807,2147483647)</x:f>
        <x:v>2082070910</x:v>
      </x:c>
      <x:c r="AM577" s="17" t="n">
        <x:f>IF('Control Room'!$B$5="Normal",'Control Room'!$B$7+'Control Room'!$D$7*SQRT(-2*LN(MAX(0.000000000001,AK577/2147483647)))*COS(2*PI()*AL577/2147483647),'Control Room'!$B$8+('Control Room'!$D$8-'Control Room'!$B$8)*AK577/2147483647)</x:f>
        <x:v>1175.6663871147691</x:v>
      </x:c>
      <x:c r="AN577" s="17" t="n">
        <x:f>IF('Control Room'!$B$5="Normal",'Control Room'!$B$7,('Control Room'!$B$8+'Control Room'!$D$8)/2)+'Control Room'!$B$9*(AN576-IF('Control Room'!$B$5="Normal",'Control Room'!$B$7,('Control Room'!$B$8+'Control Room'!$D$8)/2))+SQRT(1-'Control Room'!$B$9^2)*(AM577-IF('Control Room'!$B$5="Normal",'Control Room'!$B$7,('Control Room'!$B$8+'Control Room'!$D$8)/2))</x:f>
        <x:v>1096.1755723346566</x:v>
      </x:c>
      <x:c r="AO577" s="17" t="n">
        <x:f>IF(AND($A577&gt;='Control Room'!$A$13,$A577&lt;'Control Room'!$A$13+'Control Room'!$B$13,'Process'!BR2=1),1+('Control Room'!$C$13-1)*EXP(-0.5*(($A577-'Control Room'!$A$13-('Control Room'!$B$13-1)/2)/MAX(0.5,'Control Room'!$B$13/4))^2),1)*IF(AND($A577&gt;='Control Room'!$A$14,$A577&lt;'Control Room'!$A$14+'Control Room'!$B$14,'Process'!BR3=1),1+('Control Room'!$C$14-1)*EXP(-0.5*(($A577-'Control Room'!$A$14-('Control Room'!$B$14-1)/2)/MAX(0.5,'Control Room'!$B$14/4))^2),1)*IF(AND($A577&gt;='Control Room'!$A$15,$A577&lt;'Control Room'!$A$15+'Control Room'!$B$15,'Process'!BR4=1),1+('Control Room'!$C$15-1)*EXP(-0.5*(($A577-'Control Room'!$A$15-('Control Room'!$B$15-1)/2)/MAX(0.5,'Control Room'!$B$15/4))^2),1)*IF(AND($A577&gt;='Control Room'!$A$16,$A577&lt;'Control Room'!$A$16+'Control Room'!$B$16,'Process'!BR5=1),1+('Control Room'!$C$16-1)*EXP(-0.5*(($A577-'Control Room'!$A$16-('Control Room'!$B$16-1)/2)/MAX(0.5,'Control Room'!$B$16/4))^2),1)</x:f>
        <x:v>1</x:v>
      </x:c>
      <x:c r="AP577" s="9" t="n">
        <x:f>MOD(AQ576*16807,2147483647)</x:f>
        <x:v>1231538504</x:v>
      </x:c>
      <x:c r="AQ577" s="9" t="n">
        <x:f>MOD(AP577*16807,2147483647)</x:f>
        <x:v>1020246942</x:v>
      </x:c>
      <x:c r="AR577" s="17" t="n">
        <x:f>IF('Control Room'!$B$5="Normal",'Control Room'!$B$7+'Control Room'!$D$7*SQRT(-2*LN(MAX(0.000000000001,AP577/2147483647)))*COS(2*PI()*AQ577/2147483647),'Control Room'!$B$8+('Control Room'!$D$8-'Control Room'!$B$8)*AP577/2147483647)</x:f>
        <x:v>906.2511050332457</x:v>
      </x:c>
      <x:c r="AS577" s="17" t="n">
        <x:f>IF('Control Room'!$B$5="Normal",'Control Room'!$B$7,('Control Room'!$B$8+'Control Room'!$D$8)/2)+'Control Room'!$B$9*(AS576-IF('Control Room'!$B$5="Normal",'Control Room'!$B$7,('Control Room'!$B$8+'Control Room'!$D$8)/2))+SQRT(1-'Control Room'!$B$9^2)*(AR577-IF('Control Room'!$B$5="Normal",'Control Room'!$B$7,('Control Room'!$B$8+'Control Room'!$D$8)/2))</x:f>
        <x:v>997.5634515688838</x:v>
      </x:c>
      <x:c r="AT577" s="17" t="n">
        <x:f>IF(AND($A577&gt;='Control Room'!$A$13,$A577&lt;'Control Room'!$A$13+'Control Room'!$B$13,'Process'!BS2=1),1+('Control Room'!$C$13-1)*EXP(-0.5*(($A577-'Control Room'!$A$13-('Control Room'!$B$13-1)/2)/MAX(0.5,'Control Room'!$B$13/4))^2),1)*IF(AND($A577&gt;='Control Room'!$A$14,$A577&lt;'Control Room'!$A$14+'Control Room'!$B$14,'Process'!BS3=1),1+('Control Room'!$C$14-1)*EXP(-0.5*(($A577-'Control Room'!$A$14-('Control Room'!$B$14-1)/2)/MAX(0.5,'Control Room'!$B$14/4))^2),1)*IF(AND($A577&gt;='Control Room'!$A$15,$A577&lt;'Control Room'!$A$15+'Control Room'!$B$15,'Process'!BS4=1),1+('Control Room'!$C$15-1)*EXP(-0.5*(($A577-'Control Room'!$A$15-('Control Room'!$B$15-1)/2)/MAX(0.5,'Control Room'!$B$15/4))^2),1)*IF(AND($A577&gt;='Control Room'!$A$16,$A577&lt;'Control Room'!$A$16+'Control Room'!$B$16,'Process'!BS5=1),1+('Control Room'!$C$16-1)*EXP(-0.5*(($A577-'Control Room'!$A$16-('Control Room'!$B$16-1)/2)/MAX(0.5,'Control Room'!$B$16/4))^2),1)</x:f>
        <x:v>1</x:v>
      </x:c>
      <x:c r="AU577" s="9" t="n">
        <x:f>MOD(AV576*16807,2147483647)</x:f>
        <x:v>18013543</x:v>
      </x:c>
      <x:c r="AV577" s="9" t="n">
        <x:f>MOD(AU577*16807,2147483647)</x:f>
        <x:v>2105906621</x:v>
      </x:c>
      <x:c r="AW577" s="17" t="n">
        <x:f>IF('Control Room'!$B$5="Normal",'Control Room'!$B$7+'Control Room'!$D$7*SQRT(-2*LN(MAX(0.000000000001,AU577/2147483647)))*COS(2*PI()*AV577/2147483647),'Control Room'!$B$8+('Control Room'!$D$8-'Control Room'!$B$8)*AU577/2147483647)</x:f>
        <x:v>1276.243639366527</x:v>
      </x:c>
      <x:c r="AX577" s="17" t="n">
        <x:f>IF('Control Room'!$B$5="Normal",'Control Room'!$B$7,('Control Room'!$B$8+'Control Room'!$D$8)/2)+'Control Room'!$B$9*(AX576-IF('Control Room'!$B$5="Normal",'Control Room'!$B$7,('Control Room'!$B$8+'Control Room'!$D$8)/2))+SQRT(1-'Control Room'!$B$9^2)*(AW577-IF('Control Room'!$B$5="Normal",'Control Room'!$B$7,('Control Room'!$B$8+'Control Room'!$D$8)/2))</x:f>
        <x:v>1130.345522579271</x:v>
      </x:c>
      <x:c r="AY577" s="17" t="n">
        <x:f>IF(AND($A577&gt;='Control Room'!$A$13,$A577&lt;'Control Room'!$A$13+'Control Room'!$B$13,'Process'!BT2=1),1+('Control Room'!$C$13-1)*EXP(-0.5*(($A577-'Control Room'!$A$13-('Control Room'!$B$13-1)/2)/MAX(0.5,'Control Room'!$B$13/4))^2),1)*IF(AND($A577&gt;='Control Room'!$A$14,$A577&lt;'Control Room'!$A$14+'Control Room'!$B$14,'Process'!BT3=1),1+('Control Room'!$C$14-1)*EXP(-0.5*(($A577-'Control Room'!$A$14-('Control Room'!$B$14-1)/2)/MAX(0.5,'Control Room'!$B$14/4))^2),1)*IF(AND($A577&gt;='Control Room'!$A$15,$A577&lt;'Control Room'!$A$15+'Control Room'!$B$15,'Process'!BT4=1),1+('Control Room'!$C$15-1)*EXP(-0.5*(($A577-'Control Room'!$A$15-('Control Room'!$B$15-1)/2)/MAX(0.5,'Control Room'!$B$15/4))^2),1)*IF(AND($A577&gt;='Control Room'!$A$16,$A577&lt;'Control Room'!$A$16+'Control Room'!$B$16,'Process'!BT5=1),1+('Control Room'!$C$16-1)*EXP(-0.5*(($A577-'Control Room'!$A$16-('Control Room'!$B$16-1)/2)/MAX(0.5,'Control Room'!$B$16/4))^2),1)</x:f>
        <x:v>1</x:v>
      </x:c>
      <x:c r="AZ577" s="9" t="n">
        <x:f>MOD(BA576*16807,2147483647)</x:f>
        <x:v>951972229</x:v>
      </x:c>
      <x:c r="BA577" s="9" t="n">
        <x:f>MOD(AZ577*16807,2147483647)</x:f>
        <x:v>1044082653</x:v>
      </x:c>
      <x:c r="BB577" s="17" t="n">
        <x:f>IF('Control Room'!$B$5="Normal",'Control Room'!$B$7+'Control Room'!$D$7*SQRT(-2*LN(MAX(0.000000000001,AZ577/2147483647)))*COS(2*PI()*BA577/2147483647),'Control Room'!$B$8+('Control Room'!$D$8-'Control Room'!$B$8)*AZ577/2147483647)</x:f>
        <x:v>885.6323119783905</x:v>
      </x:c>
      <x:c r="BC577" s="17" t="n">
        <x:f>IF('Control Room'!$B$5="Normal",'Control Room'!$B$7,('Control Room'!$B$8+'Control Room'!$D$8)/2)+'Control Room'!$B$9*(BC576-IF('Control Room'!$B$5="Normal",'Control Room'!$B$7,('Control Room'!$B$8+'Control Room'!$D$8)/2))+SQRT(1-'Control Room'!$B$9^2)*(BB577-IF('Control Room'!$B$5="Normal",'Control Room'!$B$7,('Control Room'!$B$8+'Control Room'!$D$8)/2))</x:f>
        <x:v>937.8621875733885</x:v>
      </x:c>
      <x:c r="BD577" s="17" t="n">
        <x:f>IF(AND($A577&gt;='Control Room'!$A$13,$A577&lt;'Control Room'!$A$13+'Control Room'!$B$13,'Process'!BU2=1),1+('Control Room'!$C$13-1)*EXP(-0.5*(($A577-'Control Room'!$A$13-('Control Room'!$B$13-1)/2)/MAX(0.5,'Control Room'!$B$13/4))^2),1)*IF(AND($A577&gt;='Control Room'!$A$14,$A577&lt;'Control Room'!$A$14+'Control Room'!$B$14,'Process'!BU3=1),1+('Control Room'!$C$14-1)*EXP(-0.5*(($A577-'Control Room'!$A$14-('Control Room'!$B$14-1)/2)/MAX(0.5,'Control Room'!$B$14/4))^2),1)*IF(AND($A577&gt;='Control Room'!$A$15,$A577&lt;'Control Room'!$A$15+'Control Room'!$B$15,'Process'!BU4=1),1+('Control Room'!$C$15-1)*EXP(-0.5*(($A577-'Control Room'!$A$15-('Control Room'!$B$15-1)/2)/MAX(0.5,'Control Room'!$B$15/4))^2),1)*IF(AND($A577&gt;='Control Room'!$A$16,$A577&lt;'Control Room'!$A$16+'Control Room'!$B$16,'Process'!BU5=1),1+('Control Room'!$C$16-1)*EXP(-0.5*(($A577-'Control Room'!$A$16-('Control Room'!$B$16-1)/2)/MAX(0.5,'Control Room'!$B$16/4))^2),1)</x:f>
        <x:v>1</x:v>
      </x:c>
      <x:c r="BE577" s="9" t="n">
        <x:f>MOD(BF576*16807,2147483647)</x:f>
        <x:v>1885930915</x:v>
      </x:c>
      <x:c r="BF577" s="9" t="n">
        <x:f>MOD(BE577*16807,2147483647)</x:f>
        <x:v>2129742332</x:v>
      </x:c>
      <x:c r="BG577" s="17" t="n">
        <x:f>IF('Control Room'!$B$5="Normal",'Control Room'!$B$7+'Control Room'!$D$7*SQRT(-2*LN(MAX(0.000000000001,BE577/2147483647)))*COS(2*PI()*BF577/2147483647),'Control Room'!$B$8+('Control Room'!$D$8-'Control Room'!$B$8)*BE577/2147483647)</x:f>
        <x:v>1045.8073613818408</x:v>
      </x:c>
      <x:c r="BH577" s="17" t="n">
        <x:f>IF('Control Room'!$B$5="Normal",'Control Room'!$B$7,('Control Room'!$B$8+'Control Room'!$D$8)/2)+'Control Room'!$B$9*(BH576-IF('Control Room'!$B$5="Normal",'Control Room'!$B$7,('Control Room'!$B$8+'Control Room'!$D$8)/2))+SQRT(1-'Control Room'!$B$9^2)*(BG577-IF('Control Room'!$B$5="Normal",'Control Room'!$B$7,('Control Room'!$B$8+'Control Room'!$D$8)/2))</x:f>
        <x:v>1062.3292038827535</x:v>
      </x:c>
      <x:c r="BI577" s="17" t="n">
        <x:f>IF(AND($A577&gt;='Control Room'!$A$13,$A577&lt;'Control Room'!$A$13+'Control Room'!$B$13,'Process'!BV2=1),1+('Control Room'!$C$13-1)*EXP(-0.5*(($A577-'Control Room'!$A$13-('Control Room'!$B$13-1)/2)/MAX(0.5,'Control Room'!$B$13/4))^2),1)*IF(AND($A577&gt;='Control Room'!$A$14,$A577&lt;'Control Room'!$A$14+'Control Room'!$B$14,'Process'!BV3=1),1+('Control Room'!$C$14-1)*EXP(-0.5*(($A577-'Control Room'!$A$14-('Control Room'!$B$14-1)/2)/MAX(0.5,'Control Room'!$B$14/4))^2),1)*IF(AND($A577&gt;='Control Room'!$A$15,$A577&lt;'Control Room'!$A$15+'Control Room'!$B$15,'Process'!BV4=1),1+('Control Room'!$C$15-1)*EXP(-0.5*(($A577-'Control Room'!$A$15-('Control Room'!$B$15-1)/2)/MAX(0.5,'Control Room'!$B$15/4))^2),1)*IF(AND($A577&gt;='Control Room'!$A$16,$A577&lt;'Control Room'!$A$16+'Control Room'!$B$16,'Process'!BV5=1),1+('Control Room'!$C$16-1)*EXP(-0.5*(($A577-'Control Room'!$A$16-('Control Room'!$B$16-1)/2)/MAX(0.5,'Control Room'!$B$16/4))^2),1)</x:f>
        <x:v>1</x:v>
      </x:c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Z577" t="str">
        <x:f>IF('Data'!A577="","",TEXT('Data'!A577,"mm-dd"))</x:f>
      </x:c>
    </x:row>
    <x:row r="578" ht="21" customHeight="1">
      <x:c r="A578" s="15" t="n">
        <x:f>'Control Room'!$B$1+576</x:f>
        <x:v>73567</x:v>
      </x:c>
      <x:c r="B578" s="9" t="n">
        <x:f>MOD(C577*16807,2147483647)</x:f>
        <x:v>1376538100</x:v>
      </x:c>
      <x:c r="C578" s="9" t="n">
        <x:f>MOD(B578*16807,2147483647)</x:f>
        <x:v>634517569</x:v>
      </x:c>
      <x:c r="D578" s="17" t="n">
        <x:f>IF('Control Room'!$B$5="Normal",'Control Room'!$B$7+'Control Room'!$D$7*SQRT(-2*LN(MAX(0.000000000001,B578/2147483647)))*COS(2*PI()*C578/2147483647),'Control Room'!$B$8+('Control Room'!$D$8-'Control Room'!$B$8)*B578/2147483647)</x:f>
        <x:v>976.0786094309345</x:v>
      </x:c>
      <x:c r="E578" s="17" t="n">
        <x:f>IF('Control Room'!$B$5="Normal",'Control Room'!$B$7,('Control Room'!$B$8+'Control Room'!$D$8)/2)+'Control Room'!$B$9*(E577-IF('Control Room'!$B$5="Normal",'Control Room'!$B$7,('Control Room'!$B$8+'Control Room'!$D$8)/2))+SQRT(1-'Control Room'!$B$9^2)*(D578-IF('Control Room'!$B$5="Normal",'Control Room'!$B$7,('Control Room'!$B$8+'Control Room'!$D$8)/2))</x:f>
        <x:v>905.5408200441884</x:v>
      </x:c>
      <x:c r="F578" s="17" t="n">
        <x:f>IF(AND($A578&gt;='Control Room'!$A$13,$A578&lt;'Control Room'!$A$13+'Control Room'!$B$13,'Process'!BK2=1),1+('Control Room'!$C$13-1)*EXP(-0.5*(($A578-'Control Room'!$A$13-('Control Room'!$B$13-1)/2)/MAX(0.5,'Control Room'!$B$13/4))^2),1)*IF(AND($A578&gt;='Control Room'!$A$14,$A578&lt;'Control Room'!$A$14+'Control Room'!$B$14,'Process'!BK3=1),1+('Control Room'!$C$14-1)*EXP(-0.5*(($A578-'Control Room'!$A$14-('Control Room'!$B$14-1)/2)/MAX(0.5,'Control Room'!$B$14/4))^2),1)*IF(AND($A578&gt;='Control Room'!$A$15,$A578&lt;'Control Room'!$A$15+'Control Room'!$B$15,'Process'!BK4=1),1+('Control Room'!$C$15-1)*EXP(-0.5*(($A578-'Control Room'!$A$15-('Control Room'!$B$15-1)/2)/MAX(0.5,'Control Room'!$B$15/4))^2),1)*IF(AND($A578&gt;='Control Room'!$A$16,$A578&lt;'Control Room'!$A$16+'Control Room'!$B$16,'Process'!BK5=1),1+('Control Room'!$C$16-1)*EXP(-0.5*(($A578-'Control Room'!$A$16-('Control Room'!$B$16-1)/2)/MAX(0.5,'Control Room'!$B$16/4))^2),1)</x:f>
        <x:v>1</x:v>
      </x:c>
      <x:c r="G578" s="9" t="n">
        <x:f>MOD(H577*16807,2147483647)</x:f>
        <x:v>890214494</x:v>
      </x:c>
      <x:c r="H578" s="9" t="n">
        <x:f>MOD(G578*16807,2147483647)</x:f>
        <x:v>316432009</x:v>
      </x:c>
      <x:c r="I578" s="17" t="n">
        <x:f>IF('Control Room'!$B$5="Normal",'Control Room'!$B$7+'Control Room'!$D$7*SQRT(-2*LN(MAX(0.000000000001,G578/2147483647)))*COS(2*PI()*H578/2147483647),'Control Room'!$B$8+('Control Room'!$D$8-'Control Room'!$B$8)*G578/2147483647)</x:f>
        <x:v>1071.8031867969041</x:v>
      </x:c>
      <x:c r="J578" s="17" t="n">
        <x:f>IF('Control Room'!$B$5="Normal",'Control Room'!$B$7,('Control Room'!$B$8+'Control Room'!$D$8)/2)+'Control Room'!$B$9*(J577-IF('Control Room'!$B$5="Normal",'Control Room'!$B$7,('Control Room'!$B$8+'Control Room'!$D$8)/2))+SQRT(1-'Control Room'!$B$9^2)*(I578-IF('Control Room'!$B$5="Normal",'Control Room'!$B$7,('Control Room'!$B$8+'Control Room'!$D$8)/2))</x:f>
        <x:v>1071.9660156167822</x:v>
      </x:c>
      <x:c r="K578" s="17" t="n">
        <x:f>IF(AND($A578&gt;='Control Room'!$A$13,$A578&lt;'Control Room'!$A$13+'Control Room'!$B$13,'Process'!BL2=1),1+('Control Room'!$C$13-1)*EXP(-0.5*(($A578-'Control Room'!$A$13-('Control Room'!$B$13-1)/2)/MAX(0.5,'Control Room'!$B$13/4))^2),1)*IF(AND($A578&gt;='Control Room'!$A$14,$A578&lt;'Control Room'!$A$14+'Control Room'!$B$14,'Process'!BL3=1),1+('Control Room'!$C$14-1)*EXP(-0.5*(($A578-'Control Room'!$A$14-('Control Room'!$B$14-1)/2)/MAX(0.5,'Control Room'!$B$14/4))^2),1)*IF(AND($A578&gt;='Control Room'!$A$15,$A578&lt;'Control Room'!$A$15+'Control Room'!$B$15,'Process'!BL4=1),1+('Control Room'!$C$15-1)*EXP(-0.5*(($A578-'Control Room'!$A$15-('Control Room'!$B$15-1)/2)/MAX(0.5,'Control Room'!$B$15/4))^2),1)*IF(AND($A578&gt;='Control Room'!$A$16,$A578&lt;'Control Room'!$A$16+'Control Room'!$B$16,'Process'!BL5=1),1+('Control Room'!$C$16-1)*EXP(-0.5*(($A578-'Control Room'!$A$16-('Control Room'!$B$16-1)/2)/MAX(0.5,'Control Room'!$B$16/4))^2),1)</x:f>
        <x:v>1</x:v>
      </x:c>
      <x:c r="L578" s="9" t="n">
        <x:f>MOD(M577*16807,2147483647)</x:f>
        <x:v>403890888</x:v>
      </x:c>
      <x:c r="M578" s="9" t="n">
        <x:f>MOD(L578*16807,2147483647)</x:f>
        <x:v>2145830096</x:v>
      </x:c>
      <x:c r="N578" s="17" t="n">
        <x:f>IF('Control Room'!$B$5="Normal",'Control Room'!$B$7+'Control Room'!$D$7*SQRT(-2*LN(MAX(0.000000000001,L578/2147483647)))*COS(2*PI()*M578/2147483647),'Control Room'!$B$8+('Control Room'!$D$8-'Control Room'!$B$8)*L578/2147483647)</x:f>
        <x:v>1164.52374997282</x:v>
      </x:c>
      <x:c r="O578" s="17" t="n">
        <x:f>IF('Control Room'!$B$5="Normal",'Control Room'!$B$7,('Control Room'!$B$8+'Control Room'!$D$8)/2)+'Control Room'!$B$9*(O577-IF('Control Room'!$B$5="Normal",'Control Room'!$B$7,('Control Room'!$B$8+'Control Room'!$D$8)/2))+SQRT(1-'Control Room'!$B$9^2)*(N578-IF('Control Room'!$B$5="Normal",'Control Room'!$B$7,('Control Room'!$B$8+'Control Room'!$D$8)/2))</x:f>
        <x:v>1075.2889925987665</x:v>
      </x:c>
      <x:c r="P578" s="17" t="n">
        <x:f>IF(AND($A578&gt;='Control Room'!$A$13,$A578&lt;'Control Room'!$A$13+'Control Room'!$B$13,'Process'!BM2=1),1+('Control Room'!$C$13-1)*EXP(-0.5*(($A578-'Control Room'!$A$13-('Control Room'!$B$13-1)/2)/MAX(0.5,'Control Room'!$B$13/4))^2),1)*IF(AND($A578&gt;='Control Room'!$A$14,$A578&lt;'Control Room'!$A$14+'Control Room'!$B$14,'Process'!BM3=1),1+('Control Room'!$C$14-1)*EXP(-0.5*(($A578-'Control Room'!$A$14-('Control Room'!$B$14-1)/2)/MAX(0.5,'Control Room'!$B$14/4))^2),1)*IF(AND($A578&gt;='Control Room'!$A$15,$A578&lt;'Control Room'!$A$15+'Control Room'!$B$15,'Process'!BM4=1),1+('Control Room'!$C$15-1)*EXP(-0.5*(($A578-'Control Room'!$A$15-('Control Room'!$B$15-1)/2)/MAX(0.5,'Control Room'!$B$15/4))^2),1)*IF(AND($A578&gt;='Control Room'!$A$16,$A578&lt;'Control Room'!$A$16+'Control Room'!$B$16,'Process'!BM5=1),1+('Control Room'!$C$16-1)*EXP(-0.5*(($A578-'Control Room'!$A$16-('Control Room'!$B$16-1)/2)/MAX(0.5,'Control Room'!$B$16/4))^2),1)</x:f>
        <x:v>1</x:v>
      </x:c>
      <x:c r="Q578" s="9" t="n">
        <x:f>MOD(R577*16807,2147483647)</x:f>
        <x:v>2065050929</x:v>
      </x:c>
      <x:c r="R578" s="9" t="n">
        <x:f>MOD(Q578*16807,2147483647)</x:f>
        <x:v>1827744536</x:v>
      </x:c>
      <x:c r="S578" s="17" t="n">
        <x:f>IF('Control Room'!$B$5="Normal",'Control Room'!$B$7+'Control Room'!$D$7*SQRT(-2*LN(MAX(0.000000000001,Q578/2147483647)))*COS(2*PI()*R578/2147483647),'Control Room'!$B$8+('Control Room'!$D$8-'Control Room'!$B$8)*Q578/2147483647)</x:f>
        <x:v>1014.9429066189513</x:v>
      </x:c>
      <x:c r="T578" s="17" t="n">
        <x:f>IF('Control Room'!$B$5="Normal",'Control Room'!$B$7,('Control Room'!$B$8+'Control Room'!$D$8)/2)+'Control Room'!$B$9*(T577-IF('Control Room'!$B$5="Normal",'Control Room'!$B$7,('Control Room'!$B$8+'Control Room'!$D$8)/2))+SQRT(1-'Control Room'!$B$9^2)*(S578-IF('Control Room'!$B$5="Normal",'Control Room'!$B$7,('Control Room'!$B$8+'Control Room'!$D$8)/2))</x:f>
        <x:v>1143.0533420696015</x:v>
      </x:c>
      <x:c r="U578" s="17" t="n">
        <x:f>IF(AND($A578&gt;='Control Room'!$A$13,$A578&lt;'Control Room'!$A$13+'Control Room'!$B$13,'Process'!BN2=1),1+('Control Room'!$C$13-1)*EXP(-0.5*(($A578-'Control Room'!$A$13-('Control Room'!$B$13-1)/2)/MAX(0.5,'Control Room'!$B$13/4))^2),1)*IF(AND($A578&gt;='Control Room'!$A$14,$A578&lt;'Control Room'!$A$14+'Control Room'!$B$14,'Process'!BN3=1),1+('Control Room'!$C$14-1)*EXP(-0.5*(($A578-'Control Room'!$A$14-('Control Room'!$B$14-1)/2)/MAX(0.5,'Control Room'!$B$14/4))^2),1)*IF(AND($A578&gt;='Control Room'!$A$15,$A578&lt;'Control Room'!$A$15+'Control Room'!$B$15,'Process'!BN4=1),1+('Control Room'!$C$15-1)*EXP(-0.5*(($A578-'Control Room'!$A$15-('Control Room'!$B$15-1)/2)/MAX(0.5,'Control Room'!$B$15/4))^2),1)*IF(AND($A578&gt;='Control Room'!$A$16,$A578&lt;'Control Room'!$A$16+'Control Room'!$B$16,'Process'!BN5=1),1+('Control Room'!$C$16-1)*EXP(-0.5*(($A578-'Control Room'!$A$16-('Control Room'!$B$16-1)/2)/MAX(0.5,'Control Room'!$B$16/4))^2),1)</x:f>
        <x:v>1</x:v>
      </x:c>
      <x:c r="V578" s="9" t="n">
        <x:f>MOD(W577*16807,2147483647)</x:f>
        <x:v>1578727323</x:v>
      </x:c>
      <x:c r="W578" s="9" t="n">
        <x:f>MOD(V578*16807,2147483647)</x:f>
        <x:v>1509658976</x:v>
      </x:c>
      <x:c r="X578" s="17" t="n">
        <x:f>IF('Control Room'!$B$5="Normal",'Control Room'!$B$7+'Control Room'!$D$7*SQRT(-2*LN(MAX(0.000000000001,V578/2147483647)))*COS(2*PI()*W578/2147483647),'Control Room'!$B$8+('Control Room'!$D$8-'Control Room'!$B$8)*V578/2147483647)</x:f>
        <x:v>979.4484538603722</x:v>
      </x:c>
      <x:c r="Y578" s="17" t="n">
        <x:f>IF('Control Room'!$B$5="Normal",'Control Room'!$B$7,('Control Room'!$B$8+'Control Room'!$D$8)/2)+'Control Room'!$B$9*(Y577-IF('Control Room'!$B$5="Normal",'Control Room'!$B$7,('Control Room'!$B$8+'Control Room'!$D$8)/2))+SQRT(1-'Control Room'!$B$9^2)*(X578-IF('Control Room'!$B$5="Normal",'Control Room'!$B$7,('Control Room'!$B$8+'Control Room'!$D$8)/2))</x:f>
        <x:v>1018.3496772807976</x:v>
      </x:c>
      <x:c r="Z578" s="17" t="n">
        <x:f>IF(AND($A578&gt;='Control Room'!$A$13,$A578&lt;'Control Room'!$A$13+'Control Room'!$B$13,'Process'!BO2=1),1+('Control Room'!$C$13-1)*EXP(-0.5*(($A578-'Control Room'!$A$13-('Control Room'!$B$13-1)/2)/MAX(0.5,'Control Room'!$B$13/4))^2),1)*IF(AND($A578&gt;='Control Room'!$A$14,$A578&lt;'Control Room'!$A$14+'Control Room'!$B$14,'Process'!BO3=1),1+('Control Room'!$C$14-1)*EXP(-0.5*(($A578-'Control Room'!$A$14-('Control Room'!$B$14-1)/2)/MAX(0.5,'Control Room'!$B$14/4))^2),1)*IF(AND($A578&gt;='Control Room'!$A$15,$A578&lt;'Control Room'!$A$15+'Control Room'!$B$15,'Process'!BO4=1),1+('Control Room'!$C$15-1)*EXP(-0.5*(($A578-'Control Room'!$A$15-('Control Room'!$B$15-1)/2)/MAX(0.5,'Control Room'!$B$15/4))^2),1)*IF(AND($A578&gt;='Control Room'!$A$16,$A578&lt;'Control Room'!$A$16+'Control Room'!$B$16,'Process'!BO5=1),1+('Control Room'!$C$16-1)*EXP(-0.5*(($A578-'Control Room'!$A$16-('Control Room'!$B$16-1)/2)/MAX(0.5,'Control Room'!$B$16/4))^2),1)</x:f>
        <x:v>1</x:v>
      </x:c>
      <x:c r="AA578" s="9" t="n">
        <x:f>MOD(AB577*16807,2147483647)</x:f>
        <x:v>1092403717</x:v>
      </x:c>
      <x:c r="AB578" s="9" t="n">
        <x:f>MOD(AA578*16807,2147483647)</x:f>
        <x:v>1191573416</x:v>
      </x:c>
      <x:c r="AC578" s="17" t="n">
        <x:f>IF('Control Room'!$B$5="Normal",'Control Room'!$B$7+'Control Room'!$D$7*SQRT(-2*LN(MAX(0.000000000001,AA578/2147483647)))*COS(2*PI()*AB578/2147483647),'Control Room'!$B$8+('Control Room'!$D$8-'Control Room'!$B$8)*AA578/2147483647)</x:f>
        <x:v>901.5158200742685</x:v>
      </x:c>
      <x:c r="AD578" s="17" t="n">
        <x:f>IF('Control Room'!$B$5="Normal",'Control Room'!$B$7,('Control Room'!$B$8+'Control Room'!$D$8)/2)+'Control Room'!$B$9*(AD577-IF('Control Room'!$B$5="Normal",'Control Room'!$B$7,('Control Room'!$B$8+'Control Room'!$D$8)/2))+SQRT(1-'Control Room'!$B$9^2)*(AC578-IF('Control Room'!$B$5="Normal",'Control Room'!$B$7,('Control Room'!$B$8+'Control Room'!$D$8)/2))</x:f>
        <x:v>1001.4031140886198</x:v>
      </x:c>
      <x:c r="AE578" s="17" t="n">
        <x:f>IF(AND($A578&gt;='Control Room'!$A$13,$A578&lt;'Control Room'!$A$13+'Control Room'!$B$13,'Process'!BP2=1),1+('Control Room'!$C$13-1)*EXP(-0.5*(($A578-'Control Room'!$A$13-('Control Room'!$B$13-1)/2)/MAX(0.5,'Control Room'!$B$13/4))^2),1)*IF(AND($A578&gt;='Control Room'!$A$14,$A578&lt;'Control Room'!$A$14+'Control Room'!$B$14,'Process'!BP3=1),1+('Control Room'!$C$14-1)*EXP(-0.5*(($A578-'Control Room'!$A$14-('Control Room'!$B$14-1)/2)/MAX(0.5,'Control Room'!$B$14/4))^2),1)*IF(AND($A578&gt;='Control Room'!$A$15,$A578&lt;'Control Room'!$A$15+'Control Room'!$B$15,'Process'!BP4=1),1+('Control Room'!$C$15-1)*EXP(-0.5*(($A578-'Control Room'!$A$15-('Control Room'!$B$15-1)/2)/MAX(0.5,'Control Room'!$B$15/4))^2),1)*IF(AND($A578&gt;='Control Room'!$A$16,$A578&lt;'Control Room'!$A$16+'Control Room'!$B$16,'Process'!BP5=1),1+('Control Room'!$C$16-1)*EXP(-0.5*(($A578-'Control Room'!$A$16-('Control Room'!$B$16-1)/2)/MAX(0.5,'Control Room'!$B$16/4))^2),1)</x:f>
        <x:v>1</x:v>
      </x:c>
      <x:c r="AF578" s="9" t="n">
        <x:f>MOD(AG577*16807,2147483647)</x:f>
        <x:v>606080111</x:v>
      </x:c>
      <x:c r="AG578" s="9" t="n">
        <x:f>MOD(AF578*16807,2147483647)</x:f>
        <x:v>873487856</x:v>
      </x:c>
      <x:c r="AH578" s="17" t="n">
        <x:f>IF('Control Room'!$B$5="Normal",'Control Room'!$B$7+'Control Room'!$D$7*SQRT(-2*LN(MAX(0.000000000001,AF578/2147483647)))*COS(2*PI()*AG578/2147483647),'Control Room'!$B$8+('Control Room'!$D$8-'Control Room'!$B$8)*AF578/2147483647)</x:f>
        <x:v>880.7211058766951</x:v>
      </x:c>
      <x:c r="AI578" s="17" t="n">
        <x:f>IF('Control Room'!$B$5="Normal",'Control Room'!$B$7,('Control Room'!$B$8+'Control Room'!$D$8)/2)+'Control Room'!$B$9*(AI577-IF('Control Room'!$B$5="Normal",'Control Room'!$B$7,('Control Room'!$B$8+'Control Room'!$D$8)/2))+SQRT(1-'Control Room'!$B$9^2)*(AH578-IF('Control Room'!$B$5="Normal",'Control Room'!$B$7,('Control Room'!$B$8+'Control Room'!$D$8)/2))</x:f>
        <x:v>803.0073089037919</x:v>
      </x:c>
      <x:c r="AJ578" s="17" t="n">
        <x:f>IF(AND($A578&gt;='Control Room'!$A$13,$A578&lt;'Control Room'!$A$13+'Control Room'!$B$13,'Process'!BQ2=1),1+('Control Room'!$C$13-1)*EXP(-0.5*(($A578-'Control Room'!$A$13-('Control Room'!$B$13-1)/2)/MAX(0.5,'Control Room'!$B$13/4))^2),1)*IF(AND($A578&gt;='Control Room'!$A$14,$A578&lt;'Control Room'!$A$14+'Control Room'!$B$14,'Process'!BQ3=1),1+('Control Room'!$C$14-1)*EXP(-0.5*(($A578-'Control Room'!$A$14-('Control Room'!$B$14-1)/2)/MAX(0.5,'Control Room'!$B$14/4))^2),1)*IF(AND($A578&gt;='Control Room'!$A$15,$A578&lt;'Control Room'!$A$15+'Control Room'!$B$15,'Process'!BQ4=1),1+('Control Room'!$C$15-1)*EXP(-0.5*(($A578-'Control Room'!$A$15-('Control Room'!$B$15-1)/2)/MAX(0.5,'Control Room'!$B$15/4))^2),1)*IF(AND($A578&gt;='Control Room'!$A$16,$A578&lt;'Control Room'!$A$16+'Control Room'!$B$16,'Process'!BQ5=1),1+('Control Room'!$C$16-1)*EXP(-0.5*(($A578-'Control Room'!$A$16-('Control Room'!$B$16-1)/2)/MAX(0.5,'Control Room'!$B$16/4))^2),1)</x:f>
        <x:v>1</x:v>
      </x:c>
      <x:c r="AK578" s="9" t="n">
        <x:f>MOD(AL577*16807,2147483647)</x:f>
        <x:v>119756505</x:v>
      </x:c>
      <x:c r="AL578" s="9" t="n">
        <x:f>MOD(AK578*16807,2147483647)</x:f>
        <x:v>555402296</x:v>
      </x:c>
      <x:c r="AM578" s="17" t="n">
        <x:f>IF('Control Room'!$B$5="Normal",'Control Room'!$B$7+'Control Room'!$D$7*SQRT(-2*LN(MAX(0.000000000001,AK578/2147483647)))*COS(2*PI()*AL578/2147483647),'Control Room'!$B$8+('Control Room'!$D$8-'Control Room'!$B$8)*AK578/2147483647)</x:f>
        <x:v>988.2808739699288</x:v>
      </x:c>
      <x:c r="AN578" s="17" t="n">
        <x:f>IF('Control Room'!$B$5="Normal",'Control Room'!$B$7,('Control Room'!$B$8+'Control Room'!$D$8)/2)+'Control Room'!$B$9*(AN577-IF('Control Room'!$B$5="Normal",'Control Room'!$B$7,('Control Room'!$B$8+'Control Room'!$D$8)/2))+SQRT(1-'Control Room'!$B$9^2)*(AM578-IF('Control Room'!$B$5="Normal",'Control Room'!$B$7,('Control Room'!$B$8+'Control Room'!$D$8)/2))</x:f>
        <x:v>1067.6833574307598</x:v>
      </x:c>
      <x:c r="AO578" s="17" t="n">
        <x:f>IF(AND($A578&gt;='Control Room'!$A$13,$A578&lt;'Control Room'!$A$13+'Control Room'!$B$13,'Process'!BR2=1),1+('Control Room'!$C$13-1)*EXP(-0.5*(($A578-'Control Room'!$A$13-('Control Room'!$B$13-1)/2)/MAX(0.5,'Control Room'!$B$13/4))^2),1)*IF(AND($A578&gt;='Control Room'!$A$14,$A578&lt;'Control Room'!$A$14+'Control Room'!$B$14,'Process'!BR3=1),1+('Control Room'!$C$14-1)*EXP(-0.5*(($A578-'Control Room'!$A$14-('Control Room'!$B$14-1)/2)/MAX(0.5,'Control Room'!$B$14/4))^2),1)*IF(AND($A578&gt;='Control Room'!$A$15,$A578&lt;'Control Room'!$A$15+'Control Room'!$B$15,'Process'!BR4=1),1+('Control Room'!$C$15-1)*EXP(-0.5*(($A578-'Control Room'!$A$15-('Control Room'!$B$15-1)/2)/MAX(0.5,'Control Room'!$B$15/4))^2),1)*IF(AND($A578&gt;='Control Room'!$A$16,$A578&lt;'Control Room'!$A$16+'Control Room'!$B$16,'Process'!BR5=1),1+('Control Room'!$C$16-1)*EXP(-0.5*(($A578-'Control Room'!$A$16-('Control Room'!$B$16-1)/2)/MAX(0.5,'Control Room'!$B$16/4))^2),1)</x:f>
        <x:v>1</x:v>
      </x:c>
      <x:c r="AP578" s="9" t="n">
        <x:f>MOD(AQ577*16807,2147483647)</x:f>
        <x:v>1780916546</x:v>
      </x:c>
      <x:c r="AQ578" s="9" t="n">
        <x:f>MOD(AP578*16807,2147483647)</x:f>
        <x:v>237316736</x:v>
      </x:c>
      <x:c r="AR578" s="17" t="n">
        <x:f>IF('Control Room'!$B$5="Normal",'Control Room'!$B$7+'Control Room'!$D$7*SQRT(-2*LN(MAX(0.000000000001,AP578/2147483647)))*COS(2*PI()*AQ578/2147483647),'Control Room'!$B$8+('Control Room'!$D$8-'Control Room'!$B$8)*AP578/2147483647)</x:f>
        <x:v>1042.3156347834238</x:v>
      </x:c>
      <x:c r="AS578" s="17" t="n">
        <x:f>IF('Control Room'!$B$5="Normal",'Control Room'!$B$7,('Control Room'!$B$8+'Control Room'!$D$8)/2)+'Control Room'!$B$9*(AS577-IF('Control Room'!$B$5="Normal",'Control Room'!$B$7,('Control Room'!$B$8+'Control Room'!$D$8)/2))+SQRT(1-'Control Room'!$B$9^2)*(AR578-IF('Control Room'!$B$5="Normal",'Control Room'!$B$7,('Control Room'!$B$8+'Control Room'!$D$8)/2))</x:f>
        <x:v>1024.5797495882982</x:v>
      </x:c>
      <x:c r="AT578" s="17" t="n">
        <x:f>IF(AND($A578&gt;='Control Room'!$A$13,$A578&lt;'Control Room'!$A$13+'Control Room'!$B$13,'Process'!BS2=1),1+('Control Room'!$C$13-1)*EXP(-0.5*(($A578-'Control Room'!$A$13-('Control Room'!$B$13-1)/2)/MAX(0.5,'Control Room'!$B$13/4))^2),1)*IF(AND($A578&gt;='Control Room'!$A$14,$A578&lt;'Control Room'!$A$14+'Control Room'!$B$14,'Process'!BS3=1),1+('Control Room'!$C$14-1)*EXP(-0.5*(($A578-'Control Room'!$A$14-('Control Room'!$B$14-1)/2)/MAX(0.5,'Control Room'!$B$14/4))^2),1)*IF(AND($A578&gt;='Control Room'!$A$15,$A578&lt;'Control Room'!$A$15+'Control Room'!$B$15,'Process'!BS4=1),1+('Control Room'!$C$15-1)*EXP(-0.5*(($A578-'Control Room'!$A$15-('Control Room'!$B$15-1)/2)/MAX(0.5,'Control Room'!$B$15/4))^2),1)*IF(AND($A578&gt;='Control Room'!$A$16,$A578&lt;'Control Room'!$A$16+'Control Room'!$B$16,'Process'!BS5=1),1+('Control Room'!$C$16-1)*EXP(-0.5*(($A578-'Control Room'!$A$16-('Control Room'!$B$16-1)/2)/MAX(0.5,'Control Room'!$B$16/4))^2),1)</x:f>
        <x:v>1</x:v>
      </x:c>
      <x:c r="AU578" s="9" t="n">
        <x:f>MOD(AV577*16807,2147483647)</x:f>
        <x:v>1294592940</x:v>
      </x:c>
      <x:c r="AV578" s="9" t="n">
        <x:f>MOD(AU578*16807,2147483647)</x:f>
        <x:v>2066714823</x:v>
      </x:c>
      <x:c r="AW578" s="17" t="n">
        <x:f>IF('Control Room'!$B$5="Normal",'Control Room'!$B$7+'Control Room'!$D$7*SQRT(-2*LN(MAX(0.000000000001,AU578/2147483647)))*COS(2*PI()*AV578/2147483647),'Control Room'!$B$8+('Control Room'!$D$8-'Control Room'!$B$8)*AU578/2147483647)</x:f>
        <x:v>1088.030792120846</x:v>
      </x:c>
      <x:c r="AX578" s="17" t="n">
        <x:f>IF('Control Room'!$B$5="Normal",'Control Room'!$B$7,('Control Room'!$B$8+'Control Room'!$D$8)/2)+'Control Room'!$B$9*(AX577-IF('Control Room'!$B$5="Normal",'Control Room'!$B$7,('Control Room'!$B$8+'Control Room'!$D$8)/2))+SQRT(1-'Control Room'!$B$9^2)*(AW578-IF('Control Room'!$B$5="Normal",'Control Room'!$B$7,('Control Room'!$B$8+'Control Room'!$D$8)/2))</x:f>
        <x:v>1156.757373912256</x:v>
      </x:c>
      <x:c r="AY578" s="17" t="n">
        <x:f>IF(AND($A578&gt;='Control Room'!$A$13,$A578&lt;'Control Room'!$A$13+'Control Room'!$B$13,'Process'!BT2=1),1+('Control Room'!$C$13-1)*EXP(-0.5*(($A578-'Control Room'!$A$13-('Control Room'!$B$13-1)/2)/MAX(0.5,'Control Room'!$B$13/4))^2),1)*IF(AND($A578&gt;='Control Room'!$A$14,$A578&lt;'Control Room'!$A$14+'Control Room'!$B$14,'Process'!BT3=1),1+('Control Room'!$C$14-1)*EXP(-0.5*(($A578-'Control Room'!$A$14-('Control Room'!$B$14-1)/2)/MAX(0.5,'Control Room'!$B$14/4))^2),1)*IF(AND($A578&gt;='Control Room'!$A$15,$A578&lt;'Control Room'!$A$15+'Control Room'!$B$15,'Process'!BT4=1),1+('Control Room'!$C$15-1)*EXP(-0.5*(($A578-'Control Room'!$A$15-('Control Room'!$B$15-1)/2)/MAX(0.5,'Control Room'!$B$15/4))^2),1)*IF(AND($A578&gt;='Control Room'!$A$16,$A578&lt;'Control Room'!$A$16+'Control Room'!$B$16,'Process'!BT5=1),1+('Control Room'!$C$16-1)*EXP(-0.5*(($A578-'Control Room'!$A$16-('Control Room'!$B$16-1)/2)/MAX(0.5,'Control Room'!$B$16/4))^2),1)</x:f>
        <x:v>1</x:v>
      </x:c>
      <x:c r="AZ578" s="9" t="n">
        <x:f>MOD(BA577*16807,2147483647)</x:f>
        <x:v>808269334</x:v>
      </x:c>
      <x:c r="BA578" s="9" t="n">
        <x:f>MOD(AZ578*16807,2147483647)</x:f>
        <x:v>1748629263</x:v>
      </x:c>
      <x:c r="BB578" s="17" t="n">
        <x:f>IF('Control Room'!$B$5="Normal",'Control Room'!$B$7+'Control Room'!$D$7*SQRT(-2*LN(MAX(0.000000000001,AZ578/2147483647)))*COS(2*PI()*BA578/2147483647),'Control Room'!$B$8+('Control Room'!$D$8-'Control Room'!$B$8)*AZ578/2147483647)</x:f>
        <x:v>1049.4370797438685</x:v>
      </x:c>
      <x:c r="BC578" s="17" t="n">
        <x:f>IF('Control Room'!$B$5="Normal",'Control Room'!$B$7,('Control Room'!$B$8+'Control Room'!$D$8)/2)+'Control Room'!$B$9*(BC577-IF('Control Room'!$B$5="Normal",'Control Room'!$B$7,('Control Room'!$B$8+'Control Room'!$D$8)/2))+SQRT(1-'Control Room'!$B$9^2)*(BB578-IF('Control Room'!$B$5="Normal",'Control Room'!$B$7,('Control Room'!$B$8+'Control Room'!$D$8)/2))</x:f>
        <x:v>982.4692180373282</x:v>
      </x:c>
      <x:c r="BD578" s="17" t="n">
        <x:f>IF(AND($A578&gt;='Control Room'!$A$13,$A578&lt;'Control Room'!$A$13+'Control Room'!$B$13,'Process'!BU2=1),1+('Control Room'!$C$13-1)*EXP(-0.5*(($A578-'Control Room'!$A$13-('Control Room'!$B$13-1)/2)/MAX(0.5,'Control Room'!$B$13/4))^2),1)*IF(AND($A578&gt;='Control Room'!$A$14,$A578&lt;'Control Room'!$A$14+'Control Room'!$B$14,'Process'!BU3=1),1+('Control Room'!$C$14-1)*EXP(-0.5*(($A578-'Control Room'!$A$14-('Control Room'!$B$14-1)/2)/MAX(0.5,'Control Room'!$B$14/4))^2),1)*IF(AND($A578&gt;='Control Room'!$A$15,$A578&lt;'Control Room'!$A$15+'Control Room'!$B$15,'Process'!BU4=1),1+('Control Room'!$C$15-1)*EXP(-0.5*(($A578-'Control Room'!$A$15-('Control Room'!$B$15-1)/2)/MAX(0.5,'Control Room'!$B$15/4))^2),1)*IF(AND($A578&gt;='Control Room'!$A$16,$A578&lt;'Control Room'!$A$16+'Control Room'!$B$16,'Process'!BU5=1),1+('Control Room'!$C$16-1)*EXP(-0.5*(($A578-'Control Room'!$A$16-('Control Room'!$B$16-1)/2)/MAX(0.5,'Control Room'!$B$16/4))^2),1)</x:f>
        <x:v>1</x:v>
      </x:c>
      <x:c r="BE578" s="9" t="n">
        <x:f>MOD(BF577*16807,2147483647)</x:f>
        <x:v>321945728</x:v>
      </x:c>
      <x:c r="BF578" s="9" t="n">
        <x:f>MOD(BE578*16807,2147483647)</x:f>
        <x:v>1430543703</x:v>
      </x:c>
      <x:c r="BG578" s="17" t="n">
        <x:f>IF('Control Room'!$B$5="Normal",'Control Room'!$B$7+'Control Room'!$D$7*SQRT(-2*LN(MAX(0.000000000001,BE578/2147483647)))*COS(2*PI()*BF578/2147483647),'Control Room'!$B$8+('Control Room'!$D$8-'Control Room'!$B$8)*BE578/2147483647)</x:f>
        <x:v>911.839083861305</x:v>
      </x:c>
      <x:c r="BH578" s="17" t="n">
        <x:f>IF('Control Room'!$B$5="Normal",'Control Room'!$B$7,('Control Room'!$B$8+'Control Room'!$D$8)/2)+'Control Room'!$B$9*(BH577-IF('Control Room'!$B$5="Normal",'Control Room'!$B$7,('Control Room'!$B$8+'Control Room'!$D$8)/2))+SQRT(1-'Control Room'!$B$9^2)*(BG578-IF('Control Room'!$B$5="Normal",'Control Room'!$B$7,('Control Room'!$B$8+'Control Room'!$D$8)/2))</x:f>
        <x:v>993.4474837834885</x:v>
      </x:c>
      <x:c r="BI578" s="17" t="n">
        <x:f>IF(AND($A578&gt;='Control Room'!$A$13,$A578&lt;'Control Room'!$A$13+'Control Room'!$B$13,'Process'!BV2=1),1+('Control Room'!$C$13-1)*EXP(-0.5*(($A578-'Control Room'!$A$13-('Control Room'!$B$13-1)/2)/MAX(0.5,'Control Room'!$B$13/4))^2),1)*IF(AND($A578&gt;='Control Room'!$A$14,$A578&lt;'Control Room'!$A$14+'Control Room'!$B$14,'Process'!BV3=1),1+('Control Room'!$C$14-1)*EXP(-0.5*(($A578-'Control Room'!$A$14-('Control Room'!$B$14-1)/2)/MAX(0.5,'Control Room'!$B$14/4))^2),1)*IF(AND($A578&gt;='Control Room'!$A$15,$A578&lt;'Control Room'!$A$15+'Control Room'!$B$15,'Process'!BV4=1),1+('Control Room'!$C$15-1)*EXP(-0.5*(($A578-'Control Room'!$A$15-('Control Room'!$B$15-1)/2)/MAX(0.5,'Control Room'!$B$15/4))^2),1)*IF(AND($A578&gt;='Control Room'!$A$16,$A578&lt;'Control Room'!$A$16+'Control Room'!$B$16,'Process'!BV5=1),1+('Control Room'!$C$16-1)*EXP(-0.5*(($A578-'Control Room'!$A$16-('Control Room'!$B$16-1)/2)/MAX(0.5,'Control Room'!$B$16/4))^2),1)</x:f>
        <x:v>1</x:v>
      </x:c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Z578" t="str">
        <x:f>IF('Data'!A578="","",TEXT('Data'!A578,"mm-dd"))</x:f>
      </x:c>
    </x:row>
    <x:row r="579" ht="21" customHeight="1">
      <x:c r="A579" s="15" t="n">
        <x:f>'Control Room'!$B$1+577</x:f>
        <x:v>73568</x:v>
      </x:c>
      <x:c r="B579" s="9" t="n">
        <x:f>MOD(C578*16807,2147483647)</x:f>
        <x:v>2080474828</x:v>
      </x:c>
      <x:c r="C579" s="9" t="n">
        <x:f>MOD(B579*16807,2147483647)</x:f>
        <x:v>1211693742</x:v>
      </x:c>
      <x:c r="D579" s="17" t="n">
        <x:f>IF('Control Room'!$B$5="Normal",'Control Room'!$B$7+'Control Room'!$D$7*SQRT(-2*LN(MAX(0.000000000001,B579/2147483647)))*COS(2*PI()*C579/2147483647),'Control Room'!$B$8+('Control Room'!$D$8-'Control Room'!$B$8)*B579/2147483647)</x:f>
        <x:v>979.1593730061537</x:v>
      </x:c>
      <x:c r="E579" s="17" t="n">
        <x:f>IF('Control Room'!$B$5="Normal",'Control Room'!$B$7,('Control Room'!$B$8+'Control Room'!$D$8)/2)+'Control Room'!$B$9*(E578-IF('Control Room'!$B$5="Normal",'Control Room'!$B$7,('Control Room'!$B$8+'Control Room'!$D$8)/2))+SQRT(1-'Control Room'!$B$9^2)*(D579-IF('Control Room'!$B$5="Normal",'Control Room'!$B$7,('Control Room'!$B$8+'Control Room'!$D$8)/2))</x:f>
        <x:v>913.2802022051684</x:v>
      </x:c>
      <x:c r="F579" s="17" t="n">
        <x:f>IF(AND($A579&gt;='Control Room'!$A$13,$A579&lt;'Control Room'!$A$13+'Control Room'!$B$13,'Process'!BK2=1),1+('Control Room'!$C$13-1)*EXP(-0.5*(($A579-'Control Room'!$A$13-('Control Room'!$B$13-1)/2)/MAX(0.5,'Control Room'!$B$13/4))^2),1)*IF(AND($A579&gt;='Control Room'!$A$14,$A579&lt;'Control Room'!$A$14+'Control Room'!$B$14,'Process'!BK3=1),1+('Control Room'!$C$14-1)*EXP(-0.5*(($A579-'Control Room'!$A$14-('Control Room'!$B$14-1)/2)/MAX(0.5,'Control Room'!$B$14/4))^2),1)*IF(AND($A579&gt;='Control Room'!$A$15,$A579&lt;'Control Room'!$A$15+'Control Room'!$B$15,'Process'!BK4=1),1+('Control Room'!$C$15-1)*EXP(-0.5*(($A579-'Control Room'!$A$15-('Control Room'!$B$15-1)/2)/MAX(0.5,'Control Room'!$B$15/4))^2),1)*IF(AND($A579&gt;='Control Room'!$A$16,$A579&lt;'Control Room'!$A$16+'Control Room'!$B$16,'Process'!BK5=1),1+('Control Room'!$C$16-1)*EXP(-0.5*(($A579-'Control Room'!$A$16-('Control Room'!$B$16-1)/2)/MAX(0.5,'Control Room'!$B$16/4))^2),1)</x:f>
        <x:v>1</x:v>
      </x:c>
      <x:c r="G579" s="9" t="n">
        <x:f>MOD(H578*16807,2147483647)</x:f>
        <x:v>1103265291</x:v>
      </x:c>
      <x:c r="H579" s="9" t="n">
        <x:f>MOD(G579*16807,2147483647)</x:f>
        <x:v>1205937639</x:v>
      </x:c>
      <x:c r="I579" s="17" t="n">
        <x:f>IF('Control Room'!$B$5="Normal",'Control Room'!$B$7+'Control Room'!$D$7*SQRT(-2*LN(MAX(0.000000000001,G579/2147483647)))*COS(2*PI()*H579/2147483647),'Control Room'!$B$8+('Control Room'!$D$8-'Control Room'!$B$8)*G579/2147483647)</x:f>
        <x:v>903.8005432750452</x:v>
      </x:c>
      <x:c r="J579" s="17" t="n">
        <x:f>IF('Control Room'!$B$5="Normal",'Control Room'!$B$7,('Control Room'!$B$8+'Control Room'!$D$8)/2)+'Control Room'!$B$9*(J578-IF('Control Room'!$B$5="Normal",'Control Room'!$B$7,('Control Room'!$B$8+'Control Room'!$D$8)/2))+SQRT(1-'Control Room'!$B$9^2)*(I579-IF('Control Room'!$B$5="Normal",'Control Room'!$B$7,('Control Room'!$B$8+'Control Room'!$D$8)/2))</x:f>
        <x:v>995.9338429156044</x:v>
      </x:c>
      <x:c r="K579" s="17" t="n">
        <x:f>IF(AND($A579&gt;='Control Room'!$A$13,$A579&lt;'Control Room'!$A$13+'Control Room'!$B$13,'Process'!BL2=1),1+('Control Room'!$C$13-1)*EXP(-0.5*(($A579-'Control Room'!$A$13-('Control Room'!$B$13-1)/2)/MAX(0.5,'Control Room'!$B$13/4))^2),1)*IF(AND($A579&gt;='Control Room'!$A$14,$A579&lt;'Control Room'!$A$14+'Control Room'!$B$14,'Process'!BL3=1),1+('Control Room'!$C$14-1)*EXP(-0.5*(($A579-'Control Room'!$A$14-('Control Room'!$B$14-1)/2)/MAX(0.5,'Control Room'!$B$14/4))^2),1)*IF(AND($A579&gt;='Control Room'!$A$15,$A579&lt;'Control Room'!$A$15+'Control Room'!$B$15,'Process'!BL4=1),1+('Control Room'!$C$15-1)*EXP(-0.5*(($A579-'Control Room'!$A$15-('Control Room'!$B$15-1)/2)/MAX(0.5,'Control Room'!$B$15/4))^2),1)*IF(AND($A579&gt;='Control Room'!$A$16,$A579&lt;'Control Room'!$A$16+'Control Room'!$B$16,'Process'!BL5=1),1+('Control Room'!$C$16-1)*EXP(-0.5*(($A579-'Control Room'!$A$16-('Control Room'!$B$16-1)/2)/MAX(0.5,'Control Room'!$B$16/4))^2),1)</x:f>
        <x:v>1</x:v>
      </x:c>
      <x:c r="L579" s="9" t="n">
        <x:f>MOD(M578*16807,2147483647)</x:f>
        <x:v>126055754</x:v>
      </x:c>
      <x:c r="M579" s="9" t="n">
        <x:f>MOD(L579*16807,2147483647)</x:f>
        <x:v>1200181536</x:v>
      </x:c>
      <x:c r="N579" s="17" t="n">
        <x:f>IF('Control Room'!$B$5="Normal",'Control Room'!$B$7+'Control Room'!$D$7*SQRT(-2*LN(MAX(0.000000000001,L579/2147483647)))*COS(2*PI()*M579/2147483647),'Control Room'!$B$8+('Control Room'!$D$8-'Control Room'!$B$8)*L579/2147483647)</x:f>
        <x:v>800.1807374527389</x:v>
      </x:c>
      <x:c r="O579" s="17" t="n">
        <x:f>IF('Control Room'!$B$5="Normal",'Control Room'!$B$7,('Control Room'!$B$8+'Control Room'!$D$8)/2)+'Control Room'!$B$9*(O578-IF('Control Room'!$B$5="Normal",'Control Room'!$B$7,('Control Room'!$B$8+'Control Room'!$D$8)/2))+SQRT(1-'Control Room'!$B$9^2)*(N579-IF('Control Room'!$B$5="Normal",'Control Room'!$B$7,('Control Room'!$B$8+'Control Room'!$D$8)/2))</x:f>
        <x:v>933.6826132450577</x:v>
      </x:c>
      <x:c r="P579" s="17" t="n">
        <x:f>IF(AND($A579&gt;='Control Room'!$A$13,$A579&lt;'Control Room'!$A$13+'Control Room'!$B$13,'Process'!BM2=1),1+('Control Room'!$C$13-1)*EXP(-0.5*(($A579-'Control Room'!$A$13-('Control Room'!$B$13-1)/2)/MAX(0.5,'Control Room'!$B$13/4))^2),1)*IF(AND($A579&gt;='Control Room'!$A$14,$A579&lt;'Control Room'!$A$14+'Control Room'!$B$14,'Process'!BM3=1),1+('Control Room'!$C$14-1)*EXP(-0.5*(($A579-'Control Room'!$A$14-('Control Room'!$B$14-1)/2)/MAX(0.5,'Control Room'!$B$14/4))^2),1)*IF(AND($A579&gt;='Control Room'!$A$15,$A579&lt;'Control Room'!$A$15+'Control Room'!$B$15,'Process'!BM4=1),1+('Control Room'!$C$15-1)*EXP(-0.5*(($A579-'Control Room'!$A$15-('Control Room'!$B$15-1)/2)/MAX(0.5,'Control Room'!$B$15/4))^2),1)*IF(AND($A579&gt;='Control Room'!$A$16,$A579&lt;'Control Room'!$A$16+'Control Room'!$B$16,'Process'!BM5=1),1+('Control Room'!$C$16-1)*EXP(-0.5*(($A579-'Control Room'!$A$16-('Control Room'!$B$16-1)/2)/MAX(0.5,'Control Room'!$B$16/4))^2),1)</x:f>
        <x:v>1</x:v>
      </x:c>
      <x:c r="Q579" s="9" t="n">
        <x:f>MOD(R578*16807,2147483647)</x:f>
        <x:v>1296329864</x:v>
      </x:c>
      <x:c r="R579" s="9" t="n">
        <x:f>MOD(Q579*16807,2147483647)</x:f>
        <x:v>1194425433</x:v>
      </x:c>
      <x:c r="S579" s="17" t="n">
        <x:f>IF('Control Room'!$B$5="Normal",'Control Room'!$B$7+'Control Room'!$D$7*SQRT(-2*LN(MAX(0.000000000001,Q579/2147483647)))*COS(2*PI()*R579/2147483647),'Control Room'!$B$8+('Control Room'!$D$8-'Control Room'!$B$8)*Q579/2147483647)</x:f>
        <x:v>915.1515550296018</x:v>
      </x:c>
      <x:c r="T579" s="17" t="n">
        <x:f>IF('Control Room'!$B$5="Normal",'Control Room'!$B$7,('Control Room'!$B$8+'Control Room'!$D$8)/2)+'Control Room'!$B$9*(T578-IF('Control Room'!$B$5="Normal",'Control Room'!$B$7,('Control Room'!$B$8+'Control Room'!$D$8)/2))+SQRT(1-'Control Room'!$B$9^2)*(S579-IF('Control Room'!$B$5="Normal",'Control Room'!$B$7,('Control Room'!$B$8+'Control Room'!$D$8)/2))</x:f>
        <x:v>1058.4851881666896</x:v>
      </x:c>
      <x:c r="U579" s="17" t="n">
        <x:f>IF(AND($A579&gt;='Control Room'!$A$13,$A579&lt;'Control Room'!$A$13+'Control Room'!$B$13,'Process'!BN2=1),1+('Control Room'!$C$13-1)*EXP(-0.5*(($A579-'Control Room'!$A$13-('Control Room'!$B$13-1)/2)/MAX(0.5,'Control Room'!$B$13/4))^2),1)*IF(AND($A579&gt;='Control Room'!$A$14,$A579&lt;'Control Room'!$A$14+'Control Room'!$B$14,'Process'!BN3=1),1+('Control Room'!$C$14-1)*EXP(-0.5*(($A579-'Control Room'!$A$14-('Control Room'!$B$14-1)/2)/MAX(0.5,'Control Room'!$B$14/4))^2),1)*IF(AND($A579&gt;='Control Room'!$A$15,$A579&lt;'Control Room'!$A$15+'Control Room'!$B$15,'Process'!BN4=1),1+('Control Room'!$C$15-1)*EXP(-0.5*(($A579-'Control Room'!$A$15-('Control Room'!$B$15-1)/2)/MAX(0.5,'Control Room'!$B$15/4))^2),1)*IF(AND($A579&gt;='Control Room'!$A$16,$A579&lt;'Control Room'!$A$16+'Control Room'!$B$16,'Process'!BN5=1),1+('Control Room'!$C$16-1)*EXP(-0.5*(($A579-'Control Room'!$A$16-('Control Room'!$B$16-1)/2)/MAX(0.5,'Control Room'!$B$16/4))^2),1)</x:f>
        <x:v>1</x:v>
      </x:c>
      <x:c r="V579" s="9" t="n">
        <x:f>MOD(W578*16807,2147483647)</x:f>
        <x:v>319120327</x:v>
      </x:c>
      <x:c r="W579" s="9" t="n">
        <x:f>MOD(V579*16807,2147483647)</x:f>
        <x:v>1188669330</x:v>
      </x:c>
      <x:c r="X579" s="17" t="n">
        <x:f>IF('Control Room'!$B$5="Normal",'Control Room'!$B$7+'Control Room'!$D$7*SQRT(-2*LN(MAX(0.000000000001,V579/2147483647)))*COS(2*PI()*W579/2147483647),'Control Room'!$B$8+('Control Room'!$D$8-'Control Room'!$B$8)*V579/2147483647)</x:f>
        <x:v>834.1008930154712</x:v>
      </x:c>
      <x:c r="Y579" s="17" t="n">
        <x:f>IF('Control Room'!$B$5="Normal",'Control Room'!$B$7,('Control Room'!$B$8+'Control Room'!$D$8)/2)+'Control Room'!$B$9*(Y578-IF('Control Room'!$B$5="Normal",'Control Room'!$B$7,('Control Room'!$B$8+'Control Room'!$D$8)/2))+SQRT(1-'Control Room'!$B$9^2)*(X579-IF('Control Room'!$B$5="Normal",'Control Room'!$B$7,('Control Room'!$B$8+'Control Room'!$D$8)/2))</x:f>
        <x:v>910.4964857560425</x:v>
      </x:c>
      <x:c r="Z579" s="17" t="n">
        <x:f>IF(AND($A579&gt;='Control Room'!$A$13,$A579&lt;'Control Room'!$A$13+'Control Room'!$B$13,'Process'!BO2=1),1+('Control Room'!$C$13-1)*EXP(-0.5*(($A579-'Control Room'!$A$13-('Control Room'!$B$13-1)/2)/MAX(0.5,'Control Room'!$B$13/4))^2),1)*IF(AND($A579&gt;='Control Room'!$A$14,$A579&lt;'Control Room'!$A$14+'Control Room'!$B$14,'Process'!BO3=1),1+('Control Room'!$C$14-1)*EXP(-0.5*(($A579-'Control Room'!$A$14-('Control Room'!$B$14-1)/2)/MAX(0.5,'Control Room'!$B$14/4))^2),1)*IF(AND($A579&gt;='Control Room'!$A$15,$A579&lt;'Control Room'!$A$15+'Control Room'!$B$15,'Process'!BO4=1),1+('Control Room'!$C$15-1)*EXP(-0.5*(($A579-'Control Room'!$A$15-('Control Room'!$B$15-1)/2)/MAX(0.5,'Control Room'!$B$15/4))^2),1)*IF(AND($A579&gt;='Control Room'!$A$16,$A579&lt;'Control Room'!$A$16+'Control Room'!$B$16,'Process'!BO5=1),1+('Control Room'!$C$16-1)*EXP(-0.5*(($A579-'Control Room'!$A$16-('Control Room'!$B$16-1)/2)/MAX(0.5,'Control Room'!$B$16/4))^2),1)</x:f>
        <x:v>1</x:v>
      </x:c>
      <x:c r="AA579" s="9" t="n">
        <x:f>MOD(AB578*16807,2147483647)</x:f>
        <x:v>1489394437</x:v>
      </x:c>
      <x:c r="AB579" s="9" t="n">
        <x:f>MOD(AA579*16807,2147483647)</x:f>
        <x:v>1182913227</x:v>
      </x:c>
      <x:c r="AC579" s="17" t="n">
        <x:f>IF('Control Room'!$B$5="Normal",'Control Room'!$B$7+'Control Room'!$D$7*SQRT(-2*LN(MAX(0.000000000001,AA579/2147483647)))*COS(2*PI()*AB579/2147483647),'Control Room'!$B$8+('Control Room'!$D$8-'Control Room'!$B$8)*AA579/2147483647)</x:f>
        <x:v>926.900823475183</x:v>
      </x:c>
      <x:c r="AD579" s="17" t="n">
        <x:f>IF('Control Room'!$B$5="Normal",'Control Room'!$B$7,('Control Room'!$B$8+'Control Room'!$D$8)/2)+'Control Room'!$B$9*(AD578-IF('Control Room'!$B$5="Normal",'Control Room'!$B$7,('Control Room'!$B$8+'Control Room'!$D$8)/2))+SQRT(1-'Control Room'!$B$9^2)*(AC579-IF('Control Room'!$B$5="Normal",'Control Room'!$B$7,('Control Room'!$B$8+'Control Room'!$D$8)/2))</x:f>
        <x:v>955.3504618379214</x:v>
      </x:c>
      <x:c r="AE579" s="17" t="n">
        <x:f>IF(AND($A579&gt;='Control Room'!$A$13,$A579&lt;'Control Room'!$A$13+'Control Room'!$B$13,'Process'!BP2=1),1+('Control Room'!$C$13-1)*EXP(-0.5*(($A579-'Control Room'!$A$13-('Control Room'!$B$13-1)/2)/MAX(0.5,'Control Room'!$B$13/4))^2),1)*IF(AND($A579&gt;='Control Room'!$A$14,$A579&lt;'Control Room'!$A$14+'Control Room'!$B$14,'Process'!BP3=1),1+('Control Room'!$C$14-1)*EXP(-0.5*(($A579-'Control Room'!$A$14-('Control Room'!$B$14-1)/2)/MAX(0.5,'Control Room'!$B$14/4))^2),1)*IF(AND($A579&gt;='Control Room'!$A$15,$A579&lt;'Control Room'!$A$15+'Control Room'!$B$15,'Process'!BP4=1),1+('Control Room'!$C$15-1)*EXP(-0.5*(($A579-'Control Room'!$A$15-('Control Room'!$B$15-1)/2)/MAX(0.5,'Control Room'!$B$15/4))^2),1)*IF(AND($A579&gt;='Control Room'!$A$16,$A579&lt;'Control Room'!$A$16+'Control Room'!$B$16,'Process'!BP5=1),1+('Control Room'!$C$16-1)*EXP(-0.5*(($A579-'Control Room'!$A$16-('Control Room'!$B$16-1)/2)/MAX(0.5,'Control Room'!$B$16/4))^2),1)</x:f>
        <x:v>1</x:v>
      </x:c>
      <x:c r="AF579" s="9" t="n">
        <x:f>MOD(AG578*16807,2147483647)</x:f>
        <x:v>512184900</x:v>
      </x:c>
      <x:c r="AG579" s="9" t="n">
        <x:f>MOD(AF579*16807,2147483647)</x:f>
        <x:v>1177157124</x:v>
      </x:c>
      <x:c r="AH579" s="17" t="n">
        <x:f>IF('Control Room'!$B$5="Normal",'Control Room'!$B$7+'Control Room'!$D$7*SQRT(-2*LN(MAX(0.000000000001,AF579/2147483647)))*COS(2*PI()*AG579/2147483647),'Control Room'!$B$8+('Control Room'!$D$8-'Control Room'!$B$8)*AF579/2147483647)</x:f>
        <x:v>854.5395934327296</x:v>
      </x:c>
      <x:c r="AI579" s="17" t="n">
        <x:f>IF('Control Room'!$B$5="Normal",'Control Room'!$B$7,('Control Room'!$B$8+'Control Room'!$D$8)/2)+'Control Room'!$B$9*(AI578-IF('Control Room'!$B$5="Normal",'Control Room'!$B$7,('Control Room'!$B$8+'Control Room'!$D$8)/2))+SQRT(1-'Control Room'!$B$9^2)*(AH579-IF('Control Room'!$B$5="Normal",'Control Room'!$B$7,('Control Room'!$B$8+'Control Room'!$D$8)/2))</x:f>
        <x:v>755.3195584335614</x:v>
      </x:c>
      <x:c r="AJ579" s="17" t="n">
        <x:f>IF(AND($A579&gt;='Control Room'!$A$13,$A579&lt;'Control Room'!$A$13+'Control Room'!$B$13,'Process'!BQ2=1),1+('Control Room'!$C$13-1)*EXP(-0.5*(($A579-'Control Room'!$A$13-('Control Room'!$B$13-1)/2)/MAX(0.5,'Control Room'!$B$13/4))^2),1)*IF(AND($A579&gt;='Control Room'!$A$14,$A579&lt;'Control Room'!$A$14+'Control Room'!$B$14,'Process'!BQ3=1),1+('Control Room'!$C$14-1)*EXP(-0.5*(($A579-'Control Room'!$A$14-('Control Room'!$B$14-1)/2)/MAX(0.5,'Control Room'!$B$14/4))^2),1)*IF(AND($A579&gt;='Control Room'!$A$15,$A579&lt;'Control Room'!$A$15+'Control Room'!$B$15,'Process'!BQ4=1),1+('Control Room'!$C$15-1)*EXP(-0.5*(($A579-'Control Room'!$A$15-('Control Room'!$B$15-1)/2)/MAX(0.5,'Control Room'!$B$15/4))^2),1)*IF(AND($A579&gt;='Control Room'!$A$16,$A579&lt;'Control Room'!$A$16+'Control Room'!$B$16,'Process'!BQ5=1),1+('Control Room'!$C$16-1)*EXP(-0.5*(($A579-'Control Room'!$A$16-('Control Room'!$B$16-1)/2)/MAX(0.5,'Control Room'!$B$16/4))^2),1)</x:f>
        <x:v>1</x:v>
      </x:c>
      <x:c r="AK579" s="9" t="n">
        <x:f>MOD(AL578*16807,2147483647)</x:f>
        <x:v>1682459010</x:v>
      </x:c>
      <x:c r="AL579" s="9" t="n">
        <x:f>MOD(AK579*16807,2147483647)</x:f>
        <x:v>1171401021</x:v>
      </x:c>
      <x:c r="AM579" s="17" t="n">
        <x:f>IF('Control Room'!$B$5="Normal",'Control Room'!$B$7+'Control Room'!$D$7*SQRT(-2*LN(MAX(0.000000000001,AK579/2147483647)))*COS(2*PI()*AL579/2147483647),'Control Room'!$B$8+('Control Room'!$D$8-'Control Room'!$B$8)*AK579/2147483647)</x:f>
        <x:v>939.6728461719615</x:v>
      </x:c>
      <x:c r="AN579" s="17" t="n">
        <x:f>IF('Control Room'!$B$5="Normal",'Control Room'!$B$7,('Control Room'!$B$8+'Control Room'!$D$8)/2)+'Control Room'!$B$9*(AN578-IF('Control Room'!$B$5="Normal",'Control Room'!$B$7,('Control Room'!$B$8+'Control Room'!$D$8)/2))+SQRT(1-'Control Room'!$B$9^2)*(AM579-IF('Control Room'!$B$5="Normal",'Control Room'!$B$7,('Control Room'!$B$8+'Control Room'!$D$8)/2))</x:f>
        <x:v>1015.0415217993277</x:v>
      </x:c>
      <x:c r="AO579" s="17" t="n">
        <x:f>IF(AND($A579&gt;='Control Room'!$A$13,$A579&lt;'Control Room'!$A$13+'Control Room'!$B$13,'Process'!BR2=1),1+('Control Room'!$C$13-1)*EXP(-0.5*(($A579-'Control Room'!$A$13-('Control Room'!$B$13-1)/2)/MAX(0.5,'Control Room'!$B$13/4))^2),1)*IF(AND($A579&gt;='Control Room'!$A$14,$A579&lt;'Control Room'!$A$14+'Control Room'!$B$14,'Process'!BR3=1),1+('Control Room'!$C$14-1)*EXP(-0.5*(($A579-'Control Room'!$A$14-('Control Room'!$B$14-1)/2)/MAX(0.5,'Control Room'!$B$14/4))^2),1)*IF(AND($A579&gt;='Control Room'!$A$15,$A579&lt;'Control Room'!$A$15+'Control Room'!$B$15,'Process'!BR4=1),1+('Control Room'!$C$15-1)*EXP(-0.5*(($A579-'Control Room'!$A$15-('Control Room'!$B$15-1)/2)/MAX(0.5,'Control Room'!$B$15/4))^2),1)*IF(AND($A579&gt;='Control Room'!$A$16,$A579&lt;'Control Room'!$A$16+'Control Room'!$B$16,'Process'!BR5=1),1+('Control Room'!$C$16-1)*EXP(-0.5*(($A579-'Control Room'!$A$16-('Control Room'!$B$16-1)/2)/MAX(0.5,'Control Room'!$B$16/4))^2),1)</x:f>
        <x:v>1</x:v>
      </x:c>
      <x:c r="AP579" s="9" t="n">
        <x:f>MOD(AQ578*16807,2147483647)</x:f>
        <x:v>705249473</x:v>
      </x:c>
      <x:c r="AQ579" s="9" t="n">
        <x:f>MOD(AP579*16807,2147483647)</x:f>
        <x:v>1165644918</x:v>
      </x:c>
      <x:c r="AR579" s="17" t="n">
        <x:f>IF('Control Room'!$B$5="Normal",'Control Room'!$B$7+'Control Room'!$D$7*SQRT(-2*LN(MAX(0.000000000001,AP579/2147483647)))*COS(2*PI()*AQ579/2147483647),'Control Room'!$B$8+('Control Room'!$D$8-'Control Room'!$B$8)*AP579/2147483647)</x:f>
        <x:v>870.5180498037231</x:v>
      </x:c>
      <x:c r="AS579" s="17" t="n">
        <x:f>IF('Control Room'!$B$5="Normal",'Control Room'!$B$7,('Control Room'!$B$8+'Control Room'!$D$8)/2)+'Control Room'!$B$9*(AS578-IF('Control Room'!$B$5="Normal",'Control Room'!$B$7,('Control Room'!$B$8+'Control Room'!$D$8)/2))+SQRT(1-'Control Room'!$B$9^2)*(AR579-IF('Control Room'!$B$5="Normal",'Control Room'!$B$7,('Control Room'!$B$8+'Control Room'!$D$8)/2))</x:f>
        <x:v>938.145052827973</x:v>
      </x:c>
      <x:c r="AT579" s="17" t="n">
        <x:f>IF(AND($A579&gt;='Control Room'!$A$13,$A579&lt;'Control Room'!$A$13+'Control Room'!$B$13,'Process'!BS2=1),1+('Control Room'!$C$13-1)*EXP(-0.5*(($A579-'Control Room'!$A$13-('Control Room'!$B$13-1)/2)/MAX(0.5,'Control Room'!$B$13/4))^2),1)*IF(AND($A579&gt;='Control Room'!$A$14,$A579&lt;'Control Room'!$A$14+'Control Room'!$B$14,'Process'!BS3=1),1+('Control Room'!$C$14-1)*EXP(-0.5*(($A579-'Control Room'!$A$14-('Control Room'!$B$14-1)/2)/MAX(0.5,'Control Room'!$B$14/4))^2),1)*IF(AND($A579&gt;='Control Room'!$A$15,$A579&lt;'Control Room'!$A$15+'Control Room'!$B$15,'Process'!BS4=1),1+('Control Room'!$C$15-1)*EXP(-0.5*(($A579-'Control Room'!$A$15-('Control Room'!$B$15-1)/2)/MAX(0.5,'Control Room'!$B$15/4))^2),1)*IF(AND($A579&gt;='Control Room'!$A$16,$A579&lt;'Control Room'!$A$16+'Control Room'!$B$16,'Process'!BS5=1),1+('Control Room'!$C$16-1)*EXP(-0.5*(($A579-'Control Room'!$A$16-('Control Room'!$B$16-1)/2)/MAX(0.5,'Control Room'!$B$16/4))^2),1)</x:f>
        <x:v>1</x:v>
      </x:c>
      <x:c r="AU579" s="9" t="n">
        <x:f>MOD(AV578*16807,2147483647)</x:f>
        <x:v>1875523583</x:v>
      </x:c>
      <x:c r="AV579" s="9" t="n">
        <x:f>MOD(AU579*16807,2147483647)</x:f>
        <x:v>1159888815</x:v>
      </x:c>
      <x:c r="AW579" s="17" t="n">
        <x:f>IF('Control Room'!$B$5="Normal",'Control Room'!$B$7+'Control Room'!$D$7*SQRT(-2*LN(MAX(0.000000000001,AU579/2147483647)))*COS(2*PI()*AV579/2147483647),'Control Room'!$B$8+('Control Room'!$D$8-'Control Room'!$B$8)*AU579/2147483647)</x:f>
        <x:v>954.6437539736107</x:v>
      </x:c>
      <x:c r="AX579" s="17" t="n">
        <x:f>IF('Control Room'!$B$5="Normal",'Control Room'!$B$7,('Control Room'!$B$8+'Control Room'!$D$8)/2)+'Control Room'!$B$9*(AX578-IF('Control Room'!$B$5="Normal",'Control Room'!$B$7,('Control Room'!$B$8+'Control Room'!$D$8)/2))+SQRT(1-'Control Room'!$B$9^2)*(AW579-IF('Control Room'!$B$5="Normal",'Control Room'!$B$7,('Control Room'!$B$8+'Control Room'!$D$8)/2))</x:f>
        <x:v>1093.8877420614504</x:v>
      </x:c>
      <x:c r="AY579" s="17" t="n">
        <x:f>IF(AND($A579&gt;='Control Room'!$A$13,$A579&lt;'Control Room'!$A$13+'Control Room'!$B$13,'Process'!BT2=1),1+('Control Room'!$C$13-1)*EXP(-0.5*(($A579-'Control Room'!$A$13-('Control Room'!$B$13-1)/2)/MAX(0.5,'Control Room'!$B$13/4))^2),1)*IF(AND($A579&gt;='Control Room'!$A$14,$A579&lt;'Control Room'!$A$14+'Control Room'!$B$14,'Process'!BT3=1),1+('Control Room'!$C$14-1)*EXP(-0.5*(($A579-'Control Room'!$A$14-('Control Room'!$B$14-1)/2)/MAX(0.5,'Control Room'!$B$14/4))^2),1)*IF(AND($A579&gt;='Control Room'!$A$15,$A579&lt;'Control Room'!$A$15+'Control Room'!$B$15,'Process'!BT4=1),1+('Control Room'!$C$15-1)*EXP(-0.5*(($A579-'Control Room'!$A$15-('Control Room'!$B$15-1)/2)/MAX(0.5,'Control Room'!$B$15/4))^2),1)*IF(AND($A579&gt;='Control Room'!$A$16,$A579&lt;'Control Room'!$A$16+'Control Room'!$B$16,'Process'!BT5=1),1+('Control Room'!$C$16-1)*EXP(-0.5*(($A579-'Control Room'!$A$16-('Control Room'!$B$16-1)/2)/MAX(0.5,'Control Room'!$B$16/4))^2),1)</x:f>
        <x:v>1</x:v>
      </x:c>
      <x:c r="AZ579" s="9" t="n">
        <x:f>MOD(BA578*16807,2147483647)</x:f>
        <x:v>898314046</x:v>
      </x:c>
      <x:c r="BA579" s="9" t="n">
        <x:f>MOD(AZ579*16807,2147483647)</x:f>
        <x:v>1154132712</x:v>
      </x:c>
      <x:c r="BB579" s="17" t="n">
        <x:f>IF('Control Room'!$B$5="Normal",'Control Room'!$B$7+'Control Room'!$D$7*SQRT(-2*LN(MAX(0.000000000001,AZ579/2147483647)))*COS(2*PI()*BA579/2147483647),'Control Room'!$B$8+('Control Room'!$D$8-'Control Room'!$B$8)*AZ579/2147483647)</x:f>
        <x:v>884.449091666037</x:v>
      </x:c>
      <x:c r="BC579" s="17" t="n">
        <x:f>IF('Control Room'!$B$5="Normal",'Control Room'!$B$7,('Control Room'!$B$8+'Control Room'!$D$8)/2)+'Control Room'!$B$9*(BC578-IF('Control Room'!$B$5="Normal",'Control Room'!$B$7,('Control Room'!$B$8+'Control Room'!$D$8)/2))+SQRT(1-'Control Room'!$B$9^2)*(BB579-IF('Control Room'!$B$5="Normal",'Control Room'!$B$7,('Control Room'!$B$8+'Control Room'!$D$8)/2))</x:f>
        <x:v>914.0165988227475</x:v>
      </x:c>
      <x:c r="BD579" s="17" t="n">
        <x:f>IF(AND($A579&gt;='Control Room'!$A$13,$A579&lt;'Control Room'!$A$13+'Control Room'!$B$13,'Process'!BU2=1),1+('Control Room'!$C$13-1)*EXP(-0.5*(($A579-'Control Room'!$A$13-('Control Room'!$B$13-1)/2)/MAX(0.5,'Control Room'!$B$13/4))^2),1)*IF(AND($A579&gt;='Control Room'!$A$14,$A579&lt;'Control Room'!$A$14+'Control Room'!$B$14,'Process'!BU3=1),1+('Control Room'!$C$14-1)*EXP(-0.5*(($A579-'Control Room'!$A$14-('Control Room'!$B$14-1)/2)/MAX(0.5,'Control Room'!$B$14/4))^2),1)*IF(AND($A579&gt;='Control Room'!$A$15,$A579&lt;'Control Room'!$A$15+'Control Room'!$B$15,'Process'!BU4=1),1+('Control Room'!$C$15-1)*EXP(-0.5*(($A579-'Control Room'!$A$15-('Control Room'!$B$15-1)/2)/MAX(0.5,'Control Room'!$B$15/4))^2),1)*IF(AND($A579&gt;='Control Room'!$A$16,$A579&lt;'Control Room'!$A$16+'Control Room'!$B$16,'Process'!BU5=1),1+('Control Room'!$C$16-1)*EXP(-0.5*(($A579-'Control Room'!$A$16-('Control Room'!$B$16-1)/2)/MAX(0.5,'Control Room'!$B$16/4))^2),1)</x:f>
        <x:v>1</x:v>
      </x:c>
      <x:c r="BE579" s="9" t="n">
        <x:f>MOD(BF578*16807,2147483647)</x:f>
        <x:v>2068588156</x:v>
      </x:c>
      <x:c r="BF579" s="9" t="n">
        <x:f>MOD(BE579*16807,2147483647)</x:f>
        <x:v>1148376609</x:v>
      </x:c>
      <x:c r="BG579" s="17" t="n">
        <x:f>IF('Control Room'!$B$5="Normal",'Control Room'!$B$7+'Control Room'!$D$7*SQRT(-2*LN(MAX(0.000000000001,BE579/2147483647)))*COS(2*PI()*BF579/2147483647),'Control Room'!$B$8+('Control Room'!$D$8-'Control Room'!$B$8)*BE579/2147483647)</x:f>
        <x:v>975.9601415058881</x:v>
      </x:c>
      <x:c r="BH579" s="17" t="n">
        <x:f>IF('Control Room'!$B$5="Normal",'Control Room'!$B$7,('Control Room'!$B$8+'Control Room'!$D$8)/2)+'Control Room'!$B$9*(BH578-IF('Control Room'!$B$5="Normal",'Control Room'!$B$7,('Control Room'!$B$8+'Control Room'!$D$8)/2))+SQRT(1-'Control Room'!$B$9^2)*(BG579-IF('Control Room'!$B$5="Normal",'Control Room'!$B$7,('Control Room'!$B$8+'Control Room'!$D$8)/2))</x:f>
        <x:v>979.845386388776</x:v>
      </x:c>
      <x:c r="BI579" s="17" t="n">
        <x:f>IF(AND($A579&gt;='Control Room'!$A$13,$A579&lt;'Control Room'!$A$13+'Control Room'!$B$13,'Process'!BV2=1),1+('Control Room'!$C$13-1)*EXP(-0.5*(($A579-'Control Room'!$A$13-('Control Room'!$B$13-1)/2)/MAX(0.5,'Control Room'!$B$13/4))^2),1)*IF(AND($A579&gt;='Control Room'!$A$14,$A579&lt;'Control Room'!$A$14+'Control Room'!$B$14,'Process'!BV3=1),1+('Control Room'!$C$14-1)*EXP(-0.5*(($A579-'Control Room'!$A$14-('Control Room'!$B$14-1)/2)/MAX(0.5,'Control Room'!$B$14/4))^2),1)*IF(AND($A579&gt;='Control Room'!$A$15,$A579&lt;'Control Room'!$A$15+'Control Room'!$B$15,'Process'!BV4=1),1+('Control Room'!$C$15-1)*EXP(-0.5*(($A579-'Control Room'!$A$15-('Control Room'!$B$15-1)/2)/MAX(0.5,'Control Room'!$B$15/4))^2),1)*IF(AND($A579&gt;='Control Room'!$A$16,$A579&lt;'Control Room'!$A$16+'Control Room'!$B$16,'Process'!BV5=1),1+('Control Room'!$C$16-1)*EXP(-0.5*(($A579-'Control Room'!$A$16-('Control Room'!$B$16-1)/2)/MAX(0.5,'Control Room'!$B$16/4))^2),1)</x:f>
        <x:v>1</x:v>
      </x:c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Z579" t="str">
        <x:f>IF('Data'!A579="","",TEXT('Data'!A579,"mm-dd"))</x:f>
      </x:c>
    </x:row>
    <x:row r="580" ht="21" customHeight="1">
      <x:c r="A580" s="15" t="n">
        <x:f>'Control Room'!$B$1+578</x:f>
        <x:v>73569</x:v>
      </x:c>
      <x:c r="B580" s="9" t="n">
        <x:f>MOD(C579*16807,2147483647)</x:f>
        <x:v>349297293</x:v>
      </x:c>
      <x:c r="C580" s="9" t="n">
        <x:f>MOD(B580*16807,2147483647)</x:f>
        <x:v>1566796200</x:v>
      </x:c>
      <x:c r="D580" s="17" t="n">
        <x:f>IF('Control Room'!$B$5="Normal",'Control Room'!$B$7+'Control Room'!$D$7*SQRT(-2*LN(MAX(0.000000000001,B580/2147483647)))*COS(2*PI()*C580/2147483647),'Control Room'!$B$8+('Control Room'!$D$8-'Control Room'!$B$8)*B580/2147483647)</x:f>
        <x:v>978.0705079719912</x:v>
      </x:c>
      <x:c r="E580" s="17" t="n">
        <x:f>IF('Control Room'!$B$5="Normal",'Control Room'!$B$7,('Control Room'!$B$8+'Control Room'!$D$8)/2)+'Control Room'!$B$9*(E579-IF('Control Room'!$B$5="Normal",'Control Room'!$B$7,('Control Room'!$B$8+'Control Room'!$D$8)/2))+SQRT(1-'Control Room'!$B$9^2)*(D580-IF('Control Room'!$B$5="Normal",'Control Room'!$B$7,('Control Room'!$B$8+'Control Room'!$D$8)/2))</x:f>
        <x:v>918.6355308589665</x:v>
      </x:c>
      <x:c r="F580" s="17" t="n">
        <x:f>IF(AND($A580&gt;='Control Room'!$A$13,$A580&lt;'Control Room'!$A$13+'Control Room'!$B$13,'Process'!BK2=1),1+('Control Room'!$C$13-1)*EXP(-0.5*(($A580-'Control Room'!$A$13-('Control Room'!$B$13-1)/2)/MAX(0.5,'Control Room'!$B$13/4))^2),1)*IF(AND($A580&gt;='Control Room'!$A$14,$A580&lt;'Control Room'!$A$14+'Control Room'!$B$14,'Process'!BK3=1),1+('Control Room'!$C$14-1)*EXP(-0.5*(($A580-'Control Room'!$A$14-('Control Room'!$B$14-1)/2)/MAX(0.5,'Control Room'!$B$14/4))^2),1)*IF(AND($A580&gt;='Control Room'!$A$15,$A580&lt;'Control Room'!$A$15+'Control Room'!$B$15,'Process'!BK4=1),1+('Control Room'!$C$15-1)*EXP(-0.5*(($A580-'Control Room'!$A$15-('Control Room'!$B$15-1)/2)/MAX(0.5,'Control Room'!$B$15/4))^2),1)*IF(AND($A580&gt;='Control Room'!$A$16,$A580&lt;'Control Room'!$A$16+'Control Room'!$B$16,'Process'!BK5=1),1+('Control Room'!$C$16-1)*EXP(-0.5*(($A580-'Control Room'!$A$16-('Control Room'!$B$16-1)/2)/MAX(0.5,'Control Room'!$B$16/4))^2),1)</x:f>
        <x:v>1</x:v>
      </x:c>
      <x:c r="G580" s="9" t="n">
        <x:f>MOD(H579*16807,2147483647)</x:f>
        <x:v>243238287</x:v>
      </x:c>
      <x:c r="H580" s="9" t="n">
        <x:f>MOD(G580*16807,2147483647)</x:f>
        <x:v>1444509368</x:v>
      </x:c>
      <x:c r="I580" s="17" t="n">
        <x:f>IF('Control Room'!$B$5="Normal",'Control Room'!$B$7+'Control Room'!$D$7*SQRT(-2*LN(MAX(0.000000000001,G580/2147483647)))*COS(2*PI()*H580/2147483647),'Control Room'!$B$8+('Control Room'!$D$8-'Control Room'!$B$8)*G580/2147483647)</x:f>
        <x:v>912.2628628011842</x:v>
      </x:c>
      <x:c r="J580" s="17" t="n">
        <x:f>IF('Control Room'!$B$5="Normal",'Control Room'!$B$7,('Control Room'!$B$8+'Control Room'!$D$8)/2)+'Control Room'!$B$9*(J579-IF('Control Room'!$B$5="Normal",'Control Room'!$B$7,('Control Room'!$B$8+'Control Room'!$D$8)/2))+SQRT(1-'Control Room'!$B$9^2)*(I580-IF('Control Room'!$B$5="Normal",'Control Room'!$B$7,('Control Room'!$B$8+'Control Room'!$D$8)/2))</x:f>
        <x:v>941.924294408105</x:v>
      </x:c>
      <x:c r="K580" s="17" t="n">
        <x:f>IF(AND($A580&gt;='Control Room'!$A$13,$A580&lt;'Control Room'!$A$13+'Control Room'!$B$13,'Process'!BL2=1),1+('Control Room'!$C$13-1)*EXP(-0.5*(($A580-'Control Room'!$A$13-('Control Room'!$B$13-1)/2)/MAX(0.5,'Control Room'!$B$13/4))^2),1)*IF(AND($A580&gt;='Control Room'!$A$14,$A580&lt;'Control Room'!$A$14+'Control Room'!$B$14,'Process'!BL3=1),1+('Control Room'!$C$14-1)*EXP(-0.5*(($A580-'Control Room'!$A$14-('Control Room'!$B$14-1)/2)/MAX(0.5,'Control Room'!$B$14/4))^2),1)*IF(AND($A580&gt;='Control Room'!$A$15,$A580&lt;'Control Room'!$A$15+'Control Room'!$B$15,'Process'!BL4=1),1+('Control Room'!$C$15-1)*EXP(-0.5*(($A580-'Control Room'!$A$15-('Control Room'!$B$15-1)/2)/MAX(0.5,'Control Room'!$B$15/4))^2),1)*IF(AND($A580&gt;='Control Room'!$A$16,$A580&lt;'Control Room'!$A$16+'Control Room'!$B$16,'Process'!BL5=1),1+('Control Room'!$C$16-1)*EXP(-0.5*(($A580-'Control Room'!$A$16-('Control Room'!$B$16-1)/2)/MAX(0.5,'Control Room'!$B$16/4))^2),1)</x:f>
        <x:v>1</x:v>
      </x:c>
      <x:c r="L580" s="9" t="n">
        <x:f>MOD(M579*16807,2147483647)</x:f>
        <x:v>137179281</x:v>
      </x:c>
      <x:c r="M580" s="9" t="n">
        <x:f>MOD(L580*16807,2147483647)</x:f>
        <x:v>1322222536</x:v>
      </x:c>
      <x:c r="N580" s="17" t="n">
        <x:f>IF('Control Room'!$B$5="Normal",'Control Room'!$B$7+'Control Room'!$D$7*SQRT(-2*LN(MAX(0.000000000001,L580/2147483647)))*COS(2*PI()*M580/2147483647),'Control Room'!$B$8+('Control Room'!$D$8-'Control Room'!$B$8)*L580/2147483647)</x:f>
        <x:v>842.2755005707833</x:v>
      </x:c>
      <x:c r="O580" s="17" t="n">
        <x:f>IF('Control Room'!$B$5="Normal",'Control Room'!$B$7,('Control Room'!$B$8+'Control Room'!$D$8)/2)+'Control Room'!$B$9*(O579-IF('Control Room'!$B$5="Normal",'Control Room'!$B$7,('Control Room'!$B$8+'Control Room'!$D$8)/2))+SQRT(1-'Control Room'!$B$9^2)*(N580-IF('Control Room'!$B$5="Normal",'Control Room'!$B$7,('Control Room'!$B$8+'Control Room'!$D$8)/2))</x:f>
        <x:v>849.5716777503413</x:v>
      </x:c>
      <x:c r="P580" s="17" t="n">
        <x:f>IF(AND($A580&gt;='Control Room'!$A$13,$A580&lt;'Control Room'!$A$13+'Control Room'!$B$13,'Process'!BM2=1),1+('Control Room'!$C$13-1)*EXP(-0.5*(($A580-'Control Room'!$A$13-('Control Room'!$B$13-1)/2)/MAX(0.5,'Control Room'!$B$13/4))^2),1)*IF(AND($A580&gt;='Control Room'!$A$14,$A580&lt;'Control Room'!$A$14+'Control Room'!$B$14,'Process'!BM3=1),1+('Control Room'!$C$14-1)*EXP(-0.5*(($A580-'Control Room'!$A$14-('Control Room'!$B$14-1)/2)/MAX(0.5,'Control Room'!$B$14/4))^2),1)*IF(AND($A580&gt;='Control Room'!$A$15,$A580&lt;'Control Room'!$A$15+'Control Room'!$B$15,'Process'!BM4=1),1+('Control Room'!$C$15-1)*EXP(-0.5*(($A580-'Control Room'!$A$15-('Control Room'!$B$15-1)/2)/MAX(0.5,'Control Room'!$B$15/4))^2),1)*IF(AND($A580&gt;='Control Room'!$A$16,$A580&lt;'Control Room'!$A$16+'Control Room'!$B$16,'Process'!BM5=1),1+('Control Room'!$C$16-1)*EXP(-0.5*(($A580-'Control Room'!$A$16-('Control Room'!$B$16-1)/2)/MAX(0.5,'Control Room'!$B$16/4))^2),1)</x:f>
        <x:v>1</x:v>
      </x:c>
      <x:c r="Q580" s="9" t="n">
        <x:f>MOD(R579*16807,2147483647)</x:f>
        <x:v>31120275</x:v>
      </x:c>
      <x:c r="R580" s="9" t="n">
        <x:f>MOD(Q580*16807,2147483647)</x:f>
        <x:v>1199935704</x:v>
      </x:c>
      <x:c r="S580" s="17" t="n">
        <x:f>IF('Control Room'!$B$5="Normal",'Control Room'!$B$7+'Control Room'!$D$7*SQRT(-2*LN(MAX(0.000000000001,Q580/2147483647)))*COS(2*PI()*R580/2147483647),'Control Room'!$B$8+('Control Room'!$D$8-'Control Room'!$B$8)*Q580/2147483647)</x:f>
        <x:v>755.745808206768</x:v>
      </x:c>
      <x:c r="T580" s="17" t="n">
        <x:f>IF('Control Room'!$B$5="Normal",'Control Room'!$B$7,('Control Room'!$B$8+'Control Room'!$D$8)/2)+'Control Room'!$B$9*(T579-IF('Control Room'!$B$5="Normal",'Control Room'!$B$7,('Control Room'!$B$8+'Control Room'!$D$8)/2))+SQRT(1-'Control Room'!$B$9^2)*(S580-IF('Control Room'!$B$5="Normal",'Control Room'!$B$7,('Control Room'!$B$8+'Control Room'!$D$8)/2))</x:f>
        <x:v>892.769177364914</x:v>
      </x:c>
      <x:c r="U580" s="17" t="n">
        <x:f>IF(AND($A580&gt;='Control Room'!$A$13,$A580&lt;'Control Room'!$A$13+'Control Room'!$B$13,'Process'!BN2=1),1+('Control Room'!$C$13-1)*EXP(-0.5*(($A580-'Control Room'!$A$13-('Control Room'!$B$13-1)/2)/MAX(0.5,'Control Room'!$B$13/4))^2),1)*IF(AND($A580&gt;='Control Room'!$A$14,$A580&lt;'Control Room'!$A$14+'Control Room'!$B$14,'Process'!BN3=1),1+('Control Room'!$C$14-1)*EXP(-0.5*(($A580-'Control Room'!$A$14-('Control Room'!$B$14-1)/2)/MAX(0.5,'Control Room'!$B$14/4))^2),1)*IF(AND($A580&gt;='Control Room'!$A$15,$A580&lt;'Control Room'!$A$15+'Control Room'!$B$15,'Process'!BN4=1),1+('Control Room'!$C$15-1)*EXP(-0.5*(($A580-'Control Room'!$A$15-('Control Room'!$B$15-1)/2)/MAX(0.5,'Control Room'!$B$15/4))^2),1)*IF(AND($A580&gt;='Control Room'!$A$16,$A580&lt;'Control Room'!$A$16+'Control Room'!$B$16,'Process'!BN5=1),1+('Control Room'!$C$16-1)*EXP(-0.5*(($A580-'Control Room'!$A$16-('Control Room'!$B$16-1)/2)/MAX(0.5,'Control Room'!$B$16/4))^2),1)</x:f>
        <x:v>1</x:v>
      </x:c>
      <x:c r="V580" s="9" t="n">
        <x:f>MOD(W579*16807,2147483647)</x:f>
        <x:v>2072544916</x:v>
      </x:c>
      <x:c r="W580" s="9" t="n">
        <x:f>MOD(V580*16807,2147483647)</x:f>
        <x:v>1077648872</x:v>
      </x:c>
      <x:c r="X580" s="17" t="n">
        <x:f>IF('Control Room'!$B$5="Normal",'Control Room'!$B$7+'Control Room'!$D$7*SQRT(-2*LN(MAX(0.000000000001,V580/2147483647)))*COS(2*PI()*W580/2147483647),'Control Room'!$B$8+('Control Room'!$D$8-'Control Room'!$B$8)*V580/2147483647)</x:f>
        <x:v>976.0137459707445</x:v>
      </x:c>
      <x:c r="Y580" s="17" t="n">
        <x:f>IF('Control Room'!$B$5="Normal",'Control Room'!$B$7,('Control Room'!$B$8+'Control Room'!$D$8)/2)+'Control Room'!$B$9*(Y579-IF('Control Room'!$B$5="Normal",'Control Room'!$B$7,('Control Room'!$B$8+'Control Room'!$D$8)/2))+SQRT(1-'Control Room'!$B$9^2)*(X580-IF('Control Room'!$B$5="Normal",'Control Room'!$B$7,('Control Room'!$B$8+'Control Room'!$D$8)/2))</x:f>
        <x:v>915.177152503328</x:v>
      </x:c>
      <x:c r="Z580" s="17" t="n">
        <x:f>IF(AND($A580&gt;='Control Room'!$A$13,$A580&lt;'Control Room'!$A$13+'Control Room'!$B$13,'Process'!BO2=1),1+('Control Room'!$C$13-1)*EXP(-0.5*(($A580-'Control Room'!$A$13-('Control Room'!$B$13-1)/2)/MAX(0.5,'Control Room'!$B$13/4))^2),1)*IF(AND($A580&gt;='Control Room'!$A$14,$A580&lt;'Control Room'!$A$14+'Control Room'!$B$14,'Process'!BO3=1),1+('Control Room'!$C$14-1)*EXP(-0.5*(($A580-'Control Room'!$A$14-('Control Room'!$B$14-1)/2)/MAX(0.5,'Control Room'!$B$14/4))^2),1)*IF(AND($A580&gt;='Control Room'!$A$15,$A580&lt;'Control Room'!$A$15+'Control Room'!$B$15,'Process'!BO4=1),1+('Control Room'!$C$15-1)*EXP(-0.5*(($A580-'Control Room'!$A$15-('Control Room'!$B$15-1)/2)/MAX(0.5,'Control Room'!$B$15/4))^2),1)*IF(AND($A580&gt;='Control Room'!$A$16,$A580&lt;'Control Room'!$A$16+'Control Room'!$B$16,'Process'!BO5=1),1+('Control Room'!$C$16-1)*EXP(-0.5*(($A580-'Control Room'!$A$16-('Control Room'!$B$16-1)/2)/MAX(0.5,'Control Room'!$B$16/4))^2),1)</x:f>
        <x:v>1</x:v>
      </x:c>
      <x:c r="AA580" s="9" t="n">
        <x:f>MOD(AB579*16807,2147483647)</x:f>
        <x:v>1966485910</x:v>
      </x:c>
      <x:c r="AB580" s="9" t="n">
        <x:f>MOD(AA580*16807,2147483647)</x:f>
        <x:v>955362040</x:v>
      </x:c>
      <x:c r="AC580" s="17" t="n">
        <x:f>IF('Control Room'!$B$5="Normal",'Control Room'!$B$7+'Control Room'!$D$7*SQRT(-2*LN(MAX(0.000000000001,AA580/2147483647)))*COS(2*PI()*AB580/2147483647),'Control Room'!$B$8+('Control Room'!$D$8-'Control Room'!$B$8)*AA580/2147483647)</x:f>
        <x:v>964.4752917832043</x:v>
      </x:c>
      <x:c r="AD580" s="17" t="n">
        <x:f>IF('Control Room'!$B$5="Normal",'Control Room'!$B$7,('Control Room'!$B$8+'Control Room'!$D$8)/2)+'Control Room'!$B$9*(AD579-IF('Control Room'!$B$5="Normal",'Control Room'!$B$7,('Control Room'!$B$8+'Control Room'!$D$8)/2))+SQRT(1-'Control Room'!$B$9^2)*(AC580-IF('Control Room'!$B$5="Normal",'Control Room'!$B$7,('Control Room'!$B$8+'Control Room'!$D$8)/2))</x:f>
        <x:v>942.9427255947132</x:v>
      </x:c>
      <x:c r="AE580" s="17" t="n">
        <x:f>IF(AND($A580&gt;='Control Room'!$A$13,$A580&lt;'Control Room'!$A$13+'Control Room'!$B$13,'Process'!BP2=1),1+('Control Room'!$C$13-1)*EXP(-0.5*(($A580-'Control Room'!$A$13-('Control Room'!$B$13-1)/2)/MAX(0.5,'Control Room'!$B$13/4))^2),1)*IF(AND($A580&gt;='Control Room'!$A$14,$A580&lt;'Control Room'!$A$14+'Control Room'!$B$14,'Process'!BP3=1),1+('Control Room'!$C$14-1)*EXP(-0.5*(($A580-'Control Room'!$A$14-('Control Room'!$B$14-1)/2)/MAX(0.5,'Control Room'!$B$14/4))^2),1)*IF(AND($A580&gt;='Control Room'!$A$15,$A580&lt;'Control Room'!$A$15+'Control Room'!$B$15,'Process'!BP4=1),1+('Control Room'!$C$15-1)*EXP(-0.5*(($A580-'Control Room'!$A$15-('Control Room'!$B$15-1)/2)/MAX(0.5,'Control Room'!$B$15/4))^2),1)*IF(AND($A580&gt;='Control Room'!$A$16,$A580&lt;'Control Room'!$A$16+'Control Room'!$B$16,'Process'!BP5=1),1+('Control Room'!$C$16-1)*EXP(-0.5*(($A580-'Control Room'!$A$16-('Control Room'!$B$16-1)/2)/MAX(0.5,'Control Room'!$B$16/4))^2),1)</x:f>
        <x:v>1</x:v>
      </x:c>
      <x:c r="AF580" s="9" t="n">
        <x:f>MOD(AG579*16807,2147483647)</x:f>
        <x:v>1860426904</x:v>
      </x:c>
      <x:c r="AG580" s="9" t="n">
        <x:f>MOD(AF580*16807,2147483647)</x:f>
        <x:v>833075208</x:v>
      </x:c>
      <x:c r="AH580" s="17" t="n">
        <x:f>IF('Control Room'!$B$5="Normal",'Control Room'!$B$7+'Control Room'!$D$7*SQRT(-2*LN(MAX(0.000000000001,AF580/2147483647)))*COS(2*PI()*AG580/2147483647),'Control Room'!$B$8+('Control Room'!$D$8-'Control Room'!$B$8)*AF580/2147483647)</x:f>
        <x:v>963.2534596392782</x:v>
      </x:c>
      <x:c r="AI580" s="17" t="n">
        <x:f>IF('Control Room'!$B$5="Normal",'Control Room'!$B$7,('Control Room'!$B$8+'Control Room'!$D$8)/2)+'Control Room'!$B$9*(AI579-IF('Control Room'!$B$5="Normal",'Control Room'!$B$7,('Control Room'!$B$8+'Control Room'!$D$8)/2))+SQRT(1-'Control Room'!$B$9^2)*(AH580-IF('Control Room'!$B$5="Normal",'Control Room'!$B$7,('Control Room'!$B$8+'Control Room'!$D$8)/2))</x:f>
        <x:v>786.1540234142354</x:v>
      </x:c>
      <x:c r="AJ580" s="17" t="n">
        <x:f>IF(AND($A580&gt;='Control Room'!$A$13,$A580&lt;'Control Room'!$A$13+'Control Room'!$B$13,'Process'!BQ2=1),1+('Control Room'!$C$13-1)*EXP(-0.5*(($A580-'Control Room'!$A$13-('Control Room'!$B$13-1)/2)/MAX(0.5,'Control Room'!$B$13/4))^2),1)*IF(AND($A580&gt;='Control Room'!$A$14,$A580&lt;'Control Room'!$A$14+'Control Room'!$B$14,'Process'!BQ3=1),1+('Control Room'!$C$14-1)*EXP(-0.5*(($A580-'Control Room'!$A$14-('Control Room'!$B$14-1)/2)/MAX(0.5,'Control Room'!$B$14/4))^2),1)*IF(AND($A580&gt;='Control Room'!$A$15,$A580&lt;'Control Room'!$A$15+'Control Room'!$B$15,'Process'!BQ4=1),1+('Control Room'!$C$15-1)*EXP(-0.5*(($A580-'Control Room'!$A$15-('Control Room'!$B$15-1)/2)/MAX(0.5,'Control Room'!$B$15/4))^2),1)*IF(AND($A580&gt;='Control Room'!$A$16,$A580&lt;'Control Room'!$A$16+'Control Room'!$B$16,'Process'!BQ5=1),1+('Control Room'!$C$16-1)*EXP(-0.5*(($A580-'Control Room'!$A$16-('Control Room'!$B$16-1)/2)/MAX(0.5,'Control Room'!$B$16/4))^2),1)</x:f>
        <x:v>1</x:v>
      </x:c>
      <x:c r="AK580" s="9" t="n">
        <x:f>MOD(AL579*16807,2147483647)</x:f>
        <x:v>1754367898</x:v>
      </x:c>
      <x:c r="AL580" s="9" t="n">
        <x:f>MOD(AK580*16807,2147483647)</x:f>
        <x:v>710788376</x:v>
      </x:c>
      <x:c r="AM580" s="17" t="n">
        <x:f>IF('Control Room'!$B$5="Normal",'Control Room'!$B$7+'Control Room'!$D$7*SQRT(-2*LN(MAX(0.000000000001,AK580/2147483647)))*COS(2*PI()*AL580/2147483647),'Control Room'!$B$8+('Control Room'!$D$8-'Control Room'!$B$8)*AK580/2147483647)</x:f>
        <x:v>972.1181289557692</x:v>
      </x:c>
      <x:c r="AN580" s="17" t="n">
        <x:f>IF('Control Room'!$B$5="Normal",'Control Room'!$B$7,('Control Room'!$B$8+'Control Room'!$D$8)/2)+'Control Room'!$B$9*(AN579-IF('Control Room'!$B$5="Normal",'Control Room'!$B$7,('Control Room'!$B$8+'Control Room'!$D$8)/2))+SQRT(1-'Control Room'!$B$9^2)*(AM580-IF('Control Room'!$B$5="Normal",'Control Room'!$B$7,('Control Room'!$B$8+'Control Room'!$D$8)/2))</x:f>
        <x:v>994.2844832951713</x:v>
      </x:c>
      <x:c r="AO580" s="17" t="n">
        <x:f>IF(AND($A580&gt;='Control Room'!$A$13,$A580&lt;'Control Room'!$A$13+'Control Room'!$B$13,'Process'!BR2=1),1+('Control Room'!$C$13-1)*EXP(-0.5*(($A580-'Control Room'!$A$13-('Control Room'!$B$13-1)/2)/MAX(0.5,'Control Room'!$B$13/4))^2),1)*IF(AND($A580&gt;='Control Room'!$A$14,$A580&lt;'Control Room'!$A$14+'Control Room'!$B$14,'Process'!BR3=1),1+('Control Room'!$C$14-1)*EXP(-0.5*(($A580-'Control Room'!$A$14-('Control Room'!$B$14-1)/2)/MAX(0.5,'Control Room'!$B$14/4))^2),1)*IF(AND($A580&gt;='Control Room'!$A$15,$A580&lt;'Control Room'!$A$15+'Control Room'!$B$15,'Process'!BR4=1),1+('Control Room'!$C$15-1)*EXP(-0.5*(($A580-'Control Room'!$A$15-('Control Room'!$B$15-1)/2)/MAX(0.5,'Control Room'!$B$15/4))^2),1)*IF(AND($A580&gt;='Control Room'!$A$16,$A580&lt;'Control Room'!$A$16+'Control Room'!$B$16,'Process'!BR5=1),1+('Control Room'!$C$16-1)*EXP(-0.5*(($A580-'Control Room'!$A$16-('Control Room'!$B$16-1)/2)/MAX(0.5,'Control Room'!$B$16/4))^2),1)</x:f>
        <x:v>1</x:v>
      </x:c>
      <x:c r="AP580" s="9" t="n">
        <x:f>MOD(AQ579*16807,2147483647)</x:f>
        <x:v>1648308892</x:v>
      </x:c>
      <x:c r="AQ580" s="9" t="n">
        <x:f>MOD(AP580*16807,2147483647)</x:f>
        <x:v>588501544</x:v>
      </x:c>
      <x:c r="AR580" s="17" t="n">
        <x:f>IF('Control Room'!$B$5="Normal",'Control Room'!$B$7+'Control Room'!$D$7*SQRT(-2*LN(MAX(0.000000000001,AP580/2147483647)))*COS(2*PI()*AQ580/2147483647),'Control Room'!$B$8+('Control Room'!$D$8-'Control Room'!$B$8)*AP580/2147483647)</x:f>
        <x:v>990.1482523421693</x:v>
      </x:c>
      <x:c r="AS580" s="17" t="n">
        <x:f>IF('Control Room'!$B$5="Normal",'Control Room'!$B$7,('Control Room'!$B$8+'Control Room'!$D$8)/2)+'Control Room'!$B$9*(AS579-IF('Control Room'!$B$5="Normal",'Control Room'!$B$7,('Control Room'!$B$8+'Control Room'!$D$8)/2))+SQRT(1-'Control Room'!$B$9^2)*(AR580-IF('Control Room'!$B$5="Normal",'Control Room'!$B$7,('Control Room'!$B$8+'Control Room'!$D$8)/2))</x:f>
        <x:v>945.5881193455693</x:v>
      </x:c>
      <x:c r="AT580" s="17" t="n">
        <x:f>IF(AND($A580&gt;='Control Room'!$A$13,$A580&lt;'Control Room'!$A$13+'Control Room'!$B$13,'Process'!BS2=1),1+('Control Room'!$C$13-1)*EXP(-0.5*(($A580-'Control Room'!$A$13-('Control Room'!$B$13-1)/2)/MAX(0.5,'Control Room'!$B$13/4))^2),1)*IF(AND($A580&gt;='Control Room'!$A$14,$A580&lt;'Control Room'!$A$14+'Control Room'!$B$14,'Process'!BS3=1),1+('Control Room'!$C$14-1)*EXP(-0.5*(($A580-'Control Room'!$A$14-('Control Room'!$B$14-1)/2)/MAX(0.5,'Control Room'!$B$14/4))^2),1)*IF(AND($A580&gt;='Control Room'!$A$15,$A580&lt;'Control Room'!$A$15+'Control Room'!$B$15,'Process'!BS4=1),1+('Control Room'!$C$15-1)*EXP(-0.5*(($A580-'Control Room'!$A$15-('Control Room'!$B$15-1)/2)/MAX(0.5,'Control Room'!$B$15/4))^2),1)*IF(AND($A580&gt;='Control Room'!$A$16,$A580&lt;'Control Room'!$A$16+'Control Room'!$B$16,'Process'!BS5=1),1+('Control Room'!$C$16-1)*EXP(-0.5*(($A580-'Control Room'!$A$16-('Control Room'!$B$16-1)/2)/MAX(0.5,'Control Room'!$B$16/4))^2),1)</x:f>
        <x:v>1</x:v>
      </x:c>
      <x:c r="AU580" s="9" t="n">
        <x:f>MOD(AV579*16807,2147483647)</x:f>
        <x:v>1542249886</x:v>
      </x:c>
      <x:c r="AV580" s="9" t="n">
        <x:f>MOD(AU580*16807,2147483647)</x:f>
        <x:v>466214712</x:v>
      </x:c>
      <x:c r="AW580" s="17" t="n">
        <x:f>IF('Control Room'!$B$5="Normal",'Control Room'!$B$7+'Control Room'!$D$7*SQRT(-2*LN(MAX(0.000000000001,AU580/2147483647)))*COS(2*PI()*AV580/2147483647),'Control Room'!$B$8+('Control Room'!$D$8-'Control Room'!$B$8)*AU580/2147483647)</x:f>
        <x:v>1015.0317552481531</x:v>
      </x:c>
      <x:c r="AX580" s="17" t="n">
        <x:f>IF('Control Room'!$B$5="Normal",'Control Room'!$B$7,('Control Room'!$B$8+'Control Room'!$D$8)/2)+'Control Room'!$B$9*(AX579-IF('Control Room'!$B$5="Normal",'Control Room'!$B$7,('Control Room'!$B$8+'Control Room'!$D$8)/2))+SQRT(1-'Control Room'!$B$9^2)*(AW580-IF('Control Room'!$B$5="Normal",'Control Room'!$B$7,('Control Room'!$B$8+'Control Room'!$D$8)/2))</x:f>
        <x:v>1082.639003299981</x:v>
      </x:c>
      <x:c r="AY580" s="17" t="n">
        <x:f>IF(AND($A580&gt;='Control Room'!$A$13,$A580&lt;'Control Room'!$A$13+'Control Room'!$B$13,'Process'!BT2=1),1+('Control Room'!$C$13-1)*EXP(-0.5*(($A580-'Control Room'!$A$13-('Control Room'!$B$13-1)/2)/MAX(0.5,'Control Room'!$B$13/4))^2),1)*IF(AND($A580&gt;='Control Room'!$A$14,$A580&lt;'Control Room'!$A$14+'Control Room'!$B$14,'Process'!BT3=1),1+('Control Room'!$C$14-1)*EXP(-0.5*(($A580-'Control Room'!$A$14-('Control Room'!$B$14-1)/2)/MAX(0.5,'Control Room'!$B$14/4))^2),1)*IF(AND($A580&gt;='Control Room'!$A$15,$A580&lt;'Control Room'!$A$15+'Control Room'!$B$15,'Process'!BT4=1),1+('Control Room'!$C$15-1)*EXP(-0.5*(($A580-'Control Room'!$A$15-('Control Room'!$B$15-1)/2)/MAX(0.5,'Control Room'!$B$15/4))^2),1)*IF(AND($A580&gt;='Control Room'!$A$16,$A580&lt;'Control Room'!$A$16+'Control Room'!$B$16,'Process'!BT5=1),1+('Control Room'!$C$16-1)*EXP(-0.5*(($A580-'Control Room'!$A$16-('Control Room'!$B$16-1)/2)/MAX(0.5,'Control Room'!$B$16/4))^2),1)</x:f>
        <x:v>1</x:v>
      </x:c>
      <x:c r="AZ580" s="9" t="n">
        <x:f>MOD(BA579*16807,2147483647)</x:f>
        <x:v>1436190880</x:v>
      </x:c>
      <x:c r="BA580" s="9" t="n">
        <x:f>MOD(AZ580*16807,2147483647)</x:f>
        <x:v>343927880</x:v>
      </x:c>
      <x:c r="BB580" s="17" t="n">
        <x:f>IF('Control Room'!$B$5="Normal",'Control Room'!$B$7+'Control Room'!$D$7*SQRT(-2*LN(MAX(0.000000000001,AZ580/2147483647)))*COS(2*PI()*BA580/2147483647),'Control Room'!$B$8+('Control Room'!$D$8-'Control Room'!$B$8)*AZ580/2147483647)</x:f>
        <x:v>1043.191251021316</x:v>
      </x:c>
      <x:c r="BC580" s="17" t="n">
        <x:f>IF('Control Room'!$B$5="Normal",'Control Room'!$B$7,('Control Room'!$B$8+'Control Room'!$D$8)/2)+'Control Room'!$B$9*(BC579-IF('Control Room'!$B$5="Normal",'Control Room'!$B$7,('Control Room'!$B$8+'Control Room'!$D$8)/2))+SQRT(1-'Control Room'!$B$9^2)*(BB580-IF('Control Room'!$B$5="Normal",'Control Room'!$B$7,('Control Room'!$B$8+'Control Room'!$D$8)/2))</x:f>
        <x:v>959.9611471500111</x:v>
      </x:c>
      <x:c r="BD580" s="17" t="n">
        <x:f>IF(AND($A580&gt;='Control Room'!$A$13,$A580&lt;'Control Room'!$A$13+'Control Room'!$B$13,'Process'!BU2=1),1+('Control Room'!$C$13-1)*EXP(-0.5*(($A580-'Control Room'!$A$13-('Control Room'!$B$13-1)/2)/MAX(0.5,'Control Room'!$B$13/4))^2),1)*IF(AND($A580&gt;='Control Room'!$A$14,$A580&lt;'Control Room'!$A$14+'Control Room'!$B$14,'Process'!BU3=1),1+('Control Room'!$C$14-1)*EXP(-0.5*(($A580-'Control Room'!$A$14-('Control Room'!$B$14-1)/2)/MAX(0.5,'Control Room'!$B$14/4))^2),1)*IF(AND($A580&gt;='Control Room'!$A$15,$A580&lt;'Control Room'!$A$15+'Control Room'!$B$15,'Process'!BU4=1),1+('Control Room'!$C$15-1)*EXP(-0.5*(($A580-'Control Room'!$A$15-('Control Room'!$B$15-1)/2)/MAX(0.5,'Control Room'!$B$15/4))^2),1)*IF(AND($A580&gt;='Control Room'!$A$16,$A580&lt;'Control Room'!$A$16+'Control Room'!$B$16,'Process'!BU5=1),1+('Control Room'!$C$16-1)*EXP(-0.5*(($A580-'Control Room'!$A$16-('Control Room'!$B$16-1)/2)/MAX(0.5,'Control Room'!$B$16/4))^2),1)</x:f>
        <x:v>1</x:v>
      </x:c>
      <x:c r="BE580" s="9" t="n">
        <x:f>MOD(BF579*16807,2147483647)</x:f>
        <x:v>1330131874</x:v>
      </x:c>
      <x:c r="BF580" s="9" t="n">
        <x:f>MOD(BE580*16807,2147483647)</x:f>
        <x:v>221641048</x:v>
      </x:c>
      <x:c r="BG580" s="17" t="n">
        <x:f>IF('Control Room'!$B$5="Normal",'Control Room'!$B$7+'Control Room'!$D$7*SQRT(-2*LN(MAX(0.000000000001,BE580/2147483647)))*COS(2*PI()*BF580/2147483647),'Control Room'!$B$8+('Control Room'!$D$8-'Control Room'!$B$8)*BE580/2147483647)</x:f>
        <x:v>1070.2088369536912</x:v>
      </x:c>
      <x:c r="BH580" s="17" t="n">
        <x:f>IF('Control Room'!$B$5="Normal",'Control Room'!$B$7,('Control Room'!$B$8+'Control Room'!$D$8)/2)+'Control Room'!$B$9*(BH579-IF('Control Room'!$B$5="Normal",'Control Room'!$B$7,('Control Room'!$B$8+'Control Room'!$D$8)/2))+SQRT(1-'Control Room'!$B$9^2)*(BG580-IF('Control Room'!$B$5="Normal",'Control Room'!$B$7,('Control Room'!$B$8+'Control Room'!$D$8)/2))</x:f>
        <x:v>1028.2146532426614</x:v>
      </x:c>
      <x:c r="BI580" s="17" t="n">
        <x:f>IF(AND($A580&gt;='Control Room'!$A$13,$A580&lt;'Control Room'!$A$13+'Control Room'!$B$13,'Process'!BV2=1),1+('Control Room'!$C$13-1)*EXP(-0.5*(($A580-'Control Room'!$A$13-('Control Room'!$B$13-1)/2)/MAX(0.5,'Control Room'!$B$13/4))^2),1)*IF(AND($A580&gt;='Control Room'!$A$14,$A580&lt;'Control Room'!$A$14+'Control Room'!$B$14,'Process'!BV3=1),1+('Control Room'!$C$14-1)*EXP(-0.5*(($A580-'Control Room'!$A$14-('Control Room'!$B$14-1)/2)/MAX(0.5,'Control Room'!$B$14/4))^2),1)*IF(AND($A580&gt;='Control Room'!$A$15,$A580&lt;'Control Room'!$A$15+'Control Room'!$B$15,'Process'!BV4=1),1+('Control Room'!$C$15-1)*EXP(-0.5*(($A580-'Control Room'!$A$15-('Control Room'!$B$15-1)/2)/MAX(0.5,'Control Room'!$B$15/4))^2),1)*IF(AND($A580&gt;='Control Room'!$A$16,$A580&lt;'Control Room'!$A$16+'Control Room'!$B$16,'Process'!BV5=1),1+('Control Room'!$C$16-1)*EXP(-0.5*(($A580-'Control Room'!$A$16-('Control Room'!$B$16-1)/2)/MAX(0.5,'Control Room'!$B$16/4))^2),1)</x:f>
        <x:v>1</x:v>
      </x:c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Z580" t="str">
        <x:f>IF('Data'!A580="","",TEXT('Data'!A580,"mm-dd"))</x:f>
      </x:c>
    </x:row>
    <x:row r="581" ht="21" customHeight="1">
      <x:c r="A581" s="15" t="n">
        <x:f>'Control Room'!$B$1+579</x:f>
        <x:v>73570</x:v>
      </x:c>
      <x:c r="B581" s="9" t="n">
        <x:f>MOD(C580*16807,2147483647)</x:f>
        <x:v>699253886</x:v>
      </x:c>
      <x:c r="C581" s="9" t="n">
        <x:f>MOD(B581*16807,2147483647)</x:f>
        <x:v>1329545618</x:v>
      </x:c>
      <x:c r="D581" s="17" t="n">
        <x:f>IF('Control Room'!$B$5="Normal",'Control Room'!$B$7+'Control Room'!$D$7*SQRT(-2*LN(MAX(0.000000000001,B581/2147483647)))*COS(2*PI()*C581/2147483647),'Control Room'!$B$8+('Control Room'!$D$8-'Control Room'!$B$8)*B581/2147483647)</x:f>
        <x:v>901.2088728933194</x:v>
      </x:c>
      <x:c r="E581" s="17" t="n">
        <x:f>IF('Control Room'!$B$5="Normal",'Control Room'!$B$7,('Control Room'!$B$8+'Control Room'!$D$8)/2)+'Control Room'!$B$9*(E580-IF('Control Room'!$B$5="Normal",'Control Room'!$B$7,('Control Room'!$B$8+'Control Room'!$D$8)/2))+SQRT(1-'Control Room'!$B$9^2)*(D581-IF('Control Room'!$B$5="Normal",'Control Room'!$B$7,('Control Room'!$B$8+'Control Room'!$D$8)/2))</x:f>
        <x:v>874.7142505728777</x:v>
      </x:c>
      <x:c r="F581" s="17" t="n">
        <x:f>IF(AND($A581&gt;='Control Room'!$A$13,$A581&lt;'Control Room'!$A$13+'Control Room'!$B$13,'Process'!BK2=1),1+('Control Room'!$C$13-1)*EXP(-0.5*(($A581-'Control Room'!$A$13-('Control Room'!$B$13-1)/2)/MAX(0.5,'Control Room'!$B$13/4))^2),1)*IF(AND($A581&gt;='Control Room'!$A$14,$A581&lt;'Control Room'!$A$14+'Control Room'!$B$14,'Process'!BK3=1),1+('Control Room'!$C$14-1)*EXP(-0.5*(($A581-'Control Room'!$A$14-('Control Room'!$B$14-1)/2)/MAX(0.5,'Control Room'!$B$14/4))^2),1)*IF(AND($A581&gt;='Control Room'!$A$15,$A581&lt;'Control Room'!$A$15+'Control Room'!$B$15,'Process'!BK4=1),1+('Control Room'!$C$15-1)*EXP(-0.5*(($A581-'Control Room'!$A$15-('Control Room'!$B$15-1)/2)/MAX(0.5,'Control Room'!$B$15/4))^2),1)*IF(AND($A581&gt;='Control Room'!$A$16,$A581&lt;'Control Room'!$A$16+'Control Room'!$B$16,'Process'!BK5=1),1+('Control Room'!$C$16-1)*EXP(-0.5*(($A581-'Control Room'!$A$16-('Control Room'!$B$16-1)/2)/MAX(0.5,'Control Room'!$B$16/4))^2),1)</x:f>
        <x:v>1</x:v>
      </x:c>
      <x:c r="G581" s="9" t="n">
        <x:f>MOD(H580*16807,2147483647)</x:f>
        <x:v>566318641</x:v>
      </x:c>
      <x:c r="H581" s="9" t="n">
        <x:f>MOD(G581*16807,2147483647)</x:f>
        <x:v>469875783</x:v>
      </x:c>
      <x:c r="I581" s="17" t="n">
        <x:f>IF('Control Room'!$B$5="Normal",'Control Room'!$B$7+'Control Room'!$D$7*SQRT(-2*LN(MAX(0.000000000001,G581/2147483647)))*COS(2*PI()*H581/2147483647),'Control Room'!$B$8+('Control Room'!$D$8-'Control Room'!$B$8)*G581/2147483647)</x:f>
        <x:v>1028.6196317080476</x:v>
      </x:c>
      <x:c r="J581" s="17" t="n">
        <x:f>IF('Control Room'!$B$5="Normal",'Control Room'!$B$7,('Control Room'!$B$8+'Control Room'!$D$8)/2)+'Control Room'!$B$9*(J580-IF('Control Room'!$B$5="Normal",'Control Room'!$B$7,('Control Room'!$B$8+'Control Room'!$D$8)/2))+SQRT(1-'Control Room'!$B$9^2)*(I581-IF('Control Room'!$B$5="Normal",'Control Room'!$B$7,('Control Room'!$B$8+'Control Room'!$D$8)/2))</x:f>
        <x:v>972.6105288561939</x:v>
      </x:c>
      <x:c r="K581" s="17" t="n">
        <x:f>IF(AND($A581&gt;='Control Room'!$A$13,$A581&lt;'Control Room'!$A$13+'Control Room'!$B$13,'Process'!BL2=1),1+('Control Room'!$C$13-1)*EXP(-0.5*(($A581-'Control Room'!$A$13-('Control Room'!$B$13-1)/2)/MAX(0.5,'Control Room'!$B$13/4))^2),1)*IF(AND($A581&gt;='Control Room'!$A$14,$A581&lt;'Control Room'!$A$14+'Control Room'!$B$14,'Process'!BL3=1),1+('Control Room'!$C$14-1)*EXP(-0.5*(($A581-'Control Room'!$A$14-('Control Room'!$B$14-1)/2)/MAX(0.5,'Control Room'!$B$14/4))^2),1)*IF(AND($A581&gt;='Control Room'!$A$15,$A581&lt;'Control Room'!$A$15+'Control Room'!$B$15,'Process'!BL4=1),1+('Control Room'!$C$15-1)*EXP(-0.5*(($A581-'Control Room'!$A$15-('Control Room'!$B$15-1)/2)/MAX(0.5,'Control Room'!$B$15/4))^2),1)*IF(AND($A581&gt;='Control Room'!$A$16,$A581&lt;'Control Room'!$A$16+'Control Room'!$B$16,'Process'!BL5=1),1+('Control Room'!$C$16-1)*EXP(-0.5*(($A581-'Control Room'!$A$16-('Control Room'!$B$16-1)/2)/MAX(0.5,'Control Room'!$B$16/4))^2),1)</x:f>
        <x:v>1</x:v>
      </x:c>
      <x:c r="L581" s="9" t="n">
        <x:f>MOD(M580*16807,2147483647)</x:f>
        <x:v>433383396</x:v>
      </x:c>
      <x:c r="M581" s="9" t="n">
        <x:f>MOD(L581*16807,2147483647)</x:f>
        <x:v>1757689595</x:v>
      </x:c>
      <x:c r="N581" s="17" t="n">
        <x:f>IF('Control Room'!$B$5="Normal",'Control Room'!$B$7+'Control Room'!$D$7*SQRT(-2*LN(MAX(0.000000000001,L581/2147483647)))*COS(2*PI()*M581/2147483647),'Control Room'!$B$8+('Control Room'!$D$8-'Control Room'!$B$8)*L581/2147483647)</x:f>
        <x:v>1067.1711478287705</x:v>
      </x:c>
      <x:c r="O581" s="17" t="n">
        <x:f>IF('Control Room'!$B$5="Normal",'Control Room'!$B$7,('Control Room'!$B$8+'Control Room'!$D$8)/2)+'Control Room'!$B$9*(O580-IF('Control Room'!$B$5="Normal",'Control Room'!$B$7,('Control Room'!$B$8+'Control Room'!$D$8)/2))+SQRT(1-'Control Room'!$B$9^2)*(N581-IF('Control Room'!$B$5="Normal",'Control Room'!$B$7,('Control Room'!$B$8+'Control Room'!$D$8)/2))</x:f>
        <x:v>924.7002368807512</x:v>
      </x:c>
      <x:c r="P581" s="17" t="n">
        <x:f>IF(AND($A581&gt;='Control Room'!$A$13,$A581&lt;'Control Room'!$A$13+'Control Room'!$B$13,'Process'!BM2=1),1+('Control Room'!$C$13-1)*EXP(-0.5*(($A581-'Control Room'!$A$13-('Control Room'!$B$13-1)/2)/MAX(0.5,'Control Room'!$B$13/4))^2),1)*IF(AND($A581&gt;='Control Room'!$A$14,$A581&lt;'Control Room'!$A$14+'Control Room'!$B$14,'Process'!BM3=1),1+('Control Room'!$C$14-1)*EXP(-0.5*(($A581-'Control Room'!$A$14-('Control Room'!$B$14-1)/2)/MAX(0.5,'Control Room'!$B$14/4))^2),1)*IF(AND($A581&gt;='Control Room'!$A$15,$A581&lt;'Control Room'!$A$15+'Control Room'!$B$15,'Process'!BM4=1),1+('Control Room'!$C$15-1)*EXP(-0.5*(($A581-'Control Room'!$A$15-('Control Room'!$B$15-1)/2)/MAX(0.5,'Control Room'!$B$15/4))^2),1)*IF(AND($A581&gt;='Control Room'!$A$16,$A581&lt;'Control Room'!$A$16+'Control Room'!$B$16,'Process'!BM5=1),1+('Control Room'!$C$16-1)*EXP(-0.5*(($A581-'Control Room'!$A$16-('Control Room'!$B$16-1)/2)/MAX(0.5,'Control Room'!$B$16/4))^2),1)</x:f>
        <x:v>1</x:v>
      </x:c>
      <x:c r="Q581" s="9" t="n">
        <x:f>MOD(R580*16807,2147483647)</x:f>
        <x:v>300448151</x:v>
      </x:c>
      <x:c r="R581" s="9" t="n">
        <x:f>MOD(Q581*16807,2147483647)</x:f>
        <x:v>898019760</x:v>
      </x:c>
      <x:c r="S581" s="17" t="n">
        <x:f>IF('Control Room'!$B$5="Normal",'Control Room'!$B$7+'Control Room'!$D$7*SQRT(-2*LN(MAX(0.000000000001,Q581/2147483647)))*COS(2*PI()*R581/2147483647),'Control Room'!$B$8+('Control Room'!$D$8-'Control Room'!$B$8)*Q581/2147483647)</x:f>
        <x:v>844.5778024593826</x:v>
      </x:c>
      <x:c r="T581" s="17" t="n">
        <x:f>IF('Control Room'!$B$5="Normal",'Control Room'!$B$7,('Control Room'!$B$8+'Control Room'!$D$8)/2)+'Control Room'!$B$9*(T580-IF('Control Room'!$B$5="Normal",'Control Room'!$B$7,('Control Room'!$B$8+'Control Room'!$D$8)/2))+SQRT(1-'Control Room'!$B$9^2)*(S581-IF('Control Room'!$B$5="Normal",'Control Room'!$B$7,('Control Room'!$B$8+'Control Room'!$D$8)/2))</x:f>
        <x:v>819.0999311204968</x:v>
      </x:c>
      <x:c r="U581" s="17" t="n">
        <x:f>IF(AND($A581&gt;='Control Room'!$A$13,$A581&lt;'Control Room'!$A$13+'Control Room'!$B$13,'Process'!BN2=1),1+('Control Room'!$C$13-1)*EXP(-0.5*(($A581-'Control Room'!$A$13-('Control Room'!$B$13-1)/2)/MAX(0.5,'Control Room'!$B$13/4))^2),1)*IF(AND($A581&gt;='Control Room'!$A$14,$A581&lt;'Control Room'!$A$14+'Control Room'!$B$14,'Process'!BN3=1),1+('Control Room'!$C$14-1)*EXP(-0.5*(($A581-'Control Room'!$A$14-('Control Room'!$B$14-1)/2)/MAX(0.5,'Control Room'!$B$14/4))^2),1)*IF(AND($A581&gt;='Control Room'!$A$15,$A581&lt;'Control Room'!$A$15+'Control Room'!$B$15,'Process'!BN4=1),1+('Control Room'!$C$15-1)*EXP(-0.5*(($A581-'Control Room'!$A$15-('Control Room'!$B$15-1)/2)/MAX(0.5,'Control Room'!$B$15/4))^2),1)*IF(AND($A581&gt;='Control Room'!$A$16,$A581&lt;'Control Room'!$A$16+'Control Room'!$B$16,'Process'!BN5=1),1+('Control Room'!$C$16-1)*EXP(-0.5*(($A581-'Control Room'!$A$16-('Control Room'!$B$16-1)/2)/MAX(0.5,'Control Room'!$B$16/4))^2),1)</x:f>
        <x:v>1</x:v>
      </x:c>
      <x:c r="V581" s="9" t="n">
        <x:f>MOD(W580*16807,2147483647)</x:f>
        <x:v>167512906</x:v>
      </x:c>
      <x:c r="W581" s="9" t="n">
        <x:f>MOD(V581*16807,2147483647)</x:f>
        <x:v>38349925</x:v>
      </x:c>
      <x:c r="X581" s="17" t="n">
        <x:f>IF('Control Room'!$B$5="Normal",'Control Room'!$B$7+'Control Room'!$D$7*SQRT(-2*LN(MAX(0.000000000001,V581/2147483647)))*COS(2*PI()*W581/2147483647),'Control Room'!$B$8+('Control Room'!$D$8-'Control Room'!$B$8)*V581/2147483647)</x:f>
        <x:v>1202.0097654069673</x:v>
      </x:c>
      <x:c r="Y581" s="17" t="n">
        <x:f>IF('Control Room'!$B$5="Normal",'Control Room'!$B$7,('Control Room'!$B$8+'Control Room'!$D$8)/2)+'Control Room'!$B$9*(Y580-IF('Control Room'!$B$5="Normal",'Control Room'!$B$7,('Control Room'!$B$8+'Control Room'!$D$8)/2))+SQRT(1-'Control Room'!$B$9^2)*(X581-IF('Control Room'!$B$5="Normal",'Control Room'!$B$7,('Control Room'!$B$8+'Control Room'!$D$8)/2))</x:f>
        <x:v>1060.2517517492897</x:v>
      </x:c>
      <x:c r="Z581" s="17" t="n">
        <x:f>IF(AND($A581&gt;='Control Room'!$A$13,$A581&lt;'Control Room'!$A$13+'Control Room'!$B$13,'Process'!BO2=1),1+('Control Room'!$C$13-1)*EXP(-0.5*(($A581-'Control Room'!$A$13-('Control Room'!$B$13-1)/2)/MAX(0.5,'Control Room'!$B$13/4))^2),1)*IF(AND($A581&gt;='Control Room'!$A$14,$A581&lt;'Control Room'!$A$14+'Control Room'!$B$14,'Process'!BO3=1),1+('Control Room'!$C$14-1)*EXP(-0.5*(($A581-'Control Room'!$A$14-('Control Room'!$B$14-1)/2)/MAX(0.5,'Control Room'!$B$14/4))^2),1)*IF(AND($A581&gt;='Control Room'!$A$15,$A581&lt;'Control Room'!$A$15+'Control Room'!$B$15,'Process'!BO4=1),1+('Control Room'!$C$15-1)*EXP(-0.5*(($A581-'Control Room'!$A$15-('Control Room'!$B$15-1)/2)/MAX(0.5,'Control Room'!$B$15/4))^2),1)*IF(AND($A581&gt;='Control Room'!$A$16,$A581&lt;'Control Room'!$A$16+'Control Room'!$B$16,'Process'!BO5=1),1+('Control Room'!$C$16-1)*EXP(-0.5*(($A581-'Control Room'!$A$16-('Control Room'!$B$16-1)/2)/MAX(0.5,'Control Room'!$B$16/4))^2),1)</x:f>
        <x:v>1</x:v>
      </x:c>
      <x:c r="AA581" s="9" t="n">
        <x:f>MOD(AB580*16807,2147483647)</x:f>
        <x:v>34577661</x:v>
      </x:c>
      <x:c r="AB581" s="9" t="n">
        <x:f>MOD(AA581*16807,2147483647)</x:f>
        <x:v>1326163737</x:v>
      </x:c>
      <x:c r="AC581" s="17" t="n">
        <x:f>IF('Control Room'!$B$5="Normal",'Control Room'!$B$7+'Control Room'!$D$7*SQRT(-2*LN(MAX(0.000000000001,AA581/2147483647)))*COS(2*PI()*AB581/2147483647),'Control Room'!$B$8+('Control Room'!$D$8-'Control Room'!$B$8)*AA581/2147483647)</x:f>
        <x:v>808.7595143397614</x:v>
      </x:c>
      <x:c r="AD581" s="17" t="n">
        <x:f>IF('Control Room'!$B$5="Normal",'Control Room'!$B$7,('Control Room'!$B$8+'Control Room'!$D$8)/2)+'Control Room'!$B$9*(AD580-IF('Control Room'!$B$5="Normal",'Control Room'!$B$7,('Control Room'!$B$8+'Control Room'!$D$8)/2))+SQRT(1-'Control Room'!$B$9^2)*(AC581-IF('Control Room'!$B$5="Normal",'Control Room'!$B$7,('Control Room'!$B$8+'Control Room'!$D$8)/2))</x:f>
        <x:v>835.8209478119977</x:v>
      </x:c>
      <x:c r="AE581" s="17" t="n">
        <x:f>IF(AND($A581&gt;='Control Room'!$A$13,$A581&lt;'Control Room'!$A$13+'Control Room'!$B$13,'Process'!BP2=1),1+('Control Room'!$C$13-1)*EXP(-0.5*(($A581-'Control Room'!$A$13-('Control Room'!$B$13-1)/2)/MAX(0.5,'Control Room'!$B$13/4))^2),1)*IF(AND($A581&gt;='Control Room'!$A$14,$A581&lt;'Control Room'!$A$14+'Control Room'!$B$14,'Process'!BP3=1),1+('Control Room'!$C$14-1)*EXP(-0.5*(($A581-'Control Room'!$A$14-('Control Room'!$B$14-1)/2)/MAX(0.5,'Control Room'!$B$14/4))^2),1)*IF(AND($A581&gt;='Control Room'!$A$15,$A581&lt;'Control Room'!$A$15+'Control Room'!$B$15,'Process'!BP4=1),1+('Control Room'!$C$15-1)*EXP(-0.5*(($A581-'Control Room'!$A$15-('Control Room'!$B$15-1)/2)/MAX(0.5,'Control Room'!$B$15/4))^2),1)*IF(AND($A581&gt;='Control Room'!$A$16,$A581&lt;'Control Room'!$A$16+'Control Room'!$B$16,'Process'!BP5=1),1+('Control Room'!$C$16-1)*EXP(-0.5*(($A581-'Control Room'!$A$16-('Control Room'!$B$16-1)/2)/MAX(0.5,'Control Room'!$B$16/4))^2),1)</x:f>
        <x:v>1</x:v>
      </x:c>
      <x:c r="AF581" s="9" t="n">
        <x:f>MOD(AG580*16807,2147483647)</x:f>
        <x:v>2049126063</x:v>
      </x:c>
      <x:c r="AG581" s="9" t="n">
        <x:f>MOD(AF581*16807,2147483647)</x:f>
        <x:v>466493902</x:v>
      </x:c>
      <x:c r="AH581" s="17" t="n">
        <x:f>IF('Control Room'!$B$5="Normal",'Control Room'!$B$7+'Control Room'!$D$7*SQRT(-2*LN(MAX(0.000000000001,AF581/2147483647)))*COS(2*PI()*AG581/2147483647),'Control Room'!$B$8+('Control Room'!$D$8-'Control Room'!$B$8)*AF581/2147483647)</x:f>
        <x:v>1005.634746600242</x:v>
      </x:c>
      <x:c r="AI581" s="17" t="n">
        <x:f>IF('Control Room'!$B$5="Normal",'Control Room'!$B$7,('Control Room'!$B$8+'Control Room'!$D$8)/2)+'Control Room'!$B$9*(AI580-IF('Control Room'!$B$5="Normal",'Control Room'!$B$7,('Control Room'!$B$8+'Control Room'!$D$8)/2))+SQRT(1-'Control Room'!$B$9^2)*(AH581-IF('Control Room'!$B$5="Normal",'Control Room'!$B$7,('Control Room'!$B$8+'Control Room'!$D$8)/2))</x:f>
        <x:v>836.7262472514766</x:v>
      </x:c>
      <x:c r="AJ581" s="17" t="n">
        <x:f>IF(AND($A581&gt;='Control Room'!$A$13,$A581&lt;'Control Room'!$A$13+'Control Room'!$B$13,'Process'!BQ2=1),1+('Control Room'!$C$13-1)*EXP(-0.5*(($A581-'Control Room'!$A$13-('Control Room'!$B$13-1)/2)/MAX(0.5,'Control Room'!$B$13/4))^2),1)*IF(AND($A581&gt;='Control Room'!$A$14,$A581&lt;'Control Room'!$A$14+'Control Room'!$B$14,'Process'!BQ3=1),1+('Control Room'!$C$14-1)*EXP(-0.5*(($A581-'Control Room'!$A$14-('Control Room'!$B$14-1)/2)/MAX(0.5,'Control Room'!$B$14/4))^2),1)*IF(AND($A581&gt;='Control Room'!$A$15,$A581&lt;'Control Room'!$A$15+'Control Room'!$B$15,'Process'!BQ4=1),1+('Control Room'!$C$15-1)*EXP(-0.5*(($A581-'Control Room'!$A$15-('Control Room'!$B$15-1)/2)/MAX(0.5,'Control Room'!$B$15/4))^2),1)*IF(AND($A581&gt;='Control Room'!$A$16,$A581&lt;'Control Room'!$A$16+'Control Room'!$B$16,'Process'!BQ5=1),1+('Control Room'!$C$16-1)*EXP(-0.5*(($A581-'Control Room'!$A$16-('Control Room'!$B$16-1)/2)/MAX(0.5,'Control Room'!$B$16/4))^2),1)</x:f>
        <x:v>1</x:v>
      </x:c>
      <x:c r="AK581" s="9" t="n">
        <x:f>MOD(AL580*16807,2147483647)</x:f>
        <x:v>1916190818</x:v>
      </x:c>
      <x:c r="AL581" s="9" t="n">
        <x:f>MOD(AK581*16807,2147483647)</x:f>
        <x:v>1754307714</x:v>
      </x:c>
      <x:c r="AM581" s="17" t="n">
        <x:f>IF('Control Room'!$B$5="Normal",'Control Room'!$B$7+'Control Room'!$D$7*SQRT(-2*LN(MAX(0.000000000001,AK581/2147483647)))*COS(2*PI()*AL581/2147483647),'Control Room'!$B$8+('Control Room'!$D$8-'Control Room'!$B$8)*AK581/2147483647)</x:f>
        <x:v>1017.5367864654048</x:v>
      </x:c>
      <x:c r="AN581" s="17" t="n">
        <x:f>IF('Control Room'!$B$5="Normal",'Control Room'!$B$7,('Control Room'!$B$8+'Control Room'!$D$8)/2)+'Control Room'!$B$9*(AN580-IF('Control Room'!$B$5="Normal",'Control Room'!$B$7,('Control Room'!$B$8+'Control Room'!$D$8)/2))+SQRT(1-'Control Room'!$B$9^2)*(AM581-IF('Control Room'!$B$5="Normal",'Control Room'!$B$7,('Control Room'!$B$8+'Control Room'!$D$8)/2))</x:f>
        <x:v>1006.5160586796857</x:v>
      </x:c>
      <x:c r="AO581" s="17" t="n">
        <x:f>IF(AND($A581&gt;='Control Room'!$A$13,$A581&lt;'Control Room'!$A$13+'Control Room'!$B$13,'Process'!BR2=1),1+('Control Room'!$C$13-1)*EXP(-0.5*(($A581-'Control Room'!$A$13-('Control Room'!$B$13-1)/2)/MAX(0.5,'Control Room'!$B$13/4))^2),1)*IF(AND($A581&gt;='Control Room'!$A$14,$A581&lt;'Control Room'!$A$14+'Control Room'!$B$14,'Process'!BR3=1),1+('Control Room'!$C$14-1)*EXP(-0.5*(($A581-'Control Room'!$A$14-('Control Room'!$B$14-1)/2)/MAX(0.5,'Control Room'!$B$14/4))^2),1)*IF(AND($A581&gt;='Control Room'!$A$15,$A581&lt;'Control Room'!$A$15+'Control Room'!$B$15,'Process'!BR4=1),1+('Control Room'!$C$15-1)*EXP(-0.5*(($A581-'Control Room'!$A$15-('Control Room'!$B$15-1)/2)/MAX(0.5,'Control Room'!$B$15/4))^2),1)*IF(AND($A581&gt;='Control Room'!$A$16,$A581&lt;'Control Room'!$A$16+'Control Room'!$B$16,'Process'!BR5=1),1+('Control Room'!$C$16-1)*EXP(-0.5*(($A581-'Control Room'!$A$16-('Control Room'!$B$16-1)/2)/MAX(0.5,'Control Room'!$B$16/4))^2),1)</x:f>
        <x:v>1</x:v>
      </x:c>
      <x:c r="AP581" s="9" t="n">
        <x:f>MOD(AQ580*16807,2147483647)</x:f>
        <x:v>1783255573</x:v>
      </x:c>
      <x:c r="AQ581" s="9" t="n">
        <x:f>MOD(AP581*16807,2147483647)</x:f>
        <x:v>894637879</x:v>
      </x:c>
      <x:c r="AR581" s="17" t="n">
        <x:f>IF('Control Room'!$B$5="Normal",'Control Room'!$B$7+'Control Room'!$D$7*SQRT(-2*LN(MAX(0.000000000001,AP581/2147483647)))*COS(2*PI()*AQ581/2147483647),'Control Room'!$B$8+('Control Room'!$D$8-'Control Room'!$B$8)*AP581/2147483647)</x:f>
        <x:v>952.4917904975022</x:v>
      </x:c>
      <x:c r="AS581" s="17" t="n">
        <x:f>IF('Control Room'!$B$5="Normal",'Control Room'!$B$7,('Control Room'!$B$8+'Control Room'!$D$8)/2)+'Control Room'!$B$9*(AS580-IF('Control Room'!$B$5="Normal",'Control Room'!$B$7,('Control Room'!$B$8+'Control Room'!$D$8)/2))+SQRT(1-'Control Room'!$B$9^2)*(AR581-IF('Control Room'!$B$5="Normal",'Control Room'!$B$7,('Control Room'!$B$8+'Control Room'!$D$8)/2))</x:f>
        <x:v>927.8290688414538</x:v>
      </x:c>
      <x:c r="AT581" s="17" t="n">
        <x:f>IF(AND($A581&gt;='Control Room'!$A$13,$A581&lt;'Control Room'!$A$13+'Control Room'!$B$13,'Process'!BS2=1),1+('Control Room'!$C$13-1)*EXP(-0.5*(($A581-'Control Room'!$A$13-('Control Room'!$B$13-1)/2)/MAX(0.5,'Control Room'!$B$13/4))^2),1)*IF(AND($A581&gt;='Control Room'!$A$14,$A581&lt;'Control Room'!$A$14+'Control Room'!$B$14,'Process'!BS3=1),1+('Control Room'!$C$14-1)*EXP(-0.5*(($A581-'Control Room'!$A$14-('Control Room'!$B$14-1)/2)/MAX(0.5,'Control Room'!$B$14/4))^2),1)*IF(AND($A581&gt;='Control Room'!$A$15,$A581&lt;'Control Room'!$A$15+'Control Room'!$B$15,'Process'!BS4=1),1+('Control Room'!$C$15-1)*EXP(-0.5*(($A581-'Control Room'!$A$15-('Control Room'!$B$15-1)/2)/MAX(0.5,'Control Room'!$B$15/4))^2),1)*IF(AND($A581&gt;='Control Room'!$A$16,$A581&lt;'Control Room'!$A$16+'Control Room'!$B$16,'Process'!BS5=1),1+('Control Room'!$C$16-1)*EXP(-0.5*(($A581-'Control Room'!$A$16-('Control Room'!$B$16-1)/2)/MAX(0.5,'Control Room'!$B$16/4))^2),1)</x:f>
        <x:v>1</x:v>
      </x:c>
      <x:c r="AU581" s="9" t="n">
        <x:f>MOD(AV580*16807,2147483647)</x:f>
        <x:v>1650320328</x:v>
      </x:c>
      <x:c r="AV581" s="9" t="n">
        <x:f>MOD(AU581*16807,2147483647)</x:f>
        <x:v>34968044</x:v>
      </x:c>
      <x:c r="AW581" s="17" t="n">
        <x:f>IF('Control Room'!$B$5="Normal",'Control Room'!$B$7+'Control Room'!$D$7*SQRT(-2*LN(MAX(0.000000000001,AU581/2147483647)))*COS(2*PI()*AV581/2147483647),'Control Room'!$B$8+('Control Room'!$D$8-'Control Room'!$B$8)*AU581/2147483647)</x:f>
        <x:v>1064.9723432502988</x:v>
      </x:c>
      <x:c r="AX581" s="17" t="n">
        <x:f>IF('Control Room'!$B$5="Normal",'Control Room'!$B$7,('Control Room'!$B$8+'Control Room'!$D$8)/2)+'Control Room'!$B$9*(AX580-IF('Control Room'!$B$5="Normal",'Control Room'!$B$7,('Control Room'!$B$8+'Control Room'!$D$8)/2))+SQRT(1-'Control Room'!$B$9^2)*(AW581-IF('Control Room'!$B$5="Normal",'Control Room'!$B$7,('Control Room'!$B$8+'Control Room'!$D$8)/2))</x:f>
        <x:v>1105.1167839492227</x:v>
      </x:c>
      <x:c r="AY581" s="17" t="n">
        <x:f>IF(AND($A581&gt;='Control Room'!$A$13,$A581&lt;'Control Room'!$A$13+'Control Room'!$B$13,'Process'!BT2=1),1+('Control Room'!$C$13-1)*EXP(-0.5*(($A581-'Control Room'!$A$13-('Control Room'!$B$13-1)/2)/MAX(0.5,'Control Room'!$B$13/4))^2),1)*IF(AND($A581&gt;='Control Room'!$A$14,$A581&lt;'Control Room'!$A$14+'Control Room'!$B$14,'Process'!BT3=1),1+('Control Room'!$C$14-1)*EXP(-0.5*(($A581-'Control Room'!$A$14-('Control Room'!$B$14-1)/2)/MAX(0.5,'Control Room'!$B$14/4))^2),1)*IF(AND($A581&gt;='Control Room'!$A$15,$A581&lt;'Control Room'!$A$15+'Control Room'!$B$15,'Process'!BT4=1),1+('Control Room'!$C$15-1)*EXP(-0.5*(($A581-'Control Room'!$A$15-('Control Room'!$B$15-1)/2)/MAX(0.5,'Control Room'!$B$15/4))^2),1)*IF(AND($A581&gt;='Control Room'!$A$16,$A581&lt;'Control Room'!$A$16+'Control Room'!$B$16,'Process'!BT5=1),1+('Control Room'!$C$16-1)*EXP(-0.5*(($A581-'Control Room'!$A$16-('Control Room'!$B$16-1)/2)/MAX(0.5,'Control Room'!$B$16/4))^2),1)</x:f>
        <x:v>1</x:v>
      </x:c>
      <x:c r="AZ581" s="9" t="n">
        <x:f>MOD(BA580*16807,2147483647)</x:f>
        <x:v>1517385083</x:v>
      </x:c>
      <x:c r="BA581" s="9" t="n">
        <x:f>MOD(AZ581*16807,2147483647)</x:f>
        <x:v>1322781856</x:v>
      </x:c>
      <x:c r="BB581" s="17" t="n">
        <x:f>IF('Control Room'!$B$5="Normal",'Control Room'!$B$7+'Control Room'!$D$7*SQRT(-2*LN(MAX(0.000000000001,AZ581/2147483647)))*COS(2*PI()*BA581/2147483647),'Control Room'!$B$8+('Control Room'!$D$8-'Control Room'!$B$8)*AZ581/2147483647)</x:f>
        <x:v>944.0375357429864</x:v>
      </x:c>
      <x:c r="BC581" s="17" t="n">
        <x:f>IF('Control Room'!$B$5="Normal",'Control Room'!$B$7,('Control Room'!$B$8+'Control Room'!$D$8)/2)+'Control Room'!$B$9*(BC580-IF('Control Room'!$B$5="Normal",'Control Room'!$B$7,('Control Room'!$B$8+'Control Room'!$D$8)/2))+SQRT(1-'Control Room'!$B$9^2)*(BB581-IF('Control Room'!$B$5="Normal",'Control Room'!$B$7,('Control Room'!$B$8+'Control Room'!$D$8)/2))</x:f>
        <x:v>933.7495310983652</x:v>
      </x:c>
      <x:c r="BD581" s="17" t="n">
        <x:f>IF(AND($A581&gt;='Control Room'!$A$13,$A581&lt;'Control Room'!$A$13+'Control Room'!$B$13,'Process'!BU2=1),1+('Control Room'!$C$13-1)*EXP(-0.5*(($A581-'Control Room'!$A$13-('Control Room'!$B$13-1)/2)/MAX(0.5,'Control Room'!$B$13/4))^2),1)*IF(AND($A581&gt;='Control Room'!$A$14,$A581&lt;'Control Room'!$A$14+'Control Room'!$B$14,'Process'!BU3=1),1+('Control Room'!$C$14-1)*EXP(-0.5*(($A581-'Control Room'!$A$14-('Control Room'!$B$14-1)/2)/MAX(0.5,'Control Room'!$B$14/4))^2),1)*IF(AND($A581&gt;='Control Room'!$A$15,$A581&lt;'Control Room'!$A$15+'Control Room'!$B$15,'Process'!BU4=1),1+('Control Room'!$C$15-1)*EXP(-0.5*(($A581-'Control Room'!$A$15-('Control Room'!$B$15-1)/2)/MAX(0.5,'Control Room'!$B$15/4))^2),1)*IF(AND($A581&gt;='Control Room'!$A$16,$A581&lt;'Control Room'!$A$16+'Control Room'!$B$16,'Process'!BU5=1),1+('Control Room'!$C$16-1)*EXP(-0.5*(($A581-'Control Room'!$A$16-('Control Room'!$B$16-1)/2)/MAX(0.5,'Control Room'!$B$16/4))^2),1)</x:f>
        <x:v>1</x:v>
      </x:c>
      <x:c r="BE581" s="9" t="n">
        <x:f>MOD(BF580*16807,2147483647)</x:f>
        <x:v>1384449838</x:v>
      </x:c>
      <x:c r="BF581" s="9" t="n">
        <x:f>MOD(BE581*16807,2147483647)</x:f>
        <x:v>463112021</x:v>
      </x:c>
      <x:c r="BG581" s="17" t="n">
        <x:f>IF('Control Room'!$B$5="Normal",'Control Room'!$B$7+'Control Room'!$D$7*SQRT(-2*LN(MAX(0.000000000001,BE581/2147483647)))*COS(2*PI()*BF581/2147483647),'Control Room'!$B$8+('Control Room'!$D$8-'Control Room'!$B$8)*BE581/2147483647)</x:f>
        <x:v>1018.0582171527453</x:v>
      </x:c>
      <x:c r="BH581" s="17" t="n">
        <x:f>IF('Control Room'!$B$5="Normal",'Control Room'!$B$7,('Control Room'!$B$8+'Control Room'!$D$8)/2)+'Control Room'!$B$9*(BH580-IF('Control Room'!$B$5="Normal",'Control Room'!$B$7,('Control Room'!$B$8+'Control Room'!$D$8)/2))+SQRT(1-'Control Room'!$B$9^2)*(BG581-IF('Control Room'!$B$5="Normal",'Control Room'!$B$7,('Control Room'!$B$8+'Control Room'!$D$8)/2))</x:f>
        <x:v>1033.3078918807773</x:v>
      </x:c>
      <x:c r="BI581" s="17" t="n">
        <x:f>IF(AND($A581&gt;='Control Room'!$A$13,$A581&lt;'Control Room'!$A$13+'Control Room'!$B$13,'Process'!BV2=1),1+('Control Room'!$C$13-1)*EXP(-0.5*(($A581-'Control Room'!$A$13-('Control Room'!$B$13-1)/2)/MAX(0.5,'Control Room'!$B$13/4))^2),1)*IF(AND($A581&gt;='Control Room'!$A$14,$A581&lt;'Control Room'!$A$14+'Control Room'!$B$14,'Process'!BV3=1),1+('Control Room'!$C$14-1)*EXP(-0.5*(($A581-'Control Room'!$A$14-('Control Room'!$B$14-1)/2)/MAX(0.5,'Control Room'!$B$14/4))^2),1)*IF(AND($A581&gt;='Control Room'!$A$15,$A581&lt;'Control Room'!$A$15+'Control Room'!$B$15,'Process'!BV4=1),1+('Control Room'!$C$15-1)*EXP(-0.5*(($A581-'Control Room'!$A$15-('Control Room'!$B$15-1)/2)/MAX(0.5,'Control Room'!$B$15/4))^2),1)*IF(AND($A581&gt;='Control Room'!$A$16,$A581&lt;'Control Room'!$A$16+'Control Room'!$B$16,'Process'!BV5=1),1+('Control Room'!$C$16-1)*EXP(-0.5*(($A581-'Control Room'!$A$16-('Control Room'!$B$16-1)/2)/MAX(0.5,'Control Room'!$B$16/4))^2),1)</x:f>
        <x:v>1</x:v>
      </x:c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Z581" t="str">
        <x:f>IF('Data'!A581="","",TEXT('Data'!A581,"mm-dd"))</x:f>
      </x:c>
    </x:row>
    <x:row r="582" ht="21" customHeight="1">
      <x:c r="A582" s="15" t="n">
        <x:f>'Control Room'!$B$1+580</x:f>
        <x:v>73571</x:v>
      </x:c>
      <x:c r="B582" s="9" t="n">
        <x:f>MOD(C581*16807,2147483647)</x:f>
        <x:v>1105854691</x:v>
      </x:c>
      <x:c r="C582" s="9" t="n">
        <x:f>MOD(B582*16807,2147483647)</x:f>
        <x:v>1776310499</x:v>
      </x:c>
      <x:c r="D582" s="17" t="n">
        <x:f>IF('Control Room'!$B$5="Normal",'Control Room'!$B$7+'Control Room'!$D$7*SQRT(-2*LN(MAX(0.000000000001,B582/2147483647)))*COS(2*PI()*C582/2147483647),'Control Room'!$B$8+('Control Room'!$D$8-'Control Room'!$B$8)*B582/2147483647)</x:f>
        <x:v>1048.323147069444</x:v>
      </x:c>
      <x:c r="E582" s="17" t="n">
        <x:f>IF('Control Room'!$B$5="Normal",'Control Room'!$B$7,('Control Room'!$B$8+'Control Room'!$D$8)/2)+'Control Room'!$B$9*(E581-IF('Control Room'!$B$5="Normal",'Control Room'!$B$7,('Control Room'!$B$8+'Control Room'!$D$8)/2))+SQRT(1-'Control Room'!$B$9^2)*(D582-IF('Control Room'!$B$5="Normal",'Control Room'!$B$7,('Control Room'!$B$8+'Control Room'!$D$8)/2))</x:f>
        <x:v>932.5167509294263</x:v>
      </x:c>
      <x:c r="F582" s="17" t="n">
        <x:f>IF(AND($A582&gt;='Control Room'!$A$13,$A582&lt;'Control Room'!$A$13+'Control Room'!$B$13,'Process'!BK2=1),1+('Control Room'!$C$13-1)*EXP(-0.5*(($A582-'Control Room'!$A$13-('Control Room'!$B$13-1)/2)/MAX(0.5,'Control Room'!$B$13/4))^2),1)*IF(AND($A582&gt;='Control Room'!$A$14,$A582&lt;'Control Room'!$A$14+'Control Room'!$B$14,'Process'!BK3=1),1+('Control Room'!$C$14-1)*EXP(-0.5*(($A582-'Control Room'!$A$14-('Control Room'!$B$14-1)/2)/MAX(0.5,'Control Room'!$B$14/4))^2),1)*IF(AND($A582&gt;='Control Room'!$A$15,$A582&lt;'Control Room'!$A$15+'Control Room'!$B$15,'Process'!BK4=1),1+('Control Room'!$C$15-1)*EXP(-0.5*(($A582-'Control Room'!$A$15-('Control Room'!$B$15-1)/2)/MAX(0.5,'Control Room'!$B$15/4))^2),1)*IF(AND($A582&gt;='Control Room'!$A$16,$A582&lt;'Control Room'!$A$16+'Control Room'!$B$16,'Process'!BK5=1),1+('Control Room'!$C$16-1)*EXP(-0.5*(($A582-'Control Room'!$A$16-('Control Room'!$B$16-1)/2)/MAX(0.5,'Control Room'!$B$16/4))^2),1)</x:f>
        <x:v>1</x:v>
      </x:c>
      <x:c r="G582" s="9" t="n">
        <x:f>MOD(H581*16807,2147483647)</x:f>
        <x:v>904914862</x:v>
      </x:c>
      <x:c r="H582" s="9" t="n">
        <x:f>MOD(G582*16807,2147483647)</x:f>
        <x:v>424897580</x:v>
      </x:c>
      <x:c r="I582" s="17" t="n">
        <x:f>IF('Control Room'!$B$5="Normal",'Control Room'!$B$7+'Control Room'!$D$7*SQRT(-2*LN(MAX(0.000000000001,G582/2147483647)))*COS(2*PI()*H582/2147483647),'Control Room'!$B$8+('Control Room'!$D$8-'Control Room'!$B$8)*G582/2147483647)</x:f>
        <x:v>1038.074579420368</x:v>
      </x:c>
      <x:c r="J582" s="17" t="n">
        <x:f>IF('Control Room'!$B$5="Normal",'Control Room'!$B$7,('Control Room'!$B$8+'Control Room'!$D$8)/2)+'Control Room'!$B$9*(J581-IF('Control Room'!$B$5="Normal",'Control Room'!$B$7,('Control Room'!$B$8+'Control Room'!$D$8)/2))+SQRT(1-'Control Room'!$B$9^2)*(I582-IF('Control Room'!$B$5="Normal",'Control Room'!$B$7,('Control Room'!$B$8+'Control Room'!$D$8)/2))</x:f>
        <x:v>1002.4625043089414</x:v>
      </x:c>
      <x:c r="K582" s="17" t="n">
        <x:f>IF(AND($A582&gt;='Control Room'!$A$13,$A582&lt;'Control Room'!$A$13+'Control Room'!$B$13,'Process'!BL2=1),1+('Control Room'!$C$13-1)*EXP(-0.5*(($A582-'Control Room'!$A$13-('Control Room'!$B$13-1)/2)/MAX(0.5,'Control Room'!$B$13/4))^2),1)*IF(AND($A582&gt;='Control Room'!$A$14,$A582&lt;'Control Room'!$A$14+'Control Room'!$B$14,'Process'!BL3=1),1+('Control Room'!$C$14-1)*EXP(-0.5*(($A582-'Control Room'!$A$14-('Control Room'!$B$14-1)/2)/MAX(0.5,'Control Room'!$B$14/4))^2),1)*IF(AND($A582&gt;='Control Room'!$A$15,$A582&lt;'Control Room'!$A$15+'Control Room'!$B$15,'Process'!BL4=1),1+('Control Room'!$C$15-1)*EXP(-0.5*(($A582-'Control Room'!$A$15-('Control Room'!$B$15-1)/2)/MAX(0.5,'Control Room'!$B$15/4))^2),1)*IF(AND($A582&gt;='Control Room'!$A$16,$A582&lt;'Control Room'!$A$16+'Control Room'!$B$16,'Process'!BL5=1),1+('Control Room'!$C$16-1)*EXP(-0.5*(($A582-'Control Room'!$A$16-('Control Room'!$B$16-1)/2)/MAX(0.5,'Control Room'!$B$16/4))^2),1)</x:f>
        <x:v>1</x:v>
      </x:c>
      <x:c r="L582" s="9" t="n">
        <x:f>MOD(M581*16807,2147483647)</x:f>
        <x:v>703975033</x:v>
      </x:c>
      <x:c r="M582" s="9" t="n">
        <x:f>MOD(L582*16807,2147483647)</x:f>
        <x:v>1220968308</x:v>
      </x:c>
      <x:c r="N582" s="17" t="n">
        <x:f>IF('Control Room'!$B$5="Normal",'Control Room'!$B$7+'Control Room'!$D$7*SQRT(-2*LN(MAX(0.000000000001,L582/2147483647)))*COS(2*PI()*M582/2147483647),'Control Room'!$B$8+('Control Room'!$D$8-'Control Room'!$B$8)*L582/2147483647)</x:f>
        <x:v>877.8619397785683</x:v>
      </x:c>
      <x:c r="O582" s="17" t="n">
        <x:f>IF('Control Room'!$B$5="Normal",'Control Room'!$B$7,('Control Room'!$B$8+'Control Room'!$D$8)/2)+'Control Room'!$B$9*(O581-IF('Control Room'!$B$5="Normal",'Control Room'!$B$7,('Control Room'!$B$8+'Control Room'!$D$8)/2))+SQRT(1-'Control Room'!$B$9^2)*(N582-IF('Control Room'!$B$5="Normal",'Control Room'!$B$7,('Control Room'!$B$8+'Control Room'!$D$8)/2))</x:f>
        <x:v>864.8346888145807</x:v>
      </x:c>
      <x:c r="P582" s="17" t="n">
        <x:f>IF(AND($A582&gt;='Control Room'!$A$13,$A582&lt;'Control Room'!$A$13+'Control Room'!$B$13,'Process'!BM2=1),1+('Control Room'!$C$13-1)*EXP(-0.5*(($A582-'Control Room'!$A$13-('Control Room'!$B$13-1)/2)/MAX(0.5,'Control Room'!$B$13/4))^2),1)*IF(AND($A582&gt;='Control Room'!$A$14,$A582&lt;'Control Room'!$A$14+'Control Room'!$B$14,'Process'!BM3=1),1+('Control Room'!$C$14-1)*EXP(-0.5*(($A582-'Control Room'!$A$14-('Control Room'!$B$14-1)/2)/MAX(0.5,'Control Room'!$B$14/4))^2),1)*IF(AND($A582&gt;='Control Room'!$A$15,$A582&lt;'Control Room'!$A$15+'Control Room'!$B$15,'Process'!BM4=1),1+('Control Room'!$C$15-1)*EXP(-0.5*(($A582-'Control Room'!$A$15-('Control Room'!$B$15-1)/2)/MAX(0.5,'Control Room'!$B$15/4))^2),1)*IF(AND($A582&gt;='Control Room'!$A$16,$A582&lt;'Control Room'!$A$16+'Control Room'!$B$16,'Process'!BM5=1),1+('Control Room'!$C$16-1)*EXP(-0.5*(($A582-'Control Room'!$A$16-('Control Room'!$B$16-1)/2)/MAX(0.5,'Control Room'!$B$16/4))^2),1)</x:f>
        <x:v>1</x:v>
      </x:c>
      <x:c r="Q582" s="9" t="n">
        <x:f>MOD(R581*16807,2147483647)</x:f>
        <x:v>503035204</x:v>
      </x:c>
      <x:c r="R582" s="9" t="n">
        <x:f>MOD(Q582*16807,2147483647)</x:f>
        <x:v>2017039036</x:v>
      </x:c>
      <x:c r="S582" s="17" t="n">
        <x:f>IF('Control Room'!$B$5="Normal",'Control Room'!$B$7+'Control Room'!$D$7*SQRT(-2*LN(MAX(0.000000000001,Q582/2147483647)))*COS(2*PI()*R582/2147483647),'Control Room'!$B$8+('Control Room'!$D$8-'Control Room'!$B$8)*Q582/2147483647)</x:f>
        <x:v>1142.3050113390973</x:v>
      </x:c>
      <x:c r="T582" s="17" t="n">
        <x:f>IF('Control Room'!$B$5="Normal",'Control Room'!$B$7,('Control Room'!$B$8+'Control Room'!$D$8)/2)+'Control Room'!$B$9*(T581-IF('Control Room'!$B$5="Normal",'Control Room'!$B$7,('Control Room'!$B$8+'Control Room'!$D$8)/2))+SQRT(1-'Control Room'!$B$9^2)*(S582-IF('Control Room'!$B$5="Normal",'Control Room'!$B$7,('Control Room'!$B$8+'Control Room'!$D$8)/2))</x:f>
        <x:v>947.9495070933779</x:v>
      </x:c>
      <x:c r="U582" s="17" t="n">
        <x:f>IF(AND($A582&gt;='Control Room'!$A$13,$A582&lt;'Control Room'!$A$13+'Control Room'!$B$13,'Process'!BN2=1),1+('Control Room'!$C$13-1)*EXP(-0.5*(($A582-'Control Room'!$A$13-('Control Room'!$B$13-1)/2)/MAX(0.5,'Control Room'!$B$13/4))^2),1)*IF(AND($A582&gt;='Control Room'!$A$14,$A582&lt;'Control Room'!$A$14+'Control Room'!$B$14,'Process'!BN3=1),1+('Control Room'!$C$14-1)*EXP(-0.5*(($A582-'Control Room'!$A$14-('Control Room'!$B$14-1)/2)/MAX(0.5,'Control Room'!$B$14/4))^2),1)*IF(AND($A582&gt;='Control Room'!$A$15,$A582&lt;'Control Room'!$A$15+'Control Room'!$B$15,'Process'!BN4=1),1+('Control Room'!$C$15-1)*EXP(-0.5*(($A582-'Control Room'!$A$15-('Control Room'!$B$15-1)/2)/MAX(0.5,'Control Room'!$B$15/4))^2),1)*IF(AND($A582&gt;='Control Room'!$A$16,$A582&lt;'Control Room'!$A$16+'Control Room'!$B$16,'Process'!BN5=1),1+('Control Room'!$C$16-1)*EXP(-0.5*(($A582-'Control Room'!$A$16-('Control Room'!$B$16-1)/2)/MAX(0.5,'Control Room'!$B$16/4))^2),1)</x:f>
        <x:v>1</x:v>
      </x:c>
      <x:c r="V582" s="9" t="n">
        <x:f>MOD(W581*16807,2147483647)</x:f>
        <x:v>302095375</x:v>
      </x:c>
      <x:c r="W582" s="9" t="n">
        <x:f>MOD(V582*16807,2147483647)</x:f>
        <x:v>665626117</x:v>
      </x:c>
      <x:c r="X582" s="17" t="n">
        <x:f>IF('Control Room'!$B$5="Normal",'Control Room'!$B$7+'Control Room'!$D$7*SQRT(-2*LN(MAX(0.000000000001,V582/2147483647)))*COS(2*PI()*W582/2147483647),'Control Room'!$B$8+('Control Room'!$D$8-'Control Room'!$B$8)*V582/2147483647)</x:f>
        <x:v>934.4271395562614</x:v>
      </x:c>
      <x:c r="Y582" s="17" t="n">
        <x:f>IF('Control Room'!$B$5="Normal",'Control Room'!$B$7,('Control Room'!$B$8+'Control Room'!$D$8)/2)+'Control Room'!$B$9*(Y581-IF('Control Room'!$B$5="Normal",'Control Room'!$B$7,('Control Room'!$B$8+'Control Room'!$D$8)/2))+SQRT(1-'Control Room'!$B$9^2)*(X582-IF('Control Room'!$B$5="Normal",'Control Room'!$B$7,('Control Room'!$B$8+'Control Room'!$D$8)/2))</x:f>
        <x:v>1005.9622136318172</x:v>
      </x:c>
      <x:c r="Z582" s="17" t="n">
        <x:f>IF(AND($A582&gt;='Control Room'!$A$13,$A582&lt;'Control Room'!$A$13+'Control Room'!$B$13,'Process'!BO2=1),1+('Control Room'!$C$13-1)*EXP(-0.5*(($A582-'Control Room'!$A$13-('Control Room'!$B$13-1)/2)/MAX(0.5,'Control Room'!$B$13/4))^2),1)*IF(AND($A582&gt;='Control Room'!$A$14,$A582&lt;'Control Room'!$A$14+'Control Room'!$B$14,'Process'!BO3=1),1+('Control Room'!$C$14-1)*EXP(-0.5*(($A582-'Control Room'!$A$14-('Control Room'!$B$14-1)/2)/MAX(0.5,'Control Room'!$B$14/4))^2),1)*IF(AND($A582&gt;='Control Room'!$A$15,$A582&lt;'Control Room'!$A$15+'Control Room'!$B$15,'Process'!BO4=1),1+('Control Room'!$C$15-1)*EXP(-0.5*(($A582-'Control Room'!$A$15-('Control Room'!$B$15-1)/2)/MAX(0.5,'Control Room'!$B$15/4))^2),1)*IF(AND($A582&gt;='Control Room'!$A$16,$A582&lt;'Control Room'!$A$16+'Control Room'!$B$16,'Process'!BO5=1),1+('Control Room'!$C$16-1)*EXP(-0.5*(($A582-'Control Room'!$A$16-('Control Room'!$B$16-1)/2)/MAX(0.5,'Control Room'!$B$16/4))^2),1)</x:f>
        <x:v>1</x:v>
      </x:c>
      <x:c r="AA582" s="9" t="n">
        <x:f>MOD(AB581*16807,2147483647)</x:f>
        <x:v>101155546</x:v>
      </x:c>
      <x:c r="AB582" s="9" t="n">
        <x:f>MOD(AA582*16807,2147483647)</x:f>
        <x:v>1461696845</x:v>
      </x:c>
      <x:c r="AC582" s="17" t="n">
        <x:f>IF('Control Room'!$B$5="Normal",'Control Room'!$B$7+'Control Room'!$D$7*SQRT(-2*LN(MAX(0.000000000001,AA582/2147483647)))*COS(2*PI()*AB582/2147483647),'Control Room'!$B$8+('Control Room'!$D$8-'Control Room'!$B$8)*AA582/2147483647)</x:f>
        <x:v>906.102689404991</x:v>
      </x:c>
      <x:c r="AD582" s="17" t="n">
        <x:f>IF('Control Room'!$B$5="Normal",'Control Room'!$B$7,('Control Room'!$B$8+'Control Room'!$D$8)/2)+'Control Room'!$B$9*(AD581-IF('Control Room'!$B$5="Normal",'Control Room'!$B$7,('Control Room'!$B$8+'Control Room'!$D$8)/2))+SQRT(1-'Control Room'!$B$9^2)*(AC582-IF('Control Room'!$B$5="Normal",'Control Room'!$B$7,('Control Room'!$B$8+'Control Room'!$D$8)/2))</x:f>
        <x:v>813.1813259139656</x:v>
      </x:c>
      <x:c r="AE582" s="17" t="n">
        <x:f>IF(AND($A582&gt;='Control Room'!$A$13,$A582&lt;'Control Room'!$A$13+'Control Room'!$B$13,'Process'!BP2=1),1+('Control Room'!$C$13-1)*EXP(-0.5*(($A582-'Control Room'!$A$13-('Control Room'!$B$13-1)/2)/MAX(0.5,'Control Room'!$B$13/4))^2),1)*IF(AND($A582&gt;='Control Room'!$A$14,$A582&lt;'Control Room'!$A$14+'Control Room'!$B$14,'Process'!BP3=1),1+('Control Room'!$C$14-1)*EXP(-0.5*(($A582-'Control Room'!$A$14-('Control Room'!$B$14-1)/2)/MAX(0.5,'Control Room'!$B$14/4))^2),1)*IF(AND($A582&gt;='Control Room'!$A$15,$A582&lt;'Control Room'!$A$15+'Control Room'!$B$15,'Process'!BP4=1),1+('Control Room'!$C$15-1)*EXP(-0.5*(($A582-'Control Room'!$A$15-('Control Room'!$B$15-1)/2)/MAX(0.5,'Control Room'!$B$15/4))^2),1)*IF(AND($A582&gt;='Control Room'!$A$16,$A582&lt;'Control Room'!$A$16+'Control Room'!$B$16,'Process'!BP5=1),1+('Control Room'!$C$16-1)*EXP(-0.5*(($A582-'Control Room'!$A$16-('Control Room'!$B$16-1)/2)/MAX(0.5,'Control Room'!$B$16/4))^2),1)</x:f>
        <x:v>1</x:v>
      </x:c>
      <x:c r="AF582" s="9" t="n">
        <x:f>MOD(AG581*16807,2147483647)</x:f>
        <x:v>2047699364</x:v>
      </x:c>
      <x:c r="AG582" s="9" t="n">
        <x:f>MOD(AF582*16807,2147483647)</x:f>
        <x:v>110283926</x:v>
      </x:c>
      <x:c r="AH582" s="17" t="n">
        <x:f>IF('Control Room'!$B$5="Normal",'Control Room'!$B$7+'Control Room'!$D$7*SQRT(-2*LN(MAX(0.000000000001,AF582/2147483647)))*COS(2*PI()*AG582/2147483647),'Control Room'!$B$8+('Control Room'!$D$8-'Control Room'!$B$8)*AF582/2147483647)</x:f>
        <x:v>1026.3303502175766</x:v>
      </x:c>
      <x:c r="AI582" s="17" t="n">
        <x:f>IF('Control Room'!$B$5="Normal",'Control Room'!$B$7,('Control Room'!$B$8+'Control Room'!$D$8)/2)+'Control Room'!$B$9*(AI581-IF('Control Room'!$B$5="Normal",'Control Room'!$B$7,('Control Room'!$B$8+'Control Room'!$D$8)/2))+SQRT(1-'Control Room'!$B$9^2)*(AH582-IF('Control Room'!$B$5="Normal",'Control Room'!$B$7,('Control Room'!$B$8+'Control Room'!$D$8)/2))</x:f>
        <x:v>889.1234666157676</x:v>
      </x:c>
      <x:c r="AJ582" s="17" t="n">
        <x:f>IF(AND($A582&gt;='Control Room'!$A$13,$A582&lt;'Control Room'!$A$13+'Control Room'!$B$13,'Process'!BQ2=1),1+('Control Room'!$C$13-1)*EXP(-0.5*(($A582-'Control Room'!$A$13-('Control Room'!$B$13-1)/2)/MAX(0.5,'Control Room'!$B$13/4))^2),1)*IF(AND($A582&gt;='Control Room'!$A$14,$A582&lt;'Control Room'!$A$14+'Control Room'!$B$14,'Process'!BQ3=1),1+('Control Room'!$C$14-1)*EXP(-0.5*(($A582-'Control Room'!$A$14-('Control Room'!$B$14-1)/2)/MAX(0.5,'Control Room'!$B$14/4))^2),1)*IF(AND($A582&gt;='Control Room'!$A$15,$A582&lt;'Control Room'!$A$15+'Control Room'!$B$15,'Process'!BQ4=1),1+('Control Room'!$C$15-1)*EXP(-0.5*(($A582-'Control Room'!$A$15-('Control Room'!$B$15-1)/2)/MAX(0.5,'Control Room'!$B$15/4))^2),1)*IF(AND($A582&gt;='Control Room'!$A$16,$A582&lt;'Control Room'!$A$16+'Control Room'!$B$16,'Process'!BQ5=1),1+('Control Room'!$C$16-1)*EXP(-0.5*(($A582-'Control Room'!$A$16-('Control Room'!$B$16-1)/2)/MAX(0.5,'Control Room'!$B$16/4))^2),1)</x:f>
        <x:v>1</x:v>
      </x:c>
      <x:c r="AK582" s="9" t="n">
        <x:f>MOD(AL581*16807,2147483647)</x:f>
        <x:v>1846759535</x:v>
      </x:c>
      <x:c r="AL582" s="9" t="n">
        <x:f>MOD(AK582*16807,2147483647)</x:f>
        <x:v>906354654</x:v>
      </x:c>
      <x:c r="AM582" s="17" t="n">
        <x:f>IF('Control Room'!$B$5="Normal",'Control Room'!$B$7+'Control Room'!$D$7*SQRT(-2*LN(MAX(0.000000000001,AK582/2147483647)))*COS(2*PI()*AL582/2147483647),'Control Room'!$B$8+('Control Room'!$D$8-'Control Room'!$B$8)*AK582/2147483647)</x:f>
        <x:v>956.3743780599711</x:v>
      </x:c>
      <x:c r="AN582" s="17" t="n">
        <x:f>IF('Control Room'!$B$5="Normal",'Control Room'!$B$7,('Control Room'!$B$8+'Control Room'!$D$8)/2)+'Control Room'!$B$9*(AN581-IF('Control Room'!$B$5="Normal",'Control Room'!$B$7,('Control Room'!$B$8+'Control Room'!$D$8)/2))+SQRT(1-'Control Room'!$B$9^2)*(AM582-IF('Control Room'!$B$5="Normal",'Control Room'!$B$7,('Control Room'!$B$8+'Control Room'!$D$8)/2))</x:f>
        <x:v>977.7825052795282</x:v>
      </x:c>
      <x:c r="AO582" s="17" t="n">
        <x:f>IF(AND($A582&gt;='Control Room'!$A$13,$A582&lt;'Control Room'!$A$13+'Control Room'!$B$13,'Process'!BR2=1),1+('Control Room'!$C$13-1)*EXP(-0.5*(($A582-'Control Room'!$A$13-('Control Room'!$B$13-1)/2)/MAX(0.5,'Control Room'!$B$13/4))^2),1)*IF(AND($A582&gt;='Control Room'!$A$14,$A582&lt;'Control Room'!$A$14+'Control Room'!$B$14,'Process'!BR3=1),1+('Control Room'!$C$14-1)*EXP(-0.5*(($A582-'Control Room'!$A$14-('Control Room'!$B$14-1)/2)/MAX(0.5,'Control Room'!$B$14/4))^2),1)*IF(AND($A582&gt;='Control Room'!$A$15,$A582&lt;'Control Room'!$A$15+'Control Room'!$B$15,'Process'!BR4=1),1+('Control Room'!$C$15-1)*EXP(-0.5*(($A582-'Control Room'!$A$15-('Control Room'!$B$15-1)/2)/MAX(0.5,'Control Room'!$B$15/4))^2),1)*IF(AND($A582&gt;='Control Room'!$A$16,$A582&lt;'Control Room'!$A$16+'Control Room'!$B$16,'Process'!BR5=1),1+('Control Room'!$C$16-1)*EXP(-0.5*(($A582-'Control Room'!$A$16-('Control Room'!$B$16-1)/2)/MAX(0.5,'Control Room'!$B$16/4))^2),1)</x:f>
        <x:v>1</x:v>
      </x:c>
      <x:c r="AP582" s="9" t="n">
        <x:f>MOD(AQ581*16807,2147483647)</x:f>
        <x:v>1645819706</x:v>
      </x:c>
      <x:c r="AQ582" s="9" t="n">
        <x:f>MOD(AP582*16807,2147483647)</x:f>
        <x:v>1702425382</x:v>
      </x:c>
      <x:c r="AR582" s="17" t="n">
        <x:f>IF('Control Room'!$B$5="Normal",'Control Room'!$B$7+'Control Room'!$D$7*SQRT(-2*LN(MAX(0.000000000001,AP582/2147483647)))*COS(2*PI()*AQ582/2147483647),'Control Room'!$B$8+('Control Room'!$D$8-'Control Room'!$B$8)*AP582/2147483647)</x:f>
        <x:v>1017.4245873378836</x:v>
      </x:c>
      <x:c r="AS582" s="17" t="n">
        <x:f>IF('Control Room'!$B$5="Normal",'Control Room'!$B$7,('Control Room'!$B$8+'Control Room'!$D$8)/2)+'Control Room'!$B$9*(AS581-IF('Control Room'!$B$5="Normal",'Control Room'!$B$7,('Control Room'!$B$8+'Control Room'!$D$8)/2))+SQRT(1-'Control Room'!$B$9^2)*(AR582-IF('Control Room'!$B$5="Normal",'Control Room'!$B$7,('Control Room'!$B$8+'Control Room'!$D$8)/2))</x:f>
        <x:v>954.6106234903073</x:v>
      </x:c>
      <x:c r="AT582" s="17" t="n">
        <x:f>IF(AND($A582&gt;='Control Room'!$A$13,$A582&lt;'Control Room'!$A$13+'Control Room'!$B$13,'Process'!BS2=1),1+('Control Room'!$C$13-1)*EXP(-0.5*(($A582-'Control Room'!$A$13-('Control Room'!$B$13-1)/2)/MAX(0.5,'Control Room'!$B$13/4))^2),1)*IF(AND($A582&gt;='Control Room'!$A$14,$A582&lt;'Control Room'!$A$14+'Control Room'!$B$14,'Process'!BS3=1),1+('Control Room'!$C$14-1)*EXP(-0.5*(($A582-'Control Room'!$A$14-('Control Room'!$B$14-1)/2)/MAX(0.5,'Control Room'!$B$14/4))^2),1)*IF(AND($A582&gt;='Control Room'!$A$15,$A582&lt;'Control Room'!$A$15+'Control Room'!$B$15,'Process'!BS4=1),1+('Control Room'!$C$15-1)*EXP(-0.5*(($A582-'Control Room'!$A$15-('Control Room'!$B$15-1)/2)/MAX(0.5,'Control Room'!$B$15/4))^2),1)*IF(AND($A582&gt;='Control Room'!$A$16,$A582&lt;'Control Room'!$A$16+'Control Room'!$B$16,'Process'!BS5=1),1+('Control Room'!$C$16-1)*EXP(-0.5*(($A582-'Control Room'!$A$16-('Control Room'!$B$16-1)/2)/MAX(0.5,'Control Room'!$B$16/4))^2),1)</x:f>
        <x:v>1</x:v>
      </x:c>
      <x:c r="AU582" s="9" t="n">
        <x:f>MOD(AV581*16807,2147483647)</x:f>
        <x:v>1444879877</x:v>
      </x:c>
      <x:c r="AV582" s="9" t="n">
        <x:f>MOD(AU582*16807,2147483647)</x:f>
        <x:v>351012463</x:v>
      </x:c>
      <x:c r="AW582" s="17" t="n">
        <x:f>IF('Control Room'!$B$5="Normal",'Control Room'!$B$7+'Control Room'!$D$7*SQRT(-2*LN(MAX(0.000000000001,AU582/2147483647)))*COS(2*PI()*AV582/2147483647),'Control Room'!$B$8+('Control Room'!$D$8-'Control Room'!$B$8)*AU582/2147483647)</x:f>
        <x:v>1041.45401144718</x:v>
      </x:c>
      <x:c r="AX582" s="17" t="n">
        <x:f>IF('Control Room'!$B$5="Normal",'Control Room'!$B$7,('Control Room'!$B$8+'Control Room'!$D$8)/2)+'Control Room'!$B$9*(AX581-IF('Control Room'!$B$5="Normal",'Control Room'!$B$7,('Control Room'!$B$8+'Control Room'!$D$8)/2))+SQRT(1-'Control Room'!$B$9^2)*(AW582-IF('Control Room'!$B$5="Normal",'Control Room'!$B$7,('Control Room'!$B$8+'Control Room'!$D$8)/2))</x:f>
        <x:v>1107.9321626124547</x:v>
      </x:c>
      <x:c r="AY582" s="17" t="n">
        <x:f>IF(AND($A582&gt;='Control Room'!$A$13,$A582&lt;'Control Room'!$A$13+'Control Room'!$B$13,'Process'!BT2=1),1+('Control Room'!$C$13-1)*EXP(-0.5*(($A582-'Control Room'!$A$13-('Control Room'!$B$13-1)/2)/MAX(0.5,'Control Room'!$B$13/4))^2),1)*IF(AND($A582&gt;='Control Room'!$A$14,$A582&lt;'Control Room'!$A$14+'Control Room'!$B$14,'Process'!BT3=1),1+('Control Room'!$C$14-1)*EXP(-0.5*(($A582-'Control Room'!$A$14-('Control Room'!$B$14-1)/2)/MAX(0.5,'Control Room'!$B$14/4))^2),1)*IF(AND($A582&gt;='Control Room'!$A$15,$A582&lt;'Control Room'!$A$15+'Control Room'!$B$15,'Process'!BT4=1),1+('Control Room'!$C$15-1)*EXP(-0.5*(($A582-'Control Room'!$A$15-('Control Room'!$B$15-1)/2)/MAX(0.5,'Control Room'!$B$15/4))^2),1)*IF(AND($A582&gt;='Control Room'!$A$16,$A582&lt;'Control Room'!$A$16+'Control Room'!$B$16,'Process'!BT5=1),1+('Control Room'!$C$16-1)*EXP(-0.5*(($A582-'Control Room'!$A$16-('Control Room'!$B$16-1)/2)/MAX(0.5,'Control Room'!$B$16/4))^2),1)</x:f>
        <x:v>1</x:v>
      </x:c>
      <x:c r="AZ582" s="9" t="n">
        <x:f>MOD(BA581*16807,2147483647)</x:f>
        <x:v>1243940048</x:v>
      </x:c>
      <x:c r="BA582" s="9" t="n">
        <x:f>MOD(AZ582*16807,2147483647)</x:f>
        <x:v>1147083191</x:v>
      </x:c>
      <x:c r="BB582" s="17" t="n">
        <x:f>IF('Control Room'!$B$5="Normal",'Control Room'!$B$7+'Control Room'!$D$7*SQRT(-2*LN(MAX(0.000000000001,AZ582/2147483647)))*COS(2*PI()*BA582/2147483647),'Control Room'!$B$8+('Control Room'!$D$8-'Control Room'!$B$8)*AZ582/2147483647)</x:f>
        <x:v>908.1070087388174</x:v>
      </x:c>
      <x:c r="BC582" s="17" t="n">
        <x:f>IF('Control Room'!$B$5="Normal",'Control Room'!$B$7,('Control Room'!$B$8+'Control Room'!$D$8)/2)+'Control Room'!$B$9*(BC581-IF('Control Room'!$B$5="Normal",'Control Room'!$B$7,('Control Room'!$B$8+'Control Room'!$D$8)/2))+SQRT(1-'Control Room'!$B$9^2)*(BB582-IF('Control Room'!$B$5="Normal",'Control Room'!$B$7,('Control Room'!$B$8+'Control Room'!$D$8)/2))</x:f>
        <x:v>890.8198828557274</x:v>
      </x:c>
      <x:c r="BD582" s="17" t="n">
        <x:f>IF(AND($A582&gt;='Control Room'!$A$13,$A582&lt;'Control Room'!$A$13+'Control Room'!$B$13,'Process'!BU2=1),1+('Control Room'!$C$13-1)*EXP(-0.5*(($A582-'Control Room'!$A$13-('Control Room'!$B$13-1)/2)/MAX(0.5,'Control Room'!$B$13/4))^2),1)*IF(AND($A582&gt;='Control Room'!$A$14,$A582&lt;'Control Room'!$A$14+'Control Room'!$B$14,'Process'!BU3=1),1+('Control Room'!$C$14-1)*EXP(-0.5*(($A582-'Control Room'!$A$14-('Control Room'!$B$14-1)/2)/MAX(0.5,'Control Room'!$B$14/4))^2),1)*IF(AND($A582&gt;='Control Room'!$A$15,$A582&lt;'Control Room'!$A$15+'Control Room'!$B$15,'Process'!BU4=1),1+('Control Room'!$C$15-1)*EXP(-0.5*(($A582-'Control Room'!$A$15-('Control Room'!$B$15-1)/2)/MAX(0.5,'Control Room'!$B$15/4))^2),1)*IF(AND($A582&gt;='Control Room'!$A$16,$A582&lt;'Control Room'!$A$16+'Control Room'!$B$16,'Process'!BU5=1),1+('Control Room'!$C$16-1)*EXP(-0.5*(($A582-'Control Room'!$A$16-('Control Room'!$B$16-1)/2)/MAX(0.5,'Control Room'!$B$16/4))^2),1)</x:f>
        <x:v>1</x:v>
      </x:c>
      <x:c r="BE582" s="9" t="n">
        <x:f>MOD(BF581*16807,2147483647)</x:f>
        <x:v>1043000219</x:v>
      </x:c>
      <x:c r="BF582" s="9" t="n">
        <x:f>MOD(BE582*16807,2147483647)</x:f>
        <x:v>1943153919</x:v>
      </x:c>
      <x:c r="BG582" s="17" t="n">
        <x:f>IF('Control Room'!$B$5="Normal",'Control Room'!$B$7+'Control Room'!$D$7*SQRT(-2*LN(MAX(0.000000000001,BE582/2147483647)))*COS(2*PI()*BF582/2147483647),'Control Room'!$B$8+('Control Room'!$D$8-'Control Room'!$B$8)*BE582/2147483647)</x:f>
        <x:v>1089.4040348360743</x:v>
      </x:c>
      <x:c r="BH582" s="17" t="n">
        <x:f>IF('Control Room'!$B$5="Normal",'Control Room'!$B$7,('Control Room'!$B$8+'Control Room'!$D$8)/2)+'Control Room'!$B$9*(BH581-IF('Control Room'!$B$5="Normal",'Control Room'!$B$7,('Control Room'!$B$8+'Control Room'!$D$8)/2))+SQRT(1-'Control Room'!$B$9^2)*(BG582-IF('Control Room'!$B$5="Normal",'Control Room'!$B$7,('Control Room'!$B$8+'Control Room'!$D$8)/2))</x:f>
        <x:v>1081.927369126215</x:v>
      </x:c>
      <x:c r="BI582" s="17" t="n">
        <x:f>IF(AND($A582&gt;='Control Room'!$A$13,$A582&lt;'Control Room'!$A$13+'Control Room'!$B$13,'Process'!BV2=1),1+('Control Room'!$C$13-1)*EXP(-0.5*(($A582-'Control Room'!$A$13-('Control Room'!$B$13-1)/2)/MAX(0.5,'Control Room'!$B$13/4))^2),1)*IF(AND($A582&gt;='Control Room'!$A$14,$A582&lt;'Control Room'!$A$14+'Control Room'!$B$14,'Process'!BV3=1),1+('Control Room'!$C$14-1)*EXP(-0.5*(($A582-'Control Room'!$A$14-('Control Room'!$B$14-1)/2)/MAX(0.5,'Control Room'!$B$14/4))^2),1)*IF(AND($A582&gt;='Control Room'!$A$15,$A582&lt;'Control Room'!$A$15+'Control Room'!$B$15,'Process'!BV4=1),1+('Control Room'!$C$15-1)*EXP(-0.5*(($A582-'Control Room'!$A$15-('Control Room'!$B$15-1)/2)/MAX(0.5,'Control Room'!$B$15/4))^2),1)*IF(AND($A582&gt;='Control Room'!$A$16,$A582&lt;'Control Room'!$A$16+'Control Room'!$B$16,'Process'!BV5=1),1+('Control Room'!$C$16-1)*EXP(-0.5*(($A582-'Control Room'!$A$16-('Control Room'!$B$16-1)/2)/MAX(0.5,'Control Room'!$B$16/4))^2),1)</x:f>
        <x:v>1</x:v>
      </x:c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Z582" t="str">
        <x:f>IF('Data'!A582="","",TEXT('Data'!A582,"mm-dd"))</x:f>
      </x:c>
    </x:row>
    <x:row r="583" ht="21" customHeight="1">
      <x:c r="A583" s="15" t="n">
        <x:f>'Control Room'!$B$1+581</x:f>
        <x:v>73572</x:v>
      </x:c>
      <x:c r="B583" s="9" t="n">
        <x:f>MOD(C582*16807,2147483647)</x:f>
        <x:v>132896099</x:v>
      </x:c>
      <x:c r="C583" s="9" t="n">
        <x:f>MOD(B583*16807,2147483647)</x:f>
        <x:v>201743013</x:v>
      </x:c>
      <x:c r="D583" s="17" t="n">
        <x:f>IF('Control Room'!$B$5="Normal",'Control Room'!$B$7+'Control Room'!$D$7*SQRT(-2*LN(MAX(0.000000000001,B583/2147483647)))*COS(2*PI()*C583/2147483647),'Control Room'!$B$8+('Control Room'!$D$8-'Control Room'!$B$8)*B583/2147483647)</x:f>
        <x:v>1176.3868629918654</x:v>
      </x:c>
      <x:c r="E583" s="17" t="n">
        <x:f>IF('Control Room'!$B$5="Normal",'Control Room'!$B$7,('Control Room'!$B$8+'Control Room'!$D$8)/2)+'Control Room'!$B$9*(E582-IF('Control Room'!$B$5="Normal",'Control Room'!$B$7,('Control Room'!$B$8+'Control Room'!$D$8)/2))+SQRT(1-'Control Room'!$B$9^2)*(D583-IF('Control Room'!$B$5="Normal",'Control Room'!$B$7,('Control Room'!$B$8+'Control Room'!$D$8)/2))</x:f>
        <x:v>1057.7423511039633</x:v>
      </x:c>
      <x:c r="F583" s="17" t="n">
        <x:f>IF(AND($A583&gt;='Control Room'!$A$13,$A583&lt;'Control Room'!$A$13+'Control Room'!$B$13,'Process'!BK2=1),1+('Control Room'!$C$13-1)*EXP(-0.5*(($A583-'Control Room'!$A$13-('Control Room'!$B$13-1)/2)/MAX(0.5,'Control Room'!$B$13/4))^2),1)*IF(AND($A583&gt;='Control Room'!$A$14,$A583&lt;'Control Room'!$A$14+'Control Room'!$B$14,'Process'!BK3=1),1+('Control Room'!$C$14-1)*EXP(-0.5*(($A583-'Control Room'!$A$14-('Control Room'!$B$14-1)/2)/MAX(0.5,'Control Room'!$B$14/4))^2),1)*IF(AND($A583&gt;='Control Room'!$A$15,$A583&lt;'Control Room'!$A$15+'Control Room'!$B$15,'Process'!BK4=1),1+('Control Room'!$C$15-1)*EXP(-0.5*(($A583-'Control Room'!$A$15-('Control Room'!$B$15-1)/2)/MAX(0.5,'Control Room'!$B$15/4))^2),1)*IF(AND($A583&gt;='Control Room'!$A$16,$A583&lt;'Control Room'!$A$16+'Control Room'!$B$16,'Process'!BK5=1),1+('Control Room'!$C$16-1)*EXP(-0.5*(($A583-'Control Room'!$A$16-('Control Room'!$B$16-1)/2)/MAX(0.5,'Control Room'!$B$16/4))^2),1)</x:f>
        <x:v>1</x:v>
      </x:c>
      <x:c r="G583" s="9" t="n">
        <x:f>MOD(H582*16807,2147483647)</x:f>
        <x:v>870500785</x:v>
      </x:c>
      <x:c r="H583" s="9" t="n">
        <x:f>MOD(G583*16807,2147483647)</x:f>
        <x:v>1848090131</x:v>
      </x:c>
      <x:c r="I583" s="17" t="n">
        <x:f>IF('Control Room'!$B$5="Normal",'Control Room'!$B$7+'Control Room'!$D$7*SQRT(-2*LN(MAX(0.000000000001,G583/2147483647)))*COS(2*PI()*H583/2147483647),'Control Room'!$B$8+('Control Room'!$D$8-'Control Room'!$B$8)*G583/2147483647)</x:f>
        <x:v>1077.4363785040964</x:v>
      </x:c>
      <x:c r="J583" s="17" t="n">
        <x:f>IF('Control Room'!$B$5="Normal",'Control Room'!$B$7,('Control Room'!$B$8+'Control Room'!$D$8)/2)+'Control Room'!$B$9*(J582-IF('Control Room'!$B$5="Normal",'Control Room'!$B$7,('Control Room'!$B$8+'Control Room'!$D$8)/2))+SQRT(1-'Control Room'!$B$9^2)*(I583-IF('Control Room'!$B$5="Normal",'Control Room'!$B$7,('Control Room'!$B$8+'Control Room'!$D$8)/2))</x:f>
        <x:v>1050.3788526583974</x:v>
      </x:c>
      <x:c r="K583" s="17" t="n">
        <x:f>IF(AND($A583&gt;='Control Room'!$A$13,$A583&lt;'Control Room'!$A$13+'Control Room'!$B$13,'Process'!BL2=1),1+('Control Room'!$C$13-1)*EXP(-0.5*(($A583-'Control Room'!$A$13-('Control Room'!$B$13-1)/2)/MAX(0.5,'Control Room'!$B$13/4))^2),1)*IF(AND($A583&gt;='Control Room'!$A$14,$A583&lt;'Control Room'!$A$14+'Control Room'!$B$14,'Process'!BL3=1),1+('Control Room'!$C$14-1)*EXP(-0.5*(($A583-'Control Room'!$A$14-('Control Room'!$B$14-1)/2)/MAX(0.5,'Control Room'!$B$14/4))^2),1)*IF(AND($A583&gt;='Control Room'!$A$15,$A583&lt;'Control Room'!$A$15+'Control Room'!$B$15,'Process'!BL4=1),1+('Control Room'!$C$15-1)*EXP(-0.5*(($A583-'Control Room'!$A$15-('Control Room'!$B$15-1)/2)/MAX(0.5,'Control Room'!$B$15/4))^2),1)*IF(AND($A583&gt;='Control Room'!$A$16,$A583&lt;'Control Room'!$A$16+'Control Room'!$B$16,'Process'!BL5=1),1+('Control Room'!$C$16-1)*EXP(-0.5*(($A583-'Control Room'!$A$16-('Control Room'!$B$16-1)/2)/MAX(0.5,'Control Room'!$B$16/4))^2),1)</x:f>
        <x:v>1</x:v>
      </x:c>
      <x:c r="L583" s="9" t="n">
        <x:f>MOD(M582*16807,2147483647)</x:f>
        <x:v>1608105471</x:v>
      </x:c>
      <x:c r="M583" s="9" t="n">
        <x:f>MOD(L583*16807,2147483647)</x:f>
        <x:v>1346953602</x:v>
      </x:c>
      <x:c r="N583" s="17" t="n">
        <x:f>IF('Control Room'!$B$5="Normal",'Control Room'!$B$7+'Control Room'!$D$7*SQRT(-2*LN(MAX(0.000000000001,L583/2147483647)))*COS(2*PI()*M583/2147483647),'Control Room'!$B$8+('Control Room'!$D$8-'Control Room'!$B$8)*L583/2147483647)</x:f>
        <x:v>952.2781887931408</x:v>
      </x:c>
      <x:c r="O583" s="17" t="n">
        <x:f>IF('Control Room'!$B$5="Normal",'Control Room'!$B$7,('Control Room'!$B$8+'Control Room'!$D$8)/2)+'Control Room'!$B$9*(O582-IF('Control Room'!$B$5="Normal",'Control Room'!$B$7,('Control Room'!$B$8+'Control Room'!$D$8)/2))+SQRT(1-'Control Room'!$B$9^2)*(N583-IF('Control Room'!$B$5="Normal",'Control Room'!$B$7,('Control Room'!$B$8+'Control Room'!$D$8)/2))</x:f>
        <x:v>864.7077254565621</x:v>
      </x:c>
      <x:c r="P583" s="17" t="n">
        <x:f>IF(AND($A583&gt;='Control Room'!$A$13,$A583&lt;'Control Room'!$A$13+'Control Room'!$B$13,'Process'!BM2=1),1+('Control Room'!$C$13-1)*EXP(-0.5*(($A583-'Control Room'!$A$13-('Control Room'!$B$13-1)/2)/MAX(0.5,'Control Room'!$B$13/4))^2),1)*IF(AND($A583&gt;='Control Room'!$A$14,$A583&lt;'Control Room'!$A$14+'Control Room'!$B$14,'Process'!BM3=1),1+('Control Room'!$C$14-1)*EXP(-0.5*(($A583-'Control Room'!$A$14-('Control Room'!$B$14-1)/2)/MAX(0.5,'Control Room'!$B$14/4))^2),1)*IF(AND($A583&gt;='Control Room'!$A$15,$A583&lt;'Control Room'!$A$15+'Control Room'!$B$15,'Process'!BM4=1),1+('Control Room'!$C$15-1)*EXP(-0.5*(($A583-'Control Room'!$A$15-('Control Room'!$B$15-1)/2)/MAX(0.5,'Control Room'!$B$15/4))^2),1)*IF(AND($A583&gt;='Control Room'!$A$16,$A583&lt;'Control Room'!$A$16+'Control Room'!$B$16,'Process'!BM5=1),1+('Control Room'!$C$16-1)*EXP(-0.5*(($A583-'Control Room'!$A$16-('Control Room'!$B$16-1)/2)/MAX(0.5,'Control Room'!$B$16/4))^2),1)</x:f>
        <x:v>1</x:v>
      </x:c>
      <x:c r="Q583" s="9" t="n">
        <x:f>MOD(R582*16807,2147483647)</x:f>
        <x:v>198226510</x:v>
      </x:c>
      <x:c r="R583" s="9" t="n">
        <x:f>MOD(Q583*16807,2147483647)</x:f>
        <x:v>845817073</x:v>
      </x:c>
      <x:c r="S583" s="17" t="n">
        <x:f>IF('Control Room'!$B$5="Normal",'Control Room'!$B$7+'Control Room'!$D$7*SQRT(-2*LN(MAX(0.000000000001,Q583/2147483647)))*COS(2*PI()*R583/2147483647),'Control Room'!$B$8+('Control Room'!$D$8-'Control Room'!$B$8)*Q583/2147483647)</x:f>
        <x:v>845.6248253492636</x:v>
      </x:c>
      <x:c r="T583" s="17" t="n">
        <x:f>IF('Control Room'!$B$5="Normal",'Control Room'!$B$7,('Control Room'!$B$8+'Control Room'!$D$8)/2)+'Control Room'!$B$9*(T582-IF('Control Room'!$B$5="Normal",'Control Room'!$B$7,('Control Room'!$B$8+'Control Room'!$D$8)/2))+SQRT(1-'Control Room'!$B$9^2)*(S583-IF('Control Room'!$B$5="Normal",'Control Room'!$B$7,('Control Room'!$B$8+'Control Room'!$D$8)/2))</x:f>
        <x:v>862.7957937837564</x:v>
      </x:c>
      <x:c r="U583" s="17" t="n">
        <x:f>IF(AND($A583&gt;='Control Room'!$A$13,$A583&lt;'Control Room'!$A$13+'Control Room'!$B$13,'Process'!BN2=1),1+('Control Room'!$C$13-1)*EXP(-0.5*(($A583-'Control Room'!$A$13-('Control Room'!$B$13-1)/2)/MAX(0.5,'Control Room'!$B$13/4))^2),1)*IF(AND($A583&gt;='Control Room'!$A$14,$A583&lt;'Control Room'!$A$14+'Control Room'!$B$14,'Process'!BN3=1),1+('Control Room'!$C$14-1)*EXP(-0.5*(($A583-'Control Room'!$A$14-('Control Room'!$B$14-1)/2)/MAX(0.5,'Control Room'!$B$14/4))^2),1)*IF(AND($A583&gt;='Control Room'!$A$15,$A583&lt;'Control Room'!$A$15+'Control Room'!$B$15,'Process'!BN4=1),1+('Control Room'!$C$15-1)*EXP(-0.5*(($A583-'Control Room'!$A$15-('Control Room'!$B$15-1)/2)/MAX(0.5,'Control Room'!$B$15/4))^2),1)*IF(AND($A583&gt;='Control Room'!$A$16,$A583&lt;'Control Room'!$A$16+'Control Room'!$B$16,'Process'!BN5=1),1+('Control Room'!$C$16-1)*EXP(-0.5*(($A583-'Control Room'!$A$16-('Control Room'!$B$16-1)/2)/MAX(0.5,'Control Room'!$B$16/4))^2),1)</x:f>
        <x:v>1</x:v>
      </x:c>
      <x:c r="V583" s="9" t="n">
        <x:f>MOD(W582*16807,2147483647)</x:f>
        <x:v>935831196</x:v>
      </x:c>
      <x:c r="W583" s="9" t="n">
        <x:f>MOD(V583*16807,2147483647)</x:f>
        <x:v>344680544</x:v>
      </x:c>
      <x:c r="X583" s="17" t="n">
        <x:f>IF('Control Room'!$B$5="Normal",'Control Room'!$B$7+'Control Room'!$D$7*SQRT(-2*LN(MAX(0.000000000001,V583/2147483647)))*COS(2*PI()*W583/2147483647),'Control Room'!$B$8+('Control Room'!$D$8-'Control Room'!$B$8)*V583/2147483647)</x:f>
        <x:v>1061.8451902137592</x:v>
      </x:c>
      <x:c r="Y583" s="17" t="n">
        <x:f>IF('Control Room'!$B$5="Normal",'Control Room'!$B$7,('Control Room'!$B$8+'Control Room'!$D$8)/2)+'Control Room'!$B$9*(Y582-IF('Control Room'!$B$5="Normal",'Control Room'!$B$7,('Control Room'!$B$8+'Control Room'!$D$8)/2))+SQRT(1-'Control Room'!$B$9^2)*(X583-IF('Control Room'!$B$5="Normal",'Control Room'!$B$7,('Control Room'!$B$8+'Control Room'!$D$8)/2))</x:f>
        <x:v>1043.3519797010006</x:v>
      </x:c>
      <x:c r="Z583" s="17" t="n">
        <x:f>IF(AND($A583&gt;='Control Room'!$A$13,$A583&lt;'Control Room'!$A$13+'Control Room'!$B$13,'Process'!BO2=1),1+('Control Room'!$C$13-1)*EXP(-0.5*(($A583-'Control Room'!$A$13-('Control Room'!$B$13-1)/2)/MAX(0.5,'Control Room'!$B$13/4))^2),1)*IF(AND($A583&gt;='Control Room'!$A$14,$A583&lt;'Control Room'!$A$14+'Control Room'!$B$14,'Process'!BO3=1),1+('Control Room'!$C$14-1)*EXP(-0.5*(($A583-'Control Room'!$A$14-('Control Room'!$B$14-1)/2)/MAX(0.5,'Control Room'!$B$14/4))^2),1)*IF(AND($A583&gt;='Control Room'!$A$15,$A583&lt;'Control Room'!$A$15+'Control Room'!$B$15,'Process'!BO4=1),1+('Control Room'!$C$15-1)*EXP(-0.5*(($A583-'Control Room'!$A$15-('Control Room'!$B$15-1)/2)/MAX(0.5,'Control Room'!$B$15/4))^2),1)*IF(AND($A583&gt;='Control Room'!$A$16,$A583&lt;'Control Room'!$A$16+'Control Room'!$B$16,'Process'!BO5=1),1+('Control Room'!$C$16-1)*EXP(-0.5*(($A583-'Control Room'!$A$16-('Control Room'!$B$16-1)/2)/MAX(0.5,'Control Room'!$B$16/4))^2),1)</x:f>
        <x:v>1</x:v>
      </x:c>
      <x:c r="AA583" s="9" t="n">
        <x:f>MOD(AB582*16807,2147483647)</x:f>
        <x:v>1673435882</x:v>
      </x:c>
      <x:c r="AB583" s="9" t="n">
        <x:f>MOD(AA583*16807,2147483647)</x:f>
        <x:v>1991027662</x:v>
      </x:c>
      <x:c r="AC583" s="17" t="n">
        <x:f>IF('Control Room'!$B$5="Normal",'Control Room'!$B$7+'Control Room'!$D$7*SQRT(-2*LN(MAX(0.000000000001,AA583/2147483647)))*COS(2*PI()*AB583/2147483647),'Control Room'!$B$8+('Control Room'!$D$8-'Control Room'!$B$8)*AA583/2147483647)</x:f>
        <x:v>1057.0209382617406</x:v>
      </x:c>
      <x:c r="AD583" s="17" t="n">
        <x:f>IF('Control Room'!$B$5="Normal",'Control Room'!$B$7,('Control Room'!$B$8+'Control Room'!$D$8)/2)+'Control Room'!$B$9*(AD582-IF('Control Room'!$B$5="Normal",'Control Room'!$B$7,('Control Room'!$B$8+'Control Room'!$D$8)/2))+SQRT(1-'Control Room'!$B$9^2)*(AC583-IF('Control Room'!$B$5="Normal",'Control Room'!$B$7,('Control Room'!$B$8+'Control Room'!$D$8)/2))</x:f>
        <x:v>889.9639692396762</x:v>
      </x:c>
      <x:c r="AE583" s="17" t="n">
        <x:f>IF(AND($A583&gt;='Control Room'!$A$13,$A583&lt;'Control Room'!$A$13+'Control Room'!$B$13,'Process'!BP2=1),1+('Control Room'!$C$13-1)*EXP(-0.5*(($A583-'Control Room'!$A$13-('Control Room'!$B$13-1)/2)/MAX(0.5,'Control Room'!$B$13/4))^2),1)*IF(AND($A583&gt;='Control Room'!$A$14,$A583&lt;'Control Room'!$A$14+'Control Room'!$B$14,'Process'!BP3=1),1+('Control Room'!$C$14-1)*EXP(-0.5*(($A583-'Control Room'!$A$14-('Control Room'!$B$14-1)/2)/MAX(0.5,'Control Room'!$B$14/4))^2),1)*IF(AND($A583&gt;='Control Room'!$A$15,$A583&lt;'Control Room'!$A$15+'Control Room'!$B$15,'Process'!BP4=1),1+('Control Room'!$C$15-1)*EXP(-0.5*(($A583-'Control Room'!$A$15-('Control Room'!$B$15-1)/2)/MAX(0.5,'Control Room'!$B$15/4))^2),1)*IF(AND($A583&gt;='Control Room'!$A$16,$A583&lt;'Control Room'!$A$16+'Control Room'!$B$16,'Process'!BP5=1),1+('Control Room'!$C$16-1)*EXP(-0.5*(($A583-'Control Room'!$A$16-('Control Room'!$B$16-1)/2)/MAX(0.5,'Control Room'!$B$16/4))^2),1)</x:f>
        <x:v>1</x:v>
      </x:c>
      <x:c r="AF583" s="9" t="n">
        <x:f>MOD(AG582*16807,2147483647)</x:f>
        <x:v>263556921</x:v>
      </x:c>
      <x:c r="AG583" s="9" t="n">
        <x:f>MOD(AF583*16807,2147483647)</x:f>
        <x:v>1489891133</x:v>
      </x:c>
      <x:c r="AH583" s="17" t="n">
        <x:f>IF('Control Room'!$B$5="Normal",'Control Room'!$B$7+'Control Room'!$D$7*SQRT(-2*LN(MAX(0.000000000001,AF583/2147483647)))*COS(2*PI()*AG583/2147483647),'Control Room'!$B$8+('Control Room'!$D$8-'Control Room'!$B$8)*AF583/2147483647)</x:f>
        <x:v>936.2317386056119</x:v>
      </x:c>
      <x:c r="AI583" s="17" t="n">
        <x:f>IF('Control Room'!$B$5="Normal",'Control Room'!$B$7,('Control Room'!$B$8+'Control Room'!$D$8)/2)+'Control Room'!$B$9*(AI582-IF('Control Room'!$B$5="Normal",'Control Room'!$B$7,('Control Room'!$B$8+'Control Room'!$D$8)/2))+SQRT(1-'Control Room'!$B$9^2)*(AH583-IF('Control Room'!$B$5="Normal",'Control Room'!$B$7,('Control Room'!$B$8+'Control Room'!$D$8)/2))</x:f>
        <x:v>873.6114323435326</x:v>
      </x:c>
      <x:c r="AJ583" s="17" t="n">
        <x:f>IF(AND($A583&gt;='Control Room'!$A$13,$A583&lt;'Control Room'!$A$13+'Control Room'!$B$13,'Process'!BQ2=1),1+('Control Room'!$C$13-1)*EXP(-0.5*(($A583-'Control Room'!$A$13-('Control Room'!$B$13-1)/2)/MAX(0.5,'Control Room'!$B$13/4))^2),1)*IF(AND($A583&gt;='Control Room'!$A$14,$A583&lt;'Control Room'!$A$14+'Control Room'!$B$14,'Process'!BQ3=1),1+('Control Room'!$C$14-1)*EXP(-0.5*(($A583-'Control Room'!$A$14-('Control Room'!$B$14-1)/2)/MAX(0.5,'Control Room'!$B$14/4))^2),1)*IF(AND($A583&gt;='Control Room'!$A$15,$A583&lt;'Control Room'!$A$15+'Control Room'!$B$15,'Process'!BQ4=1),1+('Control Room'!$C$15-1)*EXP(-0.5*(($A583-'Control Room'!$A$15-('Control Room'!$B$15-1)/2)/MAX(0.5,'Control Room'!$B$15/4))^2),1)*IF(AND($A583&gt;='Control Room'!$A$16,$A583&lt;'Control Room'!$A$16+'Control Room'!$B$16,'Process'!BQ5=1),1+('Control Room'!$C$16-1)*EXP(-0.5*(($A583-'Control Room'!$A$16-('Control Room'!$B$16-1)/2)/MAX(0.5,'Control Room'!$B$16/4))^2),1)</x:f>
        <x:v>1</x:v>
      </x:c>
      <x:c r="AK583" s="9" t="n">
        <x:f>MOD(AL582*16807,2147483647)</x:f>
        <x:v>1001161607</x:v>
      </x:c>
      <x:c r="AL583" s="9" t="n">
        <x:f>MOD(AK583*16807,2147483647)</x:f>
        <x:v>988754604</x:v>
      </x:c>
      <x:c r="AM583" s="17" t="n">
        <x:f>IF('Control Room'!$B$5="Normal",'Control Room'!$B$7+'Control Room'!$D$7*SQRT(-2*LN(MAX(0.000000000001,AK583/2147483647)))*COS(2*PI()*AL583/2147483647),'Control Room'!$B$8+('Control Room'!$D$8-'Control Room'!$B$8)*AK583/2147483647)</x:f>
        <x:v>892.2316384365082</x:v>
      </x:c>
      <x:c r="AN583" s="17" t="n">
        <x:f>IF('Control Room'!$B$5="Normal",'Control Room'!$B$7,('Control Room'!$B$8+'Control Room'!$D$8)/2)+'Control Room'!$B$9*(AN582-IF('Control Room'!$B$5="Normal",'Control Room'!$B$7,('Control Room'!$B$8+'Control Room'!$D$8)/2))+SQRT(1-'Control Room'!$B$9^2)*(AM583-IF('Control Room'!$B$5="Normal",'Control Room'!$B$7,('Control Room'!$B$8+'Control Room'!$D$8)/2))</x:f>
        <x:v>915.2311212064876</x:v>
      </x:c>
      <x:c r="AO583" s="17" t="n">
        <x:f>IF(AND($A583&gt;='Control Room'!$A$13,$A583&lt;'Control Room'!$A$13+'Control Room'!$B$13,'Process'!BR2=1),1+('Control Room'!$C$13-1)*EXP(-0.5*(($A583-'Control Room'!$A$13-('Control Room'!$B$13-1)/2)/MAX(0.5,'Control Room'!$B$13/4))^2),1)*IF(AND($A583&gt;='Control Room'!$A$14,$A583&lt;'Control Room'!$A$14+'Control Room'!$B$14,'Process'!BR3=1),1+('Control Room'!$C$14-1)*EXP(-0.5*(($A583-'Control Room'!$A$14-('Control Room'!$B$14-1)/2)/MAX(0.5,'Control Room'!$B$14/4))^2),1)*IF(AND($A583&gt;='Control Room'!$A$15,$A583&lt;'Control Room'!$A$15+'Control Room'!$B$15,'Process'!BR4=1),1+('Control Room'!$C$15-1)*EXP(-0.5*(($A583-'Control Room'!$A$15-('Control Room'!$B$15-1)/2)/MAX(0.5,'Control Room'!$B$15/4))^2),1)*IF(AND($A583&gt;='Control Room'!$A$16,$A583&lt;'Control Room'!$A$16+'Control Room'!$B$16,'Process'!BR5=1),1+('Control Room'!$C$16-1)*EXP(-0.5*(($A583-'Control Room'!$A$16-('Control Room'!$B$16-1)/2)/MAX(0.5,'Control Room'!$B$16/4))^2),1)</x:f>
        <x:v>1</x:v>
      </x:c>
      <x:c r="AP583" s="9" t="n">
        <x:f>MOD(AQ582*16807,2147483647)</x:f>
        <x:v>1738766293</x:v>
      </x:c>
      <x:c r="AQ583" s="9" t="n">
        <x:f>MOD(AP583*16807,2147483647)</x:f>
        <x:v>487618075</x:v>
      </x:c>
      <x:c r="AR583" s="17" t="n">
        <x:f>IF('Control Room'!$B$5="Normal",'Control Room'!$B$7+'Control Room'!$D$7*SQRT(-2*LN(MAX(0.000000000001,AP583/2147483647)))*COS(2*PI()*AQ583/2147483647),'Control Room'!$B$8+('Control Room'!$D$8-'Control Room'!$B$8)*AP583/2147483647)</x:f>
        <x:v>1008.3984710793361</x:v>
      </x:c>
      <x:c r="AS583" s="17" t="n">
        <x:f>IF('Control Room'!$B$5="Normal",'Control Room'!$B$7,('Control Room'!$B$8+'Control Room'!$D$8)/2)+'Control Room'!$B$9*(AS582-IF('Control Room'!$B$5="Normal",'Control Room'!$B$7,('Control Room'!$B$8+'Control Room'!$D$8)/2))+SQRT(1-'Control Room'!$B$9^2)*(AR583-IF('Control Room'!$B$5="Normal",'Control Room'!$B$7,('Control Room'!$B$8+'Control Room'!$D$8)/2))</x:f>
        <x:v>969.8518774718564</x:v>
      </x:c>
      <x:c r="AT583" s="17" t="n">
        <x:f>IF(AND($A583&gt;='Control Room'!$A$13,$A583&lt;'Control Room'!$A$13+'Control Room'!$B$13,'Process'!BS2=1),1+('Control Room'!$C$13-1)*EXP(-0.5*(($A583-'Control Room'!$A$13-('Control Room'!$B$13-1)/2)/MAX(0.5,'Control Room'!$B$13/4))^2),1)*IF(AND($A583&gt;='Control Room'!$A$14,$A583&lt;'Control Room'!$A$14+'Control Room'!$B$14,'Process'!BS3=1),1+('Control Room'!$C$14-1)*EXP(-0.5*(($A583-'Control Room'!$A$14-('Control Room'!$B$14-1)/2)/MAX(0.5,'Control Room'!$B$14/4))^2),1)*IF(AND($A583&gt;='Control Room'!$A$15,$A583&lt;'Control Room'!$A$15+'Control Room'!$B$15,'Process'!BS4=1),1+('Control Room'!$C$15-1)*EXP(-0.5*(($A583-'Control Room'!$A$15-('Control Room'!$B$15-1)/2)/MAX(0.5,'Control Room'!$B$15/4))^2),1)*IF(AND($A583&gt;='Control Room'!$A$16,$A583&lt;'Control Room'!$A$16+'Control Room'!$B$16,'Process'!BS5=1),1+('Control Room'!$C$16-1)*EXP(-0.5*(($A583-'Control Room'!$A$16-('Control Room'!$B$16-1)/2)/MAX(0.5,'Control Room'!$B$16/4))^2),1)</x:f>
        <x:v>1</x:v>
      </x:c>
      <x:c r="AU583" s="9" t="n">
        <x:f>MOD(AV582*16807,2147483647)</x:f>
        <x:v>328887332</x:v>
      </x:c>
      <x:c r="AV583" s="9" t="n">
        <x:f>MOD(AU583*16807,2147483647)</x:f>
        <x:v>2133965193</x:v>
      </x:c>
      <x:c r="AW583" s="17" t="n">
        <x:f>IF('Control Room'!$B$5="Normal",'Control Room'!$B$7+'Control Room'!$D$7*SQRT(-2*LN(MAX(0.000000000001,AU583/2147483647)))*COS(2*PI()*AV583/2147483647),'Control Room'!$B$8+('Control Room'!$D$8-'Control Room'!$B$8)*AU583/2147483647)</x:f>
        <x:v>1174.2100105713978</x:v>
      </x:c>
      <x:c r="AX583" s="17" t="n">
        <x:f>IF('Control Room'!$B$5="Normal",'Control Room'!$B$7,('Control Room'!$B$8+'Control Room'!$D$8)/2)+'Control Room'!$B$9*(AX582-IF('Control Room'!$B$5="Normal",'Control Room'!$B$7,('Control Room'!$B$8+'Control Room'!$D$8)/2))+SQRT(1-'Control Room'!$B$9^2)*(AW583-IF('Control Room'!$B$5="Normal",'Control Room'!$B$7,('Control Room'!$B$8+'Control Room'!$D$8)/2))</x:f>
        <x:v>1193.2041425672426</x:v>
      </x:c>
      <x:c r="AY583" s="17" t="n">
        <x:f>IF(AND($A583&gt;='Control Room'!$A$13,$A583&lt;'Control Room'!$A$13+'Control Room'!$B$13,'Process'!BT2=1),1+('Control Room'!$C$13-1)*EXP(-0.5*(($A583-'Control Room'!$A$13-('Control Room'!$B$13-1)/2)/MAX(0.5,'Control Room'!$B$13/4))^2),1)*IF(AND($A583&gt;='Control Room'!$A$14,$A583&lt;'Control Room'!$A$14+'Control Room'!$B$14,'Process'!BT3=1),1+('Control Room'!$C$14-1)*EXP(-0.5*(($A583-'Control Room'!$A$14-('Control Room'!$B$14-1)/2)/MAX(0.5,'Control Room'!$B$14/4))^2),1)*IF(AND($A583&gt;='Control Room'!$A$15,$A583&lt;'Control Room'!$A$15+'Control Room'!$B$15,'Process'!BT4=1),1+('Control Room'!$C$15-1)*EXP(-0.5*(($A583-'Control Room'!$A$15-('Control Room'!$B$15-1)/2)/MAX(0.5,'Control Room'!$B$15/4))^2),1)*IF(AND($A583&gt;='Control Room'!$A$16,$A583&lt;'Control Room'!$A$16+'Control Room'!$B$16,'Process'!BT5=1),1+('Control Room'!$C$16-1)*EXP(-0.5*(($A583-'Control Room'!$A$16-('Control Room'!$B$16-1)/2)/MAX(0.5,'Control Room'!$B$16/4))^2),1)</x:f>
        <x:v>1</x:v>
      </x:c>
      <x:c r="AZ583" s="9" t="n">
        <x:f>MOD(BA582*16807,2147483647)</x:f>
        <x:v>1066492018</x:v>
      </x:c>
      <x:c r="BA583" s="9" t="n">
        <x:f>MOD(AZ583*16807,2147483647)</x:f>
        <x:v>1632828664</x:v>
      </x:c>
      <x:c r="BB583" s="17" t="n">
        <x:f>IF('Control Room'!$B$5="Normal",'Control Room'!$B$7+'Control Room'!$D$7*SQRT(-2*LN(MAX(0.000000000001,AZ583/2147483647)))*COS(2*PI()*BA583/2147483647),'Control Room'!$B$8+('Control Room'!$D$8-'Control Room'!$B$8)*AZ583/2147483647)</x:f>
        <x:v>1006.9165726255699</x:v>
      </x:c>
      <x:c r="BC583" s="17" t="n">
        <x:f>IF('Control Room'!$B$5="Normal",'Control Room'!$B$7,('Control Room'!$B$8+'Control Room'!$D$8)/2)+'Control Room'!$B$9*(BC582-IF('Control Room'!$B$5="Normal",'Control Room'!$B$7,('Control Room'!$B$8+'Control Room'!$D$8)/2))+SQRT(1-'Control Room'!$B$9^2)*(BB583-IF('Control Room'!$B$5="Normal",'Control Room'!$B$7,('Control Room'!$B$8+'Control Room'!$D$8)/2))</x:f>
        <x:v>919.167758082857</x:v>
      </x:c>
      <x:c r="BD583" s="17" t="n">
        <x:f>IF(AND($A583&gt;='Control Room'!$A$13,$A583&lt;'Control Room'!$A$13+'Control Room'!$B$13,'Process'!BU2=1),1+('Control Room'!$C$13-1)*EXP(-0.5*(($A583-'Control Room'!$A$13-('Control Room'!$B$13-1)/2)/MAX(0.5,'Control Room'!$B$13/4))^2),1)*IF(AND($A583&gt;='Control Room'!$A$14,$A583&lt;'Control Room'!$A$14+'Control Room'!$B$14,'Process'!BU3=1),1+('Control Room'!$C$14-1)*EXP(-0.5*(($A583-'Control Room'!$A$14-('Control Room'!$B$14-1)/2)/MAX(0.5,'Control Room'!$B$14/4))^2),1)*IF(AND($A583&gt;='Control Room'!$A$15,$A583&lt;'Control Room'!$A$15+'Control Room'!$B$15,'Process'!BU4=1),1+('Control Room'!$C$15-1)*EXP(-0.5*(($A583-'Control Room'!$A$15-('Control Room'!$B$15-1)/2)/MAX(0.5,'Control Room'!$B$15/4))^2),1)*IF(AND($A583&gt;='Control Room'!$A$16,$A583&lt;'Control Room'!$A$16+'Control Room'!$B$16,'Process'!BU5=1),1+('Control Room'!$C$16-1)*EXP(-0.5*(($A583-'Control Room'!$A$16-('Control Room'!$B$16-1)/2)/MAX(0.5,'Control Room'!$B$16/4))^2),1)</x:f>
        <x:v>1</x:v>
      </x:c>
      <x:c r="BE583" s="9" t="n">
        <x:f>MOD(BF582*16807,2147483647)</x:f>
        <x:v>1804096704</x:v>
      </x:c>
      <x:c r="BF583" s="9" t="n">
        <x:f>MOD(BE583*16807,2147483647)</x:f>
        <x:v>1131692135</x:v>
      </x:c>
      <x:c r="BG583" s="17" t="n">
        <x:f>IF('Control Room'!$B$5="Normal",'Control Room'!$B$7+'Control Room'!$D$7*SQRT(-2*LN(MAX(0.000000000001,BE583/2147483647)))*COS(2*PI()*BF583/2147483647),'Control Room'!$B$8+('Control Room'!$D$8-'Control Room'!$B$8)*BE583/2147483647)</x:f>
        <x:v>947.633370572119</x:v>
      </x:c>
      <x:c r="BH583" s="17" t="n">
        <x:f>IF('Control Room'!$B$5="Normal",'Control Room'!$B$7,('Control Room'!$B$8+'Control Room'!$D$8)/2)+'Control Room'!$B$9*(BH582-IF('Control Room'!$B$5="Normal",'Control Room'!$B$7,('Control Room'!$B$8+'Control Room'!$D$8)/2))+SQRT(1-'Control Room'!$B$9^2)*(BG583-IF('Control Room'!$B$5="Normal",'Control Room'!$B$7,('Control Room'!$B$8+'Control Room'!$D$8)/2))</x:f>
        <x:v>1031.133384011195</x:v>
      </x:c>
      <x:c r="BI583" s="17" t="n">
        <x:f>IF(AND($A583&gt;='Control Room'!$A$13,$A583&lt;'Control Room'!$A$13+'Control Room'!$B$13,'Process'!BV2=1),1+('Control Room'!$C$13-1)*EXP(-0.5*(($A583-'Control Room'!$A$13-('Control Room'!$B$13-1)/2)/MAX(0.5,'Control Room'!$B$13/4))^2),1)*IF(AND($A583&gt;='Control Room'!$A$14,$A583&lt;'Control Room'!$A$14+'Control Room'!$B$14,'Process'!BV3=1),1+('Control Room'!$C$14-1)*EXP(-0.5*(($A583-'Control Room'!$A$14-('Control Room'!$B$14-1)/2)/MAX(0.5,'Control Room'!$B$14/4))^2),1)*IF(AND($A583&gt;='Control Room'!$A$15,$A583&lt;'Control Room'!$A$15+'Control Room'!$B$15,'Process'!BV4=1),1+('Control Room'!$C$15-1)*EXP(-0.5*(($A583-'Control Room'!$A$15-('Control Room'!$B$15-1)/2)/MAX(0.5,'Control Room'!$B$15/4))^2),1)*IF(AND($A583&gt;='Control Room'!$A$16,$A583&lt;'Control Room'!$A$16+'Control Room'!$B$16,'Process'!BV5=1),1+('Control Room'!$C$16-1)*EXP(-0.5*(($A583-'Control Room'!$A$16-('Control Room'!$B$16-1)/2)/MAX(0.5,'Control Room'!$B$16/4))^2),1)</x:f>
        <x:v>1</x:v>
      </x:c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Z583" t="str">
        <x:f>IF('Data'!A583="","",TEXT('Data'!A583,"mm-dd"))</x:f>
      </x:c>
    </x:row>
    <x:row r="584" ht="21" customHeight="1">
      <x:c r="A584" s="15" t="n">
        <x:f>'Control Room'!$B$1+582</x:f>
        <x:v>73573</x:v>
      </x:c>
      <x:c r="B584" s="9" t="n">
        <x:f>MOD(C583*16807,2147483647)</x:f>
        <x:v>1965624525</x:v>
      </x:c>
      <x:c r="C584" s="9" t="n">
        <x:f>MOD(B584*16807,2147483647)</x:f>
        <x:v>1510449874</x:v>
      </x:c>
      <x:c r="D584" s="17" t="n">
        <x:f>IF('Control Room'!$B$5="Normal",'Control Room'!$B$7+'Control Room'!$D$7*SQRT(-2*LN(MAX(0.000000000001,B584/2147483647)))*COS(2*PI()*C584/2147483647),'Control Room'!$B$8+('Control Room'!$D$8-'Control Room'!$B$8)*B584/2147483647)</x:f>
        <x:v>989.0624782633977</x:v>
      </x:c>
      <x:c r="E584" s="17" t="n">
        <x:f>IF('Control Room'!$B$5="Normal",'Control Room'!$B$7,('Control Room'!$B$8+'Control Room'!$D$8)/2)+'Control Room'!$B$9*(E583-IF('Control Room'!$B$5="Normal",'Control Room'!$B$7,('Control Room'!$B$8+'Control Room'!$D$8)/2))+SQRT(1-'Control Room'!$B$9^2)*(D584-IF('Control Room'!$B$5="Normal",'Control Room'!$B$7,('Control Room'!$B$8+'Control Room'!$D$8)/2))</x:f>
        <x:v>1038.1945568256376</x:v>
      </x:c>
      <x:c r="F584" s="17" t="n">
        <x:f>IF(AND($A584&gt;='Control Room'!$A$13,$A584&lt;'Control Room'!$A$13+'Control Room'!$B$13,'Process'!BK2=1),1+('Control Room'!$C$13-1)*EXP(-0.5*(($A584-'Control Room'!$A$13-('Control Room'!$B$13-1)/2)/MAX(0.5,'Control Room'!$B$13/4))^2),1)*IF(AND($A584&gt;='Control Room'!$A$14,$A584&lt;'Control Room'!$A$14+'Control Room'!$B$14,'Process'!BK3=1),1+('Control Room'!$C$14-1)*EXP(-0.5*(($A584-'Control Room'!$A$14-('Control Room'!$B$14-1)/2)/MAX(0.5,'Control Room'!$B$14/4))^2),1)*IF(AND($A584&gt;='Control Room'!$A$15,$A584&lt;'Control Room'!$A$15+'Control Room'!$B$15,'Process'!BK4=1),1+('Control Room'!$C$15-1)*EXP(-0.5*(($A584-'Control Room'!$A$15-('Control Room'!$B$15-1)/2)/MAX(0.5,'Control Room'!$B$15/4))^2),1)*IF(AND($A584&gt;='Control Room'!$A$16,$A584&lt;'Control Room'!$A$16+'Control Room'!$B$16,'Process'!BK5=1),1+('Control Room'!$C$16-1)*EXP(-0.5*(($A584-'Control Room'!$A$16-('Control Room'!$B$16-1)/2)/MAX(0.5,'Control Room'!$B$16/4))^2),1)</x:f>
        <x:v>1</x:v>
      </x:c>
      <x:c r="G584" s="9" t="n">
        <x:f>MOD(H583*16807,2147483647)</x:f>
        <x:v>1794845156</x:v>
      </x:c>
      <x:c r="H584" s="9" t="n">
        <x:f>MOD(G584*16807,2147483647)</x:f>
        <x:v>259747483</x:v>
      </x:c>
      <x:c r="I584" s="17" t="n">
        <x:f>IF('Control Room'!$B$5="Normal",'Control Room'!$B$7+'Control Room'!$D$7*SQRT(-2*LN(MAX(0.000000000001,G584/2147483647)))*COS(2*PI()*H584/2147483647),'Control Room'!$B$8+('Control Room'!$D$8-'Control Room'!$B$8)*G584/2147483647)</x:f>
        <x:v>1039.0742550291134</x:v>
      </x:c>
      <x:c r="J584" s="17" t="n">
        <x:f>IF('Control Room'!$B$5="Normal",'Control Room'!$B$7,('Control Room'!$B$8+'Control Room'!$D$8)/2)+'Control Room'!$B$9*(J583-IF('Control Room'!$B$5="Normal",'Control Room'!$B$7,('Control Room'!$B$8+'Control Room'!$D$8)/2))+SQRT(1-'Control Room'!$B$9^2)*(I584-IF('Control Room'!$B$5="Normal",'Control Room'!$B$7,('Control Room'!$B$8+'Control Room'!$D$8)/2))</x:f>
        <x:v>1063.747373391145</x:v>
      </x:c>
      <x:c r="K584" s="17" t="n">
        <x:f>IF(AND($A584&gt;='Control Room'!$A$13,$A584&lt;'Control Room'!$A$13+'Control Room'!$B$13,'Process'!BL2=1),1+('Control Room'!$C$13-1)*EXP(-0.5*(($A584-'Control Room'!$A$13-('Control Room'!$B$13-1)/2)/MAX(0.5,'Control Room'!$B$13/4))^2),1)*IF(AND($A584&gt;='Control Room'!$A$14,$A584&lt;'Control Room'!$A$14+'Control Room'!$B$14,'Process'!BL3=1),1+('Control Room'!$C$14-1)*EXP(-0.5*(($A584-'Control Room'!$A$14-('Control Room'!$B$14-1)/2)/MAX(0.5,'Control Room'!$B$14/4))^2),1)*IF(AND($A584&gt;='Control Room'!$A$15,$A584&lt;'Control Room'!$A$15+'Control Room'!$B$15,'Process'!BL4=1),1+('Control Room'!$C$15-1)*EXP(-0.5*(($A584-'Control Room'!$A$15-('Control Room'!$B$15-1)/2)/MAX(0.5,'Control Room'!$B$15/4))^2),1)*IF(AND($A584&gt;='Control Room'!$A$16,$A584&lt;'Control Room'!$A$16+'Control Room'!$B$16,'Process'!BL5=1),1+('Control Room'!$C$16-1)*EXP(-0.5*(($A584-'Control Room'!$A$16-('Control Room'!$B$16-1)/2)/MAX(0.5,'Control Room'!$B$16/4))^2),1)</x:f>
        <x:v>1</x:v>
      </x:c>
      <x:c r="L584" s="9" t="n">
        <x:f>MOD(M583*16807,2147483647)</x:f>
        <x:v>1624065787</x:v>
      </x:c>
      <x:c r="M584" s="9" t="n">
        <x:f>MOD(L584*16807,2147483647)</x:f>
        <x:v>1156528739</x:v>
      </x:c>
      <x:c r="N584" s="17" t="n">
        <x:f>IF('Control Room'!$B$5="Normal",'Control Room'!$B$7+'Control Room'!$D$7*SQRT(-2*LN(MAX(0.000000000001,L584/2147483647)))*COS(2*PI()*M584/2147483647),'Control Room'!$B$8+('Control Room'!$D$8-'Control Room'!$B$8)*L584/2147483647)</x:f>
        <x:v>934.6905649898023</x:v>
      </x:c>
      <x:c r="O584" s="17" t="n">
        <x:f>IF('Control Room'!$B$5="Normal",'Control Room'!$B$7,('Control Room'!$B$8+'Control Room'!$D$8)/2)+'Control Room'!$B$9*(O583-IF('Control Room'!$B$5="Normal",'Control Room'!$B$7,('Control Room'!$B$8+'Control Room'!$D$8)/2))+SQRT(1-'Control Room'!$B$9^2)*(N584-IF('Control Room'!$B$5="Normal",'Control Room'!$B$7,('Control Room'!$B$8+'Control Room'!$D$8)/2))</x:f>
        <x:v>853.6027193632362</x:v>
      </x:c>
      <x:c r="P584" s="17" t="n">
        <x:f>IF(AND($A584&gt;='Control Room'!$A$13,$A584&lt;'Control Room'!$A$13+'Control Room'!$B$13,'Process'!BM2=1),1+('Control Room'!$C$13-1)*EXP(-0.5*(($A584-'Control Room'!$A$13-('Control Room'!$B$13-1)/2)/MAX(0.5,'Control Room'!$B$13/4))^2),1)*IF(AND($A584&gt;='Control Room'!$A$14,$A584&lt;'Control Room'!$A$14+'Control Room'!$B$14,'Process'!BM3=1),1+('Control Room'!$C$14-1)*EXP(-0.5*(($A584-'Control Room'!$A$14-('Control Room'!$B$14-1)/2)/MAX(0.5,'Control Room'!$B$14/4))^2),1)*IF(AND($A584&gt;='Control Room'!$A$15,$A584&lt;'Control Room'!$A$15+'Control Room'!$B$15,'Process'!BM4=1),1+('Control Room'!$C$15-1)*EXP(-0.5*(($A584-'Control Room'!$A$15-('Control Room'!$B$15-1)/2)/MAX(0.5,'Control Room'!$B$15/4))^2),1)*IF(AND($A584&gt;='Control Room'!$A$16,$A584&lt;'Control Room'!$A$16+'Control Room'!$B$16,'Process'!BM5=1),1+('Control Room'!$C$16-1)*EXP(-0.5*(($A584-'Control Room'!$A$16-('Control Room'!$B$16-1)/2)/MAX(0.5,'Control Room'!$B$16/4))^2),1)</x:f>
        <x:v>1</x:v>
      </x:c>
      <x:c r="Q584" s="9" t="n">
        <x:f>MOD(R583*16807,2147483647)</x:f>
        <x:v>1453286418</x:v>
      </x:c>
      <x:c r="R584" s="9" t="n">
        <x:f>MOD(Q584*16807,2147483647)</x:f>
        <x:v>2053309995</x:v>
      </x:c>
      <x:c r="S584" s="17" t="n">
        <x:f>IF('Control Room'!$B$5="Normal",'Control Room'!$B$7+'Control Room'!$D$7*SQRT(-2*LN(MAX(0.000000000001,Q584/2147483647)))*COS(2*PI()*R584/2147483647),'Control Room'!$B$8+('Control Room'!$D$8-'Control Room'!$B$8)*Q584/2147483647)</x:f>
        <x:v>1076.5335916090546</x:v>
      </x:c>
      <x:c r="T584" s="17" t="n">
        <x:f>IF('Control Room'!$B$5="Normal",'Control Room'!$B$7,('Control Room'!$B$8+'Control Room'!$D$8)/2)+'Control Room'!$B$9*(T583-IF('Control Room'!$B$5="Normal",'Control Room'!$B$7,('Control Room'!$B$8+'Control Room'!$D$8)/2))+SQRT(1-'Control Room'!$B$9^2)*(S584-IF('Control Room'!$B$5="Normal",'Control Room'!$B$7,('Control Room'!$B$8+'Control Room'!$D$8)/2))</x:f>
        <x:v>940.8738729044305</x:v>
      </x:c>
      <x:c r="U584" s="17" t="n">
        <x:f>IF(AND($A584&gt;='Control Room'!$A$13,$A584&lt;'Control Room'!$A$13+'Control Room'!$B$13,'Process'!BN2=1),1+('Control Room'!$C$13-1)*EXP(-0.5*(($A584-'Control Room'!$A$13-('Control Room'!$B$13-1)/2)/MAX(0.5,'Control Room'!$B$13/4))^2),1)*IF(AND($A584&gt;='Control Room'!$A$14,$A584&lt;'Control Room'!$A$14+'Control Room'!$B$14,'Process'!BN3=1),1+('Control Room'!$C$14-1)*EXP(-0.5*(($A584-'Control Room'!$A$14-('Control Room'!$B$14-1)/2)/MAX(0.5,'Control Room'!$B$14/4))^2),1)*IF(AND($A584&gt;='Control Room'!$A$15,$A584&lt;'Control Room'!$A$15+'Control Room'!$B$15,'Process'!BN4=1),1+('Control Room'!$C$15-1)*EXP(-0.5*(($A584-'Control Room'!$A$15-('Control Room'!$B$15-1)/2)/MAX(0.5,'Control Room'!$B$15/4))^2),1)*IF(AND($A584&gt;='Control Room'!$A$16,$A584&lt;'Control Room'!$A$16+'Control Room'!$B$16,'Process'!BN5=1),1+('Control Room'!$C$16-1)*EXP(-0.5*(($A584-'Control Room'!$A$16-('Control Room'!$B$16-1)/2)/MAX(0.5,'Control Room'!$B$16/4))^2),1)</x:f>
        <x:v>1</x:v>
      </x:c>
      <x:c r="V584" s="9" t="n">
        <x:f>MOD(W583*16807,2147483647)</x:f>
        <x:v>1282507049</x:v>
      </x:c>
      <x:c r="W584" s="9" t="n">
        <x:f>MOD(V584*16807,2147483647)</x:f>
        <x:v>802607604</x:v>
      </x:c>
      <x:c r="X584" s="17" t="n">
        <x:f>IF('Control Room'!$B$5="Normal",'Control Room'!$B$7+'Control Room'!$D$7*SQRT(-2*LN(MAX(0.000000000001,V584/2147483647)))*COS(2*PI()*W584/2147483647),'Control Room'!$B$8+('Control Room'!$D$8-'Control Room'!$B$8)*V584/2147483647)</x:f>
        <x:v>935.8949957610325</x:v>
      </x:c>
      <x:c r="Y584" s="17" t="n">
        <x:f>IF('Control Room'!$B$5="Normal",'Control Room'!$B$7,('Control Room'!$B$8+'Control Room'!$D$8)/2)+'Control Room'!$B$9*(Y583-IF('Control Room'!$B$5="Normal",'Control Room'!$B$7,('Control Room'!$B$8+'Control Room'!$D$8)/2))+SQRT(1-'Control Room'!$B$9^2)*(X584-IF('Control Room'!$B$5="Normal",'Control Room'!$B$7,('Control Room'!$B$8+'Control Room'!$D$8)/2))</x:f>
        <x:v>993.6989457764287</x:v>
      </x:c>
      <x:c r="Z584" s="17" t="n">
        <x:f>IF(AND($A584&gt;='Control Room'!$A$13,$A584&lt;'Control Room'!$A$13+'Control Room'!$B$13,'Process'!BO2=1),1+('Control Room'!$C$13-1)*EXP(-0.5*(($A584-'Control Room'!$A$13-('Control Room'!$B$13-1)/2)/MAX(0.5,'Control Room'!$B$13/4))^2),1)*IF(AND($A584&gt;='Control Room'!$A$14,$A584&lt;'Control Room'!$A$14+'Control Room'!$B$14,'Process'!BO3=1),1+('Control Room'!$C$14-1)*EXP(-0.5*(($A584-'Control Room'!$A$14-('Control Room'!$B$14-1)/2)/MAX(0.5,'Control Room'!$B$14/4))^2),1)*IF(AND($A584&gt;='Control Room'!$A$15,$A584&lt;'Control Room'!$A$15+'Control Room'!$B$15,'Process'!BO4=1),1+('Control Room'!$C$15-1)*EXP(-0.5*(($A584-'Control Room'!$A$15-('Control Room'!$B$15-1)/2)/MAX(0.5,'Control Room'!$B$15/4))^2),1)*IF(AND($A584&gt;='Control Room'!$A$16,$A584&lt;'Control Room'!$A$16+'Control Room'!$B$16,'Process'!BO5=1),1+('Control Room'!$C$16-1)*EXP(-0.5*(($A584-'Control Room'!$A$16-('Control Room'!$B$16-1)/2)/MAX(0.5,'Control Room'!$B$16/4))^2),1)</x:f>
        <x:v>1</x:v>
      </x:c>
      <x:c r="AA584" s="9" t="n">
        <x:f>MOD(AB583*16807,2147483647)</x:f>
        <x:v>1111727680</x:v>
      </x:c>
      <x:c r="AB584" s="9" t="n">
        <x:f>MOD(AA584*16807,2147483647)</x:f>
        <x:v>1699388860</x:v>
      </x:c>
      <x:c r="AC584" s="17" t="n">
        <x:f>IF('Control Room'!$B$5="Normal",'Control Room'!$B$7+'Control Room'!$D$7*SQRT(-2*LN(MAX(0.000000000001,AA584/2147483647)))*COS(2*PI()*AB584/2147483647),'Control Room'!$B$8+('Control Room'!$D$8-'Control Room'!$B$8)*AA584/2147483647)</x:f>
        <x:v>1026.5245505472922</x:v>
      </x:c>
      <x:c r="AD584" s="17" t="n">
        <x:f>IF('Control Room'!$B$5="Normal",'Control Room'!$B$7,('Control Room'!$B$8+'Control Room'!$D$8)/2)+'Control Room'!$B$9*(AD583-IF('Control Room'!$B$5="Normal",'Control Room'!$B$7,('Control Room'!$B$8+'Control Room'!$D$8)/2))+SQRT(1-'Control Room'!$B$9^2)*(AC584-IF('Control Room'!$B$5="Normal",'Control Room'!$B$7,('Control Room'!$B$8+'Control Room'!$D$8)/2))</x:f>
        <x:v>930.7704163544894</x:v>
      </x:c>
      <x:c r="AE584" s="17" t="n">
        <x:f>IF(AND($A584&gt;='Control Room'!$A$13,$A584&lt;'Control Room'!$A$13+'Control Room'!$B$13,'Process'!BP2=1),1+('Control Room'!$C$13-1)*EXP(-0.5*(($A584-'Control Room'!$A$13-('Control Room'!$B$13-1)/2)/MAX(0.5,'Control Room'!$B$13/4))^2),1)*IF(AND($A584&gt;='Control Room'!$A$14,$A584&lt;'Control Room'!$A$14+'Control Room'!$B$14,'Process'!BP3=1),1+('Control Room'!$C$14-1)*EXP(-0.5*(($A584-'Control Room'!$A$14-('Control Room'!$B$14-1)/2)/MAX(0.5,'Control Room'!$B$14/4))^2),1)*IF(AND($A584&gt;='Control Room'!$A$15,$A584&lt;'Control Room'!$A$15+'Control Room'!$B$15,'Process'!BP4=1),1+('Control Room'!$C$15-1)*EXP(-0.5*(($A584-'Control Room'!$A$15-('Control Room'!$B$15-1)/2)/MAX(0.5,'Control Room'!$B$15/4))^2),1)*IF(AND($A584&gt;='Control Room'!$A$16,$A584&lt;'Control Room'!$A$16+'Control Room'!$B$16,'Process'!BP5=1),1+('Control Room'!$C$16-1)*EXP(-0.5*(($A584-'Control Room'!$A$16-('Control Room'!$B$16-1)/2)/MAX(0.5,'Control Room'!$B$16/4))^2),1)</x:f>
        <x:v>1</x:v>
      </x:c>
      <x:c r="AF584" s="9" t="n">
        <x:f>MOD(AG583*16807,2147483647)</x:f>
        <x:v>940948311</x:v>
      </x:c>
      <x:c r="AG584" s="9" t="n">
        <x:f>MOD(AF584*16807,2147483647)</x:f>
        <x:v>448686469</x:v>
      </x:c>
      <x:c r="AH584" s="17" t="n">
        <x:f>IF('Control Room'!$B$5="Normal",'Control Room'!$B$7+'Control Room'!$D$7*SQRT(-2*LN(MAX(0.000000000001,AF584/2147483647)))*COS(2*PI()*AG584/2147483647),'Control Room'!$B$8+('Control Room'!$D$8-'Control Room'!$B$8)*AF584/2147483647)</x:f>
        <x:v>1029.5012407482695</x:v>
      </x:c>
      <x:c r="AI584" s="17" t="n">
        <x:f>IF('Control Room'!$B$5="Normal",'Control Room'!$B$7,('Control Room'!$B$8+'Control Room'!$D$8)/2)+'Control Room'!$B$9*(AI583-IF('Control Room'!$B$5="Normal",'Control Room'!$B$7,('Control Room'!$B$8+'Control Room'!$D$8)/2))+SQRT(1-'Control Room'!$B$9^2)*(AH584-IF('Control Room'!$B$5="Normal",'Control Room'!$B$7,('Control Room'!$B$8+'Control Room'!$D$8)/2))</x:f>
        <x:v>919.8781893224556</x:v>
      </x:c>
      <x:c r="AJ584" s="17" t="n">
        <x:f>IF(AND($A584&gt;='Control Room'!$A$13,$A584&lt;'Control Room'!$A$13+'Control Room'!$B$13,'Process'!BQ2=1),1+('Control Room'!$C$13-1)*EXP(-0.5*(($A584-'Control Room'!$A$13-('Control Room'!$B$13-1)/2)/MAX(0.5,'Control Room'!$B$13/4))^2),1)*IF(AND($A584&gt;='Control Room'!$A$14,$A584&lt;'Control Room'!$A$14+'Control Room'!$B$14,'Process'!BQ3=1),1+('Control Room'!$C$14-1)*EXP(-0.5*(($A584-'Control Room'!$A$14-('Control Room'!$B$14-1)/2)/MAX(0.5,'Control Room'!$B$14/4))^2),1)*IF(AND($A584&gt;='Control Room'!$A$15,$A584&lt;'Control Room'!$A$15+'Control Room'!$B$15,'Process'!BQ4=1),1+('Control Room'!$C$15-1)*EXP(-0.5*(($A584-'Control Room'!$A$15-('Control Room'!$B$15-1)/2)/MAX(0.5,'Control Room'!$B$15/4))^2),1)*IF(AND($A584&gt;='Control Room'!$A$16,$A584&lt;'Control Room'!$A$16+'Control Room'!$B$16,'Process'!BQ5=1),1+('Control Room'!$C$16-1)*EXP(-0.5*(($A584-'Control Room'!$A$16-('Control Room'!$B$16-1)/2)/MAX(0.5,'Control Room'!$B$16/4))^2),1)</x:f>
        <x:v>1</x:v>
      </x:c>
      <x:c r="AK584" s="9" t="n">
        <x:f>MOD(AL583*16807,2147483647)</x:f>
        <x:v>770168942</x:v>
      </x:c>
      <x:c r="AL584" s="9" t="n">
        <x:f>MOD(AK584*16807,2147483647)</x:f>
        <x:v>1345467725</x:v>
      </x:c>
      <x:c r="AM584" s="17" t="n">
        <x:f>IF('Control Room'!$B$5="Normal",'Control Room'!$B$7+'Control Room'!$D$7*SQRT(-2*LN(MAX(0.000000000001,AK584/2147483647)))*COS(2*PI()*AL584/2147483647),'Control Room'!$B$8+('Control Room'!$D$8-'Control Room'!$B$8)*AK584/2147483647)</x:f>
        <x:v>909.7439149635593</x:v>
      </x:c>
      <x:c r="AN584" s="17" t="n">
        <x:f>IF('Control Room'!$B$5="Normal",'Control Room'!$B$7,('Control Room'!$B$8+'Control Room'!$D$8)/2)+'Control Room'!$B$9*(AN583-IF('Control Room'!$B$5="Normal",'Control Room'!$B$7,('Control Room'!$B$8+'Control Room'!$D$8)/2))+SQRT(1-'Control Room'!$B$9^2)*(AM584-IF('Control Room'!$B$5="Normal",'Control Room'!$B$7,('Control Room'!$B$8+'Control Room'!$D$8)/2))</x:f>
        <x:v>877.3998655216596</x:v>
      </x:c>
      <x:c r="AO584" s="17" t="n">
        <x:f>IF(AND($A584&gt;='Control Room'!$A$13,$A584&lt;'Control Room'!$A$13+'Control Room'!$B$13,'Process'!BR2=1),1+('Control Room'!$C$13-1)*EXP(-0.5*(($A584-'Control Room'!$A$13-('Control Room'!$B$13-1)/2)/MAX(0.5,'Control Room'!$B$13/4))^2),1)*IF(AND($A584&gt;='Control Room'!$A$14,$A584&lt;'Control Room'!$A$14+'Control Room'!$B$14,'Process'!BR3=1),1+('Control Room'!$C$14-1)*EXP(-0.5*(($A584-'Control Room'!$A$14-('Control Room'!$B$14-1)/2)/MAX(0.5,'Control Room'!$B$14/4))^2),1)*IF(AND($A584&gt;='Control Room'!$A$15,$A584&lt;'Control Room'!$A$15+'Control Room'!$B$15,'Process'!BR4=1),1+('Control Room'!$C$15-1)*EXP(-0.5*(($A584-'Control Room'!$A$15-('Control Room'!$B$15-1)/2)/MAX(0.5,'Control Room'!$B$15/4))^2),1)*IF(AND($A584&gt;='Control Room'!$A$16,$A584&lt;'Control Room'!$A$16+'Control Room'!$B$16,'Process'!BR5=1),1+('Control Room'!$C$16-1)*EXP(-0.5*(($A584-'Control Room'!$A$16-('Control Room'!$B$16-1)/2)/MAX(0.5,'Control Room'!$B$16/4))^2),1)</x:f>
        <x:v>1</x:v>
      </x:c>
      <x:c r="AP584" s="9" t="n">
        <x:f>MOD(AQ583*16807,2147483647)</x:f>
        <x:v>599389573</x:v>
      </x:c>
      <x:c r="AQ584" s="9" t="n">
        <x:f>MOD(AP584*16807,2147483647)</x:f>
        <x:v>94765334</x:v>
      </x:c>
      <x:c r="AR584" s="17" t="n">
        <x:f>IF('Control Room'!$B$5="Normal",'Control Room'!$B$7+'Control Room'!$D$7*SQRT(-2*LN(MAX(0.000000000001,AP584/2147483647)))*COS(2*PI()*AQ584/2147483647),'Control Room'!$B$8+('Control Room'!$D$8-'Control Room'!$B$8)*AP584/2147483647)</x:f>
        <x:v>1138.2912184752875</x:v>
      </x:c>
      <x:c r="AS584" s="17" t="n">
        <x:f>IF('Control Room'!$B$5="Normal",'Control Room'!$B$7,('Control Room'!$B$8+'Control Room'!$D$8)/2)+'Control Room'!$B$9*(AS583-IF('Control Room'!$B$5="Normal",'Control Room'!$B$7,('Control Room'!$B$8+'Control Room'!$D$8)/2))+SQRT(1-'Control Room'!$B$9^2)*(AR584-IF('Control Room'!$B$5="Normal",'Control Room'!$B$7,('Control Room'!$B$8+'Control Room'!$D$8)/2))</x:f>
        <x:v>1063.0242759002824</x:v>
      </x:c>
      <x:c r="AT584" s="17" t="n">
        <x:f>IF(AND($A584&gt;='Control Room'!$A$13,$A584&lt;'Control Room'!$A$13+'Control Room'!$B$13,'Process'!BS2=1),1+('Control Room'!$C$13-1)*EXP(-0.5*(($A584-'Control Room'!$A$13-('Control Room'!$B$13-1)/2)/MAX(0.5,'Control Room'!$B$13/4))^2),1)*IF(AND($A584&gt;='Control Room'!$A$14,$A584&lt;'Control Room'!$A$14+'Control Room'!$B$14,'Process'!BS3=1),1+('Control Room'!$C$14-1)*EXP(-0.5*(($A584-'Control Room'!$A$14-('Control Room'!$B$14-1)/2)/MAX(0.5,'Control Room'!$B$14/4))^2),1)*IF(AND($A584&gt;='Control Room'!$A$15,$A584&lt;'Control Room'!$A$15+'Control Room'!$B$15,'Process'!BS4=1),1+('Control Room'!$C$15-1)*EXP(-0.5*(($A584-'Control Room'!$A$15-('Control Room'!$B$15-1)/2)/MAX(0.5,'Control Room'!$B$15/4))^2),1)*IF(AND($A584&gt;='Control Room'!$A$16,$A584&lt;'Control Room'!$A$16+'Control Room'!$B$16,'Process'!BS5=1),1+('Control Room'!$C$16-1)*EXP(-0.5*(($A584-'Control Room'!$A$16-('Control Room'!$B$16-1)/2)/MAX(0.5,'Control Room'!$B$16/4))^2),1)</x:f>
        <x:v>1</x:v>
      </x:c>
      <x:c r="AU584" s="9" t="n">
        <x:f>MOD(AV583*16807,2147483647)</x:f>
        <x:v>428610204</x:v>
      </x:c>
      <x:c r="AV584" s="9" t="n">
        <x:f>MOD(AU584*16807,2147483647)</x:f>
        <x:v>991546590</x:v>
      </x:c>
      <x:c r="AW584" s="17" t="n">
        <x:f>IF('Control Room'!$B$5="Normal",'Control Room'!$B$7+'Control Room'!$D$7*SQRT(-2*LN(MAX(0.000000000001,AU584/2147483647)))*COS(2*PI()*AV584/2147483647),'Control Room'!$B$8+('Control Room'!$D$8-'Control Room'!$B$8)*AU584/2147483647)</x:f>
        <x:v>843.0752375479543</x:v>
      </x:c>
      <x:c r="AX584" s="17" t="n">
        <x:f>IF('Control Room'!$B$5="Normal",'Control Room'!$B$7,('Control Room'!$B$8+'Control Room'!$D$8)/2)+'Control Room'!$B$9*(AX583-IF('Control Room'!$B$5="Normal",'Control Room'!$B$7,('Control Room'!$B$8+'Control Room'!$D$8)/2))+SQRT(1-'Control Room'!$B$9^2)*(AW584-IF('Control Room'!$B$5="Normal",'Control Room'!$B$7,('Control Room'!$B$8+'Control Room'!$D$8)/2))</x:f>
        <x:v>1052.4989296384567</x:v>
      </x:c>
      <x:c r="AY584" s="17" t="n">
        <x:f>IF(AND($A584&gt;='Control Room'!$A$13,$A584&lt;'Control Room'!$A$13+'Control Room'!$B$13,'Process'!BT2=1),1+('Control Room'!$C$13-1)*EXP(-0.5*(($A584-'Control Room'!$A$13-('Control Room'!$B$13-1)/2)/MAX(0.5,'Control Room'!$B$13/4))^2),1)*IF(AND($A584&gt;='Control Room'!$A$14,$A584&lt;'Control Room'!$A$14+'Control Room'!$B$14,'Process'!BT3=1),1+('Control Room'!$C$14-1)*EXP(-0.5*(($A584-'Control Room'!$A$14-('Control Room'!$B$14-1)/2)/MAX(0.5,'Control Room'!$B$14/4))^2),1)*IF(AND($A584&gt;='Control Room'!$A$15,$A584&lt;'Control Room'!$A$15+'Control Room'!$B$15,'Process'!BT4=1),1+('Control Room'!$C$15-1)*EXP(-0.5*(($A584-'Control Room'!$A$15-('Control Room'!$B$15-1)/2)/MAX(0.5,'Control Room'!$B$15/4))^2),1)*IF(AND($A584&gt;='Control Room'!$A$16,$A584&lt;'Control Room'!$A$16+'Control Room'!$B$16,'Process'!BT5=1),1+('Control Room'!$C$16-1)*EXP(-0.5*(($A584-'Control Room'!$A$16-('Control Room'!$B$16-1)/2)/MAX(0.5,'Control Room'!$B$16/4))^2),1)</x:f>
        <x:v>1</x:v>
      </x:c>
      <x:c r="AZ584" s="9" t="n">
        <x:f>MOD(BA583*16807,2147483647)</x:f>
        <x:v>257830835</x:v>
      </x:c>
      <x:c r="BA584" s="9" t="n">
        <x:f>MOD(AZ584*16807,2147483647)</x:f>
        <x:v>1888327846</x:v>
      </x:c>
      <x:c r="BB584" s="17" t="n">
        <x:f>IF('Control Room'!$B$5="Normal",'Control Room'!$B$7+'Control Room'!$D$7*SQRT(-2*LN(MAX(0.000000000001,AZ584/2147483647)))*COS(2*PI()*BA584/2147483647),'Control Room'!$B$8+('Control Room'!$D$8-'Control Room'!$B$8)*AZ584/2147483647)</x:f>
        <x:v>1134.5431460383331</x:v>
      </x:c>
      <x:c r="BC584" s="17" t="n">
        <x:f>IF('Control Room'!$B$5="Normal",'Control Room'!$B$7,('Control Room'!$B$8+'Control Room'!$D$8)/2)+'Control Room'!$B$9*(BC583-IF('Control Room'!$B$5="Normal",'Control Room'!$B$7,('Control Room'!$B$8+'Control Room'!$D$8)/2))+SQRT(1-'Control Room'!$B$9^2)*(BB584-IF('Control Room'!$B$5="Normal",'Control Room'!$B$7,('Control Room'!$B$8+'Control Room'!$D$8)/2))</x:f>
        <x:v>1021.1451958292542</x:v>
      </x:c>
      <x:c r="BD584" s="17" t="n">
        <x:f>IF(AND($A584&gt;='Control Room'!$A$13,$A584&lt;'Control Room'!$A$13+'Control Room'!$B$13,'Process'!BU2=1),1+('Control Room'!$C$13-1)*EXP(-0.5*(($A584-'Control Room'!$A$13-('Control Room'!$B$13-1)/2)/MAX(0.5,'Control Room'!$B$13/4))^2),1)*IF(AND($A584&gt;='Control Room'!$A$14,$A584&lt;'Control Room'!$A$14+'Control Room'!$B$14,'Process'!BU3=1),1+('Control Room'!$C$14-1)*EXP(-0.5*(($A584-'Control Room'!$A$14-('Control Room'!$B$14-1)/2)/MAX(0.5,'Control Room'!$B$14/4))^2),1)*IF(AND($A584&gt;='Control Room'!$A$15,$A584&lt;'Control Room'!$A$15+'Control Room'!$B$15,'Process'!BU4=1),1+('Control Room'!$C$15-1)*EXP(-0.5*(($A584-'Control Room'!$A$15-('Control Room'!$B$15-1)/2)/MAX(0.5,'Control Room'!$B$15/4))^2),1)*IF(AND($A584&gt;='Control Room'!$A$16,$A584&lt;'Control Room'!$A$16+'Control Room'!$B$16,'Process'!BU5=1),1+('Control Room'!$C$16-1)*EXP(-0.5*(($A584-'Control Room'!$A$16-('Control Room'!$B$16-1)/2)/MAX(0.5,'Control Room'!$B$16/4))^2),1)</x:f>
        <x:v>1</x:v>
      </x:c>
      <x:c r="BE584" s="9" t="n">
        <x:f>MOD(BF583*16807,2147483647)</x:f>
        <x:v>87051466</x:v>
      </x:c>
      <x:c r="BF584" s="9" t="n">
        <x:f>MOD(BE584*16807,2147483647)</x:f>
        <x:v>637625455</x:v>
      </x:c>
      <x:c r="BG584" s="17" t="n">
        <x:f>IF('Control Room'!$B$5="Normal",'Control Room'!$B$7+'Control Room'!$D$7*SQRT(-2*LN(MAX(0.000000000001,BE584/2147483647)))*COS(2*PI()*BF584/2147483647),'Control Room'!$B$8+('Control Room'!$D$8-'Control Room'!$B$8)*BE584/2147483647)</x:f>
        <x:v>933.7912930132984</x:v>
      </x:c>
      <x:c r="BH584" s="17" t="n">
        <x:f>IF('Control Room'!$B$5="Normal",'Control Room'!$B$7,('Control Room'!$B$8+'Control Room'!$D$8)/2)+'Control Room'!$B$9*(BH583-IF('Control Room'!$B$5="Normal",'Control Room'!$B$7,('Control Room'!$B$8+'Control Room'!$D$8)/2))+SQRT(1-'Control Room'!$B$9^2)*(BG584-IF('Control Room'!$B$5="Normal",'Control Room'!$B$7,('Control Room'!$B$8+'Control Room'!$D$8)/2))</x:f>
        <x:v>982.8519870555416</x:v>
      </x:c>
      <x:c r="BI584" s="17" t="n">
        <x:f>IF(AND($A584&gt;='Control Room'!$A$13,$A584&lt;'Control Room'!$A$13+'Control Room'!$B$13,'Process'!BV2=1),1+('Control Room'!$C$13-1)*EXP(-0.5*(($A584-'Control Room'!$A$13-('Control Room'!$B$13-1)/2)/MAX(0.5,'Control Room'!$B$13/4))^2),1)*IF(AND($A584&gt;='Control Room'!$A$14,$A584&lt;'Control Room'!$A$14+'Control Room'!$B$14,'Process'!BV3=1),1+('Control Room'!$C$14-1)*EXP(-0.5*(($A584-'Control Room'!$A$14-('Control Room'!$B$14-1)/2)/MAX(0.5,'Control Room'!$B$14/4))^2),1)*IF(AND($A584&gt;='Control Room'!$A$15,$A584&lt;'Control Room'!$A$15+'Control Room'!$B$15,'Process'!BV4=1),1+('Control Room'!$C$15-1)*EXP(-0.5*(($A584-'Control Room'!$A$15-('Control Room'!$B$15-1)/2)/MAX(0.5,'Control Room'!$B$15/4))^2),1)*IF(AND($A584&gt;='Control Room'!$A$16,$A584&lt;'Control Room'!$A$16+'Control Room'!$B$16,'Process'!BV5=1),1+('Control Room'!$C$16-1)*EXP(-0.5*(($A584-'Control Room'!$A$16-('Control Room'!$B$16-1)/2)/MAX(0.5,'Control Room'!$B$16/4))^2),1)</x:f>
        <x:v>1</x:v>
      </x:c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Z584" t="str">
        <x:f>IF('Data'!A584="","",TEXT('Data'!A584,"mm-dd"))</x:f>
      </x:c>
    </x:row>
    <x:row r="585" ht="21" customHeight="1">
      <x:c r="A585" s="15" t="n">
        <x:f>'Control Room'!$B$1+583</x:f>
        <x:v>73574</x:v>
      </x:c>
      <x:c r="B585" s="9" t="n">
        <x:f>MOD(C584*16807,2147483647)</x:f>
        <x:v>726841131</x:v>
      </x:c>
      <x:c r="C585" s="9" t="n">
        <x:f>MOD(B585*16807,2147483647)</x:f>
        <x:v>1131904581</x:v>
      </x:c>
      <x:c r="D585" s="17" t="n">
        <x:f>IF('Control Room'!$B$5="Normal",'Control Room'!$B$7+'Control Room'!$D$7*SQRT(-2*LN(MAX(0.000000000001,B585/2147483647)))*COS(2*PI()*C585/2147483647),'Control Room'!$B$8+('Control Room'!$D$8-'Control Room'!$B$8)*B585/2147483647)</x:f>
        <x:v>869.4365333179846</x:v>
      </x:c>
      <x:c r="E585" s="17" t="n">
        <x:f>IF('Control Room'!$B$5="Normal",'Control Room'!$B$7,('Control Room'!$B$8+'Control Room'!$D$8)/2)+'Control Room'!$B$9*(E584-IF('Control Room'!$B$5="Normal",'Control Room'!$B$7,('Control Room'!$B$8+'Control Room'!$D$8)/2))+SQRT(1-'Control Room'!$B$9^2)*(D585-IF('Control Room'!$B$5="Normal",'Control Room'!$B$7,('Control Room'!$B$8+'Control Room'!$D$8)/2))</x:f>
        <x:v>948.0878116123921</x:v>
      </x:c>
      <x:c r="F585" s="17" t="n">
        <x:f>IF(AND($A585&gt;='Control Room'!$A$13,$A585&lt;'Control Room'!$A$13+'Control Room'!$B$13,'Process'!BK2=1),1+('Control Room'!$C$13-1)*EXP(-0.5*(($A585-'Control Room'!$A$13-('Control Room'!$B$13-1)/2)/MAX(0.5,'Control Room'!$B$13/4))^2),1)*IF(AND($A585&gt;='Control Room'!$A$14,$A585&lt;'Control Room'!$A$14+'Control Room'!$B$14,'Process'!BK3=1),1+('Control Room'!$C$14-1)*EXP(-0.5*(($A585-'Control Room'!$A$14-('Control Room'!$B$14-1)/2)/MAX(0.5,'Control Room'!$B$14/4))^2),1)*IF(AND($A585&gt;='Control Room'!$A$15,$A585&lt;'Control Room'!$A$15+'Control Room'!$B$15,'Process'!BK4=1),1+('Control Room'!$C$15-1)*EXP(-0.5*(($A585-'Control Room'!$A$15-('Control Room'!$B$15-1)/2)/MAX(0.5,'Control Room'!$B$15/4))^2),1)*IF(AND($A585&gt;='Control Room'!$A$16,$A585&lt;'Control Room'!$A$16+'Control Room'!$B$16,'Process'!BK5=1),1+('Control Room'!$C$16-1)*EXP(-0.5*(($A585-'Control Room'!$A$16-('Control Room'!$B$16-1)/2)/MAX(0.5,'Control Room'!$B$16/4))^2),1)</x:f>
        <x:v>1</x:v>
      </x:c>
      <x:c r="G585" s="9" t="n">
        <x:f>MOD(H584*16807,2147483647)</x:f>
        <x:v>1889176077</x:v>
      </x:c>
      <x:c r="H585" s="9" t="n">
        <x:f>MOD(G585*16807,2147483647)</x:f>
        <x:v>836605244</x:v>
      </x:c>
      <x:c r="I585" s="17" t="n">
        <x:f>IF('Control Room'!$B$5="Normal",'Control Room'!$B$7+'Control Room'!$D$7*SQRT(-2*LN(MAX(0.000000000001,G585/2147483647)))*COS(2*PI()*H585/2147483647),'Control Room'!$B$8+('Control Room'!$D$8-'Control Room'!$B$8)*G585/2147483647)</x:f>
        <x:v>964.9696664747959</x:v>
      </x:c>
      <x:c r="J585" s="17" t="n">
        <x:f>IF('Control Room'!$B$5="Normal",'Control Room'!$B$7,('Control Room'!$B$8+'Control Room'!$D$8)/2)+'Control Room'!$B$9*(J584-IF('Control Room'!$B$5="Normal",'Control Room'!$B$7,('Control Room'!$B$8+'Control Room'!$D$8)/2))+SQRT(1-'Control Room'!$B$9^2)*(I585-IF('Control Room'!$B$5="Normal",'Control Room'!$B$7,('Control Room'!$B$8+'Control Room'!$D$8)/2))</x:f>
        <x:v>1027.8016861604096</x:v>
      </x:c>
      <x:c r="K585" s="17" t="n">
        <x:f>IF(AND($A585&gt;='Control Room'!$A$13,$A585&lt;'Control Room'!$A$13+'Control Room'!$B$13,'Process'!BL2=1),1+('Control Room'!$C$13-1)*EXP(-0.5*(($A585-'Control Room'!$A$13-('Control Room'!$B$13-1)/2)/MAX(0.5,'Control Room'!$B$13/4))^2),1)*IF(AND($A585&gt;='Control Room'!$A$14,$A585&lt;'Control Room'!$A$14+'Control Room'!$B$14,'Process'!BL3=1),1+('Control Room'!$C$14-1)*EXP(-0.5*(($A585-'Control Room'!$A$14-('Control Room'!$B$14-1)/2)/MAX(0.5,'Control Room'!$B$14/4))^2),1)*IF(AND($A585&gt;='Control Room'!$A$15,$A585&lt;'Control Room'!$A$15+'Control Room'!$B$15,'Process'!BL4=1),1+('Control Room'!$C$15-1)*EXP(-0.5*(($A585-'Control Room'!$A$15-('Control Room'!$B$15-1)/2)/MAX(0.5,'Control Room'!$B$15/4))^2),1)*IF(AND($A585&gt;='Control Room'!$A$16,$A585&lt;'Control Room'!$A$16+'Control Room'!$B$16,'Process'!BL5=1),1+('Control Room'!$C$16-1)*EXP(-0.5*(($A585-'Control Room'!$A$16-('Control Room'!$B$16-1)/2)/MAX(0.5,'Control Room'!$B$16/4))^2),1)</x:f>
        <x:v>1</x:v>
      </x:c>
      <x:c r="L585" s="9" t="n">
        <x:f>MOD(M584*16807,2147483647)</x:f>
        <x:v>904027376</x:v>
      </x:c>
      <x:c r="M585" s="9" t="n">
        <x:f>MOD(L585*16807,2147483647)</x:f>
        <x:v>541305907</x:v>
      </x:c>
      <x:c r="N585" s="17" t="n">
        <x:f>IF('Control Room'!$B$5="Normal",'Control Room'!$B$7+'Control Room'!$D$7*SQRT(-2*LN(MAX(0.000000000001,L585/2147483647)))*COS(2*PI()*M585/2147483647),'Control Room'!$B$8+('Control Room'!$D$8-'Control Room'!$B$8)*L585/2147483647)</x:f>
        <x:v>998.4638103722613</x:v>
      </x:c>
      <x:c r="O585" s="17" t="n">
        <x:f>IF('Control Room'!$B$5="Normal",'Control Room'!$B$7,('Control Room'!$B$8+'Control Room'!$D$8)/2)+'Control Room'!$B$9*(O584-IF('Control Room'!$B$5="Normal",'Control Room'!$B$7,('Control Room'!$B$8+'Control Room'!$D$8)/2))+SQRT(1-'Control Room'!$B$9^2)*(N585-IF('Control Room'!$B$5="Normal",'Control Room'!$B$7,('Control Room'!$B$8+'Control Room'!$D$8)/2))</x:f>
        <x:v>884.8488051048405</x:v>
      </x:c>
      <x:c r="P585" s="17" t="n">
        <x:f>IF(AND($A585&gt;='Control Room'!$A$13,$A585&lt;'Control Room'!$A$13+'Control Room'!$B$13,'Process'!BM2=1),1+('Control Room'!$C$13-1)*EXP(-0.5*(($A585-'Control Room'!$A$13-('Control Room'!$B$13-1)/2)/MAX(0.5,'Control Room'!$B$13/4))^2),1)*IF(AND($A585&gt;='Control Room'!$A$14,$A585&lt;'Control Room'!$A$14+'Control Room'!$B$14,'Process'!BM3=1),1+('Control Room'!$C$14-1)*EXP(-0.5*(($A585-'Control Room'!$A$14-('Control Room'!$B$14-1)/2)/MAX(0.5,'Control Room'!$B$14/4))^2),1)*IF(AND($A585&gt;='Control Room'!$A$15,$A585&lt;'Control Room'!$A$15+'Control Room'!$B$15,'Process'!BM4=1),1+('Control Room'!$C$15-1)*EXP(-0.5*(($A585-'Control Room'!$A$15-('Control Room'!$B$15-1)/2)/MAX(0.5,'Control Room'!$B$15/4))^2),1)*IF(AND($A585&gt;='Control Room'!$A$16,$A585&lt;'Control Room'!$A$16+'Control Room'!$B$16,'Process'!BM5=1),1+('Control Room'!$C$16-1)*EXP(-0.5*(($A585-'Control Room'!$A$16-('Control Room'!$B$16-1)/2)/MAX(0.5,'Control Room'!$B$16/4))^2),1)</x:f>
        <x:v>1</x:v>
      </x:c>
      <x:c r="Q585" s="9" t="n">
        <x:f>MOD(R584*16807,2147483647)</x:f>
        <x:v>2066362322</x:v>
      </x:c>
      <x:c r="R585" s="9" t="n">
        <x:f>MOD(Q585*16807,2147483647)</x:f>
        <x:v>246006570</x:v>
      </x:c>
      <x:c r="S585" s="17" t="n">
        <x:f>IF('Control Room'!$B$5="Normal",'Control Room'!$B$7+'Control Room'!$D$7*SQRT(-2*LN(MAX(0.000000000001,Q585/2147483647)))*COS(2*PI()*R585/2147483647),'Control Room'!$B$8+('Control Room'!$D$8-'Control Room'!$B$8)*Q585/2147483647)</x:f>
        <x:v>1018.7810068372142</x:v>
      </x:c>
      <x:c r="T585" s="17" t="n">
        <x:f>IF('Control Room'!$B$5="Normal",'Control Room'!$B$7,('Control Room'!$B$8+'Control Room'!$D$8)/2)+'Control Room'!$B$9*(T584-IF('Control Room'!$B$5="Normal",'Control Room'!$B$7,('Control Room'!$B$8+'Control Room'!$D$8)/2))+SQRT(1-'Control Room'!$B$9^2)*(S585-IF('Control Room'!$B$5="Normal",'Control Room'!$B$7,('Control Room'!$B$8+'Control Room'!$D$8)/2))</x:f>
        <x:v>965.6343901943465</x:v>
      </x:c>
      <x:c r="U585" s="17" t="n">
        <x:f>IF(AND($A585&gt;='Control Room'!$A$13,$A585&lt;'Control Room'!$A$13+'Control Room'!$B$13,'Process'!BN2=1),1+('Control Room'!$C$13-1)*EXP(-0.5*(($A585-'Control Room'!$A$13-('Control Room'!$B$13-1)/2)/MAX(0.5,'Control Room'!$B$13/4))^2),1)*IF(AND($A585&gt;='Control Room'!$A$14,$A585&lt;'Control Room'!$A$14+'Control Room'!$B$14,'Process'!BN3=1),1+('Control Room'!$C$14-1)*EXP(-0.5*(($A585-'Control Room'!$A$14-('Control Room'!$B$14-1)/2)/MAX(0.5,'Control Room'!$B$14/4))^2),1)*IF(AND($A585&gt;='Control Room'!$A$15,$A585&lt;'Control Room'!$A$15+'Control Room'!$B$15,'Process'!BN4=1),1+('Control Room'!$C$15-1)*EXP(-0.5*(($A585-'Control Room'!$A$15-('Control Room'!$B$15-1)/2)/MAX(0.5,'Control Room'!$B$15/4))^2),1)*IF(AND($A585&gt;='Control Room'!$A$16,$A585&lt;'Control Room'!$A$16+'Control Room'!$B$16,'Process'!BN5=1),1+('Control Room'!$C$16-1)*EXP(-0.5*(($A585-'Control Room'!$A$16-('Control Room'!$B$16-1)/2)/MAX(0.5,'Control Room'!$B$16/4))^2),1)</x:f>
        <x:v>1</x:v>
      </x:c>
      <x:c r="V585" s="9" t="n">
        <x:f>MOD(W584*16807,2147483647)</x:f>
        <x:v>1081213621</x:v>
      </x:c>
      <x:c r="W585" s="9" t="n">
        <x:f>MOD(V585*16807,2147483647)</x:f>
        <x:v>2098190880</x:v>
      </x:c>
      <x:c r="X585" s="17" t="n">
        <x:f>IF('Control Room'!$B$5="Normal",'Control Room'!$B$7+'Control Room'!$D$7*SQRT(-2*LN(MAX(0.000000000001,V585/2147483647)))*COS(2*PI()*W585/2147483647),'Control Room'!$B$8+('Control Room'!$D$8-'Control Room'!$B$8)*V585/2147483647)</x:f>
        <x:v>1104.340861903152</x:v>
      </x:c>
      <x:c r="Y585" s="17" t="n">
        <x:f>IF('Control Room'!$B$5="Normal",'Control Room'!$B$7,('Control Room'!$B$8+'Control Room'!$D$8)/2)+'Control Room'!$B$9*(Y584-IF('Control Room'!$B$5="Normal",'Control Room'!$B$7,('Control Room'!$B$8+'Control Room'!$D$8)/2))+SQRT(1-'Control Room'!$B$9^2)*(X585-IF('Control Room'!$B$5="Normal",'Control Room'!$B$7,('Control Room'!$B$8+'Control Room'!$D$8)/2))</x:f>
        <x:v>1060.3795515458653</x:v>
      </x:c>
      <x:c r="Z585" s="17" t="n">
        <x:f>IF(AND($A585&gt;='Control Room'!$A$13,$A585&lt;'Control Room'!$A$13+'Control Room'!$B$13,'Process'!BO2=1),1+('Control Room'!$C$13-1)*EXP(-0.5*(($A585-'Control Room'!$A$13-('Control Room'!$B$13-1)/2)/MAX(0.5,'Control Room'!$B$13/4))^2),1)*IF(AND($A585&gt;='Control Room'!$A$14,$A585&lt;'Control Room'!$A$14+'Control Room'!$B$14,'Process'!BO3=1),1+('Control Room'!$C$14-1)*EXP(-0.5*(($A585-'Control Room'!$A$14-('Control Room'!$B$14-1)/2)/MAX(0.5,'Control Room'!$B$14/4))^2),1)*IF(AND($A585&gt;='Control Room'!$A$15,$A585&lt;'Control Room'!$A$15+'Control Room'!$B$15,'Process'!BO4=1),1+('Control Room'!$C$15-1)*EXP(-0.5*(($A585-'Control Room'!$A$15-('Control Room'!$B$15-1)/2)/MAX(0.5,'Control Room'!$B$15/4))^2),1)*IF(AND($A585&gt;='Control Room'!$A$16,$A585&lt;'Control Room'!$A$16+'Control Room'!$B$16,'Process'!BO5=1),1+('Control Room'!$C$16-1)*EXP(-0.5*(($A585-'Control Room'!$A$16-('Control Room'!$B$16-1)/2)/MAX(0.5,'Control Room'!$B$16/4))^2),1)</x:f>
        <x:v>1</x:v>
      </x:c>
      <x:c r="AA585" s="9" t="n">
        <x:f>MOD(AB584*16807,2147483647)</x:f>
        <x:v>96064920</x:v>
      </x:c>
      <x:c r="AB585" s="9" t="n">
        <x:f>MOD(AA585*16807,2147483647)</x:f>
        <x:v>1802891543</x:v>
      </x:c>
      <x:c r="AC585" s="17" t="n">
        <x:f>IF('Control Room'!$B$5="Normal",'Control Room'!$B$7+'Control Room'!$D$7*SQRT(-2*LN(MAX(0.000000000001,AA585/2147483647)))*COS(2*PI()*AB585/2147483647),'Control Room'!$B$8+('Control Room'!$D$8-'Control Room'!$B$8)*AA585/2147483647)</x:f>
        <x:v>1119.6620361696403</x:v>
      </x:c>
      <x:c r="AD585" s="17" t="n">
        <x:f>IF('Control Room'!$B$5="Normal",'Control Room'!$B$7,('Control Room'!$B$8+'Control Room'!$D$8)/2)+'Control Room'!$B$9*(AD584-IF('Control Room'!$B$5="Normal",'Control Room'!$B$7,('Control Room'!$B$8+'Control Room'!$D$8)/2))+SQRT(1-'Control Room'!$B$9^2)*(AC585-IF('Control Room'!$B$5="Normal",'Control Room'!$B$7,('Control Room'!$B$8+'Control Room'!$D$8)/2))</x:f>
        <x:v>1020.8829755814056</x:v>
      </x:c>
      <x:c r="AE585" s="17" t="n">
        <x:f>IF(AND($A585&gt;='Control Room'!$A$13,$A585&lt;'Control Room'!$A$13+'Control Room'!$B$13,'Process'!BP2=1),1+('Control Room'!$C$13-1)*EXP(-0.5*(($A585-'Control Room'!$A$13-('Control Room'!$B$13-1)/2)/MAX(0.5,'Control Room'!$B$13/4))^2),1)*IF(AND($A585&gt;='Control Room'!$A$14,$A585&lt;'Control Room'!$A$14+'Control Room'!$B$14,'Process'!BP3=1),1+('Control Room'!$C$14-1)*EXP(-0.5*(($A585-'Control Room'!$A$14-('Control Room'!$B$14-1)/2)/MAX(0.5,'Control Room'!$B$14/4))^2),1)*IF(AND($A585&gt;='Control Room'!$A$15,$A585&lt;'Control Room'!$A$15+'Control Room'!$B$15,'Process'!BP4=1),1+('Control Room'!$C$15-1)*EXP(-0.5*(($A585-'Control Room'!$A$15-('Control Room'!$B$15-1)/2)/MAX(0.5,'Control Room'!$B$15/4))^2),1)*IF(AND($A585&gt;='Control Room'!$A$16,$A585&lt;'Control Room'!$A$16+'Control Room'!$B$16,'Process'!BP5=1),1+('Control Room'!$C$16-1)*EXP(-0.5*(($A585-'Control Room'!$A$16-('Control Room'!$B$16-1)/2)/MAX(0.5,'Control Room'!$B$16/4))^2),1)</x:f>
        <x:v>1</x:v>
      </x:c>
      <x:c r="AF585" s="9" t="n">
        <x:f>MOD(AG584*16807,2147483647)</x:f>
        <x:v>1258399866</x:v>
      </x:c>
      <x:c r="AG585" s="9" t="n">
        <x:f>MOD(AF585*16807,2147483647)</x:f>
        <x:v>1507592206</x:v>
      </x:c>
      <x:c r="AH585" s="17" t="n">
        <x:f>IF('Control Room'!$B$5="Normal",'Control Room'!$B$7+'Control Room'!$D$7*SQRT(-2*LN(MAX(0.000000000001,AF585/2147483647)))*COS(2*PI()*AG585/2147483647),'Control Room'!$B$8+('Control Room'!$D$8-'Control Room'!$B$8)*AF585/2147483647)</x:f>
        <x:v>972.3757265268812</x:v>
      </x:c>
      <x:c r="AI585" s="17" t="n">
        <x:f>IF('Control Room'!$B$5="Normal",'Control Room'!$B$7,('Control Room'!$B$8+'Control Room'!$D$8)/2)+'Control Room'!$B$9*(AI584-IF('Control Room'!$B$5="Normal",'Control Room'!$B$7,('Control Room'!$B$8+'Control Room'!$D$8)/2))+SQRT(1-'Control Room'!$B$9^2)*(AH585-IF('Control Room'!$B$5="Normal",'Control Room'!$B$7,('Control Room'!$B$8+'Control Room'!$D$8)/2))</x:f>
        <x:v>920.2182832460398</x:v>
      </x:c>
      <x:c r="AJ585" s="17" t="n">
        <x:f>IF(AND($A585&gt;='Control Room'!$A$13,$A585&lt;'Control Room'!$A$13+'Control Room'!$B$13,'Process'!BQ2=1),1+('Control Room'!$C$13-1)*EXP(-0.5*(($A585-'Control Room'!$A$13-('Control Room'!$B$13-1)/2)/MAX(0.5,'Control Room'!$B$13/4))^2),1)*IF(AND($A585&gt;='Control Room'!$A$14,$A585&lt;'Control Room'!$A$14+'Control Room'!$B$14,'Process'!BQ3=1),1+('Control Room'!$C$14-1)*EXP(-0.5*(($A585-'Control Room'!$A$14-('Control Room'!$B$14-1)/2)/MAX(0.5,'Control Room'!$B$14/4))^2),1)*IF(AND($A585&gt;='Control Room'!$A$15,$A585&lt;'Control Room'!$A$15+'Control Room'!$B$15,'Process'!BQ4=1),1+('Control Room'!$C$15-1)*EXP(-0.5*(($A585-'Control Room'!$A$15-('Control Room'!$B$15-1)/2)/MAX(0.5,'Control Room'!$B$15/4))^2),1)*IF(AND($A585&gt;='Control Room'!$A$16,$A585&lt;'Control Room'!$A$16+'Control Room'!$B$16,'Process'!BQ5=1),1+('Control Room'!$C$16-1)*EXP(-0.5*(($A585-'Control Room'!$A$16-('Control Room'!$B$16-1)/2)/MAX(0.5,'Control Room'!$B$16/4))^2),1)</x:f>
        <x:v>1</x:v>
      </x:c>
      <x:c r="AK585" s="9" t="n">
        <x:f>MOD(AL584*16807,2147483647)</x:f>
        <x:v>273251165</x:v>
      </x:c>
      <x:c r="AL585" s="9" t="n">
        <x:f>MOD(AK585*16807,2147483647)</x:f>
        <x:v>1212292869</x:v>
      </x:c>
      <x:c r="AM585" s="17" t="n">
        <x:f>IF('Control Room'!$B$5="Normal",'Control Room'!$B$7+'Control Room'!$D$7*SQRT(-2*LN(MAX(0.000000000001,AK585/2147483647)))*COS(2*PI()*AL585/2147483647),'Control Room'!$B$8+('Control Room'!$D$8-'Control Room'!$B$8)*AK585/2147483647)</x:f>
        <x:v>832.0578739008754</x:v>
      </x:c>
      <x:c r="AN585" s="17" t="n">
        <x:f>IF('Control Room'!$B$5="Normal",'Control Room'!$B$7,('Control Room'!$B$8+'Control Room'!$D$8)/2)+'Control Room'!$B$9*(AN584-IF('Control Room'!$B$5="Normal",'Control Room'!$B$7,('Control Room'!$B$8+'Control Room'!$D$8)/2))+SQRT(1-'Control Room'!$B$9^2)*(AM585-IF('Control Room'!$B$5="Normal",'Control Room'!$B$7,('Control Room'!$B$8+'Control Room'!$D$8)/2))</x:f>
        <x:v>799.2771530755223</x:v>
      </x:c>
      <x:c r="AO585" s="17" t="n">
        <x:f>IF(AND($A585&gt;='Control Room'!$A$13,$A585&lt;'Control Room'!$A$13+'Control Room'!$B$13,'Process'!BR2=1),1+('Control Room'!$C$13-1)*EXP(-0.5*(($A585-'Control Room'!$A$13-('Control Room'!$B$13-1)/2)/MAX(0.5,'Control Room'!$B$13/4))^2),1)*IF(AND($A585&gt;='Control Room'!$A$14,$A585&lt;'Control Room'!$A$14+'Control Room'!$B$14,'Process'!BR3=1),1+('Control Room'!$C$14-1)*EXP(-0.5*(($A585-'Control Room'!$A$14-('Control Room'!$B$14-1)/2)/MAX(0.5,'Control Room'!$B$14/4))^2),1)*IF(AND($A585&gt;='Control Room'!$A$15,$A585&lt;'Control Room'!$A$15+'Control Room'!$B$15,'Process'!BR4=1),1+('Control Room'!$C$15-1)*EXP(-0.5*(($A585-'Control Room'!$A$15-('Control Room'!$B$15-1)/2)/MAX(0.5,'Control Room'!$B$15/4))^2),1)*IF(AND($A585&gt;='Control Room'!$A$16,$A585&lt;'Control Room'!$A$16+'Control Room'!$B$16,'Process'!BR5=1),1+('Control Room'!$C$16-1)*EXP(-0.5*(($A585-'Control Room'!$A$16-('Control Room'!$B$16-1)/2)/MAX(0.5,'Control Room'!$B$16/4))^2),1)</x:f>
        <x:v>1</x:v>
      </x:c>
      <x:c r="AP585" s="9" t="n">
        <x:f>MOD(AQ584*16807,2147483647)</x:f>
        <x:v>1435586111</x:v>
      </x:c>
      <x:c r="AQ585" s="9" t="n">
        <x:f>MOD(AP585*16807,2147483647)</x:f>
        <x:v>916993532</x:v>
      </x:c>
      <x:c r="AR585" s="17" t="n">
        <x:f>IF('Control Room'!$B$5="Normal",'Control Room'!$B$7+'Control Room'!$D$7*SQRT(-2*LN(MAX(0.000000000001,AP585/2147483647)))*COS(2*PI()*AQ585/2147483647),'Control Room'!$B$8+('Control Room'!$D$8-'Control Room'!$B$8)*AP585/2147483647)</x:f>
        <x:v>927.5745942354254</x:v>
      </x:c>
      <x:c r="AS585" s="17" t="n">
        <x:f>IF('Control Room'!$B$5="Normal",'Control Room'!$B$7,('Control Room'!$B$8+'Control Room'!$D$8)/2)+'Control Room'!$B$9*(AS584-IF('Control Room'!$B$5="Normal",'Control Room'!$B$7,('Control Room'!$B$8+'Control Room'!$D$8)/2))+SQRT(1-'Control Room'!$B$9^2)*(AR585-IF('Control Room'!$B$5="Normal",'Control Room'!$B$7,('Control Room'!$B$8+'Control Room'!$D$8)/2))</x:f>
        <x:v>1003.8365999898338</x:v>
      </x:c>
      <x:c r="AT585" s="17" t="n">
        <x:f>IF(AND($A585&gt;='Control Room'!$A$13,$A585&lt;'Control Room'!$A$13+'Control Room'!$B$13,'Process'!BS2=1),1+('Control Room'!$C$13-1)*EXP(-0.5*(($A585-'Control Room'!$A$13-('Control Room'!$B$13-1)/2)/MAX(0.5,'Control Room'!$B$13/4))^2),1)*IF(AND($A585&gt;='Control Room'!$A$14,$A585&lt;'Control Room'!$A$14+'Control Room'!$B$14,'Process'!BS3=1),1+('Control Room'!$C$14-1)*EXP(-0.5*(($A585-'Control Room'!$A$14-('Control Room'!$B$14-1)/2)/MAX(0.5,'Control Room'!$B$14/4))^2),1)*IF(AND($A585&gt;='Control Room'!$A$15,$A585&lt;'Control Room'!$A$15+'Control Room'!$B$15,'Process'!BS4=1),1+('Control Room'!$C$15-1)*EXP(-0.5*(($A585-'Control Room'!$A$15-('Control Room'!$B$15-1)/2)/MAX(0.5,'Control Room'!$B$15/4))^2),1)*IF(AND($A585&gt;='Control Room'!$A$16,$A585&lt;'Control Room'!$A$16+'Control Room'!$B$16,'Process'!BS5=1),1+('Control Room'!$C$16-1)*EXP(-0.5*(($A585-'Control Room'!$A$16-('Control Room'!$B$16-1)/2)/MAX(0.5,'Control Room'!$B$16/4))^2),1)</x:f>
        <x:v>1</x:v>
      </x:c>
      <x:c r="AU585" s="9" t="n">
        <x:f>MOD(AV584*16807,2147483647)</x:f>
        <x:v>450437410</x:v>
      </x:c>
      <x:c r="AV585" s="9" t="n">
        <x:f>MOD(AU585*16807,2147483647)</x:f>
        <x:v>621694195</x:v>
      </x:c>
      <x:c r="AW585" s="17" t="n">
        <x:f>IF('Control Room'!$B$5="Normal",'Control Room'!$B$7+'Control Room'!$D$7*SQRT(-2*LN(MAX(0.000000000001,AU585/2147483647)))*COS(2*PI()*AV585/2147483647),'Control Room'!$B$8+('Control Room'!$D$8-'Control Room'!$B$8)*AU585/2147483647)</x:f>
        <x:v>960.9273878535292</x:v>
      </x:c>
      <x:c r="AX585" s="17" t="n">
        <x:f>IF('Control Room'!$B$5="Normal",'Control Room'!$B$7,('Control Room'!$B$8+'Control Room'!$D$8)/2)+'Control Room'!$B$9*(AX584-IF('Control Room'!$B$5="Normal",'Control Room'!$B$7,('Control Room'!$B$8+'Control Room'!$D$8)/2))+SQRT(1-'Control Room'!$B$9^2)*(AW585-IF('Control Room'!$B$5="Normal",'Control Room'!$B$7,('Control Room'!$B$8+'Control Room'!$D$8)/2))</x:f>
        <x:v>1016.4983248827027</x:v>
      </x:c>
      <x:c r="AY585" s="17" t="n">
        <x:f>IF(AND($A585&gt;='Control Room'!$A$13,$A585&lt;'Control Room'!$A$13+'Control Room'!$B$13,'Process'!BT2=1),1+('Control Room'!$C$13-1)*EXP(-0.5*(($A585-'Control Room'!$A$13-('Control Room'!$B$13-1)/2)/MAX(0.5,'Control Room'!$B$13/4))^2),1)*IF(AND($A585&gt;='Control Room'!$A$14,$A585&lt;'Control Room'!$A$14+'Control Room'!$B$14,'Process'!BT3=1),1+('Control Room'!$C$14-1)*EXP(-0.5*(($A585-'Control Room'!$A$14-('Control Room'!$B$14-1)/2)/MAX(0.5,'Control Room'!$B$14/4))^2),1)*IF(AND($A585&gt;='Control Room'!$A$15,$A585&lt;'Control Room'!$A$15+'Control Room'!$B$15,'Process'!BT4=1),1+('Control Room'!$C$15-1)*EXP(-0.5*(($A585-'Control Room'!$A$15-('Control Room'!$B$15-1)/2)/MAX(0.5,'Control Room'!$B$15/4))^2),1)*IF(AND($A585&gt;='Control Room'!$A$16,$A585&lt;'Control Room'!$A$16+'Control Room'!$B$16,'Process'!BT5=1),1+('Control Room'!$C$16-1)*EXP(-0.5*(($A585-'Control Room'!$A$16-('Control Room'!$B$16-1)/2)/MAX(0.5,'Control Room'!$B$16/4))^2),1)</x:f>
        <x:v>1</x:v>
      </x:c>
      <x:c r="AZ585" s="9" t="n">
        <x:f>MOD(BA584*16807,2147483647)</x:f>
        <x:v>1612772356</x:v>
      </x:c>
      <x:c r="BA585" s="9" t="n">
        <x:f>MOD(AZ585*16807,2147483647)</x:f>
        <x:v>326394858</x:v>
      </x:c>
      <x:c r="BB585" s="17" t="n">
        <x:f>IF('Control Room'!$B$5="Normal",'Control Room'!$B$7+'Control Room'!$D$7*SQRT(-2*LN(MAX(0.000000000001,AZ585/2147483647)))*COS(2*PI()*BA585/2147483647),'Control Room'!$B$8+('Control Room'!$D$8-'Control Room'!$B$8)*AZ585/2147483647)</x:f>
        <x:v>1039.3411869212946</x:v>
      </x:c>
      <x:c r="BC585" s="17" t="n">
        <x:f>IF('Control Room'!$B$5="Normal",'Control Room'!$B$7,('Control Room'!$B$8+'Control Room'!$D$8)/2)+'Control Room'!$B$9*(BC584-IF('Control Room'!$B$5="Normal",'Control Room'!$B$7,('Control Room'!$B$8+'Control Room'!$D$8)/2))+SQRT(1-'Control Room'!$B$9^2)*(BB585-IF('Control Room'!$B$5="Normal",'Control Room'!$B$7,('Control Room'!$B$8+'Control Room'!$D$8)/2))</x:f>
        <x:v>1041.1121615741433</x:v>
      </x:c>
      <x:c r="BD585" s="17" t="n">
        <x:f>IF(AND($A585&gt;='Control Room'!$A$13,$A585&lt;'Control Room'!$A$13+'Control Room'!$B$13,'Process'!BU2=1),1+('Control Room'!$C$13-1)*EXP(-0.5*(($A585-'Control Room'!$A$13-('Control Room'!$B$13-1)/2)/MAX(0.5,'Control Room'!$B$13/4))^2),1)*IF(AND($A585&gt;='Control Room'!$A$14,$A585&lt;'Control Room'!$A$14+'Control Room'!$B$14,'Process'!BU3=1),1+('Control Room'!$C$14-1)*EXP(-0.5*(($A585-'Control Room'!$A$14-('Control Room'!$B$14-1)/2)/MAX(0.5,'Control Room'!$B$14/4))^2),1)*IF(AND($A585&gt;='Control Room'!$A$15,$A585&lt;'Control Room'!$A$15+'Control Room'!$B$15,'Process'!BU4=1),1+('Control Room'!$C$15-1)*EXP(-0.5*(($A585-'Control Room'!$A$15-('Control Room'!$B$15-1)/2)/MAX(0.5,'Control Room'!$B$15/4))^2),1)*IF(AND($A585&gt;='Control Room'!$A$16,$A585&lt;'Control Room'!$A$16+'Control Room'!$B$16,'Process'!BU5=1),1+('Control Room'!$C$16-1)*EXP(-0.5*(($A585-'Control Room'!$A$16-('Control Room'!$B$16-1)/2)/MAX(0.5,'Control Room'!$B$16/4))^2),1)</x:f>
        <x:v>1</x:v>
      </x:c>
      <x:c r="BE585" s="9" t="n">
        <x:f>MOD(BF584*16807,2147483647)</x:f>
        <x:v>627623655</x:v>
      </x:c>
      <x:c r="BF585" s="9" t="n">
        <x:f>MOD(BE585*16807,2147483647)</x:f>
        <x:v>31095521</x:v>
      </x:c>
      <x:c r="BG585" s="17" t="n">
        <x:f>IF('Control Room'!$B$5="Normal",'Control Room'!$B$7+'Control Room'!$D$7*SQRT(-2*LN(MAX(0.000000000001,BE585/2147483647)))*COS(2*PI()*BF585/2147483647),'Control Room'!$B$8+('Control Room'!$D$8-'Control Room'!$B$8)*BE585/2147483647)</x:f>
        <x:v>1140.582029674388</x:v>
      </x:c>
      <x:c r="BH585" s="17" t="n">
        <x:f>IF('Control Room'!$B$5="Normal",'Control Room'!$B$7,('Control Room'!$B$8+'Control Room'!$D$8)/2)+'Control Room'!$B$9*(BH584-IF('Control Room'!$B$5="Normal",'Control Room'!$B$7,('Control Room'!$B$8+'Control Room'!$D$8)/2))+SQRT(1-'Control Room'!$B$9^2)*(BG585-IF('Control Room'!$B$5="Normal",'Control Room'!$B$7,('Control Room'!$B$8+'Control Room'!$D$8)/2))</x:f>
        <x:v>1074.5979040941356</x:v>
      </x:c>
      <x:c r="BI585" s="17" t="n">
        <x:f>IF(AND($A585&gt;='Control Room'!$A$13,$A585&lt;'Control Room'!$A$13+'Control Room'!$B$13,'Process'!BV2=1),1+('Control Room'!$C$13-1)*EXP(-0.5*(($A585-'Control Room'!$A$13-('Control Room'!$B$13-1)/2)/MAX(0.5,'Control Room'!$B$13/4))^2),1)*IF(AND($A585&gt;='Control Room'!$A$14,$A585&lt;'Control Room'!$A$14+'Control Room'!$B$14,'Process'!BV3=1),1+('Control Room'!$C$14-1)*EXP(-0.5*(($A585-'Control Room'!$A$14-('Control Room'!$B$14-1)/2)/MAX(0.5,'Control Room'!$B$14/4))^2),1)*IF(AND($A585&gt;='Control Room'!$A$15,$A585&lt;'Control Room'!$A$15+'Control Room'!$B$15,'Process'!BV4=1),1+('Control Room'!$C$15-1)*EXP(-0.5*(($A585-'Control Room'!$A$15-('Control Room'!$B$15-1)/2)/MAX(0.5,'Control Room'!$B$15/4))^2),1)*IF(AND($A585&gt;='Control Room'!$A$16,$A585&lt;'Control Room'!$A$16+'Control Room'!$B$16,'Process'!BV5=1),1+('Control Room'!$C$16-1)*EXP(-0.5*(($A585-'Control Room'!$A$16-('Control Room'!$B$16-1)/2)/MAX(0.5,'Control Room'!$B$16/4))^2),1)</x:f>
        <x:v>1</x:v>
      </x:c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Z585" t="str">
        <x:f>IF('Data'!A585="","",TEXT('Data'!A585,"mm-dd"))</x:f>
      </x:c>
    </x:row>
    <x:row r="586" ht="21" customHeight="1">
      <x:c r="A586" s="15" t="n">
        <x:f>'Control Room'!$B$1+584</x:f>
        <x:v>73575</x:v>
      </x:c>
      <x:c r="B586" s="9" t="n">
        <x:f>MOD(C585*16807,2147483647)</x:f>
        <x:v>1510147741</x:v>
      </x:c>
      <x:c r="C586" s="9" t="n">
        <x:f>MOD(B586*16807,2147483647)</x:f>
        <x:v>2091342741</x:v>
      </x:c>
      <x:c r="D586" s="17" t="n">
        <x:f>IF('Control Room'!$B$5="Normal",'Control Room'!$B$7+'Control Room'!$D$7*SQRT(-2*LN(MAX(0.000000000001,B586/2147483647)))*COS(2*PI()*C586/2147483647),'Control Room'!$B$8+('Control Room'!$D$8-'Control Room'!$B$8)*B586/2147483647)</x:f>
        <x:v>1074.5072450978814</x:v>
      </x:c>
      <x:c r="E586" s="17" t="n">
        <x:f>IF('Control Room'!$B$5="Normal",'Control Room'!$B$7,('Control Room'!$B$8+'Control Room'!$D$8)/2)+'Control Room'!$B$9*(E585-IF('Control Room'!$B$5="Normal",'Control Room'!$B$7,('Control Room'!$B$8+'Control Room'!$D$8)/2))+SQRT(1-'Control Room'!$B$9^2)*(D586-IF('Control Room'!$B$5="Normal",'Control Room'!$B$7,('Control Room'!$B$8+'Control Room'!$D$8)/2))</x:f>
        <x:v>1006.133600676039</x:v>
      </x:c>
      <x:c r="F586" s="17" t="n">
        <x:f>IF(AND($A586&gt;='Control Room'!$A$13,$A586&lt;'Control Room'!$A$13+'Control Room'!$B$13,'Process'!BK2=1),1+('Control Room'!$C$13-1)*EXP(-0.5*(($A586-'Control Room'!$A$13-('Control Room'!$B$13-1)/2)/MAX(0.5,'Control Room'!$B$13/4))^2),1)*IF(AND($A586&gt;='Control Room'!$A$14,$A586&lt;'Control Room'!$A$14+'Control Room'!$B$14,'Process'!BK3=1),1+('Control Room'!$C$14-1)*EXP(-0.5*(($A586-'Control Room'!$A$14-('Control Room'!$B$14-1)/2)/MAX(0.5,'Control Room'!$B$14/4))^2),1)*IF(AND($A586&gt;='Control Room'!$A$15,$A586&lt;'Control Room'!$A$15+'Control Room'!$B$15,'Process'!BK4=1),1+('Control Room'!$C$15-1)*EXP(-0.5*(($A586-'Control Room'!$A$15-('Control Room'!$B$15-1)/2)/MAX(0.5,'Control Room'!$B$15/4))^2),1)*IF(AND($A586&gt;='Control Room'!$A$16,$A586&lt;'Control Room'!$A$16+'Control Room'!$B$16,'Process'!BK5=1),1+('Control Room'!$C$16-1)*EXP(-0.5*(($A586-'Control Room'!$A$16-('Control Room'!$B$16-1)/2)/MAX(0.5,'Control Room'!$B$16/4))^2),1)</x:f>
        <x:v>1</x:v>
      </x:c>
      <x:c r="G586" s="9" t="n">
        <x:f>MOD(H585*16807,2147483647)</x:f>
        <x:v>1248898999</x:v>
      </x:c>
      <x:c r="H586" s="9" t="n">
        <x:f>MOD(G586*16807,2147483647)</x:f>
        <x:v>740310415</x:v>
      </x:c>
      <x:c r="I586" s="17" t="n">
        <x:f>IF('Control Room'!$B$5="Normal",'Control Room'!$B$7+'Control Room'!$D$7*SQRT(-2*LN(MAX(0.000000000001,G586/2147483647)))*COS(2*PI()*H586/2147483647),'Control Room'!$B$8+('Control Room'!$D$8-'Control Room'!$B$8)*G586/2147483647)</x:f>
        <x:v>947.4586414092382</x:v>
      </x:c>
      <x:c r="J586" s="17" t="n">
        <x:f>IF('Control Room'!$B$5="Normal",'Control Room'!$B$7,('Control Room'!$B$8+'Control Room'!$D$8)/2)+'Control Room'!$B$9*(J585-IF('Control Room'!$B$5="Normal",'Control Room'!$B$7,('Control Room'!$B$8+'Control Room'!$D$8)/2))+SQRT(1-'Control Room'!$B$9^2)*(I586-IF('Control Room'!$B$5="Normal",'Control Room'!$B$7,('Control Room'!$B$8+'Control Room'!$D$8)/2))</x:f>
        <x:v>988.8060093672574</x:v>
      </x:c>
      <x:c r="K586" s="17" t="n">
        <x:f>IF(AND($A586&gt;='Control Room'!$A$13,$A586&lt;'Control Room'!$A$13+'Control Room'!$B$13,'Process'!BL2=1),1+('Control Room'!$C$13-1)*EXP(-0.5*(($A586-'Control Room'!$A$13-('Control Room'!$B$13-1)/2)/MAX(0.5,'Control Room'!$B$13/4))^2),1)*IF(AND($A586&gt;='Control Room'!$A$14,$A586&lt;'Control Room'!$A$14+'Control Room'!$B$14,'Process'!BL3=1),1+('Control Room'!$C$14-1)*EXP(-0.5*(($A586-'Control Room'!$A$14-('Control Room'!$B$14-1)/2)/MAX(0.5,'Control Room'!$B$14/4))^2),1)*IF(AND($A586&gt;='Control Room'!$A$15,$A586&lt;'Control Room'!$A$15+'Control Room'!$B$15,'Process'!BL4=1),1+('Control Room'!$C$15-1)*EXP(-0.5*(($A586-'Control Room'!$A$15-('Control Room'!$B$15-1)/2)/MAX(0.5,'Control Room'!$B$15/4))^2),1)*IF(AND($A586&gt;='Control Room'!$A$16,$A586&lt;'Control Room'!$A$16+'Control Room'!$B$16,'Process'!BL5=1),1+('Control Room'!$C$16-1)*EXP(-0.5*(($A586-'Control Room'!$A$16-('Control Room'!$B$16-1)/2)/MAX(0.5,'Control Room'!$B$16/4))^2),1)</x:f>
        <x:v>1</x:v>
      </x:c>
      <x:c r="L586" s="9" t="n">
        <x:f>MOD(M585*16807,2147483647)</x:f>
        <x:v>987650257</x:v>
      </x:c>
      <x:c r="M586" s="9" t="n">
        <x:f>MOD(L586*16807,2147483647)</x:f>
        <x:v>1536761736</x:v>
      </x:c>
      <x:c r="N586" s="17" t="n">
        <x:f>IF('Control Room'!$B$5="Normal",'Control Room'!$B$7+'Control Room'!$D$7*SQRT(-2*LN(MAX(0.000000000001,L586/2147483647)))*COS(2*PI()*M586/2147483647),'Control Room'!$B$8+('Control Room'!$D$8-'Control Room'!$B$8)*L586/2147483647)</x:f>
        <x:v>975.9501508938828</x:v>
      </x:c>
      <x:c r="O586" s="17" t="n">
        <x:f>IF('Control Room'!$B$5="Normal",'Control Room'!$B$7,('Control Room'!$B$8+'Control Room'!$D$8)/2)+'Control Room'!$B$9*(O585-IF('Control Room'!$B$5="Normal",'Control Room'!$B$7,('Control Room'!$B$8+'Control Room'!$D$8)/2))+SQRT(1-'Control Room'!$B$9^2)*(N586-IF('Control Room'!$B$5="Normal",'Control Room'!$B$7,('Control Room'!$B$8+'Control Room'!$D$8)/2))</x:f>
        <x:v>895.1321650991064</x:v>
      </x:c>
      <x:c r="P586" s="17" t="n">
        <x:f>IF(AND($A586&gt;='Control Room'!$A$13,$A586&lt;'Control Room'!$A$13+'Control Room'!$B$13,'Process'!BM2=1),1+('Control Room'!$C$13-1)*EXP(-0.5*(($A586-'Control Room'!$A$13-('Control Room'!$B$13-1)/2)/MAX(0.5,'Control Room'!$B$13/4))^2),1)*IF(AND($A586&gt;='Control Room'!$A$14,$A586&lt;'Control Room'!$A$14+'Control Room'!$B$14,'Process'!BM3=1),1+('Control Room'!$C$14-1)*EXP(-0.5*(($A586-'Control Room'!$A$14-('Control Room'!$B$14-1)/2)/MAX(0.5,'Control Room'!$B$14/4))^2),1)*IF(AND($A586&gt;='Control Room'!$A$15,$A586&lt;'Control Room'!$A$15+'Control Room'!$B$15,'Process'!BM4=1),1+('Control Room'!$C$15-1)*EXP(-0.5*(($A586-'Control Room'!$A$15-('Control Room'!$B$15-1)/2)/MAX(0.5,'Control Room'!$B$15/4))^2),1)*IF(AND($A586&gt;='Control Room'!$A$16,$A586&lt;'Control Room'!$A$16+'Control Room'!$B$16,'Process'!BM5=1),1+('Control Room'!$C$16-1)*EXP(-0.5*(($A586-'Control Room'!$A$16-('Control Room'!$B$16-1)/2)/MAX(0.5,'Control Room'!$B$16/4))^2),1)</x:f>
        <x:v>1</x:v>
      </x:c>
      <x:c r="Q586" s="9" t="n">
        <x:f>MOD(R585*16807,2147483647)</x:f>
        <x:v>726401515</x:v>
      </x:c>
      <x:c r="R586" s="9" t="n">
        <x:f>MOD(Q586*16807,2147483647)</x:f>
        <x:v>185729410</x:v>
      </x:c>
      <x:c r="S586" s="17" t="n">
        <x:f>IF('Control Room'!$B$5="Normal",'Control Room'!$B$7+'Control Room'!$D$7*SQRT(-2*LN(MAX(0.000000000001,Q586/2147483647)))*COS(2*PI()*R586/2147483647),'Control Room'!$B$8+('Control Room'!$D$8-'Control Room'!$B$8)*Q586/2147483647)</x:f>
        <x:v>1113.4252123344222</x:v>
      </x:c>
      <x:c r="T586" s="17" t="n">
        <x:f>IF('Control Room'!$B$5="Normal",'Control Room'!$B$7,('Control Room'!$B$8+'Control Room'!$D$8)/2)+'Control Room'!$B$9*(T585-IF('Control Room'!$B$5="Normal",'Control Room'!$B$7,('Control Room'!$B$8+'Control Room'!$D$8)/2))+SQRT(1-'Control Room'!$B$9^2)*(S586-IF('Control Room'!$B$5="Normal",'Control Room'!$B$7,('Control Room'!$B$8+'Control Room'!$D$8)/2))</x:f>
        <x:v>1044.173998588696</x:v>
      </x:c>
      <x:c r="U586" s="17" t="n">
        <x:f>IF(AND($A586&gt;='Control Room'!$A$13,$A586&lt;'Control Room'!$A$13+'Control Room'!$B$13,'Process'!BN2=1),1+('Control Room'!$C$13-1)*EXP(-0.5*(($A586-'Control Room'!$A$13-('Control Room'!$B$13-1)/2)/MAX(0.5,'Control Room'!$B$13/4))^2),1)*IF(AND($A586&gt;='Control Room'!$A$14,$A586&lt;'Control Room'!$A$14+'Control Room'!$B$14,'Process'!BN3=1),1+('Control Room'!$C$14-1)*EXP(-0.5*(($A586-'Control Room'!$A$14-('Control Room'!$B$14-1)/2)/MAX(0.5,'Control Room'!$B$14/4))^2),1)*IF(AND($A586&gt;='Control Room'!$A$15,$A586&lt;'Control Room'!$A$15+'Control Room'!$B$15,'Process'!BN4=1),1+('Control Room'!$C$15-1)*EXP(-0.5*(($A586-'Control Room'!$A$15-('Control Room'!$B$15-1)/2)/MAX(0.5,'Control Room'!$B$15/4))^2),1)*IF(AND($A586&gt;='Control Room'!$A$16,$A586&lt;'Control Room'!$A$16+'Control Room'!$B$16,'Process'!BN5=1),1+('Control Room'!$C$16-1)*EXP(-0.5*(($A586-'Control Room'!$A$16-('Control Room'!$B$16-1)/2)/MAX(0.5,'Control Room'!$B$16/4))^2),1)</x:f>
        <x:v>1</x:v>
      </x:c>
      <x:c r="V586" s="9" t="n">
        <x:f>MOD(W585*16807,2147483647)</x:f>
        <x:v>465152773</x:v>
      </x:c>
      <x:c r="W586" s="9" t="n">
        <x:f>MOD(V586*16807,2147483647)</x:f>
        <x:v>982180731</x:v>
      </x:c>
      <x:c r="X586" s="17" t="n">
        <x:f>IF('Control Room'!$B$5="Normal",'Control Room'!$B$7+'Control Room'!$D$7*SQRT(-2*LN(MAX(0.000000000001,V586/2147483647)))*COS(2*PI()*W586/2147483647),'Control Room'!$B$8+('Control Room'!$D$8-'Control Room'!$B$8)*V586/2147483647)</x:f>
        <x:v>848.1954731027636</x:v>
      </x:c>
      <x:c r="Y586" s="17" t="n">
        <x:f>IF('Control Room'!$B$5="Normal",'Control Room'!$B$7,('Control Room'!$B$8+'Control Room'!$D$8)/2)+'Control Room'!$B$9*(Y585-IF('Control Room'!$B$5="Normal",'Control Room'!$B$7,('Control Room'!$B$8+'Control Room'!$D$8)/2))+SQRT(1-'Control Room'!$B$9^2)*(X586-IF('Control Room'!$B$5="Normal",'Control Room'!$B$7,('Control Room'!$B$8+'Control Room'!$D$8)/2))</x:f>
        <x:v>952.0998871582551</x:v>
      </x:c>
      <x:c r="Z586" s="17" t="n">
        <x:f>IF(AND($A586&gt;='Control Room'!$A$13,$A586&lt;'Control Room'!$A$13+'Control Room'!$B$13,'Process'!BO2=1),1+('Control Room'!$C$13-1)*EXP(-0.5*(($A586-'Control Room'!$A$13-('Control Room'!$B$13-1)/2)/MAX(0.5,'Control Room'!$B$13/4))^2),1)*IF(AND($A586&gt;='Control Room'!$A$14,$A586&lt;'Control Room'!$A$14+'Control Room'!$B$14,'Process'!BO3=1),1+('Control Room'!$C$14-1)*EXP(-0.5*(($A586-'Control Room'!$A$14-('Control Room'!$B$14-1)/2)/MAX(0.5,'Control Room'!$B$14/4))^2),1)*IF(AND($A586&gt;='Control Room'!$A$15,$A586&lt;'Control Room'!$A$15+'Control Room'!$B$15,'Process'!BO4=1),1+('Control Room'!$C$15-1)*EXP(-0.5*(($A586-'Control Room'!$A$15-('Control Room'!$B$15-1)/2)/MAX(0.5,'Control Room'!$B$15/4))^2),1)*IF(AND($A586&gt;='Control Room'!$A$16,$A586&lt;'Control Room'!$A$16+'Control Room'!$B$16,'Process'!BO5=1),1+('Control Room'!$C$16-1)*EXP(-0.5*(($A586-'Control Room'!$A$16-('Control Room'!$B$16-1)/2)/MAX(0.5,'Control Room'!$B$16/4))^2),1)</x:f>
        <x:v>1</x:v>
      </x:c>
      <x:c r="AA586" s="9" t="n">
        <x:f>MOD(AB585*16807,2147483647)</x:f>
        <x:v>203904031</x:v>
      </x:c>
      <x:c r="AB586" s="9" t="n">
        <x:f>MOD(AA586*16807,2147483647)</x:f>
        <x:v>1778632052</x:v>
      </x:c>
      <x:c r="AC586" s="17" t="n">
        <x:f>IF('Control Room'!$B$5="Normal",'Control Room'!$B$7+'Control Room'!$D$7*SQRT(-2*LN(MAX(0.000000000001,AA586/2147483647)))*COS(2*PI()*AB586/2147483647),'Control Room'!$B$8+('Control Room'!$D$8-'Control Room'!$B$8)*AA586/2147483647)</x:f>
        <x:v>1092.1873836256243</x:v>
      </x:c>
      <x:c r="AD586" s="17" t="n">
        <x:f>IF('Control Room'!$B$5="Normal",'Control Room'!$B$7,('Control Room'!$B$8+'Control Room'!$D$8)/2)+'Control Room'!$B$9*(AD585-IF('Control Room'!$B$5="Normal",'Control Room'!$B$7,('Control Room'!$B$8+'Control Room'!$D$8)/2))+SQRT(1-'Control Room'!$B$9^2)*(AC586-IF('Control Room'!$B$5="Normal",'Control Room'!$B$7,('Control Room'!$B$8+'Control Room'!$D$8)/2))</x:f>
        <x:v>1073.977697065206</x:v>
      </x:c>
      <x:c r="AE586" s="17" t="n">
        <x:f>IF(AND($A586&gt;='Control Room'!$A$13,$A586&lt;'Control Room'!$A$13+'Control Room'!$B$13,'Process'!BP2=1),1+('Control Room'!$C$13-1)*EXP(-0.5*(($A586-'Control Room'!$A$13-('Control Room'!$B$13-1)/2)/MAX(0.5,'Control Room'!$B$13/4))^2),1)*IF(AND($A586&gt;='Control Room'!$A$14,$A586&lt;'Control Room'!$A$14+'Control Room'!$B$14,'Process'!BP3=1),1+('Control Room'!$C$14-1)*EXP(-0.5*(($A586-'Control Room'!$A$14-('Control Room'!$B$14-1)/2)/MAX(0.5,'Control Room'!$B$14/4))^2),1)*IF(AND($A586&gt;='Control Room'!$A$15,$A586&lt;'Control Room'!$A$15+'Control Room'!$B$15,'Process'!BP4=1),1+('Control Room'!$C$15-1)*EXP(-0.5*(($A586-'Control Room'!$A$15-('Control Room'!$B$15-1)/2)/MAX(0.5,'Control Room'!$B$15/4))^2),1)*IF(AND($A586&gt;='Control Room'!$A$16,$A586&lt;'Control Room'!$A$16+'Control Room'!$B$16,'Process'!BP5=1),1+('Control Room'!$C$16-1)*EXP(-0.5*(($A586-'Control Room'!$A$16-('Control Room'!$B$16-1)/2)/MAX(0.5,'Control Room'!$B$16/4))^2),1)</x:f>
        <x:v>1</x:v>
      </x:c>
      <x:c r="AF586" s="9" t="n">
        <x:f>MOD(AG585*16807,2147483647)</x:f>
        <x:v>2090138936</x:v>
      </x:c>
      <x:c r="AG586" s="9" t="n">
        <x:f>MOD(AF586*16807,2147483647)</x:f>
        <x:v>427599726</x:v>
      </x:c>
      <x:c r="AH586" s="17" t="n">
        <x:f>IF('Control Room'!$B$5="Normal",'Control Room'!$B$7+'Control Room'!$D$7*SQRT(-2*LN(MAX(0.000000000001,AF586/2147483647)))*COS(2*PI()*AG586/2147483647),'Control Room'!$B$8+('Control Room'!$D$8-'Control Room'!$B$8)*AF586/2147483647)</x:f>
        <x:v>1006.5811695899082</x:v>
      </x:c>
      <x:c r="AI586" s="17" t="n">
        <x:f>IF('Control Room'!$B$5="Normal",'Control Room'!$B$7,('Control Room'!$B$8+'Control Room'!$D$8)/2)+'Control Room'!$B$9*(AI585-IF('Control Room'!$B$5="Normal",'Control Room'!$B$7,('Control Room'!$B$8+'Control Room'!$D$8)/2))+SQRT(1-'Control Room'!$B$9^2)*(AH586-IF('Control Room'!$B$5="Normal",'Control Room'!$B$7,('Control Room'!$B$8+'Control Room'!$D$8)/2))</x:f>
        <x:v>941.8886220386883</x:v>
      </x:c>
      <x:c r="AJ586" s="17" t="n">
        <x:f>IF(AND($A586&gt;='Control Room'!$A$13,$A586&lt;'Control Room'!$A$13+'Control Room'!$B$13,'Process'!BQ2=1),1+('Control Room'!$C$13-1)*EXP(-0.5*(($A586-'Control Room'!$A$13-('Control Room'!$B$13-1)/2)/MAX(0.5,'Control Room'!$B$13/4))^2),1)*IF(AND($A586&gt;='Control Room'!$A$14,$A586&lt;'Control Room'!$A$14+'Control Room'!$B$14,'Process'!BQ3=1),1+('Control Room'!$C$14-1)*EXP(-0.5*(($A586-'Control Room'!$A$14-('Control Room'!$B$14-1)/2)/MAX(0.5,'Control Room'!$B$14/4))^2),1)*IF(AND($A586&gt;='Control Room'!$A$15,$A586&lt;'Control Room'!$A$15+'Control Room'!$B$15,'Process'!BQ4=1),1+('Control Room'!$C$15-1)*EXP(-0.5*(($A586-'Control Room'!$A$15-('Control Room'!$B$15-1)/2)/MAX(0.5,'Control Room'!$B$15/4))^2),1)*IF(AND($A586&gt;='Control Room'!$A$16,$A586&lt;'Control Room'!$A$16+'Control Room'!$B$16,'Process'!BQ5=1),1+('Control Room'!$C$16-1)*EXP(-0.5*(($A586-'Control Room'!$A$16-('Control Room'!$B$16-1)/2)/MAX(0.5,'Control Room'!$B$16/4))^2),1)</x:f>
        <x:v>1</x:v>
      </x:c>
      <x:c r="AK586" s="9" t="n">
        <x:f>MOD(AL585*16807,2147483647)</x:f>
        <x:v>1828890194</x:v>
      </x:c>
      <x:c r="AL586" s="9" t="n">
        <x:f>MOD(AK586*16807,2147483647)</x:f>
        <x:v>1224051047</x:v>
      </x:c>
      <x:c r="AM586" s="17" t="n">
        <x:f>IF('Control Room'!$B$5="Normal",'Control Room'!$B$7+'Control Room'!$D$7*SQRT(-2*LN(MAX(0.000000000001,AK586/2147483647)))*COS(2*PI()*AL586/2147483647),'Control Room'!$B$8+('Control Room'!$D$8-'Control Room'!$B$8)*AK586/2147483647)</x:f>
        <x:v>953.8483105078056</x:v>
      </x:c>
      <x:c r="AN586" s="17" t="n">
        <x:f>IF('Control Room'!$B$5="Normal",'Control Room'!$B$7,('Control Room'!$B$8+'Control Room'!$D$8)/2)+'Control Room'!$B$9*(AN585-IF('Control Room'!$B$5="Normal",'Control Room'!$B$7,('Control Room'!$B$8+'Control Room'!$D$8)/2))+SQRT(1-'Control Room'!$B$9^2)*(AM586-IF('Control Room'!$B$5="Normal",'Control Room'!$B$7,('Control Room'!$B$8+'Control Room'!$D$8)/2))</x:f>
        <x:v>814.5553975834422</x:v>
      </x:c>
      <x:c r="AO586" s="17" t="n">
        <x:f>IF(AND($A586&gt;='Control Room'!$A$13,$A586&lt;'Control Room'!$A$13+'Control Room'!$B$13,'Process'!BR2=1),1+('Control Room'!$C$13-1)*EXP(-0.5*(($A586-'Control Room'!$A$13-('Control Room'!$B$13-1)/2)/MAX(0.5,'Control Room'!$B$13/4))^2),1)*IF(AND($A586&gt;='Control Room'!$A$14,$A586&lt;'Control Room'!$A$14+'Control Room'!$B$14,'Process'!BR3=1),1+('Control Room'!$C$14-1)*EXP(-0.5*(($A586-'Control Room'!$A$14-('Control Room'!$B$14-1)/2)/MAX(0.5,'Control Room'!$B$14/4))^2),1)*IF(AND($A586&gt;='Control Room'!$A$15,$A586&lt;'Control Room'!$A$15+'Control Room'!$B$15,'Process'!BR4=1),1+('Control Room'!$C$15-1)*EXP(-0.5*(($A586-'Control Room'!$A$15-('Control Room'!$B$15-1)/2)/MAX(0.5,'Control Room'!$B$15/4))^2),1)*IF(AND($A586&gt;='Control Room'!$A$16,$A586&lt;'Control Room'!$A$16+'Control Room'!$B$16,'Process'!BR5=1),1+('Control Room'!$C$16-1)*EXP(-0.5*(($A586-'Control Room'!$A$16-('Control Room'!$B$16-1)/2)/MAX(0.5,'Control Room'!$B$16/4))^2),1)</x:f>
        <x:v>1</x:v>
      </x:c>
      <x:c r="AP586" s="9" t="n">
        <x:f>MOD(AQ585*16807,2147483647)</x:f>
        <x:v>1567641452</x:v>
      </x:c>
      <x:c r="AQ586" s="9" t="n">
        <x:f>MOD(AP586*16807,2147483647)</x:f>
        <x:v>2020502368</x:v>
      </x:c>
      <x:c r="AR586" s="17" t="n">
        <x:f>IF('Control Room'!$B$5="Normal",'Control Room'!$B$7+'Control Room'!$D$7*SQRT(-2*LN(MAX(0.000000000001,AP586/2147483647)))*COS(2*PI()*AQ586/2147483647),'Control Room'!$B$8+('Control Room'!$D$8-'Control Room'!$B$8)*AP586/2147483647)</x:f>
        <x:v>1066.5324511926171</x:v>
      </x:c>
      <x:c r="AS586" s="17" t="n">
        <x:f>IF('Control Room'!$B$5="Normal",'Control Room'!$B$7,('Control Room'!$B$8+'Control Room'!$D$8)/2)+'Control Room'!$B$9*(AS585-IF('Control Room'!$B$5="Normal",'Control Room'!$B$7,('Control Room'!$B$8+'Control Room'!$D$8)/2))+SQRT(1-'Control Room'!$B$9^2)*(AR586-IF('Control Room'!$B$5="Normal",'Control Room'!$B$7,('Control Room'!$B$8+'Control Room'!$D$8)/2))</x:f>
        <x:v>1044.6271929570623</x:v>
      </x:c>
      <x:c r="AT586" s="17" t="n">
        <x:f>IF(AND($A586&gt;='Control Room'!$A$13,$A586&lt;'Control Room'!$A$13+'Control Room'!$B$13,'Process'!BS2=1),1+('Control Room'!$C$13-1)*EXP(-0.5*(($A586-'Control Room'!$A$13-('Control Room'!$B$13-1)/2)/MAX(0.5,'Control Room'!$B$13/4))^2),1)*IF(AND($A586&gt;='Control Room'!$A$14,$A586&lt;'Control Room'!$A$14+'Control Room'!$B$14,'Process'!BS3=1),1+('Control Room'!$C$14-1)*EXP(-0.5*(($A586-'Control Room'!$A$14-('Control Room'!$B$14-1)/2)/MAX(0.5,'Control Room'!$B$14/4))^2),1)*IF(AND($A586&gt;='Control Room'!$A$15,$A586&lt;'Control Room'!$A$15+'Control Room'!$B$15,'Process'!BS4=1),1+('Control Room'!$C$15-1)*EXP(-0.5*(($A586-'Control Room'!$A$15-('Control Room'!$B$15-1)/2)/MAX(0.5,'Control Room'!$B$15/4))^2),1)*IF(AND($A586&gt;='Control Room'!$A$16,$A586&lt;'Control Room'!$A$16+'Control Room'!$B$16,'Process'!BS5=1),1+('Control Room'!$C$16-1)*EXP(-0.5*(($A586-'Control Room'!$A$16-('Control Room'!$B$16-1)/2)/MAX(0.5,'Control Room'!$B$16/4))^2),1)</x:f>
        <x:v>1</x:v>
      </x:c>
      <x:c r="AU586" s="9" t="n">
        <x:f>MOD(AV585*16807,2147483647)</x:f>
        <x:v>1306392710</x:v>
      </x:c>
      <x:c r="AV586" s="9" t="n">
        <x:f>MOD(AU586*16807,2147483647)</x:f>
        <x:v>669470042</x:v>
      </x:c>
      <x:c r="AW586" s="17" t="n">
        <x:f>IF('Control Room'!$B$5="Normal",'Control Room'!$B$7+'Control Room'!$D$7*SQRT(-2*LN(MAX(0.000000000001,AU586/2147483647)))*COS(2*PI()*AV586/2147483647),'Control Room'!$B$8+('Control Room'!$D$8-'Control Room'!$B$8)*AU586/2147483647)</x:f>
        <x:v>966.0540206341279</x:v>
      </x:c>
      <x:c r="AX586" s="17" t="n">
        <x:f>IF('Control Room'!$B$5="Normal",'Control Room'!$B$7,('Control Room'!$B$8+'Control Room'!$D$8)/2)+'Control Room'!$B$9*(AX585-IF('Control Room'!$B$5="Normal",'Control Room'!$B$7,('Control Room'!$B$8+'Control Room'!$D$8)/2))+SQRT(1-'Control Room'!$B$9^2)*(AW586-IF('Control Room'!$B$5="Normal",'Control Room'!$B$7,('Control Room'!$B$8+'Control Room'!$D$8)/2))</x:f>
        <x:v>991.6259949425322</x:v>
      </x:c>
      <x:c r="AY586" s="17" t="n">
        <x:f>IF(AND($A586&gt;='Control Room'!$A$13,$A586&lt;'Control Room'!$A$13+'Control Room'!$B$13,'Process'!BT2=1),1+('Control Room'!$C$13-1)*EXP(-0.5*(($A586-'Control Room'!$A$13-('Control Room'!$B$13-1)/2)/MAX(0.5,'Control Room'!$B$13/4))^2),1)*IF(AND($A586&gt;='Control Room'!$A$14,$A586&lt;'Control Room'!$A$14+'Control Room'!$B$14,'Process'!BT3=1),1+('Control Room'!$C$14-1)*EXP(-0.5*(($A586-'Control Room'!$A$14-('Control Room'!$B$14-1)/2)/MAX(0.5,'Control Room'!$B$14/4))^2),1)*IF(AND($A586&gt;='Control Room'!$A$15,$A586&lt;'Control Room'!$A$15+'Control Room'!$B$15,'Process'!BT4=1),1+('Control Room'!$C$15-1)*EXP(-0.5*(($A586-'Control Room'!$A$15-('Control Room'!$B$15-1)/2)/MAX(0.5,'Control Room'!$B$15/4))^2),1)*IF(AND($A586&gt;='Control Room'!$A$16,$A586&lt;'Control Room'!$A$16+'Control Room'!$B$16,'Process'!BT5=1),1+('Control Room'!$C$16-1)*EXP(-0.5*(($A586-'Control Room'!$A$16-('Control Room'!$B$16-1)/2)/MAX(0.5,'Control Room'!$B$16/4))^2),1)</x:f>
        <x:v>1</x:v>
      </x:c>
      <x:c r="AZ586" s="9" t="n">
        <x:f>MOD(BA585*16807,2147483647)</x:f>
        <x:v>1045143968</x:v>
      </x:c>
      <x:c r="BA586" s="9" t="n">
        <x:f>MOD(AZ586*16807,2147483647)</x:f>
        <x:v>1465921363</x:v>
      </x:c>
      <x:c r="BB586" s="17" t="n">
        <x:f>IF('Control Room'!$B$5="Normal",'Control Room'!$B$7+'Control Room'!$D$7*SQRT(-2*LN(MAX(0.000000000001,AZ586/2147483647)))*COS(2*PI()*BA586/2147483647),'Control Room'!$B$8+('Control Room'!$D$8-'Control Room'!$B$8)*AZ586/2147483647)</x:f>
        <x:v>955.6280494826849</x:v>
      </x:c>
      <x:c r="BC586" s="17" t="n">
        <x:f>IF('Control Room'!$B$5="Normal",'Control Room'!$B$7,('Control Room'!$B$8+'Control Room'!$D$8)/2)+'Control Room'!$B$9*(BC585-IF('Control Room'!$B$5="Normal",'Control Room'!$B$7,('Control Room'!$B$8+'Control Room'!$D$8)/2))+SQRT(1-'Control Room'!$B$9^2)*(BB586-IF('Control Room'!$B$5="Normal",'Control Room'!$B$7,('Control Room'!$B$8+'Control Room'!$D$8)/2))</x:f>
        <x:v>1004.3004284029114</x:v>
      </x:c>
      <x:c r="BD586" s="17" t="n">
        <x:f>IF(AND($A586&gt;='Control Room'!$A$13,$A586&lt;'Control Room'!$A$13+'Control Room'!$B$13,'Process'!BU2=1),1+('Control Room'!$C$13-1)*EXP(-0.5*(($A586-'Control Room'!$A$13-('Control Room'!$B$13-1)/2)/MAX(0.5,'Control Room'!$B$13/4))^2),1)*IF(AND($A586&gt;='Control Room'!$A$14,$A586&lt;'Control Room'!$A$14+'Control Room'!$B$14,'Process'!BU3=1),1+('Control Room'!$C$14-1)*EXP(-0.5*(($A586-'Control Room'!$A$14-('Control Room'!$B$14-1)/2)/MAX(0.5,'Control Room'!$B$14/4))^2),1)*IF(AND($A586&gt;='Control Room'!$A$15,$A586&lt;'Control Room'!$A$15+'Control Room'!$B$15,'Process'!BU4=1),1+('Control Room'!$C$15-1)*EXP(-0.5*(($A586-'Control Room'!$A$15-('Control Room'!$B$15-1)/2)/MAX(0.5,'Control Room'!$B$15/4))^2),1)*IF(AND($A586&gt;='Control Room'!$A$16,$A586&lt;'Control Room'!$A$16+'Control Room'!$B$16,'Process'!BU5=1),1+('Control Room'!$C$16-1)*EXP(-0.5*(($A586-'Control Room'!$A$16-('Control Room'!$B$16-1)/2)/MAX(0.5,'Control Room'!$B$16/4))^2),1)</x:f>
        <x:v>1</x:v>
      </x:c>
      <x:c r="BE586" s="9" t="n">
        <x:f>MOD(BF585*16807,2147483647)</x:f>
        <x:v>783895226</x:v>
      </x:c>
      <x:c r="BF586" s="9" t="n">
        <x:f>MOD(BE586*16807,2147483647)</x:f>
        <x:v>114889037</x:v>
      </x:c>
      <x:c r="BG586" s="17" t="n">
        <x:f>IF('Control Room'!$B$5="Normal",'Control Room'!$B$7+'Control Room'!$D$7*SQRT(-2*LN(MAX(0.000000000001,BE586/2147483647)))*COS(2*PI()*BF586/2147483647),'Control Room'!$B$8+('Control Room'!$D$8-'Control Room'!$B$8)*BE586/2147483647)</x:f>
        <x:v>1120.622054239242</x:v>
      </x:c>
      <x:c r="BH586" s="17" t="n">
        <x:f>IF('Control Room'!$B$5="Normal",'Control Room'!$B$7,('Control Room'!$B$8+'Control Room'!$D$8)/2)+'Control Room'!$B$9*(BH585-IF('Control Room'!$B$5="Normal",'Control Room'!$B$7,('Control Room'!$B$8+'Control Room'!$D$8)/2))+SQRT(1-'Control Room'!$B$9^2)*(BG586-IF('Control Room'!$B$5="Normal",'Control Room'!$B$7,('Control Room'!$B$8+'Control Room'!$D$8)/2))</x:f>
        <x:v>1133.6691756592475</x:v>
      </x:c>
      <x:c r="BI586" s="17" t="n">
        <x:f>IF(AND($A586&gt;='Control Room'!$A$13,$A586&lt;'Control Room'!$A$13+'Control Room'!$B$13,'Process'!BV2=1),1+('Control Room'!$C$13-1)*EXP(-0.5*(($A586-'Control Room'!$A$13-('Control Room'!$B$13-1)/2)/MAX(0.5,'Control Room'!$B$13/4))^2),1)*IF(AND($A586&gt;='Control Room'!$A$14,$A586&lt;'Control Room'!$A$14+'Control Room'!$B$14,'Process'!BV3=1),1+('Control Room'!$C$14-1)*EXP(-0.5*(($A586-'Control Room'!$A$14-('Control Room'!$B$14-1)/2)/MAX(0.5,'Control Room'!$B$14/4))^2),1)*IF(AND($A586&gt;='Control Room'!$A$15,$A586&lt;'Control Room'!$A$15+'Control Room'!$B$15,'Process'!BV4=1),1+('Control Room'!$C$15-1)*EXP(-0.5*(($A586-'Control Room'!$A$15-('Control Room'!$B$15-1)/2)/MAX(0.5,'Control Room'!$B$15/4))^2),1)*IF(AND($A586&gt;='Control Room'!$A$16,$A586&lt;'Control Room'!$A$16+'Control Room'!$B$16,'Process'!BV5=1),1+('Control Room'!$C$16-1)*EXP(-0.5*(($A586-'Control Room'!$A$16-('Control Room'!$B$16-1)/2)/MAX(0.5,'Control Room'!$B$16/4))^2),1)</x:f>
        <x:v>1</x:v>
      </x:c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Z586" t="str">
        <x:f>IF('Data'!A586="","",TEXT('Data'!A586,"mm-dd"))</x:f>
      </x:c>
    </x:row>
    <x:row r="587" ht="21" customHeight="1">
      <x:c r="A587" s="15" t="n">
        <x:f>'Control Room'!$B$1+585</x:f>
        <x:v>73576</x:v>
      </x:c>
      <x:c r="B587" s="9" t="n">
        <x:f>MOD(C586*16807,2147483647)</x:f>
        <x:v>1332597538</x:v>
      </x:c>
      <x:c r="C587" s="9" t="n">
        <x:f>MOD(B587*16807,2147483647)</x:f>
        <x:v>859866603</x:v>
      </x:c>
      <x:c r="D587" s="17" t="n">
        <x:f>IF('Control Room'!$B$5="Normal",'Control Room'!$B$7+'Control Room'!$D$7*SQRT(-2*LN(MAX(0.000000000001,B587/2147483647)))*COS(2*PI()*C587/2147483647),'Control Room'!$B$8+('Control Room'!$D$8-'Control Room'!$B$8)*B587/2147483647)</x:f>
        <x:v>928.7386356564818</x:v>
      </x:c>
      <x:c r="E587" s="17" t="n">
        <x:f>IF('Control Room'!$B$5="Normal",'Control Room'!$B$7,('Control Room'!$B$8+'Control Room'!$D$8)/2)+'Control Room'!$B$9*(E586-IF('Control Room'!$B$5="Normal",'Control Room'!$B$7,('Control Room'!$B$8+'Control Room'!$D$8)/2))+SQRT(1-'Control Room'!$B$9^2)*(D587-IF('Control Room'!$B$5="Normal",'Control Room'!$B$7,('Control Room'!$B$8+'Control Room'!$D$8)/2))</x:f>
        <x:v>960.1903065895362</x:v>
      </x:c>
      <x:c r="F587" s="17" t="n">
        <x:f>IF(AND($A587&gt;='Control Room'!$A$13,$A587&lt;'Control Room'!$A$13+'Control Room'!$B$13,'Process'!BK2=1),1+('Control Room'!$C$13-1)*EXP(-0.5*(($A587-'Control Room'!$A$13-('Control Room'!$B$13-1)/2)/MAX(0.5,'Control Room'!$B$13/4))^2),1)*IF(AND($A587&gt;='Control Room'!$A$14,$A587&lt;'Control Room'!$A$14+'Control Room'!$B$14,'Process'!BK3=1),1+('Control Room'!$C$14-1)*EXP(-0.5*(($A587-'Control Room'!$A$14-('Control Room'!$B$14-1)/2)/MAX(0.5,'Control Room'!$B$14/4))^2),1)*IF(AND($A587&gt;='Control Room'!$A$15,$A587&lt;'Control Room'!$A$15+'Control Room'!$B$15,'Process'!BK4=1),1+('Control Room'!$C$15-1)*EXP(-0.5*(($A587-'Control Room'!$A$15-('Control Room'!$B$15-1)/2)/MAX(0.5,'Control Room'!$B$15/4))^2),1)*IF(AND($A587&gt;='Control Room'!$A$16,$A587&lt;'Control Room'!$A$16+'Control Room'!$B$16,'Process'!BK5=1),1+('Control Room'!$C$16-1)*EXP(-0.5*(($A587-'Control Room'!$A$16-('Control Room'!$B$16-1)/2)/MAX(0.5,'Control Room'!$B$16/4))^2),1)</x:f>
        <x:v>1</x:v>
      </x:c>
      <x:c r="G587" s="9" t="n">
        <x:f>MOD(H586*16807,2147483647)</x:f>
        <x:v>2024377834</x:v>
      </x:c>
      <x:c r="H587" s="9" t="n">
        <x:f>MOD(G587*16807,2147483647)</x:f>
        <x:v>1134836617</x:v>
      </x:c>
      <x:c r="I587" s="17" t="n">
        <x:f>IF('Control Room'!$B$5="Normal",'Control Room'!$B$7+'Control Room'!$D$7*SQRT(-2*LN(MAX(0.000000000001,G587/2147483647)))*COS(2*PI()*H587/2147483647),'Control Room'!$B$8+('Control Room'!$D$8-'Control Room'!$B$8)*G587/2147483647)</x:f>
        <x:v>969.5677422096725</x:v>
      </x:c>
      <x:c r="J587" s="17" t="n">
        <x:f>IF('Control Room'!$B$5="Normal",'Control Room'!$B$7,('Control Room'!$B$8+'Control Room'!$D$8)/2)+'Control Room'!$B$9*(J586-IF('Control Room'!$B$5="Normal",'Control Room'!$B$7,('Control Room'!$B$8+'Control Room'!$D$8)/2))+SQRT(1-'Control Room'!$B$9^2)*(I587-IF('Control Room'!$B$5="Normal",'Control Room'!$B$7,('Control Room'!$B$8+'Control Room'!$D$8)/2))</x:f>
        <x:v>972.2248038199615</x:v>
      </x:c>
      <x:c r="K587" s="17" t="n">
        <x:f>IF(AND($A587&gt;='Control Room'!$A$13,$A587&lt;'Control Room'!$A$13+'Control Room'!$B$13,'Process'!BL2=1),1+('Control Room'!$C$13-1)*EXP(-0.5*(($A587-'Control Room'!$A$13-('Control Room'!$B$13-1)/2)/MAX(0.5,'Control Room'!$B$13/4))^2),1)*IF(AND($A587&gt;='Control Room'!$A$14,$A587&lt;'Control Room'!$A$14+'Control Room'!$B$14,'Process'!BL3=1),1+('Control Room'!$C$14-1)*EXP(-0.5*(($A587-'Control Room'!$A$14-('Control Room'!$B$14-1)/2)/MAX(0.5,'Control Room'!$B$14/4))^2),1)*IF(AND($A587&gt;='Control Room'!$A$15,$A587&lt;'Control Room'!$A$15+'Control Room'!$B$15,'Process'!BL4=1),1+('Control Room'!$C$15-1)*EXP(-0.5*(($A587-'Control Room'!$A$15-('Control Room'!$B$15-1)/2)/MAX(0.5,'Control Room'!$B$15/4))^2),1)*IF(AND($A587&gt;='Control Room'!$A$16,$A587&lt;'Control Room'!$A$16+'Control Room'!$B$16,'Process'!BL5=1),1+('Control Room'!$C$16-1)*EXP(-0.5*(($A587-'Control Room'!$A$16-('Control Room'!$B$16-1)/2)/MAX(0.5,'Control Room'!$B$16/4))^2),1)</x:f>
        <x:v>1</x:v>
      </x:c>
      <x:c r="L587" s="9" t="n">
        <x:f>MOD(M586*16807,2147483647)</x:f>
        <x:v>568674483</x:v>
      </x:c>
      <x:c r="M587" s="9" t="n">
        <x:f>MOD(L587*16807,2147483647)</x:f>
        <x:v>1409806631</x:v>
      </x:c>
      <x:c r="N587" s="17" t="n">
        <x:f>IF('Control Room'!$B$5="Normal",'Control Room'!$B$7+'Control Room'!$D$7*SQRT(-2*LN(MAX(0.000000000001,L587/2147483647)))*COS(2*PI()*M587/2147483647),'Control Room'!$B$8+('Control Room'!$D$8-'Control Room'!$B$8)*L587/2147483647)</x:f>
        <x:v>918.6747015878256</x:v>
      </x:c>
      <x:c r="O587" s="17" t="n">
        <x:f>IF('Control Room'!$B$5="Normal",'Control Room'!$B$7,('Control Room'!$B$8+'Control Room'!$D$8)/2)+'Control Room'!$B$9*(O586-IF('Control Room'!$B$5="Normal",'Control Room'!$B$7,('Control Room'!$B$8+'Control Room'!$D$8)/2))+SQRT(1-'Control Room'!$B$9^2)*(N587-IF('Control Room'!$B$5="Normal",'Control Room'!$B$7,('Control Room'!$B$8+'Control Room'!$D$8)/2))</x:f>
        <x:v>867.3113830702595</x:v>
      </x:c>
      <x:c r="P587" s="17" t="n">
        <x:f>IF(AND($A587&gt;='Control Room'!$A$13,$A587&lt;'Control Room'!$A$13+'Control Room'!$B$13,'Process'!BM2=1),1+('Control Room'!$C$13-1)*EXP(-0.5*(($A587-'Control Room'!$A$13-('Control Room'!$B$13-1)/2)/MAX(0.5,'Control Room'!$B$13/4))^2),1)*IF(AND($A587&gt;='Control Room'!$A$14,$A587&lt;'Control Room'!$A$14+'Control Room'!$B$14,'Process'!BM3=1),1+('Control Room'!$C$14-1)*EXP(-0.5*(($A587-'Control Room'!$A$14-('Control Room'!$B$14-1)/2)/MAX(0.5,'Control Room'!$B$14/4))^2),1)*IF(AND($A587&gt;='Control Room'!$A$15,$A587&lt;'Control Room'!$A$15+'Control Room'!$B$15,'Process'!BM4=1),1+('Control Room'!$C$15-1)*EXP(-0.5*(($A587-'Control Room'!$A$15-('Control Room'!$B$15-1)/2)/MAX(0.5,'Control Room'!$B$15/4))^2),1)*IF(AND($A587&gt;='Control Room'!$A$16,$A587&lt;'Control Room'!$A$16+'Control Room'!$B$16,'Process'!BM5=1),1+('Control Room'!$C$16-1)*EXP(-0.5*(($A587-'Control Room'!$A$16-('Control Room'!$B$16-1)/2)/MAX(0.5,'Control Room'!$B$16/4))^2),1)</x:f>
        <x:v>1</x:v>
      </x:c>
      <x:c r="Q587" s="9" t="n">
        <x:f>MOD(R586*16807,2147483647)</x:f>
        <x:v>1260454779</x:v>
      </x:c>
      <x:c r="R587" s="9" t="n">
        <x:f>MOD(Q587*16807,2147483647)</x:f>
        <x:v>1684776645</x:v>
      </x:c>
      <x:c r="S587" s="17" t="n">
        <x:f>IF('Control Room'!$B$5="Normal",'Control Room'!$B$7+'Control Room'!$D$7*SQRT(-2*LN(MAX(0.000000000001,Q587/2147483647)))*COS(2*PI()*R587/2147483647),'Control Room'!$B$8+('Control Room'!$D$8-'Control Room'!$B$8)*Q587/2147483647)</x:f>
        <x:v>1020.0022371875988</x:v>
      </x:c>
      <x:c r="T587" s="17" t="n">
        <x:f>IF('Control Room'!$B$5="Normal",'Control Room'!$B$7,('Control Room'!$B$8+'Control Room'!$D$8)/2)+'Control Room'!$B$9*(T586-IF('Control Room'!$B$5="Normal",'Control Room'!$B$7,('Control Room'!$B$8+'Control Room'!$D$8)/2))+SQRT(1-'Control Room'!$B$9^2)*(S587-IF('Control Room'!$B$5="Normal",'Control Room'!$B$7,('Control Room'!$B$8+'Control Room'!$D$8)/2))</x:f>
        <x:v>1046.9727091630805</x:v>
      </x:c>
      <x:c r="U587" s="17" t="n">
        <x:f>IF(AND($A587&gt;='Control Room'!$A$13,$A587&lt;'Control Room'!$A$13+'Control Room'!$B$13,'Process'!BN2=1),1+('Control Room'!$C$13-1)*EXP(-0.5*(($A587-'Control Room'!$A$13-('Control Room'!$B$13-1)/2)/MAX(0.5,'Control Room'!$B$13/4))^2),1)*IF(AND($A587&gt;='Control Room'!$A$14,$A587&lt;'Control Room'!$A$14+'Control Room'!$B$14,'Process'!BN3=1),1+('Control Room'!$C$14-1)*EXP(-0.5*(($A587-'Control Room'!$A$14-('Control Room'!$B$14-1)/2)/MAX(0.5,'Control Room'!$B$14/4))^2),1)*IF(AND($A587&gt;='Control Room'!$A$15,$A587&lt;'Control Room'!$A$15+'Control Room'!$B$15,'Process'!BN4=1),1+('Control Room'!$C$15-1)*EXP(-0.5*(($A587-'Control Room'!$A$15-('Control Room'!$B$15-1)/2)/MAX(0.5,'Control Room'!$B$15/4))^2),1)*IF(AND($A587&gt;='Control Room'!$A$16,$A587&lt;'Control Room'!$A$16+'Control Room'!$B$16,'Process'!BN5=1),1+('Control Room'!$C$16-1)*EXP(-0.5*(($A587-'Control Room'!$A$16-('Control Room'!$B$16-1)/2)/MAX(0.5,'Control Room'!$B$16/4))^2),1)</x:f>
        <x:v>1</x:v>
      </x:c>
      <x:c r="V587" s="9" t="n">
        <x:f>MOD(W586*16807,2147483647)</x:f>
        <x:v>1952235075</x:v>
      </x:c>
      <x:c r="W587" s="9" t="n">
        <x:f>MOD(V587*16807,2147483647)</x:f>
        <x:v>1959746659</x:v>
      </x:c>
      <x:c r="X587" s="17" t="n">
        <x:f>IF('Control Room'!$B$5="Normal",'Control Room'!$B$7+'Control Room'!$D$7*SQRT(-2*LN(MAX(0.000000000001,V587/2147483647)))*COS(2*PI()*W587/2147483647),'Control Room'!$B$8+('Control Room'!$D$8-'Control Room'!$B$8)*V587/2147483647)</x:f>
        <x:v>1033.5158425488887</x:v>
      </x:c>
      <x:c r="Y587" s="17" t="n">
        <x:f>IF('Control Room'!$B$5="Normal",'Control Room'!$B$7,('Control Room'!$B$8+'Control Room'!$D$8)/2)+'Control Room'!$B$9*(Y586-IF('Control Room'!$B$5="Normal",'Control Room'!$B$7,('Control Room'!$B$8+'Control Room'!$D$8)/2))+SQRT(1-'Control Room'!$B$9^2)*(X587-IF('Control Room'!$B$5="Normal",'Control Room'!$B$7,('Control Room'!$B$8+'Control Room'!$D$8)/2))</x:f>
        <x:v>983.6114396411784</x:v>
      </x:c>
      <x:c r="Z587" s="17" t="n">
        <x:f>IF(AND($A587&gt;='Control Room'!$A$13,$A587&lt;'Control Room'!$A$13+'Control Room'!$B$13,'Process'!BO2=1),1+('Control Room'!$C$13-1)*EXP(-0.5*(($A587-'Control Room'!$A$13-('Control Room'!$B$13-1)/2)/MAX(0.5,'Control Room'!$B$13/4))^2),1)*IF(AND($A587&gt;='Control Room'!$A$14,$A587&lt;'Control Room'!$A$14+'Control Room'!$B$14,'Process'!BO3=1),1+('Control Room'!$C$14-1)*EXP(-0.5*(($A587-'Control Room'!$A$14-('Control Room'!$B$14-1)/2)/MAX(0.5,'Control Room'!$B$14/4))^2),1)*IF(AND($A587&gt;='Control Room'!$A$15,$A587&lt;'Control Room'!$A$15+'Control Room'!$B$15,'Process'!BO4=1),1+('Control Room'!$C$15-1)*EXP(-0.5*(($A587-'Control Room'!$A$15-('Control Room'!$B$15-1)/2)/MAX(0.5,'Control Room'!$B$15/4))^2),1)*IF(AND($A587&gt;='Control Room'!$A$16,$A587&lt;'Control Room'!$A$16+'Control Room'!$B$16,'Process'!BO5=1),1+('Control Room'!$C$16-1)*EXP(-0.5*(($A587-'Control Room'!$A$16-('Control Room'!$B$16-1)/2)/MAX(0.5,'Control Room'!$B$16/4))^2),1)</x:f>
        <x:v>1</x:v>
      </x:c>
      <x:c r="AA587" s="9" t="n">
        <x:f>MOD(AB586*16807,2147483647)</x:f>
        <x:v>496531724</x:v>
      </x:c>
      <x:c r="AB587" s="9" t="n">
        <x:f>MOD(AA587*16807,2147483647)</x:f>
        <x:v>87233026</x:v>
      </x:c>
      <x:c r="AC587" s="17" t="n">
        <x:f>IF('Control Room'!$B$5="Normal",'Control Room'!$B$7+'Control Room'!$D$7*SQRT(-2*LN(MAX(0.000000000001,AA587/2147483647)))*COS(2*PI()*AB587/2147483647),'Control Room'!$B$8+('Control Room'!$D$8-'Control Room'!$B$8)*AA587/2147483647)</x:f>
        <x:v>1149.0343330342923</x:v>
      </x:c>
      <x:c r="AD587" s="17" t="n">
        <x:f>IF('Control Room'!$B$5="Normal",'Control Room'!$B$7,('Control Room'!$B$8+'Control Room'!$D$8)/2)+'Control Room'!$B$9*(AD586-IF('Control Room'!$B$5="Normal",'Control Room'!$B$7,('Control Room'!$B$8+'Control Room'!$D$8)/2))+SQRT(1-'Control Room'!$B$9^2)*(AC587-IF('Control Room'!$B$5="Normal",'Control Room'!$B$7,('Control Room'!$B$8+'Control Room'!$D$8)/2))</x:f>
        <x:v>1150.9652361894562</x:v>
      </x:c>
      <x:c r="AE587" s="17" t="n">
        <x:f>IF(AND($A587&gt;='Control Room'!$A$13,$A587&lt;'Control Room'!$A$13+'Control Room'!$B$13,'Process'!BP2=1),1+('Control Room'!$C$13-1)*EXP(-0.5*(($A587-'Control Room'!$A$13-('Control Room'!$B$13-1)/2)/MAX(0.5,'Control Room'!$B$13/4))^2),1)*IF(AND($A587&gt;='Control Room'!$A$14,$A587&lt;'Control Room'!$A$14+'Control Room'!$B$14,'Process'!BP3=1),1+('Control Room'!$C$14-1)*EXP(-0.5*(($A587-'Control Room'!$A$14-('Control Room'!$B$14-1)/2)/MAX(0.5,'Control Room'!$B$14/4))^2),1)*IF(AND($A587&gt;='Control Room'!$A$15,$A587&lt;'Control Room'!$A$15+'Control Room'!$B$15,'Process'!BP4=1),1+('Control Room'!$C$15-1)*EXP(-0.5*(($A587-'Control Room'!$A$15-('Control Room'!$B$15-1)/2)/MAX(0.5,'Control Room'!$B$15/4))^2),1)*IF(AND($A587&gt;='Control Room'!$A$16,$A587&lt;'Control Room'!$A$16+'Control Room'!$B$16,'Process'!BP5=1),1+('Control Room'!$C$16-1)*EXP(-0.5*(($A587-'Control Room'!$A$16-('Control Room'!$B$16-1)/2)/MAX(0.5,'Control Room'!$B$16/4))^2),1)</x:f>
        <x:v>1</x:v>
      </x:c>
      <x:c r="AF587" s="9" t="n">
        <x:f>MOD(AG586*16807,2147483647)</x:f>
        <x:v>1188312020</x:v>
      </x:c>
      <x:c r="AG587" s="9" t="n">
        <x:f>MOD(AF587*16807,2147483647)</x:f>
        <x:v>362203040</x:v>
      </x:c>
      <x:c r="AH587" s="17" t="n">
        <x:f>IF('Control Room'!$B$5="Normal",'Control Room'!$B$7+'Control Room'!$D$7*SQRT(-2*LN(MAX(0.000000000001,AF587/2147483647)))*COS(2*PI()*AG587/2147483647),'Control Room'!$B$8+('Control Room'!$D$8-'Control Room'!$B$8)*AF587/2147483647)</x:f>
        <x:v>1047.8875725115931</x:v>
      </x:c>
      <x:c r="AI587" s="17" t="n">
        <x:f>IF('Control Room'!$B$5="Normal",'Control Room'!$B$7,('Control Room'!$B$8+'Control Room'!$D$8)/2)+'Control Room'!$B$9*(AI586-IF('Control Room'!$B$5="Normal",'Control Room'!$B$7,('Control Room'!$B$8+'Control Room'!$D$8)/2))+SQRT(1-'Control Room'!$B$9^2)*(AH587-IF('Control Room'!$B$5="Normal",'Control Room'!$B$7,('Control Room'!$B$8+'Control Room'!$D$8)/2))</x:f>
        <x:v>984.6401870376852</x:v>
      </x:c>
      <x:c r="AJ587" s="17" t="n">
        <x:f>IF(AND($A587&gt;='Control Room'!$A$13,$A587&lt;'Control Room'!$A$13+'Control Room'!$B$13,'Process'!BQ2=1),1+('Control Room'!$C$13-1)*EXP(-0.5*(($A587-'Control Room'!$A$13-('Control Room'!$B$13-1)/2)/MAX(0.5,'Control Room'!$B$13/4))^2),1)*IF(AND($A587&gt;='Control Room'!$A$14,$A587&lt;'Control Room'!$A$14+'Control Room'!$B$14,'Process'!BQ3=1),1+('Control Room'!$C$14-1)*EXP(-0.5*(($A587-'Control Room'!$A$14-('Control Room'!$B$14-1)/2)/MAX(0.5,'Control Room'!$B$14/4))^2),1)*IF(AND($A587&gt;='Control Room'!$A$15,$A587&lt;'Control Room'!$A$15+'Control Room'!$B$15,'Process'!BQ4=1),1+('Control Room'!$C$15-1)*EXP(-0.5*(($A587-'Control Room'!$A$15-('Control Room'!$B$15-1)/2)/MAX(0.5,'Control Room'!$B$15/4))^2),1)*IF(AND($A587&gt;='Control Room'!$A$16,$A587&lt;'Control Room'!$A$16+'Control Room'!$B$16,'Process'!BQ5=1),1+('Control Room'!$C$16-1)*EXP(-0.5*(($A587-'Control Room'!$A$16-('Control Room'!$B$16-1)/2)/MAX(0.5,'Control Room'!$B$16/4))^2),1)</x:f>
        <x:v>1</x:v>
      </x:c>
      <x:c r="AK587" s="9" t="n">
        <x:f>MOD(AL586*16807,2147483647)</x:f>
        <x:v>1880092316</x:v>
      </x:c>
      <x:c r="AL587" s="9" t="n">
        <x:f>MOD(AK587*16807,2147483647)</x:f>
        <x:v>637173054</x:v>
      </x:c>
      <x:c r="AM587" s="17" t="n">
        <x:f>IF('Control Room'!$B$5="Normal",'Control Room'!$B$7+'Control Room'!$D$7*SQRT(-2*LN(MAX(0.000000000001,AK587/2147483647)))*COS(2*PI()*AL587/2147483647),'Control Room'!$B$8+('Control Room'!$D$8-'Control Room'!$B$8)*AK587/2147483647)</x:f>
        <x:v>986.5738234915904</x:v>
      </x:c>
      <x:c r="AN587" s="17" t="n">
        <x:f>IF('Control Room'!$B$5="Normal",'Control Room'!$B$7,('Control Room'!$B$8+'Control Room'!$D$8)/2)+'Control Room'!$B$9*(AN586-IF('Control Room'!$B$5="Normal",'Control Room'!$B$7,('Control Room'!$B$8+'Control Room'!$D$8)/2))+SQRT(1-'Control Room'!$B$9^2)*(AM587-IF('Control Room'!$B$5="Normal",'Control Room'!$B$7,('Control Room'!$B$8+'Control Room'!$D$8)/2))</x:f>
        <x:v>846.9513839062982</x:v>
      </x:c>
      <x:c r="AO587" s="17" t="n">
        <x:f>IF(AND($A587&gt;='Control Room'!$A$13,$A587&lt;'Control Room'!$A$13+'Control Room'!$B$13,'Process'!BR2=1),1+('Control Room'!$C$13-1)*EXP(-0.5*(($A587-'Control Room'!$A$13-('Control Room'!$B$13-1)/2)/MAX(0.5,'Control Room'!$B$13/4))^2),1)*IF(AND($A587&gt;='Control Room'!$A$14,$A587&lt;'Control Room'!$A$14+'Control Room'!$B$14,'Process'!BR3=1),1+('Control Room'!$C$14-1)*EXP(-0.5*(($A587-'Control Room'!$A$14-('Control Room'!$B$14-1)/2)/MAX(0.5,'Control Room'!$B$14/4))^2),1)*IF(AND($A587&gt;='Control Room'!$A$15,$A587&lt;'Control Room'!$A$15+'Control Room'!$B$15,'Process'!BR4=1),1+('Control Room'!$C$15-1)*EXP(-0.5*(($A587-'Control Room'!$A$15-('Control Room'!$B$15-1)/2)/MAX(0.5,'Control Room'!$B$15/4))^2),1)*IF(AND($A587&gt;='Control Room'!$A$16,$A587&lt;'Control Room'!$A$16+'Control Room'!$B$16,'Process'!BR5=1),1+('Control Room'!$C$16-1)*EXP(-0.5*(($A587-'Control Room'!$A$16-('Control Room'!$B$16-1)/2)/MAX(0.5,'Control Room'!$B$16/4))^2),1)</x:f>
        <x:v>1</x:v>
      </x:c>
      <x:c r="AP587" s="9" t="n">
        <x:f>MOD(AQ586*16807,2147483647)</x:f>
        <x:v>424388965</x:v>
      </x:c>
      <x:c r="AQ587" s="9" t="n">
        <x:f>MOD(AP587*16807,2147483647)</x:f>
        <x:v>912143068</x:v>
      </x:c>
      <x:c r="AR587" s="17" t="n">
        <x:f>IF('Control Room'!$B$5="Normal",'Control Room'!$B$7+'Control Room'!$D$7*SQRT(-2*LN(MAX(0.000000000001,AP587/2147483647)))*COS(2*PI()*AQ587/2147483647),'Control Room'!$B$8+('Control Room'!$D$8-'Control Room'!$B$8)*AP587/2147483647)</x:f>
        <x:v>855.7103998696147</x:v>
      </x:c>
      <x:c r="AS587" s="17" t="n">
        <x:f>IF('Control Room'!$B$5="Normal",'Control Room'!$B$7,('Control Room'!$B$8+'Control Room'!$D$8)/2)+'Control Room'!$B$9*(AS586-IF('Control Room'!$B$5="Normal",'Control Room'!$B$7,('Control Room'!$B$8+'Control Room'!$D$8)/2))+SQRT(1-'Control Room'!$B$9^2)*(AR587-IF('Control Room'!$B$5="Normal",'Control Room'!$B$7,('Control Room'!$B$8+'Control Room'!$D$8)/2))</x:f>
        <x:v>944.5157346780414</x:v>
      </x:c>
      <x:c r="AT587" s="17" t="n">
        <x:f>IF(AND($A587&gt;='Control Room'!$A$13,$A587&lt;'Control Room'!$A$13+'Control Room'!$B$13,'Process'!BS2=1),1+('Control Room'!$C$13-1)*EXP(-0.5*(($A587-'Control Room'!$A$13-('Control Room'!$B$13-1)/2)/MAX(0.5,'Control Room'!$B$13/4))^2),1)*IF(AND($A587&gt;='Control Room'!$A$14,$A587&lt;'Control Room'!$A$14+'Control Room'!$B$14,'Process'!BS3=1),1+('Control Room'!$C$14-1)*EXP(-0.5*(($A587-'Control Room'!$A$14-('Control Room'!$B$14-1)/2)/MAX(0.5,'Control Room'!$B$14/4))^2),1)*IF(AND($A587&gt;='Control Room'!$A$15,$A587&lt;'Control Room'!$A$15+'Control Room'!$B$15,'Process'!BS4=1),1+('Control Room'!$C$15-1)*EXP(-0.5*(($A587-'Control Room'!$A$15-('Control Room'!$B$15-1)/2)/MAX(0.5,'Control Room'!$B$15/4))^2),1)*IF(AND($A587&gt;='Control Room'!$A$16,$A587&lt;'Control Room'!$A$16+'Control Room'!$B$16,'Process'!BS5=1),1+('Control Room'!$C$16-1)*EXP(-0.5*(($A587-'Control Room'!$A$16-('Control Room'!$B$16-1)/2)/MAX(0.5,'Control Room'!$B$16/4))^2),1)</x:f>
        <x:v>1</x:v>
      </x:c>
      <x:c r="AU587" s="9" t="n">
        <x:f>MOD(AV586*16807,2147483647)</x:f>
        <x:v>1116169261</x:v>
      </x:c>
      <x:c r="AV587" s="9" t="n">
        <x:f>MOD(AU587*16807,2147483647)</x:f>
        <x:v>1187113082</x:v>
      </x:c>
      <x:c r="AW587" s="17" t="n">
        <x:f>IF('Control Room'!$B$5="Normal",'Control Room'!$B$7+'Control Room'!$D$7*SQRT(-2*LN(MAX(0.000000000001,AU587/2147483647)))*COS(2*PI()*AV587/2147483647),'Control Room'!$B$8+('Control Room'!$D$8-'Control Room'!$B$8)*AU587/2147483647)</x:f>
        <x:v>902.6505791946786</x:v>
      </x:c>
      <x:c r="AX587" s="17" t="n">
        <x:f>IF('Control Room'!$B$5="Normal",'Control Room'!$B$7,('Control Room'!$B$8+'Control Room'!$D$8)/2)+'Control Room'!$B$9*(AX586-IF('Control Room'!$B$5="Normal",'Control Room'!$B$7,('Control Room'!$B$8+'Control Room'!$D$8)/2))+SQRT(1-'Control Room'!$B$9^2)*(AW587-IF('Control Room'!$B$5="Normal",'Control Room'!$B$7,('Control Room'!$B$8+'Control Room'!$D$8)/2))</x:f>
        <x:v>932.5490028264907</x:v>
      </x:c>
      <x:c r="AY587" s="17" t="n">
        <x:f>IF(AND($A587&gt;='Control Room'!$A$13,$A587&lt;'Control Room'!$A$13+'Control Room'!$B$13,'Process'!BT2=1),1+('Control Room'!$C$13-1)*EXP(-0.5*(($A587-'Control Room'!$A$13-('Control Room'!$B$13-1)/2)/MAX(0.5,'Control Room'!$B$13/4))^2),1)*IF(AND($A587&gt;='Control Room'!$A$14,$A587&lt;'Control Room'!$A$14+'Control Room'!$B$14,'Process'!BT3=1),1+('Control Room'!$C$14-1)*EXP(-0.5*(($A587-'Control Room'!$A$14-('Control Room'!$B$14-1)/2)/MAX(0.5,'Control Room'!$B$14/4))^2),1)*IF(AND($A587&gt;='Control Room'!$A$15,$A587&lt;'Control Room'!$A$15+'Control Room'!$B$15,'Process'!BT4=1),1+('Control Room'!$C$15-1)*EXP(-0.5*(($A587-'Control Room'!$A$15-('Control Room'!$B$15-1)/2)/MAX(0.5,'Control Room'!$B$15/4))^2),1)*IF(AND($A587&gt;='Control Room'!$A$16,$A587&lt;'Control Room'!$A$16+'Control Room'!$B$16,'Process'!BT5=1),1+('Control Room'!$C$16-1)*EXP(-0.5*(($A587-'Control Room'!$A$16-('Control Room'!$B$16-1)/2)/MAX(0.5,'Control Room'!$B$16/4))^2),1)</x:f>
        <x:v>1</x:v>
      </x:c>
      <x:c r="AZ587" s="9" t="n">
        <x:f>MOD(BA586*16807,2147483647)</x:f>
        <x:v>1807949557</x:v>
      </x:c>
      <x:c r="BA587" s="9" t="n">
        <x:f>MOD(AZ587*16807,2147483647)</x:f>
        <x:v>1462083096</x:v>
      </x:c>
      <x:c r="BB587" s="17" t="n">
        <x:f>IF('Control Room'!$B$5="Normal",'Control Room'!$B$7+'Control Room'!$D$7*SQRT(-2*LN(MAX(0.000000000001,AZ587/2147483647)))*COS(2*PI()*BA587/2147483647),'Control Room'!$B$8+('Control Room'!$D$8-'Control Room'!$B$8)*AZ587/2147483647)</x:f>
        <x:v>977.7690229956071</x:v>
      </x:c>
      <x:c r="BC587" s="17" t="n">
        <x:f>IF('Control Room'!$B$5="Normal",'Control Room'!$B$7,('Control Room'!$B$8+'Control Room'!$D$8)/2)+'Control Room'!$B$9*(BC586-IF('Control Room'!$B$5="Normal",'Control Room'!$B$7,('Control Room'!$B$8+'Control Room'!$D$8)/2))+SQRT(1-'Control Room'!$B$9^2)*(BB587-IF('Control Room'!$B$5="Normal",'Control Room'!$B$7,('Control Room'!$B$8+'Control Room'!$D$8)/2))</x:f>
        <x:v>989.4426441712403</x:v>
      </x:c>
      <x:c r="BD587" s="17" t="n">
        <x:f>IF(AND($A587&gt;='Control Room'!$A$13,$A587&lt;'Control Room'!$A$13+'Control Room'!$B$13,'Process'!BU2=1),1+('Control Room'!$C$13-1)*EXP(-0.5*(($A587-'Control Room'!$A$13-('Control Room'!$B$13-1)/2)/MAX(0.5,'Control Room'!$B$13/4))^2),1)*IF(AND($A587&gt;='Control Room'!$A$14,$A587&lt;'Control Room'!$A$14+'Control Room'!$B$14,'Process'!BU3=1),1+('Control Room'!$C$14-1)*EXP(-0.5*(($A587-'Control Room'!$A$14-('Control Room'!$B$14-1)/2)/MAX(0.5,'Control Room'!$B$14/4))^2),1)*IF(AND($A587&gt;='Control Room'!$A$15,$A587&lt;'Control Room'!$A$15+'Control Room'!$B$15,'Process'!BU4=1),1+('Control Room'!$C$15-1)*EXP(-0.5*(($A587-'Control Room'!$A$15-('Control Room'!$B$15-1)/2)/MAX(0.5,'Control Room'!$B$15/4))^2),1)*IF(AND($A587&gt;='Control Room'!$A$16,$A587&lt;'Control Room'!$A$16+'Control Room'!$B$16,'Process'!BU5=1),1+('Control Room'!$C$16-1)*EXP(-0.5*(($A587-'Control Room'!$A$16-('Control Room'!$B$16-1)/2)/MAX(0.5,'Control Room'!$B$16/4))^2),1)</x:f>
        <x:v>1</x:v>
      </x:c>
      <x:c r="BE587" s="9" t="n">
        <x:f>MOD(BF586*16807,2147483647)</x:f>
        <x:v>352246206</x:v>
      </x:c>
      <x:c r="BF587" s="9" t="n">
        <x:f>MOD(BE587*16807,2147483647)</x:f>
        <x:v>1737053110</x:v>
      </x:c>
      <x:c r="BG587" s="17" t="n">
        <x:f>IF('Control Room'!$B$5="Normal",'Control Room'!$B$7+'Control Room'!$D$7*SQRT(-2*LN(MAX(0.000000000001,BE587/2147483647)))*COS(2*PI()*BF587/2147483647),'Control Room'!$B$8+('Control Room'!$D$8-'Control Room'!$B$8)*BE587/2147483647)</x:f>
        <x:v>1061.8738775863249</x:v>
      </x:c>
      <x:c r="BH587" s="17" t="n">
        <x:f>IF('Control Room'!$B$5="Normal",'Control Room'!$B$7,('Control Room'!$B$8+'Control Room'!$D$8)/2)+'Control Room'!$B$9*(BH586-IF('Control Room'!$B$5="Normal",'Control Room'!$B$7,('Control Room'!$B$8+'Control Room'!$D$8)/2))+SQRT(1-'Control Room'!$B$9^2)*(BG587-IF('Control Room'!$B$5="Normal",'Control Room'!$B$7,('Control Room'!$B$8+'Control Room'!$D$8)/2))</x:f>
        <x:v>1142.981362052455</x:v>
      </x:c>
      <x:c r="BI587" s="17" t="n">
        <x:f>IF(AND($A587&gt;='Control Room'!$A$13,$A587&lt;'Control Room'!$A$13+'Control Room'!$B$13,'Process'!BV2=1),1+('Control Room'!$C$13-1)*EXP(-0.5*(($A587-'Control Room'!$A$13-('Control Room'!$B$13-1)/2)/MAX(0.5,'Control Room'!$B$13/4))^2),1)*IF(AND($A587&gt;='Control Room'!$A$14,$A587&lt;'Control Room'!$A$14+'Control Room'!$B$14,'Process'!BV3=1),1+('Control Room'!$C$14-1)*EXP(-0.5*(($A587-'Control Room'!$A$14-('Control Room'!$B$14-1)/2)/MAX(0.5,'Control Room'!$B$14/4))^2),1)*IF(AND($A587&gt;='Control Room'!$A$15,$A587&lt;'Control Room'!$A$15+'Control Room'!$B$15,'Process'!BV4=1),1+('Control Room'!$C$15-1)*EXP(-0.5*(($A587-'Control Room'!$A$15-('Control Room'!$B$15-1)/2)/MAX(0.5,'Control Room'!$B$15/4))^2),1)*IF(AND($A587&gt;='Control Room'!$A$16,$A587&lt;'Control Room'!$A$16+'Control Room'!$B$16,'Process'!BV5=1),1+('Control Room'!$C$16-1)*EXP(-0.5*(($A587-'Control Room'!$A$16-('Control Room'!$B$16-1)/2)/MAX(0.5,'Control Room'!$B$16/4))^2),1)</x:f>
        <x:v>1</x:v>
      </x:c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Z587" t="str">
        <x:f>IF('Data'!A587="","",TEXT('Data'!A587,"mm-dd"))</x:f>
      </x:c>
    </x:row>
    <x:row r="588" ht="21" customHeight="1">
      <x:c r="A588" s="15" t="n">
        <x:f>'Control Room'!$B$1+586</x:f>
        <x:v>73577</x:v>
      </x:c>
      <x:c r="B588" s="9" t="n">
        <x:f>MOD(C587*16807,2147483647)</x:f>
        <x:v>1360535958</x:v>
      </x:c>
      <x:c r="C588" s="9" t="n">
        <x:f>MOD(B588*16807,2147483647)</x:f>
        <x:v>121972850</x:v>
      </x:c>
      <x:c r="D588" s="17" t="n">
        <x:f>IF('Control Room'!$B$5="Normal",'Control Room'!$B$7+'Control Room'!$D$7*SQRT(-2*LN(MAX(0.000000000001,B588/2147483647)))*COS(2*PI()*C588/2147483647),'Control Room'!$B$8+('Control Room'!$D$8-'Control Room'!$B$8)*B588/2147483647)</x:f>
        <x:v>1080.5704339917306</x:v>
      </x:c>
      <x:c r="E588" s="17" t="n">
        <x:f>IF('Control Room'!$B$5="Normal",'Control Room'!$B$7,('Control Room'!$B$8+'Control Room'!$D$8)/2)+'Control Room'!$B$9*(E587-IF('Control Room'!$B$5="Normal",'Control Room'!$B$7,('Control Room'!$B$8+'Control Room'!$D$8)/2))+SQRT(1-'Control Room'!$B$9^2)*(D588-IF('Control Room'!$B$5="Normal",'Control Room'!$B$7,('Control Room'!$B$8+'Control Room'!$D$8)/2))</x:f>
        <x:v>1019.3677661568062</x:v>
      </x:c>
      <x:c r="F588" s="17" t="n">
        <x:f>IF(AND($A588&gt;='Control Room'!$A$13,$A588&lt;'Control Room'!$A$13+'Control Room'!$B$13,'Process'!BK2=1),1+('Control Room'!$C$13-1)*EXP(-0.5*(($A588-'Control Room'!$A$13-('Control Room'!$B$13-1)/2)/MAX(0.5,'Control Room'!$B$13/4))^2),1)*IF(AND($A588&gt;='Control Room'!$A$14,$A588&lt;'Control Room'!$A$14+'Control Room'!$B$14,'Process'!BK3=1),1+('Control Room'!$C$14-1)*EXP(-0.5*(($A588-'Control Room'!$A$14-('Control Room'!$B$14-1)/2)/MAX(0.5,'Control Room'!$B$14/4))^2),1)*IF(AND($A588&gt;='Control Room'!$A$15,$A588&lt;'Control Room'!$A$15+'Control Room'!$B$15,'Process'!BK4=1),1+('Control Room'!$C$15-1)*EXP(-0.5*(($A588-'Control Room'!$A$15-('Control Room'!$B$15-1)/2)/MAX(0.5,'Control Room'!$B$15/4))^2),1)*IF(AND($A588&gt;='Control Room'!$A$16,$A588&lt;'Control Room'!$A$16+'Control Room'!$B$16,'Process'!BK5=1),1+('Control Room'!$C$16-1)*EXP(-0.5*(($A588-'Control Room'!$A$16-('Control Room'!$B$16-1)/2)/MAX(0.5,'Control Room'!$B$16/4))^2),1)</x:f>
        <x:v>1</x:v>
      </x:c>
      <x:c r="G588" s="9" t="n">
        <x:f>MOD(H587*16807,2147483647)</x:f>
        <x:v>1396752912</x:v>
      </x:c>
      <x:c r="H588" s="9" t="n">
        <x:f>MOD(G588*16807,2147483647)</x:f>
        <x:v>1082446627</x:v>
      </x:c>
      <x:c r="I588" s="17" t="n">
        <x:f>IF('Control Room'!$B$5="Normal",'Control Room'!$B$7+'Control Room'!$D$7*SQRT(-2*LN(MAX(0.000000000001,G588/2147483647)))*COS(2*PI()*H588/2147483647),'Control Room'!$B$8+('Control Room'!$D$8-'Control Room'!$B$8)*G588/2147483647)</x:f>
        <x:v>916.5502832356226</x:v>
      </x:c>
      <x:c r="J588" s="17" t="n">
        <x:f>IF('Control Room'!$B$5="Normal",'Control Room'!$B$7,('Control Room'!$B$8+'Control Room'!$D$8)/2)+'Control Room'!$B$9*(J587-IF('Control Room'!$B$5="Normal",'Control Room'!$B$7,('Control Room'!$B$8+'Control Room'!$D$8)/2))+SQRT(1-'Control Room'!$B$9^2)*(I588-IF('Control Room'!$B$5="Normal",'Control Room'!$B$7,('Control Room'!$B$8+'Control Room'!$D$8)/2))</x:f>
        <x:v>926.1142237887934</x:v>
      </x:c>
      <x:c r="K588" s="17" t="n">
        <x:f>IF(AND($A588&gt;='Control Room'!$A$13,$A588&lt;'Control Room'!$A$13+'Control Room'!$B$13,'Process'!BL2=1),1+('Control Room'!$C$13-1)*EXP(-0.5*(($A588-'Control Room'!$A$13-('Control Room'!$B$13-1)/2)/MAX(0.5,'Control Room'!$B$13/4))^2),1)*IF(AND($A588&gt;='Control Room'!$A$14,$A588&lt;'Control Room'!$A$14+'Control Room'!$B$14,'Process'!BL3=1),1+('Control Room'!$C$14-1)*EXP(-0.5*(($A588-'Control Room'!$A$14-('Control Room'!$B$14-1)/2)/MAX(0.5,'Control Room'!$B$14/4))^2),1)*IF(AND($A588&gt;='Control Room'!$A$15,$A588&lt;'Control Room'!$A$15+'Control Room'!$B$15,'Process'!BL4=1),1+('Control Room'!$C$15-1)*EXP(-0.5*(($A588-'Control Room'!$A$15-('Control Room'!$B$15-1)/2)/MAX(0.5,'Control Room'!$B$15/4))^2),1)*IF(AND($A588&gt;='Control Room'!$A$16,$A588&lt;'Control Room'!$A$16+'Control Room'!$B$16,'Process'!BL5=1),1+('Control Room'!$C$16-1)*EXP(-0.5*(($A588-'Control Room'!$A$16-('Control Room'!$B$16-1)/2)/MAX(0.5,'Control Room'!$B$16/4))^2),1)</x:f>
        <x:v>1</x:v>
      </x:c>
      <x:c r="L588" s="9" t="n">
        <x:f>MOD(M587*16807,2147483647)</x:f>
        <x:v>1432969866</x:v>
      </x:c>
      <x:c r="M588" s="9" t="n">
        <x:f>MOD(L588*16807,2147483647)</x:f>
        <x:v>2042920404</x:v>
      </x:c>
      <x:c r="N588" s="17" t="n">
        <x:f>IF('Control Room'!$B$5="Normal",'Control Room'!$B$7+'Control Room'!$D$7*SQRT(-2*LN(MAX(0.000000000001,L588/2147483647)))*COS(2*PI()*M588/2147483647),'Control Room'!$B$8+('Control Room'!$D$8-'Control Room'!$B$8)*L588/2147483647)</x:f>
        <x:v>1077.1956811416148</x:v>
      </x:c>
      <x:c r="O588" s="17" t="n">
        <x:f>IF('Control Room'!$B$5="Normal",'Control Room'!$B$7,('Control Room'!$B$8+'Control Room'!$D$8)/2)+'Control Room'!$B$9*(O587-IF('Control Room'!$B$5="Normal",'Control Room'!$B$7,('Control Room'!$B$8+'Control Room'!$D$8)/2))+SQRT(1-'Control Room'!$B$9^2)*(N588-IF('Control Room'!$B$5="Normal",'Control Room'!$B$7,('Control Room'!$B$8+'Control Room'!$D$8)/2))</x:f>
        <x:v>944.8103546137379</x:v>
      </x:c>
      <x:c r="P588" s="17" t="n">
        <x:f>IF(AND($A588&gt;='Control Room'!$A$13,$A588&lt;'Control Room'!$A$13+'Control Room'!$B$13,'Process'!BM2=1),1+('Control Room'!$C$13-1)*EXP(-0.5*(($A588-'Control Room'!$A$13-('Control Room'!$B$13-1)/2)/MAX(0.5,'Control Room'!$B$13/4))^2),1)*IF(AND($A588&gt;='Control Room'!$A$14,$A588&lt;'Control Room'!$A$14+'Control Room'!$B$14,'Process'!BM3=1),1+('Control Room'!$C$14-1)*EXP(-0.5*(($A588-'Control Room'!$A$14-('Control Room'!$B$14-1)/2)/MAX(0.5,'Control Room'!$B$14/4))^2),1)*IF(AND($A588&gt;='Control Room'!$A$15,$A588&lt;'Control Room'!$A$15+'Control Room'!$B$15,'Process'!BM4=1),1+('Control Room'!$C$15-1)*EXP(-0.5*(($A588-'Control Room'!$A$15-('Control Room'!$B$15-1)/2)/MAX(0.5,'Control Room'!$B$15/4))^2),1)*IF(AND($A588&gt;='Control Room'!$A$16,$A588&lt;'Control Room'!$A$16+'Control Room'!$B$16,'Process'!BM5=1),1+('Control Room'!$C$16-1)*EXP(-0.5*(($A588-'Control Room'!$A$16-('Control Room'!$B$16-1)/2)/MAX(0.5,'Control Room'!$B$16/4))^2),1)</x:f>
        <x:v>1</x:v>
      </x:c>
      <x:c r="Q588" s="9" t="n">
        <x:f>MOD(R587*16807,2147483647)</x:f>
        <x:v>1469186820</x:v>
      </x:c>
      <x:c r="R588" s="9" t="n">
        <x:f>MOD(Q588*16807,2147483647)</x:f>
        <x:v>855910534</x:v>
      </x:c>
      <x:c r="S588" s="17" t="n">
        <x:f>IF('Control Room'!$B$5="Normal",'Control Room'!$B$7+'Control Room'!$D$7*SQRT(-2*LN(MAX(0.000000000001,Q588/2147483647)))*COS(2*PI()*R588/2147483647),'Control Room'!$B$8+('Control Room'!$D$8-'Control Room'!$B$8)*Q588/2147483647)</x:f>
        <x:v>936.9771630157645</x:v>
      </x:c>
      <x:c r="T588" s="17" t="n">
        <x:f>IF('Control Room'!$B$5="Normal",'Control Room'!$B$7,('Control Room'!$B$8+'Control Room'!$D$8)/2)+'Control Room'!$B$9*(T587-IF('Control Room'!$B$5="Normal",'Control Room'!$B$7,('Control Room'!$B$8+'Control Room'!$D$8)/2))+SQRT(1-'Control Room'!$B$9^2)*(S588-IF('Control Room'!$B$5="Normal",'Control Room'!$B$7,('Control Room'!$B$8+'Control Room'!$D$8)/2))</x:f>
        <x:v>997.2003128554609</x:v>
      </x:c>
      <x:c r="U588" s="17" t="n">
        <x:f>IF(AND($A588&gt;='Control Room'!$A$13,$A588&lt;'Control Room'!$A$13+'Control Room'!$B$13,'Process'!BN2=1),1+('Control Room'!$C$13-1)*EXP(-0.5*(($A588-'Control Room'!$A$13-('Control Room'!$B$13-1)/2)/MAX(0.5,'Control Room'!$B$13/4))^2),1)*IF(AND($A588&gt;='Control Room'!$A$14,$A588&lt;'Control Room'!$A$14+'Control Room'!$B$14,'Process'!BN3=1),1+('Control Room'!$C$14-1)*EXP(-0.5*(($A588-'Control Room'!$A$14-('Control Room'!$B$14-1)/2)/MAX(0.5,'Control Room'!$B$14/4))^2),1)*IF(AND($A588&gt;='Control Room'!$A$15,$A588&lt;'Control Room'!$A$15+'Control Room'!$B$15,'Process'!BN4=1),1+('Control Room'!$C$15-1)*EXP(-0.5*(($A588-'Control Room'!$A$15-('Control Room'!$B$15-1)/2)/MAX(0.5,'Control Room'!$B$15/4))^2),1)*IF(AND($A588&gt;='Control Room'!$A$16,$A588&lt;'Control Room'!$A$16+'Control Room'!$B$16,'Process'!BN5=1),1+('Control Room'!$C$16-1)*EXP(-0.5*(($A588-'Control Room'!$A$16-('Control Room'!$B$16-1)/2)/MAX(0.5,'Control Room'!$B$16/4))^2),1)</x:f>
        <x:v>1</x:v>
      </x:c>
      <x:c r="V588" s="9" t="n">
        <x:f>MOD(W587*16807,2147483647)</x:f>
        <x:v>1505403774</x:v>
      </x:c>
      <x:c r="W588" s="9" t="n">
        <x:f>MOD(V588*16807,2147483647)</x:f>
        <x:v>1816384311</x:v>
      </x:c>
      <x:c r="X588" s="17" t="n">
        <x:f>IF('Control Room'!$B$5="Normal",'Control Room'!$B$7+'Control Room'!$D$7*SQRT(-2*LN(MAX(0.000000000001,V588/2147483647)))*COS(2*PI()*W588/2147483647),'Control Room'!$B$8+('Control Room'!$D$8-'Control Room'!$B$8)*V588/2147483647)</x:f>
        <x:v>1042.9625716901528</x:v>
      </x:c>
      <x:c r="Y588" s="17" t="n">
        <x:f>IF('Control Room'!$B$5="Normal",'Control Room'!$B$7,('Control Room'!$B$8+'Control Room'!$D$8)/2)+'Control Room'!$B$9*(Y587-IF('Control Room'!$B$5="Normal",'Control Room'!$B$7,('Control Room'!$B$8+'Control Room'!$D$8)/2))+SQRT(1-'Control Room'!$B$9^2)*(X588-IF('Control Room'!$B$5="Normal",'Control Room'!$B$7,('Control Room'!$B$8+'Control Room'!$D$8)/2))</x:f>
        <x:v>1014.1020201476961</x:v>
      </x:c>
      <x:c r="Z588" s="17" t="n">
        <x:f>IF(AND($A588&gt;='Control Room'!$A$13,$A588&lt;'Control Room'!$A$13+'Control Room'!$B$13,'Process'!BO2=1),1+('Control Room'!$C$13-1)*EXP(-0.5*(($A588-'Control Room'!$A$13-('Control Room'!$B$13-1)/2)/MAX(0.5,'Control Room'!$B$13/4))^2),1)*IF(AND($A588&gt;='Control Room'!$A$14,$A588&lt;'Control Room'!$A$14+'Control Room'!$B$14,'Process'!BO3=1),1+('Control Room'!$C$14-1)*EXP(-0.5*(($A588-'Control Room'!$A$14-('Control Room'!$B$14-1)/2)/MAX(0.5,'Control Room'!$B$14/4))^2),1)*IF(AND($A588&gt;='Control Room'!$A$15,$A588&lt;'Control Room'!$A$15+'Control Room'!$B$15,'Process'!BO4=1),1+('Control Room'!$C$15-1)*EXP(-0.5*(($A588-'Control Room'!$A$15-('Control Room'!$B$15-1)/2)/MAX(0.5,'Control Room'!$B$15/4))^2),1)*IF(AND($A588&gt;='Control Room'!$A$16,$A588&lt;'Control Room'!$A$16+'Control Room'!$B$16,'Process'!BO5=1),1+('Control Room'!$C$16-1)*EXP(-0.5*(($A588-'Control Room'!$A$16-('Control Room'!$B$16-1)/2)/MAX(0.5,'Control Room'!$B$16/4))^2),1)</x:f>
        <x:v>1</x:v>
      </x:c>
      <x:c r="AA588" s="9" t="n">
        <x:f>MOD(AB587*16807,2147483647)</x:f>
        <x:v>1541620728</x:v>
      </x:c>
      <x:c r="AB588" s="9" t="n">
        <x:f>MOD(AA588*16807,2147483647)</x:f>
        <x:v>629374441</x:v>
      </x:c>
      <x:c r="AC588" s="17" t="n">
        <x:f>IF('Control Room'!$B$5="Normal",'Control Room'!$B$7+'Control Room'!$D$7*SQRT(-2*LN(MAX(0.000000000001,AA588/2147483647)))*COS(2*PI()*AB588/2147483647),'Control Room'!$B$8+('Control Room'!$D$8-'Control Room'!$B$8)*AA588/2147483647)</x:f>
        <x:v>980.4084918275821</x:v>
      </x:c>
      <x:c r="AD588" s="17" t="n">
        <x:f>IF('Control Room'!$B$5="Normal",'Control Room'!$B$7,('Control Room'!$B$8+'Control Room'!$D$8)/2)+'Control Room'!$B$9*(AD587-IF('Control Room'!$B$5="Normal",'Control Room'!$B$7,('Control Room'!$B$8+'Control Room'!$D$8)/2))+SQRT(1-'Control Room'!$B$9^2)*(AC588-IF('Control Room'!$B$5="Normal",'Control Room'!$B$7,('Control Room'!$B$8+'Control Room'!$D$8)/2))</x:f>
        <x:v>1105.4929197673373</x:v>
      </x:c>
      <x:c r="AE588" s="17" t="n">
        <x:f>IF(AND($A588&gt;='Control Room'!$A$13,$A588&lt;'Control Room'!$A$13+'Control Room'!$B$13,'Process'!BP2=1),1+('Control Room'!$C$13-1)*EXP(-0.5*(($A588-'Control Room'!$A$13-('Control Room'!$B$13-1)/2)/MAX(0.5,'Control Room'!$B$13/4))^2),1)*IF(AND($A588&gt;='Control Room'!$A$14,$A588&lt;'Control Room'!$A$14+'Control Room'!$B$14,'Process'!BP3=1),1+('Control Room'!$C$14-1)*EXP(-0.5*(($A588-'Control Room'!$A$14-('Control Room'!$B$14-1)/2)/MAX(0.5,'Control Room'!$B$14/4))^2),1)*IF(AND($A588&gt;='Control Room'!$A$15,$A588&lt;'Control Room'!$A$15+'Control Room'!$B$15,'Process'!BP4=1),1+('Control Room'!$C$15-1)*EXP(-0.5*(($A588-'Control Room'!$A$15-('Control Room'!$B$15-1)/2)/MAX(0.5,'Control Room'!$B$15/4))^2),1)*IF(AND($A588&gt;='Control Room'!$A$16,$A588&lt;'Control Room'!$A$16+'Control Room'!$B$16,'Process'!BP5=1),1+('Control Room'!$C$16-1)*EXP(-0.5*(($A588-'Control Room'!$A$16-('Control Room'!$B$16-1)/2)/MAX(0.5,'Control Room'!$B$16/4))^2),1)</x:f>
        <x:v>1</x:v>
      </x:c>
      <x:c r="AF588" s="9" t="n">
        <x:f>MOD(AG587*16807,2147483647)</x:f>
        <x:v>1577837682</x:v>
      </x:c>
      <x:c r="AG588" s="9" t="n">
        <x:f>MOD(AF588*16807,2147483647)</x:f>
        <x:v>1589848218</x:v>
      </x:c>
      <x:c r="AH588" s="17" t="n">
        <x:f>IF('Control Room'!$B$5="Normal",'Control Room'!$B$7+'Control Room'!$D$7*SQRT(-2*LN(MAX(0.000000000001,AF588/2147483647)))*COS(2*PI()*AG588/2147483647),'Control Room'!$B$8+('Control Room'!$D$8-'Control Room'!$B$8)*AF588/2147483647)</x:f>
        <x:v>995.7095026181998</x:v>
      </x:c>
      <x:c r="AI588" s="17" t="n">
        <x:f>IF('Control Room'!$B$5="Normal",'Control Room'!$B$7,('Control Room'!$B$8+'Control Room'!$D$8)/2)+'Control Room'!$B$9*(AI587-IF('Control Room'!$B$5="Normal",'Control Room'!$B$7,('Control Room'!$B$8+'Control Room'!$D$8)/2))+SQRT(1-'Control Room'!$B$9^2)*(AH588-IF('Control Room'!$B$5="Normal",'Control Room'!$B$7,('Control Room'!$B$8+'Control Room'!$D$8)/2))</x:f>
        <x:v>985.3344405234803</x:v>
      </x:c>
      <x:c r="AJ588" s="17" t="n">
        <x:f>IF(AND($A588&gt;='Control Room'!$A$13,$A588&lt;'Control Room'!$A$13+'Control Room'!$B$13,'Process'!BQ2=1),1+('Control Room'!$C$13-1)*EXP(-0.5*(($A588-'Control Room'!$A$13-('Control Room'!$B$13-1)/2)/MAX(0.5,'Control Room'!$B$13/4))^2),1)*IF(AND($A588&gt;='Control Room'!$A$14,$A588&lt;'Control Room'!$A$14+'Control Room'!$B$14,'Process'!BQ3=1),1+('Control Room'!$C$14-1)*EXP(-0.5*(($A588-'Control Room'!$A$14-('Control Room'!$B$14-1)/2)/MAX(0.5,'Control Room'!$B$14/4))^2),1)*IF(AND($A588&gt;='Control Room'!$A$15,$A588&lt;'Control Room'!$A$15+'Control Room'!$B$15,'Process'!BQ4=1),1+('Control Room'!$C$15-1)*EXP(-0.5*(($A588-'Control Room'!$A$15-('Control Room'!$B$15-1)/2)/MAX(0.5,'Control Room'!$B$15/4))^2),1)*IF(AND($A588&gt;='Control Room'!$A$16,$A588&lt;'Control Room'!$A$16+'Control Room'!$B$16,'Process'!BQ5=1),1+('Control Room'!$C$16-1)*EXP(-0.5*(($A588-'Control Room'!$A$16-('Control Room'!$B$16-1)/2)/MAX(0.5,'Control Room'!$B$16/4))^2),1)</x:f>
        <x:v>1</x:v>
      </x:c>
      <x:c r="AK588" s="9" t="n">
        <x:f>MOD(AL587*16807,2147483647)</x:f>
        <x:v>1614054636</x:v>
      </x:c>
      <x:c r="AL588" s="9" t="n">
        <x:f>MOD(AK588*16807,2147483647)</x:f>
        <x:v>402838348</x:v>
      </x:c>
      <x:c r="AM588" s="17" t="n">
        <x:f>IF('Control Room'!$B$5="Normal",'Control Room'!$B$7+'Control Room'!$D$7*SQRT(-2*LN(MAX(0.000000000001,AK588/2147483647)))*COS(2*PI()*AL588/2147483647),'Control Room'!$B$8+('Control Room'!$D$8-'Control Room'!$B$8)*AK588/2147483647)</x:f>
        <x:v>1025.9936799196973</x:v>
      </x:c>
      <x:c r="AN588" s="17" t="n">
        <x:f>IF('Control Room'!$B$5="Normal",'Control Room'!$B$7,('Control Room'!$B$8+'Control Room'!$D$8)/2)+'Control Room'!$B$9*(AN587-IF('Control Room'!$B$5="Normal",'Control Room'!$B$7,('Control Room'!$B$8+'Control Room'!$D$8)/2))+SQRT(1-'Control Room'!$B$9^2)*(AM588-IF('Control Room'!$B$5="Normal",'Control Room'!$B$7,('Control Room'!$B$8+'Control Room'!$D$8)/2))</x:f>
        <x:v>896.8883918311816</x:v>
      </x:c>
      <x:c r="AO588" s="17" t="n">
        <x:f>IF(AND($A588&gt;='Control Room'!$A$13,$A588&lt;'Control Room'!$A$13+'Control Room'!$B$13,'Process'!BR2=1),1+('Control Room'!$C$13-1)*EXP(-0.5*(($A588-'Control Room'!$A$13-('Control Room'!$B$13-1)/2)/MAX(0.5,'Control Room'!$B$13/4))^2),1)*IF(AND($A588&gt;='Control Room'!$A$14,$A588&lt;'Control Room'!$A$14+'Control Room'!$B$14,'Process'!BR3=1),1+('Control Room'!$C$14-1)*EXP(-0.5*(($A588-'Control Room'!$A$14-('Control Room'!$B$14-1)/2)/MAX(0.5,'Control Room'!$B$14/4))^2),1)*IF(AND($A588&gt;='Control Room'!$A$15,$A588&lt;'Control Room'!$A$15+'Control Room'!$B$15,'Process'!BR4=1),1+('Control Room'!$C$15-1)*EXP(-0.5*(($A588-'Control Room'!$A$15-('Control Room'!$B$15-1)/2)/MAX(0.5,'Control Room'!$B$15/4))^2),1)*IF(AND($A588&gt;='Control Room'!$A$16,$A588&lt;'Control Room'!$A$16+'Control Room'!$B$16,'Process'!BR5=1),1+('Control Room'!$C$16-1)*EXP(-0.5*(($A588-'Control Room'!$A$16-('Control Room'!$B$16-1)/2)/MAX(0.5,'Control Room'!$B$16/4))^2),1)</x:f>
        <x:v>1</x:v>
      </x:c>
      <x:c r="AP588" s="9" t="n">
        <x:f>MOD(AQ587*16807,2147483647)</x:f>
        <x:v>1650271590</x:v>
      </x:c>
      <x:c r="AQ588" s="9" t="n">
        <x:f>MOD(AP588*16807,2147483647)</x:f>
        <x:v>1363312125</x:v>
      </x:c>
      <x:c r="AR588" s="17" t="n">
        <x:f>IF('Control Room'!$B$5="Normal",'Control Room'!$B$7+'Control Room'!$D$7*SQRT(-2*LN(MAX(0.000000000001,AP588/2147483647)))*COS(2*PI()*AQ588/2147483647),'Control Room'!$B$8+('Control Room'!$D$8-'Control Room'!$B$8)*AP588/2147483647)</x:f>
        <x:v>956.7560160036659</x:v>
      </x:c>
      <x:c r="AS588" s="17" t="n">
        <x:f>IF('Control Room'!$B$5="Normal",'Control Room'!$B$7,('Control Room'!$B$8+'Control Room'!$D$8)/2)+'Control Room'!$B$9*(AS587-IF('Control Room'!$B$5="Normal",'Control Room'!$B$7,('Control Room'!$B$8+'Control Room'!$D$8)/2))+SQRT(1-'Control Room'!$B$9^2)*(AR588-IF('Control Room'!$B$5="Normal",'Control Room'!$B$7,('Control Room'!$B$8+'Control Room'!$D$8)/2))</x:f>
        <x:v>929.6610737651316</x:v>
      </x:c>
      <x:c r="AT588" s="17" t="n">
        <x:f>IF(AND($A588&gt;='Control Room'!$A$13,$A588&lt;'Control Room'!$A$13+'Control Room'!$B$13,'Process'!BS2=1),1+('Control Room'!$C$13-1)*EXP(-0.5*(($A588-'Control Room'!$A$13-('Control Room'!$B$13-1)/2)/MAX(0.5,'Control Room'!$B$13/4))^2),1)*IF(AND($A588&gt;='Control Room'!$A$14,$A588&lt;'Control Room'!$A$14+'Control Room'!$B$14,'Process'!BS3=1),1+('Control Room'!$C$14-1)*EXP(-0.5*(($A588-'Control Room'!$A$14-('Control Room'!$B$14-1)/2)/MAX(0.5,'Control Room'!$B$14/4))^2),1)*IF(AND($A588&gt;='Control Room'!$A$15,$A588&lt;'Control Room'!$A$15+'Control Room'!$B$15,'Process'!BS4=1),1+('Control Room'!$C$15-1)*EXP(-0.5*(($A588-'Control Room'!$A$15-('Control Room'!$B$15-1)/2)/MAX(0.5,'Control Room'!$B$15/4))^2),1)*IF(AND($A588&gt;='Control Room'!$A$16,$A588&lt;'Control Room'!$A$16+'Control Room'!$B$16,'Process'!BS5=1),1+('Control Room'!$C$16-1)*EXP(-0.5*(($A588-'Control Room'!$A$16-('Control Room'!$B$16-1)/2)/MAX(0.5,'Control Room'!$B$16/4))^2),1)</x:f>
        <x:v>1</x:v>
      </x:c>
      <x:c r="AU588" s="9" t="n">
        <x:f>MOD(AV587*16807,2147483647)</x:f>
        <x:v>1686488544</x:v>
      </x:c>
      <x:c r="AV588" s="9" t="n">
        <x:f>MOD(AU588*16807,2147483647)</x:f>
        <x:v>176302255</x:v>
      </x:c>
      <x:c r="AW588" s="17" t="n">
        <x:f>IF('Control Room'!$B$5="Normal",'Control Room'!$B$7+'Control Room'!$D$7*SQRT(-2*LN(MAX(0.000000000001,AU588/2147483647)))*COS(2*PI()*AV588/2147483647),'Control Room'!$B$8+('Control Room'!$D$8-'Control Room'!$B$8)*AU588/2147483647)</x:f>
        <x:v>1054.426455118256</x:v>
      </x:c>
      <x:c r="AX588" s="17" t="n">
        <x:f>IF('Control Room'!$B$5="Normal",'Control Room'!$B$7,('Control Room'!$B$8+'Control Room'!$D$8)/2)+'Control Room'!$B$9*(AX587-IF('Control Room'!$B$5="Normal",'Control Room'!$B$7,('Control Room'!$B$8+'Control Room'!$D$8)/2))+SQRT(1-'Control Room'!$B$9^2)*(AW588-IF('Control Room'!$B$5="Normal",'Control Room'!$B$7,('Control Room'!$B$8+'Control Room'!$D$8)/2))</x:f>
        <x:v>981.4471828311293</x:v>
      </x:c>
      <x:c r="AY588" s="17" t="n">
        <x:f>IF(AND($A588&gt;='Control Room'!$A$13,$A588&lt;'Control Room'!$A$13+'Control Room'!$B$13,'Process'!BT2=1),1+('Control Room'!$C$13-1)*EXP(-0.5*(($A588-'Control Room'!$A$13-('Control Room'!$B$13-1)/2)/MAX(0.5,'Control Room'!$B$13/4))^2),1)*IF(AND($A588&gt;='Control Room'!$A$14,$A588&lt;'Control Room'!$A$14+'Control Room'!$B$14,'Process'!BT3=1),1+('Control Room'!$C$14-1)*EXP(-0.5*(($A588-'Control Room'!$A$14-('Control Room'!$B$14-1)/2)/MAX(0.5,'Control Room'!$B$14/4))^2),1)*IF(AND($A588&gt;='Control Room'!$A$15,$A588&lt;'Control Room'!$A$15+'Control Room'!$B$15,'Process'!BT4=1),1+('Control Room'!$C$15-1)*EXP(-0.5*(($A588-'Control Room'!$A$15-('Control Room'!$B$15-1)/2)/MAX(0.5,'Control Room'!$B$15/4))^2),1)*IF(AND($A588&gt;='Control Room'!$A$16,$A588&lt;'Control Room'!$A$16+'Control Room'!$B$16,'Process'!BT5=1),1+('Control Room'!$C$16-1)*EXP(-0.5*(($A588-'Control Room'!$A$16-('Control Room'!$B$16-1)/2)/MAX(0.5,'Control Room'!$B$16/4))^2),1)</x:f>
        <x:v>1</x:v>
      </x:c>
      <x:c r="AZ588" s="9" t="n">
        <x:f>MOD(BA587*16807,2147483647)</x:f>
        <x:v>1722705498</x:v>
      </x:c>
      <x:c r="BA588" s="9" t="n">
        <x:f>MOD(AZ588*16807,2147483647)</x:f>
        <x:v>1136776032</x:v>
      </x:c>
      <x:c r="BB588" s="17" t="n">
        <x:f>IF('Control Room'!$B$5="Normal",'Control Room'!$B$7+'Control Room'!$D$7*SQRT(-2*LN(MAX(0.000000000001,AZ588/2147483647)))*COS(2*PI()*BA588/2147483647),'Control Room'!$B$8+('Control Room'!$D$8-'Control Room'!$B$8)*AZ588/2147483647)</x:f>
        <x:v>941.259746218263</x:v>
      </x:c>
      <x:c r="BC588" s="17" t="n">
        <x:f>IF('Control Room'!$B$5="Normal",'Control Room'!$B$7,('Control Room'!$B$8+'Control Room'!$D$8)/2)+'Control Room'!$B$9*(BC587-IF('Control Room'!$B$5="Normal",'Control Room'!$B$7,('Control Room'!$B$8+'Control Room'!$D$8)/2))+SQRT(1-'Control Room'!$B$9^2)*(BB588-IF('Control Room'!$B$5="Normal",'Control Room'!$B$7,('Control Room'!$B$8+'Control Room'!$D$8)/2))</x:f>
        <x:v>955.0068149964635</x:v>
      </x:c>
      <x:c r="BD588" s="17" t="n">
        <x:f>IF(AND($A588&gt;='Control Room'!$A$13,$A588&lt;'Control Room'!$A$13+'Control Room'!$B$13,'Process'!BU2=1),1+('Control Room'!$C$13-1)*EXP(-0.5*(($A588-'Control Room'!$A$13-('Control Room'!$B$13-1)/2)/MAX(0.5,'Control Room'!$B$13/4))^2),1)*IF(AND($A588&gt;='Control Room'!$A$14,$A588&lt;'Control Room'!$A$14+'Control Room'!$B$14,'Process'!BU3=1),1+('Control Room'!$C$14-1)*EXP(-0.5*(($A588-'Control Room'!$A$14-('Control Room'!$B$14-1)/2)/MAX(0.5,'Control Room'!$B$14/4))^2),1)*IF(AND($A588&gt;='Control Room'!$A$15,$A588&lt;'Control Room'!$A$15+'Control Room'!$B$15,'Process'!BU4=1),1+('Control Room'!$C$15-1)*EXP(-0.5*(($A588-'Control Room'!$A$15-('Control Room'!$B$15-1)/2)/MAX(0.5,'Control Room'!$B$15/4))^2),1)*IF(AND($A588&gt;='Control Room'!$A$16,$A588&lt;'Control Room'!$A$16+'Control Room'!$B$16,'Process'!BU5=1),1+('Control Room'!$C$16-1)*EXP(-0.5*(($A588-'Control Room'!$A$16-('Control Room'!$B$16-1)/2)/MAX(0.5,'Control Room'!$B$16/4))^2),1)</x:f>
        <x:v>1</x:v>
      </x:c>
      <x:c r="BE588" s="9" t="n">
        <x:f>MOD(BF587*16807,2147483647)</x:f>
        <x:v>1758922452</x:v>
      </x:c>
      <x:c r="BF588" s="9" t="n">
        <x:f>MOD(BE588*16807,2147483647)</x:f>
        <x:v>2097249809</x:v>
      </x:c>
      <x:c r="BG588" s="17" t="n">
        <x:f>IF('Control Room'!$B$5="Normal",'Control Room'!$B$7+'Control Room'!$D$7*SQRT(-2*LN(MAX(0.000000000001,BE588/2147483647)))*COS(2*PI()*BF588/2147483647),'Control Room'!$B$8+('Control Room'!$D$8-'Control Room'!$B$8)*BE588/2147483647)</x:f>
        <x:v>1056.2503156124183</x:v>
      </x:c>
      <x:c r="BH588" s="17" t="n">
        <x:f>IF('Control Room'!$B$5="Normal",'Control Room'!$B$7,('Control Room'!$B$8+'Control Room'!$D$8)/2)+'Control Room'!$B$9*(BH587-IF('Control Room'!$B$5="Normal",'Control Room'!$B$7,('Control Room'!$B$8+'Control Room'!$D$8)/2))+SQRT(1-'Control Room'!$B$9^2)*(BG588-IF('Control Room'!$B$5="Normal",'Control Room'!$B$7,('Control Room'!$B$8+'Control Room'!$D$8)/2))</x:f>
        <x:v>1146.725757560815</x:v>
      </x:c>
      <x:c r="BI588" s="17" t="n">
        <x:f>IF(AND($A588&gt;='Control Room'!$A$13,$A588&lt;'Control Room'!$A$13+'Control Room'!$B$13,'Process'!BV2=1),1+('Control Room'!$C$13-1)*EXP(-0.5*(($A588-'Control Room'!$A$13-('Control Room'!$B$13-1)/2)/MAX(0.5,'Control Room'!$B$13/4))^2),1)*IF(AND($A588&gt;='Control Room'!$A$14,$A588&lt;'Control Room'!$A$14+'Control Room'!$B$14,'Process'!BV3=1),1+('Control Room'!$C$14-1)*EXP(-0.5*(($A588-'Control Room'!$A$14-('Control Room'!$B$14-1)/2)/MAX(0.5,'Control Room'!$B$14/4))^2),1)*IF(AND($A588&gt;='Control Room'!$A$15,$A588&lt;'Control Room'!$A$15+'Control Room'!$B$15,'Process'!BV4=1),1+('Control Room'!$C$15-1)*EXP(-0.5*(($A588-'Control Room'!$A$15-('Control Room'!$B$15-1)/2)/MAX(0.5,'Control Room'!$B$15/4))^2),1)*IF(AND($A588&gt;='Control Room'!$A$16,$A588&lt;'Control Room'!$A$16+'Control Room'!$B$16,'Process'!BV5=1),1+('Control Room'!$C$16-1)*EXP(-0.5*(($A588-'Control Room'!$A$16-('Control Room'!$B$16-1)/2)/MAX(0.5,'Control Room'!$B$16/4))^2),1)</x:f>
        <x:v>1</x:v>
      </x:c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Z588" t="str">
        <x:f>IF('Data'!A588="","",TEXT('Data'!A588,"mm-dd"))</x:f>
      </x:c>
    </x:row>
    <x:row r="589" ht="21" customHeight="1">
      <x:c r="A589" s="15" t="n">
        <x:f>'Control Room'!$B$1+587</x:f>
        <x:v>73578</x:v>
      </x:c>
      <x:c r="B589" s="9" t="n">
        <x:f>MOD(C588*16807,2147483647)</x:f>
        <x:v>1298290712</x:v>
      </x:c>
      <x:c r="C589" s="9" t="n">
        <x:f>MOD(B589*16807,2147483647)</x:f>
        <x:v>1938143064</x:v>
      </x:c>
      <x:c r="D589" s="17" t="n">
        <x:f>IF('Control Room'!$B$5="Normal",'Control Room'!$B$7+'Control Room'!$D$7*SQRT(-2*LN(MAX(0.000000000001,B589/2147483647)))*COS(2*PI()*C589/2147483647),'Control Room'!$B$8+('Control Room'!$D$8-'Control Room'!$B$8)*B589/2147483647)</x:f>
        <x:v>1073.8781982672276</x:v>
      </x:c>
      <x:c r="E589" s="17" t="n">
        <x:f>IF('Control Room'!$B$5="Normal",'Control Room'!$B$7,('Control Room'!$B$8+'Control Room'!$D$8)/2)+'Control Room'!$B$9*(E588-IF('Control Room'!$B$5="Normal",'Control Room'!$B$7,('Control Room'!$B$8+'Control Room'!$D$8)/2))+SQRT(1-'Control Room'!$B$9^2)*(D589-IF('Control Room'!$B$5="Normal",'Control Room'!$B$7,('Control Room'!$B$8+'Control Room'!$D$8)/2))</x:f>
        <x:v>1061.3383206007834</x:v>
      </x:c>
      <x:c r="F589" s="17" t="n">
        <x:f>IF(AND($A589&gt;='Control Room'!$A$13,$A589&lt;'Control Room'!$A$13+'Control Room'!$B$13,'Process'!BK2=1),1+('Control Room'!$C$13-1)*EXP(-0.5*(($A589-'Control Room'!$A$13-('Control Room'!$B$13-1)/2)/MAX(0.5,'Control Room'!$B$13/4))^2),1)*IF(AND($A589&gt;='Control Room'!$A$14,$A589&lt;'Control Room'!$A$14+'Control Room'!$B$14,'Process'!BK3=1),1+('Control Room'!$C$14-1)*EXP(-0.5*(($A589-'Control Room'!$A$14-('Control Room'!$B$14-1)/2)/MAX(0.5,'Control Room'!$B$14/4))^2),1)*IF(AND($A589&gt;='Control Room'!$A$15,$A589&lt;'Control Room'!$A$15+'Control Room'!$B$15,'Process'!BK4=1),1+('Control Room'!$C$15-1)*EXP(-0.5*(($A589-'Control Room'!$A$15-('Control Room'!$B$15-1)/2)/MAX(0.5,'Control Room'!$B$15/4))^2),1)*IF(AND($A589&gt;='Control Room'!$A$16,$A589&lt;'Control Room'!$A$16+'Control Room'!$B$16,'Process'!BK5=1),1+('Control Room'!$C$16-1)*EXP(-0.5*(($A589-'Control Room'!$A$16-('Control Room'!$B$16-1)/2)/MAX(0.5,'Control Room'!$B$16/4))^2),1)</x:f>
        <x:v>1</x:v>
      </x:c>
      <x:c r="G589" s="9" t="n">
        <x:f>MOD(H588*16807,2147483647)</x:f>
        <x:v>1346486252</x:v>
      </x:c>
      <x:c r="H589" s="9" t="n">
        <x:f>MOD(G589*16807,2147483647)</x:f>
        <x:v>211765278</x:v>
      </x:c>
      <x:c r="I589" s="17" t="n">
        <x:f>IF('Control Room'!$B$5="Normal",'Control Room'!$B$7+'Control Room'!$D$7*SQRT(-2*LN(MAX(0.000000000001,G589/2147483647)))*COS(2*PI()*H589/2147483647),'Control Room'!$B$8+('Control Room'!$D$8-'Control Room'!$B$8)*G589/2147483647)</x:f>
        <x:v>1070.7959831065798</x:v>
      </x:c>
      <x:c r="J589" s="17" t="n">
        <x:f>IF('Control Room'!$B$5="Normal",'Control Room'!$B$7,('Control Room'!$B$8+'Control Room'!$D$8)/2)+'Control Room'!$B$9*(J588-IF('Control Room'!$B$5="Normal",'Control Room'!$B$7,('Control Room'!$B$8+'Control Room'!$D$8)/2))+SQRT(1-'Control Room'!$B$9^2)*(I589-IF('Control Room'!$B$5="Normal",'Control Room'!$B$7,('Control Room'!$B$8+'Control Room'!$D$8)/2))</x:f>
        <x:v>986.6717704488099</x:v>
      </x:c>
      <x:c r="K589" s="17" t="n">
        <x:f>IF(AND($A589&gt;='Control Room'!$A$13,$A589&lt;'Control Room'!$A$13+'Control Room'!$B$13,'Process'!BL2=1),1+('Control Room'!$C$13-1)*EXP(-0.5*(($A589-'Control Room'!$A$13-('Control Room'!$B$13-1)/2)/MAX(0.5,'Control Room'!$B$13/4))^2),1)*IF(AND($A589&gt;='Control Room'!$A$14,$A589&lt;'Control Room'!$A$14+'Control Room'!$B$14,'Process'!BL3=1),1+('Control Room'!$C$14-1)*EXP(-0.5*(($A589-'Control Room'!$A$14-('Control Room'!$B$14-1)/2)/MAX(0.5,'Control Room'!$B$14/4))^2),1)*IF(AND($A589&gt;='Control Room'!$A$15,$A589&lt;'Control Room'!$A$15+'Control Room'!$B$15,'Process'!BL4=1),1+('Control Room'!$C$15-1)*EXP(-0.5*(($A589-'Control Room'!$A$15-('Control Room'!$B$15-1)/2)/MAX(0.5,'Control Room'!$B$15/4))^2),1)*IF(AND($A589&gt;='Control Room'!$A$16,$A589&lt;'Control Room'!$A$16+'Control Room'!$B$16,'Process'!BL5=1),1+('Control Room'!$C$16-1)*EXP(-0.5*(($A589-'Control Room'!$A$16-('Control Room'!$B$16-1)/2)/MAX(0.5,'Control Room'!$B$16/4))^2),1)</x:f>
        <x:v>1</x:v>
      </x:c>
      <x:c r="L589" s="9" t="n">
        <x:f>MOD(M588*16807,2147483647)</x:f>
        <x:v>1394681792</x:v>
      </x:c>
      <x:c r="M589" s="9" t="n">
        <x:f>MOD(L589*16807,2147483647)</x:f>
        <x:v>632871139</x:v>
      </x:c>
      <x:c r="N589" s="17" t="n">
        <x:f>IF('Control Room'!$B$5="Normal",'Control Room'!$B$7+'Control Room'!$D$7*SQRT(-2*LN(MAX(0.000000000001,L589/2147483647)))*COS(2*PI()*M589/2147483647),'Control Room'!$B$8+('Control Room'!$D$8-'Control Room'!$B$8)*L589/2147483647)</x:f>
        <x:v>976.8201733570309</x:v>
      </x:c>
      <x:c r="O589" s="17" t="n">
        <x:f>IF('Control Room'!$B$5="Normal",'Control Room'!$B$7,('Control Room'!$B$8+'Control Room'!$D$8)/2)+'Control Room'!$B$9*(O588-IF('Control Room'!$B$5="Normal",'Control Room'!$B$7,('Control Room'!$B$8+'Control Room'!$D$8)/2))+SQRT(1-'Control Room'!$B$9^2)*(N589-IF('Control Room'!$B$5="Normal",'Control Room'!$B$7,('Control Room'!$B$8+'Control Room'!$D$8)/2))</x:f>
        <x:v>942.4466159501054</x:v>
      </x:c>
      <x:c r="P589" s="17" t="n">
        <x:f>IF(AND($A589&gt;='Control Room'!$A$13,$A589&lt;'Control Room'!$A$13+'Control Room'!$B$13,'Process'!BM2=1),1+('Control Room'!$C$13-1)*EXP(-0.5*(($A589-'Control Room'!$A$13-('Control Room'!$B$13-1)/2)/MAX(0.5,'Control Room'!$B$13/4))^2),1)*IF(AND($A589&gt;='Control Room'!$A$14,$A589&lt;'Control Room'!$A$14+'Control Room'!$B$14,'Process'!BM3=1),1+('Control Room'!$C$14-1)*EXP(-0.5*(($A589-'Control Room'!$A$14-('Control Room'!$B$14-1)/2)/MAX(0.5,'Control Room'!$B$14/4))^2),1)*IF(AND($A589&gt;='Control Room'!$A$15,$A589&lt;'Control Room'!$A$15+'Control Room'!$B$15,'Process'!BM4=1),1+('Control Room'!$C$15-1)*EXP(-0.5*(($A589-'Control Room'!$A$15-('Control Room'!$B$15-1)/2)/MAX(0.5,'Control Room'!$B$15/4))^2),1)*IF(AND($A589&gt;='Control Room'!$A$16,$A589&lt;'Control Room'!$A$16+'Control Room'!$B$16,'Process'!BM5=1),1+('Control Room'!$C$16-1)*EXP(-0.5*(($A589-'Control Room'!$A$16-('Control Room'!$B$16-1)/2)/MAX(0.5,'Control Room'!$B$16/4))^2),1)</x:f>
        <x:v>1</x:v>
      </x:c>
      <x:c r="Q589" s="9" t="n">
        <x:f>MOD(R588*16807,2147483647)</x:f>
        <x:v>1442877332</x:v>
      </x:c>
      <x:c r="R589" s="9" t="n">
        <x:f>MOD(Q589*16807,2147483647)</x:f>
        <x:v>1053977000</x:v>
      </x:c>
      <x:c r="S589" s="17" t="n">
        <x:f>IF('Control Room'!$B$5="Normal",'Control Room'!$B$7+'Control Room'!$D$7*SQRT(-2*LN(MAX(0.000000000001,Q589/2147483647)))*COS(2*PI()*R589/2147483647),'Control Room'!$B$8+('Control Room'!$D$8-'Control Room'!$B$8)*Q589/2147483647)</x:f>
        <x:v>919.8717765460405</x:v>
      </x:c>
      <x:c r="T589" s="17" t="n">
        <x:f>IF('Control Room'!$B$5="Normal",'Control Room'!$B$7,('Control Room'!$B$8+'Control Room'!$D$8)/2)+'Control Room'!$B$9*(T588-IF('Control Room'!$B$5="Normal",'Control Room'!$B$7,('Control Room'!$B$8+'Control Room'!$D$8)/2))+SQRT(1-'Control Room'!$B$9^2)*(S589-IF('Control Room'!$B$5="Normal",'Control Room'!$B$7,('Control Room'!$B$8+'Control Room'!$D$8)/2))</x:f>
        <x:v>947.6736433056534</x:v>
      </x:c>
      <x:c r="U589" s="17" t="n">
        <x:f>IF(AND($A589&gt;='Control Room'!$A$13,$A589&lt;'Control Room'!$A$13+'Control Room'!$B$13,'Process'!BN2=1),1+('Control Room'!$C$13-1)*EXP(-0.5*(($A589-'Control Room'!$A$13-('Control Room'!$B$13-1)/2)/MAX(0.5,'Control Room'!$B$13/4))^2),1)*IF(AND($A589&gt;='Control Room'!$A$14,$A589&lt;'Control Room'!$A$14+'Control Room'!$B$14,'Process'!BN3=1),1+('Control Room'!$C$14-1)*EXP(-0.5*(($A589-'Control Room'!$A$14-('Control Room'!$B$14-1)/2)/MAX(0.5,'Control Room'!$B$14/4))^2),1)*IF(AND($A589&gt;='Control Room'!$A$15,$A589&lt;'Control Room'!$A$15+'Control Room'!$B$15,'Process'!BN4=1),1+('Control Room'!$C$15-1)*EXP(-0.5*(($A589-'Control Room'!$A$15-('Control Room'!$B$15-1)/2)/MAX(0.5,'Control Room'!$B$15/4))^2),1)*IF(AND($A589&gt;='Control Room'!$A$16,$A589&lt;'Control Room'!$A$16+'Control Room'!$B$16,'Process'!BN5=1),1+('Control Room'!$C$16-1)*EXP(-0.5*(($A589-'Control Room'!$A$16-('Control Room'!$B$16-1)/2)/MAX(0.5,'Control Room'!$B$16/4))^2),1)</x:f>
        <x:v>1</x:v>
      </x:c>
      <x:c r="V589" s="9" t="n">
        <x:f>MOD(W588*16807,2147483647)</x:f>
        <x:v>1491072872</x:v>
      </x:c>
      <x:c r="W589" s="9" t="n">
        <x:f>MOD(V589*16807,2147483647)</x:f>
        <x:v>1475082861</x:v>
      </x:c>
      <x:c r="X589" s="17" t="n">
        <x:f>IF('Control Room'!$B$5="Normal",'Control Room'!$B$7+'Control Room'!$D$7*SQRT(-2*LN(MAX(0.000000000001,V589/2147483647)))*COS(2*PI()*W589/2147483647),'Control Room'!$B$8+('Control Room'!$D$8-'Control Room'!$B$8)*V589/2147483647)</x:f>
        <x:v>970.3087410124705</x:v>
      </x:c>
      <x:c r="Y589" s="17" t="n">
        <x:f>IF('Control Room'!$B$5="Normal",'Control Room'!$B$7,('Control Room'!$B$8+'Control Room'!$D$8)/2)+'Control Room'!$B$9*(Y588-IF('Control Room'!$B$5="Normal",'Control Room'!$B$7,('Control Room'!$B$8+'Control Room'!$D$8)/2))+SQRT(1-'Control Room'!$B$9^2)*(X589-IF('Control Room'!$B$5="Normal",'Control Room'!$B$7,('Control Room'!$B$8+'Control Room'!$D$8)/2))</x:f>
        <x:v>992.4193940993091</x:v>
      </x:c>
      <x:c r="Z589" s="17" t="n">
        <x:f>IF(AND($A589&gt;='Control Room'!$A$13,$A589&lt;'Control Room'!$A$13+'Control Room'!$B$13,'Process'!BO2=1),1+('Control Room'!$C$13-1)*EXP(-0.5*(($A589-'Control Room'!$A$13-('Control Room'!$B$13-1)/2)/MAX(0.5,'Control Room'!$B$13/4))^2),1)*IF(AND($A589&gt;='Control Room'!$A$14,$A589&lt;'Control Room'!$A$14+'Control Room'!$B$14,'Process'!BO3=1),1+('Control Room'!$C$14-1)*EXP(-0.5*(($A589-'Control Room'!$A$14-('Control Room'!$B$14-1)/2)/MAX(0.5,'Control Room'!$B$14/4))^2),1)*IF(AND($A589&gt;='Control Room'!$A$15,$A589&lt;'Control Room'!$A$15+'Control Room'!$B$15,'Process'!BO4=1),1+('Control Room'!$C$15-1)*EXP(-0.5*(($A589-'Control Room'!$A$15-('Control Room'!$B$15-1)/2)/MAX(0.5,'Control Room'!$B$15/4))^2),1)*IF(AND($A589&gt;='Control Room'!$A$16,$A589&lt;'Control Room'!$A$16+'Control Room'!$B$16,'Process'!BO5=1),1+('Control Room'!$C$16-1)*EXP(-0.5*(($A589-'Control Room'!$A$16-('Control Room'!$B$16-1)/2)/MAX(0.5,'Control Room'!$B$16/4))^2),1)</x:f>
        <x:v>1</x:v>
      </x:c>
      <x:c r="AA589" s="9" t="n">
        <x:f>MOD(AB588*16807,2147483647)</x:f>
        <x:v>1539268412</x:v>
      </x:c>
      <x:c r="AB589" s="9" t="n">
        <x:f>MOD(AA589*16807,2147483647)</x:f>
        <x:v>1896188722</x:v>
      </x:c>
      <x:c r="AC589" s="17" t="n">
        <x:f>IF('Control Room'!$B$5="Normal",'Control Room'!$B$7+'Control Room'!$D$7*SQRT(-2*LN(MAX(0.000000000001,AA589/2147483647)))*COS(2*PI()*AB589/2147483647),'Control Room'!$B$8+('Control Room'!$D$8-'Control Room'!$B$8)*AA589/2147483647)</x:f>
        <x:v>1054.4728779397515</x:v>
      </x:c>
      <x:c r="AD589" s="17" t="n">
        <x:f>IF('Control Room'!$B$5="Normal",'Control Room'!$B$7,('Control Room'!$B$8+'Control Room'!$D$8)/2)+'Control Room'!$B$9*(AD588-IF('Control Room'!$B$5="Normal",'Control Room'!$B$7,('Control Room'!$B$8+'Control Room'!$D$8)/2))+SQRT(1-'Control Room'!$B$9^2)*(AC589-IF('Control Room'!$B$5="Normal",'Control Room'!$B$7,('Control Room'!$B$8+'Control Room'!$D$8)/2))</x:f>
        <x:v>1116.3724884956582</x:v>
      </x:c>
      <x:c r="AE589" s="17" t="n">
        <x:f>IF(AND($A589&gt;='Control Room'!$A$13,$A589&lt;'Control Room'!$A$13+'Control Room'!$B$13,'Process'!BP2=1),1+('Control Room'!$C$13-1)*EXP(-0.5*(($A589-'Control Room'!$A$13-('Control Room'!$B$13-1)/2)/MAX(0.5,'Control Room'!$B$13/4))^2),1)*IF(AND($A589&gt;='Control Room'!$A$14,$A589&lt;'Control Room'!$A$14+'Control Room'!$B$14,'Process'!BP3=1),1+('Control Room'!$C$14-1)*EXP(-0.5*(($A589-'Control Room'!$A$14-('Control Room'!$B$14-1)/2)/MAX(0.5,'Control Room'!$B$14/4))^2),1)*IF(AND($A589&gt;='Control Room'!$A$15,$A589&lt;'Control Room'!$A$15+'Control Room'!$B$15,'Process'!BP4=1),1+('Control Room'!$C$15-1)*EXP(-0.5*(($A589-'Control Room'!$A$15-('Control Room'!$B$15-1)/2)/MAX(0.5,'Control Room'!$B$15/4))^2),1)*IF(AND($A589&gt;='Control Room'!$A$16,$A589&lt;'Control Room'!$A$16+'Control Room'!$B$16,'Process'!BP5=1),1+('Control Room'!$C$16-1)*EXP(-0.5*(($A589-'Control Room'!$A$16-('Control Room'!$B$16-1)/2)/MAX(0.5,'Control Room'!$B$16/4))^2),1)</x:f>
        <x:v>1</x:v>
      </x:c>
      <x:c r="AF589" s="9" t="n">
        <x:f>MOD(AG588*16807,2147483647)</x:f>
        <x:v>1587463952</x:v>
      </x:c>
      <x:c r="AG589" s="9" t="n">
        <x:f>MOD(AF589*16807,2147483647)</x:f>
        <x:v>169810936</x:v>
      </x:c>
      <x:c r="AH589" s="17" t="n">
        <x:f>IF('Control Room'!$B$5="Normal",'Control Room'!$B$7+'Control Room'!$D$7*SQRT(-2*LN(MAX(0.000000000001,AF589/2147483647)))*COS(2*PI()*AG589/2147483647),'Control Room'!$B$8+('Control Room'!$D$8-'Control Room'!$B$8)*AF589/2147483647)</x:f>
        <x:v>1061.5050008696976</x:v>
      </x:c>
      <x:c r="AI589" s="17" t="n">
        <x:f>IF('Control Room'!$B$5="Normal",'Control Room'!$B$7,('Control Room'!$B$8+'Control Room'!$D$8)/2)+'Control Room'!$B$9*(AI588-IF('Control Room'!$B$5="Normal",'Control Room'!$B$7,('Control Room'!$B$8+'Control Room'!$D$8)/2))+SQRT(1-'Control Room'!$B$9^2)*(AH589-IF('Control Room'!$B$5="Normal",'Control Room'!$B$7,('Control Room'!$B$8+'Control Room'!$D$8)/2))</x:f>
        <x:v>1027.0494331541415</x:v>
      </x:c>
      <x:c r="AJ589" s="17" t="n">
        <x:f>IF(AND($A589&gt;='Control Room'!$A$13,$A589&lt;'Control Room'!$A$13+'Control Room'!$B$13,'Process'!BQ2=1),1+('Control Room'!$C$13-1)*EXP(-0.5*(($A589-'Control Room'!$A$13-('Control Room'!$B$13-1)/2)/MAX(0.5,'Control Room'!$B$13/4))^2),1)*IF(AND($A589&gt;='Control Room'!$A$14,$A589&lt;'Control Room'!$A$14+'Control Room'!$B$14,'Process'!BQ3=1),1+('Control Room'!$C$14-1)*EXP(-0.5*(($A589-'Control Room'!$A$14-('Control Room'!$B$14-1)/2)/MAX(0.5,'Control Room'!$B$14/4))^2),1)*IF(AND($A589&gt;='Control Room'!$A$15,$A589&lt;'Control Room'!$A$15+'Control Room'!$B$15,'Process'!BQ4=1),1+('Control Room'!$C$15-1)*EXP(-0.5*(($A589-'Control Room'!$A$15-('Control Room'!$B$15-1)/2)/MAX(0.5,'Control Room'!$B$15/4))^2),1)*IF(AND($A589&gt;='Control Room'!$A$16,$A589&lt;'Control Room'!$A$16+'Control Room'!$B$16,'Process'!BQ5=1),1+('Control Room'!$C$16-1)*EXP(-0.5*(($A589-'Control Room'!$A$16-('Control Room'!$B$16-1)/2)/MAX(0.5,'Control Room'!$B$16/4))^2),1)</x:f>
        <x:v>1</x:v>
      </x:c>
      <x:c r="AK589" s="9" t="n">
        <x:f>MOD(AL588*16807,2147483647)</x:f>
        <x:v>1635659492</x:v>
      </x:c>
      <x:c r="AL589" s="9" t="n">
        <x:f>MOD(AK589*16807,2147483647)</x:f>
        <x:v>590916797</x:v>
      </x:c>
      <x:c r="AM589" s="17" t="n">
        <x:f>IF('Control Room'!$B$5="Normal",'Control Room'!$B$7+'Control Room'!$D$7*SQRT(-2*LN(MAX(0.000000000001,AK589/2147483647)))*COS(2*PI()*AL589/2147483647),'Control Room'!$B$8+('Control Room'!$D$8-'Control Room'!$B$8)*AK589/2147483647)</x:f>
        <x:v>989.542130855688</x:v>
      </x:c>
      <x:c r="AN589" s="17" t="n">
        <x:f>IF('Control Room'!$B$5="Normal",'Control Room'!$B$7,('Control Room'!$B$8+'Control Room'!$D$8)/2)+'Control Room'!$B$9*(AN588-IF('Control Room'!$B$5="Normal",'Control Room'!$B$7,('Control Room'!$B$8+'Control Room'!$D$8)/2))+SQRT(1-'Control Room'!$B$9^2)*(AM589-IF('Control Room'!$B$5="Normal",'Control Room'!$B$7,('Control Room'!$B$8+'Control Room'!$D$8)/2))</x:f>
        <x:v>913.0286253589056</x:v>
      </x:c>
      <x:c r="AO589" s="17" t="n">
        <x:f>IF(AND($A589&gt;='Control Room'!$A$13,$A589&lt;'Control Room'!$A$13+'Control Room'!$B$13,'Process'!BR2=1),1+('Control Room'!$C$13-1)*EXP(-0.5*(($A589-'Control Room'!$A$13-('Control Room'!$B$13-1)/2)/MAX(0.5,'Control Room'!$B$13/4))^2),1)*IF(AND($A589&gt;='Control Room'!$A$14,$A589&lt;'Control Room'!$A$14+'Control Room'!$B$14,'Process'!BR3=1),1+('Control Room'!$C$14-1)*EXP(-0.5*(($A589-'Control Room'!$A$14-('Control Room'!$B$14-1)/2)/MAX(0.5,'Control Room'!$B$14/4))^2),1)*IF(AND($A589&gt;='Control Room'!$A$15,$A589&lt;'Control Room'!$A$15+'Control Room'!$B$15,'Process'!BR4=1),1+('Control Room'!$C$15-1)*EXP(-0.5*(($A589-'Control Room'!$A$15-('Control Room'!$B$15-1)/2)/MAX(0.5,'Control Room'!$B$15/4))^2),1)*IF(AND($A589&gt;='Control Room'!$A$16,$A589&lt;'Control Room'!$A$16+'Control Room'!$B$16,'Process'!BR5=1),1+('Control Room'!$C$16-1)*EXP(-0.5*(($A589-'Control Room'!$A$16-('Control Room'!$B$16-1)/2)/MAX(0.5,'Control Room'!$B$16/4))^2),1)</x:f>
        <x:v>1</x:v>
      </x:c>
      <x:c r="AP589" s="9" t="n">
        <x:f>MOD(AQ588*16807,2147483647)</x:f>
        <x:v>1683855032</x:v>
      </x:c>
      <x:c r="AQ589" s="9" t="n">
        <x:f>MOD(AP589*16807,2147483647)</x:f>
        <x:v>1012022658</x:v>
      </x:c>
      <x:c r="AR589" s="17" t="n">
        <x:f>IF('Control Room'!$B$5="Normal",'Control Room'!$B$7+'Control Room'!$D$7*SQRT(-2*LN(MAX(0.000000000001,AP589/2147483647)))*COS(2*PI()*AQ589/2147483647),'Control Room'!$B$8+('Control Room'!$D$8-'Control Room'!$B$8)*AP589/2147483647)</x:f>
        <x:v>938.2510986182782</x:v>
      </x:c>
      <x:c r="AS589" s="17" t="n">
        <x:f>IF('Control Room'!$B$5="Normal",'Control Room'!$B$7,('Control Room'!$B$8+'Control Room'!$D$8)/2)+'Control Room'!$B$9*(AS588-IF('Control Room'!$B$5="Normal",'Control Room'!$B$7,('Control Room'!$B$8+'Control Room'!$D$8)/2))+SQRT(1-'Control Room'!$B$9^2)*(AR589-IF('Control Room'!$B$5="Normal",'Control Room'!$B$7,('Control Room'!$B$8+'Control Room'!$D$8)/2))</x:f>
        <x:v>906.4944400471245</x:v>
      </x:c>
      <x:c r="AT589" s="17" t="n">
        <x:f>IF(AND($A589&gt;='Control Room'!$A$13,$A589&lt;'Control Room'!$A$13+'Control Room'!$B$13,'Process'!BS2=1),1+('Control Room'!$C$13-1)*EXP(-0.5*(($A589-'Control Room'!$A$13-('Control Room'!$B$13-1)/2)/MAX(0.5,'Control Room'!$B$13/4))^2),1)*IF(AND($A589&gt;='Control Room'!$A$14,$A589&lt;'Control Room'!$A$14+'Control Room'!$B$14,'Process'!BS3=1),1+('Control Room'!$C$14-1)*EXP(-0.5*(($A589-'Control Room'!$A$14-('Control Room'!$B$14-1)/2)/MAX(0.5,'Control Room'!$B$14/4))^2),1)*IF(AND($A589&gt;='Control Room'!$A$15,$A589&lt;'Control Room'!$A$15+'Control Room'!$B$15,'Process'!BS4=1),1+('Control Room'!$C$15-1)*EXP(-0.5*(($A589-'Control Room'!$A$15-('Control Room'!$B$15-1)/2)/MAX(0.5,'Control Room'!$B$15/4))^2),1)*IF(AND($A589&gt;='Control Room'!$A$16,$A589&lt;'Control Room'!$A$16+'Control Room'!$B$16,'Process'!BS5=1),1+('Control Room'!$C$16-1)*EXP(-0.5*(($A589-'Control Room'!$A$16-('Control Room'!$B$16-1)/2)/MAX(0.5,'Control Room'!$B$16/4))^2),1)</x:f>
        <x:v>1</x:v>
      </x:c>
      <x:c r="AU589" s="9" t="n">
        <x:f>MOD(AV588*16807,2147483647)</x:f>
        <x:v>1732050572</x:v>
      </x:c>
      <x:c r="AV589" s="9" t="n">
        <x:f>MOD(AU589*16807,2147483647)</x:f>
        <x:v>1433128519</x:v>
      </x:c>
      <x:c r="AW589" s="17" t="n">
        <x:f>IF('Control Room'!$B$5="Normal",'Control Room'!$B$7+'Control Room'!$D$7*SQRT(-2*LN(MAX(0.000000000001,AU589/2147483647)))*COS(2*PI()*AV589/2147483647),'Control Room'!$B$8+('Control Room'!$D$8-'Control Room'!$B$8)*AU589/2147483647)</x:f>
        <x:v>970.7126655216322</x:v>
      </x:c>
      <x:c r="AX589" s="17" t="n">
        <x:f>IF('Control Room'!$B$5="Normal",'Control Room'!$B$7,('Control Room'!$B$8+'Control Room'!$D$8)/2)+'Control Room'!$B$9*(AX588-IF('Control Room'!$B$5="Normal",'Control Room'!$B$7,('Control Room'!$B$8+'Control Room'!$D$8)/2))+SQRT(1-'Control Room'!$B$9^2)*(AW589-IF('Control Room'!$B$5="Normal",'Control Room'!$B$7,('Control Room'!$B$8+'Control Room'!$D$8)/2))</x:f>
        <x:v>967.2013886753771</x:v>
      </x:c>
      <x:c r="AY589" s="17" t="n">
        <x:f>IF(AND($A589&gt;='Control Room'!$A$13,$A589&lt;'Control Room'!$A$13+'Control Room'!$B$13,'Process'!BT2=1),1+('Control Room'!$C$13-1)*EXP(-0.5*(($A589-'Control Room'!$A$13-('Control Room'!$B$13-1)/2)/MAX(0.5,'Control Room'!$B$13/4))^2),1)*IF(AND($A589&gt;='Control Room'!$A$14,$A589&lt;'Control Room'!$A$14+'Control Room'!$B$14,'Process'!BT3=1),1+('Control Room'!$C$14-1)*EXP(-0.5*(($A589-'Control Room'!$A$14-('Control Room'!$B$14-1)/2)/MAX(0.5,'Control Room'!$B$14/4))^2),1)*IF(AND($A589&gt;='Control Room'!$A$15,$A589&lt;'Control Room'!$A$15+'Control Room'!$B$15,'Process'!BT4=1),1+('Control Room'!$C$15-1)*EXP(-0.5*(($A589-'Control Room'!$A$15-('Control Room'!$B$15-1)/2)/MAX(0.5,'Control Room'!$B$15/4))^2),1)*IF(AND($A589&gt;='Control Room'!$A$16,$A589&lt;'Control Room'!$A$16+'Control Room'!$B$16,'Process'!BT5=1),1+('Control Room'!$C$16-1)*EXP(-0.5*(($A589-'Control Room'!$A$16-('Control Room'!$B$16-1)/2)/MAX(0.5,'Control Room'!$B$16/4))^2),1)</x:f>
        <x:v>1</x:v>
      </x:c>
      <x:c r="AZ589" s="9" t="n">
        <x:f>MOD(BA588*16807,2147483647)</x:f>
        <x:v>1780246112</x:v>
      </x:c>
      <x:c r="BA589" s="9" t="n">
        <x:f>MOD(AZ589*16807,2147483647)</x:f>
        <x:v>1854234380</x:v>
      </x:c>
      <x:c r="BB589" s="17" t="n">
        <x:f>IF('Control Room'!$B$5="Normal",'Control Room'!$B$7+'Control Room'!$D$7*SQRT(-2*LN(MAX(0.000000000001,AZ589/2147483647)))*COS(2*PI()*BA589/2147483647),'Control Room'!$B$8+('Control Room'!$D$8-'Control Room'!$B$8)*AZ589/2147483647)</x:f>
        <x:v>1036.0459546985255</x:v>
      </x:c>
      <x:c r="BC589" s="17" t="n">
        <x:f>IF('Control Room'!$B$5="Normal",'Control Room'!$B$7,('Control Room'!$B$8+'Control Room'!$D$8)/2)+'Control Room'!$B$9*(BC588-IF('Control Room'!$B$5="Normal",'Control Room'!$B$7,('Control Room'!$B$8+'Control Room'!$D$8)/2))+SQRT(1-'Control Room'!$B$9^2)*(BB589-IF('Control Room'!$B$5="Normal",'Control Room'!$B$7,('Control Room'!$B$8+'Control Room'!$D$8)/2))</x:f>
        <x:v>987.462135706059</x:v>
      </x:c>
      <x:c r="BD589" s="17" t="n">
        <x:f>IF(AND($A589&gt;='Control Room'!$A$13,$A589&lt;'Control Room'!$A$13+'Control Room'!$B$13,'Process'!BU2=1),1+('Control Room'!$C$13-1)*EXP(-0.5*(($A589-'Control Room'!$A$13-('Control Room'!$B$13-1)/2)/MAX(0.5,'Control Room'!$B$13/4))^2),1)*IF(AND($A589&gt;='Control Room'!$A$14,$A589&lt;'Control Room'!$A$14+'Control Room'!$B$14,'Process'!BU3=1),1+('Control Room'!$C$14-1)*EXP(-0.5*(($A589-'Control Room'!$A$14-('Control Room'!$B$14-1)/2)/MAX(0.5,'Control Room'!$B$14/4))^2),1)*IF(AND($A589&gt;='Control Room'!$A$15,$A589&lt;'Control Room'!$A$15+'Control Room'!$B$15,'Process'!BU4=1),1+('Control Room'!$C$15-1)*EXP(-0.5*(($A589-'Control Room'!$A$15-('Control Room'!$B$15-1)/2)/MAX(0.5,'Control Room'!$B$15/4))^2),1)*IF(AND($A589&gt;='Control Room'!$A$16,$A589&lt;'Control Room'!$A$16+'Control Room'!$B$16,'Process'!BU5=1),1+('Control Room'!$C$16-1)*EXP(-0.5*(($A589-'Control Room'!$A$16-('Control Room'!$B$16-1)/2)/MAX(0.5,'Control Room'!$B$16/4))^2),1)</x:f>
        <x:v>1</x:v>
      </x:c>
      <x:c r="BE589" s="9" t="n">
        <x:f>MOD(BF588*16807,2147483647)</x:f>
        <x:v>1828441652</x:v>
      </x:c>
      <x:c r="BF589" s="9" t="n">
        <x:f>MOD(BE589*16807,2147483647)</x:f>
        <x:v>127856594</x:v>
      </x:c>
      <x:c r="BG589" s="17" t="n">
        <x:f>IF('Control Room'!$B$5="Normal",'Control Room'!$B$7+'Control Room'!$D$7*SQRT(-2*LN(MAX(0.000000000001,BE589/2147483647)))*COS(2*PI()*BF589/2147483647),'Control Room'!$B$8+('Control Room'!$D$8-'Control Room'!$B$8)*BE589/2147483647)</x:f>
        <x:v>1047.5138724056605</x:v>
      </x:c>
      <x:c r="BH589" s="17" t="n">
        <x:f>IF('Control Room'!$B$5="Normal",'Control Room'!$B$7,('Control Room'!$B$8+'Control Room'!$D$8)/2)+'Control Room'!$B$9*(BH588-IF('Control Room'!$B$5="Normal",'Control Room'!$B$7,('Control Room'!$B$8+'Control Room'!$D$8)/2))+SQRT(1-'Control Room'!$B$9^2)*(BG589-IF('Control Room'!$B$5="Normal",'Control Room'!$B$7,('Control Room'!$B$8+'Control Room'!$D$8)/2))</x:f>
        <x:v>1144.1792988743143</x:v>
      </x:c>
      <x:c r="BI589" s="17" t="n">
        <x:f>IF(AND($A589&gt;='Control Room'!$A$13,$A589&lt;'Control Room'!$A$13+'Control Room'!$B$13,'Process'!BV2=1),1+('Control Room'!$C$13-1)*EXP(-0.5*(($A589-'Control Room'!$A$13-('Control Room'!$B$13-1)/2)/MAX(0.5,'Control Room'!$B$13/4))^2),1)*IF(AND($A589&gt;='Control Room'!$A$14,$A589&lt;'Control Room'!$A$14+'Control Room'!$B$14,'Process'!BV3=1),1+('Control Room'!$C$14-1)*EXP(-0.5*(($A589-'Control Room'!$A$14-('Control Room'!$B$14-1)/2)/MAX(0.5,'Control Room'!$B$14/4))^2),1)*IF(AND($A589&gt;='Control Room'!$A$15,$A589&lt;'Control Room'!$A$15+'Control Room'!$B$15,'Process'!BV4=1),1+('Control Room'!$C$15-1)*EXP(-0.5*(($A589-'Control Room'!$A$15-('Control Room'!$B$15-1)/2)/MAX(0.5,'Control Room'!$B$15/4))^2),1)*IF(AND($A589&gt;='Control Room'!$A$16,$A589&lt;'Control Room'!$A$16+'Control Room'!$B$16,'Process'!BV5=1),1+('Control Room'!$C$16-1)*EXP(-0.5*(($A589-'Control Room'!$A$16-('Control Room'!$B$16-1)/2)/MAX(0.5,'Control Room'!$B$16/4))^2),1)</x:f>
        <x:v>1</x:v>
      </x:c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Z589" t="str">
        <x:f>IF('Data'!A589="","",TEXT('Data'!A589,"mm-dd"))</x:f>
      </x:c>
    </x:row>
    <x:row r="590" ht="21" customHeight="1">
      <x:c r="A590" s="15" t="n">
        <x:f>'Control Room'!$B$1+588</x:f>
        <x:v>73579</x:v>
      </x:c>
      <x:c r="B590" s="9" t="n">
        <x:f>MOD(C589*16807,2147483647)</x:f>
        <x:v>1338518952</x:v>
      </x:c>
      <x:c r="C590" s="9" t="n">
        <x:f>MOD(B590*16807,2147483647)</x:f>
        <x:v>1596823939</x:v>
      </x:c>
      <x:c r="D590" s="17" t="n">
        <x:f>IF('Control Room'!$B$5="Normal",'Control Room'!$B$7+'Control Room'!$D$7*SQRT(-2*LN(MAX(0.000000000001,B590/2147483647)))*COS(2*PI()*C590/2147483647),'Control Room'!$B$8+('Control Room'!$D$8-'Control Room'!$B$8)*B590/2147483647)</x:f>
        <x:v>996.4704119938222</x:v>
      </x:c>
      <x:c r="E590" s="17" t="n">
        <x:f>IF('Control Room'!$B$5="Normal",'Control Room'!$B$7,('Control Room'!$B$8+'Control Room'!$D$8)/2)+'Control Room'!$B$9*(E589-IF('Control Room'!$B$5="Normal",'Control Room'!$B$7,('Control Room'!$B$8+'Control Room'!$D$8)/2))+SQRT(1-'Control Room'!$B$9^2)*(D590-IF('Control Room'!$B$5="Normal",'Control Room'!$B$7,('Control Room'!$B$8+'Control Room'!$D$8)/2))</x:f>
        <x:v>1045.6351462018854</x:v>
      </x:c>
      <x:c r="F590" s="17" t="n">
        <x:f>IF(AND($A590&gt;='Control Room'!$A$13,$A590&lt;'Control Room'!$A$13+'Control Room'!$B$13,'Process'!BK2=1),1+('Control Room'!$C$13-1)*EXP(-0.5*(($A590-'Control Room'!$A$13-('Control Room'!$B$13-1)/2)/MAX(0.5,'Control Room'!$B$13/4))^2),1)*IF(AND($A590&gt;='Control Room'!$A$14,$A590&lt;'Control Room'!$A$14+'Control Room'!$B$14,'Process'!BK3=1),1+('Control Room'!$C$14-1)*EXP(-0.5*(($A590-'Control Room'!$A$14-('Control Room'!$B$14-1)/2)/MAX(0.5,'Control Room'!$B$14/4))^2),1)*IF(AND($A590&gt;='Control Room'!$A$15,$A590&lt;'Control Room'!$A$15+'Control Room'!$B$15,'Process'!BK4=1),1+('Control Room'!$C$15-1)*EXP(-0.5*(($A590-'Control Room'!$A$15-('Control Room'!$B$15-1)/2)/MAX(0.5,'Control Room'!$B$15/4))^2),1)*IF(AND($A590&gt;='Control Room'!$A$16,$A590&lt;'Control Room'!$A$16+'Control Room'!$B$16,'Process'!BK5=1),1+('Control Room'!$C$16-1)*EXP(-0.5*(($A590-'Control Room'!$A$16-('Control Room'!$B$16-1)/2)/MAX(0.5,'Control Room'!$B$16/4))^2),1)</x:f>
        <x:v>1</x:v>
      </x:c>
      <x:c r="G590" s="9" t="n">
        <x:f>MOD(H589*16807,2147483647)</x:f>
        <x:v>758624267</x:v>
      </x:c>
      <x:c r="H590" s="9" t="n">
        <x:f>MOD(G590*16807,2147483647)</x:f>
        <x:v>587643230</x:v>
      </x:c>
      <x:c r="I590" s="17" t="n">
        <x:f>IF('Control Room'!$B$5="Normal",'Control Room'!$B$7+'Control Room'!$D$7*SQRT(-2*LN(MAX(0.000000000001,G590/2147483647)))*COS(2*PI()*H590/2147483647),'Control Room'!$B$8+('Control Room'!$D$8-'Control Room'!$B$8)*G590/2147483647)</x:f>
        <x:v>980.7838426434332</x:v>
      </x:c>
      <x:c r="J590" s="17" t="n">
        <x:f>IF('Control Room'!$B$5="Normal",'Control Room'!$B$7,('Control Room'!$B$8+'Control Room'!$D$8)/2)+'Control Room'!$B$9*(J589-IF('Control Room'!$B$5="Normal",'Control Room'!$B$7,('Control Room'!$B$8+'Control Room'!$D$8)/2))+SQRT(1-'Control Room'!$B$9^2)*(I590-IF('Control Room'!$B$5="Normal",'Control Room'!$B$7,('Control Room'!$B$8+'Control Room'!$D$8)/2))</x:f>
        <x:v>977.5789033407132</x:v>
      </x:c>
      <x:c r="K590" s="17" t="n">
        <x:f>IF(AND($A590&gt;='Control Room'!$A$13,$A590&lt;'Control Room'!$A$13+'Control Room'!$B$13,'Process'!BL2=1),1+('Control Room'!$C$13-1)*EXP(-0.5*(($A590-'Control Room'!$A$13-('Control Room'!$B$13-1)/2)/MAX(0.5,'Control Room'!$B$13/4))^2),1)*IF(AND($A590&gt;='Control Room'!$A$14,$A590&lt;'Control Room'!$A$14+'Control Room'!$B$14,'Process'!BL3=1),1+('Control Room'!$C$14-1)*EXP(-0.5*(($A590-'Control Room'!$A$14-('Control Room'!$B$14-1)/2)/MAX(0.5,'Control Room'!$B$14/4))^2),1)*IF(AND($A590&gt;='Control Room'!$A$15,$A590&lt;'Control Room'!$A$15+'Control Room'!$B$15,'Process'!BL4=1),1+('Control Room'!$C$15-1)*EXP(-0.5*(($A590-'Control Room'!$A$15-('Control Room'!$B$15-1)/2)/MAX(0.5,'Control Room'!$B$15/4))^2),1)*IF(AND($A590&gt;='Control Room'!$A$16,$A590&lt;'Control Room'!$A$16+'Control Room'!$B$16,'Process'!BL5=1),1+('Control Room'!$C$16-1)*EXP(-0.5*(($A590-'Control Room'!$A$16-('Control Room'!$B$16-1)/2)/MAX(0.5,'Control Room'!$B$16/4))^2),1)</x:f>
        <x:v>1</x:v>
      </x:c>
      <x:c r="L590" s="9" t="n">
        <x:f>MOD(M589*16807,2147483647)</x:f>
        <x:v>178729582</x:v>
      </x:c>
      <x:c r="M590" s="9" t="n">
        <x:f>MOD(L590*16807,2147483647)</x:f>
        <x:v>1725946168</x:v>
      </x:c>
      <x:c r="N590" s="17" t="n">
        <x:f>IF('Control Room'!$B$5="Normal",'Control Room'!$B$7+'Control Room'!$D$7*SQRT(-2*LN(MAX(0.000000000001,L590/2147483647)))*COS(2*PI()*M590/2147483647),'Control Room'!$B$8+('Control Room'!$D$8-'Control Room'!$B$8)*L590/2147483647)</x:f>
        <x:v>1066.4439016173376</x:v>
      </x:c>
      <x:c r="O590" s="17" t="n">
        <x:f>IF('Control Room'!$B$5="Normal",'Control Room'!$B$7,('Control Room'!$B$8+'Control Room'!$D$8)/2)+'Control Room'!$B$9*(O589-IF('Control Room'!$B$5="Normal",'Control Room'!$B$7,('Control Room'!$B$8+'Control Room'!$D$8)/2))+SQRT(1-'Control Room'!$B$9^2)*(N590-IF('Control Room'!$B$5="Normal",'Control Room'!$B$7,('Control Room'!$B$8+'Control Room'!$D$8)/2))</x:f>
        <x:v>996.6875928959009</x:v>
      </x:c>
      <x:c r="P590" s="17" t="n">
        <x:f>IF(AND($A590&gt;='Control Room'!$A$13,$A590&lt;'Control Room'!$A$13+'Control Room'!$B$13,'Process'!BM2=1),1+('Control Room'!$C$13-1)*EXP(-0.5*(($A590-'Control Room'!$A$13-('Control Room'!$B$13-1)/2)/MAX(0.5,'Control Room'!$B$13/4))^2),1)*IF(AND($A590&gt;='Control Room'!$A$14,$A590&lt;'Control Room'!$A$14+'Control Room'!$B$14,'Process'!BM3=1),1+('Control Room'!$C$14-1)*EXP(-0.5*(($A590-'Control Room'!$A$14-('Control Room'!$B$14-1)/2)/MAX(0.5,'Control Room'!$B$14/4))^2),1)*IF(AND($A590&gt;='Control Room'!$A$15,$A590&lt;'Control Room'!$A$15+'Control Room'!$B$15,'Process'!BM4=1),1+('Control Room'!$C$15-1)*EXP(-0.5*(($A590-'Control Room'!$A$15-('Control Room'!$B$15-1)/2)/MAX(0.5,'Control Room'!$B$15/4))^2),1)*IF(AND($A590&gt;='Control Room'!$A$16,$A590&lt;'Control Room'!$A$16+'Control Room'!$B$16,'Process'!BM5=1),1+('Control Room'!$C$16-1)*EXP(-0.5*(($A590-'Control Room'!$A$16-('Control Room'!$B$16-1)/2)/MAX(0.5,'Control Room'!$B$16/4))^2),1)</x:f>
        <x:v>1</x:v>
      </x:c>
      <x:c r="Q590" s="9" t="n">
        <x:f>MOD(R589*16807,2147483647)</x:f>
        <x:v>1746318544</x:v>
      </x:c>
      <x:c r="R590" s="9" t="n">
        <x:f>MOD(Q590*16807,2147483647)</x:f>
        <x:v>716765459</x:v>
      </x:c>
      <x:c r="S590" s="17" t="n">
        <x:f>IF('Control Room'!$B$5="Normal",'Control Room'!$B$7+'Control Room'!$D$7*SQRT(-2*LN(MAX(0.000000000001,Q590/2147483647)))*COS(2*PI()*R590/2147483647),'Control Room'!$B$8+('Control Room'!$D$8-'Control Room'!$B$8)*Q590/2147483647)</x:f>
        <x:v>970.9232427884928</x:v>
      </x:c>
      <x:c r="T590" s="17" t="n">
        <x:f>IF('Control Room'!$B$5="Normal",'Control Room'!$B$7,('Control Room'!$B$8+'Control Room'!$D$8)/2)+'Control Room'!$B$9*(T589-IF('Control Room'!$B$5="Normal",'Control Room'!$B$7,('Control Room'!$B$8+'Control Room'!$D$8)/2))+SQRT(1-'Control Room'!$B$9^2)*(S590-IF('Control Room'!$B$5="Normal",'Control Room'!$B$7,('Control Room'!$B$8+'Control Room'!$D$8)/2))</x:f>
        <x:v>940.9898027851974</x:v>
      </x:c>
      <x:c r="U590" s="17" t="n">
        <x:f>IF(AND($A590&gt;='Control Room'!$A$13,$A590&lt;'Control Room'!$A$13+'Control Room'!$B$13,'Process'!BN2=1),1+('Control Room'!$C$13-1)*EXP(-0.5*(($A590-'Control Room'!$A$13-('Control Room'!$B$13-1)/2)/MAX(0.5,'Control Room'!$B$13/4))^2),1)*IF(AND($A590&gt;='Control Room'!$A$14,$A590&lt;'Control Room'!$A$14+'Control Room'!$B$14,'Process'!BN3=1),1+('Control Room'!$C$14-1)*EXP(-0.5*(($A590-'Control Room'!$A$14-('Control Room'!$B$14-1)/2)/MAX(0.5,'Control Room'!$B$14/4))^2),1)*IF(AND($A590&gt;='Control Room'!$A$15,$A590&lt;'Control Room'!$A$15+'Control Room'!$B$15,'Process'!BN4=1),1+('Control Room'!$C$15-1)*EXP(-0.5*(($A590-'Control Room'!$A$15-('Control Room'!$B$15-1)/2)/MAX(0.5,'Control Room'!$B$15/4))^2),1)*IF(AND($A590&gt;='Control Room'!$A$16,$A590&lt;'Control Room'!$A$16+'Control Room'!$B$16,'Process'!BN5=1),1+('Control Room'!$C$16-1)*EXP(-0.5*(($A590-'Control Room'!$A$16-('Control Room'!$B$16-1)/2)/MAX(0.5,'Control Room'!$B$16/4))^2),1)</x:f>
        <x:v>1</x:v>
      </x:c>
      <x:c r="V590" s="9" t="n">
        <x:f>MOD(W589*16807,2147483647)</x:f>
        <x:v>1166423859</x:v>
      </x:c>
      <x:c r="W590" s="9" t="n">
        <x:f>MOD(V590*16807,2147483647)</x:f>
        <x:v>1855068397</x:v>
      </x:c>
      <x:c r="X590" s="17" t="n">
        <x:f>IF('Control Room'!$B$5="Normal",'Control Room'!$B$7+'Control Room'!$D$7*SQRT(-2*LN(MAX(0.000000000001,V590/2147483647)))*COS(2*PI()*W590/2147483647),'Control Room'!$B$8+('Control Room'!$D$8-'Control Room'!$B$8)*V590/2147483647)</x:f>
        <x:v>1065.2105089945705</x:v>
      </x:c>
      <x:c r="Y590" s="17" t="n">
        <x:f>IF('Control Room'!$B$5="Normal",'Control Room'!$B$7,('Control Room'!$B$8+'Control Room'!$D$8)/2)+'Control Room'!$B$9*(Y589-IF('Control Room'!$B$5="Normal",'Control Room'!$B$7,('Control Room'!$B$8+'Control Room'!$D$8)/2))+SQRT(1-'Control Room'!$B$9^2)*(X590-IF('Control Room'!$B$5="Normal",'Control Room'!$B$7,('Control Room'!$B$8+'Control Room'!$D$8)/2))</x:f>
        <x:v>1034.8945280163734</x:v>
      </x:c>
      <x:c r="Z590" s="17" t="n">
        <x:f>IF(AND($A590&gt;='Control Room'!$A$13,$A590&lt;'Control Room'!$A$13+'Control Room'!$B$13,'Process'!BO2=1),1+('Control Room'!$C$13-1)*EXP(-0.5*(($A590-'Control Room'!$A$13-('Control Room'!$B$13-1)/2)/MAX(0.5,'Control Room'!$B$13/4))^2),1)*IF(AND($A590&gt;='Control Room'!$A$14,$A590&lt;'Control Room'!$A$14+'Control Room'!$B$14,'Process'!BO3=1),1+('Control Room'!$C$14-1)*EXP(-0.5*(($A590-'Control Room'!$A$14-('Control Room'!$B$14-1)/2)/MAX(0.5,'Control Room'!$B$14/4))^2),1)*IF(AND($A590&gt;='Control Room'!$A$15,$A590&lt;'Control Room'!$A$15+'Control Room'!$B$15,'Process'!BO4=1),1+('Control Room'!$C$15-1)*EXP(-0.5*(($A590-'Control Room'!$A$15-('Control Room'!$B$15-1)/2)/MAX(0.5,'Control Room'!$B$15/4))^2),1)*IF(AND($A590&gt;='Control Room'!$A$16,$A590&lt;'Control Room'!$A$16+'Control Room'!$B$16,'Process'!BO5=1),1+('Control Room'!$C$16-1)*EXP(-0.5*(($A590-'Control Room'!$A$16-('Control Room'!$B$16-1)/2)/MAX(0.5,'Control Room'!$B$16/4))^2),1)</x:f>
        <x:v>1</x:v>
      </x:c>
      <x:c r="AA590" s="9" t="n">
        <x:f>MOD(AB589*16807,2147483647)</x:f>
        <x:v>586529174</x:v>
      </x:c>
      <x:c r="AB590" s="9" t="n">
        <x:f>MOD(AA590*16807,2147483647)</x:f>
        <x:v>845887688</x:v>
      </x:c>
      <x:c r="AC590" s="17" t="n">
        <x:f>IF('Control Room'!$B$5="Normal",'Control Room'!$B$7+'Control Room'!$D$7*SQRT(-2*LN(MAX(0.000000000001,AA590/2147483647)))*COS(2*PI()*AB590/2147483647),'Control Room'!$B$8+('Control Room'!$D$8-'Control Room'!$B$8)*AA590/2147483647)</x:f>
        <x:v>886.0465299224946</x:v>
      </x:c>
      <x:c r="AD590" s="17" t="n">
        <x:f>IF('Control Room'!$B$5="Normal",'Control Room'!$B$7,('Control Room'!$B$8+'Control Room'!$D$8)/2)+'Control Room'!$B$9*(AD589-IF('Control Room'!$B$5="Normal",'Control Room'!$B$7,('Control Room'!$B$8+'Control Room'!$D$8)/2))+SQRT(1-'Control Room'!$B$9^2)*(AC590-IF('Control Room'!$B$5="Normal",'Control Room'!$B$7,('Control Room'!$B$8+'Control Room'!$D$8)/2))</x:f>
        <x:v>1019.4607939158345</x:v>
      </x:c>
      <x:c r="AE590" s="17" t="n">
        <x:f>IF(AND($A590&gt;='Control Room'!$A$13,$A590&lt;'Control Room'!$A$13+'Control Room'!$B$13,'Process'!BP2=1),1+('Control Room'!$C$13-1)*EXP(-0.5*(($A590-'Control Room'!$A$13-('Control Room'!$B$13-1)/2)/MAX(0.5,'Control Room'!$B$13/4))^2),1)*IF(AND($A590&gt;='Control Room'!$A$14,$A590&lt;'Control Room'!$A$14+'Control Room'!$B$14,'Process'!BP3=1),1+('Control Room'!$C$14-1)*EXP(-0.5*(($A590-'Control Room'!$A$14-('Control Room'!$B$14-1)/2)/MAX(0.5,'Control Room'!$B$14/4))^2),1)*IF(AND($A590&gt;='Control Room'!$A$15,$A590&lt;'Control Room'!$A$15+'Control Room'!$B$15,'Process'!BP4=1),1+('Control Room'!$C$15-1)*EXP(-0.5*(($A590-'Control Room'!$A$15-('Control Room'!$B$15-1)/2)/MAX(0.5,'Control Room'!$B$15/4))^2),1)*IF(AND($A590&gt;='Control Room'!$A$16,$A590&lt;'Control Room'!$A$16+'Control Room'!$B$16,'Process'!BP5=1),1+('Control Room'!$C$16-1)*EXP(-0.5*(($A590-'Control Room'!$A$16-('Control Room'!$B$16-1)/2)/MAX(0.5,'Control Room'!$B$16/4))^2),1)</x:f>
        <x:v>1</x:v>
      </x:c>
      <x:c r="AF590" s="9" t="n">
        <x:f>MOD(AG589*16807,2147483647)</x:f>
        <x:v>6634489</x:v>
      </x:c>
      <x:c r="AG590" s="9" t="n">
        <x:f>MOD(AF590*16807,2147483647)</x:f>
        <x:v>1984190626</x:v>
      </x:c>
      <x:c r="AH590" s="17" t="n">
        <x:f>IF('Control Room'!$B$5="Normal",'Control Room'!$B$7+'Control Room'!$D$7*SQRT(-2*LN(MAX(0.000000000001,AF590/2147483647)))*COS(2*PI()*AG590/2147483647),'Control Room'!$B$8+('Control Room'!$D$8-'Control Room'!$B$8)*AF590/2147483647)</x:f>
        <x:v>1271.7296761189154</x:v>
      </x:c>
      <x:c r="AI590" s="17" t="n">
        <x:f>IF('Control Room'!$B$5="Normal",'Control Room'!$B$7,('Control Room'!$B$8+'Control Room'!$D$8)/2)+'Control Room'!$B$9*(AI589-IF('Control Room'!$B$5="Normal",'Control Room'!$B$7,('Control Room'!$B$8+'Control Room'!$D$8)/2))+SQRT(1-'Control Room'!$B$9^2)*(AH590-IF('Control Room'!$B$5="Normal",'Control Room'!$B$7,('Control Room'!$B$8+'Control Room'!$D$8)/2))</x:f>
        <x:v>1191.141422490456</x:v>
      </x:c>
      <x:c r="AJ590" s="17" t="n">
        <x:f>IF(AND($A590&gt;='Control Room'!$A$13,$A590&lt;'Control Room'!$A$13+'Control Room'!$B$13,'Process'!BQ2=1),1+('Control Room'!$C$13-1)*EXP(-0.5*(($A590-'Control Room'!$A$13-('Control Room'!$B$13-1)/2)/MAX(0.5,'Control Room'!$B$13/4))^2),1)*IF(AND($A590&gt;='Control Room'!$A$14,$A590&lt;'Control Room'!$A$14+'Control Room'!$B$14,'Process'!BQ3=1),1+('Control Room'!$C$14-1)*EXP(-0.5*(($A590-'Control Room'!$A$14-('Control Room'!$B$14-1)/2)/MAX(0.5,'Control Room'!$B$14/4))^2),1)*IF(AND($A590&gt;='Control Room'!$A$15,$A590&lt;'Control Room'!$A$15+'Control Room'!$B$15,'Process'!BQ4=1),1+('Control Room'!$C$15-1)*EXP(-0.5*(($A590-'Control Room'!$A$15-('Control Room'!$B$15-1)/2)/MAX(0.5,'Control Room'!$B$15/4))^2),1)*IF(AND($A590&gt;='Control Room'!$A$16,$A590&lt;'Control Room'!$A$16+'Control Room'!$B$16,'Process'!BQ5=1),1+('Control Room'!$C$16-1)*EXP(-0.5*(($A590-'Control Room'!$A$16-('Control Room'!$B$16-1)/2)/MAX(0.5,'Control Room'!$B$16/4))^2),1)</x:f>
        <x:v>1</x:v>
      </x:c>
      <x:c r="AK590" s="9" t="n">
        <x:f>MOD(AL589*16807,2147483647)</x:f>
        <x:v>1574223451</x:v>
      </x:c>
      <x:c r="AL590" s="9" t="n">
        <x:f>MOD(AK590*16807,2147483647)</x:f>
        <x:v>975009917</x:v>
      </x:c>
      <x:c r="AM590" s="17" t="n">
        <x:f>IF('Control Room'!$B$5="Normal",'Control Room'!$B$7+'Control Room'!$D$7*SQRT(-2*LN(MAX(0.000000000001,AK590/2147483647)))*COS(2*PI()*AL590/2147483647),'Control Room'!$B$8+('Control Room'!$D$8-'Control Room'!$B$8)*AK590/2147483647)</x:f>
        <x:v>932.0116806642599</x:v>
      </x:c>
      <x:c r="AN590" s="17" t="n">
        <x:f>IF('Control Room'!$B$5="Normal",'Control Room'!$B$7,('Control Room'!$B$8+'Control Room'!$D$8)/2)+'Control Room'!$B$9*(AN589-IF('Control Room'!$B$5="Normal",'Control Room'!$B$7,('Control Room'!$B$8+'Control Room'!$D$8)/2))+SQRT(1-'Control Room'!$B$9^2)*(AM590-IF('Control Room'!$B$5="Normal",'Control Room'!$B$7,('Control Room'!$B$8+'Control Room'!$D$8)/2))</x:f>
        <x:v>889.6166303560681</x:v>
      </x:c>
      <x:c r="AO590" s="17" t="n">
        <x:f>IF(AND($A590&gt;='Control Room'!$A$13,$A590&lt;'Control Room'!$A$13+'Control Room'!$B$13,'Process'!BR2=1),1+('Control Room'!$C$13-1)*EXP(-0.5*(($A590-'Control Room'!$A$13-('Control Room'!$B$13-1)/2)/MAX(0.5,'Control Room'!$B$13/4))^2),1)*IF(AND($A590&gt;='Control Room'!$A$14,$A590&lt;'Control Room'!$A$14+'Control Room'!$B$14,'Process'!BR3=1),1+('Control Room'!$C$14-1)*EXP(-0.5*(($A590-'Control Room'!$A$14-('Control Room'!$B$14-1)/2)/MAX(0.5,'Control Room'!$B$14/4))^2),1)*IF(AND($A590&gt;='Control Room'!$A$15,$A590&lt;'Control Room'!$A$15+'Control Room'!$B$15,'Process'!BR4=1),1+('Control Room'!$C$15-1)*EXP(-0.5*(($A590-'Control Room'!$A$15-('Control Room'!$B$15-1)/2)/MAX(0.5,'Control Room'!$B$15/4))^2),1)*IF(AND($A590&gt;='Control Room'!$A$16,$A590&lt;'Control Room'!$A$16+'Control Room'!$B$16,'Process'!BR5=1),1+('Control Room'!$C$16-1)*EXP(-0.5*(($A590-'Control Room'!$A$16-('Control Room'!$B$16-1)/2)/MAX(0.5,'Control Room'!$B$16/4))^2),1)</x:f>
        <x:v>1</x:v>
      </x:c>
      <x:c r="AP590" s="9" t="n">
        <x:f>MOD(AQ589*16807,2147483647)</x:f>
        <x:v>994328766</x:v>
      </x:c>
      <x:c r="AQ590" s="9" t="n">
        <x:f>MOD(AP590*16807,2147483647)</x:f>
        <x:v>2113312855</x:v>
      </x:c>
      <x:c r="AR590" s="17" t="n">
        <x:f>IF('Control Room'!$B$5="Normal",'Control Room'!$B$7+'Control Room'!$D$7*SQRT(-2*LN(MAX(0.000000000001,AP590/2147483647)))*COS(2*PI()*AQ590/2147483647),'Control Room'!$B$8+('Control Room'!$D$8-'Control Room'!$B$8)*AP590/2147483647)</x:f>
        <x:v>1111.128191685464</x:v>
      </x:c>
      <x:c r="AS590" s="17" t="n">
        <x:f>IF('Control Room'!$B$5="Normal",'Control Room'!$B$7,('Control Room'!$B$8+'Control Room'!$D$8)/2)+'Control Room'!$B$9*(AS589-IF('Control Room'!$B$5="Normal",'Control Room'!$B$7,('Control Room'!$B$8+'Control Room'!$D$8)/2))+SQRT(1-'Control Room'!$B$9^2)*(AR590-IF('Control Room'!$B$5="Normal",'Control Room'!$B$7,('Control Room'!$B$8+'Control Room'!$D$8)/2))</x:f>
        <x:v>996.6074090087703</x:v>
      </x:c>
      <x:c r="AT590" s="17" t="n">
        <x:f>IF(AND($A590&gt;='Control Room'!$A$13,$A590&lt;'Control Room'!$A$13+'Control Room'!$B$13,'Process'!BS2=1),1+('Control Room'!$C$13-1)*EXP(-0.5*(($A590-'Control Room'!$A$13-('Control Room'!$B$13-1)/2)/MAX(0.5,'Control Room'!$B$13/4))^2),1)*IF(AND($A590&gt;='Control Room'!$A$14,$A590&lt;'Control Room'!$A$14+'Control Room'!$B$14,'Process'!BS3=1),1+('Control Room'!$C$14-1)*EXP(-0.5*(($A590-'Control Room'!$A$14-('Control Room'!$B$14-1)/2)/MAX(0.5,'Control Room'!$B$14/4))^2),1)*IF(AND($A590&gt;='Control Room'!$A$15,$A590&lt;'Control Room'!$A$15+'Control Room'!$B$15,'Process'!BS4=1),1+('Control Room'!$C$15-1)*EXP(-0.5*(($A590-'Control Room'!$A$15-('Control Room'!$B$15-1)/2)/MAX(0.5,'Control Room'!$B$15/4))^2),1)*IF(AND($A590&gt;='Control Room'!$A$16,$A590&lt;'Control Room'!$A$16+'Control Room'!$B$16,'Process'!BS5=1),1+('Control Room'!$C$16-1)*EXP(-0.5*(($A590-'Control Room'!$A$16-('Control Room'!$B$16-1)/2)/MAX(0.5,'Control Room'!$B$16/4))^2),1)</x:f>
        <x:v>1</x:v>
      </x:c>
      <x:c r="AU590" s="9" t="n">
        <x:f>MOD(AV589*16807,2147483647)</x:f>
        <x:v>414434081</x:v>
      </x:c>
      <x:c r="AV590" s="9" t="n">
        <x:f>MOD(AU590*16807,2147483647)</x:f>
        <x:v>1104132146</x:v>
      </x:c>
      <x:c r="AW590" s="17" t="n">
        <x:f>IF('Control Room'!$B$5="Normal",'Control Room'!$B$7+'Control Room'!$D$7*SQRT(-2*LN(MAX(0.000000000001,AU590/2147483647)))*COS(2*PI()*AV590/2147483647),'Control Room'!$B$8+('Control Room'!$D$8-'Control Room'!$B$8)*AU590/2147483647)</x:f>
        <x:v>837.3928638782896</x:v>
      </x:c>
      <x:c r="AX590" s="17" t="n">
        <x:f>IF('Control Room'!$B$5="Normal",'Control Room'!$B$7,('Control Room'!$B$8+'Control Room'!$D$8)/2)+'Control Room'!$B$9*(AX589-IF('Control Room'!$B$5="Normal",'Control Room'!$B$7,('Control Room'!$B$8+'Control Room'!$D$8)/2))+SQRT(1-'Control Room'!$B$9^2)*(AW590-IF('Control Room'!$B$5="Normal",'Control Room'!$B$7,('Control Room'!$B$8+'Control Room'!$D$8)/2))</x:f>
        <x:v>872.6608685700774</x:v>
      </x:c>
      <x:c r="AY590" s="17" t="n">
        <x:f>IF(AND($A590&gt;='Control Room'!$A$13,$A590&lt;'Control Room'!$A$13+'Control Room'!$B$13,'Process'!BT2=1),1+('Control Room'!$C$13-1)*EXP(-0.5*(($A590-'Control Room'!$A$13-('Control Room'!$B$13-1)/2)/MAX(0.5,'Control Room'!$B$13/4))^2),1)*IF(AND($A590&gt;='Control Room'!$A$14,$A590&lt;'Control Room'!$A$14+'Control Room'!$B$14,'Process'!BT3=1),1+('Control Room'!$C$14-1)*EXP(-0.5*(($A590-'Control Room'!$A$14-('Control Room'!$B$14-1)/2)/MAX(0.5,'Control Room'!$B$14/4))^2),1)*IF(AND($A590&gt;='Control Room'!$A$15,$A590&lt;'Control Room'!$A$15+'Control Room'!$B$15,'Process'!BT4=1),1+('Control Room'!$C$15-1)*EXP(-0.5*(($A590-'Control Room'!$A$15-('Control Room'!$B$15-1)/2)/MAX(0.5,'Control Room'!$B$15/4))^2),1)*IF(AND($A590&gt;='Control Room'!$A$16,$A590&lt;'Control Room'!$A$16+'Control Room'!$B$16,'Process'!BT5=1),1+('Control Room'!$C$16-1)*EXP(-0.5*(($A590-'Control Room'!$A$16-('Control Room'!$B$16-1)/2)/MAX(0.5,'Control Room'!$B$16/4))^2),1)</x:f>
        <x:v>1</x:v>
      </x:c>
      <x:c r="AZ590" s="9" t="n">
        <x:f>MOD(BA589*16807,2147483647)</x:f>
        <x:v>1982023043</x:v>
      </x:c>
      <x:c r="BA590" s="9" t="n">
        <x:f>MOD(AZ590*16807,2147483647)</x:f>
        <x:v>94951437</x:v>
      </x:c>
      <x:c r="BB590" s="17" t="n">
        <x:f>IF('Control Room'!$B$5="Normal",'Control Room'!$B$7+'Control Room'!$D$7*SQRT(-2*LN(MAX(0.000000000001,AZ590/2147483647)))*COS(2*PI()*BA590/2147483647),'Control Room'!$B$8+('Control Room'!$D$8-'Control Room'!$B$8)*AZ590/2147483647)</x:f>
        <x:v>1034.658321338726</x:v>
      </x:c>
      <x:c r="BC590" s="17" t="n">
        <x:f>IF('Control Room'!$B$5="Normal",'Control Room'!$B$7,('Control Room'!$B$8+'Control Room'!$D$8)/2)+'Control Room'!$B$9*(BC589-IF('Control Room'!$B$5="Normal",'Control Room'!$B$7,('Control Room'!$B$8+'Control Room'!$D$8)/2))+SQRT(1-'Control Room'!$B$9^2)*(BB590-IF('Control Room'!$B$5="Normal",'Control Room'!$B$7,('Control Room'!$B$8+'Control Room'!$D$8)/2))</x:f>
        <x:v>1011.9089333301954</x:v>
      </x:c>
      <x:c r="BD590" s="17" t="n">
        <x:f>IF(AND($A590&gt;='Control Room'!$A$13,$A590&lt;'Control Room'!$A$13+'Control Room'!$B$13,'Process'!BU2=1),1+('Control Room'!$C$13-1)*EXP(-0.5*(($A590-'Control Room'!$A$13-('Control Room'!$B$13-1)/2)/MAX(0.5,'Control Room'!$B$13/4))^2),1)*IF(AND($A590&gt;='Control Room'!$A$14,$A590&lt;'Control Room'!$A$14+'Control Room'!$B$14,'Process'!BU3=1),1+('Control Room'!$C$14-1)*EXP(-0.5*(($A590-'Control Room'!$A$14-('Control Room'!$B$14-1)/2)/MAX(0.5,'Control Room'!$B$14/4))^2),1)*IF(AND($A590&gt;='Control Room'!$A$15,$A590&lt;'Control Room'!$A$15+'Control Room'!$B$15,'Process'!BU4=1),1+('Control Room'!$C$15-1)*EXP(-0.5*(($A590-'Control Room'!$A$15-('Control Room'!$B$15-1)/2)/MAX(0.5,'Control Room'!$B$15/4))^2),1)*IF(AND($A590&gt;='Control Room'!$A$16,$A590&lt;'Control Room'!$A$16+'Control Room'!$B$16,'Process'!BU5=1),1+('Control Room'!$C$16-1)*EXP(-0.5*(($A590-'Control Room'!$A$16-('Control Room'!$B$16-1)/2)/MAX(0.5,'Control Room'!$B$16/4))^2),1)</x:f>
        <x:v>1</x:v>
      </x:c>
      <x:c r="BE590" s="9" t="n">
        <x:f>MOD(BF589*16807,2147483647)</x:f>
        <x:v>1402128358</x:v>
      </x:c>
      <x:c r="BF590" s="9" t="n">
        <x:f>MOD(BE590*16807,2147483647)</x:f>
        <x:v>1233254375</x:v>
      </x:c>
      <x:c r="BG590" s="17" t="n">
        <x:f>IF('Control Room'!$B$5="Normal",'Control Room'!$B$7+'Control Room'!$D$7*SQRT(-2*LN(MAX(0.000000000001,BE590/2147483647)))*COS(2*PI()*BF590/2147483647),'Control Room'!$B$8+('Control Room'!$D$8-'Control Room'!$B$8)*BE590/2147483647)</x:f>
        <x:v>925.7842777804863</x:v>
      </x:c>
      <x:c r="BH590" s="17" t="n">
        <x:f>IF('Control Room'!$B$5="Normal",'Control Room'!$B$7,('Control Room'!$B$8+'Control Room'!$D$8)/2)+'Control Room'!$B$9*(BH589-IF('Control Room'!$B$5="Normal",'Control Room'!$B$7,('Control Room'!$B$8+'Control Room'!$D$8)/2))+SQRT(1-'Control Room'!$B$9^2)*(BG590-IF('Control Room'!$B$5="Normal",'Control Room'!$B$7,('Control Room'!$B$8+'Control Room'!$D$8)/2))</x:f>
        <x:v>1066.0171745487037</x:v>
      </x:c>
      <x:c r="BI590" s="17" t="n">
        <x:f>IF(AND($A590&gt;='Control Room'!$A$13,$A590&lt;'Control Room'!$A$13+'Control Room'!$B$13,'Process'!BV2=1),1+('Control Room'!$C$13-1)*EXP(-0.5*(($A590-'Control Room'!$A$13-('Control Room'!$B$13-1)/2)/MAX(0.5,'Control Room'!$B$13/4))^2),1)*IF(AND($A590&gt;='Control Room'!$A$14,$A590&lt;'Control Room'!$A$14+'Control Room'!$B$14,'Process'!BV3=1),1+('Control Room'!$C$14-1)*EXP(-0.5*(($A590-'Control Room'!$A$14-('Control Room'!$B$14-1)/2)/MAX(0.5,'Control Room'!$B$14/4))^2),1)*IF(AND($A590&gt;='Control Room'!$A$15,$A590&lt;'Control Room'!$A$15+'Control Room'!$B$15,'Process'!BV4=1),1+('Control Room'!$C$15-1)*EXP(-0.5*(($A590-'Control Room'!$A$15-('Control Room'!$B$15-1)/2)/MAX(0.5,'Control Room'!$B$15/4))^2),1)*IF(AND($A590&gt;='Control Room'!$A$16,$A590&lt;'Control Room'!$A$16+'Control Room'!$B$16,'Process'!BV5=1),1+('Control Room'!$C$16-1)*EXP(-0.5*(($A590-'Control Room'!$A$16-('Control Room'!$B$16-1)/2)/MAX(0.5,'Control Room'!$B$16/4))^2),1)</x:f>
        <x:v>1</x:v>
      </x:c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Z590" t="str">
        <x:f>IF('Data'!A590="","",TEXT('Data'!A590,"mm-dd"))</x:f>
      </x:c>
    </x:row>
    <x:row r="591" ht="21" customHeight="1">
      <x:c r="A591" s="15" t="n">
        <x:f>'Control Room'!$B$1+589</x:f>
        <x:v>73580</x:v>
      </x:c>
      <x:c r="B591" s="9" t="n">
        <x:f>MOD(C590*16807,2147483647)</x:f>
        <x:v>716806214</x:v>
      </x:c>
      <x:c r="C591" s="9" t="n">
        <x:f>MOD(B591*16807,2147483647)</x:f>
        <x:v>2126262675</x:v>
      </x:c>
      <x:c r="D591" s="17" t="n">
        <x:f>IF('Control Room'!$B$5="Normal",'Control Room'!$B$7+'Control Room'!$D$7*SQRT(-2*LN(MAX(0.000000000001,B591/2147483647)))*COS(2*PI()*C591/2147483647),'Control Room'!$B$8+('Control Room'!$D$8-'Control Room'!$B$8)*B591/2147483647)</x:f>
        <x:v>1133.067487873681</x:v>
      </x:c>
      <x:c r="E591" s="17" t="n">
        <x:f>IF('Control Room'!$B$5="Normal",'Control Room'!$B$7,('Control Room'!$B$8+'Control Room'!$D$8)/2)+'Control Room'!$B$9*(E590-IF('Control Room'!$B$5="Normal",'Control Room'!$B$7,('Control Room'!$B$8+'Control Room'!$D$8)/2))+SQRT(1-'Control Room'!$B$9^2)*(D591-IF('Control Room'!$B$5="Normal",'Control Room'!$B$7,('Control Room'!$B$8+'Control Room'!$D$8)/2))</x:f>
        <x:v>1118.866321913158</x:v>
      </x:c>
      <x:c r="F591" s="17" t="n">
        <x:f>IF(AND($A591&gt;='Control Room'!$A$13,$A591&lt;'Control Room'!$A$13+'Control Room'!$B$13,'Process'!BK2=1),1+('Control Room'!$C$13-1)*EXP(-0.5*(($A591-'Control Room'!$A$13-('Control Room'!$B$13-1)/2)/MAX(0.5,'Control Room'!$B$13/4))^2),1)*IF(AND($A591&gt;='Control Room'!$A$14,$A591&lt;'Control Room'!$A$14+'Control Room'!$B$14,'Process'!BK3=1),1+('Control Room'!$C$14-1)*EXP(-0.5*(($A591-'Control Room'!$A$14-('Control Room'!$B$14-1)/2)/MAX(0.5,'Control Room'!$B$14/4))^2),1)*IF(AND($A591&gt;='Control Room'!$A$15,$A591&lt;'Control Room'!$A$15+'Control Room'!$B$15,'Process'!BK4=1),1+('Control Room'!$C$15-1)*EXP(-0.5*(($A591-'Control Room'!$A$15-('Control Room'!$B$15-1)/2)/MAX(0.5,'Control Room'!$B$15/4))^2),1)*IF(AND($A591&gt;='Control Room'!$A$16,$A591&lt;'Control Room'!$A$16+'Control Room'!$B$16,'Process'!BK5=1),1+('Control Room'!$C$16-1)*EXP(-0.5*(($A591-'Control Room'!$A$16-('Control Room'!$B$16-1)/2)/MAX(0.5,'Control Room'!$B$16/4))^2),1)</x:f>
        <x:v>1</x:v>
      </x:c>
      <x:c r="G591" s="9" t="n">
        <x:f>MOD(H590*16807,2147483647)</x:f>
        <x:v>242474057</x:v>
      </x:c>
      <x:c r="H591" s="9" t="n">
        <x:f>MOD(G591*16807,2147483647)</x:f>
        <x:v>1484997640</x:v>
      </x:c>
      <x:c r="I591" s="17" t="n">
        <x:f>IF('Control Room'!$B$5="Normal",'Control Room'!$B$7+'Control Room'!$D$7*SQRT(-2*LN(MAX(0.000000000001,G591/2147483647)))*COS(2*PI()*H591/2147483647),'Control Room'!$B$8+('Control Room'!$D$8-'Control Room'!$B$8)*G591/2147483647)</x:f>
        <x:v>932.4584251583517</x:v>
      </x:c>
      <x:c r="J591" s="17" t="n">
        <x:f>IF('Control Room'!$B$5="Normal",'Control Room'!$B$7,('Control Room'!$B$8+'Control Room'!$D$8)/2)+'Control Room'!$B$9*(J590-IF('Control Room'!$B$5="Normal",'Control Room'!$B$7,('Control Room'!$B$8+'Control Room'!$D$8)/2))+SQRT(1-'Control Room'!$B$9^2)*(I591-IF('Control Room'!$B$5="Normal",'Control Room'!$B$7,('Control Room'!$B$8+'Control Room'!$D$8)/2))</x:f>
        <x:v>940.2454107342222</x:v>
      </x:c>
      <x:c r="K591" s="17" t="n">
        <x:f>IF(AND($A591&gt;='Control Room'!$A$13,$A591&lt;'Control Room'!$A$13+'Control Room'!$B$13,'Process'!BL2=1),1+('Control Room'!$C$13-1)*EXP(-0.5*(($A591-'Control Room'!$A$13-('Control Room'!$B$13-1)/2)/MAX(0.5,'Control Room'!$B$13/4))^2),1)*IF(AND($A591&gt;='Control Room'!$A$14,$A591&lt;'Control Room'!$A$14+'Control Room'!$B$14,'Process'!BL3=1),1+('Control Room'!$C$14-1)*EXP(-0.5*(($A591-'Control Room'!$A$14-('Control Room'!$B$14-1)/2)/MAX(0.5,'Control Room'!$B$14/4))^2),1)*IF(AND($A591&gt;='Control Room'!$A$15,$A591&lt;'Control Room'!$A$15+'Control Room'!$B$15,'Process'!BL4=1),1+('Control Room'!$C$15-1)*EXP(-0.5*(($A591-'Control Room'!$A$15-('Control Room'!$B$15-1)/2)/MAX(0.5,'Control Room'!$B$15/4))^2),1)*IF(AND($A591&gt;='Control Room'!$A$16,$A591&lt;'Control Room'!$A$16+'Control Room'!$B$16,'Process'!BL5=1),1+('Control Room'!$C$16-1)*EXP(-0.5*(($A591-'Control Room'!$A$16-('Control Room'!$B$16-1)/2)/MAX(0.5,'Control Room'!$B$16/4))^2),1)</x:f>
        <x:v>1</x:v>
      </x:c>
      <x:c r="L591" s="9" t="n">
        <x:f>MOD(M590*16807,2147483647)</x:f>
        <x:v>1915625547</x:v>
      </x:c>
      <x:c r="M591" s="9" t="n">
        <x:f>MOD(L591*16807,2147483647)</x:f>
        <x:v>843732605</x:v>
      </x:c>
      <x:c r="N591" s="17" t="n">
        <x:f>IF('Control Room'!$B$5="Normal",'Control Room'!$B$7+'Control Room'!$D$7*SQRT(-2*LN(MAX(0.000000000001,L591/2147483647)))*COS(2*PI()*M591/2147483647),'Control Room'!$B$8+('Control Room'!$D$8-'Control Room'!$B$8)*L591/2147483647)</x:f>
        <x:v>966.3579135067657</x:v>
      </x:c>
      <x:c r="O591" s="17" t="n">
        <x:f>IF('Control Room'!$B$5="Normal",'Control Room'!$B$7,('Control Room'!$B$8+'Control Room'!$D$8)/2)+'Control Room'!$B$9*(O590-IF('Control Room'!$B$5="Normal",'Control Room'!$B$7,('Control Room'!$B$8+'Control Room'!$D$8)/2))+SQRT(1-'Control Room'!$B$9^2)*(N591-IF('Control Room'!$B$5="Normal",'Control Room'!$B$7,('Control Room'!$B$8+'Control Room'!$D$8)/2))</x:f>
        <x:v>976.3637939269396</x:v>
      </x:c>
      <x:c r="P591" s="17" t="n">
        <x:f>IF(AND($A591&gt;='Control Room'!$A$13,$A591&lt;'Control Room'!$A$13+'Control Room'!$B$13,'Process'!BM2=1),1+('Control Room'!$C$13-1)*EXP(-0.5*(($A591-'Control Room'!$A$13-('Control Room'!$B$13-1)/2)/MAX(0.5,'Control Room'!$B$13/4))^2),1)*IF(AND($A591&gt;='Control Room'!$A$14,$A591&lt;'Control Room'!$A$14+'Control Room'!$B$14,'Process'!BM3=1),1+('Control Room'!$C$14-1)*EXP(-0.5*(($A591-'Control Room'!$A$14-('Control Room'!$B$14-1)/2)/MAX(0.5,'Control Room'!$B$14/4))^2),1)*IF(AND($A591&gt;='Control Room'!$A$15,$A591&lt;'Control Room'!$A$15+'Control Room'!$B$15,'Process'!BM4=1),1+('Control Room'!$C$15-1)*EXP(-0.5*(($A591-'Control Room'!$A$15-('Control Room'!$B$15-1)/2)/MAX(0.5,'Control Room'!$B$15/4))^2),1)*IF(AND($A591&gt;='Control Room'!$A$16,$A591&lt;'Control Room'!$A$16+'Control Room'!$B$16,'Process'!BM5=1),1+('Control Room'!$C$16-1)*EXP(-0.5*(($A591-'Control Room'!$A$16-('Control Room'!$B$16-1)/2)/MAX(0.5,'Control Room'!$B$16/4))^2),1)</x:f>
        <x:v>1</x:v>
      </x:c>
      <x:c r="Q591" s="9" t="n">
        <x:f>MOD(R590*16807,2147483647)</x:f>
        <x:v>1441293390</x:v>
      </x:c>
      <x:c r="R591" s="9" t="n">
        <x:f>MOD(Q591*16807,2147483647)</x:f>
        <x:v>202467570</x:v>
      </x:c>
      <x:c r="S591" s="17" t="n">
        <x:f>IF('Control Room'!$B$5="Normal",'Control Room'!$B$7+'Control Room'!$D$7*SQRT(-2*LN(MAX(0.000000000001,Q591/2147483647)))*COS(2*PI()*R591/2147483647),'Control Room'!$B$8+('Control Room'!$D$8-'Control Room'!$B$8)*Q591/2147483647)</x:f>
        <x:v>1066.6784031214474</x:v>
      </x:c>
      <x:c r="T591" s="17" t="n">
        <x:f>IF('Control Room'!$B$5="Normal",'Control Room'!$B$7,('Control Room'!$B$8+'Control Room'!$D$8)/2)+'Control Room'!$B$9*(T590-IF('Control Room'!$B$5="Normal",'Control Room'!$B$7,('Control Room'!$B$8+'Control Room'!$D$8)/2))+SQRT(1-'Control Room'!$B$9^2)*(S591-IF('Control Room'!$B$5="Normal",'Control Room'!$B$7,('Control Room'!$B$8+'Control Room'!$D$8)/2))</x:f>
        <x:v>995.6980248645201</x:v>
      </x:c>
      <x:c r="U591" s="17" t="n">
        <x:f>IF(AND($A591&gt;='Control Room'!$A$13,$A591&lt;'Control Room'!$A$13+'Control Room'!$B$13,'Process'!BN2=1),1+('Control Room'!$C$13-1)*EXP(-0.5*(($A591-'Control Room'!$A$13-('Control Room'!$B$13-1)/2)/MAX(0.5,'Control Room'!$B$13/4))^2),1)*IF(AND($A591&gt;='Control Room'!$A$14,$A591&lt;'Control Room'!$A$14+'Control Room'!$B$14,'Process'!BN3=1),1+('Control Room'!$C$14-1)*EXP(-0.5*(($A591-'Control Room'!$A$14-('Control Room'!$B$14-1)/2)/MAX(0.5,'Control Room'!$B$14/4))^2),1)*IF(AND($A591&gt;='Control Room'!$A$15,$A591&lt;'Control Room'!$A$15+'Control Room'!$B$15,'Process'!BN4=1),1+('Control Room'!$C$15-1)*EXP(-0.5*(($A591-'Control Room'!$A$15-('Control Room'!$B$15-1)/2)/MAX(0.5,'Control Room'!$B$15/4))^2),1)*IF(AND($A591&gt;='Control Room'!$A$16,$A591&lt;'Control Room'!$A$16+'Control Room'!$B$16,'Process'!BN5=1),1+('Control Room'!$C$16-1)*EXP(-0.5*(($A591-'Control Room'!$A$16-('Control Room'!$B$16-1)/2)/MAX(0.5,'Control Room'!$B$16/4))^2),1)</x:f>
        <x:v>1</x:v>
      </x:c>
      <x:c r="V591" s="9" t="n">
        <x:f>MOD(W590*16807,2147483647)</x:f>
        <x:v>966961233</x:v>
      </x:c>
      <x:c r="W591" s="9" t="n">
        <x:f>MOD(V591*16807,2147483647)</x:f>
        <x:v>1708686182</x:v>
      </x:c>
      <x:c r="X591" s="17" t="n">
        <x:f>IF('Control Room'!$B$5="Normal",'Control Room'!$B$7+'Control Room'!$D$7*SQRT(-2*LN(MAX(0.000000000001,V591/2147483647)))*COS(2*PI()*W591/2147483647),'Control Room'!$B$8+('Control Room'!$D$8-'Control Room'!$B$8)*V591/2147483647)</x:f>
        <x:v>1032.177711014947</x:v>
      </x:c>
      <x:c r="Y591" s="17" t="n">
        <x:f>IF('Control Room'!$B$5="Normal",'Control Room'!$B$7,('Control Room'!$B$8+'Control Room'!$D$8)/2)+'Control Room'!$B$9*(Y590-IF('Control Room'!$B$5="Normal",'Control Room'!$B$7,('Control Room'!$B$8+'Control Room'!$D$8)/2))+SQRT(1-'Control Room'!$B$9^2)*(X591-IF('Control Room'!$B$5="Normal",'Control Room'!$B$7,('Control Room'!$B$8+'Control Room'!$D$8)/2))</x:f>
        <x:v>1047.3538842096843</x:v>
      </x:c>
      <x:c r="Z591" s="17" t="n">
        <x:f>IF(AND($A591&gt;='Control Room'!$A$13,$A591&lt;'Control Room'!$A$13+'Control Room'!$B$13,'Process'!BO2=1),1+('Control Room'!$C$13-1)*EXP(-0.5*(($A591-'Control Room'!$A$13-('Control Room'!$B$13-1)/2)/MAX(0.5,'Control Room'!$B$13/4))^2),1)*IF(AND($A591&gt;='Control Room'!$A$14,$A591&lt;'Control Room'!$A$14+'Control Room'!$B$14,'Process'!BO3=1),1+('Control Room'!$C$14-1)*EXP(-0.5*(($A591-'Control Room'!$A$14-('Control Room'!$B$14-1)/2)/MAX(0.5,'Control Room'!$B$14/4))^2),1)*IF(AND($A591&gt;='Control Room'!$A$15,$A591&lt;'Control Room'!$A$15+'Control Room'!$B$15,'Process'!BO4=1),1+('Control Room'!$C$15-1)*EXP(-0.5*(($A591-'Control Room'!$A$15-('Control Room'!$B$15-1)/2)/MAX(0.5,'Control Room'!$B$15/4))^2),1)*IF(AND($A591&gt;='Control Room'!$A$16,$A591&lt;'Control Room'!$A$16+'Control Room'!$B$16,'Process'!BO5=1),1+('Control Room'!$C$16-1)*EXP(-0.5*(($A591-'Control Room'!$A$16-('Control Room'!$B$16-1)/2)/MAX(0.5,'Control Room'!$B$16/4))^2),1)</x:f>
        <x:v>1</x:v>
      </x:c>
      <x:c r="AA591" s="9" t="n">
        <x:f>MOD(AB590*16807,2147483647)</x:f>
        <x:v>492629076</x:v>
      </x:c>
      <x:c r="AB591" s="9" t="n">
        <x:f>MOD(AA591*16807,2147483647)</x:f>
        <x:v>1067421147</x:v>
      </x:c>
      <x:c r="AC591" s="17" t="n">
        <x:f>IF('Control Room'!$B$5="Normal",'Control Room'!$B$7+'Control Room'!$D$7*SQRT(-2*LN(MAX(0.000000000001,AA591/2147483647)))*COS(2*PI()*AB591/2147483647),'Control Room'!$B$8+('Control Room'!$D$8-'Control Room'!$B$8)*AA591/2147483647)</x:f>
        <x:v>845.588111271147</x:v>
      </x:c>
      <x:c r="AD591" s="17" t="n">
        <x:f>IF('Control Room'!$B$5="Normal",'Control Room'!$B$7,('Control Room'!$B$8+'Control Room'!$D$8)/2)+'Control Room'!$B$9*(AD590-IF('Control Room'!$B$5="Normal",'Control Room'!$B$7,('Control Room'!$B$8+'Control Room'!$D$8)/2))+SQRT(1-'Control Room'!$B$9^2)*(AC591-IF('Control Room'!$B$5="Normal",'Control Room'!$B$7,('Control Room'!$B$8+'Control Room'!$D$8)/2))</x:f>
        <x:v>918.5516225873159</x:v>
      </x:c>
      <x:c r="AE591" s="17" t="n">
        <x:f>IF(AND($A591&gt;='Control Room'!$A$13,$A591&lt;'Control Room'!$A$13+'Control Room'!$B$13,'Process'!BP2=1),1+('Control Room'!$C$13-1)*EXP(-0.5*(($A591-'Control Room'!$A$13-('Control Room'!$B$13-1)/2)/MAX(0.5,'Control Room'!$B$13/4))^2),1)*IF(AND($A591&gt;='Control Room'!$A$14,$A591&lt;'Control Room'!$A$14+'Control Room'!$B$14,'Process'!BP3=1),1+('Control Room'!$C$14-1)*EXP(-0.5*(($A591-'Control Room'!$A$14-('Control Room'!$B$14-1)/2)/MAX(0.5,'Control Room'!$B$14/4))^2),1)*IF(AND($A591&gt;='Control Room'!$A$15,$A591&lt;'Control Room'!$A$15+'Control Room'!$B$15,'Process'!BP4=1),1+('Control Room'!$C$15-1)*EXP(-0.5*(($A591-'Control Room'!$A$15-('Control Room'!$B$15-1)/2)/MAX(0.5,'Control Room'!$B$15/4))^2),1)*IF(AND($A591&gt;='Control Room'!$A$16,$A591&lt;'Control Room'!$A$16+'Control Room'!$B$16,'Process'!BP5=1),1+('Control Room'!$C$16-1)*EXP(-0.5*(($A591-'Control Room'!$A$16-('Control Room'!$B$16-1)/2)/MAX(0.5,'Control Room'!$B$16/4))^2),1)</x:f>
        <x:v>1</x:v>
      </x:c>
      <x:c r="AF591" s="9" t="n">
        <x:f>MOD(AG590*16807,2147483647)</x:f>
        <x:v>18296919</x:v>
      </x:c>
      <x:c r="AG591" s="9" t="n">
        <x:f>MOD(AF591*16807,2147483647)</x:f>
        <x:v>426156112</x:v>
      </x:c>
      <x:c r="AH591" s="17" t="n">
        <x:f>IF('Control Room'!$B$5="Normal",'Control Room'!$B$7+'Control Room'!$D$7*SQRT(-2*LN(MAX(0.000000000001,AF591/2147483647)))*COS(2*PI()*AG591/2147483647),'Control Room'!$B$8+('Control Room'!$D$8-'Control Room'!$B$8)*AF591/2147483647)</x:f>
        <x:v>1088.4376428004641</x:v>
      </x:c>
      <x:c r="AI591" s="17" t="n">
        <x:f>IF('Control Room'!$B$5="Normal",'Control Room'!$B$7,('Control Room'!$B$8+'Control Room'!$D$8)/2)+'Control Room'!$B$9*(AI590-IF('Control Room'!$B$5="Normal",'Control Room'!$B$7,('Control Room'!$B$8+'Control Room'!$D$8)/2))+SQRT(1-'Control Room'!$B$9^2)*(AH591-IF('Control Room'!$B$5="Normal",'Control Room'!$B$7,('Control Room'!$B$8+'Control Room'!$D$8)/2))</x:f>
        <x:v>1204.4327746634965</x:v>
      </x:c>
      <x:c r="AJ591" s="17" t="n">
        <x:f>IF(AND($A591&gt;='Control Room'!$A$13,$A591&lt;'Control Room'!$A$13+'Control Room'!$B$13,'Process'!BQ2=1),1+('Control Room'!$C$13-1)*EXP(-0.5*(($A591-'Control Room'!$A$13-('Control Room'!$B$13-1)/2)/MAX(0.5,'Control Room'!$B$13/4))^2),1)*IF(AND($A591&gt;='Control Room'!$A$14,$A591&lt;'Control Room'!$A$14+'Control Room'!$B$14,'Process'!BQ3=1),1+('Control Room'!$C$14-1)*EXP(-0.5*(($A591-'Control Room'!$A$14-('Control Room'!$B$14-1)/2)/MAX(0.5,'Control Room'!$B$14/4))^2),1)*IF(AND($A591&gt;='Control Room'!$A$15,$A591&lt;'Control Room'!$A$15+'Control Room'!$B$15,'Process'!BQ4=1),1+('Control Room'!$C$15-1)*EXP(-0.5*(($A591-'Control Room'!$A$15-('Control Room'!$B$15-1)/2)/MAX(0.5,'Control Room'!$B$15/4))^2),1)*IF(AND($A591&gt;='Control Room'!$A$16,$A591&lt;'Control Room'!$A$16+'Control Room'!$B$16,'Process'!BQ5=1),1+('Control Room'!$C$16-1)*EXP(-0.5*(($A591-'Control Room'!$A$16-('Control Room'!$B$16-1)/2)/MAX(0.5,'Control Room'!$B$16/4))^2),1)</x:f>
        <x:v>1</x:v>
      </x:c>
      <x:c r="AK591" s="9" t="n">
        <x:f>MOD(AL590*16807,2147483647)</x:f>
        <x:v>1691448409</x:v>
      </x:c>
      <x:c r="AL591" s="9" t="n">
        <x:f>MOD(AK591*16807,2147483647)</x:f>
        <x:v>1932374724</x:v>
      </x:c>
      <x:c r="AM591" s="17" t="n">
        <x:f>IF('Control Room'!$B$5="Normal",'Control Room'!$B$7+'Control Room'!$D$7*SQRT(-2*LN(MAX(0.000000000001,AK591/2147483647)))*COS(2*PI()*AL591/2147483647),'Control Room'!$B$8+('Control Room'!$D$8-'Control Room'!$B$8)*AK591/2147483647)</x:f>
        <x:v>1050.271128318989</x:v>
      </x:c>
      <x:c r="AN591" s="17" t="n">
        <x:f>IF('Control Room'!$B$5="Normal",'Control Room'!$B$7,('Control Room'!$B$8+'Control Room'!$D$8)/2)+'Control Room'!$B$9*(AN590-IF('Control Room'!$B$5="Normal",'Control Room'!$B$7,('Control Room'!$B$8+'Control Room'!$D$8)/2))+SQRT(1-'Control Room'!$B$9^2)*(AM591-IF('Control Room'!$B$5="Normal",'Control Room'!$B$7,('Control Room'!$B$8+'Control Room'!$D$8)/2))</x:f>
        <x:v>945.3596139197149</x:v>
      </x:c>
      <x:c r="AO591" s="17" t="n">
        <x:f>IF(AND($A591&gt;='Control Room'!$A$13,$A591&lt;'Control Room'!$A$13+'Control Room'!$B$13,'Process'!BR2=1),1+('Control Room'!$C$13-1)*EXP(-0.5*(($A591-'Control Room'!$A$13-('Control Room'!$B$13-1)/2)/MAX(0.5,'Control Room'!$B$13/4))^2),1)*IF(AND($A591&gt;='Control Room'!$A$14,$A591&lt;'Control Room'!$A$14+'Control Room'!$B$14,'Process'!BR3=1),1+('Control Room'!$C$14-1)*EXP(-0.5*(($A591-'Control Room'!$A$14-('Control Room'!$B$14-1)/2)/MAX(0.5,'Control Room'!$B$14/4))^2),1)*IF(AND($A591&gt;='Control Room'!$A$15,$A591&lt;'Control Room'!$A$15+'Control Room'!$B$15,'Process'!BR4=1),1+('Control Room'!$C$15-1)*EXP(-0.5*(($A591-'Control Room'!$A$15-('Control Room'!$B$15-1)/2)/MAX(0.5,'Control Room'!$B$15/4))^2),1)*IF(AND($A591&gt;='Control Room'!$A$16,$A591&lt;'Control Room'!$A$16+'Control Room'!$B$16,'Process'!BR5=1),1+('Control Room'!$C$16-1)*EXP(-0.5*(($A591-'Control Room'!$A$16-('Control Room'!$B$16-1)/2)/MAX(0.5,'Control Room'!$B$16/4))^2),1)</x:f>
        <x:v>1</x:v>
      </x:c>
      <x:c r="AP591" s="9" t="n">
        <x:f>MOD(AQ590*16807,2147483647)</x:f>
        <x:v>1217116252</x:v>
      </x:c>
      <x:c r="AQ591" s="9" t="n">
        <x:f>MOD(AP591*16807,2147483647)</x:f>
        <x:v>1291109689</x:v>
      </x:c>
      <x:c r="AR591" s="17" t="n">
        <x:f>IF('Control Room'!$B$5="Normal",'Control Room'!$B$7+'Control Room'!$D$7*SQRT(-2*LN(MAX(0.000000000001,AP591/2147483647)))*COS(2*PI()*AQ591/2147483647),'Control Room'!$B$8+('Control Room'!$D$8-'Control Room'!$B$8)*AP591/2147483647)</x:f>
        <x:v>922.8422212426377</x:v>
      </x:c>
      <x:c r="AS591" s="17" t="n">
        <x:f>IF('Control Room'!$B$5="Normal",'Control Room'!$B$7,('Control Room'!$B$8+'Control Room'!$D$8)/2)+'Control Room'!$B$9*(AS590-IF('Control Room'!$B$5="Normal",'Control Room'!$B$7,('Control Room'!$B$8+'Control Room'!$D$8)/2))+SQRT(1-'Control Room'!$B$9^2)*(AR591-IF('Control Room'!$B$5="Normal",'Control Room'!$B$7,('Control Room'!$B$8+'Control Room'!$D$8)/2))</x:f>
        <x:v>949.070021743498</x:v>
      </x:c>
      <x:c r="AT591" s="17" t="n">
        <x:f>IF(AND($A591&gt;='Control Room'!$A$13,$A591&lt;'Control Room'!$A$13+'Control Room'!$B$13,'Process'!BS2=1),1+('Control Room'!$C$13-1)*EXP(-0.5*(($A591-'Control Room'!$A$13-('Control Room'!$B$13-1)/2)/MAX(0.5,'Control Room'!$B$13/4))^2),1)*IF(AND($A591&gt;='Control Room'!$A$14,$A591&lt;'Control Room'!$A$14+'Control Room'!$B$14,'Process'!BS3=1),1+('Control Room'!$C$14-1)*EXP(-0.5*(($A591-'Control Room'!$A$14-('Control Room'!$B$14-1)/2)/MAX(0.5,'Control Room'!$B$14/4))^2),1)*IF(AND($A591&gt;='Control Room'!$A$15,$A591&lt;'Control Room'!$A$15+'Control Room'!$B$15,'Process'!BS4=1),1+('Control Room'!$C$15-1)*EXP(-0.5*(($A591-'Control Room'!$A$15-('Control Room'!$B$15-1)/2)/MAX(0.5,'Control Room'!$B$15/4))^2),1)*IF(AND($A591&gt;='Control Room'!$A$16,$A591&lt;'Control Room'!$A$16+'Control Room'!$B$16,'Process'!BS5=1),1+('Control Room'!$C$16-1)*EXP(-0.5*(($A591-'Control Room'!$A$16-('Control Room'!$B$16-1)/2)/MAX(0.5,'Control Room'!$B$16/4))^2),1)</x:f>
        <x:v>1</x:v>
      </x:c>
      <x:c r="AU591" s="9" t="n">
        <x:f>MOD(AV590*16807,2147483647)</x:f>
        <x:v>742784095</x:v>
      </x:c>
      <x:c r="AV591" s="9" t="n">
        <x:f>MOD(AU591*16807,2147483647)</x:f>
        <x:v>649844654</x:v>
      </x:c>
      <x:c r="AW591" s="17" t="n">
        <x:f>IF('Control Room'!$B$5="Normal",'Control Room'!$B$7+'Control Room'!$D$7*SQRT(-2*LN(MAX(0.000000000001,AU591/2147483647)))*COS(2*PI()*AV591/2147483647),'Control Room'!$B$8+('Control Room'!$D$8-'Control Room'!$B$8)*AU591/2147483647)</x:f>
        <x:v>957.4364716019479</x:v>
      </x:c>
      <x:c r="AX591" s="17" t="n">
        <x:f>IF('Control Room'!$B$5="Normal",'Control Room'!$B$7,('Control Room'!$B$8+'Control Room'!$D$8)/2)+'Control Room'!$B$9*(AX590-IF('Control Room'!$B$5="Normal",'Control Room'!$B$7,('Control Room'!$B$8+'Control Room'!$D$8)/2))+SQRT(1-'Control Room'!$B$9^2)*(AW591-IF('Control Room'!$B$5="Normal",'Control Room'!$B$7,('Control Room'!$B$8+'Control Room'!$D$8)/2))</x:f>
        <x:v>874.0400933744338</x:v>
      </x:c>
      <x:c r="AY591" s="17" t="n">
        <x:f>IF(AND($A591&gt;='Control Room'!$A$13,$A591&lt;'Control Room'!$A$13+'Control Room'!$B$13,'Process'!BT2=1),1+('Control Room'!$C$13-1)*EXP(-0.5*(($A591-'Control Room'!$A$13-('Control Room'!$B$13-1)/2)/MAX(0.5,'Control Room'!$B$13/4))^2),1)*IF(AND($A591&gt;='Control Room'!$A$14,$A591&lt;'Control Room'!$A$14+'Control Room'!$B$14,'Process'!BT3=1),1+('Control Room'!$C$14-1)*EXP(-0.5*(($A591-'Control Room'!$A$14-('Control Room'!$B$14-1)/2)/MAX(0.5,'Control Room'!$B$14/4))^2),1)*IF(AND($A591&gt;='Control Room'!$A$15,$A591&lt;'Control Room'!$A$15+'Control Room'!$B$15,'Process'!BT4=1),1+('Control Room'!$C$15-1)*EXP(-0.5*(($A591-'Control Room'!$A$15-('Control Room'!$B$15-1)/2)/MAX(0.5,'Control Room'!$B$15/4))^2),1)*IF(AND($A591&gt;='Control Room'!$A$16,$A591&lt;'Control Room'!$A$16+'Control Room'!$B$16,'Process'!BT5=1),1+('Control Room'!$C$16-1)*EXP(-0.5*(($A591-'Control Room'!$A$16-('Control Room'!$B$16-1)/2)/MAX(0.5,'Control Room'!$B$16/4))^2),1)</x:f>
        <x:v>1</x:v>
      </x:c>
      <x:c r="AZ591" s="9" t="n">
        <x:f>MOD(BA590*16807,2147483647)</x:f>
        <x:v>268451938</x:v>
      </x:c>
      <x:c r="BA591" s="9" t="n">
        <x:f>MOD(AZ591*16807,2147483647)</x:f>
        <x:v>8579619</x:v>
      </x:c>
      <x:c r="BB591" s="17" t="n">
        <x:f>IF('Control Room'!$B$5="Normal",'Control Room'!$B$7+'Control Room'!$D$7*SQRT(-2*LN(MAX(0.000000000001,AZ591/2147483647)))*COS(2*PI()*BA591/2147483647),'Control Room'!$B$8+('Control Room'!$D$8-'Control Room'!$B$8)*AZ591/2147483647)</x:f>
        <x:v>1183.4795246167912</x:v>
      </x:c>
      <x:c r="BC591" s="17" t="n">
        <x:f>IF('Control Room'!$B$5="Normal",'Control Room'!$B$7,('Control Room'!$B$8+'Control Room'!$D$8)/2)+'Control Room'!$B$9*(BC590-IF('Control Room'!$B$5="Normal",'Control Room'!$B$7,('Control Room'!$B$8+'Control Room'!$D$8)/2))+SQRT(1-'Control Room'!$B$9^2)*(BB591-IF('Control Room'!$B$5="Normal",'Control Room'!$B$7,('Control Room'!$B$8+'Control Room'!$D$8)/2))</x:f>
        <x:v>1124.1066957203705</x:v>
      </x:c>
      <x:c r="BD591" s="17" t="n">
        <x:f>IF(AND($A591&gt;='Control Room'!$A$13,$A591&lt;'Control Room'!$A$13+'Control Room'!$B$13,'Process'!BU2=1),1+('Control Room'!$C$13-1)*EXP(-0.5*(($A591-'Control Room'!$A$13-('Control Room'!$B$13-1)/2)/MAX(0.5,'Control Room'!$B$13/4))^2),1)*IF(AND($A591&gt;='Control Room'!$A$14,$A591&lt;'Control Room'!$A$14+'Control Room'!$B$14,'Process'!BU3=1),1+('Control Room'!$C$14-1)*EXP(-0.5*(($A591-'Control Room'!$A$14-('Control Room'!$B$14-1)/2)/MAX(0.5,'Control Room'!$B$14/4))^2),1)*IF(AND($A591&gt;='Control Room'!$A$15,$A591&lt;'Control Room'!$A$15+'Control Room'!$B$15,'Process'!BU4=1),1+('Control Room'!$C$15-1)*EXP(-0.5*(($A591-'Control Room'!$A$15-('Control Room'!$B$15-1)/2)/MAX(0.5,'Control Room'!$B$15/4))^2),1)*IF(AND($A591&gt;='Control Room'!$A$16,$A591&lt;'Control Room'!$A$16+'Control Room'!$B$16,'Process'!BU5=1),1+('Control Room'!$C$16-1)*EXP(-0.5*(($A591-'Control Room'!$A$16-('Control Room'!$B$16-1)/2)/MAX(0.5,'Control Room'!$B$16/4))^2),1)</x:f>
        <x:v>1</x:v>
      </x:c>
      <x:c r="BE591" s="9" t="n">
        <x:f>MOD(BF590*16807,2147483647)</x:f>
        <x:v>1941603428</x:v>
      </x:c>
      <x:c r="BF591" s="9" t="n">
        <x:f>MOD(BE591*16807,2147483647)</x:f>
        <x:v>1514798231</x:v>
      </x:c>
      <x:c r="BG591" s="17" t="n">
        <x:f>IF('Control Room'!$B$5="Normal",'Control Room'!$B$7+'Control Room'!$D$7*SQRT(-2*LN(MAX(0.000000000001,BE591/2147483647)))*COS(2*PI()*BF591/2147483647),'Control Room'!$B$8+('Control Room'!$D$8-'Control Room'!$B$8)*BE591/2147483647)</x:f>
        <x:v>988.820351757158</x:v>
      </x:c>
      <x:c r="BH591" s="17" t="n">
        <x:f>IF('Control Room'!$B$5="Normal",'Control Room'!$B$7,('Control Room'!$B$8+'Control Room'!$D$8)/2)+'Control Room'!$B$9*(BH590-IF('Control Room'!$B$5="Normal",'Control Room'!$B$7,('Control Room'!$B$8+'Control Room'!$D$8)/2))+SQRT(1-'Control Room'!$B$9^2)*(BG591-IF('Control Room'!$B$5="Normal",'Control Room'!$B$7,('Control Room'!$B$8+'Control Room'!$D$8)/2))</x:f>
        <x:v>1044.4974013051615</x:v>
      </x:c>
      <x:c r="BI591" s="17" t="n">
        <x:f>IF(AND($A591&gt;='Control Room'!$A$13,$A591&lt;'Control Room'!$A$13+'Control Room'!$B$13,'Process'!BV2=1),1+('Control Room'!$C$13-1)*EXP(-0.5*(($A591-'Control Room'!$A$13-('Control Room'!$B$13-1)/2)/MAX(0.5,'Control Room'!$B$13/4))^2),1)*IF(AND($A591&gt;='Control Room'!$A$14,$A591&lt;'Control Room'!$A$14+'Control Room'!$B$14,'Process'!BV3=1),1+('Control Room'!$C$14-1)*EXP(-0.5*(($A591-'Control Room'!$A$14-('Control Room'!$B$14-1)/2)/MAX(0.5,'Control Room'!$B$14/4))^2),1)*IF(AND($A591&gt;='Control Room'!$A$15,$A591&lt;'Control Room'!$A$15+'Control Room'!$B$15,'Process'!BV4=1),1+('Control Room'!$C$15-1)*EXP(-0.5*(($A591-'Control Room'!$A$15-('Control Room'!$B$15-1)/2)/MAX(0.5,'Control Room'!$B$15/4))^2),1)*IF(AND($A591&gt;='Control Room'!$A$16,$A591&lt;'Control Room'!$A$16+'Control Room'!$B$16,'Process'!BV5=1),1+('Control Room'!$C$16-1)*EXP(-0.5*(($A591-'Control Room'!$A$16-('Control Room'!$B$16-1)/2)/MAX(0.5,'Control Room'!$B$16/4))^2),1)</x:f>
        <x:v>1</x:v>
      </x:c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Z591" t="str">
        <x:f>IF('Data'!A591="","",TEXT('Data'!A591,"mm-dd"))</x:f>
      </x:c>
    </x:row>
    <x:row r="592" ht="21" customHeight="1">
      <x:c r="A592" s="15" t="n">
        <x:f>'Control Room'!$B$1+590</x:f>
        <x:v>73581</x:v>
      </x:c>
      <x:c r="B592" s="9" t="n">
        <x:f>MOD(C591*16807,2147483647)</x:f>
        <x:v>1968892645</x:v>
      </x:c>
      <x:c r="C592" s="9" t="n">
        <x:f>MOD(B592*16807,2147483647)</x:f>
        <x:v>603167892</x:v>
      </x:c>
      <x:c r="D592" s="17" t="n">
        <x:f>IF('Control Room'!$B$5="Normal",'Control Room'!$B$7+'Control Room'!$D$7*SQRT(-2*LN(MAX(0.000000000001,B592/2147483647)))*COS(2*PI()*C592/2147483647),'Control Room'!$B$8+('Control Room'!$D$8-'Control Room'!$B$8)*B592/2147483647)</x:f>
        <x:v>992.7706710968116</x:v>
      </x:c>
      <x:c r="E592" s="17" t="n">
        <x:f>IF('Control Room'!$B$5="Normal",'Control Room'!$B$7,('Control Room'!$B$8+'Control Room'!$D$8)/2)+'Control Room'!$B$9*(E591-IF('Control Room'!$B$5="Normal",'Control Room'!$B$7,('Control Room'!$B$8+'Control Room'!$D$8)/2))+SQRT(1-'Control Room'!$B$9^2)*(D592-IF('Control Room'!$B$5="Normal",'Control Room'!$B$7,('Control Room'!$B$8+'Control Room'!$D$8)/2))</x:f>
        <x:v>1088.1917651655006</x:v>
      </x:c>
      <x:c r="F592" s="17" t="n">
        <x:f>IF(AND($A592&gt;='Control Room'!$A$13,$A592&lt;'Control Room'!$A$13+'Control Room'!$B$13,'Process'!BK2=1),1+('Control Room'!$C$13-1)*EXP(-0.5*(($A592-'Control Room'!$A$13-('Control Room'!$B$13-1)/2)/MAX(0.5,'Control Room'!$B$13/4))^2),1)*IF(AND($A592&gt;='Control Room'!$A$14,$A592&lt;'Control Room'!$A$14+'Control Room'!$B$14,'Process'!BK3=1),1+('Control Room'!$C$14-1)*EXP(-0.5*(($A592-'Control Room'!$A$14-('Control Room'!$B$14-1)/2)/MAX(0.5,'Control Room'!$B$14/4))^2),1)*IF(AND($A592&gt;='Control Room'!$A$15,$A592&lt;'Control Room'!$A$15+'Control Room'!$B$15,'Process'!BK4=1),1+('Control Room'!$C$15-1)*EXP(-0.5*(($A592-'Control Room'!$A$15-('Control Room'!$B$15-1)/2)/MAX(0.5,'Control Room'!$B$15/4))^2),1)*IF(AND($A592&gt;='Control Room'!$A$16,$A592&lt;'Control Room'!$A$16+'Control Room'!$B$16,'Process'!BK5=1),1+('Control Room'!$C$16-1)*EXP(-0.5*(($A592-'Control Room'!$A$16-('Control Room'!$B$16-1)/2)/MAX(0.5,'Control Room'!$B$16/4))^2),1)</x:f>
        <x:v>1</x:v>
      </x:c>
      <x:c r="G592" s="9" t="n">
        <x:f>MOD(H591*16807,2147483647)</x:f>
        <x:v>300390046</x:v>
      </x:c>
      <x:c r="H592" s="9" t="n">
        <x:f>MOD(G592*16807,2147483647)</x:f>
        <x:v>2068932672</x:v>
      </x:c>
      <x:c r="I592" s="17" t="n">
        <x:f>IF('Control Room'!$B$5="Normal",'Control Room'!$B$7+'Control Room'!$D$7*SQRT(-2*LN(MAX(0.000000000001,G592/2147483647)))*COS(2*PI()*H592/2147483647),'Control Room'!$B$8+('Control Room'!$D$8-'Control Room'!$B$8)*G592/2147483647)</x:f>
        <x:v>1173.8137545627235</x:v>
      </x:c>
      <x:c r="J592" s="17" t="n">
        <x:f>IF('Control Room'!$B$5="Normal",'Control Room'!$B$7,('Control Room'!$B$8+'Control Room'!$D$8)/2)+'Control Room'!$B$9*(J591-IF('Control Room'!$B$5="Normal",'Control Room'!$B$7,('Control Room'!$B$8+'Control Room'!$D$8)/2))+SQRT(1-'Control Room'!$B$9^2)*(I592-IF('Control Room'!$B$5="Normal",'Control Room'!$B$7,('Control Room'!$B$8+'Control Room'!$D$8)/2))</x:f>
        <x:v>1062.1605072097384</x:v>
      </x:c>
      <x:c r="K592" s="17" t="n">
        <x:f>IF(AND($A592&gt;='Control Room'!$A$13,$A592&lt;'Control Room'!$A$13+'Control Room'!$B$13,'Process'!BL2=1),1+('Control Room'!$C$13-1)*EXP(-0.5*(($A592-'Control Room'!$A$13-('Control Room'!$B$13-1)/2)/MAX(0.5,'Control Room'!$B$13/4))^2),1)*IF(AND($A592&gt;='Control Room'!$A$14,$A592&lt;'Control Room'!$A$14+'Control Room'!$B$14,'Process'!BL3=1),1+('Control Room'!$C$14-1)*EXP(-0.5*(($A592-'Control Room'!$A$14-('Control Room'!$B$14-1)/2)/MAX(0.5,'Control Room'!$B$14/4))^2),1)*IF(AND($A592&gt;='Control Room'!$A$15,$A592&lt;'Control Room'!$A$15+'Control Room'!$B$15,'Process'!BL4=1),1+('Control Room'!$C$15-1)*EXP(-0.5*(($A592-'Control Room'!$A$15-('Control Room'!$B$15-1)/2)/MAX(0.5,'Control Room'!$B$15/4))^2),1)*IF(AND($A592&gt;='Control Room'!$A$16,$A592&lt;'Control Room'!$A$16+'Control Room'!$B$16,'Process'!BL5=1),1+('Control Room'!$C$16-1)*EXP(-0.5*(($A592-'Control Room'!$A$16-('Control Room'!$B$16-1)/2)/MAX(0.5,'Control Room'!$B$16/4))^2),1)</x:f>
        <x:v>1</x:v>
      </x:c>
      <x:c r="L592" s="9" t="n">
        <x:f>MOD(M591*16807,2147483647)</x:f>
        <x:v>779371094</x:v>
      </x:c>
      <x:c r="M592" s="9" t="n">
        <x:f>MOD(L592*16807,2147483647)</x:f>
        <x:v>1387213805</x:v>
      </x:c>
      <x:c r="N592" s="17" t="n">
        <x:f>IF('Control Room'!$B$5="Normal",'Control Room'!$B$7+'Control Room'!$D$7*SQRT(-2*LN(MAX(0.000000000001,L592/2147483647)))*COS(2*PI()*M592/2147483647),'Control Room'!$B$8+('Control Room'!$D$8-'Control Room'!$B$8)*L592/2147483647)</x:f>
        <x:v>922.0820273858678</x:v>
      </x:c>
      <x:c r="O592" s="17" t="n">
        <x:f>IF('Control Room'!$B$5="Normal",'Control Room'!$B$7,('Control Room'!$B$8+'Control Room'!$D$8)/2)+'Control Room'!$B$9*(O591-IF('Control Room'!$B$5="Normal",'Control Room'!$B$7,('Control Room'!$B$8+'Control Room'!$D$8)/2))+SQRT(1-'Control Room'!$B$9^2)*(N592-IF('Control Room'!$B$5="Normal",'Control Room'!$B$7,('Control Room'!$B$8+'Control Room'!$D$8)/2))</x:f>
        <x:v>932.8042882375212</x:v>
      </x:c>
      <x:c r="P592" s="17" t="n">
        <x:f>IF(AND($A592&gt;='Control Room'!$A$13,$A592&lt;'Control Room'!$A$13+'Control Room'!$B$13,'Process'!BM2=1),1+('Control Room'!$C$13-1)*EXP(-0.5*(($A592-'Control Room'!$A$13-('Control Room'!$B$13-1)/2)/MAX(0.5,'Control Room'!$B$13/4))^2),1)*IF(AND($A592&gt;='Control Room'!$A$14,$A592&lt;'Control Room'!$A$14+'Control Room'!$B$14,'Process'!BM3=1),1+('Control Room'!$C$14-1)*EXP(-0.5*(($A592-'Control Room'!$A$14-('Control Room'!$B$14-1)/2)/MAX(0.5,'Control Room'!$B$14/4))^2),1)*IF(AND($A592&gt;='Control Room'!$A$15,$A592&lt;'Control Room'!$A$15+'Control Room'!$B$15,'Process'!BM4=1),1+('Control Room'!$C$15-1)*EXP(-0.5*(($A592-'Control Room'!$A$15-('Control Room'!$B$15-1)/2)/MAX(0.5,'Control Room'!$B$15/4))^2),1)*IF(AND($A592&gt;='Control Room'!$A$16,$A592&lt;'Control Room'!$A$16+'Control Room'!$B$16,'Process'!BM5=1),1+('Control Room'!$C$16-1)*EXP(-0.5*(($A592-'Control Room'!$A$16-('Control Room'!$B$16-1)/2)/MAX(0.5,'Control Room'!$B$16/4))^2),1)</x:f>
        <x:v>1</x:v>
      </x:c>
      <x:c r="Q592" s="9" t="n">
        <x:f>MOD(R591*16807,2147483647)</x:f>
        <x:v>1258352142</x:v>
      </x:c>
      <x:c r="R592" s="9" t="n">
        <x:f>MOD(Q592*16807,2147483647)</x:f>
        <x:v>705494938</x:v>
      </x:c>
      <x:c r="S592" s="17" t="n">
        <x:f>IF('Control Room'!$B$5="Normal",'Control Room'!$B$7+'Control Room'!$D$7*SQRT(-2*LN(MAX(0.000000000001,Q592/2147483647)))*COS(2*PI()*R592/2147483647),'Control Room'!$B$8+('Control Room'!$D$8-'Control Room'!$B$8)*Q592/2147483647)</x:f>
        <x:v>955.9308735215608</x:v>
      </x:c>
      <x:c r="T592" s="17" t="n">
        <x:f>IF('Control Room'!$B$5="Normal",'Control Room'!$B$7,('Control Room'!$B$8+'Control Room'!$D$8)/2)+'Control Room'!$B$9*(T591-IF('Control Room'!$B$5="Normal",'Control Room'!$B$7,('Control Room'!$B$8+'Control Room'!$D$8)/2))+SQRT(1-'Control Room'!$B$9^2)*(S592-IF('Control Room'!$B$5="Normal",'Control Room'!$B$7,('Control Room'!$B$8+'Control Room'!$D$8)/2))</x:f>
        <x:v>969.0669028492462</x:v>
      </x:c>
      <x:c r="U592" s="17" t="n">
        <x:f>IF(AND($A592&gt;='Control Room'!$A$13,$A592&lt;'Control Room'!$A$13+'Control Room'!$B$13,'Process'!BN2=1),1+('Control Room'!$C$13-1)*EXP(-0.5*(($A592-'Control Room'!$A$13-('Control Room'!$B$13-1)/2)/MAX(0.5,'Control Room'!$B$13/4))^2),1)*IF(AND($A592&gt;='Control Room'!$A$14,$A592&lt;'Control Room'!$A$14+'Control Room'!$B$14,'Process'!BN3=1),1+('Control Room'!$C$14-1)*EXP(-0.5*(($A592-'Control Room'!$A$14-('Control Room'!$B$14-1)/2)/MAX(0.5,'Control Room'!$B$14/4))^2),1)*IF(AND($A592&gt;='Control Room'!$A$15,$A592&lt;'Control Room'!$A$15+'Control Room'!$B$15,'Process'!BN4=1),1+('Control Room'!$C$15-1)*EXP(-0.5*(($A592-'Control Room'!$A$15-('Control Room'!$B$15-1)/2)/MAX(0.5,'Control Room'!$B$15/4))^2),1)*IF(AND($A592&gt;='Control Room'!$A$16,$A592&lt;'Control Room'!$A$16+'Control Room'!$B$16,'Process'!BN5=1),1+('Control Room'!$C$16-1)*EXP(-0.5*(($A592-'Control Room'!$A$16-('Control Room'!$B$16-1)/2)/MAX(0.5,'Control Room'!$B$16/4))^2),1)</x:f>
        <x:v>1</x:v>
      </x:c>
      <x:c r="V592" s="9" t="n">
        <x:f>MOD(W591*16807,2147483647)</x:f>
        <x:v>1737333190</x:v>
      </x:c>
      <x:c r="W592" s="9" t="n">
        <x:f>MOD(V592*16807,2147483647)</x:f>
        <x:v>23776071</x:v>
      </x:c>
      <x:c r="X592" s="17" t="n">
        <x:f>IF('Control Room'!$B$5="Normal",'Control Room'!$B$7+'Control Room'!$D$7*SQRT(-2*LN(MAX(0.000000000001,V592/2147483647)))*COS(2*PI()*W592/2147483647),'Control Room'!$B$8+('Control Room'!$D$8-'Control Room'!$B$8)*V592/2147483647)</x:f>
        <x:v>1058.454492579253</x:v>
      </x:c>
      <x:c r="Y592" s="17" t="n">
        <x:f>IF('Control Room'!$B$5="Normal",'Control Room'!$B$7,('Control Room'!$B$8+'Control Room'!$D$8)/2)+'Control Room'!$B$9*(Y591-IF('Control Room'!$B$5="Normal",'Control Room'!$B$7,('Control Room'!$B$8+'Control Room'!$D$8)/2))+SQRT(1-'Control Room'!$B$9^2)*(X592-IF('Control Room'!$B$5="Normal",'Control Room'!$B$7,('Control Room'!$B$8+'Control Room'!$D$8)/2))</x:f>
        <x:v>1073.5156536342797</x:v>
      </x:c>
      <x:c r="Z592" s="17" t="n">
        <x:f>IF(AND($A592&gt;='Control Room'!$A$13,$A592&lt;'Control Room'!$A$13+'Control Room'!$B$13,'Process'!BO2=1),1+('Control Room'!$C$13-1)*EXP(-0.5*(($A592-'Control Room'!$A$13-('Control Room'!$B$13-1)/2)/MAX(0.5,'Control Room'!$B$13/4))^2),1)*IF(AND($A592&gt;='Control Room'!$A$14,$A592&lt;'Control Room'!$A$14+'Control Room'!$B$14,'Process'!BO3=1),1+('Control Room'!$C$14-1)*EXP(-0.5*(($A592-'Control Room'!$A$14-('Control Room'!$B$14-1)/2)/MAX(0.5,'Control Room'!$B$14/4))^2),1)*IF(AND($A592&gt;='Control Room'!$A$15,$A592&lt;'Control Room'!$A$15+'Control Room'!$B$15,'Process'!BO4=1),1+('Control Room'!$C$15-1)*EXP(-0.5*(($A592-'Control Room'!$A$15-('Control Room'!$B$15-1)/2)/MAX(0.5,'Control Room'!$B$15/4))^2),1)*IF(AND($A592&gt;='Control Room'!$A$16,$A592&lt;'Control Room'!$A$16+'Control Room'!$B$16,'Process'!BO5=1),1+('Control Room'!$C$16-1)*EXP(-0.5*(($A592-'Control Room'!$A$16-('Control Room'!$B$16-1)/2)/MAX(0.5,'Control Room'!$B$16/4))^2),1)</x:f>
        <x:v>1</x:v>
      </x:c>
      <x:c r="AA592" s="9" t="n">
        <x:f>MOD(AB591*16807,2147483647)</x:f>
        <x:v>68830591</x:v>
      </x:c>
      <x:c r="AB592" s="9" t="n">
        <x:f>MOD(AA592*16807,2147483647)</x:f>
        <x:v>1489540851</x:v>
      </x:c>
      <x:c r="AC592" s="17" t="n">
        <x:f>IF('Control Room'!$B$5="Normal",'Control Room'!$B$7+'Control Room'!$D$7*SQRT(-2*LN(MAX(0.000000000001,AA592/2147483647)))*COS(2*PI()*AB592/2147483647),'Control Room'!$B$8+('Control Room'!$D$8-'Control Room'!$B$8)*AA592/2147483647)</x:f>
        <x:v>918.1093302563232</x:v>
      </x:c>
      <x:c r="AD592" s="17" t="n">
        <x:f>IF('Control Room'!$B$5="Normal",'Control Room'!$B$7,('Control Room'!$B$8+'Control Room'!$D$8)/2)+'Control Room'!$B$9*(AD591-IF('Control Room'!$B$5="Normal",'Control Room'!$B$7,('Control Room'!$B$8+'Control Room'!$D$8)/2))+SQRT(1-'Control Room'!$B$9^2)*(AC592-IF('Control Room'!$B$5="Normal",'Control Room'!$B$7,('Control Room'!$B$8+'Control Room'!$D$8)/2))</x:f>
        <x:v>885.22476211407</x:v>
      </x:c>
      <x:c r="AE592" s="17" t="n">
        <x:f>IF(AND($A592&gt;='Control Room'!$A$13,$A592&lt;'Control Room'!$A$13+'Control Room'!$B$13,'Process'!BP2=1),1+('Control Room'!$C$13-1)*EXP(-0.5*(($A592-'Control Room'!$A$13-('Control Room'!$B$13-1)/2)/MAX(0.5,'Control Room'!$B$13/4))^2),1)*IF(AND($A592&gt;='Control Room'!$A$14,$A592&lt;'Control Room'!$A$14+'Control Room'!$B$14,'Process'!BP3=1),1+('Control Room'!$C$14-1)*EXP(-0.5*(($A592-'Control Room'!$A$14-('Control Room'!$B$14-1)/2)/MAX(0.5,'Control Room'!$B$14/4))^2),1)*IF(AND($A592&gt;='Control Room'!$A$15,$A592&lt;'Control Room'!$A$15+'Control Room'!$B$15,'Process'!BP4=1),1+('Control Room'!$C$15-1)*EXP(-0.5*(($A592-'Control Room'!$A$15-('Control Room'!$B$15-1)/2)/MAX(0.5,'Control Room'!$B$15/4))^2),1)*IF(AND($A592&gt;='Control Room'!$A$16,$A592&lt;'Control Room'!$A$16+'Control Room'!$B$16,'Process'!BP5=1),1+('Control Room'!$C$16-1)*EXP(-0.5*(($A592-'Control Room'!$A$16-('Control Room'!$B$16-1)/2)/MAX(0.5,'Control Room'!$B$16/4))^2),1)</x:f>
        <x:v>1</x:v>
      </x:c>
      <x:c r="AF592" s="9" t="n">
        <x:f>MOD(AG591*16807,2147483647)</x:f>
        <x:v>547811639</x:v>
      </x:c>
      <x:c r="AG592" s="9" t="n">
        <x:f>MOD(AF592*16807,2147483647)</x:f>
        <x:v>807821984</x:v>
      </x:c>
      <x:c r="AH592" s="17" t="n">
        <x:f>IF('Control Room'!$B$5="Normal",'Control Room'!$B$7+'Control Room'!$D$7*SQRT(-2*LN(MAX(0.000000000001,AF592/2147483647)))*COS(2*PI()*AG592/2147483647),'Control Room'!$B$8+('Control Room'!$D$8-'Control Room'!$B$8)*AF592/2147483647)</x:f>
        <x:v>894.0355627335288</x:v>
      </x:c>
      <x:c r="AI592" s="17" t="n">
        <x:f>IF('Control Room'!$B$5="Normal",'Control Room'!$B$7,('Control Room'!$B$8+'Control Room'!$D$8)/2)+'Control Room'!$B$9*(AI591-IF('Control Room'!$B$5="Normal",'Control Room'!$B$7,('Control Room'!$B$8+'Control Room'!$D$8)/2))+SQRT(1-'Control Room'!$B$9^2)*(AH592-IF('Control Room'!$B$5="Normal",'Control Room'!$B$7,('Control Room'!$B$8+'Control Room'!$D$8)/2))</x:f>
        <x:v>1093.1471901956604</x:v>
      </x:c>
      <x:c r="AJ592" s="17" t="n">
        <x:f>IF(AND($A592&gt;='Control Room'!$A$13,$A592&lt;'Control Room'!$A$13+'Control Room'!$B$13,'Process'!BQ2=1),1+('Control Room'!$C$13-1)*EXP(-0.5*(($A592-'Control Room'!$A$13-('Control Room'!$B$13-1)/2)/MAX(0.5,'Control Room'!$B$13/4))^2),1)*IF(AND($A592&gt;='Control Room'!$A$14,$A592&lt;'Control Room'!$A$14+'Control Room'!$B$14,'Process'!BQ3=1),1+('Control Room'!$C$14-1)*EXP(-0.5*(($A592-'Control Room'!$A$14-('Control Room'!$B$14-1)/2)/MAX(0.5,'Control Room'!$B$14/4))^2),1)*IF(AND($A592&gt;='Control Room'!$A$15,$A592&lt;'Control Room'!$A$15+'Control Room'!$B$15,'Process'!BQ4=1),1+('Control Room'!$C$15-1)*EXP(-0.5*(($A592-'Control Room'!$A$15-('Control Room'!$B$15-1)/2)/MAX(0.5,'Control Room'!$B$15/4))^2),1)*IF(AND($A592&gt;='Control Room'!$A$16,$A592&lt;'Control Room'!$A$16+'Control Room'!$B$16,'Process'!BQ5=1),1+('Control Room'!$C$16-1)*EXP(-0.5*(($A592-'Control Room'!$A$16-('Control Room'!$B$16-1)/2)/MAX(0.5,'Control Room'!$B$16/4))^2),1)</x:f>
        <x:v>1</x:v>
      </x:c>
      <x:c r="AK592" s="9" t="n">
        <x:f>MOD(AL591*16807,2147483647)</x:f>
        <x:v>1026792687</x:v>
      </x:c>
      <x:c r="AL592" s="9" t="n">
        <x:f>MOD(AK592*16807,2147483647)</x:f>
        <x:v>126103117</x:v>
      </x:c>
      <x:c r="AM592" s="17" t="n">
        <x:f>IF('Control Room'!$B$5="Normal",'Control Room'!$B$7+'Control Room'!$D$7*SQRT(-2*LN(MAX(0.000000000001,AK592/2147483647)))*COS(2*PI()*AL592/2147483647),'Control Room'!$B$8+('Control Room'!$D$8-'Control Room'!$B$8)*AK592/2147483647)</x:f>
        <x:v>1101.9735067029171</x:v>
      </x:c>
      <x:c r="AN592" s="17" t="n">
        <x:f>IF('Control Room'!$B$5="Normal",'Control Room'!$B$7,('Control Room'!$B$8+'Control Room'!$D$8)/2)+'Control Room'!$B$9*(AN591-IF('Control Room'!$B$5="Normal",'Control Room'!$B$7,('Control Room'!$B$8+'Control Room'!$D$8)/2))+SQRT(1-'Control Room'!$B$9^2)*(AM592-IF('Control Room'!$B$5="Normal",'Control Room'!$B$7,('Control Room'!$B$8+'Control Room'!$D$8)/2))</x:f>
        <x:v>1021.1934303112288</x:v>
      </x:c>
      <x:c r="AO592" s="17" t="n">
        <x:f>IF(AND($A592&gt;='Control Room'!$A$13,$A592&lt;'Control Room'!$A$13+'Control Room'!$B$13,'Process'!BR2=1),1+('Control Room'!$C$13-1)*EXP(-0.5*(($A592-'Control Room'!$A$13-('Control Room'!$B$13-1)/2)/MAX(0.5,'Control Room'!$B$13/4))^2),1)*IF(AND($A592&gt;='Control Room'!$A$14,$A592&lt;'Control Room'!$A$14+'Control Room'!$B$14,'Process'!BR3=1),1+('Control Room'!$C$14-1)*EXP(-0.5*(($A592-'Control Room'!$A$14-('Control Room'!$B$14-1)/2)/MAX(0.5,'Control Room'!$B$14/4))^2),1)*IF(AND($A592&gt;='Control Room'!$A$15,$A592&lt;'Control Room'!$A$15+'Control Room'!$B$15,'Process'!BR4=1),1+('Control Room'!$C$15-1)*EXP(-0.5*(($A592-'Control Room'!$A$15-('Control Room'!$B$15-1)/2)/MAX(0.5,'Control Room'!$B$15/4))^2),1)*IF(AND($A592&gt;='Control Room'!$A$16,$A592&lt;'Control Room'!$A$16+'Control Room'!$B$16,'Process'!BR5=1),1+('Control Room'!$C$16-1)*EXP(-0.5*(($A592-'Control Room'!$A$16-('Control Room'!$B$16-1)/2)/MAX(0.5,'Control Room'!$B$16/4))^2),1)</x:f>
        <x:v>1</x:v>
      </x:c>
      <x:c r="AP592" s="9" t="n">
        <x:f>MOD(AQ591*16807,2147483647)</x:f>
        <x:v>1505773735</x:v>
      </x:c>
      <x:c r="AQ592" s="9" t="n">
        <x:f>MOD(AP592*16807,2147483647)</x:f>
        <x:v>1591867897</x:v>
      </x:c>
      <x:c r="AR592" s="17" t="n">
        <x:f>IF('Control Room'!$B$5="Normal",'Control Room'!$B$7+'Control Room'!$D$7*SQRT(-2*LN(MAX(0.000000000001,AP592/2147483647)))*COS(2*PI()*AQ592/2147483647),'Control Room'!$B$8+('Control Room'!$D$8-'Control Room'!$B$8)*AP592/2147483647)</x:f>
        <x:v>995.8430054476535</x:v>
      </x:c>
      <x:c r="AS592" s="17" t="n">
        <x:f>IF('Control Room'!$B$5="Normal",'Control Room'!$B$7,('Control Room'!$B$8+'Control Room'!$D$8)/2)+'Control Room'!$B$9*(AS591-IF('Control Room'!$B$5="Normal",'Control Room'!$B$7,('Control Room'!$B$8+'Control Room'!$D$8)/2))+SQRT(1-'Control Room'!$B$9^2)*(AR592-IF('Control Room'!$B$5="Normal",'Control Room'!$B$7,('Control Room'!$B$8+'Control Room'!$D$8)/2))</x:f>
        <x:v>957.6732549297324</x:v>
      </x:c>
      <x:c r="AT592" s="17" t="n">
        <x:f>IF(AND($A592&gt;='Control Room'!$A$13,$A592&lt;'Control Room'!$A$13+'Control Room'!$B$13,'Process'!BS2=1),1+('Control Room'!$C$13-1)*EXP(-0.5*(($A592-'Control Room'!$A$13-('Control Room'!$B$13-1)/2)/MAX(0.5,'Control Room'!$B$13/4))^2),1)*IF(AND($A592&gt;='Control Room'!$A$14,$A592&lt;'Control Room'!$A$14+'Control Room'!$B$14,'Process'!BS3=1),1+('Control Room'!$C$14-1)*EXP(-0.5*(($A592-'Control Room'!$A$14-('Control Room'!$B$14-1)/2)/MAX(0.5,'Control Room'!$B$14/4))^2),1)*IF(AND($A592&gt;='Control Room'!$A$15,$A592&lt;'Control Room'!$A$15+'Control Room'!$B$15,'Process'!BS4=1),1+('Control Room'!$C$15-1)*EXP(-0.5*(($A592-'Control Room'!$A$15-('Control Room'!$B$15-1)/2)/MAX(0.5,'Control Room'!$B$15/4))^2),1)*IF(AND($A592&gt;='Control Room'!$A$16,$A592&lt;'Control Room'!$A$16+'Control Room'!$B$16,'Process'!BS5=1),1+('Control Room'!$C$16-1)*EXP(-0.5*(($A592-'Control Room'!$A$16-('Control Room'!$B$16-1)/2)/MAX(0.5,'Control Room'!$B$16/4))^2),1)</x:f>
        <x:v>1</x:v>
      </x:c>
      <x:c r="AU592" s="9" t="n">
        <x:f>MOD(AV591*16807,2147483647)</x:f>
        <x:v>1984754783</x:v>
      </x:c>
      <x:c r="AV592" s="9" t="n">
        <x:f>MOD(AU592*16807,2147483647)</x:f>
        <x:v>910149030</x:v>
      </x:c>
      <x:c r="AW592" s="17" t="n">
        <x:f>IF('Control Room'!$B$5="Normal",'Control Room'!$B$7+'Control Room'!$D$7*SQRT(-2*LN(MAX(0.000000000001,AU592/2147483647)))*COS(2*PI()*AV592/2147483647),'Control Room'!$B$8+('Control Room'!$D$8-'Control Room'!$B$8)*AU592/2147483647)</x:f>
        <x:v>968.2859816827427</x:v>
      </x:c>
      <x:c r="AX592" s="17" t="n">
        <x:f>IF('Control Room'!$B$5="Normal",'Control Room'!$B$7,('Control Room'!$B$8+'Control Room'!$D$8)/2)+'Control Room'!$B$9*(AX591-IF('Control Room'!$B$5="Normal",'Control Room'!$B$7,('Control Room'!$B$8+'Control Room'!$D$8)/2))+SQRT(1-'Control Room'!$B$9^2)*(AW592-IF('Control Room'!$B$5="Normal",'Control Room'!$B$7,('Control Room'!$B$8+'Control Room'!$D$8)/2))</x:f>
        <x:v>881.9052898660981</x:v>
      </x:c>
      <x:c r="AY592" s="17" t="n">
        <x:f>IF(AND($A592&gt;='Control Room'!$A$13,$A592&lt;'Control Room'!$A$13+'Control Room'!$B$13,'Process'!BT2=1),1+('Control Room'!$C$13-1)*EXP(-0.5*(($A592-'Control Room'!$A$13-('Control Room'!$B$13-1)/2)/MAX(0.5,'Control Room'!$B$13/4))^2),1)*IF(AND($A592&gt;='Control Room'!$A$14,$A592&lt;'Control Room'!$A$14+'Control Room'!$B$14,'Process'!BT3=1),1+('Control Room'!$C$14-1)*EXP(-0.5*(($A592-'Control Room'!$A$14-('Control Room'!$B$14-1)/2)/MAX(0.5,'Control Room'!$B$14/4))^2),1)*IF(AND($A592&gt;='Control Room'!$A$15,$A592&lt;'Control Room'!$A$15+'Control Room'!$B$15,'Process'!BT4=1),1+('Control Room'!$C$15-1)*EXP(-0.5*(($A592-'Control Room'!$A$15-('Control Room'!$B$15-1)/2)/MAX(0.5,'Control Room'!$B$15/4))^2),1)*IF(AND($A592&gt;='Control Room'!$A$16,$A592&lt;'Control Room'!$A$16+'Control Room'!$B$16,'Process'!BT5=1),1+('Control Room'!$C$16-1)*EXP(-0.5*(($A592-'Control Room'!$A$16-('Control Room'!$B$16-1)/2)/MAX(0.5,'Control Room'!$B$16/4))^2),1)</x:f>
        <x:v>1</x:v>
      </x:c>
      <x:c r="AZ592" s="9" t="n">
        <x:f>MOD(BA591*16807,2147483647)</x:f>
        <x:v>316252184</x:v>
      </x:c>
      <x:c r="BA592" s="9" t="n">
        <x:f>MOD(AZ592*16807,2147483647)</x:f>
        <x:v>228430163</x:v>
      </x:c>
      <x:c r="BB592" s="17" t="n">
        <x:f>IF('Control Room'!$B$5="Normal",'Control Room'!$B$7+'Control Room'!$D$7*SQRT(-2*LN(MAX(0.000000000001,AZ592/2147483647)))*COS(2*PI()*BA592/2147483647),'Control Room'!$B$8+('Control Room'!$D$8-'Control Room'!$B$8)*AZ592/2147483647)</x:f>
        <x:v>1138.256080478728</x:v>
      </x:c>
      <x:c r="BC592" s="17" t="n">
        <x:f>IF('Control Room'!$B$5="Normal",'Control Room'!$B$7,('Control Room'!$B$8+'Control Room'!$D$8)/2)+'Control Room'!$B$9*(BC591-IF('Control Room'!$B$5="Normal",'Control Room'!$B$7,('Control Room'!$B$8+'Control Room'!$D$8)/2))+SQRT(1-'Control Room'!$B$9^2)*(BB592-IF('Control Room'!$B$5="Normal",'Control Room'!$B$7,('Control Room'!$B$8+'Control Room'!$D$8)/2))</x:f>
        <x:v>1183.3210454957175</x:v>
      </x:c>
      <x:c r="BD592" s="17" t="n">
        <x:f>IF(AND($A592&gt;='Control Room'!$A$13,$A592&lt;'Control Room'!$A$13+'Control Room'!$B$13,'Process'!BU2=1),1+('Control Room'!$C$13-1)*EXP(-0.5*(($A592-'Control Room'!$A$13-('Control Room'!$B$13-1)/2)/MAX(0.5,'Control Room'!$B$13/4))^2),1)*IF(AND($A592&gt;='Control Room'!$A$14,$A592&lt;'Control Room'!$A$14+'Control Room'!$B$14,'Process'!BU3=1),1+('Control Room'!$C$14-1)*EXP(-0.5*(($A592-'Control Room'!$A$14-('Control Room'!$B$14-1)/2)/MAX(0.5,'Control Room'!$B$14/4))^2),1)*IF(AND($A592&gt;='Control Room'!$A$15,$A592&lt;'Control Room'!$A$15+'Control Room'!$B$15,'Process'!BU4=1),1+('Control Room'!$C$15-1)*EXP(-0.5*(($A592-'Control Room'!$A$15-('Control Room'!$B$15-1)/2)/MAX(0.5,'Control Room'!$B$15/4))^2),1)*IF(AND($A592&gt;='Control Room'!$A$16,$A592&lt;'Control Room'!$A$16+'Control Room'!$B$16,'Process'!BU5=1),1+('Control Room'!$C$16-1)*EXP(-0.5*(($A592-'Control Room'!$A$16-('Control Room'!$B$16-1)/2)/MAX(0.5,'Control Room'!$B$16/4))^2),1)</x:f>
        <x:v>1</x:v>
      </x:c>
      <x:c r="BE592" s="9" t="n">
        <x:f>MOD(BF591*16807,2147483647)</x:f>
        <x:v>795233232</x:v>
      </x:c>
      <x:c r="BF592" s="9" t="n">
        <x:f>MOD(BE592*16807,2147483647)</x:f>
        <x:v>1694194943</x:v>
      </x:c>
      <x:c r="BG592" s="17" t="n">
        <x:f>IF('Control Room'!$B$5="Normal",'Control Room'!$B$7+'Control Room'!$D$7*SQRT(-2*LN(MAX(0.000000000001,BE592/2147483647)))*COS(2*PI()*BF592/2147483647),'Control Room'!$B$8+('Control Room'!$D$8-'Control Room'!$B$8)*BE592/2147483647)</x:f>
        <x:v>1030.7149391476667</x:v>
      </x:c>
      <x:c r="BH592" s="17" t="n">
        <x:f>IF('Control Room'!$B$5="Normal",'Control Room'!$B$7,('Control Room'!$B$8+'Control Room'!$D$8)/2)+'Control Room'!$B$9*(BH591-IF('Control Room'!$B$5="Normal",'Control Room'!$B$7,('Control Room'!$B$8+'Control Room'!$D$8)/2))+SQRT(1-'Control Room'!$B$9^2)*(BG592-IF('Control Room'!$B$5="Normal",'Control Room'!$B$7,('Control Room'!$B$8+'Control Room'!$D$8)/2))</x:f>
        <x:v>1053.9287527069057</x:v>
      </x:c>
      <x:c r="BI592" s="17" t="n">
        <x:f>IF(AND($A592&gt;='Control Room'!$A$13,$A592&lt;'Control Room'!$A$13+'Control Room'!$B$13,'Process'!BV2=1),1+('Control Room'!$C$13-1)*EXP(-0.5*(($A592-'Control Room'!$A$13-('Control Room'!$B$13-1)/2)/MAX(0.5,'Control Room'!$B$13/4))^2),1)*IF(AND($A592&gt;='Control Room'!$A$14,$A592&lt;'Control Room'!$A$14+'Control Room'!$B$14,'Process'!BV3=1),1+('Control Room'!$C$14-1)*EXP(-0.5*(($A592-'Control Room'!$A$14-('Control Room'!$B$14-1)/2)/MAX(0.5,'Control Room'!$B$14/4))^2),1)*IF(AND($A592&gt;='Control Room'!$A$15,$A592&lt;'Control Room'!$A$15+'Control Room'!$B$15,'Process'!BV4=1),1+('Control Room'!$C$15-1)*EXP(-0.5*(($A592-'Control Room'!$A$15-('Control Room'!$B$15-1)/2)/MAX(0.5,'Control Room'!$B$15/4))^2),1)*IF(AND($A592&gt;='Control Room'!$A$16,$A592&lt;'Control Room'!$A$16+'Control Room'!$B$16,'Process'!BV5=1),1+('Control Room'!$C$16-1)*EXP(-0.5*(($A592-'Control Room'!$A$16-('Control Room'!$B$16-1)/2)/MAX(0.5,'Control Room'!$B$16/4))^2),1)</x:f>
        <x:v>1</x:v>
      </x:c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Z592" t="str">
        <x:f>IF('Data'!A592="","",TEXT('Data'!A592,"mm-dd"))</x:f>
      </x:c>
    </x:row>
    <x:row r="593" ht="21" customHeight="1">
      <x:c r="A593" s="15" t="n">
        <x:f>'Control Room'!$B$1+591</x:f>
        <x:v>73582</x:v>
      </x:c>
      <x:c r="B593" s="9" t="n">
        <x:f>MOD(C592*16807,2147483647)</x:f>
        <x:v>1319947004</x:v>
      </x:c>
      <x:c r="C593" s="9" t="n">
        <x:f>MOD(B593*16807,2147483647)</x:f>
        <x:v>843222718</x:v>
      </x:c>
      <x:c r="D593" s="17" t="n">
        <x:f>IF('Control Room'!$B$5="Normal",'Control Room'!$B$7+'Control Room'!$D$7*SQRT(-2*LN(MAX(0.000000000001,B593/2147483647)))*COS(2*PI()*C593/2147483647),'Control Room'!$B$8+('Control Room'!$D$8-'Control Room'!$B$8)*B593/2147483647)</x:f>
        <x:v>930.6469202454066</x:v>
      </x:c>
      <x:c r="E593" s="17" t="n">
        <x:f>IF('Control Room'!$B$5="Normal",'Control Room'!$B$7,('Control Room'!$B$8+'Control Room'!$D$8)/2)+'Control Room'!$B$9*(E592-IF('Control Room'!$B$5="Normal",'Control Room'!$B$7,('Control Room'!$B$8+'Control Room'!$D$8)/2))+SQRT(1-'Control Room'!$B$9^2)*(D593-IF('Control Room'!$B$5="Normal",'Control Room'!$B$7,('Control Room'!$B$8+'Control Room'!$D$8)/2))</x:f>
        <x:v>1025.3898402937307</x:v>
      </x:c>
      <x:c r="F593" s="17" t="n">
        <x:f>IF(AND($A593&gt;='Control Room'!$A$13,$A593&lt;'Control Room'!$A$13+'Control Room'!$B$13,'Process'!BK2=1),1+('Control Room'!$C$13-1)*EXP(-0.5*(($A593-'Control Room'!$A$13-('Control Room'!$B$13-1)/2)/MAX(0.5,'Control Room'!$B$13/4))^2),1)*IF(AND($A593&gt;='Control Room'!$A$14,$A593&lt;'Control Room'!$A$14+'Control Room'!$B$14,'Process'!BK3=1),1+('Control Room'!$C$14-1)*EXP(-0.5*(($A593-'Control Room'!$A$14-('Control Room'!$B$14-1)/2)/MAX(0.5,'Control Room'!$B$14/4))^2),1)*IF(AND($A593&gt;='Control Room'!$A$15,$A593&lt;'Control Room'!$A$15+'Control Room'!$B$15,'Process'!BK4=1),1+('Control Room'!$C$15-1)*EXP(-0.5*(($A593-'Control Room'!$A$15-('Control Room'!$B$15-1)/2)/MAX(0.5,'Control Room'!$B$15/4))^2),1)*IF(AND($A593&gt;='Control Room'!$A$16,$A593&lt;'Control Room'!$A$16+'Control Room'!$B$16,'Process'!BK5=1),1+('Control Room'!$C$16-1)*EXP(-0.5*(($A593-'Control Room'!$A$16-('Control Room'!$B$16-1)/2)/MAX(0.5,'Control Room'!$B$16/4))^2),1)</x:f>
        <x:v>1</x:v>
      </x:c>
      <x:c r="G593" s="9" t="n">
        <x:f>MOD(H592*16807,2147483647)</x:f>
        <x:v>496206080</x:v>
      </x:c>
      <x:c r="H593" s="9" t="n">
        <x:f>MOD(G593*16807,2147483647)</x:f>
        <x:v>1056585259</x:v>
      </x:c>
      <x:c r="I593" s="17" t="n">
        <x:f>IF('Control Room'!$B$5="Normal",'Control Room'!$B$7+'Control Room'!$D$7*SQRT(-2*LN(MAX(0.000000000001,G593/2147483647)))*COS(2*PI()*H593/2147483647),'Control Room'!$B$8+('Control Room'!$D$8-'Control Room'!$B$8)*G593/2147483647)</x:f>
        <x:v>846.1356778061404</x:v>
      </x:c>
      <x:c r="J593" s="17" t="n">
        <x:f>IF('Control Room'!$B$5="Normal",'Control Room'!$B$7,('Control Room'!$B$8+'Control Room'!$D$8)/2)+'Control Room'!$B$9*(J592-IF('Control Room'!$B$5="Normal",'Control Room'!$B$7,('Control Room'!$B$8+'Control Room'!$D$8)/2))+SQRT(1-'Control Room'!$B$9^2)*(I593-IF('Control Room'!$B$5="Normal",'Control Room'!$B$7,('Control Room'!$B$8+'Control Room'!$D$8)/2))</x:f>
        <x:v>952.2000548766497</x:v>
      </x:c>
      <x:c r="K593" s="17" t="n">
        <x:f>IF(AND($A593&gt;='Control Room'!$A$13,$A593&lt;'Control Room'!$A$13+'Control Room'!$B$13,'Process'!BL2=1),1+('Control Room'!$C$13-1)*EXP(-0.5*(($A593-'Control Room'!$A$13-('Control Room'!$B$13-1)/2)/MAX(0.5,'Control Room'!$B$13/4))^2),1)*IF(AND($A593&gt;='Control Room'!$A$14,$A593&lt;'Control Room'!$A$14+'Control Room'!$B$14,'Process'!BL3=1),1+('Control Room'!$C$14-1)*EXP(-0.5*(($A593-'Control Room'!$A$14-('Control Room'!$B$14-1)/2)/MAX(0.5,'Control Room'!$B$14/4))^2),1)*IF(AND($A593&gt;='Control Room'!$A$15,$A593&lt;'Control Room'!$A$15+'Control Room'!$B$15,'Process'!BL4=1),1+('Control Room'!$C$15-1)*EXP(-0.5*(($A593-'Control Room'!$A$15-('Control Room'!$B$15-1)/2)/MAX(0.5,'Control Room'!$B$15/4))^2),1)*IF(AND($A593&gt;='Control Room'!$A$16,$A593&lt;'Control Room'!$A$16+'Control Room'!$B$16,'Process'!BL5=1),1+('Control Room'!$C$16-1)*EXP(-0.5*(($A593-'Control Room'!$A$16-('Control Room'!$B$16-1)/2)/MAX(0.5,'Control Room'!$B$16/4))^2),1)</x:f>
        <x:v>1</x:v>
      </x:c>
      <x:c r="L593" s="9" t="n">
        <x:f>MOD(M592*16807,2147483647)</x:f>
        <x:v>1819948803</x:v>
      </x:c>
      <x:c r="M593" s="9" t="n">
        <x:f>MOD(L593*16807,2147483647)</x:f>
        <x:v>1269947800</x:v>
      </x:c>
      <x:c r="N593" s="17" t="n">
        <x:f>IF('Control Room'!$B$5="Normal",'Control Room'!$B$7+'Control Room'!$D$7*SQRT(-2*LN(MAX(0.000000000001,L593/2147483647)))*COS(2*PI()*M593/2147483647),'Control Room'!$B$8+('Control Room'!$D$8-'Control Room'!$B$8)*L593/2147483647)</x:f>
        <x:v>956.5224352866526</x:v>
      </x:c>
      <x:c r="O593" s="17" t="n">
        <x:f>IF('Control Room'!$B$5="Normal",'Control Room'!$B$7,('Control Room'!$B$8+'Control Room'!$D$8)/2)+'Control Room'!$B$9*(O592-IF('Control Room'!$B$5="Normal",'Control Room'!$B$7,('Control Room'!$B$8+'Control Room'!$D$8)/2))+SQRT(1-'Control Room'!$B$9^2)*(N593-IF('Control Room'!$B$5="Normal",'Control Room'!$B$7,('Control Room'!$B$8+'Control Room'!$D$8)/2))</x:f>
        <x:v>920.37997551398</x:v>
      </x:c>
      <x:c r="P593" s="17" t="n">
        <x:f>IF(AND($A593&gt;='Control Room'!$A$13,$A593&lt;'Control Room'!$A$13+'Control Room'!$B$13,'Process'!BM2=1),1+('Control Room'!$C$13-1)*EXP(-0.5*(($A593-'Control Room'!$A$13-('Control Room'!$B$13-1)/2)/MAX(0.5,'Control Room'!$B$13/4))^2),1)*IF(AND($A593&gt;='Control Room'!$A$14,$A593&lt;'Control Room'!$A$14+'Control Room'!$B$14,'Process'!BM3=1),1+('Control Room'!$C$14-1)*EXP(-0.5*(($A593-'Control Room'!$A$14-('Control Room'!$B$14-1)/2)/MAX(0.5,'Control Room'!$B$14/4))^2),1)*IF(AND($A593&gt;='Control Room'!$A$15,$A593&lt;'Control Room'!$A$15+'Control Room'!$B$15,'Process'!BM4=1),1+('Control Room'!$C$15-1)*EXP(-0.5*(($A593-'Control Room'!$A$15-('Control Room'!$B$15-1)/2)/MAX(0.5,'Control Room'!$B$15/4))^2),1)*IF(AND($A593&gt;='Control Room'!$A$16,$A593&lt;'Control Room'!$A$16+'Control Room'!$B$16,'Process'!BM5=1),1+('Control Room'!$C$16-1)*EXP(-0.5*(($A593-'Control Room'!$A$16-('Control Room'!$B$16-1)/2)/MAX(0.5,'Control Room'!$B$16/4))^2),1)</x:f>
        <x:v>1</x:v>
      </x:c>
      <x:c r="Q593" s="9" t="n">
        <x:f>MOD(R592*16807,2147483647)</x:f>
        <x:v>996207879</x:v>
      </x:c>
      <x:c r="R593" s="9" t="n">
        <x:f>MOD(Q593*16807,2147483647)</x:f>
        <x:v>1483310341</x:v>
      </x:c>
      <x:c r="S593" s="17" t="n">
        <x:f>IF('Control Room'!$B$5="Normal",'Control Room'!$B$7+'Control Room'!$D$7*SQRT(-2*LN(MAX(0.000000000001,Q593/2147483647)))*COS(2*PI()*R593/2147483647),'Control Room'!$B$8+('Control Room'!$D$8-'Control Room'!$B$8)*Q593/2147483647)</x:f>
        <x:v>959.40586112357</x:v>
      </x:c>
      <x:c r="T593" s="17" t="n">
        <x:f>IF('Control Room'!$B$5="Normal",'Control Room'!$B$7,('Control Room'!$B$8+'Control Room'!$D$8)/2)+'Control Room'!$B$9*(T592-IF('Control Room'!$B$5="Normal",'Control Room'!$B$7,('Control Room'!$B$8+'Control Room'!$D$8)/2))+SQRT(1-'Control Room'!$B$9^2)*(S593-IF('Control Room'!$B$5="Normal",'Control Room'!$B$7,('Control Room'!$B$8+'Control Room'!$D$8)/2))</x:f>
        <x:v>950.4692037296794</x:v>
      </x:c>
      <x:c r="U593" s="17" t="n">
        <x:f>IF(AND($A593&gt;='Control Room'!$A$13,$A593&lt;'Control Room'!$A$13+'Control Room'!$B$13,'Process'!BN2=1),1+('Control Room'!$C$13-1)*EXP(-0.5*(($A593-'Control Room'!$A$13-('Control Room'!$B$13-1)/2)/MAX(0.5,'Control Room'!$B$13/4))^2),1)*IF(AND($A593&gt;='Control Room'!$A$14,$A593&lt;'Control Room'!$A$14+'Control Room'!$B$14,'Process'!BN3=1),1+('Control Room'!$C$14-1)*EXP(-0.5*(($A593-'Control Room'!$A$14-('Control Room'!$B$14-1)/2)/MAX(0.5,'Control Room'!$B$14/4))^2),1)*IF(AND($A593&gt;='Control Room'!$A$15,$A593&lt;'Control Room'!$A$15+'Control Room'!$B$15,'Process'!BN4=1),1+('Control Room'!$C$15-1)*EXP(-0.5*(($A593-'Control Room'!$A$15-('Control Room'!$B$15-1)/2)/MAX(0.5,'Control Room'!$B$15/4))^2),1)*IF(AND($A593&gt;='Control Room'!$A$16,$A593&lt;'Control Room'!$A$16+'Control Room'!$B$16,'Process'!BN5=1),1+('Control Room'!$C$16-1)*EXP(-0.5*(($A593-'Control Room'!$A$16-('Control Room'!$B$16-1)/2)/MAX(0.5,'Control Room'!$B$16/4))^2),1)</x:f>
        <x:v>1</x:v>
      </x:c>
      <x:c r="V593" s="9" t="n">
        <x:f>MOD(W592*16807,2147483647)</x:f>
        <x:v>172466955</x:v>
      </x:c>
      <x:c r="W593" s="9" t="n">
        <x:f>MOD(V593*16807,2147483647)</x:f>
        <x:v>1696672882</x:v>
      </x:c>
      <x:c r="X593" s="17" t="n">
        <x:f>IF('Control Room'!$B$5="Normal",'Control Room'!$B$7+'Control Room'!$D$7*SQRT(-2*LN(MAX(0.000000000001,V593/2147483647)))*COS(2*PI()*W593/2147483647),'Control Room'!$B$8+('Control Room'!$D$8-'Control Room'!$B$8)*V593/2147483647)</x:f>
        <x:v>1050.3581730891933</x:v>
      </x:c>
      <x:c r="Y593" s="17" t="n">
        <x:f>IF('Control Room'!$B$5="Normal",'Control Room'!$B$7,('Control Room'!$B$8+'Control Room'!$D$8)/2)+'Control Room'!$B$9*(Y592-IF('Control Room'!$B$5="Normal",'Control Room'!$B$7,('Control Room'!$B$8+'Control Room'!$D$8)/2))+SQRT(1-'Control Room'!$B$9^2)*(X593-IF('Control Room'!$B$5="Normal",'Control Room'!$B$7,('Control Room'!$B$8+'Control Room'!$D$8)/2))</x:f>
        <x:v>1088.855322910705</x:v>
      </x:c>
      <x:c r="Z593" s="17" t="n">
        <x:f>IF(AND($A593&gt;='Control Room'!$A$13,$A593&lt;'Control Room'!$A$13+'Control Room'!$B$13,'Process'!BO2=1),1+('Control Room'!$C$13-1)*EXP(-0.5*(($A593-'Control Room'!$A$13-('Control Room'!$B$13-1)/2)/MAX(0.5,'Control Room'!$B$13/4))^2),1)*IF(AND($A593&gt;='Control Room'!$A$14,$A593&lt;'Control Room'!$A$14+'Control Room'!$B$14,'Process'!BO3=1),1+('Control Room'!$C$14-1)*EXP(-0.5*(($A593-'Control Room'!$A$14-('Control Room'!$B$14-1)/2)/MAX(0.5,'Control Room'!$B$14/4))^2),1)*IF(AND($A593&gt;='Control Room'!$A$15,$A593&lt;'Control Room'!$A$15+'Control Room'!$B$15,'Process'!BO4=1),1+('Control Room'!$C$15-1)*EXP(-0.5*(($A593-'Control Room'!$A$15-('Control Room'!$B$15-1)/2)/MAX(0.5,'Control Room'!$B$15/4))^2),1)*IF(AND($A593&gt;='Control Room'!$A$16,$A593&lt;'Control Room'!$A$16+'Control Room'!$B$16,'Process'!BO5=1),1+('Control Room'!$C$16-1)*EXP(-0.5*(($A593-'Control Room'!$A$16-('Control Room'!$B$16-1)/2)/MAX(0.5,'Control Room'!$B$16/4))^2),1)</x:f>
        <x:v>1</x:v>
      </x:c>
      <x:c r="AA593" s="9" t="n">
        <x:f>MOD(AB592*16807,2147483647)</x:f>
        <x:v>1496209678</x:v>
      </x:c>
      <x:c r="AB593" s="9" t="n">
        <x:f>MOD(AA593*16807,2147483647)</x:f>
        <x:v>1910035423</x:v>
      </x:c>
      <x:c r="AC593" s="17" t="n">
        <x:f>IF('Control Room'!$B$5="Normal",'Control Room'!$B$7+'Control Room'!$D$7*SQRT(-2*LN(MAX(0.000000000001,AA593/2147483647)))*COS(2*PI()*AB593/2147483647),'Control Room'!$B$8+('Control Room'!$D$8-'Control Room'!$B$8)*AA593/2147483647)</x:f>
        <x:v>1058.7781955881794</x:v>
      </x:c>
      <x:c r="AD593" s="17" t="n">
        <x:f>IF('Control Room'!$B$5="Normal",'Control Room'!$B$7,('Control Room'!$B$8+'Control Room'!$D$8)/2)+'Control Room'!$B$9*(AD592-IF('Control Room'!$B$5="Normal",'Control Room'!$B$7,('Control Room'!$B$8+'Control Room'!$D$8)/2))+SQRT(1-'Control Room'!$B$9^2)*(AC593-IF('Control Room'!$B$5="Normal",'Control Room'!$B$7,('Control Room'!$B$8+'Control Room'!$D$8)/2))</x:f>
        <x:v>947.25750511127</x:v>
      </x:c>
      <x:c r="AE593" s="17" t="n">
        <x:f>IF(AND($A593&gt;='Control Room'!$A$13,$A593&lt;'Control Room'!$A$13+'Control Room'!$B$13,'Process'!BP2=1),1+('Control Room'!$C$13-1)*EXP(-0.5*(($A593-'Control Room'!$A$13-('Control Room'!$B$13-1)/2)/MAX(0.5,'Control Room'!$B$13/4))^2),1)*IF(AND($A593&gt;='Control Room'!$A$14,$A593&lt;'Control Room'!$A$14+'Control Room'!$B$14,'Process'!BP3=1),1+('Control Room'!$C$14-1)*EXP(-0.5*(($A593-'Control Room'!$A$14-('Control Room'!$B$14-1)/2)/MAX(0.5,'Control Room'!$B$14/4))^2),1)*IF(AND($A593&gt;='Control Room'!$A$15,$A593&lt;'Control Room'!$A$15+'Control Room'!$B$15,'Process'!BP4=1),1+('Control Room'!$C$15-1)*EXP(-0.5*(($A593-'Control Room'!$A$15-('Control Room'!$B$15-1)/2)/MAX(0.5,'Control Room'!$B$15/4))^2),1)*IF(AND($A593&gt;='Control Room'!$A$16,$A593&lt;'Control Room'!$A$16+'Control Room'!$B$16,'Process'!BP5=1),1+('Control Room'!$C$16-1)*EXP(-0.5*(($A593-'Control Room'!$A$16-('Control Room'!$B$16-1)/2)/MAX(0.5,'Control Room'!$B$16/4))^2),1)</x:f>
        <x:v>1</x:v>
      </x:c>
      <x:c r="AF593" s="9" t="n">
        <x:f>MOD(AG592*16807,2147483647)</x:f>
        <x:v>672468754</x:v>
      </x:c>
      <x:c r="AG593" s="9" t="n">
        <x:f>MOD(AF593*16807,2147483647)</x:f>
        <x:v>2123397964</x:v>
      </x:c>
      <x:c r="AH593" s="17" t="n">
        <x:f>IF('Control Room'!$B$5="Normal",'Control Room'!$B$7+'Control Room'!$D$7*SQRT(-2*LN(MAX(0.000000000001,AF593/2147483647)))*COS(2*PI()*AG593/2147483647),'Control Room'!$B$8+('Control Room'!$D$8-'Control Room'!$B$8)*AF593/2147483647)</x:f>
        <x:v>1136.8082759682172</x:v>
      </x:c>
      <x:c r="AI593" s="17" t="n">
        <x:f>IF('Control Room'!$B$5="Normal",'Control Room'!$B$7,('Control Room'!$B$8+'Control Room'!$D$8)/2)+'Control Room'!$B$9*(AI592-IF('Control Room'!$B$5="Normal",'Control Room'!$B$7,('Control Room'!$B$8+'Control Room'!$D$8)/2))+SQRT(1-'Control Room'!$B$9^2)*(AH593-IF('Control Room'!$B$5="Normal",'Control Room'!$B$7,('Control Room'!$B$8+'Control Room'!$D$8)/2))</x:f>
        <x:v>1158.2666247836537</x:v>
      </x:c>
      <x:c r="AJ593" s="17" t="n">
        <x:f>IF(AND($A593&gt;='Control Room'!$A$13,$A593&lt;'Control Room'!$A$13+'Control Room'!$B$13,'Process'!BQ2=1),1+('Control Room'!$C$13-1)*EXP(-0.5*(($A593-'Control Room'!$A$13-('Control Room'!$B$13-1)/2)/MAX(0.5,'Control Room'!$B$13/4))^2),1)*IF(AND($A593&gt;='Control Room'!$A$14,$A593&lt;'Control Room'!$A$14+'Control Room'!$B$14,'Process'!BQ3=1),1+('Control Room'!$C$14-1)*EXP(-0.5*(($A593-'Control Room'!$A$14-('Control Room'!$B$14-1)/2)/MAX(0.5,'Control Room'!$B$14/4))^2),1)*IF(AND($A593&gt;='Control Room'!$A$15,$A593&lt;'Control Room'!$A$15+'Control Room'!$B$15,'Process'!BQ4=1),1+('Control Room'!$C$15-1)*EXP(-0.5*(($A593-'Control Room'!$A$15-('Control Room'!$B$15-1)/2)/MAX(0.5,'Control Room'!$B$15/4))^2),1)*IF(AND($A593&gt;='Control Room'!$A$16,$A593&lt;'Control Room'!$A$16+'Control Room'!$B$16,'Process'!BQ5=1),1+('Control Room'!$C$16-1)*EXP(-0.5*(($A593-'Control Room'!$A$16-('Control Room'!$B$16-1)/2)/MAX(0.5,'Control Room'!$B$16/4))^2),1)</x:f>
        <x:v>1</x:v>
      </x:c>
      <x:c r="AK593" s="9" t="n">
        <x:f>MOD(AL592*16807,2147483647)</x:f>
        <x:v>1996211477</x:v>
      </x:c>
      <x:c r="AL593" s="9" t="n">
        <x:f>MOD(AK593*16807,2147483647)</x:f>
        <x:v>189276858</x:v>
      </x:c>
      <x:c r="AM593" s="17" t="n">
        <x:f>IF('Control Room'!$B$5="Normal",'Control Room'!$B$7+'Control Room'!$D$7*SQRT(-2*LN(MAX(0.000000000001,AK593/2147483647)))*COS(2*PI()*AL593/2147483647),'Control Room'!$B$8+('Control Room'!$D$8-'Control Room'!$B$8)*AK593/2147483647)</x:f>
        <x:v>1029.258175977191</x:v>
      </x:c>
      <x:c r="AN593" s="17" t="n">
        <x:f>IF('Control Room'!$B$5="Normal",'Control Room'!$B$7,('Control Room'!$B$8+'Control Room'!$D$8)/2)+'Control Room'!$B$9*(AN592-IF('Control Room'!$B$5="Normal",'Control Room'!$B$7,('Control Room'!$B$8+'Control Room'!$D$8)/2))+SQRT(1-'Control Room'!$B$9^2)*(AM593-IF('Control Room'!$B$5="Normal",'Control Room'!$B$7,('Control Room'!$B$8+'Control Room'!$D$8)/2))</x:f>
        <x:v>1034.8400427829702</x:v>
      </x:c>
      <x:c r="AO593" s="17" t="n">
        <x:f>IF(AND($A593&gt;='Control Room'!$A$13,$A593&lt;'Control Room'!$A$13+'Control Room'!$B$13,'Process'!BR2=1),1+('Control Room'!$C$13-1)*EXP(-0.5*(($A593-'Control Room'!$A$13-('Control Room'!$B$13-1)/2)/MAX(0.5,'Control Room'!$B$13/4))^2),1)*IF(AND($A593&gt;='Control Room'!$A$14,$A593&lt;'Control Room'!$A$14+'Control Room'!$B$14,'Process'!BR3=1),1+('Control Room'!$C$14-1)*EXP(-0.5*(($A593-'Control Room'!$A$14-('Control Room'!$B$14-1)/2)/MAX(0.5,'Control Room'!$B$14/4))^2),1)*IF(AND($A593&gt;='Control Room'!$A$15,$A593&lt;'Control Room'!$A$15+'Control Room'!$B$15,'Process'!BR4=1),1+('Control Room'!$C$15-1)*EXP(-0.5*(($A593-'Control Room'!$A$15-('Control Room'!$B$15-1)/2)/MAX(0.5,'Control Room'!$B$15/4))^2),1)*IF(AND($A593&gt;='Control Room'!$A$16,$A593&lt;'Control Room'!$A$16+'Control Room'!$B$16,'Process'!BR5=1),1+('Control Room'!$C$16-1)*EXP(-0.5*(($A593-'Control Room'!$A$16-('Control Room'!$B$16-1)/2)/MAX(0.5,'Control Room'!$B$16/4))^2),1)</x:f>
        <x:v>1</x:v>
      </x:c>
      <x:c r="AP593" s="9" t="n">
        <x:f>MOD(AQ592*16807,2147483647)</x:f>
        <x:v>1172470553</x:v>
      </x:c>
      <x:c r="AQ593" s="9" t="n">
        <x:f>MOD(AP593*16807,2147483647)</x:f>
        <x:v>402639399</x:v>
      </x:c>
      <x:c r="AR593" s="17" t="n">
        <x:f>IF('Control Room'!$B$5="Normal",'Control Room'!$B$7+'Control Room'!$D$7*SQRT(-2*LN(MAX(0.000000000001,AP593/2147483647)))*COS(2*PI()*AQ593/2147483647),'Control Room'!$B$8+('Control Room'!$D$8-'Control Room'!$B$8)*AP593/2147483647)</x:f>
        <x:v>1037.8950991155898</x:v>
      </x:c>
      <x:c r="AS593" s="17" t="n">
        <x:f>IF('Control Room'!$B$5="Normal",'Control Room'!$B$7,('Control Room'!$B$8+'Control Room'!$D$8)/2)+'Control Room'!$B$9*(AS592-IF('Control Room'!$B$5="Normal",'Control Room'!$B$7,('Control Room'!$B$8+'Control Room'!$D$8)/2))+SQRT(1-'Control Room'!$B$9^2)*(AR593-IF('Control Room'!$B$5="Normal",'Control Room'!$B$7,('Control Room'!$B$8+'Control Room'!$D$8)/2))</x:f>
        <x:v>990.6991155484251</x:v>
      </x:c>
      <x:c r="AT593" s="17" t="n">
        <x:f>IF(AND($A593&gt;='Control Room'!$A$13,$A593&lt;'Control Room'!$A$13+'Control Room'!$B$13,'Process'!BS2=1),1+('Control Room'!$C$13-1)*EXP(-0.5*(($A593-'Control Room'!$A$13-('Control Room'!$B$13-1)/2)/MAX(0.5,'Control Room'!$B$13/4))^2),1)*IF(AND($A593&gt;='Control Room'!$A$14,$A593&lt;'Control Room'!$A$14+'Control Room'!$B$14,'Process'!BS3=1),1+('Control Room'!$C$14-1)*EXP(-0.5*(($A593-'Control Room'!$A$14-('Control Room'!$B$14-1)/2)/MAX(0.5,'Control Room'!$B$14/4))^2),1)*IF(AND($A593&gt;='Control Room'!$A$15,$A593&lt;'Control Room'!$A$15+'Control Room'!$B$15,'Process'!BS4=1),1+('Control Room'!$C$15-1)*EXP(-0.5*(($A593-'Control Room'!$A$15-('Control Room'!$B$15-1)/2)/MAX(0.5,'Control Room'!$B$15/4))^2),1)*IF(AND($A593&gt;='Control Room'!$A$16,$A593&lt;'Control Room'!$A$16+'Control Room'!$B$16,'Process'!BS5=1),1+('Control Room'!$C$16-1)*EXP(-0.5*(($A593-'Control Room'!$A$16-('Control Room'!$B$16-1)/2)/MAX(0.5,'Control Room'!$B$16/4))^2),1)</x:f>
        <x:v>1</x:v>
      </x:c>
      <x:c r="AU593" s="9" t="n">
        <x:f>MOD(AV592*16807,2147483647)</x:f>
        <x:v>348729629</x:v>
      </x:c>
      <x:c r="AV593" s="9" t="n">
        <x:f>MOD(AU593*16807,2147483647)</x:f>
        <x:v>616001940</x:v>
      </x:c>
      <x:c r="AW593" s="17" t="n">
        <x:f>IF('Control Room'!$B$5="Normal",'Control Room'!$B$7+'Control Room'!$D$7*SQRT(-2*LN(MAX(0.000000000001,AU593/2147483647)))*COS(2*PI()*AV593/2147483647),'Control Room'!$B$8+('Control Room'!$D$8-'Control Room'!$B$8)*AU593/2147483647)</x:f>
        <x:v>960.6236826787991</x:v>
      </x:c>
      <x:c r="AX593" s="17" t="n">
        <x:f>IF('Control Room'!$B$5="Normal",'Control Room'!$B$7,('Control Room'!$B$8+'Control Room'!$D$8)/2)+'Control Room'!$B$9*(AX592-IF('Control Room'!$B$5="Normal",'Control Room'!$B$7,('Control Room'!$B$8+'Control Room'!$D$8)/2))+SQRT(1-'Control Room'!$B$9^2)*(AW593-IF('Control Room'!$B$5="Normal",'Control Room'!$B$7,('Control Room'!$B$8+'Control Room'!$D$8)/2))</x:f>
        <x:v>883.2452333836557</x:v>
      </x:c>
      <x:c r="AY593" s="17" t="n">
        <x:f>IF(AND($A593&gt;='Control Room'!$A$13,$A593&lt;'Control Room'!$A$13+'Control Room'!$B$13,'Process'!BT2=1),1+('Control Room'!$C$13-1)*EXP(-0.5*(($A593-'Control Room'!$A$13-('Control Room'!$B$13-1)/2)/MAX(0.5,'Control Room'!$B$13/4))^2),1)*IF(AND($A593&gt;='Control Room'!$A$14,$A593&lt;'Control Room'!$A$14+'Control Room'!$B$14,'Process'!BT3=1),1+('Control Room'!$C$14-1)*EXP(-0.5*(($A593-'Control Room'!$A$14-('Control Room'!$B$14-1)/2)/MAX(0.5,'Control Room'!$B$14/4))^2),1)*IF(AND($A593&gt;='Control Room'!$A$15,$A593&lt;'Control Room'!$A$15+'Control Room'!$B$15,'Process'!BT4=1),1+('Control Room'!$C$15-1)*EXP(-0.5*(($A593-'Control Room'!$A$15-('Control Room'!$B$15-1)/2)/MAX(0.5,'Control Room'!$B$15/4))^2),1)*IF(AND($A593&gt;='Control Room'!$A$16,$A593&lt;'Control Room'!$A$16+'Control Room'!$B$16,'Process'!BT5=1),1+('Control Room'!$C$16-1)*EXP(-0.5*(($A593-'Control Room'!$A$16-('Control Room'!$B$16-1)/2)/MAX(0.5,'Control Room'!$B$16/4))^2),1)</x:f>
        <x:v>1</x:v>
      </x:c>
      <x:c r="AZ593" s="9" t="n">
        <x:f>MOD(BA592*16807,2147483647)</x:f>
        <x:v>1672472352</x:v>
      </x:c>
      <x:c r="BA593" s="9" t="n">
        <x:f>MOD(AZ593*16807,2147483647)</x:f>
        <x:v>829364481</x:v>
      </x:c>
      <x:c r="BB593" s="17" t="n">
        <x:f>IF('Control Room'!$B$5="Normal",'Control Room'!$B$7+'Control Room'!$D$7*SQRT(-2*LN(MAX(0.000000000001,AZ593/2147483647)))*COS(2*PI()*BA593/2147483647),'Control Room'!$B$8+('Control Room'!$D$8-'Control Room'!$B$8)*AZ593/2147483647)</x:f>
        <x:v>951.9470948790076</x:v>
      </x:c>
      <x:c r="BC593" s="17" t="n">
        <x:f>IF('Control Room'!$B$5="Normal",'Control Room'!$B$7,('Control Room'!$B$8+'Control Room'!$D$8)/2)+'Control Room'!$B$9*(BC592-IF('Control Room'!$B$5="Normal",'Control Room'!$B$7,('Control Room'!$B$8+'Control Room'!$D$8)/2))+SQRT(1-'Control Room'!$B$9^2)*(BB593-IF('Control Room'!$B$5="Normal",'Control Room'!$B$7,('Control Room'!$B$8+'Control Room'!$D$8)/2))</x:f>
        <x:v>1112.919891879212</x:v>
      </x:c>
      <x:c r="BD593" s="17" t="n">
        <x:f>IF(AND($A593&gt;='Control Room'!$A$13,$A593&lt;'Control Room'!$A$13+'Control Room'!$B$13,'Process'!BU2=1),1+('Control Room'!$C$13-1)*EXP(-0.5*(($A593-'Control Room'!$A$13-('Control Room'!$B$13-1)/2)/MAX(0.5,'Control Room'!$B$13/4))^2),1)*IF(AND($A593&gt;='Control Room'!$A$14,$A593&lt;'Control Room'!$A$14+'Control Room'!$B$14,'Process'!BU3=1),1+('Control Room'!$C$14-1)*EXP(-0.5*(($A593-'Control Room'!$A$14-('Control Room'!$B$14-1)/2)/MAX(0.5,'Control Room'!$B$14/4))^2),1)*IF(AND($A593&gt;='Control Room'!$A$15,$A593&lt;'Control Room'!$A$15+'Control Room'!$B$15,'Process'!BU4=1),1+('Control Room'!$C$15-1)*EXP(-0.5*(($A593-'Control Room'!$A$15-('Control Room'!$B$15-1)/2)/MAX(0.5,'Control Room'!$B$15/4))^2),1)*IF(AND($A593&gt;='Control Room'!$A$16,$A593&lt;'Control Room'!$A$16+'Control Room'!$B$16,'Process'!BU5=1),1+('Control Room'!$C$16-1)*EXP(-0.5*(($A593-'Control Room'!$A$16-('Control Room'!$B$16-1)/2)/MAX(0.5,'Control Room'!$B$16/4))^2),1)</x:f>
        <x:v>1</x:v>
      </x:c>
      <x:c r="BE593" s="9" t="n">
        <x:f>MOD(BF592*16807,2147483647)</x:f>
        <x:v>848731428</x:v>
      </x:c>
      <x:c r="BF593" s="9" t="n">
        <x:f>MOD(BE593*16807,2147483647)</x:f>
        <x:v>1042727022</x:v>
      </x:c>
      <x:c r="BG593" s="17" t="n">
        <x:f>IF('Control Room'!$B$5="Normal",'Control Room'!$B$7+'Control Room'!$D$7*SQRT(-2*LN(MAX(0.000000000001,BE593/2147483647)))*COS(2*PI()*BF593/2147483647),'Control Room'!$B$8+('Control Room'!$D$8-'Control Room'!$B$8)*BE593/2147483647)</x:f>
        <x:v>877.872551819245</x:v>
      </x:c>
      <x:c r="BH593" s="17" t="n">
        <x:f>IF('Control Room'!$B$5="Normal",'Control Room'!$B$7,('Control Room'!$B$8+'Control Room'!$D$8)/2)+'Control Room'!$B$9*(BH592-IF('Control Room'!$B$5="Normal",'Control Room'!$B$7,('Control Room'!$B$8+'Control Room'!$D$8)/2))+SQRT(1-'Control Room'!$B$9^2)*(BG593-IF('Control Room'!$B$5="Normal",'Control Room'!$B$7,('Control Room'!$B$8+'Control Room'!$D$8)/2))</x:f>
        <x:v>965.6395719566374</x:v>
      </x:c>
      <x:c r="BI593" s="17" t="n">
        <x:f>IF(AND($A593&gt;='Control Room'!$A$13,$A593&lt;'Control Room'!$A$13+'Control Room'!$B$13,'Process'!BV2=1),1+('Control Room'!$C$13-1)*EXP(-0.5*(($A593-'Control Room'!$A$13-('Control Room'!$B$13-1)/2)/MAX(0.5,'Control Room'!$B$13/4))^2),1)*IF(AND($A593&gt;='Control Room'!$A$14,$A593&lt;'Control Room'!$A$14+'Control Room'!$B$14,'Process'!BV3=1),1+('Control Room'!$C$14-1)*EXP(-0.5*(($A593-'Control Room'!$A$14-('Control Room'!$B$14-1)/2)/MAX(0.5,'Control Room'!$B$14/4))^2),1)*IF(AND($A593&gt;='Control Room'!$A$15,$A593&lt;'Control Room'!$A$15+'Control Room'!$B$15,'Process'!BV4=1),1+('Control Room'!$C$15-1)*EXP(-0.5*(($A593-'Control Room'!$A$15-('Control Room'!$B$15-1)/2)/MAX(0.5,'Control Room'!$B$15/4))^2),1)*IF(AND($A593&gt;='Control Room'!$A$16,$A593&lt;'Control Room'!$A$16+'Control Room'!$B$16,'Process'!BV5=1),1+('Control Room'!$C$16-1)*EXP(-0.5*(($A593-'Control Room'!$A$16-('Control Room'!$B$16-1)/2)/MAX(0.5,'Control Room'!$B$16/4))^2),1)</x:f>
        <x:v>1</x:v>
      </x:c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Z593" t="str">
        <x:f>IF('Data'!A593="","",TEXT('Data'!A593,"mm-dd"))</x:f>
      </x:c>
    </x:row>
    <x:row r="594" ht="21" customHeight="1">
      <x:c r="A594" s="15" t="n">
        <x:f>'Control Room'!$B$1+592</x:f>
        <x:v>73583</x:v>
      </x:c>
      <x:c r="B594" s="9" t="n">
        <x:f>MOD(C593*16807,2147483647)</x:f>
        <x:v>799634873</x:v>
      </x:c>
      <x:c r="C594" s="9" t="n">
        <x:f>MOD(B594*16807,2147483647)</x:f>
        <x:v>510647585</x:v>
      </x:c>
      <x:c r="D594" s="17" t="n">
        <x:f>IF('Control Room'!$B$5="Normal",'Control Room'!$B$7+'Control Room'!$D$7*SQRT(-2*LN(MAX(0.000000000001,B594/2147483647)))*COS(2*PI()*C594/2147483647),'Control Room'!$B$8+('Control Room'!$D$8-'Control Room'!$B$8)*B594/2147483647)</x:f>
        <x:v>1009.6967212347648</x:v>
      </x:c>
      <x:c r="E594" s="17" t="n">
        <x:f>IF('Control Room'!$B$5="Normal",'Control Room'!$B$7,('Control Room'!$B$8+'Control Room'!$D$8)/2)+'Control Room'!$B$9*(E593-IF('Control Room'!$B$5="Normal",'Control Room'!$B$7,('Control Room'!$B$8+'Control Room'!$D$8)/2))+SQRT(1-'Control Room'!$B$9^2)*(D594-IF('Control Room'!$B$5="Normal",'Control Room'!$B$7,('Control Room'!$B$8+'Control Room'!$D$8)/2))</x:f>
        <x:v>1025.8720849296938</x:v>
      </x:c>
      <x:c r="F594" s="17" t="n">
        <x:f>IF(AND($A594&gt;='Control Room'!$A$13,$A594&lt;'Control Room'!$A$13+'Control Room'!$B$13,'Process'!BK2=1),1+('Control Room'!$C$13-1)*EXP(-0.5*(($A594-'Control Room'!$A$13-('Control Room'!$B$13-1)/2)/MAX(0.5,'Control Room'!$B$13/4))^2),1)*IF(AND($A594&gt;='Control Room'!$A$14,$A594&lt;'Control Room'!$A$14+'Control Room'!$B$14,'Process'!BK3=1),1+('Control Room'!$C$14-1)*EXP(-0.5*(($A594-'Control Room'!$A$14-('Control Room'!$B$14-1)/2)/MAX(0.5,'Control Room'!$B$14/4))^2),1)*IF(AND($A594&gt;='Control Room'!$A$15,$A594&lt;'Control Room'!$A$15+'Control Room'!$B$15,'Process'!BK4=1),1+('Control Room'!$C$15-1)*EXP(-0.5*(($A594-'Control Room'!$A$15-('Control Room'!$B$15-1)/2)/MAX(0.5,'Control Room'!$B$15/4))^2),1)*IF(AND($A594&gt;='Control Room'!$A$16,$A594&lt;'Control Room'!$A$16+'Control Room'!$B$16,'Process'!BK5=1),1+('Control Room'!$C$16-1)*EXP(-0.5*(($A594-'Control Room'!$A$16-('Control Room'!$B$16-1)/2)/MAX(0.5,'Control Room'!$B$16/4))^2),1)</x:f>
        <x:v>1</x:v>
      </x:c>
      <x:c r="G594" s="9" t="n">
        <x:f>MOD(H593*16807,2147483647)</x:f>
        <x:v>486170970</x:v>
      </x:c>
      <x:c r="H594" s="9" t="n">
        <x:f>MOD(G594*16807,2147483647)</x:f>
        <x:v>2047699602</x:v>
      </x:c>
      <x:c r="I594" s="17" t="n">
        <x:f>IF('Control Room'!$B$5="Normal",'Control Room'!$B$7+'Control Room'!$D$7*SQRT(-2*LN(MAX(0.000000000001,G594/2147483647)))*COS(2*PI()*H594/2147483647),'Control Room'!$B$8+('Control Room'!$D$8-'Control Room'!$B$8)*G594/2147483647)</x:f>
        <x:v>1148.564424177567</x:v>
      </x:c>
      <x:c r="J594" s="17" t="n">
        <x:f>IF('Control Room'!$B$5="Normal",'Control Room'!$B$7,('Control Room'!$B$8+'Control Room'!$D$8)/2)+'Control Room'!$B$9*(J593-IF('Control Room'!$B$5="Normal",'Control Room'!$B$7,('Control Room'!$B$8+'Control Room'!$D$8)/2))+SQRT(1-'Control Room'!$B$9^2)*(I594-IF('Control Room'!$B$5="Normal",'Control Room'!$B$7,('Control Room'!$B$8+'Control Room'!$D$8)/2))</x:f>
        <x:v>1055.6846159464494</x:v>
      </x:c>
      <x:c r="K594" s="17" t="n">
        <x:f>IF(AND($A594&gt;='Control Room'!$A$13,$A594&lt;'Control Room'!$A$13+'Control Room'!$B$13,'Process'!BL2=1),1+('Control Room'!$C$13-1)*EXP(-0.5*(($A594-'Control Room'!$A$13-('Control Room'!$B$13-1)/2)/MAX(0.5,'Control Room'!$B$13/4))^2),1)*IF(AND($A594&gt;='Control Room'!$A$14,$A594&lt;'Control Room'!$A$14+'Control Room'!$B$14,'Process'!BL3=1),1+('Control Room'!$C$14-1)*EXP(-0.5*(($A594-'Control Room'!$A$14-('Control Room'!$B$14-1)/2)/MAX(0.5,'Control Room'!$B$14/4))^2),1)*IF(AND($A594&gt;='Control Room'!$A$15,$A594&lt;'Control Room'!$A$15+'Control Room'!$B$15,'Process'!BL4=1),1+('Control Room'!$C$15-1)*EXP(-0.5*(($A594-'Control Room'!$A$15-('Control Room'!$B$15-1)/2)/MAX(0.5,'Control Room'!$B$15/4))^2),1)*IF(AND($A594&gt;='Control Room'!$A$16,$A594&lt;'Control Room'!$A$16+'Control Room'!$B$16,'Process'!BL5=1),1+('Control Room'!$C$16-1)*EXP(-0.5*(($A594-'Control Room'!$A$16-('Control Room'!$B$16-1)/2)/MAX(0.5,'Control Room'!$B$16/4))^2),1)</x:f>
        <x:v>1</x:v>
      </x:c>
      <x:c r="L594" s="9" t="n">
        <x:f>MOD(M593*16807,2147483647)</x:f>
        <x:v>172707067</x:v>
      </x:c>
      <x:c r="M594" s="9" t="n">
        <x:f>MOD(L594*16807,2147483647)</x:f>
        <x:v>1437267972</x:v>
      </x:c>
      <x:c r="N594" s="17" t="n">
        <x:f>IF('Control Room'!$B$5="Normal",'Control Room'!$B$7+'Control Room'!$D$7*SQRT(-2*LN(MAX(0.000000000001,L594/2147483647)))*COS(2*PI()*M594/2147483647),'Control Room'!$B$8+('Control Room'!$D$8-'Control Room'!$B$8)*L594/2147483647)</x:f>
        <x:v>901.8531202959834</x:v>
      </x:c>
      <x:c r="O594" s="17" t="n">
        <x:f>IF('Control Room'!$B$5="Normal",'Control Room'!$B$7,('Control Room'!$B$8+'Control Room'!$D$8)/2)+'Control Room'!$B$9*(O593-IF('Control Room'!$B$5="Normal",'Control Room'!$B$7,('Control Room'!$B$8+'Control Room'!$D$8)/2))+SQRT(1-'Control Room'!$B$9^2)*(N594-IF('Control Room'!$B$5="Normal",'Control Room'!$B$7,('Control Room'!$B$8+'Control Room'!$D$8)/2))</x:f>
        <x:v>876.47807423025</x:v>
      </x:c>
      <x:c r="P594" s="17" t="n">
        <x:f>IF(AND($A594&gt;='Control Room'!$A$13,$A594&lt;'Control Room'!$A$13+'Control Room'!$B$13,'Process'!BM2=1),1+('Control Room'!$C$13-1)*EXP(-0.5*(($A594-'Control Room'!$A$13-('Control Room'!$B$13-1)/2)/MAX(0.5,'Control Room'!$B$13/4))^2),1)*IF(AND($A594&gt;='Control Room'!$A$14,$A594&lt;'Control Room'!$A$14+'Control Room'!$B$14,'Process'!BM3=1),1+('Control Room'!$C$14-1)*EXP(-0.5*(($A594-'Control Room'!$A$14-('Control Room'!$B$14-1)/2)/MAX(0.5,'Control Room'!$B$14/4))^2),1)*IF(AND($A594&gt;='Control Room'!$A$15,$A594&lt;'Control Room'!$A$15+'Control Room'!$B$15,'Process'!BM4=1),1+('Control Room'!$C$15-1)*EXP(-0.5*(($A594-'Control Room'!$A$15-('Control Room'!$B$15-1)/2)/MAX(0.5,'Control Room'!$B$15/4))^2),1)*IF(AND($A594&gt;='Control Room'!$A$16,$A594&lt;'Control Room'!$A$16+'Control Room'!$B$16,'Process'!BM5=1),1+('Control Room'!$C$16-1)*EXP(-0.5*(($A594-'Control Room'!$A$16-('Control Room'!$B$16-1)/2)/MAX(0.5,'Control Room'!$B$16/4))^2),1)</x:f>
        <x:v>1</x:v>
      </x:c>
      <x:c r="Q594" s="9" t="n">
        <x:f>MOD(R593*16807,2147483647)</x:f>
        <x:v>2006726811</x:v>
      </x:c>
      <x:c r="R594" s="9" t="n">
        <x:f>MOD(Q594*16807,2147483647)</x:f>
        <x:v>826836342</x:v>
      </x:c>
      <x:c r="S594" s="17" t="n">
        <x:f>IF('Control Room'!$B$5="Normal",'Control Room'!$B$7+'Control Room'!$D$7*SQRT(-2*LN(MAX(0.000000000001,Q594/2147483647)))*COS(2*PI()*R594/2147483647),'Control Room'!$B$8+('Control Room'!$D$8-'Control Room'!$B$8)*Q594/2147483647)</x:f>
        <x:v>975.1381478912365</x:v>
      </x:c>
      <x:c r="T594" s="17" t="n">
        <x:f>IF('Control Room'!$B$5="Normal",'Control Room'!$B$7,('Control Room'!$B$8+'Control Room'!$D$8)/2)+'Control Room'!$B$9*(T593-IF('Control Room'!$B$5="Normal",'Control Room'!$B$7,('Control Room'!$B$8+'Control Room'!$D$8)/2))+SQRT(1-'Control Room'!$B$9^2)*(S594-IF('Control Room'!$B$5="Normal",'Control Room'!$B$7,('Control Room'!$B$8+'Control Room'!$D$8)/2))</x:f>
        <x:v>945.8079411822104</x:v>
      </x:c>
      <x:c r="U594" s="17" t="n">
        <x:f>IF(AND($A594&gt;='Control Room'!$A$13,$A594&lt;'Control Room'!$A$13+'Control Room'!$B$13,'Process'!BN2=1),1+('Control Room'!$C$13-1)*EXP(-0.5*(($A594-'Control Room'!$A$13-('Control Room'!$B$13-1)/2)/MAX(0.5,'Control Room'!$B$13/4))^2),1)*IF(AND($A594&gt;='Control Room'!$A$14,$A594&lt;'Control Room'!$A$14+'Control Room'!$B$14,'Process'!BN3=1),1+('Control Room'!$C$14-1)*EXP(-0.5*(($A594-'Control Room'!$A$14-('Control Room'!$B$14-1)/2)/MAX(0.5,'Control Room'!$B$14/4))^2),1)*IF(AND($A594&gt;='Control Room'!$A$15,$A594&lt;'Control Room'!$A$15+'Control Room'!$B$15,'Process'!BN4=1),1+('Control Room'!$C$15-1)*EXP(-0.5*(($A594-'Control Room'!$A$15-('Control Room'!$B$15-1)/2)/MAX(0.5,'Control Room'!$B$15/4))^2),1)*IF(AND($A594&gt;='Control Room'!$A$16,$A594&lt;'Control Room'!$A$16+'Control Room'!$B$16,'Process'!BN5=1),1+('Control Room'!$C$16-1)*EXP(-0.5*(($A594-'Control Room'!$A$16-('Control Room'!$B$16-1)/2)/MAX(0.5,'Control Room'!$B$16/4))^2),1)</x:f>
        <x:v>1</x:v>
      </x:c>
      <x:c r="V594" s="9" t="n">
        <x:f>MOD(W593*16807,2147483647)</x:f>
        <x:v>1693262908</x:v>
      </x:c>
      <x:c r="W594" s="9" t="n">
        <x:f>MOD(V594*16807,2147483647)</x:f>
        <x:v>216404712</x:v>
      </x:c>
      <x:c r="X594" s="17" t="n">
        <x:f>IF('Control Room'!$B$5="Normal",'Control Room'!$B$7+'Control Room'!$D$7*SQRT(-2*LN(MAX(0.000000000001,V594/2147483647)))*COS(2*PI()*W594/2147483647),'Control Room'!$B$8+('Control Room'!$D$8-'Control Room'!$B$8)*V594/2147483647)</x:f>
        <x:v>1050.0192766027171</x:v>
      </x:c>
      <x:c r="Y594" s="17" t="n">
        <x:f>IF('Control Room'!$B$5="Normal",'Control Room'!$B$7,('Control Room'!$B$8+'Control Room'!$D$8)/2)+'Control Room'!$B$9*(Y593-IF('Control Room'!$B$5="Normal",'Control Room'!$B$7,('Control Room'!$B$8+'Control Room'!$D$8)/2))+SQRT(1-'Control Room'!$B$9^2)*(X594-IF('Control Room'!$B$5="Normal",'Control Room'!$B$7,('Control Room'!$B$8+'Control Room'!$D$8)/2))</x:f>
        <x:v>1100.6081904677515</x:v>
      </x:c>
      <x:c r="Z594" s="17" t="n">
        <x:f>IF(AND($A594&gt;='Control Room'!$A$13,$A594&lt;'Control Room'!$A$13+'Control Room'!$B$13,'Process'!BO2=1),1+('Control Room'!$C$13-1)*EXP(-0.5*(($A594-'Control Room'!$A$13-('Control Room'!$B$13-1)/2)/MAX(0.5,'Control Room'!$B$13/4))^2),1)*IF(AND($A594&gt;='Control Room'!$A$14,$A594&lt;'Control Room'!$A$14+'Control Room'!$B$14,'Process'!BO3=1),1+('Control Room'!$C$14-1)*EXP(-0.5*(($A594-'Control Room'!$A$14-('Control Room'!$B$14-1)/2)/MAX(0.5,'Control Room'!$B$14/4))^2),1)*IF(AND($A594&gt;='Control Room'!$A$15,$A594&lt;'Control Room'!$A$15+'Control Room'!$B$15,'Process'!BO4=1),1+('Control Room'!$C$15-1)*EXP(-0.5*(($A594-'Control Room'!$A$15-('Control Room'!$B$15-1)/2)/MAX(0.5,'Control Room'!$B$15/4))^2),1)*IF(AND($A594&gt;='Control Room'!$A$16,$A594&lt;'Control Room'!$A$16+'Control Room'!$B$16,'Process'!BO5=1),1+('Control Room'!$C$16-1)*EXP(-0.5*(($A594-'Control Room'!$A$16-('Control Room'!$B$16-1)/2)/MAX(0.5,'Control Room'!$B$16/4))^2),1)</x:f>
        <x:v>1</x:v>
      </x:c>
      <x:c r="AA594" s="9" t="n">
        <x:f>MOD(AB593*16807,2147483647)</x:f>
        <x:v>1379799005</x:v>
      </x:c>
      <x:c r="AB594" s="9" t="n">
        <x:f>MOD(AA594*16807,2147483647)</x:f>
        <x:v>1753456729</x:v>
      </x:c>
      <x:c r="AC594" s="17" t="n">
        <x:f>IF('Control Room'!$B$5="Normal",'Control Room'!$B$7+'Control Room'!$D$7*SQRT(-2*LN(MAX(0.000000000001,AA594/2147483647)))*COS(2*PI()*AB594/2147483647),'Control Room'!$B$8+('Control Room'!$D$8-'Control Room'!$B$8)*AA594/2147483647)</x:f>
        <x:v>1034.3588996393644</x:v>
      </x:c>
      <x:c r="AD594" s="17" t="n">
        <x:f>IF('Control Room'!$B$5="Normal",'Control Room'!$B$7,('Control Room'!$B$8+'Control Room'!$D$8)/2)+'Control Room'!$B$9*(AD593-IF('Control Room'!$B$5="Normal",'Control Room'!$B$7,('Control Room'!$B$8+'Control Room'!$D$8)/2))+SQRT(1-'Control Room'!$B$9^2)*(AC594-IF('Control Room'!$B$5="Normal",'Control Room'!$B$7,('Control Room'!$B$8+'Control Room'!$D$8)/2))</x:f>
        <x:v>980.3619495007864</x:v>
      </x:c>
      <x:c r="AE594" s="17" t="n">
        <x:f>IF(AND($A594&gt;='Control Room'!$A$13,$A594&lt;'Control Room'!$A$13+'Control Room'!$B$13,'Process'!BP2=1),1+('Control Room'!$C$13-1)*EXP(-0.5*(($A594-'Control Room'!$A$13-('Control Room'!$B$13-1)/2)/MAX(0.5,'Control Room'!$B$13/4))^2),1)*IF(AND($A594&gt;='Control Room'!$A$14,$A594&lt;'Control Room'!$A$14+'Control Room'!$B$14,'Process'!BP3=1),1+('Control Room'!$C$14-1)*EXP(-0.5*(($A594-'Control Room'!$A$14-('Control Room'!$B$14-1)/2)/MAX(0.5,'Control Room'!$B$14/4))^2),1)*IF(AND($A594&gt;='Control Room'!$A$15,$A594&lt;'Control Room'!$A$15+'Control Room'!$B$15,'Process'!BP4=1),1+('Control Room'!$C$15-1)*EXP(-0.5*(($A594-'Control Room'!$A$15-('Control Room'!$B$15-1)/2)/MAX(0.5,'Control Room'!$B$15/4))^2),1)*IF(AND($A594&gt;='Control Room'!$A$16,$A594&lt;'Control Room'!$A$16+'Control Room'!$B$16,'Process'!BP5=1),1+('Control Room'!$C$16-1)*EXP(-0.5*(($A594-'Control Room'!$A$16-('Control Room'!$B$16-1)/2)/MAX(0.5,'Control Room'!$B$16/4))^2),1)</x:f>
        <x:v>1</x:v>
      </x:c>
      <x:c r="AF594" s="9" t="n">
        <x:f>MOD(AG593*16807,2147483647)</x:f>
        <x:v>1066335102</x:v>
      </x:c>
      <x:c r="AG594" s="9" t="n">
        <x:f>MOD(AF594*16807,2147483647)</x:f>
        <x:v>1143025099</x:v>
      </x:c>
      <x:c r="AH594" s="17" t="n">
        <x:f>IF('Control Room'!$B$5="Normal",'Control Room'!$B$7+'Control Room'!$D$7*SQRT(-2*LN(MAX(0.000000000001,AF594/2147483647)))*COS(2*PI()*AG594/2147483647),'Control Room'!$B$8+('Control Room'!$D$8-'Control Room'!$B$8)*AF594/2147483647)</x:f>
        <x:v>895.685861224175</x:v>
      </x:c>
      <x:c r="AI594" s="17" t="n">
        <x:f>IF('Control Room'!$B$5="Normal",'Control Room'!$B$7,('Control Room'!$B$8+'Control Room'!$D$8)/2)+'Control Room'!$B$9*(AI593-IF('Control Room'!$B$5="Normal",'Control Room'!$B$7,('Control Room'!$B$8+'Control Room'!$D$8)/2))+SQRT(1-'Control Room'!$B$9^2)*(AH594-IF('Control Room'!$B$5="Normal",'Control Room'!$B$7,('Control Room'!$B$8+'Control Room'!$D$8)/2))</x:f>
        <x:v>1058.1703162766273</x:v>
      </x:c>
      <x:c r="AJ594" s="17" t="n">
        <x:f>IF(AND($A594&gt;='Control Room'!$A$13,$A594&lt;'Control Room'!$A$13+'Control Room'!$B$13,'Process'!BQ2=1),1+('Control Room'!$C$13-1)*EXP(-0.5*(($A594-'Control Room'!$A$13-('Control Room'!$B$13-1)/2)/MAX(0.5,'Control Room'!$B$13/4))^2),1)*IF(AND($A594&gt;='Control Room'!$A$14,$A594&lt;'Control Room'!$A$14+'Control Room'!$B$14,'Process'!BQ3=1),1+('Control Room'!$C$14-1)*EXP(-0.5*(($A594-'Control Room'!$A$14-('Control Room'!$B$14-1)/2)/MAX(0.5,'Control Room'!$B$14/4))^2),1)*IF(AND($A594&gt;='Control Room'!$A$15,$A594&lt;'Control Room'!$A$15+'Control Room'!$B$15,'Process'!BQ4=1),1+('Control Room'!$C$15-1)*EXP(-0.5*(($A594-'Control Room'!$A$15-('Control Room'!$B$15-1)/2)/MAX(0.5,'Control Room'!$B$15/4))^2),1)*IF(AND($A594&gt;='Control Room'!$A$16,$A594&lt;'Control Room'!$A$16+'Control Room'!$B$16,'Process'!BQ5=1),1+('Control Room'!$C$16-1)*EXP(-0.5*(($A594-'Control Room'!$A$16-('Control Room'!$B$16-1)/2)/MAX(0.5,'Control Room'!$B$16/4))^2),1)</x:f>
        <x:v>1</x:v>
      </x:c>
      <x:c r="AK594" s="9" t="n">
        <x:f>MOD(AL593*16807,2147483647)</x:f>
        <x:v>752871199</x:v>
      </x:c>
      <x:c r="AL594" s="9" t="n">
        <x:f>MOD(AK594*16807,2147483647)</x:f>
        <x:v>532593469</x:v>
      </x:c>
      <x:c r="AM594" s="17" t="n">
        <x:f>IF('Control Room'!$B$5="Normal",'Control Room'!$B$7+'Control Room'!$D$7*SQRT(-2*LN(MAX(0.000000000001,AK594/2147483647)))*COS(2*PI()*AL594/2147483647),'Control Room'!$B$8+('Control Room'!$D$8-'Control Room'!$B$8)*AK594/2147483647)</x:f>
        <x:v>1001.6307738160783</x:v>
      </x:c>
      <x:c r="AN594" s="17" t="n">
        <x:f>IF('Control Room'!$B$5="Normal",'Control Room'!$B$7,('Control Room'!$B$8+'Control Room'!$D$8)/2)+'Control Room'!$B$9*(AN593-IF('Control Room'!$B$5="Normal",'Control Room'!$B$7,('Control Room'!$B$8+'Control Room'!$D$8)/2))+SQRT(1-'Control Room'!$B$9^2)*(AM594-IF('Control Room'!$B$5="Normal",'Control Room'!$B$7,('Control Room'!$B$8+'Control Room'!$D$8)/2))</x:f>
        <x:v>1028.195738216601</x:v>
      </x:c>
      <x:c r="AO594" s="17" t="n">
        <x:f>IF(AND($A594&gt;='Control Room'!$A$13,$A594&lt;'Control Room'!$A$13+'Control Room'!$B$13,'Process'!BR2=1),1+('Control Room'!$C$13-1)*EXP(-0.5*(($A594-'Control Room'!$A$13-('Control Room'!$B$13-1)/2)/MAX(0.5,'Control Room'!$B$13/4))^2),1)*IF(AND($A594&gt;='Control Room'!$A$14,$A594&lt;'Control Room'!$A$14+'Control Room'!$B$14,'Process'!BR3=1),1+('Control Room'!$C$14-1)*EXP(-0.5*(($A594-'Control Room'!$A$14-('Control Room'!$B$14-1)/2)/MAX(0.5,'Control Room'!$B$14/4))^2),1)*IF(AND($A594&gt;='Control Room'!$A$15,$A594&lt;'Control Room'!$A$15+'Control Room'!$B$15,'Process'!BR4=1),1+('Control Room'!$C$15-1)*EXP(-0.5*(($A594-'Control Room'!$A$15-('Control Room'!$B$15-1)/2)/MAX(0.5,'Control Room'!$B$15/4))^2),1)*IF(AND($A594&gt;='Control Room'!$A$16,$A594&lt;'Control Room'!$A$16+'Control Room'!$B$16,'Process'!BR5=1),1+('Control Room'!$C$16-1)*EXP(-0.5*(($A594-'Control Room'!$A$16-('Control Room'!$B$16-1)/2)/MAX(0.5,'Control Room'!$B$16/4))^2),1)</x:f>
        <x:v>1</x:v>
      </x:c>
      <x:c r="AP594" s="9" t="n">
        <x:f>MOD(AQ593*16807,2147483647)</x:f>
        <x:v>439407296</x:v>
      </x:c>
      <x:c r="AQ594" s="9" t="n">
        <x:f>MOD(AP594*16807,2147483647)</x:f>
        <x:v>2069645486</x:v>
      </x:c>
      <x:c r="AR594" s="17" t="n">
        <x:f>IF('Control Room'!$B$5="Normal",'Control Room'!$B$7+'Control Room'!$D$7*SQRT(-2*LN(MAX(0.000000000001,AP594/2147483647)))*COS(2*PI()*AQ594/2147483647),'Control Room'!$B$8+('Control Room'!$D$8-'Control Room'!$B$8)*AP594/2147483647)</x:f>
        <x:v>1156.1828502731944</x:v>
      </x:c>
      <x:c r="AS594" s="17" t="n">
        <x:f>IF('Control Room'!$B$5="Normal",'Control Room'!$B$7,('Control Room'!$B$8+'Control Room'!$D$8)/2)+'Control Room'!$B$9*(AS593-IF('Control Room'!$B$5="Normal",'Control Room'!$B$7,('Control Room'!$B$8+'Control Room'!$D$8)/2))+SQRT(1-'Control Room'!$B$9^2)*(AR594-IF('Control Room'!$B$5="Normal",'Control Room'!$B$7,('Control Room'!$B$8+'Control Room'!$D$8)/2))</x:f>
        <x:v>1090.4813382491361</x:v>
      </x:c>
      <x:c r="AT594" s="17" t="n">
        <x:f>IF(AND($A594&gt;='Control Room'!$A$13,$A594&lt;'Control Room'!$A$13+'Control Room'!$B$13,'Process'!BS2=1),1+('Control Room'!$C$13-1)*EXP(-0.5*(($A594-'Control Room'!$A$13-('Control Room'!$B$13-1)/2)/MAX(0.5,'Control Room'!$B$13/4))^2),1)*IF(AND($A594&gt;='Control Room'!$A$14,$A594&lt;'Control Room'!$A$14+'Control Room'!$B$14,'Process'!BS3=1),1+('Control Room'!$C$14-1)*EXP(-0.5*(($A594-'Control Room'!$A$14-('Control Room'!$B$14-1)/2)/MAX(0.5,'Control Room'!$B$14/4))^2),1)*IF(AND($A594&gt;='Control Room'!$A$15,$A594&lt;'Control Room'!$A$15+'Control Room'!$B$15,'Process'!BS4=1),1+('Control Room'!$C$15-1)*EXP(-0.5*(($A594-'Control Room'!$A$15-('Control Room'!$B$15-1)/2)/MAX(0.5,'Control Room'!$B$15/4))^2),1)*IF(AND($A594&gt;='Control Room'!$A$16,$A594&lt;'Control Room'!$A$16+'Control Room'!$B$16,'Process'!BS5=1),1+('Control Room'!$C$16-1)*EXP(-0.5*(($A594-'Control Room'!$A$16-('Control Room'!$B$16-1)/2)/MAX(0.5,'Control Room'!$B$16/4))^2),1)</x:f>
        <x:v>1</x:v>
      </x:c>
      <x:c r="AU594" s="9" t="n">
        <x:f>MOD(AV593*16807,2147483647)</x:f>
        <x:v>125943393</x:v>
      </x:c>
      <x:c r="AV594" s="9" t="n">
        <x:f>MOD(AU594*16807,2147483647)</x:f>
        <x:v>1459213856</x:v>
      </x:c>
      <x:c r="AW594" s="17" t="n">
        <x:f>IF('Control Room'!$B$5="Normal",'Control Room'!$B$7+'Control Room'!$D$7*SQRT(-2*LN(MAX(0.000000000001,AU594/2147483647)))*COS(2*PI()*AV594/2147483647),'Control Room'!$B$8+('Control Room'!$D$8-'Control Room'!$B$8)*AU594/2147483647)</x:f>
        <x:v>908.1237896969169</x:v>
      </x:c>
      <x:c r="AX594" s="17" t="n">
        <x:f>IF('Control Room'!$B$5="Normal",'Control Room'!$B$7,('Control Room'!$B$8+'Control Room'!$D$8)/2)+'Control Room'!$B$9*(AX593-IF('Control Room'!$B$5="Normal",'Control Room'!$B$7,('Control Room'!$B$8+'Control Room'!$D$8)/2))+SQRT(1-'Control Room'!$B$9^2)*(AW594-IF('Control Room'!$B$5="Normal",'Control Room'!$B$7,('Control Room'!$B$8+'Control Room'!$D$8)/2))</x:f>
        <x:v>851.437031818056</x:v>
      </x:c>
      <x:c r="AY594" s="17" t="n">
        <x:f>IF(AND($A594&gt;='Control Room'!$A$13,$A594&lt;'Control Room'!$A$13+'Control Room'!$B$13,'Process'!BT2=1),1+('Control Room'!$C$13-1)*EXP(-0.5*(($A594-'Control Room'!$A$13-('Control Room'!$B$13-1)/2)/MAX(0.5,'Control Room'!$B$13/4))^2),1)*IF(AND($A594&gt;='Control Room'!$A$14,$A594&lt;'Control Room'!$A$14+'Control Room'!$B$14,'Process'!BT3=1),1+('Control Room'!$C$14-1)*EXP(-0.5*(($A594-'Control Room'!$A$14-('Control Room'!$B$14-1)/2)/MAX(0.5,'Control Room'!$B$14/4))^2),1)*IF(AND($A594&gt;='Control Room'!$A$15,$A594&lt;'Control Room'!$A$15+'Control Room'!$B$15,'Process'!BT4=1),1+('Control Room'!$C$15-1)*EXP(-0.5*(($A594-'Control Room'!$A$15-('Control Room'!$B$15-1)/2)/MAX(0.5,'Control Room'!$B$15/4))^2),1)*IF(AND($A594&gt;='Control Room'!$A$16,$A594&lt;'Control Room'!$A$16+'Control Room'!$B$16,'Process'!BT5=1),1+('Control Room'!$C$16-1)*EXP(-0.5*(($A594-'Control Room'!$A$16-('Control Room'!$B$16-1)/2)/MAX(0.5,'Control Room'!$B$16/4))^2),1)</x:f>
        <x:v>1</x:v>
      </x:c>
      <x:c r="AZ594" s="9" t="n">
        <x:f>MOD(BA593*16807,2147483647)</x:f>
        <x:v>1959963137</x:v>
      </x:c>
      <x:c r="BA594" s="9" t="n">
        <x:f>MOD(AZ594*16807,2147483647)</x:f>
        <x:v>848782226</x:v>
      </x:c>
      <x:c r="BB594" s="17" t="n">
        <x:f>IF('Control Room'!$B$5="Normal",'Control Room'!$B$7+'Control Room'!$D$7*SQRT(-2*LN(MAX(0.000000000001,AZ594/2147483647)))*COS(2*PI()*BA594/2147483647),'Control Room'!$B$8+('Control Room'!$D$8-'Control Room'!$B$8)*AZ594/2147483647)</x:f>
        <x:v>969.5636882308863</x:v>
      </x:c>
      <x:c r="BC594" s="17" t="n">
        <x:f>IF('Control Room'!$B$5="Normal",'Control Room'!$B$7,('Control Room'!$B$8+'Control Room'!$D$8)/2)+'Control Room'!$B$9*(BC593-IF('Control Room'!$B$5="Normal",'Control Room'!$B$7,('Control Room'!$B$8+'Control Room'!$D$8)/2))+SQRT(1-'Control Room'!$B$9^2)*(BB594-IF('Control Room'!$B$5="Normal",'Control Room'!$B$7,('Control Room'!$B$8+'Control Room'!$D$8)/2))</x:f>
        <x:v>1069.031095282412</x:v>
      </x:c>
      <x:c r="BD594" s="17" t="n">
        <x:f>IF(AND($A594&gt;='Control Room'!$A$13,$A594&lt;'Control Room'!$A$13+'Control Room'!$B$13,'Process'!BU2=1),1+('Control Room'!$C$13-1)*EXP(-0.5*(($A594-'Control Room'!$A$13-('Control Room'!$B$13-1)/2)/MAX(0.5,'Control Room'!$B$13/4))^2),1)*IF(AND($A594&gt;='Control Room'!$A$14,$A594&lt;'Control Room'!$A$14+'Control Room'!$B$14,'Process'!BU3=1),1+('Control Room'!$C$14-1)*EXP(-0.5*(($A594-'Control Room'!$A$14-('Control Room'!$B$14-1)/2)/MAX(0.5,'Control Room'!$B$14/4))^2),1)*IF(AND($A594&gt;='Control Room'!$A$15,$A594&lt;'Control Room'!$A$15+'Control Room'!$B$15,'Process'!BU4=1),1+('Control Room'!$C$15-1)*EXP(-0.5*(($A594-'Control Room'!$A$15-('Control Room'!$B$15-1)/2)/MAX(0.5,'Control Room'!$B$15/4))^2),1)*IF(AND($A594&gt;='Control Room'!$A$16,$A594&lt;'Control Room'!$A$16+'Control Room'!$B$16,'Process'!BU5=1),1+('Control Room'!$C$16-1)*EXP(-0.5*(($A594-'Control Room'!$A$16-('Control Room'!$B$16-1)/2)/MAX(0.5,'Control Room'!$B$16/4))^2),1)</x:f>
        <x:v>1</x:v>
      </x:c>
      <x:c r="BE594" s="9" t="n">
        <x:f>MOD(BF593*16807,2147483647)</x:f>
        <x:v>1646499234</x:v>
      </x:c>
      <x:c r="BF594" s="9" t="n">
        <x:f>MOD(BE594*16807,2147483647)</x:f>
        <x:v>238350596</x:v>
      </x:c>
      <x:c r="BG594" s="17" t="n">
        <x:f>IF('Control Room'!$B$5="Normal",'Control Room'!$B$7+'Control Room'!$D$7*SQRT(-2*LN(MAX(0.000000000001,BE594/2147483647)))*COS(2*PI()*BF594/2147483647),'Control Room'!$B$8+('Control Room'!$D$8-'Control Room'!$B$8)*BE594/2147483647)</x:f>
        <x:v>1050.2849755783168</x:v>
      </x:c>
      <x:c r="BH594" s="17" t="n">
        <x:f>IF('Control Room'!$B$5="Normal",'Control Room'!$B$7,('Control Room'!$B$8+'Control Room'!$D$8)/2)+'Control Room'!$B$9*(BH593-IF('Control Room'!$B$5="Normal",'Control Room'!$B$7,('Control Room'!$B$8+'Control Room'!$D$8)/2))+SQRT(1-'Control Room'!$B$9^2)*(BG594-IF('Control Room'!$B$5="Normal",'Control Room'!$B$7,('Control Room'!$B$8+'Control Room'!$D$8)/2))</x:f>
        <x:v>1004.6661736993698</x:v>
      </x:c>
      <x:c r="BI594" s="17" t="n">
        <x:f>IF(AND($A594&gt;='Control Room'!$A$13,$A594&lt;'Control Room'!$A$13+'Control Room'!$B$13,'Process'!BV2=1),1+('Control Room'!$C$13-1)*EXP(-0.5*(($A594-'Control Room'!$A$13-('Control Room'!$B$13-1)/2)/MAX(0.5,'Control Room'!$B$13/4))^2),1)*IF(AND($A594&gt;='Control Room'!$A$14,$A594&lt;'Control Room'!$A$14+'Control Room'!$B$14,'Process'!BV3=1),1+('Control Room'!$C$14-1)*EXP(-0.5*(($A594-'Control Room'!$A$14-('Control Room'!$B$14-1)/2)/MAX(0.5,'Control Room'!$B$14/4))^2),1)*IF(AND($A594&gt;='Control Room'!$A$15,$A594&lt;'Control Room'!$A$15+'Control Room'!$B$15,'Process'!BV4=1),1+('Control Room'!$C$15-1)*EXP(-0.5*(($A594-'Control Room'!$A$15-('Control Room'!$B$15-1)/2)/MAX(0.5,'Control Room'!$B$15/4))^2),1)*IF(AND($A594&gt;='Control Room'!$A$16,$A594&lt;'Control Room'!$A$16+'Control Room'!$B$16,'Process'!BV5=1),1+('Control Room'!$C$16-1)*EXP(-0.5*(($A594-'Control Room'!$A$16-('Control Room'!$B$16-1)/2)/MAX(0.5,'Control Room'!$B$16/4))^2),1)</x:f>
        <x:v>1</x:v>
      </x:c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Z594" t="str">
        <x:f>IF('Data'!A594="","",TEXT('Data'!A594,"mm-dd"))</x:f>
      </x:c>
    </x:row>
    <x:row r="595" ht="21" customHeight="1">
      <x:c r="A595" s="15" t="n">
        <x:f>'Control Room'!$B$1+593</x:f>
        <x:v>73584</x:v>
      </x:c>
      <x:c r="B595" s="9" t="n">
        <x:f>MOD(C594*16807,2147483647)</x:f>
        <x:v>1109307683</x:v>
      </x:c>
      <x:c r="C595" s="9" t="n">
        <x:f>MOD(B595*16807,2147483647)</x:f>
        <x:v>1828688574</x:v>
      </x:c>
      <x:c r="D595" s="17" t="n">
        <x:f>IF('Control Room'!$B$5="Normal",'Control Room'!$B$7+'Control Room'!$D$7*SQRT(-2*LN(MAX(0.000000000001,B595/2147483647)))*COS(2*PI()*C595/2147483647),'Control Room'!$B$8+('Control Room'!$D$8-'Control Room'!$B$8)*B595/2147483647)</x:f>
        <x:v>1061.615932481456</x:v>
      </x:c>
      <x:c r="E595" s="17" t="n">
        <x:f>IF('Control Room'!$B$5="Normal",'Control Room'!$B$7,('Control Room'!$B$8+'Control Room'!$D$8)/2)+'Control Room'!$B$9*(E594-IF('Control Room'!$B$5="Normal",'Control Room'!$B$7,('Control Room'!$B$8+'Control Room'!$D$8)/2))+SQRT(1-'Control Room'!$B$9^2)*(D595-IF('Control Room'!$B$5="Normal",'Control Room'!$B$7,('Control Room'!$B$8+'Control Room'!$D$8)/2))</x:f>
        <x:v>1058.7382145210688</x:v>
      </x:c>
      <x:c r="F595" s="17" t="n">
        <x:f>IF(AND($A595&gt;='Control Room'!$A$13,$A595&lt;'Control Room'!$A$13+'Control Room'!$B$13,'Process'!BK2=1),1+('Control Room'!$C$13-1)*EXP(-0.5*(($A595-'Control Room'!$A$13-('Control Room'!$B$13-1)/2)/MAX(0.5,'Control Room'!$B$13/4))^2),1)*IF(AND($A595&gt;='Control Room'!$A$14,$A595&lt;'Control Room'!$A$14+'Control Room'!$B$14,'Process'!BK3=1),1+('Control Room'!$C$14-1)*EXP(-0.5*(($A595-'Control Room'!$A$14-('Control Room'!$B$14-1)/2)/MAX(0.5,'Control Room'!$B$14/4))^2),1)*IF(AND($A595&gt;='Control Room'!$A$15,$A595&lt;'Control Room'!$A$15+'Control Room'!$B$15,'Process'!BK4=1),1+('Control Room'!$C$15-1)*EXP(-0.5*(($A595-'Control Room'!$A$15-('Control Room'!$B$15-1)/2)/MAX(0.5,'Control Room'!$B$15/4))^2),1)*IF(AND($A595&gt;='Control Room'!$A$16,$A595&lt;'Control Room'!$A$16+'Control Room'!$B$16,'Process'!BK5=1),1+('Control Room'!$C$16-1)*EXP(-0.5*(($A595-'Control Room'!$A$16-('Control Room'!$B$16-1)/2)/MAX(0.5,'Control Room'!$B$16/4))^2),1)</x:f>
        <x:v>1</x:v>
      </x:c>
      <x:c r="G595" s="9" t="n">
        <x:f>MOD(H594*16807,2147483647)</x:f>
        <x:v>114283992</x:v>
      </x:c>
      <x:c r="H595" s="9" t="n">
        <x:f>MOD(G595*16807,2147483647)</x:f>
        <x:v>920673126</x:v>
      </x:c>
      <x:c r="I595" s="17" t="n">
        <x:f>IF('Control Room'!$B$5="Normal",'Control Room'!$B$7+'Control Room'!$D$7*SQRT(-2*LN(MAX(0.000000000001,G595/2147483647)))*COS(2*PI()*H595/2147483647),'Control Room'!$B$8+('Control Room'!$D$8-'Control Room'!$B$8)*G595/2147483647)</x:f>
        <x:v>803.5066795212052</x:v>
      </x:c>
      <x:c r="J595" s="17" t="n">
        <x:f>IF('Control Room'!$B$5="Normal",'Control Room'!$B$7,('Control Room'!$B$8+'Control Room'!$D$8)/2)+'Control Room'!$B$9*(J594-IF('Control Room'!$B$5="Normal",'Control Room'!$B$7,('Control Room'!$B$8+'Control Room'!$D$8)/2))+SQRT(1-'Control Room'!$B$9^2)*(I595-IF('Control Room'!$B$5="Normal",'Control Room'!$B$7,('Control Room'!$B$8+'Control Room'!$D$8)/2))</x:f>
        <x:v>920.4725058670698</x:v>
      </x:c>
      <x:c r="K595" s="17" t="n">
        <x:f>IF(AND($A595&gt;='Control Room'!$A$13,$A595&lt;'Control Room'!$A$13+'Control Room'!$B$13,'Process'!BL2=1),1+('Control Room'!$C$13-1)*EXP(-0.5*(($A595-'Control Room'!$A$13-('Control Room'!$B$13-1)/2)/MAX(0.5,'Control Room'!$B$13/4))^2),1)*IF(AND($A595&gt;='Control Room'!$A$14,$A595&lt;'Control Room'!$A$14+'Control Room'!$B$14,'Process'!BL3=1),1+('Control Room'!$C$14-1)*EXP(-0.5*(($A595-'Control Room'!$A$14-('Control Room'!$B$14-1)/2)/MAX(0.5,'Control Room'!$B$14/4))^2),1)*IF(AND($A595&gt;='Control Room'!$A$15,$A595&lt;'Control Room'!$A$15+'Control Room'!$B$15,'Process'!BL4=1),1+('Control Room'!$C$15-1)*EXP(-0.5*(($A595-'Control Room'!$A$15-('Control Room'!$B$15-1)/2)/MAX(0.5,'Control Room'!$B$15/4))^2),1)*IF(AND($A595&gt;='Control Room'!$A$16,$A595&lt;'Control Room'!$A$16+'Control Room'!$B$16,'Process'!BL5=1),1+('Control Room'!$C$16-1)*EXP(-0.5*(($A595-'Control Room'!$A$16-('Control Room'!$B$16-1)/2)/MAX(0.5,'Control Room'!$B$16/4))^2),1)</x:f>
        <x:v>1</x:v>
      </x:c>
      <x:c r="L595" s="9" t="n">
        <x:f>MOD(M594*16807,2147483647)</x:f>
        <x:v>1266743948</x:v>
      </x:c>
      <x:c r="M595" s="9" t="n">
        <x:f>MOD(L595*16807,2147483647)</x:f>
        <x:v>12657678</x:v>
      </x:c>
      <x:c r="N595" s="17" t="n">
        <x:f>IF('Control Room'!$B$5="Normal",'Control Room'!$B$7+'Control Room'!$D$7*SQRT(-2*LN(MAX(0.000000000001,L595/2147483647)))*COS(2*PI()*M595/2147483647),'Control Room'!$B$8+('Control Room'!$D$8-'Control Room'!$B$8)*L595/2147483647)</x:f>
        <x:v>1092.4088638386336</x:v>
      </x:c>
      <x:c r="O595" s="17" t="n">
        <x:f>IF('Control Room'!$B$5="Normal",'Control Room'!$B$7,('Control Room'!$B$8+'Control Room'!$D$8)/2)+'Control Room'!$B$9*(O594-IF('Control Room'!$B$5="Normal",'Control Room'!$B$7,('Control Room'!$B$8+'Control Room'!$D$8)/2))+SQRT(1-'Control Room'!$B$9^2)*(N595-IF('Control Room'!$B$5="Normal",'Control Room'!$B$7,('Control Room'!$B$8+'Control Room'!$D$8)/2))</x:f>
        <x:v>961.480471791337</x:v>
      </x:c>
      <x:c r="P595" s="17" t="n">
        <x:f>IF(AND($A595&gt;='Control Room'!$A$13,$A595&lt;'Control Room'!$A$13+'Control Room'!$B$13,'Process'!BM2=1),1+('Control Room'!$C$13-1)*EXP(-0.5*(($A595-'Control Room'!$A$13-('Control Room'!$B$13-1)/2)/MAX(0.5,'Control Room'!$B$13/4))^2),1)*IF(AND($A595&gt;='Control Room'!$A$14,$A595&lt;'Control Room'!$A$14+'Control Room'!$B$14,'Process'!BM3=1),1+('Control Room'!$C$14-1)*EXP(-0.5*(($A595-'Control Room'!$A$14-('Control Room'!$B$14-1)/2)/MAX(0.5,'Control Room'!$B$14/4))^2),1)*IF(AND($A595&gt;='Control Room'!$A$15,$A595&lt;'Control Room'!$A$15+'Control Room'!$B$15,'Process'!BM4=1),1+('Control Room'!$C$15-1)*EXP(-0.5*(($A595-'Control Room'!$A$15-('Control Room'!$B$15-1)/2)/MAX(0.5,'Control Room'!$B$15/4))^2),1)*IF(AND($A595&gt;='Control Room'!$A$16,$A595&lt;'Control Room'!$A$16+'Control Room'!$B$16,'Process'!BM5=1),1+('Control Room'!$C$16-1)*EXP(-0.5*(($A595-'Control Room'!$A$16-('Control Room'!$B$16-1)/2)/MAX(0.5,'Control Room'!$B$16/4))^2),1)</x:f>
        <x:v>1</x:v>
      </x:c>
      <x:c r="Q595" s="9" t="n">
        <x:f>MOD(R594*16807,2147483647)</x:f>
        <x:v>271720257</x:v>
      </x:c>
      <x:c r="R595" s="9" t="n">
        <x:f>MOD(Q595*16807,2147483647)</x:f>
        <x:v>1252125877</x:v>
      </x:c>
      <x:c r="S595" s="17" t="n">
        <x:f>IF('Control Room'!$B$5="Normal",'Control Room'!$B$7+'Control Room'!$D$7*SQRT(-2*LN(MAX(0.000000000001,Q595/2147483647)))*COS(2*PI()*R595/2147483647),'Control Room'!$B$8+('Control Room'!$D$8-'Control Room'!$B$8)*Q595/2147483647)</x:f>
        <x:v>841.3620185950654</x:v>
      </x:c>
      <x:c r="T595" s="17" t="n">
        <x:f>IF('Control Room'!$B$5="Normal",'Control Room'!$B$7,('Control Room'!$B$8+'Control Room'!$D$8)/2)+'Control Room'!$B$9*(T594-IF('Control Room'!$B$5="Normal",'Control Room'!$B$7,('Control Room'!$B$8+'Control Room'!$D$8)/2))+SQRT(1-'Control Room'!$B$9^2)*(S595-IF('Control Room'!$B$5="Normal",'Control Room'!$B$7,('Control Room'!$B$8+'Control Room'!$D$8)/2))</x:f>
        <x:v>858.4577952346116</x:v>
      </x:c>
      <x:c r="U595" s="17" t="n">
        <x:f>IF(AND($A595&gt;='Control Room'!$A$13,$A595&lt;'Control Room'!$A$13+'Control Room'!$B$13,'Process'!BN2=1),1+('Control Room'!$C$13-1)*EXP(-0.5*(($A595-'Control Room'!$A$13-('Control Room'!$B$13-1)/2)/MAX(0.5,'Control Room'!$B$13/4))^2),1)*IF(AND($A595&gt;='Control Room'!$A$14,$A595&lt;'Control Room'!$A$14+'Control Room'!$B$14,'Process'!BN3=1),1+('Control Room'!$C$14-1)*EXP(-0.5*(($A595-'Control Room'!$A$14-('Control Room'!$B$14-1)/2)/MAX(0.5,'Control Room'!$B$14/4))^2),1)*IF(AND($A595&gt;='Control Room'!$A$15,$A595&lt;'Control Room'!$A$15+'Control Room'!$B$15,'Process'!BN4=1),1+('Control Room'!$C$15-1)*EXP(-0.5*(($A595-'Control Room'!$A$15-('Control Room'!$B$15-1)/2)/MAX(0.5,'Control Room'!$B$15/4))^2),1)*IF(AND($A595&gt;='Control Room'!$A$16,$A595&lt;'Control Room'!$A$16+'Control Room'!$B$16,'Process'!BN5=1),1+('Control Room'!$C$16-1)*EXP(-0.5*(($A595-'Control Room'!$A$16-('Control Room'!$B$16-1)/2)/MAX(0.5,'Control Room'!$B$16/4))^2),1)</x:f>
        <x:v>1</x:v>
      </x:c>
      <x:c r="V595" s="9" t="n">
        <x:f>MOD(W594*16807,2147483647)</x:f>
        <x:v>1424180213</x:v>
      </x:c>
      <x:c r="W595" s="9" t="n">
        <x:f>MOD(V595*16807,2147483647)</x:f>
        <x:v>344110429</x:v>
      </x:c>
      <x:c r="X595" s="17" t="n">
        <x:f>IF('Control Room'!$B$5="Normal",'Control Room'!$B$7+'Control Room'!$D$7*SQRT(-2*LN(MAX(0.000000000001,V595/2147483647)))*COS(2*PI()*W595/2147483647),'Control Room'!$B$8+('Control Room'!$D$8-'Control Room'!$B$8)*V595/2147483647)</x:f>
        <x:v>1043.6029165269833</x:v>
      </x:c>
      <x:c r="Y595" s="17" t="n">
        <x:f>IF('Control Room'!$B$5="Normal",'Control Room'!$B$7,('Control Room'!$B$8+'Control Room'!$D$8)/2)+'Control Room'!$B$9*(Y594-IF('Control Room'!$B$5="Normal",'Control Room'!$B$7,('Control Room'!$B$8+'Control Room'!$D$8)/2))+SQRT(1-'Control Room'!$B$9^2)*(X595-IF('Control Room'!$B$5="Normal",'Control Room'!$B$7,('Control Room'!$B$8+'Control Room'!$D$8)/2))</x:f>
        <x:v>1105.7602004731345</x:v>
      </x:c>
      <x:c r="Z595" s="17" t="n">
        <x:f>IF(AND($A595&gt;='Control Room'!$A$13,$A595&lt;'Control Room'!$A$13+'Control Room'!$B$13,'Process'!BO2=1),1+('Control Room'!$C$13-1)*EXP(-0.5*(($A595-'Control Room'!$A$13-('Control Room'!$B$13-1)/2)/MAX(0.5,'Control Room'!$B$13/4))^2),1)*IF(AND($A595&gt;='Control Room'!$A$14,$A595&lt;'Control Room'!$A$14+'Control Room'!$B$14,'Process'!BO3=1),1+('Control Room'!$C$14-1)*EXP(-0.5*(($A595-'Control Room'!$A$14-('Control Room'!$B$14-1)/2)/MAX(0.5,'Control Room'!$B$14/4))^2),1)*IF(AND($A595&gt;='Control Room'!$A$15,$A595&lt;'Control Room'!$A$15+'Control Room'!$B$15,'Process'!BO4=1),1+('Control Room'!$C$15-1)*EXP(-0.5*(($A595-'Control Room'!$A$15-('Control Room'!$B$15-1)/2)/MAX(0.5,'Control Room'!$B$15/4))^2),1)*IF(AND($A595&gt;='Control Room'!$A$16,$A595&lt;'Control Room'!$A$16+'Control Room'!$B$16,'Process'!BO5=1),1+('Control Room'!$C$16-1)*EXP(-0.5*(($A595-'Control Room'!$A$16-('Control Room'!$B$16-1)/2)/MAX(0.5,'Control Room'!$B$16/4))^2),1)</x:f>
        <x:v>1</x:v>
      </x:c>
      <x:c r="AA595" s="9" t="n">
        <x:f>MOD(AB594*16807,2147483647)</x:f>
        <x:v>429156522</x:v>
      </x:c>
      <x:c r="AB595" s="9" t="n">
        <x:f>MOD(AA595*16807,2147483647)</x:f>
        <x:v>1583578628</x:v>
      </x:c>
      <x:c r="AC595" s="17" t="n">
        <x:f>IF('Control Room'!$B$5="Normal",'Control Room'!$B$7+'Control Room'!$D$7*SQRT(-2*LN(MAX(0.000000000001,AA595/2147483647)))*COS(2*PI()*AB595/2147483647),'Control Room'!$B$8+('Control Room'!$D$8-'Control Room'!$B$8)*AA595/2147483647)</x:f>
        <x:v>987.2382392905128</x:v>
      </x:c>
      <x:c r="AD595" s="17" t="n">
        <x:f>IF('Control Room'!$B$5="Normal",'Control Room'!$B$7,('Control Room'!$B$8+'Control Room'!$D$8)/2)+'Control Room'!$B$9*(AD594-IF('Control Room'!$B$5="Normal",'Control Room'!$B$7,('Control Room'!$B$8+'Control Room'!$D$8)/2))+SQRT(1-'Control Room'!$B$9^2)*(AC595-IF('Control Room'!$B$5="Normal",'Control Room'!$B$7,('Control Room'!$B$8+'Control Room'!$D$8)/2))</x:f>
        <x:v>976.6962721974949</x:v>
      </x:c>
      <x:c r="AE595" s="17" t="n">
        <x:f>IF(AND($A595&gt;='Control Room'!$A$13,$A595&lt;'Control Room'!$A$13+'Control Room'!$B$13,'Process'!BP2=1),1+('Control Room'!$C$13-1)*EXP(-0.5*(($A595-'Control Room'!$A$13-('Control Room'!$B$13-1)/2)/MAX(0.5,'Control Room'!$B$13/4))^2),1)*IF(AND($A595&gt;='Control Room'!$A$14,$A595&lt;'Control Room'!$A$14+'Control Room'!$B$14,'Process'!BP3=1),1+('Control Room'!$C$14-1)*EXP(-0.5*(($A595-'Control Room'!$A$14-('Control Room'!$B$14-1)/2)/MAX(0.5,'Control Room'!$B$14/4))^2),1)*IF(AND($A595&gt;='Control Room'!$A$15,$A595&lt;'Control Room'!$A$15+'Control Room'!$B$15,'Process'!BP4=1),1+('Control Room'!$C$15-1)*EXP(-0.5*(($A595-'Control Room'!$A$15-('Control Room'!$B$15-1)/2)/MAX(0.5,'Control Room'!$B$15/4))^2),1)*IF(AND($A595&gt;='Control Room'!$A$16,$A595&lt;'Control Room'!$A$16+'Control Room'!$B$16,'Process'!BP5=1),1+('Control Room'!$C$16-1)*EXP(-0.5*(($A595-'Control Room'!$A$16-('Control Room'!$B$16-1)/2)/MAX(0.5,'Control Room'!$B$16/4))^2),1)</x:f>
        <x:v>1</x:v>
      </x:c>
      <x:c r="AF595" s="9" t="n">
        <x:f>MOD(AG594*16807,2147483647)</x:f>
        <x:v>1581616478</x:v>
      </x:c>
      <x:c r="AG595" s="9" t="n">
        <x:f>MOD(AF595*16807,2147483647)</x:f>
        <x:v>675563180</x:v>
      </x:c>
      <x:c r="AH595" s="17" t="n">
        <x:f>IF('Control Room'!$B$5="Normal",'Control Room'!$B$7+'Control Room'!$D$7*SQRT(-2*LN(MAX(0.000000000001,AF595/2147483647)))*COS(2*PI()*AG595/2147483647),'Control Room'!$B$8+('Control Room'!$D$8-'Control Room'!$B$8)*AF595/2147483647)</x:f>
        <x:v>972.2138427775793</x:v>
      </x:c>
      <x:c r="AI595" s="17" t="n">
        <x:f>IF('Control Room'!$B$5="Normal",'Control Room'!$B$7,('Control Room'!$B$8+'Control Room'!$D$8)/2)+'Control Room'!$B$9*(AI594-IF('Control Room'!$B$5="Normal",'Control Room'!$B$7,('Control Room'!$B$8+'Control Room'!$D$8)/2))+SQRT(1-'Control Room'!$B$9^2)*(AH595-IF('Control Room'!$B$5="Normal",'Control Room'!$B$7,('Control Room'!$B$8+'Control Room'!$D$8)/2))</x:f>
        <x:v>1027.9848387363495</x:v>
      </x:c>
      <x:c r="AJ595" s="17" t="n">
        <x:f>IF(AND($A595&gt;='Control Room'!$A$13,$A595&lt;'Control Room'!$A$13+'Control Room'!$B$13,'Process'!BQ2=1),1+('Control Room'!$C$13-1)*EXP(-0.5*(($A595-'Control Room'!$A$13-('Control Room'!$B$13-1)/2)/MAX(0.5,'Control Room'!$B$13/4))^2),1)*IF(AND($A595&gt;='Control Room'!$A$14,$A595&lt;'Control Room'!$A$14+'Control Room'!$B$14,'Process'!BQ3=1),1+('Control Room'!$C$14-1)*EXP(-0.5*(($A595-'Control Room'!$A$14-('Control Room'!$B$14-1)/2)/MAX(0.5,'Control Room'!$B$14/4))^2),1)*IF(AND($A595&gt;='Control Room'!$A$15,$A595&lt;'Control Room'!$A$15+'Control Room'!$B$15,'Process'!BQ4=1),1+('Control Room'!$C$15-1)*EXP(-0.5*(($A595-'Control Room'!$A$15-('Control Room'!$B$15-1)/2)/MAX(0.5,'Control Room'!$B$15/4))^2),1)*IF(AND($A595&gt;='Control Room'!$A$16,$A595&lt;'Control Room'!$A$16+'Control Room'!$B$16,'Process'!BQ5=1),1+('Control Room'!$C$16-1)*EXP(-0.5*(($A595-'Control Room'!$A$16-('Control Room'!$B$16-1)/2)/MAX(0.5,'Control Room'!$B$16/4))^2),1)</x:f>
        <x:v>1</x:v>
      </x:c>
      <x:c r="AK595" s="9" t="n">
        <x:f>MOD(AL594*16807,2147483647)</x:f>
        <x:v>586592787</x:v>
      </x:c>
      <x:c r="AL595" s="9" t="n">
        <x:f>MOD(AK595*16807,2147483647)</x:f>
        <x:v>1915031379</x:v>
      </x:c>
      <x:c r="AM595" s="17" t="n">
        <x:f>IF('Control Room'!$B$5="Normal",'Control Room'!$B$7+'Control Room'!$D$7*SQRT(-2*LN(MAX(0.000000000001,AK595/2147483647)))*COS(2*PI()*AL595/2147483647),'Control Room'!$B$8+('Control Room'!$D$8-'Control Room'!$B$8)*AK595/2147483647)</x:f>
        <x:v>1112.7322136732328</x:v>
      </x:c>
      <x:c r="AN595" s="17" t="n">
        <x:f>IF('Control Room'!$B$5="Normal",'Control Room'!$B$7,('Control Room'!$B$8+'Control Room'!$D$8)/2)+'Control Room'!$B$9*(AN594-IF('Control Room'!$B$5="Normal",'Control Room'!$B$7,('Control Room'!$B$8+'Control Room'!$D$8)/2))+SQRT(1-'Control Room'!$B$9^2)*(AM595-IF('Control Room'!$B$5="Normal",'Control Room'!$B$7,('Control Room'!$B$8+'Control Room'!$D$8)/2))</x:f>
        <x:v>1092.5381856807312</x:v>
      </x:c>
      <x:c r="AO595" s="17" t="n">
        <x:f>IF(AND($A595&gt;='Control Room'!$A$13,$A595&lt;'Control Room'!$A$13+'Control Room'!$B$13,'Process'!BR2=1),1+('Control Room'!$C$13-1)*EXP(-0.5*(($A595-'Control Room'!$A$13-('Control Room'!$B$13-1)/2)/MAX(0.5,'Control Room'!$B$13/4))^2),1)*IF(AND($A595&gt;='Control Room'!$A$14,$A595&lt;'Control Room'!$A$14+'Control Room'!$B$14,'Process'!BR3=1),1+('Control Room'!$C$14-1)*EXP(-0.5*(($A595-'Control Room'!$A$14-('Control Room'!$B$14-1)/2)/MAX(0.5,'Control Room'!$B$14/4))^2),1)*IF(AND($A595&gt;='Control Room'!$A$15,$A595&lt;'Control Room'!$A$15+'Control Room'!$B$15,'Process'!BR4=1),1+('Control Room'!$C$15-1)*EXP(-0.5*(($A595-'Control Room'!$A$15-('Control Room'!$B$15-1)/2)/MAX(0.5,'Control Room'!$B$15/4))^2),1)*IF(AND($A595&gt;='Control Room'!$A$16,$A595&lt;'Control Room'!$A$16+'Control Room'!$B$16,'Process'!BR5=1),1+('Control Room'!$C$16-1)*EXP(-0.5*(($A595-'Control Room'!$A$16-('Control Room'!$B$16-1)/2)/MAX(0.5,'Control Room'!$B$16/4))^2),1)</x:f>
        <x:v>1</x:v>
      </x:c>
      <x:c r="AP595" s="9" t="n">
        <x:f>MOD(AQ594*16807,2147483647)</x:f>
        <x:v>1739052743</x:v>
      </x:c>
      <x:c r="AQ595" s="9" t="n">
        <x:f>MOD(AP595*16807,2147483647)</x:f>
        <x:v>1007015931</x:v>
      </x:c>
      <x:c r="AR595" s="17" t="n">
        <x:f>IF('Control Room'!$B$5="Normal",'Control Room'!$B$7+'Control Room'!$D$7*SQRT(-2*LN(MAX(0.000000000001,AP595/2147483647)))*COS(2*PI()*AQ595/2147483647),'Control Room'!$B$8+('Control Room'!$D$8-'Control Room'!$B$8)*AP595/2147483647)</x:f>
        <x:v>942.6512306644688</x:v>
      </x:c>
      <x:c r="AS595" s="17" t="n">
        <x:f>IF('Control Room'!$B$5="Normal",'Control Room'!$B$7,('Control Room'!$B$8+'Control Room'!$D$8)/2)+'Control Room'!$B$9*(AS594-IF('Control Room'!$B$5="Normal",'Control Room'!$B$7,('Control Room'!$B$8+'Control Room'!$D$8)/2))+SQRT(1-'Control Room'!$B$9^2)*(AR595-IF('Control Room'!$B$5="Normal",'Control Room'!$B$7,('Control Room'!$B$8+'Control Room'!$D$8)/2))</x:f>
        <x:v>1034.6877588375494</x:v>
      </x:c>
      <x:c r="AT595" s="17" t="n">
        <x:f>IF(AND($A595&gt;='Control Room'!$A$13,$A595&lt;'Control Room'!$A$13+'Control Room'!$B$13,'Process'!BS2=1),1+('Control Room'!$C$13-1)*EXP(-0.5*(($A595-'Control Room'!$A$13-('Control Room'!$B$13-1)/2)/MAX(0.5,'Control Room'!$B$13/4))^2),1)*IF(AND($A595&gt;='Control Room'!$A$14,$A595&lt;'Control Room'!$A$14+'Control Room'!$B$14,'Process'!BS3=1),1+('Control Room'!$C$14-1)*EXP(-0.5*(($A595-'Control Room'!$A$14-('Control Room'!$B$14-1)/2)/MAX(0.5,'Control Room'!$B$14/4))^2),1)*IF(AND($A595&gt;='Control Room'!$A$15,$A595&lt;'Control Room'!$A$15+'Control Room'!$B$15,'Process'!BS4=1),1+('Control Room'!$C$15-1)*EXP(-0.5*(($A595-'Control Room'!$A$15-('Control Room'!$B$15-1)/2)/MAX(0.5,'Control Room'!$B$15/4))^2),1)*IF(AND($A595&gt;='Control Room'!$A$16,$A595&lt;'Control Room'!$A$16+'Control Room'!$B$16,'Process'!BS5=1),1+('Control Room'!$C$16-1)*EXP(-0.5*(($A595-'Control Room'!$A$16-('Control Room'!$B$16-1)/2)/MAX(0.5,'Control Room'!$B$16/4))^2),1)</x:f>
        <x:v>1</x:v>
      </x:c>
      <x:c r="AU595" s="9" t="n">
        <x:f>MOD(AV594*16807,2147483647)</x:f>
        <x:v>744029052</x:v>
      </x:c>
      <x:c r="AV595" s="9" t="n">
        <x:f>MOD(AU595*16807,2147483647)</x:f>
        <x:v>99000483</x:v>
      </x:c>
      <x:c r="AW595" s="17" t="n">
        <x:f>IF('Control Room'!$B$5="Normal",'Control Room'!$B$7+'Control Room'!$D$7*SQRT(-2*LN(MAX(0.000000000001,AU595/2147483647)))*COS(2*PI()*AV595/2147483647),'Control Room'!$B$8+('Control Room'!$D$8-'Control Room'!$B$8)*AU595/2147483647)</x:f>
        <x:v>1125.5812749682618</x:v>
      </x:c>
      <x:c r="AX595" s="17" t="n">
        <x:f>IF('Control Room'!$B$5="Normal",'Control Room'!$B$7,('Control Room'!$B$8+'Control Room'!$D$8)/2)+'Control Room'!$B$9*(AX594-IF('Control Room'!$B$5="Normal",'Control Room'!$B$7,('Control Room'!$B$8+'Control Room'!$D$8)/2))+SQRT(1-'Control Room'!$B$9^2)*(AW595-IF('Control Room'!$B$5="Normal",'Control Room'!$B$7,('Control Room'!$B$8+'Control Room'!$D$8)/2))</x:f>
        <x:v>962.707074020967</x:v>
      </x:c>
      <x:c r="AY595" s="17" t="n">
        <x:f>IF(AND($A595&gt;='Control Room'!$A$13,$A595&lt;'Control Room'!$A$13+'Control Room'!$B$13,'Process'!BT2=1),1+('Control Room'!$C$13-1)*EXP(-0.5*(($A595-'Control Room'!$A$13-('Control Room'!$B$13-1)/2)/MAX(0.5,'Control Room'!$B$13/4))^2),1)*IF(AND($A595&gt;='Control Room'!$A$14,$A595&lt;'Control Room'!$A$14+'Control Room'!$B$14,'Process'!BT3=1),1+('Control Room'!$C$14-1)*EXP(-0.5*(($A595-'Control Room'!$A$14-('Control Room'!$B$14-1)/2)/MAX(0.5,'Control Room'!$B$14/4))^2),1)*IF(AND($A595&gt;='Control Room'!$A$15,$A595&lt;'Control Room'!$A$15+'Control Room'!$B$15,'Process'!BT4=1),1+('Control Room'!$C$15-1)*EXP(-0.5*(($A595-'Control Room'!$A$15-('Control Room'!$B$15-1)/2)/MAX(0.5,'Control Room'!$B$15/4))^2),1)*IF(AND($A595&gt;='Control Room'!$A$16,$A595&lt;'Control Room'!$A$16+'Control Room'!$B$16,'Process'!BT5=1),1+('Control Room'!$C$16-1)*EXP(-0.5*(($A595-'Control Room'!$A$16-('Control Room'!$B$16-1)/2)/MAX(0.5,'Control Room'!$B$16/4))^2),1)</x:f>
        <x:v>1</x:v>
      </x:c>
      <x:c r="AZ595" s="9" t="n">
        <x:f>MOD(BA594*16807,2147483647)</x:f>
        <x:v>1896489008</x:v>
      </x:c>
      <x:c r="BA595" s="9" t="n">
        <x:f>MOD(AZ595*16807,2147483647)</x:f>
        <x:v>1338468682</x:v>
      </x:c>
      <x:c r="BB595" s="17" t="n">
        <x:f>IF('Control Room'!$B$5="Normal",'Control Room'!$B$7+'Control Room'!$D$7*SQRT(-2*LN(MAX(0.000000000001,AZ595/2147483647)))*COS(2*PI()*BA595/2147483647),'Control Room'!$B$8+('Control Room'!$D$8-'Control Room'!$B$8)*AZ595/2147483647)</x:f>
        <x:v>967.9279605048717</x:v>
      </x:c>
      <x:c r="BC595" s="17" t="n">
        <x:f>IF('Control Room'!$B$5="Normal",'Control Room'!$B$7,('Control Room'!$B$8+'Control Room'!$D$8)/2)+'Control Room'!$B$9*(BC594-IF('Control Room'!$B$5="Normal",'Control Room'!$B$7,('Control Room'!$B$8+'Control Room'!$D$8)/2))+SQRT(1-'Control Room'!$B$9^2)*(BB595-IF('Control Room'!$B$5="Normal",'Control Room'!$B$7,('Control Room'!$B$8+'Control Room'!$D$8)/2))</x:f>
        <x:v>1033.774229035672</x:v>
      </x:c>
      <x:c r="BD595" s="17" t="n">
        <x:f>IF(AND($A595&gt;='Control Room'!$A$13,$A595&lt;'Control Room'!$A$13+'Control Room'!$B$13,'Process'!BU2=1),1+('Control Room'!$C$13-1)*EXP(-0.5*(($A595-'Control Room'!$A$13-('Control Room'!$B$13-1)/2)/MAX(0.5,'Control Room'!$B$13/4))^2),1)*IF(AND($A595&gt;='Control Room'!$A$14,$A595&lt;'Control Room'!$A$14+'Control Room'!$B$14,'Process'!BU3=1),1+('Control Room'!$C$14-1)*EXP(-0.5*(($A595-'Control Room'!$A$14-('Control Room'!$B$14-1)/2)/MAX(0.5,'Control Room'!$B$14/4))^2),1)*IF(AND($A595&gt;='Control Room'!$A$15,$A595&lt;'Control Room'!$A$15+'Control Room'!$B$15,'Process'!BU4=1),1+('Control Room'!$C$15-1)*EXP(-0.5*(($A595-'Control Room'!$A$15-('Control Room'!$B$15-1)/2)/MAX(0.5,'Control Room'!$B$15/4))^2),1)*IF(AND($A595&gt;='Control Room'!$A$16,$A595&lt;'Control Room'!$A$16+'Control Room'!$B$16,'Process'!BU5=1),1+('Control Room'!$C$16-1)*EXP(-0.5*(($A595-'Control Room'!$A$16-('Control Room'!$B$16-1)/2)/MAX(0.5,'Control Room'!$B$16/4))^2),1)</x:f>
        <x:v>1</x:v>
      </x:c>
      <x:c r="BE595" s="9" t="n">
        <x:f>MOD(BF594*16807,2147483647)</x:f>
        <x:v>901465317</x:v>
      </x:c>
      <x:c r="BF595" s="9" t="n">
        <x:f>MOD(BE595*16807,2147483647)</x:f>
        <x:v>430453234</x:v>
      </x:c>
      <x:c r="BG595" s="17" t="n">
        <x:f>IF('Control Room'!$B$5="Normal",'Control Room'!$B$7+'Control Room'!$D$7*SQRT(-2*LN(MAX(0.000000000001,BE595/2147483647)))*COS(2*PI()*BF595/2147483647),'Control Room'!$B$8+('Control Room'!$D$8-'Control Room'!$B$8)*BE595/2147483647)</x:f>
        <x:v>1036.3286122677132</x:v>
      </x:c>
      <x:c r="BH595" s="17" t="n">
        <x:f>IF('Control Room'!$B$5="Normal",'Control Room'!$B$7,('Control Room'!$B$8+'Control Room'!$D$8)/2)+'Control Room'!$B$9*(BH594-IF('Control Room'!$B$5="Normal",'Control Room'!$B$7,('Control Room'!$B$8+'Control Room'!$D$8)/2))+SQRT(1-'Control Room'!$B$9^2)*(BG595-IF('Control Room'!$B$5="Normal",'Control Room'!$B$7,('Control Room'!$B$8+'Control Room'!$D$8)/2))</x:f>
        <x:v>1026.3733168105684</x:v>
      </x:c>
      <x:c r="BI595" s="17" t="n">
        <x:f>IF(AND($A595&gt;='Control Room'!$A$13,$A595&lt;'Control Room'!$A$13+'Control Room'!$B$13,'Process'!BV2=1),1+('Control Room'!$C$13-1)*EXP(-0.5*(($A595-'Control Room'!$A$13-('Control Room'!$B$13-1)/2)/MAX(0.5,'Control Room'!$B$13/4))^2),1)*IF(AND($A595&gt;='Control Room'!$A$14,$A595&lt;'Control Room'!$A$14+'Control Room'!$B$14,'Process'!BV3=1),1+('Control Room'!$C$14-1)*EXP(-0.5*(($A595-'Control Room'!$A$14-('Control Room'!$B$14-1)/2)/MAX(0.5,'Control Room'!$B$14/4))^2),1)*IF(AND($A595&gt;='Control Room'!$A$15,$A595&lt;'Control Room'!$A$15+'Control Room'!$B$15,'Process'!BV4=1),1+('Control Room'!$C$15-1)*EXP(-0.5*(($A595-'Control Room'!$A$15-('Control Room'!$B$15-1)/2)/MAX(0.5,'Control Room'!$B$15/4))^2),1)*IF(AND($A595&gt;='Control Room'!$A$16,$A595&lt;'Control Room'!$A$16+'Control Room'!$B$16,'Process'!BV5=1),1+('Control Room'!$C$16-1)*EXP(-0.5*(($A595-'Control Room'!$A$16-('Control Room'!$B$16-1)/2)/MAX(0.5,'Control Room'!$B$16/4))^2),1)</x:f>
        <x:v>1</x:v>
      </x:c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Z595" t="str">
        <x:f>IF('Data'!A595="","",TEXT('Data'!A595,"mm-dd"))</x:f>
      </x:c>
    </x:row>
    <x:row r="596" ht="21" customHeight="1">
      <x:c r="A596" s="15" t="n">
        <x:f>'Control Room'!$B$1+594</x:f>
        <x:v>73585</x:v>
      </x:c>
      <x:c r="B596" s="9" t="n">
        <x:f>MOD(C595*16807,2147483647)</x:f>
        <x:v>2130391001</x:v>
      </x:c>
      <x:c r="C596" s="9" t="n">
        <x:f>MOD(B596*16807,2147483647)</x:f>
        <x:v>486707376</x:v>
      </x:c>
      <x:c r="D596" s="17" t="n">
        <x:f>IF('Control Room'!$B$5="Normal",'Control Room'!$B$7+'Control Room'!$D$7*SQRT(-2*LN(MAX(0.000000000001,B596/2147483647)))*COS(2*PI()*C596/2147483647),'Control Room'!$B$8+('Control Room'!$D$8-'Control Room'!$B$8)*B596/2147483647)</x:f>
        <x:v>1001.6639569164766</x:v>
      </x:c>
      <x:c r="E596" s="17" t="n">
        <x:f>IF('Control Room'!$B$5="Normal",'Control Room'!$B$7,('Control Room'!$B$8+'Control Room'!$D$8)/2)+'Control Room'!$B$9*(E595-IF('Control Room'!$B$5="Normal",'Control Room'!$B$7,('Control Room'!$B$8+'Control Room'!$D$8)/2))+SQRT(1-'Control Room'!$B$9^2)*(D596-IF('Control Room'!$B$5="Normal",'Control Room'!$B$7,('Control Room'!$B$8+'Control Room'!$D$8)/2))</x:f>
        <x:v>1046.8570774767545</x:v>
      </x:c>
      <x:c r="F596" s="17" t="n">
        <x:f>IF(AND($A596&gt;='Control Room'!$A$13,$A596&lt;'Control Room'!$A$13+'Control Room'!$B$13,'Process'!BK2=1),1+('Control Room'!$C$13-1)*EXP(-0.5*(($A596-'Control Room'!$A$13-('Control Room'!$B$13-1)/2)/MAX(0.5,'Control Room'!$B$13/4))^2),1)*IF(AND($A596&gt;='Control Room'!$A$14,$A596&lt;'Control Room'!$A$14+'Control Room'!$B$14,'Process'!BK3=1),1+('Control Room'!$C$14-1)*EXP(-0.5*(($A596-'Control Room'!$A$14-('Control Room'!$B$14-1)/2)/MAX(0.5,'Control Room'!$B$14/4))^2),1)*IF(AND($A596&gt;='Control Room'!$A$15,$A596&lt;'Control Room'!$A$15+'Control Room'!$B$15,'Process'!BK4=1),1+('Control Room'!$C$15-1)*EXP(-0.5*(($A596-'Control Room'!$A$15-('Control Room'!$B$15-1)/2)/MAX(0.5,'Control Room'!$B$15/4))^2),1)*IF(AND($A596&gt;='Control Room'!$A$16,$A596&lt;'Control Room'!$A$16+'Control Room'!$B$16,'Process'!BK5=1),1+('Control Room'!$C$16-1)*EXP(-0.5*(($A596-'Control Room'!$A$16-('Control Room'!$B$16-1)/2)/MAX(0.5,'Control Room'!$B$16/4))^2),1)</x:f>
        <x:v>1</x:v>
      </x:c>
      <x:c r="G596" s="9" t="n">
        <x:f>MOD(H595*16807,2147483647)</x:f>
        <x:v>1133552047</x:v>
      </x:c>
      <x:c r="H596" s="9" t="n">
        <x:f>MOD(G596*16807,2147483647)</x:f>
        <x:v>1281821392</x:v>
      </x:c>
      <x:c r="I596" s="17" t="n">
        <x:f>IF('Control Room'!$B$5="Normal",'Control Room'!$B$7+'Control Room'!$D$7*SQRT(-2*LN(MAX(0.000000000001,G596/2147483647)))*COS(2*PI()*H596/2147483647),'Control Room'!$B$8+('Control Room'!$D$8-'Control Room'!$B$8)*G596/2147483647)</x:f>
        <x:v>916.5402838505454</x:v>
      </x:c>
      <x:c r="J596" s="17" t="n">
        <x:f>IF('Control Room'!$B$5="Normal",'Control Room'!$B$7,('Control Room'!$B$8+'Control Room'!$D$8)/2)+'Control Room'!$B$9*(J595-IF('Control Room'!$B$5="Normal",'Control Room'!$B$7,('Control Room'!$B$8+'Control Room'!$D$8)/2))+SQRT(1-'Control Room'!$B$9^2)*(I596-IF('Control Room'!$B$5="Normal",'Control Room'!$B$7,('Control Room'!$B$8+'Control Room'!$D$8)/2))</x:f>
        <x:v>885.7411739752051</x:v>
      </x:c>
      <x:c r="K596" s="17" t="n">
        <x:f>IF(AND($A596&gt;='Control Room'!$A$13,$A596&lt;'Control Room'!$A$13+'Control Room'!$B$13,'Process'!BL2=1),1+('Control Room'!$C$13-1)*EXP(-0.5*(($A596-'Control Room'!$A$13-('Control Room'!$B$13-1)/2)/MAX(0.5,'Control Room'!$B$13/4))^2),1)*IF(AND($A596&gt;='Control Room'!$A$14,$A596&lt;'Control Room'!$A$14+'Control Room'!$B$14,'Process'!BL3=1),1+('Control Room'!$C$14-1)*EXP(-0.5*(($A596-'Control Room'!$A$14-('Control Room'!$B$14-1)/2)/MAX(0.5,'Control Room'!$B$14/4))^2),1)*IF(AND($A596&gt;='Control Room'!$A$15,$A596&lt;'Control Room'!$A$15+'Control Room'!$B$15,'Process'!BL4=1),1+('Control Room'!$C$15-1)*EXP(-0.5*(($A596-'Control Room'!$A$15-('Control Room'!$B$15-1)/2)/MAX(0.5,'Control Room'!$B$15/4))^2),1)*IF(AND($A596&gt;='Control Room'!$A$16,$A596&lt;'Control Room'!$A$16+'Control Room'!$B$16,'Process'!BL5=1),1+('Control Room'!$C$16-1)*EXP(-0.5*(($A596-'Control Room'!$A$16-('Control Room'!$B$16-1)/2)/MAX(0.5,'Control Room'!$B$16/4))^2),1)</x:f>
        <x:v>1</x:v>
      </x:c>
      <x:c r="L596" s="9" t="n">
        <x:f>MOD(M595*16807,2147483647)</x:f>
        <x:v>136713093</x:v>
      </x:c>
      <x:c r="M596" s="9" t="n">
        <x:f>MOD(L596*16807,2147483647)</x:f>
        <x:v>2076935408</x:v>
      </x:c>
      <x:c r="N596" s="17" t="n">
        <x:f>IF('Control Room'!$B$5="Normal",'Control Room'!$B$7+'Control Room'!$D$7*SQRT(-2*LN(MAX(0.000000000001,L596/2147483647)))*COS(2*PI()*M596/2147483647),'Control Room'!$B$8+('Control Room'!$D$8-'Control Room'!$B$8)*L596/2147483647)</x:f>
        <x:v>1206.7447169118645</x:v>
      </x:c>
      <x:c r="O596" s="17" t="n">
        <x:f>IF('Control Room'!$B$5="Normal",'Control Room'!$B$7,('Control Room'!$B$8+'Control Room'!$D$8)/2)+'Control Room'!$B$9*(O595-IF('Control Room'!$B$5="Normal",'Control Room'!$B$7,('Control Room'!$B$8+'Control Room'!$D$8)/2))+SQRT(1-'Control Room'!$B$9^2)*(N596-IF('Control Room'!$B$5="Normal",'Control Room'!$B$7,('Control Room'!$B$8+'Control Room'!$D$8)/2))</x:f>
        <x:v>1099.3313764449474</x:v>
      </x:c>
      <x:c r="P596" s="17" t="n">
        <x:f>IF(AND($A596&gt;='Control Room'!$A$13,$A596&lt;'Control Room'!$A$13+'Control Room'!$B$13,'Process'!BM2=1),1+('Control Room'!$C$13-1)*EXP(-0.5*(($A596-'Control Room'!$A$13-('Control Room'!$B$13-1)/2)/MAX(0.5,'Control Room'!$B$13/4))^2),1)*IF(AND($A596&gt;='Control Room'!$A$14,$A596&lt;'Control Room'!$A$14+'Control Room'!$B$14,'Process'!BM3=1),1+('Control Room'!$C$14-1)*EXP(-0.5*(($A596-'Control Room'!$A$14-('Control Room'!$B$14-1)/2)/MAX(0.5,'Control Room'!$B$14/4))^2),1)*IF(AND($A596&gt;='Control Room'!$A$15,$A596&lt;'Control Room'!$A$15+'Control Room'!$B$15,'Process'!BM4=1),1+('Control Room'!$C$15-1)*EXP(-0.5*(($A596-'Control Room'!$A$15-('Control Room'!$B$15-1)/2)/MAX(0.5,'Control Room'!$B$15/4))^2),1)*IF(AND($A596&gt;='Control Room'!$A$16,$A596&lt;'Control Room'!$A$16+'Control Room'!$B$16,'Process'!BM5=1),1+('Control Room'!$C$16-1)*EXP(-0.5*(($A596-'Control Room'!$A$16-('Control Room'!$B$16-1)/2)/MAX(0.5,'Control Room'!$B$16/4))^2),1)</x:f>
        <x:v>1</x:v>
      </x:c>
      <x:c r="Q596" s="9" t="n">
        <x:f>MOD(R595*16807,2147483647)</x:f>
        <x:v>1287357786</x:v>
      </x:c>
      <x:c r="R596" s="9" t="n">
        <x:f>MOD(Q596*16807,2147483647)</x:f>
        <x:v>724565777</x:v>
      </x:c>
      <x:c r="S596" s="17" t="n">
        <x:f>IF('Control Room'!$B$5="Normal",'Control Room'!$B$7+'Control Room'!$D$7*SQRT(-2*LN(MAX(0.000000000001,Q596/2147483647)))*COS(2*PI()*R596/2147483647),'Control Room'!$B$8+('Control Room'!$D$8-'Control Room'!$B$8)*Q596/2147483647)</x:f>
        <x:v>952.4755900471783</x:v>
      </x:c>
      <x:c r="T596" s="17" t="n">
        <x:f>IF('Control Room'!$B$5="Normal",'Control Room'!$B$7,('Control Room'!$B$8+'Control Room'!$D$8)/2)+'Control Room'!$B$9*(T595-IF('Control Room'!$B$5="Normal",'Control Room'!$B$7,('Control Room'!$B$8+'Control Room'!$D$8)/2))+SQRT(1-'Control Room'!$B$9^2)*(S596-IF('Control Room'!$B$5="Normal",'Control Room'!$B$7,('Control Room'!$B$8+'Control Room'!$D$8)/2))</x:f>
        <x:v>859.8572781249785</x:v>
      </x:c>
      <x:c r="U596" s="17" t="n">
        <x:f>IF(AND($A596&gt;='Control Room'!$A$13,$A596&lt;'Control Room'!$A$13+'Control Room'!$B$13,'Process'!BN2=1),1+('Control Room'!$C$13-1)*EXP(-0.5*(($A596-'Control Room'!$A$13-('Control Room'!$B$13-1)/2)/MAX(0.5,'Control Room'!$B$13/4))^2),1)*IF(AND($A596&gt;='Control Room'!$A$14,$A596&lt;'Control Room'!$A$14+'Control Room'!$B$14,'Process'!BN3=1),1+('Control Room'!$C$14-1)*EXP(-0.5*(($A596-'Control Room'!$A$14-('Control Room'!$B$14-1)/2)/MAX(0.5,'Control Room'!$B$14/4))^2),1)*IF(AND($A596&gt;='Control Room'!$A$15,$A596&lt;'Control Room'!$A$15+'Control Room'!$B$15,'Process'!BN4=1),1+('Control Room'!$C$15-1)*EXP(-0.5*(($A596-'Control Room'!$A$15-('Control Room'!$B$15-1)/2)/MAX(0.5,'Control Room'!$B$15/4))^2),1)*IF(AND($A596&gt;='Control Room'!$A$16,$A596&lt;'Control Room'!$A$16+'Control Room'!$B$16,'Process'!BN5=1),1+('Control Room'!$C$16-1)*EXP(-0.5*(($A596-'Control Room'!$A$16-('Control Room'!$B$16-1)/2)/MAX(0.5,'Control Room'!$B$16/4))^2),1)</x:f>
        <x:v>1</x:v>
      </x:c>
      <x:c r="V596" s="9" t="n">
        <x:f>MOD(W595*16807,2147483647)</x:f>
        <x:v>290518832</x:v>
      </x:c>
      <x:c r="W596" s="9" t="n">
        <x:f>MOD(V596*16807,2147483647)</x:f>
        <x:v>1519679793</x:v>
      </x:c>
      <x:c r="X596" s="17" t="n">
        <x:f>IF('Control Room'!$B$5="Normal",'Control Room'!$B$7+'Control Room'!$D$7*SQRT(-2*LN(MAX(0.000000000001,V596/2147483647)))*COS(2*PI()*W596/2147483647),'Control Room'!$B$8+('Control Room'!$D$8-'Control Room'!$B$8)*V596/2147483647)</x:f>
        <x:v>952.6685670552461</x:v>
      </x:c>
      <x:c r="Y596" s="17" t="n">
        <x:f>IF('Control Room'!$B$5="Normal",'Control Room'!$B$7,('Control Room'!$B$8+'Control Room'!$D$8)/2)+'Control Room'!$B$9*(Y595-IF('Control Room'!$B$5="Normal",'Control Room'!$B$7,('Control Room'!$B$8+'Control Room'!$D$8)/2))+SQRT(1-'Control Room'!$B$9^2)*(X596-IF('Control Room'!$B$5="Normal",'Control Room'!$B$7,('Control Room'!$B$8+'Control Room'!$D$8)/2))</x:f>
        <x:v>1052.8739152693263</x:v>
      </x:c>
      <x:c r="Z596" s="17" t="n">
        <x:f>IF(AND($A596&gt;='Control Room'!$A$13,$A596&lt;'Control Room'!$A$13+'Control Room'!$B$13,'Process'!BO2=1),1+('Control Room'!$C$13-1)*EXP(-0.5*(($A596-'Control Room'!$A$13-('Control Room'!$B$13-1)/2)/MAX(0.5,'Control Room'!$B$13/4))^2),1)*IF(AND($A596&gt;='Control Room'!$A$14,$A596&lt;'Control Room'!$A$14+'Control Room'!$B$14,'Process'!BO3=1),1+('Control Room'!$C$14-1)*EXP(-0.5*(($A596-'Control Room'!$A$14-('Control Room'!$B$14-1)/2)/MAX(0.5,'Control Room'!$B$14/4))^2),1)*IF(AND($A596&gt;='Control Room'!$A$15,$A596&lt;'Control Room'!$A$15+'Control Room'!$B$15,'Process'!BO4=1),1+('Control Room'!$C$15-1)*EXP(-0.5*(($A596-'Control Room'!$A$15-('Control Room'!$B$15-1)/2)/MAX(0.5,'Control Room'!$B$15/4))^2),1)*IF(AND($A596&gt;='Control Room'!$A$16,$A596&lt;'Control Room'!$A$16+'Control Room'!$B$16,'Process'!BO5=1),1+('Control Room'!$C$16-1)*EXP(-0.5*(($A596-'Control Room'!$A$16-('Control Room'!$B$16-1)/2)/MAX(0.5,'Control Room'!$B$16/4))^2),1)</x:f>
        <x:v>1</x:v>
      </x:c>
      <x:c r="AA596" s="9" t="n">
        <x:f>MOD(AB595*16807,2147483647)</x:f>
        <x:v>1441163525</x:v>
      </x:c>
      <x:c r="AB596" s="9" t="n">
        <x:f>MOD(AA596*16807,2147483647)</x:f>
        <x:v>167310162</x:v>
      </x:c>
      <x:c r="AC596" s="17" t="n">
        <x:f>IF('Control Room'!$B$5="Normal",'Control Room'!$B$7+'Control Room'!$D$7*SQRT(-2*LN(MAX(0.000000000001,AA596/2147483647)))*COS(2*PI()*AB596/2147483647),'Control Room'!$B$8+('Control Room'!$D$8-'Control Room'!$B$8)*AA596/2147483647)</x:f>
        <x:v>1070.9419626706751</x:v>
      </x:c>
      <x:c r="AD596" s="17" t="n">
        <x:f>IF('Control Room'!$B$5="Normal",'Control Room'!$B$7,('Control Room'!$B$8+'Control Room'!$D$8)/2)+'Control Room'!$B$9*(AD595-IF('Control Room'!$B$5="Normal",'Control Room'!$B$7,('Control Room'!$B$8+'Control Room'!$D$8)/2))+SQRT(1-'Control Room'!$B$9^2)*(AC596-IF('Control Room'!$B$5="Normal",'Control Room'!$B$7,('Control Room'!$B$8+'Control Room'!$D$8)/2))</x:f>
        <x:v>1026.217119228254</x:v>
      </x:c>
      <x:c r="AE596" s="17" t="n">
        <x:f>IF(AND($A596&gt;='Control Room'!$A$13,$A596&lt;'Control Room'!$A$13+'Control Room'!$B$13,'Process'!BP2=1),1+('Control Room'!$C$13-1)*EXP(-0.5*(($A596-'Control Room'!$A$13-('Control Room'!$B$13-1)/2)/MAX(0.5,'Control Room'!$B$13/4))^2),1)*IF(AND($A596&gt;='Control Room'!$A$14,$A596&lt;'Control Room'!$A$14+'Control Room'!$B$14,'Process'!BP3=1),1+('Control Room'!$C$14-1)*EXP(-0.5*(($A596-'Control Room'!$A$14-('Control Room'!$B$14-1)/2)/MAX(0.5,'Control Room'!$B$14/4))^2),1)*IF(AND($A596&gt;='Control Room'!$A$15,$A596&lt;'Control Room'!$A$15+'Control Room'!$B$15,'Process'!BP4=1),1+('Control Room'!$C$15-1)*EXP(-0.5*(($A596-'Control Room'!$A$15-('Control Room'!$B$15-1)/2)/MAX(0.5,'Control Room'!$B$15/4))^2),1)*IF(AND($A596&gt;='Control Room'!$A$16,$A596&lt;'Control Room'!$A$16+'Control Room'!$B$16,'Process'!BP5=1),1+('Control Room'!$C$16-1)*EXP(-0.5*(($A596-'Control Room'!$A$16-('Control Room'!$B$16-1)/2)/MAX(0.5,'Control Room'!$B$16/4))^2),1)</x:f>
        <x:v>1</x:v>
      </x:c>
      <x:c r="AF596" s="9" t="n">
        <x:f>MOD(AG595*16807,2147483647)</x:f>
        <x:v>444324571</x:v>
      </x:c>
      <x:c r="AG596" s="9" t="n">
        <x:f>MOD(AF596*16807,2147483647)</x:f>
        <x:v>962424178</x:v>
      </x:c>
      <x:c r="AH596" s="17" t="n">
        <x:f>IF('Control Room'!$B$5="Normal",'Control Room'!$B$7+'Control Room'!$D$7*SQRT(-2*LN(MAX(0.000000000001,AF596/2147483647)))*COS(2*PI()*AG596/2147483647),'Control Room'!$B$8+('Control Room'!$D$8-'Control Room'!$B$8)*AF596/2147483647)</x:f>
        <x:v>848.6395469518849</x:v>
      </x:c>
      <x:c r="AI596" s="17" t="n">
        <x:f>IF('Control Room'!$B$5="Normal",'Control Room'!$B$7,('Control Room'!$B$8+'Control Room'!$D$8)/2)+'Control Room'!$B$9*(AI595-IF('Control Room'!$B$5="Normal",'Control Room'!$B$7,('Control Room'!$B$8+'Control Room'!$D$8)/2))+SQRT(1-'Control Room'!$B$9^2)*(AH596-IF('Control Room'!$B$5="Normal",'Control Room'!$B$7,('Control Room'!$B$8+'Control Room'!$D$8)/2))</x:f>
        <x:v>927.1099034842657</x:v>
      </x:c>
      <x:c r="AJ596" s="17" t="n">
        <x:f>IF(AND($A596&gt;='Control Room'!$A$13,$A596&lt;'Control Room'!$A$13+'Control Room'!$B$13,'Process'!BQ2=1),1+('Control Room'!$C$13-1)*EXP(-0.5*(($A596-'Control Room'!$A$13-('Control Room'!$B$13-1)/2)/MAX(0.5,'Control Room'!$B$13/4))^2),1)*IF(AND($A596&gt;='Control Room'!$A$14,$A596&lt;'Control Room'!$A$14+'Control Room'!$B$14,'Process'!BQ3=1),1+('Control Room'!$C$14-1)*EXP(-0.5*(($A596-'Control Room'!$A$14-('Control Room'!$B$14-1)/2)/MAX(0.5,'Control Room'!$B$14/4))^2),1)*IF(AND($A596&gt;='Control Room'!$A$15,$A596&lt;'Control Room'!$A$15+'Control Room'!$B$15,'Process'!BQ4=1),1+('Control Room'!$C$15-1)*EXP(-0.5*(($A596-'Control Room'!$A$15-('Control Room'!$B$15-1)/2)/MAX(0.5,'Control Room'!$B$15/4))^2),1)*IF(AND($A596&gt;='Control Room'!$A$16,$A596&lt;'Control Room'!$A$16+'Control Room'!$B$16,'Process'!BQ5=1),1+('Control Room'!$C$16-1)*EXP(-0.5*(($A596-'Control Room'!$A$16-('Control Room'!$B$16-1)/2)/MAX(0.5,'Control Room'!$B$16/4))^2),1)</x:f>
        <x:v>1</x:v>
      </x:c>
      <x:c r="AK596" s="9" t="n">
        <x:f>MOD(AL595*16807,2147483647)</x:f>
        <x:v>1594969264</x:v>
      </x:c>
      <x:c r="AL596" s="9" t="n">
        <x:f>MOD(AK596*16807,2147483647)</x:f>
        <x:v>1757538194</x:v>
      </x:c>
      <x:c r="AM596" s="17" t="n">
        <x:f>IF('Control Room'!$B$5="Normal",'Control Room'!$B$7+'Control Room'!$D$7*SQRT(-2*LN(MAX(0.000000000001,AK596/2147483647)))*COS(2*PI()*AL596/2147483647),'Control Room'!$B$8+('Control Room'!$D$8-'Control Room'!$B$8)*AK596/2147483647)</x:f>
        <x:v>1028.929872739876</x:v>
      </x:c>
      <x:c r="AN596" s="17" t="n">
        <x:f>IF('Control Room'!$B$5="Normal",'Control Room'!$B$7,('Control Room'!$B$8+'Control Room'!$D$8)/2)+'Control Room'!$B$9*(AN595-IF('Control Room'!$B$5="Normal",'Control Room'!$B$7,('Control Room'!$B$8+'Control Room'!$D$8)/2))+SQRT(1-'Control Room'!$B$9^2)*(AM596-IF('Control Room'!$B$5="Normal",'Control Room'!$B$7,('Control Room'!$B$8+'Control Room'!$D$8)/2))</x:f>
        <x:v>1090.2835065309275</x:v>
      </x:c>
      <x:c r="AO596" s="17" t="n">
        <x:f>IF(AND($A596&gt;='Control Room'!$A$13,$A596&lt;'Control Room'!$A$13+'Control Room'!$B$13,'Process'!BR2=1),1+('Control Room'!$C$13-1)*EXP(-0.5*(($A596-'Control Room'!$A$13-('Control Room'!$B$13-1)/2)/MAX(0.5,'Control Room'!$B$13/4))^2),1)*IF(AND($A596&gt;='Control Room'!$A$14,$A596&lt;'Control Room'!$A$14+'Control Room'!$B$14,'Process'!BR3=1),1+('Control Room'!$C$14-1)*EXP(-0.5*(($A596-'Control Room'!$A$14-('Control Room'!$B$14-1)/2)/MAX(0.5,'Control Room'!$B$14/4))^2),1)*IF(AND($A596&gt;='Control Room'!$A$15,$A596&lt;'Control Room'!$A$15+'Control Room'!$B$15,'Process'!BR4=1),1+('Control Room'!$C$15-1)*EXP(-0.5*(($A596-'Control Room'!$A$15-('Control Room'!$B$15-1)/2)/MAX(0.5,'Control Room'!$B$15/4))^2),1)*IF(AND($A596&gt;='Control Room'!$A$16,$A596&lt;'Control Room'!$A$16+'Control Room'!$B$16,'Process'!BR5=1),1+('Control Room'!$C$16-1)*EXP(-0.5*(($A596-'Control Room'!$A$16-('Control Room'!$B$16-1)/2)/MAX(0.5,'Control Room'!$B$16/4))^2),1)</x:f>
        <x:v>1</x:v>
      </x:c>
      <x:c r="AP596" s="9" t="n">
        <x:f>MOD(AQ595*16807,2147483647)</x:f>
        <x:v>598130310</x:v>
      </x:c>
      <x:c r="AQ596" s="9" t="n">
        <x:f>MOD(AP596*16807,2147483647)</x:f>
        <x:v>405168563</x:v>
      </x:c>
      <x:c r="AR596" s="17" t="n">
        <x:f>IF('Control Room'!$B$5="Normal",'Control Room'!$B$7+'Control Room'!$D$7*SQRT(-2*LN(MAX(0.000000000001,AP596/2147483647)))*COS(2*PI()*AQ596/2147483647),'Control Room'!$B$8+('Control Room'!$D$8-'Control Room'!$B$8)*AP596/2147483647)</x:f>
        <x:v>1054.088668749623</x:v>
      </x:c>
      <x:c r="AS596" s="17" t="n">
        <x:f>IF('Control Room'!$B$5="Normal",'Control Room'!$B$7,('Control Room'!$B$8+'Control Room'!$D$8)/2)+'Control Room'!$B$9*(AS595-IF('Control Room'!$B$5="Normal",'Control Room'!$B$7,('Control Room'!$B$8+'Control Room'!$D$8)/2))+SQRT(1-'Control Room'!$B$9^2)*(AR596-IF('Control Room'!$B$5="Normal",'Control Room'!$B$7,('Control Room'!$B$8+'Control Room'!$D$8)/2))</x:f>
        <x:v>1060.9040327301946</x:v>
      </x:c>
      <x:c r="AT596" s="17" t="n">
        <x:f>IF(AND($A596&gt;='Control Room'!$A$13,$A596&lt;'Control Room'!$A$13+'Control Room'!$B$13,'Process'!BS2=1),1+('Control Room'!$C$13-1)*EXP(-0.5*(($A596-'Control Room'!$A$13-('Control Room'!$B$13-1)/2)/MAX(0.5,'Control Room'!$B$13/4))^2),1)*IF(AND($A596&gt;='Control Room'!$A$14,$A596&lt;'Control Room'!$A$14+'Control Room'!$B$14,'Process'!BS3=1),1+('Control Room'!$C$14-1)*EXP(-0.5*(($A596-'Control Room'!$A$14-('Control Room'!$B$14-1)/2)/MAX(0.5,'Control Room'!$B$14/4))^2),1)*IF(AND($A596&gt;='Control Room'!$A$15,$A596&lt;'Control Room'!$A$15+'Control Room'!$B$15,'Process'!BS4=1),1+('Control Room'!$C$15-1)*EXP(-0.5*(($A596-'Control Room'!$A$15-('Control Room'!$B$15-1)/2)/MAX(0.5,'Control Room'!$B$15/4))^2),1)*IF(AND($A596&gt;='Control Room'!$A$16,$A596&lt;'Control Room'!$A$16+'Control Room'!$B$16,'Process'!BS5=1),1+('Control Room'!$C$16-1)*EXP(-0.5*(($A596-'Control Room'!$A$16-('Control Room'!$B$16-1)/2)/MAX(0.5,'Control Room'!$B$16/4))^2),1)</x:f>
        <x:v>1</x:v>
      </x:c>
      <x:c r="AU596" s="9" t="n">
        <x:f>MOD(AV595*16807,2147483647)</x:f>
        <x:v>1748775003</x:v>
      </x:c>
      <x:c r="AV596" s="9" t="n">
        <x:f>MOD(AU596*16807,2147483647)</x:f>
        <x:v>1200282579</x:v>
      </x:c>
      <x:c r="AW596" s="17" t="n">
        <x:f>IF('Control Room'!$B$5="Normal",'Control Room'!$B$7+'Control Room'!$D$7*SQRT(-2*LN(MAX(0.000000000001,AU596/2147483647)))*COS(2*PI()*AV596/2147483647),'Control Room'!$B$8+('Control Room'!$D$8-'Control Room'!$B$8)*AU596/2147483647)</x:f>
        <x:v>946.2267523907096</x:v>
      </x:c>
      <x:c r="AX596" s="17" t="n">
        <x:f>IF('Control Room'!$B$5="Normal",'Control Room'!$B$7,('Control Room'!$B$8+'Control Room'!$D$8)/2)+'Control Room'!$B$9*(AX595-IF('Control Room'!$B$5="Normal",'Control Room'!$B$7,('Control Room'!$B$8+'Control Room'!$D$8)/2))+SQRT(1-'Control Room'!$B$9^2)*(AW596-IF('Control Room'!$B$5="Normal",'Control Room'!$B$7,('Control Room'!$B$8+'Control Room'!$D$8)/2))</x:f>
        <x:v>937.2613209873151</x:v>
      </x:c>
      <x:c r="AY596" s="17" t="n">
        <x:f>IF(AND($A596&gt;='Control Room'!$A$13,$A596&lt;'Control Room'!$A$13+'Control Room'!$B$13,'Process'!BT2=1),1+('Control Room'!$C$13-1)*EXP(-0.5*(($A596-'Control Room'!$A$13-('Control Room'!$B$13-1)/2)/MAX(0.5,'Control Room'!$B$13/4))^2),1)*IF(AND($A596&gt;='Control Room'!$A$14,$A596&lt;'Control Room'!$A$14+'Control Room'!$B$14,'Process'!BT3=1),1+('Control Room'!$C$14-1)*EXP(-0.5*(($A596-'Control Room'!$A$14-('Control Room'!$B$14-1)/2)/MAX(0.5,'Control Room'!$B$14/4))^2),1)*IF(AND($A596&gt;='Control Room'!$A$15,$A596&lt;'Control Room'!$A$15+'Control Room'!$B$15,'Process'!BT4=1),1+('Control Room'!$C$15-1)*EXP(-0.5*(($A596-'Control Room'!$A$15-('Control Room'!$B$15-1)/2)/MAX(0.5,'Control Room'!$B$15/4))^2),1)*IF(AND($A596&gt;='Control Room'!$A$16,$A596&lt;'Control Room'!$A$16+'Control Room'!$B$16,'Process'!BT5=1),1+('Control Room'!$C$16-1)*EXP(-0.5*(($A596-'Control Room'!$A$16-('Control Room'!$B$16-1)/2)/MAX(0.5,'Control Room'!$B$16/4))^2),1)</x:f>
        <x:v>1</x:v>
      </x:c>
      <x:c r="AZ596" s="9" t="n">
        <x:f>MOD(BA595*16807,2147483647)</x:f>
        <x:v>751936049</x:v>
      </x:c>
      <x:c r="BA596" s="9" t="n">
        <x:f>MOD(AZ596*16807,2147483647)</x:f>
        <x:v>1995396595</x:v>
      </x:c>
      <x:c r="BB596" s="17" t="n">
        <x:f>IF('Control Room'!$B$5="Normal",'Control Room'!$B$7+'Control Room'!$D$7*SQRT(-2*LN(MAX(0.000000000001,AZ596/2147483647)))*COS(2*PI()*BA596/2147483647),'Control Room'!$B$8+('Control Room'!$D$8-'Control Room'!$B$8)*AZ596/2147483647)</x:f>
        <x:v>1117.6880658719913</x:v>
      </x:c>
      <x:c r="BC596" s="17" t="n">
        <x:f>IF('Control Room'!$B$5="Normal",'Control Room'!$B$7,('Control Room'!$B$8+'Control Room'!$D$8)/2)+'Control Room'!$B$9*(BC595-IF('Control Room'!$B$5="Normal",'Control Room'!$B$7,('Control Room'!$B$8+'Control Room'!$D$8)/2))+SQRT(1-'Control Room'!$B$9^2)*(BB596-IF('Control Room'!$B$5="Normal",'Control Room'!$B$7,('Control Room'!$B$8+'Control Room'!$D$8)/2))</x:f>
        <x:v>1099.990679299439</x:v>
      </x:c>
      <x:c r="BD596" s="17" t="n">
        <x:f>IF(AND($A596&gt;='Control Room'!$A$13,$A596&lt;'Control Room'!$A$13+'Control Room'!$B$13,'Process'!BU2=1),1+('Control Room'!$C$13-1)*EXP(-0.5*(($A596-'Control Room'!$A$13-('Control Room'!$B$13-1)/2)/MAX(0.5,'Control Room'!$B$13/4))^2),1)*IF(AND($A596&gt;='Control Room'!$A$14,$A596&lt;'Control Room'!$A$14+'Control Room'!$B$14,'Process'!BU3=1),1+('Control Room'!$C$14-1)*EXP(-0.5*(($A596-'Control Room'!$A$14-('Control Room'!$B$14-1)/2)/MAX(0.5,'Control Room'!$B$14/4))^2),1)*IF(AND($A596&gt;='Control Room'!$A$15,$A596&lt;'Control Room'!$A$15+'Control Room'!$B$15,'Process'!BU4=1),1+('Control Room'!$C$15-1)*EXP(-0.5*(($A596-'Control Room'!$A$15-('Control Room'!$B$15-1)/2)/MAX(0.5,'Control Room'!$B$15/4))^2),1)*IF(AND($A596&gt;='Control Room'!$A$16,$A596&lt;'Control Room'!$A$16+'Control Room'!$B$16,'Process'!BU5=1),1+('Control Room'!$C$16-1)*EXP(-0.5*(($A596-'Control Room'!$A$16-('Control Room'!$B$16-1)/2)/MAX(0.5,'Control Room'!$B$16/4))^2),1)</x:f>
        <x:v>1</x:v>
      </x:c>
      <x:c r="BE596" s="9" t="n">
        <x:f>MOD(BF595*16807,2147483647)</x:f>
        <x:v>1902580742</x:v>
      </x:c>
      <x:c r="BF596" s="9" t="n">
        <x:f>MOD(BE596*16807,2147483647)</x:f>
        <x:v>643026964</x:v>
      </x:c>
      <x:c r="BG596" s="17" t="n">
        <x:f>IF('Control Room'!$B$5="Normal",'Control Room'!$B$7+'Control Room'!$D$7*SQRT(-2*LN(MAX(0.000000000001,BE596/2147483647)))*COS(2*PI()*BF596/2147483647),'Control Room'!$B$8+('Control Room'!$D$8-'Control Room'!$B$8)*BE596/2147483647)</x:f>
        <x:v>986.4639148352512</x:v>
      </x:c>
      <x:c r="BH596" s="17" t="n">
        <x:f>IF('Control Room'!$B$5="Normal",'Control Room'!$B$7,('Control Room'!$B$8+'Control Room'!$D$8)/2)+'Control Room'!$B$9*(BH595-IF('Control Room'!$B$5="Normal",'Control Room'!$B$7,('Control Room'!$B$8+'Control Room'!$D$8)/2))+SQRT(1-'Control Room'!$B$9^2)*(BG596-IF('Control Room'!$B$5="Normal",'Control Room'!$B$7,('Control Room'!$B$8+'Control Room'!$D$8)/2))</x:f>
        <x:v>1012.1005823179208</x:v>
      </x:c>
      <x:c r="BI596" s="17" t="n">
        <x:f>IF(AND($A596&gt;='Control Room'!$A$13,$A596&lt;'Control Room'!$A$13+'Control Room'!$B$13,'Process'!BV2=1),1+('Control Room'!$C$13-1)*EXP(-0.5*(($A596-'Control Room'!$A$13-('Control Room'!$B$13-1)/2)/MAX(0.5,'Control Room'!$B$13/4))^2),1)*IF(AND($A596&gt;='Control Room'!$A$14,$A596&lt;'Control Room'!$A$14+'Control Room'!$B$14,'Process'!BV3=1),1+('Control Room'!$C$14-1)*EXP(-0.5*(($A596-'Control Room'!$A$14-('Control Room'!$B$14-1)/2)/MAX(0.5,'Control Room'!$B$14/4))^2),1)*IF(AND($A596&gt;='Control Room'!$A$15,$A596&lt;'Control Room'!$A$15+'Control Room'!$B$15,'Process'!BV4=1),1+('Control Room'!$C$15-1)*EXP(-0.5*(($A596-'Control Room'!$A$15-('Control Room'!$B$15-1)/2)/MAX(0.5,'Control Room'!$B$15/4))^2),1)*IF(AND($A596&gt;='Control Room'!$A$16,$A596&lt;'Control Room'!$A$16+'Control Room'!$B$16,'Process'!BV5=1),1+('Control Room'!$C$16-1)*EXP(-0.5*(($A596-'Control Room'!$A$16-('Control Room'!$B$16-1)/2)/MAX(0.5,'Control Room'!$B$16/4))^2),1)</x:f>
        <x:v>1</x:v>
      </x:c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Z596" t="str">
        <x:f>IF('Data'!A596="","",TEXT('Data'!A596,"mm-dd"))</x:f>
      </x:c>
    </x:row>
    <x:row r="597" ht="21" customHeight="1">
      <x:c r="A597" s="15" t="n">
        <x:f>'Control Room'!$B$1+595</x:f>
        <x:v>73586</x:v>
      </x:c>
      <x:c r="B597" s="9" t="n">
        <x:f>MOD(C596*16807,2147483647)</x:f>
        <x:v>325657009</x:v>
      </x:c>
      <x:c r="C597" s="9" t="n">
        <x:f>MOD(B597*16807,2147483647)</x:f>
        <x:v>1529017707</x:v>
      </x:c>
      <x:c r="D597" s="17" t="n">
        <x:f>IF('Control Room'!$B$5="Normal",'Control Room'!$B$7+'Control Room'!$D$7*SQRT(-2*LN(MAX(0.000000000001,B597/2147483647)))*COS(2*PI()*C597/2147483647),'Control Room'!$B$8+('Control Room'!$D$8-'Control Room'!$B$8)*B597/2147483647)</x:f>
        <x:v>958.6635944842097</x:v>
      </x:c>
      <x:c r="E597" s="17" t="n">
        <x:f>IF('Control Room'!$B$5="Normal",'Control Room'!$B$7,('Control Room'!$B$8+'Control Room'!$D$8)/2)+'Control Room'!$B$9*(E596-IF('Control Room'!$B$5="Normal",'Control Room'!$B$7,('Control Room'!$B$8+'Control Room'!$D$8)/2))+SQRT(1-'Control Room'!$B$9^2)*(D597-IF('Control Room'!$B$5="Normal",'Control Room'!$B$7,('Control Room'!$B$8+'Control Room'!$D$8)/2))</x:f>
        <x:v>1010.6810446823829</x:v>
      </x:c>
      <x:c r="F597" s="17" t="n">
        <x:f>IF(AND($A597&gt;='Control Room'!$A$13,$A597&lt;'Control Room'!$A$13+'Control Room'!$B$13,'Process'!BK2=1),1+('Control Room'!$C$13-1)*EXP(-0.5*(($A597-'Control Room'!$A$13-('Control Room'!$B$13-1)/2)/MAX(0.5,'Control Room'!$B$13/4))^2),1)*IF(AND($A597&gt;='Control Room'!$A$14,$A597&lt;'Control Room'!$A$14+'Control Room'!$B$14,'Process'!BK3=1),1+('Control Room'!$C$14-1)*EXP(-0.5*(($A597-'Control Room'!$A$14-('Control Room'!$B$14-1)/2)/MAX(0.5,'Control Room'!$B$14/4))^2),1)*IF(AND($A597&gt;='Control Room'!$A$15,$A597&lt;'Control Room'!$A$15+'Control Room'!$B$15,'Process'!BK4=1),1+('Control Room'!$C$15-1)*EXP(-0.5*(($A597-'Control Room'!$A$15-('Control Room'!$B$15-1)/2)/MAX(0.5,'Control Room'!$B$15/4))^2),1)*IF(AND($A597&gt;='Control Room'!$A$16,$A597&lt;'Control Room'!$A$16+'Control Room'!$B$16,'Process'!BK5=1),1+('Control Room'!$C$16-1)*EXP(-0.5*(($A597-'Control Room'!$A$16-('Control Room'!$B$16-1)/2)/MAX(0.5,'Control Room'!$B$16/4))^2),1)</x:f>
        <x:v>1</x:v>
      </x:c>
      <x:c r="G597" s="9" t="n">
        <x:f>MOD(H596*16807,2147483647)</x:f>
        <x:v>16188640</x:v>
      </x:c>
      <x:c r="H597" s="9" t="n">
        <x:f>MOD(G597*16807,2147483647)</x:f>
        <x:v>1499532958</x:v>
      </x:c>
      <x:c r="I597" s="17" t="n">
        <x:f>IF('Control Room'!$B$5="Normal",'Control Room'!$B$7+'Control Room'!$D$7*SQRT(-2*LN(MAX(0.000000000001,G597/2147483647)))*COS(2*PI()*H597/2147483647),'Control Room'!$B$8+('Control Room'!$D$8-'Control Room'!$B$8)*G597/2147483647)</x:f>
        <x:v>910.1487530215221</x:v>
      </x:c>
      <x:c r="J597" s="17" t="n">
        <x:f>IF('Control Room'!$B$5="Normal",'Control Room'!$B$7,('Control Room'!$B$8+'Control Room'!$D$8)/2)+'Control Room'!$B$9*(J596-IF('Control Room'!$B$5="Normal",'Control Room'!$B$7,('Control Room'!$B$8+'Control Room'!$D$8)/2))+SQRT(1-'Control Room'!$B$9^2)*(I597-IF('Control Room'!$B$5="Normal",'Control Room'!$B$7,('Control Room'!$B$8+'Control Room'!$D$8)/2))</x:f>
        <x:v>854.6510460443741</x:v>
      </x:c>
      <x:c r="K597" s="17" t="n">
        <x:f>IF(AND($A597&gt;='Control Room'!$A$13,$A597&lt;'Control Room'!$A$13+'Control Room'!$B$13,'Process'!BL2=1),1+('Control Room'!$C$13-1)*EXP(-0.5*(($A597-'Control Room'!$A$13-('Control Room'!$B$13-1)/2)/MAX(0.5,'Control Room'!$B$13/4))^2),1)*IF(AND($A597&gt;='Control Room'!$A$14,$A597&lt;'Control Room'!$A$14+'Control Room'!$B$14,'Process'!BL3=1),1+('Control Room'!$C$14-1)*EXP(-0.5*(($A597-'Control Room'!$A$14-('Control Room'!$B$14-1)/2)/MAX(0.5,'Control Room'!$B$14/4))^2),1)*IF(AND($A597&gt;='Control Room'!$A$15,$A597&lt;'Control Room'!$A$15+'Control Room'!$B$15,'Process'!BL4=1),1+('Control Room'!$C$15-1)*EXP(-0.5*(($A597-'Control Room'!$A$15-('Control Room'!$B$15-1)/2)/MAX(0.5,'Control Room'!$B$15/4))^2),1)*IF(AND($A597&gt;='Control Room'!$A$16,$A597&lt;'Control Room'!$A$16+'Control Room'!$B$16,'Process'!BL5=1),1+('Control Room'!$C$16-1)*EXP(-0.5*(($A597-'Control Room'!$A$16-('Control Room'!$B$16-1)/2)/MAX(0.5,'Control Room'!$B$16/4))^2),1)</x:f>
        <x:v>1</x:v>
      </x:c>
      <x:c r="L597" s="9" t="n">
        <x:f>MOD(M596*16807,2147483647)</x:f>
        <x:v>1854203918</x:v>
      </x:c>
      <x:c r="M597" s="9" t="n">
        <x:f>MOD(L597*16807,2147483647)</x:f>
        <x:v>1470048209</x:v>
      </x:c>
      <x:c r="N597" s="17" t="n">
        <x:f>IF('Control Room'!$B$5="Normal",'Control Room'!$B$7+'Control Room'!$D$7*SQRT(-2*LN(MAX(0.000000000001,L597/2147483647)))*COS(2*PI()*M597/2147483647),'Control Room'!$B$8+('Control Room'!$D$8-'Control Room'!$B$8)*L597/2147483647)</x:f>
        <x:v>980.5017925825326</x:v>
      </x:c>
      <x:c r="O597" s="17" t="n">
        <x:f>IF('Control Room'!$B$5="Normal",'Control Room'!$B$7,('Control Room'!$B$8+'Control Room'!$D$8)/2)+'Control Room'!$B$9*(O596-IF('Control Room'!$B$5="Normal",'Control Room'!$B$7,('Control Room'!$B$8+'Control Room'!$D$8)/2))+SQRT(1-'Control Room'!$B$9^2)*(N597-IF('Control Room'!$B$5="Normal",'Control Room'!$B$7,('Control Room'!$B$8+'Control Room'!$D$8)/2))</x:f>
        <x:v>1065.2768948676985</x:v>
      </x:c>
      <x:c r="P597" s="17" t="n">
        <x:f>IF(AND($A597&gt;='Control Room'!$A$13,$A597&lt;'Control Room'!$A$13+'Control Room'!$B$13,'Process'!BM2=1),1+('Control Room'!$C$13-1)*EXP(-0.5*(($A597-'Control Room'!$A$13-('Control Room'!$B$13-1)/2)/MAX(0.5,'Control Room'!$B$13/4))^2),1)*IF(AND($A597&gt;='Control Room'!$A$14,$A597&lt;'Control Room'!$A$14+'Control Room'!$B$14,'Process'!BM3=1),1+('Control Room'!$C$14-1)*EXP(-0.5*(($A597-'Control Room'!$A$14-('Control Room'!$B$14-1)/2)/MAX(0.5,'Control Room'!$B$14/4))^2),1)*IF(AND($A597&gt;='Control Room'!$A$15,$A597&lt;'Control Room'!$A$15+'Control Room'!$B$15,'Process'!BM4=1),1+('Control Room'!$C$15-1)*EXP(-0.5*(($A597-'Control Room'!$A$15-('Control Room'!$B$15-1)/2)/MAX(0.5,'Control Room'!$B$15/4))^2),1)*IF(AND($A597&gt;='Control Room'!$A$16,$A597&lt;'Control Room'!$A$16+'Control Room'!$B$16,'Process'!BM5=1),1+('Control Room'!$C$16-1)*EXP(-0.5*(($A597-'Control Room'!$A$16-('Control Room'!$B$16-1)/2)/MAX(0.5,'Control Room'!$B$16/4))^2),1)</x:f>
        <x:v>1</x:v>
      </x:c>
      <x:c r="Q597" s="9" t="n">
        <x:f>MOD(R596*16807,2147483647)</x:f>
        <x:v>1544735549</x:v>
      </x:c>
      <x:c r="R597" s="9" t="n">
        <x:f>MOD(Q597*16807,2147483647)</x:f>
        <x:v>1440563460</x:v>
      </x:c>
      <x:c r="S597" s="17" t="n">
        <x:f>IF('Control Room'!$B$5="Normal",'Control Room'!$B$7+'Control Room'!$D$7*SQRT(-2*LN(MAX(0.000000000001,Q597/2147483647)))*COS(2*PI()*R597/2147483647),'Control Room'!$B$8+('Control Room'!$D$8-'Control Room'!$B$8)*Q597/2147483647)</x:f>
        <x:v>965.1337542623395</x:v>
      </x:c>
      <x:c r="T597" s="17" t="n">
        <x:f>IF('Control Room'!$B$5="Normal",'Control Room'!$B$7,('Control Room'!$B$8+'Control Room'!$D$8)/2)+'Control Room'!$B$9*(T596-IF('Control Room'!$B$5="Normal",'Control Room'!$B$7,('Control Room'!$B$8+'Control Room'!$D$8)/2))+SQRT(1-'Control Room'!$B$9^2)*(S597-IF('Control Room'!$B$5="Normal",'Control Room'!$B$7,('Control Room'!$B$8+'Control Room'!$D$8)/2))</x:f>
        <x:v>868.8700946287235</x:v>
      </x:c>
      <x:c r="U597" s="17" t="n">
        <x:f>IF(AND($A597&gt;='Control Room'!$A$13,$A597&lt;'Control Room'!$A$13+'Control Room'!$B$13,'Process'!BN2=1),1+('Control Room'!$C$13-1)*EXP(-0.5*(($A597-'Control Room'!$A$13-('Control Room'!$B$13-1)/2)/MAX(0.5,'Control Room'!$B$13/4))^2),1)*IF(AND($A597&gt;='Control Room'!$A$14,$A597&lt;'Control Room'!$A$14+'Control Room'!$B$14,'Process'!BN3=1),1+('Control Room'!$C$14-1)*EXP(-0.5*(($A597-'Control Room'!$A$14-('Control Room'!$B$14-1)/2)/MAX(0.5,'Control Room'!$B$14/4))^2),1)*IF(AND($A597&gt;='Control Room'!$A$15,$A597&lt;'Control Room'!$A$15+'Control Room'!$B$15,'Process'!BN4=1),1+('Control Room'!$C$15-1)*EXP(-0.5*(($A597-'Control Room'!$A$15-('Control Room'!$B$15-1)/2)/MAX(0.5,'Control Room'!$B$15/4))^2),1)*IF(AND($A597&gt;='Control Room'!$A$16,$A597&lt;'Control Room'!$A$16+'Control Room'!$B$16,'Process'!BN5=1),1+('Control Room'!$C$16-1)*EXP(-0.5*(($A597-'Control Room'!$A$16-('Control Room'!$B$16-1)/2)/MAX(0.5,'Control Room'!$B$16/4))^2),1)</x:f>
        <x:v>1</x:v>
      </x:c>
      <x:c r="V597" s="9" t="n">
        <x:f>MOD(W596*16807,2147483647)</x:f>
        <x:v>1235267180</x:v>
      </x:c>
      <x:c r="W597" s="9" t="n">
        <x:f>MOD(V597*16807,2147483647)</x:f>
        <x:v>1411078711</x:v>
      </x:c>
      <x:c r="X597" s="17" t="n">
        <x:f>IF('Control Room'!$B$5="Normal",'Control Room'!$B$7+'Control Room'!$D$7*SQRT(-2*LN(MAX(0.000000000001,V597/2147483647)))*COS(2*PI()*W597/2147483647),'Control Room'!$B$8+('Control Room'!$D$8-'Control Room'!$B$8)*V597/2147483647)</x:f>
        <x:v>947.8283726505017</x:v>
      </x:c>
      <x:c r="Y597" s="17" t="n">
        <x:f>IF('Control Room'!$B$5="Normal",'Control Room'!$B$7,('Control Room'!$B$8+'Control Room'!$D$8)/2)+'Control Room'!$B$9*(Y596-IF('Control Room'!$B$5="Normal",'Control Room'!$B$7,('Control Room'!$B$8+'Control Room'!$D$8)/2))+SQRT(1-'Control Room'!$B$9^2)*(X597-IF('Control Room'!$B$5="Normal",'Control Room'!$B$7,('Control Room'!$B$8+'Control Room'!$D$8)/2))</x:f>
        <x:v>1008.5937183086389</x:v>
      </x:c>
      <x:c r="Z597" s="17" t="n">
        <x:f>IF(AND($A597&gt;='Control Room'!$A$13,$A597&lt;'Control Room'!$A$13+'Control Room'!$B$13,'Process'!BO2=1),1+('Control Room'!$C$13-1)*EXP(-0.5*(($A597-'Control Room'!$A$13-('Control Room'!$B$13-1)/2)/MAX(0.5,'Control Room'!$B$13/4))^2),1)*IF(AND($A597&gt;='Control Room'!$A$14,$A597&lt;'Control Room'!$A$14+'Control Room'!$B$14,'Process'!BO3=1),1+('Control Room'!$C$14-1)*EXP(-0.5*(($A597-'Control Room'!$A$14-('Control Room'!$B$14-1)/2)/MAX(0.5,'Control Room'!$B$14/4))^2),1)*IF(AND($A597&gt;='Control Room'!$A$15,$A597&lt;'Control Room'!$A$15+'Control Room'!$B$15,'Process'!BO4=1),1+('Control Room'!$C$15-1)*EXP(-0.5*(($A597-'Control Room'!$A$15-('Control Room'!$B$15-1)/2)/MAX(0.5,'Control Room'!$B$15/4))^2),1)*IF(AND($A597&gt;='Control Room'!$A$16,$A597&lt;'Control Room'!$A$16+'Control Room'!$B$16,'Process'!BO5=1),1+('Control Room'!$C$16-1)*EXP(-0.5*(($A597-'Control Room'!$A$16-('Control Room'!$B$16-1)/2)/MAX(0.5,'Control Room'!$B$16/4))^2),1)</x:f>
        <x:v>1</x:v>
      </x:c>
      <x:c r="AA597" s="9" t="n">
        <x:f>MOD(AB596*16807,2147483647)</x:f>
        <x:v>925798811</x:v>
      </x:c>
      <x:c r="AB597" s="9" t="n">
        <x:f>MOD(AA597*16807,2147483647)</x:f>
        <x:v>1381593962</x:v>
      </x:c>
      <x:c r="AC597" s="17" t="n">
        <x:f>IF('Control Room'!$B$5="Normal",'Control Room'!$B$7+'Control Room'!$D$7*SQRT(-2*LN(MAX(0.000000000001,AA597/2147483647)))*COS(2*PI()*AB597/2147483647),'Control Room'!$B$8+('Control Room'!$D$8-'Control Room'!$B$8)*AA597/2147483647)</x:f>
        <x:v>927.4932504051154</x:v>
      </x:c>
      <x:c r="AD597" s="17" t="n">
        <x:f>IF('Control Room'!$B$5="Normal",'Control Room'!$B$7,('Control Room'!$B$8+'Control Room'!$D$8)/2)+'Control Room'!$B$9*(AD596-IF('Control Room'!$B$5="Normal",'Control Room'!$B$7,('Control Room'!$B$8+'Control Room'!$D$8)/2))+SQRT(1-'Control Room'!$B$9^2)*(AC597-IF('Control Room'!$B$5="Normal",'Control Room'!$B$7,('Control Room'!$B$8+'Control Room'!$D$8)/2))</x:f>
        <x:v>975.0761144830624</x:v>
      </x:c>
      <x:c r="AE597" s="17" t="n">
        <x:f>IF(AND($A597&gt;='Control Room'!$A$13,$A597&lt;'Control Room'!$A$13+'Control Room'!$B$13,'Process'!BP2=1),1+('Control Room'!$C$13-1)*EXP(-0.5*(($A597-'Control Room'!$A$13-('Control Room'!$B$13-1)/2)/MAX(0.5,'Control Room'!$B$13/4))^2),1)*IF(AND($A597&gt;='Control Room'!$A$14,$A597&lt;'Control Room'!$A$14+'Control Room'!$B$14,'Process'!BP3=1),1+('Control Room'!$C$14-1)*EXP(-0.5*(($A597-'Control Room'!$A$14-('Control Room'!$B$14-1)/2)/MAX(0.5,'Control Room'!$B$14/4))^2),1)*IF(AND($A597&gt;='Control Room'!$A$15,$A597&lt;'Control Room'!$A$15+'Control Room'!$B$15,'Process'!BP4=1),1+('Control Room'!$C$15-1)*EXP(-0.5*(($A597-'Control Room'!$A$15-('Control Room'!$B$15-1)/2)/MAX(0.5,'Control Room'!$B$15/4))^2),1)*IF(AND($A597&gt;='Control Room'!$A$16,$A597&lt;'Control Room'!$A$16+'Control Room'!$B$16,'Process'!BP5=1),1+('Control Room'!$C$16-1)*EXP(-0.5*(($A597-'Control Room'!$A$16-('Control Room'!$B$16-1)/2)/MAX(0.5,'Control Room'!$B$16/4))^2),1)</x:f>
        <x:v>1</x:v>
      </x:c>
      <x:c r="AF597" s="9" t="n">
        <x:f>MOD(AG596*16807,2147483647)</x:f>
        <x:v>616330442</x:v>
      </x:c>
      <x:c r="AG597" s="9" t="n">
        <x:f>MOD(AF597*16807,2147483647)</x:f>
        <x:v>1352109213</x:v>
      </x:c>
      <x:c r="AH597" s="17" t="n">
        <x:f>IF('Control Room'!$B$5="Normal",'Control Room'!$B$7+'Control Room'!$D$7*SQRT(-2*LN(MAX(0.000000000001,AF597/2147483647)))*COS(2*PI()*AG597/2147483647),'Control Room'!$B$8+('Control Room'!$D$8-'Control Room'!$B$8)*AF597/2147483647)</x:f>
        <x:v>902.4106875392715</x:v>
      </x:c>
      <x:c r="AI597" s="17" t="n">
        <x:f>IF('Control Room'!$B$5="Normal",'Control Room'!$B$7,('Control Room'!$B$8+'Control Room'!$D$8)/2)+'Control Room'!$B$9*(AI596-IF('Control Room'!$B$5="Normal",'Control Room'!$B$7,('Control Room'!$B$8+'Control Room'!$D$8)/2))+SQRT(1-'Control Room'!$B$9^2)*(AH597-IF('Control Room'!$B$5="Normal",'Control Room'!$B$7,('Control Room'!$B$8+'Control Room'!$D$8)/2))</x:f>
        <x:v>882.0763322055367</x:v>
      </x:c>
      <x:c r="AJ597" s="17" t="n">
        <x:f>IF(AND($A597&gt;='Control Room'!$A$13,$A597&lt;'Control Room'!$A$13+'Control Room'!$B$13,'Process'!BQ2=1),1+('Control Room'!$C$13-1)*EXP(-0.5*(($A597-'Control Room'!$A$13-('Control Room'!$B$13-1)/2)/MAX(0.5,'Control Room'!$B$13/4))^2),1)*IF(AND($A597&gt;='Control Room'!$A$14,$A597&lt;'Control Room'!$A$14+'Control Room'!$B$14,'Process'!BQ3=1),1+('Control Room'!$C$14-1)*EXP(-0.5*(($A597-'Control Room'!$A$14-('Control Room'!$B$14-1)/2)/MAX(0.5,'Control Room'!$B$14/4))^2),1)*IF(AND($A597&gt;='Control Room'!$A$15,$A597&lt;'Control Room'!$A$15+'Control Room'!$B$15,'Process'!BQ4=1),1+('Control Room'!$C$15-1)*EXP(-0.5*(($A597-'Control Room'!$A$15-('Control Room'!$B$15-1)/2)/MAX(0.5,'Control Room'!$B$15/4))^2),1)*IF(AND($A597&gt;='Control Room'!$A$16,$A597&lt;'Control Room'!$A$16+'Control Room'!$B$16,'Process'!BQ5=1),1+('Control Room'!$C$16-1)*EXP(-0.5*(($A597-'Control Room'!$A$16-('Control Room'!$B$16-1)/2)/MAX(0.5,'Control Room'!$B$16/4))^2),1)</x:f>
        <x:v>1</x:v>
      </x:c>
      <x:c r="AK597" s="9" t="n">
        <x:f>MOD(AL596*16807,2147483647)</x:f>
        <x:v>306862073</x:v>
      </x:c>
      <x:c r="AL597" s="9" t="n">
        <x:f>MOD(AK597*16807,2147483647)</x:f>
        <x:v>1322624464</x:v>
      </x:c>
      <x:c r="AM597" s="17" t="n">
        <x:f>IF('Control Room'!$B$5="Normal",'Control Room'!$B$7+'Control Room'!$D$7*SQRT(-2*LN(MAX(0.000000000001,AK597/2147483647)))*COS(2*PI()*AL597/2147483647),'Control Room'!$B$8+('Control Room'!$D$8-'Control Room'!$B$8)*AK597/2147483647)</x:f>
        <x:v>867.489448812728</x:v>
      </x:c>
      <x:c r="AN597" s="17" t="n">
        <x:f>IF('Control Room'!$B$5="Normal",'Control Room'!$B$7,('Control Room'!$B$8+'Control Room'!$D$8)/2)+'Control Room'!$B$9*(AN596-IF('Control Room'!$B$5="Normal",'Control Room'!$B$7,('Control Room'!$B$8+'Control Room'!$D$8)/2))+SQRT(1-'Control Room'!$B$9^2)*(AM597-IF('Control Room'!$B$5="Normal",'Control Room'!$B$7,('Control Room'!$B$8+'Control Room'!$D$8)/2))</x:f>
        <x:v>987.4987467873227</x:v>
      </x:c>
      <x:c r="AO597" s="17" t="n">
        <x:f>IF(AND($A597&gt;='Control Room'!$A$13,$A597&lt;'Control Room'!$A$13+'Control Room'!$B$13,'Process'!BR2=1),1+('Control Room'!$C$13-1)*EXP(-0.5*(($A597-'Control Room'!$A$13-('Control Room'!$B$13-1)/2)/MAX(0.5,'Control Room'!$B$13/4))^2),1)*IF(AND($A597&gt;='Control Room'!$A$14,$A597&lt;'Control Room'!$A$14+'Control Room'!$B$14,'Process'!BR3=1),1+('Control Room'!$C$14-1)*EXP(-0.5*(($A597-'Control Room'!$A$14-('Control Room'!$B$14-1)/2)/MAX(0.5,'Control Room'!$B$14/4))^2),1)*IF(AND($A597&gt;='Control Room'!$A$15,$A597&lt;'Control Room'!$A$15+'Control Room'!$B$15,'Process'!BR4=1),1+('Control Room'!$C$15-1)*EXP(-0.5*(($A597-'Control Room'!$A$15-('Control Room'!$B$15-1)/2)/MAX(0.5,'Control Room'!$B$15/4))^2),1)*IF(AND($A597&gt;='Control Room'!$A$16,$A597&lt;'Control Room'!$A$16+'Control Room'!$B$16,'Process'!BR5=1),1+('Control Room'!$C$16-1)*EXP(-0.5*(($A597-'Control Room'!$A$16-('Control Room'!$B$16-1)/2)/MAX(0.5,'Control Room'!$B$16/4))^2),1)</x:f>
        <x:v>1</x:v>
      </x:c>
      <x:c r="AP597" s="9" t="n">
        <x:f>MOD(AQ596*16807,2147483647)</x:f>
        <x:v>2144877351</x:v>
      </x:c>
      <x:c r="AQ597" s="9" t="n">
        <x:f>MOD(AP597*16807,2147483647)</x:f>
        <x:v>1293139715</x:v>
      </x:c>
      <x:c r="AR597" s="17" t="n">
        <x:f>IF('Control Room'!$B$5="Normal",'Control Room'!$B$7+'Control Room'!$D$7*SQRT(-2*LN(MAX(0.000000000001,AP597/2147483647)))*COS(2*PI()*AQ597/2147483647),'Control Room'!$B$8+('Control Room'!$D$8-'Control Room'!$B$8)*AP597/2147483647)</x:f>
        <x:v>996.4474542585291</x:v>
      </x:c>
      <x:c r="AS597" s="17" t="n">
        <x:f>IF('Control Room'!$B$5="Normal",'Control Room'!$B$7,('Control Room'!$B$8+'Control Room'!$D$8)/2)+'Control Room'!$B$9*(AS596-IF('Control Room'!$B$5="Normal",'Control Room'!$B$7,('Control Room'!$B$8+'Control Room'!$D$8)/2))+SQRT(1-'Control Room'!$B$9^2)*(AR597-IF('Control Room'!$B$5="Normal",'Control Room'!$B$7,('Control Room'!$B$8+'Control Room'!$D$8)/2))</x:f>
        <x:v>1045.2820351823946</x:v>
      </x:c>
      <x:c r="AT597" s="17" t="n">
        <x:f>IF(AND($A597&gt;='Control Room'!$A$13,$A597&lt;'Control Room'!$A$13+'Control Room'!$B$13,'Process'!BS2=1),1+('Control Room'!$C$13-1)*EXP(-0.5*(($A597-'Control Room'!$A$13-('Control Room'!$B$13-1)/2)/MAX(0.5,'Control Room'!$B$13/4))^2),1)*IF(AND($A597&gt;='Control Room'!$A$14,$A597&lt;'Control Room'!$A$14+'Control Room'!$B$14,'Process'!BS3=1),1+('Control Room'!$C$14-1)*EXP(-0.5*(($A597-'Control Room'!$A$14-('Control Room'!$B$14-1)/2)/MAX(0.5,'Control Room'!$B$14/4))^2),1)*IF(AND($A597&gt;='Control Room'!$A$15,$A597&lt;'Control Room'!$A$15+'Control Room'!$B$15,'Process'!BS4=1),1+('Control Room'!$C$15-1)*EXP(-0.5*(($A597-'Control Room'!$A$15-('Control Room'!$B$15-1)/2)/MAX(0.5,'Control Room'!$B$15/4))^2),1)*IF(AND($A597&gt;='Control Room'!$A$16,$A597&lt;'Control Room'!$A$16+'Control Room'!$B$16,'Process'!BS5=1),1+('Control Room'!$C$16-1)*EXP(-0.5*(($A597-'Control Room'!$A$16-('Control Room'!$B$16-1)/2)/MAX(0.5,'Control Room'!$B$16/4))^2),1)</x:f>
        <x:v>1</x:v>
      </x:c>
      <x:c r="AU597" s="9" t="n">
        <x:f>MOD(AV596*16807,2147483647)</x:f>
        <x:v>1835408982</x:v>
      </x:c>
      <x:c r="AV597" s="9" t="n">
        <x:f>MOD(AU597*16807,2147483647)</x:f>
        <x:v>1263654966</x:v>
      </x:c>
      <x:c r="AW597" s="17" t="n">
        <x:f>IF('Control Room'!$B$5="Normal",'Control Room'!$B$7+'Control Room'!$D$7*SQRT(-2*LN(MAX(0.000000000001,AU597/2147483647)))*COS(2*PI()*AV597/2147483647),'Control Room'!$B$8+('Control Room'!$D$8-'Control Room'!$B$8)*AU597/2147483647)</x:f>
        <x:v>957.1511023085817</x:v>
      </x:c>
      <x:c r="AX597" s="17" t="n">
        <x:f>IF('Control Room'!$B$5="Normal",'Control Room'!$B$7,('Control Room'!$B$8+'Control Room'!$D$8)/2)+'Control Room'!$B$9*(AX596-IF('Control Room'!$B$5="Normal",'Control Room'!$B$7,('Control Room'!$B$8+'Control Room'!$D$8)/2))+SQRT(1-'Control Room'!$B$9^2)*(AW597-IF('Control Room'!$B$5="Normal",'Control Room'!$B$7,('Control Room'!$B$8+'Control Room'!$D$8)/2))</x:f>
        <x:v>924.2498680021985</x:v>
      </x:c>
      <x:c r="AY597" s="17" t="n">
        <x:f>IF(AND($A597&gt;='Control Room'!$A$13,$A597&lt;'Control Room'!$A$13+'Control Room'!$B$13,'Process'!BT2=1),1+('Control Room'!$C$13-1)*EXP(-0.5*(($A597-'Control Room'!$A$13-('Control Room'!$B$13-1)/2)/MAX(0.5,'Control Room'!$B$13/4))^2),1)*IF(AND($A597&gt;='Control Room'!$A$14,$A597&lt;'Control Room'!$A$14+'Control Room'!$B$14,'Process'!BT3=1),1+('Control Room'!$C$14-1)*EXP(-0.5*(($A597-'Control Room'!$A$14-('Control Room'!$B$14-1)/2)/MAX(0.5,'Control Room'!$B$14/4))^2),1)*IF(AND($A597&gt;='Control Room'!$A$15,$A597&lt;'Control Room'!$A$15+'Control Room'!$B$15,'Process'!BT4=1),1+('Control Room'!$C$15-1)*EXP(-0.5*(($A597-'Control Room'!$A$15-('Control Room'!$B$15-1)/2)/MAX(0.5,'Control Room'!$B$15/4))^2),1)*IF(AND($A597&gt;='Control Room'!$A$16,$A597&lt;'Control Room'!$A$16+'Control Room'!$B$16,'Process'!BT5=1),1+('Control Room'!$C$16-1)*EXP(-0.5*(($A597-'Control Room'!$A$16-('Control Room'!$B$16-1)/2)/MAX(0.5,'Control Room'!$B$16/4))^2),1)</x:f>
        <x:v>1</x:v>
      </x:c>
      <x:c r="AZ597" s="9" t="n">
        <x:f>MOD(BA596*16807,2147483647)</x:f>
        <x:v>1525940613</x:v>
      </x:c>
      <x:c r="BA597" s="9" t="n">
        <x:f>MOD(AZ597*16807,2147483647)</x:f>
        <x:v>1234170217</x:v>
      </x:c>
      <x:c r="BB597" s="17" t="n">
        <x:f>IF('Control Room'!$B$5="Normal",'Control Room'!$B$7+'Control Room'!$D$7*SQRT(-2*LN(MAX(0.000000000001,AZ597/2147483647)))*COS(2*PI()*BA597/2147483647),'Control Room'!$B$8+('Control Room'!$D$8-'Control Room'!$B$8)*AZ597/2147483647)</x:f>
        <x:v>933.6469887992955</x:v>
      </x:c>
      <x:c r="BC597" s="17" t="n">
        <x:f>IF('Control Room'!$B$5="Normal",'Control Room'!$B$7,('Control Room'!$B$8+'Control Room'!$D$8)/2)+'Control Room'!$B$9*(BC596-IF('Control Room'!$B$5="Normal",'Control Room'!$B$7,('Control Room'!$B$8+'Control Room'!$D$8)/2))+SQRT(1-'Control Room'!$B$9^2)*(BB597-IF('Control Room'!$B$5="Normal",'Control Room'!$B$7,('Control Room'!$B$8+'Control Room'!$D$8)/2))</x:f>
        <x:v>1036.4703747594813</x:v>
      </x:c>
      <x:c r="BD597" s="17" t="n">
        <x:f>IF(AND($A597&gt;='Control Room'!$A$13,$A597&lt;'Control Room'!$A$13+'Control Room'!$B$13,'Process'!BU2=1),1+('Control Room'!$C$13-1)*EXP(-0.5*(($A597-'Control Room'!$A$13-('Control Room'!$B$13-1)/2)/MAX(0.5,'Control Room'!$B$13/4))^2),1)*IF(AND($A597&gt;='Control Room'!$A$14,$A597&lt;'Control Room'!$A$14+'Control Room'!$B$14,'Process'!BU3=1),1+('Control Room'!$C$14-1)*EXP(-0.5*(($A597-'Control Room'!$A$14-('Control Room'!$B$14-1)/2)/MAX(0.5,'Control Room'!$B$14/4))^2),1)*IF(AND($A597&gt;='Control Room'!$A$15,$A597&lt;'Control Room'!$A$15+'Control Room'!$B$15,'Process'!BU4=1),1+('Control Room'!$C$15-1)*EXP(-0.5*(($A597-'Control Room'!$A$15-('Control Room'!$B$15-1)/2)/MAX(0.5,'Control Room'!$B$15/4))^2),1)*IF(AND($A597&gt;='Control Room'!$A$16,$A597&lt;'Control Room'!$A$16+'Control Room'!$B$16,'Process'!BU5=1),1+('Control Room'!$C$16-1)*EXP(-0.5*(($A597-'Control Room'!$A$16-('Control Room'!$B$16-1)/2)/MAX(0.5,'Control Room'!$B$16/4))^2),1)</x:f>
        <x:v>1</x:v>
      </x:c>
      <x:c r="BE597" s="9" t="n">
        <x:f>MOD(BF596*16807,2147483647)</x:f>
        <x:v>1216472244</x:v>
      </x:c>
      <x:c r="BF597" s="9" t="n">
        <x:f>MOD(BE597*16807,2147483647)</x:f>
        <x:v>1204685468</x:v>
      </x:c>
      <x:c r="BG597" s="17" t="n">
        <x:f>IF('Control Room'!$B$5="Normal",'Control Room'!$B$7+'Control Room'!$D$7*SQRT(-2*LN(MAX(0.000000000001,BE597/2147483647)))*COS(2*PI()*BF597/2147483647),'Control Room'!$B$8+('Control Room'!$D$8-'Control Room'!$B$8)*BE597/2147483647)</x:f>
        <x:v>911.0025470361827</x:v>
      </x:c>
      <x:c r="BH597" s="17" t="n">
        <x:f>IF('Control Room'!$B$5="Normal",'Control Room'!$B$7,('Control Room'!$B$8+'Control Room'!$D$8)/2)+'Control Room'!$B$9*(BH596-IF('Control Room'!$B$5="Normal",'Control Room'!$B$7,('Control Room'!$B$8+'Control Room'!$D$8)/2))+SQRT(1-'Control Room'!$B$9^2)*(BG597-IF('Control Room'!$B$5="Normal",'Control Room'!$B$7,('Control Room'!$B$8+'Control Room'!$D$8)/2))</x:f>
        <x:v>953.7456713551458</x:v>
      </x:c>
      <x:c r="BI597" s="17" t="n">
        <x:f>IF(AND($A597&gt;='Control Room'!$A$13,$A597&lt;'Control Room'!$A$13+'Control Room'!$B$13,'Process'!BV2=1),1+('Control Room'!$C$13-1)*EXP(-0.5*(($A597-'Control Room'!$A$13-('Control Room'!$B$13-1)/2)/MAX(0.5,'Control Room'!$B$13/4))^2),1)*IF(AND($A597&gt;='Control Room'!$A$14,$A597&lt;'Control Room'!$A$14+'Control Room'!$B$14,'Process'!BV3=1),1+('Control Room'!$C$14-1)*EXP(-0.5*(($A597-'Control Room'!$A$14-('Control Room'!$B$14-1)/2)/MAX(0.5,'Control Room'!$B$14/4))^2),1)*IF(AND($A597&gt;='Control Room'!$A$15,$A597&lt;'Control Room'!$A$15+'Control Room'!$B$15,'Process'!BV4=1),1+('Control Room'!$C$15-1)*EXP(-0.5*(($A597-'Control Room'!$A$15-('Control Room'!$B$15-1)/2)/MAX(0.5,'Control Room'!$B$15/4))^2),1)*IF(AND($A597&gt;='Control Room'!$A$16,$A597&lt;'Control Room'!$A$16+'Control Room'!$B$16,'Process'!BV5=1),1+('Control Room'!$C$16-1)*EXP(-0.5*(($A597-'Control Room'!$A$16-('Control Room'!$B$16-1)/2)/MAX(0.5,'Control Room'!$B$16/4))^2),1)</x:f>
        <x:v>1</x:v>
      </x:c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Z597" t="str">
        <x:f>IF('Data'!A597="","",TEXT('Data'!A597,"mm-dd"))</x:f>
      </x:c>
    </x:row>
    <x:row r="598" ht="21" customHeight="1">
      <x:c r="A598" s="15" t="n">
        <x:f>'Control Room'!$B$1+596</x:f>
        <x:v>73587</x:v>
      </x:c>
      <x:c r="B598" s="9" t="n">
        <x:f>MOD(C597*16807,2147483647)</x:f>
        <x:v>1411281547</x:v>
      </x:c>
      <x:c r="C598" s="9" t="n">
        <x:f>MOD(B598*16807,2147483647)</x:f>
        <x:v>452079314</x:v>
      </x:c>
      <x:c r="D598" s="17" t="n">
        <x:f>IF('Control Room'!$B$5="Normal",'Control Room'!$B$7+'Control Room'!$D$7*SQRT(-2*LN(MAX(0.000000000001,B598/2147483647)))*COS(2*PI()*C598/2147483647),'Control Room'!$B$8+('Control Room'!$D$8-'Control Room'!$B$8)*B598/2147483647)</x:f>
        <x:v>1020.2496128030153</x:v>
      </x:c>
      <x:c r="E598" s="17" t="n">
        <x:f>IF('Control Room'!$B$5="Normal",'Control Room'!$B$7,('Control Room'!$B$8+'Control Room'!$D$8)/2)+'Control Room'!$B$9*(E597-IF('Control Room'!$B$5="Normal",'Control Room'!$B$7,('Control Room'!$B$8+'Control Room'!$D$8)/2))+SQRT(1-'Control Room'!$B$9^2)*(D598-IF('Control Room'!$B$5="Normal",'Control Room'!$B$7,('Control Room'!$B$8+'Control Room'!$D$8)/2))</x:f>
        <x:v>1021.003007708519</x:v>
      </x:c>
      <x:c r="F598" s="17" t="n">
        <x:f>IF(AND($A598&gt;='Control Room'!$A$13,$A598&lt;'Control Room'!$A$13+'Control Room'!$B$13,'Process'!BK2=1),1+('Control Room'!$C$13-1)*EXP(-0.5*(($A598-'Control Room'!$A$13-('Control Room'!$B$13-1)/2)/MAX(0.5,'Control Room'!$B$13/4))^2),1)*IF(AND($A598&gt;='Control Room'!$A$14,$A598&lt;'Control Room'!$A$14+'Control Room'!$B$14,'Process'!BK3=1),1+('Control Room'!$C$14-1)*EXP(-0.5*(($A598-'Control Room'!$A$14-('Control Room'!$B$14-1)/2)/MAX(0.5,'Control Room'!$B$14/4))^2),1)*IF(AND($A598&gt;='Control Room'!$A$15,$A598&lt;'Control Room'!$A$15+'Control Room'!$B$15,'Process'!BK4=1),1+('Control Room'!$C$15-1)*EXP(-0.5*(($A598-'Control Room'!$A$15-('Control Room'!$B$15-1)/2)/MAX(0.5,'Control Room'!$B$15/4))^2),1)*IF(AND($A598&gt;='Control Room'!$A$16,$A598&lt;'Control Room'!$A$16+'Control Room'!$B$16,'Process'!BK5=1),1+('Control Room'!$C$16-1)*EXP(-0.5*(($A598-'Control Room'!$A$16-('Control Room'!$B$16-1)/2)/MAX(0.5,'Control Room'!$B$16/4))^2),1)</x:f>
        <x:v>1</x:v>
      </x:c>
      <x:c r="G598" s="9" t="n">
        <x:f>MOD(H597*16807,2147483647)</x:f>
        <x:v>1929827561</x:v>
      </x:c>
      <x:c r="H598" s="9" t="n">
        <x:f>MOD(G598*16807,2147483647)</x:f>
        <x:v>1166297086</x:v>
      </x:c>
      <x:c r="I598" s="17" t="n">
        <x:f>IF('Control Room'!$B$5="Normal",'Control Room'!$B$7+'Control Room'!$D$7*SQRT(-2*LN(MAX(0.000000000001,G598/2147483647)))*COS(2*PI()*H598/2147483647),'Control Room'!$B$8+('Control Room'!$D$8-'Control Room'!$B$8)*G598/2147483647)</x:f>
        <x:v>959.9082678394876</x:v>
      </x:c>
      <x:c r="J598" s="17" t="n">
        <x:f>IF('Control Room'!$B$5="Normal",'Control Room'!$B$7,('Control Room'!$B$8+'Control Room'!$D$8)/2)+'Control Room'!$B$9*(J597-IF('Control Room'!$B$5="Normal",'Control Room'!$B$7,('Control Room'!$B$8+'Control Room'!$D$8)/2))+SQRT(1-'Control Room'!$B$9^2)*(I598-IF('Control Room'!$B$5="Normal",'Control Room'!$B$7,('Control Room'!$B$8+'Control Room'!$D$8)/2))</x:f>
        <x:v>861.5392312523394</x:v>
      </x:c>
      <x:c r="K598" s="17" t="n">
        <x:f>IF(AND($A598&gt;='Control Room'!$A$13,$A598&lt;'Control Room'!$A$13+'Control Room'!$B$13,'Process'!BL2=1),1+('Control Room'!$C$13-1)*EXP(-0.5*(($A598-'Control Room'!$A$13-('Control Room'!$B$13-1)/2)/MAX(0.5,'Control Room'!$B$13/4))^2),1)*IF(AND($A598&gt;='Control Room'!$A$14,$A598&lt;'Control Room'!$A$14+'Control Room'!$B$14,'Process'!BL3=1),1+('Control Room'!$C$14-1)*EXP(-0.5*(($A598-'Control Room'!$A$14-('Control Room'!$B$14-1)/2)/MAX(0.5,'Control Room'!$B$14/4))^2),1)*IF(AND($A598&gt;='Control Room'!$A$15,$A598&lt;'Control Room'!$A$15+'Control Room'!$B$15,'Process'!BL4=1),1+('Control Room'!$C$15-1)*EXP(-0.5*(($A598-'Control Room'!$A$15-('Control Room'!$B$15-1)/2)/MAX(0.5,'Control Room'!$B$15/4))^2),1)*IF(AND($A598&gt;='Control Room'!$A$16,$A598&lt;'Control Room'!$A$16+'Control Room'!$B$16,'Process'!BL5=1),1+('Control Room'!$C$16-1)*EXP(-0.5*(($A598-'Control Room'!$A$16-('Control Room'!$B$16-1)/2)/MAX(0.5,'Control Room'!$B$16/4))^2),1)</x:f>
        <x:v>1</x:v>
      </x:c>
      <x:c r="L598" s="9" t="n">
        <x:f>MOD(M597*16807,2147483647)</x:f>
        <x:v>300889928</x:v>
      </x:c>
      <x:c r="M598" s="9" t="n">
        <x:f>MOD(L598*16807,2147483647)</x:f>
        <x:v>1880514858</x:v>
      </x:c>
      <x:c r="N598" s="17" t="n">
        <x:f>IF('Control Room'!$B$5="Normal",'Control Room'!$B$7+'Control Room'!$D$7*SQRT(-2*LN(MAX(0.000000000001,L598/2147483647)))*COS(2*PI()*M598/2147483647),'Control Room'!$B$8+('Control Room'!$D$8-'Control Room'!$B$8)*L598/2147483647)</x:f>
        <x:v>1126.71074663534</x:v>
      </x:c>
      <x:c r="O598" s="17" t="n">
        <x:f>IF('Control Room'!$B$5="Normal",'Control Room'!$B$7,('Control Room'!$B$8+'Control Room'!$D$8)/2)+'Control Room'!$B$9*(O597-IF('Control Room'!$B$5="Normal",'Control Room'!$B$7,('Control Room'!$B$8+'Control Room'!$D$8)/2))+SQRT(1-'Control Room'!$B$9^2)*(N598-IF('Control Room'!$B$5="Normal",'Control Room'!$B$7,('Control Room'!$B$8+'Control Room'!$D$8)/2))</x:f>
        <x:v>1130.208967430461</x:v>
      </x:c>
      <x:c r="P598" s="17" t="n">
        <x:f>IF(AND($A598&gt;='Control Room'!$A$13,$A598&lt;'Control Room'!$A$13+'Control Room'!$B$13,'Process'!BM2=1),1+('Control Room'!$C$13-1)*EXP(-0.5*(($A598-'Control Room'!$A$13-('Control Room'!$B$13-1)/2)/MAX(0.5,'Control Room'!$B$13/4))^2),1)*IF(AND($A598&gt;='Control Room'!$A$14,$A598&lt;'Control Room'!$A$14+'Control Room'!$B$14,'Process'!BM3=1),1+('Control Room'!$C$14-1)*EXP(-0.5*(($A598-'Control Room'!$A$14-('Control Room'!$B$14-1)/2)/MAX(0.5,'Control Room'!$B$14/4))^2),1)*IF(AND($A598&gt;='Control Room'!$A$15,$A598&lt;'Control Room'!$A$15+'Control Room'!$B$15,'Process'!BM4=1),1+('Control Room'!$C$15-1)*EXP(-0.5*(($A598-'Control Room'!$A$15-('Control Room'!$B$15-1)/2)/MAX(0.5,'Control Room'!$B$15/4))^2),1)*IF(AND($A598&gt;='Control Room'!$A$16,$A598&lt;'Control Room'!$A$16+'Control Room'!$B$16,'Process'!BM5=1),1+('Control Room'!$C$16-1)*EXP(-0.5*(($A598-'Control Room'!$A$16-('Control Room'!$B$16-1)/2)/MAX(0.5,'Control Room'!$B$16/4))^2),1)</x:f>
        <x:v>1</x:v>
      </x:c>
      <x:c r="Q598" s="9" t="n">
        <x:f>MOD(R597*16807,2147483647)</x:f>
        <x:v>819435942</x:v>
      </x:c>
      <x:c r="R598" s="9" t="n">
        <x:f>MOD(Q598*16807,2147483647)</x:f>
        <x:v>447248983</x:v>
      </x:c>
      <x:c r="S598" s="17" t="n">
        <x:f>IF('Control Room'!$B$5="Normal",'Control Room'!$B$7+'Control Room'!$D$7*SQRT(-2*LN(MAX(0.000000000001,Q598/2147483647)))*COS(2*PI()*R598/2147483647),'Control Room'!$B$8+('Control Room'!$D$8-'Control Room'!$B$8)*Q598/2147483647)</x:f>
        <x:v>1032.3850670582183</x:v>
      </x:c>
      <x:c r="T598" s="17" t="n">
        <x:f>IF('Control Room'!$B$5="Normal",'Control Room'!$B$7,('Control Room'!$B$8+'Control Room'!$D$8)/2)+'Control Room'!$B$9*(T597-IF('Control Room'!$B$5="Normal",'Control Room'!$B$7,('Control Room'!$B$8+'Control Room'!$D$8)/2))+SQRT(1-'Control Room'!$B$9^2)*(S598-IF('Control Room'!$B$5="Normal",'Control Room'!$B$7,('Control Room'!$B$8+'Control Room'!$D$8)/2))</x:f>
        <x:v>917.9845853312772</x:v>
      </x:c>
      <x:c r="U598" s="17" t="n">
        <x:f>IF(AND($A598&gt;='Control Room'!$A$13,$A598&lt;'Control Room'!$A$13+'Control Room'!$B$13,'Process'!BN2=1),1+('Control Room'!$C$13-1)*EXP(-0.5*(($A598-'Control Room'!$A$13-('Control Room'!$B$13-1)/2)/MAX(0.5,'Control Room'!$B$13/4))^2),1)*IF(AND($A598&gt;='Control Room'!$A$14,$A598&lt;'Control Room'!$A$14+'Control Room'!$B$14,'Process'!BN3=1),1+('Control Room'!$C$14-1)*EXP(-0.5*(($A598-'Control Room'!$A$14-('Control Room'!$B$14-1)/2)/MAX(0.5,'Control Room'!$B$14/4))^2),1)*IF(AND($A598&gt;='Control Room'!$A$15,$A598&lt;'Control Room'!$A$15+'Control Room'!$B$15,'Process'!BN4=1),1+('Control Room'!$C$15-1)*EXP(-0.5*(($A598-'Control Room'!$A$15-('Control Room'!$B$15-1)/2)/MAX(0.5,'Control Room'!$B$15/4))^2),1)*IF(AND($A598&gt;='Control Room'!$A$16,$A598&lt;'Control Room'!$A$16+'Control Room'!$B$16,'Process'!BN5=1),1+('Control Room'!$C$16-1)*EXP(-0.5*(($A598-'Control Room'!$A$16-('Control Room'!$B$16-1)/2)/MAX(0.5,'Control Room'!$B$16/4))^2),1)</x:f>
        <x:v>1</x:v>
      </x:c>
      <x:c r="V598" s="9" t="n">
        <x:f>MOD(W597*16807,2147483647)</x:f>
        <x:v>1337981956</x:v>
      </x:c>
      <x:c r="W598" s="9" t="n">
        <x:f>MOD(V598*16807,2147483647)</x:f>
        <x:v>1161466755</x:v>
      </x:c>
      <x:c r="X598" s="17" t="n">
        <x:f>IF('Control Room'!$B$5="Normal",'Control Room'!$B$7+'Control Room'!$D$7*SQRT(-2*LN(MAX(0.000000000001,V598/2147483647)))*COS(2*PI()*W598/2147483647),'Control Room'!$B$8+('Control Room'!$D$8-'Control Room'!$B$8)*V598/2147483647)</x:f>
        <x:v>915.3193042949379</x:v>
      </x:c>
      <x:c r="Y598" s="17" t="n">
        <x:f>IF('Control Room'!$B$5="Normal",'Control Room'!$B$7,('Control Room'!$B$8+'Control Room'!$D$8)/2)+'Control Room'!$B$9*(Y597-IF('Control Room'!$B$5="Normal",'Control Room'!$B$7,('Control Room'!$B$8+'Control Room'!$D$8)/2))+SQRT(1-'Control Room'!$B$9^2)*(X598-IF('Control Room'!$B$5="Normal",'Control Room'!$B$7,('Control Room'!$B$8+'Control Room'!$D$8)/2))</x:f>
        <x:v>953.7116556868556</x:v>
      </x:c>
      <x:c r="Z598" s="17" t="n">
        <x:f>IF(AND($A598&gt;='Control Room'!$A$13,$A598&lt;'Control Room'!$A$13+'Control Room'!$B$13,'Process'!BO2=1),1+('Control Room'!$C$13-1)*EXP(-0.5*(($A598-'Control Room'!$A$13-('Control Room'!$B$13-1)/2)/MAX(0.5,'Control Room'!$B$13/4))^2),1)*IF(AND($A598&gt;='Control Room'!$A$14,$A598&lt;'Control Room'!$A$14+'Control Room'!$B$14,'Process'!BO3=1),1+('Control Room'!$C$14-1)*EXP(-0.5*(($A598-'Control Room'!$A$14-('Control Room'!$B$14-1)/2)/MAX(0.5,'Control Room'!$B$14/4))^2),1)*IF(AND($A598&gt;='Control Room'!$A$15,$A598&lt;'Control Room'!$A$15+'Control Room'!$B$15,'Process'!BO4=1),1+('Control Room'!$C$15-1)*EXP(-0.5*(($A598-'Control Room'!$A$15-('Control Room'!$B$15-1)/2)/MAX(0.5,'Control Room'!$B$15/4))^2),1)*IF(AND($A598&gt;='Control Room'!$A$16,$A598&lt;'Control Room'!$A$16+'Control Room'!$B$16,'Process'!BO5=1),1+('Control Room'!$C$16-1)*EXP(-0.5*(($A598-'Control Room'!$A$16-('Control Room'!$B$16-1)/2)/MAX(0.5,'Control Room'!$B$16/4))^2),1)</x:f>
        <x:v>1</x:v>
      </x:c>
      <x:c r="AA598" s="9" t="n">
        <x:f>MOD(AB597*16807,2147483647)</x:f>
        <x:v>1856527970</x:v>
      </x:c>
      <x:c r="AB598" s="9" t="n">
        <x:f>MOD(AA598*16807,2147483647)</x:f>
        <x:v>1875684527</x:v>
      </x:c>
      <x:c r="AC598" s="17" t="n">
        <x:f>IF('Control Room'!$B$5="Normal",'Control Room'!$B$7+'Control Room'!$D$7*SQRT(-2*LN(MAX(0.000000000001,AA598/2147483647)))*COS(2*PI()*AB598/2147483647),'Control Room'!$B$8+('Control Room'!$D$8-'Control Room'!$B$8)*AA598/2147483647)</x:f>
        <x:v>1034.0008581062596</x:v>
      </x:c>
      <x:c r="AD598" s="17" t="n">
        <x:f>IF('Control Room'!$B$5="Normal",'Control Room'!$B$7,('Control Room'!$B$8+'Control Room'!$D$8)/2)+'Control Room'!$B$9*(AD597-IF('Control Room'!$B$5="Normal",'Control Room'!$B$7,('Control Room'!$B$8+'Control Room'!$D$8)/2))+SQRT(1-'Control Room'!$B$9^2)*(AC598-IF('Control Room'!$B$5="Normal",'Control Room'!$B$7,('Control Room'!$B$8+'Control Room'!$D$8)/2))</x:f>
        <x:v>1001.8364097542469</x:v>
      </x:c>
      <x:c r="AE598" s="17" t="n">
        <x:f>IF(AND($A598&gt;='Control Room'!$A$13,$A598&lt;'Control Room'!$A$13+'Control Room'!$B$13,'Process'!BP2=1),1+('Control Room'!$C$13-1)*EXP(-0.5*(($A598-'Control Room'!$A$13-('Control Room'!$B$13-1)/2)/MAX(0.5,'Control Room'!$B$13/4))^2),1)*IF(AND($A598&gt;='Control Room'!$A$14,$A598&lt;'Control Room'!$A$14+'Control Room'!$B$14,'Process'!BP3=1),1+('Control Room'!$C$14-1)*EXP(-0.5*(($A598-'Control Room'!$A$14-('Control Room'!$B$14-1)/2)/MAX(0.5,'Control Room'!$B$14/4))^2),1)*IF(AND($A598&gt;='Control Room'!$A$15,$A598&lt;'Control Room'!$A$15+'Control Room'!$B$15,'Process'!BP4=1),1+('Control Room'!$C$15-1)*EXP(-0.5*(($A598-'Control Room'!$A$15-('Control Room'!$B$15-1)/2)/MAX(0.5,'Control Room'!$B$15/4))^2),1)*IF(AND($A598&gt;='Control Room'!$A$16,$A598&lt;'Control Room'!$A$16+'Control Room'!$B$16,'Process'!BP5=1),1+('Control Room'!$C$16-1)*EXP(-0.5*(($A598-'Control Room'!$A$16-('Control Room'!$B$16-1)/2)/MAX(0.5,'Control Room'!$B$16/4))^2),1)</x:f>
        <x:v>1</x:v>
      </x:c>
      <x:c r="AF598" s="9" t="n">
        <x:f>MOD(AG597*16807,2147483647)</x:f>
        <x:v>227590337</x:v>
      </x:c>
      <x:c r="AG598" s="9" t="n">
        <x:f>MOD(AF598*16807,2147483647)</x:f>
        <x:v>442418652</x:v>
      </x:c>
      <x:c r="AH598" s="17" t="n">
        <x:f>IF('Control Room'!$B$5="Normal",'Control Room'!$B$7+'Control Room'!$D$7*SQRT(-2*LN(MAX(0.000000000001,AF598/2147483647)))*COS(2*PI()*AG598/2147483647),'Control Room'!$B$8+('Control Room'!$D$8-'Control Room'!$B$8)*AF598/2147483647)</x:f>
        <x:v>1052.0281185905105</x:v>
      </x:c>
      <x:c r="AI598" s="17" t="n">
        <x:f>IF('Control Room'!$B$5="Normal",'Control Room'!$B$7,('Control Room'!$B$8+'Control Room'!$D$8)/2)+'Control Room'!$B$9*(AI597-IF('Control Room'!$B$5="Normal",'Control Room'!$B$7,('Control Room'!$B$8+'Control Room'!$D$8)/2))+SQRT(1-'Control Room'!$B$9^2)*(AH598-IF('Control Room'!$B$5="Normal",'Control Room'!$B$7,('Control Room'!$B$8+'Control Room'!$D$8)/2))</x:f>
        <x:v>940.5776698803165</x:v>
      </x:c>
      <x:c r="AJ598" s="17" t="n">
        <x:f>IF(AND($A598&gt;='Control Room'!$A$13,$A598&lt;'Control Room'!$A$13+'Control Room'!$B$13,'Process'!BQ2=1),1+('Control Room'!$C$13-1)*EXP(-0.5*(($A598-'Control Room'!$A$13-('Control Room'!$B$13-1)/2)/MAX(0.5,'Control Room'!$B$13/4))^2),1)*IF(AND($A598&gt;='Control Room'!$A$14,$A598&lt;'Control Room'!$A$14+'Control Room'!$B$14,'Process'!BQ3=1),1+('Control Room'!$C$14-1)*EXP(-0.5*(($A598-'Control Room'!$A$14-('Control Room'!$B$14-1)/2)/MAX(0.5,'Control Room'!$B$14/4))^2),1)*IF(AND($A598&gt;='Control Room'!$A$15,$A598&lt;'Control Room'!$A$15+'Control Room'!$B$15,'Process'!BQ4=1),1+('Control Room'!$C$15-1)*EXP(-0.5*(($A598-'Control Room'!$A$15-('Control Room'!$B$15-1)/2)/MAX(0.5,'Control Room'!$B$15/4))^2),1)*IF(AND($A598&gt;='Control Room'!$A$16,$A598&lt;'Control Room'!$A$16+'Control Room'!$B$16,'Process'!BQ5=1),1+('Control Room'!$C$16-1)*EXP(-0.5*(($A598-'Control Room'!$A$16-('Control Room'!$B$16-1)/2)/MAX(0.5,'Control Room'!$B$16/4))^2),1)</x:f>
        <x:v>1</x:v>
      </x:c>
      <x:c r="AK598" s="9" t="n">
        <x:f>MOD(AL597*16807,2147483647)</x:f>
        <x:v>746136351</x:v>
      </x:c>
      <x:c r="AL598" s="9" t="n">
        <x:f>MOD(AK598*16807,2147483647)</x:f>
        <x:v>1156636424</x:v>
      </x:c>
      <x:c r="AM598" s="17" t="n">
        <x:f>IF('Control Room'!$B$5="Normal",'Control Room'!$B$7+'Control Room'!$D$7*SQRT(-2*LN(MAX(0.000000000001,AK598/2147483647)))*COS(2*PI()*AL598/2147483647),'Control Room'!$B$8+('Control Room'!$D$8-'Control Room'!$B$8)*AK598/2147483647)</x:f>
        <x:v>872.964858031957</x:v>
      </x:c>
      <x:c r="AN598" s="17" t="n">
        <x:f>IF('Control Room'!$B$5="Normal",'Control Room'!$B$7,('Control Room'!$B$8+'Control Room'!$D$8)/2)+'Control Room'!$B$9*(AN597-IF('Control Room'!$B$5="Normal",'Control Room'!$B$7,('Control Room'!$B$8+'Control Room'!$D$8)/2))+SQRT(1-'Control Room'!$B$9^2)*(AM598-IF('Control Room'!$B$5="Normal",'Control Room'!$B$7,('Control Room'!$B$8+'Control Room'!$D$8)/2))</x:f>
        <x:v>910.7530331068497</x:v>
      </x:c>
      <x:c r="AO598" s="17" t="n">
        <x:f>IF(AND($A598&gt;='Control Room'!$A$13,$A598&lt;'Control Room'!$A$13+'Control Room'!$B$13,'Process'!BR2=1),1+('Control Room'!$C$13-1)*EXP(-0.5*(($A598-'Control Room'!$A$13-('Control Room'!$B$13-1)/2)/MAX(0.5,'Control Room'!$B$13/4))^2),1)*IF(AND($A598&gt;='Control Room'!$A$14,$A598&lt;'Control Room'!$A$14+'Control Room'!$B$14,'Process'!BR3=1),1+('Control Room'!$C$14-1)*EXP(-0.5*(($A598-'Control Room'!$A$14-('Control Room'!$B$14-1)/2)/MAX(0.5,'Control Room'!$B$14/4))^2),1)*IF(AND($A598&gt;='Control Room'!$A$15,$A598&lt;'Control Room'!$A$15+'Control Room'!$B$15,'Process'!BR4=1),1+('Control Room'!$C$15-1)*EXP(-0.5*(($A598-'Control Room'!$A$15-('Control Room'!$B$15-1)/2)/MAX(0.5,'Control Room'!$B$15/4))^2),1)*IF(AND($A598&gt;='Control Room'!$A$16,$A598&lt;'Control Room'!$A$16+'Control Room'!$B$16,'Process'!BR5=1),1+('Control Room'!$C$16-1)*EXP(-0.5*(($A598-'Control Room'!$A$16-('Control Room'!$B$16-1)/2)/MAX(0.5,'Control Room'!$B$16/4))^2),1)</x:f>
        <x:v>1</x:v>
      </x:c>
      <x:c r="AP598" s="9" t="n">
        <x:f>MOD(AQ597*16807,2147483647)</x:f>
        <x:v>1264682365</x:v>
      </x:c>
      <x:c r="AQ598" s="9" t="n">
        <x:f>MOD(AP598*16807,2147483647)</x:f>
        <x:v>1870854196</x:v>
      </x:c>
      <x:c r="AR598" s="17" t="n">
        <x:f>IF('Control Room'!$B$5="Normal",'Control Room'!$B$7+'Control Room'!$D$7*SQRT(-2*LN(MAX(0.000000000001,AP598/2147483647)))*COS(2*PI()*AQ598/2147483647),'Control Room'!$B$8+('Control Room'!$D$8-'Control Room'!$B$8)*AP598/2147483647)</x:f>
        <x:v>1063.8998658174696</x:v>
      </x:c>
      <x:c r="AS598" s="17" t="n">
        <x:f>IF('Control Room'!$B$5="Normal",'Control Room'!$B$7,('Control Room'!$B$8+'Control Room'!$D$8)/2)+'Control Room'!$B$9*(AS597-IF('Control Room'!$B$5="Normal",'Control Room'!$B$7,('Control Room'!$B$8+'Control Room'!$D$8)/2))+SQRT(1-'Control Room'!$B$9^2)*(AR598-IF('Control Room'!$B$5="Normal",'Control Room'!$B$7,('Control Room'!$B$8+'Control Room'!$D$8)/2))</x:f>
        <x:v>1075.3072144109353</x:v>
      </x:c>
      <x:c r="AT598" s="17" t="n">
        <x:f>IF(AND($A598&gt;='Control Room'!$A$13,$A598&lt;'Control Room'!$A$13+'Control Room'!$B$13,'Process'!BS2=1),1+('Control Room'!$C$13-1)*EXP(-0.5*(($A598-'Control Room'!$A$13-('Control Room'!$B$13-1)/2)/MAX(0.5,'Control Room'!$B$13/4))^2),1)*IF(AND($A598&gt;='Control Room'!$A$14,$A598&lt;'Control Room'!$A$14+'Control Room'!$B$14,'Process'!BS3=1),1+('Control Room'!$C$14-1)*EXP(-0.5*(($A598-'Control Room'!$A$14-('Control Room'!$B$14-1)/2)/MAX(0.5,'Control Room'!$B$14/4))^2),1)*IF(AND($A598&gt;='Control Room'!$A$15,$A598&lt;'Control Room'!$A$15+'Control Room'!$B$15,'Process'!BS4=1),1+('Control Room'!$C$15-1)*EXP(-0.5*(($A598-'Control Room'!$A$15-('Control Room'!$B$15-1)/2)/MAX(0.5,'Control Room'!$B$15/4))^2),1)*IF(AND($A598&gt;='Control Room'!$A$16,$A598&lt;'Control Room'!$A$16+'Control Room'!$B$16,'Process'!BS5=1),1+('Control Room'!$C$16-1)*EXP(-0.5*(($A598-'Control Room'!$A$16-('Control Room'!$B$16-1)/2)/MAX(0.5,'Control Room'!$B$16/4))^2),1)</x:f>
        <x:v>1</x:v>
      </x:c>
      <x:c r="AU598" s="9" t="n">
        <x:f>MOD(AV597*16807,2147483647)</x:f>
        <x:v>1783228379</x:v>
      </x:c>
      <x:c r="AV598" s="9" t="n">
        <x:f>MOD(AU598*16807,2147483647)</x:f>
        <x:v>437588321</x:v>
      </x:c>
      <x:c r="AW598" s="17" t="n">
        <x:f>IF('Control Room'!$B$5="Normal",'Control Room'!$B$7+'Control Room'!$D$7*SQRT(-2*LN(MAX(0.000000000001,AU598/2147483647)))*COS(2*PI()*AV598/2147483647),'Control Room'!$B$8+('Control Room'!$D$8-'Control Room'!$B$8)*AU598/2147483647)</x:f>
        <x:v>1015.7167170782513</x:v>
      </x:c>
      <x:c r="AX598" s="17" t="n">
        <x:f>IF('Control Room'!$B$5="Normal",'Control Room'!$B$7,('Control Room'!$B$8+'Control Room'!$D$8)/2)+'Control Room'!$B$9*(AX597-IF('Control Room'!$B$5="Normal",'Control Room'!$B$7,('Control Room'!$B$8+'Control Room'!$D$8)/2))+SQRT(1-'Control Room'!$B$9^2)*(AW598-IF('Control Room'!$B$5="Normal",'Control Room'!$B$7,('Control Room'!$B$8+'Control Room'!$D$8)/2))</x:f>
        <x:v>950.7500966148342</x:v>
      </x:c>
      <x:c r="AY598" s="17" t="n">
        <x:f>IF(AND($A598&gt;='Control Room'!$A$13,$A598&lt;'Control Room'!$A$13+'Control Room'!$B$13,'Process'!BT2=1),1+('Control Room'!$C$13-1)*EXP(-0.5*(($A598-'Control Room'!$A$13-('Control Room'!$B$13-1)/2)/MAX(0.5,'Control Room'!$B$13/4))^2),1)*IF(AND($A598&gt;='Control Room'!$A$14,$A598&lt;'Control Room'!$A$14+'Control Room'!$B$14,'Process'!BT3=1),1+('Control Room'!$C$14-1)*EXP(-0.5*(($A598-'Control Room'!$A$14-('Control Room'!$B$14-1)/2)/MAX(0.5,'Control Room'!$B$14/4))^2),1)*IF(AND($A598&gt;='Control Room'!$A$15,$A598&lt;'Control Room'!$A$15+'Control Room'!$B$15,'Process'!BT4=1),1+('Control Room'!$C$15-1)*EXP(-0.5*(($A598-'Control Room'!$A$15-('Control Room'!$B$15-1)/2)/MAX(0.5,'Control Room'!$B$15/4))^2),1)*IF(AND($A598&gt;='Control Room'!$A$16,$A598&lt;'Control Room'!$A$16+'Control Room'!$B$16,'Process'!BT5=1),1+('Control Room'!$C$16-1)*EXP(-0.5*(($A598-'Control Room'!$A$16-('Control Room'!$B$16-1)/2)/MAX(0.5,'Control Room'!$B$16/4))^2),1)</x:f>
        <x:v>1</x:v>
      </x:c>
      <x:c r="AZ598" s="9" t="n">
        <x:f>MOD(BA597*16807,2147483647)</x:f>
        <x:v>154290746</x:v>
      </x:c>
      <x:c r="BA598" s="9" t="n">
        <x:f>MOD(AZ598*16807,2147483647)</x:f>
        <x:v>1151806093</x:v>
      </x:c>
      <x:c r="BB598" s="17" t="n">
        <x:f>IF('Control Room'!$B$5="Normal",'Control Room'!$B$7+'Control Room'!$D$7*SQRT(-2*LN(MAX(0.000000000001,AZ598/2147483647)))*COS(2*PI()*BA598/2147483647),'Control Room'!$B$8+('Control Room'!$D$8-'Control Room'!$B$8)*AZ598/2147483647)</x:f>
        <x:v>798.8257047676562</x:v>
      </x:c>
      <x:c r="BC598" s="17" t="n">
        <x:f>IF('Control Room'!$B$5="Normal",'Control Room'!$B$7,('Control Room'!$B$8+'Control Room'!$D$8)/2)+'Control Room'!$B$9*(BC597-IF('Control Room'!$B$5="Normal",'Control Room'!$B$7,('Control Room'!$B$8+'Control Room'!$D$8)/2))+SQRT(1-'Control Room'!$B$9^2)*(BB598-IF('Control Room'!$B$5="Normal",'Control Room'!$B$7,('Control Room'!$B$8+'Control Room'!$D$8)/2))</x:f>
        <x:v>902.5561396354441</x:v>
      </x:c>
      <x:c r="BD598" s="17" t="n">
        <x:f>IF(AND($A598&gt;='Control Room'!$A$13,$A598&lt;'Control Room'!$A$13+'Control Room'!$B$13,'Process'!BU2=1),1+('Control Room'!$C$13-1)*EXP(-0.5*(($A598-'Control Room'!$A$13-('Control Room'!$B$13-1)/2)/MAX(0.5,'Control Room'!$B$13/4))^2),1)*IF(AND($A598&gt;='Control Room'!$A$14,$A598&lt;'Control Room'!$A$14+'Control Room'!$B$14,'Process'!BU3=1),1+('Control Room'!$C$14-1)*EXP(-0.5*(($A598-'Control Room'!$A$14-('Control Room'!$B$14-1)/2)/MAX(0.5,'Control Room'!$B$14/4))^2),1)*IF(AND($A598&gt;='Control Room'!$A$15,$A598&lt;'Control Room'!$A$15+'Control Room'!$B$15,'Process'!BU4=1),1+('Control Room'!$C$15-1)*EXP(-0.5*(($A598-'Control Room'!$A$15-('Control Room'!$B$15-1)/2)/MAX(0.5,'Control Room'!$B$15/4))^2),1)*IF(AND($A598&gt;='Control Room'!$A$16,$A598&lt;'Control Room'!$A$16+'Control Room'!$B$16,'Process'!BU5=1),1+('Control Room'!$C$16-1)*EXP(-0.5*(($A598-'Control Room'!$A$16-('Control Room'!$B$16-1)/2)/MAX(0.5,'Control Room'!$B$16/4))^2),1)</x:f>
        <x:v>1</x:v>
      </x:c>
      <x:c r="BE598" s="9" t="n">
        <x:f>MOD(BF597*16807,2147483647)</x:f>
        <x:v>672836760</x:v>
      </x:c>
      <x:c r="BF598" s="9" t="n">
        <x:f>MOD(BE598*16807,2147483647)</x:f>
        <x:v>1866023865</x:v>
      </x:c>
      <x:c r="BG598" s="17" t="n">
        <x:f>IF('Control Room'!$B$5="Normal",'Control Room'!$B$7+'Control Room'!$D$7*SQRT(-2*LN(MAX(0.000000000001,BE598/2147483647)))*COS(2*PI()*BF598/2147483647),'Control Room'!$B$8+('Control Room'!$D$8-'Control Room'!$B$8)*BE598/2147483647)</x:f>
        <x:v>1093.19171636266</x:v>
      </x:c>
      <x:c r="BH598" s="17" t="n">
        <x:f>IF('Control Room'!$B$5="Normal",'Control Room'!$B$7,('Control Room'!$B$8+'Control Room'!$D$8)/2)+'Control Room'!$B$9*(BH597-IF('Control Room'!$B$5="Normal",'Control Room'!$B$7,('Control Room'!$B$8+'Control Room'!$D$8)/2))+SQRT(1-'Control Room'!$B$9^2)*(BG598-IF('Control Room'!$B$5="Normal",'Control Room'!$B$7,('Control Room'!$B$8+'Control Room'!$D$8)/2))</x:f>
        <x:v>1022.2390906206858</x:v>
      </x:c>
      <x:c r="BI598" s="17" t="n">
        <x:f>IF(AND($A598&gt;='Control Room'!$A$13,$A598&lt;'Control Room'!$A$13+'Control Room'!$B$13,'Process'!BV2=1),1+('Control Room'!$C$13-1)*EXP(-0.5*(($A598-'Control Room'!$A$13-('Control Room'!$B$13-1)/2)/MAX(0.5,'Control Room'!$B$13/4))^2),1)*IF(AND($A598&gt;='Control Room'!$A$14,$A598&lt;'Control Room'!$A$14+'Control Room'!$B$14,'Process'!BV3=1),1+('Control Room'!$C$14-1)*EXP(-0.5*(($A598-'Control Room'!$A$14-('Control Room'!$B$14-1)/2)/MAX(0.5,'Control Room'!$B$14/4))^2),1)*IF(AND($A598&gt;='Control Room'!$A$15,$A598&lt;'Control Room'!$A$15+'Control Room'!$B$15,'Process'!BV4=1),1+('Control Room'!$C$15-1)*EXP(-0.5*(($A598-'Control Room'!$A$15-('Control Room'!$B$15-1)/2)/MAX(0.5,'Control Room'!$B$15/4))^2),1)*IF(AND($A598&gt;='Control Room'!$A$16,$A598&lt;'Control Room'!$A$16+'Control Room'!$B$16,'Process'!BV5=1),1+('Control Room'!$C$16-1)*EXP(-0.5*(($A598-'Control Room'!$A$16-('Control Room'!$B$16-1)/2)/MAX(0.5,'Control Room'!$B$16/4))^2),1)</x:f>
        <x:v>1</x:v>
      </x:c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Z598" t="str">
        <x:f>IF('Data'!A598="","",TEXT('Data'!A598,"mm-dd"))</x:f>
      </x:c>
    </x:row>
    <x:row r="599" ht="21" customHeight="1">
      <x:c r="A599" s="15" t="n">
        <x:f>'Control Room'!$B$1+597</x:f>
        <x:v>73588</x:v>
      </x:c>
      <x:c r="B599" s="9" t="n">
        <x:f>MOD(C598*16807,2147483647)</x:f>
        <x:v>299887312</x:v>
      </x:c>
      <x:c r="C599" s="9" t="n">
        <x:f>MOD(B599*16807,2147483647)</x:f>
        <x:v>61933275</x:v>
      </x:c>
      <x:c r="D599" s="17" t="n">
        <x:f>IF('Control Room'!$B$5="Normal",'Control Room'!$B$7+'Control Room'!$D$7*SQRT(-2*LN(MAX(0.000000000001,B599/2147483647)))*COS(2*PI()*C599/2147483647),'Control Room'!$B$8+('Control Room'!$D$8-'Control Room'!$B$8)*B599/2147483647)</x:f>
        <x:v>1175.6595081855824</x:v>
      </x:c>
      <x:c r="E599" s="17" t="n">
        <x:f>IF('Control Room'!$B$5="Normal",'Control Room'!$B$7,('Control Room'!$B$8+'Control Room'!$D$8)/2)+'Control Room'!$B$9*(E598-IF('Control Room'!$B$5="Normal",'Control Room'!$B$7,('Control Room'!$B$8+'Control Room'!$D$8)/2))+SQRT(1-'Control Room'!$B$9^2)*(D599-IF('Control Room'!$B$5="Normal",'Control Room'!$B$7,('Control Room'!$B$8+'Control Room'!$D$8)/2))</x:f>
        <x:v>1126.3064676545569</x:v>
      </x:c>
      <x:c r="F599" s="17" t="n">
        <x:f>IF(AND($A599&gt;='Control Room'!$A$13,$A599&lt;'Control Room'!$A$13+'Control Room'!$B$13,'Process'!BK2=1),1+('Control Room'!$C$13-1)*EXP(-0.5*(($A599-'Control Room'!$A$13-('Control Room'!$B$13-1)/2)/MAX(0.5,'Control Room'!$B$13/4))^2),1)*IF(AND($A599&gt;='Control Room'!$A$14,$A599&lt;'Control Room'!$A$14+'Control Room'!$B$14,'Process'!BK3=1),1+('Control Room'!$C$14-1)*EXP(-0.5*(($A599-'Control Room'!$A$14-('Control Room'!$B$14-1)/2)/MAX(0.5,'Control Room'!$B$14/4))^2),1)*IF(AND($A599&gt;='Control Room'!$A$15,$A599&lt;'Control Room'!$A$15+'Control Room'!$B$15,'Process'!BK4=1),1+('Control Room'!$C$15-1)*EXP(-0.5*(($A599-'Control Room'!$A$15-('Control Room'!$B$15-1)/2)/MAX(0.5,'Control Room'!$B$15/4))^2),1)*IF(AND($A599&gt;='Control Room'!$A$16,$A599&lt;'Control Room'!$A$16+'Control Room'!$B$16,'Process'!BK5=1),1+('Control Room'!$C$16-1)*EXP(-0.5*(($A599-'Control Room'!$A$16-('Control Room'!$B$16-1)/2)/MAX(0.5,'Control Room'!$B$16/4))^2),1)</x:f>
        <x:v>1</x:v>
      </x:c>
      <x:c r="G599" s="9" t="n">
        <x:f>MOD(H598*16807,2147483647)</x:f>
        <x:v>1871878233</x:v>
      </x:c>
      <x:c r="H599" s="9" t="n">
        <x:f>MOD(G599*16807,2147483647)</x:f>
        <x:v>22033481</x:v>
      </x:c>
      <x:c r="I599" s="17" t="n">
        <x:f>IF('Control Room'!$B$5="Normal",'Control Room'!$B$7+'Control Room'!$D$7*SQRT(-2*LN(MAX(0.000000000001,G599/2147483647)))*COS(2*PI()*H599/2147483647),'Control Room'!$B$8+('Control Room'!$D$8-'Control Room'!$B$8)*G599/2147483647)</x:f>
        <x:v>1047.0734222904853</x:v>
      </x:c>
      <x:c r="J599" s="17" t="n">
        <x:f>IF('Control Room'!$B$5="Normal",'Control Room'!$B$7,('Control Room'!$B$8+'Control Room'!$D$8)/2)+'Control Room'!$B$9*(J598-IF('Control Room'!$B$5="Normal",'Control Room'!$B$7,('Control Room'!$B$8+'Control Room'!$D$8)/2))+SQRT(1-'Control Room'!$B$9^2)*(I599-IF('Control Room'!$B$5="Normal",'Control Room'!$B$7,('Control Room'!$B$8+'Control Room'!$D$8)/2))</x:f>
        <x:v>921.4581836947376</x:v>
      </x:c>
      <x:c r="K599" s="17" t="n">
        <x:f>IF(AND($A599&gt;='Control Room'!$A$13,$A599&lt;'Control Room'!$A$13+'Control Room'!$B$13,'Process'!BL2=1),1+('Control Room'!$C$13-1)*EXP(-0.5*(($A599-'Control Room'!$A$13-('Control Room'!$B$13-1)/2)/MAX(0.5,'Control Room'!$B$13/4))^2),1)*IF(AND($A599&gt;='Control Room'!$A$14,$A599&lt;'Control Room'!$A$14+'Control Room'!$B$14,'Process'!BL3=1),1+('Control Room'!$C$14-1)*EXP(-0.5*(($A599-'Control Room'!$A$14-('Control Room'!$B$14-1)/2)/MAX(0.5,'Control Room'!$B$14/4))^2),1)*IF(AND($A599&gt;='Control Room'!$A$15,$A599&lt;'Control Room'!$A$15+'Control Room'!$B$15,'Process'!BL4=1),1+('Control Room'!$C$15-1)*EXP(-0.5*(($A599-'Control Room'!$A$15-('Control Room'!$B$15-1)/2)/MAX(0.5,'Control Room'!$B$15/4))^2),1)*IF(AND($A599&gt;='Control Room'!$A$16,$A599&lt;'Control Room'!$A$16+'Control Room'!$B$16,'Process'!BL5=1),1+('Control Room'!$C$16-1)*EXP(-0.5*(($A599-'Control Room'!$A$16-('Control Room'!$B$16-1)/2)/MAX(0.5,'Control Room'!$B$16/4))^2),1)</x:f>
        <x:v>1</x:v>
      </x:c>
      <x:c r="L599" s="9" t="n">
        <x:f>MOD(M598*16807,2147483647)</x:f>
        <x:v>1296385507</x:v>
      </x:c>
      <x:c r="M599" s="9" t="n">
        <x:f>MOD(L599*16807,2147483647)</x:f>
        <x:v>2129617334</x:v>
      </x:c>
      <x:c r="N599" s="17" t="n">
        <x:f>IF('Control Room'!$B$5="Normal",'Control Room'!$B$7+'Control Room'!$D$7*SQRT(-2*LN(MAX(0.000000000001,L599/2147483647)))*COS(2*PI()*M599/2147483647),'Control Room'!$B$8+('Control Room'!$D$8-'Control Room'!$B$8)*L599/2147483647)</x:f>
        <x:v>1090.2999950365345</x:v>
      </x:c>
      <x:c r="O599" s="17" t="n">
        <x:f>IF('Control Room'!$B$5="Normal",'Control Room'!$B$7,('Control Room'!$B$8+'Control Room'!$D$8)/2)+'Control Room'!$B$9*(O598-IF('Control Room'!$B$5="Normal",'Control Room'!$B$7,('Control Room'!$B$8+'Control Room'!$D$8)/2))+SQRT(1-'Control Room'!$B$9^2)*(N599-IF('Control Room'!$B$5="Normal",'Control Room'!$B$7,('Control Room'!$B$8+'Control Room'!$D$8)/2))</x:f>
        <x:v>1158.0708815936737</x:v>
      </x:c>
      <x:c r="P599" s="17" t="n">
        <x:f>IF(AND($A599&gt;='Control Room'!$A$13,$A599&lt;'Control Room'!$A$13+'Control Room'!$B$13,'Process'!BM2=1),1+('Control Room'!$C$13-1)*EXP(-0.5*(($A599-'Control Room'!$A$13-('Control Room'!$B$13-1)/2)/MAX(0.5,'Control Room'!$B$13/4))^2),1)*IF(AND($A599&gt;='Control Room'!$A$14,$A599&lt;'Control Room'!$A$14+'Control Room'!$B$14,'Process'!BM3=1),1+('Control Room'!$C$14-1)*EXP(-0.5*(($A599-'Control Room'!$A$14-('Control Room'!$B$14-1)/2)/MAX(0.5,'Control Room'!$B$14/4))^2),1)*IF(AND($A599&gt;='Control Room'!$A$15,$A599&lt;'Control Room'!$A$15+'Control Room'!$B$15,'Process'!BM4=1),1+('Control Room'!$C$15-1)*EXP(-0.5*(($A599-'Control Room'!$A$15-('Control Room'!$B$15-1)/2)/MAX(0.5,'Control Room'!$B$15/4))^2),1)*IF(AND($A599&gt;='Control Room'!$A$16,$A599&lt;'Control Room'!$A$16+'Control Room'!$B$16,'Process'!BM5=1),1+('Control Room'!$C$16-1)*EXP(-0.5*(($A599-'Control Room'!$A$16-('Control Room'!$B$16-1)/2)/MAX(0.5,'Control Room'!$B$16/4))^2),1)</x:f>
        <x:v>1</x:v>
      </x:c>
      <x:c r="Q599" s="9" t="n">
        <x:f>MOD(R598*16807,2147483647)</x:f>
        <x:v>720892781</x:v>
      </x:c>
      <x:c r="R599" s="9" t="n">
        <x:f>MOD(Q599*16807,2147483647)</x:f>
        <x:v>2089717540</x:v>
      </x:c>
      <x:c r="S599" s="17" t="n">
        <x:f>IF('Control Room'!$B$5="Normal",'Control Room'!$B$7+'Control Room'!$D$7*SQRT(-2*LN(MAX(0.000000000001,Q599/2147483647)))*COS(2*PI()*R599/2147483647),'Control Room'!$B$8+('Control Room'!$D$8-'Control Room'!$B$8)*Q599/2147483647)</x:f>
        <x:v>1131.0837614657612</x:v>
      </x:c>
      <x:c r="T599" s="17" t="n">
        <x:f>IF('Control Room'!$B$5="Normal",'Control Room'!$B$7,('Control Room'!$B$8+'Control Room'!$D$8)/2)+'Control Room'!$B$9*(T598-IF('Control Room'!$B$5="Normal",'Control Room'!$B$7,('Control Room'!$B$8+'Control Room'!$D$8)/2))+SQRT(1-'Control Room'!$B$9^2)*(S599-IF('Control Room'!$B$5="Normal",'Control Room'!$B$7,('Control Room'!$B$8+'Control Room'!$D$8)/2))</x:f>
        <x:v>1018.0575090868517</x:v>
      </x:c>
      <x:c r="U599" s="17" t="n">
        <x:f>IF(AND($A599&gt;='Control Room'!$A$13,$A599&lt;'Control Room'!$A$13+'Control Room'!$B$13,'Process'!BN2=1),1+('Control Room'!$C$13-1)*EXP(-0.5*(($A599-'Control Room'!$A$13-('Control Room'!$B$13-1)/2)/MAX(0.5,'Control Room'!$B$13/4))^2),1)*IF(AND($A599&gt;='Control Room'!$A$14,$A599&lt;'Control Room'!$A$14+'Control Room'!$B$14,'Process'!BN3=1),1+('Control Room'!$C$14-1)*EXP(-0.5*(($A599-'Control Room'!$A$14-('Control Room'!$B$14-1)/2)/MAX(0.5,'Control Room'!$B$14/4))^2),1)*IF(AND($A599&gt;='Control Room'!$A$15,$A599&lt;'Control Room'!$A$15+'Control Room'!$B$15,'Process'!BN4=1),1+('Control Room'!$C$15-1)*EXP(-0.5*(($A599-'Control Room'!$A$15-('Control Room'!$B$15-1)/2)/MAX(0.5,'Control Room'!$B$15/4))^2),1)*IF(AND($A599&gt;='Control Room'!$A$16,$A599&lt;'Control Room'!$A$16+'Control Room'!$B$16,'Process'!BN5=1),1+('Control Room'!$C$16-1)*EXP(-0.5*(($A599-'Control Room'!$A$16-('Control Room'!$B$16-1)/2)/MAX(0.5,'Control Room'!$B$16/4))^2),1)</x:f>
        <x:v>1</x:v>
      </x:c>
      <x:c r="V599" s="9" t="n">
        <x:f>MOD(W598*16807,2147483647)</x:f>
        <x:v>145400055</x:v>
      </x:c>
      <x:c r="W599" s="9" t="n">
        <x:f>MOD(V599*16807,2147483647)</x:f>
        <x:v>2049817746</x:v>
      </x:c>
      <x:c r="X599" s="17" t="n">
        <x:f>IF('Control Room'!$B$5="Normal",'Control Room'!$B$7+'Control Room'!$D$7*SQRT(-2*LN(MAX(0.000000000001,V599/2147483647)))*COS(2*PI()*W599/2147483647),'Control Room'!$B$8+('Control Room'!$D$8-'Control Room'!$B$8)*V599/2147483647)</x:f>
        <x:v>1200.3837350563078</x:v>
      </x:c>
      <x:c r="Y599" s="17" t="n">
        <x:f>IF('Control Room'!$B$5="Normal",'Control Room'!$B$7,('Control Room'!$B$8+'Control Room'!$D$8)/2)+'Control Room'!$B$9*(Y598-IF('Control Room'!$B$5="Normal",'Control Room'!$B$7,('Control Room'!$B$8+'Control Room'!$D$8)/2))+SQRT(1-'Control Room'!$B$9^2)*(X599-IF('Control Room'!$B$5="Normal",'Control Room'!$B$7,('Control Room'!$B$8+'Control Room'!$D$8)/2))</x:f>
        <x:v>1089.291127750041</x:v>
      </x:c>
      <x:c r="Z599" s="17" t="n">
        <x:f>IF(AND($A599&gt;='Control Room'!$A$13,$A599&lt;'Control Room'!$A$13+'Control Room'!$B$13,'Process'!BO2=1),1+('Control Room'!$C$13-1)*EXP(-0.5*(($A599-'Control Room'!$A$13-('Control Room'!$B$13-1)/2)/MAX(0.5,'Control Room'!$B$13/4))^2),1)*IF(AND($A599&gt;='Control Room'!$A$14,$A599&lt;'Control Room'!$A$14+'Control Room'!$B$14,'Process'!BO3=1),1+('Control Room'!$C$14-1)*EXP(-0.5*(($A599-'Control Room'!$A$14-('Control Room'!$B$14-1)/2)/MAX(0.5,'Control Room'!$B$14/4))^2),1)*IF(AND($A599&gt;='Control Room'!$A$15,$A599&lt;'Control Room'!$A$15+'Control Room'!$B$15,'Process'!BO4=1),1+('Control Room'!$C$15-1)*EXP(-0.5*(($A599-'Control Room'!$A$15-('Control Room'!$B$15-1)/2)/MAX(0.5,'Control Room'!$B$15/4))^2),1)*IF(AND($A599&gt;='Control Room'!$A$16,$A599&lt;'Control Room'!$A$16+'Control Room'!$B$16,'Process'!BO5=1),1+('Control Room'!$C$16-1)*EXP(-0.5*(($A599-'Control Room'!$A$16-('Control Room'!$B$16-1)/2)/MAX(0.5,'Control Room'!$B$16/4))^2),1)</x:f>
        <x:v>1</x:v>
      </x:c>
      <x:c r="AA599" s="9" t="n">
        <x:f>MOD(AB598*16807,2147483647)</x:f>
        <x:v>1717390976</x:v>
      </x:c>
      <x:c r="AB599" s="9" t="n">
        <x:f>MOD(AA599*16807,2147483647)</x:f>
        <x:v>2009917952</x:v>
      </x:c>
      <x:c r="AC599" s="17" t="n">
        <x:f>IF('Control Room'!$B$5="Normal",'Control Room'!$B$7+'Control Room'!$D$7*SQRT(-2*LN(MAX(0.000000000001,AA599/2147483647)))*COS(2*PI()*AB599/2147483647),'Control Room'!$B$8+('Control Room'!$D$8-'Control Room'!$B$8)*AA599/2147483647)</x:f>
        <x:v>1055.3625093774806</x:v>
      </x:c>
      <x:c r="AD599" s="17" t="n">
        <x:f>IF('Control Room'!$B$5="Normal",'Control Room'!$B$7,('Control Room'!$B$8+'Control Room'!$D$8)/2)+'Control Room'!$B$9*(AD598-IF('Control Room'!$B$5="Normal",'Control Room'!$B$7,('Control Room'!$B$8+'Control Room'!$D$8)/2))+SQRT(1-'Control Room'!$B$9^2)*(AC599-IF('Control Room'!$B$5="Normal",'Control Room'!$B$7,('Control Room'!$B$8+'Control Room'!$D$8)/2))</x:f>
        <x:v>1036.077123814088</x:v>
      </x:c>
      <x:c r="AE599" s="17" t="n">
        <x:f>IF(AND($A599&gt;='Control Room'!$A$13,$A599&lt;'Control Room'!$A$13+'Control Room'!$B$13,'Process'!BP2=1),1+('Control Room'!$C$13-1)*EXP(-0.5*(($A599-'Control Room'!$A$13-('Control Room'!$B$13-1)/2)/MAX(0.5,'Control Room'!$B$13/4))^2),1)*IF(AND($A599&gt;='Control Room'!$A$14,$A599&lt;'Control Room'!$A$14+'Control Room'!$B$14,'Process'!BP3=1),1+('Control Room'!$C$14-1)*EXP(-0.5*(($A599-'Control Room'!$A$14-('Control Room'!$B$14-1)/2)/MAX(0.5,'Control Room'!$B$14/4))^2),1)*IF(AND($A599&gt;='Control Room'!$A$15,$A599&lt;'Control Room'!$A$15+'Control Room'!$B$15,'Process'!BP4=1),1+('Control Room'!$C$15-1)*EXP(-0.5*(($A599-'Control Room'!$A$15-('Control Room'!$B$15-1)/2)/MAX(0.5,'Control Room'!$B$15/4))^2),1)*IF(AND($A599&gt;='Control Room'!$A$16,$A599&lt;'Control Room'!$A$16+'Control Room'!$B$16,'Process'!BP5=1),1+('Control Room'!$C$16-1)*EXP(-0.5*(($A599-'Control Room'!$A$16-('Control Room'!$B$16-1)/2)/MAX(0.5,'Control Room'!$B$16/4))^2),1)</x:f>
        <x:v>1</x:v>
      </x:c>
      <x:c r="AF599" s="9" t="n">
        <x:f>MOD(AG598*16807,2147483647)</x:f>
        <x:v>1141898250</x:v>
      </x:c>
      <x:c r="AG599" s="9" t="n">
        <x:f>MOD(AF599*16807,2147483647)</x:f>
        <x:v>1970018158</x:v>
      </x:c>
      <x:c r="AH599" s="17" t="n">
        <x:f>IF('Control Room'!$B$5="Normal",'Control Room'!$B$7+'Control Room'!$D$7*SQRT(-2*LN(MAX(0.000000000001,AF599/2147483647)))*COS(2*PI()*AG599/2147483647),'Control Room'!$B$8+('Control Room'!$D$8-'Control Room'!$B$8)*AF599/2147483647)</x:f>
        <x:v>1087.821230066497</x:v>
      </x:c>
      <x:c r="AI599" s="17" t="n">
        <x:f>IF('Control Room'!$B$5="Normal",'Control Room'!$B$7,('Control Room'!$B$8+'Control Room'!$D$8)/2)+'Control Room'!$B$9*(AI598-IF('Control Room'!$B$5="Normal",'Control Room'!$B$7,('Control Room'!$B$8+'Control Room'!$D$8)/2))+SQRT(1-'Control Room'!$B$9^2)*(AH599-IF('Control Room'!$B$5="Normal",'Control Room'!$B$7,('Control Room'!$B$8+'Control Room'!$D$8)/2))</x:f>
        <x:v>1008.6073091665721</x:v>
      </x:c>
      <x:c r="AJ599" s="17" t="n">
        <x:f>IF(AND($A599&gt;='Control Room'!$A$13,$A599&lt;'Control Room'!$A$13+'Control Room'!$B$13,'Process'!BQ2=1),1+('Control Room'!$C$13-1)*EXP(-0.5*(($A599-'Control Room'!$A$13-('Control Room'!$B$13-1)/2)/MAX(0.5,'Control Room'!$B$13/4))^2),1)*IF(AND($A599&gt;='Control Room'!$A$14,$A599&lt;'Control Room'!$A$14+'Control Room'!$B$14,'Process'!BQ3=1),1+('Control Room'!$C$14-1)*EXP(-0.5*(($A599-'Control Room'!$A$14-('Control Room'!$B$14-1)/2)/MAX(0.5,'Control Room'!$B$14/4))^2),1)*IF(AND($A599&gt;='Control Room'!$A$15,$A599&lt;'Control Room'!$A$15+'Control Room'!$B$15,'Process'!BQ4=1),1+('Control Room'!$C$15-1)*EXP(-0.5*(($A599-'Control Room'!$A$15-('Control Room'!$B$15-1)/2)/MAX(0.5,'Control Room'!$B$15/4))^2),1)*IF(AND($A599&gt;='Control Room'!$A$16,$A599&lt;'Control Room'!$A$16+'Control Room'!$B$16,'Process'!BQ5=1),1+('Control Room'!$C$16-1)*EXP(-0.5*(($A599-'Control Room'!$A$16-('Control Room'!$B$16-1)/2)/MAX(0.5,'Control Room'!$B$16/4))^2),1)</x:f>
        <x:v>1</x:v>
      </x:c>
      <x:c r="AK599" s="9" t="n">
        <x:f>MOD(AL598*16807,2147483647)</x:f>
        <x:v>566405524</x:v>
      </x:c>
      <x:c r="AL599" s="9" t="n">
        <x:f>MOD(AK599*16807,2147483647)</x:f>
        <x:v>1930118364</x:v>
      </x:c>
      <x:c r="AM599" s="17" t="n">
        <x:f>IF('Control Room'!$B$5="Normal",'Control Room'!$B$7+'Control Room'!$D$7*SQRT(-2*LN(MAX(0.000000000001,AK599/2147483647)))*COS(2*PI()*AL599/2147483647),'Control Room'!$B$8+('Control Room'!$D$8-'Control Room'!$B$8)*AK599/2147483647)</x:f>
        <x:v>1118.209585125329</x:v>
      </x:c>
      <x:c r="AN599" s="17" t="n">
        <x:f>IF('Control Room'!$B$5="Normal",'Control Room'!$B$7,('Control Room'!$B$8+'Control Room'!$D$8)/2)+'Control Room'!$B$9*(AN598-IF('Control Room'!$B$5="Normal",'Control Room'!$B$7,('Control Room'!$B$8+'Control Room'!$D$8)/2))+SQRT(1-'Control Room'!$B$9^2)*(AM599-IF('Control Room'!$B$5="Normal",'Control Room'!$B$7,('Control Room'!$B$8+'Control Room'!$D$8)/2))</x:f>
        <x:v>1004.3605025397937</x:v>
      </x:c>
      <x:c r="AO599" s="17" t="n">
        <x:f>IF(AND($A599&gt;='Control Room'!$A$13,$A599&lt;'Control Room'!$A$13+'Control Room'!$B$13,'Process'!BR2=1),1+('Control Room'!$C$13-1)*EXP(-0.5*(($A599-'Control Room'!$A$13-('Control Room'!$B$13-1)/2)/MAX(0.5,'Control Room'!$B$13/4))^2),1)*IF(AND($A599&gt;='Control Room'!$A$14,$A599&lt;'Control Room'!$A$14+'Control Room'!$B$14,'Process'!BR3=1),1+('Control Room'!$C$14-1)*EXP(-0.5*(($A599-'Control Room'!$A$14-('Control Room'!$B$14-1)/2)/MAX(0.5,'Control Room'!$B$14/4))^2),1)*IF(AND($A599&gt;='Control Room'!$A$15,$A599&lt;'Control Room'!$A$15+'Control Room'!$B$15,'Process'!BR4=1),1+('Control Room'!$C$15-1)*EXP(-0.5*(($A599-'Control Room'!$A$15-('Control Room'!$B$15-1)/2)/MAX(0.5,'Control Room'!$B$15/4))^2),1)*IF(AND($A599&gt;='Control Room'!$A$16,$A599&lt;'Control Room'!$A$16+'Control Room'!$B$16,'Process'!BR5=1),1+('Control Room'!$C$16-1)*EXP(-0.5*(($A599-'Control Room'!$A$16-('Control Room'!$B$16-1)/2)/MAX(0.5,'Control Room'!$B$16/4))^2),1)</x:f>
        <x:v>1</x:v>
      </x:c>
      <x:c r="AP599" s="9" t="n">
        <x:f>MOD(AQ598*16807,2147483647)</x:f>
        <x:v>2138396445</x:v>
      </x:c>
      <x:c r="AQ599" s="9" t="n">
        <x:f>MOD(AP599*16807,2147483647)</x:f>
        <x:v>1890218570</x:v>
      </x:c>
      <x:c r="AR599" s="17" t="n">
        <x:f>IF('Control Room'!$B$5="Normal",'Control Room'!$B$7+'Control Room'!$D$7*SQRT(-2*LN(MAX(0.000000000001,AP599/2147483647)))*COS(2*PI()*AQ599/2147483647),'Control Room'!$B$8+('Control Room'!$D$8-'Control Room'!$B$8)*AP599/2147483647)</x:f>
        <x:v>1006.0491272894991</x:v>
      </x:c>
      <x:c r="AS599" s="17" t="n">
        <x:f>IF('Control Room'!$B$5="Normal",'Control Room'!$B$7,('Control Room'!$B$8+'Control Room'!$D$8)/2)+'Control Room'!$B$9*(AS598-IF('Control Room'!$B$5="Normal",'Control Room'!$B$7,('Control Room'!$B$8+'Control Room'!$D$8)/2))+SQRT(1-'Control Room'!$B$9^2)*(AR599-IF('Control Room'!$B$5="Normal",'Control Room'!$B$7,('Control Room'!$B$8+'Control Room'!$D$8)/2))</x:f>
        <x:v>1062.5250471751897</x:v>
      </x:c>
      <x:c r="AT599" s="17" t="n">
        <x:f>IF(AND($A599&gt;='Control Room'!$A$13,$A599&lt;'Control Room'!$A$13+'Control Room'!$B$13,'Process'!BS2=1),1+('Control Room'!$C$13-1)*EXP(-0.5*(($A599-'Control Room'!$A$13-('Control Room'!$B$13-1)/2)/MAX(0.5,'Control Room'!$B$13/4))^2),1)*IF(AND($A599&gt;='Control Room'!$A$14,$A599&lt;'Control Room'!$A$14+'Control Room'!$B$14,'Process'!BS3=1),1+('Control Room'!$C$14-1)*EXP(-0.5*(($A599-'Control Room'!$A$14-('Control Room'!$B$14-1)/2)/MAX(0.5,'Control Room'!$B$14/4))^2),1)*IF(AND($A599&gt;='Control Room'!$A$15,$A599&lt;'Control Room'!$A$15+'Control Room'!$B$15,'Process'!BS4=1),1+('Control Room'!$C$15-1)*EXP(-0.5*(($A599-'Control Room'!$A$15-('Control Room'!$B$15-1)/2)/MAX(0.5,'Control Room'!$B$15/4))^2),1)*IF(AND($A599&gt;='Control Room'!$A$16,$A599&lt;'Control Room'!$A$16+'Control Room'!$B$16,'Process'!BS5=1),1+('Control Room'!$C$16-1)*EXP(-0.5*(($A599-'Control Room'!$A$16-('Control Room'!$B$16-1)/2)/MAX(0.5,'Control Room'!$B$16/4))^2),1)</x:f>
        <x:v>1</x:v>
      </x:c>
      <x:c r="AU599" s="9" t="n">
        <x:f>MOD(AV598*16807,2147483647)</x:f>
        <x:v>1562903719</x:v>
      </x:c>
      <x:c r="AV599" s="9" t="n">
        <x:f>MOD(AU599*16807,2147483647)</x:f>
        <x:v>1850318776</x:v>
      </x:c>
      <x:c r="AW599" s="17" t="n">
        <x:f>IF('Control Room'!$B$5="Normal",'Control Room'!$B$7+'Control Room'!$D$7*SQRT(-2*LN(MAX(0.000000000001,AU599/2147483647)))*COS(2*PI()*AV599/2147483647),'Control Room'!$B$8+('Control Room'!$D$8-'Control Room'!$B$8)*AU599/2147483647)</x:f>
        <x:v>1046.2939372497835</x:v>
      </x:c>
      <x:c r="AX599" s="17" t="n">
        <x:f>IF('Control Room'!$B$5="Normal",'Control Room'!$B$7,('Control Room'!$B$8+'Control Room'!$D$8)/2)+'Control Room'!$B$9*(AX598-IF('Control Room'!$B$5="Normal",'Control Room'!$B$7,('Control Room'!$B$8+'Control Room'!$D$8)/2))+SQRT(1-'Control Room'!$B$9^2)*(AW599-IF('Control Room'!$B$5="Normal",'Control Room'!$B$7,('Control Room'!$B$8+'Control Room'!$D$8)/2))</x:f>
        <x:v>990.5548729076315</x:v>
      </x:c>
      <x:c r="AY599" s="17" t="n">
        <x:f>IF(AND($A599&gt;='Control Room'!$A$13,$A599&lt;'Control Room'!$A$13+'Control Room'!$B$13,'Process'!BT2=1),1+('Control Room'!$C$13-1)*EXP(-0.5*(($A599-'Control Room'!$A$13-('Control Room'!$B$13-1)/2)/MAX(0.5,'Control Room'!$B$13/4))^2),1)*IF(AND($A599&gt;='Control Room'!$A$14,$A599&lt;'Control Room'!$A$14+'Control Room'!$B$14,'Process'!BT3=1),1+('Control Room'!$C$14-1)*EXP(-0.5*(($A599-'Control Room'!$A$14-('Control Room'!$B$14-1)/2)/MAX(0.5,'Control Room'!$B$14/4))^2),1)*IF(AND($A599&gt;='Control Room'!$A$15,$A599&lt;'Control Room'!$A$15+'Control Room'!$B$15,'Process'!BT4=1),1+('Control Room'!$C$15-1)*EXP(-0.5*(($A599-'Control Room'!$A$15-('Control Room'!$B$15-1)/2)/MAX(0.5,'Control Room'!$B$15/4))^2),1)*IF(AND($A599&gt;='Control Room'!$A$16,$A599&lt;'Control Room'!$A$16+'Control Room'!$B$16,'Process'!BT5=1),1+('Control Room'!$C$16-1)*EXP(-0.5*(($A599-'Control Room'!$A$16-('Control Room'!$B$16-1)/2)/MAX(0.5,'Control Room'!$B$16/4))^2),1)</x:f>
        <x:v>1</x:v>
      </x:c>
      <x:c r="AZ599" s="9" t="n">
        <x:f>MOD(BA598*16807,2147483647)</x:f>
        <x:v>987410993</x:v>
      </x:c>
      <x:c r="BA599" s="9" t="n">
        <x:f>MOD(AZ599*16807,2147483647)</x:f>
        <x:v>1810418982</x:v>
      </x:c>
      <x:c r="BB599" s="17" t="n">
        <x:f>IF('Control Room'!$B$5="Normal",'Control Room'!$B$7+'Control Room'!$D$7*SQRT(-2*LN(MAX(0.000000000001,AZ599/2147483647)))*COS(2*PI()*BA599/2147483647),'Control Room'!$B$8+('Control Room'!$D$8-'Control Room'!$B$8)*AZ599/2147483647)</x:f>
        <x:v>1061.914471801157</x:v>
      </x:c>
      <x:c r="BC599" s="17" t="n">
        <x:f>IF('Control Room'!$B$5="Normal",'Control Room'!$B$7,('Control Room'!$B$8+'Control Room'!$D$8)/2)+'Control Room'!$B$9*(BC598-IF('Control Room'!$B$5="Normal",'Control Room'!$B$7,('Control Room'!$B$8+'Control Room'!$D$8)/2))+SQRT(1-'Control Room'!$B$9^2)*(BB599-IF('Control Room'!$B$5="Normal",'Control Room'!$B$7,('Control Room'!$B$8+'Control Room'!$D$8)/2))</x:f>
        <x:v>962.7385969819127</x:v>
      </x:c>
      <x:c r="BD599" s="17" t="n">
        <x:f>IF(AND($A599&gt;='Control Room'!$A$13,$A599&lt;'Control Room'!$A$13+'Control Room'!$B$13,'Process'!BU2=1),1+('Control Room'!$C$13-1)*EXP(-0.5*(($A599-'Control Room'!$A$13-('Control Room'!$B$13-1)/2)/MAX(0.5,'Control Room'!$B$13/4))^2),1)*IF(AND($A599&gt;='Control Room'!$A$14,$A599&lt;'Control Room'!$A$14+'Control Room'!$B$14,'Process'!BU3=1),1+('Control Room'!$C$14-1)*EXP(-0.5*(($A599-'Control Room'!$A$14-('Control Room'!$B$14-1)/2)/MAX(0.5,'Control Room'!$B$14/4))^2),1)*IF(AND($A599&gt;='Control Room'!$A$15,$A599&lt;'Control Room'!$A$15+'Control Room'!$B$15,'Process'!BU4=1),1+('Control Room'!$C$15-1)*EXP(-0.5*(($A599-'Control Room'!$A$15-('Control Room'!$B$15-1)/2)/MAX(0.5,'Control Room'!$B$15/4))^2),1)*IF(AND($A599&gt;='Control Room'!$A$16,$A599&lt;'Control Room'!$A$16+'Control Room'!$B$16,'Process'!BU5=1),1+('Control Room'!$C$16-1)*EXP(-0.5*(($A599-'Control Room'!$A$16-('Control Room'!$B$16-1)/2)/MAX(0.5,'Control Room'!$B$16/4))^2),1)</x:f>
        <x:v>1</x:v>
      </x:c>
      <x:c r="BE599" s="9" t="n">
        <x:f>MOD(BF598*16807,2147483647)</x:f>
        <x:v>411918267</x:v>
      </x:c>
      <x:c r="BF599" s="9" t="n">
        <x:f>MOD(BE599*16807,2147483647)</x:f>
        <x:v>1770519188</x:v>
      </x:c>
      <x:c r="BG599" s="17" t="n">
        <x:f>IF('Control Room'!$B$5="Normal",'Control Room'!$B$7+'Control Room'!$D$7*SQRT(-2*LN(MAX(0.000000000001,BE599/2147483647)))*COS(2*PI()*BF599/2147483647),'Control Room'!$B$8+('Control Room'!$D$8-'Control Room'!$B$8)*BE599/2147483647)</x:f>
        <x:v>1073.7591080201623</x:v>
      </x:c>
      <x:c r="BH599" s="17" t="n">
        <x:f>IF('Control Room'!$B$5="Normal",'Control Room'!$B$7,('Control Room'!$B$8+'Control Room'!$D$8)/2)+'Control Room'!$B$9*(BH598-IF('Control Room'!$B$5="Normal",'Control Room'!$B$7,('Control Room'!$B$8+'Control Room'!$D$8)/2))+SQRT(1-'Control Room'!$B$9^2)*(BG599-IF('Control Room'!$B$5="Normal",'Control Room'!$B$7,('Control Room'!$B$8+'Control Room'!$D$8)/2))</x:f>
        <x:v>1063.5034294456925</x:v>
      </x:c>
      <x:c r="BI599" s="17" t="n">
        <x:f>IF(AND($A599&gt;='Control Room'!$A$13,$A599&lt;'Control Room'!$A$13+'Control Room'!$B$13,'Process'!BV2=1),1+('Control Room'!$C$13-1)*EXP(-0.5*(($A599-'Control Room'!$A$13-('Control Room'!$B$13-1)/2)/MAX(0.5,'Control Room'!$B$13/4))^2),1)*IF(AND($A599&gt;='Control Room'!$A$14,$A599&lt;'Control Room'!$A$14+'Control Room'!$B$14,'Process'!BV3=1),1+('Control Room'!$C$14-1)*EXP(-0.5*(($A599-'Control Room'!$A$14-('Control Room'!$B$14-1)/2)/MAX(0.5,'Control Room'!$B$14/4))^2),1)*IF(AND($A599&gt;='Control Room'!$A$15,$A599&lt;'Control Room'!$A$15+'Control Room'!$B$15,'Process'!BV4=1),1+('Control Room'!$C$15-1)*EXP(-0.5*(($A599-'Control Room'!$A$15-('Control Room'!$B$15-1)/2)/MAX(0.5,'Control Room'!$B$15/4))^2),1)*IF(AND($A599&gt;='Control Room'!$A$16,$A599&lt;'Control Room'!$A$16+'Control Room'!$B$16,'Process'!BV5=1),1+('Control Room'!$C$16-1)*EXP(-0.5*(($A599-'Control Room'!$A$16-('Control Room'!$B$16-1)/2)/MAX(0.5,'Control Room'!$B$16/4))^2),1)</x:f>
        <x:v>1</x:v>
      </x:c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Z599" t="str">
        <x:f>IF('Data'!A599="","",TEXT('Data'!A599,"mm-dd"))</x:f>
      </x:c>
    </x:row>
    <x:row r="600" ht="21" customHeight="1">
      <x:c r="A600" s="15" t="n">
        <x:f>'Control Room'!$B$1+598</x:f>
        <x:v>73589</x:v>
      </x:c>
      <x:c r="B600" s="9" t="n">
        <x:f>MOD(C599*16807,2147483647)</x:f>
        <x:v>1530467777</x:v>
      </x:c>
      <x:c r="C600" s="9" t="n">
        <x:f>MOD(B600*16807,2147483647)</x:f>
        <x:v>12804273</x:v>
      </x:c>
      <x:c r="D600" s="17" t="n">
        <x:f>IF('Control Room'!$B$5="Normal",'Control Room'!$B$7+'Control Room'!$D$7*SQRT(-2*LN(MAX(0.000000000001,B600/2147483647)))*COS(2*PI()*C600/2147483647),'Control Room'!$B$8+('Control Room'!$D$8-'Control Room'!$B$8)*B600/2147483647)</x:f>
        <x:v>1074.0244568941514</x:v>
      </x:c>
      <x:c r="E600" s="17" t="n">
        <x:f>IF('Control Room'!$B$5="Normal",'Control Room'!$B$7,('Control Room'!$B$8+'Control Room'!$D$8)/2)+'Control Room'!$B$9*(E599-IF('Control Room'!$B$5="Normal",'Control Room'!$B$7,('Control Room'!$B$8+'Control Room'!$D$8)/2))+SQRT(1-'Control Room'!$B$9^2)*(D600-IF('Control Room'!$B$5="Normal",'Control Room'!$B$7,('Control Room'!$B$8+'Control Room'!$D$8)/2))</x:f>
        <x:v>1144.842033421487</x:v>
      </x:c>
      <x:c r="F600" s="17" t="n">
        <x:f>IF(AND($A600&gt;='Control Room'!$A$13,$A600&lt;'Control Room'!$A$13+'Control Room'!$B$13,'Process'!BK2=1),1+('Control Room'!$C$13-1)*EXP(-0.5*(($A600-'Control Room'!$A$13-('Control Room'!$B$13-1)/2)/MAX(0.5,'Control Room'!$B$13/4))^2),1)*IF(AND($A600&gt;='Control Room'!$A$14,$A600&lt;'Control Room'!$A$14+'Control Room'!$B$14,'Process'!BK3=1),1+('Control Room'!$C$14-1)*EXP(-0.5*(($A600-'Control Room'!$A$14-('Control Room'!$B$14-1)/2)/MAX(0.5,'Control Room'!$B$14/4))^2),1)*IF(AND($A600&gt;='Control Room'!$A$15,$A600&lt;'Control Room'!$A$15+'Control Room'!$B$15,'Process'!BK4=1),1+('Control Room'!$C$15-1)*EXP(-0.5*(($A600-'Control Room'!$A$15-('Control Room'!$B$15-1)/2)/MAX(0.5,'Control Room'!$B$15/4))^2),1)*IF(AND($A600&gt;='Control Room'!$A$16,$A600&lt;'Control Room'!$A$16+'Control Room'!$B$16,'Process'!BK5=1),1+('Control Room'!$C$16-1)*EXP(-0.5*(($A600-'Control Room'!$A$16-('Control Room'!$B$16-1)/2)/MAX(0.5,'Control Room'!$B$16/4))^2),1)</x:f>
        <x:v>1</x:v>
      </x:c>
      <x:c r="G600" s="9" t="n">
        <x:f>MOD(H599*16807,2147483647)</x:f>
        <x:v>949527883</x:v>
      </x:c>
      <x:c r="H600" s="9" t="n">
        <x:f>MOD(G600*16807,2147483647)</x:f>
        <x:v>764148724</x:v>
      </x:c>
      <x:c r="I600" s="17" t="n">
        <x:f>IF('Control Room'!$B$5="Normal",'Control Room'!$B$7+'Control Room'!$D$7*SQRT(-2*LN(MAX(0.000000000001,G600/2147483647)))*COS(2*PI()*H600/2147483647),'Control Room'!$B$8+('Control Room'!$D$8-'Control Room'!$B$8)*G600/2147483647)</x:f>
        <x:v>929.0519969140962</x:v>
      </x:c>
      <x:c r="J600" s="17" t="n">
        <x:f>IF('Control Room'!$B$5="Normal",'Control Room'!$B$7,('Control Room'!$B$8+'Control Room'!$D$8)/2)+'Control Room'!$B$9*(J599-IF('Control Room'!$B$5="Normal",'Control Room'!$B$7,('Control Room'!$B$8+'Control Room'!$D$8)/2))+SQRT(1-'Control Room'!$B$9^2)*(I600-IF('Control Room'!$B$5="Normal",'Control Room'!$B$7,('Control Room'!$B$8+'Control Room'!$D$8)/2))</x:f>
        <x:v>894.3395763995819</x:v>
      </x:c>
      <x:c r="K600" s="17" t="n">
        <x:f>IF(AND($A600&gt;='Control Room'!$A$13,$A600&lt;'Control Room'!$A$13+'Control Room'!$B$13,'Process'!BL2=1),1+('Control Room'!$C$13-1)*EXP(-0.5*(($A600-'Control Room'!$A$13-('Control Room'!$B$13-1)/2)/MAX(0.5,'Control Room'!$B$13/4))^2),1)*IF(AND($A600&gt;='Control Room'!$A$14,$A600&lt;'Control Room'!$A$14+'Control Room'!$B$14,'Process'!BL3=1),1+('Control Room'!$C$14-1)*EXP(-0.5*(($A600-'Control Room'!$A$14-('Control Room'!$B$14-1)/2)/MAX(0.5,'Control Room'!$B$14/4))^2),1)*IF(AND($A600&gt;='Control Room'!$A$15,$A600&lt;'Control Room'!$A$15+'Control Room'!$B$15,'Process'!BL4=1),1+('Control Room'!$C$15-1)*EXP(-0.5*(($A600-'Control Room'!$A$15-('Control Room'!$B$15-1)/2)/MAX(0.5,'Control Room'!$B$15/4))^2),1)*IF(AND($A600&gt;='Control Room'!$A$16,$A600&lt;'Control Room'!$A$16+'Control Room'!$B$16,'Process'!BL5=1),1+('Control Room'!$C$16-1)*EXP(-0.5*(($A600-'Control Room'!$A$16-('Control Room'!$B$16-1)/2)/MAX(0.5,'Control Room'!$B$16/4))^2),1)</x:f>
        <x:v>1</x:v>
      </x:c>
      <x:c r="L600" s="9" t="n">
        <x:f>MOD(M599*16807,2147483647)</x:f>
        <x:v>368587989</x:v>
      </x:c>
      <x:c r="M600" s="9" t="n">
        <x:f>MOD(L600*16807,2147483647)</x:f>
        <x:v>1515493175</x:v>
      </x:c>
      <x:c r="N600" s="17" t="n">
        <x:f>IF('Control Room'!$B$5="Normal",'Control Room'!$B$7+'Control Room'!$D$7*SQRT(-2*LN(MAX(0.000000000001,L600/2147483647)))*COS(2*PI()*M600/2147483647),'Control Room'!$B$8+('Control Room'!$D$8-'Control Room'!$B$8)*L600/2147483647)</x:f>
        <x:v>953.5799708968265</x:v>
      </x:c>
      <x:c r="O600" s="17" t="n">
        <x:f>IF('Control Room'!$B$5="Normal",'Control Room'!$B$7,('Control Room'!$B$8+'Control Room'!$D$8)/2)+'Control Room'!$B$9*(O599-IF('Control Room'!$B$5="Normal",'Control Room'!$B$7,('Control Room'!$B$8+'Control Room'!$D$8)/2))+SQRT(1-'Control Room'!$B$9^2)*(N600-IF('Control Room'!$B$5="Normal",'Control Room'!$B$7,('Control Room'!$B$8+'Control Room'!$D$8)/2))</x:f>
        <x:v>1094.2465843962852</x:v>
      </x:c>
      <x:c r="P600" s="17" t="n">
        <x:f>IF(AND($A600&gt;='Control Room'!$A$13,$A600&lt;'Control Room'!$A$13+'Control Room'!$B$13,'Process'!BM2=1),1+('Control Room'!$C$13-1)*EXP(-0.5*(($A600-'Control Room'!$A$13-('Control Room'!$B$13-1)/2)/MAX(0.5,'Control Room'!$B$13/4))^2),1)*IF(AND($A600&gt;='Control Room'!$A$14,$A600&lt;'Control Room'!$A$14+'Control Room'!$B$14,'Process'!BM3=1),1+('Control Room'!$C$14-1)*EXP(-0.5*(($A600-'Control Room'!$A$14-('Control Room'!$B$14-1)/2)/MAX(0.5,'Control Room'!$B$14/4))^2),1)*IF(AND($A600&gt;='Control Room'!$A$15,$A600&lt;'Control Room'!$A$15+'Control Room'!$B$15,'Process'!BM4=1),1+('Control Room'!$C$15-1)*EXP(-0.5*(($A600-'Control Room'!$A$15-('Control Room'!$B$15-1)/2)/MAX(0.5,'Control Room'!$B$15/4))^2),1)*IF(AND($A600&gt;='Control Room'!$A$16,$A600&lt;'Control Room'!$A$16+'Control Room'!$B$16,'Process'!BM5=1),1+('Control Room'!$C$16-1)*EXP(-0.5*(($A600-'Control Room'!$A$16-('Control Room'!$B$16-1)/2)/MAX(0.5,'Control Room'!$B$16/4))^2),1)</x:f>
        <x:v>1</x:v>
      </x:c>
      <x:c r="Q600" s="9" t="n">
        <x:f>MOD(R599*16807,2147483647)</x:f>
        <x:v>1935131742</x:v>
      </x:c>
      <x:c r="R600" s="9" t="n">
        <x:f>MOD(Q600*16807,2147483647)</x:f>
        <x:v>119353979</x:v>
      </x:c>
      <x:c r="S600" s="17" t="n">
        <x:f>IF('Control Room'!$B$5="Normal",'Control Room'!$B$7+'Control Room'!$D$7*SQRT(-2*LN(MAX(0.000000000001,Q600/2147483647)))*COS(2*PI()*R600/2147483647),'Control Room'!$B$8+('Control Room'!$D$8-'Control Room'!$B$8)*Q600/2147483647)</x:f>
        <x:v>1038.591388331032</x:v>
      </x:c>
      <x:c r="T600" s="17" t="n">
        <x:f>IF('Control Room'!$B$5="Normal",'Control Room'!$B$7,('Control Room'!$B$8+'Control Room'!$D$8)/2)+'Control Room'!$B$9*(T599-IF('Control Room'!$B$5="Normal",'Control Room'!$B$7,('Control Room'!$B$8+'Control Room'!$D$8)/2))+SQRT(1-'Control Room'!$B$9^2)*(S600-IF('Control Room'!$B$5="Normal",'Control Room'!$B$7,('Control Room'!$B$8+'Control Room'!$D$8)/2))</x:f>
        <x:v>1038.234557317742</x:v>
      </x:c>
      <x:c r="U600" s="17" t="n">
        <x:f>IF(AND($A600&gt;='Control Room'!$A$13,$A600&lt;'Control Room'!$A$13+'Control Room'!$B$13,'Process'!BN2=1),1+('Control Room'!$C$13-1)*EXP(-0.5*(($A600-'Control Room'!$A$13-('Control Room'!$B$13-1)/2)/MAX(0.5,'Control Room'!$B$13/4))^2),1)*IF(AND($A600&gt;='Control Room'!$A$14,$A600&lt;'Control Room'!$A$14+'Control Room'!$B$14,'Process'!BN3=1),1+('Control Room'!$C$14-1)*EXP(-0.5*(($A600-'Control Room'!$A$14-('Control Room'!$B$14-1)/2)/MAX(0.5,'Control Room'!$B$14/4))^2),1)*IF(AND($A600&gt;='Control Room'!$A$15,$A600&lt;'Control Room'!$A$15+'Control Room'!$B$15,'Process'!BN4=1),1+('Control Room'!$C$15-1)*EXP(-0.5*(($A600-'Control Room'!$A$15-('Control Room'!$B$15-1)/2)/MAX(0.5,'Control Room'!$B$15/4))^2),1)*IF(AND($A600&gt;='Control Room'!$A$16,$A600&lt;'Control Room'!$A$16+'Control Room'!$B$16,'Process'!BN5=1),1+('Control Room'!$C$16-1)*EXP(-0.5*(($A600-'Control Room'!$A$16-('Control Room'!$B$16-1)/2)/MAX(0.5,'Control Room'!$B$16/4))^2),1)</x:f>
        <x:v>1</x:v>
      </x:c>
      <x:c r="V600" s="9" t="n">
        <x:f>MOD(W599*16807,2147483647)</x:f>
        <x:v>1354191848</x:v>
      </x:c>
      <x:c r="W600" s="9" t="n">
        <x:f>MOD(V600*16807,2147483647)</x:f>
        <x:v>870698430</x:v>
      </x:c>
      <x:c r="X600" s="17" t="n">
        <x:f>IF('Control Room'!$B$5="Normal",'Control Room'!$B$7+'Control Room'!$D$7*SQRT(-2*LN(MAX(0.000000000001,V600/2147483647)))*COS(2*PI()*W600/2147483647),'Control Room'!$B$8+('Control Room'!$D$8-'Control Room'!$B$8)*V600/2147483647)</x:f>
        <x:v>928.3803711147564</x:v>
      </x:c>
      <x:c r="Y600" s="17" t="n">
        <x:f>IF('Control Room'!$B$5="Normal",'Control Room'!$B$7,('Control Room'!$B$8+'Control Room'!$D$8)/2)+'Control Room'!$B$9*(Y599-IF('Control Room'!$B$5="Normal",'Control Room'!$B$7,('Control Room'!$B$8+'Control Room'!$D$8)/2))+SQRT(1-'Control Room'!$B$9^2)*(X600-IF('Control Room'!$B$5="Normal",'Control Room'!$B$7,('Control Room'!$B$8+'Control Room'!$D$8)/2))</x:f>
        <x:v>1024.828983096494</x:v>
      </x:c>
      <x:c r="Z600" s="17" t="n">
        <x:f>IF(AND($A600&gt;='Control Room'!$A$13,$A600&lt;'Control Room'!$A$13+'Control Room'!$B$13,'Process'!BO2=1),1+('Control Room'!$C$13-1)*EXP(-0.5*(($A600-'Control Room'!$A$13-('Control Room'!$B$13-1)/2)/MAX(0.5,'Control Room'!$B$13/4))^2),1)*IF(AND($A600&gt;='Control Room'!$A$14,$A600&lt;'Control Room'!$A$14+'Control Room'!$B$14,'Process'!BO3=1),1+('Control Room'!$C$14-1)*EXP(-0.5*(($A600-'Control Room'!$A$14-('Control Room'!$B$14-1)/2)/MAX(0.5,'Control Room'!$B$14/4))^2),1)*IF(AND($A600&gt;='Control Room'!$A$15,$A600&lt;'Control Room'!$A$15+'Control Room'!$B$15,'Process'!BO4=1),1+('Control Room'!$C$15-1)*EXP(-0.5*(($A600-'Control Room'!$A$15-('Control Room'!$B$15-1)/2)/MAX(0.5,'Control Room'!$B$15/4))^2),1)*IF(AND($A600&gt;='Control Room'!$A$16,$A600&lt;'Control Room'!$A$16+'Control Room'!$B$16,'Process'!BO5=1),1+('Control Room'!$C$16-1)*EXP(-0.5*(($A600-'Control Room'!$A$16-('Control Room'!$B$16-1)/2)/MAX(0.5,'Control Room'!$B$16/4))^2),1)</x:f>
        <x:v>1</x:v>
      </x:c>
      <x:c r="AA600" s="9" t="n">
        <x:f>MOD(AB599*16807,2147483647)</x:f>
        <x:v>773251954</x:v>
      </x:c>
      <x:c r="AB600" s="9" t="n">
        <x:f>MOD(AA600*16807,2147483647)</x:f>
        <x:v>1622042881</x:v>
      </x:c>
      <x:c r="AC600" s="17" t="n">
        <x:f>IF('Control Room'!$B$5="Normal",'Control Room'!$B$7+'Control Room'!$D$7*SQRT(-2*LN(MAX(0.000000000001,AA600/2147483647)))*COS(2*PI()*AB600/2147483647),'Control Room'!$B$8+('Control Room'!$D$8-'Control Room'!$B$8)*AA600/2147483647)</x:f>
        <x:v>1004.3011665711083</x:v>
      </x:c>
      <x:c r="AD600" s="17" t="n">
        <x:f>IF('Control Room'!$B$5="Normal",'Control Room'!$B$7,('Control Room'!$B$8+'Control Room'!$D$8)/2)+'Control Room'!$B$9*(AD599-IF('Control Room'!$B$5="Normal",'Control Room'!$B$7,('Control Room'!$B$8+'Control Room'!$D$8)/2))+SQRT(1-'Control Room'!$B$9^2)*(AC600-IF('Control Room'!$B$5="Normal",'Control Room'!$B$7,('Control Room'!$B$8+'Control Room'!$D$8)/2))</x:f>
        <x:v>1030.8317385010016</x:v>
      </x:c>
      <x:c r="AE600" s="17" t="n">
        <x:f>IF(AND($A600&gt;='Control Room'!$A$13,$A600&lt;'Control Room'!$A$13+'Control Room'!$B$13,'Process'!BP2=1),1+('Control Room'!$C$13-1)*EXP(-0.5*(($A600-'Control Room'!$A$13-('Control Room'!$B$13-1)/2)/MAX(0.5,'Control Room'!$B$13/4))^2),1)*IF(AND($A600&gt;='Control Room'!$A$14,$A600&lt;'Control Room'!$A$14+'Control Room'!$B$14,'Process'!BP3=1),1+('Control Room'!$C$14-1)*EXP(-0.5*(($A600-'Control Room'!$A$14-('Control Room'!$B$14-1)/2)/MAX(0.5,'Control Room'!$B$14/4))^2),1)*IF(AND($A600&gt;='Control Room'!$A$15,$A600&lt;'Control Room'!$A$15+'Control Room'!$B$15,'Process'!BP4=1),1+('Control Room'!$C$15-1)*EXP(-0.5*(($A600-'Control Room'!$A$15-('Control Room'!$B$15-1)/2)/MAX(0.5,'Control Room'!$B$15/4))^2),1)*IF(AND($A600&gt;='Control Room'!$A$16,$A600&lt;'Control Room'!$A$16+'Control Room'!$B$16,'Process'!BP5=1),1+('Control Room'!$C$16-1)*EXP(-0.5*(($A600-'Control Room'!$A$16-('Control Room'!$B$16-1)/2)/MAX(0.5,'Control Room'!$B$16/4))^2),1)</x:f>
        <x:v>1</x:v>
      </x:c>
      <x:c r="AF600" s="9" t="n">
        <x:f>MOD(AG599*16807,2147483647)</x:f>
        <x:v>192312060</x:v>
      </x:c>
      <x:c r="AG600" s="9" t="n">
        <x:f>MOD(AF600*16807,2147483647)</x:f>
        <x:v>225903685</x:v>
      </x:c>
      <x:c r="AH600" s="17" t="n">
        <x:f>IF('Control Room'!$B$5="Normal",'Control Room'!$B$7+'Control Room'!$D$7*SQRT(-2*LN(MAX(0.000000000001,AF600/2147483647)))*COS(2*PI()*AG600/2147483647),'Control Room'!$B$8+('Control Room'!$D$8-'Control Room'!$B$8)*AF600/2147483647)</x:f>
        <x:v>1156.0737944898706</x:v>
      </x:c>
      <x:c r="AI600" s="17" t="n">
        <x:f>IF('Control Room'!$B$5="Normal",'Control Room'!$B$7,('Control Room'!$B$8+'Control Room'!$D$8)/2)+'Control Room'!$B$9*(AI599-IF('Control Room'!$B$5="Normal",'Control Room'!$B$7,('Control Room'!$B$8+'Control Room'!$D$8)/2))+SQRT(1-'Control Room'!$B$9^2)*(AH600-IF('Control Room'!$B$5="Normal",'Control Room'!$B$7,('Control Room'!$B$8+'Control Room'!$D$8)/2))</x:f>
        <x:v>1104.381484396216</x:v>
      </x:c>
      <x:c r="AJ600" s="17" t="n">
        <x:f>IF(AND($A600&gt;='Control Room'!$A$13,$A600&lt;'Control Room'!$A$13+'Control Room'!$B$13,'Process'!BQ2=1),1+('Control Room'!$C$13-1)*EXP(-0.5*(($A600-'Control Room'!$A$13-('Control Room'!$B$13-1)/2)/MAX(0.5,'Control Room'!$B$13/4))^2),1)*IF(AND($A600&gt;='Control Room'!$A$14,$A600&lt;'Control Room'!$A$14+'Control Room'!$B$14,'Process'!BQ3=1),1+('Control Room'!$C$14-1)*EXP(-0.5*(($A600-'Control Room'!$A$14-('Control Room'!$B$14-1)/2)/MAX(0.5,'Control Room'!$B$14/4))^2),1)*IF(AND($A600&gt;='Control Room'!$A$15,$A600&lt;'Control Room'!$A$15+'Control Room'!$B$15,'Process'!BQ4=1),1+('Control Room'!$C$15-1)*EXP(-0.5*(($A600-'Control Room'!$A$15-('Control Room'!$B$15-1)/2)/MAX(0.5,'Control Room'!$B$15/4))^2),1)*IF(AND($A600&gt;='Control Room'!$A$16,$A600&lt;'Control Room'!$A$16+'Control Room'!$B$16,'Process'!BQ5=1),1+('Control Room'!$C$16-1)*EXP(-0.5*(($A600-'Control Room'!$A$16-('Control Room'!$B$16-1)/2)/MAX(0.5,'Control Room'!$B$16/4))^2),1)</x:f>
        <x:v>1</x:v>
      </x:c>
      <x:c r="AK600" s="9" t="n">
        <x:f>MOD(AL599*16807,2147483647)</x:f>
        <x:v>1758855813</x:v>
      </x:c>
      <x:c r="AL600" s="9" t="n">
        <x:f>MOD(AK600*16807,2147483647)</x:f>
        <x:v>977248136</x:v>
      </x:c>
      <x:c r="AM600" s="17" t="n">
        <x:f>IF('Control Room'!$B$5="Normal",'Control Room'!$B$7+'Control Room'!$D$7*SQRT(-2*LN(MAX(0.000000000001,AK600/2147483647)))*COS(2*PI()*AL600/2147483647),'Control Room'!$B$8+('Control Room'!$D$8-'Control Room'!$B$8)*AK600/2147483647)</x:f>
        <x:v>945.3826258268441</x:v>
      </x:c>
      <x:c r="AN600" s="17" t="n">
        <x:f>IF('Control Room'!$B$5="Normal",'Control Room'!$B$7,('Control Room'!$B$8+'Control Room'!$D$8)/2)+'Control Room'!$B$9*(AN599-IF('Control Room'!$B$5="Normal",'Control Room'!$B$7,('Control Room'!$B$8+'Control Room'!$D$8)/2))+SQRT(1-'Control Room'!$B$9^2)*(AM600-IF('Control Room'!$B$5="Normal",'Control Room'!$B$7,('Control Room'!$B$8+'Control Room'!$D$8)/2))</x:f>
        <x:v>969.2227581212056</x:v>
      </x:c>
      <x:c r="AO600" s="17" t="n">
        <x:f>IF(AND($A600&gt;='Control Room'!$A$13,$A600&lt;'Control Room'!$A$13+'Control Room'!$B$13,'Process'!BR2=1),1+('Control Room'!$C$13-1)*EXP(-0.5*(($A600-'Control Room'!$A$13-('Control Room'!$B$13-1)/2)/MAX(0.5,'Control Room'!$B$13/4))^2),1)*IF(AND($A600&gt;='Control Room'!$A$14,$A600&lt;'Control Room'!$A$14+'Control Room'!$B$14,'Process'!BR3=1),1+('Control Room'!$C$14-1)*EXP(-0.5*(($A600-'Control Room'!$A$14-('Control Room'!$B$14-1)/2)/MAX(0.5,'Control Room'!$B$14/4))^2),1)*IF(AND($A600&gt;='Control Room'!$A$15,$A600&lt;'Control Room'!$A$15+'Control Room'!$B$15,'Process'!BR4=1),1+('Control Room'!$C$15-1)*EXP(-0.5*(($A600-'Control Room'!$A$15-('Control Room'!$B$15-1)/2)/MAX(0.5,'Control Room'!$B$15/4))^2),1)*IF(AND($A600&gt;='Control Room'!$A$16,$A600&lt;'Control Room'!$A$16+'Control Room'!$B$16,'Process'!BR5=1),1+('Control Room'!$C$16-1)*EXP(-0.5*(($A600-'Control Room'!$A$16-('Control Room'!$B$16-1)/2)/MAX(0.5,'Control Room'!$B$16/4))^2),1)</x:f>
        <x:v>1</x:v>
      </x:c>
      <x:c r="AP600" s="9" t="n">
        <x:f>MOD(AQ599*16807,2147483647)</x:f>
        <x:v>1177915919</x:v>
      </x:c>
      <x:c r="AQ600" s="9" t="n">
        <x:f>MOD(AP600*16807,2147483647)</x:f>
        <x:v>1728592587</x:v>
      </x:c>
      <x:c r="AR600" s="17" t="n">
        <x:f>IF('Control Room'!$B$5="Normal",'Control Room'!$B$7+'Control Room'!$D$7*SQRT(-2*LN(MAX(0.000000000001,AP600/2147483647)))*COS(2*PI()*AQ600/2147483647),'Control Room'!$B$8+('Control Room'!$D$8-'Control Room'!$B$8)*AP600/2147483647)</x:f>
        <x:v>1033.375720414382</x:v>
      </x:c>
      <x:c r="AS600" s="17" t="n">
        <x:f>IF('Control Room'!$B$5="Normal",'Control Room'!$B$7,('Control Room'!$B$8+'Control Room'!$D$8)/2)+'Control Room'!$B$9*(AS599-IF('Control Room'!$B$5="Normal",'Control Room'!$B$7,('Control Room'!$B$8+'Control Room'!$D$8)/2))+SQRT(1-'Control Room'!$B$9^2)*(AR600-IF('Control Room'!$B$5="Normal",'Control Room'!$B$7,('Control Room'!$B$8+'Control Room'!$D$8)/2))</x:f>
        <x:v>1069.655378893171</x:v>
      </x:c>
      <x:c r="AT600" s="17" t="n">
        <x:f>IF(AND($A600&gt;='Control Room'!$A$13,$A600&lt;'Control Room'!$A$13+'Control Room'!$B$13,'Process'!BS2=1),1+('Control Room'!$C$13-1)*EXP(-0.5*(($A600-'Control Room'!$A$13-('Control Room'!$B$13-1)/2)/MAX(0.5,'Control Room'!$B$13/4))^2),1)*IF(AND($A600&gt;='Control Room'!$A$14,$A600&lt;'Control Room'!$A$14+'Control Room'!$B$14,'Process'!BS3=1),1+('Control Room'!$C$14-1)*EXP(-0.5*(($A600-'Control Room'!$A$14-('Control Room'!$B$14-1)/2)/MAX(0.5,'Control Room'!$B$14/4))^2),1)*IF(AND($A600&gt;='Control Room'!$A$15,$A600&lt;'Control Room'!$A$15+'Control Room'!$B$15,'Process'!BS4=1),1+('Control Room'!$C$15-1)*EXP(-0.5*(($A600-'Control Room'!$A$15-('Control Room'!$B$15-1)/2)/MAX(0.5,'Control Room'!$B$15/4))^2),1)*IF(AND($A600&gt;='Control Room'!$A$16,$A600&lt;'Control Room'!$A$16+'Control Room'!$B$16,'Process'!BS5=1),1+('Control Room'!$C$16-1)*EXP(-0.5*(($A600-'Control Room'!$A$16-('Control Room'!$B$16-1)/2)/MAX(0.5,'Control Room'!$B$16/4))^2),1)</x:f>
        <x:v>1</x:v>
      </x:c>
      <x:c r="AU600" s="9" t="n">
        <x:f>MOD(AV599*16807,2147483647)</x:f>
        <x:v>596976025</x:v>
      </x:c>
      <x:c r="AV600" s="9" t="n">
        <x:f>MOD(AU600*16807,2147483647)</x:f>
        <x:v>332453391</x:v>
      </x:c>
      <x:c r="AW600" s="17" t="n">
        <x:f>IF('Control Room'!$B$5="Normal",'Control Room'!$B$7+'Control Room'!$D$7*SQRT(-2*LN(MAX(0.000000000001,AU600/2147483647)))*COS(2*PI()*AV600/2147483647),'Control Room'!$B$8+('Control Room'!$D$8-'Control Room'!$B$8)*AU600/2147483647)</x:f>
        <x:v>1081.0871715999094</x:v>
      </x:c>
      <x:c r="AX600" s="17" t="n">
        <x:f>IF('Control Room'!$B$5="Normal",'Control Room'!$B$7,('Control Room'!$B$8+'Control Room'!$D$8)/2)+'Control Room'!$B$9*(AX599-IF('Control Room'!$B$5="Normal",'Control Room'!$B$7,('Control Room'!$B$8+'Control Room'!$D$8)/2))+SQRT(1-'Control Room'!$B$9^2)*(AW600-IF('Control Room'!$B$5="Normal",'Control Room'!$B$7,('Control Room'!$B$8+'Control Room'!$D$8)/2))</x:f>
        <x:v>1043.3754916941734</x:v>
      </x:c>
      <x:c r="AY600" s="17" t="n">
        <x:f>IF(AND($A600&gt;='Control Room'!$A$13,$A600&lt;'Control Room'!$A$13+'Control Room'!$B$13,'Process'!BT2=1),1+('Control Room'!$C$13-1)*EXP(-0.5*(($A600-'Control Room'!$A$13-('Control Room'!$B$13-1)/2)/MAX(0.5,'Control Room'!$B$13/4))^2),1)*IF(AND($A600&gt;='Control Room'!$A$14,$A600&lt;'Control Room'!$A$14+'Control Room'!$B$14,'Process'!BT3=1),1+('Control Room'!$C$14-1)*EXP(-0.5*(($A600-'Control Room'!$A$14-('Control Room'!$B$14-1)/2)/MAX(0.5,'Control Room'!$B$14/4))^2),1)*IF(AND($A600&gt;='Control Room'!$A$15,$A600&lt;'Control Room'!$A$15+'Control Room'!$B$15,'Process'!BT4=1),1+('Control Room'!$C$15-1)*EXP(-0.5*(($A600-'Control Room'!$A$15-('Control Room'!$B$15-1)/2)/MAX(0.5,'Control Room'!$B$15/4))^2),1)*IF(AND($A600&gt;='Control Room'!$A$16,$A600&lt;'Control Room'!$A$16+'Control Room'!$B$16,'Process'!BT5=1),1+('Control Room'!$C$16-1)*EXP(-0.5*(($A600-'Control Room'!$A$16-('Control Room'!$B$16-1)/2)/MAX(0.5,'Control Room'!$B$16/4))^2),1)</x:f>
        <x:v>1</x:v>
      </x:c>
      <x:c r="AZ600" s="9" t="n">
        <x:f>MOD(BA599*16807,2147483647)</x:f>
        <x:v>16036131</x:v>
      </x:c>
      <x:c r="BA600" s="9" t="n">
        <x:f>MOD(AZ600*16807,2147483647)</x:f>
        <x:v>1083797842</x:v>
      </x:c>
      <x:c r="BB600" s="17" t="n">
        <x:f>IF('Control Room'!$B$5="Normal",'Control Room'!$B$7+'Control Room'!$D$7*SQRT(-2*LN(MAX(0.000000000001,AZ600/2147483647)))*COS(2*PI()*BA600/2147483647),'Control Room'!$B$8+('Control Room'!$D$8-'Control Room'!$B$8)*AZ600/2147483647)</x:f>
        <x:v>718.4576293651976</x:v>
      </x:c>
      <x:c r="BC600" s="17" t="n">
        <x:f>IF('Control Room'!$B$5="Normal",'Control Room'!$B$7,('Control Room'!$B$8+'Control Room'!$D$8)/2)+'Control Room'!$B$9*(BC599-IF('Control Room'!$B$5="Normal",'Control Room'!$B$7,('Control Room'!$B$8+'Control Room'!$D$8)/2))+SQRT(1-'Control Room'!$B$9^2)*(BB600-IF('Control Room'!$B$5="Normal",'Control Room'!$B$7,('Control Room'!$B$8+'Control Room'!$D$8)/2))</x:f>
        <x:v>794.7526578115978</x:v>
      </x:c>
      <x:c r="BD600" s="17" t="n">
        <x:f>IF(AND($A600&gt;='Control Room'!$A$13,$A600&lt;'Control Room'!$A$13+'Control Room'!$B$13,'Process'!BU2=1),1+('Control Room'!$C$13-1)*EXP(-0.5*(($A600-'Control Room'!$A$13-('Control Room'!$B$13-1)/2)/MAX(0.5,'Control Room'!$B$13/4))^2),1)*IF(AND($A600&gt;='Control Room'!$A$14,$A600&lt;'Control Room'!$A$14+'Control Room'!$B$14,'Process'!BU3=1),1+('Control Room'!$C$14-1)*EXP(-0.5*(($A600-'Control Room'!$A$14-('Control Room'!$B$14-1)/2)/MAX(0.5,'Control Room'!$B$14/4))^2),1)*IF(AND($A600&gt;='Control Room'!$A$15,$A600&lt;'Control Room'!$A$15+'Control Room'!$B$15,'Process'!BU4=1),1+('Control Room'!$C$15-1)*EXP(-0.5*(($A600-'Control Room'!$A$15-('Control Room'!$B$15-1)/2)/MAX(0.5,'Control Room'!$B$15/4))^2),1)*IF(AND($A600&gt;='Control Room'!$A$16,$A600&lt;'Control Room'!$A$16+'Control Room'!$B$16,'Process'!BU5=1),1+('Control Room'!$C$16-1)*EXP(-0.5*(($A600-'Control Room'!$A$16-('Control Room'!$B$16-1)/2)/MAX(0.5,'Control Room'!$B$16/4))^2),1)</x:f>
        <x:v>1</x:v>
      </x:c>
      <x:c r="BE600" s="9" t="n">
        <x:f>MOD(BF599*16807,2147483647)</x:f>
        <x:v>1582579884</x:v>
      </x:c>
      <x:c r="BF600" s="9" t="n">
        <x:f>MOD(BE600*16807,2147483647)</x:f>
        <x:v>1835142293</x:v>
      </x:c>
      <x:c r="BG600" s="17" t="n">
        <x:f>IF('Control Room'!$B$5="Normal",'Control Room'!$B$7+'Control Room'!$D$7*SQRT(-2*LN(MAX(0.000000000001,BE600/2147483647)))*COS(2*PI()*BF600/2147483647),'Control Room'!$B$8+('Control Room'!$D$8-'Control Room'!$B$8)*BE600/2147483647)</x:f>
        <x:v>1042.9439678068393</x:v>
      </x:c>
      <x:c r="BH600" s="17" t="n">
        <x:f>IF('Control Room'!$B$5="Normal",'Control Room'!$B$7,('Control Room'!$B$8+'Control Room'!$D$8)/2)+'Control Room'!$B$9*(BH599-IF('Control Room'!$B$5="Normal",'Control Room'!$B$7,('Control Room'!$B$8+'Control Room'!$D$8)/2))+SQRT(1-'Control Room'!$B$9^2)*(BG600-IF('Control Room'!$B$5="Normal",'Control Room'!$B$7,('Control Room'!$B$8+'Control Room'!$D$8)/2))</x:f>
        <x:v>1076.4061302661607</x:v>
      </x:c>
      <x:c r="BI600" s="17" t="n">
        <x:f>IF(AND($A600&gt;='Control Room'!$A$13,$A600&lt;'Control Room'!$A$13+'Control Room'!$B$13,'Process'!BV2=1),1+('Control Room'!$C$13-1)*EXP(-0.5*(($A600-'Control Room'!$A$13-('Control Room'!$B$13-1)/2)/MAX(0.5,'Control Room'!$B$13/4))^2),1)*IF(AND($A600&gt;='Control Room'!$A$14,$A600&lt;'Control Room'!$A$14+'Control Room'!$B$14,'Process'!BV3=1),1+('Control Room'!$C$14-1)*EXP(-0.5*(($A600-'Control Room'!$A$14-('Control Room'!$B$14-1)/2)/MAX(0.5,'Control Room'!$B$14/4))^2),1)*IF(AND($A600&gt;='Control Room'!$A$15,$A600&lt;'Control Room'!$A$15+'Control Room'!$B$15,'Process'!BV4=1),1+('Control Room'!$C$15-1)*EXP(-0.5*(($A600-'Control Room'!$A$15-('Control Room'!$B$15-1)/2)/MAX(0.5,'Control Room'!$B$15/4))^2),1)*IF(AND($A600&gt;='Control Room'!$A$16,$A600&lt;'Control Room'!$A$16+'Control Room'!$B$16,'Process'!BV5=1),1+('Control Room'!$C$16-1)*EXP(-0.5*(($A600-'Control Room'!$A$16-('Control Room'!$B$16-1)/2)/MAX(0.5,'Control Room'!$B$16/4))^2),1)</x:f>
        <x:v>1</x:v>
      </x:c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Z600" t="str">
        <x:f>IF('Data'!A600="","",TEXT('Data'!A600,"mm-dd"))</x:f>
      </x:c>
    </x:row>
    <x:row r="601" ht="21" customHeight="1">
      <x:c r="A601" s="15" t="n">
        <x:f>'Control Room'!$B$1+599</x:f>
        <x:v>73590</x:v>
      </x:c>
      <x:c r="B601" s="9" t="n">
        <x:f>MOD(C600*16807,2147483647)</x:f>
        <x:v>453051611</x:v>
      </x:c>
      <x:c r="C601" s="9" t="n">
        <x:f>MOD(B601*16807,2147483647)</x:f>
        <x:v>1608897462</x:v>
      </x:c>
      <x:c r="D601" s="17" t="n">
        <x:f>IF('Control Room'!$B$5="Normal",'Control Room'!$B$7+'Control Room'!$D$7*SQRT(-2*LN(MAX(0.000000000001,B601/2147483647)))*COS(2*PI()*C601/2147483647),'Control Room'!$B$8+('Control Room'!$D$8-'Control Room'!$B$8)*B601/2147483647)</x:f>
        <x:v>999.2031983658842</x:v>
      </x:c>
      <x:c r="E601" s="17" t="n">
        <x:f>IF('Control Room'!$B$5="Normal",'Control Room'!$B$7,('Control Room'!$B$8+'Control Room'!$D$8)/2)+'Control Room'!$B$9*(E600-IF('Control Room'!$B$5="Normal",'Control Room'!$B$7,('Control Room'!$B$8+'Control Room'!$D$8)/2))+SQRT(1-'Control Room'!$B$9^2)*(D601-IF('Control Room'!$B$5="Normal",'Control Room'!$B$7,('Control Room'!$B$8+'Control Room'!$D$8)/2))</x:f>
        <x:v>1112.4781639294988</x:v>
      </x:c>
      <x:c r="F601" s="17" t="n">
        <x:f>IF(AND($A601&gt;='Control Room'!$A$13,$A601&lt;'Control Room'!$A$13+'Control Room'!$B$13,'Process'!BK2=1),1+('Control Room'!$C$13-1)*EXP(-0.5*(($A601-'Control Room'!$A$13-('Control Room'!$B$13-1)/2)/MAX(0.5,'Control Room'!$B$13/4))^2),1)*IF(AND($A601&gt;='Control Room'!$A$14,$A601&lt;'Control Room'!$A$14+'Control Room'!$B$14,'Process'!BK3=1),1+('Control Room'!$C$14-1)*EXP(-0.5*(($A601-'Control Room'!$A$14-('Control Room'!$B$14-1)/2)/MAX(0.5,'Control Room'!$B$14/4))^2),1)*IF(AND($A601&gt;='Control Room'!$A$15,$A601&lt;'Control Room'!$A$15+'Control Room'!$B$15,'Process'!BK4=1),1+('Control Room'!$C$15-1)*EXP(-0.5*(($A601-'Control Room'!$A$15-('Control Room'!$B$15-1)/2)/MAX(0.5,'Control Room'!$B$15/4))^2),1)*IF(AND($A601&gt;='Control Room'!$A$16,$A601&lt;'Control Room'!$A$16+'Control Room'!$B$16,'Process'!BK5=1),1+('Control Room'!$C$16-1)*EXP(-0.5*(($A601-'Control Room'!$A$16-('Control Room'!$B$16-1)/2)/MAX(0.5,'Control Room'!$B$16/4))^2),1)</x:f>
        <x:v>1</x:v>
      </x:c>
      <x:c r="G601" s="9" t="n">
        <x:f>MOD(H600*16807,2147483647)</x:f>
        <x:v>1095395208</x:v>
      </x:c>
      <x:c r="H601" s="9" t="n">
        <x:f>MOD(G601*16807,2147483647)</x:f>
        <x:v>2077438772</x:v>
      </x:c>
      <x:c r="I601" s="17" t="n">
        <x:f>IF('Control Room'!$B$5="Normal",'Control Room'!$B$7+'Control Room'!$D$7*SQRT(-2*LN(MAX(0.000000000001,G601/2147483647)))*COS(2*PI()*H601/2147483647),'Control Room'!$B$8+('Control Room'!$D$8-'Control Room'!$B$8)*G601/2147483647)</x:f>
        <x:v>1102.2442241459187</x:v>
      </x:c>
      <x:c r="J601" s="17" t="n">
        <x:f>IF('Control Room'!$B$5="Normal",'Control Room'!$B$7,('Control Room'!$B$8+'Control Room'!$D$8)/2)+'Control Room'!$B$9*(J600-IF('Control Room'!$B$5="Normal",'Control Room'!$B$7,('Control Room'!$B$8+'Control Room'!$D$8)/2))+SQRT(1-'Control Room'!$B$9^2)*(I601-IF('Control Room'!$B$5="Normal",'Control Room'!$B$7,('Control Room'!$B$8+'Control Room'!$D$8)/2))</x:f>
        <x:v>981.5672104754073</x:v>
      </x:c>
      <x:c r="K601" s="17" t="n">
        <x:f>IF(AND($A601&gt;='Control Room'!$A$13,$A601&lt;'Control Room'!$A$13+'Control Room'!$B$13,'Process'!BL2=1),1+('Control Room'!$C$13-1)*EXP(-0.5*(($A601-'Control Room'!$A$13-('Control Room'!$B$13-1)/2)/MAX(0.5,'Control Room'!$B$13/4))^2),1)*IF(AND($A601&gt;='Control Room'!$A$14,$A601&lt;'Control Room'!$A$14+'Control Room'!$B$14,'Process'!BL3=1),1+('Control Room'!$C$14-1)*EXP(-0.5*(($A601-'Control Room'!$A$14-('Control Room'!$B$14-1)/2)/MAX(0.5,'Control Room'!$B$14/4))^2),1)*IF(AND($A601&gt;='Control Room'!$A$15,$A601&lt;'Control Room'!$A$15+'Control Room'!$B$15,'Process'!BL4=1),1+('Control Room'!$C$15-1)*EXP(-0.5*(($A601-'Control Room'!$A$15-('Control Room'!$B$15-1)/2)/MAX(0.5,'Control Room'!$B$15/4))^2),1)*IF(AND($A601&gt;='Control Room'!$A$16,$A601&lt;'Control Room'!$A$16+'Control Room'!$B$16,'Process'!BL5=1),1+('Control Room'!$C$16-1)*EXP(-0.5*(($A601-'Control Room'!$A$16-('Control Room'!$B$16-1)/2)/MAX(0.5,'Control Room'!$B$16/4))^2),1)</x:f>
        <x:v>1</x:v>
      </x:c>
      <x:c r="L601" s="9" t="n">
        <x:f>MOD(M600*16807,2147483647)</x:f>
        <x:v>1737738805</x:v>
      </x:c>
      <x:c r="M601" s="9" t="n">
        <x:f>MOD(L601*16807,2147483647)</x:f>
        <x:v>398496435</x:v>
      </x:c>
      <x:c r="N601" s="17" t="n">
        <x:f>IF('Control Room'!$B$5="Normal",'Control Room'!$B$7+'Control Room'!$D$7*SQRT(-2*LN(MAX(0.000000000001,L601/2147483647)))*COS(2*PI()*M601/2147483647),'Control Room'!$B$8+('Control Room'!$D$8-'Control Room'!$B$8)*L601/2147483647)</x:f>
        <x:v>1023.0678108788775</x:v>
      </x:c>
      <x:c r="O601" s="17" t="n">
        <x:f>IF('Control Room'!$B$5="Normal",'Control Room'!$B$7,('Control Room'!$B$8+'Control Room'!$D$8)/2)+'Control Room'!$B$9*(O600-IF('Control Room'!$B$5="Normal",'Control Room'!$B$7,('Control Room'!$B$8+'Control Room'!$D$8)/2))+SQRT(1-'Control Room'!$B$9^2)*(N601-IF('Control Room'!$B$5="Normal",'Control Room'!$B$7,('Control Room'!$B$8+'Control Room'!$D$8)/2))</x:f>
        <x:v>1087.9476993073117</x:v>
      </x:c>
      <x:c r="P601" s="17" t="n">
        <x:f>IF(AND($A601&gt;='Control Room'!$A$13,$A601&lt;'Control Room'!$A$13+'Control Room'!$B$13,'Process'!BM2=1),1+('Control Room'!$C$13-1)*EXP(-0.5*(($A601-'Control Room'!$A$13-('Control Room'!$B$13-1)/2)/MAX(0.5,'Control Room'!$B$13/4))^2),1)*IF(AND($A601&gt;='Control Room'!$A$14,$A601&lt;'Control Room'!$A$14+'Control Room'!$B$14,'Process'!BM3=1),1+('Control Room'!$C$14-1)*EXP(-0.5*(($A601-'Control Room'!$A$14-('Control Room'!$B$14-1)/2)/MAX(0.5,'Control Room'!$B$14/4))^2),1)*IF(AND($A601&gt;='Control Room'!$A$15,$A601&lt;'Control Room'!$A$15+'Control Room'!$B$15,'Process'!BM4=1),1+('Control Room'!$C$15-1)*EXP(-0.5*(($A601-'Control Room'!$A$15-('Control Room'!$B$15-1)/2)/MAX(0.5,'Control Room'!$B$15/4))^2),1)*IF(AND($A601&gt;='Control Room'!$A$16,$A601&lt;'Control Room'!$A$16+'Control Room'!$B$16,'Process'!BM5=1),1+('Control Room'!$C$16-1)*EXP(-0.5*(($A601-'Control Room'!$A$16-('Control Room'!$B$16-1)/2)/MAX(0.5,'Control Room'!$B$16/4))^2),1)</x:f>
        <x:v>1</x:v>
      </x:c>
      <x:c r="Q601" s="9" t="n">
        <x:f>MOD(R600*16807,2147483647)</x:f>
        <x:v>232598755</x:v>
      </x:c>
      <x:c r="R601" s="9" t="n">
        <x:f>MOD(Q601*16807,2147483647)</x:f>
        <x:v>867037745</x:v>
      </x:c>
      <x:c r="S601" s="17" t="n">
        <x:f>IF('Control Room'!$B$5="Normal",'Control Room'!$B$7+'Control Room'!$D$7*SQRT(-2*LN(MAX(0.000000000001,Q601/2147483647)))*COS(2*PI()*R601/2147483647),'Control Room'!$B$8+('Control Room'!$D$8-'Control Room'!$B$8)*Q601/2147483647)</x:f>
        <x:v>843.8996240405802</x:v>
      </x:c>
      <x:c r="T601" s="17" t="n">
        <x:f>IF('Control Room'!$B$5="Normal",'Control Room'!$B$7,('Control Room'!$B$8+'Control Room'!$D$8)/2)+'Control Room'!$B$9*(T600-IF('Control Room'!$B$5="Normal",'Control Room'!$B$7,('Control Room'!$B$8+'Control Room'!$D$8)/2))+SQRT(1-'Control Room'!$B$9^2)*(S601-IF('Control Room'!$B$5="Normal",'Control Room'!$B$7,('Control Room'!$B$8+'Control Room'!$D$8)/2))</x:f>
        <x:v>932.1385373224562</x:v>
      </x:c>
      <x:c r="U601" s="17" t="n">
        <x:f>IF(AND($A601&gt;='Control Room'!$A$13,$A601&lt;'Control Room'!$A$13+'Control Room'!$B$13,'Process'!BN2=1),1+('Control Room'!$C$13-1)*EXP(-0.5*(($A601-'Control Room'!$A$13-('Control Room'!$B$13-1)/2)/MAX(0.5,'Control Room'!$B$13/4))^2),1)*IF(AND($A601&gt;='Control Room'!$A$14,$A601&lt;'Control Room'!$A$14+'Control Room'!$B$14,'Process'!BN3=1),1+('Control Room'!$C$14-1)*EXP(-0.5*(($A601-'Control Room'!$A$14-('Control Room'!$B$14-1)/2)/MAX(0.5,'Control Room'!$B$14/4))^2),1)*IF(AND($A601&gt;='Control Room'!$A$15,$A601&lt;'Control Room'!$A$15+'Control Room'!$B$15,'Process'!BN4=1),1+('Control Room'!$C$15-1)*EXP(-0.5*(($A601-'Control Room'!$A$15-('Control Room'!$B$15-1)/2)/MAX(0.5,'Control Room'!$B$15/4))^2),1)*IF(AND($A601&gt;='Control Room'!$A$16,$A601&lt;'Control Room'!$A$16+'Control Room'!$B$16,'Process'!BN5=1),1+('Control Room'!$C$16-1)*EXP(-0.5*(($A601-'Control Room'!$A$16-('Control Room'!$B$16-1)/2)/MAX(0.5,'Control Room'!$B$16/4))^2),1)</x:f>
        <x:v>1</x:v>
      </x:c>
      <x:c r="V601" s="9" t="n">
        <x:f>MOD(W600*16807,2147483647)</x:f>
        <x:v>874942352</x:v>
      </x:c>
      <x:c r="W601" s="9" t="n">
        <x:f>MOD(V601*16807,2147483647)</x:f>
        <x:v>1335579055</x:v>
      </x:c>
      <x:c r="X601" s="17" t="n">
        <x:f>IF('Control Room'!$B$5="Normal",'Control Room'!$B$7+'Control Room'!$D$7*SQRT(-2*LN(MAX(0.000000000001,V601/2147483647)))*COS(2*PI()*W601/2147483647),'Control Room'!$B$8+('Control Room'!$D$8-'Control Room'!$B$8)*V601/2147483647)</x:f>
        <x:v>913.0880622292855</x:v>
      </x:c>
      <x:c r="Y601" s="17" t="n">
        <x:f>IF('Control Room'!$B$5="Normal",'Control Room'!$B$7,('Control Room'!$B$8+'Control Room'!$D$8)/2)+'Control Room'!$B$9*(Y600-IF('Control Room'!$B$5="Normal",'Control Room'!$B$7,('Control Room'!$B$8+'Control Room'!$D$8)/2))+SQRT(1-'Control Room'!$B$9^2)*(X601-IF('Control Room'!$B$5="Normal",'Control Room'!$B$7,('Control Room'!$B$8+'Control Room'!$D$8)/2))</x:f>
        <x:v>964.9788966461756</x:v>
      </x:c>
      <x:c r="Z601" s="17" t="n">
        <x:f>IF(AND($A601&gt;='Control Room'!$A$13,$A601&lt;'Control Room'!$A$13+'Control Room'!$B$13,'Process'!BO2=1),1+('Control Room'!$C$13-1)*EXP(-0.5*(($A601-'Control Room'!$A$13-('Control Room'!$B$13-1)/2)/MAX(0.5,'Control Room'!$B$13/4))^2),1)*IF(AND($A601&gt;='Control Room'!$A$14,$A601&lt;'Control Room'!$A$14+'Control Room'!$B$14,'Process'!BO3=1),1+('Control Room'!$C$14-1)*EXP(-0.5*(($A601-'Control Room'!$A$14-('Control Room'!$B$14-1)/2)/MAX(0.5,'Control Room'!$B$14/4))^2),1)*IF(AND($A601&gt;='Control Room'!$A$15,$A601&lt;'Control Room'!$A$15+'Control Room'!$B$15,'Process'!BO4=1),1+('Control Room'!$C$15-1)*EXP(-0.5*(($A601-'Control Room'!$A$15-('Control Room'!$B$15-1)/2)/MAX(0.5,'Control Room'!$B$15/4))^2),1)*IF(AND($A601&gt;='Control Room'!$A$16,$A601&lt;'Control Room'!$A$16+'Control Room'!$B$16,'Process'!BO5=1),1+('Control Room'!$C$16-1)*EXP(-0.5*(($A601-'Control Room'!$A$16-('Control Room'!$B$16-1)/2)/MAX(0.5,'Control Room'!$B$16/4))^2),1)</x:f>
        <x:v>1</x:v>
      </x:c>
      <x:c r="AA601" s="9" t="n">
        <x:f>MOD(AB600*16807,2147483647)</x:f>
        <x:v>1517285949</x:v>
      </x:c>
      <x:c r="AB601" s="9" t="n">
        <x:f>MOD(AA601*16807,2147483647)</x:f>
        <x:v>1804120365</x:v>
      </x:c>
      <x:c r="AC601" s="17" t="n">
        <x:f>IF('Control Room'!$B$5="Normal",'Control Room'!$B$7+'Control Room'!$D$7*SQRT(-2*LN(MAX(0.000000000001,AA601/2147483647)))*COS(2*PI()*AB601/2147483647),'Control Room'!$B$8+('Control Room'!$D$8-'Control Room'!$B$8)*AA601/2147483647)</x:f>
        <x:v>1040.2391414313631</x:v>
      </x:c>
      <x:c r="AD601" s="17" t="n">
        <x:f>IF('Control Room'!$B$5="Normal",'Control Room'!$B$7,('Control Room'!$B$8+'Control Room'!$D$8)/2)+'Control Room'!$B$9*(AD600-IF('Control Room'!$B$5="Normal",'Control Room'!$B$7,('Control Room'!$B$8+'Control Room'!$D$8)/2))+SQRT(1-'Control Room'!$B$9^2)*(AC601-IF('Control Room'!$B$5="Normal",'Control Room'!$B$7,('Control Room'!$B$8+'Control Room'!$D$8)/2))</x:f>
        <x:v>1049.2295863949091</x:v>
      </x:c>
      <x:c r="AE601" s="17" t="n">
        <x:f>IF(AND($A601&gt;='Control Room'!$A$13,$A601&lt;'Control Room'!$A$13+'Control Room'!$B$13,'Process'!BP2=1),1+('Control Room'!$C$13-1)*EXP(-0.5*(($A601-'Control Room'!$A$13-('Control Room'!$B$13-1)/2)/MAX(0.5,'Control Room'!$B$13/4))^2),1)*IF(AND($A601&gt;='Control Room'!$A$14,$A601&lt;'Control Room'!$A$14+'Control Room'!$B$14,'Process'!BP3=1),1+('Control Room'!$C$14-1)*EXP(-0.5*(($A601-'Control Room'!$A$14-('Control Room'!$B$14-1)/2)/MAX(0.5,'Control Room'!$B$14/4))^2),1)*IF(AND($A601&gt;='Control Room'!$A$15,$A601&lt;'Control Room'!$A$15+'Control Room'!$B$15,'Process'!BP4=1),1+('Control Room'!$C$15-1)*EXP(-0.5*(($A601-'Control Room'!$A$15-('Control Room'!$B$15-1)/2)/MAX(0.5,'Control Room'!$B$15/4))^2),1)*IF(AND($A601&gt;='Control Room'!$A$16,$A601&lt;'Control Room'!$A$16+'Control Room'!$B$16,'Process'!BP5=1),1+('Control Room'!$C$16-1)*EXP(-0.5*(($A601-'Control Room'!$A$16-('Control Room'!$B$16-1)/2)/MAX(0.5,'Control Room'!$B$16/4))^2),1)</x:f>
        <x:v>1</x:v>
      </x:c>
      <x:c r="AF601" s="9" t="n">
        <x:f>MOD(AG600*16807,2147483647)</x:f>
        <x:v>12145899</x:v>
      </x:c>
      <x:c r="AG601" s="9" t="n">
        <x:f>MOD(AF601*16807,2147483647)</x:f>
        <x:v>125178028</x:v>
      </x:c>
      <x:c r="AH601" s="17" t="n">
        <x:f>IF('Control Room'!$B$5="Normal",'Control Room'!$B$7+'Control Room'!$D$7*SQRT(-2*LN(MAX(0.000000000001,AF601/2147483647)))*COS(2*PI()*AG601/2147483647),'Control Room'!$B$8+('Control Room'!$D$8-'Control Room'!$B$8)*AF601/2147483647)</x:f>
        <x:v>1270.3408922656847</x:v>
      </x:c>
      <x:c r="AI601" s="17" t="n">
        <x:f>IF('Control Room'!$B$5="Normal",'Control Room'!$B$7,('Control Room'!$B$8+'Control Room'!$D$8)/2)+'Control Room'!$B$9*(AI600-IF('Control Room'!$B$5="Normal",'Control Room'!$B$7,('Control Room'!$B$8+'Control Room'!$D$8)/2))+SQRT(1-'Control Room'!$B$9^2)*(AH601-IF('Control Room'!$B$5="Normal",'Control Room'!$B$7,('Control Room'!$B$8+'Control Room'!$D$8)/2))</x:f>
        <x:v>1250.5913499747062</x:v>
      </x:c>
      <x:c r="AJ601" s="17" t="n">
        <x:f>IF(AND($A601&gt;='Control Room'!$A$13,$A601&lt;'Control Room'!$A$13+'Control Room'!$B$13,'Process'!BQ2=1),1+('Control Room'!$C$13-1)*EXP(-0.5*(($A601-'Control Room'!$A$13-('Control Room'!$B$13-1)/2)/MAX(0.5,'Control Room'!$B$13/4))^2),1)*IF(AND($A601&gt;='Control Room'!$A$14,$A601&lt;'Control Room'!$A$14+'Control Room'!$B$14,'Process'!BQ3=1),1+('Control Room'!$C$14-1)*EXP(-0.5*(($A601-'Control Room'!$A$14-('Control Room'!$B$14-1)/2)/MAX(0.5,'Control Room'!$B$14/4))^2),1)*IF(AND($A601&gt;='Control Room'!$A$15,$A601&lt;'Control Room'!$A$15+'Control Room'!$B$15,'Process'!BQ4=1),1+('Control Room'!$C$15-1)*EXP(-0.5*(($A601-'Control Room'!$A$15-('Control Room'!$B$15-1)/2)/MAX(0.5,'Control Room'!$B$15/4))^2),1)*IF(AND($A601&gt;='Control Room'!$A$16,$A601&lt;'Control Room'!$A$16+'Control Room'!$B$16,'Process'!BQ5=1),1+('Control Room'!$C$16-1)*EXP(-0.5*(($A601-'Control Room'!$A$16-('Control Room'!$B$16-1)/2)/MAX(0.5,'Control Room'!$B$16/4))^2),1)</x:f>
        <x:v>1</x:v>
      </x:c>
      <x:c r="AK601" s="9" t="n">
        <x:f>MOD(AL600*16807,2147483647)</x:f>
        <x:v>654489496</x:v>
      </x:c>
      <x:c r="AL601" s="9" t="n">
        <x:f>MOD(AK601*16807,2147483647)</x:f>
        <x:v>593719338</x:v>
      </x:c>
      <x:c r="AM601" s="17" t="n">
        <x:f>IF('Control Room'!$B$5="Normal",'Control Room'!$B$7+'Control Room'!$D$7*SQRT(-2*LN(MAX(0.000000000001,AK601/2147483647)))*COS(2*PI()*AL601/2147483647),'Control Room'!$B$8+('Control Room'!$D$8-'Control Room'!$B$8)*AK601/2147483647)</x:f>
        <x:v>977.0297483284876</x:v>
      </x:c>
      <x:c r="AN601" s="17" t="n">
        <x:f>IF('Control Room'!$B$5="Normal",'Control Room'!$B$7,('Control Room'!$B$8+'Control Room'!$D$8)/2)+'Control Room'!$B$9*(AN600-IF('Control Room'!$B$5="Normal",'Control Room'!$B$7,('Control Room'!$B$8+'Control Room'!$D$8)/2))+SQRT(1-'Control Room'!$B$9^2)*(AM601-IF('Control Room'!$B$5="Normal",'Control Room'!$B$7,('Control Room'!$B$8+'Control Room'!$D$8)/2))</x:f>
        <x:v>961.6194384096913</x:v>
      </x:c>
      <x:c r="AO601" s="17" t="n">
        <x:f>IF(AND($A601&gt;='Control Room'!$A$13,$A601&lt;'Control Room'!$A$13+'Control Room'!$B$13,'Process'!BR2=1),1+('Control Room'!$C$13-1)*EXP(-0.5*(($A601-'Control Room'!$A$13-('Control Room'!$B$13-1)/2)/MAX(0.5,'Control Room'!$B$13/4))^2),1)*IF(AND($A601&gt;='Control Room'!$A$14,$A601&lt;'Control Room'!$A$14+'Control Room'!$B$14,'Process'!BR3=1),1+('Control Room'!$C$14-1)*EXP(-0.5*(($A601-'Control Room'!$A$14-('Control Room'!$B$14-1)/2)/MAX(0.5,'Control Room'!$B$14/4))^2),1)*IF(AND($A601&gt;='Control Room'!$A$15,$A601&lt;'Control Room'!$A$15+'Control Room'!$B$15,'Process'!BR4=1),1+('Control Room'!$C$15-1)*EXP(-0.5*(($A601-'Control Room'!$A$15-('Control Room'!$B$15-1)/2)/MAX(0.5,'Control Room'!$B$15/4))^2),1)*IF(AND($A601&gt;='Control Room'!$A$16,$A601&lt;'Control Room'!$A$16+'Control Room'!$B$16,'Process'!BR5=1),1+('Control Room'!$C$16-1)*EXP(-0.5*(($A601-'Control Room'!$A$16-('Control Room'!$B$16-1)/2)/MAX(0.5,'Control Room'!$B$16/4))^2),1)</x:f>
        <x:v>1</x:v>
      </x:c>
      <x:c r="AP601" s="9" t="n">
        <x:f>MOD(AQ600*16807,2147483647)</x:f>
        <x:v>1296833093</x:v>
      </x:c>
      <x:c r="AQ601" s="9" t="n">
        <x:f>MOD(AP601*16807,2147483647)</x:f>
        <x:v>1062260648</x:v>
      </x:c>
      <x:c r="AR601" s="17" t="n">
        <x:f>IF('Control Room'!$B$5="Normal",'Control Room'!$B$7+'Control Room'!$D$7*SQRT(-2*LN(MAX(0.000000000001,AP601/2147483647)))*COS(2*PI()*AQ601/2147483647),'Control Room'!$B$8+('Control Room'!$D$8-'Control Room'!$B$8)*AP601/2147483647)</x:f>
        <x:v>909.6584125753261</x:v>
      </x:c>
      <x:c r="AS601" s="17" t="n">
        <x:f>IF('Control Room'!$B$5="Normal",'Control Room'!$B$7,('Control Room'!$B$8+'Control Room'!$D$8)/2)+'Control Room'!$B$9*(AS600-IF('Control Room'!$B$5="Normal",'Control Room'!$B$7,('Control Room'!$B$8+'Control Room'!$D$8)/2))+SQRT(1-'Control Room'!$B$9^2)*(AR601-IF('Control Room'!$B$5="Normal",'Control Room'!$B$7,('Control Room'!$B$8+'Control Room'!$D$8)/2))</x:f>
        <x:v>997.7972808743281</x:v>
      </x:c>
      <x:c r="AT601" s="17" t="n">
        <x:f>IF(AND($A601&gt;='Control Room'!$A$13,$A601&lt;'Control Room'!$A$13+'Control Room'!$B$13,'Process'!BS2=1),1+('Control Room'!$C$13-1)*EXP(-0.5*(($A601-'Control Room'!$A$13-('Control Room'!$B$13-1)/2)/MAX(0.5,'Control Room'!$B$13/4))^2),1)*IF(AND($A601&gt;='Control Room'!$A$14,$A601&lt;'Control Room'!$A$14+'Control Room'!$B$14,'Process'!BS3=1),1+('Control Room'!$C$14-1)*EXP(-0.5*(($A601-'Control Room'!$A$14-('Control Room'!$B$14-1)/2)/MAX(0.5,'Control Room'!$B$14/4))^2),1)*IF(AND($A601&gt;='Control Room'!$A$15,$A601&lt;'Control Room'!$A$15+'Control Room'!$B$15,'Process'!BS4=1),1+('Control Room'!$C$15-1)*EXP(-0.5*(($A601-'Control Room'!$A$15-('Control Room'!$B$15-1)/2)/MAX(0.5,'Control Room'!$B$15/4))^2),1)*IF(AND($A601&gt;='Control Room'!$A$16,$A601&lt;'Control Room'!$A$16+'Control Room'!$B$16,'Process'!BS5=1),1+('Control Room'!$C$16-1)*EXP(-0.5*(($A601-'Control Room'!$A$16-('Control Room'!$B$16-1)/2)/MAX(0.5,'Control Room'!$B$16/4))^2),1)</x:f>
        <x:v>1</x:v>
      </x:c>
      <x:c r="AU601" s="9" t="n">
        <x:f>MOD(AV600*16807,2147483647)</x:f>
        <x:v>1939176690</x:v>
      </x:c>
      <x:c r="AV601" s="9" t="n">
        <x:f>MOD(AU601*16807,2147483647)</x:f>
        <x:v>1530801958</x:v>
      </x:c>
      <x:c r="AW601" s="17" t="n">
        <x:f>IF('Control Room'!$B$5="Normal",'Control Room'!$B$7+'Control Room'!$D$7*SQRT(-2*LN(MAX(0.000000000001,AU601/2147483647)))*COS(2*PI()*AV601/2147483647),'Control Room'!$B$8+('Control Room'!$D$8-'Control Room'!$B$8)*AU601/2147483647)</x:f>
        <x:v>990.5922484333413</x:v>
      </x:c>
      <x:c r="AX601" s="17" t="n">
        <x:f>IF('Control Room'!$B$5="Normal",'Control Room'!$B$7,('Control Room'!$B$8+'Control Room'!$D$8)/2)+'Control Room'!$B$9*(AX600-IF('Control Room'!$B$5="Normal",'Control Room'!$B$7,('Control Room'!$B$8+'Control Room'!$D$8)/2))+SQRT(1-'Control Room'!$B$9^2)*(AW601-IF('Control Room'!$B$5="Normal",'Control Room'!$B$7,('Control Room'!$B$8+'Control Room'!$D$8)/2))</x:f>
        <x:v>1027.9457053193066</x:v>
      </x:c>
      <x:c r="AY601" s="17" t="n">
        <x:f>IF(AND($A601&gt;='Control Room'!$A$13,$A601&lt;'Control Room'!$A$13+'Control Room'!$B$13,'Process'!BT2=1),1+('Control Room'!$C$13-1)*EXP(-0.5*(($A601-'Control Room'!$A$13-('Control Room'!$B$13-1)/2)/MAX(0.5,'Control Room'!$B$13/4))^2),1)*IF(AND($A601&gt;='Control Room'!$A$14,$A601&lt;'Control Room'!$A$14+'Control Room'!$B$14,'Process'!BT3=1),1+('Control Room'!$C$14-1)*EXP(-0.5*(($A601-'Control Room'!$A$14-('Control Room'!$B$14-1)/2)/MAX(0.5,'Control Room'!$B$14/4))^2),1)*IF(AND($A601&gt;='Control Room'!$A$15,$A601&lt;'Control Room'!$A$15+'Control Room'!$B$15,'Process'!BT4=1),1+('Control Room'!$C$15-1)*EXP(-0.5*(($A601-'Control Room'!$A$15-('Control Room'!$B$15-1)/2)/MAX(0.5,'Control Room'!$B$15/4))^2),1)*IF(AND($A601&gt;='Control Room'!$A$16,$A601&lt;'Control Room'!$A$16+'Control Room'!$B$16,'Process'!BT5=1),1+('Control Room'!$C$16-1)*EXP(-0.5*(($A601-'Control Room'!$A$16-('Control Room'!$B$16-1)/2)/MAX(0.5,'Control Room'!$B$16/4))^2),1)</x:f>
        <x:v>1</x:v>
      </x:c>
      <x:c r="AZ601" s="9" t="n">
        <x:f>MOD(BA600*16807,2147483647)</x:f>
        <x:v>434036640</x:v>
      </x:c>
      <x:c r="BA601" s="9" t="n">
        <x:f>MOD(AZ601*16807,2147483647)</x:f>
        <x:v>1999343268</x:v>
      </x:c>
      <x:c r="BB601" s="17" t="n">
        <x:f>IF('Control Room'!$B$5="Normal",'Control Room'!$B$7+'Control Room'!$D$7*SQRT(-2*LN(MAX(0.000000000001,AZ601/2147483647)))*COS(2*PI()*BA601/2147483647),'Control Room'!$B$8+('Control Room'!$D$8-'Control Room'!$B$8)*AZ601/2147483647)</x:f>
        <x:v>1146.0601161896786</x:v>
      </x:c>
      <x:c r="BC601" s="17" t="n">
        <x:f>IF('Control Room'!$B$5="Normal",'Control Room'!$B$7,('Control Room'!$B$8+'Control Room'!$D$8)/2)+'Control Room'!$B$9*(BC600-IF('Control Room'!$B$5="Normal",'Control Room'!$B$7,('Control Room'!$B$8+'Control Room'!$D$8)/2))+SQRT(1-'Control Room'!$B$9^2)*(BB601-IF('Control Room'!$B$5="Normal",'Control Room'!$B$7,('Control Room'!$B$8+'Control Room'!$D$8)/2))</x:f>
        <x:v>931.3085016004262</x:v>
      </x:c>
      <x:c r="BD601" s="17" t="n">
        <x:f>IF(AND($A601&gt;='Control Room'!$A$13,$A601&lt;'Control Room'!$A$13+'Control Room'!$B$13,'Process'!BU2=1),1+('Control Room'!$C$13-1)*EXP(-0.5*(($A601-'Control Room'!$A$13-('Control Room'!$B$13-1)/2)/MAX(0.5,'Control Room'!$B$13/4))^2),1)*IF(AND($A601&gt;='Control Room'!$A$14,$A601&lt;'Control Room'!$A$14+'Control Room'!$B$14,'Process'!BU3=1),1+('Control Room'!$C$14-1)*EXP(-0.5*(($A601-'Control Room'!$A$14-('Control Room'!$B$14-1)/2)/MAX(0.5,'Control Room'!$B$14/4))^2),1)*IF(AND($A601&gt;='Control Room'!$A$15,$A601&lt;'Control Room'!$A$15+'Control Room'!$B$15,'Process'!BU4=1),1+('Control Room'!$C$15-1)*EXP(-0.5*(($A601-'Control Room'!$A$15-('Control Room'!$B$15-1)/2)/MAX(0.5,'Control Room'!$B$15/4))^2),1)*IF(AND($A601&gt;='Control Room'!$A$16,$A601&lt;'Control Room'!$A$16+'Control Room'!$B$16,'Process'!BU5=1),1+('Control Room'!$C$16-1)*EXP(-0.5*(($A601-'Control Room'!$A$16-('Control Room'!$B$16-1)/2)/MAX(0.5,'Control Room'!$B$16/4))^2),1)</x:f>
        <x:v>1</x:v>
      </x:c>
      <x:c r="BE601" s="9" t="n">
        <x:f>MOD(BF600*16807,2147483647)</x:f>
        <x:v>1076380237</x:v>
      </x:c>
      <x:c r="BF601" s="9" t="n">
        <x:f>MOD(BE601*16807,2147483647)</x:f>
        <x:v>320400931</x:v>
      </x:c>
      <x:c r="BG601" s="17" t="n">
        <x:f>IF('Control Room'!$B$5="Normal",'Control Room'!$B$7+'Control Room'!$D$7*SQRT(-2*LN(MAX(0.000000000001,BE601/2147483647)))*COS(2*PI()*BF601/2147483647),'Control Room'!$B$8+('Control Room'!$D$8-'Control Room'!$B$8)*BE601/2147483647)</x:f>
        <x:v>1062.6056936032505</x:v>
      </x:c>
      <x:c r="BH601" s="17" t="n">
        <x:f>IF('Control Room'!$B$5="Normal",'Control Room'!$B$7,('Control Room'!$B$8+'Control Room'!$D$8)/2)+'Control Room'!$B$9*(BH600-IF('Control Room'!$B$5="Normal",'Control Room'!$B$7,('Control Room'!$B$8+'Control Room'!$D$8)/2))+SQRT(1-'Control Room'!$B$9^2)*(BG601-IF('Control Room'!$B$5="Normal",'Control Room'!$B$7,('Control Room'!$B$8+'Control Room'!$D$8)/2))</x:f>
        <x:v>1098.7741421171734</x:v>
      </x:c>
      <x:c r="BI601" s="17" t="n">
        <x:f>IF(AND($A601&gt;='Control Room'!$A$13,$A601&lt;'Control Room'!$A$13+'Control Room'!$B$13,'Process'!BV2=1),1+('Control Room'!$C$13-1)*EXP(-0.5*(($A601-'Control Room'!$A$13-('Control Room'!$B$13-1)/2)/MAX(0.5,'Control Room'!$B$13/4))^2),1)*IF(AND($A601&gt;='Control Room'!$A$14,$A601&lt;'Control Room'!$A$14+'Control Room'!$B$14,'Process'!BV3=1),1+('Control Room'!$C$14-1)*EXP(-0.5*(($A601-'Control Room'!$A$14-('Control Room'!$B$14-1)/2)/MAX(0.5,'Control Room'!$B$14/4))^2),1)*IF(AND($A601&gt;='Control Room'!$A$15,$A601&lt;'Control Room'!$A$15+'Control Room'!$B$15,'Process'!BV4=1),1+('Control Room'!$C$15-1)*EXP(-0.5*(($A601-'Control Room'!$A$15-('Control Room'!$B$15-1)/2)/MAX(0.5,'Control Room'!$B$15/4))^2),1)*IF(AND($A601&gt;='Control Room'!$A$16,$A601&lt;'Control Room'!$A$16+'Control Room'!$B$16,'Process'!BV5=1),1+('Control Room'!$C$16-1)*EXP(-0.5*(($A601-'Control Room'!$A$16-('Control Room'!$B$16-1)/2)/MAX(0.5,'Control Room'!$B$16/4))^2),1)</x:f>
        <x:v>1</x:v>
      </x:c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Z601" t="str">
        <x:f>IF('Data'!A601="","",TEXT('Data'!A601,"mm-dd"))</x:f>
      </x:c>
    </x:row>
    <x:row r="602" ht="21" customHeight="1">
      <x:c r="A602" s="15" t="n">
        <x:f>'Control Room'!$B$1+600</x:f>
        <x:v>73591</x:v>
      </x:c>
      <x:c r="B602" s="9" t="n">
        <x:f>MOD(C601*16807,2147483647)</x:f>
        <x:v>1773044457</x:v>
      </x:c>
      <x:c r="C602" s="9" t="n">
        <x:f>MOD(B602*16807,2147483647)</x:f>
        <x:v>1075103027</x:v>
      </x:c>
      <x:c r="D602" s="17" t="n">
        <x:f>IF('Control Room'!$B$5="Normal",'Control Room'!$B$7+'Control Room'!$D$7*SQRT(-2*LN(MAX(0.000000000001,B602/2147483647)))*COS(2*PI()*C602/2147483647),'Control Room'!$B$8+('Control Room'!$D$8-'Control Room'!$B$8)*B602/2147483647)</x:f>
        <x:v>944.2878017055049</x:v>
      </x:c>
      <x:c r="E602" s="17" t="n">
        <x:f>IF('Control Room'!$B$5="Normal",'Control Room'!$B$7,('Control Room'!$B$8+'Control Room'!$D$8)/2)+'Control Room'!$B$9*(E601-IF('Control Room'!$B$5="Normal",'Control Room'!$B$7,('Control Room'!$B$8+'Control Room'!$D$8)/2))+SQRT(1-'Control Room'!$B$9^2)*(D602-IF('Control Room'!$B$5="Normal",'Control Room'!$B$7,('Control Room'!$B$8+'Control Room'!$D$8)/2))</x:f>
        <x:v>1052.8694154987327</x:v>
      </x:c>
      <x:c r="F602" s="17" t="n">
        <x:f>IF(AND($A602&gt;='Control Room'!$A$13,$A602&lt;'Control Room'!$A$13+'Control Room'!$B$13,'Process'!BK2=1),1+('Control Room'!$C$13-1)*EXP(-0.5*(($A602-'Control Room'!$A$13-('Control Room'!$B$13-1)/2)/MAX(0.5,'Control Room'!$B$13/4))^2),1)*IF(AND($A602&gt;='Control Room'!$A$14,$A602&lt;'Control Room'!$A$14+'Control Room'!$B$14,'Process'!BK3=1),1+('Control Room'!$C$14-1)*EXP(-0.5*(($A602-'Control Room'!$A$14-('Control Room'!$B$14-1)/2)/MAX(0.5,'Control Room'!$B$14/4))^2),1)*IF(AND($A602&gt;='Control Room'!$A$15,$A602&lt;'Control Room'!$A$15+'Control Room'!$B$15,'Process'!BK4=1),1+('Control Room'!$C$15-1)*EXP(-0.5*(($A602-'Control Room'!$A$15-('Control Room'!$B$15-1)/2)/MAX(0.5,'Control Room'!$B$15/4))^2),1)*IF(AND($A602&gt;='Control Room'!$A$16,$A602&lt;'Control Room'!$A$16+'Control Room'!$B$16,'Process'!BK5=1),1+('Control Room'!$C$16-1)*EXP(-0.5*(($A602-'Control Room'!$A$16-('Control Room'!$B$16-1)/2)/MAX(0.5,'Control Room'!$B$16/4))^2),1)</x:f>
        <x:v>1</x:v>
      </x:c>
      <x:c r="G602" s="9" t="n">
        <x:f>MOD(H601*16807,2147483647)</x:f>
        <x:v>1724308078</x:v>
      </x:c>
      <x:c r="H602" s="9" t="n">
        <x:f>MOD(G602*16807,2147483647)</x:f>
        <x:v>154050681</x:v>
      </x:c>
      <x:c r="I602" s="17" t="n">
        <x:f>IF('Control Room'!$B$5="Normal",'Control Room'!$B$7+'Control Room'!$D$7*SQRT(-2*LN(MAX(0.000000000001,G602/2147483647)))*COS(2*PI()*H602/2147483647),'Control Room'!$B$8+('Control Room'!$D$8-'Control Room'!$B$8)*G602/2147483647)</x:f>
        <x:v>1053.6724623246098</x:v>
      </x:c>
      <x:c r="J602" s="17" t="n">
        <x:f>IF('Control Room'!$B$5="Normal",'Control Room'!$B$7,('Control Room'!$B$8+'Control Room'!$D$8)/2)+'Control Room'!$B$9*(J601-IF('Control Room'!$B$5="Normal",'Control Room'!$B$7,('Control Room'!$B$8+'Control Room'!$D$8)/2))+SQRT(1-'Control Room'!$B$9^2)*(I602-IF('Control Room'!$B$5="Normal",'Control Room'!$B$7,('Control Room'!$B$8+'Control Room'!$D$8)/2))</x:f>
        <x:v>1019.2095515534024</x:v>
      </x:c>
      <x:c r="K602" s="17" t="n">
        <x:f>IF(AND($A602&gt;='Control Room'!$A$13,$A602&lt;'Control Room'!$A$13+'Control Room'!$B$13,'Process'!BL2=1),1+('Control Room'!$C$13-1)*EXP(-0.5*(($A602-'Control Room'!$A$13-('Control Room'!$B$13-1)/2)/MAX(0.5,'Control Room'!$B$13/4))^2),1)*IF(AND($A602&gt;='Control Room'!$A$14,$A602&lt;'Control Room'!$A$14+'Control Room'!$B$14,'Process'!BL3=1),1+('Control Room'!$C$14-1)*EXP(-0.5*(($A602-'Control Room'!$A$14-('Control Room'!$B$14-1)/2)/MAX(0.5,'Control Room'!$B$14/4))^2),1)*IF(AND($A602&gt;='Control Room'!$A$15,$A602&lt;'Control Room'!$A$15+'Control Room'!$B$15,'Process'!BL4=1),1+('Control Room'!$C$15-1)*EXP(-0.5*(($A602-'Control Room'!$A$15-('Control Room'!$B$15-1)/2)/MAX(0.5,'Control Room'!$B$15/4))^2),1)*IF(AND($A602&gt;='Control Room'!$A$16,$A602&lt;'Control Room'!$A$16+'Control Room'!$B$16,'Process'!BL5=1),1+('Control Room'!$C$16-1)*EXP(-0.5*(($A602-'Control Room'!$A$16-('Control Room'!$B$16-1)/2)/MAX(0.5,'Control Room'!$B$16/4))^2),1)</x:f>
        <x:v>1</x:v>
      </x:c>
      <x:c r="L602" s="9" t="n">
        <x:f>MOD(M601*16807,2147483647)</x:f>
        <x:v>1675571699</x:v>
      </x:c>
      <x:c r="M602" s="9" t="n">
        <x:f>MOD(L602*16807,2147483647)</x:f>
        <x:v>1380481982</x:v>
      </x:c>
      <x:c r="N602" s="17" t="n">
        <x:f>IF('Control Room'!$B$5="Normal",'Control Room'!$B$7+'Control Room'!$D$7*SQRT(-2*LN(MAX(0.000000000001,L602/2147483647)))*COS(2*PI()*M602/2147483647),'Control Room'!$B$8+('Control Room'!$D$8-'Control Room'!$B$8)*L602/2147483647)</x:f>
        <x:v>960.4627777049734</x:v>
      </x:c>
      <x:c r="O602" s="17" t="n">
        <x:f>IF('Control Room'!$B$5="Normal",'Control Room'!$B$7,('Control Room'!$B$8+'Control Room'!$D$8)/2)+'Control Room'!$B$9*(O601-IF('Control Room'!$B$5="Normal",'Control Room'!$B$7,('Control Room'!$B$8+'Control Room'!$D$8)/2))+SQRT(1-'Control Room'!$B$9^2)*(N602-IF('Control Room'!$B$5="Normal",'Control Room'!$B$7,('Control Room'!$B$8+'Control Room'!$D$8)/2))</x:f>
        <x:v>1043.8576217114996</x:v>
      </x:c>
      <x:c r="P602" s="17" t="n">
        <x:f>IF(AND($A602&gt;='Control Room'!$A$13,$A602&lt;'Control Room'!$A$13+'Control Room'!$B$13,'Process'!BM2=1),1+('Control Room'!$C$13-1)*EXP(-0.5*(($A602-'Control Room'!$A$13-('Control Room'!$B$13-1)/2)/MAX(0.5,'Control Room'!$B$13/4))^2),1)*IF(AND($A602&gt;='Control Room'!$A$14,$A602&lt;'Control Room'!$A$14+'Control Room'!$B$14,'Process'!BM3=1),1+('Control Room'!$C$14-1)*EXP(-0.5*(($A602-'Control Room'!$A$14-('Control Room'!$B$14-1)/2)/MAX(0.5,'Control Room'!$B$14/4))^2),1)*IF(AND($A602&gt;='Control Room'!$A$15,$A602&lt;'Control Room'!$A$15+'Control Room'!$B$15,'Process'!BM4=1),1+('Control Room'!$C$15-1)*EXP(-0.5*(($A602-'Control Room'!$A$15-('Control Room'!$B$15-1)/2)/MAX(0.5,'Control Room'!$B$15/4))^2),1)*IF(AND($A602&gt;='Control Room'!$A$16,$A602&lt;'Control Room'!$A$16+'Control Room'!$B$16,'Process'!BM5=1),1+('Control Room'!$C$16-1)*EXP(-0.5*(($A602-'Control Room'!$A$16-('Control Room'!$B$16-1)/2)/MAX(0.5,'Control Room'!$B$16/4))^2),1)</x:f>
        <x:v>1</x:v>
      </x:c>
      <x:c r="Q602" s="9" t="n">
        <x:f>MOD(R601*16807,2147483647)</x:f>
        <x:v>1626835320</x:v>
      </x:c>
      <x:c r="R602" s="9" t="n">
        <x:f>MOD(Q602*16807,2147483647)</x:f>
        <x:v>459429636</x:v>
      </x:c>
      <x:c r="S602" s="17" t="n">
        <x:f>IF('Control Room'!$B$5="Normal",'Control Room'!$B$7+'Control Room'!$D$7*SQRT(-2*LN(MAX(0.000000000001,Q602/2147483647)))*COS(2*PI()*R602/2147483647),'Control Room'!$B$8+('Control Room'!$D$8-'Control Room'!$B$8)*Q602/2147483647)</x:f>
        <x:v>1015.0665698317621</x:v>
      </x:c>
      <x:c r="T602" s="17" t="n">
        <x:f>IF('Control Room'!$B$5="Normal",'Control Room'!$B$7,('Control Room'!$B$8+'Control Room'!$D$8)/2)+'Control Room'!$B$9*(T601-IF('Control Room'!$B$5="Normal",'Control Room'!$B$7,('Control Room'!$B$8+'Control Room'!$D$8)/2))+SQRT(1-'Control Room'!$B$9^2)*(S602-IF('Control Room'!$B$5="Normal",'Control Room'!$B$7,('Control Room'!$B$8+'Control Room'!$D$8)/2))</x:f>
        <x:v>956.4964098567726</x:v>
      </x:c>
      <x:c r="U602" s="17" t="n">
        <x:f>IF(AND($A602&gt;='Control Room'!$A$13,$A602&lt;'Control Room'!$A$13+'Control Room'!$B$13,'Process'!BN2=1),1+('Control Room'!$C$13-1)*EXP(-0.5*(($A602-'Control Room'!$A$13-('Control Room'!$B$13-1)/2)/MAX(0.5,'Control Room'!$B$13/4))^2),1)*IF(AND($A602&gt;='Control Room'!$A$14,$A602&lt;'Control Room'!$A$14+'Control Room'!$B$14,'Process'!BN3=1),1+('Control Room'!$C$14-1)*EXP(-0.5*(($A602-'Control Room'!$A$14-('Control Room'!$B$14-1)/2)/MAX(0.5,'Control Room'!$B$14/4))^2),1)*IF(AND($A602&gt;='Control Room'!$A$15,$A602&lt;'Control Room'!$A$15+'Control Room'!$B$15,'Process'!BN4=1),1+('Control Room'!$C$15-1)*EXP(-0.5*(($A602-'Control Room'!$A$15-('Control Room'!$B$15-1)/2)/MAX(0.5,'Control Room'!$B$15/4))^2),1)*IF(AND($A602&gt;='Control Room'!$A$16,$A602&lt;'Control Room'!$A$16+'Control Room'!$B$16,'Process'!BN5=1),1+('Control Room'!$C$16-1)*EXP(-0.5*(($A602-'Control Room'!$A$16-('Control Room'!$B$16-1)/2)/MAX(0.5,'Control Room'!$B$16/4))^2),1)</x:f>
        <x:v>1</x:v>
      </x:c>
      <x:c r="V602" s="9" t="n">
        <x:f>MOD(W601*16807,2147483647)</x:f>
        <x:v>1578098941</x:v>
      </x:c>
      <x:c r="W602" s="9" t="n">
        <x:f>MOD(V602*16807,2147483647)</x:f>
        <x:v>1685860937</x:v>
      </x:c>
      <x:c r="X602" s="17" t="n">
        <x:f>IF('Control Room'!$B$5="Normal",'Control Room'!$B$7+'Control Room'!$D$7*SQRT(-2*LN(MAX(0.000000000001,V602/2147483647)))*COS(2*PI()*W602/2147483647),'Control Room'!$B$8+('Control Room'!$D$8-'Control Room'!$B$8)*V602/2147483647)</x:f>
        <x:v>1015.4283058169398</x:v>
      </x:c>
      <x:c r="Y602" s="17" t="n">
        <x:f>IF('Control Room'!$B$5="Normal",'Control Room'!$B$7,('Control Room'!$B$8+'Control Room'!$D$8)/2)+'Control Room'!$B$9*(Y601-IF('Control Room'!$B$5="Normal",'Control Room'!$B$7,('Control Room'!$B$8+'Control Room'!$D$8)/2))+SQRT(1-'Control Room'!$B$9^2)*(X602-IF('Control Room'!$B$5="Normal",'Control Room'!$B$7,('Control Room'!$B$8+'Control Room'!$D$8)/2))</x:f>
        <x:v>982.3382570982335</x:v>
      </x:c>
      <x:c r="Z602" s="17" t="n">
        <x:f>IF(AND($A602&gt;='Control Room'!$A$13,$A602&lt;'Control Room'!$A$13+'Control Room'!$B$13,'Process'!BO2=1),1+('Control Room'!$C$13-1)*EXP(-0.5*(($A602-'Control Room'!$A$13-('Control Room'!$B$13-1)/2)/MAX(0.5,'Control Room'!$B$13/4))^2),1)*IF(AND($A602&gt;='Control Room'!$A$14,$A602&lt;'Control Room'!$A$14+'Control Room'!$B$14,'Process'!BO3=1),1+('Control Room'!$C$14-1)*EXP(-0.5*(($A602-'Control Room'!$A$14-('Control Room'!$B$14-1)/2)/MAX(0.5,'Control Room'!$B$14/4))^2),1)*IF(AND($A602&gt;='Control Room'!$A$15,$A602&lt;'Control Room'!$A$15+'Control Room'!$B$15,'Process'!BO4=1),1+('Control Room'!$C$15-1)*EXP(-0.5*(($A602-'Control Room'!$A$15-('Control Room'!$B$15-1)/2)/MAX(0.5,'Control Room'!$B$15/4))^2),1)*IF(AND($A602&gt;='Control Room'!$A$16,$A602&lt;'Control Room'!$A$16+'Control Room'!$B$16,'Process'!BO5=1),1+('Control Room'!$C$16-1)*EXP(-0.5*(($A602-'Control Room'!$A$16-('Control Room'!$B$16-1)/2)/MAX(0.5,'Control Room'!$B$16/4))^2),1)</x:f>
        <x:v>1</x:v>
      </x:c>
      <x:c r="AA602" s="9" t="n">
        <x:f>MOD(AB601*16807,2147483647)</x:f>
        <x:v>1529362562</x:v>
      </x:c>
      <x:c r="AB602" s="9" t="n">
        <x:f>MOD(AA602*16807,2147483647)</x:f>
        <x:v>764808591</x:v>
      </x:c>
      <x:c r="AC602" s="17" t="n">
        <x:f>IF('Control Room'!$B$5="Normal",'Control Room'!$B$7+'Control Room'!$D$7*SQRT(-2*LN(MAX(0.000000000001,AA602/2147483647)))*COS(2*PI()*AB602/2147483647),'Control Room'!$B$8+('Control Room'!$D$8-'Control Room'!$B$8)*AA602/2147483647)</x:f>
        <x:v>954.1304691637501</x:v>
      </x:c>
      <x:c r="AD602" s="17" t="n">
        <x:f>IF('Control Room'!$B$5="Normal",'Control Room'!$B$7,('Control Room'!$B$8+'Control Room'!$D$8)/2)+'Control Room'!$B$9*(AD601-IF('Control Room'!$B$5="Normal",'Control Room'!$B$7,('Control Room'!$B$8+'Control Room'!$D$8)/2))+SQRT(1-'Control Room'!$B$9^2)*(AC602-IF('Control Room'!$B$5="Normal",'Control Room'!$B$7,('Control Room'!$B$8+'Control Room'!$D$8)/2))</x:f>
        <x:v>1009.6948646791197</x:v>
      </x:c>
      <x:c r="AE602" s="17" t="n">
        <x:f>IF(AND($A602&gt;='Control Room'!$A$13,$A602&lt;'Control Room'!$A$13+'Control Room'!$B$13,'Process'!BP2=1),1+('Control Room'!$C$13-1)*EXP(-0.5*(($A602-'Control Room'!$A$13-('Control Room'!$B$13-1)/2)/MAX(0.5,'Control Room'!$B$13/4))^2),1)*IF(AND($A602&gt;='Control Room'!$A$14,$A602&lt;'Control Room'!$A$14+'Control Room'!$B$14,'Process'!BP3=1),1+('Control Room'!$C$14-1)*EXP(-0.5*(($A602-'Control Room'!$A$14-('Control Room'!$B$14-1)/2)/MAX(0.5,'Control Room'!$B$14/4))^2),1)*IF(AND($A602&gt;='Control Room'!$A$15,$A602&lt;'Control Room'!$A$15+'Control Room'!$B$15,'Process'!BP4=1),1+('Control Room'!$C$15-1)*EXP(-0.5*(($A602-'Control Room'!$A$15-('Control Room'!$B$15-1)/2)/MAX(0.5,'Control Room'!$B$15/4))^2),1)*IF(AND($A602&gt;='Control Room'!$A$16,$A602&lt;'Control Room'!$A$16+'Control Room'!$B$16,'Process'!BP5=1),1+('Control Room'!$C$16-1)*EXP(-0.5*(($A602-'Control Room'!$A$16-('Control Room'!$B$16-1)/2)/MAX(0.5,'Control Room'!$B$16/4))^2),1)</x:f>
        <x:v>1</x:v>
      </x:c>
      <x:c r="AF602" s="9" t="n">
        <x:f>MOD(AG601*16807,2147483647)</x:f>
        <x:v>1480626183</x:v>
      </x:c>
      <x:c r="AG602" s="9" t="n">
        <x:f>MOD(AF602*16807,2147483647)</x:f>
        <x:v>1991239892</x:v>
      </x:c>
      <x:c r="AH602" s="17" t="n">
        <x:f>IF('Control Room'!$B$5="Normal",'Control Room'!$B$7+'Control Room'!$D$7*SQRT(-2*LN(MAX(0.000000000001,AF602/2147483647)))*COS(2*PI()*AG602/2147483647),'Control Room'!$B$8+('Control Room'!$D$8-'Control Room'!$B$8)*AF602/2147483647)</x:f>
        <x:v>1069.64285241745</x:v>
      </x:c>
      <x:c r="AI602" s="17" t="n">
        <x:f>IF('Control Room'!$B$5="Normal",'Control Room'!$B$7,('Control Room'!$B$8+'Control Room'!$D$8)/2)+'Control Room'!$B$9*(AI601-IF('Control Room'!$B$5="Normal",'Control Room'!$B$7,('Control Room'!$B$8+'Control Room'!$D$8)/2))+SQRT(1-'Control Room'!$B$9^2)*(AH602-IF('Control Room'!$B$5="Normal",'Control Room'!$B$7,('Control Room'!$B$8+'Control Room'!$D$8)/2))</x:f>
        <x:v>1239.0423233117306</x:v>
      </x:c>
      <x:c r="AJ602" s="17" t="n">
        <x:f>IF(AND($A602&gt;='Control Room'!$A$13,$A602&lt;'Control Room'!$A$13+'Control Room'!$B$13,'Process'!BQ2=1),1+('Control Room'!$C$13-1)*EXP(-0.5*(($A602-'Control Room'!$A$13-('Control Room'!$B$13-1)/2)/MAX(0.5,'Control Room'!$B$13/4))^2),1)*IF(AND($A602&gt;='Control Room'!$A$14,$A602&lt;'Control Room'!$A$14+'Control Room'!$B$14,'Process'!BQ3=1),1+('Control Room'!$C$14-1)*EXP(-0.5*(($A602-'Control Room'!$A$14-('Control Room'!$B$14-1)/2)/MAX(0.5,'Control Room'!$B$14/4))^2),1)*IF(AND($A602&gt;='Control Room'!$A$15,$A602&lt;'Control Room'!$A$15+'Control Room'!$B$15,'Process'!BQ4=1),1+('Control Room'!$C$15-1)*EXP(-0.5*(($A602-'Control Room'!$A$15-('Control Room'!$B$15-1)/2)/MAX(0.5,'Control Room'!$B$15/4))^2),1)*IF(AND($A602&gt;='Control Room'!$A$16,$A602&lt;'Control Room'!$A$16+'Control Room'!$B$16,'Process'!BQ5=1),1+('Control Room'!$C$16-1)*EXP(-0.5*(($A602-'Control Room'!$A$16-('Control Room'!$B$16-1)/2)/MAX(0.5,'Control Room'!$B$16/4))^2),1)</x:f>
        <x:v>1</x:v>
      </x:c>
      <x:c r="AK602" s="9" t="n">
        <x:f>MOD(AL601*16807,2147483647)</x:f>
        <x:v>1431889804</x:v>
      </x:c>
      <x:c r="AL602" s="9" t="n">
        <x:f>MOD(AK602*16807,2147483647)</x:f>
        <x:v>1070187546</x:v>
      </x:c>
      <x:c r="AM602" s="17" t="n">
        <x:f>IF('Control Room'!$B$5="Normal",'Control Room'!$B$7+'Control Room'!$D$7*SQRT(-2*LN(MAX(0.000000000001,AK602/2147483647)))*COS(2*PI()*AL602/2147483647),'Control Room'!$B$8+('Control Room'!$D$8-'Control Room'!$B$8)*AK602/2147483647)</x:f>
        <x:v>918.9742223520657</x:v>
      </x:c>
      <x:c r="AN602" s="17" t="n">
        <x:f>IF('Control Room'!$B$5="Normal",'Control Room'!$B$7,('Control Room'!$B$8+'Control Room'!$D$8)/2)+'Control Room'!$B$9*(AN601-IF('Control Room'!$B$5="Normal",'Control Room'!$B$7,('Control Room'!$B$8+'Control Room'!$D$8)/2))+SQRT(1-'Control Room'!$B$9^2)*(AM602-IF('Control Room'!$B$5="Normal",'Control Room'!$B$7,('Control Room'!$B$8+'Control Room'!$D$8)/2))</x:f>
        <x:v>919.3588902107608</x:v>
      </x:c>
      <x:c r="AO602" s="17" t="n">
        <x:f>IF(AND($A602&gt;='Control Room'!$A$13,$A602&lt;'Control Room'!$A$13+'Control Room'!$B$13,'Process'!BR2=1),1+('Control Room'!$C$13-1)*EXP(-0.5*(($A602-'Control Room'!$A$13-('Control Room'!$B$13-1)/2)/MAX(0.5,'Control Room'!$B$13/4))^2),1)*IF(AND($A602&gt;='Control Room'!$A$14,$A602&lt;'Control Room'!$A$14+'Control Room'!$B$14,'Process'!BR3=1),1+('Control Room'!$C$14-1)*EXP(-0.5*(($A602-'Control Room'!$A$14-('Control Room'!$B$14-1)/2)/MAX(0.5,'Control Room'!$B$14/4))^2),1)*IF(AND($A602&gt;='Control Room'!$A$15,$A602&lt;'Control Room'!$A$15+'Control Room'!$B$15,'Process'!BR4=1),1+('Control Room'!$C$15-1)*EXP(-0.5*(($A602-'Control Room'!$A$15-('Control Room'!$B$15-1)/2)/MAX(0.5,'Control Room'!$B$15/4))^2),1)*IF(AND($A602&gt;='Control Room'!$A$16,$A602&lt;'Control Room'!$A$16+'Control Room'!$B$16,'Process'!BR5=1),1+('Control Room'!$C$16-1)*EXP(-0.5*(($A602-'Control Room'!$A$16-('Control Room'!$B$16-1)/2)/MAX(0.5,'Control Room'!$B$16/4))^2),1)</x:f>
        <x:v>1</x:v>
      </x:c>
      <x:c r="AP602" s="9" t="n">
        <x:f>MOD(AQ601*16807,2147483647)</x:f>
        <x:v>1383153425</x:v>
      </x:c>
      <x:c r="AQ602" s="9" t="n">
        <x:f>MOD(AP602*16807,2147483647)</x:f>
        <x:v>149135200</x:v>
      </x:c>
      <x:c r="AR602" s="17" t="n">
        <x:f>IF('Control Room'!$B$5="Normal",'Control Room'!$B$7+'Control Room'!$D$7*SQRT(-2*LN(MAX(0.000000000001,AP602/2147483647)))*COS(2*PI()*AQ602/2147483647),'Control Room'!$B$8+('Control Room'!$D$8-'Control Room'!$B$8)*AP602/2147483647)</x:f>
        <x:v>1076.5108082323998</x:v>
      </x:c>
      <x:c r="AS602" s="17" t="n">
        <x:f>IF('Control Room'!$B$5="Normal",'Control Room'!$B$7,('Control Room'!$B$8+'Control Room'!$D$8)/2)+'Control Room'!$B$9*(AS601-IF('Control Room'!$B$5="Normal",'Control Room'!$B$7,('Control Room'!$B$8+'Control Room'!$D$8)/2))+SQRT(1-'Control Room'!$B$9^2)*(AR602-IF('Control Room'!$B$5="Normal",'Control Room'!$B$7,('Control Room'!$B$8+'Control Room'!$D$8)/2))</x:f>
        <x:v>1046.1607754647089</x:v>
      </x:c>
      <x:c r="AT602" s="17" t="n">
        <x:f>IF(AND($A602&gt;='Control Room'!$A$13,$A602&lt;'Control Room'!$A$13+'Control Room'!$B$13,'Process'!BS2=1),1+('Control Room'!$C$13-1)*EXP(-0.5*(($A602-'Control Room'!$A$13-('Control Room'!$B$13-1)/2)/MAX(0.5,'Control Room'!$B$13/4))^2),1)*IF(AND($A602&gt;='Control Room'!$A$14,$A602&lt;'Control Room'!$A$14+'Control Room'!$B$14,'Process'!BS3=1),1+('Control Room'!$C$14-1)*EXP(-0.5*(($A602-'Control Room'!$A$14-('Control Room'!$B$14-1)/2)/MAX(0.5,'Control Room'!$B$14/4))^2),1)*IF(AND($A602&gt;='Control Room'!$A$15,$A602&lt;'Control Room'!$A$15+'Control Room'!$B$15,'Process'!BS4=1),1+('Control Room'!$C$15-1)*EXP(-0.5*(($A602-'Control Room'!$A$15-('Control Room'!$B$15-1)/2)/MAX(0.5,'Control Room'!$B$15/4))^2),1)*IF(AND($A602&gt;='Control Room'!$A$16,$A602&lt;'Control Room'!$A$16+'Control Room'!$B$16,'Process'!BS5=1),1+('Control Room'!$C$16-1)*EXP(-0.5*(($A602-'Control Room'!$A$16-('Control Room'!$B$16-1)/2)/MAX(0.5,'Control Room'!$B$16/4))^2),1)</x:f>
        <x:v>1</x:v>
      </x:c>
      <x:c r="AU602" s="9" t="n">
        <x:f>MOD(AV601*16807,2147483647)</x:f>
        <x:v>1334417046</x:v>
      </x:c>
      <x:c r="AV602" s="9" t="n">
        <x:f>MOD(AU602*16807,2147483647)</x:f>
        <x:v>1375566501</x:v>
      </x:c>
      <x:c r="AW602" s="17" t="n">
        <x:f>IF('Control Room'!$B$5="Normal",'Control Room'!$B$7+'Control Room'!$D$7*SQRT(-2*LN(MAX(0.000000000001,AU602/2147483647)))*COS(2*PI()*AV602/2147483647),'Control Room'!$B$8+('Control Room'!$D$8-'Control Room'!$B$8)*AU602/2147483647)</x:f>
        <x:v>944.2705194849823</x:v>
      </x:c>
      <x:c r="AX602" s="17" t="n">
        <x:f>IF('Control Room'!$B$5="Normal",'Control Room'!$B$7,('Control Room'!$B$8+'Control Room'!$D$8)/2)+'Control Room'!$B$9*(AX601-IF('Control Room'!$B$5="Normal",'Control Room'!$B$7,('Control Room'!$B$8+'Control Room'!$D$8)/2))+SQRT(1-'Control Room'!$B$9^2)*(AW602-IF('Control Room'!$B$5="Normal",'Control Room'!$B$7,('Control Room'!$B$8+'Control Room'!$D$8)/2))</x:f>
        <x:v>986.9232829232253</x:v>
      </x:c>
      <x:c r="AY602" s="17" t="n">
        <x:f>IF(AND($A602&gt;='Control Room'!$A$13,$A602&lt;'Control Room'!$A$13+'Control Room'!$B$13,'Process'!BT2=1),1+('Control Room'!$C$13-1)*EXP(-0.5*(($A602-'Control Room'!$A$13-('Control Room'!$B$13-1)/2)/MAX(0.5,'Control Room'!$B$13/4))^2),1)*IF(AND($A602&gt;='Control Room'!$A$14,$A602&lt;'Control Room'!$A$14+'Control Room'!$B$14,'Process'!BT3=1),1+('Control Room'!$C$14-1)*EXP(-0.5*(($A602-'Control Room'!$A$14-('Control Room'!$B$14-1)/2)/MAX(0.5,'Control Room'!$B$14/4))^2),1)*IF(AND($A602&gt;='Control Room'!$A$15,$A602&lt;'Control Room'!$A$15+'Control Room'!$B$15,'Process'!BT4=1),1+('Control Room'!$C$15-1)*EXP(-0.5*(($A602-'Control Room'!$A$15-('Control Room'!$B$15-1)/2)/MAX(0.5,'Control Room'!$B$15/4))^2),1)*IF(AND($A602&gt;='Control Room'!$A$16,$A602&lt;'Control Room'!$A$16+'Control Room'!$B$16,'Process'!BT5=1),1+('Control Room'!$C$16-1)*EXP(-0.5*(($A602-'Control Room'!$A$16-('Control Room'!$B$16-1)/2)/MAX(0.5,'Control Room'!$B$16/4))^2),1)</x:f>
        <x:v>1</x:v>
      </x:c>
      <x:c r="AZ602" s="9" t="n">
        <x:f>MOD(BA601*16807,2147483647)</x:f>
        <x:v>1285680667</x:v>
      </x:c>
      <x:c r="BA602" s="9" t="n">
        <x:f>MOD(AZ602*16807,2147483647)</x:f>
        <x:v>454514155</x:v>
      </x:c>
      <x:c r="BB602" s="17" t="n">
        <x:f>IF('Control Room'!$B$5="Normal",'Control Room'!$B$7+'Control Room'!$D$7*SQRT(-2*LN(MAX(0.000000000001,AZ602/2147483647)))*COS(2*PI()*BA602/2147483647),'Control Room'!$B$8+('Control Room'!$D$8-'Control Room'!$B$8)*AZ602/2147483647)</x:f>
        <x:v>1021.7549516843807</x:v>
      </x:c>
      <x:c r="BC602" s="17" t="n">
        <x:f>IF('Control Room'!$B$5="Normal",'Control Room'!$B$7,('Control Room'!$B$8+'Control Room'!$D$8)/2)+'Control Room'!$B$9*(BC601-IF('Control Room'!$B$5="Normal",'Control Room'!$B$7,('Control Room'!$B$8+'Control Room'!$D$8)/2))+SQRT(1-'Control Room'!$B$9^2)*(BB602-IF('Control Room'!$B$5="Normal",'Control Room'!$B$7,('Control Room'!$B$8+'Control Room'!$D$8)/2))</x:f>
        <x:v>960.034434338008</x:v>
      </x:c>
      <x:c r="BD602" s="17" t="n">
        <x:f>IF(AND($A602&gt;='Control Room'!$A$13,$A602&lt;'Control Room'!$A$13+'Control Room'!$B$13,'Process'!BU2=1),1+('Control Room'!$C$13-1)*EXP(-0.5*(($A602-'Control Room'!$A$13-('Control Room'!$B$13-1)/2)/MAX(0.5,'Control Room'!$B$13/4))^2),1)*IF(AND($A602&gt;='Control Room'!$A$14,$A602&lt;'Control Room'!$A$14+'Control Room'!$B$14,'Process'!BU3=1),1+('Control Room'!$C$14-1)*EXP(-0.5*(($A602-'Control Room'!$A$14-('Control Room'!$B$14-1)/2)/MAX(0.5,'Control Room'!$B$14/4))^2),1)*IF(AND($A602&gt;='Control Room'!$A$15,$A602&lt;'Control Room'!$A$15+'Control Room'!$B$15,'Process'!BU4=1),1+('Control Room'!$C$15-1)*EXP(-0.5*(($A602-'Control Room'!$A$15-('Control Room'!$B$15-1)/2)/MAX(0.5,'Control Room'!$B$15/4))^2),1)*IF(AND($A602&gt;='Control Room'!$A$16,$A602&lt;'Control Room'!$A$16+'Control Room'!$B$16,'Process'!BU5=1),1+('Control Room'!$C$16-1)*EXP(-0.5*(($A602-'Control Room'!$A$16-('Control Room'!$B$16-1)/2)/MAX(0.5,'Control Room'!$B$16/4))^2),1)</x:f>
        <x:v>1</x:v>
      </x:c>
      <x:c r="BE602" s="9" t="n">
        <x:f>MOD(BF601*16807,2147483647)</x:f>
        <x:v>1236944288</x:v>
      </x:c>
      <x:c r="BF602" s="9" t="n">
        <x:f>MOD(BE602*16807,2147483647)</x:f>
        <x:v>1680945456</x:v>
      </x:c>
      <x:c r="BG602" s="17" t="n">
        <x:f>IF('Control Room'!$B$5="Normal",'Control Room'!$B$7+'Control Room'!$D$7*SQRT(-2*LN(MAX(0.000000000001,BE602/2147483647)))*COS(2*PI()*BF602/2147483647),'Control Room'!$B$8+('Control Room'!$D$8-'Control Room'!$B$8)*BE602/2147483647)</x:f>
        <x:v>1019.3164957687899</x:v>
      </x:c>
      <x:c r="BH602" s="17" t="n">
        <x:f>IF('Control Room'!$B$5="Normal",'Control Room'!$B$7,('Control Room'!$B$8+'Control Room'!$D$8)/2)+'Control Room'!$B$9*(BH601-IF('Control Room'!$B$5="Normal",'Control Room'!$B$7,('Control Room'!$B$8+'Control Room'!$D$8)/2))+SQRT(1-'Control Room'!$B$9^2)*(BG602-IF('Control Room'!$B$5="Normal",'Control Room'!$B$7,('Control Room'!$B$8+'Control Room'!$D$8)/2))</x:f>
        <x:v>1089.131698183579</x:v>
      </x:c>
      <x:c r="BI602" s="17" t="n">
        <x:f>IF(AND($A602&gt;='Control Room'!$A$13,$A602&lt;'Control Room'!$A$13+'Control Room'!$B$13,'Process'!BV2=1),1+('Control Room'!$C$13-1)*EXP(-0.5*(($A602-'Control Room'!$A$13-('Control Room'!$B$13-1)/2)/MAX(0.5,'Control Room'!$B$13/4))^2),1)*IF(AND($A602&gt;='Control Room'!$A$14,$A602&lt;'Control Room'!$A$14+'Control Room'!$B$14,'Process'!BV3=1),1+('Control Room'!$C$14-1)*EXP(-0.5*(($A602-'Control Room'!$A$14-('Control Room'!$B$14-1)/2)/MAX(0.5,'Control Room'!$B$14/4))^2),1)*IF(AND($A602&gt;='Control Room'!$A$15,$A602&lt;'Control Room'!$A$15+'Control Room'!$B$15,'Process'!BV4=1),1+('Control Room'!$C$15-1)*EXP(-0.5*(($A602-'Control Room'!$A$15-('Control Room'!$B$15-1)/2)/MAX(0.5,'Control Room'!$B$15/4))^2),1)*IF(AND($A602&gt;='Control Room'!$A$16,$A602&lt;'Control Room'!$A$16+'Control Room'!$B$16,'Process'!BV5=1),1+('Control Room'!$C$16-1)*EXP(-0.5*(($A602-'Control Room'!$A$16-('Control Room'!$B$16-1)/2)/MAX(0.5,'Control Room'!$B$16/4))^2),1)</x:f>
        <x:v>1</x:v>
      </x:c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Z602" t="str">
        <x:f>IF('Data'!A602="","",TEXT('Data'!A602,"mm-dd"))</x:f>
      </x:c>
    </x:row>
    <x:row r="603" ht="21" customHeight="1">
      <x:c r="A603" s="15" t="n">
        <x:f>'Control Room'!$B$1+601</x:f>
        <x:v>73592</x:v>
      </x:c>
      <x:c r="B603" s="9" t="n">
        <x:f>MOD(C602*16807,2147483647)</x:f>
        <x:v>329168931</x:v>
      </x:c>
      <x:c r="C603" s="9" t="n">
        <x:f>MOD(B603*16807,2147483647)</x:f>
        <x:v>424348645</x:v>
      </x:c>
      <x:c r="D603" s="17" t="n">
        <x:f>IF('Control Room'!$B$5="Normal",'Control Room'!$B$7+'Control Room'!$D$7*SQRT(-2*LN(MAX(0.000000000001,B603/2147483647)))*COS(2*PI()*C603/2147483647),'Control Room'!$B$8+('Control Room'!$D$8-'Control Room'!$B$8)*B603/2147483647)</x:f>
        <x:v>1056.3544820115503</x:v>
      </x:c>
      <x:c r="E603" s="17" t="n">
        <x:f>IF('Control Room'!$B$5="Normal",'Control Room'!$B$7,('Control Room'!$B$8+'Control Room'!$D$8)/2)+'Control Room'!$B$9*(E602-IF('Control Room'!$B$5="Normal",'Control Room'!$B$7,('Control Room'!$B$8+'Control Room'!$D$8)/2))+SQRT(1-'Control Room'!$B$9^2)*(D603-IF('Control Room'!$B$5="Normal",'Control Room'!$B$7,('Control Room'!$B$8+'Control Room'!$D$8)/2))</x:f>
        <x:v>1076.5036244475239</x:v>
      </x:c>
      <x:c r="F603" s="17" t="n">
        <x:f>IF(AND($A603&gt;='Control Room'!$A$13,$A603&lt;'Control Room'!$A$13+'Control Room'!$B$13,'Process'!BK2=1),1+('Control Room'!$C$13-1)*EXP(-0.5*(($A603-'Control Room'!$A$13-('Control Room'!$B$13-1)/2)/MAX(0.5,'Control Room'!$B$13/4))^2),1)*IF(AND($A603&gt;='Control Room'!$A$14,$A603&lt;'Control Room'!$A$14+'Control Room'!$B$14,'Process'!BK3=1),1+('Control Room'!$C$14-1)*EXP(-0.5*(($A603-'Control Room'!$A$14-('Control Room'!$B$14-1)/2)/MAX(0.5,'Control Room'!$B$14/4))^2),1)*IF(AND($A603&gt;='Control Room'!$A$15,$A603&lt;'Control Room'!$A$15+'Control Room'!$B$15,'Process'!BK4=1),1+('Control Room'!$C$15-1)*EXP(-0.5*(($A603-'Control Room'!$A$15-('Control Room'!$B$15-1)/2)/MAX(0.5,'Control Room'!$B$15/4))^2),1)*IF(AND($A603&gt;='Control Room'!$A$16,$A603&lt;'Control Room'!$A$16+'Control Room'!$B$16,'Process'!BK5=1),1+('Control Room'!$C$16-1)*EXP(-0.5*(($A603-'Control Room'!$A$16-('Control Room'!$B$16-1)/2)/MAX(0.5,'Control Room'!$B$16/4))^2),1)</x:f>
        <x:v>1</x:v>
      </x:c>
      <x:c r="G603" s="9" t="n">
        <x:f>MOD(H602*16807,2147483647)</x:f>
        <x:v>1412000932</x:v>
      </x:c>
      <x:c r="H603" s="9" t="n">
        <x:f>MOD(G603*16807,2147483647)</x:f>
        <x:v>1805364774</x:v>
      </x:c>
      <x:c r="I603" s="17" t="n">
        <x:f>IF('Control Room'!$B$5="Normal",'Control Room'!$B$7+'Control Room'!$D$7*SQRT(-2*LN(MAX(0.000000000001,G603/2147483647)))*COS(2*PI()*H603/2147483647),'Control Room'!$B$8+('Control Room'!$D$8-'Control Room'!$B$8)*G603/2147483647)</x:f>
        <x:v>1044.4615834976462</x:v>
      </x:c>
      <x:c r="J603" s="17" t="n">
        <x:f>IF('Control Room'!$B$5="Normal",'Control Room'!$B$7,('Control Room'!$B$8+'Control Room'!$D$8)/2)+'Control Room'!$B$9*(J602-IF('Control Room'!$B$5="Normal",'Control Room'!$B$7,('Control Room'!$B$8+'Control Room'!$D$8)/2))+SQRT(1-'Control Room'!$B$9^2)*(I603-IF('Control Room'!$B$5="Normal",'Control Room'!$B$7,('Control Room'!$B$8+'Control Room'!$D$8)/2))</x:f>
        <x:v>1042.8065983194342</x:v>
      </x:c>
      <x:c r="K603" s="17" t="n">
        <x:f>IF(AND($A603&gt;='Control Room'!$A$13,$A603&lt;'Control Room'!$A$13+'Control Room'!$B$13,'Process'!BL2=1),1+('Control Room'!$C$13-1)*EXP(-0.5*(($A603-'Control Room'!$A$13-('Control Room'!$B$13-1)/2)/MAX(0.5,'Control Room'!$B$13/4))^2),1)*IF(AND($A603&gt;='Control Room'!$A$14,$A603&lt;'Control Room'!$A$14+'Control Room'!$B$14,'Process'!BL3=1),1+('Control Room'!$C$14-1)*EXP(-0.5*(($A603-'Control Room'!$A$14-('Control Room'!$B$14-1)/2)/MAX(0.5,'Control Room'!$B$14/4))^2),1)*IF(AND($A603&gt;='Control Room'!$A$15,$A603&lt;'Control Room'!$A$15+'Control Room'!$B$15,'Process'!BL4=1),1+('Control Room'!$C$15-1)*EXP(-0.5*(($A603-'Control Room'!$A$15-('Control Room'!$B$15-1)/2)/MAX(0.5,'Control Room'!$B$15/4))^2),1)*IF(AND($A603&gt;='Control Room'!$A$16,$A603&lt;'Control Room'!$A$16+'Control Room'!$B$16,'Process'!BL5=1),1+('Control Room'!$C$16-1)*EXP(-0.5*(($A603-'Control Room'!$A$16-('Control Room'!$B$16-1)/2)/MAX(0.5,'Control Room'!$B$16/4))^2),1)</x:f>
        <x:v>1</x:v>
      </x:c>
      <x:c r="L603" s="9" t="n">
        <x:f>MOD(M602*16807,2147483647)</x:f>
        <x:v>347349286</x:v>
      </x:c>
      <x:c r="M603" s="9" t="n">
        <x:f>MOD(L603*16807,2147483647)</x:f>
        <x:v>1038897256</x:v>
      </x:c>
      <x:c r="N603" s="17" t="n">
        <x:f>IF('Control Room'!$B$5="Normal",'Control Room'!$B$7+'Control Room'!$D$7*SQRT(-2*LN(MAX(0.000000000001,L603/2147483647)))*COS(2*PI()*M603/2147483647),'Control Room'!$B$8+('Control Room'!$D$8-'Control Room'!$B$8)*L603/2147483647)</x:f>
        <x:v>829.1017651763387</x:v>
      </x:c>
      <x:c r="O603" s="17" t="n">
        <x:f>IF('Control Room'!$B$5="Normal",'Control Room'!$B$7,('Control Room'!$B$8+'Control Room'!$D$8)/2)+'Control Room'!$B$9*(O602-IF('Control Room'!$B$5="Normal",'Control Room'!$B$7,('Control Room'!$B$8+'Control Room'!$D$8)/2))+SQRT(1-'Control Room'!$B$9^2)*(N603-IF('Control Room'!$B$5="Normal",'Control Room'!$B$7,('Control Room'!$B$8+'Control Room'!$D$8)/2))</x:f>
        <x:v>927.2643306229613</x:v>
      </x:c>
      <x:c r="P603" s="17" t="n">
        <x:f>IF(AND($A603&gt;='Control Room'!$A$13,$A603&lt;'Control Room'!$A$13+'Control Room'!$B$13,'Process'!BM2=1),1+('Control Room'!$C$13-1)*EXP(-0.5*(($A603-'Control Room'!$A$13-('Control Room'!$B$13-1)/2)/MAX(0.5,'Control Room'!$B$13/4))^2),1)*IF(AND($A603&gt;='Control Room'!$A$14,$A603&lt;'Control Room'!$A$14+'Control Room'!$B$14,'Process'!BM3=1),1+('Control Room'!$C$14-1)*EXP(-0.5*(($A603-'Control Room'!$A$14-('Control Room'!$B$14-1)/2)/MAX(0.5,'Control Room'!$B$14/4))^2),1)*IF(AND($A603&gt;='Control Room'!$A$15,$A603&lt;'Control Room'!$A$15+'Control Room'!$B$15,'Process'!BM4=1),1+('Control Room'!$C$15-1)*EXP(-0.5*(($A603-'Control Room'!$A$15-('Control Room'!$B$15-1)/2)/MAX(0.5,'Control Room'!$B$15/4))^2),1)*IF(AND($A603&gt;='Control Room'!$A$16,$A603&lt;'Control Room'!$A$16+'Control Room'!$B$16,'Process'!BM5=1),1+('Control Room'!$C$16-1)*EXP(-0.5*(($A603-'Control Room'!$A$16-('Control Room'!$B$16-1)/2)/MAX(0.5,'Control Room'!$B$16/4))^2),1)</x:f>
        <x:v>1</x:v>
      </x:c>
      <x:c r="Q603" s="9" t="n">
        <x:f>MOD(R602*16807,2147483647)</x:f>
        <x:v>1430181287</x:v>
      </x:c>
      <x:c r="R603" s="9" t="n">
        <x:f>MOD(Q603*16807,2147483647)</x:f>
        <x:v>272429738</x:v>
      </x:c>
      <x:c r="S603" s="17" t="n">
        <x:f>IF('Control Room'!$B$5="Normal",'Control Room'!$B$7+'Control Room'!$D$7*SQRT(-2*LN(MAX(0.000000000001,Q603/2147483647)))*COS(2*PI()*R603/2147483647),'Control Room'!$B$8+('Control Room'!$D$8-'Control Room'!$B$8)*Q603/2147483647)</x:f>
        <x:v>1056.7068067781631</x:v>
      </x:c>
      <x:c r="T603" s="17" t="n">
        <x:f>IF('Control Room'!$B$5="Normal",'Control Room'!$B$7,('Control Room'!$B$8+'Control Room'!$D$8)/2)+'Control Room'!$B$9*(T602-IF('Control Room'!$B$5="Normal",'Control Room'!$B$7,('Control Room'!$B$8+'Control Room'!$D$8)/2))+SQRT(1-'Control Room'!$B$9^2)*(S603-IF('Control Room'!$B$5="Normal",'Control Room'!$B$7,('Control Room'!$B$8+'Control Room'!$D$8)/2))</x:f>
        <x:v>1001.5531576679762</x:v>
      </x:c>
      <x:c r="U603" s="17" t="n">
        <x:f>IF(AND($A603&gt;='Control Room'!$A$13,$A603&lt;'Control Room'!$A$13+'Control Room'!$B$13,'Process'!BN2=1),1+('Control Room'!$C$13-1)*EXP(-0.5*(($A603-'Control Room'!$A$13-('Control Room'!$B$13-1)/2)/MAX(0.5,'Control Room'!$B$13/4))^2),1)*IF(AND($A603&gt;='Control Room'!$A$14,$A603&lt;'Control Room'!$A$14+'Control Room'!$B$14,'Process'!BN3=1),1+('Control Room'!$C$14-1)*EXP(-0.5*(($A603-'Control Room'!$A$14-('Control Room'!$B$14-1)/2)/MAX(0.5,'Control Room'!$B$14/4))^2),1)*IF(AND($A603&gt;='Control Room'!$A$15,$A603&lt;'Control Room'!$A$15+'Control Room'!$B$15,'Process'!BN4=1),1+('Control Room'!$C$15-1)*EXP(-0.5*(($A603-'Control Room'!$A$15-('Control Room'!$B$15-1)/2)/MAX(0.5,'Control Room'!$B$15/4))^2),1)*IF(AND($A603&gt;='Control Room'!$A$16,$A603&lt;'Control Room'!$A$16+'Control Room'!$B$16,'Process'!BN5=1),1+('Control Room'!$C$16-1)*EXP(-0.5*(($A603-'Control Room'!$A$16-('Control Room'!$B$16-1)/2)/MAX(0.5,'Control Room'!$B$16/4))^2),1)</x:f>
        <x:v>1</x:v>
      </x:c>
      <x:c r="V603" s="9" t="n">
        <x:f>MOD(W602*16807,2147483647)</x:f>
        <x:v>365529641</x:v>
      </x:c>
      <x:c r="W603" s="9" t="n">
        <x:f>MOD(V603*16807,2147483647)</x:f>
        <x:v>1653445867</x:v>
      </x:c>
      <x:c r="X603" s="17" t="n">
        <x:f>IF('Control Room'!$B$5="Normal",'Control Room'!$B$7+'Control Room'!$D$7*SQRT(-2*LN(MAX(0.000000000001,V603/2147483647)))*COS(2*PI()*W603/2147483647),'Control Room'!$B$8+('Control Room'!$D$8-'Control Room'!$B$8)*V603/2147483647)</x:f>
        <x:v>1021.1701037654569</x:v>
      </x:c>
      <x:c r="Y603" s="17" t="n">
        <x:f>IF('Control Room'!$B$5="Normal",'Control Room'!$B$7,('Control Room'!$B$8+'Control Room'!$D$8)/2)+'Control Room'!$B$9*(Y602-IF('Control Room'!$B$5="Normal",'Control Room'!$B$7,('Control Room'!$B$8+'Control Room'!$D$8)/2))+SQRT(1-'Control Room'!$B$9^2)*(X603-IF('Control Room'!$B$5="Normal",'Control Room'!$B$7,('Control Room'!$B$8+'Control Room'!$D$8)/2))</x:f>
        <x:v>999.4716577798961</x:v>
      </x:c>
      <x:c r="Z603" s="17" t="n">
        <x:f>IF(AND($A603&gt;='Control Room'!$A$13,$A603&lt;'Control Room'!$A$13+'Control Room'!$B$13,'Process'!BO2=1),1+('Control Room'!$C$13-1)*EXP(-0.5*(($A603-'Control Room'!$A$13-('Control Room'!$B$13-1)/2)/MAX(0.5,'Control Room'!$B$13/4))^2),1)*IF(AND($A603&gt;='Control Room'!$A$14,$A603&lt;'Control Room'!$A$14+'Control Room'!$B$14,'Process'!BO3=1),1+('Control Room'!$C$14-1)*EXP(-0.5*(($A603-'Control Room'!$A$14-('Control Room'!$B$14-1)/2)/MAX(0.5,'Control Room'!$B$14/4))^2),1)*IF(AND($A603&gt;='Control Room'!$A$15,$A603&lt;'Control Room'!$A$15+'Control Room'!$B$15,'Process'!BO4=1),1+('Control Room'!$C$15-1)*EXP(-0.5*(($A603-'Control Room'!$A$15-('Control Room'!$B$15-1)/2)/MAX(0.5,'Control Room'!$B$15/4))^2),1)*IF(AND($A603&gt;='Control Room'!$A$16,$A603&lt;'Control Room'!$A$16+'Control Room'!$B$16,'Process'!BO5=1),1+('Control Room'!$C$16-1)*EXP(-0.5*(($A603-'Control Room'!$A$16-('Control Room'!$B$16-1)/2)/MAX(0.5,'Control Room'!$B$16/4))^2),1)</x:f>
        <x:v>1</x:v>
      </x:c>
      <x:c r="AA603" s="9" t="n">
        <x:f>MOD(AB602*16807,2147483647)</x:f>
        <x:v>1448361642</x:v>
      </x:c>
      <x:c r="AB603" s="9" t="n">
        <x:f>MOD(AA603*16807,2147483647)</x:f>
        <x:v>886978349</x:v>
      </x:c>
      <x:c r="AC603" s="17" t="n">
        <x:f>IF('Control Room'!$B$5="Normal",'Control Room'!$B$7+'Control Room'!$D$7*SQRT(-2*LN(MAX(0.000000000001,AA603/2147483647)))*COS(2*PI()*AB603/2147483647),'Control Room'!$B$8+('Control Room'!$D$8-'Control Room'!$B$8)*AA603/2147483647)</x:f>
        <x:v>931.7532929170783</x:v>
      </x:c>
      <x:c r="AD603" s="17" t="n">
        <x:f>IF('Control Room'!$B$5="Normal",'Control Room'!$B$7,('Control Room'!$B$8+'Control Room'!$D$8)/2)+'Control Room'!$B$9*(AD602-IF('Control Room'!$B$5="Normal",'Control Room'!$B$7,('Control Room'!$B$8+'Control Room'!$D$8)/2))+SQRT(1-'Control Room'!$B$9^2)*(AC603-IF('Control Room'!$B$5="Normal",'Control Room'!$B$7,('Control Room'!$B$8+'Control Room'!$D$8)/2))</x:f>
        <x:v>964.8546032670097</x:v>
      </x:c>
      <x:c r="AE603" s="17" t="n">
        <x:f>IF(AND($A603&gt;='Control Room'!$A$13,$A603&lt;'Control Room'!$A$13+'Control Room'!$B$13,'Process'!BP2=1),1+('Control Room'!$C$13-1)*EXP(-0.5*(($A603-'Control Room'!$A$13-('Control Room'!$B$13-1)/2)/MAX(0.5,'Control Room'!$B$13/4))^2),1)*IF(AND($A603&gt;='Control Room'!$A$14,$A603&lt;'Control Room'!$A$14+'Control Room'!$B$14,'Process'!BP3=1),1+('Control Room'!$C$14-1)*EXP(-0.5*(($A603-'Control Room'!$A$14-('Control Room'!$B$14-1)/2)/MAX(0.5,'Control Room'!$B$14/4))^2),1)*IF(AND($A603&gt;='Control Room'!$A$15,$A603&lt;'Control Room'!$A$15+'Control Room'!$B$15,'Process'!BP4=1),1+('Control Room'!$C$15-1)*EXP(-0.5*(($A603-'Control Room'!$A$15-('Control Room'!$B$15-1)/2)/MAX(0.5,'Control Room'!$B$15/4))^2),1)*IF(AND($A603&gt;='Control Room'!$A$16,$A603&lt;'Control Room'!$A$16+'Control Room'!$B$16,'Process'!BP5=1),1+('Control Room'!$C$16-1)*EXP(-0.5*(($A603-'Control Room'!$A$16-('Control Room'!$B$16-1)/2)/MAX(0.5,'Control Room'!$B$16/4))^2),1)</x:f>
        <x:v>1</x:v>
      </x:c>
      <x:c r="AF603" s="9" t="n">
        <x:f>MOD(AG602*16807,2147483647)</x:f>
        <x:v>383709996</x:v>
      </x:c>
      <x:c r="AG603" s="9" t="n">
        <x:f>MOD(AF603*16807,2147483647)</x:f>
        <x:v>120510831</x:v>
      </x:c>
      <x:c r="AH603" s="17" t="n">
        <x:f>IF('Control Room'!$B$5="Normal",'Control Room'!$B$7+'Control Room'!$D$7*SQRT(-2*LN(MAX(0.000000000001,AF603/2147483647)))*COS(2*PI()*AG603/2147483647),'Control Room'!$B$8+('Control Room'!$D$8-'Control Room'!$B$8)*AF603/2147483647)</x:f>
        <x:v>1156.7544184813319</x:v>
      </x:c>
      <x:c r="AI603" s="17" t="n">
        <x:f>IF('Control Room'!$B$5="Normal",'Control Room'!$B$7,('Control Room'!$B$8+'Control Room'!$D$8)/2)+'Control Room'!$B$9*(AI602-IF('Control Room'!$B$5="Normal",'Control Room'!$B$7,('Control Room'!$B$8+'Control Room'!$D$8)/2))+SQRT(1-'Control Room'!$B$9^2)*(AH603-IF('Control Room'!$B$5="Normal",'Control Room'!$B$7,('Control Room'!$B$8+'Control Room'!$D$8)/2))</x:f>
        <x:v>1284.5467159799557</x:v>
      </x:c>
      <x:c r="AJ603" s="17" t="n">
        <x:f>IF(AND($A603&gt;='Control Room'!$A$13,$A603&lt;'Control Room'!$A$13+'Control Room'!$B$13,'Process'!BQ2=1),1+('Control Room'!$C$13-1)*EXP(-0.5*(($A603-'Control Room'!$A$13-('Control Room'!$B$13-1)/2)/MAX(0.5,'Control Room'!$B$13/4))^2),1)*IF(AND($A603&gt;='Control Room'!$A$14,$A603&lt;'Control Room'!$A$14+'Control Room'!$B$14,'Process'!BQ3=1),1+('Control Room'!$C$14-1)*EXP(-0.5*(($A603-'Control Room'!$A$14-('Control Room'!$B$14-1)/2)/MAX(0.5,'Control Room'!$B$14/4))^2),1)*IF(AND($A603&gt;='Control Room'!$A$15,$A603&lt;'Control Room'!$A$15+'Control Room'!$B$15,'Process'!BQ4=1),1+('Control Room'!$C$15-1)*EXP(-0.5*(($A603-'Control Room'!$A$15-('Control Room'!$B$15-1)/2)/MAX(0.5,'Control Room'!$B$15/4))^2),1)*IF(AND($A603&gt;='Control Room'!$A$16,$A603&lt;'Control Room'!$A$16+'Control Room'!$B$16,'Process'!BQ5=1),1+('Control Room'!$C$16-1)*EXP(-0.5*(($A603-'Control Room'!$A$16-('Control Room'!$B$16-1)/2)/MAX(0.5,'Control Room'!$B$16/4))^2),1)</x:f>
        <x:v>1</x:v>
      </x:c>
      <x:c r="AK603" s="9" t="n">
        <x:f>MOD(AL602*16807,2147483647)</x:f>
        <x:v>1466541997</x:v>
      </x:c>
      <x:c r="AL603" s="9" t="n">
        <x:f>MOD(AK603*16807,2147483647)</x:f>
        <x:v>1501526960</x:v>
      </x:c>
      <x:c r="AM603" s="17" t="n">
        <x:f>IF('Control Room'!$B$5="Normal",'Control Room'!$B$7+'Control Room'!$D$7*SQRT(-2*LN(MAX(0.000000000001,AK603/2147483647)))*COS(2*PI()*AL603/2147483647),'Control Room'!$B$8+('Control Room'!$D$8-'Control Room'!$B$8)*AK603/2147483647)</x:f>
        <x:v>975.3361210399831</x:v>
      </x:c>
      <x:c r="AN603" s="17" t="n">
        <x:f>IF('Control Room'!$B$5="Normal",'Control Room'!$B$7,('Control Room'!$B$8+'Control Room'!$D$8)/2)+'Control Room'!$B$9*(AN602-IF('Control Room'!$B$5="Normal",'Control Room'!$B$7,('Control Room'!$B$8+'Control Room'!$D$8)/2))+SQRT(1-'Control Room'!$B$9^2)*(AM603-IF('Control Room'!$B$5="Normal",'Control Room'!$B$7,('Control Room'!$B$8+'Control Room'!$D$8)/2))</x:f>
        <x:v>921.665784178239</x:v>
      </x:c>
      <x:c r="AO603" s="17" t="n">
        <x:f>IF(AND($A603&gt;='Control Room'!$A$13,$A603&lt;'Control Room'!$A$13+'Control Room'!$B$13,'Process'!BR2=1),1+('Control Room'!$C$13-1)*EXP(-0.5*(($A603-'Control Room'!$A$13-('Control Room'!$B$13-1)/2)/MAX(0.5,'Control Room'!$B$13/4))^2),1)*IF(AND($A603&gt;='Control Room'!$A$14,$A603&lt;'Control Room'!$A$14+'Control Room'!$B$14,'Process'!BR3=1),1+('Control Room'!$C$14-1)*EXP(-0.5*(($A603-'Control Room'!$A$14-('Control Room'!$B$14-1)/2)/MAX(0.5,'Control Room'!$B$14/4))^2),1)*IF(AND($A603&gt;='Control Room'!$A$15,$A603&lt;'Control Room'!$A$15+'Control Room'!$B$15,'Process'!BR4=1),1+('Control Room'!$C$15-1)*EXP(-0.5*(($A603-'Control Room'!$A$15-('Control Room'!$B$15-1)/2)/MAX(0.5,'Control Room'!$B$15/4))^2),1)*IF(AND($A603&gt;='Control Room'!$A$16,$A603&lt;'Control Room'!$A$16+'Control Room'!$B$16,'Process'!BR5=1),1+('Control Room'!$C$16-1)*EXP(-0.5*(($A603-'Control Room'!$A$16-('Control Room'!$B$16-1)/2)/MAX(0.5,'Control Room'!$B$16/4))^2),1)</x:f>
        <x:v>1</x:v>
      </x:c>
      <x:c r="AP603" s="9" t="n">
        <x:f>MOD(AQ602*16807,2147483647)</x:f>
        <x:v>401890351</x:v>
      </x:c>
      <x:c r="AQ603" s="9" t="n">
        <x:f>MOD(AP603*16807,2147483647)</x:f>
        <x:v>735059442</x:v>
      </x:c>
      <x:c r="AR603" s="17" t="n">
        <x:f>IF('Control Room'!$B$5="Normal",'Control Room'!$B$7+'Control Room'!$D$7*SQRT(-2*LN(MAX(0.000000000001,AP603/2147483647)))*COS(2*PI()*AQ603/2147483647),'Control Room'!$B$8+('Control Room'!$D$8-'Control Room'!$B$8)*AP603/2147483647)</x:f>
        <x:v>909.7204280844542</x:v>
      </x:c>
      <x:c r="AS603" s="17" t="n">
        <x:f>IF('Control Room'!$B$5="Normal",'Control Room'!$B$7,('Control Room'!$B$8+'Control Room'!$D$8)/2)+'Control Room'!$B$9*(AS602-IF('Control Room'!$B$5="Normal",'Control Room'!$B$7,('Control Room'!$B$8+'Control Room'!$D$8)/2))+SQRT(1-'Control Room'!$B$9^2)*(AR603-IF('Control Room'!$B$5="Normal",'Control Room'!$B$7,('Control Room'!$B$8+'Control Room'!$D$8)/2))</x:f>
        <x:v>979.5102982352831</x:v>
      </x:c>
      <x:c r="AT603" s="17" t="n">
        <x:f>IF(AND($A603&gt;='Control Room'!$A$13,$A603&lt;'Control Room'!$A$13+'Control Room'!$B$13,'Process'!BS2=1),1+('Control Room'!$C$13-1)*EXP(-0.5*(($A603-'Control Room'!$A$13-('Control Room'!$B$13-1)/2)/MAX(0.5,'Control Room'!$B$13/4))^2),1)*IF(AND($A603&gt;='Control Room'!$A$14,$A603&lt;'Control Room'!$A$14+'Control Room'!$B$14,'Process'!BS3=1),1+('Control Room'!$C$14-1)*EXP(-0.5*(($A603-'Control Room'!$A$14-('Control Room'!$B$14-1)/2)/MAX(0.5,'Control Room'!$B$14/4))^2),1)*IF(AND($A603&gt;='Control Room'!$A$15,$A603&lt;'Control Room'!$A$15+'Control Room'!$B$15,'Process'!BS4=1),1+('Control Room'!$C$15-1)*EXP(-0.5*(($A603-'Control Room'!$A$15-('Control Room'!$B$15-1)/2)/MAX(0.5,'Control Room'!$B$15/4))^2),1)*IF(AND($A603&gt;='Control Room'!$A$16,$A603&lt;'Control Room'!$A$16+'Control Room'!$B$16,'Process'!BS5=1),1+('Control Room'!$C$16-1)*EXP(-0.5*(($A603-'Control Room'!$A$16-('Control Room'!$B$16-1)/2)/MAX(0.5,'Control Room'!$B$16/4))^2),1)</x:f>
        <x:v>1</x:v>
      </x:c>
      <x:c r="AU603" s="9" t="n">
        <x:f>MOD(AV602*16807,2147483647)</x:f>
        <x:v>1484722352</x:v>
      </x:c>
      <x:c r="AV603" s="9" t="n">
        <x:f>MOD(AU603*16807,2147483647)</x:f>
        <x:v>2116075571</x:v>
      </x:c>
      <x:c r="AW603" s="17" t="n">
        <x:f>IF('Control Room'!$B$5="Normal",'Control Room'!$B$7+'Control Room'!$D$7*SQRT(-2*LN(MAX(0.000000000001,AU603/2147483647)))*COS(2*PI()*AV603/2147483647),'Control Room'!$B$8+('Control Room'!$D$8-'Control Room'!$B$8)*AU603/2147483647)</x:f>
        <x:v>1076.9972035334117</x:v>
      </x:c>
      <x:c r="AX603" s="17" t="n">
        <x:f>IF('Control Room'!$B$5="Normal",'Control Room'!$B$7,('Control Room'!$B$8+'Control Room'!$D$8)/2)+'Control Room'!$B$9*(AX602-IF('Control Room'!$B$5="Normal",'Control Room'!$B$7,('Control Room'!$B$8+'Control Room'!$D$8)/2))+SQRT(1-'Control Room'!$B$9^2)*(AW603-IF('Control Room'!$B$5="Normal",'Control Room'!$B$7,('Control Room'!$B$8+'Control Room'!$D$8)/2))</x:f>
        <x:v>1037.9834332778726</x:v>
      </x:c>
      <x:c r="AY603" s="17" t="n">
        <x:f>IF(AND($A603&gt;='Control Room'!$A$13,$A603&lt;'Control Room'!$A$13+'Control Room'!$B$13,'Process'!BT2=1),1+('Control Room'!$C$13-1)*EXP(-0.5*(($A603-'Control Room'!$A$13-('Control Room'!$B$13-1)/2)/MAX(0.5,'Control Room'!$B$13/4))^2),1)*IF(AND($A603&gt;='Control Room'!$A$14,$A603&lt;'Control Room'!$A$14+'Control Room'!$B$14,'Process'!BT3=1),1+('Control Room'!$C$14-1)*EXP(-0.5*(($A603-'Control Room'!$A$14-('Control Room'!$B$14-1)/2)/MAX(0.5,'Control Room'!$B$14/4))^2),1)*IF(AND($A603&gt;='Control Room'!$A$15,$A603&lt;'Control Room'!$A$15+'Control Room'!$B$15,'Process'!BT4=1),1+('Control Room'!$C$15-1)*EXP(-0.5*(($A603-'Control Room'!$A$15-('Control Room'!$B$15-1)/2)/MAX(0.5,'Control Room'!$B$15/4))^2),1)*IF(AND($A603&gt;='Control Room'!$A$16,$A603&lt;'Control Room'!$A$16+'Control Room'!$B$16,'Process'!BT5=1),1+('Control Room'!$C$16-1)*EXP(-0.5*(($A603-'Control Room'!$A$16-('Control Room'!$B$16-1)/2)/MAX(0.5,'Control Room'!$B$16/4))^2),1)</x:f>
        <x:v>1</x:v>
      </x:c>
      <x:c r="AZ603" s="9" t="n">
        <x:f>MOD(BA602*16807,2147483647)</x:f>
        <x:v>420070706</x:v>
      </x:c>
      <x:c r="BA603" s="9" t="n">
        <x:f>MOD(AZ603*16807,2147483647)</x:f>
        <x:v>1349608053</x:v>
      </x:c>
      <x:c r="BB603" s="17" t="n">
        <x:f>IF('Control Room'!$B$5="Normal",'Control Room'!$B$7+'Control Room'!$D$7*SQRT(-2*LN(MAX(0.000000000001,AZ603/2147483647)))*COS(2*PI()*BA603/2147483647),'Control Room'!$B$8+('Control Room'!$D$8-'Control Room'!$B$8)*AZ603/2147483647)</x:f>
        <x:v>887.5646703019233</x:v>
      </x:c>
      <x:c r="BC603" s="17" t="n">
        <x:f>IF('Control Room'!$B$5="Normal",'Control Room'!$B$7,('Control Room'!$B$8+'Control Room'!$D$8)/2)+'Control Room'!$B$9*(BC602-IF('Control Room'!$B$5="Normal",'Control Room'!$B$7,('Control Room'!$B$8+'Control Room'!$D$8)/2))+SQRT(1-'Control Room'!$B$9^2)*(BB603-IF('Control Room'!$B$5="Normal",'Control Room'!$B$7,('Control Room'!$B$8+'Control Room'!$D$8)/2))</x:f>
        <x:v>898.4671328215177</x:v>
      </x:c>
      <x:c r="BD603" s="17" t="n">
        <x:f>IF(AND($A603&gt;='Control Room'!$A$13,$A603&lt;'Control Room'!$A$13+'Control Room'!$B$13,'Process'!BU2=1),1+('Control Room'!$C$13-1)*EXP(-0.5*(($A603-'Control Room'!$A$13-('Control Room'!$B$13-1)/2)/MAX(0.5,'Control Room'!$B$13/4))^2),1)*IF(AND($A603&gt;='Control Room'!$A$14,$A603&lt;'Control Room'!$A$14+'Control Room'!$B$14,'Process'!BU3=1),1+('Control Room'!$C$14-1)*EXP(-0.5*(($A603-'Control Room'!$A$14-('Control Room'!$B$14-1)/2)/MAX(0.5,'Control Room'!$B$14/4))^2),1)*IF(AND($A603&gt;='Control Room'!$A$15,$A603&lt;'Control Room'!$A$15+'Control Room'!$B$15,'Process'!BU4=1),1+('Control Room'!$C$15-1)*EXP(-0.5*(($A603-'Control Room'!$A$15-('Control Room'!$B$15-1)/2)/MAX(0.5,'Control Room'!$B$15/4))^2),1)*IF(AND($A603&gt;='Control Room'!$A$16,$A603&lt;'Control Room'!$A$16+'Control Room'!$B$16,'Process'!BU5=1),1+('Control Room'!$C$16-1)*EXP(-0.5*(($A603-'Control Room'!$A$16-('Control Room'!$B$16-1)/2)/MAX(0.5,'Control Room'!$B$16/4))^2),1)</x:f>
        <x:v>1</x:v>
      </x:c>
      <x:c r="BE603" s="9" t="n">
        <x:f>MOD(BF602*16807,2147483647)</x:f>
        <x:v>1502902707</x:v>
      </x:c>
      <x:c r="BF603" s="9" t="n">
        <x:f>MOD(BE603*16807,2147483647)</x:f>
        <x:v>583140535</x:v>
      </x:c>
      <x:c r="BG603" s="17" t="n">
        <x:f>IF('Control Room'!$B$5="Normal",'Control Room'!$B$7+'Control Room'!$D$7*SQRT(-2*LN(MAX(0.000000000001,BE603/2147483647)))*COS(2*PI()*BF603/2147483647),'Control Room'!$B$8+('Control Room'!$D$8-'Control Room'!$B$8)*BE603/2147483647)</x:f>
        <x:v>989.7376127508669</x:v>
      </x:c>
      <x:c r="BH603" s="17" t="n">
        <x:f>IF('Control Room'!$B$5="Normal",'Control Room'!$B$7,('Control Room'!$B$8+'Control Room'!$D$8)/2)+'Control Room'!$B$9*(BH602-IF('Control Room'!$B$5="Normal",'Control Room'!$B$7,('Control Room'!$B$8+'Control Room'!$D$8)/2))+SQRT(1-'Control Room'!$B$9^2)*(BG603-IF('Control Room'!$B$5="Normal",'Control Room'!$B$7,('Control Room'!$B$8+'Control Room'!$D$8)/2))</x:f>
        <x:v>1063.1007328791143</x:v>
      </x:c>
      <x:c r="BI603" s="17" t="n">
        <x:f>IF(AND($A603&gt;='Control Room'!$A$13,$A603&lt;'Control Room'!$A$13+'Control Room'!$B$13,'Process'!BV2=1),1+('Control Room'!$C$13-1)*EXP(-0.5*(($A603-'Control Room'!$A$13-('Control Room'!$B$13-1)/2)/MAX(0.5,'Control Room'!$B$13/4))^2),1)*IF(AND($A603&gt;='Control Room'!$A$14,$A603&lt;'Control Room'!$A$14+'Control Room'!$B$14,'Process'!BV3=1),1+('Control Room'!$C$14-1)*EXP(-0.5*(($A603-'Control Room'!$A$14-('Control Room'!$B$14-1)/2)/MAX(0.5,'Control Room'!$B$14/4))^2),1)*IF(AND($A603&gt;='Control Room'!$A$15,$A603&lt;'Control Room'!$A$15+'Control Room'!$B$15,'Process'!BV4=1),1+('Control Room'!$C$15-1)*EXP(-0.5*(($A603-'Control Room'!$A$15-('Control Room'!$B$15-1)/2)/MAX(0.5,'Control Room'!$B$15/4))^2),1)*IF(AND($A603&gt;='Control Room'!$A$16,$A603&lt;'Control Room'!$A$16+'Control Room'!$B$16,'Process'!BV5=1),1+('Control Room'!$C$16-1)*EXP(-0.5*(($A603-'Control Room'!$A$16-('Control Room'!$B$16-1)/2)/MAX(0.5,'Control Room'!$B$16/4))^2),1)</x:f>
        <x:v>1</x:v>
      </x:c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Z603" t="str">
        <x:f>IF('Data'!A603="","",TEXT('Data'!A603,"mm-dd"))</x:f>
      </x:c>
    </x:row>
    <x:row r="604" ht="21" customHeight="1">
      <x:c r="A604" s="15" t="n">
        <x:f>'Control Room'!$B$1+602</x:f>
        <x:v>73593</x:v>
      </x:c>
      <x:c r="B604" s="9" t="n">
        <x:f>MOD(C603*16807,2147483647)</x:f>
        <x:v>234484828</x:v>
      </x:c>
      <x:c r="C604" s="9" t="n">
        <x:f>MOD(B604*16807,2147483647)</x:f>
        <x:v>354011951</x:v>
      </x:c>
      <x:c r="D604" s="17" t="n">
        <x:f>IF('Control Room'!$B$5="Normal",'Control Room'!$B$7+'Control Room'!$D$7*SQRT(-2*LN(MAX(0.000000000001,B604/2147483647)))*COS(2*PI()*C604/2147483647),'Control Room'!$B$8+('Control Room'!$D$8-'Control Room'!$B$8)*B604/2147483647)</x:f>
        <x:v>1096.5733278686403</x:v>
      </x:c>
      <x:c r="E604" s="17" t="n">
        <x:f>IF('Control Room'!$B$5="Normal",'Control Room'!$B$7,('Control Room'!$B$8+'Control Room'!$D$8)/2)+'Control Room'!$B$9*(E603-IF('Control Room'!$B$5="Normal",'Control Room'!$B$7,('Control Room'!$B$8+'Control Room'!$D$8)/2))+SQRT(1-'Control Room'!$B$9^2)*(D604-IF('Control Room'!$B$5="Normal",'Control Room'!$B$7,('Control Room'!$B$8+'Control Room'!$D$8)/2))</x:f>
        <x:v>1120.106437237106</x:v>
      </x:c>
      <x:c r="F604" s="17" t="n">
        <x:f>IF(AND($A604&gt;='Control Room'!$A$13,$A604&lt;'Control Room'!$A$13+'Control Room'!$B$13,'Process'!BK2=1),1+('Control Room'!$C$13-1)*EXP(-0.5*(($A604-'Control Room'!$A$13-('Control Room'!$B$13-1)/2)/MAX(0.5,'Control Room'!$B$13/4))^2),1)*IF(AND($A604&gt;='Control Room'!$A$14,$A604&lt;'Control Room'!$A$14+'Control Room'!$B$14,'Process'!BK3=1),1+('Control Room'!$C$14-1)*EXP(-0.5*(($A604-'Control Room'!$A$14-('Control Room'!$B$14-1)/2)/MAX(0.5,'Control Room'!$B$14/4))^2),1)*IF(AND($A604&gt;='Control Room'!$A$15,$A604&lt;'Control Room'!$A$15+'Control Room'!$B$15,'Process'!BK4=1),1+('Control Room'!$C$15-1)*EXP(-0.5*(($A604-'Control Room'!$A$15-('Control Room'!$B$15-1)/2)/MAX(0.5,'Control Room'!$B$15/4))^2),1)*IF(AND($A604&gt;='Control Room'!$A$16,$A604&lt;'Control Room'!$A$16+'Control Room'!$B$16,'Process'!BK5=1),1+('Control Room'!$C$16-1)*EXP(-0.5*(($A604-'Control Room'!$A$16-('Control Room'!$B$16-1)/2)/MAX(0.5,'Control Room'!$B$16/4))^2),1)</x:f>
        <x:v>1</x:v>
      </x:c>
      <x:c r="G604" s="9" t="n">
        <x:f>MOD(H603*16807,2147483647)</x:f>
        <x:v>969308155</x:v>
      </x:c>
      <x:c r="H604" s="9" t="n">
        <x:f>MOD(G604*16807,2147483647)</x:f>
        <x:v>351214943</x:v>
      </x:c>
      <x:c r="I604" s="17" t="n">
        <x:f>IF('Control Room'!$B$5="Normal",'Control Room'!$B$7+'Control Room'!$D$7*SQRT(-2*LN(MAX(0.000000000001,G604/2147483647)))*COS(2*PI()*H604/2147483647),'Control Room'!$B$8+('Control Room'!$D$8-'Control Room'!$B$8)*G604/2147483647)</x:f>
        <x:v>1058.6754693838795</x:v>
      </x:c>
      <x:c r="J604" s="17" t="n">
        <x:f>IF('Control Room'!$B$5="Normal",'Control Room'!$B$7,('Control Room'!$B$8+'Control Room'!$D$8)/2)+'Control Room'!$B$9*(J603-IF('Control Room'!$B$5="Normal",'Control Room'!$B$7,('Control Room'!$B$8+'Control Room'!$D$8)/2))+SQRT(1-'Control Room'!$B$9^2)*(I604-IF('Control Room'!$B$5="Normal",'Control Room'!$B$7,('Control Room'!$B$8+'Control Room'!$D$8)/2))</x:f>
        <x:v>1070.1070533972638</x:v>
      </x:c>
      <x:c r="K604" s="17" t="n">
        <x:f>IF(AND($A604&gt;='Control Room'!$A$13,$A604&lt;'Control Room'!$A$13+'Control Room'!$B$13,'Process'!BL2=1),1+('Control Room'!$C$13-1)*EXP(-0.5*(($A604-'Control Room'!$A$13-('Control Room'!$B$13-1)/2)/MAX(0.5,'Control Room'!$B$13/4))^2),1)*IF(AND($A604&gt;='Control Room'!$A$14,$A604&lt;'Control Room'!$A$14+'Control Room'!$B$14,'Process'!BL3=1),1+('Control Room'!$C$14-1)*EXP(-0.5*(($A604-'Control Room'!$A$14-('Control Room'!$B$14-1)/2)/MAX(0.5,'Control Room'!$B$14/4))^2),1)*IF(AND($A604&gt;='Control Room'!$A$15,$A604&lt;'Control Room'!$A$15+'Control Room'!$B$15,'Process'!BL4=1),1+('Control Room'!$C$15-1)*EXP(-0.5*(($A604-'Control Room'!$A$15-('Control Room'!$B$15-1)/2)/MAX(0.5,'Control Room'!$B$15/4))^2),1)*IF(AND($A604&gt;='Control Room'!$A$16,$A604&lt;'Control Room'!$A$16+'Control Room'!$B$16,'Process'!BL5=1),1+('Control Room'!$C$16-1)*EXP(-0.5*(($A604-'Control Room'!$A$16-('Control Room'!$B$16-1)/2)/MAX(0.5,'Control Room'!$B$16/4))^2),1)</x:f>
        <x:v>1</x:v>
      </x:c>
      <x:c r="L604" s="9" t="n">
        <x:f>MOD(M603*16807,2147483647)</x:f>
        <x:v>1704131482</x:v>
      </x:c>
      <x:c r="M604" s="9" t="n">
        <x:f>MOD(L604*16807,2147483647)</x:f>
        <x:v>348417935</x:v>
      </x:c>
      <x:c r="N604" s="17" t="n">
        <x:f>IF('Control Room'!$B$5="Normal",'Control Room'!$B$7+'Control Room'!$D$7*SQRT(-2*LN(MAX(0.000000000001,L604/2147483647)))*COS(2*PI()*M604/2147483647),'Control Room'!$B$8+('Control Room'!$D$8-'Control Room'!$B$8)*L604/2147483647)</x:f>
        <x:v>1032.0634154854915</x:v>
      </x:c>
      <x:c r="O604" s="17" t="n">
        <x:f>IF('Control Room'!$B$5="Normal",'Control Room'!$B$7,('Control Room'!$B$8+'Control Room'!$D$8)/2)+'Control Room'!$B$9*(O603-IF('Control Room'!$B$5="Normal",'Control Room'!$B$7,('Control Room'!$B$8+'Control Room'!$D$8)/2))+SQRT(1-'Control Room'!$B$9^2)*(N604-IF('Control Room'!$B$5="Normal",'Control Room'!$B$7,('Control Room'!$B$8+'Control Room'!$D$8)/2))</x:f>
        <x:v>963.330806441961</x:v>
      </x:c>
      <x:c r="P604" s="17" t="n">
        <x:f>IF(AND($A604&gt;='Control Room'!$A$13,$A604&lt;'Control Room'!$A$13+'Control Room'!$B$13,'Process'!BM2=1),1+('Control Room'!$C$13-1)*EXP(-0.5*(($A604-'Control Room'!$A$13-('Control Room'!$B$13-1)/2)/MAX(0.5,'Control Room'!$B$13/4))^2),1)*IF(AND($A604&gt;='Control Room'!$A$14,$A604&lt;'Control Room'!$A$14+'Control Room'!$B$14,'Process'!BM3=1),1+('Control Room'!$C$14-1)*EXP(-0.5*(($A604-'Control Room'!$A$14-('Control Room'!$B$14-1)/2)/MAX(0.5,'Control Room'!$B$14/4))^2),1)*IF(AND($A604&gt;='Control Room'!$A$15,$A604&lt;'Control Room'!$A$15+'Control Room'!$B$15,'Process'!BM4=1),1+('Control Room'!$C$15-1)*EXP(-0.5*(($A604-'Control Room'!$A$15-('Control Room'!$B$15-1)/2)/MAX(0.5,'Control Room'!$B$15/4))^2),1)*IF(AND($A604&gt;='Control Room'!$A$16,$A604&lt;'Control Room'!$A$16+'Control Room'!$B$16,'Process'!BM5=1),1+('Control Room'!$C$16-1)*EXP(-0.5*(($A604-'Control Room'!$A$16-('Control Room'!$B$16-1)/2)/MAX(0.5,'Control Room'!$B$16/4))^2),1)</x:f>
        <x:v>1</x:v>
      </x:c>
      <x:c r="Q604" s="9" t="n">
        <x:f>MOD(R603*16807,2147483647)</x:f>
        <x:v>291471162</x:v>
      </x:c>
      <x:c r="R604" s="9" t="n">
        <x:f>MOD(Q604*16807,2147483647)</x:f>
        <x:v>345620927</x:v>
      </x:c>
      <x:c r="S604" s="17" t="n">
        <x:f>IF('Control Room'!$B$5="Normal",'Control Room'!$B$7+'Control Room'!$D$7*SQRT(-2*LN(MAX(0.000000000001,Q604/2147483647)))*COS(2*PI()*R604/2147483647),'Control Room'!$B$8+('Control Room'!$D$8-'Control Room'!$B$8)*Q604/2147483647)</x:f>
        <x:v>1095.4783027308074</x:v>
      </x:c>
      <x:c r="T604" s="17" t="n">
        <x:f>IF('Control Room'!$B$5="Normal",'Control Room'!$B$7,('Control Room'!$B$8+'Control Room'!$D$8)/2)+'Control Room'!$B$9*(T603-IF('Control Room'!$B$5="Normal",'Control Room'!$B$7,('Control Room'!$B$8+'Control Room'!$D$8)/2))+SQRT(1-'Control Room'!$B$9^2)*(S604-IF('Control Room'!$B$5="Normal",'Control Room'!$B$7,('Control Room'!$B$8+'Control Room'!$D$8)/2))</x:f>
        <x:v>1060.9598288506122</x:v>
      </x:c>
      <x:c r="U604" s="17" t="n">
        <x:f>IF(AND($A604&gt;='Control Room'!$A$13,$A604&lt;'Control Room'!$A$13+'Control Room'!$B$13,'Process'!BN2=1),1+('Control Room'!$C$13-1)*EXP(-0.5*(($A604-'Control Room'!$A$13-('Control Room'!$B$13-1)/2)/MAX(0.5,'Control Room'!$B$13/4))^2),1)*IF(AND($A604&gt;='Control Room'!$A$14,$A604&lt;'Control Room'!$A$14+'Control Room'!$B$14,'Process'!BN3=1),1+('Control Room'!$C$14-1)*EXP(-0.5*(($A604-'Control Room'!$A$14-('Control Room'!$B$14-1)/2)/MAX(0.5,'Control Room'!$B$14/4))^2),1)*IF(AND($A604&gt;='Control Room'!$A$15,$A604&lt;'Control Room'!$A$15+'Control Room'!$B$15,'Process'!BN4=1),1+('Control Room'!$C$15-1)*EXP(-0.5*(($A604-'Control Room'!$A$15-('Control Room'!$B$15-1)/2)/MAX(0.5,'Control Room'!$B$15/4))^2),1)*IF(AND($A604&gt;='Control Room'!$A$16,$A604&lt;'Control Room'!$A$16+'Control Room'!$B$16,'Process'!BN5=1),1+('Control Room'!$C$16-1)*EXP(-0.5*(($A604-'Control Room'!$A$16-('Control Room'!$B$16-1)/2)/MAX(0.5,'Control Room'!$B$16/4))^2),1)</x:f>
        <x:v>1</x:v>
      </x:c>
      <x:c r="V604" s="9" t="n">
        <x:f>MOD(W603*16807,2147483647)</x:f>
        <x:v>1026294489</x:v>
      </x:c>
      <x:c r="W604" s="9" t="n">
        <x:f>MOD(V604*16807,2147483647)</x:f>
        <x:v>342823919</x:v>
      </x:c>
      <x:c r="X604" s="17" t="n">
        <x:f>IF('Control Room'!$B$5="Normal",'Control Room'!$B$7+'Control Room'!$D$7*SQRT(-2*LN(MAX(0.000000000001,V604/2147483647)))*COS(2*PI()*W604/2147483647),'Control Room'!$B$8+('Control Room'!$D$8-'Control Room'!$B$8)*V604/2147483647)</x:f>
        <x:v>1058.8105911379175</x:v>
      </x:c>
      <x:c r="Y604" s="17" t="n">
        <x:f>IF('Control Room'!$B$5="Normal",'Control Room'!$B$7,('Control Room'!$B$8+'Control Room'!$D$8)/2)+'Control Room'!$B$9*(Y603-IF('Control Room'!$B$5="Normal",'Control Room'!$B$7,('Control Room'!$B$8+'Control Room'!$D$8)/2))+SQRT(1-'Control Room'!$B$9^2)*(X604-IF('Control Room'!$B$5="Normal",'Control Room'!$B$7,('Control Room'!$B$8+'Control Room'!$D$8)/2))</x:f>
        <x:v>1036.3903562019816</x:v>
      </x:c>
      <x:c r="Z604" s="17" t="n">
        <x:f>IF(AND($A604&gt;='Control Room'!$A$13,$A604&lt;'Control Room'!$A$13+'Control Room'!$B$13,'Process'!BO2=1),1+('Control Room'!$C$13-1)*EXP(-0.5*(($A604-'Control Room'!$A$13-('Control Room'!$B$13-1)/2)/MAX(0.5,'Control Room'!$B$13/4))^2),1)*IF(AND($A604&gt;='Control Room'!$A$14,$A604&lt;'Control Room'!$A$14+'Control Room'!$B$14,'Process'!BO3=1),1+('Control Room'!$C$14-1)*EXP(-0.5*(($A604-'Control Room'!$A$14-('Control Room'!$B$14-1)/2)/MAX(0.5,'Control Room'!$B$14/4))^2),1)*IF(AND($A604&gt;='Control Room'!$A$15,$A604&lt;'Control Room'!$A$15+'Control Room'!$B$15,'Process'!BO4=1),1+('Control Room'!$C$15-1)*EXP(-0.5*(($A604-'Control Room'!$A$15-('Control Room'!$B$15-1)/2)/MAX(0.5,'Control Room'!$B$15/4))^2),1)*IF(AND($A604&gt;='Control Room'!$A$16,$A604&lt;'Control Room'!$A$16+'Control Room'!$B$16,'Process'!BO5=1),1+('Control Room'!$C$16-1)*EXP(-0.5*(($A604-'Control Room'!$A$16-('Control Room'!$B$16-1)/2)/MAX(0.5,'Control Room'!$B$16/4))^2),1)</x:f>
        <x:v>1</x:v>
      </x:c>
      <x:c r="AA604" s="9" t="n">
        <x:f>MOD(AB603*16807,2147483647)</x:f>
        <x:v>1761117816</x:v>
      </x:c>
      <x:c r="AB604" s="9" t="n">
        <x:f>MOD(AA604*16807,2147483647)</x:f>
        <x:v>340026911</x:v>
      </x:c>
      <x:c r="AC604" s="17" t="n">
        <x:f>IF('Control Room'!$B$5="Normal",'Control Room'!$B$7+'Control Room'!$D$7*SQRT(-2*LN(MAX(0.000000000001,AA604/2147483647)))*COS(2*PI()*AB604/2147483647),'Control Room'!$B$8+('Control Room'!$D$8-'Control Room'!$B$8)*AA604/2147483647)</x:f>
        <x:v>1030.8718928787669</x:v>
      </x:c>
      <x:c r="AD604" s="17" t="n">
        <x:f>IF('Control Room'!$B$5="Normal",'Control Room'!$B$7,('Control Room'!$B$8+'Control Room'!$D$8)/2)+'Control Room'!$B$9*(AD603-IF('Control Room'!$B$5="Normal",'Control Room'!$B$7,('Control Room'!$B$8+'Control Room'!$D$8)/2))+SQRT(1-'Control Room'!$B$9^2)*(AC604-IF('Control Room'!$B$5="Normal",'Control Room'!$B$7,('Control Room'!$B$8+'Control Room'!$D$8)/2))</x:f>
        <x:v>991.9055886666978</x:v>
      </x:c>
      <x:c r="AE604" s="17" t="n">
        <x:f>IF(AND($A604&gt;='Control Room'!$A$13,$A604&lt;'Control Room'!$A$13+'Control Room'!$B$13,'Process'!BP2=1),1+('Control Room'!$C$13-1)*EXP(-0.5*(($A604-'Control Room'!$A$13-('Control Room'!$B$13-1)/2)/MAX(0.5,'Control Room'!$B$13/4))^2),1)*IF(AND($A604&gt;='Control Room'!$A$14,$A604&lt;'Control Room'!$A$14+'Control Room'!$B$14,'Process'!BP3=1),1+('Control Room'!$C$14-1)*EXP(-0.5*(($A604-'Control Room'!$A$14-('Control Room'!$B$14-1)/2)/MAX(0.5,'Control Room'!$B$14/4))^2),1)*IF(AND($A604&gt;='Control Room'!$A$15,$A604&lt;'Control Room'!$A$15+'Control Room'!$B$15,'Process'!BP4=1),1+('Control Room'!$C$15-1)*EXP(-0.5*(($A604-'Control Room'!$A$15-('Control Room'!$B$15-1)/2)/MAX(0.5,'Control Room'!$B$15/4))^2),1)*IF(AND($A604&gt;='Control Room'!$A$16,$A604&lt;'Control Room'!$A$16+'Control Room'!$B$16,'Process'!BP5=1),1+('Control Room'!$C$16-1)*EXP(-0.5*(($A604-'Control Room'!$A$16-('Control Room'!$B$16-1)/2)/MAX(0.5,'Control Room'!$B$16/4))^2),1)</x:f>
        <x:v>1</x:v>
      </x:c>
      <x:c r="AF604" s="9" t="n">
        <x:f>MOD(AG603*16807,2147483647)</x:f>
        <x:v>348457496</x:v>
      </x:c>
      <x:c r="AG604" s="9" t="n">
        <x:f>MOD(AF604*16807,2147483647)</x:f>
        <x:v>337229903</x:v>
      </x:c>
      <x:c r="AH604" s="17" t="n">
        <x:f>IF('Control Room'!$B$5="Normal",'Control Room'!$B$7+'Control Room'!$D$7*SQRT(-2*LN(MAX(0.000000000001,AF604/2147483647)))*COS(2*PI()*AG604/2147483647),'Control Room'!$B$8+('Control Room'!$D$8-'Control Room'!$B$8)*AF604/2147483647)</x:f>
        <x:v>1094.653076339337</x:v>
      </x:c>
      <x:c r="AI604" s="17" t="n">
        <x:f>IF('Control Room'!$B$5="Normal",'Control Room'!$B$7,('Control Room'!$B$8+'Control Room'!$D$8)/2)+'Control Room'!$B$9*(AI603-IF('Control Room'!$B$5="Normal",'Control Room'!$B$7,('Control Room'!$B$8+'Control Room'!$D$8)/2))+SQRT(1-'Control Room'!$B$9^2)*(AH604-IF('Control Room'!$B$5="Normal",'Control Room'!$B$7,('Control Room'!$B$8+'Control Room'!$D$8)/2))</x:f>
        <x:v>1281.1783945638558</x:v>
      </x:c>
      <x:c r="AJ604" s="17" t="n">
        <x:f>IF(AND($A604&gt;='Control Room'!$A$13,$A604&lt;'Control Room'!$A$13+'Control Room'!$B$13,'Process'!BQ2=1),1+('Control Room'!$C$13-1)*EXP(-0.5*(($A604-'Control Room'!$A$13-('Control Room'!$B$13-1)/2)/MAX(0.5,'Control Room'!$B$13/4))^2),1)*IF(AND($A604&gt;='Control Room'!$A$14,$A604&lt;'Control Room'!$A$14+'Control Room'!$B$14,'Process'!BQ3=1),1+('Control Room'!$C$14-1)*EXP(-0.5*(($A604-'Control Room'!$A$14-('Control Room'!$B$14-1)/2)/MAX(0.5,'Control Room'!$B$14/4))^2),1)*IF(AND($A604&gt;='Control Room'!$A$15,$A604&lt;'Control Room'!$A$15+'Control Room'!$B$15,'Process'!BQ4=1),1+('Control Room'!$C$15-1)*EXP(-0.5*(($A604-'Control Room'!$A$15-('Control Room'!$B$15-1)/2)/MAX(0.5,'Control Room'!$B$15/4))^2),1)*IF(AND($A604&gt;='Control Room'!$A$16,$A604&lt;'Control Room'!$A$16+'Control Room'!$B$16,'Process'!BQ5=1),1+('Control Room'!$C$16-1)*EXP(-0.5*(($A604-'Control Room'!$A$16-('Control Room'!$B$16-1)/2)/MAX(0.5,'Control Room'!$B$16/4))^2),1)</x:f>
        <x:v>1</x:v>
      </x:c>
      <x:c r="AK604" s="9" t="n">
        <x:f>MOD(AL603*16807,2147483647)</x:f>
        <x:v>1083280823</x:v>
      </x:c>
      <x:c r="AL604" s="9" t="n">
        <x:f>MOD(AK604*16807,2147483647)</x:f>
        <x:v>334432895</x:v>
      </x:c>
      <x:c r="AM604" s="17" t="n">
        <x:f>IF('Control Room'!$B$5="Normal",'Control Room'!$B$7+'Control Room'!$D$7*SQRT(-2*LN(MAX(0.000000000001,AK604/2147483647)))*COS(2*PI()*AL604/2147483647),'Control Room'!$B$8+('Control Room'!$D$8-'Control Room'!$B$8)*AK604/2147483647)</x:f>
        <x:v>1058.7796136046418</x:v>
      </x:c>
      <x:c r="AN604" s="17" t="n">
        <x:f>IF('Control Room'!$B$5="Normal",'Control Room'!$B$7,('Control Room'!$B$8+'Control Room'!$D$8)/2)+'Control Room'!$B$9*(AN603-IF('Control Room'!$B$5="Normal",'Control Room'!$B$7,('Control Room'!$B$8+'Control Room'!$D$8)/2))+SQRT(1-'Control Room'!$B$9^2)*(AM604-IF('Control Room'!$B$5="Normal",'Control Room'!$B$7,('Control Room'!$B$8+'Control Room'!$D$8)/2))</x:f>
        <x:v>975.6823896869744</x:v>
      </x:c>
      <x:c r="AO604" s="17" t="n">
        <x:f>IF(AND($A604&gt;='Control Room'!$A$13,$A604&lt;'Control Room'!$A$13+'Control Room'!$B$13,'Process'!BR2=1),1+('Control Room'!$C$13-1)*EXP(-0.5*(($A604-'Control Room'!$A$13-('Control Room'!$B$13-1)/2)/MAX(0.5,'Control Room'!$B$13/4))^2),1)*IF(AND($A604&gt;='Control Room'!$A$14,$A604&lt;'Control Room'!$A$14+'Control Room'!$B$14,'Process'!BR3=1),1+('Control Room'!$C$14-1)*EXP(-0.5*(($A604-'Control Room'!$A$14-('Control Room'!$B$14-1)/2)/MAX(0.5,'Control Room'!$B$14/4))^2),1)*IF(AND($A604&gt;='Control Room'!$A$15,$A604&lt;'Control Room'!$A$15+'Control Room'!$B$15,'Process'!BR4=1),1+('Control Room'!$C$15-1)*EXP(-0.5*(($A604-'Control Room'!$A$15-('Control Room'!$B$15-1)/2)/MAX(0.5,'Control Room'!$B$15/4))^2),1)*IF(AND($A604&gt;='Control Room'!$A$16,$A604&lt;'Control Room'!$A$16+'Control Room'!$B$16,'Process'!BR5=1),1+('Control Room'!$C$16-1)*EXP(-0.5*(($A604-'Control Room'!$A$16-('Control Room'!$B$16-1)/2)/MAX(0.5,'Control Room'!$B$16/4))^2),1)</x:f>
        <x:v>1</x:v>
      </x:c>
      <x:c r="AP604" s="9" t="n">
        <x:f>MOD(AQ603*16807,2147483647)</x:f>
        <x:v>1818104150</x:v>
      </x:c>
      <x:c r="AQ604" s="9" t="n">
        <x:f>MOD(AP604*16807,2147483647)</x:f>
        <x:v>331635887</x:v>
      </x:c>
      <x:c r="AR604" s="17" t="n">
        <x:f>IF('Control Room'!$B$5="Normal",'Control Room'!$B$7+'Control Room'!$D$7*SQRT(-2*LN(MAX(0.000000000001,AP604/2147483647)))*COS(2*PI()*AQ604/2147483647),'Control Room'!$B$8+('Control Room'!$D$8-'Control Room'!$B$8)*AP604/2147483647)</x:f>
        <x:v>1029.3459736786074</x:v>
      </x:c>
      <x:c r="AS604" s="17" t="n">
        <x:f>IF('Control Room'!$B$5="Normal",'Control Room'!$B$7,('Control Room'!$B$8+'Control Room'!$D$8)/2)+'Control Room'!$B$9*(AS603-IF('Control Room'!$B$5="Normal",'Control Room'!$B$7,('Control Room'!$B$8+'Control Room'!$D$8)/2))+SQRT(1-'Control Room'!$B$9^2)*(AR604-IF('Control Room'!$B$5="Normal",'Control Room'!$B$7,('Control Room'!$B$8+'Control Room'!$D$8)/2))</x:f>
        <x:v>1002.3821417666452</x:v>
      </x:c>
      <x:c r="AT604" s="17" t="n">
        <x:f>IF(AND($A604&gt;='Control Room'!$A$13,$A604&lt;'Control Room'!$A$13+'Control Room'!$B$13,'Process'!BS2=1),1+('Control Room'!$C$13-1)*EXP(-0.5*(($A604-'Control Room'!$A$13-('Control Room'!$B$13-1)/2)/MAX(0.5,'Control Room'!$B$13/4))^2),1)*IF(AND($A604&gt;='Control Room'!$A$14,$A604&lt;'Control Room'!$A$14+'Control Room'!$B$14,'Process'!BS3=1),1+('Control Room'!$C$14-1)*EXP(-0.5*(($A604-'Control Room'!$A$14-('Control Room'!$B$14-1)/2)/MAX(0.5,'Control Room'!$B$14/4))^2),1)*IF(AND($A604&gt;='Control Room'!$A$15,$A604&lt;'Control Room'!$A$15+'Control Room'!$B$15,'Process'!BS4=1),1+('Control Room'!$C$15-1)*EXP(-0.5*(($A604-'Control Room'!$A$15-('Control Room'!$B$15-1)/2)/MAX(0.5,'Control Room'!$B$15/4))^2),1)*IF(AND($A604&gt;='Control Room'!$A$16,$A604&lt;'Control Room'!$A$16+'Control Room'!$B$16,'Process'!BS5=1),1+('Control Room'!$C$16-1)*EXP(-0.5*(($A604-'Control Room'!$A$16-('Control Room'!$B$16-1)/2)/MAX(0.5,'Control Room'!$B$16/4))^2),1)</x:f>
        <x:v>1</x:v>
      </x:c>
      <x:c r="AU604" s="9" t="n">
        <x:f>MOD(AV603*16807,2147483647)</x:f>
        <x:v>405443830</x:v>
      </x:c>
      <x:c r="AV604" s="9" t="n">
        <x:f>MOD(AU604*16807,2147483647)</x:f>
        <x:v>328838879</x:v>
      </x:c>
      <x:c r="AW604" s="17" t="n">
        <x:f>IF('Control Room'!$B$5="Normal",'Control Room'!$B$7+'Control Room'!$D$7*SQRT(-2*LN(MAX(0.000000000001,AU604/2147483647)))*COS(2*PI()*AV604/2147483647),'Control Room'!$B$8+('Control Room'!$D$8-'Control Room'!$B$8)*AU604/2147483647)</x:f>
        <x:v>1093.9635602759765</x:v>
      </x:c>
      <x:c r="AX604" s="17" t="n">
        <x:f>IF('Control Room'!$B$5="Normal",'Control Room'!$B$7,('Control Room'!$B$8+'Control Room'!$D$8)/2)+'Control Room'!$B$9*(AX603-IF('Control Room'!$B$5="Normal",'Control Room'!$B$7,('Control Room'!$B$8+'Control Room'!$D$8)/2))+SQRT(1-'Control Room'!$B$9^2)*(AW604-IF('Control Room'!$B$5="Normal",'Control Room'!$B$7,('Control Room'!$B$8+'Control Room'!$D$8)/2))</x:f>
        <x:v>1088.4275490292841</x:v>
      </x:c>
      <x:c r="AY604" s="17" t="n">
        <x:f>IF(AND($A604&gt;='Control Room'!$A$13,$A604&lt;'Control Room'!$A$13+'Control Room'!$B$13,'Process'!BT2=1),1+('Control Room'!$C$13-1)*EXP(-0.5*(($A604-'Control Room'!$A$13-('Control Room'!$B$13-1)/2)/MAX(0.5,'Control Room'!$B$13/4))^2),1)*IF(AND($A604&gt;='Control Room'!$A$14,$A604&lt;'Control Room'!$A$14+'Control Room'!$B$14,'Process'!BT3=1),1+('Control Room'!$C$14-1)*EXP(-0.5*(($A604-'Control Room'!$A$14-('Control Room'!$B$14-1)/2)/MAX(0.5,'Control Room'!$B$14/4))^2),1)*IF(AND($A604&gt;='Control Room'!$A$15,$A604&lt;'Control Room'!$A$15+'Control Room'!$B$15,'Process'!BT4=1),1+('Control Room'!$C$15-1)*EXP(-0.5*(($A604-'Control Room'!$A$15-('Control Room'!$B$15-1)/2)/MAX(0.5,'Control Room'!$B$15/4))^2),1)*IF(AND($A604&gt;='Control Room'!$A$16,$A604&lt;'Control Room'!$A$16+'Control Room'!$B$16,'Process'!BT5=1),1+('Control Room'!$C$16-1)*EXP(-0.5*(($A604-'Control Room'!$A$16-('Control Room'!$B$16-1)/2)/MAX(0.5,'Control Room'!$B$16/4))^2),1)</x:f>
        <x:v>1</x:v>
      </x:c>
      <x:c r="AZ604" s="9" t="n">
        <x:f>MOD(BA603*16807,2147483647)</x:f>
        <x:v>1140267157</x:v>
      </x:c>
      <x:c r="BA604" s="9" t="n">
        <x:f>MOD(AZ604*16807,2147483647)</x:f>
        <x:v>326041871</x:v>
      </x:c>
      <x:c r="BB604" s="17" t="n">
        <x:f>IF('Control Room'!$B$5="Normal",'Control Room'!$B$7+'Control Room'!$D$7*SQRT(-2*LN(MAX(0.000000000001,AZ604/2147483647)))*COS(2*PI()*BA604/2147483647),'Control Room'!$B$8+('Control Room'!$D$8-'Control Room'!$B$8)*AZ604/2147483647)</x:f>
        <x:v>1058.5803016332336</x:v>
      </x:c>
      <x:c r="BC604" s="17" t="n">
        <x:f>IF('Control Room'!$B$5="Normal",'Control Room'!$B$7,('Control Room'!$B$8+'Control Room'!$D$8)/2)+'Control Room'!$B$9*(BC603-IF('Control Room'!$B$5="Normal",'Control Room'!$B$7,('Control Room'!$B$8+'Control Room'!$D$8)/2))+SQRT(1-'Control Room'!$B$9^2)*(BB604-IF('Control Room'!$B$5="Normal",'Control Room'!$B$7,('Control Room'!$B$8+'Control Room'!$D$8)/2))</x:f>
        <x:v>957.4627162801521</x:v>
      </x:c>
      <x:c r="BD604" s="17" t="n">
        <x:f>IF(AND($A604&gt;='Control Room'!$A$13,$A604&lt;'Control Room'!$A$13+'Control Room'!$B$13,'Process'!BU2=1),1+('Control Room'!$C$13-1)*EXP(-0.5*(($A604-'Control Room'!$A$13-('Control Room'!$B$13-1)/2)/MAX(0.5,'Control Room'!$B$13/4))^2),1)*IF(AND($A604&gt;='Control Room'!$A$14,$A604&lt;'Control Room'!$A$14+'Control Room'!$B$14,'Process'!BU3=1),1+('Control Room'!$C$14-1)*EXP(-0.5*(($A604-'Control Room'!$A$14-('Control Room'!$B$14-1)/2)/MAX(0.5,'Control Room'!$B$14/4))^2),1)*IF(AND($A604&gt;='Control Room'!$A$15,$A604&lt;'Control Room'!$A$15+'Control Room'!$B$15,'Process'!BU4=1),1+('Control Room'!$C$15-1)*EXP(-0.5*(($A604-'Control Room'!$A$15-('Control Room'!$B$15-1)/2)/MAX(0.5,'Control Room'!$B$15/4))^2),1)*IF(AND($A604&gt;='Control Room'!$A$16,$A604&lt;'Control Room'!$A$16+'Control Room'!$B$16,'Process'!BU5=1),1+('Control Room'!$C$16-1)*EXP(-0.5*(($A604-'Control Room'!$A$16-('Control Room'!$B$16-1)/2)/MAX(0.5,'Control Room'!$B$16/4))^2),1)</x:f>
        <x:v>1</x:v>
      </x:c>
      <x:c r="BE604" s="9" t="n">
        <x:f>MOD(BF603*16807,2147483647)</x:f>
        <x:v>1875090484</x:v>
      </x:c>
      <x:c r="BF604" s="9" t="n">
        <x:f>MOD(BE604*16807,2147483647)</x:f>
        <x:v>323244863</x:v>
      </x:c>
      <x:c r="BG604" s="17" t="n">
        <x:f>IF('Control Room'!$B$5="Normal",'Control Room'!$B$7+'Control Room'!$D$7*SQRT(-2*LN(MAX(0.000000000001,BE604/2147483647)))*COS(2*PI()*BF604/2147483647),'Control Room'!$B$8+('Control Room'!$D$8-'Control Room'!$B$8)*BE604/2147483647)</x:f>
        <x:v>1027.4283813570505</x:v>
      </x:c>
      <x:c r="BH604" s="17" t="n">
        <x:f>IF('Control Room'!$B$5="Normal",'Control Room'!$B$7,('Control Room'!$B$8+'Control Room'!$D$8)/2)+'Control Room'!$B$9*(BH603-IF('Control Room'!$B$5="Normal",'Control Room'!$B$7,('Control Room'!$B$8+'Control Room'!$D$8)/2))+SQRT(1-'Control Room'!$B$9^2)*(BG604-IF('Control Room'!$B$5="Normal",'Control Room'!$B$7,('Control Room'!$B$8+'Control Room'!$D$8)/2))</x:f>
        <x:v>1066.3826907980172</x:v>
      </x:c>
      <x:c r="BI604" s="17" t="n">
        <x:f>IF(AND($A604&gt;='Control Room'!$A$13,$A604&lt;'Control Room'!$A$13+'Control Room'!$B$13,'Process'!BV2=1),1+('Control Room'!$C$13-1)*EXP(-0.5*(($A604-'Control Room'!$A$13-('Control Room'!$B$13-1)/2)/MAX(0.5,'Control Room'!$B$13/4))^2),1)*IF(AND($A604&gt;='Control Room'!$A$14,$A604&lt;'Control Room'!$A$14+'Control Room'!$B$14,'Process'!BV3=1),1+('Control Room'!$C$14-1)*EXP(-0.5*(($A604-'Control Room'!$A$14-('Control Room'!$B$14-1)/2)/MAX(0.5,'Control Room'!$B$14/4))^2),1)*IF(AND($A604&gt;='Control Room'!$A$15,$A604&lt;'Control Room'!$A$15+'Control Room'!$B$15,'Process'!BV4=1),1+('Control Room'!$C$15-1)*EXP(-0.5*(($A604-'Control Room'!$A$15-('Control Room'!$B$15-1)/2)/MAX(0.5,'Control Room'!$B$15/4))^2),1)*IF(AND($A604&gt;='Control Room'!$A$16,$A604&lt;'Control Room'!$A$16+'Control Room'!$B$16,'Process'!BV5=1),1+('Control Room'!$C$16-1)*EXP(-0.5*(($A604-'Control Room'!$A$16-('Control Room'!$B$16-1)/2)/MAX(0.5,'Control Room'!$B$16/4))^2),1)</x:f>
        <x:v>1</x:v>
      </x:c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Z604" t="str">
        <x:f>IF('Data'!A604="","",TEXT('Data'!A604,"mm-dd"))</x:f>
      </x:c>
    </x:row>
    <x:row r="605" ht="21" customHeight="1">
      <x:c r="A605" s="15" t="n">
        <x:f>'Control Room'!$B$1+603</x:f>
        <x:v>73594</x:v>
      </x:c>
      <x:c r="B605" s="9" t="n">
        <x:f>MOD(C604*16807,2147483647)</x:f>
        <x:v>1349158267</x:v>
      </x:c>
      <x:c r="C605" s="9" t="n">
        <x:f>MOD(B605*16807,2147483647)</x:f>
        <x:v>23164796</x:v>
      </x:c>
      <x:c r="D605" s="17" t="n">
        <x:f>IF('Control Room'!$B$5="Normal",'Control Room'!$B$7+'Control Room'!$D$7*SQRT(-2*LN(MAX(0.000000000001,B605/2147483647)))*COS(2*PI()*C605/2147483647),'Control Room'!$B$8+('Control Room'!$D$8-'Control Room'!$B$8)*B605/2147483647)</x:f>
        <x:v>1086.5764390809795</x:v>
      </x:c>
      <x:c r="E605" s="17" t="n">
        <x:f>IF('Control Room'!$B$5="Normal",'Control Room'!$B$7,('Control Room'!$B$8+'Control Room'!$D$8)/2)+'Control Room'!$B$9*(E604-IF('Control Room'!$B$5="Normal",'Control Room'!$B$7,('Control Room'!$B$8+'Control Room'!$D$8)/2))+SQRT(1-'Control Room'!$B$9^2)*(D605-IF('Control Room'!$B$5="Normal",'Control Room'!$B$7,('Control Room'!$B$8+'Control Room'!$D$8)/2))</x:f>
        <x:v>1147.8607830070605</x:v>
      </x:c>
      <x:c r="F605" s="17" t="n">
        <x:f>IF(AND($A605&gt;='Control Room'!$A$13,$A605&lt;'Control Room'!$A$13+'Control Room'!$B$13,'Process'!BK2=1),1+('Control Room'!$C$13-1)*EXP(-0.5*(($A605-'Control Room'!$A$13-('Control Room'!$B$13-1)/2)/MAX(0.5,'Control Room'!$B$13/4))^2),1)*IF(AND($A605&gt;='Control Room'!$A$14,$A605&lt;'Control Room'!$A$14+'Control Room'!$B$14,'Process'!BK3=1),1+('Control Room'!$C$14-1)*EXP(-0.5*(($A605-'Control Room'!$A$14-('Control Room'!$B$14-1)/2)/MAX(0.5,'Control Room'!$B$14/4))^2),1)*IF(AND($A605&gt;='Control Room'!$A$15,$A605&lt;'Control Room'!$A$15+'Control Room'!$B$15,'Process'!BK4=1),1+('Control Room'!$C$15-1)*EXP(-0.5*(($A605-'Control Room'!$A$15-('Control Room'!$B$15-1)/2)/MAX(0.5,'Control Room'!$B$15/4))^2),1)*IF(AND($A605&gt;='Control Room'!$A$16,$A605&lt;'Control Room'!$A$16+'Control Room'!$B$16,'Process'!BK5=1),1+('Control Room'!$C$16-1)*EXP(-0.5*(($A605-'Control Room'!$A$16-('Control Room'!$B$16-1)/2)/MAX(0.5,'Control Room'!$B$16/4))^2),1)</x:f>
        <x:v>1</x:v>
      </x:c>
      <x:c r="G605" s="9" t="n">
        <x:f>MOD(H604*16807,2147483647)</x:f>
        <x:v>1584485045</x:v>
      </x:c>
      <x:c r="H605" s="9" t="n">
        <x:f>MOD(G605*16807,2147483647)</x:f>
        <x:v>1642928515</x:v>
      </x:c>
      <x:c r="I605" s="17" t="n">
        <x:f>IF('Control Room'!$B$5="Normal",'Control Room'!$B$7+'Control Room'!$D$7*SQRT(-2*LN(MAX(0.000000000001,G605/2147483647)))*COS(2*PI()*H605/2147483647),'Control Room'!$B$8+('Control Room'!$D$8-'Control Room'!$B$8)*G605/2147483647)</x:f>
        <x:v>1006.6257996949608</x:v>
      </x:c>
      <x:c r="J605" s="17" t="n">
        <x:f>IF('Control Room'!$B$5="Normal",'Control Room'!$B$7,('Control Room'!$B$8+'Control Room'!$D$8)/2)+'Control Room'!$B$9*(J604-IF('Control Room'!$B$5="Normal",'Control Room'!$B$7,('Control Room'!$B$8+'Control Room'!$D$8)/2))+SQRT(1-'Control Room'!$B$9^2)*(I605-IF('Control Room'!$B$5="Normal",'Control Room'!$B$7,('Control Room'!$B$8+'Control Room'!$D$8)/2))</x:f>
        <x:v>1058.8297913620875</x:v>
      </x:c>
      <x:c r="K605" s="17" t="n">
        <x:f>IF(AND($A605&gt;='Control Room'!$A$13,$A605&lt;'Control Room'!$A$13+'Control Room'!$B$13,'Process'!BL2=1),1+('Control Room'!$C$13-1)*EXP(-0.5*(($A605-'Control Room'!$A$13-('Control Room'!$B$13-1)/2)/MAX(0.5,'Control Room'!$B$13/4))^2),1)*IF(AND($A605&gt;='Control Room'!$A$14,$A605&lt;'Control Room'!$A$14+'Control Room'!$B$14,'Process'!BL3=1),1+('Control Room'!$C$14-1)*EXP(-0.5*(($A605-'Control Room'!$A$14-('Control Room'!$B$14-1)/2)/MAX(0.5,'Control Room'!$B$14/4))^2),1)*IF(AND($A605&gt;='Control Room'!$A$15,$A605&lt;'Control Room'!$A$15+'Control Room'!$B$15,'Process'!BL4=1),1+('Control Room'!$C$15-1)*EXP(-0.5*(($A605-'Control Room'!$A$15-('Control Room'!$B$15-1)/2)/MAX(0.5,'Control Room'!$B$15/4))^2),1)*IF(AND($A605&gt;='Control Room'!$A$16,$A605&lt;'Control Room'!$A$16+'Control Room'!$B$16,'Process'!BL5=1),1+('Control Room'!$C$16-1)*EXP(-0.5*(($A605-'Control Room'!$A$16-('Control Room'!$B$16-1)/2)/MAX(0.5,'Control Room'!$B$16/4))^2),1)</x:f>
        <x:v>1</x:v>
      </x:c>
      <x:c r="L605" s="9" t="n">
        <x:f>MOD(M604*16807,2147483647)</x:f>
        <x:v>1819811823</x:v>
      </x:c>
      <x:c r="M605" s="9" t="n">
        <x:f>MOD(L605*16807,2147483647)</x:f>
        <x:v>1115208587</x:v>
      </x:c>
      <x:c r="N605" s="17" t="n">
        <x:f>IF('Control Room'!$B$5="Normal",'Control Room'!$B$7+'Control Room'!$D$7*SQRT(-2*LN(MAX(0.000000000001,L605/2147483647)))*COS(2*PI()*M605/2147483647),'Control Room'!$B$8+('Control Room'!$D$8-'Control Room'!$B$8)*L605/2147483647)</x:f>
        <x:v>948.591398506713</x:v>
      </x:c>
      <x:c r="O605" s="17" t="n">
        <x:f>IF('Control Room'!$B$5="Normal",'Control Room'!$B$7,('Control Room'!$B$8+'Control Room'!$D$8)/2)+'Control Room'!$B$9*(O604-IF('Control Room'!$B$5="Normal",'Control Room'!$B$7,('Control Room'!$B$8+'Control Room'!$D$8)/2))+SQRT(1-'Control Room'!$B$9^2)*(N605-IF('Control Room'!$B$5="Normal",'Control Room'!$B$7,('Control Room'!$B$8+'Control Room'!$D$8)/2))</x:f>
        <x:v>939.2275793726766</x:v>
      </x:c>
      <x:c r="P605" s="17" t="n">
        <x:f>IF(AND($A605&gt;='Control Room'!$A$13,$A605&lt;'Control Room'!$A$13+'Control Room'!$B$13,'Process'!BM2=1),1+('Control Room'!$C$13-1)*EXP(-0.5*(($A605-'Control Room'!$A$13-('Control Room'!$B$13-1)/2)/MAX(0.5,'Control Room'!$B$13/4))^2),1)*IF(AND($A605&gt;='Control Room'!$A$14,$A605&lt;'Control Room'!$A$14+'Control Room'!$B$14,'Process'!BM3=1),1+('Control Room'!$C$14-1)*EXP(-0.5*(($A605-'Control Room'!$A$14-('Control Room'!$B$14-1)/2)/MAX(0.5,'Control Room'!$B$14/4))^2),1)*IF(AND($A605&gt;='Control Room'!$A$15,$A605&lt;'Control Room'!$A$15+'Control Room'!$B$15,'Process'!BM4=1),1+('Control Room'!$C$15-1)*EXP(-0.5*(($A605-'Control Room'!$A$15-('Control Room'!$B$15-1)/2)/MAX(0.5,'Control Room'!$B$15/4))^2),1)*IF(AND($A605&gt;='Control Room'!$A$16,$A605&lt;'Control Room'!$A$16+'Control Room'!$B$16,'Process'!BM5=1),1+('Control Room'!$C$16-1)*EXP(-0.5*(($A605-'Control Room'!$A$16-('Control Room'!$B$16-1)/2)/MAX(0.5,'Control Room'!$B$16/4))^2),1)</x:f>
        <x:v>1</x:v>
      </x:c>
      <x:c r="Q605" s="9" t="n">
        <x:f>MOD(R604*16807,2147483647)</x:f>
        <x:v>2055138601</x:v>
      </x:c>
      <x:c r="R605" s="9" t="n">
        <x:f>MOD(Q605*16807,2147483647)</x:f>
        <x:v>587488659</x:v>
      </x:c>
      <x:c r="S605" s="17" t="n">
        <x:f>IF('Control Room'!$B$5="Normal",'Control Room'!$B$7+'Control Room'!$D$7*SQRT(-2*LN(MAX(0.000000000001,Q605/2147483647)))*COS(2*PI()*R605/2147483647),'Control Room'!$B$8+('Control Room'!$D$8-'Control Room'!$B$8)*Q605/2147483647)</x:f>
        <x:v>996.0625219490981</x:v>
      </x:c>
      <x:c r="T605" s="17" t="n">
        <x:f>IF('Control Room'!$B$5="Normal",'Control Room'!$B$7,('Control Room'!$B$8+'Control Room'!$D$8)/2)+'Control Room'!$B$9*(T604-IF('Control Room'!$B$5="Normal",'Control Room'!$B$7,('Control Room'!$B$8+'Control Room'!$D$8)/2))+SQRT(1-'Control Room'!$B$9^2)*(S605-IF('Control Room'!$B$5="Normal",'Control Room'!$B$7,('Control Room'!$B$8+'Control Room'!$D$8)/2))</x:f>
        <x:v>1045.0846734028455</x:v>
      </x:c>
      <x:c r="U605" s="17" t="n">
        <x:f>IF(AND($A605&gt;='Control Room'!$A$13,$A605&lt;'Control Room'!$A$13+'Control Room'!$B$13,'Process'!BN2=1),1+('Control Room'!$C$13-1)*EXP(-0.5*(($A605-'Control Room'!$A$13-('Control Room'!$B$13-1)/2)/MAX(0.5,'Control Room'!$B$13/4))^2),1)*IF(AND($A605&gt;='Control Room'!$A$14,$A605&lt;'Control Room'!$A$14+'Control Room'!$B$14,'Process'!BN3=1),1+('Control Room'!$C$14-1)*EXP(-0.5*(($A605-'Control Room'!$A$14-('Control Room'!$B$14-1)/2)/MAX(0.5,'Control Room'!$B$14/4))^2),1)*IF(AND($A605&gt;='Control Room'!$A$15,$A605&lt;'Control Room'!$A$15+'Control Room'!$B$15,'Process'!BN4=1),1+('Control Room'!$C$15-1)*EXP(-0.5*(($A605-'Control Room'!$A$15-('Control Room'!$B$15-1)/2)/MAX(0.5,'Control Room'!$B$15/4))^2),1)*IF(AND($A605&gt;='Control Room'!$A$16,$A605&lt;'Control Room'!$A$16+'Control Room'!$B$16,'Process'!BN5=1),1+('Control Room'!$C$16-1)*EXP(-0.5*(($A605-'Control Room'!$A$16-('Control Room'!$B$16-1)/2)/MAX(0.5,'Control Room'!$B$16/4))^2),1)</x:f>
        <x:v>1</x:v>
      </x:c>
      <x:c r="V605" s="9" t="n">
        <x:f>MOD(W604*16807,2147483647)</x:f>
        <x:v>142981732</x:v>
      </x:c>
      <x:c r="W605" s="9" t="n">
        <x:f>MOD(V605*16807,2147483647)</x:f>
        <x:v>59768731</x:v>
      </x:c>
      <x:c r="X605" s="17" t="n">
        <x:f>IF('Control Room'!$B$5="Normal",'Control Room'!$B$7+'Control Room'!$D$7*SQRT(-2*LN(MAX(0.000000000001,V605/2147483647)))*COS(2*PI()*W605/2147483647),'Control Room'!$B$8+('Control Room'!$D$8-'Control Room'!$B$8)*V605/2147483647)</x:f>
        <x:v>1206.3071243479337</x:v>
      </x:c>
      <x:c r="Y605" s="17" t="n">
        <x:f>IF('Control Room'!$B$5="Normal",'Control Room'!$B$7,('Control Room'!$B$8+'Control Room'!$D$8)/2)+'Control Room'!$B$9*(Y604-IF('Control Room'!$B$5="Normal",'Control Room'!$B$7,('Control Room'!$B$8+'Control Room'!$D$8)/2))+SQRT(1-'Control Room'!$B$9^2)*(X605-IF('Control Room'!$B$5="Normal",'Control Room'!$B$7,('Control Room'!$B$8+'Control Room'!$D$8)/2))</x:f>
        <x:v>1157.4872498233133</x:v>
      </x:c>
      <x:c r="Z605" s="17" t="n">
        <x:f>IF(AND($A605&gt;='Control Room'!$A$13,$A605&lt;'Control Room'!$A$13+'Control Room'!$B$13,'Process'!BO2=1),1+('Control Room'!$C$13-1)*EXP(-0.5*(($A605-'Control Room'!$A$13-('Control Room'!$B$13-1)/2)/MAX(0.5,'Control Room'!$B$13/4))^2),1)*IF(AND($A605&gt;='Control Room'!$A$14,$A605&lt;'Control Room'!$A$14+'Control Room'!$B$14,'Process'!BO3=1),1+('Control Room'!$C$14-1)*EXP(-0.5*(($A605-'Control Room'!$A$14-('Control Room'!$B$14-1)/2)/MAX(0.5,'Control Room'!$B$14/4))^2),1)*IF(AND($A605&gt;='Control Room'!$A$15,$A605&lt;'Control Room'!$A$15+'Control Room'!$B$15,'Process'!BO4=1),1+('Control Room'!$C$15-1)*EXP(-0.5*(($A605-'Control Room'!$A$15-('Control Room'!$B$15-1)/2)/MAX(0.5,'Control Room'!$B$15/4))^2),1)*IF(AND($A605&gt;='Control Room'!$A$16,$A605&lt;'Control Room'!$A$16+'Control Room'!$B$16,'Process'!BO5=1),1+('Control Room'!$C$16-1)*EXP(-0.5*(($A605-'Control Room'!$A$16-('Control Room'!$B$16-1)/2)/MAX(0.5,'Control Room'!$B$16/4))^2),1)</x:f>
        <x:v>1</x:v>
      </x:c>
      <x:c r="AA605" s="9" t="n">
        <x:f>MOD(AB604*16807,2147483647)</x:f>
        <x:v>378308510</x:v>
      </x:c>
      <x:c r="AB605" s="9" t="n">
        <x:f>MOD(AA605*16807,2147483647)</x:f>
        <x:v>1679532450</x:v>
      </x:c>
      <x:c r="AC605" s="17" t="n">
        <x:f>IF('Control Room'!$B$5="Normal",'Control Room'!$B$7+'Control Room'!$D$7*SQRT(-2*LN(MAX(0.000000000001,AA605/2147483647)))*COS(2*PI()*AB605/2147483647),'Control Room'!$B$8+('Control Room'!$D$8-'Control Room'!$B$8)*AA605/2147483647)</x:f>
        <x:v>1033.5908827609478</x:v>
      </x:c>
      <x:c r="AD605" s="17" t="n">
        <x:f>IF('Control Room'!$B$5="Normal",'Control Room'!$B$7,('Control Room'!$B$8+'Control Room'!$D$8)/2)+'Control Room'!$B$9*(AD604-IF('Control Room'!$B$5="Normal",'Control Room'!$B$7,('Control Room'!$B$8+'Control Room'!$D$8)/2))+SQRT(1-'Control Room'!$B$9^2)*(AC605-IF('Control Room'!$B$5="Normal",'Control Room'!$B$7,('Control Room'!$B$8+'Control Room'!$D$8)/2))</x:f>
        <x:v>1014.7068454451879</x:v>
      </x:c>
      <x:c r="AE605" s="17" t="n">
        <x:f>IF(AND($A605&gt;='Control Room'!$A$13,$A605&lt;'Control Room'!$A$13+'Control Room'!$B$13,'Process'!BP2=1),1+('Control Room'!$C$13-1)*EXP(-0.5*(($A605-'Control Room'!$A$13-('Control Room'!$B$13-1)/2)/MAX(0.5,'Control Room'!$B$13/4))^2),1)*IF(AND($A605&gt;='Control Room'!$A$14,$A605&lt;'Control Room'!$A$14+'Control Room'!$B$14,'Process'!BP3=1),1+('Control Room'!$C$14-1)*EXP(-0.5*(($A605-'Control Room'!$A$14-('Control Room'!$B$14-1)/2)/MAX(0.5,'Control Room'!$B$14/4))^2),1)*IF(AND($A605&gt;='Control Room'!$A$15,$A605&lt;'Control Room'!$A$15+'Control Room'!$B$15,'Process'!BP4=1),1+('Control Room'!$C$15-1)*EXP(-0.5*(($A605-'Control Room'!$A$15-('Control Room'!$B$15-1)/2)/MAX(0.5,'Control Room'!$B$15/4))^2),1)*IF(AND($A605&gt;='Control Room'!$A$16,$A605&lt;'Control Room'!$A$16+'Control Room'!$B$16,'Process'!BP5=1),1+('Control Room'!$C$16-1)*EXP(-0.5*(($A605-'Control Room'!$A$16-('Control Room'!$B$16-1)/2)/MAX(0.5,'Control Room'!$B$16/4))^2),1)</x:f>
        <x:v>1</x:v>
      </x:c>
      <x:c r="AF605" s="9" t="n">
        <x:f>MOD(AG604*16807,2147483647)</x:f>
        <x:v>613635288</x:v>
      </x:c>
      <x:c r="AG605" s="9" t="n">
        <x:f>MOD(AF605*16807,2147483647)</x:f>
        <x:v>1151812522</x:v>
      </x:c>
      <x:c r="AH605" s="17" t="n">
        <x:f>IF('Control Room'!$B$5="Normal",'Control Room'!$B$7+'Control Room'!$D$7*SQRT(-2*LN(MAX(0.000000000001,AF605/2147483647)))*COS(2*PI()*AG605/2147483647),'Control Room'!$B$8+('Control Room'!$D$8-'Control Room'!$B$8)*AF605/2147483647)</x:f>
        <x:v>861.2469090429478</x:v>
      </x:c>
      <x:c r="AI605" s="17" t="n">
        <x:f>IF('Control Room'!$B$5="Normal",'Control Room'!$B$7,('Control Room'!$B$8+'Control Room'!$D$8)/2)+'Control Room'!$B$9*(AI604-IF('Control Room'!$B$5="Normal",'Control Room'!$B$7,('Control Room'!$B$8+'Control Room'!$D$8)/2))+SQRT(1-'Control Room'!$B$9^2)*(AH605-IF('Control Room'!$B$5="Normal",'Control Room'!$B$7,('Control Room'!$B$8+'Control Room'!$D$8)/2))</x:f>
        <x:v>1132.4903059504568</x:v>
      </x:c>
      <x:c r="AJ605" s="17" t="n">
        <x:f>IF(AND($A605&gt;='Control Room'!$A$13,$A605&lt;'Control Room'!$A$13+'Control Room'!$B$13,'Process'!BQ2=1),1+('Control Room'!$C$13-1)*EXP(-0.5*(($A605-'Control Room'!$A$13-('Control Room'!$B$13-1)/2)/MAX(0.5,'Control Room'!$B$13/4))^2),1)*IF(AND($A605&gt;='Control Room'!$A$14,$A605&lt;'Control Room'!$A$14+'Control Room'!$B$14,'Process'!BQ3=1),1+('Control Room'!$C$14-1)*EXP(-0.5*(($A605-'Control Room'!$A$14-('Control Room'!$B$14-1)/2)/MAX(0.5,'Control Room'!$B$14/4))^2),1)*IF(AND($A605&gt;='Control Room'!$A$15,$A605&lt;'Control Room'!$A$15+'Control Room'!$B$15,'Process'!BQ4=1),1+('Control Room'!$C$15-1)*EXP(-0.5*(($A605-'Control Room'!$A$15-('Control Room'!$B$15-1)/2)/MAX(0.5,'Control Room'!$B$15/4))^2),1)*IF(AND($A605&gt;='Control Room'!$A$16,$A605&lt;'Control Room'!$A$16+'Control Room'!$B$16,'Process'!BQ5=1),1+('Control Room'!$C$16-1)*EXP(-0.5*(($A605-'Control Room'!$A$16-('Control Room'!$B$16-1)/2)/MAX(0.5,'Control Room'!$B$16/4))^2),1)</x:f>
        <x:v>1</x:v>
      </x:c>
      <x:c r="AK605" s="9" t="n">
        <x:f>MOD(AL604*16807,2147483647)</x:f>
        <x:v>848962066</x:v>
      </x:c>
      <x:c r="AL605" s="9" t="n">
        <x:f>MOD(AK605*16807,2147483647)</x:f>
        <x:v>624092594</x:v>
      </x:c>
      <x:c r="AM605" s="17" t="n">
        <x:f>IF('Control Room'!$B$5="Normal",'Control Room'!$B$7+'Control Room'!$D$7*SQRT(-2*LN(MAX(0.000000000001,AK605/2147483647)))*COS(2*PI()*AL605/2147483647),'Control Room'!$B$8+('Control Room'!$D$8-'Control Room'!$B$8)*AK605/2147483647)</x:f>
        <x:v>969.047869593507</x:v>
      </x:c>
      <x:c r="AN605" s="17" t="n">
        <x:f>IF('Control Room'!$B$5="Normal",'Control Room'!$B$7,('Control Room'!$B$8+'Control Room'!$D$8)/2)+'Control Room'!$B$9*(AN604-IF('Control Room'!$B$5="Normal",'Control Room'!$B$7,('Control Room'!$B$8+'Control Room'!$D$8)/2))+SQRT(1-'Control Room'!$B$9^2)*(AM605-IF('Control Room'!$B$5="Normal",'Control Room'!$B$7,('Control Room'!$B$8+'Control Room'!$D$8)/2))</x:f>
        <x:v>961.6630548363139</x:v>
      </x:c>
      <x:c r="AO605" s="17" t="n">
        <x:f>IF(AND($A605&gt;='Control Room'!$A$13,$A605&lt;'Control Room'!$A$13+'Control Room'!$B$13,'Process'!BR2=1),1+('Control Room'!$C$13-1)*EXP(-0.5*(($A605-'Control Room'!$A$13-('Control Room'!$B$13-1)/2)/MAX(0.5,'Control Room'!$B$13/4))^2),1)*IF(AND($A605&gt;='Control Room'!$A$14,$A605&lt;'Control Room'!$A$14+'Control Room'!$B$14,'Process'!BR3=1),1+('Control Room'!$C$14-1)*EXP(-0.5*(($A605-'Control Room'!$A$14-('Control Room'!$B$14-1)/2)/MAX(0.5,'Control Room'!$B$14/4))^2),1)*IF(AND($A605&gt;='Control Room'!$A$15,$A605&lt;'Control Room'!$A$15+'Control Room'!$B$15,'Process'!BR4=1),1+('Control Room'!$C$15-1)*EXP(-0.5*(($A605-'Control Room'!$A$15-('Control Room'!$B$15-1)/2)/MAX(0.5,'Control Room'!$B$15/4))^2),1)*IF(AND($A605&gt;='Control Room'!$A$16,$A605&lt;'Control Room'!$A$16+'Control Room'!$B$16,'Process'!BR5=1),1+('Control Room'!$C$16-1)*EXP(-0.5*(($A605-'Control Room'!$A$16-('Control Room'!$B$16-1)/2)/MAX(0.5,'Control Room'!$B$16/4))^2),1)</x:f>
        <x:v>1</x:v>
      </x:c>
      <x:c r="AP605" s="9" t="n">
        <x:f>MOD(AQ604*16807,2147483647)</x:f>
        <x:v>1084288844</x:v>
      </x:c>
      <x:c r="AQ605" s="9" t="n">
        <x:f>MOD(AP605*16807,2147483647)</x:f>
        <x:v>96372666</x:v>
      </x:c>
      <x:c r="AR605" s="17" t="n">
        <x:f>IF('Control Room'!$B$5="Normal",'Control Room'!$B$7+'Control Room'!$D$7*SQRT(-2*LN(MAX(0.000000000001,AP605/2147483647)))*COS(2*PI()*AQ605/2147483647),'Control Room'!$B$8+('Control Room'!$D$8-'Control Room'!$B$8)*AP605/2147483647)</x:f>
        <x:v>1101.0619474753191</x:v>
      </x:c>
      <x:c r="AS605" s="17" t="n">
        <x:f>IF('Control Room'!$B$5="Normal",'Control Room'!$B$7,('Control Room'!$B$8+'Control Room'!$D$8)/2)+'Control Room'!$B$9*(AS604-IF('Control Room'!$B$5="Normal",'Control Room'!$B$7,('Control Room'!$B$8+'Control Room'!$D$8)/2))+SQRT(1-'Control Room'!$B$9^2)*(AR605-IF('Control Room'!$B$5="Normal",'Control Room'!$B$7,('Control Room'!$B$8+'Control Room'!$D$8)/2))</x:f>
        <x:v>1065.1005669415094</x:v>
      </x:c>
      <x:c r="AT605" s="17" t="n">
        <x:f>IF(AND($A605&gt;='Control Room'!$A$13,$A605&lt;'Control Room'!$A$13+'Control Room'!$B$13,'Process'!BS2=1),1+('Control Room'!$C$13-1)*EXP(-0.5*(($A605-'Control Room'!$A$13-('Control Room'!$B$13-1)/2)/MAX(0.5,'Control Room'!$B$13/4))^2),1)*IF(AND($A605&gt;='Control Room'!$A$14,$A605&lt;'Control Room'!$A$14+'Control Room'!$B$14,'Process'!BS3=1),1+('Control Room'!$C$14-1)*EXP(-0.5*(($A605-'Control Room'!$A$14-('Control Room'!$B$14-1)/2)/MAX(0.5,'Control Room'!$B$14/4))^2),1)*IF(AND($A605&gt;='Control Room'!$A$15,$A605&lt;'Control Room'!$A$15+'Control Room'!$B$15,'Process'!BS4=1),1+('Control Room'!$C$15-1)*EXP(-0.5*(($A605-'Control Room'!$A$15-('Control Room'!$B$15-1)/2)/MAX(0.5,'Control Room'!$B$15/4))^2),1)*IF(AND($A605&gt;='Control Room'!$A$16,$A605&lt;'Control Room'!$A$16+'Control Room'!$B$16,'Process'!BS5=1),1+('Control Room'!$C$16-1)*EXP(-0.5*(($A605-'Control Room'!$A$16-('Control Room'!$B$16-1)/2)/MAX(0.5,'Control Room'!$B$16/4))^2),1)</x:f>
        <x:v>1</x:v>
      </x:c>
      <x:c r="AU605" s="9" t="n">
        <x:f>MOD(AV604*16807,2147483647)</x:f>
        <x:v>1319615622</x:v>
      </x:c>
      <x:c r="AV605" s="9" t="n">
        <x:f>MOD(AU605*16807,2147483647)</x:f>
        <x:v>1716136385</x:v>
      </x:c>
      <x:c r="AW605" s="17" t="n">
        <x:f>IF('Control Room'!$B$5="Normal",'Control Room'!$B$7+'Control Room'!$D$7*SQRT(-2*LN(MAX(0.000000000001,AU605/2147483647)))*COS(2*PI()*AV605/2147483647),'Control Room'!$B$8+('Control Room'!$D$8-'Control Room'!$B$8)*AU605/2147483647)</x:f>
        <x:v>1026.9886085827063</x:v>
      </x:c>
      <x:c r="AX605" s="17" t="n">
        <x:f>IF('Control Room'!$B$5="Normal",'Control Room'!$B$7,('Control Room'!$B$8+'Control Room'!$D$8)/2)+'Control Room'!$B$9*(AX604-IF('Control Room'!$B$5="Normal",'Control Room'!$B$7,('Control Room'!$B$8+'Control Room'!$D$8)/2))+SQRT(1-'Control Room'!$B$9^2)*(AW605-IF('Control Room'!$B$5="Normal",'Control Room'!$B$7,('Control Room'!$B$8+'Control Room'!$D$8)/2))</x:f>
        <x:v>1085.8624066022</x:v>
      </x:c>
      <x:c r="AY605" s="17" t="n">
        <x:f>IF(AND($A605&gt;='Control Room'!$A$13,$A605&lt;'Control Room'!$A$13+'Control Room'!$B$13,'Process'!BT2=1),1+('Control Room'!$C$13-1)*EXP(-0.5*(($A605-'Control Room'!$A$13-('Control Room'!$B$13-1)/2)/MAX(0.5,'Control Room'!$B$13/4))^2),1)*IF(AND($A605&gt;='Control Room'!$A$14,$A605&lt;'Control Room'!$A$14+'Control Room'!$B$14,'Process'!BT3=1),1+('Control Room'!$C$14-1)*EXP(-0.5*(($A605-'Control Room'!$A$14-('Control Room'!$B$14-1)/2)/MAX(0.5,'Control Room'!$B$14/4))^2),1)*IF(AND($A605&gt;='Control Room'!$A$15,$A605&lt;'Control Room'!$A$15+'Control Room'!$B$15,'Process'!BT4=1),1+('Control Room'!$C$15-1)*EXP(-0.5*(($A605-'Control Room'!$A$15-('Control Room'!$B$15-1)/2)/MAX(0.5,'Control Room'!$B$15/4))^2),1)*IF(AND($A605&gt;='Control Room'!$A$16,$A605&lt;'Control Room'!$A$16+'Control Room'!$B$16,'Process'!BT5=1),1+('Control Room'!$C$16-1)*EXP(-0.5*(($A605-'Control Room'!$A$16-('Control Room'!$B$16-1)/2)/MAX(0.5,'Control Room'!$B$16/4))^2),1)</x:f>
        <x:v>1</x:v>
      </x:c>
      <x:c r="AZ605" s="9" t="n">
        <x:f>MOD(BA604*16807,2147483647)</x:f>
        <x:v>1554942400</x:v>
      </x:c>
      <x:c r="BA605" s="9" t="n">
        <x:f>MOD(AZ605*16807,2147483647)</x:f>
        <x:v>1188416457</x:v>
      </x:c>
      <x:c r="BB605" s="17" t="n">
        <x:f>IF('Control Room'!$B$5="Normal",'Control Room'!$B$7+'Control Room'!$D$7*SQRT(-2*LN(MAX(0.000000000001,AZ605/2147483647)))*COS(2*PI()*BA605/2147483647),'Control Room'!$B$8+('Control Room'!$D$8-'Control Room'!$B$8)*AZ605/2147483647)</x:f>
        <x:v>931.7118079022873</x:v>
      </x:c>
      <x:c r="BC605" s="17" t="n">
        <x:f>IF('Control Room'!$B$5="Normal",'Control Room'!$B$7,('Control Room'!$B$8+'Control Room'!$D$8)/2)+'Control Room'!$B$9*(BC604-IF('Control Room'!$B$5="Normal",'Control Room'!$B$7,('Control Room'!$B$8+'Control Room'!$D$8)/2))+SQRT(1-'Control Room'!$B$9^2)*(BB605-IF('Control Room'!$B$5="Normal",'Control Room'!$B$7,('Control Room'!$B$8+'Control Room'!$D$8)/2))</x:f>
        <x:v>924.0875670434255</x:v>
      </x:c>
      <x:c r="BD605" s="17" t="n">
        <x:f>IF(AND($A605&gt;='Control Room'!$A$13,$A605&lt;'Control Room'!$A$13+'Control Room'!$B$13,'Process'!BU2=1),1+('Control Room'!$C$13-1)*EXP(-0.5*(($A605-'Control Room'!$A$13-('Control Room'!$B$13-1)/2)/MAX(0.5,'Control Room'!$B$13/4))^2),1)*IF(AND($A605&gt;='Control Room'!$A$14,$A605&lt;'Control Room'!$A$14+'Control Room'!$B$14,'Process'!BU3=1),1+('Control Room'!$C$14-1)*EXP(-0.5*(($A605-'Control Room'!$A$14-('Control Room'!$B$14-1)/2)/MAX(0.5,'Control Room'!$B$14/4))^2),1)*IF(AND($A605&gt;='Control Room'!$A$15,$A605&lt;'Control Room'!$A$15+'Control Room'!$B$15,'Process'!BU4=1),1+('Control Room'!$C$15-1)*EXP(-0.5*(($A605-'Control Room'!$A$15-('Control Room'!$B$15-1)/2)/MAX(0.5,'Control Room'!$B$15/4))^2),1)*IF(AND($A605&gt;='Control Room'!$A$16,$A605&lt;'Control Room'!$A$16+'Control Room'!$B$16,'Process'!BU5=1),1+('Control Room'!$C$16-1)*EXP(-0.5*(($A605-'Control Room'!$A$16-('Control Room'!$B$16-1)/2)/MAX(0.5,'Control Room'!$B$16/4))^2),1)</x:f>
        <x:v>1</x:v>
      </x:c>
      <x:c r="BE605" s="9" t="n">
        <x:f>MOD(BF604*16807,2147483647)</x:f>
        <x:v>1790269178</x:v>
      </x:c>
      <x:c r="BF605" s="9" t="n">
        <x:f>MOD(BE605*16807,2147483647)</x:f>
        <x:v>660696529</x:v>
      </x:c>
      <x:c r="BG605" s="17" t="n">
        <x:f>IF('Control Room'!$B$5="Normal",'Control Room'!$B$7+'Control Room'!$D$7*SQRT(-2*LN(MAX(0.000000000001,BE605/2147483647)))*COS(2*PI()*BF605/2147483647),'Control Room'!$B$8+('Control Room'!$D$8-'Control Room'!$B$8)*BE605/2147483647)</x:f>
        <x:v>980.7589614390746</x:v>
      </x:c>
      <x:c r="BH605" s="17" t="n">
        <x:f>IF('Control Room'!$B$5="Normal",'Control Room'!$B$7,('Control Room'!$B$8+'Control Room'!$D$8)/2)+'Control Room'!$B$9*(BH604-IF('Control Room'!$B$5="Normal",'Control Room'!$B$7,('Control Room'!$B$8+'Control Room'!$D$8)/2))+SQRT(1-'Control Room'!$B$9^2)*(BG605-IF('Control Room'!$B$5="Normal",'Control Room'!$B$7,('Control Room'!$B$8+'Control Room'!$D$8)/2))</x:f>
        <x:v>1039.7378510651265</x:v>
      </x:c>
      <x:c r="BI605" s="17" t="n">
        <x:f>IF(AND($A605&gt;='Control Room'!$A$13,$A605&lt;'Control Room'!$A$13+'Control Room'!$B$13,'Process'!BV2=1),1+('Control Room'!$C$13-1)*EXP(-0.5*(($A605-'Control Room'!$A$13-('Control Room'!$B$13-1)/2)/MAX(0.5,'Control Room'!$B$13/4))^2),1)*IF(AND($A605&gt;='Control Room'!$A$14,$A605&lt;'Control Room'!$A$14+'Control Room'!$B$14,'Process'!BV3=1),1+('Control Room'!$C$14-1)*EXP(-0.5*(($A605-'Control Room'!$A$14-('Control Room'!$B$14-1)/2)/MAX(0.5,'Control Room'!$B$14/4))^2),1)*IF(AND($A605&gt;='Control Room'!$A$15,$A605&lt;'Control Room'!$A$15+'Control Room'!$B$15,'Process'!BV4=1),1+('Control Room'!$C$15-1)*EXP(-0.5*(($A605-'Control Room'!$A$15-('Control Room'!$B$15-1)/2)/MAX(0.5,'Control Room'!$B$15/4))^2),1)*IF(AND($A605&gt;='Control Room'!$A$16,$A605&lt;'Control Room'!$A$16+'Control Room'!$B$16,'Process'!BV5=1),1+('Control Room'!$C$16-1)*EXP(-0.5*(($A605-'Control Room'!$A$16-('Control Room'!$B$16-1)/2)/MAX(0.5,'Control Room'!$B$16/4))^2),1)</x:f>
        <x:v>1</x:v>
      </x:c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Z605" t="str">
        <x:f>IF('Data'!A605="","",TEXT('Data'!A605,"mm-dd"))</x:f>
      </x:c>
    </x:row>
    <x:row r="606" ht="21" customHeight="1">
      <x:c r="A606" s="15" t="n">
        <x:f>'Control Room'!$B$1+604</x:f>
        <x:v>73595</x:v>
      </x:c>
      <x:c r="B606" s="9" t="n">
        <x:f>MOD(C605*16807,2147483647)</x:f>
        <x:v>636186265</x:v>
      </x:c>
      <x:c r="C606" s="9" t="n">
        <x:f>MOD(B606*16807,2147483647)</x:f>
        <x:v>61477442</x:v>
      </x:c>
      <x:c r="D606" s="17" t="n">
        <x:f>IF('Control Room'!$B$5="Normal",'Control Room'!$B$7+'Control Room'!$D$7*SQRT(-2*LN(MAX(0.000000000001,B606/2147483647)))*COS(2*PI()*C606/2147483647),'Control Room'!$B$8+('Control Room'!$D$8-'Control Room'!$B$8)*B606/2147483647)</x:f>
        <x:v>1138.1212609348686</x:v>
      </x:c>
      <x:c r="E606" s="17" t="n">
        <x:f>IF('Control Room'!$B$5="Normal",'Control Room'!$B$7,('Control Room'!$B$8+'Control Room'!$D$8)/2)+'Control Room'!$B$9*(E605-IF('Control Room'!$B$5="Normal",'Control Room'!$B$7,('Control Room'!$B$8+'Control Room'!$D$8)/2))+SQRT(1-'Control Room'!$B$9^2)*(D606-IF('Control Room'!$B$5="Normal",'Control Room'!$B$7,('Control Room'!$B$8+'Control Room'!$D$8)/2))</x:f>
        <x:v>1201.764866270717</x:v>
      </x:c>
      <x:c r="F606" s="17" t="n">
        <x:f>IF(AND($A606&gt;='Control Room'!$A$13,$A606&lt;'Control Room'!$A$13+'Control Room'!$B$13,'Process'!BK2=1),1+('Control Room'!$C$13-1)*EXP(-0.5*(($A606-'Control Room'!$A$13-('Control Room'!$B$13-1)/2)/MAX(0.5,'Control Room'!$B$13/4))^2),1)*IF(AND($A606&gt;='Control Room'!$A$14,$A606&lt;'Control Room'!$A$14+'Control Room'!$B$14,'Process'!BK3=1),1+('Control Room'!$C$14-1)*EXP(-0.5*(($A606-'Control Room'!$A$14-('Control Room'!$B$14-1)/2)/MAX(0.5,'Control Room'!$B$14/4))^2),1)*IF(AND($A606&gt;='Control Room'!$A$15,$A606&lt;'Control Room'!$A$15+'Control Room'!$B$15,'Process'!BK4=1),1+('Control Room'!$C$15-1)*EXP(-0.5*(($A606-'Control Room'!$A$15-('Control Room'!$B$15-1)/2)/MAX(0.5,'Control Room'!$B$15/4))^2),1)*IF(AND($A606&gt;='Control Room'!$A$16,$A606&lt;'Control Room'!$A$16+'Control Room'!$B$16,'Process'!BK5=1),1+('Control Room'!$C$16-1)*EXP(-0.5*(($A606-'Control Room'!$A$16-('Control Room'!$B$16-1)/2)/MAX(0.5,'Control Room'!$B$16/4))^2),1)</x:f>
        <x:v>1</x:v>
      </x:c>
      <x:c r="G606" s="9" t="n">
        <x:f>MOD(H605*16807,2147483647)</x:f>
        <x:v>354818479</x:v>
      </x:c>
      <x:c r="H606" s="9" t="n">
        <x:f>MOD(G606*16807,2147483647)</x:f>
        <x:v>2019572481</x:v>
      </x:c>
      <x:c r="I606" s="17" t="n">
        <x:f>IF('Control Room'!$B$5="Normal",'Control Room'!$B$7+'Control Room'!$D$7*SQRT(-2*LN(MAX(0.000000000001,G606/2147483647)))*COS(2*PI()*H606/2147483647),'Control Room'!$B$8+('Control Room'!$D$8-'Control Room'!$B$8)*G606/2147483647)</x:f>
        <x:v>1158.9629890541676</x:v>
      </x:c>
      <x:c r="J606" s="17" t="n">
        <x:f>IF('Control Room'!$B$5="Normal",'Control Room'!$B$7,('Control Room'!$B$8+'Control Room'!$D$8)/2)+'Control Room'!$B$9*(J605-IF('Control Room'!$B$5="Normal",'Control Room'!$B$7,('Control Room'!$B$8+'Control Room'!$D$8)/2))+SQRT(1-'Control Room'!$B$9^2)*(I606-IF('Control Room'!$B$5="Normal",'Control Room'!$B$7,('Control Room'!$B$8+'Control Room'!$D$8)/2))</x:f>
        <x:v>1145.3630192786873</x:v>
      </x:c>
      <x:c r="K606" s="17" t="n">
        <x:f>IF(AND($A606&gt;='Control Room'!$A$13,$A606&lt;'Control Room'!$A$13+'Control Room'!$B$13,'Process'!BL2=1),1+('Control Room'!$C$13-1)*EXP(-0.5*(($A606-'Control Room'!$A$13-('Control Room'!$B$13-1)/2)/MAX(0.5,'Control Room'!$B$13/4))^2),1)*IF(AND($A606&gt;='Control Room'!$A$14,$A606&lt;'Control Room'!$A$14+'Control Room'!$B$14,'Process'!BL3=1),1+('Control Room'!$C$14-1)*EXP(-0.5*(($A606-'Control Room'!$A$14-('Control Room'!$B$14-1)/2)/MAX(0.5,'Control Room'!$B$14/4))^2),1)*IF(AND($A606&gt;='Control Room'!$A$15,$A606&lt;'Control Room'!$A$15+'Control Room'!$B$15,'Process'!BL4=1),1+('Control Room'!$C$15-1)*EXP(-0.5*(($A606-'Control Room'!$A$15-('Control Room'!$B$15-1)/2)/MAX(0.5,'Control Room'!$B$15/4))^2),1)*IF(AND($A606&gt;='Control Room'!$A$16,$A606&lt;'Control Room'!$A$16+'Control Room'!$B$16,'Process'!BL5=1),1+('Control Room'!$C$16-1)*EXP(-0.5*(($A606-'Control Room'!$A$16-('Control Room'!$B$16-1)/2)/MAX(0.5,'Control Room'!$B$16/4))^2),1)</x:f>
        <x:v>1</x:v>
      </x:c>
      <x:c r="L606" s="9" t="n">
        <x:f>MOD(M605*16807,2147483647)</x:f>
        <x:v>73450693</x:v>
      </x:c>
      <x:c r="M606" s="9" t="n">
        <x:f>MOD(L606*16807,2147483647)</x:f>
        <x:v>1830183873</x:v>
      </x:c>
      <x:c r="N606" s="17" t="n">
        <x:f>IF('Control Room'!$B$5="Normal",'Control Room'!$B$7+'Control Room'!$D$7*SQRT(-2*LN(MAX(0.000000000001,L606/2147483647)))*COS(2*PI()*M606/2147483647),'Control Room'!$B$8+('Control Room'!$D$8-'Control Room'!$B$8)*L606/2147483647)</x:f>
        <x:v>1140.104601374742</x:v>
      </x:c>
      <x:c r="O606" s="17" t="n">
        <x:f>IF('Control Room'!$B$5="Normal",'Control Room'!$B$7,('Control Room'!$B$8+'Control Room'!$D$8)/2)+'Control Room'!$B$9*(O605-IF('Control Room'!$B$5="Normal",'Control Room'!$B$7,('Control Room'!$B$8+'Control Room'!$D$8)/2))+SQRT(1-'Control Room'!$B$9^2)*(N606-IF('Control Room'!$B$5="Normal",'Control Room'!$B$7,('Control Room'!$B$8+'Control Room'!$D$8)/2))</x:f>
        <x:v>1040.272101252233</x:v>
      </x:c>
      <x:c r="P606" s="17" t="n">
        <x:f>IF(AND($A606&gt;='Control Room'!$A$13,$A606&lt;'Control Room'!$A$13+'Control Room'!$B$13,'Process'!BM2=1),1+('Control Room'!$C$13-1)*EXP(-0.5*(($A606-'Control Room'!$A$13-('Control Room'!$B$13-1)/2)/MAX(0.5,'Control Room'!$B$13/4))^2),1)*IF(AND($A606&gt;='Control Room'!$A$14,$A606&lt;'Control Room'!$A$14+'Control Room'!$B$14,'Process'!BM3=1),1+('Control Room'!$C$14-1)*EXP(-0.5*(($A606-'Control Room'!$A$14-('Control Room'!$B$14-1)/2)/MAX(0.5,'Control Room'!$B$14/4))^2),1)*IF(AND($A606&gt;='Control Room'!$A$15,$A606&lt;'Control Room'!$A$15+'Control Room'!$B$15,'Process'!BM4=1),1+('Control Room'!$C$15-1)*EXP(-0.5*(($A606-'Control Room'!$A$15-('Control Room'!$B$15-1)/2)/MAX(0.5,'Control Room'!$B$15/4))^2),1)*IF(AND($A606&gt;='Control Room'!$A$16,$A606&lt;'Control Room'!$A$16+'Control Room'!$B$16,'Process'!BM5=1),1+('Control Room'!$C$16-1)*EXP(-0.5*(($A606-'Control Room'!$A$16-('Control Room'!$B$16-1)/2)/MAX(0.5,'Control Room'!$B$16/4))^2),1)</x:f>
        <x:v>1</x:v>
      </x:c>
      <x:c r="Q606" s="9" t="n">
        <x:f>MOD(R605*16807,2147483647)</x:f>
        <x:v>1939566554</x:v>
      </x:c>
      <x:c r="R606" s="9" t="n">
        <x:f>MOD(Q606*16807,2147483647)</x:f>
        <x:v>1640795265</x:v>
      </x:c>
      <x:c r="S606" s="17" t="n">
        <x:f>IF('Control Room'!$B$5="Normal",'Control Room'!$B$7+'Control Room'!$D$7*SQRT(-2*LN(MAX(0.000000000001,Q606/2147483647)))*COS(2*PI()*R606/2147483647),'Control Room'!$B$8+('Control Room'!$D$8-'Control Room'!$B$8)*Q606/2147483647)</x:f>
        <x:v>1003.5821285715843</x:v>
      </x:c>
      <x:c r="T606" s="17" t="n">
        <x:f>IF('Control Room'!$B$5="Normal",'Control Room'!$B$7,('Control Room'!$B$8+'Control Room'!$D$8)/2)+'Control Room'!$B$9*(T605-IF('Control Room'!$B$5="Normal",'Control Room'!$B$7,('Control Room'!$B$8+'Control Room'!$D$8)/2))+SQRT(1-'Control Room'!$B$9^2)*(S606-IF('Control Room'!$B$5="Normal",'Control Room'!$B$7,('Control Room'!$B$8+'Control Room'!$D$8)/2))</x:f>
        <x:v>1037.4076679304244</x:v>
      </x:c>
      <x:c r="U606" s="17" t="n">
        <x:f>IF(AND($A606&gt;='Control Room'!$A$13,$A606&lt;'Control Room'!$A$13+'Control Room'!$B$13,'Process'!BN2=1),1+('Control Room'!$C$13-1)*EXP(-0.5*(($A606-'Control Room'!$A$13-('Control Room'!$B$13-1)/2)/MAX(0.5,'Control Room'!$B$13/4))^2),1)*IF(AND($A606&gt;='Control Room'!$A$14,$A606&lt;'Control Room'!$A$14+'Control Room'!$B$14,'Process'!BN3=1),1+('Control Room'!$C$14-1)*EXP(-0.5*(($A606-'Control Room'!$A$14-('Control Room'!$B$14-1)/2)/MAX(0.5,'Control Room'!$B$14/4))^2),1)*IF(AND($A606&gt;='Control Room'!$A$15,$A606&lt;'Control Room'!$A$15+'Control Room'!$B$15,'Process'!BN4=1),1+('Control Room'!$C$15-1)*EXP(-0.5*(($A606-'Control Room'!$A$15-('Control Room'!$B$15-1)/2)/MAX(0.5,'Control Room'!$B$15/4))^2),1)*IF(AND($A606&gt;='Control Room'!$A$16,$A606&lt;'Control Room'!$A$16+'Control Room'!$B$16,'Process'!BN5=1),1+('Control Room'!$C$16-1)*EXP(-0.5*(($A606-'Control Room'!$A$16-('Control Room'!$B$16-1)/2)/MAX(0.5,'Control Room'!$B$16/4))^2),1)</x:f>
        <x:v>1</x:v>
      </x:c>
      <x:c r="V606" s="9" t="n">
        <x:f>MOD(W605*16807,2147483647)</x:f>
        <x:v>1658198768</x:v>
      </x:c>
      <x:c r="W606" s="9" t="n">
        <x:f>MOD(V606*16807,2147483647)</x:f>
        <x:v>1451406657</x:v>
      </x:c>
      <x:c r="X606" s="17" t="n">
        <x:f>IF('Control Room'!$B$5="Normal",'Control Room'!$B$7+'Control Room'!$D$7*SQRT(-2*LN(MAX(0.000000000001,V606/2147483647)))*COS(2*PI()*W606/2147483647),'Control Room'!$B$8+('Control Room'!$D$8-'Control Room'!$B$8)*V606/2147483647)</x:f>
        <x:v>970.9309276646399</x:v>
      </x:c>
      <x:c r="Y606" s="17" t="n">
        <x:f>IF('Control Room'!$B$5="Normal",'Control Room'!$B$7,('Control Room'!$B$8+'Control Room'!$D$8)/2)+'Control Room'!$B$9*(Y605-IF('Control Room'!$B$5="Normal",'Control Room'!$B$7,('Control Room'!$B$8+'Control Room'!$D$8)/2))+SQRT(1-'Control Room'!$B$9^2)*(X606-IF('Control Room'!$B$5="Normal",'Control Room'!$B$7,('Control Room'!$B$8+'Control Room'!$D$8)/2))</x:f>
        <x:v>1104.6492249070318</x:v>
      </x:c>
      <x:c r="Z606" s="17" t="n">
        <x:f>IF(AND($A606&gt;='Control Room'!$A$13,$A606&lt;'Control Room'!$A$13+'Control Room'!$B$13,'Process'!BO2=1),1+('Control Room'!$C$13-1)*EXP(-0.5*(($A606-'Control Room'!$A$13-('Control Room'!$B$13-1)/2)/MAX(0.5,'Control Room'!$B$13/4))^2),1)*IF(AND($A606&gt;='Control Room'!$A$14,$A606&lt;'Control Room'!$A$14+'Control Room'!$B$14,'Process'!BO3=1),1+('Control Room'!$C$14-1)*EXP(-0.5*(($A606-'Control Room'!$A$14-('Control Room'!$B$14-1)/2)/MAX(0.5,'Control Room'!$B$14/4))^2),1)*IF(AND($A606&gt;='Control Room'!$A$15,$A606&lt;'Control Room'!$A$15+'Control Room'!$B$15,'Process'!BO4=1),1+('Control Room'!$C$15-1)*EXP(-0.5*(($A606-'Control Room'!$A$15-('Control Room'!$B$15-1)/2)/MAX(0.5,'Control Room'!$B$15/4))^2),1)*IF(AND($A606&gt;='Control Room'!$A$16,$A606&lt;'Control Room'!$A$16+'Control Room'!$B$16,'Process'!BO5=1),1+('Control Room'!$C$16-1)*EXP(-0.5*(($A606-'Control Room'!$A$16-('Control Room'!$B$16-1)/2)/MAX(0.5,'Control Room'!$B$16/4))^2),1)</x:f>
        <x:v>1</x:v>
      </x:c>
      <x:c r="AA606" s="9" t="n">
        <x:f>MOD(AB605*16807,2147483647)</x:f>
        <x:v>1376830982</x:v>
      </x:c>
      <x:c r="AB606" s="9" t="n">
        <x:f>MOD(AA606*16807,2147483647)</x:f>
        <x:v>1262018049</x:v>
      </x:c>
      <x:c r="AC606" s="17" t="n">
        <x:f>IF('Control Room'!$B$5="Normal",'Control Room'!$B$7+'Control Room'!$D$7*SQRT(-2*LN(MAX(0.000000000001,AA606/2147483647)))*COS(2*PI()*AB606/2147483647),'Control Room'!$B$8+('Control Room'!$D$8-'Control Room'!$B$8)*AA606/2147483647)</x:f>
        <x:v>927.6937855265177</x:v>
      </x:c>
      <x:c r="AD606" s="17" t="n">
        <x:f>IF('Control Room'!$B$5="Normal",'Control Room'!$B$7,('Control Room'!$B$8+'Control Room'!$D$8)/2)+'Control Room'!$B$9*(AD605-IF('Control Room'!$B$5="Normal",'Control Room'!$B$7,('Control Room'!$B$8+'Control Room'!$D$8)/2))+SQRT(1-'Control Room'!$B$9^2)*(AC606-IF('Control Room'!$B$5="Normal",'Control Room'!$B$7,('Control Room'!$B$8+'Control Room'!$D$8)/2))</x:f>
        <x:v>966.2235917030592</x:v>
      </x:c>
      <x:c r="AE606" s="17" t="n">
        <x:f>IF(AND($A606&gt;='Control Room'!$A$13,$A606&lt;'Control Room'!$A$13+'Control Room'!$B$13,'Process'!BP2=1),1+('Control Room'!$C$13-1)*EXP(-0.5*(($A606-'Control Room'!$A$13-('Control Room'!$B$13-1)/2)/MAX(0.5,'Control Room'!$B$13/4))^2),1)*IF(AND($A606&gt;='Control Room'!$A$14,$A606&lt;'Control Room'!$A$14+'Control Room'!$B$14,'Process'!BP3=1),1+('Control Room'!$C$14-1)*EXP(-0.5*(($A606-'Control Room'!$A$14-('Control Room'!$B$14-1)/2)/MAX(0.5,'Control Room'!$B$14/4))^2),1)*IF(AND($A606&gt;='Control Room'!$A$15,$A606&lt;'Control Room'!$A$15+'Control Room'!$B$15,'Process'!BP4=1),1+('Control Room'!$C$15-1)*EXP(-0.5*(($A606-'Control Room'!$A$15-('Control Room'!$B$15-1)/2)/MAX(0.5,'Control Room'!$B$15/4))^2),1)*IF(AND($A606&gt;='Control Room'!$A$16,$A606&lt;'Control Room'!$A$16+'Control Room'!$B$16,'Process'!BP5=1),1+('Control Room'!$C$16-1)*EXP(-0.5*(($A606-'Control Room'!$A$16-('Control Room'!$B$16-1)/2)/MAX(0.5,'Control Room'!$B$16/4))^2),1)</x:f>
        <x:v>1</x:v>
      </x:c>
      <x:c r="AF606" s="9" t="n">
        <x:f>MOD(AG605*16807,2147483647)</x:f>
        <x:v>1095463196</x:v>
      </x:c>
      <x:c r="AG606" s="9" t="n">
        <x:f>MOD(AF606*16807,2147483647)</x:f>
        <x:v>1072629441</x:v>
      </x:c>
      <x:c r="AH606" s="17" t="n">
        <x:f>IF('Control Room'!$B$5="Normal",'Control Room'!$B$7+'Control Room'!$D$7*SQRT(-2*LN(MAX(0.000000000001,AF606/2147483647)))*COS(2*PI()*AG606/2147483647),'Control Room'!$B$8+('Control Room'!$D$8-'Control Room'!$B$8)*AF606/2147483647)</x:f>
        <x:v>895.5757690766819</x:v>
      </x:c>
      <x:c r="AI606" s="17" t="n">
        <x:f>IF('Control Room'!$B$5="Normal",'Control Room'!$B$7,('Control Room'!$B$8+'Control Room'!$D$8)/2)+'Control Room'!$B$9*(AI605-IF('Control Room'!$B$5="Normal",'Control Room'!$B$7,('Control Room'!$B$8+'Control Room'!$D$8)/2))+SQRT(1-'Control Room'!$B$9^2)*(AH606-IF('Control Room'!$B$5="Normal",'Control Room'!$B$7,('Control Room'!$B$8+'Control Room'!$D$8)/2))</x:f>
        <x:v>1037.9958941761927</x:v>
      </x:c>
      <x:c r="AJ606" s="17" t="n">
        <x:f>IF(AND($A606&gt;='Control Room'!$A$13,$A606&lt;'Control Room'!$A$13+'Control Room'!$B$13,'Process'!BQ2=1),1+('Control Room'!$C$13-1)*EXP(-0.5*(($A606-'Control Room'!$A$13-('Control Room'!$B$13-1)/2)/MAX(0.5,'Control Room'!$B$13/4))^2),1)*IF(AND($A606&gt;='Control Room'!$A$14,$A606&lt;'Control Room'!$A$14+'Control Room'!$B$14,'Process'!BQ3=1),1+('Control Room'!$C$14-1)*EXP(-0.5*(($A606-'Control Room'!$A$14-('Control Room'!$B$14-1)/2)/MAX(0.5,'Control Room'!$B$14/4))^2),1)*IF(AND($A606&gt;='Control Room'!$A$15,$A606&lt;'Control Room'!$A$15+'Control Room'!$B$15,'Process'!BQ4=1),1+('Control Room'!$C$15-1)*EXP(-0.5*(($A606-'Control Room'!$A$15-('Control Room'!$B$15-1)/2)/MAX(0.5,'Control Room'!$B$15/4))^2),1)*IF(AND($A606&gt;='Control Room'!$A$16,$A606&lt;'Control Room'!$A$16+'Control Room'!$B$16,'Process'!BQ5=1),1+('Control Room'!$C$16-1)*EXP(-0.5*(($A606-'Control Room'!$A$16-('Control Room'!$B$16-1)/2)/MAX(0.5,'Control Room'!$B$16/4))^2),1)</x:f>
        <x:v>1</x:v>
      </x:c>
      <x:c r="AK606" s="9" t="n">
        <x:f>MOD(AL605*16807,2147483647)</x:f>
        <x:v>814095410</x:v>
      </x:c>
      <x:c r="AL606" s="9" t="n">
        <x:f>MOD(AK606*16807,2147483647)</x:f>
        <x:v>883240833</x:v>
      </x:c>
      <x:c r="AM606" s="17" t="n">
        <x:f>IF('Control Room'!$B$5="Normal",'Control Room'!$B$7+'Control Room'!$D$7*SQRT(-2*LN(MAX(0.000000000001,AK606/2147483647)))*COS(2*PI()*AL606/2147483647),'Control Room'!$B$8+('Control Room'!$D$8-'Control Room'!$B$8)*AK606/2147483647)</x:f>
        <x:v>893.6188708330443</x:v>
      </x:c>
      <x:c r="AN606" s="17" t="n">
        <x:f>IF('Control Room'!$B$5="Normal",'Control Room'!$B$7,('Control Room'!$B$8+'Control Room'!$D$8)/2)+'Control Room'!$B$9*(AN605-IF('Control Room'!$B$5="Normal",'Control Room'!$B$7,('Control Room'!$B$8+'Control Room'!$D$8)/2))+SQRT(1-'Control Room'!$B$9^2)*(AM606-IF('Control Room'!$B$5="Normal",'Control Room'!$B$7,('Control Room'!$B$8+'Control Room'!$D$8)/2))</x:f>
        <x:v>903.5260514755323</x:v>
      </x:c>
      <x:c r="AO606" s="17" t="n">
        <x:f>IF(AND($A606&gt;='Control Room'!$A$13,$A606&lt;'Control Room'!$A$13+'Control Room'!$B$13,'Process'!BR2=1),1+('Control Room'!$C$13-1)*EXP(-0.5*(($A606-'Control Room'!$A$13-('Control Room'!$B$13-1)/2)/MAX(0.5,'Control Room'!$B$13/4))^2),1)*IF(AND($A606&gt;='Control Room'!$A$14,$A606&lt;'Control Room'!$A$14+'Control Room'!$B$14,'Process'!BR3=1),1+('Control Room'!$C$14-1)*EXP(-0.5*(($A606-'Control Room'!$A$14-('Control Room'!$B$14-1)/2)/MAX(0.5,'Control Room'!$B$14/4))^2),1)*IF(AND($A606&gt;='Control Room'!$A$15,$A606&lt;'Control Room'!$A$15+'Control Room'!$B$15,'Process'!BR4=1),1+('Control Room'!$C$15-1)*EXP(-0.5*(($A606-'Control Room'!$A$15-('Control Room'!$B$15-1)/2)/MAX(0.5,'Control Room'!$B$15/4))^2),1)*IF(AND($A606&gt;='Control Room'!$A$16,$A606&lt;'Control Room'!$A$16+'Control Room'!$B$16,'Process'!BR5=1),1+('Control Room'!$C$16-1)*EXP(-0.5*(($A606-'Control Room'!$A$16-('Control Room'!$B$16-1)/2)/MAX(0.5,'Control Room'!$B$16/4))^2),1)</x:f>
        <x:v>1</x:v>
      </x:c>
      <x:c r="AP606" s="9" t="n">
        <x:f>MOD(AQ605*16807,2147483647)</x:f>
        <x:v>532727624</x:v>
      </x:c>
      <x:c r="AQ606" s="9" t="n">
        <x:f>MOD(AP606*16807,2147483647)</x:f>
        <x:v>693852225</x:v>
      </x:c>
      <x:c r="AR606" s="17" t="n">
        <x:f>IF('Control Room'!$B$5="Normal",'Control Room'!$B$7+'Control Room'!$D$7*SQRT(-2*LN(MAX(0.000000000001,AP606/2147483647)))*COS(2*PI()*AQ606/2147483647),'Control Room'!$B$8+('Control Room'!$D$8-'Control Room'!$B$8)*AP606/2147483647)</x:f>
        <x:v>933.3784276142161</x:v>
      </x:c>
      <x:c r="AS606" s="17" t="n">
        <x:f>IF('Control Room'!$B$5="Normal",'Control Room'!$B$7,('Control Room'!$B$8+'Control Room'!$D$8)/2)+'Control Room'!$B$9*(AS605-IF('Control Room'!$B$5="Normal",'Control Room'!$B$7,('Control Room'!$B$8+'Control Room'!$D$8)/2))+SQRT(1-'Control Room'!$B$9^2)*(AR606-IF('Control Room'!$B$5="Normal",'Control Room'!$B$7,('Control Room'!$B$8+'Control Room'!$D$8)/2))</x:f>
        <x:v>1009.0880270324484</x:v>
      </x:c>
      <x:c r="AT606" s="17" t="n">
        <x:f>IF(AND($A606&gt;='Control Room'!$A$13,$A606&lt;'Control Room'!$A$13+'Control Room'!$B$13,'Process'!BS2=1),1+('Control Room'!$C$13-1)*EXP(-0.5*(($A606-'Control Room'!$A$13-('Control Room'!$B$13-1)/2)/MAX(0.5,'Control Room'!$B$13/4))^2),1)*IF(AND($A606&gt;='Control Room'!$A$14,$A606&lt;'Control Room'!$A$14+'Control Room'!$B$14,'Process'!BS3=1),1+('Control Room'!$C$14-1)*EXP(-0.5*(($A606-'Control Room'!$A$14-('Control Room'!$B$14-1)/2)/MAX(0.5,'Control Room'!$B$14/4))^2),1)*IF(AND($A606&gt;='Control Room'!$A$15,$A606&lt;'Control Room'!$A$15+'Control Room'!$B$15,'Process'!BS4=1),1+('Control Room'!$C$15-1)*EXP(-0.5*(($A606-'Control Room'!$A$15-('Control Room'!$B$15-1)/2)/MAX(0.5,'Control Room'!$B$15/4))^2),1)*IF(AND($A606&gt;='Control Room'!$A$16,$A606&lt;'Control Room'!$A$16+'Control Room'!$B$16,'Process'!BS5=1),1+('Control Room'!$C$16-1)*EXP(-0.5*(($A606-'Control Room'!$A$16-('Control Room'!$B$16-1)/2)/MAX(0.5,'Control Room'!$B$16/4))^2),1)</x:f>
        <x:v>1</x:v>
      </x:c>
      <x:c r="AU606" s="9" t="n">
        <x:f>MOD(AV605*16807,2147483647)</x:f>
        <x:v>251359838</x:v>
      </x:c>
      <x:c r="AV606" s="9" t="n">
        <x:f>MOD(AU606*16807,2147483647)</x:f>
        <x:v>504463617</x:v>
      </x:c>
      <x:c r="AW606" s="17" t="n">
        <x:f>IF('Control Room'!$B$5="Normal",'Control Room'!$B$7+'Control Room'!$D$7*SQRT(-2*LN(MAX(0.000000000001,AU606/2147483647)))*COS(2*PI()*AV606/2147483647),'Control Room'!$B$8+('Control Room'!$D$8-'Control Room'!$B$8)*AU606/2147483647)</x:f>
        <x:v>1017.6493957593517</x:v>
      </x:c>
      <x:c r="AX606" s="17" t="n">
        <x:f>IF('Control Room'!$B$5="Normal",'Control Room'!$B$7,('Control Room'!$B$8+'Control Room'!$D$8)/2)+'Control Room'!$B$9*(AX605-IF('Control Room'!$B$5="Normal",'Control Room'!$B$7,('Control Room'!$B$8+'Control Room'!$D$8)/2))+SQRT(1-'Control Room'!$B$9^2)*(AW606-IF('Control Room'!$B$5="Normal",'Control Room'!$B$7,('Control Room'!$B$8+'Control Room'!$D$8)/2))</x:f>
        <x:v>1078.0173074483932</x:v>
      </x:c>
      <x:c r="AY606" s="17" t="n">
        <x:f>IF(AND($A606&gt;='Control Room'!$A$13,$A606&lt;'Control Room'!$A$13+'Control Room'!$B$13,'Process'!BT2=1),1+('Control Room'!$C$13-1)*EXP(-0.5*(($A606-'Control Room'!$A$13-('Control Room'!$B$13-1)/2)/MAX(0.5,'Control Room'!$B$13/4))^2),1)*IF(AND($A606&gt;='Control Room'!$A$14,$A606&lt;'Control Room'!$A$14+'Control Room'!$B$14,'Process'!BT3=1),1+('Control Room'!$C$14-1)*EXP(-0.5*(($A606-'Control Room'!$A$14-('Control Room'!$B$14-1)/2)/MAX(0.5,'Control Room'!$B$14/4))^2),1)*IF(AND($A606&gt;='Control Room'!$A$15,$A606&lt;'Control Room'!$A$15+'Control Room'!$B$15,'Process'!BT4=1),1+('Control Room'!$C$15-1)*EXP(-0.5*(($A606-'Control Room'!$A$15-('Control Room'!$B$15-1)/2)/MAX(0.5,'Control Room'!$B$15/4))^2),1)*IF(AND($A606&gt;='Control Room'!$A$16,$A606&lt;'Control Room'!$A$16+'Control Room'!$B$16,'Process'!BT5=1),1+('Control Room'!$C$16-1)*EXP(-0.5*(($A606-'Control Room'!$A$16-('Control Room'!$B$16-1)/2)/MAX(0.5,'Control Room'!$B$16/4))^2),1)</x:f>
        <x:v>1</x:v>
      </x:c>
      <x:c r="AZ606" s="9" t="n">
        <x:f>MOD(BA605*16807,2147483647)</x:f>
        <x:v>2117475699</x:v>
      </x:c>
      <x:c r="BA606" s="9" t="n">
        <x:f>MOD(AZ606*16807,2147483647)</x:f>
        <x:v>315075009</x:v>
      </x:c>
      <x:c r="BB606" s="17" t="n">
        <x:f>IF('Control Room'!$B$5="Normal",'Control Room'!$B$7+'Control Room'!$D$7*SQRT(-2*LN(MAX(0.000000000001,AZ606/2147483647)))*COS(2*PI()*BA606/2147483647),'Control Room'!$B$8+('Control Room'!$D$8-'Control Room'!$B$8)*AZ606/2147483647)</x:f>
        <x:v>1009.1247053355102</x:v>
      </x:c>
      <x:c r="BC606" s="17" t="n">
        <x:f>IF('Control Room'!$B$5="Normal",'Control Room'!$B$7,('Control Room'!$B$8+'Control Room'!$D$8)/2)+'Control Room'!$B$9*(BC605-IF('Control Room'!$B$5="Normal",'Control Room'!$B$7,('Control Room'!$B$8+'Control Room'!$D$8)/2))+SQRT(1-'Control Room'!$B$9^2)*(BB606-IF('Control Room'!$B$5="Normal",'Control Room'!$B$7,('Control Room'!$B$8+'Control Room'!$D$8)/2))</x:f>
        <x:v>946.4983559630848</x:v>
      </x:c>
      <x:c r="BD606" s="17" t="n">
        <x:f>IF(AND($A606&gt;='Control Room'!$A$13,$A606&lt;'Control Room'!$A$13+'Control Room'!$B$13,'Process'!BU2=1),1+('Control Room'!$C$13-1)*EXP(-0.5*(($A606-'Control Room'!$A$13-('Control Room'!$B$13-1)/2)/MAX(0.5,'Control Room'!$B$13/4))^2),1)*IF(AND($A606&gt;='Control Room'!$A$14,$A606&lt;'Control Room'!$A$14+'Control Room'!$B$14,'Process'!BU3=1),1+('Control Room'!$C$14-1)*EXP(-0.5*(($A606-'Control Room'!$A$14-('Control Room'!$B$14-1)/2)/MAX(0.5,'Control Room'!$B$14/4))^2),1)*IF(AND($A606&gt;='Control Room'!$A$15,$A606&lt;'Control Room'!$A$15+'Control Room'!$B$15,'Process'!BU4=1),1+('Control Room'!$C$15-1)*EXP(-0.5*(($A606-'Control Room'!$A$15-('Control Room'!$B$15-1)/2)/MAX(0.5,'Control Room'!$B$15/4))^2),1)*IF(AND($A606&gt;='Control Room'!$A$16,$A606&lt;'Control Room'!$A$16+'Control Room'!$B$16,'Process'!BU5=1),1+('Control Room'!$C$16-1)*EXP(-0.5*(($A606-'Control Room'!$A$16-('Control Room'!$B$16-1)/2)/MAX(0.5,'Control Room'!$B$16/4))^2),1)</x:f>
        <x:v>1</x:v>
      </x:c>
      <x:c r="BE606" s="9" t="n">
        <x:f>MOD(BF605*16807,2147483647)</x:f>
        <x:v>1836107913</x:v>
      </x:c>
      <x:c r="BF606" s="9" t="n">
        <x:f>MOD(BE606*16807,2147483647)</x:f>
        <x:v>125686401</x:v>
      </x:c>
      <x:c r="BG606" s="17" t="n">
        <x:f>IF('Control Room'!$B$5="Normal",'Control Room'!$B$7+'Control Room'!$D$7*SQRT(-2*LN(MAX(0.000000000001,BE606/2147483647)))*COS(2*PI()*BF606/2147483647),'Control Room'!$B$8+('Control Room'!$D$8-'Control Room'!$B$8)*BE606/2147483647)</x:f>
        <x:v>1047.0077103344713</x:v>
      </x:c>
      <x:c r="BH606" s="17" t="n">
        <x:f>IF('Control Room'!$B$5="Normal",'Control Room'!$B$7,('Control Room'!$B$8+'Control Room'!$D$8)/2)+'Control Room'!$B$9*(BH605-IF('Control Room'!$B$5="Normal",'Control Room'!$B$7,('Control Room'!$B$8+'Control Room'!$D$8)/2))+SQRT(1-'Control Room'!$B$9^2)*(BG606-IF('Control Room'!$B$5="Normal",'Control Room'!$B$7,('Control Room'!$B$8+'Control Room'!$D$8)/2))</x:f>
        <x:v>1060.4119859528207</x:v>
      </x:c>
      <x:c r="BI606" s="17" t="n">
        <x:f>IF(AND($A606&gt;='Control Room'!$A$13,$A606&lt;'Control Room'!$A$13+'Control Room'!$B$13,'Process'!BV2=1),1+('Control Room'!$C$13-1)*EXP(-0.5*(($A606-'Control Room'!$A$13-('Control Room'!$B$13-1)/2)/MAX(0.5,'Control Room'!$B$13/4))^2),1)*IF(AND($A606&gt;='Control Room'!$A$14,$A606&lt;'Control Room'!$A$14+'Control Room'!$B$14,'Process'!BV3=1),1+('Control Room'!$C$14-1)*EXP(-0.5*(($A606-'Control Room'!$A$14-('Control Room'!$B$14-1)/2)/MAX(0.5,'Control Room'!$B$14/4))^2),1)*IF(AND($A606&gt;='Control Room'!$A$15,$A606&lt;'Control Room'!$A$15+'Control Room'!$B$15,'Process'!BV4=1),1+('Control Room'!$C$15-1)*EXP(-0.5*(($A606-'Control Room'!$A$15-('Control Room'!$B$15-1)/2)/MAX(0.5,'Control Room'!$B$15/4))^2),1)*IF(AND($A606&gt;='Control Room'!$A$16,$A606&lt;'Control Room'!$A$16+'Control Room'!$B$16,'Process'!BV5=1),1+('Control Room'!$C$16-1)*EXP(-0.5*(($A606-'Control Room'!$A$16-('Control Room'!$B$16-1)/2)/MAX(0.5,'Control Room'!$B$16/4))^2),1)</x:f>
        <x:v>1</x:v>
      </x:c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Z606" t="str">
        <x:f>IF('Data'!A606="","",TEXT('Data'!A606,"mm-dd"))</x:f>
      </x:c>
    </x:row>
    <x:row r="607" ht="21" customHeight="1">
      <x:c r="A607" s="15" t="n">
        <x:f>'Control Room'!$B$1+605</x:f>
        <x:v>73596</x:v>
      </x:c>
      <x:c r="B607" s="9" t="n">
        <x:f>MOD(C606*16807,2147483647)</x:f>
        <x:v>311733487</x:v>
      </x:c>
      <x:c r="C607" s="9" t="n">
        <x:f>MOD(B607*16807,2147483647)</x:f>
        <x:v>1592100976</x:v>
      </x:c>
      <x:c r="D607" s="17" t="n">
        <x:f>IF('Control Room'!$B$5="Normal",'Control Room'!$B$7+'Control Room'!$D$7*SQRT(-2*LN(MAX(0.000000000001,B607/2147483647)))*COS(2*PI()*C607/2147483647),'Control Room'!$B$8+('Control Room'!$D$8-'Control Room'!$B$8)*B607/2147483647)</x:f>
        <x:v>990.4278249298692</x:v>
      </x:c>
      <x:c r="E607" s="17" t="n">
        <x:f>IF('Control Room'!$B$5="Normal",'Control Room'!$B$7,('Control Room'!$B$8+'Control Room'!$D$8)/2)+'Control Room'!$B$9*(E606-IF('Control Room'!$B$5="Normal",'Control Room'!$B$7,('Control Room'!$B$8+'Control Room'!$D$8)/2))+SQRT(1-'Control Room'!$B$9^2)*(D607-IF('Control Room'!$B$5="Normal",'Control Room'!$B$7,('Control Room'!$B$8+'Control Room'!$D$8)/2))</x:f>
        <x:v>1151.3865246289365</x:v>
      </x:c>
      <x:c r="F607" s="17" t="n">
        <x:f>IF(AND($A607&gt;='Control Room'!$A$13,$A607&lt;'Control Room'!$A$13+'Control Room'!$B$13,'Process'!BK2=1),1+('Control Room'!$C$13-1)*EXP(-0.5*(($A607-'Control Room'!$A$13-('Control Room'!$B$13-1)/2)/MAX(0.5,'Control Room'!$B$13/4))^2),1)*IF(AND($A607&gt;='Control Room'!$A$14,$A607&lt;'Control Room'!$A$14+'Control Room'!$B$14,'Process'!BK3=1),1+('Control Room'!$C$14-1)*EXP(-0.5*(($A607-'Control Room'!$A$14-('Control Room'!$B$14-1)/2)/MAX(0.5,'Control Room'!$B$14/4))^2),1)*IF(AND($A607&gt;='Control Room'!$A$15,$A607&lt;'Control Room'!$A$15+'Control Room'!$B$15,'Process'!BK4=1),1+('Control Room'!$C$15-1)*EXP(-0.5*(($A607-'Control Room'!$A$15-('Control Room'!$B$15-1)/2)/MAX(0.5,'Control Room'!$B$15/4))^2),1)*IF(AND($A607&gt;='Control Room'!$A$16,$A607&lt;'Control Room'!$A$16+'Control Room'!$B$16,'Process'!BK5=1),1+('Control Room'!$C$16-1)*EXP(-0.5*(($A607-'Control Room'!$A$16-('Control Room'!$B$16-1)/2)/MAX(0.5,'Control Room'!$B$16/4))^2),1)</x:f>
        <x:v>1</x:v>
      </x:c>
      <x:c r="G607" s="9" t="n">
        <x:f>MOD(H606*16807,2147483647)</x:f>
        <x:v>1975647332</x:v>
      </x:c>
      <x:c r="H607" s="9" t="n">
        <x:f>MOD(G607*16807,2147483647)</x:f>
        <x:v>312559010</x:v>
      </x:c>
      <x:c r="I607" s="17" t="n">
        <x:f>IF('Control Room'!$B$5="Normal",'Control Room'!$B$7+'Control Room'!$D$7*SQRT(-2*LN(MAX(0.000000000001,G607/2147483647)))*COS(2*PI()*H607/2147483647),'Control Room'!$B$8+('Control Room'!$D$8-'Control Room'!$B$8)*G607/2147483647)</x:f>
        <x:v>1022.4288509659993</x:v>
      </x:c>
      <x:c r="J607" s="17" t="n">
        <x:f>IF('Control Room'!$B$5="Normal",'Control Room'!$B$7,('Control Room'!$B$8+'Control Room'!$D$8)/2)+'Control Room'!$B$9*(J606-IF('Control Room'!$B$5="Normal",'Control Room'!$B$7,('Control Room'!$B$8+'Control Room'!$D$8)/2))+SQRT(1-'Control Room'!$B$9^2)*(I607-IF('Control Room'!$B$5="Normal",'Control Room'!$B$7,('Control Room'!$B$8+'Control Room'!$D$8)/2))</x:f>
        <x:v>1127.4186704919116</x:v>
      </x:c>
      <x:c r="K607" s="17" t="n">
        <x:f>IF(AND($A607&gt;='Control Room'!$A$13,$A607&lt;'Control Room'!$A$13+'Control Room'!$B$13,'Process'!BL2=1),1+('Control Room'!$C$13-1)*EXP(-0.5*(($A607-'Control Room'!$A$13-('Control Room'!$B$13-1)/2)/MAX(0.5,'Control Room'!$B$13/4))^2),1)*IF(AND($A607&gt;='Control Room'!$A$14,$A607&lt;'Control Room'!$A$14+'Control Room'!$B$14,'Process'!BL3=1),1+('Control Room'!$C$14-1)*EXP(-0.5*(($A607-'Control Room'!$A$14-('Control Room'!$B$14-1)/2)/MAX(0.5,'Control Room'!$B$14/4))^2),1)*IF(AND($A607&gt;='Control Room'!$A$15,$A607&lt;'Control Room'!$A$15+'Control Room'!$B$15,'Process'!BL4=1),1+('Control Room'!$C$15-1)*EXP(-0.5*(($A607-'Control Room'!$A$15-('Control Room'!$B$15-1)/2)/MAX(0.5,'Control Room'!$B$15/4))^2),1)*IF(AND($A607&gt;='Control Room'!$A$16,$A607&lt;'Control Room'!$A$16+'Control Room'!$B$16,'Process'!BL5=1),1+('Control Room'!$C$16-1)*EXP(-0.5*(($A607-'Control Room'!$A$16-('Control Room'!$B$16-1)/2)/MAX(0.5,'Control Room'!$B$16/4))^2),1)</x:f>
        <x:v>1</x:v>
      </x:c>
      <x:c r="L607" s="9" t="n">
        <x:f>MOD(M606*16807,2147483647)</x:f>
        <x:v>1492077530</x:v>
      </x:c>
      <x:c r="M607" s="9" t="n">
        <x:f>MOD(L607*16807,2147483647)</x:f>
        <x:v>1180500691</x:v>
      </x:c>
      <x:c r="N607" s="17" t="n">
        <x:f>IF('Control Room'!$B$5="Normal",'Control Room'!$B$7+'Control Room'!$D$7*SQRT(-2*LN(MAX(0.000000000001,L607/2147483647)))*COS(2*PI()*M607/2147483647),'Control Room'!$B$8+('Control Room'!$D$8-'Control Room'!$B$8)*L607/2147483647)</x:f>
        <x:v>926.9123974537777</x:v>
      </x:c>
      <x:c r="O607" s="17" t="n">
        <x:f>IF('Control Room'!$B$5="Normal",'Control Room'!$B$7,('Control Room'!$B$8+'Control Room'!$D$8)/2)+'Control Room'!$B$9*(O606-IF('Control Room'!$B$5="Normal",'Control Room'!$B$7,('Control Room'!$B$8+'Control Room'!$D$8)/2))+SQRT(1-'Control Room'!$B$9^2)*(N607-IF('Control Room'!$B$5="Normal",'Control Room'!$B$7,('Control Room'!$B$8+'Control Room'!$D$8)/2))</x:f>
        <x:v>985.6755145842384</x:v>
      </x:c>
      <x:c r="P607" s="17" t="n">
        <x:f>IF(AND($A607&gt;='Control Room'!$A$13,$A607&lt;'Control Room'!$A$13+'Control Room'!$B$13,'Process'!BM2=1),1+('Control Room'!$C$13-1)*EXP(-0.5*(($A607-'Control Room'!$A$13-('Control Room'!$B$13-1)/2)/MAX(0.5,'Control Room'!$B$13/4))^2),1)*IF(AND($A607&gt;='Control Room'!$A$14,$A607&lt;'Control Room'!$A$14+'Control Room'!$B$14,'Process'!BM3=1),1+('Control Room'!$C$14-1)*EXP(-0.5*(($A607-'Control Room'!$A$14-('Control Room'!$B$14-1)/2)/MAX(0.5,'Control Room'!$B$14/4))^2),1)*IF(AND($A607&gt;='Control Room'!$A$15,$A607&lt;'Control Room'!$A$15+'Control Room'!$B$15,'Process'!BM4=1),1+('Control Room'!$C$15-1)*EXP(-0.5*(($A607-'Control Room'!$A$15-('Control Room'!$B$15-1)/2)/MAX(0.5,'Control Room'!$B$15/4))^2),1)*IF(AND($A607&gt;='Control Room'!$A$16,$A607&lt;'Control Room'!$A$16+'Control Room'!$B$16,'Process'!BM5=1),1+('Control Room'!$C$16-1)*EXP(-0.5*(($A607-'Control Room'!$A$16-('Control Room'!$B$16-1)/2)/MAX(0.5,'Control Room'!$B$16/4))^2),1)</x:f>
        <x:v>1</x:v>
      </x:c>
      <x:c r="Q607" s="9" t="n">
        <x:f>MOD(R606*16807,2147483647)</x:f>
        <x:v>1008507728</x:v>
      </x:c>
      <x:c r="R607" s="9" t="n">
        <x:f>MOD(Q607*16807,2147483647)</x:f>
        <x:v>2048442372</x:v>
      </x:c>
      <x:c r="S607" s="17" t="n">
        <x:f>IF('Control Room'!$B$5="Normal",'Control Room'!$B$7+'Control Room'!$D$7*SQRT(-2*LN(MAX(0.000000000001,Q607/2147483647)))*COS(2*PI()*R607/2147483647),'Control Room'!$B$8+('Control Room'!$D$8-'Control Room'!$B$8)*Q607/2147483647)</x:f>
        <x:v>1106.0407718291615</x:v>
      </x:c>
      <x:c r="T607" s="17" t="n">
        <x:f>IF('Control Room'!$B$5="Normal",'Control Room'!$B$7,('Control Room'!$B$8+'Control Room'!$D$8)/2)+'Control Room'!$B$9*(T606-IF('Control Room'!$B$5="Normal",'Control Room'!$B$7,('Control Room'!$B$8+'Control Room'!$D$8)/2))+SQRT(1-'Control Room'!$B$9^2)*(S607-IF('Control Room'!$B$5="Normal",'Control Room'!$B$7,('Control Room'!$B$8+'Control Room'!$D$8)/2))</x:f>
        <x:v>1095.536123633131</x:v>
      </x:c>
      <x:c r="U607" s="17" t="n">
        <x:f>IF(AND($A607&gt;='Control Room'!$A$13,$A607&lt;'Control Room'!$A$13+'Control Room'!$B$13,'Process'!BN2=1),1+('Control Room'!$C$13-1)*EXP(-0.5*(($A607-'Control Room'!$A$13-('Control Room'!$B$13-1)/2)/MAX(0.5,'Control Room'!$B$13/4))^2),1)*IF(AND($A607&gt;='Control Room'!$A$14,$A607&lt;'Control Room'!$A$14+'Control Room'!$B$14,'Process'!BN3=1),1+('Control Room'!$C$14-1)*EXP(-0.5*(($A607-'Control Room'!$A$14-('Control Room'!$B$14-1)/2)/MAX(0.5,'Control Room'!$B$14/4))^2),1)*IF(AND($A607&gt;='Control Room'!$A$15,$A607&lt;'Control Room'!$A$15+'Control Room'!$B$15,'Process'!BN4=1),1+('Control Room'!$C$15-1)*EXP(-0.5*(($A607-'Control Room'!$A$15-('Control Room'!$B$15-1)/2)/MAX(0.5,'Control Room'!$B$15/4))^2),1)*IF(AND($A607&gt;='Control Room'!$A$16,$A607&lt;'Control Room'!$A$16+'Control Room'!$B$16,'Process'!BN5=1),1+('Control Room'!$C$16-1)*EXP(-0.5*(($A607-'Control Room'!$A$16-('Control Room'!$B$16-1)/2)/MAX(0.5,'Control Room'!$B$16/4))^2),1)</x:f>
        <x:v>1</x:v>
      </x:c>
      <x:c r="V607" s="9" t="n">
        <x:f>MOD(W606*16807,2147483647)</x:f>
        <x:v>524937926</x:v>
      </x:c>
      <x:c r="W607" s="9" t="n">
        <x:f>MOD(V607*16807,2147483647)</x:f>
        <x:v>768900406</x:v>
      </x:c>
      <x:c r="X607" s="17" t="n">
        <x:f>IF('Control Room'!$B$5="Normal",'Control Room'!$B$7+'Control Room'!$D$7*SQRT(-2*LN(MAX(0.000000000001,V607/2147483647)))*COS(2*PI()*W607/2147483647),'Control Room'!$B$8+('Control Room'!$D$8-'Control Room'!$B$8)*V607/2147483647)</x:f>
        <x:v>905.1399073855139</x:v>
      </x:c>
      <x:c r="Y607" s="17" t="n">
        <x:f>IF('Control Room'!$B$5="Normal",'Control Room'!$B$7,('Control Room'!$B$8+'Control Room'!$D$8)/2)+'Control Room'!$B$9*(Y606-IF('Control Room'!$B$5="Normal",'Control Room'!$B$7,('Control Room'!$B$8+'Control Room'!$D$8)/2))+SQRT(1-'Control Room'!$B$9^2)*(X607-IF('Control Room'!$B$5="Normal",'Control Room'!$B$7,('Control Room'!$B$8+'Control Room'!$D$8)/2))</x:f>
        <x:v>1022.2648927839651</x:v>
      </x:c>
      <x:c r="Z607" s="17" t="n">
        <x:f>IF(AND($A607&gt;='Control Room'!$A$13,$A607&lt;'Control Room'!$A$13+'Control Room'!$B$13,'Process'!BO2=1),1+('Control Room'!$C$13-1)*EXP(-0.5*(($A607-'Control Room'!$A$13-('Control Room'!$B$13-1)/2)/MAX(0.5,'Control Room'!$B$13/4))^2),1)*IF(AND($A607&gt;='Control Room'!$A$14,$A607&lt;'Control Room'!$A$14+'Control Room'!$B$14,'Process'!BO3=1),1+('Control Room'!$C$14-1)*EXP(-0.5*(($A607-'Control Room'!$A$14-('Control Room'!$B$14-1)/2)/MAX(0.5,'Control Room'!$B$14/4))^2),1)*IF(AND($A607&gt;='Control Room'!$A$15,$A607&lt;'Control Room'!$A$15+'Control Room'!$B$15,'Process'!BO4=1),1+('Control Room'!$C$15-1)*EXP(-0.5*(($A607-'Control Room'!$A$15-('Control Room'!$B$15-1)/2)/MAX(0.5,'Control Room'!$B$15/4))^2),1)*IF(AND($A607&gt;='Control Room'!$A$16,$A607&lt;'Control Room'!$A$16+'Control Room'!$B$16,'Process'!BO5=1),1+('Control Room'!$C$16-1)*EXP(-0.5*(($A607-'Control Room'!$A$16-('Control Room'!$B$16-1)/2)/MAX(0.5,'Control Room'!$B$16/4))^2),1)</x:f>
        <x:v>1</x:v>
      </x:c>
      <x:c r="AA607" s="9" t="n">
        <x:f>MOD(AB606*16807,2147483647)</x:f>
        <x:v>41368124</x:v>
      </x:c>
      <x:c r="AB607" s="9" t="n">
        <x:f>MOD(AA607*16807,2147483647)</x:f>
        <x:v>1636842087</x:v>
      </x:c>
      <x:c r="AC607" s="17" t="n">
        <x:f>IF('Control Room'!$B$5="Normal",'Control Room'!$B$7+'Control Room'!$D$7*SQRT(-2*LN(MAX(0.000000000001,AA607/2147483647)))*COS(2*PI()*AB607/2147483647),'Control Room'!$B$8+('Control Room'!$D$8-'Control Room'!$B$8)*AA607/2147483647)</x:f>
        <x:v>1019.3928673330952</x:v>
      </x:c>
      <x:c r="AD607" s="17" t="n">
        <x:f>IF('Control Room'!$B$5="Normal",'Control Room'!$B$7,('Control Room'!$B$8+'Control Room'!$D$8)/2)+'Control Room'!$B$9*(AD606-IF('Control Room'!$B$5="Normal",'Control Room'!$B$7,('Control Room'!$B$8+'Control Room'!$D$8)/2))+SQRT(1-'Control Room'!$B$9^2)*(AC607-IF('Control Room'!$B$5="Normal",'Control Room'!$B$7,('Control Room'!$B$8+'Control Room'!$D$8)/2))</x:f>
        <x:v>985.7900606209555</x:v>
      </x:c>
      <x:c r="AE607" s="17" t="n">
        <x:f>IF(AND($A607&gt;='Control Room'!$A$13,$A607&lt;'Control Room'!$A$13+'Control Room'!$B$13,'Process'!BP2=1),1+('Control Room'!$C$13-1)*EXP(-0.5*(($A607-'Control Room'!$A$13-('Control Room'!$B$13-1)/2)/MAX(0.5,'Control Room'!$B$13/4))^2),1)*IF(AND($A607&gt;='Control Room'!$A$14,$A607&lt;'Control Room'!$A$14+'Control Room'!$B$14,'Process'!BP3=1),1+('Control Room'!$C$14-1)*EXP(-0.5*(($A607-'Control Room'!$A$14-('Control Room'!$B$14-1)/2)/MAX(0.5,'Control Room'!$B$14/4))^2),1)*IF(AND($A607&gt;='Control Room'!$A$15,$A607&lt;'Control Room'!$A$15+'Control Room'!$B$15,'Process'!BP4=1),1+('Control Room'!$C$15-1)*EXP(-0.5*(($A607-'Control Room'!$A$15-('Control Room'!$B$15-1)/2)/MAX(0.5,'Control Room'!$B$15/4))^2),1)*IF(AND($A607&gt;='Control Room'!$A$16,$A607&lt;'Control Room'!$A$16+'Control Room'!$B$16,'Process'!BP5=1),1+('Control Room'!$C$16-1)*EXP(-0.5*(($A607-'Control Room'!$A$16-('Control Room'!$B$16-1)/2)/MAX(0.5,'Control Room'!$B$16/4))^2),1)</x:f>
        <x:v>1</x:v>
      </x:c>
      <x:c r="AF607" s="9" t="n">
        <x:f>MOD(AG606*16807,2147483647)</x:f>
        <x:v>1705281969</x:v>
      </x:c>
      <x:c r="AG607" s="9" t="n">
        <x:f>MOD(AF607*16807,2147483647)</x:f>
        <x:v>357300121</x:v>
      </x:c>
      <x:c r="AH607" s="17" t="n">
        <x:f>IF('Control Room'!$B$5="Normal",'Control Room'!$B$7+'Control Room'!$D$7*SQRT(-2*LN(MAX(0.000000000001,AF607/2147483647)))*COS(2*PI()*AG607/2147483647),'Control Room'!$B$8+('Control Room'!$D$8-'Control Room'!$B$8)*AF607/2147483647)</x:f>
        <x:v>1030.6530403688505</x:v>
      </x:c>
      <x:c r="AI607" s="17" t="n">
        <x:f>IF('Control Room'!$B$5="Normal",'Control Room'!$B$7,('Control Room'!$B$8+'Control Room'!$D$8)/2)+'Control Room'!$B$9*(AI606-IF('Control Room'!$B$5="Normal",'Control Room'!$B$7,('Control Room'!$B$8+'Control Room'!$D$8)/2))+SQRT(1-'Control Room'!$B$9^2)*(AH607-IF('Control Room'!$B$5="Normal",'Control Room'!$B$7,('Control Room'!$B$8+'Control Room'!$D$8)/2))</x:f>
        <x:v>1048.8188421585921</x:v>
      </x:c>
      <x:c r="AJ607" s="17" t="n">
        <x:f>IF(AND($A607&gt;='Control Room'!$A$13,$A607&lt;'Control Room'!$A$13+'Control Room'!$B$13,'Process'!BQ2=1),1+('Control Room'!$C$13-1)*EXP(-0.5*(($A607-'Control Room'!$A$13-('Control Room'!$B$13-1)/2)/MAX(0.5,'Control Room'!$B$13/4))^2),1)*IF(AND($A607&gt;='Control Room'!$A$14,$A607&lt;'Control Room'!$A$14+'Control Room'!$B$14,'Process'!BQ3=1),1+('Control Room'!$C$14-1)*EXP(-0.5*(($A607-'Control Room'!$A$14-('Control Room'!$B$14-1)/2)/MAX(0.5,'Control Room'!$B$14/4))^2),1)*IF(AND($A607&gt;='Control Room'!$A$15,$A607&lt;'Control Room'!$A$15+'Control Room'!$B$15,'Process'!BQ4=1),1+('Control Room'!$C$15-1)*EXP(-0.5*(($A607-'Control Room'!$A$15-('Control Room'!$B$15-1)/2)/MAX(0.5,'Control Room'!$B$15/4))^2),1)*IF(AND($A607&gt;='Control Room'!$A$16,$A607&lt;'Control Room'!$A$16+'Control Room'!$B$16,'Process'!BQ5=1),1+('Control Room'!$C$16-1)*EXP(-0.5*(($A607-'Control Room'!$A$16-('Control Room'!$B$16-1)/2)/MAX(0.5,'Control Room'!$B$16/4))^2),1)</x:f>
        <x:v>1</x:v>
      </x:c>
      <x:c r="AK607" s="9" t="n">
        <x:f>MOD(AL606*16807,2147483647)</x:f>
        <x:v>1221712167</x:v>
      </x:c>
      <x:c r="AL607" s="9" t="n">
        <x:f>MOD(AK607*16807,2147483647)</x:f>
        <x:v>1225241802</x:v>
      </x:c>
      <x:c r="AM607" s="17" t="n">
        <x:f>IF('Control Room'!$B$5="Normal",'Control Room'!$B$7+'Control Room'!$D$7*SQRT(-2*LN(MAX(0.000000000001,AK607/2147483647)))*COS(2*PI()*AL607/2147483647),'Control Room'!$B$8+('Control Room'!$D$8-'Control Room'!$B$8)*AK607/2147483647)</x:f>
        <x:v>913.647884155654</x:v>
      </x:c>
      <x:c r="AN607" s="17" t="n">
        <x:f>IF('Control Room'!$B$5="Normal",'Control Room'!$B$7,('Control Room'!$B$8+'Control Room'!$D$8)/2)+'Control Room'!$B$9*(AN606-IF('Control Room'!$B$5="Normal",'Control Room'!$B$7,('Control Room'!$B$8+'Control Room'!$D$8)/2))+SQRT(1-'Control Room'!$B$9^2)*(AM607-IF('Control Room'!$B$5="Normal",'Control Room'!$B$7,('Control Room'!$B$8+'Control Room'!$D$8)/2))</x:f>
        <x:v>870.7129350747713</x:v>
      </x:c>
      <x:c r="AO607" s="17" t="n">
        <x:f>IF(AND($A607&gt;='Control Room'!$A$13,$A607&lt;'Control Room'!$A$13+'Control Room'!$B$13,'Process'!BR2=1),1+('Control Room'!$C$13-1)*EXP(-0.5*(($A607-'Control Room'!$A$13-('Control Room'!$B$13-1)/2)/MAX(0.5,'Control Room'!$B$13/4))^2),1)*IF(AND($A607&gt;='Control Room'!$A$14,$A607&lt;'Control Room'!$A$14+'Control Room'!$B$14,'Process'!BR3=1),1+('Control Room'!$C$14-1)*EXP(-0.5*(($A607-'Control Room'!$A$14-('Control Room'!$B$14-1)/2)/MAX(0.5,'Control Room'!$B$14/4))^2),1)*IF(AND($A607&gt;='Control Room'!$A$15,$A607&lt;'Control Room'!$A$15+'Control Room'!$B$15,'Process'!BR4=1),1+('Control Room'!$C$15-1)*EXP(-0.5*(($A607-'Control Room'!$A$15-('Control Room'!$B$15-1)/2)/MAX(0.5,'Control Room'!$B$15/4))^2),1)*IF(AND($A607&gt;='Control Room'!$A$16,$A607&lt;'Control Room'!$A$16+'Control Room'!$B$16,'Process'!BR5=1),1+('Control Room'!$C$16-1)*EXP(-0.5*(($A607-'Control Room'!$A$16-('Control Room'!$B$16-1)/2)/MAX(0.5,'Control Room'!$B$16/4))^2),1)</x:f>
        <x:v>1</x:v>
      </x:c>
      <x:c r="AP607" s="9" t="n">
        <x:f>MOD(AQ606*16807,2147483647)</x:f>
        <x:v>738142365</x:v>
      </x:c>
      <x:c r="AQ607" s="9" t="n">
        <x:f>MOD(AP607*16807,2147483647)</x:f>
        <x:v>2093183483</x:v>
      </x:c>
      <x:c r="AR607" s="17" t="n">
        <x:f>IF('Control Room'!$B$5="Normal",'Control Room'!$B$7+'Control Room'!$D$7*SQRT(-2*LN(MAX(0.000000000001,AP607/2147483647)))*COS(2*PI()*AQ607/2147483647),'Control Room'!$B$8+('Control Room'!$D$8-'Control Room'!$B$8)*AP607/2147483647)</x:f>
        <x:v>1129.8738585766944</x:v>
      </x:c>
      <x:c r="AS607" s="17" t="n">
        <x:f>IF('Control Room'!$B$5="Normal",'Control Room'!$B$7,('Control Room'!$B$8+'Control Room'!$D$8)/2)+'Control Room'!$B$9*(AS606-IF('Control Room'!$B$5="Normal",'Control Room'!$B$7,('Control Room'!$B$8+'Control Room'!$D$8)/2))+SQRT(1-'Control Room'!$B$9^2)*(AR607-IF('Control Room'!$B$5="Normal",'Control Room'!$B$7,('Control Room'!$B$8+'Control Room'!$D$8)/2))</x:f>
        <x:v>1088.361061171995</x:v>
      </x:c>
      <x:c r="AT607" s="17" t="n">
        <x:f>IF(AND($A607&gt;='Control Room'!$A$13,$A607&lt;'Control Room'!$A$13+'Control Room'!$B$13,'Process'!BS2=1),1+('Control Room'!$C$13-1)*EXP(-0.5*(($A607-'Control Room'!$A$13-('Control Room'!$B$13-1)/2)/MAX(0.5,'Control Room'!$B$13/4))^2),1)*IF(AND($A607&gt;='Control Room'!$A$14,$A607&lt;'Control Room'!$A$14+'Control Room'!$B$14,'Process'!BS3=1),1+('Control Room'!$C$14-1)*EXP(-0.5*(($A607-'Control Room'!$A$14-('Control Room'!$B$14-1)/2)/MAX(0.5,'Control Room'!$B$14/4))^2),1)*IF(AND($A607&gt;='Control Room'!$A$15,$A607&lt;'Control Room'!$A$15+'Control Room'!$B$15,'Process'!BS4=1),1+('Control Room'!$C$15-1)*EXP(-0.5*(($A607-'Control Room'!$A$15-('Control Room'!$B$15-1)/2)/MAX(0.5,'Control Room'!$B$15/4))^2),1)*IF(AND($A607&gt;='Control Room'!$A$16,$A607&lt;'Control Room'!$A$16+'Control Room'!$B$16,'Process'!BS5=1),1+('Control Room'!$C$16-1)*EXP(-0.5*(($A607-'Control Room'!$A$16-('Control Room'!$B$16-1)/2)/MAX(0.5,'Control Room'!$B$16/4))^2),1)</x:f>
        <x:v>1</x:v>
      </x:c>
      <x:c r="AU607" s="9" t="n">
        <x:f>MOD(AV606*16807,2147483647)</x:f>
        <x:v>254572563</x:v>
      </x:c>
      <x:c r="AV607" s="9" t="n">
        <x:f>MOD(AU607*16807,2147483647)</x:f>
        <x:v>813641517</x:v>
      </x:c>
      <x:c r="AW607" s="17" t="n">
        <x:f>IF('Control Room'!$B$5="Normal",'Control Room'!$B$7+'Control Room'!$D$7*SQRT(-2*LN(MAX(0.000000000001,AU607/2147483647)))*COS(2*PI()*AV607/2147483647),'Control Room'!$B$8+('Control Room'!$D$8-'Control Room'!$B$8)*AU607/2147483647)</x:f>
        <x:v>865.407565448695</x:v>
      </x:c>
      <x:c r="AX607" s="17" t="n">
        <x:f>IF('Control Room'!$B$5="Normal",'Control Room'!$B$7,('Control Room'!$B$8+'Control Room'!$D$8)/2)+'Control Room'!$B$9*(AX606-IF('Control Room'!$B$5="Normal",'Control Room'!$B$7,('Control Room'!$B$8+'Control Room'!$D$8)/2))+SQRT(1-'Control Room'!$B$9^2)*(AW607-IF('Control Room'!$B$5="Normal",'Control Room'!$B$7,('Control Room'!$B$8+'Control Room'!$D$8)/2))</x:f>
        <x:v>976.6283115434333</x:v>
      </x:c>
      <x:c r="AY607" s="17" t="n">
        <x:f>IF(AND($A607&gt;='Control Room'!$A$13,$A607&lt;'Control Room'!$A$13+'Control Room'!$B$13,'Process'!BT2=1),1+('Control Room'!$C$13-1)*EXP(-0.5*(($A607-'Control Room'!$A$13-('Control Room'!$B$13-1)/2)/MAX(0.5,'Control Room'!$B$13/4))^2),1)*IF(AND($A607&gt;='Control Room'!$A$14,$A607&lt;'Control Room'!$A$14+'Control Room'!$B$14,'Process'!BT3=1),1+('Control Room'!$C$14-1)*EXP(-0.5*(($A607-'Control Room'!$A$14-('Control Room'!$B$14-1)/2)/MAX(0.5,'Control Room'!$B$14/4))^2),1)*IF(AND($A607&gt;='Control Room'!$A$15,$A607&lt;'Control Room'!$A$15+'Control Room'!$B$15,'Process'!BT4=1),1+('Control Room'!$C$15-1)*EXP(-0.5*(($A607-'Control Room'!$A$15-('Control Room'!$B$15-1)/2)/MAX(0.5,'Control Room'!$B$15/4))^2),1)*IF(AND($A607&gt;='Control Room'!$A$16,$A607&lt;'Control Room'!$A$16+'Control Room'!$B$16,'Process'!BT5=1),1+('Control Room'!$C$16-1)*EXP(-0.5*(($A607-'Control Room'!$A$16-('Control Room'!$B$16-1)/2)/MAX(0.5,'Control Room'!$B$16/4))^2),1)</x:f>
        <x:v>1</x:v>
      </x:c>
      <x:c r="AZ607" s="9" t="n">
        <x:f>MOD(BA606*16807,2147483647)</x:f>
        <x:v>1918486408</x:v>
      </x:c>
      <x:c r="BA607" s="9" t="n">
        <x:f>MOD(AZ607*16807,2147483647)</x:f>
        <x:v>1681583198</x:v>
      </x:c>
      <x:c r="BB607" s="17" t="n">
        <x:f>IF('Control Room'!$B$5="Normal",'Control Room'!$B$7+'Control Room'!$D$7*SQRT(-2*LN(MAX(0.000000000001,AZ607/2147483647)))*COS(2*PI()*BA607/2147483647),'Control Room'!$B$8+('Control Room'!$D$8-'Control Room'!$B$8)*AZ607/2147483647)</x:f>
        <x:v>1008.8112522391366</x:v>
      </x:c>
      <x:c r="BC607" s="17" t="n">
        <x:f>IF('Control Room'!$B$5="Normal",'Control Room'!$B$7,('Control Room'!$B$8+'Control Room'!$D$8)/2)+'Control Room'!$B$9*(BC606-IF('Control Room'!$B$5="Normal",'Control Room'!$B$7,('Control Room'!$B$8+'Control Room'!$D$8)/2))+SQRT(1-'Control Room'!$B$9^2)*(BB607-IF('Control Room'!$B$5="Normal",'Control Room'!$B$7,('Control Room'!$B$8+'Control Room'!$D$8)/2))</x:f>
        <x:v>963.7826187941441</x:v>
      </x:c>
      <x:c r="BD607" s="17" t="n">
        <x:f>IF(AND($A607&gt;='Control Room'!$A$13,$A607&lt;'Control Room'!$A$13+'Control Room'!$B$13,'Process'!BU2=1),1+('Control Room'!$C$13-1)*EXP(-0.5*(($A607-'Control Room'!$A$13-('Control Room'!$B$13-1)/2)/MAX(0.5,'Control Room'!$B$13/4))^2),1)*IF(AND($A607&gt;='Control Room'!$A$14,$A607&lt;'Control Room'!$A$14+'Control Room'!$B$14,'Process'!BU3=1),1+('Control Room'!$C$14-1)*EXP(-0.5*(($A607-'Control Room'!$A$14-('Control Room'!$B$14-1)/2)/MAX(0.5,'Control Room'!$B$14/4))^2),1)*IF(AND($A607&gt;='Control Room'!$A$15,$A607&lt;'Control Room'!$A$15+'Control Room'!$B$15,'Process'!BU4=1),1+('Control Room'!$C$15-1)*EXP(-0.5*(($A607-'Control Room'!$A$15-('Control Room'!$B$15-1)/2)/MAX(0.5,'Control Room'!$B$15/4))^2),1)*IF(AND($A607&gt;='Control Room'!$A$16,$A607&lt;'Control Room'!$A$16+'Control Room'!$B$16,'Process'!BU5=1),1+('Control Room'!$C$16-1)*EXP(-0.5*(($A607-'Control Room'!$A$16-('Control Room'!$B$16-1)/2)/MAX(0.5,'Control Room'!$B$16/4))^2),1)</x:f>
        <x:v>1</x:v>
      </x:c>
      <x:c r="BE607" s="9" t="n">
        <x:f>MOD(BF606*16807,2147483647)</x:f>
        <x:v>1434916606</x:v>
      </x:c>
      <x:c r="BF607" s="9" t="n">
        <x:f>MOD(BE607*16807,2147483647)</x:f>
        <x:v>402041232</x:v>
      </x:c>
      <x:c r="BG607" s="17" t="n">
        <x:f>IF('Control Room'!$B$5="Normal",'Control Room'!$B$7+'Control Room'!$D$7*SQRT(-2*LN(MAX(0.000000000001,BE607/2147483647)))*COS(2*PI()*BF607/2147483647),'Control Room'!$B$8+('Control Room'!$D$8-'Control Room'!$B$8)*BE607/2147483647)</x:f>
        <x:v>1031.061654919819</x:v>
      </x:c>
      <x:c r="BH607" s="17" t="n">
        <x:f>IF('Control Room'!$B$5="Normal",'Control Room'!$B$7,('Control Room'!$B$8+'Control Room'!$D$8)/2)+'Control Room'!$B$9*(BH606-IF('Control Room'!$B$5="Normal",'Control Room'!$B$7,('Control Room'!$B$8+'Control Room'!$D$8)/2))+SQRT(1-'Control Room'!$B$9^2)*(BG607-IF('Control Room'!$B$5="Normal",'Control Room'!$B$7,('Control Room'!$B$8+'Control Room'!$D$8)/2))</x:f>
        <x:v>1066.559096359434</x:v>
      </x:c>
      <x:c r="BI607" s="17" t="n">
        <x:f>IF(AND($A607&gt;='Control Room'!$A$13,$A607&lt;'Control Room'!$A$13+'Control Room'!$B$13,'Process'!BV2=1),1+('Control Room'!$C$13-1)*EXP(-0.5*(($A607-'Control Room'!$A$13-('Control Room'!$B$13-1)/2)/MAX(0.5,'Control Room'!$B$13/4))^2),1)*IF(AND($A607&gt;='Control Room'!$A$14,$A607&lt;'Control Room'!$A$14+'Control Room'!$B$14,'Process'!BV3=1),1+('Control Room'!$C$14-1)*EXP(-0.5*(($A607-'Control Room'!$A$14-('Control Room'!$B$14-1)/2)/MAX(0.5,'Control Room'!$B$14/4))^2),1)*IF(AND($A607&gt;='Control Room'!$A$15,$A607&lt;'Control Room'!$A$15+'Control Room'!$B$15,'Process'!BV4=1),1+('Control Room'!$C$15-1)*EXP(-0.5*(($A607-'Control Room'!$A$15-('Control Room'!$B$15-1)/2)/MAX(0.5,'Control Room'!$B$15/4))^2),1)*IF(AND($A607&gt;='Control Room'!$A$16,$A607&lt;'Control Room'!$A$16+'Control Room'!$B$16,'Process'!BV5=1),1+('Control Room'!$C$16-1)*EXP(-0.5*(($A607-'Control Room'!$A$16-('Control Room'!$B$16-1)/2)/MAX(0.5,'Control Room'!$B$16/4))^2),1)</x:f>
        <x:v>1</x:v>
      </x:c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Z607" t="str">
        <x:f>IF('Data'!A607="","",TEXT('Data'!A607,"mm-dd"))</x:f>
      </x:c>
    </x:row>
    <x:row r="608" ht="21" customHeight="1">
      <x:c r="A608" s="15" t="n">
        <x:f>'Control Room'!$B$1+606</x:f>
        <x:v>73597</x:v>
      </x:c>
      <x:c r="B608" s="9" t="n">
        <x:f>MOD(C607*16807,2147483647)</x:f>
        <x:v>794862012</x:v>
      </x:c>
      <x:c r="C608" s="9" t="n">
        <x:f>MOD(B608*16807,2147483647)</x:f>
        <x:v>1897551344</x:v>
      </x:c>
      <x:c r="D608" s="17" t="n">
        <x:f>IF('Control Room'!$B$5="Normal",'Control Room'!$B$7+'Control Room'!$D$7*SQRT(-2*LN(MAX(0.000000000001,B608/2147483647)))*COS(2*PI()*C608/2147483647),'Control Room'!$B$8+('Control Room'!$D$8-'Control Room'!$B$8)*B608/2147483647)</x:f>
        <x:v>1094.4479355829576</x:v>
      </x:c>
      <x:c r="E608" s="17" t="n">
        <x:f>IF('Control Room'!$B$5="Normal",'Control Room'!$B$7,('Control Room'!$B$8+'Control Room'!$D$8)/2)+'Control Room'!$B$9*(E607-IF('Control Room'!$B$5="Normal",'Control Room'!$B$7,('Control Room'!$B$8+'Control Room'!$D$8)/2))+SQRT(1-'Control Room'!$B$9^2)*(D608-IF('Control Room'!$B$5="Normal",'Control Room'!$B$7,('Control Room'!$B$8+'Control Room'!$D$8)/2))</x:f>
        <x:v>1177.1850724272554</x:v>
      </x:c>
      <x:c r="F608" s="17" t="n">
        <x:f>IF(AND($A608&gt;='Control Room'!$A$13,$A608&lt;'Control Room'!$A$13+'Control Room'!$B$13,'Process'!BK2=1),1+('Control Room'!$C$13-1)*EXP(-0.5*(($A608-'Control Room'!$A$13-('Control Room'!$B$13-1)/2)/MAX(0.5,'Control Room'!$B$13/4))^2),1)*IF(AND($A608&gt;='Control Room'!$A$14,$A608&lt;'Control Room'!$A$14+'Control Room'!$B$14,'Process'!BK3=1),1+('Control Room'!$C$14-1)*EXP(-0.5*(($A608-'Control Room'!$A$14-('Control Room'!$B$14-1)/2)/MAX(0.5,'Control Room'!$B$14/4))^2),1)*IF(AND($A608&gt;='Control Room'!$A$15,$A608&lt;'Control Room'!$A$15+'Control Room'!$B$15,'Process'!BK4=1),1+('Control Room'!$C$15-1)*EXP(-0.5*(($A608-'Control Room'!$A$15-('Control Room'!$B$15-1)/2)/MAX(0.5,'Control Room'!$B$15/4))^2),1)*IF(AND($A608&gt;='Control Room'!$A$16,$A608&lt;'Control Room'!$A$16+'Control Room'!$B$16,'Process'!BK5=1),1+('Control Room'!$C$16-1)*EXP(-0.5*(($A608-'Control Room'!$A$16-('Control Room'!$B$16-1)/2)/MAX(0.5,'Control Room'!$B$16/4))^2),1)</x:f>
        <x:v>1</x:v>
      </x:c>
      <x:c r="G608" s="9" t="n">
        <x:f>MOD(H607*16807,2147483647)</x:f>
        <x:v>434280508</x:v>
      </x:c>
      <x:c r="H608" s="9" t="n">
        <x:f>MOD(G608*16807,2147483647)</x:f>
        <x:v>1803065450</x:v>
      </x:c>
      <x:c r="I608" s="17" t="n">
        <x:f>IF('Control Room'!$B$5="Normal",'Control Room'!$B$7+'Control Room'!$D$7*SQRT(-2*LN(MAX(0.000000000001,G608/2147483647)))*COS(2*PI()*H608/2147483647),'Control Room'!$B$8+('Control Room'!$D$8-'Control Room'!$B$8)*G608/2147483647)</x:f>
        <x:v>1085.895728318917</x:v>
      </x:c>
      <x:c r="J608" s="17" t="n">
        <x:f>IF('Control Room'!$B$5="Normal",'Control Room'!$B$7,('Control Room'!$B$8+'Control Room'!$D$8)/2)+'Control Room'!$B$9*(J607-IF('Control Room'!$B$5="Normal",'Control Room'!$B$7,('Control Room'!$B$8+'Control Room'!$D$8)/2))+SQRT(1-'Control Room'!$B$9^2)*(I608-IF('Control Room'!$B$5="Normal",'Control Room'!$B$7,('Control Room'!$B$8+'Control Room'!$D$8)/2))</x:f>
        <x:v>1153.138350096028</x:v>
      </x:c>
      <x:c r="K608" s="17" t="n">
        <x:f>IF(AND($A608&gt;='Control Room'!$A$13,$A608&lt;'Control Room'!$A$13+'Control Room'!$B$13,'Process'!BL2=1),1+('Control Room'!$C$13-1)*EXP(-0.5*(($A608-'Control Room'!$A$13-('Control Room'!$B$13-1)/2)/MAX(0.5,'Control Room'!$B$13/4))^2),1)*IF(AND($A608&gt;='Control Room'!$A$14,$A608&lt;'Control Room'!$A$14+'Control Room'!$B$14,'Process'!BL3=1),1+('Control Room'!$C$14-1)*EXP(-0.5*(($A608-'Control Room'!$A$14-('Control Room'!$B$14-1)/2)/MAX(0.5,'Control Room'!$B$14/4))^2),1)*IF(AND($A608&gt;='Control Room'!$A$15,$A608&lt;'Control Room'!$A$15+'Control Room'!$B$15,'Process'!BL4=1),1+('Control Room'!$C$15-1)*EXP(-0.5*(($A608-'Control Room'!$A$15-('Control Room'!$B$15-1)/2)/MAX(0.5,'Control Room'!$B$15/4))^2),1)*IF(AND($A608&gt;='Control Room'!$A$16,$A608&lt;'Control Room'!$A$16+'Control Room'!$B$16,'Process'!BL5=1),1+('Control Room'!$C$16-1)*EXP(-0.5*(($A608-'Control Room'!$A$16-('Control Room'!$B$16-1)/2)/MAX(0.5,'Control Room'!$B$16/4))^2),1)</x:f>
        <x:v>1</x:v>
      </x:c>
      <x:c r="L608" s="9" t="n">
        <x:f>MOD(M607*16807,2147483647)</x:f>
        <x:v>73699004</x:v>
      </x:c>
      <x:c r="M608" s="9" t="n">
        <x:f>MOD(L608*16807,2147483647)</x:f>
        <x:v>1708579556</x:v>
      </x:c>
      <x:c r="N608" s="17" t="n">
        <x:f>IF('Control Room'!$B$5="Normal",'Control Room'!$B$7+'Control Room'!$D$7*SQRT(-2*LN(MAX(0.000000000001,L608/2147483647)))*COS(2*PI()*M608/2147483647),'Control Room'!$B$8+('Control Room'!$D$8-'Control Room'!$B$8)*L608/2147483647)</x:f>
        <x:v>1066.080157661074</x:v>
      </x:c>
      <x:c r="O608" s="17" t="n">
        <x:f>IF('Control Room'!$B$5="Normal",'Control Room'!$B$7,('Control Room'!$B$8+'Control Room'!$D$8)/2)+'Control Room'!$B$9*(O607-IF('Control Room'!$B$5="Normal",'Control Room'!$B$7,('Control Room'!$B$8+'Control Room'!$D$8)/2))+SQRT(1-'Control Room'!$B$9^2)*(N608-IF('Control Room'!$B$5="Normal",'Control Room'!$B$7,('Control Room'!$B$8+'Control Room'!$D$8)/2))</x:f>
        <x:v>1030.1785103143948</x:v>
      </x:c>
      <x:c r="P608" s="17" t="n">
        <x:f>IF(AND($A608&gt;='Control Room'!$A$13,$A608&lt;'Control Room'!$A$13+'Control Room'!$B$13,'Process'!BM2=1),1+('Control Room'!$C$13-1)*EXP(-0.5*(($A608-'Control Room'!$A$13-('Control Room'!$B$13-1)/2)/MAX(0.5,'Control Room'!$B$13/4))^2),1)*IF(AND($A608&gt;='Control Room'!$A$14,$A608&lt;'Control Room'!$A$14+'Control Room'!$B$14,'Process'!BM3=1),1+('Control Room'!$C$14-1)*EXP(-0.5*(($A608-'Control Room'!$A$14-('Control Room'!$B$14-1)/2)/MAX(0.5,'Control Room'!$B$14/4))^2),1)*IF(AND($A608&gt;='Control Room'!$A$15,$A608&lt;'Control Room'!$A$15+'Control Room'!$B$15,'Process'!BM4=1),1+('Control Room'!$C$15-1)*EXP(-0.5*(($A608-'Control Room'!$A$15-('Control Room'!$B$15-1)/2)/MAX(0.5,'Control Room'!$B$15/4))^2),1)*IF(AND($A608&gt;='Control Room'!$A$16,$A608&lt;'Control Room'!$A$16+'Control Room'!$B$16,'Process'!BM5=1),1+('Control Room'!$C$16-1)*EXP(-0.5*(($A608-'Control Room'!$A$16-('Control Room'!$B$16-1)/2)/MAX(0.5,'Control Room'!$B$16/4))^2),1)</x:f>
        <x:v>1</x:v>
      </x:c>
      <x:c r="Q608" s="9" t="n">
        <x:f>MOD(R607*16807,2147483647)</x:f>
        <x:v>1860601147</x:v>
      </x:c>
      <x:c r="R608" s="9" t="n">
        <x:f>MOD(Q608*16807,2147483647)</x:f>
        <x:v>1614093662</x:v>
      </x:c>
      <x:c r="S608" s="17" t="n">
        <x:f>IF('Control Room'!$B$5="Normal",'Control Room'!$B$7+'Control Room'!$D$7*SQRT(-2*LN(MAX(0.000000000001,Q608/2147483647)))*COS(2*PI()*R608/2147483647),'Control Room'!$B$8+('Control Room'!$D$8-'Control Room'!$B$8)*Q608/2147483647)</x:f>
        <x:v>1000.4908684417896</x:v>
      </x:c>
      <x:c r="T608" s="17" t="n">
        <x:f>IF('Control Room'!$B$5="Normal",'Control Room'!$B$7,('Control Room'!$B$8+'Control Room'!$D$8)/2)+'Control Room'!$B$9*(T607-IF('Control Room'!$B$5="Normal",'Control Room'!$B$7,('Control Room'!$B$8+'Control Room'!$D$8)/2))+SQRT(1-'Control Room'!$B$9^2)*(S608-IF('Control Room'!$B$5="Normal",'Control Room'!$B$7,('Control Room'!$B$8+'Control Room'!$D$8)/2))</x:f>
        <x:v>1074.8253518487275</x:v>
      </x:c>
      <x:c r="U608" s="17" t="n">
        <x:f>IF(AND($A608&gt;='Control Room'!$A$13,$A608&lt;'Control Room'!$A$13+'Control Room'!$B$13,'Process'!BN2=1),1+('Control Room'!$C$13-1)*EXP(-0.5*(($A608-'Control Room'!$A$13-('Control Room'!$B$13-1)/2)/MAX(0.5,'Control Room'!$B$13/4))^2),1)*IF(AND($A608&gt;='Control Room'!$A$14,$A608&lt;'Control Room'!$A$14+'Control Room'!$B$14,'Process'!BN3=1),1+('Control Room'!$C$14-1)*EXP(-0.5*(($A608-'Control Room'!$A$14-('Control Room'!$B$14-1)/2)/MAX(0.5,'Control Room'!$B$14/4))^2),1)*IF(AND($A608&gt;='Control Room'!$A$15,$A608&lt;'Control Room'!$A$15+'Control Room'!$B$15,'Process'!BN4=1),1+('Control Room'!$C$15-1)*EXP(-0.5*(($A608-'Control Room'!$A$15-('Control Room'!$B$15-1)/2)/MAX(0.5,'Control Room'!$B$15/4))^2),1)*IF(AND($A608&gt;='Control Room'!$A$16,$A608&lt;'Control Room'!$A$16+'Control Room'!$B$16,'Process'!BN5=1),1+('Control Room'!$C$16-1)*EXP(-0.5*(($A608-'Control Room'!$A$16-('Control Room'!$B$16-1)/2)/MAX(0.5,'Control Room'!$B$16/4))^2),1)</x:f>
        <x:v>1</x:v>
      </x:c>
      <x:c r="V608" s="9" t="n">
        <x:f>MOD(W607*16807,2147483647)</x:f>
        <x:v>1500019643</x:v>
      </x:c>
      <x:c r="W608" s="9" t="n">
        <x:f>MOD(V608*16807,2147483647)</x:f>
        <x:v>1519607768</x:v>
      </x:c>
      <x:c r="X608" s="17" t="n">
        <x:f>IF('Control Room'!$B$5="Normal",'Control Room'!$B$7+'Control Room'!$D$7*SQRT(-2*LN(MAX(0.000000000001,V608/2147483647)))*COS(2*PI()*W608/2147483647),'Control Room'!$B$8+('Control Room'!$D$8-'Control Room'!$B$8)*V608/2147483647)</x:f>
        <x:v>979.9383730986044</x:v>
      </x:c>
      <x:c r="Y608" s="17" t="n">
        <x:f>IF('Control Room'!$B$5="Normal",'Control Room'!$B$7,('Control Room'!$B$8+'Control Room'!$D$8)/2)+'Control Room'!$B$9*(Y607-IF('Control Room'!$B$5="Normal",'Control Room'!$B$7,('Control Room'!$B$8+'Control Room'!$D$8)/2))+SQRT(1-'Control Room'!$B$9^2)*(X608-IF('Control Room'!$B$5="Normal",'Control Room'!$B$7,('Control Room'!$B$8+'Control Room'!$D$8)/2))</x:f>
        <x:v>1004.8124612413656</x:v>
      </x:c>
      <x:c r="Z608" s="17" t="n">
        <x:f>IF(AND($A608&gt;='Control Room'!$A$13,$A608&lt;'Control Room'!$A$13+'Control Room'!$B$13,'Process'!BO2=1),1+('Control Room'!$C$13-1)*EXP(-0.5*(($A608-'Control Room'!$A$13-('Control Room'!$B$13-1)/2)/MAX(0.5,'Control Room'!$B$13/4))^2),1)*IF(AND($A608&gt;='Control Room'!$A$14,$A608&lt;'Control Room'!$A$14+'Control Room'!$B$14,'Process'!BO3=1),1+('Control Room'!$C$14-1)*EXP(-0.5*(($A608-'Control Room'!$A$14-('Control Room'!$B$14-1)/2)/MAX(0.5,'Control Room'!$B$14/4))^2),1)*IF(AND($A608&gt;='Control Room'!$A$15,$A608&lt;'Control Room'!$A$15+'Control Room'!$B$15,'Process'!BO4=1),1+('Control Room'!$C$15-1)*EXP(-0.5*(($A608-'Control Room'!$A$15-('Control Room'!$B$15-1)/2)/MAX(0.5,'Control Room'!$B$15/4))^2),1)*IF(AND($A608&gt;='Control Room'!$A$16,$A608&lt;'Control Room'!$A$16+'Control Room'!$B$16,'Process'!BO5=1),1+('Control Room'!$C$16-1)*EXP(-0.5*(($A608-'Control Room'!$A$16-('Control Room'!$B$16-1)/2)/MAX(0.5,'Control Room'!$B$16/4))^2),1)</x:f>
        <x:v>1</x:v>
      </x:c>
      <x:c r="AA608" s="9" t="n">
        <x:f>MOD(AB607*16807,2147483647)</x:f>
        <x:v>1139438139</x:v>
      </x:c>
      <x:c r="AB608" s="9" t="n">
        <x:f>MOD(AA608*16807,2147483647)</x:f>
        <x:v>1425121874</x:v>
      </x:c>
      <x:c r="AC608" s="17" t="n">
        <x:f>IF('Control Room'!$B$5="Normal",'Control Room'!$B$7+'Control Room'!$D$7*SQRT(-2*LN(MAX(0.000000000001,AA608/2147483647)))*COS(2*PI()*AB608/2147483647),'Control Room'!$B$8+('Control Room'!$D$8-'Control Room'!$B$8)*AA608/2147483647)</x:f>
        <x:v>947.6688745022931</x:v>
      </x:c>
      <x:c r="AD608" s="17" t="n">
        <x:f>IF('Control Room'!$B$5="Normal",'Control Room'!$B$7,('Control Room'!$B$8+'Control Room'!$D$8)/2)+'Control Room'!$B$9*(AD607-IF('Control Room'!$B$5="Normal",'Control Room'!$B$7,('Control Room'!$B$8+'Control Room'!$D$8)/2))+SQRT(1-'Control Room'!$B$9^2)*(AC608-IF('Control Room'!$B$5="Normal",'Control Room'!$B$7,('Control Room'!$B$8+'Control Room'!$D$8)/2))</x:f>
        <x:v>956.1685010092579</x:v>
      </x:c>
      <x:c r="AE608" s="17" t="n">
        <x:f>IF(AND($A608&gt;='Control Room'!$A$13,$A608&lt;'Control Room'!$A$13+'Control Room'!$B$13,'Process'!BP2=1),1+('Control Room'!$C$13-1)*EXP(-0.5*(($A608-'Control Room'!$A$13-('Control Room'!$B$13-1)/2)/MAX(0.5,'Control Room'!$B$13/4))^2),1)*IF(AND($A608&gt;='Control Room'!$A$14,$A608&lt;'Control Room'!$A$14+'Control Room'!$B$14,'Process'!BP3=1),1+('Control Room'!$C$14-1)*EXP(-0.5*(($A608-'Control Room'!$A$14-('Control Room'!$B$14-1)/2)/MAX(0.5,'Control Room'!$B$14/4))^2),1)*IF(AND($A608&gt;='Control Room'!$A$15,$A608&lt;'Control Room'!$A$15+'Control Room'!$B$15,'Process'!BP4=1),1+('Control Room'!$C$15-1)*EXP(-0.5*(($A608-'Control Room'!$A$15-('Control Room'!$B$15-1)/2)/MAX(0.5,'Control Room'!$B$15/4))^2),1)*IF(AND($A608&gt;='Control Room'!$A$16,$A608&lt;'Control Room'!$A$16+'Control Room'!$B$16,'Process'!BP5=1),1+('Control Room'!$C$16-1)*EXP(-0.5*(($A608-'Control Room'!$A$16-('Control Room'!$B$16-1)/2)/MAX(0.5,'Control Room'!$B$16/4))^2),1)</x:f>
        <x:v>1</x:v>
      </x:c>
      <x:c r="AF608" s="9" t="n">
        <x:f>MOD(AG607*16807,2147483647)</x:f>
        <x:v>778856635</x:v>
      </x:c>
      <x:c r="AG608" s="9" t="n">
        <x:f>MOD(AF608*16807,2147483647)</x:f>
        <x:v>1330635980</x:v>
      </x:c>
      <x:c r="AH608" s="17" t="n">
        <x:f>IF('Control Room'!$B$5="Normal",'Control Room'!$B$7+'Control Room'!$D$7*SQRT(-2*LN(MAX(0.000000000001,AF608/2147483647)))*COS(2*PI()*AG608/2147483647),'Control Room'!$B$8+('Control Room'!$D$8-'Control Room'!$B$8)*AF608/2147483647)</x:f>
        <x:v>906.3537309859171</x:v>
      </x:c>
      <x:c r="AI608" s="17" t="n">
        <x:f>IF('Control Room'!$B$5="Normal",'Control Room'!$B$7,('Control Room'!$B$8+'Control Room'!$D$8)/2)+'Control Room'!$B$9*(AI607-IF('Control Room'!$B$5="Normal",'Control Room'!$B$7,('Control Room'!$B$8+'Control Room'!$D$8)/2))+SQRT(1-'Control Room'!$B$9^2)*(AH608-IF('Control Room'!$B$5="Normal",'Control Room'!$B$7,('Control Room'!$B$8+'Control Room'!$D$8)/2))</x:f>
        <x:v>979.4767801827866</x:v>
      </x:c>
      <x:c r="AJ608" s="17" t="n">
        <x:f>IF(AND($A608&gt;='Control Room'!$A$13,$A608&lt;'Control Room'!$A$13+'Control Room'!$B$13,'Process'!BQ2=1),1+('Control Room'!$C$13-1)*EXP(-0.5*(($A608-'Control Room'!$A$13-('Control Room'!$B$13-1)/2)/MAX(0.5,'Control Room'!$B$13/4))^2),1)*IF(AND($A608&gt;='Control Room'!$A$14,$A608&lt;'Control Room'!$A$14+'Control Room'!$B$14,'Process'!BQ3=1),1+('Control Room'!$C$14-1)*EXP(-0.5*(($A608-'Control Room'!$A$14-('Control Room'!$B$14-1)/2)/MAX(0.5,'Control Room'!$B$14/4))^2),1)*IF(AND($A608&gt;='Control Room'!$A$15,$A608&lt;'Control Room'!$A$15+'Control Room'!$B$15,'Process'!BQ4=1),1+('Control Room'!$C$15-1)*EXP(-0.5*(($A608-'Control Room'!$A$15-('Control Room'!$B$15-1)/2)/MAX(0.5,'Control Room'!$B$15/4))^2),1)*IF(AND($A608&gt;='Control Room'!$A$16,$A608&lt;'Control Room'!$A$16+'Control Room'!$B$16,'Process'!BQ5=1),1+('Control Room'!$C$16-1)*EXP(-0.5*(($A608-'Control Room'!$A$16-('Control Room'!$B$16-1)/2)/MAX(0.5,'Control Room'!$B$16/4))^2),1)</x:f>
        <x:v>1</x:v>
      </x:c>
      <x:c r="AK608" s="9" t="n">
        <x:f>MOD(AL607*16807,2147483647)</x:f>
        <x:v>418275131</x:v>
      </x:c>
      <x:c r="AL608" s="9" t="n">
        <x:f>MOD(AK608*16807,2147483647)</x:f>
        <x:v>1236150086</x:v>
      </x:c>
      <x:c r="AM608" s="17" t="n">
        <x:f>IF('Control Room'!$B$5="Normal",'Control Room'!$B$7+'Control Room'!$D$7*SQRT(-2*LN(MAX(0.000000000001,AK608/2147483647)))*COS(2*PI()*AL608/2147483647),'Control Room'!$B$8+('Control Room'!$D$8-'Control Room'!$B$8)*AK608/2147483647)</x:f>
        <x:v>855.2421607020865</x:v>
      </x:c>
      <x:c r="AN608" s="17" t="n">
        <x:f>IF('Control Room'!$B$5="Normal",'Control Room'!$B$7,('Control Room'!$B$8+'Control Room'!$D$8)/2)+'Control Room'!$B$9*(AN607-IF('Control Room'!$B$5="Normal",'Control Room'!$B$7,('Control Room'!$B$8+'Control Room'!$D$8)/2))+SQRT(1-'Control Room'!$B$9^2)*(AM608-IF('Control Room'!$B$5="Normal",'Control Room'!$B$7,('Control Room'!$B$8+'Control Room'!$D$8)/2))</x:f>
        <x:v>808.5695990512161</x:v>
      </x:c>
      <x:c r="AO608" s="17" t="n">
        <x:f>IF(AND($A608&gt;='Control Room'!$A$13,$A608&lt;'Control Room'!$A$13+'Control Room'!$B$13,'Process'!BR2=1),1+('Control Room'!$C$13-1)*EXP(-0.5*(($A608-'Control Room'!$A$13-('Control Room'!$B$13-1)/2)/MAX(0.5,'Control Room'!$B$13/4))^2),1)*IF(AND($A608&gt;='Control Room'!$A$14,$A608&lt;'Control Room'!$A$14+'Control Room'!$B$14,'Process'!BR3=1),1+('Control Room'!$C$14-1)*EXP(-0.5*(($A608-'Control Room'!$A$14-('Control Room'!$B$14-1)/2)/MAX(0.5,'Control Room'!$B$14/4))^2),1)*IF(AND($A608&gt;='Control Room'!$A$15,$A608&lt;'Control Room'!$A$15+'Control Room'!$B$15,'Process'!BR4=1),1+('Control Room'!$C$15-1)*EXP(-0.5*(($A608-'Control Room'!$A$15-('Control Room'!$B$15-1)/2)/MAX(0.5,'Control Room'!$B$15/4))^2),1)*IF(AND($A608&gt;='Control Room'!$A$16,$A608&lt;'Control Room'!$A$16+'Control Room'!$B$16,'Process'!BR5=1),1+('Control Room'!$C$16-1)*EXP(-0.5*(($A608-'Control Room'!$A$16-('Control Room'!$B$16-1)/2)/MAX(0.5,'Control Room'!$B$16/4))^2),1)</x:f>
        <x:v>1</x:v>
      </x:c>
      <x:c r="AP608" s="9" t="n">
        <x:f>MOD(AQ607*16807,2147483647)</x:f>
        <x:v>57693627</x:v>
      </x:c>
      <x:c r="AQ608" s="9" t="n">
        <x:f>MOD(AP608*16807,2147483647)</x:f>
        <x:v>1141664192</x:v>
      </x:c>
      <x:c r="AR608" s="17" t="n">
        <x:f>IF('Control Room'!$B$5="Normal",'Control Room'!$B$7+'Control Room'!$D$7*SQRT(-2*LN(MAX(0.000000000001,AP608/2147483647)))*COS(2*PI()*AQ608/2147483647),'Control Room'!$B$8+('Control Room'!$D$8-'Control Room'!$B$8)*AP608/2147483647)</x:f>
        <x:v>762.7025222837314</x:v>
      </x:c>
      <x:c r="AS608" s="17" t="n">
        <x:f>IF('Control Room'!$B$5="Normal",'Control Room'!$B$7,('Control Room'!$B$8+'Control Room'!$D$8)/2)+'Control Room'!$B$9*(AS607-IF('Control Room'!$B$5="Normal",'Control Room'!$B$7,('Control Room'!$B$8+'Control Room'!$D$8)/2))+SQRT(1-'Control Room'!$B$9^2)*(AR608-IF('Control Room'!$B$5="Normal",'Control Room'!$B$7,('Control Room'!$B$8+'Control Room'!$D$8)/2))</x:f>
        <x:v>920.4257274623816</x:v>
      </x:c>
      <x:c r="AT608" s="17" t="n">
        <x:f>IF(AND($A608&gt;='Control Room'!$A$13,$A608&lt;'Control Room'!$A$13+'Control Room'!$B$13,'Process'!BS2=1),1+('Control Room'!$C$13-1)*EXP(-0.5*(($A608-'Control Room'!$A$13-('Control Room'!$B$13-1)/2)/MAX(0.5,'Control Room'!$B$13/4))^2),1)*IF(AND($A608&gt;='Control Room'!$A$14,$A608&lt;'Control Room'!$A$14+'Control Room'!$B$14,'Process'!BS3=1),1+('Control Room'!$C$14-1)*EXP(-0.5*(($A608-'Control Room'!$A$14-('Control Room'!$B$14-1)/2)/MAX(0.5,'Control Room'!$B$14/4))^2),1)*IF(AND($A608&gt;='Control Room'!$A$15,$A608&lt;'Control Room'!$A$15+'Control Room'!$B$15,'Process'!BS4=1),1+('Control Room'!$C$15-1)*EXP(-0.5*(($A608-'Control Room'!$A$15-('Control Room'!$B$15-1)/2)/MAX(0.5,'Control Room'!$B$15/4))^2),1)*IF(AND($A608&gt;='Control Room'!$A$16,$A608&lt;'Control Room'!$A$16+'Control Room'!$B$16,'Process'!BS5=1),1+('Control Room'!$C$16-1)*EXP(-0.5*(($A608-'Control Room'!$A$16-('Control Room'!$B$16-1)/2)/MAX(0.5,'Control Room'!$B$16/4))^2),1)</x:f>
        <x:v>1</x:v>
      </x:c>
      <x:c r="AU608" s="9" t="n">
        <x:f>MOD(AV607*16807,2147483647)</x:f>
        <x:v>1844595770</x:v>
      </x:c>
      <x:c r="AV608" s="9" t="n">
        <x:f>MOD(AU608*16807,2147483647)</x:f>
        <x:v>1047178298</x:v>
      </x:c>
      <x:c r="AW608" s="17" t="n">
        <x:f>IF('Control Room'!$B$5="Normal",'Control Room'!$B$7+'Control Room'!$D$7*SQRT(-2*LN(MAX(0.000000000001,AU608/2147483647)))*COS(2*PI()*AV608/2147483647),'Control Room'!$B$8+('Control Room'!$D$8-'Control Room'!$B$8)*AU608/2147483647)</x:f>
        <x:v>950.5212650308962</x:v>
      </x:c>
      <x:c r="AX608" s="17" t="n">
        <x:f>IF('Control Room'!$B$5="Normal",'Control Room'!$B$7,('Control Room'!$B$8+'Control Room'!$D$8)/2)+'Control Room'!$B$9*(AX607-IF('Control Room'!$B$5="Normal",'Control Room'!$B$7,('Control Room'!$B$8+'Control Room'!$D$8)/2))+SQRT(1-'Control Room'!$B$9^2)*(AW608-IF('Control Room'!$B$5="Normal",'Control Room'!$B$7,('Control Room'!$B$8+'Control Room'!$D$8)/2))</x:f>
        <x:v>950.8073042871941</x:v>
      </x:c>
      <x:c r="AY608" s="17" t="n">
        <x:f>IF(AND($A608&gt;='Control Room'!$A$13,$A608&lt;'Control Room'!$A$13+'Control Room'!$B$13,'Process'!BT2=1),1+('Control Room'!$C$13-1)*EXP(-0.5*(($A608-'Control Room'!$A$13-('Control Room'!$B$13-1)/2)/MAX(0.5,'Control Room'!$B$13/4))^2),1)*IF(AND($A608&gt;='Control Room'!$A$14,$A608&lt;'Control Room'!$A$14+'Control Room'!$B$14,'Process'!BT3=1),1+('Control Room'!$C$14-1)*EXP(-0.5*(($A608-'Control Room'!$A$14-('Control Room'!$B$14-1)/2)/MAX(0.5,'Control Room'!$B$14/4))^2),1)*IF(AND($A608&gt;='Control Room'!$A$15,$A608&lt;'Control Room'!$A$15+'Control Room'!$B$15,'Process'!BT4=1),1+('Control Room'!$C$15-1)*EXP(-0.5*(($A608-'Control Room'!$A$15-('Control Room'!$B$15-1)/2)/MAX(0.5,'Control Room'!$B$15/4))^2),1)*IF(AND($A608&gt;='Control Room'!$A$16,$A608&lt;'Control Room'!$A$16+'Control Room'!$B$16,'Process'!BT5=1),1+('Control Room'!$C$16-1)*EXP(-0.5*(($A608-'Control Room'!$A$16-('Control Room'!$B$16-1)/2)/MAX(0.5,'Control Room'!$B$16/4))^2),1)</x:f>
        <x:v>1</x:v>
      </x:c>
      <x:c r="AZ608" s="9" t="n">
        <x:f>MOD(BA607*16807,2147483647)</x:f>
        <x:v>1484014266</x:v>
      </x:c>
      <x:c r="BA608" s="9" t="n">
        <x:f>MOD(AZ608*16807,2147483647)</x:f>
        <x:v>952692404</x:v>
      </x:c>
      <x:c r="BB608" s="17" t="n">
        <x:f>IF('Control Room'!$B$5="Normal",'Control Room'!$B$7+'Control Room'!$D$7*SQRT(-2*LN(MAX(0.000000000001,AZ608/2147483647)))*COS(2*PI()*BA608/2147483647),'Control Room'!$B$8+('Control Room'!$D$8-'Control Room'!$B$8)*AZ608/2147483647)</x:f>
        <x:v>927.4288131877777</x:v>
      </x:c>
      <x:c r="BC608" s="17" t="n">
        <x:f>IF('Control Room'!$B$5="Normal",'Control Room'!$B$7,('Control Room'!$B$8+'Control Room'!$D$8)/2)+'Control Room'!$B$9*(BC607-IF('Control Room'!$B$5="Normal",'Control Room'!$B$7,('Control Room'!$B$8+'Control Room'!$D$8)/2))+SQRT(1-'Control Room'!$B$9^2)*(BB608-IF('Control Room'!$B$5="Normal",'Control Room'!$B$7,('Control Room'!$B$8+'Control Room'!$D$8)/2))</x:f>
        <x:v>926.336880653915</x:v>
      </x:c>
      <x:c r="BD608" s="17" t="n">
        <x:f>IF(AND($A608&gt;='Control Room'!$A$13,$A608&lt;'Control Room'!$A$13+'Control Room'!$B$13,'Process'!BU2=1),1+('Control Room'!$C$13-1)*EXP(-0.5*(($A608-'Control Room'!$A$13-('Control Room'!$B$13-1)/2)/MAX(0.5,'Control Room'!$B$13/4))^2),1)*IF(AND($A608&gt;='Control Room'!$A$14,$A608&lt;'Control Room'!$A$14+'Control Room'!$B$14,'Process'!BU3=1),1+('Control Room'!$C$14-1)*EXP(-0.5*(($A608-'Control Room'!$A$14-('Control Room'!$B$14-1)/2)/MAX(0.5,'Control Room'!$B$14/4))^2),1)*IF(AND($A608&gt;='Control Room'!$A$15,$A608&lt;'Control Room'!$A$15+'Control Room'!$B$15,'Process'!BU4=1),1+('Control Room'!$C$15-1)*EXP(-0.5*(($A608-'Control Room'!$A$15-('Control Room'!$B$15-1)/2)/MAX(0.5,'Control Room'!$B$15/4))^2),1)*IF(AND($A608&gt;='Control Room'!$A$16,$A608&lt;'Control Room'!$A$16+'Control Room'!$B$16,'Process'!BU5=1),1+('Control Room'!$C$16-1)*EXP(-0.5*(($A608-'Control Room'!$A$16-('Control Room'!$B$16-1)/2)/MAX(0.5,'Control Room'!$B$16/4))^2),1)</x:f>
        <x:v>1</x:v>
      </x:c>
      <x:c r="BE608" s="9" t="n">
        <x:f>MOD(BF607*16807,2147483647)</x:f>
        <x:v>1123432762</x:v>
      </x:c>
      <x:c r="BF608" s="9" t="n">
        <x:f>MOD(BE608*16807,2147483647)</x:f>
        <x:v>858206510</x:v>
      </x:c>
      <x:c r="BG608" s="17" t="n">
        <x:f>IF('Control Room'!$B$5="Normal",'Control Room'!$B$7+'Control Room'!$D$7*SQRT(-2*LN(MAX(0.000000000001,BE608/2147483647)))*COS(2*PI()*BF608/2147483647),'Control Room'!$B$8+('Control Room'!$D$8-'Control Room'!$B$8)*BE608/2147483647)</x:f>
        <x:v>917.2546716888073</x:v>
      </x:c>
      <x:c r="BH608" s="17" t="n">
        <x:f>IF('Control Room'!$B$5="Normal",'Control Room'!$B$7,('Control Room'!$B$8+'Control Room'!$D$8)/2)+'Control Room'!$B$9*(BH607-IF('Control Room'!$B$5="Normal",'Control Room'!$B$7,('Control Room'!$B$8+'Control Room'!$D$8)/2))+SQRT(1-'Control Room'!$B$9^2)*(BG608-IF('Control Room'!$B$5="Normal",'Control Room'!$B$7,('Control Room'!$B$8+'Control Room'!$D$8)/2))</x:f>
        <x:v>1000.1357638334031</x:v>
      </x:c>
      <x:c r="BI608" s="17" t="n">
        <x:f>IF(AND($A608&gt;='Control Room'!$A$13,$A608&lt;'Control Room'!$A$13+'Control Room'!$B$13,'Process'!BV2=1),1+('Control Room'!$C$13-1)*EXP(-0.5*(($A608-'Control Room'!$A$13-('Control Room'!$B$13-1)/2)/MAX(0.5,'Control Room'!$B$13/4))^2),1)*IF(AND($A608&gt;='Control Room'!$A$14,$A608&lt;'Control Room'!$A$14+'Control Room'!$B$14,'Process'!BV3=1),1+('Control Room'!$C$14-1)*EXP(-0.5*(($A608-'Control Room'!$A$14-('Control Room'!$B$14-1)/2)/MAX(0.5,'Control Room'!$B$14/4))^2),1)*IF(AND($A608&gt;='Control Room'!$A$15,$A608&lt;'Control Room'!$A$15+'Control Room'!$B$15,'Process'!BV4=1),1+('Control Room'!$C$15-1)*EXP(-0.5*(($A608-'Control Room'!$A$15-('Control Room'!$B$15-1)/2)/MAX(0.5,'Control Room'!$B$15/4))^2),1)*IF(AND($A608&gt;='Control Room'!$A$16,$A608&lt;'Control Room'!$A$16+'Control Room'!$B$16,'Process'!BV5=1),1+('Control Room'!$C$16-1)*EXP(-0.5*(($A608-'Control Room'!$A$16-('Control Room'!$B$16-1)/2)/MAX(0.5,'Control Room'!$B$16/4))^2),1)</x:f>
        <x:v>1</x:v>
      </x:c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Z608" t="str">
        <x:f>IF('Data'!A608="","",TEXT('Data'!A608,"mm-dd"))</x:f>
      </x:c>
    </x:row>
    <x:row r="609" ht="21" customHeight="1">
      <x:c r="A609" s="15" t="n">
        <x:f>'Control Room'!$B$1+607</x:f>
        <x:v>73598</x:v>
      </x:c>
      <x:c r="B609" s="9" t="n">
        <x:f>MOD(C608*16807,2147483647)</x:f>
        <x:v>2013280658</x:v>
      </x:c>
      <x:c r="C609" s="9" t="n">
        <x:f>MOD(B609*16807,2147483647)</x:f>
        <x:v>1455676874</x:v>
      </x:c>
      <x:c r="D609" s="17" t="n">
        <x:f>IF('Control Room'!$B$5="Normal",'Control Room'!$B$7+'Control Room'!$D$7*SQRT(-2*LN(MAX(0.000000000001,B609/2147483647)))*COS(2*PI()*C609/2147483647),'Control Room'!$B$8+('Control Room'!$D$8-'Control Room'!$B$8)*B609/2147483647)</x:f>
        <x:v>985.8398850100951</x:v>
      </x:c>
      <x:c r="E609" s="17" t="n">
        <x:f>IF('Control Room'!$B$5="Normal",'Control Room'!$B$7,('Control Room'!$B$8+'Control Room'!$D$8)/2)+'Control Room'!$B$9*(E608-IF('Control Room'!$B$5="Normal",'Control Room'!$B$7,('Control Room'!$B$8+'Control Room'!$D$8)/2))+SQRT(1-'Control Room'!$B$9^2)*(D609-IF('Control Room'!$B$5="Normal",'Control Room'!$B$7,('Control Room'!$B$8+'Control Room'!$D$8)/2))</x:f>
        <x:v>1129.3432466182999</x:v>
      </x:c>
      <x:c r="F609" s="17" t="n">
        <x:f>IF(AND($A609&gt;='Control Room'!$A$13,$A609&lt;'Control Room'!$A$13+'Control Room'!$B$13,'Process'!BK2=1),1+('Control Room'!$C$13-1)*EXP(-0.5*(($A609-'Control Room'!$A$13-('Control Room'!$B$13-1)/2)/MAX(0.5,'Control Room'!$B$13/4))^2),1)*IF(AND($A609&gt;='Control Room'!$A$14,$A609&lt;'Control Room'!$A$14+'Control Room'!$B$14,'Process'!BK3=1),1+('Control Room'!$C$14-1)*EXP(-0.5*(($A609-'Control Room'!$A$14-('Control Room'!$B$14-1)/2)/MAX(0.5,'Control Room'!$B$14/4))^2),1)*IF(AND($A609&gt;='Control Room'!$A$15,$A609&lt;'Control Room'!$A$15+'Control Room'!$B$15,'Process'!BK4=1),1+('Control Room'!$C$15-1)*EXP(-0.5*(($A609-'Control Room'!$A$15-('Control Room'!$B$15-1)/2)/MAX(0.5,'Control Room'!$B$15/4))^2),1)*IF(AND($A609&gt;='Control Room'!$A$16,$A609&lt;'Control Room'!$A$16+'Control Room'!$B$16,'Process'!BK5=1),1+('Control Room'!$C$16-1)*EXP(-0.5*(($A609-'Control Room'!$A$16-('Control Room'!$B$16-1)/2)/MAX(0.5,'Control Room'!$B$16/4))^2),1)</x:f>
        <x:v>1</x:v>
      </x:c>
      <x:c r="G609" s="9" t="n">
        <x:f>MOD(H608*16807,2147483647)</x:f>
        <x:v>979275333</x:v>
      </x:c>
      <x:c r="H609" s="9" t="n">
        <x:f>MOD(G609*16807,2147483647)</x:f>
        <x:v>365851123</x:v>
      </x:c>
      <x:c r="I609" s="17" t="n">
        <x:f>IF('Control Room'!$B$5="Normal",'Control Room'!$B$7+'Control Room'!$D$7*SQRT(-2*LN(MAX(0.000000000001,G609/2147483647)))*COS(2*PI()*H609/2147483647),'Control Room'!$B$8+('Control Room'!$D$8-'Control Room'!$B$8)*G609/2147483647)</x:f>
        <x:v>1054.110100300295</x:v>
      </x:c>
      <x:c r="J609" s="17" t="n">
        <x:f>IF('Control Room'!$B$5="Normal",'Control Room'!$B$7,('Control Room'!$B$8+'Control Room'!$D$8)/2)+'Control Room'!$B$9*(J608-IF('Control Room'!$B$5="Normal",'Control Room'!$B$7,('Control Room'!$B$8+'Control Room'!$D$8)/2))+SQRT(1-'Control Room'!$B$9^2)*(I609-IF('Control Room'!$B$5="Normal",'Control Room'!$B$7,('Control Room'!$B$8+'Control Room'!$D$8)/2))</x:f>
        <x:v>1153.308905337169</x:v>
      </x:c>
      <x:c r="K609" s="17" t="n">
        <x:f>IF(AND($A609&gt;='Control Room'!$A$13,$A609&lt;'Control Room'!$A$13+'Control Room'!$B$13,'Process'!BL2=1),1+('Control Room'!$C$13-1)*EXP(-0.5*(($A609-'Control Room'!$A$13-('Control Room'!$B$13-1)/2)/MAX(0.5,'Control Room'!$B$13/4))^2),1)*IF(AND($A609&gt;='Control Room'!$A$14,$A609&lt;'Control Room'!$A$14+'Control Room'!$B$14,'Process'!BL3=1),1+('Control Room'!$C$14-1)*EXP(-0.5*(($A609-'Control Room'!$A$14-('Control Room'!$B$14-1)/2)/MAX(0.5,'Control Room'!$B$14/4))^2),1)*IF(AND($A609&gt;='Control Room'!$A$15,$A609&lt;'Control Room'!$A$15+'Control Room'!$B$15,'Process'!BL4=1),1+('Control Room'!$C$15-1)*EXP(-0.5*(($A609-'Control Room'!$A$15-('Control Room'!$B$15-1)/2)/MAX(0.5,'Control Room'!$B$15/4))^2),1)*IF(AND($A609&gt;='Control Room'!$A$16,$A609&lt;'Control Room'!$A$16+'Control Room'!$B$16,'Process'!BL5=1),1+('Control Room'!$C$16-1)*EXP(-0.5*(($A609-'Control Room'!$A$16-('Control Room'!$B$16-1)/2)/MAX(0.5,'Control Room'!$B$16/4))^2),1)</x:f>
        <x:v>1</x:v>
      </x:c>
      <x:c r="L609" s="9" t="n">
        <x:f>MOD(M608*16807,2147483647)</x:f>
        <x:v>2092753655</x:v>
      </x:c>
      <x:c r="M609" s="9" t="n">
        <x:f>MOD(L609*16807,2147483647)</x:f>
        <x:v>1423509019</x:v>
      </x:c>
      <x:c r="N609" s="17" t="n">
        <x:f>IF('Control Room'!$B$5="Normal",'Control Room'!$B$7+'Control Room'!$D$7*SQRT(-2*LN(MAX(0.000000000001,L609/2147483647)))*COS(2*PI()*M609/2147483647),'Control Room'!$B$8+('Control Room'!$D$8-'Control Room'!$B$8)*L609/2147483647)</x:f>
        <x:v>989.3555857408423</x:v>
      </x:c>
      <x:c r="O609" s="17" t="n">
        <x:f>IF('Control Room'!$B$5="Normal",'Control Room'!$B$7,('Control Room'!$B$8+'Control Room'!$D$8)/2)+'Control Room'!$B$9*(O608-IF('Control Room'!$B$5="Normal",'Control Room'!$B$7,('Control Room'!$B$8+'Control Room'!$D$8)/2))+SQRT(1-'Control Room'!$B$9^2)*(N609-IF('Control Room'!$B$5="Normal",'Control Room'!$B$7,('Control Room'!$B$8+'Control Room'!$D$8)/2))</x:f>
        <x:v>1016.8781816645259</x:v>
      </x:c>
      <x:c r="P609" s="17" t="n">
        <x:f>IF(AND($A609&gt;='Control Room'!$A$13,$A609&lt;'Control Room'!$A$13+'Control Room'!$B$13,'Process'!BM2=1),1+('Control Room'!$C$13-1)*EXP(-0.5*(($A609-'Control Room'!$A$13-('Control Room'!$B$13-1)/2)/MAX(0.5,'Control Room'!$B$13/4))^2),1)*IF(AND($A609&gt;='Control Room'!$A$14,$A609&lt;'Control Room'!$A$14+'Control Room'!$B$14,'Process'!BM3=1),1+('Control Room'!$C$14-1)*EXP(-0.5*(($A609-'Control Room'!$A$14-('Control Room'!$B$14-1)/2)/MAX(0.5,'Control Room'!$B$14/4))^2),1)*IF(AND($A609&gt;='Control Room'!$A$15,$A609&lt;'Control Room'!$A$15+'Control Room'!$B$15,'Process'!BM4=1),1+('Control Room'!$C$15-1)*EXP(-0.5*(($A609-'Control Room'!$A$15-('Control Room'!$B$15-1)/2)/MAX(0.5,'Control Room'!$B$15/4))^2),1)*IF(AND($A609&gt;='Control Room'!$A$16,$A609&lt;'Control Room'!$A$16+'Control Room'!$B$16,'Process'!BM5=1),1+('Control Room'!$C$16-1)*EXP(-0.5*(($A609-'Control Room'!$A$16-('Control Room'!$B$16-1)/2)/MAX(0.5,'Control Room'!$B$16/4))^2),1)</x:f>
        <x:v>1</x:v>
      </x:c>
      <x:c r="Q609" s="9" t="n">
        <x:f>MOD(R608*16807,2147483647)</x:f>
        <x:v>1058748330</x:v>
      </x:c>
      <x:c r="R609" s="9" t="n">
        <x:f>MOD(Q609*16807,2147483647)</x:f>
        <x:v>333683268</x:v>
      </x:c>
      <x:c r="S609" s="17" t="n">
        <x:f>IF('Control Room'!$B$5="Normal",'Control Room'!$B$7+'Control Room'!$D$7*SQRT(-2*LN(MAX(0.000000000001,Q609/2147483647)))*COS(2*PI()*R609/2147483647),'Control Room'!$B$8+('Control Room'!$D$8-'Control Room'!$B$8)*Q609/2147483647)</x:f>
        <x:v>1059.949959292898</x:v>
      </x:c>
      <x:c r="T609" s="17" t="n">
        <x:f>IF('Control Room'!$B$5="Normal",'Control Room'!$B$7,('Control Room'!$B$8+'Control Room'!$D$8)/2)+'Control Room'!$B$9*(T608-IF('Control Room'!$B$5="Normal",'Control Room'!$B$7,('Control Room'!$B$8+'Control Room'!$D$8)/2))+SQRT(1-'Control Room'!$B$9^2)*(S609-IF('Control Room'!$B$5="Normal",'Control Room'!$B$7,('Control Room'!$B$8+'Control Room'!$D$8)/2))</x:f>
        <x:v>1095.8792308258317</x:v>
      </x:c>
      <x:c r="U609" s="17" t="n">
        <x:f>IF(AND($A609&gt;='Control Room'!$A$13,$A609&lt;'Control Room'!$A$13+'Control Room'!$B$13,'Process'!BN2=1),1+('Control Room'!$C$13-1)*EXP(-0.5*(($A609-'Control Room'!$A$13-('Control Room'!$B$13-1)/2)/MAX(0.5,'Control Room'!$B$13/4))^2),1)*IF(AND($A609&gt;='Control Room'!$A$14,$A609&lt;'Control Room'!$A$14+'Control Room'!$B$14,'Process'!BN3=1),1+('Control Room'!$C$14-1)*EXP(-0.5*(($A609-'Control Room'!$A$14-('Control Room'!$B$14-1)/2)/MAX(0.5,'Control Room'!$B$14/4))^2),1)*IF(AND($A609&gt;='Control Room'!$A$15,$A609&lt;'Control Room'!$A$15+'Control Room'!$B$15,'Process'!BN4=1),1+('Control Room'!$C$15-1)*EXP(-0.5*(($A609-'Control Room'!$A$15-('Control Room'!$B$15-1)/2)/MAX(0.5,'Control Room'!$B$15/4))^2),1)*IF(AND($A609&gt;='Control Room'!$A$16,$A609&lt;'Control Room'!$A$16+'Control Room'!$B$16,'Process'!BN5=1),1+('Control Room'!$C$16-1)*EXP(-0.5*(($A609-'Control Room'!$A$16-('Control Room'!$B$16-1)/2)/MAX(0.5,'Control Room'!$B$16/4))^2),1)</x:f>
        <x:v>1</x:v>
      </x:c>
      <x:c r="V609" s="9" t="n">
        <x:f>MOD(W608*16807,2147483647)</x:f>
        <x:v>24743005</x:v>
      </x:c>
      <x:c r="W609" s="9" t="n">
        <x:f>MOD(V609*16807,2147483647)</x:f>
        <x:v>1391341164</x:v>
      </x:c>
      <x:c r="X609" s="17" t="n">
        <x:f>IF('Control Room'!$B$5="Normal",'Control Room'!$B$7+'Control Room'!$D$7*SQRT(-2*LN(MAX(0.000000000001,V609/2147483647)))*COS(2*PI()*W609/2147483647),'Control Room'!$B$8+('Control Room'!$D$8-'Control Room'!$B$8)*V609/2147483647)</x:f>
        <x:v>839.0776252731721</x:v>
      </x:c>
      <x:c r="Y609" s="17" t="n">
        <x:f>IF('Control Room'!$B$5="Normal",'Control Room'!$B$7,('Control Room'!$B$8+'Control Room'!$D$8)/2)+'Control Room'!$B$9*(Y608-IF('Control Room'!$B$5="Normal",'Control Room'!$B$7,('Control Room'!$B$8+'Control Room'!$D$8)/2))+SQRT(1-'Control Room'!$B$9^2)*(X609-IF('Control Room'!$B$5="Normal",'Control Room'!$B$7,('Control Room'!$B$8+'Control Room'!$D$8)/2))</x:f>
        <x:v>903.0517943382526</x:v>
      </x:c>
      <x:c r="Z609" s="17" t="n">
        <x:f>IF(AND($A609&gt;='Control Room'!$A$13,$A609&lt;'Control Room'!$A$13+'Control Room'!$B$13,'Process'!BO2=1),1+('Control Room'!$C$13-1)*EXP(-0.5*(($A609-'Control Room'!$A$13-('Control Room'!$B$13-1)/2)/MAX(0.5,'Control Room'!$B$13/4))^2),1)*IF(AND($A609&gt;='Control Room'!$A$14,$A609&lt;'Control Room'!$A$14+'Control Room'!$B$14,'Process'!BO3=1),1+('Control Room'!$C$14-1)*EXP(-0.5*(($A609-'Control Room'!$A$14-('Control Room'!$B$14-1)/2)/MAX(0.5,'Control Room'!$B$14/4))^2),1)*IF(AND($A609&gt;='Control Room'!$A$15,$A609&lt;'Control Room'!$A$15+'Control Room'!$B$15,'Process'!BO4=1),1+('Control Room'!$C$15-1)*EXP(-0.5*(($A609-'Control Room'!$A$15-('Control Room'!$B$15-1)/2)/MAX(0.5,'Control Room'!$B$15/4))^2),1)*IF(AND($A609&gt;='Control Room'!$A$16,$A609&lt;'Control Room'!$A$16+'Control Room'!$B$16,'Process'!BO5=1),1+('Control Room'!$C$16-1)*EXP(-0.5*(($A609-'Control Room'!$A$16-('Control Room'!$B$16-1)/2)/MAX(0.5,'Control Room'!$B$16/4))^2),1)</x:f>
        <x:v>1</x:v>
      </x:c>
      <x:c r="AA609" s="9" t="n">
        <x:f>MOD(AB608*16807,2147483647)</x:f>
        <x:v>1138221327</x:v>
      </x:c>
      <x:c r="AB609" s="9" t="n">
        <x:f>MOD(AA609*16807,2147483647)</x:f>
        <x:v>301515413</x:v>
      </x:c>
      <x:c r="AC609" s="17" t="n">
        <x:f>IF('Control Room'!$B$5="Normal",'Control Room'!$B$7+'Control Room'!$D$7*SQRT(-2*LN(MAX(0.000000000001,AA609/2147483647)))*COS(2*PI()*AB609/2147483647),'Control Room'!$B$8+('Control Room'!$D$8-'Control Room'!$B$8)*AA609/2147483647)</x:f>
        <x:v>1064.4433918648451</x:v>
      </x:c>
      <x:c r="AD609" s="17" t="n">
        <x:f>IF('Control Room'!$B$5="Normal",'Control Room'!$B$7,('Control Room'!$B$8+'Control Room'!$D$8)/2)+'Control Room'!$B$9*(AD608-IF('Control Room'!$B$5="Normal",'Control Room'!$B$7,('Control Room'!$B$8+'Control Room'!$D$8)/2))+SQRT(1-'Control Room'!$B$9^2)*(AC609-IF('Control Room'!$B$5="Normal",'Control Room'!$B$7,('Control Room'!$B$8+'Control Room'!$D$8)/2))</x:f>
        <x:v>1006.1387852215998</x:v>
      </x:c>
      <x:c r="AE609" s="17" t="n">
        <x:f>IF(AND($A609&gt;='Control Room'!$A$13,$A609&lt;'Control Room'!$A$13+'Control Room'!$B$13,'Process'!BP2=1),1+('Control Room'!$C$13-1)*EXP(-0.5*(($A609-'Control Room'!$A$13-('Control Room'!$B$13-1)/2)/MAX(0.5,'Control Room'!$B$13/4))^2),1)*IF(AND($A609&gt;='Control Room'!$A$14,$A609&lt;'Control Room'!$A$14+'Control Room'!$B$14,'Process'!BP3=1),1+('Control Room'!$C$14-1)*EXP(-0.5*(($A609-'Control Room'!$A$14-('Control Room'!$B$14-1)/2)/MAX(0.5,'Control Room'!$B$14/4))^2),1)*IF(AND($A609&gt;='Control Room'!$A$15,$A609&lt;'Control Room'!$A$15+'Control Room'!$B$15,'Process'!BP4=1),1+('Control Room'!$C$15-1)*EXP(-0.5*(($A609-'Control Room'!$A$15-('Control Room'!$B$15-1)/2)/MAX(0.5,'Control Room'!$B$15/4))^2),1)*IF(AND($A609&gt;='Control Room'!$A$16,$A609&lt;'Control Room'!$A$16+'Control Room'!$B$16,'Process'!BP5=1),1+('Control Room'!$C$16-1)*EXP(-0.5*(($A609-'Control Room'!$A$16-('Control Room'!$B$16-1)/2)/MAX(0.5,'Control Room'!$B$16/4))^2),1)</x:f>
        <x:v>1</x:v>
      </x:c>
      <x:c r="AF609" s="9" t="n">
        <x:f>MOD(AG608*16807,2147483647)</x:f>
        <x:v>104216002</x:v>
      </x:c>
      <x:c r="AG609" s="9" t="n">
        <x:f>MOD(AF609*16807,2147483647)</x:f>
        <x:v>1359173309</x:v>
      </x:c>
      <x:c r="AH609" s="17" t="n">
        <x:f>IF('Control Room'!$B$5="Normal",'Control Room'!$B$7+'Control Room'!$D$7*SQRT(-2*LN(MAX(0.000000000001,AF609/2147483647)))*COS(2*PI()*AG609/2147483647),'Control Room'!$B$8+('Control Room'!$D$8-'Control Room'!$B$8)*AF609/2147483647)</x:f>
        <x:v>851.4271481531576</x:v>
      </x:c>
      <x:c r="AI609" s="17" t="n">
        <x:f>IF('Control Room'!$B$5="Normal",'Control Room'!$B$7,('Control Room'!$B$8+'Control Room'!$D$8)/2)+'Control Room'!$B$9*(AI608-IF('Control Room'!$B$5="Normal",'Control Room'!$B$7,('Control Room'!$B$8+'Control Room'!$D$8)/2))+SQRT(1-'Control Room'!$B$9^2)*(AH609-IF('Control Room'!$B$5="Normal",'Control Room'!$B$7,('Control Room'!$B$8+'Control Room'!$D$8)/2))</x:f>
        <x:v>891.0180415371284</x:v>
      </x:c>
      <x:c r="AJ609" s="17" t="n">
        <x:f>IF(AND($A609&gt;='Control Room'!$A$13,$A609&lt;'Control Room'!$A$13+'Control Room'!$B$13,'Process'!BQ2=1),1+('Control Room'!$C$13-1)*EXP(-0.5*(($A609-'Control Room'!$A$13-('Control Room'!$B$13-1)/2)/MAX(0.5,'Control Room'!$B$13/4))^2),1)*IF(AND($A609&gt;='Control Room'!$A$14,$A609&lt;'Control Room'!$A$14+'Control Room'!$B$14,'Process'!BQ3=1),1+('Control Room'!$C$14-1)*EXP(-0.5*(($A609-'Control Room'!$A$14-('Control Room'!$B$14-1)/2)/MAX(0.5,'Control Room'!$B$14/4))^2),1)*IF(AND($A609&gt;='Control Room'!$A$15,$A609&lt;'Control Room'!$A$15+'Control Room'!$B$15,'Process'!BQ4=1),1+('Control Room'!$C$15-1)*EXP(-0.5*(($A609-'Control Room'!$A$15-('Control Room'!$B$15-1)/2)/MAX(0.5,'Control Room'!$B$15/4))^2),1)*IF(AND($A609&gt;='Control Room'!$A$16,$A609&lt;'Control Room'!$A$16+'Control Room'!$B$16,'Process'!BQ5=1),1+('Control Room'!$C$16-1)*EXP(-0.5*(($A609-'Control Room'!$A$16-('Control Room'!$B$16-1)/2)/MAX(0.5,'Control Room'!$B$16/4))^2),1)</x:f>
        <x:v>1</x:v>
      </x:c>
      <x:c r="AK609" s="9" t="n">
        <x:f>MOD(AL608*16807,2147483647)</x:f>
        <x:v>1217694324</x:v>
      </x:c>
      <x:c r="AL609" s="9" t="n">
        <x:f>MOD(AK609*16807,2147483647)</x:f>
        <x:v>269347558</x:v>
      </x:c>
      <x:c r="AM609" s="17" t="n">
        <x:f>IF('Control Room'!$B$5="Normal",'Control Room'!$B$7+'Control Room'!$D$7*SQRT(-2*LN(MAX(0.000000000001,AK609/2147483647)))*COS(2*PI()*AL609/2147483647),'Control Room'!$B$8+('Control Room'!$D$8-'Control Room'!$B$8)*AK609/2147483647)</x:f>
        <x:v>1067.6084851159692</x:v>
      </x:c>
      <x:c r="AN609" s="17" t="n">
        <x:f>IF('Control Room'!$B$5="Normal",'Control Room'!$B$7,('Control Room'!$B$8+'Control Room'!$D$8)/2)+'Control Room'!$B$9*(AN608-IF('Control Room'!$B$5="Normal",'Control Room'!$B$7,('Control Room'!$B$8+'Control Room'!$D$8)/2))+SQRT(1-'Control Room'!$B$9^2)*(AM609-IF('Control Room'!$B$5="Normal",'Control Room'!$B$7,('Control Room'!$B$8+'Control Room'!$D$8)/2))</x:f>
        <x:v>892.992292210421</x:v>
      </x:c>
      <x:c r="AO609" s="17" t="n">
        <x:f>IF(AND($A609&gt;='Control Room'!$A$13,$A609&lt;'Control Room'!$A$13+'Control Room'!$B$13,'Process'!BR2=1),1+('Control Room'!$C$13-1)*EXP(-0.5*(($A609-'Control Room'!$A$13-('Control Room'!$B$13-1)/2)/MAX(0.5,'Control Room'!$B$13/4))^2),1)*IF(AND($A609&gt;='Control Room'!$A$14,$A609&lt;'Control Room'!$A$14+'Control Room'!$B$14,'Process'!BR3=1),1+('Control Room'!$C$14-1)*EXP(-0.5*(($A609-'Control Room'!$A$14-('Control Room'!$B$14-1)/2)/MAX(0.5,'Control Room'!$B$14/4))^2),1)*IF(AND($A609&gt;='Control Room'!$A$15,$A609&lt;'Control Room'!$A$15+'Control Room'!$B$15,'Process'!BR4=1),1+('Control Room'!$C$15-1)*EXP(-0.5*(($A609-'Control Room'!$A$15-('Control Room'!$B$15-1)/2)/MAX(0.5,'Control Room'!$B$15/4))^2),1)*IF(AND($A609&gt;='Control Room'!$A$16,$A609&lt;'Control Room'!$A$16+'Control Room'!$B$16,'Process'!BR5=1),1+('Control Room'!$C$16-1)*EXP(-0.5*(($A609-'Control Room'!$A$16-('Control Room'!$B$16-1)/2)/MAX(0.5,'Control Room'!$B$16/4))^2),1)</x:f>
        <x:v>1</x:v>
      </x:c>
      <x:c r="AP609" s="9" t="n">
        <x:f>MOD(AQ608*16807,2147483647)</x:f>
        <x:v>183688999</x:v>
      </x:c>
      <x:c r="AQ609" s="9" t="n">
        <x:f>MOD(AP609*16807,2147483647)</x:f>
        <x:v>1327005454</x:v>
      </x:c>
      <x:c r="AR609" s="17" t="n">
        <x:f>IF('Control Room'!$B$5="Normal",'Control Room'!$B$7+'Control Room'!$D$7*SQRT(-2*LN(MAX(0.000000000001,AP609/2147483647)))*COS(2*PI()*AQ609/2147483647),'Control Room'!$B$8+('Control Room'!$D$8-'Control Room'!$B$8)*AP609/2147483647)</x:f>
        <x:v>852.7512092018378</x:v>
      </x:c>
      <x:c r="AS609" s="17" t="n">
        <x:f>IF('Control Room'!$B$5="Normal",'Control Room'!$B$7,('Control Room'!$B$8+'Control Room'!$D$8)/2)+'Control Room'!$B$9*(AS608-IF('Control Room'!$B$5="Normal",'Control Room'!$B$7,('Control Room'!$B$8+'Control Room'!$D$8)/2))+SQRT(1-'Control Room'!$B$9^2)*(AR609-IF('Control Room'!$B$5="Normal",'Control Room'!$B$7,('Control Room'!$B$8+'Control Room'!$D$8)/2))</x:f>
        <x:v>845.7867906946117</x:v>
      </x:c>
      <x:c r="AT609" s="17" t="n">
        <x:f>IF(AND($A609&gt;='Control Room'!$A$13,$A609&lt;'Control Room'!$A$13+'Control Room'!$B$13,'Process'!BS2=1),1+('Control Room'!$C$13-1)*EXP(-0.5*(($A609-'Control Room'!$A$13-('Control Room'!$B$13-1)/2)/MAX(0.5,'Control Room'!$B$13/4))^2),1)*IF(AND($A609&gt;='Control Room'!$A$14,$A609&lt;'Control Room'!$A$14+'Control Room'!$B$14,'Process'!BS3=1),1+('Control Room'!$C$14-1)*EXP(-0.5*(($A609-'Control Room'!$A$14-('Control Room'!$B$14-1)/2)/MAX(0.5,'Control Room'!$B$14/4))^2),1)*IF(AND($A609&gt;='Control Room'!$A$15,$A609&lt;'Control Room'!$A$15+'Control Room'!$B$15,'Process'!BS4=1),1+('Control Room'!$C$15-1)*EXP(-0.5*(($A609-'Control Room'!$A$15-('Control Room'!$B$15-1)/2)/MAX(0.5,'Control Room'!$B$15/4))^2),1)*IF(AND($A609&gt;='Control Room'!$A$16,$A609&lt;'Control Room'!$A$16+'Control Room'!$B$16,'Process'!BS5=1),1+('Control Room'!$C$16-1)*EXP(-0.5*(($A609-'Control Room'!$A$16-('Control Room'!$B$16-1)/2)/MAX(0.5,'Control Room'!$B$16/4))^2),1)</x:f>
        <x:v>1</x:v>
      </x:c>
      <x:c r="AU609" s="9" t="n">
        <x:f>MOD(AV608*16807,2147483647)</x:f>
        <x:v>1297167321</x:v>
      </x:c>
      <x:c r="AV609" s="9" t="n">
        <x:f>MOD(AU609*16807,2147483647)</x:f>
        <x:v>237179703</x:v>
      </x:c>
      <x:c r="AW609" s="17" t="n">
        <x:f>IF('Control Room'!$B$5="Normal",'Control Room'!$B$7+'Control Room'!$D$7*SQRT(-2*LN(MAX(0.000000000001,AU609/2147483647)))*COS(2*PI()*AV609/2147483647),'Control Room'!$B$8+('Control Room'!$D$8-'Control Room'!$B$8)*AU609/2147483647)</x:f>
        <x:v>1069.4694074926042</x:v>
      </x:c>
      <x:c r="AX609" s="17" t="n">
        <x:f>IF('Control Room'!$B$5="Normal",'Control Room'!$B$7,('Control Room'!$B$8+'Control Room'!$D$8)/2)+'Control Room'!$B$9*(AX608-IF('Control Room'!$B$5="Normal",'Control Room'!$B$7,('Control Room'!$B$8+'Control Room'!$D$8)/2))+SQRT(1-'Control Room'!$B$9^2)*(AW609-IF('Control Room'!$B$5="Normal",'Control Room'!$B$7,('Control Room'!$B$8+'Control Room'!$D$8)/2))</x:f>
        <x:v>1005.1022293947151</x:v>
      </x:c>
      <x:c r="AY609" s="17" t="n">
        <x:f>IF(AND($A609&gt;='Control Room'!$A$13,$A609&lt;'Control Room'!$A$13+'Control Room'!$B$13,'Process'!BT2=1),1+('Control Room'!$C$13-1)*EXP(-0.5*(($A609-'Control Room'!$A$13-('Control Room'!$B$13-1)/2)/MAX(0.5,'Control Room'!$B$13/4))^2),1)*IF(AND($A609&gt;='Control Room'!$A$14,$A609&lt;'Control Room'!$A$14+'Control Room'!$B$14,'Process'!BT3=1),1+('Control Room'!$C$14-1)*EXP(-0.5*(($A609-'Control Room'!$A$14-('Control Room'!$B$14-1)/2)/MAX(0.5,'Control Room'!$B$14/4))^2),1)*IF(AND($A609&gt;='Control Room'!$A$15,$A609&lt;'Control Room'!$A$15+'Control Room'!$B$15,'Process'!BT4=1),1+('Control Room'!$C$15-1)*EXP(-0.5*(($A609-'Control Room'!$A$15-('Control Room'!$B$15-1)/2)/MAX(0.5,'Control Room'!$B$15/4))^2),1)*IF(AND($A609&gt;='Control Room'!$A$16,$A609&lt;'Control Room'!$A$16+'Control Room'!$B$16,'Process'!BT5=1),1+('Control Room'!$C$16-1)*EXP(-0.5*(($A609-'Control Room'!$A$16-('Control Room'!$B$16-1)/2)/MAX(0.5,'Control Room'!$B$16/4))^2),1)</x:f>
        <x:v>1</x:v>
      </x:c>
      <x:c r="AZ609" s="9" t="n">
        <x:f>MOD(BA608*16807,2147483647)</x:f>
        <x:v>263161996</x:v>
      </x:c>
      <x:c r="BA609" s="9" t="n">
        <x:f>MOD(AZ609*16807,2147483647)</x:f>
        <x:v>1294837599</x:v>
      </x:c>
      <x:c r="BB609" s="17" t="n">
        <x:f>IF('Control Room'!$B$5="Normal",'Control Room'!$B$7+'Control Room'!$D$7*SQRT(-2*LN(MAX(0.000000000001,AZ609/2147483647)))*COS(2*PI()*BA609/2147483647),'Control Room'!$B$8+('Control Room'!$D$8-'Control Room'!$B$8)*AZ609/2147483647)</x:f>
        <x:v>852.8449503323261</x:v>
      </x:c>
      <x:c r="BC609" s="17" t="n">
        <x:f>IF('Control Room'!$B$5="Normal",'Control Room'!$B$7,('Control Room'!$B$8+'Control Room'!$D$8)/2)+'Control Room'!$B$9*(BC608-IF('Control Room'!$B$5="Normal",'Control Room'!$B$7,('Control Room'!$B$8+'Control Room'!$D$8)/2))+SQRT(1-'Control Room'!$B$9^2)*(BB609-IF('Control Room'!$B$5="Normal",'Control Room'!$B$7,('Control Room'!$B$8+'Control Room'!$D$8)/2))</x:f>
        <x:v>850.4561514630759</x:v>
      </x:c>
      <x:c r="BD609" s="17" t="n">
        <x:f>IF(AND($A609&gt;='Control Room'!$A$13,$A609&lt;'Control Room'!$A$13+'Control Room'!$B$13,'Process'!BU2=1),1+('Control Room'!$C$13-1)*EXP(-0.5*(($A609-'Control Room'!$A$13-('Control Room'!$B$13-1)/2)/MAX(0.5,'Control Room'!$B$13/4))^2),1)*IF(AND($A609&gt;='Control Room'!$A$14,$A609&lt;'Control Room'!$A$14+'Control Room'!$B$14,'Process'!BU3=1),1+('Control Room'!$C$14-1)*EXP(-0.5*(($A609-'Control Room'!$A$14-('Control Room'!$B$14-1)/2)/MAX(0.5,'Control Room'!$B$14/4))^2),1)*IF(AND($A609&gt;='Control Room'!$A$15,$A609&lt;'Control Room'!$A$15+'Control Room'!$B$15,'Process'!BU4=1),1+('Control Room'!$C$15-1)*EXP(-0.5*(($A609-'Control Room'!$A$15-('Control Room'!$B$15-1)/2)/MAX(0.5,'Control Room'!$B$15/4))^2),1)*IF(AND($A609&gt;='Control Room'!$A$16,$A609&lt;'Control Room'!$A$16+'Control Room'!$B$16,'Process'!BU5=1),1+('Control Room'!$C$16-1)*EXP(-0.5*(($A609-'Control Room'!$A$16-('Control Room'!$B$16-1)/2)/MAX(0.5,'Control Room'!$B$16/4))^2),1)</x:f>
        <x:v>1</x:v>
      </x:c>
      <x:c r="BE609" s="9" t="n">
        <x:f>MOD(BF608*16807,2147483647)</x:f>
        <x:v>1376640318</x:v>
      </x:c>
      <x:c r="BF609" s="9" t="n">
        <x:f>MOD(BE609*16807,2147483647)</x:f>
        <x:v>205011848</x:v>
      </x:c>
      <x:c r="BG609" s="17" t="n">
        <x:f>IF('Control Room'!$B$5="Normal",'Control Room'!$B$7+'Control Room'!$D$7*SQRT(-2*LN(MAX(0.000000000001,BE609/2147483647)))*COS(2*PI()*BF609/2147483647),'Control Room'!$B$8+('Control Room'!$D$8-'Control Room'!$B$8)*BE609/2147483647)</x:f>
        <x:v>1070.0563979685871</x:v>
      </x:c>
      <x:c r="BH609" s="17" t="n">
        <x:f>IF('Control Room'!$B$5="Normal",'Control Room'!$B$7,('Control Room'!$B$8+'Control Room'!$D$8)/2)+'Control Room'!$B$9*(BH608-IF('Control Room'!$B$5="Normal",'Control Room'!$B$7,('Control Room'!$B$8+'Control Room'!$D$8)/2))+SQRT(1-'Control Room'!$B$9^2)*(BG609-IF('Control Room'!$B$5="Normal",'Control Room'!$B$7,('Control Room'!$B$8+'Control Room'!$D$8)/2))</x:f>
        <x:v>1043.9457544554748</x:v>
      </x:c>
      <x:c r="BI609" s="17" t="n">
        <x:f>IF(AND($A609&gt;='Control Room'!$A$13,$A609&lt;'Control Room'!$A$13+'Control Room'!$B$13,'Process'!BV2=1),1+('Control Room'!$C$13-1)*EXP(-0.5*(($A609-'Control Room'!$A$13-('Control Room'!$B$13-1)/2)/MAX(0.5,'Control Room'!$B$13/4))^2),1)*IF(AND($A609&gt;='Control Room'!$A$14,$A609&lt;'Control Room'!$A$14+'Control Room'!$B$14,'Process'!BV3=1),1+('Control Room'!$C$14-1)*EXP(-0.5*(($A609-'Control Room'!$A$14-('Control Room'!$B$14-1)/2)/MAX(0.5,'Control Room'!$B$14/4))^2),1)*IF(AND($A609&gt;='Control Room'!$A$15,$A609&lt;'Control Room'!$A$15+'Control Room'!$B$15,'Process'!BV4=1),1+('Control Room'!$C$15-1)*EXP(-0.5*(($A609-'Control Room'!$A$15-('Control Room'!$B$15-1)/2)/MAX(0.5,'Control Room'!$B$15/4))^2),1)*IF(AND($A609&gt;='Control Room'!$A$16,$A609&lt;'Control Room'!$A$16+'Control Room'!$B$16,'Process'!BV5=1),1+('Control Room'!$C$16-1)*EXP(-0.5*(($A609-'Control Room'!$A$16-('Control Room'!$B$16-1)/2)/MAX(0.5,'Control Room'!$B$16/4))^2),1)</x:f>
        <x:v>1</x:v>
      </x:c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Z609" t="str">
        <x:f>IF('Data'!A609="","",TEXT('Data'!A609,"mm-dd"))</x:f>
      </x:c>
    </x:row>
    <x:row r="610" ht="21" customHeight="1">
      <x:c r="A610" s="15" t="n">
        <x:f>'Control Room'!$B$1+608</x:f>
        <x:v>73599</x:v>
      </x:c>
      <x:c r="B610" s="9" t="n">
        <x:f>MOD(C609*16807,2147483647)</x:f>
        <x:v>1427514694</x:v>
      </x:c>
      <x:c r="C610" s="9" t="n">
        <x:f>MOD(B610*16807,2147483647)</x:f>
        <x:v>552157774</x:v>
      </x:c>
      <x:c r="D610" s="17" t="n">
        <x:f>IF('Control Room'!$B$5="Normal",'Control Room'!$B$7+'Control Room'!$D$7*SQRT(-2*LN(MAX(0.000000000001,B610/2147483647)))*COS(2*PI()*C610/2147483647),'Control Room'!$B$8+('Control Room'!$D$8-'Control Room'!$B$8)*B610/2147483647)</x:f>
        <x:v>996.3633323845711</x:v>
      </x:c>
      <x:c r="E610" s="17" t="n">
        <x:f>IF('Control Room'!$B$5="Normal",'Control Room'!$B$7,('Control Room'!$B$8+'Control Room'!$D$8)/2)+'Control Room'!$B$9*(E609-IF('Control Room'!$B$5="Normal",'Control Room'!$B$7,('Control Room'!$B$8+'Control Room'!$D$8)/2))+SQRT(1-'Control Room'!$B$9^2)*(D610-IF('Control Room'!$B$5="Normal",'Control Room'!$B$7,('Control Room'!$B$8+'Control Room'!$D$8)/2))</x:f>
        <x:v>1098.6119802697242</x:v>
      </x:c>
      <x:c r="F610" s="17" t="n">
        <x:f>IF(AND($A610&gt;='Control Room'!$A$13,$A610&lt;'Control Room'!$A$13+'Control Room'!$B$13,'Process'!BK2=1),1+('Control Room'!$C$13-1)*EXP(-0.5*(($A610-'Control Room'!$A$13-('Control Room'!$B$13-1)/2)/MAX(0.5,'Control Room'!$B$13/4))^2),1)*IF(AND($A610&gt;='Control Room'!$A$14,$A610&lt;'Control Room'!$A$14+'Control Room'!$B$14,'Process'!BK3=1),1+('Control Room'!$C$14-1)*EXP(-0.5*(($A610-'Control Room'!$A$14-('Control Room'!$B$14-1)/2)/MAX(0.5,'Control Room'!$B$14/4))^2),1)*IF(AND($A610&gt;='Control Room'!$A$15,$A610&lt;'Control Room'!$A$15+'Control Room'!$B$15,'Process'!BK4=1),1+('Control Room'!$C$15-1)*EXP(-0.5*(($A610-'Control Room'!$A$15-('Control Room'!$B$15-1)/2)/MAX(0.5,'Control Room'!$B$15/4))^2),1)*IF(AND($A610&gt;='Control Room'!$A$16,$A610&lt;'Control Room'!$A$16+'Control Room'!$B$16,'Process'!BK5=1),1+('Control Room'!$C$16-1)*EXP(-0.5*(($A610-'Control Room'!$A$16-('Control Room'!$B$16-1)/2)/MAX(0.5,'Control Room'!$B$16/4))^2),1)</x:f>
        <x:v>1</x:v>
      </x:c>
      <x:c r="G610" s="9" t="n">
        <x:f>MOD(H609*16807,2147483647)</x:f>
        <x:v>614142900</x:v>
      </x:c>
      <x:c r="H610" s="9" t="n">
        <x:f>MOD(G610*16807,2147483647)</x:f>
        <x:v>1093312818</x:v>
      </x:c>
      <x:c r="I610" s="17" t="n">
        <x:f>IF('Control Room'!$B$5="Normal",'Control Room'!$B$7+'Control Room'!$D$7*SQRT(-2*LN(MAX(0.000000000001,G610/2147483647)))*COS(2*PI()*H610/2147483647),'Control Room'!$B$8+('Control Room'!$D$8-'Control Room'!$B$8)*G610/2147483647)</x:f>
        <x:v>857.8270993425649</x:v>
      </x:c>
      <x:c r="J610" s="17" t="n">
        <x:f>IF('Control Room'!$B$5="Normal",'Control Room'!$B$7,('Control Room'!$B$8+'Control Room'!$D$8)/2)+'Control Room'!$B$9*(J609-IF('Control Room'!$B$5="Normal",'Control Room'!$B$7,('Control Room'!$B$8+'Control Room'!$D$8)/2))+SQRT(1-'Control Room'!$B$9^2)*(I610-IF('Control Room'!$B$5="Normal",'Control Room'!$B$7,('Control Room'!$B$8+'Control Room'!$D$8)/2))</x:f>
        <x:v>1030.6120575017512</x:v>
      </x:c>
      <x:c r="K610" s="17" t="n">
        <x:f>IF(AND($A610&gt;='Control Room'!$A$13,$A610&lt;'Control Room'!$A$13+'Control Room'!$B$13,'Process'!BL2=1),1+('Control Room'!$C$13-1)*EXP(-0.5*(($A610-'Control Room'!$A$13-('Control Room'!$B$13-1)/2)/MAX(0.5,'Control Room'!$B$13/4))^2),1)*IF(AND($A610&gt;='Control Room'!$A$14,$A610&lt;'Control Room'!$A$14+'Control Room'!$B$14,'Process'!BL3=1),1+('Control Room'!$C$14-1)*EXP(-0.5*(($A610-'Control Room'!$A$14-('Control Room'!$B$14-1)/2)/MAX(0.5,'Control Room'!$B$14/4))^2),1)*IF(AND($A610&gt;='Control Room'!$A$15,$A610&lt;'Control Room'!$A$15+'Control Room'!$B$15,'Process'!BL4=1),1+('Control Room'!$C$15-1)*EXP(-0.5*(($A610-'Control Room'!$A$15-('Control Room'!$B$15-1)/2)/MAX(0.5,'Control Room'!$B$15/4))^2),1)*IF(AND($A610&gt;='Control Room'!$A$16,$A610&lt;'Control Room'!$A$16+'Control Room'!$B$16,'Process'!BL5=1),1+('Control Room'!$C$16-1)*EXP(-0.5*(($A610-'Control Room'!$A$16-('Control Room'!$B$16-1)/2)/MAX(0.5,'Control Room'!$B$16/4))^2),1)</x:f>
        <x:v>1</x:v>
      </x:c>
      <x:c r="L610" s="9" t="n">
        <x:f>MOD(M609*16807,2147483647)</x:f>
        <x:v>1948254753</x:v>
      </x:c>
      <x:c r="M610" s="9" t="n">
        <x:f>MOD(L610*16807,2147483647)</x:f>
        <x:v>1634467862</x:v>
      </x:c>
      <x:c r="N610" s="17" t="n">
        <x:f>IF('Control Room'!$B$5="Normal",'Control Room'!$B$7+'Control Room'!$D$7*SQRT(-2*LN(MAX(0.000000000001,L610/2147483647)))*COS(2*PI()*M610/2147483647),'Control Room'!$B$8+('Control Room'!$D$8-'Control Room'!$B$8)*L610/2147483647)</x:f>
        <x:v>1002.7697021457076</x:v>
      </x:c>
      <x:c r="O610" s="17" t="n">
        <x:f>IF('Control Room'!$B$5="Normal",'Control Room'!$B$7,('Control Room'!$B$8+'Control Room'!$D$8)/2)+'Control Room'!$B$9*(O609-IF('Control Room'!$B$5="Normal",'Control Room'!$B$7,('Control Room'!$B$8+'Control Room'!$D$8)/2))+SQRT(1-'Control Room'!$B$9^2)*(N610-IF('Control Room'!$B$5="Normal",'Control Room'!$B$7,('Control Room'!$B$8+'Control Room'!$D$8)/2))</x:f>
        <x:v>1014.8982045606814</x:v>
      </x:c>
      <x:c r="P610" s="17" t="n">
        <x:f>IF(AND($A610&gt;='Control Room'!$A$13,$A610&lt;'Control Room'!$A$13+'Control Room'!$B$13,'Process'!BM2=1),1+('Control Room'!$C$13-1)*EXP(-0.5*(($A610-'Control Room'!$A$13-('Control Room'!$B$13-1)/2)/MAX(0.5,'Control Room'!$B$13/4))^2),1)*IF(AND($A610&gt;='Control Room'!$A$14,$A610&lt;'Control Room'!$A$14+'Control Room'!$B$14,'Process'!BM3=1),1+('Control Room'!$C$14-1)*EXP(-0.5*(($A610-'Control Room'!$A$14-('Control Room'!$B$14-1)/2)/MAX(0.5,'Control Room'!$B$14/4))^2),1)*IF(AND($A610&gt;='Control Room'!$A$15,$A610&lt;'Control Room'!$A$15+'Control Room'!$B$15,'Process'!BM4=1),1+('Control Room'!$C$15-1)*EXP(-0.5*(($A610-'Control Room'!$A$15-('Control Room'!$B$15-1)/2)/MAX(0.5,'Control Room'!$B$15/4))^2),1)*IF(AND($A610&gt;='Control Room'!$A$16,$A610&lt;'Control Room'!$A$16+'Control Room'!$B$16,'Process'!BM5=1),1+('Control Room'!$C$16-1)*EXP(-0.5*(($A610-'Control Room'!$A$16-('Control Room'!$B$16-1)/2)/MAX(0.5,'Control Room'!$B$16/4))^2),1)</x:f>
        <x:v>1</x:v>
      </x:c>
      <x:c r="Q610" s="9" t="n">
        <x:f>MOD(R609*16807,2147483647)</x:f>
        <x:v>1134882959</x:v>
      </x:c>
      <x:c r="R610" s="9" t="n">
        <x:f>MOD(Q610*16807,2147483647)</x:f>
        <x:v>28139259</x:v>
      </x:c>
      <x:c r="S610" s="17" t="n">
        <x:f>IF('Control Room'!$B$5="Normal",'Control Room'!$B$7+'Control Room'!$D$7*SQRT(-2*LN(MAX(0.000000000001,Q610/2147483647)))*COS(2*PI()*R610/2147483647),'Control Room'!$B$8+('Control Room'!$D$8-'Control Room'!$B$8)*Q610/2147483647)</x:f>
        <x:v>1101.3013046213239</x:v>
      </x:c>
      <x:c r="T610" s="17" t="n">
        <x:f>IF('Control Room'!$B$5="Normal",'Control Room'!$B$7,('Control Room'!$B$8+'Control Room'!$D$8)/2)+'Control Room'!$B$9*(T609-IF('Control Room'!$B$5="Normal",'Control Room'!$B$7,('Control Room'!$B$8+'Control Room'!$D$8)/2))+SQRT(1-'Control Room'!$B$9^2)*(S610-IF('Control Room'!$B$5="Normal",'Control Room'!$B$7,('Control Room'!$B$8+'Control Room'!$D$8)/2))</x:f>
        <x:v>1138.1780812061472</x:v>
      </x:c>
      <x:c r="U610" s="17" t="n">
        <x:f>IF(AND($A610&gt;='Control Room'!$A$13,$A610&lt;'Control Room'!$A$13+'Control Room'!$B$13,'Process'!BN2=1),1+('Control Room'!$C$13-1)*EXP(-0.5*(($A610-'Control Room'!$A$13-('Control Room'!$B$13-1)/2)/MAX(0.5,'Control Room'!$B$13/4))^2),1)*IF(AND($A610&gt;='Control Room'!$A$14,$A610&lt;'Control Room'!$A$14+'Control Room'!$B$14,'Process'!BN3=1),1+('Control Room'!$C$14-1)*EXP(-0.5*(($A610-'Control Room'!$A$14-('Control Room'!$B$14-1)/2)/MAX(0.5,'Control Room'!$B$14/4))^2),1)*IF(AND($A610&gt;='Control Room'!$A$15,$A610&lt;'Control Room'!$A$15+'Control Room'!$B$15,'Process'!BN4=1),1+('Control Room'!$C$15-1)*EXP(-0.5*(($A610-'Control Room'!$A$15-('Control Room'!$B$15-1)/2)/MAX(0.5,'Control Room'!$B$15/4))^2),1)*IF(AND($A610&gt;='Control Room'!$A$16,$A610&lt;'Control Room'!$A$16+'Control Room'!$B$16,'Process'!BN5=1),1+('Control Room'!$C$16-1)*EXP(-0.5*(($A610-'Control Room'!$A$16-('Control Room'!$B$16-1)/2)/MAX(0.5,'Control Room'!$B$16/4))^2),1)</x:f>
        <x:v>1</x:v>
      </x:c>
      <x:c r="V610" s="9" t="n">
        <x:f>MOD(W609*16807,2147483647)</x:f>
        <x:v>321511165</x:v>
      </x:c>
      <x:c r="W610" s="9" t="n">
        <x:f>MOD(V610*16807,2147483647)</x:f>
        <x:v>569294303</x:v>
      </x:c>
      <x:c r="X610" s="17" t="n">
        <x:f>IF('Control Room'!$B$5="Normal",'Control Room'!$B$7+'Control Room'!$D$7*SQRT(-2*LN(MAX(0.000000000001,V610/2147483647)))*COS(2*PI()*W610/2147483647),'Control Room'!$B$8+('Control Room'!$D$8-'Control Room'!$B$8)*V610/2147483647)</x:f>
        <x:v>983.385813121311</x:v>
      </x:c>
      <x:c r="Y610" s="17" t="n">
        <x:f>IF('Control Room'!$B$5="Normal",'Control Room'!$B$7,('Control Room'!$B$8+'Control Room'!$D$8)/2)+'Control Room'!$B$9*(Y609-IF('Control Room'!$B$5="Normal",'Control Room'!$B$7,('Control Room'!$B$8+'Control Room'!$D$8)/2))+SQRT(1-'Control Room'!$B$9^2)*(X610-IF('Control Room'!$B$5="Normal",'Control Room'!$B$7,('Control Room'!$B$8+'Control Room'!$D$8)/2))</x:f>
        <x:v>913.9835817952719</x:v>
      </x:c>
      <x:c r="Z610" s="17" t="n">
        <x:f>IF(AND($A610&gt;='Control Room'!$A$13,$A610&lt;'Control Room'!$A$13+'Control Room'!$B$13,'Process'!BO2=1),1+('Control Room'!$C$13-1)*EXP(-0.5*(($A610-'Control Room'!$A$13-('Control Room'!$B$13-1)/2)/MAX(0.5,'Control Room'!$B$13/4))^2),1)*IF(AND($A610&gt;='Control Room'!$A$14,$A610&lt;'Control Room'!$A$14+'Control Room'!$B$14,'Process'!BO3=1),1+('Control Room'!$C$14-1)*EXP(-0.5*(($A610-'Control Room'!$A$14-('Control Room'!$B$14-1)/2)/MAX(0.5,'Control Room'!$B$14/4))^2),1)*IF(AND($A610&gt;='Control Room'!$A$15,$A610&lt;'Control Room'!$A$15+'Control Room'!$B$15,'Process'!BO4=1),1+('Control Room'!$C$15-1)*EXP(-0.5*(($A610-'Control Room'!$A$15-('Control Room'!$B$15-1)/2)/MAX(0.5,'Control Room'!$B$15/4))^2),1)*IF(AND($A610&gt;='Control Room'!$A$16,$A610&lt;'Control Room'!$A$16+'Control Room'!$B$16,'Process'!BO5=1),1+('Control Room'!$C$16-1)*EXP(-0.5*(($A610-'Control Room'!$A$16-('Control Room'!$B$16-1)/2)/MAX(0.5,'Control Room'!$B$16/4))^2),1)</x:f>
        <x:v>1</x:v>
      </x:c>
      <x:c r="AA610" s="9" t="n">
        <x:f>MOD(AB609*16807,2147483647)</x:f>
        <x:v>1655623018</x:v>
      </x:c>
      <x:c r="AB610" s="9" t="n">
        <x:f>MOD(AA610*16807,2147483647)</x:f>
        <x:v>1110449347</x:v>
      </x:c>
      <x:c r="AC610" s="17" t="n">
        <x:f>IF('Control Room'!$B$5="Normal",'Control Room'!$B$7+'Control Room'!$D$7*SQRT(-2*LN(MAX(0.000000000001,AA610/2147483647)))*COS(2*PI()*AB610/2147483647),'Control Room'!$B$8+('Control Room'!$D$8-'Control Room'!$B$8)*AA610/2147483647)</x:f>
        <x:v>935.459209811838</x:v>
      </x:c>
      <x:c r="AD610" s="17" t="n">
        <x:f>IF('Control Room'!$B$5="Normal",'Control Room'!$B$7,('Control Room'!$B$8+'Control Room'!$D$8)/2)+'Control Room'!$B$9*(AD609-IF('Control Room'!$B$5="Normal",'Control Room'!$B$7,('Control Room'!$B$8+'Control Room'!$D$8)/2))+SQRT(1-'Control Room'!$B$9^2)*(AC610-IF('Control Room'!$B$5="Normal",'Control Room'!$B$7,('Control Room'!$B$8+'Control Room'!$D$8)/2))</x:f>
        <x:v>964.3999481630505</x:v>
      </x:c>
      <x:c r="AE610" s="17" t="n">
        <x:f>IF(AND($A610&gt;='Control Room'!$A$13,$A610&lt;'Control Room'!$A$13+'Control Room'!$B$13,'Process'!BP2=1),1+('Control Room'!$C$13-1)*EXP(-0.5*(($A610-'Control Room'!$A$13-('Control Room'!$B$13-1)/2)/MAX(0.5,'Control Room'!$B$13/4))^2),1)*IF(AND($A610&gt;='Control Room'!$A$14,$A610&lt;'Control Room'!$A$14+'Control Room'!$B$14,'Process'!BP3=1),1+('Control Room'!$C$14-1)*EXP(-0.5*(($A610-'Control Room'!$A$14-('Control Room'!$B$14-1)/2)/MAX(0.5,'Control Room'!$B$14/4))^2),1)*IF(AND($A610&gt;='Control Room'!$A$15,$A610&lt;'Control Room'!$A$15+'Control Room'!$B$15,'Process'!BP4=1),1+('Control Room'!$C$15-1)*EXP(-0.5*(($A610-'Control Room'!$A$15-('Control Room'!$B$15-1)/2)/MAX(0.5,'Control Room'!$B$15/4))^2),1)*IF(AND($A610&gt;='Control Room'!$A$16,$A610&lt;'Control Room'!$A$16+'Control Room'!$B$16,'Process'!BP5=1),1+('Control Room'!$C$16-1)*EXP(-0.5*(($A610-'Control Room'!$A$16-('Control Room'!$B$16-1)/2)/MAX(0.5,'Control Room'!$B$16/4))^2),1)</x:f>
        <x:v>1</x:v>
      </x:c>
      <x:c r="AF610" s="9" t="n">
        <x:f>MOD(AG609*16807,2147483647)</x:f>
        <x:v>842251224</x:v>
      </x:c>
      <x:c r="AG610" s="9" t="n">
        <x:f>MOD(AF610*16807,2147483647)</x:f>
        <x:v>1651604391</x:v>
      </x:c>
      <x:c r="AH610" s="17" t="n">
        <x:f>IF('Control Room'!$B$5="Normal",'Control Room'!$B$7+'Control Room'!$D$7*SQRT(-2*LN(MAX(0.000000000001,AF610/2147483647)))*COS(2*PI()*AG610/2147483647),'Control Room'!$B$8+('Control Room'!$D$8-'Control Room'!$B$8)*AF610/2147483647)</x:f>
        <x:v>1014.7330654924182</x:v>
      </x:c>
      <x:c r="AI610" s="17" t="n">
        <x:f>IF('Control Room'!$B$5="Normal",'Control Room'!$B$7,('Control Room'!$B$8+'Control Room'!$D$8)/2)+'Control Room'!$B$9*(AI609-IF('Control Room'!$B$5="Normal",'Control Room'!$B$7,('Control Room'!$B$8+'Control Room'!$D$8)/2))+SQRT(1-'Control Room'!$B$9^2)*(AH610-IF('Control Room'!$B$5="Normal",'Control Room'!$B$7,('Control Room'!$B$8+'Control Room'!$D$8)/2))</x:f>
        <x:v>924.2137229608633</x:v>
      </x:c>
      <x:c r="AJ610" s="17" t="n">
        <x:f>IF(AND($A610&gt;='Control Room'!$A$13,$A610&lt;'Control Room'!$A$13+'Control Room'!$B$13,'Process'!BQ2=1),1+('Control Room'!$C$13-1)*EXP(-0.5*(($A610-'Control Room'!$A$13-('Control Room'!$B$13-1)/2)/MAX(0.5,'Control Room'!$B$13/4))^2),1)*IF(AND($A610&gt;='Control Room'!$A$14,$A610&lt;'Control Room'!$A$14+'Control Room'!$B$14,'Process'!BQ3=1),1+('Control Room'!$C$14-1)*EXP(-0.5*(($A610-'Control Room'!$A$14-('Control Room'!$B$14-1)/2)/MAX(0.5,'Control Room'!$B$14/4))^2),1)*IF(AND($A610&gt;='Control Room'!$A$15,$A610&lt;'Control Room'!$A$15+'Control Room'!$B$15,'Process'!BQ4=1),1+('Control Room'!$C$15-1)*EXP(-0.5*(($A610-'Control Room'!$A$15-('Control Room'!$B$15-1)/2)/MAX(0.5,'Control Room'!$B$15/4))^2),1)*IF(AND($A610&gt;='Control Room'!$A$16,$A610&lt;'Control Room'!$A$16+'Control Room'!$B$16,'Process'!BQ5=1),1+('Control Room'!$C$16-1)*EXP(-0.5*(($A610-'Control Room'!$A$16-('Control Room'!$B$16-1)/2)/MAX(0.5,'Control Room'!$B$16/4))^2),1)</x:f>
        <x:v>1</x:v>
      </x:c>
      <x:c r="AK610" s="9" t="n">
        <x:f>MOD(AL609*16807,2147483647)</x:f>
        <x:v>28879430</x:v>
      </x:c>
      <x:c r="AL610" s="9" t="n">
        <x:f>MOD(AK610*16807,2147483647)</x:f>
        <x:v>45275788</x:v>
      </x:c>
      <x:c r="AM610" s="17" t="n">
        <x:f>IF('Control Room'!$B$5="Normal",'Control Room'!$B$7+'Control Room'!$D$7*SQRT(-2*LN(MAX(0.000000000001,AK610/2147483647)))*COS(2*PI()*AL610/2147483647),'Control Room'!$B$8+('Control Room'!$D$8-'Control Room'!$B$8)*AK610/2147483647)</x:f>
        <x:v>1261.8907209497904</x:v>
      </x:c>
      <x:c r="AN610" s="17" t="n">
        <x:f>IF('Control Room'!$B$5="Normal",'Control Room'!$B$7,('Control Room'!$B$8+'Control Room'!$D$8)/2)+'Control Room'!$B$9*(AN609-IF('Control Room'!$B$5="Normal",'Control Room'!$B$7,('Control Room'!$B$8+'Control Room'!$D$8)/2))+SQRT(1-'Control Room'!$B$9^2)*(AM610-IF('Control Room'!$B$5="Normal",'Control Room'!$B$7,('Control Room'!$B$8+'Control Room'!$D$8)/2))</x:f>
        <x:v>1080.4198359714683</x:v>
      </x:c>
      <x:c r="AO610" s="17" t="n">
        <x:f>IF(AND($A610&gt;='Control Room'!$A$13,$A610&lt;'Control Room'!$A$13+'Control Room'!$B$13,'Process'!BR2=1),1+('Control Room'!$C$13-1)*EXP(-0.5*(($A610-'Control Room'!$A$13-('Control Room'!$B$13-1)/2)/MAX(0.5,'Control Room'!$B$13/4))^2),1)*IF(AND($A610&gt;='Control Room'!$A$14,$A610&lt;'Control Room'!$A$14+'Control Room'!$B$14,'Process'!BR3=1),1+('Control Room'!$C$14-1)*EXP(-0.5*(($A610-'Control Room'!$A$14-('Control Room'!$B$14-1)/2)/MAX(0.5,'Control Room'!$B$14/4))^2),1)*IF(AND($A610&gt;='Control Room'!$A$15,$A610&lt;'Control Room'!$A$15+'Control Room'!$B$15,'Process'!BR4=1),1+('Control Room'!$C$15-1)*EXP(-0.5*(($A610-'Control Room'!$A$15-('Control Room'!$B$15-1)/2)/MAX(0.5,'Control Room'!$B$15/4))^2),1)*IF(AND($A610&gt;='Control Room'!$A$16,$A610&lt;'Control Room'!$A$16+'Control Room'!$B$16,'Process'!BR5=1),1+('Control Room'!$C$16-1)*EXP(-0.5*(($A610-'Control Room'!$A$16-('Control Room'!$B$16-1)/2)/MAX(0.5,'Control Room'!$B$16/4))^2),1)</x:f>
        <x:v>1</x:v>
      </x:c>
      <x:c r="AP610" s="9" t="n">
        <x:f>MOD(AQ609*16807,2147483647)</x:f>
        <x:v>1362991283</x:v>
      </x:c>
      <x:c r="AQ610" s="9" t="n">
        <x:f>MOD(AP610*16807,2147483647)</x:f>
        <x:v>586430832</x:v>
      </x:c>
      <x:c r="AR610" s="17" t="n">
        <x:f>IF('Control Room'!$B$5="Normal",'Control Room'!$B$7+'Control Room'!$D$7*SQRT(-2*LN(MAX(0.000000000001,AP610/2147483647)))*COS(2*PI()*AQ610/2147483647),'Control Room'!$B$8+('Control Room'!$D$8-'Control Room'!$B$8)*AP610/2147483647)</x:f>
        <x:v>987.5995628846433</x:v>
      </x:c>
      <x:c r="AS610" s="17" t="n">
        <x:f>IF('Control Room'!$B$5="Normal",'Control Room'!$B$7,('Control Room'!$B$8+'Control Room'!$D$8)/2)+'Control Room'!$B$9*(AS609-IF('Control Room'!$B$5="Normal",'Control Room'!$B$7,('Control Room'!$B$8+'Control Room'!$D$8)/2))+SQRT(1-'Control Room'!$B$9^2)*(AR610-IF('Control Room'!$B$5="Normal",'Control Room'!$B$7,('Control Room'!$B$8+'Control Room'!$D$8)/2))</x:f>
        <x:v>871.9537572317694</x:v>
      </x:c>
      <x:c r="AT610" s="17" t="n">
        <x:f>IF(AND($A610&gt;='Control Room'!$A$13,$A610&lt;'Control Room'!$A$13+'Control Room'!$B$13,'Process'!BS2=1),1+('Control Room'!$C$13-1)*EXP(-0.5*(($A610-'Control Room'!$A$13-('Control Room'!$B$13-1)/2)/MAX(0.5,'Control Room'!$B$13/4))^2),1)*IF(AND($A610&gt;='Control Room'!$A$14,$A610&lt;'Control Room'!$A$14+'Control Room'!$B$14,'Process'!BS3=1),1+('Control Room'!$C$14-1)*EXP(-0.5*(($A610-'Control Room'!$A$14-('Control Room'!$B$14-1)/2)/MAX(0.5,'Control Room'!$B$14/4))^2),1)*IF(AND($A610&gt;='Control Room'!$A$15,$A610&lt;'Control Room'!$A$15+'Control Room'!$B$15,'Process'!BS4=1),1+('Control Room'!$C$15-1)*EXP(-0.5*(($A610-'Control Room'!$A$15-('Control Room'!$B$15-1)/2)/MAX(0.5,'Control Room'!$B$15/4))^2),1)*IF(AND($A610&gt;='Control Room'!$A$16,$A610&lt;'Control Room'!$A$16+'Control Room'!$B$16,'Process'!BS5=1),1+('Control Room'!$C$16-1)*EXP(-0.5*(($A610-'Control Room'!$A$16-('Control Room'!$B$16-1)/2)/MAX(0.5,'Control Room'!$B$16/4))^2),1)</x:f>
        <x:v>1</x:v>
      </x:c>
      <x:c r="AU610" s="9" t="n">
        <x:f>MOD(AV609*16807,2147483647)</x:f>
        <x:v>549619489</x:v>
      </x:c>
      <x:c r="AV610" s="9" t="n">
        <x:f>MOD(AU610*16807,2147483647)</x:f>
        <x:v>1127585876</x:v>
      </x:c>
      <x:c r="AW610" s="17" t="n">
        <x:f>IF('Control Room'!$B$5="Normal",'Control Room'!$B$7+'Control Room'!$D$7*SQRT(-2*LN(MAX(0.000000000001,AU610/2147483647)))*COS(2*PI()*AV610/2147483647),'Control Room'!$B$8+('Control Room'!$D$8-'Control Room'!$B$8)*AU610/2147483647)</x:f>
        <x:v>853.254099510991</x:v>
      </x:c>
      <x:c r="AX610" s="17" t="n">
        <x:f>IF('Control Room'!$B$5="Normal",'Control Room'!$B$7,('Control Room'!$B$8+'Control Room'!$D$8)/2)+'Control Room'!$B$9*(AX609-IF('Control Room'!$B$5="Normal",'Control Room'!$B$7,('Control Room'!$B$8+'Control Room'!$D$8)/2))+SQRT(1-'Control Room'!$B$9^2)*(AW610-IF('Control Room'!$B$5="Normal",'Control Room'!$B$7,('Control Room'!$B$8+'Control Room'!$D$8)/2))</x:f>
        <x:v>912.1491606550318</x:v>
      </x:c>
      <x:c r="AY610" s="17" t="n">
        <x:f>IF(AND($A610&gt;='Control Room'!$A$13,$A610&lt;'Control Room'!$A$13+'Control Room'!$B$13,'Process'!BT2=1),1+('Control Room'!$C$13-1)*EXP(-0.5*(($A610-'Control Room'!$A$13-('Control Room'!$B$13-1)/2)/MAX(0.5,'Control Room'!$B$13/4))^2),1)*IF(AND($A610&gt;='Control Room'!$A$14,$A610&lt;'Control Room'!$A$14+'Control Room'!$B$14,'Process'!BT3=1),1+('Control Room'!$C$14-1)*EXP(-0.5*(($A610-'Control Room'!$A$14-('Control Room'!$B$14-1)/2)/MAX(0.5,'Control Room'!$B$14/4))^2),1)*IF(AND($A610&gt;='Control Room'!$A$15,$A610&lt;'Control Room'!$A$15+'Control Room'!$B$15,'Process'!BT4=1),1+('Control Room'!$C$15-1)*EXP(-0.5*(($A610-'Control Room'!$A$15-('Control Room'!$B$15-1)/2)/MAX(0.5,'Control Room'!$B$15/4))^2),1)*IF(AND($A610&gt;='Control Room'!$A$16,$A610&lt;'Control Room'!$A$16+'Control Room'!$B$16,'Process'!BT5=1),1+('Control Room'!$C$16-1)*EXP(-0.5*(($A610-'Control Room'!$A$16-('Control Room'!$B$16-1)/2)/MAX(0.5,'Control Room'!$B$16/4))^2),1)</x:f>
        <x:v>1</x:v>
      </x:c>
      <x:c r="AZ610" s="9" t="n">
        <x:f>MOD(BA609*16807,2147483647)</x:f>
        <x:v>1883731342</x:v>
      </x:c>
      <x:c r="BA610" s="9" t="n">
        <x:f>MOD(AZ610*16807,2147483647)</x:f>
        <x:v>1668740920</x:v>
      </x:c>
      <x:c r="BB610" s="17" t="n">
        <x:f>IF('Control Room'!$B$5="Normal",'Control Room'!$B$7+'Control Room'!$D$7*SQRT(-2*LN(MAX(0.000000000001,AZ610/2147483647)))*COS(2*PI()*BA610/2147483647),'Control Room'!$B$8+('Control Room'!$D$8-'Control Room'!$B$8)*AZ610/2147483647)</x:f>
        <x:v>1007.7983758773377</x:v>
      </x:c>
      <x:c r="BC610" s="17" t="n">
        <x:f>IF('Control Room'!$B$5="Normal",'Control Room'!$B$7,('Control Room'!$B$8+'Control Room'!$D$8)/2)+'Control Room'!$B$9*(BC609-IF('Control Room'!$B$5="Normal",'Control Room'!$B$7,('Control Room'!$B$8+'Control Room'!$D$8)/2))+SQRT(1-'Control Room'!$B$9^2)*(BB610-IF('Control Room'!$B$5="Normal",'Control Room'!$B$7,('Control Room'!$B$8+'Control Room'!$D$8)/2))</x:f>
        <x:v>888.2358620068236</x:v>
      </x:c>
      <x:c r="BD610" s="17" t="n">
        <x:f>IF(AND($A610&gt;='Control Room'!$A$13,$A610&lt;'Control Room'!$A$13+'Control Room'!$B$13,'Process'!BU2=1),1+('Control Room'!$C$13-1)*EXP(-0.5*(($A610-'Control Room'!$A$13-('Control Room'!$B$13-1)/2)/MAX(0.5,'Control Room'!$B$13/4))^2),1)*IF(AND($A610&gt;='Control Room'!$A$14,$A610&lt;'Control Room'!$A$14+'Control Room'!$B$14,'Process'!BU3=1),1+('Control Room'!$C$14-1)*EXP(-0.5*(($A610-'Control Room'!$A$14-('Control Room'!$B$14-1)/2)/MAX(0.5,'Control Room'!$B$14/4))^2),1)*IF(AND($A610&gt;='Control Room'!$A$15,$A610&lt;'Control Room'!$A$15+'Control Room'!$B$15,'Process'!BU4=1),1+('Control Room'!$C$15-1)*EXP(-0.5*(($A610-'Control Room'!$A$15-('Control Room'!$B$15-1)/2)/MAX(0.5,'Control Room'!$B$15/4))^2),1)*IF(AND($A610&gt;='Control Room'!$A$16,$A610&lt;'Control Room'!$A$16+'Control Room'!$B$16,'Process'!BU5=1),1+('Control Room'!$C$16-1)*EXP(-0.5*(($A610-'Control Room'!$A$16-('Control Room'!$B$16-1)/2)/MAX(0.5,'Control Room'!$B$16/4))^2),1)</x:f>
        <x:v>1</x:v>
      </x:c>
      <x:c r="BE610" s="9" t="n">
        <x:f>MOD(BF609*16807,2147483647)</x:f>
        <x:v>1070359548</x:v>
      </x:c>
      <x:c r="BF610" s="9" t="n">
        <x:f>MOD(BE610*16807,2147483647)</x:f>
        <x:v>62412317</x:v>
      </x:c>
      <x:c r="BG610" s="17" t="n">
        <x:f>IF('Control Room'!$B$5="Normal",'Control Room'!$B$7+'Control Room'!$D$7*SQRT(-2*LN(MAX(0.000000000001,BE610/2147483647)))*COS(2*PI()*BF610/2147483647),'Control Room'!$B$8+('Control Room'!$D$8-'Control Room'!$B$8)*BE610/2147483647)</x:f>
        <x:v>1104.4419156850765</x:v>
      </x:c>
      <x:c r="BH610" s="17" t="n">
        <x:f>IF('Control Room'!$B$5="Normal",'Control Room'!$B$7,('Control Room'!$B$8+'Control Room'!$D$8)/2)+'Control Room'!$B$9*(BH609-IF('Control Room'!$B$5="Normal",'Control Room'!$B$7,('Control Room'!$B$8+'Control Room'!$D$8)/2))+SQRT(1-'Control Room'!$B$9^2)*(BG610-IF('Control Room'!$B$5="Normal",'Control Room'!$B$7,('Control Room'!$B$8+'Control Room'!$D$8)/2))</x:f>
        <x:v>1099.6352997020504</x:v>
      </x:c>
      <x:c r="BI610" s="17" t="n">
        <x:f>IF(AND($A610&gt;='Control Room'!$A$13,$A610&lt;'Control Room'!$A$13+'Control Room'!$B$13,'Process'!BV2=1),1+('Control Room'!$C$13-1)*EXP(-0.5*(($A610-'Control Room'!$A$13-('Control Room'!$B$13-1)/2)/MAX(0.5,'Control Room'!$B$13/4))^2),1)*IF(AND($A610&gt;='Control Room'!$A$14,$A610&lt;'Control Room'!$A$14+'Control Room'!$B$14,'Process'!BV3=1),1+('Control Room'!$C$14-1)*EXP(-0.5*(($A610-'Control Room'!$A$14-('Control Room'!$B$14-1)/2)/MAX(0.5,'Control Room'!$B$14/4))^2),1)*IF(AND($A610&gt;='Control Room'!$A$15,$A610&lt;'Control Room'!$A$15+'Control Room'!$B$15,'Process'!BV4=1),1+('Control Room'!$C$15-1)*EXP(-0.5*(($A610-'Control Room'!$A$15-('Control Room'!$B$15-1)/2)/MAX(0.5,'Control Room'!$B$15/4))^2),1)*IF(AND($A610&gt;='Control Room'!$A$16,$A610&lt;'Control Room'!$A$16+'Control Room'!$B$16,'Process'!BV5=1),1+('Control Room'!$C$16-1)*EXP(-0.5*(($A610-'Control Room'!$A$16-('Control Room'!$B$16-1)/2)/MAX(0.5,'Control Room'!$B$16/4))^2),1)</x:f>
        <x:v>1</x:v>
      </x:c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Z610" t="str">
        <x:f>IF('Data'!A610="","",TEXT('Data'!A610,"mm-dd"))</x:f>
      </x:c>
    </x:row>
    <x:row r="611" ht="21" customHeight="1">
      <x:c r="A611" s="15" t="n">
        <x:f>'Control Room'!$B$1+609</x:f>
        <x:v>73600</x:v>
      </x:c>
      <x:c r="B611" s="9" t="n">
        <x:f>MOD(C610*16807,2147483647)</x:f>
        <x:v>838868931</x:v>
      </x:c>
      <x:c r="C611" s="9" t="n">
        <x:f>MOD(B611*16807,2147483647)</x:f>
        <x:v>639980762</x:v>
      </x:c>
      <x:c r="D611" s="17" t="n">
        <x:f>IF('Control Room'!$B$5="Normal",'Control Room'!$B$7+'Control Room'!$D$7*SQRT(-2*LN(MAX(0.000000000001,B611/2147483647)))*COS(2*PI()*C611/2147483647),'Control Room'!$B$8+('Control Room'!$D$8-'Control Room'!$B$8)*B611/2147483647)</x:f>
        <x:v>963.3340251995852</x:v>
      </x:c>
      <x:c r="E611" s="17" t="n">
        <x:f>IF('Control Room'!$B$5="Normal",'Control Room'!$B$7,('Control Room'!$B$8+'Control Room'!$D$8)/2)+'Control Room'!$B$9*(E610-IF('Control Room'!$B$5="Normal",'Control Room'!$B$7,('Control Room'!$B$8+'Control Room'!$D$8)/2))+SQRT(1-'Control Room'!$B$9^2)*(D611-IF('Control Room'!$B$5="Normal",'Control Room'!$B$7,('Control Room'!$B$8+'Control Room'!$D$8)/2))</x:f>
        <x:v>1053.9725287236074</x:v>
      </x:c>
      <x:c r="F611" s="17" t="n">
        <x:f>IF(AND($A611&gt;='Control Room'!$A$13,$A611&lt;'Control Room'!$A$13+'Control Room'!$B$13,'Process'!BK2=1),1+('Control Room'!$C$13-1)*EXP(-0.5*(($A611-'Control Room'!$A$13-('Control Room'!$B$13-1)/2)/MAX(0.5,'Control Room'!$B$13/4))^2),1)*IF(AND($A611&gt;='Control Room'!$A$14,$A611&lt;'Control Room'!$A$14+'Control Room'!$B$14,'Process'!BK3=1),1+('Control Room'!$C$14-1)*EXP(-0.5*(($A611-'Control Room'!$A$14-('Control Room'!$B$14-1)/2)/MAX(0.5,'Control Room'!$B$14/4))^2),1)*IF(AND($A611&gt;='Control Room'!$A$15,$A611&lt;'Control Room'!$A$15+'Control Room'!$B$15,'Process'!BK4=1),1+('Control Room'!$C$15-1)*EXP(-0.5*(($A611-'Control Room'!$A$15-('Control Room'!$B$15-1)/2)/MAX(0.5,'Control Room'!$B$15/4))^2),1)*IF(AND($A611&gt;='Control Room'!$A$16,$A611&lt;'Control Room'!$A$16+'Control Room'!$B$16,'Process'!BK5=1),1+('Control Room'!$C$16-1)*EXP(-0.5*(($A611-'Control Room'!$A$16-('Control Room'!$B$16-1)/2)/MAX(0.5,'Control Room'!$B$16/4))^2),1)</x:f>
        <x:v>1</x:v>
      </x:c>
      <x:c r="G611" s="9" t="n">
        <x:f>MOD(H610*16807,2147483647)</x:f>
        <x:v>1438448394</x:v>
      </x:c>
      <x:c r="H611" s="9" t="n">
        <x:f>MOD(G611*16807,2147483647)</x:f>
        <x:v>1778743679</x:v>
      </x:c>
      <x:c r="I611" s="17" t="n">
        <x:f>IF('Control Room'!$B$5="Normal",'Control Room'!$B$7+'Control Room'!$D$7*SQRT(-2*LN(MAX(0.000000000001,G611/2147483647)))*COS(2*PI()*H611/2147483647),'Control Room'!$B$8+('Control Room'!$D$8-'Control Room'!$B$8)*G611/2147483647)</x:f>
        <x:v>1038.055969846711</x:v>
      </x:c>
      <x:c r="J611" s="17" t="n">
        <x:f>IF('Control Room'!$B$5="Normal",'Control Room'!$B$7,('Control Room'!$B$8+'Control Room'!$D$8)/2)+'Control Room'!$B$9*(J610-IF('Control Room'!$B$5="Normal",'Control Room'!$B$7,('Control Room'!$B$8+'Control Room'!$D$8)/2))+SQRT(1-'Control Room'!$B$9^2)*(I611-IF('Control Room'!$B$5="Normal",'Control Room'!$B$7,('Control Room'!$B$8+'Control Room'!$D$8)/2))</x:f>
        <x:v>1047.6920511625194</x:v>
      </x:c>
      <x:c r="K611" s="17" t="n">
        <x:f>IF(AND($A611&gt;='Control Room'!$A$13,$A611&lt;'Control Room'!$A$13+'Control Room'!$B$13,'Process'!BL2=1),1+('Control Room'!$C$13-1)*EXP(-0.5*(($A611-'Control Room'!$A$13-('Control Room'!$B$13-1)/2)/MAX(0.5,'Control Room'!$B$13/4))^2),1)*IF(AND($A611&gt;='Control Room'!$A$14,$A611&lt;'Control Room'!$A$14+'Control Room'!$B$14,'Process'!BL3=1),1+('Control Room'!$C$14-1)*EXP(-0.5*(($A611-'Control Room'!$A$14-('Control Room'!$B$14-1)/2)/MAX(0.5,'Control Room'!$B$14/4))^2),1)*IF(AND($A611&gt;='Control Room'!$A$15,$A611&lt;'Control Room'!$A$15+'Control Room'!$B$15,'Process'!BL4=1),1+('Control Room'!$C$15-1)*EXP(-0.5*(($A611-'Control Room'!$A$15-('Control Room'!$B$15-1)/2)/MAX(0.5,'Control Room'!$B$15/4))^2),1)*IF(AND($A611&gt;='Control Room'!$A$16,$A611&lt;'Control Room'!$A$16+'Control Room'!$B$16,'Process'!BL5=1),1+('Control Room'!$C$16-1)*EXP(-0.5*(($A611-'Control Room'!$A$16-('Control Room'!$B$16-1)/2)/MAX(0.5,'Control Room'!$B$16/4))^2),1)</x:f>
        <x:v>1</x:v>
      </x:c>
      <x:c r="L611" s="9" t="n">
        <x:f>MOD(M610*16807,2147483647)</x:f>
        <x:v>2038027857</x:v>
      </x:c>
      <x:c r="M611" s="9" t="n">
        <x:f>MOD(L611*16807,2147483647)</x:f>
        <x:v>770022949</x:v>
      </x:c>
      <x:c r="N611" s="17" t="n">
        <x:f>IF('Control Room'!$B$5="Normal",'Control Room'!$B$7+'Control Room'!$D$7*SQRT(-2*LN(MAX(0.000000000001,L611/2147483647)))*COS(2*PI()*M611/2147483647),'Control Room'!$B$8+('Control Room'!$D$8-'Control Room'!$B$8)*L611/2147483647)</x:f>
        <x:v>981.6458276383503</x:v>
      </x:c>
      <x:c r="O611" s="17" t="n">
        <x:f>IF('Control Room'!$B$5="Normal",'Control Room'!$B$7,('Control Room'!$B$8+'Control Room'!$D$8)/2)+'Control Room'!$B$9*(O610-IF('Control Room'!$B$5="Normal",'Control Room'!$B$7,('Control Room'!$B$8+'Control Room'!$D$8)/2))+SQRT(1-'Control Room'!$B$9^2)*(N611-IF('Control Room'!$B$5="Normal",'Control Room'!$B$7,('Control Room'!$B$8+'Control Room'!$D$8)/2))</x:f>
        <x:v>1000.1349344990697</x:v>
      </x:c>
      <x:c r="P611" s="17" t="n">
        <x:f>IF(AND($A611&gt;='Control Room'!$A$13,$A611&lt;'Control Room'!$A$13+'Control Room'!$B$13,'Process'!BM2=1),1+('Control Room'!$C$13-1)*EXP(-0.5*(($A611-'Control Room'!$A$13-('Control Room'!$B$13-1)/2)/MAX(0.5,'Control Room'!$B$13/4))^2),1)*IF(AND($A611&gt;='Control Room'!$A$14,$A611&lt;'Control Room'!$A$14+'Control Room'!$B$14,'Process'!BM3=1),1+('Control Room'!$C$14-1)*EXP(-0.5*(($A611-'Control Room'!$A$14-('Control Room'!$B$14-1)/2)/MAX(0.5,'Control Room'!$B$14/4))^2),1)*IF(AND($A611&gt;='Control Room'!$A$15,$A611&lt;'Control Room'!$A$15+'Control Room'!$B$15,'Process'!BM4=1),1+('Control Room'!$C$15-1)*EXP(-0.5*(($A611-'Control Room'!$A$15-('Control Room'!$B$15-1)/2)/MAX(0.5,'Control Room'!$B$15/4))^2),1)*IF(AND($A611&gt;='Control Room'!$A$16,$A611&lt;'Control Room'!$A$16+'Control Room'!$B$16,'Process'!BM5=1),1+('Control Room'!$C$16-1)*EXP(-0.5*(($A611-'Control Room'!$A$16-('Control Room'!$B$16-1)/2)/MAX(0.5,'Control Room'!$B$16/4))^2),1)</x:f>
        <x:v>1</x:v>
      </x:c>
      <x:c r="Q611" s="9" t="n">
        <x:f>MOD(R610*16807,2147483647)</x:f>
        <x:v>490123673</x:v>
      </x:c>
      <x:c r="R611" s="9" t="n">
        <x:f>MOD(Q611*16807,2147483647)</x:f>
        <x:v>1908785866</x:v>
      </x:c>
      <x:c r="S611" s="17" t="n">
        <x:f>IF('Control Room'!$B$5="Normal",'Control Room'!$B$7+'Control Room'!$D$7*SQRT(-2*LN(MAX(0.000000000001,Q611/2147483647)))*COS(2*PI()*R611/2147483647),'Control Room'!$B$8+('Control Room'!$D$8-'Control Room'!$B$8)*Q611/2147483647)</x:f>
        <x:v>1118.4855284283801</x:v>
      </x:c>
      <x:c r="T611" s="17" t="n">
        <x:f>IF('Control Room'!$B$5="Normal",'Control Room'!$B$7,('Control Room'!$B$8+'Control Room'!$D$8)/2)+'Control Room'!$B$9*(T610-IF('Control Room'!$B$5="Normal",'Control Room'!$B$7,('Control Room'!$B$8+'Control Room'!$D$8)/2))+SQRT(1-'Control Room'!$B$9^2)*(S611-IF('Control Room'!$B$5="Normal",'Control Room'!$B$7,('Control Room'!$B$8+'Control Room'!$D$8)/2))</x:f>
        <x:v>1181.9247197232894</x:v>
      </x:c>
      <x:c r="U611" s="17" t="n">
        <x:f>IF(AND($A611&gt;='Control Room'!$A$13,$A611&lt;'Control Room'!$A$13+'Control Room'!$B$13,'Process'!BN2=1),1+('Control Room'!$C$13-1)*EXP(-0.5*(($A611-'Control Room'!$A$13-('Control Room'!$B$13-1)/2)/MAX(0.5,'Control Room'!$B$13/4))^2),1)*IF(AND($A611&gt;='Control Room'!$A$14,$A611&lt;'Control Room'!$A$14+'Control Room'!$B$14,'Process'!BN3=1),1+('Control Room'!$C$14-1)*EXP(-0.5*(($A611-'Control Room'!$A$14-('Control Room'!$B$14-1)/2)/MAX(0.5,'Control Room'!$B$14/4))^2),1)*IF(AND($A611&gt;='Control Room'!$A$15,$A611&lt;'Control Room'!$A$15+'Control Room'!$B$15,'Process'!BN4=1),1+('Control Room'!$C$15-1)*EXP(-0.5*(($A611-'Control Room'!$A$15-('Control Room'!$B$15-1)/2)/MAX(0.5,'Control Room'!$B$15/4))^2),1)*IF(AND($A611&gt;='Control Room'!$A$16,$A611&lt;'Control Room'!$A$16+'Control Room'!$B$16,'Process'!BN5=1),1+('Control Room'!$C$16-1)*EXP(-0.5*(($A611-'Control Room'!$A$16-('Control Room'!$B$16-1)/2)/MAX(0.5,'Control Room'!$B$16/4))^2),1)</x:f>
        <x:v>1</x:v>
      </x:c>
      <x:c r="V611" s="9" t="n">
        <x:f>MOD(W610*16807,2147483647)</x:f>
        <x:v>1089703136</x:v>
      </x:c>
      <x:c r="W611" s="9" t="n">
        <x:f>MOD(V611*16807,2147483647)</x:f>
        <x:v>900065136</x:v>
      </x:c>
      <x:c r="X611" s="17" t="n">
        <x:f>IF('Control Room'!$B$5="Normal",'Control Room'!$B$7+'Control Room'!$D$7*SQRT(-2*LN(MAX(0.000000000001,V611/2147483647)))*COS(2*PI()*W611/2147483647),'Control Room'!$B$8+('Control Room'!$D$8-'Control Room'!$B$8)*V611/2147483647)</x:f>
        <x:v>908.4130983155949</x:v>
      </x:c>
      <x:c r="Y611" s="17" t="n">
        <x:f>IF('Control Room'!$B$5="Normal",'Control Room'!$B$7,('Control Room'!$B$8+'Control Room'!$D$8)/2)+'Control Room'!$B$9*(Y610-IF('Control Room'!$B$5="Normal",'Control Room'!$B$7,('Control Room'!$B$8+'Control Room'!$D$8)/2))+SQRT(1-'Control Room'!$B$9^2)*(X611-IF('Control Room'!$B$5="Normal",'Control Room'!$B$7,('Control Room'!$B$8+'Control Room'!$D$8)/2))</x:f>
        <x:v>875.5939869858762</x:v>
      </x:c>
      <x:c r="Z611" s="17" t="n">
        <x:f>IF(AND($A611&gt;='Control Room'!$A$13,$A611&lt;'Control Room'!$A$13+'Control Room'!$B$13,'Process'!BO2=1),1+('Control Room'!$C$13-1)*EXP(-0.5*(($A611-'Control Room'!$A$13-('Control Room'!$B$13-1)/2)/MAX(0.5,'Control Room'!$B$13/4))^2),1)*IF(AND($A611&gt;='Control Room'!$A$14,$A611&lt;'Control Room'!$A$14+'Control Room'!$B$14,'Process'!BO3=1),1+('Control Room'!$C$14-1)*EXP(-0.5*(($A611-'Control Room'!$A$14-('Control Room'!$B$14-1)/2)/MAX(0.5,'Control Room'!$B$14/4))^2),1)*IF(AND($A611&gt;='Control Room'!$A$15,$A611&lt;'Control Room'!$A$15+'Control Room'!$B$15,'Process'!BO4=1),1+('Control Room'!$C$15-1)*EXP(-0.5*(($A611-'Control Room'!$A$15-('Control Room'!$B$15-1)/2)/MAX(0.5,'Control Room'!$B$15/4))^2),1)*IF(AND($A611&gt;='Control Room'!$A$16,$A611&lt;'Control Room'!$A$16+'Control Room'!$B$16,'Process'!BO5=1),1+('Control Room'!$C$16-1)*EXP(-0.5*(($A611-'Control Room'!$A$16-('Control Room'!$B$16-1)/2)/MAX(0.5,'Control Room'!$B$16/4))^2),1)</x:f>
        <x:v>1</x:v>
      </x:c>
      <x:c r="AA611" s="9" t="n">
        <x:f>MOD(AB610*16807,2147483647)</x:f>
        <x:v>1689282599</x:v>
      </x:c>
      <x:c r="AB611" s="9" t="n">
        <x:f>MOD(AA611*16807,2147483647)</x:f>
        <x:v>2038828053</x:v>
      </x:c>
      <x:c r="AC611" s="17" t="n">
        <x:f>IF('Control Room'!$B$5="Normal",'Control Room'!$B$7+'Control Room'!$D$7*SQRT(-2*LN(MAX(0.000000000001,AA611/2147483647)))*COS(2*PI()*AB611/2147483647),'Control Room'!$B$8+('Control Room'!$D$8-'Control Room'!$B$8)*AA611/2147483647)</x:f>
        <x:v>1059.2284716356405</x:v>
      </x:c>
      <x:c r="AD611" s="17" t="n">
        <x:f>IF('Control Room'!$B$5="Normal",'Control Room'!$B$7,('Control Room'!$B$8+'Control Room'!$D$8)/2)+'Control Room'!$B$9*(AD610-IF('Control Room'!$B$5="Normal",'Control Room'!$B$7,('Control Room'!$B$8+'Control Room'!$D$8)/2))+SQRT(1-'Control Room'!$B$9^2)*(AC611-IF('Control Room'!$B$5="Normal",'Control Room'!$B$7,('Control Room'!$B$8+'Control Room'!$D$8)/2))</x:f>
        <x:v>1009.2959237555697</x:v>
      </x:c>
      <x:c r="AE611" s="17" t="n">
        <x:f>IF(AND($A611&gt;='Control Room'!$A$13,$A611&lt;'Control Room'!$A$13+'Control Room'!$B$13,'Process'!BP2=1),1+('Control Room'!$C$13-1)*EXP(-0.5*(($A611-'Control Room'!$A$13-('Control Room'!$B$13-1)/2)/MAX(0.5,'Control Room'!$B$13/4))^2),1)*IF(AND($A611&gt;='Control Room'!$A$14,$A611&lt;'Control Room'!$A$14+'Control Room'!$B$14,'Process'!BP3=1),1+('Control Room'!$C$14-1)*EXP(-0.5*(($A611-'Control Room'!$A$14-('Control Room'!$B$14-1)/2)/MAX(0.5,'Control Room'!$B$14/4))^2),1)*IF(AND($A611&gt;='Control Room'!$A$15,$A611&lt;'Control Room'!$A$15+'Control Room'!$B$15,'Process'!BP4=1),1+('Control Room'!$C$15-1)*EXP(-0.5*(($A611-'Control Room'!$A$15-('Control Room'!$B$15-1)/2)/MAX(0.5,'Control Room'!$B$15/4))^2),1)*IF(AND($A611&gt;='Control Room'!$A$16,$A611&lt;'Control Room'!$A$16+'Control Room'!$B$16,'Process'!BP5=1),1+('Control Room'!$C$16-1)*EXP(-0.5*(($A611-'Control Room'!$A$16-('Control Room'!$B$16-1)/2)/MAX(0.5,'Control Room'!$B$16/4))^2),1)</x:f>
        <x:v>1</x:v>
      </x:c>
      <x:c r="AF611" s="9" t="n">
        <x:f>MOD(AG610*16807,2147483647)</x:f>
        <x:v>141378415</x:v>
      </x:c>
      <x:c r="AG611" s="9" t="n">
        <x:f>MOD(AF611*16807,2147483647)</x:f>
        <x:v>1030107323</x:v>
      </x:c>
      <x:c r="AH611" s="17" t="n">
        <x:f>IF('Control Room'!$B$5="Normal",'Control Room'!$B$7+'Control Room'!$D$7*SQRT(-2*LN(MAX(0.000000000001,AF611/2147483647)))*COS(2*PI()*AG611/2147483647),'Control Room'!$B$8+('Control Room'!$D$8-'Control Room'!$B$8)*AF611/2147483647)</x:f>
        <x:v>791.770682244575</x:v>
      </x:c>
      <x:c r="AI611" s="17" t="n">
        <x:f>IF('Control Room'!$B$5="Normal",'Control Room'!$B$7,('Control Room'!$B$8+'Control Room'!$D$8)/2)+'Control Room'!$B$9*(AI610-IF('Control Room'!$B$5="Normal",'Control Room'!$B$7,('Control Room'!$B$8+'Control Room'!$D$8)/2))+SQRT(1-'Control Room'!$B$9^2)*(AH611-IF('Control Room'!$B$5="Normal",'Control Room'!$B$7,('Control Room'!$B$8+'Control Room'!$D$8)/2))</x:f>
        <x:v>810.58106266757</x:v>
      </x:c>
      <x:c r="AJ611" s="17" t="n">
        <x:f>IF(AND($A611&gt;='Control Room'!$A$13,$A611&lt;'Control Room'!$A$13+'Control Room'!$B$13,'Process'!BQ2=1),1+('Control Room'!$C$13-1)*EXP(-0.5*(($A611-'Control Room'!$A$13-('Control Room'!$B$13-1)/2)/MAX(0.5,'Control Room'!$B$13/4))^2),1)*IF(AND($A611&gt;='Control Room'!$A$14,$A611&lt;'Control Room'!$A$14+'Control Room'!$B$14,'Process'!BQ3=1),1+('Control Room'!$C$14-1)*EXP(-0.5*(($A611-'Control Room'!$A$14-('Control Room'!$B$14-1)/2)/MAX(0.5,'Control Room'!$B$14/4))^2),1)*IF(AND($A611&gt;='Control Room'!$A$15,$A611&lt;'Control Room'!$A$15+'Control Room'!$B$15,'Process'!BQ4=1),1+('Control Room'!$C$15-1)*EXP(-0.5*(($A611-'Control Room'!$A$15-('Control Room'!$B$15-1)/2)/MAX(0.5,'Control Room'!$B$15/4))^2),1)*IF(AND($A611&gt;='Control Room'!$A$16,$A611&lt;'Control Room'!$A$16+'Control Room'!$B$16,'Process'!BQ5=1),1+('Control Room'!$C$16-1)*EXP(-0.5*(($A611-'Control Room'!$A$16-('Control Room'!$B$16-1)/2)/MAX(0.5,'Control Room'!$B$16/4))^2),1)</x:f>
        <x:v>1</x:v>
      </x:c>
      <x:c r="AK611" s="9" t="n">
        <x:f>MOD(AL610*16807,2147483647)</x:f>
        <x:v>740957878</x:v>
      </x:c>
      <x:c r="AL611" s="9" t="n">
        <x:f>MOD(AK611*16807,2147483647)</x:f>
        <x:v>21386593</x:v>
      </x:c>
      <x:c r="AM611" s="17" t="n">
        <x:f>IF('Control Room'!$B$5="Normal",'Control Room'!$B$7+'Control Room'!$D$7*SQRT(-2*LN(MAX(0.000000000001,AK611/2147483647)))*COS(2*PI()*AL611/2147483647),'Control Room'!$B$8+('Control Room'!$D$8-'Control Room'!$B$8)*AK611/2147483647)</x:f>
        <x:v>1131.038715374731</x:v>
      </x:c>
      <x:c r="AN611" s="17" t="n">
        <x:f>IF('Control Room'!$B$5="Normal",'Control Room'!$B$7,('Control Room'!$B$8+'Control Room'!$D$8)/2)+'Control Room'!$B$9*(AN610-IF('Control Room'!$B$5="Normal",'Control Room'!$B$7,('Control Room'!$B$8+'Control Room'!$D$8)/2))+SQRT(1-'Control Room'!$B$9^2)*(AM611-IF('Control Room'!$B$5="Normal",'Control Room'!$B$7,('Control Room'!$B$8+'Control Room'!$D$8)/2))</x:f>
        <x:v>1144.7288156652533</x:v>
      </x:c>
      <x:c r="AO611" s="17" t="n">
        <x:f>IF(AND($A611&gt;='Control Room'!$A$13,$A611&lt;'Control Room'!$A$13+'Control Room'!$B$13,'Process'!BR2=1),1+('Control Room'!$C$13-1)*EXP(-0.5*(($A611-'Control Room'!$A$13-('Control Room'!$B$13-1)/2)/MAX(0.5,'Control Room'!$B$13/4))^2),1)*IF(AND($A611&gt;='Control Room'!$A$14,$A611&lt;'Control Room'!$A$14+'Control Room'!$B$14,'Process'!BR3=1),1+('Control Room'!$C$14-1)*EXP(-0.5*(($A611-'Control Room'!$A$14-('Control Room'!$B$14-1)/2)/MAX(0.5,'Control Room'!$B$14/4))^2),1)*IF(AND($A611&gt;='Control Room'!$A$15,$A611&lt;'Control Room'!$A$15+'Control Room'!$B$15,'Process'!BR4=1),1+('Control Room'!$C$15-1)*EXP(-0.5*(($A611-'Control Room'!$A$15-('Control Room'!$B$15-1)/2)/MAX(0.5,'Control Room'!$B$15/4))^2),1)*IF(AND($A611&gt;='Control Room'!$A$16,$A611&lt;'Control Room'!$A$16+'Control Room'!$B$16,'Process'!BR5=1),1+('Control Room'!$C$16-1)*EXP(-0.5*(($A611-'Control Room'!$A$16-('Control Room'!$B$16-1)/2)/MAX(0.5,'Control Room'!$B$16/4))^2),1)</x:f>
        <x:v>1</x:v>
      </x:c>
      <x:c r="AP611" s="9" t="n">
        <x:f>MOD(AQ610*16807,2147483647)</x:f>
        <x:v>1340537341</x:v>
      </x:c>
      <x:c r="AQ611" s="9" t="n">
        <x:f>MOD(AP611*16807,2147483647)</x:f>
        <x:v>1160149510</x:v>
      </x:c>
      <x:c r="AR611" s="17" t="n">
        <x:f>IF('Control Room'!$B$5="Normal",'Control Room'!$B$7+'Control Room'!$D$7*SQRT(-2*LN(MAX(0.000000000001,AP611/2147483647)))*COS(2*PI()*AQ611/2147483647),'Control Room'!$B$8+('Control Room'!$D$8-'Control Room'!$B$8)*AP611/2147483647)</x:f>
        <x:v>915.4053714197617</x:v>
      </x:c>
      <x:c r="AS611" s="17" t="n">
        <x:f>IF('Control Room'!$B$5="Normal",'Control Room'!$B$7,('Control Room'!$B$8+'Control Room'!$D$8)/2)+'Control Room'!$B$9*(AS610-IF('Control Room'!$B$5="Normal",'Control Room'!$B$7,('Control Room'!$B$8+'Control Room'!$D$8)/2))+SQRT(1-'Control Room'!$B$9^2)*(AR611-IF('Control Room'!$B$5="Normal",'Control Room'!$B$7,('Control Room'!$B$8+'Control Room'!$D$8)/2))</x:f>
        <x:v>847.1863450904312</x:v>
      </x:c>
      <x:c r="AT611" s="17" t="n">
        <x:f>IF(AND($A611&gt;='Control Room'!$A$13,$A611&lt;'Control Room'!$A$13+'Control Room'!$B$13,'Process'!BS2=1),1+('Control Room'!$C$13-1)*EXP(-0.5*(($A611-'Control Room'!$A$13-('Control Room'!$B$13-1)/2)/MAX(0.5,'Control Room'!$B$13/4))^2),1)*IF(AND($A611&gt;='Control Room'!$A$14,$A611&lt;'Control Room'!$A$14+'Control Room'!$B$14,'Process'!BS3=1),1+('Control Room'!$C$14-1)*EXP(-0.5*(($A611-'Control Room'!$A$14-('Control Room'!$B$14-1)/2)/MAX(0.5,'Control Room'!$B$14/4))^2),1)*IF(AND($A611&gt;='Control Room'!$A$15,$A611&lt;'Control Room'!$A$15+'Control Room'!$B$15,'Process'!BS4=1),1+('Control Room'!$C$15-1)*EXP(-0.5*(($A611-'Control Room'!$A$15-('Control Room'!$B$15-1)/2)/MAX(0.5,'Control Room'!$B$15/4))^2),1)*IF(AND($A611&gt;='Control Room'!$A$16,$A611&lt;'Control Room'!$A$16+'Control Room'!$B$16,'Process'!BS5=1),1+('Control Room'!$C$16-1)*EXP(-0.5*(($A611-'Control Room'!$A$16-('Control Room'!$B$16-1)/2)/MAX(0.5,'Control Room'!$B$16/4))^2),1)</x:f>
        <x:v>1</x:v>
      </x:c>
      <x:c r="AU611" s="9" t="n">
        <x:f>MOD(AV610*16807,2147483647)</x:f>
        <x:v>1940116804</x:v>
      </x:c>
      <x:c r="AV611" s="9" t="n">
        <x:f>MOD(AU611*16807,2147483647)</x:f>
        <x:v>151428780</x:v>
      </x:c>
      <x:c r="AW611" s="17" t="n">
        <x:f>IF('Control Room'!$B$5="Normal",'Control Room'!$B$7+'Control Room'!$D$7*SQRT(-2*LN(MAX(0.000000000001,AU611/2147483647)))*COS(2*PI()*AV611/2147483647),'Control Room'!$B$8+('Control Room'!$D$8-'Control Room'!$B$8)*AU611/2147483647)</x:f>
        <x:v>1036.64346766795</x:v>
      </x:c>
      <x:c r="AX611" s="17" t="n">
        <x:f>IF('Control Room'!$B$5="Normal",'Control Room'!$B$7,('Control Room'!$B$8+'Control Room'!$D$8)/2)+'Control Room'!$B$9*(AX610-IF('Control Room'!$B$5="Normal",'Control Room'!$B$7,('Control Room'!$B$8+'Control Room'!$D$8)/2))+SQRT(1-'Control Room'!$B$9^2)*(AW611-IF('Control Room'!$B$5="Normal",'Control Room'!$B$7,('Control Room'!$B$8+'Control Room'!$D$8)/2))</x:f>
        <x:v>954.4070766952896</x:v>
      </x:c>
      <x:c r="AY611" s="17" t="n">
        <x:f>IF(AND($A611&gt;='Control Room'!$A$13,$A611&lt;'Control Room'!$A$13+'Control Room'!$B$13,'Process'!BT2=1),1+('Control Room'!$C$13-1)*EXP(-0.5*(($A611-'Control Room'!$A$13-('Control Room'!$B$13-1)/2)/MAX(0.5,'Control Room'!$B$13/4))^2),1)*IF(AND($A611&gt;='Control Room'!$A$14,$A611&lt;'Control Room'!$A$14+'Control Room'!$B$14,'Process'!BT3=1),1+('Control Room'!$C$14-1)*EXP(-0.5*(($A611-'Control Room'!$A$14-('Control Room'!$B$14-1)/2)/MAX(0.5,'Control Room'!$B$14/4))^2),1)*IF(AND($A611&gt;='Control Room'!$A$15,$A611&lt;'Control Room'!$A$15+'Control Room'!$B$15,'Process'!BT4=1),1+('Control Room'!$C$15-1)*EXP(-0.5*(($A611-'Control Room'!$A$15-('Control Room'!$B$15-1)/2)/MAX(0.5,'Control Room'!$B$15/4))^2),1)*IF(AND($A611&gt;='Control Room'!$A$16,$A611&lt;'Control Room'!$A$16+'Control Room'!$B$16,'Process'!BT5=1),1+('Control Room'!$C$16-1)*EXP(-0.5*(($A611-'Control Room'!$A$16-('Control Room'!$B$16-1)/2)/MAX(0.5,'Control Room'!$B$16/4))^2),1)</x:f>
        <x:v>1</x:v>
      </x:c>
      <x:c r="AZ611" s="9" t="n">
        <x:f>MOD(BA610*16807,2147483647)</x:f>
        <x:v>392212620</x:v>
      </x:c>
      <x:c r="BA611" s="9" t="n">
        <x:f>MOD(AZ611*16807,2147483647)</x:f>
        <x:v>1290191697</x:v>
      </x:c>
      <x:c r="BB611" s="17" t="n">
        <x:f>IF('Control Room'!$B$5="Normal",'Control Room'!$B$7+'Control Room'!$D$7*SQRT(-2*LN(MAX(0.000000000001,AZ611/2147483647)))*COS(2*PI()*BA611/2147483647),'Control Room'!$B$8+('Control Room'!$D$8-'Control Room'!$B$8)*AZ611/2147483647)</x:f>
        <x:v>866.2196869864953</x:v>
      </x:c>
      <x:c r="BC611" s="17" t="n">
        <x:f>IF('Control Room'!$B$5="Normal",'Control Room'!$B$7,('Control Room'!$B$8+'Control Room'!$D$8)/2)+'Control Room'!$B$9*(BC610-IF('Control Room'!$B$5="Normal",'Control Room'!$B$7,('Control Room'!$B$8+'Control Room'!$D$8)/2))+SQRT(1-'Control Room'!$B$9^2)*(BB611-IF('Control Room'!$B$5="Normal",'Control Room'!$B$7,('Control Room'!$B$8+'Control Room'!$D$8)/2))</x:f>
        <x:v>829.1069931201503</x:v>
      </x:c>
      <x:c r="BD611" s="17" t="n">
        <x:f>IF(AND($A611&gt;='Control Room'!$A$13,$A611&lt;'Control Room'!$A$13+'Control Room'!$B$13,'Process'!BU2=1),1+('Control Room'!$C$13-1)*EXP(-0.5*(($A611-'Control Room'!$A$13-('Control Room'!$B$13-1)/2)/MAX(0.5,'Control Room'!$B$13/4))^2),1)*IF(AND($A611&gt;='Control Room'!$A$14,$A611&lt;'Control Room'!$A$14+'Control Room'!$B$14,'Process'!BU3=1),1+('Control Room'!$C$14-1)*EXP(-0.5*(($A611-'Control Room'!$A$14-('Control Room'!$B$14-1)/2)/MAX(0.5,'Control Room'!$B$14/4))^2),1)*IF(AND($A611&gt;='Control Room'!$A$15,$A611&lt;'Control Room'!$A$15+'Control Room'!$B$15,'Process'!BU4=1),1+('Control Room'!$C$15-1)*EXP(-0.5*(($A611-'Control Room'!$A$15-('Control Room'!$B$15-1)/2)/MAX(0.5,'Control Room'!$B$15/4))^2),1)*IF(AND($A611&gt;='Control Room'!$A$16,$A611&lt;'Control Room'!$A$16+'Control Room'!$B$16,'Process'!BU5=1),1+('Control Room'!$C$16-1)*EXP(-0.5*(($A611-'Control Room'!$A$16-('Control Room'!$B$16-1)/2)/MAX(0.5,'Control Room'!$B$16/4))^2),1)</x:f>
        <x:v>1</x:v>
      </x:c>
      <x:c r="BE611" s="9" t="n">
        <x:f>MOD(BF610*16807,2147483647)</x:f>
        <x:v>991792083</x:v>
      </x:c>
      <x:c r="BF611" s="9" t="n">
        <x:f>MOD(BE611*16807,2147483647)</x:f>
        <x:v>281470967</x:v>
      </x:c>
      <x:c r="BG611" s="17" t="n">
        <x:f>IF('Control Room'!$B$5="Normal",'Control Room'!$B$7+'Control Room'!$D$7*SQRT(-2*LN(MAX(0.000000000001,BE611/2147483647)))*COS(2*PI()*BF611/2147483647),'Control Room'!$B$8+('Control Room'!$D$8-'Control Room'!$B$8)*BE611/2147483647)</x:f>
        <x:v>1076.0309214922709</x:v>
      </x:c>
      <x:c r="BH611" s="17" t="n">
        <x:f>IF('Control Room'!$B$5="Normal",'Control Room'!$B$7,('Control Room'!$B$8+'Control Room'!$D$8)/2)+'Control Room'!$B$9*(BH610-IF('Control Room'!$B$5="Normal",'Control Room'!$B$7,('Control Room'!$B$8+'Control Room'!$D$8)/2))+SQRT(1-'Control Room'!$B$9^2)*(BG611-IF('Control Room'!$B$5="Normal",'Control Room'!$B$7,('Control Room'!$B$8+'Control Room'!$D$8)/2))</x:f>
        <x:v>1125.2941268593736</x:v>
      </x:c>
      <x:c r="BI611" s="17" t="n">
        <x:f>IF(AND($A611&gt;='Control Room'!$A$13,$A611&lt;'Control Room'!$A$13+'Control Room'!$B$13,'Process'!BV2=1),1+('Control Room'!$C$13-1)*EXP(-0.5*(($A611-'Control Room'!$A$13-('Control Room'!$B$13-1)/2)/MAX(0.5,'Control Room'!$B$13/4))^2),1)*IF(AND($A611&gt;='Control Room'!$A$14,$A611&lt;'Control Room'!$A$14+'Control Room'!$B$14,'Process'!BV3=1),1+('Control Room'!$C$14-1)*EXP(-0.5*(($A611-'Control Room'!$A$14-('Control Room'!$B$14-1)/2)/MAX(0.5,'Control Room'!$B$14/4))^2),1)*IF(AND($A611&gt;='Control Room'!$A$15,$A611&lt;'Control Room'!$A$15+'Control Room'!$B$15,'Process'!BV4=1),1+('Control Room'!$C$15-1)*EXP(-0.5*(($A611-'Control Room'!$A$15-('Control Room'!$B$15-1)/2)/MAX(0.5,'Control Room'!$B$15/4))^2),1)*IF(AND($A611&gt;='Control Room'!$A$16,$A611&lt;'Control Room'!$A$16+'Control Room'!$B$16,'Process'!BV5=1),1+('Control Room'!$C$16-1)*EXP(-0.5*(($A611-'Control Room'!$A$16-('Control Room'!$B$16-1)/2)/MAX(0.5,'Control Room'!$B$16/4))^2),1)</x:f>
        <x:v>1</x:v>
      </x:c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Z611" t="str">
        <x:f>IF('Data'!A611="","",TEXT('Data'!A611,"mm-dd"))</x:f>
      </x:c>
    </x:row>
    <x:row r="612" ht="21" customHeight="1">
      <x:c r="A612" s="15" t="n">
        <x:f>'Control Room'!$B$1+610</x:f>
        <x:v>73601</x:v>
      </x:c>
      <x:c r="B612" s="9" t="n">
        <x:f>MOD(C611*16807,2147483647)</x:f>
        <x:v>1558562758</x:v>
      </x:c>
      <x:c r="C612" s="9" t="n">
        <x:f>MOD(B612*16807,2147483647)</x:f>
        <x:v>1906231247</x:v>
      </x:c>
      <x:c r="D612" s="17" t="n">
        <x:f>IF('Control Room'!$B$5="Normal",'Control Room'!$B$7+'Control Room'!$D$7*SQRT(-2*LN(MAX(0.000000000001,B612/2147483647)))*COS(2*PI()*C612/2147483647),'Control Room'!$B$8+('Control Room'!$D$8-'Control Room'!$B$8)*B612/2147483647)</x:f>
        <x:v>1054.8412393620433</x:v>
      </x:c>
      <x:c r="E612" s="17" t="n">
        <x:f>IF('Control Room'!$B$5="Normal",'Control Room'!$B$7,('Control Room'!$B$8+'Control Room'!$D$8)/2)+'Control Room'!$B$9*(E611-IF('Control Room'!$B$5="Normal",'Control Room'!$B$7,('Control Room'!$B$8+'Control Room'!$D$8)/2))+SQRT(1-'Control Room'!$B$9^2)*(D612-IF('Control Room'!$B$5="Normal",'Control Room'!$B$7,('Control Room'!$B$8+'Control Room'!$D$8)/2))</x:f>
        <x:v>1076.4170965133253</x:v>
      </x:c>
      <x:c r="F612" s="17" t="n">
        <x:f>IF(AND($A612&gt;='Control Room'!$A$13,$A612&lt;'Control Room'!$A$13+'Control Room'!$B$13,'Process'!BK2=1),1+('Control Room'!$C$13-1)*EXP(-0.5*(($A612-'Control Room'!$A$13-('Control Room'!$B$13-1)/2)/MAX(0.5,'Control Room'!$B$13/4))^2),1)*IF(AND($A612&gt;='Control Room'!$A$14,$A612&lt;'Control Room'!$A$14+'Control Room'!$B$14,'Process'!BK3=1),1+('Control Room'!$C$14-1)*EXP(-0.5*(($A612-'Control Room'!$A$14-('Control Room'!$B$14-1)/2)/MAX(0.5,'Control Room'!$B$14/4))^2),1)*IF(AND($A612&gt;='Control Room'!$A$15,$A612&lt;'Control Room'!$A$15+'Control Room'!$B$15,'Process'!BK4=1),1+('Control Room'!$C$15-1)*EXP(-0.5*(($A612-'Control Room'!$A$15-('Control Room'!$B$15-1)/2)/MAX(0.5,'Control Room'!$B$15/4))^2),1)*IF(AND($A612&gt;='Control Room'!$A$16,$A612&lt;'Control Room'!$A$16+'Control Room'!$B$16,'Process'!BK5=1),1+('Control Room'!$C$16-1)*EXP(-0.5*(($A612-'Control Room'!$A$16-('Control Room'!$B$16-1)/2)/MAX(0.5,'Control Room'!$B$16/4))^2),1)</x:f>
        <x:v>1</x:v>
      </x:c>
      <x:c r="G612" s="9" t="n">
        <x:f>MOD(H611*16807,2147483647)</x:f>
        <x:v>225163066</x:v>
      </x:c>
      <x:c r="H612" s="9" t="n">
        <x:f>MOD(G612*16807,2147483647)</x:f>
        <x:v>449464248</x:v>
      </x:c>
      <x:c r="I612" s="17" t="n">
        <x:f>IF('Control Room'!$B$5="Normal",'Control Room'!$B$7+'Control Room'!$D$7*SQRT(-2*LN(MAX(0.000000000001,G612/2147483647)))*COS(2*PI()*H612/2147483647),'Control Room'!$B$8+('Control Room'!$D$8-'Control Room'!$B$8)*G612/2147483647)</x:f>
        <x:v>1048.3507153629857</x:v>
      </x:c>
      <x:c r="J612" s="17" t="n">
        <x:f>IF('Control Room'!$B$5="Normal",'Control Room'!$B$7,('Control Room'!$B$8+'Control Room'!$D$8)/2)+'Control Room'!$B$9*(J611-IF('Control Room'!$B$5="Normal",'Control Room'!$B$7,('Control Room'!$B$8+'Control Room'!$D$8)/2))+SQRT(1-'Control Room'!$B$9^2)*(I612-IF('Control Room'!$B$5="Normal",'Control Room'!$B$7,('Control Room'!$B$8+'Control Room'!$D$8)/2))</x:f>
        <x:v>1067.456687062678</x:v>
      </x:c>
      <x:c r="K612" s="17" t="n">
        <x:f>IF(AND($A612&gt;='Control Room'!$A$13,$A612&lt;'Control Room'!$A$13+'Control Room'!$B$13,'Process'!BL2=1),1+('Control Room'!$C$13-1)*EXP(-0.5*(($A612-'Control Room'!$A$13-('Control Room'!$B$13-1)/2)/MAX(0.5,'Control Room'!$B$13/4))^2),1)*IF(AND($A612&gt;='Control Room'!$A$14,$A612&lt;'Control Room'!$A$14+'Control Room'!$B$14,'Process'!BL3=1),1+('Control Room'!$C$14-1)*EXP(-0.5*(($A612-'Control Room'!$A$14-('Control Room'!$B$14-1)/2)/MAX(0.5,'Control Room'!$B$14/4))^2),1)*IF(AND($A612&gt;='Control Room'!$A$15,$A612&lt;'Control Room'!$A$15+'Control Room'!$B$15,'Process'!BL4=1),1+('Control Room'!$C$15-1)*EXP(-0.5*(($A612-'Control Room'!$A$15-('Control Room'!$B$15-1)/2)/MAX(0.5,'Control Room'!$B$15/4))^2),1)*IF(AND($A612&gt;='Control Room'!$A$16,$A612&lt;'Control Room'!$A$16+'Control Room'!$B$16,'Process'!BL5=1),1+('Control Room'!$C$16-1)*EXP(-0.5*(($A612-'Control Room'!$A$16-('Control Room'!$B$16-1)/2)/MAX(0.5,'Control Room'!$B$16/4))^2),1)</x:f>
        <x:v>1</x:v>
      </x:c>
      <x:c r="L612" s="9" t="n">
        <x:f>MOD(M611*16807,2147483647)</x:f>
        <x:v>1039247021</x:v>
      </x:c>
      <x:c r="M612" s="9" t="n">
        <x:f>MOD(L612*16807,2147483647)</x:f>
        <x:v>1140180896</x:v>
      </x:c>
      <x:c r="N612" s="17" t="n">
        <x:f>IF('Control Room'!$B$5="Normal",'Control Room'!$B$7+'Control Room'!$D$7*SQRT(-2*LN(MAX(0.000000000001,L612/2147483647)))*COS(2*PI()*M612/2147483647),'Control Room'!$B$8+('Control Room'!$D$8-'Control Room'!$B$8)*L612/2147483647)</x:f>
        <x:v>893.608127763562</x:v>
      </x:c>
      <x:c r="O612" s="17" t="n">
        <x:f>IF('Control Room'!$B$5="Normal",'Control Room'!$B$7,('Control Room'!$B$8+'Control Room'!$D$8)/2)+'Control Room'!$B$9*(O611-IF('Control Room'!$B$5="Normal",'Control Room'!$B$7,('Control Room'!$B$8+'Control Room'!$D$8)/2))+SQRT(1-'Control Room'!$B$9^2)*(N612-IF('Control Room'!$B$5="Normal",'Control Room'!$B$7,('Control Room'!$B$8+'Control Room'!$D$8)/2))</x:f>
        <x:v>933.5273948196836</x:v>
      </x:c>
      <x:c r="P612" s="17" t="n">
        <x:f>IF(AND($A612&gt;='Control Room'!$A$13,$A612&lt;'Control Room'!$A$13+'Control Room'!$B$13,'Process'!BM2=1),1+('Control Room'!$C$13-1)*EXP(-0.5*(($A612-'Control Room'!$A$13-('Control Room'!$B$13-1)/2)/MAX(0.5,'Control Room'!$B$13/4))^2),1)*IF(AND($A612&gt;='Control Room'!$A$14,$A612&lt;'Control Room'!$A$14+'Control Room'!$B$14,'Process'!BM3=1),1+('Control Room'!$C$14-1)*EXP(-0.5*(($A612-'Control Room'!$A$14-('Control Room'!$B$14-1)/2)/MAX(0.5,'Control Room'!$B$14/4))^2),1)*IF(AND($A612&gt;='Control Room'!$A$15,$A612&lt;'Control Room'!$A$15+'Control Room'!$B$15,'Process'!BM4=1),1+('Control Room'!$C$15-1)*EXP(-0.5*(($A612-'Control Room'!$A$15-('Control Room'!$B$15-1)/2)/MAX(0.5,'Control Room'!$B$15/4))^2),1)*IF(AND($A612&gt;='Control Room'!$A$16,$A612&lt;'Control Room'!$A$16+'Control Room'!$B$16,'Process'!BM5=1),1+('Control Room'!$C$16-1)*EXP(-0.5*(($A612-'Control Room'!$A$16-('Control Room'!$B$16-1)/2)/MAX(0.5,'Control Room'!$B$16/4))^2),1)</x:f>
        <x:v>1</x:v>
      </x:c>
      <x:c r="Q612" s="9" t="n">
        <x:f>MOD(R611*16807,2147483647)</x:f>
        <x:v>1853330976</x:v>
      </x:c>
      <x:c r="R612" s="9" t="n">
        <x:f>MOD(Q612*16807,2147483647)</x:f>
        <x:v>1830897544</x:v>
      </x:c>
      <x:c r="S612" s="17" t="n">
        <x:f>IF('Control Room'!$B$5="Normal",'Control Room'!$B$7+'Control Room'!$D$7*SQRT(-2*LN(MAX(0.000000000001,Q612/2147483647)))*COS(2*PI()*R612/2147483647),'Control Room'!$B$8+('Control Room'!$D$8-'Control Room'!$B$8)*Q612/2147483647)</x:f>
        <x:v>1029.350528273248</x:v>
      </x:c>
      <x:c r="T612" s="17" t="n">
        <x:f>IF('Control Room'!$B$5="Normal",'Control Room'!$B$7,('Control Room'!$B$8+'Control Room'!$D$8)/2)+'Control Room'!$B$9*(T611-IF('Control Room'!$B$5="Normal",'Control Room'!$B$7,('Control Room'!$B$8+'Control Room'!$D$8)/2))+SQRT(1-'Control Room'!$B$9^2)*(S612-IF('Control Room'!$B$5="Normal",'Control Room'!$B$7,('Control Room'!$B$8+'Control Room'!$D$8)/2))</x:f>
        <x:v>1160.2682406993104</x:v>
      </x:c>
      <x:c r="U612" s="17" t="n">
        <x:f>IF(AND($A612&gt;='Control Room'!$A$13,$A612&lt;'Control Room'!$A$13+'Control Room'!$B$13,'Process'!BN2=1),1+('Control Room'!$C$13-1)*EXP(-0.5*(($A612-'Control Room'!$A$13-('Control Room'!$B$13-1)/2)/MAX(0.5,'Control Room'!$B$13/4))^2),1)*IF(AND($A612&gt;='Control Room'!$A$14,$A612&lt;'Control Room'!$A$14+'Control Room'!$B$14,'Process'!BN3=1),1+('Control Room'!$C$14-1)*EXP(-0.5*(($A612-'Control Room'!$A$14-('Control Room'!$B$14-1)/2)/MAX(0.5,'Control Room'!$B$14/4))^2),1)*IF(AND($A612&gt;='Control Room'!$A$15,$A612&lt;'Control Room'!$A$15+'Control Room'!$B$15,'Process'!BN4=1),1+('Control Room'!$C$15-1)*EXP(-0.5*(($A612-'Control Room'!$A$15-('Control Room'!$B$15-1)/2)/MAX(0.5,'Control Room'!$B$15/4))^2),1)*IF(AND($A612&gt;='Control Room'!$A$16,$A612&lt;'Control Room'!$A$16+'Control Room'!$B$16,'Process'!BN5=1),1+('Control Room'!$C$16-1)*EXP(-0.5*(($A612-'Control Room'!$A$16-('Control Room'!$B$16-1)/2)/MAX(0.5,'Control Room'!$B$16/4))^2),1)</x:f>
        <x:v>1</x:v>
      </x:c>
      <x:c r="V612" s="9" t="n">
        <x:f>MOD(W611*16807,2147483647)</x:f>
        <x:v>519931284</x:v>
      </x:c>
      <x:c r="W612" s="9" t="n">
        <x:f>MOD(V612*16807,2147483647)</x:f>
        <x:v>374130545</x:v>
      </x:c>
      <x:c r="X612" s="17" t="n">
        <x:f>IF('Control Room'!$B$5="Normal",'Control Room'!$B$7+'Control Room'!$D$7*SQRT(-2*LN(MAX(0.000000000001,V612/2147483647)))*COS(2*PI()*W612/2147483647),'Control Room'!$B$8+('Control Room'!$D$8-'Control Room'!$B$8)*V612/2147483647)</x:f>
        <x:v>1069.4798584976213</x:v>
      </x:c>
      <x:c r="Y612" s="17" t="n">
        <x:f>IF('Control Room'!$B$5="Normal",'Control Room'!$B$7,('Control Room'!$B$8+'Control Room'!$D$8)/2)+'Control Room'!$B$9*(Y611-IF('Control Room'!$B$5="Normal",'Control Room'!$B$7,('Control Room'!$B$8+'Control Room'!$D$8)/2))+SQRT(1-'Control Room'!$B$9^2)*(X612-IF('Control Room'!$B$5="Normal",'Control Room'!$B$7,('Control Room'!$B$8+'Control Room'!$D$8)/2))</x:f>
        <x:v>946.4423819245263</x:v>
      </x:c>
      <x:c r="Z612" s="17" t="n">
        <x:f>IF(AND($A612&gt;='Control Room'!$A$13,$A612&lt;'Control Room'!$A$13+'Control Room'!$B$13,'Process'!BO2=1),1+('Control Room'!$C$13-1)*EXP(-0.5*(($A612-'Control Room'!$A$13-('Control Room'!$B$13-1)/2)/MAX(0.5,'Control Room'!$B$13/4))^2),1)*IF(AND($A612&gt;='Control Room'!$A$14,$A612&lt;'Control Room'!$A$14+'Control Room'!$B$14,'Process'!BO3=1),1+('Control Room'!$C$14-1)*EXP(-0.5*(($A612-'Control Room'!$A$14-('Control Room'!$B$14-1)/2)/MAX(0.5,'Control Room'!$B$14/4))^2),1)*IF(AND($A612&gt;='Control Room'!$A$15,$A612&lt;'Control Room'!$A$15+'Control Room'!$B$15,'Process'!BO4=1),1+('Control Room'!$C$15-1)*EXP(-0.5*(($A612-'Control Room'!$A$15-('Control Room'!$B$15-1)/2)/MAX(0.5,'Control Room'!$B$15/4))^2),1)*IF(AND($A612&gt;='Control Room'!$A$16,$A612&lt;'Control Room'!$A$16+'Control Room'!$B$16,'Process'!BO5=1),1+('Control Room'!$C$16-1)*EXP(-0.5*(($A612-'Control Room'!$A$16-('Control Room'!$B$16-1)/2)/MAX(0.5,'Control Room'!$B$16/4))^2),1)</x:f>
        <x:v>1</x:v>
      </x:c>
      <x:c r="AA612" s="9" t="n">
        <x:f>MOD(AB611*16807,2147483647)</x:f>
        <x:v>1334015239</x:v>
      </x:c>
      <x:c r="AB612" s="9" t="n">
        <x:f>MOD(AA612*16807,2147483647)</x:f>
        <x:v>1064847193</x:v>
      </x:c>
      <x:c r="AC612" s="17" t="n">
        <x:f>IF('Control Room'!$B$5="Normal",'Control Room'!$B$7+'Control Room'!$D$7*SQRT(-2*LN(MAX(0.000000000001,AA612/2147483647)))*COS(2*PI()*AB612/2147483647),'Control Room'!$B$8+('Control Room'!$D$8-'Control Room'!$B$8)*AA612/2147483647)</x:f>
        <x:v>912.2067630502056</x:v>
      </x:c>
      <x:c r="AD612" s="17" t="n">
        <x:f>IF('Control Room'!$B$5="Normal",'Control Room'!$B$7,('Control Room'!$B$8+'Control Room'!$D$8)/2)+'Control Room'!$B$9*(AD611-IF('Control Room'!$B$5="Normal",'Control Room'!$B$7,('Control Room'!$B$8+'Control Room'!$D$8)/2))+SQRT(1-'Control Room'!$B$9^2)*(AC612-IF('Control Room'!$B$5="Normal",'Control Room'!$B$7,('Control Room'!$B$8+'Control Room'!$D$8)/2))</x:f>
        <x:v>952.3116113883814</x:v>
      </x:c>
      <x:c r="AE612" s="17" t="n">
        <x:f>IF(AND($A612&gt;='Control Room'!$A$13,$A612&lt;'Control Room'!$A$13+'Control Room'!$B$13,'Process'!BP2=1),1+('Control Room'!$C$13-1)*EXP(-0.5*(($A612-'Control Room'!$A$13-('Control Room'!$B$13-1)/2)/MAX(0.5,'Control Room'!$B$13/4))^2),1)*IF(AND($A612&gt;='Control Room'!$A$14,$A612&lt;'Control Room'!$A$14+'Control Room'!$B$14,'Process'!BP3=1),1+('Control Room'!$C$14-1)*EXP(-0.5*(($A612-'Control Room'!$A$14-('Control Room'!$B$14-1)/2)/MAX(0.5,'Control Room'!$B$14/4))^2),1)*IF(AND($A612&gt;='Control Room'!$A$15,$A612&lt;'Control Room'!$A$15+'Control Room'!$B$15,'Process'!BP4=1),1+('Control Room'!$C$15-1)*EXP(-0.5*(($A612-'Control Room'!$A$15-('Control Room'!$B$15-1)/2)/MAX(0.5,'Control Room'!$B$15/4))^2),1)*IF(AND($A612&gt;='Control Room'!$A$16,$A612&lt;'Control Room'!$A$16+'Control Room'!$B$16,'Process'!BP5=1),1+('Control Room'!$C$16-1)*EXP(-0.5*(($A612-'Control Room'!$A$16-('Control Room'!$B$16-1)/2)/MAX(0.5,'Control Room'!$B$16/4))^2),1)</x:f>
        <x:v>1</x:v>
      </x:c>
      <x:c r="AF612" s="9" t="n">
        <x:f>MOD(AG611*16807,2147483647)</x:f>
        <x:v>615547</x:v>
      </x:c>
      <x:c r="AG612" s="9" t="n">
        <x:f>MOD(AF612*16807,2147483647)</x:f>
        <x:v>1755563841</x:v>
      </x:c>
      <x:c r="AH612" s="17" t="n">
        <x:f>IF('Control Room'!$B$5="Normal",'Control Room'!$B$7+'Control Room'!$D$7*SQRT(-2*LN(MAX(0.000000000001,AF612/2147483647)))*COS(2*PI()*AG612/2147483647),'Control Room'!$B$8+('Control Room'!$D$8-'Control Room'!$B$8)*AF612/2147483647)</x:f>
        <x:v>1149.5905782171944</x:v>
      </x:c>
      <x:c r="AI612" s="17" t="n">
        <x:f>IF('Control Room'!$B$5="Normal",'Control Room'!$B$7,('Control Room'!$B$8+'Control Room'!$D$8)/2)+'Control Room'!$B$9*(AI611-IF('Control Room'!$B$5="Normal",'Control Room'!$B$7,('Control Room'!$B$8+'Control Room'!$D$8)/2))+SQRT(1-'Control Room'!$B$9^2)*(AH612-IF('Control Room'!$B$5="Normal",'Control Room'!$B$7,('Control Room'!$B$8+'Control Room'!$D$8)/2))</x:f>
        <x:v>945.863948199458</x:v>
      </x:c>
      <x:c r="AJ612" s="17" t="n">
        <x:f>IF(AND($A612&gt;='Control Room'!$A$13,$A612&lt;'Control Room'!$A$13+'Control Room'!$B$13,'Process'!BQ2=1),1+('Control Room'!$C$13-1)*EXP(-0.5*(($A612-'Control Room'!$A$13-('Control Room'!$B$13-1)/2)/MAX(0.5,'Control Room'!$B$13/4))^2),1)*IF(AND($A612&gt;='Control Room'!$A$14,$A612&lt;'Control Room'!$A$14+'Control Room'!$B$14,'Process'!BQ3=1),1+('Control Room'!$C$14-1)*EXP(-0.5*(($A612-'Control Room'!$A$14-('Control Room'!$B$14-1)/2)/MAX(0.5,'Control Room'!$B$14/4))^2),1)*IF(AND($A612&gt;='Control Room'!$A$15,$A612&lt;'Control Room'!$A$15+'Control Room'!$B$15,'Process'!BQ4=1),1+('Control Room'!$C$15-1)*EXP(-0.5*(($A612-'Control Room'!$A$15-('Control Room'!$B$15-1)/2)/MAX(0.5,'Control Room'!$B$15/4))^2),1)*IF(AND($A612&gt;='Control Room'!$A$16,$A612&lt;'Control Room'!$A$16+'Control Room'!$B$16,'Process'!BQ5=1),1+('Control Room'!$C$16-1)*EXP(-0.5*(($A612-'Control Room'!$A$16-('Control Room'!$B$16-1)/2)/MAX(0.5,'Control Room'!$B$16/4))^2),1)</x:f>
        <x:v>1</x:v>
      </x:c>
      <x:c r="AK612" s="9" t="n">
        <x:f>MOD(AL611*16807,2147483647)</x:f>
        <x:v>814699502</x:v>
      </x:c>
      <x:c r="AL612" s="9" t="n">
        <x:f>MOD(AK612*16807,2147483647)</x:f>
        <x:v>298796842</x:v>
      </x:c>
      <x:c r="AM612" s="17" t="n">
        <x:f>IF('Control Room'!$B$5="Normal",'Control Room'!$B$7+'Control Room'!$D$7*SQRT(-2*LN(MAX(0.000000000001,AK612/2147483647)))*COS(2*PI()*AL612/2147483647),'Control Room'!$B$8+('Control Room'!$D$8-'Control Room'!$B$8)*AK612/2147483647)</x:f>
        <x:v>1080.3946662153644</x:v>
      </x:c>
      <x:c r="AN612" s="17" t="n">
        <x:f>IF('Control Room'!$B$5="Normal",'Control Room'!$B$7,('Control Room'!$B$8+'Control Room'!$D$8)/2)+'Control Room'!$B$9*(AN611-IF('Control Room'!$B$5="Normal",'Control Room'!$B$7,('Control Room'!$B$8+'Control Room'!$D$8)/2))+SQRT(1-'Control Room'!$B$9^2)*(AM612-IF('Control Room'!$B$5="Normal",'Control Room'!$B$7,('Control Room'!$B$8+'Control Room'!$D$8)/2))</x:f>
        <x:v>1163.197811362214</x:v>
      </x:c>
      <x:c r="AO612" s="17" t="n">
        <x:f>IF(AND($A612&gt;='Control Room'!$A$13,$A612&lt;'Control Room'!$A$13+'Control Room'!$B$13,'Process'!BR2=1),1+('Control Room'!$C$13-1)*EXP(-0.5*(($A612-'Control Room'!$A$13-('Control Room'!$B$13-1)/2)/MAX(0.5,'Control Room'!$B$13/4))^2),1)*IF(AND($A612&gt;='Control Room'!$A$14,$A612&lt;'Control Room'!$A$14+'Control Room'!$B$14,'Process'!BR3=1),1+('Control Room'!$C$14-1)*EXP(-0.5*(($A612-'Control Room'!$A$14-('Control Room'!$B$14-1)/2)/MAX(0.5,'Control Room'!$B$14/4))^2),1)*IF(AND($A612&gt;='Control Room'!$A$15,$A612&lt;'Control Room'!$A$15+'Control Room'!$B$15,'Process'!BR4=1),1+('Control Room'!$C$15-1)*EXP(-0.5*(($A612-'Control Room'!$A$15-('Control Room'!$B$15-1)/2)/MAX(0.5,'Control Room'!$B$15/4))^2),1)*IF(AND($A612&gt;='Control Room'!$A$16,$A612&lt;'Control Room'!$A$16+'Control Room'!$B$16,'Process'!BR5=1),1+('Control Room'!$C$16-1)*EXP(-0.5*(($A612-'Control Room'!$A$16-('Control Room'!$B$16-1)/2)/MAX(0.5,'Control Room'!$B$16/4))^2),1)</x:f>
        <x:v>1</x:v>
      </x:c>
      <x:c r="AP612" s="9" t="n">
        <x:f>MOD(AQ611*16807,2147483647)</x:f>
        <x:v>1628783457</x:v>
      </x:c>
      <x:c r="AQ612" s="9" t="n">
        <x:f>MOD(AP612*16807,2147483647)</x:f>
        <x:v>989513490</x:v>
      </x:c>
      <x:c r="AR612" s="17" t="n">
        <x:f>IF('Control Room'!$B$5="Normal",'Control Room'!$B$7+'Control Room'!$D$7*SQRT(-2*LN(MAX(0.000000000001,AP612/2147483647)))*COS(2*PI()*AQ612/2147483647),'Control Room'!$B$8+('Control Room'!$D$8-'Control Room'!$B$8)*AP612/2147483647)</x:f>
        <x:v>935.0987792127336</x:v>
      </x:c>
      <x:c r="AS612" s="17" t="n">
        <x:f>IF('Control Room'!$B$5="Normal",'Control Room'!$B$7,('Control Room'!$B$8+'Control Room'!$D$8)/2)+'Control Room'!$B$9*(AS611-IF('Control Room'!$B$5="Normal",'Control Room'!$B$7,('Control Room'!$B$8+'Control Room'!$D$8)/2))+SQRT(1-'Control Room'!$B$9^2)*(AR612-IF('Control Room'!$B$5="Normal",'Control Room'!$B$7,('Control Room'!$B$8+'Control Room'!$D$8)/2))</x:f>
        <x:v>840.1914947756417</x:v>
      </x:c>
      <x:c r="AT612" s="17" t="n">
        <x:f>IF(AND($A612&gt;='Control Room'!$A$13,$A612&lt;'Control Room'!$A$13+'Control Room'!$B$13,'Process'!BS2=1),1+('Control Room'!$C$13-1)*EXP(-0.5*(($A612-'Control Room'!$A$13-('Control Room'!$B$13-1)/2)/MAX(0.5,'Control Room'!$B$13/4))^2),1)*IF(AND($A612&gt;='Control Room'!$A$14,$A612&lt;'Control Room'!$A$14+'Control Room'!$B$14,'Process'!BS3=1),1+('Control Room'!$C$14-1)*EXP(-0.5*(($A612-'Control Room'!$A$14-('Control Room'!$B$14-1)/2)/MAX(0.5,'Control Room'!$B$14/4))^2),1)*IF(AND($A612&gt;='Control Room'!$A$15,$A612&lt;'Control Room'!$A$15+'Control Room'!$B$15,'Process'!BS4=1),1+('Control Room'!$C$15-1)*EXP(-0.5*(($A612-'Control Room'!$A$15-('Control Room'!$B$15-1)/2)/MAX(0.5,'Control Room'!$B$15/4))^2),1)*IF(AND($A612&gt;='Control Room'!$A$16,$A612&lt;'Control Room'!$A$16+'Control Room'!$B$16,'Process'!BS5=1),1+('Control Room'!$C$16-1)*EXP(-0.5*(($A612-'Control Room'!$A$16-('Control Room'!$B$16-1)/2)/MAX(0.5,'Control Room'!$B$16/4))^2),1)</x:f>
        <x:v>1</x:v>
      </x:c>
      <x:c r="AU612" s="9" t="n">
        <x:f>MOD(AV611*16807,2147483647)</x:f>
        <x:v>295383765</x:v>
      </x:c>
      <x:c r="AV612" s="9" t="n">
        <x:f>MOD(AU612*16807,2147483647)</x:f>
        <x:v>1680230138</x:v>
      </x:c>
      <x:c r="AW612" s="17" t="n">
        <x:f>IF('Control Room'!$B$5="Normal",'Control Room'!$B$7+'Control Room'!$D$7*SQRT(-2*LN(MAX(0.000000000001,AU612/2147483647)))*COS(2*PI()*AV612/2147483647),'Control Room'!$B$8+('Control Room'!$D$8-'Control Room'!$B$8)*AU612/2147483647)</x:f>
        <x:v>1036.2630605622142</x:v>
      </x:c>
      <x:c r="AX612" s="17" t="n">
        <x:f>IF('Control Room'!$B$5="Normal",'Control Room'!$B$7,('Control Room'!$B$8+'Control Room'!$D$8)/2)+'Control Room'!$B$9*(AX611-IF('Control Room'!$B$5="Normal",'Control Room'!$B$7,('Control Room'!$B$8+'Control Room'!$D$8)/2))+SQRT(1-'Control Room'!$B$9^2)*(AW612-IF('Control Room'!$B$5="Normal",'Control Room'!$B$7,('Control Room'!$B$8+'Control Room'!$D$8)/2))</x:f>
        <x:v>987.1302002329842</x:v>
      </x:c>
      <x:c r="AY612" s="17" t="n">
        <x:f>IF(AND($A612&gt;='Control Room'!$A$13,$A612&lt;'Control Room'!$A$13+'Control Room'!$B$13,'Process'!BT2=1),1+('Control Room'!$C$13-1)*EXP(-0.5*(($A612-'Control Room'!$A$13-('Control Room'!$B$13-1)/2)/MAX(0.5,'Control Room'!$B$13/4))^2),1)*IF(AND($A612&gt;='Control Room'!$A$14,$A612&lt;'Control Room'!$A$14+'Control Room'!$B$14,'Process'!BT3=1),1+('Control Room'!$C$14-1)*EXP(-0.5*(($A612-'Control Room'!$A$14-('Control Room'!$B$14-1)/2)/MAX(0.5,'Control Room'!$B$14/4))^2),1)*IF(AND($A612&gt;='Control Room'!$A$15,$A612&lt;'Control Room'!$A$15+'Control Room'!$B$15,'Process'!BT4=1),1+('Control Room'!$C$15-1)*EXP(-0.5*(($A612-'Control Room'!$A$15-('Control Room'!$B$15-1)/2)/MAX(0.5,'Control Room'!$B$15/4))^2),1)*IF(AND($A612&gt;='Control Room'!$A$16,$A612&lt;'Control Room'!$A$16+'Control Room'!$B$16,'Process'!BT5=1),1+('Control Room'!$C$16-1)*EXP(-0.5*(($A612-'Control Room'!$A$16-('Control Room'!$B$16-1)/2)/MAX(0.5,'Control Room'!$B$16/4))^2),1)</x:f>
        <x:v>1</x:v>
      </x:c>
      <x:c r="AZ612" s="9" t="n">
        <x:f>MOD(BA611*16807,2147483647)</x:f>
        <x:v>1109467720</x:v>
      </x:c>
      <x:c r="BA612" s="9" t="n">
        <x:f>MOD(AZ612*16807,2147483647)</x:f>
        <x:v>223463139</x:v>
      </x:c>
      <x:c r="BB612" s="17" t="n">
        <x:f>IF('Control Room'!$B$5="Normal",'Control Room'!$B$7+'Control Room'!$D$7*SQRT(-2*LN(MAX(0.000000000001,AZ612/2147483647)))*COS(2*PI()*BA612/2147483647),'Control Room'!$B$8+('Control Room'!$D$8-'Control Room'!$B$8)*AZ612/2147483647)</x:f>
        <x:v>1082.103217355536</x:v>
      </x:c>
      <x:c r="BC612" s="17" t="n">
        <x:f>IF('Control Room'!$B$5="Normal",'Control Room'!$B$7,('Control Room'!$B$8+'Control Room'!$D$8)/2)+'Control Room'!$B$9*(BC611-IF('Control Room'!$B$5="Normal",'Control Room'!$B$7,('Control Room'!$B$8+'Control Room'!$D$8)/2))+SQRT(1-'Control Room'!$B$9^2)*(BB612-IF('Control Room'!$B$5="Normal",'Control Room'!$B$7,('Control Room'!$B$8+'Control Room'!$D$8)/2))</x:f>
        <x:v>918.0819660789805</x:v>
      </x:c>
      <x:c r="BD612" s="17" t="n">
        <x:f>IF(AND($A612&gt;='Control Room'!$A$13,$A612&lt;'Control Room'!$A$13+'Control Room'!$B$13,'Process'!BU2=1),1+('Control Room'!$C$13-1)*EXP(-0.5*(($A612-'Control Room'!$A$13-('Control Room'!$B$13-1)/2)/MAX(0.5,'Control Room'!$B$13/4))^2),1)*IF(AND($A612&gt;='Control Room'!$A$14,$A612&lt;'Control Room'!$A$14+'Control Room'!$B$14,'Process'!BU3=1),1+('Control Room'!$C$14-1)*EXP(-0.5*(($A612-'Control Room'!$A$14-('Control Room'!$B$14-1)/2)/MAX(0.5,'Control Room'!$B$14/4))^2),1)*IF(AND($A612&gt;='Control Room'!$A$15,$A612&lt;'Control Room'!$A$15+'Control Room'!$B$15,'Process'!BU4=1),1+('Control Room'!$C$15-1)*EXP(-0.5*(($A612-'Control Room'!$A$15-('Control Room'!$B$15-1)/2)/MAX(0.5,'Control Room'!$B$15/4))^2),1)*IF(AND($A612&gt;='Control Room'!$A$16,$A612&lt;'Control Room'!$A$16+'Control Room'!$B$16,'Process'!BU5=1),1+('Control Room'!$C$16-1)*EXP(-0.5*(($A612-'Control Room'!$A$16-('Control Room'!$B$16-1)/2)/MAX(0.5,'Control Room'!$B$16/4))^2),1)</x:f>
        <x:v>1</x:v>
      </x:c>
      <x:c r="BE612" s="9" t="n">
        <x:f>MOD(BF611*16807,2147483647)</x:f>
        <x:v>1923551675</x:v>
      </x:c>
      <x:c r="BF612" s="9" t="n">
        <x:f>MOD(BE612*16807,2147483647)</x:f>
        <x:v>914179787</x:v>
      </x:c>
      <x:c r="BG612" s="17" t="n">
        <x:f>IF('Control Room'!$B$5="Normal",'Control Room'!$B$7+'Control Room'!$D$7*SQRT(-2*LN(MAX(0.000000000001,BE612/2147483647)))*COS(2*PI()*BF612/2147483647),'Control Room'!$B$8+('Control Room'!$D$8-'Control Room'!$B$8)*BE612/2147483647)</x:f>
        <x:v>962.2824293951685</x:v>
      </x:c>
      <x:c r="BH612" s="17" t="n">
        <x:f>IF('Control Room'!$B$5="Normal",'Control Room'!$B$7,('Control Room'!$B$8+'Control Room'!$D$8)/2)+'Control Room'!$B$9*(BH611-IF('Control Room'!$B$5="Normal",'Control Room'!$B$7,('Control Room'!$B$8+'Control Room'!$D$8)/2))+SQRT(1-'Control Room'!$B$9^2)*(BG612-IF('Control Room'!$B$5="Normal",'Control Room'!$B$7,('Control Room'!$B$8+'Control Room'!$D$8)/2))</x:f>
        <x:v>1074.1265359522408</x:v>
      </x:c>
      <x:c r="BI612" s="17" t="n">
        <x:f>IF(AND($A612&gt;='Control Room'!$A$13,$A612&lt;'Control Room'!$A$13+'Control Room'!$B$13,'Process'!BV2=1),1+('Control Room'!$C$13-1)*EXP(-0.5*(($A612-'Control Room'!$A$13-('Control Room'!$B$13-1)/2)/MAX(0.5,'Control Room'!$B$13/4))^2),1)*IF(AND($A612&gt;='Control Room'!$A$14,$A612&lt;'Control Room'!$A$14+'Control Room'!$B$14,'Process'!BV3=1),1+('Control Room'!$C$14-1)*EXP(-0.5*(($A612-'Control Room'!$A$14-('Control Room'!$B$14-1)/2)/MAX(0.5,'Control Room'!$B$14/4))^2),1)*IF(AND($A612&gt;='Control Room'!$A$15,$A612&lt;'Control Room'!$A$15+'Control Room'!$B$15,'Process'!BV4=1),1+('Control Room'!$C$15-1)*EXP(-0.5*(($A612-'Control Room'!$A$15-('Control Room'!$B$15-1)/2)/MAX(0.5,'Control Room'!$B$15/4))^2),1)*IF(AND($A612&gt;='Control Room'!$A$16,$A612&lt;'Control Room'!$A$16+'Control Room'!$B$16,'Process'!BV5=1),1+('Control Room'!$C$16-1)*EXP(-0.5*(($A612-'Control Room'!$A$16-('Control Room'!$B$16-1)/2)/MAX(0.5,'Control Room'!$B$16/4))^2),1)</x:f>
        <x:v>1</x:v>
      </x:c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Z612" t="str">
        <x:f>IF('Data'!A612="","",TEXT('Data'!A612,"mm-dd"))</x:f>
      </x:c>
    </x:row>
    <x:row r="613" ht="21" customHeight="1">
      <x:c r="A613" s="15" t="n">
        <x:f>'Control Room'!$B$1+611</x:f>
        <x:v>73602</x:v>
      </x:c>
      <x:c r="B613" s="9" t="n">
        <x:f>MOD(C612*16807,2147483647)</x:f>
        <x:v>1867522383</x:v>
      </x:c>
      <x:c r="C613" s="9" t="n">
        <x:f>MOD(B613*16807,2147483647)</x:f>
        <x:v>1975190176</x:v>
      </x:c>
      <x:c r="D613" s="17" t="n">
        <x:f>IF('Control Room'!$B$5="Normal",'Control Room'!$B$7+'Control Room'!$D$7*SQRT(-2*LN(MAX(0.000000000001,B613/2147483647)))*COS(2*PI()*C613/2147483647),'Control Room'!$B$8+('Control Room'!$D$8-'Control Room'!$B$8)*B613/2147483647)</x:f>
        <x:v>1041.6524879771077</x:v>
      </x:c>
      <x:c r="E613" s="17" t="n">
        <x:f>IF('Control Room'!$B$5="Normal",'Control Room'!$B$7,('Control Room'!$B$8+'Control Room'!$D$8)/2)+'Control Room'!$B$9*(E612-IF('Control Room'!$B$5="Normal",'Control Room'!$B$7,('Control Room'!$B$8+'Control Room'!$D$8)/2))+SQRT(1-'Control Room'!$B$9^2)*(D613-IF('Control Room'!$B$5="Normal",'Control Room'!$B$7,('Control Room'!$B$8+'Control Room'!$D$8)/2))</x:f>
        <x:v>1085.6706089588706</x:v>
      </x:c>
      <x:c r="F613" s="17" t="n">
        <x:f>IF(AND($A613&gt;='Control Room'!$A$13,$A613&lt;'Control Room'!$A$13+'Control Room'!$B$13,'Process'!BK2=1),1+('Control Room'!$C$13-1)*EXP(-0.5*(($A613-'Control Room'!$A$13-('Control Room'!$B$13-1)/2)/MAX(0.5,'Control Room'!$B$13/4))^2),1)*IF(AND($A613&gt;='Control Room'!$A$14,$A613&lt;'Control Room'!$A$14+'Control Room'!$B$14,'Process'!BK3=1),1+('Control Room'!$C$14-1)*EXP(-0.5*(($A613-'Control Room'!$A$14-('Control Room'!$B$14-1)/2)/MAX(0.5,'Control Room'!$B$14/4))^2),1)*IF(AND($A613&gt;='Control Room'!$A$15,$A613&lt;'Control Room'!$A$15+'Control Room'!$B$15,'Process'!BK4=1),1+('Control Room'!$C$15-1)*EXP(-0.5*(($A613-'Control Room'!$A$15-('Control Room'!$B$15-1)/2)/MAX(0.5,'Control Room'!$B$15/4))^2),1)*IF(AND($A613&gt;='Control Room'!$A$16,$A613&lt;'Control Room'!$A$16+'Control Room'!$B$16,'Process'!BK5=1),1+('Control Room'!$C$16-1)*EXP(-0.5*(($A613-'Control Room'!$A$16-('Control Room'!$B$16-1)/2)/MAX(0.5,'Control Room'!$B$16/4))^2),1)</x:f>
        <x:v>1</x:v>
      </x:c>
      <x:c r="G613" s="9" t="n">
        <x:f>MOD(H612*16807,2147483647)</x:f>
        <x:v>1445629637</x:v>
      </x:c>
      <x:c r="H613" s="9" t="n">
        <x:f>MOD(G613*16807,2147483647)</x:f>
        <x:v>67326901</x:v>
      </x:c>
      <x:c r="I613" s="17" t="n">
        <x:f>IF('Control Room'!$B$5="Normal",'Control Room'!$B$7+'Control Room'!$D$7*SQRT(-2*LN(MAX(0.000000000001,G613/2147483647)))*COS(2*PI()*H613/2147483647),'Control Room'!$B$8+('Control Room'!$D$8-'Control Room'!$B$8)*G613/2147483647)</x:f>
        <x:v>1078.521338436464</x:v>
      </x:c>
      <x:c r="J613" s="17" t="n">
        <x:f>IF('Control Room'!$B$5="Normal",'Control Room'!$B$7,('Control Room'!$B$8+'Control Room'!$D$8)/2)+'Control Room'!$B$9*(J612-IF('Control Room'!$B$5="Normal",'Control Room'!$B$7,('Control Room'!$B$8+'Control Room'!$D$8)/2))+SQRT(1-'Control Room'!$B$9^2)*(I613-IF('Control Room'!$B$5="Normal",'Control Room'!$B$7,('Control Room'!$B$8+'Control Room'!$D$8)/2))</x:f>
        <x:v>1101.753260905375</x:v>
      </x:c>
      <x:c r="K613" s="17" t="n">
        <x:f>IF(AND($A613&gt;='Control Room'!$A$13,$A613&lt;'Control Room'!$A$13+'Control Room'!$B$13,'Process'!BL2=1),1+('Control Room'!$C$13-1)*EXP(-0.5*(($A613-'Control Room'!$A$13-('Control Room'!$B$13-1)/2)/MAX(0.5,'Control Room'!$B$13/4))^2),1)*IF(AND($A613&gt;='Control Room'!$A$14,$A613&lt;'Control Room'!$A$14+'Control Room'!$B$14,'Process'!BL3=1),1+('Control Room'!$C$14-1)*EXP(-0.5*(($A613-'Control Room'!$A$14-('Control Room'!$B$14-1)/2)/MAX(0.5,'Control Room'!$B$14/4))^2),1)*IF(AND($A613&gt;='Control Room'!$A$15,$A613&lt;'Control Room'!$A$15+'Control Room'!$B$15,'Process'!BL4=1),1+('Control Room'!$C$15-1)*EXP(-0.5*(($A613-'Control Room'!$A$15-('Control Room'!$B$15-1)/2)/MAX(0.5,'Control Room'!$B$15/4))^2),1)*IF(AND($A613&gt;='Control Room'!$A$16,$A613&lt;'Control Room'!$A$16+'Control Room'!$B$16,'Process'!BL5=1),1+('Control Room'!$C$16-1)*EXP(-0.5*(($A613-'Control Room'!$A$16-('Control Room'!$B$16-1)/2)/MAX(0.5,'Control Room'!$B$16/4))^2),1)</x:f>
        <x:v>1</x:v>
      </x:c>
      <x:c r="L613" s="9" t="n">
        <x:f>MOD(M612*16807,2147483647)</x:f>
        <x:v>1023736891</x:v>
      </x:c>
      <x:c r="M613" s="9" t="n">
        <x:f>MOD(L613*16807,2147483647)</x:f>
        <x:v>306947273</x:v>
      </x:c>
      <x:c r="N613" s="17" t="n">
        <x:f>IF('Control Room'!$B$5="Normal",'Control Room'!$B$7+'Control Room'!$D$7*SQRT(-2*LN(MAX(0.000000000001,L613/2147483647)))*COS(2*PI()*M613/2147483647),'Control Room'!$B$8+('Control Room'!$D$8-'Control Room'!$B$8)*L613/2147483647)</x:f>
        <x:v>1068.2632530369774</x:v>
      </x:c>
      <x:c r="O613" s="17" t="n">
        <x:f>IF('Control Room'!$B$5="Normal",'Control Room'!$B$7,('Control Room'!$B$8+'Control Room'!$D$8)/2)+'Control Room'!$B$9*(O612-IF('Control Room'!$B$5="Normal",'Control Room'!$B$7,('Control Room'!$B$8+'Control Room'!$D$8)/2))+SQRT(1-'Control Room'!$B$9^2)*(N613-IF('Control Room'!$B$5="Normal",'Control Room'!$B$7,('Control Room'!$B$8+'Control Room'!$D$8)/2))</x:f>
        <x:v>990.8691132611427</x:v>
      </x:c>
      <x:c r="P613" s="17" t="n">
        <x:f>IF(AND($A613&gt;='Control Room'!$A$13,$A613&lt;'Control Room'!$A$13+'Control Room'!$B$13,'Process'!BM2=1),1+('Control Room'!$C$13-1)*EXP(-0.5*(($A613-'Control Room'!$A$13-('Control Room'!$B$13-1)/2)/MAX(0.5,'Control Room'!$B$13/4))^2),1)*IF(AND($A613&gt;='Control Room'!$A$14,$A613&lt;'Control Room'!$A$14+'Control Room'!$B$14,'Process'!BM3=1),1+('Control Room'!$C$14-1)*EXP(-0.5*(($A613-'Control Room'!$A$14-('Control Room'!$B$14-1)/2)/MAX(0.5,'Control Room'!$B$14/4))^2),1)*IF(AND($A613&gt;='Control Room'!$A$15,$A613&lt;'Control Room'!$A$15+'Control Room'!$B$15,'Process'!BM4=1),1+('Control Room'!$C$15-1)*EXP(-0.5*(($A613-'Control Room'!$A$15-('Control Room'!$B$15-1)/2)/MAX(0.5,'Control Room'!$B$15/4))^2),1)*IF(AND($A613&gt;='Control Room'!$A$16,$A613&lt;'Control Room'!$A$16+'Control Room'!$B$16,'Process'!BM5=1),1+('Control Room'!$C$16-1)*EXP(-0.5*(($A613-'Control Room'!$A$16-('Control Room'!$B$16-1)/2)/MAX(0.5,'Control Room'!$B$16/4))^2),1)</x:f>
        <x:v>1</x:v>
      </x:c>
      <x:c r="Q613" s="9" t="n">
        <x:f>MOD(R612*16807,2147483647)</x:f>
        <x:v>601844145</x:v>
      </x:c>
      <x:c r="R613" s="9" t="n">
        <x:f>MOD(Q613*16807,2147483647)</x:f>
        <x:v>546567645</x:v>
      </x:c>
      <x:c r="S613" s="17" t="n">
        <x:f>IF('Control Room'!$B$5="Normal",'Control Room'!$B$7+'Control Room'!$D$7*SQRT(-2*LN(MAX(0.000000000001,Q613/2147483647)))*COS(2*PI()*R613/2147483647),'Control Room'!$B$8+('Control Room'!$D$8-'Control Room'!$B$8)*Q613/2147483647)</x:f>
        <x:v>995.927816048795</x:v>
      </x:c>
      <x:c r="T613" s="17" t="n">
        <x:f>IF('Control Room'!$B$5="Normal",'Control Room'!$B$7,('Control Room'!$B$8+'Control Room'!$D$8)/2)+'Control Room'!$B$9*(T612-IF('Control Room'!$B$5="Normal",'Control Room'!$B$7,('Control Room'!$B$8+'Control Room'!$D$8)/2))+SQRT(1-'Control Room'!$B$9^2)*(S613-IF('Control Room'!$B$5="Normal",'Control Room'!$B$7,('Control Room'!$B$8+'Control Room'!$D$8)/2))</x:f>
        <x:v>1122.4609384520206</x:v>
      </x:c>
      <x:c r="U613" s="17" t="n">
        <x:f>IF(AND($A613&gt;='Control Room'!$A$13,$A613&lt;'Control Room'!$A$13+'Control Room'!$B$13,'Process'!BN2=1),1+('Control Room'!$C$13-1)*EXP(-0.5*(($A613-'Control Room'!$A$13-('Control Room'!$B$13-1)/2)/MAX(0.5,'Control Room'!$B$13/4))^2),1)*IF(AND($A613&gt;='Control Room'!$A$14,$A613&lt;'Control Room'!$A$14+'Control Room'!$B$14,'Process'!BN3=1),1+('Control Room'!$C$14-1)*EXP(-0.5*(($A613-'Control Room'!$A$14-('Control Room'!$B$14-1)/2)/MAX(0.5,'Control Room'!$B$14/4))^2),1)*IF(AND($A613&gt;='Control Room'!$A$15,$A613&lt;'Control Room'!$A$15+'Control Room'!$B$15,'Process'!BN4=1),1+('Control Room'!$C$15-1)*EXP(-0.5*(($A613-'Control Room'!$A$15-('Control Room'!$B$15-1)/2)/MAX(0.5,'Control Room'!$B$15/4))^2),1)*IF(AND($A613&gt;='Control Room'!$A$16,$A613&lt;'Control Room'!$A$16+'Control Room'!$B$16,'Process'!BN5=1),1+('Control Room'!$C$16-1)*EXP(-0.5*(($A613-'Control Room'!$A$16-('Control Room'!$B$16-1)/2)/MAX(0.5,'Control Room'!$B$16/4))^2),1)</x:f>
        <x:v>1</x:v>
      </x:c>
      <x:c r="V613" s="9" t="n">
        <x:f>MOD(W612*16807,2147483647)</x:f>
        <x:v>179951399</x:v>
      </x:c>
      <x:c r="W613" s="9" t="n">
        <x:f>MOD(V613*16807,2147483647)</x:f>
        <x:v>786188017</x:v>
      </x:c>
      <x:c r="X613" s="17" t="n">
        <x:f>IF('Control Room'!$B$5="Normal",'Control Room'!$B$7+'Control Room'!$D$7*SQRT(-2*LN(MAX(0.000000000001,V613/2147483647)))*COS(2*PI()*W613/2147483647),'Control Room'!$B$8+('Control Room'!$D$8-'Control Room'!$B$8)*V613/2147483647)</x:f>
        <x:v>866.4305950916465</x:v>
      </x:c>
      <x:c r="Y613" s="17" t="n">
        <x:f>IF('Control Room'!$B$5="Normal",'Control Room'!$B$7,('Control Room'!$B$8+'Control Room'!$D$8)/2)+'Control Room'!$B$9*(Y612-IF('Control Room'!$B$5="Normal",'Control Room'!$B$7,('Control Room'!$B$8+'Control Room'!$D$8)/2))+SQRT(1-'Control Room'!$B$9^2)*(X613-IF('Control Room'!$B$5="Normal",'Control Room'!$B$7,('Control Room'!$B$8+'Control Room'!$D$8)/2))</x:f>
        <x:v>874.6400606274746</x:v>
      </x:c>
      <x:c r="Z613" s="17" t="n">
        <x:f>IF(AND($A613&gt;='Control Room'!$A$13,$A613&lt;'Control Room'!$A$13+'Control Room'!$B$13,'Process'!BO2=1),1+('Control Room'!$C$13-1)*EXP(-0.5*(($A613-'Control Room'!$A$13-('Control Room'!$B$13-1)/2)/MAX(0.5,'Control Room'!$B$13/4))^2),1)*IF(AND($A613&gt;='Control Room'!$A$14,$A613&lt;'Control Room'!$A$14+'Control Room'!$B$14,'Process'!BO3=1),1+('Control Room'!$C$14-1)*EXP(-0.5*(($A613-'Control Room'!$A$14-('Control Room'!$B$14-1)/2)/MAX(0.5,'Control Room'!$B$14/4))^2),1)*IF(AND($A613&gt;='Control Room'!$A$15,$A613&lt;'Control Room'!$A$15+'Control Room'!$B$15,'Process'!BO4=1),1+('Control Room'!$C$15-1)*EXP(-0.5*(($A613-'Control Room'!$A$15-('Control Room'!$B$15-1)/2)/MAX(0.5,'Control Room'!$B$15/4))^2),1)*IF(AND($A613&gt;='Control Room'!$A$16,$A613&lt;'Control Room'!$A$16+'Control Room'!$B$16,'Process'!BO5=1),1+('Control Room'!$C$16-1)*EXP(-0.5*(($A613-'Control Room'!$A$16-('Control Room'!$B$16-1)/2)/MAX(0.5,'Control Room'!$B$16/4))^2),1)</x:f>
        <x:v>1</x:v>
      </x:c>
      <x:c r="AA613" s="9" t="n">
        <x:f>MOD(AB612*16807,2147483647)</x:f>
        <x:v>1905542300</x:v>
      </x:c>
      <x:c r="AB613" s="9" t="n">
        <x:f>MOD(AA613*16807,2147483647)</x:f>
        <x:v>1025808389</x:v>
      </x:c>
      <x:c r="AC613" s="17" t="n">
        <x:f>IF('Control Room'!$B$5="Normal",'Control Room'!$B$7+'Control Room'!$D$7*SQRT(-2*LN(MAX(0.000000000001,AA613/2147483647)))*COS(2*PI()*AB613/2147483647),'Control Room'!$B$8+('Control Room'!$D$8-'Control Room'!$B$8)*AA613/2147483647)</x:f>
        <x:v>956.4276391154948</x:v>
      </x:c>
      <x:c r="AD613" s="17" t="n">
        <x:f>IF('Control Room'!$B$5="Normal",'Control Room'!$B$7,('Control Room'!$B$8+'Control Room'!$D$8)/2)+'Control Room'!$B$9*(AD612-IF('Control Room'!$B$5="Normal",'Control Room'!$B$7,('Control Room'!$B$8+'Control Room'!$D$8)/2))+SQRT(1-'Control Room'!$B$9^2)*(AC613-IF('Control Room'!$B$5="Normal",'Control Room'!$B$7,('Control Room'!$B$8+'Control Room'!$D$8)/2))</x:f>
        <x:v>935.5363660697454</x:v>
      </x:c>
      <x:c r="AE613" s="17" t="n">
        <x:f>IF(AND($A613&gt;='Control Room'!$A$13,$A613&lt;'Control Room'!$A$13+'Control Room'!$B$13,'Process'!BP2=1),1+('Control Room'!$C$13-1)*EXP(-0.5*(($A613-'Control Room'!$A$13-('Control Room'!$B$13-1)/2)/MAX(0.5,'Control Room'!$B$13/4))^2),1)*IF(AND($A613&gt;='Control Room'!$A$14,$A613&lt;'Control Room'!$A$14+'Control Room'!$B$14,'Process'!BP3=1),1+('Control Room'!$C$14-1)*EXP(-0.5*(($A613-'Control Room'!$A$14-('Control Room'!$B$14-1)/2)/MAX(0.5,'Control Room'!$B$14/4))^2),1)*IF(AND($A613&gt;='Control Room'!$A$15,$A613&lt;'Control Room'!$A$15+'Control Room'!$B$15,'Process'!BP4=1),1+('Control Room'!$C$15-1)*EXP(-0.5*(($A613-'Control Room'!$A$15-('Control Room'!$B$15-1)/2)/MAX(0.5,'Control Room'!$B$15/4))^2),1)*IF(AND($A613&gt;='Control Room'!$A$16,$A613&lt;'Control Room'!$A$16+'Control Room'!$B$16,'Process'!BP5=1),1+('Control Room'!$C$16-1)*EXP(-0.5*(($A613-'Control Room'!$A$16-('Control Room'!$B$16-1)/2)/MAX(0.5,'Control Room'!$B$16/4))^2),1)</x:f>
        <x:v>1</x:v>
      </x:c>
      <x:c r="AF613" s="9" t="n">
        <x:f>MOD(AG612*16807,2147483647)</x:f>
        <x:v>1483649554</x:v>
      </x:c>
      <x:c r="AG613" s="9" t="n">
        <x:f>MOD(AF613*16807,2147483647)</x:f>
        <x:v>1265428761</x:v>
      </x:c>
      <x:c r="AH613" s="17" t="n">
        <x:f>IF('Control Room'!$B$5="Normal",'Control Room'!$B$7+'Control Room'!$D$7*SQRT(-2*LN(MAX(0.000000000001,AF613/2147483647)))*COS(2*PI()*AG613/2147483647),'Control Room'!$B$8+('Control Room'!$D$8-'Control Room'!$B$8)*AF613/2147483647)</x:f>
        <x:v>934.4579287421169</x:v>
      </x:c>
      <x:c r="AI613" s="17" t="n">
        <x:f>IF('Control Room'!$B$5="Normal",'Control Room'!$B$7,('Control Room'!$B$8+'Control Room'!$D$8)/2)+'Control Room'!$B$9*(AI612-IF('Control Room'!$B$5="Normal",'Control Room'!$B$7,('Control Room'!$B$8+'Control Room'!$D$8)/2))+SQRT(1-'Control Room'!$B$9^2)*(AH613-IF('Control Room'!$B$5="Normal",'Control Room'!$B$7,('Control Room'!$B$8+'Control Room'!$D$8)/2))</x:f>
        <x:v>916.7589941047061</x:v>
      </x:c>
      <x:c r="AJ613" s="17" t="n">
        <x:f>IF(AND($A613&gt;='Control Room'!$A$13,$A613&lt;'Control Room'!$A$13+'Control Room'!$B$13,'Process'!BQ2=1),1+('Control Room'!$C$13-1)*EXP(-0.5*(($A613-'Control Room'!$A$13-('Control Room'!$B$13-1)/2)/MAX(0.5,'Control Room'!$B$13/4))^2),1)*IF(AND($A613&gt;='Control Room'!$A$14,$A613&lt;'Control Room'!$A$14+'Control Room'!$B$14,'Process'!BQ3=1),1+('Control Room'!$C$14-1)*EXP(-0.5*(($A613-'Control Room'!$A$14-('Control Room'!$B$14-1)/2)/MAX(0.5,'Control Room'!$B$14/4))^2),1)*IF(AND($A613&gt;='Control Room'!$A$15,$A613&lt;'Control Room'!$A$15+'Control Room'!$B$15,'Process'!BQ4=1),1+('Control Room'!$C$15-1)*EXP(-0.5*(($A613-'Control Room'!$A$15-('Control Room'!$B$15-1)/2)/MAX(0.5,'Control Room'!$B$15/4))^2),1)*IF(AND($A613&gt;='Control Room'!$A$16,$A613&lt;'Control Room'!$A$16+'Control Room'!$B$16,'Process'!BQ5=1),1+('Control Room'!$C$16-1)*EXP(-0.5*(($A613-'Control Room'!$A$16-('Control Room'!$B$16-1)/2)/MAX(0.5,'Control Room'!$B$16/4))^2),1)</x:f>
        <x:v>1</x:v>
      </x:c>
      <x:c r="AK613" s="9" t="n">
        <x:f>MOD(AL612*16807,2147483647)</x:f>
        <x:v>1061756808</x:v>
      </x:c>
      <x:c r="AL613" s="9" t="n">
        <x:f>MOD(AK613*16807,2147483647)</x:f>
        <x:v>1505049133</x:v>
      </x:c>
      <x:c r="AM613" s="17" t="n">
        <x:f>IF('Control Room'!$B$5="Normal",'Control Room'!$B$7+'Control Room'!$D$7*SQRT(-2*LN(MAX(0.000000000001,AK613/2147483647)))*COS(2*PI()*AL613/2147483647),'Control Room'!$B$8+('Control Room'!$D$8-'Control Room'!$B$8)*AK613/2147483647)</x:f>
        <x:v>967.529000698455</x:v>
      </x:c>
      <x:c r="AN613" s="17" t="n">
        <x:f>IF('Control Room'!$B$5="Normal",'Control Room'!$B$7,('Control Room'!$B$8+'Control Room'!$D$8)/2)+'Control Room'!$B$9*(AN612-IF('Control Room'!$B$5="Normal",'Control Room'!$B$7,('Control Room'!$B$8+'Control Room'!$D$8)/2))+SQRT(1-'Control Room'!$B$9^2)*(AM613-IF('Control Room'!$B$5="Normal",'Control Room'!$B$7,('Control Room'!$B$8+'Control Room'!$D$8)/2))</x:f>
        <x:v>1106.9746067041976</x:v>
      </x:c>
      <x:c r="AO613" s="17" t="n">
        <x:f>IF(AND($A613&gt;='Control Room'!$A$13,$A613&lt;'Control Room'!$A$13+'Control Room'!$B$13,'Process'!BR2=1),1+('Control Room'!$C$13-1)*EXP(-0.5*(($A613-'Control Room'!$A$13-('Control Room'!$B$13-1)/2)/MAX(0.5,'Control Room'!$B$13/4))^2),1)*IF(AND($A613&gt;='Control Room'!$A$14,$A613&lt;'Control Room'!$A$14+'Control Room'!$B$14,'Process'!BR3=1),1+('Control Room'!$C$14-1)*EXP(-0.5*(($A613-'Control Room'!$A$14-('Control Room'!$B$14-1)/2)/MAX(0.5,'Control Room'!$B$14/4))^2),1)*IF(AND($A613&gt;='Control Room'!$A$15,$A613&lt;'Control Room'!$A$15+'Control Room'!$B$15,'Process'!BR4=1),1+('Control Room'!$C$15-1)*EXP(-0.5*(($A613-'Control Room'!$A$15-('Control Room'!$B$15-1)/2)/MAX(0.5,'Control Room'!$B$15/4))^2),1)*IF(AND($A613&gt;='Control Room'!$A$16,$A613&lt;'Control Room'!$A$16+'Control Room'!$B$16,'Process'!BR5=1),1+('Control Room'!$C$16-1)*EXP(-0.5*(($A613-'Control Room'!$A$16-('Control Room'!$B$16-1)/2)/MAX(0.5,'Control Room'!$B$16/4))^2),1)</x:f>
        <x:v>1</x:v>
      </x:c>
      <x:c r="AP613" s="9" t="n">
        <x:f>MOD(AQ612*16807,2147483647)</x:f>
        <x:v>639864062</x:v>
      </x:c>
      <x:c r="AQ613" s="9" t="n">
        <x:f>MOD(AP613*16807,2147483647)</x:f>
        <x:v>1744669505</x:v>
      </x:c>
      <x:c r="AR613" s="17" t="n">
        <x:f>IF('Control Room'!$B$5="Normal",'Control Room'!$B$7+'Control Room'!$D$7*SQRT(-2*LN(MAX(0.000000000001,AP613/2147483647)))*COS(2*PI()*AQ613/2147483647),'Control Room'!$B$8+('Control Room'!$D$8-'Control Room'!$B$8)*AP613/2147483647)</x:f>
        <x:v>1053.535099115916</x:v>
      </x:c>
      <x:c r="AS613" s="17" t="n">
        <x:f>IF('Control Room'!$B$5="Normal",'Control Room'!$B$7,('Control Room'!$B$8+'Control Room'!$D$8)/2)+'Control Room'!$B$9*(AS612-IF('Control Room'!$B$5="Normal",'Control Room'!$B$7,('Control Room'!$B$8+'Control Room'!$D$8)/2))+SQRT(1-'Control Room'!$B$9^2)*(AR613-IF('Control Room'!$B$5="Normal",'Control Room'!$B$7,('Control Room'!$B$8+'Control Room'!$D$8)/2))</x:f>
        <x:v>908.8505342256229</x:v>
      </x:c>
      <x:c r="AT613" s="17" t="n">
        <x:f>IF(AND($A613&gt;='Control Room'!$A$13,$A613&lt;'Control Room'!$A$13+'Control Room'!$B$13,'Process'!BS2=1),1+('Control Room'!$C$13-1)*EXP(-0.5*(($A613-'Control Room'!$A$13-('Control Room'!$B$13-1)/2)/MAX(0.5,'Control Room'!$B$13/4))^2),1)*IF(AND($A613&gt;='Control Room'!$A$14,$A613&lt;'Control Room'!$A$14+'Control Room'!$B$14,'Process'!BS3=1),1+('Control Room'!$C$14-1)*EXP(-0.5*(($A613-'Control Room'!$A$14-('Control Room'!$B$14-1)/2)/MAX(0.5,'Control Room'!$B$14/4))^2),1)*IF(AND($A613&gt;='Control Room'!$A$15,$A613&lt;'Control Room'!$A$15+'Control Room'!$B$15,'Process'!BS4=1),1+('Control Room'!$C$15-1)*EXP(-0.5*(($A613-'Control Room'!$A$15-('Control Room'!$B$15-1)/2)/MAX(0.5,'Control Room'!$B$15/4))^2),1)*IF(AND($A613&gt;='Control Room'!$A$16,$A613&lt;'Control Room'!$A$16+'Control Room'!$B$16,'Process'!BS5=1),1+('Control Room'!$C$16-1)*EXP(-0.5*(($A613-'Control Room'!$A$16-('Control Room'!$B$16-1)/2)/MAX(0.5,'Control Room'!$B$16/4))^2),1)</x:f>
        <x:v>1</x:v>
      </x:c>
      <x:c r="AU613" s="9" t="n">
        <x:f>MOD(AV612*16807,2147483647)</x:f>
        <x:v>217971316</x:v>
      </x:c>
      <x:c r="AV613" s="9" t="n">
        <x:f>MOD(AU613*16807,2147483647)</x:f>
        <x:v>1984289877</x:v>
      </x:c>
      <x:c r="AW613" s="17" t="n">
        <x:f>IF('Control Room'!$B$5="Normal",'Control Room'!$B$7+'Control Room'!$D$7*SQRT(-2*LN(MAX(0.000000000001,AU613/2147483647)))*COS(2*PI()*AV613/2147483647),'Control Room'!$B$8+('Control Room'!$D$8-'Control Room'!$B$8)*AU613/2147483647)</x:f>
        <x:v>1170.980075868551</x:v>
      </x:c>
      <x:c r="AX613" s="17" t="n">
        <x:f>IF('Control Room'!$B$5="Normal",'Control Room'!$B$7,('Control Room'!$B$8+'Control Room'!$D$8)/2)+'Control Room'!$B$9*(AX612-IF('Control Room'!$B$5="Normal",'Control Room'!$B$7,('Control Room'!$B$8+'Control Room'!$D$8)/2))+SQRT(1-'Control Room'!$B$9^2)*(AW613-IF('Control Room'!$B$5="Normal",'Control Room'!$B$7,('Control Room'!$B$8+'Control Room'!$D$8)/2))</x:f>
        <x:v>1096.957384943023</x:v>
      </x:c>
      <x:c r="AY613" s="17" t="n">
        <x:f>IF(AND($A613&gt;='Control Room'!$A$13,$A613&lt;'Control Room'!$A$13+'Control Room'!$B$13,'Process'!BT2=1),1+('Control Room'!$C$13-1)*EXP(-0.5*(($A613-'Control Room'!$A$13-('Control Room'!$B$13-1)/2)/MAX(0.5,'Control Room'!$B$13/4))^2),1)*IF(AND($A613&gt;='Control Room'!$A$14,$A613&lt;'Control Room'!$A$14+'Control Room'!$B$14,'Process'!BT3=1),1+('Control Room'!$C$14-1)*EXP(-0.5*(($A613-'Control Room'!$A$14-('Control Room'!$B$14-1)/2)/MAX(0.5,'Control Room'!$B$14/4))^2),1)*IF(AND($A613&gt;='Control Room'!$A$15,$A613&lt;'Control Room'!$A$15+'Control Room'!$B$15,'Process'!BT4=1),1+('Control Room'!$C$15-1)*EXP(-0.5*(($A613-'Control Room'!$A$15-('Control Room'!$B$15-1)/2)/MAX(0.5,'Control Room'!$B$15/4))^2),1)*IF(AND($A613&gt;='Control Room'!$A$16,$A613&lt;'Control Room'!$A$16+'Control Room'!$B$16,'Process'!BT5=1),1+('Control Room'!$C$16-1)*EXP(-0.5*(($A613-'Control Room'!$A$16-('Control Room'!$B$16-1)/2)/MAX(0.5,'Control Room'!$B$16/4))^2),1)</x:f>
        <x:v>1</x:v>
      </x:c>
      <x:c r="AZ613" s="9" t="n">
        <x:f>MOD(BA612*16807,2147483647)</x:f>
        <x:v>1943562217</x:v>
      </x:c>
      <x:c r="BA613" s="9" t="n">
        <x:f>MOD(AZ613*16807,2147483647)</x:f>
        <x:v>76426602</x:v>
      </x:c>
      <x:c r="BB613" s="17" t="n">
        <x:f>IF('Control Room'!$B$5="Normal",'Control Room'!$B$7+'Control Room'!$D$7*SQRT(-2*LN(MAX(0.000000000001,AZ613/2147483647)))*COS(2*PI()*BA613/2147483647),'Control Room'!$B$8+('Control Room'!$D$8-'Control Room'!$B$8)*AZ613/2147483647)</x:f>
        <x:v>1039.202814687278</x:v>
      </x:c>
      <x:c r="BC613" s="17" t="n">
        <x:f>IF('Control Room'!$B$5="Normal",'Control Room'!$B$7,('Control Room'!$B$8+'Control Room'!$D$8)/2)+'Control Room'!$B$9*(BC612-IF('Control Room'!$B$5="Normal",'Control Room'!$B$7,('Control Room'!$B$8+'Control Room'!$D$8)/2))+SQRT(1-'Control Room'!$B$9^2)*(BB613-IF('Control Room'!$B$5="Normal",'Control Room'!$B$7,('Control Room'!$B$8+'Control Room'!$D$8)/2))</x:f>
        <x:v>960.6362518595914</x:v>
      </x:c>
      <x:c r="BD613" s="17" t="n">
        <x:f>IF(AND($A613&gt;='Control Room'!$A$13,$A613&lt;'Control Room'!$A$13+'Control Room'!$B$13,'Process'!BU2=1),1+('Control Room'!$C$13-1)*EXP(-0.5*(($A613-'Control Room'!$A$13-('Control Room'!$B$13-1)/2)/MAX(0.5,'Control Room'!$B$13/4))^2),1)*IF(AND($A613&gt;='Control Room'!$A$14,$A613&lt;'Control Room'!$A$14+'Control Room'!$B$14,'Process'!BU3=1),1+('Control Room'!$C$14-1)*EXP(-0.5*(($A613-'Control Room'!$A$14-('Control Room'!$B$14-1)/2)/MAX(0.5,'Control Room'!$B$14/4))^2),1)*IF(AND($A613&gt;='Control Room'!$A$15,$A613&lt;'Control Room'!$A$15+'Control Room'!$B$15,'Process'!BU4=1),1+('Control Room'!$C$15-1)*EXP(-0.5*(($A613-'Control Room'!$A$15-('Control Room'!$B$15-1)/2)/MAX(0.5,'Control Room'!$B$15/4))^2),1)*IF(AND($A613&gt;='Control Room'!$A$16,$A613&lt;'Control Room'!$A$16+'Control Room'!$B$16,'Process'!BU5=1),1+('Control Room'!$C$16-1)*EXP(-0.5*(($A613-'Control Room'!$A$16-('Control Room'!$B$16-1)/2)/MAX(0.5,'Control Room'!$B$16/4))^2),1)</x:f>
        <x:v>1</x:v>
      </x:c>
      <x:c r="BE613" s="9" t="n">
        <x:f>MOD(BF612*16807,2147483647)</x:f>
        <x:v>1521669471</x:v>
      </x:c>
      <x:c r="BF613" s="9" t="n">
        <x:f>MOD(BE613*16807,2147483647)</x:f>
        <x:v>316046974</x:v>
      </x:c>
      <x:c r="BG613" s="17" t="n">
        <x:f>IF('Control Room'!$B$5="Normal",'Control Room'!$B$7+'Control Room'!$D$7*SQRT(-2*LN(MAX(0.000000000001,BE613/2147483647)))*COS(2*PI()*BF613/2147483647),'Control Room'!$B$8+('Control Room'!$D$8-'Control Room'!$B$8)*BE613/2147483647)</x:f>
        <x:v>1044.9773657396204</x:v>
      </x:c>
      <x:c r="BH613" s="17" t="n">
        <x:f>IF('Control Room'!$B$5="Normal",'Control Room'!$B$7,('Control Room'!$B$8+'Control Room'!$D$8)/2)+'Control Room'!$B$9*(BH612-IF('Control Room'!$B$5="Normal",'Control Room'!$B$7,('Control Room'!$B$8+'Control Room'!$D$8)/2))+SQRT(1-'Control Room'!$B$9^2)*(BG613-IF('Control Room'!$B$5="Normal",'Control Room'!$B$7,('Control Room'!$B$8+'Control Room'!$D$8)/2))</x:f>
        <x:v>1085.964612111182</x:v>
      </x:c>
      <x:c r="BI613" s="17" t="n">
        <x:f>IF(AND($A613&gt;='Control Room'!$A$13,$A613&lt;'Control Room'!$A$13+'Control Room'!$B$13,'Process'!BV2=1),1+('Control Room'!$C$13-1)*EXP(-0.5*(($A613-'Control Room'!$A$13-('Control Room'!$B$13-1)/2)/MAX(0.5,'Control Room'!$B$13/4))^2),1)*IF(AND($A613&gt;='Control Room'!$A$14,$A613&lt;'Control Room'!$A$14+'Control Room'!$B$14,'Process'!BV3=1),1+('Control Room'!$C$14-1)*EXP(-0.5*(($A613-'Control Room'!$A$14-('Control Room'!$B$14-1)/2)/MAX(0.5,'Control Room'!$B$14/4))^2),1)*IF(AND($A613&gt;='Control Room'!$A$15,$A613&lt;'Control Room'!$A$15+'Control Room'!$B$15,'Process'!BV4=1),1+('Control Room'!$C$15-1)*EXP(-0.5*(($A613-'Control Room'!$A$15-('Control Room'!$B$15-1)/2)/MAX(0.5,'Control Room'!$B$15/4))^2),1)*IF(AND($A613&gt;='Control Room'!$A$16,$A613&lt;'Control Room'!$A$16+'Control Room'!$B$16,'Process'!BV5=1),1+('Control Room'!$C$16-1)*EXP(-0.5*(($A613-'Control Room'!$A$16-('Control Room'!$B$16-1)/2)/MAX(0.5,'Control Room'!$B$16/4))^2),1)</x:f>
        <x:v>1</x:v>
      </x:c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Z613" t="str">
        <x:f>IF('Data'!A613="","",TEXT('Data'!A613,"mm-dd"))</x:f>
      </x:c>
    </x:row>
    <x:row r="614" ht="21" customHeight="1">
      <x:c r="A614" s="15" t="n">
        <x:f>'Control Room'!$B$1+612</x:f>
        <x:v>73603</x:v>
      </x:c>
      <x:c r="B614" s="9" t="n">
        <x:f>MOD(C613*16807,2147483647)</x:f>
        <x:v>1219072706</x:v>
      </x:c>
      <x:c r="C614" s="9" t="n">
        <x:f>MOD(B614*16807,2147483647)</x:f>
        <x:v>1960977362</x:v>
      </x:c>
      <x:c r="D614" s="17" t="n">
        <x:f>IF('Control Room'!$B$5="Normal",'Control Room'!$B$7+'Control Room'!$D$7*SQRT(-2*LN(MAX(0.000000000001,B614/2147483647)))*COS(2*PI()*C614/2147483647),'Control Room'!$B$8+('Control Room'!$D$8-'Control Room'!$B$8)*B614/2147483647)</x:f>
        <x:v>1081.8643153742453</x:v>
      </x:c>
      <x:c r="E614" s="17" t="n">
        <x:f>IF('Control Room'!$B$5="Normal",'Control Room'!$B$7,('Control Room'!$B$8+'Control Room'!$D$8)/2)+'Control Room'!$B$9*(E613-IF('Control Room'!$B$5="Normal",'Control Room'!$B$7,('Control Room'!$B$8+'Control Room'!$D$8)/2))+SQRT(1-'Control Room'!$B$9^2)*(D614-IF('Control Room'!$B$5="Normal",'Control Room'!$B$7,('Control Room'!$B$8+'Control Room'!$D$8)/2))</x:f>
        <x:v>1118.0520864674638</x:v>
      </x:c>
      <x:c r="F614" s="17" t="n">
        <x:f>IF(AND($A614&gt;='Control Room'!$A$13,$A614&lt;'Control Room'!$A$13+'Control Room'!$B$13,'Process'!BK2=1),1+('Control Room'!$C$13-1)*EXP(-0.5*(($A614-'Control Room'!$A$13-('Control Room'!$B$13-1)/2)/MAX(0.5,'Control Room'!$B$13/4))^2),1)*IF(AND($A614&gt;='Control Room'!$A$14,$A614&lt;'Control Room'!$A$14+'Control Room'!$B$14,'Process'!BK3=1),1+('Control Room'!$C$14-1)*EXP(-0.5*(($A614-'Control Room'!$A$14-('Control Room'!$B$14-1)/2)/MAX(0.5,'Control Room'!$B$14/4))^2),1)*IF(AND($A614&gt;='Control Room'!$A$15,$A614&lt;'Control Room'!$A$15+'Control Room'!$B$15,'Process'!BK4=1),1+('Control Room'!$C$15-1)*EXP(-0.5*(($A614-'Control Room'!$A$15-('Control Room'!$B$15-1)/2)/MAX(0.5,'Control Room'!$B$15/4))^2),1)*IF(AND($A614&gt;='Control Room'!$A$16,$A614&lt;'Control Room'!$A$16+'Control Room'!$B$16,'Process'!BK5=1),1+('Control Room'!$C$16-1)*EXP(-0.5*(($A614-'Control Room'!$A$16-('Control Room'!$B$16-1)/2)/MAX(0.5,'Control Room'!$B$16/4))^2),1)</x:f>
        <x:v>1</x:v>
      </x:c>
      <x:c r="G614" s="9" t="n">
        <x:f>MOD(H613*16807,2147483647)</x:f>
        <x:v>1986826785</x:v>
      </x:c>
      <x:c r="H614" s="9" t="n">
        <x:f>MOD(G614*16807,2147483647)</x:f>
        <x:v>1374548292</x:v>
      </x:c>
      <x:c r="I614" s="17" t="n">
        <x:f>IF('Control Room'!$B$5="Normal",'Control Room'!$B$7+'Control Room'!$D$7*SQRT(-2*LN(MAX(0.000000000001,G614/2147483647)))*COS(2*PI()*H614/2147483647),'Control Room'!$B$8+('Control Room'!$D$8-'Control Room'!$B$8)*G614/2147483647)</x:f>
        <x:v>977.3892787435382</x:v>
      </x:c>
      <x:c r="J614" s="17" t="n">
        <x:f>IF('Control Room'!$B$5="Normal",'Control Room'!$B$7,('Control Room'!$B$8+'Control Room'!$D$8)/2)+'Control Room'!$B$9*(J613-IF('Control Room'!$B$5="Normal",'Control Room'!$B$7,('Control Room'!$B$8+'Control Room'!$D$8)/2))+SQRT(1-'Control Room'!$B$9^2)*(I614-IF('Control Room'!$B$5="Normal",'Control Room'!$B$7,('Control Room'!$B$8+'Control Room'!$D$8)/2))</x:f>
        <x:v>1065.218217349701</x:v>
      </x:c>
      <x:c r="K614" s="17" t="n">
        <x:f>IF(AND($A614&gt;='Control Room'!$A$13,$A614&lt;'Control Room'!$A$13+'Control Room'!$B$13,'Process'!BL2=1),1+('Control Room'!$C$13-1)*EXP(-0.5*(($A614-'Control Room'!$A$13-('Control Room'!$B$13-1)/2)/MAX(0.5,'Control Room'!$B$13/4))^2),1)*IF(AND($A614&gt;='Control Room'!$A$14,$A614&lt;'Control Room'!$A$14+'Control Room'!$B$14,'Process'!BL3=1),1+('Control Room'!$C$14-1)*EXP(-0.5*(($A614-'Control Room'!$A$14-('Control Room'!$B$14-1)/2)/MAX(0.5,'Control Room'!$B$14/4))^2),1)*IF(AND($A614&gt;='Control Room'!$A$15,$A614&lt;'Control Room'!$A$15+'Control Room'!$B$15,'Process'!BL4=1),1+('Control Room'!$C$15-1)*EXP(-0.5*(($A614-'Control Room'!$A$15-('Control Room'!$B$15-1)/2)/MAX(0.5,'Control Room'!$B$15/4))^2),1)*IF(AND($A614&gt;='Control Room'!$A$16,$A614&lt;'Control Room'!$A$16+'Control Room'!$B$16,'Process'!BL5=1),1+('Control Room'!$C$16-1)*EXP(-0.5*(($A614-'Control Room'!$A$16-('Control Room'!$B$16-1)/2)/MAX(0.5,'Control Room'!$B$16/4))^2),1)</x:f>
        <x:v>1</x:v>
      </x:c>
      <x:c r="L614" s="9" t="n">
        <x:f>MOD(M613*16807,2147483647)</x:f>
        <x:v>607097217</x:v>
      </x:c>
      <x:c r="M614" s="9" t="n">
        <x:f>MOD(L614*16807,2147483647)</x:f>
        <x:v>788119222</x:v>
      </x:c>
      <x:c r="N614" s="17" t="n">
        <x:f>IF('Control Room'!$B$5="Normal",'Control Room'!$B$7+'Control Room'!$D$7*SQRT(-2*LN(MAX(0.000000000001,L614/2147483647)))*COS(2*PI()*M614/2147483647),'Control Room'!$B$8+('Control Room'!$D$8-'Control Room'!$B$8)*L614/2147483647)</x:f>
        <x:v>904.0532336871729</x:v>
      </x:c>
      <x:c r="O614" s="17" t="n">
        <x:f>IF('Control Room'!$B$5="Normal",'Control Room'!$B$7,('Control Room'!$B$8+'Control Room'!$D$8)/2)+'Control Room'!$B$9*(O613-IF('Control Room'!$B$5="Normal",'Control Room'!$B$7,('Control Room'!$B$8+'Control Room'!$D$8)/2))+SQRT(1-'Control Room'!$B$9^2)*(N614-IF('Control Room'!$B$5="Normal",'Control Room'!$B$7,('Control Room'!$B$8+'Control Room'!$D$8)/2))</x:f>
        <x:v>932.8363875614706</x:v>
      </x:c>
      <x:c r="P614" s="17" t="n">
        <x:f>IF(AND($A614&gt;='Control Room'!$A$13,$A614&lt;'Control Room'!$A$13+'Control Room'!$B$13,'Process'!BM2=1),1+('Control Room'!$C$13-1)*EXP(-0.5*(($A614-'Control Room'!$A$13-('Control Room'!$B$13-1)/2)/MAX(0.5,'Control Room'!$B$13/4))^2),1)*IF(AND($A614&gt;='Control Room'!$A$14,$A614&lt;'Control Room'!$A$14+'Control Room'!$B$14,'Process'!BM3=1),1+('Control Room'!$C$14-1)*EXP(-0.5*(($A614-'Control Room'!$A$14-('Control Room'!$B$14-1)/2)/MAX(0.5,'Control Room'!$B$14/4))^2),1)*IF(AND($A614&gt;='Control Room'!$A$15,$A614&lt;'Control Room'!$A$15+'Control Room'!$B$15,'Process'!BM4=1),1+('Control Room'!$C$15-1)*EXP(-0.5*(($A614-'Control Room'!$A$15-('Control Room'!$B$15-1)/2)/MAX(0.5,'Control Room'!$B$15/4))^2),1)*IF(AND($A614&gt;='Control Room'!$A$16,$A614&lt;'Control Room'!$A$16+'Control Room'!$B$16,'Process'!BM5=1),1+('Control Room'!$C$16-1)*EXP(-0.5*(($A614-'Control Room'!$A$16-('Control Room'!$B$16-1)/2)/MAX(0.5,'Control Room'!$B$16/4))^2),1)</x:f>
        <x:v>1</x:v>
      </x:c>
      <x:c r="Q614" s="9" t="n">
        <x:f>MOD(R613*16807,2147483647)</x:f>
        <x:v>1374851296</x:v>
      </x:c>
      <x:c r="R614" s="9" t="n">
        <x:f>MOD(Q614*16807,2147483647)</x:f>
        <x:v>201690152</x:v>
      </x:c>
      <x:c r="S614" s="17" t="n">
        <x:f>IF('Control Room'!$B$5="Normal",'Control Room'!$B$7+'Control Room'!$D$7*SQRT(-2*LN(MAX(0.000000000001,Q614/2147483647)))*COS(2*PI()*R614/2147483647),'Control Room'!$B$8+('Control Room'!$D$8-'Control Room'!$B$8)*Q614/2147483647)</x:f>
        <x:v>1070.621756875808</x:v>
      </x:c>
      <x:c r="T614" s="17" t="n">
        <x:f>IF('Control Room'!$B$5="Normal",'Control Room'!$B$7,('Control Room'!$B$8+'Control Room'!$D$8)/2)+'Control Room'!$B$9*(T613-IF('Control Room'!$B$5="Normal",'Control Room'!$B$7,('Control Room'!$B$8+'Control Room'!$D$8)/2))+SQRT(1-'Control Room'!$B$9^2)*(S614-IF('Control Room'!$B$5="Normal",'Control Room'!$B$7,('Control Room'!$B$8+'Control Room'!$D$8)/2))</x:f>
        <x:v>1139.7131806801283</x:v>
      </x:c>
      <x:c r="U614" s="17" t="n">
        <x:f>IF(AND($A614&gt;='Control Room'!$A$13,$A614&lt;'Control Room'!$A$13+'Control Room'!$B$13,'Process'!BN2=1),1+('Control Room'!$C$13-1)*EXP(-0.5*(($A614-'Control Room'!$A$13-('Control Room'!$B$13-1)/2)/MAX(0.5,'Control Room'!$B$13/4))^2),1)*IF(AND($A614&gt;='Control Room'!$A$14,$A614&lt;'Control Room'!$A$14+'Control Room'!$B$14,'Process'!BN3=1),1+('Control Room'!$C$14-1)*EXP(-0.5*(($A614-'Control Room'!$A$14-('Control Room'!$B$14-1)/2)/MAX(0.5,'Control Room'!$B$14/4))^2),1)*IF(AND($A614&gt;='Control Room'!$A$15,$A614&lt;'Control Room'!$A$15+'Control Room'!$B$15,'Process'!BN4=1),1+('Control Room'!$C$15-1)*EXP(-0.5*(($A614-'Control Room'!$A$15-('Control Room'!$B$15-1)/2)/MAX(0.5,'Control Room'!$B$15/4))^2),1)*IF(AND($A614&gt;='Control Room'!$A$16,$A614&lt;'Control Room'!$A$16+'Control Room'!$B$16,'Process'!BN5=1),1+('Control Room'!$C$16-1)*EXP(-0.5*(($A614-'Control Room'!$A$16-('Control Room'!$B$16-1)/2)/MAX(0.5,'Control Room'!$B$16/4))^2),1)</x:f>
        <x:v>1</x:v>
      </x:c>
      <x:c r="V614" s="9" t="n">
        <x:f>MOD(W613*16807,2147483647)</x:f>
        <x:v>2142605375</x:v>
      </x:c>
      <x:c r="W614" s="9" t="n">
        <x:f>MOD(V614*16807,2147483647)</x:f>
        <x:v>1762744729</x:v>
      </x:c>
      <x:c r="X614" s="17" t="n">
        <x:f>IF('Control Room'!$B$5="Normal",'Control Room'!$B$7+'Control Room'!$D$7*SQRT(-2*LN(MAX(0.000000000001,V614/2147483647)))*COS(2*PI()*W614/2147483647),'Control Room'!$B$8+('Control Room'!$D$8-'Control Room'!$B$8)*V614/2147483647)</x:f>
        <x:v>1002.6134022877258</x:v>
      </x:c>
      <x:c r="Y614" s="17" t="n">
        <x:f>IF('Control Room'!$B$5="Normal",'Control Room'!$B$7,('Control Room'!$B$8+'Control Room'!$D$8)/2)+'Control Room'!$B$9*(Y613-IF('Control Room'!$B$5="Normal",'Control Room'!$B$7,('Control Room'!$B$8+'Control Room'!$D$8)/2))+SQRT(1-'Control Room'!$B$9^2)*(X614-IF('Control Room'!$B$5="Normal",'Control Room'!$B$7,('Control Room'!$B$8+'Control Room'!$D$8)/2))</x:f>
        <x:v>903.854660902633</x:v>
      </x:c>
      <x:c r="Z614" s="17" t="n">
        <x:f>IF(AND($A614&gt;='Control Room'!$A$13,$A614&lt;'Control Room'!$A$13+'Control Room'!$B$13,'Process'!BO2=1),1+('Control Room'!$C$13-1)*EXP(-0.5*(($A614-'Control Room'!$A$13-('Control Room'!$B$13-1)/2)/MAX(0.5,'Control Room'!$B$13/4))^2),1)*IF(AND($A614&gt;='Control Room'!$A$14,$A614&lt;'Control Room'!$A$14+'Control Room'!$B$14,'Process'!BO3=1),1+('Control Room'!$C$14-1)*EXP(-0.5*(($A614-'Control Room'!$A$14-('Control Room'!$B$14-1)/2)/MAX(0.5,'Control Room'!$B$14/4))^2),1)*IF(AND($A614&gt;='Control Room'!$A$15,$A614&lt;'Control Room'!$A$15+'Control Room'!$B$15,'Process'!BO4=1),1+('Control Room'!$C$15-1)*EXP(-0.5*(($A614-'Control Room'!$A$15-('Control Room'!$B$15-1)/2)/MAX(0.5,'Control Room'!$B$15/4))^2),1)*IF(AND($A614&gt;='Control Room'!$A$16,$A614&lt;'Control Room'!$A$16+'Control Room'!$B$16,'Process'!BO5=1),1+('Control Room'!$C$16-1)*EXP(-0.5*(($A614-'Control Room'!$A$16-('Control Room'!$B$16-1)/2)/MAX(0.5,'Control Room'!$B$16/4))^2),1)</x:f>
        <x:v>1</x:v>
      </x:c>
      <x:c r="AA614" s="9" t="n">
        <x:f>MOD(AB613*16807,2147483647)</x:f>
        <x:v>762875807</x:v>
      </x:c>
      <x:c r="AB614" s="9" t="n">
        <x:f>MOD(AA614*16807,2147483647)</x:f>
        <x:v>1176315659</x:v>
      </x:c>
      <x:c r="AC614" s="17" t="n">
        <x:f>IF('Control Room'!$B$5="Normal",'Control Room'!$B$7+'Control Room'!$D$7*SQRT(-2*LN(MAX(0.000000000001,AA614/2147483647)))*COS(2*PI()*AB614/2147483647),'Control Room'!$B$8+('Control Room'!$D$8-'Control Room'!$B$8)*AA614/2147483647)</x:f>
        <x:v>876.3028674395553</x:v>
      </x:c>
      <x:c r="AD614" s="17" t="n">
        <x:f>IF('Control Room'!$B$5="Normal",'Control Room'!$B$7,('Control Room'!$B$8+'Control Room'!$D$8)/2)+'Control Room'!$B$9*(AD613-IF('Control Room'!$B$5="Normal",'Control Room'!$B$7,('Control Room'!$B$8+'Control Room'!$D$8)/2))+SQRT(1-'Control Room'!$B$9^2)*(AC614-IF('Control Room'!$B$5="Normal",'Control Room'!$B$7,('Control Room'!$B$8+'Control Room'!$D$8)/2))</x:f>
        <x:v>872.3112340515747</x:v>
      </x:c>
      <x:c r="AE614" s="17" t="n">
        <x:f>IF(AND($A614&gt;='Control Room'!$A$13,$A614&lt;'Control Room'!$A$13+'Control Room'!$B$13,'Process'!BP2=1),1+('Control Room'!$C$13-1)*EXP(-0.5*(($A614-'Control Room'!$A$13-('Control Room'!$B$13-1)/2)/MAX(0.5,'Control Room'!$B$13/4))^2),1)*IF(AND($A614&gt;='Control Room'!$A$14,$A614&lt;'Control Room'!$A$14+'Control Room'!$B$14,'Process'!BP3=1),1+('Control Room'!$C$14-1)*EXP(-0.5*(($A614-'Control Room'!$A$14-('Control Room'!$B$14-1)/2)/MAX(0.5,'Control Room'!$B$14/4))^2),1)*IF(AND($A614&gt;='Control Room'!$A$15,$A614&lt;'Control Room'!$A$15+'Control Room'!$B$15,'Process'!BP4=1),1+('Control Room'!$C$15-1)*EXP(-0.5*(($A614-'Control Room'!$A$15-('Control Room'!$B$15-1)/2)/MAX(0.5,'Control Room'!$B$15/4))^2),1)*IF(AND($A614&gt;='Control Room'!$A$16,$A614&lt;'Control Room'!$A$16+'Control Room'!$B$16,'Process'!BP5=1),1+('Control Room'!$C$16-1)*EXP(-0.5*(($A614-'Control Room'!$A$16-('Control Room'!$B$16-1)/2)/MAX(0.5,'Control Room'!$B$16/4))^2),1)</x:f>
        <x:v>1</x:v>
      </x:c>
      <x:c r="AF614" s="9" t="n">
        <x:f>MOD(AG613*16807,2147483647)</x:f>
        <x:v>1530629886</x:v>
      </x:c>
      <x:c r="AG614" s="9" t="n">
        <x:f>MOD(AF614*16807,2147483647)</x:f>
        <x:v>589886589</x:v>
      </x:c>
      <x:c r="AH614" s="17" t="n">
        <x:f>IF('Control Room'!$B$5="Normal",'Control Room'!$B$7+'Control Room'!$D$7*SQRT(-2*LN(MAX(0.000000000001,AF614/2147483647)))*COS(2*PI()*AG614/2147483647),'Control Room'!$B$8+('Control Room'!$D$8-'Control Room'!$B$8)*AF614/2147483647)</x:f>
        <x:v>988.5574320639695</x:v>
      </x:c>
      <x:c r="AI614" s="17" t="n">
        <x:f>IF('Control Room'!$B$5="Normal",'Control Room'!$B$7,('Control Room'!$B$8+'Control Room'!$D$8)/2)+'Control Room'!$B$9*(AI613-IF('Control Room'!$B$5="Normal",'Control Room'!$B$7,('Control Room'!$B$8+'Control Room'!$D$8)/2))+SQRT(1-'Control Room'!$B$9^2)*(AH614-IF('Control Room'!$B$5="Normal",'Control Room'!$B$7,('Control Room'!$B$8+'Control Room'!$D$8)/2))</x:f>
        <x:v>927.9114908010484</x:v>
      </x:c>
      <x:c r="AJ614" s="17" t="n">
        <x:f>IF(AND($A614&gt;='Control Room'!$A$13,$A614&lt;'Control Room'!$A$13+'Control Room'!$B$13,'Process'!BQ2=1),1+('Control Room'!$C$13-1)*EXP(-0.5*(($A614-'Control Room'!$A$13-('Control Room'!$B$13-1)/2)/MAX(0.5,'Control Room'!$B$13/4))^2),1)*IF(AND($A614&gt;='Control Room'!$A$14,$A614&lt;'Control Room'!$A$14+'Control Room'!$B$14,'Process'!BQ3=1),1+('Control Room'!$C$14-1)*EXP(-0.5*(($A614-'Control Room'!$A$14-('Control Room'!$B$14-1)/2)/MAX(0.5,'Control Room'!$B$14/4))^2),1)*IF(AND($A614&gt;='Control Room'!$A$15,$A614&lt;'Control Room'!$A$15+'Control Room'!$B$15,'Process'!BQ4=1),1+('Control Room'!$C$15-1)*EXP(-0.5*(($A614-'Control Room'!$A$15-('Control Room'!$B$15-1)/2)/MAX(0.5,'Control Room'!$B$15/4))^2),1)*IF(AND($A614&gt;='Control Room'!$A$16,$A614&lt;'Control Room'!$A$16+'Control Room'!$B$16,'Process'!BQ5=1),1+('Control Room'!$C$16-1)*EXP(-0.5*(($A614-'Control Room'!$A$16-('Control Room'!$B$16-1)/2)/MAX(0.5,'Control Room'!$B$16/4))^2),1)</x:f>
        <x:v>1</x:v>
      </x:c>
      <x:c r="AK614" s="9" t="n">
        <x:f>MOD(AL613*16807,2147483647)</x:f>
        <x:v>150900318</x:v>
      </x:c>
      <x:c r="AL614" s="9" t="n">
        <x:f>MOD(AK614*16807,2147483647)</x:f>
        <x:v>3457519</x:v>
      </x:c>
      <x:c r="AM614" s="17" t="n">
        <x:f>IF('Control Room'!$B$5="Normal",'Control Room'!$B$7+'Control Room'!$D$7*SQRT(-2*LN(MAX(0.000000000001,AK614/2147483647)))*COS(2*PI()*AL614/2147483647),'Control Room'!$B$8+('Control Room'!$D$8-'Control Room'!$B$8)*AK614/2147483647)</x:f>
        <x:v>1207.3972165146738</x:v>
      </x:c>
      <x:c r="AN614" s="17" t="n">
        <x:f>IF('Control Room'!$B$5="Normal",'Control Room'!$B$7,('Control Room'!$B$8+'Control Room'!$D$8)/2)+'Control Room'!$B$9*(AN613-IF('Control Room'!$B$5="Normal",'Control Room'!$B$7,('Control Room'!$B$8+'Control Room'!$D$8)/2))+SQRT(1-'Control Room'!$B$9^2)*(AM614-IF('Control Room'!$B$5="Normal",'Control Room'!$B$7,('Control Room'!$B$8+'Control Room'!$D$8)/2))</x:f>
        <x:v>1213.2251225612358</x:v>
      </x:c>
      <x:c r="AO614" s="17" t="n">
        <x:f>IF(AND($A614&gt;='Control Room'!$A$13,$A614&lt;'Control Room'!$A$13+'Control Room'!$B$13,'Process'!BR2=1),1+('Control Room'!$C$13-1)*EXP(-0.5*(($A614-'Control Room'!$A$13-('Control Room'!$B$13-1)/2)/MAX(0.5,'Control Room'!$B$13/4))^2),1)*IF(AND($A614&gt;='Control Room'!$A$14,$A614&lt;'Control Room'!$A$14+'Control Room'!$B$14,'Process'!BR3=1),1+('Control Room'!$C$14-1)*EXP(-0.5*(($A614-'Control Room'!$A$14-('Control Room'!$B$14-1)/2)/MAX(0.5,'Control Room'!$B$14/4))^2),1)*IF(AND($A614&gt;='Control Room'!$A$15,$A614&lt;'Control Room'!$A$15+'Control Room'!$B$15,'Process'!BR4=1),1+('Control Room'!$C$15-1)*EXP(-0.5*(($A614-'Control Room'!$A$15-('Control Room'!$B$15-1)/2)/MAX(0.5,'Control Room'!$B$15/4))^2),1)*IF(AND($A614&gt;='Control Room'!$A$16,$A614&lt;'Control Room'!$A$16+'Control Room'!$B$16,'Process'!BR5=1),1+('Control Room'!$C$16-1)*EXP(-0.5*(($A614-'Control Room'!$A$16-('Control Room'!$B$16-1)/2)/MAX(0.5,'Control Room'!$B$16/4))^2),1)</x:f>
        <x:v>1</x:v>
      </x:c>
      <x:c r="AP614" s="9" t="n">
        <x:f>MOD(AQ613*16807,2147483647)</x:f>
        <x:v>918654397</x:v>
      </x:c>
      <x:c r="AQ614" s="9" t="n">
        <x:f>MOD(AP614*16807,2147483647)</x:f>
        <x:v>1564512096</x:v>
      </x:c>
      <x:c r="AR614" s="17" t="n">
        <x:f>IF('Control Room'!$B$5="Normal",'Control Room'!$B$7+'Control Room'!$D$7*SQRT(-2*LN(MAX(0.000000000001,AP614/2147483647)))*COS(2*PI()*AQ614/2147483647),'Control Room'!$B$8+('Control Room'!$D$8-'Control Room'!$B$8)*AP614/2147483647)</x:f>
        <x:v>984.2279933947908</x:v>
      </x:c>
      <x:c r="AS614" s="17" t="n">
        <x:f>IF('Control Room'!$B$5="Normal",'Control Room'!$B$7,('Control Room'!$B$8+'Control Room'!$D$8)/2)+'Control Room'!$B$9*(AS613-IF('Control Room'!$B$5="Normal",'Control Room'!$B$7,('Control Room'!$B$8+'Control Room'!$D$8)/2))+SQRT(1-'Control Room'!$B$9^2)*(AR614-IF('Control Room'!$B$5="Normal",'Control Room'!$B$7,('Control Room'!$B$8+'Control Room'!$D$8)/2))</x:f>
        <x:v>919.0336180695638</x:v>
      </x:c>
      <x:c r="AT614" s="17" t="n">
        <x:f>IF(AND($A614&gt;='Control Room'!$A$13,$A614&lt;'Control Room'!$A$13+'Control Room'!$B$13,'Process'!BS2=1),1+('Control Room'!$C$13-1)*EXP(-0.5*(($A614-'Control Room'!$A$13-('Control Room'!$B$13-1)/2)/MAX(0.5,'Control Room'!$B$13/4))^2),1)*IF(AND($A614&gt;='Control Room'!$A$14,$A614&lt;'Control Room'!$A$14+'Control Room'!$B$14,'Process'!BS3=1),1+('Control Room'!$C$14-1)*EXP(-0.5*(($A614-'Control Room'!$A$14-('Control Room'!$B$14-1)/2)/MAX(0.5,'Control Room'!$B$14/4))^2),1)*IF(AND($A614&gt;='Control Room'!$A$15,$A614&lt;'Control Room'!$A$15+'Control Room'!$B$15,'Process'!BS4=1),1+('Control Room'!$C$15-1)*EXP(-0.5*(($A614-'Control Room'!$A$15-('Control Room'!$B$15-1)/2)/MAX(0.5,'Control Room'!$B$15/4))^2),1)*IF(AND($A614&gt;='Control Room'!$A$16,$A614&lt;'Control Room'!$A$16+'Control Room'!$B$16,'Process'!BS5=1),1+('Control Room'!$C$16-1)*EXP(-0.5*(($A614-'Control Room'!$A$16-('Control Room'!$B$16-1)/2)/MAX(0.5,'Control Room'!$B$16/4))^2),1)</x:f>
        <x:v>1</x:v>
      </x:c>
      <x:c r="AU614" s="9" t="n">
        <x:f>MOD(AV613*16807,2147483647)</x:f>
        <x:v>1686408476</x:v>
      </x:c>
      <x:c r="AV614" s="9" t="n">
        <x:f>MOD(AU614*16807,2147483647)</x:f>
        <x:v>978083026</x:v>
      </x:c>
      <x:c r="AW614" s="17" t="n">
        <x:f>IF('Control Room'!$B$5="Normal",'Control Room'!$B$7+'Control Room'!$D$7*SQRT(-2*LN(MAX(0.000000000001,AU614/2147483647)))*COS(2*PI()*AV614/2147483647),'Control Room'!$B$8+('Control Room'!$D$8-'Control Room'!$B$8)*AU614/2147483647)</x:f>
        <x:v>939.8611518371422</x:v>
      </x:c>
      <x:c r="AX614" s="17" t="n">
        <x:f>IF('Control Room'!$B$5="Normal",'Control Room'!$B$7,('Control Room'!$B$8+'Control Room'!$D$8)/2)+'Control Room'!$B$9*(AX613-IF('Control Room'!$B$5="Normal",'Control Room'!$B$7,('Control Room'!$B$8+'Control Room'!$D$8)/2))+SQRT(1-'Control Room'!$B$9^2)*(AW614-IF('Control Room'!$B$5="Normal",'Control Room'!$B$7,('Control Room'!$B$8+'Control Room'!$D$8)/2))</x:f>
        <x:v>1037.9931010865118</x:v>
      </x:c>
      <x:c r="AY614" s="17" t="n">
        <x:f>IF(AND($A614&gt;='Control Room'!$A$13,$A614&lt;'Control Room'!$A$13+'Control Room'!$B$13,'Process'!BT2=1),1+('Control Room'!$C$13-1)*EXP(-0.5*(($A614-'Control Room'!$A$13-('Control Room'!$B$13-1)/2)/MAX(0.5,'Control Room'!$B$13/4))^2),1)*IF(AND($A614&gt;='Control Room'!$A$14,$A614&lt;'Control Room'!$A$14+'Control Room'!$B$14,'Process'!BT3=1),1+('Control Room'!$C$14-1)*EXP(-0.5*(($A614-'Control Room'!$A$14-('Control Room'!$B$14-1)/2)/MAX(0.5,'Control Room'!$B$14/4))^2),1)*IF(AND($A614&gt;='Control Room'!$A$15,$A614&lt;'Control Room'!$A$15+'Control Room'!$B$15,'Process'!BT4=1),1+('Control Room'!$C$15-1)*EXP(-0.5*(($A614-'Control Room'!$A$15-('Control Room'!$B$15-1)/2)/MAX(0.5,'Control Room'!$B$15/4))^2),1)*IF(AND($A614&gt;='Control Room'!$A$16,$A614&lt;'Control Room'!$A$16+'Control Room'!$B$16,'Process'!BT5=1),1+('Control Room'!$C$16-1)*EXP(-0.5*(($A614-'Control Room'!$A$16-('Control Room'!$B$16-1)/2)/MAX(0.5,'Control Room'!$B$16/4))^2),1)</x:f>
        <x:v>1</x:v>
      </x:c>
      <x:c r="AZ614" s="9" t="n">
        <x:f>MOD(BA613*16807,2147483647)</x:f>
        <x:v>306678908</x:v>
      </x:c>
      <x:c r="BA614" s="9" t="n">
        <x:f>MOD(AZ614*16807,2147483647)</x:f>
        <x:v>391653956</x:v>
      </x:c>
      <x:c r="BB614" s="17" t="n">
        <x:f>IF('Control Room'!$B$5="Normal",'Control Room'!$B$7+'Control Room'!$D$7*SQRT(-2*LN(MAX(0.000000000001,AZ614/2147483647)))*COS(2*PI()*BA614/2147483647),'Control Room'!$B$8+('Control Room'!$D$8-'Control Room'!$B$8)*AZ614/2147483647)</x:f>
        <x:v>1073.1944138649399</x:v>
      </x:c>
      <x:c r="BC614" s="17" t="n">
        <x:f>IF('Control Room'!$B$5="Normal",'Control Room'!$B$7,('Control Room'!$B$8+'Control Room'!$D$8)/2)+'Control Room'!$B$9*(BC613-IF('Control Room'!$B$5="Normal",'Control Room'!$B$7,('Control Room'!$B$8+'Control Room'!$D$8)/2))+SQRT(1-'Control Room'!$B$9^2)*(BB614-IF('Control Room'!$B$5="Normal",'Control Room'!$B$7,('Control Room'!$B$8+'Control Room'!$D$8)/2))</x:f>
        <x:v>1015.0998411780893</x:v>
      </x:c>
      <x:c r="BD614" s="17" t="n">
        <x:f>IF(AND($A614&gt;='Control Room'!$A$13,$A614&lt;'Control Room'!$A$13+'Control Room'!$B$13,'Process'!BU2=1),1+('Control Room'!$C$13-1)*EXP(-0.5*(($A614-'Control Room'!$A$13-('Control Room'!$B$13-1)/2)/MAX(0.5,'Control Room'!$B$13/4))^2),1)*IF(AND($A614&gt;='Control Room'!$A$14,$A614&lt;'Control Room'!$A$14+'Control Room'!$B$14,'Process'!BU3=1),1+('Control Room'!$C$14-1)*EXP(-0.5*(($A614-'Control Room'!$A$14-('Control Room'!$B$14-1)/2)/MAX(0.5,'Control Room'!$B$14/4))^2),1)*IF(AND($A614&gt;='Control Room'!$A$15,$A614&lt;'Control Room'!$A$15+'Control Room'!$B$15,'Process'!BU4=1),1+('Control Room'!$C$15-1)*EXP(-0.5*(($A614-'Control Room'!$A$15-('Control Room'!$B$15-1)/2)/MAX(0.5,'Control Room'!$B$15/4))^2),1)*IF(AND($A614&gt;='Control Room'!$A$16,$A614&lt;'Control Room'!$A$16+'Control Room'!$B$16,'Process'!BU5=1),1+('Control Room'!$C$16-1)*EXP(-0.5*(($A614-'Control Room'!$A$16-('Control Room'!$B$16-1)/2)/MAX(0.5,'Control Room'!$B$16/4))^2),1)</x:f>
        <x:v>1</x:v>
      </x:c>
      <x:c r="BE614" s="9" t="n">
        <x:f>MOD(BF613*16807,2147483647)</x:f>
        <x:v>1074432987</x:v>
      </x:c>
      <x:c r="BF614" s="9" t="n">
        <x:f>MOD(BE614*16807,2147483647)</x:f>
        <x:v>1952708533</x:v>
      </x:c>
      <x:c r="BG614" s="17" t="n">
        <x:f>IF('Control Room'!$B$5="Normal",'Control Room'!$B$7+'Control Room'!$D$7*SQRT(-2*LN(MAX(0.000000000001,BE614/2147483647)))*COS(2*PI()*BF614/2147483647),'Control Room'!$B$8+('Control Room'!$D$8-'Control Room'!$B$8)*BE614/2147483647)</x:f>
        <x:v>1089.1790714724425</x:v>
      </x:c>
      <x:c r="BH614" s="17" t="n">
        <x:f>IF('Control Room'!$B$5="Normal",'Control Room'!$B$7,('Control Room'!$B$8+'Control Room'!$D$8)/2)+'Control Room'!$B$9*(BH613-IF('Control Room'!$B$5="Normal",'Control Room'!$B$7,('Control Room'!$B$8+'Control Room'!$D$8)/2))+SQRT(1-'Control Room'!$B$9^2)*(BG614-IF('Control Room'!$B$5="Normal",'Control Room'!$B$7,('Control Room'!$B$8+'Control Room'!$D$8)/2))</x:f>
        <x:v>1122.858833441595</x:v>
      </x:c>
      <x:c r="BI614" s="17" t="n">
        <x:f>IF(AND($A614&gt;='Control Room'!$A$13,$A614&lt;'Control Room'!$A$13+'Control Room'!$B$13,'Process'!BV2=1),1+('Control Room'!$C$13-1)*EXP(-0.5*(($A614-'Control Room'!$A$13-('Control Room'!$B$13-1)/2)/MAX(0.5,'Control Room'!$B$13/4))^2),1)*IF(AND($A614&gt;='Control Room'!$A$14,$A614&lt;'Control Room'!$A$14+'Control Room'!$B$14,'Process'!BV3=1),1+('Control Room'!$C$14-1)*EXP(-0.5*(($A614-'Control Room'!$A$14-('Control Room'!$B$14-1)/2)/MAX(0.5,'Control Room'!$B$14/4))^2),1)*IF(AND($A614&gt;='Control Room'!$A$15,$A614&lt;'Control Room'!$A$15+'Control Room'!$B$15,'Process'!BV4=1),1+('Control Room'!$C$15-1)*EXP(-0.5*(($A614-'Control Room'!$A$15-('Control Room'!$B$15-1)/2)/MAX(0.5,'Control Room'!$B$15/4))^2),1)*IF(AND($A614&gt;='Control Room'!$A$16,$A614&lt;'Control Room'!$A$16+'Control Room'!$B$16,'Process'!BV5=1),1+('Control Room'!$C$16-1)*EXP(-0.5*(($A614-'Control Room'!$A$16-('Control Room'!$B$16-1)/2)/MAX(0.5,'Control Room'!$B$16/4))^2),1)</x:f>
        <x:v>1</x:v>
      </x:c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Z614" t="str">
        <x:f>IF('Data'!A614="","",TEXT('Data'!A614,"mm-dd"))</x:f>
      </x:c>
    </x:row>
    <x:row r="615" ht="21" customHeight="1">
      <x:c r="A615" s="15" t="n">
        <x:f>'Control Room'!$B$1+613</x:f>
        <x:v>73604</x:v>
      </x:c>
      <x:c r="B615" s="9" t="n">
        <x:f>MOD(C614*16807,2147483647)</x:f>
        <x:v>714992625</x:v>
      </x:c>
      <x:c r="C615" s="9" t="n">
        <x:f>MOD(B615*16807,2147483647)</x:f>
        <x:v>1710043410</x:v>
      </x:c>
      <x:c r="D615" s="17" t="n">
        <x:f>IF('Control Room'!$B$5="Normal",'Control Room'!$B$7+'Control Room'!$D$7*SQRT(-2*LN(MAX(0.000000000001,B615/2147483647)))*COS(2*PI()*C615/2147483647),'Control Room'!$B$8+('Control Room'!$D$8-'Control Room'!$B$8)*B615/2147483647)</x:f>
        <x:v>1038.2857745260956</x:v>
      </x:c>
      <x:c r="E615" s="17" t="n">
        <x:f>IF('Control Room'!$B$5="Normal",'Control Room'!$B$7,('Control Room'!$B$8+'Control Room'!$D$8)/2)+'Control Room'!$B$9*(E614-IF('Control Room'!$B$5="Normal",'Control Room'!$B$7,('Control Room'!$B$8+'Control Room'!$D$8)/2))+SQRT(1-'Control Room'!$B$9^2)*(D615-IF('Control Room'!$B$5="Normal",'Control Room'!$B$7,('Control Room'!$B$8+'Control Room'!$D$8)/2))</x:f>
        <x:v>1116.0390808163293</x:v>
      </x:c>
      <x:c r="F615" s="17" t="n">
        <x:f>IF(AND($A615&gt;='Control Room'!$A$13,$A615&lt;'Control Room'!$A$13+'Control Room'!$B$13,'Process'!BK2=1),1+('Control Room'!$C$13-1)*EXP(-0.5*(($A615-'Control Room'!$A$13-('Control Room'!$B$13-1)/2)/MAX(0.5,'Control Room'!$B$13/4))^2),1)*IF(AND($A615&gt;='Control Room'!$A$14,$A615&lt;'Control Room'!$A$14+'Control Room'!$B$14,'Process'!BK3=1),1+('Control Room'!$C$14-1)*EXP(-0.5*(($A615-'Control Room'!$A$14-('Control Room'!$B$14-1)/2)/MAX(0.5,'Control Room'!$B$14/4))^2),1)*IF(AND($A615&gt;='Control Room'!$A$15,$A615&lt;'Control Room'!$A$15+'Control Room'!$B$15,'Process'!BK4=1),1+('Control Room'!$C$15-1)*EXP(-0.5*(($A615-'Control Room'!$A$15-('Control Room'!$B$15-1)/2)/MAX(0.5,'Control Room'!$B$15/4))^2),1)*IF(AND($A615&gt;='Control Room'!$A$16,$A615&lt;'Control Room'!$A$16+'Control Room'!$B$16,'Process'!BK5=1),1+('Control Room'!$C$16-1)*EXP(-0.5*(($A615-'Control Room'!$A$16-('Control Room'!$B$16-1)/2)/MAX(0.5,'Control Room'!$B$16/4))^2),1)</x:f>
        <x:v>1</x:v>
      </x:c>
      <x:c r="G615" s="9" t="n">
        <x:f>MOD(H614*16807,2147483647)</x:f>
        <x:v>1551552865</x:v>
      </x:c>
      <x:c r="H615" s="9" t="n">
        <x:f>MOD(G615*16807,2147483647)</x:f>
        <x:v>55076534</x:v>
      </x:c>
      <x:c r="I615" s="17" t="n">
        <x:f>IF('Control Room'!$B$5="Normal",'Control Room'!$B$7+'Control Room'!$D$7*SQRT(-2*LN(MAX(0.000000000001,G615/2147483647)))*COS(2*PI()*H615/2147483647),'Control Room'!$B$8+('Control Room'!$D$8-'Control Room'!$B$8)*G615/2147483647)</x:f>
        <x:v>1071.6247053510144</x:v>
      </x:c>
      <x:c r="J615" s="17" t="n">
        <x:f>IF('Control Room'!$B$5="Normal",'Control Room'!$B$7,('Control Room'!$B$8+'Control Room'!$D$8)/2)+'Control Room'!$B$9*(J614-IF('Control Room'!$B$5="Normal",'Control Room'!$B$7,('Control Room'!$B$8+'Control Room'!$D$8)/2))+SQRT(1-'Control Room'!$B$9^2)*(I615-IF('Control Room'!$B$5="Normal",'Control Room'!$B$7,('Control Room'!$B$8+'Control Room'!$D$8)/2))</x:f>
        <x:v>1095.691482829587</x:v>
      </x:c>
      <x:c r="K615" s="17" t="n">
        <x:f>IF(AND($A615&gt;='Control Room'!$A$13,$A615&lt;'Control Room'!$A$13+'Control Room'!$B$13,'Process'!BL2=1),1+('Control Room'!$C$13-1)*EXP(-0.5*(($A615-'Control Room'!$A$13-('Control Room'!$B$13-1)/2)/MAX(0.5,'Control Room'!$B$13/4))^2),1)*IF(AND($A615&gt;='Control Room'!$A$14,$A615&lt;'Control Room'!$A$14+'Control Room'!$B$14,'Process'!BL3=1),1+('Control Room'!$C$14-1)*EXP(-0.5*(($A615-'Control Room'!$A$14-('Control Room'!$B$14-1)/2)/MAX(0.5,'Control Room'!$B$14/4))^2),1)*IF(AND($A615&gt;='Control Room'!$A$15,$A615&lt;'Control Room'!$A$15+'Control Room'!$B$15,'Process'!BL4=1),1+('Control Room'!$C$15-1)*EXP(-0.5*(($A615-'Control Room'!$A$15-('Control Room'!$B$15-1)/2)/MAX(0.5,'Control Room'!$B$15/4))^2),1)*IF(AND($A615&gt;='Control Room'!$A$16,$A615&lt;'Control Room'!$A$16+'Control Room'!$B$16,'Process'!BL5=1),1+('Control Room'!$C$16-1)*EXP(-0.5*(($A615-'Control Room'!$A$16-('Control Room'!$B$16-1)/2)/MAX(0.5,'Control Room'!$B$16/4))^2),1)</x:f>
        <x:v>1</x:v>
      </x:c>
      <x:c r="L615" s="9" t="n">
        <x:f>MOD(M614*16807,2147483647)</x:f>
        <x:v>240629458</x:v>
      </x:c>
      <x:c r="M615" s="9" t="n">
        <x:f>MOD(L615*16807,2147483647)</x:f>
        <x:v>547593305</x:v>
      </x:c>
      <x:c r="N615" s="17" t="n">
        <x:f>IF('Control Room'!$B$5="Normal",'Control Room'!$B$7+'Control Room'!$D$7*SQRT(-2*LN(MAX(0.000000000001,L615/2147483647)))*COS(2*PI()*M615/2147483647),'Control Room'!$B$8+('Control Room'!$D$8-'Control Room'!$B$8)*L615/2147483647)</x:f>
        <x:v>994.0934970398015</x:v>
      </x:c>
      <x:c r="O615" s="17" t="n">
        <x:f>IF('Control Room'!$B$5="Normal",'Control Room'!$B$7,('Control Room'!$B$8+'Control Room'!$D$8)/2)+'Control Room'!$B$9*(O614-IF('Control Room'!$B$5="Normal",'Control Room'!$B$7,('Control Room'!$B$8+'Control Room'!$D$8)/2))+SQRT(1-'Control Room'!$B$9^2)*(N615-IF('Control Room'!$B$5="Normal",'Control Room'!$B$7,('Control Room'!$B$8+'Control Room'!$D$8)/2))</x:f>
        <x:v>943.916213746745</x:v>
      </x:c>
      <x:c r="P615" s="17" t="n">
        <x:f>IF(AND($A615&gt;='Control Room'!$A$13,$A615&lt;'Control Room'!$A$13+'Control Room'!$B$13,'Process'!BM2=1),1+('Control Room'!$C$13-1)*EXP(-0.5*(($A615-'Control Room'!$A$13-('Control Room'!$B$13-1)/2)/MAX(0.5,'Control Room'!$B$13/4))^2),1)*IF(AND($A615&gt;='Control Room'!$A$14,$A615&lt;'Control Room'!$A$14+'Control Room'!$B$14,'Process'!BM3=1),1+('Control Room'!$C$14-1)*EXP(-0.5*(($A615-'Control Room'!$A$14-('Control Room'!$B$14-1)/2)/MAX(0.5,'Control Room'!$B$14/4))^2),1)*IF(AND($A615&gt;='Control Room'!$A$15,$A615&lt;'Control Room'!$A$15+'Control Room'!$B$15,'Process'!BM4=1),1+('Control Room'!$C$15-1)*EXP(-0.5*(($A615-'Control Room'!$A$15-('Control Room'!$B$15-1)/2)/MAX(0.5,'Control Room'!$B$15/4))^2),1)*IF(AND($A615&gt;='Control Room'!$A$16,$A615&lt;'Control Room'!$A$16+'Control Room'!$B$16,'Process'!BM5=1),1+('Control Room'!$C$16-1)*EXP(-0.5*(($A615-'Control Room'!$A$16-('Control Room'!$B$16-1)/2)/MAX(0.5,'Control Room'!$B$16/4))^2),1)</x:f>
        <x:v>1</x:v>
      </x:c>
      <x:c r="Q615" s="9" t="n">
        <x:f>MOD(R614*16807,2147483647)</x:f>
        <x:v>1077189698</x:v>
      </x:c>
      <x:c r="R615" s="9" t="n">
        <x:f>MOD(Q615*16807,2147483647)</x:f>
        <x:v>1040110076</x:v>
      </x:c>
      <x:c r="S615" s="17" t="n">
        <x:f>IF('Control Room'!$B$5="Normal",'Control Room'!$B$7+'Control Room'!$D$7*SQRT(-2*LN(MAX(0.000000000001,Q615/2147483647)))*COS(2*PI()*R615/2147483647),'Control Room'!$B$8+('Control Room'!$D$8-'Control Room'!$B$8)*Q615/2147483647)</x:f>
        <x:v>894.7898656588047</x:v>
      </x:c>
      <x:c r="T615" s="17" t="n">
        <x:f>IF('Control Room'!$B$5="Normal",'Control Room'!$B$7,('Control Room'!$B$8+'Control Room'!$D$8)/2)+'Control Room'!$B$9*(T614-IF('Control Room'!$B$5="Normal",'Control Room'!$B$7,('Control Room'!$B$8+'Control Room'!$D$8)/2))+SQRT(1-'Control Room'!$B$9^2)*(S615-IF('Control Room'!$B$5="Normal",'Control Room'!$B$7,('Control Room'!$B$8+'Control Room'!$D$8)/2))</x:f>
        <x:v>1043.1379342065356</x:v>
      </x:c>
      <x:c r="U615" s="17" t="n">
        <x:f>IF(AND($A615&gt;='Control Room'!$A$13,$A615&lt;'Control Room'!$A$13+'Control Room'!$B$13,'Process'!BN2=1),1+('Control Room'!$C$13-1)*EXP(-0.5*(($A615-'Control Room'!$A$13-('Control Room'!$B$13-1)/2)/MAX(0.5,'Control Room'!$B$13/4))^2),1)*IF(AND($A615&gt;='Control Room'!$A$14,$A615&lt;'Control Room'!$A$14+'Control Room'!$B$14,'Process'!BN3=1),1+('Control Room'!$C$14-1)*EXP(-0.5*(($A615-'Control Room'!$A$14-('Control Room'!$B$14-1)/2)/MAX(0.5,'Control Room'!$B$14/4))^2),1)*IF(AND($A615&gt;='Control Room'!$A$15,$A615&lt;'Control Room'!$A$15+'Control Room'!$B$15,'Process'!BN4=1),1+('Control Room'!$C$15-1)*EXP(-0.5*(($A615-'Control Room'!$A$15-('Control Room'!$B$15-1)/2)/MAX(0.5,'Control Room'!$B$15/4))^2),1)*IF(AND($A615&gt;='Control Room'!$A$16,$A615&lt;'Control Room'!$A$16+'Control Room'!$B$16,'Process'!BN5=1),1+('Control Room'!$C$16-1)*EXP(-0.5*(($A615-'Control Room'!$A$16-('Control Room'!$B$16-1)/2)/MAX(0.5,'Control Room'!$B$16/4))^2),1)</x:f>
        <x:v>1</x:v>
      </x:c>
      <x:c r="V615" s="9" t="n">
        <x:f>MOD(W614*16807,2147483647)</x:f>
        <x:v>1913749938</x:v>
      </x:c>
      <x:c r="W615" s="9" t="n">
        <x:f>MOD(V615*16807,2147483647)</x:f>
        <x:v>1532626847</x:v>
      </x:c>
      <x:c r="X615" s="17" t="n">
        <x:f>IF('Control Room'!$B$5="Normal",'Control Room'!$B$7+'Control Room'!$D$7*SQRT(-2*LN(MAX(0.000000000001,V615/2147483647)))*COS(2*PI()*W615/2147483647),'Control Room'!$B$8+('Control Room'!$D$8-'Control Room'!$B$8)*V615/2147483647)</x:f>
        <x:v>990.2268337761795</x:v>
      </x:c>
      <x:c r="Y615" s="17" t="n">
        <x:f>IF('Control Room'!$B$5="Normal",'Control Room'!$B$7,('Control Room'!$B$8+'Control Room'!$D$8)/2)+'Control Room'!$B$9*(Y614-IF('Control Room'!$B$5="Normal",'Control Room'!$B$7,('Control Room'!$B$8+'Control Room'!$D$8)/2))+SQRT(1-'Control Room'!$B$9^2)*(X615-IF('Control Room'!$B$5="Normal",'Control Room'!$B$7,('Control Room'!$B$8+'Control Room'!$D$8)/2))</x:f>
        <x:v>918.8907882953796</x:v>
      </x:c>
      <x:c r="Z615" s="17" t="n">
        <x:f>IF(AND($A615&gt;='Control Room'!$A$13,$A615&lt;'Control Room'!$A$13+'Control Room'!$B$13,'Process'!BO2=1),1+('Control Room'!$C$13-1)*EXP(-0.5*(($A615-'Control Room'!$A$13-('Control Room'!$B$13-1)/2)/MAX(0.5,'Control Room'!$B$13/4))^2),1)*IF(AND($A615&gt;='Control Room'!$A$14,$A615&lt;'Control Room'!$A$14+'Control Room'!$B$14,'Process'!BO3=1),1+('Control Room'!$C$14-1)*EXP(-0.5*(($A615-'Control Room'!$A$14-('Control Room'!$B$14-1)/2)/MAX(0.5,'Control Room'!$B$14/4))^2),1)*IF(AND($A615&gt;='Control Room'!$A$15,$A615&lt;'Control Room'!$A$15+'Control Room'!$B$15,'Process'!BO4=1),1+('Control Room'!$C$15-1)*EXP(-0.5*(($A615-'Control Room'!$A$15-('Control Room'!$B$15-1)/2)/MAX(0.5,'Control Room'!$B$15/4))^2),1)*IF(AND($A615&gt;='Control Room'!$A$16,$A615&lt;'Control Room'!$A$16+'Control Room'!$B$16,'Process'!BO5=1),1+('Control Room'!$C$16-1)*EXP(-0.5*(($A615-'Control Room'!$A$16-('Control Room'!$B$16-1)/2)/MAX(0.5,'Control Room'!$B$16/4))^2),1)</x:f>
        <x:v>1</x:v>
      </x:c>
      <x:c r="AA615" s="9" t="n">
        <x:f>MOD(AB614*16807,2147483647)</x:f>
        <x:v>602826531</x:v>
      </x:c>
      <x:c r="AB615" s="9" t="n">
        <x:f>MOD(AA615*16807,2147483647)</x:f>
        <x:v>2025143618</x:v>
      </x:c>
      <x:c r="AC615" s="17" t="n">
        <x:f>IF('Control Room'!$B$5="Normal",'Control Room'!$B$7+'Control Room'!$D$7*SQRT(-2*LN(MAX(0.000000000001,AA615/2147483647)))*COS(2*PI()*AB615/2147483647),'Control Room'!$B$8+('Control Room'!$D$8-'Control Room'!$B$8)*AA615/2147483647)</x:f>
        <x:v>1134.3674754580031</x:v>
      </x:c>
      <x:c r="AD615" s="17" t="n">
        <x:f>IF('Control Room'!$B$5="Normal",'Control Room'!$B$7,('Control Room'!$B$8+'Control Room'!$D$8)/2)+'Control Room'!$B$9*(AD614-IF('Control Room'!$B$5="Normal",'Control Room'!$B$7,('Control Room'!$B$8+'Control Room'!$D$8)/2))+SQRT(1-'Control Room'!$B$9^2)*(AC615-IF('Control Room'!$B$5="Normal",'Control Room'!$B$7,('Control Room'!$B$8+'Control Room'!$D$8)/2))</x:f>
        <x:v>984.4871760344911</x:v>
      </x:c>
      <x:c r="AE615" s="17" t="n">
        <x:f>IF(AND($A615&gt;='Control Room'!$A$13,$A615&lt;'Control Room'!$A$13+'Control Room'!$B$13,'Process'!BP2=1),1+('Control Room'!$C$13-1)*EXP(-0.5*(($A615-'Control Room'!$A$13-('Control Room'!$B$13-1)/2)/MAX(0.5,'Control Room'!$B$13/4))^2),1)*IF(AND($A615&gt;='Control Room'!$A$14,$A615&lt;'Control Room'!$A$14+'Control Room'!$B$14,'Process'!BP3=1),1+('Control Room'!$C$14-1)*EXP(-0.5*(($A615-'Control Room'!$A$14-('Control Room'!$B$14-1)/2)/MAX(0.5,'Control Room'!$B$14/4))^2),1)*IF(AND($A615&gt;='Control Room'!$A$15,$A615&lt;'Control Room'!$A$15+'Control Room'!$B$15,'Process'!BP4=1),1+('Control Room'!$C$15-1)*EXP(-0.5*(($A615-'Control Room'!$A$15-('Control Room'!$B$15-1)/2)/MAX(0.5,'Control Room'!$B$15/4))^2),1)*IF(AND($A615&gt;='Control Room'!$A$16,$A615&lt;'Control Room'!$A$16+'Control Room'!$B$16,'Process'!BP5=1),1+('Control Room'!$C$16-1)*EXP(-0.5*(($A615-'Control Room'!$A$16-('Control Room'!$B$16-1)/2)/MAX(0.5,'Control Room'!$B$16/4))^2),1)</x:f>
        <x:v>1</x:v>
      </x:c>
      <x:c r="AF615" s="9" t="n">
        <x:f>MOD(AG614*16807,2147483647)</x:f>
        <x:v>1439386771</x:v>
      </x:c>
      <x:c r="AG615" s="9" t="n">
        <x:f>MOD(AF615*16807,2147483647)</x:f>
        <x:v>370176742</x:v>
      </x:c>
      <x:c r="AH615" s="17" t="n">
        <x:f>IF('Control Room'!$B$5="Normal",'Control Room'!$B$7+'Control Room'!$D$7*SQRT(-2*LN(MAX(0.000000000001,AF615/2147483647)))*COS(2*PI()*AG615/2147483647),'Control Room'!$B$8+('Control Room'!$D$8-'Control Room'!$B$8)*AF615/2147483647)</x:f>
        <x:v>1037.7263552677152</x:v>
      </x:c>
      <x:c r="AI615" s="17" t="n">
        <x:f>IF('Control Room'!$B$5="Normal",'Control Room'!$B$7,('Control Room'!$B$8+'Control Room'!$D$8)/2)+'Control Room'!$B$9*(AI614-IF('Control Room'!$B$5="Normal",'Control Room'!$B$7,('Control Room'!$B$8+'Control Room'!$D$8)/2))+SQRT(1-'Control Room'!$B$9^2)*(AH615-IF('Control Room'!$B$5="Normal",'Control Room'!$B$7,('Control Room'!$B$8+'Control Room'!$D$8)/2))</x:f>
        <x:v>967.3793430849573</x:v>
      </x:c>
      <x:c r="AJ615" s="17" t="n">
        <x:f>IF(AND($A615&gt;='Control Room'!$A$13,$A615&lt;'Control Room'!$A$13+'Control Room'!$B$13,'Process'!BQ2=1),1+('Control Room'!$C$13-1)*EXP(-0.5*(($A615-'Control Room'!$A$13-('Control Room'!$B$13-1)/2)/MAX(0.5,'Control Room'!$B$13/4))^2),1)*IF(AND($A615&gt;='Control Room'!$A$14,$A615&lt;'Control Room'!$A$14+'Control Room'!$B$14,'Process'!BQ3=1),1+('Control Room'!$C$14-1)*EXP(-0.5*(($A615-'Control Room'!$A$14-('Control Room'!$B$14-1)/2)/MAX(0.5,'Control Room'!$B$14/4))^2),1)*IF(AND($A615&gt;='Control Room'!$A$15,$A615&lt;'Control Room'!$A$15+'Control Room'!$B$15,'Process'!BQ4=1),1+('Control Room'!$C$15-1)*EXP(-0.5*(($A615-'Control Room'!$A$15-('Control Room'!$B$15-1)/2)/MAX(0.5,'Control Room'!$B$15/4))^2),1)*IF(AND($A615&gt;='Control Room'!$A$16,$A615&lt;'Control Room'!$A$16+'Control Room'!$B$16,'Process'!BQ5=1),1+('Control Room'!$C$16-1)*EXP(-0.5*(($A615-'Control Room'!$A$16-('Control Room'!$B$16-1)/2)/MAX(0.5,'Control Room'!$B$16/4))^2),1)</x:f>
        <x:v>1</x:v>
      </x:c>
      <x:c r="AK615" s="9" t="n">
        <x:f>MOD(AL614*16807,2147483647)</x:f>
        <x:v>128463364</x:v>
      </x:c>
      <x:c r="AL615" s="9" t="n">
        <x:f>MOD(AK615*16807,2147483647)</x:f>
        <x:v>862693513</x:v>
      </x:c>
      <x:c r="AM615" s="17" t="n">
        <x:f>IF('Control Room'!$B$5="Normal",'Control Room'!$B$7+'Control Room'!$D$7*SQRT(-2*LN(MAX(0.000000000001,AK615/2147483647)))*COS(2*PI()*AL615/2147483647),'Control Room'!$B$8+('Control Room'!$D$8-'Control Room'!$B$8)*AK615/2147483647)</x:f>
        <x:v>825.8433091776417</x:v>
      </x:c>
      <x:c r="AN615" s="17" t="n">
        <x:f>IF('Control Room'!$B$5="Normal",'Control Room'!$B$7,('Control Room'!$B$8+'Control Room'!$D$8)/2)+'Control Room'!$B$9*(AN614-IF('Control Room'!$B$5="Normal",'Control Room'!$B$7,('Control Room'!$B$8+'Control Room'!$D$8)/2))+SQRT(1-'Control Room'!$B$9^2)*(AM615-IF('Control Room'!$B$5="Normal",'Control Room'!$B$7,('Control Room'!$B$8+'Control Room'!$D$8)/2))</x:f>
        <x:v>1057.3319062748706</x:v>
      </x:c>
      <x:c r="AO615" s="17" t="n">
        <x:f>IF(AND($A615&gt;='Control Room'!$A$13,$A615&lt;'Control Room'!$A$13+'Control Room'!$B$13,'Process'!BR2=1),1+('Control Room'!$C$13-1)*EXP(-0.5*(($A615-'Control Room'!$A$13-('Control Room'!$B$13-1)/2)/MAX(0.5,'Control Room'!$B$13/4))^2),1)*IF(AND($A615&gt;='Control Room'!$A$14,$A615&lt;'Control Room'!$A$14+'Control Room'!$B$14,'Process'!BR3=1),1+('Control Room'!$C$14-1)*EXP(-0.5*(($A615-'Control Room'!$A$14-('Control Room'!$B$14-1)/2)/MAX(0.5,'Control Room'!$B$14/4))^2),1)*IF(AND($A615&gt;='Control Room'!$A$15,$A615&lt;'Control Room'!$A$15+'Control Room'!$B$15,'Process'!BR4=1),1+('Control Room'!$C$15-1)*EXP(-0.5*(($A615-'Control Room'!$A$15-('Control Room'!$B$15-1)/2)/MAX(0.5,'Control Room'!$B$15/4))^2),1)*IF(AND($A615&gt;='Control Room'!$A$16,$A615&lt;'Control Room'!$A$16+'Control Room'!$B$16,'Process'!BR5=1),1+('Control Room'!$C$16-1)*EXP(-0.5*(($A615-'Control Room'!$A$16-('Control Room'!$B$16-1)/2)/MAX(0.5,'Control Room'!$B$16/4))^2),1)</x:f>
        <x:v>1</x:v>
      </x:c>
      <x:c r="AP615" s="9" t="n">
        <x:f>MOD(AQ614*16807,2147483647)</x:f>
        <x:v>965023604</x:v>
      </x:c>
      <x:c r="AQ615" s="9" t="n">
        <x:f>MOD(AP615*16807,2147483647)</x:f>
        <x:v>1355210284</x:v>
      </x:c>
      <x:c r="AR615" s="17" t="n">
        <x:f>IF('Control Room'!$B$5="Normal",'Control Room'!$B$7+'Control Room'!$D$7*SQRT(-2*LN(MAX(0.000000000001,AP615/2147483647)))*COS(2*PI()*AQ615/2147483647),'Control Room'!$B$8+('Control Room'!$D$8-'Control Room'!$B$8)*AP615/2147483647)</x:f>
        <x:v>922.6337905621681</x:v>
      </x:c>
      <x:c r="AS615" s="17" t="n">
        <x:f>IF('Control Room'!$B$5="Normal",'Control Room'!$B$7,('Control Room'!$B$8+'Control Room'!$D$8)/2)+'Control Room'!$B$9*(AS614-IF('Control Room'!$B$5="Normal",'Control Room'!$B$7,('Control Room'!$B$8+'Control Room'!$D$8)/2))+SQRT(1-'Control Room'!$B$9^2)*(AR615-IF('Control Room'!$B$5="Normal",'Control Room'!$B$7,('Control Room'!$B$8+'Control Room'!$D$8)/2))</x:f>
        <x:v>888.4320331610136</x:v>
      </x:c>
      <x:c r="AT615" s="17" t="n">
        <x:f>IF(AND($A615&gt;='Control Room'!$A$13,$A615&lt;'Control Room'!$A$13+'Control Room'!$B$13,'Process'!BS2=1),1+('Control Room'!$C$13-1)*EXP(-0.5*(($A615-'Control Room'!$A$13-('Control Room'!$B$13-1)/2)/MAX(0.5,'Control Room'!$B$13/4))^2),1)*IF(AND($A615&gt;='Control Room'!$A$14,$A615&lt;'Control Room'!$A$14+'Control Room'!$B$14,'Process'!BS3=1),1+('Control Room'!$C$14-1)*EXP(-0.5*(($A615-'Control Room'!$A$14-('Control Room'!$B$14-1)/2)/MAX(0.5,'Control Room'!$B$14/4))^2),1)*IF(AND($A615&gt;='Control Room'!$A$15,$A615&lt;'Control Room'!$A$15+'Control Room'!$B$15,'Process'!BS4=1),1+('Control Room'!$C$15-1)*EXP(-0.5*(($A615-'Control Room'!$A$15-('Control Room'!$B$15-1)/2)/MAX(0.5,'Control Room'!$B$15/4))^2),1)*IF(AND($A615&gt;='Control Room'!$A$16,$A615&lt;'Control Room'!$A$16+'Control Room'!$B$16,'Process'!BS5=1),1+('Control Room'!$C$16-1)*EXP(-0.5*(($A615-'Control Room'!$A$16-('Control Room'!$B$16-1)/2)/MAX(0.5,'Control Room'!$B$16/4))^2),1)</x:f>
        <x:v>1</x:v>
      </x:c>
      <x:c r="AU615" s="9" t="n">
        <x:f>MOD(AV614*16807,2147483647)</x:f>
        <x:v>1801583844</x:v>
      </x:c>
      <x:c r="AV615" s="9" t="n">
        <x:f>MOD(AU615*16807,2147483647)</x:f>
        <x:v>1847727055</x:v>
      </x:c>
      <x:c r="AW615" s="17" t="n">
        <x:f>IF('Control Room'!$B$5="Normal",'Control Room'!$B$7+'Control Room'!$D$7*SQRT(-2*LN(MAX(0.000000000001,AU615/2147483647)))*COS(2*PI()*AV615/2147483647),'Control Room'!$B$8+('Control Room'!$D$8-'Control Room'!$B$8)*AU615/2147483647)</x:f>
        <x:v>1034.1075937566889</x:v>
      </x:c>
      <x:c r="AX615" s="17" t="n">
        <x:f>IF('Control Room'!$B$5="Normal",'Control Room'!$B$7,('Control Room'!$B$8+'Control Room'!$D$8)/2)+'Control Room'!$B$9*(AX614-IF('Control Room'!$B$5="Normal",'Control Room'!$B$7,('Control Room'!$B$8+'Control Room'!$D$8)/2))+SQRT(1-'Control Room'!$B$9^2)*(AW615-IF('Control Room'!$B$5="Normal",'Control Room'!$B$7,('Control Room'!$B$8+'Control Room'!$D$8)/2))</x:f>
        <x:v>1050.9784522883776</x:v>
      </x:c>
      <x:c r="AY615" s="17" t="n">
        <x:f>IF(AND($A615&gt;='Control Room'!$A$13,$A615&lt;'Control Room'!$A$13+'Control Room'!$B$13,'Process'!BT2=1),1+('Control Room'!$C$13-1)*EXP(-0.5*(($A615-'Control Room'!$A$13-('Control Room'!$B$13-1)/2)/MAX(0.5,'Control Room'!$B$13/4))^2),1)*IF(AND($A615&gt;='Control Room'!$A$14,$A615&lt;'Control Room'!$A$14+'Control Room'!$B$14,'Process'!BT3=1),1+('Control Room'!$C$14-1)*EXP(-0.5*(($A615-'Control Room'!$A$14-('Control Room'!$B$14-1)/2)/MAX(0.5,'Control Room'!$B$14/4))^2),1)*IF(AND($A615&gt;='Control Room'!$A$15,$A615&lt;'Control Room'!$A$15+'Control Room'!$B$15,'Process'!BT4=1),1+('Control Room'!$C$15-1)*EXP(-0.5*(($A615-'Control Room'!$A$15-('Control Room'!$B$15-1)/2)/MAX(0.5,'Control Room'!$B$15/4))^2),1)*IF(AND($A615&gt;='Control Room'!$A$16,$A615&lt;'Control Room'!$A$16+'Control Room'!$B$16,'Process'!BT5=1),1+('Control Room'!$C$16-1)*EXP(-0.5*(($A615-'Control Room'!$A$16-('Control Room'!$B$16-1)/2)/MAX(0.5,'Control Room'!$B$16/4))^2),1)</x:f>
        <x:v>1</x:v>
      </x:c>
      <x:c r="AZ615" s="9" t="n">
        <x:f>MOD(BA614*16807,2147483647)</x:f>
        <x:v>490660437</x:v>
      </x:c>
      <x:c r="BA615" s="9" t="n">
        <x:f>MOD(AZ615*16807,2147483647)</x:f>
        <x:v>192760179</x:v>
      </x:c>
      <x:c r="BB615" s="17" t="n">
        <x:f>IF('Control Room'!$B$5="Normal",'Control Room'!$B$7+'Control Room'!$D$7*SQRT(-2*LN(MAX(0.000000000001,AZ615/2147483647)))*COS(2*PI()*BA615/2147483647),'Control Room'!$B$8+('Control Room'!$D$8-'Control Room'!$B$8)*AZ615/2147483647)</x:f>
        <x:v>1130.6980793190617</x:v>
      </x:c>
      <x:c r="BC615" s="17" t="n">
        <x:f>IF('Control Room'!$B$5="Normal",'Control Room'!$B$7,('Control Room'!$B$8+'Control Room'!$D$8)/2)+'Control Room'!$B$9*(BC614-IF('Control Room'!$B$5="Normal",'Control Room'!$B$7,('Control Room'!$B$8+'Control Room'!$D$8)/2))+SQRT(1-'Control Room'!$B$9^2)*(BB615-IF('Control Room'!$B$5="Normal",'Control Room'!$B$7,('Control Room'!$B$8+'Control Room'!$D$8)/2))</x:f>
        <x:v>1093.5660566610886</x:v>
      </x:c>
      <x:c r="BD615" s="17" t="n">
        <x:f>IF(AND($A615&gt;='Control Room'!$A$13,$A615&lt;'Control Room'!$A$13+'Control Room'!$B$13,'Process'!BU2=1),1+('Control Room'!$C$13-1)*EXP(-0.5*(($A615-'Control Room'!$A$13-('Control Room'!$B$13-1)/2)/MAX(0.5,'Control Room'!$B$13/4))^2),1)*IF(AND($A615&gt;='Control Room'!$A$14,$A615&lt;'Control Room'!$A$14+'Control Room'!$B$14,'Process'!BU3=1),1+('Control Room'!$C$14-1)*EXP(-0.5*(($A615-'Control Room'!$A$14-('Control Room'!$B$14-1)/2)/MAX(0.5,'Control Room'!$B$14/4))^2),1)*IF(AND($A615&gt;='Control Room'!$A$15,$A615&lt;'Control Room'!$A$15+'Control Room'!$B$15,'Process'!BU4=1),1+('Control Room'!$C$15-1)*EXP(-0.5*(($A615-'Control Room'!$A$15-('Control Room'!$B$15-1)/2)/MAX(0.5,'Control Room'!$B$15/4))^2),1)*IF(AND($A615&gt;='Control Room'!$A$16,$A615&lt;'Control Room'!$A$16+'Control Room'!$B$16,'Process'!BU5=1),1+('Control Room'!$C$16-1)*EXP(-0.5*(($A615-'Control Room'!$A$16-('Control Room'!$B$16-1)/2)/MAX(0.5,'Control Room'!$B$16/4))^2),1)</x:f>
        <x:v>1</x:v>
      </x:c>
      <x:c r="BE615" s="9" t="n">
        <x:f>MOD(BF614*16807,2147483647)</x:f>
        <x:v>1327220677</x:v>
      </x:c>
      <x:c r="BF615" s="9" t="n">
        <x:f>MOD(BE615*16807,2147483647)</x:f>
        <x:v>685276950</x:v>
      </x:c>
      <x:c r="BG615" s="17" t="n">
        <x:f>IF('Control Room'!$B$5="Normal",'Control Room'!$B$7+'Control Room'!$D$7*SQRT(-2*LN(MAX(0.000000000001,BE615/2147483647)))*COS(2*PI()*BF615/2147483647),'Control Room'!$B$8+('Control Room'!$D$8-'Control Room'!$B$8)*BE615/2147483647)</x:f>
        <x:v>962.8556724370244</x:v>
      </x:c>
      <x:c r="BH615" s="17" t="n">
        <x:f>IF('Control Room'!$B$5="Normal",'Control Room'!$B$7,('Control Room'!$B$8+'Control Room'!$D$8)/2)+'Control Room'!$B$9*(BH614-IF('Control Room'!$B$5="Normal",'Control Room'!$B$7,('Control Room'!$B$8+'Control Room'!$D$8)/2))+SQRT(1-'Control Room'!$B$9^2)*(BG615-IF('Control Room'!$B$5="Normal",'Control Room'!$B$7,('Control Room'!$B$8+'Control Room'!$D$8)/2))</x:f>
        <x:v>1072.585730838445</x:v>
      </x:c>
      <x:c r="BI615" s="17" t="n">
        <x:f>IF(AND($A615&gt;='Control Room'!$A$13,$A615&lt;'Control Room'!$A$13+'Control Room'!$B$13,'Process'!BV2=1),1+('Control Room'!$C$13-1)*EXP(-0.5*(($A615-'Control Room'!$A$13-('Control Room'!$B$13-1)/2)/MAX(0.5,'Control Room'!$B$13/4))^2),1)*IF(AND($A615&gt;='Control Room'!$A$14,$A615&lt;'Control Room'!$A$14+'Control Room'!$B$14,'Process'!BV3=1),1+('Control Room'!$C$14-1)*EXP(-0.5*(($A615-'Control Room'!$A$14-('Control Room'!$B$14-1)/2)/MAX(0.5,'Control Room'!$B$14/4))^2),1)*IF(AND($A615&gt;='Control Room'!$A$15,$A615&lt;'Control Room'!$A$15+'Control Room'!$B$15,'Process'!BV4=1),1+('Control Room'!$C$15-1)*EXP(-0.5*(($A615-'Control Room'!$A$15-('Control Room'!$B$15-1)/2)/MAX(0.5,'Control Room'!$B$15/4))^2),1)*IF(AND($A615&gt;='Control Room'!$A$16,$A615&lt;'Control Room'!$A$16+'Control Room'!$B$16,'Process'!BV5=1),1+('Control Room'!$C$16-1)*EXP(-0.5*(($A615-'Control Room'!$A$16-('Control Room'!$B$16-1)/2)/MAX(0.5,'Control Room'!$B$16/4))^2),1)</x:f>
        <x:v>1</x:v>
      </x:c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Z615" t="str">
        <x:f>IF('Data'!A615="","",TEXT('Data'!A615,"mm-dd"))</x:f>
      </x:c>
    </x:row>
    <x:row r="616" ht="21" customHeight="1">
      <x:c r="A616" s="15" t="n">
        <x:f>'Control Room'!$B$1+614</x:f>
        <x:v>73605</x:v>
      </x:c>
      <x:c r="B616" s="9" t="n">
        <x:f>MOD(C615*16807,2147483647)</x:f>
        <x:v>925944069</x:v>
      </x:c>
      <x:c r="C616" s="9" t="n">
        <x:f>MOD(B616*16807,2147483647)</x:f>
        <x:v>1675461521</x:v>
      </x:c>
      <x:c r="D616" s="17" t="n">
        <x:f>IF('Control Room'!$B$5="Normal",'Control Room'!$B$7+'Control Room'!$D$7*SQRT(-2*LN(MAX(0.000000000001,B616/2147483647)))*COS(2*PI()*C616/2147483647),'Control Room'!$B$8+('Control Room'!$D$8-'Control Room'!$B$8)*B616/2147483647)</x:f>
        <x:v>1022.0170913904609</x:v>
      </x:c>
      <x:c r="E616" s="17" t="n">
        <x:f>IF('Control Room'!$B$5="Normal",'Control Room'!$B$7,('Control Room'!$B$8+'Control Room'!$D$8)/2)+'Control Room'!$B$9*(E615-IF('Control Room'!$B$5="Normal",'Control Room'!$B$7,('Control Room'!$B$8+'Control Room'!$D$8)/2))+SQRT(1-'Control Room'!$B$9^2)*(D616-IF('Control Room'!$B$5="Normal",'Control Room'!$B$7,('Control Room'!$B$8+'Control Room'!$D$8)/2))</x:f>
        <x:v>1104.2883277842536</x:v>
      </x:c>
      <x:c r="F616" s="17" t="n">
        <x:f>IF(AND($A616&gt;='Control Room'!$A$13,$A616&lt;'Control Room'!$A$13+'Control Room'!$B$13,'Process'!BK2=1),1+('Control Room'!$C$13-1)*EXP(-0.5*(($A616-'Control Room'!$A$13-('Control Room'!$B$13-1)/2)/MAX(0.5,'Control Room'!$B$13/4))^2),1)*IF(AND($A616&gt;='Control Room'!$A$14,$A616&lt;'Control Room'!$A$14+'Control Room'!$B$14,'Process'!BK3=1),1+('Control Room'!$C$14-1)*EXP(-0.5*(($A616-'Control Room'!$A$14-('Control Room'!$B$14-1)/2)/MAX(0.5,'Control Room'!$B$14/4))^2),1)*IF(AND($A616&gt;='Control Room'!$A$15,$A616&lt;'Control Room'!$A$15+'Control Room'!$B$15,'Process'!BK4=1),1+('Control Room'!$C$15-1)*EXP(-0.5*(($A616-'Control Room'!$A$15-('Control Room'!$B$15-1)/2)/MAX(0.5,'Control Room'!$B$15/4))^2),1)*IF(AND($A616&gt;='Control Room'!$A$16,$A616&lt;'Control Room'!$A$16+'Control Room'!$B$16,'Process'!BK5=1),1+('Control Room'!$C$16-1)*EXP(-0.5*(($A616-'Control Room'!$A$16-('Control Room'!$B$16-1)/2)/MAX(0.5,'Control Room'!$B$16/4))^2),1)</x:f>
        <x:v>1</x:v>
      </x:c>
      <x:c r="G616" s="9" t="n">
        <x:f>MOD(H615*16807,2147483647)</x:f>
        <x:v>105855081</x:v>
      </x:c>
      <x:c r="H616" s="9" t="n">
        <x:f>MOD(G616*16807,2147483647)</x:f>
        <x:v>989886651</x:v>
      </x:c>
      <x:c r="I616" s="17" t="n">
        <x:f>IF('Control Room'!$B$5="Normal",'Control Room'!$B$7+'Control Room'!$D$7*SQRT(-2*LN(MAX(0.000000000001,G616/2147483647)))*COS(2*PI()*H616/2147483647),'Control Room'!$B$8+('Control Room'!$D$8-'Control Room'!$B$8)*G616/2147483647)</x:f>
        <x:v>785.7923632946877</x:v>
      </x:c>
      <x:c r="J616" s="17" t="n">
        <x:f>IF('Control Room'!$B$5="Normal",'Control Room'!$B$7,('Control Room'!$B$8+'Control Room'!$D$8)/2)+'Control Room'!$B$9*(J615-IF('Control Room'!$B$5="Normal",'Control Room'!$B$7,('Control Room'!$B$8+'Control Room'!$D$8)/2))+SQRT(1-'Control Room'!$B$9^2)*(I616-IF('Control Room'!$B$5="Normal",'Control Room'!$B$7,('Control Room'!$B$8+'Control Room'!$D$8)/2))</x:f>
        <x:v>940.5926058388557</x:v>
      </x:c>
      <x:c r="K616" s="17" t="n">
        <x:f>IF(AND($A616&gt;='Control Room'!$A$13,$A616&lt;'Control Room'!$A$13+'Control Room'!$B$13,'Process'!BL2=1),1+('Control Room'!$C$13-1)*EXP(-0.5*(($A616-'Control Room'!$A$13-('Control Room'!$B$13-1)/2)/MAX(0.5,'Control Room'!$B$13/4))^2),1)*IF(AND($A616&gt;='Control Room'!$A$14,$A616&lt;'Control Room'!$A$14+'Control Room'!$B$14,'Process'!BL3=1),1+('Control Room'!$C$14-1)*EXP(-0.5*(($A616-'Control Room'!$A$14-('Control Room'!$B$14-1)/2)/MAX(0.5,'Control Room'!$B$14/4))^2),1)*IF(AND($A616&gt;='Control Room'!$A$15,$A616&lt;'Control Room'!$A$15+'Control Room'!$B$15,'Process'!BL4=1),1+('Control Room'!$C$15-1)*EXP(-0.5*(($A616-'Control Room'!$A$15-('Control Room'!$B$15-1)/2)/MAX(0.5,'Control Room'!$B$15/4))^2),1)*IF(AND($A616&gt;='Control Room'!$A$16,$A616&lt;'Control Room'!$A$16+'Control Room'!$B$16,'Process'!BL5=1),1+('Control Room'!$C$16-1)*EXP(-0.5*(($A616-'Control Room'!$A$16-('Control Room'!$B$16-1)/2)/MAX(0.5,'Control Room'!$B$16/4))^2),1)</x:f>
        <x:v>1</x:v>
      </x:c>
      <x:c r="L616" s="9" t="n">
        <x:f>MOD(M615*16807,2147483647)</x:f>
        <x:v>1433249740</x:v>
      </x:c>
      <x:c r="M616" s="9" t="n">
        <x:f>MOD(L616*16807,2147483647)</x:f>
        <x:v>304311781</x:v>
      </x:c>
      <x:c r="N616" s="17" t="n">
        <x:f>IF('Control Room'!$B$5="Normal",'Control Room'!$B$7+'Control Room'!$D$7*SQRT(-2*LN(MAX(0.000000000001,L616/2147483647)))*COS(2*PI()*M616/2147483647),'Control Room'!$B$8+('Control Room'!$D$8-'Control Room'!$B$8)*L616/2147483647)</x:f>
        <x:v>1050.9185458623592</x:v>
      </x:c>
      <x:c r="O616" s="17" t="n">
        <x:f>IF('Control Room'!$B$5="Normal",'Control Room'!$B$7,('Control Room'!$B$8+'Control Room'!$D$8)/2)+'Control Room'!$B$9*(O615-IF('Control Room'!$B$5="Normal",'Control Room'!$B$7,('Control Room'!$B$8+'Control Room'!$D$8)/2))+SQRT(1-'Control Room'!$B$9^2)*(N616-IF('Control Room'!$B$5="Normal",'Control Room'!$B$7,('Control Room'!$B$8+'Control Room'!$D$8)/2))</x:f>
        <x:v>988.1184296000147</x:v>
      </x:c>
      <x:c r="P616" s="17" t="n">
        <x:f>IF(AND($A616&gt;='Control Room'!$A$13,$A616&lt;'Control Room'!$A$13+'Control Room'!$B$13,'Process'!BM2=1),1+('Control Room'!$C$13-1)*EXP(-0.5*(($A616-'Control Room'!$A$13-('Control Room'!$B$13-1)/2)/MAX(0.5,'Control Room'!$B$13/4))^2),1)*IF(AND($A616&gt;='Control Room'!$A$14,$A616&lt;'Control Room'!$A$14+'Control Room'!$B$14,'Process'!BM3=1),1+('Control Room'!$C$14-1)*EXP(-0.5*(($A616-'Control Room'!$A$14-('Control Room'!$B$14-1)/2)/MAX(0.5,'Control Room'!$B$14/4))^2),1)*IF(AND($A616&gt;='Control Room'!$A$15,$A616&lt;'Control Room'!$A$15+'Control Room'!$B$15,'Process'!BM4=1),1+('Control Room'!$C$15-1)*EXP(-0.5*(($A616-'Control Room'!$A$15-('Control Room'!$B$15-1)/2)/MAX(0.5,'Control Room'!$B$15/4))^2),1)*IF(AND($A616&gt;='Control Room'!$A$16,$A616&lt;'Control Room'!$A$16+'Control Room'!$B$16,'Process'!BM5=1),1+('Control Room'!$C$16-1)*EXP(-0.5*(($A616-'Control Room'!$A$16-('Control Room'!$B$16-1)/2)/MAX(0.5,'Control Room'!$B$16/4))^2),1)</x:f>
        <x:v>1</x:v>
      </x:c>
      <x:c r="Q616" s="9" t="n">
        <x:f>MOD(R615*16807,2147483647)</x:f>
        <x:v>613160752</x:v>
      </x:c>
      <x:c r="R616" s="9" t="n">
        <x:f>MOD(Q616*16807,2147483647)</x:f>
        <x:v>1766220558</x:v>
      </x:c>
      <x:c r="S616" s="17" t="n">
        <x:f>IF('Control Room'!$B$5="Normal",'Control Room'!$B$7+'Control Room'!$D$7*SQRT(-2*LN(MAX(0.000000000001,Q616/2147483647)))*COS(2*PI()*R616/2147483647),'Control Room'!$B$8+('Control Room'!$D$8-'Control Room'!$B$8)*Q616/2147483647)</x:f>
        <x:v>1062.6584183128007</x:v>
      </x:c>
      <x:c r="T616" s="17" t="n">
        <x:f>IF('Control Room'!$B$5="Normal",'Control Room'!$B$7,('Control Room'!$B$8+'Control Room'!$D$8)/2)+'Control Room'!$B$9*(T615-IF('Control Room'!$B$5="Normal",'Control Room'!$B$7,('Control Room'!$B$8+'Control Room'!$D$8)/2))+SQRT(1-'Control Room'!$B$9^2)*(S616-IF('Control Room'!$B$5="Normal",'Control Room'!$B$7,('Control Room'!$B$8+'Control Room'!$D$8)/2))</x:f>
        <x:v>1072.857943233778</x:v>
      </x:c>
      <x:c r="U616" s="17" t="n">
        <x:f>IF(AND($A616&gt;='Control Room'!$A$13,$A616&lt;'Control Room'!$A$13+'Control Room'!$B$13,'Process'!BN2=1),1+('Control Room'!$C$13-1)*EXP(-0.5*(($A616-'Control Room'!$A$13-('Control Room'!$B$13-1)/2)/MAX(0.5,'Control Room'!$B$13/4))^2),1)*IF(AND($A616&gt;='Control Room'!$A$14,$A616&lt;'Control Room'!$A$14+'Control Room'!$B$14,'Process'!BN3=1),1+('Control Room'!$C$14-1)*EXP(-0.5*(($A616-'Control Room'!$A$14-('Control Room'!$B$14-1)/2)/MAX(0.5,'Control Room'!$B$14/4))^2),1)*IF(AND($A616&gt;='Control Room'!$A$15,$A616&lt;'Control Room'!$A$15+'Control Room'!$B$15,'Process'!BN4=1),1+('Control Room'!$C$15-1)*EXP(-0.5*(($A616-'Control Room'!$A$15-('Control Room'!$B$15-1)/2)/MAX(0.5,'Control Room'!$B$15/4))^2),1)*IF(AND($A616&gt;='Control Room'!$A$16,$A616&lt;'Control Room'!$A$16+'Control Room'!$B$16,'Process'!BN5=1),1+('Control Room'!$C$16-1)*EXP(-0.5*(($A616-'Control Room'!$A$16-('Control Room'!$B$16-1)/2)/MAX(0.5,'Control Room'!$B$16/4))^2),1)</x:f>
        <x:v>1</x:v>
      </x:c>
      <x:c r="V616" s="9" t="n">
        <x:f>MOD(W615*16807,2147483647)</x:f>
        <x:v>1940555411</x:v>
      </x:c>
      <x:c r="W616" s="9" t="n">
        <x:f>MOD(V616*16807,2147483647)</x:f>
        <x:v>1080645688</x:v>
      </x:c>
      <x:c r="X616" s="17" t="n">
        <x:f>IF('Control Room'!$B$5="Normal",'Control Room'!$B$7+'Control Room'!$D$7*SQRT(-2*LN(MAX(0.000000000001,V616/2147483647)))*COS(2*PI()*W616/2147483647),'Control Room'!$B$8+('Control Room'!$D$8-'Control Room'!$B$8)*V616/2147483647)</x:f>
        <x:v>959.4937610354707</x:v>
      </x:c>
      <x:c r="Y616" s="17" t="n">
        <x:f>IF('Control Room'!$B$5="Normal",'Control Room'!$B$7,('Control Room'!$B$8+'Control Room'!$D$8)/2)+'Control Room'!$B$9*(Y615-IF('Control Room'!$B$5="Normal",'Control Room'!$B$7,('Control Room'!$B$8+'Control Room'!$D$8)/2))+SQRT(1-'Control Room'!$B$9^2)*(X616-IF('Control Room'!$B$5="Normal",'Control Room'!$B$7,('Control Room'!$B$8+'Control Room'!$D$8)/2))</x:f>
        <x:v>911.3868403418033</x:v>
      </x:c>
      <x:c r="Z616" s="17" t="n">
        <x:f>IF(AND($A616&gt;='Control Room'!$A$13,$A616&lt;'Control Room'!$A$13+'Control Room'!$B$13,'Process'!BO2=1),1+('Control Room'!$C$13-1)*EXP(-0.5*(($A616-'Control Room'!$A$13-('Control Room'!$B$13-1)/2)/MAX(0.5,'Control Room'!$B$13/4))^2),1)*IF(AND($A616&gt;='Control Room'!$A$14,$A616&lt;'Control Room'!$A$14+'Control Room'!$B$14,'Process'!BO3=1),1+('Control Room'!$C$14-1)*EXP(-0.5*(($A616-'Control Room'!$A$14-('Control Room'!$B$14-1)/2)/MAX(0.5,'Control Room'!$B$14/4))^2),1)*IF(AND($A616&gt;='Control Room'!$A$15,$A616&lt;'Control Room'!$A$15+'Control Room'!$B$15,'Process'!BO4=1),1+('Control Room'!$C$15-1)*EXP(-0.5*(($A616-'Control Room'!$A$15-('Control Room'!$B$15-1)/2)/MAX(0.5,'Control Room'!$B$15/4))^2),1)*IF(AND($A616&gt;='Control Room'!$A$16,$A616&lt;'Control Room'!$A$16+'Control Room'!$B$16,'Process'!BO5=1),1+('Control Room'!$C$16-1)*EXP(-0.5*(($A616-'Control Room'!$A$16-('Control Room'!$B$16-1)/2)/MAX(0.5,'Control Room'!$B$16/4))^2),1)</x:f>
        <x:v>1</x:v>
      </x:c>
      <x:c r="AA616" s="9" t="n">
        <x:f>MOD(AB615*16807,2147483647)</x:f>
        <x:v>1120466423</x:v>
      </x:c>
      <x:c r="AB616" s="9" t="n">
        <x:f>MOD(AA616*16807,2147483647)</x:f>
        <x:v>395070818</x:v>
      </x:c>
      <x:c r="AC616" s="17" t="n">
        <x:f>IF('Control Room'!$B$5="Normal",'Control Room'!$B$7+'Control Room'!$D$7*SQRT(-2*LN(MAX(0.000000000001,AA616/2147483647)))*COS(2*PI()*AB616/2147483647),'Control Room'!$B$8+('Control Room'!$D$8-'Control Room'!$B$8)*AA616/2147483647)</x:f>
        <x:v>1041.3802947404167</x:v>
      </x:c>
      <x:c r="AD616" s="17" t="n">
        <x:f>IF('Control Room'!$B$5="Normal",'Control Room'!$B$7,('Control Room'!$B$8+'Control Room'!$D$8)/2)+'Control Room'!$B$9*(AD615-IF('Control Room'!$B$5="Normal",'Control Room'!$B$7,('Control Room'!$B$8+'Control Room'!$D$8)/2))+SQRT(1-'Control Room'!$B$9^2)*(AC616-IF('Control Room'!$B$5="Normal",'Control Room'!$B$7,('Control Room'!$B$8+'Control Room'!$D$8)/2))</x:f>
        <x:v>1013.7949380340403</x:v>
      </x:c>
      <x:c r="AE616" s="17" t="n">
        <x:f>IF(AND($A616&gt;='Control Room'!$A$13,$A616&lt;'Control Room'!$A$13+'Control Room'!$B$13,'Process'!BP2=1),1+('Control Room'!$C$13-1)*EXP(-0.5*(($A616-'Control Room'!$A$13-('Control Room'!$B$13-1)/2)/MAX(0.5,'Control Room'!$B$13/4))^2),1)*IF(AND($A616&gt;='Control Room'!$A$14,$A616&lt;'Control Room'!$A$14+'Control Room'!$B$14,'Process'!BP3=1),1+('Control Room'!$C$14-1)*EXP(-0.5*(($A616-'Control Room'!$A$14-('Control Room'!$B$14-1)/2)/MAX(0.5,'Control Room'!$B$14/4))^2),1)*IF(AND($A616&gt;='Control Room'!$A$15,$A616&lt;'Control Room'!$A$15+'Control Room'!$B$15,'Process'!BP4=1),1+('Control Room'!$C$15-1)*EXP(-0.5*(($A616-'Control Room'!$A$15-('Control Room'!$B$15-1)/2)/MAX(0.5,'Control Room'!$B$15/4))^2),1)*IF(AND($A616&gt;='Control Room'!$A$16,$A616&lt;'Control Room'!$A$16+'Control Room'!$B$16,'Process'!BP5=1),1+('Control Room'!$C$16-1)*EXP(-0.5*(($A616-'Control Room'!$A$16-('Control Room'!$B$16-1)/2)/MAX(0.5,'Control Room'!$B$16/4))^2),1)</x:f>
        <x:v>1</x:v>
      </x:c>
      <x:c r="AF616" s="9" t="n">
        <x:f>MOD(AG615*16807,2147483647)</x:f>
        <x:v>300377435</x:v>
      </x:c>
      <x:c r="AG616" s="9" t="n">
        <x:f>MOD(AF616*16807,2147483647)</x:f>
        <x:v>1856979595</x:v>
      </x:c>
      <x:c r="AH616" s="17" t="n">
        <x:f>IF('Control Room'!$B$5="Normal",'Control Room'!$B$7+'Control Room'!$D$7*SQRT(-2*LN(MAX(0.000000000001,AF616/2147483647)))*COS(2*PI()*AG616/2147483647),'Control Room'!$B$8+('Control Room'!$D$8-'Control Room'!$B$8)*AF616/2147483647)</x:f>
        <x:v>1117.8175720094139</x:v>
      </x:c>
      <x:c r="AI616" s="17" t="n">
        <x:f>IF('Control Room'!$B$5="Normal",'Control Room'!$B$7,('Control Room'!$B$8+'Control Room'!$D$8)/2)+'Control Room'!$B$9*(AI615-IF('Control Room'!$B$5="Normal",'Control Room'!$B$7,('Control Room'!$B$8+'Control Room'!$D$8)/2))+SQRT(1-'Control Room'!$B$9^2)*(AH616-IF('Control Room'!$B$5="Normal",'Control Room'!$B$7,('Control Room'!$B$8+'Control Room'!$D$8)/2))</x:f>
        <x:v>1048.2837105456033</x:v>
      </x:c>
      <x:c r="AJ616" s="17" t="n">
        <x:f>IF(AND($A616&gt;='Control Room'!$A$13,$A616&lt;'Control Room'!$A$13+'Control Room'!$B$13,'Process'!BQ2=1),1+('Control Room'!$C$13-1)*EXP(-0.5*(($A616-'Control Room'!$A$13-('Control Room'!$B$13-1)/2)/MAX(0.5,'Control Room'!$B$13/4))^2),1)*IF(AND($A616&gt;='Control Room'!$A$14,$A616&lt;'Control Room'!$A$14+'Control Room'!$B$14,'Process'!BQ3=1),1+('Control Room'!$C$14-1)*EXP(-0.5*(($A616-'Control Room'!$A$14-('Control Room'!$B$14-1)/2)/MAX(0.5,'Control Room'!$B$14/4))^2),1)*IF(AND($A616&gt;='Control Room'!$A$15,$A616&lt;'Control Room'!$A$15+'Control Room'!$B$15,'Process'!BQ4=1),1+('Control Room'!$C$15-1)*EXP(-0.5*(($A616-'Control Room'!$A$15-('Control Room'!$B$15-1)/2)/MAX(0.5,'Control Room'!$B$15/4))^2),1)*IF(AND($A616&gt;='Control Room'!$A$16,$A616&lt;'Control Room'!$A$16+'Control Room'!$B$16,'Process'!BQ5=1),1+('Control Room'!$C$16-1)*EXP(-0.5*(($A616-'Control Room'!$A$16-('Control Room'!$B$16-1)/2)/MAX(0.5,'Control Room'!$B$16/4))^2),1)</x:f>
        <x:v>1</x:v>
      </x:c>
      <x:c r="AK616" s="9" t="n">
        <x:f>MOD(AL615*16807,2147483647)</x:f>
        <x:v>1627772094</x:v>
      </x:c>
      <x:c r="AL616" s="9" t="n">
        <x:f>MOD(AK616*16807,2147483647)</x:f>
        <x:v>1171404725</x:v>
      </x:c>
      <x:c r="AM616" s="17" t="n">
        <x:f>IF('Control Room'!$B$5="Normal",'Control Room'!$B$7+'Control Room'!$D$7*SQRT(-2*LN(MAX(0.000000000001,AK616/2147483647)))*COS(2*PI()*AL616/2147483647),'Control Room'!$B$8+('Control Room'!$D$8-'Control Room'!$B$8)*AK616/2147483647)</x:f>
        <x:v>935.7183888028036</x:v>
      </x:c>
      <x:c r="AN616" s="17" t="n">
        <x:f>IF('Control Room'!$B$5="Normal",'Control Room'!$B$7,('Control Room'!$B$8+'Control Room'!$D$8)/2)+'Control Room'!$B$9*(AN615-IF('Control Room'!$B$5="Normal",'Control Room'!$B$7,('Control Room'!$B$8+'Control Room'!$D$8)/2))+SQRT(1-'Control Room'!$B$9^2)*(AM616-IF('Control Room'!$B$5="Normal",'Control Room'!$B$7,('Control Room'!$B$8+'Control Room'!$D$8)/2))</x:f>
        <x:v>1004.4927714875777</x:v>
      </x:c>
      <x:c r="AO616" s="17" t="n">
        <x:f>IF(AND($A616&gt;='Control Room'!$A$13,$A616&lt;'Control Room'!$A$13+'Control Room'!$B$13,'Process'!BR2=1),1+('Control Room'!$C$13-1)*EXP(-0.5*(($A616-'Control Room'!$A$13-('Control Room'!$B$13-1)/2)/MAX(0.5,'Control Room'!$B$13/4))^2),1)*IF(AND($A616&gt;='Control Room'!$A$14,$A616&lt;'Control Room'!$A$14+'Control Room'!$B$14,'Process'!BR3=1),1+('Control Room'!$C$14-1)*EXP(-0.5*(($A616-'Control Room'!$A$14-('Control Room'!$B$14-1)/2)/MAX(0.5,'Control Room'!$B$14/4))^2),1)*IF(AND($A616&gt;='Control Room'!$A$15,$A616&lt;'Control Room'!$A$15+'Control Room'!$B$15,'Process'!BR4=1),1+('Control Room'!$C$15-1)*EXP(-0.5*(($A616-'Control Room'!$A$15-('Control Room'!$B$15-1)/2)/MAX(0.5,'Control Room'!$B$15/4))^2),1)*IF(AND($A616&gt;='Control Room'!$A$16,$A616&lt;'Control Room'!$A$16+'Control Room'!$B$16,'Process'!BR5=1),1+('Control Room'!$C$16-1)*EXP(-0.5*(($A616-'Control Room'!$A$16-('Control Room'!$B$16-1)/2)/MAX(0.5,'Control Room'!$B$16/4))^2),1)</x:f>
        <x:v>1</x:v>
      </x:c>
      <x:c r="AP616" s="9" t="n">
        <x:f>MOD(AQ615*16807,2147483647)</x:f>
        <x:v>807683106</x:v>
      </x:c>
      <x:c r="AQ616" s="9" t="n">
        <x:f>MOD(AP616*16807,2147483647)</x:f>
        <x:v>485829855</x:v>
      </x:c>
      <x:c r="AR616" s="17" t="n">
        <x:f>IF('Control Room'!$B$5="Normal",'Control Room'!$B$7+'Control Room'!$D$7*SQRT(-2*LN(MAX(0.000000000001,AP616/2147483647)))*COS(2*PI()*AQ616/2147483647),'Control Room'!$B$8+('Control Room'!$D$8-'Control Room'!$B$8)*AP616/2147483647)</x:f>
        <x:v>1018.7264300304764</x:v>
      </x:c>
      <x:c r="AS616" s="17" t="n">
        <x:f>IF('Control Room'!$B$5="Normal",'Control Room'!$B$7,('Control Room'!$B$8+'Control Room'!$D$8)/2)+'Control Room'!$B$9*(AS615-IF('Control Room'!$B$5="Normal",'Control Room'!$B$7,('Control Room'!$B$8+'Control Room'!$D$8)/2))+SQRT(1-'Control Room'!$B$9^2)*(AR616-IF('Control Room'!$B$5="Normal",'Control Room'!$B$7,('Control Room'!$B$8+'Control Room'!$D$8)/2))</x:f>
        <x:v>924.6956021468912</x:v>
      </x:c>
      <x:c r="AT616" s="17" t="n">
        <x:f>IF(AND($A616&gt;='Control Room'!$A$13,$A616&lt;'Control Room'!$A$13+'Control Room'!$B$13,'Process'!BS2=1),1+('Control Room'!$C$13-1)*EXP(-0.5*(($A616-'Control Room'!$A$13-('Control Room'!$B$13-1)/2)/MAX(0.5,'Control Room'!$B$13/4))^2),1)*IF(AND($A616&gt;='Control Room'!$A$14,$A616&lt;'Control Room'!$A$14+'Control Room'!$B$14,'Process'!BS3=1),1+('Control Room'!$C$14-1)*EXP(-0.5*(($A616-'Control Room'!$A$14-('Control Room'!$B$14-1)/2)/MAX(0.5,'Control Room'!$B$14/4))^2),1)*IF(AND($A616&gt;='Control Room'!$A$15,$A616&lt;'Control Room'!$A$15+'Control Room'!$B$15,'Process'!BS4=1),1+('Control Room'!$C$15-1)*EXP(-0.5*(($A616-'Control Room'!$A$15-('Control Room'!$B$15-1)/2)/MAX(0.5,'Control Room'!$B$15/4))^2),1)*IF(AND($A616&gt;='Control Room'!$A$16,$A616&lt;'Control Room'!$A$16+'Control Room'!$B$16,'Process'!BS5=1),1+('Control Room'!$C$16-1)*EXP(-0.5*(($A616-'Control Room'!$A$16-('Control Room'!$B$16-1)/2)/MAX(0.5,'Control Room'!$B$16/4))^2),1)</x:f>
        <x:v>1</x:v>
      </x:c>
      <x:c r="AU616" s="9" t="n">
        <x:f>MOD(AV615*16807,2147483647)</x:f>
        <x:v>2135077765</x:v>
      </x:c>
      <x:c r="AV616" s="9" t="n">
        <x:f>MOD(AU616*16807,2147483647)</x:f>
        <x:v>1947738632</x:v>
      </x:c>
      <x:c r="AW616" s="17" t="n">
        <x:f>IF('Control Room'!$B$5="Normal",'Control Room'!$B$7+'Control Room'!$D$7*SQRT(-2*LN(MAX(0.000000000001,AU616/2147483647)))*COS(2*PI()*AV616/2147483647),'Control Room'!$B$8+('Control Room'!$D$8-'Control Room'!$B$8)*AU616/2147483647)</x:f>
        <x:v>1008.0801165219482</x:v>
      </x:c>
      <x:c r="AX616" s="17" t="n">
        <x:f>IF('Control Room'!$B$5="Normal",'Control Room'!$B$7,('Control Room'!$B$8+'Control Room'!$D$8)/2)+'Control Room'!$B$9*(AX615-IF('Control Room'!$B$5="Normal",'Control Room'!$B$7,('Control Room'!$B$8+'Control Room'!$D$8)/2))+SQRT(1-'Control Room'!$B$9^2)*(AW616-IF('Control Room'!$B$5="Normal",'Control Room'!$B$7,('Control Room'!$B$8+'Control Room'!$D$8)/2))</x:f>
        <x:v>1044.8195641741854</x:v>
      </x:c>
      <x:c r="AY616" s="17" t="n">
        <x:f>IF(AND($A616&gt;='Control Room'!$A$13,$A616&lt;'Control Room'!$A$13+'Control Room'!$B$13,'Process'!BT2=1),1+('Control Room'!$C$13-1)*EXP(-0.5*(($A616-'Control Room'!$A$13-('Control Room'!$B$13-1)/2)/MAX(0.5,'Control Room'!$B$13/4))^2),1)*IF(AND($A616&gt;='Control Room'!$A$14,$A616&lt;'Control Room'!$A$14+'Control Room'!$B$14,'Process'!BT3=1),1+('Control Room'!$C$14-1)*EXP(-0.5*(($A616-'Control Room'!$A$14-('Control Room'!$B$14-1)/2)/MAX(0.5,'Control Room'!$B$14/4))^2),1)*IF(AND($A616&gt;='Control Room'!$A$15,$A616&lt;'Control Room'!$A$15+'Control Room'!$B$15,'Process'!BT4=1),1+('Control Room'!$C$15-1)*EXP(-0.5*(($A616-'Control Room'!$A$15-('Control Room'!$B$15-1)/2)/MAX(0.5,'Control Room'!$B$15/4))^2),1)*IF(AND($A616&gt;='Control Room'!$A$16,$A616&lt;'Control Room'!$A$16+'Control Room'!$B$16,'Process'!BT5=1),1+('Control Room'!$C$16-1)*EXP(-0.5*(($A616-'Control Room'!$A$16-('Control Room'!$B$16-1)/2)/MAX(0.5,'Control Room'!$B$16/4))^2),1)</x:f>
        <x:v>1</x:v>
      </x:c>
      <x:c r="AZ616" s="9" t="n">
        <x:f>MOD(BA615*16807,2147483647)</x:f>
        <x:v>1314988777</x:v>
      </x:c>
      <x:c r="BA616" s="9" t="n">
        <x:f>MOD(AZ616*16807,2147483647)</x:f>
        <x:v>1262163762</x:v>
      </x:c>
      <x:c r="BB616" s="17" t="n">
        <x:f>IF('Control Room'!$B$5="Normal",'Control Room'!$B$7+'Control Room'!$D$7*SQRT(-2*LN(MAX(0.000000000001,AZ616/2147483647)))*COS(2*PI()*BA616/2147483647),'Control Room'!$B$8+('Control Room'!$D$8-'Control Room'!$B$8)*AZ616/2147483647)</x:f>
        <x:v>924.0678737003386</x:v>
      </x:c>
      <x:c r="BC616" s="17" t="n">
        <x:f>IF('Control Room'!$B$5="Normal",'Control Room'!$B$7,('Control Room'!$B$8+'Control Room'!$D$8)/2)+'Control Room'!$B$9*(BC615-IF('Control Room'!$B$5="Normal",'Control Room'!$B$7,('Control Room'!$B$8+'Control Room'!$D$8)/2))+SQRT(1-'Control Room'!$B$9^2)*(BB616-IF('Control Room'!$B$5="Normal",'Control Room'!$B$7,('Control Room'!$B$8+'Control Room'!$D$8)/2))</x:f>
        <x:v>1025.4647551114801</x:v>
      </x:c>
      <x:c r="BD616" s="17" t="n">
        <x:f>IF(AND($A616&gt;='Control Room'!$A$13,$A616&lt;'Control Room'!$A$13+'Control Room'!$B$13,'Process'!BU2=1),1+('Control Room'!$C$13-1)*EXP(-0.5*(($A616-'Control Room'!$A$13-('Control Room'!$B$13-1)/2)/MAX(0.5,'Control Room'!$B$13/4))^2),1)*IF(AND($A616&gt;='Control Room'!$A$14,$A616&lt;'Control Room'!$A$14+'Control Room'!$B$14,'Process'!BU3=1),1+('Control Room'!$C$14-1)*EXP(-0.5*(($A616-'Control Room'!$A$14-('Control Room'!$B$14-1)/2)/MAX(0.5,'Control Room'!$B$14/4))^2),1)*IF(AND($A616&gt;='Control Room'!$A$15,$A616&lt;'Control Room'!$A$15+'Control Room'!$B$15,'Process'!BU4=1),1+('Control Room'!$C$15-1)*EXP(-0.5*(($A616-'Control Room'!$A$15-('Control Room'!$B$15-1)/2)/MAX(0.5,'Control Room'!$B$15/4))^2),1)*IF(AND($A616&gt;='Control Room'!$A$16,$A616&lt;'Control Room'!$A$16+'Control Room'!$B$16,'Process'!BU5=1),1+('Control Room'!$C$16-1)*EXP(-0.5*(($A616-'Control Room'!$A$16-('Control Room'!$B$16-1)/2)/MAX(0.5,'Control Room'!$B$16/4))^2),1)</x:f>
        <x:v>1</x:v>
      </x:c>
      <x:c r="BE616" s="9" t="n">
        <x:f>MOD(BF615*16807,2147483647)</x:f>
        <x:v>494899789</x:v>
      </x:c>
      <x:c r="BF616" s="9" t="n">
        <x:f>MOD(BE616*16807,2147483647)</x:f>
        <x:v>576588892</x:v>
      </x:c>
      <x:c r="BG616" s="17" t="n">
        <x:f>IF('Control Room'!$B$5="Normal",'Control Room'!$B$7+'Control Room'!$D$7*SQRT(-2*LN(MAX(0.000000000001,BE616/2147483647)))*COS(2*PI()*BF616/2147483647),'Control Room'!$B$8+('Control Room'!$D$8-'Control Room'!$B$8)*BE616/2147483647)</x:f>
        <x:v>982.1213422083889</x:v>
      </x:c>
      <x:c r="BH616" s="17" t="n">
        <x:f>IF('Control Room'!$B$5="Normal",'Control Room'!$B$7,('Control Room'!$B$8+'Control Room'!$D$8)/2)+'Control Room'!$B$9*(BH615-IF('Control Room'!$B$5="Normal",'Control Room'!$B$7,('Control Room'!$B$8+'Control Room'!$D$8)/2))+SQRT(1-'Control Room'!$B$9^2)*(BG616-IF('Control Room'!$B$5="Normal",'Control Room'!$B$7,('Control Room'!$B$8+'Control Room'!$D$8)/2))</x:f>
        <x:v>1045.42877227221</x:v>
      </x:c>
      <x:c r="BI616" s="17" t="n">
        <x:f>IF(AND($A616&gt;='Control Room'!$A$13,$A616&lt;'Control Room'!$A$13+'Control Room'!$B$13,'Process'!BV2=1),1+('Control Room'!$C$13-1)*EXP(-0.5*(($A616-'Control Room'!$A$13-('Control Room'!$B$13-1)/2)/MAX(0.5,'Control Room'!$B$13/4))^2),1)*IF(AND($A616&gt;='Control Room'!$A$14,$A616&lt;'Control Room'!$A$14+'Control Room'!$B$14,'Process'!BV3=1),1+('Control Room'!$C$14-1)*EXP(-0.5*(($A616-'Control Room'!$A$14-('Control Room'!$B$14-1)/2)/MAX(0.5,'Control Room'!$B$14/4))^2),1)*IF(AND($A616&gt;='Control Room'!$A$15,$A616&lt;'Control Room'!$A$15+'Control Room'!$B$15,'Process'!BV4=1),1+('Control Room'!$C$15-1)*EXP(-0.5*(($A616-'Control Room'!$A$15-('Control Room'!$B$15-1)/2)/MAX(0.5,'Control Room'!$B$15/4))^2),1)*IF(AND($A616&gt;='Control Room'!$A$16,$A616&lt;'Control Room'!$A$16+'Control Room'!$B$16,'Process'!BV5=1),1+('Control Room'!$C$16-1)*EXP(-0.5*(($A616-'Control Room'!$A$16-('Control Room'!$B$16-1)/2)/MAX(0.5,'Control Room'!$B$16/4))^2),1)</x:f>
        <x:v>1</x:v>
      </x:c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Z616" t="str">
        <x:f>IF('Data'!A616="","",TEXT('Data'!A616,"mm-dd"))</x:f>
      </x:c>
    </x:row>
    <x:row r="617" ht="21" customHeight="1">
      <x:c r="A617" s="15" t="n">
        <x:f>'Control Room'!$B$1+615</x:f>
        <x:v>73606</x:v>
      </x:c>
      <x:c r="B617" s="9" t="n">
        <x:f>MOD(C616*16807,2147483647)</x:f>
        <x:v>1676203983</x:v>
      </x:c>
      <x:c r="C617" s="9" t="n">
        <x:f>MOD(B617*16807,2147483647)</x:f>
        <x:v>1269860935</x:v>
      </x:c>
      <x:c r="D617" s="17" t="n">
        <x:f>IF('Control Room'!$B$5="Normal",'Control Room'!$B$7+'Control Room'!$D$7*SQRT(-2*LN(MAX(0.000000000001,B617/2147483647)))*COS(2*PI()*C617/2147483647),'Control Room'!$B$8+('Control Room'!$D$8-'Control Room'!$B$8)*B617/2147483647)</x:f>
        <x:v>946.7925020332578</x:v>
      </x:c>
      <x:c r="E617" s="17" t="n">
        <x:f>IF('Control Room'!$B$5="Normal",'Control Room'!$B$7,('Control Room'!$B$8+'Control Room'!$D$8)/2)+'Control Room'!$B$9*(E616-IF('Control Room'!$B$5="Normal",'Control Room'!$B$7,('Control Room'!$B$8+'Control Room'!$D$8)/2))+SQRT(1-'Control Room'!$B$9^2)*(D617-IF('Control Room'!$B$5="Normal",'Control Room'!$B$7,('Control Room'!$B$8+'Control Room'!$D$8)/2))</x:f>
        <x:v>1048.048733458974</x:v>
      </x:c>
      <x:c r="F617" s="17" t="n">
        <x:f>IF(AND($A617&gt;='Control Room'!$A$13,$A617&lt;'Control Room'!$A$13+'Control Room'!$B$13,'Process'!BK2=1),1+('Control Room'!$C$13-1)*EXP(-0.5*(($A617-'Control Room'!$A$13-('Control Room'!$B$13-1)/2)/MAX(0.5,'Control Room'!$B$13/4))^2),1)*IF(AND($A617&gt;='Control Room'!$A$14,$A617&lt;'Control Room'!$A$14+'Control Room'!$B$14,'Process'!BK3=1),1+('Control Room'!$C$14-1)*EXP(-0.5*(($A617-'Control Room'!$A$14-('Control Room'!$B$14-1)/2)/MAX(0.5,'Control Room'!$B$14/4))^2),1)*IF(AND($A617&gt;='Control Room'!$A$15,$A617&lt;'Control Room'!$A$15+'Control Room'!$B$15,'Process'!BK4=1),1+('Control Room'!$C$15-1)*EXP(-0.5*(($A617-'Control Room'!$A$15-('Control Room'!$B$15-1)/2)/MAX(0.5,'Control Room'!$B$15/4))^2),1)*IF(AND($A617&gt;='Control Room'!$A$16,$A617&lt;'Control Room'!$A$16+'Control Room'!$B$16,'Process'!BK5=1),1+('Control Room'!$C$16-1)*EXP(-0.5*(($A617-'Control Room'!$A$16-('Control Room'!$B$16-1)/2)/MAX(0.5,'Control Room'!$B$16/4))^2),1)</x:f>
        <x:v>1</x:v>
      </x:c>
      <x:c r="G617" s="9" t="n">
        <x:f>MOD(H616*16807,2147483647)</x:f>
        <x:v>469130048</x:v>
      </x:c>
      <x:c r="H617" s="9" t="n">
        <x:f>MOD(G617*16807,2147483647)</x:f>
        <x:v>1256248599</x:v>
      </x:c>
      <x:c r="I617" s="17" t="n">
        <x:f>IF('Control Room'!$B$5="Normal",'Control Room'!$B$7+'Control Room'!$D$7*SQRT(-2*LN(MAX(0.000000000001,G617/2147483647)))*COS(2*PI()*H617/2147483647),'Control Room'!$B$8+('Control Room'!$D$8-'Control Room'!$B$8)*G617/2147483647)</x:f>
        <x:v>864.8731284197314</x:v>
      </x:c>
      <x:c r="J617" s="17" t="n">
        <x:f>IF('Control Room'!$B$5="Normal",'Control Room'!$B$7,('Control Room'!$B$8+'Control Room'!$D$8)/2)+'Control Room'!$B$9*(J616-IF('Control Room'!$B$5="Normal",'Control Room'!$B$7,('Control Room'!$B$8+'Control Room'!$D$8)/2))+SQRT(1-'Control Room'!$B$9^2)*(I617-IF('Control Room'!$B$5="Normal",'Control Room'!$B$7,('Control Room'!$B$8+'Control Room'!$D$8)/2))</x:f>
        <x:v>869.102604543806</x:v>
      </x:c>
      <x:c r="K617" s="17" t="n">
        <x:f>IF(AND($A617&gt;='Control Room'!$A$13,$A617&lt;'Control Room'!$A$13+'Control Room'!$B$13,'Process'!BL2=1),1+('Control Room'!$C$13-1)*EXP(-0.5*(($A617-'Control Room'!$A$13-('Control Room'!$B$13-1)/2)/MAX(0.5,'Control Room'!$B$13/4))^2),1)*IF(AND($A617&gt;='Control Room'!$A$14,$A617&lt;'Control Room'!$A$14+'Control Room'!$B$14,'Process'!BL3=1),1+('Control Room'!$C$14-1)*EXP(-0.5*(($A617-'Control Room'!$A$14-('Control Room'!$B$14-1)/2)/MAX(0.5,'Control Room'!$B$14/4))^2),1)*IF(AND($A617&gt;='Control Room'!$A$15,$A617&lt;'Control Room'!$A$15+'Control Room'!$B$15,'Process'!BL4=1),1+('Control Room'!$C$15-1)*EXP(-0.5*(($A617-'Control Room'!$A$15-('Control Room'!$B$15-1)/2)/MAX(0.5,'Control Room'!$B$15/4))^2),1)*IF(AND($A617&gt;='Control Room'!$A$16,$A617&lt;'Control Room'!$A$16+'Control Room'!$B$16,'Process'!BL5=1),1+('Control Room'!$C$16-1)*EXP(-0.5*(($A617-'Control Room'!$A$16-('Control Room'!$B$16-1)/2)/MAX(0.5,'Control Room'!$B$16/4))^2),1)</x:f>
        <x:v>1</x:v>
      </x:c>
      <x:c r="L617" s="9" t="n">
        <x:f>MOD(M616*16807,2147483647)</x:f>
        <x:v>1409539760</x:v>
      </x:c>
      <x:c r="M617" s="9" t="n">
        <x:f>MOD(L617*16807,2147483647)</x:f>
        <x:v>1242636263</x:v>
      </x:c>
      <x:c r="N617" s="17" t="n">
        <x:f>IF('Control Room'!$B$5="Normal",'Control Room'!$B$7+'Control Room'!$D$7*SQRT(-2*LN(MAX(0.000000000001,L617/2147483647)))*COS(2*PI()*M617/2147483647),'Control Room'!$B$8+('Control Room'!$D$8-'Control Room'!$B$8)*L617/2147483647)</x:f>
        <x:v>927.2923005048652</x:v>
      </x:c>
      <x:c r="O617" s="17" t="n">
        <x:f>IF('Control Room'!$B$5="Normal",'Control Room'!$B$7,('Control Room'!$B$8+'Control Room'!$D$8)/2)+'Control Room'!$B$9*(O616-IF('Control Room'!$B$5="Normal",'Control Room'!$B$7,('Control Room'!$B$8+'Control Room'!$D$8)/2))+SQRT(1-'Control Room'!$B$9^2)*(N617-IF('Control Room'!$B$5="Normal",'Control Room'!$B$7,('Control Room'!$B$8+'Control Room'!$D$8)/2))</x:f>
        <x:v>945.2333862421417</x:v>
      </x:c>
      <x:c r="P617" s="17" t="n">
        <x:f>IF(AND($A617&gt;='Control Room'!$A$13,$A617&lt;'Control Room'!$A$13+'Control Room'!$B$13,'Process'!BM2=1),1+('Control Room'!$C$13-1)*EXP(-0.5*(($A617-'Control Room'!$A$13-('Control Room'!$B$13-1)/2)/MAX(0.5,'Control Room'!$B$13/4))^2),1)*IF(AND($A617&gt;='Control Room'!$A$14,$A617&lt;'Control Room'!$A$14+'Control Room'!$B$14,'Process'!BM3=1),1+('Control Room'!$C$14-1)*EXP(-0.5*(($A617-'Control Room'!$A$14-('Control Room'!$B$14-1)/2)/MAX(0.5,'Control Room'!$B$14/4))^2),1)*IF(AND($A617&gt;='Control Room'!$A$15,$A617&lt;'Control Room'!$A$15+'Control Room'!$B$15,'Process'!BM4=1),1+('Control Room'!$C$15-1)*EXP(-0.5*(($A617-'Control Room'!$A$15-('Control Room'!$B$15-1)/2)/MAX(0.5,'Control Room'!$B$15/4))^2),1)*IF(AND($A617&gt;='Control Room'!$A$16,$A617&lt;'Control Room'!$A$16+'Control Room'!$B$16,'Process'!BM5=1),1+('Control Room'!$C$16-1)*EXP(-0.5*(($A617-'Control Room'!$A$16-('Control Room'!$B$16-1)/2)/MAX(0.5,'Control Room'!$B$16/4))^2),1)</x:f>
        <x:v>1</x:v>
      </x:c>
      <x:c r="Q617" s="9" t="n">
        <x:f>MOD(R616*16807,2147483647)</x:f>
        <x:v>202465825</x:v>
      </x:c>
      <x:c r="R617" s="9" t="n">
        <x:f>MOD(Q617*16807,2147483647)</x:f>
        <x:v>1229023927</x:v>
      </x:c>
      <x:c r="S617" s="17" t="n">
        <x:f>IF('Control Room'!$B$5="Normal",'Control Room'!$B$7+'Control Room'!$D$7*SQRT(-2*LN(MAX(0.000000000001,Q617/2147483647)))*COS(2*PI()*R617/2147483647),'Control Room'!$B$8+('Control Room'!$D$8-'Control Room'!$B$8)*Q617/2147483647)</x:f>
        <x:v>824.2503276142933</x:v>
      </x:c>
      <x:c r="T617" s="17" t="n">
        <x:f>IF('Control Room'!$B$5="Normal",'Control Room'!$B$7,('Control Room'!$B$8+'Control Room'!$D$8)/2)+'Control Room'!$B$9*(T616-IF('Control Room'!$B$5="Normal",'Control Room'!$B$7,('Control Room'!$B$8+'Control Room'!$D$8)/2))+SQRT(1-'Control Room'!$B$9^2)*(S617-IF('Control Room'!$B$5="Normal",'Control Room'!$B$7,('Control Room'!$B$8+'Control Room'!$D$8)/2))</x:f>
        <x:v>946.8486511711111</x:v>
      </x:c>
      <x:c r="U617" s="17" t="n">
        <x:f>IF(AND($A617&gt;='Control Room'!$A$13,$A617&lt;'Control Room'!$A$13+'Control Room'!$B$13,'Process'!BN2=1),1+('Control Room'!$C$13-1)*EXP(-0.5*(($A617-'Control Room'!$A$13-('Control Room'!$B$13-1)/2)/MAX(0.5,'Control Room'!$B$13/4))^2),1)*IF(AND($A617&gt;='Control Room'!$A$14,$A617&lt;'Control Room'!$A$14+'Control Room'!$B$14,'Process'!BN3=1),1+('Control Room'!$C$14-1)*EXP(-0.5*(($A617-'Control Room'!$A$14-('Control Room'!$B$14-1)/2)/MAX(0.5,'Control Room'!$B$14/4))^2),1)*IF(AND($A617&gt;='Control Room'!$A$15,$A617&lt;'Control Room'!$A$15+'Control Room'!$B$15,'Process'!BN4=1),1+('Control Room'!$C$15-1)*EXP(-0.5*(($A617-'Control Room'!$A$15-('Control Room'!$B$15-1)/2)/MAX(0.5,'Control Room'!$B$15/4))^2),1)*IF(AND($A617&gt;='Control Room'!$A$16,$A617&lt;'Control Room'!$A$16+'Control Room'!$B$16,'Process'!BN5=1),1+('Control Room'!$C$16-1)*EXP(-0.5*(($A617-'Control Room'!$A$16-('Control Room'!$B$16-1)/2)/MAX(0.5,'Control Room'!$B$16/4))^2),1)</x:f>
        <x:v>1</x:v>
      </x:c>
      <x:c r="V617" s="9" t="n">
        <x:f>MOD(W616*16807,2147483647)</x:f>
        <x:v>1142875537</x:v>
      </x:c>
      <x:c r="W617" s="9" t="n">
        <x:f>MOD(V617*16807,2147483647)</x:f>
        <x:v>1215411591</x:v>
      </x:c>
      <x:c r="X617" s="17" t="n">
        <x:f>IF('Control Room'!$B$5="Normal",'Control Room'!$B$7+'Control Room'!$D$7*SQRT(-2*LN(MAX(0.000000000001,V617/2147483647)))*COS(2*PI()*W617/2147483647),'Control Room'!$B$8+('Control Room'!$D$8-'Control Room'!$B$8)*V617/2147483647)</x:f>
        <x:v>907.4753796294185</x:v>
      </x:c>
      <x:c r="Y617" s="17" t="n">
        <x:f>IF('Control Room'!$B$5="Normal",'Control Room'!$B$7,('Control Room'!$B$8+'Control Room'!$D$8)/2)+'Control Room'!$B$9*(Y616-IF('Control Room'!$B$5="Normal",'Control Room'!$B$7,('Control Room'!$B$8+'Control Room'!$D$8)/2))+SQRT(1-'Control Room'!$B$9^2)*(X617-IF('Control Room'!$B$5="Normal",'Control Room'!$B$7,('Control Room'!$B$8+'Control Room'!$D$8)/2))</x:f>
        <x:v>872.981723508573</x:v>
      </x:c>
      <x:c r="Z617" s="17" t="n">
        <x:f>IF(AND($A617&gt;='Control Room'!$A$13,$A617&lt;'Control Room'!$A$13+'Control Room'!$B$13,'Process'!BO2=1),1+('Control Room'!$C$13-1)*EXP(-0.5*(($A617-'Control Room'!$A$13-('Control Room'!$B$13-1)/2)/MAX(0.5,'Control Room'!$B$13/4))^2),1)*IF(AND($A617&gt;='Control Room'!$A$14,$A617&lt;'Control Room'!$A$14+'Control Room'!$B$14,'Process'!BO3=1),1+('Control Room'!$C$14-1)*EXP(-0.5*(($A617-'Control Room'!$A$14-('Control Room'!$B$14-1)/2)/MAX(0.5,'Control Room'!$B$14/4))^2),1)*IF(AND($A617&gt;='Control Room'!$A$15,$A617&lt;'Control Room'!$A$15+'Control Room'!$B$15,'Process'!BO4=1),1+('Control Room'!$C$15-1)*EXP(-0.5*(($A617-'Control Room'!$A$15-('Control Room'!$B$15-1)/2)/MAX(0.5,'Control Room'!$B$15/4))^2),1)*IF(AND($A617&gt;='Control Room'!$A$16,$A617&lt;'Control Room'!$A$16+'Control Room'!$B$16,'Process'!BO5=1),1+('Control Room'!$C$16-1)*EXP(-0.5*(($A617-'Control Room'!$A$16-('Control Room'!$B$16-1)/2)/MAX(0.5,'Control Room'!$B$16/4))^2),1)</x:f>
        <x:v>1</x:v>
      </x:c>
      <x:c r="AA617" s="9" t="n">
        <x:f>MOD(AB616*16807,2147483647)</x:f>
        <x:v>2083285249</x:v>
      </x:c>
      <x:c r="AB617" s="9" t="n">
        <x:f>MOD(AA617*16807,2147483647)</x:f>
        <x:v>1201799255</x:v>
      </x:c>
      <x:c r="AC617" s="17" t="n">
        <x:f>IF('Control Room'!$B$5="Normal",'Control Room'!$B$7+'Control Room'!$D$7*SQRT(-2*LN(MAX(0.000000000001,AA617/2147483647)))*COS(2*PI()*AB617/2147483647),'Control Room'!$B$8+('Control Room'!$D$8-'Control Room'!$B$8)*AA617/2147483647)</x:f>
        <x:v>979.3644013070657</x:v>
      </x:c>
      <x:c r="AD617" s="17" t="n">
        <x:f>IF('Control Room'!$B$5="Normal",'Control Room'!$B$7,('Control Room'!$B$8+'Control Room'!$D$8)/2)+'Control Room'!$B$9*(AD616-IF('Control Room'!$B$5="Normal",'Control Room'!$B$7,('Control Room'!$B$8+'Control Room'!$D$8)/2))+SQRT(1-'Control Room'!$B$9^2)*(AC617-IF('Control Room'!$B$5="Normal",'Control Room'!$B$7,('Control Room'!$B$8+'Control Room'!$D$8)/2))</x:f>
        <x:v>997.8467167477305</x:v>
      </x:c>
      <x:c r="AE617" s="17" t="n">
        <x:f>IF(AND($A617&gt;='Control Room'!$A$13,$A617&lt;'Control Room'!$A$13+'Control Room'!$B$13,'Process'!BP2=1),1+('Control Room'!$C$13-1)*EXP(-0.5*(($A617-'Control Room'!$A$13-('Control Room'!$B$13-1)/2)/MAX(0.5,'Control Room'!$B$13/4))^2),1)*IF(AND($A617&gt;='Control Room'!$A$14,$A617&lt;'Control Room'!$A$14+'Control Room'!$B$14,'Process'!BP3=1),1+('Control Room'!$C$14-1)*EXP(-0.5*(($A617-'Control Room'!$A$14-('Control Room'!$B$14-1)/2)/MAX(0.5,'Control Room'!$B$14/4))^2),1)*IF(AND($A617&gt;='Control Room'!$A$15,$A617&lt;'Control Room'!$A$15+'Control Room'!$B$15,'Process'!BP4=1),1+('Control Room'!$C$15-1)*EXP(-0.5*(($A617-'Control Room'!$A$15-('Control Room'!$B$15-1)/2)/MAX(0.5,'Control Room'!$B$15/4))^2),1)*IF(AND($A617&gt;='Control Room'!$A$16,$A617&lt;'Control Room'!$A$16+'Control Room'!$B$16,'Process'!BP5=1),1+('Control Room'!$C$16-1)*EXP(-0.5*(($A617-'Control Room'!$A$16-('Control Room'!$B$16-1)/2)/MAX(0.5,'Control Room'!$B$16/4))^2),1)</x:f>
        <x:v>1</x:v>
      </x:c>
      <x:c r="AF617" s="9" t="n">
        <x:f>MOD(AG616*16807,2147483647)</x:f>
        <x:v>876211314</x:v>
      </x:c>
      <x:c r="AG617" s="9" t="n">
        <x:f>MOD(AF617*16807,2147483647)</x:f>
        <x:v>1188186919</x:v>
      </x:c>
      <x:c r="AH617" s="17" t="n">
        <x:f>IF('Control Room'!$B$5="Normal",'Control Room'!$B$7+'Control Room'!$D$7*SQRT(-2*LN(MAX(0.000000000001,AF617/2147483647)))*COS(2*PI()*AG617/2147483647),'Control Room'!$B$8+('Control Room'!$D$8-'Control Room'!$B$8)*AF617/2147483647)</x:f>
        <x:v>886.1840765416164</x:v>
      </x:c>
      <x:c r="AI617" s="17" t="n">
        <x:f>IF('Control Room'!$B$5="Normal",'Control Room'!$B$7,('Control Room'!$B$8+'Control Room'!$D$8)/2)+'Control Room'!$B$9*(AI616-IF('Control Room'!$B$5="Normal",'Control Room'!$B$7,('Control Room'!$B$8+'Control Room'!$D$8)/2))+SQRT(1-'Control Room'!$B$9^2)*(AH617-IF('Control Room'!$B$5="Normal",'Control Room'!$B$7,('Control Room'!$B$8+'Control Room'!$D$8)/2))</x:f>
        <x:v>966.4376209712424</x:v>
      </x:c>
      <x:c r="AJ617" s="17" t="n">
        <x:f>IF(AND($A617&gt;='Control Room'!$A$13,$A617&lt;'Control Room'!$A$13+'Control Room'!$B$13,'Process'!BQ2=1),1+('Control Room'!$C$13-1)*EXP(-0.5*(($A617-'Control Room'!$A$13-('Control Room'!$B$13-1)/2)/MAX(0.5,'Control Room'!$B$13/4))^2),1)*IF(AND($A617&gt;='Control Room'!$A$14,$A617&lt;'Control Room'!$A$14+'Control Room'!$B$14,'Process'!BQ3=1),1+('Control Room'!$C$14-1)*EXP(-0.5*(($A617-'Control Room'!$A$14-('Control Room'!$B$14-1)/2)/MAX(0.5,'Control Room'!$B$14/4))^2),1)*IF(AND($A617&gt;='Control Room'!$A$15,$A617&lt;'Control Room'!$A$15+'Control Room'!$B$15,'Process'!BQ4=1),1+('Control Room'!$C$15-1)*EXP(-0.5*(($A617-'Control Room'!$A$15-('Control Room'!$B$15-1)/2)/MAX(0.5,'Control Room'!$B$15/4))^2),1)*IF(AND($A617&gt;='Control Room'!$A$16,$A617&lt;'Control Room'!$A$16+'Control Room'!$B$16,'Process'!BQ5=1),1+('Control Room'!$C$16-1)*EXP(-0.5*(($A617-'Control Room'!$A$16-('Control Room'!$B$16-1)/2)/MAX(0.5,'Control Room'!$B$16/4))^2),1)</x:f>
        <x:v>1</x:v>
      </x:c>
      <x:c r="AK617" s="9" t="n">
        <x:f>MOD(AL616*16807,2147483647)</x:f>
        <x:v>1816621026</x:v>
      </x:c>
      <x:c r="AL617" s="9" t="n">
        <x:f>MOD(AK617*16807,2147483647)</x:f>
        <x:v>1174574583</x:v>
      </x:c>
      <x:c r="AM617" s="17" t="n">
        <x:f>IF('Control Room'!$B$5="Normal",'Control Room'!$B$7+'Control Room'!$D$7*SQRT(-2*LN(MAX(0.000000000001,AK617/2147483647)))*COS(2*PI()*AL617/2147483647),'Control Room'!$B$8+('Control Room'!$D$8-'Control Room'!$B$8)*AK617/2147483647)</x:f>
        <x:v>950.186271091604</x:v>
      </x:c>
      <x:c r="AN617" s="17" t="n">
        <x:f>IF('Control Room'!$B$5="Normal",'Control Room'!$B$7,('Control Room'!$B$8+'Control Room'!$D$8)/2)+'Control Room'!$B$9*(AN616-IF('Control Room'!$B$5="Normal",'Control Room'!$B$7,('Control Room'!$B$8+'Control Room'!$D$8)/2))+SQRT(1-'Control Room'!$B$9^2)*(AM617-IF('Control Room'!$B$5="Normal",'Control Room'!$B$7,('Control Room'!$B$8+'Control Room'!$D$8)/2))</x:f>
        <x:v>972.3319506991415</x:v>
      </x:c>
      <x:c r="AO617" s="17" t="n">
        <x:f>IF(AND($A617&gt;='Control Room'!$A$13,$A617&lt;'Control Room'!$A$13+'Control Room'!$B$13,'Process'!BR2=1),1+('Control Room'!$C$13-1)*EXP(-0.5*(($A617-'Control Room'!$A$13-('Control Room'!$B$13-1)/2)/MAX(0.5,'Control Room'!$B$13/4))^2),1)*IF(AND($A617&gt;='Control Room'!$A$14,$A617&lt;'Control Room'!$A$14+'Control Room'!$B$14,'Process'!BR3=1),1+('Control Room'!$C$14-1)*EXP(-0.5*(($A617-'Control Room'!$A$14-('Control Room'!$B$14-1)/2)/MAX(0.5,'Control Room'!$B$14/4))^2),1)*IF(AND($A617&gt;='Control Room'!$A$15,$A617&lt;'Control Room'!$A$15+'Control Room'!$B$15,'Process'!BR4=1),1+('Control Room'!$C$15-1)*EXP(-0.5*(($A617-'Control Room'!$A$15-('Control Room'!$B$15-1)/2)/MAX(0.5,'Control Room'!$B$15/4))^2),1)*IF(AND($A617&gt;='Control Room'!$A$16,$A617&lt;'Control Room'!$A$16+'Control Room'!$B$16,'Process'!BR5=1),1+('Control Room'!$C$16-1)*EXP(-0.5*(($A617-'Control Room'!$A$16-('Control Room'!$B$16-1)/2)/MAX(0.5,'Control Room'!$B$16/4))^2),1)</x:f>
        <x:v>1</x:v>
      </x:c>
      <x:c r="AP617" s="9" t="n">
        <x:f>MOD(AQ616*16807,2147483647)</x:f>
        <x:v>609547091</x:v>
      </x:c>
      <x:c r="AQ617" s="9" t="n">
        <x:f>MOD(AP617*16807,2147483647)</x:f>
        <x:v>1160962247</x:v>
      </x:c>
      <x:c r="AR617" s="17" t="n">
        <x:f>IF('Control Room'!$B$5="Normal",'Control Room'!$B$7+'Control Room'!$D$7*SQRT(-2*LN(MAX(0.000000000001,AP617/2147483647)))*COS(2*PI()*AQ617/2147483647),'Control Room'!$B$8+('Control Room'!$D$8-'Control Room'!$B$8)*AP617/2147483647)</x:f>
        <x:v>861.7927788257575</x:v>
      </x:c>
      <x:c r="AS617" s="17" t="n">
        <x:f>IF('Control Room'!$B$5="Normal",'Control Room'!$B$7,('Control Room'!$B$8+'Control Room'!$D$8)/2)+'Control Room'!$B$9*(AS616-IF('Control Room'!$B$5="Normal",'Control Room'!$B$7,('Control Room'!$B$8+'Control Room'!$D$8)/2))+SQRT(1-'Control Room'!$B$9^2)*(AR617-IF('Control Room'!$B$5="Normal",'Control Room'!$B$7,('Control Room'!$B$8+'Control Room'!$D$8)/2))</x:f>
        <x:v>854.7753219925564</x:v>
      </x:c>
      <x:c r="AT617" s="17" t="n">
        <x:f>IF(AND($A617&gt;='Control Room'!$A$13,$A617&lt;'Control Room'!$A$13+'Control Room'!$B$13,'Process'!BS2=1),1+('Control Room'!$C$13-1)*EXP(-0.5*(($A617-'Control Room'!$A$13-('Control Room'!$B$13-1)/2)/MAX(0.5,'Control Room'!$B$13/4))^2),1)*IF(AND($A617&gt;='Control Room'!$A$14,$A617&lt;'Control Room'!$A$14+'Control Room'!$B$14,'Process'!BS3=1),1+('Control Room'!$C$14-1)*EXP(-0.5*(($A617-'Control Room'!$A$14-('Control Room'!$B$14-1)/2)/MAX(0.5,'Control Room'!$B$14/4))^2),1)*IF(AND($A617&gt;='Control Room'!$A$15,$A617&lt;'Control Room'!$A$15+'Control Room'!$B$15,'Process'!BS4=1),1+('Control Room'!$C$15-1)*EXP(-0.5*(($A617-'Control Room'!$A$15-('Control Room'!$B$15-1)/2)/MAX(0.5,'Control Room'!$B$15/4))^2),1)*IF(AND($A617&gt;='Control Room'!$A$16,$A617&lt;'Control Room'!$A$16+'Control Room'!$B$16,'Process'!BS5=1),1+('Control Room'!$C$16-1)*EXP(-0.5*(($A617-'Control Room'!$A$16-('Control Room'!$B$16-1)/2)/MAX(0.5,'Control Room'!$B$16/4))^2),1)</x:f>
        <x:v>1</x:v>
      </x:c>
      <x:c r="AU617" s="9" t="n">
        <x:f>MOD(AV616*16807,2147483647)</x:f>
        <x:v>1549956803</x:v>
      </x:c>
      <x:c r="AV617" s="9" t="n">
        <x:f>MOD(AU617*16807,2147483647)</x:f>
        <x:v>1147349911</x:v>
      </x:c>
      <x:c r="AW617" s="17" t="n">
        <x:f>IF('Control Room'!$B$5="Normal",'Control Room'!$B$7+'Control Room'!$D$7*SQRT(-2*LN(MAX(0.000000000001,AU617/2147483647)))*COS(2*PI()*AV617/2147483647),'Control Room'!$B$8+('Control Room'!$D$8-'Control Room'!$B$8)*AU617/2147483647)</x:f>
        <x:v>928.9993813991282</x:v>
      </x:c>
      <x:c r="AX617" s="17" t="n">
        <x:f>IF('Control Room'!$B$5="Normal",'Control Room'!$B$7,('Control Room'!$B$8+'Control Room'!$D$8)/2)+'Control Room'!$B$9*(AX616-IF('Control Room'!$B$5="Normal",'Control Room'!$B$7,('Control Room'!$B$8+'Control Room'!$D$8)/2))+SQRT(1-'Control Room'!$B$9^2)*(AW617-IF('Control Room'!$B$5="Normal",'Control Room'!$B$7,('Control Room'!$B$8+'Control Room'!$D$8)/2))</x:f>
        <x:v>990.5285274621717</x:v>
      </x:c>
      <x:c r="AY617" s="17" t="n">
        <x:f>IF(AND($A617&gt;='Control Room'!$A$13,$A617&lt;'Control Room'!$A$13+'Control Room'!$B$13,'Process'!BT2=1),1+('Control Room'!$C$13-1)*EXP(-0.5*(($A617-'Control Room'!$A$13-('Control Room'!$B$13-1)/2)/MAX(0.5,'Control Room'!$B$13/4))^2),1)*IF(AND($A617&gt;='Control Room'!$A$14,$A617&lt;'Control Room'!$A$14+'Control Room'!$B$14,'Process'!BT3=1),1+('Control Room'!$C$14-1)*EXP(-0.5*(($A617-'Control Room'!$A$14-('Control Room'!$B$14-1)/2)/MAX(0.5,'Control Room'!$B$14/4))^2),1)*IF(AND($A617&gt;='Control Room'!$A$15,$A617&lt;'Control Room'!$A$15+'Control Room'!$B$15,'Process'!BT4=1),1+('Control Room'!$C$15-1)*EXP(-0.5*(($A617-'Control Room'!$A$15-('Control Room'!$B$15-1)/2)/MAX(0.5,'Control Room'!$B$15/4))^2),1)*IF(AND($A617&gt;='Control Room'!$A$16,$A617&lt;'Control Room'!$A$16+'Control Room'!$B$16,'Process'!BT5=1),1+('Control Room'!$C$16-1)*EXP(-0.5*(($A617-'Control Room'!$A$16-('Control Room'!$B$16-1)/2)/MAX(0.5,'Control Room'!$B$16/4))^2),1)</x:f>
        <x:v>1</x:v>
      </x:c>
      <x:c r="AZ617" s="9" t="n">
        <x:f>MOD(BA616*16807,2147483647)</x:f>
        <x:v>342882868</x:v>
      </x:c>
      <x:c r="BA617" s="9" t="n">
        <x:f>MOD(AZ617*16807,2147483647)</x:f>
        <x:v>1133737575</x:v>
      </x:c>
      <x:c r="BB617" s="17" t="n">
        <x:f>IF('Control Room'!$B$5="Normal",'Control Room'!$B$7+'Control Room'!$D$7*SQRT(-2*LN(MAX(0.000000000001,AZ617/2147483647)))*COS(2*PI()*BA617/2147483647),'Control Room'!$B$8+('Control Room'!$D$8-'Control Room'!$B$8)*AZ617/2147483647)</x:f>
        <x:v>830.2499300747377</x:v>
      </x:c>
      <x:c r="BC617" s="17" t="n">
        <x:f>IF('Control Room'!$B$5="Normal",'Control Room'!$B$7,('Control Room'!$B$8+'Control Room'!$D$8)/2)+'Control Room'!$B$9*(BC616-IF('Control Room'!$B$5="Normal",'Control Room'!$B$7,('Control Room'!$B$8+'Control Room'!$D$8)/2))+SQRT(1-'Control Room'!$B$9^2)*(BB617-IF('Control Room'!$B$5="Normal",'Control Room'!$B$7,('Control Room'!$B$8+'Control Room'!$D$8)/2))</x:f>
        <x:v>913.6363927469278</x:v>
      </x:c>
      <x:c r="BD617" s="17" t="n">
        <x:f>IF(AND($A617&gt;='Control Room'!$A$13,$A617&lt;'Control Room'!$A$13+'Control Room'!$B$13,'Process'!BU2=1),1+('Control Room'!$C$13-1)*EXP(-0.5*(($A617-'Control Room'!$A$13-('Control Room'!$B$13-1)/2)/MAX(0.5,'Control Room'!$B$13/4))^2),1)*IF(AND($A617&gt;='Control Room'!$A$14,$A617&lt;'Control Room'!$A$14+'Control Room'!$B$14,'Process'!BU3=1),1+('Control Room'!$C$14-1)*EXP(-0.5*(($A617-'Control Room'!$A$14-('Control Room'!$B$14-1)/2)/MAX(0.5,'Control Room'!$B$14/4))^2),1)*IF(AND($A617&gt;='Control Room'!$A$15,$A617&lt;'Control Room'!$A$15+'Control Room'!$B$15,'Process'!BU4=1),1+('Control Room'!$C$15-1)*EXP(-0.5*(($A617-'Control Room'!$A$15-('Control Room'!$B$15-1)/2)/MAX(0.5,'Control Room'!$B$15/4))^2),1)*IF(AND($A617&gt;='Control Room'!$A$16,$A617&lt;'Control Room'!$A$16+'Control Room'!$B$16,'Process'!BU5=1),1+('Control Room'!$C$16-1)*EXP(-0.5*(($A617-'Control Room'!$A$16-('Control Room'!$B$16-1)/2)/MAX(0.5,'Control Room'!$B$16/4))^2),1)</x:f>
        <x:v>1</x:v>
      </x:c>
      <x:c r="BE617" s="9" t="n">
        <x:f>MOD(BF616*16807,2147483647)</x:f>
        <x:v>1283292580</x:v>
      </x:c>
      <x:c r="BF617" s="9" t="n">
        <x:f>MOD(BE617*16807,2147483647)</x:f>
        <x:v>1120125239</x:v>
      </x:c>
      <x:c r="BG617" s="17" t="n">
        <x:f>IF('Control Room'!$B$5="Normal",'Control Room'!$B$7+'Control Room'!$D$7*SQRT(-2*LN(MAX(0.000000000001,BE617/2147483647)))*COS(2*PI()*BF617/2147483647),'Control Room'!$B$8+('Control Room'!$D$8-'Control Room'!$B$8)*BE617/2147483647)</x:f>
        <x:v>909.5114321128215</x:v>
      </x:c>
      <x:c r="BH617" s="17" t="n">
        <x:f>IF('Control Room'!$B$5="Normal",'Control Room'!$B$7,('Control Room'!$B$8+'Control Room'!$D$8)/2)+'Control Room'!$B$9*(BH616-IF('Control Room'!$B$5="Normal",'Control Room'!$B$7,('Control Room'!$B$8+'Control Room'!$D$8)/2))+SQRT(1-'Control Room'!$B$9^2)*(BG617-IF('Control Room'!$B$5="Normal",'Control Room'!$B$7,('Control Room'!$B$8+'Control Room'!$D$8)/2))</x:f>
        <x:v>978.8085503476013</x:v>
      </x:c>
      <x:c r="BI617" s="17" t="n">
        <x:f>IF(AND($A617&gt;='Control Room'!$A$13,$A617&lt;'Control Room'!$A$13+'Control Room'!$B$13,'Process'!BV2=1),1+('Control Room'!$C$13-1)*EXP(-0.5*(($A617-'Control Room'!$A$13-('Control Room'!$B$13-1)/2)/MAX(0.5,'Control Room'!$B$13/4))^2),1)*IF(AND($A617&gt;='Control Room'!$A$14,$A617&lt;'Control Room'!$A$14+'Control Room'!$B$14,'Process'!BV3=1),1+('Control Room'!$C$14-1)*EXP(-0.5*(($A617-'Control Room'!$A$14-('Control Room'!$B$14-1)/2)/MAX(0.5,'Control Room'!$B$14/4))^2),1)*IF(AND($A617&gt;='Control Room'!$A$15,$A617&lt;'Control Room'!$A$15+'Control Room'!$B$15,'Process'!BV4=1),1+('Control Room'!$C$15-1)*EXP(-0.5*(($A617-'Control Room'!$A$15-('Control Room'!$B$15-1)/2)/MAX(0.5,'Control Room'!$B$15/4))^2),1)*IF(AND($A617&gt;='Control Room'!$A$16,$A617&lt;'Control Room'!$A$16+'Control Room'!$B$16,'Process'!BV5=1),1+('Control Room'!$C$16-1)*EXP(-0.5*(($A617-'Control Room'!$A$16-('Control Room'!$B$16-1)/2)/MAX(0.5,'Control Room'!$B$16/4))^2),1)</x:f>
        <x:v>1</x:v>
      </x:c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Z617" t="str">
        <x:f>IF('Data'!A617="","",TEXT('Data'!A617,"mm-dd"))</x:f>
      </x:c>
    </x:row>
    <x:row r="618" ht="21" customHeight="1">
      <x:c r="A618" s="15" t="n">
        <x:f>'Control Room'!$B$1+616</x:f>
        <x:v>73607</x:v>
      </x:c>
      <x:c r="B618" s="9" t="n">
        <x:f>MOD(C617*16807,2147483647)</x:f>
        <x:v>860250659</x:v>
      </x:c>
      <x:c r="C618" s="9" t="n">
        <x:f>MOD(B618*16807,2147483647)</x:f>
        <x:v>1372914209</x:v>
      </x:c>
      <x:c r="D618" s="17" t="n">
        <x:f>IF('Control Room'!$B$5="Normal",'Control Room'!$B$7+'Control Room'!$D$7*SQRT(-2*LN(MAX(0.000000000001,B618/2147483647)))*COS(2*PI()*C618/2147483647),'Control Room'!$B$8+('Control Room'!$D$8-'Control Room'!$B$8)*B618/2147483647)</x:f>
        <x:v>921.9969043282582</x:v>
      </x:c>
      <x:c r="E618" s="17" t="n">
        <x:f>IF('Control Room'!$B$5="Normal",'Control Room'!$B$7,('Control Room'!$B$8+'Control Room'!$D$8)/2)+'Control Room'!$B$9*(E617-IF('Control Room'!$B$5="Normal",'Control Room'!$B$7,('Control Room'!$B$8+'Control Room'!$D$8)/2))+SQRT(1-'Control Room'!$B$9^2)*(D618-IF('Control Room'!$B$5="Normal",'Control Room'!$B$7,('Control Room'!$B$8+'Control Room'!$D$8)/2))</x:f>
        <x:v>988.6652728068965</x:v>
      </x:c>
      <x:c r="F618" s="17" t="n">
        <x:f>IF(AND($A618&gt;='Control Room'!$A$13,$A618&lt;'Control Room'!$A$13+'Control Room'!$B$13,'Process'!BK2=1),1+('Control Room'!$C$13-1)*EXP(-0.5*(($A618-'Control Room'!$A$13-('Control Room'!$B$13-1)/2)/MAX(0.5,'Control Room'!$B$13/4))^2),1)*IF(AND($A618&gt;='Control Room'!$A$14,$A618&lt;'Control Room'!$A$14+'Control Room'!$B$14,'Process'!BK3=1),1+('Control Room'!$C$14-1)*EXP(-0.5*(($A618-'Control Room'!$A$14-('Control Room'!$B$14-1)/2)/MAX(0.5,'Control Room'!$B$14/4))^2),1)*IF(AND($A618&gt;='Control Room'!$A$15,$A618&lt;'Control Room'!$A$15+'Control Room'!$B$15,'Process'!BK4=1),1+('Control Room'!$C$15-1)*EXP(-0.5*(($A618-'Control Room'!$A$15-('Control Room'!$B$15-1)/2)/MAX(0.5,'Control Room'!$B$15/4))^2),1)*IF(AND($A618&gt;='Control Room'!$A$16,$A618&lt;'Control Room'!$A$16+'Control Room'!$B$16,'Process'!BK5=1),1+('Control Room'!$C$16-1)*EXP(-0.5*(($A618-'Control Room'!$A$16-('Control Room'!$B$16-1)/2)/MAX(0.5,'Control Room'!$B$16/4))^2),1)</x:f>
        <x:v>1</x:v>
      </x:c>
      <x:c r="G618" s="9" t="n">
        <x:f>MOD(H617*16807,2147483647)</x:f>
        <x:v>1858469736</x:v>
      </x:c>
      <x:c r="H618" s="9" t="n">
        <x:f>MOD(G618*16807,2147483647)</x:f>
        <x:v>151207337</x:v>
      </x:c>
      <x:c r="I618" s="17" t="n">
        <x:f>IF('Control Room'!$B$5="Normal",'Control Room'!$B$7+'Control Room'!$D$7*SQRT(-2*LN(MAX(0.000000000001,G618/2147483647)))*COS(2*PI()*H618/2147483647),'Control Room'!$B$8+('Control Room'!$D$8-'Control Room'!$B$8)*G618/2147483647)</x:f>
        <x:v>1043.7312689547557</x:v>
      </x:c>
      <x:c r="J618" s="17" t="n">
        <x:f>IF('Control Room'!$B$5="Normal",'Control Room'!$B$7,('Control Room'!$B$8+'Control Room'!$D$8)/2)+'Control Room'!$B$9*(J617-IF('Control Room'!$B$5="Normal",'Control Room'!$B$7,('Control Room'!$B$8+'Control Room'!$D$8)/2))+SQRT(1-'Control Room'!$B$9^2)*(I618-IF('Control Room'!$B$5="Normal",'Control Room'!$B$7,('Control Room'!$B$8+'Control Room'!$D$8)/2))</x:f>
        <x:v>925.2661637723146</x:v>
      </x:c>
      <x:c r="K618" s="17" t="n">
        <x:f>IF(AND($A618&gt;='Control Room'!$A$13,$A618&lt;'Control Room'!$A$13+'Control Room'!$B$13,'Process'!BL2=1),1+('Control Room'!$C$13-1)*EXP(-0.5*(($A618-'Control Room'!$A$13-('Control Room'!$B$13-1)/2)/MAX(0.5,'Control Room'!$B$13/4))^2),1)*IF(AND($A618&gt;='Control Room'!$A$14,$A618&lt;'Control Room'!$A$14+'Control Room'!$B$14,'Process'!BL3=1),1+('Control Room'!$C$14-1)*EXP(-0.5*(($A618-'Control Room'!$A$14-('Control Room'!$B$14-1)/2)/MAX(0.5,'Control Room'!$B$14/4))^2),1)*IF(AND($A618&gt;='Control Room'!$A$15,$A618&lt;'Control Room'!$A$15+'Control Room'!$B$15,'Process'!BL4=1),1+('Control Room'!$C$15-1)*EXP(-0.5*(($A618-'Control Room'!$A$15-('Control Room'!$B$15-1)/2)/MAX(0.5,'Control Room'!$B$15/4))^2),1)*IF(AND($A618&gt;='Control Room'!$A$16,$A618&lt;'Control Room'!$A$16+'Control Room'!$B$16,'Process'!BL5=1),1+('Control Room'!$C$16-1)*EXP(-0.5*(($A618-'Control Room'!$A$16-('Control Room'!$B$16-1)/2)/MAX(0.5,'Control Room'!$B$16/4))^2),1)</x:f>
        <x:v>1</x:v>
      </x:c>
      <x:c r="L618" s="9" t="n">
        <x:f>MOD(M617*16807,2147483647)</x:f>
        <x:v>709205166</x:v>
      </x:c>
      <x:c r="M618" s="9" t="n">
        <x:f>MOD(L618*16807,2147483647)</x:f>
        <x:v>1076984112</x:v>
      </x:c>
      <x:c r="N618" s="17" t="n">
        <x:f>IF('Control Room'!$B$5="Normal",'Control Room'!$B$7+'Control Room'!$D$7*SQRT(-2*LN(MAX(0.000000000001,L618/2147483647)))*COS(2*PI()*M618/2147483647),'Control Room'!$B$8+('Control Room'!$D$8-'Control Room'!$B$8)*L618/2147483647)</x:f>
        <x:v>866.0355226580648</x:v>
      </x:c>
      <x:c r="O618" s="17" t="n">
        <x:f>IF('Control Room'!$B$5="Normal",'Control Room'!$B$7,('Control Room'!$B$8+'Control Room'!$D$8)/2)+'Control Room'!$B$9*(O617-IF('Control Room'!$B$5="Normal",'Control Room'!$B$7,('Control Room'!$B$8+'Control Room'!$D$8)/2))+SQRT(1-'Control Room'!$B$9^2)*(N618-IF('Control Room'!$B$5="Normal",'Control Room'!$B$7,('Control Room'!$B$8+'Control Room'!$D$8)/2))</x:f>
        <x:v>873.449815759778</x:v>
      </x:c>
      <x:c r="P618" s="17" t="n">
        <x:f>IF(AND($A618&gt;='Control Room'!$A$13,$A618&lt;'Control Room'!$A$13+'Control Room'!$B$13,'Process'!BM2=1),1+('Control Room'!$C$13-1)*EXP(-0.5*(($A618-'Control Room'!$A$13-('Control Room'!$B$13-1)/2)/MAX(0.5,'Control Room'!$B$13/4))^2),1)*IF(AND($A618&gt;='Control Room'!$A$14,$A618&lt;'Control Room'!$A$14+'Control Room'!$B$14,'Process'!BM3=1),1+('Control Room'!$C$14-1)*EXP(-0.5*(($A618-'Control Room'!$A$14-('Control Room'!$B$14-1)/2)/MAX(0.5,'Control Room'!$B$14/4))^2),1)*IF(AND($A618&gt;='Control Room'!$A$15,$A618&lt;'Control Room'!$A$15+'Control Room'!$B$15,'Process'!BM4=1),1+('Control Room'!$C$15-1)*EXP(-0.5*(($A618-'Control Room'!$A$15-('Control Room'!$B$15-1)/2)/MAX(0.5,'Control Room'!$B$15/4))^2),1)*IF(AND($A618&gt;='Control Room'!$A$16,$A618&lt;'Control Room'!$A$16+'Control Room'!$B$16,'Process'!BM5=1),1+('Control Room'!$C$16-1)*EXP(-0.5*(($A618-'Control Room'!$A$16-('Control Room'!$B$16-1)/2)/MAX(0.5,'Control Room'!$B$16/4))^2),1)</x:f>
        <x:v>1</x:v>
      </x:c>
      <x:c r="Q618" s="9" t="n">
        <x:f>MOD(R617*16807,2147483647)</x:f>
        <x:v>1707424243</x:v>
      </x:c>
      <x:c r="R618" s="9" t="n">
        <x:f>MOD(Q618*16807,2147483647)</x:f>
        <x:v>2002760887</x:v>
      </x:c>
      <x:c r="S618" s="17" t="n">
        <x:f>IF('Control Room'!$B$5="Normal",'Control Room'!$B$7+'Control Room'!$D$7*SQRT(-2*LN(MAX(0.000000000001,Q618/2147483647)))*COS(2*PI()*R618/2147483647),'Control Room'!$B$8+('Control Room'!$D$8-'Control Room'!$B$8)*Q618/2147483647)</x:f>
        <x:v>1055.5665673526423</x:v>
      </x:c>
      <x:c r="T618" s="17" t="n">
        <x:f>IF('Control Room'!$B$5="Normal",'Control Room'!$B$7,('Control Room'!$B$8+'Control Room'!$D$8)/2)+'Control Room'!$B$9*(T617-IF('Control Room'!$B$5="Normal",'Control Room'!$B$7,('Control Room'!$B$8+'Control Room'!$D$8)/2))+SQRT(1-'Control Room'!$B$9^2)*(S618-IF('Control Room'!$B$5="Normal",'Control Room'!$B$7,('Control Room'!$B$8+'Control Room'!$D$8)/2))</x:f>
        <x:v>993.3143674197436</x:v>
      </x:c>
      <x:c r="U618" s="17" t="n">
        <x:f>IF(AND($A618&gt;='Control Room'!$A$13,$A618&lt;'Control Room'!$A$13+'Control Room'!$B$13,'Process'!BN2=1),1+('Control Room'!$C$13-1)*EXP(-0.5*(($A618-'Control Room'!$A$13-('Control Room'!$B$13-1)/2)/MAX(0.5,'Control Room'!$B$13/4))^2),1)*IF(AND($A618&gt;='Control Room'!$A$14,$A618&lt;'Control Room'!$A$14+'Control Room'!$B$14,'Process'!BN3=1),1+('Control Room'!$C$14-1)*EXP(-0.5*(($A618-'Control Room'!$A$14-('Control Room'!$B$14-1)/2)/MAX(0.5,'Control Room'!$B$14/4))^2),1)*IF(AND($A618&gt;='Control Room'!$A$15,$A618&lt;'Control Room'!$A$15+'Control Room'!$B$15,'Process'!BN4=1),1+('Control Room'!$C$15-1)*EXP(-0.5*(($A618-'Control Room'!$A$15-('Control Room'!$B$15-1)/2)/MAX(0.5,'Control Room'!$B$15/4))^2),1)*IF(AND($A618&gt;='Control Room'!$A$16,$A618&lt;'Control Room'!$A$16+'Control Room'!$B$16,'Process'!BN5=1),1+('Control Room'!$C$16-1)*EXP(-0.5*(($A618-'Control Room'!$A$16-('Control Room'!$B$16-1)/2)/MAX(0.5,'Control Room'!$B$16/4))^2),1)</x:f>
        <x:v>1</x:v>
      </x:c>
      <x:c r="V618" s="9" t="n">
        <x:f>MOD(W617*16807,2147483647)</x:f>
        <x:v>558159673</x:v>
      </x:c>
      <x:c r="W618" s="9" t="n">
        <x:f>MOD(V618*16807,2147483647)</x:f>
        <x:v>781054015</x:v>
      </x:c>
      <x:c r="X618" s="17" t="n">
        <x:f>IF('Control Room'!$B$5="Normal",'Control Room'!$B$7+'Control Room'!$D$7*SQRT(-2*LN(MAX(0.000000000001,V618/2147483647)))*COS(2*PI()*W618/2147483647),'Control Room'!$B$8+('Control Room'!$D$8-'Control Room'!$B$8)*V618/2147483647)</x:f>
        <x:v>903.1996348901647</x:v>
      </x:c>
      <x:c r="Y618" s="17" t="n">
        <x:f>IF('Control Room'!$B$5="Normal",'Control Room'!$B$7,('Control Room'!$B$8+'Control Room'!$D$8)/2)+'Control Room'!$B$9*(Y617-IF('Control Room'!$B$5="Normal",'Control Room'!$B$7,('Control Room'!$B$8+'Control Room'!$D$8)/2))+SQRT(1-'Control Room'!$B$9^2)*(X618-IF('Control Room'!$B$5="Normal",'Control Room'!$B$7,('Control Room'!$B$8+'Control Room'!$D$8)/2))</x:f>
        <x:v>840.3500589142204</x:v>
      </x:c>
      <x:c r="Z618" s="17" t="n">
        <x:f>IF(AND($A618&gt;='Control Room'!$A$13,$A618&lt;'Control Room'!$A$13+'Control Room'!$B$13,'Process'!BO2=1),1+('Control Room'!$C$13-1)*EXP(-0.5*(($A618-'Control Room'!$A$13-('Control Room'!$B$13-1)/2)/MAX(0.5,'Control Room'!$B$13/4))^2),1)*IF(AND($A618&gt;='Control Room'!$A$14,$A618&lt;'Control Room'!$A$14+'Control Room'!$B$14,'Process'!BO3=1),1+('Control Room'!$C$14-1)*EXP(-0.5*(($A618-'Control Room'!$A$14-('Control Room'!$B$14-1)/2)/MAX(0.5,'Control Room'!$B$14/4))^2),1)*IF(AND($A618&gt;='Control Room'!$A$15,$A618&lt;'Control Room'!$A$15+'Control Room'!$B$15,'Process'!BO4=1),1+('Control Room'!$C$15-1)*EXP(-0.5*(($A618-'Control Room'!$A$15-('Control Room'!$B$15-1)/2)/MAX(0.5,'Control Room'!$B$15/4))^2),1)*IF(AND($A618&gt;='Control Room'!$A$16,$A618&lt;'Control Room'!$A$16+'Control Room'!$B$16,'Process'!BO5=1),1+('Control Room'!$C$16-1)*EXP(-0.5*(($A618-'Control Room'!$A$16-('Control Room'!$B$16-1)/2)/MAX(0.5,'Control Room'!$B$16/4))^2),1)</x:f>
        <x:v>1</x:v>
      </x:c>
      <x:c r="AA618" s="9" t="n">
        <x:f>MOD(AB617*16807,2147483647)</x:f>
        <x:v>1556378750</x:v>
      </x:c>
      <x:c r="AB618" s="9" t="n">
        <x:f>MOD(AA618*16807,2147483647)</x:f>
        <x:v>1706830790</x:v>
      </x:c>
      <x:c r="AC618" s="17" t="n">
        <x:f>IF('Control Room'!$B$5="Normal",'Control Room'!$B$7+'Control Room'!$D$7*SQRT(-2*LN(MAX(0.000000000001,AA618/2147483647)))*COS(2*PI()*AB618/2147483647),'Control Room'!$B$8+('Control Room'!$D$8-'Control Room'!$B$8)*AA618/2147483647)</x:f>
        <x:v>1020.0630255614302</x:v>
      </x:c>
      <x:c r="AD618" s="17" t="n">
        <x:f>IF('Control Room'!$B$5="Normal",'Control Room'!$B$7,('Control Room'!$B$8+'Control Room'!$D$8)/2)+'Control Room'!$B$9*(AD617-IF('Control Room'!$B$5="Normal",'Control Room'!$B$7,('Control Room'!$B$8+'Control Room'!$D$8)/2))+SQRT(1-'Control Room'!$B$9^2)*(AC618-IF('Control Room'!$B$5="Normal",'Control Room'!$B$7,('Control Room'!$B$8+'Control Room'!$D$8)/2))</x:f>
        <x:v>1010.8754694461536</x:v>
      </x:c>
      <x:c r="AE618" s="17" t="n">
        <x:f>IF(AND($A618&gt;='Control Room'!$A$13,$A618&lt;'Control Room'!$A$13+'Control Room'!$B$13,'Process'!BP2=1),1+('Control Room'!$C$13-1)*EXP(-0.5*(($A618-'Control Room'!$A$13-('Control Room'!$B$13-1)/2)/MAX(0.5,'Control Room'!$B$13/4))^2),1)*IF(AND($A618&gt;='Control Room'!$A$14,$A618&lt;'Control Room'!$A$14+'Control Room'!$B$14,'Process'!BP3=1),1+('Control Room'!$C$14-1)*EXP(-0.5*(($A618-'Control Room'!$A$14-('Control Room'!$B$14-1)/2)/MAX(0.5,'Control Room'!$B$14/4))^2),1)*IF(AND($A618&gt;='Control Room'!$A$15,$A618&lt;'Control Room'!$A$15+'Control Room'!$B$15,'Process'!BP4=1),1+('Control Room'!$C$15-1)*EXP(-0.5*(($A618-'Control Room'!$A$15-('Control Room'!$B$15-1)/2)/MAX(0.5,'Control Room'!$B$15/4))^2),1)*IF(AND($A618&gt;='Control Room'!$A$16,$A618&lt;'Control Room'!$A$16+'Control Room'!$B$16,'Process'!BP5=1),1+('Control Room'!$C$16-1)*EXP(-0.5*(($A618-'Control Room'!$A$16-('Control Room'!$B$16-1)/2)/MAX(0.5,'Control Room'!$B$16/4))^2),1)</x:f>
        <x:v>1</x:v>
      </x:c>
      <x:c r="AF618" s="9" t="n">
        <x:f>MOD(AG617*16807,2147483647)</x:f>
        <x:v>407114180</x:v>
      </x:c>
      <x:c r="AG618" s="9" t="n">
        <x:f>MOD(AF618*16807,2147483647)</x:f>
        <x:v>485123918</x:v>
      </x:c>
      <x:c r="AH618" s="17" t="n">
        <x:f>IF('Control Room'!$B$5="Normal",'Control Room'!$B$7+'Control Room'!$D$7*SQRT(-2*LN(MAX(0.000000000001,AF618/2147483647)))*COS(2*PI()*AG618/2147483647),'Control Room'!$B$8+('Control Room'!$D$8-'Control Room'!$B$8)*AF618/2147483647)</x:f>
        <x:v>1024.755564497281</x:v>
      </x:c>
      <x:c r="AI618" s="17" t="n">
        <x:f>IF('Control Room'!$B$5="Normal",'Control Room'!$B$7,('Control Room'!$B$8+'Control Room'!$D$8)/2)+'Control Room'!$B$9*(AI617-IF('Control Room'!$B$5="Normal",'Control Room'!$B$7,('Control Room'!$B$8+'Control Room'!$D$8)/2))+SQRT(1-'Control Room'!$B$9^2)*(AH618-IF('Control Room'!$B$5="Normal",'Control Room'!$B$7,('Control Room'!$B$8+'Control Room'!$D$8)/2))</x:f>
        <x:v>989.312869474663</x:v>
      </x:c>
      <x:c r="AJ618" s="17" t="n">
        <x:f>IF(AND($A618&gt;='Control Room'!$A$13,$A618&lt;'Control Room'!$A$13+'Control Room'!$B$13,'Process'!BQ2=1),1+('Control Room'!$C$13-1)*EXP(-0.5*(($A618-'Control Room'!$A$13-('Control Room'!$B$13-1)/2)/MAX(0.5,'Control Room'!$B$13/4))^2),1)*IF(AND($A618&gt;='Control Room'!$A$14,$A618&lt;'Control Room'!$A$14+'Control Room'!$B$14,'Process'!BQ3=1),1+('Control Room'!$C$14-1)*EXP(-0.5*(($A618-'Control Room'!$A$14-('Control Room'!$B$14-1)/2)/MAX(0.5,'Control Room'!$B$14/4))^2),1)*IF(AND($A618&gt;='Control Room'!$A$15,$A618&lt;'Control Room'!$A$15+'Control Room'!$B$15,'Process'!BQ4=1),1+('Control Room'!$C$15-1)*EXP(-0.5*(($A618-'Control Room'!$A$15-('Control Room'!$B$15-1)/2)/MAX(0.5,'Control Room'!$B$15/4))^2),1)*IF(AND($A618&gt;='Control Room'!$A$16,$A618&lt;'Control Room'!$A$16+'Control Room'!$B$16,'Process'!BQ5=1),1+('Control Room'!$C$16-1)*EXP(-0.5*(($A618-'Control Room'!$A$16-('Control Room'!$B$16-1)/2)/MAX(0.5,'Control Room'!$B$16/4))^2),1)</x:f>
        <x:v>1</x:v>
      </x:c>
      <x:c r="AK618" s="9" t="n">
        <x:f>MOD(AL617*16807,2147483647)</x:f>
        <x:v>1405333257</x:v>
      </x:c>
      <x:c r="AL618" s="9" t="n">
        <x:f>MOD(AK618*16807,2147483647)</x:f>
        <x:v>1410900693</x:v>
      </x:c>
      <x:c r="AM618" s="17" t="n">
        <x:f>IF('Control Room'!$B$5="Normal",'Control Room'!$B$7+'Control Room'!$D$7*SQRT(-2*LN(MAX(0.000000000001,AK618/2147483647)))*COS(2*PI()*AL618/2147483647),'Control Room'!$B$8+('Control Room'!$D$8-'Control Room'!$B$8)*AK618/2147483647)</x:f>
        <x:v>954.2801644644238</x:v>
      </x:c>
      <x:c r="AN618" s="17" t="n">
        <x:f>IF('Control Room'!$B$5="Normal",'Control Room'!$B$7,('Control Room'!$B$8+'Control Room'!$D$8)/2)+'Control Room'!$B$9*(AN617-IF('Control Room'!$B$5="Normal",'Control Room'!$B$7,('Control Room'!$B$8+'Control Room'!$D$8)/2))+SQRT(1-'Control Room'!$B$9^2)*(AM618-IF('Control Room'!$B$5="Normal",'Control Room'!$B$7,('Control Room'!$B$8+'Control Room'!$D$8)/2))</x:f>
        <x:v>949.8083850889077</x:v>
      </x:c>
      <x:c r="AO618" s="17" t="n">
        <x:f>IF(AND($A618&gt;='Control Room'!$A$13,$A618&lt;'Control Room'!$A$13+'Control Room'!$B$13,'Process'!BR2=1),1+('Control Room'!$C$13-1)*EXP(-0.5*(($A618-'Control Room'!$A$13-('Control Room'!$B$13-1)/2)/MAX(0.5,'Control Room'!$B$13/4))^2),1)*IF(AND($A618&gt;='Control Room'!$A$14,$A618&lt;'Control Room'!$A$14+'Control Room'!$B$14,'Process'!BR3=1),1+('Control Room'!$C$14-1)*EXP(-0.5*(($A618-'Control Room'!$A$14-('Control Room'!$B$14-1)/2)/MAX(0.5,'Control Room'!$B$14/4))^2),1)*IF(AND($A618&gt;='Control Room'!$A$15,$A618&lt;'Control Room'!$A$15+'Control Room'!$B$15,'Process'!BR4=1),1+('Control Room'!$C$15-1)*EXP(-0.5*(($A618-'Control Room'!$A$15-('Control Room'!$B$15-1)/2)/MAX(0.5,'Control Room'!$B$15/4))^2),1)*IF(AND($A618&gt;='Control Room'!$A$16,$A618&lt;'Control Room'!$A$16+'Control Room'!$B$16,'Process'!BR5=1),1+('Control Room'!$C$16-1)*EXP(-0.5*(($A618-'Control Room'!$A$16-('Control Room'!$B$16-1)/2)/MAX(0.5,'Control Room'!$B$16/4))^2),1)</x:f>
        <x:v>1</x:v>
      </x:c>
      <x:c r="AP618" s="9" t="n">
        <x:f>MOD(AQ617*16807,2147483647)</x:f>
        <x:v>256068687</x:v>
      </x:c>
      <x:c r="AQ618" s="9" t="n">
        <x:f>MOD(AP618*16807,2147483647)</x:f>
        <x:v>189193821</x:v>
      </x:c>
      <x:c r="AR618" s="17" t="n">
        <x:f>IF('Control Room'!$B$5="Normal",'Control Room'!$B$7+'Control Room'!$D$7*SQRT(-2*LN(MAX(0.000000000001,AP618/2147483647)))*COS(2*PI()*AQ618/2147483647),'Control Room'!$B$8+('Control Room'!$D$8-'Control Room'!$B$8)*AP618/2147483647)</x:f>
        <x:v>1157.8915476244126</x:v>
      </x:c>
      <x:c r="AS618" s="17" t="n">
        <x:f>IF('Control Room'!$B$5="Normal",'Control Room'!$B$7,('Control Room'!$B$8+'Control Room'!$D$8)/2)+'Control Room'!$B$9*(AS617-IF('Control Room'!$B$5="Normal",'Control Room'!$B$7,('Control Room'!$B$8+'Control Room'!$D$8)/2))+SQRT(1-'Control Room'!$B$9^2)*(AR618-IF('Control Room'!$B$5="Normal",'Control Room'!$B$7,('Control Room'!$B$8+'Control Room'!$D$8)/2))</x:f>
        <x:v>985.530047073383</x:v>
      </x:c>
      <x:c r="AT618" s="17" t="n">
        <x:f>IF(AND($A618&gt;='Control Room'!$A$13,$A618&lt;'Control Room'!$A$13+'Control Room'!$B$13,'Process'!BS2=1),1+('Control Room'!$C$13-1)*EXP(-0.5*(($A618-'Control Room'!$A$13-('Control Room'!$B$13-1)/2)/MAX(0.5,'Control Room'!$B$13/4))^2),1)*IF(AND($A618&gt;='Control Room'!$A$14,$A618&lt;'Control Room'!$A$14+'Control Room'!$B$14,'Process'!BS3=1),1+('Control Room'!$C$14-1)*EXP(-0.5*(($A618-'Control Room'!$A$14-('Control Room'!$B$14-1)/2)/MAX(0.5,'Control Room'!$B$14/4))^2),1)*IF(AND($A618&gt;='Control Room'!$A$15,$A618&lt;'Control Room'!$A$15+'Control Room'!$B$15,'Process'!BS4=1),1+('Control Room'!$C$15-1)*EXP(-0.5*(($A618-'Control Room'!$A$15-('Control Room'!$B$15-1)/2)/MAX(0.5,'Control Room'!$B$15/4))^2),1)*IF(AND($A618&gt;='Control Room'!$A$16,$A618&lt;'Control Room'!$A$16+'Control Room'!$B$16,'Process'!BS5=1),1+('Control Room'!$C$16-1)*EXP(-0.5*(($A618-'Control Room'!$A$16-('Control Room'!$B$16-1)/2)/MAX(0.5,'Control Room'!$B$16/4))^2),1)</x:f>
        <x:v>1</x:v>
      </x:c>
      <x:c r="AU618" s="9" t="n">
        <x:f>MOD(AV617*16807,2147483647)</x:f>
        <x:v>1254287764</x:v>
      </x:c>
      <x:c r="AV618" s="9" t="n">
        <x:f>MOD(AU618*16807,2147483647)</x:f>
        <x:v>1114970596</x:v>
      </x:c>
      <x:c r="AW618" s="17" t="n">
        <x:f>IF('Control Room'!$B$5="Normal",'Control Room'!$B$7+'Control Room'!$D$7*SQRT(-2*LN(MAX(0.000000000001,AU618/2147483647)))*COS(2*PI()*AV618/2147483647),'Control Room'!$B$8+('Control Room'!$D$8-'Control Room'!$B$8)*AU618/2147483647)</x:f>
        <x:v>907.3443893662885</x:v>
      </x:c>
      <x:c r="AX618" s="17" t="n">
        <x:f>IF('Control Room'!$B$5="Normal",'Control Room'!$B$7,('Control Room'!$B$8+'Control Room'!$D$8)/2)+'Control Room'!$B$9*(AX617-IF('Control Room'!$B$5="Normal",'Control Room'!$B$7,('Control Room'!$B$8+'Control Room'!$D$8)/2))+SQRT(1-'Control Room'!$B$9^2)*(AW618-IF('Control Room'!$B$5="Normal",'Control Room'!$B$7,('Control Room'!$B$8+'Control Room'!$D$8)/2))</x:f>
        <x:v>934.630268439275</x:v>
      </x:c>
      <x:c r="AY618" s="17" t="n">
        <x:f>IF(AND($A618&gt;='Control Room'!$A$13,$A618&lt;'Control Room'!$A$13+'Control Room'!$B$13,'Process'!BT2=1),1+('Control Room'!$C$13-1)*EXP(-0.5*(($A618-'Control Room'!$A$13-('Control Room'!$B$13-1)/2)/MAX(0.5,'Control Room'!$B$13/4))^2),1)*IF(AND($A618&gt;='Control Room'!$A$14,$A618&lt;'Control Room'!$A$14+'Control Room'!$B$14,'Process'!BT3=1),1+('Control Room'!$C$14-1)*EXP(-0.5*(($A618-'Control Room'!$A$14-('Control Room'!$B$14-1)/2)/MAX(0.5,'Control Room'!$B$14/4))^2),1)*IF(AND($A618&gt;='Control Room'!$A$15,$A618&lt;'Control Room'!$A$15+'Control Room'!$B$15,'Process'!BT4=1),1+('Control Room'!$C$15-1)*EXP(-0.5*(($A618-'Control Room'!$A$15-('Control Room'!$B$15-1)/2)/MAX(0.5,'Control Room'!$B$15/4))^2),1)*IF(AND($A618&gt;='Control Room'!$A$16,$A618&lt;'Control Room'!$A$16+'Control Room'!$B$16,'Process'!BT5=1),1+('Control Room'!$C$16-1)*EXP(-0.5*(($A618-'Control Room'!$A$16-('Control Room'!$B$16-1)/2)/MAX(0.5,'Control Room'!$B$16/4))^2),1)</x:f>
        <x:v>1</x:v>
      </x:c>
      <x:c r="AZ618" s="9" t="n">
        <x:f>MOD(BA617*16807,2147483647)</x:f>
        <x:v>105023194</x:v>
      </x:c>
      <x:c r="BA618" s="9" t="n">
        <x:f>MOD(AZ618*16807,2147483647)</x:f>
        <x:v>2040747371</x:v>
      </x:c>
      <x:c r="BB618" s="17" t="n">
        <x:f>IF('Control Room'!$B$5="Normal",'Control Room'!$B$7+'Control Room'!$D$7*SQRT(-2*LN(MAX(0.000000000001,AZ618/2147483647)))*COS(2*PI()*BA618/2147483647),'Control Room'!$B$8+('Control Room'!$D$8-'Control Room'!$B$8)*AZ618/2147483647)</x:f>
        <x:v>1210.4149969957464</x:v>
      </x:c>
      <x:c r="BC618" s="17" t="n">
        <x:f>IF('Control Room'!$B$5="Normal",'Control Room'!$B$7,('Control Room'!$B$8+'Control Room'!$D$8)/2)+'Control Room'!$B$9*(BC617-IF('Control Room'!$B$5="Normal",'Control Room'!$B$7,('Control Room'!$B$8+'Control Room'!$D$8)/2))+SQRT(1-'Control Room'!$B$9^2)*(BB618-IF('Control Room'!$B$5="Normal",'Control Room'!$B$7,('Control Room'!$B$8+'Control Room'!$D$8)/2))</x:f>
        <x:v>1064.3097808770272</x:v>
      </x:c>
      <x:c r="BD618" s="17" t="n">
        <x:f>IF(AND($A618&gt;='Control Room'!$A$13,$A618&lt;'Control Room'!$A$13+'Control Room'!$B$13,'Process'!BU2=1),1+('Control Room'!$C$13-1)*EXP(-0.5*(($A618-'Control Room'!$A$13-('Control Room'!$B$13-1)/2)/MAX(0.5,'Control Room'!$B$13/4))^2),1)*IF(AND($A618&gt;='Control Room'!$A$14,$A618&lt;'Control Room'!$A$14+'Control Room'!$B$14,'Process'!BU3=1),1+('Control Room'!$C$14-1)*EXP(-0.5*(($A618-'Control Room'!$A$14-('Control Room'!$B$14-1)/2)/MAX(0.5,'Control Room'!$B$14/4))^2),1)*IF(AND($A618&gt;='Control Room'!$A$15,$A618&lt;'Control Room'!$A$15+'Control Room'!$B$15,'Process'!BU4=1),1+('Control Room'!$C$15-1)*EXP(-0.5*(($A618-'Control Room'!$A$15-('Control Room'!$B$15-1)/2)/MAX(0.5,'Control Room'!$B$15/4))^2),1)*IF(AND($A618&gt;='Control Room'!$A$16,$A618&lt;'Control Room'!$A$16+'Control Room'!$B$16,'Process'!BU5=1),1+('Control Room'!$C$16-1)*EXP(-0.5*(($A618-'Control Room'!$A$16-('Control Room'!$B$16-1)/2)/MAX(0.5,'Control Room'!$B$16/4))^2),1)</x:f>
        <x:v>1</x:v>
      </x:c>
      <x:c r="BE618" s="9" t="n">
        <x:f>MOD(BF617*16807,2147483647)</x:f>
        <x:v>1103242271</x:v>
      </x:c>
      <x:c r="BF618" s="9" t="n">
        <x:f>MOD(BE618*16807,2147483647)</x:f>
        <x:v>819040499</x:v>
      </x:c>
      <x:c r="BG618" s="17" t="n">
        <x:f>IF('Control Room'!$B$5="Normal",'Control Room'!$B$7+'Control Room'!$D$7*SQRT(-2*LN(MAX(0.000000000001,BE618/2147483647)))*COS(2*PI()*BF618/2147483647),'Control Room'!$B$8+('Control Room'!$D$8-'Control Room'!$B$8)*BE618/2147483647)</x:f>
        <x:v>923.6582393551066</x:v>
      </x:c>
      <x:c r="BH618" s="17" t="n">
        <x:f>IF('Control Room'!$B$5="Normal",'Control Room'!$B$7,('Control Room'!$B$8+'Control Room'!$D$8)/2)+'Control Room'!$B$9*(BH617-IF('Control Room'!$B$5="Normal",'Control Room'!$B$7,('Control Room'!$B$8+'Control Room'!$D$8)/2))+SQRT(1-'Control Room'!$B$9^2)*(BG618-IF('Control Room'!$B$5="Normal",'Control Room'!$B$7,('Control Room'!$B$8+'Control Room'!$D$8)/2))</x:f>
        <x:v>935.6975594055297</x:v>
      </x:c>
      <x:c r="BI618" s="17" t="n">
        <x:f>IF(AND($A618&gt;='Control Room'!$A$13,$A618&lt;'Control Room'!$A$13+'Control Room'!$B$13,'Process'!BV2=1),1+('Control Room'!$C$13-1)*EXP(-0.5*(($A618-'Control Room'!$A$13-('Control Room'!$B$13-1)/2)/MAX(0.5,'Control Room'!$B$13/4))^2),1)*IF(AND($A618&gt;='Control Room'!$A$14,$A618&lt;'Control Room'!$A$14+'Control Room'!$B$14,'Process'!BV3=1),1+('Control Room'!$C$14-1)*EXP(-0.5*(($A618-'Control Room'!$A$14-('Control Room'!$B$14-1)/2)/MAX(0.5,'Control Room'!$B$14/4))^2),1)*IF(AND($A618&gt;='Control Room'!$A$15,$A618&lt;'Control Room'!$A$15+'Control Room'!$B$15,'Process'!BV4=1),1+('Control Room'!$C$15-1)*EXP(-0.5*(($A618-'Control Room'!$A$15-('Control Room'!$B$15-1)/2)/MAX(0.5,'Control Room'!$B$15/4))^2),1)*IF(AND($A618&gt;='Control Room'!$A$16,$A618&lt;'Control Room'!$A$16+'Control Room'!$B$16,'Process'!BV5=1),1+('Control Room'!$C$16-1)*EXP(-0.5*(($A618-'Control Room'!$A$16-('Control Room'!$B$16-1)/2)/MAX(0.5,'Control Room'!$B$16/4))^2),1)</x:f>
        <x:v>1</x:v>
      </x:c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Z618" t="str">
        <x:f>IF('Data'!A618="","",TEXT('Data'!A618,"mm-dd"))</x:f>
      </x:c>
    </x:row>
    <x:row r="619" ht="21" customHeight="1">
      <x:c r="A619" s="15" t="n">
        <x:f>'Control Room'!$B$1+617</x:f>
        <x:v>73608</x:v>
      </x:c>
      <x:c r="B619" s="9" t="n">
        <x:f>MOD(C618*16807,2147483647)</x:f>
        <x:v>2004807295</x:v>
      </x:c>
      <x:c r="C619" s="9" t="n">
        <x:f>MOD(B619*16807,2147483647)</x:f>
        <x:v>777785635</x:v>
      </x:c>
      <x:c r="D619" s="17" t="n">
        <x:f>IF('Control Room'!$B$5="Normal",'Control Room'!$B$7+'Control Room'!$D$7*SQRT(-2*LN(MAX(0.000000000001,B619/2147483647)))*COS(2*PI()*C619/2147483647),'Control Room'!$B$8+('Control Room'!$D$8-'Control Room'!$B$8)*B619/2147483647)</x:f>
        <x:v>978.3765486727746</x:v>
      </x:c>
      <x:c r="E619" s="17" t="n">
        <x:f>IF('Control Room'!$B$5="Normal",'Control Room'!$B$7,('Control Room'!$B$8+'Control Room'!$D$8)/2)+'Control Room'!$B$9*(E618-IF('Control Room'!$B$5="Normal",'Control Room'!$B$7,('Control Room'!$B$8+'Control Room'!$D$8)/2))+SQRT(1-'Control Room'!$B$9^2)*(D619-IF('Control Room'!$B$5="Normal",'Control Room'!$B$7,('Control Room'!$B$8+'Control Room'!$D$8)/2))</x:f>
        <x:v>977.6273999292802</x:v>
      </x:c>
      <x:c r="F619" s="17" t="n">
        <x:f>IF(AND($A619&gt;='Control Room'!$A$13,$A619&lt;'Control Room'!$A$13+'Control Room'!$B$13,'Process'!BK2=1),1+('Control Room'!$C$13-1)*EXP(-0.5*(($A619-'Control Room'!$A$13-('Control Room'!$B$13-1)/2)/MAX(0.5,'Control Room'!$B$13/4))^2),1)*IF(AND($A619&gt;='Control Room'!$A$14,$A619&lt;'Control Room'!$A$14+'Control Room'!$B$14,'Process'!BK3=1),1+('Control Room'!$C$14-1)*EXP(-0.5*(($A619-'Control Room'!$A$14-('Control Room'!$B$14-1)/2)/MAX(0.5,'Control Room'!$B$14/4))^2),1)*IF(AND($A619&gt;='Control Room'!$A$15,$A619&lt;'Control Room'!$A$15+'Control Room'!$B$15,'Process'!BK4=1),1+('Control Room'!$C$15-1)*EXP(-0.5*(($A619-'Control Room'!$A$15-('Control Room'!$B$15-1)/2)/MAX(0.5,'Control Room'!$B$15/4))^2),1)*IF(AND($A619&gt;='Control Room'!$A$16,$A619&lt;'Control Room'!$A$16+'Control Room'!$B$16,'Process'!BK5=1),1+('Control Room'!$C$16-1)*EXP(-0.5*(($A619-'Control Room'!$A$16-('Control Room'!$B$16-1)/2)/MAX(0.5,'Control Room'!$B$16/4))^2),1)</x:f>
        <x:v>1</x:v>
      </x:c>
      <x:c r="G619" s="9" t="n">
        <x:f>MOD(H618*16807,2147483647)</x:f>
        <x:v>868558558</x:v>
      </x:c>
      <x:c r="H619" s="9" t="n">
        <x:f>MOD(G619*16807,2147483647)</x:f>
        <x:v>1417335647</x:v>
      </x:c>
      <x:c r="I619" s="17" t="n">
        <x:f>IF('Control Room'!$B$5="Normal",'Control Room'!$B$7+'Control Room'!$D$7*SQRT(-2*LN(MAX(0.000000000001,G619/2147483647)))*COS(2*PI()*H619/2147483647),'Control Room'!$B$8+('Control Room'!$D$8-'Control Room'!$B$8)*G619/2147483647)</x:f>
        <x:v>935.1118457216537</x:v>
      </x:c>
      <x:c r="J619" s="17" t="n">
        <x:f>IF('Control Room'!$B$5="Normal",'Control Room'!$B$7,('Control Room'!$B$8+'Control Room'!$D$8)/2)+'Control Room'!$B$9*(J618-IF('Control Room'!$B$5="Normal",'Control Room'!$B$7,('Control Room'!$B$8+'Control Room'!$D$8)/2))+SQRT(1-'Control Room'!$B$9^2)*(I619-IF('Control Room'!$B$5="Normal",'Control Room'!$B$7,('Control Room'!$B$8+'Control Room'!$D$8)/2))</x:f>
        <x:v>901.1019301011108</x:v>
      </x:c>
      <x:c r="K619" s="17" t="n">
        <x:f>IF(AND($A619&gt;='Control Room'!$A$13,$A619&lt;'Control Room'!$A$13+'Control Room'!$B$13,'Process'!BL2=1),1+('Control Room'!$C$13-1)*EXP(-0.5*(($A619-'Control Room'!$A$13-('Control Room'!$B$13-1)/2)/MAX(0.5,'Control Room'!$B$13/4))^2),1)*IF(AND($A619&gt;='Control Room'!$A$14,$A619&lt;'Control Room'!$A$14+'Control Room'!$B$14,'Process'!BL3=1),1+('Control Room'!$C$14-1)*EXP(-0.5*(($A619-'Control Room'!$A$14-('Control Room'!$B$14-1)/2)/MAX(0.5,'Control Room'!$B$14/4))^2),1)*IF(AND($A619&gt;='Control Room'!$A$15,$A619&lt;'Control Room'!$A$15+'Control Room'!$B$15,'Process'!BL4=1),1+('Control Room'!$C$15-1)*EXP(-0.5*(($A619-'Control Room'!$A$15-('Control Room'!$B$15-1)/2)/MAX(0.5,'Control Room'!$B$15/4))^2),1)*IF(AND($A619&gt;='Control Room'!$A$16,$A619&lt;'Control Room'!$A$16+'Control Room'!$B$16,'Process'!BL5=1),1+('Control Room'!$C$16-1)*EXP(-0.5*(($A619-'Control Room'!$A$16-('Control Room'!$B$16-1)/2)/MAX(0.5,'Control Room'!$B$16/4))^2),1)</x:f>
        <x:v>1</x:v>
      </x:c>
      <x:c r="L619" s="9" t="n">
        <x:f>MOD(M618*16807,2147483647)</x:f>
        <x:v>1879793468</x:v>
      </x:c>
      <x:c r="M619" s="9" t="n">
        <x:f>MOD(L619*16807,2147483647)</x:f>
        <x:v>2056885659</x:v>
      </x:c>
      <x:c r="N619" s="17" t="n">
        <x:f>IF('Control Room'!$B$5="Normal",'Control Room'!$B$7+'Control Room'!$D$7*SQRT(-2*LN(MAX(0.000000000001,L619/2147483647)))*COS(2*PI()*M619/2147483647),'Control Room'!$B$8+('Control Room'!$D$8-'Control Room'!$B$8)*L619/2147483647)</x:f>
        <x:v>1044.8191374231703</x:v>
      </x:c>
      <x:c r="O619" s="17" t="n">
        <x:f>IF('Control Room'!$B$5="Normal",'Control Room'!$B$7,('Control Room'!$B$8+'Control Room'!$D$8)/2)+'Control Room'!$B$9*(O618-IF('Control Room'!$B$5="Normal",'Control Room'!$B$7,('Control Room'!$B$8+'Control Room'!$D$8)/2))+SQRT(1-'Control Room'!$B$9^2)*(N619-IF('Control Room'!$B$5="Normal",'Control Room'!$B$7,('Control Room'!$B$8+'Control Room'!$D$8)/2))</x:f>
        <x:v>929.3377543221097</x:v>
      </x:c>
      <x:c r="P619" s="17" t="n">
        <x:f>IF(AND($A619&gt;='Control Room'!$A$13,$A619&lt;'Control Room'!$A$13+'Control Room'!$B$13,'Process'!BM2=1),1+('Control Room'!$C$13-1)*EXP(-0.5*(($A619-'Control Room'!$A$13-('Control Room'!$B$13-1)/2)/MAX(0.5,'Control Room'!$B$13/4))^2),1)*IF(AND($A619&gt;='Control Room'!$A$14,$A619&lt;'Control Room'!$A$14+'Control Room'!$B$14,'Process'!BM3=1),1+('Control Room'!$C$14-1)*EXP(-0.5*(($A619-'Control Room'!$A$14-('Control Room'!$B$14-1)/2)/MAX(0.5,'Control Room'!$B$14/4))^2),1)*IF(AND($A619&gt;='Control Room'!$A$15,$A619&lt;'Control Room'!$A$15+'Control Room'!$B$15,'Process'!BM4=1),1+('Control Room'!$C$15-1)*EXP(-0.5*(($A619-'Control Room'!$A$15-('Control Room'!$B$15-1)/2)/MAX(0.5,'Control Room'!$B$15/4))^2),1)*IF(AND($A619&gt;='Control Room'!$A$16,$A619&lt;'Control Room'!$A$16+'Control Room'!$B$16,'Process'!BM5=1),1+('Control Room'!$C$16-1)*EXP(-0.5*(($A619-'Control Room'!$A$16-('Control Room'!$B$16-1)/2)/MAX(0.5,'Control Room'!$B$16/4))^2),1)</x:f>
        <x:v>1</x:v>
      </x:c>
      <x:c r="Q619" s="9" t="n">
        <x:f>MOD(R618*16807,2147483647)</x:f>
        <x:v>743544731</x:v>
      </x:c>
      <x:c r="R619" s="9" t="n">
        <x:f>MOD(Q619*16807,2147483647)</x:f>
        <x:v>548952024</x:v>
      </x:c>
      <x:c r="S619" s="17" t="n">
        <x:f>IF('Control Room'!$B$5="Normal",'Control Room'!$B$7+'Control Room'!$D$7*SQRT(-2*LN(MAX(0.000000000001,Q619/2147483647)))*COS(2*PI()*R619/2147483647),'Control Room'!$B$8+('Control Room'!$D$8-'Control Room'!$B$8)*Q619/2147483647)</x:f>
        <x:v>995.3676162213065</x:v>
      </x:c>
      <x:c r="T619" s="17" t="n">
        <x:f>IF('Control Room'!$B$5="Normal",'Control Room'!$B$7,('Control Room'!$B$8+'Control Room'!$D$8)/2)+'Control Room'!$B$9*(T618-IF('Control Room'!$B$5="Normal",'Control Room'!$B$7,('Control Room'!$B$8+'Control Room'!$D$8)/2))+SQRT(1-'Control Room'!$B$9^2)*(S619-IF('Control Room'!$B$5="Normal",'Control Room'!$B$7,('Control Room'!$B$8+'Control Room'!$D$8)/2))</x:f>
        <x:v>991.8863557182336</x:v>
      </x:c>
      <x:c r="U619" s="17" t="n">
        <x:f>IF(AND($A619&gt;='Control Room'!$A$13,$A619&lt;'Control Room'!$A$13+'Control Room'!$B$13,'Process'!BN2=1),1+('Control Room'!$C$13-1)*EXP(-0.5*(($A619-'Control Room'!$A$13-('Control Room'!$B$13-1)/2)/MAX(0.5,'Control Room'!$B$13/4))^2),1)*IF(AND($A619&gt;='Control Room'!$A$14,$A619&lt;'Control Room'!$A$14+'Control Room'!$B$14,'Process'!BN3=1),1+('Control Room'!$C$14-1)*EXP(-0.5*(($A619-'Control Room'!$A$14-('Control Room'!$B$14-1)/2)/MAX(0.5,'Control Room'!$B$14/4))^2),1)*IF(AND($A619&gt;='Control Room'!$A$15,$A619&lt;'Control Room'!$A$15+'Control Room'!$B$15,'Process'!BN4=1),1+('Control Room'!$C$15-1)*EXP(-0.5*(($A619-'Control Room'!$A$15-('Control Room'!$B$15-1)/2)/MAX(0.5,'Control Room'!$B$15/4))^2),1)*IF(AND($A619&gt;='Control Room'!$A$16,$A619&lt;'Control Room'!$A$16+'Control Room'!$B$16,'Process'!BN5=1),1+('Control Room'!$C$16-1)*EXP(-0.5*(($A619-'Control Room'!$A$16-('Control Room'!$B$16-1)/2)/MAX(0.5,'Control Room'!$B$16/4))^2),1)</x:f>
        <x:v>1</x:v>
      </x:c>
      <x:c r="V619" s="9" t="n">
        <x:f>MOD(W618*16807,2147483647)</x:f>
        <x:v>1754779641</x:v>
      </x:c>
      <x:c r="W619" s="9" t="n">
        <x:f>MOD(V619*16807,2147483647)</x:f>
        <x:v>1188502036</x:v>
      </x:c>
      <x:c r="X619" s="17" t="n">
        <x:f>IF('Control Room'!$B$5="Normal",'Control Room'!$B$7+'Control Room'!$D$7*SQRT(-2*LN(MAX(0.000000000001,V619/2147483647)))*COS(2*PI()*W619/2147483647),'Control Room'!$B$8+('Control Room'!$D$8-'Control Room'!$B$8)*V619/2147483647)</x:f>
        <x:v>945.9958178346366</x:v>
      </x:c>
      <x:c r="Y619" s="17" t="n">
        <x:f>IF('Control Room'!$B$5="Normal",'Control Room'!$B$7,('Control Room'!$B$8+'Control Room'!$D$8)/2)+'Control Room'!$B$9*(Y618-IF('Control Room'!$B$5="Normal",'Control Room'!$B$7,('Control Room'!$B$8+'Control Room'!$D$8)/2))+SQRT(1-'Control Room'!$B$9^2)*(X619-IF('Control Room'!$B$5="Normal",'Control Room'!$B$7,('Control Room'!$B$8+'Control Room'!$D$8)/2))</x:f>
        <x:v>841.6783350898139</x:v>
      </x:c>
      <x:c r="Z619" s="17" t="n">
        <x:f>IF(AND($A619&gt;='Control Room'!$A$13,$A619&lt;'Control Room'!$A$13+'Control Room'!$B$13,'Process'!BO2=1),1+('Control Room'!$C$13-1)*EXP(-0.5*(($A619-'Control Room'!$A$13-('Control Room'!$B$13-1)/2)/MAX(0.5,'Control Room'!$B$13/4))^2),1)*IF(AND($A619&gt;='Control Room'!$A$14,$A619&lt;'Control Room'!$A$14+'Control Room'!$B$14,'Process'!BO3=1),1+('Control Room'!$C$14-1)*EXP(-0.5*(($A619-'Control Room'!$A$14-('Control Room'!$B$14-1)/2)/MAX(0.5,'Control Room'!$B$14/4))^2),1)*IF(AND($A619&gt;='Control Room'!$A$15,$A619&lt;'Control Room'!$A$15+'Control Room'!$B$15,'Process'!BO4=1),1+('Control Room'!$C$15-1)*EXP(-0.5*(($A619-'Control Room'!$A$15-('Control Room'!$B$15-1)/2)/MAX(0.5,'Control Room'!$B$15/4))^2),1)*IF(AND($A619&gt;='Control Room'!$A$16,$A619&lt;'Control Room'!$A$16+'Control Room'!$B$16,'Process'!BO5=1),1+('Control Room'!$C$16-1)*EXP(-0.5*(($A619-'Control Room'!$A$16-('Control Room'!$B$16-1)/2)/MAX(0.5,'Control Room'!$B$16/4))^2),1)</x:f>
        <x:v>1</x:v>
      </x:c>
      <x:c r="AA619" s="9" t="n">
        <x:f>MOD(AB618*16807,2147483647)</x:f>
        <x:v>618530904</x:v>
      </x:c>
      <x:c r="AB619" s="9" t="n">
        <x:f>MOD(AA619*16807,2147483647)</x:f>
        <x:v>1828052048</x:v>
      </x:c>
      <x:c r="AC619" s="17" t="n">
        <x:f>IF('Control Room'!$B$5="Normal",'Control Room'!$B$7+'Control Room'!$D$7*SQRT(-2*LN(MAX(0.000000000001,AA619/2147483647)))*COS(2*PI()*AB619/2147483647),'Control Room'!$B$8+('Control Room'!$D$8-'Control Room'!$B$8)*AA619/2147483647)</x:f>
        <x:v>1084.3678527629127</x:v>
      </x:c>
      <x:c r="AD619" s="17" t="n">
        <x:f>IF('Control Room'!$B$5="Normal",'Control Room'!$B$7,('Control Room'!$B$8+'Control Room'!$D$8)/2)+'Control Room'!$B$9*(AD618-IF('Control Room'!$B$5="Normal",'Control Room'!$B$7,('Control Room'!$B$8+'Control Room'!$D$8)/2))+SQRT(1-'Control Room'!$B$9^2)*(AC619-IF('Control Room'!$B$5="Normal",'Control Room'!$B$7,('Control Room'!$B$8+'Control Room'!$D$8)/2))</x:f>
        <x:v>1061.2785400576215</x:v>
      </x:c>
      <x:c r="AE619" s="17" t="n">
        <x:f>IF(AND($A619&gt;='Control Room'!$A$13,$A619&lt;'Control Room'!$A$13+'Control Room'!$B$13,'Process'!BP2=1),1+('Control Room'!$C$13-1)*EXP(-0.5*(($A619-'Control Room'!$A$13-('Control Room'!$B$13-1)/2)/MAX(0.5,'Control Room'!$B$13/4))^2),1)*IF(AND($A619&gt;='Control Room'!$A$14,$A619&lt;'Control Room'!$A$14+'Control Room'!$B$14,'Process'!BP3=1),1+('Control Room'!$C$14-1)*EXP(-0.5*(($A619-'Control Room'!$A$14-('Control Room'!$B$14-1)/2)/MAX(0.5,'Control Room'!$B$14/4))^2),1)*IF(AND($A619&gt;='Control Room'!$A$15,$A619&lt;'Control Room'!$A$15+'Control Room'!$B$15,'Process'!BP4=1),1+('Control Room'!$C$15-1)*EXP(-0.5*(($A619-'Control Room'!$A$15-('Control Room'!$B$15-1)/2)/MAX(0.5,'Control Room'!$B$15/4))^2),1)*IF(AND($A619&gt;='Control Room'!$A$16,$A619&lt;'Control Room'!$A$16+'Control Room'!$B$16,'Process'!BP5=1),1+('Control Room'!$C$16-1)*EXP(-0.5*(($A619-'Control Room'!$A$16-('Control Room'!$B$16-1)/2)/MAX(0.5,'Control Room'!$B$16/4))^2),1)</x:f>
        <x:v>1</x:v>
      </x:c>
      <x:c r="AF619" s="9" t="n">
        <x:f>MOD(AG618*16807,2147483647)</x:f>
        <x:v>1629765814</x:v>
      </x:c>
      <x:c r="AG619" s="9" t="n">
        <x:f>MOD(AF619*16807,2147483647)</x:f>
        <x:v>320118413</x:v>
      </x:c>
      <x:c r="AH619" s="17" t="n">
        <x:f>IF('Control Room'!$B$5="Normal",'Control Room'!$B$7+'Control Room'!$D$7*SQRT(-2*LN(MAX(0.000000000001,AF619/2147483647)))*COS(2*PI()*AG619/2147483647),'Control Room'!$B$8+('Control Room'!$D$8-'Control Room'!$B$8)*AF619/2147483647)</x:f>
        <x:v>1039.6099684928163</x:v>
      </x:c>
      <x:c r="AI619" s="17" t="n">
        <x:f>IF('Control Room'!$B$5="Normal",'Control Room'!$B$7,('Control Room'!$B$8+'Control Room'!$D$8)/2)+'Control Room'!$B$9*(AI618-IF('Control Room'!$B$5="Normal",'Control Room'!$B$7,('Control Room'!$B$8+'Control Room'!$D$8)/2))+SQRT(1-'Control Room'!$B$9^2)*(AH619-IF('Control Room'!$B$5="Normal",'Control Room'!$B$7,('Control Room'!$B$8+'Control Room'!$D$8)/2))</x:f>
        <x:v>1016.4511450187305</x:v>
      </x:c>
      <x:c r="AJ619" s="17" t="n">
        <x:f>IF(AND($A619&gt;='Control Room'!$A$13,$A619&lt;'Control Room'!$A$13+'Control Room'!$B$13,'Process'!BQ2=1),1+('Control Room'!$C$13-1)*EXP(-0.5*(($A619-'Control Room'!$A$13-('Control Room'!$B$13-1)/2)/MAX(0.5,'Control Room'!$B$13/4))^2),1)*IF(AND($A619&gt;='Control Room'!$A$14,$A619&lt;'Control Room'!$A$14+'Control Room'!$B$14,'Process'!BQ3=1),1+('Control Room'!$C$14-1)*EXP(-0.5*(($A619-'Control Room'!$A$14-('Control Room'!$B$14-1)/2)/MAX(0.5,'Control Room'!$B$14/4))^2),1)*IF(AND($A619&gt;='Control Room'!$A$15,$A619&lt;'Control Room'!$A$15+'Control Room'!$B$15,'Process'!BQ4=1),1+('Control Room'!$C$15-1)*EXP(-0.5*(($A619-'Control Room'!$A$15-('Control Room'!$B$15-1)/2)/MAX(0.5,'Control Room'!$B$15/4))^2),1)*IF(AND($A619&gt;='Control Room'!$A$16,$A619&lt;'Control Room'!$A$16+'Control Room'!$B$16,'Process'!BQ5=1),1+('Control Room'!$C$16-1)*EXP(-0.5*(($A619-'Control Room'!$A$16-('Control Room'!$B$16-1)/2)/MAX(0.5,'Control Room'!$B$16/4))^2),1)</x:f>
        <x:v>1</x:v>
      </x:c>
      <x:c r="AK619" s="9" t="n">
        <x:f>MOD(AL618*16807,2147483647)</x:f>
        <x:v>493517077</x:v>
      </x:c>
      <x:c r="AL619" s="9" t="n">
        <x:f>MOD(AK619*16807,2147483647)</x:f>
        <x:v>959668425</x:v>
      </x:c>
      <x:c r="AM619" s="17" t="n">
        <x:f>IF('Control Room'!$B$5="Normal",'Control Room'!$B$7+'Control Room'!$D$7*SQRT(-2*LN(MAX(0.000000000001,AK619/2147483647)))*COS(2*PI()*AL619/2147483647),'Control Room'!$B$8+('Control Room'!$D$8-'Control Room'!$B$8)*AK619/2147483647)</x:f>
        <x:v>854.1733071122651</x:v>
      </x:c>
      <x:c r="AN619" s="17" t="n">
        <x:f>IF('Control Room'!$B$5="Normal",'Control Room'!$B$7,('Control Room'!$B$8+'Control Room'!$D$8)/2)+'Control Room'!$B$9*(AN618-IF('Control Room'!$B$5="Normal",'Control Room'!$B$7,('Control Room'!$B$8+'Control Room'!$D$8)/2))+SQRT(1-'Control Room'!$B$9^2)*(AM619-IF('Control Room'!$B$5="Normal",'Control Room'!$B$7,('Control Room'!$B$8+'Control Room'!$D$8)/2))</x:f>
        <x:v>869.5951833823881</x:v>
      </x:c>
      <x:c r="AO619" s="17" t="n">
        <x:f>IF(AND($A619&gt;='Control Room'!$A$13,$A619&lt;'Control Room'!$A$13+'Control Room'!$B$13,'Process'!BR2=1),1+('Control Room'!$C$13-1)*EXP(-0.5*(($A619-'Control Room'!$A$13-('Control Room'!$B$13-1)/2)/MAX(0.5,'Control Room'!$B$13/4))^2),1)*IF(AND($A619&gt;='Control Room'!$A$14,$A619&lt;'Control Room'!$A$14+'Control Room'!$B$14,'Process'!BR3=1),1+('Control Room'!$C$14-1)*EXP(-0.5*(($A619-'Control Room'!$A$14-('Control Room'!$B$14-1)/2)/MAX(0.5,'Control Room'!$B$14/4))^2),1)*IF(AND($A619&gt;='Control Room'!$A$15,$A619&lt;'Control Room'!$A$15+'Control Room'!$B$15,'Process'!BR4=1),1+('Control Room'!$C$15-1)*EXP(-0.5*(($A619-'Control Room'!$A$15-('Control Room'!$B$15-1)/2)/MAX(0.5,'Control Room'!$B$15/4))^2),1)*IF(AND($A619&gt;='Control Room'!$A$16,$A619&lt;'Control Room'!$A$16+'Control Room'!$B$16,'Process'!BR5=1),1+('Control Room'!$C$16-1)*EXP(-0.5*(($A619-'Control Room'!$A$16-('Control Room'!$B$16-1)/2)/MAX(0.5,'Control Room'!$B$16/4))^2),1)</x:f>
        <x:v>1</x:v>
      </x:c>
      <x:c r="AP619" s="9" t="n">
        <x:f>MOD(AQ618*16807,2147483647)</x:f>
        <x:v>1504751987</x:v>
      </x:c>
      <x:c r="AQ619" s="9" t="n">
        <x:f>MOD(AP619*16807,2147483647)</x:f>
        <x:v>1599218437</x:v>
      </x:c>
      <x:c r="AR619" s="17" t="n">
        <x:f>IF('Control Room'!$B$5="Normal",'Control Room'!$B$7+'Control Room'!$D$7*SQRT(-2*LN(MAX(0.000000000001,AP619/2147483647)))*COS(2*PI()*AQ619/2147483647),'Control Room'!$B$8+('Control Room'!$D$8-'Control Room'!$B$8)*AP619/2147483647)</x:f>
        <x:v>997.4699013907551</x:v>
      </x:c>
      <x:c r="AS619" s="17" t="n">
        <x:f>IF('Control Room'!$B$5="Normal",'Control Room'!$B$7,('Control Room'!$B$8+'Control Room'!$D$8)/2)+'Control Room'!$B$9*(AS618-IF('Control Room'!$B$5="Normal",'Control Room'!$B$7,('Control Room'!$B$8+'Control Room'!$D$8)/2))+SQRT(1-'Control Room'!$B$9^2)*(AR619-IF('Control Room'!$B$5="Normal",'Control Room'!$B$7,('Control Room'!$B$8+'Control Room'!$D$8)/2))</x:f>
        <x:v>987.1301528394606</x:v>
      </x:c>
      <x:c r="AT619" s="17" t="n">
        <x:f>IF(AND($A619&gt;='Control Room'!$A$13,$A619&lt;'Control Room'!$A$13+'Control Room'!$B$13,'Process'!BS2=1),1+('Control Room'!$C$13-1)*EXP(-0.5*(($A619-'Control Room'!$A$13-('Control Room'!$B$13-1)/2)/MAX(0.5,'Control Room'!$B$13/4))^2),1)*IF(AND($A619&gt;='Control Room'!$A$14,$A619&lt;'Control Room'!$A$14+'Control Room'!$B$14,'Process'!BS3=1),1+('Control Room'!$C$14-1)*EXP(-0.5*(($A619-'Control Room'!$A$14-('Control Room'!$B$14-1)/2)/MAX(0.5,'Control Room'!$B$14/4))^2),1)*IF(AND($A619&gt;='Control Room'!$A$15,$A619&lt;'Control Room'!$A$15+'Control Room'!$B$15,'Process'!BS4=1),1+('Control Room'!$C$15-1)*EXP(-0.5*(($A619-'Control Room'!$A$15-('Control Room'!$B$15-1)/2)/MAX(0.5,'Control Room'!$B$15/4))^2),1)*IF(AND($A619&gt;='Control Room'!$A$16,$A619&lt;'Control Room'!$A$16+'Control Room'!$B$16,'Process'!BS5=1),1+('Control Room'!$C$16-1)*EXP(-0.5*(($A619-'Control Room'!$A$16-('Control Room'!$B$16-1)/2)/MAX(0.5,'Control Room'!$B$16/4))^2),1)</x:f>
        <x:v>1</x:v>
      </x:c>
      <x:c r="AU619" s="9" t="n">
        <x:f>MOD(AV618*16807,2147483647)</x:f>
        <x:v>368503250</x:v>
      </x:c>
      <x:c r="AV619" s="9" t="n">
        <x:f>MOD(AU619*16807,2147483647)</x:f>
        <x:v>91284802</x:v>
      </x:c>
      <x:c r="AW619" s="17" t="n">
        <x:f>IF('Control Room'!$B$5="Normal",'Control Room'!$B$7+'Control Room'!$D$7*SQRT(-2*LN(MAX(0.000000000001,AU619/2147483647)))*COS(2*PI()*AV619/2147483647),'Control Room'!$B$8+('Control Room'!$D$8-'Control Room'!$B$8)*AU619/2147483647)</x:f>
        <x:v>1162.9884998707087</x:v>
      </x:c>
      <x:c r="AX619" s="17" t="n">
        <x:f>IF('Control Room'!$B$5="Normal",'Control Room'!$B$7,('Control Room'!$B$8+'Control Room'!$D$8)/2)+'Control Room'!$B$9*(AX618-IF('Control Room'!$B$5="Normal",'Control Room'!$B$7,('Control Room'!$B$8+'Control Room'!$D$8)/2))+SQRT(1-'Control Room'!$B$9^2)*(AW619-IF('Control Room'!$B$5="Normal",'Control Room'!$B$7,('Control Room'!$B$8+'Control Room'!$D$8)/2))</x:f>
        <x:v>1051.0064736008133</x:v>
      </x:c>
      <x:c r="AY619" s="17" t="n">
        <x:f>IF(AND($A619&gt;='Control Room'!$A$13,$A619&lt;'Control Room'!$A$13+'Control Room'!$B$13,'Process'!BT2=1),1+('Control Room'!$C$13-1)*EXP(-0.5*(($A619-'Control Room'!$A$13-('Control Room'!$B$13-1)/2)/MAX(0.5,'Control Room'!$B$13/4))^2),1)*IF(AND($A619&gt;='Control Room'!$A$14,$A619&lt;'Control Room'!$A$14+'Control Room'!$B$14,'Process'!BT3=1),1+('Control Room'!$C$14-1)*EXP(-0.5*(($A619-'Control Room'!$A$14-('Control Room'!$B$14-1)/2)/MAX(0.5,'Control Room'!$B$14/4))^2),1)*IF(AND($A619&gt;='Control Room'!$A$15,$A619&lt;'Control Room'!$A$15+'Control Room'!$B$15,'Process'!BT4=1),1+('Control Room'!$C$15-1)*EXP(-0.5*(($A619-'Control Room'!$A$15-('Control Room'!$B$15-1)/2)/MAX(0.5,'Control Room'!$B$15/4))^2),1)*IF(AND($A619&gt;='Control Room'!$A$16,$A619&lt;'Control Room'!$A$16+'Control Room'!$B$16,'Process'!BT5=1),1+('Control Room'!$C$16-1)*EXP(-0.5*(($A619-'Control Room'!$A$16-('Control Room'!$B$16-1)/2)/MAX(0.5,'Control Room'!$B$16/4))^2),1)</x:f>
        <x:v>1</x:v>
      </x:c>
      <x:c r="AZ619" s="9" t="n">
        <x:f>MOD(BA618*16807,2147483647)</x:f>
        <x:v>1379738160</x:v>
      </x:c>
      <x:c r="BA619" s="9" t="n">
        <x:f>MOD(AZ619*16807,2147483647)</x:f>
        <x:v>730834814</x:v>
      </x:c>
      <x:c r="BB619" s="17" t="n">
        <x:f>IF('Control Room'!$B$5="Normal",'Control Room'!$B$7+'Control Room'!$D$7*SQRT(-2*LN(MAX(0.000000000001,AZ619/2147483647)))*COS(2*PI()*BA619/2147483647),'Control Room'!$B$8+('Control Room'!$D$8-'Control Room'!$B$8)*AZ619/2147483647)</x:f>
        <x:v>954.4938382687014</x:v>
      </x:c>
      <x:c r="BC619" s="17" t="n">
        <x:f>IF('Control Room'!$B$5="Normal",'Control Room'!$B$7,('Control Room'!$B$8+'Control Room'!$D$8)/2)+'Control Room'!$B$9*(BC618-IF('Control Room'!$B$5="Normal",'Control Room'!$B$7,('Control Room'!$B$8+'Control Room'!$D$8)/2))+SQRT(1-'Control Room'!$B$9^2)*(BB619-IF('Control Room'!$B$5="Normal",'Control Room'!$B$7,('Control Room'!$B$8+'Control Room'!$D$8)/2))</x:f>
        <x:v>1021.6848053170296</x:v>
      </x:c>
      <x:c r="BD619" s="17" t="n">
        <x:f>IF(AND($A619&gt;='Control Room'!$A$13,$A619&lt;'Control Room'!$A$13+'Control Room'!$B$13,'Process'!BU2=1),1+('Control Room'!$C$13-1)*EXP(-0.5*(($A619-'Control Room'!$A$13-('Control Room'!$B$13-1)/2)/MAX(0.5,'Control Room'!$B$13/4))^2),1)*IF(AND($A619&gt;='Control Room'!$A$14,$A619&lt;'Control Room'!$A$14+'Control Room'!$B$14,'Process'!BU3=1),1+('Control Room'!$C$14-1)*EXP(-0.5*(($A619-'Control Room'!$A$14-('Control Room'!$B$14-1)/2)/MAX(0.5,'Control Room'!$B$14/4))^2),1)*IF(AND($A619&gt;='Control Room'!$A$15,$A619&lt;'Control Room'!$A$15+'Control Room'!$B$15,'Process'!BU4=1),1+('Control Room'!$C$15-1)*EXP(-0.5*(($A619-'Control Room'!$A$15-('Control Room'!$B$15-1)/2)/MAX(0.5,'Control Room'!$B$15/4))^2),1)*IF(AND($A619&gt;='Control Room'!$A$16,$A619&lt;'Control Room'!$A$16+'Control Room'!$B$16,'Process'!BU5=1),1+('Control Room'!$C$16-1)*EXP(-0.5*(($A619-'Control Room'!$A$16-('Control Room'!$B$16-1)/2)/MAX(0.5,'Control Room'!$B$16/4))^2),1)</x:f>
        <x:v>1</x:v>
      </x:c>
      <x:c r="BE619" s="9" t="n">
        <x:f>MOD(BF618*16807,2147483647)</x:f>
        <x:v>243489423</x:v>
      </x:c>
      <x:c r="BF619" s="9" t="n">
        <x:f>MOD(BE619*16807,2147483647)</x:f>
        <x:v>1370384826</x:v>
      </x:c>
      <x:c r="BG619" s="17" t="n">
        <x:f>IF('Control Room'!$B$5="Normal",'Control Room'!$B$7+'Control Room'!$D$7*SQRT(-2*LN(MAX(0.000000000001,BE619/2147483647)))*COS(2*PI()*BF619/2147483647),'Control Room'!$B$8+('Control Room'!$D$8-'Control Room'!$B$8)*BE619/2147483647)</x:f>
        <x:v>878.607612399043</x:v>
      </x:c>
      <x:c r="BH619" s="17" t="n">
        <x:f>IF('Control Room'!$B$5="Normal",'Control Room'!$B$7,('Control Room'!$B$8+'Control Room'!$D$8)/2)+'Control Room'!$B$9*(BH618-IF('Control Room'!$B$5="Normal",'Control Room'!$B$7,('Control Room'!$B$8+'Control Room'!$D$8)/2))+SQRT(1-'Control Room'!$B$9^2)*(BG619-IF('Control Room'!$B$5="Normal",'Control Room'!$B$7,('Control Room'!$B$8+'Control Room'!$D$8)/2))</x:f>
        <x:v>873.879227033867</x:v>
      </x:c>
      <x:c r="BI619" s="17" t="n">
        <x:f>IF(AND($A619&gt;='Control Room'!$A$13,$A619&lt;'Control Room'!$A$13+'Control Room'!$B$13,'Process'!BV2=1),1+('Control Room'!$C$13-1)*EXP(-0.5*(($A619-'Control Room'!$A$13-('Control Room'!$B$13-1)/2)/MAX(0.5,'Control Room'!$B$13/4))^2),1)*IF(AND($A619&gt;='Control Room'!$A$14,$A619&lt;'Control Room'!$A$14+'Control Room'!$B$14,'Process'!BV3=1),1+('Control Room'!$C$14-1)*EXP(-0.5*(($A619-'Control Room'!$A$14-('Control Room'!$B$14-1)/2)/MAX(0.5,'Control Room'!$B$14/4))^2),1)*IF(AND($A619&gt;='Control Room'!$A$15,$A619&lt;'Control Room'!$A$15+'Control Room'!$B$15,'Process'!BV4=1),1+('Control Room'!$C$15-1)*EXP(-0.5*(($A619-'Control Room'!$A$15-('Control Room'!$B$15-1)/2)/MAX(0.5,'Control Room'!$B$15/4))^2),1)*IF(AND($A619&gt;='Control Room'!$A$16,$A619&lt;'Control Room'!$A$16+'Control Room'!$B$16,'Process'!BV5=1),1+('Control Room'!$C$16-1)*EXP(-0.5*(($A619-'Control Room'!$A$16-('Control Room'!$B$16-1)/2)/MAX(0.5,'Control Room'!$B$16/4))^2),1)</x:f>
        <x:v>1</x:v>
      </x:c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Z619" t="str">
        <x:f>IF('Data'!A619="","",TEXT('Data'!A619,"mm-dd"))</x:f>
      </x:c>
    </x:row>
    <x:row r="620" ht="21" customHeight="1">
      <x:c r="A620" s="15" t="n">
        <x:f>'Control Room'!$B$1+618</x:f>
        <x:v>73609</x:v>
      </x:c>
      <x:c r="B620" s="9" t="n">
        <x:f>MOD(C619*16807,2147483647)</x:f>
        <x:v>510208156</x:v>
      </x:c>
      <x:c r="C620" s="9" t="n">
        <x:f>MOD(B620*16807,2147483647)</x:f>
        <x:v>166275421</x:v>
      </x:c>
      <x:c r="D620" s="17" t="n">
        <x:f>IF('Control Room'!$B$5="Normal",'Control Room'!$B$7+'Control Room'!$D$7*SQRT(-2*LN(MAX(0.000000000001,B620/2147483647)))*COS(2*PI()*C620/2147483647),'Control Room'!$B$8+('Control Room'!$D$8-'Control Room'!$B$8)*B620/2147483647)</x:f>
        <x:v>1134.8845392764526</x:v>
      </x:c>
      <x:c r="E620" s="17" t="n">
        <x:f>IF('Control Room'!$B$5="Normal",'Control Room'!$B$7,('Control Room'!$B$8+'Control Room'!$D$8)/2)+'Control Room'!$B$9*(E619-IF('Control Room'!$B$5="Normal",'Control Room'!$B$7,('Control Room'!$B$8+'Control Room'!$D$8)/2))+SQRT(1-'Control Room'!$B$9^2)*(D620-IF('Control Room'!$B$5="Normal",'Control Room'!$B$7,('Control Room'!$B$8+'Control Room'!$D$8)/2))</x:f>
        <x:v>1066.957353364059</x:v>
      </x:c>
      <x:c r="F620" s="17" t="n">
        <x:f>IF(AND($A620&gt;='Control Room'!$A$13,$A620&lt;'Control Room'!$A$13+'Control Room'!$B$13,'Process'!BK2=1),1+('Control Room'!$C$13-1)*EXP(-0.5*(($A620-'Control Room'!$A$13-('Control Room'!$B$13-1)/2)/MAX(0.5,'Control Room'!$B$13/4))^2),1)*IF(AND($A620&gt;='Control Room'!$A$14,$A620&lt;'Control Room'!$A$14+'Control Room'!$B$14,'Process'!BK3=1),1+('Control Room'!$C$14-1)*EXP(-0.5*(($A620-'Control Room'!$A$14-('Control Room'!$B$14-1)/2)/MAX(0.5,'Control Room'!$B$14/4))^2),1)*IF(AND($A620&gt;='Control Room'!$A$15,$A620&lt;'Control Room'!$A$15+'Control Room'!$B$15,'Process'!BK4=1),1+('Control Room'!$C$15-1)*EXP(-0.5*(($A620-'Control Room'!$A$15-('Control Room'!$B$15-1)/2)/MAX(0.5,'Control Room'!$B$15/4))^2),1)*IF(AND($A620&gt;='Control Room'!$A$16,$A620&lt;'Control Room'!$A$16+'Control Room'!$B$16,'Process'!BK5=1),1+('Control Room'!$C$16-1)*EXP(-0.5*(($A620-'Control Room'!$A$16-('Control Room'!$B$16-1)/2)/MAX(0.5,'Control Room'!$B$16/4))^2),1)</x:f>
        <x:v>1</x:v>
      </x:c>
      <x:c r="G620" s="9" t="n">
        <x:f>MOD(H619*16807,2147483647)</x:f>
        <x:v>1271606605</x:v>
      </x:c>
      <x:c r="H620" s="9" t="n">
        <x:f>MOD(G620*16807,2147483647)</x:f>
        <x:v>134955291</x:v>
      </x:c>
      <x:c r="I620" s="17" t="n">
        <x:f>IF('Control Room'!$B$5="Normal",'Control Room'!$B$7+'Control Room'!$D$7*SQRT(-2*LN(MAX(0.000000000001,G620/2147483647)))*COS(2*PI()*H620/2147483647),'Control Room'!$B$8+('Control Room'!$D$8-'Control Room'!$B$8)*G620/2147483647)</x:f>
        <x:v>1085.0463305953417</x:v>
      </x:c>
      <x:c r="J620" s="17" t="n">
        <x:f>IF('Control Room'!$B$5="Normal",'Control Room'!$B$7,('Control Room'!$B$8+'Control Room'!$D$8)/2)+'Control Room'!$B$9*(J619-IF('Control Room'!$B$5="Normal",'Control Room'!$B$7,('Control Room'!$B$8+'Control Room'!$D$8)/2))+SQRT(1-'Control Room'!$B$9^2)*(I620-IF('Control Room'!$B$5="Normal",'Control Room'!$B$7,('Control Room'!$B$8+'Control Room'!$D$8)/2))</x:f>
        <x:v>976.0797568966483</x:v>
      </x:c>
      <x:c r="K620" s="17" t="n">
        <x:f>IF(AND($A620&gt;='Control Room'!$A$13,$A620&lt;'Control Room'!$A$13+'Control Room'!$B$13,'Process'!BL2=1),1+('Control Room'!$C$13-1)*EXP(-0.5*(($A620-'Control Room'!$A$13-('Control Room'!$B$13-1)/2)/MAX(0.5,'Control Room'!$B$13/4))^2),1)*IF(AND($A620&gt;='Control Room'!$A$14,$A620&lt;'Control Room'!$A$14+'Control Room'!$B$14,'Process'!BL3=1),1+('Control Room'!$C$14-1)*EXP(-0.5*(($A620-'Control Room'!$A$14-('Control Room'!$B$14-1)/2)/MAX(0.5,'Control Room'!$B$14/4))^2),1)*IF(AND($A620&gt;='Control Room'!$A$15,$A620&lt;'Control Room'!$A$15+'Control Room'!$B$15,'Process'!BL4=1),1+('Control Room'!$C$15-1)*EXP(-0.5*(($A620-'Control Room'!$A$15-('Control Room'!$B$15-1)/2)/MAX(0.5,'Control Room'!$B$15/4))^2),1)*IF(AND($A620&gt;='Control Room'!$A$16,$A620&lt;'Control Room'!$A$16+'Control Room'!$B$16,'Process'!BL5=1),1+('Control Room'!$C$16-1)*EXP(-0.5*(($A620-'Control Room'!$A$16-('Control Room'!$B$16-1)/2)/MAX(0.5,'Control Room'!$B$16/4))^2),1)</x:f>
        <x:v>1</x:v>
      </x:c>
      <x:c r="L620" s="9" t="n">
        <x:f>MOD(M619*16807,2147483647)</x:f>
        <x:v>2033005054</x:v>
      </x:c>
      <x:c r="M620" s="9" t="n">
        <x:f>MOD(L620*16807,2147483647)</x:f>
        <x:v>103635161</x:v>
      </x:c>
      <x:c r="N620" s="17" t="n">
        <x:f>IF('Control Room'!$B$5="Normal",'Control Room'!$B$7+'Control Room'!$D$7*SQRT(-2*LN(MAX(0.000000000001,L620/2147483647)))*COS(2*PI()*M620/2147483647),'Control Room'!$B$8+('Control Room'!$D$8-'Control Room'!$B$8)*L620/2147483647)</x:f>
        <x:v>1028.4313051347726</x:v>
      </x:c>
      <x:c r="O620" s="17" t="n">
        <x:f>IF('Control Room'!$B$5="Normal",'Control Room'!$B$7,('Control Room'!$B$8+'Control Room'!$D$8)/2)+'Control Room'!$B$9*(O619-IF('Control Room'!$B$5="Normal",'Control Room'!$B$7,('Control Room'!$B$8+'Control Room'!$D$8)/2))+SQRT(1-'Control Room'!$B$9^2)*(N620-IF('Control Room'!$B$5="Normal",'Control Room'!$B$7,('Control Room'!$B$8+'Control Room'!$D$8)/2))</x:f>
        <x:v>962.6751766776417</x:v>
      </x:c>
      <x:c r="P620" s="17" t="n">
        <x:f>IF(AND($A620&gt;='Control Room'!$A$13,$A620&lt;'Control Room'!$A$13+'Control Room'!$B$13,'Process'!BM2=1),1+('Control Room'!$C$13-1)*EXP(-0.5*(($A620-'Control Room'!$A$13-('Control Room'!$B$13-1)/2)/MAX(0.5,'Control Room'!$B$13/4))^2),1)*IF(AND($A620&gt;='Control Room'!$A$14,$A620&lt;'Control Room'!$A$14+'Control Room'!$B$14,'Process'!BM3=1),1+('Control Room'!$C$14-1)*EXP(-0.5*(($A620-'Control Room'!$A$14-('Control Room'!$B$14-1)/2)/MAX(0.5,'Control Room'!$B$14/4))^2),1)*IF(AND($A620&gt;='Control Room'!$A$15,$A620&lt;'Control Room'!$A$15+'Control Room'!$B$15,'Process'!BM4=1),1+('Control Room'!$C$15-1)*EXP(-0.5*(($A620-'Control Room'!$A$15-('Control Room'!$B$15-1)/2)/MAX(0.5,'Control Room'!$B$15/4))^2),1)*IF(AND($A620&gt;='Control Room'!$A$16,$A620&lt;'Control Room'!$A$16+'Control Room'!$B$16,'Process'!BM5=1),1+('Control Room'!$C$16-1)*EXP(-0.5*(($A620-'Control Room'!$A$16-('Control Room'!$B$16-1)/2)/MAX(0.5,'Control Room'!$B$16/4))^2),1)</x:f>
        <x:v>1</x:v>
      </x:c>
      <x:c r="Q620" s="9" t="n">
        <x:f>MOD(R619*16807,2147483647)</x:f>
        <x:v>646919856</x:v>
      </x:c>
      <x:c r="R620" s="9" t="n">
        <x:f>MOD(Q620*16807,2147483647)</x:f>
        <x:v>72315031</x:v>
      </x:c>
      <x:c r="S620" s="17" t="n">
        <x:f>IF('Control Room'!$B$5="Normal",'Control Room'!$B$7+'Control Room'!$D$7*SQRT(-2*LN(MAX(0.000000000001,Q620/2147483647)))*COS(2*PI()*R620/2147483647),'Control Room'!$B$8+('Control Room'!$D$8-'Control Room'!$B$8)*Q620/2147483647)</x:f>
        <x:v>1136.3084808318426</x:v>
      </x:c>
      <x:c r="T620" s="17" t="n">
        <x:f>IF('Control Room'!$B$5="Normal",'Control Room'!$B$7,('Control Room'!$B$8+'Control Room'!$D$8)/2)+'Control Room'!$B$9*(T619-IF('Control Room'!$B$5="Normal",'Control Room'!$B$7,('Control Room'!$B$8+'Control Room'!$D$8)/2))+SQRT(1-'Control Room'!$B$9^2)*(S620-IF('Control Room'!$B$5="Normal",'Control Room'!$B$7,('Control Room'!$B$8+'Control Room'!$D$8)/2))</x:f>
        <x:v>1078.9704123337774</x:v>
      </x:c>
      <x:c r="U620" s="17" t="n">
        <x:f>IF(AND($A620&gt;='Control Room'!$A$13,$A620&lt;'Control Room'!$A$13+'Control Room'!$B$13,'Process'!BN2=1),1+('Control Room'!$C$13-1)*EXP(-0.5*(($A620-'Control Room'!$A$13-('Control Room'!$B$13-1)/2)/MAX(0.5,'Control Room'!$B$13/4))^2),1)*IF(AND($A620&gt;='Control Room'!$A$14,$A620&lt;'Control Room'!$A$14+'Control Room'!$B$14,'Process'!BN3=1),1+('Control Room'!$C$14-1)*EXP(-0.5*(($A620-'Control Room'!$A$14-('Control Room'!$B$14-1)/2)/MAX(0.5,'Control Room'!$B$14/4))^2),1)*IF(AND($A620&gt;='Control Room'!$A$15,$A620&lt;'Control Room'!$A$15+'Control Room'!$B$15,'Process'!BN4=1),1+('Control Room'!$C$15-1)*EXP(-0.5*(($A620-'Control Room'!$A$15-('Control Room'!$B$15-1)/2)/MAX(0.5,'Control Room'!$B$15/4))^2),1)*IF(AND($A620&gt;='Control Room'!$A$16,$A620&lt;'Control Room'!$A$16+'Control Room'!$B$16,'Process'!BN5=1),1+('Control Room'!$C$16-1)*EXP(-0.5*(($A620-'Control Room'!$A$16-('Control Room'!$B$16-1)/2)/MAX(0.5,'Control Room'!$B$16/4))^2),1)</x:f>
        <x:v>1</x:v>
      </x:c>
      <x:c r="V620" s="9" t="n">
        <x:f>MOD(W619*16807,2147483647)</x:f>
        <x:v>1408318305</x:v>
      </x:c>
      <x:c r="W620" s="9" t="n">
        <x:f>MOD(V620*16807,2147483647)</x:f>
        <x:v>40994901</x:v>
      </x:c>
      <x:c r="X620" s="17" t="n">
        <x:f>IF('Control Room'!$B$5="Normal",'Control Room'!$B$7+'Control Room'!$D$7*SQRT(-2*LN(MAX(0.000000000001,V620/2147483647)))*COS(2*PI()*W620/2147483647),'Control Room'!$B$8+('Control Room'!$D$8-'Control Room'!$B$8)*V620/2147483647)</x:f>
        <x:v>1082.0787937154034</x:v>
      </x:c>
      <x:c r="Y620" s="17" t="n">
        <x:f>IF('Control Room'!$B$5="Normal",'Control Room'!$B$7,('Control Room'!$B$8+'Control Room'!$D$8)/2)+'Control Room'!$B$9*(Y619-IF('Control Room'!$B$5="Normal",'Control Room'!$B$7,('Control Room'!$B$8+'Control Room'!$D$8)/2))+SQRT(1-'Control Room'!$B$9^2)*(X620-IF('Control Room'!$B$5="Normal",'Control Room'!$B$7,('Control Room'!$B$8+'Control Room'!$D$8)/2))</x:f>
        <x:v>927.8723290016687</x:v>
      </x:c>
      <x:c r="Z620" s="17" t="n">
        <x:f>IF(AND($A620&gt;='Control Room'!$A$13,$A620&lt;'Control Room'!$A$13+'Control Room'!$B$13,'Process'!BO2=1),1+('Control Room'!$C$13-1)*EXP(-0.5*(($A620-'Control Room'!$A$13-('Control Room'!$B$13-1)/2)/MAX(0.5,'Control Room'!$B$13/4))^2),1)*IF(AND($A620&gt;='Control Room'!$A$14,$A620&lt;'Control Room'!$A$14+'Control Room'!$B$14,'Process'!BO3=1),1+('Control Room'!$C$14-1)*EXP(-0.5*(($A620-'Control Room'!$A$14-('Control Room'!$B$14-1)/2)/MAX(0.5,'Control Room'!$B$14/4))^2),1)*IF(AND($A620&gt;='Control Room'!$A$15,$A620&lt;'Control Room'!$A$15+'Control Room'!$B$15,'Process'!BO4=1),1+('Control Room'!$C$15-1)*EXP(-0.5*(($A620-'Control Room'!$A$15-('Control Room'!$B$15-1)/2)/MAX(0.5,'Control Room'!$B$15/4))^2),1)*IF(AND($A620&gt;='Control Room'!$A$16,$A620&lt;'Control Room'!$A$16+'Control Room'!$B$16,'Process'!BO5=1),1+('Control Room'!$C$16-1)*EXP(-0.5*(($A620-'Control Room'!$A$16-('Control Room'!$B$16-1)/2)/MAX(0.5,'Control Room'!$B$16/4))^2),1)</x:f>
        <x:v>1</x:v>
      </x:c>
      <x:c r="AA620" s="9" t="n">
        <x:f>MOD(AB619*16807,2147483647)</x:f>
        <x:v>22233107</x:v>
      </x:c>
      <x:c r="AB620" s="9" t="n">
        <x:f>MOD(AA620*16807,2147483647)</x:f>
        <x:v>9674771</x:v>
      </x:c>
      <x:c r="AC620" s="17" t="n">
        <x:f>IF('Control Room'!$B$5="Normal",'Control Room'!$B$7+'Control Room'!$D$7*SQRT(-2*LN(MAX(0.000000000001,AA620/2147483647)))*COS(2*PI()*AB620/2147483647),'Control Room'!$B$8+('Control Room'!$D$8-'Control Room'!$B$8)*AA620/2147483647)</x:f>
        <x:v>1271.9968657319293</x:v>
      </x:c>
      <x:c r="AD620" s="17" t="n">
        <x:f>IF('Control Room'!$B$5="Normal",'Control Room'!$B$7,('Control Room'!$B$8+'Control Room'!$D$8)/2)+'Control Room'!$B$9*(AD619-IF('Control Room'!$B$5="Normal",'Control Room'!$B$7,('Control Room'!$B$8+'Control Room'!$D$8)/2))+SQRT(1-'Control Room'!$B$9^2)*(AC620-IF('Control Room'!$B$5="Normal",'Control Room'!$B$7,('Control Room'!$B$8+'Control Room'!$D$8)/2))</x:f>
        <x:v>1218.007327661318</x:v>
      </x:c>
      <x:c r="AE620" s="17" t="n">
        <x:f>IF(AND($A620&gt;='Control Room'!$A$13,$A620&lt;'Control Room'!$A$13+'Control Room'!$B$13,'Process'!BP2=1),1+('Control Room'!$C$13-1)*EXP(-0.5*(($A620-'Control Room'!$A$13-('Control Room'!$B$13-1)/2)/MAX(0.5,'Control Room'!$B$13/4))^2),1)*IF(AND($A620&gt;='Control Room'!$A$14,$A620&lt;'Control Room'!$A$14+'Control Room'!$B$14,'Process'!BP3=1),1+('Control Room'!$C$14-1)*EXP(-0.5*(($A620-'Control Room'!$A$14-('Control Room'!$B$14-1)/2)/MAX(0.5,'Control Room'!$B$14/4))^2),1)*IF(AND($A620&gt;='Control Room'!$A$15,$A620&lt;'Control Room'!$A$15+'Control Room'!$B$15,'Process'!BP4=1),1+('Control Room'!$C$15-1)*EXP(-0.5*(($A620-'Control Room'!$A$15-('Control Room'!$B$15-1)/2)/MAX(0.5,'Control Room'!$B$15/4))^2),1)*IF(AND($A620&gt;='Control Room'!$A$16,$A620&lt;'Control Room'!$A$16+'Control Room'!$B$16,'Process'!BP5=1),1+('Control Room'!$C$16-1)*EXP(-0.5*(($A620-'Control Room'!$A$16-('Control Room'!$B$16-1)/2)/MAX(0.5,'Control Room'!$B$16/4))^2),1)</x:f>
        <x:v>1</x:v>
      </x:c>
      <x:c r="AF620" s="9" t="n">
        <x:f>MOD(AG619*16807,2147483647)</x:f>
        <x:v>783631556</x:v>
      </x:c>
      <x:c r="AG620" s="9" t="n">
        <x:f>MOD(AF620*16807,2147483647)</x:f>
        <x:v>2125838288</x:v>
      </x:c>
      <x:c r="AH620" s="17" t="n">
        <x:f>IF('Control Room'!$B$5="Normal",'Control Room'!$B$7+'Control Room'!$D$7*SQRT(-2*LN(MAX(0.000000000001,AF620/2147483647)))*COS(2*PI()*AG620/2147483647),'Control Room'!$B$8+('Control Room'!$D$8-'Control Room'!$B$8)*AF620/2147483647)</x:f>
        <x:v>1127.5382984720475</x:v>
      </x:c>
      <x:c r="AI620" s="17" t="n">
        <x:f>IF('Control Room'!$B$5="Normal",'Control Room'!$B$7,('Control Room'!$B$8+'Control Room'!$D$8)/2)+'Control Room'!$B$9*(AI619-IF('Control Room'!$B$5="Normal",'Control Room'!$B$7,('Control Room'!$B$8+'Control Room'!$D$8)/2))+SQRT(1-'Control Room'!$B$9^2)*(AH620-IF('Control Room'!$B$5="Normal",'Control Room'!$B$7,('Control Room'!$B$8+'Control Room'!$D$8)/2))</x:f>
        <x:v>1092.6427475343564</x:v>
      </x:c>
      <x:c r="AJ620" s="17" t="n">
        <x:f>IF(AND($A620&gt;='Control Room'!$A$13,$A620&lt;'Control Room'!$A$13+'Control Room'!$B$13,'Process'!BQ2=1),1+('Control Room'!$C$13-1)*EXP(-0.5*(($A620-'Control Room'!$A$13-('Control Room'!$B$13-1)/2)/MAX(0.5,'Control Room'!$B$13/4))^2),1)*IF(AND($A620&gt;='Control Room'!$A$14,$A620&lt;'Control Room'!$A$14+'Control Room'!$B$14,'Process'!BQ3=1),1+('Control Room'!$C$14-1)*EXP(-0.5*(($A620-'Control Room'!$A$14-('Control Room'!$B$14-1)/2)/MAX(0.5,'Control Room'!$B$14/4))^2),1)*IF(AND($A620&gt;='Control Room'!$A$15,$A620&lt;'Control Room'!$A$15+'Control Room'!$B$15,'Process'!BQ4=1),1+('Control Room'!$C$15-1)*EXP(-0.5*(($A620-'Control Room'!$A$15-('Control Room'!$B$15-1)/2)/MAX(0.5,'Control Room'!$B$15/4))^2),1)*IF(AND($A620&gt;='Control Room'!$A$16,$A620&lt;'Control Room'!$A$16+'Control Room'!$B$16,'Process'!BQ5=1),1+('Control Room'!$C$16-1)*EXP(-0.5*(($A620-'Control Room'!$A$16-('Control Room'!$B$16-1)/2)/MAX(0.5,'Control Room'!$B$16/4))^2),1)</x:f>
        <x:v>1</x:v>
      </x:c>
      <x:c r="AK620" s="9" t="n">
        <x:f>MOD(AL619*16807,2147483647)</x:f>
        <x:v>1545030005</x:v>
      </x:c>
      <x:c r="AL620" s="9" t="n">
        <x:f>MOD(AK620*16807,2147483647)</x:f>
        <x:v>2094518158</x:v>
      </x:c>
      <x:c r="AM620" s="17" t="n">
        <x:f>IF('Control Room'!$B$5="Normal",'Control Room'!$B$7+'Control Room'!$D$7*SQRT(-2*LN(MAX(0.000000000001,AK620/2147483647)))*COS(2*PI()*AL620/2147483647),'Control Room'!$B$8+('Control Room'!$D$8-'Control Room'!$B$8)*AK620/2147483647)</x:f>
        <x:v>1072.1583878610702</x:v>
      </x:c>
      <x:c r="AN620" s="17" t="n">
        <x:f>IF('Control Room'!$B$5="Normal",'Control Room'!$B$7,('Control Room'!$B$8+'Control Room'!$D$8)/2)+'Control Room'!$B$9*(AN619-IF('Control Room'!$B$5="Normal",'Control Room'!$B$7,('Control Room'!$B$8+'Control Room'!$D$8)/2))+SQRT(1-'Control Room'!$B$9^2)*(AM620-IF('Control Room'!$B$5="Normal",'Control Room'!$B$7,('Control Room'!$B$8+'Control Room'!$D$8)/2))</x:f>
        <x:v>943.4394839167953</x:v>
      </x:c>
      <x:c r="AO620" s="17" t="n">
        <x:f>IF(AND($A620&gt;='Control Room'!$A$13,$A620&lt;'Control Room'!$A$13+'Control Room'!$B$13,'Process'!BR2=1),1+('Control Room'!$C$13-1)*EXP(-0.5*(($A620-'Control Room'!$A$13-('Control Room'!$B$13-1)/2)/MAX(0.5,'Control Room'!$B$13/4))^2),1)*IF(AND($A620&gt;='Control Room'!$A$14,$A620&lt;'Control Room'!$A$14+'Control Room'!$B$14,'Process'!BR3=1),1+('Control Room'!$C$14-1)*EXP(-0.5*(($A620-'Control Room'!$A$14-('Control Room'!$B$14-1)/2)/MAX(0.5,'Control Room'!$B$14/4))^2),1)*IF(AND($A620&gt;='Control Room'!$A$15,$A620&lt;'Control Room'!$A$15+'Control Room'!$B$15,'Process'!BR4=1),1+('Control Room'!$C$15-1)*EXP(-0.5*(($A620-'Control Room'!$A$15-('Control Room'!$B$15-1)/2)/MAX(0.5,'Control Room'!$B$15/4))^2),1)*IF(AND($A620&gt;='Control Room'!$A$16,$A620&lt;'Control Room'!$A$16+'Control Room'!$B$16,'Process'!BR5=1),1+('Control Room'!$C$16-1)*EXP(-0.5*(($A620-'Control Room'!$A$16-('Control Room'!$B$16-1)/2)/MAX(0.5,'Control Room'!$B$16/4))^2),1)</x:f>
        <x:v>1</x:v>
      </x:c>
      <x:c r="AP620" s="9" t="n">
        <x:f>MOD(AQ619*16807,2147483647)</x:f>
        <x:v>158944807</x:v>
      </x:c>
      <x:c r="AQ620" s="9" t="n">
        <x:f>MOD(AP620*16807,2147483647)</x:f>
        <x:v>2063198028</x:v>
      </x:c>
      <x:c r="AR620" s="17" t="n">
        <x:f>IF('Control Room'!$B$5="Normal",'Control Room'!$B$7+'Control Room'!$D$7*SQRT(-2*LN(MAX(0.000000000001,AP620/2147483647)))*COS(2*PI()*AQ620/2147483647),'Control Room'!$B$8+('Control Room'!$D$8-'Control Room'!$B$8)*AP620/2147483647)</x:f>
        <x:v>1199.156335407444</x:v>
      </x:c>
      <x:c r="AS620" s="17" t="n">
        <x:f>IF('Control Room'!$B$5="Normal",'Control Room'!$B$7,('Control Room'!$B$8+'Control Room'!$D$8)/2)+'Control Room'!$B$9*(AS619-IF('Control Room'!$B$5="Normal",'Control Room'!$B$7,('Control Room'!$B$8+'Control Room'!$D$8)/2))+SQRT(1-'Control Room'!$B$9^2)*(AR620-IF('Control Room'!$B$5="Normal",'Control Room'!$B$7,('Control Room'!$B$8+'Control Room'!$D$8)/2))</x:f>
        <x:v>1114.5894739734624</x:v>
      </x:c>
      <x:c r="AT620" s="17" t="n">
        <x:f>IF(AND($A620&gt;='Control Room'!$A$13,$A620&lt;'Control Room'!$A$13+'Control Room'!$B$13,'Process'!BS2=1),1+('Control Room'!$C$13-1)*EXP(-0.5*(($A620-'Control Room'!$A$13-('Control Room'!$B$13-1)/2)/MAX(0.5,'Control Room'!$B$13/4))^2),1)*IF(AND($A620&gt;='Control Room'!$A$14,$A620&lt;'Control Room'!$A$14+'Control Room'!$B$14,'Process'!BS3=1),1+('Control Room'!$C$14-1)*EXP(-0.5*(($A620-'Control Room'!$A$14-('Control Room'!$B$14-1)/2)/MAX(0.5,'Control Room'!$B$14/4))^2),1)*IF(AND($A620&gt;='Control Room'!$A$15,$A620&lt;'Control Room'!$A$15+'Control Room'!$B$15,'Process'!BS4=1),1+('Control Room'!$C$15-1)*EXP(-0.5*(($A620-'Control Room'!$A$15-('Control Room'!$B$15-1)/2)/MAX(0.5,'Control Room'!$B$15/4))^2),1)*IF(AND($A620&gt;='Control Room'!$A$16,$A620&lt;'Control Room'!$A$16+'Control Room'!$B$16,'Process'!BS5=1),1+('Control Room'!$C$16-1)*EXP(-0.5*(($A620-'Control Room'!$A$16-('Control Room'!$B$16-1)/2)/MAX(0.5,'Control Room'!$B$16/4))^2),1)</x:f>
        <x:v>1</x:v>
      </x:c>
      <x:c r="AU620" s="9" t="n">
        <x:f>MOD(AV619*16807,2147483647)</x:f>
        <x:v>920343256</x:v>
      </x:c>
      <x:c r="AV620" s="9" t="n">
        <x:f>MOD(AU620*16807,2147483647)</x:f>
        <x:v>2031877898</x:v>
      </x:c>
      <x:c r="AW620" s="17" t="n">
        <x:f>IF('Control Room'!$B$5="Normal",'Control Room'!$B$7+'Control Room'!$D$7*SQRT(-2*LN(MAX(0.000000000001,AU620/2147483647)))*COS(2*PI()*AV620/2147483647),'Control Room'!$B$8+('Control Room'!$D$8-'Control Room'!$B$8)*AU620/2147483647)</x:f>
        <x:v>1110.5211159281707</x:v>
      </x:c>
      <x:c r="AX620" s="17" t="n">
        <x:f>IF('Control Room'!$B$5="Normal",'Control Room'!$B$7,('Control Room'!$B$8+'Control Room'!$D$8)/2)+'Control Room'!$B$9*(AX619-IF('Control Room'!$B$5="Normal",'Control Room'!$B$7,('Control Room'!$B$8+'Control Room'!$D$8)/2))+SQRT(1-'Control Room'!$B$9^2)*(AW620-IF('Control Room'!$B$5="Normal",'Control Room'!$B$7,('Control Room'!$B$8+'Control Room'!$D$8)/2))</x:f>
        <x:v>1108.9468996083563</x:v>
      </x:c>
      <x:c r="AY620" s="17" t="n">
        <x:f>IF(AND($A620&gt;='Control Room'!$A$13,$A620&lt;'Control Room'!$A$13+'Control Room'!$B$13,'Process'!BT2=1),1+('Control Room'!$C$13-1)*EXP(-0.5*(($A620-'Control Room'!$A$13-('Control Room'!$B$13-1)/2)/MAX(0.5,'Control Room'!$B$13/4))^2),1)*IF(AND($A620&gt;='Control Room'!$A$14,$A620&lt;'Control Room'!$A$14+'Control Room'!$B$14,'Process'!BT3=1),1+('Control Room'!$C$14-1)*EXP(-0.5*(($A620-'Control Room'!$A$14-('Control Room'!$B$14-1)/2)/MAX(0.5,'Control Room'!$B$14/4))^2),1)*IF(AND($A620&gt;='Control Room'!$A$15,$A620&lt;'Control Room'!$A$15+'Control Room'!$B$15,'Process'!BT4=1),1+('Control Room'!$C$15-1)*EXP(-0.5*(($A620-'Control Room'!$A$15-('Control Room'!$B$15-1)/2)/MAX(0.5,'Control Room'!$B$15/4))^2),1)*IF(AND($A620&gt;='Control Room'!$A$16,$A620&lt;'Control Room'!$A$16+'Control Room'!$B$16,'Process'!BT5=1),1+('Control Room'!$C$16-1)*EXP(-0.5*(($A620-'Control Room'!$A$16-('Control Room'!$B$16-1)/2)/MAX(0.5,'Control Room'!$B$16/4))^2),1)</x:f>
        <x:v>1</x:v>
      </x:c>
      <x:c r="AZ620" s="9" t="n">
        <x:f>MOD(BA619*16807,2147483647)</x:f>
        <x:v>1681741705</x:v>
      </x:c>
      <x:c r="BA620" s="9" t="n">
        <x:f>MOD(AZ620*16807,2147483647)</x:f>
        <x:v>2000557768</x:v>
      </x:c>
      <x:c r="BB620" s="17" t="n">
        <x:f>IF('Control Room'!$B$5="Normal",'Control Room'!$B$7+'Control Room'!$D$7*SQRT(-2*LN(MAX(0.000000000001,AZ620/2147483647)))*COS(2*PI()*BA620/2147483647),'Control Room'!$B$8+('Control Room'!$D$8-'Control Room'!$B$8)*AZ620/2147483647)</x:f>
        <x:v>1057.205611967412</x:v>
      </x:c>
      <x:c r="BC620" s="17" t="n">
        <x:f>IF('Control Room'!$B$5="Normal",'Control Room'!$B$7,('Control Room'!$B$8+'Control Room'!$D$8)/2)+'Control Room'!$B$9*(BC619-IF('Control Room'!$B$5="Normal",'Control Room'!$B$7,('Control Room'!$B$8+'Control Room'!$D$8)/2))+SQRT(1-'Control Room'!$B$9^2)*(BB620-IF('Control Room'!$B$5="Normal",'Control Room'!$B$7,('Control Room'!$B$8+'Control Room'!$D$8)/2))</x:f>
        <x:v>1052.7122481958288</x:v>
      </x:c>
      <x:c r="BD620" s="17" t="n">
        <x:f>IF(AND($A620&gt;='Control Room'!$A$13,$A620&lt;'Control Room'!$A$13+'Control Room'!$B$13,'Process'!BU2=1),1+('Control Room'!$C$13-1)*EXP(-0.5*(($A620-'Control Room'!$A$13-('Control Room'!$B$13-1)/2)/MAX(0.5,'Control Room'!$B$13/4))^2),1)*IF(AND($A620&gt;='Control Room'!$A$14,$A620&lt;'Control Room'!$A$14+'Control Room'!$B$14,'Process'!BU3=1),1+('Control Room'!$C$14-1)*EXP(-0.5*(($A620-'Control Room'!$A$14-('Control Room'!$B$14-1)/2)/MAX(0.5,'Control Room'!$B$14/4))^2),1)*IF(AND($A620&gt;='Control Room'!$A$15,$A620&lt;'Control Room'!$A$15+'Control Room'!$B$15,'Process'!BU4=1),1+('Control Room'!$C$15-1)*EXP(-0.5*(($A620-'Control Room'!$A$15-('Control Room'!$B$15-1)/2)/MAX(0.5,'Control Room'!$B$15/4))^2),1)*IF(AND($A620&gt;='Control Room'!$A$16,$A620&lt;'Control Room'!$A$16+'Control Room'!$B$16,'Process'!BU5=1),1+('Control Room'!$C$16-1)*EXP(-0.5*(($A620-'Control Room'!$A$16-('Control Room'!$B$16-1)/2)/MAX(0.5,'Control Room'!$B$16/4))^2),1)</x:f>
        <x:v>1</x:v>
      </x:c>
      <x:c r="BE620" s="9" t="n">
        <x:f>MOD(BF619*16807,2147483647)</x:f>
        <x:v>295656507</x:v>
      </x:c>
      <x:c r="BF620" s="9" t="n">
        <x:f>MOD(BE620*16807,2147483647)</x:f>
        <x:v>1969237638</x:v>
      </x:c>
      <x:c r="BG620" s="17" t="n">
        <x:f>IF('Control Room'!$B$5="Normal",'Control Room'!$B$7+'Control Room'!$D$7*SQRT(-2*LN(MAX(0.000000000001,BE620/2147483647)))*COS(2*PI()*BF620/2147483647),'Control Room'!$B$8+('Control Room'!$D$8-'Control Room'!$B$8)*BE620/2147483647)</x:f>
        <x:v>1155.400997692267</x:v>
      </x:c>
      <x:c r="BH620" s="17" t="n">
        <x:f>IF('Control Room'!$B$5="Normal",'Control Room'!$B$7,('Control Room'!$B$8+'Control Room'!$D$8)/2)+'Control Room'!$B$9*(BH619-IF('Control Room'!$B$5="Normal",'Control Room'!$B$7,('Control Room'!$B$8+'Control Room'!$D$8)/2))+SQRT(1-'Control Room'!$B$9^2)*(BG620-IF('Control Room'!$B$5="Normal",'Control Room'!$B$7,('Control Room'!$B$8+'Control Room'!$D$8)/2))</x:f>
        <x:v>998.8725578797572</x:v>
      </x:c>
      <x:c r="BI620" s="17" t="n">
        <x:f>IF(AND($A620&gt;='Control Room'!$A$13,$A620&lt;'Control Room'!$A$13+'Control Room'!$B$13,'Process'!BV2=1),1+('Control Room'!$C$13-1)*EXP(-0.5*(($A620-'Control Room'!$A$13-('Control Room'!$B$13-1)/2)/MAX(0.5,'Control Room'!$B$13/4))^2),1)*IF(AND($A620&gt;='Control Room'!$A$14,$A620&lt;'Control Room'!$A$14+'Control Room'!$B$14,'Process'!BV3=1),1+('Control Room'!$C$14-1)*EXP(-0.5*(($A620-'Control Room'!$A$14-('Control Room'!$B$14-1)/2)/MAX(0.5,'Control Room'!$B$14/4))^2),1)*IF(AND($A620&gt;='Control Room'!$A$15,$A620&lt;'Control Room'!$A$15+'Control Room'!$B$15,'Process'!BV4=1),1+('Control Room'!$C$15-1)*EXP(-0.5*(($A620-'Control Room'!$A$15-('Control Room'!$B$15-1)/2)/MAX(0.5,'Control Room'!$B$15/4))^2),1)*IF(AND($A620&gt;='Control Room'!$A$16,$A620&lt;'Control Room'!$A$16+'Control Room'!$B$16,'Process'!BV5=1),1+('Control Room'!$C$16-1)*EXP(-0.5*(($A620-'Control Room'!$A$16-('Control Room'!$B$16-1)/2)/MAX(0.5,'Control Room'!$B$16/4))^2),1)</x:f>
        <x:v>1</x:v>
      </x:c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Z620" t="str">
        <x:f>IF('Data'!A620="","",TEXT('Data'!A620,"mm-dd"))</x:f>
      </x:c>
    </x:row>
    <x:row r="621" ht="21" customHeight="1">
      <x:c r="A621" s="15" t="n">
        <x:f>'Control Room'!$B$1+619</x:f>
        <x:v>73610</x:v>
      </x:c>
      <x:c r="B621" s="9" t="n">
        <x:f>MOD(C620*16807,2147483647)</x:f>
        <x:v>714776000</x:v>
      </x:c>
      <x:c r="C621" s="9" t="n">
        <x:f>MOD(B621*16807,2147483647)</x:f>
        <x:v>216710682</x:v>
      </x:c>
      <x:c r="D621" s="17" t="n">
        <x:f>IF('Control Room'!$B$5="Normal",'Control Room'!$B$7+'Control Room'!$D$7*SQRT(-2*LN(MAX(0.000000000001,B621/2147483647)))*COS(2*PI()*C621/2147483647),'Control Room'!$B$8+('Control Room'!$D$8-'Control Room'!$B$8)*B621/2147483647)</x:f>
        <x:v>1107.5487256725428</x:v>
      </x:c>
      <x:c r="E621" s="17" t="n">
        <x:f>IF('Control Room'!$B$5="Normal",'Control Room'!$B$7,('Control Room'!$B$8+'Control Room'!$D$8)/2)+'Control Room'!$B$9*(E620-IF('Control Room'!$B$5="Normal",'Control Room'!$B$7,('Control Room'!$B$8+'Control Room'!$D$8)/2))+SQRT(1-'Control Room'!$B$9^2)*(D621-IF('Control Room'!$B$5="Normal",'Control Room'!$B$7,('Control Room'!$B$8+'Control Room'!$D$8)/2))</x:f>
        <x:v>1119.5285248944401</x:v>
      </x:c>
      <x:c r="F621" s="17" t="n">
        <x:f>IF(AND($A621&gt;='Control Room'!$A$13,$A621&lt;'Control Room'!$A$13+'Control Room'!$B$13,'Process'!BK2=1),1+('Control Room'!$C$13-1)*EXP(-0.5*(($A621-'Control Room'!$A$13-('Control Room'!$B$13-1)/2)/MAX(0.5,'Control Room'!$B$13/4))^2),1)*IF(AND($A621&gt;='Control Room'!$A$14,$A621&lt;'Control Room'!$A$14+'Control Room'!$B$14,'Process'!BK3=1),1+('Control Room'!$C$14-1)*EXP(-0.5*(($A621-'Control Room'!$A$14-('Control Room'!$B$14-1)/2)/MAX(0.5,'Control Room'!$B$14/4))^2),1)*IF(AND($A621&gt;='Control Room'!$A$15,$A621&lt;'Control Room'!$A$15+'Control Room'!$B$15,'Process'!BK4=1),1+('Control Room'!$C$15-1)*EXP(-0.5*(($A621-'Control Room'!$A$15-('Control Room'!$B$15-1)/2)/MAX(0.5,'Control Room'!$B$15/4))^2),1)*IF(AND($A621&gt;='Control Room'!$A$16,$A621&lt;'Control Room'!$A$16+'Control Room'!$B$16,'Process'!BK5=1),1+('Control Room'!$C$16-1)*EXP(-0.5*(($A621-'Control Room'!$A$16-('Control Room'!$B$16-1)/2)/MAX(0.5,'Control Room'!$B$16/4))^2),1)</x:f>
        <x:v>1</x:v>
      </x:c>
      <x:c r="G621" s="9" t="n">
        <x:f>MOD(H620*16807,2147483647)</x:f>
        <x:v>450844605</x:v>
      </x:c>
      <x:c r="H621" s="9" t="n">
        <x:f>MOD(G621*16807,2147483647)</x:f>
        <x:v>1022969619</x:v>
      </x:c>
      <x:c r="I621" s="17" t="n">
        <x:f>IF('Control Room'!$B$5="Normal",'Control Room'!$B$7+'Control Room'!$D$7*SQRT(-2*LN(MAX(0.000000000001,G621/2147483647)))*COS(2*PI()*H621/2147483647),'Control Room'!$B$8+('Control Room'!$D$8-'Control Room'!$B$8)*G621/2147483647)</x:f>
        <x:v>842.7323082738428</x:v>
      </x:c>
      <x:c r="J621" s="17" t="n">
        <x:f>IF('Control Room'!$B$5="Normal",'Control Room'!$B$7,('Control Room'!$B$8+'Control Room'!$D$8)/2)+'Control Room'!$B$9*(J620-IF('Control Room'!$B$5="Normal",'Control Room'!$B$7,('Control Room'!$B$8+'Control Room'!$D$8)/2))+SQRT(1-'Control Room'!$B$9^2)*(I621-IF('Control Room'!$B$5="Normal",'Control Room'!$B$7,('Control Room'!$B$8+'Control Room'!$D$8)/2))</x:f>
        <x:v>882.9273107009421</x:v>
      </x:c>
      <x:c r="K621" s="17" t="n">
        <x:f>IF(AND($A621&gt;='Control Room'!$A$13,$A621&lt;'Control Room'!$A$13+'Control Room'!$B$13,'Process'!BL2=1),1+('Control Room'!$C$13-1)*EXP(-0.5*(($A621-'Control Room'!$A$13-('Control Room'!$B$13-1)/2)/MAX(0.5,'Control Room'!$B$13/4))^2),1)*IF(AND($A621&gt;='Control Room'!$A$14,$A621&lt;'Control Room'!$A$14+'Control Room'!$B$14,'Process'!BL3=1),1+('Control Room'!$C$14-1)*EXP(-0.5*(($A621-'Control Room'!$A$14-('Control Room'!$B$14-1)/2)/MAX(0.5,'Control Room'!$B$14/4))^2),1)*IF(AND($A621&gt;='Control Room'!$A$15,$A621&lt;'Control Room'!$A$15+'Control Room'!$B$15,'Process'!BL4=1),1+('Control Room'!$C$15-1)*EXP(-0.5*(($A621-'Control Room'!$A$15-('Control Room'!$B$15-1)/2)/MAX(0.5,'Control Room'!$B$15/4))^2),1)*IF(AND($A621&gt;='Control Room'!$A$16,$A621&lt;'Control Room'!$A$16+'Control Room'!$B$16,'Process'!BL5=1),1+('Control Room'!$C$16-1)*EXP(-0.5*(($A621-'Control Room'!$A$16-('Control Room'!$B$16-1)/2)/MAX(0.5,'Control Room'!$B$16/4))^2),1)</x:f>
        <x:v>1</x:v>
      </x:c>
      <x:c r="L621" s="9" t="n">
        <x:f>MOD(M620*16807,2147483647)</x:f>
        <x:v>186913210</x:v>
      </x:c>
      <x:c r="M621" s="9" t="n">
        <x:f>MOD(L621*16807,2147483647)</x:f>
        <x:v>1829228556</x:v>
      </x:c>
      <x:c r="N621" s="17" t="n">
        <x:f>IF('Control Room'!$B$5="Normal",'Control Room'!$B$7+'Control Room'!$D$7*SQRT(-2*LN(MAX(0.000000000001,L621/2147483647)))*COS(2*PI()*M621/2147483647),'Control Room'!$B$8+('Control Room'!$D$8-'Control Room'!$B$8)*L621/2147483647)</x:f>
        <x:v>1118.7081710969744</x:v>
      </x:c>
      <x:c r="O621" s="17" t="n">
        <x:f>IF('Control Room'!$B$5="Normal",'Control Room'!$B$7,('Control Room'!$B$8+'Control Room'!$D$8)/2)+'Control Room'!$B$9*(O620-IF('Control Room'!$B$5="Normal",'Control Room'!$B$7,('Control Room'!$B$8+'Control Room'!$D$8)/2))+SQRT(1-'Control Room'!$B$9^2)*(N621-IF('Control Room'!$B$5="Normal",'Control Room'!$B$7,('Control Room'!$B$8+'Control Room'!$D$8)/2))</x:f>
        <x:v>1045.1717794119784</x:v>
      </x:c>
      <x:c r="P621" s="17" t="n">
        <x:f>IF(AND($A621&gt;='Control Room'!$A$13,$A621&lt;'Control Room'!$A$13+'Control Room'!$B$13,'Process'!BM2=1),1+('Control Room'!$C$13-1)*EXP(-0.5*(($A621-'Control Room'!$A$13-('Control Room'!$B$13-1)/2)/MAX(0.5,'Control Room'!$B$13/4))^2),1)*IF(AND($A621&gt;='Control Room'!$A$14,$A621&lt;'Control Room'!$A$14+'Control Room'!$B$14,'Process'!BM3=1),1+('Control Room'!$C$14-1)*EXP(-0.5*(($A621-'Control Room'!$A$14-('Control Room'!$B$14-1)/2)/MAX(0.5,'Control Room'!$B$14/4))^2),1)*IF(AND($A621&gt;='Control Room'!$A$15,$A621&lt;'Control Room'!$A$15+'Control Room'!$B$15,'Process'!BM4=1),1+('Control Room'!$C$15-1)*EXP(-0.5*(($A621-'Control Room'!$A$15-('Control Room'!$B$15-1)/2)/MAX(0.5,'Control Room'!$B$15/4))^2),1)*IF(AND($A621&gt;='Control Room'!$A$16,$A621&lt;'Control Room'!$A$16+'Control Room'!$B$16,'Process'!BM5=1),1+('Control Room'!$C$16-1)*EXP(-0.5*(($A621-'Control Room'!$A$16-('Control Room'!$B$16-1)/2)/MAX(0.5,'Control Room'!$B$16/4))^2),1)</x:f>
        <x:v>1</x:v>
      </x:c>
      <x:c r="Q621" s="9" t="n">
        <x:f>MOD(R620*16807,2147483647)</x:f>
        <x:v>2070465462</x:v>
      </x:c>
      <x:c r="R621" s="9" t="n">
        <x:f>MOD(Q621*16807,2147483647)</x:f>
        <x:v>488003846</x:v>
      </x:c>
      <x:c r="S621" s="17" t="n">
        <x:f>IF('Control Room'!$B$5="Normal",'Control Room'!$B$7+'Control Room'!$D$7*SQRT(-2*LN(MAX(0.000000000001,Q621/2147483647)))*COS(2*PI()*R621/2147483647),'Control Room'!$B$8+('Control Room'!$D$8-'Control Room'!$B$8)*Q621/2147483647)</x:f>
        <x:v>1003.4659971189282</x:v>
      </x:c>
      <x:c r="T621" s="17" t="n">
        <x:f>IF('Control Room'!$B$5="Normal",'Control Room'!$B$7,('Control Room'!$B$8+'Control Room'!$D$8)/2)+'Control Room'!$B$9*(T620-IF('Control Room'!$B$5="Normal",'Control Room'!$B$7,('Control Room'!$B$8+'Control Room'!$D$8)/2))+SQRT(1-'Control Room'!$B$9^2)*(S621-IF('Control Room'!$B$5="Normal",'Control Room'!$B$7,('Control Room'!$B$8+'Control Room'!$D$8)/2))</x:f>
        <x:v>1063.765871612561</x:v>
      </x:c>
      <x:c r="U621" s="17" t="n">
        <x:f>IF(AND($A621&gt;='Control Room'!$A$13,$A621&lt;'Control Room'!$A$13+'Control Room'!$B$13,'Process'!BN2=1),1+('Control Room'!$C$13-1)*EXP(-0.5*(($A621-'Control Room'!$A$13-('Control Room'!$B$13-1)/2)/MAX(0.5,'Control Room'!$B$13/4))^2),1)*IF(AND($A621&gt;='Control Room'!$A$14,$A621&lt;'Control Room'!$A$14+'Control Room'!$B$14,'Process'!BN3=1),1+('Control Room'!$C$14-1)*EXP(-0.5*(($A621-'Control Room'!$A$14-('Control Room'!$B$14-1)/2)/MAX(0.5,'Control Room'!$B$14/4))^2),1)*IF(AND($A621&gt;='Control Room'!$A$15,$A621&lt;'Control Room'!$A$15+'Control Room'!$B$15,'Process'!BN4=1),1+('Control Room'!$C$15-1)*EXP(-0.5*(($A621-'Control Room'!$A$15-('Control Room'!$B$15-1)/2)/MAX(0.5,'Control Room'!$B$15/4))^2),1)*IF(AND($A621&gt;='Control Room'!$A$16,$A621&lt;'Control Room'!$A$16+'Control Room'!$B$16,'Process'!BN5=1),1+('Control Room'!$C$16-1)*EXP(-0.5*(($A621-'Control Room'!$A$16-('Control Room'!$B$16-1)/2)/MAX(0.5,'Control Room'!$B$16/4))^2),1)</x:f>
        <x:v>1</x:v>
      </x:c>
      <x:c r="V621" s="9" t="n">
        <x:f>MOD(W620*16807,2147483647)</x:f>
        <x:v>1806534067</x:v>
      </x:c>
      <x:c r="W621" s="9" t="n">
        <x:f>MOD(V621*16807,2147483647)</x:f>
        <x:v>1294262783</x:v>
      </x:c>
      <x:c r="X621" s="17" t="n">
        <x:f>IF('Control Room'!$B$5="Normal",'Control Room'!$B$7+'Control Room'!$D$7*SQRT(-2*LN(MAX(0.000000000001,V621/2147483647)))*COS(2*PI()*W621/2147483647),'Control Room'!$B$8+('Control Room'!$D$8-'Control Room'!$B$8)*V621/2147483647)</x:f>
        <x:v>957.7164759789576</x:v>
      </x:c>
      <x:c r="Y621" s="17" t="n">
        <x:f>IF('Control Room'!$B$5="Normal",'Control Room'!$B$7,('Control Room'!$B$8+'Control Room'!$D$8)/2)+'Control Room'!$B$9*(Y620-IF('Control Room'!$B$5="Normal",'Control Room'!$B$7,('Control Room'!$B$8+'Control Room'!$D$8)/2))+SQRT(1-'Control Room'!$B$9^2)*(X621-IF('Control Room'!$B$5="Normal",'Control Room'!$B$7,('Control Room'!$B$8+'Control Room'!$D$8)/2))</x:f>
        <x:v>917.2802535140064</x:v>
      </x:c>
      <x:c r="Z621" s="17" t="n">
        <x:f>IF(AND($A621&gt;='Control Room'!$A$13,$A621&lt;'Control Room'!$A$13+'Control Room'!$B$13,'Process'!BO2=1),1+('Control Room'!$C$13-1)*EXP(-0.5*(($A621-'Control Room'!$A$13-('Control Room'!$B$13-1)/2)/MAX(0.5,'Control Room'!$B$13/4))^2),1)*IF(AND($A621&gt;='Control Room'!$A$14,$A621&lt;'Control Room'!$A$14+'Control Room'!$B$14,'Process'!BO3=1),1+('Control Room'!$C$14-1)*EXP(-0.5*(($A621-'Control Room'!$A$14-('Control Room'!$B$14-1)/2)/MAX(0.5,'Control Room'!$B$14/4))^2),1)*IF(AND($A621&gt;='Control Room'!$A$15,$A621&lt;'Control Room'!$A$15+'Control Room'!$B$15,'Process'!BO4=1),1+('Control Room'!$C$15-1)*EXP(-0.5*(($A621-'Control Room'!$A$15-('Control Room'!$B$15-1)/2)/MAX(0.5,'Control Room'!$B$15/4))^2),1)*IF(AND($A621&gt;='Control Room'!$A$16,$A621&lt;'Control Room'!$A$16+'Control Room'!$B$16,'Process'!BO5=1),1+('Control Room'!$C$16-1)*EXP(-0.5*(($A621-'Control Room'!$A$16-('Control Room'!$B$16-1)/2)/MAX(0.5,'Control Room'!$B$16/4))^2),1)</x:f>
        <x:v>1</x:v>
      </x:c>
      <x:c r="AA621" s="9" t="n">
        <x:f>MOD(AB620*16807,2147483647)</x:f>
        <x:v>1542602672</x:v>
      </x:c>
      <x:c r="AB621" s="9" t="n">
        <x:f>MOD(AA621*16807,2147483647)</x:f>
        <x:v>2100521720</x:v>
      </x:c>
      <x:c r="AC621" s="17" t="n">
        <x:f>IF('Control Room'!$B$5="Normal",'Control Room'!$B$7+'Control Room'!$D$7*SQRT(-2*LN(MAX(0.000000000001,AA621/2147483647)))*COS(2*PI()*AB621/2147483647),'Control Room'!$B$8+('Control Room'!$D$8-'Control Room'!$B$8)*AA621/2147483647)</x:f>
        <x:v>1072.5177855006466</x:v>
      </x:c>
      <x:c r="AD621" s="17" t="n">
        <x:f>IF('Control Room'!$B$5="Normal",'Control Room'!$B$7,('Control Room'!$B$8+'Control Room'!$D$8)/2)+'Control Room'!$B$9*(AD620-IF('Control Room'!$B$5="Normal",'Control Room'!$B$7,('Control Room'!$B$8+'Control Room'!$D$8)/2))+SQRT(1-'Control Room'!$B$9^2)*(AC621-IF('Control Room'!$B$5="Normal",'Control Room'!$B$7,('Control Room'!$B$8+'Control Room'!$D$8)/2))</x:f>
        <x:v>1215.4258601345468</x:v>
      </x:c>
      <x:c r="AE621" s="17" t="n">
        <x:f>IF(AND($A621&gt;='Control Room'!$A$13,$A621&lt;'Control Room'!$A$13+'Control Room'!$B$13,'Process'!BP2=1),1+('Control Room'!$C$13-1)*EXP(-0.5*(($A621-'Control Room'!$A$13-('Control Room'!$B$13-1)/2)/MAX(0.5,'Control Room'!$B$13/4))^2),1)*IF(AND($A621&gt;='Control Room'!$A$14,$A621&lt;'Control Room'!$A$14+'Control Room'!$B$14,'Process'!BP3=1),1+('Control Room'!$C$14-1)*EXP(-0.5*(($A621-'Control Room'!$A$14-('Control Room'!$B$14-1)/2)/MAX(0.5,'Control Room'!$B$14/4))^2),1)*IF(AND($A621&gt;='Control Room'!$A$15,$A621&lt;'Control Room'!$A$15+'Control Room'!$B$15,'Process'!BP4=1),1+('Control Room'!$C$15-1)*EXP(-0.5*(($A621-'Control Room'!$A$15-('Control Room'!$B$15-1)/2)/MAX(0.5,'Control Room'!$B$15/4))^2),1)*IF(AND($A621&gt;='Control Room'!$A$16,$A621&lt;'Control Room'!$A$16+'Control Room'!$B$16,'Process'!BP5=1),1+('Control Room'!$C$16-1)*EXP(-0.5*(($A621-'Control Room'!$A$16-('Control Room'!$B$16-1)/2)/MAX(0.5,'Control Room'!$B$16/4))^2),1)</x:f>
        <x:v>1</x:v>
      </x:c>
      <x:c r="AF621" s="9" t="n">
        <x:f>MOD(AG620*16807,2147483647)</x:f>
        <x:v>1278671277</x:v>
      </x:c>
      <x:c r="AG621" s="9" t="n">
        <x:f>MOD(AF621*16807,2147483647)</x:f>
        <x:v>759297010</x:v>
      </x:c>
      <x:c r="AH621" s="17" t="n">
        <x:f>IF('Control Room'!$B$5="Normal",'Control Room'!$B$7+'Control Room'!$D$7*SQRT(-2*LN(MAX(0.000000000001,AF621/2147483647)))*COS(2*PI()*AG621/2147483647),'Control Room'!$B$8+('Control Room'!$D$8-'Control Room'!$B$8)*AF621/2147483647)</x:f>
        <x:v>944.4790014930974</x:v>
      </x:c>
      <x:c r="AI621" s="17" t="n">
        <x:f>IF('Control Room'!$B$5="Normal",'Control Room'!$B$7,('Control Room'!$B$8+'Control Room'!$D$8)/2)+'Control Room'!$B$9*(AI620-IF('Control Room'!$B$5="Normal",'Control Room'!$B$7,('Control Room'!$B$8+'Control Room'!$D$8)/2))+SQRT(1-'Control Room'!$B$9^2)*(AH621-IF('Control Room'!$B$5="Normal",'Control Room'!$B$7,('Control Room'!$B$8+'Control Room'!$D$8)/2))</x:f>
        <x:v>1037.5174396206567</x:v>
      </x:c>
      <x:c r="AJ621" s="17" t="n">
        <x:f>IF(AND($A621&gt;='Control Room'!$A$13,$A621&lt;'Control Room'!$A$13+'Control Room'!$B$13,'Process'!BQ2=1),1+('Control Room'!$C$13-1)*EXP(-0.5*(($A621-'Control Room'!$A$13-('Control Room'!$B$13-1)/2)/MAX(0.5,'Control Room'!$B$13/4))^2),1)*IF(AND($A621&gt;='Control Room'!$A$14,$A621&lt;'Control Room'!$A$14+'Control Room'!$B$14,'Process'!BQ3=1),1+('Control Room'!$C$14-1)*EXP(-0.5*(($A621-'Control Room'!$A$14-('Control Room'!$B$14-1)/2)/MAX(0.5,'Control Room'!$B$14/4))^2),1)*IF(AND($A621&gt;='Control Room'!$A$15,$A621&lt;'Control Room'!$A$15+'Control Room'!$B$15,'Process'!BQ4=1),1+('Control Room'!$C$15-1)*EXP(-0.5*(($A621-'Control Room'!$A$15-('Control Room'!$B$15-1)/2)/MAX(0.5,'Control Room'!$B$15/4))^2),1)*IF(AND($A621&gt;='Control Room'!$A$16,$A621&lt;'Control Room'!$A$16+'Control Room'!$B$16,'Process'!BQ5=1),1+('Control Room'!$C$16-1)*EXP(-0.5*(($A621-'Control Room'!$A$16-('Control Room'!$B$16-1)/2)/MAX(0.5,'Control Room'!$B$16/4))^2),1)</x:f>
        <x:v>1</x:v>
      </x:c>
      <x:c r="AK621" s="9" t="n">
        <x:f>MOD(AL620*16807,2147483647)</x:f>
        <x:v>1014739882</x:v>
      </x:c>
      <x:c r="AL621" s="9" t="n">
        <x:f>MOD(AK621*16807,2147483647)</x:f>
        <x:v>1565555947</x:v>
      </x:c>
      <x:c r="AM621" s="17" t="n">
        <x:f>IF('Control Room'!$B$5="Normal",'Control Room'!$B$7+'Control Room'!$D$7*SQRT(-2*LN(MAX(0.000000000001,AK621/2147483647)))*COS(2*PI()*AL621/2147483647),'Control Room'!$B$8+('Control Room'!$D$8-'Control Room'!$B$8)*AK621/2147483647)</x:f>
        <x:v>985.5141978321568</x:v>
      </x:c>
      <x:c r="AN621" s="17" t="n">
        <x:f>IF('Control Room'!$B$5="Normal",'Control Room'!$B$7,('Control Room'!$B$8+'Control Room'!$D$8)/2)+'Control Room'!$B$9*(AN620-IF('Control Room'!$B$5="Normal",'Control Room'!$B$7,('Control Room'!$B$8+'Control Room'!$D$8)/2))+SQRT(1-'Control Room'!$B$9^2)*(AM621-IF('Control Room'!$B$5="Normal",'Control Room'!$B$7,('Control Room'!$B$8+'Control Room'!$D$8)/2))</x:f>
        <x:v>946.8178792162516</x:v>
      </x:c>
      <x:c r="AO621" s="17" t="n">
        <x:f>IF(AND($A621&gt;='Control Room'!$A$13,$A621&lt;'Control Room'!$A$13+'Control Room'!$B$13,'Process'!BR2=1),1+('Control Room'!$C$13-1)*EXP(-0.5*(($A621-'Control Room'!$A$13-('Control Room'!$B$13-1)/2)/MAX(0.5,'Control Room'!$B$13/4))^2),1)*IF(AND($A621&gt;='Control Room'!$A$14,$A621&lt;'Control Room'!$A$14+'Control Room'!$B$14,'Process'!BR3=1),1+('Control Room'!$C$14-1)*EXP(-0.5*(($A621-'Control Room'!$A$14-('Control Room'!$B$14-1)/2)/MAX(0.5,'Control Room'!$B$14/4))^2),1)*IF(AND($A621&gt;='Control Room'!$A$15,$A621&lt;'Control Room'!$A$15+'Control Room'!$B$15,'Process'!BR4=1),1+('Control Room'!$C$15-1)*EXP(-0.5*(($A621-'Control Room'!$A$15-('Control Room'!$B$15-1)/2)/MAX(0.5,'Control Room'!$B$15/4))^2),1)*IF(AND($A621&gt;='Control Room'!$A$16,$A621&lt;'Control Room'!$A$16+'Control Room'!$B$16,'Process'!BR5=1),1+('Control Room'!$C$16-1)*EXP(-0.5*(($A621-'Control Room'!$A$16-('Control Room'!$B$16-1)/2)/MAX(0.5,'Control Room'!$B$16/4))^2),1)</x:f>
        <x:v>1</x:v>
      </x:c>
      <x:c r="AP621" s="9" t="n">
        <x:f>MOD(AQ620*16807,2147483647)</x:f>
        <x:v>750808487</x:v>
      </x:c>
      <x:c r="AQ621" s="9" t="n">
        <x:f>MOD(AP621*16807,2147483647)</x:f>
        <x:v>224331237</x:v>
      </x:c>
      <x:c r="AR621" s="17" t="n">
        <x:f>IF('Control Room'!$B$5="Normal",'Control Room'!$B$7+'Control Room'!$D$7*SQRT(-2*LN(MAX(0.000000000001,AP621/2147483647)))*COS(2*PI()*AQ621/2147483647),'Control Room'!$B$8+('Control Room'!$D$8-'Control Room'!$B$8)*AP621/2147483647)</x:f>
        <x:v>1103.3676870581828</x:v>
      </x:c>
      <x:c r="AS621" s="17" t="n">
        <x:f>IF('Control Room'!$B$5="Normal",'Control Room'!$B$7,('Control Room'!$B$8+'Control Room'!$D$8)/2)+'Control Room'!$B$9*(AS620-IF('Control Room'!$B$5="Normal",'Control Room'!$B$7,('Control Room'!$B$8+'Control Room'!$D$8)/2))+SQRT(1-'Control Room'!$B$9^2)*(AR621-IF('Control Room'!$B$5="Normal",'Control Room'!$B$7,('Control Room'!$B$8+'Control Room'!$D$8)/2))</x:f>
        <x:v>1154.0651706581402</x:v>
      </x:c>
      <x:c r="AT621" s="17" t="n">
        <x:f>IF(AND($A621&gt;='Control Room'!$A$13,$A621&lt;'Control Room'!$A$13+'Control Room'!$B$13,'Process'!BS2=1),1+('Control Room'!$C$13-1)*EXP(-0.5*(($A621-'Control Room'!$A$13-('Control Room'!$B$13-1)/2)/MAX(0.5,'Control Room'!$B$13/4))^2),1)*IF(AND($A621&gt;='Control Room'!$A$14,$A621&lt;'Control Room'!$A$14+'Control Room'!$B$14,'Process'!BS3=1),1+('Control Room'!$C$14-1)*EXP(-0.5*(($A621-'Control Room'!$A$14-('Control Room'!$B$14-1)/2)/MAX(0.5,'Control Room'!$B$14/4))^2),1)*IF(AND($A621&gt;='Control Room'!$A$15,$A621&lt;'Control Room'!$A$15+'Control Room'!$B$15,'Process'!BS4=1),1+('Control Room'!$C$15-1)*EXP(-0.5*(($A621-'Control Room'!$A$15-('Control Room'!$B$15-1)/2)/MAX(0.5,'Control Room'!$B$15/4))^2),1)*IF(AND($A621&gt;='Control Room'!$A$16,$A621&lt;'Control Room'!$A$16+'Control Room'!$B$16,'Process'!BS5=1),1+('Control Room'!$C$16-1)*EXP(-0.5*(($A621-'Control Room'!$A$16-('Control Room'!$B$16-1)/2)/MAX(0.5,'Control Room'!$B$16/4))^2),1)</x:f>
        <x:v>1</x:v>
      </x:c>
      <x:c r="AU621" s="9" t="n">
        <x:f>MOD(AV620*16807,2147483647)</x:f>
        <x:v>486877092</x:v>
      </x:c>
      <x:c r="AV621" s="9" t="n">
        <x:f>MOD(AU621*16807,2147483647)</x:f>
        <x:v>1030590174</x:v>
      </x:c>
      <x:c r="AW621" s="17" t="n">
        <x:f>IF('Control Room'!$B$5="Normal",'Control Room'!$B$7+'Control Room'!$D$7*SQRT(-2*LN(MAX(0.000000000001,AU621/2147483647)))*COS(2*PI()*AV621/2147483647),'Control Room'!$B$8+('Control Room'!$D$8-'Control Room'!$B$8)*AU621/2147483647)</x:f>
        <x:v>846.1810847216684</x:v>
      </x:c>
      <x:c r="AX621" s="17" t="n">
        <x:f>IF('Control Room'!$B$5="Normal",'Control Room'!$B$7,('Control Room'!$B$8+'Control Room'!$D$8)/2)+'Control Room'!$B$9*(AX620-IF('Control Room'!$B$5="Normal",'Control Room'!$B$7,('Control Room'!$B$8+'Control Room'!$D$8)/2))+SQRT(1-'Control Room'!$B$9^2)*(AW621-IF('Control Room'!$B$5="Normal",'Control Room'!$B$7,('Control Room'!$B$8+'Control Room'!$D$8)/2))</x:f>
        <x:v>988.7218556650979</x:v>
      </x:c>
      <x:c r="AY621" s="17" t="n">
        <x:f>IF(AND($A621&gt;='Control Room'!$A$13,$A621&lt;'Control Room'!$A$13+'Control Room'!$B$13,'Process'!BT2=1),1+('Control Room'!$C$13-1)*EXP(-0.5*(($A621-'Control Room'!$A$13-('Control Room'!$B$13-1)/2)/MAX(0.5,'Control Room'!$B$13/4))^2),1)*IF(AND($A621&gt;='Control Room'!$A$14,$A621&lt;'Control Room'!$A$14+'Control Room'!$B$14,'Process'!BT3=1),1+('Control Room'!$C$14-1)*EXP(-0.5*(($A621-'Control Room'!$A$14-('Control Room'!$B$14-1)/2)/MAX(0.5,'Control Room'!$B$14/4))^2),1)*IF(AND($A621&gt;='Control Room'!$A$15,$A621&lt;'Control Room'!$A$15+'Control Room'!$B$15,'Process'!BT4=1),1+('Control Room'!$C$15-1)*EXP(-0.5*(($A621-'Control Room'!$A$15-('Control Room'!$B$15-1)/2)/MAX(0.5,'Control Room'!$B$15/4))^2),1)*IF(AND($A621&gt;='Control Room'!$A$16,$A621&lt;'Control Room'!$A$16+'Control Room'!$B$16,'Process'!BT5=1),1+('Control Room'!$C$16-1)*EXP(-0.5*(($A621-'Control Room'!$A$16-('Control Room'!$B$16-1)/2)/MAX(0.5,'Control Room'!$B$16/4))^2),1)</x:f>
        <x:v>1</x:v>
      </x:c>
      <x:c r="AZ621" s="9" t="n">
        <x:f>MOD(BA620*16807,2147483647)</x:f>
        <x:v>222945697</x:v>
      </x:c>
      <x:c r="BA621" s="9" t="n">
        <x:f>MOD(AZ621*16807,2147483647)</x:f>
        <x:v>1836849111</x:v>
      </x:c>
      <x:c r="BB621" s="17" t="n">
        <x:f>IF('Control Room'!$B$5="Normal",'Control Room'!$B$7+'Control Room'!$D$7*SQRT(-2*LN(MAX(0.000000000001,AZ621/2147483647)))*COS(2*PI()*BA621/2147483647),'Control Room'!$B$8+('Control Room'!$D$8-'Control Room'!$B$8)*AZ621/2147483647)</x:f>
        <x:v>1117.7402342269593</x:v>
      </x:c>
      <x:c r="BC621" s="17" t="n">
        <x:f>IF('Control Room'!$B$5="Normal",'Control Room'!$B$7,('Control Room'!$B$8+'Control Room'!$D$8)/2)+'Control Room'!$B$9*(BC620-IF('Control Room'!$B$5="Normal",'Control Room'!$B$7,('Control Room'!$B$8+'Control Room'!$D$8)/2))+SQRT(1-'Control Room'!$B$9^2)*(BB621-IF('Control Room'!$B$5="Normal",'Control Room'!$B$7,('Control Room'!$B$8+'Control Room'!$D$8)/2))</x:f>
        <x:v>1114.7949801321734</x:v>
      </x:c>
      <x:c r="BD621" s="17" t="n">
        <x:f>IF(AND($A621&gt;='Control Room'!$A$13,$A621&lt;'Control Room'!$A$13+'Control Room'!$B$13,'Process'!BU2=1),1+('Control Room'!$C$13-1)*EXP(-0.5*(($A621-'Control Room'!$A$13-('Control Room'!$B$13-1)/2)/MAX(0.5,'Control Room'!$B$13/4))^2),1)*IF(AND($A621&gt;='Control Room'!$A$14,$A621&lt;'Control Room'!$A$14+'Control Room'!$B$14,'Process'!BU3=1),1+('Control Room'!$C$14-1)*EXP(-0.5*(($A621-'Control Room'!$A$14-('Control Room'!$B$14-1)/2)/MAX(0.5,'Control Room'!$B$14/4))^2),1)*IF(AND($A621&gt;='Control Room'!$A$15,$A621&lt;'Control Room'!$A$15+'Control Room'!$B$15,'Process'!BU4=1),1+('Control Room'!$C$15-1)*EXP(-0.5*(($A621-'Control Room'!$A$15-('Control Room'!$B$15-1)/2)/MAX(0.5,'Control Room'!$B$15/4))^2),1)*IF(AND($A621&gt;='Control Room'!$A$16,$A621&lt;'Control Room'!$A$16+'Control Room'!$B$16,'Process'!BU5=1),1+('Control Room'!$C$16-1)*EXP(-0.5*(($A621-'Control Room'!$A$16-('Control Room'!$B$16-1)/2)/MAX(0.5,'Control Room'!$B$16/4))^2),1)</x:f>
        <x:v>1</x:v>
      </x:c>
      <x:c r="BE621" s="9" t="n">
        <x:f>MOD(BF620*16807,2147483647)</x:f>
        <x:v>2106497949</x:v>
      </x:c>
      <x:c r="BF621" s="9" t="n">
        <x:f>MOD(BE621*16807,2147483647)</x:f>
        <x:v>495624401</x:v>
      </x:c>
      <x:c r="BG621" s="17" t="n">
        <x:f>IF('Control Room'!$B$5="Normal",'Control Room'!$B$7+'Control Room'!$D$7*SQRT(-2*LN(MAX(0.000000000001,BE621/2147483647)))*COS(2*PI()*BF621/2147483647),'Control Room'!$B$8+('Control Room'!$D$8-'Control Room'!$B$8)*BE621/2147483647)</x:f>
        <x:v>1002.1270619196848</x:v>
      </x:c>
      <x:c r="BH621" s="17" t="n">
        <x:f>IF('Control Room'!$B$5="Normal",'Control Room'!$B$7,('Control Room'!$B$8+'Control Room'!$D$8)/2)+'Control Room'!$B$9*(BH620-IF('Control Room'!$B$5="Normal",'Control Room'!$B$7,('Control Room'!$B$8+'Control Room'!$D$8)/2))+SQRT(1-'Control Room'!$B$9^2)*(BG621-IF('Control Room'!$B$5="Normal",'Control Room'!$B$7,('Control Room'!$B$8+'Control Room'!$D$8)/2))</x:f>
        <x:v>1000.4516669203174</x:v>
      </x:c>
      <x:c r="BI621" s="17" t="n">
        <x:f>IF(AND($A621&gt;='Control Room'!$A$13,$A621&lt;'Control Room'!$A$13+'Control Room'!$B$13,'Process'!BV2=1),1+('Control Room'!$C$13-1)*EXP(-0.5*(($A621-'Control Room'!$A$13-('Control Room'!$B$13-1)/2)/MAX(0.5,'Control Room'!$B$13/4))^2),1)*IF(AND($A621&gt;='Control Room'!$A$14,$A621&lt;'Control Room'!$A$14+'Control Room'!$B$14,'Process'!BV3=1),1+('Control Room'!$C$14-1)*EXP(-0.5*(($A621-'Control Room'!$A$14-('Control Room'!$B$14-1)/2)/MAX(0.5,'Control Room'!$B$14/4))^2),1)*IF(AND($A621&gt;='Control Room'!$A$15,$A621&lt;'Control Room'!$A$15+'Control Room'!$B$15,'Process'!BV4=1),1+('Control Room'!$C$15-1)*EXP(-0.5*(($A621-'Control Room'!$A$15-('Control Room'!$B$15-1)/2)/MAX(0.5,'Control Room'!$B$15/4))^2),1)*IF(AND($A621&gt;='Control Room'!$A$16,$A621&lt;'Control Room'!$A$16+'Control Room'!$B$16,'Process'!BV5=1),1+('Control Room'!$C$16-1)*EXP(-0.5*(($A621-'Control Room'!$A$16-('Control Room'!$B$16-1)/2)/MAX(0.5,'Control Room'!$B$16/4))^2),1)</x:f>
        <x:v>1</x:v>
      </x:c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Z621" t="str">
        <x:f>IF('Data'!A621="","",TEXT('Data'!A621,"mm-dd"))</x:f>
      </x:c>
    </x:row>
    <x:row r="622" ht="21" customHeight="1">
      <x:c r="A622" s="15" t="n">
        <x:f>'Control Room'!$B$1+620</x:f>
        <x:v>73611</x:v>
      </x:c>
      <x:c r="B622" s="9" t="n">
        <x:f>MOD(C621*16807,2147483647)</x:f>
        <x:v>124167062</x:v>
      </x:c>
      <x:c r="C622" s="9" t="n">
        <x:f>MOD(B622*16807,2147483647)</x:f>
        <x:v>1669189797</x:v>
      </x:c>
      <x:c r="D622" s="17" t="n">
        <x:f>IF('Control Room'!$B$5="Normal",'Control Room'!$B$7+'Control Room'!$D$7*SQRT(-2*LN(MAX(0.000000000001,B622/2147483647)))*COS(2*PI()*C622/2147483647),'Control Room'!$B$8+('Control Room'!$D$8-'Control Room'!$B$8)*B622/2147483647)</x:f>
        <x:v>1036.6489576314061</x:v>
      </x:c>
      <x:c r="E622" s="17" t="n">
        <x:f>IF('Control Room'!$B$5="Normal",'Control Room'!$B$7,('Control Room'!$B$8+'Control Room'!$D$8)/2)+'Control Room'!$B$9*(E621-IF('Control Room'!$B$5="Normal",'Control Room'!$B$7,('Control Room'!$B$8+'Control Room'!$D$8)/2))+SQRT(1-'Control Room'!$B$9^2)*(D622-IF('Control Room'!$B$5="Normal",'Control Room'!$B$7,('Control Room'!$B$8+'Control Room'!$D$8)/2))</x:f>
        <x:v>1116.166416308691</x:v>
      </x:c>
      <x:c r="F622" s="17" t="n">
        <x:f>IF(AND($A622&gt;='Control Room'!$A$13,$A622&lt;'Control Room'!$A$13+'Control Room'!$B$13,'Process'!BK2=1),1+('Control Room'!$C$13-1)*EXP(-0.5*(($A622-'Control Room'!$A$13-('Control Room'!$B$13-1)/2)/MAX(0.5,'Control Room'!$B$13/4))^2),1)*IF(AND($A622&gt;='Control Room'!$A$14,$A622&lt;'Control Room'!$A$14+'Control Room'!$B$14,'Process'!BK3=1),1+('Control Room'!$C$14-1)*EXP(-0.5*(($A622-'Control Room'!$A$14-('Control Room'!$B$14-1)/2)/MAX(0.5,'Control Room'!$B$14/4))^2),1)*IF(AND($A622&gt;='Control Room'!$A$15,$A622&lt;'Control Room'!$A$15+'Control Room'!$B$15,'Process'!BK4=1),1+('Control Room'!$C$15-1)*EXP(-0.5*(($A622-'Control Room'!$A$15-('Control Room'!$B$15-1)/2)/MAX(0.5,'Control Room'!$B$15/4))^2),1)*IF(AND($A622&gt;='Control Room'!$A$16,$A622&lt;'Control Room'!$A$16+'Control Room'!$B$16,'Process'!BK5=1),1+('Control Room'!$C$16-1)*EXP(-0.5*(($A622-'Control Room'!$A$16-('Control Room'!$B$16-1)/2)/MAX(0.5,'Control Room'!$B$16/4))^2),1)</x:f>
        <x:v>1</x:v>
      </x:c>
      <x:c r="G622" s="9" t="n">
        <x:f>MOD(H621*16807,2147483647)</x:f>
        <x:v>296308651</x:v>
      </x:c>
      <x:c r="H622" s="9" t="n">
        <x:f>MOD(G622*16807,2147483647)</x:f>
        <x:v>44919964</x:v>
      </x:c>
      <x:c r="I622" s="17" t="n">
        <x:f>IF('Control Room'!$B$5="Normal",'Control Room'!$B$7+'Control Room'!$D$7*SQRT(-2*LN(MAX(0.000000000001,G622/2147483647)))*COS(2*PI()*H622/2147483647),'Control Room'!$B$8+('Control Room'!$D$8-'Control Room'!$B$8)*G622/2147483647)</x:f>
        <x:v>1177.5823058837548</x:v>
      </x:c>
      <x:c r="J622" s="17" t="n">
        <x:f>IF('Control Room'!$B$5="Normal",'Control Room'!$B$7,('Control Room'!$B$8+'Control Room'!$D$8)/2)+'Control Room'!$B$9*(J621-IF('Control Room'!$B$5="Normal",'Control Room'!$B$7,('Control Room'!$B$8+'Control Room'!$D$8)/2))+SQRT(1-'Control Room'!$B$9^2)*(I622-IF('Control Room'!$B$5="Normal",'Control Room'!$B$7,('Control Room'!$B$8+'Control Room'!$D$8)/2))</x:f>
        <x:v>1019.8106713975112</x:v>
      </x:c>
      <x:c r="K622" s="17" t="n">
        <x:f>IF(AND($A622&gt;='Control Room'!$A$13,$A622&lt;'Control Room'!$A$13+'Control Room'!$B$13,'Process'!BL2=1),1+('Control Room'!$C$13-1)*EXP(-0.5*(($A622-'Control Room'!$A$13-('Control Room'!$B$13-1)/2)/MAX(0.5,'Control Room'!$B$13/4))^2),1)*IF(AND($A622&gt;='Control Room'!$A$14,$A622&lt;'Control Room'!$A$14+'Control Room'!$B$14,'Process'!BL3=1),1+('Control Room'!$C$14-1)*EXP(-0.5*(($A622-'Control Room'!$A$14-('Control Room'!$B$14-1)/2)/MAX(0.5,'Control Room'!$B$14/4))^2),1)*IF(AND($A622&gt;='Control Room'!$A$15,$A622&lt;'Control Room'!$A$15+'Control Room'!$B$15,'Process'!BL4=1),1+('Control Room'!$C$15-1)*EXP(-0.5*(($A622-'Control Room'!$A$15-('Control Room'!$B$15-1)/2)/MAX(0.5,'Control Room'!$B$15/4))^2),1)*IF(AND($A622&gt;='Control Room'!$A$16,$A622&lt;'Control Room'!$A$16+'Control Room'!$B$16,'Process'!BL5=1),1+('Control Room'!$C$16-1)*EXP(-0.5*(($A622-'Control Room'!$A$16-('Control Room'!$B$16-1)/2)/MAX(0.5,'Control Room'!$B$16/4))^2),1)</x:f>
        <x:v>1</x:v>
      </x:c>
      <x:c r="L622" s="9" t="n">
        <x:f>MOD(M621*16807,2147483647)</x:f>
        <x:v>468450240</x:v>
      </x:c>
      <x:c r="M622" s="9" t="n">
        <x:f>MOD(L622*16807,2147483647)</x:f>
        <x:v>568133778</x:v>
      </x:c>
      <x:c r="N622" s="17" t="n">
        <x:f>IF('Control Room'!$B$5="Normal",'Control Room'!$B$7+'Control Room'!$D$7*SQRT(-2*LN(MAX(0.000000000001,L622/2147483647)))*COS(2*PI()*M622/2147483647),'Control Room'!$B$8+('Control Room'!$D$8-'Control Room'!$B$8)*L622/2147483647)</x:f>
        <x:v>985.6541396312114</x:v>
      </x:c>
      <x:c r="O622" s="17" t="n">
        <x:f>IF('Control Room'!$B$5="Normal",'Control Room'!$B$7,('Control Room'!$B$8+'Control Room'!$D$8)/2)+'Control Room'!$B$9*(O621-IF('Control Room'!$B$5="Normal",'Control Room'!$B$7,('Control Room'!$B$8+'Control Room'!$D$8)/2))+SQRT(1-'Control Room'!$B$9^2)*(N622-IF('Control Room'!$B$5="Normal",'Control Room'!$B$7,('Control Room'!$B$8+'Control Room'!$D$8)/2))</x:f>
        <x:v>1026.2566424134793</x:v>
      </x:c>
      <x:c r="P622" s="17" t="n">
        <x:f>IF(AND($A622&gt;='Control Room'!$A$13,$A622&lt;'Control Room'!$A$13+'Control Room'!$B$13,'Process'!BM2=1),1+('Control Room'!$C$13-1)*EXP(-0.5*(($A622-'Control Room'!$A$13-('Control Room'!$B$13-1)/2)/MAX(0.5,'Control Room'!$B$13/4))^2),1)*IF(AND($A622&gt;='Control Room'!$A$14,$A622&lt;'Control Room'!$A$14+'Control Room'!$B$14,'Process'!BM3=1),1+('Control Room'!$C$14-1)*EXP(-0.5*(($A622-'Control Room'!$A$14-('Control Room'!$B$14-1)/2)/MAX(0.5,'Control Room'!$B$14/4))^2),1)*IF(AND($A622&gt;='Control Room'!$A$15,$A622&lt;'Control Room'!$A$15+'Control Room'!$B$15,'Process'!BM4=1),1+('Control Room'!$C$15-1)*EXP(-0.5*(($A622-'Control Room'!$A$15-('Control Room'!$B$15-1)/2)/MAX(0.5,'Control Room'!$B$15/4))^2),1)*IF(AND($A622&gt;='Control Room'!$A$16,$A622&lt;'Control Room'!$A$16+'Control Room'!$B$16,'Process'!BM5=1),1+('Control Room'!$C$16-1)*EXP(-0.5*(($A622-'Control Room'!$A$16-('Control Room'!$B$16-1)/2)/MAX(0.5,'Control Room'!$B$16/4))^2),1)</x:f>
        <x:v>1</x:v>
      </x:c>
      <x:c r="Q622" s="9" t="n">
        <x:f>MOD(R621*16807,2147483647)</x:f>
        <x:v>640591829</x:v>
      </x:c>
      <x:c r="R622" s="9" t="n">
        <x:f>MOD(Q622*16807,2147483647)</x:f>
        <x:v>1091347592</x:v>
      </x:c>
      <x:c r="S622" s="17" t="n">
        <x:f>IF('Control Room'!$B$5="Normal",'Control Room'!$B$7+'Control Room'!$D$7*SQRT(-2*LN(MAX(0.000000000001,Q622/2147483647)))*COS(2*PI()*R622/2147483647),'Control Room'!$B$8+('Control Room'!$D$8-'Control Room'!$B$8)*Q622/2147483647)</x:f>
        <x:v>860.1982381437349</x:v>
      </x:c>
      <x:c r="T622" s="17" t="n">
        <x:f>IF('Control Room'!$B$5="Normal",'Control Room'!$B$7,('Control Room'!$B$8+'Control Room'!$D$8)/2)+'Control Room'!$B$9*(T621-IF('Control Room'!$B$5="Normal",'Control Room'!$B$7,('Control Room'!$B$8+'Control Room'!$D$8)/2))+SQRT(1-'Control Room'!$B$9^2)*(S622-IF('Control Room'!$B$5="Normal",'Control Room'!$B$7,('Control Room'!$B$8+'Control Room'!$D$8)/2))</x:f>
        <x:v>962.2523012829105</x:v>
      </x:c>
      <x:c r="U622" s="17" t="n">
        <x:f>IF(AND($A622&gt;='Control Room'!$A$13,$A622&lt;'Control Room'!$A$13+'Control Room'!$B$13,'Process'!BN2=1),1+('Control Room'!$C$13-1)*EXP(-0.5*(($A622-'Control Room'!$A$13-('Control Room'!$B$13-1)/2)/MAX(0.5,'Control Room'!$B$13/4))^2),1)*IF(AND($A622&gt;='Control Room'!$A$14,$A622&lt;'Control Room'!$A$14+'Control Room'!$B$14,'Process'!BN3=1),1+('Control Room'!$C$14-1)*EXP(-0.5*(($A622-'Control Room'!$A$14-('Control Room'!$B$14-1)/2)/MAX(0.5,'Control Room'!$B$14/4))^2),1)*IF(AND($A622&gt;='Control Room'!$A$15,$A622&lt;'Control Room'!$A$15+'Control Room'!$B$15,'Process'!BN4=1),1+('Control Room'!$C$15-1)*EXP(-0.5*(($A622-'Control Room'!$A$15-('Control Room'!$B$15-1)/2)/MAX(0.5,'Control Room'!$B$15/4))^2),1)*IF(AND($A622&gt;='Control Room'!$A$16,$A622&lt;'Control Room'!$A$16+'Control Room'!$B$16,'Process'!BN5=1),1+('Control Room'!$C$16-1)*EXP(-0.5*(($A622-'Control Room'!$A$16-('Control Room'!$B$16-1)/2)/MAX(0.5,'Control Room'!$B$16/4))^2),1)</x:f>
        <x:v>1</x:v>
      </x:c>
      <x:c r="V622" s="9" t="n">
        <x:f>MOD(W621*16807,2147483647)</x:f>
        <x:v>812733418</x:v>
      </x:c>
      <x:c r="W622" s="9" t="n">
        <x:f>MOD(V622*16807,2147483647)</x:f>
        <x:v>1614561406</x:v>
      </x:c>
      <x:c r="X622" s="17" t="n">
        <x:f>IF('Control Room'!$B$5="Normal",'Control Room'!$B$7+'Control Room'!$D$7*SQRT(-2*LN(MAX(0.000000000001,V622/2147483647)))*COS(2*PI()*W622/2147483647),'Control Room'!$B$8+('Control Room'!$D$8-'Control Room'!$B$8)*V622/2147483647)</x:f>
        <x:v>1001.4494507033064</x:v>
      </x:c>
      <x:c r="Y622" s="17" t="n">
        <x:f>IF('Control Room'!$B$5="Normal",'Control Room'!$B$7,('Control Room'!$B$8+'Control Room'!$D$8)/2)+'Control Room'!$B$9*(Y621-IF('Control Room'!$B$5="Normal",'Control Room'!$B$7,('Control Room'!$B$8+'Control Room'!$D$8)/2))+SQRT(1-'Control Room'!$B$9^2)*(X622-IF('Control Room'!$B$5="Normal",'Control Room'!$B$7,('Control Room'!$B$8+'Control Room'!$D$8)/2))</x:f>
        <x:v>936.3856342974425</x:v>
      </x:c>
      <x:c r="Z622" s="17" t="n">
        <x:f>IF(AND($A622&gt;='Control Room'!$A$13,$A622&lt;'Control Room'!$A$13+'Control Room'!$B$13,'Process'!BO2=1),1+('Control Room'!$C$13-1)*EXP(-0.5*(($A622-'Control Room'!$A$13-('Control Room'!$B$13-1)/2)/MAX(0.5,'Control Room'!$B$13/4))^2),1)*IF(AND($A622&gt;='Control Room'!$A$14,$A622&lt;'Control Room'!$A$14+'Control Room'!$B$14,'Process'!BO3=1),1+('Control Room'!$C$14-1)*EXP(-0.5*(($A622-'Control Room'!$A$14-('Control Room'!$B$14-1)/2)/MAX(0.5,'Control Room'!$B$14/4))^2),1)*IF(AND($A622&gt;='Control Room'!$A$15,$A622&lt;'Control Room'!$A$15+'Control Room'!$B$15,'Process'!BO4=1),1+('Control Room'!$C$15-1)*EXP(-0.5*(($A622-'Control Room'!$A$15-('Control Room'!$B$15-1)/2)/MAX(0.5,'Control Room'!$B$15/4))^2),1)*IF(AND($A622&gt;='Control Room'!$A$16,$A622&lt;'Control Room'!$A$16+'Control Room'!$B$16,'Process'!BO5=1),1+('Control Room'!$C$16-1)*EXP(-0.5*(($A622-'Control Room'!$A$16-('Control Room'!$B$16-1)/2)/MAX(0.5,'Control Room'!$B$16/4))^2),1)</x:f>
        <x:v>1</x:v>
      </x:c>
      <x:c r="AA622" s="9" t="n">
        <x:f>MOD(AB621*16807,2147483647)</x:f>
        <x:v>984875007</x:v>
      </x:c>
      <x:c r="AB622" s="9" t="n">
        <x:f>MOD(AA622*16807,2147483647)</x:f>
        <x:v>2137775220</x:v>
      </x:c>
      <x:c r="AC622" s="17" t="n">
        <x:f>IF('Control Room'!$B$5="Normal",'Control Room'!$B$7+'Control Room'!$D$7*SQRT(-2*LN(MAX(0.000000000001,AA622/2147483647)))*COS(2*PI()*AB622/2147483647),'Control Room'!$B$8+('Control Room'!$D$8-'Control Room'!$B$8)*AA622/2147483647)</x:f>
        <x:v>1112.331285099419</x:v>
      </x:c>
      <x:c r="AD622" s="17" t="n">
        <x:f>IF('Control Room'!$B$5="Normal",'Control Room'!$B$7,('Control Room'!$B$8+'Control Room'!$D$8)/2)+'Control Room'!$B$9*(AD621-IF('Control Room'!$B$5="Normal",'Control Room'!$B$7,('Control Room'!$B$8+'Control Room'!$D$8)/2))+SQRT(1-'Control Room'!$B$9^2)*(AC622-IF('Control Room'!$B$5="Normal",'Control Room'!$B$7,('Control Room'!$B$8+'Control Room'!$D$8)/2))</x:f>
        <x:v>1238.3267878887045</x:v>
      </x:c>
      <x:c r="AE622" s="17" t="n">
        <x:f>IF(AND($A622&gt;='Control Room'!$A$13,$A622&lt;'Control Room'!$A$13+'Control Room'!$B$13,'Process'!BP2=1),1+('Control Room'!$C$13-1)*EXP(-0.5*(($A622-'Control Room'!$A$13-('Control Room'!$B$13-1)/2)/MAX(0.5,'Control Room'!$B$13/4))^2),1)*IF(AND($A622&gt;='Control Room'!$A$14,$A622&lt;'Control Room'!$A$14+'Control Room'!$B$14,'Process'!BP3=1),1+('Control Room'!$C$14-1)*EXP(-0.5*(($A622-'Control Room'!$A$14-('Control Room'!$B$14-1)/2)/MAX(0.5,'Control Room'!$B$14/4))^2),1)*IF(AND($A622&gt;='Control Room'!$A$15,$A622&lt;'Control Room'!$A$15+'Control Room'!$B$15,'Process'!BP4=1),1+('Control Room'!$C$15-1)*EXP(-0.5*(($A622-'Control Room'!$A$15-('Control Room'!$B$15-1)/2)/MAX(0.5,'Control Room'!$B$15/4))^2),1)*IF(AND($A622&gt;='Control Room'!$A$16,$A622&lt;'Control Room'!$A$16+'Control Room'!$B$16,'Process'!BP5=1),1+('Control Room'!$C$16-1)*EXP(-0.5*(($A622-'Control Room'!$A$16-('Control Room'!$B$16-1)/2)/MAX(0.5,'Control Room'!$B$16/4))^2),1)</x:f>
        <x:v>1</x:v>
      </x:c>
      <x:c r="AF622" s="9" t="n">
        <x:f>MOD(AG621*16807,2147483647)</x:f>
        <x:v>1157016596</x:v>
      </x:c>
      <x:c r="AG622" s="9" t="n">
        <x:f>MOD(AF622*16807,2147483647)</x:f>
        <x:v>513505387</x:v>
      </x:c>
      <x:c r="AH622" s="17" t="n">
        <x:f>IF('Control Room'!$B$5="Normal",'Control Room'!$B$7+'Control Room'!$D$7*SQRT(-2*LN(MAX(0.000000000001,AF622/2147483647)))*COS(2*PI()*AG622/2147483647),'Control Room'!$B$8+('Control Room'!$D$8-'Control Room'!$B$8)*AF622/2147483647)</x:f>
        <x:v>1006.8375056513031</x:v>
      </x:c>
      <x:c r="AI622" s="17" t="n">
        <x:f>IF('Control Room'!$B$5="Normal",'Control Room'!$B$7,('Control Room'!$B$8+'Control Room'!$D$8)/2)+'Control Room'!$B$9*(AI621-IF('Control Room'!$B$5="Normal",'Control Room'!$B$7,('Control Room'!$B$8+'Control Room'!$D$8)/2))+SQRT(1-'Control Room'!$B$9^2)*(AH622-IF('Control Room'!$B$5="Normal",'Control Room'!$B$7,('Control Room'!$B$8+'Control Room'!$D$8)/2))</x:f>
        <x:v>1033.5423738667807</x:v>
      </x:c>
      <x:c r="AJ622" s="17" t="n">
        <x:f>IF(AND($A622&gt;='Control Room'!$A$13,$A622&lt;'Control Room'!$A$13+'Control Room'!$B$13,'Process'!BQ2=1),1+('Control Room'!$C$13-1)*EXP(-0.5*(($A622-'Control Room'!$A$13-('Control Room'!$B$13-1)/2)/MAX(0.5,'Control Room'!$B$13/4))^2),1)*IF(AND($A622&gt;='Control Room'!$A$14,$A622&lt;'Control Room'!$A$14+'Control Room'!$B$14,'Process'!BQ3=1),1+('Control Room'!$C$14-1)*EXP(-0.5*(($A622-'Control Room'!$A$14-('Control Room'!$B$14-1)/2)/MAX(0.5,'Control Room'!$B$14/4))^2),1)*IF(AND($A622&gt;='Control Room'!$A$15,$A622&lt;'Control Room'!$A$15+'Control Room'!$B$15,'Process'!BQ4=1),1+('Control Room'!$C$15-1)*EXP(-0.5*(($A622-'Control Room'!$A$15-('Control Room'!$B$15-1)/2)/MAX(0.5,'Control Room'!$B$15/4))^2),1)*IF(AND($A622&gt;='Control Room'!$A$16,$A622&lt;'Control Room'!$A$16+'Control Room'!$B$16,'Process'!BQ5=1),1+('Control Room'!$C$16-1)*EXP(-0.5*(($A622-'Control Room'!$A$16-('Control Room'!$B$16-1)/2)/MAX(0.5,'Control Room'!$B$16/4))^2),1)</x:f>
        <x:v>1</x:v>
      </x:c>
      <x:c r="AK622" s="9" t="n">
        <x:f>MOD(AL621*16807,2147483647)</x:f>
        <x:v>1329158185</x:v>
      </x:c>
      <x:c r="AL622" s="9" t="n">
        <x:f>MOD(AK622*16807,2147483647)</x:f>
        <x:v>1036719201</x:v>
      </x:c>
      <x:c r="AM622" s="17" t="n">
        <x:f>IF('Control Room'!$B$5="Normal",'Control Room'!$B$7+'Control Room'!$D$7*SQRT(-2*LN(MAX(0.000000000001,AK622/2147483647)))*COS(2*PI()*AL622/2147483647),'Control Room'!$B$8+('Control Room'!$D$8-'Control Room'!$B$8)*AK622/2147483647)</x:f>
        <x:v>912.3579557583109</x:v>
      </x:c>
      <x:c r="AN622" s="17" t="n">
        <x:f>IF('Control Room'!$B$5="Normal",'Control Room'!$B$7,('Control Room'!$B$8+'Control Room'!$D$8)/2)+'Control Room'!$B$9*(AN621-IF('Control Room'!$B$5="Normal",'Control Room'!$B$7,('Control Room'!$B$8+'Control Room'!$D$8)/2))+SQRT(1-'Control Room'!$B$9^2)*(AM622-IF('Control Room'!$B$5="Normal",'Control Room'!$B$7,('Control Room'!$B$8+'Control Room'!$D$8)/2))</x:f>
        <x:v>903.6733499470946</x:v>
      </x:c>
      <x:c r="AO622" s="17" t="n">
        <x:f>IF(AND($A622&gt;='Control Room'!$A$13,$A622&lt;'Control Room'!$A$13+'Control Room'!$B$13,'Process'!BR2=1),1+('Control Room'!$C$13-1)*EXP(-0.5*(($A622-'Control Room'!$A$13-('Control Room'!$B$13-1)/2)/MAX(0.5,'Control Room'!$B$13/4))^2),1)*IF(AND($A622&gt;='Control Room'!$A$14,$A622&lt;'Control Room'!$A$14+'Control Room'!$B$14,'Process'!BR3=1),1+('Control Room'!$C$14-1)*EXP(-0.5*(($A622-'Control Room'!$A$14-('Control Room'!$B$14-1)/2)/MAX(0.5,'Control Room'!$B$14/4))^2),1)*IF(AND($A622&gt;='Control Room'!$A$15,$A622&lt;'Control Room'!$A$15+'Control Room'!$B$15,'Process'!BR4=1),1+('Control Room'!$C$15-1)*EXP(-0.5*(($A622-'Control Room'!$A$15-('Control Room'!$B$15-1)/2)/MAX(0.5,'Control Room'!$B$15/4))^2),1)*IF(AND($A622&gt;='Control Room'!$A$16,$A622&lt;'Control Room'!$A$16+'Control Room'!$B$16,'Process'!BR5=1),1+('Control Room'!$C$16-1)*EXP(-0.5*(($A622-'Control Room'!$A$16-('Control Room'!$B$16-1)/2)/MAX(0.5,'Control Room'!$B$16/4))^2),1)</x:f>
        <x:v>1</x:v>
      </x:c>
      <x:c r="AP622" s="9" t="n">
        <x:f>MOD(AQ621*16807,2147483647)</x:f>
        <x:v>1501299774</x:v>
      </x:c>
      <x:c r="AQ622" s="9" t="n">
        <x:f>MOD(AP622*16807,2147483647)</x:f>
        <x:v>1559933015</x:v>
      </x:c>
      <x:c r="AR622" s="17" t="n">
        <x:f>IF('Control Room'!$B$5="Normal",'Control Room'!$B$7+'Control Room'!$D$7*SQRT(-2*LN(MAX(0.000000000001,AP622/2147483647)))*COS(2*PI()*AQ622/2147483647),'Control Room'!$B$8+('Control Room'!$D$8-'Control Room'!$B$8)*AP622/2147483647)</x:f>
        <x:v>988.7495559845622</x:v>
      </x:c>
      <x:c r="AS622" s="17" t="n">
        <x:f>IF('Control Room'!$B$5="Normal",'Control Room'!$B$7,('Control Room'!$B$8+'Control Room'!$D$8)/2)+'Control Room'!$B$9*(AS621-IF('Control Room'!$B$5="Normal",'Control Room'!$B$7,('Control Room'!$B$8+'Control Room'!$D$8)/2))+SQRT(1-'Control Room'!$B$9^2)*(AR622-IF('Control Room'!$B$5="Normal",'Control Room'!$B$7,('Control Room'!$B$8+'Control Room'!$D$8)/2))</x:f>
        <x:v>1113.1305357263616</x:v>
      </x:c>
      <x:c r="AT622" s="17" t="n">
        <x:f>IF(AND($A622&gt;='Control Room'!$A$13,$A622&lt;'Control Room'!$A$13+'Control Room'!$B$13,'Process'!BS2=1),1+('Control Room'!$C$13-1)*EXP(-0.5*(($A622-'Control Room'!$A$13-('Control Room'!$B$13-1)/2)/MAX(0.5,'Control Room'!$B$13/4))^2),1)*IF(AND($A622&gt;='Control Room'!$A$14,$A622&lt;'Control Room'!$A$14+'Control Room'!$B$14,'Process'!BS3=1),1+('Control Room'!$C$14-1)*EXP(-0.5*(($A622-'Control Room'!$A$14-('Control Room'!$B$14-1)/2)/MAX(0.5,'Control Room'!$B$14/4))^2),1)*IF(AND($A622&gt;='Control Room'!$A$15,$A622&lt;'Control Room'!$A$15+'Control Room'!$B$15,'Process'!BS4=1),1+('Control Room'!$C$15-1)*EXP(-0.5*(($A622-'Control Room'!$A$15-('Control Room'!$B$15-1)/2)/MAX(0.5,'Control Room'!$B$15/4))^2),1)*IF(AND($A622&gt;='Control Room'!$A$16,$A622&lt;'Control Room'!$A$16+'Control Room'!$B$16,'Process'!BS5=1),1+('Control Room'!$C$16-1)*EXP(-0.5*(($A622-'Control Room'!$A$16-('Control Room'!$B$16-1)/2)/MAX(0.5,'Control Room'!$B$16/4))^2),1)</x:f>
        <x:v>1</x:v>
      </x:c>
      <x:c r="AU622" s="9" t="n">
        <x:f>MOD(AV621*16807,2147483647)</x:f>
        <x:v>1673441363</x:v>
      </x:c>
      <x:c r="AV622" s="9" t="n">
        <x:f>MOD(AU622*16807,2147483647)</x:f>
        <x:v>2083146829</x:v>
      </x:c>
      <x:c r="AW622" s="17" t="n">
        <x:f>IF('Control Room'!$B$5="Normal",'Control Room'!$B$7+'Control Room'!$D$7*SQRT(-2*LN(MAX(0.000000000001,AU622/2147483647)))*COS(2*PI()*AV622/2147483647),'Control Room'!$B$8+('Control Room'!$D$8-'Control Room'!$B$8)*AU622/2147483647)</x:f>
        <x:v>1062.4421940636896</x:v>
      </x:c>
      <x:c r="AX622" s="17" t="n">
        <x:f>IF('Control Room'!$B$5="Normal",'Control Room'!$B$7,('Control Room'!$B$8+'Control Room'!$D$8)/2)+'Control Room'!$B$9*(AX621-IF('Control Room'!$B$5="Normal",'Control Room'!$B$7,('Control Room'!$B$8+'Control Room'!$D$8)/2))+SQRT(1-'Control Room'!$B$9^2)*(AW622-IF('Control Room'!$B$5="Normal",'Control Room'!$B$7,('Control Room'!$B$8+'Control Room'!$D$8)/2))</x:f>
        <x:v>1030.2780932659573</x:v>
      </x:c>
      <x:c r="AY622" s="17" t="n">
        <x:f>IF(AND($A622&gt;='Control Room'!$A$13,$A622&lt;'Control Room'!$A$13+'Control Room'!$B$13,'Process'!BT2=1),1+('Control Room'!$C$13-1)*EXP(-0.5*(($A622-'Control Room'!$A$13-('Control Room'!$B$13-1)/2)/MAX(0.5,'Control Room'!$B$13/4))^2),1)*IF(AND($A622&gt;='Control Room'!$A$14,$A622&lt;'Control Room'!$A$14+'Control Room'!$B$14,'Process'!BT3=1),1+('Control Room'!$C$14-1)*EXP(-0.5*(($A622-'Control Room'!$A$14-('Control Room'!$B$14-1)/2)/MAX(0.5,'Control Room'!$B$14/4))^2),1)*IF(AND($A622&gt;='Control Room'!$A$15,$A622&lt;'Control Room'!$A$15+'Control Room'!$B$15,'Process'!BT4=1),1+('Control Room'!$C$15-1)*EXP(-0.5*(($A622-'Control Room'!$A$15-('Control Room'!$B$15-1)/2)/MAX(0.5,'Control Room'!$B$15/4))^2),1)*IF(AND($A622&gt;='Control Room'!$A$16,$A622&lt;'Control Room'!$A$16+'Control Room'!$B$16,'Process'!BT5=1),1+('Control Room'!$C$16-1)*EXP(-0.5*(($A622-'Control Room'!$A$16-('Control Room'!$B$16-1)/2)/MAX(0.5,'Control Room'!$B$16/4))^2),1)</x:f>
        <x:v>1</x:v>
      </x:c>
      <x:c r="AZ622" s="9" t="n">
        <x:f>MOD(BA621*16807,2147483647)</x:f>
        <x:v>1845582952</x:v>
      </x:c>
      <x:c r="BA622" s="9" t="n">
        <x:f>MOD(AZ622*16807,2147483647)</x:f>
        <x:v>458876996</x:v>
      </x:c>
      <x:c r="BB622" s="17" t="n">
        <x:f>IF('Control Room'!$B$5="Normal",'Control Room'!$B$7+'Control Room'!$D$7*SQRT(-2*LN(MAX(0.000000000001,AZ622/2147483647)))*COS(2*PI()*BA622/2147483647),'Control Room'!$B$8+('Control Room'!$D$8-'Control Room'!$B$8)*AZ622/2147483647)</x:f>
        <x:v>1011.2072998132903</x:v>
      </x:c>
      <x:c r="BC622" s="17" t="n">
        <x:f>IF('Control Room'!$B$5="Normal",'Control Room'!$B$7,('Control Room'!$B$8+'Control Room'!$D$8)/2)+'Control Room'!$B$9*(BC621-IF('Control Room'!$B$5="Normal",'Control Room'!$B$7,('Control Room'!$B$8+'Control Room'!$D$8)/2))+SQRT(1-'Control Room'!$B$9^2)*(BB622-IF('Control Room'!$B$5="Normal",'Control Room'!$B$7,('Control Room'!$B$8+'Control Room'!$D$8)/2))</x:f>
        <x:v>1096.553383132236</x:v>
      </x:c>
      <x:c r="BD622" s="17" t="n">
        <x:f>IF(AND($A622&gt;='Control Room'!$A$13,$A622&lt;'Control Room'!$A$13+'Control Room'!$B$13,'Process'!BU2=1),1+('Control Room'!$C$13-1)*EXP(-0.5*(($A622-'Control Room'!$A$13-('Control Room'!$B$13-1)/2)/MAX(0.5,'Control Room'!$B$13/4))^2),1)*IF(AND($A622&gt;='Control Room'!$A$14,$A622&lt;'Control Room'!$A$14+'Control Room'!$B$14,'Process'!BU3=1),1+('Control Room'!$C$14-1)*EXP(-0.5*(($A622-'Control Room'!$A$14-('Control Room'!$B$14-1)/2)/MAX(0.5,'Control Room'!$B$14/4))^2),1)*IF(AND($A622&gt;='Control Room'!$A$15,$A622&lt;'Control Room'!$A$15+'Control Room'!$B$15,'Process'!BU4=1),1+('Control Room'!$C$15-1)*EXP(-0.5*(($A622-'Control Room'!$A$15-('Control Room'!$B$15-1)/2)/MAX(0.5,'Control Room'!$B$15/4))^2),1)*IF(AND($A622&gt;='Control Room'!$A$16,$A622&lt;'Control Room'!$A$16+'Control Room'!$B$16,'Process'!BU5=1),1+('Control Room'!$C$16-1)*EXP(-0.5*(($A622-'Control Room'!$A$16-('Control Room'!$B$16-1)/2)/MAX(0.5,'Control Room'!$B$16/4))^2),1)</x:f>
        <x:v>1</x:v>
      </x:c>
      <x:c r="BE622" s="9" t="n">
        <x:f>MOD(BF621*16807,2147483647)</x:f>
        <x:v>2017724541</x:v>
      </x:c>
      <x:c r="BF622" s="9" t="n">
        <x:f>MOD(BE622*16807,2147483647)</x:f>
        <x:v>982090810</x:v>
      </x:c>
      <x:c r="BG622" s="17" t="n">
        <x:f>IF('Control Room'!$B$5="Normal",'Control Room'!$B$7+'Control Room'!$D$7*SQRT(-2*LN(MAX(0.000000000001,BE622/2147483647)))*COS(2*PI()*BF622/2147483647),'Control Room'!$B$8+('Control Room'!$D$8-'Control Room'!$B$8)*BE622/2147483647)</x:f>
        <x:v>969.3600524148015</x:v>
      </x:c>
      <x:c r="BH622" s="17" t="n">
        <x:f>IF('Control Room'!$B$5="Normal",'Control Room'!$B$7,('Control Room'!$B$8+'Control Room'!$D$8)/2)+'Control Room'!$B$9*(BH621-IF('Control Room'!$B$5="Normal",'Control Room'!$B$7,('Control Room'!$B$8+'Control Room'!$D$8)/2))+SQRT(1-'Control Room'!$B$9^2)*(BG622-IF('Control Room'!$B$5="Normal",'Control Room'!$B$7,('Control Room'!$B$8+'Control Room'!$D$8)/2))</x:f>
        <x:v>981.1784486924748</x:v>
      </x:c>
      <x:c r="BI622" s="17" t="n">
        <x:f>IF(AND($A622&gt;='Control Room'!$A$13,$A622&lt;'Control Room'!$A$13+'Control Room'!$B$13,'Process'!BV2=1),1+('Control Room'!$C$13-1)*EXP(-0.5*(($A622-'Control Room'!$A$13-('Control Room'!$B$13-1)/2)/MAX(0.5,'Control Room'!$B$13/4))^2),1)*IF(AND($A622&gt;='Control Room'!$A$14,$A622&lt;'Control Room'!$A$14+'Control Room'!$B$14,'Process'!BV3=1),1+('Control Room'!$C$14-1)*EXP(-0.5*(($A622-'Control Room'!$A$14-('Control Room'!$B$14-1)/2)/MAX(0.5,'Control Room'!$B$14/4))^2),1)*IF(AND($A622&gt;='Control Room'!$A$15,$A622&lt;'Control Room'!$A$15+'Control Room'!$B$15,'Process'!BV4=1),1+('Control Room'!$C$15-1)*EXP(-0.5*(($A622-'Control Room'!$A$15-('Control Room'!$B$15-1)/2)/MAX(0.5,'Control Room'!$B$15/4))^2),1)*IF(AND($A622&gt;='Control Room'!$A$16,$A622&lt;'Control Room'!$A$16+'Control Room'!$B$16,'Process'!BV5=1),1+('Control Room'!$C$16-1)*EXP(-0.5*(($A622-'Control Room'!$A$16-('Control Room'!$B$16-1)/2)/MAX(0.5,'Control Room'!$B$16/4))^2),1)</x:f>
        <x:v>1</x:v>
      </x:c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Z622" t="str">
        <x:f>IF('Data'!A622="","",TEXT('Data'!A622,"mm-dd"))</x:f>
      </x:c>
    </x:row>
    <x:row r="623" ht="21" customHeight="1">
      <x:c r="A623" s="15" t="n">
        <x:f>'Control Room'!$B$1+621</x:f>
        <x:v>73612</x:v>
      </x:c>
      <x:c r="B623" s="9" t="n">
        <x:f>MOD(C622*16807,2147483647)</x:f>
        <x:v>1494037418</x:v>
      </x:c>
      <x:c r="C623" s="9" t="n">
        <x:f>MOD(B623*16807,2147483647)</x:f>
        <x:v>1908083602</x:v>
      </x:c>
      <x:c r="D623" s="17" t="n">
        <x:f>IF('Control Room'!$B$5="Normal",'Control Room'!$B$7+'Control Room'!$D$7*SQRT(-2*LN(MAX(0.000000000001,B623/2147483647)))*COS(2*PI()*C623/2147483647),'Control Room'!$B$8+('Control Room'!$D$8-'Control Room'!$B$8)*B623/2147483647)</x:f>
        <x:v>1058.6149998874487</x:v>
      </x:c>
      <x:c r="E623" s="17" t="n">
        <x:f>IF('Control Room'!$B$5="Normal",'Control Room'!$B$7,('Control Room'!$B$8+'Control Room'!$D$8)/2)+'Control Room'!$B$9*(E622-IF('Control Room'!$B$5="Normal",'Control Room'!$B$7,('Control Room'!$B$8+'Control Room'!$D$8)/2))+SQRT(1-'Control Room'!$B$9^2)*(D623-IF('Control Room'!$B$5="Normal",'Control Room'!$B$7,('Control Room'!$B$8+'Control Room'!$D$8)/2))</x:f>
        <x:v>1127.2898708568027</x:v>
      </x:c>
      <x:c r="F623" s="17" t="n">
        <x:f>IF(AND($A623&gt;='Control Room'!$A$13,$A623&lt;'Control Room'!$A$13+'Control Room'!$B$13,'Process'!BK2=1),1+('Control Room'!$C$13-1)*EXP(-0.5*(($A623-'Control Room'!$A$13-('Control Room'!$B$13-1)/2)/MAX(0.5,'Control Room'!$B$13/4))^2),1)*IF(AND($A623&gt;='Control Room'!$A$14,$A623&lt;'Control Room'!$A$14+'Control Room'!$B$14,'Process'!BK3=1),1+('Control Room'!$C$14-1)*EXP(-0.5*(($A623-'Control Room'!$A$14-('Control Room'!$B$14-1)/2)/MAX(0.5,'Control Room'!$B$14/4))^2),1)*IF(AND($A623&gt;='Control Room'!$A$15,$A623&lt;'Control Room'!$A$15+'Control Room'!$B$15,'Process'!BK4=1),1+('Control Room'!$C$15-1)*EXP(-0.5*(($A623-'Control Room'!$A$15-('Control Room'!$B$15-1)/2)/MAX(0.5,'Control Room'!$B$15/4))^2),1)*IF(AND($A623&gt;='Control Room'!$A$16,$A623&lt;'Control Room'!$A$16+'Control Room'!$B$16,'Process'!BK5=1),1+('Control Room'!$C$16-1)*EXP(-0.5*(($A623-'Control Room'!$A$16-('Control Room'!$B$16-1)/2)/MAX(0.5,'Control Room'!$B$16/4))^2),1)</x:f>
        <x:v>1</x:v>
      </x:c>
      <x:c r="G623" s="9" t="n">
        <x:f>MOD(H622*16807,2147483647)</x:f>
        <x:v>1203074851</x:v>
      </x:c>
      <x:c r="H623" s="9" t="n">
        <x:f>MOD(G623*16807,2147483647)</x:f>
        <x:v>1520484252</x:v>
      </x:c>
      <x:c r="I623" s="17" t="n">
        <x:f>IF('Control Room'!$B$5="Normal",'Control Room'!$B$7+'Control Room'!$D$7*SQRT(-2*LN(MAX(0.000000000001,G623/2147483647)))*COS(2*PI()*H623/2147483647),'Control Room'!$B$8+('Control Room'!$D$8-'Control Room'!$B$8)*G623/2147483647)</x:f>
        <x:v>974.7466042751288</x:v>
      </x:c>
      <x:c r="J623" s="17" t="n">
        <x:f>IF('Control Room'!$B$5="Normal",'Control Room'!$B$7,('Control Room'!$B$8+'Control Room'!$D$8)/2)+'Control Room'!$B$9*(J622-IF('Control Room'!$B$5="Normal",'Control Room'!$B$7,('Control Room'!$B$8+'Control Room'!$D$8)/2))+SQRT(1-'Control Room'!$B$9^2)*(I623-IF('Control Room'!$B$5="Normal",'Control Room'!$B$7,('Control Room'!$B$8+'Control Room'!$D$8)/2))</x:f>
        <x:v>999.6492659893659</x:v>
      </x:c>
      <x:c r="K623" s="17" t="n">
        <x:f>IF(AND($A623&gt;='Control Room'!$A$13,$A623&lt;'Control Room'!$A$13+'Control Room'!$B$13,'Process'!BL2=1),1+('Control Room'!$C$13-1)*EXP(-0.5*(($A623-'Control Room'!$A$13-('Control Room'!$B$13-1)/2)/MAX(0.5,'Control Room'!$B$13/4))^2),1)*IF(AND($A623&gt;='Control Room'!$A$14,$A623&lt;'Control Room'!$A$14+'Control Room'!$B$14,'Process'!BL3=1),1+('Control Room'!$C$14-1)*EXP(-0.5*(($A623-'Control Room'!$A$14-('Control Room'!$B$14-1)/2)/MAX(0.5,'Control Room'!$B$14/4))^2),1)*IF(AND($A623&gt;='Control Room'!$A$15,$A623&lt;'Control Room'!$A$15+'Control Room'!$B$15,'Process'!BL4=1),1+('Control Room'!$C$15-1)*EXP(-0.5*(($A623-'Control Room'!$A$15-('Control Room'!$B$15-1)/2)/MAX(0.5,'Control Room'!$B$15/4))^2),1)*IF(AND($A623&gt;='Control Room'!$A$16,$A623&lt;'Control Room'!$A$16+'Control Room'!$B$16,'Process'!BL5=1),1+('Control Room'!$C$16-1)*EXP(-0.5*(($A623-'Control Room'!$A$16-('Control Room'!$B$16-1)/2)/MAX(0.5,'Control Room'!$B$16/4))^2),1)</x:f>
        <x:v>1</x:v>
      </x:c>
      <x:c r="L623" s="9" t="n">
        <x:f>MOD(M622*16807,2147483647)</x:f>
        <x:v>912112284</x:v>
      </x:c>
      <x:c r="M623" s="9" t="n">
        <x:f>MOD(L623*16807,2147483647)</x:f>
        <x:v>1132884902</x:v>
      </x:c>
      <x:c r="N623" s="17" t="n">
        <x:f>IF('Control Room'!$B$5="Normal",'Control Room'!$B$7+'Control Room'!$D$7*SQRT(-2*LN(MAX(0.000000000001,L623/2147483647)))*COS(2*PI()*M623/2147483647),'Control Room'!$B$8+('Control Room'!$D$8-'Control Room'!$B$8)*L623/2147483647)</x:f>
        <x:v>883.9800338114622</x:v>
      </x:c>
      <x:c r="O623" s="17" t="n">
        <x:f>IF('Control Room'!$B$5="Normal",'Control Room'!$B$7,('Control Room'!$B$8+'Control Room'!$D$8)/2)+'Control Room'!$B$9*(O622-IF('Control Room'!$B$5="Normal",'Control Room'!$B$7,('Control Room'!$B$8+'Control Room'!$D$8)/2))+SQRT(1-'Control Room'!$B$9^2)*(N623-IF('Control Room'!$B$5="Normal",'Control Room'!$B$7,('Control Room'!$B$8+'Control Room'!$D$8)/2))</x:f>
        <x:v>947.8772630399247</x:v>
      </x:c>
      <x:c r="P623" s="17" t="n">
        <x:f>IF(AND($A623&gt;='Control Room'!$A$13,$A623&lt;'Control Room'!$A$13+'Control Room'!$B$13,'Process'!BM2=1),1+('Control Room'!$C$13-1)*EXP(-0.5*(($A623-'Control Room'!$A$13-('Control Room'!$B$13-1)/2)/MAX(0.5,'Control Room'!$B$13/4))^2),1)*IF(AND($A623&gt;='Control Room'!$A$14,$A623&lt;'Control Room'!$A$14+'Control Room'!$B$14,'Process'!BM3=1),1+('Control Room'!$C$14-1)*EXP(-0.5*(($A623-'Control Room'!$A$14-('Control Room'!$B$14-1)/2)/MAX(0.5,'Control Room'!$B$14/4))^2),1)*IF(AND($A623&gt;='Control Room'!$A$15,$A623&lt;'Control Room'!$A$15+'Control Room'!$B$15,'Process'!BM4=1),1+('Control Room'!$C$15-1)*EXP(-0.5*(($A623-'Control Room'!$A$15-('Control Room'!$B$15-1)/2)/MAX(0.5,'Control Room'!$B$15/4))^2),1)*IF(AND($A623&gt;='Control Room'!$A$16,$A623&lt;'Control Room'!$A$16+'Control Room'!$B$16,'Process'!BM5=1),1+('Control Room'!$C$16-1)*EXP(-0.5*(($A623-'Control Room'!$A$16-('Control Room'!$B$16-1)/2)/MAX(0.5,'Control Room'!$B$16/4))^2),1)</x:f>
        <x:v>1</x:v>
      </x:c>
      <x:c r="Q623" s="9" t="n">
        <x:f>MOD(R622*16807,2147483647)</x:f>
        <x:v>621149717</x:v>
      </x:c>
      <x:c r="R623" s="9" t="n">
        <x:f>MOD(Q623*16807,2147483647)</x:f>
        <x:v>745285552</x:v>
      </x:c>
      <x:c r="S623" s="17" t="n">
        <x:f>IF('Control Room'!$B$5="Normal",'Control Room'!$B$7+'Control Room'!$D$7*SQRT(-2*LN(MAX(0.000000000001,Q623/2147483647)))*COS(2*PI()*R623/2147483647),'Control Room'!$B$8+('Control Room'!$D$8-'Control Room'!$B$8)*Q623/2147483647)</x:f>
        <x:v>918.8152983641171</x:v>
      </x:c>
      <x:c r="T623" s="17" t="n">
        <x:f>IF('Control Room'!$B$5="Normal",'Control Room'!$B$7,('Control Room'!$B$8+'Control Room'!$D$8)/2)+'Control Room'!$B$9*(T622-IF('Control Room'!$B$5="Normal",'Control Room'!$B$7,('Control Room'!$B$8+'Control Room'!$D$8)/2))+SQRT(1-'Control Room'!$B$9^2)*(S623-IF('Control Room'!$B$5="Normal",'Control Room'!$B$7,('Control Room'!$B$8+'Control Room'!$D$8)/2))</x:f>
        <x:v>919.7530718759484</x:v>
      </x:c>
      <x:c r="U623" s="17" t="n">
        <x:f>IF(AND($A623&gt;='Control Room'!$A$13,$A623&lt;'Control Room'!$A$13+'Control Room'!$B$13,'Process'!BN2=1),1+('Control Room'!$C$13-1)*EXP(-0.5*(($A623-'Control Room'!$A$13-('Control Room'!$B$13-1)/2)/MAX(0.5,'Control Room'!$B$13/4))^2),1)*IF(AND($A623&gt;='Control Room'!$A$14,$A623&lt;'Control Room'!$A$14+'Control Room'!$B$14,'Process'!BN3=1),1+('Control Room'!$C$14-1)*EXP(-0.5*(($A623-'Control Room'!$A$14-('Control Room'!$B$14-1)/2)/MAX(0.5,'Control Room'!$B$14/4))^2),1)*IF(AND($A623&gt;='Control Room'!$A$15,$A623&lt;'Control Room'!$A$15+'Control Room'!$B$15,'Process'!BN4=1),1+('Control Room'!$C$15-1)*EXP(-0.5*(($A623-'Control Room'!$A$15-('Control Room'!$B$15-1)/2)/MAX(0.5,'Control Room'!$B$15/4))^2),1)*IF(AND($A623&gt;='Control Room'!$A$16,$A623&lt;'Control Room'!$A$16+'Control Room'!$B$16,'Process'!BN5=1),1+('Control Room'!$C$16-1)*EXP(-0.5*(($A623-'Control Room'!$A$16-('Control Room'!$B$16-1)/2)/MAX(0.5,'Control Room'!$B$16/4))^2),1)</x:f>
        <x:v>1</x:v>
      </x:c>
      <x:c r="V623" s="9" t="n">
        <x:f>MOD(W622*16807,2147483647)</x:f>
        <x:v>330187150</x:v>
      </x:c>
      <x:c r="W623" s="9" t="n">
        <x:f>MOD(V623*16807,2147483647)</x:f>
        <x:v>357686202</x:v>
      </x:c>
      <x:c r="X623" s="17" t="n">
        <x:f>IF('Control Room'!$B$5="Normal",'Control Room'!$B$7+'Control Room'!$D$7*SQRT(-2*LN(MAX(0.000000000001,V623/2147483647)))*COS(2*PI()*W623/2147483647),'Control Room'!$B$8+('Control Room'!$D$8-'Control Room'!$B$8)*V623/2147483647)</x:f>
        <x:v>1087.1819921861181</x:v>
      </x:c>
      <x:c r="Y623" s="17" t="n">
        <x:f>IF('Control Room'!$B$5="Normal",'Control Room'!$B$7,('Control Room'!$B$8+'Control Room'!$D$8)/2)+'Control Room'!$B$9*(Y622-IF('Control Room'!$B$5="Normal",'Control Room'!$B$7,('Control Room'!$B$8+'Control Room'!$D$8)/2))+SQRT(1-'Control Room'!$B$9^2)*(X623-IF('Control Room'!$B$5="Normal",'Control Room'!$B$7,('Control Room'!$B$8+'Control Room'!$D$8)/2))</x:f>
        <x:v>1004.9374994418891</x:v>
      </x:c>
      <x:c r="Z623" s="17" t="n">
        <x:f>IF(AND($A623&gt;='Control Room'!$A$13,$A623&lt;'Control Room'!$A$13+'Control Room'!$B$13,'Process'!BO2=1),1+('Control Room'!$C$13-1)*EXP(-0.5*(($A623-'Control Room'!$A$13-('Control Room'!$B$13-1)/2)/MAX(0.5,'Control Room'!$B$13/4))^2),1)*IF(AND($A623&gt;='Control Room'!$A$14,$A623&lt;'Control Room'!$A$14+'Control Room'!$B$14,'Process'!BO3=1),1+('Control Room'!$C$14-1)*EXP(-0.5*(($A623-'Control Room'!$A$14-('Control Room'!$B$14-1)/2)/MAX(0.5,'Control Room'!$B$14/4))^2),1)*IF(AND($A623&gt;='Control Room'!$A$15,$A623&lt;'Control Room'!$A$15+'Control Room'!$B$15,'Process'!BO4=1),1+('Control Room'!$C$15-1)*EXP(-0.5*(($A623-'Control Room'!$A$15-('Control Room'!$B$15-1)/2)/MAX(0.5,'Control Room'!$B$15/4))^2),1)*IF(AND($A623&gt;='Control Room'!$A$16,$A623&lt;'Control Room'!$A$16+'Control Room'!$B$16,'Process'!BO5=1),1+('Control Room'!$C$16-1)*EXP(-0.5*(($A623-'Control Room'!$A$16-('Control Room'!$B$16-1)/2)/MAX(0.5,'Control Room'!$B$16/4))^2),1)</x:f>
        <x:v>1</x:v>
      </x:c>
      <x:c r="AA623" s="9" t="n">
        <x:f>MOD(AB622*16807,2147483647)</x:f>
        <x:v>39224583</x:v>
      </x:c>
      <x:c r="AB623" s="9" t="n">
        <x:f>MOD(AA623*16807,2147483647)</x:f>
        <x:v>2117570499</x:v>
      </x:c>
      <x:c r="AC623" s="17" t="n">
        <x:f>IF('Control Room'!$B$5="Normal",'Control Room'!$B$7+'Control Room'!$D$7*SQRT(-2*LN(MAX(0.000000000001,AA623/2147483647)))*COS(2*PI()*AB623/2147483647),'Control Room'!$B$8+('Control Room'!$D$8-'Control Room'!$B$8)*AA623/2147483647)</x:f>
        <x:v>1253.6712176854483</x:v>
      </x:c>
      <x:c r="AD623" s="17" t="n">
        <x:f>IF('Control Room'!$B$5="Normal",'Control Room'!$B$7,('Control Room'!$B$8+'Control Room'!$D$8)/2)+'Control Room'!$B$9*(AD622-IF('Control Room'!$B$5="Normal",'Control Room'!$B$7,('Control Room'!$B$8+'Control Room'!$D$8)/2))+SQRT(1-'Control Room'!$B$9^2)*(AC623-IF('Control Room'!$B$5="Normal",'Control Room'!$B$7,('Control Room'!$B$8+'Control Room'!$D$8)/2))</x:f>
        <x:v>1344.637145843381</x:v>
      </x:c>
      <x:c r="AE623" s="17" t="n">
        <x:f>IF(AND($A623&gt;='Control Room'!$A$13,$A623&lt;'Control Room'!$A$13+'Control Room'!$B$13,'Process'!BP2=1),1+('Control Room'!$C$13-1)*EXP(-0.5*(($A623-'Control Room'!$A$13-('Control Room'!$B$13-1)/2)/MAX(0.5,'Control Room'!$B$13/4))^2),1)*IF(AND($A623&gt;='Control Room'!$A$14,$A623&lt;'Control Room'!$A$14+'Control Room'!$B$14,'Process'!BP3=1),1+('Control Room'!$C$14-1)*EXP(-0.5*(($A623-'Control Room'!$A$14-('Control Room'!$B$14-1)/2)/MAX(0.5,'Control Room'!$B$14/4))^2),1)*IF(AND($A623&gt;='Control Room'!$A$15,$A623&lt;'Control Room'!$A$15+'Control Room'!$B$15,'Process'!BP4=1),1+('Control Room'!$C$15-1)*EXP(-0.5*(($A623-'Control Room'!$A$15-('Control Room'!$B$15-1)/2)/MAX(0.5,'Control Room'!$B$15/4))^2),1)*IF(AND($A623&gt;='Control Room'!$A$16,$A623&lt;'Control Room'!$A$16+'Control Room'!$B$16,'Process'!BP5=1),1+('Control Room'!$C$16-1)*EXP(-0.5*(($A623-'Control Room'!$A$16-('Control Room'!$B$16-1)/2)/MAX(0.5,'Control Room'!$B$16/4))^2),1)</x:f>
        <x:v>1</x:v>
      </x:c>
      <x:c r="AF623" s="9" t="n">
        <x:f>MOD(AG622*16807,2147483647)</x:f>
        <x:v>1895745663</x:v>
      </x:c>
      <x:c r="AG623" s="9" t="n">
        <x:f>MOD(AF623*16807,2147483647)</x:f>
        <x:v>1729971149</x:v>
      </x:c>
      <x:c r="AH623" s="17" t="n">
        <x:f>IF('Control Room'!$B$5="Normal",'Control Room'!$B$7+'Control Room'!$D$7*SQRT(-2*LN(MAX(0.000000000001,AF623/2147483647)))*COS(2*PI()*AG623/2147483647),'Control Room'!$B$8+('Control Room'!$D$8-'Control Room'!$B$8)*AF623/2147483647)</x:f>
        <x:v>1015.3781149691115</x:v>
      </x:c>
      <x:c r="AI623" s="17" t="n">
        <x:f>IF('Control Room'!$B$5="Normal",'Control Room'!$B$7,('Control Room'!$B$8+'Control Room'!$D$8)/2)+'Control Room'!$B$9*(AI622-IF('Control Room'!$B$5="Normal",'Control Room'!$B$7,('Control Room'!$B$8+'Control Room'!$D$8)/2))+SQRT(1-'Control Room'!$B$9^2)*(AH623-IF('Control Room'!$B$5="Normal",'Control Room'!$B$7,('Control Room'!$B$8+'Control Room'!$D$8)/2))</x:f>
        <x:v>1035.78636092595</x:v>
      </x:c>
      <x:c r="AJ623" s="17" t="n">
        <x:f>IF(AND($A623&gt;='Control Room'!$A$13,$A623&lt;'Control Room'!$A$13+'Control Room'!$B$13,'Process'!BQ2=1),1+('Control Room'!$C$13-1)*EXP(-0.5*(($A623-'Control Room'!$A$13-('Control Room'!$B$13-1)/2)/MAX(0.5,'Control Room'!$B$13/4))^2),1)*IF(AND($A623&gt;='Control Room'!$A$14,$A623&lt;'Control Room'!$A$14+'Control Room'!$B$14,'Process'!BQ3=1),1+('Control Room'!$C$14-1)*EXP(-0.5*(($A623-'Control Room'!$A$14-('Control Room'!$B$14-1)/2)/MAX(0.5,'Control Room'!$B$14/4))^2),1)*IF(AND($A623&gt;='Control Room'!$A$15,$A623&lt;'Control Room'!$A$15+'Control Room'!$B$15,'Process'!BQ4=1),1+('Control Room'!$C$15-1)*EXP(-0.5*(($A623-'Control Room'!$A$15-('Control Room'!$B$15-1)/2)/MAX(0.5,'Control Room'!$B$15/4))^2),1)*IF(AND($A623&gt;='Control Room'!$A$16,$A623&lt;'Control Room'!$A$16+'Control Room'!$B$16,'Process'!BQ5=1),1+('Control Room'!$C$16-1)*EXP(-0.5*(($A623-'Control Room'!$A$16-('Control Room'!$B$16-1)/2)/MAX(0.5,'Control Room'!$B$16/4))^2),1)</x:f>
        <x:v>1</x:v>
      </x:c>
      <x:c r="AK623" s="9" t="n">
        <x:f>MOD(AL622*16807,2147483647)</x:f>
        <x:v>1604783096</x:v>
      </x:c>
      <x:c r="AL623" s="9" t="n">
        <x:f>MOD(AK623*16807,2147483647)</x:f>
        <x:v>1342371799</x:v>
      </x:c>
      <x:c r="AM623" s="17" t="n">
        <x:f>IF('Control Room'!$B$5="Normal",'Control Room'!$B$7+'Control Room'!$D$7*SQRT(-2*LN(MAX(0.000000000001,AK623/2147483647)))*COS(2*PI()*AL623/2147483647),'Control Room'!$B$8+('Control Room'!$D$8-'Control Room'!$B$8)*AK623/2147483647)</x:f>
        <x:v>951.4519803529407</x:v>
      </x:c>
      <x:c r="AN623" s="17" t="n">
        <x:f>IF('Control Room'!$B$5="Normal",'Control Room'!$B$7,('Control Room'!$B$8+'Control Room'!$D$8)/2)+'Control Room'!$B$9*(AN622-IF('Control Room'!$B$5="Normal",'Control Room'!$B$7,('Control Room'!$B$8+'Control Room'!$D$8)/2))+SQRT(1-'Control Room'!$B$9^2)*(AM623-IF('Control Room'!$B$5="Normal",'Control Room'!$B$7,('Control Room'!$B$8+'Control Room'!$D$8)/2))</x:f>
        <x:v>894.4848568238457</x:v>
      </x:c>
      <x:c r="AO623" s="17" t="n">
        <x:f>IF(AND($A623&gt;='Control Room'!$A$13,$A623&lt;'Control Room'!$A$13+'Control Room'!$B$13,'Process'!BR2=1),1+('Control Room'!$C$13-1)*EXP(-0.5*(($A623-'Control Room'!$A$13-('Control Room'!$B$13-1)/2)/MAX(0.5,'Control Room'!$B$13/4))^2),1)*IF(AND($A623&gt;='Control Room'!$A$14,$A623&lt;'Control Room'!$A$14+'Control Room'!$B$14,'Process'!BR3=1),1+('Control Room'!$C$14-1)*EXP(-0.5*(($A623-'Control Room'!$A$14-('Control Room'!$B$14-1)/2)/MAX(0.5,'Control Room'!$B$14/4))^2),1)*IF(AND($A623&gt;='Control Room'!$A$15,$A623&lt;'Control Room'!$A$15+'Control Room'!$B$15,'Process'!BR4=1),1+('Control Room'!$C$15-1)*EXP(-0.5*(($A623-'Control Room'!$A$15-('Control Room'!$B$15-1)/2)/MAX(0.5,'Control Room'!$B$15/4))^2),1)*IF(AND($A623&gt;='Control Room'!$A$16,$A623&lt;'Control Room'!$A$16+'Control Room'!$B$16,'Process'!BR5=1),1+('Control Room'!$C$16-1)*EXP(-0.5*(($A623-'Control Room'!$A$16-('Control Room'!$B$16-1)/2)/MAX(0.5,'Control Room'!$B$16/4))^2),1)</x:f>
        <x:v>1</x:v>
      </x:c>
      <x:c r="AP623" s="9" t="n">
        <x:f>MOD(AQ622*16807,2147483647)</x:f>
        <x:v>1313820529</x:v>
      </x:c>
      <x:c r="AQ623" s="9" t="n">
        <x:f>MOD(AP623*16807,2147483647)</x:f>
        <x:v>954772449</x:v>
      </x:c>
      <x:c r="AR623" s="17" t="n">
        <x:f>IF('Control Room'!$B$5="Normal",'Control Room'!$B$7+'Control Room'!$D$7*SQRT(-2*LN(MAX(0.000000000001,AP623/2147483647)))*COS(2*PI()*AQ623/2147483647),'Control Room'!$B$8+('Control Room'!$D$8-'Control Room'!$B$8)*AP623/2147483647)</x:f>
        <x:v>916.1318792804933</x:v>
      </x:c>
      <x:c r="AS623" s="17" t="n">
        <x:f>IF('Control Room'!$B$5="Normal",'Control Room'!$B$7,('Control Room'!$B$8+'Control Room'!$D$8)/2)+'Control Room'!$B$9*(AS622-IF('Control Room'!$B$5="Normal",'Control Room'!$B$7,('Control Room'!$B$8+'Control Room'!$D$8)/2))+SQRT(1-'Control Room'!$B$9^2)*(AR623-IF('Control Room'!$B$5="Normal",'Control Room'!$B$7,('Control Room'!$B$8+'Control Room'!$D$8)/2))</x:f>
        <x:v>1035.7588660521365</x:v>
      </x:c>
      <x:c r="AT623" s="17" t="n">
        <x:f>IF(AND($A623&gt;='Control Room'!$A$13,$A623&lt;'Control Room'!$A$13+'Control Room'!$B$13,'Process'!BS2=1),1+('Control Room'!$C$13-1)*EXP(-0.5*(($A623-'Control Room'!$A$13-('Control Room'!$B$13-1)/2)/MAX(0.5,'Control Room'!$B$13/4))^2),1)*IF(AND($A623&gt;='Control Room'!$A$14,$A623&lt;'Control Room'!$A$14+'Control Room'!$B$14,'Process'!BS3=1),1+('Control Room'!$C$14-1)*EXP(-0.5*(($A623-'Control Room'!$A$14-('Control Room'!$B$14-1)/2)/MAX(0.5,'Control Room'!$B$14/4))^2),1)*IF(AND($A623&gt;='Control Room'!$A$15,$A623&lt;'Control Room'!$A$15+'Control Room'!$B$15,'Process'!BS4=1),1+('Control Room'!$C$15-1)*EXP(-0.5*(($A623-'Control Room'!$A$15-('Control Room'!$B$15-1)/2)/MAX(0.5,'Control Room'!$B$15/4))^2),1)*IF(AND($A623&gt;='Control Room'!$A$16,$A623&lt;'Control Room'!$A$16+'Control Room'!$B$16,'Process'!BS5=1),1+('Control Room'!$C$16-1)*EXP(-0.5*(($A623-'Control Room'!$A$16-('Control Room'!$B$16-1)/2)/MAX(0.5,'Control Room'!$B$16/4))^2),1)</x:f>
        <x:v>1</x:v>
      </x:c>
      <x:c r="AU623" s="9" t="n">
        <x:f>MOD(AV622*16807,2147483647)</x:f>
        <x:v>1022857962</x:v>
      </x:c>
      <x:c r="AV623" s="9" t="n">
        <x:f>MOD(AU623*16807,2147483647)</x:f>
        <x:v>567173099</x:v>
      </x:c>
      <x:c r="AW623" s="17" t="n">
        <x:f>IF('Control Room'!$B$5="Normal",'Control Room'!$B$7+'Control Room'!$D$7*SQRT(-2*LN(MAX(0.000000000001,AU623/2147483647)))*COS(2*PI()*AV623/2147483647),'Control Room'!$B$8+('Control Room'!$D$8-'Control Room'!$B$8)*AU623/2147483647)</x:f>
        <x:v>990.2943330314121</x:v>
      </x:c>
      <x:c r="AX623" s="17" t="n">
        <x:f>IF('Control Room'!$B$5="Normal",'Control Room'!$B$7,('Control Room'!$B$8+'Control Room'!$D$8)/2)+'Control Room'!$B$9*(AX622-IF('Control Room'!$B$5="Normal",'Control Room'!$B$7,('Control Room'!$B$8+'Control Room'!$D$8)/2))+SQRT(1-'Control Room'!$B$9^2)*(AW623-IF('Control Room'!$B$5="Normal",'Control Room'!$B$7,('Control Room'!$B$8+'Control Room'!$D$8)/2))</x:f>
        <x:v>1017.5433051898997</x:v>
      </x:c>
      <x:c r="AY623" s="17" t="n">
        <x:f>IF(AND($A623&gt;='Control Room'!$A$13,$A623&lt;'Control Room'!$A$13+'Control Room'!$B$13,'Process'!BT2=1),1+('Control Room'!$C$13-1)*EXP(-0.5*(($A623-'Control Room'!$A$13-('Control Room'!$B$13-1)/2)/MAX(0.5,'Control Room'!$B$13/4))^2),1)*IF(AND($A623&gt;='Control Room'!$A$14,$A623&lt;'Control Room'!$A$14+'Control Room'!$B$14,'Process'!BT3=1),1+('Control Room'!$C$14-1)*EXP(-0.5*(($A623-'Control Room'!$A$14-('Control Room'!$B$14-1)/2)/MAX(0.5,'Control Room'!$B$14/4))^2),1)*IF(AND($A623&gt;='Control Room'!$A$15,$A623&lt;'Control Room'!$A$15+'Control Room'!$B$15,'Process'!BT4=1),1+('Control Room'!$C$15-1)*EXP(-0.5*(($A623-'Control Room'!$A$15-('Control Room'!$B$15-1)/2)/MAX(0.5,'Control Room'!$B$15/4))^2),1)*IF(AND($A623&gt;='Control Room'!$A$16,$A623&lt;'Control Room'!$A$16+'Control Room'!$B$16,'Process'!BT5=1),1+('Control Room'!$C$16-1)*EXP(-0.5*(($A623-'Control Room'!$A$16-('Control Room'!$B$16-1)/2)/MAX(0.5,'Control Room'!$B$16/4))^2),1)</x:f>
        <x:v>1</x:v>
      </x:c>
      <x:c r="AZ623" s="9" t="n">
        <x:f>MOD(BA622*16807,2147483647)</x:f>
        <x:v>731895395</x:v>
      </x:c>
      <x:c r="BA623" s="9" t="n">
        <x:f>MOD(AZ623*16807,2147483647)</x:f>
        <x:v>179573749</x:v>
      </x:c>
      <x:c r="BB623" s="17" t="n">
        <x:f>IF('Control Room'!$B$5="Normal",'Control Room'!$B$7+'Control Room'!$D$7*SQRT(-2*LN(MAX(0.000000000001,AZ623/2147483647)))*COS(2*PI()*BA623/2147483647),'Control Room'!$B$8+('Control Room'!$D$8-'Control Room'!$B$8)*AZ623/2147483647)</x:f>
        <x:v>1114.2416505305318</x:v>
      </x:c>
      <x:c r="BC623" s="17" t="n">
        <x:f>IF('Control Room'!$B$5="Normal",'Control Room'!$B$7,('Control Room'!$B$8+'Control Room'!$D$8)/2)+'Control Room'!$B$9*(BC622-IF('Control Room'!$B$5="Normal",'Control Room'!$B$7,('Control Room'!$B$8+'Control Room'!$D$8)/2))+SQRT(1-'Control Room'!$B$9^2)*(BB623-IF('Control Room'!$B$5="Normal",'Control Room'!$B$7,('Control Room'!$B$8+'Control Room'!$D$8)/2))</x:f>
        <x:v>1146.8017233777293</x:v>
      </x:c>
      <x:c r="BD623" s="17" t="n">
        <x:f>IF(AND($A623&gt;='Control Room'!$A$13,$A623&lt;'Control Room'!$A$13+'Control Room'!$B$13,'Process'!BU2=1),1+('Control Room'!$C$13-1)*EXP(-0.5*(($A623-'Control Room'!$A$13-('Control Room'!$B$13-1)/2)/MAX(0.5,'Control Room'!$B$13/4))^2),1)*IF(AND($A623&gt;='Control Room'!$A$14,$A623&lt;'Control Room'!$A$14+'Control Room'!$B$14,'Process'!BU3=1),1+('Control Room'!$C$14-1)*EXP(-0.5*(($A623-'Control Room'!$A$14-('Control Room'!$B$14-1)/2)/MAX(0.5,'Control Room'!$B$14/4))^2),1)*IF(AND($A623&gt;='Control Room'!$A$15,$A623&lt;'Control Room'!$A$15+'Control Room'!$B$15,'Process'!BU4=1),1+('Control Room'!$C$15-1)*EXP(-0.5*(($A623-'Control Room'!$A$15-('Control Room'!$B$15-1)/2)/MAX(0.5,'Control Room'!$B$15/4))^2),1)*IF(AND($A623&gt;='Control Room'!$A$16,$A623&lt;'Control Room'!$A$16+'Control Room'!$B$16,'Process'!BU5=1),1+('Control Room'!$C$16-1)*EXP(-0.5*(($A623-'Control Room'!$A$16-('Control Room'!$B$16-1)/2)/MAX(0.5,'Control Room'!$B$16/4))^2),1)</x:f>
        <x:v>1</x:v>
      </x:c>
      <x:c r="BE623" s="9" t="n">
        <x:f>MOD(BF622*16807,2147483647)</x:f>
        <x:v>440932828</x:v>
      </x:c>
      <x:c r="BF623" s="9" t="n">
        <x:f>MOD(BE623*16807,2147483647)</x:f>
        <x:v>1939458046</x:v>
      </x:c>
      <x:c r="BG623" s="17" t="n">
        <x:f>IF('Control Room'!$B$5="Normal",'Control Room'!$B$7+'Control Room'!$D$7*SQRT(-2*LN(MAX(0.000000000001,BE623/2147483647)))*COS(2*PI()*BF623/2147483647),'Control Room'!$B$8+('Control Room'!$D$8-'Control Room'!$B$8)*BE623/2147483647)</x:f>
        <x:v>1131.3883249884573</x:v>
      </x:c>
      <x:c r="BH623" s="17" t="n">
        <x:f>IF('Control Room'!$B$5="Normal",'Control Room'!$B$7,('Control Room'!$B$8+'Control Room'!$D$8)/2)+'Control Room'!$B$9*(BH622-IF('Control Room'!$B$5="Normal",'Control Room'!$B$7,('Control Room'!$B$8+'Control Room'!$D$8)/2))+SQRT(1-'Control Room'!$B$9^2)*(BG623-IF('Control Room'!$B$5="Normal",'Control Room'!$B$7,('Control Room'!$B$8+'Control Room'!$D$8)/2))</x:f>
        <x:v>1067.539312121766</x:v>
      </x:c>
      <x:c r="BI623" s="17" t="n">
        <x:f>IF(AND($A623&gt;='Control Room'!$A$13,$A623&lt;'Control Room'!$A$13+'Control Room'!$B$13,'Process'!BV2=1),1+('Control Room'!$C$13-1)*EXP(-0.5*(($A623-'Control Room'!$A$13-('Control Room'!$B$13-1)/2)/MAX(0.5,'Control Room'!$B$13/4))^2),1)*IF(AND($A623&gt;='Control Room'!$A$14,$A623&lt;'Control Room'!$A$14+'Control Room'!$B$14,'Process'!BV3=1),1+('Control Room'!$C$14-1)*EXP(-0.5*(($A623-'Control Room'!$A$14-('Control Room'!$B$14-1)/2)/MAX(0.5,'Control Room'!$B$14/4))^2),1)*IF(AND($A623&gt;='Control Room'!$A$15,$A623&lt;'Control Room'!$A$15+'Control Room'!$B$15,'Process'!BV4=1),1+('Control Room'!$C$15-1)*EXP(-0.5*(($A623-'Control Room'!$A$15-('Control Room'!$B$15-1)/2)/MAX(0.5,'Control Room'!$B$15/4))^2),1)*IF(AND($A623&gt;='Control Room'!$A$16,$A623&lt;'Control Room'!$A$16+'Control Room'!$B$16,'Process'!BV5=1),1+('Control Room'!$C$16-1)*EXP(-0.5*(($A623-'Control Room'!$A$16-('Control Room'!$B$16-1)/2)/MAX(0.5,'Control Room'!$B$16/4))^2),1)</x:f>
        <x:v>1</x:v>
      </x:c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Z623" t="str">
        <x:f>IF('Data'!A623="","",TEXT('Data'!A623,"mm-dd"))</x:f>
      </x:c>
    </x:row>
    <x:row r="624" ht="21" customHeight="1">
      <x:c r="A624" s="15" t="n">
        <x:f>'Control Room'!$B$1+622</x:f>
        <x:v>73613</x:v>
      </x:c>
      <x:c r="B624" s="9" t="n">
        <x:f>MOD(C623*16807,2147483647)</x:f>
        <x:v>787798163</x:v>
      </x:c>
      <x:c r="C624" s="9" t="n">
        <x:f>MOD(B624*16807,2147483647)</x:f>
        <x:v>1287041786</x:v>
      </x:c>
      <x:c r="D624" s="17" t="n">
        <x:f>IF('Control Room'!$B$5="Normal",'Control Room'!$B$7+'Control Room'!$D$7*SQRT(-2*LN(MAX(0.000000000001,B624/2147483647)))*COS(2*PI()*C624/2147483647),'Control Room'!$B$8+('Control Room'!$D$8-'Control Room'!$B$8)*B624/2147483647)</x:f>
        <x:v>896.567809235847</x:v>
      </x:c>
      <x:c r="E624" s="17" t="n">
        <x:f>IF('Control Room'!$B$5="Normal",'Control Room'!$B$7,('Control Room'!$B$8+'Control Room'!$D$8)/2)+'Control Room'!$B$9*(E623-IF('Control Room'!$B$5="Normal",'Control Room'!$B$7,('Control Room'!$B$8+'Control Room'!$D$8)/2))+SQRT(1-'Control Room'!$B$9^2)*(D624-IF('Control Room'!$B$5="Normal",'Control Room'!$B$7,('Control Room'!$B$8+'Control Room'!$D$8)/2))</x:f>
        <x:v>1034.5603532117007</x:v>
      </x:c>
      <x:c r="F624" s="17" t="n">
        <x:f>IF(AND($A624&gt;='Control Room'!$A$13,$A624&lt;'Control Room'!$A$13+'Control Room'!$B$13,'Process'!BK2=1),1+('Control Room'!$C$13-1)*EXP(-0.5*(($A624-'Control Room'!$A$13-('Control Room'!$B$13-1)/2)/MAX(0.5,'Control Room'!$B$13/4))^2),1)*IF(AND($A624&gt;='Control Room'!$A$14,$A624&lt;'Control Room'!$A$14+'Control Room'!$B$14,'Process'!BK3=1),1+('Control Room'!$C$14-1)*EXP(-0.5*(($A624-'Control Room'!$A$14-('Control Room'!$B$14-1)/2)/MAX(0.5,'Control Room'!$B$14/4))^2),1)*IF(AND($A624&gt;='Control Room'!$A$15,$A624&lt;'Control Room'!$A$15+'Control Room'!$B$15,'Process'!BK4=1),1+('Control Room'!$C$15-1)*EXP(-0.5*(($A624-'Control Room'!$A$15-('Control Room'!$B$15-1)/2)/MAX(0.5,'Control Room'!$B$15/4))^2),1)*IF(AND($A624&gt;='Control Room'!$A$16,$A624&lt;'Control Room'!$A$16+'Control Room'!$B$16,'Process'!BK5=1),1+('Control Room'!$C$16-1)*EXP(-0.5*(($A624-'Control Room'!$A$16-('Control Room'!$B$16-1)/2)/MAX(0.5,'Control Room'!$B$16/4))^2),1)</x:f>
        <x:v>1</x:v>
      </x:c>
      <x:c r="G624" s="9" t="n">
        <x:f>MOD(H623*16807,2147483647)</x:f>
        <x:v>1870907711</x:v>
      </x:c>
      <x:c r="H624" s="9" t="n">
        <x:f>MOD(G624*16807,2147483647)</x:f>
        <x:v>890339403</x:v>
      </x:c>
      <x:c r="I624" s="17" t="n">
        <x:f>IF('Control Room'!$B$5="Normal",'Control Room'!$B$7+'Control Room'!$D$7*SQRT(-2*LN(MAX(0.000000000001,G624/2147483647)))*COS(2*PI()*H624/2147483647),'Control Room'!$B$8+('Control Room'!$D$8-'Control Room'!$B$8)*G624/2147483647)</x:f>
        <x:v>959.3821159006161</x:v>
      </x:c>
      <x:c r="J624" s="17" t="n">
        <x:f>IF('Control Room'!$B$5="Normal",'Control Room'!$B$7,('Control Room'!$B$8+'Control Room'!$D$8)/2)+'Control Room'!$B$9*(J623-IF('Control Room'!$B$5="Normal",'Control Room'!$B$7,('Control Room'!$B$8+'Control Room'!$D$8)/2))+SQRT(1-'Control Room'!$B$9^2)*(I624-IF('Control Room'!$B$5="Normal",'Control Room'!$B$7,('Control Room'!$B$8+'Control Room'!$D$8)/2))</x:f>
        <x:v>974.3085877048956</x:v>
      </x:c>
      <x:c r="K624" s="17" t="n">
        <x:f>IF(AND($A624&gt;='Control Room'!$A$13,$A624&lt;'Control Room'!$A$13+'Control Room'!$B$13,'Process'!BL2=1),1+('Control Room'!$C$13-1)*EXP(-0.5*(($A624-'Control Room'!$A$13-('Control Room'!$B$13-1)/2)/MAX(0.5,'Control Room'!$B$13/4))^2),1)*IF(AND($A624&gt;='Control Room'!$A$14,$A624&lt;'Control Room'!$A$14+'Control Room'!$B$14,'Process'!BL3=1),1+('Control Room'!$C$14-1)*EXP(-0.5*(($A624-'Control Room'!$A$14-('Control Room'!$B$14-1)/2)/MAX(0.5,'Control Room'!$B$14/4))^2),1)*IF(AND($A624&gt;='Control Room'!$A$15,$A624&lt;'Control Room'!$A$15+'Control Room'!$B$15,'Process'!BL4=1),1+('Control Room'!$C$15-1)*EXP(-0.5*(($A624-'Control Room'!$A$15-('Control Room'!$B$15-1)/2)/MAX(0.5,'Control Room'!$B$15/4))^2),1)*IF(AND($A624&gt;='Control Room'!$A$16,$A624&lt;'Control Room'!$A$16+'Control Room'!$B$16,'Process'!BL5=1),1+('Control Room'!$C$16-1)*EXP(-0.5*(($A624-'Control Room'!$A$16-('Control Room'!$B$16-1)/2)/MAX(0.5,'Control Room'!$B$16/4))^2),1)</x:f>
        <x:v>1</x:v>
      </x:c>
      <x:c r="L624" s="9" t="n">
        <x:f>MOD(M623*16807,2147483647)</x:f>
        <x:v>806533612</x:v>
      </x:c>
      <x:c r="M624" s="9" t="n">
        <x:f>MOD(L624*16807,2147483647)</x:f>
        <x:v>493637020</x:v>
      </x:c>
      <x:c r="N624" s="17" t="n">
        <x:f>IF('Control Room'!$B$5="Normal",'Control Room'!$B$7+'Control Room'!$D$7*SQRT(-2*LN(MAX(0.000000000001,L624/2147483647)))*COS(2*PI()*M624/2147483647),'Control Room'!$B$8+('Control Room'!$D$8-'Control Room'!$B$8)*L624/2147483647)</x:f>
        <x:v>1015.8903088556757</x:v>
      </x:c>
      <x:c r="O624" s="17" t="n">
        <x:f>IF('Control Room'!$B$5="Normal",'Control Room'!$B$7,('Control Room'!$B$8+'Control Room'!$D$8)/2)+'Control Room'!$B$9*(O623-IF('Control Room'!$B$5="Normal",'Control Room'!$B$7,('Control Room'!$B$8+'Control Room'!$D$8)/2))+SQRT(1-'Control Room'!$B$9^2)*(N624-IF('Control Room'!$B$5="Normal",'Control Room'!$B$7,('Control Room'!$B$8+'Control Room'!$D$8)/2))</x:f>
        <x:v>969.288094922352</x:v>
      </x:c>
      <x:c r="P624" s="17" t="n">
        <x:f>IF(AND($A624&gt;='Control Room'!$A$13,$A624&lt;'Control Room'!$A$13+'Control Room'!$B$13,'Process'!BM2=1),1+('Control Room'!$C$13-1)*EXP(-0.5*(($A624-'Control Room'!$A$13-('Control Room'!$B$13-1)/2)/MAX(0.5,'Control Room'!$B$13/4))^2),1)*IF(AND($A624&gt;='Control Room'!$A$14,$A624&lt;'Control Room'!$A$14+'Control Room'!$B$14,'Process'!BM3=1),1+('Control Room'!$C$14-1)*EXP(-0.5*(($A624-'Control Room'!$A$14-('Control Room'!$B$14-1)/2)/MAX(0.5,'Control Room'!$B$14/4))^2),1)*IF(AND($A624&gt;='Control Room'!$A$15,$A624&lt;'Control Room'!$A$15+'Control Room'!$B$15,'Process'!BM4=1),1+('Control Room'!$C$15-1)*EXP(-0.5*(($A624-'Control Room'!$A$15-('Control Room'!$B$15-1)/2)/MAX(0.5,'Control Room'!$B$15/4))^2),1)*IF(AND($A624&gt;='Control Room'!$A$16,$A624&lt;'Control Room'!$A$16+'Control Room'!$B$16,'Process'!BM5=1),1+('Control Room'!$C$16-1)*EXP(-0.5*(($A624-'Control Room'!$A$16-('Control Room'!$B$16-1)/2)/MAX(0.5,'Control Room'!$B$16/4))^2),1)</x:f>
        <x:v>1</x:v>
      </x:c>
      <x:c r="Q624" s="9" t="n">
        <x:f>MOD(R623*16807,2147483647)</x:f>
        <x:v>1889643160</x:v>
      </x:c>
      <x:c r="R624" s="9" t="n">
        <x:f>MOD(Q624*16807,2147483647)</x:f>
        <x:v>96934637</x:v>
      </x:c>
      <x:c r="S624" s="17" t="n">
        <x:f>IF('Control Room'!$B$5="Normal",'Control Room'!$B$7+'Control Room'!$D$7*SQRT(-2*LN(MAX(0.000000000001,Q624/2147483647)))*COS(2*PI()*R624/2147483647),'Control Room'!$B$8+('Control Room'!$D$8-'Control Room'!$B$8)*Q624/2147483647)</x:f>
        <x:v>1043.7020258615182</x:v>
      </x:c>
      <x:c r="T624" s="17" t="n">
        <x:f>IF('Control Room'!$B$5="Normal",'Control Room'!$B$7,('Control Room'!$B$8+'Control Room'!$D$8)/2)+'Control Room'!$B$9*(T623-IF('Control Room'!$B$5="Normal",'Control Room'!$B$7,('Control Room'!$B$8+'Control Room'!$D$8)/2))+SQRT(1-'Control Room'!$B$9^2)*(S624-IF('Control Room'!$B$5="Normal",'Control Room'!$B$7,('Control Room'!$B$8+'Control Room'!$D$8)/2))</x:f>
        <x:v>964.755228562715</x:v>
      </x:c>
      <x:c r="U624" s="17" t="n">
        <x:f>IF(AND($A624&gt;='Control Room'!$A$13,$A624&lt;'Control Room'!$A$13+'Control Room'!$B$13,'Process'!BN2=1),1+('Control Room'!$C$13-1)*EXP(-0.5*(($A624-'Control Room'!$A$13-('Control Room'!$B$13-1)/2)/MAX(0.5,'Control Room'!$B$13/4))^2),1)*IF(AND($A624&gt;='Control Room'!$A$14,$A624&lt;'Control Room'!$A$14+'Control Room'!$B$14,'Process'!BN3=1),1+('Control Room'!$C$14-1)*EXP(-0.5*(($A624-'Control Room'!$A$14-('Control Room'!$B$14-1)/2)/MAX(0.5,'Control Room'!$B$14/4))^2),1)*IF(AND($A624&gt;='Control Room'!$A$15,$A624&lt;'Control Room'!$A$15+'Control Room'!$B$15,'Process'!BN4=1),1+('Control Room'!$C$15-1)*EXP(-0.5*(($A624-'Control Room'!$A$15-('Control Room'!$B$15-1)/2)/MAX(0.5,'Control Room'!$B$15/4))^2),1)*IF(AND($A624&gt;='Control Room'!$A$16,$A624&lt;'Control Room'!$A$16+'Control Room'!$B$16,'Process'!BN5=1),1+('Control Room'!$C$16-1)*EXP(-0.5*(($A624-'Control Room'!$A$16-('Control Room'!$B$16-1)/2)/MAX(0.5,'Control Room'!$B$16/4))^2),1)</x:f>
        <x:v>1</x:v>
      </x:c>
      <x:c r="V624" s="9" t="n">
        <x:f>MOD(W623*16807,2147483647)</x:f>
        <x:v>825269061</x:v>
      </x:c>
      <x:c r="W624" s="9" t="n">
        <x:f>MOD(V624*16807,2147483647)</x:f>
        <x:v>1847715901</x:v>
      </x:c>
      <x:c r="X624" s="17" t="n">
        <x:f>IF('Control Room'!$B$5="Normal",'Control Room'!$B$7+'Control Room'!$D$7*SQRT(-2*LN(MAX(0.000000000001,V624/2147483647)))*COS(2*PI()*W624/2147483647),'Control Room'!$B$8+('Control Room'!$D$8-'Control Room'!$B$8)*V624/2147483647)</x:f>
        <x:v>1079.586742629334</x:v>
      </x:c>
      <x:c r="Y624" s="17" t="n">
        <x:f>IF('Control Room'!$B$5="Normal",'Control Room'!$B$7,('Control Room'!$B$8+'Control Room'!$D$8)/2)+'Control Room'!$B$9*(Y623-IF('Control Room'!$B$5="Normal",'Control Room'!$B$7,('Control Room'!$B$8+'Control Room'!$D$8)/2))+SQRT(1-'Control Room'!$B$9^2)*(X624-IF('Control Room'!$B$5="Normal",'Control Room'!$B$7,('Control Room'!$B$8+'Control Room'!$D$8)/2))</x:f>
        <x:v>1053.6550026790665</x:v>
      </x:c>
      <x:c r="Z624" s="17" t="n">
        <x:f>IF(AND($A624&gt;='Control Room'!$A$13,$A624&lt;'Control Room'!$A$13+'Control Room'!$B$13,'Process'!BO2=1),1+('Control Room'!$C$13-1)*EXP(-0.5*(($A624-'Control Room'!$A$13-('Control Room'!$B$13-1)/2)/MAX(0.5,'Control Room'!$B$13/4))^2),1)*IF(AND($A624&gt;='Control Room'!$A$14,$A624&lt;'Control Room'!$A$14+'Control Room'!$B$14,'Process'!BO3=1),1+('Control Room'!$C$14-1)*EXP(-0.5*(($A624-'Control Room'!$A$14-('Control Room'!$B$14-1)/2)/MAX(0.5,'Control Room'!$B$14/4))^2),1)*IF(AND($A624&gt;='Control Room'!$A$15,$A624&lt;'Control Room'!$A$15+'Control Room'!$B$15,'Process'!BO4=1),1+('Control Room'!$C$15-1)*EXP(-0.5*(($A624-'Control Room'!$A$15-('Control Room'!$B$15-1)/2)/MAX(0.5,'Control Room'!$B$15/4))^2),1)*IF(AND($A624&gt;='Control Room'!$A$16,$A624&lt;'Control Room'!$A$16+'Control Room'!$B$16,'Process'!BO5=1),1+('Control Room'!$C$16-1)*EXP(-0.5*(($A624-'Control Room'!$A$16-('Control Room'!$B$16-1)/2)/MAX(0.5,'Control Room'!$B$16/4))^2),1)</x:f>
        <x:v>1</x:v>
      </x:c>
      <x:c r="AA624" s="9" t="n">
        <x:f>MOD(AB623*16807,2147483647)</x:f>
        <x:v>1908378609</x:v>
      </x:c>
      <x:c r="AB624" s="9" t="n">
        <x:f>MOD(AA624*16807,2147483647)</x:f>
        <x:v>1451013518</x:v>
      </x:c>
      <x:c r="AC624" s="17" t="n">
        <x:f>IF('Control Room'!$B$5="Normal",'Control Room'!$B$7+'Control Room'!$D$7*SQRT(-2*LN(MAX(0.000000000001,AA624/2147483647)))*COS(2*PI()*AB624/2147483647),'Control Room'!$B$8+('Control Room'!$D$8-'Control Room'!$B$8)*AA624/2147483647)</x:f>
        <x:v>980.3139558411378</x:v>
      </x:c>
      <x:c r="AD624" s="17" t="n">
        <x:f>IF('Control Room'!$B$5="Normal",'Control Room'!$B$7,('Control Room'!$B$8+'Control Room'!$D$8)/2)+'Control Room'!$B$9*(AD623-IF('Control Room'!$B$5="Normal",'Control Room'!$B$7,('Control Room'!$B$8+'Control Room'!$D$8)/2))+SQRT(1-'Control Room'!$B$9^2)*(AC624-IF('Control Room'!$B$5="Normal",'Control Room'!$B$7,('Control Room'!$B$8+'Control Room'!$D$8)/2))</x:f>
        <x:v>1256.4978506137566</x:v>
      </x:c>
      <x:c r="AE624" s="17" t="n">
        <x:f>IF(AND($A624&gt;='Control Room'!$A$13,$A624&lt;'Control Room'!$A$13+'Control Room'!$B$13,'Process'!BP2=1),1+('Control Room'!$C$13-1)*EXP(-0.5*(($A624-'Control Room'!$A$13-('Control Room'!$B$13-1)/2)/MAX(0.5,'Control Room'!$B$13/4))^2),1)*IF(AND($A624&gt;='Control Room'!$A$14,$A624&lt;'Control Room'!$A$14+'Control Room'!$B$14,'Process'!BP3=1),1+('Control Room'!$C$14-1)*EXP(-0.5*(($A624-'Control Room'!$A$14-('Control Room'!$B$14-1)/2)/MAX(0.5,'Control Room'!$B$14/4))^2),1)*IF(AND($A624&gt;='Control Room'!$A$15,$A624&lt;'Control Room'!$A$15+'Control Room'!$B$15,'Process'!BP4=1),1+('Control Room'!$C$15-1)*EXP(-0.5*(($A624-'Control Room'!$A$15-('Control Room'!$B$15-1)/2)/MAX(0.5,'Control Room'!$B$15/4))^2),1)*IF(AND($A624&gt;='Control Room'!$A$16,$A624&lt;'Control Room'!$A$16+'Control Room'!$B$16,'Process'!BP5=1),1+('Control Room'!$C$16-1)*EXP(-0.5*(($A624-'Control Room'!$A$16-('Control Room'!$B$16-1)/2)/MAX(0.5,'Control Room'!$B$16/4))^2),1)</x:f>
        <x:v>1</x:v>
      </x:c>
      <x:c r="AF624" s="9" t="n">
        <x:f>MOD(AG623*16807,2147483647)</x:f>
        <x:v>844004510</x:v>
      </x:c>
      <x:c r="AG624" s="9" t="n">
        <x:f>MOD(AF624*16807,2147483647)</x:f>
        <x:v>1054311135</x:v>
      </x:c>
      <x:c r="AH624" s="17" t="n">
        <x:f>IF('Control Room'!$B$5="Normal",'Control Room'!$B$7+'Control Room'!$D$7*SQRT(-2*LN(MAX(0.000000000001,AF624/2147483647)))*COS(2*PI()*AG624/2147483647),'Control Room'!$B$8+('Control Room'!$D$8-'Control Room'!$B$8)*AF624/2147483647)</x:f>
        <x:v>877.1983675336253</x:v>
      </x:c>
      <x:c r="AI624" s="17" t="n">
        <x:f>IF('Control Room'!$B$5="Normal",'Control Room'!$B$7,('Control Room'!$B$8+'Control Room'!$D$8)/2)+'Control Room'!$B$9*(AI623-IF('Control Room'!$B$5="Normal",'Control Room'!$B$7,('Control Room'!$B$8+'Control Room'!$D$8)/2))+SQRT(1-'Control Room'!$B$9^2)*(AH624-IF('Control Room'!$B$5="Normal",'Control Room'!$B$7,('Control Room'!$B$8+'Control Room'!$D$8)/2))</x:f>
        <x:v>951.0666156529669</x:v>
      </x:c>
      <x:c r="AJ624" s="17" t="n">
        <x:f>IF(AND($A624&gt;='Control Room'!$A$13,$A624&lt;'Control Room'!$A$13+'Control Room'!$B$13,'Process'!BQ2=1),1+('Control Room'!$C$13-1)*EXP(-0.5*(($A624-'Control Room'!$A$13-('Control Room'!$B$13-1)/2)/MAX(0.5,'Control Room'!$B$13/4))^2),1)*IF(AND($A624&gt;='Control Room'!$A$14,$A624&lt;'Control Room'!$A$14+'Control Room'!$B$14,'Process'!BQ3=1),1+('Control Room'!$C$14-1)*EXP(-0.5*(($A624-'Control Room'!$A$14-('Control Room'!$B$14-1)/2)/MAX(0.5,'Control Room'!$B$14/4))^2),1)*IF(AND($A624&gt;='Control Room'!$A$15,$A624&lt;'Control Room'!$A$15+'Control Room'!$B$15,'Process'!BQ4=1),1+('Control Room'!$C$15-1)*EXP(-0.5*(($A624-'Control Room'!$A$15-('Control Room'!$B$15-1)/2)/MAX(0.5,'Control Room'!$B$15/4))^2),1)*IF(AND($A624&gt;='Control Room'!$A$16,$A624&lt;'Control Room'!$A$16+'Control Room'!$B$16,'Process'!BQ5=1),1+('Control Room'!$C$16-1)*EXP(-0.5*(($A624-'Control Room'!$A$16-('Control Room'!$B$16-1)/2)/MAX(0.5,'Control Room'!$B$16/4))^2),1)</x:f>
        <x:v>1</x:v>
      </x:c>
      <x:c r="AK624" s="9" t="n">
        <x:f>MOD(AL623*16807,2147483647)</x:f>
        <x:v>1927114058</x:v>
      </x:c>
      <x:c r="AL624" s="9" t="n">
        <x:f>MOD(AK624*16807,2147483647)</x:f>
        <x:v>657608752</x:v>
      </x:c>
      <x:c r="AM624" s="17" t="n">
        <x:f>IF('Control Room'!$B$5="Normal",'Control Room'!$B$7+'Control Room'!$D$7*SQRT(-2*LN(MAX(0.000000000001,AK624/2147483647)))*COS(2*PI()*AL624/2147483647),'Control Room'!$B$8+('Control Room'!$D$8-'Control Room'!$B$8)*AK624/2147483647)</x:f>
        <x:v>985.5109222416161</x:v>
      </x:c>
      <x:c r="AN624" s="17" t="n">
        <x:f>IF('Control Room'!$B$5="Normal",'Control Room'!$B$7,('Control Room'!$B$8+'Control Room'!$D$8)/2)+'Control Room'!$B$9*(AN623-IF('Control Room'!$B$5="Normal",'Control Room'!$B$7,('Control Room'!$B$8+'Control Room'!$D$8)/2))+SQRT(1-'Control Room'!$B$9^2)*(AM624-IF('Control Room'!$B$5="Normal",'Control Room'!$B$7,('Control Room'!$B$8+'Control Room'!$D$8)/2))</x:f>
        <x:v>908.6312202862947</x:v>
      </x:c>
      <x:c r="AO624" s="17" t="n">
        <x:f>IF(AND($A624&gt;='Control Room'!$A$13,$A624&lt;'Control Room'!$A$13+'Control Room'!$B$13,'Process'!BR2=1),1+('Control Room'!$C$13-1)*EXP(-0.5*(($A624-'Control Room'!$A$13-('Control Room'!$B$13-1)/2)/MAX(0.5,'Control Room'!$B$13/4))^2),1)*IF(AND($A624&gt;='Control Room'!$A$14,$A624&lt;'Control Room'!$A$14+'Control Room'!$B$14,'Process'!BR3=1),1+('Control Room'!$C$14-1)*EXP(-0.5*(($A624-'Control Room'!$A$14-('Control Room'!$B$14-1)/2)/MAX(0.5,'Control Room'!$B$14/4))^2),1)*IF(AND($A624&gt;='Control Room'!$A$15,$A624&lt;'Control Room'!$A$15+'Control Room'!$B$15,'Process'!BR4=1),1+('Control Room'!$C$15-1)*EXP(-0.5*(($A624-'Control Room'!$A$15-('Control Room'!$B$15-1)/2)/MAX(0.5,'Control Room'!$B$15/4))^2),1)*IF(AND($A624&gt;='Control Room'!$A$16,$A624&lt;'Control Room'!$A$16+'Control Room'!$B$16,'Process'!BR5=1),1+('Control Room'!$C$16-1)*EXP(-0.5*(($A624-'Control Room'!$A$16-('Control Room'!$B$16-1)/2)/MAX(0.5,'Control Room'!$B$16/4))^2),1)</x:f>
        <x:v>1</x:v>
      </x:c>
      <x:c r="AP624" s="9" t="n">
        <x:f>MOD(AQ623*16807,2147483647)</x:f>
        <x:v>862739959</x:v>
      </x:c>
      <x:c r="AQ624" s="9" t="n">
        <x:f>MOD(AP624*16807,2147483647)</x:f>
        <x:v>260906369</x:v>
      </x:c>
      <x:c r="AR624" s="17" t="n">
        <x:f>IF('Control Room'!$B$5="Normal",'Control Room'!$B$7+'Control Room'!$D$7*SQRT(-2*LN(MAX(0.000000000001,AP624/2147483647)))*COS(2*PI()*AQ624/2147483647),'Control Room'!$B$8+('Control Room'!$D$8-'Control Room'!$B$8)*AP624/2147483647)</x:f>
        <x:v>1087.8182205165388</x:v>
      </x:c>
      <x:c r="AS624" s="17" t="n">
        <x:f>IF('Control Room'!$B$5="Normal",'Control Room'!$B$7,('Control Room'!$B$8+'Control Room'!$D$8)/2)+'Control Room'!$B$9*(AS623-IF('Control Room'!$B$5="Normal",'Control Room'!$B$7,('Control Room'!$B$8+'Control Room'!$D$8)/2))+SQRT(1-'Control Room'!$B$9^2)*(AR624-IF('Control Room'!$B$5="Normal",'Control Room'!$B$7,('Control Room'!$B$8+'Control Room'!$D$8)/2))</x:f>
        <x:v>1082.8467588658818</x:v>
      </x:c>
      <x:c r="AT624" s="17" t="n">
        <x:f>IF(AND($A624&gt;='Control Room'!$A$13,$A624&lt;'Control Room'!$A$13+'Control Room'!$B$13,'Process'!BS2=1),1+('Control Room'!$C$13-1)*EXP(-0.5*(($A624-'Control Room'!$A$13-('Control Room'!$B$13-1)/2)/MAX(0.5,'Control Room'!$B$13/4))^2),1)*IF(AND($A624&gt;='Control Room'!$A$14,$A624&lt;'Control Room'!$A$14+'Control Room'!$B$14,'Process'!BS3=1),1+('Control Room'!$C$14-1)*EXP(-0.5*(($A624-'Control Room'!$A$14-('Control Room'!$B$14-1)/2)/MAX(0.5,'Control Room'!$B$14/4))^2),1)*IF(AND($A624&gt;='Control Room'!$A$15,$A624&lt;'Control Room'!$A$15+'Control Room'!$B$15,'Process'!BS4=1),1+('Control Room'!$C$15-1)*EXP(-0.5*(($A624-'Control Room'!$A$15-('Control Room'!$B$15-1)/2)/MAX(0.5,'Control Room'!$B$15/4))^2),1)*IF(AND($A624&gt;='Control Room'!$A$16,$A624&lt;'Control Room'!$A$16+'Control Room'!$B$16,'Process'!BS5=1),1+('Control Room'!$C$16-1)*EXP(-0.5*(($A624-'Control Room'!$A$16-('Control Room'!$B$16-1)/2)/MAX(0.5,'Control Room'!$B$16/4))^2),1)</x:f>
        <x:v>1</x:v>
      </x:c>
      <x:c r="AU624" s="9" t="n">
        <x:f>MOD(AV623*16807,2147483647)</x:f>
        <x:v>1945849507</x:v>
      </x:c>
      <x:c r="AV624" s="9" t="n">
        <x:f>MOD(AU624*16807,2147483647)</x:f>
        <x:v>2011687633</x:v>
      </x:c>
      <x:c r="AW624" s="17" t="n">
        <x:f>IF('Control Room'!$B$5="Normal",'Control Room'!$B$7+'Control Room'!$D$7*SQRT(-2*LN(MAX(0.000000000001,AU624/2147483647)))*COS(2*PI()*AV624/2147483647),'Control Room'!$B$8+('Control Room'!$D$8-'Control Room'!$B$8)*AU624/2147483647)</x:f>
        <x:v>1036.8528453152464</x:v>
      </x:c>
      <x:c r="AX624" s="17" t="n">
        <x:f>IF('Control Room'!$B$5="Normal",'Control Room'!$B$7,('Control Room'!$B$8+'Control Room'!$D$8)/2)+'Control Room'!$B$9*(AX623-IF('Control Room'!$B$5="Normal",'Control Room'!$B$7,('Control Room'!$B$8+'Control Room'!$D$8)/2))+SQRT(1-'Control Room'!$B$9^2)*(AW624-IF('Control Room'!$B$5="Normal",'Control Room'!$B$7,('Control Room'!$B$8+'Control Room'!$D$8)/2))</x:f>
        <x:v>1036.7455336748303</x:v>
      </x:c>
      <x:c r="AY624" s="17" t="n">
        <x:f>IF(AND($A624&gt;='Control Room'!$A$13,$A624&lt;'Control Room'!$A$13+'Control Room'!$B$13,'Process'!BT2=1),1+('Control Room'!$C$13-1)*EXP(-0.5*(($A624-'Control Room'!$A$13-('Control Room'!$B$13-1)/2)/MAX(0.5,'Control Room'!$B$13/4))^2),1)*IF(AND($A624&gt;='Control Room'!$A$14,$A624&lt;'Control Room'!$A$14+'Control Room'!$B$14,'Process'!BT3=1),1+('Control Room'!$C$14-1)*EXP(-0.5*(($A624-'Control Room'!$A$14-('Control Room'!$B$14-1)/2)/MAX(0.5,'Control Room'!$B$14/4))^2),1)*IF(AND($A624&gt;='Control Room'!$A$15,$A624&lt;'Control Room'!$A$15+'Control Room'!$B$15,'Process'!BT4=1),1+('Control Room'!$C$15-1)*EXP(-0.5*(($A624-'Control Room'!$A$15-('Control Room'!$B$15-1)/2)/MAX(0.5,'Control Room'!$B$15/4))^2),1)*IF(AND($A624&gt;='Control Room'!$A$16,$A624&lt;'Control Room'!$A$16+'Control Room'!$B$16,'Process'!BT5=1),1+('Control Room'!$C$16-1)*EXP(-0.5*(($A624-'Control Room'!$A$16-('Control Room'!$B$16-1)/2)/MAX(0.5,'Control Room'!$B$16/4))^2),1)</x:f>
        <x:v>1</x:v>
      </x:c>
      <x:c r="AZ624" s="9" t="n">
        <x:f>MOD(BA623*16807,2147483647)</x:f>
        <x:v>881475408</x:v>
      </x:c>
      <x:c r="BA624" s="9" t="n">
        <x:f>MOD(AZ624*16807,2147483647)</x:f>
        <x:v>1614985250</x:v>
      </x:c>
      <x:c r="BB624" s="17" t="n">
        <x:f>IF('Control Room'!$B$5="Normal",'Control Room'!$B$7+'Control Room'!$D$7*SQRT(-2*LN(MAX(0.000000000001,AZ624/2147483647)))*COS(2*PI()*BA624/2147483647),'Control Room'!$B$8+('Control Room'!$D$8-'Control Room'!$B$8)*AZ624/2147483647)</x:f>
        <x:v>1001.5365012552252</x:v>
      </x:c>
      <x:c r="BC624" s="17" t="n">
        <x:f>IF('Control Room'!$B$5="Normal",'Control Room'!$B$7,('Control Room'!$B$8+'Control Room'!$D$8)/2)+'Control Room'!$B$9*(BC623-IF('Control Room'!$B$5="Normal",'Control Room'!$B$7,('Control Room'!$B$8+'Control Room'!$D$8)/2))+SQRT(1-'Control Room'!$B$9^2)*(BB624-IF('Control Room'!$B$5="Normal",'Control Room'!$B$7,('Control Room'!$B$8+'Control Room'!$D$8)/2))</x:f>
        <x:v>1115.4668552432097</x:v>
      </x:c>
      <x:c r="BD624" s="17" t="n">
        <x:f>IF(AND($A624&gt;='Control Room'!$A$13,$A624&lt;'Control Room'!$A$13+'Control Room'!$B$13,'Process'!BU2=1),1+('Control Room'!$C$13-1)*EXP(-0.5*(($A624-'Control Room'!$A$13-('Control Room'!$B$13-1)/2)/MAX(0.5,'Control Room'!$B$13/4))^2),1)*IF(AND($A624&gt;='Control Room'!$A$14,$A624&lt;'Control Room'!$A$14+'Control Room'!$B$14,'Process'!BU3=1),1+('Control Room'!$C$14-1)*EXP(-0.5*(($A624-'Control Room'!$A$14-('Control Room'!$B$14-1)/2)/MAX(0.5,'Control Room'!$B$14/4))^2),1)*IF(AND($A624&gt;='Control Room'!$A$15,$A624&lt;'Control Room'!$A$15+'Control Room'!$B$15,'Process'!BU4=1),1+('Control Room'!$C$15-1)*EXP(-0.5*(($A624-'Control Room'!$A$15-('Control Room'!$B$15-1)/2)/MAX(0.5,'Control Room'!$B$15/4))^2),1)*IF(AND($A624&gt;='Control Room'!$A$16,$A624&lt;'Control Room'!$A$16+'Control Room'!$B$16,'Process'!BU5=1),1+('Control Room'!$C$16-1)*EXP(-0.5*(($A624-'Control Room'!$A$16-('Control Room'!$B$16-1)/2)/MAX(0.5,'Control Room'!$B$16/4))^2),1)</x:f>
        <x:v>1</x:v>
      </x:c>
      <x:c r="BE624" s="9" t="n">
        <x:f>MOD(BF623*16807,2147483647)</x:f>
        <x:v>1964584956</x:v>
      </x:c>
      <x:c r="BF624" s="9" t="n">
        <x:f>MOD(BE624*16807,2147483647)</x:f>
        <x:v>1218282867</x:v>
      </x:c>
      <x:c r="BG624" s="17" t="n">
        <x:f>IF('Control Room'!$B$5="Normal",'Control Room'!$B$7+'Control Room'!$D$7*SQRT(-2*LN(MAX(0.000000000001,BE624/2147483647)))*COS(2*PI()*BF624/2147483647),'Control Room'!$B$8+('Control Room'!$D$8-'Control Room'!$B$8)*BE624/2147483647)</x:f>
        <x:v>965.3710970281693</x:v>
      </x:c>
      <x:c r="BH624" s="17" t="n">
        <x:f>IF('Control Room'!$B$5="Normal",'Control Room'!$B$7,('Control Room'!$B$8+'Control Room'!$D$8)/2)+'Control Room'!$B$9*(BH623-IF('Control Room'!$B$5="Normal",'Control Room'!$B$7,('Control Room'!$B$8+'Control Room'!$D$8)/2))+SQRT(1-'Control Room'!$B$9^2)*(BG624-IF('Control Room'!$B$5="Normal",'Control Room'!$B$7,('Control Room'!$B$8+'Control Room'!$D$8)/2))</x:f>
        <x:v>1031.0106053868433</x:v>
      </x:c>
      <x:c r="BI624" s="17" t="n">
        <x:f>IF(AND($A624&gt;='Control Room'!$A$13,$A624&lt;'Control Room'!$A$13+'Control Room'!$B$13,'Process'!BV2=1),1+('Control Room'!$C$13-1)*EXP(-0.5*(($A624-'Control Room'!$A$13-('Control Room'!$B$13-1)/2)/MAX(0.5,'Control Room'!$B$13/4))^2),1)*IF(AND($A624&gt;='Control Room'!$A$14,$A624&lt;'Control Room'!$A$14+'Control Room'!$B$14,'Process'!BV3=1),1+('Control Room'!$C$14-1)*EXP(-0.5*(($A624-'Control Room'!$A$14-('Control Room'!$B$14-1)/2)/MAX(0.5,'Control Room'!$B$14/4))^2),1)*IF(AND($A624&gt;='Control Room'!$A$15,$A624&lt;'Control Room'!$A$15+'Control Room'!$B$15,'Process'!BV4=1),1+('Control Room'!$C$15-1)*EXP(-0.5*(($A624-'Control Room'!$A$15-('Control Room'!$B$15-1)/2)/MAX(0.5,'Control Room'!$B$15/4))^2),1)*IF(AND($A624&gt;='Control Room'!$A$16,$A624&lt;'Control Room'!$A$16+'Control Room'!$B$16,'Process'!BV5=1),1+('Control Room'!$C$16-1)*EXP(-0.5*(($A624-'Control Room'!$A$16-('Control Room'!$B$16-1)/2)/MAX(0.5,'Control Room'!$B$16/4))^2),1)</x:f>
        <x:v>1</x:v>
      </x:c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Z624" t="str">
        <x:f>IF('Data'!A624="","",TEXT('Data'!A624,"mm-dd"))</x:f>
      </x:c>
    </x:row>
    <x:row r="625" ht="21" customHeight="1">
      <x:c r="A625" s="15" t="n">
        <x:f>'Control Room'!$B$1+623</x:f>
        <x:v>73614</x:v>
      </x:c>
      <x:c r="B625" s="9" t="n">
        <x:f>MOD(C624*16807,2147483647)</x:f>
        <x:v>1856004718</x:v>
      </x:c>
      <x:c r="C625" s="9" t="n">
        <x:f>MOD(B625*16807,2147483647)</x:f>
        <x:v>1671322751</x:v>
      </x:c>
      <x:c r="D625" s="17" t="n">
        <x:f>IF('Control Room'!$B$5="Normal",'Control Room'!$B$7+'Control Room'!$D$7*SQRT(-2*LN(MAX(0.000000000001,B625/2147483647)))*COS(2*PI()*C625/2147483647),'Control Room'!$B$8+('Control Room'!$D$8-'Control Room'!$B$8)*B625/2147483647)</x:f>
        <x:v>1008.5894534802811</x:v>
      </x:c>
      <x:c r="E625" s="17" t="n">
        <x:f>IF('Control Room'!$B$5="Normal",'Control Room'!$B$7,('Control Room'!$B$8+'Control Room'!$D$8)/2)+'Control Room'!$B$9*(E624-IF('Control Room'!$B$5="Normal",'Control Room'!$B$7,('Control Room'!$B$8+'Control Room'!$D$8)/2))+SQRT(1-'Control Room'!$B$9^2)*(D625-IF('Control Room'!$B$5="Normal",'Control Room'!$B$7,('Control Room'!$B$8+'Control Room'!$D$8)/2))</x:f>
        <x:v>1032.3321795285674</x:v>
      </x:c>
      <x:c r="F625" s="17" t="n">
        <x:f>IF(AND($A625&gt;='Control Room'!$A$13,$A625&lt;'Control Room'!$A$13+'Control Room'!$B$13,'Process'!BK2=1),1+('Control Room'!$C$13-1)*EXP(-0.5*(($A625-'Control Room'!$A$13-('Control Room'!$B$13-1)/2)/MAX(0.5,'Control Room'!$B$13/4))^2),1)*IF(AND($A625&gt;='Control Room'!$A$14,$A625&lt;'Control Room'!$A$14+'Control Room'!$B$14,'Process'!BK3=1),1+('Control Room'!$C$14-1)*EXP(-0.5*(($A625-'Control Room'!$A$14-('Control Room'!$B$14-1)/2)/MAX(0.5,'Control Room'!$B$14/4))^2),1)*IF(AND($A625&gt;='Control Room'!$A$15,$A625&lt;'Control Room'!$A$15+'Control Room'!$B$15,'Process'!BK4=1),1+('Control Room'!$C$15-1)*EXP(-0.5*(($A625-'Control Room'!$A$15-('Control Room'!$B$15-1)/2)/MAX(0.5,'Control Room'!$B$15/4))^2),1)*IF(AND($A625&gt;='Control Room'!$A$16,$A625&lt;'Control Room'!$A$16+'Control Room'!$B$16,'Process'!BK5=1),1+('Control Room'!$C$16-1)*EXP(-0.5*(($A625-'Control Room'!$A$16-('Control Room'!$B$16-1)/2)/MAX(0.5,'Control Room'!$B$16/4))^2),1)</x:f>
        <x:v>1</x:v>
      </x:c>
      <x:c r="G625" s="9" t="n">
        <x:f>MOD(H624*16807,2147483647)</x:f>
        <x:v>268293925</x:v>
      </x:c>
      <x:c r="H625" s="9" t="n">
        <x:f>MOD(G625*16807,2147483647)</x:f>
        <x:v>1647822422</x:v>
      </x:c>
      <x:c r="I625" s="17" t="n">
        <x:f>IF('Control Room'!$B$5="Normal",'Control Room'!$B$7+'Control Room'!$D$7*SQRT(-2*LN(MAX(0.000000000001,G625/2147483647)))*COS(2*PI()*H625/2147483647),'Control Room'!$B$8+('Control Room'!$D$8-'Control Room'!$B$8)*G625/2147483647)</x:f>
        <x:v>1019.9449839677163</x:v>
      </x:c>
      <x:c r="J625" s="17" t="n">
        <x:f>IF('Control Room'!$B$5="Normal",'Control Room'!$B$7,('Control Room'!$B$8+'Control Room'!$D$8)/2)+'Control Room'!$B$9*(J624-IF('Control Room'!$B$5="Normal",'Control Room'!$B$7,('Control Room'!$B$8+'Control Room'!$D$8)/2))+SQRT(1-'Control Room'!$B$9^2)*(I625-IF('Control Room'!$B$5="Normal",'Control Room'!$B$7,('Control Room'!$B$8+'Control Room'!$D$8)/2))</x:f>
        <x:v>992.4418607816096</x:v>
      </x:c>
      <x:c r="K625" s="17" t="n">
        <x:f>IF(AND($A625&gt;='Control Room'!$A$13,$A625&lt;'Control Room'!$A$13+'Control Room'!$B$13,'Process'!BL2=1),1+('Control Room'!$C$13-1)*EXP(-0.5*(($A625-'Control Room'!$A$13-('Control Room'!$B$13-1)/2)/MAX(0.5,'Control Room'!$B$13/4))^2),1)*IF(AND($A625&gt;='Control Room'!$A$14,$A625&lt;'Control Room'!$A$14+'Control Room'!$B$14,'Process'!BL3=1),1+('Control Room'!$C$14-1)*EXP(-0.5*(($A625-'Control Room'!$A$14-('Control Room'!$B$14-1)/2)/MAX(0.5,'Control Room'!$B$14/4))^2),1)*IF(AND($A625&gt;='Control Room'!$A$15,$A625&lt;'Control Room'!$A$15+'Control Room'!$B$15,'Process'!BL4=1),1+('Control Room'!$C$15-1)*EXP(-0.5*(($A625-'Control Room'!$A$15-('Control Room'!$B$15-1)/2)/MAX(0.5,'Control Room'!$B$15/4))^2),1)*IF(AND($A625&gt;='Control Room'!$A$16,$A625&lt;'Control Room'!$A$16+'Control Room'!$B$16,'Process'!BL5=1),1+('Control Room'!$C$16-1)*EXP(-0.5*(($A625-'Control Room'!$A$16-('Control Room'!$B$16-1)/2)/MAX(0.5,'Control Room'!$B$16/4))^2),1)</x:f>
        <x:v>1</x:v>
      </x:c>
      <x:c r="L625" s="9" t="n">
        <x:f>MOD(M624*16807,2147483647)</x:f>
        <x:v>828066779</x:v>
      </x:c>
      <x:c r="M625" s="9" t="n">
        <x:f>MOD(L625*16807,2147483647)</x:f>
        <x:v>1624322093</x:v>
      </x:c>
      <x:c r="N625" s="17" t="n">
        <x:f>IF('Control Room'!$B$5="Normal",'Control Room'!$B$7+'Control Room'!$D$7*SQRT(-2*LN(MAX(0.000000000001,L625/2147483647)))*COS(2*PI()*M625/2147483647),'Control Room'!$B$8+('Control Room'!$D$8-'Control Room'!$B$8)*L625/2147483647)</x:f>
        <x:v>1004.982474564161</x:v>
      </x:c>
      <x:c r="O625" s="17" t="n">
        <x:f>IF('Control Room'!$B$5="Normal",'Control Room'!$B$7,('Control Room'!$B$8+'Control Room'!$D$8)/2)+'Control Room'!$B$9*(O624-IF('Control Room'!$B$5="Normal",'Control Room'!$B$7,('Control Room'!$B$8+'Control Room'!$D$8)/2))+SQRT(1-'Control Room'!$B$9^2)*(N625-IF('Control Room'!$B$5="Normal",'Control Room'!$B$7,('Control Room'!$B$8+'Control Room'!$D$8)/2))</x:f>
        <x:v>979.162644550147</x:v>
      </x:c>
      <x:c r="P625" s="17" t="n">
        <x:f>IF(AND($A625&gt;='Control Room'!$A$13,$A625&lt;'Control Room'!$A$13+'Control Room'!$B$13,'Process'!BM2=1),1+('Control Room'!$C$13-1)*EXP(-0.5*(($A625-'Control Room'!$A$13-('Control Room'!$B$13-1)/2)/MAX(0.5,'Control Room'!$B$13/4))^2),1)*IF(AND($A625&gt;='Control Room'!$A$14,$A625&lt;'Control Room'!$A$14+'Control Room'!$B$14,'Process'!BM3=1),1+('Control Room'!$C$14-1)*EXP(-0.5*(($A625-'Control Room'!$A$14-('Control Room'!$B$14-1)/2)/MAX(0.5,'Control Room'!$B$14/4))^2),1)*IF(AND($A625&gt;='Control Room'!$A$15,$A625&lt;'Control Room'!$A$15+'Control Room'!$B$15,'Process'!BM4=1),1+('Control Room'!$C$15-1)*EXP(-0.5*(($A625-'Control Room'!$A$15-('Control Room'!$B$15-1)/2)/MAX(0.5,'Control Room'!$B$15/4))^2),1)*IF(AND($A625&gt;='Control Room'!$A$16,$A625&lt;'Control Room'!$A$16+'Control Room'!$B$16,'Process'!BM5=1),1+('Control Room'!$C$16-1)*EXP(-0.5*(($A625-'Control Room'!$A$16-('Control Room'!$B$16-1)/2)/MAX(0.5,'Control Room'!$B$16/4))^2),1)</x:f>
        <x:v>1</x:v>
      </x:c>
      <x:c r="Q625" s="9" t="n">
        <x:f>MOD(R624*16807,2147483647)</x:f>
        <x:v>1387839633</x:v>
      </x:c>
      <x:c r="R625" s="9" t="n">
        <x:f>MOD(Q625*16807,2147483647)</x:f>
        <x:v>1600821764</x:v>
      </x:c>
      <x:c r="S625" s="17" t="n">
        <x:f>IF('Control Room'!$B$5="Normal",'Control Room'!$B$7+'Control Room'!$D$7*SQRT(-2*LN(MAX(0.000000000001,Q625/2147483647)))*COS(2*PI()*R625/2147483647),'Control Room'!$B$8+('Control Room'!$D$8-'Control Room'!$B$8)*Q625/2147483647)</x:f>
        <x:v>997.5912589951336</x:v>
      </x:c>
      <x:c r="T625" s="17" t="n">
        <x:f>IF('Control Room'!$B$5="Normal",'Control Room'!$B$7,('Control Room'!$B$8+'Control Room'!$D$8)/2)+'Control Room'!$B$9*(T624-IF('Control Room'!$B$5="Normal",'Control Room'!$B$7,('Control Room'!$B$8+'Control Room'!$D$8)/2))+SQRT(1-'Control Room'!$B$9^2)*(S625-IF('Control Room'!$B$5="Normal",'Control Room'!$B$7,('Control Room'!$B$8+'Control Room'!$D$8)/2))</x:f>
        <x:v>971.001737503814</x:v>
      </x:c>
      <x:c r="U625" s="17" t="n">
        <x:f>IF(AND($A625&gt;='Control Room'!$A$13,$A625&lt;'Control Room'!$A$13+'Control Room'!$B$13,'Process'!BN2=1),1+('Control Room'!$C$13-1)*EXP(-0.5*(($A625-'Control Room'!$A$13-('Control Room'!$B$13-1)/2)/MAX(0.5,'Control Room'!$B$13/4))^2),1)*IF(AND($A625&gt;='Control Room'!$A$14,$A625&lt;'Control Room'!$A$14+'Control Room'!$B$14,'Process'!BN3=1),1+('Control Room'!$C$14-1)*EXP(-0.5*(($A625-'Control Room'!$A$14-('Control Room'!$B$14-1)/2)/MAX(0.5,'Control Room'!$B$14/4))^2),1)*IF(AND($A625&gt;='Control Room'!$A$15,$A625&lt;'Control Room'!$A$15+'Control Room'!$B$15,'Process'!BN4=1),1+('Control Room'!$C$15-1)*EXP(-0.5*(($A625-'Control Room'!$A$15-('Control Room'!$B$15-1)/2)/MAX(0.5,'Control Room'!$B$15/4))^2),1)*IF(AND($A625&gt;='Control Room'!$A$16,$A625&lt;'Control Room'!$A$16+'Control Room'!$B$16,'Process'!BN5=1),1+('Control Room'!$C$16-1)*EXP(-0.5*(($A625-'Control Room'!$A$16-('Control Room'!$B$16-1)/2)/MAX(0.5,'Control Room'!$B$16/4))^2),1)</x:f>
        <x:v>1</x:v>
      </x:c>
      <x:c r="V625" s="9" t="n">
        <x:f>MOD(W624*16807,2147483647)</x:f>
        <x:v>1947612487</x:v>
      </x:c>
      <x:c r="W625" s="9" t="n">
        <x:f>MOD(V625*16807,2147483647)</x:f>
        <x:v>1577321435</x:v>
      </x:c>
      <x:c r="X625" s="17" t="n">
        <x:f>IF('Control Room'!$B$5="Normal",'Control Room'!$B$7+'Control Room'!$D$7*SQRT(-2*LN(MAX(0.000000000001,V625/2147483647)))*COS(2*PI()*W625/2147483647),'Control Room'!$B$8+('Control Room'!$D$8-'Control Room'!$B$8)*V625/2147483647)</x:f>
        <x:v>996.1311496981162</x:v>
      </x:c>
      <x:c r="Y625" s="17" t="n">
        <x:f>IF('Control Room'!$B$5="Normal",'Control Room'!$B$7,('Control Room'!$B$8+'Control Room'!$D$8)/2)+'Control Room'!$B$9*(Y624-IF('Control Room'!$B$5="Normal",'Control Room'!$B$7,('Control Room'!$B$8+'Control Room'!$D$8)/2))+SQRT(1-'Control Room'!$B$9^2)*(X625-IF('Control Room'!$B$5="Normal",'Control Room'!$B$7,('Control Room'!$B$8+'Control Room'!$D$8)/2))</x:f>
        <x:v>1039.4298548284594</x:v>
      </x:c>
      <x:c r="Z625" s="17" t="n">
        <x:f>IF(AND($A625&gt;='Control Room'!$A$13,$A625&lt;'Control Room'!$A$13+'Control Room'!$B$13,'Process'!BO2=1),1+('Control Room'!$C$13-1)*EXP(-0.5*(($A625-'Control Room'!$A$13-('Control Room'!$B$13-1)/2)/MAX(0.5,'Control Room'!$B$13/4))^2),1)*IF(AND($A625&gt;='Control Room'!$A$14,$A625&lt;'Control Room'!$A$14+'Control Room'!$B$14,'Process'!BO3=1),1+('Control Room'!$C$14-1)*EXP(-0.5*(($A625-'Control Room'!$A$14-('Control Room'!$B$14-1)/2)/MAX(0.5,'Control Room'!$B$14/4))^2),1)*IF(AND($A625&gt;='Control Room'!$A$15,$A625&lt;'Control Room'!$A$15+'Control Room'!$B$15,'Process'!BO4=1),1+('Control Room'!$C$15-1)*EXP(-0.5*(($A625-'Control Room'!$A$15-('Control Room'!$B$15-1)/2)/MAX(0.5,'Control Room'!$B$15/4))^2),1)*IF(AND($A625&gt;='Control Room'!$A$16,$A625&lt;'Control Room'!$A$16+'Control Room'!$B$16,'Process'!BO5=1),1+('Control Room'!$C$16-1)*EXP(-0.5*(($A625-'Control Room'!$A$16-('Control Room'!$B$16-1)/2)/MAX(0.5,'Control Room'!$B$16/4))^2),1)</x:f>
        <x:v>1</x:v>
      </x:c>
      <x:c r="AA625" s="9" t="n">
        <x:f>MOD(AB624*16807,2147483647)</x:f>
        <x:v>359901694</x:v>
      </x:c>
      <x:c r="AB625" s="9" t="n">
        <x:f>MOD(AA625*16807,2147483647)</x:f>
        <x:v>1553821106</x:v>
      </x:c>
      <x:c r="AC625" s="17" t="n">
        <x:f>IF('Control Room'!$B$5="Normal",'Control Room'!$B$7+'Control Room'!$D$7*SQRT(-2*LN(MAX(0.000000000001,AA625/2147483647)))*COS(2*PI()*AB625/2147483647),'Control Room'!$B$8+('Control Room'!$D$8-'Control Room'!$B$8)*AA625/2147483647)</x:f>
        <x:v>971.8642098217036</x:v>
      </x:c>
      <x:c r="AD625" s="17" t="n">
        <x:f>IF('Control Room'!$B$5="Normal",'Control Room'!$B$7,('Control Room'!$B$8+'Control Room'!$D$8)/2)+'Control Room'!$B$9*(AD624-IF('Control Room'!$B$5="Normal",'Control Room'!$B$7,('Control Room'!$B$8+'Control Room'!$D$8)/2))+SQRT(1-'Control Room'!$B$9^2)*(AC625-IF('Control Room'!$B$5="Normal",'Control Room'!$B$7,('Control Room'!$B$8+'Control Room'!$D$8)/2))</x:f>
        <x:v>1182.4615223781439</x:v>
      </x:c>
      <x:c r="AE625" s="17" t="n">
        <x:f>IF(AND($A625&gt;='Control Room'!$A$13,$A625&lt;'Control Room'!$A$13+'Control Room'!$B$13,'Process'!BP2=1),1+('Control Room'!$C$13-1)*EXP(-0.5*(($A625-'Control Room'!$A$13-('Control Room'!$B$13-1)/2)/MAX(0.5,'Control Room'!$B$13/4))^2),1)*IF(AND($A625&gt;='Control Room'!$A$14,$A625&lt;'Control Room'!$A$14+'Control Room'!$B$14,'Process'!BP3=1),1+('Control Room'!$C$14-1)*EXP(-0.5*(($A625-'Control Room'!$A$14-('Control Room'!$B$14-1)/2)/MAX(0.5,'Control Room'!$B$14/4))^2),1)*IF(AND($A625&gt;='Control Room'!$A$15,$A625&lt;'Control Room'!$A$15+'Control Room'!$B$15,'Process'!BP4=1),1+('Control Room'!$C$15-1)*EXP(-0.5*(($A625-'Control Room'!$A$15-('Control Room'!$B$15-1)/2)/MAX(0.5,'Control Room'!$B$15/4))^2),1)*IF(AND($A625&gt;='Control Room'!$A$16,$A625&lt;'Control Room'!$A$16+'Control Room'!$B$16,'Process'!BP5=1),1+('Control Room'!$C$16-1)*EXP(-0.5*(($A625-'Control Room'!$A$16-('Control Room'!$B$16-1)/2)/MAX(0.5,'Control Room'!$B$16/4))^2),1)</x:f>
        <x:v>1</x:v>
      </x:c>
      <x:c r="AF625" s="9" t="n">
        <x:f>MOD(AG624*16807,2147483647)</x:f>
        <x:v>919674548</x:v>
      </x:c>
      <x:c r="AG625" s="9" t="n">
        <x:f>MOD(AF625*16807,2147483647)</x:f>
        <x:v>1530320777</x:v>
      </x:c>
      <x:c r="AH625" s="17" t="n">
        <x:f>IF('Control Room'!$B$5="Normal",'Control Room'!$B$7+'Control Room'!$D$7*SQRT(-2*LN(MAX(0.000000000001,AF625/2147483647)))*COS(2*PI()*AG625/2147483647),'Control Room'!$B$8+('Control Room'!$D$8-'Control Room'!$B$8)*AF625/2147483647)</x:f>
        <x:v>972.7175280341016</x:v>
      </x:c>
      <x:c r="AI625" s="17" t="n">
        <x:f>IF('Control Room'!$B$5="Normal",'Control Room'!$B$7,('Control Room'!$B$8+'Control Room'!$D$8)/2)+'Control Room'!$B$9*(AI624-IF('Control Room'!$B$5="Normal",'Control Room'!$B$7,('Control Room'!$B$8+'Control Room'!$D$8)/2))+SQRT(1-'Control Room'!$B$9^2)*(AH625-IF('Control Room'!$B$5="Normal",'Control Room'!$B$7,('Control Room'!$B$8+'Control Room'!$D$8)/2))</x:f>
        <x:v>944.7591481648727</x:v>
      </x:c>
      <x:c r="AJ625" s="17" t="n">
        <x:f>IF(AND($A625&gt;='Control Room'!$A$13,$A625&lt;'Control Room'!$A$13+'Control Room'!$B$13,'Process'!BQ2=1),1+('Control Room'!$C$13-1)*EXP(-0.5*(($A625-'Control Room'!$A$13-('Control Room'!$B$13-1)/2)/MAX(0.5,'Control Room'!$B$13/4))^2),1)*IF(AND($A625&gt;='Control Room'!$A$14,$A625&lt;'Control Room'!$A$14+'Control Room'!$B$14,'Process'!BQ3=1),1+('Control Room'!$C$14-1)*EXP(-0.5*(($A625-'Control Room'!$A$14-('Control Room'!$B$14-1)/2)/MAX(0.5,'Control Room'!$B$14/4))^2),1)*IF(AND($A625&gt;='Control Room'!$A$15,$A625&lt;'Control Room'!$A$15+'Control Room'!$B$15,'Process'!BQ4=1),1+('Control Room'!$C$15-1)*EXP(-0.5*(($A625-'Control Room'!$A$15-('Control Room'!$B$15-1)/2)/MAX(0.5,'Control Room'!$B$15/4))^2),1)*IF(AND($A625&gt;='Control Room'!$A$16,$A625&lt;'Control Room'!$A$16+'Control Room'!$B$16,'Process'!BQ5=1),1+('Control Room'!$C$16-1)*EXP(-0.5*(($A625-'Control Room'!$A$16-('Control Room'!$B$16-1)/2)/MAX(0.5,'Control Room'!$B$16/4))^2),1)</x:f>
        <x:v>1</x:v>
      </x:c>
      <x:c r="AK625" s="9" t="n">
        <x:f>MOD(AL624*16807,2147483647)</x:f>
        <x:v>1479447402</x:v>
      </x:c>
      <x:c r="AL625" s="9" t="n">
        <x:f>MOD(AK625*16807,2147483647)</x:f>
        <x:v>1506820448</x:v>
      </x:c>
      <x:c r="AM625" s="17" t="n">
        <x:f>IF('Control Room'!$B$5="Normal",'Control Room'!$B$7+'Control Room'!$D$7*SQRT(-2*LN(MAX(0.000000000001,AK625/2147483647)))*COS(2*PI()*AL625/2147483647),'Control Room'!$B$8+('Control Room'!$D$8-'Control Room'!$B$8)*AK625/2147483647)</x:f>
        <x:v>976.7665031342349</x:v>
      </x:c>
      <x:c r="AN625" s="17" t="n">
        <x:f>IF('Control Room'!$B$5="Normal",'Control Room'!$B$7,('Control Room'!$B$8+'Control Room'!$D$8)/2)+'Control Room'!$B$9*(AN624-IF('Control Room'!$B$5="Normal",'Control Room'!$B$7,('Control Room'!$B$8+'Control Room'!$D$8)/2))+SQRT(1-'Control Room'!$B$9^2)*(AM625-IF('Control Room'!$B$5="Normal",'Control Room'!$B$7,('Control Room'!$B$8+'Control Room'!$D$8)/2))</x:f>
        <x:v>914.1933054487682</x:v>
      </x:c>
      <x:c r="AO625" s="17" t="n">
        <x:f>IF(AND($A625&gt;='Control Room'!$A$13,$A625&lt;'Control Room'!$A$13+'Control Room'!$B$13,'Process'!BR2=1),1+('Control Room'!$C$13-1)*EXP(-0.5*(($A625-'Control Room'!$A$13-('Control Room'!$B$13-1)/2)/MAX(0.5,'Control Room'!$B$13/4))^2),1)*IF(AND($A625&gt;='Control Room'!$A$14,$A625&lt;'Control Room'!$A$14+'Control Room'!$B$14,'Process'!BR3=1),1+('Control Room'!$C$14-1)*EXP(-0.5*(($A625-'Control Room'!$A$14-('Control Room'!$B$14-1)/2)/MAX(0.5,'Control Room'!$B$14/4))^2),1)*IF(AND($A625&gt;='Control Room'!$A$15,$A625&lt;'Control Room'!$A$15+'Control Room'!$B$15,'Process'!BR4=1),1+('Control Room'!$C$15-1)*EXP(-0.5*(($A625-'Control Room'!$A$15-('Control Room'!$B$15-1)/2)/MAX(0.5,'Control Room'!$B$15/4))^2),1)*IF(AND($A625&gt;='Control Room'!$A$16,$A625&lt;'Control Room'!$A$16+'Control Room'!$B$16,'Process'!BR5=1),1+('Control Room'!$C$16-1)*EXP(-0.5*(($A625-'Control Room'!$A$16-('Control Room'!$B$16-1)/2)/MAX(0.5,'Control Room'!$B$16/4))^2),1)</x:f>
        <x:v>1</x:v>
      </x:c>
      <x:c r="AP625" s="9" t="n">
        <x:f>MOD(AQ624*16807,2147483647)</x:f>
        <x:v>2039220256</x:v>
      </x:c>
      <x:c r="AQ625" s="9" t="n">
        <x:f>MOD(AP625*16807,2147483647)</x:f>
        <x:v>1483320119</x:v>
      </x:c>
      <x:c r="AR625" s="17" t="n">
        <x:f>IF('Control Room'!$B$5="Normal",'Control Room'!$B$7+'Control Room'!$D$7*SQRT(-2*LN(MAX(0.000000000001,AP625/2147483647)))*COS(2*PI()*AQ625/2147483647),'Control Room'!$B$8+('Control Room'!$D$8-'Control Room'!$B$8)*AP625/2147483647)</x:f>
        <x:v>989.4660353668993</x:v>
      </x:c>
      <x:c r="AS625" s="17" t="n">
        <x:f>IF('Control Room'!$B$5="Normal",'Control Room'!$B$7,('Control Room'!$B$8+'Control Room'!$D$8)/2)+'Control Room'!$B$9*(AS624-IF('Control Room'!$B$5="Normal",'Control Room'!$B$7,('Control Room'!$B$8+'Control Room'!$D$8)/2))+SQRT(1-'Control Room'!$B$9^2)*(AR625-IF('Control Room'!$B$5="Normal",'Control Room'!$B$7,('Control Room'!$B$8+'Control Room'!$D$8)/2))</x:f>
        <x:v>1058.0285326479889</x:v>
      </x:c>
      <x:c r="AT625" s="17" t="n">
        <x:f>IF(AND($A625&gt;='Control Room'!$A$13,$A625&lt;'Control Room'!$A$13+'Control Room'!$B$13,'Process'!BS2=1),1+('Control Room'!$C$13-1)*EXP(-0.5*(($A625-'Control Room'!$A$13-('Control Room'!$B$13-1)/2)/MAX(0.5,'Control Room'!$B$13/4))^2),1)*IF(AND($A625&gt;='Control Room'!$A$14,$A625&lt;'Control Room'!$A$14+'Control Room'!$B$14,'Process'!BS3=1),1+('Control Room'!$C$14-1)*EXP(-0.5*(($A625-'Control Room'!$A$14-('Control Room'!$B$14-1)/2)/MAX(0.5,'Control Room'!$B$14/4))^2),1)*IF(AND($A625&gt;='Control Room'!$A$15,$A625&lt;'Control Room'!$A$15+'Control Room'!$B$15,'Process'!BS4=1),1+('Control Room'!$C$15-1)*EXP(-0.5*(($A625-'Control Room'!$A$15-('Control Room'!$B$15-1)/2)/MAX(0.5,'Control Room'!$B$15/4))^2),1)*IF(AND($A625&gt;='Control Room'!$A$16,$A625&lt;'Control Room'!$A$16+'Control Room'!$B$16,'Process'!BS5=1),1+('Control Room'!$C$16-1)*EXP(-0.5*(($A625-'Control Room'!$A$16-('Control Room'!$B$16-1)/2)/MAX(0.5,'Control Room'!$B$16/4))^2),1)</x:f>
        <x:v>1</x:v>
      </x:c>
      <x:c r="AU625" s="9" t="n">
        <x:f>MOD(AV624*16807,2147483647)</x:f>
        <x:v>451509463</x:v>
      </x:c>
      <x:c r="AV625" s="9" t="n">
        <x:f>MOD(AU625*16807,2147483647)</x:f>
        <x:v>1459819790</x:v>
      </x:c>
      <x:c r="AW625" s="17" t="n">
        <x:f>IF('Control Room'!$B$5="Normal",'Control Room'!$B$7+'Control Room'!$D$7*SQRT(-2*LN(MAX(0.000000000001,AU625/2147483647)))*COS(2*PI()*AV625/2147483647),'Control Room'!$B$8+('Control Room'!$D$8-'Control Room'!$B$8)*AU625/2147483647)</x:f>
        <x:v>932.1276313370524</x:v>
      </x:c>
      <x:c r="AX625" s="17" t="n">
        <x:f>IF('Control Room'!$B$5="Normal",'Control Room'!$B$7,('Control Room'!$B$8+'Control Room'!$D$8)/2)+'Control Room'!$B$9*(AX624-IF('Control Room'!$B$5="Normal",'Control Room'!$B$7,('Control Room'!$B$8+'Control Room'!$D$8)/2))+SQRT(1-'Control Room'!$B$9^2)*(AW625-IF('Control Room'!$B$5="Normal",'Control Room'!$B$7,('Control Room'!$B$8+'Control Room'!$D$8)/2))</x:f>
        <x:v>986.1883783981443</x:v>
      </x:c>
      <x:c r="AY625" s="17" t="n">
        <x:f>IF(AND($A625&gt;='Control Room'!$A$13,$A625&lt;'Control Room'!$A$13+'Control Room'!$B$13,'Process'!BT2=1),1+('Control Room'!$C$13-1)*EXP(-0.5*(($A625-'Control Room'!$A$13-('Control Room'!$B$13-1)/2)/MAX(0.5,'Control Room'!$B$13/4))^2),1)*IF(AND($A625&gt;='Control Room'!$A$14,$A625&lt;'Control Room'!$A$14+'Control Room'!$B$14,'Process'!BT3=1),1+('Control Room'!$C$14-1)*EXP(-0.5*(($A625-'Control Room'!$A$14-('Control Room'!$B$14-1)/2)/MAX(0.5,'Control Room'!$B$14/4))^2),1)*IF(AND($A625&gt;='Control Room'!$A$15,$A625&lt;'Control Room'!$A$15+'Control Room'!$B$15,'Process'!BT4=1),1+('Control Room'!$C$15-1)*EXP(-0.5*(($A625-'Control Room'!$A$15-('Control Room'!$B$15-1)/2)/MAX(0.5,'Control Room'!$B$15/4))^2),1)*IF(AND($A625&gt;='Control Room'!$A$16,$A625&lt;'Control Room'!$A$16+'Control Room'!$B$16,'Process'!BT5=1),1+('Control Room'!$C$16-1)*EXP(-0.5*(($A625-'Control Room'!$A$16-('Control Room'!$B$16-1)/2)/MAX(0.5,'Control Room'!$B$16/4))^2),1)</x:f>
        <x:v>1</x:v>
      </x:c>
      <x:c r="AZ625" s="9" t="n">
        <x:f>MOD(BA624*16807,2147483647)</x:f>
        <x:v>1011282317</x:v>
      </x:c>
      <x:c r="BA625" s="9" t="n">
        <x:f>MOD(AZ625*16807,2147483647)</x:f>
        <x:v>1436319461</x:v>
      </x:c>
      <x:c r="BB625" s="17" t="n">
        <x:f>IF('Control Room'!$B$5="Normal",'Control Room'!$B$7+'Control Room'!$D$7*SQRT(-2*LN(MAX(0.000000000001,AZ625/2147483647)))*COS(2*PI()*BA625/2147483647),'Control Room'!$B$8+('Control Room'!$D$8-'Control Room'!$B$8)*AZ625/2147483647)</x:f>
        <x:v>946.0838522767912</x:v>
      </x:c>
      <x:c r="BC625" s="17" t="n">
        <x:f>IF('Control Room'!$B$5="Normal",'Control Room'!$B$7,('Control Room'!$B$8+'Control Room'!$D$8)/2)+'Control Room'!$B$9*(BC624-IF('Control Room'!$B$5="Normal",'Control Room'!$B$7,('Control Room'!$B$8+'Control Room'!$D$8)/2))+SQRT(1-'Control Room'!$B$9^2)*(BB625-IF('Control Room'!$B$5="Normal",'Control Room'!$B$7,('Control Room'!$B$8+'Control Room'!$D$8)/2))</x:f>
        <x:v>1056.3245263768422</x:v>
      </x:c>
      <x:c r="BD625" s="17" t="n">
        <x:f>IF(AND($A625&gt;='Control Room'!$A$13,$A625&lt;'Control Room'!$A$13+'Control Room'!$B$13,'Process'!BU2=1),1+('Control Room'!$C$13-1)*EXP(-0.5*(($A625-'Control Room'!$A$13-('Control Room'!$B$13-1)/2)/MAX(0.5,'Control Room'!$B$13/4))^2),1)*IF(AND($A625&gt;='Control Room'!$A$14,$A625&lt;'Control Room'!$A$14+'Control Room'!$B$14,'Process'!BU3=1),1+('Control Room'!$C$14-1)*EXP(-0.5*(($A625-'Control Room'!$A$14-('Control Room'!$B$14-1)/2)/MAX(0.5,'Control Room'!$B$14/4))^2),1)*IF(AND($A625&gt;='Control Room'!$A$15,$A625&lt;'Control Room'!$A$15+'Control Room'!$B$15,'Process'!BU4=1),1+('Control Room'!$C$15-1)*EXP(-0.5*(($A625-'Control Room'!$A$15-('Control Room'!$B$15-1)/2)/MAX(0.5,'Control Room'!$B$15/4))^2),1)*IF(AND($A625&gt;='Control Room'!$A$16,$A625&lt;'Control Room'!$A$16+'Control Room'!$B$16,'Process'!BU5=1),1+('Control Room'!$C$16-1)*EXP(-0.5*(($A625-'Control Room'!$A$16-('Control Room'!$B$16-1)/2)/MAX(0.5,'Control Room'!$B$16/4))^2),1)</x:f>
        <x:v>1</x:v>
      </x:c>
      <x:c r="BE625" s="9" t="n">
        <x:f>MOD(BF624*16807,2147483647)</x:f>
        <x:v>1571055171</x:v>
      </x:c>
      <x:c r="BF625" s="9" t="n">
        <x:f>MOD(BE625*16807,2147483647)</x:f>
        <x:v>1412819132</x:v>
      </x:c>
      <x:c r="BG625" s="17" t="n">
        <x:f>IF('Control Room'!$B$5="Normal",'Control Room'!$B$7+'Control Room'!$D$7*SQRT(-2*LN(MAX(0.000000000001,BE625/2147483647)))*COS(2*PI()*BF625/2147483647),'Control Room'!$B$8+('Control Room'!$D$8-'Control Room'!$B$8)*BE625/2147483647)</x:f>
        <x:v>961.0810521903738</x:v>
      </x:c>
      <x:c r="BH625" s="17" t="n">
        <x:f>IF('Control Room'!$B$5="Normal",'Control Room'!$B$7,('Control Room'!$B$8+'Control Room'!$D$8)/2)+'Control Room'!$B$9*(BH624-IF('Control Room'!$B$5="Normal",'Control Room'!$B$7,('Control Room'!$B$8+'Control Room'!$D$8)/2))+SQRT(1-'Control Room'!$B$9^2)*(BG625-IF('Control Room'!$B$5="Normal",'Control Room'!$B$7,('Control Room'!$B$8+'Control Room'!$D$8)/2))</x:f>
        <x:v>999.8335919604567</x:v>
      </x:c>
      <x:c r="BI625" s="17" t="n">
        <x:f>IF(AND($A625&gt;='Control Room'!$A$13,$A625&lt;'Control Room'!$A$13+'Control Room'!$B$13,'Process'!BV2=1),1+('Control Room'!$C$13-1)*EXP(-0.5*(($A625-'Control Room'!$A$13-('Control Room'!$B$13-1)/2)/MAX(0.5,'Control Room'!$B$13/4))^2),1)*IF(AND($A625&gt;='Control Room'!$A$14,$A625&lt;'Control Room'!$A$14+'Control Room'!$B$14,'Process'!BV3=1),1+('Control Room'!$C$14-1)*EXP(-0.5*(($A625-'Control Room'!$A$14-('Control Room'!$B$14-1)/2)/MAX(0.5,'Control Room'!$B$14/4))^2),1)*IF(AND($A625&gt;='Control Room'!$A$15,$A625&lt;'Control Room'!$A$15+'Control Room'!$B$15,'Process'!BV4=1),1+('Control Room'!$C$15-1)*EXP(-0.5*(($A625-'Control Room'!$A$15-('Control Room'!$B$15-1)/2)/MAX(0.5,'Control Room'!$B$15/4))^2),1)*IF(AND($A625&gt;='Control Room'!$A$16,$A625&lt;'Control Room'!$A$16+'Control Room'!$B$16,'Process'!BV5=1),1+('Control Room'!$C$16-1)*EXP(-0.5*(($A625-'Control Room'!$A$16-('Control Room'!$B$16-1)/2)/MAX(0.5,'Control Room'!$B$16/4))^2),1)</x:f>
        <x:v>1</x:v>
      </x:c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Z625" t="str">
        <x:f>IF('Data'!A625="","",TEXT('Data'!A625,"mm-dd"))</x:f>
      </x:c>
    </x:row>
    <x:row r="626" ht="21" customHeight="1">
      <x:c r="A626" s="15" t="n">
        <x:f>'Control Room'!$B$1+624</x:f>
        <x:v>73615</x:v>
      </x:c>
      <x:c r="B626" s="9" t="n">
        <x:f>MOD(C625*16807,2147483647)</x:f>
        <x:v>835373297</x:v>
      </x:c>
      <x:c r="C626" s="9" t="n">
        <x:f>MOD(B626*16807,2147483647)</x:f>
        <x:v>2018402240</x:v>
      </x:c>
      <x:c r="D626" s="17" t="n">
        <x:f>IF('Control Room'!$B$5="Normal",'Control Room'!$B$7+'Control Room'!$D$7*SQRT(-2*LN(MAX(0.000000000001,B626/2147483647)))*COS(2*PI()*C626/2147483647),'Control Room'!$B$8+('Control Room'!$D$8-'Control Room'!$B$8)*B626/2147483647)</x:f>
        <x:v>1114.959510443093</x:v>
      </x:c>
      <x:c r="E626" s="17" t="n">
        <x:f>IF('Control Room'!$B$5="Normal",'Control Room'!$B$7,('Control Room'!$B$8+'Control Room'!$D$8)/2)+'Control Room'!$B$9*(E625-IF('Control Room'!$B$5="Normal",'Control Room'!$B$7,('Control Room'!$B$8+'Control Room'!$D$8)/2))+SQRT(1-'Control Room'!$B$9^2)*(D626-IF('Control Room'!$B$5="Normal",'Control Room'!$B$7,('Control Room'!$B$8+'Control Room'!$D$8)/2))</x:f>
        <x:v>1097.158406593989</x:v>
      </x:c>
      <x:c r="F626" s="17" t="n">
        <x:f>IF(AND($A626&gt;='Control Room'!$A$13,$A626&lt;'Control Room'!$A$13+'Control Room'!$B$13,'Process'!BK2=1),1+('Control Room'!$C$13-1)*EXP(-0.5*(($A626-'Control Room'!$A$13-('Control Room'!$B$13-1)/2)/MAX(0.5,'Control Room'!$B$13/4))^2),1)*IF(AND($A626&gt;='Control Room'!$A$14,$A626&lt;'Control Room'!$A$14+'Control Room'!$B$14,'Process'!BK3=1),1+('Control Room'!$C$14-1)*EXP(-0.5*(($A626-'Control Room'!$A$14-('Control Room'!$B$14-1)/2)/MAX(0.5,'Control Room'!$B$14/4))^2),1)*IF(AND($A626&gt;='Control Room'!$A$15,$A626&lt;'Control Room'!$A$15+'Control Room'!$B$15,'Process'!BK4=1),1+('Control Room'!$C$15-1)*EXP(-0.5*(($A626-'Control Room'!$A$15-('Control Room'!$B$15-1)/2)/MAX(0.5,'Control Room'!$B$15/4))^2),1)*IF(AND($A626&gt;='Control Room'!$A$16,$A626&lt;'Control Room'!$A$16+'Control Room'!$B$16,'Process'!BK5=1),1+('Control Room'!$C$16-1)*EXP(-0.5*(($A626-'Control Room'!$A$16-('Control Room'!$B$16-1)/2)/MAX(0.5,'Control Room'!$B$16/4))^2),1)</x:f>
        <x:v>1</x:v>
      </x:c>
      <x:c r="G626" s="9" t="n">
        <x:f>MOD(H625*16807,2147483647)</x:f>
        <x:v>1002334842</x:v>
      </x:c>
      <x:c r="H626" s="9" t="n">
        <x:f>MOD(G626*16807,2147483647)</x:f>
        <x:v>1379962426</x:v>
      </x:c>
      <x:c r="I626" s="17" t="n">
        <x:f>IF('Control Room'!$B$5="Normal",'Control Room'!$B$7+'Control Room'!$D$7*SQRT(-2*LN(MAX(0.000000000001,G626/2147483647)))*COS(2*PI()*H626/2147483647),'Control Room'!$B$8+('Control Room'!$D$8-'Control Room'!$B$8)*G626/2147483647)</x:f>
        <x:v>930.5856165093272</x:v>
      </x:c>
      <x:c r="J626" s="17" t="n">
        <x:f>IF('Control Room'!$B$5="Normal",'Control Room'!$B$7,('Control Room'!$B$8+'Control Room'!$D$8)/2)+'Control Room'!$B$9*(J625-IF('Control Room'!$B$5="Normal",'Control Room'!$B$7,('Control Room'!$B$8+'Control Room'!$D$8)/2))+SQRT(1-'Control Room'!$B$9^2)*(I626-IF('Control Room'!$B$5="Normal",'Control Room'!$B$7,('Control Room'!$B$8+'Control Room'!$D$8)/2))</x:f>
        <x:v>950.6665522521325</x:v>
      </x:c>
      <x:c r="K626" s="17" t="n">
        <x:f>IF(AND($A626&gt;='Control Room'!$A$13,$A626&lt;'Control Room'!$A$13+'Control Room'!$B$13,'Process'!BL2=1),1+('Control Room'!$C$13-1)*EXP(-0.5*(($A626-'Control Room'!$A$13-('Control Room'!$B$13-1)/2)/MAX(0.5,'Control Room'!$B$13/4))^2),1)*IF(AND($A626&gt;='Control Room'!$A$14,$A626&lt;'Control Room'!$A$14+'Control Room'!$B$14,'Process'!BL3=1),1+('Control Room'!$C$14-1)*EXP(-0.5*(($A626-'Control Room'!$A$14-('Control Room'!$B$14-1)/2)/MAX(0.5,'Control Room'!$B$14/4))^2),1)*IF(AND($A626&gt;='Control Room'!$A$15,$A626&lt;'Control Room'!$A$15+'Control Room'!$B$15,'Process'!BL4=1),1+('Control Room'!$C$15-1)*EXP(-0.5*(($A626-'Control Room'!$A$15-('Control Room'!$B$15-1)/2)/MAX(0.5,'Control Room'!$B$15/4))^2),1)*IF(AND($A626&gt;='Control Room'!$A$16,$A626&lt;'Control Room'!$A$16+'Control Room'!$B$16,'Process'!BL5=1),1+('Control Room'!$C$16-1)*EXP(-0.5*(($A626-'Control Room'!$A$16-('Control Room'!$B$16-1)/2)/MAX(0.5,'Control Room'!$B$16/4))^2),1)</x:f>
        <x:v>1</x:v>
      </x:c>
      <x:c r="L626" s="9" t="n">
        <x:f>MOD(M625*16807,2147483647)</x:f>
        <x:v>1169296387</x:v>
      </x:c>
      <x:c r="M626" s="9" t="n">
        <x:f>MOD(L626*16807,2147483647)</x:f>
        <x:v>741522612</x:v>
      </x:c>
      <x:c r="N626" s="17" t="n">
        <x:f>IF('Control Room'!$B$5="Normal",'Control Room'!$B$7+'Control Room'!$D$7*SQRT(-2*LN(MAX(0.000000000001,L626/2147483647)))*COS(2*PI()*M626/2147483647),'Control Room'!$B$8+('Control Room'!$D$8-'Control Room'!$B$8)*L626/2147483647)</x:f>
        <x:v>944.0670128087622</x:v>
      </x:c>
      <x:c r="O626" s="17" t="n">
        <x:f>IF('Control Room'!$B$5="Normal",'Control Room'!$B$7,('Control Room'!$B$8+'Control Room'!$D$8)/2)+'Control Room'!$B$9*(O625-IF('Control Room'!$B$5="Normal",'Control Room'!$B$7,('Control Room'!$B$8+'Control Room'!$D$8)/2))+SQRT(1-'Control Room'!$B$9^2)*(N626-IF('Control Room'!$B$5="Normal",'Control Room'!$B$7,('Control Room'!$B$8+'Control Room'!$D$8)/2))</x:f>
        <x:v>948.7451452143631</x:v>
      </x:c>
      <x:c r="P626" s="17" t="n">
        <x:f>IF(AND($A626&gt;='Control Room'!$A$13,$A626&lt;'Control Room'!$A$13+'Control Room'!$B$13,'Process'!BM2=1),1+('Control Room'!$C$13-1)*EXP(-0.5*(($A626-'Control Room'!$A$13-('Control Room'!$B$13-1)/2)/MAX(0.5,'Control Room'!$B$13/4))^2),1)*IF(AND($A626&gt;='Control Room'!$A$14,$A626&lt;'Control Room'!$A$14+'Control Room'!$B$14,'Process'!BM3=1),1+('Control Room'!$C$14-1)*EXP(-0.5*(($A626-'Control Room'!$A$14-('Control Room'!$B$14-1)/2)/MAX(0.5,'Control Room'!$B$14/4))^2),1)*IF(AND($A626&gt;='Control Room'!$A$15,$A626&lt;'Control Room'!$A$15+'Control Room'!$B$15,'Process'!BM4=1),1+('Control Room'!$C$15-1)*EXP(-0.5*(($A626-'Control Room'!$A$15-('Control Room'!$B$15-1)/2)/MAX(0.5,'Control Room'!$B$15/4))^2),1)*IF(AND($A626&gt;='Control Room'!$A$16,$A626&lt;'Control Room'!$A$16+'Control Room'!$B$16,'Process'!BM5=1),1+('Control Room'!$C$16-1)*EXP(-0.5*(($A626-'Control Room'!$A$16-('Control Room'!$B$16-1)/2)/MAX(0.5,'Control Room'!$B$16/4))^2),1)</x:f>
        <x:v>1</x:v>
      </x:c>
      <x:c r="Q626" s="9" t="n">
        <x:f>MOD(R625*16807,2147483647)</x:f>
        <x:v>1336257932</x:v>
      </x:c>
      <x:c r="R626" s="9" t="n">
        <x:f>MOD(Q626*16807,2147483647)</x:f>
        <x:v>103082798</x:v>
      </x:c>
      <x:c r="S626" s="17" t="n">
        <x:f>IF('Control Room'!$B$5="Normal",'Control Room'!$B$7+'Control Room'!$D$7*SQRT(-2*LN(MAX(0.000000000001,Q626/2147483647)))*COS(2*PI()*R626/2147483647),'Control Room'!$B$8+('Control Room'!$D$8-'Control Room'!$B$8)*Q626/2147483647)</x:f>
        <x:v>1083.7107088828166</x:v>
      </x:c>
      <x:c r="T626" s="17" t="n">
        <x:f>IF('Control Room'!$B$5="Normal",'Control Room'!$B$7,('Control Room'!$B$8+'Control Room'!$D$8)/2)+'Control Room'!$B$9*(T625-IF('Control Room'!$B$5="Normal",'Control Room'!$B$7,('Control Room'!$B$8+'Control Room'!$D$8)/2))+SQRT(1-'Control Room'!$B$9^2)*(S626-IF('Control Room'!$B$5="Normal",'Control Room'!$B$7,('Control Room'!$B$8+'Control Room'!$D$8)/2))</x:f>
        <x:v>1029.7658019647565</x:v>
      </x:c>
      <x:c r="U626" s="17" t="n">
        <x:f>IF(AND($A626&gt;='Control Room'!$A$13,$A626&lt;'Control Room'!$A$13+'Control Room'!$B$13,'Process'!BN2=1),1+('Control Room'!$C$13-1)*EXP(-0.5*(($A626-'Control Room'!$A$13-('Control Room'!$B$13-1)/2)/MAX(0.5,'Control Room'!$B$13/4))^2),1)*IF(AND($A626&gt;='Control Room'!$A$14,$A626&lt;'Control Room'!$A$14+'Control Room'!$B$14,'Process'!BN3=1),1+('Control Room'!$C$14-1)*EXP(-0.5*(($A626-'Control Room'!$A$14-('Control Room'!$B$14-1)/2)/MAX(0.5,'Control Room'!$B$14/4))^2),1)*IF(AND($A626&gt;='Control Room'!$A$15,$A626&lt;'Control Room'!$A$15+'Control Room'!$B$15,'Process'!BN4=1),1+('Control Room'!$C$15-1)*EXP(-0.5*(($A626-'Control Room'!$A$15-('Control Room'!$B$15-1)/2)/MAX(0.5,'Control Room'!$B$15/4))^2),1)*IF(AND($A626&gt;='Control Room'!$A$16,$A626&lt;'Control Room'!$A$16+'Control Room'!$B$16,'Process'!BN5=1),1+('Control Room'!$C$16-1)*EXP(-0.5*(($A626-'Control Room'!$A$16-('Control Room'!$B$16-1)/2)/MAX(0.5,'Control Room'!$B$16/4))^2),1)</x:f>
        <x:v>1</x:v>
      </x:c>
      <x:c r="V626" s="9" t="n">
        <x:f>MOD(W625*16807,2147483647)</x:f>
        <x:v>1503219477</x:v>
      </x:c>
      <x:c r="W626" s="9" t="n">
        <x:f>MOD(V626*16807,2147483647)</x:f>
        <x:v>1612126631</x:v>
      </x:c>
      <x:c r="X626" s="17" t="n">
        <x:f>IF('Control Room'!$B$5="Normal",'Control Room'!$B$7+'Control Room'!$D$7*SQRT(-2*LN(MAX(0.000000000001,V626/2147483647)))*COS(2*PI()*W626/2147483647),'Control Room'!$B$8+('Control Room'!$D$8-'Control Room'!$B$8)*V626/2147483647)</x:f>
        <x:v>1000.3367023025678</x:v>
      </x:c>
      <x:c r="Y626" s="17" t="n">
        <x:f>IF('Control Room'!$B$5="Normal",'Control Room'!$B$7,('Control Room'!$B$8+'Control Room'!$D$8)/2)+'Control Room'!$B$9*(Y625-IF('Control Room'!$B$5="Normal",'Control Room'!$B$7,('Control Room'!$B$8+'Control Room'!$D$8)/2))+SQRT(1-'Control Room'!$B$9^2)*(X626-IF('Control Room'!$B$5="Normal",'Control Room'!$B$7,('Control Room'!$B$8+'Control Room'!$D$8)/2))</x:f>
        <x:v>1030.9659881694238</x:v>
      </x:c>
      <x:c r="Z626" s="17" t="n">
        <x:f>IF(AND($A626&gt;='Control Room'!$A$13,$A626&lt;'Control Room'!$A$13+'Control Room'!$B$13,'Process'!BO2=1),1+('Control Room'!$C$13-1)*EXP(-0.5*(($A626-'Control Room'!$A$13-('Control Room'!$B$13-1)/2)/MAX(0.5,'Control Room'!$B$13/4))^2),1)*IF(AND($A626&gt;='Control Room'!$A$14,$A626&lt;'Control Room'!$A$14+'Control Room'!$B$14,'Process'!BO3=1),1+('Control Room'!$C$14-1)*EXP(-0.5*(($A626-'Control Room'!$A$14-('Control Room'!$B$14-1)/2)/MAX(0.5,'Control Room'!$B$14/4))^2),1)*IF(AND($A626&gt;='Control Room'!$A$15,$A626&lt;'Control Room'!$A$15+'Control Room'!$B$15,'Process'!BO4=1),1+('Control Room'!$C$15-1)*EXP(-0.5*(($A626-'Control Room'!$A$15-('Control Room'!$B$15-1)/2)/MAX(0.5,'Control Room'!$B$15/4))^2),1)*IF(AND($A626&gt;='Control Room'!$A$16,$A626&lt;'Control Room'!$A$16+'Control Room'!$B$16,'Process'!BO5=1),1+('Control Room'!$C$16-1)*EXP(-0.5*(($A626-'Control Room'!$A$16-('Control Room'!$B$16-1)/2)/MAX(0.5,'Control Room'!$B$16/4))^2),1)</x:f>
        <x:v>1</x:v>
      </x:c>
      <x:c r="AA626" s="9" t="n">
        <x:f>MOD(AB625*16807,2147483647)</x:f>
        <x:v>1670181022</x:v>
      </x:c>
      <x:c r="AB626" s="9" t="n">
        <x:f>MOD(AA626*16807,2147483647)</x:f>
        <x:v>973686817</x:v>
      </x:c>
      <x:c r="AC626" s="17" t="n">
        <x:f>IF('Control Room'!$B$5="Normal",'Control Room'!$B$7+'Control Room'!$D$7*SQRT(-2*LN(MAX(0.000000000001,AA626/2147483647)))*COS(2*PI()*AB626/2147483647),'Control Room'!$B$8+('Control Room'!$D$8-'Control Room'!$B$8)*AA626/2147483647)</x:f>
        <x:v>938.9018209879391</x:v>
      </x:c>
      <x:c r="AD626" s="17" t="n">
        <x:f>IF('Control Room'!$B$5="Normal",'Control Room'!$B$7,('Control Room'!$B$8+'Control Room'!$D$8)/2)+'Control Room'!$B$9*(AD625-IF('Control Room'!$B$5="Normal",'Control Room'!$B$7,('Control Room'!$B$8+'Control Room'!$D$8)/2))+SQRT(1-'Control Room'!$B$9^2)*(AC626-IF('Control Room'!$B$5="Normal",'Control Room'!$B$7,('Control Room'!$B$8+'Control Room'!$D$8)/2))</x:f>
        <x:v>1104.0859986934356</x:v>
      </x:c>
      <x:c r="AE626" s="17" t="n">
        <x:f>IF(AND($A626&gt;='Control Room'!$A$13,$A626&lt;'Control Room'!$A$13+'Control Room'!$B$13,'Process'!BP2=1),1+('Control Room'!$C$13-1)*EXP(-0.5*(($A626-'Control Room'!$A$13-('Control Room'!$B$13-1)/2)/MAX(0.5,'Control Room'!$B$13/4))^2),1)*IF(AND($A626&gt;='Control Room'!$A$14,$A626&lt;'Control Room'!$A$14+'Control Room'!$B$14,'Process'!BP3=1),1+('Control Room'!$C$14-1)*EXP(-0.5*(($A626-'Control Room'!$A$14-('Control Room'!$B$14-1)/2)/MAX(0.5,'Control Room'!$B$14/4))^2),1)*IF(AND($A626&gt;='Control Room'!$A$15,$A626&lt;'Control Room'!$A$15+'Control Room'!$B$15,'Process'!BP4=1),1+('Control Room'!$C$15-1)*EXP(-0.5*(($A626-'Control Room'!$A$15-('Control Room'!$B$15-1)/2)/MAX(0.5,'Control Room'!$B$15/4))^2),1)*IF(AND($A626&gt;='Control Room'!$A$16,$A626&lt;'Control Room'!$A$16+'Control Room'!$B$16,'Process'!BP5=1),1+('Control Room'!$C$16-1)*EXP(-0.5*(($A626-'Control Room'!$A$16-('Control Room'!$B$16-1)/2)/MAX(0.5,'Control Room'!$B$16/4))^2),1)</x:f>
        <x:v>1</x:v>
      </x:c>
      <x:c r="AF626" s="9" t="n">
        <x:f>MOD(AG625*16807,2147483647)</x:f>
        <x:v>1837142567</x:v>
      </x:c>
      <x:c r="AG626" s="9" t="n">
        <x:f>MOD(AF626*16807,2147483647)</x:f>
        <x:v>335247003</x:v>
      </x:c>
      <x:c r="AH626" s="17" t="n">
        <x:f>IF('Control Room'!$B$5="Normal",'Control Room'!$B$7+'Control Room'!$D$7*SQRT(-2*LN(MAX(0.000000000001,AF626/2147483647)))*COS(2*PI()*AG626/2147483647),'Control Room'!$B$8+('Control Room'!$D$8-'Control Room'!$B$8)*AF626/2147483647)</x:f>
        <x:v>1027.9732173428165</x:v>
      </x:c>
      <x:c r="AI626" s="17" t="n">
        <x:f>IF('Control Room'!$B$5="Normal",'Control Room'!$B$7,('Control Room'!$B$8+'Control Room'!$D$8)/2)+'Control Room'!$B$9*(AI625-IF('Control Room'!$B$5="Normal",'Control Room'!$B$7,('Control Room'!$B$8+'Control Room'!$D$8)/2))+SQRT(1-'Control Room'!$B$9^2)*(AH626-IF('Control Room'!$B$5="Normal",'Control Room'!$B$7,('Control Room'!$B$8+'Control Room'!$D$8)/2))</x:f>
        <x:v>974.4172019192293</x:v>
      </x:c>
      <x:c r="AJ626" s="17" t="n">
        <x:f>IF(AND($A626&gt;='Control Room'!$A$13,$A626&lt;'Control Room'!$A$13+'Control Room'!$B$13,'Process'!BQ2=1),1+('Control Room'!$C$13-1)*EXP(-0.5*(($A626-'Control Room'!$A$13-('Control Room'!$B$13-1)/2)/MAX(0.5,'Control Room'!$B$13/4))^2),1)*IF(AND($A626&gt;='Control Room'!$A$14,$A626&lt;'Control Room'!$A$14+'Control Room'!$B$14,'Process'!BQ3=1),1+('Control Room'!$C$14-1)*EXP(-0.5*(($A626-'Control Room'!$A$14-('Control Room'!$B$14-1)/2)/MAX(0.5,'Control Room'!$B$14/4))^2),1)*IF(AND($A626&gt;='Control Room'!$A$15,$A626&lt;'Control Room'!$A$15+'Control Room'!$B$15,'Process'!BQ4=1),1+('Control Room'!$C$15-1)*EXP(-0.5*(($A626-'Control Room'!$A$15-('Control Room'!$B$15-1)/2)/MAX(0.5,'Control Room'!$B$15/4))^2),1)*IF(AND($A626&gt;='Control Room'!$A$16,$A626&lt;'Control Room'!$A$16+'Control Room'!$B$16,'Process'!BQ5=1),1+('Control Room'!$C$16-1)*EXP(-0.5*(($A626-'Control Room'!$A$16-('Control Room'!$B$16-1)/2)/MAX(0.5,'Control Room'!$B$16/4))^2),1)</x:f>
        <x:v>1</x:v>
      </x:c>
      <x:c r="AK626" s="9" t="n">
        <x:f>MOD(AL625*16807,2147483647)</x:f>
        <x:v>2004104112</x:v>
      </x:c>
      <x:c r="AL626" s="9" t="n">
        <x:f>MOD(AK626*16807,2147483647)</x:f>
        <x:v>1844290836</x:v>
      </x:c>
      <x:c r="AM626" s="17" t="n">
        <x:f>IF('Control Room'!$B$5="Normal",'Control Room'!$B$7+'Control Room'!$D$7*SQRT(-2*LN(MAX(0.000000000001,AK626/2147483647)))*COS(2*PI()*AL626/2147483647),'Control Room'!$B$8+('Control Room'!$D$8-'Control Room'!$B$8)*AK626/2147483647)</x:f>
        <x:v>1021.1341467129658</x:v>
      </x:c>
      <x:c r="AN626" s="17" t="n">
        <x:f>IF('Control Room'!$B$5="Normal",'Control Room'!$B$7,('Control Room'!$B$8+'Control Room'!$D$8)/2)+'Control Room'!$B$9*(AN625-IF('Control Room'!$B$5="Normal",'Control Room'!$B$7,('Control Room'!$B$8+'Control Room'!$D$8)/2))+SQRT(1-'Control Room'!$B$9^2)*(AM626-IF('Control Room'!$B$5="Normal",'Control Room'!$B$7,('Control Room'!$B$8+'Control Room'!$D$8)/2))</x:f>
        <x:v>946.2960943064845</x:v>
      </x:c>
      <x:c r="AO626" s="17" t="n">
        <x:f>IF(AND($A626&gt;='Control Room'!$A$13,$A626&lt;'Control Room'!$A$13+'Control Room'!$B$13,'Process'!BR2=1),1+('Control Room'!$C$13-1)*EXP(-0.5*(($A626-'Control Room'!$A$13-('Control Room'!$B$13-1)/2)/MAX(0.5,'Control Room'!$B$13/4))^2),1)*IF(AND($A626&gt;='Control Room'!$A$14,$A626&lt;'Control Room'!$A$14+'Control Room'!$B$14,'Process'!BR3=1),1+('Control Room'!$C$14-1)*EXP(-0.5*(($A626-'Control Room'!$A$14-('Control Room'!$B$14-1)/2)/MAX(0.5,'Control Room'!$B$14/4))^2),1)*IF(AND($A626&gt;='Control Room'!$A$15,$A626&lt;'Control Room'!$A$15+'Control Room'!$B$15,'Process'!BR4=1),1+('Control Room'!$C$15-1)*EXP(-0.5*(($A626-'Control Room'!$A$15-('Control Room'!$B$15-1)/2)/MAX(0.5,'Control Room'!$B$15/4))^2),1)*IF(AND($A626&gt;='Control Room'!$A$16,$A626&lt;'Control Room'!$A$16+'Control Room'!$B$16,'Process'!BR5=1),1+('Control Room'!$C$16-1)*EXP(-0.5*(($A626-'Control Room'!$A$16-('Control Room'!$B$16-1)/2)/MAX(0.5,'Control Room'!$B$16/4))^2),1)</x:f>
        <x:v>1</x:v>
      </x:c>
      <x:c r="AP626" s="9" t="n">
        <x:f>MOD(AQ625*16807,2147483647)</x:f>
        <x:v>23582010</x:v>
      </x:c>
      <x:c r="AQ626" s="9" t="n">
        <x:f>MOD(AP626*16807,2147483647)</x:f>
        <x:v>1205851022</x:v>
      </x:c>
      <x:c r="AR626" s="17" t="n">
        <x:f>IF('Control Room'!$B$5="Normal",'Control Room'!$B$7+'Control Room'!$D$7*SQRT(-2*LN(MAX(0.000000000001,AP626/2147483647)))*COS(2*PI()*AQ626/2147483647),'Control Room'!$B$8+('Control Room'!$D$8-'Control Room'!$B$8)*AP626/2147483647)</x:f>
        <x:v>749.5986188261162</x:v>
      </x:c>
      <x:c r="AS626" s="17" t="n">
        <x:f>IF('Control Room'!$B$5="Normal",'Control Room'!$B$7,('Control Room'!$B$8+'Control Room'!$D$8)/2)+'Control Room'!$B$9*(AS625-IF('Control Room'!$B$5="Normal",'Control Room'!$B$7,('Control Room'!$B$8+'Control Room'!$D$8)/2))+SQRT(1-'Control Room'!$B$9^2)*(AR626-IF('Control Room'!$B$5="Normal",'Control Room'!$B$7,('Control Room'!$B$8+'Control Room'!$D$8)/2))</x:f>
        <x:v>888.566200877935</x:v>
      </x:c>
      <x:c r="AT626" s="17" t="n">
        <x:f>IF(AND($A626&gt;='Control Room'!$A$13,$A626&lt;'Control Room'!$A$13+'Control Room'!$B$13,'Process'!BS2=1),1+('Control Room'!$C$13-1)*EXP(-0.5*(($A626-'Control Room'!$A$13-('Control Room'!$B$13-1)/2)/MAX(0.5,'Control Room'!$B$13/4))^2),1)*IF(AND($A626&gt;='Control Room'!$A$14,$A626&lt;'Control Room'!$A$14+'Control Room'!$B$14,'Process'!BS3=1),1+('Control Room'!$C$14-1)*EXP(-0.5*(($A626-'Control Room'!$A$14-('Control Room'!$B$14-1)/2)/MAX(0.5,'Control Room'!$B$14/4))^2),1)*IF(AND($A626&gt;='Control Room'!$A$15,$A626&lt;'Control Room'!$A$15+'Control Room'!$B$15,'Process'!BS4=1),1+('Control Room'!$C$15-1)*EXP(-0.5*(($A626-'Control Room'!$A$15-('Control Room'!$B$15-1)/2)/MAX(0.5,'Control Room'!$B$15/4))^2),1)*IF(AND($A626&gt;='Control Room'!$A$16,$A626&lt;'Control Room'!$A$16+'Control Room'!$B$16,'Process'!BS5=1),1+('Control Room'!$C$16-1)*EXP(-0.5*(($A626-'Control Room'!$A$16-('Control Room'!$B$16-1)/2)/MAX(0.5,'Control Room'!$B$16/4))^2),1)</x:f>
        <x:v>1</x:v>
      </x:c>
      <x:c r="AU626" s="9" t="n">
        <x:f>MOD(AV625*16807,2147483647)</x:f>
        <x:v>190543555</x:v>
      </x:c>
      <x:c r="AV626" s="9" t="n">
        <x:f>MOD(AU626*16807,2147483647)</x:f>
        <x:v>567411208</x:v>
      </x:c>
      <x:c r="AW626" s="17" t="n">
        <x:f>IF('Control Room'!$B$5="Normal",'Control Room'!$B$7+'Control Room'!$D$7*SQRT(-2*LN(MAX(0.000000000001,AU626/2147483647)))*COS(2*PI()*AV626/2147483647),'Control Room'!$B$8+('Control Room'!$D$8-'Control Room'!$B$8)*AU626/2147483647)</x:f>
        <x:v>982.323141426381</x:v>
      </x:c>
      <x:c r="AX626" s="17" t="n">
        <x:f>IF('Control Room'!$B$5="Normal",'Control Room'!$B$7,('Control Room'!$B$8+'Control Room'!$D$8)/2)+'Control Room'!$B$9*(AX625-IF('Control Room'!$B$5="Normal",'Control Room'!$B$7,('Control Room'!$B$8+'Control Room'!$D$8)/2))+SQRT(1-'Control Room'!$B$9^2)*(AW626-IF('Control Room'!$B$5="Normal",'Control Room'!$B$7,('Control Room'!$B$8+'Control Room'!$D$8)/2))</x:f>
        <x:v>978.1651191853132</x:v>
      </x:c>
      <x:c r="AY626" s="17" t="n">
        <x:f>IF(AND($A626&gt;='Control Room'!$A$13,$A626&lt;'Control Room'!$A$13+'Control Room'!$B$13,'Process'!BT2=1),1+('Control Room'!$C$13-1)*EXP(-0.5*(($A626-'Control Room'!$A$13-('Control Room'!$B$13-1)/2)/MAX(0.5,'Control Room'!$B$13/4))^2),1)*IF(AND($A626&gt;='Control Room'!$A$14,$A626&lt;'Control Room'!$A$14+'Control Room'!$B$14,'Process'!BT3=1),1+('Control Room'!$C$14-1)*EXP(-0.5*(($A626-'Control Room'!$A$14-('Control Room'!$B$14-1)/2)/MAX(0.5,'Control Room'!$B$14/4))^2),1)*IF(AND($A626&gt;='Control Room'!$A$15,$A626&lt;'Control Room'!$A$15+'Control Room'!$B$15,'Process'!BT4=1),1+('Control Room'!$C$15-1)*EXP(-0.5*(($A626-'Control Room'!$A$15-('Control Room'!$B$15-1)/2)/MAX(0.5,'Control Room'!$B$15/4))^2),1)*IF(AND($A626&gt;='Control Room'!$A$16,$A626&lt;'Control Room'!$A$16+'Control Room'!$B$16,'Process'!BT5=1),1+('Control Room'!$C$16-1)*EXP(-0.5*(($A626-'Control Room'!$A$16-('Control Room'!$B$16-1)/2)/MAX(0.5,'Control Room'!$B$16/4))^2),1)</x:f>
        <x:v>1</x:v>
      </x:c>
      <x:c r="AZ626" s="9" t="n">
        <x:f>MOD(BA625*16807,2147483647)</x:f>
        <x:v>357505100</x:v>
      </x:c>
      <x:c r="BA626" s="9" t="n">
        <x:f>MOD(AZ626*16807,2147483647)</x:f>
        <x:v>2076455041</x:v>
      </x:c>
      <x:c r="BB626" s="17" t="n">
        <x:f>IF('Control Room'!$B$5="Normal",'Control Room'!$B$7+'Control Room'!$D$7*SQRT(-2*LN(MAX(0.000000000001,AZ626/2147483647)))*COS(2*PI()*BA626/2147483647),'Control Room'!$B$8+('Control Room'!$D$8-'Control Room'!$B$8)*AZ626/2147483647)</x:f>
        <x:v>1166.759010522796</x:v>
      </x:c>
      <x:c r="BC626" s="17" t="n">
        <x:f>IF('Control Room'!$B$5="Normal",'Control Room'!$B$7,('Control Room'!$B$8+'Control Room'!$D$8)/2)+'Control Room'!$B$9*(BC625-IF('Control Room'!$B$5="Normal",'Control Room'!$B$7,('Control Room'!$B$8+'Control Room'!$D$8)/2))+SQRT(1-'Control Room'!$B$9^2)*(BB626-IF('Control Room'!$B$5="Normal",'Control Room'!$B$7,('Control Room'!$B$8+'Control Room'!$D$8)/2))</x:f>
        <x:v>1148.2875031150827</x:v>
      </x:c>
      <x:c r="BD626" s="17" t="n">
        <x:f>IF(AND($A626&gt;='Control Room'!$A$13,$A626&lt;'Control Room'!$A$13+'Control Room'!$B$13,'Process'!BU2=1),1+('Control Room'!$C$13-1)*EXP(-0.5*(($A626-'Control Room'!$A$13-('Control Room'!$B$13-1)/2)/MAX(0.5,'Control Room'!$B$13/4))^2),1)*IF(AND($A626&gt;='Control Room'!$A$14,$A626&lt;'Control Room'!$A$14+'Control Room'!$B$14,'Process'!BU3=1),1+('Control Room'!$C$14-1)*EXP(-0.5*(($A626-'Control Room'!$A$14-('Control Room'!$B$14-1)/2)/MAX(0.5,'Control Room'!$B$14/4))^2),1)*IF(AND($A626&gt;='Control Room'!$A$15,$A626&lt;'Control Room'!$A$15+'Control Room'!$B$15,'Process'!BU4=1),1+('Control Room'!$C$15-1)*EXP(-0.5*(($A626-'Control Room'!$A$15-('Control Room'!$B$15-1)/2)/MAX(0.5,'Control Room'!$B$15/4))^2),1)*IF(AND($A626&gt;='Control Room'!$A$16,$A626&lt;'Control Room'!$A$16+'Control Room'!$B$16,'Process'!BU5=1),1+('Control Room'!$C$16-1)*EXP(-0.5*(($A626-'Control Room'!$A$16-('Control Room'!$B$16-1)/2)/MAX(0.5,'Control Room'!$B$16/4))^2),1)</x:f>
        <x:v>1</x:v>
      </x:c>
      <x:c r="BE626" s="9" t="n">
        <x:f>MOD(BF625*16807,2147483647)</x:f>
        <x:v>524466645</x:v>
      </x:c>
      <x:c r="BF626" s="9" t="n">
        <x:f>MOD(BE626*16807,2147483647)</x:f>
        <x:v>1438015227</x:v>
      </x:c>
      <x:c r="BG626" s="17" t="n">
        <x:f>IF('Control Room'!$B$5="Normal",'Control Room'!$B$7+'Control Room'!$D$7*SQRT(-2*LN(MAX(0.000000000001,BE626/2147483647)))*COS(2*PI()*BF626/2147483647),'Control Room'!$B$8+('Control Room'!$D$8-'Control Room'!$B$8)*BE626/2147483647)</x:f>
        <x:v>926.8890293132256</x:v>
      </x:c>
      <x:c r="BH626" s="17" t="n">
        <x:f>IF('Control Room'!$B$5="Normal",'Control Room'!$B$7,('Control Room'!$B$8+'Control Room'!$D$8)/2)+'Control Room'!$B$9*(BH625-IF('Control Room'!$B$5="Normal",'Control Room'!$B$7,('Control Room'!$B$8+'Control Room'!$D$8)/2))+SQRT(1-'Control Room'!$B$9^2)*(BG626-IF('Control Room'!$B$5="Normal",'Control Room'!$B$7,('Control Room'!$B$8+'Control Room'!$D$8)/2))</x:f>
        <x:v>954.1188540330179</x:v>
      </x:c>
      <x:c r="BI626" s="17" t="n">
        <x:f>IF(AND($A626&gt;='Control Room'!$A$13,$A626&lt;'Control Room'!$A$13+'Control Room'!$B$13,'Process'!BV2=1),1+('Control Room'!$C$13-1)*EXP(-0.5*(($A626-'Control Room'!$A$13-('Control Room'!$B$13-1)/2)/MAX(0.5,'Control Room'!$B$13/4))^2),1)*IF(AND($A626&gt;='Control Room'!$A$14,$A626&lt;'Control Room'!$A$14+'Control Room'!$B$14,'Process'!BV3=1),1+('Control Room'!$C$14-1)*EXP(-0.5*(($A626-'Control Room'!$A$14-('Control Room'!$B$14-1)/2)/MAX(0.5,'Control Room'!$B$14/4))^2),1)*IF(AND($A626&gt;='Control Room'!$A$15,$A626&lt;'Control Room'!$A$15+'Control Room'!$B$15,'Process'!BV4=1),1+('Control Room'!$C$15-1)*EXP(-0.5*(($A626-'Control Room'!$A$15-('Control Room'!$B$15-1)/2)/MAX(0.5,'Control Room'!$B$15/4))^2),1)*IF(AND($A626&gt;='Control Room'!$A$16,$A626&lt;'Control Room'!$A$16+'Control Room'!$B$16,'Process'!BV5=1),1+('Control Room'!$C$16-1)*EXP(-0.5*(($A626-'Control Room'!$A$16-('Control Room'!$B$16-1)/2)/MAX(0.5,'Control Room'!$B$16/4))^2),1)</x:f>
        <x:v>1</x:v>
      </x:c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Z626" t="str">
        <x:f>IF('Data'!A626="","",TEXT('Data'!A626,"mm-dd"))</x:f>
      </x:c>
    </x:row>
    <x:row r="627" ht="21" customHeight="1">
      <x:c r="A627" s="15" t="n">
        <x:f>'Control Room'!$B$1+625</x:f>
        <x:v>73616</x:v>
      </x:c>
      <x:c r="B627" s="9" t="n">
        <x:f>MOD(C626*16807,2147483647)</x:f>
        <x:v>1634759668</x:v>
      </x:c>
      <x:c r="C627" s="9" t="n">
        <x:f>MOD(B627*16807,2147483647)</x:f>
        <x:v>499960358</x:v>
      </x:c>
      <x:c r="D627" s="17" t="n">
        <x:f>IF('Control Room'!$B$5="Normal",'Control Room'!$B$7+'Control Room'!$D$7*SQRT(-2*LN(MAX(0.000000000001,B627/2147483647)))*COS(2*PI()*C627/2147483647),'Control Room'!$B$8+('Control Room'!$D$8-'Control Room'!$B$8)*B627/2147483647)</x:f>
        <x:v>1007.1653351723311</x:v>
      </x:c>
      <x:c r="E627" s="17" t="n">
        <x:f>IF('Control Room'!$B$5="Normal",'Control Room'!$B$7,('Control Room'!$B$8+'Control Room'!$D$8)/2)+'Control Room'!$B$9*(E626-IF('Control Room'!$B$5="Normal",'Control Room'!$B$7,('Control Room'!$B$8+'Control Room'!$D$8)/2))+SQRT(1-'Control Room'!$B$9^2)*(D627-IF('Control Room'!$B$5="Normal",'Control Room'!$B$7,('Control Room'!$B$8+'Control Room'!$D$8)/2))</x:f>
        <x:v>1080.2674771042864</x:v>
      </x:c>
      <x:c r="F627" s="17" t="n">
        <x:f>IF(AND($A627&gt;='Control Room'!$A$13,$A627&lt;'Control Room'!$A$13+'Control Room'!$B$13,'Process'!BK2=1),1+('Control Room'!$C$13-1)*EXP(-0.5*(($A627-'Control Room'!$A$13-('Control Room'!$B$13-1)/2)/MAX(0.5,'Control Room'!$B$13/4))^2),1)*IF(AND($A627&gt;='Control Room'!$A$14,$A627&lt;'Control Room'!$A$14+'Control Room'!$B$14,'Process'!BK3=1),1+('Control Room'!$C$14-1)*EXP(-0.5*(($A627-'Control Room'!$A$14-('Control Room'!$B$14-1)/2)/MAX(0.5,'Control Room'!$B$14/4))^2),1)*IF(AND($A627&gt;='Control Room'!$A$15,$A627&lt;'Control Room'!$A$15+'Control Room'!$B$15,'Process'!BK4=1),1+('Control Room'!$C$15-1)*EXP(-0.5*(($A627-'Control Room'!$A$15-('Control Room'!$B$15-1)/2)/MAX(0.5,'Control Room'!$B$15/4))^2),1)*IF(AND($A627&gt;='Control Room'!$A$16,$A627&lt;'Control Room'!$A$16+'Control Room'!$B$16,'Process'!BK5=1),1+('Control Room'!$C$16-1)*EXP(-0.5*(($A627-'Control Room'!$A$16-('Control Room'!$B$16-1)/2)/MAX(0.5,'Control Room'!$B$16/4))^2),1)</x:f>
        <x:v>1</x:v>
      </x:c>
      <x:c r="G627" s="9" t="n">
        <x:f>MOD(H626*16807,2147483647)</x:f>
        <x:v>205106182</x:v>
      </x:c>
      <x:c r="H627" s="9" t="n">
        <x:f>MOD(G627*16807,2147483647)</x:f>
        <x:v>508347439</x:v>
      </x:c>
      <x:c r="I627" s="17" t="n">
        <x:f>IF('Control Room'!$B$5="Normal",'Control Room'!$B$7+'Control Room'!$D$7*SQRT(-2*LN(MAX(0.000000000001,G627/2147483647)))*COS(2*PI()*H627/2147483647),'Control Room'!$B$8+('Control Room'!$D$8-'Control Room'!$B$8)*G627/2147483647)</x:f>
        <x:v>1016.2593504365105</x:v>
      </x:c>
      <x:c r="J627" s="17" t="n">
        <x:f>IF('Control Room'!$B$5="Normal",'Control Room'!$B$7,('Control Room'!$B$8+'Control Room'!$D$8)/2)+'Control Room'!$B$9*(J626-IF('Control Room'!$B$5="Normal",'Control Room'!$B$7,('Control Room'!$B$8+'Control Room'!$D$8)/2))+SQRT(1-'Control Room'!$B$9^2)*(I627-IF('Control Room'!$B$5="Normal",'Control Room'!$B$7,('Control Room'!$B$8+'Control Room'!$D$8)/2))</x:f>
        <x:v>971.6946791689329</x:v>
      </x:c>
      <x:c r="K627" s="17" t="n">
        <x:f>IF(AND($A627&gt;='Control Room'!$A$13,$A627&lt;'Control Room'!$A$13+'Control Room'!$B$13,'Process'!BL2=1),1+('Control Room'!$C$13-1)*EXP(-0.5*(($A627-'Control Room'!$A$13-('Control Room'!$B$13-1)/2)/MAX(0.5,'Control Room'!$B$13/4))^2),1)*IF(AND($A627&gt;='Control Room'!$A$14,$A627&lt;'Control Room'!$A$14+'Control Room'!$B$14,'Process'!BL3=1),1+('Control Room'!$C$14-1)*EXP(-0.5*(($A627-'Control Room'!$A$14-('Control Room'!$B$14-1)/2)/MAX(0.5,'Control Room'!$B$14/4))^2),1)*IF(AND($A627&gt;='Control Room'!$A$15,$A627&lt;'Control Room'!$A$15+'Control Room'!$B$15,'Process'!BL4=1),1+('Control Room'!$C$15-1)*EXP(-0.5*(($A627-'Control Room'!$A$15-('Control Room'!$B$15-1)/2)/MAX(0.5,'Control Room'!$B$15/4))^2),1)*IF(AND($A627&gt;='Control Room'!$A$16,$A627&lt;'Control Room'!$A$16+'Control Room'!$B$16,'Process'!BL5=1),1+('Control Room'!$C$16-1)*EXP(-0.5*(($A627-'Control Room'!$A$16-('Control Room'!$B$16-1)/2)/MAX(0.5,'Control Room'!$B$16/4))^2),1)</x:f>
        <x:v>1</x:v>
      </x:c>
      <x:c r="L627" s="9" t="n">
        <x:f>MOD(M626*16807,2147483647)</x:f>
        <x:v>922936343</x:v>
      </x:c>
      <x:c r="M627" s="9" t="n">
        <x:f>MOD(L627*16807,2147483647)</x:f>
        <x:v>516734520</x:v>
      </x:c>
      <x:c r="N627" s="17" t="n">
        <x:f>IF('Control Room'!$B$5="Normal",'Control Room'!$B$7+'Control Room'!$D$7*SQRT(-2*LN(MAX(0.000000000001,L627/2147483647)))*COS(2*PI()*M627/2147483647),'Control Room'!$B$8+('Control Room'!$D$8-'Control Room'!$B$8)*L627/2147483647)</x:f>
        <x:v>1006.8870874950275</x:v>
      </x:c>
      <x:c r="O627" s="17" t="n">
        <x:f>IF('Control Room'!$B$5="Normal",'Control Room'!$B$7,('Control Room'!$B$8+'Control Room'!$D$8)/2)+'Control Room'!$B$9*(O626-IF('Control Room'!$B$5="Normal",'Control Room'!$B$7,('Control Room'!$B$8+'Control Room'!$D$8)/2))+SQRT(1-'Control Room'!$B$9^2)*(N627-IF('Control Room'!$B$5="Normal",'Control Room'!$B$7,('Control Room'!$B$8+'Control Room'!$D$8)/2))</x:f>
        <x:v>964.3310115319351</x:v>
      </x:c>
      <x:c r="P627" s="17" t="n">
        <x:f>IF(AND($A627&gt;='Control Room'!$A$13,$A627&lt;'Control Room'!$A$13+'Control Room'!$B$13,'Process'!BM2=1),1+('Control Room'!$C$13-1)*EXP(-0.5*(($A627-'Control Room'!$A$13-('Control Room'!$B$13-1)/2)/MAX(0.5,'Control Room'!$B$13/4))^2),1)*IF(AND($A627&gt;='Control Room'!$A$14,$A627&lt;'Control Room'!$A$14+'Control Room'!$B$14,'Process'!BM3=1),1+('Control Room'!$C$14-1)*EXP(-0.5*(($A627-'Control Room'!$A$14-('Control Room'!$B$14-1)/2)/MAX(0.5,'Control Room'!$B$14/4))^2),1)*IF(AND($A627&gt;='Control Room'!$A$15,$A627&lt;'Control Room'!$A$15+'Control Room'!$B$15,'Process'!BM4=1),1+('Control Room'!$C$15-1)*EXP(-0.5*(($A627-'Control Room'!$A$15-('Control Room'!$B$15-1)/2)/MAX(0.5,'Control Room'!$B$15/4))^2),1)*IF(AND($A627&gt;='Control Room'!$A$16,$A627&lt;'Control Room'!$A$16+'Control Room'!$B$16,'Process'!BM5=1),1+('Control Room'!$C$16-1)*EXP(-0.5*(($A627-'Control Room'!$A$16-('Control Room'!$B$16-1)/2)/MAX(0.5,'Control Room'!$B$16/4))^2),1)</x:f>
        <x:v>1</x:v>
      </x:c>
      <x:c r="Q627" s="9" t="n">
        <x:f>MOD(R626*16807,2147483647)</x:f>
        <x:v>1640766504</x:v>
      </x:c>
      <x:c r="R627" s="9" t="n">
        <x:f>MOD(Q627*16807,2147483647)</x:f>
        <x:v>525121601</x:v>
      </x:c>
      <x:c r="S627" s="17" t="n">
        <x:f>IF('Control Room'!$B$5="Normal",'Control Room'!$B$7+'Control Room'!$D$7*SQRT(-2*LN(MAX(0.000000000001,Q627/2147483647)))*COS(2*PI()*R627/2147483647),'Control Room'!$B$8+('Control Room'!$D$8-'Control Room'!$B$8)*Q627/2147483647)</x:f>
        <x:v>1002.2694364966345</x:v>
      </x:c>
      <x:c r="T627" s="17" t="n">
        <x:f>IF('Control Room'!$B$5="Normal",'Control Room'!$B$7,('Control Room'!$B$8+'Control Room'!$D$8)/2)+'Control Room'!$B$9*(T626-IF('Control Room'!$B$5="Normal",'Control Room'!$B$7,('Control Room'!$B$8+'Control Room'!$D$8)/2))+SQRT(1-'Control Room'!$B$9^2)*(S627-IF('Control Room'!$B$5="Normal",'Control Room'!$B$7,('Control Room'!$B$8+'Control Room'!$D$8)/2))</x:f>
        <x:v>1024.6374924001702</x:v>
      </x:c>
      <x:c r="U627" s="17" t="n">
        <x:f>IF(AND($A627&gt;='Control Room'!$A$13,$A627&lt;'Control Room'!$A$13+'Control Room'!$B$13,'Process'!BN2=1),1+('Control Room'!$C$13-1)*EXP(-0.5*(($A627-'Control Room'!$A$13-('Control Room'!$B$13-1)/2)/MAX(0.5,'Control Room'!$B$13/4))^2),1)*IF(AND($A627&gt;='Control Room'!$A$14,$A627&lt;'Control Room'!$A$14+'Control Room'!$B$14,'Process'!BN3=1),1+('Control Room'!$C$14-1)*EXP(-0.5*(($A627-'Control Room'!$A$14-('Control Room'!$B$14-1)/2)/MAX(0.5,'Control Room'!$B$14/4))^2),1)*IF(AND($A627&gt;='Control Room'!$A$15,$A627&lt;'Control Room'!$A$15+'Control Room'!$B$15,'Process'!BN4=1),1+('Control Room'!$C$15-1)*EXP(-0.5*(($A627-'Control Room'!$A$15-('Control Room'!$B$15-1)/2)/MAX(0.5,'Control Room'!$B$15/4))^2),1)*IF(AND($A627&gt;='Control Room'!$A$16,$A627&lt;'Control Room'!$A$16+'Control Room'!$B$16,'Process'!BN5=1),1+('Control Room'!$C$16-1)*EXP(-0.5*(($A627-'Control Room'!$A$16-('Control Room'!$B$16-1)/2)/MAX(0.5,'Control Room'!$B$16/4))^2),1)</x:f>
        <x:v>1</x:v>
      </x:c>
      <x:c r="V627" s="9" t="n">
        <x:f>MOD(W626*16807,2147483647)</x:f>
        <x:v>211113018</x:v>
      </x:c>
      <x:c r="W627" s="9" t="n">
        <x:f>MOD(V627*16807,2147483647)</x:f>
        <x:v>533508682</x:v>
      </x:c>
      <x:c r="X627" s="17" t="n">
        <x:f>IF('Control Room'!$B$5="Normal",'Control Room'!$B$7+'Control Room'!$D$7*SQRT(-2*LN(MAX(0.000000000001,V627/2147483647)))*COS(2*PI()*W627/2147483647),'Control Room'!$B$8+('Control Room'!$D$8-'Control Room'!$B$8)*V627/2147483647)</x:f>
        <x:v>1001.9069526559521</x:v>
      </x:c>
      <x:c r="Y627" s="17" t="n">
        <x:f>IF('Control Room'!$B$5="Normal",'Control Room'!$B$7,('Control Room'!$B$8+'Control Room'!$D$8)/2)+'Control Room'!$B$9*(Y626-IF('Control Room'!$B$5="Normal",'Control Room'!$B$7,('Control Room'!$B$8+'Control Room'!$D$8)/2))+SQRT(1-'Control Room'!$B$9^2)*(X627-IF('Control Room'!$B$5="Normal",'Control Room'!$B$7,('Control Room'!$B$8+'Control Room'!$D$8)/2))</x:f>
        <x:v>1025.3468026781968</x:v>
      </x:c>
      <x:c r="Z627" s="17" t="n">
        <x:f>IF(AND($A627&gt;='Control Room'!$A$13,$A627&lt;'Control Room'!$A$13+'Control Room'!$B$13,'Process'!BO2=1),1+('Control Room'!$C$13-1)*EXP(-0.5*(($A627-'Control Room'!$A$13-('Control Room'!$B$13-1)/2)/MAX(0.5,'Control Room'!$B$13/4))^2),1)*IF(AND($A627&gt;='Control Room'!$A$14,$A627&lt;'Control Room'!$A$14+'Control Room'!$B$14,'Process'!BO3=1),1+('Control Room'!$C$14-1)*EXP(-0.5*(($A627-'Control Room'!$A$14-('Control Room'!$B$14-1)/2)/MAX(0.5,'Control Room'!$B$14/4))^2),1)*IF(AND($A627&gt;='Control Room'!$A$15,$A627&lt;'Control Room'!$A$15+'Control Room'!$B$15,'Process'!BO4=1),1+('Control Room'!$C$15-1)*EXP(-0.5*(($A627-'Control Room'!$A$15-('Control Room'!$B$15-1)/2)/MAX(0.5,'Control Room'!$B$15/4))^2),1)*IF(AND($A627&gt;='Control Room'!$A$16,$A627&lt;'Control Room'!$A$16+'Control Room'!$B$16,'Process'!BO5=1),1+('Control Room'!$C$16-1)*EXP(-0.5*(($A627-'Control Room'!$A$16-('Control Room'!$B$16-1)/2)/MAX(0.5,'Control Room'!$B$16/4))^2),1)</x:f>
        <x:v>1</x:v>
      </x:c>
      <x:c r="AA627" s="9" t="n">
        <x:f>MOD(AB626*16807,2147483647)</x:f>
        <x:v>928943179</x:v>
      </x:c>
      <x:c r="AB627" s="9" t="n">
        <x:f>MOD(AA627*16807,2147483647)</x:f>
        <x:v>541895763</x:v>
      </x:c>
      <x:c r="AC627" s="17" t="n">
        <x:f>IF('Control Room'!$B$5="Normal",'Control Room'!$B$7+'Control Room'!$D$7*SQRT(-2*LN(MAX(0.000000000001,AA627/2147483647)))*COS(2*PI()*AB627/2147483647),'Control Room'!$B$8+('Control Room'!$D$8-'Control Room'!$B$8)*AA627/2147483647)</x:f>
        <x:v>998.2870754201522</x:v>
      </x:c>
      <x:c r="AD627" s="17" t="n">
        <x:f>IF('Control Room'!$B$5="Normal",'Control Room'!$B$7,('Control Room'!$B$8+'Control Room'!$D$8)/2)+'Control Room'!$B$9*(AD626-IF('Control Room'!$B$5="Normal",'Control Room'!$B$7,('Control Room'!$B$8+'Control Room'!$D$8)/2))+SQRT(1-'Control Room'!$B$9^2)*(AC627-IF('Control Room'!$B$5="Normal",'Control Room'!$B$7,('Control Room'!$B$8+'Control Room'!$D$8)/2))</x:f>
        <x:v>1080.1151658699785</x:v>
      </x:c>
      <x:c r="AE627" s="17" t="n">
        <x:f>IF(AND($A627&gt;='Control Room'!$A$13,$A627&lt;'Control Room'!$A$13+'Control Room'!$B$13,'Process'!BP2=1),1+('Control Room'!$C$13-1)*EXP(-0.5*(($A627-'Control Room'!$A$13-('Control Room'!$B$13-1)/2)/MAX(0.5,'Control Room'!$B$13/4))^2),1)*IF(AND($A627&gt;='Control Room'!$A$14,$A627&lt;'Control Room'!$A$14+'Control Room'!$B$14,'Process'!BP3=1),1+('Control Room'!$C$14-1)*EXP(-0.5*(($A627-'Control Room'!$A$14-('Control Room'!$B$14-1)/2)/MAX(0.5,'Control Room'!$B$14/4))^2),1)*IF(AND($A627&gt;='Control Room'!$A$15,$A627&lt;'Control Room'!$A$15+'Control Room'!$B$15,'Process'!BP4=1),1+('Control Room'!$C$15-1)*EXP(-0.5*(($A627-'Control Room'!$A$15-('Control Room'!$B$15-1)/2)/MAX(0.5,'Control Room'!$B$15/4))^2),1)*IF(AND($A627&gt;='Control Room'!$A$16,$A627&lt;'Control Room'!$A$16+'Control Room'!$B$16,'Process'!BP5=1),1+('Control Room'!$C$16-1)*EXP(-0.5*(($A627-'Control Room'!$A$16-('Control Room'!$B$16-1)/2)/MAX(0.5,'Control Room'!$B$16/4))^2),1)</x:f>
        <x:v>1</x:v>
      </x:c>
      <x:c r="AF627" s="9" t="n">
        <x:f>MOD(AG626*16807,2147483647)</x:f>
        <x:v>1646773340</x:v>
      </x:c>
      <x:c r="AG627" s="9" t="n">
        <x:f>MOD(AF627*16807,2147483647)</x:f>
        <x:v>550282844</x:v>
      </x:c>
      <x:c r="AH627" s="17" t="n">
        <x:f>IF('Control Room'!$B$5="Normal",'Control Room'!$B$7+'Control Room'!$D$7*SQRT(-2*LN(MAX(0.000000000001,AF627/2147483647)))*COS(2*PI()*AG627/2147483647),'Control Room'!$B$8+('Control Room'!$D$8-'Control Room'!$B$8)*AF627/2147483647)</x:f>
        <x:v>997.4272212959899</x:v>
      </x:c>
      <x:c r="AI627" s="17" t="n">
        <x:f>IF('Control Room'!$B$5="Normal",'Control Room'!$B$7,('Control Room'!$B$8+'Control Room'!$D$8)/2)+'Control Room'!$B$9*(AI626-IF('Control Room'!$B$5="Normal",'Control Room'!$B$7,('Control Room'!$B$8+'Control Room'!$D$8)/2))+SQRT(1-'Control Room'!$B$9^2)*(AH627-IF('Control Room'!$B$5="Normal",'Control Room'!$B$7,('Control Room'!$B$8+'Control Room'!$D$8)/2))</x:f>
        <x:v>978.4354252902659</x:v>
      </x:c>
      <x:c r="AJ627" s="17" t="n">
        <x:f>IF(AND($A627&gt;='Control Room'!$A$13,$A627&lt;'Control Room'!$A$13+'Control Room'!$B$13,'Process'!BQ2=1),1+('Control Room'!$C$13-1)*EXP(-0.5*(($A627-'Control Room'!$A$13-('Control Room'!$B$13-1)/2)/MAX(0.5,'Control Room'!$B$13/4))^2),1)*IF(AND($A627&gt;='Control Room'!$A$14,$A627&lt;'Control Room'!$A$14+'Control Room'!$B$14,'Process'!BQ3=1),1+('Control Room'!$C$14-1)*EXP(-0.5*(($A627-'Control Room'!$A$14-('Control Room'!$B$14-1)/2)/MAX(0.5,'Control Room'!$B$14/4))^2),1)*IF(AND($A627&gt;='Control Room'!$A$15,$A627&lt;'Control Room'!$A$15+'Control Room'!$B$15,'Process'!BQ4=1),1+('Control Room'!$C$15-1)*EXP(-0.5*(($A627-'Control Room'!$A$15-('Control Room'!$B$15-1)/2)/MAX(0.5,'Control Room'!$B$15/4))^2),1)*IF(AND($A627&gt;='Control Room'!$A$16,$A627&lt;'Control Room'!$A$16+'Control Room'!$B$16,'Process'!BQ5=1),1+('Control Room'!$C$16-1)*EXP(-0.5*(($A627-'Control Room'!$A$16-('Control Room'!$B$16-1)/2)/MAX(0.5,'Control Room'!$B$16/4))^2),1)</x:f>
        <x:v>1</x:v>
      </x:c>
      <x:c r="AK627" s="9" t="n">
        <x:f>MOD(AL626*16807,2147483647)</x:f>
        <x:v>217119854</x:v>
      </x:c>
      <x:c r="AL627" s="9" t="n">
        <x:f>MOD(AK627*16807,2147483647)</x:f>
        <x:v>558669925</x:v>
      </x:c>
      <x:c r="AM627" s="17" t="n">
        <x:f>IF('Control Room'!$B$5="Normal",'Control Room'!$B$7+'Control Room'!$D$7*SQRT(-2*LN(MAX(0.000000000001,AK627/2147483647)))*COS(2*PI()*AL627/2147483647),'Control Room'!$B$8+('Control Room'!$D$8-'Control Room'!$B$8)*AK627/2147483647)</x:f>
        <x:v>987.7194023135569</x:v>
      </x:c>
      <x:c r="AN627" s="17" t="n">
        <x:f>IF('Control Room'!$B$5="Normal",'Control Room'!$B$7,('Control Room'!$B$8+'Control Room'!$D$8)/2)+'Control Room'!$B$9*(AN626-IF('Control Room'!$B$5="Normal",'Control Room'!$B$7,('Control Room'!$B$8+'Control Room'!$D$8)/2))+SQRT(1-'Control Room'!$B$9^2)*(AM627-IF('Control Room'!$B$5="Normal",'Control Room'!$B$7,('Control Room'!$B$8+'Control Room'!$D$8)/2))</x:f>
        <x:v>950.4260071086002</x:v>
      </x:c>
      <x:c r="AO627" s="17" t="n">
        <x:f>IF(AND($A627&gt;='Control Room'!$A$13,$A627&lt;'Control Room'!$A$13+'Control Room'!$B$13,'Process'!BR2=1),1+('Control Room'!$C$13-1)*EXP(-0.5*(($A627-'Control Room'!$A$13-('Control Room'!$B$13-1)/2)/MAX(0.5,'Control Room'!$B$13/4))^2),1)*IF(AND($A627&gt;='Control Room'!$A$14,$A627&lt;'Control Room'!$A$14+'Control Room'!$B$14,'Process'!BR3=1),1+('Control Room'!$C$14-1)*EXP(-0.5*(($A627-'Control Room'!$A$14-('Control Room'!$B$14-1)/2)/MAX(0.5,'Control Room'!$B$14/4))^2),1)*IF(AND($A627&gt;='Control Room'!$A$15,$A627&lt;'Control Room'!$A$15+'Control Room'!$B$15,'Process'!BR4=1),1+('Control Room'!$C$15-1)*EXP(-0.5*(($A627-'Control Room'!$A$15-('Control Room'!$B$15-1)/2)/MAX(0.5,'Control Room'!$B$15/4))^2),1)*IF(AND($A627&gt;='Control Room'!$A$16,$A627&lt;'Control Room'!$A$16+'Control Room'!$B$16,'Process'!BR5=1),1+('Control Room'!$C$16-1)*EXP(-0.5*(($A627-'Control Room'!$A$16-('Control Room'!$B$16-1)/2)/MAX(0.5,'Control Room'!$B$16/4))^2),1)</x:f>
        <x:v>1</x:v>
      </x:c>
      <x:c r="AP627" s="9" t="n">
        <x:f>MOD(AQ626*16807,2147483647)</x:f>
        <x:v>934950015</x:v>
      </x:c>
      <x:c r="AQ627" s="9" t="n">
        <x:f>MOD(AP627*16807,2147483647)</x:f>
        <x:v>567057006</x:v>
      </x:c>
      <x:c r="AR627" s="17" t="n">
        <x:f>IF('Control Room'!$B$5="Normal",'Control Room'!$B$7+'Control Room'!$D$7*SQRT(-2*LN(MAX(0.000000000001,AP627/2147483647)))*COS(2*PI()*AQ627/2147483647),'Control Room'!$B$8+('Control Room'!$D$8-'Control Room'!$B$8)*AP627/2147483647)</x:f>
        <x:v>989.7624459940952</x:v>
      </x:c>
      <x:c r="AS627" s="17" t="n">
        <x:f>IF('Control Room'!$B$5="Normal",'Control Room'!$B$7,('Control Room'!$B$8+'Control Room'!$D$8)/2)+'Control Room'!$B$9*(AS626-IF('Control Room'!$B$5="Normal",'Control Room'!$B$7,('Control Room'!$B$8+'Control Room'!$D$8)/2))+SQRT(1-'Control Room'!$B$9^2)*(AR627-IF('Control Room'!$B$5="Normal",'Control Room'!$B$7,('Control Room'!$B$8+'Control Room'!$D$8)/2))</x:f>
        <x:v>906.6751851155875</x:v>
      </x:c>
      <x:c r="AT627" s="17" t="n">
        <x:f>IF(AND($A627&gt;='Control Room'!$A$13,$A627&lt;'Control Room'!$A$13+'Control Room'!$B$13,'Process'!BS2=1),1+('Control Room'!$C$13-1)*EXP(-0.5*(($A627-'Control Room'!$A$13-('Control Room'!$B$13-1)/2)/MAX(0.5,'Control Room'!$B$13/4))^2),1)*IF(AND($A627&gt;='Control Room'!$A$14,$A627&lt;'Control Room'!$A$14+'Control Room'!$B$14,'Process'!BS3=1),1+('Control Room'!$C$14-1)*EXP(-0.5*(($A627-'Control Room'!$A$14-('Control Room'!$B$14-1)/2)/MAX(0.5,'Control Room'!$B$14/4))^2),1)*IF(AND($A627&gt;='Control Room'!$A$15,$A627&lt;'Control Room'!$A$15+'Control Room'!$B$15,'Process'!BS4=1),1+('Control Room'!$C$15-1)*EXP(-0.5*(($A627-'Control Room'!$A$15-('Control Room'!$B$15-1)/2)/MAX(0.5,'Control Room'!$B$15/4))^2),1)*IF(AND($A627&gt;='Control Room'!$A$16,$A627&lt;'Control Room'!$A$16+'Control Room'!$B$16,'Process'!BS5=1),1+('Control Room'!$C$16-1)*EXP(-0.5*(($A627-'Control Room'!$A$16-('Control Room'!$B$16-1)/2)/MAX(0.5,'Control Room'!$B$16/4))^2),1)</x:f>
        <x:v>1</x:v>
      </x:c>
      <x:c r="AU627" s="9" t="n">
        <x:f>MOD(AV626*16807,2147483647)</x:f>
        <x:v>1652780176</x:v>
      </x:c>
      <x:c r="AV627" s="9" t="n">
        <x:f>MOD(AU627*16807,2147483647)</x:f>
        <x:v>575444087</x:v>
      </x:c>
      <x:c r="AW627" s="17" t="n">
        <x:f>IF('Control Room'!$B$5="Normal",'Control Room'!$B$7+'Control Room'!$D$7*SQRT(-2*LN(MAX(0.000000000001,AU627/2147483647)))*COS(2*PI()*AV627/2147483647),'Control Room'!$B$8+('Control Room'!$D$8-'Control Room'!$B$8)*AU627/2147483647)</x:f>
        <x:v>992.6652240915392</x:v>
      </x:c>
      <x:c r="AX627" s="17" t="n">
        <x:f>IF('Control Room'!$B$5="Normal",'Control Room'!$B$7,('Control Room'!$B$8+'Control Room'!$D$8)/2)+'Control Room'!$B$9*(AX626-IF('Control Room'!$B$5="Normal",'Control Room'!$B$7,('Control Room'!$B$8+'Control Room'!$D$8)/2))+SQRT(1-'Control Room'!$B$9^2)*(AW627-IF('Control Room'!$B$5="Normal",'Control Room'!$B$7,('Control Room'!$B$8+'Control Room'!$D$8)/2))</x:f>
        <x:v>978.3788404620814</x:v>
      </x:c>
      <x:c r="AY627" s="17" t="n">
        <x:f>IF(AND($A627&gt;='Control Room'!$A$13,$A627&lt;'Control Room'!$A$13+'Control Room'!$B$13,'Process'!BT2=1),1+('Control Room'!$C$13-1)*EXP(-0.5*(($A627-'Control Room'!$A$13-('Control Room'!$B$13-1)/2)/MAX(0.5,'Control Room'!$B$13/4))^2),1)*IF(AND($A627&gt;='Control Room'!$A$14,$A627&lt;'Control Room'!$A$14+'Control Room'!$B$14,'Process'!BT3=1),1+('Control Room'!$C$14-1)*EXP(-0.5*(($A627-'Control Room'!$A$14-('Control Room'!$B$14-1)/2)/MAX(0.5,'Control Room'!$B$14/4))^2),1)*IF(AND($A627&gt;='Control Room'!$A$15,$A627&lt;'Control Room'!$A$15+'Control Room'!$B$15,'Process'!BT4=1),1+('Control Room'!$C$15-1)*EXP(-0.5*(($A627-'Control Room'!$A$15-('Control Room'!$B$15-1)/2)/MAX(0.5,'Control Room'!$B$15/4))^2),1)*IF(AND($A627&gt;='Control Room'!$A$16,$A627&lt;'Control Room'!$A$16+'Control Room'!$B$16,'Process'!BT5=1),1+('Control Room'!$C$16-1)*EXP(-0.5*(($A627-'Control Room'!$A$16-('Control Room'!$B$16-1)/2)/MAX(0.5,'Control Room'!$B$16/4))^2),1)</x:f>
        <x:v>1</x:v>
      </x:c>
      <x:c r="AZ627" s="9" t="n">
        <x:f>MOD(BA626*16807,2147483647)</x:f>
        <x:v>223126690</x:v>
      </x:c>
      <x:c r="BA627" s="9" t="n">
        <x:f>MOD(AZ627*16807,2147483647)</x:f>
        <x:v>583831168</x:v>
      </x:c>
      <x:c r="BB627" s="17" t="n">
        <x:f>IF('Control Room'!$B$5="Normal",'Control Room'!$B$7+'Control Room'!$D$7*SQRT(-2*LN(MAX(0.000000000001,AZ627/2147483647)))*COS(2*PI()*BA627/2147483647),'Control Room'!$B$8+('Control Room'!$D$8-'Control Room'!$B$8)*AZ627/2147483647)</x:f>
        <x:v>973.7675519968755</x:v>
      </x:c>
      <x:c r="BC627" s="17" t="n">
        <x:f>IF('Control Room'!$B$5="Normal",'Control Room'!$B$7,('Control Room'!$B$8+'Control Room'!$D$8)/2)+'Control Room'!$B$9*(BC626-IF('Control Room'!$B$5="Normal",'Control Room'!$B$7,('Control Room'!$B$8+'Control Room'!$D$8)/2))+SQRT(1-'Control Room'!$B$9^2)*(BB627-IF('Control Room'!$B$5="Normal",'Control Room'!$B$7,('Control Room'!$B$8+'Control Room'!$D$8)/2))</x:f>
        <x:v>1099.2485238703168</x:v>
      </x:c>
      <x:c r="BD627" s="17" t="n">
        <x:f>IF(AND($A627&gt;='Control Room'!$A$13,$A627&lt;'Control Room'!$A$13+'Control Room'!$B$13,'Process'!BU2=1),1+('Control Room'!$C$13-1)*EXP(-0.5*(($A627-'Control Room'!$A$13-('Control Room'!$B$13-1)/2)/MAX(0.5,'Control Room'!$B$13/4))^2),1)*IF(AND($A627&gt;='Control Room'!$A$14,$A627&lt;'Control Room'!$A$14+'Control Room'!$B$14,'Process'!BU3=1),1+('Control Room'!$C$14-1)*EXP(-0.5*(($A627-'Control Room'!$A$14-('Control Room'!$B$14-1)/2)/MAX(0.5,'Control Room'!$B$14/4))^2),1)*IF(AND($A627&gt;='Control Room'!$A$15,$A627&lt;'Control Room'!$A$15+'Control Room'!$B$15,'Process'!BU4=1),1+('Control Room'!$C$15-1)*EXP(-0.5*(($A627-'Control Room'!$A$15-('Control Room'!$B$15-1)/2)/MAX(0.5,'Control Room'!$B$15/4))^2),1)*IF(AND($A627&gt;='Control Room'!$A$16,$A627&lt;'Control Room'!$A$16+'Control Room'!$B$16,'Process'!BU5=1),1+('Control Room'!$C$16-1)*EXP(-0.5*(($A627-'Control Room'!$A$16-('Control Room'!$B$16-1)/2)/MAX(0.5,'Control Room'!$B$16/4))^2),1)</x:f>
        <x:v>1</x:v>
      </x:c>
      <x:c r="BE627" s="9" t="n">
        <x:f>MOD(BF626*16807,2147483647)</x:f>
        <x:v>940956851</x:v>
      </x:c>
      <x:c r="BF627" s="9" t="n">
        <x:f>MOD(BE627*16807,2147483647)</x:f>
        <x:v>592218249</x:v>
      </x:c>
      <x:c r="BG627" s="17" t="n">
        <x:f>IF('Control Room'!$B$5="Normal",'Control Room'!$B$7+'Control Room'!$D$7*SQRT(-2*LN(MAX(0.000000000001,BE627/2147483647)))*COS(2*PI()*BF627/2147483647),'Control Room'!$B$8+('Control Room'!$D$8-'Control Room'!$B$8)*BE627/2147483647)</x:f>
        <x:v>981.3588736154724</x:v>
      </x:c>
      <x:c r="BH627" s="17" t="n">
        <x:f>IF('Control Room'!$B$5="Normal",'Control Room'!$B$7,('Control Room'!$B$8+'Control Room'!$D$8)/2)+'Control Room'!$B$9*(BH626-IF('Control Room'!$B$5="Normal",'Control Room'!$B$7,('Control Room'!$B$8+'Control Room'!$D$8)/2))+SQRT(1-'Control Room'!$B$9^2)*(BG627-IF('Control Room'!$B$5="Normal",'Control Room'!$B$7,('Control Room'!$B$8+'Control Room'!$D$8)/2))</x:f>
        <x:v>952.5474711385477</x:v>
      </x:c>
      <x:c r="BI627" s="17" t="n">
        <x:f>IF(AND($A627&gt;='Control Room'!$A$13,$A627&lt;'Control Room'!$A$13+'Control Room'!$B$13,'Process'!BV2=1),1+('Control Room'!$C$13-1)*EXP(-0.5*(($A627-'Control Room'!$A$13-('Control Room'!$B$13-1)/2)/MAX(0.5,'Control Room'!$B$13/4))^2),1)*IF(AND($A627&gt;='Control Room'!$A$14,$A627&lt;'Control Room'!$A$14+'Control Room'!$B$14,'Process'!BV3=1),1+('Control Room'!$C$14-1)*EXP(-0.5*(($A627-'Control Room'!$A$14-('Control Room'!$B$14-1)/2)/MAX(0.5,'Control Room'!$B$14/4))^2),1)*IF(AND($A627&gt;='Control Room'!$A$15,$A627&lt;'Control Room'!$A$15+'Control Room'!$B$15,'Process'!BV4=1),1+('Control Room'!$C$15-1)*EXP(-0.5*(($A627-'Control Room'!$A$15-('Control Room'!$B$15-1)/2)/MAX(0.5,'Control Room'!$B$15/4))^2),1)*IF(AND($A627&gt;='Control Room'!$A$16,$A627&lt;'Control Room'!$A$16+'Control Room'!$B$16,'Process'!BV5=1),1+('Control Room'!$C$16-1)*EXP(-0.5*(($A627-'Control Room'!$A$16-('Control Room'!$B$16-1)/2)/MAX(0.5,'Control Room'!$B$16/4))^2),1)</x:f>
        <x:v>1</x:v>
      </x:c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Z627" t="str">
        <x:f>IF('Data'!A627="","",TEXT('Data'!A627,"mm-dd"))</x:f>
      </x:c>
    </x:row>
    <x:row r="628" ht="21" customHeight="1">
      <x:c r="A628" s="15" t="n">
        <x:f>'Control Room'!$B$1+626</x:f>
        <x:v>73617</x:v>
      </x:c>
      <x:c r="B628" s="9" t="n">
        <x:f>MOD(C627*16807,2147483647)</x:f>
        <x:v>1877709842</x:v>
      </x:c>
      <x:c r="C628" s="9" t="n">
        <x:f>MOD(B628*16807,2147483647)</x:f>
        <x:v>1397121829</x:v>
      </x:c>
      <x:c r="D628" s="17" t="n">
        <x:f>IF('Control Room'!$B$5="Normal",'Control Room'!$B$7+'Control Room'!$D$7*SQRT(-2*LN(MAX(0.000000000001,B628/2147483647)))*COS(2*PI()*C628/2147483647),'Control Room'!$B$8+('Control Room'!$D$8-'Control Room'!$B$8)*B628/2147483647)</x:f>
        <x:v>972.7280798265153</x:v>
      </x:c>
      <x:c r="E628" s="17" t="n">
        <x:f>IF('Control Room'!$B$5="Normal",'Control Room'!$B$7,('Control Room'!$B$8+'Control Room'!$D$8)/2)+'Control Room'!$B$9*(E627-IF('Control Room'!$B$5="Normal",'Control Room'!$B$7,('Control Room'!$B$8+'Control Room'!$D$8)/2))+SQRT(1-'Control Room'!$B$9^2)*(D628-IF('Control Room'!$B$5="Normal",'Control Room'!$B$7,('Control Room'!$B$8+'Control Room'!$D$8)/2))</x:f>
        <x:v>1045.5424231924292</x:v>
      </x:c>
      <x:c r="F628" s="17" t="n">
        <x:f>IF(AND($A628&gt;='Control Room'!$A$13,$A628&lt;'Control Room'!$A$13+'Control Room'!$B$13,'Process'!BK2=1),1+('Control Room'!$C$13-1)*EXP(-0.5*(($A628-'Control Room'!$A$13-('Control Room'!$B$13-1)/2)/MAX(0.5,'Control Room'!$B$13/4))^2),1)*IF(AND($A628&gt;='Control Room'!$A$14,$A628&lt;'Control Room'!$A$14+'Control Room'!$B$14,'Process'!BK3=1),1+('Control Room'!$C$14-1)*EXP(-0.5*(($A628-'Control Room'!$A$14-('Control Room'!$B$14-1)/2)/MAX(0.5,'Control Room'!$B$14/4))^2),1)*IF(AND($A628&gt;='Control Room'!$A$15,$A628&lt;'Control Room'!$A$15+'Control Room'!$B$15,'Process'!BK4=1),1+('Control Room'!$C$15-1)*EXP(-0.5*(($A628-'Control Room'!$A$15-('Control Room'!$B$15-1)/2)/MAX(0.5,'Control Room'!$B$15/4))^2),1)*IF(AND($A628&gt;='Control Room'!$A$16,$A628&lt;'Control Room'!$A$16+'Control Room'!$B$16,'Process'!BK5=1),1+('Control Room'!$C$16-1)*EXP(-0.5*(($A628-'Control Room'!$A$16-('Control Room'!$B$16-1)/2)/MAX(0.5,'Control Room'!$B$16/4))^2),1)</x:f>
        <x:v>1</x:v>
      </x:c>
      <x:c r="G628" s="9" t="n">
        <x:f>MOD(H627*16807,2147483647)</x:f>
        <x:v>1105459507</x:v>
      </x:c>
      <x:c r="H628" s="9" t="n">
        <x:f>MOD(G628*16807,2147483647)</x:f>
        <x:v>1576903952</x:v>
      </x:c>
      <x:c r="I628" s="17" t="n">
        <x:f>IF('Control Room'!$B$5="Normal",'Control Room'!$B$7+'Control Room'!$D$7*SQRT(-2*LN(MAX(0.000000000001,G628/2147483647)))*COS(2*PI()*H628/2147483647),'Control Room'!$B$8+('Control Room'!$D$8-'Control Room'!$B$8)*G628/2147483647)</x:f>
        <x:v>989.7872667935983</x:v>
      </x:c>
      <x:c r="J628" s="17" t="n">
        <x:f>IF('Control Room'!$B$5="Normal",'Control Room'!$B$7,('Control Room'!$B$8+'Control Room'!$D$8)/2)+'Control Room'!$B$9*(J627-IF('Control Room'!$B$5="Normal",'Control Room'!$B$7,('Control Room'!$B$8+'Control Room'!$D$8)/2))+SQRT(1-'Control Room'!$B$9^2)*(I628-IF('Control Room'!$B$5="Normal",'Control Room'!$B$7,('Control Room'!$B$8+'Control Room'!$D$8)/2))</x:f>
        <x:v>971.5309305304133</x:v>
      </x:c>
      <x:c r="K628" s="17" t="n">
        <x:f>IF(AND($A628&gt;='Control Room'!$A$13,$A628&lt;'Control Room'!$A$13+'Control Room'!$B$13,'Process'!BL2=1),1+('Control Room'!$C$13-1)*EXP(-0.5*(($A628-'Control Room'!$A$13-('Control Room'!$B$13-1)/2)/MAX(0.5,'Control Room'!$B$13/4))^2),1)*IF(AND($A628&gt;='Control Room'!$A$14,$A628&lt;'Control Room'!$A$14+'Control Room'!$B$14,'Process'!BL3=1),1+('Control Room'!$C$14-1)*EXP(-0.5*(($A628-'Control Room'!$A$14-('Control Room'!$B$14-1)/2)/MAX(0.5,'Control Room'!$B$14/4))^2),1)*IF(AND($A628&gt;='Control Room'!$A$15,$A628&lt;'Control Room'!$A$15+'Control Room'!$B$15,'Process'!BL4=1),1+('Control Room'!$C$15-1)*EXP(-0.5*(($A628-'Control Room'!$A$15-('Control Room'!$B$15-1)/2)/MAX(0.5,'Control Room'!$B$15/4))^2),1)*IF(AND($A628&gt;='Control Room'!$A$16,$A628&lt;'Control Room'!$A$16+'Control Room'!$B$16,'Process'!BL5=1),1+('Control Room'!$C$16-1)*EXP(-0.5*(($A628-'Control Room'!$A$16-('Control Room'!$B$16-1)/2)/MAX(0.5,'Control Room'!$B$16/4))^2),1)</x:f>
        <x:v>1</x:v>
      </x:c>
      <x:c r="L628" s="9" t="n">
        <x:f>MOD(M627*16807,2147483647)</x:f>
        <x:v>333209172</x:v>
      </x:c>
      <x:c r="M628" s="9" t="n">
        <x:f>MOD(L628*16807,2147483647)</x:f>
        <x:v>1756686075</x:v>
      </x:c>
      <x:c r="N628" s="17" t="n">
        <x:f>IF('Control Room'!$B$5="Normal",'Control Room'!$B$7+'Control Room'!$D$7*SQRT(-2*LN(MAX(0.000000000001,L628/2147483647)))*COS(2*PI()*M628/2147483647),'Control Room'!$B$8+('Control Room'!$D$8-'Control Room'!$B$8)*L628/2147483647)</x:f>
        <x:v>1072.013670187776</x:v>
      </x:c>
      <x:c r="O628" s="17" t="n">
        <x:f>IF('Control Room'!$B$5="Normal",'Control Room'!$B$7,('Control Room'!$B$8+'Control Room'!$D$8)/2)+'Control Room'!$B$9*(O627-IF('Control Room'!$B$5="Normal",'Control Room'!$B$7,('Control Room'!$B$8+'Control Room'!$D$8)/2))+SQRT(1-'Control Room'!$B$9^2)*(N628-IF('Control Room'!$B$5="Normal",'Control Room'!$B$7,('Control Room'!$B$8+'Control Room'!$D$8)/2))</x:f>
        <x:v>1017.2428685181972</x:v>
      </x:c>
      <x:c r="P628" s="17" t="n">
        <x:f>IF(AND($A628&gt;='Control Room'!$A$13,$A628&lt;'Control Room'!$A$13+'Control Room'!$B$13,'Process'!BM2=1),1+('Control Room'!$C$13-1)*EXP(-0.5*(($A628-'Control Room'!$A$13-('Control Room'!$B$13-1)/2)/MAX(0.5,'Control Room'!$B$13/4))^2),1)*IF(AND($A628&gt;='Control Room'!$A$14,$A628&lt;'Control Room'!$A$14+'Control Room'!$B$14,'Process'!BM3=1),1+('Control Room'!$C$14-1)*EXP(-0.5*(($A628-'Control Room'!$A$14-('Control Room'!$B$14-1)/2)/MAX(0.5,'Control Room'!$B$14/4))^2),1)*IF(AND($A628&gt;='Control Room'!$A$15,$A628&lt;'Control Room'!$A$15+'Control Room'!$B$15,'Process'!BM4=1),1+('Control Room'!$C$15-1)*EXP(-0.5*(($A628-'Control Room'!$A$15-('Control Room'!$B$15-1)/2)/MAX(0.5,'Control Room'!$B$15/4))^2),1)*IF(AND($A628&gt;='Control Room'!$A$16,$A628&lt;'Control Room'!$A$16+'Control Room'!$B$16,'Process'!BM5=1),1+('Control Room'!$C$16-1)*EXP(-0.5*(($A628-'Control Room'!$A$16-('Control Room'!$B$16-1)/2)/MAX(0.5,'Control Room'!$B$16/4))^2),1)</x:f>
        <x:v>1</x:v>
      </x:c>
      <x:c r="Q628" s="9" t="n">
        <x:f>MOD(R627*16807,2147483647)</x:f>
        <x:v>1708442484</x:v>
      </x:c>
      <x:c r="R628" s="9" t="n">
        <x:f>MOD(Q628*16807,2147483647)</x:f>
        <x:v>1936468198</x:v>
      </x:c>
      <x:c r="S628" s="17" t="n">
        <x:f>IF('Control Room'!$B$5="Normal",'Control Room'!$B$7+'Control Room'!$D$7*SQRT(-2*LN(MAX(0.000000000001,Q628/2147483647)))*COS(2*PI()*R628/2147483647),'Control Room'!$B$8+('Control Room'!$D$8-'Control Room'!$B$8)*Q628/2147483647)</x:f>
        <x:v>1049.6328235548</x:v>
      </x:c>
      <x:c r="T628" s="17" t="n">
        <x:f>IF('Control Room'!$B$5="Normal",'Control Room'!$B$7,('Control Room'!$B$8+'Control Room'!$D$8)/2)+'Control Room'!$B$9*(T627-IF('Control Room'!$B$5="Normal",'Control Room'!$B$7,('Control Room'!$B$8+'Control Room'!$D$8)/2))+SQRT(1-'Control Room'!$B$9^2)*(S628-IF('Control Room'!$B$5="Normal",'Control Room'!$B$7,('Control Room'!$B$8+'Control Room'!$D$8)/2))</x:f>
        <x:v>1050.276448269069</x:v>
      </x:c>
      <x:c r="U628" s="17" t="n">
        <x:f>IF(AND($A628&gt;='Control Room'!$A$13,$A628&lt;'Control Room'!$A$13+'Control Room'!$B$13,'Process'!BN2=1),1+('Control Room'!$C$13-1)*EXP(-0.5*(($A628-'Control Room'!$A$13-('Control Room'!$B$13-1)/2)/MAX(0.5,'Control Room'!$B$13/4))^2),1)*IF(AND($A628&gt;='Control Room'!$A$14,$A628&lt;'Control Room'!$A$14+'Control Room'!$B$14,'Process'!BN3=1),1+('Control Room'!$C$14-1)*EXP(-0.5*(($A628-'Control Room'!$A$14-('Control Room'!$B$14-1)/2)/MAX(0.5,'Control Room'!$B$14/4))^2),1)*IF(AND($A628&gt;='Control Room'!$A$15,$A628&lt;'Control Room'!$A$15+'Control Room'!$B$15,'Process'!BN4=1),1+('Control Room'!$C$15-1)*EXP(-0.5*(($A628-'Control Room'!$A$15-('Control Room'!$B$15-1)/2)/MAX(0.5,'Control Room'!$B$15/4))^2),1)*IF(AND($A628&gt;='Control Room'!$A$16,$A628&lt;'Control Room'!$A$16+'Control Room'!$B$16,'Process'!BN5=1),1+('Control Room'!$C$16-1)*EXP(-0.5*(($A628-'Control Room'!$A$16-('Control Room'!$B$16-1)/2)/MAX(0.5,'Control Room'!$B$16/4))^2),1)</x:f>
        <x:v>1</x:v>
      </x:c>
      <x:c r="V628" s="9" t="n">
        <x:f>MOD(W627*16807,2147483647)</x:f>
        <x:v>936192149</x:v>
      </x:c>
      <x:c r="W628" s="9" t="n">
        <x:f>MOD(V628*16807,2147483647)</x:f>
        <x:v>2116250321</x:v>
      </x:c>
      <x:c r="X628" s="17" t="n">
        <x:f>IF('Control Room'!$B$5="Normal",'Control Room'!$B$7+'Control Room'!$D$7*SQRT(-2*LN(MAX(0.000000000001,V628/2147483647)))*COS(2*PI()*W628/2147483647),'Control Room'!$B$8+('Control Room'!$D$8-'Control Room'!$B$8)*V628/2147483647)</x:f>
        <x:v>1115.4891379616188</x:v>
      </x:c>
      <x:c r="Y628" s="17" t="n">
        <x:f>IF('Control Room'!$B$5="Normal",'Control Room'!$B$7,('Control Room'!$B$8+'Control Room'!$D$8)/2)+'Control Room'!$B$9*(Y627-IF('Control Room'!$B$5="Normal",'Control Room'!$B$7,('Control Room'!$B$8+'Control Room'!$D$8)/2))+SQRT(1-'Control Room'!$B$9^2)*(X628-IF('Control Room'!$B$5="Normal",'Control Room'!$B$7,('Control Room'!$B$8+'Control Room'!$D$8)/2))</x:f>
        <x:v>1092.041242701784</x:v>
      </x:c>
      <x:c r="Z628" s="17" t="n">
        <x:f>IF(AND($A628&gt;='Control Room'!$A$13,$A628&lt;'Control Room'!$A$13+'Control Room'!$B$13,'Process'!BO2=1),1+('Control Room'!$C$13-1)*EXP(-0.5*(($A628-'Control Room'!$A$13-('Control Room'!$B$13-1)/2)/MAX(0.5,'Control Room'!$B$13/4))^2),1)*IF(AND($A628&gt;='Control Room'!$A$14,$A628&lt;'Control Room'!$A$14+'Control Room'!$B$14,'Process'!BO3=1),1+('Control Room'!$C$14-1)*EXP(-0.5*(($A628-'Control Room'!$A$14-('Control Room'!$B$14-1)/2)/MAX(0.5,'Control Room'!$B$14/4))^2),1)*IF(AND($A628&gt;='Control Room'!$A$15,$A628&lt;'Control Room'!$A$15+'Control Room'!$B$15,'Process'!BO4=1),1+('Control Room'!$C$15-1)*EXP(-0.5*(($A628-'Control Room'!$A$15-('Control Room'!$B$15-1)/2)/MAX(0.5,'Control Room'!$B$15/4))^2),1)*IF(AND($A628&gt;='Control Room'!$A$16,$A628&lt;'Control Room'!$A$16+'Control Room'!$B$16,'Process'!BO5=1),1+('Control Room'!$C$16-1)*EXP(-0.5*(($A628-'Control Room'!$A$16-('Control Room'!$B$16-1)/2)/MAX(0.5,'Control Room'!$B$16/4))^2),1)</x:f>
        <x:v>1</x:v>
      </x:c>
      <x:c r="AA628" s="9" t="n">
        <x:f>MOD(AB627*16807,2147483647)</x:f>
        <x:v>163941814</x:v>
      </x:c>
      <x:c r="AB628" s="9" t="n">
        <x:f>MOD(AA628*16807,2147483647)</x:f>
        <x:v>148548797</x:v>
      </x:c>
      <x:c r="AC628" s="17" t="n">
        <x:f>IF('Control Room'!$B$5="Normal",'Control Room'!$B$7+'Control Room'!$D$7*SQRT(-2*LN(MAX(0.000000000001,AA628/2147483647)))*COS(2*PI()*AB628/2147483647),'Control Room'!$B$8+('Control Room'!$D$8-'Control Room'!$B$8)*AA628/2147483647)</x:f>
        <x:v>1185.1647941948802</x:v>
      </x:c>
      <x:c r="AD628" s="17" t="n">
        <x:f>IF('Control Room'!$B$5="Normal",'Control Room'!$B$7,('Control Room'!$B$8+'Control Room'!$D$8)/2)+'Control Room'!$B$9*(AD627-IF('Control Room'!$B$5="Normal",'Control Room'!$B$7,('Control Room'!$B$8+'Control Room'!$D$8)/2))+SQRT(1-'Control Room'!$B$9^2)*(AC628-IF('Control Room'!$B$5="Normal",'Control Room'!$B$7,('Control Room'!$B$8+'Control Room'!$D$8)/2))</x:f>
        <x:v>1178.3621642787455</x:v>
      </x:c>
      <x:c r="AE628" s="17" t="n">
        <x:f>IF(AND($A628&gt;='Control Room'!$A$13,$A628&lt;'Control Room'!$A$13+'Control Room'!$B$13,'Process'!BP2=1),1+('Control Room'!$C$13-1)*EXP(-0.5*(($A628-'Control Room'!$A$13-('Control Room'!$B$13-1)/2)/MAX(0.5,'Control Room'!$B$13/4))^2),1)*IF(AND($A628&gt;='Control Room'!$A$14,$A628&lt;'Control Room'!$A$14+'Control Room'!$B$14,'Process'!BP3=1),1+('Control Room'!$C$14-1)*EXP(-0.5*(($A628-'Control Room'!$A$14-('Control Room'!$B$14-1)/2)/MAX(0.5,'Control Room'!$B$14/4))^2),1)*IF(AND($A628&gt;='Control Room'!$A$15,$A628&lt;'Control Room'!$A$15+'Control Room'!$B$15,'Process'!BP4=1),1+('Control Room'!$C$15-1)*EXP(-0.5*(($A628-'Control Room'!$A$15-('Control Room'!$B$15-1)/2)/MAX(0.5,'Control Room'!$B$15/4))^2),1)*IF(AND($A628&gt;='Control Room'!$A$16,$A628&lt;'Control Room'!$A$16+'Control Room'!$B$16,'Process'!BP5=1),1+('Control Room'!$C$16-1)*EXP(-0.5*(($A628-'Control Room'!$A$16-('Control Room'!$B$16-1)/2)/MAX(0.5,'Control Room'!$B$16/4))^2),1)</x:f>
        <x:v>1</x:v>
      </x:c>
      <x:c r="AF628" s="9" t="n">
        <x:f>MOD(AG627*16807,2147483647)</x:f>
        <x:v>1539175126</x:v>
      </x:c>
      <x:c r="AG628" s="9" t="n">
        <x:f>MOD(AF628*16807,2147483647)</x:f>
        <x:v>328330920</x:v>
      </x:c>
      <x:c r="AH628" s="17" t="n">
        <x:f>IF('Control Room'!$B$5="Normal",'Control Room'!$B$7+'Control Room'!$D$7*SQRT(-2*LN(MAX(0.000000000001,AF628/2147483647)))*COS(2*PI()*AG628/2147483647),'Control Room'!$B$8+('Control Room'!$D$8-'Control Room'!$B$8)*AF628/2147483647)</x:f>
        <x:v>1042.0883636613205</x:v>
      </x:c>
      <x:c r="AI628" s="17" t="n">
        <x:f>IF('Control Room'!$B$5="Normal",'Control Room'!$B$7,('Control Room'!$B$8+'Control Room'!$D$8)/2)+'Control Room'!$B$9*(AI627-IF('Control Room'!$B$5="Normal",'Control Room'!$B$7,('Control Room'!$B$8+'Control Room'!$D$8)/2))+SQRT(1-'Control Room'!$B$9^2)*(AH628-IF('Control Room'!$B$5="Normal",'Control Room'!$B$7,('Control Room'!$B$8+'Control Room'!$D$8)/2))</x:f>
        <x:v>1009.517667478666</x:v>
      </x:c>
      <x:c r="AJ628" s="17" t="n">
        <x:f>IF(AND($A628&gt;='Control Room'!$A$13,$A628&lt;'Control Room'!$A$13+'Control Room'!$B$13,'Process'!BQ2=1),1+('Control Room'!$C$13-1)*EXP(-0.5*(($A628-'Control Room'!$A$13-('Control Room'!$B$13-1)/2)/MAX(0.5,'Control Room'!$B$13/4))^2),1)*IF(AND($A628&gt;='Control Room'!$A$14,$A628&lt;'Control Room'!$A$14+'Control Room'!$B$14,'Process'!BQ3=1),1+('Control Room'!$C$14-1)*EXP(-0.5*(($A628-'Control Room'!$A$14-('Control Room'!$B$14-1)/2)/MAX(0.5,'Control Room'!$B$14/4))^2),1)*IF(AND($A628&gt;='Control Room'!$A$15,$A628&lt;'Control Room'!$A$15+'Control Room'!$B$15,'Process'!BQ4=1),1+('Control Room'!$C$15-1)*EXP(-0.5*(($A628-'Control Room'!$A$15-('Control Room'!$B$15-1)/2)/MAX(0.5,'Control Room'!$B$15/4))^2),1)*IF(AND($A628&gt;='Control Room'!$A$16,$A628&lt;'Control Room'!$A$16+'Control Room'!$B$16,'Process'!BQ5=1),1+('Control Room'!$C$16-1)*EXP(-0.5*(($A628-'Control Room'!$A$16-('Control Room'!$B$16-1)/2)/MAX(0.5,'Control Room'!$B$16/4))^2),1)</x:f>
        <x:v>1</x:v>
      </x:c>
      <x:c r="AK628" s="9" t="n">
        <x:f>MOD(AL627*16807,2147483647)</x:f>
        <x:v>766924791</x:v>
      </x:c>
      <x:c r="AL628" s="9" t="n">
        <x:f>MOD(AK628*16807,2147483647)</x:f>
        <x:v>508113043</x:v>
      </x:c>
      <x:c r="AM628" s="17" t="n">
        <x:f>IF('Control Room'!$B$5="Normal",'Control Room'!$B$7+'Control Room'!$D$7*SQRT(-2*LN(MAX(0.000000000001,AK628/2147483647)))*COS(2*PI()*AL628/2147483647),'Control Room'!$B$8+('Control Room'!$D$8-'Control Room'!$B$8)*AK628/2147483647)</x:f>
        <x:v>1010.8542359718491</x:v>
      </x:c>
      <x:c r="AN628" s="17" t="n">
        <x:f>IF('Control Room'!$B$5="Normal",'Control Room'!$B$7,('Control Room'!$B$8+'Control Room'!$D$8)/2)+'Control Room'!$B$9*(AN627-IF('Control Room'!$B$5="Normal",'Control Room'!$B$7,('Control Room'!$B$8+'Control Room'!$D$8)/2))+SQRT(1-'Control Room'!$B$9^2)*(AM628-IF('Control Room'!$B$5="Normal",'Control Room'!$B$7,('Control Room'!$B$8+'Control Room'!$D$8)/2))</x:f>
        <x:v>968.124644054781</x:v>
      </x:c>
      <x:c r="AO628" s="17" t="n">
        <x:f>IF(AND($A628&gt;='Control Room'!$A$13,$A628&lt;'Control Room'!$A$13+'Control Room'!$B$13,'Process'!BR2=1),1+('Control Room'!$C$13-1)*EXP(-0.5*(($A628-'Control Room'!$A$13-('Control Room'!$B$13-1)/2)/MAX(0.5,'Control Room'!$B$13/4))^2),1)*IF(AND($A628&gt;='Control Room'!$A$14,$A628&lt;'Control Room'!$A$14+'Control Room'!$B$14,'Process'!BR3=1),1+('Control Room'!$C$14-1)*EXP(-0.5*(($A628-'Control Room'!$A$14-('Control Room'!$B$14-1)/2)/MAX(0.5,'Control Room'!$B$14/4))^2),1)*IF(AND($A628&gt;='Control Room'!$A$15,$A628&lt;'Control Room'!$A$15+'Control Room'!$B$15,'Process'!BR4=1),1+('Control Room'!$C$15-1)*EXP(-0.5*(($A628-'Control Room'!$A$15-('Control Room'!$B$15-1)/2)/MAX(0.5,'Control Room'!$B$15/4))^2),1)*IF(AND($A628&gt;='Control Room'!$A$16,$A628&lt;'Control Room'!$A$16+'Control Room'!$B$16,'Process'!BR5=1),1+('Control Room'!$C$16-1)*EXP(-0.5*(($A628-'Control Room'!$A$16-('Control Room'!$B$16-1)/2)/MAX(0.5,'Control Room'!$B$16/4))^2),1)</x:f>
        <x:v>1</x:v>
      </x:c>
      <x:c r="AP628" s="9" t="n">
        <x:f>MOD(AQ627*16807,2147483647)</x:f>
        <x:v>2142158103</x:v>
      </x:c>
      <x:c r="AQ628" s="9" t="n">
        <x:f>MOD(AP628*16807,2147483647)</x:f>
        <x:v>687895166</x:v>
      </x:c>
      <x:c r="AR628" s="17" t="n">
        <x:f>IF('Control Room'!$B$5="Normal",'Control Room'!$B$7+'Control Room'!$D$7*SQRT(-2*LN(MAX(0.000000000001,AP628/2147483647)))*COS(2*PI()*AQ628/2147483647),'Control Room'!$B$8+('Control Room'!$D$8-'Control Room'!$B$8)*AP628/2147483647)</x:f>
        <x:v>997.2878424460911</x:v>
      </x:c>
      <x:c r="AS628" s="17" t="n">
        <x:f>IF('Control Room'!$B$5="Normal",'Control Room'!$B$7,('Control Room'!$B$8+'Control Room'!$D$8)/2)+'Control Room'!$B$9*(AS627-IF('Control Room'!$B$5="Normal",'Control Room'!$B$7,('Control Room'!$B$8+'Control Room'!$D$8)/2))+SQRT(1-'Control Room'!$B$9^2)*(AR628-IF('Control Room'!$B$5="Normal",'Control Room'!$B$7,('Control Room'!$B$8+'Control Room'!$D$8)/2))</x:f>
        <x:v>925.5094317544897</x:v>
      </x:c>
      <x:c r="AT628" s="17" t="n">
        <x:f>IF(AND($A628&gt;='Control Room'!$A$13,$A628&lt;'Control Room'!$A$13+'Control Room'!$B$13,'Process'!BS2=1),1+('Control Room'!$C$13-1)*EXP(-0.5*(($A628-'Control Room'!$A$13-('Control Room'!$B$13-1)/2)/MAX(0.5,'Control Room'!$B$13/4))^2),1)*IF(AND($A628&gt;='Control Room'!$A$14,$A628&lt;'Control Room'!$A$14+'Control Room'!$B$14,'Process'!BS3=1),1+('Control Room'!$C$14-1)*EXP(-0.5*(($A628-'Control Room'!$A$14-('Control Room'!$B$14-1)/2)/MAX(0.5,'Control Room'!$B$14/4))^2),1)*IF(AND($A628&gt;='Control Room'!$A$15,$A628&lt;'Control Room'!$A$15+'Control Room'!$B$15,'Process'!BS4=1),1+('Control Room'!$C$15-1)*EXP(-0.5*(($A628-'Control Room'!$A$15-('Control Room'!$B$15-1)/2)/MAX(0.5,'Control Room'!$B$15/4))^2),1)*IF(AND($A628&gt;='Control Room'!$A$16,$A628&lt;'Control Room'!$A$16+'Control Room'!$B$16,'Process'!BS5=1),1+('Control Room'!$C$16-1)*EXP(-0.5*(($A628-'Control Room'!$A$16-('Control Room'!$B$16-1)/2)/MAX(0.5,'Control Room'!$B$16/4))^2),1)</x:f>
        <x:v>1</x:v>
      </x:c>
      <x:c r="AU628" s="9" t="n">
        <x:f>MOD(AV627*16807,2147483647)</x:f>
        <x:v>1369907768</x:v>
      </x:c>
      <x:c r="AV628" s="9" t="n">
        <x:f>MOD(AU628*16807,2147483647)</x:f>
        <x:v>867677289</x:v>
      </x:c>
      <x:c r="AW628" s="17" t="n">
        <x:f>IF('Control Room'!$B$5="Normal",'Control Room'!$B$7+'Control Room'!$D$7*SQRT(-2*LN(MAX(0.000000000001,AU628/2147483647)))*COS(2*PI()*AV628/2147483647),'Control Room'!$B$8+('Control Room'!$D$8-'Control Room'!$B$8)*AU628/2147483647)</x:f>
        <x:v>929.7071619220561</x:v>
      </x:c>
      <x:c r="AX628" s="17" t="n">
        <x:f>IF('Control Room'!$B$5="Normal",'Control Room'!$B$7,('Control Room'!$B$8+'Control Room'!$D$8)/2)+'Control Room'!$B$9*(AX627-IF('Control Room'!$B$5="Normal",'Control Room'!$B$7,('Control Room'!$B$8+'Control Room'!$D$8)/2))+SQRT(1-'Control Room'!$B$9^2)*(AW628-IF('Control Room'!$B$5="Normal",'Control Room'!$B$7,('Control Room'!$B$8+'Control Room'!$D$8)/2))</x:f>
        <x:v>939.1476775183066</x:v>
      </x:c>
      <x:c r="AY628" s="17" t="n">
        <x:f>IF(AND($A628&gt;='Control Room'!$A$13,$A628&lt;'Control Room'!$A$13+'Control Room'!$B$13,'Process'!BT2=1),1+('Control Room'!$C$13-1)*EXP(-0.5*(($A628-'Control Room'!$A$13-('Control Room'!$B$13-1)/2)/MAX(0.5,'Control Room'!$B$13/4))^2),1)*IF(AND($A628&gt;='Control Room'!$A$14,$A628&lt;'Control Room'!$A$14+'Control Room'!$B$14,'Process'!BT3=1),1+('Control Room'!$C$14-1)*EXP(-0.5*(($A628-'Control Room'!$A$14-('Control Room'!$B$14-1)/2)/MAX(0.5,'Control Room'!$B$14/4))^2),1)*IF(AND($A628&gt;='Control Room'!$A$15,$A628&lt;'Control Room'!$A$15+'Control Room'!$B$15,'Process'!BT4=1),1+('Control Room'!$C$15-1)*EXP(-0.5*(($A628-'Control Room'!$A$15-('Control Room'!$B$15-1)/2)/MAX(0.5,'Control Room'!$B$15/4))^2),1)*IF(AND($A628&gt;='Control Room'!$A$16,$A628&lt;'Control Room'!$A$16+'Control Room'!$B$16,'Process'!BT5=1),1+('Control Room'!$C$16-1)*EXP(-0.5*(($A628-'Control Room'!$A$16-('Control Room'!$B$16-1)/2)/MAX(0.5,'Control Room'!$B$16/4))^2),1)</x:f>
        <x:v>1</x:v>
      </x:c>
      <x:c r="AZ628" s="9" t="n">
        <x:f>MOD(BA627*16807,2147483647)</x:f>
        <x:v>597657433</x:v>
      </x:c>
      <x:c r="BA628" s="9" t="n">
        <x:f>MOD(AZ628*16807,2147483647)</x:f>
        <x:v>1047459412</x:v>
      </x:c>
      <x:c r="BB628" s="17" t="n">
        <x:f>IF('Control Room'!$B$5="Normal",'Control Room'!$B$7+'Control Room'!$D$7*SQRT(-2*LN(MAX(0.000000000001,AZ628/2147483647)))*COS(2*PI()*BA628/2147483647),'Control Room'!$B$8+('Control Room'!$D$8-'Control Room'!$B$8)*AZ628/2147483647)</x:f>
        <x:v>856.4797184547277</x:v>
      </x:c>
      <x:c r="BC628" s="17" t="n">
        <x:f>IF('Control Room'!$B$5="Normal",'Control Room'!$B$7,('Control Room'!$B$8+'Control Room'!$D$8)/2)+'Control Room'!$B$9*(BC627-IF('Control Room'!$B$5="Normal",'Control Room'!$B$7,('Control Room'!$B$8+'Control Room'!$D$8)/2))+SQRT(1-'Control Room'!$B$9^2)*(BB628-IF('Control Room'!$B$5="Normal",'Control Room'!$B$7,('Control Room'!$B$8+'Control Room'!$D$8)/2))</x:f>
        <x:v>987.6017966005959</x:v>
      </x:c>
      <x:c r="BD628" s="17" t="n">
        <x:f>IF(AND($A628&gt;='Control Room'!$A$13,$A628&lt;'Control Room'!$A$13+'Control Room'!$B$13,'Process'!BU2=1),1+('Control Room'!$C$13-1)*EXP(-0.5*(($A628-'Control Room'!$A$13-('Control Room'!$B$13-1)/2)/MAX(0.5,'Control Room'!$B$13/4))^2),1)*IF(AND($A628&gt;='Control Room'!$A$14,$A628&lt;'Control Room'!$A$14+'Control Room'!$B$14,'Process'!BU3=1),1+('Control Room'!$C$14-1)*EXP(-0.5*(($A628-'Control Room'!$A$14-('Control Room'!$B$14-1)/2)/MAX(0.5,'Control Room'!$B$14/4))^2),1)*IF(AND($A628&gt;='Control Room'!$A$15,$A628&lt;'Control Room'!$A$15+'Control Room'!$B$15,'Process'!BU4=1),1+('Control Room'!$C$15-1)*EXP(-0.5*(($A628-'Control Room'!$A$15-('Control Room'!$B$15-1)/2)/MAX(0.5,'Control Room'!$B$15/4))^2),1)*IF(AND($A628&gt;='Control Room'!$A$16,$A628&lt;'Control Room'!$A$16+'Control Room'!$B$16,'Process'!BU5=1),1+('Control Room'!$C$16-1)*EXP(-0.5*(($A628-'Control Room'!$A$16-('Control Room'!$B$16-1)/2)/MAX(0.5,'Control Room'!$B$16/4))^2),1)</x:f>
        <x:v>1</x:v>
      </x:c>
      <x:c r="BE628" s="9" t="n">
        <x:f>MOD(BF627*16807,2147483647)</x:f>
        <x:v>1972890745</x:v>
      </x:c>
      <x:c r="BF628" s="9" t="n">
        <x:f>MOD(BE628*16807,2147483647)</x:f>
        <x:v>1227241535</x:v>
      </x:c>
      <x:c r="BG628" s="17" t="n">
        <x:f>IF('Control Room'!$B$5="Normal",'Control Room'!$B$7+'Control Room'!$D$7*SQRT(-2*LN(MAX(0.000000000001,BE628/2147483647)))*COS(2*PI()*BF628/2147483647),'Control Room'!$B$8+('Control Room'!$D$8-'Control Room'!$B$8)*BE628/2147483647)</x:f>
        <x:v>966.6119407336562</x:v>
      </x:c>
      <x:c r="BH628" s="17" t="n">
        <x:f>IF('Control Room'!$B$5="Normal",'Control Room'!$B$7,('Control Room'!$B$8+'Control Room'!$D$8)/2)+'Control Room'!$B$9*(BH627-IF('Control Room'!$B$5="Normal",'Control Room'!$B$7,('Control Room'!$B$8+'Control Room'!$D$8)/2))+SQRT(1-'Control Room'!$B$9^2)*(BG628-IF('Control Room'!$B$5="Normal",'Control Room'!$B$7,('Control Room'!$B$8+'Control Room'!$D$8)/2))</x:f>
        <x:v>942.0934639907616</x:v>
      </x:c>
      <x:c r="BI628" s="17" t="n">
        <x:f>IF(AND($A628&gt;='Control Room'!$A$13,$A628&lt;'Control Room'!$A$13+'Control Room'!$B$13,'Process'!BV2=1),1+('Control Room'!$C$13-1)*EXP(-0.5*(($A628-'Control Room'!$A$13-('Control Room'!$B$13-1)/2)/MAX(0.5,'Control Room'!$B$13/4))^2),1)*IF(AND($A628&gt;='Control Room'!$A$14,$A628&lt;'Control Room'!$A$14+'Control Room'!$B$14,'Process'!BV3=1),1+('Control Room'!$C$14-1)*EXP(-0.5*(($A628-'Control Room'!$A$14-('Control Room'!$B$14-1)/2)/MAX(0.5,'Control Room'!$B$14/4))^2),1)*IF(AND($A628&gt;='Control Room'!$A$15,$A628&lt;'Control Room'!$A$15+'Control Room'!$B$15,'Process'!BV4=1),1+('Control Room'!$C$15-1)*EXP(-0.5*(($A628-'Control Room'!$A$15-('Control Room'!$B$15-1)/2)/MAX(0.5,'Control Room'!$B$15/4))^2),1)*IF(AND($A628&gt;='Control Room'!$A$16,$A628&lt;'Control Room'!$A$16+'Control Room'!$B$16,'Process'!BV5=1),1+('Control Room'!$C$16-1)*EXP(-0.5*(($A628-'Control Room'!$A$16-('Control Room'!$B$16-1)/2)/MAX(0.5,'Control Room'!$B$16/4))^2),1)</x:f>
        <x:v>1</x:v>
      </x:c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Z628" t="str">
        <x:f>IF('Data'!A628="","",TEXT('Data'!A628,"mm-dd"))</x:f>
      </x:c>
    </x:row>
    <x:row r="629" ht="21" customHeight="1">
      <x:c r="A629" s="15" t="n">
        <x:f>'Control Room'!$B$1+627</x:f>
        <x:v>73618</x:v>
      </x:c>
      <x:c r="B629" s="9" t="n">
        <x:f>MOD(C628*16807,2147483647)</x:f>
        <x:v>840383705</x:v>
      </x:c>
      <x:c r="C629" s="9" t="n">
        <x:f>MOD(B629*16807,2147483647)</x:f>
        <x:v>328983616</x:v>
      </x:c>
      <x:c r="D629" s="17" t="n">
        <x:f>IF('Control Room'!$B$5="Normal",'Control Room'!$B$7+'Control Room'!$D$7*SQRT(-2*LN(MAX(0.000000000001,B629/2147483647)))*COS(2*PI()*C629/2147483647),'Control Room'!$B$8+('Control Room'!$D$8-'Control Room'!$B$8)*B629/2147483647)</x:f>
        <x:v>1070.4473690692682</x:v>
      </x:c>
      <x:c r="E629" s="17" t="n">
        <x:f>IF('Control Room'!$B$5="Normal",'Control Room'!$B$7,('Control Room'!$B$8+'Control Room'!$D$8)/2)+'Control Room'!$B$9*(E628-IF('Control Room'!$B$5="Normal",'Control Room'!$B$7,('Control Room'!$B$8+'Control Room'!$D$8)/2))+SQRT(1-'Control Room'!$B$9^2)*(D629-IF('Control Room'!$B$5="Normal",'Control Room'!$B$7,('Control Room'!$B$8+'Control Room'!$D$8)/2))</x:f>
        <x:v>1079.6076104608428</x:v>
      </x:c>
      <x:c r="F629" s="17" t="n">
        <x:f>IF(AND($A629&gt;='Control Room'!$A$13,$A629&lt;'Control Room'!$A$13+'Control Room'!$B$13,'Process'!BK2=1),1+('Control Room'!$C$13-1)*EXP(-0.5*(($A629-'Control Room'!$A$13-('Control Room'!$B$13-1)/2)/MAX(0.5,'Control Room'!$B$13/4))^2),1)*IF(AND($A629&gt;='Control Room'!$A$14,$A629&lt;'Control Room'!$A$14+'Control Room'!$B$14,'Process'!BK3=1),1+('Control Room'!$C$14-1)*EXP(-0.5*(($A629-'Control Room'!$A$14-('Control Room'!$B$14-1)/2)/MAX(0.5,'Control Room'!$B$14/4))^2),1)*IF(AND($A629&gt;='Control Room'!$A$15,$A629&lt;'Control Room'!$A$15+'Control Room'!$B$15,'Process'!BK4=1),1+('Control Room'!$C$15-1)*EXP(-0.5*(($A629-'Control Room'!$A$15-('Control Room'!$B$15-1)/2)/MAX(0.5,'Control Room'!$B$15/4))^2),1)*IF(AND($A629&gt;='Control Room'!$A$16,$A629&lt;'Control Room'!$A$16+'Control Room'!$B$16,'Process'!BK5=1),1+('Control Room'!$C$16-1)*EXP(-0.5*(($A629-'Control Room'!$A$16-('Control Room'!$B$16-1)/2)/MAX(0.5,'Control Room'!$B$16/4))^2),1)</x:f>
        <x:v>1</x:v>
      </x:c>
      <x:c r="G629" s="9" t="n">
        <x:f>MOD(H628*16807,2147483647)</x:f>
        <x:v>929033637</x:v>
      </x:c>
      <x:c r="H629" s="9" t="n">
        <x:f>MOD(G629*16807,2147483647)</x:f>
        <x:v>2062223369</x:v>
      </x:c>
      <x:c r="I629" s="17" t="n">
        <x:f>IF('Control Room'!$B$5="Normal",'Control Room'!$B$7+'Control Room'!$D$7*SQRT(-2*LN(MAX(0.000000000001,G629/2147483647)))*COS(2*PI()*H629/2147483647),'Control Room'!$B$8+('Control Room'!$D$8-'Control Room'!$B$8)*G629/2147483647)</x:f>
        <x:v>1112.9015864585888</x:v>
      </x:c>
      <x:c r="J629" s="17" t="n">
        <x:f>IF('Control Room'!$B$5="Normal",'Control Room'!$B$7,('Control Room'!$B$8+'Control Room'!$D$8)/2)+'Control Room'!$B$9*(J628-IF('Control Room'!$B$5="Normal",'Control Room'!$B$7,('Control Room'!$B$8+'Control Room'!$D$8)/2))+SQRT(1-'Control Room'!$B$9^2)*(I629-IF('Control Room'!$B$5="Normal",'Control Room'!$B$7,('Control Room'!$B$8+'Control Room'!$D$8)/2))</x:f>
        <x:v>1048.4456257047905</x:v>
      </x:c>
      <x:c r="K629" s="17" t="n">
        <x:f>IF(AND($A629&gt;='Control Room'!$A$13,$A629&lt;'Control Room'!$A$13+'Control Room'!$B$13,'Process'!BL2=1),1+('Control Room'!$C$13-1)*EXP(-0.5*(($A629-'Control Room'!$A$13-('Control Room'!$B$13-1)/2)/MAX(0.5,'Control Room'!$B$13/4))^2),1)*IF(AND($A629&gt;='Control Room'!$A$14,$A629&lt;'Control Room'!$A$14+'Control Room'!$B$14,'Process'!BL3=1),1+('Control Room'!$C$14-1)*EXP(-0.5*(($A629-'Control Room'!$A$14-('Control Room'!$B$14-1)/2)/MAX(0.5,'Control Room'!$B$14/4))^2),1)*IF(AND($A629&gt;='Control Room'!$A$15,$A629&lt;'Control Room'!$A$15+'Control Room'!$B$15,'Process'!BL4=1),1+('Control Room'!$C$15-1)*EXP(-0.5*(($A629-'Control Room'!$A$15-('Control Room'!$B$15-1)/2)/MAX(0.5,'Control Room'!$B$15/4))^2),1)*IF(AND($A629&gt;='Control Room'!$A$16,$A629&lt;'Control Room'!$A$16+'Control Room'!$B$16,'Process'!BL5=1),1+('Control Room'!$C$16-1)*EXP(-0.5*(($A629-'Control Room'!$A$16-('Control Room'!$B$16-1)/2)/MAX(0.5,'Control Room'!$B$16/4))^2),1)</x:f>
        <x:v>1</x:v>
      </x:c>
      <x:c r="L629" s="9" t="n">
        <x:f>MOD(M628*16807,2147483647)</x:f>
        <x:v>1017683569</x:v>
      </x:c>
      <x:c r="M629" s="9" t="n">
        <x:f>MOD(L629*16807,2147483647)</x:f>
        <x:v>1647979475</x:v>
      </x:c>
      <x:c r="N629" s="17" t="n">
        <x:f>IF('Control Room'!$B$5="Normal",'Control Room'!$B$7+'Control Room'!$D$7*SQRT(-2*LN(MAX(0.000000000001,L629/2147483647)))*COS(2*PI()*M629/2147483647),'Control Room'!$B$8+('Control Room'!$D$8-'Control Room'!$B$8)*L629/2147483647)</x:f>
        <x:v>1012.0010699930879</x:v>
      </x:c>
      <x:c r="O629" s="17" t="n">
        <x:f>IF('Control Room'!$B$5="Normal",'Control Room'!$B$7,('Control Room'!$B$8+'Control Room'!$D$8)/2)+'Control Room'!$B$9*(O628-IF('Control Room'!$B$5="Normal",'Control Room'!$B$7,('Control Room'!$B$8+'Control Room'!$D$8)/2))+SQRT(1-'Control Room'!$B$9^2)*(N629-IF('Control Room'!$B$5="Normal",'Control Room'!$B$7,('Control Room'!$B$8+'Control Room'!$D$8)/2))</x:f>
        <x:v>1020.9594611905859</x:v>
      </x:c>
      <x:c r="P629" s="17" t="n">
        <x:f>IF(AND($A629&gt;='Control Room'!$A$13,$A629&lt;'Control Room'!$A$13+'Control Room'!$B$13,'Process'!BM2=1),1+('Control Room'!$C$13-1)*EXP(-0.5*(($A629-'Control Room'!$A$13-('Control Room'!$B$13-1)/2)/MAX(0.5,'Control Room'!$B$13/4))^2),1)*IF(AND($A629&gt;='Control Room'!$A$14,$A629&lt;'Control Room'!$A$14+'Control Room'!$B$14,'Process'!BM3=1),1+('Control Room'!$C$14-1)*EXP(-0.5*(($A629-'Control Room'!$A$14-('Control Room'!$B$14-1)/2)/MAX(0.5,'Control Room'!$B$14/4))^2),1)*IF(AND($A629&gt;='Control Room'!$A$15,$A629&lt;'Control Room'!$A$15+'Control Room'!$B$15,'Process'!BM4=1),1+('Control Room'!$C$15-1)*EXP(-0.5*(($A629-'Control Room'!$A$15-('Control Room'!$B$15-1)/2)/MAX(0.5,'Control Room'!$B$15/4))^2),1)*IF(AND($A629&gt;='Control Room'!$A$16,$A629&lt;'Control Room'!$A$16+'Control Room'!$B$16,'Process'!BM5=1),1+('Control Room'!$C$16-1)*EXP(-0.5*(($A629-'Control Room'!$A$16-('Control Room'!$B$16-1)/2)/MAX(0.5,'Control Room'!$B$16/4))^2),1)</x:f>
        <x:v>1</x:v>
      </x:c>
      <x:c r="Q629" s="9" t="n">
        <x:f>MOD(R628*16807,2147483647)</x:f>
        <x:v>1106333501</x:v>
      </x:c>
      <x:c r="R629" s="9" t="n">
        <x:f>MOD(Q629*16807,2147483647)</x:f>
        <x:v>1233735581</x:v>
      </x:c>
      <x:c r="S629" s="17" t="n">
        <x:f>IF('Control Room'!$B$5="Normal",'Control Room'!$B$7+'Control Room'!$D$7*SQRT(-2*LN(MAX(0.000000000001,Q629/2147483647)))*COS(2*PI()*R629/2147483647),'Control Room'!$B$8+('Control Room'!$D$8-'Control Room'!$B$8)*Q629/2147483647)</x:f>
        <x:v>907.4952590966466</x:v>
      </x:c>
      <x:c r="T629" s="17" t="n">
        <x:f>IF('Control Room'!$B$5="Normal",'Control Room'!$B$7,('Control Room'!$B$8+'Control Room'!$D$8)/2)+'Control Room'!$B$9*(T628-IF('Control Room'!$B$5="Normal",'Control Room'!$B$7,('Control Room'!$B$8+'Control Room'!$D$8)/2))+SQRT(1-'Control Room'!$B$9^2)*(S629-IF('Control Room'!$B$5="Normal",'Control Room'!$B$7,('Control Room'!$B$8+'Control Room'!$D$8)/2))</x:f>
        <x:v>981.3280578551785</x:v>
      </x:c>
      <x:c r="U629" s="17" t="n">
        <x:f>IF(AND($A629&gt;='Control Room'!$A$13,$A629&lt;'Control Room'!$A$13+'Control Room'!$B$13,'Process'!BN2=1),1+('Control Room'!$C$13-1)*EXP(-0.5*(($A629-'Control Room'!$A$13-('Control Room'!$B$13-1)/2)/MAX(0.5,'Control Room'!$B$13/4))^2),1)*IF(AND($A629&gt;='Control Room'!$A$14,$A629&lt;'Control Room'!$A$14+'Control Room'!$B$14,'Process'!BN3=1),1+('Control Room'!$C$14-1)*EXP(-0.5*(($A629-'Control Room'!$A$14-('Control Room'!$B$14-1)/2)/MAX(0.5,'Control Room'!$B$14/4))^2),1)*IF(AND($A629&gt;='Control Room'!$A$15,$A629&lt;'Control Room'!$A$15+'Control Room'!$B$15,'Process'!BN4=1),1+('Control Room'!$C$15-1)*EXP(-0.5*(($A629-'Control Room'!$A$15-('Control Room'!$B$15-1)/2)/MAX(0.5,'Control Room'!$B$15/4))^2),1)*IF(AND($A629&gt;='Control Room'!$A$16,$A629&lt;'Control Room'!$A$16+'Control Room'!$B$16,'Process'!BN5=1),1+('Control Room'!$C$16-1)*EXP(-0.5*(($A629-'Control Room'!$A$16-('Control Room'!$B$16-1)/2)/MAX(0.5,'Control Room'!$B$16/4))^2),1)</x:f>
        <x:v>1</x:v>
      </x:c>
      <x:c r="V629" s="9" t="n">
        <x:f>MOD(W628*16807,2147483647)</x:f>
        <x:v>1194983433</x:v>
      </x:c>
      <x:c r="W629" s="9" t="n">
        <x:f>MOD(V629*16807,2147483647)</x:f>
        <x:v>819491687</x:v>
      </x:c>
      <x:c r="X629" s="17" t="n">
        <x:f>IF('Control Room'!$B$5="Normal",'Control Room'!$B$7+'Control Room'!$D$7*SQRT(-2*LN(MAX(0.000000000001,V629/2147483647)))*COS(2*PI()*W629/2147483647),'Control Room'!$B$8+('Control Room'!$D$8-'Control Room'!$B$8)*V629/2147483647)</x:f>
        <x:v>928.2950832297605</x:v>
      </x:c>
      <x:c r="Y629" s="17" t="n">
        <x:f>IF('Control Room'!$B$5="Normal",'Control Room'!$B$7,('Control Room'!$B$8+'Control Room'!$D$8)/2)+'Control Room'!$B$9*(Y628-IF('Control Room'!$B$5="Normal",'Control Room'!$B$7,('Control Room'!$B$8+'Control Room'!$D$8)/2))+SQRT(1-'Control Room'!$B$9^2)*(X629-IF('Control Room'!$B$5="Normal",'Control Room'!$B$7,('Control Room'!$B$8+'Control Room'!$D$8)/2))</x:f>
        <x:v>1026.9207013476405</x:v>
      </x:c>
      <x:c r="Z629" s="17" t="n">
        <x:f>IF(AND($A629&gt;='Control Room'!$A$13,$A629&lt;'Control Room'!$A$13+'Control Room'!$B$13,'Process'!BO2=1),1+('Control Room'!$C$13-1)*EXP(-0.5*(($A629-'Control Room'!$A$13-('Control Room'!$B$13-1)/2)/MAX(0.5,'Control Room'!$B$13/4))^2),1)*IF(AND($A629&gt;='Control Room'!$A$14,$A629&lt;'Control Room'!$A$14+'Control Room'!$B$14,'Process'!BO3=1),1+('Control Room'!$C$14-1)*EXP(-0.5*(($A629-'Control Room'!$A$14-('Control Room'!$B$14-1)/2)/MAX(0.5,'Control Room'!$B$14/4))^2),1)*IF(AND($A629&gt;='Control Room'!$A$15,$A629&lt;'Control Room'!$A$15+'Control Room'!$B$15,'Process'!BO4=1),1+('Control Room'!$C$15-1)*EXP(-0.5*(($A629-'Control Room'!$A$15-('Control Room'!$B$15-1)/2)/MAX(0.5,'Control Room'!$B$15/4))^2),1)*IF(AND($A629&gt;='Control Room'!$A$16,$A629&lt;'Control Room'!$A$16+'Control Room'!$B$16,'Process'!BO5=1),1+('Control Room'!$C$16-1)*EXP(-0.5*(($A629-'Control Room'!$A$16-('Control Room'!$B$16-1)/2)/MAX(0.5,'Control Room'!$B$16/4))^2),1)</x:f>
        <x:v>1</x:v>
      </x:c>
      <x:c r="AA629" s="9" t="n">
        <x:f>MOD(AB628*16807,2147483647)</x:f>
        <x:v>1283633365</x:v>
      </x:c>
      <x:c r="AB629" s="9" t="n">
        <x:f>MOD(AA629*16807,2147483647)</x:f>
        <x:v>405247793</x:v>
      </x:c>
      <x:c r="AC629" s="17" t="n">
        <x:f>IF('Control Room'!$B$5="Normal",'Control Room'!$B$7+'Control Room'!$D$7*SQRT(-2*LN(MAX(0.000000000001,AA629/2147483647)))*COS(2*PI()*AB629/2147483647),'Control Room'!$B$8+('Control Room'!$D$8-'Control Room'!$B$8)*AA629/2147483647)</x:f>
        <x:v>1034.2994392462167</x:v>
      </x:c>
      <x:c r="AD629" s="17" t="n">
        <x:f>IF('Control Room'!$B$5="Normal",'Control Room'!$B$7,('Control Room'!$B$8+'Control Room'!$D$8)/2)+'Control Room'!$B$9*(AD628-IF('Control Room'!$B$5="Normal",'Control Room'!$B$7,('Control Room'!$B$8+'Control Room'!$D$8)/2))+SQRT(1-'Control Room'!$B$9^2)*(AC629-IF('Control Room'!$B$5="Normal",'Control Room'!$B$7,('Control Room'!$B$8+'Control Room'!$D$8)/2))</x:f>
        <x:v>1160.5863745554977</x:v>
      </x:c>
      <x:c r="AE629" s="17" t="n">
        <x:f>IF(AND($A629&gt;='Control Room'!$A$13,$A629&lt;'Control Room'!$A$13+'Control Room'!$B$13,'Process'!BP2=1),1+('Control Room'!$C$13-1)*EXP(-0.5*(($A629-'Control Room'!$A$13-('Control Room'!$B$13-1)/2)/MAX(0.5,'Control Room'!$B$13/4))^2),1)*IF(AND($A629&gt;='Control Room'!$A$14,$A629&lt;'Control Room'!$A$14+'Control Room'!$B$14,'Process'!BP3=1),1+('Control Room'!$C$14-1)*EXP(-0.5*(($A629-'Control Room'!$A$14-('Control Room'!$B$14-1)/2)/MAX(0.5,'Control Room'!$B$14/4))^2),1)*IF(AND($A629&gt;='Control Room'!$A$15,$A629&lt;'Control Room'!$A$15+'Control Room'!$B$15,'Process'!BP4=1),1+('Control Room'!$C$15-1)*EXP(-0.5*(($A629-'Control Room'!$A$15-('Control Room'!$B$15-1)/2)/MAX(0.5,'Control Room'!$B$15/4))^2),1)*IF(AND($A629&gt;='Control Room'!$A$16,$A629&lt;'Control Room'!$A$16+'Control Room'!$B$16,'Process'!BP5=1),1+('Control Room'!$C$16-1)*EXP(-0.5*(($A629-'Control Room'!$A$16-('Control Room'!$B$16-1)/2)/MAX(0.5,'Control Room'!$B$16/4))^2),1)</x:f>
        <x:v>1</x:v>
      </x:c>
      <x:c r="AF629" s="9" t="n">
        <x:f>MOD(AG628*16807,2147483647)</x:f>
        <x:v>1372283297</x:v>
      </x:c>
      <x:c r="AG629" s="9" t="n">
        <x:f>MOD(AF629*16807,2147483647)</x:f>
        <x:v>2138487546</x:v>
      </x:c>
      <x:c r="AH629" s="17" t="n">
        <x:f>IF('Control Room'!$B$5="Normal",'Control Room'!$B$7+'Control Room'!$D$7*SQRT(-2*LN(MAX(0.000000000001,AF629/2147483647)))*COS(2*PI()*AG629/2147483647),'Control Room'!$B$8+('Control Room'!$D$8-'Control Room'!$B$8)*AF629/2147483647)</x:f>
        <x:v>1085.1450029516025</x:v>
      </x:c>
      <x:c r="AI629" s="17" t="n">
        <x:f>IF('Control Room'!$B$5="Normal",'Control Room'!$B$7,('Control Room'!$B$8+'Control Room'!$D$8)/2)+'Control Room'!$B$9*(AI628-IF('Control Room'!$B$5="Normal",'Control Room'!$B$7,('Control Room'!$B$8+'Control Room'!$D$8)/2))+SQRT(1-'Control Room'!$B$9^2)*(AH629-IF('Control Room'!$B$5="Normal",'Control Room'!$B$7,('Control Room'!$B$8+'Control Room'!$D$8)/2))</x:f>
        <x:v>1060.7057791902762</x:v>
      </x:c>
      <x:c r="AJ629" s="17" t="n">
        <x:f>IF(AND($A629&gt;='Control Room'!$A$13,$A629&lt;'Control Room'!$A$13+'Control Room'!$B$13,'Process'!BQ2=1),1+('Control Room'!$C$13-1)*EXP(-0.5*(($A629-'Control Room'!$A$13-('Control Room'!$B$13-1)/2)/MAX(0.5,'Control Room'!$B$13/4))^2),1)*IF(AND($A629&gt;='Control Room'!$A$14,$A629&lt;'Control Room'!$A$14+'Control Room'!$B$14,'Process'!BQ3=1),1+('Control Room'!$C$14-1)*EXP(-0.5*(($A629-'Control Room'!$A$14-('Control Room'!$B$14-1)/2)/MAX(0.5,'Control Room'!$B$14/4))^2),1)*IF(AND($A629&gt;='Control Room'!$A$15,$A629&lt;'Control Room'!$A$15+'Control Room'!$B$15,'Process'!BQ4=1),1+('Control Room'!$C$15-1)*EXP(-0.5*(($A629-'Control Room'!$A$15-('Control Room'!$B$15-1)/2)/MAX(0.5,'Control Room'!$B$15/4))^2),1)*IF(AND($A629&gt;='Control Room'!$A$16,$A629&lt;'Control Room'!$A$16+'Control Room'!$B$16,'Process'!BQ5=1),1+('Control Room'!$C$16-1)*EXP(-0.5*(($A629-'Control Room'!$A$16-('Control Room'!$B$16-1)/2)/MAX(0.5,'Control Room'!$B$16/4))^2),1)</x:f>
        <x:v>1</x:v>
      </x:c>
      <x:c r="AK629" s="9" t="n">
        <x:f>MOD(AL628*16807,2147483647)</x:f>
        <x:v>1460933229</x:v>
      </x:c>
      <x:c r="AL629" s="9" t="n">
        <x:f>MOD(AK629*16807,2147483647)</x:f>
        <x:v>1724243652</x:v>
      </x:c>
      <x:c r="AM629" s="17" t="n">
        <x:f>IF('Control Room'!$B$5="Normal",'Control Room'!$B$7+'Control Room'!$D$7*SQRT(-2*LN(MAX(0.000000000001,AK629/2147483647)))*COS(2*PI()*AL629/2147483647),'Control Room'!$B$8+('Control Room'!$D$8-'Control Room'!$B$8)*AK629/2147483647)</x:f>
        <x:v>1025.7827259570417</x:v>
      </x:c>
      <x:c r="AN629" s="17" t="n">
        <x:f>IF('Control Room'!$B$5="Normal",'Control Room'!$B$7,('Control Room'!$B$8+'Control Room'!$D$8)/2)+'Control Room'!$B$9*(AN628-IF('Control Room'!$B$5="Normal",'Control Room'!$B$7,('Control Room'!$B$8+'Control Room'!$D$8)/2))+SQRT(1-'Control Room'!$B$9^2)*(AM629-IF('Control Room'!$B$5="Normal",'Control Room'!$B$7,('Control Room'!$B$8+'Control Room'!$D$8)/2))</x:f>
        <x:v>991.2715240787951</x:v>
      </x:c>
      <x:c r="AO629" s="17" t="n">
        <x:f>IF(AND($A629&gt;='Control Room'!$A$13,$A629&lt;'Control Room'!$A$13+'Control Room'!$B$13,'Process'!BR2=1),1+('Control Room'!$C$13-1)*EXP(-0.5*(($A629-'Control Room'!$A$13-('Control Room'!$B$13-1)/2)/MAX(0.5,'Control Room'!$B$13/4))^2),1)*IF(AND($A629&gt;='Control Room'!$A$14,$A629&lt;'Control Room'!$A$14+'Control Room'!$B$14,'Process'!BR3=1),1+('Control Room'!$C$14-1)*EXP(-0.5*(($A629-'Control Room'!$A$14-('Control Room'!$B$14-1)/2)/MAX(0.5,'Control Room'!$B$14/4))^2),1)*IF(AND($A629&gt;='Control Room'!$A$15,$A629&lt;'Control Room'!$A$15+'Control Room'!$B$15,'Process'!BR4=1),1+('Control Room'!$C$15-1)*EXP(-0.5*(($A629-'Control Room'!$A$15-('Control Room'!$B$15-1)/2)/MAX(0.5,'Control Room'!$B$15/4))^2),1)*IF(AND($A629&gt;='Control Room'!$A$16,$A629&lt;'Control Room'!$A$16+'Control Room'!$B$16,'Process'!BR5=1),1+('Control Room'!$C$16-1)*EXP(-0.5*(($A629-'Control Room'!$A$16-('Control Room'!$B$16-1)/2)/MAX(0.5,'Control Room'!$B$16/4))^2),1)</x:f>
        <x:v>1</x:v>
      </x:c>
      <x:c r="AP629" s="9" t="n">
        <x:f>MOD(AQ628*16807,2147483647)</x:f>
        <x:v>1549583161</x:v>
      </x:c>
      <x:c r="AQ629" s="9" t="n">
        <x:f>MOD(AP629*16807,2147483647)</x:f>
        <x:v>1309999758</x:v>
      </x:c>
      <x:c r="AR629" s="17" t="n">
        <x:f>IF('Control Room'!$B$5="Normal",'Control Room'!$B$7+'Control Room'!$D$7*SQRT(-2*LN(MAX(0.000000000001,AP629/2147483647)))*COS(2*PI()*AQ629/2147483647),'Control Room'!$B$8+('Control Room'!$D$8-'Control Room'!$B$8)*AP629/2147483647)</x:f>
        <x:v>943.9833904732515</x:v>
      </x:c>
      <x:c r="AS629" s="17" t="n">
        <x:f>IF('Control Room'!$B$5="Normal",'Control Room'!$B$7,('Control Room'!$B$8+'Control Room'!$D$8)/2)+'Control Room'!$B$9*(AS628-IF('Control Room'!$B$5="Normal",'Control Room'!$B$7,('Control Room'!$B$8+'Control Room'!$D$8)/2))+SQRT(1-'Control Room'!$B$9^2)*(AR629-IF('Control Room'!$B$5="Normal",'Control Room'!$B$7,('Control Room'!$B$8+'Control Room'!$D$8)/2))</x:f>
        <x:v>906.8433100892844</x:v>
      </x:c>
      <x:c r="AT629" s="17" t="n">
        <x:f>IF(AND($A629&gt;='Control Room'!$A$13,$A629&lt;'Control Room'!$A$13+'Control Room'!$B$13,'Process'!BS2=1),1+('Control Room'!$C$13-1)*EXP(-0.5*(($A629-'Control Room'!$A$13-('Control Room'!$B$13-1)/2)/MAX(0.5,'Control Room'!$B$13/4))^2),1)*IF(AND($A629&gt;='Control Room'!$A$14,$A629&lt;'Control Room'!$A$14+'Control Room'!$B$14,'Process'!BS3=1),1+('Control Room'!$C$14-1)*EXP(-0.5*(($A629-'Control Room'!$A$14-('Control Room'!$B$14-1)/2)/MAX(0.5,'Control Room'!$B$14/4))^2),1)*IF(AND($A629&gt;='Control Room'!$A$15,$A629&lt;'Control Room'!$A$15+'Control Room'!$B$15,'Process'!BS4=1),1+('Control Room'!$C$15-1)*EXP(-0.5*(($A629-'Control Room'!$A$15-('Control Room'!$B$15-1)/2)/MAX(0.5,'Control Room'!$B$15/4))^2),1)*IF(AND($A629&gt;='Control Room'!$A$16,$A629&lt;'Control Room'!$A$16+'Control Room'!$B$16,'Process'!BS5=1),1+('Control Room'!$C$16-1)*EXP(-0.5*(($A629-'Control Room'!$A$16-('Control Room'!$B$16-1)/2)/MAX(0.5,'Control Room'!$B$16/4))^2),1)</x:f>
        <x:v>1</x:v>
      </x:c>
      <x:c r="AU629" s="9" t="n">
        <x:f>MOD(AV628*16807,2147483647)</x:f>
        <x:v>1638233093</x:v>
      </x:c>
      <x:c r="AV629" s="9" t="n">
        <x:f>MOD(AU629*16807,2147483647)</x:f>
        <x:v>895755864</x:v>
      </x:c>
      <x:c r="AW629" s="17" t="n">
        <x:f>IF('Control Room'!$B$5="Normal",'Control Room'!$B$7+'Control Room'!$D$7*SQRT(-2*LN(MAX(0.000000000001,AU629/2147483647)))*COS(2*PI()*AV629/2147483647),'Control Room'!$B$8+('Control Room'!$D$8-'Control Room'!$B$8)*AU629/2147483647)</x:f>
        <x:v>942.5585985295249</x:v>
      </x:c>
      <x:c r="AX629" s="17" t="n">
        <x:f>IF('Control Room'!$B$5="Normal",'Control Room'!$B$7,('Control Room'!$B$8+'Control Room'!$D$8)/2)+'Control Room'!$B$9*(AX628-IF('Control Room'!$B$5="Normal",'Control Room'!$B$7,('Control Room'!$B$8+'Control Room'!$D$8)/2))+SQRT(1-'Control Room'!$B$9^2)*(AW629-IF('Control Room'!$B$5="Normal",'Control Room'!$B$7,('Control Room'!$B$8+'Control Room'!$D$8)/2))</x:f>
        <x:v>916.5895361751271</x:v>
      </x:c>
      <x:c r="AY629" s="17" t="n">
        <x:f>IF(AND($A629&gt;='Control Room'!$A$13,$A629&lt;'Control Room'!$A$13+'Control Room'!$B$13,'Process'!BT2=1),1+('Control Room'!$C$13-1)*EXP(-0.5*(($A629-'Control Room'!$A$13-('Control Room'!$B$13-1)/2)/MAX(0.5,'Control Room'!$B$13/4))^2),1)*IF(AND($A629&gt;='Control Room'!$A$14,$A629&lt;'Control Room'!$A$14+'Control Room'!$B$14,'Process'!BT3=1),1+('Control Room'!$C$14-1)*EXP(-0.5*(($A629-'Control Room'!$A$14-('Control Room'!$B$14-1)/2)/MAX(0.5,'Control Room'!$B$14/4))^2),1)*IF(AND($A629&gt;='Control Room'!$A$15,$A629&lt;'Control Room'!$A$15+'Control Room'!$B$15,'Process'!BT4=1),1+('Control Room'!$C$15-1)*EXP(-0.5*(($A629-'Control Room'!$A$15-('Control Room'!$B$15-1)/2)/MAX(0.5,'Control Room'!$B$15/4))^2),1)*IF(AND($A629&gt;='Control Room'!$A$16,$A629&lt;'Control Room'!$A$16+'Control Room'!$B$16,'Process'!BT5=1),1+('Control Room'!$C$16-1)*EXP(-0.5*(($A629-'Control Room'!$A$16-('Control Room'!$B$16-1)/2)/MAX(0.5,'Control Room'!$B$16/4))^2),1)</x:f>
        <x:v>1</x:v>
      </x:c>
      <x:c r="AZ629" s="9" t="n">
        <x:f>MOD(BA628*16807,2147483647)</x:f>
        <x:v>1726883025</x:v>
      </x:c>
      <x:c r="BA629" s="9" t="n">
        <x:f>MOD(AZ629*16807,2147483647)</x:f>
        <x:v>481511970</x:v>
      </x:c>
      <x:c r="BB629" s="17" t="n">
        <x:f>IF('Control Room'!$B$5="Normal",'Control Room'!$B$7+'Control Room'!$D$7*SQRT(-2*LN(MAX(0.000000000001,AZ629/2147483647)))*COS(2*PI()*BA629/2147483647),'Control Room'!$B$8+('Control Room'!$D$8-'Control Room'!$B$8)*AZ629/2147483647)</x:f>
        <x:v>1009.583005183368</x:v>
      </x:c>
      <x:c r="BC629" s="17" t="n">
        <x:f>IF('Control Room'!$B$5="Normal",'Control Room'!$B$7,('Control Room'!$B$8+'Control Room'!$D$8)/2)+'Control Room'!$B$9*(BC628-IF('Control Room'!$B$5="Normal",'Control Room'!$B$7,('Control Room'!$B$8+'Control Room'!$D$8)/2))+SQRT(1-'Control Room'!$B$9^2)*(BB629-IF('Control Room'!$B$5="Normal",'Control Room'!$B$7,('Control Room'!$B$8+'Control Room'!$D$8)/2))</x:f>
        <x:v>996.3262496736844</x:v>
      </x:c>
      <x:c r="BD629" s="17" t="n">
        <x:f>IF(AND($A629&gt;='Control Room'!$A$13,$A629&lt;'Control Room'!$A$13+'Control Room'!$B$13,'Process'!BU2=1),1+('Control Room'!$C$13-1)*EXP(-0.5*(($A629-'Control Room'!$A$13-('Control Room'!$B$13-1)/2)/MAX(0.5,'Control Room'!$B$13/4))^2),1)*IF(AND($A629&gt;='Control Room'!$A$14,$A629&lt;'Control Room'!$A$14+'Control Room'!$B$14,'Process'!BU3=1),1+('Control Room'!$C$14-1)*EXP(-0.5*(($A629-'Control Room'!$A$14-('Control Room'!$B$14-1)/2)/MAX(0.5,'Control Room'!$B$14/4))^2),1)*IF(AND($A629&gt;='Control Room'!$A$15,$A629&lt;'Control Room'!$A$15+'Control Room'!$B$15,'Process'!BU4=1),1+('Control Room'!$C$15-1)*EXP(-0.5*(($A629-'Control Room'!$A$15-('Control Room'!$B$15-1)/2)/MAX(0.5,'Control Room'!$B$15/4))^2),1)*IF(AND($A629&gt;='Control Room'!$A$16,$A629&lt;'Control Room'!$A$16+'Control Room'!$B$16,'Process'!BU5=1),1+('Control Room'!$C$16-1)*EXP(-0.5*(($A629-'Control Room'!$A$16-('Control Room'!$B$16-1)/2)/MAX(0.5,'Control Room'!$B$16/4))^2),1)</x:f>
        <x:v>1</x:v>
      </x:c>
      <x:c r="BE629" s="9" t="n">
        <x:f>MOD(BF628*16807,2147483647)</x:f>
        <x:v>1815532957</x:v>
      </x:c>
      <x:c r="BF629" s="9" t="n">
        <x:f>MOD(BE629*16807,2147483647)</x:f>
        <x:v>67268076</x:v>
      </x:c>
      <x:c r="BG629" s="17" t="n">
        <x:f>IF('Control Room'!$B$5="Normal",'Control Room'!$B$7+'Control Room'!$D$7*SQRT(-2*LN(MAX(0.000000000001,BE629/2147483647)))*COS(2*PI()*BF629/2147483647),'Control Room'!$B$8+('Control Room'!$D$8-'Control Room'!$B$8)*BE629/2147483647)</x:f>
        <x:v>1051.1492639521796</x:v>
      </x:c>
      <x:c r="BH629" s="17" t="n">
        <x:f>IF('Control Room'!$B$5="Normal",'Control Room'!$B$7,('Control Room'!$B$8+'Control Room'!$D$8)/2)+'Control Room'!$B$9*(BH628-IF('Control Room'!$B$5="Normal",'Control Room'!$B$7,('Control Room'!$B$8+'Control Room'!$D$8)/2))+SQRT(1-'Control Room'!$B$9^2)*(BG629-IF('Control Room'!$B$5="Normal",'Control Room'!$B$7,('Control Room'!$B$8+'Control Room'!$D$8)/2))</x:f>
        <x:v>986.8410634444404</x:v>
      </x:c>
      <x:c r="BI629" s="17" t="n">
        <x:f>IF(AND($A629&gt;='Control Room'!$A$13,$A629&lt;'Control Room'!$A$13+'Control Room'!$B$13,'Process'!BV2=1),1+('Control Room'!$C$13-1)*EXP(-0.5*(($A629-'Control Room'!$A$13-('Control Room'!$B$13-1)/2)/MAX(0.5,'Control Room'!$B$13/4))^2),1)*IF(AND($A629&gt;='Control Room'!$A$14,$A629&lt;'Control Room'!$A$14+'Control Room'!$B$14,'Process'!BV3=1),1+('Control Room'!$C$14-1)*EXP(-0.5*(($A629-'Control Room'!$A$14-('Control Room'!$B$14-1)/2)/MAX(0.5,'Control Room'!$B$14/4))^2),1)*IF(AND($A629&gt;='Control Room'!$A$15,$A629&lt;'Control Room'!$A$15+'Control Room'!$B$15,'Process'!BV4=1),1+('Control Room'!$C$15-1)*EXP(-0.5*(($A629-'Control Room'!$A$15-('Control Room'!$B$15-1)/2)/MAX(0.5,'Control Room'!$B$15/4))^2),1)*IF(AND($A629&gt;='Control Room'!$A$16,$A629&lt;'Control Room'!$A$16+'Control Room'!$B$16,'Process'!BV5=1),1+('Control Room'!$C$16-1)*EXP(-0.5*(($A629-'Control Room'!$A$16-('Control Room'!$B$16-1)/2)/MAX(0.5,'Control Room'!$B$16/4))^2),1)</x:f>
        <x:v>1</x:v>
      </x:c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Z629" t="str">
        <x:f>IF('Data'!A629="","",TEXT('Data'!A629,"mm-dd"))</x:f>
      </x:c>
    </x:row>
    <x:row r="630" ht="21" customHeight="1">
      <x:c r="A630" s="15" t="n">
        <x:f>'Control Room'!$B$1+628</x:f>
        <x:v>73619</x:v>
      </x:c>
      <x:c r="B630" s="9" t="n">
        <x:f>MOD(C629*16807,2147483647)</x:f>
        <x:v>1604726734</x:v>
      </x:c>
      <x:c r="C630" s="9" t="n">
        <x:f>MOD(B630*16807,2147483647)</x:f>
        <x:v>395095665</x:v>
      </x:c>
      <x:c r="D630" s="17" t="n">
        <x:f>IF('Control Room'!$B$5="Normal",'Control Room'!$B$7+'Control Room'!$D$7*SQRT(-2*LN(MAX(0.000000000001,B630/2147483647)))*COS(2*PI()*C630/2147483647),'Control Room'!$B$8+('Control Room'!$D$8-'Control Room'!$B$8)*B630/2147483647)</x:f>
        <x:v>1027.6874831143866</x:v>
      </x:c>
      <x:c r="E630" s="17" t="n">
        <x:f>IF('Control Room'!$B$5="Normal",'Control Room'!$B$7,('Control Room'!$B$8+'Control Room'!$D$8)/2)+'Control Room'!$B$9*(E629-IF('Control Room'!$B$5="Normal",'Control Room'!$B$7,('Control Room'!$B$8+'Control Room'!$D$8)/2))+SQRT(1-'Control Room'!$B$9^2)*(D630-IF('Control Room'!$B$5="Normal",'Control Room'!$B$7,('Control Room'!$B$8+'Control Room'!$D$8)/2))</x:f>
        <x:v>1079.4201958835183</x:v>
      </x:c>
      <x:c r="F630" s="17" t="n">
        <x:f>IF(AND($A630&gt;='Control Room'!$A$13,$A630&lt;'Control Room'!$A$13+'Control Room'!$B$13,'Process'!BK2=1),1+('Control Room'!$C$13-1)*EXP(-0.5*(($A630-'Control Room'!$A$13-('Control Room'!$B$13-1)/2)/MAX(0.5,'Control Room'!$B$13/4))^2),1)*IF(AND($A630&gt;='Control Room'!$A$14,$A630&lt;'Control Room'!$A$14+'Control Room'!$B$14,'Process'!BK3=1),1+('Control Room'!$C$14-1)*EXP(-0.5*(($A630-'Control Room'!$A$14-('Control Room'!$B$14-1)/2)/MAX(0.5,'Control Room'!$B$14/4))^2),1)*IF(AND($A630&gt;='Control Room'!$A$15,$A630&lt;'Control Room'!$A$15+'Control Room'!$B$15,'Process'!BK4=1),1+('Control Room'!$C$15-1)*EXP(-0.5*(($A630-'Control Room'!$A$15-('Control Room'!$B$15-1)/2)/MAX(0.5,'Control Room'!$B$15/4))^2),1)*IF(AND($A630&gt;='Control Room'!$A$16,$A630&lt;'Control Room'!$A$16+'Control Room'!$B$16,'Process'!BK5=1),1+('Control Room'!$C$16-1)*EXP(-0.5*(($A630-'Control Room'!$A$16-('Control Room'!$B$16-1)/2)/MAX(0.5,'Control Room'!$B$16/4))^2),1)</x:f>
        <x:v>1</x:v>
      </x:c>
      <x:c r="G630" s="9" t="n">
        <x:f>MOD(H629*16807,2147483647)</x:f>
        <x:v>1549583850</x:v>
      </x:c>
      <x:c r="H630" s="9" t="n">
        <x:f>MOD(G630*16807,2147483647)</x:f>
        <x:v>1321579781</x:v>
      </x:c>
      <x:c r="I630" s="17" t="n">
        <x:f>IF('Control Room'!$B$5="Normal",'Control Room'!$B$7+'Control Room'!$D$7*SQRT(-2*LN(MAX(0.000000000001,G630/2147483647)))*COS(2*PI()*H630/2147483647),'Control Room'!$B$8+('Control Room'!$D$8-'Control Room'!$B$8)*G630/2147483647)</x:f>
        <x:v>945.5856907351686</x:v>
      </x:c>
      <x:c r="J630" s="17" t="n">
        <x:f>IF('Control Room'!$B$5="Normal",'Control Room'!$B$7,('Control Room'!$B$8+'Control Room'!$D$8)/2)+'Control Room'!$B$9*(J629-IF('Control Room'!$B$5="Normal",'Control Room'!$B$7,('Control Room'!$B$8+'Control Room'!$D$8)/2))+SQRT(1-'Control Room'!$B$9^2)*(I630-IF('Control Room'!$B$5="Normal",'Control Room'!$B$7,('Control Room'!$B$8+'Control Room'!$D$8)/2))</x:f>
        <x:v>1003.7362280495217</x:v>
      </x:c>
      <x:c r="K630" s="17" t="n">
        <x:f>IF(AND($A630&gt;='Control Room'!$A$13,$A630&lt;'Control Room'!$A$13+'Control Room'!$B$13,'Process'!BL2=1),1+('Control Room'!$C$13-1)*EXP(-0.5*(($A630-'Control Room'!$A$13-('Control Room'!$B$13-1)/2)/MAX(0.5,'Control Room'!$B$13/4))^2),1)*IF(AND($A630&gt;='Control Room'!$A$14,$A630&lt;'Control Room'!$A$14+'Control Room'!$B$14,'Process'!BL3=1),1+('Control Room'!$C$14-1)*EXP(-0.5*(($A630-'Control Room'!$A$14-('Control Room'!$B$14-1)/2)/MAX(0.5,'Control Room'!$B$14/4))^2),1)*IF(AND($A630&gt;='Control Room'!$A$15,$A630&lt;'Control Room'!$A$15+'Control Room'!$B$15,'Process'!BL4=1),1+('Control Room'!$C$15-1)*EXP(-0.5*(($A630-'Control Room'!$A$15-('Control Room'!$B$15-1)/2)/MAX(0.5,'Control Room'!$B$15/4))^2),1)*IF(AND($A630&gt;='Control Room'!$A$16,$A630&lt;'Control Room'!$A$16+'Control Room'!$B$16,'Process'!BL5=1),1+('Control Room'!$C$16-1)*EXP(-0.5*(($A630-'Control Room'!$A$16-('Control Room'!$B$16-1)/2)/MAX(0.5,'Control Room'!$B$16/4))^2),1)</x:f>
        <x:v>1</x:v>
      </x:c>
      <x:c r="L630" s="9" t="n">
        <x:f>MOD(M629*16807,2147483647)</x:f>
        <x:v>1494440966</x:v>
      </x:c>
      <x:c r="M630" s="9" t="n">
        <x:f>MOD(L630*16807,2147483647)</x:f>
        <x:v>100580250</x:v>
      </x:c>
      <x:c r="N630" s="17" t="n">
        <x:f>IF('Control Room'!$B$5="Normal",'Control Room'!$B$7+'Control Room'!$D$7*SQRT(-2*LN(MAX(0.000000000001,L630/2147483647)))*COS(2*PI()*M630/2147483647),'Control Room'!$B$8+('Control Room'!$D$8-'Control Room'!$B$8)*L630/2147483647)</x:f>
        <x:v>1073.342390358517</x:v>
      </x:c>
      <x:c r="O630" s="17" t="n">
        <x:f>IF('Control Room'!$B$5="Normal",'Control Room'!$B$7,('Control Room'!$B$8+'Control Room'!$D$8)/2)+'Control Room'!$B$9*(O629-IF('Control Room'!$B$5="Normal",'Control Room'!$B$7,('Control Room'!$B$8+'Control Room'!$D$8)/2))+SQRT(1-'Control Room'!$B$9^2)*(N630-IF('Control Room'!$B$5="Normal",'Control Room'!$B$7,('Control Room'!$B$8+'Control Room'!$D$8)/2))</x:f>
        <x:v>1062.2445451144822</x:v>
      </x:c>
      <x:c r="P630" s="17" t="n">
        <x:f>IF(AND($A630&gt;='Control Room'!$A$13,$A630&lt;'Control Room'!$A$13+'Control Room'!$B$13,'Process'!BM2=1),1+('Control Room'!$C$13-1)*EXP(-0.5*(($A630-'Control Room'!$A$13-('Control Room'!$B$13-1)/2)/MAX(0.5,'Control Room'!$B$13/4))^2),1)*IF(AND($A630&gt;='Control Room'!$A$14,$A630&lt;'Control Room'!$A$14+'Control Room'!$B$14,'Process'!BM3=1),1+('Control Room'!$C$14-1)*EXP(-0.5*(($A630-'Control Room'!$A$14-('Control Room'!$B$14-1)/2)/MAX(0.5,'Control Room'!$B$14/4))^2),1)*IF(AND($A630&gt;='Control Room'!$A$15,$A630&lt;'Control Room'!$A$15+'Control Room'!$B$15,'Process'!BM4=1),1+('Control Room'!$C$15-1)*EXP(-0.5*(($A630-'Control Room'!$A$15-('Control Room'!$B$15-1)/2)/MAX(0.5,'Control Room'!$B$15/4))^2),1)*IF(AND($A630&gt;='Control Room'!$A$16,$A630&lt;'Control Room'!$A$16+'Control Room'!$B$16,'Process'!BM5=1),1+('Control Room'!$C$16-1)*EXP(-0.5*(($A630-'Control Room'!$A$16-('Control Room'!$B$16-1)/2)/MAX(0.5,'Control Room'!$B$16/4))^2),1)</x:f>
        <x:v>1</x:v>
      </x:c>
      <x:c r="Q630" s="9" t="n">
        <x:f>MOD(R629*16807,2147483647)</x:f>
        <x:v>1439298082</x:v>
      </x:c>
      <x:c r="R630" s="9" t="n">
        <x:f>MOD(Q630*16807,2147483647)</x:f>
        <x:v>1027064366</x:v>
      </x:c>
      <x:c r="S630" s="17" t="n">
        <x:f>IF('Control Room'!$B$5="Normal",'Control Room'!$B$7+'Control Room'!$D$7*SQRT(-2*LN(MAX(0.000000000001,Q630/2147483647)))*COS(2*PI()*R630/2147483647),'Control Room'!$B$8+('Control Room'!$D$8-'Control Room'!$B$8)*Q630/2147483647)</x:f>
        <x:v>920.2370209254583</x:v>
      </x:c>
      <x:c r="T630" s="17" t="n">
        <x:f>IF('Control Room'!$B$5="Normal",'Control Room'!$B$7,('Control Room'!$B$8+'Control Room'!$D$8)/2)+'Control Room'!$B$9*(T629-IF('Control Room'!$B$5="Normal",'Control Room'!$B$7,('Control Room'!$B$8+'Control Room'!$D$8)/2))+SQRT(1-'Control Room'!$B$9^2)*(S630-IF('Control Room'!$B$5="Normal",'Control Room'!$B$7,('Control Room'!$B$8+'Control Room'!$D$8)/2))</x:f>
        <x:v>935.521846855635</x:v>
      </x:c>
      <x:c r="U630" s="17" t="n">
        <x:f>IF(AND($A630&gt;='Control Room'!$A$13,$A630&lt;'Control Room'!$A$13+'Control Room'!$B$13,'Process'!BN2=1),1+('Control Room'!$C$13-1)*EXP(-0.5*(($A630-'Control Room'!$A$13-('Control Room'!$B$13-1)/2)/MAX(0.5,'Control Room'!$B$13/4))^2),1)*IF(AND($A630&gt;='Control Room'!$A$14,$A630&lt;'Control Room'!$A$14+'Control Room'!$B$14,'Process'!BN3=1),1+('Control Room'!$C$14-1)*EXP(-0.5*(($A630-'Control Room'!$A$14-('Control Room'!$B$14-1)/2)/MAX(0.5,'Control Room'!$B$14/4))^2),1)*IF(AND($A630&gt;='Control Room'!$A$15,$A630&lt;'Control Room'!$A$15+'Control Room'!$B$15,'Process'!BN4=1),1+('Control Room'!$C$15-1)*EXP(-0.5*(($A630-'Control Room'!$A$15-('Control Room'!$B$15-1)/2)/MAX(0.5,'Control Room'!$B$15/4))^2),1)*IF(AND($A630&gt;='Control Room'!$A$16,$A630&lt;'Control Room'!$A$16+'Control Room'!$B$16,'Process'!BN5=1),1+('Control Room'!$C$16-1)*EXP(-0.5*(($A630-'Control Room'!$A$16-('Control Room'!$B$16-1)/2)/MAX(0.5,'Control Room'!$B$16/4))^2),1)</x:f>
        <x:v>1</x:v>
      </x:c>
      <x:c r="V630" s="9" t="n">
        <x:f>MOD(W629*16807,2147483647)</x:f>
        <x:v>1384155198</x:v>
      </x:c>
      <x:c r="W630" s="9" t="n">
        <x:f>MOD(V630*16807,2147483647)</x:f>
        <x:v>1953548482</x:v>
      </x:c>
      <x:c r="X630" s="17" t="n">
        <x:f>IF('Control Room'!$B$5="Normal",'Control Room'!$B$7+'Control Room'!$D$7*SQRT(-2*LN(MAX(0.000000000001,V630/2147483647)))*COS(2*PI()*W630/2147483647),'Control Room'!$B$8+('Control Room'!$D$8-'Control Room'!$B$8)*V630/2147483647)</x:f>
        <x:v>1071.1325686667942</x:v>
      </x:c>
      <x:c r="Y630" s="17" t="n">
        <x:f>IF('Control Room'!$B$5="Normal",'Control Room'!$B$7,('Control Room'!$B$8+'Control Room'!$D$8)/2)+'Control Room'!$B$9*(Y629-IF('Control Room'!$B$5="Normal",'Control Room'!$B$7,('Control Room'!$B$8+'Control Room'!$D$8)/2))+SQRT(1-'Control Room'!$B$9^2)*(X630-IF('Control Room'!$B$5="Normal",'Control Room'!$B$7,('Control Room'!$B$8+'Control Room'!$D$8)/2))</x:f>
        <x:v>1065.5114512929626</x:v>
      </x:c>
      <x:c r="Z630" s="17" t="n">
        <x:f>IF(AND($A630&gt;='Control Room'!$A$13,$A630&lt;'Control Room'!$A$13+'Control Room'!$B$13,'Process'!BO2=1),1+('Control Room'!$C$13-1)*EXP(-0.5*(($A630-'Control Room'!$A$13-('Control Room'!$B$13-1)/2)/MAX(0.5,'Control Room'!$B$13/4))^2),1)*IF(AND($A630&gt;='Control Room'!$A$14,$A630&lt;'Control Room'!$A$14+'Control Room'!$B$14,'Process'!BO3=1),1+('Control Room'!$C$14-1)*EXP(-0.5*(($A630-'Control Room'!$A$14-('Control Room'!$B$14-1)/2)/MAX(0.5,'Control Room'!$B$14/4))^2),1)*IF(AND($A630&gt;='Control Room'!$A$15,$A630&lt;'Control Room'!$A$15+'Control Room'!$B$15,'Process'!BO4=1),1+('Control Room'!$C$15-1)*EXP(-0.5*(($A630-'Control Room'!$A$15-('Control Room'!$B$15-1)/2)/MAX(0.5,'Control Room'!$B$15/4))^2),1)*IF(AND($A630&gt;='Control Room'!$A$16,$A630&lt;'Control Room'!$A$16+'Control Room'!$B$16,'Process'!BO5=1),1+('Control Room'!$C$16-1)*EXP(-0.5*(($A630-'Control Room'!$A$16-('Control Room'!$B$16-1)/2)/MAX(0.5,'Control Room'!$B$16/4))^2),1)</x:f>
        <x:v>1</x:v>
      </x:c>
      <x:c r="AA630" s="9" t="n">
        <x:f>MOD(AB629*16807,2147483647)</x:f>
        <x:v>1329012314</x:v>
      </x:c>
      <x:c r="AB630" s="9" t="n">
        <x:f>MOD(AA630*16807,2147483647)</x:f>
        <x:v>732548951</x:v>
      </x:c>
      <x:c r="AC630" s="17" t="n">
        <x:f>IF('Control Room'!$B$5="Normal",'Control Room'!$B$7+'Control Room'!$D$7*SQRT(-2*LN(MAX(0.000000000001,AA630/2147483647)))*COS(2*PI()*AB630/2147483647),'Control Room'!$B$8+('Control Room'!$D$8-'Control Room'!$B$8)*AA630/2147483647)</x:f>
        <x:v>952.2342241583865</x:v>
      </x:c>
      <x:c r="AD630" s="17" t="n">
        <x:f>IF('Control Room'!$B$5="Normal",'Control Room'!$B$7,('Control Room'!$B$8+'Control Room'!$D$8)/2)+'Control Room'!$B$9*(AD629-IF('Control Room'!$B$5="Normal",'Control Room'!$B$7,('Control Room'!$B$8+'Control Room'!$D$8)/2))+SQRT(1-'Control Room'!$B$9^2)*(AC630-IF('Control Room'!$B$5="Normal",'Control Room'!$B$7,('Control Room'!$B$8+'Control Room'!$D$8)/2))</x:f>
        <x:v>1095.366528166713</x:v>
      </x:c>
      <x:c r="AE630" s="17" t="n">
        <x:f>IF(AND($A630&gt;='Control Room'!$A$13,$A630&lt;'Control Room'!$A$13+'Control Room'!$B$13,'Process'!BP2=1),1+('Control Room'!$C$13-1)*EXP(-0.5*(($A630-'Control Room'!$A$13-('Control Room'!$B$13-1)/2)/MAX(0.5,'Control Room'!$B$13/4))^2),1)*IF(AND($A630&gt;='Control Room'!$A$14,$A630&lt;'Control Room'!$A$14+'Control Room'!$B$14,'Process'!BP3=1),1+('Control Room'!$C$14-1)*EXP(-0.5*(($A630-'Control Room'!$A$14-('Control Room'!$B$14-1)/2)/MAX(0.5,'Control Room'!$B$14/4))^2),1)*IF(AND($A630&gt;='Control Room'!$A$15,$A630&lt;'Control Room'!$A$15+'Control Room'!$B$15,'Process'!BP4=1),1+('Control Room'!$C$15-1)*EXP(-0.5*(($A630-'Control Room'!$A$15-('Control Room'!$B$15-1)/2)/MAX(0.5,'Control Room'!$B$15/4))^2),1)*IF(AND($A630&gt;='Control Room'!$A$16,$A630&lt;'Control Room'!$A$16+'Control Room'!$B$16,'Process'!BP5=1),1+('Control Room'!$C$16-1)*EXP(-0.5*(($A630-'Control Room'!$A$16-('Control Room'!$B$16-1)/2)/MAX(0.5,'Control Room'!$B$16/4))^2),1)</x:f>
        <x:v>1</x:v>
      </x:c>
      <x:c r="AF630" s="9" t="n">
        <x:f>MOD(AG629*16807,2147483647)</x:f>
        <x:v>1273869430</x:v>
      </x:c>
      <x:c r="AG630" s="9" t="n">
        <x:f>MOD(AF630*16807,2147483647)</x:f>
        <x:v>1659033067</x:v>
      </x:c>
      <x:c r="AH630" s="17" t="n">
        <x:f>IF('Control Room'!$B$5="Normal",'Control Room'!$B$7+'Control Room'!$D$7*SQRT(-2*LN(MAX(0.000000000001,AF630/2147483647)))*COS(2*PI()*AG630/2147483647),'Control Room'!$B$8+('Control Room'!$D$8-'Control Room'!$B$8)*AF630/2147483647)</x:f>
        <x:v>1012.9872040462642</x:v>
      </x:c>
      <x:c r="AI630" s="17" t="n">
        <x:f>IF('Control Room'!$B$5="Normal",'Control Room'!$B$7,('Control Room'!$B$8+'Control Room'!$D$8)/2)+'Control Room'!$B$9*(AI629-IF('Control Room'!$B$5="Normal",'Control Room'!$B$7,('Control Room'!$B$8+'Control Room'!$D$8)/2))+SQRT(1-'Control Room'!$B$9^2)*(AH630-IF('Control Room'!$B$5="Normal",'Control Room'!$B$7,('Control Room'!$B$8+'Control Room'!$D$8)/2))</x:f>
        <x:v>1055.477634003231</x:v>
      </x:c>
      <x:c r="AJ630" s="17" t="n">
        <x:f>IF(AND($A630&gt;='Control Room'!$A$13,$A630&lt;'Control Room'!$A$13+'Control Room'!$B$13,'Process'!BQ2=1),1+('Control Room'!$C$13-1)*EXP(-0.5*(($A630-'Control Room'!$A$13-('Control Room'!$B$13-1)/2)/MAX(0.5,'Control Room'!$B$13/4))^2),1)*IF(AND($A630&gt;='Control Room'!$A$14,$A630&lt;'Control Room'!$A$14+'Control Room'!$B$14,'Process'!BQ3=1),1+('Control Room'!$C$14-1)*EXP(-0.5*(($A630-'Control Room'!$A$14-('Control Room'!$B$14-1)/2)/MAX(0.5,'Control Room'!$B$14/4))^2),1)*IF(AND($A630&gt;='Control Room'!$A$15,$A630&lt;'Control Room'!$A$15+'Control Room'!$B$15,'Process'!BQ4=1),1+('Control Room'!$C$15-1)*EXP(-0.5*(($A630-'Control Room'!$A$15-('Control Room'!$B$15-1)/2)/MAX(0.5,'Control Room'!$B$15/4))^2),1)*IF(AND($A630&gt;='Control Room'!$A$16,$A630&lt;'Control Room'!$A$16+'Control Room'!$B$16,'Process'!BQ5=1),1+('Control Room'!$C$16-1)*EXP(-0.5*(($A630-'Control Room'!$A$16-('Control Room'!$B$16-1)/2)/MAX(0.5,'Control Room'!$B$16/4))^2),1)</x:f>
        <x:v>1</x:v>
      </x:c>
      <x:c r="AK630" s="9" t="n">
        <x:f>MOD(AL629*16807,2147483647)</x:f>
        <x:v>1218726546</x:v>
      </x:c>
      <x:c r="AL630" s="9" t="n">
        <x:f>MOD(AK630*16807,2147483647)</x:f>
        <x:v>438033536</x:v>
      </x:c>
      <x:c r="AM630" s="17" t="n">
        <x:f>IF('Control Room'!$B$5="Normal",'Control Room'!$B$7+'Control Room'!$D$7*SQRT(-2*LN(MAX(0.000000000001,AK630/2147483647)))*COS(2*PI()*AL630/2147483647),'Control Room'!$B$8+('Control Room'!$D$8-'Control Room'!$B$8)*AK630/2147483647)</x:f>
        <x:v>1027.3183779891172</x:v>
      </x:c>
      <x:c r="AN630" s="17" t="n">
        <x:f>IF('Control Room'!$B$5="Normal",'Control Room'!$B$7,('Control Room'!$B$8+'Control Room'!$D$8)/2)+'Control Room'!$B$9*(AN629-IF('Control Room'!$B$5="Normal",'Control Room'!$B$7,('Control Room'!$B$8+'Control Room'!$D$8)/2))+SQRT(1-'Control Room'!$B$9^2)*(AM630-IF('Control Room'!$B$5="Normal",'Control Room'!$B$7,('Control Room'!$B$8+'Control Room'!$D$8)/2))</x:f>
        <x:v>1010.287070079657</x:v>
      </x:c>
      <x:c r="AO630" s="17" t="n">
        <x:f>IF(AND($A630&gt;='Control Room'!$A$13,$A630&lt;'Control Room'!$A$13+'Control Room'!$B$13,'Process'!BR2=1),1+('Control Room'!$C$13-1)*EXP(-0.5*(($A630-'Control Room'!$A$13-('Control Room'!$B$13-1)/2)/MAX(0.5,'Control Room'!$B$13/4))^2),1)*IF(AND($A630&gt;='Control Room'!$A$14,$A630&lt;'Control Room'!$A$14+'Control Room'!$B$14,'Process'!BR3=1),1+('Control Room'!$C$14-1)*EXP(-0.5*(($A630-'Control Room'!$A$14-('Control Room'!$B$14-1)/2)/MAX(0.5,'Control Room'!$B$14/4))^2),1)*IF(AND($A630&gt;='Control Room'!$A$15,$A630&lt;'Control Room'!$A$15+'Control Room'!$B$15,'Process'!BR4=1),1+('Control Room'!$C$15-1)*EXP(-0.5*(($A630-'Control Room'!$A$15-('Control Room'!$B$15-1)/2)/MAX(0.5,'Control Room'!$B$15/4))^2),1)*IF(AND($A630&gt;='Control Room'!$A$16,$A630&lt;'Control Room'!$A$16+'Control Room'!$B$16,'Process'!BR5=1),1+('Control Room'!$C$16-1)*EXP(-0.5*(($A630-'Control Room'!$A$16-('Control Room'!$B$16-1)/2)/MAX(0.5,'Control Room'!$B$16/4))^2),1)</x:f>
        <x:v>1</x:v>
      </x:c>
      <x:c r="AP630" s="9" t="n">
        <x:f>MOD(AQ629*16807,2147483647)</x:f>
        <x:v>1163583662</x:v>
      </x:c>
      <x:c r="AQ630" s="9" t="n">
        <x:f>MOD(AP630*16807,2147483647)</x:f>
        <x:v>1364517652</x:v>
      </x:c>
      <x:c r="AR630" s="17" t="n">
        <x:f>IF('Control Room'!$B$5="Normal",'Control Room'!$B$7+'Control Room'!$D$7*SQRT(-2*LN(MAX(0.000000000001,AP630/2147483647)))*COS(2*PI()*AQ630/2147483647),'Control Room'!$B$8+('Control Room'!$D$8-'Control Room'!$B$8)*AP630/2147483647)</x:f>
        <x:v>934.2993396427554</x:v>
      </x:c>
      <x:c r="AS630" s="17" t="n">
        <x:f>IF('Control Room'!$B$5="Normal",'Control Room'!$B$7,('Control Room'!$B$8+'Control Room'!$D$8)/2)+'Control Room'!$B$9*(AS629-IF('Control Room'!$B$5="Normal",'Control Room'!$B$7,('Control Room'!$B$8+'Control Room'!$D$8)/2))+SQRT(1-'Control Room'!$B$9^2)*(AR630-IF('Control Room'!$B$5="Normal",'Control Room'!$B$7,('Control Room'!$B$8+'Control Room'!$D$8)/2))</x:f>
        <x:v>886.2236545692646</x:v>
      </x:c>
      <x:c r="AT630" s="17" t="n">
        <x:f>IF(AND($A630&gt;='Control Room'!$A$13,$A630&lt;'Control Room'!$A$13+'Control Room'!$B$13,'Process'!BS2=1),1+('Control Room'!$C$13-1)*EXP(-0.5*(($A630-'Control Room'!$A$13-('Control Room'!$B$13-1)/2)/MAX(0.5,'Control Room'!$B$13/4))^2),1)*IF(AND($A630&gt;='Control Room'!$A$14,$A630&lt;'Control Room'!$A$14+'Control Room'!$B$14,'Process'!BS3=1),1+('Control Room'!$C$14-1)*EXP(-0.5*(($A630-'Control Room'!$A$14-('Control Room'!$B$14-1)/2)/MAX(0.5,'Control Room'!$B$14/4))^2),1)*IF(AND($A630&gt;='Control Room'!$A$15,$A630&lt;'Control Room'!$A$15+'Control Room'!$B$15,'Process'!BS4=1),1+('Control Room'!$C$15-1)*EXP(-0.5*(($A630-'Control Room'!$A$15-('Control Room'!$B$15-1)/2)/MAX(0.5,'Control Room'!$B$15/4))^2),1)*IF(AND($A630&gt;='Control Room'!$A$16,$A630&lt;'Control Room'!$A$16+'Control Room'!$B$16,'Process'!BS5=1),1+('Control Room'!$C$16-1)*EXP(-0.5*(($A630-'Control Room'!$A$16-('Control Room'!$B$16-1)/2)/MAX(0.5,'Control Room'!$B$16/4))^2),1)</x:f>
        <x:v>1</x:v>
      </x:c>
      <x:c r="AU630" s="9" t="n">
        <x:f>MOD(AV629*16807,2147483647)</x:f>
        <x:v>1108440778</x:v>
      </x:c>
      <x:c r="AV630" s="9" t="n">
        <x:f>MOD(AU630*16807,2147483647)</x:f>
        <x:v>143518121</x:v>
      </x:c>
      <x:c r="AW630" s="17" t="n">
        <x:f>IF('Control Room'!$B$5="Normal",'Control Room'!$B$7+'Control Room'!$D$7*SQRT(-2*LN(MAX(0.000000000001,AU630/2147483647)))*COS(2*PI()*AV630/2147483647),'Control Room'!$B$8+('Control Room'!$D$8-'Control Room'!$B$8)*AU630/2147483647)</x:f>
        <x:v>1094.5150872683685</x:v>
      </x:c>
      <x:c r="AX630" s="17" t="n">
        <x:f>IF('Control Room'!$B$5="Normal",'Control Room'!$B$7,('Control Room'!$B$8+'Control Room'!$D$8)/2)+'Control Room'!$B$9*(AX629-IF('Control Room'!$B$5="Normal",'Control Room'!$B$7,('Control Room'!$B$8+'Control Room'!$D$8)/2))+SQRT(1-'Control Room'!$B$9^2)*(AW630-IF('Control Room'!$B$5="Normal",'Control Room'!$B$7,('Control Room'!$B$8+'Control Room'!$D$8)/2))</x:f>
        <x:v>994.085443582337</x:v>
      </x:c>
      <x:c r="AY630" s="17" t="n">
        <x:f>IF(AND($A630&gt;='Control Room'!$A$13,$A630&lt;'Control Room'!$A$13+'Control Room'!$B$13,'Process'!BT2=1),1+('Control Room'!$C$13-1)*EXP(-0.5*(($A630-'Control Room'!$A$13-('Control Room'!$B$13-1)/2)/MAX(0.5,'Control Room'!$B$13/4))^2),1)*IF(AND($A630&gt;='Control Room'!$A$14,$A630&lt;'Control Room'!$A$14+'Control Room'!$B$14,'Process'!BT3=1),1+('Control Room'!$C$14-1)*EXP(-0.5*(($A630-'Control Room'!$A$14-('Control Room'!$B$14-1)/2)/MAX(0.5,'Control Room'!$B$14/4))^2),1)*IF(AND($A630&gt;='Control Room'!$A$15,$A630&lt;'Control Room'!$A$15+'Control Room'!$B$15,'Process'!BT4=1),1+('Control Room'!$C$15-1)*EXP(-0.5*(($A630-'Control Room'!$A$15-('Control Room'!$B$15-1)/2)/MAX(0.5,'Control Room'!$B$15/4))^2),1)*IF(AND($A630&gt;='Control Room'!$A$16,$A630&lt;'Control Room'!$A$16+'Control Room'!$B$16,'Process'!BT5=1),1+('Control Room'!$C$16-1)*EXP(-0.5*(($A630-'Control Room'!$A$16-('Control Room'!$B$16-1)/2)/MAX(0.5,'Control Room'!$B$16/4))^2),1)</x:f>
        <x:v>1</x:v>
      </x:c>
      <x:c r="AZ630" s="9" t="n">
        <x:f>MOD(BA629*16807,2147483647)</x:f>
        <x:v>1053297894</x:v>
      </x:c>
      <x:c r="BA630" s="9" t="n">
        <x:f>MOD(AZ630*16807,2147483647)</x:f>
        <x:v>1070002237</x:v>
      </x:c>
      <x:c r="BB630" s="17" t="n">
        <x:f>IF('Control Room'!$B$5="Normal",'Control Room'!$B$7+'Control Room'!$D$7*SQRT(-2*LN(MAX(0.000000000001,AZ630/2147483647)))*COS(2*PI()*BA630/2147483647),'Control Room'!$B$8+('Control Room'!$D$8-'Control Room'!$B$8)*AZ630/2147483647)</x:f>
        <x:v>892.5801540793788</x:v>
      </x:c>
      <x:c r="BC630" s="17" t="n">
        <x:f>IF('Control Room'!$B$5="Normal",'Control Room'!$B$7,('Control Room'!$B$8+'Control Room'!$D$8)/2)+'Control Room'!$B$9*(BC629-IF('Control Room'!$B$5="Normal",'Control Room'!$B$7,('Control Room'!$B$8+'Control Room'!$D$8)/2))+SQRT(1-'Control Room'!$B$9^2)*(BB630-IF('Control Room'!$B$5="Normal",'Control Room'!$B$7,('Control Room'!$B$8+'Control Room'!$D$8)/2))</x:f>
        <x:v>929.9133357835069</x:v>
      </x:c>
      <x:c r="BD630" s="17" t="n">
        <x:f>IF(AND($A630&gt;='Control Room'!$A$13,$A630&lt;'Control Room'!$A$13+'Control Room'!$B$13,'Process'!BU2=1),1+('Control Room'!$C$13-1)*EXP(-0.5*(($A630-'Control Room'!$A$13-('Control Room'!$B$13-1)/2)/MAX(0.5,'Control Room'!$B$13/4))^2),1)*IF(AND($A630&gt;='Control Room'!$A$14,$A630&lt;'Control Room'!$A$14+'Control Room'!$B$14,'Process'!BU3=1),1+('Control Room'!$C$14-1)*EXP(-0.5*(($A630-'Control Room'!$A$14-('Control Room'!$B$14-1)/2)/MAX(0.5,'Control Room'!$B$14/4))^2),1)*IF(AND($A630&gt;='Control Room'!$A$15,$A630&lt;'Control Room'!$A$15+'Control Room'!$B$15,'Process'!BU4=1),1+('Control Room'!$C$15-1)*EXP(-0.5*(($A630-'Control Room'!$A$15-('Control Room'!$B$15-1)/2)/MAX(0.5,'Control Room'!$B$15/4))^2),1)*IF(AND($A630&gt;='Control Room'!$A$16,$A630&lt;'Control Room'!$A$16+'Control Room'!$B$16,'Process'!BU5=1),1+('Control Room'!$C$16-1)*EXP(-0.5*(($A630-'Control Room'!$A$16-('Control Room'!$B$16-1)/2)/MAX(0.5,'Control Room'!$B$16/4))^2),1)</x:f>
        <x:v>1</x:v>
      </x:c>
      <x:c r="BE630" s="9" t="n">
        <x:f>MOD(BF629*16807,2147483647)</x:f>
        <x:v>998155010</x:v>
      </x:c>
      <x:c r="BF630" s="9" t="n">
        <x:f>MOD(BE630*16807,2147483647)</x:f>
        <x:v>1996486353</x:v>
      </x:c>
      <x:c r="BG630" s="17" t="n">
        <x:f>IF('Control Room'!$B$5="Normal",'Control Room'!$B$7+'Control Room'!$D$7*SQRT(-2*LN(MAX(0.000000000001,BE630/2147483647)))*COS(2*PI()*BF630/2147483647),'Control Room'!$B$8+('Control Room'!$D$8-'Control Room'!$B$8)*BE630/2147483647)</x:f>
        <x:v>1100.7104251300493</x:v>
      </x:c>
      <x:c r="BH630" s="17" t="n">
        <x:f>IF('Control Room'!$B$5="Normal",'Control Room'!$B$7,('Control Room'!$B$8+'Control Room'!$D$8)/2)+'Control Room'!$B$9*(BH629-IF('Control Room'!$B$5="Normal",'Control Room'!$B$7,('Control Room'!$B$8+'Control Room'!$D$8)/2))+SQRT(1-'Control Room'!$B$9^2)*(BG630-IF('Control Room'!$B$5="Normal",'Control Room'!$B$7,('Control Room'!$B$8+'Control Room'!$D$8)/2))</x:f>
        <x:v>1052.7585503678465</x:v>
      </x:c>
      <x:c r="BI630" s="17" t="n">
        <x:f>IF(AND($A630&gt;='Control Room'!$A$13,$A630&lt;'Control Room'!$A$13+'Control Room'!$B$13,'Process'!BV2=1),1+('Control Room'!$C$13-1)*EXP(-0.5*(($A630-'Control Room'!$A$13-('Control Room'!$B$13-1)/2)/MAX(0.5,'Control Room'!$B$13/4))^2),1)*IF(AND($A630&gt;='Control Room'!$A$14,$A630&lt;'Control Room'!$A$14+'Control Room'!$B$14,'Process'!BV3=1),1+('Control Room'!$C$14-1)*EXP(-0.5*(($A630-'Control Room'!$A$14-('Control Room'!$B$14-1)/2)/MAX(0.5,'Control Room'!$B$14/4))^2),1)*IF(AND($A630&gt;='Control Room'!$A$15,$A630&lt;'Control Room'!$A$15+'Control Room'!$B$15,'Process'!BV4=1),1+('Control Room'!$C$15-1)*EXP(-0.5*(($A630-'Control Room'!$A$15-('Control Room'!$B$15-1)/2)/MAX(0.5,'Control Room'!$B$15/4))^2),1)*IF(AND($A630&gt;='Control Room'!$A$16,$A630&lt;'Control Room'!$A$16+'Control Room'!$B$16,'Process'!BV5=1),1+('Control Room'!$C$16-1)*EXP(-0.5*(($A630-'Control Room'!$A$16-('Control Room'!$B$16-1)/2)/MAX(0.5,'Control Room'!$B$16/4))^2),1)</x:f>
        <x:v>1</x:v>
      </x:c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Z630" t="str">
        <x:f>IF('Data'!A630="","",TEXT('Data'!A630,"mm-dd"))</x:f>
      </x:c>
    </x:row>
    <x:row r="631" ht="21" customHeight="1">
      <x:c r="A631" s="15" t="n">
        <x:f>'Control Room'!$B$1+629</x:f>
        <x:v>73620</x:v>
      </x:c>
      <x:c r="B631" s="9" t="n">
        <x:f>MOD(C630*16807,2147483647)</x:f>
        <x:v>353405131</x:v>
      </x:c>
      <x:c r="C631" s="9" t="n">
        <x:f>MOD(B631*16807,2147483647)</x:f>
        <x:v>1887752762</x:v>
      </x:c>
      <x:c r="D631" s="17" t="n">
        <x:f>IF('Control Room'!$B$5="Normal",'Control Room'!$B$7+'Control Room'!$D$7*SQRT(-2*LN(MAX(0.000000000001,B631/2147483647)))*COS(2*PI()*C631/2147483647),'Control Room'!$B$8+('Control Room'!$D$8-'Control Room'!$B$8)*B631/2147483647)</x:f>
        <x:v>1123.9358677426387</x:v>
      </x:c>
      <x:c r="E631" s="17" t="n">
        <x:f>IF('Control Room'!$B$5="Normal",'Control Room'!$B$7,('Control Room'!$B$8+'Control Room'!$D$8)/2)+'Control Room'!$B$9*(E630-IF('Control Room'!$B$5="Normal",'Control Room'!$B$7,('Control Room'!$B$8+'Control Room'!$D$8)/2))+SQRT(1-'Control Room'!$B$9^2)*(D631-IF('Control Room'!$B$5="Normal",'Control Room'!$B$7,('Control Room'!$B$8+'Control Room'!$D$8)/2))</x:f>
        <x:v>1139.504279858232</x:v>
      </x:c>
      <x:c r="F631" s="17" t="n">
        <x:f>IF(AND($A631&gt;='Control Room'!$A$13,$A631&lt;'Control Room'!$A$13+'Control Room'!$B$13,'Process'!BK2=1),1+('Control Room'!$C$13-1)*EXP(-0.5*(($A631-'Control Room'!$A$13-('Control Room'!$B$13-1)/2)/MAX(0.5,'Control Room'!$B$13/4))^2),1)*IF(AND($A631&gt;='Control Room'!$A$14,$A631&lt;'Control Room'!$A$14+'Control Room'!$B$14,'Process'!BK3=1),1+('Control Room'!$C$14-1)*EXP(-0.5*(($A631-'Control Room'!$A$14-('Control Room'!$B$14-1)/2)/MAX(0.5,'Control Room'!$B$14/4))^2),1)*IF(AND($A631&gt;='Control Room'!$A$15,$A631&lt;'Control Room'!$A$15+'Control Room'!$B$15,'Process'!BK4=1),1+('Control Room'!$C$15-1)*EXP(-0.5*(($A631-'Control Room'!$A$15-('Control Room'!$B$15-1)/2)/MAX(0.5,'Control Room'!$B$15/4))^2),1)*IF(AND($A631&gt;='Control Room'!$A$16,$A631&lt;'Control Room'!$A$16+'Control Room'!$B$16,'Process'!BK5=1),1+('Control Room'!$C$16-1)*EXP(-0.5*(($A631-'Control Room'!$A$16-('Control Room'!$B$16-1)/2)/MAX(0.5,'Control Room'!$B$16/4))^2),1)</x:f>
        <x:v>1</x:v>
      </x:c>
      <x:c r="G631" s="9" t="n">
        <x:f>MOD(H630*16807,2147483647)</x:f>
        <x:v>368018346</x:v>
      </x:c>
      <x:c r="H631" s="9" t="n">
        <x:f>MOD(G631*16807,2147483647)</x:f>
        <x:v>531437862</x:v>
      </x:c>
      <x:c r="I631" s="17" t="n">
        <x:f>IF('Control Room'!$B$5="Normal",'Control Room'!$B$7+'Control Room'!$D$7*SQRT(-2*LN(MAX(0.000000000001,G631/2147483647)))*COS(2*PI()*H631/2147483647),'Control Room'!$B$8+('Control Room'!$D$8-'Control Room'!$B$8)*G631/2147483647)</x:f>
        <x:v>1002.6870283675885</x:v>
      </x:c>
      <x:c r="J631" s="17" t="n">
        <x:f>IF('Control Room'!$B$5="Normal",'Control Room'!$B$7,('Control Room'!$B$8+'Control Room'!$D$8)/2)+'Control Room'!$B$9*(J630-IF('Control Room'!$B$5="Normal",'Control Room'!$B$7,('Control Room'!$B$8+'Control Room'!$D$8)/2))+SQRT(1-'Control Room'!$B$9^2)*(I631-IF('Control Room'!$B$5="Normal",'Control Room'!$B$7,('Control Room'!$B$8+'Control Room'!$D$8)/2))</x:f>
        <x:v>1004.5957451842957</x:v>
      </x:c>
      <x:c r="K631" s="17" t="n">
        <x:f>IF(AND($A631&gt;='Control Room'!$A$13,$A631&lt;'Control Room'!$A$13+'Control Room'!$B$13,'Process'!BL2=1),1+('Control Room'!$C$13-1)*EXP(-0.5*(($A631-'Control Room'!$A$13-('Control Room'!$B$13-1)/2)/MAX(0.5,'Control Room'!$B$13/4))^2),1)*IF(AND($A631&gt;='Control Room'!$A$14,$A631&lt;'Control Room'!$A$14+'Control Room'!$B$14,'Process'!BL3=1),1+('Control Room'!$C$14-1)*EXP(-0.5*(($A631-'Control Room'!$A$14-('Control Room'!$B$14-1)/2)/MAX(0.5,'Control Room'!$B$14/4))^2),1)*IF(AND($A631&gt;='Control Room'!$A$15,$A631&lt;'Control Room'!$A$15+'Control Room'!$B$15,'Process'!BL4=1),1+('Control Room'!$C$15-1)*EXP(-0.5*(($A631-'Control Room'!$A$15-('Control Room'!$B$15-1)/2)/MAX(0.5,'Control Room'!$B$15/4))^2),1)*IF(AND($A631&gt;='Control Room'!$A$16,$A631&lt;'Control Room'!$A$16+'Control Room'!$B$16,'Process'!BL5=1),1+('Control Room'!$C$16-1)*EXP(-0.5*(($A631-'Control Room'!$A$16-('Control Room'!$B$16-1)/2)/MAX(0.5,'Control Room'!$B$16/4))^2),1)</x:f>
        <x:v>1</x:v>
      </x:c>
      <x:c r="L631" s="9" t="n">
        <x:f>MOD(M630*16807,2147483647)</x:f>
        <x:v>382631561</x:v>
      </x:c>
      <x:c r="M631" s="9" t="n">
        <x:f>MOD(L631*16807,2147483647)</x:f>
        <x:v>1322606609</x:v>
      </x:c>
      <x:c r="N631" s="17" t="n">
        <x:f>IF('Control Room'!$B$5="Normal",'Control Room'!$B$7+'Control Room'!$D$7*SQRT(-2*LN(MAX(0.000000000001,L631/2147483647)))*COS(2*PI()*M631/2147483647),'Control Room'!$B$8+('Control Room'!$D$8-'Control Room'!$B$8)*L631/2147483647)</x:f>
        <x:v>875.2243360702812</x:v>
      </x:c>
      <x:c r="O631" s="17" t="n">
        <x:f>IF('Control Room'!$B$5="Normal",'Control Room'!$B$7,('Control Room'!$B$8+'Control Room'!$D$8)/2)+'Control Room'!$B$9*(O630-IF('Control Room'!$B$5="Normal",'Control Room'!$B$7,('Control Room'!$B$8+'Control Room'!$D$8)/2))+SQRT(1-'Control Room'!$B$9^2)*(N631-IF('Control Room'!$B$5="Normal",'Control Room'!$B$7,('Control Room'!$B$8+'Control Room'!$D$8)/2))</x:f>
        <x:v>970.4686908704938</x:v>
      </x:c>
      <x:c r="P631" s="17" t="n">
        <x:f>IF(AND($A631&gt;='Control Room'!$A$13,$A631&lt;'Control Room'!$A$13+'Control Room'!$B$13,'Process'!BM2=1),1+('Control Room'!$C$13-1)*EXP(-0.5*(($A631-'Control Room'!$A$13-('Control Room'!$B$13-1)/2)/MAX(0.5,'Control Room'!$B$13/4))^2),1)*IF(AND($A631&gt;='Control Room'!$A$14,$A631&lt;'Control Room'!$A$14+'Control Room'!$B$14,'Process'!BM3=1),1+('Control Room'!$C$14-1)*EXP(-0.5*(($A631-'Control Room'!$A$14-('Control Room'!$B$14-1)/2)/MAX(0.5,'Control Room'!$B$14/4))^2),1)*IF(AND($A631&gt;='Control Room'!$A$15,$A631&lt;'Control Room'!$A$15+'Control Room'!$B$15,'Process'!BM4=1),1+('Control Room'!$C$15-1)*EXP(-0.5*(($A631-'Control Room'!$A$15-('Control Room'!$B$15-1)/2)/MAX(0.5,'Control Room'!$B$15/4))^2),1)*IF(AND($A631&gt;='Control Room'!$A$16,$A631&lt;'Control Room'!$A$16+'Control Room'!$B$16,'Process'!BM5=1),1+('Control Room'!$C$16-1)*EXP(-0.5*(($A631-'Control Room'!$A$16-('Control Room'!$B$16-1)/2)/MAX(0.5,'Control Room'!$B$16/4))^2),1)</x:f>
        <x:v>1</x:v>
      </x:c>
      <x:c r="Q631" s="9" t="n">
        <x:f>MOD(R630*16807,2147483647)</x:f>
        <x:v>397244776</x:v>
      </x:c>
      <x:c r="R631" s="9" t="n">
        <x:f>MOD(Q631*16807,2147483647)</x:f>
        <x:v>2113775356</x:v>
      </x:c>
      <x:c r="S631" s="17" t="n">
        <x:f>IF('Control Room'!$B$5="Normal",'Control Room'!$B$7+'Control Room'!$D$7*SQRT(-2*LN(MAX(0.000000000001,Q631/2147483647)))*COS(2*PI()*R631/2147483647),'Control Room'!$B$8+('Control Room'!$D$8-'Control Room'!$B$8)*Q631/2147483647)</x:f>
        <x:v>1164.5370554692386</x:v>
      </x:c>
      <x:c r="T631" s="17" t="n">
        <x:f>IF('Control Room'!$B$5="Normal",'Control Room'!$B$7,('Control Room'!$B$8+'Control Room'!$D$8)/2)+'Control Room'!$B$9*(T630-IF('Control Room'!$B$5="Normal",'Control Room'!$B$7,('Control Room'!$B$8+'Control Room'!$D$8)/2))+SQRT(1-'Control Room'!$B$9^2)*(S631-IF('Control Room'!$B$5="Normal",'Control Room'!$B$7,('Control Room'!$B$8+'Control Room'!$D$8)/2))</x:f>
        <x:v>1052.6709591352483</x:v>
      </x:c>
      <x:c r="U631" s="17" t="n">
        <x:f>IF(AND($A631&gt;='Control Room'!$A$13,$A631&lt;'Control Room'!$A$13+'Control Room'!$B$13,'Process'!BN2=1),1+('Control Room'!$C$13-1)*EXP(-0.5*(($A631-'Control Room'!$A$13-('Control Room'!$B$13-1)/2)/MAX(0.5,'Control Room'!$B$13/4))^2),1)*IF(AND($A631&gt;='Control Room'!$A$14,$A631&lt;'Control Room'!$A$14+'Control Room'!$B$14,'Process'!BN3=1),1+('Control Room'!$C$14-1)*EXP(-0.5*(($A631-'Control Room'!$A$14-('Control Room'!$B$14-1)/2)/MAX(0.5,'Control Room'!$B$14/4))^2),1)*IF(AND($A631&gt;='Control Room'!$A$15,$A631&lt;'Control Room'!$A$15+'Control Room'!$B$15,'Process'!BN4=1),1+('Control Room'!$C$15-1)*EXP(-0.5*(($A631-'Control Room'!$A$15-('Control Room'!$B$15-1)/2)/MAX(0.5,'Control Room'!$B$15/4))^2),1)*IF(AND($A631&gt;='Control Room'!$A$16,$A631&lt;'Control Room'!$A$16+'Control Room'!$B$16,'Process'!BN5=1),1+('Control Room'!$C$16-1)*EXP(-0.5*(($A631-'Control Room'!$A$16-('Control Room'!$B$16-1)/2)/MAX(0.5,'Control Room'!$B$16/4))^2),1)</x:f>
        <x:v>1</x:v>
      </x:c>
      <x:c r="V631" s="9" t="n">
        <x:f>MOD(W630*16807,2147483647)</x:f>
        <x:v>411857991</x:v>
      </x:c>
      <x:c r="W631" s="9" t="n">
        <x:f>MOD(V631*16807,2147483647)</x:f>
        <x:v>757460456</x:v>
      </x:c>
      <x:c r="X631" s="17" t="n">
        <x:f>IF('Control Room'!$B$5="Normal",'Control Room'!$B$7+'Control Room'!$D$7*SQRT(-2*LN(MAX(0.000000000001,V631/2147483647)))*COS(2*PI()*W631/2147483647),'Control Room'!$B$8+('Control Room'!$D$8-'Control Room'!$B$8)*V631/2147483647)</x:f>
        <x:v>901.6138612697646</x:v>
      </x:c>
      <x:c r="Y631" s="17" t="n">
        <x:f>IF('Control Room'!$B$5="Normal",'Control Room'!$B$7,('Control Room'!$B$8+'Control Room'!$D$8)/2)+'Control Room'!$B$9*(Y630-IF('Control Room'!$B$5="Normal",'Control Room'!$B$7,('Control Room'!$B$8+'Control Room'!$D$8)/2))+SQRT(1-'Control Room'!$B$9^2)*(X631-IF('Control Room'!$B$5="Normal",'Control Room'!$B$7,('Control Room'!$B$8+'Control Room'!$D$8)/2))</x:f>
        <x:v>989.5309019407364</x:v>
      </x:c>
      <x:c r="Z631" s="17" t="n">
        <x:f>IF(AND($A631&gt;='Control Room'!$A$13,$A631&lt;'Control Room'!$A$13+'Control Room'!$B$13,'Process'!BO2=1),1+('Control Room'!$C$13-1)*EXP(-0.5*(($A631-'Control Room'!$A$13-('Control Room'!$B$13-1)/2)/MAX(0.5,'Control Room'!$B$13/4))^2),1)*IF(AND($A631&gt;='Control Room'!$A$14,$A631&lt;'Control Room'!$A$14+'Control Room'!$B$14,'Process'!BO3=1),1+('Control Room'!$C$14-1)*EXP(-0.5*(($A631-'Control Room'!$A$14-('Control Room'!$B$14-1)/2)/MAX(0.5,'Control Room'!$B$14/4))^2),1)*IF(AND($A631&gt;='Control Room'!$A$15,$A631&lt;'Control Room'!$A$15+'Control Room'!$B$15,'Process'!BO4=1),1+('Control Room'!$C$15-1)*EXP(-0.5*(($A631-'Control Room'!$A$15-('Control Room'!$B$15-1)/2)/MAX(0.5,'Control Room'!$B$15/4))^2),1)*IF(AND($A631&gt;='Control Room'!$A$16,$A631&lt;'Control Room'!$A$16+'Control Room'!$B$16,'Process'!BO5=1),1+('Control Room'!$C$16-1)*EXP(-0.5*(($A631-'Control Room'!$A$16-('Control Room'!$B$16-1)/2)/MAX(0.5,'Control Room'!$B$16/4))^2),1)</x:f>
        <x:v>1</x:v>
      </x:c>
      <x:c r="AA631" s="9" t="n">
        <x:f>MOD(AB630*16807,2147483647)</x:f>
        <x:v>426471206</x:v>
      </x:c>
      <x:c r="AB631" s="9" t="n">
        <x:f>MOD(AA631*16807,2147483647)</x:f>
        <x:v>1548629203</x:v>
      </x:c>
      <x:c r="AC631" s="17" t="n">
        <x:f>IF('Control Room'!$B$5="Normal",'Control Room'!$B$7+'Control Room'!$D$7*SQRT(-2*LN(MAX(0.000000000001,AA631/2147483647)))*COS(2*PI()*AB631/2147483647),'Control Room'!$B$8+('Control Room'!$D$8-'Control Room'!$B$8)*AA631/2147483647)</x:f>
        <x:v>970.81300118809</x:v>
      </x:c>
      <x:c r="AD631" s="17" t="n">
        <x:f>IF('Control Room'!$B$5="Normal",'Control Room'!$B$7,('Control Room'!$B$8+'Control Room'!$D$8)/2)+'Control Room'!$B$9*(AD630-IF('Control Room'!$B$5="Normal",'Control Room'!$B$7,('Control Room'!$B$8+'Control Room'!$D$8)/2))+SQRT(1-'Control Room'!$B$9^2)*(AC631-IF('Control Room'!$B$5="Normal",'Control Room'!$B$7,('Control Room'!$B$8+'Control Room'!$D$8)/2))</x:f>
        <x:v>1056.1212660417136</x:v>
      </x:c>
      <x:c r="AE631" s="17" t="n">
        <x:f>IF(AND($A631&gt;='Control Room'!$A$13,$A631&lt;'Control Room'!$A$13+'Control Room'!$B$13,'Process'!BP2=1),1+('Control Room'!$C$13-1)*EXP(-0.5*(($A631-'Control Room'!$A$13-('Control Room'!$B$13-1)/2)/MAX(0.5,'Control Room'!$B$13/4))^2),1)*IF(AND($A631&gt;='Control Room'!$A$14,$A631&lt;'Control Room'!$A$14+'Control Room'!$B$14,'Process'!BP3=1),1+('Control Room'!$C$14-1)*EXP(-0.5*(($A631-'Control Room'!$A$14-('Control Room'!$B$14-1)/2)/MAX(0.5,'Control Room'!$B$14/4))^2),1)*IF(AND($A631&gt;='Control Room'!$A$15,$A631&lt;'Control Room'!$A$15+'Control Room'!$B$15,'Process'!BP4=1),1+('Control Room'!$C$15-1)*EXP(-0.5*(($A631-'Control Room'!$A$15-('Control Room'!$B$15-1)/2)/MAX(0.5,'Control Room'!$B$15/4))^2),1)*IF(AND($A631&gt;='Control Room'!$A$16,$A631&lt;'Control Room'!$A$16+'Control Room'!$B$16,'Process'!BP5=1),1+('Control Room'!$C$16-1)*EXP(-0.5*(($A631-'Control Room'!$A$16-('Control Room'!$B$16-1)/2)/MAX(0.5,'Control Room'!$B$16/4))^2),1)</x:f>
        <x:v>1</x:v>
      </x:c>
      <x:c r="AF631" s="9" t="n">
        <x:f>MOD(AG630*16807,2147483647)</x:f>
        <x:v>441084421</x:v>
      </x:c>
      <x:c r="AG631" s="9" t="n">
        <x:f>MOD(AF631*16807,2147483647)</x:f>
        <x:v>192314303</x:v>
      </x:c>
      <x:c r="AH631" s="17" t="n">
        <x:f>IF('Control Room'!$B$5="Normal",'Control Room'!$B$7+'Control Room'!$D$7*SQRT(-2*LN(MAX(0.000000000001,AF631/2147483647)))*COS(2*PI()*AG631/2147483647),'Control Room'!$B$8+('Control Room'!$D$8-'Control Room'!$B$8)*AF631/2147483647)</x:f>
        <x:v>1135.4424995792053</x:v>
      </x:c>
      <x:c r="AI631" s="17" t="n">
        <x:f>IF('Control Room'!$B$5="Normal",'Control Room'!$B$7,('Control Room'!$B$8+'Control Room'!$D$8)/2)+'Control Room'!$B$9*(AI630-IF('Control Room'!$B$5="Normal",'Control Room'!$B$7,('Control Room'!$B$8+'Control Room'!$D$8)/2))+SQRT(1-'Control Room'!$B$9^2)*(AH631-IF('Control Room'!$B$5="Normal",'Control Room'!$B$7,('Control Room'!$B$8+'Control Room'!$D$8)/2))</x:f>
        <x:v>1128.0296960687654</x:v>
      </x:c>
      <x:c r="AJ631" s="17" t="n">
        <x:f>IF(AND($A631&gt;='Control Room'!$A$13,$A631&lt;'Control Room'!$A$13+'Control Room'!$B$13,'Process'!BQ2=1),1+('Control Room'!$C$13-1)*EXP(-0.5*(($A631-'Control Room'!$A$13-('Control Room'!$B$13-1)/2)/MAX(0.5,'Control Room'!$B$13/4))^2),1)*IF(AND($A631&gt;='Control Room'!$A$14,$A631&lt;'Control Room'!$A$14+'Control Room'!$B$14,'Process'!BQ3=1),1+('Control Room'!$C$14-1)*EXP(-0.5*(($A631-'Control Room'!$A$14-('Control Room'!$B$14-1)/2)/MAX(0.5,'Control Room'!$B$14/4))^2),1)*IF(AND($A631&gt;='Control Room'!$A$15,$A631&lt;'Control Room'!$A$15+'Control Room'!$B$15,'Process'!BQ4=1),1+('Control Room'!$C$15-1)*EXP(-0.5*(($A631-'Control Room'!$A$15-('Control Room'!$B$15-1)/2)/MAX(0.5,'Control Room'!$B$15/4))^2),1)*IF(AND($A631&gt;='Control Room'!$A$16,$A631&lt;'Control Room'!$A$16+'Control Room'!$B$16,'Process'!BQ5=1),1+('Control Room'!$C$16-1)*EXP(-0.5*(($A631-'Control Room'!$A$16-('Control Room'!$B$16-1)/2)/MAX(0.5,'Control Room'!$B$16/4))^2),1)</x:f>
        <x:v>1</x:v>
      </x:c>
      <x:c r="AK631" s="9" t="n">
        <x:f>MOD(AL630*16807,2147483647)</x:f>
        <x:v>455697636</x:v>
      </x:c>
      <x:c r="AL631" s="9" t="n">
        <x:f>MOD(AK631*16807,2147483647)</x:f>
        <x:v>983483050</x:v>
      </x:c>
      <x:c r="AM631" s="17" t="n">
        <x:f>IF('Control Room'!$B$5="Normal",'Control Room'!$B$7+'Control Room'!$D$7*SQRT(-2*LN(MAX(0.000000000001,AK631/2147483647)))*COS(2*PI()*AL631/2147483647),'Control Room'!$B$8+('Control Room'!$D$8-'Control Room'!$B$8)*AK631/2147483647)</x:f>
        <x:v>847.0211385977854</x:v>
      </x:c>
      <x:c r="AN631" s="17" t="n">
        <x:f>IF('Control Room'!$B$5="Normal",'Control Room'!$B$7,('Control Room'!$B$8+'Control Room'!$D$8)/2)+'Control Room'!$B$9*(AN630-IF('Control Room'!$B$5="Normal",'Control Room'!$B$7,('Control Room'!$B$8+'Control Room'!$D$8)/2))+SQRT(1-'Control Room'!$B$9^2)*(AM631-IF('Control Room'!$B$5="Normal",'Control Room'!$B$7,('Control Room'!$B$8+'Control Room'!$D$8)/2))</x:f>
        <x:v>912.2928771389473</x:v>
      </x:c>
      <x:c r="AO631" s="17" t="n">
        <x:f>IF(AND($A631&gt;='Control Room'!$A$13,$A631&lt;'Control Room'!$A$13+'Control Room'!$B$13,'Process'!BR2=1),1+('Control Room'!$C$13-1)*EXP(-0.5*(($A631-'Control Room'!$A$13-('Control Room'!$B$13-1)/2)/MAX(0.5,'Control Room'!$B$13/4))^2),1)*IF(AND($A631&gt;='Control Room'!$A$14,$A631&lt;'Control Room'!$A$14+'Control Room'!$B$14,'Process'!BR3=1),1+('Control Room'!$C$14-1)*EXP(-0.5*(($A631-'Control Room'!$A$14-('Control Room'!$B$14-1)/2)/MAX(0.5,'Control Room'!$B$14/4))^2),1)*IF(AND($A631&gt;='Control Room'!$A$15,$A631&lt;'Control Room'!$A$15+'Control Room'!$B$15,'Process'!BR4=1),1+('Control Room'!$C$15-1)*EXP(-0.5*(($A631-'Control Room'!$A$15-('Control Room'!$B$15-1)/2)/MAX(0.5,'Control Room'!$B$15/4))^2),1)*IF(AND($A631&gt;='Control Room'!$A$16,$A631&lt;'Control Room'!$A$16+'Control Room'!$B$16,'Process'!BR5=1),1+('Control Room'!$C$16-1)*EXP(-0.5*(($A631-'Control Room'!$A$16-('Control Room'!$B$16-1)/2)/MAX(0.5,'Control Room'!$B$16/4))^2),1)</x:f>
        <x:v>1</x:v>
      </x:c>
      <x:c r="AP631" s="9" t="n">
        <x:f>MOD(AQ630*16807,2147483647)</x:f>
        <x:v>470310851</x:v>
      </x:c>
      <x:c r="AQ631" s="9" t="n">
        <x:f>MOD(AP631*16807,2147483647)</x:f>
        <x:v>1774651797</x:v>
      </x:c>
      <x:c r="AR631" s="17" t="n">
        <x:f>IF('Control Room'!$B$5="Normal",'Control Room'!$B$7+'Control Room'!$D$7*SQRT(-2*LN(MAX(0.000000000001,AP631/2147483647)))*COS(2*PI()*AQ631/2147483647),'Control Room'!$B$8+('Control Room'!$D$8-'Control Room'!$B$8)*AP631/2147483647)</x:f>
        <x:v>1072.4238051050663</x:v>
      </x:c>
      <x:c r="AS631" s="17" t="n">
        <x:f>IF('Control Room'!$B$5="Normal",'Control Room'!$B$7,('Control Room'!$B$8+'Control Room'!$D$8)/2)+'Control Room'!$B$9*(AS630-IF('Control Room'!$B$5="Normal",'Control Room'!$B$7,('Control Room'!$B$8+'Control Room'!$D$8)/2))+SQRT(1-'Control Room'!$B$9^2)*(AR631-IF('Control Room'!$B$5="Normal",'Control Room'!$B$7,('Control Room'!$B$8+'Control Room'!$D$8)/2))</x:f>
        <x:v>956.575784116484</x:v>
      </x:c>
      <x:c r="AT631" s="17" t="n">
        <x:f>IF(AND($A631&gt;='Control Room'!$A$13,$A631&lt;'Control Room'!$A$13+'Control Room'!$B$13,'Process'!BS2=1),1+('Control Room'!$C$13-1)*EXP(-0.5*(($A631-'Control Room'!$A$13-('Control Room'!$B$13-1)/2)/MAX(0.5,'Control Room'!$B$13/4))^2),1)*IF(AND($A631&gt;='Control Room'!$A$14,$A631&lt;'Control Room'!$A$14+'Control Room'!$B$14,'Process'!BS3=1),1+('Control Room'!$C$14-1)*EXP(-0.5*(($A631-'Control Room'!$A$14-('Control Room'!$B$14-1)/2)/MAX(0.5,'Control Room'!$B$14/4))^2),1)*IF(AND($A631&gt;='Control Room'!$A$15,$A631&lt;'Control Room'!$A$15+'Control Room'!$B$15,'Process'!BS4=1),1+('Control Room'!$C$15-1)*EXP(-0.5*(($A631-'Control Room'!$A$15-('Control Room'!$B$15-1)/2)/MAX(0.5,'Control Room'!$B$15/4))^2),1)*IF(AND($A631&gt;='Control Room'!$A$16,$A631&lt;'Control Room'!$A$16+'Control Room'!$B$16,'Process'!BS5=1),1+('Control Room'!$C$16-1)*EXP(-0.5*(($A631-'Control Room'!$A$16-('Control Room'!$B$16-1)/2)/MAX(0.5,'Control Room'!$B$16/4))^2),1)</x:f>
        <x:v>1</x:v>
      </x:c>
      <x:c r="AU631" s="9" t="n">
        <x:f>MOD(AV630*16807,2147483647)</x:f>
        <x:v>484924066</x:v>
      </x:c>
      <x:c r="AV631" s="9" t="n">
        <x:f>MOD(AU631*16807,2147483647)</x:f>
        <x:v>418336897</x:v>
      </x:c>
      <x:c r="AW631" s="17" t="n">
        <x:f>IF('Control Room'!$B$5="Normal",'Control Room'!$B$7+'Control Room'!$D$7*SQRT(-2*LN(MAX(0.000000000001,AU631/2147483647)))*COS(2*PI()*AV631/2147483647),'Control Room'!$B$8+('Control Room'!$D$8-'Control Room'!$B$8)*AU631/2147483647)</x:f>
        <x:v>1052.7739382031843</x:v>
      </x:c>
      <x:c r="AX631" s="17" t="n">
        <x:f>IF('Control Room'!$B$5="Normal",'Control Room'!$B$7,('Control Room'!$B$8+'Control Room'!$D$8)/2)+'Control Room'!$B$9*(AX630-IF('Control Room'!$B$5="Normal",'Control Room'!$B$7,('Control Room'!$B$8+'Control Room'!$D$8)/2))+SQRT(1-'Control Room'!$B$9^2)*(AW631-IF('Control Room'!$B$5="Normal",'Control Room'!$B$7,('Control Room'!$B$8+'Control Room'!$D$8)/2))</x:f>
        <x:v>1028.4114953888866</x:v>
      </x:c>
      <x:c r="AY631" s="17" t="n">
        <x:f>IF(AND($A631&gt;='Control Room'!$A$13,$A631&lt;'Control Room'!$A$13+'Control Room'!$B$13,'Process'!BT2=1),1+('Control Room'!$C$13-1)*EXP(-0.5*(($A631-'Control Room'!$A$13-('Control Room'!$B$13-1)/2)/MAX(0.5,'Control Room'!$B$13/4))^2),1)*IF(AND($A631&gt;='Control Room'!$A$14,$A631&lt;'Control Room'!$A$14+'Control Room'!$B$14,'Process'!BT3=1),1+('Control Room'!$C$14-1)*EXP(-0.5*(($A631-'Control Room'!$A$14-('Control Room'!$B$14-1)/2)/MAX(0.5,'Control Room'!$B$14/4))^2),1)*IF(AND($A631&gt;='Control Room'!$A$15,$A631&lt;'Control Room'!$A$15+'Control Room'!$B$15,'Process'!BT4=1),1+('Control Room'!$C$15-1)*EXP(-0.5*(($A631-'Control Room'!$A$15-('Control Room'!$B$15-1)/2)/MAX(0.5,'Control Room'!$B$15/4))^2),1)*IF(AND($A631&gt;='Control Room'!$A$16,$A631&lt;'Control Room'!$A$16+'Control Room'!$B$16,'Process'!BT5=1),1+('Control Room'!$C$16-1)*EXP(-0.5*(($A631-'Control Room'!$A$16-('Control Room'!$B$16-1)/2)/MAX(0.5,'Control Room'!$B$16/4))^2),1)</x:f>
        <x:v>1</x:v>
      </x:c>
      <x:c r="AZ631" s="9" t="n">
        <x:f>MOD(BA630*16807,2147483647)</x:f>
        <x:v>499537281</x:v>
      </x:c>
      <x:c r="BA631" s="9" t="n">
        <x:f>MOD(AZ631*16807,2147483647)</x:f>
        <x:v>1209505644</x:v>
      </x:c>
      <x:c r="BB631" s="17" t="n">
        <x:f>IF('Control Room'!$B$5="Normal",'Control Room'!$B$7+'Control Room'!$D$7*SQRT(-2*LN(MAX(0.000000000001,AZ631/2147483647)))*COS(2*PI()*BA631/2147483647),'Control Room'!$B$8+('Control Room'!$D$8-'Control Room'!$B$8)*AZ631/2147483647)</x:f>
        <x:v>858.2615376039129</x:v>
      </x:c>
      <x:c r="BC631" s="17" t="n">
        <x:f>IF('Control Room'!$B$5="Normal",'Control Room'!$B$7,('Control Room'!$B$8+'Control Room'!$D$8)/2)+'Control Room'!$B$9*(BC630-IF('Control Room'!$B$5="Normal",'Control Room'!$B$7,('Control Room'!$B$8+'Control Room'!$D$8)/2))+SQRT(1-'Control Room'!$B$9^2)*(BB631-IF('Control Room'!$B$5="Normal",'Control Room'!$B$7,('Control Room'!$B$8+'Control Room'!$D$8)/2))</x:f>
        <x:v>856.6353758138948</x:v>
      </x:c>
      <x:c r="BD631" s="17" t="n">
        <x:f>IF(AND($A631&gt;='Control Room'!$A$13,$A631&lt;'Control Room'!$A$13+'Control Room'!$B$13,'Process'!BU2=1),1+('Control Room'!$C$13-1)*EXP(-0.5*(($A631-'Control Room'!$A$13-('Control Room'!$B$13-1)/2)/MAX(0.5,'Control Room'!$B$13/4))^2),1)*IF(AND($A631&gt;='Control Room'!$A$14,$A631&lt;'Control Room'!$A$14+'Control Room'!$B$14,'Process'!BU3=1),1+('Control Room'!$C$14-1)*EXP(-0.5*(($A631-'Control Room'!$A$14-('Control Room'!$B$14-1)/2)/MAX(0.5,'Control Room'!$B$14/4))^2),1)*IF(AND($A631&gt;='Control Room'!$A$15,$A631&lt;'Control Room'!$A$15+'Control Room'!$B$15,'Process'!BU4=1),1+('Control Room'!$C$15-1)*EXP(-0.5*(($A631-'Control Room'!$A$15-('Control Room'!$B$15-1)/2)/MAX(0.5,'Control Room'!$B$15/4))^2),1)*IF(AND($A631&gt;='Control Room'!$A$16,$A631&lt;'Control Room'!$A$16+'Control Room'!$B$16,'Process'!BU5=1),1+('Control Room'!$C$16-1)*EXP(-0.5*(($A631-'Control Room'!$A$16-('Control Room'!$B$16-1)/2)/MAX(0.5,'Control Room'!$B$16/4))^2),1)</x:f>
        <x:v>1</x:v>
      </x:c>
      <x:c r="BE631" s="9" t="n">
        <x:f>MOD(BF630*16807,2147483647)</x:f>
        <x:v>514150496</x:v>
      </x:c>
      <x:c r="BF631" s="9" t="n">
        <x:f>MOD(BE631*16807,2147483647)</x:f>
        <x:v>2000674391</x:v>
      </x:c>
      <x:c r="BG631" s="17" t="n">
        <x:f>IF('Control Room'!$B$5="Normal",'Control Room'!$B$7+'Control Room'!$D$7*SQRT(-2*LN(MAX(0.000000000001,BE631/2147483647)))*COS(2*PI()*BF631/2147483647),'Control Room'!$B$8+('Control Room'!$D$8-'Control Room'!$B$8)*BE631/2147483647)</x:f>
        <x:v>1138.3547830172367</x:v>
      </x:c>
      <x:c r="BH631" s="17" t="n">
        <x:f>IF('Control Room'!$B$5="Normal",'Control Room'!$B$7,('Control Room'!$B$8+'Control Room'!$D$8)/2)+'Control Room'!$B$9*(BH630-IF('Control Room'!$B$5="Normal",'Control Room'!$B$7,('Control Room'!$B$8+'Control Room'!$D$8)/2))+SQRT(1-'Control Room'!$B$9^2)*(BG631-IF('Control Room'!$B$5="Normal",'Control Room'!$B$7,('Control Room'!$B$8+'Control Room'!$D$8)/2))</x:f>
        <x:v>1127.731258147316</x:v>
      </x:c>
      <x:c r="BI631" s="17" t="n">
        <x:f>IF(AND($A631&gt;='Control Room'!$A$13,$A631&lt;'Control Room'!$A$13+'Control Room'!$B$13,'Process'!BV2=1),1+('Control Room'!$C$13-1)*EXP(-0.5*(($A631-'Control Room'!$A$13-('Control Room'!$B$13-1)/2)/MAX(0.5,'Control Room'!$B$13/4))^2),1)*IF(AND($A631&gt;='Control Room'!$A$14,$A631&lt;'Control Room'!$A$14+'Control Room'!$B$14,'Process'!BV3=1),1+('Control Room'!$C$14-1)*EXP(-0.5*(($A631-'Control Room'!$A$14-('Control Room'!$B$14-1)/2)/MAX(0.5,'Control Room'!$B$14/4))^2),1)*IF(AND($A631&gt;='Control Room'!$A$15,$A631&lt;'Control Room'!$A$15+'Control Room'!$B$15,'Process'!BV4=1),1+('Control Room'!$C$15-1)*EXP(-0.5*(($A631-'Control Room'!$A$15-('Control Room'!$B$15-1)/2)/MAX(0.5,'Control Room'!$B$15/4))^2),1)*IF(AND($A631&gt;='Control Room'!$A$16,$A631&lt;'Control Room'!$A$16+'Control Room'!$B$16,'Process'!BV5=1),1+('Control Room'!$C$16-1)*EXP(-0.5*(($A631-'Control Room'!$A$16-('Control Room'!$B$16-1)/2)/MAX(0.5,'Control Room'!$B$16/4))^2),1)</x:f>
        <x:v>1</x:v>
      </x:c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Z631" t="str">
        <x:f>IF('Data'!A631="","",TEXT('Data'!A631,"mm-dd"))</x:f>
      </x:c>
    </x:row>
    <x:row r="632" ht="21" customHeight="1">
      <x:c r="A632" s="15" t="n">
        <x:f>'Control Room'!$B$1+630</x:f>
        <x:v>73621</x:v>
      </x:c>
      <x:c r="B632" s="9" t="n">
        <x:f>MOD(C631*16807,2147483647)</x:f>
        <x:v>537270156</x:v>
      </x:c>
      <x:c r="C632" s="9" t="n">
        <x:f>MOD(B632*16807,2147483647)</x:f>
        <x:v>1878259904</x:v>
      </x:c>
      <x:c r="D632" s="17" t="n">
        <x:f>IF('Control Room'!$B$5="Normal",'Control Room'!$B$7+'Control Room'!$D$7*SQRT(-2*LN(MAX(0.000000000001,B632/2147483647)))*COS(2*PI()*C632/2147483647),'Control Room'!$B$8+('Control Room'!$D$8-'Control Room'!$B$8)*B632/2147483647)</x:f>
        <x:v>1105.6938688789864</x:v>
      </x:c>
      <x:c r="E632" s="17" t="n">
        <x:f>IF('Control Room'!$B$5="Normal",'Control Room'!$B$7,('Control Room'!$B$8+'Control Room'!$D$8)/2)+'Control Room'!$B$9*(E631-IF('Control Room'!$B$5="Normal",'Control Room'!$B$7,('Control Room'!$B$8+'Control Room'!$D$8)/2))+SQRT(1-'Control Room'!$B$9^2)*(D632-IF('Control Room'!$B$5="Normal",'Control Room'!$B$7,('Control Room'!$B$8+'Control Room'!$D$8)/2))</x:f>
        <x:v>1174.9543961772945</x:v>
      </x:c>
      <x:c r="F632" s="17" t="n">
        <x:f>IF(AND($A632&gt;='Control Room'!$A$13,$A632&lt;'Control Room'!$A$13+'Control Room'!$B$13,'Process'!BK2=1),1+('Control Room'!$C$13-1)*EXP(-0.5*(($A632-'Control Room'!$A$13-('Control Room'!$B$13-1)/2)/MAX(0.5,'Control Room'!$B$13/4))^2),1)*IF(AND($A632&gt;='Control Room'!$A$14,$A632&lt;'Control Room'!$A$14+'Control Room'!$B$14,'Process'!BK3=1),1+('Control Room'!$C$14-1)*EXP(-0.5*(($A632-'Control Room'!$A$14-('Control Room'!$B$14-1)/2)/MAX(0.5,'Control Room'!$B$14/4))^2),1)*IF(AND($A632&gt;='Control Room'!$A$15,$A632&lt;'Control Room'!$A$15+'Control Room'!$B$15,'Process'!BK4=1),1+('Control Room'!$C$15-1)*EXP(-0.5*(($A632-'Control Room'!$A$15-('Control Room'!$B$15-1)/2)/MAX(0.5,'Control Room'!$B$15/4))^2),1)*IF(AND($A632&gt;='Control Room'!$A$16,$A632&lt;'Control Room'!$A$16+'Control Room'!$B$16,'Process'!BK5=1),1+('Control Room'!$C$16-1)*EXP(-0.5*(($A632-'Control Room'!$A$16-('Control Room'!$B$16-1)/2)/MAX(0.5,'Control Room'!$B$16/4))^2),1)</x:f>
        <x:v>1</x:v>
      </x:c>
      <x:c r="G632" s="9" t="n">
        <x:f>MOD(H631*16807,2147483647)</x:f>
        <x:v>491658761</x:v>
      </x:c>
      <x:c r="H632" s="9" t="n">
        <x:f>MOD(G632*16807,2147483647)</x:f>
        <x:v>1939206118</x:v>
      </x:c>
      <x:c r="I632" s="17" t="n">
        <x:f>IF('Control Room'!$B$5="Normal",'Control Room'!$B$7+'Control Room'!$D$7*SQRT(-2*LN(MAX(0.000000000001,G632/2147483647)))*COS(2*PI()*H632/2147483647),'Control Room'!$B$8+('Control Room'!$D$8-'Control Room'!$B$8)*G632/2147483647)</x:f>
        <x:v>1126.7241144345592</x:v>
      </x:c>
      <x:c r="J632" s="17" t="n">
        <x:f>IF('Control Room'!$B$5="Normal",'Control Room'!$B$7,('Control Room'!$B$8+'Control Room'!$D$8)/2)+'Control Room'!$B$9*(J631-IF('Control Room'!$B$5="Normal",'Control Room'!$B$7,('Control Room'!$B$8+'Control Room'!$D$8)/2))+SQRT(1-'Control Room'!$B$9^2)*(I632-IF('Control Room'!$B$5="Normal",'Control Room'!$B$7,('Control Room'!$B$8+'Control Room'!$D$8)/2))</x:f>
        <x:v>1082.886035972304</x:v>
      </x:c>
      <x:c r="K632" s="17" t="n">
        <x:f>IF(AND($A632&gt;='Control Room'!$A$13,$A632&lt;'Control Room'!$A$13+'Control Room'!$B$13,'Process'!BL2=1),1+('Control Room'!$C$13-1)*EXP(-0.5*(($A632-'Control Room'!$A$13-('Control Room'!$B$13-1)/2)/MAX(0.5,'Control Room'!$B$13/4))^2),1)*IF(AND($A632&gt;='Control Room'!$A$14,$A632&lt;'Control Room'!$A$14+'Control Room'!$B$14,'Process'!BL3=1),1+('Control Room'!$C$14-1)*EXP(-0.5*(($A632-'Control Room'!$A$14-('Control Room'!$B$14-1)/2)/MAX(0.5,'Control Room'!$B$14/4))^2),1)*IF(AND($A632&gt;='Control Room'!$A$15,$A632&lt;'Control Room'!$A$15+'Control Room'!$B$15,'Process'!BL4=1),1+('Control Room'!$C$15-1)*EXP(-0.5*(($A632-'Control Room'!$A$15-('Control Room'!$B$15-1)/2)/MAX(0.5,'Control Room'!$B$15/4))^2),1)*IF(AND($A632&gt;='Control Room'!$A$16,$A632&lt;'Control Room'!$A$16+'Control Room'!$B$16,'Process'!BL5=1),1+('Control Room'!$C$16-1)*EXP(-0.5*(($A632-'Control Room'!$A$16-('Control Room'!$B$16-1)/2)/MAX(0.5,'Control Room'!$B$16/4))^2),1)</x:f>
        <x:v>1</x:v>
      </x:c>
      <x:c r="L632" s="9" t="n">
        <x:f>MOD(M631*16807,2147483647)</x:f>
        <x:v>446047366</x:v>
      </x:c>
      <x:c r="M632" s="9" t="n">
        <x:f>MOD(L632*16807,2147483647)</x:f>
        <x:v>2000152332</x:v>
      </x:c>
      <x:c r="N632" s="17" t="n">
        <x:f>IF('Control Room'!$B$5="Normal",'Control Room'!$B$7+'Control Room'!$D$7*SQRT(-2*LN(MAX(0.000000000001,L632/2147483647)))*COS(2*PI()*M632/2147483647),'Control Room'!$B$8+('Control Room'!$D$8-'Control Room'!$B$8)*L632/2147483647)</x:f>
        <x:v>1144.9662395695532</x:v>
      </x:c>
      <x:c r="O632" s="17" t="n">
        <x:f>IF('Control Room'!$B$5="Normal",'Control Room'!$B$7,('Control Room'!$B$8+'Control Room'!$D$8)/2)+'Control Room'!$B$9*(O631-IF('Control Room'!$B$5="Normal",'Control Room'!$B$7,('Control Room'!$B$8+'Control Room'!$D$8)/2))+SQRT(1-'Control Room'!$B$9^2)*(N632-IF('Control Room'!$B$5="Normal",'Control Room'!$B$7,('Control Room'!$B$8+'Control Room'!$D$8)/2))</x:f>
        <x:v>1067.6824818067712</x:v>
      </x:c>
      <x:c r="P632" s="17" t="n">
        <x:f>IF(AND($A632&gt;='Control Room'!$A$13,$A632&lt;'Control Room'!$A$13+'Control Room'!$B$13,'Process'!BM2=1),1+('Control Room'!$C$13-1)*EXP(-0.5*(($A632-'Control Room'!$A$13-('Control Room'!$B$13-1)/2)/MAX(0.5,'Control Room'!$B$13/4))^2),1)*IF(AND($A632&gt;='Control Room'!$A$14,$A632&lt;'Control Room'!$A$14+'Control Room'!$B$14,'Process'!BM3=1),1+('Control Room'!$C$14-1)*EXP(-0.5*(($A632-'Control Room'!$A$14-('Control Room'!$B$14-1)/2)/MAX(0.5,'Control Room'!$B$14/4))^2),1)*IF(AND($A632&gt;='Control Room'!$A$15,$A632&lt;'Control Room'!$A$15+'Control Room'!$B$15,'Process'!BM4=1),1+('Control Room'!$C$15-1)*EXP(-0.5*(($A632-'Control Room'!$A$15-('Control Room'!$B$15-1)/2)/MAX(0.5,'Control Room'!$B$15/4))^2),1)*IF(AND($A632&gt;='Control Room'!$A$16,$A632&lt;'Control Room'!$A$16+'Control Room'!$B$16,'Process'!BM5=1),1+('Control Room'!$C$16-1)*EXP(-0.5*(($A632-'Control Room'!$A$16-('Control Room'!$B$16-1)/2)/MAX(0.5,'Control Room'!$B$16/4))^2),1)</x:f>
        <x:v>1</x:v>
      </x:c>
      <x:c r="Q632" s="9" t="n">
        <x:f>MOD(R631*16807,2147483647)</x:f>
        <x:v>400435971</x:v>
      </x:c>
      <x:c r="R632" s="9" t="n">
        <x:f>MOD(Q632*16807,2147483647)</x:f>
        <x:v>2061098546</x:v>
      </x:c>
      <x:c r="S632" s="17" t="n">
        <x:f>IF('Control Room'!$B$5="Normal",'Control Room'!$B$7+'Control Room'!$D$7*SQRT(-2*LN(MAX(0.000000000001,Q632/2147483647)))*COS(2*PI()*R632/2147483647),'Control Room'!$B$8+('Control Room'!$D$8-'Control Room'!$B$8)*Q632/2147483647)</x:f>
        <x:v>1159.7074739594236</x:v>
      </x:c>
      <x:c r="T632" s="17" t="n">
        <x:f>IF('Control Room'!$B$5="Normal",'Control Room'!$B$7,('Control Room'!$B$8+'Control Room'!$D$8)/2)+'Control Room'!$B$9*(T631-IF('Control Room'!$B$5="Normal",'Control Room'!$B$7,('Control Room'!$B$8+'Control Room'!$D$8)/2))+SQRT(1-'Control Room'!$B$9^2)*(S632-IF('Control Room'!$B$5="Normal",'Control Room'!$B$7,('Control Room'!$B$8+'Control Room'!$D$8)/2))</x:f>
        <x:v>1141.0250135438594</x:v>
      </x:c>
      <x:c r="U632" s="17" t="n">
        <x:f>IF(AND($A632&gt;='Control Room'!$A$13,$A632&lt;'Control Room'!$A$13+'Control Room'!$B$13,'Process'!BN2=1),1+('Control Room'!$C$13-1)*EXP(-0.5*(($A632-'Control Room'!$A$13-('Control Room'!$B$13-1)/2)/MAX(0.5,'Control Room'!$B$13/4))^2),1)*IF(AND($A632&gt;='Control Room'!$A$14,$A632&lt;'Control Room'!$A$14+'Control Room'!$B$14,'Process'!BN3=1),1+('Control Room'!$C$14-1)*EXP(-0.5*(($A632-'Control Room'!$A$14-('Control Room'!$B$14-1)/2)/MAX(0.5,'Control Room'!$B$14/4))^2),1)*IF(AND($A632&gt;='Control Room'!$A$15,$A632&lt;'Control Room'!$A$15+'Control Room'!$B$15,'Process'!BN4=1),1+('Control Room'!$C$15-1)*EXP(-0.5*(($A632-'Control Room'!$A$15-('Control Room'!$B$15-1)/2)/MAX(0.5,'Control Room'!$B$15/4))^2),1)*IF(AND($A632&gt;='Control Room'!$A$16,$A632&lt;'Control Room'!$A$16+'Control Room'!$B$16,'Process'!BN5=1),1+('Control Room'!$C$16-1)*EXP(-0.5*(($A632-'Control Room'!$A$16-('Control Room'!$B$16-1)/2)/MAX(0.5,'Control Room'!$B$16/4))^2),1)</x:f>
        <x:v>1</x:v>
      </x:c>
      <x:c r="V632" s="9" t="n">
        <x:f>MOD(W631*16807,2147483647)</x:f>
        <x:v>354824576</x:v>
      </x:c>
      <x:c r="W632" s="9" t="n">
        <x:f>MOD(V632*16807,2147483647)</x:f>
        <x:v>2122044760</x:v>
      </x:c>
      <x:c r="X632" s="17" t="n">
        <x:f>IF('Control Room'!$B$5="Normal",'Control Room'!$B$7+'Control Room'!$D$7*SQRT(-2*LN(MAX(0.000000000001,V632/2147483647)))*COS(2*PI()*W632/2147483647),'Control Room'!$B$8+('Control Room'!$D$8-'Control Room'!$B$8)*V632/2147483647)</x:f>
        <x:v>1170.3104824116072</x:v>
      </x:c>
      <x:c r="Y632" s="17" t="n">
        <x:f>IF('Control Room'!$B$5="Normal",'Control Room'!$B$7,('Control Room'!$B$8+'Control Room'!$D$8)/2)+'Control Room'!$B$9*(Y631-IF('Control Room'!$B$5="Normal",'Control Room'!$B$7,('Control Room'!$B$8+'Control Room'!$D$8)/2))+SQRT(1-'Control Room'!$B$9^2)*(X632-IF('Control Room'!$B$5="Normal",'Control Room'!$B$7,('Control Room'!$B$8+'Control Room'!$D$8)/2))</x:f>
        <x:v>1098.410914407082</x:v>
      </x:c>
      <x:c r="Z632" s="17" t="n">
        <x:f>IF(AND($A632&gt;='Control Room'!$A$13,$A632&lt;'Control Room'!$A$13+'Control Room'!$B$13,'Process'!BO2=1),1+('Control Room'!$C$13-1)*EXP(-0.5*(($A632-'Control Room'!$A$13-('Control Room'!$B$13-1)/2)/MAX(0.5,'Control Room'!$B$13/4))^2),1)*IF(AND($A632&gt;='Control Room'!$A$14,$A632&lt;'Control Room'!$A$14+'Control Room'!$B$14,'Process'!BO3=1),1+('Control Room'!$C$14-1)*EXP(-0.5*(($A632-'Control Room'!$A$14-('Control Room'!$B$14-1)/2)/MAX(0.5,'Control Room'!$B$14/4))^2),1)*IF(AND($A632&gt;='Control Room'!$A$15,$A632&lt;'Control Room'!$A$15+'Control Room'!$B$15,'Process'!BO4=1),1+('Control Room'!$C$15-1)*EXP(-0.5*(($A632-'Control Room'!$A$15-('Control Room'!$B$15-1)/2)/MAX(0.5,'Control Room'!$B$15/4))^2),1)*IF(AND($A632&gt;='Control Room'!$A$16,$A632&lt;'Control Room'!$A$16+'Control Room'!$B$16,'Process'!BO5=1),1+('Control Room'!$C$16-1)*EXP(-0.5*(($A632-'Control Room'!$A$16-('Control Room'!$B$16-1)/2)/MAX(0.5,'Control Room'!$B$16/4))^2),1)</x:f>
        <x:v>1</x:v>
      </x:c>
      <x:c r="AA632" s="9" t="n">
        <x:f>MOD(AB631*16807,2147483647)</x:f>
        <x:v>309213181</x:v>
      </x:c>
      <x:c r="AB632" s="9" t="n">
        <x:f>MOD(AA632*16807,2147483647)</x:f>
        <x:v>35507327</x:v>
      </x:c>
      <x:c r="AC632" s="17" t="n">
        <x:f>IF('Control Room'!$B$5="Normal",'Control Room'!$B$7+'Control Room'!$D$7*SQRT(-2*LN(MAX(0.000000000001,AA632/2147483647)))*COS(2*PI()*AB632/2147483647),'Control Room'!$B$8+('Control Room'!$D$8-'Control Room'!$B$8)*AA632/2147483647)</x:f>
        <x:v>1176.233672920449</x:v>
      </x:c>
      <x:c r="AD632" s="17" t="n">
        <x:f>IF('Control Room'!$B$5="Normal",'Control Room'!$B$7,('Control Room'!$B$8+'Control Room'!$D$8)/2)+'Control Room'!$B$9*(AD631-IF('Control Room'!$B$5="Normal",'Control Room'!$B$7,('Control Room'!$B$8+'Control Room'!$D$8)/2))+SQRT(1-'Control Room'!$B$9^2)*(AC632-IF('Control Room'!$B$5="Normal",'Control Room'!$B$7,('Control Room'!$B$8+'Control Room'!$D$8)/2))</x:f>
        <x:v>1154.058009683124</x:v>
      </x:c>
      <x:c r="AE632" s="17" t="n">
        <x:f>IF(AND($A632&gt;='Control Room'!$A$13,$A632&lt;'Control Room'!$A$13+'Control Room'!$B$13,'Process'!BP2=1),1+('Control Room'!$C$13-1)*EXP(-0.5*(($A632-'Control Room'!$A$13-('Control Room'!$B$13-1)/2)/MAX(0.5,'Control Room'!$B$13/4))^2),1)*IF(AND($A632&gt;='Control Room'!$A$14,$A632&lt;'Control Room'!$A$14+'Control Room'!$B$14,'Process'!BP3=1),1+('Control Room'!$C$14-1)*EXP(-0.5*(($A632-'Control Room'!$A$14-('Control Room'!$B$14-1)/2)/MAX(0.5,'Control Room'!$B$14/4))^2),1)*IF(AND($A632&gt;='Control Room'!$A$15,$A632&lt;'Control Room'!$A$15+'Control Room'!$B$15,'Process'!BP4=1),1+('Control Room'!$C$15-1)*EXP(-0.5*(($A632-'Control Room'!$A$15-('Control Room'!$B$15-1)/2)/MAX(0.5,'Control Room'!$B$15/4))^2),1)*IF(AND($A632&gt;='Control Room'!$A$16,$A632&lt;'Control Room'!$A$16+'Control Room'!$B$16,'Process'!BP5=1),1+('Control Room'!$C$16-1)*EXP(-0.5*(($A632-'Control Room'!$A$16-('Control Room'!$B$16-1)/2)/MAX(0.5,'Control Room'!$B$16/4))^2),1)</x:f>
        <x:v>1</x:v>
      </x:c>
      <x:c r="AF632" s="9" t="n">
        <x:f>MOD(AG631*16807,2147483647)</x:f>
        <x:v>263601786</x:v>
      </x:c>
      <x:c r="AG632" s="9" t="n">
        <x:f>MOD(AF632*16807,2147483647)</x:f>
        <x:v>96453541</x:v>
      </x:c>
      <x:c r="AH632" s="17" t="n">
        <x:f>IF('Control Room'!$B$5="Normal",'Control Room'!$B$7+'Control Room'!$D$7*SQRT(-2*LN(MAX(0.000000000001,AF632/2147483647)))*COS(2*PI()*AG632/2147483647),'Control Room'!$B$8+('Control Room'!$D$8-'Control Room'!$B$8)*AF632/2147483647)</x:f>
        <x:v>1177.048307530454</x:v>
      </x:c>
      <x:c r="AI632" s="17" t="n">
        <x:f>IF('Control Room'!$B$5="Normal",'Control Room'!$B$7,('Control Room'!$B$8+'Control Room'!$D$8)/2)+'Control Room'!$B$9*(AI631-IF('Control Room'!$B$5="Normal",'Control Room'!$B$7,('Control Room'!$B$8+'Control Room'!$D$8)/2))+SQRT(1-'Control Room'!$B$9^2)*(AH632-IF('Control Room'!$B$5="Normal",'Control Room'!$B$7,('Control Room'!$B$8+'Control Room'!$D$8)/2))</x:f>
        <x:v>1210.6563667544685</x:v>
      </x:c>
      <x:c r="AJ632" s="17" t="n">
        <x:f>IF(AND($A632&gt;='Control Room'!$A$13,$A632&lt;'Control Room'!$A$13+'Control Room'!$B$13,'Process'!BQ2=1),1+('Control Room'!$C$13-1)*EXP(-0.5*(($A632-'Control Room'!$A$13-('Control Room'!$B$13-1)/2)/MAX(0.5,'Control Room'!$B$13/4))^2),1)*IF(AND($A632&gt;='Control Room'!$A$14,$A632&lt;'Control Room'!$A$14+'Control Room'!$B$14,'Process'!BQ3=1),1+('Control Room'!$C$14-1)*EXP(-0.5*(($A632-'Control Room'!$A$14-('Control Room'!$B$14-1)/2)/MAX(0.5,'Control Room'!$B$14/4))^2),1)*IF(AND($A632&gt;='Control Room'!$A$15,$A632&lt;'Control Room'!$A$15+'Control Room'!$B$15,'Process'!BQ4=1),1+('Control Room'!$C$15-1)*EXP(-0.5*(($A632-'Control Room'!$A$15-('Control Room'!$B$15-1)/2)/MAX(0.5,'Control Room'!$B$15/4))^2),1)*IF(AND($A632&gt;='Control Room'!$A$16,$A632&lt;'Control Room'!$A$16+'Control Room'!$B$16,'Process'!BQ5=1),1+('Control Room'!$C$16-1)*EXP(-0.5*(($A632-'Control Room'!$A$16-('Control Room'!$B$16-1)/2)/MAX(0.5,'Control Room'!$B$16/4))^2),1)</x:f>
        <x:v>1</x:v>
      </x:c>
      <x:c r="AK632" s="9" t="n">
        <x:f>MOD(AL631*16807,2147483647)</x:f>
        <x:v>217990391</x:v>
      </x:c>
      <x:c r="AL632" s="9" t="n">
        <x:f>MOD(AK632*16807,2147483647)</x:f>
        <x:v>157399755</x:v>
      </x:c>
      <x:c r="AM632" s="17" t="n">
        <x:f>IF('Control Room'!$B$5="Normal",'Control Room'!$B$7+'Control Room'!$D$7*SQRT(-2*LN(MAX(0.000000000001,AK632/2147483647)))*COS(2*PI()*AL632/2147483647),'Control Room'!$B$8+('Control Room'!$D$8-'Control Room'!$B$8)*AK632/2147483647)</x:f>
        <x:v>1172.4518565162364</x:v>
      </x:c>
      <x:c r="AN632" s="17" t="n">
        <x:f>IF('Control Room'!$B$5="Normal",'Control Room'!$B$7,('Control Room'!$B$8+'Control Room'!$D$8)/2)+'Control Room'!$B$9*(AN631-IF('Control Room'!$B$5="Normal",'Control Room'!$B$7,('Control Room'!$B$8+'Control Room'!$D$8)/2))+SQRT(1-'Control Room'!$B$9^2)*(AM632-IF('Control Room'!$B$5="Normal",'Control Room'!$B$7,('Control Room'!$B$8+'Control Room'!$D$8)/2))</x:f>
        <x:v>1039.5052831079304</x:v>
      </x:c>
      <x:c r="AO632" s="17" t="n">
        <x:f>IF(AND($A632&gt;='Control Room'!$A$13,$A632&lt;'Control Room'!$A$13+'Control Room'!$B$13,'Process'!BR2=1),1+('Control Room'!$C$13-1)*EXP(-0.5*(($A632-'Control Room'!$A$13-('Control Room'!$B$13-1)/2)/MAX(0.5,'Control Room'!$B$13/4))^2),1)*IF(AND($A632&gt;='Control Room'!$A$14,$A632&lt;'Control Room'!$A$14+'Control Room'!$B$14,'Process'!BR3=1),1+('Control Room'!$C$14-1)*EXP(-0.5*(($A632-'Control Room'!$A$14-('Control Room'!$B$14-1)/2)/MAX(0.5,'Control Room'!$B$14/4))^2),1)*IF(AND($A632&gt;='Control Room'!$A$15,$A632&lt;'Control Room'!$A$15+'Control Room'!$B$15,'Process'!BR4=1),1+('Control Room'!$C$15-1)*EXP(-0.5*(($A632-'Control Room'!$A$15-('Control Room'!$B$15-1)/2)/MAX(0.5,'Control Room'!$B$15/4))^2),1)*IF(AND($A632&gt;='Control Room'!$A$16,$A632&lt;'Control Room'!$A$16+'Control Room'!$B$16,'Process'!BR5=1),1+('Control Room'!$C$16-1)*EXP(-0.5*(($A632-'Control Room'!$A$16-('Control Room'!$B$16-1)/2)/MAX(0.5,'Control Room'!$B$16/4))^2),1)</x:f>
        <x:v>1</x:v>
      </x:c>
      <x:c r="AP632" s="9" t="n">
        <x:f>MOD(AQ631*16807,2147483647)</x:f>
        <x:v>172378996</x:v>
      </x:c>
      <x:c r="AQ632" s="9" t="n">
        <x:f>MOD(AP632*16807,2147483647)</x:f>
        <x:v>218345969</x:v>
      </x:c>
      <x:c r="AR632" s="17" t="n">
        <x:f>IF('Control Room'!$B$5="Normal",'Control Room'!$B$7+'Control Room'!$D$7*SQRT(-2*LN(MAX(0.000000000001,AP632/2147483647)))*COS(2*PI()*AQ632/2147483647),'Control Room'!$B$8+('Control Room'!$D$8-'Control Room'!$B$8)*AP632/2147483647)</x:f>
        <x:v>1162.2781822819913</x:v>
      </x:c>
      <x:c r="AS632" s="17" t="n">
        <x:f>IF('Control Room'!$B$5="Normal",'Control Room'!$B$7,('Control Room'!$B$8+'Control Room'!$D$8)/2)+'Control Room'!$B$9*(AS631-IF('Control Room'!$B$5="Normal",'Control Room'!$B$7,('Control Room'!$B$8+'Control Room'!$D$8)/2))+SQRT(1-'Control Room'!$B$9^2)*(AR632-IF('Control Room'!$B$5="Normal",'Control Room'!$B$7,('Control Room'!$B$8+'Control Room'!$D$8)/2))</x:f>
        <x:v>1067.6794736336637</x:v>
      </x:c>
      <x:c r="AT632" s="17" t="n">
        <x:f>IF(AND($A632&gt;='Control Room'!$A$13,$A632&lt;'Control Room'!$A$13+'Control Room'!$B$13,'Process'!BS2=1),1+('Control Room'!$C$13-1)*EXP(-0.5*(($A632-'Control Room'!$A$13-('Control Room'!$B$13-1)/2)/MAX(0.5,'Control Room'!$B$13/4))^2),1)*IF(AND($A632&gt;='Control Room'!$A$14,$A632&lt;'Control Room'!$A$14+'Control Room'!$B$14,'Process'!BS3=1),1+('Control Room'!$C$14-1)*EXP(-0.5*(($A632-'Control Room'!$A$14-('Control Room'!$B$14-1)/2)/MAX(0.5,'Control Room'!$B$14/4))^2),1)*IF(AND($A632&gt;='Control Room'!$A$15,$A632&lt;'Control Room'!$A$15+'Control Room'!$B$15,'Process'!BS4=1),1+('Control Room'!$C$15-1)*EXP(-0.5*(($A632-'Control Room'!$A$15-('Control Room'!$B$15-1)/2)/MAX(0.5,'Control Room'!$B$15/4))^2),1)*IF(AND($A632&gt;='Control Room'!$A$16,$A632&lt;'Control Room'!$A$16+'Control Room'!$B$16,'Process'!BS5=1),1+('Control Room'!$C$16-1)*EXP(-0.5*(($A632-'Control Room'!$A$16-('Control Room'!$B$16-1)/2)/MAX(0.5,'Control Room'!$B$16/4))^2),1)</x:f>
        <x:v>1</x:v>
      </x:c>
      <x:c r="AU632" s="9" t="n">
        <x:f>MOD(AV631*16807,2147483647)</x:f>
        <x:v>126767601</x:v>
      </x:c>
      <x:c r="AV632" s="9" t="n">
        <x:f>MOD(AU632*16807,2147483647)</x:f>
        <x:v>279292183</x:v>
      </x:c>
      <x:c r="AW632" s="17" t="n">
        <x:f>IF('Control Room'!$B$5="Normal",'Control Room'!$B$7+'Control Room'!$D$7*SQRT(-2*LN(MAX(0.000000000001,AU632/2147483647)))*COS(2*PI()*AV632/2147483647),'Control Room'!$B$8+('Control Room'!$D$8-'Control Room'!$B$8)*AU632/2147483647)</x:f>
        <x:v>1146.5106789785157</x:v>
      </x:c>
      <x:c r="AX632" s="17" t="n">
        <x:f>IF('Control Room'!$B$5="Normal",'Control Room'!$B$7,('Control Room'!$B$8+'Control Room'!$D$8)/2)+'Control Room'!$B$9*(AX631-IF('Control Room'!$B$5="Normal",'Control Room'!$B$7,('Control Room'!$B$8+'Control Room'!$D$8)/2))+SQRT(1-'Control Room'!$B$9^2)*(AW632-IF('Control Room'!$B$5="Normal",'Control Room'!$B$7,('Control Room'!$B$8+'Control Room'!$D$8)/2))</x:f>
        <x:v>1113.8443478736851</x:v>
      </x:c>
      <x:c r="AY632" s="17" t="n">
        <x:f>IF(AND($A632&gt;='Control Room'!$A$13,$A632&lt;'Control Room'!$A$13+'Control Room'!$B$13,'Process'!BT2=1),1+('Control Room'!$C$13-1)*EXP(-0.5*(($A632-'Control Room'!$A$13-('Control Room'!$B$13-1)/2)/MAX(0.5,'Control Room'!$B$13/4))^2),1)*IF(AND($A632&gt;='Control Room'!$A$14,$A632&lt;'Control Room'!$A$14+'Control Room'!$B$14,'Process'!BT3=1),1+('Control Room'!$C$14-1)*EXP(-0.5*(($A632-'Control Room'!$A$14-('Control Room'!$B$14-1)/2)/MAX(0.5,'Control Room'!$B$14/4))^2),1)*IF(AND($A632&gt;='Control Room'!$A$15,$A632&lt;'Control Room'!$A$15+'Control Room'!$B$15,'Process'!BT4=1),1+('Control Room'!$C$15-1)*EXP(-0.5*(($A632-'Control Room'!$A$15-('Control Room'!$B$15-1)/2)/MAX(0.5,'Control Room'!$B$15/4))^2),1)*IF(AND($A632&gt;='Control Room'!$A$16,$A632&lt;'Control Room'!$A$16+'Control Room'!$B$16,'Process'!BT5=1),1+('Control Room'!$C$16-1)*EXP(-0.5*(($A632-'Control Room'!$A$16-('Control Room'!$B$16-1)/2)/MAX(0.5,'Control Room'!$B$16/4))^2),1)</x:f>
        <x:v>1</x:v>
      </x:c>
      <x:c r="AZ632" s="9" t="n">
        <x:f>MOD(BA631*16807,2147483647)</x:f>
        <x:v>81156206</x:v>
      </x:c>
      <x:c r="BA632" s="9" t="n">
        <x:f>MOD(AZ632*16807,2147483647)</x:f>
        <x:v>340238397</x:v>
      </x:c>
      <x:c r="BB632" s="17" t="n">
        <x:f>IF('Control Room'!$B$5="Normal",'Control Room'!$B$7+'Control Room'!$D$7*SQRT(-2*LN(MAX(0.000000000001,AZ632/2147483647)))*COS(2*PI()*BA632/2147483647),'Control Room'!$B$8+('Control Room'!$D$8-'Control Room'!$B$8)*AZ632/2147483647)</x:f>
        <x:v>1125.3388453121543</x:v>
      </x:c>
      <x:c r="BC632" s="17" t="n">
        <x:f>IF('Control Room'!$B$5="Normal",'Control Room'!$B$7,('Control Room'!$B$8+'Control Room'!$D$8)/2)+'Control Room'!$B$9*(BC631-IF('Control Room'!$B$5="Normal",'Control Room'!$B$7,('Control Room'!$B$8+'Control Room'!$D$8)/2))+SQRT(1-'Control Room'!$B$9^2)*(BB632-IF('Control Room'!$B$5="Normal",'Control Room'!$B$7,('Control Room'!$B$8+'Control Room'!$D$8)/2))</x:f>
        <x:v>966.6100748253707</x:v>
      </x:c>
      <x:c r="BD632" s="17" t="n">
        <x:f>IF(AND($A632&gt;='Control Room'!$A$13,$A632&lt;'Control Room'!$A$13+'Control Room'!$B$13,'Process'!BU2=1),1+('Control Room'!$C$13-1)*EXP(-0.5*(($A632-'Control Room'!$A$13-('Control Room'!$B$13-1)/2)/MAX(0.5,'Control Room'!$B$13/4))^2),1)*IF(AND($A632&gt;='Control Room'!$A$14,$A632&lt;'Control Room'!$A$14+'Control Room'!$B$14,'Process'!BU3=1),1+('Control Room'!$C$14-1)*EXP(-0.5*(($A632-'Control Room'!$A$14-('Control Room'!$B$14-1)/2)/MAX(0.5,'Control Room'!$B$14/4))^2),1)*IF(AND($A632&gt;='Control Room'!$A$15,$A632&lt;'Control Room'!$A$15+'Control Room'!$B$15,'Process'!BU4=1),1+('Control Room'!$C$15-1)*EXP(-0.5*(($A632-'Control Room'!$A$15-('Control Room'!$B$15-1)/2)/MAX(0.5,'Control Room'!$B$15/4))^2),1)*IF(AND($A632&gt;='Control Room'!$A$16,$A632&lt;'Control Room'!$A$16+'Control Room'!$B$16,'Process'!BU5=1),1+('Control Room'!$C$16-1)*EXP(-0.5*(($A632-'Control Room'!$A$16-('Control Room'!$B$16-1)/2)/MAX(0.5,'Control Room'!$B$16/4))^2),1)</x:f>
        <x:v>1</x:v>
      </x:c>
      <x:c r="BE632" s="9" t="n">
        <x:f>MOD(BF631*16807,2147483647)</x:f>
        <x:v>35544811</x:v>
      </x:c>
      <x:c r="BF632" s="9" t="n">
        <x:f>MOD(BE632*16807,2147483647)</x:f>
        <x:v>401184611</x:v>
      </x:c>
      <x:c r="BG632" s="17" t="n">
        <x:f>IF('Control Room'!$B$5="Normal",'Control Room'!$B$7+'Control Room'!$D$7*SQRT(-2*LN(MAX(0.000000000001,BE632/2147483647)))*COS(2*PI()*BF632/2147483647),'Control Room'!$B$8+('Control Room'!$D$8-'Control Room'!$B$8)*BE632/2147483647)</x:f>
        <x:v>1099.662924848986</x:v>
      </x:c>
      <x:c r="BH632" s="17" t="n">
        <x:f>IF('Control Room'!$B$5="Normal",'Control Room'!$B$7,('Control Room'!$B$8+'Control Room'!$D$8)/2)+'Control Room'!$B$9*(BH631-IF('Control Room'!$B$5="Normal",'Control Room'!$B$7,('Control Room'!$B$8+'Control Room'!$D$8)/2))+SQRT(1-'Control Room'!$B$9^2)*(BG632-IF('Control Room'!$B$5="Normal",'Control Room'!$B$7,('Control Room'!$B$8+'Control Room'!$D$8)/2))</x:f>
        <x:v>1161.99739801941</x:v>
      </x:c>
      <x:c r="BI632" s="17" t="n">
        <x:f>IF(AND($A632&gt;='Control Room'!$A$13,$A632&lt;'Control Room'!$A$13+'Control Room'!$B$13,'Process'!BV2=1),1+('Control Room'!$C$13-1)*EXP(-0.5*(($A632-'Control Room'!$A$13-('Control Room'!$B$13-1)/2)/MAX(0.5,'Control Room'!$B$13/4))^2),1)*IF(AND($A632&gt;='Control Room'!$A$14,$A632&lt;'Control Room'!$A$14+'Control Room'!$B$14,'Process'!BV3=1),1+('Control Room'!$C$14-1)*EXP(-0.5*(($A632-'Control Room'!$A$14-('Control Room'!$B$14-1)/2)/MAX(0.5,'Control Room'!$B$14/4))^2),1)*IF(AND($A632&gt;='Control Room'!$A$15,$A632&lt;'Control Room'!$A$15+'Control Room'!$B$15,'Process'!BV4=1),1+('Control Room'!$C$15-1)*EXP(-0.5*(($A632-'Control Room'!$A$15-('Control Room'!$B$15-1)/2)/MAX(0.5,'Control Room'!$B$15/4))^2),1)*IF(AND($A632&gt;='Control Room'!$A$16,$A632&lt;'Control Room'!$A$16+'Control Room'!$B$16,'Process'!BV5=1),1+('Control Room'!$C$16-1)*EXP(-0.5*(($A632-'Control Room'!$A$16-('Control Room'!$B$16-1)/2)/MAX(0.5,'Control Room'!$B$16/4))^2),1)</x:f>
        <x:v>1</x:v>
      </x:c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Z632" t="str">
        <x:f>IF('Data'!A632="","",TEXT('Data'!A632,"mm-dd"))</x:f>
      </x:c>
    </x:row>
    <x:row r="633" ht="21" customHeight="1">
      <x:c r="A633" s="15" t="n">
        <x:f>'Control Room'!$B$1+631</x:f>
        <x:v>73622</x:v>
      </x:c>
      <x:c r="B633" s="9" t="n">
        <x:f>MOD(C632*16807,2147483647)</x:f>
        <x:v>2052079275</x:v>
      </x:c>
      <x:c r="C633" s="9" t="n">
        <x:f>MOD(B633*16807,2147483647)</x:f>
        <x:v>709004105</x:v>
      </x:c>
      <x:c r="D633" s="17" t="n">
        <x:f>IF('Control Room'!$B$5="Normal",'Control Room'!$B$7+'Control Room'!$D$7*SQRT(-2*LN(MAX(0.000000000001,B633/2147483647)))*COS(2*PI()*C633/2147483647),'Control Room'!$B$8+('Control Room'!$D$8-'Control Room'!$B$8)*B633/2147483647)</x:f>
        <x:v>986.9054900012856</x:v>
      </x:c>
      <x:c r="E633" s="17" t="n">
        <x:f>IF('Control Room'!$B$5="Normal",'Control Room'!$B$7,('Control Room'!$B$8+'Control Room'!$D$8)/2)+'Control Room'!$B$9*(E632-IF('Control Room'!$B$5="Normal",'Control Room'!$B$7,('Control Room'!$B$8+'Control Room'!$D$8)/2))+SQRT(1-'Control Room'!$B$9^2)*(D633-IF('Control Room'!$B$5="Normal",'Control Room'!$B$7,('Control Room'!$B$8+'Control Room'!$D$8)/2))</x:f>
        <x:v>1128.2701529167125</x:v>
      </x:c>
      <x:c r="F633" s="17" t="n">
        <x:f>IF(AND($A633&gt;='Control Room'!$A$13,$A633&lt;'Control Room'!$A$13+'Control Room'!$B$13,'Process'!BK2=1),1+('Control Room'!$C$13-1)*EXP(-0.5*(($A633-'Control Room'!$A$13-('Control Room'!$B$13-1)/2)/MAX(0.5,'Control Room'!$B$13/4))^2),1)*IF(AND($A633&gt;='Control Room'!$A$14,$A633&lt;'Control Room'!$A$14+'Control Room'!$B$14,'Process'!BK3=1),1+('Control Room'!$C$14-1)*EXP(-0.5*(($A633-'Control Room'!$A$14-('Control Room'!$B$14-1)/2)/MAX(0.5,'Control Room'!$B$14/4))^2),1)*IF(AND($A633&gt;='Control Room'!$A$15,$A633&lt;'Control Room'!$A$15+'Control Room'!$B$15,'Process'!BK4=1),1+('Control Room'!$C$15-1)*EXP(-0.5*(($A633-'Control Room'!$A$15-('Control Room'!$B$15-1)/2)/MAX(0.5,'Control Room'!$B$15/4))^2),1)*IF(AND($A633&gt;='Control Room'!$A$16,$A633&lt;'Control Room'!$A$16+'Control Room'!$B$16,'Process'!BK5=1),1+('Control Room'!$C$16-1)*EXP(-0.5*(($A633-'Control Room'!$A$16-('Control Room'!$B$16-1)/2)/MAX(0.5,'Control Room'!$B$16/4))^2),1)</x:f>
        <x:v>1</x:v>
      </x:c>
      <x:c r="G633" s="9" t="n">
        <x:f>MOD(H632*16807,2147483647)</x:f>
        <x:v>2025398354</x:v>
      </x:c>
      <x:c r="H633" s="9" t="n">
        <x:f>MOD(G633*16807,2147483647)</x:f>
        <x:v>1106847081</x:v>
      </x:c>
      <x:c r="I633" s="17" t="n">
        <x:f>IF('Control Room'!$B$5="Normal",'Control Room'!$B$7+'Control Room'!$D$7*SQRT(-2*LN(MAX(0.000000000001,G633/2147483647)))*COS(2*PI()*H633/2147483647),'Control Room'!$B$8+('Control Room'!$D$8-'Control Room'!$B$8)*G633/2147483647)</x:f>
        <x:v>969.3516114034328</x:v>
      </x:c>
      <x:c r="J633" s="17" t="n">
        <x:f>IF('Control Room'!$B$5="Normal",'Control Room'!$B$7,('Control Room'!$B$8+'Control Room'!$D$8)/2)+'Control Room'!$B$9*(J632-IF('Control Room'!$B$5="Normal",'Control Room'!$B$7,('Control Room'!$B$8+'Control Room'!$D$8)/2))+SQRT(1-'Control Room'!$B$9^2)*(I633-IF('Control Room'!$B$5="Normal",'Control Room'!$B$7,('Control Room'!$B$8+'Control Room'!$D$8)/2))</x:f>
        <x:v>1045.4719743410333</x:v>
      </x:c>
      <x:c r="K633" s="17" t="n">
        <x:f>IF(AND($A633&gt;='Control Room'!$A$13,$A633&lt;'Control Room'!$A$13+'Control Room'!$B$13,'Process'!BL2=1),1+('Control Room'!$C$13-1)*EXP(-0.5*(($A633-'Control Room'!$A$13-('Control Room'!$B$13-1)/2)/MAX(0.5,'Control Room'!$B$13/4))^2),1)*IF(AND($A633&gt;='Control Room'!$A$14,$A633&lt;'Control Room'!$A$14+'Control Room'!$B$14,'Process'!BL3=1),1+('Control Room'!$C$14-1)*EXP(-0.5*(($A633-'Control Room'!$A$14-('Control Room'!$B$14-1)/2)/MAX(0.5,'Control Room'!$B$14/4))^2),1)*IF(AND($A633&gt;='Control Room'!$A$15,$A633&lt;'Control Room'!$A$15+'Control Room'!$B$15,'Process'!BL4=1),1+('Control Room'!$C$15-1)*EXP(-0.5*(($A633-'Control Room'!$A$15-('Control Room'!$B$15-1)/2)/MAX(0.5,'Control Room'!$B$15/4))^2),1)*IF(AND($A633&gt;='Control Room'!$A$16,$A633&lt;'Control Room'!$A$16+'Control Room'!$B$16,'Process'!BL5=1),1+('Control Room'!$C$16-1)*EXP(-0.5*(($A633-'Control Room'!$A$16-('Control Room'!$B$16-1)/2)/MAX(0.5,'Control Room'!$B$16/4))^2),1)</x:f>
        <x:v>1</x:v>
      </x:c>
      <x:c r="L633" s="9" t="n">
        <x:f>MOD(M632*16807,2147483647)</x:f>
        <x:v>1998717433</x:v>
      </x:c>
      <x:c r="M633" s="9" t="n">
        <x:f>MOD(L633*16807,2147483647)</x:f>
        <x:v>1504690057</x:v>
      </x:c>
      <x:c r="N633" s="17" t="n">
        <x:f>IF('Control Room'!$B$5="Normal",'Control Room'!$B$7+'Control Room'!$D$7*SQRT(-2*LN(MAX(0.000000000001,L633/2147483647)))*COS(2*PI()*M633/2147483647),'Control Room'!$B$8+('Control Room'!$D$8-'Control Room'!$B$8)*L633/2147483647)</x:f>
        <x:v>989.5994271735096</x:v>
      </x:c>
      <x:c r="O633" s="17" t="n">
        <x:f>IF('Control Room'!$B$5="Normal",'Control Room'!$B$7,('Control Room'!$B$8+'Control Room'!$D$8)/2)+'Control Room'!$B$9*(O632-IF('Control Room'!$B$5="Normal",'Control Room'!$B$7,('Control Room'!$B$8+'Control Room'!$D$8)/2))+SQRT(1-'Control Room'!$B$9^2)*(N633-IF('Control Room'!$B$5="Normal",'Control Room'!$B$7,('Control Room'!$B$8+'Control Room'!$D$8)/2))</x:f>
        <x:v>1046.2838704017793</x:v>
      </x:c>
      <x:c r="P633" s="17" t="n">
        <x:f>IF(AND($A633&gt;='Control Room'!$A$13,$A633&lt;'Control Room'!$A$13+'Control Room'!$B$13,'Process'!BM2=1),1+('Control Room'!$C$13-1)*EXP(-0.5*(($A633-'Control Room'!$A$13-('Control Room'!$B$13-1)/2)/MAX(0.5,'Control Room'!$B$13/4))^2),1)*IF(AND($A633&gt;='Control Room'!$A$14,$A633&lt;'Control Room'!$A$14+'Control Room'!$B$14,'Process'!BM3=1),1+('Control Room'!$C$14-1)*EXP(-0.5*(($A633-'Control Room'!$A$14-('Control Room'!$B$14-1)/2)/MAX(0.5,'Control Room'!$B$14/4))^2),1)*IF(AND($A633&gt;='Control Room'!$A$15,$A633&lt;'Control Room'!$A$15+'Control Room'!$B$15,'Process'!BM4=1),1+('Control Room'!$C$15-1)*EXP(-0.5*(($A633-'Control Room'!$A$15-('Control Room'!$B$15-1)/2)/MAX(0.5,'Control Room'!$B$15/4))^2),1)*IF(AND($A633&gt;='Control Room'!$A$16,$A633&lt;'Control Room'!$A$16+'Control Room'!$B$16,'Process'!BM5=1),1+('Control Room'!$C$16-1)*EXP(-0.5*(($A633-'Control Room'!$A$16-('Control Room'!$B$16-1)/2)/MAX(0.5,'Control Room'!$B$16/4))^2),1)</x:f>
        <x:v>1</x:v>
      </x:c>
      <x:c r="Q633" s="9" t="n">
        <x:f>MOD(R632*16807,2147483647)</x:f>
        <x:v>1972036512</x:v>
      </x:c>
      <x:c r="R633" s="9" t="n">
        <x:f>MOD(Q633*16807,2147483647)</x:f>
        <x:v>1902533033</x:v>
      </x:c>
      <x:c r="S633" s="17" t="n">
        <x:f>IF('Control Room'!$B$5="Normal",'Control Room'!$B$7+'Control Room'!$D$7*SQRT(-2*LN(MAX(0.000000000001,Q633/2147483647)))*COS(2*PI()*R633/2147483647),'Control Room'!$B$8+('Control Room'!$D$8-'Control Room'!$B$8)*Q633/2147483647)</x:f>
        <x:v>1028.0167467747863</x:v>
      </x:c>
      <x:c r="T633" s="17" t="n">
        <x:f>IF('Control Room'!$B$5="Normal",'Control Room'!$B$7,('Control Room'!$B$8+'Control Room'!$D$8)/2)+'Control Room'!$B$9*(T632-IF('Control Room'!$B$5="Normal",'Control Room'!$B$7,('Control Room'!$B$8+'Control Room'!$D$8)/2))+SQRT(1-'Control Room'!$B$9^2)*(S633-IF('Control Room'!$B$5="Normal",'Control Room'!$B$7,('Control Room'!$B$8+'Control Room'!$D$8)/2))</x:f>
        <x:v>1127.5318167416167</x:v>
      </x:c>
      <x:c r="U633" s="17" t="n">
        <x:f>IF(AND($A633&gt;='Control Room'!$A$13,$A633&lt;'Control Room'!$A$13+'Control Room'!$B$13,'Process'!BN2=1),1+('Control Room'!$C$13-1)*EXP(-0.5*(($A633-'Control Room'!$A$13-('Control Room'!$B$13-1)/2)/MAX(0.5,'Control Room'!$B$13/4))^2),1)*IF(AND($A633&gt;='Control Room'!$A$14,$A633&lt;'Control Room'!$A$14+'Control Room'!$B$14,'Process'!BN3=1),1+('Control Room'!$C$14-1)*EXP(-0.5*(($A633-'Control Room'!$A$14-('Control Room'!$B$14-1)/2)/MAX(0.5,'Control Room'!$B$14/4))^2),1)*IF(AND($A633&gt;='Control Room'!$A$15,$A633&lt;'Control Room'!$A$15+'Control Room'!$B$15,'Process'!BN4=1),1+('Control Room'!$C$15-1)*EXP(-0.5*(($A633-'Control Room'!$A$15-('Control Room'!$B$15-1)/2)/MAX(0.5,'Control Room'!$B$15/4))^2),1)*IF(AND($A633&gt;='Control Room'!$A$16,$A633&lt;'Control Room'!$A$16+'Control Room'!$B$16,'Process'!BN5=1),1+('Control Room'!$C$16-1)*EXP(-0.5*(($A633-'Control Room'!$A$16-('Control Room'!$B$16-1)/2)/MAX(0.5,'Control Room'!$B$16/4))^2),1)</x:f>
        <x:v>1</x:v>
      </x:c>
      <x:c r="V633" s="9" t="n">
        <x:f>MOD(W632*16807,2147483647)</x:f>
        <x:v>1945355591</x:v>
      </x:c>
      <x:c r="W633" s="9" t="n">
        <x:f>MOD(V633*16807,2147483647)</x:f>
        <x:v>152892362</x:v>
      </x:c>
      <x:c r="X633" s="17" t="n">
        <x:f>IF('Control Room'!$B$5="Normal",'Control Room'!$B$7+'Control Room'!$D$7*SQRT(-2*LN(MAX(0.000000000001,V633/2147483647)))*COS(2*PI()*W633/2147483647),'Control Room'!$B$8+('Control Room'!$D$8-'Control Room'!$B$8)*V633/2147483647)</x:f>
        <x:v>1036.0798688508796</x:v>
      </x:c>
      <x:c r="Y633" s="17" t="n">
        <x:f>IF('Control Room'!$B$5="Normal",'Control Room'!$B$7,('Control Room'!$B$8+'Control Room'!$D$8)/2)+'Control Room'!$B$9*(Y632-IF('Control Room'!$B$5="Normal",'Control Room'!$B$7,('Control Room'!$B$8+'Control Room'!$D$8)/2))+SQRT(1-'Control Room'!$B$9^2)*(X633-IF('Control Room'!$B$5="Normal",'Control Room'!$B$7,('Control Room'!$B$8+'Control Room'!$D$8)/2))</x:f>
        <x:v>1099.3385560281151</x:v>
      </x:c>
      <x:c r="Z633" s="17" t="n">
        <x:f>IF(AND($A633&gt;='Control Room'!$A$13,$A633&lt;'Control Room'!$A$13+'Control Room'!$B$13,'Process'!BO2=1),1+('Control Room'!$C$13-1)*EXP(-0.5*(($A633-'Control Room'!$A$13-('Control Room'!$B$13-1)/2)/MAX(0.5,'Control Room'!$B$13/4))^2),1)*IF(AND($A633&gt;='Control Room'!$A$14,$A633&lt;'Control Room'!$A$14+'Control Room'!$B$14,'Process'!BO3=1),1+('Control Room'!$C$14-1)*EXP(-0.5*(($A633-'Control Room'!$A$14-('Control Room'!$B$14-1)/2)/MAX(0.5,'Control Room'!$B$14/4))^2),1)*IF(AND($A633&gt;='Control Room'!$A$15,$A633&lt;'Control Room'!$A$15+'Control Room'!$B$15,'Process'!BO4=1),1+('Control Room'!$C$15-1)*EXP(-0.5*(($A633-'Control Room'!$A$15-('Control Room'!$B$15-1)/2)/MAX(0.5,'Control Room'!$B$15/4))^2),1)*IF(AND($A633&gt;='Control Room'!$A$16,$A633&lt;'Control Room'!$A$16+'Control Room'!$B$16,'Process'!BO5=1),1+('Control Room'!$C$16-1)*EXP(-0.5*(($A633-'Control Room'!$A$16-('Control Room'!$B$16-1)/2)/MAX(0.5,'Control Room'!$B$16/4))^2),1)</x:f>
        <x:v>1</x:v>
      </x:c>
      <x:c r="AA633" s="9" t="n">
        <x:f>MOD(AB632*16807,2147483647)</x:f>
        <x:v>1918674670</x:v>
      </x:c>
      <x:c r="AB633" s="9" t="n">
        <x:f>MOD(AA633*16807,2147483647)</x:f>
        <x:v>550735338</x:v>
      </x:c>
      <x:c r="AC633" s="17" t="n">
        <x:f>IF('Control Room'!$B$5="Normal",'Control Room'!$B$7+'Control Room'!$D$7*SQRT(-2*LN(MAX(0.000000000001,AA633/2147483647)))*COS(2*PI()*AB633/2147483647),'Control Room'!$B$8+('Control Room'!$D$8-'Control Room'!$B$8)*AA633/2147483647)</x:f>
        <x:v>998.267476248022</x:v>
      </x:c>
      <x:c r="AD633" s="17" t="n">
        <x:f>IF('Control Room'!$B$5="Normal",'Control Room'!$B$7,('Control Room'!$B$8+'Control Room'!$D$8)/2)+'Control Room'!$B$9*(AD632-IF('Control Room'!$B$5="Normal",'Control Room'!$B$7,('Control Room'!$B$8+'Control Room'!$D$8)/2))+SQRT(1-'Control Room'!$B$9^2)*(AC633-IF('Control Room'!$B$5="Normal",'Control Room'!$B$7,('Control Room'!$B$8+'Control Room'!$D$8)/2))</x:f>
        <x:v>1119.0810696815272</x:v>
      </x:c>
      <x:c r="AE633" s="17" t="n">
        <x:f>IF(AND($A633&gt;='Control Room'!$A$13,$A633&lt;'Control Room'!$A$13+'Control Room'!$B$13,'Process'!BP2=1),1+('Control Room'!$C$13-1)*EXP(-0.5*(($A633-'Control Room'!$A$13-('Control Room'!$B$13-1)/2)/MAX(0.5,'Control Room'!$B$13/4))^2),1)*IF(AND($A633&gt;='Control Room'!$A$14,$A633&lt;'Control Room'!$A$14+'Control Room'!$B$14,'Process'!BP3=1),1+('Control Room'!$C$14-1)*EXP(-0.5*(($A633-'Control Room'!$A$14-('Control Room'!$B$14-1)/2)/MAX(0.5,'Control Room'!$B$14/4))^2),1)*IF(AND($A633&gt;='Control Room'!$A$15,$A633&lt;'Control Room'!$A$15+'Control Room'!$B$15,'Process'!BP4=1),1+('Control Room'!$C$15-1)*EXP(-0.5*(($A633-'Control Room'!$A$15-('Control Room'!$B$15-1)/2)/MAX(0.5,'Control Room'!$B$15/4))^2),1)*IF(AND($A633&gt;='Control Room'!$A$16,$A633&lt;'Control Room'!$A$16+'Control Room'!$B$16,'Process'!BP5=1),1+('Control Room'!$C$16-1)*EXP(-0.5*(($A633-'Control Room'!$A$16-('Control Room'!$B$16-1)/2)/MAX(0.5,'Control Room'!$B$16/4))^2),1)</x:f>
        <x:v>1</x:v>
      </x:c>
      <x:c r="AF633" s="9" t="n">
        <x:f>MOD(AG632*16807,2147483647)</x:f>
        <x:v>1891993749</x:v>
      </x:c>
      <x:c r="AG633" s="9" t="n">
        <x:f>MOD(AF633*16807,2147483647)</x:f>
        <x:v>948578314</x:v>
      </x:c>
      <x:c r="AH633" s="17" t="n">
        <x:f>IF('Control Room'!$B$5="Normal",'Control Room'!$B$7+'Control Room'!$D$7*SQRT(-2*LN(MAX(0.000000000001,AF633/2147483647)))*COS(2*PI()*AG633/2147483647),'Control Room'!$B$8+('Control Room'!$D$8-'Control Room'!$B$8)*AF633/2147483647)</x:f>
        <x:v>957.7048630805723</x:v>
      </x:c>
      <x:c r="AI633" s="17" t="n">
        <x:f>IF('Control Room'!$B$5="Normal",'Control Room'!$B$7,('Control Room'!$B$8+'Control Room'!$D$8)/2)+'Control Room'!$B$9*(AI632-IF('Control Room'!$B$5="Normal",'Control Room'!$B$7,('Control Room'!$B$8+'Control Room'!$D$8)/2))+SQRT(1-'Control Room'!$B$9^2)*(AH633-IF('Control Room'!$B$5="Normal",'Control Room'!$B$7,('Control Room'!$B$8+'Control Room'!$D$8)/2))</x:f>
        <x:v>1137.8445358472839</x:v>
      </x:c>
      <x:c r="AJ633" s="17" t="n">
        <x:f>IF(AND($A633&gt;='Control Room'!$A$13,$A633&lt;'Control Room'!$A$13+'Control Room'!$B$13,'Process'!BQ2=1),1+('Control Room'!$C$13-1)*EXP(-0.5*(($A633-'Control Room'!$A$13-('Control Room'!$B$13-1)/2)/MAX(0.5,'Control Room'!$B$13/4))^2),1)*IF(AND($A633&gt;='Control Room'!$A$14,$A633&lt;'Control Room'!$A$14+'Control Room'!$B$14,'Process'!BQ3=1),1+('Control Room'!$C$14-1)*EXP(-0.5*(($A633-'Control Room'!$A$14-('Control Room'!$B$14-1)/2)/MAX(0.5,'Control Room'!$B$14/4))^2),1)*IF(AND($A633&gt;='Control Room'!$A$15,$A633&lt;'Control Room'!$A$15+'Control Room'!$B$15,'Process'!BQ4=1),1+('Control Room'!$C$15-1)*EXP(-0.5*(($A633-'Control Room'!$A$15-('Control Room'!$B$15-1)/2)/MAX(0.5,'Control Room'!$B$15/4))^2),1)*IF(AND($A633&gt;='Control Room'!$A$16,$A633&lt;'Control Room'!$A$16+'Control Room'!$B$16,'Process'!BQ5=1),1+('Control Room'!$C$16-1)*EXP(-0.5*(($A633-'Control Room'!$A$16-('Control Room'!$B$16-1)/2)/MAX(0.5,'Control Room'!$B$16/4))^2),1)</x:f>
        <x:v>1</x:v>
      </x:c>
      <x:c r="AK633" s="9" t="n">
        <x:f>MOD(AL632*16807,2147483647)</x:f>
        <x:v>1865312828</x:v>
      </x:c>
      <x:c r="AL633" s="9" t="n">
        <x:f>MOD(AK633*16807,2147483647)</x:f>
        <x:v>1346421290</x:v>
      </x:c>
      <x:c r="AM633" s="17" t="n">
        <x:f>IF('Control Room'!$B$5="Normal",'Control Room'!$B$7+'Control Room'!$D$7*SQRT(-2*LN(MAX(0.000000000001,AK633/2147483647)))*COS(2*PI()*AL633/2147483647),'Control Room'!$B$8+('Control Room'!$D$8-'Control Room'!$B$8)*AK633/2147483647)</x:f>
        <x:v>966.6428928894736</x:v>
      </x:c>
      <x:c r="AN633" s="17" t="n">
        <x:f>IF('Control Room'!$B$5="Normal",'Control Room'!$B$7,('Control Room'!$B$8+'Control Room'!$D$8)/2)+'Control Room'!$B$9*(AN632-IF('Control Room'!$B$5="Normal",'Control Room'!$B$7,('Control Room'!$B$8+'Control Room'!$D$8)/2))+SQRT(1-'Control Room'!$B$9^2)*(AM633-IF('Control Room'!$B$5="Normal",'Control Room'!$B$7,('Control Room'!$B$8+'Control Room'!$D$8)/2))</x:f>
        <x:v>1009.9399265519012</x:v>
      </x:c>
      <x:c r="AO633" s="17" t="n">
        <x:f>IF(AND($A633&gt;='Control Room'!$A$13,$A633&lt;'Control Room'!$A$13+'Control Room'!$B$13,'Process'!BR2=1),1+('Control Room'!$C$13-1)*EXP(-0.5*(($A633-'Control Room'!$A$13-('Control Room'!$B$13-1)/2)/MAX(0.5,'Control Room'!$B$13/4))^2),1)*IF(AND($A633&gt;='Control Room'!$A$14,$A633&lt;'Control Room'!$A$14+'Control Room'!$B$14,'Process'!BR3=1),1+('Control Room'!$C$14-1)*EXP(-0.5*(($A633-'Control Room'!$A$14-('Control Room'!$B$14-1)/2)/MAX(0.5,'Control Room'!$B$14/4))^2),1)*IF(AND($A633&gt;='Control Room'!$A$15,$A633&lt;'Control Room'!$A$15+'Control Room'!$B$15,'Process'!BR4=1),1+('Control Room'!$C$15-1)*EXP(-0.5*(($A633-'Control Room'!$A$15-('Control Room'!$B$15-1)/2)/MAX(0.5,'Control Room'!$B$15/4))^2),1)*IF(AND($A633&gt;='Control Room'!$A$16,$A633&lt;'Control Room'!$A$16+'Control Room'!$B$16,'Process'!BR5=1),1+('Control Room'!$C$16-1)*EXP(-0.5*(($A633-'Control Room'!$A$16-('Control Room'!$B$16-1)/2)/MAX(0.5,'Control Room'!$B$16/4))^2),1)</x:f>
        <x:v>1</x:v>
      </x:c>
      <x:c r="AP633" s="9" t="n">
        <x:f>MOD(AQ632*16807,2147483647)</x:f>
        <x:v>1838631907</x:v>
      </x:c>
      <x:c r="AQ633" s="9" t="n">
        <x:f>MOD(AP633*16807,2147483647)</x:f>
        <x:v>1744264266</x:v>
      </x:c>
      <x:c r="AR633" s="17" t="n">
        <x:f>IF('Control Room'!$B$5="Normal",'Control Room'!$B$7+'Control Room'!$D$7*SQRT(-2*LN(MAX(0.000000000001,AP633/2147483647)))*COS(2*PI()*AQ633/2147483647),'Control Room'!$B$8+('Control Room'!$D$8-'Control Room'!$B$8)*AP633/2147483647)</x:f>
        <x:v>1019.1164364023606</x:v>
      </x:c>
      <x:c r="AS633" s="17" t="n">
        <x:f>IF('Control Room'!$B$5="Normal",'Control Room'!$B$7,('Control Room'!$B$8+'Control Room'!$D$8)/2)+'Control Room'!$B$9*(AS632-IF('Control Room'!$B$5="Normal",'Control Room'!$B$7,('Control Room'!$B$8+'Control Room'!$D$8)/2))+SQRT(1-'Control Room'!$B$9^2)*(AR633-IF('Control Room'!$B$5="Normal",'Control Room'!$B$7,('Control Room'!$B$8+'Control Room'!$D$8)/2))</x:f>
        <x:v>1064.7526637133687</x:v>
      </x:c>
      <x:c r="AT633" s="17" t="n">
        <x:f>IF(AND($A633&gt;='Control Room'!$A$13,$A633&lt;'Control Room'!$A$13+'Control Room'!$B$13,'Process'!BS2=1),1+('Control Room'!$C$13-1)*EXP(-0.5*(($A633-'Control Room'!$A$13-('Control Room'!$B$13-1)/2)/MAX(0.5,'Control Room'!$B$13/4))^2),1)*IF(AND($A633&gt;='Control Room'!$A$14,$A633&lt;'Control Room'!$A$14+'Control Room'!$B$14,'Process'!BS3=1),1+('Control Room'!$C$14-1)*EXP(-0.5*(($A633-'Control Room'!$A$14-('Control Room'!$B$14-1)/2)/MAX(0.5,'Control Room'!$B$14/4))^2),1)*IF(AND($A633&gt;='Control Room'!$A$15,$A633&lt;'Control Room'!$A$15+'Control Room'!$B$15,'Process'!BS4=1),1+('Control Room'!$C$15-1)*EXP(-0.5*(($A633-'Control Room'!$A$15-('Control Room'!$B$15-1)/2)/MAX(0.5,'Control Room'!$B$15/4))^2),1)*IF(AND($A633&gt;='Control Room'!$A$16,$A633&lt;'Control Room'!$A$16+'Control Room'!$B$16,'Process'!BS5=1),1+('Control Room'!$C$16-1)*EXP(-0.5*(($A633-'Control Room'!$A$16-('Control Room'!$B$16-1)/2)/MAX(0.5,'Control Room'!$B$16/4))^2),1)</x:f>
        <x:v>1</x:v>
      </x:c>
      <x:c r="AU633" s="9" t="n">
        <x:f>MOD(AV632*16807,2147483647)</x:f>
        <x:v>1811950986</x:v>
      </x:c>
      <x:c r="AV633" s="9" t="n">
        <x:f>MOD(AU633*16807,2147483647)</x:f>
        <x:v>2142107242</x:v>
      </x:c>
      <x:c r="AW633" s="17" t="n">
        <x:f>IF('Control Room'!$B$5="Normal",'Control Room'!$B$7+'Control Room'!$D$7*SQRT(-2*LN(MAX(0.000000000001,AU633/2147483647)))*COS(2*PI()*AV633/2147483647),'Control Room'!$B$8+('Control Room'!$D$8-'Control Room'!$B$8)*AU633/2147483647)</x:f>
        <x:v>1052.4554970724585</x:v>
      </x:c>
      <x:c r="AX633" s="17" t="n">
        <x:f>IF('Control Room'!$B$5="Normal",'Control Room'!$B$7,('Control Room'!$B$8+'Control Room'!$D$8)/2)+'Control Room'!$B$9*(AX632-IF('Control Room'!$B$5="Normal",'Control Room'!$B$7,('Control Room'!$B$8+'Control Room'!$D$8)/2))+SQRT(1-'Control Room'!$B$9^2)*(AW633-IF('Control Room'!$B$5="Normal",'Control Room'!$B$7,('Control Room'!$B$8+'Control Room'!$D$8)/2))</x:f>
        <x:v>1121.624166800151</x:v>
      </x:c>
      <x:c r="AY633" s="17" t="n">
        <x:f>IF(AND($A633&gt;='Control Room'!$A$13,$A633&lt;'Control Room'!$A$13+'Control Room'!$B$13,'Process'!BT2=1),1+('Control Room'!$C$13-1)*EXP(-0.5*(($A633-'Control Room'!$A$13-('Control Room'!$B$13-1)/2)/MAX(0.5,'Control Room'!$B$13/4))^2),1)*IF(AND($A633&gt;='Control Room'!$A$14,$A633&lt;'Control Room'!$A$14+'Control Room'!$B$14,'Process'!BT3=1),1+('Control Room'!$C$14-1)*EXP(-0.5*(($A633-'Control Room'!$A$14-('Control Room'!$B$14-1)/2)/MAX(0.5,'Control Room'!$B$14/4))^2),1)*IF(AND($A633&gt;='Control Room'!$A$15,$A633&lt;'Control Room'!$A$15+'Control Room'!$B$15,'Process'!BT4=1),1+('Control Room'!$C$15-1)*EXP(-0.5*(($A633-'Control Room'!$A$15-('Control Room'!$B$15-1)/2)/MAX(0.5,'Control Room'!$B$15/4))^2),1)*IF(AND($A633&gt;='Control Room'!$A$16,$A633&lt;'Control Room'!$A$16+'Control Room'!$B$16,'Process'!BT5=1),1+('Control Room'!$C$16-1)*EXP(-0.5*(($A633-'Control Room'!$A$16-('Control Room'!$B$16-1)/2)/MAX(0.5,'Control Room'!$B$16/4))^2),1)</x:f>
        <x:v>1</x:v>
      </x:c>
      <x:c r="AZ633" s="9" t="n">
        <x:f>MOD(BA632*16807,2147483647)</x:f>
        <x:v>1785270065</x:v>
      </x:c>
      <x:c r="BA633" s="9" t="n">
        <x:f>MOD(AZ633*16807,2147483647)</x:f>
        <x:v>392466571</x:v>
      </x:c>
      <x:c r="BB633" s="17" t="n">
        <x:f>IF('Control Room'!$B$5="Normal",'Control Room'!$B$7+'Control Room'!$D$7*SQRT(-2*LN(MAX(0.000000000001,AZ633/2147483647)))*COS(2*PI()*BA633/2147483647),'Control Room'!$B$8+('Control Room'!$D$8-'Control Room'!$B$8)*AZ633/2147483647)</x:f>
        <x:v>1022.4312939346198</x:v>
      </x:c>
      <x:c r="BC633" s="17" t="n">
        <x:f>IF('Control Room'!$B$5="Normal",'Control Room'!$B$7,('Control Room'!$B$8+'Control Room'!$D$8)/2)+'Control Room'!$B$9*(BC632-IF('Control Room'!$B$5="Normal",'Control Room'!$B$7,('Control Room'!$B$8+'Control Room'!$D$8)/2))+SQRT(1-'Control Room'!$B$9^2)*(BB633-IF('Control Room'!$B$5="Normal",'Control Room'!$B$7,('Control Room'!$B$8+'Control Room'!$D$8)/2))</x:f>
        <x:v>987.9929025780403</x:v>
      </x:c>
      <x:c r="BD633" s="17" t="n">
        <x:f>IF(AND($A633&gt;='Control Room'!$A$13,$A633&lt;'Control Room'!$A$13+'Control Room'!$B$13,'Process'!BU2=1),1+('Control Room'!$C$13-1)*EXP(-0.5*(($A633-'Control Room'!$A$13-('Control Room'!$B$13-1)/2)/MAX(0.5,'Control Room'!$B$13/4))^2),1)*IF(AND($A633&gt;='Control Room'!$A$14,$A633&lt;'Control Room'!$A$14+'Control Room'!$B$14,'Process'!BU3=1),1+('Control Room'!$C$14-1)*EXP(-0.5*(($A633-'Control Room'!$A$14-('Control Room'!$B$14-1)/2)/MAX(0.5,'Control Room'!$B$14/4))^2),1)*IF(AND($A633&gt;='Control Room'!$A$15,$A633&lt;'Control Room'!$A$15+'Control Room'!$B$15,'Process'!BU4=1),1+('Control Room'!$C$15-1)*EXP(-0.5*(($A633-'Control Room'!$A$15-('Control Room'!$B$15-1)/2)/MAX(0.5,'Control Room'!$B$15/4))^2),1)*IF(AND($A633&gt;='Control Room'!$A$16,$A633&lt;'Control Room'!$A$16+'Control Room'!$B$16,'Process'!BU5=1),1+('Control Room'!$C$16-1)*EXP(-0.5*(($A633-'Control Room'!$A$16-('Control Room'!$B$16-1)/2)/MAX(0.5,'Control Room'!$B$16/4))^2),1)</x:f>
        <x:v>1</x:v>
      </x:c>
      <x:c r="BE633" s="9" t="n">
        <x:f>MOD(BF632*16807,2147483647)</x:f>
        <x:v>1758589144</x:v>
      </x:c>
      <x:c r="BF633" s="9" t="n">
        <x:f>MOD(BE633*16807,2147483647)</x:f>
        <x:v>790309547</x:v>
      </x:c>
      <x:c r="BG633" s="17" t="n">
        <x:f>IF('Control Room'!$B$5="Normal",'Control Room'!$B$7+'Control Room'!$D$7*SQRT(-2*LN(MAX(0.000000000001,BE633/2147483647)))*COS(2*PI()*BF633/2147483647),'Control Room'!$B$8+('Control Room'!$D$8-'Control Room'!$B$8)*BE633/2147483647)</x:f>
        <x:v>961.5756943765182</x:v>
      </x:c>
      <x:c r="BH633" s="17" t="n">
        <x:f>IF('Control Room'!$B$5="Normal",'Control Room'!$B$7,('Control Room'!$B$8+'Control Room'!$D$8)/2)+'Control Room'!$B$9*(BH632-IF('Control Room'!$B$5="Normal",'Control Room'!$B$7,('Control Room'!$B$8+'Control Room'!$D$8)/2))+SQRT(1-'Control Room'!$B$9^2)*(BG633-IF('Control Room'!$B$5="Normal",'Control Room'!$B$7,('Control Room'!$B$8+'Control Room'!$D$8)/2))</x:f>
        <x:v>1102.3128271606518</x:v>
      </x:c>
      <x:c r="BI633" s="17" t="n">
        <x:f>IF(AND($A633&gt;='Control Room'!$A$13,$A633&lt;'Control Room'!$A$13+'Control Room'!$B$13,'Process'!BV2=1),1+('Control Room'!$C$13-1)*EXP(-0.5*(($A633-'Control Room'!$A$13-('Control Room'!$B$13-1)/2)/MAX(0.5,'Control Room'!$B$13/4))^2),1)*IF(AND($A633&gt;='Control Room'!$A$14,$A633&lt;'Control Room'!$A$14+'Control Room'!$B$14,'Process'!BV3=1),1+('Control Room'!$C$14-1)*EXP(-0.5*(($A633-'Control Room'!$A$14-('Control Room'!$B$14-1)/2)/MAX(0.5,'Control Room'!$B$14/4))^2),1)*IF(AND($A633&gt;='Control Room'!$A$15,$A633&lt;'Control Room'!$A$15+'Control Room'!$B$15,'Process'!BV4=1),1+('Control Room'!$C$15-1)*EXP(-0.5*(($A633-'Control Room'!$A$15-('Control Room'!$B$15-1)/2)/MAX(0.5,'Control Room'!$B$15/4))^2),1)*IF(AND($A633&gt;='Control Room'!$A$16,$A633&lt;'Control Room'!$A$16+'Control Room'!$B$16,'Process'!BV5=1),1+('Control Room'!$C$16-1)*EXP(-0.5*(($A633-'Control Room'!$A$16-('Control Room'!$B$16-1)/2)/MAX(0.5,'Control Room'!$B$16/4))^2),1)</x:f>
        <x:v>1</x:v>
      </x:c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Z633" t="str">
        <x:f>IF('Data'!A633="","",TEXT('Data'!A633,"mm-dd"))</x:f>
      </x:c>
    </x:row>
    <x:row r="634" ht="21" customHeight="1">
      <x:c r="A634" s="15" t="n">
        <x:f>'Control Room'!$B$1+632</x:f>
        <x:v>73623</x:v>
      </x:c>
      <x:c r="B634" s="9" t="n">
        <x:f>MOD(C633*16807,2147483647)</x:f>
        <x:v>1992719179</x:v>
      </x:c>
      <x:c r="C634" s="9" t="n">
        <x:f>MOD(B634*16807,2147483647)</x:f>
        <x:v>1623766488</x:v>
      </x:c>
      <x:c r="D634" s="17" t="n">
        <x:f>IF('Control Room'!$B$5="Normal",'Control Room'!$B$7+'Control Room'!$D$7*SQRT(-2*LN(MAX(0.000000000001,B634/2147483647)))*COS(2*PI()*C634/2147483647),'Control Room'!$B$8+('Control Room'!$D$8-'Control Room'!$B$8)*B634/2147483647)</x:f>
        <x:v>1001.3393404706281</x:v>
      </x:c>
      <x:c r="E634" s="17" t="n">
        <x:f>IF('Control Room'!$B$5="Normal",'Control Room'!$B$7,('Control Room'!$B$8+'Control Room'!$D$8)/2)+'Control Room'!$B$9*(E633-IF('Control Room'!$B$5="Normal",'Control Room'!$B$7,('Control Room'!$B$8+'Control Room'!$D$8)/2))+SQRT(1-'Control Room'!$B$9^2)*(D634-IF('Control Room'!$B$5="Normal",'Control Room'!$B$7,('Control Room'!$B$8+'Control Room'!$D$8)/2))</x:f>
        <x:v>1100.888851103674</x:v>
      </x:c>
      <x:c r="F634" s="17" t="n">
        <x:f>IF(AND($A634&gt;='Control Room'!$A$13,$A634&lt;'Control Room'!$A$13+'Control Room'!$B$13,'Process'!BK2=1),1+('Control Room'!$C$13-1)*EXP(-0.5*(($A634-'Control Room'!$A$13-('Control Room'!$B$13-1)/2)/MAX(0.5,'Control Room'!$B$13/4))^2),1)*IF(AND($A634&gt;='Control Room'!$A$14,$A634&lt;'Control Room'!$A$14+'Control Room'!$B$14,'Process'!BK3=1),1+('Control Room'!$C$14-1)*EXP(-0.5*(($A634-'Control Room'!$A$14-('Control Room'!$B$14-1)/2)/MAX(0.5,'Control Room'!$B$14/4))^2),1)*IF(AND($A634&gt;='Control Room'!$A$15,$A634&lt;'Control Room'!$A$15+'Control Room'!$B$15,'Process'!BK4=1),1+('Control Room'!$C$15-1)*EXP(-0.5*(($A634-'Control Room'!$A$15-('Control Room'!$B$15-1)/2)/MAX(0.5,'Control Room'!$B$15/4))^2),1)*IF(AND($A634&gt;='Control Room'!$A$16,$A634&lt;'Control Room'!$A$16+'Control Room'!$B$16,'Process'!BK5=1),1+('Control Room'!$C$16-1)*EXP(-0.5*(($A634-'Control Room'!$A$16-('Control Room'!$B$16-1)/2)/MAX(0.5,'Control Room'!$B$16/4))^2),1)</x:f>
        <x:v>1</x:v>
      </x:c>
      <x:c r="G634" s="9" t="n">
        <x:f>MOD(H633*16807,2147483647)</x:f>
        <x:v>1275540053</x:v>
      </x:c>
      <x:c r="H634" s="9" t="n">
        <x:f>MOD(G634*16807,2147483647)</x:f>
        <x:v>1819906417</x:v>
      </x:c>
      <x:c r="I634" s="17" t="n">
        <x:f>IF('Control Room'!$B$5="Normal",'Control Room'!$B$7+'Control Room'!$D$7*SQRT(-2*LN(MAX(0.000000000001,G634/2147483647)))*COS(2*PI()*H634/2147483647),'Control Room'!$B$8+('Control Room'!$D$8-'Control Room'!$B$8)*G634/2147483647)</x:f>
        <x:v>1052.8034517562555</x:v>
      </x:c>
      <x:c r="J634" s="17" t="n">
        <x:f>IF('Control Room'!$B$5="Normal",'Control Room'!$B$7,('Control Room'!$B$8+'Control Room'!$D$8)/2)+'Control Room'!$B$9*(J633-IF('Control Room'!$B$5="Normal",'Control Room'!$B$7,('Control Room'!$B$8+'Control Room'!$D$8)/2))+SQRT(1-'Control Room'!$B$9^2)*(I634-IF('Control Room'!$B$5="Normal",'Control Room'!$B$7,('Control Room'!$B$8+'Control Room'!$D$8)/2))</x:f>
        <x:v>1068.511458357564</x:v>
      </x:c>
      <x:c r="K634" s="17" t="n">
        <x:f>IF(AND($A634&gt;='Control Room'!$A$13,$A634&lt;'Control Room'!$A$13+'Control Room'!$B$13,'Process'!BL2=1),1+('Control Room'!$C$13-1)*EXP(-0.5*(($A634-'Control Room'!$A$13-('Control Room'!$B$13-1)/2)/MAX(0.5,'Control Room'!$B$13/4))^2),1)*IF(AND($A634&gt;='Control Room'!$A$14,$A634&lt;'Control Room'!$A$14+'Control Room'!$B$14,'Process'!BL3=1),1+('Control Room'!$C$14-1)*EXP(-0.5*(($A634-'Control Room'!$A$14-('Control Room'!$B$14-1)/2)/MAX(0.5,'Control Room'!$B$14/4))^2),1)*IF(AND($A634&gt;='Control Room'!$A$15,$A634&lt;'Control Room'!$A$15+'Control Room'!$B$15,'Process'!BL4=1),1+('Control Room'!$C$15-1)*EXP(-0.5*(($A634-'Control Room'!$A$15-('Control Room'!$B$15-1)/2)/MAX(0.5,'Control Room'!$B$15/4))^2),1)*IF(AND($A634&gt;='Control Room'!$A$16,$A634&lt;'Control Room'!$A$16+'Control Room'!$B$16,'Process'!BL5=1),1+('Control Room'!$C$16-1)*EXP(-0.5*(($A634-'Control Room'!$A$16-('Control Room'!$B$16-1)/2)/MAX(0.5,'Control Room'!$B$16/4))^2),1)</x:f>
        <x:v>1</x:v>
      </x:c>
      <x:c r="L634" s="9" t="n">
        <x:f>MOD(M633*16807,2147483647)</x:f>
        <x:v>558360927</x:v>
      </x:c>
      <x:c r="M634" s="9" t="n">
        <x:f>MOD(L634*16807,2147483647)</x:f>
        <x:v>2016046346</x:v>
      </x:c>
      <x:c r="N634" s="17" t="n">
        <x:f>IF('Control Room'!$B$5="Normal",'Control Room'!$B$7+'Control Room'!$D$7*SQRT(-2*LN(MAX(0.000000000001,L634/2147483647)))*COS(2*PI()*M634/2147483647),'Control Room'!$B$8+('Control Room'!$D$8-'Control Room'!$B$8)*L634/2147483647)</x:f>
        <x:v>1136.9338333983962</x:v>
      </x:c>
      <x:c r="O634" s="17" t="n">
        <x:f>IF('Control Room'!$B$5="Normal",'Control Room'!$B$7,('Control Room'!$B$8+'Control Room'!$D$8)/2)+'Control Room'!$B$9*(O633-IF('Control Room'!$B$5="Normal",'Control Room'!$B$7,('Control Room'!$B$8+'Control Room'!$D$8)/2))+SQRT(1-'Control Room'!$B$9^2)*(N634-IF('Control Room'!$B$5="Normal",'Control Room'!$B$7,('Control Room'!$B$8+'Control Room'!$D$8)/2))</x:f>
        <x:v>1121.7918066120485</x:v>
      </x:c>
      <x:c r="P634" s="17" t="n">
        <x:f>IF(AND($A634&gt;='Control Room'!$A$13,$A634&lt;'Control Room'!$A$13+'Control Room'!$B$13,'Process'!BM2=1),1+('Control Room'!$C$13-1)*EXP(-0.5*(($A634-'Control Room'!$A$13-('Control Room'!$B$13-1)/2)/MAX(0.5,'Control Room'!$B$13/4))^2),1)*IF(AND($A634&gt;='Control Room'!$A$14,$A634&lt;'Control Room'!$A$14+'Control Room'!$B$14,'Process'!BM3=1),1+('Control Room'!$C$14-1)*EXP(-0.5*(($A634-'Control Room'!$A$14-('Control Room'!$B$14-1)/2)/MAX(0.5,'Control Room'!$B$14/4))^2),1)*IF(AND($A634&gt;='Control Room'!$A$15,$A634&lt;'Control Room'!$A$15+'Control Room'!$B$15,'Process'!BM4=1),1+('Control Room'!$C$15-1)*EXP(-0.5*(($A634-'Control Room'!$A$15-('Control Room'!$B$15-1)/2)/MAX(0.5,'Control Room'!$B$15/4))^2),1)*IF(AND($A634&gt;='Control Room'!$A$16,$A634&lt;'Control Room'!$A$16+'Control Room'!$B$16,'Process'!BM5=1),1+('Control Room'!$C$16-1)*EXP(-0.5*(($A634-'Control Room'!$A$16-('Control Room'!$B$16-1)/2)/MAX(0.5,'Control Room'!$B$16/4))^2),1)</x:f>
        <x:v>1</x:v>
      </x:c>
      <x:c r="Q634" s="9" t="n">
        <x:f>MOD(R633*16807,2147483647)</x:f>
        <x:v>1988665448</x:v>
      </x:c>
      <x:c r="R634" s="9" t="n">
        <x:f>MOD(Q634*16807,2147483647)</x:f>
        <x:v>64702628</x:v>
      </x:c>
      <x:c r="S634" s="17" t="n">
        <x:f>IF('Control Room'!$B$5="Normal",'Control Room'!$B$7+'Control Room'!$D$7*SQRT(-2*LN(MAX(0.000000000001,Q634/2147483647)))*COS(2*PI()*R634/2147483647),'Control Room'!$B$8+('Control Room'!$D$8-'Control Room'!$B$8)*Q634/2147483647)</x:f>
        <x:v>1034.6499232459084</x:v>
      </x:c>
      <x:c r="T634" s="17" t="n">
        <x:f>IF('Control Room'!$B$5="Normal",'Control Room'!$B$7,('Control Room'!$B$8+'Control Room'!$D$8)/2)+'Control Room'!$B$9*(T633-IF('Control Room'!$B$5="Normal",'Control Room'!$B$7,('Control Room'!$B$8+'Control Room'!$D$8)/2))+SQRT(1-'Control Room'!$B$9^2)*(S634-IF('Control Room'!$B$5="Normal",'Control Room'!$B$7,('Control Room'!$B$8+'Control Room'!$D$8)/2))</x:f>
        <x:v>1121.1580291834894</x:v>
      </x:c>
      <x:c r="U634" s="17" t="n">
        <x:f>IF(AND($A634&gt;='Control Room'!$A$13,$A634&lt;'Control Room'!$A$13+'Control Room'!$B$13,'Process'!BN2=1),1+('Control Room'!$C$13-1)*EXP(-0.5*(($A634-'Control Room'!$A$13-('Control Room'!$B$13-1)/2)/MAX(0.5,'Control Room'!$B$13/4))^2),1)*IF(AND($A634&gt;='Control Room'!$A$14,$A634&lt;'Control Room'!$A$14+'Control Room'!$B$14,'Process'!BN3=1),1+('Control Room'!$C$14-1)*EXP(-0.5*(($A634-'Control Room'!$A$14-('Control Room'!$B$14-1)/2)/MAX(0.5,'Control Room'!$B$14/4))^2),1)*IF(AND($A634&gt;='Control Room'!$A$15,$A634&lt;'Control Room'!$A$15+'Control Room'!$B$15,'Process'!BN4=1),1+('Control Room'!$C$15-1)*EXP(-0.5*(($A634-'Control Room'!$A$15-('Control Room'!$B$15-1)/2)/MAX(0.5,'Control Room'!$B$15/4))^2),1)*IF(AND($A634&gt;='Control Room'!$A$16,$A634&lt;'Control Room'!$A$16+'Control Room'!$B$16,'Process'!BN5=1),1+('Control Room'!$C$16-1)*EXP(-0.5*(($A634-'Control Room'!$A$16-('Control Room'!$B$16-1)/2)/MAX(0.5,'Control Room'!$B$16/4))^2),1)</x:f>
        <x:v>1</x:v>
      </x:c>
      <x:c r="V634" s="9" t="n">
        <x:f>MOD(W633*16807,2147483647)</x:f>
        <x:v>1271486322</x:v>
      </x:c>
      <x:c r="W634" s="9" t="n">
        <x:f>MOD(V634*16807,2147483647)</x:f>
        <x:v>260842557</x:v>
      </x:c>
      <x:c r="X634" s="17" t="n">
        <x:f>IF('Control Room'!$B$5="Normal",'Control Room'!$B$7+'Control Room'!$D$7*SQRT(-2*LN(MAX(0.000000000001,V634/2147483647)))*COS(2*PI()*W634/2147483647),'Control Room'!$B$8+('Control Room'!$D$8-'Control Room'!$B$8)*V634/2147483647)</x:f>
        <x:v>1066.5871903726793</x:v>
      </x:c>
      <x:c r="Y634" s="17" t="n">
        <x:f>IF('Control Room'!$B$5="Normal",'Control Room'!$B$7,('Control Room'!$B$8+'Control Room'!$D$8)/2)+'Control Room'!$B$9*(Y633-IF('Control Room'!$B$5="Normal",'Control Room'!$B$7,('Control Room'!$B$8+'Control Room'!$D$8)/2))+SQRT(1-'Control Room'!$B$9^2)*(X634-IF('Control Room'!$B$5="Normal",'Control Room'!$B$7,('Control Room'!$B$8+'Control Room'!$D$8)/2))</x:f>
        <x:v>1119.1529733244117</x:v>
      </x:c>
      <x:c r="Z634" s="17" t="n">
        <x:f>IF(AND($A634&gt;='Control Room'!$A$13,$A634&lt;'Control Room'!$A$13+'Control Room'!$B$13,'Process'!BO2=1),1+('Control Room'!$C$13-1)*EXP(-0.5*(($A634-'Control Room'!$A$13-('Control Room'!$B$13-1)/2)/MAX(0.5,'Control Room'!$B$13/4))^2),1)*IF(AND($A634&gt;='Control Room'!$A$14,$A634&lt;'Control Room'!$A$14+'Control Room'!$B$14,'Process'!BO3=1),1+('Control Room'!$C$14-1)*EXP(-0.5*(($A634-'Control Room'!$A$14-('Control Room'!$B$14-1)/2)/MAX(0.5,'Control Room'!$B$14/4))^2),1)*IF(AND($A634&gt;='Control Room'!$A$15,$A634&lt;'Control Room'!$A$15+'Control Room'!$B$15,'Process'!BO4=1),1+('Control Room'!$C$15-1)*EXP(-0.5*(($A634-'Control Room'!$A$15-('Control Room'!$B$15-1)/2)/MAX(0.5,'Control Room'!$B$15/4))^2),1)*IF(AND($A634&gt;='Control Room'!$A$16,$A634&lt;'Control Room'!$A$16+'Control Room'!$B$16,'Process'!BO5=1),1+('Control Room'!$C$16-1)*EXP(-0.5*(($A634-'Control Room'!$A$16-('Control Room'!$B$16-1)/2)/MAX(0.5,'Control Room'!$B$16/4))^2),1)</x:f>
        <x:v>1</x:v>
      </x:c>
      <x:c r="AA634" s="9" t="n">
        <x:f>MOD(AB633*16807,2147483647)</x:f>
        <x:v>554307196</x:v>
      </x:c>
      <x:c r="AB634" s="9" t="n">
        <x:f>MOD(AA634*16807,2147483647)</x:f>
        <x:v>456982486</x:v>
      </x:c>
      <x:c r="AC634" s="17" t="n">
        <x:f>IF('Control Room'!$B$5="Normal",'Control Room'!$B$7+'Control Room'!$D$7*SQRT(-2*LN(MAX(0.000000000001,AA634/2147483647)))*COS(2*PI()*AB634/2147483647),'Control Room'!$B$8+('Control Room'!$D$8-'Control Room'!$B$8)*AA634/2147483647)</x:f>
        <x:v>1034.3077544460305</x:v>
      </x:c>
      <x:c r="AD634" s="17" t="n">
        <x:f>IF('Control Room'!$B$5="Normal",'Control Room'!$B$7,('Control Room'!$B$8+'Control Room'!$D$8)/2)+'Control Room'!$B$9*(AD633-IF('Control Room'!$B$5="Normal",'Control Room'!$B$7,('Control Room'!$B$8+'Control Room'!$D$8)/2))+SQRT(1-'Control Room'!$B$9^2)*(AC634-IF('Control Room'!$B$5="Normal",'Control Room'!$B$7,('Control Room'!$B$8+'Control Room'!$D$8)/2))</x:f>
        <x:v>1114.352324251365</x:v>
      </x:c>
      <x:c r="AE634" s="17" t="n">
        <x:f>IF(AND($A634&gt;='Control Room'!$A$13,$A634&lt;'Control Room'!$A$13+'Control Room'!$B$13,'Process'!BP2=1),1+('Control Room'!$C$13-1)*EXP(-0.5*(($A634-'Control Room'!$A$13-('Control Room'!$B$13-1)/2)/MAX(0.5,'Control Room'!$B$13/4))^2),1)*IF(AND($A634&gt;='Control Room'!$A$14,$A634&lt;'Control Room'!$A$14+'Control Room'!$B$14,'Process'!BP3=1),1+('Control Room'!$C$14-1)*EXP(-0.5*(($A634-'Control Room'!$A$14-('Control Room'!$B$14-1)/2)/MAX(0.5,'Control Room'!$B$14/4))^2),1)*IF(AND($A634&gt;='Control Room'!$A$15,$A634&lt;'Control Room'!$A$15+'Control Room'!$B$15,'Process'!BP4=1),1+('Control Room'!$C$15-1)*EXP(-0.5*(($A634-'Control Room'!$A$15-('Control Room'!$B$15-1)/2)/MAX(0.5,'Control Room'!$B$15/4))^2),1)*IF(AND($A634&gt;='Control Room'!$A$16,$A634&lt;'Control Room'!$A$16+'Control Room'!$B$16,'Process'!BP5=1),1+('Control Room'!$C$16-1)*EXP(-0.5*(($A634-'Control Room'!$A$16-('Control Room'!$B$16-1)/2)/MAX(0.5,'Control Room'!$B$16/4))^2),1)</x:f>
        <x:v>1</x:v>
      </x:c>
      <x:c r="AF634" s="9" t="n">
        <x:f>MOD(AG633*16807,2147483647)</x:f>
        <x:v>1984611717</x:v>
      </x:c>
      <x:c r="AG634" s="9" t="n">
        <x:f>MOD(AF634*16807,2147483647)</x:f>
        <x:v>653122415</x:v>
      </x:c>
      <x:c r="AH634" s="17" t="n">
        <x:f>IF('Control Room'!$B$5="Normal",'Control Room'!$B$7+'Control Room'!$D$7*SQRT(-2*LN(MAX(0.000000000001,AF634/2147483647)))*COS(2*PI()*AG634/2147483647),'Control Room'!$B$8+('Control Room'!$D$8-'Control Room'!$B$8)*AF634/2147483647)</x:f>
        <x:v>988.0748159129829</x:v>
      </x:c>
      <x:c r="AI634" s="17" t="n">
        <x:f>IF('Control Room'!$B$5="Normal",'Control Room'!$B$7,('Control Room'!$B$8+'Control Room'!$D$8)/2)+'Control Room'!$B$9*(AI633-IF('Control Room'!$B$5="Normal",'Control Room'!$B$7,('Control Room'!$B$8+'Control Room'!$D$8)/2))+SQRT(1-'Control Room'!$B$9^2)*(AH634-IF('Control Room'!$B$5="Normal",'Control Room'!$B$7,('Control Room'!$B$8+'Control Room'!$D$8)/2))</x:f>
        <x:v>1100.0562020599011</x:v>
      </x:c>
      <x:c r="AJ634" s="17" t="n">
        <x:f>IF(AND($A634&gt;='Control Room'!$A$13,$A634&lt;'Control Room'!$A$13+'Control Room'!$B$13,'Process'!BQ2=1),1+('Control Room'!$C$13-1)*EXP(-0.5*(($A634-'Control Room'!$A$13-('Control Room'!$B$13-1)/2)/MAX(0.5,'Control Room'!$B$13/4))^2),1)*IF(AND($A634&gt;='Control Room'!$A$14,$A634&lt;'Control Room'!$A$14+'Control Room'!$B$14,'Process'!BQ3=1),1+('Control Room'!$C$14-1)*EXP(-0.5*(($A634-'Control Room'!$A$14-('Control Room'!$B$14-1)/2)/MAX(0.5,'Control Room'!$B$14/4))^2),1)*IF(AND($A634&gt;='Control Room'!$A$15,$A634&lt;'Control Room'!$A$15+'Control Room'!$B$15,'Process'!BQ4=1),1+('Control Room'!$C$15-1)*EXP(-0.5*(($A634-'Control Room'!$A$15-('Control Room'!$B$15-1)/2)/MAX(0.5,'Control Room'!$B$15/4))^2),1)*IF(AND($A634&gt;='Control Room'!$A$16,$A634&lt;'Control Room'!$A$16+'Control Room'!$B$16,'Process'!BQ5=1),1+('Control Room'!$C$16-1)*EXP(-0.5*(($A634-'Control Room'!$A$16-('Control Room'!$B$16-1)/2)/MAX(0.5,'Control Room'!$B$16/4))^2),1)</x:f>
        <x:v>1</x:v>
      </x:c>
      <x:c r="AK634" s="9" t="n">
        <x:f>MOD(AL633*16807,2147483647)</x:f>
        <x:v>1267432591</x:v>
      </x:c>
      <x:c r="AL634" s="9" t="n">
        <x:f>MOD(AK634*16807,2147483647)</x:f>
        <x:v>849262344</x:v>
      </x:c>
      <x:c r="AM634" s="17" t="n">
        <x:f>IF('Control Room'!$B$5="Normal",'Control Room'!$B$7+'Control Room'!$D$7*SQRT(-2*LN(MAX(0.000000000001,AK634/2147483647)))*COS(2*PI()*AL634/2147483647),'Control Room'!$B$8+('Control Room'!$D$8-'Control Room'!$B$8)*AK634/2147483647)</x:f>
        <x:v>926.803727181913</x:v>
      </x:c>
      <x:c r="AN634" s="17" t="n">
        <x:f>IF('Control Room'!$B$5="Normal",'Control Room'!$B$7,('Control Room'!$B$8+'Control Room'!$D$8)/2)+'Control Room'!$B$9*(AN633-IF('Control Room'!$B$5="Normal",'Control Room'!$B$7,('Control Room'!$B$8+'Control Room'!$D$8)/2))+SQRT(1-'Control Room'!$B$9^2)*(AM634-IF('Control Room'!$B$5="Normal",'Control Room'!$B$7,('Control Room'!$B$8+'Control Room'!$D$8)/2))</x:f>
        <x:v>961.9484146880783</x:v>
      </x:c>
      <x:c r="AO634" s="17" t="n">
        <x:f>IF(AND($A634&gt;='Control Room'!$A$13,$A634&lt;'Control Room'!$A$13+'Control Room'!$B$13,'Process'!BR2=1),1+('Control Room'!$C$13-1)*EXP(-0.5*(($A634-'Control Room'!$A$13-('Control Room'!$B$13-1)/2)/MAX(0.5,'Control Room'!$B$13/4))^2),1)*IF(AND($A634&gt;='Control Room'!$A$14,$A634&lt;'Control Room'!$A$14+'Control Room'!$B$14,'Process'!BR3=1),1+('Control Room'!$C$14-1)*EXP(-0.5*(($A634-'Control Room'!$A$14-('Control Room'!$B$14-1)/2)/MAX(0.5,'Control Room'!$B$14/4))^2),1)*IF(AND($A634&gt;='Control Room'!$A$15,$A634&lt;'Control Room'!$A$15+'Control Room'!$B$15,'Process'!BR4=1),1+('Control Room'!$C$15-1)*EXP(-0.5*(($A634-'Control Room'!$A$15-('Control Room'!$B$15-1)/2)/MAX(0.5,'Control Room'!$B$15/4))^2),1)*IF(AND($A634&gt;='Control Room'!$A$16,$A634&lt;'Control Room'!$A$16+'Control Room'!$B$16,'Process'!BR5=1),1+('Control Room'!$C$16-1)*EXP(-0.5*(($A634-'Control Room'!$A$16-('Control Room'!$B$16-1)/2)/MAX(0.5,'Control Room'!$B$16/4))^2),1)</x:f>
        <x:v>1</x:v>
      </x:c>
      <x:c r="AP634" s="9" t="n">
        <x:f>MOD(AQ633*16807,2147483647)</x:f>
        <x:v>550253465</x:v>
      </x:c>
      <x:c r="AQ634" s="9" t="n">
        <x:f>MOD(AP634*16807,2147483647)</x:f>
        <x:v>1045402273</x:v>
      </x:c>
      <x:c r="AR634" s="17" t="n">
        <x:f>IF('Control Room'!$B$5="Normal",'Control Room'!$B$7+'Control Room'!$D$7*SQRT(-2*LN(MAX(0.000000000001,AP634/2147483647)))*COS(2*PI()*AQ634/2147483647),'Control Room'!$B$8+('Control Room'!$D$8-'Control Room'!$B$8)*AP634/2147483647)</x:f>
        <x:v>851.9871990452941</x:v>
      </x:c>
      <x:c r="AS634" s="17" t="n">
        <x:f>IF('Control Room'!$B$5="Normal",'Control Room'!$B$7,('Control Room'!$B$8+'Control Room'!$D$8)/2)+'Control Room'!$B$9*(AS633-IF('Control Room'!$B$5="Normal",'Control Room'!$B$7,('Control Room'!$B$8+'Control Room'!$D$8)/2))+SQRT(1-'Control Room'!$B$9^2)*(AR634-IF('Control Room'!$B$5="Normal",'Control Room'!$B$7,('Control Room'!$B$8+'Control Room'!$D$8)/2))</x:f>
        <x:v>957.8836990660153</x:v>
      </x:c>
      <x:c r="AT634" s="17" t="n">
        <x:f>IF(AND($A634&gt;='Control Room'!$A$13,$A634&lt;'Control Room'!$A$13+'Control Room'!$B$13,'Process'!BS2=1),1+('Control Room'!$C$13-1)*EXP(-0.5*(($A634-'Control Room'!$A$13-('Control Room'!$B$13-1)/2)/MAX(0.5,'Control Room'!$B$13/4))^2),1)*IF(AND($A634&gt;='Control Room'!$A$14,$A634&lt;'Control Room'!$A$14+'Control Room'!$B$14,'Process'!BS3=1),1+('Control Room'!$C$14-1)*EXP(-0.5*(($A634-'Control Room'!$A$14-('Control Room'!$B$14-1)/2)/MAX(0.5,'Control Room'!$B$14/4))^2),1)*IF(AND($A634&gt;='Control Room'!$A$15,$A634&lt;'Control Room'!$A$15+'Control Room'!$B$15,'Process'!BS4=1),1+('Control Room'!$C$15-1)*EXP(-0.5*(($A634-'Control Room'!$A$15-('Control Room'!$B$15-1)/2)/MAX(0.5,'Control Room'!$B$15/4))^2),1)*IF(AND($A634&gt;='Control Room'!$A$16,$A634&lt;'Control Room'!$A$16+'Control Room'!$B$16,'Process'!BS5=1),1+('Control Room'!$C$16-1)*EXP(-0.5*(($A634-'Control Room'!$A$16-('Control Room'!$B$16-1)/2)/MAX(0.5,'Control Room'!$B$16/4))^2),1)</x:f>
        <x:v>1</x:v>
      </x:c>
      <x:c r="AU634" s="9" t="n">
        <x:f>MOD(AV633*16807,2147483647)</x:f>
        <x:v>1980557986</x:v>
      </x:c>
      <x:c r="AV634" s="9" t="n">
        <x:f>MOD(AU634*16807,2147483647)</x:f>
        <x:v>1241542202</x:v>
      </x:c>
      <x:c r="AW634" s="17" t="n">
        <x:f>IF('Control Room'!$B$5="Normal",'Control Room'!$B$7+'Control Room'!$D$7*SQRT(-2*LN(MAX(0.000000000001,AU634/2147483647)))*COS(2*PI()*AV634/2147483647),'Control Room'!$B$8+('Control Room'!$D$8-'Control Room'!$B$8)*AU634/2147483647)</x:f>
        <x:v>968.0705741075427</x:v>
      </x:c>
      <x:c r="AX634" s="17" t="n">
        <x:f>IF('Control Room'!$B$5="Normal",'Control Room'!$B$7,('Control Room'!$B$8+'Control Room'!$D$8)/2)+'Control Room'!$B$9*(AX633-IF('Control Room'!$B$5="Normal",'Control Room'!$B$7,('Control Room'!$B$8+'Control Room'!$D$8)/2))+SQRT(1-'Control Room'!$B$9^2)*(AW634-IF('Control Room'!$B$5="Normal",'Control Room'!$B$7,('Control Room'!$B$8+'Control Room'!$D$8)/2))</x:f>
        <x:v>1074.8860694904613</x:v>
      </x:c>
      <x:c r="AY634" s="17" t="n">
        <x:f>IF(AND($A634&gt;='Control Room'!$A$13,$A634&lt;'Control Room'!$A$13+'Control Room'!$B$13,'Process'!BT2=1),1+('Control Room'!$C$13-1)*EXP(-0.5*(($A634-'Control Room'!$A$13-('Control Room'!$B$13-1)/2)/MAX(0.5,'Control Room'!$B$13/4))^2),1)*IF(AND($A634&gt;='Control Room'!$A$14,$A634&lt;'Control Room'!$A$14+'Control Room'!$B$14,'Process'!BT3=1),1+('Control Room'!$C$14-1)*EXP(-0.5*(($A634-'Control Room'!$A$14-('Control Room'!$B$14-1)/2)/MAX(0.5,'Control Room'!$B$14/4))^2),1)*IF(AND($A634&gt;='Control Room'!$A$15,$A634&lt;'Control Room'!$A$15+'Control Room'!$B$15,'Process'!BT4=1),1+('Control Room'!$C$15-1)*EXP(-0.5*(($A634-'Control Room'!$A$15-('Control Room'!$B$15-1)/2)/MAX(0.5,'Control Room'!$B$15/4))^2),1)*IF(AND($A634&gt;='Control Room'!$A$16,$A634&lt;'Control Room'!$A$16+'Control Room'!$B$16,'Process'!BT5=1),1+('Control Room'!$C$16-1)*EXP(-0.5*(($A634-'Control Room'!$A$16-('Control Room'!$B$16-1)/2)/MAX(0.5,'Control Room'!$B$16/4))^2),1)</x:f>
        <x:v>1</x:v>
      </x:c>
      <x:c r="AZ634" s="9" t="n">
        <x:f>MOD(BA633*16807,2147483647)</x:f>
        <x:v>1263378860</x:v>
      </x:c>
      <x:c r="BA634" s="9" t="n">
        <x:f>MOD(AZ634*16807,2147483647)</x:f>
        <x:v>1437682131</x:v>
      </x:c>
      <x:c r="BB634" s="17" t="n">
        <x:f>IF('Control Room'!$B$5="Normal",'Control Room'!$B$7+'Control Room'!$D$7*SQRT(-2*LN(MAX(0.000000000001,AZ634/2147483647)))*COS(2*PI()*BA634/2147483647),'Control Room'!$B$8+('Control Room'!$D$8-'Control Room'!$B$8)*AZ634/2147483647)</x:f>
        <x:v>955.070237544302</x:v>
      </x:c>
      <x:c r="BC634" s="17" t="n">
        <x:f>IF('Control Room'!$B$5="Normal",'Control Room'!$B$7,('Control Room'!$B$8+'Control Room'!$D$8)/2)+'Control Room'!$B$9*(BC633-IF('Control Room'!$B$5="Normal",'Control Room'!$B$7,('Control Room'!$B$8+'Control Room'!$D$8)/2))+SQRT(1-'Control Room'!$B$9^2)*(BB634-IF('Control Room'!$B$5="Normal",'Control Room'!$B$7,('Control Room'!$B$8+'Control Room'!$D$8)/2))</x:f>
        <x:v>962.5183391023098</x:v>
      </x:c>
      <x:c r="BD634" s="17" t="n">
        <x:f>IF(AND($A634&gt;='Control Room'!$A$13,$A634&lt;'Control Room'!$A$13+'Control Room'!$B$13,'Process'!BU2=1),1+('Control Room'!$C$13-1)*EXP(-0.5*(($A634-'Control Room'!$A$13-('Control Room'!$B$13-1)/2)/MAX(0.5,'Control Room'!$B$13/4))^2),1)*IF(AND($A634&gt;='Control Room'!$A$14,$A634&lt;'Control Room'!$A$14+'Control Room'!$B$14,'Process'!BU3=1),1+('Control Room'!$C$14-1)*EXP(-0.5*(($A634-'Control Room'!$A$14-('Control Room'!$B$14-1)/2)/MAX(0.5,'Control Room'!$B$14/4))^2),1)*IF(AND($A634&gt;='Control Room'!$A$15,$A634&lt;'Control Room'!$A$15+'Control Room'!$B$15,'Process'!BU4=1),1+('Control Room'!$C$15-1)*EXP(-0.5*(($A634-'Control Room'!$A$15-('Control Room'!$B$15-1)/2)/MAX(0.5,'Control Room'!$B$15/4))^2),1)*IF(AND($A634&gt;='Control Room'!$A$16,$A634&lt;'Control Room'!$A$16+'Control Room'!$B$16,'Process'!BU5=1),1+('Control Room'!$C$16-1)*EXP(-0.5*(($A634-'Control Room'!$A$16-('Control Room'!$B$16-1)/2)/MAX(0.5,'Control Room'!$B$16/4))^2),1)</x:f>
        <x:v>1</x:v>
      </x:c>
      <x:c r="BE634" s="9" t="n">
        <x:f>MOD(BF633*16807,2147483647)</x:f>
        <x:v>546199734</x:v>
      </x:c>
      <x:c r="BF634" s="9" t="n">
        <x:f>MOD(BE634*16807,2147483647)</x:f>
        <x:v>1633822060</x:v>
      </x:c>
      <x:c r="BG634" s="17" t="n">
        <x:f>IF('Control Room'!$B$5="Normal",'Control Room'!$B$7+'Control Room'!$D$7*SQRT(-2*LN(MAX(0.000000000001,BE634/2147483647)))*COS(2*PI()*BF634/2147483647),'Control Room'!$B$8+('Control Room'!$D$8-'Control Room'!$B$8)*BE634/2147483647)</x:f>
        <x:v>1010.1052854871373</x:v>
      </x:c>
      <x:c r="BH634" s="17" t="n">
        <x:f>IF('Control Room'!$B$5="Normal",'Control Room'!$B$7,('Control Room'!$B$8+'Control Room'!$D$8)/2)+'Control Room'!$B$9*(BH633-IF('Control Room'!$B$5="Normal",'Control Room'!$B$7,('Control Room'!$B$8+'Control Room'!$D$8)/2))+SQRT(1-'Control Room'!$B$9^2)*(BG634-IF('Control Room'!$B$5="Normal",'Control Room'!$B$7,('Control Room'!$B$8+'Control Room'!$D$8)/2))</x:f>
        <x:v>1086.1276858251333</x:v>
      </x:c>
      <x:c r="BI634" s="17" t="n">
        <x:f>IF(AND($A634&gt;='Control Room'!$A$13,$A634&lt;'Control Room'!$A$13+'Control Room'!$B$13,'Process'!BV2=1),1+('Control Room'!$C$13-1)*EXP(-0.5*(($A634-'Control Room'!$A$13-('Control Room'!$B$13-1)/2)/MAX(0.5,'Control Room'!$B$13/4))^2),1)*IF(AND($A634&gt;='Control Room'!$A$14,$A634&lt;'Control Room'!$A$14+'Control Room'!$B$14,'Process'!BV3=1),1+('Control Room'!$C$14-1)*EXP(-0.5*(($A634-'Control Room'!$A$14-('Control Room'!$B$14-1)/2)/MAX(0.5,'Control Room'!$B$14/4))^2),1)*IF(AND($A634&gt;='Control Room'!$A$15,$A634&lt;'Control Room'!$A$15+'Control Room'!$B$15,'Process'!BV4=1),1+('Control Room'!$C$15-1)*EXP(-0.5*(($A634-'Control Room'!$A$15-('Control Room'!$B$15-1)/2)/MAX(0.5,'Control Room'!$B$15/4))^2),1)*IF(AND($A634&gt;='Control Room'!$A$16,$A634&lt;'Control Room'!$A$16+'Control Room'!$B$16,'Process'!BV5=1),1+('Control Room'!$C$16-1)*EXP(-0.5*(($A634-'Control Room'!$A$16-('Control Room'!$B$16-1)/2)/MAX(0.5,'Control Room'!$B$16/4))^2),1)</x:f>
        <x:v>1</x:v>
      </x:c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Z634" t="str">
        <x:f>IF('Data'!A634="","",TEXT('Data'!A634,"mm-dd"))</x:f>
      </x:c>
    </x:row>
    <x:row r="635" ht="21" customHeight="1">
      <x:c r="A635" s="15" t="n">
        <x:f>'Control Room'!$B$1+633</x:f>
        <x:v>73624</x:v>
      </x:c>
      <x:c r="B635" s="9" t="n">
        <x:f>MOD(C634*16807,2147483647)</x:f>
        <x:v>421177740</x:v>
      </x:c>
      <x:c r="C635" s="9" t="n">
        <x:f>MOD(B635*16807,2147483647)</x:f>
        <x:v>628175668</x:v>
      </x:c>
      <x:c r="D635" s="17" t="n">
        <x:f>IF('Control Room'!$B$5="Normal",'Control Room'!$B$7+'Control Room'!$D$7*SQRT(-2*LN(MAX(0.000000000001,B635/2147483647)))*COS(2*PI()*C635/2147483647),'Control Room'!$B$8+('Control Room'!$D$8-'Control Room'!$B$8)*B635/2147483647)</x:f>
        <x:v>957.1171999454023</x:v>
      </x:c>
      <x:c r="E635" s="17" t="n">
        <x:f>IF('Control Room'!$B$5="Normal",'Control Room'!$B$7,('Control Room'!$B$8+'Control Room'!$D$8)/2)+'Control Room'!$B$9*(E634-IF('Control Room'!$B$5="Normal",'Control Room'!$B$7,('Control Room'!$B$8+'Control Room'!$D$8)/2))+SQRT(1-'Control Room'!$B$9^2)*(D635-IF('Control Room'!$B$5="Normal",'Control Room'!$B$7,('Control Room'!$B$8+'Control Room'!$D$8)/2))</x:f>
        <x:v>1051.8581260886083</x:v>
      </x:c>
      <x:c r="F635" s="17" t="n">
        <x:f>IF(AND($A635&gt;='Control Room'!$A$13,$A635&lt;'Control Room'!$A$13+'Control Room'!$B$13,'Process'!BK2=1),1+('Control Room'!$C$13-1)*EXP(-0.5*(($A635-'Control Room'!$A$13-('Control Room'!$B$13-1)/2)/MAX(0.5,'Control Room'!$B$13/4))^2),1)*IF(AND($A635&gt;='Control Room'!$A$14,$A635&lt;'Control Room'!$A$14+'Control Room'!$B$14,'Process'!BK3=1),1+('Control Room'!$C$14-1)*EXP(-0.5*(($A635-'Control Room'!$A$14-('Control Room'!$B$14-1)/2)/MAX(0.5,'Control Room'!$B$14/4))^2),1)*IF(AND($A635&gt;='Control Room'!$A$15,$A635&lt;'Control Room'!$A$15+'Control Room'!$B$15,'Process'!BK4=1),1+('Control Room'!$C$15-1)*EXP(-0.5*(($A635-'Control Room'!$A$15-('Control Room'!$B$15-1)/2)/MAX(0.5,'Control Room'!$B$15/4))^2),1)*IF(AND($A635&gt;='Control Room'!$A$16,$A635&lt;'Control Room'!$A$16+'Control Room'!$B$16,'Process'!BK5=1),1+('Control Room'!$C$16-1)*EXP(-0.5*(($A635-'Control Room'!$A$16-('Control Room'!$B$16-1)/2)/MAX(0.5,'Control Room'!$B$16/4))^2),1)</x:f>
        <x:v>1</x:v>
      </x:c>
      <x:c r="G635" s="9" t="n">
        <x:f>MOD(H634*16807,2147483647)</x:f>
        <x:v>557566298</x:v>
      </x:c>
      <x:c r="H635" s="9" t="n">
        <x:f>MOD(G635*16807,2147483647)</x:f>
        <x:v>1545618625</x:v>
      </x:c>
      <x:c r="I635" s="17" t="n">
        <x:f>IF('Control Room'!$B$5="Normal",'Control Room'!$B$7+'Control Room'!$D$7*SQRT(-2*LN(MAX(0.000000000001,G635/2147483647)))*COS(2*PI()*H635/2147483647),'Control Room'!$B$8+('Control Room'!$D$8-'Control Room'!$B$8)*G635/2147483647)</x:f>
        <x:v>972.0628802562514</x:v>
      </x:c>
      <x:c r="J635" s="17" t="n">
        <x:f>IF('Control Room'!$B$5="Normal",'Control Room'!$B$7,('Control Room'!$B$8+'Control Room'!$D$8)/2)+'Control Room'!$B$9*(J634-IF('Control Room'!$B$5="Normal",'Control Room'!$B$7,('Control Room'!$B$8+'Control Room'!$D$8)/2))+SQRT(1-'Control Room'!$B$9^2)*(I635-IF('Control Room'!$B$5="Normal",'Control Room'!$B$7,('Control Room'!$B$8+'Control Room'!$D$8)/2))</x:f>
        <x:v>1035.9564603062684</x:v>
      </x:c>
      <x:c r="K635" s="17" t="n">
        <x:f>IF(AND($A635&gt;='Control Room'!$A$13,$A635&lt;'Control Room'!$A$13+'Control Room'!$B$13,'Process'!BL2=1),1+('Control Room'!$C$13-1)*EXP(-0.5*(($A635-'Control Room'!$A$13-('Control Room'!$B$13-1)/2)/MAX(0.5,'Control Room'!$B$13/4))^2),1)*IF(AND($A635&gt;='Control Room'!$A$14,$A635&lt;'Control Room'!$A$14+'Control Room'!$B$14,'Process'!BL3=1),1+('Control Room'!$C$14-1)*EXP(-0.5*(($A635-'Control Room'!$A$14-('Control Room'!$B$14-1)/2)/MAX(0.5,'Control Room'!$B$14/4))^2),1)*IF(AND($A635&gt;='Control Room'!$A$15,$A635&lt;'Control Room'!$A$15+'Control Room'!$B$15,'Process'!BL4=1),1+('Control Room'!$C$15-1)*EXP(-0.5*(($A635-'Control Room'!$A$15-('Control Room'!$B$15-1)/2)/MAX(0.5,'Control Room'!$B$15/4))^2),1)*IF(AND($A635&gt;='Control Room'!$A$16,$A635&lt;'Control Room'!$A$16+'Control Room'!$B$16,'Process'!BL5=1),1+('Control Room'!$C$16-1)*EXP(-0.5*(($A635-'Control Room'!$A$16-('Control Room'!$B$16-1)/2)/MAX(0.5,'Control Room'!$B$16/4))^2),1)</x:f>
        <x:v>1</x:v>
      </x:c>
      <x:c r="L635" s="9" t="n">
        <x:f>MOD(M634*16807,2147483647)</x:f>
        <x:v>693954856</x:v>
      </x:c>
      <x:c r="M635" s="9" t="n">
        <x:f>MOD(L635*16807,2147483647)</x:f>
        <x:v>315577935</x:v>
      </x:c>
      <x:c r="N635" s="17" t="n">
        <x:f>IF('Control Room'!$B$5="Normal",'Control Room'!$B$7+'Control Room'!$D$7*SQRT(-2*LN(MAX(0.000000000001,L635/2147483647)))*COS(2*PI()*M635/2147483647),'Control Room'!$B$8+('Control Room'!$D$8-'Control Room'!$B$8)*L635/2147483647)</x:f>
        <x:v>1081.5956118437493</x:v>
      </x:c>
      <x:c r="O635" s="17" t="n">
        <x:f>IF('Control Room'!$B$5="Normal",'Control Room'!$B$7,('Control Room'!$B$8+'Control Room'!$D$8)/2)+'Control Room'!$B$9*(O634-IF('Control Room'!$B$5="Normal",'Control Room'!$B$7,('Control Room'!$B$8+'Control Room'!$D$8)/2))+SQRT(1-'Control Room'!$B$9^2)*(N635-IF('Control Room'!$B$5="Normal",'Control Room'!$B$7,('Control Room'!$B$8+'Control Room'!$D$8)/2))</x:f>
        <x:v>1146.0584714722493</x:v>
      </x:c>
      <x:c r="P635" s="17" t="n">
        <x:f>IF(AND($A635&gt;='Control Room'!$A$13,$A635&lt;'Control Room'!$A$13+'Control Room'!$B$13,'Process'!BM2=1),1+('Control Room'!$C$13-1)*EXP(-0.5*(($A635-'Control Room'!$A$13-('Control Room'!$B$13-1)/2)/MAX(0.5,'Control Room'!$B$13/4))^2),1)*IF(AND($A635&gt;='Control Room'!$A$14,$A635&lt;'Control Room'!$A$14+'Control Room'!$B$14,'Process'!BM3=1),1+('Control Room'!$C$14-1)*EXP(-0.5*(($A635-'Control Room'!$A$14-('Control Room'!$B$14-1)/2)/MAX(0.5,'Control Room'!$B$14/4))^2),1)*IF(AND($A635&gt;='Control Room'!$A$15,$A635&lt;'Control Room'!$A$15+'Control Room'!$B$15,'Process'!BM4=1),1+('Control Room'!$C$15-1)*EXP(-0.5*(($A635-'Control Room'!$A$15-('Control Room'!$B$15-1)/2)/MAX(0.5,'Control Room'!$B$15/4))^2),1)*IF(AND($A635&gt;='Control Room'!$A$16,$A635&lt;'Control Room'!$A$16+'Control Room'!$B$16,'Process'!BM5=1),1+('Control Room'!$C$16-1)*EXP(-0.5*(($A635-'Control Room'!$A$16-('Control Room'!$B$16-1)/2)/MAX(0.5,'Control Room'!$B$16/4))^2),1)</x:f>
        <x:v>1</x:v>
      </x:c>
      <x:c r="Q635" s="9" t="n">
        <x:f>MOD(R634*16807,2147483647)</x:f>
        <x:v>830343414</x:v>
      </x:c>
      <x:c r="R635" s="9" t="n">
        <x:f>MOD(Q635*16807,2147483647)</x:f>
        <x:v>1233020892</x:v>
      </x:c>
      <x:c r="S635" s="17" t="n">
        <x:f>IF('Control Room'!$B$5="Normal",'Control Room'!$B$7+'Control Room'!$D$7*SQRT(-2*LN(MAX(0.000000000001,Q635/2147483647)))*COS(2*PI()*R635/2147483647),'Control Room'!$B$8+('Control Room'!$D$8-'Control Room'!$B$8)*Q635/2147483647)</x:f>
        <x:v>889.1603237003877</x:v>
      </x:c>
      <x:c r="T635" s="17" t="n">
        <x:f>IF('Control Room'!$B$5="Normal",'Control Room'!$B$7,('Control Room'!$B$8+'Control Room'!$D$8)/2)+'Control Room'!$B$9*(T634-IF('Control Room'!$B$5="Normal",'Control Room'!$B$7,('Control Room'!$B$8+'Control Room'!$D$8)/2))+SQRT(1-'Control Room'!$B$9^2)*(S635-IF('Control Room'!$B$5="Normal",'Control Room'!$B$7,('Control Room'!$B$8+'Control Room'!$D$8)/2))</x:f>
        <x:v>1025.1420640090155</x:v>
      </x:c>
      <x:c r="U635" s="17" t="n">
        <x:f>IF(AND($A635&gt;='Control Room'!$A$13,$A635&lt;'Control Room'!$A$13+'Control Room'!$B$13,'Process'!BN2=1),1+('Control Room'!$C$13-1)*EXP(-0.5*(($A635-'Control Room'!$A$13-('Control Room'!$B$13-1)/2)/MAX(0.5,'Control Room'!$B$13/4))^2),1)*IF(AND($A635&gt;='Control Room'!$A$14,$A635&lt;'Control Room'!$A$14+'Control Room'!$B$14,'Process'!BN3=1),1+('Control Room'!$C$14-1)*EXP(-0.5*(($A635-'Control Room'!$A$14-('Control Room'!$B$14-1)/2)/MAX(0.5,'Control Room'!$B$14/4))^2),1)*IF(AND($A635&gt;='Control Room'!$A$15,$A635&lt;'Control Room'!$A$15+'Control Room'!$B$15,'Process'!BN4=1),1+('Control Room'!$C$15-1)*EXP(-0.5*(($A635-'Control Room'!$A$15-('Control Room'!$B$15-1)/2)/MAX(0.5,'Control Room'!$B$15/4))^2),1)*IF(AND($A635&gt;='Control Room'!$A$16,$A635&lt;'Control Room'!$A$16+'Control Room'!$B$16,'Process'!BN5=1),1+('Control Room'!$C$16-1)*EXP(-0.5*(($A635-'Control Room'!$A$16-('Control Room'!$B$16-1)/2)/MAX(0.5,'Control Room'!$B$16/4))^2),1)</x:f>
        <x:v>1</x:v>
      </x:c>
      <x:c r="V635" s="9" t="n">
        <x:f>MOD(W634*16807,2147483647)</x:f>
        <x:v>966731972</x:v>
      </x:c>
      <x:c r="W635" s="9" t="n">
        <x:f>MOD(V635*16807,2147483647)</x:f>
        <x:v>2980202</x:v>
      </x:c>
      <x:c r="X635" s="17" t="n">
        <x:f>IF('Control Room'!$B$5="Normal",'Control Room'!$B$7+'Control Room'!$D$7*SQRT(-2*LN(MAX(0.000000000001,V635/2147483647)))*COS(2*PI()*W635/2147483647),'Control Room'!$B$8+('Control Room'!$D$8-'Control Room'!$B$8)*V635/2147483647)</x:f>
        <x:v>1113.7045963091912</x:v>
      </x:c>
      <x:c r="Y635" s="17" t="n">
        <x:f>IF('Control Room'!$B$5="Normal",'Control Room'!$B$7,('Control Room'!$B$8+'Control Room'!$D$8)/2)+'Control Room'!$B$9*(Y634-IF('Control Room'!$B$5="Normal",'Control Room'!$B$7,('Control Room'!$B$8+'Control Room'!$D$8)/2))+SQRT(1-'Control Room'!$B$9^2)*(X635-IF('Control Room'!$B$5="Normal",'Control Room'!$B$7,('Control Room'!$B$8+'Control Room'!$D$8)/2))</x:f>
        <x:v>1164.0933261980654</x:v>
      </x:c>
      <x:c r="Z635" s="17" t="n">
        <x:f>IF(AND($A635&gt;='Control Room'!$A$13,$A635&lt;'Control Room'!$A$13+'Control Room'!$B$13,'Process'!BO2=1),1+('Control Room'!$C$13-1)*EXP(-0.5*(($A635-'Control Room'!$A$13-('Control Room'!$B$13-1)/2)/MAX(0.5,'Control Room'!$B$13/4))^2),1)*IF(AND($A635&gt;='Control Room'!$A$14,$A635&lt;'Control Room'!$A$14+'Control Room'!$B$14,'Process'!BO3=1),1+('Control Room'!$C$14-1)*EXP(-0.5*(($A635-'Control Room'!$A$14-('Control Room'!$B$14-1)/2)/MAX(0.5,'Control Room'!$B$14/4))^2),1)*IF(AND($A635&gt;='Control Room'!$A$15,$A635&lt;'Control Room'!$A$15+'Control Room'!$B$15,'Process'!BO4=1),1+('Control Room'!$C$15-1)*EXP(-0.5*(($A635-'Control Room'!$A$15-('Control Room'!$B$15-1)/2)/MAX(0.5,'Control Room'!$B$15/4))^2),1)*IF(AND($A635&gt;='Control Room'!$A$16,$A635&lt;'Control Room'!$A$16+'Control Room'!$B$16,'Process'!BO5=1),1+('Control Room'!$C$16-1)*EXP(-0.5*(($A635-'Control Room'!$A$16-('Control Room'!$B$16-1)/2)/MAX(0.5,'Control Room'!$B$16/4))^2),1)</x:f>
        <x:v>1</x:v>
      </x:c>
      <x:c r="AA635" s="9" t="n">
        <x:f>MOD(AB634*16807,2147483647)</x:f>
        <x:v>1103120530</x:v>
      </x:c>
      <x:c r="AB635" s="9" t="n">
        <x:f>MOD(AA635*16807,2147483647)</x:f>
        <x:v>920423159</x:v>
      </x:c>
      <x:c r="AC635" s="17" t="n">
        <x:f>IF('Control Room'!$B$5="Normal",'Control Room'!$B$7+'Control Room'!$D$7*SQRT(-2*LN(MAX(0.000000000001,AA635/2147483647)))*COS(2*PI()*AB635/2147483647),'Control Room'!$B$8+('Control Room'!$D$8-'Control Room'!$B$8)*AA635/2147483647)</x:f>
        <x:v>906.3949662869263</x:v>
      </x:c>
      <x:c r="AD635" s="17" t="n">
        <x:f>IF('Control Room'!$B$5="Normal",'Control Room'!$B$7,('Control Room'!$B$8+'Control Room'!$D$8)/2)+'Control Room'!$B$9*(AD634-IF('Control Room'!$B$5="Normal",'Control Room'!$B$7,('Control Room'!$B$8+'Control Room'!$D$8)/2))+SQRT(1-'Control Room'!$B$9^2)*(AC635-IF('Control Room'!$B$5="Normal",'Control Room'!$B$7,('Control Room'!$B$8+'Control Room'!$D$8)/2))</x:f>
        <x:v>1030.6187004217697</x:v>
      </x:c>
      <x:c r="AE635" s="17" t="n">
        <x:f>IF(AND($A635&gt;='Control Room'!$A$13,$A635&lt;'Control Room'!$A$13+'Control Room'!$B$13,'Process'!BP2=1),1+('Control Room'!$C$13-1)*EXP(-0.5*(($A635-'Control Room'!$A$13-('Control Room'!$B$13-1)/2)/MAX(0.5,'Control Room'!$B$13/4))^2),1)*IF(AND($A635&gt;='Control Room'!$A$14,$A635&lt;'Control Room'!$A$14+'Control Room'!$B$14,'Process'!BP3=1),1+('Control Room'!$C$14-1)*EXP(-0.5*(($A635-'Control Room'!$A$14-('Control Room'!$B$14-1)/2)/MAX(0.5,'Control Room'!$B$14/4))^2),1)*IF(AND($A635&gt;='Control Room'!$A$15,$A635&lt;'Control Room'!$A$15+'Control Room'!$B$15,'Process'!BP4=1),1+('Control Room'!$C$15-1)*EXP(-0.5*(($A635-'Control Room'!$A$15-('Control Room'!$B$15-1)/2)/MAX(0.5,'Control Room'!$B$15/4))^2),1)*IF(AND($A635&gt;='Control Room'!$A$16,$A635&lt;'Control Room'!$A$16+'Control Room'!$B$16,'Process'!BP5=1),1+('Control Room'!$C$16-1)*EXP(-0.5*(($A635-'Control Room'!$A$16-('Control Room'!$B$16-1)/2)/MAX(0.5,'Control Room'!$B$16/4))^2),1)</x:f>
        <x:v>1</x:v>
      </x:c>
      <x:c r="AF635" s="9" t="n">
        <x:f>MOD(AG634*16807,2147483647)</x:f>
        <x:v>1239509088</x:v>
      </x:c>
      <x:c r="AG635" s="9" t="n">
        <x:f>MOD(AF635*16807,2147483647)</x:f>
        <x:v>1837866116</x:v>
      </x:c>
      <x:c r="AH635" s="17" t="n">
        <x:f>IF('Control Room'!$B$5="Normal",'Control Room'!$B$7+'Control Room'!$D$7*SQRT(-2*LN(MAX(0.000000000001,AF635/2147483647)))*COS(2*PI()*AG635/2147483647),'Control Room'!$B$8+('Control Room'!$D$8-'Control Room'!$B$8)*AF635/2147483647)</x:f>
        <x:v>1058.2167971840177</x:v>
      </x:c>
      <x:c r="AI635" s="17" t="n">
        <x:f>IF('Control Room'!$B$5="Normal",'Control Room'!$B$7,('Control Room'!$B$8+'Control Room'!$D$8)/2)+'Control Room'!$B$9*(AI634-IF('Control Room'!$B$5="Normal",'Control Room'!$B$7,('Control Room'!$B$8+'Control Room'!$D$8)/2))+SQRT(1-'Control Room'!$B$9^2)*(AH635-IF('Control Room'!$B$5="Normal",'Control Room'!$B$7,('Control Room'!$B$8+'Control Room'!$D$8)/2))</x:f>
        <x:v>1114.4747166485654</x:v>
      </x:c>
      <x:c r="AJ635" s="17" t="n">
        <x:f>IF(AND($A635&gt;='Control Room'!$A$13,$A635&lt;'Control Room'!$A$13+'Control Room'!$B$13,'Process'!BQ2=1),1+('Control Room'!$C$13-1)*EXP(-0.5*(($A635-'Control Room'!$A$13-('Control Room'!$B$13-1)/2)/MAX(0.5,'Control Room'!$B$13/4))^2),1)*IF(AND($A635&gt;='Control Room'!$A$14,$A635&lt;'Control Room'!$A$14+'Control Room'!$B$14,'Process'!BQ3=1),1+('Control Room'!$C$14-1)*EXP(-0.5*(($A635-'Control Room'!$A$14-('Control Room'!$B$14-1)/2)/MAX(0.5,'Control Room'!$B$14/4))^2),1)*IF(AND($A635&gt;='Control Room'!$A$15,$A635&lt;'Control Room'!$A$15+'Control Room'!$B$15,'Process'!BQ4=1),1+('Control Room'!$C$15-1)*EXP(-0.5*(($A635-'Control Room'!$A$15-('Control Room'!$B$15-1)/2)/MAX(0.5,'Control Room'!$B$15/4))^2),1)*IF(AND($A635&gt;='Control Room'!$A$16,$A635&lt;'Control Room'!$A$16+'Control Room'!$B$16,'Process'!BQ5=1),1+('Control Room'!$C$16-1)*EXP(-0.5*(($A635-'Control Room'!$A$16-('Control Room'!$B$16-1)/2)/MAX(0.5,'Control Room'!$B$16/4))^2),1)</x:f>
        <x:v>1</x:v>
      </x:c>
      <x:c r="AK635" s="9" t="n">
        <x:f>MOD(AL634*16807,2147483647)</x:f>
        <x:v>1375897646</x:v>
      </x:c>
      <x:c r="AL635" s="9" t="n">
        <x:f>MOD(AK635*16807,2147483647)</x:f>
        <x:v>607825426</x:v>
      </x:c>
      <x:c r="AM635" s="17" t="n">
        <x:f>IF('Control Room'!$B$5="Normal",'Control Room'!$B$7+'Control Room'!$D$7*SQRT(-2*LN(MAX(0.000000000001,AK635/2147483647)))*COS(2*PI()*AL635/2147483647),'Control Room'!$B$8+('Control Room'!$D$8-'Control Room'!$B$8)*AK635/2147483647)</x:f>
        <x:v>982.4960369216661</x:v>
      </x:c>
      <x:c r="AN635" s="17" t="n">
        <x:f>IF('Control Room'!$B$5="Normal",'Control Room'!$B$7,('Control Room'!$B$8+'Control Room'!$D$8)/2)+'Control Room'!$B$9*(AN634-IF('Control Room'!$B$5="Normal",'Control Room'!$B$7,('Control Room'!$B$8+'Control Room'!$D$8)/2))+SQRT(1-'Control Room'!$B$9^2)*(AM635-IF('Control Room'!$B$5="Normal",'Control Room'!$B$7,('Control Room'!$B$8+'Control Room'!$D$8)/2))</x:f>
        <x:v>959.3661419504543</x:v>
      </x:c>
      <x:c r="AO635" s="17" t="n">
        <x:f>IF(AND($A635&gt;='Control Room'!$A$13,$A635&lt;'Control Room'!$A$13+'Control Room'!$B$13,'Process'!BR2=1),1+('Control Room'!$C$13-1)*EXP(-0.5*(($A635-'Control Room'!$A$13-('Control Room'!$B$13-1)/2)/MAX(0.5,'Control Room'!$B$13/4))^2),1)*IF(AND($A635&gt;='Control Room'!$A$14,$A635&lt;'Control Room'!$A$14+'Control Room'!$B$14,'Process'!BR3=1),1+('Control Room'!$C$14-1)*EXP(-0.5*(($A635-'Control Room'!$A$14-('Control Room'!$B$14-1)/2)/MAX(0.5,'Control Room'!$B$14/4))^2),1)*IF(AND($A635&gt;='Control Room'!$A$15,$A635&lt;'Control Room'!$A$15+'Control Room'!$B$15,'Process'!BR4=1),1+('Control Room'!$C$15-1)*EXP(-0.5*(($A635-'Control Room'!$A$15-('Control Room'!$B$15-1)/2)/MAX(0.5,'Control Room'!$B$15/4))^2),1)*IF(AND($A635&gt;='Control Room'!$A$16,$A635&lt;'Control Room'!$A$16+'Control Room'!$B$16,'Process'!BR5=1),1+('Control Room'!$C$16-1)*EXP(-0.5*(($A635-'Control Room'!$A$16-('Control Room'!$B$16-1)/2)/MAX(0.5,'Control Room'!$B$16/4))^2),1)</x:f>
        <x:v>1</x:v>
      </x:c>
      <x:c r="AP635" s="9" t="n">
        <x:f>MOD(AQ634*16807,2147483647)</x:f>
        <x:v>1512286204</x:v>
      </x:c>
      <x:c r="AQ635" s="9" t="n">
        <x:f>MOD(AP635*16807,2147483647)</x:f>
        <x:v>1525268383</x:v>
      </x:c>
      <x:c r="AR635" s="17" t="n">
        <x:f>IF('Control Room'!$B$5="Normal",'Control Room'!$B$7+'Control Room'!$D$7*SQRT(-2*LN(MAX(0.000000000001,AP635/2147483647)))*COS(2*PI()*AQ635/2147483647),'Control Room'!$B$8+('Control Room'!$D$8-'Control Room'!$B$8)*AP635/2147483647)</x:f>
        <x:v>981.3743424339865</x:v>
      </x:c>
      <x:c r="AS635" s="17" t="n">
        <x:f>IF('Control Room'!$B$5="Normal",'Control Room'!$B$7,('Control Room'!$B$8+'Control Room'!$D$8)/2)+'Control Room'!$B$9*(AS634-IF('Control Room'!$B$5="Normal",'Control Room'!$B$7,('Control Room'!$B$8+'Control Room'!$D$8)/2))+SQRT(1-'Control Room'!$B$9^2)*(AR635-IF('Control Room'!$B$5="Normal",'Control Room'!$B$7,('Control Room'!$B$8+'Control Room'!$D$8)/2))</x:f>
        <x:v>955.493730334016</x:v>
      </x:c>
      <x:c r="AT635" s="17" t="n">
        <x:f>IF(AND($A635&gt;='Control Room'!$A$13,$A635&lt;'Control Room'!$A$13+'Control Room'!$B$13,'Process'!BS2=1),1+('Control Room'!$C$13-1)*EXP(-0.5*(($A635-'Control Room'!$A$13-('Control Room'!$B$13-1)/2)/MAX(0.5,'Control Room'!$B$13/4))^2),1)*IF(AND($A635&gt;='Control Room'!$A$14,$A635&lt;'Control Room'!$A$14+'Control Room'!$B$14,'Process'!BS3=1),1+('Control Room'!$C$14-1)*EXP(-0.5*(($A635-'Control Room'!$A$14-('Control Room'!$B$14-1)/2)/MAX(0.5,'Control Room'!$B$14/4))^2),1)*IF(AND($A635&gt;='Control Room'!$A$15,$A635&lt;'Control Room'!$A$15+'Control Room'!$B$15,'Process'!BS4=1),1+('Control Room'!$C$15-1)*EXP(-0.5*(($A635-'Control Room'!$A$15-('Control Room'!$B$15-1)/2)/MAX(0.5,'Control Room'!$B$15/4))^2),1)*IF(AND($A635&gt;='Control Room'!$A$16,$A635&lt;'Control Room'!$A$16+'Control Room'!$B$16,'Process'!BS5=1),1+('Control Room'!$C$16-1)*EXP(-0.5*(($A635-'Control Room'!$A$16-('Control Room'!$B$16-1)/2)/MAX(0.5,'Control Room'!$B$16/4))^2),1)</x:f>
        <x:v>1</x:v>
      </x:c>
      <x:c r="AU635" s="9" t="n">
        <x:f>MOD(AV634*16807,2147483647)</x:f>
        <x:v>1648674762</x:v>
      </x:c>
      <x:c r="AV635" s="9" t="n">
        <x:f>MOD(AU635*16807,2147483647)</x:f>
        <x:v>295227693</x:v>
      </x:c>
      <x:c r="AW635" s="17" t="n">
        <x:f>IF('Control Room'!$B$5="Normal",'Control Room'!$B$7+'Control Room'!$D$7*SQRT(-2*LN(MAX(0.000000000001,AU635/2147483647)))*COS(2*PI()*AV635/2147483647),'Control Room'!$B$8+('Control Room'!$D$8-'Control Room'!$B$8)*AU635/2147483647)</x:f>
        <x:v>1042.505716574093</x:v>
      </x:c>
      <x:c r="AX635" s="17" t="n">
        <x:f>IF('Control Room'!$B$5="Normal",'Control Room'!$B$7,('Control Room'!$B$8+'Control Room'!$D$8)/2)+'Control Room'!$B$9*(AX634-IF('Control Room'!$B$5="Normal",'Control Room'!$B$7,('Control Room'!$B$8+'Control Room'!$D$8)/2))+SQRT(1-'Control Room'!$B$9^2)*(AW635-IF('Control Room'!$B$5="Normal",'Control Room'!$B$7,('Control Room'!$B$8+'Control Room'!$D$8)/2))</x:f>
        <x:v>1085.0103408576922</x:v>
      </x:c>
      <x:c r="AY635" s="17" t="n">
        <x:f>IF(AND($A635&gt;='Control Room'!$A$13,$A635&lt;'Control Room'!$A$13+'Control Room'!$B$13,'Process'!BT2=1),1+('Control Room'!$C$13-1)*EXP(-0.5*(($A635-'Control Room'!$A$13-('Control Room'!$B$13-1)/2)/MAX(0.5,'Control Room'!$B$13/4))^2),1)*IF(AND($A635&gt;='Control Room'!$A$14,$A635&lt;'Control Room'!$A$14+'Control Room'!$B$14,'Process'!BT3=1),1+('Control Room'!$C$14-1)*EXP(-0.5*(($A635-'Control Room'!$A$14-('Control Room'!$B$14-1)/2)/MAX(0.5,'Control Room'!$B$14/4))^2),1)*IF(AND($A635&gt;='Control Room'!$A$15,$A635&lt;'Control Room'!$A$15+'Control Room'!$B$15,'Process'!BT4=1),1+('Control Room'!$C$15-1)*EXP(-0.5*(($A635-'Control Room'!$A$15-('Control Room'!$B$15-1)/2)/MAX(0.5,'Control Room'!$B$15/4))^2),1)*IF(AND($A635&gt;='Control Room'!$A$16,$A635&lt;'Control Room'!$A$16+'Control Room'!$B$16,'Process'!BT5=1),1+('Control Room'!$C$16-1)*EXP(-0.5*(($A635-'Control Room'!$A$16-('Control Room'!$B$16-1)/2)/MAX(0.5,'Control Room'!$B$16/4))^2),1)</x:f>
        <x:v>1</x:v>
      </x:c>
      <x:c r="AZ635" s="9" t="n">
        <x:f>MOD(BA634*16807,2147483647)</x:f>
        <x:v>1785063320</x:v>
      </x:c>
      <x:c r="BA635" s="9" t="n">
        <x:f>MOD(AZ635*16807,2147483647)</x:f>
        <x:v>1212670650</x:v>
      </x:c>
      <x:c r="BB635" s="17" t="n">
        <x:f>IF('Control Room'!$B$5="Normal",'Control Room'!$B$7+'Control Room'!$D$7*SQRT(-2*LN(MAX(0.000000000001,AZ635/2147483647)))*COS(2*PI()*BA635/2147483647),'Control Room'!$B$8+('Control Room'!$D$8-'Control Room'!$B$8)*AZ635/2147483647)</x:f>
        <x:v>949.7372681263968</x:v>
      </x:c>
      <x:c r="BC635" s="17" t="n">
        <x:f>IF('Control Room'!$B$5="Normal",'Control Room'!$B$7,('Control Room'!$B$8+'Control Room'!$D$8)/2)+'Control Room'!$B$9*(BC634-IF('Control Room'!$B$5="Normal",'Control Room'!$B$7,('Control Room'!$B$8+'Control Room'!$D$8)/2))+SQRT(1-'Control Room'!$B$9^2)*(BB635-IF('Control Room'!$B$5="Normal",'Control Room'!$B$7,('Control Room'!$B$8+'Control Room'!$D$8)/2))</x:f>
        <x:v>939.3109165813318</x:v>
      </x:c>
      <x:c r="BD635" s="17" t="n">
        <x:f>IF(AND($A635&gt;='Control Room'!$A$13,$A635&lt;'Control Room'!$A$13+'Control Room'!$B$13,'Process'!BU2=1),1+('Control Room'!$C$13-1)*EXP(-0.5*(($A635-'Control Room'!$A$13-('Control Room'!$B$13-1)/2)/MAX(0.5,'Control Room'!$B$13/4))^2),1)*IF(AND($A635&gt;='Control Room'!$A$14,$A635&lt;'Control Room'!$A$14+'Control Room'!$B$14,'Process'!BU3=1),1+('Control Room'!$C$14-1)*EXP(-0.5*(($A635-'Control Room'!$A$14-('Control Room'!$B$14-1)/2)/MAX(0.5,'Control Room'!$B$14/4))^2),1)*IF(AND($A635&gt;='Control Room'!$A$15,$A635&lt;'Control Room'!$A$15+'Control Room'!$B$15,'Process'!BU4=1),1+('Control Room'!$C$15-1)*EXP(-0.5*(($A635-'Control Room'!$A$15-('Control Room'!$B$15-1)/2)/MAX(0.5,'Control Room'!$B$15/4))^2),1)*IF(AND($A635&gt;='Control Room'!$A$16,$A635&lt;'Control Room'!$A$16+'Control Room'!$B$16,'Process'!BU5=1),1+('Control Room'!$C$16-1)*EXP(-0.5*(($A635-'Control Room'!$A$16-('Control Room'!$B$16-1)/2)/MAX(0.5,'Control Room'!$B$16/4))^2),1)</x:f>
        <x:v>1</x:v>
      </x:c>
      <x:c r="BE635" s="9" t="n">
        <x:f>MOD(BF634*16807,2147483647)</x:f>
        <x:v>1921451878</x:v>
      </x:c>
      <x:c r="BF635" s="9" t="n">
        <x:f>MOD(BE635*16807,2147483647)</x:f>
        <x:v>2130113607</x:v>
      </x:c>
      <x:c r="BG635" s="17" t="n">
        <x:f>IF('Control Room'!$B$5="Normal",'Control Room'!$B$7+'Control Room'!$D$7*SQRT(-2*LN(MAX(0.000000000001,BE635/2147483647)))*COS(2*PI()*BF635/2147483647),'Control Room'!$B$8+('Control Room'!$D$8-'Control Room'!$B$8)*BE635/2147483647)</x:f>
        <x:v>1042.39156024153</x:v>
      </x:c>
      <x:c r="BH635" s="17" t="n">
        <x:f>IF('Control Room'!$B$5="Normal",'Control Room'!$B$7,('Control Room'!$B$8+'Control Room'!$D$8)/2)+'Control Room'!$B$9*(BH634-IF('Control Room'!$B$5="Normal",'Control Room'!$B$7,('Control Room'!$B$8+'Control Room'!$D$8)/2))+SQRT(1-'Control Room'!$B$9^2)*(BG635-IF('Control Room'!$B$5="Normal",'Control Room'!$B$7,('Control Room'!$B$8+'Control Room'!$D$8)/2))</x:f>
        <x:v>1093.707364904438</x:v>
      </x:c>
      <x:c r="BI635" s="17" t="n">
        <x:f>IF(AND($A635&gt;='Control Room'!$A$13,$A635&lt;'Control Room'!$A$13+'Control Room'!$B$13,'Process'!BV2=1),1+('Control Room'!$C$13-1)*EXP(-0.5*(($A635-'Control Room'!$A$13-('Control Room'!$B$13-1)/2)/MAX(0.5,'Control Room'!$B$13/4))^2),1)*IF(AND($A635&gt;='Control Room'!$A$14,$A635&lt;'Control Room'!$A$14+'Control Room'!$B$14,'Process'!BV3=1),1+('Control Room'!$C$14-1)*EXP(-0.5*(($A635-'Control Room'!$A$14-('Control Room'!$B$14-1)/2)/MAX(0.5,'Control Room'!$B$14/4))^2),1)*IF(AND($A635&gt;='Control Room'!$A$15,$A635&lt;'Control Room'!$A$15+'Control Room'!$B$15,'Process'!BV4=1),1+('Control Room'!$C$15-1)*EXP(-0.5*(($A635-'Control Room'!$A$15-('Control Room'!$B$15-1)/2)/MAX(0.5,'Control Room'!$B$15/4))^2),1)*IF(AND($A635&gt;='Control Room'!$A$16,$A635&lt;'Control Room'!$A$16+'Control Room'!$B$16,'Process'!BV5=1),1+('Control Room'!$C$16-1)*EXP(-0.5*(($A635-'Control Room'!$A$16-('Control Room'!$B$16-1)/2)/MAX(0.5,'Control Room'!$B$16/4))^2),1)</x:f>
        <x:v>1</x:v>
      </x:c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Z635" t="str">
        <x:f>IF('Data'!A635="","",TEXT('Data'!A635,"mm-dd"))</x:f>
      </x:c>
    </x:row>
    <x:row r="636" ht="21" customHeight="1">
      <x:c r="A636" s="15" t="n">
        <x:f>'Control Room'!$B$1+634</x:f>
        <x:v>73625</x:v>
      </x:c>
      <x:c r="B636" s="9" t="n">
        <x:f>MOD(C635*16807,2147483647)</x:f>
        <x:v>718843424</x:v>
      </x:c>
      <x:c r="C636" s="9" t="n">
        <x:f>MOD(B636*16807,2147483647)</x:f>
        <x:v>2005912793</x:v>
      </x:c>
      <x:c r="D636" s="17" t="n">
        <x:f>IF('Control Room'!$B$5="Normal",'Control Room'!$B$7+'Control Room'!$D$7*SQRT(-2*LN(MAX(0.000000000001,B636/2147483647)))*COS(2*PI()*C636/2147483647),'Control Room'!$B$8+('Control Room'!$D$8-'Control Room'!$B$8)*B636/2147483647)</x:f>
        <x:v>1121.8916444326019</x:v>
      </x:c>
      <x:c r="E636" s="17" t="n">
        <x:f>IF('Control Room'!$B$5="Normal",'Control Room'!$B$7,('Control Room'!$B$8+'Control Room'!$D$8)/2)+'Control Room'!$B$9*(E635-IF('Control Room'!$B$5="Normal",'Control Room'!$B$7,('Control Room'!$B$8+'Control Room'!$D$8)/2))+SQRT(1-'Control Room'!$B$9^2)*(D636-IF('Control Room'!$B$5="Normal",'Control Room'!$B$7,('Control Room'!$B$8+'Control Room'!$D$8)/2))</x:f>
        <x:v>1116.7266323489719</x:v>
      </x:c>
      <x:c r="F636" s="17" t="n">
        <x:f>IF(AND($A636&gt;='Control Room'!$A$13,$A636&lt;'Control Room'!$A$13+'Control Room'!$B$13,'Process'!BK2=1),1+('Control Room'!$C$13-1)*EXP(-0.5*(($A636-'Control Room'!$A$13-('Control Room'!$B$13-1)/2)/MAX(0.5,'Control Room'!$B$13/4))^2),1)*IF(AND($A636&gt;='Control Room'!$A$14,$A636&lt;'Control Room'!$A$14+'Control Room'!$B$14,'Process'!BK3=1),1+('Control Room'!$C$14-1)*EXP(-0.5*(($A636-'Control Room'!$A$14-('Control Room'!$B$14-1)/2)/MAX(0.5,'Control Room'!$B$14/4))^2),1)*IF(AND($A636&gt;='Control Room'!$A$15,$A636&lt;'Control Room'!$A$15+'Control Room'!$B$15,'Process'!BK4=1),1+('Control Room'!$C$15-1)*EXP(-0.5*(($A636-'Control Room'!$A$15-('Control Room'!$B$15-1)/2)/MAX(0.5,'Control Room'!$B$15/4))^2),1)*IF(AND($A636&gt;='Control Room'!$A$16,$A636&lt;'Control Room'!$A$16+'Control Room'!$B$16,'Process'!BK5=1),1+('Control Room'!$C$16-1)*EXP(-0.5*(($A636-'Control Room'!$A$16-('Control Room'!$B$16-1)/2)/MAX(0.5,'Control Room'!$B$16/4))^2),1)</x:f>
        <x:v>1</x:v>
      </x:c>
      <x:c r="G636" s="9" t="n">
        <x:f>MOD(H635*16807,2147483647)</x:f>
        <x:v>1250036263</x:v>
      </x:c>
      <x:c r="H636" s="9" t="n">
        <x:f>MOD(G636*16807,2147483647)</x:f>
        <x:v>526953640</x:v>
      </x:c>
      <x:c r="I636" s="17" t="n">
        <x:f>IF('Control Room'!$B$5="Normal",'Control Room'!$B$7+'Control Room'!$D$7*SQRT(-2*LN(MAX(0.000000000001,G636/2147483647)))*COS(2*PI()*H636/2147483647),'Control Room'!$B$8+('Control Room'!$D$8-'Control Room'!$B$8)*G636/2147483647)</x:f>
        <x:v>1002.716359571336</x:v>
      </x:c>
      <x:c r="J636" s="17" t="n">
        <x:f>IF('Control Room'!$B$5="Normal",'Control Room'!$B$7,('Control Room'!$B$8+'Control Room'!$D$8)/2)+'Control Room'!$B$9*(J635-IF('Control Room'!$B$5="Normal",'Control Room'!$B$7,('Control Room'!$B$8+'Control Room'!$D$8)/2))+SQRT(1-'Control Room'!$B$9^2)*(I636-IF('Control Room'!$B$5="Normal",'Control Room'!$B$7,('Control Room'!$B$8+'Control Room'!$D$8)/2))</x:f>
        <x:v>1029.745881210981</x:v>
      </x:c>
      <x:c r="K636" s="17" t="n">
        <x:f>IF(AND($A636&gt;='Control Room'!$A$13,$A636&lt;'Control Room'!$A$13+'Control Room'!$B$13,'Process'!BL2=1),1+('Control Room'!$C$13-1)*EXP(-0.5*(($A636-'Control Room'!$A$13-('Control Room'!$B$13-1)/2)/MAX(0.5,'Control Room'!$B$13/4))^2),1)*IF(AND($A636&gt;='Control Room'!$A$14,$A636&lt;'Control Room'!$A$14+'Control Room'!$B$14,'Process'!BL3=1),1+('Control Room'!$C$14-1)*EXP(-0.5*(($A636-'Control Room'!$A$14-('Control Room'!$B$14-1)/2)/MAX(0.5,'Control Room'!$B$14/4))^2),1)*IF(AND($A636&gt;='Control Room'!$A$15,$A636&lt;'Control Room'!$A$15+'Control Room'!$B$15,'Process'!BL4=1),1+('Control Room'!$C$15-1)*EXP(-0.5*(($A636-'Control Room'!$A$15-('Control Room'!$B$15-1)/2)/MAX(0.5,'Control Room'!$B$15/4))^2),1)*IF(AND($A636&gt;='Control Room'!$A$16,$A636&lt;'Control Room'!$A$16+'Control Room'!$B$16,'Process'!BL5=1),1+('Control Room'!$C$16-1)*EXP(-0.5*(($A636-'Control Room'!$A$16-('Control Room'!$B$16-1)/2)/MAX(0.5,'Control Room'!$B$16/4))^2),1)</x:f>
        <x:v>1</x:v>
      </x:c>
      <x:c r="L636" s="9" t="n">
        <x:f>MOD(M635*16807,2147483647)</x:f>
        <x:v>1781229102</x:v>
      </x:c>
      <x:c r="M636" s="9" t="n">
        <x:f>MOD(L636*16807,2147483647)</x:f>
        <x:v>1195478134</x:v>
      </x:c>
      <x:c r="N636" s="17" t="n">
        <x:f>IF('Control Room'!$B$5="Normal",'Control Room'!$B$7+'Control Room'!$D$7*SQRT(-2*LN(MAX(0.000000000001,L636/2147483647)))*COS(2*PI()*M636/2147483647),'Control Room'!$B$8+('Control Room'!$D$8-'Control Room'!$B$8)*L636/2147483647)</x:f>
        <x:v>948.4155193727706</x:v>
      </x:c>
      <x:c r="O636" s="17" t="n">
        <x:f>IF('Control Room'!$B$5="Normal",'Control Room'!$B$7,('Control Room'!$B$8+'Control Room'!$D$8)/2)+'Control Room'!$B$9*(O635-IF('Control Room'!$B$5="Normal",'Control Room'!$B$7,('Control Room'!$B$8+'Control Room'!$D$8)/2))+SQRT(1-'Control Room'!$B$9^2)*(N636-IF('Control Room'!$B$5="Normal",'Control Room'!$B$7,('Control Room'!$B$8+'Control Room'!$D$8)/2))</x:f>
        <x:v>1081.6450965373604</x:v>
      </x:c>
      <x:c r="P636" s="17" t="n">
        <x:f>IF(AND($A636&gt;='Control Room'!$A$13,$A636&lt;'Control Room'!$A$13+'Control Room'!$B$13,'Process'!BM2=1),1+('Control Room'!$C$13-1)*EXP(-0.5*(($A636-'Control Room'!$A$13-('Control Room'!$B$13-1)/2)/MAX(0.5,'Control Room'!$B$13/4))^2),1)*IF(AND($A636&gt;='Control Room'!$A$14,$A636&lt;'Control Room'!$A$14+'Control Room'!$B$14,'Process'!BM3=1),1+('Control Room'!$C$14-1)*EXP(-0.5*(($A636-'Control Room'!$A$14-('Control Room'!$B$14-1)/2)/MAX(0.5,'Control Room'!$B$14/4))^2),1)*IF(AND($A636&gt;='Control Room'!$A$15,$A636&lt;'Control Room'!$A$15+'Control Room'!$B$15,'Process'!BM4=1),1+('Control Room'!$C$15-1)*EXP(-0.5*(($A636-'Control Room'!$A$15-('Control Room'!$B$15-1)/2)/MAX(0.5,'Control Room'!$B$15/4))^2),1)*IF(AND($A636&gt;='Control Room'!$A$16,$A636&lt;'Control Room'!$A$16+'Control Room'!$B$16,'Process'!BM5=1),1+('Control Room'!$C$16-1)*EXP(-0.5*(($A636-'Control Room'!$A$16-('Control Room'!$B$16-1)/2)/MAX(0.5,'Control Room'!$B$16/4))^2),1)</x:f>
        <x:v>1</x:v>
      </x:c>
      <x:c r="Q636" s="9" t="n">
        <x:f>MOD(R635*16807,2147483647)</x:f>
        <x:v>164938294</x:v>
      </x:c>
      <x:c r="R636" s="9" t="n">
        <x:f>MOD(Q636*16807,2147483647)</x:f>
        <x:v>1864002628</x:v>
      </x:c>
      <x:c r="S636" s="17" t="n">
        <x:f>IF('Control Room'!$B$5="Normal",'Control Room'!$B$7+'Control Room'!$D$7*SQRT(-2*LN(MAX(0.000000000001,Q636/2147483647)))*COS(2*PI()*R636/2147483647),'Control Room'!$B$8+('Control Room'!$D$8-'Control Room'!$B$8)*Q636/2147483647)</x:f>
        <x:v>1137.6975023355744</x:v>
      </x:c>
      <x:c r="T636" s="17" t="n">
        <x:f>IF('Control Room'!$B$5="Normal",'Control Room'!$B$7,('Control Room'!$B$8+'Control Room'!$D$8)/2)+'Control Room'!$B$9*(T635-IF('Control Room'!$B$5="Normal",'Control Room'!$B$7,('Control Room'!$B$8+'Control Room'!$D$8)/2))+SQRT(1-'Control Room'!$B$9^2)*(S636-IF('Control Room'!$B$5="Normal",'Control Room'!$B$7,('Control Room'!$B$8+'Control Room'!$D$8)/2))</x:f>
        <x:v>1105.7790860019704</x:v>
      </x:c>
      <x:c r="U636" s="17" t="n">
        <x:f>IF(AND($A636&gt;='Control Room'!$A$13,$A636&lt;'Control Room'!$A$13+'Control Room'!$B$13,'Process'!BN2=1),1+('Control Room'!$C$13-1)*EXP(-0.5*(($A636-'Control Room'!$A$13-('Control Room'!$B$13-1)/2)/MAX(0.5,'Control Room'!$B$13/4))^2),1)*IF(AND($A636&gt;='Control Room'!$A$14,$A636&lt;'Control Room'!$A$14+'Control Room'!$B$14,'Process'!BN3=1),1+('Control Room'!$C$14-1)*EXP(-0.5*(($A636-'Control Room'!$A$14-('Control Room'!$B$14-1)/2)/MAX(0.5,'Control Room'!$B$14/4))^2),1)*IF(AND($A636&gt;='Control Room'!$A$15,$A636&lt;'Control Room'!$A$15+'Control Room'!$B$15,'Process'!BN4=1),1+('Control Room'!$C$15-1)*EXP(-0.5*(($A636-'Control Room'!$A$15-('Control Room'!$B$15-1)/2)/MAX(0.5,'Control Room'!$B$15/4))^2),1)*IF(AND($A636&gt;='Control Room'!$A$16,$A636&lt;'Control Room'!$A$16+'Control Room'!$B$16,'Process'!BN5=1),1+('Control Room'!$C$16-1)*EXP(-0.5*(($A636-'Control Room'!$A$16-('Control Room'!$B$16-1)/2)/MAX(0.5,'Control Room'!$B$16/4))^2),1)</x:f>
        <x:v>1</x:v>
      </x:c>
      <x:c r="V636" s="9" t="n">
        <x:f>MOD(W635*16807,2147483647)</x:f>
        <x:v>696131133</x:v>
      </x:c>
      <x:c r="W636" s="9" t="n">
        <x:f>MOD(V636*16807,2147483647)</x:f>
        <x:v>385043475</x:v>
      </x:c>
      <x:c r="X636" s="17" t="n">
        <x:f>IF('Control Room'!$B$5="Normal",'Control Room'!$B$7+'Control Room'!$D$7*SQRT(-2*LN(MAX(0.000000000001,V636/2147483647)))*COS(2*PI()*W636/2147483647),'Control Room'!$B$8+('Control Room'!$D$8-'Control Room'!$B$8)*V636/2147483647)</x:f>
        <x:v>1058.0560455377622</x:v>
      </x:c>
      <x:c r="Y636" s="17" t="n">
        <x:f>IF('Control Room'!$B$5="Normal",'Control Room'!$B$7,('Control Room'!$B$8+'Control Room'!$D$8)/2)+'Control Room'!$B$9*(Y635-IF('Control Room'!$B$5="Normal",'Control Room'!$B$7,('Control Room'!$B$8+'Control Room'!$D$8)/2))+SQRT(1-'Control Room'!$B$9^2)*(X636-IF('Control Room'!$B$5="Normal",'Control Room'!$B$7,('Control Room'!$B$8+'Control Room'!$D$8)/2))</x:f>
        <x:v>1164.3230783892832</x:v>
      </x:c>
      <x:c r="Z636" s="17" t="n">
        <x:f>IF(AND($A636&gt;='Control Room'!$A$13,$A636&lt;'Control Room'!$A$13+'Control Room'!$B$13,'Process'!BO2=1),1+('Control Room'!$C$13-1)*EXP(-0.5*(($A636-'Control Room'!$A$13-('Control Room'!$B$13-1)/2)/MAX(0.5,'Control Room'!$B$13/4))^2),1)*IF(AND($A636&gt;='Control Room'!$A$14,$A636&lt;'Control Room'!$A$14+'Control Room'!$B$14,'Process'!BO3=1),1+('Control Room'!$C$14-1)*EXP(-0.5*(($A636-'Control Room'!$A$14-('Control Room'!$B$14-1)/2)/MAX(0.5,'Control Room'!$B$14/4))^2),1)*IF(AND($A636&gt;='Control Room'!$A$15,$A636&lt;'Control Room'!$A$15+'Control Room'!$B$15,'Process'!BO4=1),1+('Control Room'!$C$15-1)*EXP(-0.5*(($A636-'Control Room'!$A$15-('Control Room'!$B$15-1)/2)/MAX(0.5,'Control Room'!$B$15/4))^2),1)*IF(AND($A636&gt;='Control Room'!$A$16,$A636&lt;'Control Room'!$A$16+'Control Room'!$B$16,'Process'!BO5=1),1+('Control Room'!$C$16-1)*EXP(-0.5*(($A636-'Control Room'!$A$16-('Control Room'!$B$16-1)/2)/MAX(0.5,'Control Room'!$B$16/4))^2),1)</x:f>
        <x:v>1</x:v>
      </x:c>
      <x:c r="AA636" s="9" t="n">
        <x:f>MOD(AB635*16807,2147483647)</x:f>
        <x:v>1227323972</x:v>
      </x:c>
      <x:c r="AB636" s="9" t="n">
        <x:f>MOD(AA636*16807,2147483647)</x:f>
        <x:v>1053567969</x:v>
      </x:c>
      <x:c r="AC636" s="17" t="n">
        <x:f>IF('Control Room'!$B$5="Normal",'Control Room'!$B$7+'Control Room'!$D$7*SQRT(-2*LN(MAX(0.000000000001,AA636/2147483647)))*COS(2*PI()*AB636/2147483647),'Control Room'!$B$8+('Control Room'!$D$8-'Control Room'!$B$8)*AA636/2147483647)</x:f>
        <x:v>904.9646282313116</x:v>
      </x:c>
      <x:c r="AD636" s="17" t="n">
        <x:f>IF('Control Room'!$B$5="Normal",'Control Room'!$B$7,('Control Room'!$B$8+'Control Room'!$D$8)/2)+'Control Room'!$B$9*(AD635-IF('Control Room'!$B$5="Normal",'Control Room'!$B$7,('Control Room'!$B$8+'Control Room'!$D$8)/2))+SQRT(1-'Control Room'!$B$9^2)*(AC636-IF('Control Room'!$B$5="Normal",'Control Room'!$B$7,('Control Room'!$B$8+'Control Room'!$D$8)/2))</x:f>
        <x:v>964.4113975815496</x:v>
      </x:c>
      <x:c r="AE636" s="17" t="n">
        <x:f>IF(AND($A636&gt;='Control Room'!$A$13,$A636&lt;'Control Room'!$A$13+'Control Room'!$B$13,'Process'!BP2=1),1+('Control Room'!$C$13-1)*EXP(-0.5*(($A636-'Control Room'!$A$13-('Control Room'!$B$13-1)/2)/MAX(0.5,'Control Room'!$B$13/4))^2),1)*IF(AND($A636&gt;='Control Room'!$A$14,$A636&lt;'Control Room'!$A$14+'Control Room'!$B$14,'Process'!BP3=1),1+('Control Room'!$C$14-1)*EXP(-0.5*(($A636-'Control Room'!$A$14-('Control Room'!$B$14-1)/2)/MAX(0.5,'Control Room'!$B$14/4))^2),1)*IF(AND($A636&gt;='Control Room'!$A$15,$A636&lt;'Control Room'!$A$15+'Control Room'!$B$15,'Process'!BP4=1),1+('Control Room'!$C$15-1)*EXP(-0.5*(($A636-'Control Room'!$A$15-('Control Room'!$B$15-1)/2)/MAX(0.5,'Control Room'!$B$15/4))^2),1)*IF(AND($A636&gt;='Control Room'!$A$16,$A636&lt;'Control Room'!$A$16+'Control Room'!$B$16,'Process'!BP5=1),1+('Control Room'!$C$16-1)*EXP(-0.5*(($A636-'Control Room'!$A$16-('Control Room'!$B$16-1)/2)/MAX(0.5,'Control Room'!$B$16/4))^2),1)</x:f>
        <x:v>1</x:v>
      </x:c>
      <x:c r="AF636" s="9" t="n">
        <x:f>MOD(AG635*16807,2147483647)</x:f>
        <x:v>1758516811</x:v>
      </x:c>
      <x:c r="AG636" s="9" t="n">
        <x:f>MOD(AF636*16807,2147483647)</x:f>
        <x:v>1722092463</x:v>
      </x:c>
      <x:c r="AH636" s="17" t="n">
        <x:f>IF('Control Room'!$B$5="Normal",'Control Room'!$B$7+'Control Room'!$D$7*SQRT(-2*LN(MAX(0.000000000001,AF636/2147483647)))*COS(2*PI()*AG636/2147483647),'Control Room'!$B$8+('Control Room'!$D$8-'Control Room'!$B$8)*AF636/2147483647)</x:f>
        <x:v>1018.2306157359307</x:v>
      </x:c>
      <x:c r="AI636" s="17" t="n">
        <x:f>IF('Control Room'!$B$5="Normal",'Control Room'!$B$7,('Control Room'!$B$8+'Control Room'!$D$8)/2)+'Control Room'!$B$9*(AI635-IF('Control Room'!$B$5="Normal",'Control Room'!$B$7,('Control Room'!$B$8+'Control Room'!$D$8)/2))+SQRT(1-'Control Room'!$B$9^2)*(AH636-IF('Control Room'!$B$5="Normal",'Control Room'!$B$7,('Control Room'!$B$8+'Control Room'!$D$8)/2))</x:f>
        <x:v>1100.698624838963</x:v>
      </x:c>
      <x:c r="AJ636" s="17" t="n">
        <x:f>IF(AND($A636&gt;='Control Room'!$A$13,$A636&lt;'Control Room'!$A$13+'Control Room'!$B$13,'Process'!BQ2=1),1+('Control Room'!$C$13-1)*EXP(-0.5*(($A636-'Control Room'!$A$13-('Control Room'!$B$13-1)/2)/MAX(0.5,'Control Room'!$B$13/4))^2),1)*IF(AND($A636&gt;='Control Room'!$A$14,$A636&lt;'Control Room'!$A$14+'Control Room'!$B$14,'Process'!BQ3=1),1+('Control Room'!$C$14-1)*EXP(-0.5*(($A636-'Control Room'!$A$14-('Control Room'!$B$14-1)/2)/MAX(0.5,'Control Room'!$B$14/4))^2),1)*IF(AND($A636&gt;='Control Room'!$A$15,$A636&lt;'Control Room'!$A$15+'Control Room'!$B$15,'Process'!BQ4=1),1+('Control Room'!$C$15-1)*EXP(-0.5*(($A636-'Control Room'!$A$15-('Control Room'!$B$15-1)/2)/MAX(0.5,'Control Room'!$B$15/4))^2),1)*IF(AND($A636&gt;='Control Room'!$A$16,$A636&lt;'Control Room'!$A$16+'Control Room'!$B$16,'Process'!BQ5=1),1+('Control Room'!$C$16-1)*EXP(-0.5*(($A636-'Control Room'!$A$16-('Control Room'!$B$16-1)/2)/MAX(0.5,'Control Room'!$B$16/4))^2),1)</x:f>
        <x:v>1</x:v>
      </x:c>
      <x:c r="AK636" s="9" t="n">
        <x:f>MOD(AL635*16807,2147483647)</x:f>
        <x:v>142226003</x:v>
      </x:c>
      <x:c r="AL636" s="9" t="n">
        <x:f>MOD(AK636*16807,2147483647)</x:f>
        <x:v>243133310</x:v>
      </x:c>
      <x:c r="AM636" s="17" t="n">
        <x:f>IF('Control Room'!$B$5="Normal",'Control Room'!$B$7+'Control Room'!$D$7*SQRT(-2*LN(MAX(0.000000000001,AK636/2147483647)))*COS(2*PI()*AL636/2147483647),'Control Room'!$B$8+('Control Room'!$D$8-'Control Room'!$B$8)*AK636/2147483647)</x:f>
        <x:v>1158.8467171056263</x:v>
      </x:c>
      <x:c r="AN636" s="17" t="n">
        <x:f>IF('Control Room'!$B$5="Normal",'Control Room'!$B$7,('Control Room'!$B$8+'Control Room'!$D$8)/2)+'Control Room'!$B$9*(AN635-IF('Control Room'!$B$5="Normal",'Control Room'!$B$7,('Control Room'!$B$8+'Control Room'!$D$8)/2))+SQRT(1-'Control Room'!$B$9^2)*(AM636-IF('Control Room'!$B$5="Normal",'Control Room'!$B$7,('Control Room'!$B$8+'Control Room'!$D$8)/2))</x:f>
        <x:v>1067.7086121341765</x:v>
      </x:c>
      <x:c r="AO636" s="17" t="n">
        <x:f>IF(AND($A636&gt;='Control Room'!$A$13,$A636&lt;'Control Room'!$A$13+'Control Room'!$B$13,'Process'!BR2=1),1+('Control Room'!$C$13-1)*EXP(-0.5*(($A636-'Control Room'!$A$13-('Control Room'!$B$13-1)/2)/MAX(0.5,'Control Room'!$B$13/4))^2),1)*IF(AND($A636&gt;='Control Room'!$A$14,$A636&lt;'Control Room'!$A$14+'Control Room'!$B$14,'Process'!BR3=1),1+('Control Room'!$C$14-1)*EXP(-0.5*(($A636-'Control Room'!$A$14-('Control Room'!$B$14-1)/2)/MAX(0.5,'Control Room'!$B$14/4))^2),1)*IF(AND($A636&gt;='Control Room'!$A$15,$A636&lt;'Control Room'!$A$15+'Control Room'!$B$15,'Process'!BR4=1),1+('Control Room'!$C$15-1)*EXP(-0.5*(($A636-'Control Room'!$A$15-('Control Room'!$B$15-1)/2)/MAX(0.5,'Control Room'!$B$15/4))^2),1)*IF(AND($A636&gt;='Control Room'!$A$16,$A636&lt;'Control Room'!$A$16+'Control Room'!$B$16,'Process'!BR5=1),1+('Control Room'!$C$16-1)*EXP(-0.5*(($A636-'Control Room'!$A$16-('Control Room'!$B$16-1)/2)/MAX(0.5,'Control Room'!$B$16/4))^2),1)</x:f>
        <x:v>1</x:v>
      </x:c>
      <x:c r="AP636" s="9" t="n">
        <x:f>MOD(AQ635*16807,2147483647)</x:f>
        <x:v>673418842</x:v>
      </x:c>
      <x:c r="AQ636" s="9" t="n">
        <x:f>MOD(AP636*16807,2147483647)</x:f>
        <x:v>911657804</x:v>
      </x:c>
      <x:c r="AR636" s="17" t="n">
        <x:f>IF('Control Room'!$B$5="Normal",'Control Room'!$B$7+'Control Room'!$D$7*SQRT(-2*LN(MAX(0.000000000001,AP636/2147483647)))*COS(2*PI()*AQ636/2147483647),'Control Room'!$B$8+('Control Room'!$D$8-'Control Room'!$B$8)*AP636/2147483647)</x:f>
        <x:v>878.0606970801055</x:v>
      </x:c>
      <x:c r="AS636" s="17" t="n">
        <x:f>IF('Control Room'!$B$5="Normal",'Control Room'!$B$7,('Control Room'!$B$8+'Control Room'!$D$8)/2)+'Control Room'!$B$9*(AS635-IF('Control Room'!$B$5="Normal",'Control Room'!$B$7,('Control Room'!$B$8+'Control Room'!$D$8)/2))+SQRT(1-'Control Room'!$B$9^2)*(AR636-IF('Control Room'!$B$5="Normal",'Control Room'!$B$7,('Control Room'!$B$8+'Control Room'!$D$8)/2))</x:f>
        <x:v>888.9779919556646</x:v>
      </x:c>
      <x:c r="AT636" s="17" t="n">
        <x:f>IF(AND($A636&gt;='Control Room'!$A$13,$A636&lt;'Control Room'!$A$13+'Control Room'!$B$13,'Process'!BS2=1),1+('Control Room'!$C$13-1)*EXP(-0.5*(($A636-'Control Room'!$A$13-('Control Room'!$B$13-1)/2)/MAX(0.5,'Control Room'!$B$13/4))^2),1)*IF(AND($A636&gt;='Control Room'!$A$14,$A636&lt;'Control Room'!$A$14+'Control Room'!$B$14,'Process'!BS3=1),1+('Control Room'!$C$14-1)*EXP(-0.5*(($A636-'Control Room'!$A$14-('Control Room'!$B$14-1)/2)/MAX(0.5,'Control Room'!$B$14/4))^2),1)*IF(AND($A636&gt;='Control Room'!$A$15,$A636&lt;'Control Room'!$A$15+'Control Room'!$B$15,'Process'!BS4=1),1+('Control Room'!$C$15-1)*EXP(-0.5*(($A636-'Control Room'!$A$15-('Control Room'!$B$15-1)/2)/MAX(0.5,'Control Room'!$B$15/4))^2),1)*IF(AND($A636&gt;='Control Room'!$A$16,$A636&lt;'Control Room'!$A$16+'Control Room'!$B$16,'Process'!BS5=1),1+('Control Room'!$C$16-1)*EXP(-0.5*(($A636-'Control Room'!$A$16-('Control Room'!$B$16-1)/2)/MAX(0.5,'Control Room'!$B$16/4))^2),1)</x:f>
        <x:v>1</x:v>
      </x:c>
      <x:c r="AU636" s="9" t="n">
        <x:f>MOD(AV635*16807,2147483647)</x:f>
        <x:v>1204611681</x:v>
      </x:c>
      <x:c r="AV636" s="9" t="n">
        <x:f>MOD(AU636*16807,2147483647)</x:f>
        <x:v>1580182298</x:v>
      </x:c>
      <x:c r="AW636" s="17" t="n">
        <x:f>IF('Control Room'!$B$5="Normal",'Control Room'!$B$7+'Control Room'!$D$7*SQRT(-2*LN(MAX(0.000000000001,AU636/2147483647)))*COS(2*PI()*AV636/2147483647),'Control Room'!$B$8+('Control Room'!$D$8-'Control Room'!$B$8)*AU636/2147483647)</x:f>
        <x:v>991.3948570816336</x:v>
      </x:c>
      <x:c r="AX636" s="17" t="n">
        <x:f>IF('Control Room'!$B$5="Normal",'Control Room'!$B$7,('Control Room'!$B$8+'Control Room'!$D$8)/2)+'Control Room'!$B$9*(AX635-IF('Control Room'!$B$5="Normal",'Control Room'!$B$7,('Control Room'!$B$8+'Control Room'!$D$8)/2))+SQRT(1-'Control Room'!$B$9^2)*(AW636-IF('Control Room'!$B$5="Normal",'Control Room'!$B$7,('Control Room'!$B$8+'Control Room'!$D$8)/2))</x:f>
        <x:v>1060.9231437166209</x:v>
      </x:c>
      <x:c r="AY636" s="17" t="n">
        <x:f>IF(AND($A636&gt;='Control Room'!$A$13,$A636&lt;'Control Room'!$A$13+'Control Room'!$B$13,'Process'!BT2=1),1+('Control Room'!$C$13-1)*EXP(-0.5*(($A636-'Control Room'!$A$13-('Control Room'!$B$13-1)/2)/MAX(0.5,'Control Room'!$B$13/4))^2),1)*IF(AND($A636&gt;='Control Room'!$A$14,$A636&lt;'Control Room'!$A$14+'Control Room'!$B$14,'Process'!BT3=1),1+('Control Room'!$C$14-1)*EXP(-0.5*(($A636-'Control Room'!$A$14-('Control Room'!$B$14-1)/2)/MAX(0.5,'Control Room'!$B$14/4))^2),1)*IF(AND($A636&gt;='Control Room'!$A$15,$A636&lt;'Control Room'!$A$15+'Control Room'!$B$15,'Process'!BT4=1),1+('Control Room'!$C$15-1)*EXP(-0.5*(($A636-'Control Room'!$A$15-('Control Room'!$B$15-1)/2)/MAX(0.5,'Control Room'!$B$15/4))^2),1)*IF(AND($A636&gt;='Control Room'!$A$16,$A636&lt;'Control Room'!$A$16+'Control Room'!$B$16,'Process'!BT5=1),1+('Control Room'!$C$16-1)*EXP(-0.5*(($A636-'Control Room'!$A$16-('Control Room'!$B$16-1)/2)/MAX(0.5,'Control Room'!$B$16/4))^2),1)</x:f>
        <x:v>1</x:v>
      </x:c>
      <x:c r="AZ636" s="9" t="n">
        <x:f>MOD(BA635*16807,2147483647)</x:f>
        <x:v>1735804520</x:v>
      </x:c>
      <x:c r="BA636" s="9" t="n">
        <x:f>MOD(AZ636*16807,2147483647)</x:f>
        <x:v>101223145</x:v>
      </x:c>
      <x:c r="BB636" s="17" t="n">
        <x:f>IF('Control Room'!$B$5="Normal",'Control Room'!$B$7+'Control Room'!$D$7*SQRT(-2*LN(MAX(0.000000000001,AZ636/2147483647)))*COS(2*PI()*BA636/2147483647),'Control Room'!$B$8+('Control Room'!$D$8-'Control Room'!$B$8)*AZ636/2147483647)</x:f>
        <x:v>1056.161412894163</x:v>
      </x:c>
      <x:c r="BC636" s="17" t="n">
        <x:f>IF('Control Room'!$B$5="Normal",'Control Room'!$B$7,('Control Room'!$B$8+'Control Room'!$D$8)/2)+'Control Room'!$B$9*(BC635-IF('Control Room'!$B$5="Normal",'Control Room'!$B$7,('Control Room'!$B$8+'Control Room'!$D$8)/2))+SQRT(1-'Control Room'!$B$9^2)*(BB636-IF('Control Room'!$B$5="Normal",'Control Room'!$B$7,('Control Room'!$B$8+'Control Room'!$D$8)/2))</x:f>
        <x:v>987.807176593526</x:v>
      </x:c>
      <x:c r="BD636" s="17" t="n">
        <x:f>IF(AND($A636&gt;='Control Room'!$A$13,$A636&lt;'Control Room'!$A$13+'Control Room'!$B$13,'Process'!BU2=1),1+('Control Room'!$C$13-1)*EXP(-0.5*(($A636-'Control Room'!$A$13-('Control Room'!$B$13-1)/2)/MAX(0.5,'Control Room'!$B$13/4))^2),1)*IF(AND($A636&gt;='Control Room'!$A$14,$A636&lt;'Control Room'!$A$14+'Control Room'!$B$14,'Process'!BU3=1),1+('Control Room'!$C$14-1)*EXP(-0.5*(($A636-'Control Room'!$A$14-('Control Room'!$B$14-1)/2)/MAX(0.5,'Control Room'!$B$14/4))^2),1)*IF(AND($A636&gt;='Control Room'!$A$15,$A636&lt;'Control Room'!$A$15+'Control Room'!$B$15,'Process'!BU4=1),1+('Control Room'!$C$15-1)*EXP(-0.5*(($A636-'Control Room'!$A$15-('Control Room'!$B$15-1)/2)/MAX(0.5,'Control Room'!$B$15/4))^2),1)*IF(AND($A636&gt;='Control Room'!$A$16,$A636&lt;'Control Room'!$A$16+'Control Room'!$B$16,'Process'!BU5=1),1+('Control Room'!$C$16-1)*EXP(-0.5*(($A636-'Control Room'!$A$16-('Control Room'!$B$16-1)/2)/MAX(0.5,'Control Room'!$B$16/4))^2),1)</x:f>
        <x:v>1</x:v>
      </x:c>
      <x:c r="BE636" s="9" t="n">
        <x:f>MOD(BF635*16807,2147483647)</x:f>
        <x:v>119513712</x:v>
      </x:c>
      <x:c r="BF636" s="9" t="n">
        <x:f>MOD(BE636*16807,2147483647)</x:f>
        <x:v>769747639</x:v>
      </x:c>
      <x:c r="BG636" s="17" t="n">
        <x:f>IF('Control Room'!$B$5="Normal",'Control Room'!$B$7+'Control Room'!$D$7*SQRT(-2*LN(MAX(0.000000000001,BE636/2147483647)))*COS(2*PI()*BF636/2147483647),'Control Room'!$B$8+('Control Room'!$D$8-'Control Room'!$B$8)*BE636/2147483647)</x:f>
        <x:v>863.7490868542593</x:v>
      </x:c>
      <x:c r="BH636" s="17" t="n">
        <x:f>IF('Control Room'!$B$5="Normal",'Control Room'!$B$7,('Control Room'!$B$8+'Control Room'!$D$8)/2)+'Control Room'!$B$9*(BH635-IF('Control Room'!$B$5="Normal",'Control Room'!$B$7,('Control Room'!$B$8+'Control Room'!$D$8)/2))+SQRT(1-'Control Room'!$B$9^2)*(BG636-IF('Control Room'!$B$5="Normal",'Control Room'!$B$7,('Control Room'!$B$8+'Control Room'!$D$8)/2))</x:f>
        <x:v>987.8287144305309</x:v>
      </x:c>
      <x:c r="BI636" s="17" t="n">
        <x:f>IF(AND($A636&gt;='Control Room'!$A$13,$A636&lt;'Control Room'!$A$13+'Control Room'!$B$13,'Process'!BV2=1),1+('Control Room'!$C$13-1)*EXP(-0.5*(($A636-'Control Room'!$A$13-('Control Room'!$B$13-1)/2)/MAX(0.5,'Control Room'!$B$13/4))^2),1)*IF(AND($A636&gt;='Control Room'!$A$14,$A636&lt;'Control Room'!$A$14+'Control Room'!$B$14,'Process'!BV3=1),1+('Control Room'!$C$14-1)*EXP(-0.5*(($A636-'Control Room'!$A$14-('Control Room'!$B$14-1)/2)/MAX(0.5,'Control Room'!$B$14/4))^2),1)*IF(AND($A636&gt;='Control Room'!$A$15,$A636&lt;'Control Room'!$A$15+'Control Room'!$B$15,'Process'!BV4=1),1+('Control Room'!$C$15-1)*EXP(-0.5*(($A636-'Control Room'!$A$15-('Control Room'!$B$15-1)/2)/MAX(0.5,'Control Room'!$B$15/4))^2),1)*IF(AND($A636&gt;='Control Room'!$A$16,$A636&lt;'Control Room'!$A$16+'Control Room'!$B$16,'Process'!BV5=1),1+('Control Room'!$C$16-1)*EXP(-0.5*(($A636-'Control Room'!$A$16-('Control Room'!$B$16-1)/2)/MAX(0.5,'Control Room'!$B$16/4))^2),1)</x:f>
        <x:v>1</x:v>
      </x:c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Z636" t="str">
        <x:f>IF('Data'!A636="","",TEXT('Data'!A636,"mm-dd"))</x:f>
      </x:c>
    </x:row>
    <x:row r="637" ht="21" customHeight="1">
      <x:c r="A637" s="15" t="n">
        <x:f>'Control Room'!$B$1+635</x:f>
        <x:v>73626</x:v>
      </x:c>
      <x:c r="B637" s="9" t="n">
        <x:f>MOD(C636*16807,2147483647)</x:f>
        <x:v>30537698</x:v>
      </x:c>
      <x:c r="C637" s="9" t="n">
        <x:f>MOD(B637*16807,2147483647)</x:f>
        <x:v>2145982300</x:v>
      </x:c>
      <x:c r="D637" s="17" t="n">
        <x:f>IF('Control Room'!$B$5="Normal",'Control Room'!$B$7+'Control Room'!$D$7*SQRT(-2*LN(MAX(0.000000000001,B637/2147483647)))*COS(2*PI()*C637/2147483647),'Control Room'!$B$8+('Control Room'!$D$8-'Control Room'!$B$8)*B637/2147483647)</x:f>
        <x:v>1262.485676654809</x:v>
      </x:c>
      <x:c r="E637" s="17" t="n">
        <x:f>IF('Control Room'!$B$5="Normal",'Control Room'!$B$7,('Control Room'!$B$8+'Control Room'!$D$8)/2)+'Control Room'!$B$9*(E636-IF('Control Room'!$B$5="Normal",'Control Room'!$B$7,('Control Room'!$B$8+'Control Room'!$D$8)/2))+SQRT(1-'Control Room'!$B$9^2)*(D637-IF('Control Room'!$B$5="Normal",'Control Room'!$B$7,('Control Room'!$B$8+'Control Room'!$D$8)/2))</x:f>
        <x:v>1255.3049323714083</x:v>
      </x:c>
      <x:c r="F637" s="17" t="n">
        <x:f>IF(AND($A637&gt;='Control Room'!$A$13,$A637&lt;'Control Room'!$A$13+'Control Room'!$B$13,'Process'!BK2=1),1+('Control Room'!$C$13-1)*EXP(-0.5*(($A637-'Control Room'!$A$13-('Control Room'!$B$13-1)/2)/MAX(0.5,'Control Room'!$B$13/4))^2),1)*IF(AND($A637&gt;='Control Room'!$A$14,$A637&lt;'Control Room'!$A$14+'Control Room'!$B$14,'Process'!BK3=1),1+('Control Room'!$C$14-1)*EXP(-0.5*(($A637-'Control Room'!$A$14-('Control Room'!$B$14-1)/2)/MAX(0.5,'Control Room'!$B$14/4))^2),1)*IF(AND($A637&gt;='Control Room'!$A$15,$A637&lt;'Control Room'!$A$15+'Control Room'!$B$15,'Process'!BK4=1),1+('Control Room'!$C$15-1)*EXP(-0.5*(($A637-'Control Room'!$A$15-('Control Room'!$B$15-1)/2)/MAX(0.5,'Control Room'!$B$15/4))^2),1)*IF(AND($A637&gt;='Control Room'!$A$16,$A637&lt;'Control Room'!$A$16+'Control Room'!$B$16,'Process'!BK5=1),1+('Control Room'!$C$16-1)*EXP(-0.5*(($A637-'Control Room'!$A$16-('Control Room'!$B$16-1)/2)/MAX(0.5,'Control Room'!$B$16/4))^2),1)</x:f>
        <x:v>1</x:v>
      </x:c>
      <x:c r="G637" s="9" t="n">
        <x:f>MOD(H636*16807,2147483647)</x:f>
        <x:v>287267252</x:v>
      </x:c>
      <x:c r="H637" s="9" t="n">
        <x:f>MOD(G637*16807,2147483647)</x:f>
        <x:v>557465908</x:v>
      </x:c>
      <x:c r="I637" s="17" t="n">
        <x:f>IF('Control Room'!$B$5="Normal",'Control Room'!$B$7+'Control Room'!$D$7*SQRT(-2*LN(MAX(0.000000000001,G637/2147483647)))*COS(2*PI()*H637/2147483647),'Control Room'!$B$8+('Control Room'!$D$8-'Control Room'!$B$8)*G637/2147483647)</x:f>
        <x:v>989.1287018357831</x:v>
      </x:c>
      <x:c r="J637" s="17" t="n">
        <x:f>IF('Control Room'!$B$5="Normal",'Control Room'!$B$7,('Control Room'!$B$8+'Control Room'!$D$8)/2)+'Control Room'!$B$9*(J636-IF('Control Room'!$B$5="Normal",'Control Room'!$B$7,('Control Room'!$B$8+'Control Room'!$D$8)/2))+SQRT(1-'Control Room'!$B$9^2)*(I637-IF('Control Room'!$B$5="Normal",'Control Room'!$B$7,('Control Room'!$B$8+'Control Room'!$D$8)/2))</x:f>
        <x:v>1016.3987516640466</x:v>
      </x:c>
      <x:c r="K637" s="17" t="n">
        <x:f>IF(AND($A637&gt;='Control Room'!$A$13,$A637&lt;'Control Room'!$A$13+'Control Room'!$B$13,'Process'!BL2=1),1+('Control Room'!$C$13-1)*EXP(-0.5*(($A637-'Control Room'!$A$13-('Control Room'!$B$13-1)/2)/MAX(0.5,'Control Room'!$B$13/4))^2),1)*IF(AND($A637&gt;='Control Room'!$A$14,$A637&lt;'Control Room'!$A$14+'Control Room'!$B$14,'Process'!BL3=1),1+('Control Room'!$C$14-1)*EXP(-0.5*(($A637-'Control Room'!$A$14-('Control Room'!$B$14-1)/2)/MAX(0.5,'Control Room'!$B$14/4))^2),1)*IF(AND($A637&gt;='Control Room'!$A$15,$A637&lt;'Control Room'!$A$15+'Control Room'!$B$15,'Process'!BL4=1),1+('Control Room'!$C$15-1)*EXP(-0.5*(($A637-'Control Room'!$A$15-('Control Room'!$B$15-1)/2)/MAX(0.5,'Control Room'!$B$15/4))^2),1)*IF(AND($A637&gt;='Control Room'!$A$16,$A637&lt;'Control Room'!$A$16+'Control Room'!$B$16,'Process'!BL5=1),1+('Control Room'!$C$16-1)*EXP(-0.5*(($A637-'Control Room'!$A$16-('Control Room'!$B$16-1)/2)/MAX(0.5,'Control Room'!$B$16/4))^2),1)</x:f>
        <x:v>1</x:v>
      </x:c>
      <x:c r="L637" s="9" t="n">
        <x:f>MOD(M636*16807,2147483647)</x:f>
        <x:v>543996806</x:v>
      </x:c>
      <x:c r="M637" s="9" t="n">
        <x:f>MOD(L637*16807,2147483647)</x:f>
        <x:v>1116433163</x:v>
      </x:c>
      <x:c r="N637" s="17" t="n">
        <x:f>IF('Control Room'!$B$5="Normal",'Control Room'!$B$7+'Control Room'!$D$7*SQRT(-2*LN(MAX(0.000000000001,L637/2147483647)))*COS(2*PI()*M637/2147483647),'Control Room'!$B$8+('Control Room'!$D$8-'Control Room'!$B$8)*L637/2147483647)</x:f>
        <x:v>852.0165361640139</x:v>
      </x:c>
      <x:c r="O637" s="17" t="n">
        <x:f>IF('Control Room'!$B$5="Normal",'Control Room'!$B$7,('Control Room'!$B$8+'Control Room'!$D$8)/2)+'Control Room'!$B$9*(O636-IF('Control Room'!$B$5="Normal",'Control Room'!$B$7,('Control Room'!$B$8+'Control Room'!$D$8)/2))+SQRT(1-'Control Room'!$B$9^2)*(N637-IF('Control Room'!$B$5="Normal",'Control Room'!$B$7,('Control Room'!$B$8+'Control Room'!$D$8)/2))</x:f>
        <x:v>971.0781552366202</x:v>
      </x:c>
      <x:c r="P637" s="17" t="n">
        <x:f>IF(AND($A637&gt;='Control Room'!$A$13,$A637&lt;'Control Room'!$A$13+'Control Room'!$B$13,'Process'!BM2=1),1+('Control Room'!$C$13-1)*EXP(-0.5*(($A637-'Control Room'!$A$13-('Control Room'!$B$13-1)/2)/MAX(0.5,'Control Room'!$B$13/4))^2),1)*IF(AND($A637&gt;='Control Room'!$A$14,$A637&lt;'Control Room'!$A$14+'Control Room'!$B$14,'Process'!BM3=1),1+('Control Room'!$C$14-1)*EXP(-0.5*(($A637-'Control Room'!$A$14-('Control Room'!$B$14-1)/2)/MAX(0.5,'Control Room'!$B$14/4))^2),1)*IF(AND($A637&gt;='Control Room'!$A$15,$A637&lt;'Control Room'!$A$15+'Control Room'!$B$15,'Process'!BM4=1),1+('Control Room'!$C$15-1)*EXP(-0.5*(($A637-'Control Room'!$A$15-('Control Room'!$B$15-1)/2)/MAX(0.5,'Control Room'!$B$15/4))^2),1)*IF(AND($A637&gt;='Control Room'!$A$16,$A637&lt;'Control Room'!$A$16+'Control Room'!$B$16,'Process'!BM5=1),1+('Control Room'!$C$16-1)*EXP(-0.5*(($A637-'Control Room'!$A$16-('Control Room'!$B$16-1)/2)/MAX(0.5,'Control Room'!$B$16/4))^2),1)</x:f>
        <x:v>1</x:v>
      </x:c>
      <x:c r="Q637" s="9" t="n">
        <x:f>MOD(R636*16807,2147483647)</x:f>
        <x:v>800726360</x:v>
      </x:c>
      <x:c r="R637" s="9" t="n">
        <x:f>MOD(Q637*16807,2147483647)</x:f>
        <x:v>1675400418</x:v>
      </x:c>
      <x:c r="S637" s="17" t="n">
        <x:f>IF('Control Room'!$B$5="Normal",'Control Room'!$B$7+'Control Room'!$D$7*SQRT(-2*LN(MAX(0.000000000001,Q637/2147483647)))*COS(2*PI()*R637/2147483647),'Control Room'!$B$8+('Control Room'!$D$8-'Control Room'!$B$8)*Q637/2147483647)</x:f>
        <x:v>1023.8205468621549</x:v>
      </x:c>
      <x:c r="T637" s="17" t="n">
        <x:f>IF('Control Room'!$B$5="Normal",'Control Room'!$B$7,('Control Room'!$B$8+'Control Room'!$D$8)/2)+'Control Room'!$B$9*(T636-IF('Control Room'!$B$5="Normal",'Control Room'!$B$7,('Control Room'!$B$8+'Control Room'!$D$8)/2))+SQRT(1-'Control Room'!$B$9^2)*(S637-IF('Control Room'!$B$5="Normal",'Control Room'!$B$7,('Control Room'!$B$8+'Control Room'!$D$8)/2))</x:f>
        <x:v>1097.4140973174462</x:v>
      </x:c>
      <x:c r="U637" s="17" t="n">
        <x:f>IF(AND($A637&gt;='Control Room'!$A$13,$A637&lt;'Control Room'!$A$13+'Control Room'!$B$13,'Process'!BN2=1),1+('Control Room'!$C$13-1)*EXP(-0.5*(($A637-'Control Room'!$A$13-('Control Room'!$B$13-1)/2)/MAX(0.5,'Control Room'!$B$13/4))^2),1)*IF(AND($A637&gt;='Control Room'!$A$14,$A637&lt;'Control Room'!$A$14+'Control Room'!$B$14,'Process'!BN3=1),1+('Control Room'!$C$14-1)*EXP(-0.5*(($A637-'Control Room'!$A$14-('Control Room'!$B$14-1)/2)/MAX(0.5,'Control Room'!$B$14/4))^2),1)*IF(AND($A637&gt;='Control Room'!$A$15,$A637&lt;'Control Room'!$A$15+'Control Room'!$B$15,'Process'!BN4=1),1+('Control Room'!$C$15-1)*EXP(-0.5*(($A637-'Control Room'!$A$15-('Control Room'!$B$15-1)/2)/MAX(0.5,'Control Room'!$B$15/4))^2),1)*IF(AND($A637&gt;='Control Room'!$A$16,$A637&lt;'Control Room'!$A$16+'Control Room'!$B$16,'Process'!BN5=1),1+('Control Room'!$C$16-1)*EXP(-0.5*(($A637-'Control Room'!$A$16-('Control Room'!$B$16-1)/2)/MAX(0.5,'Control Room'!$B$16/4))^2),1)</x:f>
        <x:v>1</x:v>
      </x:c>
      <x:c r="V637" s="9" t="n">
        <x:f>MOD(W636*16807,2147483647)</x:f>
        <x:v>1057455914</x:v>
      </x:c>
      <x:c r="W637" s="9" t="n">
        <x:f>MOD(V637*16807,2147483647)</x:f>
        <x:v>86884026</x:v>
      </x:c>
      <x:c r="X637" s="17" t="n">
        <x:f>IF('Control Room'!$B$5="Normal",'Control Room'!$B$7+'Control Room'!$D$7*SQRT(-2*LN(MAX(0.000000000001,V637/2147483647)))*COS(2*PI()*W637/2147483647),'Control Room'!$B$8+('Control Room'!$D$8-'Control Room'!$B$8)*V637/2147483647)</x:f>
        <x:v>1103.6859632765752</x:v>
      </x:c>
      <x:c r="Y637" s="17" t="n">
        <x:f>IF('Control Room'!$B$5="Normal",'Control Room'!$B$7,('Control Room'!$B$8+'Control Room'!$D$8)/2)+'Control Room'!$B$9*(Y636-IF('Control Room'!$B$5="Normal",'Control Room'!$B$7,('Control Room'!$B$8+'Control Room'!$D$8)/2))+SQRT(1-'Control Room'!$B$9^2)*(X637-IF('Control Room'!$B$5="Normal",'Control Room'!$B$7,('Control Room'!$B$8+'Control Room'!$D$8)/2))</x:f>
        <x:v>1193.0565528397076</x:v>
      </x:c>
      <x:c r="Z637" s="17" t="n">
        <x:f>IF(AND($A637&gt;='Control Room'!$A$13,$A637&lt;'Control Room'!$A$13+'Control Room'!$B$13,'Process'!BO2=1),1+('Control Room'!$C$13-1)*EXP(-0.5*(($A637-'Control Room'!$A$13-('Control Room'!$B$13-1)/2)/MAX(0.5,'Control Room'!$B$13/4))^2),1)*IF(AND($A637&gt;='Control Room'!$A$14,$A637&lt;'Control Room'!$A$14+'Control Room'!$B$14,'Process'!BO3=1),1+('Control Room'!$C$14-1)*EXP(-0.5*(($A637-'Control Room'!$A$14-('Control Room'!$B$14-1)/2)/MAX(0.5,'Control Room'!$B$14/4))^2),1)*IF(AND($A637&gt;='Control Room'!$A$15,$A637&lt;'Control Room'!$A$15+'Control Room'!$B$15,'Process'!BO4=1),1+('Control Room'!$C$15-1)*EXP(-0.5*(($A637-'Control Room'!$A$15-('Control Room'!$B$15-1)/2)/MAX(0.5,'Control Room'!$B$15/4))^2),1)*IF(AND($A637&gt;='Control Room'!$A$16,$A637&lt;'Control Room'!$A$16+'Control Room'!$B$16,'Process'!BO5=1),1+('Control Room'!$C$16-1)*EXP(-0.5*(($A637-'Control Room'!$A$16-('Control Room'!$B$16-1)/2)/MAX(0.5,'Control Room'!$B$16/4))^2),1)</x:f>
        <x:v>1</x:v>
      </x:c>
      <x:c r="AA637" s="9" t="n">
        <x:f>MOD(AB636*16807,2147483647)</x:f>
        <x:v>1314185468</x:v>
      </x:c>
      <x:c r="AB637" s="9" t="n">
        <x:f>MOD(AA637*16807,2147483647)</x:f>
        <x:v>645851281</x:v>
      </x:c>
      <x:c r="AC637" s="17" t="n">
        <x:f>IF('Control Room'!$B$5="Normal",'Control Room'!$B$7+'Control Room'!$D$7*SQRT(-2*LN(MAX(0.000000000001,AA637/2147483647)))*COS(2*PI()*AB637/2147483647),'Control Room'!$B$8+('Control Room'!$D$8-'Control Room'!$B$8)*AA637/2147483647)</x:f>
        <x:v>972.039335319065</x:v>
      </x:c>
      <x:c r="AD637" s="17" t="n">
        <x:f>IF('Control Room'!$B$5="Normal",'Control Room'!$B$7,('Control Room'!$B$8+'Control Room'!$D$8)/2)+'Control Room'!$B$9*(AD636-IF('Control Room'!$B$5="Normal",'Control Room'!$B$7,('Control Room'!$B$8+'Control Room'!$D$8)/2))+SQRT(1-'Control Room'!$B$9^2)*(AC637-IF('Control Room'!$B$5="Normal",'Control Room'!$B$7,('Control Room'!$B$8+'Control Room'!$D$8)/2))</x:f>
        <x:v>954.7436789616303</x:v>
      </x:c>
      <x:c r="AE637" s="17" t="n">
        <x:f>IF(AND($A637&gt;='Control Room'!$A$13,$A637&lt;'Control Room'!$A$13+'Control Room'!$B$13,'Process'!BP2=1),1+('Control Room'!$C$13-1)*EXP(-0.5*(($A637-'Control Room'!$A$13-('Control Room'!$B$13-1)/2)/MAX(0.5,'Control Room'!$B$13/4))^2),1)*IF(AND($A637&gt;='Control Room'!$A$14,$A637&lt;'Control Room'!$A$14+'Control Room'!$B$14,'Process'!BP3=1),1+('Control Room'!$C$14-1)*EXP(-0.5*(($A637-'Control Room'!$A$14-('Control Room'!$B$14-1)/2)/MAX(0.5,'Control Room'!$B$14/4))^2),1)*IF(AND($A637&gt;='Control Room'!$A$15,$A637&lt;'Control Room'!$A$15+'Control Room'!$B$15,'Process'!BP4=1),1+('Control Room'!$C$15-1)*EXP(-0.5*(($A637-'Control Room'!$A$15-('Control Room'!$B$15-1)/2)/MAX(0.5,'Control Room'!$B$15/4))^2),1)*IF(AND($A637&gt;='Control Room'!$A$16,$A637&lt;'Control Room'!$A$16+'Control Room'!$B$16,'Process'!BP5=1),1+('Control Room'!$C$16-1)*EXP(-0.5*(($A637-'Control Room'!$A$16-('Control Room'!$B$16-1)/2)/MAX(0.5,'Control Room'!$B$16/4))^2),1)</x:f>
        <x:v>1</x:v>
      </x:c>
      <x:c r="AF637" s="9" t="n">
        <x:f>MOD(AG636*16807,2147483647)</x:f>
        <x:v>1570915022</x:v>
      </x:c>
      <x:c r="AG637" s="9" t="n">
        <x:f>MOD(AF637*16807,2147483647)</x:f>
        <x:v>1204818536</x:v>
      </x:c>
      <x:c r="AH637" s="17" t="n">
        <x:f>IF('Control Room'!$B$5="Normal",'Control Room'!$B$7+'Control Room'!$D$7*SQRT(-2*LN(MAX(0.000000000001,AF637/2147483647)))*COS(2*PI()*AG637/2147483647),'Control Room'!$B$8+('Control Room'!$D$8-'Control Room'!$B$8)*AF637/2147483647)</x:f>
        <x:v>934.0027471522434</x:v>
      </x:c>
      <x:c r="AI637" s="17" t="n">
        <x:f>IF('Control Room'!$B$5="Normal",'Control Room'!$B$7,('Control Room'!$B$8+'Control Room'!$D$8)/2)+'Control Room'!$B$9*(AI636-IF('Control Room'!$B$5="Normal",'Control Room'!$B$7,('Control Room'!$B$8+'Control Room'!$D$8)/2))+SQRT(1-'Control Room'!$B$9^2)*(AH637-IF('Control Room'!$B$5="Normal",'Control Room'!$B$7,('Control Room'!$B$8+'Control Room'!$D$8)/2))</x:f>
        <x:v>1037.2451985694788</x:v>
      </x:c>
      <x:c r="AJ637" s="17" t="n">
        <x:f>IF(AND($A637&gt;='Control Room'!$A$13,$A637&lt;'Control Room'!$A$13+'Control Room'!$B$13,'Process'!BQ2=1),1+('Control Room'!$C$13-1)*EXP(-0.5*(($A637-'Control Room'!$A$13-('Control Room'!$B$13-1)/2)/MAX(0.5,'Control Room'!$B$13/4))^2),1)*IF(AND($A637&gt;='Control Room'!$A$14,$A637&lt;'Control Room'!$A$14+'Control Room'!$B$14,'Process'!BQ3=1),1+('Control Room'!$C$14-1)*EXP(-0.5*(($A637-'Control Room'!$A$14-('Control Room'!$B$14-1)/2)/MAX(0.5,'Control Room'!$B$14/4))^2),1)*IF(AND($A637&gt;='Control Room'!$A$15,$A637&lt;'Control Room'!$A$15+'Control Room'!$B$15,'Process'!BQ4=1),1+('Control Room'!$C$15-1)*EXP(-0.5*(($A637-'Control Room'!$A$15-('Control Room'!$B$15-1)/2)/MAX(0.5,'Control Room'!$B$15/4))^2),1)*IF(AND($A637&gt;='Control Room'!$A$16,$A637&lt;'Control Room'!$A$16+'Control Room'!$B$16,'Process'!BQ5=1),1+('Control Room'!$C$16-1)*EXP(-0.5*(($A637-'Control Room'!$A$16-('Control Room'!$B$16-1)/2)/MAX(0.5,'Control Room'!$B$16/4))^2),1)</x:f>
        <x:v>1</x:v>
      </x:c>
      <x:c r="AK637" s="9" t="n">
        <x:f>MOD(AL636*16807,2147483647)</x:f>
        <x:v>1827644576</x:v>
      </x:c>
      <x:c r="AL637" s="9" t="n">
        <x:f>MOD(AK637*16807,2147483647)</x:f>
        <x:v>1763785791</x:v>
      </x:c>
      <x:c r="AM637" s="17" t="n">
        <x:f>IF('Control Room'!$B$5="Normal",'Control Room'!$B$7+'Control Room'!$D$7*SQRT(-2*LN(MAX(0.000000000001,AK637/2147483647)))*COS(2*PI()*AL637/2147483647),'Control Room'!$B$8+('Control Room'!$D$8-'Control Room'!$B$8)*AK637/2147483647)</x:f>
        <x:v>1022.1476994838225</x:v>
      </x:c>
      <x:c r="AN637" s="17" t="n">
        <x:f>IF('Control Room'!$B$5="Normal",'Control Room'!$B$7,('Control Room'!$B$8+'Control Room'!$D$8)/2)+'Control Room'!$B$9*(AN636-IF('Control Room'!$B$5="Normal",'Control Room'!$B$7,('Control Room'!$B$8+'Control Room'!$D$8)/2))+SQRT(1-'Control Room'!$B$9^2)*(AM637-IF('Control Room'!$B$5="Normal",'Control Room'!$B$7,('Control Room'!$B$8+'Control Room'!$D$8)/2))</x:f>
        <x:v>1066.672294081348</x:v>
      </x:c>
      <x:c r="AO637" s="17" t="n">
        <x:f>IF(AND($A637&gt;='Control Room'!$A$13,$A637&lt;'Control Room'!$A$13+'Control Room'!$B$13,'Process'!BR2=1),1+('Control Room'!$C$13-1)*EXP(-0.5*(($A637-'Control Room'!$A$13-('Control Room'!$B$13-1)/2)/MAX(0.5,'Control Room'!$B$13/4))^2),1)*IF(AND($A637&gt;='Control Room'!$A$14,$A637&lt;'Control Room'!$A$14+'Control Room'!$B$14,'Process'!BR3=1),1+('Control Room'!$C$14-1)*EXP(-0.5*(($A637-'Control Room'!$A$14-('Control Room'!$B$14-1)/2)/MAX(0.5,'Control Room'!$B$14/4))^2),1)*IF(AND($A637&gt;='Control Room'!$A$15,$A637&lt;'Control Room'!$A$15+'Control Room'!$B$15,'Process'!BR4=1),1+('Control Room'!$C$15-1)*EXP(-0.5*(($A637-'Control Room'!$A$15-('Control Room'!$B$15-1)/2)/MAX(0.5,'Control Room'!$B$15/4))^2),1)*IF(AND($A637&gt;='Control Room'!$A$16,$A637&lt;'Control Room'!$A$16+'Control Room'!$B$16,'Process'!BR5=1),1+('Control Room'!$C$16-1)*EXP(-0.5*(($A637-'Control Room'!$A$16-('Control Room'!$B$16-1)/2)/MAX(0.5,'Control Room'!$B$16/4))^2),1)</x:f>
        <x:v>1</x:v>
      </x:c>
      <x:c r="AP637" s="9" t="n">
        <x:f>MOD(AQ636*16807,2147483647)</x:f>
        <x:v>2084374130</x:v>
      </x:c>
      <x:c r="AQ637" s="9" t="n">
        <x:f>MOD(AP637*16807,2147483647)</x:f>
        <x:v>175269399</x:v>
      </x:c>
      <x:c r="AR637" s="17" t="n">
        <x:f>IF('Control Room'!$B$5="Normal",'Control Room'!$B$7+'Control Room'!$D$7*SQRT(-2*LN(MAX(0.000000000001,AP637/2147483647)))*COS(2*PI()*AQ637/2147483647),'Control Room'!$B$8+('Control Room'!$D$8-'Control Room'!$B$8)*AP637/2147483647)</x:f>
        <x:v>1019.1545899603306</x:v>
      </x:c>
      <x:c r="AS637" s="17" t="n">
        <x:f>IF('Control Room'!$B$5="Normal",'Control Room'!$B$7,('Control Room'!$B$8+'Control Room'!$D$8)/2)+'Control Room'!$B$9*(AS636-IF('Control Room'!$B$5="Normal",'Control Room'!$B$7,('Control Room'!$B$8+'Control Room'!$D$8)/2))+SQRT(1-'Control Room'!$B$9^2)*(AR637-IF('Control Room'!$B$5="Normal",'Control Room'!$B$7,('Control Room'!$B$8+'Control Room'!$D$8)/2))</x:f>
        <x:v>925.3893837194889</x:v>
      </x:c>
      <x:c r="AT637" s="17" t="n">
        <x:f>IF(AND($A637&gt;='Control Room'!$A$13,$A637&lt;'Control Room'!$A$13+'Control Room'!$B$13,'Process'!BS2=1),1+('Control Room'!$C$13-1)*EXP(-0.5*(($A637-'Control Room'!$A$13-('Control Room'!$B$13-1)/2)/MAX(0.5,'Control Room'!$B$13/4))^2),1)*IF(AND($A637&gt;='Control Room'!$A$14,$A637&lt;'Control Room'!$A$14+'Control Room'!$B$14,'Process'!BS3=1),1+('Control Room'!$C$14-1)*EXP(-0.5*(($A637-'Control Room'!$A$14-('Control Room'!$B$14-1)/2)/MAX(0.5,'Control Room'!$B$14/4))^2),1)*IF(AND($A637&gt;='Control Room'!$A$15,$A637&lt;'Control Room'!$A$15+'Control Room'!$B$15,'Process'!BS4=1),1+('Control Room'!$C$15-1)*EXP(-0.5*(($A637-'Control Room'!$A$15-('Control Room'!$B$15-1)/2)/MAX(0.5,'Control Room'!$B$15/4))^2),1)*IF(AND($A637&gt;='Control Room'!$A$16,$A637&lt;'Control Room'!$A$16+'Control Room'!$B$16,'Process'!BS5=1),1+('Control Room'!$C$16-1)*EXP(-0.5*(($A637-'Control Room'!$A$16-('Control Room'!$B$16-1)/2)/MAX(0.5,'Control Room'!$B$16/4))^2),1)</x:f>
        <x:v>1</x:v>
      </x:c>
      <x:c r="AU637" s="9" t="n">
        <x:f>MOD(AV636*16807,2147483647)</x:f>
        <x:v>193620037</x:v>
      </x:c>
      <x:c r="AV637" s="9" t="n">
        <x:f>MOD(AU637*16807,2147483647)</x:f>
        <x:v>734236654</x:v>
      </x:c>
      <x:c r="AW637" s="17" t="n">
        <x:f>IF('Control Room'!$B$5="Normal",'Control Room'!$B$7+'Control Room'!$D$7*SQRT(-2*LN(MAX(0.000000000001,AU637/2147483647)))*COS(2*PI()*AV637/2147483647),'Control Room'!$B$8+('Control Room'!$D$8-'Control Room'!$B$8)*AU637/2147483647)</x:f>
        <x:v>892.2219592456025</x:v>
      </x:c>
      <x:c r="AX637" s="17" t="n">
        <x:f>IF('Control Room'!$B$5="Normal",'Control Room'!$B$7,('Control Room'!$B$8+'Control Room'!$D$8)/2)+'Control Room'!$B$9*(AX636-IF('Control Room'!$B$5="Normal",'Control Room'!$B$7,('Control Room'!$B$8+'Control Room'!$D$8)/2))+SQRT(1-'Control Room'!$B$9^2)*(AW637-IF('Control Room'!$B$5="Normal",'Control Room'!$B$7,('Control Room'!$B$8+'Control Room'!$D$8)/2))</x:f>
        <x:v>980.0747621480401</x:v>
      </x:c>
      <x:c r="AY637" s="17" t="n">
        <x:f>IF(AND($A637&gt;='Control Room'!$A$13,$A637&lt;'Control Room'!$A$13+'Control Room'!$B$13,'Process'!BT2=1),1+('Control Room'!$C$13-1)*EXP(-0.5*(($A637-'Control Room'!$A$13-('Control Room'!$B$13-1)/2)/MAX(0.5,'Control Room'!$B$13/4))^2),1)*IF(AND($A637&gt;='Control Room'!$A$14,$A637&lt;'Control Room'!$A$14+'Control Room'!$B$14,'Process'!BT3=1),1+('Control Room'!$C$14-1)*EXP(-0.5*(($A637-'Control Room'!$A$14-('Control Room'!$B$14-1)/2)/MAX(0.5,'Control Room'!$B$14/4))^2),1)*IF(AND($A637&gt;='Control Room'!$A$15,$A637&lt;'Control Room'!$A$15+'Control Room'!$B$15,'Process'!BT4=1),1+('Control Room'!$C$15-1)*EXP(-0.5*(($A637-'Control Room'!$A$15-('Control Room'!$B$15-1)/2)/MAX(0.5,'Control Room'!$B$15/4))^2),1)*IF(AND($A637&gt;='Control Room'!$A$16,$A637&lt;'Control Room'!$A$16+'Control Room'!$B$16,'Process'!BT5=1),1+('Control Room'!$C$16-1)*EXP(-0.5*(($A637-'Control Room'!$A$16-('Control Room'!$B$16-1)/2)/MAX(0.5,'Control Room'!$B$16/4))^2),1)</x:f>
        <x:v>1</x:v>
      </x:c>
      <x:c r="AZ637" s="9" t="n">
        <x:f>MOD(BA636*16807,2147483647)</x:f>
        <x:v>450349591</x:v>
      </x:c>
      <x:c r="BA637" s="9" t="n">
        <x:f>MOD(AZ637*16807,2147483647)</x:f>
        <x:v>1293203909</x:v>
      </x:c>
      <x:c r="BB637" s="17" t="n">
        <x:f>IF('Control Room'!$B$5="Normal",'Control Room'!$B$7+'Control Room'!$D$7*SQRT(-2*LN(MAX(0.000000000001,AZ637/2147483647)))*COS(2*PI()*BA637/2147483647),'Control Room'!$B$8+('Control Room'!$D$8-'Control Room'!$B$8)*AZ637/2147483647)</x:f>
        <x:v>872.6073684772662</x:v>
      </x:c>
      <x:c r="BC637" s="17" t="n">
        <x:f>IF('Control Room'!$B$5="Normal",'Control Room'!$B$7,('Control Room'!$B$8+'Control Room'!$D$8)/2)+'Control Room'!$B$9*(BC636-IF('Control Room'!$B$5="Normal",'Control Room'!$B$7,('Control Room'!$B$8+'Control Room'!$D$8)/2))+SQRT(1-'Control Room'!$B$9^2)*(BB637-IF('Control Room'!$B$5="Normal",'Control Room'!$B$7,('Control Room'!$B$8+'Control Room'!$D$8)/2))</x:f>
        <x:v>910.7698987159343</x:v>
      </x:c>
      <x:c r="BD637" s="17" t="n">
        <x:f>IF(AND($A637&gt;='Control Room'!$A$13,$A637&lt;'Control Room'!$A$13+'Control Room'!$B$13,'Process'!BU2=1),1+('Control Room'!$C$13-1)*EXP(-0.5*(($A637-'Control Room'!$A$13-('Control Room'!$B$13-1)/2)/MAX(0.5,'Control Room'!$B$13/4))^2),1)*IF(AND($A637&gt;='Control Room'!$A$14,$A637&lt;'Control Room'!$A$14+'Control Room'!$B$14,'Process'!BU3=1),1+('Control Room'!$C$14-1)*EXP(-0.5*(($A637-'Control Room'!$A$14-('Control Room'!$B$14-1)/2)/MAX(0.5,'Control Room'!$B$14/4))^2),1)*IF(AND($A637&gt;='Control Room'!$A$15,$A637&lt;'Control Room'!$A$15+'Control Room'!$B$15,'Process'!BU4=1),1+('Control Room'!$C$15-1)*EXP(-0.5*(($A637-'Control Room'!$A$15-('Control Room'!$B$15-1)/2)/MAX(0.5,'Control Room'!$B$15/4))^2),1)*IF(AND($A637&gt;='Control Room'!$A$16,$A637&lt;'Control Room'!$A$16+'Control Room'!$B$16,'Process'!BU5=1),1+('Control Room'!$C$16-1)*EXP(-0.5*(($A637-'Control Room'!$A$16-('Control Room'!$B$16-1)/2)/MAX(0.5,'Control Room'!$B$16/4))^2),1)</x:f>
        <x:v>1</x:v>
      </x:c>
      <x:c r="BE637" s="9" t="n">
        <x:f>MOD(BF636*16807,2147483647)</x:f>
        <x:v>707079145</x:v>
      </x:c>
      <x:c r="BF637" s="9" t="n">
        <x:f>MOD(BE637*16807,2147483647)</x:f>
        <x:v>1852171164</x:v>
      </x:c>
      <x:c r="BG637" s="17" t="n">
        <x:f>IF('Control Room'!$B$5="Normal",'Control Room'!$B$7+'Control Room'!$D$7*SQRT(-2*LN(MAX(0.000000000001,BE637/2147483647)))*COS(2*PI()*BF637/2147483647),'Control Room'!$B$8+('Control Room'!$D$8-'Control Room'!$B$8)*BE637/2147483647)</x:f>
        <x:v>1087.114697540738</x:v>
      </x:c>
      <x:c r="BH637" s="17" t="n">
        <x:f>IF('Control Room'!$B$5="Normal",'Control Room'!$B$7,('Control Room'!$B$8+'Control Room'!$D$8)/2)+'Control Room'!$B$9*(BH636-IF('Control Room'!$B$5="Normal",'Control Room'!$B$7,('Control Room'!$B$8+'Control Room'!$D$8)/2))+SQRT(1-'Control Room'!$B$9^2)*(BG637-IF('Control Room'!$B$5="Normal",'Control Room'!$B$7,('Control Room'!$B$8+'Control Room'!$D$8)/2))</x:f>
        <x:v>1045.020990335225</x:v>
      </x:c>
      <x:c r="BI637" s="17" t="n">
        <x:f>IF(AND($A637&gt;='Control Room'!$A$13,$A637&lt;'Control Room'!$A$13+'Control Room'!$B$13,'Process'!BV2=1),1+('Control Room'!$C$13-1)*EXP(-0.5*(($A637-'Control Room'!$A$13-('Control Room'!$B$13-1)/2)/MAX(0.5,'Control Room'!$B$13/4))^2),1)*IF(AND($A637&gt;='Control Room'!$A$14,$A637&lt;'Control Room'!$A$14+'Control Room'!$B$14,'Process'!BV3=1),1+('Control Room'!$C$14-1)*EXP(-0.5*(($A637-'Control Room'!$A$14-('Control Room'!$B$14-1)/2)/MAX(0.5,'Control Room'!$B$14/4))^2),1)*IF(AND($A637&gt;='Control Room'!$A$15,$A637&lt;'Control Room'!$A$15+'Control Room'!$B$15,'Process'!BV4=1),1+('Control Room'!$C$15-1)*EXP(-0.5*(($A637-'Control Room'!$A$15-('Control Room'!$B$15-1)/2)/MAX(0.5,'Control Room'!$B$15/4))^2),1)*IF(AND($A637&gt;='Control Room'!$A$16,$A637&lt;'Control Room'!$A$16+'Control Room'!$B$16,'Process'!BV5=1),1+('Control Room'!$C$16-1)*EXP(-0.5*(($A637-'Control Room'!$A$16-('Control Room'!$B$16-1)/2)/MAX(0.5,'Control Room'!$B$16/4))^2),1)</x:f>
        <x:v>1</x:v>
      </x:c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Z637" t="str">
        <x:f>IF('Data'!A637="","",TEXT('Data'!A637,"mm-dd"))</x:f>
      </x:c>
    </x:row>
    <x:row r="638" ht="21" customHeight="1">
      <x:c r="A638" s="15" t="n">
        <x:f>'Control Room'!$B$1+636</x:f>
        <x:v>73627</x:v>
      </x:c>
      <x:c r="B638" s="9" t="n">
        <x:f>MOD(C637*16807,2147483647)</x:f>
        <x:v>536664735</x:v>
      </x:c>
      <x:c r="C638" s="9" t="n">
        <x:f>MOD(B638*16807,2147483647)</x:f>
        <x:v>292883745</x:v>
      </x:c>
      <x:c r="D638" s="17" t="n">
        <x:f>IF('Control Room'!$B$5="Normal",'Control Room'!$B$7+'Control Room'!$D$7*SQRT(-2*LN(MAX(0.000000000001,B638/2147483647)))*COS(2*PI()*C638/2147483647),'Control Room'!$B$8+('Control Room'!$D$8-'Control Room'!$B$8)*B638/2147483647)</x:f>
        <x:v>1098.1359766427142</x:v>
      </x:c>
      <x:c r="E638" s="17" t="n">
        <x:f>IF('Control Room'!$B$5="Normal",'Control Room'!$B$7,('Control Room'!$B$8+'Control Room'!$D$8)/2)+'Control Room'!$B$9*(E637-IF('Control Room'!$B$5="Normal",'Control Room'!$B$7,('Control Room'!$B$8+'Control Room'!$D$8)/2))+SQRT(1-'Control Room'!$B$9^2)*(D638-IF('Control Room'!$B$5="Normal",'Control Room'!$B$7,('Control Room'!$B$8+'Control Room'!$D$8)/2))</x:f>
        <x:v>1260.5493310079512</x:v>
      </x:c>
      <x:c r="F638" s="17" t="n">
        <x:f>IF(AND($A638&gt;='Control Room'!$A$13,$A638&lt;'Control Room'!$A$13+'Control Room'!$B$13,'Process'!BK2=1),1+('Control Room'!$C$13-1)*EXP(-0.5*(($A638-'Control Room'!$A$13-('Control Room'!$B$13-1)/2)/MAX(0.5,'Control Room'!$B$13/4))^2),1)*IF(AND($A638&gt;='Control Room'!$A$14,$A638&lt;'Control Room'!$A$14+'Control Room'!$B$14,'Process'!BK3=1),1+('Control Room'!$C$14-1)*EXP(-0.5*(($A638-'Control Room'!$A$14-('Control Room'!$B$14-1)/2)/MAX(0.5,'Control Room'!$B$14/4))^2),1)*IF(AND($A638&gt;='Control Room'!$A$15,$A638&lt;'Control Room'!$A$15+'Control Room'!$B$15,'Process'!BK4=1),1+('Control Room'!$C$15-1)*EXP(-0.5*(($A638-'Control Room'!$A$15-('Control Room'!$B$15-1)/2)/MAX(0.5,'Control Room'!$B$15/4))^2),1)*IF(AND($A638&gt;='Control Room'!$A$16,$A638&lt;'Control Room'!$A$16+'Control Room'!$B$16,'Process'!BK5=1),1+('Control Room'!$C$16-1)*EXP(-0.5*(($A638-'Control Room'!$A$16-('Control Room'!$B$16-1)/2)/MAX(0.5,'Control Room'!$B$16/4))^2),1)</x:f>
        <x:v>1</x:v>
      </x:c>
      <x:c r="G638" s="9" t="n">
        <x:f>MOD(H637*16807,2147483647)</x:f>
        <x:v>2005847542</x:v>
      </x:c>
      <x:c r="H638" s="9" t="n">
        <x:f>MOD(G638*16807,2147483647)</x:f>
        <x:v>1081347788</x:v>
      </x:c>
      <x:c r="I638" s="17" t="n">
        <x:f>IF('Control Room'!$B$5="Normal",'Control Room'!$B$7+'Control Room'!$D$7*SQRT(-2*LN(MAX(0.000000000001,G638/2147483647)))*COS(2*PI()*H638/2147483647),'Control Room'!$B$8+('Control Room'!$D$8-'Control Room'!$B$8)*G638/2147483647)</x:f>
        <x:v>966.7617704952091</x:v>
      </x:c>
      <x:c r="J638" s="17" t="n">
        <x:f>IF('Control Room'!$B$5="Normal",'Control Room'!$B$7,('Control Room'!$B$8+'Control Room'!$D$8)/2)+'Control Room'!$B$9*(J637-IF('Control Room'!$B$5="Normal",'Control Room'!$B$7,('Control Room'!$B$8+'Control Room'!$D$8)/2))+SQRT(1-'Control Room'!$B$9^2)*(I638-IF('Control Room'!$B$5="Normal",'Control Room'!$B$7,('Control Room'!$B$8+'Control Room'!$D$8)/2))</x:f>
        <x:v>991.9912231960011</x:v>
      </x:c>
      <x:c r="K638" s="17" t="n">
        <x:f>IF(AND($A638&gt;='Control Room'!$A$13,$A638&lt;'Control Room'!$A$13+'Control Room'!$B$13,'Process'!BL2=1),1+('Control Room'!$C$13-1)*EXP(-0.5*(($A638-'Control Room'!$A$13-('Control Room'!$B$13-1)/2)/MAX(0.5,'Control Room'!$B$13/4))^2),1)*IF(AND($A638&gt;='Control Room'!$A$14,$A638&lt;'Control Room'!$A$14+'Control Room'!$B$14,'Process'!BL3=1),1+('Control Room'!$C$14-1)*EXP(-0.5*(($A638-'Control Room'!$A$14-('Control Room'!$B$14-1)/2)/MAX(0.5,'Control Room'!$B$14/4))^2),1)*IF(AND($A638&gt;='Control Room'!$A$15,$A638&lt;'Control Room'!$A$15+'Control Room'!$B$15,'Process'!BL4=1),1+('Control Room'!$C$15-1)*EXP(-0.5*(($A638-'Control Room'!$A$15-('Control Room'!$B$15-1)/2)/MAX(0.5,'Control Room'!$B$15/4))^2),1)*IF(AND($A638&gt;='Control Room'!$A$16,$A638&lt;'Control Room'!$A$16+'Control Room'!$B$16,'Process'!BL5=1),1+('Control Room'!$C$16-1)*EXP(-0.5*(($A638-'Control Room'!$A$16-('Control Room'!$B$16-1)/2)/MAX(0.5,'Control Room'!$B$16/4))^2),1)</x:f>
        <x:v>1</x:v>
      </x:c>
      <x:c r="L638" s="9" t="n">
        <x:f>MOD(M637*16807,2147483647)</x:f>
        <x:v>1327546702</x:v>
      </x:c>
      <x:c r="M638" s="9" t="n">
        <x:f>MOD(L638*16807,2147483647)</x:f>
        <x:v>1869811831</x:v>
      </x:c>
      <x:c r="N638" s="17" t="n">
        <x:f>IF('Control Room'!$B$5="Normal",'Control Room'!$B$7+'Control Room'!$D$7*SQRT(-2*LN(MAX(0.000000000001,L638/2147483647)))*COS(2*PI()*M638/2147483647),'Control Room'!$B$8+('Control Room'!$D$8-'Control Room'!$B$8)*L638/2147483647)</x:f>
        <x:v>1060.7070874341239</x:v>
      </x:c>
      <x:c r="O638" s="17" t="n">
        <x:f>IF('Control Room'!$B$5="Normal",'Control Room'!$B$7,('Control Room'!$B$8+'Control Room'!$D$8)/2)+'Control Room'!$B$9*(O637-IF('Control Room'!$B$5="Normal",'Control Room'!$B$7,('Control Room'!$B$8+'Control Room'!$D$8)/2))+SQRT(1-'Control Room'!$B$9^2)*(N638-IF('Control Room'!$B$5="Normal",'Control Room'!$B$7,('Control Room'!$B$8+'Control Room'!$D$8)/2))</x:f>
        <x:v>1015.4302127485539</x:v>
      </x:c>
      <x:c r="P638" s="17" t="n">
        <x:f>IF(AND($A638&gt;='Control Room'!$A$13,$A638&lt;'Control Room'!$A$13+'Control Room'!$B$13,'Process'!BM2=1),1+('Control Room'!$C$13-1)*EXP(-0.5*(($A638-'Control Room'!$A$13-('Control Room'!$B$13-1)/2)/MAX(0.5,'Control Room'!$B$13/4))^2),1)*IF(AND($A638&gt;='Control Room'!$A$14,$A638&lt;'Control Room'!$A$14+'Control Room'!$B$14,'Process'!BM3=1),1+('Control Room'!$C$14-1)*EXP(-0.5*(($A638-'Control Room'!$A$14-('Control Room'!$B$14-1)/2)/MAX(0.5,'Control Room'!$B$14/4))^2),1)*IF(AND($A638&gt;='Control Room'!$A$15,$A638&lt;'Control Room'!$A$15+'Control Room'!$B$15,'Process'!BM4=1),1+('Control Room'!$C$15-1)*EXP(-0.5*(($A638-'Control Room'!$A$15-('Control Room'!$B$15-1)/2)/MAX(0.5,'Control Room'!$B$15/4))^2),1)*IF(AND($A638&gt;='Control Room'!$A$16,$A638&lt;'Control Room'!$A$16+'Control Room'!$B$16,'Process'!BM5=1),1+('Control Room'!$C$16-1)*EXP(-0.5*(($A638-'Control Room'!$A$16-('Control Room'!$B$16-1)/2)/MAX(0.5,'Control Room'!$B$16/4))^2),1)</x:f>
        <x:v>1</x:v>
      </x:c>
      <x:c r="Q638" s="9" t="n">
        <x:f>MOD(R637*16807,2147483647)</x:f>
        <x:v>649245862</x:v>
      </x:c>
      <x:c r="R638" s="9" t="n">
        <x:f>MOD(Q638*16807,2147483647)</x:f>
        <x:v>510792227</x:v>
      </x:c>
      <x:c r="S638" s="17" t="n">
        <x:f>IF('Control Room'!$B$5="Normal",'Control Room'!$B$7+'Control Room'!$D$7*SQRT(-2*LN(MAX(0.000000000001,Q638/2147483647)))*COS(2*PI()*R638/2147483647),'Control Room'!$B$8+('Control Room'!$D$8-'Control Room'!$B$8)*Q638/2147483647)</x:f>
        <x:v>1010.6116023056161</x:v>
      </x:c>
      <x:c r="T638" s="17" t="n">
        <x:f>IF('Control Room'!$B$5="Normal",'Control Room'!$B$7,('Control Room'!$B$8+'Control Room'!$D$8)/2)+'Control Room'!$B$9*(T637-IF('Control Room'!$B$5="Normal",'Control Room'!$B$7,('Control Room'!$B$8+'Control Room'!$D$8)/2))+SQRT(1-'Control Room'!$B$9^2)*(S638-IF('Control Room'!$B$5="Normal",'Control Room'!$B$7,('Control Room'!$B$8+'Control Room'!$D$8)/2))</x:f>
        <x:v>1082.6235192399731</x:v>
      </x:c>
      <x:c r="U638" s="17" t="n">
        <x:f>IF(AND($A638&gt;='Control Room'!$A$13,$A638&lt;'Control Room'!$A$13+'Control Room'!$B$13,'Process'!BN2=1),1+('Control Room'!$C$13-1)*EXP(-0.5*(($A638-'Control Room'!$A$13-('Control Room'!$B$13-1)/2)/MAX(0.5,'Control Room'!$B$13/4))^2),1)*IF(AND($A638&gt;='Control Room'!$A$14,$A638&lt;'Control Room'!$A$14+'Control Room'!$B$14,'Process'!BN3=1),1+('Control Room'!$C$14-1)*EXP(-0.5*(($A638-'Control Room'!$A$14-('Control Room'!$B$14-1)/2)/MAX(0.5,'Control Room'!$B$14/4))^2),1)*IF(AND($A638&gt;='Control Room'!$A$15,$A638&lt;'Control Room'!$A$15+'Control Room'!$B$15,'Process'!BN4=1),1+('Control Room'!$C$15-1)*EXP(-0.5*(($A638-'Control Room'!$A$15-('Control Room'!$B$15-1)/2)/MAX(0.5,'Control Room'!$B$15/4))^2),1)*IF(AND($A638&gt;='Control Room'!$A$16,$A638&lt;'Control Room'!$A$16+'Control Room'!$B$16,'Process'!BN5=1),1+('Control Room'!$C$16-1)*EXP(-0.5*(($A638-'Control Room'!$A$16-('Control Room'!$B$16-1)/2)/MAX(0.5,'Control Room'!$B$16/4))^2),1)</x:f>
        <x:v>1</x:v>
      </x:c>
      <x:c r="V638" s="9" t="n">
        <x:f>MOD(W637*16807,2147483647)</x:f>
        <x:v>2118428669</x:v>
      </x:c>
      <x:c r="W638" s="9" t="n">
        <x:f>MOD(V638*16807,2147483647)</x:f>
        <x:v>1299256270</x:v>
      </x:c>
      <x:c r="X638" s="17" t="n">
        <x:f>IF('Control Room'!$B$5="Normal",'Control Room'!$B$7+'Control Room'!$D$7*SQRT(-2*LN(MAX(0.000000000001,V638/2147483647)))*COS(2*PI()*W638/2147483647),'Control Room'!$B$8+('Control Room'!$D$8-'Control Room'!$B$8)*V638/2147483647)</x:f>
        <x:v>988.2628076663486</x:v>
      </x:c>
      <x:c r="Y638" s="17" t="n">
        <x:f>IF('Control Room'!$B$5="Normal",'Control Room'!$B$7,('Control Room'!$B$8+'Control Room'!$D$8)/2)+'Control Room'!$B$9*(Y637-IF('Control Room'!$B$5="Normal",'Control Room'!$B$7,('Control Room'!$B$8+'Control Room'!$D$8)/2))+SQRT(1-'Control Room'!$B$9^2)*(X638-IF('Control Room'!$B$5="Normal",'Control Room'!$B$7,('Control Room'!$B$8+'Control Room'!$D$8)/2))</x:f>
        <x:v>1143.2392167020275</x:v>
      </x:c>
      <x:c r="Z638" s="17" t="n">
        <x:f>IF(AND($A638&gt;='Control Room'!$A$13,$A638&lt;'Control Room'!$A$13+'Control Room'!$B$13,'Process'!BO2=1),1+('Control Room'!$C$13-1)*EXP(-0.5*(($A638-'Control Room'!$A$13-('Control Room'!$B$13-1)/2)/MAX(0.5,'Control Room'!$B$13/4))^2),1)*IF(AND($A638&gt;='Control Room'!$A$14,$A638&lt;'Control Room'!$A$14+'Control Room'!$B$14,'Process'!BO3=1),1+('Control Room'!$C$14-1)*EXP(-0.5*(($A638-'Control Room'!$A$14-('Control Room'!$B$14-1)/2)/MAX(0.5,'Control Room'!$B$14/4))^2),1)*IF(AND($A638&gt;='Control Room'!$A$15,$A638&lt;'Control Room'!$A$15+'Control Room'!$B$15,'Process'!BO4=1),1+('Control Room'!$C$15-1)*EXP(-0.5*(($A638-'Control Room'!$A$15-('Control Room'!$B$15-1)/2)/MAX(0.5,'Control Room'!$B$15/4))^2),1)*IF(AND($A638&gt;='Control Room'!$A$16,$A638&lt;'Control Room'!$A$16+'Control Room'!$B$16,'Process'!BO5=1),1+('Control Room'!$C$16-1)*EXP(-0.5*(($A638-'Control Room'!$A$16-('Control Room'!$B$16-1)/2)/MAX(0.5,'Control Room'!$B$16/4))^2),1)</x:f>
        <x:v>1</x:v>
      </x:c>
      <x:c r="AA638" s="9" t="n">
        <x:f>MOD(AB637*16807,2147483647)</x:f>
        <x:v>1440127829</x:v>
      </x:c>
      <x:c r="AB638" s="9" t="n">
        <x:f>MOD(AA638*16807,2147483647)</x:f>
        <x:v>2087720313</x:v>
      </x:c>
      <x:c r="AC638" s="17" t="n">
        <x:f>IF('Control Room'!$B$5="Normal",'Control Room'!$B$7+'Control Room'!$D$7*SQRT(-2*LN(MAX(0.000000000001,AA638/2147483647)))*COS(2*PI()*AB638/2147483647),'Control Room'!$B$8+('Control Room'!$D$8-'Control Room'!$B$8)*AA638/2147483647)</x:f>
        <x:v>1079.2278233653155</x:v>
      </x:c>
      <x:c r="AD638" s="17" t="n">
        <x:f>IF('Control Room'!$B$5="Normal",'Control Room'!$B$7,('Control Room'!$B$8+'Control Room'!$D$8)/2)+'Control Room'!$B$9*(AD637-IF('Control Room'!$B$5="Normal",'Control Room'!$B$7,('Control Room'!$B$8+'Control Room'!$D$8)/2))+SQRT(1-'Control Room'!$B$9^2)*(AC638-IF('Control Room'!$B$5="Normal",'Control Room'!$B$7,('Control Room'!$B$8+'Control Room'!$D$8)/2))</x:f>
        <x:v>1014.2792183819028</x:v>
      </x:c>
      <x:c r="AE638" s="17" t="n">
        <x:f>IF(AND($A638&gt;='Control Room'!$A$13,$A638&lt;'Control Room'!$A$13+'Control Room'!$B$13,'Process'!BP2=1),1+('Control Room'!$C$13-1)*EXP(-0.5*(($A638-'Control Room'!$A$13-('Control Room'!$B$13-1)/2)/MAX(0.5,'Control Room'!$B$13/4))^2),1)*IF(AND($A638&gt;='Control Room'!$A$14,$A638&lt;'Control Room'!$A$14+'Control Room'!$B$14,'Process'!BP3=1),1+('Control Room'!$C$14-1)*EXP(-0.5*(($A638-'Control Room'!$A$14-('Control Room'!$B$14-1)/2)/MAX(0.5,'Control Room'!$B$14/4))^2),1)*IF(AND($A638&gt;='Control Room'!$A$15,$A638&lt;'Control Room'!$A$15+'Control Room'!$B$15,'Process'!BP4=1),1+('Control Room'!$C$15-1)*EXP(-0.5*(($A638-'Control Room'!$A$15-('Control Room'!$B$15-1)/2)/MAX(0.5,'Control Room'!$B$15/4))^2),1)*IF(AND($A638&gt;='Control Room'!$A$16,$A638&lt;'Control Room'!$A$16+'Control Room'!$B$16,'Process'!BP5=1),1+('Control Room'!$C$16-1)*EXP(-0.5*(($A638-'Control Room'!$A$16-('Control Room'!$B$16-1)/2)/MAX(0.5,'Control Room'!$B$16/4))^2),1)</x:f>
        <x:v>1</x:v>
      </x:c>
      <x:c r="AF638" s="9" t="n">
        <x:f>MOD(AG637*16807,2147483647)</x:f>
        <x:v>761826989</x:v>
      </x:c>
      <x:c r="AG638" s="9" t="n">
        <x:f>MOD(AF638*16807,2147483647)</x:f>
        <x:v>728700709</x:v>
      </x:c>
      <x:c r="AH638" s="17" t="n">
        <x:f>IF('Control Room'!$B$5="Normal",'Control Room'!$B$7+'Control Room'!$D$7*SQRT(-2*LN(MAX(0.000000000001,AF638/2147483647)))*COS(2*PI()*AG638/2147483647),'Control Room'!$B$8+('Control Room'!$D$8-'Control Room'!$B$8)*AF638/2147483647)</x:f>
        <x:v>931.0352411550589</x:v>
      </x:c>
      <x:c r="AI638" s="17" t="n">
        <x:f>IF('Control Room'!$B$5="Normal",'Control Room'!$B$7,('Control Room'!$B$8+'Control Room'!$D$8)/2)+'Control Room'!$B$9*(AI637-IF('Control Room'!$B$5="Normal",'Control Room'!$B$7,('Control Room'!$B$8+'Control Room'!$D$8)/2))+SQRT(1-'Control Room'!$B$9^2)*(AH638-IF('Control Room'!$B$5="Normal",'Control Room'!$B$7,('Control Room'!$B$8+'Control Room'!$D$8)/2))</x:f>
        <x:v>985.8945216189078</x:v>
      </x:c>
      <x:c r="AJ638" s="17" t="n">
        <x:f>IF(AND($A638&gt;='Control Room'!$A$13,$A638&lt;'Control Room'!$A$13+'Control Room'!$B$13,'Process'!BQ2=1),1+('Control Room'!$C$13-1)*EXP(-0.5*(($A638-'Control Room'!$A$13-('Control Room'!$B$13-1)/2)/MAX(0.5,'Control Room'!$B$13/4))^2),1)*IF(AND($A638&gt;='Control Room'!$A$14,$A638&lt;'Control Room'!$A$14+'Control Room'!$B$14,'Process'!BQ3=1),1+('Control Room'!$C$14-1)*EXP(-0.5*(($A638-'Control Room'!$A$14-('Control Room'!$B$14-1)/2)/MAX(0.5,'Control Room'!$B$14/4))^2),1)*IF(AND($A638&gt;='Control Room'!$A$15,$A638&lt;'Control Room'!$A$15+'Control Room'!$B$15,'Process'!BQ4=1),1+('Control Room'!$C$15-1)*EXP(-0.5*(($A638-'Control Room'!$A$15-('Control Room'!$B$15-1)/2)/MAX(0.5,'Control Room'!$B$15/4))^2),1)*IF(AND($A638&gt;='Control Room'!$A$16,$A638&lt;'Control Room'!$A$16+'Control Room'!$B$16,'Process'!BQ5=1),1+('Control Room'!$C$16-1)*EXP(-0.5*(($A638-'Control Room'!$A$16-('Control Room'!$B$16-1)/2)/MAX(0.5,'Control Room'!$B$16/4))^2),1)</x:f>
        <x:v>1</x:v>
      </x:c>
      <x:c r="AK638" s="9" t="n">
        <x:f>MOD(AL637*16807,2147483647)</x:f>
        <x:v>83526149</x:v>
      </x:c>
      <x:c r="AL638" s="9" t="n">
        <x:f>MOD(AK638*16807,2147483647)</x:f>
        <x:v>1517164752</x:v>
      </x:c>
      <x:c r="AM638" s="17" t="n">
        <x:f>IF('Control Room'!$B$5="Normal",'Control Room'!$B$7+'Control Room'!$D$7*SQRT(-2*LN(MAX(0.000000000001,AK638/2147483647)))*COS(2*PI()*AL638/2147483647),'Control Room'!$B$8+('Control Room'!$D$8-'Control Room'!$B$8)*AK638/2147483647)</x:f>
        <x:v>938.0720228242494</x:v>
      </x:c>
      <x:c r="AN638" s="17" t="n">
        <x:f>IF('Control Room'!$B$5="Normal",'Control Room'!$B$7,('Control Room'!$B$8+'Control Room'!$D$8)/2)+'Control Room'!$B$9*(AN637-IF('Control Room'!$B$5="Normal",'Control Room'!$B$7,('Control Room'!$B$8+'Control Room'!$D$8)/2))+SQRT(1-'Control Room'!$B$9^2)*(AM638-IF('Control Room'!$B$5="Normal",'Control Room'!$B$7,('Control Room'!$B$8+'Control Room'!$D$8)/2))</x:f>
        <x:v>1013.2511299304371</x:v>
      </x:c>
      <x:c r="AO638" s="17" t="n">
        <x:f>IF(AND($A638&gt;='Control Room'!$A$13,$A638&lt;'Control Room'!$A$13+'Control Room'!$B$13,'Process'!BR2=1),1+('Control Room'!$C$13-1)*EXP(-0.5*(($A638-'Control Room'!$A$13-('Control Room'!$B$13-1)/2)/MAX(0.5,'Control Room'!$B$13/4))^2),1)*IF(AND($A638&gt;='Control Room'!$A$14,$A638&lt;'Control Room'!$A$14+'Control Room'!$B$14,'Process'!BR3=1),1+('Control Room'!$C$14-1)*EXP(-0.5*(($A638-'Control Room'!$A$14-('Control Room'!$B$14-1)/2)/MAX(0.5,'Control Room'!$B$14/4))^2),1)*IF(AND($A638&gt;='Control Room'!$A$15,$A638&lt;'Control Room'!$A$15+'Control Room'!$B$15,'Process'!BR4=1),1+('Control Room'!$C$15-1)*EXP(-0.5*(($A638-'Control Room'!$A$15-('Control Room'!$B$15-1)/2)/MAX(0.5,'Control Room'!$B$15/4))^2),1)*IF(AND($A638&gt;='Control Room'!$A$16,$A638&lt;'Control Room'!$A$16+'Control Room'!$B$16,'Process'!BR5=1),1+('Control Room'!$C$16-1)*EXP(-0.5*(($A638-'Control Room'!$A$16-('Control Room'!$B$16-1)/2)/MAX(0.5,'Control Room'!$B$16/4))^2),1)</x:f>
        <x:v>1</x:v>
      </x:c>
      <x:c r="AP638" s="9" t="n">
        <x:f>MOD(AQ637*16807,2147483647)</x:f>
        <x:v>1552708956</x:v>
      </x:c>
      <x:c r="AQ638" s="9" t="n">
        <x:f>MOD(AP638*16807,2147483647)</x:f>
        <x:v>158145148</x:v>
      </x:c>
      <x:c r="AR638" s="17" t="n">
        <x:f>IF('Control Room'!$B$5="Normal",'Control Room'!$B$7+'Control Room'!$D$7*SQRT(-2*LN(MAX(0.000000000001,AP638/2147483647)))*COS(2*PI()*AQ638/2147483647),'Control Room'!$B$8+('Control Room'!$D$8-'Control Room'!$B$8)*AP638/2147483647)</x:f>
        <x:v>1064.8600250147445</x:v>
      </x:c>
      <x:c r="AS638" s="17" t="n">
        <x:f>IF('Control Room'!$B$5="Normal",'Control Room'!$B$7,('Control Room'!$B$8+'Control Room'!$D$8)/2)+'Control Room'!$B$9*(AS637-IF('Control Room'!$B$5="Normal",'Control Room'!$B$7,('Control Room'!$B$8+'Control Room'!$D$8)/2))+SQRT(1-'Control Room'!$B$9^2)*(AR638-IF('Control Room'!$B$5="Normal",'Control Room'!$B$7,('Control Room'!$B$8+'Control Room'!$D$8)/2))</x:f>
        <x:v>982.3917942255931</x:v>
      </x:c>
      <x:c r="AT638" s="17" t="n">
        <x:f>IF(AND($A638&gt;='Control Room'!$A$13,$A638&lt;'Control Room'!$A$13+'Control Room'!$B$13,'Process'!BS2=1),1+('Control Room'!$C$13-1)*EXP(-0.5*(($A638-'Control Room'!$A$13-('Control Room'!$B$13-1)/2)/MAX(0.5,'Control Room'!$B$13/4))^2),1)*IF(AND($A638&gt;='Control Room'!$A$14,$A638&lt;'Control Room'!$A$14+'Control Room'!$B$14,'Process'!BS3=1),1+('Control Room'!$C$14-1)*EXP(-0.5*(($A638-'Control Room'!$A$14-('Control Room'!$B$14-1)/2)/MAX(0.5,'Control Room'!$B$14/4))^2),1)*IF(AND($A638&gt;='Control Room'!$A$15,$A638&lt;'Control Room'!$A$15+'Control Room'!$B$15,'Process'!BS4=1),1+('Control Room'!$C$15-1)*EXP(-0.5*(($A638-'Control Room'!$A$15-('Control Room'!$B$15-1)/2)/MAX(0.5,'Control Room'!$B$15/4))^2),1)*IF(AND($A638&gt;='Control Room'!$A$16,$A638&lt;'Control Room'!$A$16+'Control Room'!$B$16,'Process'!BS5=1),1+('Control Room'!$C$16-1)*EXP(-0.5*(($A638-'Control Room'!$A$16-('Control Room'!$B$16-1)/2)/MAX(0.5,'Control Room'!$B$16/4))^2),1)</x:f>
        <x:v>1</x:v>
      </x:c>
      <x:c r="AU638" s="9" t="n">
        <x:f>MOD(AV637*16807,2147483647)</x:f>
        <x:v>874408116</x:v>
      </x:c>
      <x:c r="AV638" s="9" t="n">
        <x:f>MOD(AU638*16807,2147483647)</x:f>
        <x:v>946609191</x:v>
      </x:c>
      <x:c r="AW638" s="17" t="n">
        <x:f>IF('Control Room'!$B$5="Normal",'Control Room'!$B$7+'Control Room'!$D$7*SQRT(-2*LN(MAX(0.000000000001,AU638/2147483647)))*COS(2*PI()*AV638/2147483647),'Control Room'!$B$8+('Control Room'!$D$8-'Control Room'!$B$8)*AU638/2147483647)</x:f>
        <x:v>887.6033281368502</x:v>
      </x:c>
      <x:c r="AX638" s="17" t="n">
        <x:f>IF('Control Room'!$B$5="Normal",'Control Room'!$B$7,('Control Room'!$B$8+'Control Room'!$D$8)/2)+'Control Room'!$B$9*(AX637-IF('Control Room'!$B$5="Normal",'Control Room'!$B$7,('Control Room'!$B$8+'Control Room'!$D$8)/2))+SQRT(1-'Control Room'!$B$9^2)*(AW638-IF('Control Room'!$B$5="Normal",'Control Room'!$B$7,('Control Room'!$B$8+'Control Room'!$D$8)/2))</x:f>
        <x:v>914.1227797944912</x:v>
      </x:c>
      <x:c r="AY638" s="17" t="n">
        <x:f>IF(AND($A638&gt;='Control Room'!$A$13,$A638&lt;'Control Room'!$A$13+'Control Room'!$B$13,'Process'!BT2=1),1+('Control Room'!$C$13-1)*EXP(-0.5*(($A638-'Control Room'!$A$13-('Control Room'!$B$13-1)/2)/MAX(0.5,'Control Room'!$B$13/4))^2),1)*IF(AND($A638&gt;='Control Room'!$A$14,$A638&lt;'Control Room'!$A$14+'Control Room'!$B$14,'Process'!BT3=1),1+('Control Room'!$C$14-1)*EXP(-0.5*(($A638-'Control Room'!$A$14-('Control Room'!$B$14-1)/2)/MAX(0.5,'Control Room'!$B$14/4))^2),1)*IF(AND($A638&gt;='Control Room'!$A$15,$A638&lt;'Control Room'!$A$15+'Control Room'!$B$15,'Process'!BT4=1),1+('Control Room'!$C$15-1)*EXP(-0.5*(($A638-'Control Room'!$A$15-('Control Room'!$B$15-1)/2)/MAX(0.5,'Control Room'!$B$15/4))^2),1)*IF(AND($A638&gt;='Control Room'!$A$16,$A638&lt;'Control Room'!$A$16+'Control Room'!$B$16,'Process'!BT5=1),1+('Control Room'!$C$16-1)*EXP(-0.5*(($A638-'Control Room'!$A$16-('Control Room'!$B$16-1)/2)/MAX(0.5,'Control Room'!$B$16/4))^2),1)</x:f>
        <x:v>1</x:v>
      </x:c>
      <x:c r="AZ638" s="9" t="n">
        <x:f>MOD(BA637*16807,2147483647)</x:f>
        <x:v>196107276</x:v>
      </x:c>
      <x:c r="BA638" s="9" t="n">
        <x:f>MOD(AZ638*16807,2147483647)</x:f>
        <x:v>1735073234</x:v>
      </x:c>
      <x:c r="BB638" s="17" t="n">
        <x:f>IF('Control Room'!$B$5="Normal",'Control Room'!$B$7+'Control Room'!$D$7*SQRT(-2*LN(MAX(0.000000000001,AZ638/2147483647)))*COS(2*PI()*BA638/2147483647),'Control Room'!$B$8+('Control Room'!$D$8-'Control Room'!$B$8)*AZ638/2147483647)</x:f>
        <x:v>1070.1301348697857</x:v>
      </x:c>
      <x:c r="BC638" s="17" t="n">
        <x:f>IF('Control Room'!$B$5="Normal",'Control Room'!$B$7,('Control Room'!$B$8+'Control Room'!$D$8)/2)+'Control Room'!$B$9*(BC637-IF('Control Room'!$B$5="Normal",'Control Room'!$B$7,('Control Room'!$B$8+'Control Room'!$D$8)/2))+SQRT(1-'Control Room'!$B$9^2)*(BB638-IF('Control Room'!$B$5="Normal",'Control Room'!$B$7,('Control Room'!$B$8+'Control Room'!$D$8)/2))</x:f>
        <x:v>974.2865227060365</x:v>
      </x:c>
      <x:c r="BD638" s="17" t="n">
        <x:f>IF(AND($A638&gt;='Control Room'!$A$13,$A638&lt;'Control Room'!$A$13+'Control Room'!$B$13,'Process'!BU2=1),1+('Control Room'!$C$13-1)*EXP(-0.5*(($A638-'Control Room'!$A$13-('Control Room'!$B$13-1)/2)/MAX(0.5,'Control Room'!$B$13/4))^2),1)*IF(AND($A638&gt;='Control Room'!$A$14,$A638&lt;'Control Room'!$A$14+'Control Room'!$B$14,'Process'!BU3=1),1+('Control Room'!$C$14-1)*EXP(-0.5*(($A638-'Control Room'!$A$14-('Control Room'!$B$14-1)/2)/MAX(0.5,'Control Room'!$B$14/4))^2),1)*IF(AND($A638&gt;='Control Room'!$A$15,$A638&lt;'Control Room'!$A$15+'Control Room'!$B$15,'Process'!BU4=1),1+('Control Room'!$C$15-1)*EXP(-0.5*(($A638-'Control Room'!$A$15-('Control Room'!$B$15-1)/2)/MAX(0.5,'Control Room'!$B$15/4))^2),1)*IF(AND($A638&gt;='Control Room'!$A$16,$A638&lt;'Control Room'!$A$16+'Control Room'!$B$16,'Process'!BU5=1),1+('Control Room'!$C$16-1)*EXP(-0.5*(($A638-'Control Room'!$A$16-('Control Room'!$B$16-1)/2)/MAX(0.5,'Control Room'!$B$16/4))^2),1)</x:f>
        <x:v>1</x:v>
      </x:c>
      <x:c r="BE638" s="9" t="n">
        <x:f>MOD(BF637*16807,2147483647)</x:f>
        <x:v>1665290083</x:v>
      </x:c>
      <x:c r="BF638" s="9" t="n">
        <x:f>MOD(BE638*16807,2147483647)</x:f>
        <x:v>376053630</x:v>
      </x:c>
      <x:c r="BG638" s="17" t="n">
        <x:f>IF('Control Room'!$B$5="Normal",'Control Room'!$B$7+'Control Room'!$D$7*SQRT(-2*LN(MAX(0.000000000001,BE638/2147483647)))*COS(2*PI()*BF638/2147483647),'Control Room'!$B$8+('Control Room'!$D$8-'Control Room'!$B$8)*BE638/2147483647)</x:f>
        <x:v>1029.0982078687994</x:v>
      </x:c>
      <x:c r="BH638" s="17" t="n">
        <x:f>IF('Control Room'!$B$5="Normal",'Control Room'!$B$7,('Control Room'!$B$8+'Control Room'!$D$8)/2)+'Control Room'!$B$9*(BH637-IF('Control Room'!$B$5="Normal",'Control Room'!$B$7,('Control Room'!$B$8+'Control Room'!$D$8)/2))+SQRT(1-'Control Room'!$B$9^2)*(BG638-IF('Control Room'!$B$5="Normal",'Control Room'!$B$7,('Control Room'!$B$8+'Control Room'!$D$8)/2))</x:f>
        <x:v>1053.3254348365806</x:v>
      </x:c>
      <x:c r="BI638" s="17" t="n">
        <x:f>IF(AND($A638&gt;='Control Room'!$A$13,$A638&lt;'Control Room'!$A$13+'Control Room'!$B$13,'Process'!BV2=1),1+('Control Room'!$C$13-1)*EXP(-0.5*(($A638-'Control Room'!$A$13-('Control Room'!$B$13-1)/2)/MAX(0.5,'Control Room'!$B$13/4))^2),1)*IF(AND($A638&gt;='Control Room'!$A$14,$A638&lt;'Control Room'!$A$14+'Control Room'!$B$14,'Process'!BV3=1),1+('Control Room'!$C$14-1)*EXP(-0.5*(($A638-'Control Room'!$A$14-('Control Room'!$B$14-1)/2)/MAX(0.5,'Control Room'!$B$14/4))^2),1)*IF(AND($A638&gt;='Control Room'!$A$15,$A638&lt;'Control Room'!$A$15+'Control Room'!$B$15,'Process'!BV4=1),1+('Control Room'!$C$15-1)*EXP(-0.5*(($A638-'Control Room'!$A$15-('Control Room'!$B$15-1)/2)/MAX(0.5,'Control Room'!$B$15/4))^2),1)*IF(AND($A638&gt;='Control Room'!$A$16,$A638&lt;'Control Room'!$A$16+'Control Room'!$B$16,'Process'!BV5=1),1+('Control Room'!$C$16-1)*EXP(-0.5*(($A638-'Control Room'!$A$16-('Control Room'!$B$16-1)/2)/MAX(0.5,'Control Room'!$B$16/4))^2),1)</x:f>
        <x:v>1</x:v>
      </x:c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Z638" t="str">
        <x:f>IF('Data'!A638="","",TEXT('Data'!A638,"mm-dd"))</x:f>
      </x:c>
    </x:row>
    <x:row r="639" ht="21" customHeight="1">
      <x:c r="A639" s="15" t="n">
        <x:f>'Control Room'!$B$1+637</x:f>
        <x:v>73628</x:v>
      </x:c>
      <x:c r="B639" s="9" t="n">
        <x:f>MOD(C638*16807,2147483647)</x:f>
        <x:v>464583291</x:v>
      </x:c>
      <x:c r="C639" s="9" t="n">
        <x:f>MOD(B639*16807,2147483647)</x:f>
        <x:v>831345</x:v>
      </x:c>
      <x:c r="D639" s="17" t="n">
        <x:f>IF('Control Room'!$B$5="Normal",'Control Room'!$B$7+'Control Room'!$D$7*SQRT(-2*LN(MAX(0.000000000001,B639/2147483647)))*COS(2*PI()*C639/2147483647),'Control Room'!$B$8+('Control Room'!$D$8-'Control Room'!$B$8)*B639/2147483647)</x:f>
        <x:v>1157.482108317757</x:v>
      </x:c>
      <x:c r="E639" s="17" t="n">
        <x:f>IF('Control Room'!$B$5="Normal",'Control Room'!$B$7,('Control Room'!$B$8+'Control Room'!$D$8)/2)+'Control Room'!$B$9*(E638-IF('Control Room'!$B$5="Normal",'Control Room'!$B$7,('Control Room'!$B$8+'Control Room'!$D$8)/2))+SQRT(1-'Control Room'!$B$9^2)*(D639-IF('Control Room'!$B$5="Normal",'Control Room'!$B$7,('Control Room'!$B$8+'Control Room'!$D$8)/2))</x:f>
        <x:v>1301.777555375106</x:v>
      </x:c>
      <x:c r="F639" s="17" t="n">
        <x:f>IF(AND($A639&gt;='Control Room'!$A$13,$A639&lt;'Control Room'!$A$13+'Control Room'!$B$13,'Process'!BK2=1),1+('Control Room'!$C$13-1)*EXP(-0.5*(($A639-'Control Room'!$A$13-('Control Room'!$B$13-1)/2)/MAX(0.5,'Control Room'!$B$13/4))^2),1)*IF(AND($A639&gt;='Control Room'!$A$14,$A639&lt;'Control Room'!$A$14+'Control Room'!$B$14,'Process'!BK3=1),1+('Control Room'!$C$14-1)*EXP(-0.5*(($A639-'Control Room'!$A$14-('Control Room'!$B$14-1)/2)/MAX(0.5,'Control Room'!$B$14/4))^2),1)*IF(AND($A639&gt;='Control Room'!$A$15,$A639&lt;'Control Room'!$A$15+'Control Room'!$B$15,'Process'!BK4=1),1+('Control Room'!$C$15-1)*EXP(-0.5*(($A639-'Control Room'!$A$15-('Control Room'!$B$15-1)/2)/MAX(0.5,'Control Room'!$B$15/4))^2),1)*IF(AND($A639&gt;='Control Room'!$A$16,$A639&lt;'Control Room'!$A$16+'Control Room'!$B$16,'Process'!BK5=1),1+('Control Room'!$C$16-1)*EXP(-0.5*(($A639-'Control Room'!$A$16-('Control Room'!$B$16-1)/2)/MAX(0.5,'Control Room'!$B$16/4))^2),1)</x:f>
        <x:v>1</x:v>
      </x:c>
      <x:c r="G639" s="9" t="n">
        <x:f>MOD(H638*16807,2147483647)</x:f>
        <x:v>58168355</x:v>
      </x:c>
      <x:c r="H639" s="9" t="n">
        <x:f>MOD(G639*16807,2147483647)</x:f>
        <x:v>530483100</x:v>
      </x:c>
      <x:c r="I639" s="17" t="n">
        <x:f>IF('Control Room'!$B$5="Normal",'Control Room'!$B$7+'Control Room'!$D$7*SQRT(-2*LN(MAX(0.000000000001,G639/2147483647)))*COS(2*PI()*H639/2147483647),'Control Room'!$B$8+('Control Room'!$D$8-'Control Room'!$B$8)*G639/2147483647)</x:f>
        <x:v>1004.5186672408458</x:v>
      </x:c>
      <x:c r="J639" s="17" t="n">
        <x:f>IF('Control Room'!$B$5="Normal",'Control Room'!$B$7,('Control Room'!$B$8+'Control Room'!$D$8)/2)+'Control Room'!$B$9*(J638-IF('Control Room'!$B$5="Normal",'Control Room'!$B$7,('Control Room'!$B$8+'Control Room'!$D$8)/2))+SQRT(1-'Control Room'!$B$9^2)*(I639-IF('Control Room'!$B$5="Normal",'Control Room'!$B$7,('Control Room'!$B$8+'Control Room'!$D$8)/2))</x:f>
        <x:v>996.5808434822721</x:v>
      </x:c>
      <x:c r="K639" s="17" t="n">
        <x:f>IF(AND($A639&gt;='Control Room'!$A$13,$A639&lt;'Control Room'!$A$13+'Control Room'!$B$13,'Process'!BL2=1),1+('Control Room'!$C$13-1)*EXP(-0.5*(($A639-'Control Room'!$A$13-('Control Room'!$B$13-1)/2)/MAX(0.5,'Control Room'!$B$13/4))^2),1)*IF(AND($A639&gt;='Control Room'!$A$14,$A639&lt;'Control Room'!$A$14+'Control Room'!$B$14,'Process'!BL3=1),1+('Control Room'!$C$14-1)*EXP(-0.5*(($A639-'Control Room'!$A$14-('Control Room'!$B$14-1)/2)/MAX(0.5,'Control Room'!$B$14/4))^2),1)*IF(AND($A639&gt;='Control Room'!$A$15,$A639&lt;'Control Room'!$A$15+'Control Room'!$B$15,'Process'!BL4=1),1+('Control Room'!$C$15-1)*EXP(-0.5*(($A639-'Control Room'!$A$15-('Control Room'!$B$15-1)/2)/MAX(0.5,'Control Room'!$B$15/4))^2),1)*IF(AND($A639&gt;='Control Room'!$A$16,$A639&lt;'Control Room'!$A$16+'Control Room'!$B$16,'Process'!BL5=1),1+('Control Room'!$C$16-1)*EXP(-0.5*(($A639-'Control Room'!$A$16-('Control Room'!$B$16-1)/2)/MAX(0.5,'Control Room'!$B$16/4))^2),1)</x:f>
        <x:v>1</x:v>
      </x:c>
      <x:c r="L639" s="9" t="n">
        <x:f>MOD(M638*16807,2147483647)</x:f>
        <x:v>1799237066</x:v>
      </x:c>
      <x:c r="M639" s="9" t="n">
        <x:f>MOD(L639*16807,2147483647)</x:f>
        <x:v>1060134855</x:v>
      </x:c>
      <x:c r="N639" s="17" t="n">
        <x:f>IF('Control Room'!$B$5="Normal",'Control Room'!$B$7+'Control Room'!$D$7*SQRT(-2*LN(MAX(0.000000000001,L639/2147483647)))*COS(2*PI()*M639/2147483647),'Control Room'!$B$8+('Control Room'!$D$8-'Control Room'!$B$8)*L639/2147483647)</x:f>
        <x:v>946.5042923801276</x:v>
      </x:c>
      <x:c r="O639" s="17" t="n">
        <x:f>IF('Control Room'!$B$5="Normal",'Control Room'!$B$7,('Control Room'!$B$8+'Control Room'!$D$8)/2)+'Control Room'!$B$9*(O638-IF('Control Room'!$B$5="Normal",'Control Room'!$B$7,('Control Room'!$B$8+'Control Room'!$D$8)/2))+SQRT(1-'Control Room'!$B$9^2)*(N639-IF('Control Room'!$B$5="Normal",'Control Room'!$B$7,('Control Room'!$B$8+'Control Room'!$D$8)/2))</x:f>
        <x:v>978.5590480344949</x:v>
      </x:c>
      <x:c r="P639" s="17" t="n">
        <x:f>IF(AND($A639&gt;='Control Room'!$A$13,$A639&lt;'Control Room'!$A$13+'Control Room'!$B$13,'Process'!BM2=1),1+('Control Room'!$C$13-1)*EXP(-0.5*(($A639-'Control Room'!$A$13-('Control Room'!$B$13-1)/2)/MAX(0.5,'Control Room'!$B$13/4))^2),1)*IF(AND($A639&gt;='Control Room'!$A$14,$A639&lt;'Control Room'!$A$14+'Control Room'!$B$14,'Process'!BM3=1),1+('Control Room'!$C$14-1)*EXP(-0.5*(($A639-'Control Room'!$A$14-('Control Room'!$B$14-1)/2)/MAX(0.5,'Control Room'!$B$14/4))^2),1)*IF(AND($A639&gt;='Control Room'!$A$15,$A639&lt;'Control Room'!$A$15+'Control Room'!$B$15,'Process'!BM4=1),1+('Control Room'!$C$15-1)*EXP(-0.5*(($A639-'Control Room'!$A$15-('Control Room'!$B$15-1)/2)/MAX(0.5,'Control Room'!$B$15/4))^2),1)*IF(AND($A639&gt;='Control Room'!$A$16,$A639&lt;'Control Room'!$A$16+'Control Room'!$B$16,'Process'!BM5=1),1+('Control Room'!$C$16-1)*EXP(-0.5*(($A639-'Control Room'!$A$16-('Control Room'!$B$16-1)/2)/MAX(0.5,'Control Room'!$B$16/4))^2),1)</x:f>
        <x:v>1</x:v>
      </x:c>
      <x:c r="Q639" s="9" t="n">
        <x:f>MOD(R638*16807,2147483647)</x:f>
        <x:v>1392822130</x:v>
      </x:c>
      <x:c r="R639" s="9" t="n">
        <x:f>MOD(Q639*16807,2147483647)</x:f>
        <x:v>1589786610</x:v>
      </x:c>
      <x:c r="S639" s="17" t="n">
        <x:f>IF('Control Room'!$B$5="Normal",'Control Room'!$B$7+'Control Room'!$D$7*SQRT(-2*LN(MAX(0.000000000001,Q639/2147483647)))*COS(2*PI()*R639/2147483647),'Control Room'!$B$8+('Control Room'!$D$8-'Control Room'!$B$8)*Q639/2147483647)</x:f>
        <x:v>994.899961229438</x:v>
      </x:c>
      <x:c r="T639" s="17" t="n">
        <x:f>IF('Control Room'!$B$5="Normal",'Control Room'!$B$7,('Control Room'!$B$8+'Control Room'!$D$8)/2)+'Control Room'!$B$9*(T638-IF('Control Room'!$B$5="Normal",'Control Room'!$B$7,('Control Room'!$B$8+'Control Room'!$D$8)/2))+SQRT(1-'Control Room'!$B$9^2)*(S639-IF('Control Room'!$B$5="Normal",'Control Room'!$B$7,('Control Room'!$B$8+'Control Room'!$D$8)/2))</x:f>
        <x:v>1061.2548452245344</x:v>
      </x:c>
      <x:c r="U639" s="17" t="n">
        <x:f>IF(AND($A639&gt;='Control Room'!$A$13,$A639&lt;'Control Room'!$A$13+'Control Room'!$B$13,'Process'!BN2=1),1+('Control Room'!$C$13-1)*EXP(-0.5*(($A639-'Control Room'!$A$13-('Control Room'!$B$13-1)/2)/MAX(0.5,'Control Room'!$B$13/4))^2),1)*IF(AND($A639&gt;='Control Room'!$A$14,$A639&lt;'Control Room'!$A$14+'Control Room'!$B$14,'Process'!BN3=1),1+('Control Room'!$C$14-1)*EXP(-0.5*(($A639-'Control Room'!$A$14-('Control Room'!$B$14-1)/2)/MAX(0.5,'Control Room'!$B$14/4))^2),1)*IF(AND($A639&gt;='Control Room'!$A$15,$A639&lt;'Control Room'!$A$15+'Control Room'!$B$15,'Process'!BN4=1),1+('Control Room'!$C$15-1)*EXP(-0.5*(($A639-'Control Room'!$A$15-('Control Room'!$B$15-1)/2)/MAX(0.5,'Control Room'!$B$15/4))^2),1)*IF(AND($A639&gt;='Control Room'!$A$16,$A639&lt;'Control Room'!$A$16+'Control Room'!$B$16,'Process'!BN5=1),1+('Control Room'!$C$16-1)*EXP(-0.5*(($A639-'Control Room'!$A$16-('Control Room'!$B$16-1)/2)/MAX(0.5,'Control Room'!$B$16/4))^2),1)</x:f>
        <x:v>1</x:v>
      </x:c>
      <x:c r="V639" s="9" t="n">
        <x:f>MOD(W638*16807,2147483647)</x:f>
        <x:v>986407194</x:v>
      </x:c>
      <x:c r="W639" s="9" t="n">
        <x:f>MOD(V639*16807,2147483647)</x:f>
        <x:v>2119438365</x:v>
      </x:c>
      <x:c r="X639" s="17" t="n">
        <x:f>IF('Control Room'!$B$5="Normal",'Control Room'!$B$7+'Control Room'!$D$7*SQRT(-2*LN(MAX(0.000000000001,V639/2147483647)))*COS(2*PI()*W639/2147483647),'Control Room'!$B$8+('Control Room'!$D$8-'Control Room'!$B$8)*V639/2147483647)</x:f>
        <x:v>1111.8867786473213</x:v>
      </x:c>
      <x:c r="Y639" s="17" t="n">
        <x:f>IF('Control Room'!$B$5="Normal",'Control Room'!$B$7,('Control Room'!$B$8+'Control Room'!$D$8)/2)+'Control Room'!$B$9*(Y638-IF('Control Room'!$B$5="Normal",'Control Room'!$B$7,('Control Room'!$B$8+'Control Room'!$D$8)/2))+SQRT(1-'Control Room'!$B$9^2)*(X639-IF('Control Room'!$B$5="Normal",'Control Room'!$B$7,('Control Room'!$B$8+'Control Room'!$D$8)/2))</x:f>
        <x:v>1181.7430429798264</x:v>
      </x:c>
      <x:c r="Z639" s="17" t="n">
        <x:f>IF(AND($A639&gt;='Control Room'!$A$13,$A639&lt;'Control Room'!$A$13+'Control Room'!$B$13,'Process'!BO2=1),1+('Control Room'!$C$13-1)*EXP(-0.5*(($A639-'Control Room'!$A$13-('Control Room'!$B$13-1)/2)/MAX(0.5,'Control Room'!$B$13/4))^2),1)*IF(AND($A639&gt;='Control Room'!$A$14,$A639&lt;'Control Room'!$A$14+'Control Room'!$B$14,'Process'!BO3=1),1+('Control Room'!$C$14-1)*EXP(-0.5*(($A639-'Control Room'!$A$14-('Control Room'!$B$14-1)/2)/MAX(0.5,'Control Room'!$B$14/4))^2),1)*IF(AND($A639&gt;='Control Room'!$A$15,$A639&lt;'Control Room'!$A$15+'Control Room'!$B$15,'Process'!BO4=1),1+('Control Room'!$C$15-1)*EXP(-0.5*(($A639-'Control Room'!$A$15-('Control Room'!$B$15-1)/2)/MAX(0.5,'Control Room'!$B$15/4))^2),1)*IF(AND($A639&gt;='Control Room'!$A$16,$A639&lt;'Control Room'!$A$16+'Control Room'!$B$16,'Process'!BO5=1),1+('Control Room'!$C$16-1)*EXP(-0.5*(($A639-'Control Room'!$A$16-('Control Room'!$B$16-1)/2)/MAX(0.5,'Control Room'!$B$16/4))^2),1)</x:f>
        <x:v>1</x:v>
      </x:c>
      <x:c r="AA639" s="9" t="n">
        <x:f>MOD(AB638*16807,2147483647)</x:f>
        <x:v>579992258</x:v>
      </x:c>
      <x:c r="AB639" s="9" t="n">
        <x:f>MOD(AA639*16807,2147483647)</x:f>
        <x:v>501606473</x:v>
      </x:c>
      <x:c r="AC639" s="17" t="n">
        <x:f>IF('Control Room'!$B$5="Normal",'Control Room'!$B$7+'Control Room'!$D$7*SQRT(-2*LN(MAX(0.000000000001,AA639/2147483647)))*COS(2*PI()*AB639/2147483647),'Control Room'!$B$8+('Control Room'!$D$8-'Control Room'!$B$8)*AA639/2147483647)</x:f>
        <x:v>1014.9985632876487</x:v>
      </x:c>
      <x:c r="AD639" s="17" t="n">
        <x:f>IF('Control Room'!$B$5="Normal",'Control Room'!$B$7,('Control Room'!$B$8+'Control Room'!$D$8)/2)+'Control Room'!$B$9*(AD638-IF('Control Room'!$B$5="Normal",'Control Room'!$B$7,('Control Room'!$B$8+'Control Room'!$D$8)/2))+SQRT(1-'Control Room'!$B$9^2)*(AC639-IF('Control Room'!$B$5="Normal",'Control Room'!$B$7,('Control Room'!$B$8+'Control Room'!$D$8)/2))</x:f>
        <x:v>1020.5235839810246</x:v>
      </x:c>
      <x:c r="AE639" s="17" t="n">
        <x:f>IF(AND($A639&gt;='Control Room'!$A$13,$A639&lt;'Control Room'!$A$13+'Control Room'!$B$13,'Process'!BP2=1),1+('Control Room'!$C$13-1)*EXP(-0.5*(($A639-'Control Room'!$A$13-('Control Room'!$B$13-1)/2)/MAX(0.5,'Control Room'!$B$13/4))^2),1)*IF(AND($A639&gt;='Control Room'!$A$14,$A639&lt;'Control Room'!$A$14+'Control Room'!$B$14,'Process'!BP3=1),1+('Control Room'!$C$14-1)*EXP(-0.5*(($A639-'Control Room'!$A$14-('Control Room'!$B$14-1)/2)/MAX(0.5,'Control Room'!$B$14/4))^2),1)*IF(AND($A639&gt;='Control Room'!$A$15,$A639&lt;'Control Room'!$A$15+'Control Room'!$B$15,'Process'!BP4=1),1+('Control Room'!$C$15-1)*EXP(-0.5*(($A639-'Control Room'!$A$15-('Control Room'!$B$15-1)/2)/MAX(0.5,'Control Room'!$B$15/4))^2),1)*IF(AND($A639&gt;='Control Room'!$A$16,$A639&lt;'Control Room'!$A$16+'Control Room'!$B$16,'Process'!BP5=1),1+('Control Room'!$C$16-1)*EXP(-0.5*(($A639-'Control Room'!$A$16-('Control Room'!$B$16-1)/2)/MAX(0.5,'Control Room'!$B$16/4))^2),1)</x:f>
        <x:v>1</x:v>
      </x:c>
      <x:c r="AF639" s="9" t="n">
        <x:f>MOD(AG638*16807,2147483647)</x:f>
        <x:v>173577322</x:v>
      </x:c>
      <x:c r="AG639" s="9" t="n">
        <x:f>MOD(AF639*16807,2147483647)</x:f>
        <x:v>1031258228</x:v>
      </x:c>
      <x:c r="AH639" s="17" t="n">
        <x:f>IF('Control Room'!$B$5="Normal",'Control Room'!$B$7+'Control Room'!$D$7*SQRT(-2*LN(MAX(0.000000000001,AF639/2147483647)))*COS(2*PI()*AG639/2147483647),'Control Room'!$B$8+('Control Room'!$D$8-'Control Room'!$B$8)*AF639/2147483647)</x:f>
        <x:v>799.6912965430755</x:v>
      </x:c>
      <x:c r="AI639" s="17" t="n">
        <x:f>IF('Control Room'!$B$5="Normal",'Control Room'!$B$7,('Control Room'!$B$8+'Control Room'!$D$8)/2)+'Control Room'!$B$9*(AI638-IF('Control Room'!$B$5="Normal",'Control Room'!$B$7,('Control Room'!$B$8+'Control Room'!$D$8)/2))+SQRT(1-'Control Room'!$B$9^2)*(AH639-IF('Control Room'!$B$5="Normal",'Control Room'!$B$7,('Control Room'!$B$8+'Control Room'!$D$8)/2))</x:f>
        <x:v>863.6486437862427</x:v>
      </x:c>
      <x:c r="AJ639" s="17" t="n">
        <x:f>IF(AND($A639&gt;='Control Room'!$A$13,$A639&lt;'Control Room'!$A$13+'Control Room'!$B$13,'Process'!BQ2=1),1+('Control Room'!$C$13-1)*EXP(-0.5*(($A639-'Control Room'!$A$13-('Control Room'!$B$13-1)/2)/MAX(0.5,'Control Room'!$B$13/4))^2),1)*IF(AND($A639&gt;='Control Room'!$A$14,$A639&lt;'Control Room'!$A$14+'Control Room'!$B$14,'Process'!BQ3=1),1+('Control Room'!$C$14-1)*EXP(-0.5*(($A639-'Control Room'!$A$14-('Control Room'!$B$14-1)/2)/MAX(0.5,'Control Room'!$B$14/4))^2),1)*IF(AND($A639&gt;='Control Room'!$A$15,$A639&lt;'Control Room'!$A$15+'Control Room'!$B$15,'Process'!BQ4=1),1+('Control Room'!$C$15-1)*EXP(-0.5*(($A639-'Control Room'!$A$15-('Control Room'!$B$15-1)/2)/MAX(0.5,'Control Room'!$B$15/4))^2),1)*IF(AND($A639&gt;='Control Room'!$A$16,$A639&lt;'Control Room'!$A$16+'Control Room'!$B$16,'Process'!BQ5=1),1+('Control Room'!$C$16-1)*EXP(-0.5*(($A639-'Control Room'!$A$16-('Control Room'!$B$16-1)/2)/MAX(0.5,'Control Room'!$B$16/4))^2),1)</x:f>
        <x:v>1</x:v>
      </x:c>
      <x:c r="AK639" s="9" t="n">
        <x:f>MOD(AL638*16807,2147483647)</x:f>
        <x:v>1914646033</x:v>
      </x:c>
      <x:c r="AL639" s="9" t="n">
        <x:f>MOD(AK639*16807,2147483647)</x:f>
        <x:v>1560909983</x:v>
      </x:c>
      <x:c r="AM639" s="17" t="n">
        <x:f>IF('Control Room'!$B$5="Normal",'Control Room'!$B$7+'Control Room'!$D$7*SQRT(-2*LN(MAX(0.000000000001,AK639/2147483647)))*COS(2*PI()*AL639/2147483647),'Control Room'!$B$8+('Control Room'!$D$8-'Control Room'!$B$8)*AK639/2147483647)</x:f>
        <x:v>993.7517416177171</x:v>
      </x:c>
      <x:c r="AN639" s="17" t="n">
        <x:f>IF('Control Room'!$B$5="Normal",'Control Room'!$B$7,('Control Room'!$B$8+'Control Room'!$D$8)/2)+'Control Room'!$B$9*(AN638-IF('Control Room'!$B$5="Normal",'Control Room'!$B$7,('Control Room'!$B$8+'Control Room'!$D$8)/2))+SQRT(1-'Control Room'!$B$9^2)*(AM639-IF('Control Room'!$B$5="Normal",'Control Room'!$B$7,('Control Room'!$B$8+'Control Room'!$D$8)/2))</x:f>
        <x:v>1006.4258492526387</x:v>
      </x:c>
      <x:c r="AO639" s="17" t="n">
        <x:f>IF(AND($A639&gt;='Control Room'!$A$13,$A639&lt;'Control Room'!$A$13+'Control Room'!$B$13,'Process'!BR2=1),1+('Control Room'!$C$13-1)*EXP(-0.5*(($A639-'Control Room'!$A$13-('Control Room'!$B$13-1)/2)/MAX(0.5,'Control Room'!$B$13/4))^2),1)*IF(AND($A639&gt;='Control Room'!$A$14,$A639&lt;'Control Room'!$A$14+'Control Room'!$B$14,'Process'!BR3=1),1+('Control Room'!$C$14-1)*EXP(-0.5*(($A639-'Control Room'!$A$14-('Control Room'!$B$14-1)/2)/MAX(0.5,'Control Room'!$B$14/4))^2),1)*IF(AND($A639&gt;='Control Room'!$A$15,$A639&lt;'Control Room'!$A$15+'Control Room'!$B$15,'Process'!BR4=1),1+('Control Room'!$C$15-1)*EXP(-0.5*(($A639-'Control Room'!$A$15-('Control Room'!$B$15-1)/2)/MAX(0.5,'Control Room'!$B$15/4))^2),1)*IF(AND($A639&gt;='Control Room'!$A$16,$A639&lt;'Control Room'!$A$16+'Control Room'!$B$16,'Process'!BR5=1),1+('Control Room'!$C$16-1)*EXP(-0.5*(($A639-'Control Room'!$A$16-('Control Room'!$B$16-1)/2)/MAX(0.5,'Control Room'!$B$16/4))^2),1)</x:f>
        <x:v>1</x:v>
      </x:c>
      <x:c r="AP639" s="9" t="n">
        <x:f>MOD(AQ638*16807,2147483647)</x:f>
        <x:v>1508231097</x:v>
      </x:c>
      <x:c r="AQ639" s="9" t="n">
        <x:f>MOD(AP639*16807,2147483647)</x:f>
        <x:v>2090561738</x:v>
      </x:c>
      <x:c r="AR639" s="17" t="n">
        <x:f>IF('Control Room'!$B$5="Normal",'Control Room'!$B$7+'Control Room'!$D$7*SQRT(-2*LN(MAX(0.000000000001,AP639/2147483647)))*COS(2*PI()*AQ639/2147483647),'Control Room'!$B$8+('Control Room'!$D$8-'Control Room'!$B$8)*AP639/2147483647)</x:f>
        <x:v>1074.61303161885</x:v>
      </x:c>
      <x:c r="AS639" s="17" t="n">
        <x:f>IF('Control Room'!$B$5="Normal",'Control Room'!$B$7,('Control Room'!$B$8+'Control Room'!$D$8)/2)+'Control Room'!$B$9*(AS638-IF('Control Room'!$B$5="Normal",'Control Room'!$B$7,('Control Room'!$B$8+'Control Room'!$D$8)/2))+SQRT(1-'Control Room'!$B$9^2)*(AR639-IF('Control Room'!$B$5="Normal",'Control Room'!$B$7,('Control Room'!$B$8+'Control Room'!$D$8)/2))</x:f>
        <x:v>1032.9569061520033</x:v>
      </x:c>
      <x:c r="AT639" s="17" t="n">
        <x:f>IF(AND($A639&gt;='Control Room'!$A$13,$A639&lt;'Control Room'!$A$13+'Control Room'!$B$13,'Process'!BS2=1),1+('Control Room'!$C$13-1)*EXP(-0.5*(($A639-'Control Room'!$A$13-('Control Room'!$B$13-1)/2)/MAX(0.5,'Control Room'!$B$13/4))^2),1)*IF(AND($A639&gt;='Control Room'!$A$14,$A639&lt;'Control Room'!$A$14+'Control Room'!$B$14,'Process'!BS3=1),1+('Control Room'!$C$14-1)*EXP(-0.5*(($A639-'Control Room'!$A$14-('Control Room'!$B$14-1)/2)/MAX(0.5,'Control Room'!$B$14/4))^2),1)*IF(AND($A639&gt;='Control Room'!$A$15,$A639&lt;'Control Room'!$A$15+'Control Room'!$B$15,'Process'!BS4=1),1+('Control Room'!$C$15-1)*EXP(-0.5*(($A639-'Control Room'!$A$15-('Control Room'!$B$15-1)/2)/MAX(0.5,'Control Room'!$B$15/4))^2),1)*IF(AND($A639&gt;='Control Room'!$A$16,$A639&lt;'Control Room'!$A$16+'Control Room'!$B$16,'Process'!BS5=1),1+('Control Room'!$C$16-1)*EXP(-0.5*(($A639-'Control Room'!$A$16-('Control Room'!$B$16-1)/2)/MAX(0.5,'Control Room'!$B$16/4))^2),1)</x:f>
        <x:v>1</x:v>
      </x:c>
      <x:c r="AU639" s="9" t="n">
        <x:f>MOD(AV638*16807,2147483647)</x:f>
        <x:v>1101816161</x:v>
      </x:c>
      <x:c r="AV639" s="9" t="n">
        <x:f>MOD(AU639*16807,2147483647)</x:f>
        <x:v>472729846</x:v>
      </x:c>
      <x:c r="AW639" s="17" t="n">
        <x:f>IF('Control Room'!$B$5="Normal",'Control Room'!$B$7+'Control Room'!$D$7*SQRT(-2*LN(MAX(0.000000000001,AU639/2147483647)))*COS(2*PI()*AV639/2147483647),'Control Room'!$B$8+('Control Room'!$D$8-'Control Room'!$B$8)*AU639/2147483647)</x:f>
        <x:v>1019.3983164194935</x:v>
      </x:c>
      <x:c r="AX639" s="17" t="n">
        <x:f>IF('Control Room'!$B$5="Normal",'Control Room'!$B$7,('Control Room'!$B$8+'Control Room'!$D$8)/2)+'Control Room'!$B$9*(AX638-IF('Control Room'!$B$5="Normal",'Control Room'!$B$7,('Control Room'!$B$8+'Control Room'!$D$8)/2))+SQRT(1-'Control Room'!$B$9^2)*(AW639-IF('Control Room'!$B$5="Normal",'Control Room'!$B$7,('Control Room'!$B$8+'Control Room'!$D$8)/2))</x:f>
        <x:v>945.1548372589099</x:v>
      </x:c>
      <x:c r="AY639" s="17" t="n">
        <x:f>IF(AND($A639&gt;='Control Room'!$A$13,$A639&lt;'Control Room'!$A$13+'Control Room'!$B$13,'Process'!BT2=1),1+('Control Room'!$C$13-1)*EXP(-0.5*(($A639-'Control Room'!$A$13-('Control Room'!$B$13-1)/2)/MAX(0.5,'Control Room'!$B$13/4))^2),1)*IF(AND($A639&gt;='Control Room'!$A$14,$A639&lt;'Control Room'!$A$14+'Control Room'!$B$14,'Process'!BT3=1),1+('Control Room'!$C$14-1)*EXP(-0.5*(($A639-'Control Room'!$A$14-('Control Room'!$B$14-1)/2)/MAX(0.5,'Control Room'!$B$14/4))^2),1)*IF(AND($A639&gt;='Control Room'!$A$15,$A639&lt;'Control Room'!$A$15+'Control Room'!$B$15,'Process'!BT4=1),1+('Control Room'!$C$15-1)*EXP(-0.5*(($A639-'Control Room'!$A$15-('Control Room'!$B$15-1)/2)/MAX(0.5,'Control Room'!$B$15/4))^2),1)*IF(AND($A639&gt;='Control Room'!$A$16,$A639&lt;'Control Room'!$A$16+'Control Room'!$B$16,'Process'!BT5=1),1+('Control Room'!$C$16-1)*EXP(-0.5*(($A639-'Control Room'!$A$16-('Control Room'!$B$16-1)/2)/MAX(0.5,'Control Room'!$B$16/4))^2),1)</x:f>
        <x:v>1</x:v>
      </x:c>
      <x:c r="AZ639" s="9" t="n">
        <x:f>MOD(BA638*16807,2147483647)</x:f>
        <x:v>695401225</x:v>
      </x:c>
      <x:c r="BA639" s="9" t="n">
        <x:f>MOD(AZ639*16807,2147483647)</x:f>
        <x:v>1002381601</x:v>
      </x:c>
      <x:c r="BB639" s="17" t="n">
        <x:f>IF('Control Room'!$B$5="Normal",'Control Room'!$B$7+'Control Room'!$D$7*SQRT(-2*LN(MAX(0.000000000001,AZ639/2147483647)))*COS(2*PI()*BA639/2147483647),'Control Room'!$B$8+('Control Room'!$D$8-'Control Room'!$B$8)*AZ639/2147483647)</x:f>
        <x:v>867.7814660963147</x:v>
      </x:c>
      <x:c r="BC639" s="17" t="n">
        <x:f>IF('Control Room'!$B$5="Normal",'Control Room'!$B$7,('Control Room'!$B$8+'Control Room'!$D$8)/2)+'Control Room'!$B$9*(BC638-IF('Control Room'!$B$5="Normal",'Control Room'!$B$7,('Control Room'!$B$8+'Control Room'!$D$8)/2))+SQRT(1-'Control Room'!$B$9^2)*(BB639-IF('Control Room'!$B$5="Normal",'Control Room'!$B$7,('Control Room'!$B$8+'Control Room'!$D$8)/2))</x:f>
        <x:v>897.2038378376772</x:v>
      </x:c>
      <x:c r="BD639" s="17" t="n">
        <x:f>IF(AND($A639&gt;='Control Room'!$A$13,$A639&lt;'Control Room'!$A$13+'Control Room'!$B$13,'Process'!BU2=1),1+('Control Room'!$C$13-1)*EXP(-0.5*(($A639-'Control Room'!$A$13-('Control Room'!$B$13-1)/2)/MAX(0.5,'Control Room'!$B$13/4))^2),1)*IF(AND($A639&gt;='Control Room'!$A$14,$A639&lt;'Control Room'!$A$14+'Control Room'!$B$14,'Process'!BU3=1),1+('Control Room'!$C$14-1)*EXP(-0.5*(($A639-'Control Room'!$A$14-('Control Room'!$B$14-1)/2)/MAX(0.5,'Control Room'!$B$14/4))^2),1)*IF(AND($A639&gt;='Control Room'!$A$15,$A639&lt;'Control Room'!$A$15+'Control Room'!$B$15,'Process'!BU4=1),1+('Control Room'!$C$15-1)*EXP(-0.5*(($A639-'Control Room'!$A$15-('Control Room'!$B$15-1)/2)/MAX(0.5,'Control Room'!$B$15/4))^2),1)*IF(AND($A639&gt;='Control Room'!$A$16,$A639&lt;'Control Room'!$A$16+'Control Room'!$B$16,'Process'!BU5=1),1+('Control Room'!$C$16-1)*EXP(-0.5*(($A639-'Control Room'!$A$16-('Control Room'!$B$16-1)/2)/MAX(0.5,'Control Room'!$B$16/4))^2),1)</x:f>
        <x:v>1</x:v>
      </x:c>
      <x:c r="BE639" s="9" t="n">
        <x:f>MOD(BF638*16807,2147483647)</x:f>
        <x:v>288986289</x:v>
      </x:c>
      <x:c r="BF639" s="9" t="n">
        <x:f>MOD(BE639*16807,2147483647)</x:f>
        <x:v>1532033356</x:v>
      </x:c>
      <x:c r="BG639" s="17" t="n">
        <x:f>IF('Control Room'!$B$5="Normal",'Control Room'!$B$7+'Control Room'!$D$7*SQRT(-2*LN(MAX(0.000000000001,BE639/2147483647)))*COS(2*PI()*BF639/2147483647),'Control Room'!$B$8+('Control Room'!$D$8-'Control Room'!$B$8)*BE639/2147483647)</x:f>
        <x:v>958.9216174364568</x:v>
      </x:c>
      <x:c r="BH639" s="17" t="n">
        <x:f>IF('Control Room'!$B$5="Normal",'Control Room'!$B$7,('Control Room'!$B$8+'Control Room'!$D$8)/2)+'Control Room'!$B$9*(BH638-IF('Control Room'!$B$5="Normal",'Control Room'!$B$7,('Control Room'!$B$8+'Control Room'!$D$8)/2))+SQRT(1-'Control Room'!$B$9^2)*(BG639-IF('Control Room'!$B$5="Normal",'Control Room'!$B$7,('Control Room'!$B$8+'Control Room'!$D$8)/2))</x:f>
        <x:v>1015.8878289006759</x:v>
      </x:c>
      <x:c r="BI639" s="17" t="n">
        <x:f>IF(AND($A639&gt;='Control Room'!$A$13,$A639&lt;'Control Room'!$A$13+'Control Room'!$B$13,'Process'!BV2=1),1+('Control Room'!$C$13-1)*EXP(-0.5*(($A639-'Control Room'!$A$13-('Control Room'!$B$13-1)/2)/MAX(0.5,'Control Room'!$B$13/4))^2),1)*IF(AND($A639&gt;='Control Room'!$A$14,$A639&lt;'Control Room'!$A$14+'Control Room'!$B$14,'Process'!BV3=1),1+('Control Room'!$C$14-1)*EXP(-0.5*(($A639-'Control Room'!$A$14-('Control Room'!$B$14-1)/2)/MAX(0.5,'Control Room'!$B$14/4))^2),1)*IF(AND($A639&gt;='Control Room'!$A$15,$A639&lt;'Control Room'!$A$15+'Control Room'!$B$15,'Process'!BV4=1),1+('Control Room'!$C$15-1)*EXP(-0.5*(($A639-'Control Room'!$A$15-('Control Room'!$B$15-1)/2)/MAX(0.5,'Control Room'!$B$15/4))^2),1)*IF(AND($A639&gt;='Control Room'!$A$16,$A639&lt;'Control Room'!$A$16+'Control Room'!$B$16,'Process'!BV5=1),1+('Control Room'!$C$16-1)*EXP(-0.5*(($A639-'Control Room'!$A$16-('Control Room'!$B$16-1)/2)/MAX(0.5,'Control Room'!$B$16/4))^2),1)</x:f>
        <x:v>1</x:v>
      </x:c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Z639" t="str">
        <x:f>IF('Data'!A639="","",TEXT('Data'!A639,"mm-dd"))</x:f>
      </x:c>
    </x:row>
    <x:row r="640" ht="21" customHeight="1">
      <x:c r="A640" s="15" t="n">
        <x:f>'Control Room'!$B$1+638</x:f>
        <x:v>73629</x:v>
      </x:c>
      <x:c r="B640" s="9" t="n">
        <x:f>MOD(C639*16807,2147483647)</x:f>
        <x:v>1087513533</x:v>
      </x:c>
      <x:c r="C640" s="9" t="n">
        <x:f>MOD(B640*16807,2147483647)</x:f>
        <x:v>606629514</x:v>
      </x:c>
      <x:c r="D640" s="17" t="n">
        <x:f>IF('Control Room'!$B$5="Normal",'Control Room'!$B$7+'Control Room'!$D$7*SQRT(-2*LN(MAX(0.000000000001,B640/2147483647)))*COS(2*PI()*C640/2147483647),'Control Room'!$B$8+('Control Room'!$D$8-'Control Room'!$B$8)*B640/2147483647)</x:f>
        <x:v>978.7201358157386</x:v>
      </x:c>
      <x:c r="E640" s="17" t="n">
        <x:f>IF('Control Room'!$B$5="Normal",'Control Room'!$B$7,('Control Room'!$B$8+'Control Room'!$D$8)/2)+'Control Room'!$B$9*(E639-IF('Control Room'!$B$5="Normal",'Control Room'!$B$7,('Control Room'!$B$8+'Control Room'!$D$8)/2))+SQRT(1-'Control Room'!$B$9^2)*(D640-IF('Control Room'!$B$5="Normal",'Control Room'!$B$7,('Control Room'!$B$8+'Control Room'!$D$8)/2))</x:f>
        <x:v>1222.0699901277853</x:v>
      </x:c>
      <x:c r="F640" s="17" t="n">
        <x:f>IF(AND($A640&gt;='Control Room'!$A$13,$A640&lt;'Control Room'!$A$13+'Control Room'!$B$13,'Process'!BK2=1),1+('Control Room'!$C$13-1)*EXP(-0.5*(($A640-'Control Room'!$A$13-('Control Room'!$B$13-1)/2)/MAX(0.5,'Control Room'!$B$13/4))^2),1)*IF(AND($A640&gt;='Control Room'!$A$14,$A640&lt;'Control Room'!$A$14+'Control Room'!$B$14,'Process'!BK3=1),1+('Control Room'!$C$14-1)*EXP(-0.5*(($A640-'Control Room'!$A$14-('Control Room'!$B$14-1)/2)/MAX(0.5,'Control Room'!$B$14/4))^2),1)*IF(AND($A640&gt;='Control Room'!$A$15,$A640&lt;'Control Room'!$A$15+'Control Room'!$B$15,'Process'!BK4=1),1+('Control Room'!$C$15-1)*EXP(-0.5*(($A640-'Control Room'!$A$15-('Control Room'!$B$15-1)/2)/MAX(0.5,'Control Room'!$B$15/4))^2),1)*IF(AND($A640&gt;='Control Room'!$A$16,$A640&lt;'Control Room'!$A$16+'Control Room'!$B$16,'Process'!BK5=1),1+('Control Room'!$C$16-1)*EXP(-0.5*(($A640-'Control Room'!$A$16-('Control Room'!$B$16-1)/2)/MAX(0.5,'Control Room'!$B$16/4))^2),1)</x:f>
        <x:v>1</x:v>
      </x:c>
      <x:c r="G640" s="9" t="n">
        <x:f>MOD(H639*16807,2147483647)</x:f>
        <x:v>1624843003</x:v>
      </x:c>
      <x:c r="H640" s="9" t="n">
        <x:f>MOD(G640*16807,2147483647)</x:f>
        <x:v>1334296169</x:v>
      </x:c>
      <x:c r="I640" s="17" t="n">
        <x:f>IF('Control Room'!$B$5="Normal",'Control Room'!$B$7+'Control Room'!$D$7*SQRT(-2*LN(MAX(0.000000000001,G640/2147483647)))*COS(2*PI()*H640/2147483647),'Control Room'!$B$8+('Control Room'!$D$8-'Control Room'!$B$8)*G640/2147483647)</x:f>
        <x:v>951.3881216495113</x:v>
      </x:c>
      <x:c r="J640" s="17" t="n">
        <x:f>IF('Control Room'!$B$5="Normal",'Control Room'!$B$7,('Control Room'!$B$8+'Control Room'!$D$8)/2)+'Control Room'!$B$9*(J639-IF('Control Room'!$B$5="Normal",'Control Room'!$B$7,('Control Room'!$B$8+'Control Room'!$D$8)/2))+SQRT(1-'Control Room'!$B$9^2)*(I640-IF('Control Room'!$B$5="Normal",'Control Room'!$B$7,('Control Room'!$B$8+'Control Room'!$D$8)/2))</x:f>
        <x:v>966.9127403128947</x:v>
      </x:c>
      <x:c r="K640" s="17" t="n">
        <x:f>IF(AND($A640&gt;='Control Room'!$A$13,$A640&lt;'Control Room'!$A$13+'Control Room'!$B$13,'Process'!BL2=1),1+('Control Room'!$C$13-1)*EXP(-0.5*(($A640-'Control Room'!$A$13-('Control Room'!$B$13-1)/2)/MAX(0.5,'Control Room'!$B$13/4))^2),1)*IF(AND($A640&gt;='Control Room'!$A$14,$A640&lt;'Control Room'!$A$14+'Control Room'!$B$14,'Process'!BL3=1),1+('Control Room'!$C$14-1)*EXP(-0.5*(($A640-'Control Room'!$A$14-('Control Room'!$B$14-1)/2)/MAX(0.5,'Control Room'!$B$14/4))^2),1)*IF(AND($A640&gt;='Control Room'!$A$15,$A640&lt;'Control Room'!$A$15+'Control Room'!$B$15,'Process'!BL4=1),1+('Control Room'!$C$15-1)*EXP(-0.5*(($A640-'Control Room'!$A$15-('Control Room'!$B$15-1)/2)/MAX(0.5,'Control Room'!$B$15/4))^2),1)*IF(AND($A640&gt;='Control Room'!$A$16,$A640&lt;'Control Room'!$A$16+'Control Room'!$B$16,'Process'!BL5=1),1+('Control Room'!$C$16-1)*EXP(-0.5*(($A640-'Control Room'!$A$16-('Control Room'!$B$16-1)/2)/MAX(0.5,'Control Room'!$B$16/4))^2),1)</x:f>
        <x:v>1</x:v>
      </x:c>
      <x:c r="L640" s="9" t="n">
        <x:f>MOD(M639*16807,2147483647)</x:f>
        <x:v>14688826</x:v>
      </x:c>
      <x:c r="M640" s="9" t="n">
        <x:f>MOD(L640*16807,2147483647)</x:f>
        <x:v>2061962824</x:v>
      </x:c>
      <x:c r="N640" s="17" t="n">
        <x:f>IF('Control Room'!$B$5="Normal",'Control Room'!$B$7+'Control Room'!$D$7*SQRT(-2*LN(MAX(0.000000000001,L640/2147483647)))*COS(2*PI()*M640/2147483647),'Control Room'!$B$8+('Control Room'!$D$8-'Control Room'!$B$8)*L640/2147483647)</x:f>
        <x:v>1275.3269272448886</x:v>
      </x:c>
      <x:c r="O640" s="17" t="n">
        <x:f>IF('Control Room'!$B$5="Normal",'Control Room'!$B$7,('Control Room'!$B$8+'Control Room'!$D$8)/2)+'Control Room'!$B$9*(O639-IF('Control Room'!$B$5="Normal",'Control Room'!$B$7,('Control Room'!$B$8+'Control Room'!$D$8)/2))+SQRT(1-'Control Room'!$B$9^2)*(N640-IF('Control Room'!$B$5="Normal",'Control Room'!$B$7,('Control Room'!$B$8+'Control Room'!$D$8)/2))</x:f>
        <x:v>1155.5700081580708</x:v>
      </x:c>
      <x:c r="P640" s="17" t="n">
        <x:f>IF(AND($A640&gt;='Control Room'!$A$13,$A640&lt;'Control Room'!$A$13+'Control Room'!$B$13,'Process'!BM2=1),1+('Control Room'!$C$13-1)*EXP(-0.5*(($A640-'Control Room'!$A$13-('Control Room'!$B$13-1)/2)/MAX(0.5,'Control Room'!$B$13/4))^2),1)*IF(AND($A640&gt;='Control Room'!$A$14,$A640&lt;'Control Room'!$A$14+'Control Room'!$B$14,'Process'!BM3=1),1+('Control Room'!$C$14-1)*EXP(-0.5*(($A640-'Control Room'!$A$14-('Control Room'!$B$14-1)/2)/MAX(0.5,'Control Room'!$B$14/4))^2),1)*IF(AND($A640&gt;='Control Room'!$A$15,$A640&lt;'Control Room'!$A$15+'Control Room'!$B$15,'Process'!BM4=1),1+('Control Room'!$C$15-1)*EXP(-0.5*(($A640-'Control Room'!$A$15-('Control Room'!$B$15-1)/2)/MAX(0.5,'Control Room'!$B$15/4))^2),1)*IF(AND($A640&gt;='Control Room'!$A$16,$A640&lt;'Control Room'!$A$16+'Control Room'!$B$16,'Process'!BM5=1),1+('Control Room'!$C$16-1)*EXP(-0.5*(($A640-'Control Room'!$A$16-('Control Room'!$B$16-1)/2)/MAX(0.5,'Control Room'!$B$16/4))^2),1)</x:f>
        <x:v>1</x:v>
      </x:c>
      <x:c r="Q640" s="9" t="n">
        <x:f>MOD(R639*16807,2147483647)</x:f>
        <x:v>552018296</x:v>
      </x:c>
      <x:c r="R640" s="9" t="n">
        <x:f>MOD(Q640*16807,2147483647)</x:f>
        <x:v>642145832</x:v>
      </x:c>
      <x:c r="S640" s="17" t="n">
        <x:f>IF('Control Room'!$B$5="Normal",'Control Room'!$B$7+'Control Room'!$D$7*SQRT(-2*LN(MAX(0.000000000001,Q640/2147483647)))*COS(2*PI()*R640/2147483647),'Control Room'!$B$8+('Control Room'!$D$8-'Control Room'!$B$8)*Q640/2147483647)</x:f>
        <x:v>955.025277454509</x:v>
      </x:c>
      <x:c r="T640" s="17" t="n">
        <x:f>IF('Control Room'!$B$5="Normal",'Control Room'!$B$7,('Control Room'!$B$8+'Control Room'!$D$8)/2)+'Control Room'!$B$9*(T639-IF('Control Room'!$B$5="Normal",'Control Room'!$B$7,('Control Room'!$B$8+'Control Room'!$D$8)/2))+SQRT(1-'Control Room'!$B$9^2)*(S640-IF('Control Room'!$B$5="Normal",'Control Room'!$B$7,('Control Room'!$B$8+'Control Room'!$D$8)/2))</x:f>
        <x:v>1019.6345192634402</x:v>
      </x:c>
      <x:c r="U640" s="17" t="n">
        <x:f>IF(AND($A640&gt;='Control Room'!$A$13,$A640&lt;'Control Room'!$A$13+'Control Room'!$B$13,'Process'!BN2=1),1+('Control Room'!$C$13-1)*EXP(-0.5*(($A640-'Control Room'!$A$13-('Control Room'!$B$13-1)/2)/MAX(0.5,'Control Room'!$B$13/4))^2),1)*IF(AND($A640&gt;='Control Room'!$A$14,$A640&lt;'Control Room'!$A$14+'Control Room'!$B$14,'Process'!BN3=1),1+('Control Room'!$C$14-1)*EXP(-0.5*(($A640-'Control Room'!$A$14-('Control Room'!$B$14-1)/2)/MAX(0.5,'Control Room'!$B$14/4))^2),1)*IF(AND($A640&gt;='Control Room'!$A$15,$A640&lt;'Control Room'!$A$15+'Control Room'!$B$15,'Process'!BN4=1),1+('Control Room'!$C$15-1)*EXP(-0.5*(($A640-'Control Room'!$A$15-('Control Room'!$B$15-1)/2)/MAX(0.5,'Control Room'!$B$15/4))^2),1)*IF(AND($A640&gt;='Control Room'!$A$16,$A640&lt;'Control Room'!$A$16+'Control Room'!$B$16,'Process'!BN5=1),1+('Control Room'!$C$16-1)*EXP(-0.5*(($A640-'Control Room'!$A$16-('Control Room'!$B$16-1)/2)/MAX(0.5,'Control Room'!$B$16/4))^2),1)</x:f>
        <x:v>1</x:v>
      </x:c>
      <x:c r="V640" s="9" t="n">
        <x:f>MOD(W639*16807,2147483647)</x:f>
        <x:v>1089347766</x:v>
      </x:c>
      <x:c r="W640" s="9" t="n">
        <x:f>MOD(V640*16807,2147483647)</x:f>
        <x:v>1369812487</x:v>
      </x:c>
      <x:c r="X640" s="17" t="n">
        <x:f>IF('Control Room'!$B$5="Normal",'Control Room'!$B$7+'Control Room'!$D$7*SQRT(-2*LN(MAX(0.000000000001,V640/2147483647)))*COS(2*PI()*W640/2147483647),'Control Room'!$B$8+('Control Room'!$D$8-'Control Room'!$B$8)*V640/2147483647)</x:f>
        <x:v>932.0849681064277</x:v>
      </x:c>
      <x:c r="Y640" s="17" t="n">
        <x:f>IF('Control Room'!$B$5="Normal",'Control Room'!$B$7,('Control Room'!$B$8+'Control Room'!$D$8)/2)+'Control Room'!$B$9*(Y639-IF('Control Room'!$B$5="Normal",'Control Room'!$B$7,('Control Room'!$B$8+'Control Room'!$D$8)/2))+SQRT(1-'Control Room'!$B$9^2)*(X640-IF('Control Room'!$B$5="Normal",'Control Room'!$B$7,('Control Room'!$B$8+'Control Room'!$D$8)/2))</x:f>
        <x:v>1099.2597378803202</x:v>
      </x:c>
      <x:c r="Z640" s="17" t="n">
        <x:f>IF(AND($A640&gt;='Control Room'!$A$13,$A640&lt;'Control Room'!$A$13+'Control Room'!$B$13,'Process'!BO2=1),1+('Control Room'!$C$13-1)*EXP(-0.5*(($A640-'Control Room'!$A$13-('Control Room'!$B$13-1)/2)/MAX(0.5,'Control Room'!$B$13/4))^2),1)*IF(AND($A640&gt;='Control Room'!$A$14,$A640&lt;'Control Room'!$A$14+'Control Room'!$B$14,'Process'!BO3=1),1+('Control Room'!$C$14-1)*EXP(-0.5*(($A640-'Control Room'!$A$14-('Control Room'!$B$14-1)/2)/MAX(0.5,'Control Room'!$B$14/4))^2),1)*IF(AND($A640&gt;='Control Room'!$A$15,$A640&lt;'Control Room'!$A$15+'Control Room'!$B$15,'Process'!BO4=1),1+('Control Room'!$C$15-1)*EXP(-0.5*(($A640-'Control Room'!$A$15-('Control Room'!$B$15-1)/2)/MAX(0.5,'Control Room'!$B$15/4))^2),1)*IF(AND($A640&gt;='Control Room'!$A$16,$A640&lt;'Control Room'!$A$16+'Control Room'!$B$16,'Process'!BO5=1),1+('Control Room'!$C$16-1)*EXP(-0.5*(($A640-'Control Room'!$A$16-('Control Room'!$B$16-1)/2)/MAX(0.5,'Control Room'!$B$16/4))^2),1)</x:f>
        <x:v>1</x:v>
      </x:c>
      <x:c r="AA640" s="9" t="n">
        <x:f>MOD(AB639*16807,2147483647)</x:f>
        <x:v>1626677236</x:v>
      </x:c>
      <x:c r="AB640" s="9" t="n">
        <x:f>MOD(AA640*16807,2147483647)</x:f>
        <x:v>2097479142</x:v>
      </x:c>
      <x:c r="AC640" s="17" t="n">
        <x:f>IF('Control Room'!$B$5="Normal",'Control Room'!$B$7+'Control Room'!$D$7*SQRT(-2*LN(MAX(0.000000000001,AA640/2147483647)))*COS(2*PI()*AB640/2147483647),'Control Room'!$B$8+('Control Room'!$D$8-'Control Room'!$B$8)*AA640/2147483647)</x:f>
        <x:v>1066.3629259735847</x:v>
      </x:c>
      <x:c r="AD640" s="17" t="n">
        <x:f>IF('Control Room'!$B$5="Normal",'Control Room'!$B$7,('Control Room'!$B$8+'Control Room'!$D$8)/2)+'Control Room'!$B$9*(AD639-IF('Control Room'!$B$5="Normal",'Control Room'!$B$7,('Control Room'!$B$8+'Control Room'!$D$8)/2))+SQRT(1-'Control Room'!$B$9^2)*(AC640-IF('Control Room'!$B$5="Normal",'Control Room'!$B$7,('Control Room'!$B$8+'Control Room'!$D$8)/2))</x:f>
        <x:v>1057.5369550610335</x:v>
      </x:c>
      <x:c r="AE640" s="17" t="n">
        <x:f>IF(AND($A640&gt;='Control Room'!$A$13,$A640&lt;'Control Room'!$A$13+'Control Room'!$B$13,'Process'!BP2=1),1+('Control Room'!$C$13-1)*EXP(-0.5*(($A640-'Control Room'!$A$13-('Control Room'!$B$13-1)/2)/MAX(0.5,'Control Room'!$B$13/4))^2),1)*IF(AND($A640&gt;='Control Room'!$A$14,$A640&lt;'Control Room'!$A$14+'Control Room'!$B$14,'Process'!BP3=1),1+('Control Room'!$C$14-1)*EXP(-0.5*(($A640-'Control Room'!$A$14-('Control Room'!$B$14-1)/2)/MAX(0.5,'Control Room'!$B$14/4))^2),1)*IF(AND($A640&gt;='Control Room'!$A$15,$A640&lt;'Control Room'!$A$15+'Control Room'!$B$15,'Process'!BP4=1),1+('Control Room'!$C$15-1)*EXP(-0.5*(($A640-'Control Room'!$A$15-('Control Room'!$B$15-1)/2)/MAX(0.5,'Control Room'!$B$15/4))^2),1)*IF(AND($A640&gt;='Control Room'!$A$16,$A640&lt;'Control Room'!$A$16+'Control Room'!$B$16,'Process'!BP5=1),1+('Control Room'!$C$16-1)*EXP(-0.5*(($A640-'Control Room'!$A$16-('Control Room'!$B$16-1)/2)/MAX(0.5,'Control Room'!$B$16/4))^2),1)</x:f>
        <x:v>1</x:v>
      </x:c>
      <x:c r="AF640" s="9" t="n">
        <x:f>MOD(AG639*16807,2147483647)</x:f>
        <x:v>16523059</x:v>
      </x:c>
      <x:c r="AG640" s="9" t="n">
        <x:f>MOD(AF640*16807,2147483647)</x:f>
        <x:v>677662150</x:v>
      </x:c>
      <x:c r="AH640" s="17" t="n">
        <x:f>IF('Control Room'!$B$5="Normal",'Control Room'!$B$7+'Control Room'!$D$7*SQRT(-2*LN(MAX(0.000000000001,AF640/2147483647)))*COS(2*PI()*AG640/2147483647),'Control Room'!$B$8+('Control Room'!$D$8-'Control Room'!$B$8)*AF640/2147483647)</x:f>
        <x:v>887.5720434967767</x:v>
      </x:c>
      <x:c r="AI640" s="17" t="n">
        <x:f>IF('Control Room'!$B$5="Normal",'Control Room'!$B$7,('Control Room'!$B$8+'Control Room'!$D$8)/2)+'Control Room'!$B$9*(AI639-IF('Control Room'!$B$5="Normal",'Control Room'!$B$7,('Control Room'!$B$8+'Control Room'!$D$8)/2))+SQRT(1-'Control Room'!$B$9^2)*(AH640-IF('Control Room'!$B$5="Normal",'Control Room'!$B$7,('Control Room'!$B$8+'Control Room'!$D$8)/2))</x:f>
        <x:v>823.2908301854318</x:v>
      </x:c>
      <x:c r="AJ640" s="17" t="n">
        <x:f>IF(AND($A640&gt;='Control Room'!$A$13,$A640&lt;'Control Room'!$A$13+'Control Room'!$B$13,'Process'!BQ2=1),1+('Control Room'!$C$13-1)*EXP(-0.5*(($A640-'Control Room'!$A$13-('Control Room'!$B$13-1)/2)/MAX(0.5,'Control Room'!$B$13/4))^2),1)*IF(AND($A640&gt;='Control Room'!$A$14,$A640&lt;'Control Room'!$A$14+'Control Room'!$B$14,'Process'!BQ3=1),1+('Control Room'!$C$14-1)*EXP(-0.5*(($A640-'Control Room'!$A$14-('Control Room'!$B$14-1)/2)/MAX(0.5,'Control Room'!$B$14/4))^2),1)*IF(AND($A640&gt;='Control Room'!$A$15,$A640&lt;'Control Room'!$A$15+'Control Room'!$B$15,'Process'!BQ4=1),1+('Control Room'!$C$15-1)*EXP(-0.5*(($A640-'Control Room'!$A$15-('Control Room'!$B$15-1)/2)/MAX(0.5,'Control Room'!$B$15/4))^2),1)*IF(AND($A640&gt;='Control Room'!$A$16,$A640&lt;'Control Room'!$A$16+'Control Room'!$B$16,'Process'!BQ5=1),1+('Control Room'!$C$16-1)*EXP(-0.5*(($A640-'Control Room'!$A$16-('Control Room'!$B$16-1)/2)/MAX(0.5,'Control Room'!$B$16/4))^2),1)</x:f>
        <x:v>1</x:v>
      </x:c>
      <x:c r="AK640" s="9" t="n">
        <x:f>MOD(AL639*16807,2147483647)</x:f>
        <x:v>553852529</x:v>
      </x:c>
      <x:c r="AL640" s="9" t="n">
        <x:f>MOD(AK640*16807,2147483647)</x:f>
        <x:v>1405328805</x:v>
      </x:c>
      <x:c r="AM640" s="17" t="n">
        <x:f>IF('Control Room'!$B$5="Normal",'Control Room'!$B$7+'Control Room'!$D$7*SQRT(-2*LN(MAX(0.000000000001,AK640/2147483647)))*COS(2*PI()*AL640/2147483647),'Control Room'!$B$8+('Control Room'!$D$8-'Control Room'!$B$8)*AK640/2147483647)</x:f>
        <x:v>916.2618893350567</x:v>
      </x:c>
      <x:c r="AN640" s="17" t="n">
        <x:f>IF('Control Room'!$B$5="Normal",'Control Room'!$B$7,('Control Room'!$B$8+'Control Room'!$D$8)/2)+'Control Room'!$B$9*(AN639-IF('Control Room'!$B$5="Normal",'Control Room'!$B$7,('Control Room'!$B$8+'Control Room'!$D$8)/2))+SQRT(1-'Control Room'!$B$9^2)*(AM640-IF('Control Room'!$B$5="Normal",'Control Room'!$B$7,('Control Room'!$B$8+'Control Room'!$D$8)/2))</x:f>
        <x:v>952.6105682313777</x:v>
      </x:c>
      <x:c r="AO640" s="17" t="n">
        <x:f>IF(AND($A640&gt;='Control Room'!$A$13,$A640&lt;'Control Room'!$A$13+'Control Room'!$B$13,'Process'!BR2=1),1+('Control Room'!$C$13-1)*EXP(-0.5*(($A640-'Control Room'!$A$13-('Control Room'!$B$13-1)/2)/MAX(0.5,'Control Room'!$B$13/4))^2),1)*IF(AND($A640&gt;='Control Room'!$A$14,$A640&lt;'Control Room'!$A$14+'Control Room'!$B$14,'Process'!BR3=1),1+('Control Room'!$C$14-1)*EXP(-0.5*(($A640-'Control Room'!$A$14-('Control Room'!$B$14-1)/2)/MAX(0.5,'Control Room'!$B$14/4))^2),1)*IF(AND($A640&gt;='Control Room'!$A$15,$A640&lt;'Control Room'!$A$15+'Control Room'!$B$15,'Process'!BR4=1),1+('Control Room'!$C$15-1)*EXP(-0.5*(($A640-'Control Room'!$A$15-('Control Room'!$B$15-1)/2)/MAX(0.5,'Control Room'!$B$15/4))^2),1)*IF(AND($A640&gt;='Control Room'!$A$16,$A640&lt;'Control Room'!$A$16+'Control Room'!$B$16,'Process'!BR5=1),1+('Control Room'!$C$16-1)*EXP(-0.5*(($A640-'Control Room'!$A$16-('Control Room'!$B$16-1)/2)/MAX(0.5,'Control Room'!$B$16/4))^2),1)</x:f>
        <x:v>1</x:v>
      </x:c>
      <x:c r="AP640" s="9" t="n">
        <x:f>MOD(AQ639*16807,2147483647)</x:f>
        <x:v>1091181999</x:v>
      </x:c>
      <x:c r="AQ640" s="9" t="n">
        <x:f>MOD(AP640*16807,2147483647)</x:f>
        <x:v>2132995460</x:v>
      </x:c>
      <x:c r="AR640" s="17" t="n">
        <x:f>IF('Control Room'!$B$5="Normal",'Control Room'!$B$7+'Control Room'!$D$7*SQRT(-2*LN(MAX(0.000000000001,AP640/2147483647)))*COS(2*PI()*AQ640/2147483647),'Control Room'!$B$8+('Control Room'!$D$8-'Control Room'!$B$8)*AP640/2147483647)</x:f>
        <x:v>1104.6340015992387</x:v>
      </x:c>
      <x:c r="AS640" s="17" t="n">
        <x:f>IF('Control Room'!$B$5="Normal",'Control Room'!$B$7,('Control Room'!$B$8+'Control Room'!$D$8)/2)+'Control Room'!$B$9*(AS639-IF('Control Room'!$B$5="Normal",'Control Room'!$B$7,('Control Room'!$B$8+'Control Room'!$D$8)/2))+SQRT(1-'Control Room'!$B$9^2)*(AR640-IF('Control Room'!$B$5="Normal",'Control Room'!$B$7,('Control Room'!$B$8+'Control Room'!$D$8)/2))</x:f>
        <x:v>1091.1842014553313</x:v>
      </x:c>
      <x:c r="AT640" s="17" t="n">
        <x:f>IF(AND($A640&gt;='Control Room'!$A$13,$A640&lt;'Control Room'!$A$13+'Control Room'!$B$13,'Process'!BS2=1),1+('Control Room'!$C$13-1)*EXP(-0.5*(($A640-'Control Room'!$A$13-('Control Room'!$B$13-1)/2)/MAX(0.5,'Control Room'!$B$13/4))^2),1)*IF(AND($A640&gt;='Control Room'!$A$14,$A640&lt;'Control Room'!$A$14+'Control Room'!$B$14,'Process'!BS3=1),1+('Control Room'!$C$14-1)*EXP(-0.5*(($A640-'Control Room'!$A$14-('Control Room'!$B$14-1)/2)/MAX(0.5,'Control Room'!$B$14/4))^2),1)*IF(AND($A640&gt;='Control Room'!$A$15,$A640&lt;'Control Room'!$A$15+'Control Room'!$B$15,'Process'!BS4=1),1+('Control Room'!$C$15-1)*EXP(-0.5*(($A640-'Control Room'!$A$15-('Control Room'!$B$15-1)/2)/MAX(0.5,'Control Room'!$B$15/4))^2),1)*IF(AND($A640&gt;='Control Room'!$A$16,$A640&lt;'Control Room'!$A$16+'Control Room'!$B$16,'Process'!BS5=1),1+('Control Room'!$C$16-1)*EXP(-0.5*(($A640-'Control Room'!$A$16-('Control Room'!$B$16-1)/2)/MAX(0.5,'Control Room'!$B$16/4))^2),1)</x:f>
        <x:v>1</x:v>
      </x:c>
      <x:c r="AU640" s="9" t="n">
        <x:f>MOD(AV639*16807,2147483647)</x:f>
        <x:v>1628511469</x:v>
      </x:c>
      <x:c r="AV640" s="9" t="n">
        <x:f>MOD(AU640*16807,2147483647)</x:f>
        <x:v>713178468</x:v>
      </x:c>
      <x:c r="AW640" s="17" t="n">
        <x:f>IF('Control Room'!$B$5="Normal",'Control Room'!$B$7+'Control Room'!$D$7*SQRT(-2*LN(MAX(0.000000000001,AU640/2147483647)))*COS(2*PI()*AV640/2147483647),'Control Room'!$B$8+('Control Room'!$D$8-'Control Room'!$B$8)*AU640/2147483647)</x:f>
        <x:v>966.9787315363492</x:v>
      </x:c>
      <x:c r="AX640" s="17" t="n">
        <x:f>IF('Control Room'!$B$5="Normal",'Control Room'!$B$7,('Control Room'!$B$8+'Control Room'!$D$8)/2)+'Control Room'!$B$9*(AX639-IF('Control Room'!$B$5="Normal",'Control Room'!$B$7,('Control Room'!$B$8+'Control Room'!$D$8)/2))+SQRT(1-'Control Room'!$B$9^2)*(AW640-IF('Control Room'!$B$5="Normal",'Control Room'!$B$7,('Control Room'!$B$8+'Control Room'!$D$8)/2))</x:f>
        <x:v>936.5567397348512</x:v>
      </x:c>
      <x:c r="AY640" s="17" t="n">
        <x:f>IF(AND($A640&gt;='Control Room'!$A$13,$A640&lt;'Control Room'!$A$13+'Control Room'!$B$13,'Process'!BT2=1),1+('Control Room'!$C$13-1)*EXP(-0.5*(($A640-'Control Room'!$A$13-('Control Room'!$B$13-1)/2)/MAX(0.5,'Control Room'!$B$13/4))^2),1)*IF(AND($A640&gt;='Control Room'!$A$14,$A640&lt;'Control Room'!$A$14+'Control Room'!$B$14,'Process'!BT3=1),1+('Control Room'!$C$14-1)*EXP(-0.5*(($A640-'Control Room'!$A$14-('Control Room'!$B$14-1)/2)/MAX(0.5,'Control Room'!$B$14/4))^2),1)*IF(AND($A640&gt;='Control Room'!$A$15,$A640&lt;'Control Room'!$A$15+'Control Room'!$B$15,'Process'!BT4=1),1+('Control Room'!$C$15-1)*EXP(-0.5*(($A640-'Control Room'!$A$15-('Control Room'!$B$15-1)/2)/MAX(0.5,'Control Room'!$B$15/4))^2),1)*IF(AND($A640&gt;='Control Room'!$A$16,$A640&lt;'Control Room'!$A$16+'Control Room'!$B$16,'Process'!BT5=1),1+('Control Room'!$C$16-1)*EXP(-0.5*(($A640-'Control Room'!$A$16-('Control Room'!$B$16-1)/2)/MAX(0.5,'Control Room'!$B$16/4))^2),1)</x:f>
        <x:v>1</x:v>
      </x:c>
      <x:c r="AZ640" s="9" t="n">
        <x:f>MOD(BA639*16807,2147483647)</x:f>
        <x:v>18357292</x:v>
      </x:c>
      <x:c r="BA640" s="9" t="n">
        <x:f>MOD(AZ640*16807,2147483647)</x:f>
        <x:v>1440845123</x:v>
      </x:c>
      <x:c r="BB640" s="17" t="n">
        <x:f>IF('Control Room'!$B$5="Normal",'Control Room'!$B$7+'Control Room'!$D$7*SQRT(-2*LN(MAX(0.000000000001,AZ640/2147483647)))*COS(2*PI()*BA640/2147483647),'Control Room'!$B$8+('Control Room'!$D$8-'Control Room'!$B$8)*AZ640/2147483647)</x:f>
        <x:v>867.6418855391217</x:v>
      </x:c>
      <x:c r="BC640" s="17" t="n">
        <x:f>IF('Control Room'!$B$5="Normal",'Control Room'!$B$7,('Control Room'!$B$8+'Control Room'!$D$8)/2)+'Control Room'!$B$9*(BC639-IF('Control Room'!$B$5="Normal",'Control Room'!$B$7,('Control Room'!$B$8+'Control Room'!$D$8)/2))+SQRT(1-'Control Room'!$B$9^2)*(BB640-IF('Control Room'!$B$5="Normal",'Control Room'!$B$7,('Control Room'!$B$8+'Control Room'!$D$8)/2))</x:f>
        <x:v>836.9919969871286</x:v>
      </x:c>
      <x:c r="BD640" s="17" t="n">
        <x:f>IF(AND($A640&gt;='Control Room'!$A$13,$A640&lt;'Control Room'!$A$13+'Control Room'!$B$13,'Process'!BU2=1),1+('Control Room'!$C$13-1)*EXP(-0.5*(($A640-'Control Room'!$A$13-('Control Room'!$B$13-1)/2)/MAX(0.5,'Control Room'!$B$13/4))^2),1)*IF(AND($A640&gt;='Control Room'!$A$14,$A640&lt;'Control Room'!$A$14+'Control Room'!$B$14,'Process'!BU3=1),1+('Control Room'!$C$14-1)*EXP(-0.5*(($A640-'Control Room'!$A$14-('Control Room'!$B$14-1)/2)/MAX(0.5,'Control Room'!$B$14/4))^2),1)*IF(AND($A640&gt;='Control Room'!$A$15,$A640&lt;'Control Room'!$A$15+'Control Room'!$B$15,'Process'!BU4=1),1+('Control Room'!$C$15-1)*EXP(-0.5*(($A640-'Control Room'!$A$15-('Control Room'!$B$15-1)/2)/MAX(0.5,'Control Room'!$B$15/4))^2),1)*IF(AND($A640&gt;='Control Room'!$A$16,$A640&lt;'Control Room'!$A$16+'Control Room'!$B$16,'Process'!BU5=1),1+('Control Room'!$C$16-1)*EXP(-0.5*(($A640-'Control Room'!$A$16-('Control Room'!$B$16-1)/2)/MAX(0.5,'Control Room'!$B$16/4))^2),1)</x:f>
        <x:v>1</x:v>
      </x:c>
      <x:c r="BE640" s="9" t="n">
        <x:f>MOD(BF639*16807,2147483647)</x:f>
        <x:v>555686762</x:v>
      </x:c>
      <x:c r="BF640" s="9" t="n">
        <x:f>MOD(BE640*16807,2147483647)</x:f>
        <x:v>21028131</x:v>
      </x:c>
      <x:c r="BG640" s="17" t="n">
        <x:f>IF('Control Room'!$B$5="Normal",'Control Room'!$B$7+'Control Room'!$D$7*SQRT(-2*LN(MAX(0.000000000001,BE640/2147483647)))*COS(2*PI()*BF640/2147483647),'Control Room'!$B$8+('Control Room'!$D$8-'Control Room'!$B$8)*BE640/2147483647)</x:f>
        <x:v>1147.70623720681</x:v>
      </x:c>
      <x:c r="BH640" s="17" t="n">
        <x:f>IF('Control Room'!$B$5="Normal",'Control Room'!$B$7,('Control Room'!$B$8+'Control Room'!$D$8)/2)+'Control Room'!$B$9*(BH639-IF('Control Room'!$B$5="Normal",'Control Room'!$B$7,('Control Room'!$B$8+'Control Room'!$D$8)/2))+SQRT(1-'Control Room'!$B$9^2)*(BG640-IF('Control Room'!$B$5="Normal",'Control Room'!$B$7,('Control Room'!$B$8+'Control Room'!$D$8)/2))</x:f>
        <x:v>1104.8240438598061</x:v>
      </x:c>
      <x:c r="BI640" s="17" t="n">
        <x:f>IF(AND($A640&gt;='Control Room'!$A$13,$A640&lt;'Control Room'!$A$13+'Control Room'!$B$13,'Process'!BV2=1),1+('Control Room'!$C$13-1)*EXP(-0.5*(($A640-'Control Room'!$A$13-('Control Room'!$B$13-1)/2)/MAX(0.5,'Control Room'!$B$13/4))^2),1)*IF(AND($A640&gt;='Control Room'!$A$14,$A640&lt;'Control Room'!$A$14+'Control Room'!$B$14,'Process'!BV3=1),1+('Control Room'!$C$14-1)*EXP(-0.5*(($A640-'Control Room'!$A$14-('Control Room'!$B$14-1)/2)/MAX(0.5,'Control Room'!$B$14/4))^2),1)*IF(AND($A640&gt;='Control Room'!$A$15,$A640&lt;'Control Room'!$A$15+'Control Room'!$B$15,'Process'!BV4=1),1+('Control Room'!$C$15-1)*EXP(-0.5*(($A640-'Control Room'!$A$15-('Control Room'!$B$15-1)/2)/MAX(0.5,'Control Room'!$B$15/4))^2),1)*IF(AND($A640&gt;='Control Room'!$A$16,$A640&lt;'Control Room'!$A$16+'Control Room'!$B$16,'Process'!BV5=1),1+('Control Room'!$C$16-1)*EXP(-0.5*(($A640-'Control Room'!$A$16-('Control Room'!$B$16-1)/2)/MAX(0.5,'Control Room'!$B$16/4))^2),1)</x:f>
        <x:v>1</x:v>
      </x:c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Z640" t="str">
        <x:f>IF('Data'!A640="","",TEXT('Data'!A640,"mm-dd"))</x:f>
      </x:c>
    </x:row>
    <x:row r="641" ht="21" customHeight="1">
      <x:c r="A641" s="15" t="n">
        <x:f>'Control Room'!$B$1+639</x:f>
        <x:v>73630</x:v>
      </x:c>
      <x:c r="B641" s="9" t="n">
        <x:f>MOD(C640*16807,2147483647)</x:f>
        <x:v>1517369489</x:v>
      </x:c>
      <x:c r="C641" s="9" t="n">
        <x:f>MOD(B641*16807,2147483647)</x:f>
        <x:v>1060693498</x:v>
      </x:c>
      <x:c r="D641" s="17" t="n">
        <x:f>IF('Control Room'!$B$5="Normal",'Control Room'!$B$7+'Control Room'!$D$7*SQRT(-2*LN(MAX(0.000000000001,B641/2147483647)))*COS(2*PI()*C641/2147483647),'Control Room'!$B$8+('Control Room'!$D$8-'Control Room'!$B$8)*B641/2147483647)</x:f>
        <x:v>925.044257483624</x:v>
      </x:c>
      <x:c r="E641" s="17" t="n">
        <x:f>IF('Control Room'!$B$5="Normal",'Control Room'!$B$7,('Control Room'!$B$8+'Control Room'!$D$8)/2)+'Control Room'!$B$9*(E640-IF('Control Room'!$B$5="Normal",'Control Room'!$B$7,('Control Room'!$B$8+'Control Room'!$D$8)/2))+SQRT(1-'Control Room'!$B$9^2)*(D641-IF('Control Room'!$B$5="Normal",'Control Room'!$B$7,('Control Room'!$B$8+'Control Room'!$D$8)/2))</x:f>
        <x:v>1126.3088241847747</x:v>
      </x:c>
      <x:c r="F641" s="17" t="n">
        <x:f>IF(AND($A641&gt;='Control Room'!$A$13,$A641&lt;'Control Room'!$A$13+'Control Room'!$B$13,'Process'!BK2=1),1+('Control Room'!$C$13-1)*EXP(-0.5*(($A641-'Control Room'!$A$13-('Control Room'!$B$13-1)/2)/MAX(0.5,'Control Room'!$B$13/4))^2),1)*IF(AND($A641&gt;='Control Room'!$A$14,$A641&lt;'Control Room'!$A$14+'Control Room'!$B$14,'Process'!BK3=1),1+('Control Room'!$C$14-1)*EXP(-0.5*(($A641-'Control Room'!$A$14-('Control Room'!$B$14-1)/2)/MAX(0.5,'Control Room'!$B$14/4))^2),1)*IF(AND($A641&gt;='Control Room'!$A$15,$A641&lt;'Control Room'!$A$15+'Control Room'!$B$15,'Process'!BK4=1),1+('Control Room'!$C$15-1)*EXP(-0.5*(($A641-'Control Room'!$A$15-('Control Room'!$B$15-1)/2)/MAX(0.5,'Control Room'!$B$15/4))^2),1)*IF(AND($A641&gt;='Control Room'!$A$16,$A641&lt;'Control Room'!$A$16+'Control Room'!$B$16,'Process'!BK5=1),1+('Control Room'!$C$16-1)*EXP(-0.5*(($A641-'Control Room'!$A$16-('Control Room'!$B$16-1)/2)/MAX(0.5,'Control Room'!$B$16/4))^2),1)</x:f>
        <x:v>1</x:v>
      </x:c>
      <x:c r="G641" s="9" t="n">
        <x:f>MOD(H640*16807,2147483647)</x:f>
        <x:v>1491470409</x:v>
      </x:c>
      <x:c r="H641" s="9" t="n">
        <x:f>MOD(G641*16807,2147483647)</x:f>
        <x:v>1714036279</x:v>
      </x:c>
      <x:c r="I641" s="17" t="n">
        <x:f>IF('Control Room'!$B$5="Normal",'Control Room'!$B$7+'Control Room'!$D$7*SQRT(-2*LN(MAX(0.000000000001,G641/2147483647)))*COS(2*PI()*H641/2147483647),'Control Room'!$B$8+('Control Room'!$D$8-'Control Room'!$B$8)*G641/2147483647)</x:f>
        <x:v>1022.9006559855857</x:v>
      </x:c>
      <x:c r="J641" s="17" t="n">
        <x:f>IF('Control Room'!$B$5="Normal",'Control Room'!$B$7,('Control Room'!$B$8+'Control Room'!$D$8)/2)+'Control Room'!$B$9*(J640-IF('Control Room'!$B$5="Normal",'Control Room'!$B$7,('Control Room'!$B$8+'Control Room'!$D$8)/2))+SQRT(1-'Control Room'!$B$9^2)*(I641-IF('Control Room'!$B$5="Normal",'Control Room'!$B$7,('Control Room'!$B$8+'Control Room'!$D$8)/2))</x:f>
        <x:v>988.5226988143992</x:v>
      </x:c>
      <x:c r="K641" s="17" t="n">
        <x:f>IF(AND($A641&gt;='Control Room'!$A$13,$A641&lt;'Control Room'!$A$13+'Control Room'!$B$13,'Process'!BL2=1),1+('Control Room'!$C$13-1)*EXP(-0.5*(($A641-'Control Room'!$A$13-('Control Room'!$B$13-1)/2)/MAX(0.5,'Control Room'!$B$13/4))^2),1)*IF(AND($A641&gt;='Control Room'!$A$14,$A641&lt;'Control Room'!$A$14+'Control Room'!$B$14,'Process'!BL3=1),1+('Control Room'!$C$14-1)*EXP(-0.5*(($A641-'Control Room'!$A$14-('Control Room'!$B$14-1)/2)/MAX(0.5,'Control Room'!$B$14/4))^2),1)*IF(AND($A641&gt;='Control Room'!$A$15,$A641&lt;'Control Room'!$A$15+'Control Room'!$B$15,'Process'!BL4=1),1+('Control Room'!$C$15-1)*EXP(-0.5*(($A641-'Control Room'!$A$15-('Control Room'!$B$15-1)/2)/MAX(0.5,'Control Room'!$B$15/4))^2),1)*IF(AND($A641&gt;='Control Room'!$A$16,$A641&lt;'Control Room'!$A$16+'Control Room'!$B$16,'Process'!BL5=1),1+('Control Room'!$C$16-1)*EXP(-0.5*(($A641-'Control Room'!$A$16-('Control Room'!$B$16-1)/2)/MAX(0.5,'Control Room'!$B$16/4))^2),1)</x:f>
        <x:v>1</x:v>
      </x:c>
      <x:c r="L641" s="9" t="n">
        <x:f>MOD(M640*16807,2147483647)</x:f>
        <x:v>1465571329</x:v>
      </x:c>
      <x:c r="M641" s="9" t="n">
        <x:f>MOD(L641*16807,2147483647)</x:f>
        <x:v>219895413</x:v>
      </x:c>
      <x:c r="N641" s="17" t="n">
        <x:f>IF('Control Room'!$B$5="Normal",'Control Room'!$B$7+'Control Room'!$D$7*SQRT(-2*LN(MAX(0.000000000001,L641/2147483647)))*COS(2*PI()*M641/2147483647),'Control Room'!$B$8+('Control Room'!$D$8-'Control Room'!$B$8)*L641/2147483647)</x:f>
        <x:v>1062.9431712561557</x:v>
      </x:c>
      <x:c r="O641" s="17" t="n">
        <x:f>IF('Control Room'!$B$5="Normal",'Control Room'!$B$7,('Control Room'!$B$8+'Control Room'!$D$8)/2)+'Control Room'!$B$9*(O640-IF('Control Room'!$B$5="Normal",'Control Room'!$B$7,('Control Room'!$B$8+'Control Room'!$D$8)/2))+SQRT(1-'Control Room'!$B$9^2)*(N641-IF('Control Room'!$B$5="Normal",'Control Room'!$B$7,('Control Room'!$B$8+'Control Room'!$D$8)/2))</x:f>
        <x:v>1160.7331534744458</x:v>
      </x:c>
      <x:c r="P641" s="17" t="n">
        <x:f>IF(AND($A641&gt;='Control Room'!$A$13,$A641&lt;'Control Room'!$A$13+'Control Room'!$B$13,'Process'!BM2=1),1+('Control Room'!$C$13-1)*EXP(-0.5*(($A641-'Control Room'!$A$13-('Control Room'!$B$13-1)/2)/MAX(0.5,'Control Room'!$B$13/4))^2),1)*IF(AND($A641&gt;='Control Room'!$A$14,$A641&lt;'Control Room'!$A$14+'Control Room'!$B$14,'Process'!BM3=1),1+('Control Room'!$C$14-1)*EXP(-0.5*(($A641-'Control Room'!$A$14-('Control Room'!$B$14-1)/2)/MAX(0.5,'Control Room'!$B$14/4))^2),1)*IF(AND($A641&gt;='Control Room'!$A$15,$A641&lt;'Control Room'!$A$15+'Control Room'!$B$15,'Process'!BM4=1),1+('Control Room'!$C$15-1)*EXP(-0.5*(($A641-'Control Room'!$A$15-('Control Room'!$B$15-1)/2)/MAX(0.5,'Control Room'!$B$15/4))^2),1)*IF(AND($A641&gt;='Control Room'!$A$16,$A641&lt;'Control Room'!$A$16+'Control Room'!$B$16,'Process'!BM5=1),1+('Control Room'!$C$16-1)*EXP(-0.5*(($A641-'Control Room'!$A$16-('Control Room'!$B$16-1)/2)/MAX(0.5,'Control Room'!$B$16/4))^2),1)</x:f>
        <x:v>1</x:v>
      </x:c>
      <x:c r="Q641" s="9" t="n">
        <x:f>MOD(R640*16807,2147483647)</x:f>
        <x:v>1439672249</x:v>
      </x:c>
      <x:c r="R641" s="9" t="n">
        <x:f>MOD(Q641*16807,2147483647)</x:f>
        <x:v>873238194</x:v>
      </x:c>
      <x:c r="S641" s="17" t="n">
        <x:f>IF('Control Room'!$B$5="Normal",'Control Room'!$B$7+'Control Room'!$D$7*SQRT(-2*LN(MAX(0.000000000001,Q641/2147483647)))*COS(2*PI()*R641/2147483647),'Control Room'!$B$8+('Control Room'!$D$8-'Control Room'!$B$8)*Q641/2147483647)</x:f>
        <x:v>932.9704457852022</x:v>
      </x:c>
      <x:c r="T641" s="17" t="n">
        <x:f>IF('Control Room'!$B$5="Normal",'Control Room'!$B$7,('Control Room'!$B$8+'Control Room'!$D$8)/2)+'Control Room'!$B$9*(T640-IF('Control Room'!$B$5="Normal",'Control Room'!$B$7,('Control Room'!$B$8+'Control Room'!$D$8)/2))+SQRT(1-'Control Room'!$B$9^2)*(S641-IF('Control Room'!$B$5="Normal",'Control Room'!$B$7,('Control Room'!$B$8+'Control Room'!$D$8)/2))</x:f>
        <x:v>973.3692031729197</x:v>
      </x:c>
      <x:c r="U641" s="17" t="n">
        <x:f>IF(AND($A641&gt;='Control Room'!$A$13,$A641&lt;'Control Room'!$A$13+'Control Room'!$B$13,'Process'!BN2=1),1+('Control Room'!$C$13-1)*EXP(-0.5*(($A641-'Control Room'!$A$13-('Control Room'!$B$13-1)/2)/MAX(0.5,'Control Room'!$B$13/4))^2),1)*IF(AND($A641&gt;='Control Room'!$A$14,$A641&lt;'Control Room'!$A$14+'Control Room'!$B$14,'Process'!BN3=1),1+('Control Room'!$C$14-1)*EXP(-0.5*(($A641-'Control Room'!$A$14-('Control Room'!$B$14-1)/2)/MAX(0.5,'Control Room'!$B$14/4))^2),1)*IF(AND($A641&gt;='Control Room'!$A$15,$A641&lt;'Control Room'!$A$15+'Control Room'!$B$15,'Process'!BN4=1),1+('Control Room'!$C$15-1)*EXP(-0.5*(($A641-'Control Room'!$A$15-('Control Room'!$B$15-1)/2)/MAX(0.5,'Control Room'!$B$15/4))^2),1)*IF(AND($A641&gt;='Control Room'!$A$16,$A641&lt;'Control Room'!$A$16+'Control Room'!$B$16,'Process'!BN5=1),1+('Control Room'!$C$16-1)*EXP(-0.5*(($A641-'Control Room'!$A$16-('Control Room'!$B$16-1)/2)/MAX(0.5,'Control Room'!$B$16/4))^2),1)</x:f>
        <x:v>1</x:v>
      </x:c>
      <x:c r="V641" s="9" t="n">
        <x:f>MOD(W640*16807,2147483647)</x:f>
        <x:v>1413773169</x:v>
      </x:c>
      <x:c r="W641" s="9" t="n">
        <x:f>MOD(V641*16807,2147483647)</x:f>
        <x:v>1526580975</x:v>
      </x:c>
      <x:c r="X641" s="17" t="n">
        <x:f>IF('Control Room'!$B$5="Normal",'Control Room'!$B$7+'Control Room'!$D$7*SQRT(-2*LN(MAX(0.000000000001,V641/2147483647)))*COS(2*PI()*W641/2147483647),'Control Room'!$B$8+('Control Room'!$D$8-'Control Room'!$B$8)*V641/2147483647)</x:f>
        <x:v>979.9703746872655</x:v>
      </x:c>
      <x:c r="Y641" s="17" t="n">
        <x:f>IF('Control Room'!$B$5="Normal",'Control Room'!$B$7,('Control Room'!$B$8+'Control Room'!$D$8)/2)+'Control Room'!$B$9*(Y640-IF('Control Room'!$B$5="Normal",'Control Room'!$B$7,('Control Room'!$B$8+'Control Room'!$D$8)/2))+SQRT(1-'Control Room'!$B$9^2)*(X641-IF('Control Room'!$B$5="Normal",'Control Room'!$B$7,('Control Room'!$B$8+'Control Room'!$D$8)/2))</x:f>
        <x:v>1064.8884663551185</x:v>
      </x:c>
      <x:c r="Z641" s="17" t="n">
        <x:f>IF(AND($A641&gt;='Control Room'!$A$13,$A641&lt;'Control Room'!$A$13+'Control Room'!$B$13,'Process'!BO2=1),1+('Control Room'!$C$13-1)*EXP(-0.5*(($A641-'Control Room'!$A$13-('Control Room'!$B$13-1)/2)/MAX(0.5,'Control Room'!$B$13/4))^2),1)*IF(AND($A641&gt;='Control Room'!$A$14,$A641&lt;'Control Room'!$A$14+'Control Room'!$B$14,'Process'!BO3=1),1+('Control Room'!$C$14-1)*EXP(-0.5*(($A641-'Control Room'!$A$14-('Control Room'!$B$14-1)/2)/MAX(0.5,'Control Room'!$B$14/4))^2),1)*IF(AND($A641&gt;='Control Room'!$A$15,$A641&lt;'Control Room'!$A$15+'Control Room'!$B$15,'Process'!BO4=1),1+('Control Room'!$C$15-1)*EXP(-0.5*(($A641-'Control Room'!$A$15-('Control Room'!$B$15-1)/2)/MAX(0.5,'Control Room'!$B$15/4))^2),1)*IF(AND($A641&gt;='Control Room'!$A$16,$A641&lt;'Control Room'!$A$16+'Control Room'!$B$16,'Process'!BO5=1),1+('Control Room'!$C$16-1)*EXP(-0.5*(($A641-'Control Room'!$A$16-('Control Room'!$B$16-1)/2)/MAX(0.5,'Control Room'!$B$16/4))^2),1)</x:f>
        <x:v>1</x:v>
      </x:c>
      <x:c r="AA641" s="9" t="n">
        <x:f>MOD(AB640*16807,2147483647)</x:f>
        <x:v>1387874089</x:v>
      </x:c>
      <x:c r="AB641" s="9" t="n">
        <x:f>MOD(AA641*16807,2147483647)</x:f>
        <x:v>32440109</x:v>
      </x:c>
      <x:c r="AC641" s="17" t="n">
        <x:f>IF('Control Room'!$B$5="Normal",'Control Room'!$B$7+'Control Room'!$D$7*SQRT(-2*LN(MAX(0.000000000001,AA641/2147483647)))*COS(2*PI()*AB641/2147483647),'Control Room'!$B$8+('Control Room'!$D$8-'Control Room'!$B$8)*AA641/2147483647)</x:f>
        <x:v>1083.7147933373362</x:v>
      </x:c>
      <x:c r="AD641" s="17" t="n">
        <x:f>IF('Control Room'!$B$5="Normal",'Control Room'!$B$7,('Control Room'!$B$8+'Control Room'!$D$8)/2)+'Control Room'!$B$9*(AD640-IF('Control Room'!$B$5="Normal",'Control Room'!$B$7,('Control Room'!$B$8+'Control Room'!$D$8)/2))+SQRT(1-'Control Room'!$B$9^2)*(AC641-IF('Control Room'!$B$5="Normal",'Control Room'!$B$7,('Control Room'!$B$8+'Control Room'!$D$8)/2))</x:f>
        <x:v>1097.2658276273514</x:v>
      </x:c>
      <x:c r="AE641" s="17" t="n">
        <x:f>IF(AND($A641&gt;='Control Room'!$A$13,$A641&lt;'Control Room'!$A$13+'Control Room'!$B$13,'Process'!BP2=1),1+('Control Room'!$C$13-1)*EXP(-0.5*(($A641-'Control Room'!$A$13-('Control Room'!$B$13-1)/2)/MAX(0.5,'Control Room'!$B$13/4))^2),1)*IF(AND($A641&gt;='Control Room'!$A$14,$A641&lt;'Control Room'!$A$14+'Control Room'!$B$14,'Process'!BP3=1),1+('Control Room'!$C$14-1)*EXP(-0.5*(($A641-'Control Room'!$A$14-('Control Room'!$B$14-1)/2)/MAX(0.5,'Control Room'!$B$14/4))^2),1)*IF(AND($A641&gt;='Control Room'!$A$15,$A641&lt;'Control Room'!$A$15+'Control Room'!$B$15,'Process'!BP4=1),1+('Control Room'!$C$15-1)*EXP(-0.5*(($A641-'Control Room'!$A$15-('Control Room'!$B$15-1)/2)/MAX(0.5,'Control Room'!$B$15/4))^2),1)*IF(AND($A641&gt;='Control Room'!$A$16,$A641&lt;'Control Room'!$A$16+'Control Room'!$B$16,'Process'!BP5=1),1+('Control Room'!$C$16-1)*EXP(-0.5*(($A641-'Control Room'!$A$16-('Control Room'!$B$16-1)/2)/MAX(0.5,'Control Room'!$B$16/4))^2),1)</x:f>
        <x:v>1</x:v>
      </x:c>
      <x:c r="AF641" s="9" t="n">
        <x:f>MOD(AG640*16807,2147483647)</x:f>
        <x:v>1361975009</x:v>
      </x:c>
      <x:c r="AG641" s="9" t="n">
        <x:f>MOD(AF641*16807,2147483647)</x:f>
        <x:v>685782890</x:v>
      </x:c>
      <x:c r="AH641" s="17" t="n">
        <x:f>IF('Control Room'!$B$5="Normal",'Control Room'!$B$7+'Control Room'!$D$7*SQRT(-2*LN(MAX(0.000000000001,AF641/2147483647)))*COS(2*PI()*AG641/2147483647),'Control Room'!$B$8+('Control Room'!$D$8-'Control Room'!$B$8)*AF641/2147483647)</x:f>
        <x:v>963.7517679034703</x:v>
      </x:c>
      <x:c r="AI641" s="17" t="n">
        <x:f>IF('Control Room'!$B$5="Normal",'Control Room'!$B$7,('Control Room'!$B$8+'Control Room'!$D$8)/2)+'Control Room'!$B$9*(AI640-IF('Control Room'!$B$5="Normal",'Control Room'!$B$7,('Control Room'!$B$8+'Control Room'!$D$8)/2))+SQRT(1-'Control Room'!$B$9^2)*(AH641-IF('Control Room'!$B$5="Normal",'Control Room'!$B$7,('Control Room'!$B$8+'Control Room'!$D$8)/2))</x:f>
        <x:v>839.4834464840261</x:v>
      </x:c>
      <x:c r="AJ641" s="17" t="n">
        <x:f>IF(AND($A641&gt;='Control Room'!$A$13,$A641&lt;'Control Room'!$A$13+'Control Room'!$B$13,'Process'!BQ2=1),1+('Control Room'!$C$13-1)*EXP(-0.5*(($A641-'Control Room'!$A$13-('Control Room'!$B$13-1)/2)/MAX(0.5,'Control Room'!$B$13/4))^2),1)*IF(AND($A641&gt;='Control Room'!$A$14,$A641&lt;'Control Room'!$A$14+'Control Room'!$B$14,'Process'!BQ3=1),1+('Control Room'!$C$14-1)*EXP(-0.5*(($A641-'Control Room'!$A$14-('Control Room'!$B$14-1)/2)/MAX(0.5,'Control Room'!$B$14/4))^2),1)*IF(AND($A641&gt;='Control Room'!$A$15,$A641&lt;'Control Room'!$A$15+'Control Room'!$B$15,'Process'!BQ4=1),1+('Control Room'!$C$15-1)*EXP(-0.5*(($A641-'Control Room'!$A$15-('Control Room'!$B$15-1)/2)/MAX(0.5,'Control Room'!$B$15/4))^2),1)*IF(AND($A641&gt;='Control Room'!$A$16,$A641&lt;'Control Room'!$A$16+'Control Room'!$B$16,'Process'!BQ5=1),1+('Control Room'!$C$16-1)*EXP(-0.5*(($A641-'Control Room'!$A$16-('Control Room'!$B$16-1)/2)/MAX(0.5,'Control Room'!$B$16/4))^2),1)</x:f>
        <x:v>1</x:v>
      </x:c>
      <x:c r="AK641" s="9" t="n">
        <x:f>MOD(AL640*16807,2147483647)</x:f>
        <x:v>1336075929</x:v>
      </x:c>
      <x:c r="AL641" s="9" t="n">
        <x:f>MOD(AK641*16807,2147483647)</x:f>
        <x:v>1339125671</x:v>
      </x:c>
      <x:c r="AM641" s="17" t="n">
        <x:f>IF('Control Room'!$B$5="Normal",'Control Room'!$B$7+'Control Room'!$D$7*SQRT(-2*LN(MAX(0.000000000001,AK641/2147483647)))*COS(2*PI()*AL641/2147483647),'Control Room'!$B$8+('Control Room'!$D$8-'Control Room'!$B$8)*AK641/2147483647)</x:f>
        <x:v>937.4494416060677</x:v>
      </x:c>
      <x:c r="AN641" s="17" t="n">
        <x:f>IF('Control Room'!$B$5="Normal",'Control Room'!$B$7,('Control Room'!$B$8+'Control Room'!$D$8)/2)+'Control Room'!$B$9*(AN640-IF('Control Room'!$B$5="Normal",'Control Room'!$B$7,('Control Room'!$B$8+'Control Room'!$D$8)/2))+SQRT(1-'Control Room'!$B$9^2)*(AM641-IF('Control Room'!$B$5="Normal",'Control Room'!$B$7,('Control Room'!$B$8+'Control Room'!$D$8)/2))</x:f>
        <x:v>923.8933851953917</x:v>
      </x:c>
      <x:c r="AO641" s="17" t="n">
        <x:f>IF(AND($A641&gt;='Control Room'!$A$13,$A641&lt;'Control Room'!$A$13+'Control Room'!$B$13,'Process'!BR2=1),1+('Control Room'!$C$13-1)*EXP(-0.5*(($A641-'Control Room'!$A$13-('Control Room'!$B$13-1)/2)/MAX(0.5,'Control Room'!$B$13/4))^2),1)*IF(AND($A641&gt;='Control Room'!$A$14,$A641&lt;'Control Room'!$A$14+'Control Room'!$B$14,'Process'!BR3=1),1+('Control Room'!$C$14-1)*EXP(-0.5*(($A641-'Control Room'!$A$14-('Control Room'!$B$14-1)/2)/MAX(0.5,'Control Room'!$B$14/4))^2),1)*IF(AND($A641&gt;='Control Room'!$A$15,$A641&lt;'Control Room'!$A$15+'Control Room'!$B$15,'Process'!BR4=1),1+('Control Room'!$C$15-1)*EXP(-0.5*(($A641-'Control Room'!$A$15-('Control Room'!$B$15-1)/2)/MAX(0.5,'Control Room'!$B$15/4))^2),1)*IF(AND($A641&gt;='Control Room'!$A$16,$A641&lt;'Control Room'!$A$16+'Control Room'!$B$16,'Process'!BR5=1),1+('Control Room'!$C$16-1)*EXP(-0.5*(($A641-'Control Room'!$A$16-('Control Room'!$B$16-1)/2)/MAX(0.5,'Control Room'!$B$16/4))^2),1)</x:f>
        <x:v>1</x:v>
      </x:c>
      <x:c r="AP641" s="9" t="n">
        <x:f>MOD(AQ640*16807,2147483647)</x:f>
        <x:v>1310176849</x:v>
      </x:c>
      <x:c r="AQ641" s="9" t="n">
        <x:f>MOD(AP641*16807,2147483647)</x:f>
        <x:v>1992468452</x:v>
      </x:c>
      <x:c r="AR641" s="17" t="n">
        <x:f>IF('Control Room'!$B$5="Normal",'Control Room'!$B$7+'Control Room'!$D$7*SQRT(-2*LN(MAX(0.000000000001,AP641/2147483647)))*COS(2*PI()*AQ641/2147483647),'Control Room'!$B$8+('Control Room'!$D$8-'Control Room'!$B$8)*AP641/2147483647)</x:f>
        <x:v>1080.4248816167956</x:v>
      </x:c>
      <x:c r="AS641" s="17" t="n">
        <x:f>IF('Control Room'!$B$5="Normal",'Control Room'!$B$7,('Control Room'!$B$8+'Control Room'!$D$8)/2)+'Control Room'!$B$9*(AS640-IF('Control Room'!$B$5="Normal",'Control Room'!$B$7,('Control Room'!$B$8+'Control Room'!$D$8)/2))+SQRT(1-'Control Room'!$B$9^2)*(AR641-IF('Control Room'!$B$5="Normal",'Control Room'!$B$7,('Control Room'!$B$8+'Control Room'!$D$8)/2))</x:f>
        <x:v>1121.4519204576945</x:v>
      </x:c>
      <x:c r="AT641" s="17" t="n">
        <x:f>IF(AND($A641&gt;='Control Room'!$A$13,$A641&lt;'Control Room'!$A$13+'Control Room'!$B$13,'Process'!BS2=1),1+('Control Room'!$C$13-1)*EXP(-0.5*(($A641-'Control Room'!$A$13-('Control Room'!$B$13-1)/2)/MAX(0.5,'Control Room'!$B$13/4))^2),1)*IF(AND($A641&gt;='Control Room'!$A$14,$A641&lt;'Control Room'!$A$14+'Control Room'!$B$14,'Process'!BS3=1),1+('Control Room'!$C$14-1)*EXP(-0.5*(($A641-'Control Room'!$A$14-('Control Room'!$B$14-1)/2)/MAX(0.5,'Control Room'!$B$14/4))^2),1)*IF(AND($A641&gt;='Control Room'!$A$15,$A641&lt;'Control Room'!$A$15+'Control Room'!$B$15,'Process'!BS4=1),1+('Control Room'!$C$15-1)*EXP(-0.5*(($A641-'Control Room'!$A$15-('Control Room'!$B$15-1)/2)/MAX(0.5,'Control Room'!$B$15/4))^2),1)*IF(AND($A641&gt;='Control Room'!$A$16,$A641&lt;'Control Room'!$A$16+'Control Room'!$B$16,'Process'!BS5=1),1+('Control Room'!$C$16-1)*EXP(-0.5*(($A641-'Control Room'!$A$16-('Control Room'!$B$16-1)/2)/MAX(0.5,'Control Room'!$B$16/4))^2),1)</x:f>
        <x:v>1</x:v>
      </x:c>
      <x:c r="AU641" s="9" t="n">
        <x:f>MOD(AV640*16807,2147483647)</x:f>
        <x:v>1284277769</x:v>
      </x:c>
      <x:c r="AV641" s="9" t="n">
        <x:f>MOD(AU641*16807,2147483647)</x:f>
        <x:v>498327586</x:v>
      </x:c>
      <x:c r="AW641" s="17" t="n">
        <x:f>IF('Control Room'!$B$5="Normal",'Control Room'!$B$7+'Control Room'!$D$7*SQRT(-2*LN(MAX(0.000000000001,AU641/2147483647)))*COS(2*PI()*AV641/2147483647),'Control Room'!$B$8+('Control Room'!$D$8-'Control Room'!$B$8)*AU641/2147483647)</x:f>
        <x:v>1010.2697458318205</x:v>
      </x:c>
      <x:c r="AX641" s="17" t="n">
        <x:f>IF('Control Room'!$B$5="Normal",'Control Room'!$B$7,('Control Room'!$B$8+'Control Room'!$D$8)/2)+'Control Room'!$B$9*(AX640-IF('Control Room'!$B$5="Normal",'Control Room'!$B$7,('Control Room'!$B$8+'Control Room'!$D$8)/2))+SQRT(1-'Control Room'!$B$9^2)*(AW641-IF('Control Room'!$B$5="Normal",'Control Room'!$B$7,('Control Room'!$B$8+'Control Room'!$D$8)/2))</x:f>
        <x:v>956.9408535475583</x:v>
      </x:c>
      <x:c r="AY641" s="17" t="n">
        <x:f>IF(AND($A641&gt;='Control Room'!$A$13,$A641&lt;'Control Room'!$A$13+'Control Room'!$B$13,'Process'!BT2=1),1+('Control Room'!$C$13-1)*EXP(-0.5*(($A641-'Control Room'!$A$13-('Control Room'!$B$13-1)/2)/MAX(0.5,'Control Room'!$B$13/4))^2),1)*IF(AND($A641&gt;='Control Room'!$A$14,$A641&lt;'Control Room'!$A$14+'Control Room'!$B$14,'Process'!BT3=1),1+('Control Room'!$C$14-1)*EXP(-0.5*(($A641-'Control Room'!$A$14-('Control Room'!$B$14-1)/2)/MAX(0.5,'Control Room'!$B$14/4))^2),1)*IF(AND($A641&gt;='Control Room'!$A$15,$A641&lt;'Control Room'!$A$15+'Control Room'!$B$15,'Process'!BT4=1),1+('Control Room'!$C$15-1)*EXP(-0.5*(($A641-'Control Room'!$A$15-('Control Room'!$B$15-1)/2)/MAX(0.5,'Control Room'!$B$15/4))^2),1)*IF(AND($A641&gt;='Control Room'!$A$16,$A641&lt;'Control Room'!$A$16+'Control Room'!$B$16,'Process'!BT5=1),1+('Control Room'!$C$16-1)*EXP(-0.5*(($A641-'Control Room'!$A$16-('Control Room'!$B$16-1)/2)/MAX(0.5,'Control Room'!$B$16/4))^2),1)</x:f>
        <x:v>1</x:v>
      </x:c>
      <x:c r="AZ641" s="9" t="n">
        <x:f>MOD(BA640*16807,2147483647)</x:f>
        <x:v>1258378689</x:v>
      </x:c>
      <x:c r="BA641" s="9" t="n">
        <x:f>MOD(AZ641*16807,2147483647)</x:f>
        <x:v>1151670367</x:v>
      </x:c>
      <x:c r="BB641" s="17" t="n">
        <x:f>IF('Control Room'!$B$5="Normal",'Control Room'!$B$7+'Control Room'!$D$7*SQRT(-2*LN(MAX(0.000000000001,AZ641/2147483647)))*COS(2*PI()*BA641/2147483647),'Control Room'!$B$8+('Control Room'!$D$8-'Control Room'!$B$8)*AZ641/2147483647)</x:f>
        <x:v>909.3574199181057</x:v>
      </x:c>
      <x:c r="BC641" s="17" t="n">
        <x:f>IF('Control Room'!$B$5="Normal",'Control Room'!$B$7,('Control Room'!$B$8+'Control Room'!$D$8)/2)+'Control Room'!$B$9*(BC640-IF('Control Room'!$B$5="Normal",'Control Room'!$B$7,('Control Room'!$B$8+'Control Room'!$D$8)/2))+SQRT(1-'Control Room'!$B$9^2)*(BB641-IF('Control Room'!$B$5="Normal",'Control Room'!$B$7,('Control Room'!$B$8+'Control Room'!$D$8)/2))</x:f>
        <x:v>816.131487948896</x:v>
      </x:c>
      <x:c r="BD641" s="17" t="n">
        <x:f>IF(AND($A641&gt;='Control Room'!$A$13,$A641&lt;'Control Room'!$A$13+'Control Room'!$B$13,'Process'!BU2=1),1+('Control Room'!$C$13-1)*EXP(-0.5*(($A641-'Control Room'!$A$13-('Control Room'!$B$13-1)/2)/MAX(0.5,'Control Room'!$B$13/4))^2),1)*IF(AND($A641&gt;='Control Room'!$A$14,$A641&lt;'Control Room'!$A$14+'Control Room'!$B$14,'Process'!BU3=1),1+('Control Room'!$C$14-1)*EXP(-0.5*(($A641-'Control Room'!$A$14-('Control Room'!$B$14-1)/2)/MAX(0.5,'Control Room'!$B$14/4))^2),1)*IF(AND($A641&gt;='Control Room'!$A$15,$A641&lt;'Control Room'!$A$15+'Control Room'!$B$15,'Process'!BU4=1),1+('Control Room'!$C$15-1)*EXP(-0.5*(($A641-'Control Room'!$A$15-('Control Room'!$B$15-1)/2)/MAX(0.5,'Control Room'!$B$15/4))^2),1)*IF(AND($A641&gt;='Control Room'!$A$16,$A641&lt;'Control Room'!$A$16+'Control Room'!$B$16,'Process'!BU5=1),1+('Control Room'!$C$16-1)*EXP(-0.5*(($A641-'Control Room'!$A$16-('Control Room'!$B$16-1)/2)/MAX(0.5,'Control Room'!$B$16/4))^2),1)</x:f>
        <x:v>1</x:v>
      </x:c>
      <x:c r="BE641" s="9" t="n">
        <x:f>MOD(BF640*16807,2147483647)</x:f>
        <x:v>1232479609</x:v>
      </x:c>
      <x:c r="BF641" s="9" t="n">
        <x:f>MOD(BE641*16807,2147483647)</x:f>
        <x:v>1805013148</x:v>
      </x:c>
      <x:c r="BG641" s="17" t="n">
        <x:f>IF('Control Room'!$B$5="Normal",'Control Room'!$B$7+'Control Room'!$D$7*SQRT(-2*LN(MAX(0.000000000001,BE641/2147483647)))*COS(2*PI()*BF641/2147483647),'Control Room'!$B$8+('Control Room'!$D$8-'Control Room'!$B$8)*BE641/2147483647)</x:f>
        <x:v>1051.0836179316639</x:v>
      </x:c>
      <x:c r="BH641" s="17" t="n">
        <x:f>IF('Control Room'!$B$5="Normal",'Control Room'!$B$7,('Control Room'!$B$8+'Control Room'!$D$8)/2)+'Control Room'!$B$9*(BH640-IF('Control Room'!$B$5="Normal",'Control Room'!$B$7,('Control Room'!$B$8+'Control Room'!$D$8)/2))+SQRT(1-'Control Room'!$B$9^2)*(BG641-IF('Control Room'!$B$5="Normal",'Control Room'!$B$7,('Control Room'!$B$8+'Control Room'!$D$8)/2))</x:f>
        <x:v>1113.7298358074881</x:v>
      </x:c>
      <x:c r="BI641" s="17" t="n">
        <x:f>IF(AND($A641&gt;='Control Room'!$A$13,$A641&lt;'Control Room'!$A$13+'Control Room'!$B$13,'Process'!BV2=1),1+('Control Room'!$C$13-1)*EXP(-0.5*(($A641-'Control Room'!$A$13-('Control Room'!$B$13-1)/2)/MAX(0.5,'Control Room'!$B$13/4))^2),1)*IF(AND($A641&gt;='Control Room'!$A$14,$A641&lt;'Control Room'!$A$14+'Control Room'!$B$14,'Process'!BV3=1),1+('Control Room'!$C$14-1)*EXP(-0.5*(($A641-'Control Room'!$A$14-('Control Room'!$B$14-1)/2)/MAX(0.5,'Control Room'!$B$14/4))^2),1)*IF(AND($A641&gt;='Control Room'!$A$15,$A641&lt;'Control Room'!$A$15+'Control Room'!$B$15,'Process'!BV4=1),1+('Control Room'!$C$15-1)*EXP(-0.5*(($A641-'Control Room'!$A$15-('Control Room'!$B$15-1)/2)/MAX(0.5,'Control Room'!$B$15/4))^2),1)*IF(AND($A641&gt;='Control Room'!$A$16,$A641&lt;'Control Room'!$A$16+'Control Room'!$B$16,'Process'!BV5=1),1+('Control Room'!$C$16-1)*EXP(-0.5*(($A641-'Control Room'!$A$16-('Control Room'!$B$16-1)/2)/MAX(0.5,'Control Room'!$B$16/4))^2),1)</x:f>
        <x:v>1</x:v>
      </x:c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Z641" t="str">
        <x:f>IF('Data'!A641="","",TEXT('Data'!A641,"mm-dd"))</x:f>
      </x:c>
    </x:row>
    <x:row r="642" ht="21" customHeight="1">
      <x:c r="A642" s="15" t="n">
        <x:f>'Control Room'!$B$1+640</x:f>
        <x:v>73631</x:v>
      </x:c>
      <x:c r="B642" s="9" t="n">
        <x:f>MOD(C641*16807,2147483647)</x:f>
        <x:v>813867139</x:v>
      </x:c>
      <x:c r="C642" s="9" t="n">
        <x:f>MOD(B642*16807,2147483647)</x:f>
        <x:v>1341657430</x:v>
      </x:c>
      <x:c r="D642" s="17" t="n">
        <x:f>IF('Control Room'!$B$5="Normal",'Control Room'!$B$7+'Control Room'!$D$7*SQRT(-2*LN(MAX(0.000000000001,B642/2147483647)))*COS(2*PI()*C642/2147483647),'Control Room'!$B$8+('Control Room'!$D$8-'Control Room'!$B$8)*B642/2147483647)</x:f>
        <x:v>911.2138981308152</x:v>
      </x:c>
      <x:c r="E642" s="17" t="n">
        <x:f>IF('Control Room'!$B$5="Normal",'Control Room'!$B$7,('Control Room'!$B$8+'Control Room'!$D$8)/2)+'Control Room'!$B$9*(E641-IF('Control Room'!$B$5="Normal",'Control Room'!$B$7,('Control Room'!$B$8+'Control Room'!$D$8)/2))+SQRT(1-'Control Room'!$B$9^2)*(D642-IF('Control Room'!$B$5="Normal",'Control Room'!$B$7,('Control Room'!$B$8+'Control Room'!$D$8)/2))</x:f>
        <x:v>1042.9603591965504</x:v>
      </x:c>
      <x:c r="F642" s="17" t="n">
        <x:f>IF(AND($A642&gt;='Control Room'!$A$13,$A642&lt;'Control Room'!$A$13+'Control Room'!$B$13,'Process'!BK2=1),1+('Control Room'!$C$13-1)*EXP(-0.5*(($A642-'Control Room'!$A$13-('Control Room'!$B$13-1)/2)/MAX(0.5,'Control Room'!$B$13/4))^2),1)*IF(AND($A642&gt;='Control Room'!$A$14,$A642&lt;'Control Room'!$A$14+'Control Room'!$B$14,'Process'!BK3=1),1+('Control Room'!$C$14-1)*EXP(-0.5*(($A642-'Control Room'!$A$14-('Control Room'!$B$14-1)/2)/MAX(0.5,'Control Room'!$B$14/4))^2),1)*IF(AND($A642&gt;='Control Room'!$A$15,$A642&lt;'Control Room'!$A$15+'Control Room'!$B$15,'Process'!BK4=1),1+('Control Room'!$C$15-1)*EXP(-0.5*(($A642-'Control Room'!$A$15-('Control Room'!$B$15-1)/2)/MAX(0.5,'Control Room'!$B$15/4))^2),1)*IF(AND($A642&gt;='Control Room'!$A$16,$A642&lt;'Control Room'!$A$16+'Control Room'!$B$16,'Process'!BK5=1),1+('Control Room'!$C$16-1)*EXP(-0.5*(($A642-'Control Room'!$A$16-('Control Room'!$B$16-1)/2)/MAX(0.5,'Control Room'!$B$16/4))^2),1)</x:f>
        <x:v>1</x:v>
      </x:c>
      <x:c r="G642" s="9" t="n">
        <x:f>MOD(H641*16807,2147483647)</x:f>
        <x:v>1462100295</x:v>
      </x:c>
      <x:c r="H642" s="9" t="n">
        <x:f>MOD(G642*16807,2147483647)</x:f>
        <x:v>2011769091</x:v>
      </x:c>
      <x:c r="I642" s="17" t="n">
        <x:f>IF('Control Room'!$B$5="Normal",'Control Room'!$B$7+'Control Room'!$D$7*SQRT(-2*LN(MAX(0.000000000001,G642/2147483647)))*COS(2*PI()*H642/2147483647),'Control Room'!$B$8+('Control Room'!$D$8-'Control Room'!$B$8)*G642/2147483647)</x:f>
        <x:v>1072.7754182553545</x:v>
      </x:c>
      <x:c r="J642" s="17" t="n">
        <x:f>IF('Control Room'!$B$5="Normal",'Control Room'!$B$7,('Control Room'!$B$8+'Control Room'!$D$8)/2)+'Control Room'!$B$9*(J641-IF('Control Room'!$B$5="Normal",'Control Room'!$B$7,('Control Room'!$B$8+'Control Room'!$D$8)/2))+SQRT(1-'Control Room'!$B$9^2)*(I642-IF('Control Room'!$B$5="Normal",'Control Room'!$B$7,('Control Room'!$B$8+'Control Room'!$D$8)/2))</x:f>
        <x:v>1036.5890709339524</x:v>
      </x:c>
      <x:c r="K642" s="17" t="n">
        <x:f>IF(AND($A642&gt;='Control Room'!$A$13,$A642&lt;'Control Room'!$A$13+'Control Room'!$B$13,'Process'!BL2=1),1+('Control Room'!$C$13-1)*EXP(-0.5*(($A642-'Control Room'!$A$13-('Control Room'!$B$13-1)/2)/MAX(0.5,'Control Room'!$B$13/4))^2),1)*IF(AND($A642&gt;='Control Room'!$A$14,$A642&lt;'Control Room'!$A$14+'Control Room'!$B$14,'Process'!BL3=1),1+('Control Room'!$C$14-1)*EXP(-0.5*(($A642-'Control Room'!$A$14-('Control Room'!$B$14-1)/2)/MAX(0.5,'Control Room'!$B$14/4))^2),1)*IF(AND($A642&gt;='Control Room'!$A$15,$A642&lt;'Control Room'!$A$15+'Control Room'!$B$15,'Process'!BL4=1),1+('Control Room'!$C$15-1)*EXP(-0.5*(($A642-'Control Room'!$A$15-('Control Room'!$B$15-1)/2)/MAX(0.5,'Control Room'!$B$15/4))^2),1)*IF(AND($A642&gt;='Control Room'!$A$16,$A642&lt;'Control Room'!$A$16+'Control Room'!$B$16,'Process'!BL5=1),1+('Control Room'!$C$16-1)*EXP(-0.5*(($A642-'Control Room'!$A$16-('Control Room'!$B$16-1)/2)/MAX(0.5,'Control Room'!$B$16/4))^2),1)</x:f>
        <x:v>1</x:v>
      </x:c>
      <x:c r="L642" s="9" t="n">
        <x:f>MOD(M641*16807,2147483647)</x:f>
        <x:v>2110333451</x:v>
      </x:c>
      <x:c r="M642" s="9" t="n">
        <x:f>MOD(L642*16807,2147483647)</x:f>
        <x:v>534397105</x:v>
      </x:c>
      <x:c r="N642" s="17" t="n">
        <x:f>IF('Control Room'!$B$5="Normal",'Control Room'!$B$7+'Control Room'!$D$7*SQRT(-2*LN(MAX(0.000000000001,L642/2147483647)))*COS(2*PI()*M642/2147483647),'Control Room'!$B$8+('Control Room'!$D$8-'Control Room'!$B$8)*L642/2147483647)</x:f>
        <x:v>1000.1216962093249</x:v>
      </x:c>
      <x:c r="O642" s="17" t="n">
        <x:f>IF('Control Room'!$B$5="Normal",'Control Room'!$B$7,('Control Room'!$B$8+'Control Room'!$D$8)/2)+'Control Room'!$B$9*(O641-IF('Control Room'!$B$5="Normal",'Control Room'!$B$7,('Control Room'!$B$8+'Control Room'!$D$8)/2))+SQRT(1-'Control Room'!$B$9^2)*(N642-IF('Control Room'!$B$5="Normal",'Control Room'!$B$7,('Control Room'!$B$8+'Control Room'!$D$8)/2))</x:f>
        <x:v>1125.4480147047807</x:v>
      </x:c>
      <x:c r="P642" s="17" t="n">
        <x:f>IF(AND($A642&gt;='Control Room'!$A$13,$A642&lt;'Control Room'!$A$13+'Control Room'!$B$13,'Process'!BM2=1),1+('Control Room'!$C$13-1)*EXP(-0.5*(($A642-'Control Room'!$A$13-('Control Room'!$B$13-1)/2)/MAX(0.5,'Control Room'!$B$13/4))^2),1)*IF(AND($A642&gt;='Control Room'!$A$14,$A642&lt;'Control Room'!$A$14+'Control Room'!$B$14,'Process'!BM3=1),1+('Control Room'!$C$14-1)*EXP(-0.5*(($A642-'Control Room'!$A$14-('Control Room'!$B$14-1)/2)/MAX(0.5,'Control Room'!$B$14/4))^2),1)*IF(AND($A642&gt;='Control Room'!$A$15,$A642&lt;'Control Room'!$A$15+'Control Room'!$B$15,'Process'!BM4=1),1+('Control Room'!$C$15-1)*EXP(-0.5*(($A642-'Control Room'!$A$15-('Control Room'!$B$15-1)/2)/MAX(0.5,'Control Room'!$B$15/4))^2),1)*IF(AND($A642&gt;='Control Room'!$A$16,$A642&lt;'Control Room'!$A$16+'Control Room'!$B$16,'Process'!BM5=1),1+('Control Room'!$C$16-1)*EXP(-0.5*(($A642-'Control Room'!$A$16-('Control Room'!$B$16-1)/2)/MAX(0.5,'Control Room'!$B$16/4))^2),1)</x:f>
        <x:v>1</x:v>
      </x:c>
      <x:c r="Q642" s="9" t="n">
        <x:f>MOD(R641*16807,2147483647)</x:f>
        <x:v>611082960</x:v>
      </x:c>
      <x:c r="R642" s="9" t="n">
        <x:f>MOD(Q642*16807,2147483647)</x:f>
        <x:v>1204508766</x:v>
      </x:c>
      <x:c r="S642" s="17" t="n">
        <x:f>IF('Control Room'!$B$5="Normal",'Control Room'!$B$7+'Control Room'!$D$7*SQRT(-2*LN(MAX(0.000000000001,Q642/2147483647)))*COS(2*PI()*R642/2147483647),'Control Room'!$B$8+('Control Room'!$D$8-'Control Room'!$B$8)*Q642/2147483647)</x:f>
        <x:v>867.6269218041197</x:v>
      </x:c>
      <x:c r="T642" s="17" t="n">
        <x:f>IF('Control Room'!$B$5="Normal",'Control Room'!$B$7,('Control Room'!$B$8+'Control Room'!$D$8)/2)+'Control Room'!$B$9*(T641-IF('Control Room'!$B$5="Normal",'Control Room'!$B$7,('Control Room'!$B$8+'Control Room'!$D$8)/2))+SQRT(1-'Control Room'!$B$9^2)*(S642-IF('Control Room'!$B$5="Normal",'Control Room'!$B$7,('Control Room'!$B$8+'Control Room'!$D$8)/2))</x:f>
        <x:v>896.3916179498023</x:v>
      </x:c>
      <x:c r="U642" s="17" t="n">
        <x:f>IF(AND($A642&gt;='Control Room'!$A$13,$A642&lt;'Control Room'!$A$13+'Control Room'!$B$13,'Process'!BN2=1),1+('Control Room'!$C$13-1)*EXP(-0.5*(($A642-'Control Room'!$A$13-('Control Room'!$B$13-1)/2)/MAX(0.5,'Control Room'!$B$13/4))^2),1)*IF(AND($A642&gt;='Control Room'!$A$14,$A642&lt;'Control Room'!$A$14+'Control Room'!$B$14,'Process'!BN3=1),1+('Control Room'!$C$14-1)*EXP(-0.5*(($A642-'Control Room'!$A$14-('Control Room'!$B$14-1)/2)/MAX(0.5,'Control Room'!$B$14/4))^2),1)*IF(AND($A642&gt;='Control Room'!$A$15,$A642&lt;'Control Room'!$A$15+'Control Room'!$B$15,'Process'!BN4=1),1+('Control Room'!$C$15-1)*EXP(-0.5*(($A642-'Control Room'!$A$15-('Control Room'!$B$15-1)/2)/MAX(0.5,'Control Room'!$B$15/4))^2),1)*IF(AND($A642&gt;='Control Room'!$A$16,$A642&lt;'Control Room'!$A$16+'Control Room'!$B$16,'Process'!BN5=1),1+('Control Room'!$C$16-1)*EXP(-0.5*(($A642-'Control Room'!$A$16-('Control Room'!$B$16-1)/2)/MAX(0.5,'Control Room'!$B$16/4))^2),1)</x:f>
        <x:v>1</x:v>
      </x:c>
      <x:c r="V642" s="9" t="n">
        <x:f>MOD(W641*16807,2147483647)</x:f>
        <x:v>1259316116</x:v>
      </x:c>
      <x:c r="W642" s="9" t="n">
        <x:f>MOD(V642*16807,2147483647)</x:f>
        <x:v>1874620427</x:v>
      </x:c>
      <x:c r="X642" s="17" t="n">
        <x:f>IF('Control Room'!$B$5="Normal",'Control Room'!$B$7+'Control Room'!$D$7*SQRT(-2*LN(MAX(0.000000000001,V642/2147483647)))*COS(2*PI()*W642/2147483647),'Control Room'!$B$8+('Control Room'!$D$8-'Control Room'!$B$8)*V642/2147483647)</x:f>
        <x:v>1064.8937260254065</x:v>
      </x:c>
      <x:c r="Y642" s="17" t="n">
        <x:f>IF('Control Room'!$B$5="Normal",'Control Room'!$B$7,('Control Room'!$B$8+'Control Room'!$D$8)/2)+'Control Room'!$B$9*(Y641-IF('Control Room'!$B$5="Normal",'Control Room'!$B$7,('Control Room'!$B$8+'Control Room'!$D$8)/2))+SQRT(1-'Control Room'!$B$9^2)*(X642-IF('Control Room'!$B$5="Normal",'Control Room'!$B$7,('Control Room'!$B$8+'Control Room'!$D$8)/2))</x:f>
        <x:v>1091.2221680834537</x:v>
      </x:c>
      <x:c r="Z642" s="17" t="n">
        <x:f>IF(AND($A642&gt;='Control Room'!$A$13,$A642&lt;'Control Room'!$A$13+'Control Room'!$B$13,'Process'!BO2=1),1+('Control Room'!$C$13-1)*EXP(-0.5*(($A642-'Control Room'!$A$13-('Control Room'!$B$13-1)/2)/MAX(0.5,'Control Room'!$B$13/4))^2),1)*IF(AND($A642&gt;='Control Room'!$A$14,$A642&lt;'Control Room'!$A$14+'Control Room'!$B$14,'Process'!BO3=1),1+('Control Room'!$C$14-1)*EXP(-0.5*(($A642-'Control Room'!$A$14-('Control Room'!$B$14-1)/2)/MAX(0.5,'Control Room'!$B$14/4))^2),1)*IF(AND($A642&gt;='Control Room'!$A$15,$A642&lt;'Control Room'!$A$15+'Control Room'!$B$15,'Process'!BO4=1),1+('Control Room'!$C$15-1)*EXP(-0.5*(($A642-'Control Room'!$A$15-('Control Room'!$B$15-1)/2)/MAX(0.5,'Control Room'!$B$15/4))^2),1)*IF(AND($A642&gt;='Control Room'!$A$16,$A642&lt;'Control Room'!$A$16+'Control Room'!$B$16,'Process'!BO5=1),1+('Control Room'!$C$16-1)*EXP(-0.5*(($A642-'Control Room'!$A$16-('Control Room'!$B$16-1)/2)/MAX(0.5,'Control Room'!$B$16/4))^2),1)</x:f>
        <x:v>1</x:v>
      </x:c>
      <x:c r="AA642" s="9" t="n">
        <x:f>MOD(AB641*16807,2147483647)</x:f>
        <x:v>1907549272</x:v>
      </x:c>
      <x:c r="AB642" s="9" t="n">
        <x:f>MOD(AA642*16807,2147483647)</x:f>
        <x:v>397248441</x:v>
      </x:c>
      <x:c r="AC642" s="17" t="n">
        <x:f>IF('Control Room'!$B$5="Normal",'Control Room'!$B$7+'Control Room'!$D$7*SQRT(-2*LN(MAX(0.000000000001,AA642/2147483647)))*COS(2*PI()*AB642/2147483647),'Control Room'!$B$8+('Control Room'!$D$8-'Control Room'!$B$8)*AA642/2147483647)</x:f>
        <x:v>1017.403371891736</x:v>
      </x:c>
      <x:c r="AD642" s="17" t="n">
        <x:f>IF('Control Room'!$B$5="Normal",'Control Room'!$B$7,('Control Room'!$B$8+'Control Room'!$D$8)/2)+'Control Room'!$B$9*(AD641-IF('Control Room'!$B$5="Normal",'Control Room'!$B$7,('Control Room'!$B$8+'Control Room'!$D$8)/2))+SQRT(1-'Control Room'!$B$9^2)*(AC642-IF('Control Room'!$B$5="Normal",'Control Room'!$B$7,('Control Room'!$B$8+'Control Room'!$D$8)/2))</x:f>
        <x:v>1086.7580191517302</x:v>
      </x:c>
      <x:c r="AE642" s="17" t="n">
        <x:f>IF(AND($A642&gt;='Control Room'!$A$13,$A642&lt;'Control Room'!$A$13+'Control Room'!$B$13,'Process'!BP2=1),1+('Control Room'!$C$13-1)*EXP(-0.5*(($A642-'Control Room'!$A$13-('Control Room'!$B$13-1)/2)/MAX(0.5,'Control Room'!$B$13/4))^2),1)*IF(AND($A642&gt;='Control Room'!$A$14,$A642&lt;'Control Room'!$A$14+'Control Room'!$B$14,'Process'!BP3=1),1+('Control Room'!$C$14-1)*EXP(-0.5*(($A642-'Control Room'!$A$14-('Control Room'!$B$14-1)/2)/MAX(0.5,'Control Room'!$B$14/4))^2),1)*IF(AND($A642&gt;='Control Room'!$A$15,$A642&lt;'Control Room'!$A$15+'Control Room'!$B$15,'Process'!BP4=1),1+('Control Room'!$C$15-1)*EXP(-0.5*(($A642-'Control Room'!$A$15-('Control Room'!$B$15-1)/2)/MAX(0.5,'Control Room'!$B$15/4))^2),1)*IF(AND($A642&gt;='Control Room'!$A$16,$A642&lt;'Control Room'!$A$16+'Control Room'!$B$16,'Process'!BP5=1),1+('Control Room'!$C$16-1)*EXP(-0.5*(($A642-'Control Room'!$A$16-('Control Room'!$B$16-1)/2)/MAX(0.5,'Control Room'!$B$16/4))^2),1)</x:f>
        <x:v>1</x:v>
      </x:c>
      <x:c r="AF642" s="9" t="n">
        <x:f>MOD(AG641*16807,2147483647)</x:f>
        <x:v>408298781</x:v>
      </x:c>
      <x:c r="AG642" s="9" t="n">
        <x:f>MOD(AF642*16807,2147483647)</x:f>
        <x:v>1067360102</x:v>
      </x:c>
      <x:c r="AH642" s="17" t="n">
        <x:f>IF('Control Room'!$B$5="Normal",'Control Room'!$B$7+'Control Room'!$D$7*SQRT(-2*LN(MAX(0.000000000001,AF642/2147483647)))*COS(2*PI()*AG642/2147483647),'Control Room'!$B$8+('Control Room'!$D$8-'Control Room'!$B$8)*AF642/2147483647)</x:f>
        <x:v>836.0381721842134</x:v>
      </x:c>
      <x:c r="AI642" s="17" t="n">
        <x:f>IF('Control Room'!$B$5="Normal",'Control Room'!$B$7,('Control Room'!$B$8+'Control Room'!$D$8)/2)+'Control Room'!$B$9*(AI641-IF('Control Room'!$B$5="Normal",'Control Room'!$B$7,('Control Room'!$B$8+'Control Room'!$D$8)/2))+SQRT(1-'Control Room'!$B$9^2)*(AH642-IF('Control Room'!$B$5="Normal",'Control Room'!$B$7,('Control Room'!$B$8+'Control Room'!$D$8)/2))</x:f>
        <x:v>772.1931353510387</x:v>
      </x:c>
      <x:c r="AJ642" s="17" t="n">
        <x:f>IF(AND($A642&gt;='Control Room'!$A$13,$A642&lt;'Control Room'!$A$13+'Control Room'!$B$13,'Process'!BQ2=1),1+('Control Room'!$C$13-1)*EXP(-0.5*(($A642-'Control Room'!$A$13-('Control Room'!$B$13-1)/2)/MAX(0.5,'Control Room'!$B$13/4))^2),1)*IF(AND($A642&gt;='Control Room'!$A$14,$A642&lt;'Control Room'!$A$14+'Control Room'!$B$14,'Process'!BQ3=1),1+('Control Room'!$C$14-1)*EXP(-0.5*(($A642-'Control Room'!$A$14-('Control Room'!$B$14-1)/2)/MAX(0.5,'Control Room'!$B$14/4))^2),1)*IF(AND($A642&gt;='Control Room'!$A$15,$A642&lt;'Control Room'!$A$15+'Control Room'!$B$15,'Process'!BQ4=1),1+('Control Room'!$C$15-1)*EXP(-0.5*(($A642-'Control Room'!$A$15-('Control Room'!$B$15-1)/2)/MAX(0.5,'Control Room'!$B$15/4))^2),1)*IF(AND($A642&gt;='Control Room'!$A$16,$A642&lt;'Control Room'!$A$16+'Control Room'!$B$16,'Process'!BQ5=1),1+('Control Room'!$C$16-1)*EXP(-0.5*(($A642-'Control Room'!$A$16-('Control Room'!$B$16-1)/2)/MAX(0.5,'Control Room'!$B$16/4))^2),1)</x:f>
        <x:v>1</x:v>
      </x:c>
      <x:c r="AK642" s="9" t="n">
        <x:f>MOD(AL641*16807,2147483647)</x:f>
        <x:v>1056531937</x:v>
      </x:c>
      <x:c r="AL642" s="9" t="n">
        <x:f>MOD(AK642*16807,2147483647)</x:f>
        <x:v>1737471763</x:v>
      </x:c>
      <x:c r="AM642" s="17" t="n">
        <x:f>IF('Control Room'!$B$5="Normal",'Control Room'!$B$7+'Control Room'!$D$7*SQRT(-2*LN(MAX(0.000000000001,AK642/2147483647)))*COS(2*PI()*AL642/2147483647),'Control Room'!$B$8+('Control Room'!$D$8-'Control Room'!$B$8)*AK642/2147483647)</x:f>
        <x:v>1038.880097181403</x:v>
      </x:c>
      <x:c r="AN642" s="17" t="n">
        <x:f>IF('Control Room'!$B$5="Normal",'Control Room'!$B$7,('Control Room'!$B$8+'Control Room'!$D$8)/2)+'Control Room'!$B$9*(AN641-IF('Control Room'!$B$5="Normal",'Control Room'!$B$7,('Control Room'!$B$8+'Control Room'!$D$8)/2))+SQRT(1-'Control Room'!$B$9^2)*(AM642-IF('Control Room'!$B$5="Normal",'Control Room'!$B$7,('Control Room'!$B$8+'Control Room'!$D$8)/2))</x:f>
        <x:v>964.967208766443</x:v>
      </x:c>
      <x:c r="AO642" s="17" t="n">
        <x:f>IF(AND($A642&gt;='Control Room'!$A$13,$A642&lt;'Control Room'!$A$13+'Control Room'!$B$13,'Process'!BR2=1),1+('Control Room'!$C$13-1)*EXP(-0.5*(($A642-'Control Room'!$A$13-('Control Room'!$B$13-1)/2)/MAX(0.5,'Control Room'!$B$13/4))^2),1)*IF(AND($A642&gt;='Control Room'!$A$14,$A642&lt;'Control Room'!$A$14+'Control Room'!$B$14,'Process'!BR3=1),1+('Control Room'!$C$14-1)*EXP(-0.5*(($A642-'Control Room'!$A$14-('Control Room'!$B$14-1)/2)/MAX(0.5,'Control Room'!$B$14/4))^2),1)*IF(AND($A642&gt;='Control Room'!$A$15,$A642&lt;'Control Room'!$A$15+'Control Room'!$B$15,'Process'!BR4=1),1+('Control Room'!$C$15-1)*EXP(-0.5*(($A642-'Control Room'!$A$15-('Control Room'!$B$15-1)/2)/MAX(0.5,'Control Room'!$B$15/4))^2),1)*IF(AND($A642&gt;='Control Room'!$A$16,$A642&lt;'Control Room'!$A$16+'Control Room'!$B$16,'Process'!BR5=1),1+('Control Room'!$C$16-1)*EXP(-0.5*(($A642-'Control Room'!$A$16-('Control Room'!$B$16-1)/2)/MAX(0.5,'Control Room'!$B$16/4))^2),1)</x:f>
        <x:v>1</x:v>
      </x:c>
      <x:c r="AP642" s="9" t="n">
        <x:f>MOD(AQ641*16807,2147483647)</x:f>
        <x:v>1704765093</x:v>
      </x:c>
      <x:c r="AQ642" s="9" t="n">
        <x:f>MOD(AP642*16807,2147483647)</x:f>
        <x:v>260099777</x:v>
      </x:c>
      <x:c r="AR642" s="17" t="n">
        <x:f>IF('Control Room'!$B$5="Normal",'Control Room'!$B$7+'Control Room'!$D$7*SQRT(-2*LN(MAX(0.000000000001,AP642/2147483647)))*COS(2*PI()*AQ642/2147483647),'Control Room'!$B$8+('Control Room'!$D$8-'Control Room'!$B$8)*AP642/2147483647)</x:f>
        <x:v>1044.285692324972</x:v>
      </x:c>
      <x:c r="AS642" s="17" t="n">
        <x:f>IF('Control Room'!$B$5="Normal",'Control Room'!$B$7,('Control Room'!$B$8+'Control Room'!$D$8)/2)+'Control Room'!$B$9*(AS641-IF('Control Room'!$B$5="Normal",'Control Room'!$B$7,('Control Room'!$B$8+'Control Room'!$D$8)/2))+SQRT(1-'Control Room'!$B$9^2)*(AR642-IF('Control Room'!$B$5="Normal",'Control Room'!$B$7,('Control Room'!$B$8+'Control Room'!$D$8)/2))</x:f>
        <x:v>1122.4455769722488</x:v>
      </x:c>
      <x:c r="AT642" s="17" t="n">
        <x:f>IF(AND($A642&gt;='Control Room'!$A$13,$A642&lt;'Control Room'!$A$13+'Control Room'!$B$13,'Process'!BS2=1),1+('Control Room'!$C$13-1)*EXP(-0.5*(($A642-'Control Room'!$A$13-('Control Room'!$B$13-1)/2)/MAX(0.5,'Control Room'!$B$13/4))^2),1)*IF(AND($A642&gt;='Control Room'!$A$14,$A642&lt;'Control Room'!$A$14+'Control Room'!$B$14,'Process'!BS3=1),1+('Control Room'!$C$14-1)*EXP(-0.5*(($A642-'Control Room'!$A$14-('Control Room'!$B$14-1)/2)/MAX(0.5,'Control Room'!$B$14/4))^2),1)*IF(AND($A642&gt;='Control Room'!$A$15,$A642&lt;'Control Room'!$A$15+'Control Room'!$B$15,'Process'!BS4=1),1+('Control Room'!$C$15-1)*EXP(-0.5*(($A642-'Control Room'!$A$15-('Control Room'!$B$15-1)/2)/MAX(0.5,'Control Room'!$B$15/4))^2),1)*IF(AND($A642&gt;='Control Room'!$A$16,$A642&lt;'Control Room'!$A$16+'Control Room'!$B$16,'Process'!BS5=1),1+('Control Room'!$C$16-1)*EXP(-0.5*(($A642-'Control Room'!$A$16-('Control Room'!$B$16-1)/2)/MAX(0.5,'Control Room'!$B$16/4))^2),1)</x:f>
        <x:v>1</x:v>
      </x:c>
      <x:c r="AU642" s="9" t="n">
        <x:f>MOD(AV641*16807,2147483647)</x:f>
        <x:v>205514602</x:v>
      </x:c>
      <x:c r="AV642" s="9" t="n">
        <x:f>MOD(AU642*16807,2147483647)</x:f>
        <x:v>930211438</x:v>
      </x:c>
      <x:c r="AW642" s="17" t="n">
        <x:f>IF('Control Room'!$B$5="Normal",'Control Room'!$B$7+'Control Room'!$D$7*SQRT(-2*LN(MAX(0.000000000001,AU642/2147483647)))*COS(2*PI()*AV642/2147483647),'Control Room'!$B$8+('Control Room'!$D$8-'Control Room'!$B$8)*AU642/2147483647)</x:f>
        <x:v>821.9694638890351</x:v>
      </x:c>
      <x:c r="AX642" s="17" t="n">
        <x:f>IF('Control Room'!$B$5="Normal",'Control Room'!$B$7,('Control Room'!$B$8+'Control Room'!$D$8)/2)+'Control Room'!$B$9*(AX641-IF('Control Room'!$B$5="Normal",'Control Room'!$B$7,('Control Room'!$B$8+'Control Room'!$D$8)/2))+SQRT(1-'Control Room'!$B$9^2)*(AW642-IF('Control Room'!$B$5="Normal",'Control Room'!$B$7,('Control Room'!$B$8+'Control Room'!$D$8)/2))</x:f>
        <x:v>855.0060034226262</x:v>
      </x:c>
      <x:c r="AY642" s="17" t="n">
        <x:f>IF(AND($A642&gt;='Control Room'!$A$13,$A642&lt;'Control Room'!$A$13+'Control Room'!$B$13,'Process'!BT2=1),1+('Control Room'!$C$13-1)*EXP(-0.5*(($A642-'Control Room'!$A$13-('Control Room'!$B$13-1)/2)/MAX(0.5,'Control Room'!$B$13/4))^2),1)*IF(AND($A642&gt;='Control Room'!$A$14,$A642&lt;'Control Room'!$A$14+'Control Room'!$B$14,'Process'!BT3=1),1+('Control Room'!$C$14-1)*EXP(-0.5*(($A642-'Control Room'!$A$14-('Control Room'!$B$14-1)/2)/MAX(0.5,'Control Room'!$B$14/4))^2),1)*IF(AND($A642&gt;='Control Room'!$A$15,$A642&lt;'Control Room'!$A$15+'Control Room'!$B$15,'Process'!BT4=1),1+('Control Room'!$C$15-1)*EXP(-0.5*(($A642-'Control Room'!$A$15-('Control Room'!$B$15-1)/2)/MAX(0.5,'Control Room'!$B$15/4))^2),1)*IF(AND($A642&gt;='Control Room'!$A$16,$A642&lt;'Control Room'!$A$16+'Control Room'!$B$16,'Process'!BT5=1),1+('Control Room'!$C$16-1)*EXP(-0.5*(($A642-'Control Room'!$A$16-('Control Room'!$B$16-1)/2)/MAX(0.5,'Control Room'!$B$16/4))^2),1)</x:f>
        <x:v>1</x:v>
      </x:c>
      <x:c r="AZ642" s="9" t="n">
        <x:f>MOD(BA641*16807,2147483647)</x:f>
        <x:v>853747758</x:v>
      </x:c>
      <x:c r="BA642" s="9" t="n">
        <x:f>MOD(AZ642*16807,2147483647)</x:f>
        <x:v>1600323099</x:v>
      </x:c>
      <x:c r="BB642" s="17" t="n">
        <x:f>IF('Control Room'!$B$5="Normal",'Control Room'!$B$7+'Control Room'!$D$7*SQRT(-2*LN(MAX(0.000000000001,AZ642/2147483647)))*COS(2*PI()*BA642/2147483647),'Control Room'!$B$8+('Control Room'!$D$8-'Control Room'!$B$8)*AZ642/2147483647)</x:f>
        <x:v>996.320359420454</x:v>
      </x:c>
      <x:c r="BC642" s="17" t="n">
        <x:f>IF('Control Room'!$B$5="Normal",'Control Room'!$B$7,('Control Room'!$B$8+'Control Room'!$D$8)/2)+'Control Room'!$B$9*(BC641-IF('Control Room'!$B$5="Normal",'Control Room'!$B$7,('Control Room'!$B$8+'Control Room'!$D$8)/2))+SQRT(1-'Control Room'!$B$9^2)*(BB642-IF('Control Room'!$B$5="Normal",'Control Room'!$B$7,('Control Room'!$B$8+'Control Room'!$D$8)/2))</x:f>
        <x:v>854.2799169069937</x:v>
      </x:c>
      <x:c r="BD642" s="17" t="n">
        <x:f>IF(AND($A642&gt;='Control Room'!$A$13,$A642&lt;'Control Room'!$A$13+'Control Room'!$B$13,'Process'!BU2=1),1+('Control Room'!$C$13-1)*EXP(-0.5*(($A642-'Control Room'!$A$13-('Control Room'!$B$13-1)/2)/MAX(0.5,'Control Room'!$B$13/4))^2),1)*IF(AND($A642&gt;='Control Room'!$A$14,$A642&lt;'Control Room'!$A$14+'Control Room'!$B$14,'Process'!BU3=1),1+('Control Room'!$C$14-1)*EXP(-0.5*(($A642-'Control Room'!$A$14-('Control Room'!$B$14-1)/2)/MAX(0.5,'Control Room'!$B$14/4))^2),1)*IF(AND($A642&gt;='Control Room'!$A$15,$A642&lt;'Control Room'!$A$15+'Control Room'!$B$15,'Process'!BU4=1),1+('Control Room'!$C$15-1)*EXP(-0.5*(($A642-'Control Room'!$A$15-('Control Room'!$B$15-1)/2)/MAX(0.5,'Control Room'!$B$15/4))^2),1)*IF(AND($A642&gt;='Control Room'!$A$16,$A642&lt;'Control Room'!$A$16+'Control Room'!$B$16,'Process'!BU5=1),1+('Control Room'!$C$16-1)*EXP(-0.5*(($A642-'Control Room'!$A$16-('Control Room'!$B$16-1)/2)/MAX(0.5,'Control Room'!$B$16/4))^2),1)</x:f>
        <x:v>1</x:v>
      </x:c>
      <x:c r="BE642" s="9" t="n">
        <x:f>MOD(BF641*16807,2147483647)</x:f>
        <x:v>1501980914</x:v>
      </x:c>
      <x:c r="BF642" s="9" t="n">
        <x:f>MOD(BE642*16807,2147483647)</x:f>
        <x:v>122951113</x:v>
      </x:c>
      <x:c r="BG642" s="17" t="n">
        <x:f>IF('Control Room'!$B$5="Normal",'Control Room'!$B$7+'Control Room'!$D$7*SQRT(-2*LN(MAX(0.000000000001,BE642/2147483647)))*COS(2*PI()*BF642/2147483647),'Control Room'!$B$8+('Control Room'!$D$8-'Control Room'!$B$8)*BE642/2147483647)</x:f>
        <x:v>1071.231825225228</x:v>
      </x:c>
      <x:c r="BH642" s="17" t="n">
        <x:f>IF('Control Room'!$B$5="Normal",'Control Room'!$B$7,('Control Room'!$B$8+'Control Room'!$D$8)/2)+'Control Room'!$B$9*(BH641-IF('Control Room'!$B$5="Normal",'Control Room'!$B$7,('Control Room'!$B$8+'Control Room'!$D$8)/2))+SQRT(1-'Control Room'!$B$9^2)*(BG642-IF('Control Room'!$B$5="Normal",'Control Room'!$B$7,('Control Room'!$B$8+'Control Room'!$D$8)/2))</x:f>
        <x:v>1133.2846888925308</x:v>
      </x:c>
      <x:c r="BI642" s="17" t="n">
        <x:f>IF(AND($A642&gt;='Control Room'!$A$13,$A642&lt;'Control Room'!$A$13+'Control Room'!$B$13,'Process'!BV2=1),1+('Control Room'!$C$13-1)*EXP(-0.5*(($A642-'Control Room'!$A$13-('Control Room'!$B$13-1)/2)/MAX(0.5,'Control Room'!$B$13/4))^2),1)*IF(AND($A642&gt;='Control Room'!$A$14,$A642&lt;'Control Room'!$A$14+'Control Room'!$B$14,'Process'!BV3=1),1+('Control Room'!$C$14-1)*EXP(-0.5*(($A642-'Control Room'!$A$14-('Control Room'!$B$14-1)/2)/MAX(0.5,'Control Room'!$B$14/4))^2),1)*IF(AND($A642&gt;='Control Room'!$A$15,$A642&lt;'Control Room'!$A$15+'Control Room'!$B$15,'Process'!BV4=1),1+('Control Room'!$C$15-1)*EXP(-0.5*(($A642-'Control Room'!$A$15-('Control Room'!$B$15-1)/2)/MAX(0.5,'Control Room'!$B$15/4))^2),1)*IF(AND($A642&gt;='Control Room'!$A$16,$A642&lt;'Control Room'!$A$16+'Control Room'!$B$16,'Process'!BV5=1),1+('Control Room'!$C$16-1)*EXP(-0.5*(($A642-'Control Room'!$A$16-('Control Room'!$B$16-1)/2)/MAX(0.5,'Control Room'!$B$16/4))^2),1)</x:f>
        <x:v>1</x:v>
      </x:c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Z642" t="str">
        <x:f>IF('Data'!A642="","",TEXT('Data'!A642,"mm-dd"))</x:f>
      </x:c>
    </x:row>
    <x:row r="643" ht="21" customHeight="1">
      <x:c r="A643" s="15" t="n">
        <x:f>'Control Room'!$B$1+641</x:f>
        <x:v>73632</x:v>
      </x:c>
      <x:c r="B643" s="9" t="n">
        <x:f>MOD(C642*16807,2147483647)</x:f>
        <x:v>658132510</x:v>
      </x:c>
      <x:c r="C643" s="9" t="n">
        <x:f>MOD(B643*16807,2147483647)</x:f>
        <x:v>1692313520</x:v>
      </x:c>
      <x:c r="D643" s="17" t="n">
        <x:f>IF('Control Room'!$B$5="Normal",'Control Room'!$B$7+'Control Room'!$D$7*SQRT(-2*LN(MAX(0.000000000001,B643/2147483647)))*COS(2*PI()*C643/2147483647),'Control Room'!$B$8+('Control Room'!$D$8-'Control Room'!$B$8)*B643/2147483647)</x:f>
        <x:v>1032.7730696370663</x:v>
      </x:c>
      <x:c r="E643" s="17" t="n">
        <x:f>IF('Control Room'!$B$5="Normal",'Control Room'!$B$7,('Control Room'!$B$8+'Control Room'!$D$8)/2)+'Control Room'!$B$9*(E642-IF('Control Room'!$B$5="Normal",'Control Room'!$B$7,('Control Room'!$B$8+'Control Room'!$D$8)/2))+SQRT(1-'Control Room'!$B$9^2)*(D643-IF('Control Room'!$B$5="Normal",'Control Room'!$B$7,('Control Room'!$B$8+'Control Room'!$D$8)/2))</x:f>
        <x:v>1054.0177957593603</x:v>
      </x:c>
      <x:c r="F643" s="17" t="n">
        <x:f>IF(AND($A643&gt;='Control Room'!$A$13,$A643&lt;'Control Room'!$A$13+'Control Room'!$B$13,'Process'!BK2=1),1+('Control Room'!$C$13-1)*EXP(-0.5*(($A643-'Control Room'!$A$13-('Control Room'!$B$13-1)/2)/MAX(0.5,'Control Room'!$B$13/4))^2),1)*IF(AND($A643&gt;='Control Room'!$A$14,$A643&lt;'Control Room'!$A$14+'Control Room'!$B$14,'Process'!BK3=1),1+('Control Room'!$C$14-1)*EXP(-0.5*(($A643-'Control Room'!$A$14-('Control Room'!$B$14-1)/2)/MAX(0.5,'Control Room'!$B$14/4))^2),1)*IF(AND($A643&gt;='Control Room'!$A$15,$A643&lt;'Control Room'!$A$15+'Control Room'!$B$15,'Process'!BK4=1),1+('Control Room'!$C$15-1)*EXP(-0.5*(($A643-'Control Room'!$A$15-('Control Room'!$B$15-1)/2)/MAX(0.5,'Control Room'!$B$15/4))^2),1)*IF(AND($A643&gt;='Control Room'!$A$16,$A643&lt;'Control Room'!$A$16+'Control Room'!$B$16,'Process'!BK5=1),1+('Control Room'!$C$16-1)*EXP(-0.5*(($A643-'Control Room'!$A$16-('Control Room'!$B$16-1)/2)/MAX(0.5,'Control Room'!$B$16/4))^2),1)</x:f>
        <x:v>1</x:v>
      </x:c>
      <x:c r="G643" s="9" t="n">
        <x:f>MOD(H642*16807,2147483647)</x:f>
        <x:v>1820574069</x:v>
      </x:c>
      <x:c r="H643" s="9" t="n">
        <x:f>MOD(G643*16807,2147483647)</x:f>
        <x:v>1041375227</x:v>
      </x:c>
      <x:c r="I643" s="17" t="n">
        <x:f>IF('Control Room'!$B$5="Normal",'Control Room'!$B$7+'Control Room'!$D$7*SQRT(-2*LN(MAX(0.000000000001,G643/2147483647)))*COS(2*PI()*H643/2147483647),'Control Room'!$B$8+('Control Room'!$D$8-'Control Room'!$B$8)*G643/2147483647)</x:f>
        <x:v>948.5079971189057</x:v>
      </x:c>
      <x:c r="J643" s="17" t="n">
        <x:f>IF('Control Room'!$B$5="Normal",'Control Room'!$B$7,('Control Room'!$B$8+'Control Room'!$D$8)/2)+'Control Room'!$B$9*(J642-IF('Control Room'!$B$5="Normal",'Control Room'!$B$7,('Control Room'!$B$8+'Control Room'!$D$8)/2))+SQRT(1-'Control Room'!$B$9^2)*(I643-IF('Control Room'!$B$5="Normal",'Control Room'!$B$7,('Control Room'!$B$8+'Control Room'!$D$8)/2))</x:f>
        <x:v>996.3168347965104</x:v>
      </x:c>
      <x:c r="K643" s="17" t="n">
        <x:f>IF(AND($A643&gt;='Control Room'!$A$13,$A643&lt;'Control Room'!$A$13+'Control Room'!$B$13,'Process'!BL2=1),1+('Control Room'!$C$13-1)*EXP(-0.5*(($A643-'Control Room'!$A$13-('Control Room'!$B$13-1)/2)/MAX(0.5,'Control Room'!$B$13/4))^2),1)*IF(AND($A643&gt;='Control Room'!$A$14,$A643&lt;'Control Room'!$A$14+'Control Room'!$B$14,'Process'!BL3=1),1+('Control Room'!$C$14-1)*EXP(-0.5*(($A643-'Control Room'!$A$14-('Control Room'!$B$14-1)/2)/MAX(0.5,'Control Room'!$B$14/4))^2),1)*IF(AND($A643&gt;='Control Room'!$A$15,$A643&lt;'Control Room'!$A$15+'Control Room'!$B$15,'Process'!BL4=1),1+('Control Room'!$C$15-1)*EXP(-0.5*(($A643-'Control Room'!$A$15-('Control Room'!$B$15-1)/2)/MAX(0.5,'Control Room'!$B$15/4))^2),1)*IF(AND($A643&gt;='Control Room'!$A$16,$A643&lt;'Control Room'!$A$16+'Control Room'!$B$16,'Process'!BL5=1),1+('Control Room'!$C$16-1)*EXP(-0.5*(($A643-'Control Room'!$A$16-('Control Room'!$B$16-1)/2)/MAX(0.5,'Control Room'!$B$16/4))^2),1)</x:f>
        <x:v>1</x:v>
      </x:c>
      <x:c r="L643" s="9" t="n">
        <x:f>MOD(M642*16807,2147483647)</x:f>
        <x:v>835531981</x:v>
      </x:c>
      <x:c r="M643" s="9" t="n">
        <x:f>MOD(L643*16807,2147483647)</x:f>
        <x:v>390436934</x:v>
      </x:c>
      <x:c r="N643" s="17" t="n">
        <x:f>IF('Control Room'!$B$5="Normal",'Control Room'!$B$7+'Control Room'!$D$7*SQRT(-2*LN(MAX(0.000000000001,L643/2147483647)))*COS(2*PI()*M643/2147483647),'Control Room'!$B$8+('Control Room'!$D$8-'Control Room'!$B$8)*L643/2147483647)</x:f>
        <x:v>1051.3762739172623</x:v>
      </x:c>
      <x:c r="O643" s="17" t="n">
        <x:f>IF('Control Room'!$B$5="Normal",'Control Room'!$B$7,('Control Room'!$B$8+'Control Room'!$D$8)/2)+'Control Room'!$B$9*(O642-IF('Control Room'!$B$5="Normal",'Control Room'!$B$7,('Control Room'!$B$8+'Control Room'!$D$8)/2))+SQRT(1-'Control Room'!$B$9^2)*(N643-IF('Control Room'!$B$5="Normal",'Control Room'!$B$7,('Control Room'!$B$8+'Control Room'!$D$8)/2))</x:f>
        <x:v>1129.9996711869721</x:v>
      </x:c>
      <x:c r="P643" s="17" t="n">
        <x:f>IF(AND($A643&gt;='Control Room'!$A$13,$A643&lt;'Control Room'!$A$13+'Control Room'!$B$13,'Process'!BM2=1),1+('Control Room'!$C$13-1)*EXP(-0.5*(($A643-'Control Room'!$A$13-('Control Room'!$B$13-1)/2)/MAX(0.5,'Control Room'!$B$13/4))^2),1)*IF(AND($A643&gt;='Control Room'!$A$14,$A643&lt;'Control Room'!$A$14+'Control Room'!$B$14,'Process'!BM3=1),1+('Control Room'!$C$14-1)*EXP(-0.5*(($A643-'Control Room'!$A$14-('Control Room'!$B$14-1)/2)/MAX(0.5,'Control Room'!$B$14/4))^2),1)*IF(AND($A643&gt;='Control Room'!$A$15,$A643&lt;'Control Room'!$A$15+'Control Room'!$B$15,'Process'!BM4=1),1+('Control Room'!$C$15-1)*EXP(-0.5*(($A643-'Control Room'!$A$15-('Control Room'!$B$15-1)/2)/MAX(0.5,'Control Room'!$B$15/4))^2),1)*IF(AND($A643&gt;='Control Room'!$A$16,$A643&lt;'Control Room'!$A$16+'Control Room'!$B$16,'Process'!BM5=1),1+('Control Room'!$C$16-1)*EXP(-0.5*(($A643-'Control Room'!$A$16-('Control Room'!$B$16-1)/2)/MAX(0.5,'Control Room'!$B$16/4))^2),1)</x:f>
        <x:v>1</x:v>
      </x:c>
      <x:c r="Q643" s="9" t="n">
        <x:f>MOD(R642*16807,2147483647)</x:f>
        <x:v>1997973540</x:v>
      </x:c>
      <x:c r="R643" s="9" t="n">
        <x:f>MOD(Q643*16807,2147483647)</x:f>
        <x:v>1886982288</x:v>
      </x:c>
      <x:c r="S643" s="17" t="n">
        <x:f>IF('Control Room'!$B$5="Normal",'Control Room'!$B$7+'Control Room'!$D$7*SQRT(-2*LN(MAX(0.000000000001,Q643/2147483647)))*COS(2*PI()*R643/2147483647),'Control Room'!$B$8+('Control Room'!$D$8-'Control Room'!$B$8)*Q643/2147483647)</x:f>
        <x:v>1024.731583923587</x:v>
      </x:c>
      <x:c r="T643" s="17" t="n">
        <x:f>IF('Control Room'!$B$5="Normal",'Control Room'!$B$7,('Control Room'!$B$8+'Control Room'!$D$8)/2)+'Control Room'!$B$9*(T642-IF('Control Room'!$B$5="Normal",'Control Room'!$B$7,('Control Room'!$B$8+'Control Room'!$D$8)/2))+SQRT(1-'Control Room'!$B$9^2)*(S643-IF('Control Room'!$B$5="Normal",'Control Room'!$B$7,('Control Room'!$B$8+'Control Room'!$D$8)/2))</x:f>
        <x:v>934.6619805661908</x:v>
      </x:c>
      <x:c r="U643" s="17" t="n">
        <x:f>IF(AND($A643&gt;='Control Room'!$A$13,$A643&lt;'Control Room'!$A$13+'Control Room'!$B$13,'Process'!BN2=1),1+('Control Room'!$C$13-1)*EXP(-0.5*(($A643-'Control Room'!$A$13-('Control Room'!$B$13-1)/2)/MAX(0.5,'Control Room'!$B$13/4))^2),1)*IF(AND($A643&gt;='Control Room'!$A$14,$A643&lt;'Control Room'!$A$14+'Control Room'!$B$14,'Process'!BN3=1),1+('Control Room'!$C$14-1)*EXP(-0.5*(($A643-'Control Room'!$A$14-('Control Room'!$B$14-1)/2)/MAX(0.5,'Control Room'!$B$14/4))^2),1)*IF(AND($A643&gt;='Control Room'!$A$15,$A643&lt;'Control Room'!$A$15+'Control Room'!$B$15,'Process'!BN4=1),1+('Control Room'!$C$15-1)*EXP(-0.5*(($A643-'Control Room'!$A$15-('Control Room'!$B$15-1)/2)/MAX(0.5,'Control Room'!$B$15/4))^2),1)*IF(AND($A643&gt;='Control Room'!$A$16,$A643&lt;'Control Room'!$A$16+'Control Room'!$B$16,'Process'!BN5=1),1+('Control Room'!$C$16-1)*EXP(-0.5*(($A643-'Control Room'!$A$16-('Control Room'!$B$16-1)/2)/MAX(0.5,'Control Room'!$B$16/4))^2),1)</x:f>
        <x:v>1</x:v>
      </x:c>
      <x:c r="V643" s="9" t="n">
        <x:f>MOD(W642*16807,2147483647)</x:f>
        <x:v>1012931452</x:v>
      </x:c>
      <x:c r="W643" s="9" t="n">
        <x:f>MOD(V643*16807,2147483647)</x:f>
        <x:v>1236043995</x:v>
      </x:c>
      <x:c r="X643" s="17" t="n">
        <x:f>IF('Control Room'!$B$5="Normal",'Control Room'!$B$7+'Control Room'!$D$7*SQRT(-2*LN(MAX(0.000000000001,V643/2147483647)))*COS(2*PI()*W643/2147483647),'Control Room'!$B$8+('Control Room'!$D$8-'Control Room'!$B$8)*V643/2147483647)</x:f>
        <x:v>901.8747222763799</x:v>
      </x:c>
      <x:c r="Y643" s="17" t="n">
        <x:f>IF('Control Room'!$B$5="Normal",'Control Room'!$B$7,('Control Room'!$B$8+'Control Room'!$D$8)/2)+'Control Room'!$B$9*(Y642-IF('Control Room'!$B$5="Normal",'Control Room'!$B$7,('Control Room'!$B$8+'Control Room'!$D$8)/2))+SQRT(1-'Control Room'!$B$9^2)*(X643-IF('Control Room'!$B$5="Normal",'Control Room'!$B$7,('Control Room'!$B$8+'Control Room'!$D$8)/2))</x:f>
        <x:v>1009.7485025112309</x:v>
      </x:c>
      <x:c r="Z643" s="17" t="n">
        <x:f>IF(AND($A643&gt;='Control Room'!$A$13,$A643&lt;'Control Room'!$A$13+'Control Room'!$B$13,'Process'!BO2=1),1+('Control Room'!$C$13-1)*EXP(-0.5*(($A643-'Control Room'!$A$13-('Control Room'!$B$13-1)/2)/MAX(0.5,'Control Room'!$B$13/4))^2),1)*IF(AND($A643&gt;='Control Room'!$A$14,$A643&lt;'Control Room'!$A$14+'Control Room'!$B$14,'Process'!BO3=1),1+('Control Room'!$C$14-1)*EXP(-0.5*(($A643-'Control Room'!$A$14-('Control Room'!$B$14-1)/2)/MAX(0.5,'Control Room'!$B$14/4))^2),1)*IF(AND($A643&gt;='Control Room'!$A$15,$A643&lt;'Control Room'!$A$15+'Control Room'!$B$15,'Process'!BO4=1),1+('Control Room'!$C$15-1)*EXP(-0.5*(($A643-'Control Room'!$A$15-('Control Room'!$B$15-1)/2)/MAX(0.5,'Control Room'!$B$15/4))^2),1)*IF(AND($A643&gt;='Control Room'!$A$16,$A643&lt;'Control Room'!$A$16+'Control Room'!$B$16,'Process'!BO5=1),1+('Control Room'!$C$16-1)*EXP(-0.5*(($A643-'Control Room'!$A$16-('Control Room'!$B$16-1)/2)/MAX(0.5,'Control Room'!$B$16/4))^2),1)</x:f>
        <x:v>1</x:v>
      </x:c>
      <x:c r="AA643" s="9" t="n">
        <x:f>MOD(AB642*16807,2147483647)</x:f>
        <x:v>27889364</x:v>
      </x:c>
      <x:c r="AB643" s="9" t="n">
        <x:f>MOD(AA643*16807,2147483647)</x:f>
        <x:v>585105702</x:v>
      </x:c>
      <x:c r="AC643" s="17" t="n">
        <x:f>IF('Control Room'!$B$5="Normal",'Control Room'!$B$7+'Control Room'!$D$7*SQRT(-2*LN(MAX(0.000000000001,AA643/2147483647)))*COS(2*PI()*AB643/2147483647),'Control Room'!$B$8+('Control Room'!$D$8-'Control Room'!$B$8)*AA643/2147483647)</x:f>
        <x:v>962.686966450299</x:v>
      </x:c>
      <x:c r="AD643" s="17" t="n">
        <x:f>IF('Control Room'!$B$5="Normal",'Control Room'!$B$7,('Control Room'!$B$8+'Control Room'!$D$8)/2)+'Control Room'!$B$9*(AD642-IF('Control Room'!$B$5="Normal",'Control Room'!$B$7,('Control Room'!$B$8+'Control Room'!$D$8)/2))+SQRT(1-'Control Room'!$B$9^2)*(AC643-IF('Control Room'!$B$5="Normal",'Control Room'!$B$7,('Control Room'!$B$8+'Control Room'!$D$8)/2))</x:f>
        <x:v>1044.3215229419877</x:v>
      </x:c>
      <x:c r="AE643" s="17" t="n">
        <x:f>IF(AND($A643&gt;='Control Room'!$A$13,$A643&lt;'Control Room'!$A$13+'Control Room'!$B$13,'Process'!BP2=1),1+('Control Room'!$C$13-1)*EXP(-0.5*(($A643-'Control Room'!$A$13-('Control Room'!$B$13-1)/2)/MAX(0.5,'Control Room'!$B$13/4))^2),1)*IF(AND($A643&gt;='Control Room'!$A$14,$A643&lt;'Control Room'!$A$14+'Control Room'!$B$14,'Process'!BP3=1),1+('Control Room'!$C$14-1)*EXP(-0.5*(($A643-'Control Room'!$A$14-('Control Room'!$B$14-1)/2)/MAX(0.5,'Control Room'!$B$14/4))^2),1)*IF(AND($A643&gt;='Control Room'!$A$15,$A643&lt;'Control Room'!$A$15+'Control Room'!$B$15,'Process'!BP4=1),1+('Control Room'!$C$15-1)*EXP(-0.5*(($A643-'Control Room'!$A$15-('Control Room'!$B$15-1)/2)/MAX(0.5,'Control Room'!$B$15/4))^2),1)*IF(AND($A643&gt;='Control Room'!$A$16,$A643&lt;'Control Room'!$A$16+'Control Room'!$B$16,'Process'!BP5=1),1+('Control Room'!$C$16-1)*EXP(-0.5*(($A643-'Control Room'!$A$16-('Control Room'!$B$16-1)/2)/MAX(0.5,'Control Room'!$B$16/4))^2),1)</x:f>
        <x:v>1</x:v>
      </x:c>
      <x:c r="AF643" s="9" t="n">
        <x:f>MOD(AG642*16807,2147483647)</x:f>
        <x:v>1190330923</x:v>
      </x:c>
      <x:c r="AG643" s="9" t="n">
        <x:f>MOD(AF643*16807,2147483647)</x:f>
        <x:v>2081651056</x:v>
      </x:c>
      <x:c r="AH643" s="17" t="n">
        <x:f>IF('Control Room'!$B$5="Normal",'Control Room'!$B$7+'Control Room'!$D$7*SQRT(-2*LN(MAX(0.000000000001,AF643/2147483647)))*COS(2*PI()*AG643/2147483647),'Control Room'!$B$8+('Control Room'!$D$8-'Control Room'!$B$8)*AF643/2147483647)</x:f>
        <x:v>1095.9623685341485</x:v>
      </x:c>
      <x:c r="AI643" s="17" t="n">
        <x:f>IF('Control Room'!$B$5="Normal",'Control Room'!$B$7,('Control Room'!$B$8+'Control Room'!$D$8)/2)+'Control Room'!$B$9*(AI642-IF('Control Room'!$B$5="Normal",'Control Room'!$B$7,('Control Room'!$B$8+'Control Room'!$D$8)/2))+SQRT(1-'Control Room'!$B$9^2)*(AH643-IF('Control Room'!$B$5="Normal",'Control Room'!$B$7,('Control Room'!$B$8+'Control Room'!$D$8)/2))</x:f>
        <x:v>882.3619299065049</x:v>
      </x:c>
      <x:c r="AJ643" s="17" t="n">
        <x:f>IF(AND($A643&gt;='Control Room'!$A$13,$A643&lt;'Control Room'!$A$13+'Control Room'!$B$13,'Process'!BQ2=1),1+('Control Room'!$C$13-1)*EXP(-0.5*(($A643-'Control Room'!$A$13-('Control Room'!$B$13-1)/2)/MAX(0.5,'Control Room'!$B$13/4))^2),1)*IF(AND($A643&gt;='Control Room'!$A$14,$A643&lt;'Control Room'!$A$14+'Control Room'!$B$14,'Process'!BQ3=1),1+('Control Room'!$C$14-1)*EXP(-0.5*(($A643-'Control Room'!$A$14-('Control Room'!$B$14-1)/2)/MAX(0.5,'Control Room'!$B$14/4))^2),1)*IF(AND($A643&gt;='Control Room'!$A$15,$A643&lt;'Control Room'!$A$15+'Control Room'!$B$15,'Process'!BQ4=1),1+('Control Room'!$C$15-1)*EXP(-0.5*(($A643-'Control Room'!$A$15-('Control Room'!$B$15-1)/2)/MAX(0.5,'Control Room'!$B$15/4))^2),1)*IF(AND($A643&gt;='Control Room'!$A$16,$A643&lt;'Control Room'!$A$16+'Control Room'!$B$16,'Process'!BQ5=1),1+('Control Room'!$C$16-1)*EXP(-0.5*(($A643-'Control Room'!$A$16-('Control Room'!$B$16-1)/2)/MAX(0.5,'Control Room'!$B$16/4))^2),1)</x:f>
        <x:v>1</x:v>
      </x:c>
      <x:c r="AK643" s="9" t="n">
        <x:f>MOD(AL642*16807,2147483647)</x:f>
        <x:v>205288835</x:v>
      </x:c>
      <x:c r="AL643" s="9" t="n">
        <x:f>MOD(AK643*16807,2147483647)</x:f>
        <x:v>1430712763</x:v>
      </x:c>
      <x:c r="AM643" s="17" t="n">
        <x:f>IF('Control Room'!$B$5="Normal",'Control Room'!$B$7+'Control Room'!$D$7*SQRT(-2*LN(MAX(0.000000000001,AK643/2147483647)))*COS(2*PI()*AL643/2147483647),'Control Room'!$B$8+('Control Room'!$D$8-'Control Room'!$B$8)*AK643/2147483647)</x:f>
        <x:v>902.0258392945759</x:v>
      </x:c>
      <x:c r="AN643" s="17" t="n">
        <x:f>IF('Control Room'!$B$5="Normal",'Control Room'!$B$7,('Control Room'!$B$8+'Control Room'!$D$8)/2)+'Control Room'!$B$9*(AN642-IF('Control Room'!$B$5="Normal",'Control Room'!$B$7,('Control Room'!$B$8+'Control Room'!$D$8)/2))+SQRT(1-'Control Room'!$B$9^2)*(AM643-IF('Control Room'!$B$5="Normal",'Control Room'!$B$7,('Control Room'!$B$8+'Control Room'!$D$8)/2))</x:f>
        <x:v>911.3642001781493</x:v>
      </x:c>
      <x:c r="AO643" s="17" t="n">
        <x:f>IF(AND($A643&gt;='Control Room'!$A$13,$A643&lt;'Control Room'!$A$13+'Control Room'!$B$13,'Process'!BR2=1),1+('Control Room'!$C$13-1)*EXP(-0.5*(($A643-'Control Room'!$A$13-('Control Room'!$B$13-1)/2)/MAX(0.5,'Control Room'!$B$13/4))^2),1)*IF(AND($A643&gt;='Control Room'!$A$14,$A643&lt;'Control Room'!$A$14+'Control Room'!$B$14,'Process'!BR3=1),1+('Control Room'!$C$14-1)*EXP(-0.5*(($A643-'Control Room'!$A$14-('Control Room'!$B$14-1)/2)/MAX(0.5,'Control Room'!$B$14/4))^2),1)*IF(AND($A643&gt;='Control Room'!$A$15,$A643&lt;'Control Room'!$A$15+'Control Room'!$B$15,'Process'!BR4=1),1+('Control Room'!$C$15-1)*EXP(-0.5*(($A643-'Control Room'!$A$15-('Control Room'!$B$15-1)/2)/MAX(0.5,'Control Room'!$B$15/4))^2),1)*IF(AND($A643&gt;='Control Room'!$A$16,$A643&lt;'Control Room'!$A$16+'Control Room'!$B$16,'Process'!BR5=1),1+('Control Room'!$C$16-1)*EXP(-0.5*(($A643-'Control Room'!$A$16-('Control Room'!$B$16-1)/2)/MAX(0.5,'Control Room'!$B$16/4))^2),1)</x:f>
        <x:v>1</x:v>
      </x:c>
      <x:c r="AP643" s="9" t="n">
        <x:f>MOD(AQ642*16807,2147483647)</x:f>
        <x:v>1367730394</x:v>
      </x:c>
      <x:c r="AQ643" s="9" t="n">
        <x:f>MOD(AP643*16807,2147483647)</x:f>
        <x:v>779774470</x:v>
      </x:c>
      <x:c r="AR643" s="17" t="n">
        <x:f>IF('Control Room'!$B$5="Normal",'Control Room'!$B$7+'Control Room'!$D$7*SQRT(-2*LN(MAX(0.000000000001,AP643/2147483647)))*COS(2*PI()*AQ643/2147483647),'Control Room'!$B$8+('Control Room'!$D$8-'Control Room'!$B$8)*AP643/2147483647)</x:f>
        <x:v>944.2296455269877</x:v>
      </x:c>
      <x:c r="AS643" s="17" t="n">
        <x:f>IF('Control Room'!$B$5="Normal",'Control Room'!$B$7,('Control Room'!$B$8+'Control Room'!$D$8)/2)+'Control Room'!$B$9*(AS642-IF('Control Room'!$B$5="Normal",'Control Room'!$B$7,('Control Room'!$B$8+'Control Room'!$D$8)/2))+SQRT(1-'Control Room'!$B$9^2)*(AR643-IF('Control Room'!$B$5="Normal",'Control Room'!$B$7,('Control Room'!$B$8+'Control Room'!$D$8)/2))</x:f>
        <x:v>1060.6076047269557</x:v>
      </x:c>
      <x:c r="AT643" s="17" t="n">
        <x:f>IF(AND($A643&gt;='Control Room'!$A$13,$A643&lt;'Control Room'!$A$13+'Control Room'!$B$13,'Process'!BS2=1),1+('Control Room'!$C$13-1)*EXP(-0.5*(($A643-'Control Room'!$A$13-('Control Room'!$B$13-1)/2)/MAX(0.5,'Control Room'!$B$13/4))^2),1)*IF(AND($A643&gt;='Control Room'!$A$14,$A643&lt;'Control Room'!$A$14+'Control Room'!$B$14,'Process'!BS3=1),1+('Control Room'!$C$14-1)*EXP(-0.5*(($A643-'Control Room'!$A$14-('Control Room'!$B$14-1)/2)/MAX(0.5,'Control Room'!$B$14/4))^2),1)*IF(AND($A643&gt;='Control Room'!$A$15,$A643&lt;'Control Room'!$A$15+'Control Room'!$B$15,'Process'!BS4=1),1+('Control Room'!$C$15-1)*EXP(-0.5*(($A643-'Control Room'!$A$15-('Control Room'!$B$15-1)/2)/MAX(0.5,'Control Room'!$B$15/4))^2),1)*IF(AND($A643&gt;='Control Room'!$A$16,$A643&lt;'Control Room'!$A$16+'Control Room'!$B$16,'Process'!BS5=1),1+('Control Room'!$C$16-1)*EXP(-0.5*(($A643-'Control Room'!$A$16-('Control Room'!$B$16-1)/2)/MAX(0.5,'Control Room'!$B$16/4))^2),1)</x:f>
        <x:v>1</x:v>
      </x:c>
      <x:c r="AU643" s="9" t="n">
        <x:f>MOD(AV642*16807,2147483647)</x:f>
        <x:v>382688306</x:v>
      </x:c>
      <x:c r="AV643" s="9" t="n">
        <x:f>MOD(AU643*16807,2147483647)</x:f>
        <x:v>128836177</x:v>
      </x:c>
      <x:c r="AW643" s="17" t="n">
        <x:f>IF('Control Room'!$B$5="Normal",'Control Room'!$B$7+'Control Room'!$D$7*SQRT(-2*LN(MAX(0.000000000001,AU643/2147483647)))*COS(2*PI()*AV643/2147483647),'Control Room'!$B$8+('Control Room'!$D$8-'Control Room'!$B$8)*AU643/2147483647)</x:f>
        <x:v>1155.423192841557</x:v>
      </x:c>
      <x:c r="AX643" s="17" t="n">
        <x:f>IF('Control Room'!$B$5="Normal",'Control Room'!$B$7,('Control Room'!$B$8+'Control Room'!$D$8)/2)+'Control Room'!$B$9*(AX642-IF('Control Room'!$B$5="Normal",'Control Room'!$B$7,('Control Room'!$B$8+'Control Room'!$D$8)/2))+SQRT(1-'Control Room'!$B$9^2)*(AW643-IF('Control Room'!$B$5="Normal",'Control Room'!$B$7,('Control Room'!$B$8+'Control Room'!$D$8)/2))</x:f>
        <x:v>984.1653327327227</x:v>
      </x:c>
      <x:c r="AY643" s="17" t="n">
        <x:f>IF(AND($A643&gt;='Control Room'!$A$13,$A643&lt;'Control Room'!$A$13+'Control Room'!$B$13,'Process'!BT2=1),1+('Control Room'!$C$13-1)*EXP(-0.5*(($A643-'Control Room'!$A$13-('Control Room'!$B$13-1)/2)/MAX(0.5,'Control Room'!$B$13/4))^2),1)*IF(AND($A643&gt;='Control Room'!$A$14,$A643&lt;'Control Room'!$A$14+'Control Room'!$B$14,'Process'!BT3=1),1+('Control Room'!$C$14-1)*EXP(-0.5*(($A643-'Control Room'!$A$14-('Control Room'!$B$14-1)/2)/MAX(0.5,'Control Room'!$B$14/4))^2),1)*IF(AND($A643&gt;='Control Room'!$A$15,$A643&lt;'Control Room'!$A$15+'Control Room'!$B$15,'Process'!BT4=1),1+('Control Room'!$C$15-1)*EXP(-0.5*(($A643-'Control Room'!$A$15-('Control Room'!$B$15-1)/2)/MAX(0.5,'Control Room'!$B$15/4))^2),1)*IF(AND($A643&gt;='Control Room'!$A$16,$A643&lt;'Control Room'!$A$16+'Control Room'!$B$16,'Process'!BT5=1),1+('Control Room'!$C$16-1)*EXP(-0.5*(($A643-'Control Room'!$A$16-('Control Room'!$B$16-1)/2)/MAX(0.5,'Control Room'!$B$16/4))^2),1)</x:f>
        <x:v>1</x:v>
      </x:c>
      <x:c r="AZ643" s="9" t="n">
        <x:f>MOD(BA642*16807,2147483647)</x:f>
        <x:v>1545129865</x:v>
      </x:c>
      <x:c r="BA643" s="9" t="n">
        <x:f>MOD(AZ643*16807,2147483647)</x:f>
        <x:v>1625381531</x:v>
      </x:c>
      <x:c r="BB643" s="17" t="n">
        <x:f>IF('Control Room'!$B$5="Normal",'Control Room'!$B$7+'Control Room'!$D$7*SQRT(-2*LN(MAX(0.000000000001,AZ643/2147483647)))*COS(2*PI()*BA643/2147483647),'Control Room'!$B$8+('Control Room'!$D$8-'Control Room'!$B$8)*AZ643/2147483647)</x:f>
        <x:v>1003.1545684688227</x:v>
      </x:c>
      <x:c r="BC643" s="17" t="n">
        <x:f>IF('Control Room'!$B$5="Normal",'Control Room'!$B$7,('Control Room'!$B$8+'Control Room'!$D$8)/2)+'Control Room'!$B$9*(BC642-IF('Control Room'!$B$5="Normal",'Control Room'!$B$7,('Control Room'!$B$8+'Control Room'!$D$8)/2))+SQRT(1-'Control Room'!$B$9^2)*(BB643-IF('Control Room'!$B$5="Normal",'Control Room'!$B$7,('Control Room'!$B$8+'Control Room'!$D$8)/2))</x:f>
        <x:v>888.3123995103966</x:v>
      </x:c>
      <x:c r="BD643" s="17" t="n">
        <x:f>IF(AND($A643&gt;='Control Room'!$A$13,$A643&lt;'Control Room'!$A$13+'Control Room'!$B$13,'Process'!BU2=1),1+('Control Room'!$C$13-1)*EXP(-0.5*(($A643-'Control Room'!$A$13-('Control Room'!$B$13-1)/2)/MAX(0.5,'Control Room'!$B$13/4))^2),1)*IF(AND($A643&gt;='Control Room'!$A$14,$A643&lt;'Control Room'!$A$14+'Control Room'!$B$14,'Process'!BU3=1),1+('Control Room'!$C$14-1)*EXP(-0.5*(($A643-'Control Room'!$A$14-('Control Room'!$B$14-1)/2)/MAX(0.5,'Control Room'!$B$14/4))^2),1)*IF(AND($A643&gt;='Control Room'!$A$15,$A643&lt;'Control Room'!$A$15+'Control Room'!$B$15,'Process'!BU4=1),1+('Control Room'!$C$15-1)*EXP(-0.5*(($A643-'Control Room'!$A$15-('Control Room'!$B$15-1)/2)/MAX(0.5,'Control Room'!$B$15/4))^2),1)*IF(AND($A643&gt;='Control Room'!$A$16,$A643&lt;'Control Room'!$A$16+'Control Room'!$B$16,'Process'!BU5=1),1+('Control Room'!$C$16-1)*EXP(-0.5*(($A643-'Control Room'!$A$16-('Control Room'!$B$16-1)/2)/MAX(0.5,'Control Room'!$B$16/4))^2),1)</x:f>
        <x:v>1</x:v>
      </x:c>
      <x:c r="BE643" s="9" t="n">
        <x:f>MOD(BF642*16807,2147483647)</x:f>
        <x:v>560087777</x:v>
      </x:c>
      <x:c r="BF643" s="9" t="n">
        <x:f>MOD(BE643*16807,2147483647)</x:f>
        <x:v>974443238</x:v>
      </x:c>
      <x:c r="BG643" s="17" t="n">
        <x:f>IF('Control Room'!$B$5="Normal",'Control Room'!$B$7+'Control Room'!$D$7*SQRT(-2*LN(MAX(0.000000000001,BE643/2147483647)))*COS(2*PI()*BF643/2147483647),'Control Room'!$B$8+('Control Room'!$D$8-'Control Room'!$B$8)*BE643/2147483647)</x:f>
        <x:v>858.6299024524956</x:v>
      </x:c>
      <x:c r="BH643" s="17" t="n">
        <x:f>IF('Control Room'!$B$5="Normal",'Control Room'!$B$7,('Control Room'!$B$8+'Control Room'!$D$8)/2)+'Control Room'!$B$9*(BH642-IF('Control Room'!$B$5="Normal",'Control Room'!$B$7,('Control Room'!$B$8+'Control Room'!$D$8)/2))+SQRT(1-'Control Room'!$B$9^2)*(BG643-IF('Control Room'!$B$5="Normal",'Control Room'!$B$7,('Control Room'!$B$8+'Control Room'!$D$8)/2))</x:f>
        <x:v>1015.4955464148123</x:v>
      </x:c>
      <x:c r="BI643" s="17" t="n">
        <x:f>IF(AND($A643&gt;='Control Room'!$A$13,$A643&lt;'Control Room'!$A$13+'Control Room'!$B$13,'Process'!BV2=1),1+('Control Room'!$C$13-1)*EXP(-0.5*(($A643-'Control Room'!$A$13-('Control Room'!$B$13-1)/2)/MAX(0.5,'Control Room'!$B$13/4))^2),1)*IF(AND($A643&gt;='Control Room'!$A$14,$A643&lt;'Control Room'!$A$14+'Control Room'!$B$14,'Process'!BV3=1),1+('Control Room'!$C$14-1)*EXP(-0.5*(($A643-'Control Room'!$A$14-('Control Room'!$B$14-1)/2)/MAX(0.5,'Control Room'!$B$14/4))^2),1)*IF(AND($A643&gt;='Control Room'!$A$15,$A643&lt;'Control Room'!$A$15+'Control Room'!$B$15,'Process'!BV4=1),1+('Control Room'!$C$15-1)*EXP(-0.5*(($A643-'Control Room'!$A$15-('Control Room'!$B$15-1)/2)/MAX(0.5,'Control Room'!$B$15/4))^2),1)*IF(AND($A643&gt;='Control Room'!$A$16,$A643&lt;'Control Room'!$A$16+'Control Room'!$B$16,'Process'!BV5=1),1+('Control Room'!$C$16-1)*EXP(-0.5*(($A643-'Control Room'!$A$16-('Control Room'!$B$16-1)/2)/MAX(0.5,'Control Room'!$B$16/4))^2),1)</x:f>
        <x:v>1</x:v>
      </x:c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Z643" t="str">
        <x:f>IF('Data'!A643="","",TEXT('Data'!A643,"mm-dd"))</x:f>
      </x:c>
    </x:row>
    <x:row r="644" ht="21" customHeight="1">
      <x:c r="A644" s="15" t="n">
        <x:f>'Control Room'!$B$1+642</x:f>
        <x:v>73633</x:v>
      </x:c>
      <x:c r="B644" s="9" t="n">
        <x:f>MOD(C643*16807,2147483647)</x:f>
        <x:v>1439909772</x:v>
      </x:c>
      <x:c r="C644" s="9" t="n">
        <x:f>MOD(B644*16807,2147483647)</x:f>
        <x:v>570319961</x:v>
      </x:c>
      <x:c r="D644" s="17" t="n">
        <x:f>IF('Control Room'!$B$5="Normal",'Control Room'!$B$7+'Control Room'!$D$7*SQRT(-2*LN(MAX(0.000000000001,B644/2147483647)))*COS(2*PI()*C644/2147483647),'Control Room'!$B$8+('Control Room'!$D$8-'Control Room'!$B$8)*B644/2147483647)</x:f>
        <x:v>992.137263301952</x:v>
      </x:c>
      <x:c r="E644" s="17" t="n">
        <x:f>IF('Control Room'!$B$5="Normal",'Control Room'!$B$7,('Control Room'!$B$8+'Control Room'!$D$8)/2)+'Control Room'!$B$9*(E643-IF('Control Room'!$B$5="Normal",'Control Room'!$B$7,('Control Room'!$B$8+'Control Room'!$D$8)/2))+SQRT(1-'Control Room'!$B$9^2)*(D644-IF('Control Room'!$B$5="Normal",'Control Room'!$B$7,('Control Room'!$B$8+'Control Room'!$D$8)/2))</x:f>
        <x:v>1037.2135411435793</x:v>
      </x:c>
      <x:c r="F644" s="17" t="n">
        <x:f>IF(AND($A644&gt;='Control Room'!$A$13,$A644&lt;'Control Room'!$A$13+'Control Room'!$B$13,'Process'!BK2=1),1+('Control Room'!$C$13-1)*EXP(-0.5*(($A644-'Control Room'!$A$13-('Control Room'!$B$13-1)/2)/MAX(0.5,'Control Room'!$B$13/4))^2),1)*IF(AND($A644&gt;='Control Room'!$A$14,$A644&lt;'Control Room'!$A$14+'Control Room'!$B$14,'Process'!BK3=1),1+('Control Room'!$C$14-1)*EXP(-0.5*(($A644-'Control Room'!$A$14-('Control Room'!$B$14-1)/2)/MAX(0.5,'Control Room'!$B$14/4))^2),1)*IF(AND($A644&gt;='Control Room'!$A$15,$A644&lt;'Control Room'!$A$15+'Control Room'!$B$15,'Process'!BK4=1),1+('Control Room'!$C$15-1)*EXP(-0.5*(($A644-'Control Room'!$A$15-('Control Room'!$B$15-1)/2)/MAX(0.5,'Control Room'!$B$15/4))^2),1)*IF(AND($A644&gt;='Control Room'!$A$16,$A644&lt;'Control Room'!$A$16+'Control Room'!$B$16,'Process'!BK5=1),1+('Control Room'!$C$16-1)*EXP(-0.5*(($A644-'Control Room'!$A$16-('Control Room'!$B$16-1)/2)/MAX(0.5,'Control Room'!$B$16/4))^2),1)</x:f>
        <x:v>1</x:v>
      </x:c>
      <x:c r="G644" s="9" t="n">
        <x:f>MOD(H643*16807,2147483647)</x:f>
        <x:v>401717139</x:v>
      </x:c>
      <x:c r="H644" s="9" t="n">
        <x:f>MOD(G644*16807,2147483647)</x:f>
        <x:v>2118852652</x:v>
      </x:c>
      <x:c r="I644" s="17" t="n">
        <x:f>IF('Control Room'!$B$5="Normal",'Control Room'!$B$7+'Control Room'!$D$7*SQRT(-2*LN(MAX(0.000000000001,G644/2147483647)))*COS(2*PI()*H644/2147483647),'Control Room'!$B$8+('Control Room'!$D$8-'Control Room'!$B$8)*G644/2147483647)</x:f>
        <x:v>1164.21328665421</x:v>
      </x:c>
      <x:c r="J644" s="17" t="n">
        <x:f>IF('Control Room'!$B$5="Normal",'Control Room'!$B$7,('Control Room'!$B$8+'Control Room'!$D$8)/2)+'Control Room'!$B$9*(J643-IF('Control Room'!$B$5="Normal",'Control Room'!$B$7,('Control Room'!$B$8+'Control Room'!$D$8)/2))+SQRT(1-'Control Room'!$B$9^2)*(I644-IF('Control Room'!$B$5="Normal",'Control Room'!$B$7,('Control Room'!$B$8+'Control Room'!$D$8)/2))</x:f>
        <x:v>1099.888441837451</x:v>
      </x:c>
      <x:c r="K644" s="17" t="n">
        <x:f>IF(AND($A644&gt;='Control Room'!$A$13,$A644&lt;'Control Room'!$A$13+'Control Room'!$B$13,'Process'!BL2=1),1+('Control Room'!$C$13-1)*EXP(-0.5*(($A644-'Control Room'!$A$13-('Control Room'!$B$13-1)/2)/MAX(0.5,'Control Room'!$B$13/4))^2),1)*IF(AND($A644&gt;='Control Room'!$A$14,$A644&lt;'Control Room'!$A$14+'Control Room'!$B$14,'Process'!BL3=1),1+('Control Room'!$C$14-1)*EXP(-0.5*(($A644-'Control Room'!$A$14-('Control Room'!$B$14-1)/2)/MAX(0.5,'Control Room'!$B$14/4))^2),1)*IF(AND($A644&gt;='Control Room'!$A$15,$A644&lt;'Control Room'!$A$15+'Control Room'!$B$15,'Process'!BL4=1),1+('Control Room'!$C$15-1)*EXP(-0.5*(($A644-'Control Room'!$A$15-('Control Room'!$B$15-1)/2)/MAX(0.5,'Control Room'!$B$15/4))^2),1)*IF(AND($A644&gt;='Control Room'!$A$16,$A644&lt;'Control Room'!$A$16+'Control Room'!$B$16,'Process'!BL5=1),1+('Control Room'!$C$16-1)*EXP(-0.5*(($A644-'Control Room'!$A$16-('Control Room'!$B$16-1)/2)/MAX(0.5,'Control Room'!$B$16/4))^2),1)</x:f>
        <x:v>1</x:v>
      </x:c>
      <x:c r="L644" s="9" t="n">
        <x:f>MOD(M643*16807,2147483647)</x:f>
        <x:v>1511008153</x:v>
      </x:c>
      <x:c r="M644" s="9" t="n">
        <x:f>MOD(L644*16807,2147483647)</x:f>
        <x:v>1519901696</x:v>
      </x:c>
      <x:c r="N644" s="17" t="n">
        <x:f>IF('Control Room'!$B$5="Normal",'Control Room'!$B$7+'Control Room'!$D$7*SQRT(-2*LN(MAX(0.000000000001,L644/2147483647)))*COS(2*PI()*M644/2147483647),'Control Room'!$B$8+('Control Room'!$D$8-'Control Room'!$B$8)*L644/2147483647)</x:f>
        <x:v>980.2060794949999</x:v>
      </x:c>
      <x:c r="O644" s="17" t="n">
        <x:f>IF('Control Room'!$B$5="Normal",'Control Room'!$B$7,('Control Room'!$B$8+'Control Room'!$D$8)/2)+'Control Room'!$B$9*(O643-IF('Control Room'!$B$5="Normal",'Control Room'!$B$7,('Control Room'!$B$8+'Control Room'!$D$8)/2))+SQRT(1-'Control Room'!$B$9^2)*(N644-IF('Control Room'!$B$5="Normal",'Control Room'!$B$7,('Control Room'!$B$8+'Control Room'!$D$8)/2))</x:f>
        <x:v>1089.0131135743115</x:v>
      </x:c>
      <x:c r="P644" s="17" t="n">
        <x:f>IF(AND($A644&gt;='Control Room'!$A$13,$A644&lt;'Control Room'!$A$13+'Control Room'!$B$13,'Process'!BM2=1),1+('Control Room'!$C$13-1)*EXP(-0.5*(($A644-'Control Room'!$A$13-('Control Room'!$B$13-1)/2)/MAX(0.5,'Control Room'!$B$13/4))^2),1)*IF(AND($A644&gt;='Control Room'!$A$14,$A644&lt;'Control Room'!$A$14+'Control Room'!$B$14,'Process'!BM3=1),1+('Control Room'!$C$14-1)*EXP(-0.5*(($A644-'Control Room'!$A$14-('Control Room'!$B$14-1)/2)/MAX(0.5,'Control Room'!$B$14/4))^2),1)*IF(AND($A644&gt;='Control Room'!$A$15,$A644&lt;'Control Room'!$A$15+'Control Room'!$B$15,'Process'!BM4=1),1+('Control Room'!$C$15-1)*EXP(-0.5*(($A644-'Control Room'!$A$15-('Control Room'!$B$15-1)/2)/MAX(0.5,'Control Room'!$B$15/4))^2),1)*IF(AND($A644&gt;='Control Room'!$A$16,$A644&lt;'Control Room'!$A$16+'Control Room'!$B$16,'Process'!BM5=1),1+('Control Room'!$C$16-1)*EXP(-0.5*(($A644-'Control Room'!$A$16-('Control Room'!$B$16-1)/2)/MAX(0.5,'Control Room'!$B$16/4))^2),1)</x:f>
        <x:v>1</x:v>
      </x:c>
      <x:c r="Q644" s="9" t="n">
        <x:f>MOD(R643*16807,2147483647)</x:f>
        <x:v>472815520</x:v>
      </x:c>
      <x:c r="R644" s="9" t="n">
        <x:f>MOD(Q644*16807,2147483647)</x:f>
        <x:v>920950740</x:v>
      </x:c>
      <x:c r="S644" s="17" t="n">
        <x:f>IF('Control Room'!$B$5="Normal",'Control Room'!$B$7+'Control Room'!$D$7*SQRT(-2*LN(MAX(0.000000000001,Q644/2147483647)))*COS(2*PI()*R644/2147483647),'Control Room'!$B$8+('Control Room'!$D$8-'Control Room'!$B$8)*Q644/2147483647)</x:f>
        <x:v>858.8102349662925</x:v>
      </x:c>
      <x:c r="T644" s="17" t="n">
        <x:f>IF('Control Room'!$B$5="Normal",'Control Room'!$B$7,('Control Room'!$B$8+'Control Room'!$D$8)/2)+'Control Room'!$B$9*(T643-IF('Control Room'!$B$5="Normal",'Control Room'!$B$7,('Control Room'!$B$8+'Control Room'!$D$8)/2))+SQRT(1-'Control Room'!$B$9^2)*(S644-IF('Control Room'!$B$5="Normal",'Control Room'!$B$7,('Control Room'!$B$8+'Control Room'!$D$8)/2))</x:f>
        <x:v>860.6826823130889</x:v>
      </x:c>
      <x:c r="U644" s="17" t="n">
        <x:f>IF(AND($A644&gt;='Control Room'!$A$13,$A644&lt;'Control Room'!$A$13+'Control Room'!$B$13,'Process'!BN2=1),1+('Control Room'!$C$13-1)*EXP(-0.5*(($A644-'Control Room'!$A$13-('Control Room'!$B$13-1)/2)/MAX(0.5,'Control Room'!$B$13/4))^2),1)*IF(AND($A644&gt;='Control Room'!$A$14,$A644&lt;'Control Room'!$A$14+'Control Room'!$B$14,'Process'!BN3=1),1+('Control Room'!$C$14-1)*EXP(-0.5*(($A644-'Control Room'!$A$14-('Control Room'!$B$14-1)/2)/MAX(0.5,'Control Room'!$B$14/4))^2),1)*IF(AND($A644&gt;='Control Room'!$A$15,$A644&lt;'Control Room'!$A$15+'Control Room'!$B$15,'Process'!BN4=1),1+('Control Room'!$C$15-1)*EXP(-0.5*(($A644-'Control Room'!$A$15-('Control Room'!$B$15-1)/2)/MAX(0.5,'Control Room'!$B$15/4))^2),1)*IF(AND($A644&gt;='Control Room'!$A$16,$A644&lt;'Control Room'!$A$16+'Control Room'!$B$16,'Process'!BN5=1),1+('Control Room'!$C$16-1)*EXP(-0.5*(($A644-'Control Room'!$A$16-('Control Room'!$B$16-1)/2)/MAX(0.5,'Control Room'!$B$16/4))^2),1)</x:f>
        <x:v>1</x:v>
      </x:c>
      <x:c r="V644" s="9" t="n">
        <x:f>MOD(W643*16807,2147483647)</x:f>
        <x:v>1582106534</x:v>
      </x:c>
      <x:c r="W644" s="9" t="n">
        <x:f>MOD(V644*16807,2147483647)</x:f>
        <x:v>321999784</x:v>
      </x:c>
      <x:c r="X644" s="17" t="n">
        <x:f>IF('Control Room'!$B$5="Normal",'Control Room'!$B$7+'Control Room'!$D$7*SQRT(-2*LN(MAX(0.000000000001,V644/2147483647)))*COS(2*PI()*W644/2147483647),'Control Room'!$B$8+('Control Room'!$D$8-'Control Room'!$B$8)*V644/2147483647)</x:f>
        <x:v>1041.37371650572</x:v>
      </x:c>
      <x:c r="Y644" s="17" t="n">
        <x:f>IF('Control Room'!$B$5="Normal",'Control Room'!$B$7,('Control Room'!$B$8+'Control Room'!$D$8)/2)+'Control Room'!$B$9*(Y643-IF('Control Room'!$B$5="Normal",'Control Room'!$B$7,('Control Room'!$B$8+'Control Room'!$D$8)/2))+SQRT(1-'Control Room'!$B$9^2)*(X644-IF('Control Room'!$B$5="Normal",'Control Room'!$B$7,('Control Room'!$B$8+'Control Room'!$D$8)/2))</x:f>
        <x:v>1033.4946561613867</x:v>
      </x:c>
      <x:c r="Z644" s="17" t="n">
        <x:f>IF(AND($A644&gt;='Control Room'!$A$13,$A644&lt;'Control Room'!$A$13+'Control Room'!$B$13,'Process'!BO2=1),1+('Control Room'!$C$13-1)*EXP(-0.5*(($A644-'Control Room'!$A$13-('Control Room'!$B$13-1)/2)/MAX(0.5,'Control Room'!$B$13/4))^2),1)*IF(AND($A644&gt;='Control Room'!$A$14,$A644&lt;'Control Room'!$A$14+'Control Room'!$B$14,'Process'!BO3=1),1+('Control Room'!$C$14-1)*EXP(-0.5*(($A644-'Control Room'!$A$14-('Control Room'!$B$14-1)/2)/MAX(0.5,'Control Room'!$B$14/4))^2),1)*IF(AND($A644&gt;='Control Room'!$A$15,$A644&lt;'Control Room'!$A$15+'Control Room'!$B$15,'Process'!BO4=1),1+('Control Room'!$C$15-1)*EXP(-0.5*(($A644-'Control Room'!$A$15-('Control Room'!$B$15-1)/2)/MAX(0.5,'Control Room'!$B$15/4))^2),1)*IF(AND($A644&gt;='Control Room'!$A$16,$A644&lt;'Control Room'!$A$16+'Control Room'!$B$16,'Process'!BO5=1),1+('Control Room'!$C$16-1)*EXP(-0.5*(($A644-'Control Room'!$A$16-('Control Room'!$B$16-1)/2)/MAX(0.5,'Control Room'!$B$16/4))^2),1)</x:f>
        <x:v>1</x:v>
      </x:c>
      <x:c r="AA644" s="9" t="n">
        <x:f>MOD(AB643*16807,2147483647)</x:f>
        <x:v>543913901</x:v>
      </x:c>
      <x:c r="AB644" s="9" t="n">
        <x:f>MOD(AA644*16807,2147483647)</x:f>
        <x:v>1870532475</x:v>
      </x:c>
      <x:c r="AC644" s="17" t="n">
        <x:f>IF('Control Room'!$B$5="Normal",'Control Room'!$B$7+'Control Room'!$D$7*SQRT(-2*LN(MAX(0.000000000001,AA644/2147483647)))*COS(2*PI()*AB644/2147483647),'Control Room'!$B$8+('Control Room'!$D$8-'Control Room'!$B$8)*AA644/2147483647)</x:f>
        <x:v>1102.8073498921203</x:v>
      </x:c>
      <x:c r="AD644" s="17" t="n">
        <x:f>IF('Control Room'!$B$5="Normal",'Control Room'!$B$7,('Control Room'!$B$8+'Control Room'!$D$8)/2)+'Control Room'!$B$9*(AD643-IF('Control Room'!$B$5="Normal",'Control Room'!$B$7,('Control Room'!$B$8+'Control Room'!$D$8)/2))+SQRT(1-'Control Room'!$B$9^2)*(AC644-IF('Control Room'!$B$5="Normal",'Control Room'!$B$7,('Control Room'!$B$8+'Control Room'!$D$8)/2))</x:f>
        <x:v>1098.905521334199</x:v>
      </x:c>
      <x:c r="AE644" s="17" t="n">
        <x:f>IF(AND($A644&gt;='Control Room'!$A$13,$A644&lt;'Control Room'!$A$13+'Control Room'!$B$13,'Process'!BP2=1),1+('Control Room'!$C$13-1)*EXP(-0.5*(($A644-'Control Room'!$A$13-('Control Room'!$B$13-1)/2)/MAX(0.5,'Control Room'!$B$13/4))^2),1)*IF(AND($A644&gt;='Control Room'!$A$14,$A644&lt;'Control Room'!$A$14+'Control Room'!$B$14,'Process'!BP3=1),1+('Control Room'!$C$14-1)*EXP(-0.5*(($A644-'Control Room'!$A$14-('Control Room'!$B$14-1)/2)/MAX(0.5,'Control Room'!$B$14/4))^2),1)*IF(AND($A644&gt;='Control Room'!$A$15,$A644&lt;'Control Room'!$A$15+'Control Room'!$B$15,'Process'!BP4=1),1+('Control Room'!$C$15-1)*EXP(-0.5*(($A644-'Control Room'!$A$15-('Control Room'!$B$15-1)/2)/MAX(0.5,'Control Room'!$B$15/4))^2),1)*IF(AND($A644&gt;='Control Room'!$A$16,$A644&lt;'Control Room'!$A$16+'Control Room'!$B$16,'Process'!BP5=1),1+('Control Room'!$C$16-1)*EXP(-0.5*(($A644-'Control Room'!$A$16-('Control Room'!$B$16-1)/2)/MAX(0.5,'Control Room'!$B$16/4))^2),1)</x:f>
        <x:v>1</x:v>
      </x:c>
      <x:c r="AF644" s="9" t="n">
        <x:f>MOD(AG643*16807,2147483647)</x:f>
        <x:v>1653204915</x:v>
      </x:c>
      <x:c r="AG644" s="9" t="n">
        <x:f>MOD(AF644*16807,2147483647)</x:f>
        <x:v>1271581519</x:v>
      </x:c>
      <x:c r="AH644" s="17" t="n">
        <x:f>IF('Control Room'!$B$5="Normal",'Control Room'!$B$7+'Control Room'!$D$7*SQRT(-2*LN(MAX(0.000000000001,AF644/2147483647)))*COS(2*PI()*AG644/2147483647),'Control Room'!$B$8+('Control Room'!$D$8-'Control Room'!$B$8)*AF644/2147483647)</x:f>
        <x:v>945.5077256681883</x:v>
      </x:c>
      <x:c r="AI644" s="17" t="n">
        <x:f>IF('Control Room'!$B$5="Normal",'Control Room'!$B$7,('Control Room'!$B$8+'Control Room'!$D$8)/2)+'Control Room'!$B$9*(AI643-IF('Control Room'!$B$5="Normal",'Control Room'!$B$7,('Control Room'!$B$8+'Control Room'!$D$8)/2))+SQRT(1-'Control Room'!$B$9^2)*(AH644-IF('Control Room'!$B$5="Normal",'Control Room'!$B$7,('Control Room'!$B$8+'Control Room'!$D$8)/2))</x:f>
        <x:v>874.142156385144</x:v>
      </x:c>
      <x:c r="AJ644" s="17" t="n">
        <x:f>IF(AND($A644&gt;='Control Room'!$A$13,$A644&lt;'Control Room'!$A$13+'Control Room'!$B$13,'Process'!BQ2=1),1+('Control Room'!$C$13-1)*EXP(-0.5*(($A644-'Control Room'!$A$13-('Control Room'!$B$13-1)/2)/MAX(0.5,'Control Room'!$B$13/4))^2),1)*IF(AND($A644&gt;='Control Room'!$A$14,$A644&lt;'Control Room'!$A$14+'Control Room'!$B$14,'Process'!BQ3=1),1+('Control Room'!$C$14-1)*EXP(-0.5*(($A644-'Control Room'!$A$14-('Control Room'!$B$14-1)/2)/MAX(0.5,'Control Room'!$B$14/4))^2),1)*IF(AND($A644&gt;='Control Room'!$A$15,$A644&lt;'Control Room'!$A$15+'Control Room'!$B$15,'Process'!BQ4=1),1+('Control Room'!$C$15-1)*EXP(-0.5*(($A644-'Control Room'!$A$15-('Control Room'!$B$15-1)/2)/MAX(0.5,'Control Room'!$B$15/4))^2),1)*IF(AND($A644&gt;='Control Room'!$A$16,$A644&lt;'Control Room'!$A$16+'Control Room'!$B$16,'Process'!BQ5=1),1+('Control Room'!$C$16-1)*EXP(-0.5*(($A644-'Control Room'!$A$16-('Control Room'!$B$16-1)/2)/MAX(0.5,'Control Room'!$B$16/4))^2),1)</x:f>
        <x:v>1</x:v>
      </x:c>
      <x:c r="AK644" s="9" t="n">
        <x:f>MOD(AL643*16807,2147483647)</x:f>
        <x:v>615012282</x:v>
      </x:c>
      <x:c r="AL644" s="9" t="n">
        <x:f>MOD(AK644*16807,2147483647)</x:f>
        <x:v>672630563</x:v>
      </x:c>
      <x:c r="AM644" s="17" t="n">
        <x:f>IF('Control Room'!$B$5="Normal",'Control Room'!$B$7+'Control Room'!$D$7*SQRT(-2*LN(MAX(0.000000000001,AK644/2147483647)))*COS(2*PI()*AL644/2147483647),'Control Room'!$B$8+('Control Room'!$D$8-'Control Room'!$B$8)*AK644/2147483647)</x:f>
        <x:v>944.941608749943</x:v>
      </x:c>
      <x:c r="AN644" s="17" t="n">
        <x:f>IF('Control Room'!$B$5="Normal",'Control Room'!$B$7,('Control Room'!$B$8+'Control Room'!$D$8)/2)+'Control Room'!$B$9*(AN643-IF('Control Room'!$B$5="Normal",'Control Room'!$B$7,('Control Room'!$B$8+'Control Room'!$D$8)/2))+SQRT(1-'Control Room'!$B$9^2)*(AM644-IF('Control Room'!$B$5="Normal",'Control Room'!$B$7,('Control Room'!$B$8+'Control Room'!$D$8)/2))</x:f>
        <x:v>896.4096628271241</x:v>
      </x:c>
      <x:c r="AO644" s="17" t="n">
        <x:f>IF(AND($A644&gt;='Control Room'!$A$13,$A644&lt;'Control Room'!$A$13+'Control Room'!$B$13,'Process'!BR2=1),1+('Control Room'!$C$13-1)*EXP(-0.5*(($A644-'Control Room'!$A$13-('Control Room'!$B$13-1)/2)/MAX(0.5,'Control Room'!$B$13/4))^2),1)*IF(AND($A644&gt;='Control Room'!$A$14,$A644&lt;'Control Room'!$A$14+'Control Room'!$B$14,'Process'!BR3=1),1+('Control Room'!$C$14-1)*EXP(-0.5*(($A644-'Control Room'!$A$14-('Control Room'!$B$14-1)/2)/MAX(0.5,'Control Room'!$B$14/4))^2),1)*IF(AND($A644&gt;='Control Room'!$A$15,$A644&lt;'Control Room'!$A$15+'Control Room'!$B$15,'Process'!BR4=1),1+('Control Room'!$C$15-1)*EXP(-0.5*(($A644-'Control Room'!$A$15-('Control Room'!$B$15-1)/2)/MAX(0.5,'Control Room'!$B$15/4))^2),1)*IF(AND($A644&gt;='Control Room'!$A$16,$A644&lt;'Control Room'!$A$16+'Control Room'!$B$16,'Process'!BR5=1),1+('Control Room'!$C$16-1)*EXP(-0.5*(($A644-'Control Room'!$A$16-('Control Room'!$B$16-1)/2)/MAX(0.5,'Control Room'!$B$16/4))^2),1)</x:f>
        <x:v>1</x:v>
      </x:c>
      <x:c r="AP644" s="9" t="n">
        <x:f>MOD(AQ643*16807,2147483647)</x:f>
        <x:v>1724303296</x:v>
      </x:c>
      <x:c r="AQ644" s="9" t="n">
        <x:f>MOD(AP644*16807,2147483647)</x:f>
        <x:v>73679607</x:v>
      </x:c>
      <x:c r="AR644" s="17" t="n">
        <x:f>IF('Control Room'!$B$5="Normal",'Control Room'!$B$7+'Control Room'!$D$7*SQRT(-2*LN(MAX(0.000000000001,AP644/2147483647)))*COS(2*PI()*AQ644/2147483647),'Control Room'!$B$8+('Control Room'!$D$8-'Control Room'!$B$8)*AP644/2147483647)</x:f>
        <x:v>1058.2476276379243</x:v>
      </x:c>
      <x:c r="AS644" s="17" t="n">
        <x:f>IF('Control Room'!$B$5="Normal",'Control Room'!$B$7,('Control Room'!$B$8+'Control Room'!$D$8)/2)+'Control Room'!$B$9*(AS643-IF('Control Room'!$B$5="Normal",'Control Room'!$B$7,('Control Room'!$B$8+'Control Room'!$D$8)/2))+SQRT(1-'Control Room'!$B$9^2)*(AR644-IF('Control Room'!$B$5="Normal",'Control Room'!$B$7,('Control Room'!$B$8+'Control Room'!$D$8)/2))</x:f>
        <x:v>1083.7241037953265</x:v>
      </x:c>
      <x:c r="AT644" s="17" t="n">
        <x:f>IF(AND($A644&gt;='Control Room'!$A$13,$A644&lt;'Control Room'!$A$13+'Control Room'!$B$13,'Process'!BS2=1),1+('Control Room'!$C$13-1)*EXP(-0.5*(($A644-'Control Room'!$A$13-('Control Room'!$B$13-1)/2)/MAX(0.5,'Control Room'!$B$13/4))^2),1)*IF(AND($A644&gt;='Control Room'!$A$14,$A644&lt;'Control Room'!$A$14+'Control Room'!$B$14,'Process'!BS3=1),1+('Control Room'!$C$14-1)*EXP(-0.5*(($A644-'Control Room'!$A$14-('Control Room'!$B$14-1)/2)/MAX(0.5,'Control Room'!$B$14/4))^2),1)*IF(AND($A644&gt;='Control Room'!$A$15,$A644&lt;'Control Room'!$A$15+'Control Room'!$B$15,'Process'!BS4=1),1+('Control Room'!$C$15-1)*EXP(-0.5*(($A644-'Control Room'!$A$15-('Control Room'!$B$15-1)/2)/MAX(0.5,'Control Room'!$B$15/4))^2),1)*IF(AND($A644&gt;='Control Room'!$A$16,$A644&lt;'Control Room'!$A$16+'Control Room'!$B$16,'Process'!BS5=1),1+('Control Room'!$C$16-1)*EXP(-0.5*(($A644-'Control Room'!$A$16-('Control Room'!$B$16-1)/2)/MAX(0.5,'Control Room'!$B$16/4))^2),1)</x:f>
        <x:v>1</x:v>
      </x:c>
      <x:c r="AU644" s="9" t="n">
        <x:f>MOD(AV643*16807,2147483647)</x:f>
        <x:v>686110663</x:v>
      </x:c>
      <x:c r="AV644" s="9" t="n">
        <x:f>MOD(AU644*16807,2147483647)</x:f>
        <x:v>1622212298</x:v>
      </x:c>
      <x:c r="AW644" s="17" t="n">
        <x:f>IF('Control Room'!$B$5="Normal",'Control Room'!$B$7+'Control Room'!$D$7*SQRT(-2*LN(MAX(0.000000000001,AU644/2147483647)))*COS(2*PI()*AV644/2147483647),'Control Room'!$B$8+('Control Room'!$D$8-'Control Room'!$B$8)*AU644/2147483647)</x:f>
        <x:v>1004.6132933482834</x:v>
      </x:c>
      <x:c r="AX644" s="17" t="n">
        <x:f>IF('Control Room'!$B$5="Normal",'Control Room'!$B$7,('Control Room'!$B$8+'Control Room'!$D$8)/2)+'Control Room'!$B$9*(AX643-IF('Control Room'!$B$5="Normal",'Control Room'!$B$7,('Control Room'!$B$8+'Control Room'!$D$8)/2))+SQRT(1-'Control Room'!$B$9^2)*(AW644-IF('Control Room'!$B$5="Normal",'Control Room'!$B$7,('Control Room'!$B$8+'Control Room'!$D$8)/2))</x:f>
        <x:v>990.5358640004282</x:v>
      </x:c>
      <x:c r="AY644" s="17" t="n">
        <x:f>IF(AND($A644&gt;='Control Room'!$A$13,$A644&lt;'Control Room'!$A$13+'Control Room'!$B$13,'Process'!BT2=1),1+('Control Room'!$C$13-1)*EXP(-0.5*(($A644-'Control Room'!$A$13-('Control Room'!$B$13-1)/2)/MAX(0.5,'Control Room'!$B$13/4))^2),1)*IF(AND($A644&gt;='Control Room'!$A$14,$A644&lt;'Control Room'!$A$14+'Control Room'!$B$14,'Process'!BT3=1),1+('Control Room'!$C$14-1)*EXP(-0.5*(($A644-'Control Room'!$A$14-('Control Room'!$B$14-1)/2)/MAX(0.5,'Control Room'!$B$14/4))^2),1)*IF(AND($A644&gt;='Control Room'!$A$15,$A644&lt;'Control Room'!$A$15+'Control Room'!$B$15,'Process'!BT4=1),1+('Control Room'!$C$15-1)*EXP(-0.5*(($A644-'Control Room'!$A$15-('Control Room'!$B$15-1)/2)/MAX(0.5,'Control Room'!$B$15/4))^2),1)*IF(AND($A644&gt;='Control Room'!$A$16,$A644&lt;'Control Room'!$A$16+'Control Room'!$B$16,'Process'!BT5=1),1+('Control Room'!$C$16-1)*EXP(-0.5*(($A644-'Control Room'!$A$16-('Control Room'!$B$16-1)/2)/MAX(0.5,'Control Room'!$B$16/4))^2),1)</x:f>
        <x:v>1</x:v>
      </x:c>
      <x:c r="AZ644" s="9" t="n">
        <x:f>MOD(BA643*16807,2147483647)</x:f>
        <x:v>1795401677</x:v>
      </x:c>
      <x:c r="BA644" s="9" t="n">
        <x:f>MOD(AZ644*16807,2147483647)</x:f>
        <x:v>1023261342</x:v>
      </x:c>
      <x:c r="BB644" s="17" t="n">
        <x:f>IF('Control Room'!$B$5="Normal",'Control Room'!$B$7+'Control Room'!$D$7*SQRT(-2*LN(MAX(0.000000000001,AZ644/2147483647)))*COS(2*PI()*BA644/2147483647),'Control Room'!$B$8+('Control Room'!$D$8-'Control Room'!$B$8)*AZ644/2147483647)</x:f>
        <x:v>946.7263831297618</x:v>
      </x:c>
      <x:c r="BC644" s="17" t="n">
        <x:f>IF('Control Room'!$B$5="Normal",'Control Room'!$B$7,('Control Room'!$B$8+'Control Room'!$D$8)/2)+'Control Room'!$B$9*(BC643-IF('Control Room'!$B$5="Normal",'Control Room'!$B$7,('Control Room'!$B$8+'Control Room'!$D$8)/2))+SQRT(1-'Control Room'!$B$9^2)*(BB644-IF('Control Room'!$B$5="Normal",'Control Room'!$B$7,('Control Room'!$B$8+'Control Room'!$D$8)/2))</x:f>
        <x:v>879.5461335500771</x:v>
      </x:c>
      <x:c r="BD644" s="17" t="n">
        <x:f>IF(AND($A644&gt;='Control Room'!$A$13,$A644&lt;'Control Room'!$A$13+'Control Room'!$B$13,'Process'!BU2=1),1+('Control Room'!$C$13-1)*EXP(-0.5*(($A644-'Control Room'!$A$13-('Control Room'!$B$13-1)/2)/MAX(0.5,'Control Room'!$B$13/4))^2),1)*IF(AND($A644&gt;='Control Room'!$A$14,$A644&lt;'Control Room'!$A$14+'Control Room'!$B$14,'Process'!BU3=1),1+('Control Room'!$C$14-1)*EXP(-0.5*(($A644-'Control Room'!$A$14-('Control Room'!$B$14-1)/2)/MAX(0.5,'Control Room'!$B$14/4))^2),1)*IF(AND($A644&gt;='Control Room'!$A$15,$A644&lt;'Control Room'!$A$15+'Control Room'!$B$15,'Process'!BU4=1),1+('Control Room'!$C$15-1)*EXP(-0.5*(($A644-'Control Room'!$A$15-('Control Room'!$B$15-1)/2)/MAX(0.5,'Control Room'!$B$15/4))^2),1)*IF(AND($A644&gt;='Control Room'!$A$16,$A644&lt;'Control Room'!$A$16+'Control Room'!$B$16,'Process'!BU5=1),1+('Control Room'!$C$16-1)*EXP(-0.5*(($A644-'Control Room'!$A$16-('Control Room'!$B$16-1)/2)/MAX(0.5,'Control Room'!$B$16/4))^2),1)</x:f>
        <x:v>1</x:v>
      </x:c>
      <x:c r="BE644" s="9" t="n">
        <x:f>MOD(BF643*16807,2147483647)</x:f>
        <x:v>757209044</x:v>
      </x:c>
      <x:c r="BF644" s="9" t="n">
        <x:f>MOD(BE644*16807,2147483647)</x:f>
        <x:v>424310386</x:v>
      </x:c>
      <x:c r="BG644" s="17" t="n">
        <x:f>IF('Control Room'!$B$5="Normal",'Control Room'!$B$7+'Control Room'!$D$7*SQRT(-2*LN(MAX(0.000000000001,BE644/2147483647)))*COS(2*PI()*BF644/2147483647),'Control Room'!$B$8+('Control Room'!$D$8-'Control Room'!$B$8)*BE644/2147483647)</x:f>
        <x:v>1042.0275662057807</x:v>
      </x:c>
      <x:c r="BH644" s="17" t="n">
        <x:f>IF('Control Room'!$B$5="Normal",'Control Room'!$B$7,('Control Room'!$B$8+'Control Room'!$D$8)/2)+'Control Room'!$B$9*(BH643-IF('Control Room'!$B$5="Normal",'Control Room'!$B$7,('Control Room'!$B$8+'Control Room'!$D$8)/2))+SQRT(1-'Control Room'!$B$9^2)*(BG644-IF('Control Room'!$B$5="Normal",'Control Room'!$B$7,('Control Room'!$B$8+'Control Room'!$D$8)/2))</x:f>
        <x:v>1038.386516153639</x:v>
      </x:c>
      <x:c r="BI644" s="17" t="n">
        <x:f>IF(AND($A644&gt;='Control Room'!$A$13,$A644&lt;'Control Room'!$A$13+'Control Room'!$B$13,'Process'!BV2=1),1+('Control Room'!$C$13-1)*EXP(-0.5*(($A644-'Control Room'!$A$13-('Control Room'!$B$13-1)/2)/MAX(0.5,'Control Room'!$B$13/4))^2),1)*IF(AND($A644&gt;='Control Room'!$A$14,$A644&lt;'Control Room'!$A$14+'Control Room'!$B$14,'Process'!BV3=1),1+('Control Room'!$C$14-1)*EXP(-0.5*(($A644-'Control Room'!$A$14-('Control Room'!$B$14-1)/2)/MAX(0.5,'Control Room'!$B$14/4))^2),1)*IF(AND($A644&gt;='Control Room'!$A$15,$A644&lt;'Control Room'!$A$15+'Control Room'!$B$15,'Process'!BV4=1),1+('Control Room'!$C$15-1)*EXP(-0.5*(($A644-'Control Room'!$A$15-('Control Room'!$B$15-1)/2)/MAX(0.5,'Control Room'!$B$15/4))^2),1)*IF(AND($A644&gt;='Control Room'!$A$16,$A644&lt;'Control Room'!$A$16+'Control Room'!$B$16,'Process'!BV5=1),1+('Control Room'!$C$16-1)*EXP(-0.5*(($A644-'Control Room'!$A$16-('Control Room'!$B$16-1)/2)/MAX(0.5,'Control Room'!$B$16/4))^2),1)</x:f>
        <x:v>1</x:v>
      </x:c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Z644" t="str">
        <x:f>IF('Data'!A644="","",TEXT('Data'!A644,"mm-dd"))</x:f>
      </x:c>
    </x:row>
    <x:row r="645" ht="21" customHeight="1">
      <x:c r="A645" s="15" t="n">
        <x:f>'Control Room'!$B$1+643</x:f>
        <x:v>73634</x:v>
      </x:c>
      <x:c r="B645" s="9" t="n">
        <x:f>MOD(C644*16807,2147483647)</x:f>
        <x:v>1148067966</x:v>
      </x:c>
      <x:c r="C645" s="9" t="n">
        <x:f>MOD(B645*16807,2147483647)</x:f>
        <x:v>437736267</x:v>
      </x:c>
      <x:c r="D645" s="17" t="n">
        <x:f>IF('Control Room'!$B$5="Normal",'Control Room'!$B$7+'Control Room'!$D$7*SQRT(-2*LN(MAX(0.000000000001,B645/2147483647)))*COS(2*PI()*C645/2147483647),'Control Room'!$B$8+('Control Room'!$D$8-'Control Room'!$B$8)*B645/2147483647)</x:f>
        <x:v>1028.8063632722844</x:v>
      </x:c>
      <x:c r="E645" s="17" t="n">
        <x:f>IF('Control Room'!$B$5="Normal",'Control Room'!$B$7,('Control Room'!$B$8+'Control Room'!$D$8)/2)+'Control Room'!$B$9*(E644-IF('Control Room'!$B$5="Normal",'Control Room'!$B$7,('Control Room'!$B$8+'Control Room'!$D$8)/2))+SQRT(1-'Control Room'!$B$9^2)*(D645-IF('Control Room'!$B$5="Normal",'Control Room'!$B$7,('Control Room'!$B$8+'Control Room'!$D$8)/2))</x:f>
        <x:v>1047.0529940973593</x:v>
      </x:c>
      <x:c r="F645" s="17" t="n">
        <x:f>IF(AND($A645&gt;='Control Room'!$A$13,$A645&lt;'Control Room'!$A$13+'Control Room'!$B$13,'Process'!BK2=1),1+('Control Room'!$C$13-1)*EXP(-0.5*(($A645-'Control Room'!$A$13-('Control Room'!$B$13-1)/2)/MAX(0.5,'Control Room'!$B$13/4))^2),1)*IF(AND($A645&gt;='Control Room'!$A$14,$A645&lt;'Control Room'!$A$14+'Control Room'!$B$14,'Process'!BK3=1),1+('Control Room'!$C$14-1)*EXP(-0.5*(($A645-'Control Room'!$A$14-('Control Room'!$B$14-1)/2)/MAX(0.5,'Control Room'!$B$14/4))^2),1)*IF(AND($A645&gt;='Control Room'!$A$15,$A645&lt;'Control Room'!$A$15+'Control Room'!$B$15,'Process'!BK4=1),1+('Control Room'!$C$15-1)*EXP(-0.5*(($A645-'Control Room'!$A$15-('Control Room'!$B$15-1)/2)/MAX(0.5,'Control Room'!$B$15/4))^2),1)*IF(AND($A645&gt;='Control Room'!$A$16,$A645&lt;'Control Room'!$A$16+'Control Room'!$B$16,'Process'!BK5=1),1+('Control Room'!$C$16-1)*EXP(-0.5*(($A645-'Control Room'!$A$16-('Control Room'!$B$16-1)/2)/MAX(0.5,'Control Room'!$B$16/4))^2),1)</x:f>
        <x:v>1</x:v>
      </x:c>
      <x:c r="G645" s="9" t="n">
        <x:f>MOD(H644*16807,2147483647)</x:f>
        <x:v>1982687610</x:v>
      </x:c>
      <x:c r="H645" s="9" t="n">
        <x:f>MOD(G645*16807,2147483647)</x:f>
        <x:v>526910771</x:v>
      </x:c>
      <x:c r="I645" s="17" t="n">
        <x:f>IF('Control Room'!$B$5="Normal",'Control Room'!$B$7+'Control Room'!$D$7*SQRT(-2*LN(MAX(0.000000000001,G645/2147483647)))*COS(2*PI()*H645/2147483647),'Control Room'!$B$8+('Control Room'!$D$8-'Control Room'!$B$8)*G645/2147483647)</x:f>
        <x:v>1001.0479273611729</x:v>
      </x:c>
      <x:c r="J645" s="17" t="n">
        <x:f>IF('Control Room'!$B$5="Normal",'Control Room'!$B$7,('Control Room'!$B$8+'Control Room'!$D$8)/2)+'Control Room'!$B$9*(J644-IF('Control Room'!$B$5="Normal",'Control Room'!$B$7,('Control Room'!$B$8+'Control Room'!$D$8)/2))+SQRT(1-'Control Room'!$B$9^2)*(I645-IF('Control Room'!$B$5="Normal",'Control Room'!$B$7,('Control Room'!$B$8+'Control Room'!$D$8)/2))</x:f>
        <x:v>1078.5687561078748</x:v>
      </x:c>
      <x:c r="K645" s="17" t="n">
        <x:f>IF(AND($A645&gt;='Control Room'!$A$13,$A645&lt;'Control Room'!$A$13+'Control Room'!$B$13,'Process'!BL2=1),1+('Control Room'!$C$13-1)*EXP(-0.5*(($A645-'Control Room'!$A$13-('Control Room'!$B$13-1)/2)/MAX(0.5,'Control Room'!$B$13/4))^2),1)*IF(AND($A645&gt;='Control Room'!$A$14,$A645&lt;'Control Room'!$A$14+'Control Room'!$B$14,'Process'!BL3=1),1+('Control Room'!$C$14-1)*EXP(-0.5*(($A645-'Control Room'!$A$14-('Control Room'!$B$14-1)/2)/MAX(0.5,'Control Room'!$B$14/4))^2),1)*IF(AND($A645&gt;='Control Room'!$A$15,$A645&lt;'Control Room'!$A$15+'Control Room'!$B$15,'Process'!BL4=1),1+('Control Room'!$C$15-1)*EXP(-0.5*(($A645-'Control Room'!$A$15-('Control Room'!$B$15-1)/2)/MAX(0.5,'Control Room'!$B$15/4))^2),1)*IF(AND($A645&gt;='Control Room'!$A$16,$A645&lt;'Control Room'!$A$16+'Control Room'!$B$16,'Process'!BL5=1),1+('Control Room'!$C$16-1)*EXP(-0.5*(($A645-'Control Room'!$A$16-('Control Room'!$B$16-1)/2)/MAX(0.5,'Control Room'!$B$16/4))^2),1)</x:f>
        <x:v>1</x:v>
      </x:c>
      <x:c r="L645" s="9" t="n">
        <x:f>MOD(M644*16807,2147483647)</x:f>
        <x:v>669823607</x:v>
      </x:c>
      <x:c r="M645" s="9" t="n">
        <x:f>MOD(L645*16807,2147483647)</x:f>
        <x:v>616085275</x:v>
      </x:c>
      <x:c r="N645" s="17" t="n">
        <x:f>IF('Control Room'!$B$5="Normal",'Control Room'!$B$7+'Control Room'!$D$7*SQRT(-2*LN(MAX(0.000000000001,L645/2147483647)))*COS(2*PI()*M645/2147483647),'Control Room'!$B$8+('Control Room'!$D$8-'Control Room'!$B$8)*L645/2147483647)</x:f>
        <x:v>968.4436833029567</x:v>
      </x:c>
      <x:c r="O645" s="17" t="n">
        <x:f>IF('Control Room'!$B$5="Normal",'Control Room'!$B$7,('Control Room'!$B$8+'Control Room'!$D$8)/2)+'Control Room'!$B$9*(O644-IF('Control Room'!$B$5="Normal",'Control Room'!$B$7,('Control Room'!$B$8+'Control Room'!$D$8)/2))+SQRT(1-'Control Room'!$B$9^2)*(N645-IF('Control Room'!$B$5="Normal",'Control Room'!$B$7,('Control Room'!$B$8+'Control Room'!$D$8)/2))</x:f>
        <x:v>1049.6829320652396</x:v>
      </x:c>
      <x:c r="P645" s="17" t="n">
        <x:f>IF(AND($A645&gt;='Control Room'!$A$13,$A645&lt;'Control Room'!$A$13+'Control Room'!$B$13,'Process'!BM2=1),1+('Control Room'!$C$13-1)*EXP(-0.5*(($A645-'Control Room'!$A$13-('Control Room'!$B$13-1)/2)/MAX(0.5,'Control Room'!$B$13/4))^2),1)*IF(AND($A645&gt;='Control Room'!$A$14,$A645&lt;'Control Room'!$A$14+'Control Room'!$B$14,'Process'!BM3=1),1+('Control Room'!$C$14-1)*EXP(-0.5*(($A645-'Control Room'!$A$14-('Control Room'!$B$14-1)/2)/MAX(0.5,'Control Room'!$B$14/4))^2),1)*IF(AND($A645&gt;='Control Room'!$A$15,$A645&lt;'Control Room'!$A$15+'Control Room'!$B$15,'Process'!BM4=1),1+('Control Room'!$C$15-1)*EXP(-0.5*(($A645-'Control Room'!$A$15-('Control Room'!$B$15-1)/2)/MAX(0.5,'Control Room'!$B$15/4))^2),1)*IF(AND($A645&gt;='Control Room'!$A$16,$A645&lt;'Control Room'!$A$16+'Control Room'!$B$16,'Process'!BM5=1),1+('Control Room'!$C$16-1)*EXP(-0.5*(($A645-'Control Room'!$A$16-('Control Room'!$B$16-1)/2)/MAX(0.5,'Control Room'!$B$16/4))^2),1)</x:f>
        <x:v>1</x:v>
      </x:c>
      <x:c r="Q645" s="9" t="n">
        <x:f>MOD(R644*16807,2147483647)</x:f>
        <x:v>1504443251</x:v>
      </x:c>
      <x:c r="R645" s="9" t="n">
        <x:f>MOD(Q645*16807,2147483647)</x:f>
        <x:v>705259779</x:v>
      </x:c>
      <x:c r="S645" s="17" t="n">
        <x:f>IF('Control Room'!$B$5="Normal",'Control Room'!$B$7+'Control Room'!$D$7*SQRT(-2*LN(MAX(0.000000000001,Q645/2147483647)))*COS(2*PI()*R645/2147483647),'Control Room'!$B$8+('Control Room'!$D$8-'Control Room'!$B$8)*Q645/2147483647)</x:f>
        <x:v>964.0867236267906</x:v>
      </x:c>
      <x:c r="T645" s="17" t="n">
        <x:f>IF('Control Room'!$B$5="Normal",'Control Room'!$B$7,('Control Room'!$B$8+'Control Room'!$D$8)/2)+'Control Room'!$B$9*(T644-IF('Control Room'!$B$5="Normal",'Control Room'!$B$7,('Control Room'!$B$8+'Control Room'!$D$8)/2))+SQRT(1-'Control Room'!$B$9^2)*(S645-IF('Control Room'!$B$5="Normal",'Control Room'!$B$7,('Control Room'!$B$8+'Control Room'!$D$8)/2))</x:f>
        <x:v>868.8586995733115</x:v>
      </x:c>
      <x:c r="U645" s="17" t="n">
        <x:f>IF(AND($A645&gt;='Control Room'!$A$13,$A645&lt;'Control Room'!$A$13+'Control Room'!$B$13,'Process'!BN2=1),1+('Control Room'!$C$13-1)*EXP(-0.5*(($A645-'Control Room'!$A$13-('Control Room'!$B$13-1)/2)/MAX(0.5,'Control Room'!$B$13/4))^2),1)*IF(AND($A645&gt;='Control Room'!$A$14,$A645&lt;'Control Room'!$A$14+'Control Room'!$B$14,'Process'!BN3=1),1+('Control Room'!$C$14-1)*EXP(-0.5*(($A645-'Control Room'!$A$14-('Control Room'!$B$14-1)/2)/MAX(0.5,'Control Room'!$B$14/4))^2),1)*IF(AND($A645&gt;='Control Room'!$A$15,$A645&lt;'Control Room'!$A$15+'Control Room'!$B$15,'Process'!BN4=1),1+('Control Room'!$C$15-1)*EXP(-0.5*(($A645-'Control Room'!$A$15-('Control Room'!$B$15-1)/2)/MAX(0.5,'Control Room'!$B$15/4))^2),1)*IF(AND($A645&gt;='Control Room'!$A$16,$A645&lt;'Control Room'!$A$16+'Control Room'!$B$16,'Process'!BN5=1),1+('Control Room'!$C$16-1)*EXP(-0.5*(($A645-'Control Room'!$A$16-('Control Room'!$B$16-1)/2)/MAX(0.5,'Control Room'!$B$16/4))^2),1)</x:f>
        <x:v>1</x:v>
      </x:c>
      <x:c r="V645" s="9" t="n">
        <x:f>MOD(W644*16807,2147483647)</x:f>
        <x:v>191579248</x:v>
      </x:c>
      <x:c r="W645" s="9" t="n">
        <x:f>MOD(V645*16807,2147483647)</x:f>
        <x:v>794434283</x:v>
      </x:c>
      <x:c r="X645" s="17" t="n">
        <x:f>IF('Control Room'!$B$5="Normal",'Control Room'!$B$7+'Control Room'!$D$7*SQRT(-2*LN(MAX(0.000000000001,V645/2147483647)))*COS(2*PI()*W645/2147483647),'Control Room'!$B$8+('Control Room'!$D$8-'Control Room'!$B$8)*V645/2147483647)</x:f>
        <x:v>864.6075458920708</x:v>
      </x:c>
      <x:c r="Y645" s="17" t="n">
        <x:f>IF('Control Room'!$B$5="Normal",'Control Room'!$B$7,('Control Room'!$B$8+'Control Room'!$D$8)/2)+'Control Room'!$B$9*(Y644-IF('Control Room'!$B$5="Normal",'Control Room'!$B$7,('Control Room'!$B$8+'Control Room'!$D$8)/2))+SQRT(1-'Control Room'!$B$9^2)*(X645-IF('Control Room'!$B$5="Normal",'Control Room'!$B$7,('Control Room'!$B$8+'Control Room'!$D$8)/2))</x:f>
        <x:v>941.4000076903242</x:v>
      </x:c>
      <x:c r="Z645" s="17" t="n">
        <x:f>IF(AND($A645&gt;='Control Room'!$A$13,$A645&lt;'Control Room'!$A$13+'Control Room'!$B$13,'Process'!BO2=1),1+('Control Room'!$C$13-1)*EXP(-0.5*(($A645-'Control Room'!$A$13-('Control Room'!$B$13-1)/2)/MAX(0.5,'Control Room'!$B$13/4))^2),1)*IF(AND($A645&gt;='Control Room'!$A$14,$A645&lt;'Control Room'!$A$14+'Control Room'!$B$14,'Process'!BO3=1),1+('Control Room'!$C$14-1)*EXP(-0.5*(($A645-'Control Room'!$A$14-('Control Room'!$B$14-1)/2)/MAX(0.5,'Control Room'!$B$14/4))^2),1)*IF(AND($A645&gt;='Control Room'!$A$15,$A645&lt;'Control Room'!$A$15+'Control Room'!$B$15,'Process'!BO4=1),1+('Control Room'!$C$15-1)*EXP(-0.5*(($A645-'Control Room'!$A$15-('Control Room'!$B$15-1)/2)/MAX(0.5,'Control Room'!$B$15/4))^2),1)*IF(AND($A645&gt;='Control Room'!$A$16,$A645&lt;'Control Room'!$A$16+'Control Room'!$B$16,'Process'!BO5=1),1+('Control Room'!$C$16-1)*EXP(-0.5*(($A645-'Control Room'!$A$16-('Control Room'!$B$16-1)/2)/MAX(0.5,'Control Room'!$B$16/4))^2),1)</x:f>
        <x:v>1</x:v>
      </x:c>
      <x:c r="AA645" s="9" t="n">
        <x:f>MOD(AB644*16807,2147483647)</x:f>
        <x:v>1026198892</x:v>
      </x:c>
      <x:c r="AB645" s="9" t="n">
        <x:f>MOD(AA645*16807,2147483647)</x:f>
        <x:v>883608787</x:v>
      </x:c>
      <x:c r="AC645" s="17" t="n">
        <x:f>IF('Control Room'!$B$5="Normal",'Control Room'!$B$7+'Control Room'!$D$7*SQRT(-2*LN(MAX(0.000000000001,AA645/2147483647)))*COS(2*PI()*AB645/2147483647),'Control Room'!$B$8+('Control Room'!$D$8-'Control Room'!$B$8)*AA645/2147483647)</x:f>
        <x:v>907.1179681221477</x:v>
      </x:c>
      <x:c r="AD645" s="17" t="n">
        <x:f>IF('Control Room'!$B$5="Normal",'Control Room'!$B$7,('Control Room'!$B$8+'Control Room'!$D$8)/2)+'Control Room'!$B$9*(AD644-IF('Control Room'!$B$5="Normal",'Control Room'!$B$7,('Control Room'!$B$8+'Control Room'!$D$8)/2))+SQRT(1-'Control Room'!$B$9^2)*(AC645-IF('Control Room'!$B$5="Normal",'Control Room'!$B$7,('Control Room'!$B$8+'Control Room'!$D$8)/2))</x:f>
        <x:v>1019.0226338833642</x:v>
      </x:c>
      <x:c r="AE645" s="17" t="n">
        <x:f>IF(AND($A645&gt;='Control Room'!$A$13,$A645&lt;'Control Room'!$A$13+'Control Room'!$B$13,'Process'!BP2=1),1+('Control Room'!$C$13-1)*EXP(-0.5*(($A645-'Control Room'!$A$13-('Control Room'!$B$13-1)/2)/MAX(0.5,'Control Room'!$B$13/4))^2),1)*IF(AND($A645&gt;='Control Room'!$A$14,$A645&lt;'Control Room'!$A$14+'Control Room'!$B$14,'Process'!BP3=1),1+('Control Room'!$C$14-1)*EXP(-0.5*(($A645-'Control Room'!$A$14-('Control Room'!$B$14-1)/2)/MAX(0.5,'Control Room'!$B$14/4))^2),1)*IF(AND($A645&gt;='Control Room'!$A$15,$A645&lt;'Control Room'!$A$15+'Control Room'!$B$15,'Process'!BP4=1),1+('Control Room'!$C$15-1)*EXP(-0.5*(($A645-'Control Room'!$A$15-('Control Room'!$B$15-1)/2)/MAX(0.5,'Control Room'!$B$15/4))^2),1)*IF(AND($A645&gt;='Control Room'!$A$16,$A645&lt;'Control Room'!$A$16+'Control Room'!$B$16,'Process'!BP5=1),1+('Control Room'!$C$16-1)*EXP(-0.5*(($A645-'Control Room'!$A$16-('Control Room'!$B$16-1)/2)/MAX(0.5,'Control Room'!$B$16/4))^2),1)</x:f>
        <x:v>1</x:v>
      </x:c>
      <x:c r="AF645" s="9" t="n">
        <x:f>MOD(AG644*16807,2147483647)</x:f>
        <x:v>1860818536</x:v>
      </x:c>
      <x:c r="AG645" s="9" t="n">
        <x:f>MOD(AF645*16807,2147483647)</x:f>
        <x:v>972783291</x:v>
      </x:c>
      <x:c r="AH645" s="17" t="n">
        <x:f>IF('Control Room'!$B$5="Normal",'Control Room'!$B$7+'Control Room'!$D$7*SQRT(-2*LN(MAX(0.000000000001,AF645/2147483647)))*COS(2*PI()*AG645/2147483647),'Control Room'!$B$8+('Control Room'!$D$8-'Control Room'!$B$8)*AF645/2147483647)</x:f>
        <x:v>953.9084168380869</x:v>
      </x:c>
      <x:c r="AI645" s="17" t="n">
        <x:f>IF('Control Room'!$B$5="Normal",'Control Room'!$B$7,('Control Room'!$B$8+'Control Room'!$D$8)/2)+'Control Room'!$B$9*(AI644-IF('Control Room'!$B$5="Normal",'Control Room'!$B$7,('Control Room'!$B$8+'Control Room'!$D$8)/2))+SQRT(1-'Control Room'!$B$9^2)*(AH645-IF('Control Room'!$B$5="Normal",'Control Room'!$B$7,('Control Room'!$B$8+'Control Room'!$D$8)/2))</x:f>
        <x:v>872.987713475092</x:v>
      </x:c>
      <x:c r="AJ645" s="17" t="n">
        <x:f>IF(AND($A645&gt;='Control Room'!$A$13,$A645&lt;'Control Room'!$A$13+'Control Room'!$B$13,'Process'!BQ2=1),1+('Control Room'!$C$13-1)*EXP(-0.5*(($A645-'Control Room'!$A$13-('Control Room'!$B$13-1)/2)/MAX(0.5,'Control Room'!$B$13/4))^2),1)*IF(AND($A645&gt;='Control Room'!$A$14,$A645&lt;'Control Room'!$A$14+'Control Room'!$B$14,'Process'!BQ3=1),1+('Control Room'!$C$14-1)*EXP(-0.5*(($A645-'Control Room'!$A$14-('Control Room'!$B$14-1)/2)/MAX(0.5,'Control Room'!$B$14/4))^2),1)*IF(AND($A645&gt;='Control Room'!$A$15,$A645&lt;'Control Room'!$A$15+'Control Room'!$B$15,'Process'!BQ4=1),1+('Control Room'!$C$15-1)*EXP(-0.5*(($A645-'Control Room'!$A$15-('Control Room'!$B$15-1)/2)/MAX(0.5,'Control Room'!$B$15/4))^2),1)*IF(AND($A645&gt;='Control Room'!$A$16,$A645&lt;'Control Room'!$A$16+'Control Room'!$B$16,'Process'!BQ5=1),1+('Control Room'!$C$16-1)*EXP(-0.5*(($A645-'Control Room'!$A$16-('Control Room'!$B$16-1)/2)/MAX(0.5,'Control Room'!$B$16/4))^2),1)</x:f>
        <x:v>1</x:v>
      </x:c>
      <x:c r="AK645" s="9" t="n">
        <x:f>MOD(AL644*16807,2147483647)</x:f>
        <x:v>547954533</x:v>
      </x:c>
      <x:c r="AL645" s="9" t="n">
        <x:f>MOD(AK645*16807,2147483647)</x:f>
        <x:v>1061957795</x:v>
      </x:c>
      <x:c r="AM645" s="17" t="n">
        <x:f>IF('Control Room'!$B$5="Normal",'Control Room'!$B$7+'Control Room'!$D$7*SQRT(-2*LN(MAX(0.000000000001,AK645/2147483647)))*COS(2*PI()*AL645/2147483647),'Control Room'!$B$8+('Control Room'!$D$8-'Control Room'!$B$8)*AK645/2147483647)</x:f>
        <x:v>851.337177646485</x:v>
      </x:c>
      <x:c r="AN645" s="17" t="n">
        <x:f>IF('Control Room'!$B$5="Normal",'Control Room'!$B$7,('Control Room'!$B$8+'Control Room'!$D$8)/2)+'Control Room'!$B$9*(AN644-IF('Control Room'!$B$5="Normal",'Control Room'!$B$7,('Control Room'!$B$8+'Control Room'!$D$8)/2))+SQRT(1-'Control Room'!$B$9^2)*(AM645-IF('Control Room'!$B$5="Normal",'Control Room'!$B$7,('Control Room'!$B$8+'Control Room'!$D$8)/2))</x:f>
        <x:v>826.169388299782</x:v>
      </x:c>
      <x:c r="AO645" s="17" t="n">
        <x:f>IF(AND($A645&gt;='Control Room'!$A$13,$A645&lt;'Control Room'!$A$13+'Control Room'!$B$13,'Process'!BR2=1),1+('Control Room'!$C$13-1)*EXP(-0.5*(($A645-'Control Room'!$A$13-('Control Room'!$B$13-1)/2)/MAX(0.5,'Control Room'!$B$13/4))^2),1)*IF(AND($A645&gt;='Control Room'!$A$14,$A645&lt;'Control Room'!$A$14+'Control Room'!$B$14,'Process'!BR3=1),1+('Control Room'!$C$14-1)*EXP(-0.5*(($A645-'Control Room'!$A$14-('Control Room'!$B$14-1)/2)/MAX(0.5,'Control Room'!$B$14/4))^2),1)*IF(AND($A645&gt;='Control Room'!$A$15,$A645&lt;'Control Room'!$A$15+'Control Room'!$B$15,'Process'!BR4=1),1+('Control Room'!$C$15-1)*EXP(-0.5*(($A645-'Control Room'!$A$15-('Control Room'!$B$15-1)/2)/MAX(0.5,'Control Room'!$B$15/4))^2),1)*IF(AND($A645&gt;='Control Room'!$A$16,$A645&lt;'Control Room'!$A$16+'Control Room'!$B$16,'Process'!BR5=1),1+('Control Room'!$C$16-1)*EXP(-0.5*(($A645-'Control Room'!$A$16-('Control Room'!$B$16-1)/2)/MAX(0.5,'Control Room'!$B$16/4))^2),1)</x:f>
        <x:v>1</x:v>
      </x:c>
      <x:c r="AP645" s="9" t="n">
        <x:f>MOD(AQ644*16807,2147483647)</x:f>
        <x:v>1382574177</x:v>
      </x:c>
      <x:c r="AQ645" s="9" t="n">
        <x:f>MOD(AP645*16807,2147483647)</x:f>
        <x:v>1151132299</x:v>
      </x:c>
      <x:c r="AR645" s="17" t="n">
        <x:f>IF('Control Room'!$B$5="Normal",'Control Room'!$B$7+'Control Room'!$D$7*SQRT(-2*LN(MAX(0.000000000001,AP645/2147483647)))*COS(2*PI()*AQ645/2147483647),'Control Room'!$B$8+('Control Room'!$D$8-'Control Room'!$B$8)*AP645/2147483647)</x:f>
        <x:v>917.6949585912886</x:v>
      </x:c>
      <x:c r="AS645" s="17" t="n">
        <x:f>IF('Control Room'!$B$5="Normal",'Control Room'!$B$7,('Control Room'!$B$8+'Control Room'!$D$8)/2)+'Control Room'!$B$9*(AS644-IF('Control Room'!$B$5="Normal",'Control Room'!$B$7,('Control Room'!$B$8+'Control Room'!$D$8)/2))+SQRT(1-'Control Room'!$B$9^2)*(AR645-IF('Control Room'!$B$5="Normal",'Control Room'!$B$7,('Control Room'!$B$8+'Control Room'!$D$8)/2))</x:f>
        <x:v>1013.7999921572045</x:v>
      </x:c>
      <x:c r="AT645" s="17" t="n">
        <x:f>IF(AND($A645&gt;='Control Room'!$A$13,$A645&lt;'Control Room'!$A$13+'Control Room'!$B$13,'Process'!BS2=1),1+('Control Room'!$C$13-1)*EXP(-0.5*(($A645-'Control Room'!$A$13-('Control Room'!$B$13-1)/2)/MAX(0.5,'Control Room'!$B$13/4))^2),1)*IF(AND($A645&gt;='Control Room'!$A$14,$A645&lt;'Control Room'!$A$14+'Control Room'!$B$14,'Process'!BS3=1),1+('Control Room'!$C$14-1)*EXP(-0.5*(($A645-'Control Room'!$A$14-('Control Room'!$B$14-1)/2)/MAX(0.5,'Control Room'!$B$14/4))^2),1)*IF(AND($A645&gt;='Control Room'!$A$15,$A645&lt;'Control Room'!$A$15+'Control Room'!$B$15,'Process'!BS4=1),1+('Control Room'!$C$15-1)*EXP(-0.5*(($A645-'Control Room'!$A$15-('Control Room'!$B$15-1)/2)/MAX(0.5,'Control Room'!$B$15/4))^2),1)*IF(AND($A645&gt;='Control Room'!$A$16,$A645&lt;'Control Room'!$A$16+'Control Room'!$B$16,'Process'!BS5=1),1+('Control Room'!$C$16-1)*EXP(-0.5*(($A645-'Control Room'!$A$16-('Control Room'!$B$16-1)/2)/MAX(0.5,'Control Room'!$B$16/4))^2),1)</x:f>
        <x:v>1</x:v>
      </x:c>
      <x:c r="AU645" s="9" t="n">
        <x:f>MOD(AV644*16807,2147483647)</x:f>
        <x:v>69710174</x:v>
      </x:c>
      <x:c r="AV645" s="9" t="n">
        <x:f>MOD(AU645*16807,2147483647)</x:f>
        <x:v>1240306803</x:v>
      </x:c>
      <x:c r="AW645" s="17" t="n">
        <x:f>IF('Control Room'!$B$5="Normal",'Control Room'!$B$7+'Control Room'!$D$7*SQRT(-2*LN(MAX(0.000000000001,AU645/2147483647)))*COS(2*PI()*AV645/2147483647),'Control Room'!$B$8+('Control Room'!$D$8-'Control Room'!$B$8)*AU645/2147483647)</x:f>
        <x:v>791.7881155779055</x:v>
      </x:c>
      <x:c r="AX645" s="17" t="n">
        <x:f>IF('Control Room'!$B$5="Normal",'Control Room'!$B$7,('Control Room'!$B$8+'Control Room'!$D$8)/2)+'Control Room'!$B$9*(AX644-IF('Control Room'!$B$5="Normal",'Control Room'!$B$7,('Control Room'!$B$8+'Control Room'!$D$8)/2))+SQRT(1-'Control Room'!$B$9^2)*(AW645-IF('Control Room'!$B$5="Normal",'Control Room'!$B$7,('Control Room'!$B$8+'Control Room'!$D$8)/2))</x:f>
        <x:v>862.3232421012876</x:v>
      </x:c>
      <x:c r="AY645" s="17" t="n">
        <x:f>IF(AND($A645&gt;='Control Room'!$A$13,$A645&lt;'Control Room'!$A$13+'Control Room'!$B$13,'Process'!BT2=1),1+('Control Room'!$C$13-1)*EXP(-0.5*(($A645-'Control Room'!$A$13-('Control Room'!$B$13-1)/2)/MAX(0.5,'Control Room'!$B$13/4))^2),1)*IF(AND($A645&gt;='Control Room'!$A$14,$A645&lt;'Control Room'!$A$14+'Control Room'!$B$14,'Process'!BT3=1),1+('Control Room'!$C$14-1)*EXP(-0.5*(($A645-'Control Room'!$A$14-('Control Room'!$B$14-1)/2)/MAX(0.5,'Control Room'!$B$14/4))^2),1)*IF(AND($A645&gt;='Control Room'!$A$15,$A645&lt;'Control Room'!$A$15+'Control Room'!$B$15,'Process'!BT4=1),1+('Control Room'!$C$15-1)*EXP(-0.5*(($A645-'Control Room'!$A$15-('Control Room'!$B$15-1)/2)/MAX(0.5,'Control Room'!$B$15/4))^2),1)*IF(AND($A645&gt;='Control Room'!$A$16,$A645&lt;'Control Room'!$A$16+'Control Room'!$B$16,'Process'!BT5=1),1+('Control Room'!$C$16-1)*EXP(-0.5*(($A645-'Control Room'!$A$16-('Control Room'!$B$16-1)/2)/MAX(0.5,'Control Room'!$B$16/4))^2),1)</x:f>
        <x:v>1</x:v>
      </x:c>
      <x:c r="AZ645" s="9" t="n">
        <x:f>MOD(BA644*16807,2147483647)</x:f>
        <x:v>904329818</x:v>
      </x:c>
      <x:c r="BA645" s="9" t="n">
        <x:f>MOD(AZ645*16807,2147483647)</x:f>
        <x:v>1329481307</x:v>
      </x:c>
      <x:c r="BB645" s="17" t="n">
        <x:f>IF('Control Room'!$B$5="Normal",'Control Room'!$B$7+'Control Room'!$D$7*SQRT(-2*LN(MAX(0.000000000001,AZ645/2147483647)))*COS(2*PI()*BA645/2147483647),'Control Room'!$B$8+('Control Room'!$D$8-'Control Room'!$B$8)*AZ645/2147483647)</x:f>
        <x:v>913.2514180864054</x:v>
      </x:c>
      <x:c r="BC645" s="17" t="n">
        <x:f>IF('Control Room'!$B$5="Normal",'Control Room'!$B$7,('Control Room'!$B$8+'Control Room'!$D$8)/2)+'Control Room'!$B$9*(BC644-IF('Control Room'!$B$5="Normal",'Control Room'!$B$7,('Control Room'!$B$8+'Control Room'!$D$8)/2))+SQRT(1-'Control Room'!$B$9^2)*(BB645-IF('Control Room'!$B$5="Normal",'Control Room'!$B$7,('Control Room'!$B$8+'Control Room'!$D$8)/2))</x:f>
        <x:v>851.7604987488294</x:v>
      </x:c>
      <x:c r="BD645" s="17" t="n">
        <x:f>IF(AND($A645&gt;='Control Room'!$A$13,$A645&lt;'Control Room'!$A$13+'Control Room'!$B$13,'Process'!BU2=1),1+('Control Room'!$C$13-1)*EXP(-0.5*(($A645-'Control Room'!$A$13-('Control Room'!$B$13-1)/2)/MAX(0.5,'Control Room'!$B$13/4))^2),1)*IF(AND($A645&gt;='Control Room'!$A$14,$A645&lt;'Control Room'!$A$14+'Control Room'!$B$14,'Process'!BU3=1),1+('Control Room'!$C$14-1)*EXP(-0.5*(($A645-'Control Room'!$A$14-('Control Room'!$B$14-1)/2)/MAX(0.5,'Control Room'!$B$14/4))^2),1)*IF(AND($A645&gt;='Control Room'!$A$15,$A645&lt;'Control Room'!$A$15+'Control Room'!$B$15,'Process'!BU4=1),1+('Control Room'!$C$15-1)*EXP(-0.5*(($A645-'Control Room'!$A$15-('Control Room'!$B$15-1)/2)/MAX(0.5,'Control Room'!$B$15/4))^2),1)*IF(AND($A645&gt;='Control Room'!$A$16,$A645&lt;'Control Room'!$A$16+'Control Room'!$B$16,'Process'!BU5=1),1+('Control Room'!$C$16-1)*EXP(-0.5*(($A645-'Control Room'!$A$16-('Control Room'!$B$16-1)/2)/MAX(0.5,'Control Room'!$B$16/4))^2),1)</x:f>
        <x:v>1</x:v>
      </x:c>
      <x:c r="BE645" s="9" t="n">
        <x:f>MOD(BF644*16807,2147483647)</x:f>
        <x:v>1738949462</x:v>
      </x:c>
      <x:c r="BF645" s="9" t="n">
        <x:f>MOD(BE645*16807,2147483647)</x:f>
        <x:v>1418655811</x:v>
      </x:c>
      <x:c r="BG645" s="17" t="n">
        <x:f>IF('Control Room'!$B$5="Normal",'Control Room'!$B$7+'Control Room'!$D$7*SQRT(-2*LN(MAX(0.000000000001,BE645/2147483647)))*COS(2*PI()*BF645/2147483647),'Control Room'!$B$8+('Control Room'!$D$8-'Control Room'!$B$8)*BE645/2147483647)</x:f>
        <x:v>968.8619259815325</x:v>
      </x:c>
      <x:c r="BH645" s="17" t="n">
        <x:f>IF('Control Room'!$B$5="Normal",'Control Room'!$B$7,('Control Room'!$B$8+'Control Room'!$D$8)/2)+'Control Room'!$B$9*(BH644-IF('Control Room'!$B$5="Normal",'Control Room'!$B$7,('Control Room'!$B$8+'Control Room'!$D$8)/2))+SQRT(1-'Control Room'!$B$9^2)*(BG645-IF('Control Room'!$B$5="Normal",'Control Room'!$B$7,('Control Room'!$B$8+'Control Room'!$D$8)/2))</x:f>
        <x:v>1010.4559137772005</x:v>
      </x:c>
      <x:c r="BI645" s="17" t="n">
        <x:f>IF(AND($A645&gt;='Control Room'!$A$13,$A645&lt;'Control Room'!$A$13+'Control Room'!$B$13,'Process'!BV2=1),1+('Control Room'!$C$13-1)*EXP(-0.5*(($A645-'Control Room'!$A$13-('Control Room'!$B$13-1)/2)/MAX(0.5,'Control Room'!$B$13/4))^2),1)*IF(AND($A645&gt;='Control Room'!$A$14,$A645&lt;'Control Room'!$A$14+'Control Room'!$B$14,'Process'!BV3=1),1+('Control Room'!$C$14-1)*EXP(-0.5*(($A645-'Control Room'!$A$14-('Control Room'!$B$14-1)/2)/MAX(0.5,'Control Room'!$B$14/4))^2),1)*IF(AND($A645&gt;='Control Room'!$A$15,$A645&lt;'Control Room'!$A$15+'Control Room'!$B$15,'Process'!BV4=1),1+('Control Room'!$C$15-1)*EXP(-0.5*(($A645-'Control Room'!$A$15-('Control Room'!$B$15-1)/2)/MAX(0.5,'Control Room'!$B$15/4))^2),1)*IF(AND($A645&gt;='Control Room'!$A$16,$A645&lt;'Control Room'!$A$16+'Control Room'!$B$16,'Process'!BV5=1),1+('Control Room'!$C$16-1)*EXP(-0.5*(($A645-'Control Room'!$A$16-('Control Room'!$B$16-1)/2)/MAX(0.5,'Control Room'!$B$16/4))^2),1)</x:f>
        <x:v>1</x:v>
      </x:c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Z645" t="str">
        <x:f>IF('Data'!A645="","",TEXT('Data'!A645,"mm-dd"))</x:f>
      </x:c>
    </x:row>
    <x:row r="646" ht="21" customHeight="1">
      <x:c r="A646" s="15" t="n">
        <x:f>'Control Room'!$B$1+644</x:f>
        <x:v>73635</x:v>
      </x:c>
      <x:c r="B646" s="9" t="n">
        <x:f>MOD(C645*16807,2147483647)</x:f>
        <x:v>1901948494</x:v>
      </x:c>
      <x:c r="C646" s="9" t="n">
        <x:f>MOD(B646*16807,2147483647)</x:f>
        <x:v>754253063</x:v>
      </x:c>
      <x:c r="D646" s="17" t="n">
        <x:f>IF('Control Room'!$B$5="Normal",'Control Room'!$B$7+'Control Room'!$D$7*SQRT(-2*LN(MAX(0.000000000001,B646/2147483647)))*COS(2*PI()*C646/2147483647),'Control Room'!$B$8+('Control Room'!$D$8-'Control Room'!$B$8)*B646/2147483647)</x:f>
        <x:v>973.6556938903319</x:v>
      </x:c>
      <x:c r="E646" s="17" t="n">
        <x:f>IF('Control Room'!$B$5="Normal",'Control Room'!$B$7,('Control Room'!$B$8+'Control Room'!$D$8)/2)+'Control Room'!$B$9*(E645-IF('Control Room'!$B$5="Normal",'Control Room'!$B$7,('Control Room'!$B$8+'Control Room'!$D$8)/2))+SQRT(1-'Control Room'!$B$9^2)*(D646-IF('Control Room'!$B$5="Normal",'Control Room'!$B$7,('Control Room'!$B$8+'Control Room'!$D$8)/2))</x:f>
        <x:v>1020.2156083249556</x:v>
      </x:c>
      <x:c r="F646" s="17" t="n">
        <x:f>IF(AND($A646&gt;='Control Room'!$A$13,$A646&lt;'Control Room'!$A$13+'Control Room'!$B$13,'Process'!BK2=1),1+('Control Room'!$C$13-1)*EXP(-0.5*(($A646-'Control Room'!$A$13-('Control Room'!$B$13-1)/2)/MAX(0.5,'Control Room'!$B$13/4))^2),1)*IF(AND($A646&gt;='Control Room'!$A$14,$A646&lt;'Control Room'!$A$14+'Control Room'!$B$14,'Process'!BK3=1),1+('Control Room'!$C$14-1)*EXP(-0.5*(($A646-'Control Room'!$A$14-('Control Room'!$B$14-1)/2)/MAX(0.5,'Control Room'!$B$14/4))^2),1)*IF(AND($A646&gt;='Control Room'!$A$15,$A646&lt;'Control Room'!$A$15+'Control Room'!$B$15,'Process'!BK4=1),1+('Control Room'!$C$15-1)*EXP(-0.5*(($A646-'Control Room'!$A$15-('Control Room'!$B$15-1)/2)/MAX(0.5,'Control Room'!$B$15/4))^2),1)*IF(AND($A646&gt;='Control Room'!$A$16,$A646&lt;'Control Room'!$A$16+'Control Room'!$B$16,'Process'!BK5=1),1+('Control Room'!$C$16-1)*EXP(-0.5*(($A646-'Control Room'!$A$16-('Control Room'!$B$16-1)/2)/MAX(0.5,'Control Room'!$B$16/4))^2),1)</x:f>
        <x:v>1</x:v>
      </x:c>
      <x:c r="G646" s="9" t="n">
        <x:f>MOD(H645*16807,2147483647)</x:f>
        <x:v>1714251616</x:v>
      </x:c>
      <x:c r="H646" s="9" t="n">
        <x:f>MOD(G646*16807,2147483647)</x:f>
        <x:v>786301960</x:v>
      </x:c>
      <x:c r="I646" s="17" t="n">
        <x:f>IF('Control Room'!$B$5="Normal",'Control Room'!$B$7+'Control Room'!$D$7*SQRT(-2*LN(MAX(0.000000000001,G646/2147483647)))*COS(2*PI()*H646/2147483647),'Control Room'!$B$8+('Control Room'!$D$8-'Control Room'!$B$8)*G646/2147483647)</x:f>
        <x:v>959.7191468581811</x:v>
      </x:c>
      <x:c r="J646" s="17" t="n">
        <x:f>IF('Control Room'!$B$5="Normal",'Control Room'!$B$7,('Control Room'!$B$8+'Control Room'!$D$8)/2)+'Control Room'!$B$9*(J645-IF('Control Room'!$B$5="Normal",'Control Room'!$B$7,('Control Room'!$B$8+'Control Room'!$D$8)/2))+SQRT(1-'Control Room'!$B$9^2)*(I646-IF('Control Room'!$B$5="Normal",'Control Room'!$B$7,('Control Room'!$B$8+'Control Room'!$D$8)/2))</x:f>
        <x:v>1036.0766970661223</x:v>
      </x:c>
      <x:c r="K646" s="17" t="n">
        <x:f>IF(AND($A646&gt;='Control Room'!$A$13,$A646&lt;'Control Room'!$A$13+'Control Room'!$B$13,'Process'!BL2=1),1+('Control Room'!$C$13-1)*EXP(-0.5*(($A646-'Control Room'!$A$13-('Control Room'!$B$13-1)/2)/MAX(0.5,'Control Room'!$B$13/4))^2),1)*IF(AND($A646&gt;='Control Room'!$A$14,$A646&lt;'Control Room'!$A$14+'Control Room'!$B$14,'Process'!BL3=1),1+('Control Room'!$C$14-1)*EXP(-0.5*(($A646-'Control Room'!$A$14-('Control Room'!$B$14-1)/2)/MAX(0.5,'Control Room'!$B$14/4))^2),1)*IF(AND($A646&gt;='Control Room'!$A$15,$A646&lt;'Control Room'!$A$15+'Control Room'!$B$15,'Process'!BL4=1),1+('Control Room'!$C$15-1)*EXP(-0.5*(($A646-'Control Room'!$A$15-('Control Room'!$B$15-1)/2)/MAX(0.5,'Control Room'!$B$15/4))^2),1)*IF(AND($A646&gt;='Control Room'!$A$16,$A646&lt;'Control Room'!$A$16+'Control Room'!$B$16,'Process'!BL5=1),1+('Control Room'!$C$16-1)*EXP(-0.5*(($A646-'Control Room'!$A$16-('Control Room'!$B$16-1)/2)/MAX(0.5,'Control Room'!$B$16/4))^2),1)</x:f>
        <x:v>1</x:v>
      </x:c>
      <x:c r="L646" s="9" t="n">
        <x:f>MOD(M645*16807,2147483647)</x:f>
        <x:v>1526554738</x:v>
      </x:c>
      <x:c r="M646" s="9" t="n">
        <x:f>MOD(L646*16807,2147483647)</x:f>
        <x:v>818350857</x:v>
      </x:c>
      <x:c r="N646" s="17" t="n">
        <x:f>IF('Control Room'!$B$5="Normal",'Control Room'!$B$7+'Control Room'!$D$7*SQRT(-2*LN(MAX(0.000000000001,L646/2147483647)))*COS(2*PI()*M646/2147483647),'Control Room'!$B$8+('Control Room'!$D$8-'Control Room'!$B$8)*L646/2147483647)</x:f>
        <x:v>945.4545834230682</x:v>
      </x:c>
      <x:c r="O646" s="17" t="n">
        <x:f>IF('Control Room'!$B$5="Normal",'Control Room'!$B$7,('Control Room'!$B$8+'Control Room'!$D$8)/2)+'Control Room'!$B$9*(O645-IF('Control Room'!$B$5="Normal",'Control Room'!$B$7,('Control Room'!$B$8+'Control Room'!$D$8)/2))+SQRT(1-'Control Room'!$B$9^2)*(N646-IF('Control Room'!$B$5="Normal",'Control Room'!$B$7,('Control Room'!$B$8+'Control Room'!$D$8)/2))</x:f>
        <x:v>1004.6192827406388</x:v>
      </x:c>
      <x:c r="P646" s="17" t="n">
        <x:f>IF(AND($A646&gt;='Control Room'!$A$13,$A646&lt;'Control Room'!$A$13+'Control Room'!$B$13,'Process'!BM2=1),1+('Control Room'!$C$13-1)*EXP(-0.5*(($A646-'Control Room'!$A$13-('Control Room'!$B$13-1)/2)/MAX(0.5,'Control Room'!$B$13/4))^2),1)*IF(AND($A646&gt;='Control Room'!$A$14,$A646&lt;'Control Room'!$A$14+'Control Room'!$B$14,'Process'!BM3=1),1+('Control Room'!$C$14-1)*EXP(-0.5*(($A646-'Control Room'!$A$14-('Control Room'!$B$14-1)/2)/MAX(0.5,'Control Room'!$B$14/4))^2),1)*IF(AND($A646&gt;='Control Room'!$A$15,$A646&lt;'Control Room'!$A$15+'Control Room'!$B$15,'Process'!BM4=1),1+('Control Room'!$C$15-1)*EXP(-0.5*(($A646-'Control Room'!$A$15-('Control Room'!$B$15-1)/2)/MAX(0.5,'Control Room'!$B$15/4))^2),1)*IF(AND($A646&gt;='Control Room'!$A$16,$A646&lt;'Control Room'!$A$16+'Control Room'!$B$16,'Process'!BM5=1),1+('Control Room'!$C$16-1)*EXP(-0.5*(($A646-'Control Room'!$A$16-('Control Room'!$B$16-1)/2)/MAX(0.5,'Control Room'!$B$16/4))^2),1)</x:f>
        <x:v>1</x:v>
      </x:c>
      <x:c r="Q646" s="9" t="n">
        <x:f>MOD(R645*16807,2147483647)</x:f>
        <x:v>1338857860</x:v>
      </x:c>
      <x:c r="R646" s="9" t="n">
        <x:f>MOD(Q646*16807,2147483647)</x:f>
        <x:v>850399754</x:v>
      </x:c>
      <x:c r="S646" s="17" t="n">
        <x:f>IF('Control Room'!$B$5="Normal",'Control Room'!$B$7+'Control Room'!$D$7*SQRT(-2*LN(MAX(0.000000000001,Q646/2147483647)))*COS(2*PI()*R646/2147483647),'Control Room'!$B$8+('Control Room'!$D$8-'Control Room'!$B$8)*Q646/2147483647)</x:f>
        <x:v>930.5358482107479</x:v>
      </x:c>
      <x:c r="T646" s="17" t="n">
        <x:f>IF('Control Room'!$B$5="Normal",'Control Room'!$B$7,('Control Room'!$B$8+'Control Room'!$D$8)/2)+'Control Room'!$B$9*(T645-IF('Control Room'!$B$5="Normal",'Control Room'!$B$7,('Control Room'!$B$8+'Control Room'!$D$8)/2))+SQRT(1-'Control Room'!$B$9^2)*(S646-IF('Control Room'!$B$5="Normal",'Control Room'!$B$7,('Control Room'!$B$8+'Control Room'!$D$8)/2))</x:f>
        <x:v>854.240542527968</x:v>
      </x:c>
      <x:c r="U646" s="17" t="n">
        <x:f>IF(AND($A646&gt;='Control Room'!$A$13,$A646&lt;'Control Room'!$A$13+'Control Room'!$B$13,'Process'!BN2=1),1+('Control Room'!$C$13-1)*EXP(-0.5*(($A646-'Control Room'!$A$13-('Control Room'!$B$13-1)/2)/MAX(0.5,'Control Room'!$B$13/4))^2),1)*IF(AND($A646&gt;='Control Room'!$A$14,$A646&lt;'Control Room'!$A$14+'Control Room'!$B$14,'Process'!BN3=1),1+('Control Room'!$C$14-1)*EXP(-0.5*(($A646-'Control Room'!$A$14-('Control Room'!$B$14-1)/2)/MAX(0.5,'Control Room'!$B$14/4))^2),1)*IF(AND($A646&gt;='Control Room'!$A$15,$A646&lt;'Control Room'!$A$15+'Control Room'!$B$15,'Process'!BN4=1),1+('Control Room'!$C$15-1)*EXP(-0.5*(($A646-'Control Room'!$A$15-('Control Room'!$B$15-1)/2)/MAX(0.5,'Control Room'!$B$15/4))^2),1)*IF(AND($A646&gt;='Control Room'!$A$16,$A646&lt;'Control Room'!$A$16+'Control Room'!$B$16,'Process'!BN5=1),1+('Control Room'!$C$16-1)*EXP(-0.5*(($A646-'Control Room'!$A$16-('Control Room'!$B$16-1)/2)/MAX(0.5,'Control Room'!$B$16/4))^2),1)</x:f>
        <x:v>1</x:v>
      </x:c>
      <x:c r="V646" s="9" t="n">
        <x:f>MOD(W645*16807,2147483647)</x:f>
        <x:v>1151160982</x:v>
      </x:c>
      <x:c r="W646" s="9" t="n">
        <x:f>MOD(V646*16807,2147483647)</x:f>
        <x:v>882448651</x:v>
      </x:c>
      <x:c r="X646" s="17" t="n">
        <x:f>IF('Control Room'!$B$5="Normal",'Control Room'!$B$7+'Control Room'!$D$7*SQRT(-2*LN(MAX(0.000000000001,V646/2147483647)))*COS(2*PI()*W646/2147483647),'Control Room'!$B$8+('Control Room'!$D$8-'Control Room'!$B$8)*V646/2147483647)</x:f>
        <x:v>914.8307910247179</x:v>
      </x:c>
      <x:c r="Y646" s="17" t="n">
        <x:f>IF('Control Room'!$B$5="Normal",'Control Room'!$B$7,('Control Room'!$B$8+'Control Room'!$D$8)/2)+'Control Room'!$B$9*(Y645-IF('Control Room'!$B$5="Normal",'Control Room'!$B$7,('Control Room'!$B$8+'Control Room'!$D$8)/2))+SQRT(1-'Control Room'!$B$9^2)*(X646-IF('Control Room'!$B$5="Normal",'Control Room'!$B$7,('Control Room'!$B$8+'Control Room'!$D$8)/2))</x:f>
        <x:v>900.9948598078047</x:v>
      </x:c>
      <x:c r="Z646" s="17" t="n">
        <x:f>IF(AND($A646&gt;='Control Room'!$A$13,$A646&lt;'Control Room'!$A$13+'Control Room'!$B$13,'Process'!BO2=1),1+('Control Room'!$C$13-1)*EXP(-0.5*(($A646-'Control Room'!$A$13-('Control Room'!$B$13-1)/2)/MAX(0.5,'Control Room'!$B$13/4))^2),1)*IF(AND($A646&gt;='Control Room'!$A$14,$A646&lt;'Control Room'!$A$14+'Control Room'!$B$14,'Process'!BO3=1),1+('Control Room'!$C$14-1)*EXP(-0.5*(($A646-'Control Room'!$A$14-('Control Room'!$B$14-1)/2)/MAX(0.5,'Control Room'!$B$14/4))^2),1)*IF(AND($A646&gt;='Control Room'!$A$15,$A646&lt;'Control Room'!$A$15+'Control Room'!$B$15,'Process'!BO4=1),1+('Control Room'!$C$15-1)*EXP(-0.5*(($A646-'Control Room'!$A$15-('Control Room'!$B$15-1)/2)/MAX(0.5,'Control Room'!$B$15/4))^2),1)*IF(AND($A646&gt;='Control Room'!$A$16,$A646&lt;'Control Room'!$A$16+'Control Room'!$B$16,'Process'!BO5=1),1+('Control Room'!$C$16-1)*EXP(-0.5*(($A646-'Control Room'!$A$16-('Control Room'!$B$16-1)/2)/MAX(0.5,'Control Room'!$B$16/4))^2),1)</x:f>
        <x:v>1</x:v>
      </x:c>
      <x:c r="AA646" s="9" t="n">
        <x:f>MOD(AB645*16807,2147483647)</x:f>
        <x:v>963464104</x:v>
      </x:c>
      <x:c r="AB646" s="9" t="n">
        <x:f>MOD(AA646*16807,2147483647)</x:f>
        <x:v>914497548</x:v>
      </x:c>
      <x:c r="AC646" s="17" t="n">
        <x:f>IF('Control Room'!$B$5="Normal",'Control Room'!$B$7+'Control Room'!$D$7*SQRT(-2*LN(MAX(0.000000000001,AA646/2147483647)))*COS(2*PI()*AB646/2147483647),'Control Room'!$B$8+('Control Room'!$D$8-'Control Room'!$B$8)*AA646/2147483647)</x:f>
        <x:v>898.1963402516465</x:v>
      </x:c>
      <x:c r="AD646" s="17" t="n">
        <x:f>IF('Control Room'!$B$5="Normal",'Control Room'!$B$7,('Control Room'!$B$8+'Control Room'!$D$8)/2)+'Control Room'!$B$9*(AD645-IF('Control Room'!$B$5="Normal",'Control Room'!$B$7,('Control Room'!$B$8+'Control Room'!$D$8)/2))+SQRT(1-'Control Room'!$B$9^2)*(AC646-IF('Control Room'!$B$5="Normal",'Control Room'!$B$7,('Control Room'!$B$8+'Control Room'!$D$8)/2))</x:f>
        <x:v>951.1310097198347</x:v>
      </x:c>
      <x:c r="AE646" s="17" t="n">
        <x:f>IF(AND($A646&gt;='Control Room'!$A$13,$A646&lt;'Control Room'!$A$13+'Control Room'!$B$13,'Process'!BP2=1),1+('Control Room'!$C$13-1)*EXP(-0.5*(($A646-'Control Room'!$A$13-('Control Room'!$B$13-1)/2)/MAX(0.5,'Control Room'!$B$13/4))^2),1)*IF(AND($A646&gt;='Control Room'!$A$14,$A646&lt;'Control Room'!$A$14+'Control Room'!$B$14,'Process'!BP3=1),1+('Control Room'!$C$14-1)*EXP(-0.5*(($A646-'Control Room'!$A$14-('Control Room'!$B$14-1)/2)/MAX(0.5,'Control Room'!$B$14/4))^2),1)*IF(AND($A646&gt;='Control Room'!$A$15,$A646&lt;'Control Room'!$A$15+'Control Room'!$B$15,'Process'!BP4=1),1+('Control Room'!$C$15-1)*EXP(-0.5*(($A646-'Control Room'!$A$15-('Control Room'!$B$15-1)/2)/MAX(0.5,'Control Room'!$B$15/4))^2),1)*IF(AND($A646&gt;='Control Room'!$A$16,$A646&lt;'Control Room'!$A$16+'Control Room'!$B$16,'Process'!BP5=1),1+('Control Room'!$C$16-1)*EXP(-0.5*(($A646-'Control Room'!$A$16-('Control Room'!$B$16-1)/2)/MAX(0.5,'Control Room'!$B$16/4))^2),1)</x:f>
        <x:v>1</x:v>
      </x:c>
      <x:c r="AF646" s="9" t="n">
        <x:f>MOD(AG645*16807,2147483647)</x:f>
        <x:v>775767226</x:v>
      </x:c>
      <x:c r="AG646" s="9" t="n">
        <x:f>MOD(AF646*16807,2147483647)</x:f>
        <x:v>946546445</x:v>
      </x:c>
      <x:c r="AH646" s="17" t="n">
        <x:f>IF('Control Room'!$B$5="Normal",'Control Room'!$B$7+'Control Room'!$D$7*SQRT(-2*LN(MAX(0.000000000001,AF646/2147483647)))*COS(2*PI()*AG646/2147483647),'Control Room'!$B$8+('Control Room'!$D$8-'Control Room'!$B$8)*AF646/2147483647)</x:f>
        <x:v>880.3594009961391</x:v>
      </x:c>
      <x:c r="AI646" s="17" t="n">
        <x:f>IF('Control Room'!$B$5="Normal",'Control Room'!$B$7,('Control Room'!$B$8+'Control Room'!$D$8)/2)+'Control Room'!$B$9*(AI645-IF('Control Room'!$B$5="Normal",'Control Room'!$B$7,('Control Room'!$B$8+'Control Room'!$D$8)/2))+SQRT(1-'Control Room'!$B$9^2)*(AH646-IF('Control Room'!$B$5="Normal",'Control Room'!$B$7,('Control Room'!$B$8+'Control Room'!$D$8)/2))</x:f>
        <x:v>826.0617806248484</x:v>
      </x:c>
      <x:c r="AJ646" s="17" t="n">
        <x:f>IF(AND($A646&gt;='Control Room'!$A$13,$A646&lt;'Control Room'!$A$13+'Control Room'!$B$13,'Process'!BQ2=1),1+('Control Room'!$C$13-1)*EXP(-0.5*(($A646-'Control Room'!$A$13-('Control Room'!$B$13-1)/2)/MAX(0.5,'Control Room'!$B$13/4))^2),1)*IF(AND($A646&gt;='Control Room'!$A$14,$A646&lt;'Control Room'!$A$14+'Control Room'!$B$14,'Process'!BQ3=1),1+('Control Room'!$C$14-1)*EXP(-0.5*(($A646-'Control Room'!$A$14-('Control Room'!$B$14-1)/2)/MAX(0.5,'Control Room'!$B$14/4))^2),1)*IF(AND($A646&gt;='Control Room'!$A$15,$A646&lt;'Control Room'!$A$15+'Control Room'!$B$15,'Process'!BQ4=1),1+('Control Room'!$C$15-1)*EXP(-0.5*(($A646-'Control Room'!$A$15-('Control Room'!$B$15-1)/2)/MAX(0.5,'Control Room'!$B$15/4))^2),1)*IF(AND($A646&gt;='Control Room'!$A$16,$A646&lt;'Control Room'!$A$16+'Control Room'!$B$16,'Process'!BQ5=1),1+('Control Room'!$C$16-1)*EXP(-0.5*(($A646-'Control Room'!$A$16-('Control Room'!$B$16-1)/2)/MAX(0.5,'Control Room'!$B$16/4))^2),1)</x:f>
        <x:v>1</x:v>
      </x:c>
      <x:c r="AK646" s="9" t="n">
        <x:f>MOD(AL645*16807,2147483647)</x:f>
        <x:v>588070348</x:v>
      </x:c>
      <x:c r="AL646" s="9" t="n">
        <x:f>MOD(AK646*16807,2147483647)</x:f>
        <x:v>978595342</x:v>
      </x:c>
      <x:c r="AM646" s="17" t="n">
        <x:f>IF('Control Room'!$B$5="Normal",'Control Room'!$B$7+'Control Room'!$D$7*SQRT(-2*LN(MAX(0.000000000001,AK646/2147483647)))*COS(2*PI()*AL646/2147483647),'Control Room'!$B$8+('Control Room'!$D$8-'Control Room'!$B$8)*AK646/2147483647)</x:f>
        <x:v>860.7238989011416</x:v>
      </x:c>
      <x:c r="AN646" s="17" t="n">
        <x:f>IF('Control Room'!$B$5="Normal",'Control Room'!$B$7,('Control Room'!$B$8+'Control Room'!$D$8)/2)+'Control Room'!$B$9*(AN645-IF('Control Room'!$B$5="Normal",'Control Room'!$B$7,('Control Room'!$B$8+'Control Room'!$D$8)/2))+SQRT(1-'Control Room'!$B$9^2)*(AM646-IF('Control Room'!$B$5="Normal",'Control Room'!$B$7,('Control Room'!$B$8+'Control Room'!$D$8)/2))</x:f>
        <x:v>777.255992032182</x:v>
      </x:c>
      <x:c r="AO646" s="17" t="n">
        <x:f>IF(AND($A646&gt;='Control Room'!$A$13,$A646&lt;'Control Room'!$A$13+'Control Room'!$B$13,'Process'!BR2=1),1+('Control Room'!$C$13-1)*EXP(-0.5*(($A646-'Control Room'!$A$13-('Control Room'!$B$13-1)/2)/MAX(0.5,'Control Room'!$B$13/4))^2),1)*IF(AND($A646&gt;='Control Room'!$A$14,$A646&lt;'Control Room'!$A$14+'Control Room'!$B$14,'Process'!BR3=1),1+('Control Room'!$C$14-1)*EXP(-0.5*(($A646-'Control Room'!$A$14-('Control Room'!$B$14-1)/2)/MAX(0.5,'Control Room'!$B$14/4))^2),1)*IF(AND($A646&gt;='Control Room'!$A$15,$A646&lt;'Control Room'!$A$15+'Control Room'!$B$15,'Process'!BR4=1),1+('Control Room'!$C$15-1)*EXP(-0.5*(($A646-'Control Room'!$A$15-('Control Room'!$B$15-1)/2)/MAX(0.5,'Control Room'!$B$15/4))^2),1)*IF(AND($A646&gt;='Control Room'!$A$16,$A646&lt;'Control Room'!$A$16+'Control Room'!$B$16,'Process'!BR5=1),1+('Control Room'!$C$16-1)*EXP(-0.5*(($A646-'Control Room'!$A$16-('Control Room'!$B$16-1)/2)/MAX(0.5,'Control Room'!$B$16/4))^2),1)</x:f>
        <x:v>1</x:v>
      </x:c>
      <x:c r="AP646" s="9" t="n">
        <x:f>MOD(AQ645*16807,2147483647)</x:f>
        <x:v>400373470</x:v>
      </x:c>
      <x:c r="AQ646" s="9" t="n">
        <x:f>MOD(AP646*16807,2147483647)</x:f>
        <x:v>1010644239</x:v>
      </x:c>
      <x:c r="AR646" s="17" t="n">
        <x:f>IF('Control Room'!$B$5="Normal",'Control Room'!$B$7+'Control Room'!$D$7*SQRT(-2*LN(MAX(0.000000000001,AP646/2147483647)))*COS(2*PI()*AQ646/2147483647),'Control Room'!$B$8+('Control Room'!$D$8-'Control Room'!$B$8)*AP646/2147483647)</x:f>
        <x:v>837.8472905406151</x:v>
      </x:c>
      <x:c r="AS646" s="17" t="n">
        <x:f>IF('Control Room'!$B$5="Normal",'Control Room'!$B$7,('Control Room'!$B$8+'Control Room'!$D$8)/2)+'Control Room'!$B$9*(AS645-IF('Control Room'!$B$5="Normal",'Control Room'!$B$7,('Control Room'!$B$8+'Control Room'!$D$8)/2))+SQRT(1-'Control Room'!$B$9^2)*(AR646-IF('Control Room'!$B$5="Normal",'Control Room'!$B$7,('Control Room'!$B$8+'Control Room'!$D$8)/2))</x:f>
        <x:v>909.2921501817499</x:v>
      </x:c>
      <x:c r="AT646" s="17" t="n">
        <x:f>IF(AND($A646&gt;='Control Room'!$A$13,$A646&lt;'Control Room'!$A$13+'Control Room'!$B$13,'Process'!BS2=1),1+('Control Room'!$C$13-1)*EXP(-0.5*(($A646-'Control Room'!$A$13-('Control Room'!$B$13-1)/2)/MAX(0.5,'Control Room'!$B$13/4))^2),1)*IF(AND($A646&gt;='Control Room'!$A$14,$A646&lt;'Control Room'!$A$14+'Control Room'!$B$14,'Process'!BS3=1),1+('Control Room'!$C$14-1)*EXP(-0.5*(($A646-'Control Room'!$A$14-('Control Room'!$B$14-1)/2)/MAX(0.5,'Control Room'!$B$14/4))^2),1)*IF(AND($A646&gt;='Control Room'!$A$15,$A646&lt;'Control Room'!$A$15+'Control Room'!$B$15,'Process'!BS4=1),1+('Control Room'!$C$15-1)*EXP(-0.5*(($A646-'Control Room'!$A$15-('Control Room'!$B$15-1)/2)/MAX(0.5,'Control Room'!$B$15/4))^2),1)*IF(AND($A646&gt;='Control Room'!$A$16,$A646&lt;'Control Room'!$A$16+'Control Room'!$B$16,'Process'!BS5=1),1+('Control Room'!$C$16-1)*EXP(-0.5*(($A646-'Control Room'!$A$16-('Control Room'!$B$16-1)/2)/MAX(0.5,'Control Room'!$B$16/4))^2),1)</x:f>
        <x:v>1</x:v>
      </x:c>
      <x:c r="AU646" s="9" t="n">
        <x:f>MOD(AV645*16807,2147483647)</x:f>
        <x:v>212676592</x:v>
      </x:c>
      <x:c r="AV646" s="9" t="n">
        <x:f>MOD(AU646*16807,2147483647)</x:f>
        <x:v>1042693136</x:v>
      </x:c>
      <x:c r="AW646" s="17" t="n">
        <x:f>IF('Control Room'!$B$5="Normal",'Control Room'!$B$7+'Control Room'!$D$7*SQRT(-2*LN(MAX(0.000000000001,AU646/2147483647)))*COS(2*PI()*AV646/2147483647),'Control Room'!$B$8+('Control Room'!$D$8-'Control Room'!$B$8)*AU646/2147483647)</x:f>
        <x:v>807.2549745725631</x:v>
      </x:c>
      <x:c r="AX646" s="17" t="n">
        <x:f>IF('Control Room'!$B$5="Normal",'Control Room'!$B$7,('Control Room'!$B$8+'Control Room'!$D$8)/2)+'Control Room'!$B$9*(AX645-IF('Control Room'!$B$5="Normal",'Control Room'!$B$7,('Control Room'!$B$8+'Control Room'!$D$8)/2))+SQRT(1-'Control Room'!$B$9^2)*(AW646-IF('Control Room'!$B$5="Normal",'Control Room'!$B$7,('Control Room'!$B$8+'Control Room'!$D$8)/2))</x:f>
        <x:v>771.9962405229855</x:v>
      </x:c>
      <x:c r="AY646" s="17" t="n">
        <x:f>IF(AND($A646&gt;='Control Room'!$A$13,$A646&lt;'Control Room'!$A$13+'Control Room'!$B$13,'Process'!BT2=1),1+('Control Room'!$C$13-1)*EXP(-0.5*(($A646-'Control Room'!$A$13-('Control Room'!$B$13-1)/2)/MAX(0.5,'Control Room'!$B$13/4))^2),1)*IF(AND($A646&gt;='Control Room'!$A$14,$A646&lt;'Control Room'!$A$14+'Control Room'!$B$14,'Process'!BT3=1),1+('Control Room'!$C$14-1)*EXP(-0.5*(($A646-'Control Room'!$A$14-('Control Room'!$B$14-1)/2)/MAX(0.5,'Control Room'!$B$14/4))^2),1)*IF(AND($A646&gt;='Control Room'!$A$15,$A646&lt;'Control Room'!$A$15+'Control Room'!$B$15,'Process'!BT4=1),1+('Control Room'!$C$15-1)*EXP(-0.5*(($A646-'Control Room'!$A$15-('Control Room'!$B$15-1)/2)/MAX(0.5,'Control Room'!$B$15/4))^2),1)*IF(AND($A646&gt;='Control Room'!$A$16,$A646&lt;'Control Room'!$A$16+'Control Room'!$B$16,'Process'!BT5=1),1+('Control Room'!$C$16-1)*EXP(-0.5*(($A646-'Control Room'!$A$16-('Control Room'!$B$16-1)/2)/MAX(0.5,'Control Room'!$B$16/4))^2),1)</x:f>
        <x:v>1</x:v>
      </x:c>
      <x:c r="AZ646" s="9" t="n">
        <x:f>MOD(BA645*16807,2147483647)</x:f>
        <x:v>24979714</x:v>
      </x:c>
      <x:c r="BA646" s="9" t="n">
        <x:f>MOD(AZ646*16807,2147483647)</x:f>
        <x:v>1074742033</x:v>
      </x:c>
      <x:c r="BB646" s="17" t="n">
        <x:f>IF('Control Room'!$B$5="Normal",'Control Room'!$B$7+'Control Room'!$D$7*SQRT(-2*LN(MAX(0.000000000001,AZ646/2147483647)))*COS(2*PI()*BA646/2147483647),'Control Room'!$B$8+('Control Room'!$D$8-'Control Room'!$B$8)*AZ646/2147483647)</x:f>
        <x:v>731.385057388517</x:v>
      </x:c>
      <x:c r="BC646" s="17" t="n">
        <x:f>IF('Control Room'!$B$5="Normal",'Control Room'!$B$7,('Control Room'!$B$8+'Control Room'!$D$8)/2)+'Control Room'!$B$9*(BC645-IF('Control Room'!$B$5="Normal",'Control Room'!$B$7,('Control Room'!$B$8+'Control Room'!$D$8)/2))+SQRT(1-'Control Room'!$B$9^2)*(BB646-IF('Control Room'!$B$5="Normal",'Control Room'!$B$7,('Control Room'!$B$8+'Control Room'!$D$8)/2))</x:f>
        <x:v>716.2794608140282</x:v>
      </x:c>
      <x:c r="BD646" s="17" t="n">
        <x:f>IF(AND($A646&gt;='Control Room'!$A$13,$A646&lt;'Control Room'!$A$13+'Control Room'!$B$13,'Process'!BU2=1),1+('Control Room'!$C$13-1)*EXP(-0.5*(($A646-'Control Room'!$A$13-('Control Room'!$B$13-1)/2)/MAX(0.5,'Control Room'!$B$13/4))^2),1)*IF(AND($A646&gt;='Control Room'!$A$14,$A646&lt;'Control Room'!$A$14+'Control Room'!$B$14,'Process'!BU3=1),1+('Control Room'!$C$14-1)*EXP(-0.5*(($A646-'Control Room'!$A$14-('Control Room'!$B$14-1)/2)/MAX(0.5,'Control Room'!$B$14/4))^2),1)*IF(AND($A646&gt;='Control Room'!$A$15,$A646&lt;'Control Room'!$A$15+'Control Room'!$B$15,'Process'!BU4=1),1+('Control Room'!$C$15-1)*EXP(-0.5*(($A646-'Control Room'!$A$15-('Control Room'!$B$15-1)/2)/MAX(0.5,'Control Room'!$B$15/4))^2),1)*IF(AND($A646&gt;='Control Room'!$A$16,$A646&lt;'Control Room'!$A$16+'Control Room'!$B$16,'Process'!BU5=1),1+('Control Room'!$C$16-1)*EXP(-0.5*(($A646-'Control Room'!$A$16-('Control Room'!$B$16-1)/2)/MAX(0.5,'Control Room'!$B$16/4))^2),1)</x:f>
        <x:v>1</x:v>
      </x:c>
      <x:c r="BE646" s="9" t="n">
        <x:f>MOD(BF645*16807,2147483647)</x:f>
        <x:v>1984766483</x:v>
      </x:c>
      <x:c r="BF646" s="9" t="n">
        <x:f>MOD(BE646*16807,2147483647)</x:f>
        <x:v>1106790930</x:v>
      </x:c>
      <x:c r="BG646" s="17" t="n">
        <x:f>IF('Control Room'!$B$5="Normal",'Control Room'!$B$7+'Control Room'!$D$7*SQRT(-2*LN(MAX(0.000000000001,BE646/2147483647)))*COS(2*PI()*BF646/2147483647),'Control Room'!$B$8+('Control Room'!$D$8-'Control Room'!$B$8)*BE646/2147483647)</x:f>
        <x:v>964.4389429394826</x:v>
      </x:c>
      <x:c r="BH646" s="17" t="n">
        <x:f>IF('Control Room'!$B$5="Normal",'Control Room'!$B$7,('Control Room'!$B$8+'Control Room'!$D$8)/2)+'Control Room'!$B$9*(BH645-IF('Control Room'!$B$5="Normal",'Control Room'!$B$7,('Control Room'!$B$8+'Control Room'!$D$8)/2))+SQRT(1-'Control Room'!$B$9^2)*(BG646-IF('Control Room'!$B$5="Normal",'Control Room'!$B$7,('Control Room'!$B$8+'Control Room'!$D$8)/2))</x:f>
        <x:v>985.9022317455964</x:v>
      </x:c>
      <x:c r="BI646" s="17" t="n">
        <x:f>IF(AND($A646&gt;='Control Room'!$A$13,$A646&lt;'Control Room'!$A$13+'Control Room'!$B$13,'Process'!BV2=1),1+('Control Room'!$C$13-1)*EXP(-0.5*(($A646-'Control Room'!$A$13-('Control Room'!$B$13-1)/2)/MAX(0.5,'Control Room'!$B$13/4))^2),1)*IF(AND($A646&gt;='Control Room'!$A$14,$A646&lt;'Control Room'!$A$14+'Control Room'!$B$14,'Process'!BV3=1),1+('Control Room'!$C$14-1)*EXP(-0.5*(($A646-'Control Room'!$A$14-('Control Room'!$B$14-1)/2)/MAX(0.5,'Control Room'!$B$14/4))^2),1)*IF(AND($A646&gt;='Control Room'!$A$15,$A646&lt;'Control Room'!$A$15+'Control Room'!$B$15,'Process'!BV4=1),1+('Control Room'!$C$15-1)*EXP(-0.5*(($A646-'Control Room'!$A$15-('Control Room'!$B$15-1)/2)/MAX(0.5,'Control Room'!$B$15/4))^2),1)*IF(AND($A646&gt;='Control Room'!$A$16,$A646&lt;'Control Room'!$A$16+'Control Room'!$B$16,'Process'!BV5=1),1+('Control Room'!$C$16-1)*EXP(-0.5*(($A646-'Control Room'!$A$16-('Control Room'!$B$16-1)/2)/MAX(0.5,'Control Room'!$B$16/4))^2),1)</x:f>
        <x:v>1</x:v>
      </x:c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Z646" t="str">
        <x:f>IF('Data'!A646="","",TEXT('Data'!A646,"mm-dd"))</x:f>
      </x:c>
    </x:row>
    <x:row r="647" ht="21" customHeight="1">
      <x:c r="A647" s="15" t="n">
        <x:f>'Control Room'!$B$1+645</x:f>
        <x:v>73636</x:v>
      </x:c>
      <x:c r="B647" s="9" t="n">
        <x:f>MOD(C646*16807,2147483647)</x:f>
        <x:v>135261600</x:v>
      </x:c>
      <x:c r="C647" s="9" t="n">
        <x:f>MOD(B647*16807,2147483647)</x:f>
        <x:v>1304012674</x:v>
      </x:c>
      <x:c r="D647" s="17" t="n">
        <x:f>IF('Control Room'!$B$5="Normal",'Control Room'!$B$7+'Control Room'!$D$7*SQRT(-2*LN(MAX(0.000000000001,B647/2147483647)))*COS(2*PI()*C647/2147483647),'Control Room'!$B$8+('Control Room'!$D$8-'Control Room'!$B$8)*B647/2147483647)</x:f>
        <x:v>834.6059401479132</x:v>
      </x:c>
      <x:c r="E647" s="17" t="n">
        <x:f>IF('Control Room'!$B$5="Normal",'Control Room'!$B$7,('Control Room'!$B$8+'Control Room'!$D$8)/2)+'Control Room'!$B$9*(E646-IF('Control Room'!$B$5="Normal",'Control Room'!$B$7,('Control Room'!$B$8+'Control Room'!$D$8)/2))+SQRT(1-'Control Room'!$B$9^2)*(D647-IF('Control Room'!$B$5="Normal",'Control Room'!$B$7,('Control Room'!$B$8+'Control Room'!$D$8)/2))</x:f>
        <x:v>912.267960119515</x:v>
      </x:c>
      <x:c r="F647" s="17" t="n">
        <x:f>IF(AND($A647&gt;='Control Room'!$A$13,$A647&lt;'Control Room'!$A$13+'Control Room'!$B$13,'Process'!BK2=1),1+('Control Room'!$C$13-1)*EXP(-0.5*(($A647-'Control Room'!$A$13-('Control Room'!$B$13-1)/2)/MAX(0.5,'Control Room'!$B$13/4))^2),1)*IF(AND($A647&gt;='Control Room'!$A$14,$A647&lt;'Control Room'!$A$14+'Control Room'!$B$14,'Process'!BK3=1),1+('Control Room'!$C$14-1)*EXP(-0.5*(($A647-'Control Room'!$A$14-('Control Room'!$B$14-1)/2)/MAX(0.5,'Control Room'!$B$14/4))^2),1)*IF(AND($A647&gt;='Control Room'!$A$15,$A647&lt;'Control Room'!$A$15+'Control Room'!$B$15,'Process'!BK4=1),1+('Control Room'!$C$15-1)*EXP(-0.5*(($A647-'Control Room'!$A$15-('Control Room'!$B$15-1)/2)/MAX(0.5,'Control Room'!$B$15/4))^2),1)*IF(AND($A647&gt;='Control Room'!$A$16,$A647&lt;'Control Room'!$A$16+'Control Room'!$B$16,'Process'!BK5=1),1+('Control Room'!$C$16-1)*EXP(-0.5*(($A647-'Control Room'!$A$16-('Control Room'!$B$16-1)/2)/MAX(0.5,'Control Room'!$B$16/4))^2),1)</x:f>
        <x:v>1</x:v>
      </x:c>
      <x:c r="G647" s="9" t="n">
        <x:f>MOD(H646*16807,2147483647)</x:f>
        <x:v>1910161729</x:v>
      </x:c>
      <x:c r="H647" s="9" t="n">
        <x:f>MOD(G647*16807,2147483647)</x:f>
        <x:v>1355140300</x:v>
      </x:c>
      <x:c r="I647" s="17" t="n">
        <x:f>IF('Control Room'!$B$5="Normal",'Control Room'!$B$7+'Control Room'!$D$7*SQRT(-2*LN(MAX(0.000000000001,G647/2147483647)))*COS(2*PI()*H647/2147483647),'Control Room'!$B$8+('Control Room'!$D$8-'Control Room'!$B$8)*G647/2147483647)</x:f>
        <x:v>970.3909532368143</x:v>
      </x:c>
      <x:c r="J647" s="17" t="n">
        <x:f>IF('Control Room'!$B$5="Normal",'Control Room'!$B$7,('Control Room'!$B$8+'Control Room'!$D$8)/2)+'Control Room'!$B$9*(J646-IF('Control Room'!$B$5="Normal",'Control Room'!$B$7,('Control Room'!$B$8+'Control Room'!$D$8)/2))+SQRT(1-'Control Room'!$B$9^2)*(I647-IF('Control Room'!$B$5="Normal",'Control Room'!$B$7,('Control Room'!$B$8+'Control Room'!$D$8)/2))</x:f>
        <x:v>1009.6110888214671</x:v>
      </x:c>
      <x:c r="K647" s="17" t="n">
        <x:f>IF(AND($A647&gt;='Control Room'!$A$13,$A647&lt;'Control Room'!$A$13+'Control Room'!$B$13,'Process'!BL2=1),1+('Control Room'!$C$13-1)*EXP(-0.5*(($A647-'Control Room'!$A$13-('Control Room'!$B$13-1)/2)/MAX(0.5,'Control Room'!$B$13/4))^2),1)*IF(AND($A647&gt;='Control Room'!$A$14,$A647&lt;'Control Room'!$A$14+'Control Room'!$B$14,'Process'!BL3=1),1+('Control Room'!$C$14-1)*EXP(-0.5*(($A647-'Control Room'!$A$14-('Control Room'!$B$14-1)/2)/MAX(0.5,'Control Room'!$B$14/4))^2),1)*IF(AND($A647&gt;='Control Room'!$A$15,$A647&lt;'Control Room'!$A$15+'Control Room'!$B$15,'Process'!BL4=1),1+('Control Room'!$C$15-1)*EXP(-0.5*(($A647-'Control Room'!$A$15-('Control Room'!$B$15-1)/2)/MAX(0.5,'Control Room'!$B$15/4))^2),1)*IF(AND($A647&gt;='Control Room'!$A$16,$A647&lt;'Control Room'!$A$16+'Control Room'!$B$16,'Process'!BL5=1),1+('Control Room'!$C$16-1)*EXP(-0.5*(($A647-'Control Room'!$A$16-('Control Room'!$B$16-1)/2)/MAX(0.5,'Control Room'!$B$16/4))^2),1)</x:f>
        <x:v>1</x:v>
      </x:c>
      <x:c r="L647" s="9" t="n">
        <x:f>MOD(M646*16807,2147483647)</x:f>
        <x:v>1537578211</x:v>
      </x:c>
      <x:c r="M647" s="9" t="n">
        <x:f>MOD(L647*16807,2147483647)</x:f>
        <x:v>1406267926</x:v>
      </x:c>
      <x:c r="N647" s="17" t="n">
        <x:f>IF('Control Room'!$B$5="Normal",'Control Room'!$B$7+'Control Room'!$D$7*SQRT(-2*LN(MAX(0.000000000001,L647/2147483647)))*COS(2*PI()*M647/2147483647),'Control Room'!$B$8+('Control Room'!$D$8-'Control Room'!$B$8)*L647/2147483647)</x:f>
        <x:v>958.5893181813177</x:v>
      </x:c>
      <x:c r="O647" s="17" t="n">
        <x:f>IF('Control Room'!$B$5="Normal",'Control Room'!$B$7,('Control Room'!$B$8+'Control Room'!$D$8)/2)+'Control Room'!$B$9*(O646-IF('Control Room'!$B$5="Normal",'Control Room'!$B$7,('Control Room'!$B$8+'Control Room'!$D$8)/2))+SQRT(1-'Control Room'!$B$9^2)*(N647-IF('Control Room'!$B$5="Normal",'Control Room'!$B$7,('Control Room'!$B$8+'Control Room'!$D$8)/2))</x:f>
        <x:v>977.6890841994955</x:v>
      </x:c>
      <x:c r="P647" s="17" t="n">
        <x:f>IF(AND($A647&gt;='Control Room'!$A$13,$A647&lt;'Control Room'!$A$13+'Control Room'!$B$13,'Process'!BM2=1),1+('Control Room'!$C$13-1)*EXP(-0.5*(($A647-'Control Room'!$A$13-('Control Room'!$B$13-1)/2)/MAX(0.5,'Control Room'!$B$13/4))^2),1)*IF(AND($A647&gt;='Control Room'!$A$14,$A647&lt;'Control Room'!$A$14+'Control Room'!$B$14,'Process'!BM3=1),1+('Control Room'!$C$14-1)*EXP(-0.5*(($A647-'Control Room'!$A$14-('Control Room'!$B$14-1)/2)/MAX(0.5,'Control Room'!$B$14/4))^2),1)*IF(AND($A647&gt;='Control Room'!$A$15,$A647&lt;'Control Room'!$A$15+'Control Room'!$B$15,'Process'!BM4=1),1+('Control Room'!$C$15-1)*EXP(-0.5*(($A647-'Control Room'!$A$15-('Control Room'!$B$15-1)/2)/MAX(0.5,'Control Room'!$B$15/4))^2),1)*IF(AND($A647&gt;='Control Room'!$A$16,$A647&lt;'Control Room'!$A$16+'Control Room'!$B$16,'Process'!BM5=1),1+('Control Room'!$C$16-1)*EXP(-0.5*(($A647-'Control Room'!$A$16-('Control Room'!$B$16-1)/2)/MAX(0.5,'Control Room'!$B$16/4))^2),1)</x:f>
        <x:v>1</x:v>
      </x:c>
      <x:c r="Q647" s="9" t="n">
        <x:f>MOD(R646*16807,2147483647)</x:f>
        <x:v>1164994693</x:v>
      </x:c>
      <x:c r="R647" s="9" t="n">
        <x:f>MOD(Q647*16807,2147483647)</x:f>
        <x:v>1457395552</x:v>
      </x:c>
      <x:c r="S647" s="17" t="n">
        <x:f>IF('Control Room'!$B$5="Normal",'Control Room'!$B$7+'Control Room'!$D$7*SQRT(-2*LN(MAX(0.000000000001,Q647/2147483647)))*COS(2*PI()*R647/2147483647),'Control Room'!$B$8+('Control Room'!$D$8-'Control Room'!$B$8)*Q647/2147483647)</x:f>
        <x:v>956.858340099254</x:v>
      </x:c>
      <x:c r="T647" s="17" t="n">
        <x:f>IF('Control Room'!$B$5="Normal",'Control Room'!$B$7,('Control Room'!$B$8+'Control Room'!$D$8)/2)+'Control Room'!$B$9*(T646-IF('Control Room'!$B$5="Normal",'Control Room'!$B$7,('Control Room'!$B$8+'Control Room'!$D$8)/2))+SQRT(1-'Control Room'!$B$9^2)*(S647-IF('Control Room'!$B$5="Normal",'Control Room'!$B$7,('Control Room'!$B$8+'Control Room'!$D$8)/2))</x:f>
        <x:v>859.3104562108704</x:v>
      </x:c>
      <x:c r="U647" s="17" t="n">
        <x:f>IF(AND($A647&gt;='Control Room'!$A$13,$A647&lt;'Control Room'!$A$13+'Control Room'!$B$13,'Process'!BN2=1),1+('Control Room'!$C$13-1)*EXP(-0.5*(($A647-'Control Room'!$A$13-('Control Room'!$B$13-1)/2)/MAX(0.5,'Control Room'!$B$13/4))^2),1)*IF(AND($A647&gt;='Control Room'!$A$14,$A647&lt;'Control Room'!$A$14+'Control Room'!$B$14,'Process'!BN3=1),1+('Control Room'!$C$14-1)*EXP(-0.5*(($A647-'Control Room'!$A$14-('Control Room'!$B$14-1)/2)/MAX(0.5,'Control Room'!$B$14/4))^2),1)*IF(AND($A647&gt;='Control Room'!$A$15,$A647&lt;'Control Room'!$A$15+'Control Room'!$B$15,'Process'!BN4=1),1+('Control Room'!$C$15-1)*EXP(-0.5*(($A647-'Control Room'!$A$15-('Control Room'!$B$15-1)/2)/MAX(0.5,'Control Room'!$B$15/4))^2),1)*IF(AND($A647&gt;='Control Room'!$A$16,$A647&lt;'Control Room'!$A$16+'Control Room'!$B$16,'Process'!BN5=1),1+('Control Room'!$C$16-1)*EXP(-0.5*(($A647-'Control Room'!$A$16-('Control Room'!$B$16-1)/2)/MAX(0.5,'Control Room'!$B$16/4))^2),1)</x:f>
        <x:v>1</x:v>
      </x:c>
      <x:c r="V647" s="9" t="n">
        <x:f>MOD(W646*16807,2147483647)</x:f>
        <x:v>792411175</x:v>
      </x:c>
      <x:c r="W647" s="9" t="n">
        <x:f>MOD(V647*16807,2147483647)</x:f>
        <x:v>1508523178</x:v>
      </x:c>
      <x:c r="X647" s="17" t="n">
        <x:f>IF('Control Room'!$B$5="Normal",'Control Room'!$B$7+'Control Room'!$D$7*SQRT(-2*LN(MAX(0.000000000001,V647/2147483647)))*COS(2*PI()*W647/2147483647),'Control Room'!$B$8+('Control Room'!$D$8-'Control Room'!$B$8)*V647/2147483647)</x:f>
        <x:v>962.6016064078292</x:v>
      </x:c>
      <x:c r="Y647" s="17" t="n">
        <x:f>IF('Control Room'!$B$5="Normal",'Control Room'!$B$7,('Control Room'!$B$8+'Control Room'!$D$8)/2)+'Control Room'!$B$9*(Y646-IF('Control Room'!$B$5="Normal",'Control Room'!$B$7,('Control Room'!$B$8+'Control Room'!$D$8)/2))+SQRT(1-'Control Room'!$B$9^2)*(X647-IF('Control Room'!$B$5="Normal",'Control Room'!$B$7,('Control Room'!$B$8+'Control Room'!$D$8)/2))</x:f>
        <x:v>899.3728420878438</x:v>
      </x:c>
      <x:c r="Z647" s="17" t="n">
        <x:f>IF(AND($A647&gt;='Control Room'!$A$13,$A647&lt;'Control Room'!$A$13+'Control Room'!$B$13,'Process'!BO2=1),1+('Control Room'!$C$13-1)*EXP(-0.5*(($A647-'Control Room'!$A$13-('Control Room'!$B$13-1)/2)/MAX(0.5,'Control Room'!$B$13/4))^2),1)*IF(AND($A647&gt;='Control Room'!$A$14,$A647&lt;'Control Room'!$A$14+'Control Room'!$B$14,'Process'!BO3=1),1+('Control Room'!$C$14-1)*EXP(-0.5*(($A647-'Control Room'!$A$14-('Control Room'!$B$14-1)/2)/MAX(0.5,'Control Room'!$B$14/4))^2),1)*IF(AND($A647&gt;='Control Room'!$A$15,$A647&lt;'Control Room'!$A$15+'Control Room'!$B$15,'Process'!BO4=1),1+('Control Room'!$C$15-1)*EXP(-0.5*(($A647-'Control Room'!$A$15-('Control Room'!$B$15-1)/2)/MAX(0.5,'Control Room'!$B$15/4))^2),1)*IF(AND($A647&gt;='Control Room'!$A$16,$A647&lt;'Control Room'!$A$16+'Control Room'!$B$16,'Process'!BO5=1),1+('Control Room'!$C$16-1)*EXP(-0.5*(($A647-'Control Room'!$A$16-('Control Room'!$B$16-1)/2)/MAX(0.5,'Control Room'!$B$16/4))^2),1)</x:f>
        <x:v>1</x:v>
      </x:c>
      <x:c r="AA647" s="9" t="n">
        <x:f>MOD(AB646*16807,2147483647)</x:f>
        <x:v>419827657</x:v>
      </x:c>
      <x:c r="AB647" s="9" t="n">
        <x:f>MOD(AA647*16807,2147483647)</x:f>
        <x:v>1559650804</x:v>
      </x:c>
      <x:c r="AC647" s="17" t="n">
        <x:f>IF('Control Room'!$B$5="Normal",'Control Room'!$B$7+'Control Room'!$D$7*SQRT(-2*LN(MAX(0.000000000001,AA647/2147483647)))*COS(2*PI()*AB647/2147483647),'Control Room'!$B$8+('Control Room'!$D$8-'Control Room'!$B$8)*AA647/2147483647)</x:f>
        <x:v>975.8436865193441</x:v>
      </x:c>
      <x:c r="AD647" s="17" t="n">
        <x:f>IF('Control Room'!$B$5="Normal",'Control Room'!$B$7,('Control Room'!$B$8+'Control Room'!$D$8)/2)+'Control Room'!$B$9*(AD646-IF('Control Room'!$B$5="Normal",'Control Room'!$B$7,('Control Room'!$B$8+'Control Room'!$D$8)/2))+SQRT(1-'Control Room'!$B$9^2)*(AC647-IF('Control Room'!$B$5="Normal",'Control Room'!$B$7,('Control Room'!$B$8+'Control Room'!$D$8)/2))</x:f>
        <x:v>946.7656614742568</x:v>
      </x:c>
      <x:c r="AE647" s="17" t="n">
        <x:f>IF(AND($A647&gt;='Control Room'!$A$13,$A647&lt;'Control Room'!$A$13+'Control Room'!$B$13,'Process'!BP2=1),1+('Control Room'!$C$13-1)*EXP(-0.5*(($A647-'Control Room'!$A$13-('Control Room'!$B$13-1)/2)/MAX(0.5,'Control Room'!$B$13/4))^2),1)*IF(AND($A647&gt;='Control Room'!$A$14,$A647&lt;'Control Room'!$A$14+'Control Room'!$B$14,'Process'!BP3=1),1+('Control Room'!$C$14-1)*EXP(-0.5*(($A647-'Control Room'!$A$14-('Control Room'!$B$14-1)/2)/MAX(0.5,'Control Room'!$B$14/4))^2),1)*IF(AND($A647&gt;='Control Room'!$A$15,$A647&lt;'Control Room'!$A$15+'Control Room'!$B$15,'Process'!BP4=1),1+('Control Room'!$C$15-1)*EXP(-0.5*(($A647-'Control Room'!$A$15-('Control Room'!$B$15-1)/2)/MAX(0.5,'Control Room'!$B$15/4))^2),1)*IF(AND($A647&gt;='Control Room'!$A$16,$A647&lt;'Control Room'!$A$16+'Control Room'!$B$16,'Process'!BP5=1),1+('Control Room'!$C$16-1)*EXP(-0.5*(($A647-'Control Room'!$A$16-('Control Room'!$B$16-1)/2)/MAX(0.5,'Control Room'!$B$16/4))^2),1)</x:f>
        <x:v>1</x:v>
      </x:c>
      <x:c r="AF647" s="9" t="n">
        <x:f>MOD(AG646*16807,2147483647)</x:f>
        <x:v>47244139</x:v>
      </x:c>
      <x:c r="AG647" s="9" t="n">
        <x:f>MOD(AF647*16807,2147483647)</x:f>
        <x:v>1610778430</x:v>
      </x:c>
      <x:c r="AH647" s="17" t="n">
        <x:f>IF('Control Room'!$B$5="Normal",'Control Room'!$B$7+'Control Room'!$D$7*SQRT(-2*LN(MAX(0.000000000001,AF647/2147483647)))*COS(2*PI()*AG647/2147483647),'Control Room'!$B$8+('Control Room'!$D$8-'Control Room'!$B$8)*AF647/2147483647)</x:f>
        <x:v>1000.1205484379193</x:v>
      </x:c>
      <x:c r="AI647" s="17" t="n">
        <x:f>IF('Control Room'!$B$5="Normal",'Control Room'!$B$7,('Control Room'!$B$8+'Control Room'!$D$8)/2)+'Control Room'!$B$9*(AI646-IF('Control Room'!$B$5="Normal",'Control Room'!$B$7,('Control Room'!$B$8+'Control Room'!$D$8)/2))+SQRT(1-'Control Room'!$B$9^2)*(AH647-IF('Control Room'!$B$5="Normal",'Control Room'!$B$7,('Control Room'!$B$8+'Control Room'!$D$8)/2))</x:f>
        <x:v>864.4036256302627</x:v>
      </x:c>
      <x:c r="AJ647" s="17" t="n">
        <x:f>IF(AND($A647&gt;='Control Room'!$A$13,$A647&lt;'Control Room'!$A$13+'Control Room'!$B$13,'Process'!BQ2=1),1+('Control Room'!$C$13-1)*EXP(-0.5*(($A647-'Control Room'!$A$13-('Control Room'!$B$13-1)/2)/MAX(0.5,'Control Room'!$B$13/4))^2),1)*IF(AND($A647&gt;='Control Room'!$A$14,$A647&lt;'Control Room'!$A$14+'Control Room'!$B$14,'Process'!BQ3=1),1+('Control Room'!$C$14-1)*EXP(-0.5*(($A647-'Control Room'!$A$14-('Control Room'!$B$14-1)/2)/MAX(0.5,'Control Room'!$B$14/4))^2),1)*IF(AND($A647&gt;='Control Room'!$A$15,$A647&lt;'Control Room'!$A$15+'Control Room'!$B$15,'Process'!BQ4=1),1+('Control Room'!$C$15-1)*EXP(-0.5*(($A647-'Control Room'!$A$15-('Control Room'!$B$15-1)/2)/MAX(0.5,'Control Room'!$B$15/4))^2),1)*IF(AND($A647&gt;='Control Room'!$A$16,$A647&lt;'Control Room'!$A$16+'Control Room'!$B$16,'Process'!BQ5=1),1+('Control Room'!$C$16-1)*EXP(-0.5*(($A647-'Control Room'!$A$16-('Control Room'!$B$16-1)/2)/MAX(0.5,'Control Room'!$B$16/4))^2),1)</x:f>
        <x:v>1</x:v>
      </x:c>
      <x:c r="AK647" s="9" t="n">
        <x:f>MOD(AL646*16807,2147483647)</x:f>
        <x:v>1822144268</x:v>
      </x:c>
      <x:c r="AL647" s="9" t="n">
        <x:f>MOD(AK647*16807,2147483647)</x:f>
        <x:v>1661906056</x:v>
      </x:c>
      <x:c r="AM647" s="17" t="n">
        <x:f>IF('Control Room'!$B$5="Normal",'Control Room'!$B$7+'Control Room'!$D$7*SQRT(-2*LN(MAX(0.000000000001,AK647/2147483647)))*COS(2*PI()*AL647/2147483647),'Control Room'!$B$8+('Control Room'!$D$8-'Control Room'!$B$8)*AK647/2147483647)</x:f>
        <x:v>1007.7131694940069</x:v>
      </x:c>
      <x:c r="AN647" s="17" t="n">
        <x:f>IF('Control Room'!$B$5="Normal",'Control Room'!$B$7,('Control Room'!$B$8+'Control Room'!$D$8)/2)+'Control Room'!$B$9*(AN646-IF('Control Room'!$B$5="Normal",'Control Room'!$B$7,('Control Room'!$B$8+'Control Room'!$D$8)/2))+SQRT(1-'Control Room'!$B$9^2)*(AM647-IF('Control Room'!$B$5="Normal",'Control Room'!$B$7,('Control Room'!$B$8+'Control Room'!$D$8)/2))</x:f>
        <x:v>831.0864172415857</x:v>
      </x:c>
      <x:c r="AO647" s="17" t="n">
        <x:f>IF(AND($A647&gt;='Control Room'!$A$13,$A647&lt;'Control Room'!$A$13+'Control Room'!$B$13,'Process'!BR2=1),1+('Control Room'!$C$13-1)*EXP(-0.5*(($A647-'Control Room'!$A$13-('Control Room'!$B$13-1)/2)/MAX(0.5,'Control Room'!$B$13/4))^2),1)*IF(AND($A647&gt;='Control Room'!$A$14,$A647&lt;'Control Room'!$A$14+'Control Room'!$B$14,'Process'!BR3=1),1+('Control Room'!$C$14-1)*EXP(-0.5*(($A647-'Control Room'!$A$14-('Control Room'!$B$14-1)/2)/MAX(0.5,'Control Room'!$B$14/4))^2),1)*IF(AND($A647&gt;='Control Room'!$A$15,$A647&lt;'Control Room'!$A$15+'Control Room'!$B$15,'Process'!BR4=1),1+('Control Room'!$C$15-1)*EXP(-0.5*(($A647-'Control Room'!$A$15-('Control Room'!$B$15-1)/2)/MAX(0.5,'Control Room'!$B$15/4))^2),1)*IF(AND($A647&gt;='Control Room'!$A$16,$A647&lt;'Control Room'!$A$16+'Control Room'!$B$16,'Process'!BR5=1),1+('Control Room'!$C$16-1)*EXP(-0.5*(($A647-'Control Room'!$A$16-('Control Room'!$B$16-1)/2)/MAX(0.5,'Control Room'!$B$16/4))^2),1)</x:f>
        <x:v>1</x:v>
      </x:c>
      <x:c r="AP647" s="9" t="n">
        <x:f>MOD(AQ646*16807,2147483647)</x:f>
        <x:v>1449560750</x:v>
      </x:c>
      <x:c r="AQ647" s="9" t="n">
        <x:f>MOD(AP647*16807,2147483647)</x:f>
        <x:v>1713033682</x:v>
      </x:c>
      <x:c r="AR647" s="17" t="n">
        <x:f>IF('Control Room'!$B$5="Normal",'Control Room'!$B$7+'Control Room'!$D$7*SQRT(-2*LN(MAX(0.000000000001,AP647/2147483647)))*COS(2*PI()*AQ647/2147483647),'Control Room'!$B$8+('Control Room'!$D$8-'Control Room'!$B$8)*AP647/2147483647)</x:f>
        <x:v>1023.5555383335524</x:v>
      </x:c>
      <x:c r="AS647" s="17" t="n">
        <x:f>IF('Control Room'!$B$5="Normal",'Control Room'!$B$7,('Control Room'!$B$8+'Control Room'!$D$8)/2)+'Control Room'!$B$9*(AS646-IF('Control Room'!$B$5="Normal",'Control Room'!$B$7,('Control Room'!$B$8+'Control Room'!$D$8)/2))+SQRT(1-'Control Room'!$B$9^2)*(AR647-IF('Control Room'!$B$5="Normal",'Control Room'!$B$7,('Control Room'!$B$8+'Control Room'!$D$8)/2))</x:f>
        <x:v>943.9884504694696</x:v>
      </x:c>
      <x:c r="AT647" s="17" t="n">
        <x:f>IF(AND($A647&gt;='Control Room'!$A$13,$A647&lt;'Control Room'!$A$13+'Control Room'!$B$13,'Process'!BS2=1),1+('Control Room'!$C$13-1)*EXP(-0.5*(($A647-'Control Room'!$A$13-('Control Room'!$B$13-1)/2)/MAX(0.5,'Control Room'!$B$13/4))^2),1)*IF(AND($A647&gt;='Control Room'!$A$14,$A647&lt;'Control Room'!$A$14+'Control Room'!$B$14,'Process'!BS3=1),1+('Control Room'!$C$14-1)*EXP(-0.5*(($A647-'Control Room'!$A$14-('Control Room'!$B$14-1)/2)/MAX(0.5,'Control Room'!$B$14/4))^2),1)*IF(AND($A647&gt;='Control Room'!$A$15,$A647&lt;'Control Room'!$A$15+'Control Room'!$B$15,'Process'!BS4=1),1+('Control Room'!$C$15-1)*EXP(-0.5*(($A647-'Control Room'!$A$15-('Control Room'!$B$15-1)/2)/MAX(0.5,'Control Room'!$B$15/4))^2),1)*IF(AND($A647&gt;='Control Room'!$A$16,$A647&lt;'Control Room'!$A$16+'Control Room'!$B$16,'Process'!BS5=1),1+('Control Room'!$C$16-1)*EXP(-0.5*(($A647-'Control Room'!$A$16-('Control Room'!$B$16-1)/2)/MAX(0.5,'Control Room'!$B$16/4))^2),1)</x:f>
        <x:v>1</x:v>
      </x:c>
      <x:c r="AU647" s="9" t="n">
        <x:f>MOD(AV646*16807,2147483647)</x:f>
        <x:v>1076977232</x:v>
      </x:c>
      <x:c r="AV647" s="9" t="n">
        <x:f>MOD(AU647*16807,2147483647)</x:f>
        <x:v>1764161308</x:v>
      </x:c>
      <x:c r="AW647" s="17" t="n">
        <x:f>IF('Control Room'!$B$5="Normal",'Control Room'!$B$7+'Control Room'!$D$7*SQRT(-2*LN(MAX(0.000000000001,AU647/2147483647)))*COS(2*PI()*AV647/2147483647),'Control Room'!$B$8+('Control Room'!$D$8-'Control Room'!$B$8)*AU647/2147483647)</x:f>
        <x:v>1045.9211459907237</x:v>
      </x:c>
      <x:c r="AX647" s="17" t="n">
        <x:f>IF('Control Room'!$B$5="Normal",'Control Room'!$B$7,('Control Room'!$B$8+'Control Room'!$D$8)/2)+'Control Room'!$B$9*(AX646-IF('Control Room'!$B$5="Normal",'Control Room'!$B$7,('Control Room'!$B$8+'Control Room'!$D$8)/2))+SQRT(1-'Control Room'!$B$9^2)*(AW647-IF('Control Room'!$B$5="Normal",'Control Room'!$B$7,('Control Room'!$B$8+'Control Room'!$D$8)/2))</x:f>
        <x:v>850.8935800231139</x:v>
      </x:c>
      <x:c r="AY647" s="17" t="n">
        <x:f>IF(AND($A647&gt;='Control Room'!$A$13,$A647&lt;'Control Room'!$A$13+'Control Room'!$B$13,'Process'!BT2=1),1+('Control Room'!$C$13-1)*EXP(-0.5*(($A647-'Control Room'!$A$13-('Control Room'!$B$13-1)/2)/MAX(0.5,'Control Room'!$B$13/4))^2),1)*IF(AND($A647&gt;='Control Room'!$A$14,$A647&lt;'Control Room'!$A$14+'Control Room'!$B$14,'Process'!BT3=1),1+('Control Room'!$C$14-1)*EXP(-0.5*(($A647-'Control Room'!$A$14-('Control Room'!$B$14-1)/2)/MAX(0.5,'Control Room'!$B$14/4))^2),1)*IF(AND($A647&gt;='Control Room'!$A$15,$A647&lt;'Control Room'!$A$15+'Control Room'!$B$15,'Process'!BT4=1),1+('Control Room'!$C$15-1)*EXP(-0.5*(($A647-'Control Room'!$A$15-('Control Room'!$B$15-1)/2)/MAX(0.5,'Control Room'!$B$15/4))^2),1)*IF(AND($A647&gt;='Control Room'!$A$16,$A647&lt;'Control Room'!$A$16+'Control Room'!$B$16,'Process'!BT5=1),1+('Control Room'!$C$16-1)*EXP(-0.5*(($A647-'Control Room'!$A$16-('Control Room'!$B$16-1)/2)/MAX(0.5,'Control Room'!$B$16/4))^2),1)</x:f>
        <x:v>1</x:v>
      </x:c>
      <x:c r="AZ647" s="9" t="n">
        <x:f>MOD(BA646*16807,2147483647)</x:f>
        <x:v>704393714</x:v>
      </x:c>
      <x:c r="BA647" s="9" t="n">
        <x:f>MOD(AZ647*16807,2147483647)</x:f>
        <x:v>1815288934</x:v>
      </x:c>
      <x:c r="BB647" s="17" t="n">
        <x:f>IF('Control Room'!$B$5="Normal",'Control Room'!$B$7+'Control Room'!$D$7*SQRT(-2*LN(MAX(0.000000000001,AZ647/2147483647)))*COS(2*PI()*BA647/2147483647),'Control Room'!$B$8+('Control Room'!$D$8-'Control Room'!$B$8)*AZ647/2147483647)</x:f>
        <x:v>1075.7497740916108</x:v>
      </x:c>
      <x:c r="BC647" s="17" t="n">
        <x:f>IF('Control Room'!$B$5="Normal",'Control Room'!$B$7,('Control Room'!$B$8+'Control Room'!$D$8)/2)+'Control Room'!$B$9*(BC646-IF('Control Room'!$B$5="Normal",'Control Room'!$B$7,('Control Room'!$B$8+'Control Room'!$D$8)/2))+SQRT(1-'Control Room'!$B$9^2)*(BB647-IF('Control Room'!$B$5="Normal",'Control Room'!$B$7,('Control Room'!$B$8+'Control Room'!$D$8)/2))</x:f>
        <x:v>826.100636243001</x:v>
      </x:c>
      <x:c r="BD647" s="17" t="n">
        <x:f>IF(AND($A647&gt;='Control Room'!$A$13,$A647&lt;'Control Room'!$A$13+'Control Room'!$B$13,'Process'!BU2=1),1+('Control Room'!$C$13-1)*EXP(-0.5*(($A647-'Control Room'!$A$13-('Control Room'!$B$13-1)/2)/MAX(0.5,'Control Room'!$B$13/4))^2),1)*IF(AND($A647&gt;='Control Room'!$A$14,$A647&lt;'Control Room'!$A$14+'Control Room'!$B$14,'Process'!BU3=1),1+('Control Room'!$C$14-1)*EXP(-0.5*(($A647-'Control Room'!$A$14-('Control Room'!$B$14-1)/2)/MAX(0.5,'Control Room'!$B$14/4))^2),1)*IF(AND($A647&gt;='Control Room'!$A$15,$A647&lt;'Control Room'!$A$15+'Control Room'!$B$15,'Process'!BU4=1),1+('Control Room'!$C$15-1)*EXP(-0.5*(($A647-'Control Room'!$A$15-('Control Room'!$B$15-1)/2)/MAX(0.5,'Control Room'!$B$15/4))^2),1)*IF(AND($A647&gt;='Control Room'!$A$16,$A647&lt;'Control Room'!$A$16+'Control Room'!$B$16,'Process'!BU5=1),1+('Control Room'!$C$16-1)*EXP(-0.5*(($A647-'Control Room'!$A$16-('Control Room'!$B$16-1)/2)/MAX(0.5,'Control Room'!$B$16/4))^2),1)</x:f>
        <x:v>1</x:v>
      </x:c>
      <x:c r="BE647" s="9" t="n">
        <x:f>MOD(BF646*16807,2147483647)</x:f>
        <x:v>331810196</x:v>
      </x:c>
      <x:c r="BF647" s="9" t="n">
        <x:f>MOD(BE647*16807,2147483647)</x:f>
        <x:v>1866416560</x:v>
      </x:c>
      <x:c r="BG647" s="17" t="n">
        <x:f>IF('Control Room'!$B$5="Normal",'Control Room'!$B$7+'Control Room'!$D$7*SQRT(-2*LN(MAX(0.000000000001,BE647/2147483647)))*COS(2*PI()*BF647/2147483647),'Control Room'!$B$8+('Control Room'!$D$8-'Control Room'!$B$8)*BE647/2147483647)</x:f>
        <x:v>1118.3620440801515</x:v>
      </x:c>
      <x:c r="BH647" s="17" t="n">
        <x:f>IF('Control Room'!$B$5="Normal",'Control Room'!$B$7,('Control Room'!$B$8+'Control Room'!$D$8)/2)+'Control Room'!$B$9*(BH646-IF('Control Room'!$B$5="Normal",'Control Room'!$B$7,('Control Room'!$B$8+'Control Room'!$D$8)/2))+SQRT(1-'Control Room'!$B$9^2)*(BG647-IF('Control Room'!$B$5="Normal",'Control Room'!$B$7,('Control Room'!$B$8+'Control Room'!$D$8)/2))</x:f>
        <x:v>1063.0722831686526</x:v>
      </x:c>
      <x:c r="BI647" s="17" t="n">
        <x:f>IF(AND($A647&gt;='Control Room'!$A$13,$A647&lt;'Control Room'!$A$13+'Control Room'!$B$13,'Process'!BV2=1),1+('Control Room'!$C$13-1)*EXP(-0.5*(($A647-'Control Room'!$A$13-('Control Room'!$B$13-1)/2)/MAX(0.5,'Control Room'!$B$13/4))^2),1)*IF(AND($A647&gt;='Control Room'!$A$14,$A647&lt;'Control Room'!$A$14+'Control Room'!$B$14,'Process'!BV3=1),1+('Control Room'!$C$14-1)*EXP(-0.5*(($A647-'Control Room'!$A$14-('Control Room'!$B$14-1)/2)/MAX(0.5,'Control Room'!$B$14/4))^2),1)*IF(AND($A647&gt;='Control Room'!$A$15,$A647&lt;'Control Room'!$A$15+'Control Room'!$B$15,'Process'!BV4=1),1+('Control Room'!$C$15-1)*EXP(-0.5*(($A647-'Control Room'!$A$15-('Control Room'!$B$15-1)/2)/MAX(0.5,'Control Room'!$B$15/4))^2),1)*IF(AND($A647&gt;='Control Room'!$A$16,$A647&lt;'Control Room'!$A$16+'Control Room'!$B$16,'Process'!BV5=1),1+('Control Room'!$C$16-1)*EXP(-0.5*(($A647-'Control Room'!$A$16-('Control Room'!$B$16-1)/2)/MAX(0.5,'Control Room'!$B$16/4))^2),1)</x:f>
        <x:v>1</x:v>
      </x:c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Z647" t="str">
        <x:f>IF('Data'!A647="","",TEXT('Data'!A647,"mm-dd"))</x:f>
      </x:c>
    </x:row>
    <x:row r="648" ht="21" customHeight="1">
      <x:c r="A648" s="15" t="n">
        <x:f>'Control Room'!$B$1+646</x:f>
        <x:v>73637</x:v>
      </x:c>
      <x:c r="B648" s="9" t="n">
        <x:f>MOD(C647*16807,2147483647)</x:f>
        <x:v>1470394283</x:v>
      </x:c>
      <x:c r="C648" s="9" t="n">
        <x:f>MOD(B648*16807,2147483647)</x:f>
        <x:v>1822388352</x:v>
      </x:c>
      <x:c r="D648" s="17" t="n">
        <x:f>IF('Control Room'!$B$5="Normal",'Control Room'!$B$7+'Control Room'!$D$7*SQRT(-2*LN(MAX(0.000000000001,B648/2147483647)))*COS(2*PI()*C648/2147483647),'Control Room'!$B$8+('Control Room'!$D$8-'Control Room'!$B$8)*B648/2147483647)</x:f>
        <x:v>1045.4898722367443</x:v>
      </x:c>
      <x:c r="E648" s="17" t="n">
        <x:f>IF('Control Room'!$B$5="Normal",'Control Room'!$B$7,('Control Room'!$B$8+'Control Room'!$D$8)/2)+'Control Room'!$B$9*(E647-IF('Control Room'!$B$5="Normal",'Control Room'!$B$7,('Control Room'!$B$8+'Control Room'!$D$8)/2))+SQRT(1-'Control Room'!$B$9^2)*(D648-IF('Control Room'!$B$5="Normal",'Control Room'!$B$7,('Control Room'!$B$8+'Control Room'!$D$8)/2))</x:f>
        <x:v>960.0356390282897</x:v>
      </x:c>
      <x:c r="F648" s="17" t="n">
        <x:f>IF(AND($A648&gt;='Control Room'!$A$13,$A648&lt;'Control Room'!$A$13+'Control Room'!$B$13,'Process'!BK2=1),1+('Control Room'!$C$13-1)*EXP(-0.5*(($A648-'Control Room'!$A$13-('Control Room'!$B$13-1)/2)/MAX(0.5,'Control Room'!$B$13/4))^2),1)*IF(AND($A648&gt;='Control Room'!$A$14,$A648&lt;'Control Room'!$A$14+'Control Room'!$B$14,'Process'!BK3=1),1+('Control Room'!$C$14-1)*EXP(-0.5*(($A648-'Control Room'!$A$14-('Control Room'!$B$14-1)/2)/MAX(0.5,'Control Room'!$B$14/4))^2),1)*IF(AND($A648&gt;='Control Room'!$A$15,$A648&lt;'Control Room'!$A$15+'Control Room'!$B$15,'Process'!BK4=1),1+('Control Room'!$C$15-1)*EXP(-0.5*(($A648-'Control Room'!$A$15-('Control Room'!$B$15-1)/2)/MAX(0.5,'Control Room'!$B$15/4))^2),1)*IF(AND($A648&gt;='Control Room'!$A$16,$A648&lt;'Control Room'!$A$16+'Control Room'!$B$16,'Process'!BK5=1),1+('Control Room'!$C$16-1)*EXP(-0.5*(($A648-'Control Room'!$A$16-('Control Room'!$B$16-1)/2)/MAX(0.5,'Control Room'!$B$16/4))^2),1)</x:f>
        <x:v>1</x:v>
      </x:c>
      <x:c r="G648" s="9" t="n">
        <x:f>MOD(H647*16807,2147483647)</x:f>
        <x:v>1778945665</x:v>
      </x:c>
      <x:c r="H648" s="9" t="n">
        <x:f>MOD(G648*16807,2147483647)</x:f>
        <x:v>1472458121</x:v>
      </x:c>
      <x:c r="I648" s="17" t="n">
        <x:f>IF('Control Room'!$B$5="Normal",'Control Room'!$B$7+'Control Room'!$D$7*SQRT(-2*LN(MAX(0.000000000001,G648/2147483647)))*COS(2*PI()*H648/2147483647),'Control Room'!$B$8+('Control Room'!$D$8-'Control Room'!$B$8)*G648/2147483647)</x:f>
        <x:v>978.2790674374837</x:v>
      </x:c>
      <x:c r="J648" s="17" t="n">
        <x:f>IF('Control Room'!$B$5="Normal",'Control Room'!$B$7,('Control Room'!$B$8+'Control Room'!$D$8)/2)+'Control Room'!$B$9*(J647-IF('Control Room'!$B$5="Normal",'Control Room'!$B$7,('Control Room'!$B$8+'Control Room'!$D$8)/2))+SQRT(1-'Control Room'!$B$9^2)*(I648-IF('Control Room'!$B$5="Normal",'Control Room'!$B$7,('Control Room'!$B$8+'Control Room'!$D$8)/2))</x:f>
        <x:v>993.9041346606119</x:v>
      </x:c>
      <x:c r="K648" s="17" t="n">
        <x:f>IF(AND($A648&gt;='Control Room'!$A$13,$A648&lt;'Control Room'!$A$13+'Control Room'!$B$13,'Process'!BL2=1),1+('Control Room'!$C$13-1)*EXP(-0.5*(($A648-'Control Room'!$A$13-('Control Room'!$B$13-1)/2)/MAX(0.5,'Control Room'!$B$13/4))^2),1)*IF(AND($A648&gt;='Control Room'!$A$14,$A648&lt;'Control Room'!$A$14+'Control Room'!$B$14,'Process'!BL3=1),1+('Control Room'!$C$14-1)*EXP(-0.5*(($A648-'Control Room'!$A$14-('Control Room'!$B$14-1)/2)/MAX(0.5,'Control Room'!$B$14/4))^2),1)*IF(AND($A648&gt;='Control Room'!$A$15,$A648&lt;'Control Room'!$A$15+'Control Room'!$B$15,'Process'!BL4=1),1+('Control Room'!$C$15-1)*EXP(-0.5*(($A648-'Control Room'!$A$15-('Control Room'!$B$15-1)/2)/MAX(0.5,'Control Room'!$B$15/4))^2),1)*IF(AND($A648&gt;='Control Room'!$A$16,$A648&lt;'Control Room'!$A$16+'Control Room'!$B$16,'Process'!BL5=1),1+('Control Room'!$C$16-1)*EXP(-0.5*(($A648-'Control Room'!$A$16-('Control Room'!$B$16-1)/2)/MAX(0.5,'Control Room'!$B$16/4))^2),1)</x:f>
        <x:v>1</x:v>
      </x:c>
      <x:c r="L648" s="9" t="n">
        <x:f>MOD(M647*16807,2147483647)</x:f>
        <x:v>2087497047</x:v>
      </x:c>
      <x:c r="M648" s="9" t="n">
        <x:f>MOD(L648*16807,2147483647)</x:f>
        <x:v>1122527890</x:v>
      </x:c>
      <x:c r="N648" s="17" t="n">
        <x:f>IF('Control Room'!$B$5="Normal",'Control Room'!$B$7+'Control Room'!$D$7*SQRT(-2*LN(MAX(0.000000000001,L648/2147483647)))*COS(2*PI()*M648/2147483647),'Control Room'!$B$8+('Control Room'!$D$8-'Control Room'!$B$8)*L648/2147483647)</x:f>
        <x:v>978.7944756923165</x:v>
      </x:c>
      <x:c r="O648" s="17" t="n">
        <x:f>IF('Control Room'!$B$5="Normal",'Control Room'!$B$7,('Control Room'!$B$8+'Control Room'!$D$8)/2)+'Control Room'!$B$9*(O647-IF('Control Room'!$B$5="Normal",'Control Room'!$B$7,('Control Room'!$B$8+'Control Room'!$D$8)/2))+SQRT(1-'Control Room'!$B$9^2)*(N648-IF('Control Room'!$B$5="Normal",'Control Room'!$B$7,('Control Room'!$B$8+'Control Room'!$D$8)/2))</x:f>
        <x:v>969.3275029826364</x:v>
      </x:c>
      <x:c r="P648" s="17" t="n">
        <x:f>IF(AND($A648&gt;='Control Room'!$A$13,$A648&lt;'Control Room'!$A$13+'Control Room'!$B$13,'Process'!BM2=1),1+('Control Room'!$C$13-1)*EXP(-0.5*(($A648-'Control Room'!$A$13-('Control Room'!$B$13-1)/2)/MAX(0.5,'Control Room'!$B$13/4))^2),1)*IF(AND($A648&gt;='Control Room'!$A$14,$A648&lt;'Control Room'!$A$14+'Control Room'!$B$14,'Process'!BM3=1),1+('Control Room'!$C$14-1)*EXP(-0.5*(($A648-'Control Room'!$A$14-('Control Room'!$B$14-1)/2)/MAX(0.5,'Control Room'!$B$14/4))^2),1)*IF(AND($A648&gt;='Control Room'!$A$15,$A648&lt;'Control Room'!$A$15+'Control Room'!$B$15,'Process'!BM4=1),1+('Control Room'!$C$15-1)*EXP(-0.5*(($A648-'Control Room'!$A$15-('Control Room'!$B$15-1)/2)/MAX(0.5,'Control Room'!$B$15/4))^2),1)*IF(AND($A648&gt;='Control Room'!$A$16,$A648&lt;'Control Room'!$A$16+'Control Room'!$B$16,'Process'!BM5=1),1+('Control Room'!$C$16-1)*EXP(-0.5*(($A648-'Control Room'!$A$16-('Control Room'!$B$16-1)/2)/MAX(0.5,'Control Room'!$B$16/4))^2),1)</x:f>
        <x:v>1</x:v>
      </x:c>
      <x:c r="Q648" s="9" t="n">
        <x:f>MOD(R647*16807,2147483647)</x:f>
        <x:v>248564782</x:v>
      </x:c>
      <x:c r="R648" s="9" t="n">
        <x:f>MOD(Q648*16807,2147483647)</x:f>
        <x:v>772597659</x:v>
      </x:c>
      <x:c r="S648" s="17" t="n">
        <x:f>IF('Control Room'!$B$5="Normal",'Control Room'!$B$7+'Control Room'!$D$7*SQRT(-2*LN(MAX(0.000000000001,Q648/2147483647)))*COS(2*PI()*R648/2147483647),'Control Room'!$B$8+('Control Room'!$D$8-'Control Room'!$B$8)*Q648/2147483647)</x:f>
        <x:v>881.0726566210323</x:v>
      </x:c>
      <x:c r="T648" s="17" t="n">
        <x:f>IF('Control Room'!$B$5="Normal",'Control Room'!$B$7,('Control Room'!$B$8+'Control Room'!$D$8)/2)+'Control Room'!$B$9*(T647-IF('Control Room'!$B$5="Normal",'Control Room'!$B$7,('Control Room'!$B$8+'Control Room'!$D$8)/2))+SQRT(1-'Control Room'!$B$9^2)*(S648-IF('Control Room'!$B$5="Normal",'Control Room'!$B$7,('Control Room'!$B$8+'Control Room'!$D$8)/2))</x:f>
        <x:v>815.8398607169779</x:v>
      </x:c>
      <x:c r="U648" s="17" t="n">
        <x:f>IF(AND($A648&gt;='Control Room'!$A$13,$A648&lt;'Control Room'!$A$13+'Control Room'!$B$13,'Process'!BN2=1),1+('Control Room'!$C$13-1)*EXP(-0.5*(($A648-'Control Room'!$A$13-('Control Room'!$B$13-1)/2)/MAX(0.5,'Control Room'!$B$13/4))^2),1)*IF(AND($A648&gt;='Control Room'!$A$14,$A648&lt;'Control Room'!$A$14+'Control Room'!$B$14,'Process'!BN3=1),1+('Control Room'!$C$14-1)*EXP(-0.5*(($A648-'Control Room'!$A$14-('Control Room'!$B$14-1)/2)/MAX(0.5,'Control Room'!$B$14/4))^2),1)*IF(AND($A648&gt;='Control Room'!$A$15,$A648&lt;'Control Room'!$A$15+'Control Room'!$B$15,'Process'!BN4=1),1+('Control Room'!$C$15-1)*EXP(-0.5*(($A648-'Control Room'!$A$15-('Control Room'!$B$15-1)/2)/MAX(0.5,'Control Room'!$B$15/4))^2),1)*IF(AND($A648&gt;='Control Room'!$A$16,$A648&lt;'Control Room'!$A$16+'Control Room'!$B$16,'Process'!BN5=1),1+('Control Room'!$C$16-1)*EXP(-0.5*(($A648-'Control Room'!$A$16-('Control Room'!$B$16-1)/2)/MAX(0.5,'Control Room'!$B$16/4))^2),1)</x:f>
        <x:v>1</x:v>
      </x:c>
      <x:c r="V648" s="9" t="n">
        <x:f>MOD(W647*16807,2147483647)</x:f>
        <x:v>557116164</x:v>
      </x:c>
      <x:c r="W648" s="9" t="n">
        <x:f>MOD(V648*16807,2147483647)</x:f>
        <x:v>422667428</x:v>
      </x:c>
      <x:c r="X648" s="17" t="n">
        <x:f>IF('Control Room'!$B$5="Normal",'Control Room'!$B$7+'Control Room'!$D$7*SQRT(-2*LN(MAX(0.000000000001,V648/2147483647)))*COS(2*PI()*W648/2147483647),'Control Room'!$B$8+('Control Room'!$D$8-'Control Room'!$B$8)*V648/2147483647)</x:f>
        <x:v>1048.4870584069959</x:v>
      </x:c>
      <x:c r="Y648" s="17" t="n">
        <x:f>IF('Control Room'!$B$5="Normal",'Control Room'!$B$7,('Control Room'!$B$8+'Control Room'!$D$8)/2)+'Control Room'!$B$9*(Y647-IF('Control Room'!$B$5="Normal",'Control Room'!$B$7,('Control Room'!$B$8+'Control Room'!$D$8)/2))+SQRT(1-'Control Room'!$B$9^2)*(X648-IF('Control Room'!$B$5="Normal",'Control Room'!$B$7,('Control Room'!$B$8+'Control Room'!$D$8)/2))</x:f>
        <x:v>951.8530246682334</x:v>
      </x:c>
      <x:c r="Z648" s="17" t="n">
        <x:f>IF(AND($A648&gt;='Control Room'!$A$13,$A648&lt;'Control Room'!$A$13+'Control Room'!$B$13,'Process'!BO2=1),1+('Control Room'!$C$13-1)*EXP(-0.5*(($A648-'Control Room'!$A$13-('Control Room'!$B$13-1)/2)/MAX(0.5,'Control Room'!$B$13/4))^2),1)*IF(AND($A648&gt;='Control Room'!$A$14,$A648&lt;'Control Room'!$A$14+'Control Room'!$B$14,'Process'!BO3=1),1+('Control Room'!$C$14-1)*EXP(-0.5*(($A648-'Control Room'!$A$14-('Control Room'!$B$14-1)/2)/MAX(0.5,'Control Room'!$B$14/4))^2),1)*IF(AND($A648&gt;='Control Room'!$A$15,$A648&lt;'Control Room'!$A$15+'Control Room'!$B$15,'Process'!BO4=1),1+('Control Room'!$C$15-1)*EXP(-0.5*(($A648-'Control Room'!$A$15-('Control Room'!$B$15-1)/2)/MAX(0.5,'Control Room'!$B$15/4))^2),1)*IF(AND($A648&gt;='Control Room'!$A$16,$A648&lt;'Control Room'!$A$16+'Control Room'!$B$16,'Process'!BO5=1),1+('Control Room'!$C$16-1)*EXP(-0.5*(($A648-'Control Room'!$A$16-('Control Room'!$B$16-1)/2)/MAX(0.5,'Control Room'!$B$16/4))^2),1)</x:f>
        <x:v>1</x:v>
      </x:c>
      <x:c r="AA648" s="9" t="n">
        <x:f>MOD(AB647*16807,2147483647)</x:f>
        <x:v>865667546</x:v>
      </x:c>
      <x:c r="AB648" s="9" t="n">
        <x:f>MOD(AA648*16807,2147483647)</x:f>
        <x:v>72737197</x:v>
      </x:c>
      <x:c r="AC648" s="17" t="n">
        <x:f>IF('Control Room'!$B$5="Normal",'Control Room'!$B$7+'Control Room'!$D$7*SQRT(-2*LN(MAX(0.000000000001,AA648/2147483647)))*COS(2*PI()*AB648/2147483647),'Control Room'!$B$8+('Control Room'!$D$8-'Control Room'!$B$8)*AA648/2147483647)</x:f>
        <x:v>1118.5829351188224</x:v>
      </x:c>
      <x:c r="AD648" s="17" t="n">
        <x:f>IF('Control Room'!$B$5="Normal",'Control Room'!$B$7,('Control Room'!$B$8+'Control Room'!$D$8)/2)+'Control Room'!$B$9*(AD647-IF('Control Room'!$B$5="Normal",'Control Room'!$B$7,('Control Room'!$B$8+'Control Room'!$D$8)/2))+SQRT(1-'Control Room'!$B$9^2)*(AC648-IF('Control Room'!$B$5="Normal",'Control Room'!$B$7,('Control Room'!$B$8+'Control Room'!$D$8)/2))</x:f>
        <x:v>1032.6839874438092</x:v>
      </x:c>
      <x:c r="AE648" s="17" t="n">
        <x:f>IF(AND($A648&gt;='Control Room'!$A$13,$A648&lt;'Control Room'!$A$13+'Control Room'!$B$13,'Process'!BP2=1),1+('Control Room'!$C$13-1)*EXP(-0.5*(($A648-'Control Room'!$A$13-('Control Room'!$B$13-1)/2)/MAX(0.5,'Control Room'!$B$13/4))^2),1)*IF(AND($A648&gt;='Control Room'!$A$14,$A648&lt;'Control Room'!$A$14+'Control Room'!$B$14,'Process'!BP3=1),1+('Control Room'!$C$14-1)*EXP(-0.5*(($A648-'Control Room'!$A$14-('Control Room'!$B$14-1)/2)/MAX(0.5,'Control Room'!$B$14/4))^2),1)*IF(AND($A648&gt;='Control Room'!$A$15,$A648&lt;'Control Room'!$A$15+'Control Room'!$B$15,'Process'!BP4=1),1+('Control Room'!$C$15-1)*EXP(-0.5*(($A648-'Control Room'!$A$15-('Control Room'!$B$15-1)/2)/MAX(0.5,'Control Room'!$B$15/4))^2),1)*IF(AND($A648&gt;='Control Room'!$A$16,$A648&lt;'Control Room'!$A$16+'Control Room'!$B$16,'Process'!BP5=1),1+('Control Room'!$C$16-1)*EXP(-0.5*(($A648-'Control Room'!$A$16-('Control Room'!$B$16-1)/2)/MAX(0.5,'Control Room'!$B$16/4))^2),1)</x:f>
        <x:v>1</x:v>
      </x:c>
      <x:c r="AF648" s="9" t="n">
        <x:f>MOD(AG647*16807,2147483647)</x:f>
        <x:v>1174218928</x:v>
      </x:c>
      <x:c r="AG648" s="9" t="n">
        <x:f>MOD(AF648*16807,2147483647)</x:f>
        <x:v>1870290613</x:v>
      </x:c>
      <x:c r="AH648" s="17" t="n">
        <x:f>IF('Control Room'!$B$5="Normal",'Control Room'!$B$7+'Control Room'!$D$7*SQRT(-2*LN(MAX(0.000000000001,AF648/2147483647)))*COS(2*PI()*AG648/2147483647),'Control Room'!$B$8+('Control Room'!$D$8-'Control Room'!$B$8)*AF648/2147483647)</x:f>
        <x:v>1068.113409547931</x:v>
      </x:c>
      <x:c r="AI648" s="17" t="n">
        <x:f>IF('Control Room'!$B$5="Normal",'Control Room'!$B$7,('Control Room'!$B$8+'Control Room'!$D$8)/2)+'Control Room'!$B$9*(AI647-IF('Control Room'!$B$5="Normal",'Control Room'!$B$7,('Control Room'!$B$8+'Control Room'!$D$8)/2))+SQRT(1-'Control Room'!$B$9^2)*(AH648-IF('Control Room'!$B$5="Normal",'Control Room'!$B$7,('Control Room'!$B$8+'Control Room'!$D$8)/2))</x:f>
        <x:v>936.85880430766</x:v>
      </x:c>
      <x:c r="AJ648" s="17" t="n">
        <x:f>IF(AND($A648&gt;='Control Room'!$A$13,$A648&lt;'Control Room'!$A$13+'Control Room'!$B$13,'Process'!BQ2=1),1+('Control Room'!$C$13-1)*EXP(-0.5*(($A648-'Control Room'!$A$13-('Control Room'!$B$13-1)/2)/MAX(0.5,'Control Room'!$B$13/4))^2),1)*IF(AND($A648&gt;='Control Room'!$A$14,$A648&lt;'Control Room'!$A$14+'Control Room'!$B$14,'Process'!BQ3=1),1+('Control Room'!$C$14-1)*EXP(-0.5*(($A648-'Control Room'!$A$14-('Control Room'!$B$14-1)/2)/MAX(0.5,'Control Room'!$B$14/4))^2),1)*IF(AND($A648&gt;='Control Room'!$A$15,$A648&lt;'Control Room'!$A$15+'Control Room'!$B$15,'Process'!BQ4=1),1+('Control Room'!$C$15-1)*EXP(-0.5*(($A648-'Control Room'!$A$15-('Control Room'!$B$15-1)/2)/MAX(0.5,'Control Room'!$B$15/4))^2),1)*IF(AND($A648&gt;='Control Room'!$A$16,$A648&lt;'Control Room'!$A$16+'Control Room'!$B$16,'Process'!BQ5=1),1+('Control Room'!$C$16-1)*EXP(-0.5*(($A648-'Control Room'!$A$16-('Control Room'!$B$16-1)/2)/MAX(0.5,'Control Room'!$B$16/4))^2),1)</x:f>
        <x:v>1</x:v>
      </x:c>
      <x:c r="AK648" s="9" t="n">
        <x:f>MOD(AL647*16807,2147483647)</x:f>
        <x:v>1482770310</x:v>
      </x:c>
      <x:c r="AL648" s="9" t="n">
        <x:f>MOD(AK648*16807,2147483647)</x:f>
        <x:v>1520360382</x:v>
      </x:c>
      <x:c r="AM648" s="17" t="n">
        <x:f>IF('Control Room'!$B$5="Normal",'Control Room'!$B$7+'Control Room'!$D$7*SQRT(-2*LN(MAX(0.000000000001,AK648/2147483647)))*COS(2*PI()*AL648/2147483647),'Control Room'!$B$8+('Control Room'!$D$8-'Control Room'!$B$8)*AK648/2147483647)</x:f>
        <x:v>979.7822174671601</x:v>
      </x:c>
      <x:c r="AN648" s="17" t="n">
        <x:f>IF('Control Room'!$B$5="Normal",'Control Room'!$B$7,('Control Room'!$B$8+'Control Room'!$D$8)/2)+'Control Room'!$B$9*(AN647-IF('Control Room'!$B$5="Normal",'Control Room'!$B$7,('Control Room'!$B$8+'Control Room'!$D$8)/2))+SQRT(1-'Control Room'!$B$9^2)*(AM648-IF('Control Room'!$B$5="Normal",'Control Room'!$B$7,('Control Room'!$B$8+'Control Room'!$D$8)/2))</x:f>
        <x:v>855.5955313231736</x:v>
      </x:c>
      <x:c r="AO648" s="17" t="n">
        <x:f>IF(AND($A648&gt;='Control Room'!$A$13,$A648&lt;'Control Room'!$A$13+'Control Room'!$B$13,'Process'!BR2=1),1+('Control Room'!$C$13-1)*EXP(-0.5*(($A648-'Control Room'!$A$13-('Control Room'!$B$13-1)/2)/MAX(0.5,'Control Room'!$B$13/4))^2),1)*IF(AND($A648&gt;='Control Room'!$A$14,$A648&lt;'Control Room'!$A$14+'Control Room'!$B$14,'Process'!BR3=1),1+('Control Room'!$C$14-1)*EXP(-0.5*(($A648-'Control Room'!$A$14-('Control Room'!$B$14-1)/2)/MAX(0.5,'Control Room'!$B$14/4))^2),1)*IF(AND($A648&gt;='Control Room'!$A$15,$A648&lt;'Control Room'!$A$15+'Control Room'!$B$15,'Process'!BR4=1),1+('Control Room'!$C$15-1)*EXP(-0.5*(($A648-'Control Room'!$A$15-('Control Room'!$B$15-1)/2)/MAX(0.5,'Control Room'!$B$15/4))^2),1)*IF(AND($A648&gt;='Control Room'!$A$16,$A648&lt;'Control Room'!$A$16+'Control Room'!$B$16,'Process'!BR5=1),1+('Control Room'!$C$16-1)*EXP(-0.5*(($A648-'Control Room'!$A$16-('Control Room'!$B$16-1)/2)/MAX(0.5,'Control Room'!$B$16/4))^2),1)</x:f>
        <x:v>1</x:v>
      </x:c>
      <x:c r="AP648" s="9" t="n">
        <x:f>MOD(AQ647*16807,2147483647)</x:f>
        <x:v>1791321692</x:v>
      </x:c>
      <x:c r="AQ648" s="9" t="n">
        <x:f>MOD(AP648*16807,2147483647)</x:f>
        <x:v>1170430151</x:v>
      </x:c>
      <x:c r="AR648" s="17" t="n">
        <x:f>IF('Control Room'!$B$5="Normal",'Control Room'!$B$7+'Control Room'!$D$7*SQRT(-2*LN(MAX(0.000000000001,AP648/2147483647)))*COS(2*PI()*AQ648/2147483647),'Control Room'!$B$8+('Control Room'!$D$8-'Control Room'!$B$8)*AP648/2147483647)</x:f>
        <x:v>947.953325911672</x:v>
      </x:c>
      <x:c r="AS648" s="17" t="n">
        <x:f>IF('Control Room'!$B$5="Normal",'Control Room'!$B$7,('Control Room'!$B$8+'Control Room'!$D$8)/2)+'Control Room'!$B$9*(AS647-IF('Control Room'!$B$5="Normal",'Control Room'!$B$7,('Control Room'!$B$8+'Control Room'!$D$8)/2))+SQRT(1-'Control Room'!$B$9^2)*(AR648-IF('Control Room'!$B$5="Normal",'Control Room'!$B$7,('Control Room'!$B$8+'Control Room'!$D$8)/2))</x:f>
        <x:v>923.7412489557843</x:v>
      </x:c>
      <x:c r="AT648" s="17" t="n">
        <x:f>IF(AND($A648&gt;='Control Room'!$A$13,$A648&lt;'Control Room'!$A$13+'Control Room'!$B$13,'Process'!BS2=1),1+('Control Room'!$C$13-1)*EXP(-0.5*(($A648-'Control Room'!$A$13-('Control Room'!$B$13-1)/2)/MAX(0.5,'Control Room'!$B$13/4))^2),1)*IF(AND($A648&gt;='Control Room'!$A$14,$A648&lt;'Control Room'!$A$14+'Control Room'!$B$14,'Process'!BS3=1),1+('Control Room'!$C$14-1)*EXP(-0.5*(($A648-'Control Room'!$A$14-('Control Room'!$B$14-1)/2)/MAX(0.5,'Control Room'!$B$14/4))^2),1)*IF(AND($A648&gt;='Control Room'!$A$15,$A648&lt;'Control Room'!$A$15+'Control Room'!$B$15,'Process'!BS4=1),1+('Control Room'!$C$15-1)*EXP(-0.5*(($A648-'Control Room'!$A$15-('Control Room'!$B$15-1)/2)/MAX(0.5,'Control Room'!$B$15/4))^2),1)*IF(AND($A648&gt;='Control Room'!$A$16,$A648&lt;'Control Room'!$A$16+'Control Room'!$B$16,'Process'!BS5=1),1+('Control Room'!$C$16-1)*EXP(-0.5*(($A648-'Control Room'!$A$16-('Control Room'!$B$16-1)/2)/MAX(0.5,'Control Room'!$B$16/4))^2),1)</x:f>
        <x:v>1</x:v>
      </x:c>
      <x:c r="AU648" s="9" t="n">
        <x:f>MOD(AV647*16807,2147483647)</x:f>
        <x:v>2099873074</x:v>
      </x:c>
      <x:c r="AV648" s="9" t="n">
        <x:f>MOD(AU648*16807,2147483647)</x:f>
        <x:v>820499920</x:v>
      </x:c>
      <x:c r="AW648" s="17" t="n">
        <x:f>IF('Control Room'!$B$5="Normal",'Control Room'!$B$7+'Control Room'!$D$7*SQRT(-2*LN(MAX(0.000000000001,AU648/2147483647)))*COS(2*PI()*AV648/2147483647),'Control Room'!$B$8+('Control Room'!$D$8-'Control Room'!$B$8)*AU648/2147483647)</x:f>
        <x:v>985.9385171704713</x:v>
      </x:c>
      <x:c r="AX648" s="17" t="n">
        <x:f>IF('Control Room'!$B$5="Normal",'Control Room'!$B$7,('Control Room'!$B$8+'Control Room'!$D$8)/2)+'Control Room'!$B$9*(AX647-IF('Control Room'!$B$5="Normal",'Control Room'!$B$7,('Control Room'!$B$8+'Control Room'!$D$8)/2))+SQRT(1-'Control Room'!$B$9^2)*(AW648-IF('Control Room'!$B$5="Normal",'Control Room'!$B$7,('Control Room'!$B$8+'Control Room'!$D$8)/2))</x:f>
        <x:v>874.8976045284434</x:v>
      </x:c>
      <x:c r="AY648" s="17" t="n">
        <x:f>IF(AND($A648&gt;='Control Room'!$A$13,$A648&lt;'Control Room'!$A$13+'Control Room'!$B$13,'Process'!BT2=1),1+('Control Room'!$C$13-1)*EXP(-0.5*(($A648-'Control Room'!$A$13-('Control Room'!$B$13-1)/2)/MAX(0.5,'Control Room'!$B$13/4))^2),1)*IF(AND($A648&gt;='Control Room'!$A$14,$A648&lt;'Control Room'!$A$14+'Control Room'!$B$14,'Process'!BT3=1),1+('Control Room'!$C$14-1)*EXP(-0.5*(($A648-'Control Room'!$A$14-('Control Room'!$B$14-1)/2)/MAX(0.5,'Control Room'!$B$14/4))^2),1)*IF(AND($A648&gt;='Control Room'!$A$15,$A648&lt;'Control Room'!$A$15+'Control Room'!$B$15,'Process'!BT4=1),1+('Control Room'!$C$15-1)*EXP(-0.5*(($A648-'Control Room'!$A$15-('Control Room'!$B$15-1)/2)/MAX(0.5,'Control Room'!$B$15/4))^2),1)*IF(AND($A648&gt;='Control Room'!$A$16,$A648&lt;'Control Room'!$A$16+'Control Room'!$B$16,'Process'!BT5=1),1+('Control Room'!$C$16-1)*EXP(-0.5*(($A648-'Control Room'!$A$16-('Control Room'!$B$16-1)/2)/MAX(0.5,'Control Room'!$B$16/4))^2),1)</x:f>
        <x:v>1</x:v>
      </x:c>
      <x:c r="AZ648" s="9" t="n">
        <x:f>MOD(BA647*16807,2147483647)</x:f>
        <x:v>260940809</x:v>
      </x:c>
      <x:c r="BA648" s="9" t="n">
        <x:f>MOD(AZ648*16807,2147483647)</x:f>
        <x:v>470569689</x:v>
      </x:c>
      <x:c r="BB648" s="17" t="n">
        <x:f>IF('Control Room'!$B$5="Normal",'Control Room'!$B$7+'Control Room'!$D$7*SQRT(-2*LN(MAX(0.000000000001,AZ648/2147483647)))*COS(2*PI()*BA648/2147483647),'Control Room'!$B$8+('Control Room'!$D$8-'Control Room'!$B$8)*AZ648/2147483647)</x:f>
        <x:v>1035.6215026983505</x:v>
      </x:c>
      <x:c r="BC648" s="17" t="n">
        <x:f>IF('Control Room'!$B$5="Normal",'Control Room'!$B$7,('Control Room'!$B$8+'Control Room'!$D$8)/2)+'Control Room'!$B$9*(BC647-IF('Control Room'!$B$5="Normal",'Control Room'!$B$7,('Control Room'!$B$8+'Control Room'!$D$8)/2))+SQRT(1-'Control Room'!$B$9^2)*(BB648-IF('Control Room'!$B$5="Normal",'Control Room'!$B$7,('Control Room'!$B$8+'Control Room'!$D$8)/2))</x:f>
        <x:v>886.6497029120204</x:v>
      </x:c>
      <x:c r="BD648" s="17" t="n">
        <x:f>IF(AND($A648&gt;='Control Room'!$A$13,$A648&lt;'Control Room'!$A$13+'Control Room'!$B$13,'Process'!BU2=1),1+('Control Room'!$C$13-1)*EXP(-0.5*(($A648-'Control Room'!$A$13-('Control Room'!$B$13-1)/2)/MAX(0.5,'Control Room'!$B$13/4))^2),1)*IF(AND($A648&gt;='Control Room'!$A$14,$A648&lt;'Control Room'!$A$14+'Control Room'!$B$14,'Process'!BU3=1),1+('Control Room'!$C$14-1)*EXP(-0.5*(($A648-'Control Room'!$A$14-('Control Room'!$B$14-1)/2)/MAX(0.5,'Control Room'!$B$14/4))^2),1)*IF(AND($A648&gt;='Control Room'!$A$15,$A648&lt;'Control Room'!$A$15+'Control Room'!$B$15,'Process'!BU4=1),1+('Control Room'!$C$15-1)*EXP(-0.5*(($A648-'Control Room'!$A$15-('Control Room'!$B$15-1)/2)/MAX(0.5,'Control Room'!$B$15/4))^2),1)*IF(AND($A648&gt;='Control Room'!$A$16,$A648&lt;'Control Room'!$A$16+'Control Room'!$B$16,'Process'!BU5=1),1+('Control Room'!$C$16-1)*EXP(-0.5*(($A648-'Control Room'!$A$16-('Control Room'!$B$16-1)/2)/MAX(0.5,'Control Room'!$B$16/4))^2),1)</x:f>
        <x:v>1</x:v>
      </x:c>
      <x:c r="BE648" s="9" t="n">
        <x:f>MOD(BF647*16807,2147483647)</x:f>
        <x:v>569492191</x:v>
      </x:c>
      <x:c r="BF648" s="9" t="n">
        <x:f>MOD(BE648*16807,2147483647)</x:f>
        <x:v>120639458</x:v>
      </x:c>
      <x:c r="BG648" s="17" t="n">
        <x:f>IF('Control Room'!$B$5="Normal",'Control Room'!$B$7+'Control Room'!$D$7*SQRT(-2*LN(MAX(0.000000000001,BE648/2147483647)))*COS(2*PI()*BF648/2147483647),'Control Room'!$B$8+('Control Room'!$D$8-'Control Room'!$B$8)*BE648/2147483647)</x:f>
        <x:v>1137.5966697849087</x:v>
      </x:c>
      <x:c r="BH648" s="17" t="n">
        <x:f>IF('Control Room'!$B$5="Normal",'Control Room'!$B$7,('Control Room'!$B$8+'Control Room'!$D$8)/2)+'Control Room'!$B$9*(BH647-IF('Control Room'!$B$5="Normal",'Control Room'!$B$7,('Control Room'!$B$8+'Control Room'!$D$8)/2))+SQRT(1-'Control Room'!$B$9^2)*(BG648-IF('Control Room'!$B$5="Normal",'Control Room'!$B$7,('Control Room'!$B$8+'Control Room'!$D$8)/2))</x:f>
        <x:v>1135.3015580019478</x:v>
      </x:c>
      <x:c r="BI648" s="17" t="n">
        <x:f>IF(AND($A648&gt;='Control Room'!$A$13,$A648&lt;'Control Room'!$A$13+'Control Room'!$B$13,'Process'!BV2=1),1+('Control Room'!$C$13-1)*EXP(-0.5*(($A648-'Control Room'!$A$13-('Control Room'!$B$13-1)/2)/MAX(0.5,'Control Room'!$B$13/4))^2),1)*IF(AND($A648&gt;='Control Room'!$A$14,$A648&lt;'Control Room'!$A$14+'Control Room'!$B$14,'Process'!BV3=1),1+('Control Room'!$C$14-1)*EXP(-0.5*(($A648-'Control Room'!$A$14-('Control Room'!$B$14-1)/2)/MAX(0.5,'Control Room'!$B$14/4))^2),1)*IF(AND($A648&gt;='Control Room'!$A$15,$A648&lt;'Control Room'!$A$15+'Control Room'!$B$15,'Process'!BV4=1),1+('Control Room'!$C$15-1)*EXP(-0.5*(($A648-'Control Room'!$A$15-('Control Room'!$B$15-1)/2)/MAX(0.5,'Control Room'!$B$15/4))^2),1)*IF(AND($A648&gt;='Control Room'!$A$16,$A648&lt;'Control Room'!$A$16+'Control Room'!$B$16,'Process'!BV5=1),1+('Control Room'!$C$16-1)*EXP(-0.5*(($A648-'Control Room'!$A$16-('Control Room'!$B$16-1)/2)/MAX(0.5,'Control Room'!$B$16/4))^2),1)</x:f>
        <x:v>1</x:v>
      </x:c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Z648" t="str">
        <x:f>IF('Data'!A648="","",TEXT('Data'!A648,"mm-dd"))</x:f>
      </x:c>
    </x:row>
    <x:row r="649" ht="21" customHeight="1">
      <x:c r="A649" s="15" t="n">
        <x:f>'Control Room'!$B$1+647</x:f>
        <x:v>73638</x:v>
      </x:c>
      <x:c r="B649" s="9" t="n">
        <x:f>MOD(C648*16807,2147483647)</x:f>
        <x:v>1469258550</x:v>
      </x:c>
      <x:c r="C649" s="9" t="n">
        <x:f>MOD(B649*16807,2147483647)</x:f>
        <x:v>2061476644</x:v>
      </x:c>
      <x:c r="D649" s="17" t="n">
        <x:f>IF('Control Room'!$B$5="Normal",'Control Room'!$B$7+'Control Room'!$D$7*SQRT(-2*LN(MAX(0.000000000001,B649/2147483647)))*COS(2*PI()*C649/2147483647),'Control Room'!$B$8+('Control Room'!$D$8-'Control Room'!$B$8)*B649/2147483647)</x:f>
        <x:v>1075.942940299568</x:v>
      </x:c>
      <x:c r="E649" s="17" t="n">
        <x:f>IF('Control Room'!$B$5="Normal",'Control Room'!$B$7,('Control Room'!$B$8+'Control Room'!$D$8)/2)+'Control Room'!$B$9*(E648-IF('Control Room'!$B$5="Normal",'Control Room'!$B$7,('Control Room'!$B$8+'Control Room'!$D$8)/2))+SQRT(1-'Control Room'!$B$9^2)*(D649-IF('Control Room'!$B$5="Normal",'Control Room'!$B$7,('Control Room'!$B$8+'Control Room'!$D$8)/2))</x:f>
        <x:v>1016.3513347058396</x:v>
      </x:c>
      <x:c r="F649" s="17" t="n">
        <x:f>IF(AND($A649&gt;='Control Room'!$A$13,$A649&lt;'Control Room'!$A$13+'Control Room'!$B$13,'Process'!BK2=1),1+('Control Room'!$C$13-1)*EXP(-0.5*(($A649-'Control Room'!$A$13-('Control Room'!$B$13-1)/2)/MAX(0.5,'Control Room'!$B$13/4))^2),1)*IF(AND($A649&gt;='Control Room'!$A$14,$A649&lt;'Control Room'!$A$14+'Control Room'!$B$14,'Process'!BK3=1),1+('Control Room'!$C$14-1)*EXP(-0.5*(($A649-'Control Room'!$A$14-('Control Room'!$B$14-1)/2)/MAX(0.5,'Control Room'!$B$14/4))^2),1)*IF(AND($A649&gt;='Control Room'!$A$15,$A649&lt;'Control Room'!$A$15+'Control Room'!$B$15,'Process'!BK4=1),1+('Control Room'!$C$15-1)*EXP(-0.5*(($A649-'Control Room'!$A$15-('Control Room'!$B$15-1)/2)/MAX(0.5,'Control Room'!$B$15/4))^2),1)*IF(AND($A649&gt;='Control Room'!$A$16,$A649&lt;'Control Room'!$A$16+'Control Room'!$B$16,'Process'!BK5=1),1+('Control Room'!$C$16-1)*EXP(-0.5*(($A649-'Control Room'!$A$16-('Control Room'!$B$16-1)/2)/MAX(0.5,'Control Room'!$B$16/4))^2),1)</x:f>
        <x:v>1</x:v>
      </x:c>
      <x:c r="G649" s="9" t="n">
        <x:f>MOD(H648*16807,2147483647)</x:f>
        <x:v>2091619</x:v>
      </x:c>
      <x:c r="H649" s="9" t="n">
        <x:f>MOD(G649*16807,2147483647)</x:f>
        <x:v>794102181</x:v>
      </x:c>
      <x:c r="I649" s="17" t="n">
        <x:f>IF('Control Room'!$B$5="Normal",'Control Room'!$B$7+'Control Room'!$D$7*SQRT(-2*LN(MAX(0.000000000001,G649/2147483647)))*COS(2*PI()*H649/2147483647),'Control Room'!$B$8+('Control Room'!$D$8-'Control Room'!$B$8)*G649/2147483647)</x:f>
        <x:v>770.9006487904585</x:v>
      </x:c>
      <x:c r="J649" s="17" t="n">
        <x:f>IF('Control Room'!$B$5="Normal",'Control Room'!$B$7,('Control Room'!$B$8+'Control Room'!$D$8)/2)+'Control Room'!$B$9*(J648-IF('Control Room'!$B$5="Normal",'Control Room'!$B$7,('Control Room'!$B$8+'Control Room'!$D$8)/2))+SQRT(1-'Control Room'!$B$9^2)*(I649-IF('Control Room'!$B$5="Normal",'Control Room'!$B$7,('Control Room'!$B$8+'Control Room'!$D$8)/2))</x:f>
        <x:v>851.8795444036623</x:v>
      </x:c>
      <x:c r="K649" s="17" t="n">
        <x:f>IF(AND($A649&gt;='Control Room'!$A$13,$A649&lt;'Control Room'!$A$13+'Control Room'!$B$13,'Process'!BL2=1),1+('Control Room'!$C$13-1)*EXP(-0.5*(($A649-'Control Room'!$A$13-('Control Room'!$B$13-1)/2)/MAX(0.5,'Control Room'!$B$13/4))^2),1)*IF(AND($A649&gt;='Control Room'!$A$14,$A649&lt;'Control Room'!$A$14+'Control Room'!$B$14,'Process'!BL3=1),1+('Control Room'!$C$14-1)*EXP(-0.5*(($A649-'Control Room'!$A$14-('Control Room'!$B$14-1)/2)/MAX(0.5,'Control Room'!$B$14/4))^2),1)*IF(AND($A649&gt;='Control Room'!$A$15,$A649&lt;'Control Room'!$A$15+'Control Room'!$B$15,'Process'!BL4=1),1+('Control Room'!$C$15-1)*EXP(-0.5*(($A649-'Control Room'!$A$15-('Control Room'!$B$15-1)/2)/MAX(0.5,'Control Room'!$B$15/4))^2),1)*IF(AND($A649&gt;='Control Room'!$A$16,$A649&lt;'Control Room'!$A$16+'Control Room'!$B$16,'Process'!BL5=1),1+('Control Room'!$C$16-1)*EXP(-0.5*(($A649-'Control Room'!$A$16-('Control Room'!$B$16-1)/2)/MAX(0.5,'Control Room'!$B$16/4))^2),1)</x:f>
        <x:v>1</x:v>
      </x:c>
      <x:c r="L649" s="9" t="n">
        <x:f>MOD(M648*16807,2147483647)</x:f>
        <x:v>682408335</x:v>
      </x:c>
      <x:c r="M649" s="9" t="n">
        <x:f>MOD(L649*16807,2147483647)</x:f>
        <x:v>1674211365</x:v>
      </x:c>
      <x:c r="N649" s="17" t="n">
        <x:f>IF('Control Room'!$B$5="Normal",'Control Room'!$B$7+'Control Room'!$D$7*SQRT(-2*LN(MAX(0.000000000001,L649/2147483647)))*COS(2*PI()*M649/2147483647),'Control Room'!$B$8+('Control Room'!$D$8-'Control Room'!$B$8)*L649/2147483647)</x:f>
        <x:v>1025.2126617783647</x:v>
      </x:c>
      <x:c r="O649" s="17" t="n">
        <x:f>IF('Control Room'!$B$5="Normal",'Control Room'!$B$7,('Control Room'!$B$8+'Control Room'!$D$8)/2)+'Control Room'!$B$9*(O648-IF('Control Room'!$B$5="Normal",'Control Room'!$B$7,('Control Room'!$B$8+'Control Room'!$D$8)/2))+SQRT(1-'Control Room'!$B$9^2)*(N649-IF('Control Room'!$B$5="Normal",'Control Room'!$B$7,('Control Room'!$B$8+'Control Room'!$D$8)/2))</x:f>
        <x:v>991.8530195579057</x:v>
      </x:c>
      <x:c r="P649" s="17" t="n">
        <x:f>IF(AND($A649&gt;='Control Room'!$A$13,$A649&lt;'Control Room'!$A$13+'Control Room'!$B$13,'Process'!BM2=1),1+('Control Room'!$C$13-1)*EXP(-0.5*(($A649-'Control Room'!$A$13-('Control Room'!$B$13-1)/2)/MAX(0.5,'Control Room'!$B$13/4))^2),1)*IF(AND($A649&gt;='Control Room'!$A$14,$A649&lt;'Control Room'!$A$14+'Control Room'!$B$14,'Process'!BM3=1),1+('Control Room'!$C$14-1)*EXP(-0.5*(($A649-'Control Room'!$A$14-('Control Room'!$B$14-1)/2)/MAX(0.5,'Control Room'!$B$14/4))^2),1)*IF(AND($A649&gt;='Control Room'!$A$15,$A649&lt;'Control Room'!$A$15+'Control Room'!$B$15,'Process'!BM4=1),1+('Control Room'!$C$15-1)*EXP(-0.5*(($A649-'Control Room'!$A$15-('Control Room'!$B$15-1)/2)/MAX(0.5,'Control Room'!$B$15/4))^2),1)*IF(AND($A649&gt;='Control Room'!$A$16,$A649&lt;'Control Room'!$A$16+'Control Room'!$B$16,'Process'!BM5=1),1+('Control Room'!$C$16-1)*EXP(-0.5*(($A649-'Control Room'!$A$16-('Control Room'!$B$16-1)/2)/MAX(0.5,'Control Room'!$B$16/4))^2),1)</x:f>
        <x:v>1</x:v>
      </x:c>
      <x:c r="Q649" s="9" t="n">
        <x:f>MOD(R648*16807,2147483647)</x:f>
        <x:v>1362725051</x:v>
      </x:c>
      <x:c r="R649" s="9" t="n">
        <x:f>MOD(Q649*16807,2147483647)</x:f>
        <x:v>406836902</x:v>
      </x:c>
      <x:c r="S649" s="17" t="n">
        <x:f>IF('Control Room'!$B$5="Normal",'Control Room'!$B$7+'Control Room'!$D$7*SQRT(-2*LN(MAX(0.000000000001,Q649/2147483647)))*COS(2*PI()*R649/2147483647),'Control Room'!$B$8+('Control Room'!$D$8-'Control Room'!$B$8)*Q649/2147483647)</x:f>
        <x:v>1031.8750864416588</x:v>
      </x:c>
      <x:c r="T649" s="17" t="n">
        <x:f>IF('Control Room'!$B$5="Normal",'Control Room'!$B$7,('Control Room'!$B$8+'Control Room'!$D$8)/2)+'Control Room'!$B$9*(T648-IF('Control Room'!$B$5="Normal",'Control Room'!$B$7,('Control Room'!$B$8+'Control Room'!$D$8)/2))+SQRT(1-'Control Room'!$B$9^2)*(S649-IF('Control Room'!$B$5="Normal",'Control Room'!$B$7,('Control Room'!$B$8+'Control Room'!$D$8)/2))</x:f>
        <x:v>876.3018674577936</x:v>
      </x:c>
      <x:c r="U649" s="17" t="n">
        <x:f>IF(AND($A649&gt;='Control Room'!$A$13,$A649&lt;'Control Room'!$A$13+'Control Room'!$B$13,'Process'!BN2=1),1+('Control Room'!$C$13-1)*EXP(-0.5*(($A649-'Control Room'!$A$13-('Control Room'!$B$13-1)/2)/MAX(0.5,'Control Room'!$B$13/4))^2),1)*IF(AND($A649&gt;='Control Room'!$A$14,$A649&lt;'Control Room'!$A$14+'Control Room'!$B$14,'Process'!BN3=1),1+('Control Room'!$C$14-1)*EXP(-0.5*(($A649-'Control Room'!$A$14-('Control Room'!$B$14-1)/2)/MAX(0.5,'Control Room'!$B$14/4))^2),1)*IF(AND($A649&gt;='Control Room'!$A$15,$A649&lt;'Control Room'!$A$15+'Control Room'!$B$15,'Process'!BN4=1),1+('Control Room'!$C$15-1)*EXP(-0.5*(($A649-'Control Room'!$A$15-('Control Room'!$B$15-1)/2)/MAX(0.5,'Control Room'!$B$15/4))^2),1)*IF(AND($A649&gt;='Control Room'!$A$16,$A649&lt;'Control Room'!$A$16+'Control Room'!$B$16,'Process'!BN5=1),1+('Control Room'!$C$16-1)*EXP(-0.5*(($A649-'Control Room'!$A$16-('Control Room'!$B$16-1)/2)/MAX(0.5,'Control Room'!$B$16/4))^2),1)</x:f>
        <x:v>1</x:v>
      </x:c>
      <x:c r="V649" s="9" t="n">
        <x:f>MOD(W648*16807,2147483647)</x:f>
        <x:v>2043041767</x:v>
      </x:c>
      <x:c r="W649" s="9" t="n">
        <x:f>MOD(V649*16807,2147483647)</x:f>
        <x:v>1286946086</x:v>
      </x:c>
      <x:c r="X649" s="17" t="n">
        <x:f>IF('Control Room'!$B$5="Normal",'Control Room'!$B$7+'Control Room'!$D$7*SQRT(-2*LN(MAX(0.000000000001,V649/2147483647)))*COS(2*PI()*W649/2147483647),'Control Room'!$B$8+('Control Room'!$D$8-'Control Room'!$B$8)*V649/2147483647)</x:f>
        <x:v>976.9326884348209</x:v>
      </x:c>
      <x:c r="Y649" s="17" t="n">
        <x:f>IF('Control Room'!$B$5="Normal",'Control Room'!$B$7,('Control Room'!$B$8+'Control Room'!$D$8)/2)+'Control Room'!$B$9*(Y648-IF('Control Room'!$B$5="Normal",'Control Room'!$B$7,('Control Room'!$B$8+'Control Room'!$D$8)/2))+SQRT(1-'Control Room'!$B$9^2)*(X649-IF('Control Room'!$B$5="Normal",'Control Room'!$B$7,('Control Room'!$B$8+'Control Room'!$D$8)/2))</x:f>
        <x:v>948.0103082232963</x:v>
      </x:c>
      <x:c r="Z649" s="17" t="n">
        <x:f>IF(AND($A649&gt;='Control Room'!$A$13,$A649&lt;'Control Room'!$A$13+'Control Room'!$B$13,'Process'!BO2=1),1+('Control Room'!$C$13-1)*EXP(-0.5*(($A649-'Control Room'!$A$13-('Control Room'!$B$13-1)/2)/MAX(0.5,'Control Room'!$B$13/4))^2),1)*IF(AND($A649&gt;='Control Room'!$A$14,$A649&lt;'Control Room'!$A$14+'Control Room'!$B$14,'Process'!BO3=1),1+('Control Room'!$C$14-1)*EXP(-0.5*(($A649-'Control Room'!$A$14-('Control Room'!$B$14-1)/2)/MAX(0.5,'Control Room'!$B$14/4))^2),1)*IF(AND($A649&gt;='Control Room'!$A$15,$A649&lt;'Control Room'!$A$15+'Control Room'!$B$15,'Process'!BO4=1),1+('Control Room'!$C$15-1)*EXP(-0.5*(($A649-'Control Room'!$A$15-('Control Room'!$B$15-1)/2)/MAX(0.5,'Control Room'!$B$15/4))^2),1)*IF(AND($A649&gt;='Control Room'!$A$16,$A649&lt;'Control Room'!$A$16+'Control Room'!$B$16,'Process'!BO5=1),1+('Control Room'!$C$16-1)*EXP(-0.5*(($A649-'Control Room'!$A$16-('Control Room'!$B$16-1)/2)/MAX(0.5,'Control Room'!$B$16/4))^2),1)</x:f>
        <x:v>1</x:v>
      </x:c>
      <x:c r="AA649" s="9" t="n">
        <x:f>MOD(AB648*16807,2147483647)</x:f>
        <x:v>575874836</x:v>
      </x:c>
      <x:c r="AB649" s="9" t="n">
        <x:f>MOD(AA649*16807,2147483647)</x:f>
        <x:v>19571623</x:v>
      </x:c>
      <x:c r="AC649" s="17" t="n">
        <x:f>IF('Control Room'!$B$5="Normal",'Control Room'!$B$7+'Control Room'!$D$7*SQRT(-2*LN(MAX(0.000000000001,AA649/2147483647)))*COS(2*PI()*AB649/2147483647),'Control Room'!$B$8+('Control Room'!$D$8-'Control Room'!$B$8)*AA649/2147483647)</x:f>
        <x:v>1145.7805875712138</x:v>
      </x:c>
      <x:c r="AD649" s="17" t="n">
        <x:f>IF('Control Room'!$B$5="Normal",'Control Room'!$B$7,('Control Room'!$B$8+'Control Room'!$D$8)/2)+'Control Room'!$B$9*(AD648-IF('Control Room'!$B$5="Normal",'Control Room'!$B$7,('Control Room'!$B$8+'Control Room'!$D$8)/2))+SQRT(1-'Control Room'!$B$9^2)*(AC649-IF('Control Room'!$B$5="Normal",'Control Room'!$B$7,('Control Room'!$B$8+'Control Room'!$D$8)/2))</x:f>
        <x:v>1116.7200154305708</x:v>
      </x:c>
      <x:c r="AE649" s="17" t="n">
        <x:f>IF(AND($A649&gt;='Control Room'!$A$13,$A649&lt;'Control Room'!$A$13+'Control Room'!$B$13,'Process'!BP2=1),1+('Control Room'!$C$13-1)*EXP(-0.5*(($A649-'Control Room'!$A$13-('Control Room'!$B$13-1)/2)/MAX(0.5,'Control Room'!$B$13/4))^2),1)*IF(AND($A649&gt;='Control Room'!$A$14,$A649&lt;'Control Room'!$A$14+'Control Room'!$B$14,'Process'!BP3=1),1+('Control Room'!$C$14-1)*EXP(-0.5*(($A649-'Control Room'!$A$14-('Control Room'!$B$14-1)/2)/MAX(0.5,'Control Room'!$B$14/4))^2),1)*IF(AND($A649&gt;='Control Room'!$A$15,$A649&lt;'Control Room'!$A$15+'Control Room'!$B$15,'Process'!BP4=1),1+('Control Room'!$C$15-1)*EXP(-0.5*(($A649-'Control Room'!$A$15-('Control Room'!$B$15-1)/2)/MAX(0.5,'Control Room'!$B$15/4))^2),1)*IF(AND($A649&gt;='Control Room'!$A$16,$A649&lt;'Control Room'!$A$16+'Control Room'!$B$16,'Process'!BP5=1),1+('Control Room'!$C$16-1)*EXP(-0.5*(($A649-'Control Room'!$A$16-('Control Room'!$B$16-1)/2)/MAX(0.5,'Control Room'!$B$16/4))^2),1)</x:f>
        <x:v>1</x:v>
      </x:c>
      <x:c r="AF649" s="9" t="n">
        <x:f>MOD(AG648*16807,2147483647)</x:f>
        <x:v>1256191552</x:v>
      </x:c>
      <x:c r="AG649" s="9" t="n">
        <x:f>MOD(AF649*16807,2147483647)</x:f>
        <x:v>899680807</x:v>
      </x:c>
      <x:c r="AH649" s="17" t="n">
        <x:f>IF('Control Room'!$B$5="Normal",'Control Room'!$B$7+'Control Room'!$D$7*SQRT(-2*LN(MAX(0.000000000001,AF649/2147483647)))*COS(2*PI()*AG649/2147483647),'Control Room'!$B$8+('Control Room'!$D$8-'Control Room'!$B$8)*AF649/2147483647)</x:f>
        <x:v>918.6253403539539</x:v>
      </x:c>
      <x:c r="AI649" s="17" t="n">
        <x:f>IF('Control Room'!$B$5="Normal",'Control Room'!$B$7,('Control Room'!$B$8+'Control Room'!$D$8)/2)+'Control Room'!$B$9*(AI648-IF('Control Room'!$B$5="Normal",'Control Room'!$B$7,('Control Room'!$B$8+'Control Room'!$D$8)/2))+SQRT(1-'Control Room'!$B$9^2)*(AH649-IF('Control Room'!$B$5="Normal",'Control Room'!$B$7,('Control Room'!$B$8+'Control Room'!$D$8)/2))</x:f>
        <x:v>899.8272724039942</x:v>
      </x:c>
      <x:c r="AJ649" s="17" t="n">
        <x:f>IF(AND($A649&gt;='Control Room'!$A$13,$A649&lt;'Control Room'!$A$13+'Control Room'!$B$13,'Process'!BQ2=1),1+('Control Room'!$C$13-1)*EXP(-0.5*(($A649-'Control Room'!$A$13-('Control Room'!$B$13-1)/2)/MAX(0.5,'Control Room'!$B$13/4))^2),1)*IF(AND($A649&gt;='Control Room'!$A$14,$A649&lt;'Control Room'!$A$14+'Control Room'!$B$14,'Process'!BQ3=1),1+('Control Room'!$C$14-1)*EXP(-0.5*(($A649-'Control Room'!$A$14-('Control Room'!$B$14-1)/2)/MAX(0.5,'Control Room'!$B$14/4))^2),1)*IF(AND($A649&gt;='Control Room'!$A$15,$A649&lt;'Control Room'!$A$15+'Control Room'!$B$15,'Process'!BQ4=1),1+('Control Room'!$C$15-1)*EXP(-0.5*(($A649-'Control Room'!$A$15-('Control Room'!$B$15-1)/2)/MAX(0.5,'Control Room'!$B$15/4))^2),1)*IF(AND($A649&gt;='Control Room'!$A$16,$A649&lt;'Control Room'!$A$16+'Control Room'!$B$16,'Process'!BQ5=1),1+('Control Room'!$C$16-1)*EXP(-0.5*(($A649-'Control Room'!$A$16-('Control Room'!$B$16-1)/2)/MAX(0.5,'Control Room'!$B$16/4))^2),1)</x:f>
        <x:v>1</x:v>
      </x:c>
      <x:c r="AK649" s="9" t="n">
        <x:f>MOD(AL648*16807,2147483647)</x:f>
        <x:v>1936508268</x:v>
      </x:c>
      <x:c r="AL649" s="9" t="n">
        <x:f>MOD(AK649*16807,2147483647)</x:f>
        <x:v>1779789991</x:v>
      </x:c>
      <x:c r="AM649" s="17" t="n">
        <x:f>IF('Control Room'!$B$5="Normal",'Control Room'!$B$7+'Control Room'!$D$7*SQRT(-2*LN(MAX(0.000000000001,AK649/2147483647)))*COS(2*PI()*AL649/2147483647),'Control Room'!$B$8+('Control Room'!$D$8-'Control Room'!$B$8)*AK649/2147483647)</x:f>
        <x:v>1019.4423953259999</x:v>
      </x:c>
      <x:c r="AN649" s="17" t="n">
        <x:f>IF('Control Room'!$B$5="Normal",'Control Room'!$B$7,('Control Room'!$B$8+'Control Room'!$D$8)/2)+'Control Room'!$B$9*(AN648-IF('Control Room'!$B$5="Normal",'Control Room'!$B$7,('Control Room'!$B$8+'Control Room'!$D$8)/2))+SQRT(1-'Control Room'!$B$9^2)*(AM649-IF('Control Room'!$B$5="Normal",'Control Room'!$B$7,('Control Room'!$B$8+'Control Room'!$D$8)/2))</x:f>
        <x:v>899.5311671279684</x:v>
      </x:c>
      <x:c r="AO649" s="17" t="n">
        <x:f>IF(AND($A649&gt;='Control Room'!$A$13,$A649&lt;'Control Room'!$A$13+'Control Room'!$B$13,'Process'!BR2=1),1+('Control Room'!$C$13-1)*EXP(-0.5*(($A649-'Control Room'!$A$13-('Control Room'!$B$13-1)/2)/MAX(0.5,'Control Room'!$B$13/4))^2),1)*IF(AND($A649&gt;='Control Room'!$A$14,$A649&lt;'Control Room'!$A$14+'Control Room'!$B$14,'Process'!BR3=1),1+('Control Room'!$C$14-1)*EXP(-0.5*(($A649-'Control Room'!$A$14-('Control Room'!$B$14-1)/2)/MAX(0.5,'Control Room'!$B$14/4))^2),1)*IF(AND($A649&gt;='Control Room'!$A$15,$A649&lt;'Control Room'!$A$15+'Control Room'!$B$15,'Process'!BR4=1),1+('Control Room'!$C$15-1)*EXP(-0.5*(($A649-'Control Room'!$A$15-('Control Room'!$B$15-1)/2)/MAX(0.5,'Control Room'!$B$15/4))^2),1)*IF(AND($A649&gt;='Control Room'!$A$16,$A649&lt;'Control Room'!$A$16+'Control Room'!$B$16,'Process'!BR5=1),1+('Control Room'!$C$16-1)*EXP(-0.5*(($A649-'Control Room'!$A$16-('Control Room'!$B$16-1)/2)/MAX(0.5,'Control Room'!$B$16/4))^2),1)</x:f>
        <x:v>1</x:v>
      </x:c>
      <x:c r="AP649" s="9" t="n">
        <x:f>MOD(AQ648*16807,2147483647)</x:f>
        <x:v>469341337</x:v>
      </x:c>
      <x:c r="AQ649" s="9" t="n">
        <x:f>MOD(AP649*16807,2147483647)</x:f>
        <x:v>512415528</x:v>
      </x:c>
      <x:c r="AR649" s="17" t="n">
        <x:f>IF('Control Room'!$B$5="Normal",'Control Room'!$B$7+'Control Room'!$D$7*SQRT(-2*LN(MAX(0.000000000001,AP649/2147483647)))*COS(2*PI()*AQ649/2147483647),'Control Room'!$B$8+('Control Room'!$D$8-'Control Room'!$B$8)*AP649/2147483647)</x:f>
        <x:v>1011.2211204964893</x:v>
      </x:c>
      <x:c r="AS649" s="17" t="n">
        <x:f>IF('Control Room'!$B$5="Normal",'Control Room'!$B$7,('Control Room'!$B$8+'Control Room'!$D$8)/2)+'Control Room'!$B$9*(AS648-IF('Control Room'!$B$5="Normal",'Control Room'!$B$7,('Control Room'!$B$8+'Control Room'!$D$8)/2))+SQRT(1-'Control Room'!$B$9^2)*(AR649-IF('Control Room'!$B$5="Normal",'Control Room'!$B$7,('Control Room'!$B$8+'Control Room'!$D$8)/2))</x:f>
        <x:v>947.5401215150664</x:v>
      </x:c>
      <x:c r="AT649" s="17" t="n">
        <x:f>IF(AND($A649&gt;='Control Room'!$A$13,$A649&lt;'Control Room'!$A$13+'Control Room'!$B$13,'Process'!BS2=1),1+('Control Room'!$C$13-1)*EXP(-0.5*(($A649-'Control Room'!$A$13-('Control Room'!$B$13-1)/2)/MAX(0.5,'Control Room'!$B$13/4))^2),1)*IF(AND($A649&gt;='Control Room'!$A$14,$A649&lt;'Control Room'!$A$14+'Control Room'!$B$14,'Process'!BS3=1),1+('Control Room'!$C$14-1)*EXP(-0.5*(($A649-'Control Room'!$A$14-('Control Room'!$B$14-1)/2)/MAX(0.5,'Control Room'!$B$14/4))^2),1)*IF(AND($A649&gt;='Control Room'!$A$15,$A649&lt;'Control Room'!$A$15+'Control Room'!$B$15,'Process'!BS4=1),1+('Control Room'!$C$15-1)*EXP(-0.5*(($A649-'Control Room'!$A$15-('Control Room'!$B$15-1)/2)/MAX(0.5,'Control Room'!$B$15/4))^2),1)*IF(AND($A649&gt;='Control Room'!$A$16,$A649&lt;'Control Room'!$A$16+'Control Room'!$B$16,'Process'!BS5=1),1+('Control Room'!$C$16-1)*EXP(-0.5*(($A649-'Control Room'!$A$16-('Control Room'!$B$16-1)/2)/MAX(0.5,'Control Room'!$B$16/4))^2),1)</x:f>
        <x:v>1</x:v>
      </x:c>
      <x:c r="AU649" s="9" t="n">
        <x:f>MOD(AV648*16807,2147483647)</x:f>
        <x:v>1149658053</x:v>
      </x:c>
      <x:c r="AV649" s="9" t="n">
        <x:f>MOD(AU649*16807,2147483647)</x:f>
        <x:v>1392524712</x:v>
      </x:c>
      <x:c r="AW649" s="17" t="n">
        <x:f>IF('Control Room'!$B$5="Normal",'Control Room'!$B$7+'Control Room'!$D$7*SQRT(-2*LN(MAX(0.000000000001,AU649/2147483647)))*COS(2*PI()*AV649/2147483647),'Control Room'!$B$8+('Control Room'!$D$8-'Control Room'!$B$8)*AU649/2147483647)</x:f>
        <x:v>940.0706925930201</x:v>
      </x:c>
      <x:c r="AX649" s="17" t="n">
        <x:f>IF('Control Room'!$B$5="Normal",'Control Room'!$B$7,('Control Room'!$B$8+'Control Room'!$D$8)/2)+'Control Room'!$B$9*(AX648-IF('Control Room'!$B$5="Normal",'Control Room'!$B$7,('Control Room'!$B$8+'Control Room'!$D$8)/2))+SQRT(1-'Control Room'!$B$9^2)*(AW649-IF('Control Room'!$B$5="Normal",'Control Room'!$B$7,('Control Room'!$B$8+'Control Room'!$D$8)/2))</x:f>
        <x:v>864.9175986754924</x:v>
      </x:c>
      <x:c r="AY649" s="17" t="n">
        <x:f>IF(AND($A649&gt;='Control Room'!$A$13,$A649&lt;'Control Room'!$A$13+'Control Room'!$B$13,'Process'!BT2=1),1+('Control Room'!$C$13-1)*EXP(-0.5*(($A649-'Control Room'!$A$13-('Control Room'!$B$13-1)/2)/MAX(0.5,'Control Room'!$B$13/4))^2),1)*IF(AND($A649&gt;='Control Room'!$A$14,$A649&lt;'Control Room'!$A$14+'Control Room'!$B$14,'Process'!BT3=1),1+('Control Room'!$C$14-1)*EXP(-0.5*(($A649-'Control Room'!$A$14-('Control Room'!$B$14-1)/2)/MAX(0.5,'Control Room'!$B$14/4))^2),1)*IF(AND($A649&gt;='Control Room'!$A$15,$A649&lt;'Control Room'!$A$15+'Control Room'!$B$15,'Process'!BT4=1),1+('Control Room'!$C$15-1)*EXP(-0.5*(($A649-'Control Room'!$A$15-('Control Room'!$B$15-1)/2)/MAX(0.5,'Control Room'!$B$15/4))^2),1)*IF(AND($A649&gt;='Control Room'!$A$16,$A649&lt;'Control Room'!$A$16+'Control Room'!$B$16,'Process'!BT5=1),1+('Control Room'!$C$16-1)*EXP(-0.5*(($A649-'Control Room'!$A$16-('Control Room'!$B$16-1)/2)/MAX(0.5,'Control Room'!$B$16/4))^2),1)</x:f>
        <x:v>1</x:v>
      </x:c>
      <x:c r="AZ649" s="9" t="n">
        <x:f>MOD(BA648*16807,2147483647)</x:f>
        <x:v>1829974769</x:v>
      </x:c>
      <x:c r="BA649" s="9" t="n">
        <x:f>MOD(AZ649*16807,2147483647)</x:f>
        <x:v>125150249</x:v>
      </x:c>
      <x:c r="BB649" s="17" t="n">
        <x:f>IF('Control Room'!$B$5="Normal",'Control Room'!$B$7+'Control Room'!$D$7*SQRT(-2*LN(MAX(0.000000000001,AZ649/2147483647)))*COS(2*PI()*BA649/2147483647),'Control Room'!$B$8+('Control Room'!$D$8-'Control Room'!$B$8)*AZ649/2147483647)</x:f>
        <x:v>1047.5357337865555</x:v>
      </x:c>
      <x:c r="BC649" s="17" t="n">
        <x:f>IF('Control Room'!$B$5="Normal",'Control Room'!$B$7,('Control Room'!$B$8+'Control Room'!$D$8)/2)+'Control Room'!$B$9*(BC648-IF('Control Room'!$B$5="Normal",'Control Room'!$B$7,('Control Room'!$B$8+'Control Room'!$D$8)/2))+SQRT(1-'Control Room'!$B$9^2)*(BB649-IF('Control Room'!$B$5="Normal",'Control Room'!$B$7,('Control Room'!$B$8+'Control Room'!$D$8)/2))</x:f>
        <x:v>941.3336566525638</x:v>
      </x:c>
      <x:c r="BD649" s="17" t="n">
        <x:f>IF(AND($A649&gt;='Control Room'!$A$13,$A649&lt;'Control Room'!$A$13+'Control Room'!$B$13,'Process'!BU2=1),1+('Control Room'!$C$13-1)*EXP(-0.5*(($A649-'Control Room'!$A$13-('Control Room'!$B$13-1)/2)/MAX(0.5,'Control Room'!$B$13/4))^2),1)*IF(AND($A649&gt;='Control Room'!$A$14,$A649&lt;'Control Room'!$A$14+'Control Room'!$B$14,'Process'!BU3=1),1+('Control Room'!$C$14-1)*EXP(-0.5*(($A649-'Control Room'!$A$14-('Control Room'!$B$14-1)/2)/MAX(0.5,'Control Room'!$B$14/4))^2),1)*IF(AND($A649&gt;='Control Room'!$A$15,$A649&lt;'Control Room'!$A$15+'Control Room'!$B$15,'Process'!BU4=1),1+('Control Room'!$C$15-1)*EXP(-0.5*(($A649-'Control Room'!$A$15-('Control Room'!$B$15-1)/2)/MAX(0.5,'Control Room'!$B$15/4))^2),1)*IF(AND($A649&gt;='Control Room'!$A$16,$A649&lt;'Control Room'!$A$16+'Control Room'!$B$16,'Process'!BU5=1),1+('Control Room'!$C$16-1)*EXP(-0.5*(($A649-'Control Room'!$A$16-('Control Room'!$B$16-1)/2)/MAX(0.5,'Control Room'!$B$16/4))^2),1)</x:f>
        <x:v>1</x:v>
      </x:c>
      <x:c r="BE649" s="9" t="n">
        <x:f>MOD(BF648*16807,2147483647)</x:f>
        <x:v>362807838</x:v>
      </x:c>
      <x:c r="BF649" s="9" t="n">
        <x:f>MOD(BE649*16807,2147483647)</x:f>
        <x:v>1005259433</x:v>
      </x:c>
      <x:c r="BG649" s="17" t="n">
        <x:f>IF('Control Room'!$B$5="Normal",'Control Room'!$B$7+'Control Room'!$D$7*SQRT(-2*LN(MAX(0.000000000001,BE649/2147483647)))*COS(2*PI()*BF649/2147483647),'Control Room'!$B$8+('Control Room'!$D$8-'Control Room'!$B$8)*BE649/2147483647)</x:f>
        <x:v>833.6708607376036</x:v>
      </x:c>
      <x:c r="BH649" s="17" t="n">
        <x:f>IF('Control Room'!$B$5="Normal",'Control Room'!$B$7,('Control Room'!$B$8+'Control Room'!$D$8)/2)+'Control Room'!$B$9*(BH648-IF('Control Room'!$B$5="Normal",'Control Room'!$B$7,('Control Room'!$B$8+'Control Room'!$D$8)/2))+SQRT(1-'Control Room'!$B$9^2)*(BG649-IF('Control Room'!$B$5="Normal",'Control Room'!$B$7,('Control Room'!$B$8+'Control Room'!$D$8)/2))</x:f>
        <x:v>1001.4498473287402</x:v>
      </x:c>
      <x:c r="BI649" s="17" t="n">
        <x:f>IF(AND($A649&gt;='Control Room'!$A$13,$A649&lt;'Control Room'!$A$13+'Control Room'!$B$13,'Process'!BV2=1),1+('Control Room'!$C$13-1)*EXP(-0.5*(($A649-'Control Room'!$A$13-('Control Room'!$B$13-1)/2)/MAX(0.5,'Control Room'!$B$13/4))^2),1)*IF(AND($A649&gt;='Control Room'!$A$14,$A649&lt;'Control Room'!$A$14+'Control Room'!$B$14,'Process'!BV3=1),1+('Control Room'!$C$14-1)*EXP(-0.5*(($A649-'Control Room'!$A$14-('Control Room'!$B$14-1)/2)/MAX(0.5,'Control Room'!$B$14/4))^2),1)*IF(AND($A649&gt;='Control Room'!$A$15,$A649&lt;'Control Room'!$A$15+'Control Room'!$B$15,'Process'!BV4=1),1+('Control Room'!$C$15-1)*EXP(-0.5*(($A649-'Control Room'!$A$15-('Control Room'!$B$15-1)/2)/MAX(0.5,'Control Room'!$B$15/4))^2),1)*IF(AND($A649&gt;='Control Room'!$A$16,$A649&lt;'Control Room'!$A$16+'Control Room'!$B$16,'Process'!BV5=1),1+('Control Room'!$C$16-1)*EXP(-0.5*(($A649-'Control Room'!$A$16-('Control Room'!$B$16-1)/2)/MAX(0.5,'Control Room'!$B$16/4))^2),1)</x:f>
        <x:v>1</x:v>
      </x:c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Z649" t="str">
        <x:f>IF('Data'!A649="","",TEXT('Data'!A649,"mm-dd"))</x:f>
      </x:c>
    </x:row>
    <x:row r="650" ht="21" customHeight="1">
      <x:c r="A650" s="15" t="n">
        <x:f>'Control Room'!$B$1+648</x:f>
        <x:v>73639</x:v>
      </x:c>
      <x:c r="B650" s="9" t="n">
        <x:f>MOD(C649*16807,2147483647)</x:f>
        <x:v>1884278657</x:v>
      </x:c>
      <x:c r="C650" s="9" t="n">
        <x:f>MOD(B650*16807,2147483647)</x:f>
        <x:v>130045890</x:v>
      </x:c>
      <x:c r="D650" s="17" t="n">
        <x:f>IF('Control Room'!$B$5="Normal",'Control Room'!$B$7+'Control Room'!$D$7*SQRT(-2*LN(MAX(0.000000000001,B650/2147483647)))*COS(2*PI()*C650/2147483647),'Control Room'!$B$8+('Control Room'!$D$8-'Control Room'!$B$8)*B650/2147483647)</x:f>
        <x:v>1042.7321253453579</x:v>
      </x:c>
      <x:c r="E650" s="17" t="n">
        <x:f>IF('Control Room'!$B$5="Normal",'Control Room'!$B$7,('Control Room'!$B$8+'Control Room'!$D$8)/2)+'Control Room'!$B$9*(E649-IF('Control Room'!$B$5="Normal",'Control Room'!$B$7,('Control Room'!$B$8+'Control Room'!$D$8)/2))+SQRT(1-'Control Room'!$B$9^2)*(D650-IF('Control Room'!$B$5="Normal",'Control Room'!$B$7,('Control Room'!$B$8+'Control Room'!$D$8)/2))</x:f>
        <x:v>1039.4949296965092</x:v>
      </x:c>
      <x:c r="F650" s="17" t="n">
        <x:f>IF(AND($A650&gt;='Control Room'!$A$13,$A650&lt;'Control Room'!$A$13+'Control Room'!$B$13,'Process'!BK2=1),1+('Control Room'!$C$13-1)*EXP(-0.5*(($A650-'Control Room'!$A$13-('Control Room'!$B$13-1)/2)/MAX(0.5,'Control Room'!$B$13/4))^2),1)*IF(AND($A650&gt;='Control Room'!$A$14,$A650&lt;'Control Room'!$A$14+'Control Room'!$B$14,'Process'!BK3=1),1+('Control Room'!$C$14-1)*EXP(-0.5*(($A650-'Control Room'!$A$14-('Control Room'!$B$14-1)/2)/MAX(0.5,'Control Room'!$B$14/4))^2),1)*IF(AND($A650&gt;='Control Room'!$A$15,$A650&lt;'Control Room'!$A$15+'Control Room'!$B$15,'Process'!BK4=1),1+('Control Room'!$C$15-1)*EXP(-0.5*(($A650-'Control Room'!$A$15-('Control Room'!$B$15-1)/2)/MAX(0.5,'Control Room'!$B$15/4))^2),1)*IF(AND($A650&gt;='Control Room'!$A$16,$A650&lt;'Control Room'!$A$16+'Control Room'!$B$16,'Process'!BK5=1),1+('Control Room'!$C$16-1)*EXP(-0.5*(($A650-'Control Room'!$A$16-('Control Room'!$B$16-1)/2)/MAX(0.5,'Control Room'!$B$16/4))^2),1)</x:f>
        <x:v>1</x:v>
      </x:c>
      <x:c r="G650" s="9" t="n">
        <x:f>MOD(H649*16807,2147483647)</x:f>
        <x:v>2011973609</x:v>
      </x:c>
      <x:c r="H650" s="9" t="n">
        <x:f>MOD(G650*16807,2147483647)</x:f>
        <x:v>962940801</x:v>
      </x:c>
      <x:c r="I650" s="17" t="n">
        <x:f>IF('Control Room'!$B$5="Normal",'Control Room'!$B$7+'Control Room'!$D$7*SQRT(-2*LN(MAX(0.000000000001,G650/2147483647)))*COS(2*PI()*H650/2147483647),'Control Room'!$B$8+('Control Room'!$D$8-'Control Room'!$B$8)*G650/2147483647)</x:f>
        <x:v>969.1976341405059</x:v>
      </x:c>
      <x:c r="J650" s="17" t="n">
        <x:f>IF('Control Room'!$B$5="Normal",'Control Room'!$B$7,('Control Room'!$B$8+'Control Room'!$D$8)/2)+'Control Room'!$B$9*(J649-IF('Control Room'!$B$5="Normal",'Control Room'!$B$7,('Control Room'!$B$8+'Control Room'!$D$8)/2))+SQRT(1-'Control Room'!$B$9^2)*(I650-IF('Control Room'!$B$5="Normal",'Control Room'!$B$7,('Control Room'!$B$8+'Control Room'!$D$8)/2))</x:f>
        <x:v>865.190555100749</x:v>
      </x:c>
      <x:c r="K650" s="17" t="n">
        <x:f>IF(AND($A650&gt;='Control Room'!$A$13,$A650&lt;'Control Room'!$A$13+'Control Room'!$B$13,'Process'!BL2=1),1+('Control Room'!$C$13-1)*EXP(-0.5*(($A650-'Control Room'!$A$13-('Control Room'!$B$13-1)/2)/MAX(0.5,'Control Room'!$B$13/4))^2),1)*IF(AND($A650&gt;='Control Room'!$A$14,$A650&lt;'Control Room'!$A$14+'Control Room'!$B$14,'Process'!BL3=1),1+('Control Room'!$C$14-1)*EXP(-0.5*(($A650-'Control Room'!$A$14-('Control Room'!$B$14-1)/2)/MAX(0.5,'Control Room'!$B$14/4))^2),1)*IF(AND($A650&gt;='Control Room'!$A$15,$A650&lt;'Control Room'!$A$15+'Control Room'!$B$15,'Process'!BL4=1),1+('Control Room'!$C$15-1)*EXP(-0.5*(($A650-'Control Room'!$A$15-('Control Room'!$B$15-1)/2)/MAX(0.5,'Control Room'!$B$15/4))^2),1)*IF(AND($A650&gt;='Control Room'!$A$16,$A650&lt;'Control Room'!$A$16+'Control Room'!$B$16,'Process'!BL5=1),1+('Control Room'!$C$16-1)*EXP(-0.5*(($A650-'Control Room'!$A$16-('Control Room'!$B$16-1)/2)/MAX(0.5,'Control Room'!$B$16/4))^2),1)</x:f>
        <x:v>1</x:v>
      </x:c>
      <x:c r="L650" s="9" t="n">
        <x:f>MOD(M649*16807,2147483647)</x:f>
        <x:v>2139668561</x:v>
      </x:c>
      <x:c r="M650" s="9" t="n">
        <x:f>MOD(L650*16807,2147483647)</x:f>
        <x:v>1795835712</x:v>
      </x:c>
      <x:c r="N650" s="17" t="n">
        <x:f>IF('Control Room'!$B$5="Normal",'Control Room'!$B$7+'Control Room'!$D$7*SQRT(-2*LN(MAX(0.000000000001,L650/2147483647)))*COS(2*PI()*M650/2147483647),'Control Room'!$B$8+('Control Room'!$D$8-'Control Room'!$B$8)*L650/2147483647)</x:f>
        <x:v>1003.9639661887978</x:v>
      </x:c>
      <x:c r="O650" s="17" t="n">
        <x:f>IF('Control Room'!$B$5="Normal",'Control Room'!$B$7,('Control Room'!$B$8+'Control Room'!$D$8)/2)+'Control Room'!$B$9*(O649-IF('Control Room'!$B$5="Normal",'Control Room'!$B$7,('Control Room'!$B$8+'Control Room'!$D$8)/2))+SQRT(1-'Control Room'!$B$9^2)*(N650-IF('Control Room'!$B$5="Normal",'Control Room'!$B$7,('Control Room'!$B$8+'Control Room'!$D$8)/2))</x:f>
        <x:v>996.1259240898548</x:v>
      </x:c>
      <x:c r="P650" s="17" t="n">
        <x:f>IF(AND($A650&gt;='Control Room'!$A$13,$A650&lt;'Control Room'!$A$13+'Control Room'!$B$13,'Process'!BM2=1),1+('Control Room'!$C$13-1)*EXP(-0.5*(($A650-'Control Room'!$A$13-('Control Room'!$B$13-1)/2)/MAX(0.5,'Control Room'!$B$13/4))^2),1)*IF(AND($A650&gt;='Control Room'!$A$14,$A650&lt;'Control Room'!$A$14+'Control Room'!$B$14,'Process'!BM3=1),1+('Control Room'!$C$14-1)*EXP(-0.5*(($A650-'Control Room'!$A$14-('Control Room'!$B$14-1)/2)/MAX(0.5,'Control Room'!$B$14/4))^2),1)*IF(AND($A650&gt;='Control Room'!$A$15,$A650&lt;'Control Room'!$A$15+'Control Room'!$B$15,'Process'!BM4=1),1+('Control Room'!$C$15-1)*EXP(-0.5*(($A650-'Control Room'!$A$15-('Control Room'!$B$15-1)/2)/MAX(0.5,'Control Room'!$B$15/4))^2),1)*IF(AND($A650&gt;='Control Room'!$A$16,$A650&lt;'Control Room'!$A$16+'Control Room'!$B$16,'Process'!BM5=1),1+('Control Room'!$C$16-1)*EXP(-0.5*(($A650-'Control Room'!$A$16-('Control Room'!$B$16-1)/2)/MAX(0.5,'Control Room'!$B$16/4))^2),1)</x:f>
        <x:v>1</x:v>
      </x:c>
      <x:c r="Q650" s="9" t="n">
        <x:f>MOD(R649*16807,2147483647)</x:f>
        <x:v>119879866</x:v>
      </x:c>
      <x:c r="R650" s="9" t="n">
        <x:f>MOD(Q650*16807,2147483647)</x:f>
        <x:v>481246976</x:v>
      </x:c>
      <x:c r="S650" s="17" t="n">
        <x:f>IF('Control Room'!$B$5="Normal",'Control Room'!$B$7+'Control Room'!$D$7*SQRT(-2*LN(MAX(0.000000000001,Q650/2147483647)))*COS(2*PI()*R650/2147483647),'Control Room'!$B$8+('Control Room'!$D$8-'Control Room'!$B$8)*Q650/2147483647)</x:f>
        <x:v>1035.0320519606612</x:v>
      </x:c>
      <x:c r="T650" s="17" t="n">
        <x:f>IF('Control Room'!$B$5="Normal",'Control Room'!$B$7,('Control Room'!$B$8+'Control Room'!$D$8)/2)+'Control Room'!$B$9*(T649-IF('Control Room'!$B$5="Normal",'Control Room'!$B$7,('Control Room'!$B$8+'Control Room'!$D$8)/2))+SQRT(1-'Control Room'!$B$9^2)*(S650-IF('Control Room'!$B$5="Normal",'Control Room'!$B$7,('Control Room'!$B$8+'Control Room'!$D$8)/2))</x:f>
        <x:v>925.4377970634675</x:v>
      </x:c>
      <x:c r="U650" s="17" t="n">
        <x:f>IF(AND($A650&gt;='Control Room'!$A$13,$A650&lt;'Control Room'!$A$13+'Control Room'!$B$13,'Process'!BN2=1),1+('Control Room'!$C$13-1)*EXP(-0.5*(($A650-'Control Room'!$A$13-('Control Room'!$B$13-1)/2)/MAX(0.5,'Control Room'!$B$13/4))^2),1)*IF(AND($A650&gt;='Control Room'!$A$14,$A650&lt;'Control Room'!$A$14+'Control Room'!$B$14,'Process'!BN3=1),1+('Control Room'!$C$14-1)*EXP(-0.5*(($A650-'Control Room'!$A$14-('Control Room'!$B$14-1)/2)/MAX(0.5,'Control Room'!$B$14/4))^2),1)*IF(AND($A650&gt;='Control Room'!$A$15,$A650&lt;'Control Room'!$A$15+'Control Room'!$B$15,'Process'!BN4=1),1+('Control Room'!$C$15-1)*EXP(-0.5*(($A650-'Control Room'!$A$15-('Control Room'!$B$15-1)/2)/MAX(0.5,'Control Room'!$B$15/4))^2),1)*IF(AND($A650&gt;='Control Room'!$A$16,$A650&lt;'Control Room'!$A$16+'Control Room'!$B$16,'Process'!BN5=1),1+('Control Room'!$C$16-1)*EXP(-0.5*(($A650-'Control Room'!$A$16-('Control Room'!$B$16-1)/2)/MAX(0.5,'Control Room'!$B$16/4))^2),1)</x:f>
        <x:v>1</x:v>
      </x:c>
      <x:c r="V650" s="9" t="n">
        <x:f>MOD(W649*16807,2147483647)</x:f>
        <x:v>247574818</x:v>
      </x:c>
      <x:c r="W650" s="9" t="n">
        <x:f>MOD(V650*16807,2147483647)</x:f>
        <x:v>1314141887</x:v>
      </x:c>
      <x:c r="X650" s="17" t="n">
        <x:f>IF('Control Room'!$B$5="Normal",'Control Room'!$B$7+'Control Room'!$D$7*SQRT(-2*LN(MAX(0.000000000001,V650/2147483647)))*COS(2*PI()*W650/2147483647),'Control Room'!$B$8+('Control Room'!$D$8-'Control Room'!$B$8)*V650/2147483647)</x:f>
        <x:v>857.3233509840554</x:v>
      </x:c>
      <x:c r="Y650" s="17" t="n">
        <x:f>IF('Control Room'!$B$5="Normal",'Control Room'!$B$7,('Control Room'!$B$8+'Control Room'!$D$8)/2)+'Control Room'!$B$9*(Y649-IF('Control Room'!$B$5="Normal",'Control Room'!$B$7,('Control Room'!$B$8+'Control Room'!$D$8)/2))+SQRT(1-'Control Room'!$B$9^2)*(X650-IF('Control Room'!$B$5="Normal",'Control Room'!$B$7,('Control Room'!$B$8+'Control Room'!$D$8)/2))</x:f>
        <x:v>870.1639163500213</x:v>
      </x:c>
      <x:c r="Z650" s="17" t="n">
        <x:f>IF(AND($A650&gt;='Control Room'!$A$13,$A650&lt;'Control Room'!$A$13+'Control Room'!$B$13,'Process'!BO2=1),1+('Control Room'!$C$13-1)*EXP(-0.5*(($A650-'Control Room'!$A$13-('Control Room'!$B$13-1)/2)/MAX(0.5,'Control Room'!$B$13/4))^2),1)*IF(AND($A650&gt;='Control Room'!$A$14,$A650&lt;'Control Room'!$A$14+'Control Room'!$B$14,'Process'!BO3=1),1+('Control Room'!$C$14-1)*EXP(-0.5*(($A650-'Control Room'!$A$14-('Control Room'!$B$14-1)/2)/MAX(0.5,'Control Room'!$B$14/4))^2),1)*IF(AND($A650&gt;='Control Room'!$A$15,$A650&lt;'Control Room'!$A$15+'Control Room'!$B$15,'Process'!BO4=1),1+('Control Room'!$C$15-1)*EXP(-0.5*(($A650-'Control Room'!$A$15-('Control Room'!$B$15-1)/2)/MAX(0.5,'Control Room'!$B$15/4))^2),1)*IF(AND($A650&gt;='Control Room'!$A$16,$A650&lt;'Control Room'!$A$16+'Control Room'!$B$16,'Process'!BO5=1),1+('Control Room'!$C$16-1)*EXP(-0.5*(($A650-'Control Room'!$A$16-('Control Room'!$B$16-1)/2)/MAX(0.5,'Control Room'!$B$16/4))^2),1)</x:f>
        <x:v>1</x:v>
      </x:c>
      <x:c r="AA650" s="9" t="n">
        <x:f>MOD(AB649*16807,2147483647)</x:f>
        <x:v>375269770</x:v>
      </x:c>
      <x:c r="AB650" s="9" t="n">
        <x:f>MOD(AA650*16807,2147483647)</x:f>
        <x:v>2147036798</x:v>
      </x:c>
      <x:c r="AC650" s="17" t="n">
        <x:f>IF('Control Room'!$B$5="Normal",'Control Room'!$B$7+'Control Room'!$D$7*SQRT(-2*LN(MAX(0.000000000001,AA650/2147483647)))*COS(2*PI()*AB650/2147483647),'Control Room'!$B$8+('Control Room'!$D$8-'Control Room'!$B$8)*AA650/2147483647)</x:f>
        <x:v>1168.1051552799079</x:v>
      </x:c>
      <x:c r="AD650" s="17" t="n">
        <x:f>IF('Control Room'!$B$5="Normal",'Control Room'!$B$7,('Control Room'!$B$8+'Control Room'!$D$8)/2)+'Control Room'!$B$9*(AD649-IF('Control Room'!$B$5="Normal",'Control Room'!$B$7,('Control Room'!$B$8+'Control Room'!$D$8)/2))+SQRT(1-'Control Room'!$B$9^2)*(AC650-IF('Control Room'!$B$5="Normal",'Control Room'!$B$7,('Control Room'!$B$8+'Control Room'!$D$8)/2))</x:f>
        <x:v>1196.2383743887174</x:v>
      </x:c>
      <x:c r="AE650" s="17" t="n">
        <x:f>IF(AND($A650&gt;='Control Room'!$A$13,$A650&lt;'Control Room'!$A$13+'Control Room'!$B$13,'Process'!BP2=1),1+('Control Room'!$C$13-1)*EXP(-0.5*(($A650-'Control Room'!$A$13-('Control Room'!$B$13-1)/2)/MAX(0.5,'Control Room'!$B$13/4))^2),1)*IF(AND($A650&gt;='Control Room'!$A$14,$A650&lt;'Control Room'!$A$14+'Control Room'!$B$14,'Process'!BP3=1),1+('Control Room'!$C$14-1)*EXP(-0.5*(($A650-'Control Room'!$A$14-('Control Room'!$B$14-1)/2)/MAX(0.5,'Control Room'!$B$14/4))^2),1)*IF(AND($A650&gt;='Control Room'!$A$15,$A650&lt;'Control Room'!$A$15+'Control Room'!$B$15,'Process'!BP4=1),1+('Control Room'!$C$15-1)*EXP(-0.5*(($A650-'Control Room'!$A$15-('Control Room'!$B$15-1)/2)/MAX(0.5,'Control Room'!$B$15/4))^2),1)*IF(AND($A650&gt;='Control Room'!$A$16,$A650&lt;'Control Room'!$A$16+'Control Room'!$B$16,'Process'!BP5=1),1+('Control Room'!$C$16-1)*EXP(-0.5*(($A650-'Control Room'!$A$16-('Control Room'!$B$16-1)/2)/MAX(0.5,'Control Room'!$B$16/4))^2),1)</x:f>
        <x:v>1</x:v>
      </x:c>
      <x:c r="AF650" s="9" t="n">
        <x:f>MOD(AG649*16807,2147483647)</x:f>
        <x:v>502964722</x:v>
      </x:c>
      <x:c r="AG650" s="9" t="n">
        <x:f>MOD(AF650*16807,2147483647)</x:f>
        <x:v>832448062</x:v>
      </x:c>
      <x:c r="AH650" s="17" t="n">
        <x:f>IF('Control Room'!$B$5="Normal",'Control Room'!$B$7+'Control Room'!$D$7*SQRT(-2*LN(MAX(0.000000000001,AF650/2147483647)))*COS(2*PI()*AG650/2147483647),'Control Room'!$B$8+('Control Room'!$D$8-'Control Room'!$B$8)*AF650/2147483647)</x:f>
        <x:v>883.3083948576987</x:v>
      </x:c>
      <x:c r="AI650" s="17" t="n">
        <x:f>IF('Control Room'!$B$5="Normal",'Control Room'!$B$7,('Control Room'!$B$8+'Control Room'!$D$8)/2)+'Control Room'!$B$9*(AI649-IF('Control Room'!$B$5="Normal",'Control Room'!$B$7,('Control Room'!$B$8+'Control Room'!$D$8)/2))+SQRT(1-'Control Room'!$B$9^2)*(AH650-IF('Control Room'!$B$5="Normal",'Control Room'!$B$7,('Control Room'!$B$8+'Control Room'!$D$8)/2))</x:f>
        <x:v>848.842056534533</x:v>
      </x:c>
      <x:c r="AJ650" s="17" t="n">
        <x:f>IF(AND($A650&gt;='Control Room'!$A$13,$A650&lt;'Control Room'!$A$13+'Control Room'!$B$13,'Process'!BQ2=1),1+('Control Room'!$C$13-1)*EXP(-0.5*(($A650-'Control Room'!$A$13-('Control Room'!$B$13-1)/2)/MAX(0.5,'Control Room'!$B$13/4))^2),1)*IF(AND($A650&gt;='Control Room'!$A$14,$A650&lt;'Control Room'!$A$14+'Control Room'!$B$14,'Process'!BQ3=1),1+('Control Room'!$C$14-1)*EXP(-0.5*(($A650-'Control Room'!$A$14-('Control Room'!$B$14-1)/2)/MAX(0.5,'Control Room'!$B$14/4))^2),1)*IF(AND($A650&gt;='Control Room'!$A$15,$A650&lt;'Control Room'!$A$15+'Control Room'!$B$15,'Process'!BQ4=1),1+('Control Room'!$C$15-1)*EXP(-0.5*(($A650-'Control Room'!$A$15-('Control Room'!$B$15-1)/2)/MAX(0.5,'Control Room'!$B$15/4))^2),1)*IF(AND($A650&gt;='Control Room'!$A$16,$A650&lt;'Control Room'!$A$16+'Control Room'!$B$16,'Process'!BQ5=1),1+('Control Room'!$C$16-1)*EXP(-0.5*(($A650-'Control Room'!$A$16-('Control Room'!$B$16-1)/2)/MAX(0.5,'Control Room'!$B$16/4))^2),1)</x:f>
        <x:v>1</x:v>
      </x:c>
      <x:c r="AK650" s="9" t="n">
        <x:f>MOD(AL649*16807,2147483647)</x:f>
        <x:v>630659674</x:v>
      </x:c>
      <x:c r="AL650" s="9" t="n">
        <x:f>MOD(AK650*16807,2147483647)</x:f>
        <x:v>1665342973</x:v>
      </x:c>
      <x:c r="AM650" s="17" t="n">
        <x:f>IF('Control Room'!$B$5="Normal",'Control Room'!$B$7+'Control Room'!$D$7*SQRT(-2*LN(MAX(0.000000000001,AK650/2147483647)))*COS(2*PI()*AL650/2147483647),'Control Room'!$B$8+('Control Room'!$D$8-'Control Room'!$B$8)*AK650/2147483647)</x:f>
        <x:v>1022.4644551985164</x:v>
      </x:c>
      <x:c r="AN650" s="17" t="n">
        <x:f>IF('Control Room'!$B$5="Normal",'Control Room'!$B$7,('Control Room'!$B$8+'Control Room'!$D$8)/2)+'Control Room'!$B$9*(AN649-IF('Control Room'!$B$5="Normal",'Control Room'!$B$7,('Control Room'!$B$8+'Control Room'!$D$8)/2))+SQRT(1-'Control Room'!$B$9^2)*(AM650-IF('Control Room'!$B$5="Normal",'Control Room'!$B$7,('Control Room'!$B$8+'Control Room'!$D$8)/2))</x:f>
        <x:v>935.6921062136676</x:v>
      </x:c>
      <x:c r="AO650" s="17" t="n">
        <x:f>IF(AND($A650&gt;='Control Room'!$A$13,$A650&lt;'Control Room'!$A$13+'Control Room'!$B$13,'Process'!BR2=1),1+('Control Room'!$C$13-1)*EXP(-0.5*(($A650-'Control Room'!$A$13-('Control Room'!$B$13-1)/2)/MAX(0.5,'Control Room'!$B$13/4))^2),1)*IF(AND($A650&gt;='Control Room'!$A$14,$A650&lt;'Control Room'!$A$14+'Control Room'!$B$14,'Process'!BR3=1),1+('Control Room'!$C$14-1)*EXP(-0.5*(($A650-'Control Room'!$A$14-('Control Room'!$B$14-1)/2)/MAX(0.5,'Control Room'!$B$14/4))^2),1)*IF(AND($A650&gt;='Control Room'!$A$15,$A650&lt;'Control Room'!$A$15+'Control Room'!$B$15,'Process'!BR4=1),1+('Control Room'!$C$15-1)*EXP(-0.5*(($A650-'Control Room'!$A$15-('Control Room'!$B$15-1)/2)/MAX(0.5,'Control Room'!$B$15/4))^2),1)*IF(AND($A650&gt;='Control Room'!$A$16,$A650&lt;'Control Room'!$A$16+'Control Room'!$B$16,'Process'!BR5=1),1+('Control Room'!$C$16-1)*EXP(-0.5*(($A650-'Control Room'!$A$16-('Control Room'!$B$16-1)/2)/MAX(0.5,'Control Room'!$B$16/4))^2),1)</x:f>
        <x:v>1</x:v>
      </x:c>
      <x:c r="AP650" s="9" t="n">
        <x:f>MOD(AQ649*16807,2147483647)</x:f>
        <x:v>758354626</x:v>
      </x:c>
      <x:c r="AQ650" s="9" t="n">
        <x:f>MOD(AP650*16807,2147483647)</x:f>
        <x:v>350754237</x:v>
      </x:c>
      <x:c r="AR650" s="17" t="n">
        <x:f>IF('Control Room'!$B$5="Normal",'Control Room'!$B$7+'Control Room'!$D$7*SQRT(-2*LN(MAX(0.000000000001,AP650/2147483647)))*COS(2*PI()*AQ650/2147483647),'Control Room'!$B$8+('Control Room'!$D$8-'Control Room'!$B$8)*AP650/2147483647)</x:f>
        <x:v>1067.2694067506807</x:v>
      </x:c>
      <x:c r="AS650" s="17" t="n">
        <x:f>IF('Control Room'!$B$5="Normal",'Control Room'!$B$7,('Control Room'!$B$8+'Control Room'!$D$8)/2)+'Control Room'!$B$9*(AS649-IF('Control Room'!$B$5="Normal",'Control Room'!$B$7,('Control Room'!$B$8+'Control Room'!$D$8)/2))+SQRT(1-'Control Room'!$B$9^2)*(AR650-IF('Control Room'!$B$5="Normal",'Control Room'!$B$7,('Control Room'!$B$8+'Control Room'!$D$8)/2))</x:f>
        <x:v>1001.1771114376247</x:v>
      </x:c>
      <x:c r="AT650" s="17" t="n">
        <x:f>IF(AND($A650&gt;='Control Room'!$A$13,$A650&lt;'Control Room'!$A$13+'Control Room'!$B$13,'Process'!BS2=1),1+('Control Room'!$C$13-1)*EXP(-0.5*(($A650-'Control Room'!$A$13-('Control Room'!$B$13-1)/2)/MAX(0.5,'Control Room'!$B$13/4))^2),1)*IF(AND($A650&gt;='Control Room'!$A$14,$A650&lt;'Control Room'!$A$14+'Control Room'!$B$14,'Process'!BS3=1),1+('Control Room'!$C$14-1)*EXP(-0.5*(($A650-'Control Room'!$A$14-('Control Room'!$B$14-1)/2)/MAX(0.5,'Control Room'!$B$14/4))^2),1)*IF(AND($A650&gt;='Control Room'!$A$15,$A650&lt;'Control Room'!$A$15+'Control Room'!$B$15,'Process'!BS4=1),1+('Control Room'!$C$15-1)*EXP(-0.5*(($A650-'Control Room'!$A$15-('Control Room'!$B$15-1)/2)/MAX(0.5,'Control Room'!$B$15/4))^2),1)*IF(AND($A650&gt;='Control Room'!$A$16,$A650&lt;'Control Room'!$A$16+'Control Room'!$B$16,'Process'!BS5=1),1+('Control Room'!$C$16-1)*EXP(-0.5*(($A650-'Control Room'!$A$16-('Control Room'!$B$16-1)/2)/MAX(0.5,'Control Room'!$B$16/4))^2),1)</x:f>
        <x:v>1</x:v>
      </x:c>
      <x:c r="AU650" s="9" t="n">
        <x:f>MOD(AV649*16807,2147483647)</x:f>
        <x:v>886049578</x:v>
      </x:c>
      <x:c r="AV650" s="9" t="n">
        <x:f>MOD(AU650*16807,2147483647)</x:f>
        <x:v>1183649148</x:v>
      </x:c>
      <x:c r="AW650" s="17" t="n">
        <x:f>IF('Control Room'!$B$5="Normal",'Control Room'!$B$7+'Control Room'!$D$7*SQRT(-2*LN(MAX(0.000000000001,AU650/2147483647)))*COS(2*PI()*AV650/2147483647),'Control Room'!$B$8+('Control Room'!$D$8-'Control Room'!$B$8)*AU650/2147483647)</x:f>
        <x:v>886.3825895935046</x:v>
      </x:c>
      <x:c r="AX650" s="17" t="n">
        <x:f>IF('Control Room'!$B$5="Normal",'Control Room'!$B$7,('Control Room'!$B$8+'Control Room'!$D$8)/2)+'Control Room'!$B$9*(AX649-IF('Control Room'!$B$5="Normal",'Control Room'!$B$7,('Control Room'!$B$8+'Control Room'!$D$8)/2))+SQRT(1-'Control Room'!$B$9^2)*(AW650-IF('Control Room'!$B$5="Normal",'Control Room'!$B$7,('Control Room'!$B$8+'Control Room'!$D$8)/2))</x:f>
        <x:v>823.5362791136665</x:v>
      </x:c>
      <x:c r="AY650" s="17" t="n">
        <x:f>IF(AND($A650&gt;='Control Room'!$A$13,$A650&lt;'Control Room'!$A$13+'Control Room'!$B$13,'Process'!BT2=1),1+('Control Room'!$C$13-1)*EXP(-0.5*(($A650-'Control Room'!$A$13-('Control Room'!$B$13-1)/2)/MAX(0.5,'Control Room'!$B$13/4))^2),1)*IF(AND($A650&gt;='Control Room'!$A$14,$A650&lt;'Control Room'!$A$14+'Control Room'!$B$14,'Process'!BT3=1),1+('Control Room'!$C$14-1)*EXP(-0.5*(($A650-'Control Room'!$A$14-('Control Room'!$B$14-1)/2)/MAX(0.5,'Control Room'!$B$14/4))^2),1)*IF(AND($A650&gt;='Control Room'!$A$15,$A650&lt;'Control Room'!$A$15+'Control Room'!$B$15,'Process'!BT4=1),1+('Control Room'!$C$15-1)*EXP(-0.5*(($A650-'Control Room'!$A$15-('Control Room'!$B$15-1)/2)/MAX(0.5,'Control Room'!$B$15/4))^2),1)*IF(AND($A650&gt;='Control Room'!$A$16,$A650&lt;'Control Room'!$A$16+'Control Room'!$B$16,'Process'!BT5=1),1+('Control Room'!$C$16-1)*EXP(-0.5*(($A650-'Control Room'!$A$16-('Control Room'!$B$16-1)/2)/MAX(0.5,'Control Room'!$B$16/4))^2),1)</x:f>
        <x:v>1</x:v>
      </x:c>
      <x:c r="AZ650" s="9" t="n">
        <x:f>MOD(BA649*16807,2147483647)</x:f>
        <x:v>1013744530</x:v>
      </x:c>
      <x:c r="BA650" s="9" t="n">
        <x:f>MOD(AZ650*16807,2147483647)</x:f>
        <x:v>2016544059</x:v>
      </x:c>
      <x:c r="BB650" s="17" t="n">
        <x:f>IF('Control Room'!$B$5="Normal",'Control Room'!$B$7+'Control Room'!$D$7*SQRT(-2*LN(MAX(0.000000000001,AZ650/2147483647)))*COS(2*PI()*BA650/2147483647),'Control Room'!$B$8+('Control Room'!$D$8-'Control Room'!$B$8)*AZ650/2147483647)</x:f>
        <x:v>1102.2804039617695</x:v>
      </x:c>
      <x:c r="BC650" s="17" t="n">
        <x:f>IF('Control Room'!$B$5="Normal",'Control Room'!$B$7,('Control Room'!$B$8+'Control Room'!$D$8)/2)+'Control Room'!$B$9*(BC649-IF('Control Room'!$B$5="Normal",'Control Room'!$B$7,('Control Room'!$B$8+'Control Room'!$D$8)/2))+SQRT(1-'Control Room'!$B$9^2)*(BB650-IF('Control Room'!$B$5="Normal",'Control Room'!$B$7,('Control Room'!$B$8+'Control Room'!$D$8)/2))</x:f>
        <x:v>1018.2452336603087</x:v>
      </x:c>
      <x:c r="BD650" s="17" t="n">
        <x:f>IF(AND($A650&gt;='Control Room'!$A$13,$A650&lt;'Control Room'!$A$13+'Control Room'!$B$13,'Process'!BU2=1),1+('Control Room'!$C$13-1)*EXP(-0.5*(($A650-'Control Room'!$A$13-('Control Room'!$B$13-1)/2)/MAX(0.5,'Control Room'!$B$13/4))^2),1)*IF(AND($A650&gt;='Control Room'!$A$14,$A650&lt;'Control Room'!$A$14+'Control Room'!$B$14,'Process'!BU3=1),1+('Control Room'!$C$14-1)*EXP(-0.5*(($A650-'Control Room'!$A$14-('Control Room'!$B$14-1)/2)/MAX(0.5,'Control Room'!$B$14/4))^2),1)*IF(AND($A650&gt;='Control Room'!$A$15,$A650&lt;'Control Room'!$A$15+'Control Room'!$B$15,'Process'!BU4=1),1+('Control Room'!$C$15-1)*EXP(-0.5*(($A650-'Control Room'!$A$15-('Control Room'!$B$15-1)/2)/MAX(0.5,'Control Room'!$B$15/4))^2),1)*IF(AND($A650&gt;='Control Room'!$A$16,$A650&lt;'Control Room'!$A$16+'Control Room'!$B$16,'Process'!BU5=1),1+('Control Room'!$C$16-1)*EXP(-0.5*(($A650-'Control Room'!$A$16-('Control Room'!$B$16-1)/2)/MAX(0.5,'Control Room'!$B$16/4))^2),1)</x:f>
        <x:v>1</x:v>
      </x:c>
      <x:c r="BE650" s="9" t="n">
        <x:f>MOD(BF649*16807,2147483647)</x:f>
        <x:v>1141439482</x:v>
      </x:c>
      <x:c r="BF650" s="9" t="n">
        <x:f>MOD(BE650*16807,2147483647)</x:f>
        <x:v>701955323</x:v>
      </x:c>
      <x:c r="BG650" s="17" t="n">
        <x:f>IF('Control Room'!$B$5="Normal",'Control Room'!$B$7+'Control Room'!$D$7*SQRT(-2*LN(MAX(0.000000000001,BE650/2147483647)))*COS(2*PI()*BF650/2147483647),'Control Room'!$B$8+('Control Room'!$D$8-'Control Room'!$B$8)*BE650/2147483647)</x:f>
        <x:v>953.0047069985591</x:v>
      </x:c>
      <x:c r="BH650" s="17" t="n">
        <x:f>IF('Control Room'!$B$5="Normal",'Control Room'!$B$7,('Control Room'!$B$8+'Control Room'!$D$8)/2)+'Control Room'!$B$9*(BH649-IF('Control Room'!$B$5="Normal",'Control Room'!$B$7,('Control Room'!$B$8+'Control Room'!$D$8)/2))+SQRT(1-'Control Room'!$B$9^2)*(BG650-IF('Control Room'!$B$5="Normal",'Control Room'!$B$7,('Control Room'!$B$8+'Control Room'!$D$8)/2))</x:f>
        <x:v>971.722189307023</x:v>
      </x:c>
      <x:c r="BI650" s="17" t="n">
        <x:f>IF(AND($A650&gt;='Control Room'!$A$13,$A650&lt;'Control Room'!$A$13+'Control Room'!$B$13,'Process'!BV2=1),1+('Control Room'!$C$13-1)*EXP(-0.5*(($A650-'Control Room'!$A$13-('Control Room'!$B$13-1)/2)/MAX(0.5,'Control Room'!$B$13/4))^2),1)*IF(AND($A650&gt;='Control Room'!$A$14,$A650&lt;'Control Room'!$A$14+'Control Room'!$B$14,'Process'!BV3=1),1+('Control Room'!$C$14-1)*EXP(-0.5*(($A650-'Control Room'!$A$14-('Control Room'!$B$14-1)/2)/MAX(0.5,'Control Room'!$B$14/4))^2),1)*IF(AND($A650&gt;='Control Room'!$A$15,$A650&lt;'Control Room'!$A$15+'Control Room'!$B$15,'Process'!BV4=1),1+('Control Room'!$C$15-1)*EXP(-0.5*(($A650-'Control Room'!$A$15-('Control Room'!$B$15-1)/2)/MAX(0.5,'Control Room'!$B$15/4))^2),1)*IF(AND($A650&gt;='Control Room'!$A$16,$A650&lt;'Control Room'!$A$16+'Control Room'!$B$16,'Process'!BV5=1),1+('Control Room'!$C$16-1)*EXP(-0.5*(($A650-'Control Room'!$A$16-('Control Room'!$B$16-1)/2)/MAX(0.5,'Control Room'!$B$16/4))^2),1)</x:f>
        <x:v>1</x:v>
      </x:c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Z650" t="str">
        <x:f>IF('Data'!A650="","",TEXT('Data'!A650,"mm-dd"))</x:f>
      </x:c>
    </x:row>
    <x:row r="651" ht="21" customHeight="1">
      <x:c r="A651" s="15" t="n">
        <x:f>'Control Room'!$B$1+649</x:f>
        <x:v>73640</x:v>
      </x:c>
      <x:c r="B651" s="9" t="n">
        <x:f>MOD(C650*16807,2147483647)</x:f>
        <x:v>1690404231</x:v>
      </x:c>
      <x:c r="C651" s="9" t="n">
        <x:f>MOD(B651*16807,2147483647)</x:f>
        <x:v>1562744254</x:v>
      </x:c>
      <x:c r="D651" s="17" t="n">
        <x:f>IF('Control Room'!$B$5="Normal",'Control Room'!$B$7+'Control Room'!$D$7*SQRT(-2*LN(MAX(0.000000000001,B651/2147483647)))*COS(2*PI()*C651/2147483647),'Control Room'!$B$8+('Control Room'!$D$8-'Control Room'!$B$8)*B651/2147483647)</x:f>
        <x:v>991.3077113718647</x:v>
      </x:c>
      <x:c r="E651" s="17" t="n">
        <x:f>IF('Control Room'!$B$5="Normal",'Control Room'!$B$7,('Control Room'!$B$8+'Control Room'!$D$8)/2)+'Control Room'!$B$9*(E650-IF('Control Room'!$B$5="Normal",'Control Room'!$B$7,('Control Room'!$B$8+'Control Room'!$D$8)/2))+SQRT(1-'Control Room'!$B$9^2)*(D651-IF('Control Room'!$B$5="Normal",'Control Room'!$B$7,('Control Room'!$B$8+'Control Room'!$D$8)/2))</x:f>
        <x:v>1025.3665890110017</x:v>
      </x:c>
      <x:c r="F651" s="17" t="n">
        <x:f>IF(AND($A651&gt;='Control Room'!$A$13,$A651&lt;'Control Room'!$A$13+'Control Room'!$B$13,'Process'!BK2=1),1+('Control Room'!$C$13-1)*EXP(-0.5*(($A651-'Control Room'!$A$13-('Control Room'!$B$13-1)/2)/MAX(0.5,'Control Room'!$B$13/4))^2),1)*IF(AND($A651&gt;='Control Room'!$A$14,$A651&lt;'Control Room'!$A$14+'Control Room'!$B$14,'Process'!BK3=1),1+('Control Room'!$C$14-1)*EXP(-0.5*(($A651-'Control Room'!$A$14-('Control Room'!$B$14-1)/2)/MAX(0.5,'Control Room'!$B$14/4))^2),1)*IF(AND($A651&gt;='Control Room'!$A$15,$A651&lt;'Control Room'!$A$15+'Control Room'!$B$15,'Process'!BK4=1),1+('Control Room'!$C$15-1)*EXP(-0.5*(($A651-'Control Room'!$A$15-('Control Room'!$B$15-1)/2)/MAX(0.5,'Control Room'!$B$15/4))^2),1)*IF(AND($A651&gt;='Control Room'!$A$16,$A651&lt;'Control Room'!$A$16+'Control Room'!$B$16,'Process'!BK5=1),1+('Control Room'!$C$16-1)*EXP(-0.5*(($A651-'Control Room'!$A$16-('Control Room'!$B$16-1)/2)/MAX(0.5,'Control Room'!$B$16/4))^2),1)</x:f>
        <x:v>1</x:v>
      </x:c>
      <x:c r="G651" s="9" t="n">
        <x:f>MOD(H650*16807,2147483647)</x:f>
        <x:v>709278615</x:v>
      </x:c>
      <x:c r="H651" s="9" t="n">
        <x:f>MOD(G651*16807,2147483647)</x:f>
        <x:v>163957808</x:v>
      </x:c>
      <x:c r="I651" s="17" t="n">
        <x:f>IF('Control Room'!$B$5="Normal",'Control Room'!$B$7+'Control Room'!$D$7*SQRT(-2*LN(MAX(0.000000000001,G651/2147483647)))*COS(2*PI()*H651/2147483647),'Control Room'!$B$8+('Control Room'!$D$8-'Control Room'!$B$8)*G651/2147483647)</x:f>
        <x:v>1118.84331142848</x:v>
      </x:c>
      <x:c r="J651" s="17" t="n">
        <x:f>IF('Control Room'!$B$5="Normal",'Control Room'!$B$7,('Control Room'!$B$8+'Control Room'!$D$8)/2)+'Control Room'!$B$9*(J650-IF('Control Room'!$B$5="Normal",'Control Room'!$B$7,('Control Room'!$B$8+'Control Room'!$D$8)/2))+SQRT(1-'Control Room'!$B$9^2)*(I651-IF('Control Room'!$B$5="Normal",'Control Room'!$B$7,('Control Room'!$B$8+'Control Room'!$D$8)/2))</x:f>
        <x:v>969.2183426329581</x:v>
      </x:c>
      <x:c r="K651" s="17" t="n">
        <x:f>IF(AND($A651&gt;='Control Room'!$A$13,$A651&lt;'Control Room'!$A$13+'Control Room'!$B$13,'Process'!BL2=1),1+('Control Room'!$C$13-1)*EXP(-0.5*(($A651-'Control Room'!$A$13-('Control Room'!$B$13-1)/2)/MAX(0.5,'Control Room'!$B$13/4))^2),1)*IF(AND($A651&gt;='Control Room'!$A$14,$A651&lt;'Control Room'!$A$14+'Control Room'!$B$14,'Process'!BL3=1),1+('Control Room'!$C$14-1)*EXP(-0.5*(($A651-'Control Room'!$A$14-('Control Room'!$B$14-1)/2)/MAX(0.5,'Control Room'!$B$14/4))^2),1)*IF(AND($A651&gt;='Control Room'!$A$15,$A651&lt;'Control Room'!$A$15+'Control Room'!$B$15,'Process'!BL4=1),1+('Control Room'!$C$15-1)*EXP(-0.5*(($A651-'Control Room'!$A$15-('Control Room'!$B$15-1)/2)/MAX(0.5,'Control Room'!$B$15/4))^2),1)*IF(AND($A651&gt;='Control Room'!$A$16,$A651&lt;'Control Room'!$A$16+'Control Room'!$B$16,'Process'!BL5=1),1+('Control Room'!$C$16-1)*EXP(-0.5*(($A651-'Control Room'!$A$16-('Control Room'!$B$16-1)/2)/MAX(0.5,'Control Room'!$B$16/4))^2),1)</x:f>
        <x:v>1</x:v>
      </x:c>
      <x:c r="L651" s="9" t="n">
        <x:f>MOD(M650*16807,2147483647)</x:f>
        <x:v>1875636646</x:v>
      </x:c>
      <x:c r="M651" s="9" t="n">
        <x:f>MOD(L651*16807,2147483647)</x:f>
        <x:v>912655009</x:v>
      </x:c>
      <x:c r="N651" s="17" t="n">
        <x:f>IF('Control Room'!$B$5="Normal",'Control Room'!$B$7+'Control Room'!$D$7*SQRT(-2*LN(MAX(0.000000000001,L651/2147483647)))*COS(2*PI()*M651/2147483647),'Control Room'!$B$8+('Control Room'!$D$8-'Control Room'!$B$8)*L651/2147483647)</x:f>
        <x:v>958.2795715907588</x:v>
      </x:c>
      <x:c r="O651" s="17" t="n">
        <x:f>IF('Control Room'!$B$5="Normal",'Control Room'!$B$7,('Control Room'!$B$8+'Control Room'!$D$8)/2)+'Control Room'!$B$9*(O650-IF('Control Room'!$B$5="Normal",'Control Room'!$B$7,('Control Room'!$B$8+'Control Room'!$D$8)/2))+SQRT(1-'Control Room'!$B$9^2)*(N651-IF('Control Room'!$B$5="Normal",'Control Room'!$B$7,('Control Room'!$B$8+'Control Room'!$D$8)/2))</x:f>
        <x:v>970.870431381016</x:v>
      </x:c>
      <x:c r="P651" s="17" t="n">
        <x:f>IF(AND($A651&gt;='Control Room'!$A$13,$A651&lt;'Control Room'!$A$13+'Control Room'!$B$13,'Process'!BM2=1),1+('Control Room'!$C$13-1)*EXP(-0.5*(($A651-'Control Room'!$A$13-('Control Room'!$B$13-1)/2)/MAX(0.5,'Control Room'!$B$13/4))^2),1)*IF(AND($A651&gt;='Control Room'!$A$14,$A651&lt;'Control Room'!$A$14+'Control Room'!$B$14,'Process'!BM3=1),1+('Control Room'!$C$14-1)*EXP(-0.5*(($A651-'Control Room'!$A$14-('Control Room'!$B$14-1)/2)/MAX(0.5,'Control Room'!$B$14/4))^2),1)*IF(AND($A651&gt;='Control Room'!$A$15,$A651&lt;'Control Room'!$A$15+'Control Room'!$B$15,'Process'!BM4=1),1+('Control Room'!$C$15-1)*EXP(-0.5*(($A651-'Control Room'!$A$15-('Control Room'!$B$15-1)/2)/MAX(0.5,'Control Room'!$B$15/4))^2),1)*IF(AND($A651&gt;='Control Room'!$A$16,$A651&lt;'Control Room'!$A$16+'Control Room'!$B$16,'Process'!BM5=1),1+('Control Room'!$C$16-1)*EXP(-0.5*(($A651-'Control Room'!$A$16-('Control Room'!$B$16-1)/2)/MAX(0.5,'Control Room'!$B$16/4))^2),1)</x:f>
        <x:v>1</x:v>
      </x:c>
      <x:c r="Q651" s="9" t="n">
        <x:f>MOD(R650*16807,2147483647)</x:f>
        <x:v>894511030</x:v>
      </x:c>
      <x:c r="R651" s="9" t="n">
        <x:f>MOD(Q651*16807,2147483647)</x:f>
        <x:v>1661352210</x:v>
      </x:c>
      <x:c r="S651" s="17" t="n">
        <x:f>IF('Control Room'!$B$5="Normal",'Control Room'!$B$7+'Control Room'!$D$7*SQRT(-2*LN(MAX(0.000000000001,Q651/2147483647)))*COS(2*PI()*R651/2147483647),'Control Room'!$B$8+('Control Room'!$D$8-'Control Room'!$B$8)*Q651/2147483647)</x:f>
        <x:v>1017.6178655391617</x:v>
      </x:c>
      <x:c r="T651" s="17" t="n">
        <x:f>IF('Control Room'!$B$5="Normal",'Control Room'!$B$7,('Control Room'!$B$8+'Control Room'!$D$8)/2)+'Control Room'!$B$9*(T650-IF('Control Room'!$B$5="Normal",'Control Room'!$B$7,('Control Room'!$B$8+'Control Room'!$D$8)/2))+SQRT(1-'Control Room'!$B$9^2)*(S651-IF('Control Room'!$B$5="Normal",'Control Room'!$B$7,('Control Room'!$B$8+'Control Room'!$D$8)/2))</x:f>
        <x:v>952.8663810423187</x:v>
      </x:c>
      <x:c r="U651" s="17" t="n">
        <x:f>IF(AND($A651&gt;='Control Room'!$A$13,$A651&lt;'Control Room'!$A$13+'Control Room'!$B$13,'Process'!BN2=1),1+('Control Room'!$C$13-1)*EXP(-0.5*(($A651-'Control Room'!$A$13-('Control Room'!$B$13-1)/2)/MAX(0.5,'Control Room'!$B$13/4))^2),1)*IF(AND($A651&gt;='Control Room'!$A$14,$A651&lt;'Control Room'!$A$14+'Control Room'!$B$14,'Process'!BN3=1),1+('Control Room'!$C$14-1)*EXP(-0.5*(($A651-'Control Room'!$A$14-('Control Room'!$B$14-1)/2)/MAX(0.5,'Control Room'!$B$14/4))^2),1)*IF(AND($A651&gt;='Control Room'!$A$15,$A651&lt;'Control Room'!$A$15+'Control Room'!$B$15,'Process'!BN4=1),1+('Control Room'!$C$15-1)*EXP(-0.5*(($A651-'Control Room'!$A$15-('Control Room'!$B$15-1)/2)/MAX(0.5,'Control Room'!$B$15/4))^2),1)*IF(AND($A651&gt;='Control Room'!$A$16,$A651&lt;'Control Room'!$A$16+'Control Room'!$B$16,'Process'!BN5=1),1+('Control Room'!$C$16-1)*EXP(-0.5*(($A651-'Control Room'!$A$16-('Control Room'!$B$16-1)/2)/MAX(0.5,'Control Room'!$B$16/4))^2),1)</x:f>
        <x:v>1</x:v>
      </x:c>
      <x:c r="V651" s="9" t="n">
        <x:f>MOD(W650*16807,2147483647)</x:f>
        <x:v>2060869061</x:v>
      </x:c>
      <x:c r="W651" s="9" t="n">
        <x:f>MOD(V651*16807,2147483647)</x:f>
        <x:v>262565764</x:v>
      </x:c>
      <x:c r="X651" s="17" t="n">
        <x:f>IF('Control Room'!$B$5="Normal",'Control Room'!$B$7+'Control Room'!$D$7*SQRT(-2*LN(MAX(0.000000000001,V651/2147483647)))*COS(2*PI()*W651/2147483647),'Control Room'!$B$8+('Control Room'!$D$8-'Control Room'!$B$8)*V651/2147483647)</x:f>
        <x:v>1018.5720329302752</x:v>
      </x:c>
      <x:c r="Y651" s="17" t="n">
        <x:f>IF('Control Room'!$B$5="Normal",'Control Room'!$B$7,('Control Room'!$B$8+'Control Room'!$D$8)/2)+'Control Room'!$B$9*(Y650-IF('Control Room'!$B$5="Normal",'Control Room'!$B$7,('Control Room'!$B$8+'Control Room'!$D$8)/2))+SQRT(1-'Control Room'!$B$9^2)*(X651-IF('Control Room'!$B$5="Normal",'Control Room'!$B$7,('Control Room'!$B$8+'Control Room'!$D$8)/2))</x:f>
        <x:v>910.3498524920079</x:v>
      </x:c>
      <x:c r="Z651" s="17" t="n">
        <x:f>IF(AND($A651&gt;='Control Room'!$A$13,$A651&lt;'Control Room'!$A$13+'Control Room'!$B$13,'Process'!BO2=1),1+('Control Room'!$C$13-1)*EXP(-0.5*(($A651-'Control Room'!$A$13-('Control Room'!$B$13-1)/2)/MAX(0.5,'Control Room'!$B$13/4))^2),1)*IF(AND($A651&gt;='Control Room'!$A$14,$A651&lt;'Control Room'!$A$14+'Control Room'!$B$14,'Process'!BO3=1),1+('Control Room'!$C$14-1)*EXP(-0.5*(($A651-'Control Room'!$A$14-('Control Room'!$B$14-1)/2)/MAX(0.5,'Control Room'!$B$14/4))^2),1)*IF(AND($A651&gt;='Control Room'!$A$15,$A651&lt;'Control Room'!$A$15+'Control Room'!$B$15,'Process'!BO4=1),1+('Control Room'!$C$15-1)*EXP(-0.5*(($A651-'Control Room'!$A$15-('Control Room'!$B$15-1)/2)/MAX(0.5,'Control Room'!$B$15/4))^2),1)*IF(AND($A651&gt;='Control Room'!$A$16,$A651&lt;'Control Room'!$A$16+'Control Room'!$B$16,'Process'!BO5=1),1+('Control Room'!$C$16-1)*EXP(-0.5*(($A651-'Control Room'!$A$16-('Control Room'!$B$16-1)/2)/MAX(0.5,'Control Room'!$B$16/4))^2),1)</x:f>
        <x:v>1</x:v>
      </x:c>
      <x:c r="AA651" s="9" t="n">
        <x:f>MOD(AB650*16807,2147483647)</x:f>
        <x:v>1079743445</x:v>
      </x:c>
      <x:c r="AB651" s="9" t="n">
        <x:f>MOD(AA651*16807,2147483647)</x:f>
        <x:v>1011262965</x:v>
      </x:c>
      <x:c r="AC651" s="17" t="n">
        <x:f>IF('Control Room'!$B$5="Normal",'Control Room'!$B$7+'Control Room'!$D$7*SQRT(-2*LN(MAX(0.000000000001,AA651/2147483647)))*COS(2*PI()*AB651/2147483647),'Control Room'!$B$8+('Control Room'!$D$8-'Control Room'!$B$8)*AA651/2147483647)</x:f>
        <x:v>896.2185241586143</x:v>
      </x:c>
      <x:c r="AD651" s="17" t="n">
        <x:f>IF('Control Room'!$B$5="Normal",'Control Room'!$B$7,('Control Room'!$B$8+'Control Room'!$D$8)/2)+'Control Room'!$B$9*(AD650-IF('Control Room'!$B$5="Normal",'Control Room'!$B$7,('Control Room'!$B$8+'Control Room'!$D$8)/2))+SQRT(1-'Control Room'!$B$9^2)*(AC651-IF('Control Room'!$B$5="Normal",'Control Room'!$B$7,('Control Room'!$B$8+'Control Room'!$D$8)/2))</x:f>
        <x:v>1088.1216105207557</x:v>
      </x:c>
      <x:c r="AE651" s="17" t="n">
        <x:f>IF(AND($A651&gt;='Control Room'!$A$13,$A651&lt;'Control Room'!$A$13+'Control Room'!$B$13,'Process'!BP2=1),1+('Control Room'!$C$13-1)*EXP(-0.5*(($A651-'Control Room'!$A$13-('Control Room'!$B$13-1)/2)/MAX(0.5,'Control Room'!$B$13/4))^2),1)*IF(AND($A651&gt;='Control Room'!$A$14,$A651&lt;'Control Room'!$A$14+'Control Room'!$B$14,'Process'!BP3=1),1+('Control Room'!$C$14-1)*EXP(-0.5*(($A651-'Control Room'!$A$14-('Control Room'!$B$14-1)/2)/MAX(0.5,'Control Room'!$B$14/4))^2),1)*IF(AND($A651&gt;='Control Room'!$A$15,$A651&lt;'Control Room'!$A$15+'Control Room'!$B$15,'Process'!BP4=1),1+('Control Room'!$C$15-1)*EXP(-0.5*(($A651-'Control Room'!$A$15-('Control Room'!$B$15-1)/2)/MAX(0.5,'Control Room'!$B$15/4))^2),1)*IF(AND($A651&gt;='Control Room'!$A$16,$A651&lt;'Control Room'!$A$16+'Control Room'!$B$16,'Process'!BP5=1),1+('Control Room'!$C$16-1)*EXP(-0.5*(($A651-'Control Room'!$A$16-('Control Room'!$B$16-1)/2)/MAX(0.5,'Control Room'!$B$16/4))^2),1)</x:f>
        <x:v>1</x:v>
      </x:c>
      <x:c r="AF651" s="9" t="n">
        <x:f>MOD(AG650*16807,2147483647)</x:f>
        <x:v>98617829</x:v>
      </x:c>
      <x:c r="AG651" s="9" t="n">
        <x:f>MOD(AF651*16807,2147483647)</x:f>
        <x:v>1759960166</x:v>
      </x:c>
      <x:c r="AH651" s="17" t="n">
        <x:f>IF('Control Room'!$B$5="Normal",'Control Room'!$B$7+'Control Room'!$D$7*SQRT(-2*LN(MAX(0.000000000001,AF651/2147483647)))*COS(2*PI()*AG651/2147483647),'Control Room'!$B$8+('Control Room'!$D$8-'Control Room'!$B$8)*AF651/2147483647)</x:f>
        <x:v>1094.5425513031857</x:v>
      </x:c>
      <x:c r="AI651" s="17" t="n">
        <x:f>IF('Control Room'!$B$5="Normal",'Control Room'!$B$7,('Control Room'!$B$8+'Control Room'!$D$8)/2)+'Control Room'!$B$9*(AI650-IF('Control Room'!$B$5="Normal",'Control Room'!$B$7,('Control Room'!$B$8+'Control Room'!$D$8)/2))+SQRT(1-'Control Room'!$B$9^2)*(AH651-IF('Control Room'!$B$5="Normal",'Control Room'!$B$7,('Control Room'!$B$8+'Control Room'!$D$8)/2))</x:f>
        <x:v>941.2595958930309</x:v>
      </x:c>
      <x:c r="AJ651" s="17" t="n">
        <x:f>IF(AND($A651&gt;='Control Room'!$A$13,$A651&lt;'Control Room'!$A$13+'Control Room'!$B$13,'Process'!BQ2=1),1+('Control Room'!$C$13-1)*EXP(-0.5*(($A651-'Control Room'!$A$13-('Control Room'!$B$13-1)/2)/MAX(0.5,'Control Room'!$B$13/4))^2),1)*IF(AND($A651&gt;='Control Room'!$A$14,$A651&lt;'Control Room'!$A$14+'Control Room'!$B$14,'Process'!BQ3=1),1+('Control Room'!$C$14-1)*EXP(-0.5*(($A651-'Control Room'!$A$14-('Control Room'!$B$14-1)/2)/MAX(0.5,'Control Room'!$B$14/4))^2),1)*IF(AND($A651&gt;='Control Room'!$A$15,$A651&lt;'Control Room'!$A$15+'Control Room'!$B$15,'Process'!BQ4=1),1+('Control Room'!$C$15-1)*EXP(-0.5*(($A651-'Control Room'!$A$15-('Control Room'!$B$15-1)/2)/MAX(0.5,'Control Room'!$B$15/4))^2),1)*IF(AND($A651&gt;='Control Room'!$A$16,$A651&lt;'Control Room'!$A$16+'Control Room'!$B$16,'Process'!BQ5=1),1+('Control Room'!$C$16-1)*EXP(-0.5*(($A651-'Control Room'!$A$16-('Control Room'!$B$16-1)/2)/MAX(0.5,'Control Room'!$B$16/4))^2),1)</x:f>
        <x:v>1</x:v>
      </x:c>
      <x:c r="AK651" s="9" t="n">
        <x:f>MOD(AL650*16807,2147483647)</x:f>
        <x:v>1264975860</x:v>
      </x:c>
      <x:c r="AL651" s="9" t="n">
        <x:f>MOD(AK651*16807,2147483647)</x:f>
        <x:v>361173720</x:v>
      </x:c>
      <x:c r="AM651" s="17" t="n">
        <x:f>IF('Control Room'!$B$5="Normal",'Control Room'!$B$7+'Control Room'!$D$7*SQRT(-2*LN(MAX(0.000000000001,AK651/2147483647)))*COS(2*PI()*AL651/2147483647),'Control Room'!$B$8+('Control Room'!$D$8-'Control Room'!$B$8)*AK651/2147483647)</x:f>
        <x:v>1045.5303633629887</x:v>
      </x:c>
      <x:c r="AN651" s="17" t="n">
        <x:f>IF('Control Room'!$B$5="Normal",'Control Room'!$B$7,('Control Room'!$B$8+'Control Room'!$D$8)/2)+'Control Room'!$B$9*(AN650-IF('Control Room'!$B$5="Normal",'Control Room'!$B$7,('Control Room'!$B$8+'Control Room'!$D$8)/2))+SQRT(1-'Control Room'!$B$9^2)*(AM651-IF('Control Room'!$B$5="Normal",'Control Room'!$B$7,('Control Room'!$B$8+'Control Room'!$D$8)/2))</x:f>
        <x:v>978.3318114990266</x:v>
      </x:c>
      <x:c r="AO651" s="17" t="n">
        <x:f>IF(AND($A651&gt;='Control Room'!$A$13,$A651&lt;'Control Room'!$A$13+'Control Room'!$B$13,'Process'!BR2=1),1+('Control Room'!$C$13-1)*EXP(-0.5*(($A651-'Control Room'!$A$13-('Control Room'!$B$13-1)/2)/MAX(0.5,'Control Room'!$B$13/4))^2),1)*IF(AND($A651&gt;='Control Room'!$A$14,$A651&lt;'Control Room'!$A$14+'Control Room'!$B$14,'Process'!BR3=1),1+('Control Room'!$C$14-1)*EXP(-0.5*(($A651-'Control Room'!$A$14-('Control Room'!$B$14-1)/2)/MAX(0.5,'Control Room'!$B$14/4))^2),1)*IF(AND($A651&gt;='Control Room'!$A$15,$A651&lt;'Control Room'!$A$15+'Control Room'!$B$15,'Process'!BR4=1),1+('Control Room'!$C$15-1)*EXP(-0.5*(($A651-'Control Room'!$A$15-('Control Room'!$B$15-1)/2)/MAX(0.5,'Control Room'!$B$15/4))^2),1)*IF(AND($A651&gt;='Control Room'!$A$16,$A651&lt;'Control Room'!$A$16+'Control Room'!$B$16,'Process'!BR5=1),1+('Control Room'!$C$16-1)*EXP(-0.5*(($A651-'Control Room'!$A$16-('Control Room'!$B$16-1)/2)/MAX(0.5,'Control Room'!$B$16/4))^2),1)</x:f>
        <x:v>1</x:v>
      </x:c>
      <x:c r="AP651" s="9" t="n">
        <x:f>MOD(AQ650*16807,2147483647)</x:f>
        <x:v>283850244</x:v>
      </x:c>
      <x:c r="AQ651" s="9" t="n">
        <x:f>MOD(AP651*16807,2147483647)</x:f>
        <x:v>1109870921</x:v>
      </x:c>
      <x:c r="AR651" s="17" t="n">
        <x:f>IF('Control Room'!$B$5="Normal",'Control Room'!$B$7+'Control Room'!$D$7*SQRT(-2*LN(MAX(0.000000000001,AP651/2147483647)))*COS(2*PI()*AQ651/2147483647),'Control Room'!$B$8+('Control Room'!$D$8-'Control Room'!$B$8)*AP651/2147483647)</x:f>
        <x:v>819.9515283434619</x:v>
      </x:c>
      <x:c r="AS651" s="17" t="n">
        <x:f>IF('Control Room'!$B$5="Normal",'Control Room'!$B$7,('Control Room'!$B$8+'Control Room'!$D$8)/2)+'Control Room'!$B$9*(AS650-IF('Control Room'!$B$5="Normal",'Control Room'!$B$7,('Control Room'!$B$8+'Control Room'!$D$8)/2))+SQRT(1-'Control Room'!$B$9^2)*(AR651-IF('Control Room'!$B$5="Normal",'Control Room'!$B$7,('Control Room'!$B$8+'Control Room'!$D$8)/2))</x:f>
        <x:v>888.2475018521151</x:v>
      </x:c>
      <x:c r="AT651" s="17" t="n">
        <x:f>IF(AND($A651&gt;='Control Room'!$A$13,$A651&lt;'Control Room'!$A$13+'Control Room'!$B$13,'Process'!BS2=1),1+('Control Room'!$C$13-1)*EXP(-0.5*(($A651-'Control Room'!$A$13-('Control Room'!$B$13-1)/2)/MAX(0.5,'Control Room'!$B$13/4))^2),1)*IF(AND($A651&gt;='Control Room'!$A$14,$A651&lt;'Control Room'!$A$14+'Control Room'!$B$14,'Process'!BS3=1),1+('Control Room'!$C$14-1)*EXP(-0.5*(($A651-'Control Room'!$A$14-('Control Room'!$B$14-1)/2)/MAX(0.5,'Control Room'!$B$14/4))^2),1)*IF(AND($A651&gt;='Control Room'!$A$15,$A651&lt;'Control Room'!$A$15+'Control Room'!$B$15,'Process'!BS4=1),1+('Control Room'!$C$15-1)*EXP(-0.5*(($A651-'Control Room'!$A$15-('Control Room'!$B$15-1)/2)/MAX(0.5,'Control Room'!$B$15/4))^2),1)*IF(AND($A651&gt;='Control Room'!$A$16,$A651&lt;'Control Room'!$A$16+'Control Room'!$B$16,'Process'!BS5=1),1+('Control Room'!$C$16-1)*EXP(-0.5*(($A651-'Control Room'!$A$16-('Control Room'!$B$16-1)/2)/MAX(0.5,'Control Room'!$B$16/4))^2),1)</x:f>
        <x:v>1</x:v>
      </x:c>
      <x:c r="AU651" s="9" t="n">
        <x:f>MOD(AV650*16807,2147483647)</x:f>
        <x:v>1450208275</x:v>
      </x:c>
      <x:c r="AV651" s="9" t="n">
        <x:f>MOD(AU651*16807,2147483647)</x:f>
        <x:v>1858568122</x:v>
      </x:c>
      <x:c r="AW651" s="17" t="n">
        <x:f>IF('Control Room'!$B$5="Normal",'Control Room'!$B$7+'Control Room'!$D$7*SQRT(-2*LN(MAX(0.000000000001,AU651/2147483647)))*COS(2*PI()*AV651/2147483647),'Control Room'!$B$8+('Control Room'!$D$8-'Control Room'!$B$8)*AU651/2147483647)</x:f>
        <x:v>1052.913045980466</x:v>
      </x:c>
      <x:c r="AX651" s="17" t="n">
        <x:f>IF('Control Room'!$B$5="Normal",'Control Room'!$B$7,('Control Room'!$B$8+'Control Room'!$D$8)/2)+'Control Room'!$B$9*(AX650-IF('Control Room'!$B$5="Normal",'Control Room'!$B$7,('Control Room'!$B$8+'Control Room'!$D$8)/2))+SQRT(1-'Control Room'!$B$9^2)*(AW651-IF('Control Room'!$B$5="Normal",'Control Room'!$B$7,('Control Room'!$B$8+'Control Room'!$D$8)/2))</x:f>
        <x:v>895.4701979005689</x:v>
      </x:c>
      <x:c r="AY651" s="17" t="n">
        <x:f>IF(AND($A651&gt;='Control Room'!$A$13,$A651&lt;'Control Room'!$A$13+'Control Room'!$B$13,'Process'!BT2=1),1+('Control Room'!$C$13-1)*EXP(-0.5*(($A651-'Control Room'!$A$13-('Control Room'!$B$13-1)/2)/MAX(0.5,'Control Room'!$B$13/4))^2),1)*IF(AND($A651&gt;='Control Room'!$A$14,$A651&lt;'Control Room'!$A$14+'Control Room'!$B$14,'Process'!BT3=1),1+('Control Room'!$C$14-1)*EXP(-0.5*(($A651-'Control Room'!$A$14-('Control Room'!$B$14-1)/2)/MAX(0.5,'Control Room'!$B$14/4))^2),1)*IF(AND($A651&gt;='Control Room'!$A$15,$A651&lt;'Control Room'!$A$15+'Control Room'!$B$15,'Process'!BT4=1),1+('Control Room'!$C$15-1)*EXP(-0.5*(($A651-'Control Room'!$A$15-('Control Room'!$B$15-1)/2)/MAX(0.5,'Control Room'!$B$15/4))^2),1)*IF(AND($A651&gt;='Control Room'!$A$16,$A651&lt;'Control Room'!$A$16+'Control Room'!$B$16,'Process'!BT5=1),1+('Control Room'!$C$16-1)*EXP(-0.5*(($A651-'Control Room'!$A$16-('Control Room'!$B$16-1)/2)/MAX(0.5,'Control Room'!$B$16/4))^2),1)</x:f>
        <x:v>1</x:v>
      </x:c>
      <x:c r="AZ651" s="9" t="n">
        <x:f>MOD(BA650*16807,2147483647)</x:f>
        <x:v>469082659</x:v>
      </x:c>
      <x:c r="BA651" s="9" t="n">
        <x:f>MOD(AZ651*16807,2147483647)</x:f>
        <x:v>459781676</x:v>
      </x:c>
      <x:c r="BB651" s="17" t="n">
        <x:f>IF('Control Room'!$B$5="Normal",'Control Room'!$B$7+'Control Room'!$D$7*SQRT(-2*LN(MAX(0.000000000001,AZ651/2147483647)))*COS(2*PI()*BA651/2147483647),'Control Room'!$B$8+('Control Room'!$D$8-'Control Room'!$B$8)*AZ651/2147483647)</x:f>
        <x:v>1035.108822058767</x:v>
      </x:c>
      <x:c r="BC651" s="17" t="n">
        <x:f>IF('Control Room'!$B$5="Normal",'Control Room'!$B$7,('Control Room'!$B$8+'Control Room'!$D$8)/2)+'Control Room'!$B$9*(BC650-IF('Control Room'!$B$5="Normal",'Control Room'!$B$7,('Control Room'!$B$8+'Control Room'!$D$8)/2))+SQRT(1-'Control Room'!$B$9^2)*(BB651-IF('Control Room'!$B$5="Normal",'Control Room'!$B$7,('Control Room'!$B$8+'Control Room'!$D$8)/2))</x:f>
        <x:v>1036.2016638561029</x:v>
      </x:c>
      <x:c r="BD651" s="17" t="n">
        <x:f>IF(AND($A651&gt;='Control Room'!$A$13,$A651&lt;'Control Room'!$A$13+'Control Room'!$B$13,'Process'!BU2=1),1+('Control Room'!$C$13-1)*EXP(-0.5*(($A651-'Control Room'!$A$13-('Control Room'!$B$13-1)/2)/MAX(0.5,'Control Room'!$B$13/4))^2),1)*IF(AND($A651&gt;='Control Room'!$A$14,$A651&lt;'Control Room'!$A$14+'Control Room'!$B$14,'Process'!BU3=1),1+('Control Room'!$C$14-1)*EXP(-0.5*(($A651-'Control Room'!$A$14-('Control Room'!$B$14-1)/2)/MAX(0.5,'Control Room'!$B$14/4))^2),1)*IF(AND($A651&gt;='Control Room'!$A$15,$A651&lt;'Control Room'!$A$15+'Control Room'!$B$15,'Process'!BU4=1),1+('Control Room'!$C$15-1)*EXP(-0.5*(($A651-'Control Room'!$A$15-('Control Room'!$B$15-1)/2)/MAX(0.5,'Control Room'!$B$15/4))^2),1)*IF(AND($A651&gt;='Control Room'!$A$16,$A651&lt;'Control Room'!$A$16+'Control Room'!$B$16,'Process'!BU5=1),1+('Control Room'!$C$16-1)*EXP(-0.5*(($A651-'Control Room'!$A$16-('Control Room'!$B$16-1)/2)/MAX(0.5,'Control Room'!$B$16/4))^2),1)</x:f>
        <x:v>1</x:v>
      </x:c>
      <x:c r="BE651" s="9" t="n">
        <x:f>MOD(BF650*16807,2147483647)</x:f>
        <x:v>1635440690</x:v>
      </x:c>
      <x:c r="BF651" s="9" t="n">
        <x:f>MOD(BE651*16807,2147483647)</x:f>
        <x:v>1208478877</x:v>
      </x:c>
      <x:c r="BG651" s="17" t="n">
        <x:f>IF('Control Room'!$B$5="Normal",'Control Room'!$B$7+'Control Room'!$D$7*SQRT(-2*LN(MAX(0.000000000001,BE651/2147483647)))*COS(2*PI()*BF651/2147483647),'Control Room'!$B$8+('Control Room'!$D$8-'Control Room'!$B$8)*BE651/2147483647)</x:f>
        <x:v>938.6675816417754</x:v>
      </x:c>
      <x:c r="BH651" s="17" t="n">
        <x:f>IF('Control Room'!$B$5="Normal",'Control Room'!$B$7,('Control Room'!$B$8+'Control Room'!$D$8)/2)+'Control Room'!$B$9*(BH650-IF('Control Room'!$B$5="Normal",'Control Room'!$B$7,('Control Room'!$B$8+'Control Room'!$D$8)/2))+SQRT(1-'Control Room'!$B$9^2)*(BG651-IF('Control Room'!$B$5="Normal",'Control Room'!$B$7,('Control Room'!$B$8+'Control Room'!$D$8)/2))</x:f>
        <x:v>939.5627367137859</x:v>
      </x:c>
      <x:c r="BI651" s="17" t="n">
        <x:f>IF(AND($A651&gt;='Control Room'!$A$13,$A651&lt;'Control Room'!$A$13+'Control Room'!$B$13,'Process'!BV2=1),1+('Control Room'!$C$13-1)*EXP(-0.5*(($A651-'Control Room'!$A$13-('Control Room'!$B$13-1)/2)/MAX(0.5,'Control Room'!$B$13/4))^2),1)*IF(AND($A651&gt;='Control Room'!$A$14,$A651&lt;'Control Room'!$A$14+'Control Room'!$B$14,'Process'!BV3=1),1+('Control Room'!$C$14-1)*EXP(-0.5*(($A651-'Control Room'!$A$14-('Control Room'!$B$14-1)/2)/MAX(0.5,'Control Room'!$B$14/4))^2),1)*IF(AND($A651&gt;='Control Room'!$A$15,$A651&lt;'Control Room'!$A$15+'Control Room'!$B$15,'Process'!BV4=1),1+('Control Room'!$C$15-1)*EXP(-0.5*(($A651-'Control Room'!$A$15-('Control Room'!$B$15-1)/2)/MAX(0.5,'Control Room'!$B$15/4))^2),1)*IF(AND($A651&gt;='Control Room'!$A$16,$A651&lt;'Control Room'!$A$16+'Control Room'!$B$16,'Process'!BV5=1),1+('Control Room'!$C$16-1)*EXP(-0.5*(($A651-'Control Room'!$A$16-('Control Room'!$B$16-1)/2)/MAX(0.5,'Control Room'!$B$16/4))^2),1)</x:f>
        <x:v>1</x:v>
      </x:c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Z651" t="str">
        <x:f>IF('Data'!A651="","",TEXT('Data'!A651,"mm-dd"))</x:f>
      </x:c>
    </x:row>
    <x:row r="652" ht="21" customHeight="1">
      <x:c r="A652" s="15" t="n">
        <x:f>'Control Room'!$B$1+650</x:f>
        <x:v>73641</x:v>
      </x:c>
      <x:c r="B652" s="9" t="n">
        <x:f>MOD(C651*16807,2147483647)</x:f>
        <x:v>1317674168</x:v>
      </x:c>
      <x:c r="C652" s="9" t="n">
        <x:f>MOD(B652*16807,2147483647)</x:f>
        <x:v>1298373712</x:v>
      </x:c>
      <x:c r="D652" s="17" t="n">
        <x:f>IF('Control Room'!$B$5="Normal",'Control Room'!$B$7+'Control Room'!$D$7*SQRT(-2*LN(MAX(0.000000000001,B652/2147483647)))*COS(2*PI()*C652/2147483647),'Control Room'!$B$8+('Control Room'!$D$8-'Control Room'!$B$8)*B652/2147483647)</x:f>
        <x:v>929.5777659717114</x:v>
      </x:c>
      <x:c r="E652" s="17" t="n">
        <x:f>IF('Control Room'!$B$5="Normal",'Control Room'!$B$7,('Control Room'!$B$8+'Control Room'!$D$8)/2)+'Control Room'!$B$9*(E651-IF('Control Room'!$B$5="Normal",'Control Room'!$B$7,('Control Room'!$B$8+'Control Room'!$D$8)/2))+SQRT(1-'Control Room'!$B$9^2)*(D652-IF('Control Room'!$B$5="Normal",'Control Room'!$B$7,('Control Room'!$B$8+'Control Room'!$D$8)/2))</x:f>
        <x:v>975.7171480515589</x:v>
      </x:c>
      <x:c r="F652" s="17" t="n">
        <x:f>IF(AND($A652&gt;='Control Room'!$A$13,$A652&lt;'Control Room'!$A$13+'Control Room'!$B$13,'Process'!BK2=1),1+('Control Room'!$C$13-1)*EXP(-0.5*(($A652-'Control Room'!$A$13-('Control Room'!$B$13-1)/2)/MAX(0.5,'Control Room'!$B$13/4))^2),1)*IF(AND($A652&gt;='Control Room'!$A$14,$A652&lt;'Control Room'!$A$14+'Control Room'!$B$14,'Process'!BK3=1),1+('Control Room'!$C$14-1)*EXP(-0.5*(($A652-'Control Room'!$A$14-('Control Room'!$B$14-1)/2)/MAX(0.5,'Control Room'!$B$14/4))^2),1)*IF(AND($A652&gt;='Control Room'!$A$15,$A652&lt;'Control Room'!$A$15+'Control Room'!$B$15,'Process'!BK4=1),1+('Control Room'!$C$15-1)*EXP(-0.5*(($A652-'Control Room'!$A$15-('Control Room'!$B$15-1)/2)/MAX(0.5,'Control Room'!$B$15/4))^2),1)*IF(AND($A652&gt;='Control Room'!$A$16,$A652&lt;'Control Room'!$A$16+'Control Room'!$B$16,'Process'!BK5=1),1+('Control Room'!$C$16-1)*EXP(-0.5*(($A652-'Control Room'!$A$16-('Control Room'!$B$16-1)/2)/MAX(0.5,'Control Room'!$B$16/4))^2),1)</x:f>
        <x:v>1</x:v>
      </x:c>
      <x:c r="G652" s="9" t="n">
        <x:f>MOD(H651*16807,2147483647)</x:f>
        <x:v>417359955</x:v>
      </x:c>
      <x:c r="H652" s="9" t="n">
        <x:f>MOD(G652*16807,2147483647)</x:f>
        <x:v>887172583</x:v>
      </x:c>
      <x:c r="I652" s="17" t="n">
        <x:f>IF('Control Room'!$B$5="Normal",'Control Room'!$B$7+'Control Room'!$D$7*SQRT(-2*LN(MAX(0.000000000001,G652/2147483647)))*COS(2*PI()*H652/2147483647),'Control Room'!$B$8+('Control Room'!$D$8-'Control Room'!$B$8)*G652/2147483647)</x:f>
        <x:v>860.7711240817221</x:v>
      </x:c>
      <x:c r="J652" s="17" t="n">
        <x:f>IF('Control Room'!$B$5="Normal",'Control Room'!$B$7,('Control Room'!$B$8+'Control Room'!$D$8)/2)+'Control Room'!$B$9*(J651-IF('Control Room'!$B$5="Normal",'Control Room'!$B$7,('Control Room'!$B$8+'Control Room'!$D$8)/2))+SQRT(1-'Control Room'!$B$9^2)*(I652-IF('Control Room'!$B$5="Normal",'Control Room'!$B$7,('Control Room'!$B$8+'Control Room'!$D$8)/2))</x:f>
        <x:v>888.8637289626063</x:v>
      </x:c>
      <x:c r="K652" s="17" t="n">
        <x:f>IF(AND($A652&gt;='Control Room'!$A$13,$A652&lt;'Control Room'!$A$13+'Control Room'!$B$13,'Process'!BL2=1),1+('Control Room'!$C$13-1)*EXP(-0.5*(($A652-'Control Room'!$A$13-('Control Room'!$B$13-1)/2)/MAX(0.5,'Control Room'!$B$13/4))^2),1)*IF(AND($A652&gt;='Control Room'!$A$14,$A652&lt;'Control Room'!$A$14+'Control Room'!$B$14,'Process'!BL3=1),1+('Control Room'!$C$14-1)*EXP(-0.5*(($A652-'Control Room'!$A$14-('Control Room'!$B$14-1)/2)/MAX(0.5,'Control Room'!$B$14/4))^2),1)*IF(AND($A652&gt;='Control Room'!$A$15,$A652&lt;'Control Room'!$A$15+'Control Room'!$B$15,'Process'!BL4=1),1+('Control Room'!$C$15-1)*EXP(-0.5*(($A652-'Control Room'!$A$15-('Control Room'!$B$15-1)/2)/MAX(0.5,'Control Room'!$B$15/4))^2),1)*IF(AND($A652&gt;='Control Room'!$A$16,$A652&lt;'Control Room'!$A$16+'Control Room'!$B$16,'Process'!BL5=1),1+('Control Room'!$C$16-1)*EXP(-0.5*(($A652-'Control Room'!$A$16-('Control Room'!$B$16-1)/2)/MAX(0.5,'Control Room'!$B$16/4))^2),1)</x:f>
        <x:v>1</x:v>
      </x:c>
      <x:c r="L652" s="9" t="n">
        <x:f>MOD(M651*16807,2147483647)</x:f>
        <x:v>1664529389</x:v>
      </x:c>
      <x:c r="M652" s="9" t="n">
        <x:f>MOD(L652*16807,2147483647)</x:f>
        <x:v>475971454</x:v>
      </x:c>
      <x:c r="N652" s="17" t="n">
        <x:f>IF('Control Room'!$B$5="Normal",'Control Room'!$B$7+'Control Room'!$D$7*SQRT(-2*LN(MAX(0.000000000001,L652/2147483647)))*COS(2*PI()*M652/2147483647),'Control Room'!$B$8+('Control Room'!$D$8-'Control Room'!$B$8)*L652/2147483647)</x:f>
        <x:v>1011.3862635045597</x:v>
      </x:c>
      <x:c r="O652" s="17" t="n">
        <x:f>IF('Control Room'!$B$5="Normal",'Control Room'!$B$7,('Control Room'!$B$8+'Control Room'!$D$8)/2)+'Control Room'!$B$9*(O651-IF('Control Room'!$B$5="Normal",'Control Room'!$B$7,('Control Room'!$B$8+'Control Room'!$D$8)/2))+SQRT(1-'Control Room'!$B$9^2)*(N652-IF('Control Room'!$B$5="Normal",'Control Room'!$B$7,('Control Room'!$B$8+'Control Room'!$D$8)/2))</x:f>
        <x:v>984.4042269180592</x:v>
      </x:c>
      <x:c r="P652" s="17" t="n">
        <x:f>IF(AND($A652&gt;='Control Room'!$A$13,$A652&lt;'Control Room'!$A$13+'Control Room'!$B$13,'Process'!BM2=1),1+('Control Room'!$C$13-1)*EXP(-0.5*(($A652-'Control Room'!$A$13-('Control Room'!$B$13-1)/2)/MAX(0.5,'Control Room'!$B$13/4))^2),1)*IF(AND($A652&gt;='Control Room'!$A$14,$A652&lt;'Control Room'!$A$14+'Control Room'!$B$14,'Process'!BM3=1),1+('Control Room'!$C$14-1)*EXP(-0.5*(($A652-'Control Room'!$A$14-('Control Room'!$B$14-1)/2)/MAX(0.5,'Control Room'!$B$14/4))^2),1)*IF(AND($A652&gt;='Control Room'!$A$15,$A652&lt;'Control Room'!$A$15+'Control Room'!$B$15,'Process'!BM4=1),1+('Control Room'!$C$15-1)*EXP(-0.5*(($A652-'Control Room'!$A$15-('Control Room'!$B$15-1)/2)/MAX(0.5,'Control Room'!$B$15/4))^2),1)*IF(AND($A652&gt;='Control Room'!$A$16,$A652&lt;'Control Room'!$A$16+'Control Room'!$B$16,'Process'!BM5=1),1+('Control Room'!$C$16-1)*EXP(-0.5*(($A652-'Control Room'!$A$16-('Control Room'!$B$16-1)/2)/MAX(0.5,'Control Room'!$B$16/4))^2),1)</x:f>
        <x:v>1</x:v>
      </x:c>
      <x:c r="Q652" s="9" t="n">
        <x:f>MOD(R651*16807,2147483647)</x:f>
        <x:v>764215176</x:v>
      </x:c>
      <x:c r="R652" s="9" t="n">
        <x:f>MOD(Q652*16807,2147483647)</x:f>
        <x:v>64770325</x:v>
      </x:c>
      <x:c r="S652" s="17" t="n">
        <x:f>IF('Control Room'!$B$5="Normal",'Control Room'!$B$7+'Control Room'!$D$7*SQRT(-2*LN(MAX(0.000000000001,Q652/2147483647)))*COS(2*PI()*R652/2147483647),'Control Room'!$B$8+('Control Room'!$D$8-'Control Room'!$B$8)*Q652/2147483647)</x:f>
        <x:v>1127.0587900171163</x:v>
      </x:c>
      <x:c r="T652" s="17" t="n">
        <x:f>IF('Control Room'!$B$5="Normal",'Control Room'!$B$7,('Control Room'!$B$8+'Control Room'!$D$8)/2)+'Control Room'!$B$9*(T651-IF('Control Room'!$B$5="Normal",'Control Room'!$B$7,('Control Room'!$B$8+'Control Room'!$D$8)/2))+SQRT(1-'Control Room'!$B$9^2)*(S652-IF('Control Room'!$B$5="Normal",'Control Room'!$B$7,('Control Room'!$B$8+'Control Room'!$D$8)/2))</x:f>
        <x:v>1042.7465650649242</x:v>
      </x:c>
      <x:c r="U652" s="17" t="n">
        <x:f>IF(AND($A652&gt;='Control Room'!$A$13,$A652&lt;'Control Room'!$A$13+'Control Room'!$B$13,'Process'!BN2=1),1+('Control Room'!$C$13-1)*EXP(-0.5*(($A652-'Control Room'!$A$13-('Control Room'!$B$13-1)/2)/MAX(0.5,'Control Room'!$B$13/4))^2),1)*IF(AND($A652&gt;='Control Room'!$A$14,$A652&lt;'Control Room'!$A$14+'Control Room'!$B$14,'Process'!BN3=1),1+('Control Room'!$C$14-1)*EXP(-0.5*(($A652-'Control Room'!$A$14-('Control Room'!$B$14-1)/2)/MAX(0.5,'Control Room'!$B$14/4))^2),1)*IF(AND($A652&gt;='Control Room'!$A$15,$A652&lt;'Control Room'!$A$15+'Control Room'!$B$15,'Process'!BN4=1),1+('Control Room'!$C$15-1)*EXP(-0.5*(($A652-'Control Room'!$A$15-('Control Room'!$B$15-1)/2)/MAX(0.5,'Control Room'!$B$15/4))^2),1)*IF(AND($A652&gt;='Control Room'!$A$16,$A652&lt;'Control Room'!$A$16+'Control Room'!$B$16,'Process'!BN5=1),1+('Control Room'!$C$16-1)*EXP(-0.5*(($A652-'Control Room'!$A$16-('Control Room'!$B$16-1)/2)/MAX(0.5,'Control Room'!$B$16/4))^2),1)</x:f>
        <x:v>1</x:v>
      </x:c>
      <x:c r="V652" s="9" t="n">
        <x:f>MOD(W651*16807,2147483647)</x:f>
        <x:v>2011384610</x:v>
      </x:c>
      <x:c r="W652" s="9" t="n">
        <x:f>MOD(V652*16807,2147483647)</x:f>
        <x:v>1801052843</x:v>
      </x:c>
      <x:c r="X652" s="17" t="n">
        <x:f>IF('Control Room'!$B$5="Normal",'Control Room'!$B$7+'Control Room'!$D$7*SQRT(-2*LN(MAX(0.000000000001,V652/2147483647)))*COS(2*PI()*W652/2147483647),'Control Room'!$B$8+('Control Room'!$D$8-'Control Room'!$B$8)*V652/2147483647)</x:f>
        <x:v>1017.2222044577718</x:v>
      </x:c>
      <x:c r="Y652" s="17" t="n">
        <x:f>IF('Control Room'!$B$5="Normal",'Control Room'!$B$7,('Control Room'!$B$8+'Control Room'!$D$8)/2)+'Control Room'!$B$9*(Y651-IF('Control Room'!$B$5="Normal",'Control Room'!$B$7,('Control Room'!$B$8+'Control Room'!$D$8)/2))+SQRT(1-'Control Room'!$B$9^2)*(X652-IF('Control Room'!$B$5="Normal",'Control Room'!$B$7,('Control Room'!$B$8+'Control Room'!$D$8)/2))</x:f>
        <x:v>940.8501876774043</x:v>
      </x:c>
      <x:c r="Z652" s="17" t="n">
        <x:f>IF(AND($A652&gt;='Control Room'!$A$13,$A652&lt;'Control Room'!$A$13+'Control Room'!$B$13,'Process'!BO2=1),1+('Control Room'!$C$13-1)*EXP(-0.5*(($A652-'Control Room'!$A$13-('Control Room'!$B$13-1)/2)/MAX(0.5,'Control Room'!$B$13/4))^2),1)*IF(AND($A652&gt;='Control Room'!$A$14,$A652&lt;'Control Room'!$A$14+'Control Room'!$B$14,'Process'!BO3=1),1+('Control Room'!$C$14-1)*EXP(-0.5*(($A652-'Control Room'!$A$14-('Control Room'!$B$14-1)/2)/MAX(0.5,'Control Room'!$B$14/4))^2),1)*IF(AND($A652&gt;='Control Room'!$A$15,$A652&lt;'Control Room'!$A$15+'Control Room'!$B$15,'Process'!BO4=1),1+('Control Room'!$C$15-1)*EXP(-0.5*(($A652-'Control Room'!$A$15-('Control Room'!$B$15-1)/2)/MAX(0.5,'Control Room'!$B$15/4))^2),1)*IF(AND($A652&gt;='Control Room'!$A$16,$A652&lt;'Control Room'!$A$16+'Control Room'!$B$16,'Process'!BO5=1),1+('Control Room'!$C$16-1)*EXP(-0.5*(($A652-'Control Room'!$A$16-('Control Room'!$B$16-1)/2)/MAX(0.5,'Control Room'!$B$16/4))^2),1)</x:f>
        <x:v>1</x:v>
      </x:c>
      <x:c r="AA652" s="9" t="n">
        <x:f>MOD(AB651*16807,2147483647)</x:f>
        <x:v>1111070397</x:v>
      </x:c>
      <x:c r="AB652" s="9" t="n">
        <x:f>MOD(AA652*16807,2147483647)</x:f>
        <x:v>1389851714</x:v>
      </x:c>
      <x:c r="AC652" s="17" t="n">
        <x:f>IF('Control Room'!$B$5="Normal",'Control Room'!$B$7+'Control Room'!$D$7*SQRT(-2*LN(MAX(0.000000000001,AA652/2147483647)))*COS(2*PI()*AB652/2147483647),'Control Room'!$B$8+('Control Room'!$D$8-'Control Room'!$B$8)*AA652/2147483647)</x:f>
        <x:v>937.8080373328577</x:v>
      </x:c>
      <x:c r="AD652" s="17" t="n">
        <x:f>IF('Control Room'!$B$5="Normal",'Control Room'!$B$7,('Control Room'!$B$8+'Control Room'!$D$8)/2)+'Control Room'!$B$9*(AD651-IF('Control Room'!$B$5="Normal",'Control Room'!$B$7,('Control Room'!$B$8+'Control Room'!$D$8)/2))+SQRT(1-'Control Room'!$B$9^2)*(AC652-IF('Control Room'!$B$5="Normal",'Control Room'!$B$7,('Control Room'!$B$8+'Control Room'!$D$8)/2))</x:f>
        <x:v>1029.816400040699</x:v>
      </x:c>
      <x:c r="AE652" s="17" t="n">
        <x:f>IF(AND($A652&gt;='Control Room'!$A$13,$A652&lt;'Control Room'!$A$13+'Control Room'!$B$13,'Process'!BP2=1),1+('Control Room'!$C$13-1)*EXP(-0.5*(($A652-'Control Room'!$A$13-('Control Room'!$B$13-1)/2)/MAX(0.5,'Control Room'!$B$13/4))^2),1)*IF(AND($A652&gt;='Control Room'!$A$14,$A652&lt;'Control Room'!$A$14+'Control Room'!$B$14,'Process'!BP3=1),1+('Control Room'!$C$14-1)*EXP(-0.5*(($A652-'Control Room'!$A$14-('Control Room'!$B$14-1)/2)/MAX(0.5,'Control Room'!$B$14/4))^2),1)*IF(AND($A652&gt;='Control Room'!$A$15,$A652&lt;'Control Room'!$A$15+'Control Room'!$B$15,'Process'!BP4=1),1+('Control Room'!$C$15-1)*EXP(-0.5*(($A652-'Control Room'!$A$15-('Control Room'!$B$15-1)/2)/MAX(0.5,'Control Room'!$B$15/4))^2),1)*IF(AND($A652&gt;='Control Room'!$A$16,$A652&lt;'Control Room'!$A$16+'Control Room'!$B$16,'Process'!BP5=1),1+('Control Room'!$C$16-1)*EXP(-0.5*(($A652-'Control Room'!$A$16-('Control Room'!$B$16-1)/2)/MAX(0.5,'Control Room'!$B$16/4))^2),1)</x:f>
        <x:v>1</x:v>
      </x:c>
      <x:c r="AF652" s="9" t="n">
        <x:f>MOD(AG651*16807,2147483647)</x:f>
        <x:v>210756184</x:v>
      </x:c>
      <x:c r="AG652" s="9" t="n">
        <x:f>MOD(AF652*16807,2147483647)</x:f>
        <x:v>978650585</x:v>
      </x:c>
      <x:c r="AH652" s="17" t="n">
        <x:f>IF('Control Room'!$B$5="Normal",'Control Room'!$B$7+'Control Room'!$D$7*SQRT(-2*LN(MAX(0.000000000001,AF652/2147483647)))*COS(2*PI()*AG652/2147483647),'Control Room'!$B$8+('Control Room'!$D$8-'Control Room'!$B$8)*AF652/2147483647)</x:f>
        <x:v>813.5348624099666</x:v>
      </x:c>
      <x:c r="AI652" s="17" t="n">
        <x:f>IF('Control Room'!$B$5="Normal",'Control Room'!$B$7,('Control Room'!$B$8+'Control Room'!$D$8)/2)+'Control Room'!$B$9*(AI651-IF('Control Room'!$B$5="Normal",'Control Room'!$B$7,('Control Room'!$B$8+'Control Room'!$D$8)/2))+SQRT(1-'Control Room'!$B$9^2)*(AH652-IF('Control Room'!$B$5="Normal",'Control Room'!$B$7,('Control Room'!$B$8+'Control Room'!$D$8)/2))</x:f>
        <x:v>837.4964216386974</x:v>
      </x:c>
      <x:c r="AJ652" s="17" t="n">
        <x:f>IF(AND($A652&gt;='Control Room'!$A$13,$A652&lt;'Control Room'!$A$13+'Control Room'!$B$13,'Process'!BQ2=1),1+('Control Room'!$C$13-1)*EXP(-0.5*(($A652-'Control Room'!$A$13-('Control Room'!$B$13-1)/2)/MAX(0.5,'Control Room'!$B$13/4))^2),1)*IF(AND($A652&gt;='Control Room'!$A$14,$A652&lt;'Control Room'!$A$14+'Control Room'!$B$14,'Process'!BQ3=1),1+('Control Room'!$C$14-1)*EXP(-0.5*(($A652-'Control Room'!$A$14-('Control Room'!$B$14-1)/2)/MAX(0.5,'Control Room'!$B$14/4))^2),1)*IF(AND($A652&gt;='Control Room'!$A$15,$A652&lt;'Control Room'!$A$15+'Control Room'!$B$15,'Process'!BQ4=1),1+('Control Room'!$C$15-1)*EXP(-0.5*(($A652-'Control Room'!$A$15-('Control Room'!$B$15-1)/2)/MAX(0.5,'Control Room'!$B$15/4))^2),1)*IF(AND($A652&gt;='Control Room'!$A$16,$A652&lt;'Control Room'!$A$16+'Control Room'!$B$16,'Process'!BQ5=1),1+('Control Room'!$C$16-1)*EXP(-0.5*(($A652-'Control Room'!$A$16-('Control Room'!$B$16-1)/2)/MAX(0.5,'Control Room'!$B$16/4))^2),1)</x:f>
        <x:v>1</x:v>
      </x:c>
      <x:c r="AK652" s="9" t="n">
        <x:f>MOD(AL651*16807,2147483647)</x:f>
        <x:v>1457925618</x:v>
      </x:c>
      <x:c r="AL652" s="9" t="n">
        <x:f>MOD(AK652*16807,2147483647)</x:f>
        <x:v>567449456</x:v>
      </x:c>
      <x:c r="AM652" s="17" t="n">
        <x:f>IF('Control Room'!$B$5="Normal",'Control Room'!$B$7+'Control Room'!$D$7*SQRT(-2*LN(MAX(0.000000000001,AK652/2147483647)))*COS(2*PI()*AL652/2147483647),'Control Room'!$B$8+('Control Room'!$D$8-'Control Room'!$B$8)*AK652/2147483647)</x:f>
        <x:v>992.9228481431834</x:v>
      </x:c>
      <x:c r="AN652" s="17" t="n">
        <x:f>IF('Control Room'!$B$5="Normal",'Control Room'!$B$7,('Control Room'!$B$8+'Control Room'!$D$8)/2)+'Control Room'!$B$9*(AN651-IF('Control Room'!$B$5="Normal",'Control Room'!$B$7,('Control Room'!$B$8+'Control Room'!$D$8)/2))+SQRT(1-'Control Room'!$B$9^2)*(AM652-IF('Control Room'!$B$5="Normal",'Control Room'!$B$7,('Control Room'!$B$8+'Control Room'!$D$8)/2))</x:f>
        <x:v>978.6700763205812</x:v>
      </x:c>
      <x:c r="AO652" s="17" t="n">
        <x:f>IF(AND($A652&gt;='Control Room'!$A$13,$A652&lt;'Control Room'!$A$13+'Control Room'!$B$13,'Process'!BR2=1),1+('Control Room'!$C$13-1)*EXP(-0.5*(($A652-'Control Room'!$A$13-('Control Room'!$B$13-1)/2)/MAX(0.5,'Control Room'!$B$13/4))^2),1)*IF(AND($A652&gt;='Control Room'!$A$14,$A652&lt;'Control Room'!$A$14+'Control Room'!$B$14,'Process'!BR3=1),1+('Control Room'!$C$14-1)*EXP(-0.5*(($A652-'Control Room'!$A$14-('Control Room'!$B$14-1)/2)/MAX(0.5,'Control Room'!$B$14/4))^2),1)*IF(AND($A652&gt;='Control Room'!$A$15,$A652&lt;'Control Room'!$A$15+'Control Room'!$B$15,'Process'!BR4=1),1+('Control Room'!$C$15-1)*EXP(-0.5*(($A652-'Control Room'!$A$15-('Control Room'!$B$15-1)/2)/MAX(0.5,'Control Room'!$B$15/4))^2),1)*IF(AND($A652&gt;='Control Room'!$A$16,$A652&lt;'Control Room'!$A$16+'Control Room'!$B$16,'Process'!BR5=1),1+('Control Room'!$C$16-1)*EXP(-0.5*(($A652-'Control Room'!$A$16-('Control Room'!$B$16-1)/2)/MAX(0.5,'Control Room'!$B$16/4))^2),1)</x:f>
        <x:v>1</x:v>
      </x:c>
      <x:c r="AP652" s="9" t="n">
        <x:f>MOD(AQ651*16807,2147483647)</x:f>
        <x:v>557611405</x:v>
      </x:c>
      <x:c r="AQ652" s="9" t="n">
        <x:f>MOD(AP652*16807,2147483647)</x:f>
        <x:v>156248327</x:v>
      </x:c>
      <x:c r="AR652" s="17" t="n">
        <x:f>IF('Control Room'!$B$5="Normal",'Control Room'!$B$7+'Control Room'!$D$7*SQRT(-2*LN(MAX(0.000000000001,AP652/2147483647)))*COS(2*PI()*AQ652/2147483647),'Control Room'!$B$8+('Control Room'!$D$8-'Control Room'!$B$8)*AP652/2147483647)</x:f>
        <x:v>1132.619755995831</x:v>
      </x:c>
      <x:c r="AS652" s="17" t="n">
        <x:f>IF('Control Room'!$B$5="Normal",'Control Room'!$B$7,('Control Room'!$B$8+'Control Room'!$D$8)/2)+'Control Room'!$B$9*(AS651-IF('Control Room'!$B$5="Normal",'Control Room'!$B$7,('Control Room'!$B$8+'Control Room'!$D$8)/2))+SQRT(1-'Control Room'!$B$9^2)*(AR652-IF('Control Room'!$B$5="Normal",'Control Room'!$B$7,('Control Room'!$B$8+'Control Room'!$D$8)/2))</x:f>
        <x:v>995.8237778834645</x:v>
      </x:c>
      <x:c r="AT652" s="17" t="n">
        <x:f>IF(AND($A652&gt;='Control Room'!$A$13,$A652&lt;'Control Room'!$A$13+'Control Room'!$B$13,'Process'!BS2=1),1+('Control Room'!$C$13-1)*EXP(-0.5*(($A652-'Control Room'!$A$13-('Control Room'!$B$13-1)/2)/MAX(0.5,'Control Room'!$B$13/4))^2),1)*IF(AND($A652&gt;='Control Room'!$A$14,$A652&lt;'Control Room'!$A$14+'Control Room'!$B$14,'Process'!BS3=1),1+('Control Room'!$C$14-1)*EXP(-0.5*(($A652-'Control Room'!$A$14-('Control Room'!$B$14-1)/2)/MAX(0.5,'Control Room'!$B$14/4))^2),1)*IF(AND($A652&gt;='Control Room'!$A$15,$A652&lt;'Control Room'!$A$15+'Control Room'!$B$15,'Process'!BS4=1),1+('Control Room'!$C$15-1)*EXP(-0.5*(($A652-'Control Room'!$A$15-('Control Room'!$B$15-1)/2)/MAX(0.5,'Control Room'!$B$15/4))^2),1)*IF(AND($A652&gt;='Control Room'!$A$16,$A652&lt;'Control Room'!$A$16+'Control Room'!$B$16,'Process'!BS5=1),1+('Control Room'!$C$16-1)*EXP(-0.5*(($A652-'Control Room'!$A$16-('Control Room'!$B$16-1)/2)/MAX(0.5,'Control Room'!$B$16/4))^2),1)</x:f>
        <x:v>1</x:v>
      </x:c>
      <x:c r="AU652" s="9" t="n">
        <x:f>MOD(AV651*16807,2147483647)</x:f>
        <x:v>1804780839</x:v>
      </x:c>
      <x:c r="AV652" s="9" t="n">
        <x:f>MOD(AU652*16807,2147483647)</x:f>
        <x:v>1892530845</x:v>
      </x:c>
      <x:c r="AW652" s="17" t="n">
        <x:f>IF('Control Room'!$B$5="Normal",'Control Room'!$B$7+'Control Room'!$D$7*SQRT(-2*LN(MAX(0.000000000001,AU652/2147483647)))*COS(2*PI()*AV652/2147483647),'Control Room'!$B$8+('Control Room'!$D$8-'Control Room'!$B$8)*AU652/2147483647)</x:f>
        <x:v>1038.9773832543494</x:v>
      </x:c>
      <x:c r="AX652" s="17" t="n">
        <x:f>IF('Control Room'!$B$5="Normal",'Control Room'!$B$7,('Control Room'!$B$8+'Control Room'!$D$8)/2)+'Control Room'!$B$9*(AX651-IF('Control Room'!$B$5="Normal",'Control Room'!$B$7,('Control Room'!$B$8+'Control Room'!$D$8)/2))+SQRT(1-'Control Room'!$B$9^2)*(AW652-IF('Control Room'!$B$5="Normal",'Control Room'!$B$7,('Control Room'!$B$8+'Control Room'!$D$8)/2))</x:f>
        <x:v>942.8580023079176</x:v>
      </x:c>
      <x:c r="AY652" s="17" t="n">
        <x:f>IF(AND($A652&gt;='Control Room'!$A$13,$A652&lt;'Control Room'!$A$13+'Control Room'!$B$13,'Process'!BT2=1),1+('Control Room'!$C$13-1)*EXP(-0.5*(($A652-'Control Room'!$A$13-('Control Room'!$B$13-1)/2)/MAX(0.5,'Control Room'!$B$13/4))^2),1)*IF(AND($A652&gt;='Control Room'!$A$14,$A652&lt;'Control Room'!$A$14+'Control Room'!$B$14,'Process'!BT3=1),1+('Control Room'!$C$14-1)*EXP(-0.5*(($A652-'Control Room'!$A$14-('Control Room'!$B$14-1)/2)/MAX(0.5,'Control Room'!$B$14/4))^2),1)*IF(AND($A652&gt;='Control Room'!$A$15,$A652&lt;'Control Room'!$A$15+'Control Room'!$B$15,'Process'!BT4=1),1+('Control Room'!$C$15-1)*EXP(-0.5*(($A652-'Control Room'!$A$15-('Control Room'!$B$15-1)/2)/MAX(0.5,'Control Room'!$B$15/4))^2),1)*IF(AND($A652&gt;='Control Room'!$A$16,$A652&lt;'Control Room'!$A$16+'Control Room'!$B$16,'Process'!BT5=1),1+('Control Room'!$C$16-1)*EXP(-0.5*(($A652-'Control Room'!$A$16-('Control Room'!$B$16-1)/2)/MAX(0.5,'Control Room'!$B$16/4))^2),1)</x:f>
        <x:v>1</x:v>
      </x:c>
      <x:c r="AZ652" s="9" t="n">
        <x:f>MOD(BA651*16807,2147483647)</x:f>
        <x:v>904466626</x:v>
      </x:c>
      <x:c r="BA652" s="9" t="n">
        <x:f>MOD(AZ652*16807,2147483647)</x:f>
        <x:v>1481329716</x:v>
      </x:c>
      <x:c r="BB652" s="17" t="n">
        <x:f>IF('Control Room'!$B$5="Normal",'Control Room'!$B$7+'Control Room'!$D$7*SQRT(-2*LN(MAX(0.000000000001,AZ652/2147483647)))*COS(2*PI()*BA652/2147483647),'Control Room'!$B$8+('Control Room'!$D$8-'Control Room'!$B$8)*AZ652/2147483647)</x:f>
        <x:v>956.290386020071</x:v>
      </x:c>
      <x:c r="BC652" s="17" t="n">
        <x:f>IF('Control Room'!$B$5="Normal",'Control Room'!$B$7,('Control Room'!$B$8+'Control Room'!$D$8)/2)+'Control Room'!$B$9*(BC651-IF('Control Room'!$B$5="Normal",'Control Room'!$B$7,('Control Room'!$B$8+'Control Room'!$D$8)/2))+SQRT(1-'Control Room'!$B$9^2)*(BB652-IF('Control Room'!$B$5="Normal",'Control Room'!$B$7,('Control Room'!$B$8+'Control Room'!$D$8)/2))</x:f>
        <x:v>1000.8847168192347</x:v>
      </x:c>
      <x:c r="BD652" s="17" t="n">
        <x:f>IF(AND($A652&gt;='Control Room'!$A$13,$A652&lt;'Control Room'!$A$13+'Control Room'!$B$13,'Process'!BU2=1),1+('Control Room'!$C$13-1)*EXP(-0.5*(($A652-'Control Room'!$A$13-('Control Room'!$B$13-1)/2)/MAX(0.5,'Control Room'!$B$13/4))^2),1)*IF(AND($A652&gt;='Control Room'!$A$14,$A652&lt;'Control Room'!$A$14+'Control Room'!$B$14,'Process'!BU3=1),1+('Control Room'!$C$14-1)*EXP(-0.5*(($A652-'Control Room'!$A$14-('Control Room'!$B$14-1)/2)/MAX(0.5,'Control Room'!$B$14/4))^2),1)*IF(AND($A652&gt;='Control Room'!$A$15,$A652&lt;'Control Room'!$A$15+'Control Room'!$B$15,'Process'!BU4=1),1+('Control Room'!$C$15-1)*EXP(-0.5*(($A652-'Control Room'!$A$15-('Control Room'!$B$15-1)/2)/MAX(0.5,'Control Room'!$B$15/4))^2),1)*IF(AND($A652&gt;='Control Room'!$A$16,$A652&lt;'Control Room'!$A$16+'Control Room'!$B$16,'Process'!BU5=1),1+('Control Room'!$C$16-1)*EXP(-0.5*(($A652-'Control Room'!$A$16-('Control Room'!$B$16-1)/2)/MAX(0.5,'Control Room'!$B$16/4))^2),1)</x:f>
        <x:v>1</x:v>
      </x:c>
      <x:c r="BE652" s="9" t="n">
        <x:f>MOD(BF651*16807,2147483647)</x:f>
        <x:v>4152413</x:v>
      </x:c>
      <x:c r="BF652" s="9" t="n">
        <x:f>MOD(BE652*16807,2147483647)</x:f>
        <x:v>1070128587</x:v>
      </x:c>
      <x:c r="BG652" s="17" t="n">
        <x:f>IF('Control Room'!$B$5="Normal",'Control Room'!$B$7+'Control Room'!$D$7*SQRT(-2*LN(MAX(0.000000000001,BE652/2147483647)))*COS(2*PI()*BF652/2147483647),'Control Room'!$B$8+('Control Room'!$D$8-'Control Room'!$B$8)*BE652/2147483647)</x:f>
        <x:v>681.8614156512422</x:v>
      </x:c>
      <x:c r="BH652" s="17" t="n">
        <x:f>IF('Control Room'!$B$5="Normal",'Control Room'!$B$7,('Control Room'!$B$8+'Control Room'!$D$8)/2)+'Control Room'!$B$9*(BH651-IF('Control Room'!$B$5="Normal",'Control Room'!$B$7,('Control Room'!$B$8+'Control Room'!$D$8)/2))+SQRT(1-'Control Room'!$B$9^2)*(BG652-IF('Control Room'!$B$5="Normal",'Control Room'!$B$7,('Control Room'!$B$8+'Control Room'!$D$8)/2))</x:f>
        <x:v>753.7743259744543</x:v>
      </x:c>
      <x:c r="BI652" s="17" t="n">
        <x:f>IF(AND($A652&gt;='Control Room'!$A$13,$A652&lt;'Control Room'!$A$13+'Control Room'!$B$13,'Process'!BV2=1),1+('Control Room'!$C$13-1)*EXP(-0.5*(($A652-'Control Room'!$A$13-('Control Room'!$B$13-1)/2)/MAX(0.5,'Control Room'!$B$13/4))^2),1)*IF(AND($A652&gt;='Control Room'!$A$14,$A652&lt;'Control Room'!$A$14+'Control Room'!$B$14,'Process'!BV3=1),1+('Control Room'!$C$14-1)*EXP(-0.5*(($A652-'Control Room'!$A$14-('Control Room'!$B$14-1)/2)/MAX(0.5,'Control Room'!$B$14/4))^2),1)*IF(AND($A652&gt;='Control Room'!$A$15,$A652&lt;'Control Room'!$A$15+'Control Room'!$B$15,'Process'!BV4=1),1+('Control Room'!$C$15-1)*EXP(-0.5*(($A652-'Control Room'!$A$15-('Control Room'!$B$15-1)/2)/MAX(0.5,'Control Room'!$B$15/4))^2),1)*IF(AND($A652&gt;='Control Room'!$A$16,$A652&lt;'Control Room'!$A$16+'Control Room'!$B$16,'Process'!BV5=1),1+('Control Room'!$C$16-1)*EXP(-0.5*(($A652-'Control Room'!$A$16-('Control Room'!$B$16-1)/2)/MAX(0.5,'Control Room'!$B$16/4))^2),1)</x:f>
        <x:v>1</x:v>
      </x:c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Z652" t="str">
        <x:f>IF('Data'!A652="","",TEXT('Data'!A652,"mm-dd"))</x:f>
      </x:c>
    </x:row>
    <x:row r="653" ht="21" customHeight="1">
      <x:c r="A653" s="15" t="n">
        <x:f>'Control Room'!$B$1+651</x:f>
        <x:v>73642</x:v>
      </x:c>
      <x:c r="B653" s="9" t="n">
        <x:f>MOD(C652*16807,2147483647)</x:f>
        <x:v>1185640417</x:v>
      </x:c>
      <x:c r="C653" s="9" t="n">
        <x:f>MOD(B653*16807,2147483647)</x:f>
        <x:v>557728006</x:v>
      </x:c>
      <x:c r="D653" s="17" t="n">
        <x:f>IF('Control Room'!$B$5="Normal",'Control Room'!$B$7+'Control Room'!$D$7*SQRT(-2*LN(MAX(0.000000000001,B653/2147483647)))*COS(2*PI()*C653/2147483647),'Control Room'!$B$8+('Control Room'!$D$8-'Control Room'!$B$8)*B653/2147483647)</x:f>
        <x:v>994.0174001120172</x:v>
      </x:c>
      <x:c r="E653" s="17" t="n">
        <x:f>IF('Control Room'!$B$5="Normal",'Control Room'!$B$7,('Control Room'!$B$8+'Control Room'!$D$8)/2)+'Control Room'!$B$9*(E652-IF('Control Room'!$B$5="Normal",'Control Room'!$B$7,('Control Room'!$B$8+'Control Room'!$D$8)/2))+SQRT(1-'Control Room'!$B$9^2)*(D653-IF('Control Room'!$B$5="Normal",'Control Room'!$B$7,('Control Room'!$B$8+'Control Room'!$D$8)/2))</x:f>
        <x:v>977.3155870305367</x:v>
      </x:c>
      <x:c r="F653" s="17" t="n">
        <x:f>IF(AND($A653&gt;='Control Room'!$A$13,$A653&lt;'Control Room'!$A$13+'Control Room'!$B$13,'Process'!BK2=1),1+('Control Room'!$C$13-1)*EXP(-0.5*(($A653-'Control Room'!$A$13-('Control Room'!$B$13-1)/2)/MAX(0.5,'Control Room'!$B$13/4))^2),1)*IF(AND($A653&gt;='Control Room'!$A$14,$A653&lt;'Control Room'!$A$14+'Control Room'!$B$14,'Process'!BK3=1),1+('Control Room'!$C$14-1)*EXP(-0.5*(($A653-'Control Room'!$A$14-('Control Room'!$B$14-1)/2)/MAX(0.5,'Control Room'!$B$14/4))^2),1)*IF(AND($A653&gt;='Control Room'!$A$15,$A653&lt;'Control Room'!$A$15+'Control Room'!$B$15,'Process'!BK4=1),1+('Control Room'!$C$15-1)*EXP(-0.5*(($A653-'Control Room'!$A$15-('Control Room'!$B$15-1)/2)/MAX(0.5,'Control Room'!$B$15/4))^2),1)*IF(AND($A653&gt;='Control Room'!$A$16,$A653&lt;'Control Room'!$A$16+'Control Room'!$B$16,'Process'!BK5=1),1+('Control Room'!$C$16-1)*EXP(-0.5*(($A653-'Control Room'!$A$16-('Control Room'!$B$16-1)/2)/MAX(0.5,'Control Room'!$B$16/4))^2),1)</x:f>
        <x:v>1</x:v>
      </x:c>
      <x:c r="G653" s="9" t="n">
        <x:f>MOD(H652*16807,2147483647)</x:f>
        <x:v>730641360</x:v>
      </x:c>
      <x:c r="H653" s="9" t="n">
        <x:f>MOD(G653*16807,2147483647)</x:f>
        <x:v>577843974</x:v>
      </x:c>
      <x:c r="I653" s="17" t="n">
        <x:f>IF('Control Room'!$B$5="Normal",'Control Room'!$B$7+'Control Room'!$D$7*SQRT(-2*LN(MAX(0.000000000001,G653/2147483647)))*COS(2*PI()*H653/2147483647),'Control Room'!$B$8+('Control Room'!$D$8-'Control Room'!$B$8)*G653/2147483647)</x:f>
        <x:v>984.1947768756987</x:v>
      </x:c>
      <x:c r="J653" s="17" t="n">
        <x:f>IF('Control Room'!$B$5="Normal",'Control Room'!$B$7,('Control Room'!$B$8+'Control Room'!$D$8)/2)+'Control Room'!$B$9*(J652-IF('Control Room'!$B$5="Normal",'Control Room'!$B$7,('Control Room'!$B$8+'Control Room'!$D$8)/2))+SQRT(1-'Control Room'!$B$9^2)*(I653-IF('Control Room'!$B$5="Normal",'Control Room'!$B$7,('Control Room'!$B$8+'Control Room'!$D$8)/2))</x:f>
        <x:v>903.4231237472403</x:v>
      </x:c>
      <x:c r="K653" s="17" t="n">
        <x:f>IF(AND($A653&gt;='Control Room'!$A$13,$A653&lt;'Control Room'!$A$13+'Control Room'!$B$13,'Process'!BL2=1),1+('Control Room'!$C$13-1)*EXP(-0.5*(($A653-'Control Room'!$A$13-('Control Room'!$B$13-1)/2)/MAX(0.5,'Control Room'!$B$13/4))^2),1)*IF(AND($A653&gt;='Control Room'!$A$14,$A653&lt;'Control Room'!$A$14+'Control Room'!$B$14,'Process'!BL3=1),1+('Control Room'!$C$14-1)*EXP(-0.5*(($A653-'Control Room'!$A$14-('Control Room'!$B$14-1)/2)/MAX(0.5,'Control Room'!$B$14/4))^2),1)*IF(AND($A653&gt;='Control Room'!$A$15,$A653&lt;'Control Room'!$A$15+'Control Room'!$B$15,'Process'!BL4=1),1+('Control Room'!$C$15-1)*EXP(-0.5*(($A653-'Control Room'!$A$15-('Control Room'!$B$15-1)/2)/MAX(0.5,'Control Room'!$B$15/4))^2),1)*IF(AND($A653&gt;='Control Room'!$A$16,$A653&lt;'Control Room'!$A$16+'Control Room'!$B$16,'Process'!BL5=1),1+('Control Room'!$C$16-1)*EXP(-0.5*(($A653-'Control Room'!$A$16-('Control Room'!$B$16-1)/2)/MAX(0.5,'Control Room'!$B$16/4))^2),1)</x:f>
        <x:v>1</x:v>
      </x:c>
      <x:c r="L653" s="9" t="n">
        <x:f>MOD(M652*16807,2147483647)</x:f>
        <x:v>275642303</x:v>
      </x:c>
      <x:c r="M653" s="9" t="n">
        <x:f>MOD(L653*16807,2147483647)</x:f>
        <x:v>597959942</x:v>
      </x:c>
      <x:c r="N653" s="17" t="n">
        <x:f>IF('Control Room'!$B$5="Normal",'Control Room'!$B$7+'Control Room'!$D$7*SQRT(-2*LN(MAX(0.000000000001,L653/2147483647)))*COS(2*PI()*M653/2147483647),'Control Room'!$B$8+('Control Room'!$D$8-'Control Room'!$B$8)*L653/2147483647)</x:f>
        <x:v>967.5776217207987</x:v>
      </x:c>
      <x:c r="O653" s="17" t="n">
        <x:f>IF('Control Room'!$B$5="Normal",'Control Room'!$B$7,('Control Room'!$B$8+'Control Room'!$D$8)/2)+'Control Room'!$B$9*(O652-IF('Control Room'!$B$5="Normal",'Control Room'!$B$7,('Control Room'!$B$8+'Control Room'!$D$8)/2))+SQRT(1-'Control Room'!$B$9^2)*(N653-IF('Control Room'!$B$5="Normal",'Control Room'!$B$7,('Control Room'!$B$8+'Control Room'!$D$8)/2))</x:f>
        <x:v>967.546036877484</x:v>
      </x:c>
      <x:c r="P653" s="17" t="n">
        <x:f>IF(AND($A653&gt;='Control Room'!$A$13,$A653&lt;'Control Room'!$A$13+'Control Room'!$B$13,'Process'!BM2=1),1+('Control Room'!$C$13-1)*EXP(-0.5*(($A653-'Control Room'!$A$13-('Control Room'!$B$13-1)/2)/MAX(0.5,'Control Room'!$B$13/4))^2),1)*IF(AND($A653&gt;='Control Room'!$A$14,$A653&lt;'Control Room'!$A$14+'Control Room'!$B$14,'Process'!BM3=1),1+('Control Room'!$C$14-1)*EXP(-0.5*(($A653-'Control Room'!$A$14-('Control Room'!$B$14-1)/2)/MAX(0.5,'Control Room'!$B$14/4))^2),1)*IF(AND($A653&gt;='Control Room'!$A$15,$A653&lt;'Control Room'!$A$15+'Control Room'!$B$15,'Process'!BM4=1),1+('Control Room'!$C$15-1)*EXP(-0.5*(($A653-'Control Room'!$A$15-('Control Room'!$B$15-1)/2)/MAX(0.5,'Control Room'!$B$15/4))^2),1)*IF(AND($A653&gt;='Control Room'!$A$16,$A653&lt;'Control Room'!$A$16+'Control Room'!$B$16,'Process'!BM5=1),1+('Control Room'!$C$16-1)*EXP(-0.5*(($A653-'Control Room'!$A$16-('Control Room'!$B$16-1)/2)/MAX(0.5,'Control Room'!$B$16/4))^2),1)</x:f>
        <x:v>1</x:v>
      </x:c>
      <x:c r="Q653" s="9" t="n">
        <x:f>MOD(R652*16807,2147483647)</x:f>
        <x:v>1968126893</x:v>
      </x:c>
      <x:c r="R653" s="9" t="n">
        <x:f>MOD(Q653*16807,2147483647)</x:f>
        <x:v>618075910</x:v>
      </x:c>
      <x:c r="S653" s="17" t="n">
        <x:f>IF('Control Room'!$B$5="Normal",'Control Room'!$B$7+'Control Room'!$D$7*SQRT(-2*LN(MAX(0.000000000001,Q653/2147483647)))*COS(2*PI()*R653/2147483647),'Control Room'!$B$8+('Control Room'!$D$8-'Control Room'!$B$8)*Q653/2147483647)</x:f>
        <x:v>991.1531051767731</x:v>
      </x:c>
      <x:c r="T653" s="17" t="n">
        <x:f>IF('Control Room'!$B$5="Normal",'Control Room'!$B$7,('Control Room'!$B$8+'Control Room'!$D$8)/2)+'Control Room'!$B$9*(T652-IF('Control Room'!$B$5="Normal",'Control Room'!$B$7,('Control Room'!$B$8+'Control Room'!$D$8)/2))+SQRT(1-'Control Room'!$B$9^2)*(S653-IF('Control Room'!$B$5="Normal",'Control Room'!$B$7,('Control Room'!$B$8+'Control Room'!$D$8)/2))</x:f>
        <x:v>1027.8061152087573</x:v>
      </x:c>
      <x:c r="U653" s="17" t="n">
        <x:f>IF(AND($A653&gt;='Control Room'!$A$13,$A653&lt;'Control Room'!$A$13+'Control Room'!$B$13,'Process'!BN2=1),1+('Control Room'!$C$13-1)*EXP(-0.5*(($A653-'Control Room'!$A$13-('Control Room'!$B$13-1)/2)/MAX(0.5,'Control Room'!$B$13/4))^2),1)*IF(AND($A653&gt;='Control Room'!$A$14,$A653&lt;'Control Room'!$A$14+'Control Room'!$B$14,'Process'!BN3=1),1+('Control Room'!$C$14-1)*EXP(-0.5*(($A653-'Control Room'!$A$14-('Control Room'!$B$14-1)/2)/MAX(0.5,'Control Room'!$B$14/4))^2),1)*IF(AND($A653&gt;='Control Room'!$A$15,$A653&lt;'Control Room'!$A$15+'Control Room'!$B$15,'Process'!BN4=1),1+('Control Room'!$C$15-1)*EXP(-0.5*(($A653-'Control Room'!$A$15-('Control Room'!$B$15-1)/2)/MAX(0.5,'Control Room'!$B$15/4))^2),1)*IF(AND($A653&gt;='Control Room'!$A$16,$A653&lt;'Control Room'!$A$16+'Control Room'!$B$16,'Process'!BN5=1),1+('Control Room'!$C$16-1)*EXP(-0.5*(($A653-'Control Room'!$A$16-('Control Room'!$B$16-1)/2)/MAX(0.5,'Control Room'!$B$16/4))^2),1)</x:f>
        <x:v>1</x:v>
      </x:c>
      <x:c r="V653" s="9" t="n">
        <x:f>MOD(W652*16807,2147483647)</x:f>
        <x:v>1513127836</x:v>
      </x:c>
      <x:c r="W653" s="9" t="n">
        <x:f>MOD(V653*16807,2147483647)</x:f>
        <x:v>638191878</x:v>
      </x:c>
      <x:c r="X653" s="17" t="n">
        <x:f>IF('Control Room'!$B$5="Normal",'Control Room'!$B$7+'Control Room'!$D$7*SQRT(-2*LN(MAX(0.000000000001,V653/2147483647)))*COS(2*PI()*W653/2147483647),'Control Room'!$B$8+('Control Room'!$D$8-'Control Room'!$B$8)*V653/2147483647)</x:f>
        <x:v>977.999420514554</x:v>
      </x:c>
      <x:c r="Y653" s="17" t="n">
        <x:f>IF('Control Room'!$B$5="Normal",'Control Room'!$B$7,('Control Room'!$B$8+'Control Room'!$D$8)/2)+'Control Room'!$B$9*(Y652-IF('Control Room'!$B$5="Normal",'Control Room'!$B$7,('Control Room'!$B$8+'Control Room'!$D$8)/2))+SQRT(1-'Control Room'!$B$9^2)*(X653-IF('Control Room'!$B$5="Normal",'Control Room'!$B$7,('Control Room'!$B$8+'Control Room'!$D$8)/2))</x:f>
        <x:v>940.095634452752</x:v>
      </x:c>
      <x:c r="Z653" s="17" t="n">
        <x:f>IF(AND($A653&gt;='Control Room'!$A$13,$A653&lt;'Control Room'!$A$13+'Control Room'!$B$13,'Process'!BO2=1),1+('Control Room'!$C$13-1)*EXP(-0.5*(($A653-'Control Room'!$A$13-('Control Room'!$B$13-1)/2)/MAX(0.5,'Control Room'!$B$13/4))^2),1)*IF(AND($A653&gt;='Control Room'!$A$14,$A653&lt;'Control Room'!$A$14+'Control Room'!$B$14,'Process'!BO3=1),1+('Control Room'!$C$14-1)*EXP(-0.5*(($A653-'Control Room'!$A$14-('Control Room'!$B$14-1)/2)/MAX(0.5,'Control Room'!$B$14/4))^2),1)*IF(AND($A653&gt;='Control Room'!$A$15,$A653&lt;'Control Room'!$A$15+'Control Room'!$B$15,'Process'!BO4=1),1+('Control Room'!$C$15-1)*EXP(-0.5*(($A653-'Control Room'!$A$15-('Control Room'!$B$15-1)/2)/MAX(0.5,'Control Room'!$B$15/4))^2),1)*IF(AND($A653&gt;='Control Room'!$A$16,$A653&lt;'Control Room'!$A$16+'Control Room'!$B$16,'Process'!BO5=1),1+('Control Room'!$C$16-1)*EXP(-0.5*(($A653-'Control Room'!$A$16-('Control Room'!$B$16-1)/2)/MAX(0.5,'Control Room'!$B$16/4))^2),1)</x:f>
        <x:v>1</x:v>
      </x:c>
      <x:c r="AA653" s="9" t="n">
        <x:f>MOD(AB652*16807,2147483647)</x:f>
        <x:v>1058128779</x:v>
      </x:c>
      <x:c r="AB653" s="9" t="n">
        <x:f>MOD(AA653*16807,2147483647)</x:f>
        <x:v>658307846</x:v>
      </x:c>
      <x:c r="AC653" s="17" t="n">
        <x:f>IF('Control Room'!$B$5="Normal",'Control Room'!$B$7+'Control Room'!$D$7*SQRT(-2*LN(MAX(0.000000000001,AA653/2147483647)))*COS(2*PI()*AB653/2147483647),'Control Room'!$B$8+('Control Room'!$D$8-'Control Room'!$B$8)*AA653/2147483647)</x:f>
        <x:v>962.7492049107146</x:v>
      </x:c>
      <x:c r="AD653" s="17" t="n">
        <x:f>IF('Control Room'!$B$5="Normal",'Control Room'!$B$7,('Control Room'!$B$8+'Control Room'!$D$8)/2)+'Control Room'!$B$9*(AD652-IF('Control Room'!$B$5="Normal",'Control Room'!$B$7,('Control Room'!$B$8+'Control Room'!$D$8)/2))+SQRT(1-'Control Room'!$B$9^2)*(AC653-IF('Control Room'!$B$5="Normal",'Control Room'!$B$7,('Control Room'!$B$8+'Control Room'!$D$8)/2))</x:f>
        <x:v>999.9460075888873</x:v>
      </x:c>
      <x:c r="AE653" s="17" t="n">
        <x:f>IF(AND($A653&gt;='Control Room'!$A$13,$A653&lt;'Control Room'!$A$13+'Control Room'!$B$13,'Process'!BP2=1),1+('Control Room'!$C$13-1)*EXP(-0.5*(($A653-'Control Room'!$A$13-('Control Room'!$B$13-1)/2)/MAX(0.5,'Control Room'!$B$13/4))^2),1)*IF(AND($A653&gt;='Control Room'!$A$14,$A653&lt;'Control Room'!$A$14+'Control Room'!$B$14,'Process'!BP3=1),1+('Control Room'!$C$14-1)*EXP(-0.5*(($A653-'Control Room'!$A$14-('Control Room'!$B$14-1)/2)/MAX(0.5,'Control Room'!$B$14/4))^2),1)*IF(AND($A653&gt;='Control Room'!$A$15,$A653&lt;'Control Room'!$A$15+'Control Room'!$B$15,'Process'!BP4=1),1+('Control Room'!$C$15-1)*EXP(-0.5*(($A653-'Control Room'!$A$15-('Control Room'!$B$15-1)/2)/MAX(0.5,'Control Room'!$B$15/4))^2),1)*IF(AND($A653&gt;='Control Room'!$A$16,$A653&lt;'Control Room'!$A$16+'Control Room'!$B$16,'Process'!BP5=1),1+('Control Room'!$C$16-1)*EXP(-0.5*(($A653-'Control Room'!$A$16-('Control Room'!$B$16-1)/2)/MAX(0.5,'Control Room'!$B$16/4))^2),1)</x:f>
        <x:v>1</x:v>
      </x:c>
      <x:c r="AF653" s="9" t="n">
        <x:f>MOD(AG652*16807,2147483647)</x:f>
        <x:v>603129722</x:v>
      </x:c>
      <x:c r="AG653" s="9" t="n">
        <x:f>MOD(AF653*16807,2147483647)</x:f>
        <x:v>678423814</x:v>
      </x:c>
      <x:c r="AH653" s="17" t="n">
        <x:f>IF('Control Room'!$B$5="Normal",'Control Room'!$B$7+'Control Room'!$D$7*SQRT(-2*LN(MAX(0.000000000001,AF653/2147483647)))*COS(2*PI()*AG653/2147483647),'Control Room'!$B$8+('Control Room'!$D$8-'Control Room'!$B$8)*AF653/2147483647)</x:f>
        <x:v>942.2799139026693</x:v>
      </x:c>
      <x:c r="AI653" s="17" t="n">
        <x:f>IF('Control Room'!$B$5="Normal",'Control Room'!$B$7,('Control Room'!$B$8+'Control Room'!$D$8)/2)+'Control Room'!$B$9*(AI652-IF('Control Room'!$B$5="Normal",'Control Room'!$B$7,('Control Room'!$B$8+'Control Room'!$D$8)/2))+SQRT(1-'Control Room'!$B$9^2)*(AH653-IF('Control Room'!$B$5="Normal",'Control Room'!$B$7,('Control Room'!$B$8+'Control Room'!$D$8)/2))</x:f>
        <x:v>837.1271614587106</x:v>
      </x:c>
      <x:c r="AJ653" s="17" t="n">
        <x:f>IF(AND($A653&gt;='Control Room'!$A$13,$A653&lt;'Control Room'!$A$13+'Control Room'!$B$13,'Process'!BQ2=1),1+('Control Room'!$C$13-1)*EXP(-0.5*(($A653-'Control Room'!$A$13-('Control Room'!$B$13-1)/2)/MAX(0.5,'Control Room'!$B$13/4))^2),1)*IF(AND($A653&gt;='Control Room'!$A$14,$A653&lt;'Control Room'!$A$14+'Control Room'!$B$14,'Process'!BQ3=1),1+('Control Room'!$C$14-1)*EXP(-0.5*(($A653-'Control Room'!$A$14-('Control Room'!$B$14-1)/2)/MAX(0.5,'Control Room'!$B$14/4))^2),1)*IF(AND($A653&gt;='Control Room'!$A$15,$A653&lt;'Control Room'!$A$15+'Control Room'!$B$15,'Process'!BQ4=1),1+('Control Room'!$C$15-1)*EXP(-0.5*(($A653-'Control Room'!$A$15-('Control Room'!$B$15-1)/2)/MAX(0.5,'Control Room'!$B$15/4))^2),1)*IF(AND($A653&gt;='Control Room'!$A$16,$A653&lt;'Control Room'!$A$16+'Control Room'!$B$16,'Process'!BQ5=1),1+('Control Room'!$C$16-1)*EXP(-0.5*(($A653-'Control Room'!$A$16-('Control Room'!$B$16-1)/2)/MAX(0.5,'Control Room'!$B$16/4))^2),1)</x:f>
        <x:v>1</x:v>
      </x:c>
      <x:c r="AK653" s="9" t="n">
        <x:f>MOD(AL652*16807,2147483647)</x:f>
        <x:v>148130665</x:v>
      </x:c>
      <x:c r="AL653" s="9" t="n">
        <x:f>MOD(AK653*16807,2147483647)</x:f>
        <x:v>698539782</x:v>
      </x:c>
      <x:c r="AM653" s="17" t="n">
        <x:f>IF('Control Room'!$B$5="Normal",'Control Room'!$B$7+'Control Room'!$D$7*SQRT(-2*LN(MAX(0.000000000001,AK653/2147483647)))*COS(2*PI()*AL653/2147483647),'Control Room'!$B$8+('Control Room'!$D$8-'Control Room'!$B$8)*AK653/2147483647)</x:f>
        <x:v>905.181423448407</x:v>
      </x:c>
      <x:c r="AN653" s="17" t="n">
        <x:f>IF('Control Room'!$B$5="Normal",'Control Room'!$B$7,('Control Room'!$B$8+'Control Room'!$D$8)/2)+'Control Room'!$B$9*(AN652-IF('Control Room'!$B$5="Normal",'Control Room'!$B$7,('Control Room'!$B$8+'Control Room'!$D$8)/2))+SQRT(1-'Control Room'!$B$9^2)*(AM653-IF('Control Room'!$B$5="Normal",'Control Room'!$B$7,('Control Room'!$B$8+'Control Room'!$D$8)/2))</x:f>
        <x:v>924.0271367881894</x:v>
      </x:c>
      <x:c r="AO653" s="17" t="n">
        <x:f>IF(AND($A653&gt;='Control Room'!$A$13,$A653&lt;'Control Room'!$A$13+'Control Room'!$B$13,'Process'!BR2=1),1+('Control Room'!$C$13-1)*EXP(-0.5*(($A653-'Control Room'!$A$13-('Control Room'!$B$13-1)/2)/MAX(0.5,'Control Room'!$B$13/4))^2),1)*IF(AND($A653&gt;='Control Room'!$A$14,$A653&lt;'Control Room'!$A$14+'Control Room'!$B$14,'Process'!BR3=1),1+('Control Room'!$C$14-1)*EXP(-0.5*(($A653-'Control Room'!$A$14-('Control Room'!$B$14-1)/2)/MAX(0.5,'Control Room'!$B$14/4))^2),1)*IF(AND($A653&gt;='Control Room'!$A$15,$A653&lt;'Control Room'!$A$15+'Control Room'!$B$15,'Process'!BR4=1),1+('Control Room'!$C$15-1)*EXP(-0.5*(($A653-'Control Room'!$A$15-('Control Room'!$B$15-1)/2)/MAX(0.5,'Control Room'!$B$15/4))^2),1)*IF(AND($A653&gt;='Control Room'!$A$16,$A653&lt;'Control Room'!$A$16+'Control Room'!$B$16,'Process'!BR5=1),1+('Control Room'!$C$16-1)*EXP(-0.5*(($A653-'Control Room'!$A$16-('Control Room'!$B$16-1)/2)/MAX(0.5,'Control Room'!$B$16/4))^2),1)</x:f>
        <x:v>1</x:v>
      </x:c>
      <x:c r="AP653" s="9" t="n">
        <x:f>MOD(AQ652*16807,2147483647)</x:f>
        <x:v>1840615255</x:v>
      </x:c>
      <x:c r="AQ653" s="9" t="n">
        <x:f>MOD(AP653*16807,2147483647)</x:f>
        <x:v>718655750</x:v>
      </x:c>
      <x:c r="AR653" s="17" t="n">
        <x:f>IF('Control Room'!$B$5="Normal",'Control Room'!$B$7+'Control Room'!$D$7*SQRT(-2*LN(MAX(0.000000000001,AP653/2147483647)))*COS(2*PI()*AQ653/2147483647),'Control Room'!$B$8+('Control Room'!$D$8-'Control Room'!$B$8)*AP653/2147483647)</x:f>
        <x:v>974.6527899898651</x:v>
      </x:c>
      <x:c r="AS653" s="17" t="n">
        <x:f>IF('Control Room'!$B$5="Normal",'Control Room'!$B$7,('Control Room'!$B$8+'Control Room'!$D$8)/2)+'Control Room'!$B$9*(AS652-IF('Control Room'!$B$5="Normal",'Control Room'!$B$7,('Control Room'!$B$8+'Control Room'!$D$8)/2))+SQRT(1-'Control Room'!$B$9^2)*(AR653-IF('Control Room'!$B$5="Normal",'Control Room'!$B$7,('Control Room'!$B$8+'Control Room'!$D$8)/2))</x:f>
        <x:v>980.8807819905816</x:v>
      </x:c>
      <x:c r="AT653" s="17" t="n">
        <x:f>IF(AND($A653&gt;='Control Room'!$A$13,$A653&lt;'Control Room'!$A$13+'Control Room'!$B$13,'Process'!BS2=1),1+('Control Room'!$C$13-1)*EXP(-0.5*(($A653-'Control Room'!$A$13-('Control Room'!$B$13-1)/2)/MAX(0.5,'Control Room'!$B$13/4))^2),1)*IF(AND($A653&gt;='Control Room'!$A$14,$A653&lt;'Control Room'!$A$14+'Control Room'!$B$14,'Process'!BS3=1),1+('Control Room'!$C$14-1)*EXP(-0.5*(($A653-'Control Room'!$A$14-('Control Room'!$B$14-1)/2)/MAX(0.5,'Control Room'!$B$14/4))^2),1)*IF(AND($A653&gt;='Control Room'!$A$15,$A653&lt;'Control Room'!$A$15+'Control Room'!$B$15,'Process'!BS4=1),1+('Control Room'!$C$15-1)*EXP(-0.5*(($A653-'Control Room'!$A$15-('Control Room'!$B$15-1)/2)/MAX(0.5,'Control Room'!$B$15/4))^2),1)*IF(AND($A653&gt;='Control Room'!$A$16,$A653&lt;'Control Room'!$A$16+'Control Room'!$B$16,'Process'!BS5=1),1+('Control Room'!$C$16-1)*EXP(-0.5*(($A653-'Control Room'!$A$16-('Control Room'!$B$16-1)/2)/MAX(0.5,'Control Room'!$B$16/4))^2),1)</x:f>
        <x:v>1</x:v>
      </x:c>
      <x:c r="AU653" s="9" t="n">
        <x:f>MOD(AV652*16807,2147483647)</x:f>
        <x:v>1385616198</x:v>
      </x:c>
      <x:c r="AV653" s="9" t="n">
        <x:f>MOD(AU653*16807,2147483647)</x:f>
        <x:v>738771718</x:v>
      </x:c>
      <x:c r="AW653" s="17" t="n">
        <x:f>IF('Control Room'!$B$5="Normal",'Control Room'!$B$7+'Control Room'!$D$7*SQRT(-2*LN(MAX(0.000000000001,AU653/2147483647)))*COS(2*PI()*AV653/2147483647),'Control Room'!$B$8+('Control Room'!$D$8-'Control Room'!$B$8)*AU653/2147483647)</x:f>
        <x:v>953.0755942275205</x:v>
      </x:c>
      <x:c r="AX653" s="17" t="n">
        <x:f>IF('Control Room'!$B$5="Normal",'Control Room'!$B$7,('Control Room'!$B$8+'Control Room'!$D$8)/2)+'Control Room'!$B$9*(AX652-IF('Control Room'!$B$5="Normal",'Control Room'!$B$7,('Control Room'!$B$8+'Control Room'!$D$8)/2))+SQRT(1-'Control Room'!$B$9^2)*(AW653-IF('Control Room'!$B$5="Normal",'Control Room'!$B$7,('Control Room'!$B$8+'Control Room'!$D$8)/2))</x:f>
        <x:v>926.0649099664614</x:v>
      </x:c>
      <x:c r="AY653" s="17" t="n">
        <x:f>IF(AND($A653&gt;='Control Room'!$A$13,$A653&lt;'Control Room'!$A$13+'Control Room'!$B$13,'Process'!BT2=1),1+('Control Room'!$C$13-1)*EXP(-0.5*(($A653-'Control Room'!$A$13-('Control Room'!$B$13-1)/2)/MAX(0.5,'Control Room'!$B$13/4))^2),1)*IF(AND($A653&gt;='Control Room'!$A$14,$A653&lt;'Control Room'!$A$14+'Control Room'!$B$14,'Process'!BT3=1),1+('Control Room'!$C$14-1)*EXP(-0.5*(($A653-'Control Room'!$A$14-('Control Room'!$B$14-1)/2)/MAX(0.5,'Control Room'!$B$14/4))^2),1)*IF(AND($A653&gt;='Control Room'!$A$15,$A653&lt;'Control Room'!$A$15+'Control Room'!$B$15,'Process'!BT4=1),1+('Control Room'!$C$15-1)*EXP(-0.5*(($A653-'Control Room'!$A$15-('Control Room'!$B$15-1)/2)/MAX(0.5,'Control Room'!$B$15/4))^2),1)*IF(AND($A653&gt;='Control Room'!$A$16,$A653&lt;'Control Room'!$A$16+'Control Room'!$B$16,'Process'!BT5=1),1+('Control Room'!$C$16-1)*EXP(-0.5*(($A653-'Control Room'!$A$16-('Control Room'!$B$16-1)/2)/MAX(0.5,'Control Room'!$B$16/4))^2),1)</x:f>
        <x:v>1</x:v>
      </x:c>
      <x:c r="AZ653" s="9" t="n">
        <x:f>MOD(BA652*16807,2147483647)</x:f>
        <x:v>930617141</x:v>
      </x:c>
      <x:c r="BA653" s="9" t="n">
        <x:f>MOD(AZ653*16807,2147483647)</x:f>
        <x:v>758887686</x:v>
      </x:c>
      <x:c r="BB653" s="17" t="n">
        <x:f>IF('Control Room'!$B$5="Normal",'Control Room'!$B$7+'Control Room'!$D$7*SQRT(-2*LN(MAX(0.000000000001,AZ653/2147483647)))*COS(2*PI()*BA653/2147483647),'Control Room'!$B$8+('Control Room'!$D$8-'Control Room'!$B$8)*AZ653/2147483647)</x:f>
        <x:v>929.6011672449699</x:v>
      </x:c>
      <x:c r="BC653" s="17" t="n">
        <x:f>IF('Control Room'!$B$5="Normal",'Control Room'!$B$7,('Control Room'!$B$8+'Control Room'!$D$8)/2)+'Control Room'!$B$9*(BC652-IF('Control Room'!$B$5="Normal",'Control Room'!$B$7,('Control Room'!$B$8+'Control Room'!$D$8)/2))+SQRT(1-'Control Room'!$B$9^2)*(BB653-IF('Control Room'!$B$5="Normal",'Control Room'!$B$7,('Control Room'!$B$8+'Control Room'!$D$8)/2))</x:f>
        <x:v>956.6359317793847</x:v>
      </x:c>
      <x:c r="BD653" s="17" t="n">
        <x:f>IF(AND($A653&gt;='Control Room'!$A$13,$A653&lt;'Control Room'!$A$13+'Control Room'!$B$13,'Process'!BU2=1),1+('Control Room'!$C$13-1)*EXP(-0.5*(($A653-'Control Room'!$A$13-('Control Room'!$B$13-1)/2)/MAX(0.5,'Control Room'!$B$13/4))^2),1)*IF(AND($A653&gt;='Control Room'!$A$14,$A653&lt;'Control Room'!$A$14+'Control Room'!$B$14,'Process'!BU3=1),1+('Control Room'!$C$14-1)*EXP(-0.5*(($A653-'Control Room'!$A$14-('Control Room'!$B$14-1)/2)/MAX(0.5,'Control Room'!$B$14/4))^2),1)*IF(AND($A653&gt;='Control Room'!$A$15,$A653&lt;'Control Room'!$A$15+'Control Room'!$B$15,'Process'!BU4=1),1+('Control Room'!$C$15-1)*EXP(-0.5*(($A653-'Control Room'!$A$15-('Control Room'!$B$15-1)/2)/MAX(0.5,'Control Room'!$B$15/4))^2),1)*IF(AND($A653&gt;='Control Room'!$A$16,$A653&lt;'Control Room'!$A$16+'Control Room'!$B$16,'Process'!BU5=1),1+('Control Room'!$C$16-1)*EXP(-0.5*(($A653-'Control Room'!$A$16-('Control Room'!$B$16-1)/2)/MAX(0.5,'Control Room'!$B$16/4))^2),1)</x:f>
        <x:v>1</x:v>
      </x:c>
      <x:c r="BE653" s="9" t="n">
        <x:f>MOD(BF652*16807,2147483647)</x:f>
        <x:v>475618084</x:v>
      </x:c>
      <x:c r="BF653" s="9" t="n">
        <x:f>MOD(BE653*16807,2147483647)</x:f>
        <x:v>779003654</x:v>
      </x:c>
      <x:c r="BG653" s="17" t="n">
        <x:f>IF('Control Room'!$B$5="Normal",'Control Room'!$B$7+'Control Room'!$D$7*SQRT(-2*LN(MAX(0.000000000001,BE653/2147483647)))*COS(2*PI()*BF653/2147483647),'Control Room'!$B$8+('Control Room'!$D$8-'Control Room'!$B$8)*BE653/2147483647)</x:f>
        <x:v>898.3225062788925</x:v>
      </x:c>
      <x:c r="BH653" s="17" t="n">
        <x:f>IF('Control Room'!$B$5="Normal",'Control Room'!$B$7,('Control Room'!$B$8+'Control Room'!$D$8)/2)+'Control Room'!$B$9*(BH652-IF('Control Room'!$B$5="Normal",'Control Room'!$B$7,('Control Room'!$B$8+'Control Room'!$D$8)/2))+SQRT(1-'Control Room'!$B$9^2)*(BG653-IF('Control Room'!$B$5="Normal",'Control Room'!$B$7,('Control Room'!$B$8+'Control Room'!$D$8)/2))</x:f>
        <x:v>744.316281666084</x:v>
      </x:c>
      <x:c r="BI653" s="17" t="n">
        <x:f>IF(AND($A653&gt;='Control Room'!$A$13,$A653&lt;'Control Room'!$A$13+'Control Room'!$B$13,'Process'!BV2=1),1+('Control Room'!$C$13-1)*EXP(-0.5*(($A653-'Control Room'!$A$13-('Control Room'!$B$13-1)/2)/MAX(0.5,'Control Room'!$B$13/4))^2),1)*IF(AND($A653&gt;='Control Room'!$A$14,$A653&lt;'Control Room'!$A$14+'Control Room'!$B$14,'Process'!BV3=1),1+('Control Room'!$C$14-1)*EXP(-0.5*(($A653-'Control Room'!$A$14-('Control Room'!$B$14-1)/2)/MAX(0.5,'Control Room'!$B$14/4))^2),1)*IF(AND($A653&gt;='Control Room'!$A$15,$A653&lt;'Control Room'!$A$15+'Control Room'!$B$15,'Process'!BV4=1),1+('Control Room'!$C$15-1)*EXP(-0.5*(($A653-'Control Room'!$A$15-('Control Room'!$B$15-1)/2)/MAX(0.5,'Control Room'!$B$15/4))^2),1)*IF(AND($A653&gt;='Control Room'!$A$16,$A653&lt;'Control Room'!$A$16+'Control Room'!$B$16,'Process'!BV5=1),1+('Control Room'!$C$16-1)*EXP(-0.5*(($A653-'Control Room'!$A$16-('Control Room'!$B$16-1)/2)/MAX(0.5,'Control Room'!$B$16/4))^2),1)</x:f>
        <x:v>1</x:v>
      </x:c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Z653" t="str">
        <x:f>IF('Data'!A653="","",TEXT('Data'!A653,"mm-dd"))</x:f>
      </x:c>
    </x:row>
    <x:row r="654" ht="21" customHeight="1">
      <x:c r="A654" s="15" t="n">
        <x:f>'Control Room'!$B$1+652</x:f>
        <x:v>73643</x:v>
      </x:c>
      <x:c r="B654" s="9" t="n">
        <x:f>MOD(C653*16807,2147483647)</x:f>
        <x:v>2115961334</x:v>
      </x:c>
      <x:c r="C654" s="9" t="n">
        <x:f>MOD(B654*16807,2147483647)</x:f>
        <x:v>632946218</x:v>
      </x:c>
      <x:c r="D654" s="17" t="n">
        <x:f>IF('Control Room'!$B$5="Normal",'Control Room'!$B$7+'Control Room'!$D$7*SQRT(-2*LN(MAX(0.000000000001,B654/2147483647)))*COS(2*PI()*C654/2147483647),'Control Room'!$B$8+('Control Room'!$D$8-'Control Room'!$B$8)*B654/2147483647)</x:f>
        <x:v>995.7062937632612</x:v>
      </x:c>
      <x:c r="E654" s="17" t="n">
        <x:f>IF('Control Room'!$B$5="Normal",'Control Room'!$B$7,('Control Room'!$B$8+'Control Room'!$D$8)/2)+'Control Room'!$B$9*(E653-IF('Control Room'!$B$5="Normal",'Control Room'!$B$7,('Control Room'!$B$8+'Control Room'!$D$8)/2))+SQRT(1-'Control Room'!$B$9^2)*(D654-IF('Control Room'!$B$5="Normal",'Control Room'!$B$7,('Control Room'!$B$8+'Control Room'!$D$8)/2))</x:f>
        <x:v>979.6192444822209</x:v>
      </x:c>
      <x:c r="F654" s="17" t="n">
        <x:f>IF(AND($A654&gt;='Control Room'!$A$13,$A654&lt;'Control Room'!$A$13+'Control Room'!$B$13,'Process'!BK2=1),1+('Control Room'!$C$13-1)*EXP(-0.5*(($A654-'Control Room'!$A$13-('Control Room'!$B$13-1)/2)/MAX(0.5,'Control Room'!$B$13/4))^2),1)*IF(AND($A654&gt;='Control Room'!$A$14,$A654&lt;'Control Room'!$A$14+'Control Room'!$B$14,'Process'!BK3=1),1+('Control Room'!$C$14-1)*EXP(-0.5*(($A654-'Control Room'!$A$14-('Control Room'!$B$14-1)/2)/MAX(0.5,'Control Room'!$B$14/4))^2),1)*IF(AND($A654&gt;='Control Room'!$A$15,$A654&lt;'Control Room'!$A$15+'Control Room'!$B$15,'Process'!BK4=1),1+('Control Room'!$C$15-1)*EXP(-0.5*(($A654-'Control Room'!$A$15-('Control Room'!$B$15-1)/2)/MAX(0.5,'Control Room'!$B$15/4))^2),1)*IF(AND($A654&gt;='Control Room'!$A$16,$A654&lt;'Control Room'!$A$16+'Control Room'!$B$16,'Process'!BK5=1),1+('Control Room'!$C$16-1)*EXP(-0.5*(($A654-'Control Room'!$A$16-('Control Room'!$B$16-1)/2)/MAX(0.5,'Control Room'!$B$16/4))^2),1)</x:f>
        <x:v>1</x:v>
      </x:c>
      <x:c r="G654" s="9" t="n">
        <x:f>MOD(H653*16807,2147483647)</x:f>
        <x:v>902619284</x:v>
      </x:c>
      <x:c r="H654" s="9" t="n">
        <x:f>MOD(G654*16807,2147483647)</x:f>
        <x:v>497823780</x:v>
      </x:c>
      <x:c r="I654" s="17" t="n">
        <x:f>IF('Control Room'!$B$5="Normal",'Control Room'!$B$7+'Control Room'!$D$7*SQRT(-2*LN(MAX(0.000000000001,G654/2147483647)))*COS(2*PI()*H654/2147483647),'Control Room'!$B$8+('Control Room'!$D$8-'Control Room'!$B$8)*G654/2147483647)</x:f>
        <x:v>1013.5082385432256</x:v>
      </x:c>
      <x:c r="J654" s="17" t="n">
        <x:f>IF('Control Room'!$B$5="Normal",'Control Room'!$B$7,('Control Room'!$B$8+'Control Room'!$D$8)/2)+'Control Room'!$B$9*(J653-IF('Control Room'!$B$5="Normal",'Control Room'!$B$7,('Control Room'!$B$8+'Control Room'!$D$8)/2))+SQRT(1-'Control Room'!$B$9^2)*(I654-IF('Control Room'!$B$5="Normal",'Control Room'!$B$7,('Control Room'!$B$8+'Control Room'!$D$8)/2))</x:f>
        <x:v>933.1232154718898</x:v>
      </x:c>
      <x:c r="K654" s="17" t="n">
        <x:f>IF(AND($A654&gt;='Control Room'!$A$13,$A654&lt;'Control Room'!$A$13+'Control Room'!$B$13,'Process'!BL2=1),1+('Control Room'!$C$13-1)*EXP(-0.5*(($A654-'Control Room'!$A$13-('Control Room'!$B$13-1)/2)/MAX(0.5,'Control Room'!$B$13/4))^2),1)*IF(AND($A654&gt;='Control Room'!$A$14,$A654&lt;'Control Room'!$A$14+'Control Room'!$B$14,'Process'!BL3=1),1+('Control Room'!$C$14-1)*EXP(-0.5*(($A654-'Control Room'!$A$14-('Control Room'!$B$14-1)/2)/MAX(0.5,'Control Room'!$B$14/4))^2),1)*IF(AND($A654&gt;='Control Room'!$A$15,$A654&lt;'Control Room'!$A$15+'Control Room'!$B$15,'Process'!BL4=1),1+('Control Room'!$C$15-1)*EXP(-0.5*(($A654-'Control Room'!$A$15-('Control Room'!$B$15-1)/2)/MAX(0.5,'Control Room'!$B$15/4))^2),1)*IF(AND($A654&gt;='Control Room'!$A$16,$A654&lt;'Control Room'!$A$16+'Control Room'!$B$16,'Process'!BL5=1),1+('Control Room'!$C$16-1)*EXP(-0.5*(($A654-'Control Room'!$A$16-('Control Room'!$B$16-1)/2)/MAX(0.5,'Control Room'!$B$16/4))^2),1)</x:f>
        <x:v>1</x:v>
      </x:c>
      <x:c r="L654" s="9" t="n">
        <x:f>MOD(M653*16807,2147483647)</x:f>
        <x:v>1836760881</x:v>
      </x:c>
      <x:c r="M654" s="9" t="n">
        <x:f>MOD(L654*16807,2147483647)</x:f>
        <x:v>362701342</x:v>
      </x:c>
      <x:c r="N654" s="17" t="n">
        <x:f>IF('Control Room'!$B$5="Normal",'Control Room'!$B$7+'Control Room'!$D$7*SQRT(-2*LN(MAX(0.000000000001,L654/2147483647)))*COS(2*PI()*M654/2147483647),'Control Room'!$B$8+('Control Room'!$D$8-'Control Room'!$B$8)*L654/2147483647)</x:f>
        <x:v>1024.546397655049</x:v>
      </x:c>
      <x:c r="O654" s="17" t="n">
        <x:f>IF('Control Room'!$B$5="Normal",'Control Room'!$B$7,('Control Room'!$B$8+'Control Room'!$D$8)/2)+'Control Room'!$B$9*(O653-IF('Control Room'!$B$5="Normal",'Control Room'!$B$7,('Control Room'!$B$8+'Control Room'!$D$8)/2))+SQRT(1-'Control Room'!$B$9^2)*(N654-IF('Control Room'!$B$5="Normal",'Control Room'!$B$7,('Control Room'!$B$8+'Control Room'!$D$8)/2))</x:f>
        <x:v>990.0465415566783</x:v>
      </x:c>
      <x:c r="P654" s="17" t="n">
        <x:f>IF(AND($A654&gt;='Control Room'!$A$13,$A654&lt;'Control Room'!$A$13+'Control Room'!$B$13,'Process'!BM2=1),1+('Control Room'!$C$13-1)*EXP(-0.5*(($A654-'Control Room'!$A$13-('Control Room'!$B$13-1)/2)/MAX(0.5,'Control Room'!$B$13/4))^2),1)*IF(AND($A654&gt;='Control Room'!$A$14,$A654&lt;'Control Room'!$A$14+'Control Room'!$B$14,'Process'!BM3=1),1+('Control Room'!$C$14-1)*EXP(-0.5*(($A654-'Control Room'!$A$14-('Control Room'!$B$14-1)/2)/MAX(0.5,'Control Room'!$B$14/4))^2),1)*IF(AND($A654&gt;='Control Room'!$A$15,$A654&lt;'Control Room'!$A$15+'Control Room'!$B$15,'Process'!BM4=1),1+('Control Room'!$C$15-1)*EXP(-0.5*(($A654-'Control Room'!$A$15-('Control Room'!$B$15-1)/2)/MAX(0.5,'Control Room'!$B$15/4))^2),1)*IF(AND($A654&gt;='Control Room'!$A$16,$A654&lt;'Control Room'!$A$16+'Control Room'!$B$16,'Process'!BM5=1),1+('Control Room'!$C$16-1)*EXP(-0.5*(($A654-'Control Room'!$A$16-('Control Room'!$B$16-1)/2)/MAX(0.5,'Control Room'!$B$16/4))^2),1)</x:f>
        <x:v>1</x:v>
      </x:c>
      <x:c r="Q654" s="9" t="n">
        <x:f>MOD(R653*16807,2147483647)</x:f>
        <x:v>623418831</x:v>
      </x:c>
      <x:c r="R654" s="9" t="n">
        <x:f>MOD(Q654*16807,2147483647)</x:f>
        <x:v>227578904</x:v>
      </x:c>
      <x:c r="S654" s="17" t="n">
        <x:f>IF('Control Room'!$B$5="Normal",'Control Room'!$B$7+'Control Room'!$D$7*SQRT(-2*LN(MAX(0.000000000001,Q654/2147483647)))*COS(2*PI()*R654/2147483647),'Control Room'!$B$8+('Control Room'!$D$8-'Control Room'!$B$8)*Q654/2147483647)</x:f>
        <x:v>1111.3138691997935</x:v>
      </x:c>
      <x:c r="T654" s="17" t="n">
        <x:f>IF('Control Room'!$B$5="Normal",'Control Room'!$B$7,('Control Room'!$B$8+'Control Room'!$D$8)/2)+'Control Room'!$B$9*(T653-IF('Control Room'!$B$5="Normal",'Control Room'!$B$7,('Control Room'!$B$8+'Control Room'!$D$8)/2))+SQRT(1-'Control Room'!$B$9^2)*(S654-IF('Control Room'!$B$5="Normal",'Control Room'!$B$7,('Control Room'!$B$8+'Control Room'!$D$8)/2))</x:f>
        <x:v>1091.3467088195007</x:v>
      </x:c>
      <x:c r="U654" s="17" t="n">
        <x:f>IF(AND($A654&gt;='Control Room'!$A$13,$A654&lt;'Control Room'!$A$13+'Control Room'!$B$13,'Process'!BN2=1),1+('Control Room'!$C$13-1)*EXP(-0.5*(($A654-'Control Room'!$A$13-('Control Room'!$B$13-1)/2)/MAX(0.5,'Control Room'!$B$13/4))^2),1)*IF(AND($A654&gt;='Control Room'!$A$14,$A654&lt;'Control Room'!$A$14+'Control Room'!$B$14,'Process'!BN3=1),1+('Control Room'!$C$14-1)*EXP(-0.5*(($A654-'Control Room'!$A$14-('Control Room'!$B$14-1)/2)/MAX(0.5,'Control Room'!$B$14/4))^2),1)*IF(AND($A654&gt;='Control Room'!$A$15,$A654&lt;'Control Room'!$A$15+'Control Room'!$B$15,'Process'!BN4=1),1+('Control Room'!$C$15-1)*EXP(-0.5*(($A654-'Control Room'!$A$15-('Control Room'!$B$15-1)/2)/MAX(0.5,'Control Room'!$B$15/4))^2),1)*IF(AND($A654&gt;='Control Room'!$A$16,$A654&lt;'Control Room'!$A$16+'Control Room'!$B$16,'Process'!BN5=1),1+('Control Room'!$C$16-1)*EXP(-0.5*(($A654-'Control Room'!$A$16-('Control Room'!$B$16-1)/2)/MAX(0.5,'Control Room'!$B$16/4))^2),1)</x:f>
        <x:v>1</x:v>
      </x:c>
      <x:c r="V654" s="9" t="n">
        <x:f>MOD(W653*16807,2147483647)</x:f>
        <x:v>1557560428</x:v>
      </x:c>
      <x:c r="W654" s="9" t="n">
        <x:f>MOD(V654*16807,2147483647)</x:f>
        <x:v>92456466</x:v>
      </x:c>
      <x:c r="X654" s="17" t="n">
        <x:f>IF('Control Room'!$B$5="Normal",'Control Room'!$B$7+'Control Room'!$D$7*SQRT(-2*LN(MAX(0.000000000001,V654/2147483647)))*COS(2*PI()*W654/2147483647),'Control Room'!$B$8+('Control Room'!$D$8-'Control Room'!$B$8)*V654/2147483647)</x:f>
        <x:v>1069.5090244783128</x:v>
      </x:c>
      <x:c r="Y654" s="17" t="n">
        <x:f>IF('Control Room'!$B$5="Normal",'Control Room'!$B$7,('Control Room'!$B$8+'Control Room'!$D$8)/2)+'Control Room'!$B$9*(Y653-IF('Control Room'!$B$5="Normal",'Control Room'!$B$7,('Control Room'!$B$8+'Control Room'!$D$8)/2))+SQRT(1-'Control Room'!$B$9^2)*(X654-IF('Control Room'!$B$5="Normal",'Control Room'!$B$7,('Control Room'!$B$8+'Control Room'!$D$8)/2))</x:f>
        <x:v>996.7719184219086</x:v>
      </x:c>
      <x:c r="Z654" s="17" t="n">
        <x:f>IF(AND($A654&gt;='Control Room'!$A$13,$A654&lt;'Control Room'!$A$13+'Control Room'!$B$13,'Process'!BO2=1),1+('Control Room'!$C$13-1)*EXP(-0.5*(($A654-'Control Room'!$A$13-('Control Room'!$B$13-1)/2)/MAX(0.5,'Control Room'!$B$13/4))^2),1)*IF(AND($A654&gt;='Control Room'!$A$14,$A654&lt;'Control Room'!$A$14+'Control Room'!$B$14,'Process'!BO3=1),1+('Control Room'!$C$14-1)*EXP(-0.5*(($A654-'Control Room'!$A$14-('Control Room'!$B$14-1)/2)/MAX(0.5,'Control Room'!$B$14/4))^2),1)*IF(AND($A654&gt;='Control Room'!$A$15,$A654&lt;'Control Room'!$A$15+'Control Room'!$B$15,'Process'!BO4=1),1+('Control Room'!$C$15-1)*EXP(-0.5*(($A654-'Control Room'!$A$15-('Control Room'!$B$15-1)/2)/MAX(0.5,'Control Room'!$B$15/4))^2),1)*IF(AND($A654&gt;='Control Room'!$A$16,$A654&lt;'Control Room'!$A$16+'Control Room'!$B$16,'Process'!BO5=1),1+('Control Room'!$C$16-1)*EXP(-0.5*(($A654-'Control Room'!$A$16-('Control Room'!$B$16-1)/2)/MAX(0.5,'Control Room'!$B$16/4))^2),1)</x:f>
        <x:v>1</x:v>
      </x:c>
      <x:c r="AA654" s="9" t="n">
        <x:f>MOD(AB653*16807,2147483647)</x:f>
        <x:v>344218378</x:v>
      </x:c>
      <x:c r="AB654" s="9" t="n">
        <x:f>MOD(AA654*16807,2147483647)</x:f>
        <x:v>2104817675</x:v>
      </x:c>
      <x:c r="AC654" s="17" t="n">
        <x:f>IF('Control Room'!$B$5="Normal",'Control Room'!$B$7+'Control Room'!$D$7*SQRT(-2*LN(MAX(0.000000000001,AA654/2147483647)))*COS(2*PI()*AB654/2147483647),'Control Room'!$B$8+('Control Room'!$D$8-'Control Room'!$B$8)*AA654/2147483647)</x:f>
        <x:v>1170.8765072065448</x:v>
      </x:c>
      <x:c r="AD654" s="17" t="n">
        <x:f>IF('Control Room'!$B$5="Normal",'Control Room'!$B$7,('Control Room'!$B$8+'Control Room'!$D$8)/2)+'Control Room'!$B$9*(AD653-IF('Control Room'!$B$5="Normal",'Control Room'!$B$7,('Control Room'!$B$8+'Control Room'!$D$8)/2))+SQRT(1-'Control Room'!$B$9^2)*(AC654-IF('Control Room'!$B$5="Normal",'Control Room'!$B$7,('Control Room'!$B$8+'Control Room'!$D$8)/2))</x:f>
        <x:v>1106.8889035336633</x:v>
      </x:c>
      <x:c r="AE654" s="17" t="n">
        <x:f>IF(AND($A654&gt;='Control Room'!$A$13,$A654&lt;'Control Room'!$A$13+'Control Room'!$B$13,'Process'!BP2=1),1+('Control Room'!$C$13-1)*EXP(-0.5*(($A654-'Control Room'!$A$13-('Control Room'!$B$13-1)/2)/MAX(0.5,'Control Room'!$B$13/4))^2),1)*IF(AND($A654&gt;='Control Room'!$A$14,$A654&lt;'Control Room'!$A$14+'Control Room'!$B$14,'Process'!BP3=1),1+('Control Room'!$C$14-1)*EXP(-0.5*(($A654-'Control Room'!$A$14-('Control Room'!$B$14-1)/2)/MAX(0.5,'Control Room'!$B$14/4))^2),1)*IF(AND($A654&gt;='Control Room'!$A$15,$A654&lt;'Control Room'!$A$15+'Control Room'!$B$15,'Process'!BP4=1),1+('Control Room'!$C$15-1)*EXP(-0.5*(($A654-'Control Room'!$A$15-('Control Room'!$B$15-1)/2)/MAX(0.5,'Control Room'!$B$15/4))^2),1)*IF(AND($A654&gt;='Control Room'!$A$16,$A654&lt;'Control Room'!$A$16+'Control Room'!$B$16,'Process'!BP5=1),1+('Control Room'!$C$16-1)*EXP(-0.5*(($A654-'Control Room'!$A$16-('Control Room'!$B$16-1)/2)/MAX(0.5,'Control Room'!$B$16/4))^2),1)</x:f>
        <x:v>1</x:v>
      </x:c>
      <x:c r="AF654" s="9" t="n">
        <x:f>MOD(AG653*16807,2147483647)</x:f>
        <x:v>1278359975</x:v>
      </x:c>
      <x:c r="AG654" s="9" t="n">
        <x:f>MOD(AF654*16807,2147483647)</x:f>
        <x:v>1969695237</x:v>
      </x:c>
      <x:c r="AH654" s="17" t="n">
        <x:f>IF('Control Room'!$B$5="Normal",'Control Room'!$B$7+'Control Room'!$D$7*SQRT(-2*LN(MAX(0.000000000001,AF654/2147483647)))*COS(2*PI()*AG654/2147483647),'Control Room'!$B$8+('Control Room'!$D$8-'Control Room'!$B$8)*AF654/2147483647)</x:f>
        <x:v>1079.5441098680897</x:v>
      </x:c>
      <x:c r="AI654" s="17" t="n">
        <x:f>IF('Control Room'!$B$5="Normal",'Control Room'!$B$7,('Control Room'!$B$8+'Control Room'!$D$8)/2)+'Control Room'!$B$9*(AI653-IF('Control Room'!$B$5="Normal",'Control Room'!$B$7,('Control Room'!$B$8+'Control Room'!$D$8)/2))+SQRT(1-'Control Room'!$B$9^2)*(AH654-IF('Control Room'!$B$5="Normal",'Control Room'!$B$7,('Control Room'!$B$8+'Control Room'!$D$8)/2))</x:f>
        <x:v>922.7362603435802</x:v>
      </x:c>
      <x:c r="AJ654" s="17" t="n">
        <x:f>IF(AND($A654&gt;='Control Room'!$A$13,$A654&lt;'Control Room'!$A$13+'Control Room'!$B$13,'Process'!BQ2=1),1+('Control Room'!$C$13-1)*EXP(-0.5*(($A654-'Control Room'!$A$13-('Control Room'!$B$13-1)/2)/MAX(0.5,'Control Room'!$B$13/4))^2),1)*IF(AND($A654&gt;='Control Room'!$A$14,$A654&lt;'Control Room'!$A$14+'Control Room'!$B$14,'Process'!BQ3=1),1+('Control Room'!$C$14-1)*EXP(-0.5*(($A654-'Control Room'!$A$14-('Control Room'!$B$14-1)/2)/MAX(0.5,'Control Room'!$B$14/4))^2),1)*IF(AND($A654&gt;='Control Room'!$A$15,$A654&lt;'Control Room'!$A$15+'Control Room'!$B$15,'Process'!BQ4=1),1+('Control Room'!$C$15-1)*EXP(-0.5*(($A654-'Control Room'!$A$15-('Control Room'!$B$15-1)/2)/MAX(0.5,'Control Room'!$B$15/4))^2),1)*IF(AND($A654&gt;='Control Room'!$A$16,$A654&lt;'Control Room'!$A$16+'Control Room'!$B$16,'Process'!BQ5=1),1+('Control Room'!$C$16-1)*EXP(-0.5*(($A654-'Control Room'!$A$16-('Control Room'!$B$16-1)/2)/MAX(0.5,'Control Room'!$B$16/4))^2),1)</x:f>
        <x:v>1</x:v>
      </x:c>
      <x:c r="AK654" s="9" t="n">
        <x:f>MOD(AL653*16807,2147483647)</x:f>
        <x:v>65017925</x:v>
      </x:c>
      <x:c r="AL654" s="9" t="n">
        <x:f>MOD(AK654*16807,2147483647)</x:f>
        <x:v>1834572799</x:v>
      </x:c>
      <x:c r="AM654" s="17" t="n">
        <x:f>IF('Control Room'!$B$5="Normal",'Control Room'!$B$7+'Control Room'!$D$7*SQRT(-2*LN(MAX(0.000000000001,AK654/2147483647)))*COS(2*PI()*AL654/2147483647),'Control Room'!$B$8+('Control Room'!$D$8-'Control Room'!$B$8)*AK654/2147483647)</x:f>
        <x:v>1145.0484820756492</x:v>
      </x:c>
      <x:c r="AN654" s="17" t="n">
        <x:f>IF('Control Room'!$B$5="Normal",'Control Room'!$B$7,('Control Room'!$B$8+'Control Room'!$D$8)/2)+'Control Room'!$B$9*(AN653-IF('Control Room'!$B$5="Normal",'Control Room'!$B$7,('Control Room'!$B$8+'Control Room'!$D$8)/2))+SQRT(1-'Control Room'!$B$9^2)*(AM654-IF('Control Room'!$B$5="Normal",'Control Room'!$B$7,('Control Room'!$B$8+'Control Room'!$D$8)/2))</x:f>
        <x:v>1031.5095352980593</x:v>
      </x:c>
      <x:c r="AO654" s="17" t="n">
        <x:f>IF(AND($A654&gt;='Control Room'!$A$13,$A654&lt;'Control Room'!$A$13+'Control Room'!$B$13,'Process'!BR2=1),1+('Control Room'!$C$13-1)*EXP(-0.5*(($A654-'Control Room'!$A$13-('Control Room'!$B$13-1)/2)/MAX(0.5,'Control Room'!$B$13/4))^2),1)*IF(AND($A654&gt;='Control Room'!$A$14,$A654&lt;'Control Room'!$A$14+'Control Room'!$B$14,'Process'!BR3=1),1+('Control Room'!$C$14-1)*EXP(-0.5*(($A654-'Control Room'!$A$14-('Control Room'!$B$14-1)/2)/MAX(0.5,'Control Room'!$B$14/4))^2),1)*IF(AND($A654&gt;='Control Room'!$A$15,$A654&lt;'Control Room'!$A$15+'Control Room'!$B$15,'Process'!BR4=1),1+('Control Room'!$C$15-1)*EXP(-0.5*(($A654-'Control Room'!$A$15-('Control Room'!$B$15-1)/2)/MAX(0.5,'Control Room'!$B$15/4))^2),1)*IF(AND($A654&gt;='Control Room'!$A$16,$A654&lt;'Control Room'!$A$16+'Control Room'!$B$16,'Process'!BR5=1),1+('Control Room'!$C$16-1)*EXP(-0.5*(($A654-'Control Room'!$A$16-('Control Room'!$B$16-1)/2)/MAX(0.5,'Control Room'!$B$16/4))^2),1)</x:f>
        <x:v>1</x:v>
      </x:c>
      <x:c r="AP654" s="9" t="n">
        <x:f>MOD(AQ653*16807,2147483647)</x:f>
        <x:v>999159522</x:v>
      </x:c>
      <x:c r="AQ654" s="9" t="n">
        <x:f>MOD(AP654*16807,2147483647)</x:f>
        <x:v>1699450361</x:v>
      </x:c>
      <x:c r="AR654" s="17" t="n">
        <x:f>IF('Control Room'!$B$5="Normal",'Control Room'!$B$7+'Control Room'!$D$7*SQRT(-2*LN(MAX(0.000000000001,AP654/2147483647)))*COS(2*PI()*AQ654/2147483647),'Control Room'!$B$8+('Control Room'!$D$8-'Control Room'!$B$8)*AP654/2147483647)</x:f>
        <x:v>1028.6136301364324</x:v>
      </x:c>
      <x:c r="AS654" s="17" t="n">
        <x:f>IF('Control Room'!$B$5="Normal",'Control Room'!$B$7,('Control Room'!$B$8+'Control Room'!$D$8)/2)+'Control Room'!$B$9*(AS653-IF('Control Room'!$B$5="Normal",'Control Room'!$B$7,('Control Room'!$B$8+'Control Room'!$D$8)/2))+SQRT(1-'Control Room'!$B$9^2)*(AR654-IF('Control Room'!$B$5="Normal",'Control Room'!$B$7,('Control Room'!$B$8+'Control Room'!$D$8)/2))</x:f>
        <x:v>1002.9928335099579</x:v>
      </x:c>
      <x:c r="AT654" s="17" t="n">
        <x:f>IF(AND($A654&gt;='Control Room'!$A$13,$A654&lt;'Control Room'!$A$13+'Control Room'!$B$13,'Process'!BS2=1),1+('Control Room'!$C$13-1)*EXP(-0.5*(($A654-'Control Room'!$A$13-('Control Room'!$B$13-1)/2)/MAX(0.5,'Control Room'!$B$13/4))^2),1)*IF(AND($A654&gt;='Control Room'!$A$14,$A654&lt;'Control Room'!$A$14+'Control Room'!$B$14,'Process'!BS3=1),1+('Control Room'!$C$14-1)*EXP(-0.5*(($A654-'Control Room'!$A$14-('Control Room'!$B$14-1)/2)/MAX(0.5,'Control Room'!$B$14/4))^2),1)*IF(AND($A654&gt;='Control Room'!$A$15,$A654&lt;'Control Room'!$A$15+'Control Room'!$B$15,'Process'!BS4=1),1+('Control Room'!$C$15-1)*EXP(-0.5*(($A654-'Control Room'!$A$15-('Control Room'!$B$15-1)/2)/MAX(0.5,'Control Room'!$B$15/4))^2),1)*IF(AND($A654&gt;='Control Room'!$A$16,$A654&lt;'Control Room'!$A$16+'Control Room'!$B$16,'Process'!BS5=1),1+('Control Room'!$C$16-1)*EXP(-0.5*(($A654-'Control Room'!$A$16-('Control Room'!$B$16-1)/2)/MAX(0.5,'Control Room'!$B$16/4))^2),1)</x:f>
        <x:v>1</x:v>
      </x:c>
      <x:c r="AU654" s="9" t="n">
        <x:f>MOD(AV653*16807,2147483647)</x:f>
        <x:v>1933301119</x:v>
      </x:c>
      <x:c r="AV654" s="9" t="n">
        <x:f>MOD(AU654*16807,2147483647)</x:f>
        <x:v>1564327923</x:v>
      </x:c>
      <x:c r="AW654" s="17" t="n">
        <x:f>IF('Control Room'!$B$5="Normal",'Control Room'!$B$7+'Control Room'!$D$7*SQRT(-2*LN(MAX(0.000000000001,AU654/2147483647)))*COS(2*PI()*AV654/2147483647),'Control Room'!$B$8+('Control Room'!$D$8-'Control Room'!$B$8)*AU654/2147483647)</x:f>
        <x:v>994.4300334701019</x:v>
      </x:c>
      <x:c r="AX654" s="17" t="n">
        <x:f>IF('Control Room'!$B$5="Normal",'Control Room'!$B$7,('Control Room'!$B$8+'Control Room'!$D$8)/2)+'Control Room'!$B$9*(AX653-IF('Control Room'!$B$5="Normal",'Control Room'!$B$7,('Control Room'!$B$8+'Control Room'!$D$8)/2))+SQRT(1-'Control Room'!$B$9^2)*(AW654-IF('Control Room'!$B$5="Normal",'Control Room'!$B$7,('Control Room'!$B$8+'Control Room'!$D$8)/2))</x:f>
        <x:v>938.8450588263962</x:v>
      </x:c>
      <x:c r="AY654" s="17" t="n">
        <x:f>IF(AND($A654&gt;='Control Room'!$A$13,$A654&lt;'Control Room'!$A$13+'Control Room'!$B$13,'Process'!BT2=1),1+('Control Room'!$C$13-1)*EXP(-0.5*(($A654-'Control Room'!$A$13-('Control Room'!$B$13-1)/2)/MAX(0.5,'Control Room'!$B$13/4))^2),1)*IF(AND($A654&gt;='Control Room'!$A$14,$A654&lt;'Control Room'!$A$14+'Control Room'!$B$14,'Process'!BT3=1),1+('Control Room'!$C$14-1)*EXP(-0.5*(($A654-'Control Room'!$A$14-('Control Room'!$B$14-1)/2)/MAX(0.5,'Control Room'!$B$14/4))^2),1)*IF(AND($A654&gt;='Control Room'!$A$15,$A654&lt;'Control Room'!$A$15+'Control Room'!$B$15,'Process'!BT4=1),1+('Control Room'!$C$15-1)*EXP(-0.5*(($A654-'Control Room'!$A$15-('Control Room'!$B$15-1)/2)/MAX(0.5,'Control Room'!$B$15/4))^2),1)*IF(AND($A654&gt;='Control Room'!$A$16,$A654&lt;'Control Room'!$A$16+'Control Room'!$B$16,'Process'!BT5=1),1+('Control Room'!$C$16-1)*EXP(-0.5*(($A654-'Control Room'!$A$16-('Control Room'!$B$16-1)/2)/MAX(0.5,'Control Room'!$B$16/4))^2),1)</x:f>
        <x:v>1</x:v>
      </x:c>
      <x:c r="AZ654" s="9" t="n">
        <x:f>MOD(BA653*16807,2147483647)</x:f>
        <x:v>719959069</x:v>
      </x:c>
      <x:c r="BA654" s="9" t="n">
        <x:f>MOD(AZ654*16807,2147483647)</x:f>
        <x:v>1429205485</x:v>
      </x:c>
      <x:c r="BB654" s="17" t="n">
        <x:f>IF('Control Room'!$B$5="Normal",'Control Room'!$B$7+'Control Room'!$D$7*SQRT(-2*LN(MAX(0.000000000001,AZ654/2147483647)))*COS(2*PI()*BA654/2147483647),'Control Room'!$B$8+('Control Room'!$D$8-'Control Room'!$B$8)*AZ654/2147483647)</x:f>
        <x:v>932.6468684610945</x:v>
      </x:c>
      <x:c r="BC654" s="17" t="n">
        <x:f>IF('Control Room'!$B$5="Normal",'Control Room'!$B$7,('Control Room'!$B$8+'Control Room'!$D$8)/2)+'Control Room'!$B$9*(BC653-IF('Control Room'!$B$5="Normal",'Control Room'!$B$7,('Control Room'!$B$8+'Control Room'!$D$8)/2))+SQRT(1-'Control Room'!$B$9^2)*(BB654-IF('Control Room'!$B$5="Normal",'Control Room'!$B$7,('Control Room'!$B$8+'Control Room'!$D$8)/2))</x:f>
        <x:v>924.0278168747716</x:v>
      </x:c>
      <x:c r="BD654" s="17" t="n">
        <x:f>IF(AND($A654&gt;='Control Room'!$A$13,$A654&lt;'Control Room'!$A$13+'Control Room'!$B$13,'Process'!BU2=1),1+('Control Room'!$C$13-1)*EXP(-0.5*(($A654-'Control Room'!$A$13-('Control Room'!$B$13-1)/2)/MAX(0.5,'Control Room'!$B$13/4))^2),1)*IF(AND($A654&gt;='Control Room'!$A$14,$A654&lt;'Control Room'!$A$14+'Control Room'!$B$14,'Process'!BU3=1),1+('Control Room'!$C$14-1)*EXP(-0.5*(($A654-'Control Room'!$A$14-('Control Room'!$B$14-1)/2)/MAX(0.5,'Control Room'!$B$14/4))^2),1)*IF(AND($A654&gt;='Control Room'!$A$15,$A654&lt;'Control Room'!$A$15+'Control Room'!$B$15,'Process'!BU4=1),1+('Control Room'!$C$15-1)*EXP(-0.5*(($A654-'Control Room'!$A$15-('Control Room'!$B$15-1)/2)/MAX(0.5,'Control Room'!$B$15/4))^2),1)*IF(AND($A654&gt;='Control Room'!$A$16,$A654&lt;'Control Room'!$A$16+'Control Room'!$B$16,'Process'!BU5=1),1+('Control Room'!$C$16-1)*EXP(-0.5*(($A654-'Control Room'!$A$16-('Control Room'!$B$16-1)/2)/MAX(0.5,'Control Room'!$B$16/4))^2),1)</x:f>
        <x:v>1</x:v>
      </x:c>
      <x:c r="BE654" s="9" t="n">
        <x:f>MOD(BF653*16807,2147483647)</x:f>
        <x:v>1654100666</x:v>
      </x:c>
      <x:c r="BF654" s="9" t="n">
        <x:f>MOD(BE654*16807,2147483647)</x:f>
        <x:v>1294083047</x:v>
      </x:c>
      <x:c r="BG654" s="17" t="n">
        <x:f>IF('Control Room'!$B$5="Normal",'Control Room'!$B$7+'Control Room'!$D$7*SQRT(-2*LN(MAX(0.000000000001,BE654/2147483647)))*COS(2*PI()*BF654/2147483647),'Control Room'!$B$8+('Control Room'!$D$8-'Control Room'!$B$8)*BE654/2147483647)</x:f>
        <x:v>948.0225192404105</x:v>
      </x:c>
      <x:c r="BH654" s="17" t="n">
        <x:f>IF('Control Room'!$B$5="Normal",'Control Room'!$B$7,('Control Room'!$B$8+'Control Room'!$D$8)/2)+'Control Room'!$B$9*(BH653-IF('Control Room'!$B$5="Normal",'Control Room'!$B$7,('Control Room'!$B$8+'Control Room'!$D$8)/2))+SQRT(1-'Control Room'!$B$9^2)*(BG654-IF('Control Room'!$B$5="Normal",'Control Room'!$B$7,('Control Room'!$B$8+'Control Room'!$D$8)/2))</x:f>
        <x:v>768.0402570567658</x:v>
      </x:c>
      <x:c r="BI654" s="17" t="n">
        <x:f>IF(AND($A654&gt;='Control Room'!$A$13,$A654&lt;'Control Room'!$A$13+'Control Room'!$B$13,'Process'!BV2=1),1+('Control Room'!$C$13-1)*EXP(-0.5*(($A654-'Control Room'!$A$13-('Control Room'!$B$13-1)/2)/MAX(0.5,'Control Room'!$B$13/4))^2),1)*IF(AND($A654&gt;='Control Room'!$A$14,$A654&lt;'Control Room'!$A$14+'Control Room'!$B$14,'Process'!BV3=1),1+('Control Room'!$C$14-1)*EXP(-0.5*(($A654-'Control Room'!$A$14-('Control Room'!$B$14-1)/2)/MAX(0.5,'Control Room'!$B$14/4))^2),1)*IF(AND($A654&gt;='Control Room'!$A$15,$A654&lt;'Control Room'!$A$15+'Control Room'!$B$15,'Process'!BV4=1),1+('Control Room'!$C$15-1)*EXP(-0.5*(($A654-'Control Room'!$A$15-('Control Room'!$B$15-1)/2)/MAX(0.5,'Control Room'!$B$15/4))^2),1)*IF(AND($A654&gt;='Control Room'!$A$16,$A654&lt;'Control Room'!$A$16+'Control Room'!$B$16,'Process'!BV5=1),1+('Control Room'!$C$16-1)*EXP(-0.5*(($A654-'Control Room'!$A$16-('Control Room'!$B$16-1)/2)/MAX(0.5,'Control Room'!$B$16/4))^2),1)</x:f>
        <x:v>1</x:v>
      </x:c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Z654" t="str">
        <x:f>IF('Data'!A654="","",TEXT('Data'!A654,"mm-dd"))</x:f>
      </x:c>
    </x:row>
    <x:row r="655" ht="21" customHeight="1">
      <x:c r="A655" s="15" t="n">
        <x:f>'Control Room'!$B$1+653</x:f>
        <x:v>73644</x:v>
      </x:c>
      <x:c r="B655" s="9" t="n">
        <x:f>MOD(C654*16807,2147483647)</x:f>
        <x:v>1440582335</x:v>
      </x:c>
      <x:c r="C655" s="9" t="n">
        <x:f>MOD(B655*16807,2147483647)</x:f>
        <x:v>1136668067</x:v>
      </x:c>
      <x:c r="D655" s="17" t="n">
        <x:f>IF('Control Room'!$B$5="Normal",'Control Room'!$B$7+'Control Room'!$D$7*SQRT(-2*LN(MAX(0.000000000001,B655/2147483647)))*COS(2*PI()*C655/2147483647),'Control Room'!$B$8+('Control Room'!$D$8-'Control Room'!$B$8)*B655/2147483647)</x:f>
        <x:v>920.9363316750814</x:v>
      </x:c>
      <x:c r="E655" s="17" t="n">
        <x:f>IF('Control Room'!$B$5="Normal",'Control Room'!$B$7,('Control Room'!$B$8+'Control Room'!$D$8)/2)+'Control Room'!$B$9*(E654-IF('Control Room'!$B$5="Normal",'Control Room'!$B$7,('Control Room'!$B$8+'Control Room'!$D$8)/2))+SQRT(1-'Control Room'!$B$9^2)*(D655-IF('Control Room'!$B$5="Normal",'Control Room'!$B$7,('Control Room'!$B$8+'Control Room'!$D$8)/2))</x:f>
        <x:v>934.6265867656828</x:v>
      </x:c>
      <x:c r="F655" s="17" t="n">
        <x:f>IF(AND($A655&gt;='Control Room'!$A$13,$A655&lt;'Control Room'!$A$13+'Control Room'!$B$13,'Process'!BK2=1),1+('Control Room'!$C$13-1)*EXP(-0.5*(($A655-'Control Room'!$A$13-('Control Room'!$B$13-1)/2)/MAX(0.5,'Control Room'!$B$13/4))^2),1)*IF(AND($A655&gt;='Control Room'!$A$14,$A655&lt;'Control Room'!$A$14+'Control Room'!$B$14,'Process'!BK3=1),1+('Control Room'!$C$14-1)*EXP(-0.5*(($A655-'Control Room'!$A$14-('Control Room'!$B$14-1)/2)/MAX(0.5,'Control Room'!$B$14/4))^2),1)*IF(AND($A655&gt;='Control Room'!$A$15,$A655&lt;'Control Room'!$A$15+'Control Room'!$B$15,'Process'!BK4=1),1+('Control Room'!$C$15-1)*EXP(-0.5*(($A655-'Control Room'!$A$15-('Control Room'!$B$15-1)/2)/MAX(0.5,'Control Room'!$B$15/4))^2),1)*IF(AND($A655&gt;='Control Room'!$A$16,$A655&lt;'Control Room'!$A$16+'Control Room'!$B$16,'Process'!BK5=1),1+('Control Room'!$C$16-1)*EXP(-0.5*(($A655-'Control Room'!$A$16-('Control Room'!$B$16-1)/2)/MAX(0.5,'Control Room'!$B$16/4))^2),1)</x:f>
        <x:v>1</x:v>
      </x:c>
      <x:c r="G655" s="9" t="n">
        <x:f>MOD(H654*16807,2147483647)</x:f>
        <x:v>327981748</x:v>
      </x:c>
      <x:c r="H655" s="9" t="n">
        <x:f>MOD(G655*16807,2147483647)</x:f>
        <x:v>1946200434</x:v>
      </x:c>
      <x:c r="I655" s="17" t="n">
        <x:f>IF('Control Room'!$B$5="Normal",'Control Room'!$B$7+'Control Room'!$D$7*SQRT(-2*LN(MAX(0.000000000001,G655/2147483647)))*COS(2*PI()*H655/2147483647),'Control Room'!$B$8+('Control Room'!$D$8-'Control Room'!$B$8)*G655/2147483647)</x:f>
        <x:v>1145.0824818473154</x:v>
      </x:c>
      <x:c r="J655" s="17" t="n">
        <x:f>IF('Control Room'!$B$5="Normal",'Control Room'!$B$7,('Control Room'!$B$8+'Control Room'!$D$8)/2)+'Control Room'!$B$9*(J654-IF('Control Room'!$B$5="Normal",'Control Room'!$B$7,('Control Room'!$B$8+'Control Room'!$D$8)/2))+SQRT(1-'Control Room'!$B$9^2)*(I655-IF('Control Room'!$B$5="Normal",'Control Room'!$B$7,('Control Room'!$B$8+'Control Room'!$D$8)/2))</x:f>
        <x:v>1038.6257530319313</x:v>
      </x:c>
      <x:c r="K655" s="17" t="n">
        <x:f>IF(AND($A655&gt;='Control Room'!$A$13,$A655&lt;'Control Room'!$A$13+'Control Room'!$B$13,'Process'!BL2=1),1+('Control Room'!$C$13-1)*EXP(-0.5*(($A655-'Control Room'!$A$13-('Control Room'!$B$13-1)/2)/MAX(0.5,'Control Room'!$B$13/4))^2),1)*IF(AND($A655&gt;='Control Room'!$A$14,$A655&lt;'Control Room'!$A$14+'Control Room'!$B$14,'Process'!BL3=1),1+('Control Room'!$C$14-1)*EXP(-0.5*(($A655-'Control Room'!$A$14-('Control Room'!$B$14-1)/2)/MAX(0.5,'Control Room'!$B$14/4))^2),1)*IF(AND($A655&gt;='Control Room'!$A$15,$A655&lt;'Control Room'!$A$15+'Control Room'!$B$15,'Process'!BL4=1),1+('Control Room'!$C$15-1)*EXP(-0.5*(($A655-'Control Room'!$A$15-('Control Room'!$B$15-1)/2)/MAX(0.5,'Control Room'!$B$15/4))^2),1)*IF(AND($A655&gt;='Control Room'!$A$16,$A655&lt;'Control Room'!$A$16+'Control Room'!$B$16,'Process'!BL5=1),1+('Control Room'!$C$16-1)*EXP(-0.5*(($A655-'Control Room'!$A$16-('Control Room'!$B$16-1)/2)/MAX(0.5,'Control Room'!$B$16/4))^2),1)</x:f>
        <x:v>1</x:v>
      </x:c>
      <x:c r="L655" s="9" t="n">
        <x:f>MOD(M654*16807,2147483647)</x:f>
        <x:v>1362864808</x:v>
      </x:c>
      <x:c r="M655" s="9" t="n">
        <x:f>MOD(L655*16807,2147483647)</x:f>
        <x:v>608249154</x:v>
      </x:c>
      <x:c r="N655" s="17" t="n">
        <x:f>IF('Control Room'!$B$5="Normal",'Control Room'!$B$7+'Control Room'!$D$7*SQRT(-2*LN(MAX(0.000000000001,L655/2147483647)))*COS(2*PI()*M655/2147483647),'Control Room'!$B$8+('Control Room'!$D$8-'Control Room'!$B$8)*L655/2147483647)</x:f>
        <x:v>982.2058179353619</x:v>
      </x:c>
      <x:c r="O655" s="17" t="n">
        <x:f>IF('Control Room'!$B$5="Normal",'Control Room'!$B$7,('Control Room'!$B$8+'Control Room'!$D$8)/2)+'Control Room'!$B$9*(O654-IF('Control Room'!$B$5="Normal",'Control Room'!$B$7,('Control Room'!$B$8+'Control Room'!$D$8)/2))+SQRT(1-'Control Room'!$B$9^2)*(N655-IF('Control Room'!$B$5="Normal",'Control Room'!$B$7,('Control Room'!$B$8+'Control Room'!$D$8)/2))</x:f>
        <x:v>981.1010678117924</x:v>
      </x:c>
      <x:c r="P655" s="17" t="n">
        <x:f>IF(AND($A655&gt;='Control Room'!$A$13,$A655&lt;'Control Room'!$A$13+'Control Room'!$B$13,'Process'!BM2=1),1+('Control Room'!$C$13-1)*EXP(-0.5*(($A655-'Control Room'!$A$13-('Control Room'!$B$13-1)/2)/MAX(0.5,'Control Room'!$B$13/4))^2),1)*IF(AND($A655&gt;='Control Room'!$A$14,$A655&lt;'Control Room'!$A$14+'Control Room'!$B$14,'Process'!BM3=1),1+('Control Room'!$C$14-1)*EXP(-0.5*(($A655-'Control Room'!$A$14-('Control Room'!$B$14-1)/2)/MAX(0.5,'Control Room'!$B$14/4))^2),1)*IF(AND($A655&gt;='Control Room'!$A$15,$A655&lt;'Control Room'!$A$15+'Control Room'!$B$15,'Process'!BM4=1),1+('Control Room'!$C$15-1)*EXP(-0.5*(($A655-'Control Room'!$A$15-('Control Room'!$B$15-1)/2)/MAX(0.5,'Control Room'!$B$15/4))^2),1)*IF(AND($A655&gt;='Control Room'!$A$16,$A655&lt;'Control Room'!$A$16+'Control Room'!$B$16,'Process'!BM5=1),1+('Control Room'!$C$16-1)*EXP(-0.5*(($A655-'Control Room'!$A$16-('Control Room'!$B$16-1)/2)/MAX(0.5,'Control Room'!$B$16/4))^2),1)</x:f>
        <x:v>1</x:v>
      </x:c>
      <x:c r="Q655" s="9" t="n">
        <x:f>MOD(R654*16807,2147483647)</x:f>
        <x:v>250264221</x:v>
      </x:c>
      <x:c r="R655" s="9" t="n">
        <x:f>MOD(Q655*16807,2147483647)</x:f>
        <x:v>1417781521</x:v>
      </x:c>
      <x:c r="S655" s="17" t="n">
        <x:f>IF('Control Room'!$B$5="Normal",'Control Room'!$B$7+'Control Room'!$D$7*SQRT(-2*LN(MAX(0.000000000001,Q655/2147483647)))*COS(2*PI()*R655/2147483647),'Control Room'!$B$8+('Control Room'!$D$8-'Control Room'!$B$8)*Q655/2147483647)</x:f>
        <x:v>900.2145368579125</x:v>
      </x:c>
      <x:c r="T655" s="17" t="n">
        <x:f>IF('Control Room'!$B$5="Normal",'Control Room'!$B$7,('Control Room'!$B$8+'Control Room'!$D$8)/2)+'Control Room'!$B$9*(T654-IF('Control Room'!$B$5="Normal",'Control Room'!$B$7,('Control Room'!$B$8+'Control Room'!$D$8)/2))+SQRT(1-'Control Room'!$B$9^2)*(S655-IF('Control Room'!$B$5="Normal",'Control Room'!$B$7,('Control Room'!$B$8+'Control Room'!$D$8)/2))</x:f>
        <x:v>1008.8067342612178</x:v>
      </x:c>
      <x:c r="U655" s="17" t="n">
        <x:f>IF(AND($A655&gt;='Control Room'!$A$13,$A655&lt;'Control Room'!$A$13+'Control Room'!$B$13,'Process'!BN2=1),1+('Control Room'!$C$13-1)*EXP(-0.5*(($A655-'Control Room'!$A$13-('Control Room'!$B$13-1)/2)/MAX(0.5,'Control Room'!$B$13/4))^2),1)*IF(AND($A655&gt;='Control Room'!$A$14,$A655&lt;'Control Room'!$A$14+'Control Room'!$B$14,'Process'!BN3=1),1+('Control Room'!$C$14-1)*EXP(-0.5*(($A655-'Control Room'!$A$14-('Control Room'!$B$14-1)/2)/MAX(0.5,'Control Room'!$B$14/4))^2),1)*IF(AND($A655&gt;='Control Room'!$A$15,$A655&lt;'Control Room'!$A$15+'Control Room'!$B$15,'Process'!BN4=1),1+('Control Room'!$C$15-1)*EXP(-0.5*(($A655-'Control Room'!$A$15-('Control Room'!$B$15-1)/2)/MAX(0.5,'Control Room'!$B$15/4))^2),1)*IF(AND($A655&gt;='Control Room'!$A$16,$A655&lt;'Control Room'!$A$16+'Control Room'!$B$16,'Process'!BN5=1),1+('Control Room'!$C$16-1)*EXP(-0.5*(($A655-'Control Room'!$A$16-('Control Room'!$B$16-1)/2)/MAX(0.5,'Control Room'!$B$16/4))^2),1)</x:f>
        <x:v>1</x:v>
      </x:c>
      <x:c r="V655" s="9" t="n">
        <x:f>MOD(W654*16807,2147483647)</x:f>
        <x:v>1285147281</x:v>
      </x:c>
      <x:c r="W655" s="9" t="n">
        <x:f>MOD(V655*16807,2147483647)</x:f>
        <x:v>79830241</x:v>
      </x:c>
      <x:c r="X655" s="17" t="n">
        <x:f>IF('Control Room'!$B$5="Normal",'Control Room'!$B$7+'Control Room'!$D$7*SQRT(-2*LN(MAX(0.000000000001,V655/2147483647)))*COS(2*PI()*W655/2147483647),'Control Room'!$B$8+('Control Room'!$D$8-'Control Room'!$B$8)*V655/2147483647)</x:f>
        <x:v>1088.7236839238094</x:v>
      </x:c>
      <x:c r="Y655" s="17" t="n">
        <x:f>IF('Control Room'!$B$5="Normal",'Control Room'!$B$7,('Control Room'!$B$8+'Control Room'!$D$8)/2)+'Control Room'!$B$9*(Y654-IF('Control Room'!$B$5="Normal",'Control Room'!$B$7,('Control Room'!$B$8+'Control Room'!$D$8)/2))+SQRT(1-'Control Room'!$B$9^2)*(X655-IF('Control Room'!$B$5="Normal",'Control Room'!$B$7,('Control Room'!$B$8+'Control Room'!$D$8)/2))</x:f>
        <x:v>1053.003560165148</x:v>
      </x:c>
      <x:c r="Z655" s="17" t="n">
        <x:f>IF(AND($A655&gt;='Control Room'!$A$13,$A655&lt;'Control Room'!$A$13+'Control Room'!$B$13,'Process'!BO2=1),1+('Control Room'!$C$13-1)*EXP(-0.5*(($A655-'Control Room'!$A$13-('Control Room'!$B$13-1)/2)/MAX(0.5,'Control Room'!$B$13/4))^2),1)*IF(AND($A655&gt;='Control Room'!$A$14,$A655&lt;'Control Room'!$A$14+'Control Room'!$B$14,'Process'!BO3=1),1+('Control Room'!$C$14-1)*EXP(-0.5*(($A655-'Control Room'!$A$14-('Control Room'!$B$14-1)/2)/MAX(0.5,'Control Room'!$B$14/4))^2),1)*IF(AND($A655&gt;='Control Room'!$A$15,$A655&lt;'Control Room'!$A$15+'Control Room'!$B$15,'Process'!BO4=1),1+('Control Room'!$C$15-1)*EXP(-0.5*(($A655-'Control Room'!$A$15-('Control Room'!$B$15-1)/2)/MAX(0.5,'Control Room'!$B$15/4))^2),1)*IF(AND($A655&gt;='Control Room'!$A$16,$A655&lt;'Control Room'!$A$16+'Control Room'!$B$16,'Process'!BO5=1),1+('Control Room'!$C$16-1)*EXP(-0.5*(($A655-'Control Room'!$A$16-('Control Room'!$B$16-1)/2)/MAX(0.5,'Control Room'!$B$16/4))^2),1)</x:f>
        <x:v>1</x:v>
      </x:c>
      <x:c r="AA655" s="9" t="n">
        <x:f>MOD(AB654*16807,2147483647)</x:f>
        <x:v>172546694</x:v>
      </x:c>
      <x:c r="AB655" s="9" t="n">
        <x:f>MOD(AA655*16807,2147483647)</x:f>
        <x:v>889362608</x:v>
      </x:c>
      <x:c r="AC655" s="17" t="n">
        <x:f>IF('Control Room'!$B$5="Normal",'Control Room'!$B$7+'Control Room'!$D$7*SQRT(-2*LN(MAX(0.000000000001,AA655/2147483647)))*COS(2*PI()*AB655/2147483647),'Control Room'!$B$8+('Control Room'!$D$8-'Control Room'!$B$8)*AA655/2147483647)</x:f>
        <x:v>826.5970681634475</x:v>
      </x:c>
      <x:c r="AD655" s="17" t="n">
        <x:f>IF('Control Room'!$B$5="Normal",'Control Room'!$B$7,('Control Room'!$B$8+'Control Room'!$D$8)/2)+'Control Room'!$B$9*(AD654-IF('Control Room'!$B$5="Normal",'Control Room'!$B$7,('Control Room'!$B$8+'Control Room'!$D$8)/2))+SQRT(1-'Control Room'!$B$9^2)*(AC655-IF('Control Room'!$B$5="Normal",'Control Room'!$B$7,('Control Room'!$B$8+'Control Room'!$D$8)/2))</x:f>
        <x:v>974.8613423650891</x:v>
      </x:c>
      <x:c r="AE655" s="17" t="n">
        <x:f>IF(AND($A655&gt;='Control Room'!$A$13,$A655&lt;'Control Room'!$A$13+'Control Room'!$B$13,'Process'!BP2=1),1+('Control Room'!$C$13-1)*EXP(-0.5*(($A655-'Control Room'!$A$13-('Control Room'!$B$13-1)/2)/MAX(0.5,'Control Room'!$B$13/4))^2),1)*IF(AND($A655&gt;='Control Room'!$A$14,$A655&lt;'Control Room'!$A$14+'Control Room'!$B$14,'Process'!BP3=1),1+('Control Room'!$C$14-1)*EXP(-0.5*(($A655-'Control Room'!$A$14-('Control Room'!$B$14-1)/2)/MAX(0.5,'Control Room'!$B$14/4))^2),1)*IF(AND($A655&gt;='Control Room'!$A$15,$A655&lt;'Control Room'!$A$15+'Control Room'!$B$15,'Process'!BP4=1),1+('Control Room'!$C$15-1)*EXP(-0.5*(($A655-'Control Room'!$A$15-('Control Room'!$B$15-1)/2)/MAX(0.5,'Control Room'!$B$15/4))^2),1)*IF(AND($A655&gt;='Control Room'!$A$16,$A655&lt;'Control Room'!$A$16+'Control Room'!$B$16,'Process'!BP5=1),1+('Control Room'!$C$16-1)*EXP(-0.5*(($A655-'Control Room'!$A$16-('Control Room'!$B$16-1)/2)/MAX(0.5,'Control Room'!$B$16/4))^2),1)</x:f>
        <x:v>1</x:v>
      </x:c>
      <x:c r="AF655" s="9" t="n">
        <x:f>MOD(AG654*16807,2147483647)</x:f>
        <x:v>1207429754</x:v>
      </x:c>
      <x:c r="AG655" s="9" t="n">
        <x:f>MOD(AF655*16807,2147483647)</x:f>
        <x:v>1698894975</x:v>
      </x:c>
      <x:c r="AH655" s="17" t="n">
        <x:f>IF('Control Room'!$B$5="Normal",'Control Room'!$B$7+'Control Room'!$D$7*SQRT(-2*LN(MAX(0.000000000001,AF655/2147483647)))*COS(2*PI()*AG655/2147483647),'Control Room'!$B$8+('Control Room'!$D$8-'Control Room'!$B$8)*AF655/2147483647)</x:f>
        <x:v>1024.670486514317</x:v>
      </x:c>
      <x:c r="AI655" s="17" t="n">
        <x:f>IF('Control Room'!$B$5="Normal",'Control Room'!$B$7,('Control Room'!$B$8+'Control Room'!$D$8)/2)+'Control Room'!$B$9*(AI654-IF('Control Room'!$B$5="Normal",'Control Room'!$B$7,('Control Room'!$B$8+'Control Room'!$D$8)/2))+SQRT(1-'Control Room'!$B$9^2)*(AH655-IF('Control Room'!$B$5="Normal",'Control Room'!$B$7,('Control Room'!$B$8+'Control Room'!$D$8)/2))</x:f>
        <x:v>955.1725681262649</x:v>
      </x:c>
      <x:c r="AJ655" s="17" t="n">
        <x:f>IF(AND($A655&gt;='Control Room'!$A$13,$A655&lt;'Control Room'!$A$13+'Control Room'!$B$13,'Process'!BQ2=1),1+('Control Room'!$C$13-1)*EXP(-0.5*(($A655-'Control Room'!$A$13-('Control Room'!$B$13-1)/2)/MAX(0.5,'Control Room'!$B$13/4))^2),1)*IF(AND($A655&gt;='Control Room'!$A$14,$A655&lt;'Control Room'!$A$14+'Control Room'!$B$14,'Process'!BQ3=1),1+('Control Room'!$C$14-1)*EXP(-0.5*(($A655-'Control Room'!$A$14-('Control Room'!$B$14-1)/2)/MAX(0.5,'Control Room'!$B$14/4))^2),1)*IF(AND($A655&gt;='Control Room'!$A$15,$A655&lt;'Control Room'!$A$15+'Control Room'!$B$15,'Process'!BQ4=1),1+('Control Room'!$C$15-1)*EXP(-0.5*(($A655-'Control Room'!$A$15-('Control Room'!$B$15-1)/2)/MAX(0.5,'Control Room'!$B$15/4))^2),1)*IF(AND($A655&gt;='Control Room'!$A$16,$A655&lt;'Control Room'!$A$16+'Control Room'!$B$16,'Process'!BQ5=1),1+('Control Room'!$C$16-1)*EXP(-0.5*(($A655-'Control Room'!$A$16-('Control Room'!$B$16-1)/2)/MAX(0.5,'Control Room'!$B$16/4))^2),1)</x:f>
        <x:v>1</x:v>
      </x:c>
      <x:c r="AK655" s="9" t="n">
        <x:f>MOD(AL654*16807,2147483647)</x:f>
        <x:v>94829167</x:v>
      </x:c>
      <x:c r="AL655" s="9" t="n">
        <x:f>MOD(AK655*16807,2147483647)</x:f>
        <x:v>360943695</x:v>
      </x:c>
      <x:c r="AM655" s="17" t="n">
        <x:f>IF('Control Room'!$B$5="Normal",'Control Room'!$B$7+'Control Room'!$D$7*SQRT(-2*LN(MAX(0.000000000001,AK655/2147483647)))*COS(2*PI()*AL655/2147483647),'Control Room'!$B$8+('Control Room'!$D$8-'Control Room'!$B$8)*AK655/2147483647)</x:f>
        <x:v>1110.679198276328</x:v>
      </x:c>
      <x:c r="AN655" s="17" t="n">
        <x:f>IF('Control Room'!$B$5="Normal",'Control Room'!$B$7,('Control Room'!$B$8+'Control Room'!$D$8)/2)+'Control Room'!$B$9*(AN654-IF('Control Room'!$B$5="Normal",'Control Room'!$B$7,('Control Room'!$B$8+'Control Room'!$D$8)/2))+SQRT(1-'Control Room'!$B$9^2)*(AM655-IF('Control Room'!$B$5="Normal",'Control Room'!$B$7,('Control Room'!$B$8+'Control Room'!$D$8)/2))</x:f>
        <x:v>1093.8382124271923</x:v>
      </x:c>
      <x:c r="AO655" s="17" t="n">
        <x:f>IF(AND($A655&gt;='Control Room'!$A$13,$A655&lt;'Control Room'!$A$13+'Control Room'!$B$13,'Process'!BR2=1),1+('Control Room'!$C$13-1)*EXP(-0.5*(($A655-'Control Room'!$A$13-('Control Room'!$B$13-1)/2)/MAX(0.5,'Control Room'!$B$13/4))^2),1)*IF(AND($A655&gt;='Control Room'!$A$14,$A655&lt;'Control Room'!$A$14+'Control Room'!$B$14,'Process'!BR3=1),1+('Control Room'!$C$14-1)*EXP(-0.5*(($A655-'Control Room'!$A$14-('Control Room'!$B$14-1)/2)/MAX(0.5,'Control Room'!$B$14/4))^2),1)*IF(AND($A655&gt;='Control Room'!$A$15,$A655&lt;'Control Room'!$A$15+'Control Room'!$B$15,'Process'!BR4=1),1+('Control Room'!$C$15-1)*EXP(-0.5*(($A655-'Control Room'!$A$15-('Control Room'!$B$15-1)/2)/MAX(0.5,'Control Room'!$B$15/4))^2),1)*IF(AND($A655&gt;='Control Room'!$A$16,$A655&lt;'Control Room'!$A$16+'Control Room'!$B$16,'Process'!BR5=1),1+('Control Room'!$C$16-1)*EXP(-0.5*(($A655-'Control Room'!$A$16-('Control Room'!$B$16-1)/2)/MAX(0.5,'Control Room'!$B$16/4))^2),1)</x:f>
        <x:v>1</x:v>
      </x:c>
      <x:c r="AP655" s="9" t="n">
        <x:f>MOD(AQ654*16807,2147483647)</x:f>
        <x:v>1129712227</x:v>
      </x:c>
      <x:c r="AQ655" s="9" t="n">
        <x:f>MOD(AP655*16807,2147483647)</x:f>
        <x:v>1170476062</x:v>
      </x:c>
      <x:c r="AR655" s="17" t="n">
        <x:f>IF('Control Room'!$B$5="Normal",'Control Room'!$B$7+'Control Room'!$D$7*SQRT(-2*LN(MAX(0.000000000001,AP655/2147483647)))*COS(2*PI()*AQ655/2147483647),'Control Room'!$B$8+('Control Room'!$D$8-'Control Room'!$B$8)*AP655/2147483647)</x:f>
        <x:v>902.0496541621767</x:v>
      </x:c>
      <x:c r="AS655" s="17" t="n">
        <x:f>IF('Control Room'!$B$5="Normal",'Control Room'!$B$7,('Control Room'!$B$8+'Control Room'!$D$8)/2)+'Control Room'!$B$9*(AS654-IF('Control Room'!$B$5="Normal",'Control Room'!$B$7,('Control Room'!$B$8+'Control Room'!$D$8)/2))+SQRT(1-'Control Room'!$B$9^2)*(AR655-IF('Control Room'!$B$5="Normal",'Control Room'!$B$7,('Control Room'!$B$8+'Control Room'!$D$8)/2))</x:f>
        <x:v>941.0390903343614</x:v>
      </x:c>
      <x:c r="AT655" s="17" t="n">
        <x:f>IF(AND($A655&gt;='Control Room'!$A$13,$A655&lt;'Control Room'!$A$13+'Control Room'!$B$13,'Process'!BS2=1),1+('Control Room'!$C$13-1)*EXP(-0.5*(($A655-'Control Room'!$A$13-('Control Room'!$B$13-1)/2)/MAX(0.5,'Control Room'!$B$13/4))^2),1)*IF(AND($A655&gt;='Control Room'!$A$14,$A655&lt;'Control Room'!$A$14+'Control Room'!$B$14,'Process'!BS3=1),1+('Control Room'!$C$14-1)*EXP(-0.5*(($A655-'Control Room'!$A$14-('Control Room'!$B$14-1)/2)/MAX(0.5,'Control Room'!$B$14/4))^2),1)*IF(AND($A655&gt;='Control Room'!$A$15,$A655&lt;'Control Room'!$A$15+'Control Room'!$B$15,'Process'!BS4=1),1+('Control Room'!$C$15-1)*EXP(-0.5*(($A655-'Control Room'!$A$15-('Control Room'!$B$15-1)/2)/MAX(0.5,'Control Room'!$B$15/4))^2),1)*IF(AND($A655&gt;='Control Room'!$A$16,$A655&lt;'Control Room'!$A$16+'Control Room'!$B$16,'Process'!BS5=1),1+('Control Room'!$C$16-1)*EXP(-0.5*(($A655-'Control Room'!$A$16-('Control Room'!$B$16-1)/2)/MAX(0.5,'Control Room'!$B$16/4))^2),1)</x:f>
        <x:v>1</x:v>
      </x:c>
      <x:c r="AU655" s="9" t="n">
        <x:f>MOD(AV654*16807,2147483647)</x:f>
        <x:v>17111640</x:v>
      </x:c>
      <x:c r="AV655" s="9" t="n">
        <x:f>MOD(AU655*16807,2147483647)</x:f>
        <x:v>1980008429</x:v>
      </x:c>
      <x:c r="AW655" s="17" t="n">
        <x:f>IF('Control Room'!$B$5="Normal",'Control Room'!$B$7+'Control Room'!$D$7*SQRT(-2*LN(MAX(0.000000000001,AU655/2147483647)))*COS(2*PI()*AV655/2147483647),'Control Room'!$B$8+('Control Room'!$D$8-'Control Room'!$B$8)*AU655/2147483647)</x:f>
        <x:v>1246.8683560797106</x:v>
      </x:c>
      <x:c r="AX655" s="17" t="n">
        <x:f>IF('Control Room'!$B$5="Normal",'Control Room'!$B$7,('Control Room'!$B$8+'Control Room'!$D$8)/2)+'Control Room'!$B$9*(AX654-IF('Control Room'!$B$5="Normal",'Control Room'!$B$7,('Control Room'!$B$8+'Control Room'!$D$8)/2))+SQRT(1-'Control Room'!$B$9^2)*(AW655-IF('Control Room'!$B$5="Normal",'Control Room'!$B$7,('Control Room'!$B$8+'Control Room'!$D$8)/2))</x:f>
        <x:v>1106.784305746105</x:v>
      </x:c>
      <x:c r="AY655" s="17" t="n">
        <x:f>IF(AND($A655&gt;='Control Room'!$A$13,$A655&lt;'Control Room'!$A$13+'Control Room'!$B$13,'Process'!BT2=1),1+('Control Room'!$C$13-1)*EXP(-0.5*(($A655-'Control Room'!$A$13-('Control Room'!$B$13-1)/2)/MAX(0.5,'Control Room'!$B$13/4))^2),1)*IF(AND($A655&gt;='Control Room'!$A$14,$A655&lt;'Control Room'!$A$14+'Control Room'!$B$14,'Process'!BT3=1),1+('Control Room'!$C$14-1)*EXP(-0.5*(($A655-'Control Room'!$A$14-('Control Room'!$B$14-1)/2)/MAX(0.5,'Control Room'!$B$14/4))^2),1)*IF(AND($A655&gt;='Control Room'!$A$15,$A655&lt;'Control Room'!$A$15+'Control Room'!$B$15,'Process'!BT4=1),1+('Control Room'!$C$15-1)*EXP(-0.5*(($A655-'Control Room'!$A$15-('Control Room'!$B$15-1)/2)/MAX(0.5,'Control Room'!$B$15/4))^2),1)*IF(AND($A655&gt;='Control Room'!$A$16,$A655&lt;'Control Room'!$A$16+'Control Room'!$B$16,'Process'!BT5=1),1+('Control Room'!$C$16-1)*EXP(-0.5*(($A655-'Control Room'!$A$16-('Control Room'!$B$16-1)/2)/MAX(0.5,'Control Room'!$B$16/4))^2),1)</x:f>
        <x:v>1</x:v>
      </x:c>
      <x:c r="AZ655" s="9" t="n">
        <x:f>MOD(BA654*16807,2147483647)</x:f>
        <x:v>1051994700</x:v>
      </x:c>
      <x:c r="BA655" s="9" t="n">
        <x:f>MOD(AZ655*16807,2147483647)</x:f>
        <x:v>642057149</x:v>
      </x:c>
      <x:c r="BB655" s="17" t="n">
        <x:f>IF('Control Room'!$B$5="Normal",'Control Room'!$B$7+'Control Room'!$D$7*SQRT(-2*LN(MAX(0.000000000001,AZ655/2147483647)))*COS(2*PI()*BA655/2147483647),'Control Room'!$B$8+('Control Room'!$D$8-'Control Room'!$B$8)*AZ655/2147483647)</x:f>
        <x:v>967.429904526318</x:v>
      </x:c>
      <x:c r="BC655" s="17" t="n">
        <x:f>IF('Control Room'!$B$5="Normal",'Control Room'!$B$7,('Control Room'!$B$8+'Control Room'!$D$8)/2)+'Control Room'!$B$9*(BC654-IF('Control Room'!$B$5="Normal",'Control Room'!$B$7,('Control Room'!$B$8+'Control Room'!$D$8)/2))+SQRT(1-'Control Room'!$B$9^2)*(BB655-IF('Control Room'!$B$5="Normal",'Control Room'!$B$7,('Control Room'!$B$8+'Control Room'!$D$8)/2))</x:f>
        <x:v>920.3599986495649</x:v>
      </x:c>
      <x:c r="BD655" s="17" t="n">
        <x:f>IF(AND($A655&gt;='Control Room'!$A$13,$A655&lt;'Control Room'!$A$13+'Control Room'!$B$13,'Process'!BU2=1),1+('Control Room'!$C$13-1)*EXP(-0.5*(($A655-'Control Room'!$A$13-('Control Room'!$B$13-1)/2)/MAX(0.5,'Control Room'!$B$13/4))^2),1)*IF(AND($A655&gt;='Control Room'!$A$14,$A655&lt;'Control Room'!$A$14+'Control Room'!$B$14,'Process'!BU3=1),1+('Control Room'!$C$14-1)*EXP(-0.5*(($A655-'Control Room'!$A$14-('Control Room'!$B$14-1)/2)/MAX(0.5,'Control Room'!$B$14/4))^2),1)*IF(AND($A655&gt;='Control Room'!$A$15,$A655&lt;'Control Room'!$A$15+'Control Room'!$B$15,'Process'!BU4=1),1+('Control Room'!$C$15-1)*EXP(-0.5*(($A655-'Control Room'!$A$15-('Control Room'!$B$15-1)/2)/MAX(0.5,'Control Room'!$B$15/4))^2),1)*IF(AND($A655&gt;='Control Room'!$A$16,$A655&lt;'Control Room'!$A$16+'Control Room'!$B$16,'Process'!BU5=1),1+('Control Room'!$C$16-1)*EXP(-0.5*(($A655-'Control Room'!$A$16-('Control Room'!$B$16-1)/2)/MAX(0.5,'Control Room'!$B$16/4))^2),1)</x:f>
        <x:v>1</x:v>
      </x:c>
      <x:c r="BE655" s="9" t="n">
        <x:f>MOD(BF654*16807,2147483647)</x:f>
        <x:v>2086877760</x:v>
      </x:c>
      <x:c r="BF655" s="9" t="n">
        <x:f>MOD(BE655*16807,2147483647)</x:f>
        <x:v>1451589516</x:v>
      </x:c>
      <x:c r="BG655" s="17" t="n">
        <x:f>IF('Control Room'!$B$5="Normal",'Control Room'!$B$7+'Control Room'!$D$7*SQRT(-2*LN(MAX(0.000000000001,BE655/2147483647)))*COS(2*PI()*BF655/2147483647),'Control Room'!$B$8+('Control Room'!$D$8-'Control Room'!$B$8)*BE655/2147483647)</x:f>
        <x:v>990.3377736487089</x:v>
      </x:c>
      <x:c r="BH655" s="17" t="n">
        <x:f>IF('Control Room'!$B$5="Normal",'Control Room'!$B$7,('Control Room'!$B$8+'Control Room'!$D$8)/2)+'Control Room'!$B$9*(BH654-IF('Control Room'!$B$5="Normal",'Control Room'!$B$7,('Control Room'!$B$8+'Control Room'!$D$8)/2))+SQRT(1-'Control Room'!$B$9^2)*(BG655-IF('Control Room'!$B$5="Normal",'Control Room'!$B$7,('Control Room'!$B$8+'Control Room'!$D$8)/2))</x:f>
        <x:v>813.0249771951053</x:v>
      </x:c>
      <x:c r="BI655" s="17" t="n">
        <x:f>IF(AND($A655&gt;='Control Room'!$A$13,$A655&lt;'Control Room'!$A$13+'Control Room'!$B$13,'Process'!BV2=1),1+('Control Room'!$C$13-1)*EXP(-0.5*(($A655-'Control Room'!$A$13-('Control Room'!$B$13-1)/2)/MAX(0.5,'Control Room'!$B$13/4))^2),1)*IF(AND($A655&gt;='Control Room'!$A$14,$A655&lt;'Control Room'!$A$14+'Control Room'!$B$14,'Process'!BV3=1),1+('Control Room'!$C$14-1)*EXP(-0.5*(($A655-'Control Room'!$A$14-('Control Room'!$B$14-1)/2)/MAX(0.5,'Control Room'!$B$14/4))^2),1)*IF(AND($A655&gt;='Control Room'!$A$15,$A655&lt;'Control Room'!$A$15+'Control Room'!$B$15,'Process'!BV4=1),1+('Control Room'!$C$15-1)*EXP(-0.5*(($A655-'Control Room'!$A$15-('Control Room'!$B$15-1)/2)/MAX(0.5,'Control Room'!$B$15/4))^2),1)*IF(AND($A655&gt;='Control Room'!$A$16,$A655&lt;'Control Room'!$A$16+'Control Room'!$B$16,'Process'!BV5=1),1+('Control Room'!$C$16-1)*EXP(-0.5*(($A655-'Control Room'!$A$16-('Control Room'!$B$16-1)/2)/MAX(0.5,'Control Room'!$B$16/4))^2),1)</x:f>
        <x:v>1</x:v>
      </x:c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Z655" t="str">
        <x:f>IF('Data'!A655="","",TEXT('Data'!A655,"mm-dd"))</x:f>
      </x:c>
    </x:row>
    <x:row r="656" ht="21" customHeight="1">
      <x:c r="A656" s="15" t="n">
        <x:f>'Control Room'!$B$1+654</x:f>
        <x:v>73645</x:v>
      </x:c>
      <x:c r="B656" s="9" t="n">
        <x:f>MOD(C655*16807,2147483647)</x:f>
        <x:v>2113162004</x:v>
      </x:c>
      <x:c r="C656" s="9" t="n">
        <x:f>MOD(B656*16807,2147483647)</x:f>
        <x:v>829247142</x:v>
      </x:c>
      <x:c r="D656" s="17" t="n">
        <x:f>IF('Control Room'!$B$5="Normal",'Control Room'!$B$7+'Control Room'!$D$7*SQRT(-2*LN(MAX(0.000000000001,B656/2147483647)))*COS(2*PI()*C656/2147483647),'Control Room'!$B$8+('Control Room'!$D$8-'Control Room'!$B$8)*B656/2147483647)</x:f>
        <x:v>987.8047258930295</x:v>
      </x:c>
      <x:c r="E656" s="17" t="n">
        <x:f>IF('Control Room'!$B$5="Normal",'Control Room'!$B$7,('Control Room'!$B$8+'Control Room'!$D$8)/2)+'Control Room'!$B$9*(E655-IF('Control Room'!$B$5="Normal",'Control Room'!$B$7,('Control Room'!$B$8+'Control Room'!$D$8)/2))+SQRT(1-'Control Room'!$B$9^2)*(D656-IF('Control Room'!$B$5="Normal",'Control Room'!$B$7,('Control Room'!$B$8+'Control Room'!$D$8)/2))</x:f>
        <x:v>941.3771849748603</x:v>
      </x:c>
      <x:c r="F656" s="17" t="n">
        <x:f>IF(AND($A656&gt;='Control Room'!$A$13,$A656&lt;'Control Room'!$A$13+'Control Room'!$B$13,'Process'!BK2=1),1+('Control Room'!$C$13-1)*EXP(-0.5*(($A656-'Control Room'!$A$13-('Control Room'!$B$13-1)/2)/MAX(0.5,'Control Room'!$B$13/4))^2),1)*IF(AND($A656&gt;='Control Room'!$A$14,$A656&lt;'Control Room'!$A$14+'Control Room'!$B$14,'Process'!BK3=1),1+('Control Room'!$C$14-1)*EXP(-0.5*(($A656-'Control Room'!$A$14-('Control Room'!$B$14-1)/2)/MAX(0.5,'Control Room'!$B$14/4))^2),1)*IF(AND($A656&gt;='Control Room'!$A$15,$A656&lt;'Control Room'!$A$15+'Control Room'!$B$15,'Process'!BK4=1),1+('Control Room'!$C$15-1)*EXP(-0.5*(($A656-'Control Room'!$A$15-('Control Room'!$B$15-1)/2)/MAX(0.5,'Control Room'!$B$15/4))^2),1)*IF(AND($A656&gt;='Control Room'!$A$16,$A656&lt;'Control Room'!$A$16+'Control Room'!$B$16,'Process'!BK5=1),1+('Control Room'!$C$16-1)*EXP(-0.5*(($A656-'Control Room'!$A$16-('Control Room'!$B$16-1)/2)/MAX(0.5,'Control Room'!$B$16/4))^2),1)</x:f>
        <x:v>1</x:v>
      </x:c>
      <x:c r="G656" s="9" t="n">
        <x:f>MOD(H655*16807,2147483647)</x:f>
        <x:v>1467266781</x:v>
      </x:c>
      <x:c r="H656" s="9" t="n">
        <x:f>MOD(G656*16807,2147483647)</x:f>
        <x:v>798069766</x:v>
      </x:c>
      <x:c r="I656" s="17" t="n">
        <x:f>IF('Control Room'!$B$5="Normal",'Control Room'!$B$7+'Control Room'!$D$7*SQRT(-2*LN(MAX(0.000000000001,G656/2147483647)))*COS(2*PI()*H656/2147483647),'Control Room'!$B$8+('Control Room'!$D$8-'Control Room'!$B$8)*G656/2147483647)</x:f>
        <x:v>945.643370578183</x:v>
      </x:c>
      <x:c r="J656" s="17" t="n">
        <x:f>IF('Control Room'!$B$5="Normal",'Control Room'!$B$7,('Control Room'!$B$8+'Control Room'!$D$8)/2)+'Control Room'!$B$9*(J655-IF('Control Room'!$B$5="Normal",'Control Room'!$B$7,('Control Room'!$B$8+'Control Room'!$D$8)/2))+SQRT(1-'Control Room'!$B$9^2)*(I656-IF('Control Room'!$B$5="Normal",'Control Room'!$B$7,('Control Room'!$B$8+'Control Room'!$D$8)/2))</x:f>
        <x:v>996.1128222288141</x:v>
      </x:c>
      <x:c r="K656" s="17" t="n">
        <x:f>IF(AND($A656&gt;='Control Room'!$A$13,$A656&lt;'Control Room'!$A$13+'Control Room'!$B$13,'Process'!BL2=1),1+('Control Room'!$C$13-1)*EXP(-0.5*(($A656-'Control Room'!$A$13-('Control Room'!$B$13-1)/2)/MAX(0.5,'Control Room'!$B$13/4))^2),1)*IF(AND($A656&gt;='Control Room'!$A$14,$A656&lt;'Control Room'!$A$14+'Control Room'!$B$14,'Process'!BL3=1),1+('Control Room'!$C$14-1)*EXP(-0.5*(($A656-'Control Room'!$A$14-('Control Room'!$B$14-1)/2)/MAX(0.5,'Control Room'!$B$14/4))^2),1)*IF(AND($A656&gt;='Control Room'!$A$15,$A656&lt;'Control Room'!$A$15+'Control Room'!$B$15,'Process'!BL4=1),1+('Control Room'!$C$15-1)*EXP(-0.5*(($A656-'Control Room'!$A$15-('Control Room'!$B$15-1)/2)/MAX(0.5,'Control Room'!$B$15/4))^2),1)*IF(AND($A656&gt;='Control Room'!$A$16,$A656&lt;'Control Room'!$A$16+'Control Room'!$B$16,'Process'!BL5=1),1+('Control Room'!$C$16-1)*EXP(-0.5*(($A656-'Control Room'!$A$16-('Control Room'!$B$16-1)/2)/MAX(0.5,'Control Room'!$B$16/4))^2),1)</x:f>
        <x:v>1</x:v>
      </x:c>
      <x:c r="L656" s="9" t="n">
        <x:f>MOD(M655*16807,2147483647)</x:f>
        <x:v>821371558</x:v>
      </x:c>
      <x:c r="M656" s="9" t="n">
        <x:f>MOD(L656*16807,2147483647)</x:f>
        <x:v>766892390</x:v>
      </x:c>
      <x:c r="N656" s="17" t="n">
        <x:f>IF('Control Room'!$B$5="Normal",'Control Room'!$B$7+'Control Room'!$D$7*SQRT(-2*LN(MAX(0.000000000001,L656/2147483647)))*COS(2*PI()*M656/2147483647),'Control Room'!$B$8+('Control Room'!$D$8-'Control Room'!$B$8)*L656/2147483647)</x:f>
        <x:v>922.2213213688143</x:v>
      </x:c>
      <x:c r="O656" s="17" t="n">
        <x:f>IF('Control Room'!$B$5="Normal",'Control Room'!$B$7,('Control Room'!$B$8+'Control Room'!$D$8)/2)+'Control Room'!$B$9*(O655-IF('Control Room'!$B$5="Normal",'Control Room'!$B$7,('Control Room'!$B$8+'Control Room'!$D$8)/2))+SQRT(1-'Control Room'!$B$9^2)*(N656-IF('Control Room'!$B$5="Normal",'Control Room'!$B$7,('Control Room'!$B$8+'Control Room'!$D$8)/2))</x:f>
        <x:v>936.586529188642</x:v>
      </x:c>
      <x:c r="P656" s="17" t="n">
        <x:f>IF(AND($A656&gt;='Control Room'!$A$13,$A656&lt;'Control Room'!$A$13+'Control Room'!$B$13,'Process'!BM2=1),1+('Control Room'!$C$13-1)*EXP(-0.5*(($A656-'Control Room'!$A$13-('Control Room'!$B$13-1)/2)/MAX(0.5,'Control Room'!$B$13/4))^2),1)*IF(AND($A656&gt;='Control Room'!$A$14,$A656&lt;'Control Room'!$A$14+'Control Room'!$B$14,'Process'!BM3=1),1+('Control Room'!$C$14-1)*EXP(-0.5*(($A656-'Control Room'!$A$14-('Control Room'!$B$14-1)/2)/MAX(0.5,'Control Room'!$B$14/4))^2),1)*IF(AND($A656&gt;='Control Room'!$A$15,$A656&lt;'Control Room'!$A$15+'Control Room'!$B$15,'Process'!BM4=1),1+('Control Room'!$C$15-1)*EXP(-0.5*(($A656-'Control Room'!$A$15-('Control Room'!$B$15-1)/2)/MAX(0.5,'Control Room'!$B$15/4))^2),1)*IF(AND($A656&gt;='Control Room'!$A$16,$A656&lt;'Control Room'!$A$16+'Control Room'!$B$16,'Process'!BM5=1),1+('Control Room'!$C$16-1)*EXP(-0.5*(($A656-'Control Room'!$A$16-('Control Room'!$B$16-1)/2)/MAX(0.5,'Control Room'!$B$16/4))^2),1)</x:f>
        <x:v>1</x:v>
      </x:c>
      <x:c r="Q656" s="9" t="n">
        <x:f>MOD(R655*16807,2147483647)</x:f>
        <x:v>175476335</x:v>
      </x:c>
      <x:c r="R656" s="9" t="n">
        <x:f>MOD(Q656*16807,2147483647)</x:f>
        <x:v>735715014</x:v>
      </x:c>
      <x:c r="S656" s="17" t="n">
        <x:f>IF('Control Room'!$B$5="Normal",'Control Room'!$B$7+'Control Room'!$D$7*SQRT(-2*LN(MAX(0.000000000001,Q656/2147483647)))*COS(2*PI()*R656/2147483647),'Control Room'!$B$8+('Control Room'!$D$8-'Control Room'!$B$8)*Q656/2147483647)</x:f>
        <x:v>889.3114219953444</x:v>
      </x:c>
      <x:c r="T656" s="17" t="n">
        <x:f>IF('Control Room'!$B$5="Normal",'Control Room'!$B$7,('Control Room'!$B$8+'Control Room'!$D$8)/2)+'Control Room'!$B$9*(T655-IF('Control Room'!$B$5="Normal",'Control Room'!$B$7,('Control Room'!$B$8+'Control Room'!$D$8)/2))+SQRT(1-'Control Room'!$B$9^2)*(S656-IF('Control Room'!$B$5="Normal",'Control Room'!$B$7,('Control Room'!$B$8+'Control Room'!$D$8)/2))</x:f>
        <x:v>937.6026081872108</x:v>
      </x:c>
      <x:c r="U656" s="17" t="n">
        <x:f>IF(AND($A656&gt;='Control Room'!$A$13,$A656&lt;'Control Room'!$A$13+'Control Room'!$B$13,'Process'!BN2=1),1+('Control Room'!$C$13-1)*EXP(-0.5*(($A656-'Control Room'!$A$13-('Control Room'!$B$13-1)/2)/MAX(0.5,'Control Room'!$B$13/4))^2),1)*IF(AND($A656&gt;='Control Room'!$A$14,$A656&lt;'Control Room'!$A$14+'Control Room'!$B$14,'Process'!BN3=1),1+('Control Room'!$C$14-1)*EXP(-0.5*(($A656-'Control Room'!$A$14-('Control Room'!$B$14-1)/2)/MAX(0.5,'Control Room'!$B$14/4))^2),1)*IF(AND($A656&gt;='Control Room'!$A$15,$A656&lt;'Control Room'!$A$15+'Control Room'!$B$15,'Process'!BN4=1),1+('Control Room'!$C$15-1)*EXP(-0.5*(($A656-'Control Room'!$A$15-('Control Room'!$B$15-1)/2)/MAX(0.5,'Control Room'!$B$15/4))^2),1)*IF(AND($A656&gt;='Control Room'!$A$16,$A656&lt;'Control Room'!$A$16+'Control Room'!$B$16,'Process'!BN5=1),1+('Control Room'!$C$16-1)*EXP(-0.5*(($A656-'Control Room'!$A$16-('Control Room'!$B$16-1)/2)/MAX(0.5,'Control Room'!$B$16/4))^2),1)</x:f>
        <x:v>1</x:v>
      </x:c>
      <x:c r="V656" s="9" t="n">
        <x:f>MOD(W655*16807,2147483647)</x:f>
        <x:v>1677064759</x:v>
      </x:c>
      <x:c r="W656" s="9" t="n">
        <x:f>MOD(V656*16807,2147483647)</x:f>
        <x:v>704537638</x:v>
      </x:c>
      <x:c r="X656" s="17" t="n">
        <x:f>IF('Control Room'!$B$5="Normal",'Control Room'!$B$7+'Control Room'!$D$7*SQRT(-2*LN(MAX(0.000000000001,V656/2147483647)))*COS(2*PI()*W656/2147483647),'Control Room'!$B$8+('Control Room'!$D$8-'Control Room'!$B$8)*V656/2147483647)</x:f>
        <x:v>970.1830681964888</x:v>
      </x:c>
      <x:c r="Y656" s="17" t="n">
        <x:f>IF('Control Room'!$B$5="Normal",'Control Room'!$B$7,('Control Room'!$B$8+'Control Room'!$D$8)/2)+'Control Room'!$B$9*(Y655-IF('Control Room'!$B$5="Normal",'Control Room'!$B$7,('Control Room'!$B$8+'Control Room'!$D$8)/2))+SQRT(1-'Control Room'!$B$9^2)*(X656-IF('Control Room'!$B$5="Normal",'Control Room'!$B$7,('Control Room'!$B$8+'Control Room'!$D$8)/2))</x:f>
        <x:v>1022.6839518392279</x:v>
      </x:c>
      <x:c r="Z656" s="17" t="n">
        <x:f>IF(AND($A656&gt;='Control Room'!$A$13,$A656&lt;'Control Room'!$A$13+'Control Room'!$B$13,'Process'!BO2=1),1+('Control Room'!$C$13-1)*EXP(-0.5*(($A656-'Control Room'!$A$13-('Control Room'!$B$13-1)/2)/MAX(0.5,'Control Room'!$B$13/4))^2),1)*IF(AND($A656&gt;='Control Room'!$A$14,$A656&lt;'Control Room'!$A$14+'Control Room'!$B$14,'Process'!BO3=1),1+('Control Room'!$C$14-1)*EXP(-0.5*(($A656-'Control Room'!$A$14-('Control Room'!$B$14-1)/2)/MAX(0.5,'Control Room'!$B$14/4))^2),1)*IF(AND($A656&gt;='Control Room'!$A$15,$A656&lt;'Control Room'!$A$15+'Control Room'!$B$15,'Process'!BO4=1),1+('Control Room'!$C$15-1)*EXP(-0.5*(($A656-'Control Room'!$A$15-('Control Room'!$B$15-1)/2)/MAX(0.5,'Control Room'!$B$15/4))^2),1)*IF(AND($A656&gt;='Control Room'!$A$16,$A656&lt;'Control Room'!$A$16+'Control Room'!$B$16,'Process'!BO5=1),1+('Control Room'!$C$16-1)*EXP(-0.5*(($A656-'Control Room'!$A$16-('Control Room'!$B$16-1)/2)/MAX(0.5,'Control Room'!$B$16/4))^2),1)</x:f>
        <x:v>1</x:v>
      </x:c>
      <x:c r="AA656" s="9" t="n">
        <x:f>MOD(AB655*16807,2147483647)</x:f>
        <x:v>1031169536</x:v>
      </x:c>
      <x:c r="AB656" s="9" t="n">
        <x:f>MOD(AA656*16807,2147483647)</x:f>
        <x:v>673360262</x:v>
      </x:c>
      <x:c r="AC656" s="17" t="n">
        <x:f>IF('Control Room'!$B$5="Normal",'Control Room'!$B$7+'Control Room'!$D$7*SQRT(-2*LN(MAX(0.000000000001,AA656/2147483647)))*COS(2*PI()*AB656/2147483647),'Control Room'!$B$8+('Control Room'!$D$8-'Control Room'!$B$8)*AA656/2147483647)</x:f>
        <x:v>957.6131096765237</x:v>
      </x:c>
      <x:c r="AD656" s="17" t="n">
        <x:f>IF('Control Room'!$B$5="Normal",'Control Room'!$B$7,('Control Room'!$B$8+'Control Room'!$D$8)/2)+'Control Room'!$B$9*(AD655-IF('Control Room'!$B$5="Normal",'Control Room'!$B$7,('Control Room'!$B$8+'Control Room'!$D$8)/2))+SQRT(1-'Control Room'!$B$9^2)*(AC656-IF('Control Room'!$B$5="Normal",'Control Room'!$B$7,('Control Room'!$B$8+'Control Room'!$D$8)/2))</x:f>
        <x:v>953.8669994229849</x:v>
      </x:c>
      <x:c r="AE656" s="17" t="n">
        <x:f>IF(AND($A656&gt;='Control Room'!$A$13,$A656&lt;'Control Room'!$A$13+'Control Room'!$B$13,'Process'!BP2=1),1+('Control Room'!$C$13-1)*EXP(-0.5*(($A656-'Control Room'!$A$13-('Control Room'!$B$13-1)/2)/MAX(0.5,'Control Room'!$B$13/4))^2),1)*IF(AND($A656&gt;='Control Room'!$A$14,$A656&lt;'Control Room'!$A$14+'Control Room'!$B$14,'Process'!BP3=1),1+('Control Room'!$C$14-1)*EXP(-0.5*(($A656-'Control Room'!$A$14-('Control Room'!$B$14-1)/2)/MAX(0.5,'Control Room'!$B$14/4))^2),1)*IF(AND($A656&gt;='Control Room'!$A$15,$A656&lt;'Control Room'!$A$15+'Control Room'!$B$15,'Process'!BP4=1),1+('Control Room'!$C$15-1)*EXP(-0.5*(($A656-'Control Room'!$A$15-('Control Room'!$B$15-1)/2)/MAX(0.5,'Control Room'!$B$15/4))^2),1)*IF(AND($A656&gt;='Control Room'!$A$16,$A656&lt;'Control Room'!$A$16+'Control Room'!$B$16,'Process'!BP5=1),1+('Control Room'!$C$16-1)*EXP(-0.5*(($A656-'Control Room'!$A$16-('Control Room'!$B$16-1)/2)/MAX(0.5,'Control Room'!$B$16/4))^2),1)</x:f>
        <x:v>1</x:v>
      </x:c>
      <x:c r="AF656" s="9" t="n">
        <x:f>MOD(AG655*16807,2147483647)</x:f>
        <x:v>385274313</x:v>
      </x:c>
      <x:c r="AG656" s="9" t="n">
        <x:f>MOD(AF656*16807,2147483647)</x:f>
        <x:v>642182886</x:v>
      </x:c>
      <x:c r="AH656" s="17" t="n">
        <x:f>IF('Control Room'!$B$5="Normal",'Control Room'!$B$7+'Control Room'!$D$7*SQRT(-2*LN(MAX(0.000000000001,AF656/2147483647)))*COS(2*PI()*AG656/2147483647),'Control Room'!$B$8+('Control Room'!$D$8-'Control Room'!$B$8)*AF656/2147483647)</x:f>
        <x:v>949.404129800866</x:v>
      </x:c>
      <x:c r="AI656" s="17" t="n">
        <x:f>IF('Control Room'!$B$5="Normal",'Control Room'!$B$7,('Control Room'!$B$8+'Control Room'!$D$8)/2)+'Control Room'!$B$9*(AI655-IF('Control Room'!$B$5="Normal",'Control Room'!$B$7,('Control Room'!$B$8+'Control Room'!$D$8)/2))+SQRT(1-'Control Room'!$B$9^2)*(AH656-IF('Control Room'!$B$5="Normal",'Control Room'!$B$7,('Control Room'!$B$8+'Control Room'!$D$8)/2))</x:f>
        <x:v>933.372744080609</x:v>
      </x:c>
      <x:c r="AJ656" s="17" t="n">
        <x:f>IF(AND($A656&gt;='Control Room'!$A$13,$A656&lt;'Control Room'!$A$13+'Control Room'!$B$13,'Process'!BQ2=1),1+('Control Room'!$C$13-1)*EXP(-0.5*(($A656-'Control Room'!$A$13-('Control Room'!$B$13-1)/2)/MAX(0.5,'Control Room'!$B$13/4))^2),1)*IF(AND($A656&gt;='Control Room'!$A$14,$A656&lt;'Control Room'!$A$14+'Control Room'!$B$14,'Process'!BQ3=1),1+('Control Room'!$C$14-1)*EXP(-0.5*(($A656-'Control Room'!$A$14-('Control Room'!$B$14-1)/2)/MAX(0.5,'Control Room'!$B$14/4))^2),1)*IF(AND($A656&gt;='Control Room'!$A$15,$A656&lt;'Control Room'!$A$15+'Control Room'!$B$15,'Process'!BQ4=1),1+('Control Room'!$C$15-1)*EXP(-0.5*(($A656-'Control Room'!$A$15-('Control Room'!$B$15-1)/2)/MAX(0.5,'Control Room'!$B$15/4))^2),1)*IF(AND($A656&gt;='Control Room'!$A$16,$A656&lt;'Control Room'!$A$16+'Control Room'!$B$16,'Process'!BQ5=1),1+('Control Room'!$C$16-1)*EXP(-0.5*(($A656-'Control Room'!$A$16-('Control Room'!$B$16-1)/2)/MAX(0.5,'Control Room'!$B$16/4))^2),1)</x:f>
        <x:v>1</x:v>
      </x:c>
      <x:c r="AK656" s="9" t="n">
        <x:f>MOD(AL655*16807,2147483647)</x:f>
        <x:v>1886862737</x:v>
      </x:c>
      <x:c r="AL656" s="9" t="n">
        <x:f>MOD(AK656*16807,2147483647)</x:f>
        <x:v>611005510</x:v>
      </x:c>
      <x:c r="AM656" s="17" t="n">
        <x:f>IF('Control Room'!$B$5="Normal",'Control Room'!$B$7+'Control Room'!$D$7*SQRT(-2*LN(MAX(0.000000000001,AK656/2147483647)))*COS(2*PI()*AL656/2147483647),'Control Room'!$B$8+('Control Room'!$D$8-'Control Room'!$B$8)*AK656/2147483647)</x:f>
        <x:v>990.1473446997321</x:v>
      </x:c>
      <x:c r="AN656" s="17" t="n">
        <x:f>IF('Control Room'!$B$5="Normal",'Control Room'!$B$7,('Control Room'!$B$8+'Control Room'!$D$8)/2)+'Control Room'!$B$9*(AN655-IF('Control Room'!$B$5="Normal",'Control Room'!$B$7,('Control Room'!$B$8+'Control Room'!$D$8)/2))+SQRT(1-'Control Room'!$B$9^2)*(AM656-IF('Control Room'!$B$5="Normal",'Control Room'!$B$7,('Control Room'!$B$8+'Control Room'!$D$8)/2))</x:f>
        <x:v>1067.0282158489172</x:v>
      </x:c>
      <x:c r="AO656" s="17" t="n">
        <x:f>IF(AND($A656&gt;='Control Room'!$A$13,$A656&lt;'Control Room'!$A$13+'Control Room'!$B$13,'Process'!BR2=1),1+('Control Room'!$C$13-1)*EXP(-0.5*(($A656-'Control Room'!$A$13-('Control Room'!$B$13-1)/2)/MAX(0.5,'Control Room'!$B$13/4))^2),1)*IF(AND($A656&gt;='Control Room'!$A$14,$A656&lt;'Control Room'!$A$14+'Control Room'!$B$14,'Process'!BR3=1),1+('Control Room'!$C$14-1)*EXP(-0.5*(($A656-'Control Room'!$A$14-('Control Room'!$B$14-1)/2)/MAX(0.5,'Control Room'!$B$14/4))^2),1)*IF(AND($A656&gt;='Control Room'!$A$15,$A656&lt;'Control Room'!$A$15+'Control Room'!$B$15,'Process'!BR4=1),1+('Control Room'!$C$15-1)*EXP(-0.5*(($A656-'Control Room'!$A$15-('Control Room'!$B$15-1)/2)/MAX(0.5,'Control Room'!$B$15/4))^2),1)*IF(AND($A656&gt;='Control Room'!$A$16,$A656&lt;'Control Room'!$A$16+'Control Room'!$B$16,'Process'!BR5=1),1+('Control Room'!$C$16-1)*EXP(-0.5*(($A656-'Control Room'!$A$16-('Control Room'!$B$16-1)/2)/MAX(0.5,'Control Room'!$B$16/4))^2),1)</x:f>
        <x:v>1</x:v>
      </x:c>
      <x:c r="AP656" s="9" t="n">
        <x:f>MOD(AQ655*16807,2147483647)</x:f>
        <x:v>1240967514</x:v>
      </x:c>
      <x:c r="AQ656" s="9" t="n">
        <x:f>MOD(AP656*16807,2147483647)</x:f>
        <x:v>579828134</x:v>
      </x:c>
      <x:c r="AR656" s="17" t="n">
        <x:f>IF('Control Room'!$B$5="Normal",'Control Room'!$B$7+'Control Room'!$D$7*SQRT(-2*LN(MAX(0.000000000001,AP656/2147483647)))*COS(2*PI()*AQ656/2147483647),'Control Room'!$B$8+('Control Room'!$D$8-'Control Room'!$B$8)*AP656/2147483647)</x:f>
        <x:v>988.1845422148717</x:v>
      </x:c>
      <x:c r="AS656" s="17" t="n">
        <x:f>IF('Control Room'!$B$5="Normal",'Control Room'!$B$7,('Control Room'!$B$8+'Control Room'!$D$8)/2)+'Control Room'!$B$9*(AS655-IF('Control Room'!$B$5="Normal",'Control Room'!$B$7,('Control Room'!$B$8+'Control Room'!$D$8)/2))+SQRT(1-'Control Room'!$B$9^2)*(AR656-IF('Control Room'!$B$5="Normal",'Control Room'!$B$7,('Control Room'!$B$8+'Control Room'!$D$8)/2))</x:f>
        <x:v>946.616619031678</x:v>
      </x:c>
      <x:c r="AT656" s="17" t="n">
        <x:f>IF(AND($A656&gt;='Control Room'!$A$13,$A656&lt;'Control Room'!$A$13+'Control Room'!$B$13,'Process'!BS2=1),1+('Control Room'!$C$13-1)*EXP(-0.5*(($A656-'Control Room'!$A$13-('Control Room'!$B$13-1)/2)/MAX(0.5,'Control Room'!$B$13/4))^2),1)*IF(AND($A656&gt;='Control Room'!$A$14,$A656&lt;'Control Room'!$A$14+'Control Room'!$B$14,'Process'!BS3=1),1+('Control Room'!$C$14-1)*EXP(-0.5*(($A656-'Control Room'!$A$14-('Control Room'!$B$14-1)/2)/MAX(0.5,'Control Room'!$B$14/4))^2),1)*IF(AND($A656&gt;='Control Room'!$A$15,$A656&lt;'Control Room'!$A$15+'Control Room'!$B$15,'Process'!BS4=1),1+('Control Room'!$C$15-1)*EXP(-0.5*(($A656-'Control Room'!$A$15-('Control Room'!$B$15-1)/2)/MAX(0.5,'Control Room'!$B$15/4))^2),1)*IF(AND($A656&gt;='Control Room'!$A$16,$A656&lt;'Control Room'!$A$16+'Control Room'!$B$16,'Process'!BS5=1),1+('Control Room'!$C$16-1)*EXP(-0.5*(($A656-'Control Room'!$A$16-('Control Room'!$B$16-1)/2)/MAX(0.5,'Control Room'!$B$16/4))^2),1)</x:f>
        <x:v>1</x:v>
      </x:c>
      <x:c r="AU656" s="9" t="n">
        <x:f>MOD(AV655*16807,2147483647)</x:f>
        <x:v>595072291</x:v>
      </x:c>
      <x:c r="AV656" s="9" t="n">
        <x:f>MOD(AU656*16807,2147483647)</x:f>
        <x:v>548650758</x:v>
      </x:c>
      <x:c r="AW656" s="17" t="n">
        <x:f>IF('Control Room'!$B$5="Normal",'Control Room'!$B$7+'Control Room'!$D$7*SQRT(-2*LN(MAX(0.000000000001,AU656/2147483647)))*COS(2*PI()*AV656/2147483647),'Control Room'!$B$8+('Control Room'!$D$8-'Control Room'!$B$8)*AU656/2147483647)</x:f>
        <x:v>995.0313667359762</x:v>
      </x:c>
      <x:c r="AX656" s="17" t="n">
        <x:f>IF('Control Room'!$B$5="Normal",'Control Room'!$B$7,('Control Room'!$B$8+'Control Room'!$D$8)/2)+'Control Room'!$B$9*(AX655-IF('Control Room'!$B$5="Normal",'Control Room'!$B$7,('Control Room'!$B$8+'Control Room'!$D$8)/2))+SQRT(1-'Control Room'!$B$9^2)*(AW656-IF('Control Room'!$B$5="Normal",'Control Room'!$B$7,('Control Room'!$B$8+'Control Room'!$D$8)/2))</x:f>
        <x:v>1080.182489573321</x:v>
      </x:c>
      <x:c r="AY656" s="17" t="n">
        <x:f>IF(AND($A656&gt;='Control Room'!$A$13,$A656&lt;'Control Room'!$A$13+'Control Room'!$B$13,'Process'!BT2=1),1+('Control Room'!$C$13-1)*EXP(-0.5*(($A656-'Control Room'!$A$13-('Control Room'!$B$13-1)/2)/MAX(0.5,'Control Room'!$B$13/4))^2),1)*IF(AND($A656&gt;='Control Room'!$A$14,$A656&lt;'Control Room'!$A$14+'Control Room'!$B$14,'Process'!BT3=1),1+('Control Room'!$C$14-1)*EXP(-0.5*(($A656-'Control Room'!$A$14-('Control Room'!$B$14-1)/2)/MAX(0.5,'Control Room'!$B$14/4))^2),1)*IF(AND($A656&gt;='Control Room'!$A$15,$A656&lt;'Control Room'!$A$15+'Control Room'!$B$15,'Process'!BT4=1),1+('Control Room'!$C$15-1)*EXP(-0.5*(($A656-'Control Room'!$A$15-('Control Room'!$B$15-1)/2)/MAX(0.5,'Control Room'!$B$15/4))^2),1)*IF(AND($A656&gt;='Control Room'!$A$16,$A656&lt;'Control Room'!$A$16+'Control Room'!$B$16,'Process'!BT5=1),1+('Control Room'!$C$16-1)*EXP(-0.5*(($A656-'Control Room'!$A$16-('Control Room'!$B$16-1)/2)/MAX(0.5,'Control Room'!$B$16/4))^2),1)</x:f>
        <x:v>1</x:v>
      </x:c>
      <x:c r="AZ656" s="9" t="n">
        <x:f>MOD(BA655*16807,2147483647)</x:f>
        <x:v>2096660715</x:v>
      </x:c>
      <x:c r="BA656" s="9" t="n">
        <x:f>MOD(AZ656*16807,2147483647)</x:f>
        <x:v>517473382</x:v>
      </x:c>
      <x:c r="BB656" s="17" t="n">
        <x:f>IF('Control Room'!$B$5="Normal",'Control Room'!$B$7+'Control Room'!$D$7*SQRT(-2*LN(MAX(0.000000000001,AZ656/2147483647)))*COS(2*PI()*BA656/2147483647),'Control Room'!$B$8+('Control Room'!$D$8-'Control Room'!$B$8)*AZ656/2147483647)</x:f>
        <x:v>1001.117328634834</x:v>
      </x:c>
      <x:c r="BC656" s="17" t="n">
        <x:f>IF('Control Room'!$B$5="Normal",'Control Room'!$B$7,('Control Room'!$B$8+'Control Room'!$D$8)/2)+'Control Room'!$B$9*(BC655-IF('Control Room'!$B$5="Normal",'Control Room'!$B$7,('Control Room'!$B$8+'Control Room'!$D$8)/2))+SQRT(1-'Control Room'!$B$9^2)*(BB656-IF('Control Room'!$B$5="Normal",'Control Room'!$B$7,('Control Room'!$B$8+'Control Room'!$D$8)/2))</x:f>
        <x:v>938.5800003166186</x:v>
      </x:c>
      <x:c r="BD656" s="17" t="n">
        <x:f>IF(AND($A656&gt;='Control Room'!$A$13,$A656&lt;'Control Room'!$A$13+'Control Room'!$B$13,'Process'!BU2=1),1+('Control Room'!$C$13-1)*EXP(-0.5*(($A656-'Control Room'!$A$13-('Control Room'!$B$13-1)/2)/MAX(0.5,'Control Room'!$B$13/4))^2),1)*IF(AND($A656&gt;='Control Room'!$A$14,$A656&lt;'Control Room'!$A$14+'Control Room'!$B$14,'Process'!BU3=1),1+('Control Room'!$C$14-1)*EXP(-0.5*(($A656-'Control Room'!$A$14-('Control Room'!$B$14-1)/2)/MAX(0.5,'Control Room'!$B$14/4))^2),1)*IF(AND($A656&gt;='Control Room'!$A$15,$A656&lt;'Control Room'!$A$15+'Control Room'!$B$15,'Process'!BU4=1),1+('Control Room'!$C$15-1)*EXP(-0.5*(($A656-'Control Room'!$A$15-('Control Room'!$B$15-1)/2)/MAX(0.5,'Control Room'!$B$15/4))^2),1)*IF(AND($A656&gt;='Control Room'!$A$16,$A656&lt;'Control Room'!$A$16+'Control Room'!$B$16,'Process'!BU5=1),1+('Control Room'!$C$16-1)*EXP(-0.5*(($A656-'Control Room'!$A$16-('Control Room'!$B$16-1)/2)/MAX(0.5,'Control Room'!$B$16/4))^2),1)</x:f>
        <x:v>1</x:v>
      </x:c>
      <x:c r="BE656" s="9" t="n">
        <x:f>MOD(BF655*16807,2147483647)</x:f>
        <x:v>1450765492</x:v>
      </x:c>
      <x:c r="BF656" s="9" t="n">
        <x:f>MOD(BE656*16807,2147483647)</x:f>
        <x:v>486296006</x:v>
      </x:c>
      <x:c r="BG656" s="17" t="n">
        <x:f>IF('Control Room'!$B$5="Normal",'Control Room'!$B$7+'Control Room'!$D$7*SQRT(-2*LN(MAX(0.000000000001,BE656/2147483647)))*COS(2*PI()*BF656/2147483647),'Control Room'!$B$8+('Control Room'!$D$8-'Control Room'!$B$8)*BE656/2147483647)</x:f>
        <x:v>1011.7520416779726</x:v>
      </x:c>
      <x:c r="BH656" s="17" t="n">
        <x:f>IF('Control Room'!$B$5="Normal",'Control Room'!$B$7,('Control Room'!$B$8+'Control Room'!$D$8)/2)+'Control Room'!$B$9*(BH655-IF('Control Room'!$B$5="Normal",'Control Room'!$B$7,('Control Room'!$B$8+'Control Room'!$D$8)/2))+SQRT(1-'Control Room'!$B$9^2)*(BG656-IF('Control Room'!$B$5="Normal",'Control Room'!$B$7,('Control Room'!$B$8+'Control Room'!$D$8)/2))</x:f>
        <x:v>861.5136691405975</x:v>
      </x:c>
      <x:c r="BI656" s="17" t="n">
        <x:f>IF(AND($A656&gt;='Control Room'!$A$13,$A656&lt;'Control Room'!$A$13+'Control Room'!$B$13,'Process'!BV2=1),1+('Control Room'!$C$13-1)*EXP(-0.5*(($A656-'Control Room'!$A$13-('Control Room'!$B$13-1)/2)/MAX(0.5,'Control Room'!$B$13/4))^2),1)*IF(AND($A656&gt;='Control Room'!$A$14,$A656&lt;'Control Room'!$A$14+'Control Room'!$B$14,'Process'!BV3=1),1+('Control Room'!$C$14-1)*EXP(-0.5*(($A656-'Control Room'!$A$14-('Control Room'!$B$14-1)/2)/MAX(0.5,'Control Room'!$B$14/4))^2),1)*IF(AND($A656&gt;='Control Room'!$A$15,$A656&lt;'Control Room'!$A$15+'Control Room'!$B$15,'Process'!BV4=1),1+('Control Room'!$C$15-1)*EXP(-0.5*(($A656-'Control Room'!$A$15-('Control Room'!$B$15-1)/2)/MAX(0.5,'Control Room'!$B$15/4))^2),1)*IF(AND($A656&gt;='Control Room'!$A$16,$A656&lt;'Control Room'!$A$16+'Control Room'!$B$16,'Process'!BV5=1),1+('Control Room'!$C$16-1)*EXP(-0.5*(($A656-'Control Room'!$A$16-('Control Room'!$B$16-1)/2)/MAX(0.5,'Control Room'!$B$16/4))^2),1)</x:f>
        <x:v>1</x:v>
      </x:c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Z656" t="str">
        <x:f>IF('Data'!A656="","",TEXT('Data'!A656,"mm-dd"))</x:f>
      </x:c>
    </x:row>
    <x:row r="657" ht="21" customHeight="1">
      <x:c r="A657" s="15" t="n">
        <x:f>'Control Room'!$B$1+655</x:f>
        <x:v>73646</x:v>
      </x:c>
      <x:c r="B657" s="9" t="n">
        <x:f>MOD(C656*16807,2147483647)</x:f>
        <x:v>2135330211</x:v>
      </x:c>
      <x:c r="C657" s="9" t="n">
        <x:f>MOD(B657*16807,2147483647)</x:f>
        <x:v>1895631260</x:v>
      </x:c>
      <x:c r="D657" s="17" t="n">
        <x:f>IF('Control Room'!$B$5="Normal",'Control Room'!$B$7+'Control Room'!$D$7*SQRT(-2*LN(MAX(0.000000000001,B657/2147483647)))*COS(2*PI()*C657/2147483647),'Control Room'!$B$8+('Control Room'!$D$8-'Control Room'!$B$8)*B657/2147483647)</x:f>
        <x:v>1007.1010712128136</x:v>
      </x:c>
      <x:c r="E657" s="17" t="n">
        <x:f>IF('Control Room'!$B$5="Normal",'Control Room'!$B$7,('Control Room'!$B$8+'Control Room'!$D$8)/2)+'Control Room'!$B$9*(E656-IF('Control Room'!$B$5="Normal",'Control Room'!$B$7,('Control Room'!$B$8+'Control Room'!$D$8)/2))+SQRT(1-'Control Room'!$B$9^2)*(D657-IF('Control Room'!$B$5="Normal",'Control Room'!$B$7,('Control Room'!$B$8+'Control Room'!$D$8)/2))</x:f>
        <x:v>958.7179091720188</x:v>
      </x:c>
      <x:c r="F657" s="17" t="n">
        <x:f>IF(AND($A657&gt;='Control Room'!$A$13,$A657&lt;'Control Room'!$A$13+'Control Room'!$B$13,'Process'!BK2=1),1+('Control Room'!$C$13-1)*EXP(-0.5*(($A657-'Control Room'!$A$13-('Control Room'!$B$13-1)/2)/MAX(0.5,'Control Room'!$B$13/4))^2),1)*IF(AND($A657&gt;='Control Room'!$A$14,$A657&lt;'Control Room'!$A$14+'Control Room'!$B$14,'Process'!BK3=1),1+('Control Room'!$C$14-1)*EXP(-0.5*(($A657-'Control Room'!$A$14-('Control Room'!$B$14-1)/2)/MAX(0.5,'Control Room'!$B$14/4))^2),1)*IF(AND($A657&gt;='Control Room'!$A$15,$A657&lt;'Control Room'!$A$15+'Control Room'!$B$15,'Process'!BK4=1),1+('Control Room'!$C$15-1)*EXP(-0.5*(($A657-'Control Room'!$A$15-('Control Room'!$B$15-1)/2)/MAX(0.5,'Control Room'!$B$15/4))^2),1)*IF(AND($A657&gt;='Control Room'!$A$16,$A657&lt;'Control Room'!$A$16+'Control Room'!$B$16,'Process'!BK5=1),1+('Control Room'!$C$16-1)*EXP(-0.5*(($A657-'Control Room'!$A$16-('Control Room'!$B$16-1)/2)/MAX(0.5,'Control Room'!$B$16/4))^2),1)</x:f>
        <x:v>1</x:v>
      </x:c>
      <x:c r="G657" s="9" t="n">
        <x:f>MOD(H656*16807,2147483647)</x:f>
        <x:v>2123181647</x:v>
      </x:c>
      <x:c r="H657" s="9" t="n">
        <x:f>MOD(G657*16807,2147483647)</x:f>
        <x:v>1725662577</x:v>
      </x:c>
      <x:c r="I657" s="17" t="n">
        <x:f>IF('Control Room'!$B$5="Normal",'Control Room'!$B$7+'Control Room'!$D$7*SQRT(-2*LN(MAX(0.000000000001,G657/2147483647)))*COS(2*PI()*H657/2147483647),'Control Room'!$B$8+('Control Room'!$D$8-'Control Room'!$B$8)*G657/2147483647)</x:f>
        <x:v>1004.4848837625659</x:v>
      </x:c>
      <x:c r="J657" s="17" t="n">
        <x:f>IF('Control Room'!$B$5="Normal",'Control Room'!$B$7,('Control Room'!$B$8+'Control Room'!$D$8)/2)+'Control Room'!$B$9*(J656-IF('Control Room'!$B$5="Normal",'Control Room'!$B$7,('Control Room'!$B$8+'Control Room'!$D$8)/2))+SQRT(1-'Control Room'!$B$9^2)*(I657-IF('Control Room'!$B$5="Normal",'Control Room'!$B$7,('Control Room'!$B$8+'Control Room'!$D$8)/2))</x:f>
        <x:v>999.7745497192509</x:v>
      </x:c>
      <x:c r="K657" s="17" t="n">
        <x:f>IF(AND($A657&gt;='Control Room'!$A$13,$A657&lt;'Control Room'!$A$13+'Control Room'!$B$13,'Process'!BL2=1),1+('Control Room'!$C$13-1)*EXP(-0.5*(($A657-'Control Room'!$A$13-('Control Room'!$B$13-1)/2)/MAX(0.5,'Control Room'!$B$13/4))^2),1)*IF(AND($A657&gt;='Control Room'!$A$14,$A657&lt;'Control Room'!$A$14+'Control Room'!$B$14,'Process'!BL3=1),1+('Control Room'!$C$14-1)*EXP(-0.5*(($A657-'Control Room'!$A$14-('Control Room'!$B$14-1)/2)/MAX(0.5,'Control Room'!$B$14/4))^2),1)*IF(AND($A657&gt;='Control Room'!$A$15,$A657&lt;'Control Room'!$A$15+'Control Room'!$B$15,'Process'!BL4=1),1+('Control Room'!$C$15-1)*EXP(-0.5*(($A657-'Control Room'!$A$15-('Control Room'!$B$15-1)/2)/MAX(0.5,'Control Room'!$B$15/4))^2),1)*IF(AND($A657&gt;='Control Room'!$A$16,$A657&lt;'Control Room'!$A$16+'Control Room'!$B$16,'Process'!BL5=1),1+('Control Room'!$C$16-1)*EXP(-0.5*(($A657-'Control Room'!$A$16-('Control Room'!$B$16-1)/2)/MAX(0.5,'Control Room'!$B$16/4))^2),1)</x:f>
        <x:v>1</x:v>
      </x:c>
      <x:c r="L657" s="9" t="n">
        <x:f>MOD(M656*16807,2147483647)</x:f>
        <x:v>2111033083</x:v>
      </x:c>
      <x:c r="M657" s="9" t="n">
        <x:f>MOD(L657*16807,2147483647)</x:f>
        <x:v>1555693894</x:v>
      </x:c>
      <x:c r="N657" s="17" t="n">
        <x:f>IF('Control Room'!$B$5="Normal",'Control Room'!$B$7+'Control Room'!$D$7*SQRT(-2*LN(MAX(0.000000000001,L657/2147483647)))*COS(2*PI()*M657/2147483647),'Control Room'!$B$8+('Control Room'!$D$8-'Control Room'!$B$8)*L657/2147483647)</x:f>
        <x:v>997.3355863055755</x:v>
      </x:c>
      <x:c r="O657" s="17" t="n">
        <x:f>IF('Control Room'!$B$5="Normal",'Control Room'!$B$7,('Control Room'!$B$8+'Control Room'!$D$8)/2)+'Control Room'!$B$9*(O656-IF('Control Room'!$B$5="Normal",'Control Room'!$B$7,('Control Room'!$B$8+'Control Room'!$D$8)/2))+SQRT(1-'Control Room'!$B$9^2)*(N657-IF('Control Room'!$B$5="Normal",'Control Room'!$B$7,('Control Room'!$B$8+'Control Room'!$D$8)/2))</x:f>
        <x:v>948.8701572606512</x:v>
      </x:c>
      <x:c r="P657" s="17" t="n">
        <x:f>IF(AND($A657&gt;='Control Room'!$A$13,$A657&lt;'Control Room'!$A$13+'Control Room'!$B$13,'Process'!BM2=1),1+('Control Room'!$C$13-1)*EXP(-0.5*(($A657-'Control Room'!$A$13-('Control Room'!$B$13-1)/2)/MAX(0.5,'Control Room'!$B$13/4))^2),1)*IF(AND($A657&gt;='Control Room'!$A$14,$A657&lt;'Control Room'!$A$14+'Control Room'!$B$14,'Process'!BM3=1),1+('Control Room'!$C$14-1)*EXP(-0.5*(($A657-'Control Room'!$A$14-('Control Room'!$B$14-1)/2)/MAX(0.5,'Control Room'!$B$14/4))^2),1)*IF(AND($A657&gt;='Control Room'!$A$15,$A657&lt;'Control Room'!$A$15+'Control Room'!$B$15,'Process'!BM4=1),1+('Control Room'!$C$15-1)*EXP(-0.5*(($A657-'Control Room'!$A$15-('Control Room'!$B$15-1)/2)/MAX(0.5,'Control Room'!$B$15/4))^2),1)*IF(AND($A657&gt;='Control Room'!$A$16,$A657&lt;'Control Room'!$A$16+'Control Room'!$B$16,'Process'!BM5=1),1+('Control Room'!$C$16-1)*EXP(-0.5*(($A657-'Control Room'!$A$16-('Control Room'!$B$16-1)/2)/MAX(0.5,'Control Room'!$B$16/4))^2),1)</x:f>
        <x:v>1</x:v>
      </x:c>
      <x:c r="Q657" s="9" t="n">
        <x:f>MOD(R656*16807,2147483647)</x:f>
        <x:v>2098884519</x:v>
      </x:c>
      <x:c r="R657" s="9" t="n">
        <x:f>MOD(Q657*16807,2147483647)</x:f>
        <x:v>1385725211</x:v>
      </x:c>
      <x:c r="S657" s="17" t="n">
        <x:f>IF('Control Room'!$B$5="Normal",'Control Room'!$B$7+'Control Room'!$D$7*SQRT(-2*LN(MAX(0.000000000001,Q657/2147483647)))*COS(2*PI()*R657/2147483647),'Control Room'!$B$8+('Control Room'!$D$8-'Control Room'!$B$8)*Q657/2147483647)</x:f>
        <x:v>988.2239344507527</x:v>
      </x:c>
      <x:c r="T657" s="17" t="n">
        <x:f>IF('Control Room'!$B$5="Normal",'Control Room'!$B$7,('Control Room'!$B$8+'Control Room'!$D$8)/2)+'Control Room'!$B$9*(T656-IF('Control Room'!$B$5="Normal",'Control Room'!$B$7,('Control Room'!$B$8+'Control Room'!$D$8)/2))+SQRT(1-'Control Room'!$B$9^2)*(S657-IF('Control Room'!$B$5="Normal",'Control Room'!$B$7,('Control Room'!$B$8+'Control Room'!$D$8)/2))</x:f>
        <x:v>943.9608138111212</x:v>
      </x:c>
      <x:c r="U657" s="17" t="n">
        <x:f>IF(AND($A657&gt;='Control Room'!$A$13,$A657&lt;'Control Room'!$A$13+'Control Room'!$B$13,'Process'!BN2=1),1+('Control Room'!$C$13-1)*EXP(-0.5*(($A657-'Control Room'!$A$13-('Control Room'!$B$13-1)/2)/MAX(0.5,'Control Room'!$B$13/4))^2),1)*IF(AND($A657&gt;='Control Room'!$A$14,$A657&lt;'Control Room'!$A$14+'Control Room'!$B$14,'Process'!BN3=1),1+('Control Room'!$C$14-1)*EXP(-0.5*(($A657-'Control Room'!$A$14-('Control Room'!$B$14-1)/2)/MAX(0.5,'Control Room'!$B$14/4))^2),1)*IF(AND($A657&gt;='Control Room'!$A$15,$A657&lt;'Control Room'!$A$15+'Control Room'!$B$15,'Process'!BN4=1),1+('Control Room'!$C$15-1)*EXP(-0.5*(($A657-'Control Room'!$A$15-('Control Room'!$B$15-1)/2)/MAX(0.5,'Control Room'!$B$15/4))^2),1)*IF(AND($A657&gt;='Control Room'!$A$16,$A657&lt;'Control Room'!$A$16+'Control Room'!$B$16,'Process'!BN5=1),1+('Control Room'!$C$16-1)*EXP(-0.5*(($A657-'Control Room'!$A$16-('Control Room'!$B$16-1)/2)/MAX(0.5,'Control Room'!$B$16/4))^2),1)</x:f>
        <x:v>1</x:v>
      </x:c>
      <x:c r="V657" s="9" t="n">
        <x:f>MOD(W656*16807,2147483647)</x:f>
        <x:v>2086735955</x:v>
      </x:c>
      <x:c r="W657" s="9" t="n">
        <x:f>MOD(V657*16807,2147483647)</x:f>
        <x:v>1215756528</x:v>
      </x:c>
      <x:c r="X657" s="17" t="n">
        <x:f>IF('Control Room'!$B$5="Normal",'Control Room'!$B$7+'Control Room'!$D$7*SQRT(-2*LN(MAX(0.000000000001,V657/2147483647)))*COS(2*PI()*W657/2147483647),'Control Room'!$B$8+('Control Room'!$D$8-'Control Room'!$B$8)*V657/2147483647)</x:f>
        <x:v>980.2737779497528</x:v>
      </x:c>
      <x:c r="Y657" s="17" t="n">
        <x:f>IF('Control Room'!$B$5="Normal",'Control Room'!$B$7,('Control Room'!$B$8+'Control Room'!$D$8)/2)+'Control Room'!$B$9*(Y656-IF('Control Room'!$B$5="Normal",'Control Room'!$B$7,('Control Room'!$B$8+'Control Room'!$D$8)/2))+SQRT(1-'Control Room'!$B$9^2)*(X657-IF('Control Room'!$B$5="Normal",'Control Room'!$B$7,('Control Room'!$B$8+'Control Room'!$D$8)/2))</x:f>
        <x:v>1005.3492167891773</x:v>
      </x:c>
      <x:c r="Z657" s="17" t="n">
        <x:f>IF(AND($A657&gt;='Control Room'!$A$13,$A657&lt;'Control Room'!$A$13+'Control Room'!$B$13,'Process'!BO2=1),1+('Control Room'!$C$13-1)*EXP(-0.5*(($A657-'Control Room'!$A$13-('Control Room'!$B$13-1)/2)/MAX(0.5,'Control Room'!$B$13/4))^2),1)*IF(AND($A657&gt;='Control Room'!$A$14,$A657&lt;'Control Room'!$A$14+'Control Room'!$B$14,'Process'!BO3=1),1+('Control Room'!$C$14-1)*EXP(-0.5*(($A657-'Control Room'!$A$14-('Control Room'!$B$14-1)/2)/MAX(0.5,'Control Room'!$B$14/4))^2),1)*IF(AND($A657&gt;='Control Room'!$A$15,$A657&lt;'Control Room'!$A$15+'Control Room'!$B$15,'Process'!BO4=1),1+('Control Room'!$C$15-1)*EXP(-0.5*(($A657-'Control Room'!$A$15-('Control Room'!$B$15-1)/2)/MAX(0.5,'Control Room'!$B$15/4))^2),1)*IF(AND($A657&gt;='Control Room'!$A$16,$A657&lt;'Control Room'!$A$16+'Control Room'!$B$16,'Process'!BO5=1),1+('Control Room'!$C$16-1)*EXP(-0.5*(($A657-'Control Room'!$A$16-('Control Room'!$B$16-1)/2)/MAX(0.5,'Control Room'!$B$16/4))^2),1)</x:f>
        <x:v>1</x:v>
      </x:c>
      <x:c r="AA657" s="9" t="n">
        <x:f>MOD(AB656*16807,2147483647)</x:f>
        <x:v>2074587391</x:v>
      </x:c>
      <x:c r="AB657" s="9" t="n">
        <x:f>MOD(AA657*16807,2147483647)</x:f>
        <x:v>1045787845</x:v>
      </x:c>
      <x:c r="AC657" s="17" t="n">
        <x:f>IF('Control Room'!$B$5="Normal",'Control Room'!$B$7+'Control Room'!$D$7*SQRT(-2*LN(MAX(0.000000000001,AA657/2147483647)))*COS(2*PI()*AB657/2147483647),'Control Room'!$B$8+('Control Room'!$D$8-'Control Room'!$B$8)*AA657/2147483647)</x:f>
        <x:v>976.4261931407497</x:v>
      </x:c>
      <x:c r="AD657" s="17" t="n">
        <x:f>IF('Control Room'!$B$5="Normal",'Control Room'!$B$7,('Control Room'!$B$8+'Control Room'!$D$8)/2)+'Control Room'!$B$9*(AD656-IF('Control Room'!$B$5="Normal",'Control Room'!$B$7,('Control Room'!$B$8+'Control Room'!$D$8)/2))+SQRT(1-'Control Room'!$B$9^2)*(AC657-IF('Control Room'!$B$5="Normal",'Control Room'!$B$7,('Control Room'!$B$8+'Control Room'!$D$8)/2))</x:f>
        <x:v>949.2642541530928</x:v>
      </x:c>
      <x:c r="AE657" s="17" t="n">
        <x:f>IF(AND($A657&gt;='Control Room'!$A$13,$A657&lt;'Control Room'!$A$13+'Control Room'!$B$13,'Process'!BP2=1),1+('Control Room'!$C$13-1)*EXP(-0.5*(($A657-'Control Room'!$A$13-('Control Room'!$B$13-1)/2)/MAX(0.5,'Control Room'!$B$13/4))^2),1)*IF(AND($A657&gt;='Control Room'!$A$14,$A657&lt;'Control Room'!$A$14+'Control Room'!$B$14,'Process'!BP3=1),1+('Control Room'!$C$14-1)*EXP(-0.5*(($A657-'Control Room'!$A$14-('Control Room'!$B$14-1)/2)/MAX(0.5,'Control Room'!$B$14/4))^2),1)*IF(AND($A657&gt;='Control Room'!$A$15,$A657&lt;'Control Room'!$A$15+'Control Room'!$B$15,'Process'!BP4=1),1+('Control Room'!$C$15-1)*EXP(-0.5*(($A657-'Control Room'!$A$15-('Control Room'!$B$15-1)/2)/MAX(0.5,'Control Room'!$B$15/4))^2),1)*IF(AND($A657&gt;='Control Room'!$A$16,$A657&lt;'Control Room'!$A$16+'Control Room'!$B$16,'Process'!BP5=1),1+('Control Room'!$C$16-1)*EXP(-0.5*(($A657-'Control Room'!$A$16-('Control Room'!$B$16-1)/2)/MAX(0.5,'Control Room'!$B$16/4))^2),1)</x:f>
        <x:v>1</x:v>
      </x:c>
      <x:c r="AF657" s="9" t="n">
        <x:f>MOD(AG656*16807,2147483647)</x:f>
        <x:v>2062438827</x:v>
      </x:c>
      <x:c r="AG657" s="9" t="n">
        <x:f>MOD(AF657*16807,2147483647)</x:f>
        <x:v>875819162</x:v>
      </x:c>
      <x:c r="AH657" s="17" t="n">
        <x:f>IF('Control Room'!$B$5="Normal",'Control Room'!$B$7+'Control Room'!$D$7*SQRT(-2*LN(MAX(0.000000000001,AF657/2147483647)))*COS(2*PI()*AG657/2147483647),'Control Room'!$B$8+('Control Room'!$D$8-'Control Room'!$B$8)*AF657/2147483647)</x:f>
        <x:v>978.5861694821351</x:v>
      </x:c>
      <x:c r="AI657" s="17" t="n">
        <x:f>IF('Control Room'!$B$5="Normal",'Control Room'!$B$7,('Control Room'!$B$8+'Control Room'!$D$8)/2)+'Control Room'!$B$9*(AI656-IF('Control Room'!$B$5="Normal",'Control Room'!$B$7,('Control Room'!$B$8+'Control Room'!$D$8)/2))+SQRT(1-'Control Room'!$B$9^2)*(AH657-IF('Control Room'!$B$5="Normal",'Control Room'!$B$7,('Control Room'!$B$8+'Control Room'!$D$8)/2))</x:f>
        <x:v>934.6304039309581</x:v>
      </x:c>
      <x:c r="AJ657" s="17" t="n">
        <x:f>IF(AND($A657&gt;='Control Room'!$A$13,$A657&lt;'Control Room'!$A$13+'Control Room'!$B$13,'Process'!BQ2=1),1+('Control Room'!$C$13-1)*EXP(-0.5*(($A657-'Control Room'!$A$13-('Control Room'!$B$13-1)/2)/MAX(0.5,'Control Room'!$B$13/4))^2),1)*IF(AND($A657&gt;='Control Room'!$A$14,$A657&lt;'Control Room'!$A$14+'Control Room'!$B$14,'Process'!BQ3=1),1+('Control Room'!$C$14-1)*EXP(-0.5*(($A657-'Control Room'!$A$14-('Control Room'!$B$14-1)/2)/MAX(0.5,'Control Room'!$B$14/4))^2),1)*IF(AND($A657&gt;='Control Room'!$A$15,$A657&lt;'Control Room'!$A$15+'Control Room'!$B$15,'Process'!BQ4=1),1+('Control Room'!$C$15-1)*EXP(-0.5*(($A657-'Control Room'!$A$15-('Control Room'!$B$15-1)/2)/MAX(0.5,'Control Room'!$B$15/4))^2),1)*IF(AND($A657&gt;='Control Room'!$A$16,$A657&lt;'Control Room'!$A$16+'Control Room'!$B$16,'Process'!BQ5=1),1+('Control Room'!$C$16-1)*EXP(-0.5*(($A657-'Control Room'!$A$16-('Control Room'!$B$16-1)/2)/MAX(0.5,'Control Room'!$B$16/4))^2),1)</x:f>
        <x:v>1</x:v>
      </x:c>
      <x:c r="AK657" s="9" t="n">
        <x:f>MOD(AL656*16807,2147483647)</x:f>
        <x:v>2050290263</x:v>
      </x:c>
      <x:c r="AL657" s="9" t="n">
        <x:f>MOD(AK657*16807,2147483647)</x:f>
        <x:v>705850479</x:v>
      </x:c>
      <x:c r="AM657" s="17" t="n">
        <x:f>IF('Control Room'!$B$5="Normal",'Control Room'!$B$7+'Control Room'!$D$7*SQRT(-2*LN(MAX(0.000000000001,AK657/2147483647)))*COS(2*PI()*AL657/2147483647),'Control Room'!$B$8+('Control Room'!$D$8-'Control Room'!$B$8)*AK657/2147483647)</x:f>
        <x:v>987.0023480264263</x:v>
      </x:c>
      <x:c r="AN657" s="17" t="n">
        <x:f>IF('Control Room'!$B$5="Normal",'Control Room'!$B$7,('Control Room'!$B$8+'Control Room'!$D$8)/2)+'Control Room'!$B$9*(AN656-IF('Control Room'!$B$5="Normal",'Control Room'!$B$7,('Control Room'!$B$8+'Control Room'!$D$8)/2))+SQRT(1-'Control Room'!$B$9^2)*(AM657-IF('Control Room'!$B$5="Normal",'Control Room'!$B$7,('Control Room'!$B$8+'Control Room'!$D$8)/2))</x:f>
        <x:v>1044.148344028467</x:v>
      </x:c>
      <x:c r="AO657" s="17" t="n">
        <x:f>IF(AND($A657&gt;='Control Room'!$A$13,$A657&lt;'Control Room'!$A$13+'Control Room'!$B$13,'Process'!BR2=1),1+('Control Room'!$C$13-1)*EXP(-0.5*(($A657-'Control Room'!$A$13-('Control Room'!$B$13-1)/2)/MAX(0.5,'Control Room'!$B$13/4))^2),1)*IF(AND($A657&gt;='Control Room'!$A$14,$A657&lt;'Control Room'!$A$14+'Control Room'!$B$14,'Process'!BR3=1),1+('Control Room'!$C$14-1)*EXP(-0.5*(($A657-'Control Room'!$A$14-('Control Room'!$B$14-1)/2)/MAX(0.5,'Control Room'!$B$14/4))^2),1)*IF(AND($A657&gt;='Control Room'!$A$15,$A657&lt;'Control Room'!$A$15+'Control Room'!$B$15,'Process'!BR4=1),1+('Control Room'!$C$15-1)*EXP(-0.5*(($A657-'Control Room'!$A$15-('Control Room'!$B$15-1)/2)/MAX(0.5,'Control Room'!$B$15/4))^2),1)*IF(AND($A657&gt;='Control Room'!$A$16,$A657&lt;'Control Room'!$A$16+'Control Room'!$B$16,'Process'!BR5=1),1+('Control Room'!$C$16-1)*EXP(-0.5*(($A657-'Control Room'!$A$16-('Control Room'!$B$16-1)/2)/MAX(0.5,'Control Room'!$B$16/4))^2),1)</x:f>
        <x:v>1</x:v>
      </x:c>
      <x:c r="AP657" s="9" t="n">
        <x:f>MOD(AQ656*16807,2147483647)</x:f>
        <x:v>2038141699</x:v>
      </x:c>
      <x:c r="AQ657" s="9" t="n">
        <x:f>MOD(AP657*16807,2147483647)</x:f>
        <x:v>535881796</x:v>
      </x:c>
      <x:c r="AR657" s="17" t="n">
        <x:f>IF('Control Room'!$B$5="Normal",'Control Room'!$B$7+'Control Room'!$D$7*SQRT(-2*LN(MAX(0.000000000001,AP657/2147483647)))*COS(2*PI()*AQ657/2147483647),'Control Room'!$B$8+('Control Room'!$D$8-'Control Room'!$B$8)*AP657/2147483647)</x:f>
        <x:v>1000.0842037932995</x:v>
      </x:c>
      <x:c r="AS657" s="17" t="n">
        <x:f>IF('Control Room'!$B$5="Normal",'Control Room'!$B$7,('Control Room'!$B$8+'Control Room'!$D$8)/2)+'Control Room'!$B$9*(AS656-IF('Control Room'!$B$5="Normal",'Control Room'!$B$7,('Control Room'!$B$8+'Control Room'!$D$8)/2))+SQRT(1-'Control Room'!$B$9^2)*(AR657-IF('Control Room'!$B$5="Normal",'Control Room'!$B$7,('Control Room'!$B$8+'Control Room'!$D$8)/2))</x:f>
        <x:v>958.4136558535472</x:v>
      </x:c>
      <x:c r="AT657" s="17" t="n">
        <x:f>IF(AND($A657&gt;='Control Room'!$A$13,$A657&lt;'Control Room'!$A$13+'Control Room'!$B$13,'Process'!BS2=1),1+('Control Room'!$C$13-1)*EXP(-0.5*(($A657-'Control Room'!$A$13-('Control Room'!$B$13-1)/2)/MAX(0.5,'Control Room'!$B$13/4))^2),1)*IF(AND($A657&gt;='Control Room'!$A$14,$A657&lt;'Control Room'!$A$14+'Control Room'!$B$14,'Process'!BS3=1),1+('Control Room'!$C$14-1)*EXP(-0.5*(($A657-'Control Room'!$A$14-('Control Room'!$B$14-1)/2)/MAX(0.5,'Control Room'!$B$14/4))^2),1)*IF(AND($A657&gt;='Control Room'!$A$15,$A657&lt;'Control Room'!$A$15+'Control Room'!$B$15,'Process'!BS4=1),1+('Control Room'!$C$15-1)*EXP(-0.5*(($A657-'Control Room'!$A$15-('Control Room'!$B$15-1)/2)/MAX(0.5,'Control Room'!$B$15/4))^2),1)*IF(AND($A657&gt;='Control Room'!$A$16,$A657&lt;'Control Room'!$A$16+'Control Room'!$B$16,'Process'!BS5=1),1+('Control Room'!$C$16-1)*EXP(-0.5*(($A657-'Control Room'!$A$16-('Control Room'!$B$16-1)/2)/MAX(0.5,'Control Room'!$B$16/4))^2),1)</x:f>
        <x:v>1</x:v>
      </x:c>
      <x:c r="AU657" s="9" t="n">
        <x:f>MOD(AV656*16807,2147483647)</x:f>
        <x:v>2025993135</x:v>
      </x:c>
      <x:c r="AV657" s="9" t="n">
        <x:f>MOD(AU657*16807,2147483647)</x:f>
        <x:v>365913113</x:v>
      </x:c>
      <x:c r="AW657" s="17" t="n">
        <x:f>IF('Control Room'!$B$5="Normal",'Control Room'!$B$7+'Control Room'!$D$7*SQRT(-2*LN(MAX(0.000000000001,AU657/2147483647)))*COS(2*PI()*AV657/2147483647),'Control Room'!$B$8+('Control Room'!$D$8-'Control Room'!$B$8)*AU657/2147483647)</x:f>
        <x:v>1014.730985538918</x:v>
      </x:c>
      <x:c r="AX657" s="17" t="n">
        <x:f>IF('Control Room'!$B$5="Normal",'Control Room'!$B$7,('Control Room'!$B$8+'Control Room'!$D$8)/2)+'Control Room'!$B$9*(AX656-IF('Control Room'!$B$5="Normal",'Control Room'!$B$7,('Control Room'!$B$8+'Control Room'!$D$8)/2))+SQRT(1-'Control Room'!$B$9^2)*(AW657-IF('Control Room'!$B$5="Normal",'Control Room'!$B$7,('Control Room'!$B$8+'Control Room'!$D$8)/2))</x:f>
        <x:v>1071.7606908368032</x:v>
      </x:c>
      <x:c r="AY657" s="17" t="n">
        <x:f>IF(AND($A657&gt;='Control Room'!$A$13,$A657&lt;'Control Room'!$A$13+'Control Room'!$B$13,'Process'!BT2=1),1+('Control Room'!$C$13-1)*EXP(-0.5*(($A657-'Control Room'!$A$13-('Control Room'!$B$13-1)/2)/MAX(0.5,'Control Room'!$B$13/4))^2),1)*IF(AND($A657&gt;='Control Room'!$A$14,$A657&lt;'Control Room'!$A$14+'Control Room'!$B$14,'Process'!BT3=1),1+('Control Room'!$C$14-1)*EXP(-0.5*(($A657-'Control Room'!$A$14-('Control Room'!$B$14-1)/2)/MAX(0.5,'Control Room'!$B$14/4))^2),1)*IF(AND($A657&gt;='Control Room'!$A$15,$A657&lt;'Control Room'!$A$15+'Control Room'!$B$15,'Process'!BT4=1),1+('Control Room'!$C$15-1)*EXP(-0.5*(($A657-'Control Room'!$A$15-('Control Room'!$B$15-1)/2)/MAX(0.5,'Control Room'!$B$15/4))^2),1)*IF(AND($A657&gt;='Control Room'!$A$16,$A657&lt;'Control Room'!$A$16+'Control Room'!$B$16,'Process'!BT5=1),1+('Control Room'!$C$16-1)*EXP(-0.5*(($A657-'Control Room'!$A$16-('Control Room'!$B$16-1)/2)/MAX(0.5,'Control Room'!$B$16/4))^2),1)</x:f>
        <x:v>1</x:v>
      </x:c>
      <x:c r="AZ657" s="9" t="n">
        <x:f>MOD(BA656*16807,2147483647)</x:f>
        <x:v>2013844571</x:v>
      </x:c>
      <x:c r="BA657" s="9" t="n">
        <x:f>MOD(AZ657*16807,2147483647)</x:f>
        <x:v>195944430</x:v>
      </x:c>
      <x:c r="BB657" s="17" t="n">
        <x:f>IF('Control Room'!$B$5="Normal",'Control Room'!$B$7+'Control Room'!$D$7*SQRT(-2*LN(MAX(0.000000000001,AZ657/2147483647)))*COS(2*PI()*BA657/2147483647),'Control Room'!$B$8+('Control Room'!$D$8-'Control Room'!$B$8)*AZ657/2147483647)</x:f>
        <x:v>1027.1042020009688</x:v>
      </x:c>
      <x:c r="BC657" s="17" t="n">
        <x:f>IF('Control Room'!$B$5="Normal",'Control Room'!$B$7,('Control Room'!$B$8+'Control Room'!$D$8)/2)+'Control Room'!$B$9*(BC656-IF('Control Room'!$B$5="Normal",'Control Room'!$B$7,('Control Room'!$B$8+'Control Room'!$D$8)/2))+SQRT(1-'Control Room'!$B$9^2)*(BB657-IF('Control Room'!$B$5="Normal",'Control Room'!$B$7,('Control Room'!$B$8+'Control Room'!$D$8)/2))</x:f>
        <x:v>969.0536545994097</x:v>
      </x:c>
      <x:c r="BD657" s="17" t="n">
        <x:f>IF(AND($A657&gt;='Control Room'!$A$13,$A657&lt;'Control Room'!$A$13+'Control Room'!$B$13,'Process'!BU2=1),1+('Control Room'!$C$13-1)*EXP(-0.5*(($A657-'Control Room'!$A$13-('Control Room'!$B$13-1)/2)/MAX(0.5,'Control Room'!$B$13/4))^2),1)*IF(AND($A657&gt;='Control Room'!$A$14,$A657&lt;'Control Room'!$A$14+'Control Room'!$B$14,'Process'!BU3=1),1+('Control Room'!$C$14-1)*EXP(-0.5*(($A657-'Control Room'!$A$14-('Control Room'!$B$14-1)/2)/MAX(0.5,'Control Room'!$B$14/4))^2),1)*IF(AND($A657&gt;='Control Room'!$A$15,$A657&lt;'Control Room'!$A$15+'Control Room'!$B$15,'Process'!BU4=1),1+('Control Room'!$C$15-1)*EXP(-0.5*(($A657-'Control Room'!$A$15-('Control Room'!$B$15-1)/2)/MAX(0.5,'Control Room'!$B$15/4))^2),1)*IF(AND($A657&gt;='Control Room'!$A$16,$A657&lt;'Control Room'!$A$16+'Control Room'!$B$16,'Process'!BU5=1),1+('Control Room'!$C$16-1)*EXP(-0.5*(($A657-'Control Room'!$A$16-('Control Room'!$B$16-1)/2)/MAX(0.5,'Control Room'!$B$16/4))^2),1)</x:f>
        <x:v>1</x:v>
      </x:c>
      <x:c r="BE657" s="9" t="n">
        <x:f>MOD(BF656*16807,2147483647)</x:f>
        <x:v>2001696007</x:v>
      </x:c>
      <x:c r="BF657" s="9" t="n">
        <x:f>MOD(BE657*16807,2147483647)</x:f>
        <x:v>25975747</x:v>
      </x:c>
      <x:c r="BG657" s="17" t="n">
        <x:f>IF('Control Room'!$B$5="Normal",'Control Room'!$B$7+'Control Room'!$D$7*SQRT(-2*LN(MAX(0.000000000001,BE657/2147483647)))*COS(2*PI()*BF657/2147483647),'Control Room'!$B$8+('Control Room'!$D$8-'Control Room'!$B$8)*BE657/2147483647)</x:f>
        <x:v>1033.6500465895654</x:v>
      </x:c>
      <x:c r="BH657" s="17" t="n">
        <x:f>IF('Control Room'!$B$5="Normal",'Control Room'!$B$7,('Control Room'!$B$8+'Control Room'!$D$8)/2)+'Control Room'!$B$9*(BH656-IF('Control Room'!$B$5="Normal",'Control Room'!$B$7,('Control Room'!$B$8+'Control Room'!$D$8)/2))+SQRT(1-'Control Room'!$B$9^2)*(BG657-IF('Control Room'!$B$5="Normal",'Control Room'!$B$7,('Control Room'!$B$8+'Control Room'!$D$8)/2))</x:f>
        <x:v>913.0381717267417</x:v>
      </x:c>
      <x:c r="BI657" s="17" t="n">
        <x:f>IF(AND($A657&gt;='Control Room'!$A$13,$A657&lt;'Control Room'!$A$13+'Control Room'!$B$13,'Process'!BV2=1),1+('Control Room'!$C$13-1)*EXP(-0.5*(($A657-'Control Room'!$A$13-('Control Room'!$B$13-1)/2)/MAX(0.5,'Control Room'!$B$13/4))^2),1)*IF(AND($A657&gt;='Control Room'!$A$14,$A657&lt;'Control Room'!$A$14+'Control Room'!$B$14,'Process'!BV3=1),1+('Control Room'!$C$14-1)*EXP(-0.5*(($A657-'Control Room'!$A$14-('Control Room'!$B$14-1)/2)/MAX(0.5,'Control Room'!$B$14/4))^2),1)*IF(AND($A657&gt;='Control Room'!$A$15,$A657&lt;'Control Room'!$A$15+'Control Room'!$B$15,'Process'!BV4=1),1+('Control Room'!$C$15-1)*EXP(-0.5*(($A657-'Control Room'!$A$15-('Control Room'!$B$15-1)/2)/MAX(0.5,'Control Room'!$B$15/4))^2),1)*IF(AND($A657&gt;='Control Room'!$A$16,$A657&lt;'Control Room'!$A$16+'Control Room'!$B$16,'Process'!BV5=1),1+('Control Room'!$C$16-1)*EXP(-0.5*(($A657-'Control Room'!$A$16-('Control Room'!$B$16-1)/2)/MAX(0.5,'Control Room'!$B$16/4))^2),1)</x:f>
        <x:v>1</x:v>
      </x:c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Z657" t="str">
        <x:f>IF('Data'!A657="","",TEXT('Data'!A657,"mm-dd"))</x:f>
      </x:c>
    </x:row>
    <x:row r="658" ht="21" customHeight="1">
      <x:c r="A658" s="15" t="n">
        <x:f>'Control Room'!$B$1+656</x:f>
        <x:v>73647</x:v>
      </x:c>
      <x:c r="B658" s="9" t="n">
        <x:f>MOD(C657*16807,2147483647)</x:f>
        <x:v>1954683575</x:v>
      </x:c>
      <x:c r="C658" s="9" t="n">
        <x:f>MOD(B658*16807,2147483647)</x:f>
        <x:v>162013219</x:v>
      </x:c>
      <x:c r="D658" s="17" t="n">
        <x:f>IF('Control Room'!$B$5="Normal",'Control Room'!$B$7+'Control Room'!$D$7*SQRT(-2*LN(MAX(0.000000000001,B658/2147483647)))*COS(2*PI()*C658/2147483647),'Control Room'!$B$8+('Control Room'!$D$8-'Control Room'!$B$8)*B658/2147483647)</x:f>
        <x:v>1034.7329679545421</x:v>
      </x:c>
      <x:c r="E658" s="17" t="n">
        <x:f>IF('Control Room'!$B$5="Normal",'Control Room'!$B$7,('Control Room'!$B$8+'Control Room'!$D$8)/2)+'Control Room'!$B$9*(E657-IF('Control Room'!$B$5="Normal",'Control Room'!$B$7,('Control Room'!$B$8+'Control Room'!$D$8)/2))+SQRT(1-'Control Room'!$B$9^2)*(D658-IF('Control Room'!$B$5="Normal",'Control Room'!$B$7,('Control Room'!$B$8+'Control Room'!$D$8)/2))</x:f>
        <x:v>989.5351489566028</x:v>
      </x:c>
      <x:c r="F658" s="17" t="n">
        <x:f>IF(AND($A658&gt;='Control Room'!$A$13,$A658&lt;'Control Room'!$A$13+'Control Room'!$B$13,'Process'!BK2=1),1+('Control Room'!$C$13-1)*EXP(-0.5*(($A658-'Control Room'!$A$13-('Control Room'!$B$13-1)/2)/MAX(0.5,'Control Room'!$B$13/4))^2),1)*IF(AND($A658&gt;='Control Room'!$A$14,$A658&lt;'Control Room'!$A$14+'Control Room'!$B$14,'Process'!BK3=1),1+('Control Room'!$C$14-1)*EXP(-0.5*(($A658-'Control Room'!$A$14-('Control Room'!$B$14-1)/2)/MAX(0.5,'Control Room'!$B$14/4))^2),1)*IF(AND($A658&gt;='Control Room'!$A$15,$A658&lt;'Control Room'!$A$15+'Control Room'!$B$15,'Process'!BK4=1),1+('Control Room'!$C$15-1)*EXP(-0.5*(($A658-'Control Room'!$A$15-('Control Room'!$B$15-1)/2)/MAX(0.5,'Control Room'!$B$15/4))^2),1)*IF(AND($A658&gt;='Control Room'!$A$16,$A658&lt;'Control Room'!$A$16+'Control Room'!$B$16,'Process'!BK5=1),1+('Control Room'!$C$16-1)*EXP(-0.5*(($A658-'Control Room'!$A$16-('Control Room'!$B$16-1)/2)/MAX(0.5,'Control Room'!$B$16/4))^2),1)</x:f>
        <x:v>1</x:v>
      </x:c>
      <x:c r="G658" s="9" t="n">
        <x:f>MOD(H657*16807,2147483647)</x:f>
        <x:v>1444278904</x:v>
      </x:c>
      <x:c r="H658" s="9" t="n">
        <x:f>MOD(G658*16807,2147483647)</x:f>
        <x:v>987877487</x:v>
      </x:c>
      <x:c r="I658" s="17" t="n">
        <x:f>IF('Control Room'!$B$5="Normal",'Control Room'!$B$7+'Control Room'!$D$7*SQRT(-2*LN(MAX(0.000000000001,G658/2147483647)))*COS(2*PI()*H658/2147483647),'Control Room'!$B$8+('Control Room'!$D$8-'Control Room'!$B$8)*G658/2147483647)</x:f>
        <x:v>922.3521201891165</x:v>
      </x:c>
      <x:c r="J658" s="17" t="n">
        <x:f>IF('Control Room'!$B$5="Normal",'Control Room'!$B$7,('Control Room'!$B$8+'Control Room'!$D$8)/2)+'Control Room'!$B$9*(J657-IF('Control Room'!$B$5="Normal",'Control Room'!$B$7,('Control Room'!$B$8+'Control Room'!$D$8)/2))+SQRT(1-'Control Room'!$B$9^2)*(I658-IF('Control Room'!$B$5="Normal",'Control Room'!$B$7,('Control Room'!$B$8+'Control Room'!$D$8)/2))</x:f>
        <x:v>951.2336962986451</x:v>
      </x:c>
      <x:c r="K658" s="17" t="n">
        <x:f>IF(AND($A658&gt;='Control Room'!$A$13,$A658&lt;'Control Room'!$A$13+'Control Room'!$B$13,'Process'!BL2=1),1+('Control Room'!$C$13-1)*EXP(-0.5*(($A658-'Control Room'!$A$13-('Control Room'!$B$13-1)/2)/MAX(0.5,'Control Room'!$B$13/4))^2),1)*IF(AND($A658&gt;='Control Room'!$A$14,$A658&lt;'Control Room'!$A$14+'Control Room'!$B$14,'Process'!BL3=1),1+('Control Room'!$C$14-1)*EXP(-0.5*(($A658-'Control Room'!$A$14-('Control Room'!$B$14-1)/2)/MAX(0.5,'Control Room'!$B$14/4))^2),1)*IF(AND($A658&gt;='Control Room'!$A$15,$A658&lt;'Control Room'!$A$15+'Control Room'!$B$15,'Process'!BL4=1),1+('Control Room'!$C$15-1)*EXP(-0.5*(($A658-'Control Room'!$A$15-('Control Room'!$B$15-1)/2)/MAX(0.5,'Control Room'!$B$15/4))^2),1)*IF(AND($A658&gt;='Control Room'!$A$16,$A658&lt;'Control Room'!$A$16+'Control Room'!$B$16,'Process'!BL5=1),1+('Control Room'!$C$16-1)*EXP(-0.5*(($A658-'Control Room'!$A$16-('Control Room'!$B$16-1)/2)/MAX(0.5,'Control Room'!$B$16/4))^2),1)</x:f>
        <x:v>1</x:v>
      </x:c>
      <x:c r="L658" s="9" t="n">
        <x:f>MOD(M657*16807,2147483647)</x:f>
        <x:v>933874233</x:v>
      </x:c>
      <x:c r="M658" s="9" t="n">
        <x:f>MOD(L658*16807,2147483647)</x:f>
        <x:v>1813741755</x:v>
      </x:c>
      <x:c r="N658" s="17" t="n">
        <x:f>IF('Control Room'!$B$5="Normal",'Control Room'!$B$7+'Control Room'!$D$7*SQRT(-2*LN(MAX(0.000000000001,L658/2147483647)))*COS(2*PI()*M658/2147483647),'Control Room'!$B$8+('Control Room'!$D$8-'Control Room'!$B$8)*L658/2147483647)</x:f>
        <x:v>1065.0356741220123</x:v>
      </x:c>
      <x:c r="O658" s="17" t="n">
        <x:f>IF('Control Room'!$B$5="Normal",'Control Room'!$B$7,('Control Room'!$B$8+'Control Room'!$D$8)/2)+'Control Room'!$B$9*(O657-IF('Control Room'!$B$5="Normal",'Control Room'!$B$7,('Control Room'!$B$8+'Control Room'!$D$8)/2))+SQRT(1-'Control Room'!$B$9^2)*(N658-IF('Control Room'!$B$5="Normal",'Control Room'!$B$7,('Control Room'!$B$8+'Control Room'!$D$8)/2))</x:f>
        <x:v>1000.8167152006604</x:v>
      </x:c>
      <x:c r="P658" s="17" t="n">
        <x:f>IF(AND($A658&gt;='Control Room'!$A$13,$A658&lt;'Control Room'!$A$13+'Control Room'!$B$13,'Process'!BM2=1),1+('Control Room'!$C$13-1)*EXP(-0.5*(($A658-'Control Room'!$A$13-('Control Room'!$B$13-1)/2)/MAX(0.5,'Control Room'!$B$13/4))^2),1)*IF(AND($A658&gt;='Control Room'!$A$14,$A658&lt;'Control Room'!$A$14+'Control Room'!$B$14,'Process'!BM3=1),1+('Control Room'!$C$14-1)*EXP(-0.5*(($A658-'Control Room'!$A$14-('Control Room'!$B$14-1)/2)/MAX(0.5,'Control Room'!$B$14/4))^2),1)*IF(AND($A658&gt;='Control Room'!$A$15,$A658&lt;'Control Room'!$A$15+'Control Room'!$B$15,'Process'!BM4=1),1+('Control Room'!$C$15-1)*EXP(-0.5*(($A658-'Control Room'!$A$15-('Control Room'!$B$15-1)/2)/MAX(0.5,'Control Room'!$B$15/4))^2),1)*IF(AND($A658&gt;='Control Room'!$A$16,$A658&lt;'Control Room'!$A$16+'Control Room'!$B$16,'Process'!BM5=1),1+('Control Room'!$C$16-1)*EXP(-0.5*(($A658-'Control Room'!$A$16-('Control Room'!$B$16-1)/2)/MAX(0.5,'Control Room'!$B$16/4))^2),1)</x:f>
        <x:v>1</x:v>
      </x:c>
      <x:c r="Q658" s="9" t="n">
        <x:f>MOD(R657*16807,2147483647)</x:f>
        <x:v>423469562</x:v>
      </x:c>
      <x:c r="R658" s="9" t="n">
        <x:f>MOD(Q658*16807,2147483647)</x:f>
        <x:v>492122376</x:v>
      </x:c>
      <x:c r="S658" s="17" t="n">
        <x:f>IF('Control Room'!$B$5="Normal",'Control Room'!$B$7+'Control Room'!$D$7*SQRT(-2*LN(MAX(0.000000000001,Q658/2147483647)))*COS(2*PI()*R658/2147483647),'Control Room'!$B$8+('Control Room'!$D$8-'Control Room'!$B$8)*Q658/2147483647)</x:f>
        <x:v>1021.1729037647365</x:v>
      </x:c>
      <x:c r="T658" s="17" t="n">
        <x:f>IF('Control Room'!$B$5="Normal",'Control Room'!$B$7,('Control Room'!$B$8+'Control Room'!$D$8)/2)+'Control Room'!$B$9*(T657-IF('Control Room'!$B$5="Normal",'Control Room'!$B$7,('Control Room'!$B$8+'Control Room'!$D$8)/2))+SQRT(1-'Control Room'!$B$9^2)*(S658-IF('Control Room'!$B$5="Normal",'Control Room'!$B$7,('Control Room'!$B$8+'Control Room'!$D$8)/2))</x:f>
        <x:v>969.5390041981366</x:v>
      </x:c>
      <x:c r="U658" s="17" t="n">
        <x:f>IF(AND($A658&gt;='Control Room'!$A$13,$A658&lt;'Control Room'!$A$13+'Control Room'!$B$13,'Process'!BN2=1),1+('Control Room'!$C$13-1)*EXP(-0.5*(($A658-'Control Room'!$A$13-('Control Room'!$B$13-1)/2)/MAX(0.5,'Control Room'!$B$13/4))^2),1)*IF(AND($A658&gt;='Control Room'!$A$14,$A658&lt;'Control Room'!$A$14+'Control Room'!$B$14,'Process'!BN3=1),1+('Control Room'!$C$14-1)*EXP(-0.5*(($A658-'Control Room'!$A$14-('Control Room'!$B$14-1)/2)/MAX(0.5,'Control Room'!$B$14/4))^2),1)*IF(AND($A658&gt;='Control Room'!$A$15,$A658&lt;'Control Room'!$A$15+'Control Room'!$B$15,'Process'!BN4=1),1+('Control Room'!$C$15-1)*EXP(-0.5*(($A658-'Control Room'!$A$15-('Control Room'!$B$15-1)/2)/MAX(0.5,'Control Room'!$B$15/4))^2),1)*IF(AND($A658&gt;='Control Room'!$A$16,$A658&lt;'Control Room'!$A$16+'Control Room'!$B$16,'Process'!BN5=1),1+('Control Room'!$C$16-1)*EXP(-0.5*(($A658-'Control Room'!$A$16-('Control Room'!$B$16-1)/2)/MAX(0.5,'Control Room'!$B$16/4))^2),1)</x:f>
        <x:v>1</x:v>
      </x:c>
      <x:c r="V658" s="9" t="n">
        <x:f>MOD(W657*16807,2147483647)</x:f>
        <x:v>2060548538</x:v>
      </x:c>
      <x:c r="W658" s="9" t="n">
        <x:f>MOD(V658*16807,2147483647)</x:f>
        <x:v>1317986644</x:v>
      </x:c>
      <x:c r="X658" s="17" t="n">
        <x:f>IF('Control Room'!$B$5="Normal",'Control Room'!$B$7+'Control Room'!$D$7*SQRT(-2*LN(MAX(0.000000000001,V658/2147483647)))*COS(2*PI()*W658/2147483647),'Control Room'!$B$8+('Control Room'!$D$8-'Control Room'!$B$8)*V658/2147483647)</x:f>
        <x:v>980.4563725916368</x:v>
      </x:c>
      <x:c r="Y658" s="17" t="n">
        <x:f>IF('Control Room'!$B$5="Normal",'Control Room'!$B$7,('Control Room'!$B$8+'Control Room'!$D$8)/2)+'Control Room'!$B$9*(Y657-IF('Control Room'!$B$5="Normal",'Control Room'!$B$7,('Control Room'!$B$8+'Control Room'!$D$8)/2))+SQRT(1-'Control Room'!$B$9^2)*(X658-IF('Control Room'!$B$5="Normal",'Control Room'!$B$7,('Control Room'!$B$8+'Control Room'!$D$8)/2))</x:f>
        <x:v>991.9423874363742</x:v>
      </x:c>
      <x:c r="Z658" s="17" t="n">
        <x:f>IF(AND($A658&gt;='Control Room'!$A$13,$A658&lt;'Control Room'!$A$13+'Control Room'!$B$13,'Process'!BO2=1),1+('Control Room'!$C$13-1)*EXP(-0.5*(($A658-'Control Room'!$A$13-('Control Room'!$B$13-1)/2)/MAX(0.5,'Control Room'!$B$13/4))^2),1)*IF(AND($A658&gt;='Control Room'!$A$14,$A658&lt;'Control Room'!$A$14+'Control Room'!$B$14,'Process'!BO3=1),1+('Control Room'!$C$14-1)*EXP(-0.5*(($A658-'Control Room'!$A$14-('Control Room'!$B$14-1)/2)/MAX(0.5,'Control Room'!$B$14/4))^2),1)*IF(AND($A658&gt;='Control Room'!$A$15,$A658&lt;'Control Room'!$A$15+'Control Room'!$B$15,'Process'!BO4=1),1+('Control Room'!$C$15-1)*EXP(-0.5*(($A658-'Control Room'!$A$15-('Control Room'!$B$15-1)/2)/MAX(0.5,'Control Room'!$B$15/4))^2),1)*IF(AND($A658&gt;='Control Room'!$A$16,$A658&lt;'Control Room'!$A$16+'Control Room'!$B$16,'Process'!BO5=1),1+('Control Room'!$C$16-1)*EXP(-0.5*(($A658-'Control Room'!$A$16-('Control Room'!$B$16-1)/2)/MAX(0.5,'Control Room'!$B$16/4))^2),1)</x:f>
        <x:v>1</x:v>
      </x:c>
      <x:c r="AA658" s="9" t="n">
        <x:f>MOD(AB657*16807,2147483647)</x:f>
        <x:v>1550143867</x:v>
      </x:c>
      <x:c r="AB658" s="9" t="n">
        <x:f>MOD(AA658*16807,2147483647)</x:f>
        <x:v>2143850912</x:v>
      </x:c>
      <x:c r="AC658" s="17" t="n">
        <x:f>IF('Control Room'!$B$5="Normal",'Control Room'!$B$7+'Control Room'!$D$7*SQRT(-2*LN(MAX(0.000000000001,AA658/2147483647)))*COS(2*PI()*AB658/2147483647),'Control Room'!$B$8+('Control Room'!$D$8-'Control Room'!$B$8)*AA658/2147483647)</x:f>
        <x:v>1072.662077800662</x:v>
      </x:c>
      <x:c r="AD658" s="17" t="n">
        <x:f>IF('Control Room'!$B$5="Normal",'Control Room'!$B$7,('Control Room'!$B$8+'Control Room'!$D$8)/2)+'Control Room'!$B$9*(AD657-IF('Control Room'!$B$5="Normal",'Control Room'!$B$7,('Control Room'!$B$8+'Control Room'!$D$8)/2))+SQRT(1-'Control Room'!$B$9^2)*(AC658-IF('Control Room'!$B$5="Normal",'Control Room'!$B$7,('Control Room'!$B$8+'Control Room'!$D$8)/2))</x:f>
        <x:v>1005.8965579634923</x:v>
      </x:c>
      <x:c r="AE658" s="17" t="n">
        <x:f>IF(AND($A658&gt;='Control Room'!$A$13,$A658&lt;'Control Room'!$A$13+'Control Room'!$B$13,'Process'!BP2=1),1+('Control Room'!$C$13-1)*EXP(-0.5*(($A658-'Control Room'!$A$13-('Control Room'!$B$13-1)/2)/MAX(0.5,'Control Room'!$B$13/4))^2),1)*IF(AND($A658&gt;='Control Room'!$A$14,$A658&lt;'Control Room'!$A$14+'Control Room'!$B$14,'Process'!BP3=1),1+('Control Room'!$C$14-1)*EXP(-0.5*(($A658-'Control Room'!$A$14-('Control Room'!$B$14-1)/2)/MAX(0.5,'Control Room'!$B$14/4))^2),1)*IF(AND($A658&gt;='Control Room'!$A$15,$A658&lt;'Control Room'!$A$15+'Control Room'!$B$15,'Process'!BP4=1),1+('Control Room'!$C$15-1)*EXP(-0.5*(($A658-'Control Room'!$A$15-('Control Room'!$B$15-1)/2)/MAX(0.5,'Control Room'!$B$15/4))^2),1)*IF(AND($A658&gt;='Control Room'!$A$16,$A658&lt;'Control Room'!$A$16+'Control Room'!$B$16,'Process'!BP5=1),1+('Control Room'!$C$16-1)*EXP(-0.5*(($A658-'Control Room'!$A$16-('Control Room'!$B$16-1)/2)/MAX(0.5,'Control Room'!$B$16/4))^2),1)</x:f>
        <x:v>1</x:v>
      </x:c>
      <x:c r="AF658" s="9" t="n">
        <x:f>MOD(AG657*16807,2147483647)</x:f>
        <x:v>1039739196</x:v>
      </x:c>
      <x:c r="AG658" s="9" t="n">
        <x:f>MOD(AF658*16807,2147483647)</x:f>
        <x:v>822231533</x:v>
      </x:c>
      <x:c r="AH658" s="17" t="n">
        <x:f>IF('Control Room'!$B$5="Normal",'Control Room'!$B$7+'Control Room'!$D$7*SQRT(-2*LN(MAX(0.000000000001,AF658/2147483647)))*COS(2*PI()*AG658/2147483647),'Control Room'!$B$8+('Control Room'!$D$8-'Control Room'!$B$8)*AF658/2147483647)</x:f>
        <x:v>919.6502995654558</x:v>
      </x:c>
      <x:c r="AI658" s="17" t="n">
        <x:f>IF('Control Room'!$B$5="Normal",'Control Room'!$B$7,('Control Room'!$B$8+'Control Room'!$D$8)/2)+'Control Room'!$B$9*(AI657-IF('Control Room'!$B$5="Normal",'Control Room'!$B$7,('Control Room'!$B$8+'Control Room'!$D$8)/2))+SQRT(1-'Control Room'!$B$9^2)*(AH658-IF('Control Room'!$B$5="Normal",'Control Room'!$B$7,('Control Room'!$B$8+'Control Room'!$D$8)/2))</x:f>
        <x:v>898.7305185872939</x:v>
      </x:c>
      <x:c r="AJ658" s="17" t="n">
        <x:f>IF(AND($A658&gt;='Control Room'!$A$13,$A658&lt;'Control Room'!$A$13+'Control Room'!$B$13,'Process'!BQ2=1),1+('Control Room'!$C$13-1)*EXP(-0.5*(($A658-'Control Room'!$A$13-('Control Room'!$B$13-1)/2)/MAX(0.5,'Control Room'!$B$13/4))^2),1)*IF(AND($A658&gt;='Control Room'!$A$14,$A658&lt;'Control Room'!$A$14+'Control Room'!$B$14,'Process'!BQ3=1),1+('Control Room'!$C$14-1)*EXP(-0.5*(($A658-'Control Room'!$A$14-('Control Room'!$B$14-1)/2)/MAX(0.5,'Control Room'!$B$14/4))^2),1)*IF(AND($A658&gt;='Control Room'!$A$15,$A658&lt;'Control Room'!$A$15+'Control Room'!$B$15,'Process'!BQ4=1),1+('Control Room'!$C$15-1)*EXP(-0.5*(($A658-'Control Room'!$A$15-('Control Room'!$B$15-1)/2)/MAX(0.5,'Control Room'!$B$15/4))^2),1)*IF(AND($A658&gt;='Control Room'!$A$16,$A658&lt;'Control Room'!$A$16+'Control Room'!$B$16,'Process'!BQ5=1),1+('Control Room'!$C$16-1)*EXP(-0.5*(($A658-'Control Room'!$A$16-('Control Room'!$B$16-1)/2)/MAX(0.5,'Control Room'!$B$16/4))^2),1)</x:f>
        <x:v>1</x:v>
      </x:c>
      <x:c r="AK658" s="9" t="n">
        <x:f>MOD(AL657*16807,2147483647)</x:f>
        <x:v>529334525</x:v>
      </x:c>
      <x:c r="AL658" s="9" t="n">
        <x:f>MOD(AK658*16807,2147483647)</x:f>
        <x:v>1648095801</x:v>
      </x:c>
      <x:c r="AM658" s="17" t="n">
        <x:f>IF('Control Room'!$B$5="Normal",'Control Room'!$B$7+'Control Room'!$D$7*SQRT(-2*LN(MAX(0.000000000001,AK658/2147483647)))*COS(2*PI()*AL658/2147483647),'Control Room'!$B$8+('Control Room'!$D$8-'Control Room'!$B$8)*AK658/2147483647)</x:f>
        <x:v>1016.4855189074742</x:v>
      </x:c>
      <x:c r="AN658" s="17" t="n">
        <x:f>IF('Control Room'!$B$5="Normal",'Control Room'!$B$7,('Control Room'!$B$8+'Control Room'!$D$8)/2)+'Control Room'!$B$9*(AN657-IF('Control Room'!$B$5="Normal",'Control Room'!$B$7,('Control Room'!$B$8+'Control Room'!$D$8)/2))+SQRT(1-'Control Room'!$B$9^2)*(AM658-IF('Control Room'!$B$5="Normal",'Control Room'!$B$7,('Control Room'!$B$8+'Control Room'!$D$8)/2))</x:f>
        <x:v>1044.7520083502898</x:v>
      </x:c>
      <x:c r="AO658" s="17" t="n">
        <x:f>IF(AND($A658&gt;='Control Room'!$A$13,$A658&lt;'Control Room'!$A$13+'Control Room'!$B$13,'Process'!BR2=1),1+('Control Room'!$C$13-1)*EXP(-0.5*(($A658-'Control Room'!$A$13-('Control Room'!$B$13-1)/2)/MAX(0.5,'Control Room'!$B$13/4))^2),1)*IF(AND($A658&gt;='Control Room'!$A$14,$A658&lt;'Control Room'!$A$14+'Control Room'!$B$14,'Process'!BR3=1),1+('Control Room'!$C$14-1)*EXP(-0.5*(($A658-'Control Room'!$A$14-('Control Room'!$B$14-1)/2)/MAX(0.5,'Control Room'!$B$14/4))^2),1)*IF(AND($A658&gt;='Control Room'!$A$15,$A658&lt;'Control Room'!$A$15+'Control Room'!$B$15,'Process'!BR4=1),1+('Control Room'!$C$15-1)*EXP(-0.5*(($A658-'Control Room'!$A$15-('Control Room'!$B$15-1)/2)/MAX(0.5,'Control Room'!$B$15/4))^2),1)*IF(AND($A658&gt;='Control Room'!$A$16,$A658&lt;'Control Room'!$A$16+'Control Room'!$B$16,'Process'!BR5=1),1+('Control Room'!$C$16-1)*EXP(-0.5*(($A658-'Control Room'!$A$16-('Control Room'!$B$16-1)/2)/MAX(0.5,'Control Room'!$B$16/4))^2),1)</x:f>
        <x:v>1</x:v>
      </x:c>
      <x:c r="AP658" s="9" t="n">
        <x:f>MOD(AQ657*16807,2147483647)</x:f>
        <x:v>18929854</x:v>
      </x:c>
      <x:c r="AQ658" s="9" t="n">
        <x:f>MOD(AP658*16807,2147483647)</x:f>
        <x:v>326476422</x:v>
      </x:c>
      <x:c r="AR658" s="17" t="n">
        <x:f>IF('Control Room'!$B$5="Normal",'Control Room'!$B$7+'Control Room'!$D$7*SQRT(-2*LN(MAX(0.000000000001,AP658/2147483647)))*COS(2*PI()*AQ658/2147483647),'Control Room'!$B$8+('Control Room'!$D$8-'Control Room'!$B$8)*AP658/2147483647)</x:f>
        <x:v>1159.8634332937393</x:v>
      </x:c>
      <x:c r="AS658" s="17" t="n">
        <x:f>IF('Control Room'!$B$5="Normal",'Control Room'!$B$7,('Control Room'!$B$8+'Control Room'!$D$8)/2)+'Control Room'!$B$9*(AS657-IF('Control Room'!$B$5="Normal",'Control Room'!$B$7,('Control Room'!$B$8+'Control Room'!$D$8)/2))+SQRT(1-'Control Room'!$B$9^2)*(AR658-IF('Control Room'!$B$5="Normal",'Control Room'!$B$7,('Control Room'!$B$8+'Control Room'!$D$8)/2))</x:f>
        <x:v>1067.601913140547</x:v>
      </x:c>
      <x:c r="AT658" s="17" t="n">
        <x:f>IF(AND($A658&gt;='Control Room'!$A$13,$A658&lt;'Control Room'!$A$13+'Control Room'!$B$13,'Process'!BS2=1),1+('Control Room'!$C$13-1)*EXP(-0.5*(($A658-'Control Room'!$A$13-('Control Room'!$B$13-1)/2)/MAX(0.5,'Control Room'!$B$13/4))^2),1)*IF(AND($A658&gt;='Control Room'!$A$14,$A658&lt;'Control Room'!$A$14+'Control Room'!$B$14,'Process'!BS3=1),1+('Control Room'!$C$14-1)*EXP(-0.5*(($A658-'Control Room'!$A$14-('Control Room'!$B$14-1)/2)/MAX(0.5,'Control Room'!$B$14/4))^2),1)*IF(AND($A658&gt;='Control Room'!$A$15,$A658&lt;'Control Room'!$A$15+'Control Room'!$B$15,'Process'!BS4=1),1+('Control Room'!$C$15-1)*EXP(-0.5*(($A658-'Control Room'!$A$15-('Control Room'!$B$15-1)/2)/MAX(0.5,'Control Room'!$B$15/4))^2),1)*IF(AND($A658&gt;='Control Room'!$A$16,$A658&lt;'Control Room'!$A$16+'Control Room'!$B$16,'Process'!BS5=1),1+('Control Room'!$C$16-1)*EXP(-0.5*(($A658-'Control Room'!$A$16-('Control Room'!$B$16-1)/2)/MAX(0.5,'Control Room'!$B$16/4))^2),1)</x:f>
        <x:v>1</x:v>
      </x:c>
      <x:c r="AU658" s="9" t="n">
        <x:f>MOD(AV657*16807,2147483647)</x:f>
        <x:v>1656008830</x:v>
      </x:c>
      <x:c r="AV658" s="9" t="n">
        <x:f>MOD(AU658*16807,2147483647)</x:f>
        <x:v>1152340690</x:v>
      </x:c>
      <x:c r="AW658" s="17" t="n">
        <x:f>IF('Control Room'!$B$5="Normal",'Control Room'!$B$7+'Control Room'!$D$7*SQRT(-2*LN(MAX(0.000000000001,AU658/2147483647)))*COS(2*PI()*AV658/2147483647),'Control Room'!$B$8+('Control Room'!$D$8-'Control Room'!$B$8)*AU658/2147483647)</x:f>
        <x:v>936.8224535628972</x:v>
      </x:c>
      <x:c r="AX658" s="17" t="n">
        <x:f>IF('Control Room'!$B$5="Normal",'Control Room'!$B$7,('Control Room'!$B$8+'Control Room'!$D$8)/2)+'Control Room'!$B$9*(AX657-IF('Control Room'!$B$5="Normal",'Control Room'!$B$7,('Control Room'!$B$8+'Control Room'!$D$8)/2))+SQRT(1-'Control Room'!$B$9^2)*(AW658-IF('Control Room'!$B$5="Normal",'Control Room'!$B$7,('Control Room'!$B$8+'Control Room'!$D$8)/2))</x:f>
        <x:v>1016.4381245547557</x:v>
      </x:c>
      <x:c r="AY658" s="17" t="n">
        <x:f>IF(AND($A658&gt;='Control Room'!$A$13,$A658&lt;'Control Room'!$A$13+'Control Room'!$B$13,'Process'!BT2=1),1+('Control Room'!$C$13-1)*EXP(-0.5*(($A658-'Control Room'!$A$13-('Control Room'!$B$13-1)/2)/MAX(0.5,'Control Room'!$B$13/4))^2),1)*IF(AND($A658&gt;='Control Room'!$A$14,$A658&lt;'Control Room'!$A$14+'Control Room'!$B$14,'Process'!BT3=1),1+('Control Room'!$C$14-1)*EXP(-0.5*(($A658-'Control Room'!$A$14-('Control Room'!$B$14-1)/2)/MAX(0.5,'Control Room'!$B$14/4))^2),1)*IF(AND($A658&gt;='Control Room'!$A$15,$A658&lt;'Control Room'!$A$15+'Control Room'!$B$15,'Process'!BT4=1),1+('Control Room'!$C$15-1)*EXP(-0.5*(($A658-'Control Room'!$A$15-('Control Room'!$B$15-1)/2)/MAX(0.5,'Control Room'!$B$15/4))^2),1)*IF(AND($A658&gt;='Control Room'!$A$16,$A658&lt;'Control Room'!$A$16+'Control Room'!$B$16,'Process'!BT5=1),1+('Control Room'!$C$16-1)*EXP(-0.5*(($A658-'Control Room'!$A$16-('Control Room'!$B$16-1)/2)/MAX(0.5,'Control Room'!$B$16/4))^2),1)</x:f>
        <x:v>1</x:v>
      </x:c>
      <x:c r="AZ658" s="9" t="n">
        <x:f>MOD(BA657*16807,2147483647)</x:f>
        <x:v>1145604159</x:v>
      </x:c>
      <x:c r="BA658" s="9" t="n">
        <x:f>MOD(AZ658*16807,2147483647)</x:f>
        <x:v>1978204958</x:v>
      </x:c>
      <x:c r="BB658" s="17" t="n">
        <x:f>IF('Control Room'!$B$5="Normal",'Control Room'!$B$7+'Control Room'!$D$7*SQRT(-2*LN(MAX(0.000000000001,AZ658/2147483647)))*COS(2*PI()*BA658/2147483647),'Control Room'!$B$8+('Control Room'!$D$8-'Control Room'!$B$8)*AZ658/2147483647)</x:f>
        <x:v>1088.76965437389</x:v>
      </x:c>
      <x:c r="BC658" s="17" t="n">
        <x:f>IF('Control Room'!$B$5="Normal",'Control Room'!$B$7,('Control Room'!$B$8+'Control Room'!$D$8)/2)+'Control Room'!$B$9*(BC657-IF('Control Room'!$B$5="Normal",'Control Room'!$B$7,('Control Room'!$B$8+'Control Room'!$D$8)/2))+SQRT(1-'Control Room'!$B$9^2)*(BB658-IF('Control Room'!$B$5="Normal",'Control Room'!$B$7,('Control Room'!$B$8+'Control Room'!$D$8)/2))</x:f>
        <x:v>1031.4120817495034</x:v>
      </x:c>
      <x:c r="BD658" s="17" t="n">
        <x:f>IF(AND($A658&gt;='Control Room'!$A$13,$A658&lt;'Control Room'!$A$13+'Control Room'!$B$13,'Process'!BU2=1),1+('Control Room'!$C$13-1)*EXP(-0.5*(($A658-'Control Room'!$A$13-('Control Room'!$B$13-1)/2)/MAX(0.5,'Control Room'!$B$13/4))^2),1)*IF(AND($A658&gt;='Control Room'!$A$14,$A658&lt;'Control Room'!$A$14+'Control Room'!$B$14,'Process'!BU3=1),1+('Control Room'!$C$14-1)*EXP(-0.5*(($A658-'Control Room'!$A$14-('Control Room'!$B$14-1)/2)/MAX(0.5,'Control Room'!$B$14/4))^2),1)*IF(AND($A658&gt;='Control Room'!$A$15,$A658&lt;'Control Room'!$A$15+'Control Room'!$B$15,'Process'!BU4=1),1+('Control Room'!$C$15-1)*EXP(-0.5*(($A658-'Control Room'!$A$15-('Control Room'!$B$15-1)/2)/MAX(0.5,'Control Room'!$B$15/4))^2),1)*IF(AND($A658&gt;='Control Room'!$A$16,$A658&lt;'Control Room'!$A$16+'Control Room'!$B$16,'Process'!BU5=1),1+('Control Room'!$C$16-1)*EXP(-0.5*(($A658-'Control Room'!$A$16-('Control Room'!$B$16-1)/2)/MAX(0.5,'Control Room'!$B$16/4))^2),1)</x:f>
        <x:v>1</x:v>
      </x:c>
      <x:c r="BE658" s="9" t="n">
        <x:f>MOD(BF657*16807,2147483647)</x:f>
        <x:v>635199488</x:v>
      </x:c>
      <x:c r="BF658" s="9" t="n">
        <x:f>MOD(BE658*16807,2147483647)</x:f>
        <x:v>656585579</x:v>
      </x:c>
      <x:c r="BG658" s="17" t="n">
        <x:f>IF('Control Room'!$B$5="Normal",'Control Room'!$B$7+'Control Room'!$D$7*SQRT(-2*LN(MAX(0.000000000001,BE658/2147483647)))*COS(2*PI()*BF658/2147483647),'Control Room'!$B$8+('Control Room'!$D$8-'Control Room'!$B$8)*BE658/2147483647)</x:f>
        <x:v>951.7961478738565</x:v>
      </x:c>
      <x:c r="BH658" s="17" t="n">
        <x:f>IF('Control Room'!$B$5="Normal",'Control Room'!$B$7,('Control Room'!$B$8+'Control Room'!$D$8)/2)+'Control Room'!$B$9*(BH657-IF('Control Room'!$B$5="Normal",'Control Room'!$B$7,('Control Room'!$B$8+'Control Room'!$D$8)/2))+SQRT(1-'Control Room'!$B$9^2)*(BG658-IF('Control Room'!$B$5="Normal",'Control Room'!$B$7,('Control Room'!$B$8+'Control Room'!$D$8)/2))</x:f>
        <x:v>902.0047907959047</x:v>
      </x:c>
      <x:c r="BI658" s="17" t="n">
        <x:f>IF(AND($A658&gt;='Control Room'!$A$13,$A658&lt;'Control Room'!$A$13+'Control Room'!$B$13,'Process'!BV2=1),1+('Control Room'!$C$13-1)*EXP(-0.5*(($A658-'Control Room'!$A$13-('Control Room'!$B$13-1)/2)/MAX(0.5,'Control Room'!$B$13/4))^2),1)*IF(AND($A658&gt;='Control Room'!$A$14,$A658&lt;'Control Room'!$A$14+'Control Room'!$B$14,'Process'!BV3=1),1+('Control Room'!$C$14-1)*EXP(-0.5*(($A658-'Control Room'!$A$14-('Control Room'!$B$14-1)/2)/MAX(0.5,'Control Room'!$B$14/4))^2),1)*IF(AND($A658&gt;='Control Room'!$A$15,$A658&lt;'Control Room'!$A$15+'Control Room'!$B$15,'Process'!BV4=1),1+('Control Room'!$C$15-1)*EXP(-0.5*(($A658-'Control Room'!$A$15-('Control Room'!$B$15-1)/2)/MAX(0.5,'Control Room'!$B$15/4))^2),1)*IF(AND($A658&gt;='Control Room'!$A$16,$A658&lt;'Control Room'!$A$16+'Control Room'!$B$16,'Process'!BV5=1),1+('Control Room'!$C$16-1)*EXP(-0.5*(($A658-'Control Room'!$A$16-('Control Room'!$B$16-1)/2)/MAX(0.5,'Control Room'!$B$16/4))^2),1)</x:f>
        <x:v>1</x:v>
      </x:c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Z658" t="str">
        <x:f>IF('Data'!A658="","",TEXT('Data'!A658,"mm-dd"))</x:f>
      </x:c>
    </x:row>
    <x:row r="659" ht="21" customHeight="1">
      <x:c r="A659" s="15" t="n">
        <x:f>'Control Room'!$B$1+657</x:f>
        <x:v>73648</x:v>
      </x:c>
      <x:c r="B659" s="9" t="n">
        <x:f>MOD(C658*16807,2147483647)</x:f>
        <x:v>2094390984</x:v>
      </x:c>
      <x:c r="C659" s="9" t="n">
        <x:f>MOD(B659*16807,2147483647)</x:f>
        <x:v>1024810111</x:v>
      </x:c>
      <x:c r="D659" s="17" t="n">
        <x:f>IF('Control Room'!$B$5="Normal",'Control Room'!$B$7+'Control Room'!$D$7*SQRT(-2*LN(MAX(0.000000000001,B659/2147483647)))*COS(2*PI()*C659/2147483647),'Control Room'!$B$8+('Control Room'!$D$8-'Control Room'!$B$8)*B659/2147483647)</x:f>
        <x:v>980.0677590968554</x:v>
      </x:c>
      <x:c r="E659" s="17" t="n">
        <x:f>IF('Control Room'!$B$5="Normal",'Control Room'!$B$7,('Control Room'!$B$8+'Control Room'!$D$8)/2)+'Control Room'!$B$9*(E658-IF('Control Room'!$B$5="Normal",'Control Room'!$B$7,('Control Room'!$B$8+'Control Room'!$D$8)/2))+SQRT(1-'Control Room'!$B$9^2)*(D659-IF('Control Room'!$B$5="Normal",'Control Room'!$B$7,('Control Room'!$B$8+'Control Room'!$D$8)/2))</x:f>
        <x:v>979.3642281631122</x:v>
      </x:c>
      <x:c r="F659" s="17" t="n">
        <x:f>IF(AND($A659&gt;='Control Room'!$A$13,$A659&lt;'Control Room'!$A$13+'Control Room'!$B$13,'Process'!BK2=1),1+('Control Room'!$C$13-1)*EXP(-0.5*(($A659-'Control Room'!$A$13-('Control Room'!$B$13-1)/2)/MAX(0.5,'Control Room'!$B$13/4))^2),1)*IF(AND($A659&gt;='Control Room'!$A$14,$A659&lt;'Control Room'!$A$14+'Control Room'!$B$14,'Process'!BK3=1),1+('Control Room'!$C$14-1)*EXP(-0.5*(($A659-'Control Room'!$A$14-('Control Room'!$B$14-1)/2)/MAX(0.5,'Control Room'!$B$14/4))^2),1)*IF(AND($A659&gt;='Control Room'!$A$15,$A659&lt;'Control Room'!$A$15+'Control Room'!$B$15,'Process'!BK4=1),1+('Control Room'!$C$15-1)*EXP(-0.5*(($A659-'Control Room'!$A$15-('Control Room'!$B$15-1)/2)/MAX(0.5,'Control Room'!$B$15/4))^2),1)*IF(AND($A659&gt;='Control Room'!$A$16,$A659&lt;'Control Room'!$A$16+'Control Room'!$B$16,'Process'!BK5=1),1+('Control Room'!$C$16-1)*EXP(-0.5*(($A659-'Control Room'!$A$16-('Control Room'!$B$16-1)/2)/MAX(0.5,'Control Room'!$B$16/4))^2),1)</x:f>
        <x:v>1</x:v>
      </x:c>
      <x:c r="G659" s="9" t="n">
        <x:f>MOD(H658*16807,2147483647)</x:f>
        <x:v>1060849052</x:v>
      </x:c>
      <x:c r="H659" s="9" t="n">
        <x:f>MOD(G659*16807,2147483647)</x:f>
        <x:v>1280779570</x:v>
      </x:c>
      <x:c r="I659" s="17" t="n">
        <x:f>IF('Control Room'!$B$5="Normal",'Control Room'!$B$7+'Control Room'!$D$7*SQRT(-2*LN(MAX(0.000000000001,G659/2147483647)))*COS(2*PI()*H659/2147483647),'Control Room'!$B$8+('Control Room'!$D$8-'Control Room'!$B$8)*G659/2147483647)</x:f>
        <x:v>912.1319353756465</x:v>
      </x:c>
      <x:c r="J659" s="17" t="n">
        <x:f>IF('Control Room'!$B$5="Normal",'Control Room'!$B$7,('Control Room'!$B$8+'Control Room'!$D$8)/2)+'Control Room'!$B$9*(J658-IF('Control Room'!$B$5="Normal",'Control Room'!$B$7,('Control Room'!$B$8+'Control Room'!$D$8)/2))+SQRT(1-'Control Room'!$B$9^2)*(I659-IF('Control Room'!$B$5="Normal",'Control Room'!$B$7,('Control Room'!$B$8+'Control Room'!$D$8)/2))</x:f>
        <x:v>906.9762483461694</x:v>
      </x:c>
      <x:c r="K659" s="17" t="n">
        <x:f>IF(AND($A659&gt;='Control Room'!$A$13,$A659&lt;'Control Room'!$A$13+'Control Room'!$B$13,'Process'!BL2=1),1+('Control Room'!$C$13-1)*EXP(-0.5*(($A659-'Control Room'!$A$13-('Control Room'!$B$13-1)/2)/MAX(0.5,'Control Room'!$B$13/4))^2),1)*IF(AND($A659&gt;='Control Room'!$A$14,$A659&lt;'Control Room'!$A$14+'Control Room'!$B$14,'Process'!BL3=1),1+('Control Room'!$C$14-1)*EXP(-0.5*(($A659-'Control Room'!$A$14-('Control Room'!$B$14-1)/2)/MAX(0.5,'Control Room'!$B$14/4))^2),1)*IF(AND($A659&gt;='Control Room'!$A$15,$A659&lt;'Control Room'!$A$15+'Control Room'!$B$15,'Process'!BL4=1),1+('Control Room'!$C$15-1)*EXP(-0.5*(($A659-'Control Room'!$A$15-('Control Room'!$B$15-1)/2)/MAX(0.5,'Control Room'!$B$15/4))^2),1)*IF(AND($A659&gt;='Control Room'!$A$16,$A659&lt;'Control Room'!$A$16+'Control Room'!$B$16,'Process'!BL5=1),1+('Control Room'!$C$16-1)*EXP(-0.5*(($A659-'Control Room'!$A$16-('Control Room'!$B$16-1)/2)/MAX(0.5,'Control Room'!$B$16/4))^2),1)</x:f>
        <x:v>1</x:v>
      </x:c>
      <x:c r="L659" s="9" t="n">
        <x:f>MOD(M658*16807,2147483647)</x:f>
        <x:v>27307120</x:v>
      </x:c>
      <x:c r="M659" s="9" t="n">
        <x:f>MOD(L659*16807,2147483647)</x:f>
        <x:v>1536749029</x:v>
      </x:c>
      <x:c r="N659" s="17" t="n">
        <x:f>IF('Control Room'!$B$5="Normal",'Control Room'!$B$7+'Control Room'!$D$7*SQRT(-2*LN(MAX(0.000000000001,L659/2147483647)))*COS(2*PI()*M659/2147483647),'Control Room'!$B$8+('Control Room'!$D$8-'Control Room'!$B$8)*L659/2147483647)</x:f>
        <x:v>942.9783090659774</x:v>
      </x:c>
      <x:c r="O659" s="17" t="n">
        <x:f>IF('Control Room'!$B$5="Normal",'Control Room'!$B$7,('Control Room'!$B$8+'Control Room'!$D$8)/2)+'Control Room'!$B$9*(O658-IF('Control Room'!$B$5="Normal",'Control Room'!$B$7,('Control Room'!$B$8+'Control Room'!$D$8)/2))+SQRT(1-'Control Room'!$B$9^2)*(N659-IF('Control Room'!$B$5="Normal",'Control Room'!$B$7,('Control Room'!$B$8+'Control Room'!$D$8)/2))</x:f>
        <x:v>964.9540318228374</x:v>
      </x:c>
      <x:c r="P659" s="17" t="n">
        <x:f>IF(AND($A659&gt;='Control Room'!$A$13,$A659&lt;'Control Room'!$A$13+'Control Room'!$B$13,'Process'!BM2=1),1+('Control Room'!$C$13-1)*EXP(-0.5*(($A659-'Control Room'!$A$13-('Control Room'!$B$13-1)/2)/MAX(0.5,'Control Room'!$B$13/4))^2),1)*IF(AND($A659&gt;='Control Room'!$A$14,$A659&lt;'Control Room'!$A$14+'Control Room'!$B$14,'Process'!BM3=1),1+('Control Room'!$C$14-1)*EXP(-0.5*(($A659-'Control Room'!$A$14-('Control Room'!$B$14-1)/2)/MAX(0.5,'Control Room'!$B$14/4))^2),1)*IF(AND($A659&gt;='Control Room'!$A$15,$A659&lt;'Control Room'!$A$15+'Control Room'!$B$15,'Process'!BM4=1),1+('Control Room'!$C$15-1)*EXP(-0.5*(($A659-'Control Room'!$A$15-('Control Room'!$B$15-1)/2)/MAX(0.5,'Control Room'!$B$15/4))^2),1)*IF(AND($A659&gt;='Control Room'!$A$16,$A659&lt;'Control Room'!$A$16+'Control Room'!$B$16,'Process'!BM5=1),1+('Control Room'!$C$16-1)*EXP(-0.5*(($A659-'Control Room'!$A$16-('Control Room'!$B$16-1)/2)/MAX(0.5,'Control Room'!$B$16/4))^2),1)</x:f>
        <x:v>1</x:v>
      </x:c>
      <x:c r="Q659" s="9" t="n">
        <x:f>MOD(R658*16807,2147483647)</x:f>
        <x:v>1141248835</x:v>
      </x:c>
      <x:c r="R659" s="9" t="n">
        <x:f>MOD(Q659*16807,2147483647)</x:f>
        <x:v>1792718488</x:v>
      </x:c>
      <x:c r="S659" s="17" t="n">
        <x:f>IF('Control Room'!$B$5="Normal",'Control Room'!$B$7+'Control Room'!$D$7*SQRT(-2*LN(MAX(0.000000000001,Q659/2147483647)))*COS(2*PI()*R659/2147483647),'Control Room'!$B$8+('Control Room'!$D$8-'Control Room'!$B$8)*Q659/2147483647)</x:f>
        <x:v>1051.404698878345</x:v>
      </x:c>
      <x:c r="T659" s="17" t="n">
        <x:f>IF('Control Room'!$B$5="Normal",'Control Room'!$B$7,('Control Room'!$B$8+'Control Room'!$D$8)/2)+'Control Room'!$B$9*(T658-IF('Control Room'!$B$5="Normal",'Control Room'!$B$7,('Control Room'!$B$8+'Control Room'!$D$8)/2))+SQRT(1-'Control Room'!$B$9^2)*(S659-IF('Control Room'!$B$5="Normal",'Control Room'!$B$7,('Control Room'!$B$8+'Control Room'!$D$8)/2))</x:f>
        <x:v>1008.4084307501182</x:v>
      </x:c>
      <x:c r="U659" s="17" t="n">
        <x:f>IF(AND($A659&gt;='Control Room'!$A$13,$A659&lt;'Control Room'!$A$13+'Control Room'!$B$13,'Process'!BN2=1),1+('Control Room'!$C$13-1)*EXP(-0.5*(($A659-'Control Room'!$A$13-('Control Room'!$B$13-1)/2)/MAX(0.5,'Control Room'!$B$13/4))^2),1)*IF(AND($A659&gt;='Control Room'!$A$14,$A659&lt;'Control Room'!$A$14+'Control Room'!$B$14,'Process'!BN3=1),1+('Control Room'!$C$14-1)*EXP(-0.5*(($A659-'Control Room'!$A$14-('Control Room'!$B$14-1)/2)/MAX(0.5,'Control Room'!$B$14/4))^2),1)*IF(AND($A659&gt;='Control Room'!$A$15,$A659&lt;'Control Room'!$A$15+'Control Room'!$B$15,'Process'!BN4=1),1+('Control Room'!$C$15-1)*EXP(-0.5*(($A659-'Control Room'!$A$15-('Control Room'!$B$15-1)/2)/MAX(0.5,'Control Room'!$B$15/4))^2),1)*IF(AND($A659&gt;='Control Room'!$A$16,$A659&lt;'Control Room'!$A$16+'Control Room'!$B$16,'Process'!BN5=1),1+('Control Room'!$C$16-1)*EXP(-0.5*(($A659-'Control Room'!$A$16-('Control Room'!$B$16-1)/2)/MAX(0.5,'Control Room'!$B$16/4))^2),1)</x:f>
        <x:v>1</x:v>
      </x:c>
      <x:c r="V659" s="9" t="n">
        <x:f>MOD(W658*16807,2147483647)</x:f>
        <x:v>107706903</x:v>
      </x:c>
      <x:c r="W659" s="9" t="n">
        <x:f>MOD(V659*16807,2147483647)</x:f>
        <x:v>2048687947</x:v>
      </x:c>
      <x:c r="X659" s="17" t="n">
        <x:f>IF('Control Room'!$B$5="Normal",'Control Room'!$B$7+'Control Room'!$D$7*SQRT(-2*LN(MAX(0.000000000001,V659/2147483647)))*COS(2*PI()*W659/2147483647),'Control Room'!$B$8+('Control Room'!$D$8-'Control Room'!$B$8)*V659/2147483647)</x:f>
        <x:v>1211.0485093065952</x:v>
      </x:c>
      <x:c r="Y659" s="17" t="n">
        <x:f>IF('Control Room'!$B$5="Normal",'Control Room'!$B$7,('Control Room'!$B$8+'Control Room'!$D$8)/2)+'Control Room'!$B$9*(Y658-IF('Control Room'!$B$5="Normal",'Control Room'!$B$7,('Control Room'!$B$8+'Control Room'!$D$8)/2))+SQRT(1-'Control Room'!$B$9^2)*(X659-IF('Control Room'!$B$5="Normal",'Control Room'!$B$7,('Control Room'!$B$8+'Control Room'!$D$8)/2))</x:f>
        <x:v>1125.7848957607193</x:v>
      </x:c>
      <x:c r="Z659" s="17" t="n">
        <x:f>IF(AND($A659&gt;='Control Room'!$A$13,$A659&lt;'Control Room'!$A$13+'Control Room'!$B$13,'Process'!BO2=1),1+('Control Room'!$C$13-1)*EXP(-0.5*(($A659-'Control Room'!$A$13-('Control Room'!$B$13-1)/2)/MAX(0.5,'Control Room'!$B$13/4))^2),1)*IF(AND($A659&gt;='Control Room'!$A$14,$A659&lt;'Control Room'!$A$14+'Control Room'!$B$14,'Process'!BO3=1),1+('Control Room'!$C$14-1)*EXP(-0.5*(($A659-'Control Room'!$A$14-('Control Room'!$B$14-1)/2)/MAX(0.5,'Control Room'!$B$14/4))^2),1)*IF(AND($A659&gt;='Control Room'!$A$15,$A659&lt;'Control Room'!$A$15+'Control Room'!$B$15,'Process'!BO4=1),1+('Control Room'!$C$15-1)*EXP(-0.5*(($A659-'Control Room'!$A$15-('Control Room'!$B$15-1)/2)/MAX(0.5,'Control Room'!$B$15/4))^2),1)*IF(AND($A659&gt;='Control Room'!$A$16,$A659&lt;'Control Room'!$A$16+'Control Room'!$B$16,'Process'!BO5=1),1+('Control Room'!$C$16-1)*EXP(-0.5*(($A659-'Control Room'!$A$16-('Control Room'!$B$16-1)/2)/MAX(0.5,'Control Room'!$B$16/4))^2),1)</x:f>
        <x:v>1</x:v>
      </x:c>
      <x:c r="AA659" s="9" t="n">
        <x:f>MOD(AB658*16807,2147483647)</x:f>
        <x:v>1221648618</x:v>
      </x:c>
      <x:c r="AB659" s="9" t="n">
        <x:f>MOD(AA659*16807,2147483647)</x:f>
        <x:v>157173759</x:v>
      </x:c>
      <x:c r="AC659" s="17" t="n">
        <x:f>IF('Control Room'!$B$5="Normal",'Control Room'!$B$7+'Control Room'!$D$7*SQRT(-2*LN(MAX(0.000000000001,AA659/2147483647)))*COS(2*PI()*AB659/2147483647),'Control Room'!$B$8+('Control Room'!$D$8-'Control Room'!$B$8)*AA659/2147483647)</x:f>
        <x:v>1085.6636133415116</x:v>
      </x:c>
      <x:c r="AD659" s="17" t="n">
        <x:f>IF('Control Room'!$B$5="Normal",'Control Room'!$B$7,('Control Room'!$B$8+'Control Room'!$D$8)/2)+'Control Room'!$B$9*(AD658-IF('Control Room'!$B$5="Normal",'Control Room'!$B$7,('Control Room'!$B$8+'Control Room'!$D$8)/2))+SQRT(1-'Control Room'!$B$9^2)*(AC659-IF('Control Room'!$B$5="Normal",'Control Room'!$B$7,('Control Room'!$B$8+'Control Room'!$D$8)/2))</x:f>
        <x:v>1058.2058495261347</x:v>
      </x:c>
      <x:c r="AE659" s="17" t="n">
        <x:f>IF(AND($A659&gt;='Control Room'!$A$13,$A659&lt;'Control Room'!$A$13+'Control Room'!$B$13,'Process'!BP2=1),1+('Control Room'!$C$13-1)*EXP(-0.5*(($A659-'Control Room'!$A$13-('Control Room'!$B$13-1)/2)/MAX(0.5,'Control Room'!$B$13/4))^2),1)*IF(AND($A659&gt;='Control Room'!$A$14,$A659&lt;'Control Room'!$A$14+'Control Room'!$B$14,'Process'!BP3=1),1+('Control Room'!$C$14-1)*EXP(-0.5*(($A659-'Control Room'!$A$14-('Control Room'!$B$14-1)/2)/MAX(0.5,'Control Room'!$B$14/4))^2),1)*IF(AND($A659&gt;='Control Room'!$A$15,$A659&lt;'Control Room'!$A$15+'Control Room'!$B$15,'Process'!BP4=1),1+('Control Room'!$C$15-1)*EXP(-0.5*(($A659-'Control Room'!$A$15-('Control Room'!$B$15-1)/2)/MAX(0.5,'Control Room'!$B$15/4))^2),1)*IF(AND($A659&gt;='Control Room'!$A$16,$A659&lt;'Control Room'!$A$16+'Control Room'!$B$16,'Process'!BP5=1),1+('Control Room'!$C$16-1)*EXP(-0.5*(($A659-'Control Room'!$A$16-('Control Room'!$B$16-1)/2)/MAX(0.5,'Control Room'!$B$16/4))^2),1)</x:f>
        <x:v>1</x:v>
      </x:c>
      <x:c r="AF659" s="9" t="n">
        <x:f>MOD(AG658*16807,2147483647)</x:f>
        <x:v>188106686</x:v>
      </x:c>
      <x:c r="AG659" s="9" t="n">
        <x:f>MOD(AF659*16807,2147483647)</x:f>
        <x:v>413143218</x:v>
      </x:c>
      <x:c r="AH659" s="17" t="n">
        <x:f>IF('Control Room'!$B$5="Normal",'Control Room'!$B$7+'Control Room'!$D$7*SQRT(-2*LN(MAX(0.000000000001,AF659/2147483647)))*COS(2*PI()*AG659/2147483647),'Control Room'!$B$8+('Control Room'!$D$8-'Control Room'!$B$8)*AF659/2147483647)</x:f>
        <x:v>1070.339664708483</x:v>
      </x:c>
      <x:c r="AI659" s="17" t="n">
        <x:f>IF('Control Room'!$B$5="Normal",'Control Room'!$B$7,('Control Room'!$B$8+'Control Room'!$D$8)/2)+'Control Room'!$B$9*(AI658-IF('Control Room'!$B$5="Normal",'Control Room'!$B$7,('Control Room'!$B$8+'Control Room'!$D$8)/2))+SQRT(1-'Control Room'!$B$9^2)*(AH659-IF('Control Room'!$B$5="Normal",'Control Room'!$B$7,('Control Room'!$B$8+'Control Room'!$D$8)/2))</x:f>
        <x:v>965.0269256863018</x:v>
      </x:c>
      <x:c r="AJ659" s="17" t="n">
        <x:f>IF(AND($A659&gt;='Control Room'!$A$13,$A659&lt;'Control Room'!$A$13+'Control Room'!$B$13,'Process'!BQ2=1),1+('Control Room'!$C$13-1)*EXP(-0.5*(($A659-'Control Room'!$A$13-('Control Room'!$B$13-1)/2)/MAX(0.5,'Control Room'!$B$13/4))^2),1)*IF(AND($A659&gt;='Control Room'!$A$14,$A659&lt;'Control Room'!$A$14+'Control Room'!$B$14,'Process'!BQ3=1),1+('Control Room'!$C$14-1)*EXP(-0.5*(($A659-'Control Room'!$A$14-('Control Room'!$B$14-1)/2)/MAX(0.5,'Control Room'!$B$14/4))^2),1)*IF(AND($A659&gt;='Control Room'!$A$15,$A659&lt;'Control Room'!$A$15+'Control Room'!$B$15,'Process'!BQ4=1),1+('Control Room'!$C$15-1)*EXP(-0.5*(($A659-'Control Room'!$A$15-('Control Room'!$B$15-1)/2)/MAX(0.5,'Control Room'!$B$15/4))^2),1)*IF(AND($A659&gt;='Control Room'!$A$16,$A659&lt;'Control Room'!$A$16+'Control Room'!$B$16,'Process'!BQ5=1),1+('Control Room'!$C$16-1)*EXP(-0.5*(($A659-'Control Room'!$A$16-('Control Room'!$B$16-1)/2)/MAX(0.5,'Control Room'!$B$16/4))^2),1)</x:f>
        <x:v>1</x:v>
      </x:c>
      <x:c r="AK659" s="9" t="n">
        <x:f>MOD(AL658*16807,2147483647)</x:f>
        <x:v>1302048401</x:v>
      </x:c>
      <x:c r="AL659" s="9" t="n">
        <x:f>MOD(AK659*16807,2147483647)</x:f>
        <x:v>669112677</x:v>
      </x:c>
      <x:c r="AM659" s="17" t="n">
        <x:f>IF('Control Room'!$B$5="Normal",'Control Room'!$B$7+'Control Room'!$D$7*SQRT(-2*LN(MAX(0.000000000001,AK659/2147483647)))*COS(2*PI()*AL659/2147483647),'Control Room'!$B$8+('Control Room'!$D$8-'Control Room'!$B$8)*AK659/2147483647)</x:f>
        <x:v>966.0276207748275</x:v>
      </x:c>
      <x:c r="AN659" s="17" t="n">
        <x:f>IF('Control Room'!$B$5="Normal",'Control Room'!$B$7,('Control Room'!$B$8+'Control Room'!$D$8)/2)+'Control Room'!$B$9*(AN658-IF('Control Room'!$B$5="Normal",'Control Room'!$B$7,('Control Room'!$B$8+'Control Room'!$D$8)/2))+SQRT(1-'Control Room'!$B$9^2)*(AM659-IF('Control Room'!$B$5="Normal",'Control Room'!$B$7,('Control Room'!$B$8+'Control Room'!$D$8)/2))</x:f>
        <x:v>1013.6473475561303</x:v>
      </x:c>
      <x:c r="AO659" s="17" t="n">
        <x:f>IF(AND($A659&gt;='Control Room'!$A$13,$A659&lt;'Control Room'!$A$13+'Control Room'!$B$13,'Process'!BR2=1),1+('Control Room'!$C$13-1)*EXP(-0.5*(($A659-'Control Room'!$A$13-('Control Room'!$B$13-1)/2)/MAX(0.5,'Control Room'!$B$13/4))^2),1)*IF(AND($A659&gt;='Control Room'!$A$14,$A659&lt;'Control Room'!$A$14+'Control Room'!$B$14,'Process'!BR3=1),1+('Control Room'!$C$14-1)*EXP(-0.5*(($A659-'Control Room'!$A$14-('Control Room'!$B$14-1)/2)/MAX(0.5,'Control Room'!$B$14/4))^2),1)*IF(AND($A659&gt;='Control Room'!$A$15,$A659&lt;'Control Room'!$A$15+'Control Room'!$B$15,'Process'!BR4=1),1+('Control Room'!$C$15-1)*EXP(-0.5*(($A659-'Control Room'!$A$15-('Control Room'!$B$15-1)/2)/MAX(0.5,'Control Room'!$B$15/4))^2),1)*IF(AND($A659&gt;='Control Room'!$A$16,$A659&lt;'Control Room'!$A$16+'Control Room'!$B$16,'Process'!BR5=1),1+('Control Room'!$C$16-1)*EXP(-0.5*(($A659-'Control Room'!$A$16-('Control Room'!$B$16-1)/2)/MAX(0.5,'Control Room'!$B$16/4))^2),1)</x:f>
        <x:v>1</x:v>
      </x:c>
      <x:c r="AP659" s="9" t="n">
        <x:f>MOD(AQ658*16807,2147483647)</x:f>
        <x:v>268506469</x:v>
      </x:c>
      <x:c r="AQ659" s="9" t="n">
        <x:f>MOD(AP659*16807,2147483647)</x:f>
        <x:v>925082136</x:v>
      </x:c>
      <x:c r="AR659" s="17" t="n">
        <x:f>IF('Control Room'!$B$5="Normal",'Control Room'!$B$7+'Control Room'!$D$7*SQRT(-2*LN(MAX(0.000000000001,AP659/2147483647)))*COS(2*PI()*AQ659/2147483647),'Control Room'!$B$8+('Control Room'!$D$8-'Control Room'!$B$8)*AP659/2147483647)</x:f>
        <x:v>833.5600401085989</x:v>
      </x:c>
      <x:c r="AS659" s="17" t="n">
        <x:f>IF('Control Room'!$B$5="Normal",'Control Room'!$B$7,('Control Room'!$B$8+'Control Room'!$D$8)/2)+'Control Room'!$B$9*(AS658-IF('Control Room'!$B$5="Normal",'Control Room'!$B$7,('Control Room'!$B$8+'Control Room'!$D$8)/2))+SQRT(1-'Control Room'!$B$9^2)*(AR659-IF('Control Room'!$B$5="Normal",'Control Room'!$B$7,('Control Room'!$B$8+'Control Room'!$D$8)/2))</x:f>
        <x:v>948.5747750575003</x:v>
      </x:c>
      <x:c r="AT659" s="17" t="n">
        <x:f>IF(AND($A659&gt;='Control Room'!$A$13,$A659&lt;'Control Room'!$A$13+'Control Room'!$B$13,'Process'!BS2=1),1+('Control Room'!$C$13-1)*EXP(-0.5*(($A659-'Control Room'!$A$13-('Control Room'!$B$13-1)/2)/MAX(0.5,'Control Room'!$B$13/4))^2),1)*IF(AND($A659&gt;='Control Room'!$A$14,$A659&lt;'Control Room'!$A$14+'Control Room'!$B$14,'Process'!BS3=1),1+('Control Room'!$C$14-1)*EXP(-0.5*(($A659-'Control Room'!$A$14-('Control Room'!$B$14-1)/2)/MAX(0.5,'Control Room'!$B$14/4))^2),1)*IF(AND($A659&gt;='Control Room'!$A$15,$A659&lt;'Control Room'!$A$15+'Control Room'!$B$15,'Process'!BS4=1),1+('Control Room'!$C$15-1)*EXP(-0.5*(($A659-'Control Room'!$A$15-('Control Room'!$B$15-1)/2)/MAX(0.5,'Control Room'!$B$15/4))^2),1)*IF(AND($A659&gt;='Control Room'!$A$16,$A659&lt;'Control Room'!$A$16+'Control Room'!$B$16,'Process'!BS5=1),1+('Control Room'!$C$16-1)*EXP(-0.5*(($A659-'Control Room'!$A$16-('Control Room'!$B$16-1)/2)/MAX(0.5,'Control Room'!$B$16/4))^2),1)</x:f>
        <x:v>1</x:v>
      </x:c>
      <x:c r="AU659" s="9" t="n">
        <x:f>MOD(AV658*16807,2147483647)</x:f>
        <x:v>1382448184</x:v>
      </x:c>
      <x:c r="AV659" s="9" t="n">
        <x:f>MOD(AU659*16807,2147483647)</x:f>
        <x:v>1181051595</x:v>
      </x:c>
      <x:c r="AW659" s="17" t="n">
        <x:f>IF('Control Room'!$B$5="Normal",'Control Room'!$B$7+'Control Room'!$D$7*SQRT(-2*LN(MAX(0.000000000001,AU659/2147483647)))*COS(2*PI()*AV659/2147483647),'Control Room'!$B$8+('Control Room'!$D$8-'Control Room'!$B$8)*AU659/2147483647)</x:f>
        <x:v>919.6595644223054</x:v>
      </x:c>
      <x:c r="AX659" s="17" t="n">
        <x:f>IF('Control Room'!$B$5="Normal",'Control Room'!$B$7,('Control Room'!$B$8+'Control Room'!$D$8)/2)+'Control Room'!$B$9*(AX658-IF('Control Room'!$B$5="Normal",'Control Room'!$B$7,('Control Room'!$B$8+'Control Room'!$D$8)/2))+SQRT(1-'Control Room'!$B$9^2)*(AW659-IF('Control Room'!$B$5="Normal",'Control Room'!$B$7,('Control Room'!$B$8+'Control Room'!$D$8)/2))</x:f>
        <x:v>962.5463384314717</x:v>
      </x:c>
      <x:c r="AY659" s="17" t="n">
        <x:f>IF(AND($A659&gt;='Control Room'!$A$13,$A659&lt;'Control Room'!$A$13+'Control Room'!$B$13,'Process'!BT2=1),1+('Control Room'!$C$13-1)*EXP(-0.5*(($A659-'Control Room'!$A$13-('Control Room'!$B$13-1)/2)/MAX(0.5,'Control Room'!$B$13/4))^2),1)*IF(AND($A659&gt;='Control Room'!$A$14,$A659&lt;'Control Room'!$A$14+'Control Room'!$B$14,'Process'!BT3=1),1+('Control Room'!$C$14-1)*EXP(-0.5*(($A659-'Control Room'!$A$14-('Control Room'!$B$14-1)/2)/MAX(0.5,'Control Room'!$B$14/4))^2),1)*IF(AND($A659&gt;='Control Room'!$A$15,$A659&lt;'Control Room'!$A$15+'Control Room'!$B$15,'Process'!BT4=1),1+('Control Room'!$C$15-1)*EXP(-0.5*(($A659-'Control Room'!$A$15-('Control Room'!$B$15-1)/2)/MAX(0.5,'Control Room'!$B$15/4))^2),1)*IF(AND($A659&gt;='Control Room'!$A$16,$A659&lt;'Control Room'!$A$16+'Control Room'!$B$16,'Process'!BT5=1),1+('Control Room'!$C$16-1)*EXP(-0.5*(($A659-'Control Room'!$A$16-('Control Room'!$B$16-1)/2)/MAX(0.5,'Control Room'!$B$16/4))^2),1)</x:f>
        <x:v>1</x:v>
      </x:c>
      <x:c r="AZ659" s="9" t="n">
        <x:f>MOD(BA658*16807,2147483647)</x:f>
        <x:v>348906252</x:v>
      </x:c>
      <x:c r="BA659" s="9" t="n">
        <x:f>MOD(AZ659*16807,2147483647)</x:f>
        <x:v>1437021054</x:v>
      </x:c>
      <x:c r="BB659" s="17" t="n">
        <x:f>IF('Control Room'!$B$5="Normal",'Control Room'!$B$7+'Control Room'!$D$7*SQRT(-2*LN(MAX(0.000000000001,AZ659/2147483647)))*COS(2*PI()*BA659/2147483647),'Control Room'!$B$8+('Control Room'!$D$8-'Control Room'!$B$8)*AZ659/2147483647)</x:f>
        <x:v>916.5534527662809</x:v>
      </x:c>
      <x:c r="BC659" s="17" t="n">
        <x:f>IF('Control Room'!$B$5="Normal",'Control Room'!$B$7,('Control Room'!$B$8+'Control Room'!$D$8)/2)+'Control Room'!$B$9*(BC658-IF('Control Room'!$B$5="Normal",'Control Room'!$B$7,('Control Room'!$B$8+'Control Room'!$D$8)/2))+SQRT(1-'Control Room'!$B$9^2)*(BB659-IF('Control Room'!$B$5="Normal",'Control Room'!$B$7,('Control Room'!$B$8+'Control Room'!$D$8)/2))</x:f>
        <x:v>972.2822840011906</x:v>
      </x:c>
      <x:c r="BD659" s="17" t="n">
        <x:f>IF(AND($A659&gt;='Control Room'!$A$13,$A659&lt;'Control Room'!$A$13+'Control Room'!$B$13,'Process'!BU2=1),1+('Control Room'!$C$13-1)*EXP(-0.5*(($A659-'Control Room'!$A$13-('Control Room'!$B$13-1)/2)/MAX(0.5,'Control Room'!$B$13/4))^2),1)*IF(AND($A659&gt;='Control Room'!$A$14,$A659&lt;'Control Room'!$A$14+'Control Room'!$B$14,'Process'!BU3=1),1+('Control Room'!$C$14-1)*EXP(-0.5*(($A659-'Control Room'!$A$14-('Control Room'!$B$14-1)/2)/MAX(0.5,'Control Room'!$B$14/4))^2),1)*IF(AND($A659&gt;='Control Room'!$A$15,$A659&lt;'Control Room'!$A$15+'Control Room'!$B$15,'Process'!BU4=1),1+('Control Room'!$C$15-1)*EXP(-0.5*(($A659-'Control Room'!$A$15-('Control Room'!$B$15-1)/2)/MAX(0.5,'Control Room'!$B$15/4))^2),1)*IF(AND($A659&gt;='Control Room'!$A$16,$A659&lt;'Control Room'!$A$16+'Control Room'!$B$16,'Process'!BU5=1),1+('Control Room'!$C$16-1)*EXP(-0.5*(($A659-'Control Room'!$A$16-('Control Room'!$B$16-1)/2)/MAX(0.5,'Control Room'!$B$16/4))^2),1)</x:f>
        <x:v>1</x:v>
      </x:c>
      <x:c r="BE659" s="9" t="n">
        <x:f>MOD(BF658*16807,2147483647)</x:f>
        <x:v>1462847967</x:v>
      </x:c>
      <x:c r="BF659" s="9" t="n">
        <x:f>MOD(BE659*16807,2147483647)</x:f>
        <x:v>1692990513</x:v>
      </x:c>
      <x:c r="BG659" s="17" t="n">
        <x:f>IF('Control Room'!$B$5="Normal",'Control Room'!$B$7+'Control Room'!$D$7*SQRT(-2*LN(MAX(0.000000000001,BE659/2147483647)))*COS(2*PI()*BF659/2147483647),'Control Room'!$B$8+('Control Room'!$D$8-'Control Room'!$B$8)*BE659/2147483647)</x:f>
        <x:v>1018.8243560848891</x:v>
      </x:c>
      <x:c r="BH659" s="17" t="n">
        <x:f>IF('Control Room'!$B$5="Normal",'Control Room'!$B$7,('Control Room'!$B$8+'Control Room'!$D$8)/2)+'Control Room'!$B$9*(BH658-IF('Control Room'!$B$5="Normal",'Control Room'!$B$7,('Control Room'!$B$8+'Control Room'!$D$8)/2))+SQRT(1-'Control Room'!$B$9^2)*(BG659-IF('Control Room'!$B$5="Normal",'Control Room'!$B$7,('Control Room'!$B$8+'Control Room'!$D$8)/2))</x:f>
        <x:v>935.3436332208336</x:v>
      </x:c>
      <x:c r="BI659" s="17" t="n">
        <x:f>IF(AND($A659&gt;='Control Room'!$A$13,$A659&lt;'Control Room'!$A$13+'Control Room'!$B$13,'Process'!BV2=1),1+('Control Room'!$C$13-1)*EXP(-0.5*(($A659-'Control Room'!$A$13-('Control Room'!$B$13-1)/2)/MAX(0.5,'Control Room'!$B$13/4))^2),1)*IF(AND($A659&gt;='Control Room'!$A$14,$A659&lt;'Control Room'!$A$14+'Control Room'!$B$14,'Process'!BV3=1),1+('Control Room'!$C$14-1)*EXP(-0.5*(($A659-'Control Room'!$A$14-('Control Room'!$B$14-1)/2)/MAX(0.5,'Control Room'!$B$14/4))^2),1)*IF(AND($A659&gt;='Control Room'!$A$15,$A659&lt;'Control Room'!$A$15+'Control Room'!$B$15,'Process'!BV4=1),1+('Control Room'!$C$15-1)*EXP(-0.5*(($A659-'Control Room'!$A$15-('Control Room'!$B$15-1)/2)/MAX(0.5,'Control Room'!$B$15/4))^2),1)*IF(AND($A659&gt;='Control Room'!$A$16,$A659&lt;'Control Room'!$A$16+'Control Room'!$B$16,'Process'!BV5=1),1+('Control Room'!$C$16-1)*EXP(-0.5*(($A659-'Control Room'!$A$16-('Control Room'!$B$16-1)/2)/MAX(0.5,'Control Room'!$B$16/4))^2),1)</x:f>
        <x:v>1</x:v>
      </x:c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Z659" t="str">
        <x:f>IF('Data'!A659="","",TEXT('Data'!A659,"mm-dd"))</x:f>
      </x:c>
    </x:row>
    <x:row r="660" ht="21" customHeight="1">
      <x:c r="A660" s="15" t="n">
        <x:f>'Control Room'!$B$1+658</x:f>
        <x:v>73649</x:v>
      </x:c>
      <x:c r="B660" s="9" t="n">
        <x:f>MOD(C659*16807,2147483647)</x:f>
        <x:v>1164686637</x:v>
      </x:c>
      <x:c r="C660" s="9" t="n">
        <x:f>MOD(B660*16807,2147483647)</x:f>
        <x:v>574865654</x:v>
      </x:c>
      <x:c r="D660" s="17" t="n">
        <x:f>IF('Control Room'!$B$5="Normal",'Control Room'!$B$7+'Control Room'!$D$7*SQRT(-2*LN(MAX(0.000000000001,B660/2147483647)))*COS(2*PI()*C660/2147483647),'Control Room'!$B$8+('Control Room'!$D$8-'Control Room'!$B$8)*B660/2147483647)</x:f>
        <x:v>988.955228320509</x:v>
      </x:c>
      <x:c r="E660" s="17" t="n">
        <x:f>IF('Control Room'!$B$5="Normal",'Control Room'!$B$7,('Control Room'!$B$8+'Control Room'!$D$8)/2)+'Control Room'!$B$9*(E659-IF('Control Room'!$B$5="Normal",'Control Room'!$B$7,('Control Room'!$B$8+'Control Room'!$D$8)/2))+SQRT(1-'Control Room'!$B$9^2)*(D660-IF('Control Room'!$B$5="Normal",'Control Room'!$B$7,('Control Room'!$B$8+'Control Room'!$D$8)/2))</x:f>
        <x:v>976.9925061146484</x:v>
      </x:c>
      <x:c r="F660" s="17" t="n">
        <x:f>IF(AND($A660&gt;='Control Room'!$A$13,$A660&lt;'Control Room'!$A$13+'Control Room'!$B$13,'Process'!BK2=1),1+('Control Room'!$C$13-1)*EXP(-0.5*(($A660-'Control Room'!$A$13-('Control Room'!$B$13-1)/2)/MAX(0.5,'Control Room'!$B$13/4))^2),1)*IF(AND($A660&gt;='Control Room'!$A$14,$A660&lt;'Control Room'!$A$14+'Control Room'!$B$14,'Process'!BK3=1),1+('Control Room'!$C$14-1)*EXP(-0.5*(($A660-'Control Room'!$A$14-('Control Room'!$B$14-1)/2)/MAX(0.5,'Control Room'!$B$14/4))^2),1)*IF(AND($A660&gt;='Control Room'!$A$15,$A660&lt;'Control Room'!$A$15+'Control Room'!$B$15,'Process'!BK4=1),1+('Control Room'!$C$15-1)*EXP(-0.5*(($A660-'Control Room'!$A$15-('Control Room'!$B$15-1)/2)/MAX(0.5,'Control Room'!$B$15/4))^2),1)*IF(AND($A660&gt;='Control Room'!$A$16,$A660&lt;'Control Room'!$A$16+'Control Room'!$B$16,'Process'!BK5=1),1+('Control Room'!$C$16-1)*EXP(-0.5*(($A660-'Control Room'!$A$16-('Control Room'!$B$16-1)/2)/MAX(0.5,'Control Room'!$B$16/4))^2),1)</x:f>
        <x:v>1</x:v>
      </x:c>
      <x:c r="G660" s="9" t="n">
        <x:f>MOD(H659*16807,2147483647)</x:f>
        <x:v>1833639109</x:v>
      </x:c>
      <x:c r="H660" s="9" t="n">
        <x:f>MOD(G660*16807,2147483647)</x:f>
        <x:v>1582170513</x:v>
      </x:c>
      <x:c r="I660" s="17" t="n">
        <x:f>IF('Control Room'!$B$5="Normal",'Control Room'!$B$7+'Control Room'!$D$7*SQRT(-2*LN(MAX(0.000000000001,G660/2147483647)))*COS(2*PI()*H660/2147483647),'Control Room'!$B$8+('Control Room'!$D$8-'Control Room'!$B$8)*G660/2147483647)</x:f>
        <x:v>995.7947655546631</x:v>
      </x:c>
      <x:c r="J660" s="17" t="n">
        <x:f>IF('Control Room'!$B$5="Normal",'Control Room'!$B$7,('Control Room'!$B$8+'Control Room'!$D$8)/2)+'Control Room'!$B$9*(J659-IF('Control Room'!$B$5="Normal",'Control Room'!$B$7,('Control Room'!$B$8+'Control Room'!$D$8)/2))+SQRT(1-'Control Room'!$B$9^2)*(I660-IF('Control Room'!$B$5="Normal",'Control Room'!$B$7,('Control Room'!$B$8+'Control Room'!$D$8)/2))</x:f>
        <x:v>924.8099241430305</x:v>
      </x:c>
      <x:c r="K660" s="17" t="n">
        <x:f>IF(AND($A660&gt;='Control Room'!$A$13,$A660&lt;'Control Room'!$A$13+'Control Room'!$B$13,'Process'!BL2=1),1+('Control Room'!$C$13-1)*EXP(-0.5*(($A660-'Control Room'!$A$13-('Control Room'!$B$13-1)/2)/MAX(0.5,'Control Room'!$B$13/4))^2),1)*IF(AND($A660&gt;='Control Room'!$A$14,$A660&lt;'Control Room'!$A$14+'Control Room'!$B$14,'Process'!BL3=1),1+('Control Room'!$C$14-1)*EXP(-0.5*(($A660-'Control Room'!$A$14-('Control Room'!$B$14-1)/2)/MAX(0.5,'Control Room'!$B$14/4))^2),1)*IF(AND($A660&gt;='Control Room'!$A$15,$A660&lt;'Control Room'!$A$15+'Control Room'!$B$15,'Process'!BL4=1),1+('Control Room'!$C$15-1)*EXP(-0.5*(($A660-'Control Room'!$A$15-('Control Room'!$B$15-1)/2)/MAX(0.5,'Control Room'!$B$15/4))^2),1)*IF(AND($A660&gt;='Control Room'!$A$16,$A660&lt;'Control Room'!$A$16+'Control Room'!$B$16,'Process'!BL5=1),1+('Control Room'!$C$16-1)*EXP(-0.5*(($A660-'Control Room'!$A$16-('Control Room'!$B$16-1)/2)/MAX(0.5,'Control Room'!$B$16/4))^2),1)</x:f>
        <x:v>1</x:v>
      </x:c>
      <x:c r="L660" s="9" t="n">
        <x:f>MOD(M659*16807,2147483647)</x:f>
        <x:v>355107934</x:v>
      </x:c>
      <x:c r="M660" s="9" t="n">
        <x:f>MOD(L660*16807,2147483647)</x:f>
        <x:v>441991725</x:v>
      </x:c>
      <x:c r="N660" s="17" t="n">
        <x:f>IF('Control Room'!$B$5="Normal",'Control Room'!$B$7+'Control Room'!$D$7*SQRT(-2*LN(MAX(0.000000000001,L660/2147483647)))*COS(2*PI()*M660/2147483647),'Control Room'!$B$8+('Control Room'!$D$8-'Control Room'!$B$8)*L660/2147483647)</x:f>
        <x:v>1046.79266208644</x:v>
      </x:c>
      <x:c r="O660" s="17" t="n">
        <x:f>IF('Control Room'!$B$5="Normal",'Control Room'!$B$7,('Control Room'!$B$8+'Control Room'!$D$8)/2)+'Control Room'!$B$9*(O659-IF('Control Room'!$B$5="Normal",'Control Room'!$B$7,('Control Room'!$B$8+'Control Room'!$D$8)/2))+SQRT(1-'Control Room'!$B$9^2)*(N660-IF('Control Room'!$B$5="Normal",'Control Room'!$B$7,('Control Room'!$B$8+'Control Room'!$D$8)/2))</x:f>
        <x:v>1001.9460341557199</x:v>
      </x:c>
      <x:c r="P660" s="17" t="n">
        <x:f>IF(AND($A660&gt;='Control Room'!$A$13,$A660&lt;'Control Room'!$A$13+'Control Room'!$B$13,'Process'!BM2=1),1+('Control Room'!$C$13-1)*EXP(-0.5*(($A660-'Control Room'!$A$13-('Control Room'!$B$13-1)/2)/MAX(0.5,'Control Room'!$B$13/4))^2),1)*IF(AND($A660&gt;='Control Room'!$A$14,$A660&lt;'Control Room'!$A$14+'Control Room'!$B$14,'Process'!BM3=1),1+('Control Room'!$C$14-1)*EXP(-0.5*(($A660-'Control Room'!$A$14-('Control Room'!$B$14-1)/2)/MAX(0.5,'Control Room'!$B$14/4))^2),1)*IF(AND($A660&gt;='Control Room'!$A$15,$A660&lt;'Control Room'!$A$15+'Control Room'!$B$15,'Process'!BM4=1),1+('Control Room'!$C$15-1)*EXP(-0.5*(($A660-'Control Room'!$A$15-('Control Room'!$B$15-1)/2)/MAX(0.5,'Control Room'!$B$15/4))^2),1)*IF(AND($A660&gt;='Control Room'!$A$16,$A660&lt;'Control Room'!$A$16+'Control Room'!$B$16,'Process'!BM5=1),1+('Control Room'!$C$16-1)*EXP(-0.5*(($A660-'Control Room'!$A$16-('Control Room'!$B$16-1)/2)/MAX(0.5,'Control Room'!$B$16/4))^2),1)</x:f>
        <x:v>1</x:v>
      </x:c>
      <x:c r="Q660" s="9" t="n">
        <x:f>MOD(R659*16807,2147483647)</x:f>
        <x:v>1024060406</x:v>
      </x:c>
      <x:c r="R660" s="9" t="n">
        <x:f>MOD(Q660*16807,2147483647)</x:f>
        <x:v>1449296584</x:v>
      </x:c>
      <x:c r="S660" s="17" t="n">
        <x:f>IF('Control Room'!$B$5="Normal",'Control Room'!$B$7+'Control Room'!$D$7*SQRT(-2*LN(MAX(0.000000000001,Q660/2147483647)))*COS(2*PI()*R660/2147483647),'Control Room'!$B$8+('Control Room'!$D$8-'Control Room'!$B$8)*Q660/2147483647)</x:f>
        <x:v>950.2024390203395</x:v>
      </x:c>
      <x:c r="T660" s="17" t="n">
        <x:f>IF('Control Room'!$B$5="Normal",'Control Room'!$B$7,('Control Room'!$B$8+'Control Room'!$D$8)/2)+'Control Room'!$B$9*(T659-IF('Control Room'!$B$5="Normal",'Control Room'!$B$7,('Control Room'!$B$8+'Control Room'!$D$8)/2))+SQRT(1-'Control Room'!$B$9^2)*(S660-IF('Control Room'!$B$5="Normal",'Control Room'!$B$7,('Control Room'!$B$8+'Control Room'!$D$8)/2))</x:f>
        <x:v>975.3962824825079</x:v>
      </x:c>
      <x:c r="U660" s="17" t="n">
        <x:f>IF(AND($A660&gt;='Control Room'!$A$13,$A660&lt;'Control Room'!$A$13+'Control Room'!$B$13,'Process'!BN2=1),1+('Control Room'!$C$13-1)*EXP(-0.5*(($A660-'Control Room'!$A$13-('Control Room'!$B$13-1)/2)/MAX(0.5,'Control Room'!$B$13/4))^2),1)*IF(AND($A660&gt;='Control Room'!$A$14,$A660&lt;'Control Room'!$A$14+'Control Room'!$B$14,'Process'!BN3=1),1+('Control Room'!$C$14-1)*EXP(-0.5*(($A660-'Control Room'!$A$14-('Control Room'!$B$14-1)/2)/MAX(0.5,'Control Room'!$B$14/4))^2),1)*IF(AND($A660&gt;='Control Room'!$A$15,$A660&lt;'Control Room'!$A$15+'Control Room'!$B$15,'Process'!BN4=1),1+('Control Room'!$C$15-1)*EXP(-0.5*(($A660-'Control Room'!$A$15-('Control Room'!$B$15-1)/2)/MAX(0.5,'Control Room'!$B$15/4))^2),1)*IF(AND($A660&gt;='Control Room'!$A$16,$A660&lt;'Control Room'!$A$16+'Control Room'!$B$16,'Process'!BN5=1),1+('Control Room'!$C$16-1)*EXP(-0.5*(($A660-'Control Room'!$A$16-('Control Room'!$B$16-1)/2)/MAX(0.5,'Control Room'!$B$16/4))^2),1)</x:f>
        <x:v>1</x:v>
      </x:c>
      <x:c r="V660" s="9" t="n">
        <x:f>MOD(W659*16807,2147483647)</x:f>
        <x:v>1693012878</x:v>
      </x:c>
      <x:c r="W660" s="9" t="n">
        <x:f>MOD(V660*16807,2147483647)</x:f>
        <x:v>309117796</x:v>
      </x:c>
      <x:c r="X660" s="17" t="n">
        <x:f>IF('Control Room'!$B$5="Normal",'Control Room'!$B$7+'Control Room'!$D$7*SQRT(-2*LN(MAX(0.000000000001,V660/2147483647)))*COS(2*PI()*W660/2147483647),'Control Room'!$B$8+('Control Room'!$D$8-'Control Room'!$B$8)*V660/2147483647)</x:f>
        <x:v>1038.3649952343023</x:v>
      </x:c>
      <x:c r="Y660" s="17" t="n">
        <x:f>IF('Control Room'!$B$5="Normal",'Control Room'!$B$7,('Control Room'!$B$8+'Control Room'!$D$8)/2)+'Control Room'!$B$9*(Y659-IF('Control Room'!$B$5="Normal",'Control Room'!$B$7,('Control Room'!$B$8+'Control Room'!$D$8)/2))+SQRT(1-'Control Room'!$B$9^2)*(X660-IF('Control Room'!$B$5="Normal",'Control Room'!$B$7,('Control Room'!$B$8+'Control Room'!$D$8)/2))</x:f>
        <x:v>1122.1202467613398</x:v>
      </x:c>
      <x:c r="Z660" s="17" t="n">
        <x:f>IF(AND($A660&gt;='Control Room'!$A$13,$A660&lt;'Control Room'!$A$13+'Control Room'!$B$13,'Process'!BO2=1),1+('Control Room'!$C$13-1)*EXP(-0.5*(($A660-'Control Room'!$A$13-('Control Room'!$B$13-1)/2)/MAX(0.5,'Control Room'!$B$13/4))^2),1)*IF(AND($A660&gt;='Control Room'!$A$14,$A660&lt;'Control Room'!$A$14+'Control Room'!$B$14,'Process'!BO3=1),1+('Control Room'!$C$14-1)*EXP(-0.5*(($A660-'Control Room'!$A$14-('Control Room'!$B$14-1)/2)/MAX(0.5,'Control Room'!$B$14/4))^2),1)*IF(AND($A660&gt;='Control Room'!$A$15,$A660&lt;'Control Room'!$A$15+'Control Room'!$B$15,'Process'!BO4=1),1+('Control Room'!$C$15-1)*EXP(-0.5*(($A660-'Control Room'!$A$15-('Control Room'!$B$15-1)/2)/MAX(0.5,'Control Room'!$B$15/4))^2),1)*IF(AND($A660&gt;='Control Room'!$A$16,$A660&lt;'Control Room'!$A$16+'Control Room'!$B$16,'Process'!BO5=1),1+('Control Room'!$C$16-1)*EXP(-0.5*(($A660-'Control Room'!$A$16-('Control Room'!$B$16-1)/2)/MAX(0.5,'Control Room'!$B$16/4))^2),1)</x:f>
        <x:v>1</x:v>
      </x:c>
      <x:c r="AA660" s="9" t="n">
        <x:f>MOD(AB659*16807,2147483647)</x:f>
        <x:v>214481703</x:v>
      </x:c>
      <x:c r="AB660" s="9" t="n">
        <x:f>MOD(AA660*16807,2147483647)</x:f>
        <x:v>1316422655</x:v>
      </x:c>
      <x:c r="AC660" s="17" t="n">
        <x:f>IF('Control Room'!$B$5="Normal",'Control Room'!$B$7+'Control Room'!$D$7*SQRT(-2*LN(MAX(0.000000000001,AA660/2147483647)))*COS(2*PI()*AB660/2147483647),'Control Room'!$B$8+('Control Room'!$D$8-'Control Room'!$B$8)*AA660/2147483647)</x:f>
        <x:v>853.4983785131733</x:v>
      </x:c>
      <x:c r="AD660" s="17" t="n">
        <x:f>IF('Control Room'!$B$5="Normal",'Control Room'!$B$7,('Control Room'!$B$8+'Control Room'!$D$8)/2)+'Control Room'!$B$9*(AD659-IF('Control Room'!$B$5="Normal",'Control Room'!$B$7,('Control Room'!$B$8+'Control Room'!$D$8)/2))+SQRT(1-'Control Room'!$B$9^2)*(AC660-IF('Control Room'!$B$5="Normal",'Control Room'!$B$7,('Control Room'!$B$8+'Control Room'!$D$8)/2))</x:f>
        <x:v>953.7228491527776</x:v>
      </x:c>
      <x:c r="AE660" s="17" t="n">
        <x:f>IF(AND($A660&gt;='Control Room'!$A$13,$A660&lt;'Control Room'!$A$13+'Control Room'!$B$13,'Process'!BP2=1),1+('Control Room'!$C$13-1)*EXP(-0.5*(($A660-'Control Room'!$A$13-('Control Room'!$B$13-1)/2)/MAX(0.5,'Control Room'!$B$13/4))^2),1)*IF(AND($A660&gt;='Control Room'!$A$14,$A660&lt;'Control Room'!$A$14+'Control Room'!$B$14,'Process'!BP3=1),1+('Control Room'!$C$14-1)*EXP(-0.5*(($A660-'Control Room'!$A$14-('Control Room'!$B$14-1)/2)/MAX(0.5,'Control Room'!$B$14/4))^2),1)*IF(AND($A660&gt;='Control Room'!$A$15,$A660&lt;'Control Room'!$A$15+'Control Room'!$B$15,'Process'!BP4=1),1+('Control Room'!$C$15-1)*EXP(-0.5*(($A660-'Control Room'!$A$15-('Control Room'!$B$15-1)/2)/MAX(0.5,'Control Room'!$B$15/4))^2),1)*IF(AND($A660&gt;='Control Room'!$A$16,$A660&lt;'Control Room'!$A$16+'Control Room'!$B$16,'Process'!BP5=1),1+('Control Room'!$C$16-1)*EXP(-0.5*(($A660-'Control Room'!$A$16-('Control Room'!$B$16-1)/2)/MAX(0.5,'Control Room'!$B$16/4))^2),1)</x:f>
        <x:v>1</x:v>
      </x:c>
      <x:c r="AF660" s="9" t="n">
        <x:f>MOD(AG659*16807,2147483647)</x:f>
        <x:v>883434175</x:v>
      </x:c>
      <x:c r="AG660" s="9" t="n">
        <x:f>MOD(AF660*16807,2147483647)</x:f>
        <x:v>176243867</x:v>
      </x:c>
      <x:c r="AH660" s="17" t="n">
        <x:f>IF('Control Room'!$B$5="Normal",'Control Room'!$B$7+'Control Room'!$D$7*SQRT(-2*LN(MAX(0.000000000001,AF660/2147483647)))*COS(2*PI()*AG660/2147483647),'Control Room'!$B$8+('Control Room'!$D$8-'Control Room'!$B$8)*AF660/2147483647)</x:f>
        <x:v>1104.357664719502</x:v>
      </x:c>
      <x:c r="AI660" s="17" t="n">
        <x:f>IF('Control Room'!$B$5="Normal",'Control Room'!$B$7,('Control Room'!$B$8+'Control Room'!$D$8)/2)+'Control Room'!$B$9*(AI659-IF('Control Room'!$B$5="Normal",'Control Room'!$B$7,('Control Room'!$B$8+'Control Room'!$D$8)/2))+SQRT(1-'Control Room'!$B$9^2)*(AH660-IF('Control Room'!$B$5="Normal",'Control Room'!$B$7,('Control Room'!$B$8+'Control Room'!$D$8)/2))</x:f>
        <x:v>1038.0258907338136</x:v>
      </x:c>
      <x:c r="AJ660" s="17" t="n">
        <x:f>IF(AND($A660&gt;='Control Room'!$A$13,$A660&lt;'Control Room'!$A$13+'Control Room'!$B$13,'Process'!BQ2=1),1+('Control Room'!$C$13-1)*EXP(-0.5*(($A660-'Control Room'!$A$13-('Control Room'!$B$13-1)/2)/MAX(0.5,'Control Room'!$B$13/4))^2),1)*IF(AND($A660&gt;='Control Room'!$A$14,$A660&lt;'Control Room'!$A$14+'Control Room'!$B$14,'Process'!BQ3=1),1+('Control Room'!$C$14-1)*EXP(-0.5*(($A660-'Control Room'!$A$14-('Control Room'!$B$14-1)/2)/MAX(0.5,'Control Room'!$B$14/4))^2),1)*IF(AND($A660&gt;='Control Room'!$A$15,$A660&lt;'Control Room'!$A$15+'Control Room'!$B$15,'Process'!BQ4=1),1+('Control Room'!$C$15-1)*EXP(-0.5*(($A660-'Control Room'!$A$15-('Control Room'!$B$15-1)/2)/MAX(0.5,'Control Room'!$B$15/4))^2),1)*IF(AND($A660&gt;='Control Room'!$A$16,$A660&lt;'Control Room'!$A$16+'Control Room'!$B$16,'Process'!BQ5=1),1+('Control Room'!$C$16-1)*EXP(-0.5*(($A660-'Control Room'!$A$16-('Control Room'!$B$16-1)/2)/MAX(0.5,'Control Room'!$B$16/4))^2),1)</x:f>
        <x:v>1</x:v>
      </x:c>
      <x:c r="AK660" s="9" t="n">
        <x:f>MOD(AL659*16807,2147483647)</x:f>
        <x:v>1552386647</x:v>
      </x:c>
      <x:c r="AL660" s="9" t="n">
        <x:f>MOD(AK660*16807,2147483647)</x:f>
        <x:v>1183548726</x:v>
      </x:c>
      <x:c r="AM660" s="17" t="n">
        <x:f>IF('Control Room'!$B$5="Normal",'Control Room'!$B$7+'Control Room'!$D$7*SQRT(-2*LN(MAX(0.000000000001,AK660/2147483647)))*COS(2*PI()*AL660/2147483647),'Control Room'!$B$8+('Control Room'!$D$8-'Control Room'!$B$8)*AK660/2147483647)</x:f>
        <x:v>931.2050149838064</x:v>
      </x:c>
      <x:c r="AN660" s="17" t="n">
        <x:f>IF('Control Room'!$B$5="Normal",'Control Room'!$B$7,('Control Room'!$B$8+'Control Room'!$D$8)/2)+'Control Room'!$B$9*(AN659-IF('Control Room'!$B$5="Normal",'Control Room'!$B$7,('Control Room'!$B$8+'Control Room'!$D$8)/2))+SQRT(1-'Control Room'!$B$9^2)*(AM660-IF('Control Room'!$B$5="Normal",'Control Room'!$B$7,('Control Room'!$B$8+'Control Room'!$D$8)/2))</x:f>
        <x:v>967.5944388125204</x:v>
      </x:c>
      <x:c r="AO660" s="17" t="n">
        <x:f>IF(AND($A660&gt;='Control Room'!$A$13,$A660&lt;'Control Room'!$A$13+'Control Room'!$B$13,'Process'!BR2=1),1+('Control Room'!$C$13-1)*EXP(-0.5*(($A660-'Control Room'!$A$13-('Control Room'!$B$13-1)/2)/MAX(0.5,'Control Room'!$B$13/4))^2),1)*IF(AND($A660&gt;='Control Room'!$A$14,$A660&lt;'Control Room'!$A$14+'Control Room'!$B$14,'Process'!BR3=1),1+('Control Room'!$C$14-1)*EXP(-0.5*(($A660-'Control Room'!$A$14-('Control Room'!$B$14-1)/2)/MAX(0.5,'Control Room'!$B$14/4))^2),1)*IF(AND($A660&gt;='Control Room'!$A$15,$A660&lt;'Control Room'!$A$15+'Control Room'!$B$15,'Process'!BR4=1),1+('Control Room'!$C$15-1)*EXP(-0.5*(($A660-'Control Room'!$A$15-('Control Room'!$B$15-1)/2)/MAX(0.5,'Control Room'!$B$15/4))^2),1)*IF(AND($A660&gt;='Control Room'!$A$16,$A660&lt;'Control Room'!$A$16+'Control Room'!$B$16,'Process'!BR5=1),1+('Control Room'!$C$16-1)*EXP(-0.5*(($A660-'Control Room'!$A$16-('Control Room'!$B$16-1)/2)/MAX(0.5,'Control Room'!$B$16/4))^2),1)</x:f>
        <x:v>1</x:v>
      </x:c>
      <x:c r="AP660" s="9" t="n">
        <x:f>MOD(AQ659*16807,2147483647)</x:f>
        <x:v>73855472</x:v>
      </x:c>
      <x:c r="AQ660" s="9" t="n">
        <x:f>MOD(AP660*16807,2147483647)</x:f>
        <x:v>43369938</x:v>
      </x:c>
      <x:c r="AR660" s="17" t="n">
        <x:f>IF('Control Room'!$B$5="Normal",'Control Room'!$B$7+'Control Room'!$D$7*SQRT(-2*LN(MAX(0.000000000001,AP660/2147483647)))*COS(2*PI()*AQ660/2147483647),'Control Room'!$B$8+('Control Room'!$D$8-'Control Room'!$B$8)*AP660/2147483647)</x:f>
        <x:v>1231.7729803911611</x:v>
      </x:c>
      <x:c r="AS660" s="17" t="n">
        <x:f>IF('Control Room'!$B$5="Normal",'Control Room'!$B$7,('Control Room'!$B$8+'Control Room'!$D$8)/2)+'Control Room'!$B$9*(AS659-IF('Control Room'!$B$5="Normal",'Control Room'!$B$7,('Control Room'!$B$8+'Control Room'!$D$8)/2))+SQRT(1-'Control Room'!$B$9^2)*(AR660-IF('Control Room'!$B$5="Normal",'Control Room'!$B$7,('Control Room'!$B$8+'Control Room'!$D$8)/2))</x:f>
        <x:v>1104.927107546052</x:v>
      </x:c>
      <x:c r="AT660" s="17" t="n">
        <x:f>IF(AND($A660&gt;='Control Room'!$A$13,$A660&lt;'Control Room'!$A$13+'Control Room'!$B$13,'Process'!BS2=1),1+('Control Room'!$C$13-1)*EXP(-0.5*(($A660-'Control Room'!$A$13-('Control Room'!$B$13-1)/2)/MAX(0.5,'Control Room'!$B$13/4))^2),1)*IF(AND($A660&gt;='Control Room'!$A$14,$A660&lt;'Control Room'!$A$14+'Control Room'!$B$14,'Process'!BS3=1),1+('Control Room'!$C$14-1)*EXP(-0.5*(($A660-'Control Room'!$A$14-('Control Room'!$B$14-1)/2)/MAX(0.5,'Control Room'!$B$14/4))^2),1)*IF(AND($A660&gt;='Control Room'!$A$15,$A660&lt;'Control Room'!$A$15+'Control Room'!$B$15,'Process'!BS4=1),1+('Control Room'!$C$15-1)*EXP(-0.5*(($A660-'Control Room'!$A$15-('Control Room'!$B$15-1)/2)/MAX(0.5,'Control Room'!$B$15/4))^2),1)*IF(AND($A660&gt;='Control Room'!$A$16,$A660&lt;'Control Room'!$A$16+'Control Room'!$B$16,'Process'!BS5=1),1+('Control Room'!$C$16-1)*EXP(-0.5*(($A660-'Control Room'!$A$16-('Control Room'!$B$16-1)/2)/MAX(0.5,'Control Room'!$B$16/4))^2),1)</x:f>
        <x:v>1</x:v>
      </x:c>
      <x:c r="AU660" s="9" t="n">
        <x:f>MOD(AV659*16807,2147483647)</x:f>
        <x:v>742807944</x:v>
      </x:c>
      <x:c r="AV660" s="9" t="n">
        <x:f>MOD(AU660*16807,2147483647)</x:f>
        <x:v>1050674797</x:v>
      </x:c>
      <x:c r="AW660" s="17" t="n">
        <x:f>IF('Control Room'!$B$5="Normal",'Control Room'!$B$7+'Control Room'!$D$7*SQRT(-2*LN(MAX(0.000000000001,AU660/2147483647)))*COS(2*PI()*AV660/2147483647),'Control Room'!$B$8+('Control Room'!$D$8-'Control Room'!$B$8)*AU660/2147483647)</x:f>
        <x:v>869.1568215781285</x:v>
      </x:c>
      <x:c r="AX660" s="17" t="n">
        <x:f>IF('Control Room'!$B$5="Normal",'Control Room'!$B$7,('Control Room'!$B$8+'Control Room'!$D$8)/2)+'Control Room'!$B$9*(AX659-IF('Control Room'!$B$5="Normal",'Control Room'!$B$7,('Control Room'!$B$8+'Control Room'!$D$8)/2))+SQRT(1-'Control Room'!$B$9^2)*(AW660-IF('Control Room'!$B$5="Normal",'Control Room'!$B$7,('Control Room'!$B$8+'Control Room'!$D$8)/2))</x:f>
        <x:v>888.9071633883472</x:v>
      </x:c>
      <x:c r="AY660" s="17" t="n">
        <x:f>IF(AND($A660&gt;='Control Room'!$A$13,$A660&lt;'Control Room'!$A$13+'Control Room'!$B$13,'Process'!BT2=1),1+('Control Room'!$C$13-1)*EXP(-0.5*(($A660-'Control Room'!$A$13-('Control Room'!$B$13-1)/2)/MAX(0.5,'Control Room'!$B$13/4))^2),1)*IF(AND($A660&gt;='Control Room'!$A$14,$A660&lt;'Control Room'!$A$14+'Control Room'!$B$14,'Process'!BT3=1),1+('Control Room'!$C$14-1)*EXP(-0.5*(($A660-'Control Room'!$A$14-('Control Room'!$B$14-1)/2)/MAX(0.5,'Control Room'!$B$14/4))^2),1)*IF(AND($A660&gt;='Control Room'!$A$15,$A660&lt;'Control Room'!$A$15+'Control Room'!$B$15,'Process'!BT4=1),1+('Control Room'!$C$15-1)*EXP(-0.5*(($A660-'Control Room'!$A$15-('Control Room'!$B$15-1)/2)/MAX(0.5,'Control Room'!$B$15/4))^2),1)*IF(AND($A660&gt;='Control Room'!$A$16,$A660&lt;'Control Room'!$A$16+'Control Room'!$B$16,'Process'!BT5=1),1+('Control Room'!$C$16-1)*EXP(-0.5*(($A660-'Control Room'!$A$16-('Control Room'!$B$16-1)/2)/MAX(0.5,'Control Room'!$B$16/4))^2),1)</x:f>
        <x:v>1</x:v>
      </x:c>
      <x:c r="AZ660" s="9" t="n">
        <x:f>MOD(BA659*16807,2147483647)</x:f>
        <x:v>1411760416</x:v>
      </x:c>
      <x:c r="BA660" s="9" t="n">
        <x:f>MOD(AZ660*16807,2147483647)</x:f>
        <x:v>2057979656</x:v>
      </x:c>
      <x:c r="BB660" s="17" t="n">
        <x:f>IF('Control Room'!$B$5="Normal",'Control Room'!$B$7+'Control Room'!$D$7*SQRT(-2*LN(MAX(0.000000000001,AZ660/2147483647)))*COS(2*PI()*BA660/2147483647),'Control Room'!$B$8+('Control Room'!$D$8-'Control Room'!$B$8)*AZ660/2147483647)</x:f>
        <x:v>1079.6228136435827</x:v>
      </x:c>
      <x:c r="BC660" s="17" t="n">
        <x:f>IF('Control Room'!$B$5="Normal",'Control Room'!$B$7,('Control Room'!$B$8+'Control Room'!$D$8)/2)+'Control Room'!$B$9*(BC659-IF('Control Room'!$B$5="Normal",'Control Room'!$B$7,('Control Room'!$B$8+'Control Room'!$D$8)/2))+SQRT(1-'Control Room'!$B$9^2)*(BB660-IF('Control Room'!$B$5="Normal",'Control Room'!$B$7,('Control Room'!$B$8+'Control Room'!$D$8)/2))</x:f>
        <x:v>1028.2065071370837</x:v>
      </x:c>
      <x:c r="BD660" s="17" t="n">
        <x:f>IF(AND($A660&gt;='Control Room'!$A$13,$A660&lt;'Control Room'!$A$13+'Control Room'!$B$13,'Process'!BU2=1),1+('Control Room'!$C$13-1)*EXP(-0.5*(($A660-'Control Room'!$A$13-('Control Room'!$B$13-1)/2)/MAX(0.5,'Control Room'!$B$13/4))^2),1)*IF(AND($A660&gt;='Control Room'!$A$14,$A660&lt;'Control Room'!$A$14+'Control Room'!$B$14,'Process'!BU3=1),1+('Control Room'!$C$14-1)*EXP(-0.5*(($A660-'Control Room'!$A$14-('Control Room'!$B$14-1)/2)/MAX(0.5,'Control Room'!$B$14/4))^2),1)*IF(AND($A660&gt;='Control Room'!$A$15,$A660&lt;'Control Room'!$A$15+'Control Room'!$B$15,'Process'!BU4=1),1+('Control Room'!$C$15-1)*EXP(-0.5*(($A660-'Control Room'!$A$15-('Control Room'!$B$15-1)/2)/MAX(0.5,'Control Room'!$B$15/4))^2),1)*IF(AND($A660&gt;='Control Room'!$A$16,$A660&lt;'Control Room'!$A$16+'Control Room'!$B$16,'Process'!BU5=1),1+('Control Room'!$C$16-1)*EXP(-0.5*(($A660-'Control Room'!$A$16-('Control Room'!$B$16-1)/2)/MAX(0.5,'Control Room'!$B$16/4))^2),1)</x:f>
        <x:v>1</x:v>
      </x:c>
      <x:c r="BE660" s="9" t="n">
        <x:f>MOD(BF659*16807,2147483647)</x:f>
        <x:v>2080712888</x:v>
      </x:c>
      <x:c r="BF660" s="9" t="n">
        <x:f>MOD(BE660*16807,2147483647)</x:f>
        <x:v>917800868</x:v>
      </x:c>
      <x:c r="BG660" s="17" t="n">
        <x:f>IF('Control Room'!$B$5="Normal",'Control Room'!$B$7+'Control Room'!$D$7*SQRT(-2*LN(MAX(0.000000000001,BE660/2147483647)))*COS(2*PI()*BF660/2147483647),'Control Room'!$B$8+('Control Room'!$D$8-'Control Room'!$B$8)*BE660/2147483647)</x:f>
        <x:v>979.693221152716</x:v>
      </x:c>
      <x:c r="BH660" s="17" t="n">
        <x:f>IF('Control Room'!$B$5="Normal",'Control Room'!$B$7,('Control Room'!$B$8+'Control Room'!$D$8)/2)+'Control Room'!$B$9*(BH659-IF('Control Room'!$B$5="Normal",'Control Room'!$B$7,('Control Room'!$B$8+'Control Room'!$D$8)/2))+SQRT(1-'Control Room'!$B$9^2)*(BG660-IF('Control Room'!$B$5="Normal",'Control Room'!$B$7,('Control Room'!$B$8+'Control Room'!$D$8)/2))</x:f>
        <x:v>936.8604677165965</x:v>
      </x:c>
      <x:c r="BI660" s="17" t="n">
        <x:f>IF(AND($A660&gt;='Control Room'!$A$13,$A660&lt;'Control Room'!$A$13+'Control Room'!$B$13,'Process'!BV2=1),1+('Control Room'!$C$13-1)*EXP(-0.5*(($A660-'Control Room'!$A$13-('Control Room'!$B$13-1)/2)/MAX(0.5,'Control Room'!$B$13/4))^2),1)*IF(AND($A660&gt;='Control Room'!$A$14,$A660&lt;'Control Room'!$A$14+'Control Room'!$B$14,'Process'!BV3=1),1+('Control Room'!$C$14-1)*EXP(-0.5*(($A660-'Control Room'!$A$14-('Control Room'!$B$14-1)/2)/MAX(0.5,'Control Room'!$B$14/4))^2),1)*IF(AND($A660&gt;='Control Room'!$A$15,$A660&lt;'Control Room'!$A$15+'Control Room'!$B$15,'Process'!BV4=1),1+('Control Room'!$C$15-1)*EXP(-0.5*(($A660-'Control Room'!$A$15-('Control Room'!$B$15-1)/2)/MAX(0.5,'Control Room'!$B$15/4))^2),1)*IF(AND($A660&gt;='Control Room'!$A$16,$A660&lt;'Control Room'!$A$16+'Control Room'!$B$16,'Process'!BV5=1),1+('Control Room'!$C$16-1)*EXP(-0.5*(($A660-'Control Room'!$A$16-('Control Room'!$B$16-1)/2)/MAX(0.5,'Control Room'!$B$16/4))^2),1)</x:f>
        <x:v>1</x:v>
      </x:c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Z660" t="str">
        <x:f>IF('Data'!A660="","",TEXT('Data'!A660,"mm-dd"))</x:f>
      </x:c>
    </x:row>
    <x:row r="661" ht="21" customHeight="1">
      <x:c r="A661" s="15" t="n">
        <x:f>'Control Room'!$B$1+659</x:f>
        <x:v>73650</x:v>
      </x:c>
      <x:c r="B661" s="9" t="n">
        <x:f>MOD(C660*16807,2147483647)</x:f>
        <x:v>238118925</x:v>
      </x:c>
      <x:c r="C661" s="9" t="n">
        <x:f>MOD(B661*16807,2147483647)</x:f>
        <x:v>1302738114</x:v>
      </x:c>
      <x:c r="D661" s="17" t="n">
        <x:f>IF('Control Room'!$B$5="Normal",'Control Room'!$B$7+'Control Room'!$D$7*SQRT(-2*LN(MAX(0.000000000001,B661/2147483647)))*COS(2*PI()*C661/2147483647),'Control Room'!$B$8+('Control Room'!$D$8-'Control Room'!$B$8)*B661/2147483647)</x:f>
        <x:v>852.0505770796124</x:v>
      </x:c>
      <x:c r="E661" s="17" t="n">
        <x:f>IF('Control Room'!$B$5="Normal",'Control Room'!$B$7,('Control Room'!$B$8+'Control Room'!$D$8)/2)+'Control Room'!$B$9*(E660-IF('Control Room'!$B$5="Normal",'Control Room'!$B$7,('Control Room'!$B$8+'Control Room'!$D$8)/2))+SQRT(1-'Control Room'!$B$9^2)*(D661-IF('Control Room'!$B$5="Normal",'Control Room'!$B$7,('Control Room'!$B$8+'Control Room'!$D$8)/2))</x:f>
        <x:v>889.4704368145202</x:v>
      </x:c>
      <x:c r="F661" s="17" t="n">
        <x:f>IF(AND($A661&gt;='Control Room'!$A$13,$A661&lt;'Control Room'!$A$13+'Control Room'!$B$13,'Process'!BK2=1),1+('Control Room'!$C$13-1)*EXP(-0.5*(($A661-'Control Room'!$A$13-('Control Room'!$B$13-1)/2)/MAX(0.5,'Control Room'!$B$13/4))^2),1)*IF(AND($A661&gt;='Control Room'!$A$14,$A661&lt;'Control Room'!$A$14+'Control Room'!$B$14,'Process'!BK3=1),1+('Control Room'!$C$14-1)*EXP(-0.5*(($A661-'Control Room'!$A$14-('Control Room'!$B$14-1)/2)/MAX(0.5,'Control Room'!$B$14/4))^2),1)*IF(AND($A661&gt;='Control Room'!$A$15,$A661&lt;'Control Room'!$A$15+'Control Room'!$B$15,'Process'!BK4=1),1+('Control Room'!$C$15-1)*EXP(-0.5*(($A661-'Control Room'!$A$15-('Control Room'!$B$15-1)/2)/MAX(0.5,'Control Room'!$B$15/4))^2),1)*IF(AND($A661&gt;='Control Room'!$A$16,$A661&lt;'Control Room'!$A$16+'Control Room'!$B$16,'Process'!BK5=1),1+('Control Room'!$C$16-1)*EXP(-0.5*(($A661-'Control Room'!$A$16-('Control Room'!$B$16-1)/2)/MAX(0.5,'Control Room'!$B$16/4))^2),1)</x:f>
        <x:v>1</x:v>
      </x:c>
      <x:c r="G661" s="9" t="n">
        <x:f>MOD(H660*16807,2147483647)</x:f>
        <x:v>1397294837</x:v>
      </x:c>
      <x:c r="H661" s="9" t="n">
        <x:f>MOD(G661*16807,2147483647)</x:f>
        <x:v>1600645514</x:v>
      </x:c>
      <x:c r="I661" s="17" t="n">
        <x:f>IF('Control Room'!$B$5="Normal",'Control Room'!$B$7+'Control Room'!$D$7*SQRT(-2*LN(MAX(0.000000000001,G661/2147483647)))*COS(2*PI()*H661/2147483647),'Control Room'!$B$8+('Control Room'!$D$8-'Control Room'!$B$8)*G661/2147483647)</x:f>
        <x:v>997.5670545923816</x:v>
      </x:c>
      <x:c r="J661" s="17" t="n">
        <x:f>IF('Control Room'!$B$5="Normal",'Control Room'!$B$7,('Control Room'!$B$8+'Control Room'!$D$8)/2)+'Control Room'!$B$9*(J660-IF('Control Room'!$B$5="Normal",'Control Room'!$B$7,('Control Room'!$B$8+'Control Room'!$D$8)/2))+SQRT(1-'Control Room'!$B$9^2)*(I661-IF('Control Room'!$B$5="Normal",'Control Room'!$B$7,('Control Room'!$B$8+'Control Room'!$D$8)/2))</x:f>
        <x:v>939.829253437072</x:v>
      </x:c>
      <x:c r="K661" s="17" t="n">
        <x:f>IF(AND($A661&gt;='Control Room'!$A$13,$A661&lt;'Control Room'!$A$13+'Control Room'!$B$13,'Process'!BL2=1),1+('Control Room'!$C$13-1)*EXP(-0.5*(($A661-'Control Room'!$A$13-('Control Room'!$B$13-1)/2)/MAX(0.5,'Control Room'!$B$13/4))^2),1)*IF(AND($A661&gt;='Control Room'!$A$14,$A661&lt;'Control Room'!$A$14+'Control Room'!$B$14,'Process'!BL3=1),1+('Control Room'!$C$14-1)*EXP(-0.5*(($A661-'Control Room'!$A$14-('Control Room'!$B$14-1)/2)/MAX(0.5,'Control Room'!$B$14/4))^2),1)*IF(AND($A661&gt;='Control Room'!$A$15,$A661&lt;'Control Room'!$A$15+'Control Room'!$B$15,'Process'!BL4=1),1+('Control Room'!$C$15-1)*EXP(-0.5*(($A661-'Control Room'!$A$15-('Control Room'!$B$15-1)/2)/MAX(0.5,'Control Room'!$B$15/4))^2),1)*IF(AND($A661&gt;='Control Room'!$A$16,$A661&lt;'Control Room'!$A$16+'Control Room'!$B$16,'Process'!BL5=1),1+('Control Room'!$C$16-1)*EXP(-0.5*(($A661-'Control Room'!$A$16-('Control Room'!$B$16-1)/2)/MAX(0.5,'Control Room'!$B$16/4))^2),1)</x:f>
        <x:v>1</x:v>
      </x:c>
      <x:c r="L661" s="9" t="n">
        <x:f>MOD(M660*16807,2147483647)</x:f>
        <x:v>408987102</x:v>
      </x:c>
      <x:c r="M661" s="9" t="n">
        <x:f>MOD(L661*16807,2147483647)</x:f>
        <x:v>1898552914</x:v>
      </x:c>
      <x:c r="N661" s="17" t="n">
        <x:f>IF('Control Room'!$B$5="Normal",'Control Room'!$B$7+'Control Room'!$D$7*SQRT(-2*LN(MAX(0.000000000001,L661/2147483647)))*COS(2*PI()*M661/2147483647),'Control Room'!$B$8+('Control Room'!$D$8-'Control Room'!$B$8)*L661/2147483647)</x:f>
        <x:v>1122.3217552403726</x:v>
      </x:c>
      <x:c r="O661" s="17" t="n">
        <x:f>IF('Control Room'!$B$5="Normal",'Control Room'!$B$7,('Control Room'!$B$8+'Control Room'!$D$8)/2)+'Control Room'!$B$9*(O660-IF('Control Room'!$B$5="Normal",'Control Room'!$B$7,('Control Room'!$B$8+'Control Room'!$D$8)/2))+SQRT(1-'Control Room'!$B$9^2)*(N661-IF('Control Room'!$B$5="Normal",'Control Room'!$B$7,('Control Room'!$B$8+'Control Room'!$D$8)/2))</x:f>
        <x:v>1078.064355173523</x:v>
      </x:c>
      <x:c r="P661" s="17" t="n">
        <x:f>IF(AND($A661&gt;='Control Room'!$A$13,$A661&lt;'Control Room'!$A$13+'Control Room'!$B$13,'Process'!BM2=1),1+('Control Room'!$C$13-1)*EXP(-0.5*(($A661-'Control Room'!$A$13-('Control Room'!$B$13-1)/2)/MAX(0.5,'Control Room'!$B$13/4))^2),1)*IF(AND($A661&gt;='Control Room'!$A$14,$A661&lt;'Control Room'!$A$14+'Control Room'!$B$14,'Process'!BM3=1),1+('Control Room'!$C$14-1)*EXP(-0.5*(($A661-'Control Room'!$A$14-('Control Room'!$B$14-1)/2)/MAX(0.5,'Control Room'!$B$14/4))^2),1)*IF(AND($A661&gt;='Control Room'!$A$15,$A661&lt;'Control Room'!$A$15+'Control Room'!$B$15,'Process'!BM4=1),1+('Control Room'!$C$15-1)*EXP(-0.5*(($A661-'Control Room'!$A$15-('Control Room'!$B$15-1)/2)/MAX(0.5,'Control Room'!$B$15/4))^2),1)*IF(AND($A661&gt;='Control Room'!$A$16,$A661&lt;'Control Room'!$A$16+'Control Room'!$B$16,'Process'!BM5=1),1+('Control Room'!$C$16-1)*EXP(-0.5*(($A661-'Control Room'!$A$16-('Control Room'!$B$16-1)/2)/MAX(0.5,'Control Room'!$B$16/4))^2),1)</x:f>
        <x:v>1</x:v>
      </x:c>
      <x:c r="Q661" s="9" t="n">
        <x:f>MOD(R660*16807,2147483647)</x:f>
        <x:v>1568163014</x:v>
      </x:c>
      <x:c r="R661" s="9" t="n">
        <x:f>MOD(Q661*16807,2147483647)</x:f>
        <x:v>48976667</x:v>
      </x:c>
      <x:c r="S661" s="17" t="n">
        <x:f>IF('Control Room'!$B$5="Normal",'Control Room'!$B$7+'Control Room'!$D$7*SQRT(-2*LN(MAX(0.000000000001,Q661/2147483647)))*COS(2*PI()*R661/2147483647),'Control Room'!$B$8+('Control Room'!$D$8-'Control Room'!$B$8)*Q661/2147483647)</x:f>
        <x:v>1070.6348247296737</x:v>
      </x:c>
      <x:c r="T661" s="17" t="n">
        <x:f>IF('Control Room'!$B$5="Normal",'Control Room'!$B$7,('Control Room'!$B$8+'Control Room'!$D$8)/2)+'Control Room'!$B$9*(T660-IF('Control Room'!$B$5="Normal",'Control Room'!$B$7,('Control Room'!$B$8+'Control Room'!$D$8)/2))+SQRT(1-'Control Room'!$B$9^2)*(S661-IF('Control Room'!$B$5="Normal",'Control Room'!$B$7,('Control Room'!$B$8+'Control Room'!$D$8)/2))</x:f>
        <x:v>1025.0109266191482</x:v>
      </x:c>
      <x:c r="U661" s="17" t="n">
        <x:f>IF(AND($A661&gt;='Control Room'!$A$13,$A661&lt;'Control Room'!$A$13+'Control Room'!$B$13,'Process'!BN2=1),1+('Control Room'!$C$13-1)*EXP(-0.5*(($A661-'Control Room'!$A$13-('Control Room'!$B$13-1)/2)/MAX(0.5,'Control Room'!$B$13/4))^2),1)*IF(AND($A661&gt;='Control Room'!$A$14,$A661&lt;'Control Room'!$A$14+'Control Room'!$B$14,'Process'!BN3=1),1+('Control Room'!$C$14-1)*EXP(-0.5*(($A661-'Control Room'!$A$14-('Control Room'!$B$14-1)/2)/MAX(0.5,'Control Room'!$B$14/4))^2),1)*IF(AND($A661&gt;='Control Room'!$A$15,$A661&lt;'Control Room'!$A$15+'Control Room'!$B$15,'Process'!BN4=1),1+('Control Room'!$C$15-1)*EXP(-0.5*(($A661-'Control Room'!$A$15-('Control Room'!$B$15-1)/2)/MAX(0.5,'Control Room'!$B$15/4))^2),1)*IF(AND($A661&gt;='Control Room'!$A$16,$A661&lt;'Control Room'!$A$16+'Control Room'!$B$16,'Process'!BN5=1),1+('Control Room'!$C$16-1)*EXP(-0.5*(($A661-'Control Room'!$A$16-('Control Room'!$B$16-1)/2)/MAX(0.5,'Control Room'!$B$16/4))^2),1)</x:f>
        <x:v>1</x:v>
      </x:c>
      <x:c r="V661" s="9" t="n">
        <x:f>MOD(W660*16807,2147483647)</x:f>
        <x:v>579855279</x:v>
      </x:c>
      <x:c r="W661" s="9" t="n">
        <x:f>MOD(V661*16807,2147483647)</x:f>
        <x:v>346884067</x:v>
      </x:c>
      <x:c r="X661" s="17" t="n">
        <x:f>IF('Control Room'!$B$5="Normal",'Control Room'!$B$7+'Control Room'!$D$7*SQRT(-2*LN(MAX(0.000000000001,V661/2147483647)))*COS(2*PI()*W661/2147483647),'Control Room'!$B$8+('Control Room'!$D$8-'Control Room'!$B$8)*V661/2147483647)</x:f>
        <x:v>1076.850316900042</x:v>
      </x:c>
      <x:c r="Y661" s="17" t="n">
        <x:f>IF('Control Room'!$B$5="Normal",'Control Room'!$B$7,('Control Room'!$B$8+'Control Room'!$D$8)/2)+'Control Room'!$B$9*(Y660-IF('Control Room'!$B$5="Normal",'Control Room'!$B$7,('Control Room'!$B$8+'Control Room'!$D$8)/2))+SQRT(1-'Control Room'!$B$9^2)*(X661-IF('Control Room'!$B$5="Normal",'Control Room'!$B$7,('Control Room'!$B$8+'Control Room'!$D$8)/2))</x:f>
        <x:v>1143.3451464255754</x:v>
      </x:c>
      <x:c r="Z661" s="17" t="n">
        <x:f>IF(AND($A661&gt;='Control Room'!$A$13,$A661&lt;'Control Room'!$A$13+'Control Room'!$B$13,'Process'!BO2=1),1+('Control Room'!$C$13-1)*EXP(-0.5*(($A661-'Control Room'!$A$13-('Control Room'!$B$13-1)/2)/MAX(0.5,'Control Room'!$B$13/4))^2),1)*IF(AND($A661&gt;='Control Room'!$A$14,$A661&lt;'Control Room'!$A$14+'Control Room'!$B$14,'Process'!BO3=1),1+('Control Room'!$C$14-1)*EXP(-0.5*(($A661-'Control Room'!$A$14-('Control Room'!$B$14-1)/2)/MAX(0.5,'Control Room'!$B$14/4))^2),1)*IF(AND($A661&gt;='Control Room'!$A$15,$A661&lt;'Control Room'!$A$15+'Control Room'!$B$15,'Process'!BO4=1),1+('Control Room'!$C$15-1)*EXP(-0.5*(($A661-'Control Room'!$A$15-('Control Room'!$B$15-1)/2)/MAX(0.5,'Control Room'!$B$15/4))^2),1)*IF(AND($A661&gt;='Control Room'!$A$16,$A661&lt;'Control Room'!$A$16+'Control Room'!$B$16,'Process'!BO5=1),1+('Control Room'!$C$16-1)*EXP(-0.5*(($A661-'Control Room'!$A$16-('Control Room'!$B$16-1)/2)/MAX(0.5,'Control Room'!$B$16/4))^2),1)</x:f>
        <x:v>1</x:v>
      </x:c>
      <x:c r="AA661" s="9" t="n">
        <x:f>MOD(AB660*16807,2147483647)</x:f>
        <x:v>1739031191</x:v>
      </x:c>
      <x:c r="AB661" s="9" t="n">
        <x:f>MOD(AA661*16807,2147483647)</x:f>
        <x:v>644791467</x:v>
      </x:c>
      <x:c r="AC661" s="17" t="n">
        <x:f>IF('Control Room'!$B$5="Normal",'Control Room'!$B$7+'Control Room'!$D$7*SQRT(-2*LN(MAX(0.000000000001,AA661/2147483647)))*COS(2*PI()*AB661/2147483647),'Control Room'!$B$8+('Control Room'!$D$8-'Control Room'!$B$8)*AA661/2147483647)</x:f>
        <x:v>981.8456921007376</x:v>
      </x:c>
      <x:c r="AD661" s="17" t="n">
        <x:f>IF('Control Room'!$B$5="Normal",'Control Room'!$B$7,('Control Room'!$B$8+'Control Room'!$D$8)/2)+'Control Room'!$B$9*(AD660-IF('Control Room'!$B$5="Normal",'Control Room'!$B$7,('Control Room'!$B$8+'Control Room'!$D$8)/2))+SQRT(1-'Control Room'!$B$9^2)*(AC661-IF('Control Room'!$B$5="Normal",'Control Room'!$B$7,('Control Room'!$B$8+'Control Room'!$D$8)/2))</x:f>
        <x:v>952.5432283670206</x:v>
      </x:c>
      <x:c r="AE661" s="17" t="n">
        <x:f>IF(AND($A661&gt;='Control Room'!$A$13,$A661&lt;'Control Room'!$A$13+'Control Room'!$B$13,'Process'!BP2=1),1+('Control Room'!$C$13-1)*EXP(-0.5*(($A661-'Control Room'!$A$13-('Control Room'!$B$13-1)/2)/MAX(0.5,'Control Room'!$B$13/4))^2),1)*IF(AND($A661&gt;='Control Room'!$A$14,$A661&lt;'Control Room'!$A$14+'Control Room'!$B$14,'Process'!BP3=1),1+('Control Room'!$C$14-1)*EXP(-0.5*(($A661-'Control Room'!$A$14-('Control Room'!$B$14-1)/2)/MAX(0.5,'Control Room'!$B$14/4))^2),1)*IF(AND($A661&gt;='Control Room'!$A$15,$A661&lt;'Control Room'!$A$15+'Control Room'!$B$15,'Process'!BP4=1),1+('Control Room'!$C$15-1)*EXP(-0.5*(($A661-'Control Room'!$A$15-('Control Room'!$B$15-1)/2)/MAX(0.5,'Control Room'!$B$15/4))^2),1)*IF(AND($A661&gt;='Control Room'!$A$16,$A661&lt;'Control Room'!$A$16+'Control Room'!$B$16,'Process'!BP5=1),1+('Control Room'!$C$16-1)*EXP(-0.5*(($A661-'Control Room'!$A$16-('Control Room'!$B$16-1)/2)/MAX(0.5,'Control Room'!$B$16/4))^2),1)</x:f>
        <x:v>1</x:v>
      </x:c>
      <x:c r="AF661" s="9" t="n">
        <x:f>MOD(AG660*16807,2147483647)</x:f>
        <x:v>750723456</x:v>
      </x:c>
      <x:c r="AG661" s="9" t="n">
        <x:f>MOD(AF661*16807,2147483647)</x:f>
        <x:v>942698867</x:v>
      </x:c>
      <x:c r="AH661" s="17" t="n">
        <x:f>IF('Control Room'!$B$5="Normal",'Control Room'!$B$7+'Control Room'!$D$7*SQRT(-2*LN(MAX(0.000000000001,AF661/2147483647)))*COS(2*PI()*AG661/2147483647),'Control Room'!$B$8+('Control Room'!$D$8-'Control Room'!$B$8)*AF661/2147483647)</x:f>
        <x:v>878.988587385962</x:v>
      </x:c>
      <x:c r="AI661" s="17" t="n">
        <x:f>IF('Control Room'!$B$5="Normal",'Control Room'!$B$7,('Control Room'!$B$8+'Control Room'!$D$8)/2)+'Control Room'!$B$9*(AI660-IF('Control Room'!$B$5="Normal",'Control Room'!$B$7,('Control Room'!$B$8+'Control Room'!$D$8)/2))+SQRT(1-'Control Room'!$B$9^2)*(AH661-IF('Control Room'!$B$5="Normal",'Control Room'!$B$7,('Control Room'!$B$8+'Control Room'!$D$8)/2))</x:f>
        <x:v>953.9337318120455</x:v>
      </x:c>
      <x:c r="AJ661" s="17" t="n">
        <x:f>IF(AND($A661&gt;='Control Room'!$A$13,$A661&lt;'Control Room'!$A$13+'Control Room'!$B$13,'Process'!BQ2=1),1+('Control Room'!$C$13-1)*EXP(-0.5*(($A661-'Control Room'!$A$13-('Control Room'!$B$13-1)/2)/MAX(0.5,'Control Room'!$B$13/4))^2),1)*IF(AND($A661&gt;='Control Room'!$A$14,$A661&lt;'Control Room'!$A$14+'Control Room'!$B$14,'Process'!BQ3=1),1+('Control Room'!$C$14-1)*EXP(-0.5*(($A661-'Control Room'!$A$14-('Control Room'!$B$14-1)/2)/MAX(0.5,'Control Room'!$B$14/4))^2),1)*IF(AND($A661&gt;='Control Room'!$A$15,$A661&lt;'Control Room'!$A$15+'Control Room'!$B$15,'Process'!BQ4=1),1+('Control Room'!$C$15-1)*EXP(-0.5*(($A661-'Control Room'!$A$15-('Control Room'!$B$15-1)/2)/MAX(0.5,'Control Room'!$B$15/4))^2),1)*IF(AND($A661&gt;='Control Room'!$A$16,$A661&lt;'Control Room'!$A$16+'Control Room'!$B$16,'Process'!BQ5=1),1+('Control Room'!$C$16-1)*EXP(-0.5*(($A661-'Control Room'!$A$16-('Control Room'!$B$16-1)/2)/MAX(0.5,'Control Room'!$B$16/4))^2),1)</x:f>
        <x:v>1</x:v>
      </x:c>
      <x:c r="AK661" s="9" t="n">
        <x:f>MOD(AL660*16807,2147483647)</x:f>
        <x:v>1909899368</x:v>
      </x:c>
      <x:c r="AL661" s="9" t="n">
        <x:f>MOD(AK661*16807,2147483647)</x:f>
        <x:v>1240606267</x:v>
      </x:c>
      <x:c r="AM661" s="17" t="n">
        <x:f>IF('Control Room'!$B$5="Normal",'Control Room'!$B$7+'Control Room'!$D$7*SQRT(-2*LN(MAX(0.000000000001,AK661/2147483647)))*COS(2*PI()*AL661/2147483647),'Control Room'!$B$8+('Control Room'!$D$8-'Control Room'!$B$8)*AK661/2147483647)</x:f>
        <x:v>961.5097027426947</x:v>
      </x:c>
      <x:c r="AN661" s="17" t="n">
        <x:f>IF('Control Room'!$B$5="Normal",'Control Room'!$B$7,('Control Room'!$B$8+'Control Room'!$D$8)/2)+'Control Room'!$B$9*(AN660-IF('Control Room'!$B$5="Normal",'Control Room'!$B$7,('Control Room'!$B$8+'Control Room'!$D$8)/2))+SQRT(1-'Control Room'!$B$9^2)*(AM661-IF('Control Room'!$B$5="Normal",'Control Room'!$B$7,('Control Room'!$B$8+'Control Room'!$D$8)/2))</x:f>
        <x:v>950.6372227667432</x:v>
      </x:c>
      <x:c r="AO661" s="17" t="n">
        <x:f>IF(AND($A661&gt;='Control Room'!$A$13,$A661&lt;'Control Room'!$A$13+'Control Room'!$B$13,'Process'!BR2=1),1+('Control Room'!$C$13-1)*EXP(-0.5*(($A661-'Control Room'!$A$13-('Control Room'!$B$13-1)/2)/MAX(0.5,'Control Room'!$B$13/4))^2),1)*IF(AND($A661&gt;='Control Room'!$A$14,$A661&lt;'Control Room'!$A$14+'Control Room'!$B$14,'Process'!BR3=1),1+('Control Room'!$C$14-1)*EXP(-0.5*(($A661-'Control Room'!$A$14-('Control Room'!$B$14-1)/2)/MAX(0.5,'Control Room'!$B$14/4))^2),1)*IF(AND($A661&gt;='Control Room'!$A$15,$A661&lt;'Control Room'!$A$15+'Control Room'!$B$15,'Process'!BR4=1),1+('Control Room'!$C$15-1)*EXP(-0.5*(($A661-'Control Room'!$A$15-('Control Room'!$B$15-1)/2)/MAX(0.5,'Control Room'!$B$15/4))^2),1)*IF(AND($A661&gt;='Control Room'!$A$16,$A661&lt;'Control Room'!$A$16+'Control Room'!$B$16,'Process'!BR5=1),1+('Control Room'!$C$16-1)*EXP(-0.5*(($A661-'Control Room'!$A$16-('Control Room'!$B$16-1)/2)/MAX(0.5,'Control Room'!$B$16/4))^2),1)</x:f>
        <x:v>1</x:v>
      </x:c>
      <x:c r="AP661" s="9" t="n">
        <x:f>MOD(AQ660*16807,2147483647)</x:f>
        <x:v>921591633</x:v>
      </x:c>
      <x:c r="AQ661" s="9" t="n">
        <x:f>MOD(AP661*16807,2147483647)</x:f>
        <x:v>1538513667</x:v>
      </x:c>
      <x:c r="AR661" s="17" t="n">
        <x:f>IF('Control Room'!$B$5="Normal",'Control Room'!$B$7+'Control Room'!$D$7*SQRT(-2*LN(MAX(0.000000000001,AP661/2147483647)))*COS(2*PI()*AQ661/2147483647),'Control Room'!$B$8+('Control Room'!$D$8-'Control Room'!$B$8)*AP661/2147483647)</x:f>
        <x:v>975.4877226376453</x:v>
      </x:c>
      <x:c r="AS661" s="17" t="n">
        <x:f>IF('Control Room'!$B$5="Normal",'Control Room'!$B$7,('Control Room'!$B$8+'Control Room'!$D$8)/2)+'Control Room'!$B$9*(AS660-IF('Control Room'!$B$5="Normal",'Control Room'!$B$7,('Control Room'!$B$8+'Control Room'!$D$8)/2))+SQRT(1-'Control Room'!$B$9^2)*(AR661-IF('Control Room'!$B$5="Normal",'Control Room'!$B$7,('Control Room'!$B$8+'Control Room'!$D$8)/2))</x:f>
        <x:v>1066.5038628738555</x:v>
      </x:c>
      <x:c r="AT661" s="17" t="n">
        <x:f>IF(AND($A661&gt;='Control Room'!$A$13,$A661&lt;'Control Room'!$A$13+'Control Room'!$B$13,'Process'!BS2=1),1+('Control Room'!$C$13-1)*EXP(-0.5*(($A661-'Control Room'!$A$13-('Control Room'!$B$13-1)/2)/MAX(0.5,'Control Room'!$B$13/4))^2),1)*IF(AND($A661&gt;='Control Room'!$A$14,$A661&lt;'Control Room'!$A$14+'Control Room'!$B$14,'Process'!BS3=1),1+('Control Room'!$C$14-1)*EXP(-0.5*(($A661-'Control Room'!$A$14-('Control Room'!$B$14-1)/2)/MAX(0.5,'Control Room'!$B$14/4))^2),1)*IF(AND($A661&gt;='Control Room'!$A$15,$A661&lt;'Control Room'!$A$15+'Control Room'!$B$15,'Process'!BS4=1),1+('Control Room'!$C$15-1)*EXP(-0.5*(($A661-'Control Room'!$A$15-('Control Room'!$B$15-1)/2)/MAX(0.5,'Control Room'!$B$15/4))^2),1)*IF(AND($A661&gt;='Control Room'!$A$16,$A661&lt;'Control Room'!$A$16+'Control Room'!$B$16,'Process'!BS5=1),1+('Control Room'!$C$16-1)*EXP(-0.5*(($A661-'Control Room'!$A$16-('Control Room'!$B$16-1)/2)/MAX(0.5,'Control Room'!$B$16/4))^2),1)</x:f>
        <x:v>1</x:v>
      </x:c>
      <x:c r="AU661" s="9" t="n">
        <x:f>MOD(AV660*16807,2147483647)</x:f>
        <x:v>2080767545</x:v>
      </x:c>
      <x:c r="AV661" s="9" t="n">
        <x:f>MOD(AU661*16807,2147483647)</x:f>
        <x:v>1836421067</x:v>
      </x:c>
      <x:c r="AW661" s="17" t="n">
        <x:f>IF('Control Room'!$B$5="Normal",'Control Room'!$B$7+'Control Room'!$D$7*SQRT(-2*LN(MAX(0.000000000001,AU661/2147483647)))*COS(2*PI()*AV661/2147483647),'Control Room'!$B$8+('Control Room'!$D$8-'Control Room'!$B$8)*AU661/2147483647)</x:f>
        <x:v>1013.8754780957611</x:v>
      </x:c>
      <x:c r="AX661" s="17" t="n">
        <x:f>IF('Control Room'!$B$5="Normal",'Control Room'!$B$7,('Control Room'!$B$8+'Control Room'!$D$8)/2)+'Control Room'!$B$9*(AX660-IF('Control Room'!$B$5="Normal",'Control Room'!$B$7,('Control Room'!$B$8+'Control Room'!$D$8)/2))+SQRT(1-'Control Room'!$B$9^2)*(AW661-IF('Control Room'!$B$5="Normal",'Control Room'!$B$7,('Control Room'!$B$8+'Control Room'!$D$8)/2))</x:f>
        <x:v>922.0305773806188</x:v>
      </x:c>
      <x:c r="AY661" s="17" t="n">
        <x:f>IF(AND($A661&gt;='Control Room'!$A$13,$A661&lt;'Control Room'!$A$13+'Control Room'!$B$13,'Process'!BT2=1),1+('Control Room'!$C$13-1)*EXP(-0.5*(($A661-'Control Room'!$A$13-('Control Room'!$B$13-1)/2)/MAX(0.5,'Control Room'!$B$13/4))^2),1)*IF(AND($A661&gt;='Control Room'!$A$14,$A661&lt;'Control Room'!$A$14+'Control Room'!$B$14,'Process'!BT3=1),1+('Control Room'!$C$14-1)*EXP(-0.5*(($A661-'Control Room'!$A$14-('Control Room'!$B$14-1)/2)/MAX(0.5,'Control Room'!$B$14/4))^2),1)*IF(AND($A661&gt;='Control Room'!$A$15,$A661&lt;'Control Room'!$A$15+'Control Room'!$B$15,'Process'!BT4=1),1+('Control Room'!$C$15-1)*EXP(-0.5*(($A661-'Control Room'!$A$15-('Control Room'!$B$15-1)/2)/MAX(0.5,'Control Room'!$B$15/4))^2),1)*IF(AND($A661&gt;='Control Room'!$A$16,$A661&lt;'Control Room'!$A$16+'Control Room'!$B$16,'Process'!BT5=1),1+('Control Room'!$C$16-1)*EXP(-0.5*(($A661-'Control Room'!$A$16-('Control Room'!$B$16-1)/2)/MAX(0.5,'Control Room'!$B$16/4))^2),1)</x:f>
        <x:v>1</x:v>
      </x:c>
      <x:c r="AZ661" s="9" t="n">
        <x:f>MOD(BA660*16807,2147483647)</x:f>
        <x:v>1092459810</x:v>
      </x:c>
      <x:c r="BA661" s="9" t="n">
        <x:f>MOD(AZ661*16807,2147483647)</x:f>
        <x:v>2134328467</x:v>
      </x:c>
      <x:c r="BB661" s="17" t="n">
        <x:f>IF('Control Room'!$B$5="Normal",'Control Room'!$B$7+'Control Room'!$D$7*SQRT(-2*LN(MAX(0.000000000001,AZ661/2147483647)))*COS(2*PI()*BA661/2147483647),'Control Room'!$B$8+('Control Room'!$D$8-'Control Room'!$B$8)*AZ661/2147483647)</x:f>
        <x:v>1104.5600245139467</x:v>
      </x:c>
      <x:c r="BC661" s="17" t="n">
        <x:f>IF('Control Room'!$B$5="Normal",'Control Room'!$B$7,('Control Room'!$B$8+'Control Room'!$D$8)/2)+'Control Room'!$B$9*(BC660-IF('Control Room'!$B$5="Normal",'Control Room'!$B$7,('Control Room'!$B$8+'Control Room'!$D$8)/2))+SQRT(1-'Control Room'!$B$9^2)*(BB661-IF('Control Room'!$B$5="Normal",'Control Room'!$B$7,('Control Room'!$B$8+'Control Room'!$D$8)/2))</x:f>
        <x:v>1087.4325968792214</x:v>
      </x:c>
      <x:c r="BD661" s="17" t="n">
        <x:f>IF(AND($A661&gt;='Control Room'!$A$13,$A661&lt;'Control Room'!$A$13+'Control Room'!$B$13,'Process'!BU2=1),1+('Control Room'!$C$13-1)*EXP(-0.5*(($A661-'Control Room'!$A$13-('Control Room'!$B$13-1)/2)/MAX(0.5,'Control Room'!$B$13/4))^2),1)*IF(AND($A661&gt;='Control Room'!$A$14,$A661&lt;'Control Room'!$A$14+'Control Room'!$B$14,'Process'!BU3=1),1+('Control Room'!$C$14-1)*EXP(-0.5*(($A661-'Control Room'!$A$14-('Control Room'!$B$14-1)/2)/MAX(0.5,'Control Room'!$B$14/4))^2),1)*IF(AND($A661&gt;='Control Room'!$A$15,$A661&lt;'Control Room'!$A$15+'Control Room'!$B$15,'Process'!BU4=1),1+('Control Room'!$C$15-1)*EXP(-0.5*(($A661-'Control Room'!$A$15-('Control Room'!$B$15-1)/2)/MAX(0.5,'Control Room'!$B$15/4))^2),1)*IF(AND($A661&gt;='Control Room'!$A$16,$A661&lt;'Control Room'!$A$16+'Control Room'!$B$16,'Process'!BU5=1),1+('Control Room'!$C$16-1)*EXP(-0.5*(($A661-'Control Room'!$A$16-('Control Room'!$B$16-1)/2)/MAX(0.5,'Control Room'!$B$16/4))^2),1)</x:f>
        <x:v>1</x:v>
      </x:c>
      <x:c r="BE661" s="9" t="n">
        <x:f>MOD(BF660*16807,2147483647)</x:f>
        <x:v>104152075</x:v>
      </x:c>
      <x:c r="BF661" s="9" t="n">
        <x:f>MOD(BE661*16807,2147483647)</x:f>
        <x:v>284752220</x:v>
      </x:c>
      <x:c r="BG661" s="17" t="n">
        <x:f>IF('Control Room'!$B$5="Normal",'Control Room'!$B$7+'Control Room'!$D$7*SQRT(-2*LN(MAX(0.000000000001,BE661/2147483647)))*COS(2*PI()*BF661/2147483647),'Control Room'!$B$8+('Control Room'!$D$8-'Control Room'!$B$8)*BE661/2147483647)</x:f>
        <x:v>1148.9138629553286</x:v>
      </x:c>
      <x:c r="BH661" s="17" t="n">
        <x:f>IF('Control Room'!$B$5="Normal",'Control Room'!$B$7,('Control Room'!$B$8+'Control Room'!$D$8)/2)+'Control Room'!$B$9*(BH660-IF('Control Room'!$B$5="Normal",'Control Room'!$B$7,('Control Room'!$B$8+'Control Room'!$D$8)/2))+SQRT(1-'Control Room'!$B$9^2)*(BG661-IF('Control Room'!$B$5="Normal",'Control Room'!$B$7,('Control Room'!$B$8+'Control Room'!$D$8)/2))</x:f>
        <x:v>1043.938409590089</x:v>
      </x:c>
      <x:c r="BI661" s="17" t="n">
        <x:f>IF(AND($A661&gt;='Control Room'!$A$13,$A661&lt;'Control Room'!$A$13+'Control Room'!$B$13,'Process'!BV2=1),1+('Control Room'!$C$13-1)*EXP(-0.5*(($A661-'Control Room'!$A$13-('Control Room'!$B$13-1)/2)/MAX(0.5,'Control Room'!$B$13/4))^2),1)*IF(AND($A661&gt;='Control Room'!$A$14,$A661&lt;'Control Room'!$A$14+'Control Room'!$B$14,'Process'!BV3=1),1+('Control Room'!$C$14-1)*EXP(-0.5*(($A661-'Control Room'!$A$14-('Control Room'!$B$14-1)/2)/MAX(0.5,'Control Room'!$B$14/4))^2),1)*IF(AND($A661&gt;='Control Room'!$A$15,$A661&lt;'Control Room'!$A$15+'Control Room'!$B$15,'Process'!BV4=1),1+('Control Room'!$C$15-1)*EXP(-0.5*(($A661-'Control Room'!$A$15-('Control Room'!$B$15-1)/2)/MAX(0.5,'Control Room'!$B$15/4))^2),1)*IF(AND($A661&gt;='Control Room'!$A$16,$A661&lt;'Control Room'!$A$16+'Control Room'!$B$16,'Process'!BV5=1),1+('Control Room'!$C$16-1)*EXP(-0.5*(($A661-'Control Room'!$A$16-('Control Room'!$B$16-1)/2)/MAX(0.5,'Control Room'!$B$16/4))^2),1)</x:f>
        <x:v>1</x:v>
      </x:c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Z661" t="str">
        <x:f>IF('Data'!A661="","",TEXT('Data'!A661,"mm-dd"))</x:f>
      </x:c>
    </x:row>
    <x:row r="662" ht="21" customHeight="1">
      <x:c r="A662" s="15" t="n">
        <x:f>'Control Room'!$B$1+660</x:f>
        <x:v>73651</x:v>
      </x:c>
      <x:c r="B662" s="9" t="n">
        <x:f>MOD(C661*16807,2147483647)</x:f>
        <x:v>1523700833</x:v>
      </x:c>
      <x:c r="C662" s="9" t="n">
        <x:f>MOD(B662*16807,2147483647)</x:f>
        <x:v>97409756</x:v>
      </x:c>
      <x:c r="D662" s="17" t="n">
        <x:f>IF('Control Room'!$B$5="Normal",'Control Room'!$B$7+'Control Room'!$D$7*SQRT(-2*LN(MAX(0.000000000001,B662/2147483647)))*COS(2*PI()*C662/2147483647),'Control Room'!$B$8+('Control Room'!$D$8-'Control Room'!$B$8)*B662/2147483647)</x:f>
        <x:v>1071.551697699836</x:v>
      </x:c>
      <x:c r="E662" s="17" t="n">
        <x:f>IF('Control Room'!$B$5="Normal",'Control Room'!$B$7,('Control Room'!$B$8+'Control Room'!$D$8)/2)+'Control Room'!$B$9*(E661-IF('Control Room'!$B$5="Normal",'Control Room'!$B$7,('Control Room'!$B$8+'Control Room'!$D$8)/2))+SQRT(1-'Control Room'!$B$9^2)*(D662-IF('Control Room'!$B$5="Normal",'Control Room'!$B$7,('Control Room'!$B$8+'Control Room'!$D$8)/2))</x:f>
        <x:v>958.5625273196815</x:v>
      </x:c>
      <x:c r="F662" s="17" t="n">
        <x:f>IF(AND($A662&gt;='Control Room'!$A$13,$A662&lt;'Control Room'!$A$13+'Control Room'!$B$13,'Process'!BK2=1),1+('Control Room'!$C$13-1)*EXP(-0.5*(($A662-'Control Room'!$A$13-('Control Room'!$B$13-1)/2)/MAX(0.5,'Control Room'!$B$13/4))^2),1)*IF(AND($A662&gt;='Control Room'!$A$14,$A662&lt;'Control Room'!$A$14+'Control Room'!$B$14,'Process'!BK3=1),1+('Control Room'!$C$14-1)*EXP(-0.5*(($A662-'Control Room'!$A$14-('Control Room'!$B$14-1)/2)/MAX(0.5,'Control Room'!$B$14/4))^2),1)*IF(AND($A662&gt;='Control Room'!$A$15,$A662&lt;'Control Room'!$A$15+'Control Room'!$B$15,'Process'!BK4=1),1+('Control Room'!$C$15-1)*EXP(-0.5*(($A662-'Control Room'!$A$15-('Control Room'!$B$15-1)/2)/MAX(0.5,'Control Room'!$B$15/4))^2),1)*IF(AND($A662&gt;='Control Room'!$A$16,$A662&lt;'Control Room'!$A$16+'Control Room'!$B$16,'Process'!BK5=1),1+('Control Room'!$C$16-1)*EXP(-0.5*(($A662-'Control Room'!$A$16-('Control Room'!$B$16-1)/2)/MAX(0.5,'Control Room'!$B$16/4))^2),1)</x:f>
        <x:v>1</x:v>
      </x:c>
      <x:c r="G662" s="9" t="n">
        <x:f>MOD(H661*16807,2147483647)</x:f>
        <x:v>521507829</x:v>
      </x:c>
      <x:c r="H662" s="9" t="n">
        <x:f>MOD(G662*16807,2147483647)</x:f>
        <x:v>1101318596</x:v>
      </x:c>
      <x:c r="I662" s="17" t="n">
        <x:f>IF('Control Room'!$B$5="Normal",'Control Room'!$B$7+'Control Room'!$D$7*SQRT(-2*LN(MAX(0.000000000001,G662/2147483647)))*COS(2*PI()*H662/2147483647),'Control Room'!$B$8+('Control Room'!$D$8-'Control Room'!$B$8)*G662/2147483647)</x:f>
        <x:v>849.0716464876608</x:v>
      </x:c>
      <x:c r="J662" s="17" t="n">
        <x:f>IF('Control Room'!$B$5="Normal",'Control Room'!$B$7,('Control Room'!$B$8+'Control Room'!$D$8)/2)+'Control Room'!$B$9*(J661-IF('Control Room'!$B$5="Normal",'Control Room'!$B$7,('Control Room'!$B$8+'Control Room'!$D$8)/2))+SQRT(1-'Control Room'!$B$9^2)*(I662-IF('Control Room'!$B$5="Normal",'Control Room'!$B$7,('Control Room'!$B$8+'Control Room'!$D$8)/2))</x:f>
        <x:v>858.6189459882777</x:v>
      </x:c>
      <x:c r="K662" s="17" t="n">
        <x:f>IF(AND($A662&gt;='Control Room'!$A$13,$A662&lt;'Control Room'!$A$13+'Control Room'!$B$13,'Process'!BL2=1),1+('Control Room'!$C$13-1)*EXP(-0.5*(($A662-'Control Room'!$A$13-('Control Room'!$B$13-1)/2)/MAX(0.5,'Control Room'!$B$13/4))^2),1)*IF(AND($A662&gt;='Control Room'!$A$14,$A662&lt;'Control Room'!$A$14+'Control Room'!$B$14,'Process'!BL3=1),1+('Control Room'!$C$14-1)*EXP(-0.5*(($A662-'Control Room'!$A$14-('Control Room'!$B$14-1)/2)/MAX(0.5,'Control Room'!$B$14/4))^2),1)*IF(AND($A662&gt;='Control Room'!$A$15,$A662&lt;'Control Room'!$A$15+'Control Room'!$B$15,'Process'!BL4=1),1+('Control Room'!$C$15-1)*EXP(-0.5*(($A662-'Control Room'!$A$15-('Control Room'!$B$15-1)/2)/MAX(0.5,'Control Room'!$B$15/4))^2),1)*IF(AND($A662&gt;='Control Room'!$A$16,$A662&lt;'Control Room'!$A$16+'Control Room'!$B$16,'Process'!BL5=1),1+('Control Room'!$C$16-1)*EXP(-0.5*(($A662-'Control Room'!$A$16-('Control Room'!$B$16-1)/2)/MAX(0.5,'Control Room'!$B$16/4))^2),1)</x:f>
        <x:v>1</x:v>
      </x:c>
      <x:c r="L662" s="9" t="n">
        <x:f>MOD(M661*16807,2147483647)</x:f>
        <x:v>1666798472</x:v>
      </x:c>
      <x:c r="M662" s="9" t="n">
        <x:f>MOD(L662*16807,2147483647)</x:f>
        <x:v>2105227436</x:v>
      </x:c>
      <x:c r="N662" s="17" t="n">
        <x:f>IF('Control Room'!$B$5="Normal",'Control Room'!$B$7+'Control Room'!$D$7*SQRT(-2*LN(MAX(0.000000000001,L662/2147483647)))*COS(2*PI()*M662/2147483647),'Control Room'!$B$8+('Control Room'!$D$8-'Control Room'!$B$8)*L662/2147483647)</x:f>
        <x:v>1063.580845530307</x:v>
      </x:c>
      <x:c r="O662" s="17" t="n">
        <x:f>IF('Control Room'!$B$5="Normal",'Control Room'!$B$7,('Control Room'!$B$8+'Control Room'!$D$8)/2)+'Control Room'!$B$9*(O661-IF('Control Room'!$B$5="Normal",'Control Room'!$B$7,('Control Room'!$B$8+'Control Room'!$D$8)/2))+SQRT(1-'Control Room'!$B$9^2)*(N662-IF('Control Room'!$B$5="Normal",'Control Room'!$B$7,('Control Room'!$B$8+'Control Room'!$D$8)/2))</x:f>
        <x:v>1100.6777876437948</x:v>
      </x:c>
      <x:c r="P662" s="17" t="n">
        <x:f>IF(AND($A662&gt;='Control Room'!$A$13,$A662&lt;'Control Room'!$A$13+'Control Room'!$B$13,'Process'!BM2=1),1+('Control Room'!$C$13-1)*EXP(-0.5*(($A662-'Control Room'!$A$13-('Control Room'!$B$13-1)/2)/MAX(0.5,'Control Room'!$B$13/4))^2),1)*IF(AND($A662&gt;='Control Room'!$A$14,$A662&lt;'Control Room'!$A$14+'Control Room'!$B$14,'Process'!BM3=1),1+('Control Room'!$C$14-1)*EXP(-0.5*(($A662-'Control Room'!$A$14-('Control Room'!$B$14-1)/2)/MAX(0.5,'Control Room'!$B$14/4))^2),1)*IF(AND($A662&gt;='Control Room'!$A$15,$A662&lt;'Control Room'!$A$15+'Control Room'!$B$15,'Process'!BM4=1),1+('Control Room'!$C$15-1)*EXP(-0.5*(($A662-'Control Room'!$A$15-('Control Room'!$B$15-1)/2)/MAX(0.5,'Control Room'!$B$15/4))^2),1)*IF(AND($A662&gt;='Control Room'!$A$16,$A662&lt;'Control Room'!$A$16+'Control Room'!$B$16,'Process'!BM5=1),1+('Control Room'!$C$16-1)*EXP(-0.5*(($A662-'Control Room'!$A$16-('Control Room'!$B$16-1)/2)/MAX(0.5,'Control Room'!$B$16/4))^2),1)</x:f>
        <x:v>1</x:v>
      </x:c>
      <x:c r="Q662" s="9" t="n">
        <x:f>MOD(R661*16807,2147483647)</x:f>
        <x:v>664605468</x:v>
      </x:c>
      <x:c r="R662" s="9" t="n">
        <x:f>MOD(Q662*16807,2147483647)</x:f>
        <x:v>961652629</x:v>
      </x:c>
      <x:c r="S662" s="17" t="n">
        <x:f>IF('Control Room'!$B$5="Normal",'Control Room'!$B$7+'Control Room'!$D$7*SQRT(-2*LN(MAX(0.000000000001,Q662/2147483647)))*COS(2*PI()*R662/2147483647),'Control Room'!$B$8+('Control Room'!$D$8-'Control Room'!$B$8)*Q662/2147483647)</x:f>
        <x:v>869.5049212880383</x:v>
      </x:c>
      <x:c r="T662" s="17" t="n">
        <x:f>IF('Control Room'!$B$5="Normal",'Control Room'!$B$7,('Control Room'!$B$8+'Control Room'!$D$8)/2)+'Control Room'!$B$9*(T661-IF('Control Room'!$B$5="Normal",'Control Room'!$B$7,('Control Room'!$B$8+'Control Room'!$D$8)/2))+SQRT(1-'Control Room'!$B$9^2)*(S662-IF('Control Room'!$B$5="Normal",'Control Room'!$B$7,('Control Room'!$B$8+'Control Room'!$D$8)/2))</x:f>
        <x:v>937.8473758419863</x:v>
      </x:c>
      <x:c r="U662" s="17" t="n">
        <x:f>IF(AND($A662&gt;='Control Room'!$A$13,$A662&lt;'Control Room'!$A$13+'Control Room'!$B$13,'Process'!BN2=1),1+('Control Room'!$C$13-1)*EXP(-0.5*(($A662-'Control Room'!$A$13-('Control Room'!$B$13-1)/2)/MAX(0.5,'Control Room'!$B$13/4))^2),1)*IF(AND($A662&gt;='Control Room'!$A$14,$A662&lt;'Control Room'!$A$14+'Control Room'!$B$14,'Process'!BN3=1),1+('Control Room'!$C$14-1)*EXP(-0.5*(($A662-'Control Room'!$A$14-('Control Room'!$B$14-1)/2)/MAX(0.5,'Control Room'!$B$14/4))^2),1)*IF(AND($A662&gt;='Control Room'!$A$15,$A662&lt;'Control Room'!$A$15+'Control Room'!$B$15,'Process'!BN4=1),1+('Control Room'!$C$15-1)*EXP(-0.5*(($A662-'Control Room'!$A$15-('Control Room'!$B$15-1)/2)/MAX(0.5,'Control Room'!$B$15/4))^2),1)*IF(AND($A662&gt;='Control Room'!$A$16,$A662&lt;'Control Room'!$A$16+'Control Room'!$B$16,'Process'!BN5=1),1+('Control Room'!$C$16-1)*EXP(-0.5*(($A662-'Control Room'!$A$16-('Control Room'!$B$16-1)/2)/MAX(0.5,'Control Room'!$B$16/4))^2),1)</x:f>
        <x:v>1</x:v>
      </x:c>
      <x:c r="V662" s="9" t="n">
        <x:f>MOD(W661*16807,2147483647)</x:f>
        <x:v>1809896111</x:v>
      </x:c>
      <x:c r="W662" s="9" t="n">
        <x:f>MOD(V662*16807,2147483647)</x:f>
        <x:v>1965561469</x:v>
      </x:c>
      <x:c r="X662" s="17" t="n">
        <x:f>IF('Control Room'!$B$5="Normal",'Control Room'!$B$7+'Control Room'!$D$7*SQRT(-2*LN(MAX(0.000000000001,V662/2147483647)))*COS(2*PI()*W662/2147483647),'Control Room'!$B$8+('Control Room'!$D$8-'Control Room'!$B$8)*V662/2147483647)</x:f>
        <x:v>1045.3548424049789</x:v>
      </x:c>
      <x:c r="Y662" s="17" t="n">
        <x:f>IF('Control Room'!$B$5="Normal",'Control Room'!$B$7,('Control Room'!$B$8+'Control Room'!$D$8)/2)+'Control Room'!$B$9*(Y661-IF('Control Room'!$B$5="Normal",'Control Room'!$B$7,('Control Room'!$B$8+'Control Room'!$D$8)/2))+SQRT(1-'Control Room'!$B$9^2)*(X662-IF('Control Room'!$B$5="Normal",'Control Room'!$B$7,('Control Room'!$B$8+'Control Room'!$D$8)/2))</x:f>
        <x:v>1140.1913454445344</x:v>
      </x:c>
      <x:c r="Z662" s="17" t="n">
        <x:f>IF(AND($A662&gt;='Control Room'!$A$13,$A662&lt;'Control Room'!$A$13+'Control Room'!$B$13,'Process'!BO2=1),1+('Control Room'!$C$13-1)*EXP(-0.5*(($A662-'Control Room'!$A$13-('Control Room'!$B$13-1)/2)/MAX(0.5,'Control Room'!$B$13/4))^2),1)*IF(AND($A662&gt;='Control Room'!$A$14,$A662&lt;'Control Room'!$A$14+'Control Room'!$B$14,'Process'!BO3=1),1+('Control Room'!$C$14-1)*EXP(-0.5*(($A662-'Control Room'!$A$14-('Control Room'!$B$14-1)/2)/MAX(0.5,'Control Room'!$B$14/4))^2),1)*IF(AND($A662&gt;='Control Room'!$A$15,$A662&lt;'Control Room'!$A$15+'Control Room'!$B$15,'Process'!BO4=1),1+('Control Room'!$C$15-1)*EXP(-0.5*(($A662-'Control Room'!$A$15-('Control Room'!$B$15-1)/2)/MAX(0.5,'Control Room'!$B$15/4))^2),1)*IF(AND($A662&gt;='Control Room'!$A$16,$A662&lt;'Control Room'!$A$16+'Control Room'!$B$16,'Process'!BO5=1),1+('Control Room'!$C$16-1)*EXP(-0.5*(($A662-'Control Room'!$A$16-('Control Room'!$B$16-1)/2)/MAX(0.5,'Control Room'!$B$16/4))^2),1)</x:f>
        <x:v>1</x:v>
      </x:c>
      <x:c r="AA662" s="9" t="n">
        <x:f>MOD(AB661*16807,2147483647)</x:f>
        <x:v>807703107</x:v>
      </x:c>
      <x:c r="AB662" s="9" t="n">
        <x:f>MOD(AA662*16807,2147483647)</x:f>
        <x:v>821986662</x:v>
      </x:c>
      <x:c r="AC662" s="17" t="n">
        <x:f>IF('Control Room'!$B$5="Normal",'Control Room'!$B$7+'Control Room'!$D$7*SQRT(-2*LN(MAX(0.000000000001,AA662/2147483647)))*COS(2*PI()*AB662/2147483647),'Control Room'!$B$8+('Control Room'!$D$8-'Control Room'!$B$8)*AA662/2147483647)</x:f>
        <x:v>906.7662400773489</x:v>
      </x:c>
      <x:c r="AD662" s="17" t="n">
        <x:f>IF('Control Room'!$B$5="Normal",'Control Room'!$B$7,('Control Room'!$B$8+'Control Room'!$D$8)/2)+'Control Room'!$B$9*(AD661-IF('Control Room'!$B$5="Normal",'Control Room'!$B$7,('Control Room'!$B$8+'Control Room'!$D$8)/2))+SQRT(1-'Control Room'!$B$9^2)*(AC662-IF('Control Room'!$B$5="Normal",'Control Room'!$B$7,('Control Room'!$B$8+'Control Room'!$D$8)/2))</x:f>
        <x:v>904.6399411640706</x:v>
      </x:c>
      <x:c r="AE662" s="17" t="n">
        <x:f>IF(AND($A662&gt;='Control Room'!$A$13,$A662&lt;'Control Room'!$A$13+'Control Room'!$B$13,'Process'!BP2=1),1+('Control Room'!$C$13-1)*EXP(-0.5*(($A662-'Control Room'!$A$13-('Control Room'!$B$13-1)/2)/MAX(0.5,'Control Room'!$B$13/4))^2),1)*IF(AND($A662&gt;='Control Room'!$A$14,$A662&lt;'Control Room'!$A$14+'Control Room'!$B$14,'Process'!BP3=1),1+('Control Room'!$C$14-1)*EXP(-0.5*(($A662-'Control Room'!$A$14-('Control Room'!$B$14-1)/2)/MAX(0.5,'Control Room'!$B$14/4))^2),1)*IF(AND($A662&gt;='Control Room'!$A$15,$A662&lt;'Control Room'!$A$15+'Control Room'!$B$15,'Process'!BP4=1),1+('Control Room'!$C$15-1)*EXP(-0.5*(($A662-'Control Room'!$A$15-('Control Room'!$B$15-1)/2)/MAX(0.5,'Control Room'!$B$15/4))^2),1)*IF(AND($A662&gt;='Control Room'!$A$16,$A662&lt;'Control Room'!$A$16+'Control Room'!$B$16,'Process'!BP5=1),1+('Control Room'!$C$16-1)*EXP(-0.5*(($A662-'Control Room'!$A$16-('Control Room'!$B$16-1)/2)/MAX(0.5,'Control Room'!$B$16/4))^2),1)</x:f>
        <x:v>1</x:v>
      </x:c>
      <x:c r="AF662" s="9" t="n">
        <x:f>MOD(AG661*16807,2147483647)</x:f>
        <x:v>1952993750</x:v>
      </x:c>
      <x:c r="AG662" s="9" t="n">
        <x:f>MOD(AF662*16807,2147483647)</x:f>
        <x:v>1825895502</x:v>
      </x:c>
      <x:c r="AH662" s="17" t="n">
        <x:f>IF('Control Room'!$B$5="Normal",'Control Room'!$B$7+'Control Room'!$D$7*SQRT(-2*LN(MAX(0.000000000001,AF662/2147483647)))*COS(2*PI()*AG662/2147483647),'Control Room'!$B$8+('Control Room'!$D$8-'Control Room'!$B$8)*AF662/2147483647)</x:f>
        <x:v>1023.100352101278</x:v>
      </x:c>
      <x:c r="AI662" s="17" t="n">
        <x:f>IF('Control Room'!$B$5="Normal",'Control Room'!$B$7,('Control Room'!$B$8+'Control Room'!$D$8)/2)+'Control Room'!$B$9*(AI661-IF('Control Room'!$B$5="Normal",'Control Room'!$B$7,('Control Room'!$B$8+'Control Room'!$D$8)/2))+SQRT(1-'Control Room'!$B$9^2)*(AH662-IF('Control Room'!$B$5="Normal",'Control Room'!$B$7,('Control Room'!$B$8+'Control Room'!$D$8)/2))</x:f>
        <x:v>978.5240379219397</x:v>
      </x:c>
      <x:c r="AJ662" s="17" t="n">
        <x:f>IF(AND($A662&gt;='Control Room'!$A$13,$A662&lt;'Control Room'!$A$13+'Control Room'!$B$13,'Process'!BQ2=1),1+('Control Room'!$C$13-1)*EXP(-0.5*(($A662-'Control Room'!$A$13-('Control Room'!$B$13-1)/2)/MAX(0.5,'Control Room'!$B$13/4))^2),1)*IF(AND($A662&gt;='Control Room'!$A$14,$A662&lt;'Control Room'!$A$14+'Control Room'!$B$14,'Process'!BQ3=1),1+('Control Room'!$C$14-1)*EXP(-0.5*(($A662-'Control Room'!$A$14-('Control Room'!$B$14-1)/2)/MAX(0.5,'Control Room'!$B$14/4))^2),1)*IF(AND($A662&gt;='Control Room'!$A$15,$A662&lt;'Control Room'!$A$15+'Control Room'!$B$15,'Process'!BQ4=1),1+('Control Room'!$C$15-1)*EXP(-0.5*(($A662-'Control Room'!$A$15-('Control Room'!$B$15-1)/2)/MAX(0.5,'Control Room'!$B$15/4))^2),1)*IF(AND($A662&gt;='Control Room'!$A$16,$A662&lt;'Control Room'!$A$16+'Control Room'!$B$16,'Process'!BQ5=1),1+('Control Room'!$C$16-1)*EXP(-0.5*(($A662-'Control Room'!$A$16-('Control Room'!$B$16-1)/2)/MAX(0.5,'Control Room'!$B$16/4))^2),1)</x:f>
        <x:v>1</x:v>
      </x:c>
      <x:c r="AK662" s="9" t="n">
        <x:f>MOD(AL661*16807,2147483647)</x:f>
        <x:v>950800746</x:v>
      </x:c>
      <x:c r="AL662" s="9" t="n">
        <x:f>MOD(AK662*16807,2147483647)</x:f>
        <x:v>682320695</x:v>
      </x:c>
      <x:c r="AM662" s="17" t="n">
        <x:f>IF('Control Room'!$B$5="Normal",'Control Room'!$B$7+'Control Room'!$D$7*SQRT(-2*LN(MAX(0.000000000001,AK662/2147483647)))*COS(2*PI()*AL662/2147483647),'Control Room'!$B$8+('Control Room'!$D$8-'Control Room'!$B$8)*AK662/2147483647)</x:f>
        <x:v>952.5710655964755</x:v>
      </x:c>
      <x:c r="AN662" s="17" t="n">
        <x:f>IF('Control Room'!$B$5="Normal",'Control Room'!$B$7,('Control Room'!$B$8+'Control Room'!$D$8)/2)+'Control Room'!$B$9*(AN661-IF('Control Room'!$B$5="Normal",'Control Room'!$B$7,('Control Room'!$B$8+'Control Room'!$D$8)/2))+SQRT(1-'Control Room'!$B$9^2)*(AM662-IF('Control Room'!$B$5="Normal",'Control Room'!$B$7,('Control Room'!$B$8+'Control Room'!$D$8)/2))</x:f>
        <x:v>931.8169782428683</x:v>
      </x:c>
      <x:c r="AO662" s="17" t="n">
        <x:f>IF(AND($A662&gt;='Control Room'!$A$13,$A662&lt;'Control Room'!$A$13+'Control Room'!$B$13,'Process'!BR2=1),1+('Control Room'!$C$13-1)*EXP(-0.5*(($A662-'Control Room'!$A$13-('Control Room'!$B$13-1)/2)/MAX(0.5,'Control Room'!$B$13/4))^2),1)*IF(AND($A662&gt;='Control Room'!$A$14,$A662&lt;'Control Room'!$A$14+'Control Room'!$B$14,'Process'!BR3=1),1+('Control Room'!$C$14-1)*EXP(-0.5*(($A662-'Control Room'!$A$14-('Control Room'!$B$14-1)/2)/MAX(0.5,'Control Room'!$B$14/4))^2),1)*IF(AND($A662&gt;='Control Room'!$A$15,$A662&lt;'Control Room'!$A$15+'Control Room'!$B$15,'Process'!BR4=1),1+('Control Room'!$C$15-1)*EXP(-0.5*(($A662-'Control Room'!$A$15-('Control Room'!$B$15-1)/2)/MAX(0.5,'Control Room'!$B$15/4))^2),1)*IF(AND($A662&gt;='Control Room'!$A$16,$A662&lt;'Control Room'!$A$16+'Control Room'!$B$16,'Process'!BR5=1),1+('Control Room'!$C$16-1)*EXP(-0.5*(($A662-'Control Room'!$A$16-('Control Room'!$B$16-1)/2)/MAX(0.5,'Control Room'!$B$16/4))^2),1)</x:f>
        <x:v>1</x:v>
      </x:c>
      <x:c r="AP662" s="9" t="n">
        <x:f>MOD(AQ661*16807,2147483647)</x:f>
        <x:v>2096091389</x:v>
      </x:c>
      <x:c r="AQ662" s="9" t="n">
        <x:f>MOD(AP662*16807,2147483647)</x:f>
        <x:v>1686229535</x:v>
      </x:c>
      <x:c r="AR662" s="17" t="n">
        <x:f>IF('Control Room'!$B$5="Normal",'Control Room'!$B$7+'Control Room'!$D$7*SQRT(-2*LN(MAX(0.000000000001,AP662/2147483647)))*COS(2*PI()*AQ662/2147483647),'Control Room'!$B$8+('Control Room'!$D$8-'Control Room'!$B$8)*AP662/2147483647)</x:f>
        <x:v>1004.346958943255</x:v>
      </x:c>
      <x:c r="AS662" s="17" t="n">
        <x:f>IF('Control Room'!$B$5="Normal",'Control Room'!$B$7,('Control Room'!$B$8+'Control Room'!$D$8)/2)+'Control Room'!$B$9*(AS661-IF('Control Room'!$B$5="Normal",'Control Room'!$B$7,('Control Room'!$B$8+'Control Room'!$D$8)/2))+SQRT(1-'Control Room'!$B$9^2)*(AR662-IF('Control Room'!$B$5="Normal",'Control Room'!$B$7,('Control Room'!$B$8+'Control Room'!$D$8)/2))</x:f>
        <x:v>1054.5932508960018</x:v>
      </x:c>
      <x:c r="AT662" s="17" t="n">
        <x:f>IF(AND($A662&gt;='Control Room'!$A$13,$A662&lt;'Control Room'!$A$13+'Control Room'!$B$13,'Process'!BS2=1),1+('Control Room'!$C$13-1)*EXP(-0.5*(($A662-'Control Room'!$A$13-('Control Room'!$B$13-1)/2)/MAX(0.5,'Control Room'!$B$13/4))^2),1)*IF(AND($A662&gt;='Control Room'!$A$14,$A662&lt;'Control Room'!$A$14+'Control Room'!$B$14,'Process'!BS3=1),1+('Control Room'!$C$14-1)*EXP(-0.5*(($A662-'Control Room'!$A$14-('Control Room'!$B$14-1)/2)/MAX(0.5,'Control Room'!$B$14/4))^2),1)*IF(AND($A662&gt;='Control Room'!$A$15,$A662&lt;'Control Room'!$A$15+'Control Room'!$B$15,'Process'!BS4=1),1+('Control Room'!$C$15-1)*EXP(-0.5*(($A662-'Control Room'!$A$15-('Control Room'!$B$15-1)/2)/MAX(0.5,'Control Room'!$B$15/4))^2),1)*IF(AND($A662&gt;='Control Room'!$A$16,$A662&lt;'Control Room'!$A$16+'Control Room'!$B$16,'Process'!BS5=1),1+('Control Room'!$C$16-1)*EXP(-0.5*(($A662-'Control Room'!$A$16-('Control Room'!$B$16-1)/2)/MAX(0.5,'Control Room'!$B$16/4))^2),1)</x:f>
        <x:v>1</x:v>
      </x:c>
      <x:c r="AU662" s="9" t="n">
        <x:f>MOD(AV661*16807,2147483647)</x:f>
        <x:v>1093898385</x:v>
      </x:c>
      <x:c r="AV662" s="9" t="n">
        <x:f>MOD(AU662*16807,2147483647)</x:f>
        <x:v>542654728</x:v>
      </x:c>
      <x:c r="AW662" s="17" t="n">
        <x:f>IF('Control Room'!$B$5="Normal",'Control Room'!$B$7+'Control Room'!$D$7*SQRT(-2*LN(MAX(0.000000000001,AU662/2147483647)))*COS(2*PI()*AV662/2147483647),'Control Room'!$B$8+('Control Room'!$D$8-'Control Room'!$B$8)*AU662/2147483647)</x:f>
        <x:v>998.2310807733876</x:v>
      </x:c>
      <x:c r="AX662" s="17" t="n">
        <x:f>IF('Control Room'!$B$5="Normal",'Control Room'!$B$7,('Control Room'!$B$8+'Control Room'!$D$8)/2)+'Control Room'!$B$9*(AX661-IF('Control Room'!$B$5="Normal",'Control Room'!$B$7,('Control Room'!$B$8+'Control Room'!$D$8)/2))+SQRT(1-'Control Room'!$B$9^2)*(AW662-IF('Control Room'!$B$5="Normal",'Control Room'!$B$7,('Control Room'!$B$8+'Control Room'!$D$8)/2))</x:f>
        <x:v>938.0768969431487</x:v>
      </x:c>
      <x:c r="AY662" s="17" t="n">
        <x:f>IF(AND($A662&gt;='Control Room'!$A$13,$A662&lt;'Control Room'!$A$13+'Control Room'!$B$13,'Process'!BT2=1),1+('Control Room'!$C$13-1)*EXP(-0.5*(($A662-'Control Room'!$A$13-('Control Room'!$B$13-1)/2)/MAX(0.5,'Control Room'!$B$13/4))^2),1)*IF(AND($A662&gt;='Control Room'!$A$14,$A662&lt;'Control Room'!$A$14+'Control Room'!$B$14,'Process'!BT3=1),1+('Control Room'!$C$14-1)*EXP(-0.5*(($A662-'Control Room'!$A$14-('Control Room'!$B$14-1)/2)/MAX(0.5,'Control Room'!$B$14/4))^2),1)*IF(AND($A662&gt;='Control Room'!$A$15,$A662&lt;'Control Room'!$A$15+'Control Room'!$B$15,'Process'!BT4=1),1+('Control Room'!$C$15-1)*EXP(-0.5*(($A662-'Control Room'!$A$15-('Control Room'!$B$15-1)/2)/MAX(0.5,'Control Room'!$B$15/4))^2),1)*IF(AND($A662&gt;='Control Room'!$A$16,$A662&lt;'Control Room'!$A$16+'Control Room'!$B$16,'Process'!BT5=1),1+('Control Room'!$C$16-1)*EXP(-0.5*(($A662-'Control Room'!$A$16-('Control Room'!$B$16-1)/2)/MAX(0.5,'Control Room'!$B$16/4))^2),1)</x:f>
        <x:v>1</x:v>
      </x:c>
      <x:c r="AZ662" s="9" t="n">
        <x:f>MOD(BA661*16807,2147483647)</x:f>
        <x:v>91705381</x:v>
      </x:c>
      <x:c r="BA662" s="9" t="n">
        <x:f>MOD(AZ662*16807,2147483647)</x:f>
        <x:v>1546563568</x:v>
      </x:c>
      <x:c r="BB662" s="17" t="n">
        <x:f>IF('Control Room'!$B$5="Normal",'Control Room'!$B$7+'Control Room'!$D$7*SQRT(-2*LN(MAX(0.000000000001,AZ662/2147483647)))*COS(2*PI()*BA662/2147483647),'Control Room'!$B$8+('Control Room'!$D$8-'Control Room'!$B$8)*AZ662/2147483647)</x:f>
        <x:v>957.8914268328339</x:v>
      </x:c>
      <x:c r="BC662" s="17" t="n">
        <x:f>IF('Control Room'!$B$5="Normal",'Control Room'!$B$7,('Control Room'!$B$8+'Control Room'!$D$8)/2)+'Control Room'!$B$9*(BC661-IF('Control Room'!$B$5="Normal",'Control Room'!$B$7,('Control Room'!$B$8+'Control Room'!$D$8)/2))+SQRT(1-'Control Room'!$B$9^2)*(BB662-IF('Control Room'!$B$5="Normal",'Control Room'!$B$7,('Control Room'!$B$8+'Control Room'!$D$8)/2))</x:f>
        <x:v>1041.84674311879</x:v>
      </x:c>
      <x:c r="BD662" s="17" t="n">
        <x:f>IF(AND($A662&gt;='Control Room'!$A$13,$A662&lt;'Control Room'!$A$13+'Control Room'!$B$13,'Process'!BU2=1),1+('Control Room'!$C$13-1)*EXP(-0.5*(($A662-'Control Room'!$A$13-('Control Room'!$B$13-1)/2)/MAX(0.5,'Control Room'!$B$13/4))^2),1)*IF(AND($A662&gt;='Control Room'!$A$14,$A662&lt;'Control Room'!$A$14+'Control Room'!$B$14,'Process'!BU3=1),1+('Control Room'!$C$14-1)*EXP(-0.5*(($A662-'Control Room'!$A$14-('Control Room'!$B$14-1)/2)/MAX(0.5,'Control Room'!$B$14/4))^2),1)*IF(AND($A662&gt;='Control Room'!$A$15,$A662&lt;'Control Room'!$A$15+'Control Room'!$B$15,'Process'!BU4=1),1+('Control Room'!$C$15-1)*EXP(-0.5*(($A662-'Control Room'!$A$15-('Control Room'!$B$15-1)/2)/MAX(0.5,'Control Room'!$B$15/4))^2),1)*IF(AND($A662&gt;='Control Room'!$A$16,$A662&lt;'Control Room'!$A$16+'Control Room'!$B$16,'Process'!BU5=1),1+('Control Room'!$C$16-1)*EXP(-0.5*(($A662-'Control Room'!$A$16-('Control Room'!$B$16-1)/2)/MAX(0.5,'Control Room'!$B$16/4))^2),1)</x:f>
        <x:v>1</x:v>
      </x:c>
      <x:c r="BE662" s="9" t="n">
        <x:f>MOD(BF661*16807,2147483647)</x:f>
        <x:v>1236996024</x:v>
      </x:c>
      <x:c r="BF662" s="9" t="n">
        <x:f>MOD(BE662*16807,2147483647)</x:f>
        <x:v>402988761</x:v>
      </x:c>
      <x:c r="BG662" s="17" t="n">
        <x:f>IF('Control Room'!$B$5="Normal",'Control Room'!$B$7+'Control Room'!$D$7*SQRT(-2*LN(MAX(0.000000000001,BE662/2147483647)))*COS(2*PI()*BF662/2147483647),'Control Room'!$B$8+('Control Room'!$D$8-'Control Room'!$B$8)*BE662/2147483647)</x:f>
        <x:v>1036.0896528864155</x:v>
      </x:c>
      <x:c r="BH662" s="17" t="n">
        <x:f>IF('Control Room'!$B$5="Normal",'Control Room'!$B$7,('Control Room'!$B$8+'Control Room'!$D$8)/2)+'Control Room'!$B$9*(BH661-IF('Control Room'!$B$5="Normal",'Control Room'!$B$7,('Control Room'!$B$8+'Control Room'!$D$8)/2))+SQRT(1-'Control Room'!$B$9^2)*(BG662-IF('Control Room'!$B$5="Normal",'Control Room'!$B$7,('Control Room'!$B$8+'Control Room'!$D$8)/2))</x:f>
        <x:v>1056.8561249198622</x:v>
      </x:c>
      <x:c r="BI662" s="17" t="n">
        <x:f>IF(AND($A662&gt;='Control Room'!$A$13,$A662&lt;'Control Room'!$A$13+'Control Room'!$B$13,'Process'!BV2=1),1+('Control Room'!$C$13-1)*EXP(-0.5*(($A662-'Control Room'!$A$13-('Control Room'!$B$13-1)/2)/MAX(0.5,'Control Room'!$B$13/4))^2),1)*IF(AND($A662&gt;='Control Room'!$A$14,$A662&lt;'Control Room'!$A$14+'Control Room'!$B$14,'Process'!BV3=1),1+('Control Room'!$C$14-1)*EXP(-0.5*(($A662-'Control Room'!$A$14-('Control Room'!$B$14-1)/2)/MAX(0.5,'Control Room'!$B$14/4))^2),1)*IF(AND($A662&gt;='Control Room'!$A$15,$A662&lt;'Control Room'!$A$15+'Control Room'!$B$15,'Process'!BV4=1),1+('Control Room'!$C$15-1)*EXP(-0.5*(($A662-'Control Room'!$A$15-('Control Room'!$B$15-1)/2)/MAX(0.5,'Control Room'!$B$15/4))^2),1)*IF(AND($A662&gt;='Control Room'!$A$16,$A662&lt;'Control Room'!$A$16+'Control Room'!$B$16,'Process'!BV5=1),1+('Control Room'!$C$16-1)*EXP(-0.5*(($A662-'Control Room'!$A$16-('Control Room'!$B$16-1)/2)/MAX(0.5,'Control Room'!$B$16/4))^2),1)</x:f>
        <x:v>1</x:v>
      </x:c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Z662" t="str">
        <x:f>IF('Data'!A662="","",TEXT('Data'!A662,"mm-dd"))</x:f>
      </x:c>
    </x:row>
    <x:row r="663" ht="21" customHeight="1">
      <x:c r="A663" s="15" t="n">
        <x:f>'Control Room'!$B$1+661</x:f>
        <x:v>73652</x:v>
      </x:c>
      <x:c r="B663" s="9" t="n">
        <x:f>MOD(C662*16807,2147483647)</x:f>
        <x:v>783230078</x:v>
      </x:c>
      <x:c r="C663" s="9" t="n">
        <x:f>MOD(B663*16807,2147483647)</x:f>
        <x:v>1820648483</x:v>
      </x:c>
      <x:c r="D663" s="17" t="n">
        <x:f>IF('Control Room'!$B$5="Normal",'Control Room'!$B$7+'Control Room'!$D$7*SQRT(-2*LN(MAX(0.000000000001,B663/2147483647)))*COS(2*PI()*C663/2147483647),'Control Room'!$B$8+('Control Room'!$D$8-'Control Room'!$B$8)*B663/2147483647)</x:f>
        <x:v>1073.7017993061743</x:v>
      </x:c>
      <x:c r="E663" s="17" t="n">
        <x:f>IF('Control Room'!$B$5="Normal",'Control Room'!$B$7,('Control Room'!$B$8+'Control Room'!$D$8)/2)+'Control Room'!$B$9*(E662-IF('Control Room'!$B$5="Normal",'Control Room'!$B$7,('Control Room'!$B$8+'Control Room'!$D$8)/2))+SQRT(1-'Control Room'!$B$9^2)*(D663-IF('Control Room'!$B$5="Normal",'Control Room'!$B$7,('Control Room'!$B$8+'Control Room'!$D$8)/2))</x:f>
        <x:v>1013.7998474517283</x:v>
      </x:c>
      <x:c r="F663" s="17" t="n">
        <x:f>IF(AND($A663&gt;='Control Room'!$A$13,$A663&lt;'Control Room'!$A$13+'Control Room'!$B$13,'Process'!BK2=1),1+('Control Room'!$C$13-1)*EXP(-0.5*(($A663-'Control Room'!$A$13-('Control Room'!$B$13-1)/2)/MAX(0.5,'Control Room'!$B$13/4))^2),1)*IF(AND($A663&gt;='Control Room'!$A$14,$A663&lt;'Control Room'!$A$14+'Control Room'!$B$14,'Process'!BK3=1),1+('Control Room'!$C$14-1)*EXP(-0.5*(($A663-'Control Room'!$A$14-('Control Room'!$B$14-1)/2)/MAX(0.5,'Control Room'!$B$14/4))^2),1)*IF(AND($A663&gt;='Control Room'!$A$15,$A663&lt;'Control Room'!$A$15+'Control Room'!$B$15,'Process'!BK4=1),1+('Control Room'!$C$15-1)*EXP(-0.5*(($A663-'Control Room'!$A$15-('Control Room'!$B$15-1)/2)/MAX(0.5,'Control Room'!$B$15/4))^2),1)*IF(AND($A663&gt;='Control Room'!$A$16,$A663&lt;'Control Room'!$A$16+'Control Room'!$B$16,'Process'!BK5=1),1+('Control Room'!$C$16-1)*EXP(-0.5*(($A663-'Control Room'!$A$16-('Control Room'!$B$16-1)/2)/MAX(0.5,'Control Room'!$B$16/4))^2),1)</x:f>
        <x:v>1</x:v>
      </x:c>
      <x:c r="G663" s="9" t="n">
        <x:f>MOD(H662*16807,2147483647)</x:f>
        <x:v>700089479</x:v>
      </x:c>
      <x:c r="H663" s="9" t="n">
        <x:f>MOD(G663*16807,2147483647)</x:f>
        <x:v>340971640</x:v>
      </x:c>
      <x:c r="I663" s="17" t="n">
        <x:f>IF('Control Room'!$B$5="Normal",'Control Room'!$B$7+'Control Room'!$D$7*SQRT(-2*LN(MAX(0.000000000001,G663/2147483647)))*COS(2*PI()*H663/2147483647),'Control Room'!$B$8+('Control Room'!$D$8-'Control Room'!$B$8)*G663/2147483647)</x:f>
        <x:v>1073.0748014925266</x:v>
      </x:c>
      <x:c r="J663" s="17" t="n">
        <x:f>IF('Control Room'!$B$5="Normal",'Control Room'!$B$7,('Control Room'!$B$8+'Control Room'!$D$8)/2)+'Control Room'!$B$9*(J662-IF('Control Room'!$B$5="Normal",'Control Room'!$B$7,('Control Room'!$B$8+'Control Room'!$D$8)/2))+SQRT(1-'Control Room'!$B$9^2)*(I663-IF('Control Room'!$B$5="Normal",'Control Room'!$B$7,('Control Room'!$B$8+'Control Room'!$D$8)/2))</x:f>
        <x:v>935.451491626201</x:v>
      </x:c>
      <x:c r="K663" s="17" t="n">
        <x:f>IF(AND($A663&gt;='Control Room'!$A$13,$A663&lt;'Control Room'!$A$13+'Control Room'!$B$13,'Process'!BL2=1),1+('Control Room'!$C$13-1)*EXP(-0.5*(($A663-'Control Room'!$A$13-('Control Room'!$B$13-1)/2)/MAX(0.5,'Control Room'!$B$13/4))^2),1)*IF(AND($A663&gt;='Control Room'!$A$14,$A663&lt;'Control Room'!$A$14+'Control Room'!$B$14,'Process'!BL3=1),1+('Control Room'!$C$14-1)*EXP(-0.5*(($A663-'Control Room'!$A$14-('Control Room'!$B$14-1)/2)/MAX(0.5,'Control Room'!$B$14/4))^2),1)*IF(AND($A663&gt;='Control Room'!$A$15,$A663&lt;'Control Room'!$A$15+'Control Room'!$B$15,'Process'!BL4=1),1+('Control Room'!$C$15-1)*EXP(-0.5*(($A663-'Control Room'!$A$15-('Control Room'!$B$15-1)/2)/MAX(0.5,'Control Room'!$B$15/4))^2),1)*IF(AND($A663&gt;='Control Room'!$A$16,$A663&lt;'Control Room'!$A$16+'Control Room'!$B$16,'Process'!BL5=1),1+('Control Room'!$C$16-1)*EXP(-0.5*(($A663-'Control Room'!$A$16-('Control Room'!$B$16-1)/2)/MAX(0.5,'Control Room'!$B$16/4))^2),1)</x:f>
        <x:v>1</x:v>
      </x:c>
      <x:c r="L663" s="9" t="n">
        <x:f>MOD(M662*16807,2147483647)</x:f>
        <x:v>616948880</x:v>
      </x:c>
      <x:c r="M663" s="9" t="n">
        <x:f>MOD(L663*16807,2147483647)</x:f>
        <x:v>1008778444</x:v>
      </x:c>
      <x:c r="N663" s="17" t="n">
        <x:f>IF('Control Room'!$B$5="Normal",'Control Room'!$B$7+'Control Room'!$D$7*SQRT(-2*LN(MAX(0.000000000001,L663/2147483647)))*COS(2*PI()*M663/2147483647),'Control Room'!$B$8+('Control Room'!$D$8-'Control Room'!$B$8)*L663/2147483647)</x:f>
        <x:v>860.4131986265982</x:v>
      </x:c>
      <x:c r="O663" s="17" t="n">
        <x:f>IF('Control Room'!$B$5="Normal",'Control Room'!$B$7,('Control Room'!$B$8+'Control Room'!$D$8)/2)+'Control Room'!$B$9*(O662-IF('Control Room'!$B$5="Normal",'Control Room'!$B$7,('Control Room'!$B$8+'Control Room'!$D$8)/2))+SQRT(1-'Control Room'!$B$9^2)*(N663-IF('Control Room'!$B$5="Normal",'Control Room'!$B$7,('Control Room'!$B$8+'Control Room'!$D$8)/2))</x:f>
        <x:v>991.1781136537439</x:v>
      </x:c>
      <x:c r="P663" s="17" t="n">
        <x:f>IF(AND($A663&gt;='Control Room'!$A$13,$A663&lt;'Control Room'!$A$13+'Control Room'!$B$13,'Process'!BM2=1),1+('Control Room'!$C$13-1)*EXP(-0.5*(($A663-'Control Room'!$A$13-('Control Room'!$B$13-1)/2)/MAX(0.5,'Control Room'!$B$13/4))^2),1)*IF(AND($A663&gt;='Control Room'!$A$14,$A663&lt;'Control Room'!$A$14+'Control Room'!$B$14,'Process'!BM3=1),1+('Control Room'!$C$14-1)*EXP(-0.5*(($A663-'Control Room'!$A$14-('Control Room'!$B$14-1)/2)/MAX(0.5,'Control Room'!$B$14/4))^2),1)*IF(AND($A663&gt;='Control Room'!$A$15,$A663&lt;'Control Room'!$A$15+'Control Room'!$B$15,'Process'!BM4=1),1+('Control Room'!$C$15-1)*EXP(-0.5*(($A663-'Control Room'!$A$15-('Control Room'!$B$15-1)/2)/MAX(0.5,'Control Room'!$B$15/4))^2),1)*IF(AND($A663&gt;='Control Room'!$A$16,$A663&lt;'Control Room'!$A$16+'Control Room'!$B$16,'Process'!BM5=1),1+('Control Room'!$C$16-1)*EXP(-0.5*(($A663-'Control Room'!$A$16-('Control Room'!$B$16-1)/2)/MAX(0.5,'Control Room'!$B$16/4))^2),1)</x:f>
        <x:v>1</x:v>
      </x:c>
      <x:c r="Q663" s="9" t="n">
        <x:f>MOD(R662*16807,2147483647)</x:f>
        <x:v>533808281</x:v>
      </x:c>
      <x:c r="R663" s="9" t="n">
        <x:f>MOD(Q663*16807,2147483647)</x:f>
        <x:v>1676585248</x:v>
      </x:c>
      <x:c r="S663" s="17" t="n">
        <x:f>IF('Control Room'!$B$5="Normal",'Control Room'!$B$7+'Control Room'!$D$7*SQRT(-2*LN(MAX(0.000000000001,Q663/2147483647)))*COS(2*PI()*R663/2147483647),'Control Room'!$B$8+('Control Room'!$D$8-'Control Room'!$B$8)*Q663/2147483647)</x:f>
        <x:v>1028.8066208708722</x:v>
      </x:c>
      <x:c r="T663" s="17" t="n">
        <x:f>IF('Control Room'!$B$5="Normal",'Control Room'!$B$7,('Control Room'!$B$8+'Control Room'!$D$8)/2)+'Control Room'!$B$9*(T662-IF('Control Room'!$B$5="Normal",'Control Room'!$B$7,('Control Room'!$B$8+'Control Room'!$D$8)/2))+SQRT(1-'Control Room'!$B$9^2)*(S663-IF('Control Room'!$B$5="Normal",'Control Room'!$B$7,('Control Room'!$B$8+'Control Room'!$D$8)/2))</x:f>
        <x:v>969.5475463620359</x:v>
      </x:c>
      <x:c r="U663" s="17" t="n">
        <x:f>IF(AND($A663&gt;='Control Room'!$A$13,$A663&lt;'Control Room'!$A$13+'Control Room'!$B$13,'Process'!BN2=1),1+('Control Room'!$C$13-1)*EXP(-0.5*(($A663-'Control Room'!$A$13-('Control Room'!$B$13-1)/2)/MAX(0.5,'Control Room'!$B$13/4))^2),1)*IF(AND($A663&gt;='Control Room'!$A$14,$A663&lt;'Control Room'!$A$14+'Control Room'!$B$14,'Process'!BN3=1),1+('Control Room'!$C$14-1)*EXP(-0.5*(($A663-'Control Room'!$A$14-('Control Room'!$B$14-1)/2)/MAX(0.5,'Control Room'!$B$14/4))^2),1)*IF(AND($A663&gt;='Control Room'!$A$15,$A663&lt;'Control Room'!$A$15+'Control Room'!$B$15,'Process'!BN4=1),1+('Control Room'!$C$15-1)*EXP(-0.5*(($A663-'Control Room'!$A$15-('Control Room'!$B$15-1)/2)/MAX(0.5,'Control Room'!$B$15/4))^2),1)*IF(AND($A663&gt;='Control Room'!$A$16,$A663&lt;'Control Room'!$A$16+'Control Room'!$B$16,'Process'!BN5=1),1+('Control Room'!$C$16-1)*EXP(-0.5*(($A663-'Control Room'!$A$16-('Control Room'!$B$16-1)/2)/MAX(0.5,'Control Room'!$B$16/4))^2),1)</x:f>
        <x:v>1</x:v>
      </x:c>
      <x:c r="V663" s="9" t="n">
        <x:f>MOD(W662*16807,2147483647)</x:f>
        <x:v>450667682</x:v>
      </x:c>
      <x:c r="W663" s="9" t="n">
        <x:f>MOD(V663*16807,2147483647)</x:f>
        <x:v>196908405</x:v>
      </x:c>
      <x:c r="X663" s="17" t="n">
        <x:f>IF('Control Room'!$B$5="Normal",'Control Room'!$B$7+'Control Room'!$D$7*SQRT(-2*LN(MAX(0.000000000001,V663/2147483647)))*COS(2*PI()*W663/2147483647),'Control Room'!$B$8+('Control Room'!$D$8-'Control Room'!$B$8)*V663/2147483647)</x:f>
        <x:v>1133.3672272033948</x:v>
      </x:c>
      <x:c r="Y663" s="17" t="n">
        <x:f>IF('Control Room'!$B$5="Normal",'Control Room'!$B$7,('Control Room'!$B$8+'Control Room'!$D$8)/2)+'Control Room'!$B$9*(Y662-IF('Control Room'!$B$5="Normal",'Control Room'!$B$7,('Control Room'!$B$8+'Control Room'!$D$8)/2))+SQRT(1-'Control Room'!$B$9^2)*(X663-IF('Control Room'!$B$5="Normal",'Control Room'!$B$7,('Control Room'!$B$8+'Control Room'!$D$8)/2))</x:f>
        <x:v>1192.807728054465</x:v>
      </x:c>
      <x:c r="Z663" s="17" t="n">
        <x:f>IF(AND($A663&gt;='Control Room'!$A$13,$A663&lt;'Control Room'!$A$13+'Control Room'!$B$13,'Process'!BO2=1),1+('Control Room'!$C$13-1)*EXP(-0.5*(($A663-'Control Room'!$A$13-('Control Room'!$B$13-1)/2)/MAX(0.5,'Control Room'!$B$13/4))^2),1)*IF(AND($A663&gt;='Control Room'!$A$14,$A663&lt;'Control Room'!$A$14+'Control Room'!$B$14,'Process'!BO3=1),1+('Control Room'!$C$14-1)*EXP(-0.5*(($A663-'Control Room'!$A$14-('Control Room'!$B$14-1)/2)/MAX(0.5,'Control Room'!$B$14/4))^2),1)*IF(AND($A663&gt;='Control Room'!$A$15,$A663&lt;'Control Room'!$A$15+'Control Room'!$B$15,'Process'!BO4=1),1+('Control Room'!$C$15-1)*EXP(-0.5*(($A663-'Control Room'!$A$15-('Control Room'!$B$15-1)/2)/MAX(0.5,'Control Room'!$B$15/4))^2),1)*IF(AND($A663&gt;='Control Room'!$A$16,$A663&lt;'Control Room'!$A$16+'Control Room'!$B$16,'Process'!BO5=1),1+('Control Room'!$C$16-1)*EXP(-0.5*(($A663-'Control Room'!$A$16-('Control Room'!$B$16-1)/2)/MAX(0.5,'Control Room'!$B$16/4))^2),1)</x:f>
        <x:v>1</x:v>
      </x:c>
      <x:c r="AA663" s="9" t="n">
        <x:f>MOD(AB662*16807,2147483647)</x:f>
        <x:v>367527083</x:v>
      </x:c>
      <x:c r="AB663" s="9" t="n">
        <x:f>MOD(AA663*16807,2147483647)</x:f>
        <x:v>864715209</x:v>
      </x:c>
      <x:c r="AC663" s="17" t="n">
        <x:f>IF('Control Room'!$B$5="Normal",'Control Room'!$B$7+'Control Room'!$D$7*SQRT(-2*LN(MAX(0.000000000001,AA663/2147483647)))*COS(2*PI()*AB663/2147483647),'Control Room'!$B$8+('Control Room'!$D$8-'Control Room'!$B$8)*AA663/2147483647)</x:f>
        <x:v>861.544900468851</x:v>
      </x:c>
      <x:c r="AD663" s="17" t="n">
        <x:f>IF('Control Room'!$B$5="Normal",'Control Room'!$B$7,('Control Room'!$B$8+'Control Room'!$D$8)/2)+'Control Room'!$B$9*(AD662-IF('Control Room'!$B$5="Normal",'Control Room'!$B$7,('Control Room'!$B$8+'Control Room'!$D$8)/2))+SQRT(1-'Control Room'!$B$9^2)*(AC663-IF('Control Room'!$B$5="Normal",'Control Room'!$B$7,('Control Room'!$B$8+'Control Room'!$D$8)/2))</x:f>
        <x:v>838.9767892282683</x:v>
      </x:c>
      <x:c r="AE663" s="17" t="n">
        <x:f>IF(AND($A663&gt;='Control Room'!$A$13,$A663&lt;'Control Room'!$A$13+'Control Room'!$B$13,'Process'!BP2=1),1+('Control Room'!$C$13-1)*EXP(-0.5*(($A663-'Control Room'!$A$13-('Control Room'!$B$13-1)/2)/MAX(0.5,'Control Room'!$B$13/4))^2),1)*IF(AND($A663&gt;='Control Room'!$A$14,$A663&lt;'Control Room'!$A$14+'Control Room'!$B$14,'Process'!BP3=1),1+('Control Room'!$C$14-1)*EXP(-0.5*(($A663-'Control Room'!$A$14-('Control Room'!$B$14-1)/2)/MAX(0.5,'Control Room'!$B$14/4))^2),1)*IF(AND($A663&gt;='Control Room'!$A$15,$A663&lt;'Control Room'!$A$15+'Control Room'!$B$15,'Process'!BP4=1),1+('Control Room'!$C$15-1)*EXP(-0.5*(($A663-'Control Room'!$A$15-('Control Room'!$B$15-1)/2)/MAX(0.5,'Control Room'!$B$15/4))^2),1)*IF(AND($A663&gt;='Control Room'!$A$16,$A663&lt;'Control Room'!$A$16+'Control Room'!$B$16,'Process'!BP5=1),1+('Control Room'!$C$16-1)*EXP(-0.5*(($A663-'Control Room'!$A$16-('Control Room'!$B$16-1)/2)/MAX(0.5,'Control Room'!$B$16/4))^2),1)</x:f>
        <x:v>1</x:v>
      </x:c>
      <x:c r="AF663" s="9" t="n">
        <x:f>MOD(AG662*16807,2147483647)</x:f>
        <x:v>284386484</x:v>
      </x:c>
      <x:c r="AG663" s="9" t="n">
        <x:f>MOD(AF663*16807,2147483647)</x:f>
        <x:v>1532522013</x:v>
      </x:c>
      <x:c r="AH663" s="17" t="n">
        <x:f>IF('Control Room'!$B$5="Normal",'Control Room'!$B$7+'Control Room'!$D$7*SQRT(-2*LN(MAX(0.000000000001,AF663/2147483647)))*COS(2*PI()*AG663/2147483647),'Control Room'!$B$8+('Control Room'!$D$8-'Control Room'!$B$8)*AF663/2147483647)</x:f>
        <x:v>959.0096130217629</x:v>
      </x:c>
      <x:c r="AI663" s="17" t="n">
        <x:f>IF('Control Room'!$B$5="Normal",'Control Room'!$B$7,('Control Room'!$B$8+'Control Room'!$D$8)/2)+'Control Room'!$B$9*(AI662-IF('Control Room'!$B$5="Normal",'Control Room'!$B$7,('Control Room'!$B$8+'Control Room'!$D$8)/2))+SQRT(1-'Control Room'!$B$9^2)*(AH663-IF('Control Room'!$B$5="Normal",'Control Room'!$B$7,('Control Room'!$B$8+'Control Room'!$D$8)/2))</x:f>
        <x:v>957.5978051418531</x:v>
      </x:c>
      <x:c r="AJ663" s="17" t="n">
        <x:f>IF(AND($A663&gt;='Control Room'!$A$13,$A663&lt;'Control Room'!$A$13+'Control Room'!$B$13,'Process'!BQ2=1),1+('Control Room'!$C$13-1)*EXP(-0.5*(($A663-'Control Room'!$A$13-('Control Room'!$B$13-1)/2)/MAX(0.5,'Control Room'!$B$13/4))^2),1)*IF(AND($A663&gt;='Control Room'!$A$14,$A663&lt;'Control Room'!$A$14+'Control Room'!$B$14,'Process'!BQ3=1),1+('Control Room'!$C$14-1)*EXP(-0.5*(($A663-'Control Room'!$A$14-('Control Room'!$B$14-1)/2)/MAX(0.5,'Control Room'!$B$14/4))^2),1)*IF(AND($A663&gt;='Control Room'!$A$15,$A663&lt;'Control Room'!$A$15+'Control Room'!$B$15,'Process'!BQ4=1),1+('Control Room'!$C$15-1)*EXP(-0.5*(($A663-'Control Room'!$A$15-('Control Room'!$B$15-1)/2)/MAX(0.5,'Control Room'!$B$15/4))^2),1)*IF(AND($A663&gt;='Control Room'!$A$16,$A663&lt;'Control Room'!$A$16+'Control Room'!$B$16,'Process'!BQ5=1),1+('Control Room'!$C$16-1)*EXP(-0.5*(($A663-'Control Room'!$A$16-('Control Room'!$B$16-1)/2)/MAX(0.5,'Control Room'!$B$16/4))^2),1)</x:f>
        <x:v>1</x:v>
      </x:c>
      <x:c r="AK663" s="9" t="n">
        <x:f>MOD(AL662*16807,2147483647)</x:f>
        <x:v>201245885</x:v>
      </x:c>
      <x:c r="AL663" s="9" t="n">
        <x:f>MOD(AK663*16807,2147483647)</x:f>
        <x:v>52845170</x:v>
      </x:c>
      <x:c r="AM663" s="17" t="n">
        <x:f>IF('Control Room'!$B$5="Normal",'Control Room'!$B$7+'Control Room'!$D$7*SQRT(-2*LN(MAX(0.000000000001,AK663/2147483647)))*COS(2*PI()*AL663/2147483647),'Control Room'!$B$8+('Control Room'!$D$8-'Control Room'!$B$8)*AK663/2147483647)</x:f>
        <x:v>1193.5052588705835</x:v>
      </x:c>
      <x:c r="AN663" s="17" t="n">
        <x:f>IF('Control Room'!$B$5="Normal",'Control Room'!$B$7,('Control Room'!$B$8+'Control Room'!$D$8)/2)+'Control Room'!$B$9*(AN662-IF('Control Room'!$B$5="Normal",'Control Room'!$B$7,('Control Room'!$B$8+'Control Room'!$D$8)/2))+SQRT(1-'Control Room'!$B$9^2)*(AM663-IF('Control Room'!$B$5="Normal",'Control Room'!$B$7,('Control Room'!$B$8+'Control Room'!$D$8)/2))</x:f>
        <x:v>1067.9088698599487</x:v>
      </x:c>
      <x:c r="AO663" s="17" t="n">
        <x:f>IF(AND($A663&gt;='Control Room'!$A$13,$A663&lt;'Control Room'!$A$13+'Control Room'!$B$13,'Process'!BR2=1),1+('Control Room'!$C$13-1)*EXP(-0.5*(($A663-'Control Room'!$A$13-('Control Room'!$B$13-1)/2)/MAX(0.5,'Control Room'!$B$13/4))^2),1)*IF(AND($A663&gt;='Control Room'!$A$14,$A663&lt;'Control Room'!$A$14+'Control Room'!$B$14,'Process'!BR3=1),1+('Control Room'!$C$14-1)*EXP(-0.5*(($A663-'Control Room'!$A$14-('Control Room'!$B$14-1)/2)/MAX(0.5,'Control Room'!$B$14/4))^2),1)*IF(AND($A663&gt;='Control Room'!$A$15,$A663&lt;'Control Room'!$A$15+'Control Room'!$B$15,'Process'!BR4=1),1+('Control Room'!$C$15-1)*EXP(-0.5*(($A663-'Control Room'!$A$15-('Control Room'!$B$15-1)/2)/MAX(0.5,'Control Room'!$B$15/4))^2),1)*IF(AND($A663&gt;='Control Room'!$A$16,$A663&lt;'Control Room'!$A$16+'Control Room'!$B$16,'Process'!BR5=1),1+('Control Room'!$C$16-1)*EXP(-0.5*(($A663-'Control Room'!$A$16-('Control Room'!$B$16-1)/2)/MAX(0.5,'Control Room'!$B$16/4))^2),1)</x:f>
        <x:v>1</x:v>
      </x:c>
      <x:c r="AP663" s="9" t="n">
        <x:f>MOD(AQ662*16807,2147483647)</x:f>
        <x:v>118105286</x:v>
      </x:c>
      <x:c r="AQ663" s="9" t="n">
        <x:f>MOD(AP663*16807,2147483647)</x:f>
        <x:v>720651974</x:v>
      </x:c>
      <x:c r="AR663" s="17" t="n">
        <x:f>IF('Control Room'!$B$5="Normal",'Control Room'!$B$7+'Control Room'!$D$7*SQRT(-2*LN(MAX(0.000000000001,AP663/2147483647)))*COS(2*PI()*AQ663/2147483647),'Control Room'!$B$8+('Control Room'!$D$8-'Control Room'!$B$8)*AP663/2147483647)</x:f>
        <x:v>888.9779983405955</x:v>
      </x:c>
      <x:c r="AS663" s="17" t="n">
        <x:f>IF('Control Room'!$B$5="Normal",'Control Room'!$B$7,('Control Room'!$B$8+'Control Room'!$D$8)/2)+'Control Room'!$B$9*(AS662-IF('Control Room'!$B$5="Normal",'Control Room'!$B$7,('Control Room'!$B$8+'Control Room'!$D$8)/2))+SQRT(1-'Control Room'!$B$9^2)*(AR663-IF('Control Room'!$B$5="Normal",'Control Room'!$B$7,('Control Room'!$B$8+'Control Room'!$D$8)/2))</x:f>
        <x:v>973.1074414697551</x:v>
      </x:c>
      <x:c r="AT663" s="17" t="n">
        <x:f>IF(AND($A663&gt;='Control Room'!$A$13,$A663&lt;'Control Room'!$A$13+'Control Room'!$B$13,'Process'!BS2=1),1+('Control Room'!$C$13-1)*EXP(-0.5*(($A663-'Control Room'!$A$13-('Control Room'!$B$13-1)/2)/MAX(0.5,'Control Room'!$B$13/4))^2),1)*IF(AND($A663&gt;='Control Room'!$A$14,$A663&lt;'Control Room'!$A$14+'Control Room'!$B$14,'Process'!BS3=1),1+('Control Room'!$C$14-1)*EXP(-0.5*(($A663-'Control Room'!$A$14-('Control Room'!$B$14-1)/2)/MAX(0.5,'Control Room'!$B$14/4))^2),1)*IF(AND($A663&gt;='Control Room'!$A$15,$A663&lt;'Control Room'!$A$15+'Control Room'!$B$15,'Process'!BS4=1),1+('Control Room'!$C$15-1)*EXP(-0.5*(($A663-'Control Room'!$A$15-('Control Room'!$B$15-1)/2)/MAX(0.5,'Control Room'!$B$15/4))^2),1)*IF(AND($A663&gt;='Control Room'!$A$16,$A663&lt;'Control Room'!$A$16+'Control Room'!$B$16,'Process'!BS5=1),1+('Control Room'!$C$16-1)*EXP(-0.5*(($A663-'Control Room'!$A$16-('Control Room'!$B$16-1)/2)/MAX(0.5,'Control Room'!$B$16/4))^2),1)</x:f>
        <x:v>1</x:v>
      </x:c>
      <x:c r="AU663" s="9" t="n">
        <x:f>MOD(AV662*16807,2147483647)</x:f>
        <x:v>34964687</x:v>
      </x:c>
      <x:c r="AV663" s="9" t="n">
        <x:f>MOD(AU663*16807,2147483647)</x:f>
        <x:v>1388458778</x:v>
      </x:c>
      <x:c r="AW663" s="17" t="n">
        <x:f>IF('Control Room'!$B$5="Normal",'Control Room'!$B$7+'Control Room'!$D$7*SQRT(-2*LN(MAX(0.000000000001,AU663/2147483647)))*COS(2*PI()*AV663/2147483647),'Control Room'!$B$8+('Control Room'!$D$8-'Control Room'!$B$8)*AU663/2147483647)</x:f>
        <x:v>843.6971924978883</x:v>
      </x:c>
      <x:c r="AX663" s="17" t="n">
        <x:f>IF('Control Room'!$B$5="Normal",'Control Room'!$B$7,('Control Room'!$B$8+'Control Room'!$D$8)/2)+'Control Room'!$B$9*(AX662-IF('Control Room'!$B$5="Normal",'Control Room'!$B$7,('Control Room'!$B$8+'Control Room'!$D$8)/2))+SQRT(1-'Control Room'!$B$9^2)*(AW663-IF('Control Room'!$B$5="Normal",'Control Room'!$B$7,('Control Room'!$B$8+'Control Room'!$D$8)/2))</x:f>
        <x:v>853.8888847178923</x:v>
      </x:c>
      <x:c r="AY663" s="17" t="n">
        <x:f>IF(AND($A663&gt;='Control Room'!$A$13,$A663&lt;'Control Room'!$A$13+'Control Room'!$B$13,'Process'!BT2=1),1+('Control Room'!$C$13-1)*EXP(-0.5*(($A663-'Control Room'!$A$13-('Control Room'!$B$13-1)/2)/MAX(0.5,'Control Room'!$B$13/4))^2),1)*IF(AND($A663&gt;='Control Room'!$A$14,$A663&lt;'Control Room'!$A$14+'Control Room'!$B$14,'Process'!BT3=1),1+('Control Room'!$C$14-1)*EXP(-0.5*(($A663-'Control Room'!$A$14-('Control Room'!$B$14-1)/2)/MAX(0.5,'Control Room'!$B$14/4))^2),1)*IF(AND($A663&gt;='Control Room'!$A$15,$A663&lt;'Control Room'!$A$15+'Control Room'!$B$15,'Process'!BT4=1),1+('Control Room'!$C$15-1)*EXP(-0.5*(($A663-'Control Room'!$A$15-('Control Room'!$B$15-1)/2)/MAX(0.5,'Control Room'!$B$15/4))^2),1)*IF(AND($A663&gt;='Control Room'!$A$16,$A663&lt;'Control Room'!$A$16+'Control Room'!$B$16,'Process'!BT5=1),1+('Control Room'!$C$16-1)*EXP(-0.5*(($A663-'Control Room'!$A$16-('Control Room'!$B$16-1)/2)/MAX(0.5,'Control Room'!$B$16/4))^2),1)</x:f>
        <x:v>1</x:v>
      </x:c>
      <x:c r="AZ663" s="9" t="n">
        <x:f>MOD(BA662*16807,2147483647)</x:f>
        <x:v>2099307735</x:v>
      </x:c>
      <x:c r="BA663" s="9" t="n">
        <x:f>MOD(AZ663*16807,2147483647)</x:f>
        <x:v>2056265582</x:v>
      </x:c>
      <x:c r="BB663" s="17" t="n">
        <x:f>IF('Control Room'!$B$5="Normal",'Control Room'!$B$7+'Control Room'!$D$7*SQRT(-2*LN(MAX(0.000000000001,AZ663/2147483647)))*COS(2*PI()*BA663/2147483647),'Control Room'!$B$8+('Control Room'!$D$8-'Control Room'!$B$8)*AZ663/2147483647)</x:f>
        <x:v>1018.4931881015515</x:v>
      </x:c>
      <x:c r="BC663" s="17" t="n">
        <x:f>IF('Control Room'!$B$5="Normal",'Control Room'!$B$7,('Control Room'!$B$8+'Control Room'!$D$8)/2)+'Control Room'!$B$9*(BC662-IF('Control Room'!$B$5="Normal",'Control Room'!$B$7,('Control Room'!$B$8+'Control Room'!$D$8)/2))+SQRT(1-'Control Room'!$B$9^2)*(BB663-IF('Control Room'!$B$5="Normal",'Control Room'!$B$7,('Control Room'!$B$8+'Control Room'!$D$8)/2))</x:f>
        <x:v>1044.2131178930565</x:v>
      </x:c>
      <x:c r="BD663" s="17" t="n">
        <x:f>IF(AND($A663&gt;='Control Room'!$A$13,$A663&lt;'Control Room'!$A$13+'Control Room'!$B$13,'Process'!BU2=1),1+('Control Room'!$C$13-1)*EXP(-0.5*(($A663-'Control Room'!$A$13-('Control Room'!$B$13-1)/2)/MAX(0.5,'Control Room'!$B$13/4))^2),1)*IF(AND($A663&gt;='Control Room'!$A$14,$A663&lt;'Control Room'!$A$14+'Control Room'!$B$14,'Process'!BU3=1),1+('Control Room'!$C$14-1)*EXP(-0.5*(($A663-'Control Room'!$A$14-('Control Room'!$B$14-1)/2)/MAX(0.5,'Control Room'!$B$14/4))^2),1)*IF(AND($A663&gt;='Control Room'!$A$15,$A663&lt;'Control Room'!$A$15+'Control Room'!$B$15,'Process'!BU4=1),1+('Control Room'!$C$15-1)*EXP(-0.5*(($A663-'Control Room'!$A$15-('Control Room'!$B$15-1)/2)/MAX(0.5,'Control Room'!$B$15/4))^2),1)*IF(AND($A663&gt;='Control Room'!$A$16,$A663&lt;'Control Room'!$A$16+'Control Room'!$B$16,'Process'!BU5=1),1+('Control Room'!$C$16-1)*EXP(-0.5*(($A663-'Control Room'!$A$16-('Control Room'!$B$16-1)/2)/MAX(0.5,'Control Room'!$B$16/4))^2),1)</x:f>
        <x:v>1</x:v>
      </x:c>
      <x:c r="BE663" s="9" t="n">
        <x:f>MOD(BF662*16807,2147483647)</x:f>
        <x:v>2016167136</x:v>
      </x:c>
      <x:c r="BF663" s="9" t="n">
        <x:f>MOD(BE663*16807,2147483647)</x:f>
        <x:v>576588739</x:v>
      </x:c>
      <x:c r="BG663" s="17" t="n">
        <x:f>IF('Control Room'!$B$5="Normal",'Control Room'!$B$7+'Control Room'!$D$7*SQRT(-2*LN(MAX(0.000000000001,BE663/2147483647)))*COS(2*PI()*BF663/2147483647),'Control Room'!$B$8+('Control Room'!$D$8-'Control Room'!$B$8)*BE663/2147483647)</x:f>
        <x:v>996.2929825737256</x:v>
      </x:c>
      <x:c r="BH663" s="17" t="n">
        <x:f>IF('Control Room'!$B$5="Normal",'Control Room'!$B$7,('Control Room'!$B$8+'Control Room'!$D$8)/2)+'Control Room'!$B$9*(BH662-IF('Control Room'!$B$5="Normal",'Control Room'!$B$7,('Control Room'!$B$8+'Control Room'!$D$8)/2))+SQRT(1-'Control Room'!$B$9^2)*(BG663-IF('Control Room'!$B$5="Normal",'Control Room'!$B$7,('Control Room'!$B$8+'Control Room'!$D$8)/2))</x:f>
        <x:v>1042.0280018745098</x:v>
      </x:c>
      <x:c r="BI663" s="17" t="n">
        <x:f>IF(AND($A663&gt;='Control Room'!$A$13,$A663&lt;'Control Room'!$A$13+'Control Room'!$B$13,'Process'!BV2=1),1+('Control Room'!$C$13-1)*EXP(-0.5*(($A663-'Control Room'!$A$13-('Control Room'!$B$13-1)/2)/MAX(0.5,'Control Room'!$B$13/4))^2),1)*IF(AND($A663&gt;='Control Room'!$A$14,$A663&lt;'Control Room'!$A$14+'Control Room'!$B$14,'Process'!BV3=1),1+('Control Room'!$C$14-1)*EXP(-0.5*(($A663-'Control Room'!$A$14-('Control Room'!$B$14-1)/2)/MAX(0.5,'Control Room'!$B$14/4))^2),1)*IF(AND($A663&gt;='Control Room'!$A$15,$A663&lt;'Control Room'!$A$15+'Control Room'!$B$15,'Process'!BV4=1),1+('Control Room'!$C$15-1)*EXP(-0.5*(($A663-'Control Room'!$A$15-('Control Room'!$B$15-1)/2)/MAX(0.5,'Control Room'!$B$15/4))^2),1)*IF(AND($A663&gt;='Control Room'!$A$16,$A663&lt;'Control Room'!$A$16+'Control Room'!$B$16,'Process'!BV5=1),1+('Control Room'!$C$16-1)*EXP(-0.5*(($A663-'Control Room'!$A$16-('Control Room'!$B$16-1)/2)/MAX(0.5,'Control Room'!$B$16/4))^2),1)</x:f>
        <x:v>1</x:v>
      </x:c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Z663" t="str">
        <x:f>IF('Data'!A663="","",TEXT('Data'!A663,"mm-dd"))</x:f>
      </x:c>
    </x:row>
    <x:row r="664" ht="21" customHeight="1">
      <x:c r="A664" s="15" t="n">
        <x:f>'Control Room'!$B$1+662</x:f>
        <x:v>73653</x:v>
      </x:c>
      <x:c r="B664" s="9" t="n">
        <x:f>MOD(C663*16807,2147483647)</x:f>
        <x:v>144567678</x:v>
      </x:c>
      <x:c r="C664" s="9" t="n">
        <x:f>MOD(B664*16807,2147483647)</x:f>
        <x:v>944959389</x:v>
      </x:c>
      <x:c r="D664" s="17" t="n">
        <x:f>IF('Control Room'!$B$5="Normal",'Control Room'!$B$7+'Control Room'!$D$7*SQRT(-2*LN(MAX(0.000000000001,B664/2147483647)))*COS(2*PI()*C664/2147483647),'Control Room'!$B$8+('Control Room'!$D$8-'Control Room'!$B$8)*B664/2147483647)</x:f>
        <x:v>805.5916045291926</x:v>
      </x:c>
      <x:c r="E664" s="17" t="n">
        <x:f>IF('Control Room'!$B$5="Normal",'Control Room'!$B$7,('Control Room'!$B$8+'Control Room'!$D$8)/2)+'Control Room'!$B$9*(E663-IF('Control Room'!$B$5="Normal",'Control Room'!$B$7,('Control Room'!$B$8+'Control Room'!$D$8)/2))+SQRT(1-'Control Room'!$B$9^2)*(D664-IF('Control Room'!$B$5="Normal",'Control Room'!$B$7,('Control Room'!$B$8+'Control Room'!$D$8)/2))</x:f>
        <x:v>889.1070897991756</x:v>
      </x:c>
      <x:c r="F664" s="17" t="n">
        <x:f>IF(AND($A664&gt;='Control Room'!$A$13,$A664&lt;'Control Room'!$A$13+'Control Room'!$B$13,'Process'!BK2=1),1+('Control Room'!$C$13-1)*EXP(-0.5*(($A664-'Control Room'!$A$13-('Control Room'!$B$13-1)/2)/MAX(0.5,'Control Room'!$B$13/4))^2),1)*IF(AND($A664&gt;='Control Room'!$A$14,$A664&lt;'Control Room'!$A$14+'Control Room'!$B$14,'Process'!BK3=1),1+('Control Room'!$C$14-1)*EXP(-0.5*(($A664-'Control Room'!$A$14-('Control Room'!$B$14-1)/2)/MAX(0.5,'Control Room'!$B$14/4))^2),1)*IF(AND($A664&gt;='Control Room'!$A$15,$A664&lt;'Control Room'!$A$15+'Control Room'!$B$15,'Process'!BK4=1),1+('Control Room'!$C$15-1)*EXP(-0.5*(($A664-'Control Room'!$A$15-('Control Room'!$B$15-1)/2)/MAX(0.5,'Control Room'!$B$15/4))^2),1)*IF(AND($A664&gt;='Control Room'!$A$16,$A664&lt;'Control Room'!$A$16+'Control Room'!$B$16,'Process'!BK5=1),1+('Control Room'!$C$16-1)*EXP(-0.5*(($A664-'Control Room'!$A$16-('Control Room'!$B$16-1)/2)/MAX(0.5,'Control Room'!$B$16/4))^2),1)</x:f>
        <x:v>1</x:v>
      </x:c>
      <x:c r="G664" s="9" t="n">
        <x:f>MOD(H663*16807,2147483647)</x:f>
        <x:v>1223983284</x:v>
      </x:c>
      <x:c r="H664" s="9" t="n">
        <x:f>MOD(G664*16807,2147483647)</x:f>
        <x:v>741199575</x:v>
      </x:c>
      <x:c r="I664" s="17" t="n">
        <x:f>IF('Control Room'!$B$5="Normal",'Control Room'!$B$7+'Control Room'!$D$7*SQRT(-2*LN(MAX(0.000000000001,G664/2147483647)))*COS(2*PI()*H664/2147483647),'Control Room'!$B$8+('Control Room'!$D$8-'Control Room'!$B$8)*G664/2147483647)</x:f>
        <x:v>946.2854666243796</x:v>
      </x:c>
      <x:c r="J664" s="17" t="n">
        <x:f>IF('Control Room'!$B$5="Normal",'Control Room'!$B$7,('Control Room'!$B$8+'Control Room'!$D$8)/2)+'Control Room'!$B$9*(J663-IF('Control Room'!$B$5="Normal",'Control Room'!$B$7,('Control Room'!$B$8+'Control Room'!$D$8)/2))+SQRT(1-'Control Room'!$B$9^2)*(I664-IF('Control Room'!$B$5="Normal",'Control Room'!$B$7,('Control Room'!$B$8+'Control Room'!$D$8)/2))</x:f>
        <x:v>916.038708884002</x:v>
      </x:c>
      <x:c r="K664" s="17" t="n">
        <x:f>IF(AND($A664&gt;='Control Room'!$A$13,$A664&lt;'Control Room'!$A$13+'Control Room'!$B$13,'Process'!BL2=1),1+('Control Room'!$C$13-1)*EXP(-0.5*(($A664-'Control Room'!$A$13-('Control Room'!$B$13-1)/2)/MAX(0.5,'Control Room'!$B$13/4))^2),1)*IF(AND($A664&gt;='Control Room'!$A$14,$A664&lt;'Control Room'!$A$14+'Control Room'!$B$14,'Process'!BL3=1),1+('Control Room'!$C$14-1)*EXP(-0.5*(($A664-'Control Room'!$A$14-('Control Room'!$B$14-1)/2)/MAX(0.5,'Control Room'!$B$14/4))^2),1)*IF(AND($A664&gt;='Control Room'!$A$15,$A664&lt;'Control Room'!$A$15+'Control Room'!$B$15,'Process'!BL4=1),1+('Control Room'!$C$15-1)*EXP(-0.5*(($A664-'Control Room'!$A$15-('Control Room'!$B$15-1)/2)/MAX(0.5,'Control Room'!$B$15/4))^2),1)*IF(AND($A664&gt;='Control Room'!$A$16,$A664&lt;'Control Room'!$A$16+'Control Room'!$B$16,'Process'!BL5=1),1+('Control Room'!$C$16-1)*EXP(-0.5*(($A664-'Control Room'!$A$16-('Control Room'!$B$16-1)/2)/MAX(0.5,'Control Room'!$B$16/4))^2),1)</x:f>
        <x:v>1</x:v>
      </x:c>
      <x:c r="L664" s="9" t="n">
        <x:f>MOD(M663*16807,2147483647)</x:f>
        <x:v>155915243</x:v>
      </x:c>
      <x:c r="M664" s="9" t="n">
        <x:f>MOD(L664*16807,2147483647)</x:f>
        <x:v>537439761</x:v>
      </x:c>
      <x:c r="N664" s="17" t="n">
        <x:f>IF('Control Room'!$B$5="Normal",'Control Room'!$B$7+'Control Room'!$D$7*SQRT(-2*LN(MAX(0.000000000001,L664/2147483647)))*COS(2*PI()*M664/2147483647),'Control Room'!$B$8+('Control Room'!$D$8-'Control Room'!$B$8)*L664/2147483647)</x:f>
        <x:v>999.6569305253049</x:v>
      </x:c>
      <x:c r="O664" s="17" t="n">
        <x:f>IF('Control Room'!$B$5="Normal",'Control Room'!$B$7,('Control Room'!$B$8+'Control Room'!$D$8)/2)+'Control Room'!$B$9*(O663-IF('Control Room'!$B$5="Normal",'Control Room'!$B$7,('Control Room'!$B$8+'Control Room'!$D$8)/2))+SQRT(1-'Control Room'!$B$9^2)*(N664-IF('Control Room'!$B$5="Normal",'Control Room'!$B$7,('Control Room'!$B$8+'Control Room'!$D$8)/2))</x:f>
        <x:v>992.9042428008163</x:v>
      </x:c>
      <x:c r="P664" s="17" t="n">
        <x:f>IF(AND($A664&gt;='Control Room'!$A$13,$A664&lt;'Control Room'!$A$13+'Control Room'!$B$13,'Process'!BM2=1),1+('Control Room'!$C$13-1)*EXP(-0.5*(($A664-'Control Room'!$A$13-('Control Room'!$B$13-1)/2)/MAX(0.5,'Control Room'!$B$13/4))^2),1)*IF(AND($A664&gt;='Control Room'!$A$14,$A664&lt;'Control Room'!$A$14+'Control Room'!$B$14,'Process'!BM3=1),1+('Control Room'!$C$14-1)*EXP(-0.5*(($A664-'Control Room'!$A$14-('Control Room'!$B$14-1)/2)/MAX(0.5,'Control Room'!$B$14/4))^2),1)*IF(AND($A664&gt;='Control Room'!$A$15,$A664&lt;'Control Room'!$A$15+'Control Room'!$B$15,'Process'!BM4=1),1+('Control Room'!$C$15-1)*EXP(-0.5*(($A664-'Control Room'!$A$15-('Control Room'!$B$15-1)/2)/MAX(0.5,'Control Room'!$B$15/4))^2),1)*IF(AND($A664&gt;='Control Room'!$A$16,$A664&lt;'Control Room'!$A$16+'Control Room'!$B$16,'Process'!BM5=1),1+('Control Room'!$C$16-1)*EXP(-0.5*(($A664-'Control Room'!$A$16-('Control Room'!$B$16-1)/2)/MAX(0.5,'Control Room'!$B$16/4))^2),1)</x:f>
        <x:v>1</x:v>
      </x:c>
      <x:c r="Q664" s="9" t="n">
        <x:f>MOD(R663*16807,2147483647)</x:f>
        <x:v>1235330849</x:v>
      </x:c>
      <x:c r="R664" s="9" t="n">
        <x:f>MOD(Q664*16807,2147483647)</x:f>
        <x:v>333679947</x:v>
      </x:c>
      <x:c r="S664" s="17" t="n">
        <x:f>IF('Control Room'!$B$5="Normal",'Control Room'!$B$7+'Control Room'!$D$7*SQRT(-2*LN(MAX(0.000000000001,Q664/2147483647)))*COS(2*PI()*R664/2147483647),'Control Room'!$B$8+('Control Room'!$D$8-'Control Room'!$B$8)*Q664/2147483647)</x:f>
        <x:v>1053.0111440627434</x:v>
      </x:c>
      <x:c r="T664" s="17" t="n">
        <x:f>IF('Control Room'!$B$5="Normal",'Control Room'!$B$7,('Control Room'!$B$8+'Control Room'!$D$8)/2)+'Control Room'!$B$9*(T663-IF('Control Room'!$B$5="Normal",'Control Room'!$B$7,('Control Room'!$B$8+'Control Room'!$D$8)/2))+SQRT(1-'Control Room'!$B$9^2)*(S664-IF('Control Room'!$B$5="Normal",'Control Room'!$B$7,('Control Room'!$B$8+'Control Room'!$D$8)/2))</x:f>
        <x:v>1009.4203741245377</x:v>
      </x:c>
      <x:c r="U664" s="17" t="n">
        <x:f>IF(AND($A664&gt;='Control Room'!$A$13,$A664&lt;'Control Room'!$A$13+'Control Room'!$B$13,'Process'!BN2=1),1+('Control Room'!$C$13-1)*EXP(-0.5*(($A664-'Control Room'!$A$13-('Control Room'!$B$13-1)/2)/MAX(0.5,'Control Room'!$B$13/4))^2),1)*IF(AND($A664&gt;='Control Room'!$A$14,$A664&lt;'Control Room'!$A$14+'Control Room'!$B$14,'Process'!BN3=1),1+('Control Room'!$C$14-1)*EXP(-0.5*(($A664-'Control Room'!$A$14-('Control Room'!$B$14-1)/2)/MAX(0.5,'Control Room'!$B$14/4))^2),1)*IF(AND($A664&gt;='Control Room'!$A$15,$A664&lt;'Control Room'!$A$15+'Control Room'!$B$15,'Process'!BN4=1),1+('Control Room'!$C$15-1)*EXP(-0.5*(($A664-'Control Room'!$A$15-('Control Room'!$B$15-1)/2)/MAX(0.5,'Control Room'!$B$15/4))^2),1)*IF(AND($A664&gt;='Control Room'!$A$16,$A664&lt;'Control Room'!$A$16+'Control Room'!$B$16,'Process'!BN5=1),1+('Control Room'!$C$16-1)*EXP(-0.5*(($A664-'Control Room'!$A$16-('Control Room'!$B$16-1)/2)/MAX(0.5,'Control Room'!$B$16/4))^2),1)</x:f>
        <x:v>1</x:v>
      </x:c>
      <x:c r="V664" s="9" t="n">
        <x:f>MOD(W663*16807,2147483647)</x:f>
        <x:v>167262808</x:v>
      </x:c>
      <x:c r="W664" s="9" t="n">
        <x:f>MOD(V664*16807,2147483647)</x:f>
        <x:v>129920133</x:v>
      </x:c>
      <x:c r="X664" s="17" t="n">
        <x:f>IF('Control Room'!$B$5="Normal",'Control Room'!$B$7+'Control Room'!$D$7*SQRT(-2*LN(MAX(0.000000000001,V664/2147483647)))*COS(2*PI()*W664/2147483647),'Control Room'!$B$8+('Control Room'!$D$8-'Control Room'!$B$8)*V664/2147483647)</x:f>
        <x:v>1188.8323457764266</x:v>
      </x:c>
      <x:c r="Y664" s="17" t="n">
        <x:f>IF('Control Room'!$B$5="Normal",'Control Room'!$B$7,('Control Room'!$B$8+'Control Room'!$D$8)/2)+'Control Room'!$B$9*(Y663-IF('Control Room'!$B$5="Normal",'Control Room'!$B$7,('Control Room'!$B$8+'Control Room'!$D$8)/2))+SQRT(1-'Control Room'!$B$9^2)*(X664-IF('Control Room'!$B$5="Normal",'Control Room'!$B$7,('Control Room'!$B$8+'Control Room'!$D$8)/2))</x:f>
        <x:v>1268.5574414284988</x:v>
      </x:c>
      <x:c r="Z664" s="17" t="n">
        <x:f>IF(AND($A664&gt;='Control Room'!$A$13,$A664&lt;'Control Room'!$A$13+'Control Room'!$B$13,'Process'!BO2=1),1+('Control Room'!$C$13-1)*EXP(-0.5*(($A664-'Control Room'!$A$13-('Control Room'!$B$13-1)/2)/MAX(0.5,'Control Room'!$B$13/4))^2),1)*IF(AND($A664&gt;='Control Room'!$A$14,$A664&lt;'Control Room'!$A$14+'Control Room'!$B$14,'Process'!BO3=1),1+('Control Room'!$C$14-1)*EXP(-0.5*(($A664-'Control Room'!$A$14-('Control Room'!$B$14-1)/2)/MAX(0.5,'Control Room'!$B$14/4))^2),1)*IF(AND($A664&gt;='Control Room'!$A$15,$A664&lt;'Control Room'!$A$15+'Control Room'!$B$15,'Process'!BO4=1),1+('Control Room'!$C$15-1)*EXP(-0.5*(($A664-'Control Room'!$A$15-('Control Room'!$B$15-1)/2)/MAX(0.5,'Control Room'!$B$15/4))^2),1)*IF(AND($A664&gt;='Control Room'!$A$16,$A664&lt;'Control Room'!$A$16+'Control Room'!$B$16,'Process'!BO5=1),1+('Control Room'!$C$16-1)*EXP(-0.5*(($A664-'Control Room'!$A$16-('Control Room'!$B$16-1)/2)/MAX(0.5,'Control Room'!$B$16/4))^2),1)</x:f>
        <x:v>1</x:v>
      </x:c>
      <x:c r="AA664" s="9" t="n">
        <x:f>MOD(AB663*16807,2147483647)</x:f>
        <x:v>1246678414</x:v>
      </x:c>
      <x:c r="AB664" s="9" t="n">
        <x:f>MOD(AA664*16807,2147483647)</x:f>
        <x:v>2073643966</x:v>
      </x:c>
      <x:c r="AC664" s="17" t="n">
        <x:f>IF('Control Room'!$B$5="Normal",'Control Room'!$B$7+'Control Room'!$D$7*SQRT(-2*LN(MAX(0.000000000001,AA664/2147483647)))*COS(2*PI()*AB664/2147483647),'Control Room'!$B$8+('Control Room'!$D$8-'Control Room'!$B$8)*AA664/2147483647)</x:f>
        <x:v>1091.6785274021422</x:v>
      </x:c>
      <x:c r="AD664" s="17" t="n">
        <x:f>IF('Control Room'!$B$5="Normal",'Control Room'!$B$7,('Control Room'!$B$8+'Control Room'!$D$8)/2)+'Control Room'!$B$9*(AD663-IF('Control Room'!$B$5="Normal",'Control Room'!$B$7,('Control Room'!$B$8+'Control Room'!$D$8)/2))+SQRT(1-'Control Room'!$B$9^2)*(AC664-IF('Control Room'!$B$5="Normal",'Control Room'!$B$7,('Control Room'!$B$8+'Control Room'!$D$8)/2))</x:f>
        <x:v>931.7724399095903</x:v>
      </x:c>
      <x:c r="AE664" s="17" t="n">
        <x:f>IF(AND($A664&gt;='Control Room'!$A$13,$A664&lt;'Control Room'!$A$13+'Control Room'!$B$13,'Process'!BP2=1),1+('Control Room'!$C$13-1)*EXP(-0.5*(($A664-'Control Room'!$A$13-('Control Room'!$B$13-1)/2)/MAX(0.5,'Control Room'!$B$13/4))^2),1)*IF(AND($A664&gt;='Control Room'!$A$14,$A664&lt;'Control Room'!$A$14+'Control Room'!$B$14,'Process'!BP3=1),1+('Control Room'!$C$14-1)*EXP(-0.5*(($A664-'Control Room'!$A$14-('Control Room'!$B$14-1)/2)/MAX(0.5,'Control Room'!$B$14/4))^2),1)*IF(AND($A664&gt;='Control Room'!$A$15,$A664&lt;'Control Room'!$A$15+'Control Room'!$B$15,'Process'!BP4=1),1+('Control Room'!$C$15-1)*EXP(-0.5*(($A664-'Control Room'!$A$15-('Control Room'!$B$15-1)/2)/MAX(0.5,'Control Room'!$B$15/4))^2),1)*IF(AND($A664&gt;='Control Room'!$A$16,$A664&lt;'Control Room'!$A$16+'Control Room'!$B$16,'Process'!BP5=1),1+('Control Room'!$C$16-1)*EXP(-0.5*(($A664-'Control Room'!$A$16-('Control Room'!$B$16-1)/2)/MAX(0.5,'Control Room'!$B$16/4))^2),1)</x:f>
        <x:v>1</x:v>
      </x:c>
      <x:c r="AF664" s="9" t="n">
        <x:f>MOD(AG663*16807,2147483647)</x:f>
        <x:v>178610373</x:v>
      </x:c>
      <x:c r="AG664" s="9" t="n">
        <x:f>MOD(AF664*16807,2147483647)</x:f>
        <x:v>1869884152</x:v>
      </x:c>
      <x:c r="AH664" s="17" t="n">
        <x:f>IF('Control Room'!$B$5="Normal",'Control Room'!$B$7+'Control Room'!$D$7*SQRT(-2*LN(MAX(0.000000000001,AF664/2147483647)))*COS(2*PI()*AG664/2147483647),'Control Room'!$B$8+('Control Room'!$D$8-'Control Room'!$B$8)*AF664/2147483647)</x:f>
        <x:v>1138.071623039522</x:v>
      </x:c>
      <x:c r="AI664" s="17" t="n">
        <x:f>IF('Control Room'!$B$5="Normal",'Control Room'!$B$7,('Control Room'!$B$8+'Control Room'!$D$8)/2)+'Control Room'!$B$9*(AI663-IF('Control Room'!$B$5="Normal",'Control Room'!$B$7,('Control Room'!$B$8+'Control Room'!$D$8)/2))+SQRT(1-'Control Room'!$B$9^2)*(AH664-IF('Control Room'!$B$5="Normal",'Control Room'!$B$7,('Control Room'!$B$8+'Control Room'!$D$8)/2))</x:f>
        <x:v>1053.3286811578348</x:v>
      </x:c>
      <x:c r="AJ664" s="17" t="n">
        <x:f>IF(AND($A664&gt;='Control Room'!$A$13,$A664&lt;'Control Room'!$A$13+'Control Room'!$B$13,'Process'!BQ2=1),1+('Control Room'!$C$13-1)*EXP(-0.5*(($A664-'Control Room'!$A$13-('Control Room'!$B$13-1)/2)/MAX(0.5,'Control Room'!$B$13/4))^2),1)*IF(AND($A664&gt;='Control Room'!$A$14,$A664&lt;'Control Room'!$A$14+'Control Room'!$B$14,'Process'!BQ3=1),1+('Control Room'!$C$14-1)*EXP(-0.5*(($A664-'Control Room'!$A$14-('Control Room'!$B$14-1)/2)/MAX(0.5,'Control Room'!$B$14/4))^2),1)*IF(AND($A664&gt;='Control Room'!$A$15,$A664&lt;'Control Room'!$A$15+'Control Room'!$B$15,'Process'!BQ4=1),1+('Control Room'!$C$15-1)*EXP(-0.5*(($A664-'Control Room'!$A$15-('Control Room'!$B$15-1)/2)/MAX(0.5,'Control Room'!$B$15/4))^2),1)*IF(AND($A664&gt;='Control Room'!$A$16,$A664&lt;'Control Room'!$A$16+'Control Room'!$B$16,'Process'!BQ5=1),1+('Control Room'!$C$16-1)*EXP(-0.5*(($A664-'Control Room'!$A$16-('Control Room'!$B$16-1)/2)/MAX(0.5,'Control Room'!$B$16/4))^2),1)</x:f>
        <x:v>1</x:v>
      </x:c>
      <x:c r="AK664" s="9" t="n">
        <x:f>MOD(AL663*16807,2147483647)</x:f>
        <x:v>1258025979</x:v>
      </x:c>
      <x:c r="AL664" s="9" t="n">
        <x:f>MOD(AK664*16807,2147483647)</x:f>
        <x:v>1666124338</x:v>
      </x:c>
      <x:c r="AM664" s="17" t="n">
        <x:f>IF('Control Room'!$B$5="Normal",'Control Room'!$B$7+'Control Room'!$D$7*SQRT(-2*LN(MAX(0.000000000001,AK664/2147483647)))*COS(2*PI()*AL664/2147483647),'Control Room'!$B$8+('Control Room'!$D$8-'Control Room'!$B$8)*AK664/2147483647)</x:f>
        <x:v>1015.0507025833111</x:v>
      </x:c>
      <x:c r="AN664" s="17" t="n">
        <x:f>IF('Control Room'!$B$5="Normal",'Control Room'!$B$7,('Control Room'!$B$8+'Control Room'!$D$8)/2)+'Control Room'!$B$9*(AN663-IF('Control Room'!$B$5="Normal",'Control Room'!$B$7,('Control Room'!$B$8+'Control Room'!$D$8)/2))+SQRT(1-'Control Room'!$B$9^2)*(AM664-IF('Control Room'!$B$5="Normal",'Control Room'!$B$7,('Control Room'!$B$8+'Control Room'!$D$8)/2))</x:f>
        <x:v>1062.3873398369944</x:v>
      </x:c>
      <x:c r="AO664" s="17" t="n">
        <x:f>IF(AND($A664&gt;='Control Room'!$A$13,$A664&lt;'Control Room'!$A$13+'Control Room'!$B$13,'Process'!BR2=1),1+('Control Room'!$C$13-1)*EXP(-0.5*(($A664-'Control Room'!$A$13-('Control Room'!$B$13-1)/2)/MAX(0.5,'Control Room'!$B$13/4))^2),1)*IF(AND($A664&gt;='Control Room'!$A$14,$A664&lt;'Control Room'!$A$14+'Control Room'!$B$14,'Process'!BR3=1),1+('Control Room'!$C$14-1)*EXP(-0.5*(($A664-'Control Room'!$A$14-('Control Room'!$B$14-1)/2)/MAX(0.5,'Control Room'!$B$14/4))^2),1)*IF(AND($A664&gt;='Control Room'!$A$15,$A664&lt;'Control Room'!$A$15+'Control Room'!$B$15,'Process'!BR4=1),1+('Control Room'!$C$15-1)*EXP(-0.5*(($A664-'Control Room'!$A$15-('Control Room'!$B$15-1)/2)/MAX(0.5,'Control Room'!$B$15/4))^2),1)*IF(AND($A664&gt;='Control Room'!$A$16,$A664&lt;'Control Room'!$A$16+'Control Room'!$B$16,'Process'!BR5=1),1+('Control Room'!$C$16-1)*EXP(-0.5*(($A664-'Control Room'!$A$16-('Control Room'!$B$16-1)/2)/MAX(0.5,'Control Room'!$B$16/4))^2),1)</x:f>
        <x:v>1</x:v>
      </x:c>
      <x:c r="AP664" s="9" t="n">
        <x:f>MOD(AQ663*16807,2147483647)</x:f>
        <x:v>189957938</x:v>
      </x:c>
      <x:c r="AQ664" s="9" t="n">
        <x:f>MOD(AP664*16807,2147483647)</x:f>
        <x:v>1462364524</x:v>
      </x:c>
      <x:c r="AR664" s="17" t="n">
        <x:f>IF('Control Room'!$B$5="Normal",'Control Room'!$B$7+'Control Room'!$D$7*SQRT(-2*LN(MAX(0.000000000001,AP664/2147483647)))*COS(2*PI()*AQ664/2147483647),'Control Room'!$B$8+('Control Room'!$D$8-'Control Room'!$B$8)*AP664/2147483647)</x:f>
        <x:v>916.6950559007022</x:v>
      </x:c>
      <x:c r="AS664" s="17" t="n">
        <x:f>IF('Control Room'!$B$5="Normal",'Control Room'!$B$7,('Control Room'!$B$8+'Control Room'!$D$8)/2)+'Control Room'!$B$9*(AS663-IF('Control Room'!$B$5="Normal",'Control Room'!$B$7,('Control Room'!$B$8+'Control Room'!$D$8)/2))+SQRT(1-'Control Room'!$B$9^2)*(AR664-IF('Control Room'!$B$5="Normal",'Control Room'!$B$7,('Control Room'!$B$8+'Control Room'!$D$8)/2))</x:f>
        <x:v>926.8932769236101</x:v>
      </x:c>
      <x:c r="AT664" s="17" t="n">
        <x:f>IF(AND($A664&gt;='Control Room'!$A$13,$A664&lt;'Control Room'!$A$13+'Control Room'!$B$13,'Process'!BS2=1),1+('Control Room'!$C$13-1)*EXP(-0.5*(($A664-'Control Room'!$A$13-('Control Room'!$B$13-1)/2)/MAX(0.5,'Control Room'!$B$13/4))^2),1)*IF(AND($A664&gt;='Control Room'!$A$14,$A664&lt;'Control Room'!$A$14+'Control Room'!$B$14,'Process'!BS3=1),1+('Control Room'!$C$14-1)*EXP(-0.5*(($A664-'Control Room'!$A$14-('Control Room'!$B$14-1)/2)/MAX(0.5,'Control Room'!$B$14/4))^2),1)*IF(AND($A664&gt;='Control Room'!$A$15,$A664&lt;'Control Room'!$A$15+'Control Room'!$B$15,'Process'!BS4=1),1+('Control Room'!$C$15-1)*EXP(-0.5*(($A664-'Control Room'!$A$15-('Control Room'!$B$15-1)/2)/MAX(0.5,'Control Room'!$B$15/4))^2),1)*IF(AND($A664&gt;='Control Room'!$A$16,$A664&lt;'Control Room'!$A$16+'Control Room'!$B$16,'Process'!BS5=1),1+('Control Room'!$C$16-1)*EXP(-0.5*(($A664-'Control Room'!$A$16-('Control Room'!$B$16-1)/2)/MAX(0.5,'Control Room'!$B$16/4))^2),1)</x:f>
        <x:v>1</x:v>
      </x:c>
      <x:c r="AU664" s="9" t="n">
        <x:f>MOD(AV663*16807,2147483647)</x:f>
        <x:v>1269373544</x:v>
      </x:c>
      <x:c r="AV664" s="9" t="n">
        <x:f>MOD(AU664*16807,2147483647)</x:f>
        <x:v>1258604710</x:v>
      </x:c>
      <x:c r="AW664" s="17" t="n">
        <x:f>IF('Control Room'!$B$5="Normal",'Control Room'!$B$7+'Control Room'!$D$7*SQRT(-2*LN(MAX(0.000000000001,AU664/2147483647)))*COS(2*PI()*AV664/2147483647),'Control Room'!$B$8+('Control Room'!$D$8-'Control Room'!$B$8)*AU664/2147483647)</x:f>
        <x:v>920.8833980094746</x:v>
      </x:c>
      <x:c r="AX664" s="17" t="n">
        <x:f>IF('Control Room'!$B$5="Normal",'Control Room'!$B$7,('Control Room'!$B$8+'Control Room'!$D$8)/2)+'Control Room'!$B$9*(AX663-IF('Control Room'!$B$5="Normal",'Control Room'!$B$7,('Control Room'!$B$8+'Control Room'!$D$8)/2))+SQRT(1-'Control Room'!$B$9^2)*(AW664-IF('Control Room'!$B$5="Normal",'Control Room'!$B$7,('Control Room'!$B$8+'Control Room'!$D$8)/2))</x:f>
        <x:v>836.523781345975</x:v>
      </x:c>
      <x:c r="AY664" s="17" t="n">
        <x:f>IF(AND($A664&gt;='Control Room'!$A$13,$A664&lt;'Control Room'!$A$13+'Control Room'!$B$13,'Process'!BT2=1),1+('Control Room'!$C$13-1)*EXP(-0.5*(($A664-'Control Room'!$A$13-('Control Room'!$B$13-1)/2)/MAX(0.5,'Control Room'!$B$13/4))^2),1)*IF(AND($A664&gt;='Control Room'!$A$14,$A664&lt;'Control Room'!$A$14+'Control Room'!$B$14,'Process'!BT3=1),1+('Control Room'!$C$14-1)*EXP(-0.5*(($A664-'Control Room'!$A$14-('Control Room'!$B$14-1)/2)/MAX(0.5,'Control Room'!$B$14/4))^2),1)*IF(AND($A664&gt;='Control Room'!$A$15,$A664&lt;'Control Room'!$A$15+'Control Room'!$B$15,'Process'!BT4=1),1+('Control Room'!$C$15-1)*EXP(-0.5*(($A664-'Control Room'!$A$15-('Control Room'!$B$15-1)/2)/MAX(0.5,'Control Room'!$B$15/4))^2),1)*IF(AND($A664&gt;='Control Room'!$A$16,$A664&lt;'Control Room'!$A$16+'Control Room'!$B$16,'Process'!BT5=1),1+('Control Room'!$C$16-1)*EXP(-0.5*(($A664-'Control Room'!$A$16-('Control Room'!$B$16-1)/2)/MAX(0.5,'Control Room'!$B$16/4))^2),1)</x:f>
        <x:v>1</x:v>
      </x:c>
      <x:c r="AZ664" s="9" t="n">
        <x:f>MOD(BA663*16807,2147483647)</x:f>
        <x:v>201305503</x:v>
      </x:c>
      <x:c r="BA664" s="9" t="n">
        <x:f>MOD(AZ664*16807,2147483647)</x:f>
        <x:v>1054844896</x:v>
      </x:c>
      <x:c r="BB664" s="17" t="n">
        <x:f>IF('Control Room'!$B$5="Normal",'Control Room'!$B$7+'Control Room'!$D$7*SQRT(-2*LN(MAX(0.000000000001,AZ664/2147483647)))*COS(2*PI()*BA664/2147483647),'Control Room'!$B$8+('Control Room'!$D$8-'Control Room'!$B$8)*AZ664/2147483647)</x:f>
        <x:v>804.4699784930604</x:v>
      </x:c>
      <x:c r="BC664" s="17" t="n">
        <x:f>IF('Control Room'!$B$5="Normal",'Control Room'!$B$7,('Control Room'!$B$8+'Control Room'!$D$8)/2)+'Control Room'!$B$9*(BC663-IF('Control Room'!$B$5="Normal",'Control Room'!$B$7,('Control Room'!$B$8+'Control Room'!$D$8)/2))+SQRT(1-'Control Room'!$B$9^2)*(BB664-IF('Control Room'!$B$5="Normal",'Control Room'!$B$7,('Control Room'!$B$8+'Control Room'!$D$8)/2))</x:f>
        <x:v>912.1275501477584</x:v>
      </x:c>
      <x:c r="BD664" s="17" t="n">
        <x:f>IF(AND($A664&gt;='Control Room'!$A$13,$A664&lt;'Control Room'!$A$13+'Control Room'!$B$13,'Process'!BU2=1),1+('Control Room'!$C$13-1)*EXP(-0.5*(($A664-'Control Room'!$A$13-('Control Room'!$B$13-1)/2)/MAX(0.5,'Control Room'!$B$13/4))^2),1)*IF(AND($A664&gt;='Control Room'!$A$14,$A664&lt;'Control Room'!$A$14+'Control Room'!$B$14,'Process'!BU3=1),1+('Control Room'!$C$14-1)*EXP(-0.5*(($A664-'Control Room'!$A$14-('Control Room'!$B$14-1)/2)/MAX(0.5,'Control Room'!$B$14/4))^2),1)*IF(AND($A664&gt;='Control Room'!$A$15,$A664&lt;'Control Room'!$A$15+'Control Room'!$B$15,'Process'!BU4=1),1+('Control Room'!$C$15-1)*EXP(-0.5*(($A664-'Control Room'!$A$15-('Control Room'!$B$15-1)/2)/MAX(0.5,'Control Room'!$B$15/4))^2),1)*IF(AND($A664&gt;='Control Room'!$A$16,$A664&lt;'Control Room'!$A$16+'Control Room'!$B$16,'Process'!BU5=1),1+('Control Room'!$C$16-1)*EXP(-0.5*(($A664-'Control Room'!$A$16-('Control Room'!$B$16-1)/2)/MAX(0.5,'Control Room'!$B$16/4))^2),1)</x:f>
        <x:v>1</x:v>
      </x:c>
      <x:c r="BE664" s="9" t="n">
        <x:f>MOD(BF663*16807,2147483647)</x:f>
        <x:v>1280721109</x:v>
      </x:c>
      <x:c r="BF664" s="9" t="n">
        <x:f>MOD(BE664*16807,2147483647)</x:f>
        <x:v>851085082</x:v>
      </x:c>
      <x:c r="BG664" s="17" t="n">
        <x:f>IF('Control Room'!$B$5="Normal",'Control Room'!$B$7+'Control Room'!$D$7*SQRT(-2*LN(MAX(0.000000000001,BE664/2147483647)))*COS(2*PI()*BF664/2147483647),'Control Room'!$B$8+('Control Room'!$D$8-'Control Room'!$B$8)*BE664/2147483647)</x:f>
        <x:v>927.2343175535871</x:v>
      </x:c>
      <x:c r="BH664" s="17" t="n">
        <x:f>IF('Control Room'!$B$5="Normal",'Control Room'!$B$7,('Control Room'!$B$8+'Control Room'!$D$8)/2)+'Control Room'!$B$9*(BH663-IF('Control Room'!$B$5="Normal",'Control Room'!$B$7,('Control Room'!$B$8+'Control Room'!$D$8)/2))+SQRT(1-'Control Room'!$B$9^2)*(BG664-IF('Control Room'!$B$5="Normal",'Control Room'!$B$7,('Control Room'!$B$8+'Control Room'!$D$8)/2))</x:f>
        <x:v>987.2465680731833</x:v>
      </x:c>
      <x:c r="BI664" s="17" t="n">
        <x:f>IF(AND($A664&gt;='Control Room'!$A$13,$A664&lt;'Control Room'!$A$13+'Control Room'!$B$13,'Process'!BV2=1),1+('Control Room'!$C$13-1)*EXP(-0.5*(($A664-'Control Room'!$A$13-('Control Room'!$B$13-1)/2)/MAX(0.5,'Control Room'!$B$13/4))^2),1)*IF(AND($A664&gt;='Control Room'!$A$14,$A664&lt;'Control Room'!$A$14+'Control Room'!$B$14,'Process'!BV3=1),1+('Control Room'!$C$14-1)*EXP(-0.5*(($A664-'Control Room'!$A$14-('Control Room'!$B$14-1)/2)/MAX(0.5,'Control Room'!$B$14/4))^2),1)*IF(AND($A664&gt;='Control Room'!$A$15,$A664&lt;'Control Room'!$A$15+'Control Room'!$B$15,'Process'!BV4=1),1+('Control Room'!$C$15-1)*EXP(-0.5*(($A664-'Control Room'!$A$15-('Control Room'!$B$15-1)/2)/MAX(0.5,'Control Room'!$B$15/4))^2),1)*IF(AND($A664&gt;='Control Room'!$A$16,$A664&lt;'Control Room'!$A$16+'Control Room'!$B$16,'Process'!BV5=1),1+('Control Room'!$C$16-1)*EXP(-0.5*(($A664-'Control Room'!$A$16-('Control Room'!$B$16-1)/2)/MAX(0.5,'Control Room'!$B$16/4))^2),1)</x:f>
        <x:v>1</x:v>
      </x:c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Z664" t="str">
        <x:f>IF('Data'!A664="","",TEXT('Data'!A664,"mm-dd"))</x:f>
      </x:c>
    </x:row>
    <x:row r="665" ht="21" customHeight="1">
      <x:c r="A665" s="15" t="n">
        <x:f>'Control Room'!$B$1+663</x:f>
        <x:v>73654</x:v>
      </x:c>
      <x:c r="B665" s="9" t="n">
        <x:f>MOD(C664*16807,2147483647)</x:f>
        <x:v>1290881358</x:v>
      </x:c>
      <x:c r="C665" s="9" t="n">
        <x:f>MOD(B665*16807,2147483647)</x:f>
        <x:v>1963181912</x:v>
      </x:c>
      <x:c r="D665" s="17" t="n">
        <x:f>IF('Control Room'!$B$5="Normal",'Control Room'!$B$7+'Control Room'!$D$7*SQRT(-2*LN(MAX(0.000000000001,B665/2147483647)))*COS(2*PI()*C665/2147483647),'Control Room'!$B$8+('Control Room'!$D$8-'Control Room'!$B$8)*B665/2147483647)</x:f>
        <x:v>1077.918863539034</x:v>
      </x:c>
      <x:c r="E665" s="17" t="n">
        <x:f>IF('Control Room'!$B$5="Normal",'Control Room'!$B$7,('Control Room'!$B$8+'Control Room'!$D$8)/2)+'Control Room'!$B$9*(E664-IF('Control Room'!$B$5="Normal",'Control Room'!$B$7,('Control Room'!$B$8+'Control Room'!$D$8)/2))+SQRT(1-'Control Room'!$B$9^2)*(D665-IF('Control Room'!$B$5="Normal",'Control Room'!$B$7,('Control Room'!$B$8+'Control Room'!$D$8)/2))</x:f>
        <x:v>962.2635585914006</x:v>
      </x:c>
      <x:c r="F665" s="17" t="n">
        <x:f>IF(AND($A665&gt;='Control Room'!$A$13,$A665&lt;'Control Room'!$A$13+'Control Room'!$B$13,'Process'!BK2=1),1+('Control Room'!$C$13-1)*EXP(-0.5*(($A665-'Control Room'!$A$13-('Control Room'!$B$13-1)/2)/MAX(0.5,'Control Room'!$B$13/4))^2),1)*IF(AND($A665&gt;='Control Room'!$A$14,$A665&lt;'Control Room'!$A$14+'Control Room'!$B$14,'Process'!BK3=1),1+('Control Room'!$C$14-1)*EXP(-0.5*(($A665-'Control Room'!$A$14-('Control Room'!$B$14-1)/2)/MAX(0.5,'Control Room'!$B$14/4))^2),1)*IF(AND($A665&gt;='Control Room'!$A$15,$A665&lt;'Control Room'!$A$15+'Control Room'!$B$15,'Process'!BK4=1),1+('Control Room'!$C$15-1)*EXP(-0.5*(($A665-'Control Room'!$A$15-('Control Room'!$B$15-1)/2)/MAX(0.5,'Control Room'!$B$15/4))^2),1)*IF(AND($A665&gt;='Control Room'!$A$16,$A665&lt;'Control Room'!$A$16+'Control Room'!$B$16,'Process'!BK5=1),1+('Control Room'!$C$16-1)*EXP(-0.5*(($A665-'Control Room'!$A$16-('Control Room'!$B$16-1)/2)/MAX(0.5,'Control Room'!$B$16/4))^2),1)</x:f>
        <x:v>1</x:v>
      </x:c>
      <x:c r="G665" s="9" t="n">
        <x:f>MOD(H664*16807,2147483647)</x:f>
        <x:v>1936104425</x:v>
      </x:c>
      <x:c r="H665" s="9" t="n">
        <x:f>MOD(G665*16807,2147483647)</x:f>
        <x:v>1434851631</x:v>
      </x:c>
      <x:c r="I665" s="17" t="n">
        <x:f>IF('Control Room'!$B$5="Normal",'Control Room'!$B$7+'Control Room'!$D$7*SQRT(-2*LN(MAX(0.000000000001,G665/2147483647)))*COS(2*PI()*H665/2147483647),'Control Room'!$B$8+('Control Room'!$D$8-'Control Room'!$B$8)*G665/2147483647)</x:f>
        <x:v>979.8471537311932</x:v>
      </x:c>
      <x:c r="J665" s="17" t="n">
        <x:f>IF('Control Room'!$B$5="Normal",'Control Room'!$B$7,('Control Room'!$B$8+'Control Room'!$D$8)/2)+'Control Room'!$B$9*(J664-IF('Control Room'!$B$5="Normal",'Control Room'!$B$7,('Control Room'!$B$8+'Control Room'!$D$8)/2))+SQRT(1-'Control Room'!$B$9^2)*(I665-IF('Control Room'!$B$5="Normal",'Control Room'!$B$7,('Control Room'!$B$8+'Control Room'!$D$8)/2))</x:f>
        <x:v>921.8989545879986</x:v>
      </x:c>
      <x:c r="K665" s="17" t="n">
        <x:f>IF(AND($A665&gt;='Control Room'!$A$13,$A665&lt;'Control Room'!$A$13+'Control Room'!$B$13,'Process'!BL2=1),1+('Control Room'!$C$13-1)*EXP(-0.5*(($A665-'Control Room'!$A$13-('Control Room'!$B$13-1)/2)/MAX(0.5,'Control Room'!$B$13/4))^2),1)*IF(AND($A665&gt;='Control Room'!$A$14,$A665&lt;'Control Room'!$A$14+'Control Room'!$B$14,'Process'!BL3=1),1+('Control Room'!$C$14-1)*EXP(-0.5*(($A665-'Control Room'!$A$14-('Control Room'!$B$14-1)/2)/MAX(0.5,'Control Room'!$B$14/4))^2),1)*IF(AND($A665&gt;='Control Room'!$A$15,$A665&lt;'Control Room'!$A$15+'Control Room'!$B$15,'Process'!BL4=1),1+('Control Room'!$C$15-1)*EXP(-0.5*(($A665-'Control Room'!$A$15-('Control Room'!$B$15-1)/2)/MAX(0.5,'Control Room'!$B$15/4))^2),1)*IF(AND($A665&gt;='Control Room'!$A$16,$A665&lt;'Control Room'!$A$16+'Control Room'!$B$16,'Process'!BL5=1),1+('Control Room'!$C$16-1)*EXP(-0.5*(($A665-'Control Room'!$A$16-('Control Room'!$B$16-1)/2)/MAX(0.5,'Control Room'!$B$16/4))^2),1)</x:f>
        <x:v>1</x:v>
      </x:c>
      <x:c r="L665" s="9" t="n">
        <x:f>MOD(M664*16807,2147483647)</x:f>
        <x:v>433843845</x:v>
      </x:c>
      <x:c r="M665" s="9" t="n">
        <x:f>MOD(L665*16807,2147483647)</x:f>
        <x:v>906521350</x:v>
      </x:c>
      <x:c r="N665" s="17" t="n">
        <x:f>IF('Control Room'!$B$5="Normal",'Control Room'!$B$7+'Control Room'!$D$7*SQRT(-2*LN(MAX(0.000000000001,L665/2147483647)))*COS(2*PI()*M665/2147483647),'Control Room'!$B$8+('Control Room'!$D$8-'Control Room'!$B$8)*L665/2147483647)</x:f>
        <x:v>857.9191945743257</x:v>
      </x:c>
      <x:c r="O665" s="17" t="n">
        <x:f>IF('Control Room'!$B$5="Normal",'Control Room'!$B$7,('Control Room'!$B$8+'Control Room'!$D$8)/2)+'Control Room'!$B$9*(O664-IF('Control Room'!$B$5="Normal",'Control Room'!$B$7,('Control Room'!$B$8+'Control Room'!$D$8)/2))+SQRT(1-'Control Room'!$B$9^2)*(N665-IF('Control Room'!$B$5="Normal",'Control Room'!$B$7,('Control Room'!$B$8+'Control Room'!$D$8)/2))</x:f>
        <x:v>905.5540520327586</x:v>
      </x:c>
      <x:c r="P665" s="17" t="n">
        <x:f>IF(AND($A665&gt;='Control Room'!$A$13,$A665&lt;'Control Room'!$A$13+'Control Room'!$B$13,'Process'!BM2=1),1+('Control Room'!$C$13-1)*EXP(-0.5*(($A665-'Control Room'!$A$13-('Control Room'!$B$13-1)/2)/MAX(0.5,'Control Room'!$B$13/4))^2),1)*IF(AND($A665&gt;='Control Room'!$A$14,$A665&lt;'Control Room'!$A$14+'Control Room'!$B$14,'Process'!BM3=1),1+('Control Room'!$C$14-1)*EXP(-0.5*(($A665-'Control Room'!$A$14-('Control Room'!$B$14-1)/2)/MAX(0.5,'Control Room'!$B$14/4))^2),1)*IF(AND($A665&gt;='Control Room'!$A$15,$A665&lt;'Control Room'!$A$15+'Control Room'!$B$15,'Process'!BM4=1),1+('Control Room'!$C$15-1)*EXP(-0.5*(($A665-'Control Room'!$A$15-('Control Room'!$B$15-1)/2)/MAX(0.5,'Control Room'!$B$15/4))^2),1)*IF(AND($A665&gt;='Control Room'!$A$16,$A665&lt;'Control Room'!$A$16+'Control Room'!$B$16,'Process'!BM5=1),1+('Control Room'!$C$16-1)*EXP(-0.5*(($A665-'Control Room'!$A$16-('Control Room'!$B$16-1)/2)/MAX(0.5,'Control Room'!$B$16/4))^2),1)</x:f>
        <x:v>1</x:v>
      </x:c>
      <x:c r="Q665" s="9" t="n">
        <x:f>MOD(R664*16807,2147483647)</x:f>
        <x:v>1079066912</x:v>
      </x:c>
      <x:c r="R665" s="9" t="n">
        <x:f>MOD(Q665*16807,2147483647)</x:f>
        <x:v>378191069</x:v>
      </x:c>
      <x:c r="S665" s="17" t="n">
        <x:f>IF('Control Room'!$B$5="Normal",'Control Room'!$B$7+'Control Room'!$D$7*SQRT(-2*LN(MAX(0.000000000001,Q665/2147483647)))*COS(2*PI()*R665/2147483647),'Control Room'!$B$8+('Control Room'!$D$8-'Control Room'!$B$8)*Q665/2147483647)</x:f>
        <x:v>1047.279306789652</x:v>
      </x:c>
      <x:c r="T665" s="17" t="n">
        <x:f>IF('Control Room'!$B$5="Normal",'Control Room'!$B$7,('Control Room'!$B$8+'Control Room'!$D$8)/2)+'Control Room'!$B$9*(T664-IF('Control Room'!$B$5="Normal",'Control Room'!$B$7,('Control Room'!$B$8+'Control Room'!$D$8)/2))+SQRT(1-'Control Room'!$B$9^2)*(S665-IF('Control Room'!$B$5="Normal",'Control Room'!$B$7,('Control Room'!$B$8+'Control Room'!$D$8)/2))</x:f>
        <x:v>1036.9343134368576</x:v>
      </x:c>
      <x:c r="U665" s="17" t="n">
        <x:f>IF(AND($A665&gt;='Control Room'!$A$13,$A665&lt;'Control Room'!$A$13+'Control Room'!$B$13,'Process'!BN2=1),1+('Control Room'!$C$13-1)*EXP(-0.5*(($A665-'Control Room'!$A$13-('Control Room'!$B$13-1)/2)/MAX(0.5,'Control Room'!$B$13/4))^2),1)*IF(AND($A665&gt;='Control Room'!$A$14,$A665&lt;'Control Room'!$A$14+'Control Room'!$B$14,'Process'!BN3=1),1+('Control Room'!$C$14-1)*EXP(-0.5*(($A665-'Control Room'!$A$14-('Control Room'!$B$14-1)/2)/MAX(0.5,'Control Room'!$B$14/4))^2),1)*IF(AND($A665&gt;='Control Room'!$A$15,$A665&lt;'Control Room'!$A$15+'Control Room'!$B$15,'Process'!BN4=1),1+('Control Room'!$C$15-1)*EXP(-0.5*(($A665-'Control Room'!$A$15-('Control Room'!$B$15-1)/2)/MAX(0.5,'Control Room'!$B$15/4))^2),1)*IF(AND($A665&gt;='Control Room'!$A$16,$A665&lt;'Control Room'!$A$16+'Control Room'!$B$16,'Process'!BN5=1),1+('Control Room'!$C$16-1)*EXP(-0.5*(($A665-'Control Room'!$A$16-('Control Room'!$B$16-1)/2)/MAX(0.5,'Control Room'!$B$16/4))^2),1)</x:f>
        <x:v>1</x:v>
      </x:c>
      <x:c r="V665" s="9" t="n">
        <x:f>MOD(W664*16807,2147483647)</x:f>
        <x:v>1724289979</x:v>
      </x:c>
      <x:c r="W665" s="9" t="n">
        <x:f>MOD(V665*16807,2147483647)</x:f>
        <x:v>1997344435</x:v>
      </x:c>
      <x:c r="X665" s="17" t="n">
        <x:f>IF('Control Room'!$B$5="Normal",'Control Room'!$B$7+'Control Room'!$D$7*SQRT(-2*LN(MAX(0.000000000001,V665/2147483647)))*COS(2*PI()*W665/2147483647),'Control Room'!$B$8+('Control Room'!$D$8-'Control Room'!$B$8)*V665/2147483647)</x:f>
        <x:v>1053.9674965519584</x:v>
      </x:c>
      <x:c r="Y665" s="17" t="n">
        <x:f>IF('Control Room'!$B$5="Normal",'Control Room'!$B$7,('Control Room'!$B$8+'Control Room'!$D$8)/2)+'Control Room'!$B$9*(Y664-IF('Control Room'!$B$5="Normal",'Control Room'!$B$7,('Control Room'!$B$8+'Control Room'!$D$8)/2))+SQRT(1-'Control Room'!$B$9^2)*(X665-IF('Control Room'!$B$5="Normal",'Control Room'!$B$7,('Control Room'!$B$8+'Control Room'!$D$8)/2))</x:f>
        <x:v>1243.246558072184</x:v>
      </x:c>
      <x:c r="Z665" s="17" t="n">
        <x:f>IF(AND($A665&gt;='Control Room'!$A$13,$A665&lt;'Control Room'!$A$13+'Control Room'!$B$13,'Process'!BO2=1),1+('Control Room'!$C$13-1)*EXP(-0.5*(($A665-'Control Room'!$A$13-('Control Room'!$B$13-1)/2)/MAX(0.5,'Control Room'!$B$13/4))^2),1)*IF(AND($A665&gt;='Control Room'!$A$14,$A665&lt;'Control Room'!$A$14+'Control Room'!$B$14,'Process'!BO3=1),1+('Control Room'!$C$14-1)*EXP(-0.5*(($A665-'Control Room'!$A$14-('Control Room'!$B$14-1)/2)/MAX(0.5,'Control Room'!$B$14/4))^2),1)*IF(AND($A665&gt;='Control Room'!$A$15,$A665&lt;'Control Room'!$A$15+'Control Room'!$B$15,'Process'!BO4=1),1+('Control Room'!$C$15-1)*EXP(-0.5*(($A665-'Control Room'!$A$15-('Control Room'!$B$15-1)/2)/MAX(0.5,'Control Room'!$B$15/4))^2),1)*IF(AND($A665&gt;='Control Room'!$A$16,$A665&lt;'Control Room'!$A$16+'Control Room'!$B$16,'Process'!BO5=1),1+('Control Room'!$C$16-1)*EXP(-0.5*(($A665-'Control Room'!$A$16-('Control Room'!$B$16-1)/2)/MAX(0.5,'Control Room'!$B$16/4))^2),1)</x:f>
        <x:v>1</x:v>
      </x:c>
      <x:c r="AA665" s="9" t="n">
        <x:f>MOD(AB664*16807,2147483647)</x:f>
        <x:v>222029399</x:v>
      </x:c>
      <x:c r="AB665" s="9" t="n">
        <x:f>MOD(AA665*16807,2147483647)</x:f>
        <x:v>1469014154</x:v>
      </x:c>
      <x:c r="AC665" s="17" t="n">
        <x:f>IF('Control Room'!$B$5="Normal",'Control Room'!$B$7+'Control Room'!$D$7*SQRT(-2*LN(MAX(0.000000000001,AA665/2147483647)))*COS(2*PI()*AB665/2147483647),'Control Room'!$B$8+('Control Room'!$D$8-'Control Room'!$B$8)*AA665/2147483647)</x:f>
        <x:v>922.8188439713966</x:v>
      </x:c>
      <x:c r="AD665" s="17" t="n">
        <x:f>IF('Control Room'!$B$5="Normal",'Control Room'!$B$7,('Control Room'!$B$8+'Control Room'!$D$8)/2)+'Control Room'!$B$9*(AD664-IF('Control Room'!$B$5="Normal",'Control Room'!$B$7,('Control Room'!$B$8+'Control Room'!$D$8)/2))+SQRT(1-'Control Room'!$B$9^2)*(AC665-IF('Control Room'!$B$5="Normal",'Control Room'!$B$7,('Control Room'!$B$8+'Control Room'!$D$8)/2))</x:f>
        <x:v>898.4841168287045</x:v>
      </x:c>
      <x:c r="AE665" s="17" t="n">
        <x:f>IF(AND($A665&gt;='Control Room'!$A$13,$A665&lt;'Control Room'!$A$13+'Control Room'!$B$13,'Process'!BP2=1),1+('Control Room'!$C$13-1)*EXP(-0.5*(($A665-'Control Room'!$A$13-('Control Room'!$B$13-1)/2)/MAX(0.5,'Control Room'!$B$13/4))^2),1)*IF(AND($A665&gt;='Control Room'!$A$14,$A665&lt;'Control Room'!$A$14+'Control Room'!$B$14,'Process'!BP3=1),1+('Control Room'!$C$14-1)*EXP(-0.5*(($A665-'Control Room'!$A$14-('Control Room'!$B$14-1)/2)/MAX(0.5,'Control Room'!$B$14/4))^2),1)*IF(AND($A665&gt;='Control Room'!$A$15,$A665&lt;'Control Room'!$A$15+'Control Room'!$B$15,'Process'!BP4=1),1+('Control Room'!$C$15-1)*EXP(-0.5*(($A665-'Control Room'!$A$15-('Control Room'!$B$15-1)/2)/MAX(0.5,'Control Room'!$B$15/4))^2),1)*IF(AND($A665&gt;='Control Room'!$A$16,$A665&lt;'Control Room'!$A$16+'Control Room'!$B$16,'Process'!BP5=1),1+('Control Room'!$C$16-1)*EXP(-0.5*(($A665-'Control Room'!$A$16-('Control Room'!$B$16-1)/2)/MAX(0.5,'Control Room'!$B$16/4))^2),1)</x:f>
        <x:v>1</x:v>
      </x:c>
      <x:c r="AF665" s="9" t="n">
        <x:f>MOD(AG664*16807,2147483647)</x:f>
        <x:v>867252466</x:v>
      </x:c>
      <x:c r="AG665" s="9" t="n">
        <x:f>MOD(AF665*16807,2147483647)</x:f>
        <x:v>940683873</x:v>
      </x:c>
      <x:c r="AH665" s="17" t="n">
        <x:f>IF('Control Room'!$B$5="Normal",'Control Room'!$B$7+'Control Room'!$D$7*SQRT(-2*LN(MAX(0.000000000001,AF665/2147483647)))*COS(2*PI()*AG665/2147483647),'Control Room'!$B$8+('Control Room'!$D$8-'Control Room'!$B$8)*AF665/2147483647)</x:f>
        <x:v>887.8711397026741</x:v>
      </x:c>
      <x:c r="AI665" s="17" t="n">
        <x:f>IF('Control Room'!$B$5="Normal",'Control Room'!$B$7,('Control Room'!$B$8+'Control Room'!$D$8)/2)+'Control Room'!$B$9*(AI664-IF('Control Room'!$B$5="Normal",'Control Room'!$B$7,('Control Room'!$B$8+'Control Room'!$D$8)/2))+SQRT(1-'Control Room'!$B$9^2)*(AH665-IF('Control Room'!$B$5="Normal",'Control Room'!$B$7,('Control Room'!$B$8+'Control Room'!$D$8)/2))</x:f>
        <x:v>971.4284276136055</x:v>
      </x:c>
      <x:c r="AJ665" s="17" t="n">
        <x:f>IF(AND($A665&gt;='Control Room'!$A$13,$A665&lt;'Control Room'!$A$13+'Control Room'!$B$13,'Process'!BQ2=1),1+('Control Room'!$C$13-1)*EXP(-0.5*(($A665-'Control Room'!$A$13-('Control Room'!$B$13-1)/2)/MAX(0.5,'Control Room'!$B$13/4))^2),1)*IF(AND($A665&gt;='Control Room'!$A$14,$A665&lt;'Control Room'!$A$14+'Control Room'!$B$14,'Process'!BQ3=1),1+('Control Room'!$C$14-1)*EXP(-0.5*(($A665-'Control Room'!$A$14-('Control Room'!$B$14-1)/2)/MAX(0.5,'Control Room'!$B$14/4))^2),1)*IF(AND($A665&gt;='Control Room'!$A$15,$A665&lt;'Control Room'!$A$15+'Control Room'!$B$15,'Process'!BQ4=1),1+('Control Room'!$C$15-1)*EXP(-0.5*(($A665-'Control Room'!$A$15-('Control Room'!$B$15-1)/2)/MAX(0.5,'Control Room'!$B$15/4))^2),1)*IF(AND($A665&gt;='Control Room'!$A$16,$A665&lt;'Control Room'!$A$16+'Control Room'!$B$16,'Process'!BQ5=1),1+('Control Room'!$C$16-1)*EXP(-0.5*(($A665-'Control Room'!$A$16-('Control Room'!$B$16-1)/2)/MAX(0.5,'Control Room'!$B$16/4))^2),1)</x:f>
        <x:v>1</x:v>
      </x:c>
      <x:c r="AK665" s="9" t="n">
        <x:f>MOD(AL664*16807,2147483647)</x:f>
        <x:v>1512475533</x:v>
      </x:c>
      <x:c r="AL665" s="9" t="n">
        <x:f>MOD(AK665*16807,2147483647)</x:f>
        <x:v>412353592</x:v>
      </x:c>
      <x:c r="AM665" s="17" t="n">
        <x:f>IF('Control Room'!$B$5="Normal",'Control Room'!$B$7+'Control Room'!$D$7*SQRT(-2*LN(MAX(0.000000000001,AK665/2147483647)))*COS(2*PI()*AL665/2147483647),'Control Room'!$B$8+('Control Room'!$D$8-'Control Room'!$B$8)*AK665/2147483647)</x:f>
        <x:v>1026.85107540183</x:v>
      </x:c>
      <x:c r="AN665" s="17" t="n">
        <x:f>IF('Control Room'!$B$5="Normal",'Control Room'!$B$7,('Control Room'!$B$8+'Control Room'!$D$8)/2)+'Control Room'!$B$9*(AN664-IF('Control Room'!$B$5="Normal",'Control Room'!$B$7,('Control Room'!$B$8+'Control Room'!$D$8)/2))+SQRT(1-'Control Room'!$B$9^2)*(AM665-IF('Control Room'!$B$5="Normal",'Control Room'!$B$7,('Control Room'!$B$8+'Control Room'!$D$8)/2))</x:f>
        <x:v>1065.464977985142</x:v>
      </x:c>
      <x:c r="AO665" s="17" t="n">
        <x:f>IF(AND($A665&gt;='Control Room'!$A$13,$A665&lt;'Control Room'!$A$13+'Control Room'!$B$13,'Process'!BR2=1),1+('Control Room'!$C$13-1)*EXP(-0.5*(($A665-'Control Room'!$A$13-('Control Room'!$B$13-1)/2)/MAX(0.5,'Control Room'!$B$13/4))^2),1)*IF(AND($A665&gt;='Control Room'!$A$14,$A665&lt;'Control Room'!$A$14+'Control Room'!$B$14,'Process'!BR3=1),1+('Control Room'!$C$14-1)*EXP(-0.5*(($A665-'Control Room'!$A$14-('Control Room'!$B$14-1)/2)/MAX(0.5,'Control Room'!$B$14/4))^2),1)*IF(AND($A665&gt;='Control Room'!$A$15,$A665&lt;'Control Room'!$A$15+'Control Room'!$B$15,'Process'!BR4=1),1+('Control Room'!$C$15-1)*EXP(-0.5*(($A665-'Control Room'!$A$15-('Control Room'!$B$15-1)/2)/MAX(0.5,'Control Room'!$B$15/4))^2),1)*IF(AND($A665&gt;='Control Room'!$A$16,$A665&lt;'Control Room'!$A$16+'Control Room'!$B$16,'Process'!BR5=1),1+('Control Room'!$C$16-1)*EXP(-0.5*(($A665-'Control Room'!$A$16-('Control Room'!$B$16-1)/2)/MAX(0.5,'Control Room'!$B$16/4))^2),1)</x:f>
        <x:v>1</x:v>
      </x:c>
      <x:c r="AP665" s="9" t="n">
        <x:f>MOD(AQ664*16807,2147483647)</x:f>
        <x:v>10214953</x:v>
      </x:c>
      <x:c r="AQ665" s="9" t="n">
        <x:f>MOD(AP665*16807,2147483647)</x:f>
        <x:v>2031506958</x:v>
      </x:c>
      <x:c r="AR665" s="17" t="n">
        <x:f>IF('Control Room'!$B$5="Normal",'Control Room'!$B$7+'Control Room'!$D$7*SQRT(-2*LN(MAX(0.000000000001,AP665/2147483647)))*COS(2*PI()*AQ665/2147483647),'Control Room'!$B$8+('Control Room'!$D$8-'Control Room'!$B$8)*AP665/2147483647)</x:f>
        <x:v>1277.5639112958506</x:v>
      </x:c>
      <x:c r="AS665" s="17" t="n">
        <x:f>IF('Control Room'!$B$5="Normal",'Control Room'!$B$7,('Control Room'!$B$8+'Control Room'!$D$8)/2)+'Control Room'!$B$9*(AS664-IF('Control Room'!$B$5="Normal",'Control Room'!$B$7,('Control Room'!$B$8+'Control Room'!$D$8)/2))+SQRT(1-'Control Room'!$B$9^2)*(AR665-IF('Control Room'!$B$5="Normal",'Control Room'!$B$7,('Control Room'!$B$8+'Control Room'!$D$8)/2))</x:f>
        <x:v>1116.6705654835635</x:v>
      </x:c>
      <x:c r="AT665" s="17" t="n">
        <x:f>IF(AND($A665&gt;='Control Room'!$A$13,$A665&lt;'Control Room'!$A$13+'Control Room'!$B$13,'Process'!BS2=1),1+('Control Room'!$C$13-1)*EXP(-0.5*(($A665-'Control Room'!$A$13-('Control Room'!$B$13-1)/2)/MAX(0.5,'Control Room'!$B$13/4))^2),1)*IF(AND($A665&gt;='Control Room'!$A$14,$A665&lt;'Control Room'!$A$14+'Control Room'!$B$14,'Process'!BS3=1),1+('Control Room'!$C$14-1)*EXP(-0.5*(($A665-'Control Room'!$A$14-('Control Room'!$B$14-1)/2)/MAX(0.5,'Control Room'!$B$14/4))^2),1)*IF(AND($A665&gt;='Control Room'!$A$15,$A665&lt;'Control Room'!$A$15+'Control Room'!$B$15,'Process'!BS4=1),1+('Control Room'!$C$15-1)*EXP(-0.5*(($A665-'Control Room'!$A$15-('Control Room'!$B$15-1)/2)/MAX(0.5,'Control Room'!$B$15/4))^2),1)*IF(AND($A665&gt;='Control Room'!$A$16,$A665&lt;'Control Room'!$A$16+'Control Room'!$B$16,'Process'!BS5=1),1+('Control Room'!$C$16-1)*EXP(-0.5*(($A665-'Control Room'!$A$16-('Control Room'!$B$16-1)/2)/MAX(0.5,'Control Room'!$B$16/4))^2),1)</x:f>
        <x:v>1</x:v>
      </x:c>
      <x:c r="AU665" s="9" t="n">
        <x:f>MOD(AV664*16807,2147483647)</x:f>
        <x:v>655438020</x:v>
      </x:c>
      <x:c r="AV665" s="9" t="n">
        <x:f>MOD(AU665*16807,2147483647)</x:f>
        <x:v>1503176677</x:v>
      </x:c>
      <x:c r="AW665" s="17" t="n">
        <x:f>IF('Control Room'!$B$5="Normal",'Control Room'!$B$7+'Control Room'!$D$7*SQRT(-2*LN(MAX(0.000000000001,AU665/2147483647)))*COS(2*PI()*AV665/2147483647),'Control Room'!$B$8+('Control Room'!$D$8-'Control Room'!$B$8)*AU665/2147483647)</x:f>
        <x:v>957.1292496294736</x:v>
      </x:c>
      <x:c r="AX665" s="17" t="n">
        <x:f>IF('Control Room'!$B$5="Normal",'Control Room'!$B$7,('Control Room'!$B$8+'Control Room'!$D$8)/2)+'Control Room'!$B$9*(AX664-IF('Control Room'!$B$5="Normal",'Control Room'!$B$7,('Control Room'!$B$8+'Control Room'!$D$8)/2))+SQRT(1-'Control Room'!$B$9^2)*(AW665-IF('Control Room'!$B$5="Normal",'Control Room'!$B$7,('Control Room'!$B$8+'Control Room'!$D$8)/2))</x:f>
        <x:v>845.6609121230438</x:v>
      </x:c>
      <x:c r="AY665" s="17" t="n">
        <x:f>IF(AND($A665&gt;='Control Room'!$A$13,$A665&lt;'Control Room'!$A$13+'Control Room'!$B$13,'Process'!BT2=1),1+('Control Room'!$C$13-1)*EXP(-0.5*(($A665-'Control Room'!$A$13-('Control Room'!$B$13-1)/2)/MAX(0.5,'Control Room'!$B$13/4))^2),1)*IF(AND($A665&gt;='Control Room'!$A$14,$A665&lt;'Control Room'!$A$14+'Control Room'!$B$14,'Process'!BT3=1),1+('Control Room'!$C$14-1)*EXP(-0.5*(($A665-'Control Room'!$A$14-('Control Room'!$B$14-1)/2)/MAX(0.5,'Control Room'!$B$14/4))^2),1)*IF(AND($A665&gt;='Control Room'!$A$15,$A665&lt;'Control Room'!$A$15+'Control Room'!$B$15,'Process'!BT4=1),1+('Control Room'!$C$15-1)*EXP(-0.5*(($A665-'Control Room'!$A$15-('Control Room'!$B$15-1)/2)/MAX(0.5,'Control Room'!$B$15/4))^2),1)*IF(AND($A665&gt;='Control Room'!$A$16,$A665&lt;'Control Room'!$A$16+'Control Room'!$B$16,'Process'!BT5=1),1+('Control Room'!$C$16-1)*EXP(-0.5*(($A665-'Control Room'!$A$16-('Control Room'!$B$16-1)/2)/MAX(0.5,'Control Room'!$B$16/4))^2),1)</x:f>
        <x:v>1</x:v>
      </x:c>
      <x:c r="AZ665" s="9" t="n">
        <x:f>MOD(BA664*16807,2147483647)</x:f>
        <x:v>1300661087</x:v>
      </x:c>
      <x:c r="BA665" s="9" t="n">
        <x:f>MOD(AZ665*16807,2147483647)</x:f>
        <x:v>974846396</x:v>
      </x:c>
      <x:c r="BB665" s="17" t="n">
        <x:f>IF('Control Room'!$B$5="Normal",'Control Room'!$B$7+'Control Room'!$D$7*SQRT(-2*LN(MAX(0.000000000001,AZ665/2147483647)))*COS(2*PI()*BA665/2147483647),'Control Room'!$B$8+('Control Room'!$D$8-'Control Room'!$B$8)*AZ665/2147483647)</x:f>
        <x:v>913.6186346757478</x:v>
      </x:c>
      <x:c r="BC665" s="17" t="n">
        <x:f>IF('Control Room'!$B$5="Normal",'Control Room'!$B$7,('Control Room'!$B$8+'Control Room'!$D$8)/2)+'Control Room'!$B$9*(BC664-IF('Control Room'!$B$5="Normal",'Control Room'!$B$7,('Control Room'!$B$8+'Control Room'!$D$8)/2))+SQRT(1-'Control Room'!$B$9^2)*(BB665-IF('Control Room'!$B$5="Normal",'Control Room'!$B$7,('Control Room'!$B$8+'Control Room'!$D$8)/2))</x:f>
        <x:v>877.4038003137904</x:v>
      </x:c>
      <x:c r="BD665" s="17" t="n">
        <x:f>IF(AND($A665&gt;='Control Room'!$A$13,$A665&lt;'Control Room'!$A$13+'Control Room'!$B$13,'Process'!BU2=1),1+('Control Room'!$C$13-1)*EXP(-0.5*(($A665-'Control Room'!$A$13-('Control Room'!$B$13-1)/2)/MAX(0.5,'Control Room'!$B$13/4))^2),1)*IF(AND($A665&gt;='Control Room'!$A$14,$A665&lt;'Control Room'!$A$14+'Control Room'!$B$14,'Process'!BU3=1),1+('Control Room'!$C$14-1)*EXP(-0.5*(($A665-'Control Room'!$A$14-('Control Room'!$B$14-1)/2)/MAX(0.5,'Control Room'!$B$14/4))^2),1)*IF(AND($A665&gt;='Control Room'!$A$15,$A665&lt;'Control Room'!$A$15+'Control Room'!$B$15,'Process'!BU4=1),1+('Control Room'!$C$15-1)*EXP(-0.5*(($A665-'Control Room'!$A$15-('Control Room'!$B$15-1)/2)/MAX(0.5,'Control Room'!$B$15/4))^2),1)*IF(AND($A665&gt;='Control Room'!$A$16,$A665&lt;'Control Room'!$A$16+'Control Room'!$B$16,'Process'!BU5=1),1+('Control Room'!$C$16-1)*EXP(-0.5*(($A665-'Control Room'!$A$16-('Control Room'!$B$16-1)/2)/MAX(0.5,'Control Room'!$B$16/4))^2),1)</x:f>
        <x:v>1</x:v>
      </x:c>
      <x:c r="BE665" s="9" t="n">
        <x:f>MOD(BF664*16807,2147483647)</x:f>
        <x:v>1945884154</x:v>
      </x:c>
      <x:c r="BF665" s="9" t="n">
        <x:f>MOD(BE665*16807,2147483647)</x:f>
        <x:v>446516115</x:v>
      </x:c>
      <x:c r="BG665" s="17" t="n">
        <x:f>IF('Control Room'!$B$5="Normal",'Control Room'!$B$7+'Control Room'!$D$7*SQRT(-2*LN(MAX(0.000000000001,BE665/2147483647)))*COS(2*PI()*BF665/2147483647),'Control Room'!$B$8+('Control Room'!$D$8-'Control Room'!$B$8)*BE665/2147483647)</x:f>
        <x:v>1010.4419909449518</x:v>
      </x:c>
      <x:c r="BH665" s="17" t="n">
        <x:f>IF('Control Room'!$B$5="Normal",'Control Room'!$B$7,('Control Room'!$B$8+'Control Room'!$D$8)/2)+'Control Room'!$B$9*(BH664-IF('Control Room'!$B$5="Normal",'Control Room'!$B$7,('Control Room'!$B$8+'Control Room'!$D$8)/2))+SQRT(1-'Control Room'!$B$9^2)*(BG665-IF('Control Room'!$B$5="Normal",'Control Room'!$B$7,('Control Room'!$B$8+'Control Room'!$D$8)/2))</x:f>
        <x:v>996.586707114622</x:v>
      </x:c>
      <x:c r="BI665" s="17" t="n">
        <x:f>IF(AND($A665&gt;='Control Room'!$A$13,$A665&lt;'Control Room'!$A$13+'Control Room'!$B$13,'Process'!BV2=1),1+('Control Room'!$C$13-1)*EXP(-0.5*(($A665-'Control Room'!$A$13-('Control Room'!$B$13-1)/2)/MAX(0.5,'Control Room'!$B$13/4))^2),1)*IF(AND($A665&gt;='Control Room'!$A$14,$A665&lt;'Control Room'!$A$14+'Control Room'!$B$14,'Process'!BV3=1),1+('Control Room'!$C$14-1)*EXP(-0.5*(($A665-'Control Room'!$A$14-('Control Room'!$B$14-1)/2)/MAX(0.5,'Control Room'!$B$14/4))^2),1)*IF(AND($A665&gt;='Control Room'!$A$15,$A665&lt;'Control Room'!$A$15+'Control Room'!$B$15,'Process'!BV4=1),1+('Control Room'!$C$15-1)*EXP(-0.5*(($A665-'Control Room'!$A$15-('Control Room'!$B$15-1)/2)/MAX(0.5,'Control Room'!$B$15/4))^2),1)*IF(AND($A665&gt;='Control Room'!$A$16,$A665&lt;'Control Room'!$A$16+'Control Room'!$B$16,'Process'!BV5=1),1+('Control Room'!$C$16-1)*EXP(-0.5*(($A665-'Control Room'!$A$16-('Control Room'!$B$16-1)/2)/MAX(0.5,'Control Room'!$B$16/4))^2),1)</x:f>
        <x:v>1</x:v>
      </x:c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Z665" t="str">
        <x:f>IF('Data'!A665="","",TEXT('Data'!A665,"mm-dd"))</x:f>
      </x:c>
    </x:row>
    <x:row r="666" ht="21" customHeight="1">
      <x:c r="A666" s="15" t="n">
        <x:f>'Control Room'!$B$1+664</x:f>
        <x:v>73655</x:v>
      </x:c>
      <x:c r="B666" s="9" t="n">
        <x:f>MOD(C665*16807,2147483647)</x:f>
        <x:v>1259642476</x:v>
      </x:c>
      <x:c r="C666" s="9" t="n">
        <x:f>MOD(B666*16807,2147483647)</x:f>
        <x:v>917302006</x:v>
      </x:c>
      <x:c r="D666" s="17" t="n">
        <x:f>IF('Control Room'!$B$5="Normal",'Control Room'!$B$7+'Control Room'!$D$7*SQRT(-2*LN(MAX(0.000000000001,B666/2147483647)))*COS(2*PI()*C666/2147483647),'Control Room'!$B$8+('Control Room'!$D$8-'Control Room'!$B$8)*B666/2147483647)</x:f>
        <x:v>916.6059140043827</x:v>
      </x:c>
      <x:c r="E666" s="17" t="n">
        <x:f>IF('Control Room'!$B$5="Normal",'Control Room'!$B$7,('Control Room'!$B$8+'Control Room'!$D$8)/2)+'Control Room'!$B$9*(E665-IF('Control Room'!$B$5="Normal",'Control Room'!$B$7,('Control Room'!$B$8+'Control Room'!$D$8)/2))+SQRT(1-'Control Room'!$B$9^2)*(D666-IF('Control Room'!$B$5="Normal",'Control Room'!$B$7,('Control Room'!$B$8+'Control Room'!$D$8)/2))</x:f>
        <x:v>918.3792651059478</x:v>
      </x:c>
      <x:c r="F666" s="17" t="n">
        <x:f>IF(AND($A666&gt;='Control Room'!$A$13,$A666&lt;'Control Room'!$A$13+'Control Room'!$B$13,'Process'!BK2=1),1+('Control Room'!$C$13-1)*EXP(-0.5*(($A666-'Control Room'!$A$13-('Control Room'!$B$13-1)/2)/MAX(0.5,'Control Room'!$B$13/4))^2),1)*IF(AND($A666&gt;='Control Room'!$A$14,$A666&lt;'Control Room'!$A$14+'Control Room'!$B$14,'Process'!BK3=1),1+('Control Room'!$C$14-1)*EXP(-0.5*(($A666-'Control Room'!$A$14-('Control Room'!$B$14-1)/2)/MAX(0.5,'Control Room'!$B$14/4))^2),1)*IF(AND($A666&gt;='Control Room'!$A$15,$A666&lt;'Control Room'!$A$15+'Control Room'!$B$15,'Process'!BK4=1),1+('Control Room'!$C$15-1)*EXP(-0.5*(($A666-'Control Room'!$A$15-('Control Room'!$B$15-1)/2)/MAX(0.5,'Control Room'!$B$15/4))^2),1)*IF(AND($A666&gt;='Control Room'!$A$16,$A666&lt;'Control Room'!$A$16+'Control Room'!$B$16,'Process'!BK5=1),1+('Control Room'!$C$16-1)*EXP(-0.5*(($A666-'Control Room'!$A$16-('Control Room'!$B$16-1)/2)/MAX(0.5,'Control Room'!$B$16/4))^2),1)</x:f>
        <x:v>1</x:v>
      </x:c>
      <x:c r="G666" s="9" t="n">
        <x:f>MOD(H665*16807,2147483647)</x:f>
        <x:v>1457490054</x:v>
      </x:c>
      <x:c r="H666" s="9" t="n">
        <x:f>MOD(G666*16807,2147483647)</x:f>
        <x:v>1836859896</x:v>
      </x:c>
      <x:c r="I666" s="17" t="n">
        <x:f>IF('Control Room'!$B$5="Normal",'Control Room'!$B$7+'Control Room'!$D$7*SQRT(-2*LN(MAX(0.000000000001,G666/2147483647)))*COS(2*PI()*H666/2147483647),'Control Room'!$B$8+('Control Room'!$D$8-'Control Room'!$B$8)*G666/2147483647)</x:f>
        <x:v>1048.7054677384472</x:v>
      </x:c>
      <x:c r="J666" s="17" t="n">
        <x:f>IF('Control Room'!$B$5="Normal",'Control Room'!$B$7,('Control Room'!$B$8+'Control Room'!$D$8)/2)+'Control Room'!$B$9*(J665-IF('Control Room'!$B$5="Normal",'Control Room'!$B$7,('Control Room'!$B$8+'Control Room'!$D$8)/2))+SQRT(1-'Control Room'!$B$9^2)*(I666-IF('Control Room'!$B$5="Normal",'Control Room'!$B$7,('Control Room'!$B$8+'Control Room'!$D$8)/2))</x:f>
        <x:v>969.560068503618</x:v>
      </x:c>
      <x:c r="K666" s="17" t="n">
        <x:f>IF(AND($A666&gt;='Control Room'!$A$13,$A666&lt;'Control Room'!$A$13+'Control Room'!$B$13,'Process'!BL2=1),1+('Control Room'!$C$13-1)*EXP(-0.5*(($A666-'Control Room'!$A$13-('Control Room'!$B$13-1)/2)/MAX(0.5,'Control Room'!$B$13/4))^2),1)*IF(AND($A666&gt;='Control Room'!$A$14,$A666&lt;'Control Room'!$A$14+'Control Room'!$B$14,'Process'!BL3=1),1+('Control Room'!$C$14-1)*EXP(-0.5*(($A666-'Control Room'!$A$14-('Control Room'!$B$14-1)/2)/MAX(0.5,'Control Room'!$B$14/4))^2),1)*IF(AND($A666&gt;='Control Room'!$A$15,$A666&lt;'Control Room'!$A$15+'Control Room'!$B$15,'Process'!BL4=1),1+('Control Room'!$C$15-1)*EXP(-0.5*(($A666-'Control Room'!$A$15-('Control Room'!$B$15-1)/2)/MAX(0.5,'Control Room'!$B$15/4))^2),1)*IF(AND($A666&gt;='Control Room'!$A$16,$A666&lt;'Control Room'!$A$16+'Control Room'!$B$16,'Process'!BL5=1),1+('Control Room'!$C$16-1)*EXP(-0.5*(($A666-'Control Room'!$A$16-('Control Room'!$B$16-1)/2)/MAX(0.5,'Control Room'!$B$16/4))^2),1)</x:f>
        <x:v>1</x:v>
      </x:c>
      <x:c r="L666" s="9" t="n">
        <x:f>MOD(M665*16807,2147483647)</x:f>
        <x:v>1655337632</x:v>
      </x:c>
      <x:c r="M666" s="9" t="n">
        <x:f>MOD(L666*16807,2147483647)</x:f>
        <x:v>608934139</x:v>
      </x:c>
      <x:c r="N666" s="17" t="n">
        <x:f>IF('Control Room'!$B$5="Normal",'Control Room'!$B$7+'Control Room'!$D$7*SQRT(-2*LN(MAX(0.000000000001,L666/2147483647)))*COS(2*PI()*M666/2147483647),'Control Room'!$B$8+('Control Room'!$D$8-'Control Room'!$B$8)*L666/2147483647)</x:f>
        <x:v>986.4097064010368</x:v>
      </x:c>
      <x:c r="O666" s="17" t="n">
        <x:f>IF('Control Room'!$B$5="Normal",'Control Room'!$B$7,('Control Room'!$B$8+'Control Room'!$D$8)/2)+'Control Room'!$B$9*(O665-IF('Control Room'!$B$5="Normal",'Control Room'!$B$7,('Control Room'!$B$8+'Control Room'!$D$8)/2))+SQRT(1-'Control Room'!$B$9^2)*(N666-IF('Control Room'!$B$5="Normal",'Control Room'!$B$7,('Control Room'!$B$8+'Control Room'!$D$8)/2))</x:f>
        <x:v>917.827633263618</x:v>
      </x:c>
      <x:c r="P666" s="17" t="n">
        <x:f>IF(AND($A666&gt;='Control Room'!$A$13,$A666&lt;'Control Room'!$A$13+'Control Room'!$B$13,'Process'!BM2=1),1+('Control Room'!$C$13-1)*EXP(-0.5*(($A666-'Control Room'!$A$13-('Control Room'!$B$13-1)/2)/MAX(0.5,'Control Room'!$B$13/4))^2),1)*IF(AND($A666&gt;='Control Room'!$A$14,$A666&lt;'Control Room'!$A$14+'Control Room'!$B$14,'Process'!BM3=1),1+('Control Room'!$C$14-1)*EXP(-0.5*(($A666-'Control Room'!$A$14-('Control Room'!$B$14-1)/2)/MAX(0.5,'Control Room'!$B$14/4))^2),1)*IF(AND($A666&gt;='Control Room'!$A$15,$A666&lt;'Control Room'!$A$15+'Control Room'!$B$15,'Process'!BM4=1),1+('Control Room'!$C$15-1)*EXP(-0.5*(($A666-'Control Room'!$A$15-('Control Room'!$B$15-1)/2)/MAX(0.5,'Control Room'!$B$15/4))^2),1)*IF(AND($A666&gt;='Control Room'!$A$16,$A666&lt;'Control Room'!$A$16+'Control Room'!$B$16,'Process'!BM5=1),1+('Control Room'!$C$16-1)*EXP(-0.5*(($A666-'Control Room'!$A$16-('Control Room'!$B$16-1)/2)/MAX(0.5,'Control Room'!$B$16/4))^2),1)</x:f>
        <x:v>1</x:v>
      </x:c>
      <x:c r="Q666" s="9" t="n">
        <x:f>MOD(R665*16807,2147483647)</x:f>
        <x:v>1853185210</x:v>
      </x:c>
      <x:c r="R666" s="9" t="n">
        <x:f>MOD(Q666*16807,2147483647)</x:f>
        <x:v>1528492029</x:v>
      </x:c>
      <x:c r="S666" s="17" t="n">
        <x:f>IF('Control Room'!$B$5="Normal",'Control Room'!$B$7+'Control Room'!$D$7*SQRT(-2*LN(MAX(0.000000000001,Q666/2147483647)))*COS(2*PI()*R666/2147483647),'Control Room'!$B$8+('Control Room'!$D$8-'Control Room'!$B$8)*Q666/2147483647)</x:f>
        <x:v>988.3719008184589</x:v>
      </x:c>
      <x:c r="T666" s="17" t="n">
        <x:f>IF('Control Room'!$B$5="Normal",'Control Room'!$B$7,('Control Room'!$B$8+'Control Room'!$D$8)/2)+'Control Room'!$B$9*(T665-IF('Control Room'!$B$5="Normal",'Control Room'!$B$7,('Control Room'!$B$8+'Control Room'!$D$8)/2))+SQRT(1-'Control Room'!$B$9^2)*(S666-IF('Control Room'!$B$5="Normal",'Control Room'!$B$7,('Control Room'!$B$8+'Control Room'!$D$8)/2))</x:f>
        <x:v>1021.5321382275005</x:v>
      </x:c>
      <x:c r="U666" s="17" t="n">
        <x:f>IF(AND($A666&gt;='Control Room'!$A$13,$A666&lt;'Control Room'!$A$13+'Control Room'!$B$13,'Process'!BN2=1),1+('Control Room'!$C$13-1)*EXP(-0.5*(($A666-'Control Room'!$A$13-('Control Room'!$B$13-1)/2)/MAX(0.5,'Control Room'!$B$13/4))^2),1)*IF(AND($A666&gt;='Control Room'!$A$14,$A666&lt;'Control Room'!$A$14+'Control Room'!$B$14,'Process'!BN3=1),1+('Control Room'!$C$14-1)*EXP(-0.5*(($A666-'Control Room'!$A$14-('Control Room'!$B$14-1)/2)/MAX(0.5,'Control Room'!$B$14/4))^2),1)*IF(AND($A666&gt;='Control Room'!$A$15,$A666&lt;'Control Room'!$A$15+'Control Room'!$B$15,'Process'!BN4=1),1+('Control Room'!$C$15-1)*EXP(-0.5*(($A666-'Control Room'!$A$15-('Control Room'!$B$15-1)/2)/MAX(0.5,'Control Room'!$B$15/4))^2),1)*IF(AND($A666&gt;='Control Room'!$A$16,$A666&lt;'Control Room'!$A$16+'Control Room'!$B$16,'Process'!BN5=1),1+('Control Room'!$C$16-1)*EXP(-0.5*(($A666-'Control Room'!$A$16-('Control Room'!$B$16-1)/2)/MAX(0.5,'Control Room'!$B$16/4))^2),1)</x:f>
        <x:v>1</x:v>
      </x:c>
      <x:c r="V666" s="9" t="n">
        <x:f>MOD(W665*16807,2147483647)</x:f>
        <x:v>2051032788</x:v>
      </x:c>
      <x:c r="W666" s="9" t="n">
        <x:f>MOD(V666*16807,2147483647)</x:f>
        <x:v>300566272</x:v>
      </x:c>
      <x:c r="X666" s="17" t="n">
        <x:f>IF('Control Room'!$B$5="Normal",'Control Room'!$B$7+'Control Room'!$D$7*SQRT(-2*LN(MAX(0.000000000001,V666/2147483647)))*COS(2*PI()*W666/2147483647),'Control Room'!$B$8+('Control Room'!$D$8-'Control Room'!$B$8)*V666/2147483647)</x:f>
        <x:v>1017.3967970191546</x:v>
      </x:c>
      <x:c r="Y666" s="17" t="n">
        <x:f>IF('Control Room'!$B$5="Normal",'Control Room'!$B$7,('Control Room'!$B$8+'Control Room'!$D$8)/2)+'Control Room'!$B$9*(Y665-IF('Control Room'!$B$5="Normal",'Control Room'!$B$7,('Control Room'!$B$8+'Control Room'!$D$8)/2))+SQRT(1-'Control Room'!$B$9^2)*(X666-IF('Control Room'!$B$5="Normal",'Control Room'!$B$7,('Control Room'!$B$8+'Control Room'!$D$8)/2))</x:f>
        <x:v>1200.6188744781318</x:v>
      </x:c>
      <x:c r="Z666" s="17" t="n">
        <x:f>IF(AND($A666&gt;='Control Room'!$A$13,$A666&lt;'Control Room'!$A$13+'Control Room'!$B$13,'Process'!BO2=1),1+('Control Room'!$C$13-1)*EXP(-0.5*(($A666-'Control Room'!$A$13-('Control Room'!$B$13-1)/2)/MAX(0.5,'Control Room'!$B$13/4))^2),1)*IF(AND($A666&gt;='Control Room'!$A$14,$A666&lt;'Control Room'!$A$14+'Control Room'!$B$14,'Process'!BO3=1),1+('Control Room'!$C$14-1)*EXP(-0.5*(($A666-'Control Room'!$A$14-('Control Room'!$B$14-1)/2)/MAX(0.5,'Control Room'!$B$14/4))^2),1)*IF(AND($A666&gt;='Control Room'!$A$15,$A666&lt;'Control Room'!$A$15+'Control Room'!$B$15,'Process'!BO4=1),1+('Control Room'!$C$15-1)*EXP(-0.5*(($A666-'Control Room'!$A$15-('Control Room'!$B$15-1)/2)/MAX(0.5,'Control Room'!$B$15/4))^2),1)*IF(AND($A666&gt;='Control Room'!$A$16,$A666&lt;'Control Room'!$A$16+'Control Room'!$B$16,'Process'!BO5=1),1+('Control Room'!$C$16-1)*EXP(-0.5*(($A666-'Control Room'!$A$16-('Control Room'!$B$16-1)/2)/MAX(0.5,'Control Room'!$B$16/4))^2),1)</x:f>
        <x:v>1</x:v>
      </x:c>
      <x:c r="AA666" s="9" t="n">
        <x:f>MOD(AB665*16807,2147483647)</x:f>
        <x:v>101396719</x:v>
      </x:c>
      <x:c r="AB666" s="9" t="n">
        <x:f>MOD(AA666*16807,2147483647)</x:f>
        <x:v>1220124162</x:v>
      </x:c>
      <x:c r="AC666" s="17" t="n">
        <x:f>IF('Control Room'!$B$5="Normal",'Control Room'!$B$7+'Control Room'!$D$7*SQRT(-2*LN(MAX(0.000000000001,AA666/2147483647)))*COS(2*PI()*AB666/2147483647),'Control Room'!$B$8+('Control Room'!$D$8-'Control Room'!$B$8)*AA666/2147483647)</x:f>
        <x:v>797.6939317143999</x:v>
      </x:c>
      <x:c r="AD666" s="17" t="n">
        <x:f>IF('Control Room'!$B$5="Normal",'Control Room'!$B$7,('Control Room'!$B$8+'Control Room'!$D$8)/2)+'Control Room'!$B$9*(AD665-IF('Control Room'!$B$5="Normal",'Control Room'!$B$7,('Control Room'!$B$8+'Control Room'!$D$8)/2))+SQRT(1-'Control Room'!$B$9^2)*(AC666-IF('Control Room'!$B$5="Normal",'Control Room'!$B$7,('Control Room'!$B$8+'Control Room'!$D$8)/2))</x:f>
        <x:v>794.2186180583415</x:v>
      </x:c>
      <x:c r="AE666" s="17" t="n">
        <x:f>IF(AND($A666&gt;='Control Room'!$A$13,$A666&lt;'Control Room'!$A$13+'Control Room'!$B$13,'Process'!BP2=1),1+('Control Room'!$C$13-1)*EXP(-0.5*(($A666-'Control Room'!$A$13-('Control Room'!$B$13-1)/2)/MAX(0.5,'Control Room'!$B$13/4))^2),1)*IF(AND($A666&gt;='Control Room'!$A$14,$A666&lt;'Control Room'!$A$14+'Control Room'!$B$14,'Process'!BP3=1),1+('Control Room'!$C$14-1)*EXP(-0.5*(($A666-'Control Room'!$A$14-('Control Room'!$B$14-1)/2)/MAX(0.5,'Control Room'!$B$14/4))^2),1)*IF(AND($A666&gt;='Control Room'!$A$15,$A666&lt;'Control Room'!$A$15+'Control Room'!$B$15,'Process'!BP4=1),1+('Control Room'!$C$15-1)*EXP(-0.5*(($A666-'Control Room'!$A$15-('Control Room'!$B$15-1)/2)/MAX(0.5,'Control Room'!$B$15/4))^2),1)*IF(AND($A666&gt;='Control Room'!$A$16,$A666&lt;'Control Room'!$A$16+'Control Room'!$B$16,'Process'!BP5=1),1+('Control Room'!$C$16-1)*EXP(-0.5*(($A666-'Control Room'!$A$16-('Control Room'!$B$16-1)/2)/MAX(0.5,'Control Room'!$B$16/4))^2),1)</x:f>
        <x:v>1</x:v>
      </x:c>
      <x:c r="AF666" s="9" t="n">
        <x:f>MOD(AG665*16807,2147483647)</x:f>
        <x:v>299244297</x:v>
      </x:c>
      <x:c r="AG666" s="9" t="n">
        <x:f>MOD(AF666*16807,2147483647)</x:f>
        <x:v>2139682052</x:v>
      </x:c>
      <x:c r="AH666" s="17" t="n">
        <x:f>IF('Control Room'!$B$5="Normal",'Control Room'!$B$7+'Control Room'!$D$7*SQRT(-2*LN(MAX(0.000000000001,AF666/2147483647)))*COS(2*PI()*AG666/2147483647),'Control Room'!$B$8+('Control Room'!$D$8-'Control Room'!$B$8)*AF666/2147483647)</x:f>
        <x:v>1178.6342472368633</x:v>
      </x:c>
      <x:c r="AI666" s="17" t="n">
        <x:f>IF('Control Room'!$B$5="Normal",'Control Room'!$B$7,('Control Room'!$B$8+'Control Room'!$D$8)/2)+'Control Room'!$B$9*(AI665-IF('Control Room'!$B$5="Normal",'Control Room'!$B$7,('Control Room'!$B$8+'Control Room'!$D$8)/2))+SQRT(1-'Control Room'!$B$9^2)*(AH666-IF('Control Room'!$B$5="Normal",'Control Room'!$B$7,('Control Room'!$B$8+'Control Room'!$D$8)/2))</x:f>
        <x:v>1089.499825937974</x:v>
      </x:c>
      <x:c r="AJ666" s="17" t="n">
        <x:f>IF(AND($A666&gt;='Control Room'!$A$13,$A666&lt;'Control Room'!$A$13+'Control Room'!$B$13,'Process'!BQ2=1),1+('Control Room'!$C$13-1)*EXP(-0.5*(($A666-'Control Room'!$A$13-('Control Room'!$B$13-1)/2)/MAX(0.5,'Control Room'!$B$13/4))^2),1)*IF(AND($A666&gt;='Control Room'!$A$14,$A666&lt;'Control Room'!$A$14+'Control Room'!$B$14,'Process'!BQ3=1),1+('Control Room'!$C$14-1)*EXP(-0.5*(($A666-'Control Room'!$A$14-('Control Room'!$B$14-1)/2)/MAX(0.5,'Control Room'!$B$14/4))^2),1)*IF(AND($A666&gt;='Control Room'!$A$15,$A666&lt;'Control Room'!$A$15+'Control Room'!$B$15,'Process'!BQ4=1),1+('Control Room'!$C$15-1)*EXP(-0.5*(($A666-'Control Room'!$A$15-('Control Room'!$B$15-1)/2)/MAX(0.5,'Control Room'!$B$15/4))^2),1)*IF(AND($A666&gt;='Control Room'!$A$16,$A666&lt;'Control Room'!$A$16+'Control Room'!$B$16,'Process'!BQ5=1),1+('Control Room'!$C$16-1)*EXP(-0.5*(($A666-'Control Room'!$A$16-('Control Room'!$B$16-1)/2)/MAX(0.5,'Control Room'!$B$16/4))^2),1)</x:f>
        <x:v>1</x:v>
      </x:c>
      <x:c r="AK666" s="9" t="n">
        <x:f>MOD(AL665*16807,2147483647)</x:f>
        <x:v>497091875</x:v>
      </x:c>
      <x:c r="AL666" s="9" t="n">
        <x:f>MOD(AK666*16807,2147483647)</x:f>
        <x:v>911756295</x:v>
      </x:c>
      <x:c r="AM666" s="17" t="n">
        <x:f>IF('Control Room'!$B$5="Normal",'Control Room'!$B$7+'Control Room'!$D$7*SQRT(-2*LN(MAX(0.000000000001,AK666/2147483647)))*COS(2*PI()*AL666/2147483647),'Control Room'!$B$8+('Control Room'!$D$8-'Control Room'!$B$8)*AK666/2147483647)</x:f>
        <x:v>863.0060817950464</x:v>
      </x:c>
      <x:c r="AN666" s="17" t="n">
        <x:f>IF('Control Room'!$B$5="Normal",'Control Room'!$B$7,('Control Room'!$B$8+'Control Room'!$D$8)/2)+'Control Room'!$B$9*(AN665-IF('Control Room'!$B$5="Normal",'Control Room'!$B$7,('Control Room'!$B$8+'Control Room'!$D$8)/2))+SQRT(1-'Control Room'!$B$9^2)*(AM666-IF('Control Room'!$B$5="Normal",'Control Room'!$B$7,('Control Room'!$B$8+'Control Room'!$D$8)/2))</x:f>
        <x:v>965.3346952887106</x:v>
      </x:c>
      <x:c r="AO666" s="17" t="n">
        <x:f>IF(AND($A666&gt;='Control Room'!$A$13,$A666&lt;'Control Room'!$A$13+'Control Room'!$B$13,'Process'!BR2=1),1+('Control Room'!$C$13-1)*EXP(-0.5*(($A666-'Control Room'!$A$13-('Control Room'!$B$13-1)/2)/MAX(0.5,'Control Room'!$B$13/4))^2),1)*IF(AND($A666&gt;='Control Room'!$A$14,$A666&lt;'Control Room'!$A$14+'Control Room'!$B$14,'Process'!BR3=1),1+('Control Room'!$C$14-1)*EXP(-0.5*(($A666-'Control Room'!$A$14-('Control Room'!$B$14-1)/2)/MAX(0.5,'Control Room'!$B$14/4))^2),1)*IF(AND($A666&gt;='Control Room'!$A$15,$A666&lt;'Control Room'!$A$15+'Control Room'!$B$15,'Process'!BR4=1),1+('Control Room'!$C$15-1)*EXP(-0.5*(($A666-'Control Room'!$A$15-('Control Room'!$B$15-1)/2)/MAX(0.5,'Control Room'!$B$15/4))^2),1)*IF(AND($A666&gt;='Control Room'!$A$16,$A666&lt;'Control Room'!$A$16+'Control Room'!$B$16,'Process'!BR5=1),1+('Control Room'!$C$16-1)*EXP(-0.5*(($A666-'Control Room'!$A$16-('Control Room'!$B$16-1)/2)/MAX(0.5,'Control Room'!$B$16/4))^2),1)</x:f>
        <x:v>1</x:v>
      </x:c>
      <x:c r="AP666" s="9" t="n">
        <x:f>MOD(AQ665*16807,2147483647)</x:f>
        <x:v>694939453</x:v>
      </x:c>
      <x:c r="AQ666" s="9" t="n">
        <x:f>MOD(AP666*16807,2147483647)</x:f>
        <x:v>1831314185</x:v>
      </x:c>
      <x:c r="AR666" s="17" t="n">
        <x:f>IF('Control Room'!$B$5="Normal",'Control Room'!$B$7+'Control Room'!$D$7*SQRT(-2*LN(MAX(0.000000000001,AP666/2147483647)))*COS(2*PI()*AQ666/2147483647),'Control Room'!$B$8+('Control Room'!$D$8-'Control Room'!$B$8)*AP666/2147483647)</x:f>
        <x:v>1081.3576420461227</x:v>
      </x:c>
      <x:c r="AS666" s="17" t="n">
        <x:f>IF('Control Room'!$B$5="Normal",'Control Room'!$B$7,('Control Room'!$B$8+'Control Room'!$D$8)/2)+'Control Room'!$B$9*(AS665-IF('Control Room'!$B$5="Normal",'Control Room'!$B$7,('Control Room'!$B$8+'Control Room'!$D$8)/2))+SQRT(1-'Control Room'!$B$9^2)*(AR666-IF('Control Room'!$B$5="Normal",'Control Room'!$B$7,('Control Room'!$B$8+'Control Room'!$D$8)/2))</x:f>
        <x:v>1141.9149867677525</x:v>
      </x:c>
      <x:c r="AT666" s="17" t="n">
        <x:f>IF(AND($A666&gt;='Control Room'!$A$13,$A666&lt;'Control Room'!$A$13+'Control Room'!$B$13,'Process'!BS2=1),1+('Control Room'!$C$13-1)*EXP(-0.5*(($A666-'Control Room'!$A$13-('Control Room'!$B$13-1)/2)/MAX(0.5,'Control Room'!$B$13/4))^2),1)*IF(AND($A666&gt;='Control Room'!$A$14,$A666&lt;'Control Room'!$A$14+'Control Room'!$B$14,'Process'!BS3=1),1+('Control Room'!$C$14-1)*EXP(-0.5*(($A666-'Control Room'!$A$14-('Control Room'!$B$14-1)/2)/MAX(0.5,'Control Room'!$B$14/4))^2),1)*IF(AND($A666&gt;='Control Room'!$A$15,$A666&lt;'Control Room'!$A$15+'Control Room'!$B$15,'Process'!BS4=1),1+('Control Room'!$C$15-1)*EXP(-0.5*(($A666-'Control Room'!$A$15-('Control Room'!$B$15-1)/2)/MAX(0.5,'Control Room'!$B$15/4))^2),1)*IF(AND($A666&gt;='Control Room'!$A$16,$A666&lt;'Control Room'!$A$16+'Control Room'!$B$16,'Process'!BS5=1),1+('Control Room'!$C$16-1)*EXP(-0.5*(($A666-'Control Room'!$A$16-('Control Room'!$B$16-1)/2)/MAX(0.5,'Control Room'!$B$16/4))^2),1)</x:f>
        <x:v>1</x:v>
      </x:c>
      <x:c r="AU666" s="9" t="n">
        <x:f>MOD(AV665*16807,2147483647)</x:f>
        <x:v>892787031</x:v>
      </x:c>
      <x:c r="AV666" s="9" t="n">
        <x:f>MOD(AU666*16807,2147483647)</x:f>
        <x:v>603388428</x:v>
      </x:c>
      <x:c r="AW666" s="17" t="n">
        <x:f>IF('Control Room'!$B$5="Normal",'Control Room'!$B$7+'Control Room'!$D$7*SQRT(-2*LN(MAX(0.000000000001,AU666/2147483647)))*COS(2*PI()*AV666/2147483647),'Control Room'!$B$8+('Control Room'!$D$8-'Control Room'!$B$8)*AU666/2147483647)</x:f>
        <x:v>976.9392997541397</x:v>
      </x:c>
      <x:c r="AX666" s="17" t="n">
        <x:f>IF('Control Room'!$B$5="Normal",'Control Room'!$B$7,('Control Room'!$B$8+'Control Room'!$D$8)/2)+'Control Room'!$B$9*(AX665-IF('Control Room'!$B$5="Normal",'Control Room'!$B$7,('Control Room'!$B$8+'Control Room'!$D$8)/2))+SQRT(1-'Control Room'!$B$9^2)*(AW666-IF('Control Room'!$B$5="Normal",'Control Room'!$B$7,('Control Room'!$B$8+'Control Room'!$D$8)/2))</x:f>
        <x:v>865.1845976662378</x:v>
      </x:c>
      <x:c r="AY666" s="17" t="n">
        <x:f>IF(AND($A666&gt;='Control Room'!$A$13,$A666&lt;'Control Room'!$A$13+'Control Room'!$B$13,'Process'!BT2=1),1+('Control Room'!$C$13-1)*EXP(-0.5*(($A666-'Control Room'!$A$13-('Control Room'!$B$13-1)/2)/MAX(0.5,'Control Room'!$B$13/4))^2),1)*IF(AND($A666&gt;='Control Room'!$A$14,$A666&lt;'Control Room'!$A$14+'Control Room'!$B$14,'Process'!BT3=1),1+('Control Room'!$C$14-1)*EXP(-0.5*(($A666-'Control Room'!$A$14-('Control Room'!$B$14-1)/2)/MAX(0.5,'Control Room'!$B$14/4))^2),1)*IF(AND($A666&gt;='Control Room'!$A$15,$A666&lt;'Control Room'!$A$15+'Control Room'!$B$15,'Process'!BT4=1),1+('Control Room'!$C$15-1)*EXP(-0.5*(($A666-'Control Room'!$A$15-('Control Room'!$B$15-1)/2)/MAX(0.5,'Control Room'!$B$15/4))^2),1)*IF(AND($A666&gt;='Control Room'!$A$16,$A666&lt;'Control Room'!$A$16+'Control Room'!$B$16,'Process'!BT5=1),1+('Control Room'!$C$16-1)*EXP(-0.5*(($A666-'Control Room'!$A$16-('Control Room'!$B$16-1)/2)/MAX(0.5,'Control Room'!$B$16/4))^2),1)</x:f>
        <x:v>1</x:v>
      </x:c>
      <x:c r="AZ666" s="9" t="n">
        <x:f>MOD(BA665*16807,2147483647)</x:f>
        <x:v>1090634609</x:v>
      </x:c>
      <x:c r="BA666" s="9" t="n">
        <x:f>MOD(AZ666*16807,2147483647)</x:f>
        <x:v>1522946318</x:v>
      </x:c>
      <x:c r="BB666" s="17" t="n">
        <x:f>IF('Control Room'!$B$5="Normal",'Control Room'!$B$7+'Control Room'!$D$7*SQRT(-2*LN(MAX(0.000000000001,AZ666/2147483647)))*COS(2*PI()*BA666/2147483647),'Control Room'!$B$8+('Control Room'!$D$8-'Control Room'!$B$8)*AZ666/2147483647)</x:f>
        <x:v>973.4212418631762</x:v>
      </x:c>
      <x:c r="BC666" s="17" t="n">
        <x:f>IF('Control Room'!$B$5="Normal",'Control Room'!$B$7,('Control Room'!$B$8+'Control Room'!$D$8)/2)+'Control Room'!$B$9*(BC665-IF('Control Room'!$B$5="Normal",'Control Room'!$B$7,('Control Room'!$B$8+'Control Room'!$D$8)/2))+SQRT(1-'Control Room'!$B$9^2)*(BB666-IF('Control Room'!$B$5="Normal",'Control Room'!$B$7,('Control Room'!$B$8+'Control Room'!$D$8)/2))</x:f>
        <x:v>887.7425218981886</x:v>
      </x:c>
      <x:c r="BD666" s="17" t="n">
        <x:f>IF(AND($A666&gt;='Control Room'!$A$13,$A666&lt;'Control Room'!$A$13+'Control Room'!$B$13,'Process'!BU2=1),1+('Control Room'!$C$13-1)*EXP(-0.5*(($A666-'Control Room'!$A$13-('Control Room'!$B$13-1)/2)/MAX(0.5,'Control Room'!$B$13/4))^2),1)*IF(AND($A666&gt;='Control Room'!$A$14,$A666&lt;'Control Room'!$A$14+'Control Room'!$B$14,'Process'!BU3=1),1+('Control Room'!$C$14-1)*EXP(-0.5*(($A666-'Control Room'!$A$14-('Control Room'!$B$14-1)/2)/MAX(0.5,'Control Room'!$B$14/4))^2),1)*IF(AND($A666&gt;='Control Room'!$A$15,$A666&lt;'Control Room'!$A$15+'Control Room'!$B$15,'Process'!BU4=1),1+('Control Room'!$C$15-1)*EXP(-0.5*(($A666-'Control Room'!$A$15-('Control Room'!$B$15-1)/2)/MAX(0.5,'Control Room'!$B$15/4))^2),1)*IF(AND($A666&gt;='Control Room'!$A$16,$A666&lt;'Control Room'!$A$16+'Control Room'!$B$16,'Process'!BU5=1),1+('Control Room'!$C$16-1)*EXP(-0.5*(($A666-'Control Room'!$A$16-('Control Room'!$B$16-1)/2)/MAX(0.5,'Control Room'!$B$16/4))^2),1)</x:f>
        <x:v>1</x:v>
      </x:c>
      <x:c r="BE666" s="9" t="n">
        <x:f>MOD(BF665*16807,2147483647)</x:f>
        <x:v>1288482187</x:v>
      </x:c>
      <x:c r="BF666" s="9" t="n">
        <x:f>MOD(BE666*16807,2147483647)</x:f>
        <x:v>295020561</x:v>
      </x:c>
      <x:c r="BG666" s="17" t="n">
        <x:f>IF('Control Room'!$B$5="Normal",'Control Room'!$B$7+'Control Room'!$D$7*SQRT(-2*LN(MAX(0.000000000001,BE666/2147483647)))*COS(2*PI()*BF666/2147483647),'Control Room'!$B$8+('Control Room'!$D$8-'Control Room'!$B$8)*BE666/2147483647)</x:f>
        <x:v>1059.1323454572496</x:v>
      </x:c>
      <x:c r="BH666" s="17" t="n">
        <x:f>IF('Control Room'!$B$5="Normal",'Control Room'!$B$7,('Control Room'!$B$8+'Control Room'!$D$8)/2)+'Control Room'!$B$9*(BH665-IF('Control Room'!$B$5="Normal",'Control Room'!$B$7,('Control Room'!$B$8+'Control Room'!$D$8)/2))+SQRT(1-'Control Room'!$B$9^2)*(BG666-IF('Control Room'!$B$5="Normal",'Control Room'!$B$7,('Control Room'!$B$8+'Control Room'!$D$8)/2))</x:f>
        <x:v>1034.3414419446103</x:v>
      </x:c>
      <x:c r="BI666" s="17" t="n">
        <x:f>IF(AND($A666&gt;='Control Room'!$A$13,$A666&lt;'Control Room'!$A$13+'Control Room'!$B$13,'Process'!BV2=1),1+('Control Room'!$C$13-1)*EXP(-0.5*(($A666-'Control Room'!$A$13-('Control Room'!$B$13-1)/2)/MAX(0.5,'Control Room'!$B$13/4))^2),1)*IF(AND($A666&gt;='Control Room'!$A$14,$A666&lt;'Control Room'!$A$14+'Control Room'!$B$14,'Process'!BV3=1),1+('Control Room'!$C$14-1)*EXP(-0.5*(($A666-'Control Room'!$A$14-('Control Room'!$B$14-1)/2)/MAX(0.5,'Control Room'!$B$14/4))^2),1)*IF(AND($A666&gt;='Control Room'!$A$15,$A666&lt;'Control Room'!$A$15+'Control Room'!$B$15,'Process'!BV4=1),1+('Control Room'!$C$15-1)*EXP(-0.5*(($A666-'Control Room'!$A$15-('Control Room'!$B$15-1)/2)/MAX(0.5,'Control Room'!$B$15/4))^2),1)*IF(AND($A666&gt;='Control Room'!$A$16,$A666&lt;'Control Room'!$A$16+'Control Room'!$B$16,'Process'!BV5=1),1+('Control Room'!$C$16-1)*EXP(-0.5*(($A666-'Control Room'!$A$16-('Control Room'!$B$16-1)/2)/MAX(0.5,'Control Room'!$B$16/4))^2),1)</x:f>
        <x:v>1</x:v>
      </x:c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Z666" t="str">
        <x:f>IF('Data'!A666="","",TEXT('Data'!A666,"mm-dd"))</x:f>
      </x:c>
    </x:row>
    <x:row r="667" ht="21" customHeight="1">
      <x:c r="A667" s="15" t="n">
        <x:f>'Control Room'!$B$1+665</x:f>
        <x:v>73656</x:v>
      </x:c>
      <x:c r="B667" s="9" t="n">
        <x:f>MOD(C666*16807,2147483647)</x:f>
        <x:v>309713029</x:v>
      </x:c>
      <x:c r="C667" s="9" t="n">
        <x:f>MOD(B667*16807,2147483647)</x:f>
        <x:v>1994001722</x:v>
      </x:c>
      <x:c r="D667" s="17" t="n">
        <x:f>IF('Control Room'!$B$5="Normal",'Control Room'!$B$7+'Control Room'!$D$7*SQRT(-2*LN(MAX(0.000000000001,B667/2147483647)))*COS(2*PI()*C667/2147483647),'Control Room'!$B$8+('Control Room'!$D$8-'Control Room'!$B$8)*B667/2147483647)</x:f>
        <x:v>1159.5549390397664</x:v>
      </x:c>
      <x:c r="E667" s="17" t="n">
        <x:f>IF('Control Room'!$B$5="Normal",'Control Room'!$B$7,('Control Room'!$B$8+'Control Room'!$D$8)/2)+'Control Room'!$B$9*(E666-IF('Control Room'!$B$5="Normal",'Control Room'!$B$7,('Control Room'!$B$8+'Control Room'!$D$8)/2))+SQRT(1-'Control Room'!$B$9^2)*(D667-IF('Control Room'!$B$5="Normal",'Control Room'!$B$7,('Control Room'!$B$8+'Control Room'!$D$8)/2))</x:f>
        <x:v>1036.1820389731313</x:v>
      </x:c>
      <x:c r="F667" s="17" t="n">
        <x:f>IF(AND($A667&gt;='Control Room'!$A$13,$A667&lt;'Control Room'!$A$13+'Control Room'!$B$13,'Process'!BK2=1),1+('Control Room'!$C$13-1)*EXP(-0.5*(($A667-'Control Room'!$A$13-('Control Room'!$B$13-1)/2)/MAX(0.5,'Control Room'!$B$13/4))^2),1)*IF(AND($A667&gt;='Control Room'!$A$14,$A667&lt;'Control Room'!$A$14+'Control Room'!$B$14,'Process'!BK3=1),1+('Control Room'!$C$14-1)*EXP(-0.5*(($A667-'Control Room'!$A$14-('Control Room'!$B$14-1)/2)/MAX(0.5,'Control Room'!$B$14/4))^2),1)*IF(AND($A667&gt;='Control Room'!$A$15,$A667&lt;'Control Room'!$A$15+'Control Room'!$B$15,'Process'!BK4=1),1+('Control Room'!$C$15-1)*EXP(-0.5*(($A667-'Control Room'!$A$15-('Control Room'!$B$15-1)/2)/MAX(0.5,'Control Room'!$B$15/4))^2),1)*IF(AND($A667&gt;='Control Room'!$A$16,$A667&lt;'Control Room'!$A$16+'Control Room'!$B$16,'Process'!BK5=1),1+('Control Room'!$C$16-1)*EXP(-0.5*(($A667-'Control Room'!$A$16-('Control Room'!$B$16-1)/2)/MAX(0.5,'Control Room'!$B$16/4))^2),1)</x:f>
        <x:v>1</x:v>
      </x:c>
      <x:c r="G667" s="9" t="n">
        <x:f>MOD(H666*16807,2147483647)</x:f>
        <x:v>2026846447</x:v>
      </x:c>
      <x:c r="H667" s="9" t="n">
        <x:f>MOD(G667*16807,2147483647)</x:f>
        <x:v>1822626015</x:v>
      </x:c>
      <x:c r="I667" s="17" t="n">
        <x:f>IF('Control Room'!$B$5="Normal",'Control Room'!$B$7+'Control Room'!$D$7*SQRT(-2*LN(MAX(0.000000000001,G667/2147483647)))*COS(2*PI()*H667/2147483647),'Control Room'!$B$8+('Control Room'!$D$8-'Control Room'!$B$8)*G667/2147483647)</x:f>
        <x:v>1017.7899556968775</x:v>
      </x:c>
      <x:c r="J667" s="17" t="n">
        <x:f>IF('Control Room'!$B$5="Normal",'Control Room'!$B$7,('Control Room'!$B$8+'Control Room'!$D$8)/2)+'Control Room'!$B$9*(J666-IF('Control Room'!$B$5="Normal",'Control Room'!$B$7,('Control Room'!$B$8+'Control Room'!$D$8)/2))+SQRT(1-'Control Room'!$B$9^2)*(I667-IF('Control Room'!$B$5="Normal",'Control Room'!$B$7,('Control Room'!$B$8+'Control Room'!$D$8)/2))</x:f>
        <x:v>987.3894432608761</x:v>
      </x:c>
      <x:c r="K667" s="17" t="n">
        <x:f>IF(AND($A667&gt;='Control Room'!$A$13,$A667&lt;'Control Room'!$A$13+'Control Room'!$B$13,'Process'!BL2=1),1+('Control Room'!$C$13-1)*EXP(-0.5*(($A667-'Control Room'!$A$13-('Control Room'!$B$13-1)/2)/MAX(0.5,'Control Room'!$B$13/4))^2),1)*IF(AND($A667&gt;='Control Room'!$A$14,$A667&lt;'Control Room'!$A$14+'Control Room'!$B$14,'Process'!BL3=1),1+('Control Room'!$C$14-1)*EXP(-0.5*(($A667-'Control Room'!$A$14-('Control Room'!$B$14-1)/2)/MAX(0.5,'Control Room'!$B$14/4))^2),1)*IF(AND($A667&gt;='Control Room'!$A$15,$A667&lt;'Control Room'!$A$15+'Control Room'!$B$15,'Process'!BL4=1),1+('Control Room'!$C$15-1)*EXP(-0.5*(($A667-'Control Room'!$A$15-('Control Room'!$B$15-1)/2)/MAX(0.5,'Control Room'!$B$15/4))^2),1)*IF(AND($A667&gt;='Control Room'!$A$16,$A667&lt;'Control Room'!$A$16+'Control Room'!$B$16,'Process'!BL5=1),1+('Control Room'!$C$16-1)*EXP(-0.5*(($A667-'Control Room'!$A$16-('Control Room'!$B$16-1)/2)/MAX(0.5,'Control Room'!$B$16/4))^2),1)</x:f>
        <x:v>1</x:v>
      </x:c>
      <x:c r="L667" s="9" t="n">
        <x:f>MOD(M666*16807,2147483647)</x:f>
        <x:v>1596496218</x:v>
      </x:c>
      <x:c r="M667" s="9" t="n">
        <x:f>MOD(L667*16807,2147483647)</x:f>
        <x:v>1651250308</x:v>
      </x:c>
      <x:c r="N667" s="17" t="n">
        <x:f>IF('Control Room'!$B$5="Normal",'Control Room'!$B$7+'Control Room'!$D$7*SQRT(-2*LN(MAX(0.000000000001,L667/2147483647)))*COS(2*PI()*M667/2147483647),'Control Room'!$B$8+('Control Room'!$D$8-'Control Room'!$B$8)*L667/2147483647)</x:f>
        <x:v>1008.2207828082915</x:v>
      </x:c>
      <x:c r="O667" s="17" t="n">
        <x:f>IF('Control Room'!$B$5="Normal",'Control Room'!$B$7,('Control Room'!$B$8+'Control Room'!$D$8)/2)+'Control Room'!$B$9*(O666-IF('Control Room'!$B$5="Normal",'Control Room'!$B$7,('Control Room'!$B$8+'Control Room'!$D$8)/2))+SQRT(1-'Control Room'!$B$9^2)*(N667-IF('Control Room'!$B$5="Normal",'Control Room'!$B$7,('Control Room'!$B$8+'Control Room'!$D$8)/2))</x:f>
        <x:v>941.049951415161</x:v>
      </x:c>
      <x:c r="P667" s="17" t="n">
        <x:f>IF(AND($A667&gt;='Control Room'!$A$13,$A667&lt;'Control Room'!$A$13+'Control Room'!$B$13,'Process'!BM2=1),1+('Control Room'!$C$13-1)*EXP(-0.5*(($A667-'Control Room'!$A$13-('Control Room'!$B$13-1)/2)/MAX(0.5,'Control Room'!$B$13/4))^2),1)*IF(AND($A667&gt;='Control Room'!$A$14,$A667&lt;'Control Room'!$A$14+'Control Room'!$B$14,'Process'!BM3=1),1+('Control Room'!$C$14-1)*EXP(-0.5*(($A667-'Control Room'!$A$14-('Control Room'!$B$14-1)/2)/MAX(0.5,'Control Room'!$B$14/4))^2),1)*IF(AND($A667&gt;='Control Room'!$A$15,$A667&lt;'Control Room'!$A$15+'Control Room'!$B$15,'Process'!BM4=1),1+('Control Room'!$C$15-1)*EXP(-0.5*(($A667-'Control Room'!$A$15-('Control Room'!$B$15-1)/2)/MAX(0.5,'Control Room'!$B$15/4))^2),1)*IF(AND($A667&gt;='Control Room'!$A$16,$A667&lt;'Control Room'!$A$16+'Control Room'!$B$16,'Process'!BM5=1),1+('Control Room'!$C$16-1)*EXP(-0.5*(($A667-'Control Room'!$A$16-('Control Room'!$B$16-1)/2)/MAX(0.5,'Control Room'!$B$16/4))^2),1)</x:f>
        <x:v>1</x:v>
      </x:c>
      <x:c r="Q667" s="9" t="n">
        <x:f>MOD(R666*16807,2147483647)</x:f>
        <x:v>1166145989</x:v>
      </x:c>
      <x:c r="R667" s="9" t="n">
        <x:f>MOD(Q667*16807,2147483647)</x:f>
        <x:v>1479874601</x:v>
      </x:c>
      <x:c r="S667" s="17" t="n">
        <x:f>IF('Control Room'!$B$5="Normal",'Control Room'!$B$7+'Control Room'!$D$7*SQRT(-2*LN(MAX(0.000000000001,Q667/2147483647)))*COS(2*PI()*R667/2147483647),'Control Room'!$B$8+('Control Room'!$D$8-'Control Room'!$B$8)*Q667/2147483647)</x:f>
        <x:v>962.8770603349918</x:v>
      </x:c>
      <x:c r="T667" s="17" t="n">
        <x:f>IF('Control Room'!$B$5="Normal",'Control Room'!$B$7,('Control Room'!$B$8+'Control Room'!$D$8)/2)+'Control Room'!$B$9*(T666-IF('Control Room'!$B$5="Normal",'Control Room'!$B$7,('Control Room'!$B$8+'Control Room'!$D$8)/2))+SQRT(1-'Control Room'!$B$9^2)*(S667-IF('Control Room'!$B$5="Normal",'Control Room'!$B$7,('Control Room'!$B$8+'Control Room'!$D$8)/2))</x:f>
        <x:v>993.5642926798444</x:v>
      </x:c>
      <x:c r="U667" s="17" t="n">
        <x:f>IF(AND($A667&gt;='Control Room'!$A$13,$A667&lt;'Control Room'!$A$13+'Control Room'!$B$13,'Process'!BN2=1),1+('Control Room'!$C$13-1)*EXP(-0.5*(($A667-'Control Room'!$A$13-('Control Room'!$B$13-1)/2)/MAX(0.5,'Control Room'!$B$13/4))^2),1)*IF(AND($A667&gt;='Control Room'!$A$14,$A667&lt;'Control Room'!$A$14+'Control Room'!$B$14,'Process'!BN3=1),1+('Control Room'!$C$14-1)*EXP(-0.5*(($A667-'Control Room'!$A$14-('Control Room'!$B$14-1)/2)/MAX(0.5,'Control Room'!$B$14/4))^2),1)*IF(AND($A667&gt;='Control Room'!$A$15,$A667&lt;'Control Room'!$A$15+'Control Room'!$B$15,'Process'!BN4=1),1+('Control Room'!$C$15-1)*EXP(-0.5*(($A667-'Control Room'!$A$15-('Control Room'!$B$15-1)/2)/MAX(0.5,'Control Room'!$B$15/4))^2),1)*IF(AND($A667&gt;='Control Room'!$A$16,$A667&lt;'Control Room'!$A$16+'Control Room'!$B$16,'Process'!BN5=1),1+('Control Room'!$C$16-1)*EXP(-0.5*(($A667-'Control Room'!$A$16-('Control Room'!$B$16-1)/2)/MAX(0.5,'Control Room'!$B$16/4))^2),1)</x:f>
        <x:v>1</x:v>
      </x:c>
      <x:c r="V667" s="9" t="n">
        <x:f>MOD(W666*16807,2147483647)</x:f>
        <x:v>735795760</x:v>
      </x:c>
      <x:c r="W667" s="9" t="n">
        <x:f>MOD(V667*16807,2147483647)</x:f>
        <x:v>1308498894</x:v>
      </x:c>
      <x:c r="X667" s="17" t="n">
        <x:f>IF('Control Room'!$B$5="Normal",'Control Room'!$B$7+'Control Room'!$D$7*SQRT(-2*LN(MAX(0.000000000001,V667/2147483647)))*COS(2*PI()*W667/2147483647),'Control Room'!$B$8+('Control Room'!$D$8-'Control Room'!$B$8)*V667/2147483647)</x:f>
        <x:v>898.1439132508425</x:v>
      </x:c>
      <x:c r="Y667" s="17" t="n">
        <x:f>IF('Control Room'!$B$5="Normal",'Control Room'!$B$7,('Control Room'!$B$8+'Control Room'!$D$8)/2)+'Control Room'!$B$9*(Y666-IF('Control Room'!$B$5="Normal",'Control Room'!$B$7,('Control Room'!$B$8+'Control Room'!$D$8)/2))+SQRT(1-'Control Room'!$B$9^2)*(X667-IF('Control Room'!$B$5="Normal",'Control Room'!$B$7,('Control Room'!$B$8+'Control Room'!$D$8)/2))</x:f>
        <x:v>1092.7432696406759</x:v>
      </x:c>
      <x:c r="Z667" s="17" t="n">
        <x:f>IF(AND($A667&gt;='Control Room'!$A$13,$A667&lt;'Control Room'!$A$13+'Control Room'!$B$13,'Process'!BO2=1),1+('Control Room'!$C$13-1)*EXP(-0.5*(($A667-'Control Room'!$A$13-('Control Room'!$B$13-1)/2)/MAX(0.5,'Control Room'!$B$13/4))^2),1)*IF(AND($A667&gt;='Control Room'!$A$14,$A667&lt;'Control Room'!$A$14+'Control Room'!$B$14,'Process'!BO3=1),1+('Control Room'!$C$14-1)*EXP(-0.5*(($A667-'Control Room'!$A$14-('Control Room'!$B$14-1)/2)/MAX(0.5,'Control Room'!$B$14/4))^2),1)*IF(AND($A667&gt;='Control Room'!$A$15,$A667&lt;'Control Room'!$A$15+'Control Room'!$B$15,'Process'!BO4=1),1+('Control Room'!$C$15-1)*EXP(-0.5*(($A667-'Control Room'!$A$15-('Control Room'!$B$15-1)/2)/MAX(0.5,'Control Room'!$B$15/4))^2),1)*IF(AND($A667&gt;='Control Room'!$A$16,$A667&lt;'Control Room'!$A$16+'Control Room'!$B$16,'Process'!BO5=1),1+('Control Room'!$C$16-1)*EXP(-0.5*(($A667-'Control Room'!$A$16-('Control Room'!$B$16-1)/2)/MAX(0.5,'Control Room'!$B$16/4))^2),1)</x:f>
        <x:v>1</x:v>
      </x:c>
      <x:c r="AA667" s="9" t="n">
        <x:f>MOD(AB666*16807,2147483647)</x:f>
        <x:v>305445531</x:v>
      </x:c>
      <x:c r="AB667" s="9" t="n">
        <x:f>MOD(AA667*16807,2147483647)</x:f>
        <x:v>1137123187</x:v>
      </x:c>
      <x:c r="AC667" s="17" t="n">
        <x:f>IF('Control Room'!$B$5="Normal",'Control Room'!$B$7+'Control Room'!$D$7*SQRT(-2*LN(MAX(0.000000000001,AA667/2147483647)))*COS(2*PI()*AB667/2147483647),'Control Room'!$B$8+('Control Room'!$D$8-'Control Room'!$B$8)*AA667/2147483647)</x:f>
        <x:v>825.2990291037477</x:v>
      </x:c>
      <x:c r="AD667" s="17" t="n">
        <x:f>IF('Control Room'!$B$5="Normal",'Control Room'!$B$7,('Control Room'!$B$8+'Control Room'!$D$8)/2)+'Control Room'!$B$9*(AD666-IF('Control Room'!$B$5="Normal",'Control Room'!$B$7,('Control Room'!$B$8+'Control Room'!$D$8)/2))+SQRT(1-'Control Room'!$B$9^2)*(AC667-IF('Control Room'!$B$5="Normal",'Control Room'!$B$7,('Control Room'!$B$8+'Control Room'!$D$8)/2))</x:f>
        <x:v>730.1662334425533</x:v>
      </x:c>
      <x:c r="AE667" s="17" t="n">
        <x:f>IF(AND($A667&gt;='Control Room'!$A$13,$A667&lt;'Control Room'!$A$13+'Control Room'!$B$13,'Process'!BP2=1),1+('Control Room'!$C$13-1)*EXP(-0.5*(($A667-'Control Room'!$A$13-('Control Room'!$B$13-1)/2)/MAX(0.5,'Control Room'!$B$13/4))^2),1)*IF(AND($A667&gt;='Control Room'!$A$14,$A667&lt;'Control Room'!$A$14+'Control Room'!$B$14,'Process'!BP3=1),1+('Control Room'!$C$14-1)*EXP(-0.5*(($A667-'Control Room'!$A$14-('Control Room'!$B$14-1)/2)/MAX(0.5,'Control Room'!$B$14/4))^2),1)*IF(AND($A667&gt;='Control Room'!$A$15,$A667&lt;'Control Room'!$A$15+'Control Room'!$B$15,'Process'!BP4=1),1+('Control Room'!$C$15-1)*EXP(-0.5*(($A667-'Control Room'!$A$15-('Control Room'!$B$15-1)/2)/MAX(0.5,'Control Room'!$B$15/4))^2),1)*IF(AND($A667&gt;='Control Room'!$A$16,$A667&lt;'Control Room'!$A$16+'Control Room'!$B$16,'Process'!BP5=1),1+('Control Room'!$C$16-1)*EXP(-0.5*(($A667-'Control Room'!$A$16-('Control Room'!$B$16-1)/2)/MAX(0.5,'Control Room'!$B$16/4))^2),1)</x:f>
        <x:v>1</x:v>
      </x:c>
      <x:c r="AF667" s="9" t="n">
        <x:f>MOD(AG666*16807,2147483647)</x:f>
        <x:v>2022578949</x:v>
      </x:c>
      <x:c r="AG667" s="9" t="n">
        <x:f>MOD(AF667*16807,2147483647)</x:f>
        <x:v>965747480</x:v>
      </x:c>
      <x:c r="AH667" s="17" t="n">
        <x:f>IF('Control Room'!$B$5="Normal",'Control Room'!$B$7+'Control Room'!$D$7*SQRT(-2*LN(MAX(0.000000000001,AF667/2147483647)))*COS(2*PI()*AG667/2147483647),'Control Room'!$B$8+('Control Room'!$D$8-'Control Room'!$B$8)*AF667/2147483647)</x:f>
        <x:v>970.385455323478</x:v>
      </x:c>
      <x:c r="AI667" s="17" t="n">
        <x:f>IF('Control Room'!$B$5="Normal",'Control Room'!$B$7,('Control Room'!$B$8+'Control Room'!$D$8)/2)+'Control Room'!$B$9*(AI666-IF('Control Room'!$B$5="Normal",'Control Room'!$B$7,('Control Room'!$B$8+'Control Room'!$D$8)/2))+SQRT(1-'Control Room'!$B$9^2)*(AH667-IF('Control Room'!$B$5="Normal",'Control Room'!$B$7,('Control Room'!$B$8+'Control Room'!$D$8)/2))</x:f>
        <x:v>1051.2776888599763</x:v>
      </x:c>
      <x:c r="AJ667" s="17" t="n">
        <x:f>IF(AND($A667&gt;='Control Room'!$A$13,$A667&lt;'Control Room'!$A$13+'Control Room'!$B$13,'Process'!BQ2=1),1+('Control Room'!$C$13-1)*EXP(-0.5*(($A667-'Control Room'!$A$13-('Control Room'!$B$13-1)/2)/MAX(0.5,'Control Room'!$B$13/4))^2),1)*IF(AND($A667&gt;='Control Room'!$A$14,$A667&lt;'Control Room'!$A$14+'Control Room'!$B$14,'Process'!BQ3=1),1+('Control Room'!$C$14-1)*EXP(-0.5*(($A667-'Control Room'!$A$14-('Control Room'!$B$14-1)/2)/MAX(0.5,'Control Room'!$B$14/4))^2),1)*IF(AND($A667&gt;='Control Room'!$A$15,$A667&lt;'Control Room'!$A$15+'Control Room'!$B$15,'Process'!BQ4=1),1+('Control Room'!$C$15-1)*EXP(-0.5*(($A667-'Control Room'!$A$15-('Control Room'!$B$15-1)/2)/MAX(0.5,'Control Room'!$B$15/4))^2),1)*IF(AND($A667&gt;='Control Room'!$A$16,$A667&lt;'Control Room'!$A$16+'Control Room'!$B$16,'Process'!BQ5=1),1+('Control Room'!$C$16-1)*EXP(-0.5*(($A667-'Control Room'!$A$16-('Control Room'!$B$16-1)/2)/MAX(0.5,'Control Room'!$B$16/4))^2),1)</x:f>
        <x:v>1</x:v>
      </x:c>
      <x:c r="AK667" s="9" t="n">
        <x:f>MOD(AL666*16807,2147483647)</x:f>
        <x:v>1592228720</x:v>
      </x:c>
      <x:c r="AL667" s="9" t="n">
        <x:f>MOD(AK667*16807,2147483647)</x:f>
        <x:v>794371773</x:v>
      </x:c>
      <x:c r="AM667" s="17" t="n">
        <x:f>IF('Control Room'!$B$5="Normal",'Control Room'!$B$7+'Control Room'!$D$7*SQRT(-2*LN(MAX(0.000000000001,AK667/2147483647)))*COS(2*PI()*AL667/2147483647),'Control Room'!$B$8+('Control Room'!$D$8-'Control Room'!$B$8)*AK667/2147483647)</x:f>
        <x:v>952.3736706682989</x:v>
      </x:c>
      <x:c r="AN667" s="17" t="n">
        <x:f>IF('Control Room'!$B$5="Normal",'Control Room'!$B$7,('Control Room'!$B$8+'Control Room'!$D$8)/2)+'Control Room'!$B$9*(AN666-IF('Control Room'!$B$5="Normal",'Control Room'!$B$7,('Control Room'!$B$8+'Control Room'!$D$8)/2))+SQRT(1-'Control Room'!$B$9^2)*(AM667-IF('Control Room'!$B$5="Normal",'Control Room'!$B$7,('Control Room'!$B$8+'Control Room'!$D$8)/2))</x:f>
        <x:v>943.1574811078049</x:v>
      </x:c>
      <x:c r="AO667" s="17" t="n">
        <x:f>IF(AND($A667&gt;='Control Room'!$A$13,$A667&lt;'Control Room'!$A$13+'Control Room'!$B$13,'Process'!BR2=1),1+('Control Room'!$C$13-1)*EXP(-0.5*(($A667-'Control Room'!$A$13-('Control Room'!$B$13-1)/2)/MAX(0.5,'Control Room'!$B$13/4))^2),1)*IF(AND($A667&gt;='Control Room'!$A$14,$A667&lt;'Control Room'!$A$14+'Control Room'!$B$14,'Process'!BR3=1),1+('Control Room'!$C$14-1)*EXP(-0.5*(($A667-'Control Room'!$A$14-('Control Room'!$B$14-1)/2)/MAX(0.5,'Control Room'!$B$14/4))^2),1)*IF(AND($A667&gt;='Control Room'!$A$15,$A667&lt;'Control Room'!$A$15+'Control Room'!$B$15,'Process'!BR4=1),1+('Control Room'!$C$15-1)*EXP(-0.5*(($A667-'Control Room'!$A$15-('Control Room'!$B$15-1)/2)/MAX(0.5,'Control Room'!$B$15/4))^2),1)*IF(AND($A667&gt;='Control Room'!$A$16,$A667&lt;'Control Room'!$A$16+'Control Room'!$B$16,'Process'!BR5=1),1+('Control Room'!$C$16-1)*EXP(-0.5*(($A667-'Control Room'!$A$16-('Control Room'!$B$16-1)/2)/MAX(0.5,'Control Room'!$B$16/4))^2),1)</x:f>
        <x:v>1</x:v>
      </x:c>
      <x:c r="AP667" s="9" t="n">
        <x:f>MOD(AQ666*16807,2147483647)</x:f>
        <x:v>1161878491</x:v>
      </x:c>
      <x:c r="AQ667" s="9" t="n">
        <x:f>MOD(AP667*16807,2147483647)</x:f>
        <x:v>622996066</x:v>
      </x:c>
      <x:c r="AR667" s="17" t="n">
        <x:f>IF('Control Room'!$B$5="Normal",'Control Room'!$B$7+'Control Room'!$D$7*SQRT(-2*LN(MAX(0.000000000001,AP667/2147483647)))*COS(2*PI()*AQ667/2147483647),'Control Room'!$B$8+('Control Room'!$D$8-'Control Room'!$B$8)*AP667/2147483647)</x:f>
        <x:v>975.1281971443292</x:v>
      </x:c>
      <x:c r="AS667" s="17" t="n">
        <x:f>IF('Control Room'!$B$5="Normal",'Control Room'!$B$7,('Control Room'!$B$8+'Control Room'!$D$8)/2)+'Control Room'!$B$9*(AS666-IF('Control Room'!$B$5="Normal",'Control Room'!$B$7,('Control Room'!$B$8+'Control Room'!$D$8)/2))+SQRT(1-'Control Room'!$B$9^2)*(AR667-IF('Control Room'!$B$5="Normal",'Control Room'!$B$7,('Control Room'!$B$8+'Control Room'!$D$8)/2))</x:f>
        <x:v>1095.129424978345</x:v>
      </x:c>
      <x:c r="AT667" s="17" t="n">
        <x:f>IF(AND($A667&gt;='Control Room'!$A$13,$A667&lt;'Control Room'!$A$13+'Control Room'!$B$13,'Process'!BS2=1),1+('Control Room'!$C$13-1)*EXP(-0.5*(($A667-'Control Room'!$A$13-('Control Room'!$B$13-1)/2)/MAX(0.5,'Control Room'!$B$13/4))^2),1)*IF(AND($A667&gt;='Control Room'!$A$14,$A667&lt;'Control Room'!$A$14+'Control Room'!$B$14,'Process'!BS3=1),1+('Control Room'!$C$14-1)*EXP(-0.5*(($A667-'Control Room'!$A$14-('Control Room'!$B$14-1)/2)/MAX(0.5,'Control Room'!$B$14/4))^2),1)*IF(AND($A667&gt;='Control Room'!$A$15,$A667&lt;'Control Room'!$A$15+'Control Room'!$B$15,'Process'!BS4=1),1+('Control Room'!$C$15-1)*EXP(-0.5*(($A667-'Control Room'!$A$15-('Control Room'!$B$15-1)/2)/MAX(0.5,'Control Room'!$B$15/4))^2),1)*IF(AND($A667&gt;='Control Room'!$A$16,$A667&lt;'Control Room'!$A$16+'Control Room'!$B$16,'Process'!BS5=1),1+('Control Room'!$C$16-1)*EXP(-0.5*(($A667-'Control Room'!$A$16-('Control Room'!$B$16-1)/2)/MAX(0.5,'Control Room'!$B$16/4))^2),1)</x:f>
        <x:v>1</x:v>
      </x:c>
      <x:c r="AU667" s="9" t="n">
        <x:f>MOD(AV666*16807,2147483647)</x:f>
        <x:v>731528262</x:v>
      </x:c>
      <x:c r="AV667" s="9" t="n">
        <x:f>MOD(AU667*16807,2147483647)</x:f>
        <x:v>451620359</x:v>
      </x:c>
      <x:c r="AW667" s="17" t="n">
        <x:f>IF('Control Room'!$B$5="Normal",'Control Room'!$B$7+'Control Room'!$D$7*SQRT(-2*LN(MAX(0.000000000001,AU667/2147483647)))*COS(2*PI()*AV667/2147483647),'Control Room'!$B$8+('Control Room'!$D$8-'Control Room'!$B$8)*AU667/2147483647)</x:f>
        <x:v>1032.6049114283776</x:v>
      </x:c>
      <x:c r="AX667" s="17" t="n">
        <x:f>IF('Control Room'!$B$5="Normal",'Control Room'!$B$7,('Control Room'!$B$8+'Control Room'!$D$8)/2)+'Control Room'!$B$9*(AX666-IF('Control Room'!$B$5="Normal",'Control Room'!$B$7,('Control Room'!$B$8+'Control Room'!$D$8)/2))+SQRT(1-'Control Room'!$B$9^2)*(AW667-IF('Control Room'!$B$5="Normal",'Control Room'!$B$7,('Control Room'!$B$8+'Control Room'!$D$8)/2))</x:f>
        <x:v>915.2474718036273</x:v>
      </x:c>
      <x:c r="AY667" s="17" t="n">
        <x:f>IF(AND($A667&gt;='Control Room'!$A$13,$A667&lt;'Control Room'!$A$13+'Control Room'!$B$13,'Process'!BT2=1),1+('Control Room'!$C$13-1)*EXP(-0.5*(($A667-'Control Room'!$A$13-('Control Room'!$B$13-1)/2)/MAX(0.5,'Control Room'!$B$13/4))^2),1)*IF(AND($A667&gt;='Control Room'!$A$14,$A667&lt;'Control Room'!$A$14+'Control Room'!$B$14,'Process'!BT3=1),1+('Control Room'!$C$14-1)*EXP(-0.5*(($A667-'Control Room'!$A$14-('Control Room'!$B$14-1)/2)/MAX(0.5,'Control Room'!$B$14/4))^2),1)*IF(AND($A667&gt;='Control Room'!$A$15,$A667&lt;'Control Room'!$A$15+'Control Room'!$B$15,'Process'!BT4=1),1+('Control Room'!$C$15-1)*EXP(-0.5*(($A667-'Control Room'!$A$15-('Control Room'!$B$15-1)/2)/MAX(0.5,'Control Room'!$B$15/4))^2),1)*IF(AND($A667&gt;='Control Room'!$A$16,$A667&lt;'Control Room'!$A$16+'Control Room'!$B$16,'Process'!BT5=1),1+('Control Room'!$C$16-1)*EXP(-0.5*(($A667-'Control Room'!$A$16-('Control Room'!$B$16-1)/2)/MAX(0.5,'Control Room'!$B$16/4))^2),1)</x:f>
        <x:v>1</x:v>
      </x:c>
      <x:c r="AZ667" s="9" t="n">
        <x:f>MOD(BA666*16807,2147483647)</x:f>
        <x:v>301178033</x:v>
      </x:c>
      <x:c r="BA667" s="9" t="n">
        <x:f>MOD(AZ667*16807,2147483647)</x:f>
        <x:v>280244652</x:v>
      </x:c>
      <x:c r="BB667" s="17" t="n">
        <x:f>IF('Control Room'!$B$5="Normal",'Control Room'!$B$7+'Control Room'!$D$7*SQRT(-2*LN(MAX(0.000000000001,AZ667/2147483647)))*COS(2*PI()*BA667/2147483647),'Control Room'!$B$8+('Control Room'!$D$8-'Control Room'!$B$8)*AZ667/2147483647)</x:f>
        <x:v>1121.7069871486992</x:v>
      </x:c>
      <x:c r="BC667" s="17" t="n">
        <x:f>IF('Control Room'!$B$5="Normal",'Control Room'!$B$7,('Control Room'!$B$8+'Control Room'!$D$8)/2)+'Control Room'!$B$9*(BC666-IF('Control Room'!$B$5="Normal",'Control Room'!$B$7,('Control Room'!$B$8+'Control Room'!$D$8)/2))+SQRT(1-'Control Room'!$B$9^2)*(BB667-IF('Control Room'!$B$5="Normal",'Control Room'!$B$7,('Control Room'!$B$8+'Control Room'!$D$8)/2))</x:f>
        <x:v>988.6009063350882</x:v>
      </x:c>
      <x:c r="BD667" s="17" t="n">
        <x:f>IF(AND($A667&gt;='Control Room'!$A$13,$A667&lt;'Control Room'!$A$13+'Control Room'!$B$13,'Process'!BU2=1),1+('Control Room'!$C$13-1)*EXP(-0.5*(($A667-'Control Room'!$A$13-('Control Room'!$B$13-1)/2)/MAX(0.5,'Control Room'!$B$13/4))^2),1)*IF(AND($A667&gt;='Control Room'!$A$14,$A667&lt;'Control Room'!$A$14+'Control Room'!$B$14,'Process'!BU3=1),1+('Control Room'!$C$14-1)*EXP(-0.5*(($A667-'Control Room'!$A$14-('Control Room'!$B$14-1)/2)/MAX(0.5,'Control Room'!$B$14/4))^2),1)*IF(AND($A667&gt;='Control Room'!$A$15,$A667&lt;'Control Room'!$A$15+'Control Room'!$B$15,'Process'!BU4=1),1+('Control Room'!$C$15-1)*EXP(-0.5*(($A667-'Control Room'!$A$15-('Control Room'!$B$15-1)/2)/MAX(0.5,'Control Room'!$B$15/4))^2),1)*IF(AND($A667&gt;='Control Room'!$A$16,$A667&lt;'Control Room'!$A$16+'Control Room'!$B$16,'Process'!BU5=1),1+('Control Room'!$C$16-1)*EXP(-0.5*(($A667-'Control Room'!$A$16-('Control Room'!$B$16-1)/2)/MAX(0.5,'Control Room'!$B$16/4))^2),1)</x:f>
        <x:v>1</x:v>
      </x:c>
      <x:c r="BE667" s="9" t="n">
        <x:f>MOD(BF666*16807,2147483647)</x:f>
        <x:v>2018311451</x:v>
      </x:c>
      <x:c r="BF667" s="9" t="n">
        <x:f>MOD(BE667*16807,2147483647)</x:f>
        <x:v>108868945</x:v>
      </x:c>
      <x:c r="BG667" s="17" t="n">
        <x:f>IF('Control Room'!$B$5="Normal",'Control Room'!$B$7+'Control Room'!$D$7*SQRT(-2*LN(MAX(0.000000000001,BE667/2147483647)))*COS(2*PI()*BF667/2147483647),'Control Room'!$B$8+('Control Room'!$D$8-'Control Room'!$B$8)*BE667/2147483647)</x:f>
        <x:v>1030.1066399459144</x:v>
      </x:c>
      <x:c r="BH667" s="17" t="n">
        <x:f>IF('Control Room'!$B$5="Normal",'Control Room'!$B$7,('Control Room'!$B$8+'Control Room'!$D$8)/2)+'Control Room'!$B$9*(BH666-IF('Control Room'!$B$5="Normal",'Control Room'!$B$7,('Control Room'!$B$8+'Control Room'!$D$8)/2))+SQRT(1-'Control Room'!$B$9^2)*(BG667-IF('Control Room'!$B$5="Normal",'Control Room'!$B$7,('Control Room'!$B$8+'Control Room'!$D$8)/2))</x:f>
        <x:v>1045.6264432269056</x:v>
      </x:c>
      <x:c r="BI667" s="17" t="n">
        <x:f>IF(AND($A667&gt;='Control Room'!$A$13,$A667&lt;'Control Room'!$A$13+'Control Room'!$B$13,'Process'!BV2=1),1+('Control Room'!$C$13-1)*EXP(-0.5*(($A667-'Control Room'!$A$13-('Control Room'!$B$13-1)/2)/MAX(0.5,'Control Room'!$B$13/4))^2),1)*IF(AND($A667&gt;='Control Room'!$A$14,$A667&lt;'Control Room'!$A$14+'Control Room'!$B$14,'Process'!BV3=1),1+('Control Room'!$C$14-1)*EXP(-0.5*(($A667-'Control Room'!$A$14-('Control Room'!$B$14-1)/2)/MAX(0.5,'Control Room'!$B$14/4))^2),1)*IF(AND($A667&gt;='Control Room'!$A$15,$A667&lt;'Control Room'!$A$15+'Control Room'!$B$15,'Process'!BV4=1),1+('Control Room'!$C$15-1)*EXP(-0.5*(($A667-'Control Room'!$A$15-('Control Room'!$B$15-1)/2)/MAX(0.5,'Control Room'!$B$15/4))^2),1)*IF(AND($A667&gt;='Control Room'!$A$16,$A667&lt;'Control Room'!$A$16+'Control Room'!$B$16,'Process'!BV5=1),1+('Control Room'!$C$16-1)*EXP(-0.5*(($A667-'Control Room'!$A$16-('Control Room'!$B$16-1)/2)/MAX(0.5,'Control Room'!$B$16/4))^2),1)</x:f>
        <x:v>1</x:v>
      </x:c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Z667" t="str">
        <x:f>IF('Data'!A667="","",TEXT('Data'!A667,"mm-dd"))</x:f>
      </x:c>
    </x:row>
    <x:row r="668" ht="21" customHeight="1">
      <x:c r="A668" s="15" t="n">
        <x:f>'Control Room'!$B$1+666</x:f>
        <x:v>73657</x:v>
      </x:c>
      <x:c r="B668" s="9" t="n">
        <x:f>MOD(C667*16807,2147483647)</x:f>
        <x:v>1704630219</x:v>
      </x:c>
      <x:c r="C668" s="9" t="n">
        <x:f>MOD(B668*16807,2147483647)</x:f>
        <x:v>140756106</x:v>
      </x:c>
      <x:c r="D668" s="17" t="n">
        <x:f>IF('Control Room'!$B$5="Normal",'Control Room'!$B$7+'Control Room'!$D$7*SQRT(-2*LN(MAX(0.000000000001,B668/2147483647)))*COS(2*PI()*C668/2147483647),'Control Room'!$B$8+('Control Room'!$D$8-'Control Room'!$B$8)*B668/2147483647)</x:f>
        <x:v>1056.0525692619021</x:v>
      </x:c>
      <x:c r="E668" s="17" t="n">
        <x:f>IF('Control Room'!$B$5="Normal",'Control Room'!$B$7,('Control Room'!$B$8+'Control Room'!$D$8)/2)+'Control Room'!$B$9*(E667-IF('Control Room'!$B$5="Normal",'Control Room'!$B$7,('Control Room'!$B$8+'Control Room'!$D$8)/2))+SQRT(1-'Control Room'!$B$9^2)*(D668-IF('Control Room'!$B$5="Normal",'Control Room'!$B$7,('Control Room'!$B$8+'Control Room'!$D$8)/2))</x:f>
        <x:v>1063.2985399438437</x:v>
      </x:c>
      <x:c r="F668" s="17" t="n">
        <x:f>IF(AND($A668&gt;='Control Room'!$A$13,$A668&lt;'Control Room'!$A$13+'Control Room'!$B$13,'Process'!BK2=1),1+('Control Room'!$C$13-1)*EXP(-0.5*(($A668-'Control Room'!$A$13-('Control Room'!$B$13-1)/2)/MAX(0.5,'Control Room'!$B$13/4))^2),1)*IF(AND($A668&gt;='Control Room'!$A$14,$A668&lt;'Control Room'!$A$14+'Control Room'!$B$14,'Process'!BK3=1),1+('Control Room'!$C$14-1)*EXP(-0.5*(($A668-'Control Room'!$A$14-('Control Room'!$B$14-1)/2)/MAX(0.5,'Control Room'!$B$14/4))^2),1)*IF(AND($A668&gt;='Control Room'!$A$15,$A668&lt;'Control Room'!$A$15+'Control Room'!$B$15,'Process'!BK4=1),1+('Control Room'!$C$15-1)*EXP(-0.5*(($A668-'Control Room'!$A$15-('Control Room'!$B$15-1)/2)/MAX(0.5,'Control Room'!$B$15/4))^2),1)*IF(AND($A668&gt;='Control Room'!$A$16,$A668&lt;'Control Room'!$A$16+'Control Room'!$B$16,'Process'!BK5=1),1+('Control Room'!$C$16-1)*EXP(-0.5*(($A668-'Control Room'!$A$16-('Control Room'!$B$16-1)/2)/MAX(0.5,'Control Room'!$B$16/4))^2),1)</x:f>
        <x:v>1</x:v>
      </x:c>
      <x:c r="G668" s="9" t="n">
        <x:f>MOD(H667*16807,2147483647)</x:f>
        <x:v>1168693297</x:v>
      </x:c>
      <x:c r="H668" s="9" t="n">
        <x:f>MOD(G668*16807,2147483647)</x:f>
        <x:v>1342807217</x:v>
      </x:c>
      <x:c r="I668" s="17" t="n">
        <x:f>IF('Control Room'!$B$5="Normal",'Control Room'!$B$7+'Control Room'!$D$7*SQRT(-2*LN(MAX(0.000000000001,G668/2147483647)))*COS(2*PI()*H668/2147483647),'Control Room'!$B$8+('Control Room'!$D$8-'Control Room'!$B$8)*G668/2147483647)</x:f>
        <x:v>929.9289011451613</x:v>
      </x:c>
      <x:c r="J668" s="17" t="n">
        <x:f>IF('Control Room'!$B$5="Normal",'Control Room'!$B$7,('Control Room'!$B$8+'Control Room'!$D$8)/2)+'Control Room'!$B$9*(J667-IF('Control Room'!$B$5="Normal",'Control Room'!$B$7,('Control Room'!$B$8+'Control Room'!$D$8)/2))+SQRT(1-'Control Room'!$B$9^2)*(I668-IF('Control Room'!$B$5="Normal",'Control Room'!$B$7,('Control Room'!$B$8+'Control Room'!$D$8)/2))</x:f>
        <x:v>946.3147075646109</x:v>
      </x:c>
      <x:c r="K668" s="17" t="n">
        <x:f>IF(AND($A668&gt;='Control Room'!$A$13,$A668&lt;'Control Room'!$A$13+'Control Room'!$B$13,'Process'!BL2=1),1+('Control Room'!$C$13-1)*EXP(-0.5*(($A668-'Control Room'!$A$13-('Control Room'!$B$13-1)/2)/MAX(0.5,'Control Room'!$B$13/4))^2),1)*IF(AND($A668&gt;='Control Room'!$A$14,$A668&lt;'Control Room'!$A$14+'Control Room'!$B$14,'Process'!BL3=1),1+('Control Room'!$C$14-1)*EXP(-0.5*(($A668-'Control Room'!$A$14-('Control Room'!$B$14-1)/2)/MAX(0.5,'Control Room'!$B$14/4))^2),1)*IF(AND($A668&gt;='Control Room'!$A$15,$A668&lt;'Control Room'!$A$15+'Control Room'!$B$15,'Process'!BL4=1),1+('Control Room'!$C$15-1)*EXP(-0.5*(($A668-'Control Room'!$A$15-('Control Room'!$B$15-1)/2)/MAX(0.5,'Control Room'!$B$15/4))^2),1)*IF(AND($A668&gt;='Control Room'!$A$16,$A668&lt;'Control Room'!$A$16+'Control Room'!$B$16,'Process'!BL5=1),1+('Control Room'!$C$16-1)*EXP(-0.5*(($A668-'Control Room'!$A$16-('Control Room'!$B$16-1)/2)/MAX(0.5,'Control Room'!$B$16/4))^2),1)</x:f>
        <x:v>1</x:v>
      </x:c>
      <x:c r="L668" s="9" t="n">
        <x:f>MOD(M667*16807,2147483647)</x:f>
        <x:v>632756375</x:v>
      </x:c>
      <x:c r="M668" s="9" t="n">
        <x:f>MOD(L668*16807,2147483647)</x:f>
        <x:v>397374681</x:v>
      </x:c>
      <x:c r="N668" s="17" t="n">
        <x:f>IF('Control Room'!$B$5="Normal",'Control Room'!$B$7+'Control Room'!$D$7*SQRT(-2*LN(MAX(0.000000000001,L668/2147483647)))*COS(2*PI()*M668/2147483647),'Control Room'!$B$8+('Control Room'!$D$8-'Control Room'!$B$8)*L668/2147483647)</x:f>
        <x:v>1055.8437347028132</x:v>
      </x:c>
      <x:c r="O668" s="17" t="n">
        <x:f>IF('Control Room'!$B$5="Normal",'Control Room'!$B$7,('Control Room'!$B$8+'Control Room'!$D$8)/2)+'Control Room'!$B$9*(O667-IF('Control Room'!$B$5="Normal",'Control Room'!$B$7,('Control Room'!$B$8+'Control Room'!$D$8)/2))+SQRT(1-'Control Room'!$B$9^2)*(N668-IF('Control Room'!$B$5="Normal",'Control Room'!$B$7,('Control Room'!$B$8+'Control Room'!$D$8)/2))</x:f>
        <x:v>988.9648272597575</x:v>
      </x:c>
      <x:c r="P668" s="17" t="n">
        <x:f>IF(AND($A668&gt;='Control Room'!$A$13,$A668&lt;'Control Room'!$A$13+'Control Room'!$B$13,'Process'!BM2=1),1+('Control Room'!$C$13-1)*EXP(-0.5*(($A668-'Control Room'!$A$13-('Control Room'!$B$13-1)/2)/MAX(0.5,'Control Room'!$B$13/4))^2),1)*IF(AND($A668&gt;='Control Room'!$A$14,$A668&lt;'Control Room'!$A$14+'Control Room'!$B$14,'Process'!BM3=1),1+('Control Room'!$C$14-1)*EXP(-0.5*(($A668-'Control Room'!$A$14-('Control Room'!$B$14-1)/2)/MAX(0.5,'Control Room'!$B$14/4))^2),1)*IF(AND($A668&gt;='Control Room'!$A$15,$A668&lt;'Control Room'!$A$15+'Control Room'!$B$15,'Process'!BM4=1),1+('Control Room'!$C$15-1)*EXP(-0.5*(($A668-'Control Room'!$A$15-('Control Room'!$B$15-1)/2)/MAX(0.5,'Control Room'!$B$15/4))^2),1)*IF(AND($A668&gt;='Control Room'!$A$16,$A668&lt;'Control Room'!$A$16+'Control Room'!$B$16,'Process'!BM5=1),1+('Control Room'!$C$16-1)*EXP(-0.5*(($A668-'Control Room'!$A$16-('Control Room'!$B$16-1)/2)/MAX(0.5,'Control Room'!$B$16/4))^2),1)</x:f>
        <x:v>1</x:v>
      </x:c>
      <x:c r="Q668" s="9" t="n">
        <x:f>MOD(R667*16807,2147483647)</x:f>
        <x:v>96819453</x:v>
      </x:c>
      <x:c r="R668" s="9" t="n">
        <x:f>MOD(Q668*16807,2147483647)</x:f>
        <x:v>1599425792</x:v>
      </x:c>
      <x:c r="S668" s="17" t="n">
        <x:f>IF('Control Room'!$B$5="Normal",'Control Room'!$B$7+'Control Room'!$D$7*SQRT(-2*LN(MAX(0.000000000001,Q668/2147483647)))*COS(2*PI()*R668/2147483647),'Control Room'!$B$8+('Control Room'!$D$8-'Control Room'!$B$8)*Q668/2147483647)</x:f>
        <x:v>992.6672566232389</x:v>
      </x:c>
      <x:c r="T668" s="17" t="n">
        <x:f>IF('Control Room'!$B$5="Normal",'Control Room'!$B$7,('Control Room'!$B$8+'Control Room'!$D$8)/2)+'Control Room'!$B$9*(T667-IF('Control Room'!$B$5="Normal",'Control Room'!$B$7,('Control Room'!$B$8+'Control Room'!$D$8)/2))+SQRT(1-'Control Room'!$B$9^2)*(S668-IF('Control Room'!$B$5="Normal",'Control Room'!$B$7,('Control Room'!$B$8+'Control Room'!$D$8)/2))</x:f>
        <x:v>990.3914677045148</x:v>
      </x:c>
      <x:c r="U668" s="17" t="n">
        <x:f>IF(AND($A668&gt;='Control Room'!$A$13,$A668&lt;'Control Room'!$A$13+'Control Room'!$B$13,'Process'!BN2=1),1+('Control Room'!$C$13-1)*EXP(-0.5*(($A668-'Control Room'!$A$13-('Control Room'!$B$13-1)/2)/MAX(0.5,'Control Room'!$B$13/4))^2),1)*IF(AND($A668&gt;='Control Room'!$A$14,$A668&lt;'Control Room'!$A$14+'Control Room'!$B$14,'Process'!BN3=1),1+('Control Room'!$C$14-1)*EXP(-0.5*(($A668-'Control Room'!$A$14-('Control Room'!$B$14-1)/2)/MAX(0.5,'Control Room'!$B$14/4))^2),1)*IF(AND($A668&gt;='Control Room'!$A$15,$A668&lt;'Control Room'!$A$15+'Control Room'!$B$15,'Process'!BN4=1),1+('Control Room'!$C$15-1)*EXP(-0.5*(($A668-'Control Room'!$A$15-('Control Room'!$B$15-1)/2)/MAX(0.5,'Control Room'!$B$15/4))^2),1)*IF(AND($A668&gt;='Control Room'!$A$16,$A668&lt;'Control Room'!$A$16+'Control Room'!$B$16,'Process'!BN5=1),1+('Control Room'!$C$16-1)*EXP(-0.5*(($A668-'Control Room'!$A$16-('Control Room'!$B$16-1)/2)/MAX(0.5,'Control Room'!$B$16/4))^2),1)</x:f>
        <x:v>1</x:v>
      </x:c>
      <x:c r="V668" s="9" t="n">
        <x:f>MOD(W667*16807,2147483647)</x:f>
        <x:v>1708366178</x:v>
      </x:c>
      <x:c r="W668" s="9" t="n">
        <x:f>MOD(V668*16807,2147483647)</x:f>
        <x:v>653993256</x:v>
      </x:c>
      <x:c r="X668" s="17" t="n">
        <x:f>IF('Control Room'!$B$5="Normal",'Control Room'!$B$7+'Control Room'!$D$7*SQRT(-2*LN(MAX(0.000000000001,V668/2147483647)))*COS(2*PI()*W668/2147483647),'Control Room'!$B$8+('Control Room'!$D$8-'Control Room'!$B$8)*V668/2147483647)</x:f>
        <x:v>979.5448227850064</x:v>
      </x:c>
      <x:c r="Y668" s="17" t="n">
        <x:f>IF('Control Room'!$B$5="Normal",'Control Room'!$B$7,('Control Room'!$B$8+'Control Room'!$D$8)/2)+'Control Room'!$B$9*(Y667-IF('Control Room'!$B$5="Normal",'Control Room'!$B$7,('Control Room'!$B$8+'Control Room'!$D$8)/2))+SQRT(1-'Control Room'!$B$9^2)*(X668-IF('Control Room'!$B$5="Normal",'Control Room'!$B$7,('Control Room'!$B$8+'Control Room'!$D$8)/2))</x:f>
        <x:v>1059.5393194656667</x:v>
      </x:c>
      <x:c r="Z668" s="17" t="n">
        <x:f>IF(AND($A668&gt;='Control Room'!$A$13,$A668&lt;'Control Room'!$A$13+'Control Room'!$B$13,'Process'!BO2=1),1+('Control Room'!$C$13-1)*EXP(-0.5*(($A668-'Control Room'!$A$13-('Control Room'!$B$13-1)/2)/MAX(0.5,'Control Room'!$B$13/4))^2),1)*IF(AND($A668&gt;='Control Room'!$A$14,$A668&lt;'Control Room'!$A$14+'Control Room'!$B$14,'Process'!BO3=1),1+('Control Room'!$C$14-1)*EXP(-0.5*(($A668-'Control Room'!$A$14-('Control Room'!$B$14-1)/2)/MAX(0.5,'Control Room'!$B$14/4))^2),1)*IF(AND($A668&gt;='Control Room'!$A$15,$A668&lt;'Control Room'!$A$15+'Control Room'!$B$15,'Process'!BO4=1),1+('Control Room'!$C$15-1)*EXP(-0.5*(($A668-'Control Room'!$A$15-('Control Room'!$B$15-1)/2)/MAX(0.5,'Control Room'!$B$15/4))^2),1)*IF(AND($A668&gt;='Control Room'!$A$16,$A668&lt;'Control Room'!$A$16+'Control Room'!$B$16,'Process'!BO5=1),1+('Control Room'!$C$16-1)*EXP(-0.5*(($A668-'Control Room'!$A$16-('Control Room'!$B$16-1)/2)/MAX(0.5,'Control Room'!$B$16/4))^2),1)</x:f>
        <x:v>1</x:v>
      </x:c>
      <x:c r="AA668" s="9" t="n">
        <x:f>MOD(AB667*16807,2147483647)</x:f>
        <x:v>1172429256</x:v>
      </x:c>
      <x:c r="AB668" s="9" t="n">
        <x:f>MOD(AA668*16807,2147483647)</x:f>
        <x:v>1856044367</x:v>
      </x:c>
      <x:c r="AC668" s="17" t="n">
        <x:f>IF('Control Room'!$B$5="Normal",'Control Room'!$B$7+'Control Room'!$D$7*SQRT(-2*LN(MAX(0.000000000001,AA668/2147483647)))*COS(2*PI()*AB668/2147483647),'Control Room'!$B$8+('Control Room'!$D$8-'Control Room'!$B$8)*AA668/2147483647)</x:f>
        <x:v>1065.1487906348061</x:v>
      </x:c>
      <x:c r="AD668" s="17" t="n">
        <x:f>IF('Control Room'!$B$5="Normal",'Control Room'!$B$7,('Control Room'!$B$8+'Control Room'!$D$8)/2)+'Control Room'!$B$9*(AD667-IF('Control Room'!$B$5="Normal",'Control Room'!$B$7,('Control Room'!$B$8+'Control Room'!$D$8)/2))+SQRT(1-'Control Room'!$B$9^2)*(AC668-IF('Control Room'!$B$5="Normal",'Control Room'!$B$7,('Control Room'!$B$8+'Control Room'!$D$8)/2))</x:f>
        <x:v>830.2984406189327</x:v>
      </x:c>
      <x:c r="AE668" s="17" t="n">
        <x:f>IF(AND($A668&gt;='Control Room'!$A$13,$A668&lt;'Control Room'!$A$13+'Control Room'!$B$13,'Process'!BP2=1),1+('Control Room'!$C$13-1)*EXP(-0.5*(($A668-'Control Room'!$A$13-('Control Room'!$B$13-1)/2)/MAX(0.5,'Control Room'!$B$13/4))^2),1)*IF(AND($A668&gt;='Control Room'!$A$14,$A668&lt;'Control Room'!$A$14+'Control Room'!$B$14,'Process'!BP3=1),1+('Control Room'!$C$14-1)*EXP(-0.5*(($A668-'Control Room'!$A$14-('Control Room'!$B$14-1)/2)/MAX(0.5,'Control Room'!$B$14/4))^2),1)*IF(AND($A668&gt;='Control Room'!$A$15,$A668&lt;'Control Room'!$A$15+'Control Room'!$B$15,'Process'!BP4=1),1+('Control Room'!$C$15-1)*EXP(-0.5*(($A668-'Control Room'!$A$15-('Control Room'!$B$15-1)/2)/MAX(0.5,'Control Room'!$B$15/4))^2),1)*IF(AND($A668&gt;='Control Room'!$A$16,$A668&lt;'Control Room'!$A$16+'Control Room'!$B$16,'Process'!BP5=1),1+('Control Room'!$C$16-1)*EXP(-0.5*(($A668-'Control Room'!$A$16-('Control Room'!$B$16-1)/2)/MAX(0.5,'Control Room'!$B$16/4))^2),1)</x:f>
        <x:v>1</x:v>
      </x:c>
      <x:c r="AF668" s="9" t="n">
        <x:f>MOD(AG667*16807,2147483647)</x:f>
        <x:v>636492334</x:v>
      </x:c>
      <x:c r="AG668" s="9" t="n">
        <x:f>MOD(AF668*16807,2147483647)</x:f>
        <x:v>910611831</x:v>
      </x:c>
      <x:c r="AH668" s="17" t="n">
        <x:f>IF('Control Room'!$B$5="Normal",'Control Room'!$B$7+'Control Room'!$D$7*SQRT(-2*LN(MAX(0.000000000001,AF668/2147483647)))*COS(2*PI()*AG668/2147483647),'Control Room'!$B$8+('Control Room'!$D$8-'Control Room'!$B$8)*AF668/2147483647)</x:f>
        <x:v>875.327694797948</x:v>
      </x:c>
      <x:c r="AI668" s="17" t="n">
        <x:f>IF('Control Room'!$B$5="Normal",'Control Room'!$B$7,('Control Room'!$B$8+'Control Room'!$D$8)/2)+'Control Room'!$B$9*(AI667-IF('Control Room'!$B$5="Normal",'Control Room'!$B$7,('Control Room'!$B$8+'Control Room'!$D$8)/2))+SQRT(1-'Control Room'!$B$9^2)*(AH668-IF('Control Room'!$B$5="Normal",'Control Room'!$B$7,('Control Room'!$B$8+'Control Room'!$D$8)/2))</x:f>
        <x:v>961.9792227663344</x:v>
      </x:c>
      <x:c r="AJ668" s="17" t="n">
        <x:f>IF(AND($A668&gt;='Control Room'!$A$13,$A668&lt;'Control Room'!$A$13+'Control Room'!$B$13,'Process'!BQ2=1),1+('Control Room'!$C$13-1)*EXP(-0.5*(($A668-'Control Room'!$A$13-('Control Room'!$B$13-1)/2)/MAX(0.5,'Control Room'!$B$13/4))^2),1)*IF(AND($A668&gt;='Control Room'!$A$14,$A668&lt;'Control Room'!$A$14+'Control Room'!$B$14,'Process'!BQ3=1),1+('Control Room'!$C$14-1)*EXP(-0.5*(($A668-'Control Room'!$A$14-('Control Room'!$B$14-1)/2)/MAX(0.5,'Control Room'!$B$14/4))^2),1)*IF(AND($A668&gt;='Control Room'!$A$15,$A668&lt;'Control Room'!$A$15+'Control Room'!$B$15,'Process'!BQ4=1),1+('Control Room'!$C$15-1)*EXP(-0.5*(($A668-'Control Room'!$A$15-('Control Room'!$B$15-1)/2)/MAX(0.5,'Control Room'!$B$15/4))^2),1)*IF(AND($A668&gt;='Control Room'!$A$16,$A668&lt;'Control Room'!$A$16+'Control Room'!$B$16,'Process'!BQ5=1),1+('Control Room'!$C$16-1)*EXP(-0.5*(($A668-'Control Room'!$A$16-('Control Room'!$B$16-1)/2)/MAX(0.5,'Control Room'!$B$16/4))^2),1)</x:f>
        <x:v>1</x:v>
      </x:c>
      <x:c r="AK668" s="9" t="n">
        <x:f>MOD(AL667*16807,2147483647)</x:f>
        <x:v>100555412</x:v>
      </x:c>
      <x:c r="AL668" s="9" t="n">
        <x:f>MOD(AK668*16807,2147483647)</x:f>
        <x:v>2112662942</x:v>
      </x:c>
      <x:c r="AM668" s="17" t="n">
        <x:f>IF('Control Room'!$B$5="Normal",'Control Room'!$B$7+'Control Room'!$D$7*SQRT(-2*LN(MAX(0.000000000001,AK668/2147483647)))*COS(2*PI()*AL668/2147483647),'Control Room'!$B$8+('Control Room'!$D$8-'Control Room'!$B$8)*AK668/2147483647)</x:f>
        <x:v>1221.5418241870811</x:v>
      </x:c>
      <x:c r="AN668" s="17" t="n">
        <x:f>IF('Control Room'!$B$5="Normal",'Control Room'!$B$7,('Control Room'!$B$8+'Control Room'!$D$8)/2)+'Control Room'!$B$9*(AN667-IF('Control Room'!$B$5="Normal",'Control Room'!$B$7,('Control Room'!$B$8+'Control Room'!$D$8)/2))+SQRT(1-'Control Room'!$B$9^2)*(AM668-IF('Control Room'!$B$5="Normal",'Control Room'!$B$7,('Control Room'!$B$8+'Control Room'!$D$8)/2))</x:f>
        <x:v>1094.2991703094035</x:v>
      </x:c>
      <x:c r="AO668" s="17" t="n">
        <x:f>IF(AND($A668&gt;='Control Room'!$A$13,$A668&lt;'Control Room'!$A$13+'Control Room'!$B$13,'Process'!BR2=1),1+('Control Room'!$C$13-1)*EXP(-0.5*(($A668-'Control Room'!$A$13-('Control Room'!$B$13-1)/2)/MAX(0.5,'Control Room'!$B$13/4))^2),1)*IF(AND($A668&gt;='Control Room'!$A$14,$A668&lt;'Control Room'!$A$14+'Control Room'!$B$14,'Process'!BR3=1),1+('Control Room'!$C$14-1)*EXP(-0.5*(($A668-'Control Room'!$A$14-('Control Room'!$B$14-1)/2)/MAX(0.5,'Control Room'!$B$14/4))^2),1)*IF(AND($A668&gt;='Control Room'!$A$15,$A668&lt;'Control Room'!$A$15+'Control Room'!$B$15,'Process'!BR4=1),1+('Control Room'!$C$15-1)*EXP(-0.5*(($A668-'Control Room'!$A$15-('Control Room'!$B$15-1)/2)/MAX(0.5,'Control Room'!$B$15/4))^2),1)*IF(AND($A668&gt;='Control Room'!$A$16,$A668&lt;'Control Room'!$A$16+'Control Room'!$B$16,'Process'!BR5=1),1+('Control Room'!$C$16-1)*EXP(-0.5*(($A668-'Control Room'!$A$16-('Control Room'!$B$16-1)/2)/MAX(0.5,'Control Room'!$B$16/4))^2),1)</x:f>
        <x:v>1</x:v>
      </x:c>
      <x:c r="AP668" s="9" t="n">
        <x:f>MOD(AQ667*16807,2147483647)</x:f>
        <x:v>1712102137</x:v>
      </x:c>
      <x:c r="AQ668" s="9" t="n">
        <x:f>MOD(AP668*16807,2147483647)</x:f>
        <x:v>1167230406</x:v>
      </x:c>
      <x:c r="AR668" s="17" t="n">
        <x:f>IF('Control Room'!$B$5="Normal",'Control Room'!$B$7+'Control Room'!$D$7*SQRT(-2*LN(MAX(0.000000000001,AP668/2147483647)))*COS(2*PI()*AQ668/2147483647),'Control Room'!$B$8+('Control Room'!$D$8-'Control Room'!$B$8)*AP668/2147483647)</x:f>
        <x:v>941.6676246068749</x:v>
      </x:c>
      <x:c r="AS668" s="17" t="n">
        <x:f>IF('Control Room'!$B$5="Normal",'Control Room'!$B$7,('Control Room'!$B$8+'Control Room'!$D$8)/2)+'Control Room'!$B$9*(AS667-IF('Control Room'!$B$5="Normal",'Control Room'!$B$7,('Control Room'!$B$8+'Control Room'!$D$8)/2))+SQRT(1-'Control Room'!$B$9^2)*(AR668-IF('Control Room'!$B$5="Normal",'Control Room'!$B$7,('Control Room'!$B$8+'Control Room'!$D$8)/2))</x:f>
        <x:v>1037.6977459657555</x:v>
      </x:c>
      <x:c r="AT668" s="17" t="n">
        <x:f>IF(AND($A668&gt;='Control Room'!$A$13,$A668&lt;'Control Room'!$A$13+'Control Room'!$B$13,'Process'!BS2=1),1+('Control Room'!$C$13-1)*EXP(-0.5*(($A668-'Control Room'!$A$13-('Control Room'!$B$13-1)/2)/MAX(0.5,'Control Room'!$B$13/4))^2),1)*IF(AND($A668&gt;='Control Room'!$A$14,$A668&lt;'Control Room'!$A$14+'Control Room'!$B$14,'Process'!BS3=1),1+('Control Room'!$C$14-1)*EXP(-0.5*(($A668-'Control Room'!$A$14-('Control Room'!$B$14-1)/2)/MAX(0.5,'Control Room'!$B$14/4))^2),1)*IF(AND($A668&gt;='Control Room'!$A$15,$A668&lt;'Control Room'!$A$15+'Control Room'!$B$15,'Process'!BS4=1),1+('Control Room'!$C$15-1)*EXP(-0.5*(($A668-'Control Room'!$A$15-('Control Room'!$B$15-1)/2)/MAX(0.5,'Control Room'!$B$15/4))^2),1)*IF(AND($A668&gt;='Control Room'!$A$16,$A668&lt;'Control Room'!$A$16+'Control Room'!$B$16,'Process'!BS5=1),1+('Control Room'!$C$16-1)*EXP(-0.5*(($A668-'Control Room'!$A$16-('Control Room'!$B$16-1)/2)/MAX(0.5,'Control Room'!$B$16/4))^2),1)</x:f>
        <x:v>1</x:v>
      </x:c>
      <x:c r="AU668" s="9" t="n">
        <x:f>MOD(AV667*16807,2147483647)</x:f>
        <x:v>1176165215</x:v>
      </x:c>
      <x:c r="AV668" s="9" t="n">
        <x:f>MOD(AU668*16807,2147483647)</x:f>
        <x:v>221797870</x:v>
      </x:c>
      <x:c r="AW668" s="17" t="n">
        <x:f>IF('Control Room'!$B$5="Normal",'Control Room'!$B$7+'Control Room'!$D$7*SQRT(-2*LN(MAX(0.000000000001,AU668/2147483647)))*COS(2*PI()*AV668/2147483647),'Control Room'!$B$8+('Control Room'!$D$8-'Control Room'!$B$8)*AU668/2147483647)</x:f>
        <x:v>1078.6821509644578</x:v>
      </x:c>
      <x:c r="AX668" s="17" t="n">
        <x:f>IF('Control Room'!$B$5="Normal",'Control Room'!$B$7,('Control Room'!$B$8+'Control Room'!$D$8)/2)+'Control Room'!$B$9*(AX667-IF('Control Room'!$B$5="Normal",'Control Room'!$B$7,('Control Room'!$B$8+'Control Room'!$D$8)/2))+SQRT(1-'Control Room'!$B$9^2)*(AW668-IF('Control Room'!$B$5="Normal",'Control Room'!$B$7,('Control Room'!$B$8+'Control Room'!$D$8)/2))</x:f>
        <x:v>983.1307061889104</x:v>
      </x:c>
      <x:c r="AY668" s="17" t="n">
        <x:f>IF(AND($A668&gt;='Control Room'!$A$13,$A668&lt;'Control Room'!$A$13+'Control Room'!$B$13,'Process'!BT2=1),1+('Control Room'!$C$13-1)*EXP(-0.5*(($A668-'Control Room'!$A$13-('Control Room'!$B$13-1)/2)/MAX(0.5,'Control Room'!$B$13/4))^2),1)*IF(AND($A668&gt;='Control Room'!$A$14,$A668&lt;'Control Room'!$A$14+'Control Room'!$B$14,'Process'!BT3=1),1+('Control Room'!$C$14-1)*EXP(-0.5*(($A668-'Control Room'!$A$14-('Control Room'!$B$14-1)/2)/MAX(0.5,'Control Room'!$B$14/4))^2),1)*IF(AND($A668&gt;='Control Room'!$A$15,$A668&lt;'Control Room'!$A$15+'Control Room'!$B$15,'Process'!BT4=1),1+('Control Room'!$C$15-1)*EXP(-0.5*(($A668-'Control Room'!$A$15-('Control Room'!$B$15-1)/2)/MAX(0.5,'Control Room'!$B$15/4))^2),1)*IF(AND($A668&gt;='Control Room'!$A$16,$A668&lt;'Control Room'!$A$16+'Control Room'!$B$16,'Process'!BT5=1),1+('Control Room'!$C$16-1)*EXP(-0.5*(($A668-'Control Room'!$A$16-('Control Room'!$B$16-1)/2)/MAX(0.5,'Control Room'!$B$16/4))^2),1)</x:f>
        <x:v>1</x:v>
      </x:c>
      <x:c r="AZ668" s="9" t="n">
        <x:f>MOD(BA667*16807,2147483647)</x:f>
        <x:v>640228293</x:v>
      </x:c>
      <x:c r="BA668" s="9" t="n">
        <x:f>MOD(AZ668*16807,2147483647)</x:f>
        <x:v>1423848981</x:v>
      </x:c>
      <x:c r="BB668" s="17" t="n">
        <x:f>IF('Control Room'!$B$5="Normal",'Control Room'!$B$7+'Control Room'!$D$7*SQRT(-2*LN(MAX(0.000000000001,AZ668/2147483647)))*COS(2*PI()*BA668/2147483647),'Control Room'!$B$8+('Control Room'!$D$8-'Control Room'!$B$8)*AZ668/2147483647)</x:f>
        <x:v>927.2385891392132</x:v>
      </x:c>
      <x:c r="BC668" s="17" t="n">
        <x:f>IF('Control Room'!$B$5="Normal",'Control Room'!$B$7,('Control Room'!$B$8+'Control Room'!$D$8)/2)+'Control Room'!$B$9*(BC667-IF('Control Room'!$B$5="Normal",'Control Room'!$B$7,('Control Room'!$B$8+'Control Room'!$D$8)/2))+SQRT(1-'Control Room'!$B$9^2)*(BB668-IF('Control Room'!$B$5="Normal",'Control Room'!$B$7,('Control Room'!$B$8+'Control Room'!$D$8)/2))</x:f>
        <x:v>945.5761066232112</x:v>
      </x:c>
      <x:c r="BD668" s="17" t="n">
        <x:f>IF(AND($A668&gt;='Control Room'!$A$13,$A668&lt;'Control Room'!$A$13+'Control Room'!$B$13,'Process'!BU2=1),1+('Control Room'!$C$13-1)*EXP(-0.5*(($A668-'Control Room'!$A$13-('Control Room'!$B$13-1)/2)/MAX(0.5,'Control Room'!$B$13/4))^2),1)*IF(AND($A668&gt;='Control Room'!$A$14,$A668&lt;'Control Room'!$A$14+'Control Room'!$B$14,'Process'!BU3=1),1+('Control Room'!$C$14-1)*EXP(-0.5*(($A668-'Control Room'!$A$14-('Control Room'!$B$14-1)/2)/MAX(0.5,'Control Room'!$B$14/4))^2),1)*IF(AND($A668&gt;='Control Room'!$A$15,$A668&lt;'Control Room'!$A$15+'Control Room'!$B$15,'Process'!BU4=1),1+('Control Room'!$C$15-1)*EXP(-0.5*(($A668-'Control Room'!$A$15-('Control Room'!$B$15-1)/2)/MAX(0.5,'Control Room'!$B$15/4))^2),1)*IF(AND($A668&gt;='Control Room'!$A$16,$A668&lt;'Control Room'!$A$16+'Control Room'!$B$16,'Process'!BU5=1),1+('Control Room'!$C$16-1)*EXP(-0.5*(($A668-'Control Room'!$A$16-('Control Room'!$B$16-1)/2)/MAX(0.5,'Control Room'!$B$16/4))^2),1)</x:f>
        <x:v>1</x:v>
      </x:c>
      <x:c r="BE668" s="9" t="n">
        <x:f>MOD(BF667*16807,2147483647)</x:f>
        <x:v>104291371</x:v>
      </x:c>
      <x:c r="BF668" s="9" t="n">
        <x:f>MOD(BE668*16807,2147483647)</x:f>
        <x:v>478416445</x:v>
      </x:c>
      <x:c r="BG668" s="17" t="n">
        <x:f>IF('Control Room'!$B$5="Normal",'Control Room'!$B$7+'Control Room'!$D$7*SQRT(-2*LN(MAX(0.000000000001,BE668/2147483647)))*COS(2*PI()*BF668/2147483647),'Control Room'!$B$8+('Control Room'!$D$8-'Control Room'!$B$8)*BE668/2147483647)</x:f>
        <x:v>1037.6754802895832</x:v>
      </x:c>
      <x:c r="BH668" s="17" t="n">
        <x:f>IF('Control Room'!$B$5="Normal",'Control Room'!$B$7,('Control Room'!$B$8+'Control Room'!$D$8)/2)+'Control Room'!$B$9*(BH667-IF('Control Room'!$B$5="Normal",'Control Room'!$B$7,('Control Room'!$B$8+'Control Room'!$D$8)/2))+SQRT(1-'Control Room'!$B$9^2)*(BG668-IF('Control Room'!$B$5="Normal",'Control Room'!$B$7,('Control Room'!$B$8+'Control Room'!$D$8)/2))</x:f>
        <x:v>1059.1651694580414</x:v>
      </x:c>
      <x:c r="BI668" s="17" t="n">
        <x:f>IF(AND($A668&gt;='Control Room'!$A$13,$A668&lt;'Control Room'!$A$13+'Control Room'!$B$13,'Process'!BV2=1),1+('Control Room'!$C$13-1)*EXP(-0.5*(($A668-'Control Room'!$A$13-('Control Room'!$B$13-1)/2)/MAX(0.5,'Control Room'!$B$13/4))^2),1)*IF(AND($A668&gt;='Control Room'!$A$14,$A668&lt;'Control Room'!$A$14+'Control Room'!$B$14,'Process'!BV3=1),1+('Control Room'!$C$14-1)*EXP(-0.5*(($A668-'Control Room'!$A$14-('Control Room'!$B$14-1)/2)/MAX(0.5,'Control Room'!$B$14/4))^2),1)*IF(AND($A668&gt;='Control Room'!$A$15,$A668&lt;'Control Room'!$A$15+'Control Room'!$B$15,'Process'!BV4=1),1+('Control Room'!$C$15-1)*EXP(-0.5*(($A668-'Control Room'!$A$15-('Control Room'!$B$15-1)/2)/MAX(0.5,'Control Room'!$B$15/4))^2),1)*IF(AND($A668&gt;='Control Room'!$A$16,$A668&lt;'Control Room'!$A$16+'Control Room'!$B$16,'Process'!BV5=1),1+('Control Room'!$C$16-1)*EXP(-0.5*(($A668-'Control Room'!$A$16-('Control Room'!$B$16-1)/2)/MAX(0.5,'Control Room'!$B$16/4))^2),1)</x:f>
        <x:v>1</x:v>
      </x:c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Z668" t="str">
        <x:f>IF('Data'!A668="","",TEXT('Data'!A668,"mm-dd"))</x:f>
      </x:c>
    </x:row>
    <x:row r="669" ht="21" customHeight="1">
      <x:c r="A669" s="15" t="n">
        <x:f>'Control Room'!$B$1+667</x:f>
        <x:v>73658</x:v>
      </x:c>
      <x:c r="B669" s="9" t="n">
        <x:f>MOD(C668*16807,2147483647)</x:f>
        <x:v>1308378195</x:v>
      </x:c>
      <x:c r="C669" s="9" t="n">
        <x:f>MOD(B669*16807,2147483647)</x:f>
        <x:v>1827261732</x:v>
      </x:c>
      <x:c r="D669" s="17" t="n">
        <x:f>IF('Control Room'!$B$5="Normal",'Control Room'!$B$7+'Control Room'!$D$7*SQRT(-2*LN(MAX(0.000000000001,B669/2147483647)))*COS(2*PI()*C669/2147483647),'Control Room'!$B$8+('Control Room'!$D$8-'Control Room'!$B$8)*B669/2147483647)</x:f>
        <x:v>1053.0647897859235</x:v>
      </x:c>
      <x:c r="E669" s="17" t="n">
        <x:f>IF('Control Room'!$B$5="Normal",'Control Room'!$B$7,('Control Room'!$B$8+'Control Room'!$D$8)/2)+'Control Room'!$B$9*(E668-IF('Control Room'!$B$5="Normal",'Control Room'!$B$7,('Control Room'!$B$8+'Control Room'!$D$8)/2))+SQRT(1-'Control Room'!$B$9^2)*(D669-IF('Control Room'!$B$5="Normal",'Control Room'!$B$7,('Control Room'!$B$8+'Control Room'!$D$8)/2))</x:f>
        <x:v>1082.5797195129214</x:v>
      </x:c>
      <x:c r="F669" s="17" t="n">
        <x:f>IF(AND($A669&gt;='Control Room'!$A$13,$A669&lt;'Control Room'!$A$13+'Control Room'!$B$13,'Process'!BK2=1),1+('Control Room'!$C$13-1)*EXP(-0.5*(($A669-'Control Room'!$A$13-('Control Room'!$B$13-1)/2)/MAX(0.5,'Control Room'!$B$13/4))^2),1)*IF(AND($A669&gt;='Control Room'!$A$14,$A669&lt;'Control Room'!$A$14+'Control Room'!$B$14,'Process'!BK3=1),1+('Control Room'!$C$14-1)*EXP(-0.5*(($A669-'Control Room'!$A$14-('Control Room'!$B$14-1)/2)/MAX(0.5,'Control Room'!$B$14/4))^2),1)*IF(AND($A669&gt;='Control Room'!$A$15,$A669&lt;'Control Room'!$A$15+'Control Room'!$B$15,'Process'!BK4=1),1+('Control Room'!$C$15-1)*EXP(-0.5*(($A669-'Control Room'!$A$15-('Control Room'!$B$15-1)/2)/MAX(0.5,'Control Room'!$B$15/4))^2),1)*IF(AND($A669&gt;='Control Room'!$A$16,$A669&lt;'Control Room'!$A$16+'Control Room'!$B$16,'Process'!BK5=1),1+('Control Room'!$C$16-1)*EXP(-0.5*(($A669-'Control Room'!$A$16-('Control Room'!$B$16-1)/2)/MAX(0.5,'Control Room'!$B$16/4))^2),1)</x:f>
        <x:v>1</x:v>
      </x:c>
      <x:c r="G669" s="9" t="n">
        <x:f>MOD(H668*16807,2147483647)</x:f>
        <x:v>655249796</x:v>
      </x:c>
      <x:c r="H669" s="9" t="n">
        <x:f>MOD(G669*16807,2147483647)</x:f>
        <x:v>487179556</x:v>
      </x:c>
      <x:c r="I669" s="17" t="n">
        <x:f>IF('Control Room'!$B$5="Normal",'Control Room'!$B$7+'Control Room'!$D$7*SQRT(-2*LN(MAX(0.000000000001,G669/2147483647)))*COS(2*PI()*H669/2147483647),'Control Room'!$B$8+('Control Room'!$D$8-'Control Room'!$B$8)*G669/2147483647)</x:f>
        <x:v>1020.0904248178036</x:v>
      </x:c>
      <x:c r="J669" s="17" t="n">
        <x:f>IF('Control Room'!$B$5="Normal",'Control Room'!$B$7,('Control Room'!$B$8+'Control Room'!$D$8)/2)+'Control Room'!$B$9*(J668-IF('Control Room'!$B$5="Normal",'Control Room'!$B$7,('Control Room'!$B$8+'Control Room'!$D$8)/2))+SQRT(1-'Control Room'!$B$9^2)*(I669-IF('Control Room'!$B$5="Normal",'Control Room'!$B$7,('Control Room'!$B$8+'Control Room'!$D$8)/2))</x:f>
        <x:v>970.6976481766545</x:v>
      </x:c>
      <x:c r="K669" s="17" t="n">
        <x:f>IF(AND($A669&gt;='Control Room'!$A$13,$A669&lt;'Control Room'!$A$13+'Control Room'!$B$13,'Process'!BL2=1),1+('Control Room'!$C$13-1)*EXP(-0.5*(($A669-'Control Room'!$A$13-('Control Room'!$B$13-1)/2)/MAX(0.5,'Control Room'!$B$13/4))^2),1)*IF(AND($A669&gt;='Control Room'!$A$14,$A669&lt;'Control Room'!$A$14+'Control Room'!$B$14,'Process'!BL3=1),1+('Control Room'!$C$14-1)*EXP(-0.5*(($A669-'Control Room'!$A$14-('Control Room'!$B$14-1)/2)/MAX(0.5,'Control Room'!$B$14/4))^2),1)*IF(AND($A669&gt;='Control Room'!$A$15,$A669&lt;'Control Room'!$A$15+'Control Room'!$B$15,'Process'!BL4=1),1+('Control Room'!$C$15-1)*EXP(-0.5*(($A669-'Control Room'!$A$15-('Control Room'!$B$15-1)/2)/MAX(0.5,'Control Room'!$B$15/4))^2),1)*IF(AND($A669&gt;='Control Room'!$A$16,$A669&lt;'Control Room'!$A$16+'Control Room'!$B$16,'Process'!BL5=1),1+('Control Room'!$C$16-1)*EXP(-0.5*(($A669-'Control Room'!$A$16-('Control Room'!$B$16-1)/2)/MAX(0.5,'Control Room'!$B$16/4))^2),1)</x:f>
        <x:v>1</x:v>
      </x:c>
      <x:c r="L669" s="9" t="n">
        <x:f>MOD(M668*16807,2147483647)</x:f>
        <x:v>2121397</x:v>
      </x:c>
      <x:c r="M669" s="9" t="n">
        <x:f>MOD(L669*16807,2147483647)</x:f>
        <x:v>1294581027</x:v>
      </x:c>
      <x:c r="N669" s="17" t="n">
        <x:f>IF('Control Room'!$B$5="Normal",'Control Room'!$B$7+'Control Room'!$D$7*SQRT(-2*LN(MAX(0.000000000001,L669/2147483647)))*COS(2*PI()*M669/2147483647),'Control Room'!$B$8+('Control Room'!$D$8-'Control Room'!$B$8)*L669/2147483647)</x:f>
        <x:v>732.6758843530629</x:v>
      </x:c>
      <x:c r="O669" s="17" t="n">
        <x:f>IF('Control Room'!$B$5="Normal",'Control Room'!$B$7,('Control Room'!$B$8+'Control Room'!$D$8)/2)+'Control Room'!$B$9*(O668-IF('Control Room'!$B$5="Normal",'Control Room'!$B$7,('Control Room'!$B$8+'Control Room'!$D$8)/2))+SQRT(1-'Control Room'!$B$9^2)*(N669-IF('Control Room'!$B$5="Normal",'Control Room'!$B$7,('Control Room'!$B$8+'Control Room'!$D$8)/2))</x:f>
        <x:v>824.1066101229372</x:v>
      </x:c>
      <x:c r="P669" s="17" t="n">
        <x:f>IF(AND($A669&gt;='Control Room'!$A$13,$A669&lt;'Control Room'!$A$13+'Control Room'!$B$13,'Process'!BM2=1),1+('Control Room'!$C$13-1)*EXP(-0.5*(($A669-'Control Room'!$A$13-('Control Room'!$B$13-1)/2)/MAX(0.5,'Control Room'!$B$13/4))^2),1)*IF(AND($A669&gt;='Control Room'!$A$14,$A669&lt;'Control Room'!$A$14+'Control Room'!$B$14,'Process'!BM3=1),1+('Control Room'!$C$14-1)*EXP(-0.5*(($A669-'Control Room'!$A$14-('Control Room'!$B$14-1)/2)/MAX(0.5,'Control Room'!$B$14/4))^2),1)*IF(AND($A669&gt;='Control Room'!$A$15,$A669&lt;'Control Room'!$A$15+'Control Room'!$B$15,'Process'!BM4=1),1+('Control Room'!$C$15-1)*EXP(-0.5*(($A669-'Control Room'!$A$15-('Control Room'!$B$15-1)/2)/MAX(0.5,'Control Room'!$B$15/4))^2),1)*IF(AND($A669&gt;='Control Room'!$A$16,$A669&lt;'Control Room'!$A$16+'Control Room'!$B$16,'Process'!BM5=1),1+('Control Room'!$C$16-1)*EXP(-0.5*(($A669-'Control Room'!$A$16-('Control Room'!$B$16-1)/2)/MAX(0.5,'Control Room'!$B$16/4))^2),1)</x:f>
        <x:v>1</x:v>
      </x:c>
      <x:c r="Q669" s="9" t="n">
        <x:f>MOD(R668*16807,2147483647)</x:f>
        <x:v>1496476645</x:v>
      </x:c>
      <x:c r="R669" s="9" t="n">
        <x:f>MOD(Q669*16807,2147483647)</x:f>
        <x:v>2101982498</x:v>
      </x:c>
      <x:c r="S669" s="17" t="n">
        <x:f>IF('Control Room'!$B$5="Normal",'Control Room'!$B$7+'Control Room'!$D$7*SQRT(-2*LN(MAX(0.000000000001,Q669/2147483647)))*COS(2*PI()*R669/2147483647),'Control Room'!$B$8+('Control Room'!$D$8-'Control Room'!$B$8)*Q669/2147483647)</x:f>
        <x:v>1075.8160859245133</x:v>
      </x:c>
      <x:c r="T669" s="17" t="n">
        <x:f>IF('Control Room'!$B$5="Normal",'Control Room'!$B$7,('Control Room'!$B$8+'Control Room'!$D$8)/2)+'Control Room'!$B$9*(T668-IF('Control Room'!$B$5="Normal",'Control Room'!$B$7,('Control Room'!$B$8+'Control Room'!$D$8)/2))+SQRT(1-'Control Room'!$B$9^2)*(S669-IF('Control Room'!$B$5="Normal",'Control Room'!$B$7,('Control Room'!$B$8+'Control Room'!$D$8)/2))</x:f>
        <x:v>1039.949498204139</x:v>
      </x:c>
      <x:c r="U669" s="17" t="n">
        <x:f>IF(AND($A669&gt;='Control Room'!$A$13,$A669&lt;'Control Room'!$A$13+'Control Room'!$B$13,'Process'!BN2=1),1+('Control Room'!$C$13-1)*EXP(-0.5*(($A669-'Control Room'!$A$13-('Control Room'!$B$13-1)/2)/MAX(0.5,'Control Room'!$B$13/4))^2),1)*IF(AND($A669&gt;='Control Room'!$A$14,$A669&lt;'Control Room'!$A$14+'Control Room'!$B$14,'Process'!BN3=1),1+('Control Room'!$C$14-1)*EXP(-0.5*(($A669-'Control Room'!$A$14-('Control Room'!$B$14-1)/2)/MAX(0.5,'Control Room'!$B$14/4))^2),1)*IF(AND($A669&gt;='Control Room'!$A$15,$A669&lt;'Control Room'!$A$15+'Control Room'!$B$15,'Process'!BN4=1),1+('Control Room'!$C$15-1)*EXP(-0.5*(($A669-'Control Room'!$A$15-('Control Room'!$B$15-1)/2)/MAX(0.5,'Control Room'!$B$15/4))^2),1)*IF(AND($A669&gt;='Control Room'!$A$16,$A669&lt;'Control Room'!$A$16+'Control Room'!$B$16,'Process'!BN5=1),1+('Control Room'!$C$16-1)*EXP(-0.5*(($A669-'Control Room'!$A$16-('Control Room'!$B$16-1)/2)/MAX(0.5,'Control Room'!$B$16/4))^2),1)</x:f>
        <x:v>1</x:v>
      </x:c>
      <x:c r="V669" s="9" t="n">
        <x:f>MOD(W668*16807,2147483647)</x:f>
        <x:v>843348246</x:v>
      </x:c>
      <x:c r="W669" s="9" t="n">
        <x:f>MOD(V669*16807,2147483647)</x:f>
        <x:v>761900322</x:v>
      </x:c>
      <x:c r="X669" s="17" t="n">
        <x:f>IF('Control Room'!$B$5="Normal",'Control Room'!$B$7+'Control Room'!$D$7*SQRT(-2*LN(MAX(0.000000000001,V669/2147483647)))*COS(2*PI()*W669/2147483647),'Control Room'!$B$8+('Control Room'!$D$8-'Control Room'!$B$8)*V669/2147483647)</x:f>
        <x:v>924.7107238260614</x:v>
      </x:c>
      <x:c r="Y669" s="17" t="n">
        <x:f>IF('Control Room'!$B$5="Normal",'Control Room'!$B$7,('Control Room'!$B$8+'Control Room'!$D$8)/2)+'Control Room'!$B$9*(Y668-IF('Control Room'!$B$5="Normal",'Control Room'!$B$7,('Control Room'!$B$8+'Control Room'!$D$8)/2))+SQRT(1-'Control Room'!$B$9^2)*(X669-IF('Control Room'!$B$5="Normal",'Control Room'!$B$7,('Control Room'!$B$8+'Control Room'!$D$8)/2))</x:f>
        <x:v>999.3261825382278</x:v>
      </x:c>
      <x:c r="Z669" s="17" t="n">
        <x:f>IF(AND($A669&gt;='Control Room'!$A$13,$A669&lt;'Control Room'!$A$13+'Control Room'!$B$13,'Process'!BO2=1),1+('Control Room'!$C$13-1)*EXP(-0.5*(($A669-'Control Room'!$A$13-('Control Room'!$B$13-1)/2)/MAX(0.5,'Control Room'!$B$13/4))^2),1)*IF(AND($A669&gt;='Control Room'!$A$14,$A669&lt;'Control Room'!$A$14+'Control Room'!$B$14,'Process'!BO3=1),1+('Control Room'!$C$14-1)*EXP(-0.5*(($A669-'Control Room'!$A$14-('Control Room'!$B$14-1)/2)/MAX(0.5,'Control Room'!$B$14/4))^2),1)*IF(AND($A669&gt;='Control Room'!$A$15,$A669&lt;'Control Room'!$A$15+'Control Room'!$B$15,'Process'!BO4=1),1+('Control Room'!$C$15-1)*EXP(-0.5*(($A669-'Control Room'!$A$15-('Control Room'!$B$15-1)/2)/MAX(0.5,'Control Room'!$B$15/4))^2),1)*IF(AND($A669&gt;='Control Room'!$A$16,$A669&lt;'Control Room'!$A$16+'Control Room'!$B$16,'Process'!BO5=1),1+('Control Room'!$C$16-1)*EXP(-0.5*(($A669-'Control Room'!$A$16-('Control Room'!$B$16-1)/2)/MAX(0.5,'Control Room'!$B$16/4))^2),1)</x:f>
        <x:v>1</x:v>
      </x:c>
      <x:c r="AA669" s="9" t="n">
        <x:f>MOD(AB668*16807,2147483647)</x:f>
        <x:v>190219847</x:v>
      </x:c>
      <x:c r="AB669" s="9" t="n">
        <x:f>MOD(AA669*16807,2147483647)</x:f>
        <x:v>1569301793</x:v>
      </x:c>
      <x:c r="AC669" s="17" t="n">
        <x:f>IF('Control Room'!$B$5="Normal",'Control Room'!$B$7+'Control Room'!$D$7*SQRT(-2*LN(MAX(0.000000000001,AA669/2147483647)))*COS(2*PI()*AB669/2147483647),'Control Room'!$B$8+('Control Room'!$D$8-'Control Room'!$B$8)*AA669/2147483647)</x:f>
        <x:v>976.1070685255283</x:v>
      </x:c>
      <x:c r="AD669" s="17" t="n">
        <x:f>IF('Control Room'!$B$5="Normal",'Control Room'!$B$7,('Control Room'!$B$8+'Control Room'!$D$8)/2)+'Control Room'!$B$9*(AD668-IF('Control Room'!$B$5="Normal",'Control Room'!$B$7,('Control Room'!$B$8+'Control Room'!$D$8)/2))+SQRT(1-'Control Room'!$B$9^2)*(AC669-IF('Control Room'!$B$5="Normal",'Control Room'!$B$7,('Control Room'!$B$8+'Control Room'!$D$8)/2))</x:f>
        <x:v>852.6810766393496</x:v>
      </x:c>
      <x:c r="AE669" s="17" t="n">
        <x:f>IF(AND($A669&gt;='Control Room'!$A$13,$A669&lt;'Control Room'!$A$13+'Control Room'!$B$13,'Process'!BP2=1),1+('Control Room'!$C$13-1)*EXP(-0.5*(($A669-'Control Room'!$A$13-('Control Room'!$B$13-1)/2)/MAX(0.5,'Control Room'!$B$13/4))^2),1)*IF(AND($A669&gt;='Control Room'!$A$14,$A669&lt;'Control Room'!$A$14+'Control Room'!$B$14,'Process'!BP3=1),1+('Control Room'!$C$14-1)*EXP(-0.5*(($A669-'Control Room'!$A$14-('Control Room'!$B$14-1)/2)/MAX(0.5,'Control Room'!$B$14/4))^2),1)*IF(AND($A669&gt;='Control Room'!$A$15,$A669&lt;'Control Room'!$A$15+'Control Room'!$B$15,'Process'!BP4=1),1+('Control Room'!$C$15-1)*EXP(-0.5*(($A669-'Control Room'!$A$15-('Control Room'!$B$15-1)/2)/MAX(0.5,'Control Room'!$B$15/4))^2),1)*IF(AND($A669&gt;='Control Room'!$A$16,$A669&lt;'Control Room'!$A$16+'Control Room'!$B$16,'Process'!BP5=1),1+('Control Room'!$C$16-1)*EXP(-0.5*(($A669-'Control Room'!$A$16-('Control Room'!$B$16-1)/2)/MAX(0.5,'Control Room'!$B$16/4))^2),1)</x:f>
        <x:v>1</x:v>
      </x:c>
      <x:c r="AF669" s="9" t="n">
        <x:f>MOD(AG668*16807,2147483647)</x:f>
        <x:v>1684575095</x:v>
      </x:c>
      <x:c r="AG669" s="9" t="n">
        <x:f>MOD(AF669*16807,2147483647)</x:f>
        <x:v>229219617</x:v>
      </x:c>
      <x:c r="AH669" s="17" t="n">
        <x:f>IF('Control Room'!$B$5="Normal",'Control Room'!$B$7+'Control Room'!$D$7*SQRT(-2*LN(MAX(0.000000000001,AF669/2147483647)))*COS(2*PI()*AG669/2147483647),'Control Room'!$B$8+('Control Room'!$D$8-'Control Room'!$B$8)*AF669/2147483647)</x:f>
        <x:v>1049.1311976761951</x:v>
      </x:c>
      <x:c r="AI669" s="17" t="n">
        <x:f>IF('Control Room'!$B$5="Normal",'Control Room'!$B$7,('Control Room'!$B$8+'Control Room'!$D$8)/2)+'Control Room'!$B$9*(AI668-IF('Control Room'!$B$5="Normal",'Control Room'!$B$7,('Control Room'!$B$8+'Control Room'!$D$8)/2))+SQRT(1-'Control Room'!$B$9^2)*(AH669-IF('Control Room'!$B$5="Normal",'Control Room'!$B$7,('Control Room'!$B$8+'Control Room'!$D$8)/2))</x:f>
        <x:v>1001.0890907562108</x:v>
      </x:c>
      <x:c r="AJ669" s="17" t="n">
        <x:f>IF(AND($A669&gt;='Control Room'!$A$13,$A669&lt;'Control Room'!$A$13+'Control Room'!$B$13,'Process'!BQ2=1),1+('Control Room'!$C$13-1)*EXP(-0.5*(($A669-'Control Room'!$A$13-('Control Room'!$B$13-1)/2)/MAX(0.5,'Control Room'!$B$13/4))^2),1)*IF(AND($A669&gt;='Control Room'!$A$14,$A669&lt;'Control Room'!$A$14+'Control Room'!$B$14,'Process'!BQ3=1),1+('Control Room'!$C$14-1)*EXP(-0.5*(($A669-'Control Room'!$A$14-('Control Room'!$B$14-1)/2)/MAX(0.5,'Control Room'!$B$14/4))^2),1)*IF(AND($A669&gt;='Control Room'!$A$15,$A669&lt;'Control Room'!$A$15+'Control Room'!$B$15,'Process'!BQ4=1),1+('Control Room'!$C$15-1)*EXP(-0.5*(($A669-'Control Room'!$A$15-('Control Room'!$B$15-1)/2)/MAX(0.5,'Control Room'!$B$15/4))^2),1)*IF(AND($A669&gt;='Control Room'!$A$16,$A669&lt;'Control Room'!$A$16+'Control Room'!$B$16,'Process'!BQ5=1),1+('Control Room'!$C$16-1)*EXP(-0.5*(($A669-'Control Room'!$A$16-('Control Room'!$B$16-1)/2)/MAX(0.5,'Control Room'!$B$16/4))^2),1)</x:f>
        <x:v>1</x:v>
      </x:c>
      <x:c r="AK669" s="9" t="n">
        <x:f>MOD(AL668*16807,2147483647)</x:f>
        <x:v>1031446696</x:v>
      </x:c>
      <x:c r="AL669" s="9" t="n">
        <x:f>MOD(AK669*16807,2147483647)</x:f>
        <x:v>1036621088</x:v>
      </x:c>
      <x:c r="AM669" s="17" t="n">
        <x:f>IF('Control Room'!$B$5="Normal",'Control Room'!$B$7+'Control Room'!$D$7*SQRT(-2*LN(MAX(0.000000000001,AK669/2147483647)))*COS(2*PI()*AL669/2147483647),'Control Room'!$B$8+('Control Room'!$D$8-'Control Room'!$B$8)*AK669/2147483647)</x:f>
        <x:v>891.6467305197312</x:v>
      </x:c>
      <x:c r="AN669" s="17" t="n">
        <x:f>IF('Control Room'!$B$5="Normal",'Control Room'!$B$7,('Control Room'!$B$8+'Control Room'!$D$8)/2)+'Control Room'!$B$9*(AN668-IF('Control Room'!$B$5="Normal",'Control Room'!$B$7,('Control Room'!$B$8+'Control Room'!$D$8)/2))+SQRT(1-'Control Room'!$B$9^2)*(AM669-IF('Control Room'!$B$5="Normal",'Control Room'!$B$7,('Control Room'!$B$8+'Control Room'!$D$8)/2))</x:f>
        <x:v>1005.7480965379614</x:v>
      </x:c>
      <x:c r="AO669" s="17" t="n">
        <x:f>IF(AND($A669&gt;='Control Room'!$A$13,$A669&lt;'Control Room'!$A$13+'Control Room'!$B$13,'Process'!BR2=1),1+('Control Room'!$C$13-1)*EXP(-0.5*(($A669-'Control Room'!$A$13-('Control Room'!$B$13-1)/2)/MAX(0.5,'Control Room'!$B$13/4))^2),1)*IF(AND($A669&gt;='Control Room'!$A$14,$A669&lt;'Control Room'!$A$14+'Control Room'!$B$14,'Process'!BR3=1),1+('Control Room'!$C$14-1)*EXP(-0.5*(($A669-'Control Room'!$A$14-('Control Room'!$B$14-1)/2)/MAX(0.5,'Control Room'!$B$14/4))^2),1)*IF(AND($A669&gt;='Control Room'!$A$15,$A669&lt;'Control Room'!$A$15+'Control Room'!$B$15,'Process'!BR4=1),1+('Control Room'!$C$15-1)*EXP(-0.5*(($A669-'Control Room'!$A$15-('Control Room'!$B$15-1)/2)/MAX(0.5,'Control Room'!$B$15/4))^2),1)*IF(AND($A669&gt;='Control Room'!$A$16,$A669&lt;'Control Room'!$A$16+'Control Room'!$B$16,'Process'!BR5=1),1+('Control Room'!$C$16-1)*EXP(-0.5*(($A669-'Control Room'!$A$16-('Control Room'!$B$16-1)/2)/MAX(0.5,'Control Room'!$B$16/4))^2),1)</x:f>
        <x:v>1</x:v>
      </x:c>
      <x:c r="AP669" s="9" t="n">
        <x:f>MOD(AQ668*16807,2147483647)</x:f>
        <x:v>378318297</x:v>
      </x:c>
      <x:c r="AQ669" s="9" t="n">
        <x:f>MOD(AP669*16807,2147483647)</x:f>
        <x:v>1844022559</x:v>
      </x:c>
      <x:c r="AR669" s="17" t="n">
        <x:f>IF('Control Room'!$B$5="Normal",'Control Room'!$B$7+'Control Room'!$D$7*SQRT(-2*LN(MAX(0.000000000001,AP669/2147483647)))*COS(2*PI()*AQ669/2147483647),'Control Room'!$B$8+('Control Room'!$D$8-'Control Room'!$B$8)*AP669/2147483647)</x:f>
        <x:v>1105.8382285915757</x:v>
      </x:c>
      <x:c r="AS669" s="17" t="n">
        <x:f>IF('Control Room'!$B$5="Normal",'Control Room'!$B$7,('Control Room'!$B$8+'Control Room'!$D$8)/2)+'Control Room'!$B$9*(AS668-IF('Control Room'!$B$5="Normal",'Control Room'!$B$7,('Control Room'!$B$8+'Control Room'!$D$8)/2))+SQRT(1-'Control Room'!$B$9^2)*(AR669-IF('Control Room'!$B$5="Normal",'Control Room'!$B$7,('Control Room'!$B$8+'Control Room'!$D$8)/2))</x:f>
        <x:v>1095.6356370919316</x:v>
      </x:c>
      <x:c r="AT669" s="17" t="n">
        <x:f>IF(AND($A669&gt;='Control Room'!$A$13,$A669&lt;'Control Room'!$A$13+'Control Room'!$B$13,'Process'!BS2=1),1+('Control Room'!$C$13-1)*EXP(-0.5*(($A669-'Control Room'!$A$13-('Control Room'!$B$13-1)/2)/MAX(0.5,'Control Room'!$B$13/4))^2),1)*IF(AND($A669&gt;='Control Room'!$A$14,$A669&lt;'Control Room'!$A$14+'Control Room'!$B$14,'Process'!BS3=1),1+('Control Room'!$C$14-1)*EXP(-0.5*(($A669-'Control Room'!$A$14-('Control Room'!$B$14-1)/2)/MAX(0.5,'Control Room'!$B$14/4))^2),1)*IF(AND($A669&gt;='Control Room'!$A$15,$A669&lt;'Control Room'!$A$15+'Control Room'!$B$15,'Process'!BS4=1),1+('Control Room'!$C$15-1)*EXP(-0.5*(($A669-'Control Room'!$A$15-('Control Room'!$B$15-1)/2)/MAX(0.5,'Control Room'!$B$15/4))^2),1)*IF(AND($A669&gt;='Control Room'!$A$16,$A669&lt;'Control Room'!$A$16+'Control Room'!$B$16,'Process'!BS5=1),1+('Control Room'!$C$16-1)*EXP(-0.5*(($A669-'Control Room'!$A$16-('Control Room'!$B$16-1)/2)/MAX(0.5,'Control Room'!$B$16/4))^2),1)</x:f>
        <x:v>1</x:v>
      </x:c>
      <x:c r="AU669" s="9" t="n">
        <x:f>MOD(AV668*16807,2147483647)</x:f>
        <x:v>1872673545</x:v>
      </x:c>
      <x:c r="AV669" s="9" t="n">
        <x:f>MOD(AU669*16807,2147483647)</x:f>
        <x:v>503940383</x:v>
      </x:c>
      <x:c r="AW669" s="17" t="n">
        <x:f>IF('Control Room'!$B$5="Normal",'Control Room'!$B$7+'Control Room'!$D$7*SQRT(-2*LN(MAX(0.000000000001,AU669/2147483647)))*COS(2*PI()*AV669/2147483647),'Control Room'!$B$8+('Control Room'!$D$8-'Control Room'!$B$8)*AU669/2147483647)</x:f>
        <x:v>1004.5308826117866</x:v>
      </x:c>
      <x:c r="AX669" s="17" t="n">
        <x:f>IF('Control Room'!$B$5="Normal",'Control Room'!$B$7,('Control Room'!$B$8+'Control Room'!$D$8)/2)+'Control Room'!$B$9*(AX668-IF('Control Room'!$B$5="Normal",'Control Room'!$B$7,('Control Room'!$B$8+'Control Room'!$D$8)/2))+SQRT(1-'Control Room'!$B$9^2)*(AW669-IF('Control Room'!$B$5="Normal",'Control Room'!$B$7,('Control Room'!$B$8+'Control Room'!$D$8)/2))</x:f>
        <x:v>989.6772843456306</x:v>
      </x:c>
      <x:c r="AY669" s="17" t="n">
        <x:f>IF(AND($A669&gt;='Control Room'!$A$13,$A669&lt;'Control Room'!$A$13+'Control Room'!$B$13,'Process'!BT2=1),1+('Control Room'!$C$13-1)*EXP(-0.5*(($A669-'Control Room'!$A$13-('Control Room'!$B$13-1)/2)/MAX(0.5,'Control Room'!$B$13/4))^2),1)*IF(AND($A669&gt;='Control Room'!$A$14,$A669&lt;'Control Room'!$A$14+'Control Room'!$B$14,'Process'!BT3=1),1+('Control Room'!$C$14-1)*EXP(-0.5*(($A669-'Control Room'!$A$14-('Control Room'!$B$14-1)/2)/MAX(0.5,'Control Room'!$B$14/4))^2),1)*IF(AND($A669&gt;='Control Room'!$A$15,$A669&lt;'Control Room'!$A$15+'Control Room'!$B$15,'Process'!BT4=1),1+('Control Room'!$C$15-1)*EXP(-0.5*(($A669-'Control Room'!$A$15-('Control Room'!$B$15-1)/2)/MAX(0.5,'Control Room'!$B$15/4))^2),1)*IF(AND($A669&gt;='Control Room'!$A$16,$A669&lt;'Control Room'!$A$16+'Control Room'!$B$16,'Process'!BT5=1),1+('Control Room'!$C$16-1)*EXP(-0.5*(($A669-'Control Room'!$A$16-('Control Room'!$B$16-1)/2)/MAX(0.5,'Control Room'!$B$16/4))^2),1)</x:f>
        <x:v>1</x:v>
      </x:c>
      <x:c r="AZ669" s="9" t="n">
        <x:f>MOD(BA668*16807,2147483647)</x:f>
        <x:v>1219545146</x:v>
      </x:c>
      <x:c r="BA669" s="9" t="n">
        <x:f>MOD(AZ669*16807,2147483647)</x:f>
        <x:v>1311341854</x:v>
      </x:c>
      <x:c r="BB669" s="17" t="n">
        <x:f>IF('Control Room'!$B$5="Normal",'Control Room'!$B$7+'Control Room'!$D$7*SQRT(-2*LN(MAX(0.000000000001,AZ669/2147483647)))*COS(2*PI()*BA669/2147483647),'Control Room'!$B$8+('Control Room'!$D$8-'Control Room'!$B$8)*AZ669/2147483647)</x:f>
        <x:v>926.4770304882466</x:v>
      </x:c>
      <x:c r="BC669" s="17" t="n">
        <x:f>IF('Control Room'!$B$5="Normal",'Control Room'!$B$7,('Control Room'!$B$8+'Control Room'!$D$8)/2)+'Control Room'!$B$9*(BC668-IF('Control Room'!$B$5="Normal",'Control Room'!$B$7,('Control Room'!$B$8+'Control Room'!$D$8)/2))+SQRT(1-'Control Room'!$B$9^2)*(BB669-IF('Control Room'!$B$5="Normal",'Control Room'!$B$7,('Control Room'!$B$8+'Control Room'!$D$8)/2))</x:f>
        <x:v>911.5401950455491</x:v>
      </x:c>
      <x:c r="BD669" s="17" t="n">
        <x:f>IF(AND($A669&gt;='Control Room'!$A$13,$A669&lt;'Control Room'!$A$13+'Control Room'!$B$13,'Process'!BU2=1),1+('Control Room'!$C$13-1)*EXP(-0.5*(($A669-'Control Room'!$A$13-('Control Room'!$B$13-1)/2)/MAX(0.5,'Control Room'!$B$13/4))^2),1)*IF(AND($A669&gt;='Control Room'!$A$14,$A669&lt;'Control Room'!$A$14+'Control Room'!$B$14,'Process'!BU3=1),1+('Control Room'!$C$14-1)*EXP(-0.5*(($A669-'Control Room'!$A$14-('Control Room'!$B$14-1)/2)/MAX(0.5,'Control Room'!$B$14/4))^2),1)*IF(AND($A669&gt;='Control Room'!$A$15,$A669&lt;'Control Room'!$A$15+'Control Room'!$B$15,'Process'!BU4=1),1+('Control Room'!$C$15-1)*EXP(-0.5*(($A669-'Control Room'!$A$15-('Control Room'!$B$15-1)/2)/MAX(0.5,'Control Room'!$B$15/4))^2),1)*IF(AND($A669&gt;='Control Room'!$A$16,$A669&lt;'Control Room'!$A$16+'Control Room'!$B$16,'Process'!BU5=1),1+('Control Room'!$C$16-1)*EXP(-0.5*(($A669-'Control Room'!$A$16-('Control Room'!$B$16-1)/2)/MAX(0.5,'Control Room'!$B$16/4))^2),1)</x:f>
        <x:v>1</x:v>
      </x:c>
      <x:c r="BE669" s="9" t="n">
        <x:f>MOD(BF668*16807,2147483647)</x:f>
        <x:v>566416747</x:v>
      </x:c>
      <x:c r="BF669" s="9" t="n">
        <x:f>MOD(BE669*16807,2147483647)</x:f>
        <x:v>2118743325</x:v>
      </x:c>
      <x:c r="BG669" s="17" t="n">
        <x:f>IF('Control Room'!$B$5="Normal",'Control Room'!$B$7+'Control Room'!$D$7*SQRT(-2*LN(MAX(0.000000000001,BE669/2147483647)))*COS(2*PI()*BF669/2147483647),'Control Room'!$B$8+('Control Room'!$D$8-'Control Room'!$B$8)*BE669/2147483647)</x:f>
        <x:v>1146.4164961148174</x:v>
      </x:c>
      <x:c r="BH669" s="17" t="n">
        <x:f>IF('Control Room'!$B$5="Normal",'Control Room'!$B$7,('Control Room'!$B$8+'Control Room'!$D$8)/2)+'Control Room'!$B$9*(BH668-IF('Control Room'!$B$5="Normal",'Control Room'!$B$7,('Control Room'!$B$8+'Control Room'!$D$8)/2))+SQRT(1-'Control Room'!$B$9^2)*(BG669-IF('Control Room'!$B$5="Normal",'Control Room'!$B$7,('Control Room'!$B$8+'Control Room'!$D$8)/2))</x:f>
        <x:v>1137.7732759409644</x:v>
      </x:c>
      <x:c r="BI669" s="17" t="n">
        <x:f>IF(AND($A669&gt;='Control Room'!$A$13,$A669&lt;'Control Room'!$A$13+'Control Room'!$B$13,'Process'!BV2=1),1+('Control Room'!$C$13-1)*EXP(-0.5*(($A669-'Control Room'!$A$13-('Control Room'!$B$13-1)/2)/MAX(0.5,'Control Room'!$B$13/4))^2),1)*IF(AND($A669&gt;='Control Room'!$A$14,$A669&lt;'Control Room'!$A$14+'Control Room'!$B$14,'Process'!BV3=1),1+('Control Room'!$C$14-1)*EXP(-0.5*(($A669-'Control Room'!$A$14-('Control Room'!$B$14-1)/2)/MAX(0.5,'Control Room'!$B$14/4))^2),1)*IF(AND($A669&gt;='Control Room'!$A$15,$A669&lt;'Control Room'!$A$15+'Control Room'!$B$15,'Process'!BV4=1),1+('Control Room'!$C$15-1)*EXP(-0.5*(($A669-'Control Room'!$A$15-('Control Room'!$B$15-1)/2)/MAX(0.5,'Control Room'!$B$15/4))^2),1)*IF(AND($A669&gt;='Control Room'!$A$16,$A669&lt;'Control Room'!$A$16+'Control Room'!$B$16,'Process'!BV5=1),1+('Control Room'!$C$16-1)*EXP(-0.5*(($A669-'Control Room'!$A$16-('Control Room'!$B$16-1)/2)/MAX(0.5,'Control Room'!$B$16/4))^2),1)</x:f>
        <x:v>1</x:v>
      </x:c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Z669" t="str">
        <x:f>IF('Data'!A669="","",TEXT('Data'!A669,"mm-dd"))</x:f>
      </x:c>
    </x:row>
    <x:row r="670" ht="21" customHeight="1">
      <x:c r="A670" s="15" t="n">
        <x:f>'Control Room'!$B$1+668</x:f>
        <x:v>73659</x:v>
      </x:c>
      <x:c r="B670" s="9" t="n">
        <x:f>MOD(C669*16807,2147483647)</x:f>
        <x:v>1771777624</x:v>
      </x:c>
      <x:c r="C670" s="9" t="n">
        <x:f>MOD(B670*16807,2147483647)</x:f>
        <x:v>1258277266</x:v>
      </x:c>
      <x:c r="D670" s="17" t="n">
        <x:f>IF('Control Room'!$B$5="Normal",'Control Room'!$B$7+'Control Room'!$D$7*SQRT(-2*LN(MAX(0.000000000001,B670/2147483647)))*COS(2*PI()*C670/2147483647),'Control Room'!$B$8+('Control Room'!$D$8-'Control Room'!$B$8)*B670/2147483647)</x:f>
        <x:v>952.1234552980794</x:v>
      </x:c>
      <x:c r="E670" s="17" t="n">
        <x:f>IF('Control Room'!$B$5="Normal",'Control Room'!$B$7,('Control Room'!$B$8+'Control Room'!$D$8)/2)+'Control Room'!$B$9*(E669-IF('Control Room'!$B$5="Normal",'Control Room'!$B$7,('Control Room'!$B$8+'Control Room'!$D$8)/2))+SQRT(1-'Control Room'!$B$9^2)*(D670-IF('Control Room'!$B$5="Normal",'Control Room'!$B$7,('Control Room'!$B$8+'Control Room'!$D$8)/2))</x:f>
        <x:v>1034.4520203499465</x:v>
      </x:c>
      <x:c r="F670" s="17" t="n">
        <x:f>IF(AND($A670&gt;='Control Room'!$A$13,$A670&lt;'Control Room'!$A$13+'Control Room'!$B$13,'Process'!BK2=1),1+('Control Room'!$C$13-1)*EXP(-0.5*(($A670-'Control Room'!$A$13-('Control Room'!$B$13-1)/2)/MAX(0.5,'Control Room'!$B$13/4))^2),1)*IF(AND($A670&gt;='Control Room'!$A$14,$A670&lt;'Control Room'!$A$14+'Control Room'!$B$14,'Process'!BK3=1),1+('Control Room'!$C$14-1)*EXP(-0.5*(($A670-'Control Room'!$A$14-('Control Room'!$B$14-1)/2)/MAX(0.5,'Control Room'!$B$14/4))^2),1)*IF(AND($A670&gt;='Control Room'!$A$15,$A670&lt;'Control Room'!$A$15+'Control Room'!$B$15,'Process'!BK4=1),1+('Control Room'!$C$15-1)*EXP(-0.5*(($A670-'Control Room'!$A$15-('Control Room'!$B$15-1)/2)/MAX(0.5,'Control Room'!$B$15/4))^2),1)*IF(AND($A670&gt;='Control Room'!$A$16,$A670&lt;'Control Room'!$A$16+'Control Room'!$B$16,'Process'!BK5=1),1+('Control Room'!$C$16-1)*EXP(-0.5*(($A670-'Control Room'!$A$16-('Control Room'!$B$16-1)/2)/MAX(0.5,'Control Room'!$B$16/4))^2),1)</x:f>
        <x:v>1</x:v>
      </x:c>
      <x:c r="G670" s="9" t="n">
        <x:f>MOD(H669*16807,2147483647)</x:f>
        <x:v>1819135328</x:v>
      </x:c>
      <x:c r="H670" s="9" t="n">
        <x:f>MOD(G670*16807,2147483647)</x:f>
        <x:v>482775357</x:v>
      </x:c>
      <x:c r="I670" s="17" t="n">
        <x:f>IF('Control Room'!$B$5="Normal",'Control Room'!$B$7+'Control Room'!$D$7*SQRT(-2*LN(MAX(0.000000000001,G670/2147483647)))*COS(2*PI()*H670/2147483647),'Control Room'!$B$8+('Control Room'!$D$8-'Control Room'!$B$8)*G670/2147483647)</x:f>
        <x:v>1008.1719168436238</x:v>
      </x:c>
      <x:c r="J670" s="17" t="n">
        <x:f>IF('Control Room'!$B$5="Normal",'Control Room'!$B$7,('Control Room'!$B$8+'Control Room'!$D$8)/2)+'Control Room'!$B$9*(J669-IF('Control Room'!$B$5="Normal",'Control Room'!$B$7,('Control Room'!$B$8+'Control Room'!$D$8)/2))+SQRT(1-'Control Room'!$B$9^2)*(I670-IF('Control Room'!$B$5="Normal",'Control Room'!$B$7,('Control Room'!$B$8+'Control Room'!$D$8)/2))</x:f>
        <x:v>982.2579837277142</x:v>
      </x:c>
      <x:c r="K670" s="17" t="n">
        <x:f>IF(AND($A670&gt;='Control Room'!$A$13,$A670&lt;'Control Room'!$A$13+'Control Room'!$B$13,'Process'!BL2=1),1+('Control Room'!$C$13-1)*EXP(-0.5*(($A670-'Control Room'!$A$13-('Control Room'!$B$13-1)/2)/MAX(0.5,'Control Room'!$B$13/4))^2),1)*IF(AND($A670&gt;='Control Room'!$A$14,$A670&lt;'Control Room'!$A$14+'Control Room'!$B$14,'Process'!BL3=1),1+('Control Room'!$C$14-1)*EXP(-0.5*(($A670-'Control Room'!$A$14-('Control Room'!$B$14-1)/2)/MAX(0.5,'Control Room'!$B$14/4))^2),1)*IF(AND($A670&gt;='Control Room'!$A$15,$A670&lt;'Control Room'!$A$15+'Control Room'!$B$15,'Process'!BL4=1),1+('Control Room'!$C$15-1)*EXP(-0.5*(($A670-'Control Room'!$A$15-('Control Room'!$B$15-1)/2)/MAX(0.5,'Control Room'!$B$15/4))^2),1)*IF(AND($A670&gt;='Control Room'!$A$16,$A670&lt;'Control Room'!$A$16+'Control Room'!$B$16,'Process'!BL5=1),1+('Control Room'!$C$16-1)*EXP(-0.5*(($A670-'Control Room'!$A$16-('Control Room'!$B$16-1)/2)/MAX(0.5,'Control Room'!$B$16/4))^2),1)</x:f>
        <x:v>1</x:v>
      </x:c>
      <x:c r="L670" s="9" t="n">
        <x:f>MOD(M669*16807,2147483647)</x:f>
        <x:v>1866493032</x:v>
      </x:c>
      <x:c r="M670" s="9" t="n">
        <x:f>MOD(L670*16807,2147483647)</x:f>
        <x:v>1854757095</x:v>
      </x:c>
      <x:c r="N670" s="17" t="n">
        <x:f>IF('Control Room'!$B$5="Normal",'Control Room'!$B$7+'Control Room'!$D$7*SQRT(-2*LN(MAX(0.000000000001,L670/2147483647)))*COS(2*PI()*M670/2147483647),'Control Room'!$B$8+('Control Room'!$D$8-'Control Room'!$B$8)*L670/2147483647)</x:f>
        <x:v>1031.224807788742</x:v>
      </x:c>
      <x:c r="O670" s="17" t="n">
        <x:f>IF('Control Room'!$B$5="Normal",'Control Room'!$B$7,('Control Room'!$B$8+'Control Room'!$D$8)/2)+'Control Room'!$B$9*(O669-IF('Control Room'!$B$5="Normal",'Control Room'!$B$7,('Control Room'!$B$8+'Control Room'!$D$8)/2))+SQRT(1-'Control Room'!$B$9^2)*(N670-IF('Control Room'!$B$5="Normal",'Control Room'!$B$7,('Control Room'!$B$8+'Control Room'!$D$8)/2))</x:f>
        <x:v>882.3430009351288</x:v>
      </x:c>
      <x:c r="P670" s="17" t="n">
        <x:f>IF(AND($A670&gt;='Control Room'!$A$13,$A670&lt;'Control Room'!$A$13+'Control Room'!$B$13,'Process'!BM2=1),1+('Control Room'!$C$13-1)*EXP(-0.5*(($A670-'Control Room'!$A$13-('Control Room'!$B$13-1)/2)/MAX(0.5,'Control Room'!$B$13/4))^2),1)*IF(AND($A670&gt;='Control Room'!$A$14,$A670&lt;'Control Room'!$A$14+'Control Room'!$B$14,'Process'!BM3=1),1+('Control Room'!$C$14-1)*EXP(-0.5*(($A670-'Control Room'!$A$14-('Control Room'!$B$14-1)/2)/MAX(0.5,'Control Room'!$B$14/4))^2),1)*IF(AND($A670&gt;='Control Room'!$A$15,$A670&lt;'Control Room'!$A$15+'Control Room'!$B$15,'Process'!BM4=1),1+('Control Room'!$C$15-1)*EXP(-0.5*(($A670-'Control Room'!$A$15-('Control Room'!$B$15-1)/2)/MAX(0.5,'Control Room'!$B$15/4))^2),1)*IF(AND($A670&gt;='Control Room'!$A$16,$A670&lt;'Control Room'!$A$16+'Control Room'!$B$16,'Process'!BM5=1),1+('Control Room'!$C$16-1)*EXP(-0.5*(($A670-'Control Room'!$A$16-('Control Room'!$B$16-1)/2)/MAX(0.5,'Control Room'!$B$16/4))^2),1)</x:f>
        <x:v>1</x:v>
      </x:c>
      <x:c r="Q670" s="9" t="n">
        <x:f>MOD(R669*16807,2147483647)</x:f>
        <x:v>1913850736</x:v>
      </x:c>
      <x:c r="R670" s="9" t="n">
        <x:f>MOD(Q670*16807,2147483647)</x:f>
        <x:v>1079255186</x:v>
      </x:c>
      <x:c r="S670" s="17" t="n">
        <x:f>IF('Control Room'!$B$5="Normal",'Control Room'!$B$7+'Control Room'!$D$7*SQRT(-2*LN(MAX(0.000000000001,Q670/2147483647)))*COS(2*PI()*R670/2147483647),'Control Room'!$B$8+('Control Room'!$D$8-'Control Room'!$B$8)*Q670/2147483647)</x:f>
        <x:v>956.8094723288038</x:v>
      </x:c>
      <x:c r="T670" s="17" t="n">
        <x:f>IF('Control Room'!$B$5="Normal",'Control Room'!$B$7,('Control Room'!$B$8+'Control Room'!$D$8)/2)+'Control Room'!$B$9*(T669-IF('Control Room'!$B$5="Normal",'Control Room'!$B$7,('Control Room'!$B$8+'Control Room'!$D$8)/2))+SQRT(1-'Control Room'!$B$9^2)*(S670-IF('Control Room'!$B$5="Normal",'Control Room'!$B$7,('Control Room'!$B$8+'Control Room'!$D$8)/2))</x:f>
        <x:v>1004.1328611886468</x:v>
      </x:c>
      <x:c r="U670" s="17" t="n">
        <x:f>IF(AND($A670&gt;='Control Room'!$A$13,$A670&lt;'Control Room'!$A$13+'Control Room'!$B$13,'Process'!BN2=1),1+('Control Room'!$C$13-1)*EXP(-0.5*(($A670-'Control Room'!$A$13-('Control Room'!$B$13-1)/2)/MAX(0.5,'Control Room'!$B$13/4))^2),1)*IF(AND($A670&gt;='Control Room'!$A$14,$A670&lt;'Control Room'!$A$14+'Control Room'!$B$14,'Process'!BN3=1),1+('Control Room'!$C$14-1)*EXP(-0.5*(($A670-'Control Room'!$A$14-('Control Room'!$B$14-1)/2)/MAX(0.5,'Control Room'!$B$14/4))^2),1)*IF(AND($A670&gt;='Control Room'!$A$15,$A670&lt;'Control Room'!$A$15+'Control Room'!$B$15,'Process'!BN4=1),1+('Control Room'!$C$15-1)*EXP(-0.5*(($A670-'Control Room'!$A$15-('Control Room'!$B$15-1)/2)/MAX(0.5,'Control Room'!$B$15/4))^2),1)*IF(AND($A670&gt;='Control Room'!$A$16,$A670&lt;'Control Room'!$A$16+'Control Room'!$B$16,'Process'!BN5=1),1+('Control Room'!$C$16-1)*EXP(-0.5*(($A670-'Control Room'!$A$16-('Control Room'!$B$16-1)/2)/MAX(0.5,'Control Room'!$B$16/4))^2),1)</x:f>
        <x:v>1</x:v>
      </x:c>
      <x:c r="V670" s="9" t="n">
        <x:f>MOD(W669*16807,2147483647)</x:f>
        <x:v>1961208440</x:v>
      </x:c>
      <x:c r="W670" s="9" t="n">
        <x:f>MOD(V670*16807,2147483647)</x:f>
        <x:v>303753277</x:v>
      </x:c>
      <x:c r="X670" s="17" t="n">
        <x:f>IF('Control Room'!$B$5="Normal",'Control Room'!$B$7+'Control Room'!$D$7*SQRT(-2*LN(MAX(0.000000000001,V670/2147483647)))*COS(2*PI()*W670/2147483647),'Control Room'!$B$8+('Control Room'!$D$8-'Control Room'!$B$8)*V670/2147483647)</x:f>
        <x:v>1024.1691292902535</x:v>
      </x:c>
      <x:c r="Y670" s="17" t="n">
        <x:f>IF('Control Room'!$B$5="Normal",'Control Room'!$B$7,('Control Room'!$B$8+'Control Room'!$D$8)/2)+'Control Room'!$B$9*(Y669-IF('Control Room'!$B$5="Normal",'Control Room'!$B$7,('Control Room'!$B$8+'Control Room'!$D$8)/2))+SQRT(1-'Control Room'!$B$9^2)*(X670-IF('Control Room'!$B$5="Normal",'Control Room'!$B$7,('Control Room'!$B$8+'Control Room'!$D$8)/2))</x:f>
        <x:v>1014.5989683581321</x:v>
      </x:c>
      <x:c r="Z670" s="17" t="n">
        <x:f>IF(AND($A670&gt;='Control Room'!$A$13,$A670&lt;'Control Room'!$A$13+'Control Room'!$B$13,'Process'!BO2=1),1+('Control Room'!$C$13-1)*EXP(-0.5*(($A670-'Control Room'!$A$13-('Control Room'!$B$13-1)/2)/MAX(0.5,'Control Room'!$B$13/4))^2),1)*IF(AND($A670&gt;='Control Room'!$A$14,$A670&lt;'Control Room'!$A$14+'Control Room'!$B$14,'Process'!BO3=1),1+('Control Room'!$C$14-1)*EXP(-0.5*(($A670-'Control Room'!$A$14-('Control Room'!$B$14-1)/2)/MAX(0.5,'Control Room'!$B$14/4))^2),1)*IF(AND($A670&gt;='Control Room'!$A$15,$A670&lt;'Control Room'!$A$15+'Control Room'!$B$15,'Process'!BO4=1),1+('Control Room'!$C$15-1)*EXP(-0.5*(($A670-'Control Room'!$A$15-('Control Room'!$B$15-1)/2)/MAX(0.5,'Control Room'!$B$15/4))^2),1)*IF(AND($A670&gt;='Control Room'!$A$16,$A670&lt;'Control Room'!$A$16+'Control Room'!$B$16,'Process'!BO5=1),1+('Control Room'!$C$16-1)*EXP(-0.5*(($A670-'Control Room'!$A$16-('Control Room'!$B$16-1)/2)/MAX(0.5,'Control Room'!$B$16/4))^2),1)</x:f>
        <x:v>1</x:v>
      </x:c>
      <x:c r="AA670" s="9" t="n">
        <x:f>MOD(AB669*16807,2147483647)</x:f>
        <x:v>2008566144</x:v>
      </x:c>
      <x:c r="AB670" s="9" t="n">
        <x:f>MOD(AA670*16807,2147483647)</x:f>
        <x:v>1675735015</x:v>
      </x:c>
      <x:c r="AC670" s="17" t="n">
        <x:f>IF('Control Room'!$B$5="Normal",'Control Room'!$B$7+'Control Room'!$D$7*SQRT(-2*LN(MAX(0.000000000001,AA670/2147483647)))*COS(2*PI()*AB670/2147483647),'Control Room'!$B$8+('Control Room'!$D$8-'Control Room'!$B$8)*AA670/2147483647)</x:f>
        <x:v>1006.2336173359978</x:v>
      </x:c>
      <x:c r="AD670" s="17" t="n">
        <x:f>IF('Control Room'!$B$5="Normal",'Control Room'!$B$7,('Control Room'!$B$8+'Control Room'!$D$8)/2)+'Control Room'!$B$9*(AD669-IF('Control Room'!$B$5="Normal",'Control Room'!$B$7,('Control Room'!$B$8+'Control Room'!$D$8)/2))+SQRT(1-'Control Room'!$B$9^2)*(AC670-IF('Control Room'!$B$5="Normal",'Control Room'!$B$7,('Control Room'!$B$8+'Control Room'!$D$8)/2))</x:f>
        <x:v>888.9921098049678</x:v>
      </x:c>
      <x:c r="AE670" s="17" t="n">
        <x:f>IF(AND($A670&gt;='Control Room'!$A$13,$A670&lt;'Control Room'!$A$13+'Control Room'!$B$13,'Process'!BP2=1),1+('Control Room'!$C$13-1)*EXP(-0.5*(($A670-'Control Room'!$A$13-('Control Room'!$B$13-1)/2)/MAX(0.5,'Control Room'!$B$13/4))^2),1)*IF(AND($A670&gt;='Control Room'!$A$14,$A670&lt;'Control Room'!$A$14+'Control Room'!$B$14,'Process'!BP3=1),1+('Control Room'!$C$14-1)*EXP(-0.5*(($A670-'Control Room'!$A$14-('Control Room'!$B$14-1)/2)/MAX(0.5,'Control Room'!$B$14/4))^2),1)*IF(AND($A670&gt;='Control Room'!$A$15,$A670&lt;'Control Room'!$A$15+'Control Room'!$B$15,'Process'!BP4=1),1+('Control Room'!$C$15-1)*EXP(-0.5*(($A670-'Control Room'!$A$15-('Control Room'!$B$15-1)/2)/MAX(0.5,'Control Room'!$B$15/4))^2),1)*IF(AND($A670&gt;='Control Room'!$A$16,$A670&lt;'Control Room'!$A$16+'Control Room'!$B$16,'Process'!BP5=1),1+('Control Room'!$C$16-1)*EXP(-0.5*(($A670-'Control Room'!$A$16-('Control Room'!$B$16-1)/2)/MAX(0.5,'Control Room'!$B$16/4))^2),1)</x:f>
        <x:v>1</x:v>
      </x:c>
      <x:c r="AF670" s="9" t="n">
        <x:f>MOD(AG669*16807,2147483647)</x:f>
        <x:v>2055923848</x:v>
      </x:c>
      <x:c r="AG670" s="9" t="n">
        <x:f>MOD(AF670*16807,2147483647)</x:f>
        <x:v>900233106</x:v>
      </x:c>
      <x:c r="AH670" s="17" t="n">
        <x:f>IF('Control Room'!$B$5="Normal",'Control Room'!$B$7+'Control Room'!$D$7*SQRT(-2*LN(MAX(0.000000000001,AF670/2147483647)))*COS(2*PI()*AG670/2147483647),'Control Room'!$B$8+('Control Room'!$D$8-'Control Room'!$B$8)*AF670/2147483647)</x:f>
        <x:v>976.7826312092533</x:v>
      </x:c>
      <x:c r="AI670" s="17" t="n">
        <x:f>IF('Control Room'!$B$5="Normal",'Control Room'!$B$7,('Control Room'!$B$8+'Control Room'!$D$8)/2)+'Control Room'!$B$9*(AI669-IF('Control Room'!$B$5="Normal",'Control Room'!$B$7,('Control Room'!$B$8+'Control Room'!$D$8)/2))+SQRT(1-'Control Room'!$B$9^2)*(AH670-IF('Control Room'!$B$5="Normal",'Control Room'!$B$7,('Control Room'!$B$8+'Control Room'!$D$8)/2))</x:f>
        <x:v>986.3205370342478</x:v>
      </x:c>
      <x:c r="AJ670" s="17" t="n">
        <x:f>IF(AND($A670&gt;='Control Room'!$A$13,$A670&lt;'Control Room'!$A$13+'Control Room'!$B$13,'Process'!BQ2=1),1+('Control Room'!$C$13-1)*EXP(-0.5*(($A670-'Control Room'!$A$13-('Control Room'!$B$13-1)/2)/MAX(0.5,'Control Room'!$B$13/4))^2),1)*IF(AND($A670&gt;='Control Room'!$A$14,$A670&lt;'Control Room'!$A$14+'Control Room'!$B$14,'Process'!BQ3=1),1+('Control Room'!$C$14-1)*EXP(-0.5*(($A670-'Control Room'!$A$14-('Control Room'!$B$14-1)/2)/MAX(0.5,'Control Room'!$B$14/4))^2),1)*IF(AND($A670&gt;='Control Room'!$A$15,$A670&lt;'Control Room'!$A$15+'Control Room'!$B$15,'Process'!BQ4=1),1+('Control Room'!$C$15-1)*EXP(-0.5*(($A670-'Control Room'!$A$15-('Control Room'!$B$15-1)/2)/MAX(0.5,'Control Room'!$B$15/4))^2),1)*IF(AND($A670&gt;='Control Room'!$A$16,$A670&lt;'Control Room'!$A$16+'Control Room'!$B$16,'Process'!BQ5=1),1+('Control Room'!$C$16-1)*EXP(-0.5*(($A670-'Control Room'!$A$16-('Control Room'!$B$16-1)/2)/MAX(0.5,'Control Room'!$B$16/4))^2),1)</x:f>
        <x:v>1</x:v>
      </x:c>
      <x:c r="AK670" s="9" t="n">
        <x:f>MOD(AL669*16807,2147483647)</x:f>
        <x:v>2103281552</x:v>
      </x:c>
      <x:c r="AL670" s="9" t="n">
        <x:f>MOD(AK670*16807,2147483647)</x:f>
        <x:v>124731197</x:v>
      </x:c>
      <x:c r="AM670" s="17" t="n">
        <x:f>IF('Control Room'!$B$5="Normal",'Control Room'!$B$7+'Control Room'!$D$7*SQRT(-2*LN(MAX(0.000000000001,AK670/2147483647)))*COS(2*PI()*AL670/2147483647),'Control Room'!$B$8+('Control Room'!$D$8-'Control Room'!$B$8)*AK670/2147483647)</x:f>
        <x:v>1017.1467600748334</x:v>
      </x:c>
      <x:c r="AN670" s="17" t="n">
        <x:f>IF('Control Room'!$B$5="Normal",'Control Room'!$B$7,('Control Room'!$B$8+'Control Room'!$D$8)/2)+'Control Room'!$B$9*(AN669-IF('Control Room'!$B$5="Normal",'Control Room'!$B$7,('Control Room'!$B$8+'Control Room'!$D$8)/2))+SQRT(1-'Control Room'!$B$9^2)*(AM670-IF('Control Room'!$B$5="Normal",'Control Room'!$B$7,('Control Room'!$B$8+'Control Room'!$D$8)/2))</x:f>
        <x:v>1015.2136064839672</x:v>
      </x:c>
      <x:c r="AO670" s="17" t="n">
        <x:f>IF(AND($A670&gt;='Control Room'!$A$13,$A670&lt;'Control Room'!$A$13+'Control Room'!$B$13,'Process'!BR2=1),1+('Control Room'!$C$13-1)*EXP(-0.5*(($A670-'Control Room'!$A$13-('Control Room'!$B$13-1)/2)/MAX(0.5,'Control Room'!$B$13/4))^2),1)*IF(AND($A670&gt;='Control Room'!$A$14,$A670&lt;'Control Room'!$A$14+'Control Room'!$B$14,'Process'!BR3=1),1+('Control Room'!$C$14-1)*EXP(-0.5*(($A670-'Control Room'!$A$14-('Control Room'!$B$14-1)/2)/MAX(0.5,'Control Room'!$B$14/4))^2),1)*IF(AND($A670&gt;='Control Room'!$A$15,$A670&lt;'Control Room'!$A$15+'Control Room'!$B$15,'Process'!BR4=1),1+('Control Room'!$C$15-1)*EXP(-0.5*(($A670-'Control Room'!$A$15-('Control Room'!$B$15-1)/2)/MAX(0.5,'Control Room'!$B$15/4))^2),1)*IF(AND($A670&gt;='Control Room'!$A$16,$A670&lt;'Control Room'!$A$16+'Control Room'!$B$16,'Process'!BR5=1),1+('Control Room'!$C$16-1)*EXP(-0.5*(($A670-'Control Room'!$A$16-('Control Room'!$B$16-1)/2)/MAX(0.5,'Control Room'!$B$16/4))^2),1)</x:f>
        <x:v>1</x:v>
      </x:c>
      <x:c r="AP670" s="9" t="n">
        <x:f>MOD(AQ669*16807,2147483647)</x:f>
        <x:v>3155609</x:v>
      </x:c>
      <x:c r="AQ670" s="9" t="n">
        <x:f>MOD(AP670*16807,2147483647)</x:f>
        <x:v>1496712935</x:v>
      </x:c>
      <x:c r="AR670" s="17" t="n">
        <x:f>IF('Control Room'!$B$5="Normal",'Control Room'!$B$7+'Control Room'!$D$7*SQRT(-2*LN(MAX(0.000000000001,AP670/2147483647)))*COS(2*PI()*AQ670/2147483647),'Control Room'!$B$8+('Control Room'!$D$8-'Control Room'!$B$8)*AP670/2147483647)</x:f>
        <x:v>893.6637577719462</x:v>
      </x:c>
      <x:c r="AS670" s="17" t="n">
        <x:f>IF('Control Room'!$B$5="Normal",'Control Room'!$B$7,('Control Room'!$B$8+'Control Room'!$D$8)/2)+'Control Room'!$B$9*(AS669-IF('Control Room'!$B$5="Normal",'Control Room'!$B$7,('Control Room'!$B$8+'Control Room'!$D$8)/2))+SQRT(1-'Control Room'!$B$9^2)*(AR670-IF('Control Room'!$B$5="Normal",'Control Room'!$B$7,('Control Room'!$B$8+'Control Room'!$D$8)/2))</x:f>
        <x:v>1008.0527549617201</x:v>
      </x:c>
      <x:c r="AT670" s="17" t="n">
        <x:f>IF(AND($A670&gt;='Control Room'!$A$13,$A670&lt;'Control Room'!$A$13+'Control Room'!$B$13,'Process'!BS2=1),1+('Control Room'!$C$13-1)*EXP(-0.5*(($A670-'Control Room'!$A$13-('Control Room'!$B$13-1)/2)/MAX(0.5,'Control Room'!$B$13/4))^2),1)*IF(AND($A670&gt;='Control Room'!$A$14,$A670&lt;'Control Room'!$A$14+'Control Room'!$B$14,'Process'!BS3=1),1+('Control Room'!$C$14-1)*EXP(-0.5*(($A670-'Control Room'!$A$14-('Control Room'!$B$14-1)/2)/MAX(0.5,'Control Room'!$B$14/4))^2),1)*IF(AND($A670&gt;='Control Room'!$A$15,$A670&lt;'Control Room'!$A$15+'Control Room'!$B$15,'Process'!BS4=1),1+('Control Room'!$C$15-1)*EXP(-0.5*(($A670-'Control Room'!$A$15-('Control Room'!$B$15-1)/2)/MAX(0.5,'Control Room'!$B$15/4))^2),1)*IF(AND($A670&gt;='Control Room'!$A$16,$A670&lt;'Control Room'!$A$16+'Control Room'!$B$16,'Process'!BS5=1),1+('Control Room'!$C$16-1)*EXP(-0.5*(($A670-'Control Room'!$A$16-('Control Room'!$B$16-1)/2)/MAX(0.5,'Control Room'!$B$16/4))^2),1)</x:f>
        <x:v>1</x:v>
      </x:c>
      <x:c r="AU670" s="9" t="n">
        <x:f>MOD(AV669*16807,2147483647)</x:f>
        <x:v>50513313</x:v>
      </x:c>
      <x:c r="AV670" s="9" t="n">
        <x:f>MOD(AU670*16807,2147483647)</x:f>
        <x:v>721211026</x:v>
      </x:c>
      <x:c r="AW670" s="17" t="n">
        <x:f>IF('Control Room'!$B$5="Normal",'Control Room'!$B$7+'Control Room'!$D$7*SQRT(-2*LN(MAX(0.000000000001,AU670/2147483647)))*COS(2*PI()*AV670/2147483647),'Control Room'!$B$8+('Control Room'!$D$8-'Control Room'!$B$8)*AU670/2147483647)</x:f>
        <x:v>873.4190311037048</x:v>
      </x:c>
      <x:c r="AX670" s="17" t="n">
        <x:f>IF('Control Room'!$B$5="Normal",'Control Room'!$B$7,('Control Room'!$B$8+'Control Room'!$D$8)/2)+'Control Room'!$B$9*(AX669-IF('Control Room'!$B$5="Normal",'Control Room'!$B$7,('Control Room'!$B$8+'Control Room'!$D$8)/2))+SQRT(1-'Control Room'!$B$9^2)*(AW670-IF('Control Room'!$B$5="Normal",'Control Room'!$B$7,('Control Room'!$B$8+'Control Room'!$D$8)/2))</x:f>
        <x:v>912.7365046063885</x:v>
      </x:c>
      <x:c r="AY670" s="17" t="n">
        <x:f>IF(AND($A670&gt;='Control Room'!$A$13,$A670&lt;'Control Room'!$A$13+'Control Room'!$B$13,'Process'!BT2=1),1+('Control Room'!$C$13-1)*EXP(-0.5*(($A670-'Control Room'!$A$13-('Control Room'!$B$13-1)/2)/MAX(0.5,'Control Room'!$B$13/4))^2),1)*IF(AND($A670&gt;='Control Room'!$A$14,$A670&lt;'Control Room'!$A$14+'Control Room'!$B$14,'Process'!BT3=1),1+('Control Room'!$C$14-1)*EXP(-0.5*(($A670-'Control Room'!$A$14-('Control Room'!$B$14-1)/2)/MAX(0.5,'Control Room'!$B$14/4))^2),1)*IF(AND($A670&gt;='Control Room'!$A$15,$A670&lt;'Control Room'!$A$15+'Control Room'!$B$15,'Process'!BT4=1),1+('Control Room'!$C$15-1)*EXP(-0.5*(($A670-'Control Room'!$A$15-('Control Room'!$B$15-1)/2)/MAX(0.5,'Control Room'!$B$15/4))^2),1)*IF(AND($A670&gt;='Control Room'!$A$16,$A670&lt;'Control Room'!$A$16+'Control Room'!$B$16,'Process'!BT5=1),1+('Control Room'!$C$16-1)*EXP(-0.5*(($A670-'Control Room'!$A$16-('Control Room'!$B$16-1)/2)/MAX(0.5,'Control Room'!$B$16/4))^2),1)</x:f>
        <x:v>1</x:v>
      </x:c>
      <x:c r="AZ670" s="9" t="n">
        <x:f>MOD(BA669*16807,2147483647)</x:f>
        <x:v>97871017</x:v>
      </x:c>
      <x:c r="BA670" s="9" t="n">
        <x:f>MOD(AZ670*16807,2147483647)</x:f>
        <x:v>2093192764</x:v>
      </x:c>
      <x:c r="BB670" s="17" t="n">
        <x:f>IF('Control Room'!$B$5="Normal",'Control Room'!$B$7+'Control Room'!$D$7*SQRT(-2*LN(MAX(0.000000000001,AZ670/2147483647)))*COS(2*PI()*BA670/2147483647),'Control Room'!$B$8+('Control Room'!$D$8-'Control Room'!$B$8)*AZ670/2147483647)</x:f>
        <x:v>1220.8625623491341</x:v>
      </x:c>
      <x:c r="BC670" s="17" t="n">
        <x:f>IF('Control Room'!$B$5="Normal",'Control Room'!$B$7,('Control Room'!$B$8+'Control Room'!$D$8)/2)+'Control Room'!$B$9*(BC669-IF('Control Room'!$B$5="Normal",'Control Room'!$B$7,('Control Room'!$B$8+'Control Room'!$D$8)/2))+SQRT(1-'Control Room'!$B$9^2)*(BB670-IF('Control Room'!$B$5="Normal",'Control Room'!$B$7,('Control Room'!$B$8+'Control Room'!$D$8)/2))</x:f>
        <x:v>1069.212619038092</x:v>
      </x:c>
      <x:c r="BD670" s="17" t="n">
        <x:f>IF(AND($A670&gt;='Control Room'!$A$13,$A670&lt;'Control Room'!$A$13+'Control Room'!$B$13,'Process'!BU2=1),1+('Control Room'!$C$13-1)*EXP(-0.5*(($A670-'Control Room'!$A$13-('Control Room'!$B$13-1)/2)/MAX(0.5,'Control Room'!$B$13/4))^2),1)*IF(AND($A670&gt;='Control Room'!$A$14,$A670&lt;'Control Room'!$A$14+'Control Room'!$B$14,'Process'!BU3=1),1+('Control Room'!$C$14-1)*EXP(-0.5*(($A670-'Control Room'!$A$14-('Control Room'!$B$14-1)/2)/MAX(0.5,'Control Room'!$B$14/4))^2),1)*IF(AND($A670&gt;='Control Room'!$A$15,$A670&lt;'Control Room'!$A$15+'Control Room'!$B$15,'Process'!BU4=1),1+('Control Room'!$C$15-1)*EXP(-0.5*(($A670-'Control Room'!$A$15-('Control Room'!$B$15-1)/2)/MAX(0.5,'Control Room'!$B$15/4))^2),1)*IF(AND($A670&gt;='Control Room'!$A$16,$A670&lt;'Control Room'!$A$16+'Control Room'!$B$16,'Process'!BU5=1),1+('Control Room'!$C$16-1)*EXP(-0.5*(($A670-'Control Room'!$A$16-('Control Room'!$B$16-1)/2)/MAX(0.5,'Control Room'!$B$16/4))^2),1)</x:f>
        <x:v>1</x:v>
      </x:c>
      <x:c r="BE670" s="9" t="n">
        <x:f>MOD(BF669*16807,2147483647)</x:f>
        <x:v>145228721</x:v>
      </x:c>
      <x:c r="BF670" s="9" t="n">
        <x:f>MOD(BE670*16807,2147483647)</x:f>
        <x:v>1317690855</x:v>
      </x:c>
      <x:c r="BG670" s="17" t="n">
        <x:f>IF('Control Room'!$B$5="Normal",'Control Room'!$B$7+'Control Room'!$D$7*SQRT(-2*LN(MAX(0.000000000001,BE670/2147483647)))*COS(2*PI()*BF670/2147483647),'Control Room'!$B$8+('Control Room'!$D$8-'Control Room'!$B$8)*BE670/2147483647)</x:f>
        <x:v>842.0916791427363</x:v>
      </x:c>
      <x:c r="BH670" s="17" t="n">
        <x:f>IF('Control Room'!$B$5="Normal",'Control Room'!$B$7,('Control Room'!$B$8+'Control Room'!$D$8)/2)+'Control Room'!$B$9*(BH669-IF('Control Room'!$B$5="Normal",'Control Room'!$B$7,('Control Room'!$B$8+'Control Room'!$D$8)/2))+SQRT(1-'Control Room'!$B$9^2)*(BG670-IF('Control Room'!$B$5="Normal",'Control Room'!$B$7,('Control Room'!$B$8+'Control Room'!$D$8)/2))</x:f>
        <x:v>1008.6473629692633</x:v>
      </x:c>
      <x:c r="BI670" s="17" t="n">
        <x:f>IF(AND($A670&gt;='Control Room'!$A$13,$A670&lt;'Control Room'!$A$13+'Control Room'!$B$13,'Process'!BV2=1),1+('Control Room'!$C$13-1)*EXP(-0.5*(($A670-'Control Room'!$A$13-('Control Room'!$B$13-1)/2)/MAX(0.5,'Control Room'!$B$13/4))^2),1)*IF(AND($A670&gt;='Control Room'!$A$14,$A670&lt;'Control Room'!$A$14+'Control Room'!$B$14,'Process'!BV3=1),1+('Control Room'!$C$14-1)*EXP(-0.5*(($A670-'Control Room'!$A$14-('Control Room'!$B$14-1)/2)/MAX(0.5,'Control Room'!$B$14/4))^2),1)*IF(AND($A670&gt;='Control Room'!$A$15,$A670&lt;'Control Room'!$A$15+'Control Room'!$B$15,'Process'!BV4=1),1+('Control Room'!$C$15-1)*EXP(-0.5*(($A670-'Control Room'!$A$15-('Control Room'!$B$15-1)/2)/MAX(0.5,'Control Room'!$B$15/4))^2),1)*IF(AND($A670&gt;='Control Room'!$A$16,$A670&lt;'Control Room'!$A$16+'Control Room'!$B$16,'Process'!BV5=1),1+('Control Room'!$C$16-1)*EXP(-0.5*(($A670-'Control Room'!$A$16-('Control Room'!$B$16-1)/2)/MAX(0.5,'Control Room'!$B$16/4))^2),1)</x:f>
        <x:v>1</x:v>
      </x:c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Z670" t="str">
        <x:f>IF('Data'!A670="","",TEXT('Data'!A670,"mm-dd"))</x:f>
      </x:c>
    </x:row>
    <x:row r="671" ht="21" customHeight="1">
      <x:c r="A671" s="15" t="n">
        <x:f>'Control Room'!$B$1+669</x:f>
        <x:v>73660</x:v>
      </x:c>
      <x:c r="B671" s="9" t="n">
        <x:f>MOD(C670*16807,2147483647)</x:f>
        <x:v>1594537653</x:v>
      </x:c>
      <x:c r="C671" s="9" t="n">
        <x:f>MOD(B671*16807,2147483647)</x:f>
        <x:v>945903058</x:v>
      </x:c>
      <x:c r="D671" s="17" t="n">
        <x:f>IF('Control Room'!$B$5="Normal",'Control Room'!$B$7+'Control Room'!$D$7*SQRT(-2*LN(MAX(0.000000000001,B671/2147483647)))*COS(2*PI()*C671/2147483647),'Control Room'!$B$8+('Control Room'!$D$8-'Control Room'!$B$8)*B671/2147483647)</x:f>
        <x:v>935.3541006546984</x:v>
      </x:c>
      <x:c r="E671" s="17" t="n">
        <x:f>IF('Control Room'!$B$5="Normal",'Control Room'!$B$7,('Control Room'!$B$8+'Control Room'!$D$8)/2)+'Control Room'!$B$9*(E670-IF('Control Room'!$B$5="Normal",'Control Room'!$B$7,('Control Room'!$B$8+'Control Room'!$D$8)/2))+SQRT(1-'Control Room'!$B$9^2)*(D671-IF('Control Room'!$B$5="Normal",'Control Room'!$B$7,('Control Room'!$B$8+'Control Room'!$D$8)/2))</x:f>
        <x:v>986.4184964059009</x:v>
      </x:c>
      <x:c r="F671" s="17" t="n">
        <x:f>IF(AND($A671&gt;='Control Room'!$A$13,$A671&lt;'Control Room'!$A$13+'Control Room'!$B$13,'Process'!BK2=1),1+('Control Room'!$C$13-1)*EXP(-0.5*(($A671-'Control Room'!$A$13-('Control Room'!$B$13-1)/2)/MAX(0.5,'Control Room'!$B$13/4))^2),1)*IF(AND($A671&gt;='Control Room'!$A$14,$A671&lt;'Control Room'!$A$14+'Control Room'!$B$14,'Process'!BK3=1),1+('Control Room'!$C$14-1)*EXP(-0.5*(($A671-'Control Room'!$A$14-('Control Room'!$B$14-1)/2)/MAX(0.5,'Control Room'!$B$14/4))^2),1)*IF(AND($A671&gt;='Control Room'!$A$15,$A671&lt;'Control Room'!$A$15+'Control Room'!$B$15,'Process'!BK4=1),1+('Control Room'!$C$15-1)*EXP(-0.5*(($A671-'Control Room'!$A$15-('Control Room'!$B$15-1)/2)/MAX(0.5,'Control Room'!$B$15/4))^2),1)*IF(AND($A671&gt;='Control Room'!$A$16,$A671&lt;'Control Room'!$A$16+'Control Room'!$B$16,'Process'!BK5=1),1+('Control Room'!$C$16-1)*EXP(-0.5*(($A671-'Control Room'!$A$16-('Control Room'!$B$16-1)/2)/MAX(0.5,'Control Room'!$B$16/4))^2),1)</x:f>
        <x:v>1</x:v>
      </x:c>
      <x:c r="G671" s="9" t="n">
        <x:f>MOD(H670*16807,2147483647)</x:f>
        <x:v>812206733</x:v>
      </x:c>
      <x:c r="H671" s="9" t="n">
        <x:f>MOD(G671*16807,2147483647)</x:f>
        <x:v>1352501199</x:v>
      </x:c>
      <x:c r="I671" s="17" t="n">
        <x:f>IF('Control Room'!$B$5="Normal",'Control Room'!$B$7+'Control Room'!$D$7*SQRT(-2*LN(MAX(0.000000000001,G671/2147483647)))*COS(2*PI()*H671/2147483647),'Control Room'!$B$8+('Control Room'!$D$8-'Control Room'!$B$8)*G671/2147483647)</x:f>
        <x:v>913.9760879373553</x:v>
      </x:c>
      <x:c r="J671" s="17" t="n">
        <x:f>IF('Control Room'!$B$5="Normal",'Control Room'!$B$7,('Control Room'!$B$8+'Control Room'!$D$8)/2)+'Control Room'!$B$9*(J670-IF('Control Room'!$B$5="Normal",'Control Room'!$B$7,('Control Room'!$B$8+'Control Room'!$D$8)/2))+SQRT(1-'Control Room'!$B$9^2)*(I671-IF('Control Room'!$B$5="Normal",'Control Room'!$B$7,('Control Room'!$B$8+'Control Room'!$D$8)/2))</x:f>
        <x:v>932.3292254344419</x:v>
      </x:c>
      <x:c r="K671" s="17" t="n">
        <x:f>IF(AND($A671&gt;='Control Room'!$A$13,$A671&lt;'Control Room'!$A$13+'Control Room'!$B$13,'Process'!BL2=1),1+('Control Room'!$C$13-1)*EXP(-0.5*(($A671-'Control Room'!$A$13-('Control Room'!$B$13-1)/2)/MAX(0.5,'Control Room'!$B$13/4))^2),1)*IF(AND($A671&gt;='Control Room'!$A$14,$A671&lt;'Control Room'!$A$14+'Control Room'!$B$14,'Process'!BL3=1),1+('Control Room'!$C$14-1)*EXP(-0.5*(($A671-'Control Room'!$A$14-('Control Room'!$B$14-1)/2)/MAX(0.5,'Control Room'!$B$14/4))^2),1)*IF(AND($A671&gt;='Control Room'!$A$15,$A671&lt;'Control Room'!$A$15+'Control Room'!$B$15,'Process'!BL4=1),1+('Control Room'!$C$15-1)*EXP(-0.5*(($A671-'Control Room'!$A$15-('Control Room'!$B$15-1)/2)/MAX(0.5,'Control Room'!$B$15/4))^2),1)*IF(AND($A671&gt;='Control Room'!$A$16,$A671&lt;'Control Room'!$A$16+'Control Room'!$B$16,'Process'!BL5=1),1+('Control Room'!$C$16-1)*EXP(-0.5*(($A671-'Control Room'!$A$16-('Control Room'!$B$16-1)/2)/MAX(0.5,'Control Room'!$B$16/4))^2),1)</x:f>
        <x:v>1</x:v>
      </x:c>
      <x:c r="L671" s="9" t="n">
        <x:f>MOD(M670*16807,2147483647)</x:f>
        <x:v>29875813</x:v>
      </x:c>
      <x:c r="M671" s="9" t="n">
        <x:f>MOD(L671*16807,2147483647)</x:f>
        <x:v>1759099340</x:v>
      </x:c>
      <x:c r="N671" s="17" t="n">
        <x:f>IF('Control Room'!$B$5="Normal",'Control Room'!$B$7+'Control Room'!$D$7*SQRT(-2*LN(MAX(0.000000000001,L671/2147483647)))*COS(2*PI()*M671/2147483647),'Control Room'!$B$8+('Control Room'!$D$8-'Control Room'!$B$8)*L671/2147483647)</x:f>
        <x:v>1110.7679712146794</x:v>
      </x:c>
      <x:c r="O671" s="17" t="n">
        <x:f>IF('Control Room'!$B$5="Normal",'Control Room'!$B$7,('Control Room'!$B$8+'Control Room'!$D$8)/2)+'Control Room'!$B$9*(O670-IF('Control Room'!$B$5="Normal",'Control Room'!$B$7,('Control Room'!$B$8+'Control Room'!$D$8)/2))+SQRT(1-'Control Room'!$B$9^2)*(N671-IF('Control Room'!$B$5="Normal",'Control Room'!$B$7,('Control Room'!$B$8+'Control Room'!$D$8)/2))</x:f>
        <x:v>977.5438679103141</x:v>
      </x:c>
      <x:c r="P671" s="17" t="n">
        <x:f>IF(AND($A671&gt;='Control Room'!$A$13,$A671&lt;'Control Room'!$A$13+'Control Room'!$B$13,'Process'!BM2=1),1+('Control Room'!$C$13-1)*EXP(-0.5*(($A671-'Control Room'!$A$13-('Control Room'!$B$13-1)/2)/MAX(0.5,'Control Room'!$B$13/4))^2),1)*IF(AND($A671&gt;='Control Room'!$A$14,$A671&lt;'Control Room'!$A$14+'Control Room'!$B$14,'Process'!BM3=1),1+('Control Room'!$C$14-1)*EXP(-0.5*(($A671-'Control Room'!$A$14-('Control Room'!$B$14-1)/2)/MAX(0.5,'Control Room'!$B$14/4))^2),1)*IF(AND($A671&gt;='Control Room'!$A$15,$A671&lt;'Control Room'!$A$15+'Control Room'!$B$15,'Process'!BM4=1),1+('Control Room'!$C$15-1)*EXP(-0.5*(($A671-'Control Room'!$A$15-('Control Room'!$B$15-1)/2)/MAX(0.5,'Control Room'!$B$15/4))^2),1)*IF(AND($A671&gt;='Control Room'!$A$16,$A671&lt;'Control Room'!$A$16+'Control Room'!$B$16,'Process'!BM5=1),1+('Control Room'!$C$16-1)*EXP(-0.5*(($A671-'Control Room'!$A$16-('Control Room'!$B$16-1)/2)/MAX(0.5,'Control Room'!$B$16/4))^2),1)</x:f>
        <x:v>1</x:v>
      </x:c>
      <x:c r="Q671" s="9" t="n">
        <x:f>MOD(R670*16807,2147483647)</x:f>
        <x:v>1395028540</x:v>
      </x:c>
      <x:c r="R671" s="9" t="n">
        <x:f>MOD(Q671*16807,2147483647)</x:f>
        <x:v>18213834</x:v>
      </x:c>
      <x:c r="S671" s="17" t="n">
        <x:f>IF('Control Room'!$B$5="Normal",'Control Room'!$B$7+'Control Room'!$D$7*SQRT(-2*LN(MAX(0.000000000001,Q671/2147483647)))*COS(2*PI()*R671/2147483647),'Control Room'!$B$8+('Control Room'!$D$8-'Control Room'!$B$8)*Q671/2147483647)</x:f>
        <x:v>1083.4778954533417</x:v>
      </x:c>
      <x:c r="T671" s="17" t="n">
        <x:f>IF('Control Room'!$B$5="Normal",'Control Room'!$B$7,('Control Room'!$B$8+'Control Room'!$D$8)/2)+'Control Room'!$B$9*(T670-IF('Control Room'!$B$5="Normal",'Control Room'!$B$7,('Control Room'!$B$8+'Control Room'!$D$8)/2))+SQRT(1-'Control Room'!$B$9^2)*(S671-IF('Control Room'!$B$5="Normal",'Control Room'!$B$7,('Control Room'!$B$8+'Control Room'!$D$8)/2))</x:f>
        <x:v>1055.4623885642031</x:v>
      </x:c>
      <x:c r="U671" s="17" t="n">
        <x:f>IF(AND($A671&gt;='Control Room'!$A$13,$A671&lt;'Control Room'!$A$13+'Control Room'!$B$13,'Process'!BN2=1),1+('Control Room'!$C$13-1)*EXP(-0.5*(($A671-'Control Room'!$A$13-('Control Room'!$B$13-1)/2)/MAX(0.5,'Control Room'!$B$13/4))^2),1)*IF(AND($A671&gt;='Control Room'!$A$14,$A671&lt;'Control Room'!$A$14+'Control Room'!$B$14,'Process'!BN3=1),1+('Control Room'!$C$14-1)*EXP(-0.5*(($A671-'Control Room'!$A$14-('Control Room'!$B$14-1)/2)/MAX(0.5,'Control Room'!$B$14/4))^2),1)*IF(AND($A671&gt;='Control Room'!$A$15,$A671&lt;'Control Room'!$A$15+'Control Room'!$B$15,'Process'!BN4=1),1+('Control Room'!$C$15-1)*EXP(-0.5*(($A671-'Control Room'!$A$15-('Control Room'!$B$15-1)/2)/MAX(0.5,'Control Room'!$B$15/4))^2),1)*IF(AND($A671&gt;='Control Room'!$A$16,$A671&lt;'Control Room'!$A$16+'Control Room'!$B$16,'Process'!BN5=1),1+('Control Room'!$C$16-1)*EXP(-0.5*(($A671-'Control Room'!$A$16-('Control Room'!$B$16-1)/2)/MAX(0.5,'Control Room'!$B$16/4))^2),1)</x:f>
        <x:v>1</x:v>
      </x:c>
      <x:c r="V671" s="9" t="n">
        <x:f>MOD(W670*16807,2147483647)</x:f>
        <x:v>612697620</x:v>
      </x:c>
      <x:c r="W671" s="9" t="n">
        <x:f>MOD(V671*16807,2147483647)</x:f>
        <x:v>424811975</x:v>
      </x:c>
      <x:c r="X671" s="17" t="n">
        <x:f>IF('Control Room'!$B$5="Normal",'Control Room'!$B$7+'Control Room'!$D$7*SQRT(-2*LN(MAX(0.000000000001,V671/2147483647)))*COS(2*PI()*W671/2147483647),'Control Room'!$B$8+('Control Room'!$D$8-'Control Room'!$B$8)*V671/2147483647)</x:f>
        <x:v>1045.9013148106328</x:v>
      </x:c>
      <x:c r="Y671" s="17" t="n">
        <x:f>IF('Control Room'!$B$5="Normal",'Control Room'!$B$7,('Control Room'!$B$8+'Control Room'!$D$8)/2)+'Control Room'!$B$9*(Y670-IF('Control Room'!$B$5="Normal",'Control Room'!$B$7,('Control Room'!$B$8+'Control Room'!$D$8)/2))+SQRT(1-'Control Room'!$B$9^2)*(X671-IF('Control Room'!$B$5="Normal",'Control Room'!$B$7,('Control Room'!$B$8+'Control Room'!$D$8)/2))</x:f>
        <x:v>1040.1112977882913</x:v>
      </x:c>
      <x:c r="Z671" s="17" t="n">
        <x:f>IF(AND($A671&gt;='Control Room'!$A$13,$A671&lt;'Control Room'!$A$13+'Control Room'!$B$13,'Process'!BO2=1),1+('Control Room'!$C$13-1)*EXP(-0.5*(($A671-'Control Room'!$A$13-('Control Room'!$B$13-1)/2)/MAX(0.5,'Control Room'!$B$13/4))^2),1)*IF(AND($A671&gt;='Control Room'!$A$14,$A671&lt;'Control Room'!$A$14+'Control Room'!$B$14,'Process'!BO3=1),1+('Control Room'!$C$14-1)*EXP(-0.5*(($A671-'Control Room'!$A$14-('Control Room'!$B$14-1)/2)/MAX(0.5,'Control Room'!$B$14/4))^2),1)*IF(AND($A671&gt;='Control Room'!$A$15,$A671&lt;'Control Room'!$A$15+'Control Room'!$B$15,'Process'!BO4=1),1+('Control Room'!$C$15-1)*EXP(-0.5*(($A671-'Control Room'!$A$15-('Control Room'!$B$15-1)/2)/MAX(0.5,'Control Room'!$B$15/4))^2),1)*IF(AND($A671&gt;='Control Room'!$A$16,$A671&lt;'Control Room'!$A$16+'Control Room'!$B$16,'Process'!BO5=1),1+('Control Room'!$C$16-1)*EXP(-0.5*(($A671-'Control Room'!$A$16-('Control Room'!$B$16-1)/2)/MAX(0.5,'Control Room'!$B$16/4))^2),1)</x:f>
        <x:v>1</x:v>
      </x:c>
      <x:c r="AA671" s="9" t="n">
        <x:f>MOD(AB670*16807,2147483647)</x:f>
        <x:v>1977850347</x:v>
      </x:c>
      <x:c r="AB671" s="9" t="n">
        <x:f>MOD(AA671*16807,2147483647)</x:f>
        <x:v>831410116</x:v>
      </x:c>
      <x:c r="AC671" s="17" t="n">
        <x:f>IF('Control Room'!$B$5="Normal",'Control Room'!$B$7+'Control Room'!$D$7*SQRT(-2*LN(MAX(0.000000000001,AA671/2147483647)))*COS(2*PI()*AB671/2147483647),'Control Room'!$B$8+('Control Room'!$D$8-'Control Room'!$B$8)*AA671/2147483647)</x:f>
        <x:v>972.2883833552396</x:v>
      </x:c>
      <x:c r="AD671" s="17" t="n">
        <x:f>IF('Control Room'!$B$5="Normal",'Control Room'!$B$7,('Control Room'!$B$8+'Control Room'!$D$8)/2)+'Control Room'!$B$9*(AD670-IF('Control Room'!$B$5="Normal",'Control Room'!$B$7,('Control Room'!$B$8+'Control Room'!$D$8)/2))+SQRT(1-'Control Room'!$B$9^2)*(AC671-IF('Control Room'!$B$5="Normal",'Control Room'!$B$7,('Control Room'!$B$8+'Control Room'!$D$8)/2))</x:f>
        <x:v>896.0724836549082</x:v>
      </x:c>
      <x:c r="AE671" s="17" t="n">
        <x:f>IF(AND($A671&gt;='Control Room'!$A$13,$A671&lt;'Control Room'!$A$13+'Control Room'!$B$13,'Process'!BP2=1),1+('Control Room'!$C$13-1)*EXP(-0.5*(($A671-'Control Room'!$A$13-('Control Room'!$B$13-1)/2)/MAX(0.5,'Control Room'!$B$13/4))^2),1)*IF(AND($A671&gt;='Control Room'!$A$14,$A671&lt;'Control Room'!$A$14+'Control Room'!$B$14,'Process'!BP3=1),1+('Control Room'!$C$14-1)*EXP(-0.5*(($A671-'Control Room'!$A$14-('Control Room'!$B$14-1)/2)/MAX(0.5,'Control Room'!$B$14/4))^2),1)*IF(AND($A671&gt;='Control Room'!$A$15,$A671&lt;'Control Room'!$A$15+'Control Room'!$B$15,'Process'!BP4=1),1+('Control Room'!$C$15-1)*EXP(-0.5*(($A671-'Control Room'!$A$15-('Control Room'!$B$15-1)/2)/MAX(0.5,'Control Room'!$B$15/4))^2),1)*IF(AND($A671&gt;='Control Room'!$A$16,$A671&lt;'Control Room'!$A$16+'Control Room'!$B$16,'Process'!BP5=1),1+('Control Room'!$C$16-1)*EXP(-0.5*(($A671-'Control Room'!$A$16-('Control Room'!$B$16-1)/2)/MAX(0.5,'Control Room'!$B$16/4))^2),1)</x:f>
        <x:v>1</x:v>
      </x:c>
      <x:c r="AF671" s="9" t="n">
        <x:f>MOD(AG670*16807,2147483647)</x:f>
        <x:v>1195519427</x:v>
      </x:c>
      <x:c r="AG671" s="9" t="n">
        <x:f>MOD(AF671*16807,2147483647)</x:f>
        <x:v>1238008257</x:v>
      </x:c>
      <x:c r="AH671" s="17" t="n">
        <x:f>IF('Control Room'!$B$5="Normal",'Control Room'!$B$7+'Control Room'!$D$7*SQRT(-2*LN(MAX(0.000000000001,AF671/2147483647)))*COS(2*PI()*AG671/2147483647),'Control Room'!$B$8+('Control Room'!$D$8-'Control Room'!$B$8)*AF671/2147483647)</x:f>
        <x:v>913.6260755383495</x:v>
      </x:c>
      <x:c r="AI671" s="17" t="n">
        <x:f>IF('Control Room'!$B$5="Normal",'Control Room'!$B$7,('Control Room'!$B$8+'Control Room'!$D$8)/2)+'Control Room'!$B$9*(AI670-IF('Control Room'!$B$5="Normal",'Control Room'!$B$7,('Control Room'!$B$8+'Control Room'!$D$8)/2))+SQRT(1-'Control Room'!$B$9^2)*(AH671-IF('Control Room'!$B$5="Normal",'Control Room'!$B$7,('Control Room'!$B$8+'Control Room'!$D$8)/2))</x:f>
        <x:v>935.278986424634</x:v>
      </x:c>
      <x:c r="AJ671" s="17" t="n">
        <x:f>IF(AND($A671&gt;='Control Room'!$A$13,$A671&lt;'Control Room'!$A$13+'Control Room'!$B$13,'Process'!BQ2=1),1+('Control Room'!$C$13-1)*EXP(-0.5*(($A671-'Control Room'!$A$13-('Control Room'!$B$13-1)/2)/MAX(0.5,'Control Room'!$B$13/4))^2),1)*IF(AND($A671&gt;='Control Room'!$A$14,$A671&lt;'Control Room'!$A$14+'Control Room'!$B$14,'Process'!BQ3=1),1+('Control Room'!$C$14-1)*EXP(-0.5*(($A671-'Control Room'!$A$14-('Control Room'!$B$14-1)/2)/MAX(0.5,'Control Room'!$B$14/4))^2),1)*IF(AND($A671&gt;='Control Room'!$A$15,$A671&lt;'Control Room'!$A$15+'Control Room'!$B$15,'Process'!BQ4=1),1+('Control Room'!$C$15-1)*EXP(-0.5*(($A671-'Control Room'!$A$15-('Control Room'!$B$15-1)/2)/MAX(0.5,'Control Room'!$B$15/4))^2),1)*IF(AND($A671&gt;='Control Room'!$A$16,$A671&lt;'Control Room'!$A$16+'Control Room'!$B$16,'Process'!BQ5=1),1+('Control Room'!$C$16-1)*EXP(-0.5*(($A671-'Control Room'!$A$16-('Control Room'!$B$16-1)/2)/MAX(0.5,'Control Room'!$B$16/4))^2),1)</x:f>
        <x:v>1</x:v>
      </x:c>
      <x:c r="AK671" s="9" t="n">
        <x:f>MOD(AL670*16807,2147483647)</x:f>
        <x:v>413188507</x:v>
      </x:c>
      <x:c r="AL671" s="9" t="n">
        <x:f>MOD(AK671*16807,2147483647)</x:f>
        <x:v>1644606398</x:v>
      </x:c>
      <x:c r="AM671" s="17" t="n">
        <x:f>IF('Control Room'!$B$5="Normal",'Control Room'!$B$7+'Control Room'!$D$7*SQRT(-2*LN(MAX(0.000000000001,AK671/2147483647)))*COS(2*PI()*AL671/2147483647),'Control Room'!$B$8+('Control Room'!$D$8-'Control Room'!$B$8)*AK671/2147483647)</x:f>
        <x:v>1016.2250979918921</x:v>
      </x:c>
      <x:c r="AN671" s="17" t="n">
        <x:f>IF('Control Room'!$B$5="Normal",'Control Room'!$B$7,('Control Room'!$B$8+'Control Room'!$D$8)/2)+'Control Room'!$B$9*(AN670-IF('Control Room'!$B$5="Normal",'Control Room'!$B$7,('Control Room'!$B$8+'Control Room'!$D$8)/2))+SQRT(1-'Control Room'!$B$9^2)*(AM671-IF('Control Room'!$B$5="Normal",'Control Room'!$B$7,('Control Room'!$B$8+'Control Room'!$D$8)/2))</x:f>
        <x:v>1022.0199469916212</x:v>
      </x:c>
      <x:c r="AO671" s="17" t="n">
        <x:f>IF(AND($A671&gt;='Control Room'!$A$13,$A671&lt;'Control Room'!$A$13+'Control Room'!$B$13,'Process'!BR2=1),1+('Control Room'!$C$13-1)*EXP(-0.5*(($A671-'Control Room'!$A$13-('Control Room'!$B$13-1)/2)/MAX(0.5,'Control Room'!$B$13/4))^2),1)*IF(AND($A671&gt;='Control Room'!$A$14,$A671&lt;'Control Room'!$A$14+'Control Room'!$B$14,'Process'!BR3=1),1+('Control Room'!$C$14-1)*EXP(-0.5*(($A671-'Control Room'!$A$14-('Control Room'!$B$14-1)/2)/MAX(0.5,'Control Room'!$B$14/4))^2),1)*IF(AND($A671&gt;='Control Room'!$A$15,$A671&lt;'Control Room'!$A$15+'Control Room'!$B$15,'Process'!BR4=1),1+('Control Room'!$C$15-1)*EXP(-0.5*(($A671-'Control Room'!$A$15-('Control Room'!$B$15-1)/2)/MAX(0.5,'Control Room'!$B$15/4))^2),1)*IF(AND($A671&gt;='Control Room'!$A$16,$A671&lt;'Control Room'!$A$16+'Control Room'!$B$16,'Process'!BR5=1),1+('Control Room'!$C$16-1)*EXP(-0.5*(($A671-'Control Room'!$A$16-('Control Room'!$B$16-1)/2)/MAX(0.5,'Control Room'!$B$16/4))^2),1)</x:f>
        <x:v>1</x:v>
      </x:c>
      <x:c r="AP671" s="9" t="n">
        <x:f>MOD(AQ670*16807,2147483647)</x:f>
        <x:v>1778341234</x:v>
      </x:c>
      <x:c r="AQ671" s="9" t="n">
        <x:f>MOD(AP671*16807,2147483647)</x:f>
        <x:v>2051204539</x:v>
      </x:c>
      <x:c r="AR671" s="17" t="n">
        <x:f>IF('Control Room'!$B$5="Normal",'Control Room'!$B$7+'Control Room'!$D$7*SQRT(-2*LN(MAX(0.000000000001,AP671/2147483647)))*COS(2*PI()*AQ671/2147483647),'Control Room'!$B$8+('Control Room'!$D$8-'Control Room'!$B$8)*AP671/2147483647)</x:f>
        <x:v>1053.0985059067693</x:v>
      </x:c>
      <x:c r="AS671" s="17" t="n">
        <x:f>IF('Control Room'!$B$5="Normal",'Control Room'!$B$7,('Control Room'!$B$8+'Control Room'!$D$8)/2)+'Control Room'!$B$9*(AS670-IF('Control Room'!$B$5="Normal",'Control Room'!$B$7,('Control Room'!$B$8+'Control Room'!$D$8)/2))+SQRT(1-'Control Room'!$B$9^2)*(AR671-IF('Control Room'!$B$5="Normal",'Control Room'!$B$7,('Control Room'!$B$8+'Control Room'!$D$8)/2))</x:f>
        <x:v>1039.5091060845782</x:v>
      </x:c>
      <x:c r="AT671" s="17" t="n">
        <x:f>IF(AND($A671&gt;='Control Room'!$A$13,$A671&lt;'Control Room'!$A$13+'Control Room'!$B$13,'Process'!BS2=1),1+('Control Room'!$C$13-1)*EXP(-0.5*(($A671-'Control Room'!$A$13-('Control Room'!$B$13-1)/2)/MAX(0.5,'Control Room'!$B$13/4))^2),1)*IF(AND($A671&gt;='Control Room'!$A$14,$A671&lt;'Control Room'!$A$14+'Control Room'!$B$14,'Process'!BS3=1),1+('Control Room'!$C$14-1)*EXP(-0.5*(($A671-'Control Room'!$A$14-('Control Room'!$B$14-1)/2)/MAX(0.5,'Control Room'!$B$14/4))^2),1)*IF(AND($A671&gt;='Control Room'!$A$15,$A671&lt;'Control Room'!$A$15+'Control Room'!$B$15,'Process'!BS4=1),1+('Control Room'!$C$15-1)*EXP(-0.5*(($A671-'Control Room'!$A$15-('Control Room'!$B$15-1)/2)/MAX(0.5,'Control Room'!$B$15/4))^2),1)*IF(AND($A671&gt;='Control Room'!$A$16,$A671&lt;'Control Room'!$A$16+'Control Room'!$B$16,'Process'!BS5=1),1+('Control Room'!$C$16-1)*EXP(-0.5*(($A671-'Control Room'!$A$16-('Control Room'!$B$16-1)/2)/MAX(0.5,'Control Room'!$B$16/4))^2),1)</x:f>
        <x:v>1</x:v>
      </x:c>
      <x:c r="AU671" s="9" t="n">
        <x:f>MOD(AV670*16807,2147483647)</x:f>
        <x:v>996010314</x:v>
      </x:c>
      <x:c r="AV671" s="9" t="n">
        <x:f>MOD(AU671*16807,2147483647)</x:f>
        <x:v>310319033</x:v>
      </x:c>
      <x:c r="AW671" s="17" t="n">
        <x:f>IF('Control Room'!$B$5="Normal",'Control Room'!$B$7+'Control Room'!$D$7*SQRT(-2*LN(MAX(0.000000000001,AU671/2147483647)))*COS(2*PI()*AV671/2147483647),'Control Room'!$B$8+('Control Room'!$D$8-'Control Room'!$B$8)*AU671/2147483647)</x:f>
        <x:v>1068.6525664097114</x:v>
      </x:c>
      <x:c r="AX671" s="17" t="n">
        <x:f>IF('Control Room'!$B$5="Normal",'Control Room'!$B$7,('Control Room'!$B$8+'Control Room'!$D$8)/2)+'Control Room'!$B$9*(AX670-IF('Control Room'!$B$5="Normal",'Control Room'!$B$7,('Control Room'!$B$8+'Control Room'!$D$8)/2))+SQRT(1-'Control Room'!$B$9^2)*(AW671-IF('Control Room'!$B$5="Normal",'Control Room'!$B$7,('Control Room'!$B$8+'Control Room'!$D$8)/2))</x:f>
        <x:v>974.8958432279117</x:v>
      </x:c>
      <x:c r="AY671" s="17" t="n">
        <x:f>IF(AND($A671&gt;='Control Room'!$A$13,$A671&lt;'Control Room'!$A$13+'Control Room'!$B$13,'Process'!BT2=1),1+('Control Room'!$C$13-1)*EXP(-0.5*(($A671-'Control Room'!$A$13-('Control Room'!$B$13-1)/2)/MAX(0.5,'Control Room'!$B$13/4))^2),1)*IF(AND($A671&gt;='Control Room'!$A$14,$A671&lt;'Control Room'!$A$14+'Control Room'!$B$14,'Process'!BT3=1),1+('Control Room'!$C$14-1)*EXP(-0.5*(($A671-'Control Room'!$A$14-('Control Room'!$B$14-1)/2)/MAX(0.5,'Control Room'!$B$14/4))^2),1)*IF(AND($A671&gt;='Control Room'!$A$15,$A671&lt;'Control Room'!$A$15+'Control Room'!$B$15,'Process'!BT4=1),1+('Control Room'!$C$15-1)*EXP(-0.5*(($A671-'Control Room'!$A$15-('Control Room'!$B$15-1)/2)/MAX(0.5,'Control Room'!$B$15/4))^2),1)*IF(AND($A671&gt;='Control Room'!$A$16,$A671&lt;'Control Room'!$A$16+'Control Room'!$B$16,'Process'!BT5=1),1+('Control Room'!$C$16-1)*EXP(-0.5*(($A671-'Control Room'!$A$16-('Control Room'!$B$16-1)/2)/MAX(0.5,'Control Room'!$B$16/4))^2),1)</x:f>
        <x:v>1</x:v>
      </x:c>
      <x:c r="AZ671" s="9" t="n">
        <x:f>MOD(BA670*16807,2147483647)</x:f>
        <x:v>213679394</x:v>
      </x:c>
      <x:c r="BA671" s="9" t="n">
        <x:f>MOD(AZ671*16807,2147483647)</x:f>
        <x:v>716917174</x:v>
      </x:c>
      <x:c r="BB671" s="17" t="n">
        <x:f>IF('Control Room'!$B$5="Normal",'Control Room'!$B$7+'Control Room'!$D$7*SQRT(-2*LN(MAX(0.000000000001,AZ671/2147483647)))*COS(2*PI()*BA671/2147483647),'Control Room'!$B$8+('Control Room'!$D$8-'Control Room'!$B$8)*AZ671/2147483647)</x:f>
        <x:v>902.7937800663855</x:v>
      </x:c>
      <x:c r="BC671" s="17" t="n">
        <x:f>IF('Control Room'!$B$5="Normal",'Control Room'!$B$7,('Control Room'!$B$8+'Control Room'!$D$8)/2)+'Control Room'!$B$9*(BC670-IF('Control Room'!$B$5="Normal",'Control Room'!$B$7,('Control Room'!$B$8+'Control Room'!$D$8)/2))+SQRT(1-'Control Room'!$B$9^2)*(BB671-IF('Control Room'!$B$5="Normal",'Control Room'!$B$7,('Control Room'!$B$8+'Control Room'!$D$8)/2))</x:f>
        <x:v>993.1561817929122</x:v>
      </x:c>
      <x:c r="BD671" s="17" t="n">
        <x:f>IF(AND($A671&gt;='Control Room'!$A$13,$A671&lt;'Control Room'!$A$13+'Control Room'!$B$13,'Process'!BU2=1),1+('Control Room'!$C$13-1)*EXP(-0.5*(($A671-'Control Room'!$A$13-('Control Room'!$B$13-1)/2)/MAX(0.5,'Control Room'!$B$13/4))^2),1)*IF(AND($A671&gt;='Control Room'!$A$14,$A671&lt;'Control Room'!$A$14+'Control Room'!$B$14,'Process'!BU3=1),1+('Control Room'!$C$14-1)*EXP(-0.5*(($A671-'Control Room'!$A$14-('Control Room'!$B$14-1)/2)/MAX(0.5,'Control Room'!$B$14/4))^2),1)*IF(AND($A671&gt;='Control Room'!$A$15,$A671&lt;'Control Room'!$A$15+'Control Room'!$B$15,'Process'!BU4=1),1+('Control Room'!$C$15-1)*EXP(-0.5*(($A671-'Control Room'!$A$15-('Control Room'!$B$15-1)/2)/MAX(0.5,'Control Room'!$B$15/4))^2),1)*IF(AND($A671&gt;='Control Room'!$A$16,$A671&lt;'Control Room'!$A$16+'Control Room'!$B$16,'Process'!BU5=1),1+('Control Room'!$C$16-1)*EXP(-0.5*(($A671-'Control Room'!$A$16-('Control Room'!$B$16-1)/2)/MAX(0.5,'Control Room'!$B$16/4))^2),1)</x:f>
        <x:v>1</x:v>
      </x:c>
      <x:c r="BE671" s="9" t="n">
        <x:f>MOD(BF670*16807,2147483647)</x:f>
        <x:v>1578832121</x:v>
      </x:c>
      <x:c r="BF671" s="9" t="n">
        <x:f>MOD(BE671*16807,2147483647)</x:f>
        <x:v>1123515315</x:v>
      </x:c>
      <x:c r="BG671" s="17" t="n">
        <x:f>IF('Control Room'!$B$5="Normal",'Control Room'!$B$7+'Control Room'!$D$7*SQRT(-2*LN(MAX(0.000000000001,BE671/2147483647)))*COS(2*PI()*BF671/2147483647),'Control Room'!$B$8+('Control Room'!$D$8-'Control Room'!$B$8)*BE671/2147483647)</x:f>
        <x:v>930.1547151056913</x:v>
      </x:c>
      <x:c r="BH671" s="17" t="n">
        <x:f>IF('Control Room'!$B$5="Normal",'Control Room'!$B$7,('Control Room'!$B$8+'Control Room'!$D$8)/2)+'Control Room'!$B$9*(BH670-IF('Control Room'!$B$5="Normal",'Control Room'!$B$7,('Control Room'!$B$8+'Control Room'!$D$8)/2))+SQRT(1-'Control Room'!$B$9^2)*(BG671-IF('Control Room'!$B$5="Normal",'Control Room'!$B$7,('Control Room'!$B$8+'Control Room'!$D$8)/2))</x:f>
        <x:v>963.0371946876021</x:v>
      </x:c>
      <x:c r="BI671" s="17" t="n">
        <x:f>IF(AND($A671&gt;='Control Room'!$A$13,$A671&lt;'Control Room'!$A$13+'Control Room'!$B$13,'Process'!BV2=1),1+('Control Room'!$C$13-1)*EXP(-0.5*(($A671-'Control Room'!$A$13-('Control Room'!$B$13-1)/2)/MAX(0.5,'Control Room'!$B$13/4))^2),1)*IF(AND($A671&gt;='Control Room'!$A$14,$A671&lt;'Control Room'!$A$14+'Control Room'!$B$14,'Process'!BV3=1),1+('Control Room'!$C$14-1)*EXP(-0.5*(($A671-'Control Room'!$A$14-('Control Room'!$B$14-1)/2)/MAX(0.5,'Control Room'!$B$14/4))^2),1)*IF(AND($A671&gt;='Control Room'!$A$15,$A671&lt;'Control Room'!$A$15+'Control Room'!$B$15,'Process'!BV4=1),1+('Control Room'!$C$15-1)*EXP(-0.5*(($A671-'Control Room'!$A$15-('Control Room'!$B$15-1)/2)/MAX(0.5,'Control Room'!$B$15/4))^2),1)*IF(AND($A671&gt;='Control Room'!$A$16,$A671&lt;'Control Room'!$A$16+'Control Room'!$B$16,'Process'!BV5=1),1+('Control Room'!$C$16-1)*EXP(-0.5*(($A671-'Control Room'!$A$16-('Control Room'!$B$16-1)/2)/MAX(0.5,'Control Room'!$B$16/4))^2),1)</x:f>
        <x:v>1</x:v>
      </x:c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Z671" t="str">
        <x:f>IF('Data'!A671="","",TEXT('Data'!A671,"mm-dd"))</x:f>
      </x:c>
    </x:row>
    <x:row r="672" ht="21" customHeight="1">
      <x:c r="A672" s="15" t="n">
        <x:f>'Control Room'!$B$1+670</x:f>
        <x:v>73661</x:v>
      </x:c>
      <x:c r="B672" s="9" t="n">
        <x:f>MOD(C671*16807,2147483647)</x:f>
        <x:v>2118740712</x:v>
      </x:c>
      <x:c r="C672" s="9" t="n">
        <x:f>MOD(B672*16807,2147483647)</x:f>
        <x:v>101312030</x:v>
      </x:c>
      <x:c r="D672" s="17" t="n">
        <x:f>IF('Control Room'!$B$5="Normal",'Control Room'!$B$7+'Control Room'!$D$7*SQRT(-2*LN(MAX(0.000000000001,B672/2147483647)))*COS(2*PI()*C672/2147483647),'Control Room'!$B$8+('Control Room'!$D$8-'Control Room'!$B$8)*B672/2147483647)</x:f>
        <x:v>1014.1303672705657</x:v>
      </x:c>
      <x:c r="E672" s="17" t="n">
        <x:f>IF('Control Room'!$B$5="Normal",'Control Room'!$B$7,('Control Room'!$B$8+'Control Room'!$D$8)/2)+'Control Room'!$B$9*(E671-IF('Control Room'!$B$5="Normal",'Control Room'!$B$7,('Control Room'!$B$8+'Control Room'!$D$8)/2))+SQRT(1-'Control Room'!$B$9^2)*(D672-IF('Control Room'!$B$5="Normal",'Control Room'!$B$7,('Control Room'!$B$8+'Control Room'!$D$8)/2))</x:f>
        <x:v>998.2489215582148</x:v>
      </x:c>
      <x:c r="F672" s="17" t="n">
        <x:f>IF(AND($A672&gt;='Control Room'!$A$13,$A672&lt;'Control Room'!$A$13+'Control Room'!$B$13,'Process'!BK2=1),1+('Control Room'!$C$13-1)*EXP(-0.5*(($A672-'Control Room'!$A$13-('Control Room'!$B$13-1)/2)/MAX(0.5,'Control Room'!$B$13/4))^2),1)*IF(AND($A672&gt;='Control Room'!$A$14,$A672&lt;'Control Room'!$A$14+'Control Room'!$B$14,'Process'!BK3=1),1+('Control Room'!$C$14-1)*EXP(-0.5*(($A672-'Control Room'!$A$14-('Control Room'!$B$14-1)/2)/MAX(0.5,'Control Room'!$B$14/4))^2),1)*IF(AND($A672&gt;='Control Room'!$A$15,$A672&lt;'Control Room'!$A$15+'Control Room'!$B$15,'Process'!BK4=1),1+('Control Room'!$C$15-1)*EXP(-0.5*(($A672-'Control Room'!$A$15-('Control Room'!$B$15-1)/2)/MAX(0.5,'Control Room'!$B$15/4))^2),1)*IF(AND($A672&gt;='Control Room'!$A$16,$A672&lt;'Control Room'!$A$16+'Control Room'!$B$16,'Process'!BK5=1),1+('Control Room'!$C$16-1)*EXP(-0.5*(($A672-'Control Room'!$A$16-('Control Room'!$B$16-1)/2)/MAX(0.5,'Control Room'!$B$16/4))^2),1)</x:f>
        <x:v>1</x:v>
      </x:c>
      <x:c r="G672" s="9" t="n">
        <x:f>MOD(H671*16807,2147483647)</x:f>
        <x:v>373248098</x:v>
      </x:c>
      <x:c r="H672" s="9" t="n">
        <x:f>MOD(G672*16807,2147483647)</x:f>
        <x:v>381050199</x:v>
      </x:c>
      <x:c r="I672" s="17" t="n">
        <x:f>IF('Control Room'!$B$5="Normal",'Control Room'!$B$7+'Control Room'!$D$7*SQRT(-2*LN(MAX(0.000000000001,G672/2147483647)))*COS(2*PI()*H672/2147483647),'Control Room'!$B$8+('Control Room'!$D$8-'Control Room'!$B$8)*G672/2147483647)</x:f>
        <x:v>1074.1272098191855</x:v>
      </x:c>
      <x:c r="J672" s="17" t="n">
        <x:f>IF('Control Room'!$B$5="Normal",'Control Room'!$B$7,('Control Room'!$B$8+'Control Room'!$D$8)/2)+'Control Room'!$B$9*(J671-IF('Control Room'!$B$5="Normal",'Control Room'!$B$7,('Control Room'!$B$8+'Control Room'!$D$8)/2))+SQRT(1-'Control Room'!$B$9^2)*(I672-IF('Control Room'!$B$5="Normal",'Control Room'!$B$7,('Control Room'!$B$8+'Control Room'!$D$8)/2))</x:f>
        <x:v>993.6040851652758</x:v>
      </x:c>
      <x:c r="K672" s="17" t="n">
        <x:f>IF(AND($A672&gt;='Control Room'!$A$13,$A672&lt;'Control Room'!$A$13+'Control Room'!$B$13,'Process'!BL2=1),1+('Control Room'!$C$13-1)*EXP(-0.5*(($A672-'Control Room'!$A$13-('Control Room'!$B$13-1)/2)/MAX(0.5,'Control Room'!$B$13/4))^2),1)*IF(AND($A672&gt;='Control Room'!$A$14,$A672&lt;'Control Room'!$A$14+'Control Room'!$B$14,'Process'!BL3=1),1+('Control Room'!$C$14-1)*EXP(-0.5*(($A672-'Control Room'!$A$14-('Control Room'!$B$14-1)/2)/MAX(0.5,'Control Room'!$B$14/4))^2),1)*IF(AND($A672&gt;='Control Room'!$A$15,$A672&lt;'Control Room'!$A$15+'Control Room'!$B$15,'Process'!BL4=1),1+('Control Room'!$C$15-1)*EXP(-0.5*(($A672-'Control Room'!$A$15-('Control Room'!$B$15-1)/2)/MAX(0.5,'Control Room'!$B$15/4))^2),1)*IF(AND($A672&gt;='Control Room'!$A$16,$A672&lt;'Control Room'!$A$16+'Control Room'!$B$16,'Process'!BL5=1),1+('Control Room'!$C$16-1)*EXP(-0.5*(($A672-'Control Room'!$A$16-('Control Room'!$B$16-1)/2)/MAX(0.5,'Control Room'!$B$16/4))^2),1)</x:f>
        <x:v>1</x:v>
      </x:c>
      <x:c r="L672" s="9" t="n">
        <x:f>MOD(M671*16807,2147483647)</x:f>
        <x:v>775239131</x:v>
      </x:c>
      <x:c r="M672" s="9" t="n">
        <x:f>MOD(L672*16807,2147483647)</x:f>
        <x:v>660788368</x:v>
      </x:c>
      <x:c r="N672" s="17" t="n">
        <x:f>IF('Control Room'!$B$5="Normal",'Control Room'!$B$7+'Control Room'!$D$7*SQRT(-2*LN(MAX(0.000000000001,L672/2147483647)))*COS(2*PI()*M672/2147483647),'Control Room'!$B$8+('Control Room'!$D$8-'Control Room'!$B$8)*L672/2147483647)</x:f>
        <x:v>954.4335894783585</x:v>
      </x:c>
      <x:c r="O672" s="17" t="n">
        <x:f>IF('Control Room'!$B$5="Normal",'Control Room'!$B$7,('Control Room'!$B$8+'Control Room'!$D$8)/2)+'Control Room'!$B$9*(O671-IF('Control Room'!$B$5="Normal",'Control Room'!$B$7,('Control Room'!$B$8+'Control Room'!$D$8)/2))+SQRT(1-'Control Room'!$B$9^2)*(N672-IF('Control Room'!$B$5="Normal",'Control Room'!$B$7,('Control Room'!$B$8+'Control Room'!$D$8)/2))</x:f>
        <x:v>953.9696907442604</x:v>
      </x:c>
      <x:c r="P672" s="17" t="n">
        <x:f>IF(AND($A672&gt;='Control Room'!$A$13,$A672&lt;'Control Room'!$A$13+'Control Room'!$B$13,'Process'!BM2=1),1+('Control Room'!$C$13-1)*EXP(-0.5*(($A672-'Control Room'!$A$13-('Control Room'!$B$13-1)/2)/MAX(0.5,'Control Room'!$B$13/4))^2),1)*IF(AND($A672&gt;='Control Room'!$A$14,$A672&lt;'Control Room'!$A$14+'Control Room'!$B$14,'Process'!BM3=1),1+('Control Room'!$C$14-1)*EXP(-0.5*(($A672-'Control Room'!$A$14-('Control Room'!$B$14-1)/2)/MAX(0.5,'Control Room'!$B$14/4))^2),1)*IF(AND($A672&gt;='Control Room'!$A$15,$A672&lt;'Control Room'!$A$15+'Control Room'!$B$15,'Process'!BM4=1),1+('Control Room'!$C$15-1)*EXP(-0.5*(($A672-'Control Room'!$A$15-('Control Room'!$B$15-1)/2)/MAX(0.5,'Control Room'!$B$15/4))^2),1)*IF(AND($A672&gt;='Control Room'!$A$16,$A672&lt;'Control Room'!$A$16+'Control Room'!$B$16,'Process'!BM5=1),1+('Control Room'!$C$16-1)*EXP(-0.5*(($A672-'Control Room'!$A$16-('Control Room'!$B$16-1)/2)/MAX(0.5,'Control Room'!$B$16/4))^2),1)</x:f>
        <x:v>1</x:v>
      </x:c>
      <x:c r="Q672" s="9" t="n">
        <x:f>MOD(R671*16807,2147483647)</x:f>
        <x:v>1177230164</x:v>
      </x:c>
      <x:c r="R672" s="9" t="n">
        <x:f>MOD(Q672*16807,2147483647)</x:f>
        <x:v>940526537</x:v>
      </x:c>
      <x:c r="S672" s="17" t="n">
        <x:f>IF('Control Room'!$B$5="Normal",'Control Room'!$B$7+'Control Room'!$D$7*SQRT(-2*LN(MAX(0.000000000001,Q672/2147483647)))*COS(2*PI()*R672/2147483647),'Control Room'!$B$8+('Control Room'!$D$8-'Control Room'!$B$8)*Q672/2147483647)</x:f>
        <x:v>908.7183776846326</x:v>
      </x:c>
      <x:c r="T672" s="17" t="n">
        <x:f>IF('Control Room'!$B$5="Normal",'Control Room'!$B$7,('Control Room'!$B$8+'Control Room'!$D$8)/2)+'Control Room'!$B$9*(T671-IF('Control Room'!$B$5="Normal",'Control Room'!$B$7,('Control Room'!$B$8+'Control Room'!$D$8)/2))+SQRT(1-'Control Room'!$B$9^2)*(S672-IF('Control Room'!$B$5="Normal",'Control Room'!$B$7,('Control Room'!$B$8+'Control Room'!$D$8)/2))</x:f>
        <x:v>986.1384938407987</x:v>
      </x:c>
      <x:c r="U672" s="17" t="n">
        <x:f>IF(AND($A672&gt;='Control Room'!$A$13,$A672&lt;'Control Room'!$A$13+'Control Room'!$B$13,'Process'!BN2=1),1+('Control Room'!$C$13-1)*EXP(-0.5*(($A672-'Control Room'!$A$13-('Control Room'!$B$13-1)/2)/MAX(0.5,'Control Room'!$B$13/4))^2),1)*IF(AND($A672&gt;='Control Room'!$A$14,$A672&lt;'Control Room'!$A$14+'Control Room'!$B$14,'Process'!BN3=1),1+('Control Room'!$C$14-1)*EXP(-0.5*(($A672-'Control Room'!$A$14-('Control Room'!$B$14-1)/2)/MAX(0.5,'Control Room'!$B$14/4))^2),1)*IF(AND($A672&gt;='Control Room'!$A$15,$A672&lt;'Control Room'!$A$15+'Control Room'!$B$15,'Process'!BN4=1),1+('Control Room'!$C$15-1)*EXP(-0.5*(($A672-'Control Room'!$A$15-('Control Room'!$B$15-1)/2)/MAX(0.5,'Control Room'!$B$15/4))^2),1)*IF(AND($A672&gt;='Control Room'!$A$16,$A672&lt;'Control Room'!$A$16+'Control Room'!$B$16,'Process'!BN5=1),1+('Control Room'!$C$16-1)*EXP(-0.5*(($A672-'Control Room'!$A$16-('Control Room'!$B$16-1)/2)/MAX(0.5,'Control Room'!$B$16/4))^2),1)</x:f>
        <x:v>1</x:v>
      </x:c>
      <x:c r="V672" s="9" t="n">
        <x:f>MOD(W671*16807,2147483647)</x:f>
        <x:v>1579221197</x:v>
      </x:c>
      <x:c r="W672" s="9" t="n">
        <x:f>MOD(V672*16807,2147483647)</x:f>
        <x:v>1220264706</x:v>
      </x:c>
      <x:c r="X672" s="17" t="n">
        <x:f>IF('Control Room'!$B$5="Normal",'Control Room'!$B$7+'Control Room'!$D$7*SQRT(-2*LN(MAX(0.000000000001,V672/2147483647)))*COS(2*PI()*W672/2147483647),'Control Room'!$B$8+('Control Room'!$D$8-'Control Room'!$B$8)*V672/2147483647)</x:f>
        <x:v>935.8213918108805</x:v>
      </x:c>
      <x:c r="Y672" s="17" t="n">
        <x:f>IF('Control Room'!$B$5="Normal",'Control Room'!$B$7,('Control Room'!$B$8+'Control Room'!$D$8)/2)+'Control Room'!$B$9*(Y671-IF('Control Room'!$B$5="Normal",'Control Room'!$B$7,('Control Room'!$B$8+'Control Room'!$D$8)/2))+SQRT(1-'Control Room'!$B$9^2)*(X672-IF('Control Room'!$B$5="Normal",'Control Room'!$B$7,('Control Room'!$B$8+'Control Room'!$D$8)/2))</x:f>
        <x:v>991.125154040369</x:v>
      </x:c>
      <x:c r="Z672" s="17" t="n">
        <x:f>IF(AND($A672&gt;='Control Room'!$A$13,$A672&lt;'Control Room'!$A$13+'Control Room'!$B$13,'Process'!BO2=1),1+('Control Room'!$C$13-1)*EXP(-0.5*(($A672-'Control Room'!$A$13-('Control Room'!$B$13-1)/2)/MAX(0.5,'Control Room'!$B$13/4))^2),1)*IF(AND($A672&gt;='Control Room'!$A$14,$A672&lt;'Control Room'!$A$14+'Control Room'!$B$14,'Process'!BO3=1),1+('Control Room'!$C$14-1)*EXP(-0.5*(($A672-'Control Room'!$A$14-('Control Room'!$B$14-1)/2)/MAX(0.5,'Control Room'!$B$14/4))^2),1)*IF(AND($A672&gt;='Control Room'!$A$15,$A672&lt;'Control Room'!$A$15+'Control Room'!$B$15,'Process'!BO4=1),1+('Control Room'!$C$15-1)*EXP(-0.5*(($A672-'Control Room'!$A$15-('Control Room'!$B$15-1)/2)/MAX(0.5,'Control Room'!$B$15/4))^2),1)*IF(AND($A672&gt;='Control Room'!$A$16,$A672&lt;'Control Room'!$A$16+'Control Room'!$B$16,'Process'!BO5=1),1+('Control Room'!$C$16-1)*EXP(-0.5*(($A672-'Control Room'!$A$16-('Control Room'!$B$16-1)/2)/MAX(0.5,'Control Room'!$B$16/4))^2),1)</x:f>
        <x:v>1</x:v>
      </x:c>
      <x:c r="AA672" s="9" t="n">
        <x:f>MOD(AB671*16807,2147483647)</x:f>
        <x:v>1981212230</x:v>
      </x:c>
      <x:c r="AB672" s="9" t="n">
        <x:f>MOD(AA672*16807,2147483647)</x:f>
        <x:v>1500002875</x:v>
      </x:c>
      <x:c r="AC672" s="17" t="n">
        <x:f>IF('Control Room'!$B$5="Normal",'Control Room'!$B$7+'Control Room'!$D$7*SQRT(-2*LN(MAX(0.000000000001,AA672/2147483647)))*COS(2*PI()*AB672/2147483647),'Control Room'!$B$8+('Control Room'!$D$8-'Control Room'!$B$8)*AA672/2147483647)</x:f>
        <x:v>988.5097722644012</x:v>
      </x:c>
      <x:c r="AD672" s="17" t="n">
        <x:f>IF('Control Room'!$B$5="Normal",'Control Room'!$B$7,('Control Room'!$B$8+'Control Room'!$D$8)/2)+'Control Room'!$B$9*(AD671-IF('Control Room'!$B$5="Normal",'Control Room'!$B$7,('Control Room'!$B$8+'Control Room'!$D$8)/2))+SQRT(1-'Control Room'!$B$9^2)*(AC672-IF('Control Room'!$B$5="Normal",'Control Room'!$B$7,('Control Room'!$B$8+'Control Room'!$D$8)/2))</x:f>
        <x:v>911.7461881240004</x:v>
      </x:c>
      <x:c r="AE672" s="17" t="n">
        <x:f>IF(AND($A672&gt;='Control Room'!$A$13,$A672&lt;'Control Room'!$A$13+'Control Room'!$B$13,'Process'!BP2=1),1+('Control Room'!$C$13-1)*EXP(-0.5*(($A672-'Control Room'!$A$13-('Control Room'!$B$13-1)/2)/MAX(0.5,'Control Room'!$B$13/4))^2),1)*IF(AND($A672&gt;='Control Room'!$A$14,$A672&lt;'Control Room'!$A$14+'Control Room'!$B$14,'Process'!BP3=1),1+('Control Room'!$C$14-1)*EXP(-0.5*(($A672-'Control Room'!$A$14-('Control Room'!$B$14-1)/2)/MAX(0.5,'Control Room'!$B$14/4))^2),1)*IF(AND($A672&gt;='Control Room'!$A$15,$A672&lt;'Control Room'!$A$15+'Control Room'!$B$15,'Process'!BP4=1),1+('Control Room'!$C$15-1)*EXP(-0.5*(($A672-'Control Room'!$A$15-('Control Room'!$B$15-1)/2)/MAX(0.5,'Control Room'!$B$15/4))^2),1)*IF(AND($A672&gt;='Control Room'!$A$16,$A672&lt;'Control Room'!$A$16+'Control Room'!$B$16,'Process'!BP5=1),1+('Control Room'!$C$16-1)*EXP(-0.5*(($A672-'Control Room'!$A$16-('Control Room'!$B$16-1)/2)/MAX(0.5,'Control Room'!$B$16/4))^2),1)</x:f>
        <x:v>1</x:v>
      </x:c>
      <x:c r="AF672" s="9" t="n">
        <x:f>MOD(AG671*16807,2147483647)</x:f>
        <x:v>235719616</x:v>
      </x:c>
      <x:c r="AG672" s="9" t="n">
        <x:f>MOD(AF672*16807,2147483647)</x:f>
        <x:v>1779741044</x:v>
      </x:c>
      <x:c r="AH672" s="17" t="n">
        <x:f>IF('Control Room'!$B$5="Normal",'Control Room'!$B$7+'Control Room'!$D$7*SQRT(-2*LN(MAX(0.000000000001,AF672/2147483647)))*COS(2*PI()*AG672/2147483647),'Control Room'!$B$8+('Control Room'!$D$8-'Control Room'!$B$8)*AF672/2147483647)</x:f>
        <x:v>1089.8443466606661</x:v>
      </x:c>
      <x:c r="AI672" s="17" t="n">
        <x:f>IF('Control Room'!$B$5="Normal",'Control Room'!$B$7,('Control Room'!$B$8+'Control Room'!$D$8)/2)+'Control Room'!$B$9*(AI671-IF('Control Room'!$B$5="Normal",'Control Room'!$B$7,('Control Room'!$B$8+'Control Room'!$D$8)/2))+SQRT(1-'Control Room'!$B$9^2)*(AH672-IF('Control Room'!$B$5="Normal",'Control Room'!$B$7,('Control Room'!$B$8+'Control Room'!$D$8)/2))</x:f>
        <x:v>1005.7403609899745</x:v>
      </x:c>
      <x:c r="AJ672" s="17" t="n">
        <x:f>IF(AND($A672&gt;='Control Room'!$A$13,$A672&lt;'Control Room'!$A$13+'Control Room'!$B$13,'Process'!BQ2=1),1+('Control Room'!$C$13-1)*EXP(-0.5*(($A672-'Control Room'!$A$13-('Control Room'!$B$13-1)/2)/MAX(0.5,'Control Room'!$B$13/4))^2),1)*IF(AND($A672&gt;='Control Room'!$A$14,$A672&lt;'Control Room'!$A$14+'Control Room'!$B$14,'Process'!BQ3=1),1+('Control Room'!$C$14-1)*EXP(-0.5*(($A672-'Control Room'!$A$14-('Control Room'!$B$14-1)/2)/MAX(0.5,'Control Room'!$B$14/4))^2),1)*IF(AND($A672&gt;='Control Room'!$A$15,$A672&lt;'Control Room'!$A$15+'Control Room'!$B$15,'Process'!BQ4=1),1+('Control Room'!$C$15-1)*EXP(-0.5*(($A672-'Control Room'!$A$15-('Control Room'!$B$15-1)/2)/MAX(0.5,'Control Room'!$B$15/4))^2),1)*IF(AND($A672&gt;='Control Room'!$A$16,$A672&lt;'Control Room'!$A$16+'Control Room'!$B$16,'Process'!BQ5=1),1+('Control Room'!$C$16-1)*EXP(-0.5*(($A672-'Control Room'!$A$16-('Control Room'!$B$16-1)/2)/MAX(0.5,'Control Room'!$B$16/4))^2),1)</x:f>
        <x:v>1</x:v>
      </x:c>
      <x:c r="AK672" s="9" t="n">
        <x:f>MOD(AL671*16807,2147483647)</x:f>
        <x:v>637710649</x:v>
      </x:c>
      <x:c r="AL672" s="9" t="n">
        <x:f>MOD(AK672*16807,2147483647)</x:f>
        <x:v>2059479213</x:v>
      </x:c>
      <x:c r="AM672" s="17" t="n">
        <x:f>IF('Control Room'!$B$5="Normal",'Control Room'!$B$7+'Control Room'!$D$7*SQRT(-2*LN(MAX(0.000000000001,AK672/2147483647)))*COS(2*PI()*AL672/2147483647),'Control Room'!$B$8+('Control Room'!$D$8-'Control Room'!$B$8)*AK672/2147483647)</x:f>
        <x:v>1135.6244908083406</x:v>
      </x:c>
      <x:c r="AN672" s="17" t="n">
        <x:f>IF('Control Room'!$B$5="Normal",'Control Room'!$B$7,('Control Room'!$B$8+'Control Room'!$D$8)/2)+'Control Room'!$B$9*(AN671-IF('Control Room'!$B$5="Normal",'Control Room'!$B$7,('Control Room'!$B$8+'Control Room'!$D$8)/2))+SQRT(1-'Control Room'!$B$9^2)*(AM672-IF('Control Room'!$B$5="Normal",'Control Room'!$B$7,('Control Room'!$B$8+'Control Room'!$D$8)/2))</x:f>
        <x:v>1102.0465865826093</x:v>
      </x:c>
      <x:c r="AO672" s="17" t="n">
        <x:f>IF(AND($A672&gt;='Control Room'!$A$13,$A672&lt;'Control Room'!$A$13+'Control Room'!$B$13,'Process'!BR2=1),1+('Control Room'!$C$13-1)*EXP(-0.5*(($A672-'Control Room'!$A$13-('Control Room'!$B$13-1)/2)/MAX(0.5,'Control Room'!$B$13/4))^2),1)*IF(AND($A672&gt;='Control Room'!$A$14,$A672&lt;'Control Room'!$A$14+'Control Room'!$B$14,'Process'!BR3=1),1+('Control Room'!$C$14-1)*EXP(-0.5*(($A672-'Control Room'!$A$14-('Control Room'!$B$14-1)/2)/MAX(0.5,'Control Room'!$B$14/4))^2),1)*IF(AND($A672&gt;='Control Room'!$A$15,$A672&lt;'Control Room'!$A$15+'Control Room'!$B$15,'Process'!BR4=1),1+('Control Room'!$C$15-1)*EXP(-0.5*(($A672-'Control Room'!$A$15-('Control Room'!$B$15-1)/2)/MAX(0.5,'Control Room'!$B$15/4))^2),1)*IF(AND($A672&gt;='Control Room'!$A$16,$A672&lt;'Control Room'!$A$16+'Control Room'!$B$16,'Process'!BR5=1),1+('Control Room'!$C$16-1)*EXP(-0.5*(($A672-'Control Room'!$A$16-('Control Room'!$B$16-1)/2)/MAX(0.5,'Control Room'!$B$16/4))^2),1)</x:f>
        <x:v>1</x:v>
      </x:c>
      <x:c r="AP672" s="9" t="n">
        <x:f>MOD(AQ671*16807,2147483647)</x:f>
        <x:v>1039701682</x:v>
      </x:c>
      <x:c r="AQ672" s="9" t="n">
        <x:f>MOD(AP672*16807,2147483647)</x:f>
        <x:v>191733735</x:v>
      </x:c>
      <x:c r="AR672" s="17" t="n">
        <x:f>IF('Control Room'!$B$5="Normal",'Control Room'!$B$7+'Control Room'!$D$7*SQRT(-2*LN(MAX(0.000000000001,AP672/2147483647)))*COS(2*PI()*AQ672/2147483647),'Control Room'!$B$8+('Control Room'!$D$8-'Control Room'!$B$8)*AP672/2147483647)</x:f>
        <x:v>1091.787142588351</x:v>
      </x:c>
      <x:c r="AS672" s="17" t="n">
        <x:f>IF('Control Room'!$B$5="Normal",'Control Room'!$B$7,('Control Room'!$B$8+'Control Room'!$D$8)/2)+'Control Room'!$B$9*(AS671-IF('Control Room'!$B$5="Normal",'Control Room'!$B$7,('Control Room'!$B$8+'Control Room'!$D$8)/2))+SQRT(1-'Control Room'!$B$9^2)*(AR672-IF('Control Room'!$B$5="Normal",'Control Room'!$B$7,('Control Room'!$B$8+'Control Room'!$D$8)/2))</x:f>
        <x:v>1088.2556162159383</x:v>
      </x:c>
      <x:c r="AT672" s="17" t="n">
        <x:f>IF(AND($A672&gt;='Control Room'!$A$13,$A672&lt;'Control Room'!$A$13+'Control Room'!$B$13,'Process'!BS2=1),1+('Control Room'!$C$13-1)*EXP(-0.5*(($A672-'Control Room'!$A$13-('Control Room'!$B$13-1)/2)/MAX(0.5,'Control Room'!$B$13/4))^2),1)*IF(AND($A672&gt;='Control Room'!$A$14,$A672&lt;'Control Room'!$A$14+'Control Room'!$B$14,'Process'!BS3=1),1+('Control Room'!$C$14-1)*EXP(-0.5*(($A672-'Control Room'!$A$14-('Control Room'!$B$14-1)/2)/MAX(0.5,'Control Room'!$B$14/4))^2),1)*IF(AND($A672&gt;='Control Room'!$A$15,$A672&lt;'Control Room'!$A$15+'Control Room'!$B$15,'Process'!BS4=1),1+('Control Room'!$C$15-1)*EXP(-0.5*(($A672-'Control Room'!$A$15-('Control Room'!$B$15-1)/2)/MAX(0.5,'Control Room'!$B$15/4))^2),1)*IF(AND($A672&gt;='Control Room'!$A$16,$A672&lt;'Control Room'!$A$16+'Control Room'!$B$16,'Process'!BS5=1),1+('Control Room'!$C$16-1)*EXP(-0.5*(($A672-'Control Room'!$A$16-('Control Room'!$B$16-1)/2)/MAX(0.5,'Control Room'!$B$16/4))^2),1)</x:f>
        <x:v>1</x:v>
      </x:c>
      <x:c r="AU672" s="9" t="n">
        <x:f>MOD(AV671*16807,2147483647)</x:f>
        <x:v>1441692715</x:v>
      </x:c>
      <x:c r="AV672" s="9" t="n">
        <x:f>MOD(AU672*16807,2147483647)</x:f>
        <x:v>471471904</x:v>
      </x:c>
      <x:c r="AW672" s="17" t="n">
        <x:f>IF('Control Room'!$B$5="Normal",'Control Room'!$B$7+'Control Room'!$D$7*SQRT(-2*LN(MAX(0.000000000001,AU672/2147483647)))*COS(2*PI()*AV672/2147483647),'Control Room'!$B$8+('Control Room'!$D$8-'Control Room'!$B$8)*AU672/2147483647)</x:f>
        <x:v>1015.2801592221091</x:v>
      </x:c>
      <x:c r="AX672" s="17" t="n">
        <x:f>IF('Control Room'!$B$5="Normal",'Control Room'!$B$7,('Control Room'!$B$8+'Control Room'!$D$8)/2)+'Control Room'!$B$9*(AX671-IF('Control Room'!$B$5="Normal",'Control Room'!$B$7,('Control Room'!$B$8+'Control Room'!$D$8)/2))+SQRT(1-'Control Room'!$B$9^2)*(AW672-IF('Control Room'!$B$5="Normal",'Control Room'!$B$7,('Control Room'!$B$8+'Control Room'!$D$8)/2))</x:f>
        <x:v>989.9807683278906</x:v>
      </x:c>
      <x:c r="AY672" s="17" t="n">
        <x:f>IF(AND($A672&gt;='Control Room'!$A$13,$A672&lt;'Control Room'!$A$13+'Control Room'!$B$13,'Process'!BT2=1),1+('Control Room'!$C$13-1)*EXP(-0.5*(($A672-'Control Room'!$A$13-('Control Room'!$B$13-1)/2)/MAX(0.5,'Control Room'!$B$13/4))^2),1)*IF(AND($A672&gt;='Control Room'!$A$14,$A672&lt;'Control Room'!$A$14+'Control Room'!$B$14,'Process'!BT3=1),1+('Control Room'!$C$14-1)*EXP(-0.5*(($A672-'Control Room'!$A$14-('Control Room'!$B$14-1)/2)/MAX(0.5,'Control Room'!$B$14/4))^2),1)*IF(AND($A672&gt;='Control Room'!$A$15,$A672&lt;'Control Room'!$A$15+'Control Room'!$B$15,'Process'!BT4=1),1+('Control Room'!$C$15-1)*EXP(-0.5*(($A672-'Control Room'!$A$15-('Control Room'!$B$15-1)/2)/MAX(0.5,'Control Room'!$B$15/4))^2),1)*IF(AND($A672&gt;='Control Room'!$A$16,$A672&lt;'Control Room'!$A$16+'Control Room'!$B$16,'Process'!BT5=1),1+('Control Room'!$C$16-1)*EXP(-0.5*(($A672-'Control Room'!$A$16-('Control Room'!$B$16-1)/2)/MAX(0.5,'Control Room'!$B$16/4))^2),1)</x:f>
        <x:v>1</x:v>
      </x:c>
      <x:c r="AZ672" s="9" t="n">
        <x:f>MOD(BA671*16807,2147483647)</x:f>
        <x:v>1843683748</x:v>
      </x:c>
      <x:c r="BA672" s="9" t="n">
        <x:f>MOD(AZ672*16807,2147483647)</x:f>
        <x:v>751210073</x:v>
      </x:c>
      <x:c r="BB672" s="17" t="n">
        <x:f>IF('Control Room'!$B$5="Normal",'Control Room'!$B$7+'Control Room'!$D$7*SQRT(-2*LN(MAX(0.000000000001,AZ672/2147483647)))*COS(2*PI()*BA672/2147483647),'Control Room'!$B$8+('Control Room'!$D$8-'Control Room'!$B$8)*AZ672/2147483647)</x:f>
        <x:v>970.8298342204182</x:v>
      </x:c>
      <x:c r="BC672" s="17" t="n">
        <x:f>IF('Control Room'!$B$5="Normal",'Control Room'!$B$7,('Control Room'!$B$8+'Control Room'!$D$8)/2)+'Control Room'!$B$9*(BC671-IF('Control Room'!$B$5="Normal",'Control Room'!$B$7,('Control Room'!$B$8+'Control Room'!$D$8)/2))+SQRT(1-'Control Room'!$B$9^2)*(BB672-IF('Control Room'!$B$5="Normal",'Control Room'!$B$7,('Control Room'!$B$8+'Control Room'!$D$8)/2))</x:f>
        <x:v>976.4077296369367</x:v>
      </x:c>
      <x:c r="BD672" s="17" t="n">
        <x:f>IF(AND($A672&gt;='Control Room'!$A$13,$A672&lt;'Control Room'!$A$13+'Control Room'!$B$13,'Process'!BU2=1),1+('Control Room'!$C$13-1)*EXP(-0.5*(($A672-'Control Room'!$A$13-('Control Room'!$B$13-1)/2)/MAX(0.5,'Control Room'!$B$13/4))^2),1)*IF(AND($A672&gt;='Control Room'!$A$14,$A672&lt;'Control Room'!$A$14+'Control Room'!$B$14,'Process'!BU3=1),1+('Control Room'!$C$14-1)*EXP(-0.5*(($A672-'Control Room'!$A$14-('Control Room'!$B$14-1)/2)/MAX(0.5,'Control Room'!$B$14/4))^2),1)*IF(AND($A672&gt;='Control Room'!$A$15,$A672&lt;'Control Room'!$A$15+'Control Room'!$B$15,'Process'!BU4=1),1+('Control Room'!$C$15-1)*EXP(-0.5*(($A672-'Control Room'!$A$15-('Control Room'!$B$15-1)/2)/MAX(0.5,'Control Room'!$B$15/4))^2),1)*IF(AND($A672&gt;='Control Room'!$A$16,$A672&lt;'Control Room'!$A$16+'Control Room'!$B$16,'Process'!BU5=1),1+('Control Room'!$C$16-1)*EXP(-0.5*(($A672-'Control Room'!$A$16-('Control Room'!$B$16-1)/2)/MAX(0.5,'Control Room'!$B$16/4))^2),1)</x:f>
        <x:v>1</x:v>
      </x:c>
      <x:c r="BE672" s="9" t="n">
        <x:f>MOD(BF671*16807,2147483647)</x:f>
        <x:v>98191134</x:v>
      </x:c>
      <x:c r="BF672" s="9" t="n">
        <x:f>MOD(BE672*16807,2147483647)</x:f>
        <x:v>1030948242</x:v>
      </x:c>
      <x:c r="BG672" s="17" t="n">
        <x:f>IF('Control Room'!$B$5="Normal",'Control Room'!$B$7+'Control Room'!$D$7*SQRT(-2*LN(MAX(0.000000000001,BE672/2147483647)))*COS(2*PI()*BF672/2147483647),'Control Room'!$B$8+('Control Room'!$D$8-'Control Room'!$B$8)*BE672/2147483647)</x:f>
        <x:v>778.1897724170944</x:v>
      </x:c>
      <x:c r="BH672" s="17" t="n">
        <x:f>IF('Control Room'!$B$5="Normal",'Control Room'!$B$7,('Control Room'!$B$8+'Control Room'!$D$8)/2)+'Control Room'!$B$9*(BH671-IF('Control Room'!$B$5="Normal",'Control Room'!$B$7,('Control Room'!$B$8+'Control Room'!$D$8)/2))+SQRT(1-'Control Room'!$B$9^2)*(BG672-IF('Control Room'!$B$5="Normal",'Control Room'!$B$7,('Control Room'!$B$8+'Control Room'!$D$8)/2))</x:f>
        <x:v>832.3647154644494</x:v>
      </x:c>
      <x:c r="BI672" s="17" t="n">
        <x:f>IF(AND($A672&gt;='Control Room'!$A$13,$A672&lt;'Control Room'!$A$13+'Control Room'!$B$13,'Process'!BV2=1),1+('Control Room'!$C$13-1)*EXP(-0.5*(($A672-'Control Room'!$A$13-('Control Room'!$B$13-1)/2)/MAX(0.5,'Control Room'!$B$13/4))^2),1)*IF(AND($A672&gt;='Control Room'!$A$14,$A672&lt;'Control Room'!$A$14+'Control Room'!$B$14,'Process'!BV3=1),1+('Control Room'!$C$14-1)*EXP(-0.5*(($A672-'Control Room'!$A$14-('Control Room'!$B$14-1)/2)/MAX(0.5,'Control Room'!$B$14/4))^2),1)*IF(AND($A672&gt;='Control Room'!$A$15,$A672&lt;'Control Room'!$A$15+'Control Room'!$B$15,'Process'!BV4=1),1+('Control Room'!$C$15-1)*EXP(-0.5*(($A672-'Control Room'!$A$15-('Control Room'!$B$15-1)/2)/MAX(0.5,'Control Room'!$B$15/4))^2),1)*IF(AND($A672&gt;='Control Room'!$A$16,$A672&lt;'Control Room'!$A$16+'Control Room'!$B$16,'Process'!BV5=1),1+('Control Room'!$C$16-1)*EXP(-0.5*(($A672-'Control Room'!$A$16-('Control Room'!$B$16-1)/2)/MAX(0.5,'Control Room'!$B$16/4))^2),1)</x:f>
        <x:v>1</x:v>
      </x:c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Z672" t="str">
        <x:f>IF('Data'!A672="","",TEXT('Data'!A672,"mm-dd"))</x:f>
      </x:c>
    </x:row>
    <x:row r="673" ht="21" customHeight="1">
      <x:c r="A673" s="15" t="n">
        <x:f>'Control Room'!$B$1+671</x:f>
        <x:v>73662</x:v>
      </x:c>
      <x:c r="B673" s="9" t="n">
        <x:f>MOD(C672*16807,2147483647)</x:f>
        <x:v>1944239786</x:v>
      </x:c>
      <x:c r="C673" s="9" t="n">
        <x:f>MOD(B673*16807,2147483647)</x:f>
        <x:v>726910550</x:v>
      </x:c>
      <x:c r="D673" s="17" t="n">
        <x:f>IF('Control Room'!$B$5="Normal",'Control Room'!$B$7+'Control Room'!$D$7*SQRT(-2*LN(MAX(0.000000000001,B673/2147483647)))*COS(2*PI()*C673/2147483647),'Control Room'!$B$8+('Control Room'!$D$8-'Control Room'!$B$8)*B673/2147483647)</x:f>
        <x:v>978.8169833998026</x:v>
      </x:c>
      <x:c r="E673" s="17" t="n">
        <x:f>IF('Control Room'!$B$5="Normal",'Control Room'!$B$7,('Control Room'!$B$8+'Control Room'!$D$8)/2)+'Control Room'!$B$9*(E672-IF('Control Room'!$B$5="Normal",'Control Room'!$B$7,('Control Room'!$B$8+'Control Room'!$D$8)/2))+SQRT(1-'Control Room'!$B$9^2)*(D673-IF('Control Room'!$B$5="Normal",'Control Room'!$B$7,('Control Room'!$B$8+'Control Room'!$D$8)/2))</x:f>
        <x:v>985.3782609846868</x:v>
      </x:c>
      <x:c r="F673" s="17" t="n">
        <x:f>IF(AND($A673&gt;='Control Room'!$A$13,$A673&lt;'Control Room'!$A$13+'Control Room'!$B$13,'Process'!BK2=1),1+('Control Room'!$C$13-1)*EXP(-0.5*(($A673-'Control Room'!$A$13-('Control Room'!$B$13-1)/2)/MAX(0.5,'Control Room'!$B$13/4))^2),1)*IF(AND($A673&gt;='Control Room'!$A$14,$A673&lt;'Control Room'!$A$14+'Control Room'!$B$14,'Process'!BK3=1),1+('Control Room'!$C$14-1)*EXP(-0.5*(($A673-'Control Room'!$A$14-('Control Room'!$B$14-1)/2)/MAX(0.5,'Control Room'!$B$14/4))^2),1)*IF(AND($A673&gt;='Control Room'!$A$15,$A673&lt;'Control Room'!$A$15+'Control Room'!$B$15,'Process'!BK4=1),1+('Control Room'!$C$15-1)*EXP(-0.5*(($A673-'Control Room'!$A$15-('Control Room'!$B$15-1)/2)/MAX(0.5,'Control Room'!$B$15/4))^2),1)*IF(AND($A673&gt;='Control Room'!$A$16,$A673&lt;'Control Room'!$A$16+'Control Room'!$B$16,'Process'!BK5=1),1+('Control Room'!$C$16-1)*EXP(-0.5*(($A673-'Control Room'!$A$16-('Control Room'!$B$16-1)/2)/MAX(0.5,'Control Room'!$B$16/4))^2),1)</x:f>
        <x:v>1</x:v>
      </x:c>
      <x:c r="G673" s="9" t="n">
        <x:f>MOD(H672*16807,2147483647)</x:f>
        <x:v>514459239</x:v>
      </x:c>
      <x:c r="H673" s="9" t="n">
        <x:f>MOD(G673*16807,2147483647)</x:f>
        <x:v>747267051</x:v>
      </x:c>
      <x:c r="I673" s="17" t="n">
        <x:f>IF('Control Room'!$B$5="Normal",'Control Room'!$B$7+'Control Room'!$D$7*SQRT(-2*LN(MAX(0.000000000001,G673/2147483647)))*COS(2*PI()*H673/2147483647),'Control Room'!$B$8+('Control Room'!$D$8-'Control Room'!$B$8)*G673/2147483647)</x:f>
        <x:v>912.1447618787595</x:v>
      </x:c>
      <x:c r="J673" s="17" t="n">
        <x:f>IF('Control Room'!$B$5="Normal",'Control Room'!$B$7,('Control Room'!$B$8+'Control Room'!$D$8)/2)+'Control Room'!$B$9*(J672-IF('Control Room'!$B$5="Normal",'Control Room'!$B$7,('Control Room'!$B$8+'Control Room'!$D$8)/2))+SQRT(1-'Control Room'!$B$9^2)*(I673-IF('Control Room'!$B$5="Normal",'Control Room'!$B$7,('Control Room'!$B$8+'Control Room'!$D$8)/2))</x:f>
        <x:v>940.0331782250242</x:v>
      </x:c>
      <x:c r="K673" s="17" t="n">
        <x:f>IF(AND($A673&gt;='Control Room'!$A$13,$A673&lt;'Control Room'!$A$13+'Control Room'!$B$13,'Process'!BL2=1),1+('Control Room'!$C$13-1)*EXP(-0.5*(($A673-'Control Room'!$A$13-('Control Room'!$B$13-1)/2)/MAX(0.5,'Control Room'!$B$13/4))^2),1)*IF(AND($A673&gt;='Control Room'!$A$14,$A673&lt;'Control Room'!$A$14+'Control Room'!$B$14,'Process'!BL3=1),1+('Control Room'!$C$14-1)*EXP(-0.5*(($A673-'Control Room'!$A$14-('Control Room'!$B$14-1)/2)/MAX(0.5,'Control Room'!$B$14/4))^2),1)*IF(AND($A673&gt;='Control Room'!$A$15,$A673&lt;'Control Room'!$A$15+'Control Room'!$B$15,'Process'!BL4=1),1+('Control Room'!$C$15-1)*EXP(-0.5*(($A673-'Control Room'!$A$15-('Control Room'!$B$15-1)/2)/MAX(0.5,'Control Room'!$B$15/4))^2),1)*IF(AND($A673&gt;='Control Room'!$A$16,$A673&lt;'Control Room'!$A$16+'Control Room'!$B$16,'Process'!BL5=1),1+('Control Room'!$C$16-1)*EXP(-0.5*(($A673-'Control Room'!$A$16-('Control Room'!$B$16-1)/2)/MAX(0.5,'Control Room'!$B$16/4))^2),1)</x:f>
        <x:v>1</x:v>
      </x:c>
      <x:c r="L673" s="9" t="n">
        <x:f>MOD(M672*16807,2147483647)</x:f>
        <x:v>1232162339</x:v>
      </x:c>
      <x:c r="M673" s="9" t="n">
        <x:f>MOD(L673*16807,2147483647)</x:f>
        <x:v>767623552</x:v>
      </x:c>
      <x:c r="N673" s="17" t="n">
        <x:f>IF('Control Room'!$B$5="Normal",'Control Room'!$B$7+'Control Room'!$D$7*SQRT(-2*LN(MAX(0.000000000001,L673/2147483647)))*COS(2*PI()*M673/2147483647),'Control Room'!$B$8+('Control Room'!$D$8-'Control Room'!$B$8)*L673/2147483647)</x:f>
        <x:v>940.707909627551</x:v>
      </x:c>
      <x:c r="O673" s="17" t="n">
        <x:f>IF('Control Room'!$B$5="Normal",'Control Room'!$B$7,('Control Room'!$B$8+'Control Room'!$D$8)/2)+'Control Room'!$B$9*(O672-IF('Control Room'!$B$5="Normal",'Control Room'!$B$7,('Control Room'!$B$8+'Control Room'!$D$8)/2))+SQRT(1-'Control Room'!$B$9^2)*(N673-IF('Control Room'!$B$5="Normal",'Control Room'!$B$7,('Control Room'!$B$8+'Control Room'!$D$8)/2))</x:f>
        <x:v>926.9925832899387</x:v>
      </x:c>
      <x:c r="P673" s="17" t="n">
        <x:f>IF(AND($A673&gt;='Control Room'!$A$13,$A673&lt;'Control Room'!$A$13+'Control Room'!$B$13,'Process'!BM2=1),1+('Control Room'!$C$13-1)*EXP(-0.5*(($A673-'Control Room'!$A$13-('Control Room'!$B$13-1)/2)/MAX(0.5,'Control Room'!$B$13/4))^2),1)*IF(AND($A673&gt;='Control Room'!$A$14,$A673&lt;'Control Room'!$A$14+'Control Room'!$B$14,'Process'!BM3=1),1+('Control Room'!$C$14-1)*EXP(-0.5*(($A673-'Control Room'!$A$14-('Control Room'!$B$14-1)/2)/MAX(0.5,'Control Room'!$B$14/4))^2),1)*IF(AND($A673&gt;='Control Room'!$A$15,$A673&lt;'Control Room'!$A$15+'Control Room'!$B$15,'Process'!BM4=1),1+('Control Room'!$C$15-1)*EXP(-0.5*(($A673-'Control Room'!$A$15-('Control Room'!$B$15-1)/2)/MAX(0.5,'Control Room'!$B$15/4))^2),1)*IF(AND($A673&gt;='Control Room'!$A$16,$A673&lt;'Control Room'!$A$16+'Control Room'!$B$16,'Process'!BM5=1),1+('Control Room'!$C$16-1)*EXP(-0.5*(($A673-'Control Room'!$A$16-('Control Room'!$B$16-1)/2)/MAX(0.5,'Control Room'!$B$16/4))^2),1)</x:f>
        <x:v>1</x:v>
      </x:c>
      <x:c r="Q673" s="9" t="n">
        <x:f>MOD(R672*16807,2147483647)</x:f>
        <x:v>1949865439</x:v>
      </x:c>
      <x:c r="R673" s="9" t="n">
        <x:f>MOD(Q673*16807,2147483647)</x:f>
        <x:v>787980053</x:v>
      </x:c>
      <x:c r="S673" s="17" t="n">
        <x:f>IF('Control Room'!$B$5="Normal",'Control Room'!$B$7+'Control Room'!$D$7*SQRT(-2*LN(MAX(0.000000000001,Q673/2147483647)))*COS(2*PI()*R673/2147483647),'Control Room'!$B$8+('Control Room'!$D$8-'Control Room'!$B$8)*Q673/2147483647)</x:f>
        <x:v>973.489609483895</x:v>
      </x:c>
      <x:c r="T673" s="17" t="n">
        <x:f>IF('Control Room'!$B$5="Normal",'Control Room'!$B$7,('Control Room'!$B$8+'Control Room'!$D$8)/2)+'Control Room'!$B$9*(T672-IF('Control Room'!$B$5="Normal",'Control Room'!$B$7,('Control Room'!$B$8+'Control Room'!$D$8)/2))+SQRT(1-'Control Room'!$B$9^2)*(S673-IF('Control Room'!$B$5="Normal",'Control Room'!$B$7,('Control Room'!$B$8+'Control Room'!$D$8)/2))</x:f>
        <x:v>972.5983659057141</x:v>
      </x:c>
      <x:c r="U673" s="17" t="n">
        <x:f>IF(AND($A673&gt;='Control Room'!$A$13,$A673&lt;'Control Room'!$A$13+'Control Room'!$B$13,'Process'!BN2=1),1+('Control Room'!$C$13-1)*EXP(-0.5*(($A673-'Control Room'!$A$13-('Control Room'!$B$13-1)/2)/MAX(0.5,'Control Room'!$B$13/4))^2),1)*IF(AND($A673&gt;='Control Room'!$A$14,$A673&lt;'Control Room'!$A$14+'Control Room'!$B$14,'Process'!BN3=1),1+('Control Room'!$C$14-1)*EXP(-0.5*(($A673-'Control Room'!$A$14-('Control Room'!$B$14-1)/2)/MAX(0.5,'Control Room'!$B$14/4))^2),1)*IF(AND($A673&gt;='Control Room'!$A$15,$A673&lt;'Control Room'!$A$15+'Control Room'!$B$15,'Process'!BN4=1),1+('Control Room'!$C$15-1)*EXP(-0.5*(($A673-'Control Room'!$A$15-('Control Room'!$B$15-1)/2)/MAX(0.5,'Control Room'!$B$15/4))^2),1)*IF(AND($A673&gt;='Control Room'!$A$16,$A673&lt;'Control Room'!$A$16+'Control Room'!$B$16,'Process'!BN5=1),1+('Control Room'!$C$16-1)*EXP(-0.5*(($A673-'Control Room'!$A$16-('Control Room'!$B$16-1)/2)/MAX(0.5,'Control Room'!$B$16/4))^2),1)</x:f>
        <x:v>1</x:v>
      </x:c>
      <x:c r="V673" s="9" t="n">
        <x:f>MOD(W672*16807,2147483647)</x:f>
        <x:v>520084892</x:v>
      </x:c>
      <x:c r="W673" s="9" t="n">
        <x:f>MOD(V673*16807,2147483647)</x:f>
        <x:v>808336554</x:v>
      </x:c>
      <x:c r="X673" s="17" t="n">
        <x:f>IF('Control Room'!$B$5="Normal",'Control Room'!$B$7+'Control Room'!$D$7*SQRT(-2*LN(MAX(0.000000000001,V673/2147483647)))*COS(2*PI()*W673/2147483647),'Control Room'!$B$8+('Control Room'!$D$8-'Control Room'!$B$8)*V673/2147483647)</x:f>
        <x:v>891.879945843293</x:v>
      </x:c>
      <x:c r="Y673" s="17" t="n">
        <x:f>IF('Control Room'!$B$5="Normal",'Control Room'!$B$7,('Control Room'!$B$8+'Control Room'!$D$8)/2)+'Control Room'!$B$9*(Y672-IF('Control Room'!$B$5="Normal",'Control Room'!$B$7,('Control Room'!$B$8+'Control Room'!$D$8)/2))+SQRT(1-'Control Room'!$B$9^2)*(X673-IF('Control Room'!$B$5="Normal",'Control Room'!$B$7,('Control Room'!$B$8+'Control Room'!$D$8)/2))</x:f>
        <x:v>925.4183052199237</x:v>
      </x:c>
      <x:c r="Z673" s="17" t="n">
        <x:f>IF(AND($A673&gt;='Control Room'!$A$13,$A673&lt;'Control Room'!$A$13+'Control Room'!$B$13,'Process'!BO2=1),1+('Control Room'!$C$13-1)*EXP(-0.5*(($A673-'Control Room'!$A$13-('Control Room'!$B$13-1)/2)/MAX(0.5,'Control Room'!$B$13/4))^2),1)*IF(AND($A673&gt;='Control Room'!$A$14,$A673&lt;'Control Room'!$A$14+'Control Room'!$B$14,'Process'!BO3=1),1+('Control Room'!$C$14-1)*EXP(-0.5*(($A673-'Control Room'!$A$14-('Control Room'!$B$14-1)/2)/MAX(0.5,'Control Room'!$B$14/4))^2),1)*IF(AND($A673&gt;='Control Room'!$A$15,$A673&lt;'Control Room'!$A$15+'Control Room'!$B$15,'Process'!BO4=1),1+('Control Room'!$C$15-1)*EXP(-0.5*(($A673-'Control Room'!$A$15-('Control Room'!$B$15-1)/2)/MAX(0.5,'Control Room'!$B$15/4))^2),1)*IF(AND($A673&gt;='Control Room'!$A$16,$A673&lt;'Control Room'!$A$16+'Control Room'!$B$16,'Process'!BO5=1),1+('Control Room'!$C$16-1)*EXP(-0.5*(($A673-'Control Room'!$A$16-('Control Room'!$B$16-1)/2)/MAX(0.5,'Control Room'!$B$16/4))^2),1)</x:f>
        <x:v>1</x:v>
      </x:c>
      <x:c r="AA673" s="9" t="n">
        <x:f>MOD(AB672*16807,2147483647)</x:f>
        <x:v>1237787992</x:v>
      </x:c>
      <x:c r="AB673" s="9" t="n">
        <x:f>MOD(AA673*16807,2147483647)</x:f>
        <x:v>828693055</x:v>
      </x:c>
      <x:c r="AC673" s="17" t="n">
        <x:f>IF('Control Room'!$B$5="Normal",'Control Room'!$B$7+'Control Room'!$D$7*SQRT(-2*LN(MAX(0.000000000001,AA673/2147483647)))*COS(2*PI()*AB673/2147483647),'Control Room'!$B$8+('Control Room'!$D$8-'Control Room'!$B$8)*AA673/2147483647)</x:f>
        <x:v>928.7840767969496</x:v>
      </x:c>
      <x:c r="AD673" s="17" t="n">
        <x:f>IF('Control Room'!$B$5="Normal",'Control Room'!$B$7,('Control Room'!$B$8+'Control Room'!$D$8)/2)+'Control Room'!$B$9*(AD672-IF('Control Room'!$B$5="Normal",'Control Room'!$B$7,('Control Room'!$B$8+'Control Room'!$D$8)/2))+SQRT(1-'Control Room'!$B$9^2)*(AC673-IF('Control Room'!$B$5="Normal",'Control Room'!$B$7,('Control Room'!$B$8+'Control Room'!$D$8)/2))</x:f>
        <x:v>886.5965609337385</x:v>
      </x:c>
      <x:c r="AE673" s="17" t="n">
        <x:f>IF(AND($A673&gt;='Control Room'!$A$13,$A673&lt;'Control Room'!$A$13+'Control Room'!$B$13,'Process'!BP2=1),1+('Control Room'!$C$13-1)*EXP(-0.5*(($A673-'Control Room'!$A$13-('Control Room'!$B$13-1)/2)/MAX(0.5,'Control Room'!$B$13/4))^2),1)*IF(AND($A673&gt;='Control Room'!$A$14,$A673&lt;'Control Room'!$A$14+'Control Room'!$B$14,'Process'!BP3=1),1+('Control Room'!$C$14-1)*EXP(-0.5*(($A673-'Control Room'!$A$14-('Control Room'!$B$14-1)/2)/MAX(0.5,'Control Room'!$B$14/4))^2),1)*IF(AND($A673&gt;='Control Room'!$A$15,$A673&lt;'Control Room'!$A$15+'Control Room'!$B$15,'Process'!BP4=1),1+('Control Room'!$C$15-1)*EXP(-0.5*(($A673-'Control Room'!$A$15-('Control Room'!$B$15-1)/2)/MAX(0.5,'Control Room'!$B$15/4))^2),1)*IF(AND($A673&gt;='Control Room'!$A$16,$A673&lt;'Control Room'!$A$16+'Control Room'!$B$16,'Process'!BP5=1),1+('Control Room'!$C$16-1)*EXP(-0.5*(($A673-'Control Room'!$A$16-('Control Room'!$B$16-1)/2)/MAX(0.5,'Control Room'!$B$16/4))^2),1)</x:f>
        <x:v>1</x:v>
      </x:c>
      <x:c r="AF673" s="9" t="n">
        <x:f>MOD(AG672*16807,2147483647)</x:f>
        <x:v>1955491092</x:v>
      </x:c>
      <x:c r="AG673" s="9" t="n">
        <x:f>MOD(AF673*16807,2147483647)</x:f>
        <x:v>849049556</x:v>
      </x:c>
      <x:c r="AH673" s="17" t="n">
        <x:f>IF('Control Room'!$B$5="Normal",'Control Room'!$B$7+'Control Room'!$D$7*SQRT(-2*LN(MAX(0.000000000001,AF673/2147483647)))*COS(2*PI()*AG673/2147483647),'Control Room'!$B$8+('Control Room'!$D$8-'Control Room'!$B$8)*AF673/2147483647)</x:f>
        <x:v>969.1669516836762</x:v>
      </x:c>
      <x:c r="AI673" s="17" t="n">
        <x:f>IF('Control Room'!$B$5="Normal",'Control Room'!$B$7,('Control Room'!$B$8+'Control Room'!$D$8)/2)+'Control Room'!$B$9*(AI672-IF('Control Room'!$B$5="Normal",'Control Room'!$B$7,('Control Room'!$B$8+'Control Room'!$D$8)/2))+SQRT(1-'Control Room'!$B$9^2)*(AH673-IF('Control Room'!$B$5="Normal",'Control Room'!$B$7,('Control Room'!$B$8+'Control Room'!$D$8)/2))</x:f>
        <x:v>985.1827915851527</x:v>
      </x:c>
      <x:c r="AJ673" s="17" t="n">
        <x:f>IF(AND($A673&gt;='Control Room'!$A$13,$A673&lt;'Control Room'!$A$13+'Control Room'!$B$13,'Process'!BQ2=1),1+('Control Room'!$C$13-1)*EXP(-0.5*(($A673-'Control Room'!$A$13-('Control Room'!$B$13-1)/2)/MAX(0.5,'Control Room'!$B$13/4))^2),1)*IF(AND($A673&gt;='Control Room'!$A$14,$A673&lt;'Control Room'!$A$14+'Control Room'!$B$14,'Process'!BQ3=1),1+('Control Room'!$C$14-1)*EXP(-0.5*(($A673-'Control Room'!$A$14-('Control Room'!$B$14-1)/2)/MAX(0.5,'Control Room'!$B$14/4))^2),1)*IF(AND($A673&gt;='Control Room'!$A$15,$A673&lt;'Control Room'!$A$15+'Control Room'!$B$15,'Process'!BQ4=1),1+('Control Room'!$C$15-1)*EXP(-0.5*(($A673-'Control Room'!$A$15-('Control Room'!$B$15-1)/2)/MAX(0.5,'Control Room'!$B$15/4))^2),1)*IF(AND($A673&gt;='Control Room'!$A$16,$A673&lt;'Control Room'!$A$16+'Control Room'!$B$16,'Process'!BQ5=1),1+('Control Room'!$C$16-1)*EXP(-0.5*(($A673-'Control Room'!$A$16-('Control Room'!$B$16-1)/2)/MAX(0.5,'Control Room'!$B$16/4))^2),1)</x:f>
        <x:v>1</x:v>
      </x:c>
      <x:c r="AK673" s="9" t="n">
        <x:f>MOD(AL672*16807,2147483647)</x:f>
        <x:v>525710545</x:v>
      </x:c>
      <x:c r="AL673" s="9" t="n">
        <x:f>MOD(AK673*16807,2147483647)</x:f>
        <x:v>869406057</x:v>
      </x:c>
      <x:c r="AM673" s="17" t="n">
        <x:f>IF('Control Room'!$B$5="Normal",'Control Room'!$B$7+'Control Room'!$D$7*SQRT(-2*LN(MAX(0.000000000001,AK673/2147483647)))*COS(2*PI()*AL673/2147483647),'Control Room'!$B$8+('Control Room'!$D$8-'Control Room'!$B$8)*AK673/2147483647)</x:f>
        <x:v>875.1989948893615</x:v>
      </x:c>
      <x:c r="AN673" s="17" t="n">
        <x:f>IF('Control Room'!$B$5="Normal",'Control Room'!$B$7,('Control Room'!$B$8+'Control Room'!$D$8)/2)+'Control Room'!$B$9*(AN672-IF('Control Room'!$B$5="Normal",'Control Room'!$B$7,('Control Room'!$B$8+'Control Room'!$D$8)/2))+SQRT(1-'Control Room'!$B$9^2)*(AM673-IF('Control Room'!$B$5="Normal",'Control Room'!$B$7,('Control Room'!$B$8+'Control Room'!$D$8)/2))</x:f>
        <x:v>1001.4984252237557</x:v>
      </x:c>
      <x:c r="AO673" s="17" t="n">
        <x:f>IF(AND($A673&gt;='Control Room'!$A$13,$A673&lt;'Control Room'!$A$13+'Control Room'!$B$13,'Process'!BR2=1),1+('Control Room'!$C$13-1)*EXP(-0.5*(($A673-'Control Room'!$A$13-('Control Room'!$B$13-1)/2)/MAX(0.5,'Control Room'!$B$13/4))^2),1)*IF(AND($A673&gt;='Control Room'!$A$14,$A673&lt;'Control Room'!$A$14+'Control Room'!$B$14,'Process'!BR3=1),1+('Control Room'!$C$14-1)*EXP(-0.5*(($A673-'Control Room'!$A$14-('Control Room'!$B$14-1)/2)/MAX(0.5,'Control Room'!$B$14/4))^2),1)*IF(AND($A673&gt;='Control Room'!$A$15,$A673&lt;'Control Room'!$A$15+'Control Room'!$B$15,'Process'!BR4=1),1+('Control Room'!$C$15-1)*EXP(-0.5*(($A673-'Control Room'!$A$15-('Control Room'!$B$15-1)/2)/MAX(0.5,'Control Room'!$B$15/4))^2),1)*IF(AND($A673&gt;='Control Room'!$A$16,$A673&lt;'Control Room'!$A$16+'Control Room'!$B$16,'Process'!BR5=1),1+('Control Room'!$C$16-1)*EXP(-0.5*(($A673-'Control Room'!$A$16-('Control Room'!$B$16-1)/2)/MAX(0.5,'Control Room'!$B$16/4))^2),1)</x:f>
        <x:v>1</x:v>
      </x:c>
      <x:c r="AP673" s="9" t="n">
        <x:f>MOD(AQ672*16807,2147483647)</x:f>
        <x:v>1243413645</x:v>
      </x:c>
      <x:c r="AQ673" s="9" t="n">
        <x:f>MOD(AP673*16807,2147483647)</x:f>
        <x:v>889762558</x:v>
      </x:c>
      <x:c r="AR673" s="17" t="n">
        <x:f>IF('Control Room'!$B$5="Normal",'Control Room'!$B$7+'Control Room'!$D$7*SQRT(-2*LN(MAX(0.000000000001,AP673/2147483647)))*COS(2*PI()*AQ673/2147483647),'Control Room'!$B$8+('Control Room'!$D$8-'Control Room'!$B$8)*AP673/2147483647)</x:f>
        <x:v>919.2187578327856</x:v>
      </x:c>
      <x:c r="AS673" s="17" t="n">
        <x:f>IF('Control Room'!$B$5="Normal",'Control Room'!$B$7,('Control Room'!$B$8+'Control Room'!$D$8)/2)+'Control Room'!$B$9*(AS672-IF('Control Room'!$B$5="Normal",'Control Room'!$B$7,('Control Room'!$B$8+'Control Room'!$D$8)/2))+SQRT(1-'Control Room'!$B$9^2)*(AR673-IF('Control Room'!$B$5="Normal",'Control Room'!$B$7,('Control Room'!$B$8+'Control Room'!$D$8)/2))</x:f>
        <x:v>1018.2881341938864</x:v>
      </x:c>
      <x:c r="AT673" s="17" t="n">
        <x:f>IF(AND($A673&gt;='Control Room'!$A$13,$A673&lt;'Control Room'!$A$13+'Control Room'!$B$13,'Process'!BS2=1),1+('Control Room'!$C$13-1)*EXP(-0.5*(($A673-'Control Room'!$A$13-('Control Room'!$B$13-1)/2)/MAX(0.5,'Control Room'!$B$13/4))^2),1)*IF(AND($A673&gt;='Control Room'!$A$14,$A673&lt;'Control Room'!$A$14+'Control Room'!$B$14,'Process'!BS3=1),1+('Control Room'!$C$14-1)*EXP(-0.5*(($A673-'Control Room'!$A$14-('Control Room'!$B$14-1)/2)/MAX(0.5,'Control Room'!$B$14/4))^2),1)*IF(AND($A673&gt;='Control Room'!$A$15,$A673&lt;'Control Room'!$A$15+'Control Room'!$B$15,'Process'!BS4=1),1+('Control Room'!$C$15-1)*EXP(-0.5*(($A673-'Control Room'!$A$15-('Control Room'!$B$15-1)/2)/MAX(0.5,'Control Room'!$B$15/4))^2),1)*IF(AND($A673&gt;='Control Room'!$A$16,$A673&lt;'Control Room'!$A$16+'Control Room'!$B$16,'Process'!BS5=1),1+('Control Room'!$C$16-1)*EXP(-0.5*(($A673-'Control Room'!$A$16-('Control Room'!$B$16-1)/2)/MAX(0.5,'Control Room'!$B$16/4))^2),1)</x:f>
        <x:v>1</x:v>
      </x:c>
      <x:c r="AU673" s="9" t="n">
        <x:f>MOD(AV672*16807,2147483647)</x:f>
        <x:v>1961116745</x:v>
      </x:c>
      <x:c r="AV673" s="9" t="n">
        <x:f>MOD(AU673*16807,2147483647)</x:f>
        <x:v>910119059</x:v>
      </x:c>
      <x:c r="AW673" s="17" t="n">
        <x:f>IF('Control Room'!$B$5="Normal",'Control Room'!$B$7+'Control Room'!$D$7*SQRT(-2*LN(MAX(0.000000000001,AU673/2147483647)))*COS(2*PI()*AV673/2147483647),'Control Room'!$B$8+('Control Room'!$D$8-'Control Room'!$B$8)*AU673/2147483647)</x:f>
        <x:v>965.9618398762906</x:v>
      </x:c>
      <x:c r="AX673" s="17" t="n">
        <x:f>IF('Control Room'!$B$5="Normal",'Control Room'!$B$7,('Control Room'!$B$8+'Control Room'!$D$8)/2)+'Control Room'!$B$9*(AX672-IF('Control Room'!$B$5="Normal",'Control Room'!$B$7,('Control Room'!$B$8+'Control Room'!$D$8)/2))+SQRT(1-'Control Room'!$B$9^2)*(AW673-IF('Control Room'!$B$5="Normal",'Control Room'!$B$7,('Control Room'!$B$8+'Control Room'!$D$8)/2))</x:f>
        <x:v>970.8846159999496</x:v>
      </x:c>
      <x:c r="AY673" s="17" t="n">
        <x:f>IF(AND($A673&gt;='Control Room'!$A$13,$A673&lt;'Control Room'!$A$13+'Control Room'!$B$13,'Process'!BT2=1),1+('Control Room'!$C$13-1)*EXP(-0.5*(($A673-'Control Room'!$A$13-('Control Room'!$B$13-1)/2)/MAX(0.5,'Control Room'!$B$13/4))^2),1)*IF(AND($A673&gt;='Control Room'!$A$14,$A673&lt;'Control Room'!$A$14+'Control Room'!$B$14,'Process'!BT3=1),1+('Control Room'!$C$14-1)*EXP(-0.5*(($A673-'Control Room'!$A$14-('Control Room'!$B$14-1)/2)/MAX(0.5,'Control Room'!$B$14/4))^2),1)*IF(AND($A673&gt;='Control Room'!$A$15,$A673&lt;'Control Room'!$A$15+'Control Room'!$B$15,'Process'!BT4=1),1+('Control Room'!$C$15-1)*EXP(-0.5*(($A673-'Control Room'!$A$15-('Control Room'!$B$15-1)/2)/MAX(0.5,'Control Room'!$B$15/4))^2),1)*IF(AND($A673&gt;='Control Room'!$A$16,$A673&lt;'Control Room'!$A$16+'Control Room'!$B$16,'Process'!BT5=1),1+('Control Room'!$C$16-1)*EXP(-0.5*(($A673-'Control Room'!$A$16-('Control Room'!$B$16-1)/2)/MAX(0.5,'Control Room'!$B$16/4))^2),1)</x:f>
        <x:v>1</x:v>
      </x:c>
      <x:c r="AZ673" s="9" t="n">
        <x:f>MOD(BA672*16807,2147483647)</x:f>
        <x:v>531336198</x:v>
      </x:c>
      <x:c r="BA673" s="9" t="n">
        <x:f>MOD(AZ673*16807,2147483647)</x:f>
        <x:v>930475560</x:v>
      </x:c>
      <x:c r="BB673" s="17" t="n">
        <x:f>IF('Control Room'!$B$5="Normal",'Control Room'!$B$7+'Control Room'!$D$7*SQRT(-2*LN(MAX(0.000000000001,AZ673/2147483647)))*COS(2*PI()*BA673/2147483647),'Control Room'!$B$8+('Control Room'!$D$8-'Control Room'!$B$8)*AZ673/2147483647)</x:f>
        <x:v>862.6035291588547</x:v>
      </x:c>
      <x:c r="BC673" s="17" t="n">
        <x:f>IF('Control Room'!$B$5="Normal",'Control Room'!$B$7,('Control Room'!$B$8+'Control Room'!$D$8)/2)+'Control Room'!$B$9*(BC672-IF('Control Room'!$B$5="Normal",'Control Room'!$B$7,('Control Room'!$B$8+'Control Room'!$D$8)/2))+SQRT(1-'Control Room'!$B$9^2)*(BB673-IF('Control Room'!$B$5="Normal",'Control Room'!$B$7,('Control Room'!$B$8+'Control Room'!$D$8)/2))</x:f>
        <x:v>895.6181323841207</x:v>
      </x:c>
      <x:c r="BD673" s="17" t="n">
        <x:f>IF(AND($A673&gt;='Control Room'!$A$13,$A673&lt;'Control Room'!$A$13+'Control Room'!$B$13,'Process'!BU2=1),1+('Control Room'!$C$13-1)*EXP(-0.5*(($A673-'Control Room'!$A$13-('Control Room'!$B$13-1)/2)/MAX(0.5,'Control Room'!$B$13/4))^2),1)*IF(AND($A673&gt;='Control Room'!$A$14,$A673&lt;'Control Room'!$A$14+'Control Room'!$B$14,'Process'!BU3=1),1+('Control Room'!$C$14-1)*EXP(-0.5*(($A673-'Control Room'!$A$14-('Control Room'!$B$14-1)/2)/MAX(0.5,'Control Room'!$B$14/4))^2),1)*IF(AND($A673&gt;='Control Room'!$A$15,$A673&lt;'Control Room'!$A$15+'Control Room'!$B$15,'Process'!BU4=1),1+('Control Room'!$C$15-1)*EXP(-0.5*(($A673-'Control Room'!$A$15-('Control Room'!$B$15-1)/2)/MAX(0.5,'Control Room'!$B$15/4))^2),1)*IF(AND($A673&gt;='Control Room'!$A$16,$A673&lt;'Control Room'!$A$16+'Control Room'!$B$16,'Process'!BU5=1),1+('Control Room'!$C$16-1)*EXP(-0.5*(($A673-'Control Room'!$A$16-('Control Room'!$B$16-1)/2)/MAX(0.5,'Control Room'!$B$16/4))^2),1)</x:f>
        <x:v>1</x:v>
      </x:c>
      <x:c r="BE673" s="9" t="n">
        <x:f>MOD(BF672*16807,2147483647)</x:f>
        <x:v>1249039298</x:v>
      </x:c>
      <x:c r="BF673" s="9" t="n">
        <x:f>MOD(BE673*16807,2147483647)</x:f>
        <x:v>950832061</x:v>
      </x:c>
      <x:c r="BG673" s="17" t="n">
        <x:f>IF('Control Room'!$B$5="Normal",'Control Room'!$B$7+'Control Room'!$D$7*SQRT(-2*LN(MAX(0.000000000001,BE673/2147483647)))*COS(2*PI()*BF673/2147483647),'Control Room'!$B$8+('Control Room'!$D$8-'Control Room'!$B$8)*BE673/2147483647)</x:f>
        <x:v>912.2964872103943</x:v>
      </x:c>
      <x:c r="BH673" s="17" t="n">
        <x:f>IF('Control Room'!$B$5="Normal",'Control Room'!$B$7,('Control Room'!$B$8+'Control Room'!$D$8)/2)+'Control Room'!$B$9*(BH672-IF('Control Room'!$B$5="Normal",'Control Room'!$B$7,('Control Room'!$B$8+'Control Room'!$D$8)/2))+SQRT(1-'Control Room'!$B$9^2)*(BG673-IF('Control Room'!$B$5="Normal",'Control Room'!$B$7,('Control Room'!$B$8+'Control Room'!$D$8)/2))</x:f>
        <x:v>814.3614164626543</x:v>
      </x:c>
      <x:c r="BI673" s="17" t="n">
        <x:f>IF(AND($A673&gt;='Control Room'!$A$13,$A673&lt;'Control Room'!$A$13+'Control Room'!$B$13,'Process'!BV2=1),1+('Control Room'!$C$13-1)*EXP(-0.5*(($A673-'Control Room'!$A$13-('Control Room'!$B$13-1)/2)/MAX(0.5,'Control Room'!$B$13/4))^2),1)*IF(AND($A673&gt;='Control Room'!$A$14,$A673&lt;'Control Room'!$A$14+'Control Room'!$B$14,'Process'!BV3=1),1+('Control Room'!$C$14-1)*EXP(-0.5*(($A673-'Control Room'!$A$14-('Control Room'!$B$14-1)/2)/MAX(0.5,'Control Room'!$B$14/4))^2),1)*IF(AND($A673&gt;='Control Room'!$A$15,$A673&lt;'Control Room'!$A$15+'Control Room'!$B$15,'Process'!BV4=1),1+('Control Room'!$C$15-1)*EXP(-0.5*(($A673-'Control Room'!$A$15-('Control Room'!$B$15-1)/2)/MAX(0.5,'Control Room'!$B$15/4))^2),1)*IF(AND($A673&gt;='Control Room'!$A$16,$A673&lt;'Control Room'!$A$16+'Control Room'!$B$16,'Process'!BV5=1),1+('Control Room'!$C$16-1)*EXP(-0.5*(($A673-'Control Room'!$A$16-('Control Room'!$B$16-1)/2)/MAX(0.5,'Control Room'!$B$16/4))^2),1)</x:f>
        <x:v>1</x:v>
      </x:c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Z673" t="str">
        <x:f>IF('Data'!A673="","",TEXT('Data'!A673,"mm-dd"))</x:f>
      </x:c>
    </x:row>
    <x:row r="674" ht="21" customHeight="1">
      <x:c r="A674" s="15" t="n">
        <x:f>'Control Room'!$B$1+672</x:f>
        <x:v>73663</x:v>
      </x:c>
      <x:c r="B674" s="9" t="n">
        <x:f>MOD(C673*16807,2147483647)</x:f>
        <x:v>151146067</x:v>
      </x:c>
      <x:c r="C674" s="9" t="n">
        <x:f>MOD(B674*16807,2147483647)</x:f>
        <x:v>1986277315</x:v>
      </x:c>
      <x:c r="D674" s="17" t="n">
        <x:f>IF('Control Room'!$B$5="Normal",'Control Room'!$B$7+'Control Room'!$D$7*SQRT(-2*LN(MAX(0.000000000001,B674/2147483647)))*COS(2*PI()*C674/2147483647),'Control Room'!$B$8+('Control Room'!$D$8-'Control Room'!$B$8)*B674/2147483647)</x:f>
        <x:v>1184.7051296858747</x:v>
      </x:c>
      <x:c r="E674" s="17" t="n">
        <x:f>IF('Control Room'!$B$5="Normal",'Control Room'!$B$7,('Control Room'!$B$8+'Control Room'!$D$8)/2)+'Control Room'!$B$9*(E673-IF('Control Room'!$B$5="Normal",'Control Room'!$B$7,('Control Room'!$B$8+'Control Room'!$D$8)/2))+SQRT(1-'Control Room'!$B$9^2)*(D674-IF('Control Room'!$B$5="Normal",'Control Room'!$B$7,('Control Room'!$B$8+'Control Room'!$D$8)/2))</x:f>
        <x:v>1104.1797298352217</x:v>
      </x:c>
      <x:c r="F674" s="17" t="n">
        <x:f>IF(AND($A674&gt;='Control Room'!$A$13,$A674&lt;'Control Room'!$A$13+'Control Room'!$B$13,'Process'!BK2=1),1+('Control Room'!$C$13-1)*EXP(-0.5*(($A674-'Control Room'!$A$13-('Control Room'!$B$13-1)/2)/MAX(0.5,'Control Room'!$B$13/4))^2),1)*IF(AND($A674&gt;='Control Room'!$A$14,$A674&lt;'Control Room'!$A$14+'Control Room'!$B$14,'Process'!BK3=1),1+('Control Room'!$C$14-1)*EXP(-0.5*(($A674-'Control Room'!$A$14-('Control Room'!$B$14-1)/2)/MAX(0.5,'Control Room'!$B$14/4))^2),1)*IF(AND($A674&gt;='Control Room'!$A$15,$A674&lt;'Control Room'!$A$15+'Control Room'!$B$15,'Process'!BK4=1),1+('Control Room'!$C$15-1)*EXP(-0.5*(($A674-'Control Room'!$A$15-('Control Room'!$B$15-1)/2)/MAX(0.5,'Control Room'!$B$15/4))^2),1)*IF(AND($A674&gt;='Control Room'!$A$16,$A674&lt;'Control Room'!$A$16+'Control Room'!$B$16,'Process'!BK5=1),1+('Control Room'!$C$16-1)*EXP(-0.5*(($A674-'Control Room'!$A$16-('Control Room'!$B$16-1)/2)/MAX(0.5,'Control Room'!$B$16/4))^2),1)</x:f>
        <x:v>1</x:v>
      </x:c>
      <x:c r="G674" s="9" t="n">
        <x:f>MOD(H673*16807,2147483647)</x:f>
        <x:v>832958501</x:v>
      </x:c>
      <x:c r="H674" s="9" t="n">
        <x:f>MOD(G674*16807,2147483647)</x:f>
        <x:v>87631514</x:v>
      </x:c>
      <x:c r="I674" s="17" t="n">
        <x:f>IF('Control Room'!$B$5="Normal",'Control Room'!$B$7+'Control Room'!$D$7*SQRT(-2*LN(MAX(0.000000000001,G674/2147483647)))*COS(2*PI()*H674/2147483647),'Control Room'!$B$8+('Control Room'!$D$8-'Control Room'!$B$8)*G674/2147483647)</x:f>
        <x:v>1119.815768092136</x:v>
      </x:c>
      <x:c r="J674" s="17" t="n">
        <x:f>IF('Control Room'!$B$5="Normal",'Control Room'!$B$7,('Control Room'!$B$8+'Control Room'!$D$8)/2)+'Control Room'!$B$9*(J673-IF('Control Room'!$B$5="Normal",'Control Room'!$B$7,('Control Room'!$B$8+'Control Room'!$D$8)/2))+SQRT(1-'Control Room'!$B$9^2)*(I674-IF('Control Room'!$B$5="Normal",'Control Room'!$B$7,('Control Room'!$B$8+'Control Room'!$D$8)/2))</x:f>
        <x:v>1028.204132128151</x:v>
      </x:c>
      <x:c r="K674" s="17" t="n">
        <x:f>IF(AND($A674&gt;='Control Room'!$A$13,$A674&lt;'Control Room'!$A$13+'Control Room'!$B$13,'Process'!BL2=1),1+('Control Room'!$C$13-1)*EXP(-0.5*(($A674-'Control Room'!$A$13-('Control Room'!$B$13-1)/2)/MAX(0.5,'Control Room'!$B$13/4))^2),1)*IF(AND($A674&gt;='Control Room'!$A$14,$A674&lt;'Control Room'!$A$14+'Control Room'!$B$14,'Process'!BL3=1),1+('Control Room'!$C$14-1)*EXP(-0.5*(($A674-'Control Room'!$A$14-('Control Room'!$B$14-1)/2)/MAX(0.5,'Control Room'!$B$14/4))^2),1)*IF(AND($A674&gt;='Control Room'!$A$15,$A674&lt;'Control Room'!$A$15+'Control Room'!$B$15,'Process'!BL4=1),1+('Control Room'!$C$15-1)*EXP(-0.5*(($A674-'Control Room'!$A$15-('Control Room'!$B$15-1)/2)/MAX(0.5,'Control Room'!$B$15/4))^2),1)*IF(AND($A674&gt;='Control Room'!$A$16,$A674&lt;'Control Room'!$A$16+'Control Room'!$B$16,'Process'!BL5=1),1+('Control Room'!$C$16-1)*EXP(-0.5*(($A674-'Control Room'!$A$16-('Control Room'!$B$16-1)/2)/MAX(0.5,'Control Room'!$B$16/4))^2),1)</x:f>
        <x:v>1</x:v>
      </x:c>
      <x:c r="L674" s="9" t="n">
        <x:f>MOD(M673*16807,2147483647)</x:f>
        <x:v>1514770935</x:v>
      </x:c>
      <x:c r="M674" s="9" t="n">
        <x:f>MOD(L674*16807,2147483647)</x:f>
        <x:v>336469360</x:v>
      </x:c>
      <x:c r="N674" s="17" t="n">
        <x:f>IF('Control Room'!$B$5="Normal",'Control Room'!$B$7+'Control Room'!$D$7*SQRT(-2*LN(MAX(0.000000000001,L674/2147483647)))*COS(2*PI()*M674/2147483647),'Control Room'!$B$8+('Control Room'!$D$8-'Control Room'!$B$8)*L674/2147483647)</x:f>
        <x:v>1041.606876483589</x:v>
      </x:c>
      <x:c r="O674" s="17" t="n">
        <x:f>IF('Control Room'!$B$5="Normal",'Control Room'!$B$7,('Control Room'!$B$8+'Control Room'!$D$8)/2)+'Control Room'!$B$9*(O673-IF('Control Room'!$B$5="Normal",'Control Room'!$B$7,('Control Room'!$B$8+'Control Room'!$D$8)/2))+SQRT(1-'Control Room'!$B$9^2)*(N674-IF('Control Room'!$B$5="Normal",'Control Room'!$B$7,('Control Room'!$B$8+'Control Room'!$D$8)/2))</x:f>
        <x:v>969.0909459063873</x:v>
      </x:c>
      <x:c r="P674" s="17" t="n">
        <x:f>IF(AND($A674&gt;='Control Room'!$A$13,$A674&lt;'Control Room'!$A$13+'Control Room'!$B$13,'Process'!BM2=1),1+('Control Room'!$C$13-1)*EXP(-0.5*(($A674-'Control Room'!$A$13-('Control Room'!$B$13-1)/2)/MAX(0.5,'Control Room'!$B$13/4))^2),1)*IF(AND($A674&gt;='Control Room'!$A$14,$A674&lt;'Control Room'!$A$14+'Control Room'!$B$14,'Process'!BM3=1),1+('Control Room'!$C$14-1)*EXP(-0.5*(($A674-'Control Room'!$A$14-('Control Room'!$B$14-1)/2)/MAX(0.5,'Control Room'!$B$14/4))^2),1)*IF(AND($A674&gt;='Control Room'!$A$15,$A674&lt;'Control Room'!$A$15+'Control Room'!$B$15,'Process'!BM4=1),1+('Control Room'!$C$15-1)*EXP(-0.5*(($A674-'Control Room'!$A$15-('Control Room'!$B$15-1)/2)/MAX(0.5,'Control Room'!$B$15/4))^2),1)*IF(AND($A674&gt;='Control Room'!$A$16,$A674&lt;'Control Room'!$A$16+'Control Room'!$B$16,'Process'!BM5=1),1+('Control Room'!$C$16-1)*EXP(-0.5*(($A674-'Control Room'!$A$16-('Control Room'!$B$16-1)/2)/MAX(0.5,'Control Room'!$B$16/4))^2),1)</x:f>
        <x:v>1</x:v>
      </x:c>
      <x:c r="Q674" s="9" t="n">
        <x:f>MOD(R673*16807,2147483647)</x:f>
        <x:v>49099722</x:v>
      </x:c>
      <x:c r="R674" s="9" t="n">
        <x:f>MOD(Q674*16807,2147483647)</x:f>
        <x:v>585307206</x:v>
      </x:c>
      <x:c r="S674" s="17" t="n">
        <x:f>IF('Control Room'!$B$5="Normal",'Control Room'!$B$7+'Control Room'!$D$7*SQRT(-2*LN(MAX(0.000000000001,Q674/2147483647)))*COS(2*PI()*R674/2147483647),'Control Room'!$B$8+('Control Room'!$D$8-'Control Room'!$B$8)*Q674/2147483647)</x:f>
        <x:v>965.0565211568871</x:v>
      </x:c>
      <x:c r="T674" s="17" t="n">
        <x:f>IF('Control Room'!$B$5="Normal",'Control Room'!$B$7,('Control Room'!$B$8+'Control Room'!$D$8)/2)+'Control Room'!$B$9*(T673-IF('Control Room'!$B$5="Normal",'Control Room'!$B$7,('Control Room'!$B$8+'Control Room'!$D$8)/2))+SQRT(1-'Control Room'!$B$9^2)*(S674-IF('Control Room'!$B$5="Normal",'Control Room'!$B$7,('Control Room'!$B$8+'Control Room'!$D$8)/2))</x:f>
        <x:v>956.7598122025113</x:v>
      </x:c>
      <x:c r="U674" s="17" t="n">
        <x:f>IF(AND($A674&gt;='Control Room'!$A$13,$A674&lt;'Control Room'!$A$13+'Control Room'!$B$13,'Process'!BN2=1),1+('Control Room'!$C$13-1)*EXP(-0.5*(($A674-'Control Room'!$A$13-('Control Room'!$B$13-1)/2)/MAX(0.5,'Control Room'!$B$13/4))^2),1)*IF(AND($A674&gt;='Control Room'!$A$14,$A674&lt;'Control Room'!$A$14+'Control Room'!$B$14,'Process'!BN3=1),1+('Control Room'!$C$14-1)*EXP(-0.5*(($A674-'Control Room'!$A$14-('Control Room'!$B$14-1)/2)/MAX(0.5,'Control Room'!$B$14/4))^2),1)*IF(AND($A674&gt;='Control Room'!$A$15,$A674&lt;'Control Room'!$A$15+'Control Room'!$B$15,'Process'!BN4=1),1+('Control Room'!$C$15-1)*EXP(-0.5*(($A674-'Control Room'!$A$15-('Control Room'!$B$15-1)/2)/MAX(0.5,'Control Room'!$B$15/4))^2),1)*IF(AND($A674&gt;='Control Room'!$A$16,$A674&lt;'Control Room'!$A$16+'Control Room'!$B$16,'Process'!BN5=1),1+('Control Room'!$C$16-1)*EXP(-0.5*(($A674-'Control Room'!$A$16-('Control Room'!$B$16-1)/2)/MAX(0.5,'Control Room'!$B$16/4))^2),1)</x:f>
        <x:v>1</x:v>
      </x:c>
      <x:c r="V674" s="9" t="n">
        <x:f>MOD(W673*16807,2147483647)</x:f>
        <x:v>730912156</x:v>
      </x:c>
      <x:c r="W674" s="9" t="n">
        <x:f>MOD(V674*16807,2147483647)</x:f>
        <x:v>834145052</x:v>
      </x:c>
      <x:c r="X674" s="17" t="n">
        <x:f>IF('Control Room'!$B$5="Normal",'Control Room'!$B$7+'Control Room'!$D$7*SQRT(-2*LN(MAX(0.000000000001,V674/2147483647)))*COS(2*PI()*W674/2147483647),'Control Room'!$B$8+('Control Room'!$D$8-'Control Room'!$B$8)*V674/2147483647)</x:f>
        <x:v>899.024435613778</x:v>
      </x:c>
      <x:c r="Y674" s="17" t="n">
        <x:f>IF('Control Room'!$B$5="Normal",'Control Room'!$B$7,('Control Room'!$B$8+'Control Room'!$D$8)/2)+'Control Room'!$B$9*(Y673-IF('Control Room'!$B$5="Normal",'Control Room'!$B$7,('Control Room'!$B$8+'Control Room'!$D$8)/2))+SQRT(1-'Control Room'!$B$9^2)*(X674-IF('Control Room'!$B$5="Normal",'Control Room'!$B$7,('Control Room'!$B$8+'Control Room'!$D$8)/2))</x:f>
        <x:v>878.6378384755175</x:v>
      </x:c>
      <x:c r="Z674" s="17" t="n">
        <x:f>IF(AND($A674&gt;='Control Room'!$A$13,$A674&lt;'Control Room'!$A$13+'Control Room'!$B$13,'Process'!BO2=1),1+('Control Room'!$C$13-1)*EXP(-0.5*(($A674-'Control Room'!$A$13-('Control Room'!$B$13-1)/2)/MAX(0.5,'Control Room'!$B$13/4))^2),1)*IF(AND($A674&gt;='Control Room'!$A$14,$A674&lt;'Control Room'!$A$14+'Control Room'!$B$14,'Process'!BO3=1),1+('Control Room'!$C$14-1)*EXP(-0.5*(($A674-'Control Room'!$A$14-('Control Room'!$B$14-1)/2)/MAX(0.5,'Control Room'!$B$14/4))^2),1)*IF(AND($A674&gt;='Control Room'!$A$15,$A674&lt;'Control Room'!$A$15+'Control Room'!$B$15,'Process'!BO4=1),1+('Control Room'!$C$15-1)*EXP(-0.5*(($A674-'Control Room'!$A$15-('Control Room'!$B$15-1)/2)/MAX(0.5,'Control Room'!$B$15/4))^2),1)*IF(AND($A674&gt;='Control Room'!$A$16,$A674&lt;'Control Room'!$A$16+'Control Room'!$B$16,'Process'!BO5=1),1+('Control Room'!$C$16-1)*EXP(-0.5*(($A674-'Control Room'!$A$16-('Control Room'!$B$16-1)/2)/MAX(0.5,'Control Room'!$B$16/4))^2),1)</x:f>
        <x:v>1</x:v>
      </x:c>
      <x:c r="AA674" s="9" t="n">
        <x:f>MOD(AB673*16807,2147483647)</x:f>
        <x:v>1412724590</x:v>
      </x:c>
      <x:c r="AB674" s="9" t="n">
        <x:f>MOD(AA674*16807,2147483647)</x:f>
        <x:v>1082982898</x:v>
      </x:c>
      <x:c r="AC674" s="17" t="n">
        <x:f>IF('Control Room'!$B$5="Normal",'Control Room'!$B$7+'Control Room'!$D$7*SQRT(-2*LN(MAX(0.000000000001,AA674/2147483647)))*COS(2*PI()*AB674/2147483647),'Control Room'!$B$8+('Control Room'!$D$8-'Control Room'!$B$8)*AA674/2147483647)</x:f>
        <x:v>917.6639667989954</x:v>
      </x:c>
      <x:c r="AD674" s="17" t="n">
        <x:f>IF('Control Room'!$B$5="Normal",'Control Room'!$B$7,('Control Room'!$B$8+'Control Room'!$D$8)/2)+'Control Room'!$B$9*(AD673-IF('Control Room'!$B$5="Normal",'Control Room'!$B$7,('Control Room'!$B$8+'Control Room'!$D$8)/2))+SQRT(1-'Control Room'!$B$9^2)*(AC674-IF('Control Room'!$B$5="Normal",'Control Room'!$B$7,('Control Room'!$B$8+'Control Room'!$D$8)/2))</x:f>
        <x:v>860.0211146964502</x:v>
      </x:c>
      <x:c r="AE674" s="17" t="n">
        <x:f>IF(AND($A674&gt;='Control Room'!$A$13,$A674&lt;'Control Room'!$A$13+'Control Room'!$B$13,'Process'!BP2=1),1+('Control Room'!$C$13-1)*EXP(-0.5*(($A674-'Control Room'!$A$13-('Control Room'!$B$13-1)/2)/MAX(0.5,'Control Room'!$B$13/4))^2),1)*IF(AND($A674&gt;='Control Room'!$A$14,$A674&lt;'Control Room'!$A$14+'Control Room'!$B$14,'Process'!BP3=1),1+('Control Room'!$C$14-1)*EXP(-0.5*(($A674-'Control Room'!$A$14-('Control Room'!$B$14-1)/2)/MAX(0.5,'Control Room'!$B$14/4))^2),1)*IF(AND($A674&gt;='Control Room'!$A$15,$A674&lt;'Control Room'!$A$15+'Control Room'!$B$15,'Process'!BP4=1),1+('Control Room'!$C$15-1)*EXP(-0.5*(($A674-'Control Room'!$A$15-('Control Room'!$B$15-1)/2)/MAX(0.5,'Control Room'!$B$15/4))^2),1)*IF(AND($A674&gt;='Control Room'!$A$16,$A674&lt;'Control Room'!$A$16+'Control Room'!$B$16,'Process'!BP5=1),1+('Control Room'!$C$16-1)*EXP(-0.5*(($A674-'Control Room'!$A$16-('Control Room'!$B$16-1)/2)/MAX(0.5,'Control Room'!$B$16/4))^2),1)</x:f>
        <x:v>1</x:v>
      </x:c>
      <x:c r="AF674" s="9" t="n">
        <x:f>MOD(AG673*16807,2147483647)</x:f>
        <x:v>2094537024</x:v>
      </x:c>
      <x:c r="AG674" s="9" t="n">
        <x:f>MOD(AF674*16807,2147483647)</x:f>
        <x:v>1331820744</x:v>
      </x:c>
      <x:c r="AH674" s="17" t="n">
        <x:f>IF('Control Room'!$B$5="Normal",'Control Room'!$B$7+'Control Room'!$D$7*SQRT(-2*LN(MAX(0.000000000001,AF674/2147483647)))*COS(2*PI()*AG674/2147483647),'Control Room'!$B$8+('Control Room'!$D$8-'Control Room'!$B$8)*AF674/2147483647)</x:f>
        <x:v>985.3556409260584</x:v>
      </x:c>
      <x:c r="AI674" s="17" t="n">
        <x:f>IF('Control Room'!$B$5="Normal",'Control Room'!$B$7,('Control Room'!$B$8+'Control Room'!$D$8)/2)+'Control Room'!$B$9*(AI673-IF('Control Room'!$B$5="Normal",'Control Room'!$B$7,('Control Room'!$B$8+'Control Room'!$D$8)/2))+SQRT(1-'Control Room'!$B$9^2)*(AH674-IF('Control Room'!$B$5="Normal",'Control Room'!$B$7,('Control Room'!$B$8+'Control Room'!$D$8)/2))</x:f>
        <x:v>979.2784375339489</x:v>
      </x:c>
      <x:c r="AJ674" s="17" t="n">
        <x:f>IF(AND($A674&gt;='Control Room'!$A$13,$A674&lt;'Control Room'!$A$13+'Control Room'!$B$13,'Process'!BQ2=1),1+('Control Room'!$C$13-1)*EXP(-0.5*(($A674-'Control Room'!$A$13-('Control Room'!$B$13-1)/2)/MAX(0.5,'Control Room'!$B$13/4))^2),1)*IF(AND($A674&gt;='Control Room'!$A$14,$A674&lt;'Control Room'!$A$14+'Control Room'!$B$14,'Process'!BQ3=1),1+('Control Room'!$C$14-1)*EXP(-0.5*(($A674-'Control Room'!$A$14-('Control Room'!$B$14-1)/2)/MAX(0.5,'Control Room'!$B$14/4))^2),1)*IF(AND($A674&gt;='Control Room'!$A$15,$A674&lt;'Control Room'!$A$15+'Control Room'!$B$15,'Process'!BQ4=1),1+('Control Room'!$C$15-1)*EXP(-0.5*(($A674-'Control Room'!$A$15-('Control Room'!$B$15-1)/2)/MAX(0.5,'Control Room'!$B$15/4))^2),1)*IF(AND($A674&gt;='Control Room'!$A$16,$A674&lt;'Control Room'!$A$16+'Control Room'!$B$16,'Process'!BQ5=1),1+('Control Room'!$C$16-1)*EXP(-0.5*(($A674-'Control Room'!$A$16-('Control Room'!$B$16-1)/2)/MAX(0.5,'Control Room'!$B$16/4))^2),1)</x:f>
        <x:v>1</x:v>
      </x:c>
      <x:c r="AK674" s="9" t="n">
        <x:f>MOD(AL673*16807,2147483647)</x:f>
        <x:v>628865811</x:v>
      </x:c>
      <x:c r="AL674" s="9" t="n">
        <x:f>MOD(AK674*16807,2147483647)</x:f>
        <x:v>1580658590</x:v>
      </x:c>
      <x:c r="AM674" s="17" t="n">
        <x:f>IF('Control Room'!$B$5="Normal",'Control Room'!$B$7+'Control Room'!$D$7*SQRT(-2*LN(MAX(0.000000000001,AK674/2147483647)))*COS(2*PI()*AL674/2147483647),'Control Room'!$B$8+('Control Room'!$D$8-'Control Room'!$B$8)*AK674/2147483647)</x:f>
        <x:v>987.6538588640515</x:v>
      </x:c>
      <x:c r="AN674" s="17" t="n">
        <x:f>IF('Control Room'!$B$5="Normal",'Control Room'!$B$7,('Control Room'!$B$8+'Control Room'!$D$8)/2)+'Control Room'!$B$9*(AN673-IF('Control Room'!$B$5="Normal",'Control Room'!$B$7,('Control Room'!$B$8+'Control Room'!$D$8)/2))+SQRT(1-'Control Room'!$B$9^2)*(AM674-IF('Control Room'!$B$5="Normal",'Control Room'!$B$7,('Control Room'!$B$8+'Control Room'!$D$8)/2))</x:f>
        <x:v>993.4428094761017</x:v>
      </x:c>
      <x:c r="AO674" s="17" t="n">
        <x:f>IF(AND($A674&gt;='Control Room'!$A$13,$A674&lt;'Control Room'!$A$13+'Control Room'!$B$13,'Process'!BR2=1),1+('Control Room'!$C$13-1)*EXP(-0.5*(($A674-'Control Room'!$A$13-('Control Room'!$B$13-1)/2)/MAX(0.5,'Control Room'!$B$13/4))^2),1)*IF(AND($A674&gt;='Control Room'!$A$14,$A674&lt;'Control Room'!$A$14+'Control Room'!$B$14,'Process'!BR3=1),1+('Control Room'!$C$14-1)*EXP(-0.5*(($A674-'Control Room'!$A$14-('Control Room'!$B$14-1)/2)/MAX(0.5,'Control Room'!$B$14/4))^2),1)*IF(AND($A674&gt;='Control Room'!$A$15,$A674&lt;'Control Room'!$A$15+'Control Room'!$B$15,'Process'!BR4=1),1+('Control Room'!$C$15-1)*EXP(-0.5*(($A674-'Control Room'!$A$15-('Control Room'!$B$15-1)/2)/MAX(0.5,'Control Room'!$B$15/4))^2),1)*IF(AND($A674&gt;='Control Room'!$A$16,$A674&lt;'Control Room'!$A$16+'Control Room'!$B$16,'Process'!BR5=1),1+('Control Room'!$C$16-1)*EXP(-0.5*(($A674-'Control Room'!$A$16-('Control Room'!$B$16-1)/2)/MAX(0.5,'Control Room'!$B$16/4))^2),1)</x:f>
        <x:v>1</x:v>
      </x:c>
      <x:c r="AP674" s="9" t="n">
        <x:f>MOD(AQ673*16807,2147483647)</x:f>
        <x:v>1310678245</x:v>
      </x:c>
      <x:c r="AQ674" s="9" t="n">
        <x:f>MOD(AP674*16807,2147483647)</x:f>
        <x:v>1829496436</x:v>
      </x:c>
      <x:c r="AR674" s="17" t="n">
        <x:f>IF('Control Room'!$B$5="Normal",'Control Room'!$B$7+'Control Room'!$D$7*SQRT(-2*LN(MAX(0.000000000001,AP674/2147483647)))*COS(2*PI()*AQ674/2147483647),'Control Room'!$B$8+('Control Room'!$D$8-'Control Room'!$B$8)*AP674/2147483647)</x:f>
        <x:v>1053.4406898030131</x:v>
      </x:c>
      <x:c r="AS674" s="17" t="n">
        <x:f>IF('Control Room'!$B$5="Normal",'Control Room'!$B$7,('Control Room'!$B$8+'Control Room'!$D$8)/2)+'Control Room'!$B$9*(AS673-IF('Control Room'!$B$5="Normal",'Control Room'!$B$7,('Control Room'!$B$8+'Control Room'!$D$8)/2))+SQRT(1-'Control Room'!$B$9^2)*(AR674-IF('Control Room'!$B$5="Normal",'Control Room'!$B$7,('Control Room'!$B$8+'Control Room'!$D$8)/2))</x:f>
        <x:v>1047.706833557919</x:v>
      </x:c>
      <x:c r="AT674" s="17" t="n">
        <x:f>IF(AND($A674&gt;='Control Room'!$A$13,$A674&lt;'Control Room'!$A$13+'Control Room'!$B$13,'Process'!BS2=1),1+('Control Room'!$C$13-1)*EXP(-0.5*(($A674-'Control Room'!$A$13-('Control Room'!$B$13-1)/2)/MAX(0.5,'Control Room'!$B$13/4))^2),1)*IF(AND($A674&gt;='Control Room'!$A$14,$A674&lt;'Control Room'!$A$14+'Control Room'!$B$14,'Process'!BS3=1),1+('Control Room'!$C$14-1)*EXP(-0.5*(($A674-'Control Room'!$A$14-('Control Room'!$B$14-1)/2)/MAX(0.5,'Control Room'!$B$14/4))^2),1)*IF(AND($A674&gt;='Control Room'!$A$15,$A674&lt;'Control Room'!$A$15+'Control Room'!$B$15,'Process'!BS4=1),1+('Control Room'!$C$15-1)*EXP(-0.5*(($A674-'Control Room'!$A$15-('Control Room'!$B$15-1)/2)/MAX(0.5,'Control Room'!$B$15/4))^2),1)*IF(AND($A674&gt;='Control Room'!$A$16,$A674&lt;'Control Room'!$A$16+'Control Room'!$B$16,'Process'!BS5=1),1+('Control Room'!$C$16-1)*EXP(-0.5*(($A674-'Control Room'!$A$16-('Control Room'!$B$16-1)/2)/MAX(0.5,'Control Room'!$B$16/4))^2),1)</x:f>
        <x:v>1</x:v>
      </x:c>
      <x:c r="AU674" s="9" t="n">
        <x:f>MOD(AV673*16807,2147483647)</x:f>
        <x:v>1992490679</x:v>
      </x:c>
      <x:c r="AV674" s="9" t="n">
        <x:f>MOD(AU674*16807,2147483647)</x:f>
        <x:v>2078334282</x:v>
      </x:c>
      <x:c r="AW674" s="17" t="n">
        <x:f>IF('Control Room'!$B$5="Normal",'Control Room'!$B$7+'Control Room'!$D$7*SQRT(-2*LN(MAX(0.000000000001,AU674/2147483647)))*COS(2*PI()*AV674/2147483647),'Control Room'!$B$8+('Control Room'!$D$8-'Control Room'!$B$8)*AU674/2147483647)</x:f>
        <x:v>1034.1256817979424</x:v>
      </x:c>
      <x:c r="AX674" s="17" t="n">
        <x:f>IF('Control Room'!$B$5="Normal",'Control Room'!$B$7,('Control Room'!$B$8+'Control Room'!$D$8)/2)+'Control Room'!$B$9*(AX673-IF('Control Room'!$B$5="Normal",'Control Room'!$B$7,('Control Room'!$B$8+'Control Room'!$D$8)/2))+SQRT(1-'Control Room'!$B$9^2)*(AW674-IF('Control Room'!$B$5="Normal",'Control Room'!$B$7,('Control Room'!$B$8+'Control Room'!$D$8)/2))</x:f>
        <x:v>998.6451530465218</x:v>
      </x:c>
      <x:c r="AY674" s="17" t="n">
        <x:f>IF(AND($A674&gt;='Control Room'!$A$13,$A674&lt;'Control Room'!$A$13+'Control Room'!$B$13,'Process'!BT2=1),1+('Control Room'!$C$13-1)*EXP(-0.5*(($A674-'Control Room'!$A$13-('Control Room'!$B$13-1)/2)/MAX(0.5,'Control Room'!$B$13/4))^2),1)*IF(AND($A674&gt;='Control Room'!$A$14,$A674&lt;'Control Room'!$A$14+'Control Room'!$B$14,'Process'!BT3=1),1+('Control Room'!$C$14-1)*EXP(-0.5*(($A674-'Control Room'!$A$14-('Control Room'!$B$14-1)/2)/MAX(0.5,'Control Room'!$B$14/4))^2),1)*IF(AND($A674&gt;='Control Room'!$A$15,$A674&lt;'Control Room'!$A$15+'Control Room'!$B$15,'Process'!BT4=1),1+('Control Room'!$C$15-1)*EXP(-0.5*(($A674-'Control Room'!$A$15-('Control Room'!$B$15-1)/2)/MAX(0.5,'Control Room'!$B$15/4))^2),1)*IF(AND($A674&gt;='Control Room'!$A$16,$A674&lt;'Control Room'!$A$16+'Control Room'!$B$16,'Process'!BT5=1),1+('Control Room'!$C$16-1)*EXP(-0.5*(($A674-'Control Room'!$A$16-('Control Room'!$B$16-1)/2)/MAX(0.5,'Control Room'!$B$16/4))^2),1)</x:f>
        <x:v>1</x:v>
      </x:c>
      <x:c r="AZ674" s="9" t="n">
        <x:f>MOD(BA673*16807,2147483647)</x:f>
        <x:v>526819466</x:v>
      </x:c>
      <x:c r="BA674" s="9" t="n">
        <x:f>MOD(AZ674*16807,2147483647)</x:f>
        <x:v>179688481</x:v>
      </x:c>
      <x:c r="BB674" s="17" t="n">
        <x:f>IF('Control Room'!$B$5="Normal",'Control Room'!$B$7+'Control Room'!$D$7*SQRT(-2*LN(MAX(0.000000000001,AZ674/2147483647)))*COS(2*PI()*BA674/2147483647),'Control Room'!$B$8+('Control Room'!$D$8-'Control Room'!$B$8)*AZ674/2147483647)</x:f>
        <x:v>1130.5023461627275</x:v>
      </x:c>
      <x:c r="BC674" s="17" t="n">
        <x:f>IF('Control Room'!$B$5="Normal",'Control Room'!$B$7,('Control Room'!$B$8+'Control Room'!$D$8)/2)+'Control Room'!$B$9*(BC673-IF('Control Room'!$B$5="Normal",'Control Room'!$B$7,('Control Room'!$B$8+'Control Room'!$D$8)/2))+SQRT(1-'Control Room'!$B$9^2)*(BB674-IF('Control Room'!$B$5="Normal",'Control Room'!$B$7,('Control Room'!$B$8+'Control Room'!$D$8)/2))</x:f>
        <x:v>1000.247838002371</x:v>
      </x:c>
      <x:c r="BD674" s="17" t="n">
        <x:f>IF(AND($A674&gt;='Control Room'!$A$13,$A674&lt;'Control Room'!$A$13+'Control Room'!$B$13,'Process'!BU2=1),1+('Control Room'!$C$13-1)*EXP(-0.5*(($A674-'Control Room'!$A$13-('Control Room'!$B$13-1)/2)/MAX(0.5,'Control Room'!$B$13/4))^2),1)*IF(AND($A674&gt;='Control Room'!$A$14,$A674&lt;'Control Room'!$A$14+'Control Room'!$B$14,'Process'!BU3=1),1+('Control Room'!$C$14-1)*EXP(-0.5*(($A674-'Control Room'!$A$14-('Control Room'!$B$14-1)/2)/MAX(0.5,'Control Room'!$B$14/4))^2),1)*IF(AND($A674&gt;='Control Room'!$A$15,$A674&lt;'Control Room'!$A$15+'Control Room'!$B$15,'Process'!BU4=1),1+('Control Room'!$C$15-1)*EXP(-0.5*(($A674-'Control Room'!$A$15-('Control Room'!$B$15-1)/2)/MAX(0.5,'Control Room'!$B$15/4))^2),1)*IF(AND($A674&gt;='Control Room'!$A$16,$A674&lt;'Control Room'!$A$16+'Control Room'!$B$16,'Process'!BU5=1),1+('Control Room'!$C$16-1)*EXP(-0.5*(($A674-'Control Room'!$A$16-('Control Room'!$B$16-1)/2)/MAX(0.5,'Control Room'!$B$16/4))^2),1)</x:f>
        <x:v>1</x:v>
      </x:c>
      <x:c r="BE674" s="9" t="n">
        <x:f>MOD(BF673*16807,2147483647)</x:f>
        <x:v>1208631900</x:v>
      </x:c>
      <x:c r="BF674" s="9" t="n">
        <x:f>MOD(BE674*16807,2147483647)</x:f>
        <x:v>428526327</x:v>
      </x:c>
      <x:c r="BG674" s="17" t="n">
        <x:f>IF('Control Room'!$B$5="Normal",'Control Room'!$B$7+'Control Room'!$D$7*SQRT(-2*LN(MAX(0.000000000001,BE674/2147483647)))*COS(2*PI()*BF674/2147483647),'Control Room'!$B$8+('Control Room'!$D$8-'Control Room'!$B$8)*BE674/2147483647)</x:f>
        <x:v>1030.0800061576726</x:v>
      </x:c>
      <x:c r="BH674" s="17" t="n">
        <x:f>IF('Control Room'!$B$5="Normal",'Control Room'!$B$7,('Control Room'!$B$8+'Control Room'!$D$8)/2)+'Control Room'!$B$9*(BH673-IF('Control Room'!$B$5="Normal",'Control Room'!$B$7,('Control Room'!$B$8+'Control Room'!$D$8)/2))+SQRT(1-'Control Room'!$B$9^2)*(BG674-IF('Control Room'!$B$5="Normal",'Control Room'!$B$7,('Control Room'!$B$8+'Control Room'!$D$8)/2))</x:f>
        <x:v>874.0253564719211</x:v>
      </x:c>
      <x:c r="BI674" s="17" t="n">
        <x:f>IF(AND($A674&gt;='Control Room'!$A$13,$A674&lt;'Control Room'!$A$13+'Control Room'!$B$13,'Process'!BV2=1),1+('Control Room'!$C$13-1)*EXP(-0.5*(($A674-'Control Room'!$A$13-('Control Room'!$B$13-1)/2)/MAX(0.5,'Control Room'!$B$13/4))^2),1)*IF(AND($A674&gt;='Control Room'!$A$14,$A674&lt;'Control Room'!$A$14+'Control Room'!$B$14,'Process'!BV3=1),1+('Control Room'!$C$14-1)*EXP(-0.5*(($A674-'Control Room'!$A$14-('Control Room'!$B$14-1)/2)/MAX(0.5,'Control Room'!$B$14/4))^2),1)*IF(AND($A674&gt;='Control Room'!$A$15,$A674&lt;'Control Room'!$A$15+'Control Room'!$B$15,'Process'!BV4=1),1+('Control Room'!$C$15-1)*EXP(-0.5*(($A674-'Control Room'!$A$15-('Control Room'!$B$15-1)/2)/MAX(0.5,'Control Room'!$B$15/4))^2),1)*IF(AND($A674&gt;='Control Room'!$A$16,$A674&lt;'Control Room'!$A$16+'Control Room'!$B$16,'Process'!BV5=1),1+('Control Room'!$C$16-1)*EXP(-0.5*(($A674-'Control Room'!$A$16-('Control Room'!$B$16-1)/2)/MAX(0.5,'Control Room'!$B$16/4))^2),1)</x:f>
        <x:v>1</x:v>
      </x:c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Z674" t="str">
        <x:f>IF('Data'!A674="","",TEXT('Data'!A674,"mm-dd"))</x:f>
      </x:c>
    </x:row>
    <x:row r="675" ht="21" customHeight="1">
      <x:c r="A675" s="15" t="n">
        <x:f>'Control Room'!$B$1+673</x:f>
        <x:v>73664</x:v>
      </x:c>
      <x:c r="B675" s="9" t="n">
        <x:f>MOD(C674*16807,2147483647)</x:f>
        <x:v>729540590</x:v>
      </x:c>
      <x:c r="C675" s="9" t="n">
        <x:f>MOD(B675*16807,2147483647)</x:f>
        <x:v>1404555407</x:v>
      </x:c>
      <x:c r="D675" s="17" t="n">
        <x:f>IF('Control Room'!$B$5="Normal",'Control Room'!$B$7+'Control Room'!$D$7*SQRT(-2*LN(MAX(0.000000000001,B675/2147483647)))*COS(2*PI()*C675/2147483647),'Control Room'!$B$8+('Control Room'!$D$8-'Control Room'!$B$8)*B675/2147483647)</x:f>
        <x:v>925.0107787198136</x:v>
      </x:c>
      <x:c r="E675" s="17" t="n">
        <x:f>IF('Control Room'!$B$5="Normal",'Control Room'!$B$7,('Control Room'!$B$8+'Control Room'!$D$8)/2)+'Control Room'!$B$9*(E674-IF('Control Room'!$B$5="Normal",'Control Room'!$B$7,('Control Room'!$B$8+'Control Room'!$D$8)/2))+SQRT(1-'Control Room'!$B$9^2)*(D675-IF('Control Room'!$B$5="Normal",'Control Room'!$B$7,('Control Room'!$B$8+'Control Room'!$D$8)/2))</x:f>
        <x:v>1034.3334708320322</x:v>
      </x:c>
      <x:c r="F675" s="17" t="n">
        <x:f>IF(AND($A675&gt;='Control Room'!$A$13,$A675&lt;'Control Room'!$A$13+'Control Room'!$B$13,'Process'!BK2=1),1+('Control Room'!$C$13-1)*EXP(-0.5*(($A675-'Control Room'!$A$13-('Control Room'!$B$13-1)/2)/MAX(0.5,'Control Room'!$B$13/4))^2),1)*IF(AND($A675&gt;='Control Room'!$A$14,$A675&lt;'Control Room'!$A$14+'Control Room'!$B$14,'Process'!BK3=1),1+('Control Room'!$C$14-1)*EXP(-0.5*(($A675-'Control Room'!$A$14-('Control Room'!$B$14-1)/2)/MAX(0.5,'Control Room'!$B$14/4))^2),1)*IF(AND($A675&gt;='Control Room'!$A$15,$A675&lt;'Control Room'!$A$15+'Control Room'!$B$15,'Process'!BK4=1),1+('Control Room'!$C$15-1)*EXP(-0.5*(($A675-'Control Room'!$A$15-('Control Room'!$B$15-1)/2)/MAX(0.5,'Control Room'!$B$15/4))^2),1)*IF(AND($A675&gt;='Control Room'!$A$16,$A675&lt;'Control Room'!$A$16+'Control Room'!$B$16,'Process'!BK5=1),1+('Control Room'!$C$16-1)*EXP(-0.5*(($A675-'Control Room'!$A$16-('Control Room'!$B$16-1)/2)/MAX(0.5,'Control Room'!$B$16/4))^2),1)</x:f>
        <x:v>1</x:v>
      </x:c>
      <x:c r="G675" s="9" t="n">
        <x:f>MOD(H674*16807,2147483647)</x:f>
        <x:v>1796557603</x:v>
      </x:c>
      <x:c r="H675" s="9" t="n">
        <x:f>MOD(G675*16807,2147483647)</x:f>
        <x:v>1123556801</x:v>
      </x:c>
      <x:c r="I675" s="17" t="n">
        <x:f>IF('Control Room'!$B$5="Normal",'Control Room'!$B$7+'Control Room'!$D$7*SQRT(-2*LN(MAX(0.000000000001,G675/2147483647)))*COS(2*PI()*H675/2147483647),'Control Room'!$B$8+('Control Room'!$D$8-'Control Room'!$B$8)*G675/2147483647)</x:f>
        <x:v>946.8069044114951</x:v>
      </x:c>
      <x:c r="J675" s="17" t="n">
        <x:f>IF('Control Room'!$B$5="Normal",'Control Room'!$B$7,('Control Room'!$B$8+'Control Room'!$D$8)/2)+'Control Room'!$B$9*(J674-IF('Control Room'!$B$5="Normal",'Control Room'!$B$7,('Control Room'!$B$8+'Control Room'!$D$8)/2))+SQRT(1-'Control Room'!$B$9^2)*(I675-IF('Control Room'!$B$5="Normal",'Control Room'!$B$7,('Control Room'!$B$8+'Control Room'!$D$8)/2))</x:f>
        <x:v>988.7120735604661</x:v>
      </x:c>
      <x:c r="K675" s="17" t="n">
        <x:f>IF(AND($A675&gt;='Control Room'!$A$13,$A675&lt;'Control Room'!$A$13+'Control Room'!$B$13,'Process'!BL2=1),1+('Control Room'!$C$13-1)*EXP(-0.5*(($A675-'Control Room'!$A$13-('Control Room'!$B$13-1)/2)/MAX(0.5,'Control Room'!$B$13/4))^2),1)*IF(AND($A675&gt;='Control Room'!$A$14,$A675&lt;'Control Room'!$A$14+'Control Room'!$B$14,'Process'!BL3=1),1+('Control Room'!$C$14-1)*EXP(-0.5*(($A675-'Control Room'!$A$14-('Control Room'!$B$14-1)/2)/MAX(0.5,'Control Room'!$B$14/4))^2),1)*IF(AND($A675&gt;='Control Room'!$A$15,$A675&lt;'Control Room'!$A$15+'Control Room'!$B$15,'Process'!BL4=1),1+('Control Room'!$C$15-1)*EXP(-0.5*(($A675-'Control Room'!$A$15-('Control Room'!$B$15-1)/2)/MAX(0.5,'Control Room'!$B$15/4))^2),1)*IF(AND($A675&gt;='Control Room'!$A$16,$A675&lt;'Control Room'!$A$16+'Control Room'!$B$16,'Process'!BL5=1),1+('Control Room'!$C$16-1)*EXP(-0.5*(($A675-'Control Room'!$A$16-('Control Room'!$B$16-1)/2)/MAX(0.5,'Control Room'!$B$16/4))^2),1)</x:f>
        <x:v>1</x:v>
      </x:c>
      <x:c r="L675" s="9" t="n">
        <x:f>MOD(M674*16807,2147483647)</x:f>
        <x:v>716090969</x:v>
      </x:c>
      <x:c r="M675" s="9" t="n">
        <x:f>MOD(L675*16807,2147483647)</x:f>
        <x:v>842558195</x:v>
      </x:c>
      <x:c r="N675" s="17" t="n">
        <x:f>IF('Control Room'!$B$5="Normal",'Control Room'!$B$7+'Control Room'!$D$7*SQRT(-2*LN(MAX(0.000000000001,L675/2147483647)))*COS(2*PI()*M675/2147483647),'Control Room'!$B$8+('Control Room'!$D$8-'Control Room'!$B$8)*L675/2147483647)</x:f>
        <x:v>895.9826272128695</x:v>
      </x:c>
      <x:c r="O675" s="17" t="n">
        <x:f>IF('Control Room'!$B$5="Normal",'Control Room'!$B$7,('Control Room'!$B$8+'Control Room'!$D$8)/2)+'Control Room'!$B$9*(O674-IF('Control Room'!$B$5="Normal",'Control Room'!$B$7,('Control Room'!$B$8+'Control Room'!$D$8)/2))+SQRT(1-'Control Room'!$B$9^2)*(N675-IF('Control Room'!$B$5="Normal",'Control Room'!$B$7,('Control Room'!$B$8+'Control Room'!$D$8)/2))</x:f>
        <x:v>910.7989968285028</x:v>
      </x:c>
      <x:c r="P675" s="17" t="n">
        <x:f>IF(AND($A675&gt;='Control Room'!$A$13,$A675&lt;'Control Room'!$A$13+'Control Room'!$B$13,'Process'!BM2=1),1+('Control Room'!$C$13-1)*EXP(-0.5*(($A675-'Control Room'!$A$13-('Control Room'!$B$13-1)/2)/MAX(0.5,'Control Room'!$B$13/4))^2),1)*IF(AND($A675&gt;='Control Room'!$A$14,$A675&lt;'Control Room'!$A$14+'Control Room'!$B$14,'Process'!BM3=1),1+('Control Room'!$C$14-1)*EXP(-0.5*(($A675-'Control Room'!$A$14-('Control Room'!$B$14-1)/2)/MAX(0.5,'Control Room'!$B$14/4))^2),1)*IF(AND($A675&gt;='Control Room'!$A$15,$A675&lt;'Control Room'!$A$15+'Control Room'!$B$15,'Process'!BM4=1),1+('Control Room'!$C$15-1)*EXP(-0.5*(($A675-'Control Room'!$A$15-('Control Room'!$B$15-1)/2)/MAX(0.5,'Control Room'!$B$15/4))^2),1)*IF(AND($A675&gt;='Control Room'!$A$16,$A675&lt;'Control Room'!$A$16+'Control Room'!$B$16,'Process'!BM5=1),1+('Control Room'!$C$16-1)*EXP(-0.5*(($A675-'Control Room'!$A$16-('Control Room'!$B$16-1)/2)/MAX(0.5,'Control Room'!$B$16/4))^2),1)</x:f>
        <x:v>1</x:v>
      </x:c>
      <x:c r="Q675" s="9" t="n">
        <x:f>MOD(R674*16807,2147483647)</x:f>
        <x:v>1783107982</x:v>
      </x:c>
      <x:c r="R675" s="9" t="n">
        <x:f>MOD(Q675*16807,2147483647)</x:f>
        <x:v>561559589</x:v>
      </x:c>
      <x:c r="S675" s="17" t="n">
        <x:f>IF('Control Room'!$B$5="Normal",'Control Room'!$B$7+'Control Room'!$D$7*SQRT(-2*LN(MAX(0.000000000001,Q675/2147483647)))*COS(2*PI()*R675/2147483647),'Control Room'!$B$8+('Control Room'!$D$8-'Control Room'!$B$8)*Q675/2147483647)</x:f>
        <x:v>996.0389286461354</x:v>
      </x:c>
      <x:c r="T675" s="17" t="n">
        <x:f>IF('Control Room'!$B$5="Normal",'Control Room'!$B$7,('Control Room'!$B$8+'Control Room'!$D$8)/2)+'Control Room'!$B$9*(T674-IF('Control Room'!$B$5="Normal",'Control Room'!$B$7,('Control Room'!$B$8+'Control Room'!$D$8)/2))+SQRT(1-'Control Room'!$B$9^2)*(S675-IF('Control Room'!$B$5="Normal",'Control Room'!$B$7,('Control Room'!$B$8+'Control Room'!$D$8)/2))</x:f>
        <x:v>963.7938962116677</x:v>
      </x:c>
      <x:c r="U675" s="17" t="n">
        <x:f>IF(AND($A675&gt;='Control Room'!$A$13,$A675&lt;'Control Room'!$A$13+'Control Room'!$B$13,'Process'!BN2=1),1+('Control Room'!$C$13-1)*EXP(-0.5*(($A675-'Control Room'!$A$13-('Control Room'!$B$13-1)/2)/MAX(0.5,'Control Room'!$B$13/4))^2),1)*IF(AND($A675&gt;='Control Room'!$A$14,$A675&lt;'Control Room'!$A$14+'Control Room'!$B$14,'Process'!BN3=1),1+('Control Room'!$C$14-1)*EXP(-0.5*(($A675-'Control Room'!$A$14-('Control Room'!$B$14-1)/2)/MAX(0.5,'Control Room'!$B$14/4))^2),1)*IF(AND($A675&gt;='Control Room'!$A$15,$A675&lt;'Control Room'!$A$15+'Control Room'!$B$15,'Process'!BN4=1),1+('Control Room'!$C$15-1)*EXP(-0.5*(($A675-'Control Room'!$A$15-('Control Room'!$B$15-1)/2)/MAX(0.5,'Control Room'!$B$15/4))^2),1)*IF(AND($A675&gt;='Control Room'!$A$16,$A675&lt;'Control Room'!$A$16+'Control Room'!$B$16,'Process'!BN5=1),1+('Control Room'!$C$16-1)*EXP(-0.5*(($A675-'Control Room'!$A$16-('Control Room'!$B$16-1)/2)/MAX(0.5,'Control Room'!$B$16/4))^2),1)</x:f>
        <x:v>1</x:v>
      </x:c>
      <x:c r="V675" s="9" t="n">
        <x:f>MOD(W674*16807,2147483647)</x:f>
        <x:v>702641348</x:v>
      </x:c>
      <x:c r="W675" s="9" t="n">
        <x:f>MOD(V675*16807,2147483647)</x:f>
        <x:v>280560983</x:v>
      </x:c>
      <x:c r="X675" s="17" t="n">
        <x:f>IF('Control Room'!$B$5="Normal",'Control Room'!$B$7+'Control Room'!$D$7*SQRT(-2*LN(MAX(0.000000000001,V675/2147483647)))*COS(2*PI()*W675/2147483647),'Control Room'!$B$8+('Control Room'!$D$8-'Control Room'!$B$8)*V675/2147483647)</x:f>
        <x:v>1091.694103821351</x:v>
      </x:c>
      <x:c r="Y675" s="17" t="n">
        <x:f>IF('Control Room'!$B$5="Normal",'Control Room'!$B$7,('Control Room'!$B$8+'Control Room'!$D$8)/2)+'Control Room'!$B$9*(Y674-IF('Control Room'!$B$5="Normal",'Control Room'!$B$7,('Control Room'!$B$8+'Control Room'!$D$8)/2))+SQRT(1-'Control Room'!$B$9^2)*(X675-IF('Control Room'!$B$5="Normal",'Control Room'!$B$7,('Control Room'!$B$8+'Control Room'!$D$8)/2))</x:f>
        <x:v>962.7178057264852</x:v>
      </x:c>
      <x:c r="Z675" s="17" t="n">
        <x:f>IF(AND($A675&gt;='Control Room'!$A$13,$A675&lt;'Control Room'!$A$13+'Control Room'!$B$13,'Process'!BO2=1),1+('Control Room'!$C$13-1)*EXP(-0.5*(($A675-'Control Room'!$A$13-('Control Room'!$B$13-1)/2)/MAX(0.5,'Control Room'!$B$13/4))^2),1)*IF(AND($A675&gt;='Control Room'!$A$14,$A675&lt;'Control Room'!$A$14+'Control Room'!$B$14,'Process'!BO3=1),1+('Control Room'!$C$14-1)*EXP(-0.5*(($A675-'Control Room'!$A$14-('Control Room'!$B$14-1)/2)/MAX(0.5,'Control Room'!$B$14/4))^2),1)*IF(AND($A675&gt;='Control Room'!$A$15,$A675&lt;'Control Room'!$A$15+'Control Room'!$B$15,'Process'!BO4=1),1+('Control Room'!$C$15-1)*EXP(-0.5*(($A675-'Control Room'!$A$15-('Control Room'!$B$15-1)/2)/MAX(0.5,'Control Room'!$B$15/4))^2),1)*IF(AND($A675&gt;='Control Room'!$A$16,$A675&lt;'Control Room'!$A$16+'Control Room'!$B$16,'Process'!BO5=1),1+('Control Room'!$C$16-1)*EXP(-0.5*(($A675-'Control Room'!$A$16-('Control Room'!$B$16-1)/2)/MAX(0.5,'Control Room'!$B$16/4))^2),1)</x:f>
        <x:v>1</x:v>
      </x:c>
      <x:c r="AA675" s="9" t="n">
        <x:f>MOD(AB674*16807,2147483647)</x:f>
        <x:v>1769658361</x:v>
      </x:c>
      <x:c r="AB675" s="9" t="n">
        <x:f>MOD(AA675*16807,2147483647)</x:f>
        <x:v>2147046024</x:v>
      </x:c>
      <x:c r="AC675" s="17" t="n">
        <x:f>IF('Control Room'!$B$5="Normal",'Control Room'!$B$7+'Control Room'!$D$7*SQRT(-2*LN(MAX(0.000000000001,AA675/2147483647)))*COS(2*PI()*AB675/2147483647),'Control Room'!$B$8+('Control Room'!$D$8-'Control Room'!$B$8)*AA675/2147483647)</x:f>
        <x:v>1055.989828399384</x:v>
      </x:c>
      <x:c r="AD675" s="17" t="n">
        <x:f>IF('Control Room'!$B$5="Normal",'Control Room'!$B$7,('Control Room'!$B$8+'Control Room'!$D$8)/2)+'Control Room'!$B$9*(AD674-IF('Control Room'!$B$5="Normal",'Control Room'!$B$7,('Control Room'!$B$8+'Control Room'!$D$8)/2))+SQRT(1-'Control Room'!$B$9^2)*(AC675-IF('Control Room'!$B$5="Normal",'Control Room'!$B$7,('Control Room'!$B$8+'Control Room'!$D$8)/2))</x:f>
        <x:v>925.8537570615852</x:v>
      </x:c>
      <x:c r="AE675" s="17" t="n">
        <x:f>IF(AND($A675&gt;='Control Room'!$A$13,$A675&lt;'Control Room'!$A$13+'Control Room'!$B$13,'Process'!BP2=1),1+('Control Room'!$C$13-1)*EXP(-0.5*(($A675-'Control Room'!$A$13-('Control Room'!$B$13-1)/2)/MAX(0.5,'Control Room'!$B$13/4))^2),1)*IF(AND($A675&gt;='Control Room'!$A$14,$A675&lt;'Control Room'!$A$14+'Control Room'!$B$14,'Process'!BP3=1),1+('Control Room'!$C$14-1)*EXP(-0.5*(($A675-'Control Room'!$A$14-('Control Room'!$B$14-1)/2)/MAX(0.5,'Control Room'!$B$14/4))^2),1)*IF(AND($A675&gt;='Control Room'!$A$15,$A675&lt;'Control Room'!$A$15+'Control Room'!$B$15,'Process'!BP4=1),1+('Control Room'!$C$15-1)*EXP(-0.5*(($A675-'Control Room'!$A$15-('Control Room'!$B$15-1)/2)/MAX(0.5,'Control Room'!$B$15/4))^2),1)*IF(AND($A675&gt;='Control Room'!$A$16,$A675&lt;'Control Room'!$A$16+'Control Room'!$B$16,'Process'!BP5=1),1+('Control Room'!$C$16-1)*EXP(-0.5*(($A675-'Control Room'!$A$16-('Control Room'!$B$16-1)/2)/MAX(0.5,'Control Room'!$B$16/4))^2),1)</x:f>
        <x:v>1</x:v>
      </x:c>
      <x:c r="AF675" s="9" t="n">
        <x:f>MOD(AG674*16807,2147483647)</x:f>
        <x:v>689191727</x:v>
      </x:c>
      <x:c r="AG675" s="9" t="n">
        <x:f>MOD(AF675*16807,2147483647)</x:f>
        <x:v>1866047418</x:v>
      </x:c>
      <x:c r="AH675" s="17" t="n">
        <x:f>IF('Control Room'!$B$5="Normal",'Control Room'!$B$7+'Control Room'!$D$7*SQRT(-2*LN(MAX(0.000000000001,AF675/2147483647)))*COS(2*PI()*AG675/2147483647),'Control Room'!$B$8+('Control Room'!$D$8-'Control Room'!$B$8)*AF675/2147483647)</x:f>
        <x:v>1092.2292654732921</x:v>
      </x:c>
      <x:c r="AI675" s="17" t="n">
        <x:f>IF('Control Room'!$B$5="Normal",'Control Room'!$B$7,('Control Room'!$B$8+'Control Room'!$D$8)/2)+'Control Room'!$B$9*(AI674-IF('Control Room'!$B$5="Normal",'Control Room'!$B$7,('Control Room'!$B$8+'Control Room'!$D$8)/2))+SQRT(1-'Control Room'!$B$9^2)*(AH675-IF('Control Room'!$B$5="Normal",'Control Room'!$B$7,('Control Room'!$B$8+'Control Room'!$D$8)/2))</x:f>
        <x:v>1041.552366190464</x:v>
      </x:c>
      <x:c r="AJ675" s="17" t="n">
        <x:f>IF(AND($A675&gt;='Control Room'!$A$13,$A675&lt;'Control Room'!$A$13+'Control Room'!$B$13,'Process'!BQ2=1),1+('Control Room'!$C$13-1)*EXP(-0.5*(($A675-'Control Room'!$A$13-('Control Room'!$B$13-1)/2)/MAX(0.5,'Control Room'!$B$13/4))^2),1)*IF(AND($A675&gt;='Control Room'!$A$14,$A675&lt;'Control Room'!$A$14+'Control Room'!$B$14,'Process'!BQ3=1),1+('Control Room'!$C$14-1)*EXP(-0.5*(($A675-'Control Room'!$A$14-('Control Room'!$B$14-1)/2)/MAX(0.5,'Control Room'!$B$14/4))^2),1)*IF(AND($A675&gt;='Control Room'!$A$15,$A675&lt;'Control Room'!$A$15+'Control Room'!$B$15,'Process'!BQ4=1),1+('Control Room'!$C$15-1)*EXP(-0.5*(($A675-'Control Room'!$A$15-('Control Room'!$B$15-1)/2)/MAX(0.5,'Control Room'!$B$15/4))^2),1)*IF(AND($A675&gt;='Control Room'!$A$16,$A675&lt;'Control Room'!$A$16+'Control Room'!$B$16,'Process'!BQ5=1),1+('Control Room'!$C$16-1)*EXP(-0.5*(($A675-'Control Room'!$A$16-('Control Room'!$B$16-1)/2)/MAX(0.5,'Control Room'!$B$16/4))^2),1)</x:f>
        <x:v>1</x:v>
      </x:c>
      <x:c r="AK675" s="9" t="n">
        <x:f>MOD(AL674*16807,2147483647)</x:f>
        <x:v>1756208740</x:v>
      </x:c>
      <x:c r="AL675" s="9" t="n">
        <x:f>MOD(AK675*16807,2147483647)</x:f>
        <x:v>1585048812</x:v>
      </x:c>
      <x:c r="AM675" s="17" t="n">
        <x:f>IF('Control Room'!$B$5="Normal",'Control Room'!$B$7+'Control Room'!$D$7*SQRT(-2*LN(MAX(0.000000000001,AK675/2147483647)))*COS(2*PI()*AL675/2147483647),'Control Room'!$B$8+('Control Room'!$D$8-'Control Room'!$B$8)*AK675/2147483647)</x:f>
        <x:v>995.734415235109</x:v>
      </x:c>
      <x:c r="AN675" s="17" t="n">
        <x:f>IF('Control Room'!$B$5="Normal",'Control Room'!$B$7,('Control Room'!$B$8+'Control Room'!$D$8)/2)+'Control Room'!$B$9*(AN674-IF('Control Room'!$B$5="Normal",'Control Room'!$B$7,('Control Room'!$B$8+'Control Room'!$D$8)/2))+SQRT(1-'Control Room'!$B$9^2)*(AM675-IF('Control Room'!$B$5="Normal",'Control Room'!$B$7,('Control Room'!$B$8+'Control Room'!$D$8)/2))</x:f>
        <x:v>992.2160758307443</x:v>
      </x:c>
      <x:c r="AO675" s="17" t="n">
        <x:f>IF(AND($A675&gt;='Control Room'!$A$13,$A675&lt;'Control Room'!$A$13+'Control Room'!$B$13,'Process'!BR2=1),1+('Control Room'!$C$13-1)*EXP(-0.5*(($A675-'Control Room'!$A$13-('Control Room'!$B$13-1)/2)/MAX(0.5,'Control Room'!$B$13/4))^2),1)*IF(AND($A675&gt;='Control Room'!$A$14,$A675&lt;'Control Room'!$A$14+'Control Room'!$B$14,'Process'!BR3=1),1+('Control Room'!$C$14-1)*EXP(-0.5*(($A675-'Control Room'!$A$14-('Control Room'!$B$14-1)/2)/MAX(0.5,'Control Room'!$B$14/4))^2),1)*IF(AND($A675&gt;='Control Room'!$A$15,$A675&lt;'Control Room'!$A$15+'Control Room'!$B$15,'Process'!BR4=1),1+('Control Room'!$C$15-1)*EXP(-0.5*(($A675-'Control Room'!$A$15-('Control Room'!$B$15-1)/2)/MAX(0.5,'Control Room'!$B$15/4))^2),1)*IF(AND($A675&gt;='Control Room'!$A$16,$A675&lt;'Control Room'!$A$16+'Control Room'!$B$16,'Process'!BR5=1),1+('Control Room'!$C$16-1)*EXP(-0.5*(($A675-'Control Room'!$A$16-('Control Room'!$B$16-1)/2)/MAX(0.5,'Control Room'!$B$16/4))^2),1)</x:f>
        <x:v>1</x:v>
      </x:c>
      <x:c r="AP675" s="9" t="n">
        <x:f>MOD(AQ674*16807,2147483647)</x:f>
        <x:v>675742106</x:v>
      </x:c>
      <x:c r="AQ675" s="9" t="n">
        <x:f>MOD(AP675*16807,2147483647)</x:f>
        <x:v>1304050206</x:v>
      </x:c>
      <x:c r="AR675" s="17" t="n">
        <x:f>IF('Control Room'!$B$5="Normal",'Control Room'!$B$7+'Control Room'!$D$7*SQRT(-2*LN(MAX(0.000000000001,AP675/2147483647)))*COS(2*PI()*AQ675/2147483647),'Control Room'!$B$8+('Control Room'!$D$8-'Control Room'!$B$8)*AP675/2147483647)</x:f>
        <x:v>893.0524558749898</x:v>
      </x:c>
      <x:c r="AS675" s="17" t="n">
        <x:f>IF('Control Room'!$B$5="Normal",'Control Room'!$B$7,('Control Room'!$B$8+'Control Room'!$D$8)/2)+'Control Room'!$B$9*(AS674-IF('Control Room'!$B$5="Normal",'Control Room'!$B$7,('Control Room'!$B$8+'Control Room'!$D$8)/2))+SQRT(1-'Control Room'!$B$9^2)*(AR675-IF('Control Room'!$B$5="Normal",'Control Room'!$B$7,('Control Room'!$B$8+'Control Room'!$D$8)/2))</x:f>
        <x:v>970.2857480012751</x:v>
      </x:c>
      <x:c r="AT675" s="17" t="n">
        <x:f>IF(AND($A675&gt;='Control Room'!$A$13,$A675&lt;'Control Room'!$A$13+'Control Room'!$B$13,'Process'!BS2=1),1+('Control Room'!$C$13-1)*EXP(-0.5*(($A675-'Control Room'!$A$13-('Control Room'!$B$13-1)/2)/MAX(0.5,'Control Room'!$B$13/4))^2),1)*IF(AND($A675&gt;='Control Room'!$A$14,$A675&lt;'Control Room'!$A$14+'Control Room'!$B$14,'Process'!BS3=1),1+('Control Room'!$C$14-1)*EXP(-0.5*(($A675-'Control Room'!$A$14-('Control Room'!$B$14-1)/2)/MAX(0.5,'Control Room'!$B$14/4))^2),1)*IF(AND($A675&gt;='Control Room'!$A$15,$A675&lt;'Control Room'!$A$15+'Control Room'!$B$15,'Process'!BS4=1),1+('Control Room'!$C$15-1)*EXP(-0.5*(($A675-'Control Room'!$A$15-('Control Room'!$B$15-1)/2)/MAX(0.5,'Control Room'!$B$15/4))^2),1)*IF(AND($A675&gt;='Control Room'!$A$16,$A675&lt;'Control Room'!$A$16+'Control Room'!$B$16,'Process'!BS5=1),1+('Control Room'!$C$16-1)*EXP(-0.5*(($A675-'Control Room'!$A$16-('Control Room'!$B$16-1)/2)/MAX(0.5,'Control Room'!$B$16/4))^2),1)</x:f>
        <x:v>1</x:v>
      </x:c>
      <x:c r="AU675" s="9" t="n">
        <x:f>MOD(AV674*16807,2147483647)</x:f>
        <x:v>1742759119</x:v>
      </x:c>
      <x:c r="AV675" s="9" t="n">
        <x:f>MOD(AU675*16807,2147483647)</x:f>
        <x:v>1023051600</x:v>
      </x:c>
      <x:c r="AW675" s="17" t="n">
        <x:f>IF('Control Room'!$B$5="Normal",'Control Room'!$B$7+'Control Room'!$D$7*SQRT(-2*LN(MAX(0.000000000001,AU675/2147483647)))*COS(2*PI()*AV675/2147483647),'Control Room'!$B$8+('Control Room'!$D$8-'Control Room'!$B$8)*AU675/2147483647)</x:f>
        <x:v>942.4749498894181</x:v>
      </x:c>
      <x:c r="AX675" s="17" t="n">
        <x:f>IF('Control Room'!$B$5="Normal",'Control Room'!$B$7,('Control Room'!$B$8+'Control Room'!$D$8)/2)+'Control Room'!$B$9*(AX674-IF('Control Room'!$B$5="Normal",'Control Room'!$B$7,('Control Room'!$B$8+'Control Room'!$D$8)/2))+SQRT(1-'Control Room'!$B$9^2)*(AW675-IF('Control Room'!$B$5="Normal",'Control Room'!$B$7,('Control Room'!$B$8+'Control Room'!$D$8)/2))</x:f>
        <x:v>962.9452214817917</x:v>
      </x:c>
      <x:c r="AY675" s="17" t="n">
        <x:f>IF(AND($A675&gt;='Control Room'!$A$13,$A675&lt;'Control Room'!$A$13+'Control Room'!$B$13,'Process'!BT2=1),1+('Control Room'!$C$13-1)*EXP(-0.5*(($A675-'Control Room'!$A$13-('Control Room'!$B$13-1)/2)/MAX(0.5,'Control Room'!$B$13/4))^2),1)*IF(AND($A675&gt;='Control Room'!$A$14,$A675&lt;'Control Room'!$A$14+'Control Room'!$B$14,'Process'!BT3=1),1+('Control Room'!$C$14-1)*EXP(-0.5*(($A675-'Control Room'!$A$14-('Control Room'!$B$14-1)/2)/MAX(0.5,'Control Room'!$B$14/4))^2),1)*IF(AND($A675&gt;='Control Room'!$A$15,$A675&lt;'Control Room'!$A$15+'Control Room'!$B$15,'Process'!BT4=1),1+('Control Room'!$C$15-1)*EXP(-0.5*(($A675-'Control Room'!$A$15-('Control Room'!$B$15-1)/2)/MAX(0.5,'Control Room'!$B$15/4))^2),1)*IF(AND($A675&gt;='Control Room'!$A$16,$A675&lt;'Control Room'!$A$16+'Control Room'!$B$16,'Process'!BT5=1),1+('Control Room'!$C$16-1)*EXP(-0.5*(($A675-'Control Room'!$A$16-('Control Room'!$B$16-1)/2)/MAX(0.5,'Control Room'!$B$16/4))^2),1)</x:f>
        <x:v>1</x:v>
      </x:c>
      <x:c r="AZ675" s="9" t="n">
        <x:f>MOD(BA674*16807,2147483647)</x:f>
        <x:v>662292485</x:v>
      </x:c>
      <x:c r="BA675" s="9" t="n">
        <x:f>MOD(AZ675*16807,2147483647)</x:f>
        <x:v>742052994</x:v>
      </x:c>
      <x:c r="BB675" s="17" t="n">
        <x:f>IF('Control Room'!$B$5="Normal",'Control Room'!$B$7+'Control Room'!$D$7*SQRT(-2*LN(MAX(0.000000000001,AZ675/2147483647)))*COS(2*PI()*BA675/2147483647),'Control Room'!$B$8+('Control Room'!$D$8-'Control Room'!$B$8)*AZ675/2147483647)</x:f>
        <x:v>922.0156892196129</x:v>
      </x:c>
      <x:c r="BC675" s="17" t="n">
        <x:f>IF('Control Room'!$B$5="Normal",'Control Room'!$B$7,('Control Room'!$B$8+'Control Room'!$D$8)/2)+'Control Room'!$B$9*(BC674-IF('Control Room'!$B$5="Normal",'Control Room'!$B$7,('Control Room'!$B$8+'Control Room'!$D$8)/2))+SQRT(1-'Control Room'!$B$9^2)*(BB675-IF('Control Room'!$B$5="Normal",'Control Room'!$B$7,('Control Room'!$B$8+'Control Room'!$D$8)/2))</x:f>
        <x:v>951.3923295509265</x:v>
      </x:c>
      <x:c r="BD675" s="17" t="n">
        <x:f>IF(AND($A675&gt;='Control Room'!$A$13,$A675&lt;'Control Room'!$A$13+'Control Room'!$B$13,'Process'!BU2=1),1+('Control Room'!$C$13-1)*EXP(-0.5*(($A675-'Control Room'!$A$13-('Control Room'!$B$13-1)/2)/MAX(0.5,'Control Room'!$B$13/4))^2),1)*IF(AND($A675&gt;='Control Room'!$A$14,$A675&lt;'Control Room'!$A$14+'Control Room'!$B$14,'Process'!BU3=1),1+('Control Room'!$C$14-1)*EXP(-0.5*(($A675-'Control Room'!$A$14-('Control Room'!$B$14-1)/2)/MAX(0.5,'Control Room'!$B$14/4))^2),1)*IF(AND($A675&gt;='Control Room'!$A$15,$A675&lt;'Control Room'!$A$15+'Control Room'!$B$15,'Process'!BU4=1),1+('Control Room'!$C$15-1)*EXP(-0.5*(($A675-'Control Room'!$A$15-('Control Room'!$B$15-1)/2)/MAX(0.5,'Control Room'!$B$15/4))^2),1)*IF(AND($A675&gt;='Control Room'!$A$16,$A675&lt;'Control Room'!$A$16+'Control Room'!$B$16,'Process'!BU5=1),1+('Control Room'!$C$16-1)*EXP(-0.5*(($A675-'Control Room'!$A$16-('Control Room'!$B$16-1)/2)/MAX(0.5,'Control Room'!$B$16/4))^2),1)</x:f>
        <x:v>1</x:v>
      </x:c>
      <x:c r="BE675" s="9" t="n">
        <x:f>MOD(BF674*16807,2147483647)</x:f>
        <x:v>1729309498</x:v>
      </x:c>
      <x:c r="BF675" s="9" t="n">
        <x:f>MOD(BE675*16807,2147483647)</x:f>
        <x:v>461054388</x:v>
      </x:c>
      <x:c r="BG675" s="17" t="n">
        <x:f>IF('Control Room'!$B$5="Normal",'Control Room'!$B$7+'Control Room'!$D$7*SQRT(-2*LN(MAX(0.000000000001,BE675/2147483647)))*COS(2*PI()*BF675/2147483647),'Control Room'!$B$8+('Control Room'!$D$8-'Control Room'!$B$8)*BE675/2147483647)</x:f>
        <x:v>1013.0318932799333</x:v>
      </x:c>
      <x:c r="BH675" s="17" t="n">
        <x:f>IF('Control Room'!$B$5="Normal",'Control Room'!$B$7,('Control Room'!$B$8+'Control Room'!$D$8)/2)+'Control Room'!$B$9*(BH674-IF('Control Room'!$B$5="Normal",'Control Room'!$B$7,('Control Room'!$B$8+'Control Room'!$D$8)/2))+SQRT(1-'Control Room'!$B$9^2)*(BG675-IF('Control Room'!$B$5="Normal",'Control Room'!$B$7,('Control Room'!$B$8+'Control Room'!$D$8)/2))</x:f>
        <x:v>909.8948698898357</x:v>
      </x:c>
      <x:c r="BI675" s="17" t="n">
        <x:f>IF(AND($A675&gt;='Control Room'!$A$13,$A675&lt;'Control Room'!$A$13+'Control Room'!$B$13,'Process'!BV2=1),1+('Control Room'!$C$13-1)*EXP(-0.5*(($A675-'Control Room'!$A$13-('Control Room'!$B$13-1)/2)/MAX(0.5,'Control Room'!$B$13/4))^2),1)*IF(AND($A675&gt;='Control Room'!$A$14,$A675&lt;'Control Room'!$A$14+'Control Room'!$B$14,'Process'!BV3=1),1+('Control Room'!$C$14-1)*EXP(-0.5*(($A675-'Control Room'!$A$14-('Control Room'!$B$14-1)/2)/MAX(0.5,'Control Room'!$B$14/4))^2),1)*IF(AND($A675&gt;='Control Room'!$A$15,$A675&lt;'Control Room'!$A$15+'Control Room'!$B$15,'Process'!BV4=1),1+('Control Room'!$C$15-1)*EXP(-0.5*(($A675-'Control Room'!$A$15-('Control Room'!$B$15-1)/2)/MAX(0.5,'Control Room'!$B$15/4))^2),1)*IF(AND($A675&gt;='Control Room'!$A$16,$A675&lt;'Control Room'!$A$16+'Control Room'!$B$16,'Process'!BV5=1),1+('Control Room'!$C$16-1)*EXP(-0.5*(($A675-'Control Room'!$A$16-('Control Room'!$B$16-1)/2)/MAX(0.5,'Control Room'!$B$16/4))^2),1)</x:f>
        <x:v>1</x:v>
      </x:c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Z675" t="str">
        <x:f>IF('Data'!A675="","",TEXT('Data'!A675,"mm-dd"))</x:f>
      </x:c>
    </x:row>
    <x:row r="676" ht="21" customHeight="1">
      <x:c r="A676" s="15" t="n">
        <x:f>'Control Room'!$B$1+674</x:f>
        <x:v>73665</x:v>
      </x:c>
      <x:c r="B676" s="9" t="n">
        <x:f>MOD(C675*16807,2147483647)</x:f>
        <x:v>1222477625</x:v>
      </x:c>
      <x:c r="C676" s="9" t="n">
        <x:f>MOD(B676*16807,2147483647)</x:f>
        <x:v>1205392526</x:v>
      </x:c>
      <x:c r="D676" s="17" t="n">
        <x:f>IF('Control Room'!$B$5="Normal",'Control Room'!$B$7+'Control Room'!$D$7*SQRT(-2*LN(MAX(0.000000000001,B676/2147483647)))*COS(2*PI()*C676/2147483647),'Control Room'!$B$8+('Control Room'!$D$8-'Control Room'!$B$8)*B676/2147483647)</x:f>
        <x:v>911.4630298899699</x:v>
      </x:c>
      <x:c r="E676" s="17" t="n">
        <x:f>IF('Control Room'!$B$5="Normal",'Control Room'!$B$7,('Control Room'!$B$8+'Control Room'!$D$8)/2)+'Control Room'!$B$9*(E675-IF('Control Room'!$B$5="Normal",'Control Room'!$B$7,('Control Room'!$B$8+'Control Room'!$D$8)/2))+SQRT(1-'Control Room'!$B$9^2)*(D676-IF('Control Room'!$B$5="Normal",'Control Room'!$B$7,('Control Room'!$B$8+'Control Room'!$D$8)/2))</x:f>
        <x:v>971.3754851325486</x:v>
      </x:c>
      <x:c r="F676" s="17" t="n">
        <x:f>IF(AND($A676&gt;='Control Room'!$A$13,$A676&lt;'Control Room'!$A$13+'Control Room'!$B$13,'Process'!BK2=1),1+('Control Room'!$C$13-1)*EXP(-0.5*(($A676-'Control Room'!$A$13-('Control Room'!$B$13-1)/2)/MAX(0.5,'Control Room'!$B$13/4))^2),1)*IF(AND($A676&gt;='Control Room'!$A$14,$A676&lt;'Control Room'!$A$14+'Control Room'!$B$14,'Process'!BK3=1),1+('Control Room'!$C$14-1)*EXP(-0.5*(($A676-'Control Room'!$A$14-('Control Room'!$B$14-1)/2)/MAX(0.5,'Control Room'!$B$14/4))^2),1)*IF(AND($A676&gt;='Control Room'!$A$15,$A676&lt;'Control Room'!$A$15+'Control Room'!$B$15,'Process'!BK4=1),1+('Control Room'!$C$15-1)*EXP(-0.5*(($A676-'Control Room'!$A$15-('Control Room'!$B$15-1)/2)/MAX(0.5,'Control Room'!$B$15/4))^2),1)*IF(AND($A676&gt;='Control Room'!$A$16,$A676&lt;'Control Room'!$A$16+'Control Room'!$B$16,'Process'!BK5=1),1+('Control Room'!$C$16-1)*EXP(-0.5*(($A676-'Control Room'!$A$16-('Control Room'!$B$16-1)/2)/MAX(0.5,'Control Room'!$B$16/4))^2),1)</x:f>
        <x:v>1</x:v>
      </x:c>
      <x:c r="G676" s="9" t="n">
        <x:f>MOD(H675*16807,2147483647)</x:f>
        <x:v>795446336</x:v>
      </x:c>
      <x:c r="H676" s="9" t="n">
        <x:f>MOD(G676*16807,2147483647)</x:f>
        <x:v>980866577</x:v>
      </x:c>
      <x:c r="I676" s="17" t="n">
        <x:f>IF('Control Room'!$B$5="Normal",'Control Room'!$B$7+'Control Room'!$D$7*SQRT(-2*LN(MAX(0.000000000001,G676/2147483647)))*COS(2*PI()*H676/2147483647),'Control Room'!$B$8+('Control Room'!$D$8-'Control Room'!$B$8)*G676/2147483647)</x:f>
        <x:v>877.8119120343301</x:v>
      </x:c>
      <x:c r="J676" s="17" t="n">
        <x:f>IF('Control Room'!$B$5="Normal",'Control Room'!$B$7,('Control Room'!$B$8+'Control Room'!$D$8)/2)+'Control Room'!$B$9*(J675-IF('Control Room'!$B$5="Normal",'Control Room'!$B$7,('Control Room'!$B$8+'Control Room'!$D$8)/2))+SQRT(1-'Control Room'!$B$9^2)*(I676-IF('Control Room'!$B$5="Normal",'Control Room'!$B$7,('Control Room'!$B$8+'Control Room'!$D$8)/2))</x:f>
        <x:v>914.7326150872882</x:v>
      </x:c>
      <x:c r="K676" s="17" t="n">
        <x:f>IF(AND($A676&gt;='Control Room'!$A$13,$A676&lt;'Control Room'!$A$13+'Control Room'!$B$13,'Process'!BL2=1),1+('Control Room'!$C$13-1)*EXP(-0.5*(($A676-'Control Room'!$A$13-('Control Room'!$B$13-1)/2)/MAX(0.5,'Control Room'!$B$13/4))^2),1)*IF(AND($A676&gt;='Control Room'!$A$14,$A676&lt;'Control Room'!$A$14+'Control Room'!$B$14,'Process'!BL3=1),1+('Control Room'!$C$14-1)*EXP(-0.5*(($A676-'Control Room'!$A$14-('Control Room'!$B$14-1)/2)/MAX(0.5,'Control Room'!$B$14/4))^2),1)*IF(AND($A676&gt;='Control Room'!$A$15,$A676&lt;'Control Room'!$A$15+'Control Room'!$B$15,'Process'!BL4=1),1+('Control Room'!$C$15-1)*EXP(-0.5*(($A676-'Control Room'!$A$15-('Control Room'!$B$15-1)/2)/MAX(0.5,'Control Room'!$B$15/4))^2),1)*IF(AND($A676&gt;='Control Room'!$A$16,$A676&lt;'Control Room'!$A$16+'Control Room'!$B$16,'Process'!BL5=1),1+('Control Room'!$C$16-1)*EXP(-0.5*(($A676-'Control Room'!$A$16-('Control Room'!$B$16-1)/2)/MAX(0.5,'Control Room'!$B$16/4))^2),1)</x:f>
        <x:v>1</x:v>
      </x:c>
      <x:c r="L676" s="9" t="n">
        <x:f>MOD(M675*16807,2147483647)</x:f>
        <x:v>368415047</x:v>
      </x:c>
      <x:c r="M676" s="9" t="n">
        <x:f>MOD(L676*16807,2147483647)</x:f>
        <x:v>756340628</x:v>
      </x:c>
      <x:c r="N676" s="17" t="n">
        <x:f>IF('Control Room'!$B$5="Normal",'Control Room'!$B$7+'Control Room'!$D$7*SQRT(-2*LN(MAX(0.000000000001,L676/2147483647)))*COS(2*PI()*M676/2147483647),'Control Room'!$B$8+('Control Room'!$D$8-'Control Room'!$B$8)*L676/2147483647)</x:f>
        <x:v>898.7903874406959</x:v>
      </x:c>
      <x:c r="O676" s="17" t="n">
        <x:f>IF('Control Room'!$B$5="Normal",'Control Room'!$B$7,('Control Room'!$B$8+'Control Room'!$D$8)/2)+'Control Room'!$B$9*(O675-IF('Control Room'!$B$5="Normal",'Control Room'!$B$7,('Control Room'!$B$8+'Control Room'!$D$8)/2))+SQRT(1-'Control Room'!$B$9^2)*(N676-IF('Control Room'!$B$5="Normal",'Control Room'!$B$7,('Control Room'!$B$8+'Control Room'!$D$8)/2))</x:f>
        <x:v>867.0883153782319</x:v>
      </x:c>
      <x:c r="P676" s="17" t="n">
        <x:f>IF(AND($A676&gt;='Control Room'!$A$13,$A676&lt;'Control Room'!$A$13+'Control Room'!$B$13,'Process'!BM2=1),1+('Control Room'!$C$13-1)*EXP(-0.5*(($A676-'Control Room'!$A$13-('Control Room'!$B$13-1)/2)/MAX(0.5,'Control Room'!$B$13/4))^2),1)*IF(AND($A676&gt;='Control Room'!$A$14,$A676&lt;'Control Room'!$A$14+'Control Room'!$B$14,'Process'!BM3=1),1+('Control Room'!$C$14-1)*EXP(-0.5*(($A676-'Control Room'!$A$14-('Control Room'!$B$14-1)/2)/MAX(0.5,'Control Room'!$B$14/4))^2),1)*IF(AND($A676&gt;='Control Room'!$A$15,$A676&lt;'Control Room'!$A$15+'Control Room'!$B$15,'Process'!BM4=1),1+('Control Room'!$C$15-1)*EXP(-0.5*(($A676-'Control Room'!$A$15-('Control Room'!$B$15-1)/2)/MAX(0.5,'Control Room'!$B$15/4))^2),1)*IF(AND($A676&gt;='Control Room'!$A$16,$A676&lt;'Control Room'!$A$16+'Control Room'!$B$16,'Process'!BM5=1),1+('Control Room'!$C$16-1)*EXP(-0.5*(($A676-'Control Room'!$A$16-('Control Room'!$B$16-1)/2)/MAX(0.5,'Control Room'!$B$16/4))^2),1)</x:f>
        <x:v>1</x:v>
      </x:c>
      <x:c r="Q676" s="9" t="n">
        <x:f>MOD(R675*16807,2147483647)</x:f>
        <x:v>2088867405</x:v>
      </x:c>
      <x:c r="R676" s="9" t="n">
        <x:f>MOD(Q676*16807,2147483647)</x:f>
        <x:v>531814679</x:v>
      </x:c>
      <x:c r="S676" s="17" t="n">
        <x:f>IF('Control Room'!$B$5="Normal",'Control Room'!$B$7+'Control Room'!$D$7*SQRT(-2*LN(MAX(0.000000000001,Q676/2147483647)))*COS(2*PI()*R676/2147483647),'Control Room'!$B$8+('Control Room'!$D$8-'Control Room'!$B$8)*Q676/2147483647)</x:f>
        <x:v>1000.313228014676</x:v>
      </x:c>
      <x:c r="T676" s="17" t="n">
        <x:f>IF('Control Room'!$B$5="Normal",'Control Room'!$B$7,('Control Room'!$B$8+'Control Room'!$D$8)/2)+'Control Room'!$B$9*(T675-IF('Control Room'!$B$5="Normal",'Control Room'!$B$7,('Control Room'!$B$8+'Control Room'!$D$8)/2))+SQRT(1-'Control Room'!$B$9^2)*(S676-IF('Control Room'!$B$5="Normal",'Control Room'!$B$7,('Control Room'!$B$8+'Control Room'!$D$8)/2))</x:f>
        <x:v>971.9552507198604</x:v>
      </x:c>
      <x:c r="U676" s="17" t="n">
        <x:f>IF(AND($A676&gt;='Control Room'!$A$13,$A676&lt;'Control Room'!$A$13+'Control Room'!$B$13,'Process'!BN2=1),1+('Control Room'!$C$13-1)*EXP(-0.5*(($A676-'Control Room'!$A$13-('Control Room'!$B$13-1)/2)/MAX(0.5,'Control Room'!$B$13/4))^2),1)*IF(AND($A676&gt;='Control Room'!$A$14,$A676&lt;'Control Room'!$A$14+'Control Room'!$B$14,'Process'!BN3=1),1+('Control Room'!$C$14-1)*EXP(-0.5*(($A676-'Control Room'!$A$14-('Control Room'!$B$14-1)/2)/MAX(0.5,'Control Room'!$B$14/4))^2),1)*IF(AND($A676&gt;='Control Room'!$A$15,$A676&lt;'Control Room'!$A$15+'Control Room'!$B$15,'Process'!BN4=1),1+('Control Room'!$C$15-1)*EXP(-0.5*(($A676-'Control Room'!$A$15-('Control Room'!$B$15-1)/2)/MAX(0.5,'Control Room'!$B$15/4))^2),1)*IF(AND($A676&gt;='Control Room'!$A$16,$A676&lt;'Control Room'!$A$16+'Control Room'!$B$16,'Process'!BN5=1),1+('Control Room'!$C$16-1)*EXP(-0.5*(($A676-'Control Room'!$A$16-('Control Room'!$B$16-1)/2)/MAX(0.5,'Control Room'!$B$16/4))^2),1)</x:f>
        <x:v>1</x:v>
      </x:c>
      <x:c r="V676" s="9" t="n">
        <x:f>MOD(W675*16807,2147483647)</x:f>
        <x:v>1661836116</x:v>
      </x:c>
      <x:c r="W676" s="9" t="n">
        <x:f>MOD(V676*16807,2147483647)</x:f>
        <x:v>307288730</x:v>
      </x:c>
      <x:c r="X676" s="17" t="n">
        <x:f>IF('Control Room'!$B$5="Normal",'Control Room'!$B$7+'Control Room'!$D$7*SQRT(-2*LN(MAX(0.000000000001,V676/2147483647)))*COS(2*PI()*W676/2147483647),'Control Room'!$B$8+('Control Room'!$D$8-'Control Room'!$B$8)*V676/2147483647)</x:f>
        <x:v>1040.1067192539629</x:v>
      </x:c>
      <x:c r="Y676" s="17" t="n">
        <x:f>IF('Control Room'!$B$5="Normal",'Control Room'!$B$7,('Control Room'!$B$8+'Control Room'!$D$8)/2)+'Control Room'!$B$9*(Y675-IF('Control Room'!$B$5="Normal",'Control Room'!$B$7,('Control Room'!$B$8+'Control Room'!$D$8)/2))+SQRT(1-'Control Room'!$B$9^2)*(X676-IF('Control Room'!$B$5="Normal",'Control Room'!$B$7,('Control Room'!$B$8+'Control Room'!$D$8)/2))</x:f>
        <x:v>996.0178517449849</x:v>
      </x:c>
      <x:c r="Z676" s="17" t="n">
        <x:f>IF(AND($A676&gt;='Control Room'!$A$13,$A676&lt;'Control Room'!$A$13+'Control Room'!$B$13,'Process'!BO2=1),1+('Control Room'!$C$13-1)*EXP(-0.5*(($A676-'Control Room'!$A$13-('Control Room'!$B$13-1)/2)/MAX(0.5,'Control Room'!$B$13/4))^2),1)*IF(AND($A676&gt;='Control Room'!$A$14,$A676&lt;'Control Room'!$A$14+'Control Room'!$B$14,'Process'!BO3=1),1+('Control Room'!$C$14-1)*EXP(-0.5*(($A676-'Control Room'!$A$14-('Control Room'!$B$14-1)/2)/MAX(0.5,'Control Room'!$B$14/4))^2),1)*IF(AND($A676&gt;='Control Room'!$A$15,$A676&lt;'Control Room'!$A$15+'Control Room'!$B$15,'Process'!BO4=1),1+('Control Room'!$C$15-1)*EXP(-0.5*(($A676-'Control Room'!$A$15-('Control Room'!$B$15-1)/2)/MAX(0.5,'Control Room'!$B$15/4))^2),1)*IF(AND($A676&gt;='Control Room'!$A$16,$A676&lt;'Control Room'!$A$16+'Control Room'!$B$16,'Process'!BO5=1),1+('Control Room'!$C$16-1)*EXP(-0.5*(($A676-'Control Room'!$A$16-('Control Room'!$B$16-1)/2)/MAX(0.5,'Control Room'!$B$16/4))^2),1)</x:f>
        <x:v>1</x:v>
      </x:c>
      <x:c r="AA676" s="9" t="n">
        <x:f>MOD(AB675*16807,2147483647)</x:f>
        <x:v>1234804827</x:v>
      </x:c>
      <x:c r="AB676" s="9" t="n">
        <x:f>MOD(AA676*16807,2147483647)</x:f>
        <x:v>82762781</x:v>
      </x:c>
      <x:c r="AC676" s="17" t="n">
        <x:f>IF('Control Room'!$B$5="Normal",'Control Room'!$B$7+'Control Room'!$D$7*SQRT(-2*LN(MAX(0.000000000001,AA676/2147483647)))*COS(2*PI()*AB676/2147483647),'Control Room'!$B$8+('Control Room'!$D$8-'Control Room'!$B$8)*AA676/2147483647)</x:f>
        <x:v>1091.9203162674585</x:v>
      </x:c>
      <x:c r="AD676" s="17" t="n">
        <x:f>IF('Control Room'!$B$5="Normal",'Control Room'!$B$7,('Control Room'!$B$8+'Control Room'!$D$8)/2)+'Control Room'!$B$9*(AD675-IF('Control Room'!$B$5="Normal",'Control Room'!$B$7,('Control Room'!$B$8+'Control Room'!$D$8)/2))+SQRT(1-'Control Room'!$B$9^2)*(AC676-IF('Control Room'!$B$5="Normal",'Control Room'!$B$7,('Control Room'!$B$8+'Control Room'!$D$8)/2))</x:f>
        <x:v>999.6877813381782</x:v>
      </x:c>
      <x:c r="AE676" s="17" t="n">
        <x:f>IF(AND($A676&gt;='Control Room'!$A$13,$A676&lt;'Control Room'!$A$13+'Control Room'!$B$13,'Process'!BP2=1),1+('Control Room'!$C$13-1)*EXP(-0.5*(($A676-'Control Room'!$A$13-('Control Room'!$B$13-1)/2)/MAX(0.5,'Control Room'!$B$13/4))^2),1)*IF(AND($A676&gt;='Control Room'!$A$14,$A676&lt;'Control Room'!$A$14+'Control Room'!$B$14,'Process'!BP3=1),1+('Control Room'!$C$14-1)*EXP(-0.5*(($A676-'Control Room'!$A$14-('Control Room'!$B$14-1)/2)/MAX(0.5,'Control Room'!$B$14/4))^2),1)*IF(AND($A676&gt;='Control Room'!$A$15,$A676&lt;'Control Room'!$A$15+'Control Room'!$B$15,'Process'!BP4=1),1+('Control Room'!$C$15-1)*EXP(-0.5*(($A676-'Control Room'!$A$15-('Control Room'!$B$15-1)/2)/MAX(0.5,'Control Room'!$B$15/4))^2),1)*IF(AND($A676&gt;='Control Room'!$A$16,$A676&lt;'Control Room'!$A$16+'Control Room'!$B$16,'Process'!BP5=1),1+('Control Room'!$C$16-1)*EXP(-0.5*(($A676-'Control Room'!$A$16-('Control Room'!$B$16-1)/2)/MAX(0.5,'Control Room'!$B$16/4))^2),1)</x:f>
        <x:v>1</x:v>
      </x:c>
      <x:c r="AF676" s="9" t="n">
        <x:f>MOD(AG675*16807,2147483647)</x:f>
        <x:v>807773538</x:v>
      </x:c>
      <x:c r="AG676" s="9" t="n">
        <x:f>MOD(AF676*16807,2147483647)</x:f>
        <x:v>2005720479</x:v>
      </x:c>
      <x:c r="AH676" s="17" t="n">
        <x:f>IF('Control Room'!$B$5="Normal",'Control Room'!$B$7+'Control Room'!$D$7*SQRT(-2*LN(MAX(0.000000000001,AF676/2147483647)))*COS(2*PI()*AG676/2147483647),'Control Room'!$B$8+('Control Room'!$D$8-'Control Room'!$B$8)*AF676/2147483647)</x:f>
        <x:v>1115.1847843253813</x:v>
      </x:c>
      <x:c r="AI676" s="17" t="n">
        <x:f>IF('Control Room'!$B$5="Normal",'Control Room'!$B$7,('Control Room'!$B$8+'Control Room'!$D$8)/2)+'Control Room'!$B$9*(AI675-IF('Control Room'!$B$5="Normal",'Control Room'!$B$7,('Control Room'!$B$8+'Control Room'!$D$8)/2))+SQRT(1-'Control Room'!$B$9^2)*(AH676-IF('Control Room'!$B$5="Normal",'Control Room'!$B$7,('Control Room'!$B$8+'Control Room'!$D$8)/2))</x:f>
        <x:v>1104.491123970818</x:v>
      </x:c>
      <x:c r="AJ676" s="17" t="n">
        <x:f>IF(AND($A676&gt;='Control Room'!$A$13,$A676&lt;'Control Room'!$A$13+'Control Room'!$B$13,'Process'!BQ2=1),1+('Control Room'!$C$13-1)*EXP(-0.5*(($A676-'Control Room'!$A$13-('Control Room'!$B$13-1)/2)/MAX(0.5,'Control Room'!$B$13/4))^2),1)*IF(AND($A676&gt;='Control Room'!$A$14,$A676&lt;'Control Room'!$A$14+'Control Room'!$B$14,'Process'!BQ3=1),1+('Control Room'!$C$14-1)*EXP(-0.5*(($A676-'Control Room'!$A$14-('Control Room'!$B$14-1)/2)/MAX(0.5,'Control Room'!$B$14/4))^2),1)*IF(AND($A676&gt;='Control Room'!$A$15,$A676&lt;'Control Room'!$A$15+'Control Room'!$B$15,'Process'!BQ4=1),1+('Control Room'!$C$15-1)*EXP(-0.5*(($A676-'Control Room'!$A$15-('Control Room'!$B$15-1)/2)/MAX(0.5,'Control Room'!$B$15/4))^2),1)*IF(AND($A676&gt;='Control Room'!$A$16,$A676&lt;'Control Room'!$A$16+'Control Room'!$B$16,'Process'!BQ5=1),1+('Control Room'!$C$16-1)*EXP(-0.5*(($A676-'Control Room'!$A$16-('Control Room'!$B$16-1)/2)/MAX(0.5,'Control Room'!$B$16/4))^2),1)</x:f>
        <x:v>1</x:v>
      </x:c>
      <x:c r="AK676" s="9" t="n">
        <x:f>MOD(AL675*16807,2147483647)</x:f>
        <x:v>380742249</x:v>
      </x:c>
      <x:c r="AL676" s="9" t="n">
        <x:f>MOD(AK676*16807,2147483647)</x:f>
        <x:v>1781194530</x:v>
      </x:c>
      <x:c r="AM676" s="17" t="n">
        <x:f>IF('Control Room'!$B$5="Normal",'Control Room'!$B$7+'Control Room'!$D$7*SQRT(-2*LN(MAX(0.000000000001,AK676/2147483647)))*COS(2*PI()*AL676/2147483647),'Control Room'!$B$8+('Control Room'!$D$8-'Control Room'!$B$8)*AK676/2147483647)</x:f>
        <x:v>1080.1257574411827</x:v>
      </x:c>
      <x:c r="AN676" s="17" t="n">
        <x:f>IF('Control Room'!$B$5="Normal",'Control Room'!$B$7,('Control Room'!$B$8+'Control Room'!$D$8)/2)+'Control Room'!$B$9*(AN675-IF('Control Room'!$B$5="Normal",'Control Room'!$B$7,('Control Room'!$B$8+'Control Room'!$D$8)/2))+SQRT(1-'Control Room'!$B$9^2)*(AM676-IF('Control Room'!$B$5="Normal",'Control Room'!$B$7,('Control Room'!$B$8+'Control Room'!$D$8)/2))</x:f>
        <x:v>1044.06959668931</x:v>
      </x:c>
      <x:c r="AO676" s="17" t="n">
        <x:f>IF(AND($A676&gt;='Control Room'!$A$13,$A676&lt;'Control Room'!$A$13+'Control Room'!$B$13,'Process'!BR2=1),1+('Control Room'!$C$13-1)*EXP(-0.5*(($A676-'Control Room'!$A$13-('Control Room'!$B$13-1)/2)/MAX(0.5,'Control Room'!$B$13/4))^2),1)*IF(AND($A676&gt;='Control Room'!$A$14,$A676&lt;'Control Room'!$A$14+'Control Room'!$B$14,'Process'!BR3=1),1+('Control Room'!$C$14-1)*EXP(-0.5*(($A676-'Control Room'!$A$14-('Control Room'!$B$14-1)/2)/MAX(0.5,'Control Room'!$B$14/4))^2),1)*IF(AND($A676&gt;='Control Room'!$A$15,$A676&lt;'Control Room'!$A$15+'Control Room'!$B$15,'Process'!BR4=1),1+('Control Room'!$C$15-1)*EXP(-0.5*(($A676-'Control Room'!$A$15-('Control Room'!$B$15-1)/2)/MAX(0.5,'Control Room'!$B$15/4))^2),1)*IF(AND($A676&gt;='Control Room'!$A$16,$A676&lt;'Control Room'!$A$16+'Control Room'!$B$16,'Process'!BR5=1),1+('Control Room'!$C$16-1)*EXP(-0.5*(($A676-'Control Room'!$A$16-('Control Room'!$B$16-1)/2)/MAX(0.5,'Control Room'!$B$16/4))^2),1)</x:f>
        <x:v>1</x:v>
      </x:c>
      <x:c r="AP676" s="9" t="n">
        <x:f>MOD(AQ675*16807,2147483647)</x:f>
        <x:v>2101194607</x:v>
      </x:c>
      <x:c r="AQ676" s="9" t="n">
        <x:f>MOD(AP676*16807,2147483647)</x:f>
        <x:v>1556668581</x:v>
      </x:c>
      <x:c r="AR676" s="17" t="n">
        <x:f>IF('Control Room'!$B$5="Normal",'Control Room'!$B$7+'Control Room'!$D$7*SQRT(-2*LN(MAX(0.000000000001,AP676/2147483647)))*COS(2*PI()*AQ676/2147483647),'Control Room'!$B$8+('Control Room'!$D$8-'Control Room'!$B$8)*AP676/2147483647)</x:f>
        <x:v>997.0468667341892</x:v>
      </x:c>
      <x:c r="AS676" s="17" t="n">
        <x:f>IF('Control Room'!$B$5="Normal",'Control Room'!$B$7,('Control Room'!$B$8+'Control Room'!$D$8)/2)+'Control Room'!$B$9*(AS675-IF('Control Room'!$B$5="Normal",'Control Room'!$B$7,('Control Room'!$B$8+'Control Room'!$D$8)/2))+SQRT(1-'Control Room'!$B$9^2)*(AR676-IF('Control Room'!$B$5="Normal",'Control Room'!$B$7,('Control Room'!$B$8+'Control Room'!$D$8)/2))</x:f>
        <x:v>974.9748731414735</x:v>
      </x:c>
      <x:c r="AT676" s="17" t="n">
        <x:f>IF(AND($A676&gt;='Control Room'!$A$13,$A676&lt;'Control Room'!$A$13+'Control Room'!$B$13,'Process'!BS2=1),1+('Control Room'!$C$13-1)*EXP(-0.5*(($A676-'Control Room'!$A$13-('Control Room'!$B$13-1)/2)/MAX(0.5,'Control Room'!$B$13/4))^2),1)*IF(AND($A676&gt;='Control Room'!$A$14,$A676&lt;'Control Room'!$A$14+'Control Room'!$B$14,'Process'!BS3=1),1+('Control Room'!$C$14-1)*EXP(-0.5*(($A676-'Control Room'!$A$14-('Control Room'!$B$14-1)/2)/MAX(0.5,'Control Room'!$B$14/4))^2),1)*IF(AND($A676&gt;='Control Room'!$A$15,$A676&lt;'Control Room'!$A$15+'Control Room'!$B$15,'Process'!BS4=1),1+('Control Room'!$C$15-1)*EXP(-0.5*(($A676-'Control Room'!$A$15-('Control Room'!$B$15-1)/2)/MAX(0.5,'Control Room'!$B$15/4))^2),1)*IF(AND($A676&gt;='Control Room'!$A$16,$A676&lt;'Control Room'!$A$16+'Control Room'!$B$16,'Process'!BS5=1),1+('Control Room'!$C$16-1)*EXP(-0.5*(($A676-'Control Room'!$A$16-('Control Room'!$B$16-1)/2)/MAX(0.5,'Control Room'!$B$16/4))^2),1)</x:f>
        <x:v>1</x:v>
      </x:c>
      <x:c r="AU676" s="9" t="n">
        <x:f>MOD(AV675*16807,2147483647)</x:f>
        <x:v>1674163318</x:v>
      </x:c>
      <x:c r="AV676" s="9" t="n">
        <x:f>MOD(AU676*16807,2147483647)</x:f>
        <x:v>1332142632</x:v>
      </x:c>
      <x:c r="AW676" s="17" t="n">
        <x:f>IF('Control Room'!$B$5="Normal",'Control Room'!$B$7+'Control Room'!$D$7*SQRT(-2*LN(MAX(0.000000000001,AU676/2147483647)))*COS(2*PI()*AV676/2147483647),'Control Room'!$B$8+('Control Room'!$D$8-'Control Room'!$B$8)*AU676/2147483647)</x:f>
        <x:v>953.7926472292403</x:v>
      </x:c>
      <x:c r="AX676" s="17" t="n">
        <x:f>IF('Control Room'!$B$5="Normal",'Control Room'!$B$7,('Control Room'!$B$8+'Control Room'!$D$8)/2)+'Control Room'!$B$9*(AX675-IF('Control Room'!$B$5="Normal",'Control Room'!$B$7,('Control Room'!$B$8+'Control Room'!$D$8)/2))+SQRT(1-'Control Room'!$B$9^2)*(AW676-IF('Control Room'!$B$5="Normal",'Control Room'!$B$7,('Control Room'!$B$8+'Control Room'!$D$8)/2))</x:f>
        <x:v>942.1816580009305</x:v>
      </x:c>
      <x:c r="AY676" s="17" t="n">
        <x:f>IF(AND($A676&gt;='Control Room'!$A$13,$A676&lt;'Control Room'!$A$13+'Control Room'!$B$13,'Process'!BT2=1),1+('Control Room'!$C$13-1)*EXP(-0.5*(($A676-'Control Room'!$A$13-('Control Room'!$B$13-1)/2)/MAX(0.5,'Control Room'!$B$13/4))^2),1)*IF(AND($A676&gt;='Control Room'!$A$14,$A676&lt;'Control Room'!$A$14+'Control Room'!$B$14,'Process'!BT3=1),1+('Control Room'!$C$14-1)*EXP(-0.5*(($A676-'Control Room'!$A$14-('Control Room'!$B$14-1)/2)/MAX(0.5,'Control Room'!$B$14/4))^2),1)*IF(AND($A676&gt;='Control Room'!$A$15,$A676&lt;'Control Room'!$A$15+'Control Room'!$B$15,'Process'!BT4=1),1+('Control Room'!$C$15-1)*EXP(-0.5*(($A676-'Control Room'!$A$15-('Control Room'!$B$15-1)/2)/MAX(0.5,'Control Room'!$B$15/4))^2),1)*IF(AND($A676&gt;='Control Room'!$A$16,$A676&lt;'Control Room'!$A$16+'Control Room'!$B$16,'Process'!BT5=1),1+('Control Room'!$C$16-1)*EXP(-0.5*(($A676-'Control Room'!$A$16-('Control Room'!$B$16-1)/2)/MAX(0.5,'Control Room'!$B$16/4))^2),1)</x:f>
        <x:v>1</x:v>
      </x:c>
      <x:c r="AZ676" s="9" t="n">
        <x:f>MOD(BA675*16807,2147483647)</x:f>
        <x:v>1247132029</x:v>
      </x:c>
      <x:c r="BA676" s="9" t="n">
        <x:f>MOD(AZ676*16807,2147483647)</x:f>
        <x:v>1107616683</x:v>
      </x:c>
      <x:c r="BB676" s="17" t="n">
        <x:f>IF('Control Room'!$B$5="Normal",'Control Room'!$B$7+'Control Room'!$D$7*SQRT(-2*LN(MAX(0.000000000001,AZ676/2147483647)))*COS(2*PI()*BA676/2147483647),'Control Room'!$B$8+('Control Room'!$D$8-'Control Room'!$B$8)*AZ676/2147483647)</x:f>
        <x:v>906.6314100548003</x:v>
      </x:c>
      <x:c r="BC676" s="17" t="n">
        <x:f>IF('Control Room'!$B$5="Normal",'Control Room'!$B$7,('Control Room'!$B$8+'Control Room'!$D$8)/2)+'Control Room'!$B$9*(BC675-IF('Control Room'!$B$5="Normal",'Control Room'!$B$7,('Control Room'!$B$8+'Control Room'!$D$8)/2))+SQRT(1-'Control Room'!$B$9^2)*(BB676-IF('Control Room'!$B$5="Normal",'Control Room'!$B$7,('Control Room'!$B$8+'Control Room'!$D$8)/2))</x:f>
        <x:v>903.6578662215495</x:v>
      </x:c>
      <x:c r="BD676" s="17" t="n">
        <x:f>IF(AND($A676&gt;='Control Room'!$A$13,$A676&lt;'Control Room'!$A$13+'Control Room'!$B$13,'Process'!BU2=1),1+('Control Room'!$C$13-1)*EXP(-0.5*(($A676-'Control Room'!$A$13-('Control Room'!$B$13-1)/2)/MAX(0.5,'Control Room'!$B$13/4))^2),1)*IF(AND($A676&gt;='Control Room'!$A$14,$A676&lt;'Control Room'!$A$14+'Control Room'!$B$14,'Process'!BU3=1),1+('Control Room'!$C$14-1)*EXP(-0.5*(($A676-'Control Room'!$A$14-('Control Room'!$B$14-1)/2)/MAX(0.5,'Control Room'!$B$14/4))^2),1)*IF(AND($A676&gt;='Control Room'!$A$15,$A676&lt;'Control Room'!$A$15+'Control Room'!$B$15,'Process'!BU4=1),1+('Control Room'!$C$15-1)*EXP(-0.5*(($A676-'Control Room'!$A$15-('Control Room'!$B$15-1)/2)/MAX(0.5,'Control Room'!$B$15/4))^2),1)*IF(AND($A676&gt;='Control Room'!$A$16,$A676&lt;'Control Room'!$A$16+'Control Room'!$B$16,'Process'!BU5=1),1+('Control Room'!$C$16-1)*EXP(-0.5*(($A676-'Control Room'!$A$16-('Control Room'!$B$16-1)/2)/MAX(0.5,'Control Room'!$B$16/4))^2),1)</x:f>
        <x:v>1</x:v>
      </x:c>
      <x:c r="BE676" s="9" t="n">
        <x:f>MOD(BF675*16807,2147483647)</x:f>
        <x:v>820100740</x:v>
      </x:c>
      <x:c r="BF676" s="9" t="n">
        <x:f>MOD(BE676*16807,2147483647)</x:f>
        <x:v>883090734</x:v>
      </x:c>
      <x:c r="BG676" s="17" t="n">
        <x:f>IF('Control Room'!$B$5="Normal",'Control Room'!$B$7+'Control Room'!$D$7*SQRT(-2*LN(MAX(0.000000000001,BE676/2147483647)))*COS(2*PI()*BF676/2147483647),'Control Room'!$B$8+('Control Room'!$D$8-'Control Room'!$B$8)*BE676/2147483647)</x:f>
        <x:v>894.0516881323854</x:v>
      </x:c>
      <x:c r="BH676" s="17" t="n">
        <x:f>IF('Control Room'!$B$5="Normal",'Control Room'!$B$7,('Control Room'!$B$8+'Control Room'!$D$8)/2)+'Control Room'!$B$9*(BH675-IF('Control Room'!$B$5="Normal",'Control Room'!$B$7,('Control Room'!$B$8+'Control Room'!$D$8)/2))+SQRT(1-'Control Room'!$B$9^2)*(BG676-IF('Control Room'!$B$5="Normal",'Control Room'!$B$7,('Control Room'!$B$8+'Control Room'!$D$8)/2))</x:f>
        <x:v>863.4177154164627</x:v>
      </x:c>
      <x:c r="BI676" s="17" t="n">
        <x:f>IF(AND($A676&gt;='Control Room'!$A$13,$A676&lt;'Control Room'!$A$13+'Control Room'!$B$13,'Process'!BV2=1),1+('Control Room'!$C$13-1)*EXP(-0.5*(($A676-'Control Room'!$A$13-('Control Room'!$B$13-1)/2)/MAX(0.5,'Control Room'!$B$13/4))^2),1)*IF(AND($A676&gt;='Control Room'!$A$14,$A676&lt;'Control Room'!$A$14+'Control Room'!$B$14,'Process'!BV3=1),1+('Control Room'!$C$14-1)*EXP(-0.5*(($A676-'Control Room'!$A$14-('Control Room'!$B$14-1)/2)/MAX(0.5,'Control Room'!$B$14/4))^2),1)*IF(AND($A676&gt;='Control Room'!$A$15,$A676&lt;'Control Room'!$A$15+'Control Room'!$B$15,'Process'!BV4=1),1+('Control Room'!$C$15-1)*EXP(-0.5*(($A676-'Control Room'!$A$15-('Control Room'!$B$15-1)/2)/MAX(0.5,'Control Room'!$B$15/4))^2),1)*IF(AND($A676&gt;='Control Room'!$A$16,$A676&lt;'Control Room'!$A$16+'Control Room'!$B$16,'Process'!BV5=1),1+('Control Room'!$C$16-1)*EXP(-0.5*(($A676-'Control Room'!$A$16-('Control Room'!$B$16-1)/2)/MAX(0.5,'Control Room'!$B$16/4))^2),1)</x:f>
        <x:v>1</x:v>
      </x:c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Z676" t="str">
        <x:f>IF('Data'!A676="","",TEXT('Data'!A676,"mm-dd"))</x:f>
      </x:c>
    </x:row>
    <x:row r="677" ht="21" customHeight="1">
      <x:c r="A677" s="15" t="n">
        <x:f>'Control Room'!$B$1+675</x:f>
        <x:v>73666</x:v>
      </x:c>
      <x:c r="B677" s="9" t="n">
        <x:f>MOD(C676*16807,2147483647)</x:f>
        <x:v>1818942331</x:v>
      </x:c>
      <x:c r="C677" s="9" t="n">
        <x:f>MOD(B677*16807,2147483647)</x:f>
        <x:v>1534042072</x:v>
      </x:c>
      <x:c r="D677" s="17" t="n">
        <x:f>IF('Control Room'!$B$5="Normal",'Control Room'!$B$7+'Control Room'!$D$7*SQRT(-2*LN(MAX(0.000000000001,B677/2147483647)))*COS(2*PI()*C677/2147483647),'Control Room'!$B$8+('Control Room'!$D$8-'Control Room'!$B$8)*B677/2147483647)</x:f>
        <x:v>988.4776969601772</x:v>
      </x:c>
      <x:c r="E677" s="17" t="n">
        <x:f>IF('Control Room'!$B$5="Normal",'Control Room'!$B$7,('Control Room'!$B$8+'Control Room'!$D$8)/2)+'Control Room'!$B$9*(E676-IF('Control Room'!$B$5="Normal",'Control Room'!$B$7,('Control Room'!$B$8+'Control Room'!$D$8)/2))+SQRT(1-'Control Room'!$B$9^2)*(D677-IF('Control Room'!$B$5="Normal",'Control Room'!$B$7,('Control Room'!$B$8+'Control Room'!$D$8)/2))</x:f>
        <x:v>970.4624572082749</x:v>
      </x:c>
      <x:c r="F677" s="17" t="n">
        <x:f>IF(AND($A677&gt;='Control Room'!$A$13,$A677&lt;'Control Room'!$A$13+'Control Room'!$B$13,'Process'!BK2=1),1+('Control Room'!$C$13-1)*EXP(-0.5*(($A677-'Control Room'!$A$13-('Control Room'!$B$13-1)/2)/MAX(0.5,'Control Room'!$B$13/4))^2),1)*IF(AND($A677&gt;='Control Room'!$A$14,$A677&lt;'Control Room'!$A$14+'Control Room'!$B$14,'Process'!BK3=1),1+('Control Room'!$C$14-1)*EXP(-0.5*(($A677-'Control Room'!$A$14-('Control Room'!$B$14-1)/2)/MAX(0.5,'Control Room'!$B$14/4))^2),1)*IF(AND($A677&gt;='Control Room'!$A$15,$A677&lt;'Control Room'!$A$15+'Control Room'!$B$15,'Process'!BK4=1),1+('Control Room'!$C$15-1)*EXP(-0.5*(($A677-'Control Room'!$A$15-('Control Room'!$B$15-1)/2)/MAX(0.5,'Control Room'!$B$15/4))^2),1)*IF(AND($A677&gt;='Control Room'!$A$16,$A677&lt;'Control Room'!$A$16+'Control Room'!$B$16,'Process'!BK5=1),1+('Control Room'!$C$16-1)*EXP(-0.5*(($A677-'Control Room'!$A$16-('Control Room'!$B$16-1)/2)/MAX(0.5,'Control Room'!$B$16/4))^2),1)</x:f>
        <x:v>1</x:v>
      </x:c>
      <x:c r="G677" s="9" t="n">
        <x:f>MOD(H676*16807,2147483647)</x:f>
        <x:v>1340085267</x:v>
      </x:c>
      <x:c r="H677" s="9" t="n">
        <x:f>MOD(G677*16807,2147483647)</x:f>
        <x:v>4592733</x:v>
      </x:c>
      <x:c r="I677" s="17" t="n">
        <x:f>IF('Control Room'!$B$5="Normal",'Control Room'!$B$7+'Control Room'!$D$7*SQRT(-2*LN(MAX(0.000000000001,G677/2147483647)))*COS(2*PI()*H677/2147483647),'Control Room'!$B$8+('Control Room'!$D$8-'Control Room'!$B$8)*G677/2147483647)</x:f>
        <x:v>1087.395363821092</x:v>
      </x:c>
      <x:c r="J677" s="17" t="n">
        <x:f>IF('Control Room'!$B$5="Normal",'Control Room'!$B$7,('Control Room'!$B$8+'Control Room'!$D$8)/2)+'Control Room'!$B$9*(J676-IF('Control Room'!$B$5="Normal",'Control Room'!$B$7,('Control Room'!$B$8+'Control Room'!$D$8)/2))+SQRT(1-'Control Room'!$B$9^2)*(I677-IF('Control Room'!$B$5="Normal",'Control Room'!$B$7,('Control Room'!$B$8+'Control Room'!$D$8)/2))</x:f>
        <x:v>988.1816680559798</x:v>
      </x:c>
      <x:c r="K677" s="17" t="n">
        <x:f>IF(AND($A677&gt;='Control Room'!$A$13,$A677&lt;'Control Room'!$A$13+'Control Room'!$B$13,'Process'!BL2=1),1+('Control Room'!$C$13-1)*EXP(-0.5*(($A677-'Control Room'!$A$13-('Control Room'!$B$13-1)/2)/MAX(0.5,'Control Room'!$B$13/4))^2),1)*IF(AND($A677&gt;='Control Room'!$A$14,$A677&lt;'Control Room'!$A$14+'Control Room'!$B$14,'Process'!BL3=1),1+('Control Room'!$C$14-1)*EXP(-0.5*(($A677-'Control Room'!$A$14-('Control Room'!$B$14-1)/2)/MAX(0.5,'Control Room'!$B$14/4))^2),1)*IF(AND($A677&gt;='Control Room'!$A$15,$A677&lt;'Control Room'!$A$15+'Control Room'!$B$15,'Process'!BL4=1),1+('Control Room'!$C$15-1)*EXP(-0.5*(($A677-'Control Room'!$A$15-('Control Room'!$B$15-1)/2)/MAX(0.5,'Control Room'!$B$15/4))^2),1)*IF(AND($A677&gt;='Control Room'!$A$16,$A677&lt;'Control Room'!$A$16+'Control Room'!$B$16,'Process'!BL5=1),1+('Control Room'!$C$16-1)*EXP(-0.5*(($A677-'Control Room'!$A$16-('Control Room'!$B$16-1)/2)/MAX(0.5,'Control Room'!$B$16/4))^2),1)</x:f>
        <x:v>1</x:v>
      </x:c>
      <x:c r="L677" s="9" t="n">
        <x:f>MOD(M676*16807,2147483647)</x:f>
        <x:v>861228203</x:v>
      </x:c>
      <x:c r="M677" s="9" t="n">
        <x:f>MOD(L677*16807,2147483647)</x:f>
        <x:v>622627041</x:v>
      </x:c>
      <x:c r="N677" s="17" t="n">
        <x:f>IF('Control Room'!$B$5="Normal",'Control Room'!$B$7+'Control Room'!$D$7*SQRT(-2*LN(MAX(0.000000000001,L677/2147483647)))*COS(2*PI()*M677/2147483647),'Control Room'!$B$8+('Control Room'!$D$8-'Control Room'!$B$8)*L677/2147483647)</x:f>
        <x:v>969.7930915403572</x:v>
      </x:c>
      <x:c r="O677" s="17" t="n">
        <x:f>IF('Control Room'!$B$5="Normal",'Control Room'!$B$7,('Control Room'!$B$8+'Control Room'!$D$8)/2)+'Control Room'!$B$9*(O676-IF('Control Room'!$B$5="Normal",'Control Room'!$B$7,('Control Room'!$B$8+'Control Room'!$D$8)/2))+SQRT(1-'Control Room'!$B$9^2)*(N677-IF('Control Room'!$B$5="Normal",'Control Room'!$B$7,('Control Room'!$B$8+'Control Room'!$D$8)/2))</x:f>
        <x:v>877.4260215031321</x:v>
      </x:c>
      <x:c r="P677" s="17" t="n">
        <x:f>IF(AND($A677&gt;='Control Room'!$A$13,$A677&lt;'Control Room'!$A$13+'Control Room'!$B$13,'Process'!BM2=1),1+('Control Room'!$C$13-1)*EXP(-0.5*(($A677-'Control Room'!$A$13-('Control Room'!$B$13-1)/2)/MAX(0.5,'Control Room'!$B$13/4))^2),1)*IF(AND($A677&gt;='Control Room'!$A$14,$A677&lt;'Control Room'!$A$14+'Control Room'!$B$14,'Process'!BM3=1),1+('Control Room'!$C$14-1)*EXP(-0.5*(($A677-'Control Room'!$A$14-('Control Room'!$B$14-1)/2)/MAX(0.5,'Control Room'!$B$14/4))^2),1)*IF(AND($A677&gt;='Control Room'!$A$15,$A677&lt;'Control Room'!$A$15+'Control Room'!$B$15,'Process'!BM4=1),1+('Control Room'!$C$15-1)*EXP(-0.5*(($A677-'Control Room'!$A$15-('Control Room'!$B$15-1)/2)/MAX(0.5,'Control Room'!$B$15/4))^2),1)*IF(AND($A677&gt;='Control Room'!$A$16,$A677&lt;'Control Room'!$A$16+'Control Room'!$B$16,'Process'!BM5=1),1+('Control Room'!$C$16-1)*EXP(-0.5*(($A677-'Control Room'!$A$16-('Control Room'!$B$16-1)/2)/MAX(0.5,'Control Room'!$B$16/4))^2),1)</x:f>
        <x:v>1</x:v>
      </x:c>
      <x:c r="Q677" s="9" t="n">
        <x:f>MOD(R676*16807,2147483647)</x:f>
        <x:v>382371139</x:v>
      </x:c>
      <x:c r="R677" s="9" t="n">
        <x:f>MOD(Q677*16807,2147483647)</x:f>
        <x:v>1240661349</x:v>
      </x:c>
      <x:c r="S677" s="17" t="n">
        <x:f>IF('Control Room'!$B$5="Normal",'Control Room'!$B$7+'Control Room'!$D$7*SQRT(-2*LN(MAX(0.000000000001,Q677/2147483647)))*COS(2*PI()*R677/2147483647),'Control Room'!$B$8+('Control Room'!$D$8-'Control Room'!$B$8)*Q677/2147483647)</x:f>
        <x:v>852.3469765731597</x:v>
      </x:c>
      <x:c r="T677" s="17" t="n">
        <x:f>IF('Control Room'!$B$5="Normal",'Control Room'!$B$7,('Control Room'!$B$8+'Control Room'!$D$8)/2)+'Control Room'!$B$9*(T676-IF('Control Room'!$B$5="Normal",'Control Room'!$B$7,('Control Room'!$B$8+'Control Room'!$D$8)/2))+SQRT(1-'Control Room'!$B$9^2)*(S677-IF('Control Room'!$B$5="Normal",'Control Room'!$B$7,('Control Room'!$B$8+'Control Room'!$D$8)/2))</x:f>
        <x:v>885.7268583375738</x:v>
      </x:c>
      <x:c r="U677" s="17" t="n">
        <x:f>IF(AND($A677&gt;='Control Room'!$A$13,$A677&lt;'Control Room'!$A$13+'Control Room'!$B$13,'Process'!BN2=1),1+('Control Room'!$C$13-1)*EXP(-0.5*(($A677-'Control Room'!$A$13-('Control Room'!$B$13-1)/2)/MAX(0.5,'Control Room'!$B$13/4))^2),1)*IF(AND($A677&gt;='Control Room'!$A$14,$A677&lt;'Control Room'!$A$14+'Control Room'!$B$14,'Process'!BN3=1),1+('Control Room'!$C$14-1)*EXP(-0.5*(($A677-'Control Room'!$A$14-('Control Room'!$B$14-1)/2)/MAX(0.5,'Control Room'!$B$14/4))^2),1)*IF(AND($A677&gt;='Control Room'!$A$15,$A677&lt;'Control Room'!$A$15+'Control Room'!$B$15,'Process'!BN4=1),1+('Control Room'!$C$15-1)*EXP(-0.5*(($A677-'Control Room'!$A$15-('Control Room'!$B$15-1)/2)/MAX(0.5,'Control Room'!$B$15/4))^2),1)*IF(AND($A677&gt;='Control Room'!$A$16,$A677&lt;'Control Room'!$A$16+'Control Room'!$B$16,'Process'!BN5=1),1+('Control Room'!$C$16-1)*EXP(-0.5*(($A677-'Control Room'!$A$16-('Control Room'!$B$16-1)/2)/MAX(0.5,'Control Room'!$B$16/4))^2),1)</x:f>
        <x:v>1</x:v>
      </x:c>
      <x:c r="V677" s="9" t="n">
        <x:f>MOD(W676*16807,2147483647)</x:f>
        <x:v>2050997722</x:v>
      </x:c>
      <x:c r="W677" s="9" t="n">
        <x:f>MOD(V677*16807,2147483647)</x:f>
        <x:v>1858695657</x:v>
      </x:c>
      <x:c r="X677" s="17" t="n">
        <x:f>IF('Control Room'!$B$5="Normal",'Control Room'!$B$7+'Control Room'!$D$7*SQRT(-2*LN(MAX(0.000000000001,V677/2147483647)))*COS(2*PI()*W677/2147483647),'Control Room'!$B$8+('Control Room'!$D$8-'Control Room'!$B$8)*V677/2147483647)</x:f>
        <x:v>1018.1140329893464</x:v>
      </x:c>
      <x:c r="Y677" s="17" t="n">
        <x:f>IF('Control Room'!$B$5="Normal",'Control Room'!$B$7,('Control Room'!$B$8+'Control Room'!$D$8)/2)+'Control Room'!$B$9*(Y676-IF('Control Room'!$B$5="Normal",'Control Room'!$B$7,('Control Room'!$B$8+'Control Room'!$D$8)/2))+SQRT(1-'Control Room'!$B$9^2)*(X677-IF('Control Room'!$B$5="Normal",'Control Room'!$B$7,('Control Room'!$B$8+'Control Room'!$D$8)/2))</x:f>
        <x:v>1008.2293151196851</x:v>
      </x:c>
      <x:c r="Z677" s="17" t="n">
        <x:f>IF(AND($A677&gt;='Control Room'!$A$13,$A677&lt;'Control Room'!$A$13+'Control Room'!$B$13,'Process'!BO2=1),1+('Control Room'!$C$13-1)*EXP(-0.5*(($A677-'Control Room'!$A$13-('Control Room'!$B$13-1)/2)/MAX(0.5,'Control Room'!$B$13/4))^2),1)*IF(AND($A677&gt;='Control Room'!$A$14,$A677&lt;'Control Room'!$A$14+'Control Room'!$B$14,'Process'!BO3=1),1+('Control Room'!$C$14-1)*EXP(-0.5*(($A677-'Control Room'!$A$14-('Control Room'!$B$14-1)/2)/MAX(0.5,'Control Room'!$B$14/4))^2),1)*IF(AND($A677&gt;='Control Room'!$A$15,$A677&lt;'Control Room'!$A$15+'Control Room'!$B$15,'Process'!BO4=1),1+('Control Room'!$C$15-1)*EXP(-0.5*(($A677-'Control Room'!$A$15-('Control Room'!$B$15-1)/2)/MAX(0.5,'Control Room'!$B$15/4))^2),1)*IF(AND($A677&gt;='Control Room'!$A$16,$A677&lt;'Control Room'!$A$16+'Control Room'!$B$16,'Process'!BO5=1),1+('Control Room'!$C$16-1)*EXP(-0.5*(($A677-'Control Room'!$A$16-('Control Room'!$B$16-1)/2)/MAX(0.5,'Control Room'!$B$16/4))^2),1)</x:f>
        <x:v>1</x:v>
      </x:c>
      <x:c r="AA677" s="9" t="n">
        <x:f>MOD(AB676*16807,2147483647)</x:f>
        <x:v>1572140658</x:v>
      </x:c>
      <x:c r="AB677" s="9" t="n">
        <x:f>MOD(AA677*16807,2147483647)</x:f>
        <x:v>329246318</x:v>
      </x:c>
      <x:c r="AC677" s="17" t="n">
        <x:f>IF('Control Room'!$B$5="Normal",'Control Room'!$B$7+'Control Room'!$D$7*SQRT(-2*LN(MAX(0.000000000001,AA677/2147483647)))*COS(2*PI()*AB677/2147483647),'Control Room'!$B$8+('Control Room'!$D$8-'Control Room'!$B$8)*AA677/2147483647)</x:f>
        <x:v>1040.5711805028507</x:v>
      </x:c>
      <x:c r="AD677" s="17" t="n">
        <x:f>IF('Control Room'!$B$5="Normal",'Control Room'!$B$7,('Control Room'!$B$8+'Control Room'!$D$8)/2)+'Control Room'!$B$9*(AD676-IF('Control Room'!$B$5="Normal",'Control Room'!$B$7,('Control Room'!$B$8+'Control Room'!$D$8)/2))+SQRT(1-'Control Room'!$B$9^2)*(AC677-IF('Control Room'!$B$5="Normal",'Control Room'!$B$7,('Control Room'!$B$8+'Control Room'!$D$8)/2))</x:f>
        <x:v>1025.1450830566534</x:v>
      </x:c>
      <x:c r="AE677" s="17" t="n">
        <x:f>IF(AND($A677&gt;='Control Room'!$A$13,$A677&lt;'Control Room'!$A$13+'Control Room'!$B$13,'Process'!BP2=1),1+('Control Room'!$C$13-1)*EXP(-0.5*(($A677-'Control Room'!$A$13-('Control Room'!$B$13-1)/2)/MAX(0.5,'Control Room'!$B$13/4))^2),1)*IF(AND($A677&gt;='Control Room'!$A$14,$A677&lt;'Control Room'!$A$14+'Control Room'!$B$14,'Process'!BP3=1),1+('Control Room'!$C$14-1)*EXP(-0.5*(($A677-'Control Room'!$A$14-('Control Room'!$B$14-1)/2)/MAX(0.5,'Control Room'!$B$14/4))^2),1)*IF(AND($A677&gt;='Control Room'!$A$15,$A677&lt;'Control Room'!$A$15+'Control Room'!$B$15,'Process'!BP4=1),1+('Control Room'!$C$15-1)*EXP(-0.5*(($A677-'Control Room'!$A$15-('Control Room'!$B$15-1)/2)/MAX(0.5,'Control Room'!$B$15/4))^2),1)*IF(AND($A677&gt;='Control Room'!$A$16,$A677&lt;'Control Room'!$A$16+'Control Room'!$B$16,'Process'!BP5=1),1+('Control Room'!$C$16-1)*EXP(-0.5*(($A677-'Control Room'!$A$16-('Control Room'!$B$16-1)/2)/MAX(0.5,'Control Room'!$B$16/4))^2),1)</x:f>
        <x:v>1</x:v>
      </x:c>
      <x:c r="AF677" s="9" t="n">
        <x:f>MOD(AG676*16807,2147483647)</x:f>
        <x:v>1093283594</x:v>
      </x:c>
      <x:c r="AG677" s="9" t="n">
        <x:f>MOD(AF677*16807,2147483647)</x:f>
        <x:v>947280626</x:v>
      </x:c>
      <x:c r="AH677" s="17" t="n">
        <x:f>IF('Control Room'!$B$5="Normal",'Control Room'!$B$7+'Control Room'!$D$7*SQRT(-2*LN(MAX(0.000000000001,AF677/2147483647)))*COS(2*PI()*AG677/2147483647),'Control Room'!$B$8+('Control Room'!$D$8-'Control Room'!$B$8)*AF677/2147483647)</x:f>
        <x:v>902.4981712433334</x:v>
      </x:c>
      <x:c r="AI677" s="17" t="n">
        <x:f>IF('Control Room'!$B$5="Normal",'Control Room'!$B$7,('Control Room'!$B$8+'Control Room'!$D$8)/2)+'Control Room'!$B$9*(AI676-IF('Control Room'!$B$5="Normal",'Control Room'!$B$7,('Control Room'!$B$8+'Control Room'!$D$8)/2))+SQRT(1-'Control Room'!$B$9^2)*(AH677-IF('Control Room'!$B$5="Normal",'Control Room'!$B$7,('Control Room'!$B$8+'Control Room'!$D$8)/2))</x:f>
        <x:v>1020.4884296948485</x:v>
      </x:c>
      <x:c r="AJ677" s="17" t="n">
        <x:f>IF(AND($A677&gt;='Control Room'!$A$13,$A677&lt;'Control Room'!$A$13+'Control Room'!$B$13,'Process'!BQ2=1),1+('Control Room'!$C$13-1)*EXP(-0.5*(($A677-'Control Room'!$A$13-('Control Room'!$B$13-1)/2)/MAX(0.5,'Control Room'!$B$13/4))^2),1)*IF(AND($A677&gt;='Control Room'!$A$14,$A677&lt;'Control Room'!$A$14+'Control Room'!$B$14,'Process'!BQ3=1),1+('Control Room'!$C$14-1)*EXP(-0.5*(($A677-'Control Room'!$A$14-('Control Room'!$B$14-1)/2)/MAX(0.5,'Control Room'!$B$14/4))^2),1)*IF(AND($A677&gt;='Control Room'!$A$15,$A677&lt;'Control Room'!$A$15+'Control Room'!$B$15,'Process'!BQ4=1),1+('Control Room'!$C$15-1)*EXP(-0.5*(($A677-'Control Room'!$A$15-('Control Room'!$B$15-1)/2)/MAX(0.5,'Control Room'!$B$15/4))^2),1)*IF(AND($A677&gt;='Control Room'!$A$16,$A677&lt;'Control Room'!$A$16+'Control Room'!$B$16,'Process'!BQ5=1),1+('Control Room'!$C$16-1)*EXP(-0.5*(($A677-'Control Room'!$A$16-('Control Room'!$B$16-1)/2)/MAX(0.5,'Control Room'!$B$16/4))^2),1)</x:f>
        <x:v>1</x:v>
      </x:c>
      <x:c r="AK677" s="9" t="n">
        <x:f>MOD(AL676*16807,2147483647)</x:f>
        <x:v>614426530</x:v>
      </x:c>
      <x:c r="AL677" s="9" t="n">
        <x:f>MOD(AK677*16807,2147483647)</x:f>
        <x:v>1565314934</x:v>
      </x:c>
      <x:c r="AM677" s="17" t="n">
        <x:f>IF('Control Room'!$B$5="Normal",'Control Room'!$B$7+'Control Room'!$D$7*SQRT(-2*LN(MAX(0.000000000001,AK677/2147483647)))*COS(2*PI()*AL677/2147483647),'Control Room'!$B$8+('Control Room'!$D$8-'Control Room'!$B$8)*AK677/2147483647)</x:f>
        <x:v>981.1850065744975</x:v>
      </x:c>
      <x:c r="AN677" s="17" t="n">
        <x:f>IF('Control Room'!$B$5="Normal",'Control Room'!$B$7,('Control Room'!$B$8+'Control Room'!$D$8)/2)+'Control Room'!$B$9*(AN676-IF('Control Room'!$B$5="Normal",'Control Room'!$B$7,('Control Room'!$B$8+'Control Room'!$D$8)/2))+SQRT(1-'Control Room'!$B$9^2)*(AM677-IF('Control Room'!$B$5="Normal",'Control Room'!$B$7,('Control Room'!$B$8+'Control Room'!$D$8)/2))</x:f>
        <x:v>1022.6002479780734</x:v>
      </x:c>
      <x:c r="AO677" s="17" t="n">
        <x:f>IF(AND($A677&gt;='Control Room'!$A$13,$A677&lt;'Control Room'!$A$13+'Control Room'!$B$13,'Process'!BR2=1),1+('Control Room'!$C$13-1)*EXP(-0.5*(($A677-'Control Room'!$A$13-('Control Room'!$B$13-1)/2)/MAX(0.5,'Control Room'!$B$13/4))^2),1)*IF(AND($A677&gt;='Control Room'!$A$14,$A677&lt;'Control Room'!$A$14+'Control Room'!$B$14,'Process'!BR3=1),1+('Control Room'!$C$14-1)*EXP(-0.5*(($A677-'Control Room'!$A$14-('Control Room'!$B$14-1)/2)/MAX(0.5,'Control Room'!$B$14/4))^2),1)*IF(AND($A677&gt;='Control Room'!$A$15,$A677&lt;'Control Room'!$A$15+'Control Room'!$B$15,'Process'!BR4=1),1+('Control Room'!$C$15-1)*EXP(-0.5*(($A677-'Control Room'!$A$15-('Control Room'!$B$15-1)/2)/MAX(0.5,'Control Room'!$B$15/4))^2),1)*IF(AND($A677&gt;='Control Room'!$A$16,$A677&lt;'Control Room'!$A$16+'Control Room'!$B$16,'Process'!BR5=1),1+('Control Room'!$C$16-1)*EXP(-0.5*(($A677-'Control Room'!$A$16-('Control Room'!$B$16-1)/2)/MAX(0.5,'Control Room'!$B$16/4))^2),1)</x:f>
        <x:v>1</x:v>
      </x:c>
      <x:c r="AP677" s="9" t="n">
        <x:f>MOD(AQ676*16807,2147483647)</x:f>
        <x:v>135569466</x:v>
      </x:c>
      <x:c r="AQ677" s="9" t="n">
        <x:f>MOD(AP677*16807,2147483647)</x:f>
        <x:v>35865595</x:v>
      </x:c>
      <x:c r="AR677" s="17" t="n">
        <x:f>IF('Control Room'!$B$5="Normal",'Control Room'!$B$7+'Control Room'!$D$7*SQRT(-2*LN(MAX(0.000000000001,AP677/2147483647)))*COS(2*PI()*AQ677/2147483647),'Control Room'!$B$8+('Control Room'!$D$8-'Control Room'!$B$8)*AP677/2147483647)</x:f>
        <x:v>1210.3867641578265</x:v>
      </x:c>
      <x:c r="AS677" s="17" t="n">
        <x:f>IF('Control Room'!$B$5="Normal",'Control Room'!$B$7,('Control Room'!$B$8+'Control Room'!$D$8)/2)+'Control Room'!$B$9*(AS676-IF('Control Room'!$B$5="Normal",'Control Room'!$B$7,('Control Room'!$B$8+'Control Room'!$D$8)/2))+SQRT(1-'Control Room'!$B$9^2)*(AR677-IF('Control Room'!$B$5="Normal",'Control Room'!$B$7,('Control Room'!$B$8+'Control Room'!$D$8)/2))</x:f>
        <x:v>1112.1361280531837</x:v>
      </x:c>
      <x:c r="AT677" s="17" t="n">
        <x:f>IF(AND($A677&gt;='Control Room'!$A$13,$A677&lt;'Control Room'!$A$13+'Control Room'!$B$13,'Process'!BS2=1),1+('Control Room'!$C$13-1)*EXP(-0.5*(($A677-'Control Room'!$A$13-('Control Room'!$B$13-1)/2)/MAX(0.5,'Control Room'!$B$13/4))^2),1)*IF(AND($A677&gt;='Control Room'!$A$14,$A677&lt;'Control Room'!$A$14+'Control Room'!$B$14,'Process'!BS3=1),1+('Control Room'!$C$14-1)*EXP(-0.5*(($A677-'Control Room'!$A$14-('Control Room'!$B$14-1)/2)/MAX(0.5,'Control Room'!$B$14/4))^2),1)*IF(AND($A677&gt;='Control Room'!$A$15,$A677&lt;'Control Room'!$A$15+'Control Room'!$B$15,'Process'!BS4=1),1+('Control Room'!$C$15-1)*EXP(-0.5*(($A677-'Control Room'!$A$15-('Control Room'!$B$15-1)/2)/MAX(0.5,'Control Room'!$B$15/4))^2),1)*IF(AND($A677&gt;='Control Room'!$A$16,$A677&lt;'Control Room'!$A$16+'Control Room'!$B$16,'Process'!BS5=1),1+('Control Room'!$C$16-1)*EXP(-0.5*(($A677-'Control Room'!$A$16-('Control Room'!$B$16-1)/2)/MAX(0.5,'Control Room'!$B$16/4))^2),1)</x:f>
        <x:v>1</x:v>
      </x:c>
      <x:c r="AU677" s="9" t="n">
        <x:f>MOD(AV676*16807,2147483647)</x:f>
        <x:v>1804196049</x:v>
      </x:c>
      <x:c r="AV677" s="9" t="n">
        <x:f>MOD(AU677*16807,2147483647)</x:f>
        <x:v>653899903</x:v>
      </x:c>
      <x:c r="AW677" s="17" t="n">
        <x:f>IF('Control Room'!$B$5="Normal",'Control Room'!$B$7+'Control Room'!$D$7*SQRT(-2*LN(MAX(0.000000000001,AU677/2147483647)))*COS(2*PI()*AV677/2147483647),'Control Room'!$B$8+('Control Room'!$D$8-'Control Room'!$B$8)*AU677/2147483647)</x:f>
        <x:v>982.164616567249</x:v>
      </x:c>
      <x:c r="AX677" s="17" t="n">
        <x:f>IF('Control Room'!$B$5="Normal",'Control Room'!$B$7,('Control Room'!$B$8+'Control Room'!$D$8)/2)+'Control Room'!$B$9*(AX676-IF('Control Room'!$B$5="Normal",'Control Room'!$B$7,('Control Room'!$B$8+'Control Room'!$D$8)/2))+SQRT(1-'Control Room'!$B$9^2)*(AW677-IF('Control Room'!$B$5="Normal",'Control Room'!$B$7,('Control Room'!$B$8+'Control Room'!$D$8)/2))</x:f>
        <x:v>943.7406756661999</x:v>
      </x:c>
      <x:c r="AY677" s="17" t="n">
        <x:f>IF(AND($A677&gt;='Control Room'!$A$13,$A677&lt;'Control Room'!$A$13+'Control Room'!$B$13,'Process'!BT2=1),1+('Control Room'!$C$13-1)*EXP(-0.5*(($A677-'Control Room'!$A$13-('Control Room'!$B$13-1)/2)/MAX(0.5,'Control Room'!$B$13/4))^2),1)*IF(AND($A677&gt;='Control Room'!$A$14,$A677&lt;'Control Room'!$A$14+'Control Room'!$B$14,'Process'!BT3=1),1+('Control Room'!$C$14-1)*EXP(-0.5*(($A677-'Control Room'!$A$14-('Control Room'!$B$14-1)/2)/MAX(0.5,'Control Room'!$B$14/4))^2),1)*IF(AND($A677&gt;='Control Room'!$A$15,$A677&lt;'Control Room'!$A$15+'Control Room'!$B$15,'Process'!BT4=1),1+('Control Room'!$C$15-1)*EXP(-0.5*(($A677-'Control Room'!$A$15-('Control Room'!$B$15-1)/2)/MAX(0.5,'Control Room'!$B$15/4))^2),1)*IF(AND($A677&gt;='Control Room'!$A$16,$A677&lt;'Control Room'!$A$16+'Control Room'!$B$16,'Process'!BT5=1),1+('Control Room'!$C$16-1)*EXP(-0.5*(($A677-'Control Room'!$A$16-('Control Room'!$B$16-1)/2)/MAX(0.5,'Control Room'!$B$16/4))^2),1)</x:f>
        <x:v>1</x:v>
      </x:c>
      <x:c r="AZ677" s="9" t="n">
        <x:f>MOD(BA676*16807,2147483647)</x:f>
        <x:v>1325338985</x:v>
      </x:c>
      <x:c r="BA677" s="9" t="n">
        <x:f>MOD(AZ677*16807,2147483647)</x:f>
        <x:v>1271934211</x:v>
      </x:c>
      <x:c r="BB677" s="17" t="n">
        <x:f>IF('Control Room'!$B$5="Normal",'Control Room'!$B$7+'Control Room'!$D$7*SQRT(-2*LN(MAX(0.000000000001,AZ677/2147483647)))*COS(2*PI()*BA677/2147483647),'Control Room'!$B$8+('Control Room'!$D$8-'Control Room'!$B$8)*AZ677/2147483647)</x:f>
        <x:v>926.0317880757755</x:v>
      </x:c>
      <x:c r="BC677" s="17" t="n">
        <x:f>IF('Control Room'!$B$5="Normal",'Control Room'!$B$7,('Control Room'!$B$8+'Control Room'!$D$8)/2)+'Control Room'!$B$9*(BC676-IF('Control Room'!$B$5="Normal",'Control Room'!$B$7,('Control Room'!$B$8+'Control Room'!$D$8)/2))+SQRT(1-'Control Room'!$B$9^2)*(BB677-IF('Control Room'!$B$5="Normal",'Control Room'!$B$7,('Control Room'!$B$8+'Control Room'!$D$8)/2))</x:f>
        <x:v>878.5653439518153</x:v>
      </x:c>
      <x:c r="BD677" s="17" t="n">
        <x:f>IF(AND($A677&gt;='Control Room'!$A$13,$A677&lt;'Control Room'!$A$13+'Control Room'!$B$13,'Process'!BU2=1),1+('Control Room'!$C$13-1)*EXP(-0.5*(($A677-'Control Room'!$A$13-('Control Room'!$B$13-1)/2)/MAX(0.5,'Control Room'!$B$13/4))^2),1)*IF(AND($A677&gt;='Control Room'!$A$14,$A677&lt;'Control Room'!$A$14+'Control Room'!$B$14,'Process'!BU3=1),1+('Control Room'!$C$14-1)*EXP(-0.5*(($A677-'Control Room'!$A$14-('Control Room'!$B$14-1)/2)/MAX(0.5,'Control Room'!$B$14/4))^2),1)*IF(AND($A677&gt;='Control Room'!$A$15,$A677&lt;'Control Room'!$A$15+'Control Room'!$B$15,'Process'!BU4=1),1+('Control Room'!$C$15-1)*EXP(-0.5*(($A677-'Control Room'!$A$15-('Control Room'!$B$15-1)/2)/MAX(0.5,'Control Room'!$B$15/4))^2),1)*IF(AND($A677&gt;='Control Room'!$A$16,$A677&lt;'Control Room'!$A$16+'Control Room'!$B$16,'Process'!BU5=1),1+('Control Room'!$C$16-1)*EXP(-0.5*(($A677-'Control Room'!$A$16-('Control Room'!$B$16-1)/2)/MAX(0.5,'Control Room'!$B$16/4))^2),1)</x:f>
        <x:v>1</x:v>
      </x:c>
      <x:c r="BE677" s="9" t="n">
        <x:f>MOD(BF676*16807,2147483647)</x:f>
        <x:v>846481921</x:v>
      </x:c>
      <x:c r="BF677" s="9" t="n">
        <x:f>MOD(BE677*16807,2147483647)</x:f>
        <x:v>1889968519</x:v>
      </x:c>
      <x:c r="BG677" s="17" t="n">
        <x:f>IF('Control Room'!$B$5="Normal",'Control Room'!$B$7+'Control Room'!$D$7*SQRT(-2*LN(MAX(0.000000000001,BE677/2147483647)))*COS(2*PI()*BF677/2147483647),'Control Room'!$B$8+('Control Room'!$D$8-'Control Room'!$B$8)*BE677/2147483647)</x:f>
        <x:v>1089.5675592684495</x:v>
      </x:c>
      <x:c r="BH677" s="17" t="n">
        <x:f>IF('Control Room'!$B$5="Normal",'Control Room'!$B$7,('Control Room'!$B$8+'Control Room'!$D$8)/2)+'Control Room'!$B$9*(BH676-IF('Control Room'!$B$5="Normal",'Control Room'!$B$7,('Control Room'!$B$8+'Control Room'!$D$8)/2))+SQRT(1-'Control Room'!$B$9^2)*(BG677-IF('Control Room'!$B$5="Normal",'Control Room'!$B$7,('Control Room'!$B$8+'Control Room'!$D$8)/2))</x:f>
        <x:v>949.5153617238498</x:v>
      </x:c>
      <x:c r="BI677" s="17" t="n">
        <x:f>IF(AND($A677&gt;='Control Room'!$A$13,$A677&lt;'Control Room'!$A$13+'Control Room'!$B$13,'Process'!BV2=1),1+('Control Room'!$C$13-1)*EXP(-0.5*(($A677-'Control Room'!$A$13-('Control Room'!$B$13-1)/2)/MAX(0.5,'Control Room'!$B$13/4))^2),1)*IF(AND($A677&gt;='Control Room'!$A$14,$A677&lt;'Control Room'!$A$14+'Control Room'!$B$14,'Process'!BV3=1),1+('Control Room'!$C$14-1)*EXP(-0.5*(($A677-'Control Room'!$A$14-('Control Room'!$B$14-1)/2)/MAX(0.5,'Control Room'!$B$14/4))^2),1)*IF(AND($A677&gt;='Control Room'!$A$15,$A677&lt;'Control Room'!$A$15+'Control Room'!$B$15,'Process'!BV4=1),1+('Control Room'!$C$15-1)*EXP(-0.5*(($A677-'Control Room'!$A$15-('Control Room'!$B$15-1)/2)/MAX(0.5,'Control Room'!$B$15/4))^2),1)*IF(AND($A677&gt;='Control Room'!$A$16,$A677&lt;'Control Room'!$A$16+'Control Room'!$B$16,'Process'!BV5=1),1+('Control Room'!$C$16-1)*EXP(-0.5*(($A677-'Control Room'!$A$16-('Control Room'!$B$16-1)/2)/MAX(0.5,'Control Room'!$B$16/4))^2),1)</x:f>
        <x:v>1</x:v>
      </x:c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Z677" t="str">
        <x:f>IF('Data'!A677="","",TEXT('Data'!A677,"mm-dd"))</x:f>
      </x:c>
    </x:row>
    <x:row r="678" ht="21" customHeight="1">
      <x:c r="A678" s="15" t="n">
        <x:f>'Control Room'!$B$1+676</x:f>
        <x:v>73667</x:v>
      </x:c>
      <x:c r="B678" s="9" t="n">
        <x:f>MOD(C677*16807,2147483647)</x:f>
        <x:v>2103921869</x:v>
      </x:c>
      <x:c r="C678" s="9" t="n">
        <x:f>MOD(B678*16807,2147483647)</x:f>
        <x:v>149120781</x:v>
      </x:c>
      <x:c r="D678" s="17" t="n">
        <x:f>IF('Control Room'!$B$5="Normal",'Control Room'!$B$7+'Control Room'!$D$7*SQRT(-2*LN(MAX(0.000000000001,B678/2147483647)))*COS(2*PI()*C678/2147483647),'Control Room'!$B$8+('Control Room'!$D$8-'Control Room'!$B$8)*B678/2147483647)</x:f>
        <x:v>1016.5138482988306</x:v>
      </x:c>
      <x:c r="E678" s="17" t="n">
        <x:f>IF('Control Room'!$B$5="Normal",'Control Room'!$B$7,('Control Room'!$B$8+'Control Room'!$D$8)/2)+'Control Room'!$B$9*(E677-IF('Control Room'!$B$5="Normal",'Control Room'!$B$7,('Control Room'!$B$8+'Control Room'!$D$8)/2))+SQRT(1-'Control Room'!$B$9^2)*(D678-IF('Control Room'!$B$5="Normal",'Control Room'!$B$7,('Control Room'!$B$8+'Control Room'!$D$8)/2))</x:f>
        <x:v>987.2947445832917</x:v>
      </x:c>
      <x:c r="F678" s="17" t="n">
        <x:f>IF(AND($A678&gt;='Control Room'!$A$13,$A678&lt;'Control Room'!$A$13+'Control Room'!$B$13,'Process'!BK2=1),1+('Control Room'!$C$13-1)*EXP(-0.5*(($A678-'Control Room'!$A$13-('Control Room'!$B$13-1)/2)/MAX(0.5,'Control Room'!$B$13/4))^2),1)*IF(AND($A678&gt;='Control Room'!$A$14,$A678&lt;'Control Room'!$A$14+'Control Room'!$B$14,'Process'!BK3=1),1+('Control Room'!$C$14-1)*EXP(-0.5*(($A678-'Control Room'!$A$14-('Control Room'!$B$14-1)/2)/MAX(0.5,'Control Room'!$B$14/4))^2),1)*IF(AND($A678&gt;='Control Room'!$A$15,$A678&lt;'Control Room'!$A$15+'Control Room'!$B$15,'Process'!BK4=1),1+('Control Room'!$C$15-1)*EXP(-0.5*(($A678-'Control Room'!$A$15-('Control Room'!$B$15-1)/2)/MAX(0.5,'Control Room'!$B$15/4))^2),1)*IF(AND($A678&gt;='Control Room'!$A$16,$A678&lt;'Control Room'!$A$16+'Control Room'!$B$16,'Process'!BK5=1),1+('Control Room'!$C$16-1)*EXP(-0.5*(($A678-'Control Room'!$A$16-('Control Room'!$B$16-1)/2)/MAX(0.5,'Control Room'!$B$16/4))^2),1)</x:f>
        <x:v>1</x:v>
      </x:c>
      <x:c r="G678" s="9" t="n">
        <x:f>MOD(H677*16807,2147483647)</x:f>
        <x:v>2028135886</x:v>
      </x:c>
      <x:c r="H678" s="9" t="n">
        <x:f>MOD(G678*16807,2147483647)</x:f>
        <x:v>2019390818</x:v>
      </x:c>
      <x:c r="I678" s="17" t="n">
        <x:f>IF('Control Room'!$B$5="Normal",'Control Room'!$B$7+'Control Room'!$D$7*SQRT(-2*LN(MAX(0.000000000001,G678/2147483647)))*COS(2*PI()*H678/2147483647),'Control Room'!$B$8+('Control Room'!$D$8-'Control Room'!$B$8)*G678/2147483647)</x:f>
        <x:v>1028.3227944785774</x:v>
      </x:c>
      <x:c r="J678" s="17" t="n">
        <x:f>IF('Control Room'!$B$5="Normal",'Control Room'!$B$7,('Control Room'!$B$8+'Control Room'!$D$8)/2)+'Control Room'!$B$9*(J677-IF('Control Room'!$B$5="Normal",'Control Room'!$B$7,('Control Room'!$B$8+'Control Room'!$D$8)/2))+SQRT(1-'Control Room'!$B$9^2)*(I678-IF('Control Room'!$B$5="Normal",'Control Room'!$B$7,('Control Room'!$B$8+'Control Room'!$D$8)/2))</x:f>
        <x:v>1008.5055256443751</x:v>
      </x:c>
      <x:c r="K678" s="17" t="n">
        <x:f>IF(AND($A678&gt;='Control Room'!$A$13,$A678&lt;'Control Room'!$A$13+'Control Room'!$B$13,'Process'!BL2=1),1+('Control Room'!$C$13-1)*EXP(-0.5*(($A678-'Control Room'!$A$13-('Control Room'!$B$13-1)/2)/MAX(0.5,'Control Room'!$B$13/4))^2),1)*IF(AND($A678&gt;='Control Room'!$A$14,$A678&lt;'Control Room'!$A$14+'Control Room'!$B$14,'Process'!BL3=1),1+('Control Room'!$C$14-1)*EXP(-0.5*(($A678-'Control Room'!$A$14-('Control Room'!$B$14-1)/2)/MAX(0.5,'Control Room'!$B$14/4))^2),1)*IF(AND($A678&gt;='Control Room'!$A$15,$A678&lt;'Control Room'!$A$15+'Control Room'!$B$15,'Process'!BL4=1),1+('Control Room'!$C$15-1)*EXP(-0.5*(($A678-'Control Room'!$A$15-('Control Room'!$B$15-1)/2)/MAX(0.5,'Control Room'!$B$15/4))^2),1)*IF(AND($A678&gt;='Control Room'!$A$16,$A678&lt;'Control Room'!$A$16+'Control Room'!$B$16,'Process'!BL5=1),1+('Control Room'!$C$16-1)*EXP(-0.5*(($A678-'Control Room'!$A$16-('Control Room'!$B$16-1)/2)/MAX(0.5,'Control Room'!$B$16/4))^2),1)</x:f>
        <x:v>1</x:v>
      </x:c>
      <x:c r="L678" s="9" t="n">
        <x:f>MOD(M677*16807,2147483647)</x:f>
        <x:v>1952349903</x:v>
      </x:c>
      <x:c r="M678" s="9" t="n">
        <x:f>MOD(L678*16807,2147483647)</x:f>
        <x:v>1742177208</x:v>
      </x:c>
      <x:c r="N678" s="17" t="n">
        <x:f>IF('Control Room'!$B$5="Normal",'Control Room'!$B$7+'Control Room'!$D$7*SQRT(-2*LN(MAX(0.000000000001,L678/2147483647)))*COS(2*PI()*M678/2147483647),'Control Room'!$B$8+('Control Room'!$D$8-'Control Room'!$B$8)*L678/2147483647)</x:f>
        <x:v>1014.7512745212777</x:v>
      </x:c>
      <x:c r="O678" s="17" t="n">
        <x:f>IF('Control Room'!$B$5="Normal",'Control Room'!$B$7,('Control Room'!$B$8+'Control Room'!$D$8)/2)+'Control Room'!$B$9*(O677-IF('Control Room'!$B$5="Normal",'Control Room'!$B$7,('Control Room'!$B$8+'Control Room'!$D$8)/2))+SQRT(1-'Control Room'!$B$9^2)*(N678-IF('Control Room'!$B$5="Normal",'Control Room'!$B$7,('Control Room'!$B$8+'Control Room'!$D$8)/2))</x:f>
        <x:v>913.6233421715742</x:v>
      </x:c>
      <x:c r="P678" s="17" t="n">
        <x:f>IF(AND($A678&gt;='Control Room'!$A$13,$A678&lt;'Control Room'!$A$13+'Control Room'!$B$13,'Process'!BM2=1),1+('Control Room'!$C$13-1)*EXP(-0.5*(($A678-'Control Room'!$A$13-('Control Room'!$B$13-1)/2)/MAX(0.5,'Control Room'!$B$13/4))^2),1)*IF(AND($A678&gt;='Control Room'!$A$14,$A678&lt;'Control Room'!$A$14+'Control Room'!$B$14,'Process'!BM3=1),1+('Control Room'!$C$14-1)*EXP(-0.5*(($A678-'Control Room'!$A$14-('Control Room'!$B$14-1)/2)/MAX(0.5,'Control Room'!$B$14/4))^2),1)*IF(AND($A678&gt;='Control Room'!$A$15,$A678&lt;'Control Room'!$A$15+'Control Room'!$B$15,'Process'!BM4=1),1+('Control Room'!$C$15-1)*EXP(-0.5*(($A678-'Control Room'!$A$15-('Control Room'!$B$15-1)/2)/MAX(0.5,'Control Room'!$B$15/4))^2),1)*IF(AND($A678&gt;='Control Room'!$A$16,$A678&lt;'Control Room'!$A$16+'Control Room'!$B$16,'Process'!BM5=1),1+('Control Room'!$C$16-1)*EXP(-0.5*(($A678-'Control Room'!$A$16-('Control Room'!$B$16-1)/2)/MAX(0.5,'Control Room'!$B$16/4))^2),1)</x:f>
        <x:v>1</x:v>
      </x:c>
      <x:c r="Q678" s="9" t="n">
        <x:f>MOD(R677*16807,2147483647)</x:f>
        <x:v>1876563920</x:v>
      </x:c>
      <x:c r="R678" s="9" t="n">
        <x:f>MOD(Q678*16807,2147483647)</x:f>
        <x:v>1464963598</x:v>
      </x:c>
      <x:c r="S678" s="17" t="n">
        <x:f>IF('Control Room'!$B$5="Normal",'Control Room'!$B$7+'Control Room'!$D$7*SQRT(-2*LN(MAX(0.000000000001,Q678/2147483647)))*COS(2*PI()*R678/2147483647),'Control Room'!$B$8+('Control Room'!$D$8-'Control Room'!$B$8)*Q678/2147483647)</x:f>
        <x:v>980.6793037140897</x:v>
      </x:c>
      <x:c r="T678" s="17" t="n">
        <x:f>IF('Control Room'!$B$5="Normal",'Control Room'!$B$7,('Control Room'!$B$8+'Control Room'!$D$8)/2)+'Control Room'!$B$9*(T677-IF('Control Room'!$B$5="Normal",'Control Room'!$B$7,('Control Room'!$B$8+'Control Room'!$D$8)/2))+SQRT(1-'Control Room'!$B$9^2)*(S678-IF('Control Room'!$B$5="Normal",'Control Room'!$B$7,('Control Room'!$B$8+'Control Room'!$D$8)/2))</x:f>
        <x:v>898.7764535735623</x:v>
      </x:c>
      <x:c r="U678" s="17" t="n">
        <x:f>IF(AND($A678&gt;='Control Room'!$A$13,$A678&lt;'Control Room'!$A$13+'Control Room'!$B$13,'Process'!BN2=1),1+('Control Room'!$C$13-1)*EXP(-0.5*(($A678-'Control Room'!$A$13-('Control Room'!$B$13-1)/2)/MAX(0.5,'Control Room'!$B$13/4))^2),1)*IF(AND($A678&gt;='Control Room'!$A$14,$A678&lt;'Control Room'!$A$14+'Control Room'!$B$14,'Process'!BN3=1),1+('Control Room'!$C$14-1)*EXP(-0.5*(($A678-'Control Room'!$A$14-('Control Room'!$B$14-1)/2)/MAX(0.5,'Control Room'!$B$14/4))^2),1)*IF(AND($A678&gt;='Control Room'!$A$15,$A678&lt;'Control Room'!$A$15+'Control Room'!$B$15,'Process'!BN4=1),1+('Control Room'!$C$15-1)*EXP(-0.5*(($A678-'Control Room'!$A$15-('Control Room'!$B$15-1)/2)/MAX(0.5,'Control Room'!$B$15/4))^2),1)*IF(AND($A678&gt;='Control Room'!$A$16,$A678&lt;'Control Room'!$A$16+'Control Room'!$B$16,'Process'!BN5=1),1+('Control Room'!$C$16-1)*EXP(-0.5*(($A678-'Control Room'!$A$16-('Control Room'!$B$16-1)/2)/MAX(0.5,'Control Room'!$B$16/4))^2),1)</x:f>
        <x:v>1</x:v>
      </x:c>
      <x:c r="V678" s="9" t="n">
        <x:f>MOD(W677*16807,2147483647)</x:f>
        <x:v>1800777937</x:v>
      </x:c>
      <x:c r="W678" s="9" t="n">
        <x:f>MOD(V678*16807,2147483647)</x:f>
        <x:v>1187749988</x:v>
      </x:c>
      <x:c r="X678" s="17" t="n">
        <x:f>IF('Control Room'!$B$5="Normal",'Control Room'!$B$7+'Control Room'!$D$7*SQRT(-2*LN(MAX(0.000000000001,V678/2147483647)))*COS(2*PI()*W678/2147483647),'Control Room'!$B$8+('Control Room'!$D$8-'Control Room'!$B$8)*V678/2147483647)</x:f>
        <x:v>949.5354279012261</x:v>
      </x:c>
      <x:c r="Y678" s="17" t="n">
        <x:f>IF('Control Room'!$B$5="Normal",'Control Room'!$B$7,('Control Room'!$B$8+'Control Room'!$D$8)/2)+'Control Room'!$B$9*(Y677-IF('Control Room'!$B$5="Normal",'Control Room'!$B$7,('Control Room'!$B$8+'Control Room'!$D$8)/2))+SQRT(1-'Control Room'!$B$9^2)*(X678-IF('Control Room'!$B$5="Normal",'Control Room'!$B$7,('Control Room'!$B$8+'Control Room'!$D$8)/2))</x:f>
        <x:v>974.8391703968944</x:v>
      </x:c>
      <x:c r="Z678" s="17" t="n">
        <x:f>IF(AND($A678&gt;='Control Room'!$A$13,$A678&lt;'Control Room'!$A$13+'Control Room'!$B$13,'Process'!BO2=1),1+('Control Room'!$C$13-1)*EXP(-0.5*(($A678-'Control Room'!$A$13-('Control Room'!$B$13-1)/2)/MAX(0.5,'Control Room'!$B$13/4))^2),1)*IF(AND($A678&gt;='Control Room'!$A$14,$A678&lt;'Control Room'!$A$14+'Control Room'!$B$14,'Process'!BO3=1),1+('Control Room'!$C$14-1)*EXP(-0.5*(($A678-'Control Room'!$A$14-('Control Room'!$B$14-1)/2)/MAX(0.5,'Control Room'!$B$14/4))^2),1)*IF(AND($A678&gt;='Control Room'!$A$15,$A678&lt;'Control Room'!$A$15+'Control Room'!$B$15,'Process'!BO4=1),1+('Control Room'!$C$15-1)*EXP(-0.5*(($A678-'Control Room'!$A$15-('Control Room'!$B$15-1)/2)/MAX(0.5,'Control Room'!$B$15/4))^2),1)*IF(AND($A678&gt;='Control Room'!$A$16,$A678&lt;'Control Room'!$A$16+'Control Room'!$B$16,'Process'!BO5=1),1+('Control Room'!$C$16-1)*EXP(-0.5*(($A678-'Control Room'!$A$16-('Control Room'!$B$16-1)/2)/MAX(0.5,'Control Room'!$B$16/4))^2),1)</x:f>
        <x:v>1</x:v>
      </x:c>
      <x:c r="AA678" s="9" t="n">
        <x:f>MOD(AB677*16807,2147483647)</x:f>
        <x:v>1724991954</x:v>
      </x:c>
      <x:c r="AB678" s="9" t="n">
        <x:f>MOD(AA678*16807,2147483647)</x:f>
        <x:v>910536378</x:v>
      </x:c>
      <x:c r="AC678" s="17" t="n">
        <x:f>IF('Control Room'!$B$5="Normal",'Control Room'!$B$7+'Control Room'!$D$7*SQRT(-2*LN(MAX(0.000000000001,AA678/2147483647)))*COS(2*PI()*AB678/2147483647),'Control Room'!$B$8+('Control Room'!$D$8-'Control Room'!$B$8)*AA678/2147483647)</x:f>
        <x:v>947.0903159678127</x:v>
      </x:c>
      <x:c r="AD678" s="17" t="n">
        <x:f>IF('Control Room'!$B$5="Normal",'Control Room'!$B$7,('Control Room'!$B$8+'Control Room'!$D$8)/2)+'Control Room'!$B$9*(AD677-IF('Control Room'!$B$5="Normal",'Control Room'!$B$7,('Control Room'!$B$8+'Control Room'!$D$8)/2))+SQRT(1-'Control Room'!$B$9^2)*(AC678-IF('Control Room'!$B$5="Normal",'Control Room'!$B$7,('Control Room'!$B$8+'Control Room'!$D$8)/2))</x:f>
        <x:v>986.5033684306403</x:v>
      </x:c>
      <x:c r="AE678" s="17" t="n">
        <x:f>IF(AND($A678&gt;='Control Room'!$A$13,$A678&lt;'Control Room'!$A$13+'Control Room'!$B$13,'Process'!BP2=1),1+('Control Room'!$C$13-1)*EXP(-0.5*(($A678-'Control Room'!$A$13-('Control Room'!$B$13-1)/2)/MAX(0.5,'Control Room'!$B$13/4))^2),1)*IF(AND($A678&gt;='Control Room'!$A$14,$A678&lt;'Control Room'!$A$14+'Control Room'!$B$14,'Process'!BP3=1),1+('Control Room'!$C$14-1)*EXP(-0.5*(($A678-'Control Room'!$A$14-('Control Room'!$B$14-1)/2)/MAX(0.5,'Control Room'!$B$14/4))^2),1)*IF(AND($A678&gt;='Control Room'!$A$15,$A678&lt;'Control Room'!$A$15+'Control Room'!$B$15,'Process'!BP4=1),1+('Control Room'!$C$15-1)*EXP(-0.5*(($A678-'Control Room'!$A$15-('Control Room'!$B$15-1)/2)/MAX(0.5,'Control Room'!$B$15/4))^2),1)*IF(AND($A678&gt;='Control Room'!$A$16,$A678&lt;'Control Room'!$A$16+'Control Room'!$B$16,'Process'!BP5=1),1+('Control Room'!$C$16-1)*EXP(-0.5*(($A678-'Control Room'!$A$16-('Control Room'!$B$16-1)/2)/MAX(0.5,'Control Room'!$B$16/4))^2),1)</x:f>
        <x:v>1</x:v>
      </x:c>
      <x:c r="AF678" s="9" t="n">
        <x:f>MOD(AG677*16807,2147483647)</x:f>
        <x:v>1649205971</x:v>
      </x:c>
      <x:c r="AG678" s="9" t="n">
        <x:f>MOD(AF678*16807,2147483647)</x:f>
        <x:v>633322768</x:v>
      </x:c>
      <x:c r="AH678" s="17" t="n">
        <x:f>IF('Control Room'!$B$5="Normal",'Control Room'!$B$7+'Control Room'!$D$7*SQRT(-2*LN(MAX(0.000000000001,AF678/2147483647)))*COS(2*PI()*AG678/2147483647),'Control Room'!$B$8+('Control Room'!$D$8-'Control Room'!$B$8)*AF678/2147483647)</x:f>
        <x:v>981.788630775298</x:v>
      </x:c>
      <x:c r="AI678" s="17" t="n">
        <x:f>IF('Control Room'!$B$5="Normal",'Control Room'!$B$7,('Control Room'!$B$8+'Control Room'!$D$8)/2)+'Control Room'!$B$9*(AI677-IF('Control Room'!$B$5="Normal",'Control Room'!$B$7,('Control Room'!$B$8+'Control Room'!$D$8)/2))+SQRT(1-'Control Room'!$B$9^2)*(AH678-IF('Control Room'!$B$5="Normal",'Control Room'!$B$7,('Control Room'!$B$8+'Control Room'!$D$8)/2))</x:f>
        <x:v>1004.5846733813406</x:v>
      </x:c>
      <x:c r="AJ678" s="17" t="n">
        <x:f>IF(AND($A678&gt;='Control Room'!$A$13,$A678&lt;'Control Room'!$A$13+'Control Room'!$B$13,'Process'!BQ2=1),1+('Control Room'!$C$13-1)*EXP(-0.5*(($A678-'Control Room'!$A$13-('Control Room'!$B$13-1)/2)/MAX(0.5,'Control Room'!$B$13/4))^2),1)*IF(AND($A678&gt;='Control Room'!$A$14,$A678&lt;'Control Room'!$A$14+'Control Room'!$B$14,'Process'!BQ3=1),1+('Control Room'!$C$14-1)*EXP(-0.5*(($A678-'Control Room'!$A$14-('Control Room'!$B$14-1)/2)/MAX(0.5,'Control Room'!$B$14/4))^2),1)*IF(AND($A678&gt;='Control Room'!$A$15,$A678&lt;'Control Room'!$A$15+'Control Room'!$B$15,'Process'!BQ4=1),1+('Control Room'!$C$15-1)*EXP(-0.5*(($A678-'Control Room'!$A$15-('Control Room'!$B$15-1)/2)/MAX(0.5,'Control Room'!$B$15/4))^2),1)*IF(AND($A678&gt;='Control Room'!$A$16,$A678&lt;'Control Room'!$A$16+'Control Room'!$B$16,'Process'!BQ5=1),1+('Control Room'!$C$16-1)*EXP(-0.5*(($A678-'Control Room'!$A$16-('Control Room'!$B$16-1)/2)/MAX(0.5,'Control Room'!$B$16/4))^2),1)</x:f>
        <x:v>1</x:v>
      </x:c>
      <x:c r="AK678" s="9" t="n">
        <x:f>MOD(AL677*16807,2147483647)</x:f>
        <x:v>1573419988</x:v>
      </x:c>
      <x:c r="AL678" s="9" t="n">
        <x:f>MOD(AK678*16807,2147483647)</x:f>
        <x:v>356109158</x:v>
      </x:c>
      <x:c r="AM678" s="17" t="n">
        <x:f>IF('Control Room'!$B$5="Normal",'Control Room'!$B$7+'Control Room'!$D$7*SQRT(-2*LN(MAX(0.000000000001,AK678/2147483647)))*COS(2*PI()*AL678/2147483647),'Control Room'!$B$8+('Control Room'!$D$8-'Control Room'!$B$8)*AK678/2147483647)</x:f>
        <x:v>1035.8168402762008</x:v>
      </x:c>
      <x:c r="AN678" s="17" t="n">
        <x:f>IF('Control Room'!$B$5="Normal",'Control Room'!$B$7,('Control Room'!$B$8+'Control Room'!$D$8)/2)+'Control Room'!$B$9*(AN677-IF('Control Room'!$B$5="Normal",'Control Room'!$B$7,('Control Room'!$B$8+'Control Room'!$D$8)/2))+SQRT(1-'Control Room'!$B$9^2)*(AM678-IF('Control Room'!$B$5="Normal",'Control Room'!$B$7,('Control Room'!$B$8+'Control Room'!$D$8)/2))</x:f>
        <x:v>1040.0416383198879</x:v>
      </x:c>
      <x:c r="AO678" s="17" t="n">
        <x:f>IF(AND($A678&gt;='Control Room'!$A$13,$A678&lt;'Control Room'!$A$13+'Control Room'!$B$13,'Process'!BR2=1),1+('Control Room'!$C$13-1)*EXP(-0.5*(($A678-'Control Room'!$A$13-('Control Room'!$B$13-1)/2)/MAX(0.5,'Control Room'!$B$13/4))^2),1)*IF(AND($A678&gt;='Control Room'!$A$14,$A678&lt;'Control Room'!$A$14+'Control Room'!$B$14,'Process'!BR3=1),1+('Control Room'!$C$14-1)*EXP(-0.5*(($A678-'Control Room'!$A$14-('Control Room'!$B$14-1)/2)/MAX(0.5,'Control Room'!$B$14/4))^2),1)*IF(AND($A678&gt;='Control Room'!$A$15,$A678&lt;'Control Room'!$A$15+'Control Room'!$B$15,'Process'!BR4=1),1+('Control Room'!$C$15-1)*EXP(-0.5*(($A678-'Control Room'!$A$15-('Control Room'!$B$15-1)/2)/MAX(0.5,'Control Room'!$B$15/4))^2),1)*IF(AND($A678&gt;='Control Room'!$A$16,$A678&lt;'Control Room'!$A$16+'Control Room'!$B$16,'Process'!BR5=1),1+('Control Room'!$C$16-1)*EXP(-0.5*(($A678-'Control Room'!$A$16-('Control Room'!$B$16-1)/2)/MAX(0.5,'Control Room'!$B$16/4))^2),1)</x:f>
        <x:v>1</x:v>
      </x:c>
      <x:c r="AP678" s="9" t="n">
        <x:f>MOD(AQ677*16807,2147483647)</x:f>
        <x:v>1497634005</x:v>
      </x:c>
      <x:c r="AQ678" s="9" t="n">
        <x:f>MOD(AP678*16807,2147483647)</x:f>
        <x:v>78895548</x:v>
      </x:c>
      <x:c r="AR678" s="17" t="n">
        <x:f>IF('Control Room'!$B$5="Normal",'Control Room'!$B$7+'Control Room'!$D$7*SQRT(-2*LN(MAX(0.000000000001,AP678/2147483647)))*COS(2*PI()*AQ678/2147483647),'Control Room'!$B$8+('Control Room'!$D$8-'Control Room'!$B$8)*AP678/2147483647)</x:f>
        <x:v>1074.384273776028</x:v>
      </x:c>
      <x:c r="AS678" s="17" t="n">
        <x:f>IF('Control Room'!$B$5="Normal",'Control Room'!$B$7,('Control Room'!$B$8+'Control Room'!$D$8)/2)+'Control Room'!$B$9*(AS677-IF('Control Room'!$B$5="Normal",'Control Room'!$B$7,('Control Room'!$B$8+'Control Room'!$D$8)/2))+SQRT(1-'Control Room'!$B$9^2)*(AR678-IF('Control Room'!$B$5="Normal",'Control Room'!$B$7,('Control Room'!$B$8+'Control Room'!$D$8)/2))</x:f>
        <x:v>1134.0143345658448</x:v>
      </x:c>
      <x:c r="AT678" s="17" t="n">
        <x:f>IF(AND($A678&gt;='Control Room'!$A$13,$A678&lt;'Control Room'!$A$13+'Control Room'!$B$13,'Process'!BS2=1),1+('Control Room'!$C$13-1)*EXP(-0.5*(($A678-'Control Room'!$A$13-('Control Room'!$B$13-1)/2)/MAX(0.5,'Control Room'!$B$13/4))^2),1)*IF(AND($A678&gt;='Control Room'!$A$14,$A678&lt;'Control Room'!$A$14+'Control Room'!$B$14,'Process'!BS3=1),1+('Control Room'!$C$14-1)*EXP(-0.5*(($A678-'Control Room'!$A$14-('Control Room'!$B$14-1)/2)/MAX(0.5,'Control Room'!$B$14/4))^2),1)*IF(AND($A678&gt;='Control Room'!$A$15,$A678&lt;'Control Room'!$A$15+'Control Room'!$B$15,'Process'!BS4=1),1+('Control Room'!$C$15-1)*EXP(-0.5*(($A678-'Control Room'!$A$15-('Control Room'!$B$15-1)/2)/MAX(0.5,'Control Room'!$B$15/4))^2),1)*IF(AND($A678&gt;='Control Room'!$A$16,$A678&lt;'Control Room'!$A$16+'Control Room'!$B$16,'Process'!BS5=1),1+('Control Room'!$C$16-1)*EXP(-0.5*(($A678-'Control Room'!$A$16-('Control Room'!$B$16-1)/2)/MAX(0.5,'Control Room'!$B$16/4))^2),1)</x:f>
        <x:v>1</x:v>
      </x:c>
      <x:c r="AU678" s="9" t="n">
        <x:f>MOD(AV677*16807,2147483647)</x:f>
        <x:v>1421848022</x:v>
      </x:c>
      <x:c r="AV678" s="9" t="n">
        <x:f>MOD(AU678*16807,2147483647)</x:f>
        <x:v>1949165585</x:v>
      </x:c>
      <x:c r="AW678" s="17" t="n">
        <x:f>IF('Control Room'!$B$5="Normal",'Control Room'!$B$7+'Control Room'!$D$7*SQRT(-2*LN(MAX(0.000000000001,AU678/2147483647)))*COS(2*PI()*AV678/2147483647),'Control Room'!$B$8+('Control Room'!$D$8-'Control Room'!$B$8)*AU678/2147483647)</x:f>
        <x:v>1068.353596684268</x:v>
      </x:c>
      <x:c r="AX678" s="17" t="n">
        <x:f>IF('Control Room'!$B$5="Normal",'Control Room'!$B$7,('Control Room'!$B$8+'Control Room'!$D$8)/2)+'Control Room'!$B$9*(AX677-IF('Control Room'!$B$5="Normal",'Control Room'!$B$7,('Control Room'!$B$8+'Control Room'!$D$8)/2))+SQRT(1-'Control Room'!$B$9^2)*(AW678-IF('Control Room'!$B$5="Normal",'Control Room'!$B$7,('Control Room'!$B$8+'Control Room'!$D$8)/2))</x:f>
        <x:v>998.8920075251098</x:v>
      </x:c>
      <x:c r="AY678" s="17" t="n">
        <x:f>IF(AND($A678&gt;='Control Room'!$A$13,$A678&lt;'Control Room'!$A$13+'Control Room'!$B$13,'Process'!BT2=1),1+('Control Room'!$C$13-1)*EXP(-0.5*(($A678-'Control Room'!$A$13-('Control Room'!$B$13-1)/2)/MAX(0.5,'Control Room'!$B$13/4))^2),1)*IF(AND($A678&gt;='Control Room'!$A$14,$A678&lt;'Control Room'!$A$14+'Control Room'!$B$14,'Process'!BT3=1),1+('Control Room'!$C$14-1)*EXP(-0.5*(($A678-'Control Room'!$A$14-('Control Room'!$B$14-1)/2)/MAX(0.5,'Control Room'!$B$14/4))^2),1)*IF(AND($A678&gt;='Control Room'!$A$15,$A678&lt;'Control Room'!$A$15+'Control Room'!$B$15,'Process'!BT4=1),1+('Control Room'!$C$15-1)*EXP(-0.5*(($A678-'Control Room'!$A$15-('Control Room'!$B$15-1)/2)/MAX(0.5,'Control Room'!$B$15/4))^2),1)*IF(AND($A678&gt;='Control Room'!$A$16,$A678&lt;'Control Room'!$A$16+'Control Room'!$B$16,'Process'!BT5=1),1+('Control Room'!$C$16-1)*EXP(-0.5*(($A678-'Control Room'!$A$16-('Control Room'!$B$16-1)/2)/MAX(0.5,'Control Room'!$B$16/4))^2),1)</x:f>
        <x:v>1</x:v>
      </x:c>
      <x:c r="AZ678" s="9" t="n">
        <x:f>MOD(BA677*16807,2147483647)</x:f>
        <x:v>1346062039</x:v>
      </x:c>
      <x:c r="BA678" s="9" t="n">
        <x:f>MOD(AZ678*16807,2147483647)</x:f>
        <x:v>1671951975</x:v>
      </x:c>
      <x:c r="BB678" s="17" t="n">
        <x:f>IF('Control Room'!$B$5="Normal",'Control Room'!$B$7+'Control Room'!$D$7*SQRT(-2*LN(MAX(0.000000000001,AZ678/2147483647)))*COS(2*PI()*BA678/2147483647),'Control Room'!$B$8+('Control Room'!$D$8-'Control Room'!$B$8)*AZ678/2147483647)</x:f>
        <x:v>1015.528274840773</x:v>
      </x:c>
      <x:c r="BC678" s="17" t="n">
        <x:f>IF('Control Room'!$B$5="Normal",'Control Room'!$B$7,('Control Room'!$B$8+'Control Room'!$D$8)/2)+'Control Room'!$B$9*(BC677-IF('Control Room'!$B$5="Normal",'Control Room'!$B$7,('Control Room'!$B$8+'Control Room'!$D$8)/2))+SQRT(1-'Control Room'!$B$9^2)*(BB678-IF('Control Room'!$B$5="Normal",'Control Room'!$B$7,('Control Room'!$B$8+'Control Room'!$D$8)/2))</x:f>
        <x:v>914.9982445637704</x:v>
      </x:c>
      <x:c r="BD678" s="17" t="n">
        <x:f>IF(AND($A678&gt;='Control Room'!$A$13,$A678&lt;'Control Room'!$A$13+'Control Room'!$B$13,'Process'!BU2=1),1+('Control Room'!$C$13-1)*EXP(-0.5*(($A678-'Control Room'!$A$13-('Control Room'!$B$13-1)/2)/MAX(0.5,'Control Room'!$B$13/4))^2),1)*IF(AND($A678&gt;='Control Room'!$A$14,$A678&lt;'Control Room'!$A$14+'Control Room'!$B$14,'Process'!BU3=1),1+('Control Room'!$C$14-1)*EXP(-0.5*(($A678-'Control Room'!$A$14-('Control Room'!$B$14-1)/2)/MAX(0.5,'Control Room'!$B$14/4))^2),1)*IF(AND($A678&gt;='Control Room'!$A$15,$A678&lt;'Control Room'!$A$15+'Control Room'!$B$15,'Process'!BU4=1),1+('Control Room'!$C$15-1)*EXP(-0.5*(($A678-'Control Room'!$A$15-('Control Room'!$B$15-1)/2)/MAX(0.5,'Control Room'!$B$15/4))^2),1)*IF(AND($A678&gt;='Control Room'!$A$16,$A678&lt;'Control Room'!$A$16+'Control Room'!$B$16,'Process'!BU5=1),1+('Control Room'!$C$16-1)*EXP(-0.5*(($A678-'Control Room'!$A$16-('Control Room'!$B$16-1)/2)/MAX(0.5,'Control Room'!$B$16/4))^2),1)</x:f>
        <x:v>1</x:v>
      </x:c>
      <x:c r="BE678" s="9" t="n">
        <x:f>MOD(BF677*16807,2147483647)</x:f>
        <x:v>1270276056</x:v>
      </x:c>
      <x:c r="BF678" s="9" t="n">
        <x:f>MOD(BE678*16807,2147483647)</x:f>
        <x:v>1394738365</x:v>
      </x:c>
      <x:c r="BG678" s="17" t="n">
        <x:f>IF('Control Room'!$B$5="Normal",'Control Room'!$B$7+'Control Room'!$D$7*SQRT(-2*LN(MAX(0.000000000001,BE678/2147483647)))*COS(2*PI()*BF678/2147483647),'Control Room'!$B$8+('Control Room'!$D$8-'Control Room'!$B$8)*BE678/2147483647)</x:f>
        <x:v>945.5441918254958</x:v>
      </x:c>
      <x:c r="BH678" s="17" t="n">
        <x:f>IF('Control Room'!$B$5="Normal",'Control Room'!$B$7,('Control Room'!$B$8+'Control Room'!$D$8)/2)+'Control Room'!$B$9*(BH677-IF('Control Room'!$B$5="Normal",'Control Room'!$B$7,('Control Room'!$B$8+'Control Room'!$D$8)/2))+SQRT(1-'Control Room'!$B$9^2)*(BG678-IF('Control Room'!$B$5="Normal",'Control Room'!$B$7,('Control Room'!$B$8+'Control Room'!$D$8)/2))</x:f>
        <x:v>926.5446529768661</x:v>
      </x:c>
      <x:c r="BI678" s="17" t="n">
        <x:f>IF(AND($A678&gt;='Control Room'!$A$13,$A678&lt;'Control Room'!$A$13+'Control Room'!$B$13,'Process'!BV2=1),1+('Control Room'!$C$13-1)*EXP(-0.5*(($A678-'Control Room'!$A$13-('Control Room'!$B$13-1)/2)/MAX(0.5,'Control Room'!$B$13/4))^2),1)*IF(AND($A678&gt;='Control Room'!$A$14,$A678&lt;'Control Room'!$A$14+'Control Room'!$B$14,'Process'!BV3=1),1+('Control Room'!$C$14-1)*EXP(-0.5*(($A678-'Control Room'!$A$14-('Control Room'!$B$14-1)/2)/MAX(0.5,'Control Room'!$B$14/4))^2),1)*IF(AND($A678&gt;='Control Room'!$A$15,$A678&lt;'Control Room'!$A$15+'Control Room'!$B$15,'Process'!BV4=1),1+('Control Room'!$C$15-1)*EXP(-0.5*(($A678-'Control Room'!$A$15-('Control Room'!$B$15-1)/2)/MAX(0.5,'Control Room'!$B$15/4))^2),1)*IF(AND($A678&gt;='Control Room'!$A$16,$A678&lt;'Control Room'!$A$16+'Control Room'!$B$16,'Process'!BV5=1),1+('Control Room'!$C$16-1)*EXP(-0.5*(($A678-'Control Room'!$A$16-('Control Room'!$B$16-1)/2)/MAX(0.5,'Control Room'!$B$16/4))^2),1)</x:f>
        <x:v>1</x:v>
      </x:c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Z678" t="str">
        <x:f>IF('Data'!A678="","",TEXT('Data'!A678,"mm-dd"))</x:f>
      </x:c>
    </x:row>
    <x:row r="679" ht="21" customHeight="1">
      <x:c r="A679" s="15" t="n">
        <x:f>'Control Room'!$B$1+677</x:f>
        <x:v>73668</x:v>
      </x:c>
      <x:c r="B679" s="9" t="n">
        <x:f>MOD(C678*16807,2147483647)</x:f>
        <x:v>159550218</x:v>
      </x:c>
      <x:c r="C679" s="9" t="n">
        <x:f>MOD(B679*16807,2147483647)</x:f>
        <x:v>1500922470</x:v>
      </x:c>
      <x:c r="D679" s="17" t="n">
        <x:f>IF('Control Room'!$B$5="Normal",'Control Room'!$B$7+'Control Room'!$D$7*SQRT(-2*LN(MAX(0.000000000001,B679/2147483647)))*COS(2*PI()*C679/2147483647),'Control Room'!$B$8+('Control Room'!$D$8-'Control Room'!$B$8)*B679/2147483647)</x:f>
        <x:v>935.2625602295357</x:v>
      </x:c>
      <x:c r="E679" s="17" t="n">
        <x:f>IF('Control Room'!$B$5="Normal",'Control Room'!$B$7,('Control Room'!$B$8+'Control Room'!$D$8)/2)+'Control Room'!$B$9*(E678-IF('Control Room'!$B$5="Normal",'Control Room'!$B$7,('Control Room'!$B$8+'Control Room'!$D$8)/2))+SQRT(1-'Control Room'!$B$9^2)*(D679-IF('Control Room'!$B$5="Normal",'Control Room'!$B$7,('Control Room'!$B$8+'Control Room'!$D$8)/2))</x:f>
        <x:v>949.578537185151</x:v>
      </x:c>
      <x:c r="F679" s="17" t="n">
        <x:f>IF(AND($A679&gt;='Control Room'!$A$13,$A679&lt;'Control Room'!$A$13+'Control Room'!$B$13,'Process'!BK2=1),1+('Control Room'!$C$13-1)*EXP(-0.5*(($A679-'Control Room'!$A$13-('Control Room'!$B$13-1)/2)/MAX(0.5,'Control Room'!$B$13/4))^2),1)*IF(AND($A679&gt;='Control Room'!$A$14,$A679&lt;'Control Room'!$A$14+'Control Room'!$B$14,'Process'!BK3=1),1+('Control Room'!$C$14-1)*EXP(-0.5*(($A679-'Control Room'!$A$14-('Control Room'!$B$14-1)/2)/MAX(0.5,'Control Room'!$B$14/4))^2),1)*IF(AND($A679&gt;='Control Room'!$A$15,$A679&lt;'Control Room'!$A$15+'Control Room'!$B$15,'Process'!BK4=1),1+('Control Room'!$C$15-1)*EXP(-0.5*(($A679-'Control Room'!$A$15-('Control Room'!$B$15-1)/2)/MAX(0.5,'Control Room'!$B$15/4))^2),1)*IF(AND($A679&gt;='Control Room'!$A$16,$A679&lt;'Control Room'!$A$16+'Control Room'!$B$16,'Process'!BK5=1),1+('Control Room'!$C$16-1)*EXP(-0.5*(($A679-'Control Room'!$A$16-('Control Room'!$B$16-1)/2)/MAX(0.5,'Control Room'!$B$16/4))^2),1)</x:f>
        <x:v>1</x:v>
      </x:c>
      <x:c r="G679" s="9" t="n">
        <x:f>MOD(H678*16807,2147483647)</x:f>
        <x:v>1069920938</x:v>
      </x:c>
      <x:c r="H679" s="9" t="n">
        <x:f>MOD(G679*16807,2147483647)</x:f>
        <x:v>1280628635</x:v>
      </x:c>
      <x:c r="I679" s="17" t="n">
        <x:f>IF('Control Room'!$B$5="Normal",'Control Room'!$B$7+'Control Room'!$D$7*SQRT(-2*LN(MAX(0.000000000001,G679/2147483647)))*COS(2*PI()*H679/2147483647),'Control Room'!$B$8+('Control Room'!$D$8-'Control Room'!$B$8)*G679/2147483647)</x:f>
        <x:v>912.6373173238422</x:v>
      </x:c>
      <x:c r="J679" s="17" t="n">
        <x:f>IF('Control Room'!$B$5="Normal",'Control Room'!$B$7,('Control Room'!$B$8+'Control Room'!$D$8)/2)+'Control Room'!$B$9*(J678-IF('Control Room'!$B$5="Normal",'Control Room'!$B$7,('Control Room'!$B$8+'Control Room'!$D$8)/2))+SQRT(1-'Control Room'!$B$9^2)*(I679-IF('Control Room'!$B$5="Normal",'Control Room'!$B$7,('Control Room'!$B$8+'Control Room'!$D$8)/2))</x:f>
        <x:v>951.9645329057076</x:v>
      </x:c>
      <x:c r="K679" s="17" t="n">
        <x:f>IF(AND($A679&gt;='Control Room'!$A$13,$A679&lt;'Control Room'!$A$13+'Control Room'!$B$13,'Process'!BL2=1),1+('Control Room'!$C$13-1)*EXP(-0.5*(($A679-'Control Room'!$A$13-('Control Room'!$B$13-1)/2)/MAX(0.5,'Control Room'!$B$13/4))^2),1)*IF(AND($A679&gt;='Control Room'!$A$14,$A679&lt;'Control Room'!$A$14+'Control Room'!$B$14,'Process'!BL3=1),1+('Control Room'!$C$14-1)*EXP(-0.5*(($A679-'Control Room'!$A$14-('Control Room'!$B$14-1)/2)/MAX(0.5,'Control Room'!$B$14/4))^2),1)*IF(AND($A679&gt;='Control Room'!$A$15,$A679&lt;'Control Room'!$A$15+'Control Room'!$B$15,'Process'!BL4=1),1+('Control Room'!$C$15-1)*EXP(-0.5*(($A679-'Control Room'!$A$15-('Control Room'!$B$15-1)/2)/MAX(0.5,'Control Room'!$B$15/4))^2),1)*IF(AND($A679&gt;='Control Room'!$A$16,$A679&lt;'Control Room'!$A$16+'Control Room'!$B$16,'Process'!BL5=1),1+('Control Room'!$C$16-1)*EXP(-0.5*(($A679-'Control Room'!$A$16-('Control Room'!$B$16-1)/2)/MAX(0.5,'Control Room'!$B$16/4))^2),1)</x:f>
        <x:v>1</x:v>
      </x:c>
      <x:c r="L679" s="9" t="n">
        <x:f>MOD(M678*16807,2147483647)</x:f>
        <x:v>1980291658</x:v>
      </x:c>
      <x:c r="M679" s="9" t="n">
        <x:f>MOD(L679*16807,2147483647)</x:f>
        <x:v>1060334800</x:v>
      </x:c>
      <x:c r="N679" s="17" t="n">
        <x:f>IF('Control Room'!$B$5="Normal",'Control Room'!$B$7+'Control Room'!$D$7*SQRT(-2*LN(MAX(0.000000000001,L679/2147483647)))*COS(2*PI()*M679/2147483647),'Control Room'!$B$8+('Control Room'!$D$8-'Control Room'!$B$8)*L679/2147483647)</x:f>
        <x:v>963.7918089117676</x:v>
      </x:c>
      <x:c r="O679" s="17" t="n">
        <x:f>IF('Control Room'!$B$5="Normal",'Control Room'!$B$7,('Control Room'!$B$8+'Control Room'!$D$8)/2)+'Control Room'!$B$9*(O678-IF('Control Room'!$B$5="Normal",'Control Room'!$B$7,('Control Room'!$B$8+'Control Room'!$D$8)/2))+SQRT(1-'Control Room'!$B$9^2)*(N679-IF('Control Room'!$B$5="Normal",'Control Room'!$B$7,('Control Room'!$B$8+'Control Room'!$D$8)/2))</x:f>
        <x:v>909.9678626759251</x:v>
      </x:c>
      <x:c r="P679" s="17" t="n">
        <x:f>IF(AND($A679&gt;='Control Room'!$A$13,$A679&lt;'Control Room'!$A$13+'Control Room'!$B$13,'Process'!BM2=1),1+('Control Room'!$C$13-1)*EXP(-0.5*(($A679-'Control Room'!$A$13-('Control Room'!$B$13-1)/2)/MAX(0.5,'Control Room'!$B$13/4))^2),1)*IF(AND($A679&gt;='Control Room'!$A$14,$A679&lt;'Control Room'!$A$14+'Control Room'!$B$14,'Process'!BM3=1),1+('Control Room'!$C$14-1)*EXP(-0.5*(($A679-'Control Room'!$A$14-('Control Room'!$B$14-1)/2)/MAX(0.5,'Control Room'!$B$14/4))^2),1)*IF(AND($A679&gt;='Control Room'!$A$15,$A679&lt;'Control Room'!$A$15+'Control Room'!$B$15,'Process'!BM4=1),1+('Control Room'!$C$15-1)*EXP(-0.5*(($A679-'Control Room'!$A$15-('Control Room'!$B$15-1)/2)/MAX(0.5,'Control Room'!$B$15/4))^2),1)*IF(AND($A679&gt;='Control Room'!$A$16,$A679&lt;'Control Room'!$A$16+'Control Room'!$B$16,'Process'!BM5=1),1+('Control Room'!$C$16-1)*EXP(-0.5*(($A679-'Control Room'!$A$16-('Control Room'!$B$16-1)/2)/MAX(0.5,'Control Room'!$B$16/4))^2),1)</x:f>
        <x:v>1</x:v>
      </x:c>
      <x:c r="Q679" s="9" t="n">
        <x:f>MOD(R678*16807,2147483647)</x:f>
        <x:v>743178731</x:v>
      </x:c>
      <x:c r="R679" s="9" t="n">
        <x:f>MOD(Q679*16807,2147483647)</x:f>
        <x:v>840040965</x:v>
      </x:c>
      <x:c r="S679" s="17" t="n">
        <x:f>IF('Control Room'!$B$5="Normal",'Control Room'!$B$7+'Control Room'!$D$7*SQRT(-2*LN(MAX(0.000000000001,Q679/2147483647)))*COS(2*PI()*R679/2147483647),'Control Room'!$B$8+('Control Room'!$D$8-'Control Room'!$B$8)*Q679/2147483647)</x:f>
        <x:v>898.3632972378485</x:v>
      </x:c>
      <x:c r="T679" s="17" t="n">
        <x:f>IF('Control Room'!$B$5="Normal",'Control Room'!$B$7,('Control Room'!$B$8+'Control Room'!$D$8)/2)+'Control Room'!$B$9*(T678-IF('Control Room'!$B$5="Normal",'Control Room'!$B$7,('Control Room'!$B$8+'Control Room'!$D$8)/2))+SQRT(1-'Control Room'!$B$9^2)*(S679-IF('Control Room'!$B$5="Normal",'Control Room'!$B$7,('Control Room'!$B$8+'Control Room'!$D$8)/2))</x:f>
        <x:v>857.4434673398548</x:v>
      </x:c>
      <x:c r="U679" s="17" t="n">
        <x:f>IF(AND($A679&gt;='Control Room'!$A$13,$A679&lt;'Control Room'!$A$13+'Control Room'!$B$13,'Process'!BN2=1),1+('Control Room'!$C$13-1)*EXP(-0.5*(($A679-'Control Room'!$A$13-('Control Room'!$B$13-1)/2)/MAX(0.5,'Control Room'!$B$13/4))^2),1)*IF(AND($A679&gt;='Control Room'!$A$14,$A679&lt;'Control Room'!$A$14+'Control Room'!$B$14,'Process'!BN3=1),1+('Control Room'!$C$14-1)*EXP(-0.5*(($A679-'Control Room'!$A$14-('Control Room'!$B$14-1)/2)/MAX(0.5,'Control Room'!$B$14/4))^2),1)*IF(AND($A679&gt;='Control Room'!$A$15,$A679&lt;'Control Room'!$A$15+'Control Room'!$B$15,'Process'!BN4=1),1+('Control Room'!$C$15-1)*EXP(-0.5*(($A679-'Control Room'!$A$15-('Control Room'!$B$15-1)/2)/MAX(0.5,'Control Room'!$B$15/4))^2),1)*IF(AND($A679&gt;='Control Room'!$A$16,$A679&lt;'Control Room'!$A$16+'Control Room'!$B$16,'Process'!BN5=1),1+('Control Room'!$C$16-1)*EXP(-0.5*(($A679-'Control Room'!$A$16-('Control Room'!$B$16-1)/2)/MAX(0.5,'Control Room'!$B$16/4))^2),1)</x:f>
        <x:v>1</x:v>
      </x:c>
      <x:c r="V679" s="9" t="n">
        <x:f>MOD(W678*16807,2147483647)</x:f>
        <x:v>1653549451</x:v>
      </x:c>
      <x:c r="W679" s="9" t="n">
        <x:f>MOD(V679*16807,2147483647)</x:f>
        <x:v>619747130</x:v>
      </x:c>
      <x:c r="X679" s="17" t="n">
        <x:f>IF('Control Room'!$B$5="Normal",'Control Room'!$B$7+'Control Room'!$D$7*SQRT(-2*LN(MAX(0.000000000001,V679/2147483647)))*COS(2*PI()*W679/2147483647),'Control Room'!$B$8+('Control Room'!$D$8-'Control Room'!$B$8)*V679/2147483647)</x:f>
        <x:v>984.3756061622613</x:v>
      </x:c>
      <x:c r="Y679" s="17" t="n">
        <x:f>IF('Control Room'!$B$5="Normal",'Control Room'!$B$7,('Control Room'!$B$8+'Control Room'!$D$8)/2)+'Control Room'!$B$9*(Y678-IF('Control Room'!$B$5="Normal",'Control Room'!$B$7,('Control Room'!$B$8+'Control Room'!$D$8)/2))+SQRT(1-'Control Room'!$B$9^2)*(X679-IF('Control Room'!$B$5="Normal",'Control Room'!$B$7,('Control Room'!$B$8+'Control Room'!$D$8)/2))</x:f>
        <x:v>970.5971273290265</x:v>
      </x:c>
      <x:c r="Z679" s="17" t="n">
        <x:f>IF(AND($A679&gt;='Control Room'!$A$13,$A679&lt;'Control Room'!$A$13+'Control Room'!$B$13,'Process'!BO2=1),1+('Control Room'!$C$13-1)*EXP(-0.5*(($A679-'Control Room'!$A$13-('Control Room'!$B$13-1)/2)/MAX(0.5,'Control Room'!$B$13/4))^2),1)*IF(AND($A679&gt;='Control Room'!$A$14,$A679&lt;'Control Room'!$A$14+'Control Room'!$B$14,'Process'!BO3=1),1+('Control Room'!$C$14-1)*EXP(-0.5*(($A679-'Control Room'!$A$14-('Control Room'!$B$14-1)/2)/MAX(0.5,'Control Room'!$B$14/4))^2),1)*IF(AND($A679&gt;='Control Room'!$A$15,$A679&lt;'Control Room'!$A$15+'Control Room'!$B$15,'Process'!BO4=1),1+('Control Room'!$C$15-1)*EXP(-0.5*(($A679-'Control Room'!$A$15-('Control Room'!$B$15-1)/2)/MAX(0.5,'Control Room'!$B$15/4))^2),1)*IF(AND($A679&gt;='Control Room'!$A$16,$A679&lt;'Control Room'!$A$16+'Control Room'!$B$16,'Process'!BO5=1),1+('Control Room'!$C$16-1)*EXP(-0.5*(($A679-'Control Room'!$A$16-('Control Room'!$B$16-1)/2)/MAX(0.5,'Control Room'!$B$16/4))^2),1)</x:f>
        <x:v>1</x:v>
      </x:c>
      <x:c r="AA679" s="9" t="n">
        <x:f>MOD(AB678*16807,2147483647)</x:f>
        <x:v>416436524</x:v>
      </x:c>
      <x:c r="AB679" s="9" t="n">
        <x:f>MOD(AA679*16807,2147483647)</x:f>
        <x:v>399453295</x:v>
      </x:c>
      <x:c r="AC679" s="17" t="n">
        <x:f>IF('Control Room'!$B$5="Normal",'Control Room'!$B$7+'Control Room'!$D$7*SQRT(-2*LN(MAX(0.000000000001,AA679/2147483647)))*COS(2*PI()*AB679/2147483647),'Control Room'!$B$8+('Control Room'!$D$8-'Control Room'!$B$8)*AA679/2147483647)</x:f>
        <x:v>1063.7895266288363</x:v>
      </x:c>
      <x:c r="AD679" s="17" t="n">
        <x:f>IF('Control Room'!$B$5="Normal",'Control Room'!$B$7,('Control Room'!$B$8+'Control Room'!$D$8)/2)+'Control Room'!$B$9*(AD678-IF('Control Room'!$B$5="Normal",'Control Room'!$B$7,('Control Room'!$B$8+'Control Room'!$D$8)/2))+SQRT(1-'Control Room'!$B$9^2)*(AC679-IF('Control Room'!$B$5="Normal",'Control Room'!$B$7,('Control Room'!$B$8+'Control Room'!$D$8)/2))</x:f>
        <x:v>1029.3908063407414</x:v>
      </x:c>
      <x:c r="AE679" s="17" t="n">
        <x:f>IF(AND($A679&gt;='Control Room'!$A$13,$A679&lt;'Control Room'!$A$13+'Control Room'!$B$13,'Process'!BP2=1),1+('Control Room'!$C$13-1)*EXP(-0.5*(($A679-'Control Room'!$A$13-('Control Room'!$B$13-1)/2)/MAX(0.5,'Control Room'!$B$13/4))^2),1)*IF(AND($A679&gt;='Control Room'!$A$14,$A679&lt;'Control Room'!$A$14+'Control Room'!$B$14,'Process'!BP3=1),1+('Control Room'!$C$14-1)*EXP(-0.5*(($A679-'Control Room'!$A$14-('Control Room'!$B$14-1)/2)/MAX(0.5,'Control Room'!$B$14/4))^2),1)*IF(AND($A679&gt;='Control Room'!$A$15,$A679&lt;'Control Room'!$A$15+'Control Room'!$B$15,'Process'!BP4=1),1+('Control Room'!$C$15-1)*EXP(-0.5*(($A679-'Control Room'!$A$15-('Control Room'!$B$15-1)/2)/MAX(0.5,'Control Room'!$B$15/4))^2),1)*IF(AND($A679&gt;='Control Room'!$A$16,$A679&lt;'Control Room'!$A$16+'Control Room'!$B$16,'Process'!BP5=1),1+('Control Room'!$C$16-1)*EXP(-0.5*(($A679-'Control Room'!$A$16-('Control Room'!$B$16-1)/2)/MAX(0.5,'Control Room'!$B$16/4))^2),1)</x:f>
        <x:v>1</x:v>
      </x:c>
      <x:c r="AF679" s="9" t="n">
        <x:f>MOD(AG678*16807,2147483647)</x:f>
        <x:v>1326807244</x:v>
      </x:c>
      <x:c r="AG679" s="9" t="n">
        <x:f>MOD(AF679*16807,2147483647)</x:f>
        <x:v>179159460</x:v>
      </x:c>
      <x:c r="AH679" s="17" t="n">
        <x:f>IF('Control Room'!$B$5="Normal",'Control Room'!$B$7+'Control Room'!$D$7*SQRT(-2*LN(MAX(0.000000000001,AF679/2147483647)))*COS(2*PI()*AG679/2147483647),'Control Room'!$B$8+('Control Room'!$D$8-'Control Room'!$B$8)*AF679/2147483647)</x:f>
        <x:v>1076.4622766662187</x:v>
      </x:c>
      <x:c r="AI679" s="17" t="n">
        <x:f>IF('Control Room'!$B$5="Normal",'Control Room'!$B$7,('Control Room'!$B$8+'Control Room'!$D$8)/2)+'Control Room'!$B$9*(AI678-IF('Control Room'!$B$5="Normal",'Control Room'!$B$7,('Control Room'!$B$8+'Control Room'!$D$8)/2))+SQRT(1-'Control Room'!$B$9^2)*(AH679-IF('Control Room'!$B$5="Normal",'Control Room'!$B$7,('Control Room'!$B$8+'Control Room'!$D$8)/2))</x:f>
        <x:v>1051.4245715602856</x:v>
      </x:c>
      <x:c r="AJ679" s="17" t="n">
        <x:f>IF(AND($A679&gt;='Control Room'!$A$13,$A679&lt;'Control Room'!$A$13+'Control Room'!$B$13,'Process'!BQ2=1),1+('Control Room'!$C$13-1)*EXP(-0.5*(($A679-'Control Room'!$A$13-('Control Room'!$B$13-1)/2)/MAX(0.5,'Control Room'!$B$13/4))^2),1)*IF(AND($A679&gt;='Control Room'!$A$14,$A679&lt;'Control Room'!$A$14+'Control Room'!$B$14,'Process'!BQ3=1),1+('Control Room'!$C$14-1)*EXP(-0.5*(($A679-'Control Room'!$A$14-('Control Room'!$B$14-1)/2)/MAX(0.5,'Control Room'!$B$14/4))^2),1)*IF(AND($A679&gt;='Control Room'!$A$15,$A679&lt;'Control Room'!$A$15+'Control Room'!$B$15,'Process'!BQ4=1),1+('Control Room'!$C$15-1)*EXP(-0.5*(($A679-'Control Room'!$A$15-('Control Room'!$B$15-1)/2)/MAX(0.5,'Control Room'!$B$15/4))^2),1)*IF(AND($A679&gt;='Control Room'!$A$16,$A679&lt;'Control Room'!$A$16+'Control Room'!$B$16,'Process'!BQ5=1),1+('Control Room'!$C$16-1)*EXP(-0.5*(($A679-'Control Room'!$A$16-('Control Room'!$B$16-1)/2)/MAX(0.5,'Control Room'!$B$16/4))^2),1)</x:f>
        <x:v>1</x:v>
      </x:c>
      <x:c r="AK679" s="9" t="n">
        <x:f>MOD(AL678*16807,2147483647)</x:f>
        <x:v>89694317</x:v>
      </x:c>
      <x:c r="AL679" s="9" t="n">
        <x:f>MOD(AK679*16807,2147483647)</x:f>
        <x:v>2106349272</x:v>
      </x:c>
      <x:c r="AM679" s="17" t="n">
        <x:f>IF('Control Room'!$B$5="Normal",'Control Room'!$B$7+'Control Room'!$D$7*SQRT(-2*LN(MAX(0.000000000001,AK679/2147483647)))*COS(2*PI()*AL679/2147483647),'Control Room'!$B$8+('Control Room'!$D$8-'Control Room'!$B$8)*AK679/2147483647)</x:f>
        <x:v>1225.1751797108889</x:v>
      </x:c>
      <x:c r="AN679" s="17" t="n">
        <x:f>IF('Control Room'!$B$5="Normal",'Control Room'!$B$7,('Control Room'!$B$8+'Control Room'!$D$8)/2)+'Control Room'!$B$9*(AN678-IF('Control Room'!$B$5="Normal",'Control Room'!$B$7,('Control Room'!$B$8+'Control Room'!$D$8)/2))+SQRT(1-'Control Room'!$B$9^2)*(AM679-IF('Control Room'!$B$5="Normal",'Control Room'!$B$7,('Control Room'!$B$8+'Control Room'!$D$8)/2))</x:f>
        <x:v>1172.1424923882932</x:v>
      </x:c>
      <x:c r="AO679" s="17" t="n">
        <x:f>IF(AND($A679&gt;='Control Room'!$A$13,$A679&lt;'Control Room'!$A$13+'Control Room'!$B$13,'Process'!BR2=1),1+('Control Room'!$C$13-1)*EXP(-0.5*(($A679-'Control Room'!$A$13-('Control Room'!$B$13-1)/2)/MAX(0.5,'Control Room'!$B$13/4))^2),1)*IF(AND($A679&gt;='Control Room'!$A$14,$A679&lt;'Control Room'!$A$14+'Control Room'!$B$14,'Process'!BR3=1),1+('Control Room'!$C$14-1)*EXP(-0.5*(($A679-'Control Room'!$A$14-('Control Room'!$B$14-1)/2)/MAX(0.5,'Control Room'!$B$14/4))^2),1)*IF(AND($A679&gt;='Control Room'!$A$15,$A679&lt;'Control Room'!$A$15+'Control Room'!$B$15,'Process'!BR4=1),1+('Control Room'!$C$15-1)*EXP(-0.5*(($A679-'Control Room'!$A$15-('Control Room'!$B$15-1)/2)/MAX(0.5,'Control Room'!$B$15/4))^2),1)*IF(AND($A679&gt;='Control Room'!$A$16,$A679&lt;'Control Room'!$A$16+'Control Room'!$B$16,'Process'!BR5=1),1+('Control Room'!$C$16-1)*EXP(-0.5*(($A679-'Control Room'!$A$16-('Control Room'!$B$16-1)/2)/MAX(0.5,'Control Room'!$B$16/4))^2),1)</x:f>
        <x:v>1</x:v>
      </x:c>
      <x:c r="AP679" s="9" t="n">
        <x:f>MOD(AQ678*16807,2147483647)</x:f>
        <x:v>1000065037</x:v>
      </x:c>
      <x:c r="AQ679" s="9" t="n">
        <x:f>MOD(AP679*16807,2147483647)</x:f>
        <x:v>1886055437</x:v>
      </x:c>
      <x:c r="AR679" s="17" t="n">
        <x:f>IF('Control Room'!$B$5="Normal",'Control Room'!$B$7+'Control Room'!$D$7*SQRT(-2*LN(MAX(0.000000000001,AP679/2147483647)))*COS(2*PI()*AQ679/2147483647),'Control Room'!$B$8+('Control Room'!$D$8-'Control Room'!$B$8)*AP679/2147483647)</x:f>
        <x:v>1080.2747321925212</x:v>
      </x:c>
      <x:c r="AS679" s="17" t="n">
        <x:f>IF('Control Room'!$B$5="Normal",'Control Room'!$B$7,('Control Room'!$B$8+'Control Room'!$D$8)/2)+'Control Room'!$B$9*(AS678-IF('Control Room'!$B$5="Normal",'Control Room'!$B$7,('Control Room'!$B$8+'Control Room'!$D$8)/2))+SQRT(1-'Control Room'!$B$9^2)*(AR679-IF('Control Room'!$B$5="Normal",'Control Room'!$B$7,('Control Room'!$B$8+'Control Room'!$D$8)/2))</x:f>
        <x:v>1154.7654638501624</x:v>
      </x:c>
      <x:c r="AT679" s="17" t="n">
        <x:f>IF(AND($A679&gt;='Control Room'!$A$13,$A679&lt;'Control Room'!$A$13+'Control Room'!$B$13,'Process'!BS2=1),1+('Control Room'!$C$13-1)*EXP(-0.5*(($A679-'Control Room'!$A$13-('Control Room'!$B$13-1)/2)/MAX(0.5,'Control Room'!$B$13/4))^2),1)*IF(AND($A679&gt;='Control Room'!$A$14,$A679&lt;'Control Room'!$A$14+'Control Room'!$B$14,'Process'!BS3=1),1+('Control Room'!$C$14-1)*EXP(-0.5*(($A679-'Control Room'!$A$14-('Control Room'!$B$14-1)/2)/MAX(0.5,'Control Room'!$B$14/4))^2),1)*IF(AND($A679&gt;='Control Room'!$A$15,$A679&lt;'Control Room'!$A$15+'Control Room'!$B$15,'Process'!BS4=1),1+('Control Room'!$C$15-1)*EXP(-0.5*(($A679-'Control Room'!$A$15-('Control Room'!$B$15-1)/2)/MAX(0.5,'Control Room'!$B$15/4))^2),1)*IF(AND($A679&gt;='Control Room'!$A$16,$A679&lt;'Control Room'!$A$16+'Control Room'!$B$16,'Process'!BS5=1),1+('Control Room'!$C$16-1)*EXP(-0.5*(($A679-'Control Room'!$A$16-('Control Room'!$B$16-1)/2)/MAX(0.5,'Control Room'!$B$16/4))^2),1)</x:f>
        <x:v>1</x:v>
      </x:c>
      <x:c r="AU679" s="9" t="n">
        <x:f>MOD(AV678*16807,2147483647)</x:f>
        <x:v>1910435757</x:v>
      </x:c>
      <x:c r="AV679" s="9" t="n">
        <x:f>MOD(AU679*16807,2147483647)</x:f>
        <x:v>1665761602</x:v>
      </x:c>
      <x:c r="AW679" s="17" t="n">
        <x:f>IF('Control Room'!$B$5="Normal",'Control Room'!$B$7+'Control Room'!$D$7*SQRT(-2*LN(MAX(0.000000000001,AU679/2147483647)))*COS(2*PI()*AV679/2147483647),'Control Room'!$B$8+('Control Room'!$D$8-'Control Room'!$B$8)*AU679/2147483647)</x:f>
        <x:v>1006.993371894572</x:v>
      </x:c>
      <x:c r="AX679" s="17" t="n">
        <x:f>IF('Control Room'!$B$5="Normal",'Control Room'!$B$7,('Control Room'!$B$8+'Control Room'!$D$8)/2)+'Control Room'!$B$9*(AX678-IF('Control Room'!$B$5="Normal",'Control Room'!$B$7,('Control Room'!$B$8+'Control Room'!$D$8)/2))+SQRT(1-'Control Room'!$B$9^2)*(AW679-IF('Control Room'!$B$5="Normal",'Control Room'!$B$7,('Control Room'!$B$8+'Control Room'!$D$8)/2))</x:f>
        <x:v>1003.5120747341982</x:v>
      </x:c>
      <x:c r="AY679" s="17" t="n">
        <x:f>IF(AND($A679&gt;='Control Room'!$A$13,$A679&lt;'Control Room'!$A$13+'Control Room'!$B$13,'Process'!BT2=1),1+('Control Room'!$C$13-1)*EXP(-0.5*(($A679-'Control Room'!$A$13-('Control Room'!$B$13-1)/2)/MAX(0.5,'Control Room'!$B$13/4))^2),1)*IF(AND($A679&gt;='Control Room'!$A$14,$A679&lt;'Control Room'!$A$14+'Control Room'!$B$14,'Process'!BT3=1),1+('Control Room'!$C$14-1)*EXP(-0.5*(($A679-'Control Room'!$A$14-('Control Room'!$B$14-1)/2)/MAX(0.5,'Control Room'!$B$14/4))^2),1)*IF(AND($A679&gt;='Control Room'!$A$15,$A679&lt;'Control Room'!$A$15+'Control Room'!$B$15,'Process'!BT4=1),1+('Control Room'!$C$15-1)*EXP(-0.5*(($A679-'Control Room'!$A$15-('Control Room'!$B$15-1)/2)/MAX(0.5,'Control Room'!$B$15/4))^2),1)*IF(AND($A679&gt;='Control Room'!$A$16,$A679&lt;'Control Room'!$A$16+'Control Room'!$B$16,'Process'!BT5=1),1+('Control Room'!$C$16-1)*EXP(-0.5*(($A679-'Control Room'!$A$16-('Control Room'!$B$16-1)/2)/MAX(0.5,'Control Room'!$B$16/4))^2),1)</x:f>
        <x:v>1</x:v>
      </x:c>
      <x:c r="AZ679" s="9" t="n">
        <x:f>MOD(BA678*16807,2147483647)</x:f>
        <x:v>673322830</x:v>
      </x:c>
      <x:c r="BA679" s="9" t="n">
        <x:f>MOD(AZ679*16807,2147483647)</x:f>
        <x:v>1445467767</x:v>
      </x:c>
      <x:c r="BB679" s="17" t="n">
        <x:f>IF('Control Room'!$B$5="Normal",'Control Room'!$B$7+'Control Room'!$D$7*SQRT(-2*LN(MAX(0.000000000001,AZ679/2147483647)))*COS(2*PI()*BA679/2147483647),'Control Room'!$B$8+('Control Room'!$D$8-'Control Room'!$B$8)*AZ679/2147483647)</x:f>
        <x:v>936.3150395909772</x:v>
      </x:c>
      <x:c r="BC679" s="17" t="n">
        <x:f>IF('Control Room'!$B$5="Normal",'Control Room'!$B$7,('Control Room'!$B$8+'Control Room'!$D$8)/2)+'Control Room'!$B$9*(BC678-IF('Control Room'!$B$5="Normal",'Control Room'!$B$7,('Control Room'!$B$8+'Control Room'!$D$8)/2))+SQRT(1-'Control Room'!$B$9^2)*(BB679-IF('Control Room'!$B$5="Normal",'Control Room'!$B$7,('Control Room'!$B$8+'Control Room'!$D$8)/2))</x:f>
        <x:v>893.8458871931028</x:v>
      </x:c>
      <x:c r="BD679" s="17" t="n">
        <x:f>IF(AND($A679&gt;='Control Room'!$A$13,$A679&lt;'Control Room'!$A$13+'Control Room'!$B$13,'Process'!BU2=1),1+('Control Room'!$C$13-1)*EXP(-0.5*(($A679-'Control Room'!$A$13-('Control Room'!$B$13-1)/2)/MAX(0.5,'Control Room'!$B$13/4))^2),1)*IF(AND($A679&gt;='Control Room'!$A$14,$A679&lt;'Control Room'!$A$14+'Control Room'!$B$14,'Process'!BU3=1),1+('Control Room'!$C$14-1)*EXP(-0.5*(($A679-'Control Room'!$A$14-('Control Room'!$B$14-1)/2)/MAX(0.5,'Control Room'!$B$14/4))^2),1)*IF(AND($A679&gt;='Control Room'!$A$15,$A679&lt;'Control Room'!$A$15+'Control Room'!$B$15,'Process'!BU4=1),1+('Control Room'!$C$15-1)*EXP(-0.5*(($A679-'Control Room'!$A$15-('Control Room'!$B$15-1)/2)/MAX(0.5,'Control Room'!$B$15/4))^2),1)*IF(AND($A679&gt;='Control Room'!$A$16,$A679&lt;'Control Room'!$A$16+'Control Room'!$B$16,'Process'!BU5=1),1+('Control Room'!$C$16-1)*EXP(-0.5*(($A679-'Control Room'!$A$16-('Control Room'!$B$16-1)/2)/MAX(0.5,'Control Room'!$B$16/4))^2),1)</x:f>
        <x:v>1</x:v>
      </x:c>
      <x:c r="BE679" s="9" t="n">
        <x:f>MOD(BF678*16807,2147483647)</x:f>
        <x:v>1583693550</x:v>
      </x:c>
      <x:c r="BF679" s="9" t="n">
        <x:f>MOD(BE679*16807,2147483647)</x:f>
        <x:v>1225173932</x:v>
      </x:c>
      <x:c r="BG679" s="17" t="n">
        <x:f>IF('Control Room'!$B$5="Normal",'Control Room'!$B$7+'Control Room'!$D$7*SQRT(-2*LN(MAX(0.000000000001,BE679/2147483647)))*COS(2*PI()*BF679/2147483647),'Control Room'!$B$8+('Control Room'!$D$8-'Control Room'!$B$8)*BE679/2147483647)</x:f>
        <x:v>936.5432788858966</x:v>
      </x:c>
      <x:c r="BH679" s="17" t="n">
        <x:f>IF('Control Room'!$B$5="Normal",'Control Room'!$B$7,('Control Room'!$B$8+'Control Room'!$D$8)/2)+'Control Room'!$B$9*(BH678-IF('Control Room'!$B$5="Normal",'Control Room'!$B$7,('Control Room'!$B$8+'Control Room'!$D$8)/2))+SQRT(1-'Control Room'!$B$9^2)*(BG679-IF('Control Room'!$B$5="Normal",'Control Room'!$B$7,('Control Room'!$B$8+'Control Room'!$D$8)/2))</x:f>
        <x:v>902.994913230342</x:v>
      </x:c>
      <x:c r="BI679" s="17" t="n">
        <x:f>IF(AND($A679&gt;='Control Room'!$A$13,$A679&lt;'Control Room'!$A$13+'Control Room'!$B$13,'Process'!BV2=1),1+('Control Room'!$C$13-1)*EXP(-0.5*(($A679-'Control Room'!$A$13-('Control Room'!$B$13-1)/2)/MAX(0.5,'Control Room'!$B$13/4))^2),1)*IF(AND($A679&gt;='Control Room'!$A$14,$A679&lt;'Control Room'!$A$14+'Control Room'!$B$14,'Process'!BV3=1),1+('Control Room'!$C$14-1)*EXP(-0.5*(($A679-'Control Room'!$A$14-('Control Room'!$B$14-1)/2)/MAX(0.5,'Control Room'!$B$14/4))^2),1)*IF(AND($A679&gt;='Control Room'!$A$15,$A679&lt;'Control Room'!$A$15+'Control Room'!$B$15,'Process'!BV4=1),1+('Control Room'!$C$15-1)*EXP(-0.5*(($A679-'Control Room'!$A$15-('Control Room'!$B$15-1)/2)/MAX(0.5,'Control Room'!$B$15/4))^2),1)*IF(AND($A679&gt;='Control Room'!$A$16,$A679&lt;'Control Room'!$A$16+'Control Room'!$B$16,'Process'!BV5=1),1+('Control Room'!$C$16-1)*EXP(-0.5*(($A679-'Control Room'!$A$16-('Control Room'!$B$16-1)/2)/MAX(0.5,'Control Room'!$B$16/4))^2),1)</x:f>
        <x:v>1</x:v>
      </x:c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Z679" t="str">
        <x:f>IF('Data'!A679="","",TEXT('Data'!A679,"mm-dd"))</x:f>
      </x:c>
    </x:row>
    <x:row r="680" ht="21" customHeight="1">
      <x:c r="A680" s="15" t="n">
        <x:f>'Control Room'!$B$1+678</x:f>
        <x:v>73669</x:v>
      </x:c>
      <x:c r="B680" s="9" t="n">
        <x:f>MOD(C679*16807,2147483647)</x:f>
        <x:v>1661035628</x:v>
      </x:c>
      <x:c r="C680" s="9" t="n">
        <x:f>MOD(B680*16807,2147483647)</x:f>
        <x:v>1885872443</x:v>
      </x:c>
      <x:c r="D680" s="17" t="n">
        <x:f>IF('Control Room'!$B$5="Normal",'Control Room'!$B$7+'Control Room'!$D$7*SQRT(-2*LN(MAX(0.000000000001,B680/2147483647)))*COS(2*PI()*C680/2147483647),'Control Room'!$B$8+('Control Room'!$D$8-'Control Room'!$B$8)*B680/2147483647)</x:f>
        <x:v>1046.5144029459682</x:v>
      </x:c>
      <x:c r="E680" s="17" t="n">
        <x:f>IF('Control Room'!$B$5="Normal",'Control Room'!$B$7,('Control Room'!$B$8+'Control Room'!$D$8)/2)+'Control Room'!$B$9*(E679-IF('Control Room'!$B$5="Normal",'Control Room'!$B$7,('Control Room'!$B$8+'Control Room'!$D$8)/2))+SQRT(1-'Control Room'!$B$9^2)*(D680-IF('Control Room'!$B$5="Normal",'Control Room'!$B$7,('Control Room'!$B$8+'Control Room'!$D$8)/2))</x:f>
        <x:v>989.7790194686656</x:v>
      </x:c>
      <x:c r="F680" s="17" t="n">
        <x:f>IF(AND($A680&gt;='Control Room'!$A$13,$A680&lt;'Control Room'!$A$13+'Control Room'!$B$13,'Process'!BK2=1),1+('Control Room'!$C$13-1)*EXP(-0.5*(($A680-'Control Room'!$A$13-('Control Room'!$B$13-1)/2)/MAX(0.5,'Control Room'!$B$13/4))^2),1)*IF(AND($A680&gt;='Control Room'!$A$14,$A680&lt;'Control Room'!$A$14+'Control Room'!$B$14,'Process'!BK3=1),1+('Control Room'!$C$14-1)*EXP(-0.5*(($A680-'Control Room'!$A$14-('Control Room'!$B$14-1)/2)/MAX(0.5,'Control Room'!$B$14/4))^2),1)*IF(AND($A680&gt;='Control Room'!$A$15,$A680&lt;'Control Room'!$A$15+'Control Room'!$B$15,'Process'!BK4=1),1+('Control Room'!$C$15-1)*EXP(-0.5*(($A680-'Control Room'!$A$15-('Control Room'!$B$15-1)/2)/MAX(0.5,'Control Room'!$B$15/4))^2),1)*IF(AND($A680&gt;='Control Room'!$A$16,$A680&lt;'Control Room'!$A$16+'Control Room'!$B$16,'Process'!BK5=1),1+('Control Room'!$C$16-1)*EXP(-0.5*(($A680-'Control Room'!$A$16-('Control Room'!$B$16-1)/2)/MAX(0.5,'Control Room'!$B$16/4))^2),1)</x:f>
        <x:v>1</x:v>
      </x:c>
      <x:c r="G680" s="9" t="n">
        <x:f>MOD(H679*16807,2147483647)</x:f>
        <x:v>1444358211</x:v>
      </x:c>
      <x:c r="H680" s="9" t="n">
        <x:f>MOD(G680*16807,2147483647)</x:f>
        <x:v>173306589</x:v>
      </x:c>
      <x:c r="I680" s="17" t="n">
        <x:f>IF('Control Room'!$B$5="Normal",'Control Room'!$B$7+'Control Room'!$D$7*SQRT(-2*LN(MAX(0.000000000001,G680/2147483647)))*COS(2*PI()*H680/2147483647),'Control Room'!$B$8+('Control Room'!$D$8-'Control Room'!$B$8)*G680/2147483647)</x:f>
        <x:v>1070.0726370592467</x:v>
      </x:c>
      <x:c r="J680" s="17" t="n">
        <x:f>IF('Control Room'!$B$5="Normal",'Control Room'!$B$7,('Control Room'!$B$8+'Control Room'!$D$8)/2)+'Control Room'!$B$9*(J679-IF('Control Room'!$B$5="Normal",'Control Room'!$B$7,('Control Room'!$B$8+'Control Room'!$D$8)/2))+SQRT(1-'Control Room'!$B$9^2)*(I680-IF('Control Room'!$B$5="Normal",'Control Room'!$B$7,('Control Room'!$B$8+'Control Room'!$D$8)/2))</x:f>
        <x:v>1006.3823564221311</x:v>
      </x:c>
      <x:c r="K680" s="17" t="n">
        <x:f>IF(AND($A680&gt;='Control Room'!$A$13,$A680&lt;'Control Room'!$A$13+'Control Room'!$B$13,'Process'!BL2=1),1+('Control Room'!$C$13-1)*EXP(-0.5*(($A680-'Control Room'!$A$13-('Control Room'!$B$13-1)/2)/MAX(0.5,'Control Room'!$B$13/4))^2),1)*IF(AND($A680&gt;='Control Room'!$A$14,$A680&lt;'Control Room'!$A$14+'Control Room'!$B$14,'Process'!BL3=1),1+('Control Room'!$C$14-1)*EXP(-0.5*(($A680-'Control Room'!$A$14-('Control Room'!$B$14-1)/2)/MAX(0.5,'Control Room'!$B$14/4))^2),1)*IF(AND($A680&gt;='Control Room'!$A$15,$A680&lt;'Control Room'!$A$15+'Control Room'!$B$15,'Process'!BL4=1),1+('Control Room'!$C$15-1)*EXP(-0.5*(($A680-'Control Room'!$A$15-('Control Room'!$B$15-1)/2)/MAX(0.5,'Control Room'!$B$15/4))^2),1)*IF(AND($A680&gt;='Control Room'!$A$16,$A680&lt;'Control Room'!$A$16+'Control Room'!$B$16,'Process'!BL5=1),1+('Control Room'!$C$16-1)*EXP(-0.5*(($A680-'Control Room'!$A$16-('Control Room'!$B$16-1)/2)/MAX(0.5,'Control Room'!$B$16/4))^2),1)</x:f>
        <x:v>1</x:v>
      </x:c>
      <x:c r="L680" s="9" t="n">
        <x:f>MOD(M679*16807,2147483647)</x:f>
        <x:v>1227680794</x:v>
      </x:c>
      <x:c r="M680" s="9" t="n">
        <x:f>MOD(L680*16807,2147483647)</x:f>
        <x:v>608224382</x:v>
      </x:c>
      <x:c r="N680" s="17" t="n">
        <x:f>IF('Control Room'!$B$5="Normal",'Control Room'!$B$7+'Control Room'!$D$7*SQRT(-2*LN(MAX(0.000000000001,L680/2147483647)))*COS(2*PI()*M680/2147483647),'Control Room'!$B$8+('Control Room'!$D$8-'Control Room'!$B$8)*L680/2147483647)</x:f>
        <x:v>980.2741752512441</x:v>
      </x:c>
      <x:c r="O680" s="17" t="n">
        <x:f>IF('Control Room'!$B$5="Normal",'Control Room'!$B$7,('Control Room'!$B$8+'Control Room'!$D$8)/2)+'Control Room'!$B$9*(O679-IF('Control Room'!$B$5="Normal",'Control Room'!$B$7,('Control Room'!$B$8+'Control Room'!$D$8)/2))+SQRT(1-'Control Room'!$B$9^2)*(N680-IF('Control Room'!$B$5="Normal",'Control Room'!$B$7,('Control Room'!$B$8+'Control Room'!$D$8)/2))</x:f>
        <x:v>917.4309158649352</x:v>
      </x:c>
      <x:c r="P680" s="17" t="n">
        <x:f>IF(AND($A680&gt;='Control Room'!$A$13,$A680&lt;'Control Room'!$A$13+'Control Room'!$B$13,'Process'!BM2=1),1+('Control Room'!$C$13-1)*EXP(-0.5*(($A680-'Control Room'!$A$13-('Control Room'!$B$13-1)/2)/MAX(0.5,'Control Room'!$B$13/4))^2),1)*IF(AND($A680&gt;='Control Room'!$A$14,$A680&lt;'Control Room'!$A$14+'Control Room'!$B$14,'Process'!BM3=1),1+('Control Room'!$C$14-1)*EXP(-0.5*(($A680-'Control Room'!$A$14-('Control Room'!$B$14-1)/2)/MAX(0.5,'Control Room'!$B$14/4))^2),1)*IF(AND($A680&gt;='Control Room'!$A$15,$A680&lt;'Control Room'!$A$15+'Control Room'!$B$15,'Process'!BM4=1),1+('Control Room'!$C$15-1)*EXP(-0.5*(($A680-'Control Room'!$A$15-('Control Room'!$B$15-1)/2)/MAX(0.5,'Control Room'!$B$15/4))^2),1)*IF(AND($A680&gt;='Control Room'!$A$16,$A680&lt;'Control Room'!$A$16+'Control Room'!$B$16,'Process'!BM5=1),1+('Control Room'!$C$16-1)*EXP(-0.5*(($A680-'Control Room'!$A$16-('Control Room'!$B$16-1)/2)/MAX(0.5,'Control Room'!$B$16/4))^2),1)</x:f>
        <x:v>1</x:v>
      </x:c>
      <x:c r="Q680" s="9" t="n">
        <x:f>MOD(R679*16807,2147483647)</x:f>
        <x:v>1011003377</x:v>
      </x:c>
      <x:c r="R680" s="9" t="n">
        <x:f>MOD(Q680*16807,2147483647)</x:f>
        <x:v>1043142175</x:v>
      </x:c>
      <x:c r="S680" s="17" t="n">
        <x:f>IF('Control Room'!$B$5="Normal",'Control Room'!$B$7+'Control Room'!$D$7*SQRT(-2*LN(MAX(0.000000000001,Q680/2147483647)))*COS(2*PI()*R680/2147483647),'Control Room'!$B$8+('Control Room'!$D$8-'Control Room'!$B$8)*Q680/2147483647)</x:f>
        <x:v>889.9692625897086</x:v>
      </x:c>
      <x:c r="T680" s="17" t="n">
        <x:f>IF('Control Room'!$B$5="Normal",'Control Room'!$B$7,('Control Room'!$B$8+'Control Room'!$D$8)/2)+'Control Room'!$B$9*(T679-IF('Control Room'!$B$5="Normal",'Control Room'!$B$7,('Control Room'!$B$8+'Control Room'!$D$8)/2))+SQRT(1-'Control Room'!$B$9^2)*(S680-IF('Control Room'!$B$5="Normal",'Control Room'!$B$7,('Control Room'!$B$8+'Control Room'!$D$8)/2))</x:f>
        <x:v>819.9509231559035</x:v>
      </x:c>
      <x:c r="U680" s="17" t="n">
        <x:f>IF(AND($A680&gt;='Control Room'!$A$13,$A680&lt;'Control Room'!$A$13+'Control Room'!$B$13,'Process'!BN2=1),1+('Control Room'!$C$13-1)*EXP(-0.5*(($A680-'Control Room'!$A$13-('Control Room'!$B$13-1)/2)/MAX(0.5,'Control Room'!$B$13/4))^2),1)*IF(AND($A680&gt;='Control Room'!$A$14,$A680&lt;'Control Room'!$A$14+'Control Room'!$B$14,'Process'!BN3=1),1+('Control Room'!$C$14-1)*EXP(-0.5*(($A680-'Control Room'!$A$14-('Control Room'!$B$14-1)/2)/MAX(0.5,'Control Room'!$B$14/4))^2),1)*IF(AND($A680&gt;='Control Room'!$A$15,$A680&lt;'Control Room'!$A$15+'Control Room'!$B$15,'Process'!BN4=1),1+('Control Room'!$C$15-1)*EXP(-0.5*(($A680-'Control Room'!$A$15-('Control Room'!$B$15-1)/2)/MAX(0.5,'Control Room'!$B$15/4))^2),1)*IF(AND($A680&gt;='Control Room'!$A$16,$A680&lt;'Control Room'!$A$16+'Control Room'!$B$16,'Process'!BN5=1),1+('Control Room'!$C$16-1)*EXP(-0.5*(($A680-'Control Room'!$A$16-('Control Room'!$B$16-1)/2)/MAX(0.5,'Control Room'!$B$16/4))^2),1)</x:f>
        <x:v>1</x:v>
      </x:c>
      <x:c r="V680" s="9" t="n">
        <x:f>MOD(W679*16807,2147483647)</x:f>
        <x:v>794325960</x:v>
      </x:c>
      <x:c r="W680" s="9" t="n">
        <x:f>MOD(V680*16807,2147483647)</x:f>
        <x:v>1478059968</x:v>
      </x:c>
      <x:c r="X680" s="17" t="n">
        <x:f>IF('Control Room'!$B$5="Normal",'Control Room'!$B$7+'Control Room'!$D$7*SQRT(-2*LN(MAX(0.000000000001,V680/2147483647)))*COS(2*PI()*W680/2147483647),'Control Room'!$B$8+('Control Room'!$D$8-'Control Room'!$B$8)*V680/2147483647)</x:f>
        <x:v>951.9969068205156</x:v>
      </x:c>
      <x:c r="Y680" s="17" t="n">
        <x:f>IF('Control Room'!$B$5="Normal",'Control Room'!$B$7,('Control Room'!$B$8+'Control Room'!$D$8)/2)+'Control Room'!$B$9*(Y679-IF('Control Room'!$B$5="Normal",'Control Room'!$B$7,('Control Room'!$B$8+'Control Room'!$D$8)/2))+SQRT(1-'Control Room'!$B$9^2)*(X680-IF('Control Room'!$B$5="Normal",'Control Room'!$B$7,('Control Room'!$B$8+'Control Room'!$D$8)/2))</x:f>
        <x:v>947.0264070017355</x:v>
      </x:c>
      <x:c r="Z680" s="17" t="n">
        <x:f>IF(AND($A680&gt;='Control Room'!$A$13,$A680&lt;'Control Room'!$A$13+'Control Room'!$B$13,'Process'!BO2=1),1+('Control Room'!$C$13-1)*EXP(-0.5*(($A680-'Control Room'!$A$13-('Control Room'!$B$13-1)/2)/MAX(0.5,'Control Room'!$B$13/4))^2),1)*IF(AND($A680&gt;='Control Room'!$A$14,$A680&lt;'Control Room'!$A$14+'Control Room'!$B$14,'Process'!BO3=1),1+('Control Room'!$C$14-1)*EXP(-0.5*(($A680-'Control Room'!$A$14-('Control Room'!$B$14-1)/2)/MAX(0.5,'Control Room'!$B$14/4))^2),1)*IF(AND($A680&gt;='Control Room'!$A$15,$A680&lt;'Control Room'!$A$15+'Control Room'!$B$15,'Process'!BO4=1),1+('Control Room'!$C$15-1)*EXP(-0.5*(($A680-'Control Room'!$A$15-('Control Room'!$B$15-1)/2)/MAX(0.5,'Control Room'!$B$15/4))^2),1)*IF(AND($A680&gt;='Control Room'!$A$16,$A680&lt;'Control Room'!$A$16+'Control Room'!$B$16,'Process'!BO5=1),1+('Control Room'!$C$16-1)*EXP(-0.5*(($A680-'Control Room'!$A$16-('Control Room'!$B$16-1)/2)/MAX(0.5,'Control Room'!$B$16/4))^2),1)</x:f>
        <x:v>1</x:v>
      </x:c>
      <x:c r="AA680" s="9" t="n">
        <x:f>MOD(AB679*16807,2147483647)</x:f>
        <x:v>577648543</x:v>
      </x:c>
      <x:c r="AB680" s="9" t="n">
        <x:f>MOD(AA680*16807,2147483647)</x:f>
        <x:v>1912977761</x:v>
      </x:c>
      <x:c r="AC680" s="17" t="n">
        <x:f>IF('Control Room'!$B$5="Normal",'Control Room'!$B$7+'Control Room'!$D$7*SQRT(-2*LN(MAX(0.000000000001,AA680/2147483647)))*COS(2*PI()*AB680/2147483647),'Control Room'!$B$8+('Control Room'!$D$8-'Control Room'!$B$8)*AA680/2147483647)</x:f>
        <x:v>1112.8444722927163</x:v>
      </x:c>
      <x:c r="AD680" s="17" t="n">
        <x:f>IF('Control Room'!$B$5="Normal",'Control Room'!$B$7,('Control Room'!$B$8+'Control Room'!$D$8)/2)+'Control Room'!$B$9*(AD679-IF('Control Room'!$B$5="Normal",'Control Room'!$B$7,('Control Room'!$B$8+'Control Room'!$D$8)/2))+SQRT(1-'Control Room'!$B$9^2)*(AC680-IF('Control Room'!$B$5="Normal",'Control Room'!$B$7,('Control Room'!$B$8+'Control Room'!$D$8)/2))</x:f>
        <x:v>1093.5405879618907</x:v>
      </x:c>
      <x:c r="AE680" s="17" t="n">
        <x:f>IF(AND($A680&gt;='Control Room'!$A$13,$A680&lt;'Control Room'!$A$13+'Control Room'!$B$13,'Process'!BP2=1),1+('Control Room'!$C$13-1)*EXP(-0.5*(($A680-'Control Room'!$A$13-('Control Room'!$B$13-1)/2)/MAX(0.5,'Control Room'!$B$13/4))^2),1)*IF(AND($A680&gt;='Control Room'!$A$14,$A680&lt;'Control Room'!$A$14+'Control Room'!$B$14,'Process'!BP3=1),1+('Control Room'!$C$14-1)*EXP(-0.5*(($A680-'Control Room'!$A$14-('Control Room'!$B$14-1)/2)/MAX(0.5,'Control Room'!$B$14/4))^2),1)*IF(AND($A680&gt;='Control Room'!$A$15,$A680&lt;'Control Room'!$A$15+'Control Room'!$B$15,'Process'!BP4=1),1+('Control Room'!$C$15-1)*EXP(-0.5*(($A680-'Control Room'!$A$15-('Control Room'!$B$15-1)/2)/MAX(0.5,'Control Room'!$B$15/4))^2),1)*IF(AND($A680&gt;='Control Room'!$A$16,$A680&lt;'Control Room'!$A$16+'Control Room'!$B$16,'Process'!BP5=1),1+('Control Room'!$C$16-1)*EXP(-0.5*(($A680-'Control Room'!$A$16-('Control Room'!$B$16-1)/2)/MAX(0.5,'Control Room'!$B$16/4))^2),1)</x:f>
        <x:v>1</x:v>
      </x:c>
      <x:c r="AF680" s="9" t="n">
        <x:f>MOD(AG679*16807,2147483647)</x:f>
        <x:v>360971126</x:v>
      </x:c>
      <x:c r="AG680" s="9" t="n">
        <x:f>MOD(AF680*16807,2147483647)</x:f>
        <x:v>200411907</x:v>
      </x:c>
      <x:c r="AH680" s="17" t="n">
        <x:f>IF('Control Room'!$B$5="Normal",'Control Room'!$B$7+'Control Room'!$D$7*SQRT(-2*LN(MAX(0.000000000001,AF680/2147483647)))*COS(2*PI()*AG680/2147483647),'Control Room'!$B$8+('Control Room'!$D$8-'Control Room'!$B$8)*AF680/2147483647)</x:f>
        <x:v>1141.5744409940567</x:v>
      </x:c>
      <x:c r="AI680" s="17" t="n">
        <x:f>IF('Control Room'!$B$5="Normal",'Control Room'!$B$7,('Control Room'!$B$8+'Control Room'!$D$8)/2)+'Control Room'!$B$9*(AI679-IF('Control Room'!$B$5="Normal",'Control Room'!$B$7,('Control Room'!$B$8+'Control Room'!$D$8)/2))+SQRT(1-'Control Room'!$B$9^2)*(AH680-IF('Control Room'!$B$5="Normal",'Control Room'!$B$7,('Control Room'!$B$8+'Control Room'!$D$8)/2))</x:f>
        <x:v>1128.7055506810339</x:v>
      </x:c>
      <x:c r="AJ680" s="17" t="n">
        <x:f>IF(AND($A680&gt;='Control Room'!$A$13,$A680&lt;'Control Room'!$A$13+'Control Room'!$B$13,'Process'!BQ2=1),1+('Control Room'!$C$13-1)*EXP(-0.5*(($A680-'Control Room'!$A$13-('Control Room'!$B$13-1)/2)/MAX(0.5,'Control Room'!$B$13/4))^2),1)*IF(AND($A680&gt;='Control Room'!$A$14,$A680&lt;'Control Room'!$A$14+'Control Room'!$B$14,'Process'!BQ3=1),1+('Control Room'!$C$14-1)*EXP(-0.5*(($A680-'Control Room'!$A$14-('Control Room'!$B$14-1)/2)/MAX(0.5,'Control Room'!$B$14/4))^2),1)*IF(AND($A680&gt;='Control Room'!$A$15,$A680&lt;'Control Room'!$A$15+'Control Room'!$B$15,'Process'!BQ4=1),1+('Control Room'!$C$15-1)*EXP(-0.5*(($A680-'Control Room'!$A$15-('Control Room'!$B$15-1)/2)/MAX(0.5,'Control Room'!$B$15/4))^2),1)*IF(AND($A680&gt;='Control Room'!$A$16,$A680&lt;'Control Room'!$A$16+'Control Room'!$B$16,'Process'!BQ5=1),1+('Control Room'!$C$16-1)*EXP(-0.5*(($A680-'Control Room'!$A$16-('Control Room'!$B$16-1)/2)/MAX(0.5,'Control Room'!$B$16/4))^2),1)</x:f>
        <x:v>1</x:v>
      </x:c>
      <x:c r="AK680" s="9" t="n">
        <x:f>MOD(AL679*16807,2147483647)</x:f>
        <x:v>144293709</x:v>
      </x:c>
      <x:c r="AL680" s="9" t="n">
        <x:f>MOD(AK680*16807,2147483647)</x:f>
        <x:v>635329700</x:v>
      </x:c>
      <x:c r="AM680" s="17" t="n">
        <x:f>IF('Control Room'!$B$5="Normal",'Control Room'!$B$7+'Control Room'!$D$7*SQRT(-2*LN(MAX(0.000000000001,AK680/2147483647)))*COS(2*PI()*AL680/2147483647),'Control Room'!$B$8+('Control Room'!$D$8-'Control Room'!$B$8)*AK680/2147483647)</x:f>
        <x:v>940.5794634784457</x:v>
      </x:c>
      <x:c r="AN680" s="17" t="n">
        <x:f>IF('Control Room'!$B$5="Normal",'Control Room'!$B$7,('Control Room'!$B$8+'Control Room'!$D$8)/2)+'Control Room'!$B$9*(AN679-IF('Control Room'!$B$5="Normal",'Control Room'!$B$7,('Control Room'!$B$8+'Control Room'!$D$8)/2))+SQRT(1-'Control Room'!$B$9^2)*(AM680-IF('Control Room'!$B$5="Normal",'Control Room'!$B$7,('Control Room'!$B$8+'Control Room'!$D$8)/2))</x:f>
        <x:v>1097.0869896035365</x:v>
      </x:c>
      <x:c r="AO680" s="17" t="n">
        <x:f>IF(AND($A680&gt;='Control Room'!$A$13,$A680&lt;'Control Room'!$A$13+'Control Room'!$B$13,'Process'!BR2=1),1+('Control Room'!$C$13-1)*EXP(-0.5*(($A680-'Control Room'!$A$13-('Control Room'!$B$13-1)/2)/MAX(0.5,'Control Room'!$B$13/4))^2),1)*IF(AND($A680&gt;='Control Room'!$A$14,$A680&lt;'Control Room'!$A$14+'Control Room'!$B$14,'Process'!BR3=1),1+('Control Room'!$C$14-1)*EXP(-0.5*(($A680-'Control Room'!$A$14-('Control Room'!$B$14-1)/2)/MAX(0.5,'Control Room'!$B$14/4))^2),1)*IF(AND($A680&gt;='Control Room'!$A$15,$A680&lt;'Control Room'!$A$15+'Control Room'!$B$15,'Process'!BR4=1),1+('Control Room'!$C$15-1)*EXP(-0.5*(($A680-'Control Room'!$A$15-('Control Room'!$B$15-1)/2)/MAX(0.5,'Control Room'!$B$15/4))^2),1)*IF(AND($A680&gt;='Control Room'!$A$16,$A680&lt;'Control Room'!$A$16+'Control Room'!$B$16,'Process'!BR5=1),1+('Control Room'!$C$16-1)*EXP(-0.5*(($A680-'Control Room'!$A$16-('Control Room'!$B$16-1)/2)/MAX(0.5,'Control Room'!$B$16/4))^2),1)</x:f>
        <x:v>1</x:v>
      </x:c>
      <x:c r="AP680" s="9" t="n">
        <x:f>MOD(AQ679*16807,2147483647)</x:f>
        <x:v>2075099939</x:v>
      </x:c>
      <x:c r="AQ680" s="9" t="n">
        <x:f>MOD(AP680*16807,2147483647)</x:f>
        <x:v>1070247493</x:v>
      </x:c>
      <x:c r="AR680" s="17" t="n">
        <x:f>IF('Control Room'!$B$5="Normal",'Control Room'!$B$7+'Control Room'!$D$7*SQRT(-2*LN(MAX(0.000000000001,AP680/2147483647)))*COS(2*PI()*AQ680/2147483647),'Control Room'!$B$8+('Control Room'!$D$8-'Control Room'!$B$8)*AP680/2147483647)</x:f>
        <x:v>976.433105094441</x:v>
      </x:c>
      <x:c r="AS680" s="17" t="n">
        <x:f>IF('Control Room'!$B$5="Normal",'Control Room'!$B$7,('Control Room'!$B$8+'Control Room'!$D$8)/2)+'Control Room'!$B$9*(AS679-IF('Control Room'!$B$5="Normal",'Control Room'!$B$7,('Control Room'!$B$8+'Control Room'!$D$8)/2))+SQRT(1-'Control Room'!$B$9^2)*(AR680-IF('Control Room'!$B$5="Normal",'Control Room'!$B$7,('Control Room'!$B$8+'Control Room'!$D$8)/2))</x:f>
        <x:v>1105.9693817653122</x:v>
      </x:c>
      <x:c r="AT680" s="17" t="n">
        <x:f>IF(AND($A680&gt;='Control Room'!$A$13,$A680&lt;'Control Room'!$A$13+'Control Room'!$B$13,'Process'!BS2=1),1+('Control Room'!$C$13-1)*EXP(-0.5*(($A680-'Control Room'!$A$13-('Control Room'!$B$13-1)/2)/MAX(0.5,'Control Room'!$B$13/4))^2),1)*IF(AND($A680&gt;='Control Room'!$A$14,$A680&lt;'Control Room'!$A$14+'Control Room'!$B$14,'Process'!BS3=1),1+('Control Room'!$C$14-1)*EXP(-0.5*(($A680-'Control Room'!$A$14-('Control Room'!$B$14-1)/2)/MAX(0.5,'Control Room'!$B$14/4))^2),1)*IF(AND($A680&gt;='Control Room'!$A$15,$A680&lt;'Control Room'!$A$15+'Control Room'!$B$15,'Process'!BS4=1),1+('Control Room'!$C$15-1)*EXP(-0.5*(($A680-'Control Room'!$A$15-('Control Room'!$B$15-1)/2)/MAX(0.5,'Control Room'!$B$15/4))^2),1)*IF(AND($A680&gt;='Control Room'!$A$16,$A680&lt;'Control Room'!$A$16+'Control Room'!$B$16,'Process'!BS5=1),1+('Control Room'!$C$16-1)*EXP(-0.5*(($A680-'Control Room'!$A$16-('Control Room'!$B$16-1)/2)/MAX(0.5,'Control Room'!$B$16/4))^2),1)</x:f>
        <x:v>1</x:v>
      </x:c>
      <x:c r="AU680" s="9" t="n">
        <x:f>MOD(AV679*16807,2147483647)</x:f>
        <x:v>1858422522</x:v>
      </x:c>
      <x:c r="AV680" s="9" t="n">
        <x:f>MOD(AU680*16807,2147483647)</x:f>
        <x:v>1505165286</x:v>
      </x:c>
      <x:c r="AW680" s="17" t="n">
        <x:f>IF('Control Room'!$B$5="Normal",'Control Room'!$B$7+'Control Room'!$D$7*SQRT(-2*LN(MAX(0.000000000001,AU680/2147483647)))*COS(2*PI()*AV680/2147483647),'Control Room'!$B$8+('Control Room'!$D$8-'Control Room'!$B$8)*AU680/2147483647)</x:f>
        <x:v>985.3050195240669</x:v>
      </x:c>
      <x:c r="AX680" s="17" t="n">
        <x:f>IF('Control Room'!$B$5="Normal",'Control Room'!$B$7,('Control Room'!$B$8+'Control Room'!$D$8)/2)+'Control Room'!$B$9*(AX679-IF('Control Room'!$B$5="Normal",'Control Room'!$B$7,('Control Room'!$B$8+'Control Room'!$D$8)/2))+SQRT(1-'Control Room'!$B$9^2)*(AW680-IF('Control Room'!$B$5="Normal",'Control Room'!$B$7,('Control Room'!$B$8+'Control Room'!$D$8)/2))</x:f>
        <x:v>993.5436005538738</x:v>
      </x:c>
      <x:c r="AY680" s="17" t="n">
        <x:f>IF(AND($A680&gt;='Control Room'!$A$13,$A680&lt;'Control Room'!$A$13+'Control Room'!$B$13,'Process'!BT2=1),1+('Control Room'!$C$13-1)*EXP(-0.5*(($A680-'Control Room'!$A$13-('Control Room'!$B$13-1)/2)/MAX(0.5,'Control Room'!$B$13/4))^2),1)*IF(AND($A680&gt;='Control Room'!$A$14,$A680&lt;'Control Room'!$A$14+'Control Room'!$B$14,'Process'!BT3=1),1+('Control Room'!$C$14-1)*EXP(-0.5*(($A680-'Control Room'!$A$14-('Control Room'!$B$14-1)/2)/MAX(0.5,'Control Room'!$B$14/4))^2),1)*IF(AND($A680&gt;='Control Room'!$A$15,$A680&lt;'Control Room'!$A$15+'Control Room'!$B$15,'Process'!BT4=1),1+('Control Room'!$C$15-1)*EXP(-0.5*(($A680-'Control Room'!$A$15-('Control Room'!$B$15-1)/2)/MAX(0.5,'Control Room'!$B$15/4))^2),1)*IF(AND($A680&gt;='Control Room'!$A$16,$A680&lt;'Control Room'!$A$16+'Control Room'!$B$16,'Process'!BT5=1),1+('Control Room'!$C$16-1)*EXP(-0.5*(($A680-'Control Room'!$A$16-('Control Room'!$B$16-1)/2)/MAX(0.5,'Control Room'!$B$16/4))^2),1)</x:f>
        <x:v>1</x:v>
      </x:c>
      <x:c r="AZ680" s="9" t="n">
        <x:f>MOD(BA679*16807,2147483647)</x:f>
        <x:v>1641745105</x:v>
      </x:c>
      <x:c r="BA680" s="9" t="n">
        <x:f>MOD(AZ680*16807,2147483647)</x:f>
        <x:v>1940083079</x:v>
      </x:c>
      <x:c r="BB680" s="17" t="n">
        <x:f>IF('Control Room'!$B$5="Normal",'Control Room'!$B$7+'Control Room'!$D$7*SQRT(-2*LN(MAX(0.000000000001,AZ680/2147483647)))*COS(2*PI()*BA680/2147483647),'Control Room'!$B$8+('Control Room'!$D$8-'Control Room'!$B$8)*AZ680/2147483647)</x:f>
        <x:v>1054.181237624431</x:v>
      </x:c>
      <x:c r="BC680" s="17" t="n">
        <x:f>IF('Control Room'!$B$5="Normal",'Control Room'!$B$7,('Control Room'!$B$8+'Control Room'!$D$8)/2)+'Control Room'!$B$9*(BC679-IF('Control Room'!$B$5="Normal",'Control Room'!$B$7,('Control Room'!$B$8+'Control Room'!$D$8)/2))+SQRT(1-'Control Room'!$B$9^2)*(BB680-IF('Control Room'!$B$5="Normal",'Control Room'!$B$7,('Control Room'!$B$8+'Control Room'!$D$8)/2))</x:f>
        <x:v>951.1053005530046</x:v>
      </x:c>
      <x:c r="BD680" s="17" t="n">
        <x:f>IF(AND($A680&gt;='Control Room'!$A$13,$A680&lt;'Control Room'!$A$13+'Control Room'!$B$13,'Process'!BU2=1),1+('Control Room'!$C$13-1)*EXP(-0.5*(($A680-'Control Room'!$A$13-('Control Room'!$B$13-1)/2)/MAX(0.5,'Control Room'!$B$13/4))^2),1)*IF(AND($A680&gt;='Control Room'!$A$14,$A680&lt;'Control Room'!$A$14+'Control Room'!$B$14,'Process'!BU3=1),1+('Control Room'!$C$14-1)*EXP(-0.5*(($A680-'Control Room'!$A$14-('Control Room'!$B$14-1)/2)/MAX(0.5,'Control Room'!$B$14/4))^2),1)*IF(AND($A680&gt;='Control Room'!$A$15,$A680&lt;'Control Room'!$A$15+'Control Room'!$B$15,'Process'!BU4=1),1+('Control Room'!$C$15-1)*EXP(-0.5*(($A680-'Control Room'!$A$15-('Control Room'!$B$15-1)/2)/MAX(0.5,'Control Room'!$B$15/4))^2),1)*IF(AND($A680&gt;='Control Room'!$A$16,$A680&lt;'Control Room'!$A$16+'Control Room'!$B$16,'Process'!BU5=1),1+('Control Room'!$C$16-1)*EXP(-0.5*(($A680-'Control Room'!$A$16-('Control Room'!$B$16-1)/2)/MAX(0.5,'Control Room'!$B$16/4))^2),1)</x:f>
        <x:v>1</x:v>
      </x:c>
      <x:c r="BE680" s="9" t="n">
        <x:f>MOD(BF679*16807,2147483647)</x:f>
        <x:v>1425067688</x:v>
      </x:c>
      <x:c r="BF680" s="9" t="n">
        <x:f>MOD(BE680*16807,2147483647)</x:f>
        <x:v>227517225</x:v>
      </x:c>
      <x:c r="BG680" s="17" t="n">
        <x:f>IF('Control Room'!$B$5="Normal",'Control Room'!$B$7+'Control Room'!$D$7*SQRT(-2*LN(MAX(0.000000000001,BE680/2147483647)))*COS(2*PI()*BF680/2147483647),'Control Room'!$B$8+('Control Room'!$D$8-'Control Room'!$B$8)*BE680/2147483647)</x:f>
        <x:v>1064.104447531333</x:v>
      </x:c>
      <x:c r="BH680" s="17" t="n">
        <x:f>IF('Control Room'!$B$5="Normal",'Control Room'!$B$7,('Control Room'!$B$8+'Control Room'!$D$8)/2)+'Control Room'!$B$9*(BH679-IF('Control Room'!$B$5="Normal",'Control Room'!$B$7,('Control Room'!$B$8+'Control Room'!$D$8)/2))+SQRT(1-'Control Room'!$B$9^2)*(BG680-IF('Control Room'!$B$5="Normal",'Control Room'!$B$7,('Control Room'!$B$8+'Control Room'!$D$8)/2))</x:f>
        <x:v>964.4512823337858</x:v>
      </x:c>
      <x:c r="BI680" s="17" t="n">
        <x:f>IF(AND($A680&gt;='Control Room'!$A$13,$A680&lt;'Control Room'!$A$13+'Control Room'!$B$13,'Process'!BV2=1),1+('Control Room'!$C$13-1)*EXP(-0.5*(($A680-'Control Room'!$A$13-('Control Room'!$B$13-1)/2)/MAX(0.5,'Control Room'!$B$13/4))^2),1)*IF(AND($A680&gt;='Control Room'!$A$14,$A680&lt;'Control Room'!$A$14+'Control Room'!$B$14,'Process'!BV3=1),1+('Control Room'!$C$14-1)*EXP(-0.5*(($A680-'Control Room'!$A$14-('Control Room'!$B$14-1)/2)/MAX(0.5,'Control Room'!$B$14/4))^2),1)*IF(AND($A680&gt;='Control Room'!$A$15,$A680&lt;'Control Room'!$A$15+'Control Room'!$B$15,'Process'!BV4=1),1+('Control Room'!$C$15-1)*EXP(-0.5*(($A680-'Control Room'!$A$15-('Control Room'!$B$15-1)/2)/MAX(0.5,'Control Room'!$B$15/4))^2),1)*IF(AND($A680&gt;='Control Room'!$A$16,$A680&lt;'Control Room'!$A$16+'Control Room'!$B$16,'Process'!BV5=1),1+('Control Room'!$C$16-1)*EXP(-0.5*(($A680-'Control Room'!$A$16-('Control Room'!$B$16-1)/2)/MAX(0.5,'Control Room'!$B$16/4))^2),1)</x:f>
        <x:v>1</x:v>
      </x:c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Z680" t="str">
        <x:f>IF('Data'!A680="","",TEXT('Data'!A680,"mm-dd"))</x:f>
      </x:c>
    </x:row>
    <x:row r="681" ht="21" customHeight="1">
      <x:c r="A681" s="15" t="n">
        <x:f>'Control Room'!$B$1+679</x:f>
        <x:v>73670</x:v>
      </x:c>
      <x:c r="B681" s="9" t="n">
        <x:f>MOD(C680*16807,2147483647)</x:f>
        <x:v>1147003428</x:v>
      </x:c>
      <x:c r="C681" s="9" t="n">
        <x:f>MOD(B681*16807,2147483647)</x:f>
        <x:v>1873398924</x:v>
      </x:c>
      <x:c r="D681" s="17" t="n">
        <x:f>IF('Control Room'!$B$5="Normal",'Control Room'!$B$7+'Control Room'!$D$7*SQRT(-2*LN(MAX(0.000000000001,B681/2147483647)))*COS(2*PI()*C681/2147483647),'Control Room'!$B$8+('Control Room'!$D$8-'Control Room'!$B$8)*B681/2147483647)</x:f>
        <x:v>1070.0854333200098</x:v>
      </x:c>
      <x:c r="E681" s="17" t="n">
        <x:f>IF('Control Room'!$B$5="Normal",'Control Room'!$B$7,('Control Room'!$B$8+'Control Room'!$D$8)/2)+'Control Room'!$B$9*(E680-IF('Control Room'!$B$5="Normal",'Control Room'!$B$7,('Control Room'!$B$8+'Control Room'!$D$8)/2))+SQRT(1-'Control Room'!$B$9^2)*(D681-IF('Control Room'!$B$5="Normal",'Control Room'!$B$7,('Control Room'!$B$8+'Control Room'!$D$8)/2))</x:f>
        <x:v>1035.8856635790783</x:v>
      </x:c>
      <x:c r="F681" s="17" t="n">
        <x:f>IF(AND($A681&gt;='Control Room'!$A$13,$A681&lt;'Control Room'!$A$13+'Control Room'!$B$13,'Process'!BK2=1),1+('Control Room'!$C$13-1)*EXP(-0.5*(($A681-'Control Room'!$A$13-('Control Room'!$B$13-1)/2)/MAX(0.5,'Control Room'!$B$13/4))^2),1)*IF(AND($A681&gt;='Control Room'!$A$14,$A681&lt;'Control Room'!$A$14+'Control Room'!$B$14,'Process'!BK3=1),1+('Control Room'!$C$14-1)*EXP(-0.5*(($A681-'Control Room'!$A$14-('Control Room'!$B$14-1)/2)/MAX(0.5,'Control Room'!$B$14/4))^2),1)*IF(AND($A681&gt;='Control Room'!$A$15,$A681&lt;'Control Room'!$A$15+'Control Room'!$B$15,'Process'!BK4=1),1+('Control Room'!$C$15-1)*EXP(-0.5*(($A681-'Control Room'!$A$15-('Control Room'!$B$15-1)/2)/MAX(0.5,'Control Room'!$B$15/4))^2),1)*IF(AND($A681&gt;='Control Room'!$A$16,$A681&lt;'Control Room'!$A$16+'Control Room'!$B$16,'Process'!BK5=1),1+('Control Room'!$C$16-1)*EXP(-0.5*(($A681-'Control Room'!$A$16-('Control Room'!$B$16-1)/2)/MAX(0.5,'Control Room'!$B$16/4))^2),1)</x:f>
        <x:v>1</x:v>
      </x:c>
      <x:c r="G681" s="9" t="n">
        <x:f>MOD(H680*16807,2147483647)</x:f>
        <x:v>776015991</x:v>
      </x:c>
      <x:c r="H681" s="9" t="n">
        <x:f>MOD(G681*16807,2147483647)</x:f>
        <x:v>832572506</x:v>
      </x:c>
      <x:c r="I681" s="17" t="n">
        <x:f>IF('Control Room'!$B$5="Normal",'Control Room'!$B$7+'Control Room'!$D$7*SQRT(-2*LN(MAX(0.000000000001,G681/2147483647)))*COS(2*PI()*H681/2147483647),'Control Room'!$B$8+('Control Room'!$D$8-'Control Room'!$B$8)*G681/2147483647)</x:f>
        <x:v>902.2517187352869</x:v>
      </x:c>
      <x:c r="J681" s="17" t="n">
        <x:f>IF('Control Room'!$B$5="Normal",'Control Room'!$B$7,('Control Room'!$B$8+'Control Room'!$D$8)/2)+'Control Room'!$B$9*(J680-IF('Control Room'!$B$5="Normal",'Control Room'!$B$7,('Control Room'!$B$8+'Control Room'!$D$8)/2))+SQRT(1-'Control Room'!$B$9^2)*(I681-IF('Control Room'!$B$5="Normal",'Control Room'!$B$7,('Control Room'!$B$8+'Control Room'!$D$8)/2))</x:f>
        <x:v>943.8093660761912</x:v>
      </x:c>
      <x:c r="K681" s="17" t="n">
        <x:f>IF(AND($A681&gt;='Control Room'!$A$13,$A681&lt;'Control Room'!$A$13+'Control Room'!$B$13,'Process'!BL2=1),1+('Control Room'!$C$13-1)*EXP(-0.5*(($A681-'Control Room'!$A$13-('Control Room'!$B$13-1)/2)/MAX(0.5,'Control Room'!$B$13/4))^2),1)*IF(AND($A681&gt;='Control Room'!$A$14,$A681&lt;'Control Room'!$A$14+'Control Room'!$B$14,'Process'!BL3=1),1+('Control Room'!$C$14-1)*EXP(-0.5*(($A681-'Control Room'!$A$14-('Control Room'!$B$14-1)/2)/MAX(0.5,'Control Room'!$B$14/4))^2),1)*IF(AND($A681&gt;='Control Room'!$A$15,$A681&lt;'Control Room'!$A$15+'Control Room'!$B$15,'Process'!BL4=1),1+('Control Room'!$C$15-1)*EXP(-0.5*(($A681-'Control Room'!$A$15-('Control Room'!$B$15-1)/2)/MAX(0.5,'Control Room'!$B$15/4))^2),1)*IF(AND($A681&gt;='Control Room'!$A$16,$A681&lt;'Control Room'!$A$16+'Control Room'!$B$16,'Process'!BL5=1),1+('Control Room'!$C$16-1)*EXP(-0.5*(($A681-'Control Room'!$A$16-('Control Room'!$B$16-1)/2)/MAX(0.5,'Control Room'!$B$16/4))^2),1)</x:f>
        <x:v>1</x:v>
      </x:c>
      <x:c r="L681" s="9" t="n">
        <x:f>MOD(M680*16807,2147483647)</x:f>
        <x:v>405028554</x:v>
      </x:c>
      <x:c r="M681" s="9" t="n">
        <x:f>MOD(L681*16807,2147483647)</x:f>
        <x:v>1939229735</x:v>
      </x:c>
      <x:c r="N681" s="17" t="n">
        <x:f>IF('Control Room'!$B$5="Normal",'Control Room'!$B$7+'Control Room'!$D$7*SQRT(-2*LN(MAX(0.000000000001,L681/2147483647)))*COS(2*PI()*M681/2147483647),'Control Room'!$B$8+('Control Room'!$D$8-'Control Room'!$B$8)*L681/2147483647)</x:f>
        <x:v>1134.803894461514</x:v>
      </x:c>
      <x:c r="O681" s="17" t="n">
        <x:f>IF('Control Room'!$B$5="Normal",'Control Room'!$B$7,('Control Room'!$B$8+'Control Room'!$D$8)/2)+'Control Room'!$B$9*(O680-IF('Control Room'!$B$5="Normal",'Control Room'!$B$7,('Control Room'!$B$8+'Control Room'!$D$8)/2))+SQRT(1-'Control Room'!$B$9^2)*(N681-IF('Control Room'!$B$5="Normal",'Control Room'!$B$7,('Control Room'!$B$8+'Control Room'!$D$8)/2))</x:f>
        <x:v>1019.95362992078</x:v>
      </x:c>
      <x:c r="P681" s="17" t="n">
        <x:f>IF(AND($A681&gt;='Control Room'!$A$13,$A681&lt;'Control Room'!$A$13+'Control Room'!$B$13,'Process'!BM2=1),1+('Control Room'!$C$13-1)*EXP(-0.5*(($A681-'Control Room'!$A$13-('Control Room'!$B$13-1)/2)/MAX(0.5,'Control Room'!$B$13/4))^2),1)*IF(AND($A681&gt;='Control Room'!$A$14,$A681&lt;'Control Room'!$A$14+'Control Room'!$B$14,'Process'!BM3=1),1+('Control Room'!$C$14-1)*EXP(-0.5*(($A681-'Control Room'!$A$14-('Control Room'!$B$14-1)/2)/MAX(0.5,'Control Room'!$B$14/4))^2),1)*IF(AND($A681&gt;='Control Room'!$A$15,$A681&lt;'Control Room'!$A$15+'Control Room'!$B$15,'Process'!BM4=1),1+('Control Room'!$C$15-1)*EXP(-0.5*(($A681-'Control Room'!$A$15-('Control Room'!$B$15-1)/2)/MAX(0.5,'Control Room'!$B$15/4))^2),1)*IF(AND($A681&gt;='Control Room'!$A$16,$A681&lt;'Control Room'!$A$16+'Control Room'!$B$16,'Process'!BM5=1),1+('Control Room'!$C$16-1)*EXP(-0.5*(($A681-'Control Room'!$A$16-('Control Room'!$B$16-1)/2)/MAX(0.5,'Control Room'!$B$16/4))^2),1)</x:f>
        <x:v>1</x:v>
      </x:c>
      <x:c r="Q681" s="9" t="n">
        <x:f>MOD(R680*16807,2147483647)</x:f>
        <x:v>34041117</x:v>
      </x:c>
      <x:c r="R681" s="9" t="n">
        <x:f>MOD(Q681*16807,2147483647)</x:f>
        <x:v>898403317</x:v>
      </x:c>
      <x:c r="S681" s="17" t="n">
        <x:f>IF('Control Room'!$B$5="Normal",'Control Room'!$B$7+'Control Room'!$D$7*SQRT(-2*LN(MAX(0.000000000001,Q681/2147483647)))*COS(2*PI()*R681/2147483647),'Control Room'!$B$8+('Control Room'!$D$8-'Control Room'!$B$8)*Q681/2147483647)</x:f>
        <x:v>774.2407320240944</x:v>
      </x:c>
      <x:c r="T681" s="17" t="n">
        <x:f>IF('Control Room'!$B$5="Normal",'Control Room'!$B$7,('Control Room'!$B$8+'Control Room'!$D$8)/2)+'Control Room'!$B$9*(T680-IF('Control Room'!$B$5="Normal",'Control Room'!$B$7,('Control Room'!$B$8+'Control Room'!$D$8)/2))+SQRT(1-'Control Room'!$B$9^2)*(S681-IF('Control Room'!$B$5="Normal",'Control Room'!$B$7,('Control Room'!$B$8+'Control Room'!$D$8)/2))</x:f>
        <x:v>718.2861950922749</x:v>
      </x:c>
      <x:c r="U681" s="17" t="n">
        <x:f>IF(AND($A681&gt;='Control Room'!$A$13,$A681&lt;'Control Room'!$A$13+'Control Room'!$B$13,'Process'!BN2=1),1+('Control Room'!$C$13-1)*EXP(-0.5*(($A681-'Control Room'!$A$13-('Control Room'!$B$13-1)/2)/MAX(0.5,'Control Room'!$B$13/4))^2),1)*IF(AND($A681&gt;='Control Room'!$A$14,$A681&lt;'Control Room'!$A$14+'Control Room'!$B$14,'Process'!BN3=1),1+('Control Room'!$C$14-1)*EXP(-0.5*(($A681-'Control Room'!$A$14-('Control Room'!$B$14-1)/2)/MAX(0.5,'Control Room'!$B$14/4))^2),1)*IF(AND($A681&gt;='Control Room'!$A$15,$A681&lt;'Control Room'!$A$15+'Control Room'!$B$15,'Process'!BN4=1),1+('Control Room'!$C$15-1)*EXP(-0.5*(($A681-'Control Room'!$A$15-('Control Room'!$B$15-1)/2)/MAX(0.5,'Control Room'!$B$15/4))^2),1)*IF(AND($A681&gt;='Control Room'!$A$16,$A681&lt;'Control Room'!$A$16+'Control Room'!$B$16,'Process'!BN5=1),1+('Control Room'!$C$16-1)*EXP(-0.5*(($A681-'Control Room'!$A$16-('Control Room'!$B$16-1)/2)/MAX(0.5,'Control Room'!$B$16/4))^2),1)</x:f>
        <x:v>1</x:v>
      </x:c>
      <x:c r="V681" s="9" t="n">
        <x:f>MOD(W680*16807,2147483647)</x:f>
        <x:v>1810537327</x:v>
      </x:c>
      <x:c r="W681" s="9" t="n">
        <x:f>MOD(V681*16807,2147483647)</x:f>
        <x:v>2005060546</x:v>
      </x:c>
      <x:c r="X681" s="17" t="n">
        <x:f>IF('Control Room'!$B$5="Normal",'Control Room'!$B$7+'Control Room'!$D$7*SQRT(-2*LN(MAX(0.000000000001,V681/2147483647)))*COS(2*PI()*W681/2147483647),'Control Room'!$B$8+('Control Room'!$D$8-'Control Room'!$B$8)*V681/2147483647)</x:f>
        <x:v>1048.082719272991</x:v>
      </x:c>
      <x:c r="Y681" s="17" t="n">
        <x:f>IF('Control Room'!$B$5="Normal",'Control Room'!$B$7,('Control Room'!$B$8+'Control Room'!$D$8)/2)+'Control Room'!$B$9*(Y680-IF('Control Room'!$B$5="Normal",'Control Room'!$B$7,('Control Room'!$B$8+'Control Room'!$D$8)/2))+SQRT(1-'Control Room'!$B$9^2)*(X681-IF('Control Room'!$B$5="Normal",'Control Room'!$B$7,('Control Room'!$B$8+'Control Room'!$D$8)/2))</x:f>
        <x:v>988.7697781543461</x:v>
      </x:c>
      <x:c r="Z681" s="17" t="n">
        <x:f>IF(AND($A681&gt;='Control Room'!$A$13,$A681&lt;'Control Room'!$A$13+'Control Room'!$B$13,'Process'!BO2=1),1+('Control Room'!$C$13-1)*EXP(-0.5*(($A681-'Control Room'!$A$13-('Control Room'!$B$13-1)/2)/MAX(0.5,'Control Room'!$B$13/4))^2),1)*IF(AND($A681&gt;='Control Room'!$A$14,$A681&lt;'Control Room'!$A$14+'Control Room'!$B$14,'Process'!BO3=1),1+('Control Room'!$C$14-1)*EXP(-0.5*(($A681-'Control Room'!$A$14-('Control Room'!$B$14-1)/2)/MAX(0.5,'Control Room'!$B$14/4))^2),1)*IF(AND($A681&gt;='Control Room'!$A$15,$A681&lt;'Control Room'!$A$15+'Control Room'!$B$15,'Process'!BO4=1),1+('Control Room'!$C$15-1)*EXP(-0.5*(($A681-'Control Room'!$A$15-('Control Room'!$B$15-1)/2)/MAX(0.5,'Control Room'!$B$15/4))^2),1)*IF(AND($A681&gt;='Control Room'!$A$16,$A681&lt;'Control Room'!$A$16+'Control Room'!$B$16,'Process'!BO5=1),1+('Control Room'!$C$16-1)*EXP(-0.5*(($A681-'Control Room'!$A$16-('Control Room'!$B$16-1)/2)/MAX(0.5,'Control Room'!$B$16/4))^2),1)</x:f>
        <x:v>1</x:v>
      </x:c>
      <x:c r="AA681" s="9" t="n">
        <x:f>MOD(AB680*16807,2147483647)</x:f>
        <x:v>1439549890</x:v>
      </x:c>
      <x:c r="AB681" s="9" t="n">
        <x:f>MOD(AA681*16807,2147483647)</x:f>
        <x:v>964234128</x:v>
      </x:c>
      <x:c r="AC681" s="17" t="n">
        <x:f>IF('Control Room'!$B$5="Normal",'Control Room'!$B$7+'Control Room'!$D$7*SQRT(-2*LN(MAX(0.000000000001,AA681/2147483647)))*COS(2*PI()*AB681/2147483647),'Control Room'!$B$8+('Control Room'!$D$8-'Control Room'!$B$8)*AA681/2147483647)</x:f>
        <x:v>923.6014189300585</x:v>
      </x:c>
      <x:c r="AD681" s="17" t="n">
        <x:f>IF('Control Room'!$B$5="Normal",'Control Room'!$B$7,('Control Room'!$B$8+'Control Room'!$D$8)/2)+'Control Room'!$B$9*(AD680-IF('Control Room'!$B$5="Normal",'Control Room'!$B$7,('Control Room'!$B$8+'Control Room'!$D$8)/2))+SQRT(1-'Control Room'!$B$9^2)*(AC681-IF('Control Room'!$B$5="Normal",'Control Room'!$B$7,('Control Room'!$B$8+'Control Room'!$D$8)/2))</x:f>
        <x:v>1025.1529916867098</x:v>
      </x:c>
      <x:c r="AE681" s="17" t="n">
        <x:f>IF(AND($A681&gt;='Control Room'!$A$13,$A681&lt;'Control Room'!$A$13+'Control Room'!$B$13,'Process'!BP2=1),1+('Control Room'!$C$13-1)*EXP(-0.5*(($A681-'Control Room'!$A$13-('Control Room'!$B$13-1)/2)/MAX(0.5,'Control Room'!$B$13/4))^2),1)*IF(AND($A681&gt;='Control Room'!$A$14,$A681&lt;'Control Room'!$A$14+'Control Room'!$B$14,'Process'!BP3=1),1+('Control Room'!$C$14-1)*EXP(-0.5*(($A681-'Control Room'!$A$14-('Control Room'!$B$14-1)/2)/MAX(0.5,'Control Room'!$B$14/4))^2),1)*IF(AND($A681&gt;='Control Room'!$A$15,$A681&lt;'Control Room'!$A$15+'Control Room'!$B$15,'Process'!BP4=1),1+('Control Room'!$C$15-1)*EXP(-0.5*(($A681-'Control Room'!$A$15-('Control Room'!$B$15-1)/2)/MAX(0.5,'Control Room'!$B$15/4))^2),1)*IF(AND($A681&gt;='Control Room'!$A$16,$A681&lt;'Control Room'!$A$16+'Control Room'!$B$16,'Process'!BP5=1),1+('Control Room'!$C$16-1)*EXP(-0.5*(($A681-'Control Room'!$A$16-('Control Room'!$B$16-1)/2)/MAX(0.5,'Control Room'!$B$16/4))^2),1)</x:f>
        <x:v>1</x:v>
      </x:c>
      <x:c r="AF681" s="9" t="n">
        <x:f>MOD(AG680*16807,2147483647)</x:f>
        <x:v>1068562453</x:v>
      </x:c>
      <x:c r="AG681" s="9" t="n">
        <x:f>MOD(AF681*16807,2147483647)</x:f>
        <x:v>2070891357</x:v>
      </x:c>
      <x:c r="AH681" s="17" t="n">
        <x:f>IF('Control Room'!$B$5="Normal",'Control Room'!$B$7+'Control Room'!$D$7*SQRT(-2*LN(MAX(0.000000000001,AF681/2147483647)))*COS(2*PI()*AG681/2147483647),'Control Room'!$B$8+('Control Room'!$D$8-'Control Room'!$B$8)*AF681/2147483647)</x:f>
        <x:v>1103.676969960009</x:v>
      </x:c>
      <x:c r="AI681" s="17" t="n">
        <x:f>IF('Control Room'!$B$5="Normal",'Control Room'!$B$7,('Control Room'!$B$8+'Control Room'!$D$8)/2)+'Control Room'!$B$9*(AI680-IF('Control Room'!$B$5="Normal",'Control Room'!$B$7,('Control Room'!$B$8+'Control Room'!$D$8)/2))+SQRT(1-'Control Room'!$B$9^2)*(AH681-IF('Control Room'!$B$5="Normal",'Control Room'!$B$7,('Control Room'!$B$8+'Control Room'!$D$8)/2))</x:f>
        <x:v>1165.269253394004</x:v>
      </x:c>
      <x:c r="AJ681" s="17" t="n">
        <x:f>IF(AND($A681&gt;='Control Room'!$A$13,$A681&lt;'Control Room'!$A$13+'Control Room'!$B$13,'Process'!BQ2=1),1+('Control Room'!$C$13-1)*EXP(-0.5*(($A681-'Control Room'!$A$13-('Control Room'!$B$13-1)/2)/MAX(0.5,'Control Room'!$B$13/4))^2),1)*IF(AND($A681&gt;='Control Room'!$A$14,$A681&lt;'Control Room'!$A$14+'Control Room'!$B$14,'Process'!BQ3=1),1+('Control Room'!$C$14-1)*EXP(-0.5*(($A681-'Control Room'!$A$14-('Control Room'!$B$14-1)/2)/MAX(0.5,'Control Room'!$B$14/4))^2),1)*IF(AND($A681&gt;='Control Room'!$A$15,$A681&lt;'Control Room'!$A$15+'Control Room'!$B$15,'Process'!BQ4=1),1+('Control Room'!$C$15-1)*EXP(-0.5*(($A681-'Control Room'!$A$15-('Control Room'!$B$15-1)/2)/MAX(0.5,'Control Room'!$B$15/4))^2),1)*IF(AND($A681&gt;='Control Room'!$A$16,$A681&lt;'Control Room'!$A$16+'Control Room'!$B$16,'Process'!BQ5=1),1+('Control Room'!$C$16-1)*EXP(-0.5*(($A681-'Control Room'!$A$16-('Control Room'!$B$16-1)/2)/MAX(0.5,'Control Room'!$B$16/4))^2),1)</x:f>
        <x:v>1</x:v>
      </x:c>
      <x:c r="AK681" s="9" t="n">
        <x:f>MOD(AL680*16807,2147483647)</x:f>
        <x:v>697575016</x:v>
      </x:c>
      <x:c r="AL681" s="9" t="n">
        <x:f>MOD(AK681*16807,2147483647)</x:f>
        <x:v>1030064939</x:v>
      </x:c>
      <x:c r="AM681" s="17" t="n">
        <x:f>IF('Control Room'!$B$5="Normal",'Control Room'!$B$7+'Control Room'!$D$7*SQRT(-2*LN(MAX(0.000000000001,AK681/2147483647)))*COS(2*PI()*AL681/2147483647),'Control Room'!$B$8+('Control Room'!$D$8-'Control Room'!$B$8)*AK681/2147483647)</x:f>
        <x:v>866.1340313879871</x:v>
      </x:c>
      <x:c r="AN681" s="17" t="n">
        <x:f>IF('Control Room'!$B$5="Normal",'Control Room'!$B$7,('Control Room'!$B$8+'Control Room'!$D$8)/2)+'Control Room'!$B$9*(AN680-IF('Control Room'!$B$5="Normal",'Control Room'!$B$7,('Control Room'!$B$8+'Control Room'!$D$8)/2))+SQRT(1-'Control Room'!$B$9^2)*(AM681-IF('Control Room'!$B$5="Normal",'Control Room'!$B$7,('Control Room'!$B$8+'Control Room'!$D$8)/2))</x:f>
        <x:v>991.9572711267903</x:v>
      </x:c>
      <x:c r="AO681" s="17" t="n">
        <x:f>IF(AND($A681&gt;='Control Room'!$A$13,$A681&lt;'Control Room'!$A$13+'Control Room'!$B$13,'Process'!BR2=1),1+('Control Room'!$C$13-1)*EXP(-0.5*(($A681-'Control Room'!$A$13-('Control Room'!$B$13-1)/2)/MAX(0.5,'Control Room'!$B$13/4))^2),1)*IF(AND($A681&gt;='Control Room'!$A$14,$A681&lt;'Control Room'!$A$14+'Control Room'!$B$14,'Process'!BR3=1),1+('Control Room'!$C$14-1)*EXP(-0.5*(($A681-'Control Room'!$A$14-('Control Room'!$B$14-1)/2)/MAX(0.5,'Control Room'!$B$14/4))^2),1)*IF(AND($A681&gt;='Control Room'!$A$15,$A681&lt;'Control Room'!$A$15+'Control Room'!$B$15,'Process'!BR4=1),1+('Control Room'!$C$15-1)*EXP(-0.5*(($A681-'Control Room'!$A$15-('Control Room'!$B$15-1)/2)/MAX(0.5,'Control Room'!$B$15/4))^2),1)*IF(AND($A681&gt;='Control Room'!$A$16,$A681&lt;'Control Room'!$A$16+'Control Room'!$B$16,'Process'!BR5=1),1+('Control Room'!$C$16-1)*EXP(-0.5*(($A681-'Control Room'!$A$16-('Control Room'!$B$16-1)/2)/MAX(0.5,'Control Room'!$B$16/4))^2),1)</x:f>
        <x:v>1</x:v>
      </x:c>
      <x:c r="AP681" s="9" t="n">
        <x:f>MOD(AQ680*16807,2147483647)</x:f>
        <x:v>326587579</x:v>
      </x:c>
      <x:c r="AQ681" s="9" t="n">
        <x:f>MOD(AP681*16807,2147483647)</x:f>
        <x:v>2136722168</x:v>
      </x:c>
      <x:c r="AR681" s="17" t="n">
        <x:f>IF('Control Room'!$B$5="Normal",'Control Room'!$B$7+'Control Room'!$D$7*SQRT(-2*LN(MAX(0.000000000001,AP681/2147483647)))*COS(2*PI()*AQ681/2147483647),'Control Room'!$B$8+('Control Room'!$D$8-'Control Room'!$B$8)*AP681/2147483647)</x:f>
        <x:v>1174.5854960210822</x:v>
      </x:c>
      <x:c r="AS681" s="17" t="n">
        <x:f>IF('Control Room'!$B$5="Normal",'Control Room'!$B$7,('Control Room'!$B$8+'Control Room'!$D$8)/2)+'Control Room'!$B$9*(AS680-IF('Control Room'!$B$5="Normal",'Control Room'!$B$7,('Control Room'!$B$8+'Control Room'!$D$8)/2))+SQRT(1-'Control Room'!$B$9^2)*(AR681-IF('Control Room'!$B$5="Normal",'Control Room'!$B$7,('Control Room'!$B$8+'Control Room'!$D$8)/2))</x:f>
        <x:v>1191.9081446086466</x:v>
      </x:c>
      <x:c r="AT681" s="17" t="n">
        <x:f>IF(AND($A681&gt;='Control Room'!$A$13,$A681&lt;'Control Room'!$A$13+'Control Room'!$B$13,'Process'!BS2=1),1+('Control Room'!$C$13-1)*EXP(-0.5*(($A681-'Control Room'!$A$13-('Control Room'!$B$13-1)/2)/MAX(0.5,'Control Room'!$B$13/4))^2),1)*IF(AND($A681&gt;='Control Room'!$A$14,$A681&lt;'Control Room'!$A$14+'Control Room'!$B$14,'Process'!BS3=1),1+('Control Room'!$C$14-1)*EXP(-0.5*(($A681-'Control Room'!$A$14-('Control Room'!$B$14-1)/2)/MAX(0.5,'Control Room'!$B$14/4))^2),1)*IF(AND($A681&gt;='Control Room'!$A$15,$A681&lt;'Control Room'!$A$15+'Control Room'!$B$15,'Process'!BS4=1),1+('Control Room'!$C$15-1)*EXP(-0.5*(($A681-'Control Room'!$A$15-('Control Room'!$B$15-1)/2)/MAX(0.5,'Control Room'!$B$15/4))^2),1)*IF(AND($A681&gt;='Control Room'!$A$16,$A681&lt;'Control Room'!$A$16+'Control Room'!$B$16,'Process'!BS5=1),1+('Control Room'!$C$16-1)*EXP(-0.5*(($A681-'Control Room'!$A$16-('Control Room'!$B$16-1)/2)/MAX(0.5,'Control Room'!$B$16/4))^2),1)</x:f>
        <x:v>1</x:v>
      </x:c>
      <x:c r="AU681" s="9" t="n">
        <x:f>MOD(AV680*16807,2147483647)</x:f>
        <x:v>2103083789</x:v>
      </x:c>
      <x:c r="AV681" s="9" t="n">
        <x:f>MOD(AU681*16807,2147483647)</x:f>
        <x:v>1095895750</x:v>
      </x:c>
      <x:c r="AW681" s="17" t="n">
        <x:f>IF('Control Room'!$B$5="Normal",'Control Room'!$B$7+'Control Room'!$D$7*SQRT(-2*LN(MAX(0.000000000001,AU681/2147483647)))*COS(2*PI()*AV681/2147483647),'Control Room'!$B$8+('Control Room'!$D$8-'Control Room'!$B$8)*AU681/2147483647)</x:f>
        <x:v>981.6416028454075</x:v>
      </x:c>
      <x:c r="AX681" s="17" t="n">
        <x:f>IF('Control Room'!$B$5="Normal",'Control Room'!$B$7,('Control Room'!$B$8+'Control Room'!$D$8)/2)+'Control Room'!$B$9*(AX680-IF('Control Room'!$B$5="Normal",'Control Room'!$B$7,('Control Room'!$B$8+'Control Room'!$D$8)/2))+SQRT(1-'Control Room'!$B$9^2)*(AW681-IF('Control Room'!$B$5="Normal",'Control Room'!$B$7,('Control Room'!$B$8+'Control Room'!$D$8)/2))</x:f>
        <x:v>983.4756995848858</x:v>
      </x:c>
      <x:c r="AY681" s="17" t="n">
        <x:f>IF(AND($A681&gt;='Control Room'!$A$13,$A681&lt;'Control Room'!$A$13+'Control Room'!$B$13,'Process'!BT2=1),1+('Control Room'!$C$13-1)*EXP(-0.5*(($A681-'Control Room'!$A$13-('Control Room'!$B$13-1)/2)/MAX(0.5,'Control Room'!$B$13/4))^2),1)*IF(AND($A681&gt;='Control Room'!$A$14,$A681&lt;'Control Room'!$A$14+'Control Room'!$B$14,'Process'!BT3=1),1+('Control Room'!$C$14-1)*EXP(-0.5*(($A681-'Control Room'!$A$14-('Control Room'!$B$14-1)/2)/MAX(0.5,'Control Room'!$B$14/4))^2),1)*IF(AND($A681&gt;='Control Room'!$A$15,$A681&lt;'Control Room'!$A$15+'Control Room'!$B$15,'Process'!BT4=1),1+('Control Room'!$C$15-1)*EXP(-0.5*(($A681-'Control Room'!$A$15-('Control Room'!$B$15-1)/2)/MAX(0.5,'Control Room'!$B$15/4))^2),1)*IF(AND($A681&gt;='Control Room'!$A$16,$A681&lt;'Control Room'!$A$16+'Control Room'!$B$16,'Process'!BT5=1),1+('Control Room'!$C$16-1)*EXP(-0.5*(($A681-'Control Room'!$A$16-('Control Room'!$B$16-1)/2)/MAX(0.5,'Control Room'!$B$16/4))^2),1)</x:f>
        <x:v>1</x:v>
      </x:c>
      <x:c r="AZ681" s="9" t="n">
        <x:f>MOD(BA680*16807,2147483647)</x:f>
        <x:v>1732096352</x:v>
      </x:c>
      <x:c r="BA681" s="9" t="n">
        <x:f>MOD(AZ681*16807,2147483647)</x:f>
        <x:v>55069332</x:v>
      </x:c>
      <x:c r="BB681" s="17" t="n">
        <x:f>IF('Control Room'!$B$5="Normal",'Control Room'!$B$7+'Control Room'!$D$7*SQRT(-2*LN(MAX(0.000000000001,AZ681/2147483647)))*COS(2*PI()*BA681/2147483647),'Control Room'!$B$8+('Control Room'!$D$8-'Control Room'!$B$8)*AZ681/2147483647)</x:f>
        <x:v>1058.247702598459</x:v>
      </x:c>
      <x:c r="BC681" s="17" t="n">
        <x:f>IF('Control Room'!$B$5="Normal",'Control Room'!$B$7,('Control Room'!$B$8+'Control Room'!$D$8)/2)+'Control Room'!$B$9*(BC680-IF('Control Room'!$B$5="Normal",'Control Room'!$B$7,('Control Room'!$B$8+'Control Room'!$D$8)/2))+SQRT(1-'Control Room'!$B$9^2)*(BB681-IF('Control Room'!$B$5="Normal",'Control Room'!$B$7,('Control Room'!$B$8+'Control Room'!$D$8)/2))</x:f>
        <x:v>998.3123534484115</x:v>
      </x:c>
      <x:c r="BD681" s="17" t="n">
        <x:f>IF(AND($A681&gt;='Control Room'!$A$13,$A681&lt;'Control Room'!$A$13+'Control Room'!$B$13,'Process'!BU2=1),1+('Control Room'!$C$13-1)*EXP(-0.5*(($A681-'Control Room'!$A$13-('Control Room'!$B$13-1)/2)/MAX(0.5,'Control Room'!$B$13/4))^2),1)*IF(AND($A681&gt;='Control Room'!$A$14,$A681&lt;'Control Room'!$A$14+'Control Room'!$B$14,'Process'!BU3=1),1+('Control Room'!$C$14-1)*EXP(-0.5*(($A681-'Control Room'!$A$14-('Control Room'!$B$14-1)/2)/MAX(0.5,'Control Room'!$B$14/4))^2),1)*IF(AND($A681&gt;='Control Room'!$A$15,$A681&lt;'Control Room'!$A$15+'Control Room'!$B$15,'Process'!BU4=1),1+('Control Room'!$C$15-1)*EXP(-0.5*(($A681-'Control Room'!$A$15-('Control Room'!$B$15-1)/2)/MAX(0.5,'Control Room'!$B$15/4))^2),1)*IF(AND($A681&gt;='Control Room'!$A$16,$A681&lt;'Control Room'!$A$16+'Control Room'!$B$16,'Process'!BU5=1),1+('Control Room'!$C$16-1)*EXP(-0.5*(($A681-'Control Room'!$A$16-('Control Room'!$B$16-1)/2)/MAX(0.5,'Control Room'!$B$16/4))^2),1)</x:f>
        <x:v>1</x:v>
      </x:c>
      <x:c r="BE681" s="9" t="n">
        <x:f>MOD(BF680*16807,2147483647)</x:f>
        <x:v>1361108915</x:v>
      </x:c>
      <x:c r="BF681" s="9" t="n">
        <x:f>MOD(BE681*16807,2147483647)</x:f>
        <x:v>1161726561</x:v>
      </x:c>
      <x:c r="BG681" s="17" t="n">
        <x:f>IF('Control Room'!$B$5="Normal",'Control Room'!$B$7+'Control Room'!$D$7*SQRT(-2*LN(MAX(0.000000000001,BE681/2147483647)))*COS(2*PI()*BF681/2147483647),'Control Room'!$B$8+('Control Room'!$D$8-'Control Room'!$B$8)*BE681/2147483647)</x:f>
        <x:v>916.8836567038604</x:v>
      </x:c>
      <x:c r="BH681" s="17" t="n">
        <x:f>IF('Control Room'!$B$5="Normal",'Control Room'!$B$7,('Control Room'!$B$8+'Control Room'!$D$8)/2)+'Control Room'!$B$9*(BH680-IF('Control Room'!$B$5="Normal",'Control Room'!$B$7,('Control Room'!$B$8+'Control Room'!$D$8)/2))+SQRT(1-'Control Room'!$B$9^2)*(BG681-IF('Control Room'!$B$5="Normal",'Control Room'!$B$7,('Control Room'!$B$8+'Control Room'!$D$8)/2))</x:f>
        <x:v>920.2594953164728</x:v>
      </x:c>
      <x:c r="BI681" s="17" t="n">
        <x:f>IF(AND($A681&gt;='Control Room'!$A$13,$A681&lt;'Control Room'!$A$13+'Control Room'!$B$13,'Process'!BV2=1),1+('Control Room'!$C$13-1)*EXP(-0.5*(($A681-'Control Room'!$A$13-('Control Room'!$B$13-1)/2)/MAX(0.5,'Control Room'!$B$13/4))^2),1)*IF(AND($A681&gt;='Control Room'!$A$14,$A681&lt;'Control Room'!$A$14+'Control Room'!$B$14,'Process'!BV3=1),1+('Control Room'!$C$14-1)*EXP(-0.5*(($A681-'Control Room'!$A$14-('Control Room'!$B$14-1)/2)/MAX(0.5,'Control Room'!$B$14/4))^2),1)*IF(AND($A681&gt;='Control Room'!$A$15,$A681&lt;'Control Room'!$A$15+'Control Room'!$B$15,'Process'!BV4=1),1+('Control Room'!$C$15-1)*EXP(-0.5*(($A681-'Control Room'!$A$15-('Control Room'!$B$15-1)/2)/MAX(0.5,'Control Room'!$B$15/4))^2),1)*IF(AND($A681&gt;='Control Room'!$A$16,$A681&lt;'Control Room'!$A$16+'Control Room'!$B$16,'Process'!BV5=1),1+('Control Room'!$C$16-1)*EXP(-0.5*(($A681-'Control Room'!$A$16-('Control Room'!$B$16-1)/2)/MAX(0.5,'Control Room'!$B$16/4))^2),1)</x:f>
        <x:v>1</x:v>
      </x:c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Z681" t="str">
        <x:f>IF('Data'!A681="","",TEXT('Data'!A681,"mm-dd"))</x:f>
      </x:c>
    </x:row>
    <x:row r="682" ht="21" customHeight="1">
      <x:c r="A682" s="15" t="n">
        <x:f>'Control Room'!$B$1+680</x:f>
        <x:v>73671</x:v>
      </x:c>
      <x:c r="B682" s="9" t="n">
        <x:f>MOD(C681*16807,2147483647)</x:f>
        <x:v>1957967001</x:v>
      </x:c>
      <x:c r="C682" s="9" t="n">
        <x:f>MOD(B682*16807,2147483647)</x:f>
        <x:v>1659462826</x:v>
      </x:c>
      <x:c r="D682" s="17" t="n">
        <x:f>IF('Control Room'!$B$5="Normal",'Control Room'!$B$7+'Control Room'!$D$7*SQRT(-2*LN(MAX(0.000000000001,B682/2147483647)))*COS(2*PI()*C682/2147483647),'Control Room'!$B$8+('Control Room'!$D$8-'Control Room'!$B$8)*B682/2147483647)</x:f>
        <x:v>1005.5106887078332</x:v>
      </x:c>
      <x:c r="E682" s="17" t="n">
        <x:f>IF('Control Room'!$B$5="Normal",'Control Room'!$B$7,('Control Room'!$B$8+'Control Room'!$D$8)/2)+'Control Room'!$B$9*(E681-IF('Control Room'!$B$5="Normal",'Control Room'!$B$7,('Control Room'!$B$8+'Control Room'!$D$8)/2))+SQRT(1-'Control Room'!$B$9^2)*(D682-IF('Control Room'!$B$5="Normal",'Control Room'!$B$7,('Control Room'!$B$8+'Control Room'!$D$8)/2))</x:f>
        <x:v>1031.4392936924485</x:v>
      </x:c>
      <x:c r="F682" s="17" t="n">
        <x:f>IF(AND($A682&gt;='Control Room'!$A$13,$A682&lt;'Control Room'!$A$13+'Control Room'!$B$13,'Process'!BK2=1),1+('Control Room'!$C$13-1)*EXP(-0.5*(($A682-'Control Room'!$A$13-('Control Room'!$B$13-1)/2)/MAX(0.5,'Control Room'!$B$13/4))^2),1)*IF(AND($A682&gt;='Control Room'!$A$14,$A682&lt;'Control Room'!$A$14+'Control Room'!$B$14,'Process'!BK3=1),1+('Control Room'!$C$14-1)*EXP(-0.5*(($A682-'Control Room'!$A$14-('Control Room'!$B$14-1)/2)/MAX(0.5,'Control Room'!$B$14/4))^2),1)*IF(AND($A682&gt;='Control Room'!$A$15,$A682&lt;'Control Room'!$A$15+'Control Room'!$B$15,'Process'!BK4=1),1+('Control Room'!$C$15-1)*EXP(-0.5*(($A682-'Control Room'!$A$15-('Control Room'!$B$15-1)/2)/MAX(0.5,'Control Room'!$B$15/4))^2),1)*IF(AND($A682&gt;='Control Room'!$A$16,$A682&lt;'Control Room'!$A$16+'Control Room'!$B$16,'Process'!BK5=1),1+('Control Room'!$C$16-1)*EXP(-0.5*(($A682-'Control Room'!$A$16-('Control Room'!$B$16-1)/2)/MAX(0.5,'Control Room'!$B$16/4))^2),1)</x:f>
        <x:v>1</x:v>
      </x:c>
      <x:c r="G682" s="9" t="n">
        <x:f>MOD(H681*16807,2147483647)</x:f>
        <x:v>42664490</x:v>
      </x:c>
      <x:c r="H682" s="9" t="n">
        <x:f>MOD(G682*16807,2147483647)</x:f>
        <x:v>1950028979</x:v>
      </x:c>
      <x:c r="I682" s="17" t="n">
        <x:f>IF('Control Room'!$B$5="Normal",'Control Room'!$B$7+'Control Room'!$D$7*SQRT(-2*LN(MAX(0.000000000001,G682/2147483647)))*COS(2*PI()*H682/2147483647),'Control Room'!$B$8+('Control Room'!$D$8-'Control Room'!$B$8)*G682/2147483647)</x:f>
        <x:v>1211.0675022106147</x:v>
      </x:c>
      <x:c r="J682" s="17" t="n">
        <x:f>IF('Control Room'!$B$5="Normal",'Control Room'!$B$7,('Control Room'!$B$8+'Control Room'!$D$8)/2)+'Control Room'!$B$9*(J681-IF('Control Room'!$B$5="Normal",'Control Room'!$B$7,('Control Room'!$B$8+'Control Room'!$D$8)/2))+SQRT(1-'Control Room'!$B$9^2)*(I682-IF('Control Room'!$B$5="Normal",'Control Room'!$B$7,('Control Room'!$B$8+'Control Room'!$D$8)/2))</x:f>
        <x:v>1088.2530244700213</x:v>
      </x:c>
      <x:c r="K682" s="17" t="n">
        <x:f>IF(AND($A682&gt;='Control Room'!$A$13,$A682&lt;'Control Room'!$A$13+'Control Room'!$B$13,'Process'!BL2=1),1+('Control Room'!$C$13-1)*EXP(-0.5*(($A682-'Control Room'!$A$13-('Control Room'!$B$13-1)/2)/MAX(0.5,'Control Room'!$B$13/4))^2),1)*IF(AND($A682&gt;='Control Room'!$A$14,$A682&lt;'Control Room'!$A$14+'Control Room'!$B$14,'Process'!BL3=1),1+('Control Room'!$C$14-1)*EXP(-0.5*(($A682-'Control Room'!$A$14-('Control Room'!$B$14-1)/2)/MAX(0.5,'Control Room'!$B$14/4))^2),1)*IF(AND($A682&gt;='Control Room'!$A$15,$A682&lt;'Control Room'!$A$15+'Control Room'!$B$15,'Process'!BL4=1),1+('Control Room'!$C$15-1)*EXP(-0.5*(($A682-'Control Room'!$A$15-('Control Room'!$B$15-1)/2)/MAX(0.5,'Control Room'!$B$15/4))^2),1)*IF(AND($A682&gt;='Control Room'!$A$16,$A682&lt;'Control Room'!$A$16+'Control Room'!$B$16,'Process'!BL5=1),1+('Control Room'!$C$16-1)*EXP(-0.5*(($A682-'Control Room'!$A$16-('Control Room'!$B$16-1)/2)/MAX(0.5,'Control Room'!$B$16/4))^2),1)</x:f>
        <x:v>1</x:v>
      </x:c>
      <x:c r="L682" s="9" t="n">
        <x:f>MOD(M681*16807,2147483647)</x:f>
        <x:v>274845626</x:v>
      </x:c>
      <x:c r="M682" s="9" t="n">
        <x:f>MOD(L682*16807,2147483647)</x:f>
        <x:v>93111485</x:v>
      </x:c>
      <x:c r="N682" s="17" t="n">
        <x:f>IF('Control Room'!$B$5="Normal",'Control Room'!$B$7+'Control Room'!$D$7*SQRT(-2*LN(MAX(0.000000000001,L682/2147483647)))*COS(2*PI()*M682/2147483647),'Control Room'!$B$8+('Control Room'!$D$8-'Control Room'!$B$8)*L682/2147483647)</x:f>
        <x:v>1175.7652045902903</x:v>
      </x:c>
      <x:c r="O682" s="17" t="n">
        <x:f>IF('Control Room'!$B$5="Normal",'Control Room'!$B$7,('Control Room'!$B$8+'Control Room'!$D$8)/2)+'Control Room'!$B$9*(O681-IF('Control Room'!$B$5="Normal",'Control Room'!$B$7,('Control Room'!$B$8+'Control Room'!$D$8)/2))+SQRT(1-'Control Room'!$B$9^2)*(N682-IF('Control Room'!$B$5="Normal",'Control Room'!$B$7,('Control Room'!$B$8+'Control Room'!$D$8)/2))</x:f>
        <x:v>1125.554095624878</x:v>
      </x:c>
      <x:c r="P682" s="17" t="n">
        <x:f>IF(AND($A682&gt;='Control Room'!$A$13,$A682&lt;'Control Room'!$A$13+'Control Room'!$B$13,'Process'!BM2=1),1+('Control Room'!$C$13-1)*EXP(-0.5*(($A682-'Control Room'!$A$13-('Control Room'!$B$13-1)/2)/MAX(0.5,'Control Room'!$B$13/4))^2),1)*IF(AND($A682&gt;='Control Room'!$A$14,$A682&lt;'Control Room'!$A$14+'Control Room'!$B$14,'Process'!BM3=1),1+('Control Room'!$C$14-1)*EXP(-0.5*(($A682-'Control Room'!$A$14-('Control Room'!$B$14-1)/2)/MAX(0.5,'Control Room'!$B$14/4))^2),1)*IF(AND($A682&gt;='Control Room'!$A$15,$A682&lt;'Control Room'!$A$15+'Control Room'!$B$15,'Process'!BM4=1),1+('Control Room'!$C$15-1)*EXP(-0.5*(($A682-'Control Room'!$A$15-('Control Room'!$B$15-1)/2)/MAX(0.5,'Control Room'!$B$15/4))^2),1)*IF(AND($A682&gt;='Control Room'!$A$16,$A682&lt;'Control Room'!$A$16+'Control Room'!$B$16,'Process'!BM5=1),1+('Control Room'!$C$16-1)*EXP(-0.5*(($A682-'Control Room'!$A$16-('Control Room'!$B$16-1)/2)/MAX(0.5,'Control Room'!$B$16/4))^2),1)</x:f>
        <x:v>1</x:v>
      </x:c>
      <x:c r="Q682" s="9" t="n">
        <x:f>MOD(R681*16807,2147483647)</x:f>
        <x:v>507026762</x:v>
      </x:c>
      <x:c r="R682" s="9" t="n">
        <x:f>MOD(Q682*16807,2147483647)</x:f>
        <x:v>383677638</x:v>
      </x:c>
      <x:c r="S682" s="17" t="n">
        <x:f>IF('Control Room'!$B$5="Normal",'Control Room'!$B$7+'Control Room'!$D$7*SQRT(-2*LN(MAX(0.000000000001,Q682/2147483647)))*COS(2*PI()*R682/2147483647),'Control Room'!$B$8+('Control Room'!$D$8-'Control Room'!$B$8)*Q682/2147483647)</x:f>
        <x:v>1066.2694832222337</x:v>
      </x:c>
      <x:c r="T682" s="17" t="n">
        <x:f>IF('Control Room'!$B$5="Normal",'Control Room'!$B$7,('Control Room'!$B$8+'Control Room'!$D$8)/2)+'Control Room'!$B$9*(T681-IF('Control Room'!$B$5="Normal",'Control Room'!$B$7,('Control Room'!$B$8+'Control Room'!$D$8)/2))+SQRT(1-'Control Room'!$B$9^2)*(S682-IF('Control Room'!$B$5="Normal",'Control Room'!$B$7,('Control Room'!$B$8+'Control Room'!$D$8)/2))</x:f>
        <x:v>821.733317168292</x:v>
      </x:c>
      <x:c r="U682" s="17" t="n">
        <x:f>IF(AND($A682&gt;='Control Room'!$A$13,$A682&lt;'Control Room'!$A$13+'Control Room'!$B$13,'Process'!BN2=1),1+('Control Room'!$C$13-1)*EXP(-0.5*(($A682-'Control Room'!$A$13-('Control Room'!$B$13-1)/2)/MAX(0.5,'Control Room'!$B$13/4))^2),1)*IF(AND($A682&gt;='Control Room'!$A$14,$A682&lt;'Control Room'!$A$14+'Control Room'!$B$14,'Process'!BN3=1),1+('Control Room'!$C$14-1)*EXP(-0.5*(($A682-'Control Room'!$A$14-('Control Room'!$B$14-1)/2)/MAX(0.5,'Control Room'!$B$14/4))^2),1)*IF(AND($A682&gt;='Control Room'!$A$15,$A682&lt;'Control Room'!$A$15+'Control Room'!$B$15,'Process'!BN4=1),1+('Control Room'!$C$15-1)*EXP(-0.5*(($A682-'Control Room'!$A$15-('Control Room'!$B$15-1)/2)/MAX(0.5,'Control Room'!$B$15/4))^2),1)*IF(AND($A682&gt;='Control Room'!$A$16,$A682&lt;'Control Room'!$A$16+'Control Room'!$B$16,'Process'!BN5=1),1+('Control Room'!$C$16-1)*EXP(-0.5*(($A682-'Control Room'!$A$16-('Control Room'!$B$16-1)/2)/MAX(0.5,'Control Room'!$B$16/4))^2),1)</x:f>
        <x:v>1</x:v>
      </x:c>
      <x:c r="V682" s="9" t="n">
        <x:f>MOD(W681*16807,2147483647)</x:f>
        <x:v>739207898</x:v>
      </x:c>
      <x:c r="W682" s="9" t="n">
        <x:f>MOD(V682*16807,2147483647)</x:f>
        <x:v>674243791</x:v>
      </x:c>
      <x:c r="X682" s="17" t="n">
        <x:f>IF('Control Room'!$B$5="Normal",'Control Room'!$B$7+'Control Room'!$D$7*SQRT(-2*LN(MAX(0.000000000001,V682/2147483647)))*COS(2*PI()*W682/2147483647),'Control Room'!$B$8+('Control Room'!$D$8-'Control Room'!$B$8)*V682/2147483647)</x:f>
        <x:v>948.5806546519357</x:v>
      </x:c>
      <x:c r="Y682" s="17" t="n">
        <x:f>IF('Control Room'!$B$5="Normal",'Control Room'!$B$7,('Control Room'!$B$8+'Control Room'!$D$8)/2)+'Control Room'!$B$9*(Y681-IF('Control Room'!$B$5="Normal",'Control Room'!$B$7,('Control Room'!$B$8+'Control Room'!$D$8)/2))+SQRT(1-'Control Room'!$B$9^2)*(X682-IF('Control Room'!$B$5="Normal",'Control Room'!$B$7,('Control Room'!$B$8+'Control Room'!$D$8)/2))</x:f>
        <x:v>959.0632540241172</x:v>
      </x:c>
      <x:c r="Z682" s="17" t="n">
        <x:f>IF(AND($A682&gt;='Control Room'!$A$13,$A682&lt;'Control Room'!$A$13+'Control Room'!$B$13,'Process'!BO2=1),1+('Control Room'!$C$13-1)*EXP(-0.5*(($A682-'Control Room'!$A$13-('Control Room'!$B$13-1)/2)/MAX(0.5,'Control Room'!$B$13/4))^2),1)*IF(AND($A682&gt;='Control Room'!$A$14,$A682&lt;'Control Room'!$A$14+'Control Room'!$B$14,'Process'!BO3=1),1+('Control Room'!$C$14-1)*EXP(-0.5*(($A682-'Control Room'!$A$14-('Control Room'!$B$14-1)/2)/MAX(0.5,'Control Room'!$B$14/4))^2),1)*IF(AND($A682&gt;='Control Room'!$A$15,$A682&lt;'Control Room'!$A$15+'Control Room'!$B$15,'Process'!BO4=1),1+('Control Room'!$C$15-1)*EXP(-0.5*(($A682-'Control Room'!$A$15-('Control Room'!$B$15-1)/2)/MAX(0.5,'Control Room'!$B$15/4))^2),1)*IF(AND($A682&gt;='Control Room'!$A$16,$A682&lt;'Control Room'!$A$16+'Control Room'!$B$16,'Process'!BO5=1),1+('Control Room'!$C$16-1)*EXP(-0.5*(($A682-'Control Room'!$A$16-('Control Room'!$B$16-1)/2)/MAX(0.5,'Control Room'!$B$16/4))^2),1)</x:f>
        <x:v>1</x:v>
      </x:c>
      <x:c r="AA682" s="9" t="n">
        <x:f>MOD(AB681*16807,2147483647)</x:f>
        <x:v>971389034</x:v>
      </x:c>
      <x:c r="AB682" s="9" t="n">
        <x:f>MOD(AA682*16807,2147483647)</x:f>
        <x:v>964809944</x:v>
      </x:c>
      <x:c r="AC682" s="17" t="n">
        <x:f>IF('Control Room'!$B$5="Normal",'Control Room'!$B$7+'Control Room'!$D$7*SQRT(-2*LN(MAX(0.000000000001,AA682/2147483647)))*COS(2*PI()*AB682/2147483647),'Control Room'!$B$8+('Control Room'!$D$8-'Control Room'!$B$8)*AA682/2147483647)</x:f>
        <x:v>892.3432440780767</x:v>
      </x:c>
      <x:c r="AD682" s="17" t="n">
        <x:f>IF('Control Room'!$B$5="Normal",'Control Room'!$B$7,('Control Room'!$B$8+'Control Room'!$D$8)/2)+'Control Room'!$B$9*(AD681-IF('Control Room'!$B$5="Normal",'Control Room'!$B$7,('Control Room'!$B$8+'Control Room'!$D$8)/2))+SQRT(1-'Control Room'!$B$9^2)*(AC682-IF('Control Room'!$B$5="Normal",'Control Room'!$B$7,('Control Room'!$B$8+'Control Room'!$D$8)/2))</x:f>
        <x:v>952.2499411282171</x:v>
      </x:c>
      <x:c r="AE682" s="17" t="n">
        <x:f>IF(AND($A682&gt;='Control Room'!$A$13,$A682&lt;'Control Room'!$A$13+'Control Room'!$B$13,'Process'!BP2=1),1+('Control Room'!$C$13-1)*EXP(-0.5*(($A682-'Control Room'!$A$13-('Control Room'!$B$13-1)/2)/MAX(0.5,'Control Room'!$B$13/4))^2),1)*IF(AND($A682&gt;='Control Room'!$A$14,$A682&lt;'Control Room'!$A$14+'Control Room'!$B$14,'Process'!BP3=1),1+('Control Room'!$C$14-1)*EXP(-0.5*(($A682-'Control Room'!$A$14-('Control Room'!$B$14-1)/2)/MAX(0.5,'Control Room'!$B$14/4))^2),1)*IF(AND($A682&gt;='Control Room'!$A$15,$A682&lt;'Control Room'!$A$15+'Control Room'!$B$15,'Process'!BP4=1),1+('Control Room'!$C$15-1)*EXP(-0.5*(($A682-'Control Room'!$A$15-('Control Room'!$B$15-1)/2)/MAX(0.5,'Control Room'!$B$15/4))^2),1)*IF(AND($A682&gt;='Control Room'!$A$16,$A682&lt;'Control Room'!$A$16+'Control Room'!$B$16,'Process'!BP5=1),1+('Control Room'!$C$16-1)*EXP(-0.5*(($A682-'Control Room'!$A$16-('Control Room'!$B$16-1)/2)/MAX(0.5,'Control Room'!$B$16/4))^2),1)</x:f>
        <x:v>1</x:v>
      </x:c>
      <x:c r="AF682" s="9" t="n">
        <x:f>MOD(AG681*16807,2147483647)</x:f>
        <x:v>1203570170</x:v>
      </x:c>
      <x:c r="AG682" s="9" t="n">
        <x:f>MOD(AF682*16807,2147483647)</x:f>
        <x:v>1255376097</x:v>
      </x:c>
      <x:c r="AH682" s="17" t="n">
        <x:f>IF('Control Room'!$B$5="Normal",'Control Room'!$B$7+'Control Room'!$D$7*SQRT(-2*LN(MAX(0.000000000001,AF682/2147483647)))*COS(2*PI()*AG682/2147483647),'Control Room'!$B$8+('Control Room'!$D$8-'Control Room'!$B$8)*AF682/2147483647)</x:f>
        <x:v>916.5075613415551</x:v>
      </x:c>
      <x:c r="AI682" s="17" t="n">
        <x:f>IF('Control Room'!$B$5="Normal",'Control Room'!$B$7,('Control Room'!$B$8+'Control Room'!$D$8)/2)+'Control Room'!$B$9*(AI681-IF('Control Room'!$B$5="Normal",'Control Room'!$B$7,('Control Room'!$B$8+'Control Room'!$D$8)/2))+SQRT(1-'Control Room'!$B$9^2)*(AH682-IF('Control Room'!$B$5="Normal",'Control Room'!$B$7,('Control Room'!$B$8+'Control Room'!$D$8)/2))</x:f>
        <x:v>1076.6621599704445</x:v>
      </x:c>
      <x:c r="AJ682" s="17" t="n">
        <x:f>IF(AND($A682&gt;='Control Room'!$A$13,$A682&lt;'Control Room'!$A$13+'Control Room'!$B$13,'Process'!BQ2=1),1+('Control Room'!$C$13-1)*EXP(-0.5*(($A682-'Control Room'!$A$13-('Control Room'!$B$13-1)/2)/MAX(0.5,'Control Room'!$B$13/4))^2),1)*IF(AND($A682&gt;='Control Room'!$A$14,$A682&lt;'Control Room'!$A$14+'Control Room'!$B$14,'Process'!BQ3=1),1+('Control Room'!$C$14-1)*EXP(-0.5*(($A682-'Control Room'!$A$14-('Control Room'!$B$14-1)/2)/MAX(0.5,'Control Room'!$B$14/4))^2),1)*IF(AND($A682&gt;='Control Room'!$A$15,$A682&lt;'Control Room'!$A$15+'Control Room'!$B$15,'Process'!BQ4=1),1+('Control Room'!$C$15-1)*EXP(-0.5*(($A682-'Control Room'!$A$15-('Control Room'!$B$15-1)/2)/MAX(0.5,'Control Room'!$B$15/4))^2),1)*IF(AND($A682&gt;='Control Room'!$A$16,$A682&lt;'Control Room'!$A$16+'Control Room'!$B$16,'Process'!BQ5=1),1+('Control Room'!$C$16-1)*EXP(-0.5*(($A682-'Control Room'!$A$16-('Control Room'!$B$16-1)/2)/MAX(0.5,'Control Room'!$B$16/4))^2),1)</x:f>
        <x:v>1</x:v>
      </x:c>
      <x:c r="AK682" s="9" t="n">
        <x:f>MOD(AL681*16807,2147483647)</x:f>
        <x:v>1435751306</x:v>
      </x:c>
      <x:c r="AL682" s="9" t="n">
        <x:f>MOD(AK682*16807,2147483647)</x:f>
        <x:v>1545942250</x:v>
      </x:c>
      <x:c r="AM682" s="17" t="n">
        <x:f>IF('Control Room'!$B$5="Normal",'Control Room'!$B$7+'Control Room'!$D$7*SQRT(-2*LN(MAX(0.000000000001,AK682/2147483647)))*COS(2*PI()*AL682/2147483647),'Control Room'!$B$8+('Control Room'!$D$8-'Control Room'!$B$8)*AK682/2147483647)</x:f>
        <x:v>984.8099036147952</x:v>
      </x:c>
      <x:c r="AN682" s="17" t="n">
        <x:f>IF('Control Room'!$B$5="Normal",'Control Room'!$B$7,('Control Room'!$B$8+'Control Room'!$D$8)/2)+'Control Room'!$B$9*(AN681-IF('Control Room'!$B$5="Normal",'Control Room'!$B$7,('Control Room'!$B$8+'Control Room'!$D$8)/2))+SQRT(1-'Control Room'!$B$9^2)*(AM682-IF('Control Room'!$B$5="Normal",'Control Room'!$B$7,('Control Room'!$B$8+'Control Room'!$D$8)/2))</x:f>
        <x:v>984.2210203470742</x:v>
      </x:c>
      <x:c r="AO682" s="17" t="n">
        <x:f>IF(AND($A682&gt;='Control Room'!$A$13,$A682&lt;'Control Room'!$A$13+'Control Room'!$B$13,'Process'!BR2=1),1+('Control Room'!$C$13-1)*EXP(-0.5*(($A682-'Control Room'!$A$13-('Control Room'!$B$13-1)/2)/MAX(0.5,'Control Room'!$B$13/4))^2),1)*IF(AND($A682&gt;='Control Room'!$A$14,$A682&lt;'Control Room'!$A$14+'Control Room'!$B$14,'Process'!BR3=1),1+('Control Room'!$C$14-1)*EXP(-0.5*(($A682-'Control Room'!$A$14-('Control Room'!$B$14-1)/2)/MAX(0.5,'Control Room'!$B$14/4))^2),1)*IF(AND($A682&gt;='Control Room'!$A$15,$A682&lt;'Control Room'!$A$15+'Control Room'!$B$15,'Process'!BR4=1),1+('Control Room'!$C$15-1)*EXP(-0.5*(($A682-'Control Room'!$A$15-('Control Room'!$B$15-1)/2)/MAX(0.5,'Control Room'!$B$15/4))^2),1)*IF(AND($A682&gt;='Control Room'!$A$16,$A682&lt;'Control Room'!$A$16+'Control Room'!$B$16,'Process'!BR5=1),1+('Control Room'!$C$16-1)*EXP(-0.5*(($A682-'Control Room'!$A$16-('Control Room'!$B$16-1)/2)/MAX(0.5,'Control Room'!$B$16/4))^2),1)</x:f>
        <x:v>1</x:v>
      </x:c>
      <x:c r="AP682" s="9" t="n">
        <x:f>MOD(AQ681*16807,2147483647)</x:f>
        <x:v>1667932442</x:v>
      </x:c>
      <x:c r="AQ682" s="9" t="n">
        <x:f>MOD(AP682*16807,2147483647)</x:f>
        <x:v>1836508403</x:v>
      </x:c>
      <x:c r="AR682" s="17" t="n">
        <x:f>IF('Control Room'!$B$5="Normal",'Control Room'!$B$7+'Control Room'!$D$7*SQRT(-2*LN(MAX(0.000000000001,AP682/2147483647)))*COS(2*PI()*AQ682/2147483647),'Control Room'!$B$8+('Control Room'!$D$8-'Control Room'!$B$8)*AP682/2147483647)</x:f>
        <x:v>1039.2767589930443</x:v>
      </x:c>
      <x:c r="AS682" s="17" t="n">
        <x:f>IF('Control Room'!$B$5="Normal",'Control Room'!$B$7,('Control Room'!$B$8+'Control Room'!$D$8)/2)+'Control Room'!$B$9*(AS681-IF('Control Room'!$B$5="Normal",'Control Room'!$B$7,('Control Room'!$B$8+'Control Room'!$D$8)/2))+SQRT(1-'Control Room'!$B$9^2)*(AR682-IF('Control Room'!$B$5="Normal",'Control Room'!$B$7,('Control Room'!$B$8+'Control Room'!$D$8)/2))</x:f>
        <x:v>1174.266943944448</x:v>
      </x:c>
      <x:c r="AT682" s="17" t="n">
        <x:f>IF(AND($A682&gt;='Control Room'!$A$13,$A682&lt;'Control Room'!$A$13+'Control Room'!$B$13,'Process'!BS2=1),1+('Control Room'!$C$13-1)*EXP(-0.5*(($A682-'Control Room'!$A$13-('Control Room'!$B$13-1)/2)/MAX(0.5,'Control Room'!$B$13/4))^2),1)*IF(AND($A682&gt;='Control Room'!$A$14,$A682&lt;'Control Room'!$A$14+'Control Room'!$B$14,'Process'!BS3=1),1+('Control Room'!$C$14-1)*EXP(-0.5*(($A682-'Control Room'!$A$14-('Control Room'!$B$14-1)/2)/MAX(0.5,'Control Room'!$B$14/4))^2),1)*IF(AND($A682&gt;='Control Room'!$A$15,$A682&lt;'Control Room'!$A$15+'Control Room'!$B$15,'Process'!BS4=1),1+('Control Room'!$C$15-1)*EXP(-0.5*(($A682-'Control Room'!$A$15-('Control Room'!$B$15-1)/2)/MAX(0.5,'Control Room'!$B$15/4))^2),1)*IF(AND($A682&gt;='Control Room'!$A$16,$A682&lt;'Control Room'!$A$16+'Control Room'!$B$16,'Process'!BS5=1),1+('Control Room'!$C$16-1)*EXP(-0.5*(($A682-'Control Room'!$A$16-('Control Room'!$B$16-1)/2)/MAX(0.5,'Control Room'!$B$16/4))^2),1)</x:f>
        <x:v>1</x:v>
      </x:c>
      <x:c r="AU682" s="9" t="n">
        <x:f>MOD(AV681*16807,2147483647)</x:f>
        <x:v>1900113578</x:v>
      </x:c>
      <x:c r="AV682" s="9" t="n">
        <x:f>MOD(AU682*16807,2147483647)</x:f>
        <x:v>2127074556</x:v>
      </x:c>
      <x:c r="AW682" s="17" t="n">
        <x:f>IF('Control Room'!$B$5="Normal",'Control Room'!$B$7+'Control Room'!$D$7*SQRT(-2*LN(MAX(0.000000000001,AU682/2147483647)))*COS(2*PI()*AV682/2147483647),'Control Room'!$B$8+('Control Room'!$D$8-'Control Room'!$B$8)*AU682/2147483647)</x:f>
        <x:v>1044.4471052002693</x:v>
      </x:c>
      <x:c r="AX682" s="17" t="n">
        <x:f>IF('Control Room'!$B$5="Normal",'Control Room'!$B$7,('Control Room'!$B$8+'Control Room'!$D$8)/2)+'Control Room'!$B$9*(AX681-IF('Control Room'!$B$5="Normal",'Control Room'!$B$7,('Control Room'!$B$8+'Control Room'!$D$8)/2))+SQRT(1-'Control Room'!$B$9^2)*(AW682-IF('Control Room'!$B$5="Normal",'Control Room'!$B$7,('Control Room'!$B$8+'Control Room'!$D$8)/2))</x:f>
        <x:v>1014.9251335620967</x:v>
      </x:c>
      <x:c r="AY682" s="17" t="n">
        <x:f>IF(AND($A682&gt;='Control Room'!$A$13,$A682&lt;'Control Room'!$A$13+'Control Room'!$B$13,'Process'!BT2=1),1+('Control Room'!$C$13-1)*EXP(-0.5*(($A682-'Control Room'!$A$13-('Control Room'!$B$13-1)/2)/MAX(0.5,'Control Room'!$B$13/4))^2),1)*IF(AND($A682&gt;='Control Room'!$A$14,$A682&lt;'Control Room'!$A$14+'Control Room'!$B$14,'Process'!BT3=1),1+('Control Room'!$C$14-1)*EXP(-0.5*(($A682-'Control Room'!$A$14-('Control Room'!$B$14-1)/2)/MAX(0.5,'Control Room'!$B$14/4))^2),1)*IF(AND($A682&gt;='Control Room'!$A$15,$A682&lt;'Control Room'!$A$15+'Control Room'!$B$15,'Process'!BT4=1),1+('Control Room'!$C$15-1)*EXP(-0.5*(($A682-'Control Room'!$A$15-('Control Room'!$B$15-1)/2)/MAX(0.5,'Control Room'!$B$15/4))^2),1)*IF(AND($A682&gt;='Control Room'!$A$16,$A682&lt;'Control Room'!$A$16+'Control Room'!$B$16,'Process'!BT5=1),1+('Control Room'!$C$16-1)*EXP(-0.5*(($A682-'Control Room'!$A$16-('Control Room'!$B$16-1)/2)/MAX(0.5,'Control Room'!$B$16/4))^2),1)</x:f>
        <x:v>1</x:v>
      </x:c>
      <x:c r="AZ682" s="9" t="n">
        <x:f>MOD(BA681*16807,2147483647)</x:f>
        <x:v>2132294714</x:v>
      </x:c>
      <x:c r="BA682" s="9" t="n">
        <x:f>MOD(AZ682*16807,2147483647)</x:f>
        <x:v>270157062</x:v>
      </x:c>
      <x:c r="BB682" s="17" t="n">
        <x:f>IF('Control Room'!$B$5="Normal",'Control Room'!$B$7+'Control Room'!$D$7*SQRT(-2*LN(MAX(0.000000000001,AZ682/2147483647)))*COS(2*PI()*BA682/2147483647),'Control Room'!$B$8+('Control Room'!$D$8-'Control Room'!$B$8)*AZ682/2147483647)</x:f>
        <x:v>1007.544192395198</x:v>
      </x:c>
      <x:c r="BC682" s="17" t="n">
        <x:f>IF('Control Room'!$B$5="Normal",'Control Room'!$B$7,('Control Room'!$B$8+'Control Room'!$D$8)/2)+'Control Room'!$B$9*(BC681-IF('Control Room'!$B$5="Normal",'Control Room'!$B$7,('Control Room'!$B$8+'Control Room'!$D$8)/2))+SQRT(1-'Control Room'!$B$9^2)*(BB682-IF('Control Room'!$B$5="Normal",'Control Room'!$B$7,('Control Room'!$B$8+'Control Room'!$D$8)/2))</x:f>
        <x:v>1003.4046367394941</x:v>
      </x:c>
      <x:c r="BD682" s="17" t="n">
        <x:f>IF(AND($A682&gt;='Control Room'!$A$13,$A682&lt;'Control Room'!$A$13+'Control Room'!$B$13,'Process'!BU2=1),1+('Control Room'!$C$13-1)*EXP(-0.5*(($A682-'Control Room'!$A$13-('Control Room'!$B$13-1)/2)/MAX(0.5,'Control Room'!$B$13/4))^2),1)*IF(AND($A682&gt;='Control Room'!$A$14,$A682&lt;'Control Room'!$A$14+'Control Room'!$B$14,'Process'!BU3=1),1+('Control Room'!$C$14-1)*EXP(-0.5*(($A682-'Control Room'!$A$14-('Control Room'!$B$14-1)/2)/MAX(0.5,'Control Room'!$B$14/4))^2),1)*IF(AND($A682&gt;='Control Room'!$A$15,$A682&lt;'Control Room'!$A$15+'Control Room'!$B$15,'Process'!BU4=1),1+('Control Room'!$C$15-1)*EXP(-0.5*(($A682-'Control Room'!$A$15-('Control Room'!$B$15-1)/2)/MAX(0.5,'Control Room'!$B$15/4))^2),1)*IF(AND($A682&gt;='Control Room'!$A$16,$A682&lt;'Control Room'!$A$16+'Control Room'!$B$16,'Process'!BU5=1),1+('Control Room'!$C$16-1)*EXP(-0.5*(($A682-'Control Room'!$A$16-('Control Room'!$B$16-1)/2)/MAX(0.5,'Control Room'!$B$16/4))^2),1)</x:f>
        <x:v>1</x:v>
      </x:c>
      <x:c r="BE682" s="9" t="n">
        <x:f>MOD(BF681*16807,2147483647)</x:f>
        <x:v>216992203</x:v>
      </x:c>
      <x:c r="BF682" s="9" t="n">
        <x:f>MOD(BE682*16807,2147483647)</x:f>
        <x:v>560723215</x:v>
      </x:c>
      <x:c r="BG682" s="17" t="n">
        <x:f>IF('Control Room'!$B$5="Normal",'Control Room'!$B$7+'Control Room'!$D$7*SQRT(-2*LN(MAX(0.000000000001,BE682/2147483647)))*COS(2*PI()*BF682/2147483647),'Control Room'!$B$8+('Control Room'!$D$8-'Control Room'!$B$8)*BE682/2147483647)</x:f>
        <x:v>986.5627433471549</x:v>
      </x:c>
      <x:c r="BH682" s="17" t="n">
        <x:f>IF('Control Room'!$B$5="Normal",'Control Room'!$B$7,('Control Room'!$B$8+'Control Room'!$D$8)/2)+'Control Room'!$B$9*(BH681-IF('Control Room'!$B$5="Normal",'Control Room'!$B$7,('Control Room'!$B$8+'Control Room'!$D$8)/2))+SQRT(1-'Control Room'!$B$9^2)*(BG682-IF('Control Room'!$B$5="Normal",'Control Room'!$B$7,('Control Room'!$B$8+'Control Room'!$D$8)/2))</x:f>
        <x:v>929.3936464106635</x:v>
      </x:c>
      <x:c r="BI682" s="17" t="n">
        <x:f>IF(AND($A682&gt;='Control Room'!$A$13,$A682&lt;'Control Room'!$A$13+'Control Room'!$B$13,'Process'!BV2=1),1+('Control Room'!$C$13-1)*EXP(-0.5*(($A682-'Control Room'!$A$13-('Control Room'!$B$13-1)/2)/MAX(0.5,'Control Room'!$B$13/4))^2),1)*IF(AND($A682&gt;='Control Room'!$A$14,$A682&lt;'Control Room'!$A$14+'Control Room'!$B$14,'Process'!BV3=1),1+('Control Room'!$C$14-1)*EXP(-0.5*(($A682-'Control Room'!$A$14-('Control Room'!$B$14-1)/2)/MAX(0.5,'Control Room'!$B$14/4))^2),1)*IF(AND($A682&gt;='Control Room'!$A$15,$A682&lt;'Control Room'!$A$15+'Control Room'!$B$15,'Process'!BV4=1),1+('Control Room'!$C$15-1)*EXP(-0.5*(($A682-'Control Room'!$A$15-('Control Room'!$B$15-1)/2)/MAX(0.5,'Control Room'!$B$15/4))^2),1)*IF(AND($A682&gt;='Control Room'!$A$16,$A682&lt;'Control Room'!$A$16+'Control Room'!$B$16,'Process'!BV5=1),1+('Control Room'!$C$16-1)*EXP(-0.5*(($A682-'Control Room'!$A$16-('Control Room'!$B$16-1)/2)/MAX(0.5,'Control Room'!$B$16/4))^2),1)</x:f>
        <x:v>1</x:v>
      </x:c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Z682" t="str">
        <x:f>IF('Data'!A682="","",TEXT('Data'!A682,"mm-dd"))</x:f>
      </x:c>
    </x:row>
    <x:row r="683" ht="21" customHeight="1">
      <x:c r="A683" s="15" t="n">
        <x:f>'Control Room'!$B$1+681</x:f>
        <x:v>73672</x:v>
      </x:c>
      <x:c r="B683" s="9" t="n">
        <x:f>MOD(C682*16807,2147483647)</x:f>
        <x:v>1221592993</x:v>
      </x:c>
      <x:c r="C683" s="9" t="n">
        <x:f>MOD(B683*16807,2147483647)</x:f>
        <x:v>1369768031</x:v>
      </x:c>
      <x:c r="D683" s="17" t="n">
        <x:f>IF('Control Room'!$B$5="Normal",'Control Room'!$B$7+'Control Room'!$D$7*SQRT(-2*LN(MAX(0.000000000001,B683/2147483647)))*COS(2*PI()*C683/2147483647),'Control Room'!$B$8+('Control Room'!$D$8-'Control Room'!$B$8)*B683/2147483647)</x:f>
        <x:v>938.0727736621205</x:v>
      </x:c>
      <x:c r="E683" s="17" t="n">
        <x:f>IF('Control Room'!$B$5="Normal",'Control Room'!$B$7,('Control Room'!$B$8+'Control Room'!$D$8)/2)+'Control Room'!$B$9*(E682-IF('Control Room'!$B$5="Normal",'Control Room'!$B$7,('Control Room'!$B$8+'Control Room'!$D$8)/2))+SQRT(1-'Control Room'!$B$9^2)*(D683-IF('Control Room'!$B$5="Normal",'Control Room'!$B$7,('Control Room'!$B$8+'Control Room'!$D$8)/2))</x:f>
        <x:v>985.7698594860536</x:v>
      </x:c>
      <x:c r="F683" s="17" t="n">
        <x:f>IF(AND($A683&gt;='Control Room'!$A$13,$A683&lt;'Control Room'!$A$13+'Control Room'!$B$13,'Process'!BK2=1),1+('Control Room'!$C$13-1)*EXP(-0.5*(($A683-'Control Room'!$A$13-('Control Room'!$B$13-1)/2)/MAX(0.5,'Control Room'!$B$13/4))^2),1)*IF(AND($A683&gt;='Control Room'!$A$14,$A683&lt;'Control Room'!$A$14+'Control Room'!$B$14,'Process'!BK3=1),1+('Control Room'!$C$14-1)*EXP(-0.5*(($A683-'Control Room'!$A$14-('Control Room'!$B$14-1)/2)/MAX(0.5,'Control Room'!$B$14/4))^2),1)*IF(AND($A683&gt;='Control Room'!$A$15,$A683&lt;'Control Room'!$A$15+'Control Room'!$B$15,'Process'!BK4=1),1+('Control Room'!$C$15-1)*EXP(-0.5*(($A683-'Control Room'!$A$15-('Control Room'!$B$15-1)/2)/MAX(0.5,'Control Room'!$B$15/4))^2),1)*IF(AND($A683&gt;='Control Room'!$A$16,$A683&lt;'Control Room'!$A$16+'Control Room'!$B$16,'Process'!BK5=1),1+('Control Room'!$C$16-1)*EXP(-0.5*(($A683-'Control Room'!$A$16-('Control Room'!$B$16-1)/2)/MAX(0.5,'Control Room'!$B$16/4))^2),1)</x:f>
        <x:v>1</x:v>
      </x:c>
      <x:c r="G683" s="9" t="n">
        <x:f>MOD(H682*16807,2147483647)</x:f>
        <x:v>1389113186</x:v>
      </x:c>
      <x:c r="H683" s="9" t="n">
        <x:f>MOD(G683*16807,2147483647)</x:f>
        <x:v>1530590565</x:v>
      </x:c>
      <x:c r="I683" s="17" t="n">
        <x:f>IF('Control Room'!$B$5="Normal",'Control Room'!$B$7+'Control Room'!$D$7*SQRT(-2*LN(MAX(0.000000000001,G683/2147483647)))*COS(2*PI()*H683/2147483647),'Control Room'!$B$8+('Control Room'!$D$8-'Control Room'!$B$8)*G683/2147483647)</x:f>
        <x:v>980.5104317474693</x:v>
      </x:c>
      <x:c r="J683" s="17" t="n">
        <x:f>IF('Control Room'!$B$5="Normal",'Control Room'!$B$7,('Control Room'!$B$8+'Control Room'!$D$8)/2)+'Control Room'!$B$9*(J682-IF('Control Room'!$B$5="Normal",'Control Room'!$B$7,('Control Room'!$B$8+'Control Room'!$D$8)/2))+SQRT(1-'Control Room'!$B$9^2)*(I683-IF('Control Room'!$B$5="Normal",'Control Room'!$B$7,('Control Room'!$B$8+'Control Room'!$D$8)/2))</x:f>
        <x:v>1056.6411865396904</x:v>
      </x:c>
      <x:c r="K683" s="17" t="n">
        <x:f>IF(AND($A683&gt;='Control Room'!$A$13,$A683&lt;'Control Room'!$A$13+'Control Room'!$B$13,'Process'!BL2=1),1+('Control Room'!$C$13-1)*EXP(-0.5*(($A683-'Control Room'!$A$13-('Control Room'!$B$13-1)/2)/MAX(0.5,'Control Room'!$B$13/4))^2),1)*IF(AND($A683&gt;='Control Room'!$A$14,$A683&lt;'Control Room'!$A$14+'Control Room'!$B$14,'Process'!BL3=1),1+('Control Room'!$C$14-1)*EXP(-0.5*(($A683-'Control Room'!$A$14-('Control Room'!$B$14-1)/2)/MAX(0.5,'Control Room'!$B$14/4))^2),1)*IF(AND($A683&gt;='Control Room'!$A$15,$A683&lt;'Control Room'!$A$15+'Control Room'!$B$15,'Process'!BL4=1),1+('Control Room'!$C$15-1)*EXP(-0.5*(($A683-'Control Room'!$A$15-('Control Room'!$B$15-1)/2)/MAX(0.5,'Control Room'!$B$15/4))^2),1)*IF(AND($A683&gt;='Control Room'!$A$16,$A683&lt;'Control Room'!$A$16+'Control Room'!$B$16,'Process'!BL5=1),1+('Control Room'!$C$16-1)*EXP(-0.5*(($A683-'Control Room'!$A$16-('Control Room'!$B$16-1)/2)/MAX(0.5,'Control Room'!$B$16/4))^2),1)</x:f>
        <x:v>1</x:v>
      </x:c>
      <x:c r="L683" s="9" t="n">
        <x:f>MOD(M682*16807,2147483647)</x:f>
        <x:v>1556633379</x:v>
      </x:c>
      <x:c r="M683" s="9" t="n">
        <x:f>MOD(L683*16807,2147483647)</x:f>
        <x:v>1691413099</x:v>
      </x:c>
      <x:c r="N683" s="17" t="n">
        <x:f>IF('Control Room'!$B$5="Normal",'Control Room'!$B$7+'Control Room'!$D$7*SQRT(-2*LN(MAX(0.000000000001,L683/2147483647)))*COS(2*PI()*M683/2147483647),'Control Room'!$B$8+('Control Room'!$D$8-'Control Room'!$B$8)*L683/2147483647)</x:f>
        <x:v>1016.9099207862939</x:v>
      </x:c>
      <x:c r="O683" s="17" t="n">
        <x:f>IF('Control Room'!$B$5="Normal",'Control Room'!$B$7,('Control Room'!$B$8+'Control Room'!$D$8)/2)+'Control Room'!$B$9*(O682-IF('Control Room'!$B$5="Normal",'Control Room'!$B$7,('Control Room'!$B$8+'Control Room'!$D$8)/2))+SQRT(1-'Control Room'!$B$9^2)*(N683-IF('Control Room'!$B$5="Normal",'Control Room'!$B$7,('Control Room'!$B$8+'Control Room'!$D$8)/2))</x:f>
        <x:v>1108.5140765969109</x:v>
      </x:c>
      <x:c r="P683" s="17" t="n">
        <x:f>IF(AND($A683&gt;='Control Room'!$A$13,$A683&lt;'Control Room'!$A$13+'Control Room'!$B$13,'Process'!BM2=1),1+('Control Room'!$C$13-1)*EXP(-0.5*(($A683-'Control Room'!$A$13-('Control Room'!$B$13-1)/2)/MAX(0.5,'Control Room'!$B$13/4))^2),1)*IF(AND($A683&gt;='Control Room'!$A$14,$A683&lt;'Control Room'!$A$14+'Control Room'!$B$14,'Process'!BM3=1),1+('Control Room'!$C$14-1)*EXP(-0.5*(($A683-'Control Room'!$A$14-('Control Room'!$B$14-1)/2)/MAX(0.5,'Control Room'!$B$14/4))^2),1)*IF(AND($A683&gt;='Control Room'!$A$15,$A683&lt;'Control Room'!$A$15+'Control Room'!$B$15,'Process'!BM4=1),1+('Control Room'!$C$15-1)*EXP(-0.5*(($A683-'Control Room'!$A$15-('Control Room'!$B$15-1)/2)/MAX(0.5,'Control Room'!$B$15/4))^2),1)*IF(AND($A683&gt;='Control Room'!$A$16,$A683&lt;'Control Room'!$A$16+'Control Room'!$B$16,'Process'!BM5=1),1+('Control Room'!$C$16-1)*EXP(-0.5*(($A683-'Control Room'!$A$16-('Control Room'!$B$16-1)/2)/MAX(0.5,'Control Room'!$B$16/4))^2),1)</x:f>
        <x:v>1</x:v>
      </x:c>
      <x:c r="Q683" s="9" t="n">
        <x:f>MOD(R682*16807,2147483647)</x:f>
        <x:v>1724153572</x:v>
      </x:c>
      <x:c r="R683" s="9" t="n">
        <x:f>MOD(Q683*16807,2147483647)</x:f>
        <x:v>1852235633</x:v>
      </x:c>
      <x:c r="S683" s="17" t="n">
        <x:f>IF('Control Room'!$B$5="Normal",'Control Room'!$B$7+'Control Room'!$D$7*SQRT(-2*LN(MAX(0.000000000001,Q683/2147483647)))*COS(2*PI()*R683/2147483647),'Control Room'!$B$8+('Control Room'!$D$8-'Control Room'!$B$8)*Q683/2147483647)</x:f>
        <x:v>1038.7369247058214</x:v>
      </x:c>
      <x:c r="T683" s="17" t="n">
        <x:f>IF('Control Room'!$B$5="Normal",'Control Room'!$B$7,('Control Room'!$B$8+'Control Room'!$D$8)/2)+'Control Room'!$B$9*(T682-IF('Control Room'!$B$5="Normal",'Control Room'!$B$7,('Control Room'!$B$8+'Control Room'!$D$8)/2))+SQRT(1-'Control Room'!$B$9^2)*(S683-IF('Control Room'!$B$5="Normal",'Control Room'!$B$7,('Control Room'!$B$8+'Control Room'!$D$8)/2))</x:f>
        <x:v>885.1927613031338</x:v>
      </x:c>
      <x:c r="U683" s="17" t="n">
        <x:f>IF(AND($A683&gt;='Control Room'!$A$13,$A683&lt;'Control Room'!$A$13+'Control Room'!$B$13,'Process'!BN2=1),1+('Control Room'!$C$13-1)*EXP(-0.5*(($A683-'Control Room'!$A$13-('Control Room'!$B$13-1)/2)/MAX(0.5,'Control Room'!$B$13/4))^2),1)*IF(AND($A683&gt;='Control Room'!$A$14,$A683&lt;'Control Room'!$A$14+'Control Room'!$B$14,'Process'!BN3=1),1+('Control Room'!$C$14-1)*EXP(-0.5*(($A683-'Control Room'!$A$14-('Control Room'!$B$14-1)/2)/MAX(0.5,'Control Room'!$B$14/4))^2),1)*IF(AND($A683&gt;='Control Room'!$A$15,$A683&lt;'Control Room'!$A$15+'Control Room'!$B$15,'Process'!BN4=1),1+('Control Room'!$C$15-1)*EXP(-0.5*(($A683-'Control Room'!$A$15-('Control Room'!$B$15-1)/2)/MAX(0.5,'Control Room'!$B$15/4))^2),1)*IF(AND($A683&gt;='Control Room'!$A$16,$A683&lt;'Control Room'!$A$16+'Control Room'!$B$16,'Process'!BN5=1),1+('Control Room'!$C$16-1)*EXP(-0.5*(($A683-'Control Room'!$A$16-('Control Room'!$B$16-1)/2)/MAX(0.5,'Control Room'!$B$16/4))^2),1)</x:f>
        <x:v>1</x:v>
      </x:c>
      <x:c r="V683" s="9" t="n">
        <x:f>MOD(W682*16807,2147483647)</x:f>
        <x:v>1891673765</x:v>
      </x:c>
      <x:c r="W683" s="9" t="n">
        <x:f>MOD(V683*16807,2147483647)</x:f>
        <x:v>2013058167</x:v>
      </x:c>
      <x:c r="X683" s="17" t="n">
        <x:f>IF('Control Room'!$B$5="Normal",'Control Room'!$B$7+'Control Room'!$D$7*SQRT(-2*LN(MAX(0.000000000001,V683/2147483647)))*COS(2*PI()*W683/2147483647),'Control Room'!$B$8+('Control Room'!$D$8-'Control Room'!$B$8)*V683/2147483647)</x:f>
        <x:v>1041.8680285963778</x:v>
      </x:c>
      <x:c r="Y683" s="17" t="n">
        <x:f>IF('Control Room'!$B$5="Normal",'Control Room'!$B$7,('Control Room'!$B$8+'Control Room'!$D$8)/2)+'Control Room'!$B$9*(Y682-IF('Control Room'!$B$5="Normal",'Control Room'!$B$7,('Control Room'!$B$8+'Control Room'!$D$8)/2))+SQRT(1-'Control Room'!$B$9^2)*(X683-IF('Control Room'!$B$5="Normal",'Control Room'!$B$7,('Control Room'!$B$8+'Control Room'!$D$8)/2))</x:f>
        <x:v>994.269492721238</x:v>
      </x:c>
      <x:c r="Z683" s="17" t="n">
        <x:f>IF(AND($A683&gt;='Control Room'!$A$13,$A683&lt;'Control Room'!$A$13+'Control Room'!$B$13,'Process'!BO2=1),1+('Control Room'!$C$13-1)*EXP(-0.5*(($A683-'Control Room'!$A$13-('Control Room'!$B$13-1)/2)/MAX(0.5,'Control Room'!$B$13/4))^2),1)*IF(AND($A683&gt;='Control Room'!$A$14,$A683&lt;'Control Room'!$A$14+'Control Room'!$B$14,'Process'!BO3=1),1+('Control Room'!$C$14-1)*EXP(-0.5*(($A683-'Control Room'!$A$14-('Control Room'!$B$14-1)/2)/MAX(0.5,'Control Room'!$B$14/4))^2),1)*IF(AND($A683&gt;='Control Room'!$A$15,$A683&lt;'Control Room'!$A$15+'Control Room'!$B$15,'Process'!BO4=1),1+('Control Room'!$C$15-1)*EXP(-0.5*(($A683-'Control Room'!$A$15-('Control Room'!$B$15-1)/2)/MAX(0.5,'Control Room'!$B$15/4))^2),1)*IF(AND($A683&gt;='Control Room'!$A$16,$A683&lt;'Control Room'!$A$16+'Control Room'!$B$16,'Process'!BO5=1),1+('Control Room'!$C$16-1)*EXP(-0.5*(($A683-'Control Room'!$A$16-('Control Room'!$B$16-1)/2)/MAX(0.5,'Control Room'!$B$16/4))^2),1)</x:f>
        <x:v>1</x:v>
      </x:c>
      <x:c r="AA683" s="9" t="n">
        <x:f>MOD(AB682*16807,2147483647)</x:f>
        <x:v>2059193958</x:v>
      </x:c>
      <x:c r="AB683" s="9" t="n">
        <x:f>MOD(AA683*16807,2147483647)</x:f>
        <x:v>26397054</x:v>
      </x:c>
      <x:c r="AC683" s="17" t="n">
        <x:f>IF('Control Room'!$B$5="Normal",'Control Room'!$B$7+'Control Room'!$D$7*SQRT(-2*LN(MAX(0.000000000001,AA683/2147483647)))*COS(2*PI()*AB683/2147483647),'Control Room'!$B$8+('Control Room'!$D$8-'Control Room'!$B$8)*AA683/2147483647)</x:f>
        <x:v>1026.0011884888117</x:v>
      </x:c>
      <x:c r="AD683" s="17" t="n">
        <x:f>IF('Control Room'!$B$5="Normal",'Control Room'!$B$7,('Control Room'!$B$8+'Control Room'!$D$8)/2)+'Control Room'!$B$9*(AD682-IF('Control Room'!$B$5="Normal",'Control Room'!$B$7,('Control Room'!$B$8+'Control Room'!$D$8)/2))+SQRT(1-'Control Room'!$B$9^2)*(AC683-IF('Control Room'!$B$5="Normal",'Control Room'!$B$7,('Control Room'!$B$8+'Control Room'!$D$8)/2))</x:f>
        <x:v>979.0259651730087</x:v>
      </x:c>
      <x:c r="AE683" s="17" t="n">
        <x:f>IF(AND($A683&gt;='Control Room'!$A$13,$A683&lt;'Control Room'!$A$13+'Control Room'!$B$13,'Process'!BP2=1),1+('Control Room'!$C$13-1)*EXP(-0.5*(($A683-'Control Room'!$A$13-('Control Room'!$B$13-1)/2)/MAX(0.5,'Control Room'!$B$13/4))^2),1)*IF(AND($A683&gt;='Control Room'!$A$14,$A683&lt;'Control Room'!$A$14+'Control Room'!$B$14,'Process'!BP3=1),1+('Control Room'!$C$14-1)*EXP(-0.5*(($A683-'Control Room'!$A$14-('Control Room'!$B$14-1)/2)/MAX(0.5,'Control Room'!$B$14/4))^2),1)*IF(AND($A683&gt;='Control Room'!$A$15,$A683&lt;'Control Room'!$A$15+'Control Room'!$B$15,'Process'!BP4=1),1+('Control Room'!$C$15-1)*EXP(-0.5*(($A683-'Control Room'!$A$15-('Control Room'!$B$15-1)/2)/MAX(0.5,'Control Room'!$B$15/4))^2),1)*IF(AND($A683&gt;='Control Room'!$A$16,$A683&lt;'Control Room'!$A$16+'Control Room'!$B$16,'Process'!BP5=1),1+('Control Room'!$C$16-1)*EXP(-0.5*(($A683-'Control Room'!$A$16-('Control Room'!$B$16-1)/2)/MAX(0.5,'Control Room'!$B$16/4))^2),1)</x:f>
        <x:v>1</x:v>
      </x:c>
      <x:c r="AF683" s="9" t="n">
        <x:f>MOD(AG682*16807,2147483647)</x:f>
        <x:v>79230504</x:v>
      </x:c>
      <x:c r="AG683" s="9" t="n">
        <x:f>MOD(AF683*16807,2147483647)</x:f>
        <x:v>187219588</x:v>
      </x:c>
      <x:c r="AH683" s="17" t="n">
        <x:f>IF('Control Room'!$B$5="Normal",'Control Room'!$B$7+'Control Room'!$D$7*SQRT(-2*LN(MAX(0.000000000001,AF683/2147483647)))*COS(2*PI()*AG683/2147483647),'Control Room'!$B$8+('Control Room'!$D$8-'Control Room'!$B$8)*AF683/2147483647)</x:f>
        <x:v>1197.3750610384084</x:v>
      </x:c>
      <x:c r="AI683" s="17" t="n">
        <x:f>IF('Control Room'!$B$5="Normal",'Control Room'!$B$7,('Control Room'!$B$8+'Control Room'!$D$8)/2)+'Control Room'!$B$9*(AI682-IF('Control Room'!$B$5="Normal",'Control Room'!$B$7,('Control Room'!$B$8+'Control Room'!$D$8)/2))+SQRT(1-'Control Room'!$B$9^2)*(AH683-IF('Control Room'!$B$5="Normal",'Control Room'!$B$7,('Control Room'!$B$8+'Control Room'!$D$8)/2))</x:f>
        <x:v>1183.3097545268763</x:v>
      </x:c>
      <x:c r="AJ683" s="17" t="n">
        <x:f>IF(AND($A683&gt;='Control Room'!$A$13,$A683&lt;'Control Room'!$A$13+'Control Room'!$B$13,'Process'!BQ2=1),1+('Control Room'!$C$13-1)*EXP(-0.5*(($A683-'Control Room'!$A$13-('Control Room'!$B$13-1)/2)/MAX(0.5,'Control Room'!$B$13/4))^2),1)*IF(AND($A683&gt;='Control Room'!$A$14,$A683&lt;'Control Room'!$A$14+'Control Room'!$B$14,'Process'!BQ3=1),1+('Control Room'!$C$14-1)*EXP(-0.5*(($A683-'Control Room'!$A$14-('Control Room'!$B$14-1)/2)/MAX(0.5,'Control Room'!$B$14/4))^2),1)*IF(AND($A683&gt;='Control Room'!$A$15,$A683&lt;'Control Room'!$A$15+'Control Room'!$B$15,'Process'!BQ4=1),1+('Control Room'!$C$15-1)*EXP(-0.5*(($A683-'Control Room'!$A$15-('Control Room'!$B$15-1)/2)/MAX(0.5,'Control Room'!$B$15/4))^2),1)*IF(AND($A683&gt;='Control Room'!$A$16,$A683&lt;'Control Room'!$A$16+'Control Room'!$B$16,'Process'!BQ5=1),1+('Control Room'!$C$16-1)*EXP(-0.5*(($A683-'Control Room'!$A$16-('Control Room'!$B$16-1)/2)/MAX(0.5,'Control Room'!$B$16/4))^2),1)</x:f>
        <x:v>1</x:v>
      </x:c>
      <x:c r="AK683" s="9" t="n">
        <x:f>MOD(AL682*16807,2147483647)</x:f>
        <x:v>246750697</x:v>
      </x:c>
      <x:c r="AL683" s="9" t="n">
        <x:f>MOD(AK683*16807,2147483647)</x:f>
        <x:v>348042122</x:v>
      </x:c>
      <x:c r="AM683" s="17" t="n">
        <x:f>IF('Control Room'!$B$5="Normal",'Control Room'!$B$7+'Control Room'!$D$7*SQRT(-2*LN(MAX(0.000000000001,AK683/2147483647)))*COS(2*PI()*AL683/2147483647),'Control Room'!$B$8+('Control Room'!$D$8-'Control Room'!$B$8)*AK683/2147483647)</x:f>
        <x:v>1098.2536247344894</x:v>
      </x:c>
      <x:c r="AN683" s="17" t="n">
        <x:f>IF('Control Room'!$B$5="Normal",'Control Room'!$B$7,('Control Room'!$B$8+'Control Room'!$D$8)/2)+'Control Room'!$B$9*(AN682-IF('Control Room'!$B$5="Normal",'Control Room'!$B$7,('Control Room'!$B$8+'Control Room'!$D$8)/2))+SQRT(1-'Control Room'!$B$9^2)*(AM683-IF('Control Room'!$B$5="Normal",'Control Room'!$B$7,('Control Room'!$B$8+'Control Room'!$D$8)/2))</x:f>
        <x:v>1049.1775013946512</x:v>
      </x:c>
      <x:c r="AO683" s="17" t="n">
        <x:f>IF(AND($A683&gt;='Control Room'!$A$13,$A683&lt;'Control Room'!$A$13+'Control Room'!$B$13,'Process'!BR2=1),1+('Control Room'!$C$13-1)*EXP(-0.5*(($A683-'Control Room'!$A$13-('Control Room'!$B$13-1)/2)/MAX(0.5,'Control Room'!$B$13/4))^2),1)*IF(AND($A683&gt;='Control Room'!$A$14,$A683&lt;'Control Room'!$A$14+'Control Room'!$B$14,'Process'!BR3=1),1+('Control Room'!$C$14-1)*EXP(-0.5*(($A683-'Control Room'!$A$14-('Control Room'!$B$14-1)/2)/MAX(0.5,'Control Room'!$B$14/4))^2),1)*IF(AND($A683&gt;='Control Room'!$A$15,$A683&lt;'Control Room'!$A$15+'Control Room'!$B$15,'Process'!BR4=1),1+('Control Room'!$C$15-1)*EXP(-0.5*(($A683-'Control Room'!$A$15-('Control Room'!$B$15-1)/2)/MAX(0.5,'Control Room'!$B$15/4))^2),1)*IF(AND($A683&gt;='Control Room'!$A$16,$A683&lt;'Control Room'!$A$16+'Control Room'!$B$16,'Process'!BR5=1),1+('Control Room'!$C$16-1)*EXP(-0.5*(($A683-'Control Room'!$A$16-('Control Room'!$B$16-1)/2)/MAX(0.5,'Control Room'!$B$16/4))^2),1)</x:f>
        <x:v>1</x:v>
      </x:c>
      <x:c r="AP683" s="9" t="n">
        <x:f>MOD(AQ682*16807,2147483647)</x:f>
        <x:v>414270890</x:v>
      </x:c>
      <x:c r="AQ683" s="9" t="n">
        <x:f>MOD(AP683*16807,2147483647)</x:f>
        <x:v>508864656</x:v>
      </x:c>
      <x:c r="AR683" s="17" t="n">
        <x:f>IF('Control Room'!$B$5="Normal",'Control Room'!$B$7+'Control Room'!$D$7*SQRT(-2*LN(MAX(0.000000000001,AP683/2147483647)))*COS(2*PI()*AQ683/2147483647),'Control Room'!$B$8+('Control Room'!$D$8-'Control Room'!$B$8)*AP683/2147483647)</x:f>
        <x:v>1013.3637888277807</x:v>
      </x:c>
      <x:c r="AS683" s="17" t="n">
        <x:f>IF('Control Room'!$B$5="Normal",'Control Room'!$B$7,('Control Room'!$B$8+'Control Room'!$D$8)/2)+'Control Room'!$B$9*(AS682-IF('Control Room'!$B$5="Normal",'Control Room'!$B$7,('Control Room'!$B$8+'Control Room'!$D$8)/2))+SQRT(1-'Control Room'!$B$9^2)*(AR683-IF('Control Room'!$B$5="Normal",'Control Room'!$B$7,('Control Room'!$B$8+'Control Room'!$D$8)/2))</x:f>
        <x:v>1144.2910015529997</x:v>
      </x:c>
      <x:c r="AT683" s="17" t="n">
        <x:f>IF(AND($A683&gt;='Control Room'!$A$13,$A683&lt;'Control Room'!$A$13+'Control Room'!$B$13,'Process'!BS2=1),1+('Control Room'!$C$13-1)*EXP(-0.5*(($A683-'Control Room'!$A$13-('Control Room'!$B$13-1)/2)/MAX(0.5,'Control Room'!$B$13/4))^2),1)*IF(AND($A683&gt;='Control Room'!$A$14,$A683&lt;'Control Room'!$A$14+'Control Room'!$B$14,'Process'!BS3=1),1+('Control Room'!$C$14-1)*EXP(-0.5*(($A683-'Control Room'!$A$14-('Control Room'!$B$14-1)/2)/MAX(0.5,'Control Room'!$B$14/4))^2),1)*IF(AND($A683&gt;='Control Room'!$A$15,$A683&lt;'Control Room'!$A$15+'Control Room'!$B$15,'Process'!BS4=1),1+('Control Room'!$C$15-1)*EXP(-0.5*(($A683-'Control Room'!$A$15-('Control Room'!$B$15-1)/2)/MAX(0.5,'Control Room'!$B$15/4))^2),1)*IF(AND($A683&gt;='Control Room'!$A$16,$A683&lt;'Control Room'!$A$16+'Control Room'!$B$16,'Process'!BS5=1),1+('Control Room'!$C$16-1)*EXP(-0.5*(($A683-'Control Room'!$A$16-('Control Room'!$B$16-1)/2)/MAX(0.5,'Control Room'!$B$16/4))^2),1)</x:f>
        <x:v>1</x:v>
      </x:c>
      <x:c r="AU683" s="9" t="n">
        <x:f>MOD(AV682*16807,2147483647)</x:f>
        <x:v>581791083</x:v>
      </x:c>
      <x:c r="AV683" s="9" t="n">
        <x:f>MOD(AU683*16807,2147483647)</x:f>
        <x:v>669687190</x:v>
      </x:c>
      <x:c r="AW683" s="17" t="n">
        <x:f>IF('Control Room'!$B$5="Normal",'Control Room'!$B$7+'Control Room'!$D$7*SQRT(-2*LN(MAX(0.000000000001,AU683/2147483647)))*COS(2*PI()*AV683/2147483647),'Control Room'!$B$8+('Control Room'!$D$8-'Control Room'!$B$8)*AU683/2147483647)</x:f>
        <x:v>944.8894699493787</x:v>
      </x:c>
      <x:c r="AX683" s="17" t="n">
        <x:f>IF('Control Room'!$B$5="Normal",'Control Room'!$B$7,('Control Room'!$B$8+'Control Room'!$D$8)/2)+'Control Room'!$B$9*(AX682-IF('Control Room'!$B$5="Normal",'Control Room'!$B$7,('Control Room'!$B$8+'Control Room'!$D$8)/2))+SQRT(1-'Control Room'!$B$9^2)*(AW683-IF('Control Room'!$B$5="Normal",'Control Room'!$B$7,('Control Room'!$B$8+'Control Room'!$D$8)/2))</x:f>
        <x:v>977.1545634733313</x:v>
      </x:c>
      <x:c r="AY683" s="17" t="n">
        <x:f>IF(AND($A683&gt;='Control Room'!$A$13,$A683&lt;'Control Room'!$A$13+'Control Room'!$B$13,'Process'!BT2=1),1+('Control Room'!$C$13-1)*EXP(-0.5*(($A683-'Control Room'!$A$13-('Control Room'!$B$13-1)/2)/MAX(0.5,'Control Room'!$B$13/4))^2),1)*IF(AND($A683&gt;='Control Room'!$A$14,$A683&lt;'Control Room'!$A$14+'Control Room'!$B$14,'Process'!BT3=1),1+('Control Room'!$C$14-1)*EXP(-0.5*(($A683-'Control Room'!$A$14-('Control Room'!$B$14-1)/2)/MAX(0.5,'Control Room'!$B$14/4))^2),1)*IF(AND($A683&gt;='Control Room'!$A$15,$A683&lt;'Control Room'!$A$15+'Control Room'!$B$15,'Process'!BT4=1),1+('Control Room'!$C$15-1)*EXP(-0.5*(($A683-'Control Room'!$A$15-('Control Room'!$B$15-1)/2)/MAX(0.5,'Control Room'!$B$15/4))^2),1)*IF(AND($A683&gt;='Control Room'!$A$16,$A683&lt;'Control Room'!$A$16+'Control Room'!$B$16,'Process'!BT5=1),1+('Control Room'!$C$16-1)*EXP(-0.5*(($A683-'Control Room'!$A$16-('Control Room'!$B$16-1)/2)/MAX(0.5,'Control Room'!$B$16/4))^2),1)</x:f>
        <x:v>1</x:v>
      </x:c>
      <x:c r="AZ683" s="9" t="n">
        <x:f>MOD(BA682*16807,2147483647)</x:f>
        <x:v>749311276</x:v>
      </x:c>
      <x:c r="BA683" s="9" t="n">
        <x:f>MOD(AZ683*16807,2147483647)</x:f>
        <x:v>830509724</x:v>
      </x:c>
      <x:c r="BB683" s="17" t="n">
        <x:f>IF('Control Room'!$B$5="Normal",'Control Room'!$B$7+'Control Room'!$D$7*SQRT(-2*LN(MAX(0.000000000001,AZ683/2147483647)))*COS(2*PI()*BA683/2147483647),'Control Room'!$B$8+('Control Room'!$D$8-'Control Room'!$B$8)*AZ683/2147483647)</x:f>
        <x:v>901.0974750804019</x:v>
      </x:c>
      <x:c r="BC683" s="17" t="n">
        <x:f>IF('Control Room'!$B$5="Normal",'Control Room'!$B$7,('Control Room'!$B$8+'Control Room'!$D$8)/2)+'Control Room'!$B$9*(BC682-IF('Control Room'!$B$5="Normal",'Control Room'!$B$7,('Control Room'!$B$8+'Control Room'!$D$8)/2))+SQRT(1-'Control Room'!$B$9^2)*(BB683-IF('Control Room'!$B$5="Normal",'Control Room'!$B$7,('Control Room'!$B$8+'Control Room'!$D$8)/2))</x:f>
        <x:v>940.7644426904737</x:v>
      </x:c>
      <x:c r="BD683" s="17" t="n">
        <x:f>IF(AND($A683&gt;='Control Room'!$A$13,$A683&lt;'Control Room'!$A$13+'Control Room'!$B$13,'Process'!BU2=1),1+('Control Room'!$C$13-1)*EXP(-0.5*(($A683-'Control Room'!$A$13-('Control Room'!$B$13-1)/2)/MAX(0.5,'Control Room'!$B$13/4))^2),1)*IF(AND($A683&gt;='Control Room'!$A$14,$A683&lt;'Control Room'!$A$14+'Control Room'!$B$14,'Process'!BU3=1),1+('Control Room'!$C$14-1)*EXP(-0.5*(($A683-'Control Room'!$A$14-('Control Room'!$B$14-1)/2)/MAX(0.5,'Control Room'!$B$14/4))^2),1)*IF(AND($A683&gt;='Control Room'!$A$15,$A683&lt;'Control Room'!$A$15+'Control Room'!$B$15,'Process'!BU4=1),1+('Control Room'!$C$15-1)*EXP(-0.5*(($A683-'Control Room'!$A$15-('Control Room'!$B$15-1)/2)/MAX(0.5,'Control Room'!$B$15/4))^2),1)*IF(AND($A683&gt;='Control Room'!$A$16,$A683&lt;'Control Room'!$A$16+'Control Room'!$B$16,'Process'!BU5=1),1+('Control Room'!$C$16-1)*EXP(-0.5*(($A683-'Control Room'!$A$16-('Control Room'!$B$16-1)/2)/MAX(0.5,'Control Room'!$B$16/4))^2),1)</x:f>
        <x:v>1</x:v>
      </x:c>
      <x:c r="BE683" s="9" t="n">
        <x:f>MOD(BF682*16807,2147483647)</x:f>
        <x:v>916831469</x:v>
      </x:c>
      <x:c r="BF683" s="9" t="n">
        <x:f>MOD(BE683*16807,2147483647)</x:f>
        <x:v>991332258</x:v>
      </x:c>
      <x:c r="BG683" s="17" t="n">
        <x:f>IF('Control Room'!$B$5="Normal",'Control Room'!$B$7+'Control Room'!$D$7*SQRT(-2*LN(MAX(0.000000000001,BE683/2147483647)))*COS(2*PI()*BF683/2147483647),'Control Room'!$B$8+('Control Room'!$D$8-'Control Room'!$B$8)*BE683/2147483647)</x:f>
        <x:v>885.9733357940327</x:v>
      </x:c>
      <x:c r="BH683" s="17" t="n">
        <x:f>IF('Control Room'!$B$5="Normal",'Control Room'!$B$7,('Control Room'!$B$8+'Control Room'!$D$8)/2)+'Control Room'!$B$9*(BH682-IF('Control Room'!$B$5="Normal",'Control Room'!$B$7,('Control Room'!$B$8+'Control Room'!$D$8)/2))+SQRT(1-'Control Room'!$B$9^2)*(BG683-IF('Control Room'!$B$5="Normal",'Control Room'!$B$7,('Control Room'!$B$8+'Control Room'!$D$8)/2))</x:f>
        <x:v>873.5714937034103</x:v>
      </x:c>
      <x:c r="BI683" s="17" t="n">
        <x:f>IF(AND($A683&gt;='Control Room'!$A$13,$A683&lt;'Control Room'!$A$13+'Control Room'!$B$13,'Process'!BV2=1),1+('Control Room'!$C$13-1)*EXP(-0.5*(($A683-'Control Room'!$A$13-('Control Room'!$B$13-1)/2)/MAX(0.5,'Control Room'!$B$13/4))^2),1)*IF(AND($A683&gt;='Control Room'!$A$14,$A683&lt;'Control Room'!$A$14+'Control Room'!$B$14,'Process'!BV3=1),1+('Control Room'!$C$14-1)*EXP(-0.5*(($A683-'Control Room'!$A$14-('Control Room'!$B$14-1)/2)/MAX(0.5,'Control Room'!$B$14/4))^2),1)*IF(AND($A683&gt;='Control Room'!$A$15,$A683&lt;'Control Room'!$A$15+'Control Room'!$B$15,'Process'!BV4=1),1+('Control Room'!$C$15-1)*EXP(-0.5*(($A683-'Control Room'!$A$15-('Control Room'!$B$15-1)/2)/MAX(0.5,'Control Room'!$B$15/4))^2),1)*IF(AND($A683&gt;='Control Room'!$A$16,$A683&lt;'Control Room'!$A$16+'Control Room'!$B$16,'Process'!BV5=1),1+('Control Room'!$C$16-1)*EXP(-0.5*(($A683-'Control Room'!$A$16-('Control Room'!$B$16-1)/2)/MAX(0.5,'Control Room'!$B$16/4))^2),1)</x:f>
        <x:v>1</x:v>
      </x:c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Z683" t="str">
        <x:f>IF('Data'!A683="","",TEXT('Data'!A683,"mm-dd"))</x:f>
      </x:c>
    </x:row>
    <x:row r="684" ht="21" customHeight="1">
      <x:c r="A684" s="15" t="n">
        <x:f>'Control Room'!$B$1+682</x:f>
        <x:v>73673</x:v>
      </x:c>
      <x:c r="B684" s="9" t="n">
        <x:f>MOD(C683*16807,2147483647)</x:f>
        <x:v>666601177</x:v>
      </x:c>
      <x:c r="C684" s="9" t="n">
        <x:f>MOD(B684*16807,2147483647)</x:f>
        <x:v>143795440</x:v>
      </x:c>
      <x:c r="D684" s="17" t="n">
        <x:f>IF('Control Room'!$B$5="Normal",'Control Room'!$B$7+'Control Room'!$D$7*SQRT(-2*LN(MAX(0.000000000001,B684/2147483647)))*COS(2*PI()*C684/2147483647),'Control Room'!$B$8+('Control Room'!$D$8-'Control Room'!$B$8)*B684/2147483647)</x:f>
        <x:v>1125.660103192171</x:v>
      </x:c>
      <x:c r="E684" s="17" t="n">
        <x:f>IF('Control Room'!$B$5="Normal",'Control Room'!$B$7,('Control Room'!$B$8+'Control Room'!$D$8)/2)+'Control Room'!$B$9*(E683-IF('Control Room'!$B$5="Normal",'Control Room'!$B$7,('Control Room'!$B$8+'Control Room'!$D$8)/2))+SQRT(1-'Control Room'!$B$9^2)*(D684-IF('Control Room'!$B$5="Normal",'Control Room'!$B$7,('Control Room'!$B$8+'Control Room'!$D$8)/2))</x:f>
        <x:v>1067.5360086896435</x:v>
      </x:c>
      <x:c r="F684" s="17" t="n">
        <x:f>IF(AND($A684&gt;='Control Room'!$A$13,$A684&lt;'Control Room'!$A$13+'Control Room'!$B$13,'Process'!BK2=1),1+('Control Room'!$C$13-1)*EXP(-0.5*(($A684-'Control Room'!$A$13-('Control Room'!$B$13-1)/2)/MAX(0.5,'Control Room'!$B$13/4))^2),1)*IF(AND($A684&gt;='Control Room'!$A$14,$A684&lt;'Control Room'!$A$14+'Control Room'!$B$14,'Process'!BK3=1),1+('Control Room'!$C$14-1)*EXP(-0.5*(($A684-'Control Room'!$A$14-('Control Room'!$B$14-1)/2)/MAX(0.5,'Control Room'!$B$14/4))^2),1)*IF(AND($A684&gt;='Control Room'!$A$15,$A684&lt;'Control Room'!$A$15+'Control Room'!$B$15,'Process'!BK4=1),1+('Control Room'!$C$15-1)*EXP(-0.5*(($A684-'Control Room'!$A$15-('Control Room'!$B$15-1)/2)/MAX(0.5,'Control Room'!$B$15/4))^2),1)*IF(AND($A684&gt;='Control Room'!$A$16,$A684&lt;'Control Room'!$A$16+'Control Room'!$B$16,'Process'!BK5=1),1+('Control Room'!$C$16-1)*EXP(-0.5*(($A684-'Control Room'!$A$16-('Control Room'!$B$16-1)/2)/MAX(0.5,'Control Room'!$B$16/4))^2),1)</x:f>
        <x:v>1</x:v>
      </x:c>
      <x:c r="G684" s="9" t="n">
        <x:f>MOD(H683*16807,2147483647)</x:f>
        <x:v>2076502189</x:v>
      </x:c>
      <x:c r="H684" s="9" t="n">
        <x:f>MOD(G684*16807,2147483647)</x:f>
        <x:v>1015543126</x:v>
      </x:c>
      <x:c r="I684" s="17" t="n">
        <x:f>IF('Control Room'!$B$5="Normal",'Control Room'!$B$7+'Control Room'!$D$7*SQRT(-2*LN(MAX(0.000000000001,G684/2147483647)))*COS(2*PI()*H684/2147483647),'Control Room'!$B$8+('Control Room'!$D$8-'Control Room'!$B$8)*G684/2147483647)</x:f>
        <x:v>977.0026772258952</x:v>
      </x:c>
      <x:c r="J684" s="17" t="n">
        <x:f>IF('Control Room'!$B$5="Normal",'Control Room'!$B$7,('Control Room'!$B$8+'Control Room'!$D$8)/2)+'Control Room'!$B$9*(J683-IF('Control Room'!$B$5="Normal",'Control Room'!$B$7,('Control Room'!$B$8+'Control Room'!$D$8)/2))+SQRT(1-'Control Room'!$B$9^2)*(I684-IF('Control Room'!$B$5="Normal",'Control Room'!$B$7,('Control Room'!$B$8+'Control Room'!$D$8)/2))</x:f>
        <x:v>1029.7888720346887</x:v>
      </x:c>
      <x:c r="K684" s="17" t="n">
        <x:f>IF(AND($A684&gt;='Control Room'!$A$13,$A684&lt;'Control Room'!$A$13+'Control Room'!$B$13,'Process'!BL2=1),1+('Control Room'!$C$13-1)*EXP(-0.5*(($A684-'Control Room'!$A$13-('Control Room'!$B$13-1)/2)/MAX(0.5,'Control Room'!$B$13/4))^2),1)*IF(AND($A684&gt;='Control Room'!$A$14,$A684&lt;'Control Room'!$A$14+'Control Room'!$B$14,'Process'!BL3=1),1+('Control Room'!$C$14-1)*EXP(-0.5*(($A684-'Control Room'!$A$14-('Control Room'!$B$14-1)/2)/MAX(0.5,'Control Room'!$B$14/4))^2),1)*IF(AND($A684&gt;='Control Room'!$A$15,$A684&lt;'Control Room'!$A$15+'Control Room'!$B$15,'Process'!BL4=1),1+('Control Room'!$C$15-1)*EXP(-0.5*(($A684-'Control Room'!$A$15-('Control Room'!$B$15-1)/2)/MAX(0.5,'Control Room'!$B$15/4))^2),1)*IF(AND($A684&gt;='Control Room'!$A$16,$A684&lt;'Control Room'!$A$16+'Control Room'!$B$16,'Process'!BL5=1),1+('Control Room'!$C$16-1)*EXP(-0.5*(($A684-'Control Room'!$A$16-('Control Room'!$B$16-1)/2)/MAX(0.5,'Control Room'!$B$16/4))^2),1)</x:f>
        <x:v>1</x:v>
      </x:c>
      <x:c r="L684" s="9" t="n">
        <x:f>MOD(M683*16807,2147483647)</x:f>
        <x:v>1338919554</x:v>
      </x:c>
      <x:c r="M684" s="9" t="n">
        <x:f>MOD(L684*16807,2147483647)</x:f>
        <x:v>1887290812</x:v>
      </x:c>
      <x:c r="N684" s="17" t="n">
        <x:f>IF('Control Room'!$B$5="Normal",'Control Room'!$B$7+'Control Room'!$D$7*SQRT(-2*LN(MAX(0.000000000001,L684/2147483647)))*COS(2*PI()*M684/2147483647),'Control Room'!$B$8+('Control Room'!$D$8-'Control Room'!$B$8)*L684/2147483647)</x:f>
        <x:v>1063.33416403418</x:v>
      </x:c>
      <x:c r="O684" s="17" t="n">
        <x:f>IF('Control Room'!$B$5="Normal",'Control Room'!$B$7,('Control Room'!$B$8+'Control Room'!$D$8)/2)+'Control Room'!$B$9*(O683-IF('Control Room'!$B$5="Normal",'Control Room'!$B$7,('Control Room'!$B$8+'Control Room'!$D$8)/2))+SQRT(1-'Control Room'!$B$9^2)*(N684-IF('Control Room'!$B$5="Normal",'Control Room'!$B$7,('Control Room'!$B$8+'Control Room'!$D$8)/2))</x:f>
        <x:v>1124.2742021273061</x:v>
      </x:c>
      <x:c r="P684" s="17" t="n">
        <x:f>IF(AND($A684&gt;='Control Room'!$A$13,$A684&lt;'Control Room'!$A$13+'Control Room'!$B$13,'Process'!BM2=1),1+('Control Room'!$C$13-1)*EXP(-0.5*(($A684-'Control Room'!$A$13-('Control Room'!$B$13-1)/2)/MAX(0.5,'Control Room'!$B$13/4))^2),1)*IF(AND($A684&gt;='Control Room'!$A$14,$A684&lt;'Control Room'!$A$14+'Control Room'!$B$14,'Process'!BM3=1),1+('Control Room'!$C$14-1)*EXP(-0.5*(($A684-'Control Room'!$A$14-('Control Room'!$B$14-1)/2)/MAX(0.5,'Control Room'!$B$14/4))^2),1)*IF(AND($A684&gt;='Control Room'!$A$15,$A684&lt;'Control Room'!$A$15+'Control Room'!$B$15,'Process'!BM4=1),1+('Control Room'!$C$15-1)*EXP(-0.5*(($A684-'Control Room'!$A$15-('Control Room'!$B$15-1)/2)/MAX(0.5,'Control Room'!$B$15/4))^2),1)*IF(AND($A684&gt;='Control Room'!$A$16,$A684&lt;'Control Room'!$A$16+'Control Room'!$B$16,'Process'!BM5=1),1+('Control Room'!$C$16-1)*EXP(-0.5*(($A684-'Control Room'!$A$16-('Control Room'!$B$16-1)/2)/MAX(0.5,'Control Room'!$B$16/4))^2),1)</x:f>
        <x:v>1</x:v>
      </x:c>
      <x:c r="Q684" s="9" t="n">
        <x:f>MOD(R683*16807,2147483647)</x:f>
        <x:v>601336919</x:v>
      </x:c>
      <x:c r="R684" s="9" t="n">
        <x:f>MOD(Q684*16807,2147483647)</x:f>
        <x:v>611554851</x:v>
      </x:c>
      <x:c r="S684" s="17" t="n">
        <x:f>IF('Control Room'!$B$5="Normal",'Control Room'!$B$7+'Control Room'!$D$7*SQRT(-2*LN(MAX(0.000000000001,Q684/2147483647)))*COS(2*PI()*R684/2147483647),'Control Room'!$B$8+('Control Room'!$D$8-'Control Room'!$B$8)*Q684/2147483647)</x:f>
        <x:v>968.870677097327</x:v>
      </x:c>
      <x:c r="T684" s="17" t="n">
        <x:f>IF('Control Room'!$B$5="Normal",'Control Room'!$B$7,('Control Room'!$B$8+'Control Room'!$D$8)/2)+'Control Room'!$B$9*(T683-IF('Control Room'!$B$5="Normal",'Control Room'!$B$7,('Control Room'!$B$8+'Control Room'!$D$8)/2))+SQRT(1-'Control Room'!$B$9^2)*(S684-IF('Control Room'!$B$5="Normal",'Control Room'!$B$7,('Control Room'!$B$8+'Control Room'!$D$8)/2))</x:f>
        <x:v>890.9702612627943</x:v>
      </x:c>
      <x:c r="U684" s="17" t="n">
        <x:f>IF(AND($A684&gt;='Control Room'!$A$13,$A684&lt;'Control Room'!$A$13+'Control Room'!$B$13,'Process'!BN2=1),1+('Control Room'!$C$13-1)*EXP(-0.5*(($A684-'Control Room'!$A$13-('Control Room'!$B$13-1)/2)/MAX(0.5,'Control Room'!$B$13/4))^2),1)*IF(AND($A684&gt;='Control Room'!$A$14,$A684&lt;'Control Room'!$A$14+'Control Room'!$B$14,'Process'!BN3=1),1+('Control Room'!$C$14-1)*EXP(-0.5*(($A684-'Control Room'!$A$14-('Control Room'!$B$14-1)/2)/MAX(0.5,'Control Room'!$B$14/4))^2),1)*IF(AND($A684&gt;='Control Room'!$A$15,$A684&lt;'Control Room'!$A$15+'Control Room'!$B$15,'Process'!BN4=1),1+('Control Room'!$C$15-1)*EXP(-0.5*(($A684-'Control Room'!$A$15-('Control Room'!$B$15-1)/2)/MAX(0.5,'Control Room'!$B$15/4))^2),1)*IF(AND($A684&gt;='Control Room'!$A$16,$A684&lt;'Control Room'!$A$16+'Control Room'!$B$16,'Process'!BN5=1),1+('Control Room'!$C$16-1)*EXP(-0.5*(($A684-'Control Room'!$A$16-('Control Room'!$B$16-1)/2)/MAX(0.5,'Control Room'!$B$16/4))^2),1)</x:f>
        <x:v>1</x:v>
      </x:c>
      <x:c r="V684" s="9" t="n">
        <x:f>MOD(W683*16807,2147483647)</x:f>
        <x:v>2011237931</x:v>
      </x:c>
      <x:c r="W684" s="9" t="n">
        <x:f>MOD(V684*16807,2147483647)</x:f>
        <x:v>1483302537</x:v>
      </x:c>
      <x:c r="X684" s="17" t="n">
        <x:f>IF('Control Room'!$B$5="Normal",'Control Room'!$B$7+'Control Room'!$D$7*SQRT(-2*LN(MAX(0.000000000001,V684/2147483647)))*COS(2*PI()*W684/2147483647),'Control Room'!$B$8+('Control Room'!$D$8-'Control Room'!$B$8)*V684/2147483647)</x:f>
        <x:v>988.1408062638526</x:v>
      </x:c>
      <x:c r="Y684" s="17" t="n">
        <x:f>IF('Control Room'!$B$5="Normal",'Control Room'!$B$7,('Control Room'!$B$8+'Control Room'!$D$8)/2)+'Control Room'!$B$9*(Y683-IF('Control Room'!$B$5="Normal",'Control Room'!$B$7,('Control Room'!$B$8+'Control Room'!$D$8)/2))+SQRT(1-'Control Room'!$B$9^2)*(X684-IF('Control Room'!$B$5="Normal",'Control Room'!$B$7,('Control Room'!$B$8+'Control Room'!$D$8)/2))</x:f>
        <x:v>988.1089638312737</x:v>
      </x:c>
      <x:c r="Z684" s="17" t="n">
        <x:f>IF(AND($A684&gt;='Control Room'!$A$13,$A684&lt;'Control Room'!$A$13+'Control Room'!$B$13,'Process'!BO2=1),1+('Control Room'!$C$13-1)*EXP(-0.5*(($A684-'Control Room'!$A$13-('Control Room'!$B$13-1)/2)/MAX(0.5,'Control Room'!$B$13/4))^2),1)*IF(AND($A684&gt;='Control Room'!$A$14,$A684&lt;'Control Room'!$A$14+'Control Room'!$B$14,'Process'!BO3=1),1+('Control Room'!$C$14-1)*EXP(-0.5*(($A684-'Control Room'!$A$14-('Control Room'!$B$14-1)/2)/MAX(0.5,'Control Room'!$B$14/4))^2),1)*IF(AND($A684&gt;='Control Room'!$A$15,$A684&lt;'Control Room'!$A$15+'Control Room'!$B$15,'Process'!BO4=1),1+('Control Room'!$C$15-1)*EXP(-0.5*(($A684-'Control Room'!$A$15-('Control Room'!$B$15-1)/2)/MAX(0.5,'Control Room'!$B$15/4))^2),1)*IF(AND($A684&gt;='Control Room'!$A$16,$A684&lt;'Control Room'!$A$16+'Control Room'!$B$16,'Process'!BO5=1),1+('Control Room'!$C$16-1)*EXP(-0.5*(($A684-'Control Room'!$A$16-('Control Room'!$B$16-1)/2)/MAX(0.5,'Control Room'!$B$16/4))^2),1)</x:f>
        <x:v>1</x:v>
      </x:c>
      <x:c r="AA684" s="9" t="n">
        <x:f>MOD(AB683*16807,2147483647)</x:f>
        <x:v>1273655296</x:v>
      </x:c>
      <x:c r="AB684" s="9" t="n">
        <x:f>MOD(AA684*16807,2147483647)</x:f>
        <x:v>207566576</x:v>
      </x:c>
      <x:c r="AC684" s="17" t="n">
        <x:f>IF('Control Room'!$B$5="Normal",'Control Room'!$B$7+'Control Room'!$D$7*SQRT(-2*LN(MAX(0.000000000001,AA684/2147483647)))*COS(2*PI()*AB684/2147483647),'Control Room'!$B$8+('Control Room'!$D$8-'Control Room'!$B$8)*AA684/2147483647)</x:f>
        <x:v>1075.5447599383933</x:v>
      </x:c>
      <x:c r="AD684" s="17" t="n">
        <x:f>IF('Control Room'!$B$5="Normal",'Control Room'!$B$7,('Control Room'!$B$8+'Control Room'!$D$8)/2)+'Control Room'!$B$9*(AD683-IF('Control Room'!$B$5="Normal",'Control Room'!$B$7,('Control Room'!$B$8+'Control Room'!$D$8)/2))+SQRT(1-'Control Room'!$B$9^2)*(AC684-IF('Control Room'!$B$5="Normal",'Control Room'!$B$7,('Control Room'!$B$8+'Control Room'!$D$8)/2))</x:f>
        <x:v>1030.9146159858653</x:v>
      </x:c>
      <x:c r="AE684" s="17" t="n">
        <x:f>IF(AND($A684&gt;='Control Room'!$A$13,$A684&lt;'Control Room'!$A$13+'Control Room'!$B$13,'Process'!BP2=1),1+('Control Room'!$C$13-1)*EXP(-0.5*(($A684-'Control Room'!$A$13-('Control Room'!$B$13-1)/2)/MAX(0.5,'Control Room'!$B$13/4))^2),1)*IF(AND($A684&gt;='Control Room'!$A$14,$A684&lt;'Control Room'!$A$14+'Control Room'!$B$14,'Process'!BP3=1),1+('Control Room'!$C$14-1)*EXP(-0.5*(($A684-'Control Room'!$A$14-('Control Room'!$B$14-1)/2)/MAX(0.5,'Control Room'!$B$14/4))^2),1)*IF(AND($A684&gt;='Control Room'!$A$15,$A684&lt;'Control Room'!$A$15+'Control Room'!$B$15,'Process'!BP4=1),1+('Control Room'!$C$15-1)*EXP(-0.5*(($A684-'Control Room'!$A$15-('Control Room'!$B$15-1)/2)/MAX(0.5,'Control Room'!$B$15/4))^2),1)*IF(AND($A684&gt;='Control Room'!$A$16,$A684&lt;'Control Room'!$A$16+'Control Room'!$B$16,'Process'!BP5=1),1+('Control Room'!$C$16-1)*EXP(-0.5*(($A684-'Control Room'!$A$16-('Control Room'!$B$16-1)/2)/MAX(0.5,'Control Room'!$B$16/4))^2),1)</x:f>
        <x:v>1</x:v>
      </x:c>
      <x:c r="AF684" s="9" t="n">
        <x:f>MOD(AG683*16807,2147483647)</x:f>
        <x:v>536072661</x:v>
      </x:c>
      <x:c r="AG684" s="9" t="n">
        <x:f>MOD(AF684*16807,2147483647)</x:f>
        <x:v>1079314262</x:v>
      </x:c>
      <x:c r="AH684" s="17" t="n">
        <x:f>IF('Control Room'!$B$5="Normal",'Control Room'!$B$7+'Control Room'!$D$7*SQRT(-2*LN(MAX(0.000000000001,AF684/2147483647)))*COS(2*PI()*AG684/2147483647),'Control Room'!$B$8+('Control Room'!$D$8-'Control Room'!$B$8)*AF684/2147483647)</x:f>
        <x:v>850.079694579918</x:v>
      </x:c>
      <x:c r="AI684" s="17" t="n">
        <x:f>IF('Control Room'!$B$5="Normal",'Control Room'!$B$7,('Control Room'!$B$8+'Control Room'!$D$8)/2)+'Control Room'!$B$9*(AI683-IF('Control Room'!$B$5="Normal",'Control Room'!$B$7,('Control Room'!$B$8+'Control Room'!$D$8)/2))+SQRT(1-'Control Room'!$B$9^2)*(AH684-IF('Control Room'!$B$5="Normal",'Control Room'!$B$7,('Control Room'!$B$8+'Control Room'!$D$8)/2))</x:f>
        <x:v>1049.164552683472</x:v>
      </x:c>
      <x:c r="AJ684" s="17" t="n">
        <x:f>IF(AND($A684&gt;='Control Room'!$A$13,$A684&lt;'Control Room'!$A$13+'Control Room'!$B$13,'Process'!BQ2=1),1+('Control Room'!$C$13-1)*EXP(-0.5*(($A684-'Control Room'!$A$13-('Control Room'!$B$13-1)/2)/MAX(0.5,'Control Room'!$B$13/4))^2),1)*IF(AND($A684&gt;='Control Room'!$A$14,$A684&lt;'Control Room'!$A$14+'Control Room'!$B$14,'Process'!BQ3=1),1+('Control Room'!$C$14-1)*EXP(-0.5*(($A684-'Control Room'!$A$14-('Control Room'!$B$14-1)/2)/MAX(0.5,'Control Room'!$B$14/4))^2),1)*IF(AND($A684&gt;='Control Room'!$A$15,$A684&lt;'Control Room'!$A$15+'Control Room'!$B$15,'Process'!BQ4=1),1+('Control Room'!$C$15-1)*EXP(-0.5*(($A684-'Control Room'!$A$15-('Control Room'!$B$15-1)/2)/MAX(0.5,'Control Room'!$B$15/4))^2),1)*IF(AND($A684&gt;='Control Room'!$A$16,$A684&lt;'Control Room'!$A$16+'Control Room'!$B$16,'Process'!BQ5=1),1+('Control Room'!$C$16-1)*EXP(-0.5*(($A684-'Control Room'!$A$16-('Control Room'!$B$16-1)/2)/MAX(0.5,'Control Room'!$B$16/4))^2),1)</x:f>
        <x:v>1</x:v>
      </x:c>
      <x:c r="AK684" s="9" t="n">
        <x:f>MOD(AL683*16807,2147483647)</x:f>
        <x:v>1945973673</x:v>
      </x:c>
      <x:c r="AL684" s="9" t="n">
        <x:f>MOD(AK684*16807,2147483647)</x:f>
        <x:v>1951061948</x:v>
      </x:c>
      <x:c r="AM684" s="17" t="n">
        <x:f>IF('Control Room'!$B$5="Normal",'Control Room'!$B$7+'Control Room'!$D$7*SQRT(-2*LN(MAX(0.000000000001,AK684/2147483647)))*COS(2*PI()*AL684/2147483647),'Control Room'!$B$8+('Control Room'!$D$8-'Control Room'!$B$8)*AK684/2147483647)</x:f>
        <x:v>1033.5349587957007</x:v>
      </x:c>
      <x:c r="AN684" s="17" t="n">
        <x:f>IF('Control Room'!$B$5="Normal",'Control Room'!$B$7,('Control Room'!$B$8+'Control Room'!$D$8)/2)+'Control Room'!$B$9*(AN683-IF('Control Room'!$B$5="Normal",'Control Room'!$B$7,('Control Room'!$B$8+'Control Room'!$D$8)/2))+SQRT(1-'Control Room'!$B$9^2)*(AM684-IF('Control Room'!$B$5="Normal",'Control Room'!$B$7,('Control Room'!$B$8+'Control Room'!$D$8)/2))</x:f>
        <x:v>1059.3439413012047</x:v>
      </x:c>
      <x:c r="AO684" s="17" t="n">
        <x:f>IF(AND($A684&gt;='Control Room'!$A$13,$A684&lt;'Control Room'!$A$13+'Control Room'!$B$13,'Process'!BR2=1),1+('Control Room'!$C$13-1)*EXP(-0.5*(($A684-'Control Room'!$A$13-('Control Room'!$B$13-1)/2)/MAX(0.5,'Control Room'!$B$13/4))^2),1)*IF(AND($A684&gt;='Control Room'!$A$14,$A684&lt;'Control Room'!$A$14+'Control Room'!$B$14,'Process'!BR3=1),1+('Control Room'!$C$14-1)*EXP(-0.5*(($A684-'Control Room'!$A$14-('Control Room'!$B$14-1)/2)/MAX(0.5,'Control Room'!$B$14/4))^2),1)*IF(AND($A684&gt;='Control Room'!$A$15,$A684&lt;'Control Room'!$A$15+'Control Room'!$B$15,'Process'!BR4=1),1+('Control Room'!$C$15-1)*EXP(-0.5*(($A684-'Control Room'!$A$15-('Control Room'!$B$15-1)/2)/MAX(0.5,'Control Room'!$B$15/4))^2),1)*IF(AND($A684&gt;='Control Room'!$A$16,$A684&lt;'Control Room'!$A$16+'Control Room'!$B$16,'Process'!BR5=1),1+('Control Room'!$C$16-1)*EXP(-0.5*(($A684-'Control Room'!$A$16-('Control Room'!$B$16-1)/2)/MAX(0.5,'Control Room'!$B$16/4))^2),1)</x:f>
        <x:v>1</x:v>
      </x:c>
      <x:c r="AP684" s="9" t="n">
        <x:f>MOD(AQ683*16807,2147483647)</x:f>
        <x:v>1208391038</x:v>
      </x:c>
      <x:c r="AQ684" s="9" t="n">
        <x:f>MOD(AP684*16807,2147483647)</x:f>
        <x:v>675325987</x:v>
      </x:c>
      <x:c r="AR684" s="17" t="n">
        <x:f>IF('Control Room'!$B$5="Normal",'Control Room'!$B$7+'Control Room'!$D$7*SQRT(-2*LN(MAX(0.000000000001,AP684/2147483647)))*COS(2*PI()*AQ684/2147483647),'Control Room'!$B$8+('Control Room'!$D$8-'Control Room'!$B$8)*AP684/2147483647)</x:f>
        <x:v>961.9627516234416</x:v>
      </x:c>
      <x:c r="AS684" s="17" t="n">
        <x:f>IF('Control Room'!$B$5="Normal",'Control Room'!$B$7,('Control Room'!$B$8+'Control Room'!$D$8)/2)+'Control Room'!$B$9*(AS683-IF('Control Room'!$B$5="Normal",'Control Room'!$B$7,('Control Room'!$B$8+'Control Room'!$D$8)/2))+SQRT(1-'Control Room'!$B$9^2)*(AR684-IF('Control Room'!$B$5="Normal",'Control Room'!$B$7,('Control Room'!$B$8+'Control Room'!$D$8)/2))</x:f>
        <x:v>1088.7440504126776</x:v>
      </x:c>
      <x:c r="AT684" s="17" t="n">
        <x:f>IF(AND($A684&gt;='Control Room'!$A$13,$A684&lt;'Control Room'!$A$13+'Control Room'!$B$13,'Process'!BS2=1),1+('Control Room'!$C$13-1)*EXP(-0.5*(($A684-'Control Room'!$A$13-('Control Room'!$B$13-1)/2)/MAX(0.5,'Control Room'!$B$13/4))^2),1)*IF(AND($A684&gt;='Control Room'!$A$14,$A684&lt;'Control Room'!$A$14+'Control Room'!$B$14,'Process'!BS3=1),1+('Control Room'!$C$14-1)*EXP(-0.5*(($A684-'Control Room'!$A$14-('Control Room'!$B$14-1)/2)/MAX(0.5,'Control Room'!$B$14/4))^2),1)*IF(AND($A684&gt;='Control Room'!$A$15,$A684&lt;'Control Room'!$A$15+'Control Room'!$B$15,'Process'!BS4=1),1+('Control Room'!$C$15-1)*EXP(-0.5*(($A684-'Control Room'!$A$15-('Control Room'!$B$15-1)/2)/MAX(0.5,'Control Room'!$B$15/4))^2),1)*IF(AND($A684&gt;='Control Room'!$A$16,$A684&lt;'Control Room'!$A$16+'Control Room'!$B$16,'Process'!BS5=1),1+('Control Room'!$C$16-1)*EXP(-0.5*(($A684-'Control Room'!$A$16-('Control Room'!$B$16-1)/2)/MAX(0.5,'Control Room'!$B$16/4))^2),1)</x:f>
        <x:v>1</x:v>
      </x:c>
      <x:c r="AU684" s="9" t="n">
        <x:f>MOD(AV683*16807,2147483647)</x:f>
        <x:v>470808403</x:v>
      </x:c>
      <x:c r="AV684" s="9" t="n">
        <x:f>MOD(AU684*16807,2147483647)</x:f>
        <x:v>1547073673</x:v>
      </x:c>
      <x:c r="AW684" s="17" t="n">
        <x:f>IF('Control Room'!$B$5="Normal",'Control Room'!$B$7+'Control Room'!$D$7*SQRT(-2*LN(MAX(0.000000000001,AU684/2147483647)))*COS(2*PI()*AV684/2147483647),'Control Room'!$B$8+('Control Room'!$D$8-'Control Room'!$B$8)*AU684/2147483647)</x:f>
        <x:v>971.0183827209967</x:v>
      </x:c>
      <x:c r="AX684" s="17" t="n">
        <x:f>IF('Control Room'!$B$5="Normal",'Control Room'!$B$7,('Control Room'!$B$8+'Control Room'!$D$8)/2)+'Control Room'!$B$9*(AX683-IF('Control Room'!$B$5="Normal",'Control Room'!$B$7,('Control Room'!$B$8+'Control Room'!$D$8)/2))+SQRT(1-'Control Room'!$B$9^2)*(AW684-IF('Control Room'!$B$5="Normal",'Control Room'!$B$7,('Control Room'!$B$8+'Control Room'!$D$8)/2))</x:f>
        <x:v>964.0444571366997</x:v>
      </x:c>
      <x:c r="AY684" s="17" t="n">
        <x:f>IF(AND($A684&gt;='Control Room'!$A$13,$A684&lt;'Control Room'!$A$13+'Control Room'!$B$13,'Process'!BT2=1),1+('Control Room'!$C$13-1)*EXP(-0.5*(($A684-'Control Room'!$A$13-('Control Room'!$B$13-1)/2)/MAX(0.5,'Control Room'!$B$13/4))^2),1)*IF(AND($A684&gt;='Control Room'!$A$14,$A684&lt;'Control Room'!$A$14+'Control Room'!$B$14,'Process'!BT3=1),1+('Control Room'!$C$14-1)*EXP(-0.5*(($A684-'Control Room'!$A$14-('Control Room'!$B$14-1)/2)/MAX(0.5,'Control Room'!$B$14/4))^2),1)*IF(AND($A684&gt;='Control Room'!$A$15,$A684&lt;'Control Room'!$A$15+'Control Room'!$B$15,'Process'!BT4=1),1+('Control Room'!$C$15-1)*EXP(-0.5*(($A684-'Control Room'!$A$15-('Control Room'!$B$15-1)/2)/MAX(0.5,'Control Room'!$B$15/4))^2),1)*IF(AND($A684&gt;='Control Room'!$A$16,$A684&lt;'Control Room'!$A$16+'Control Room'!$B$16,'Process'!BT5=1),1+('Control Room'!$C$16-1)*EXP(-0.5*(($A684-'Control Room'!$A$16-('Control Room'!$B$16-1)/2)/MAX(0.5,'Control Room'!$B$16/4))^2),1)</x:f>
        <x:v>1</x:v>
      </x:c>
      <x:c r="AZ684" s="9" t="n">
        <x:f>MOD(BA683*16807,2147483647)</x:f>
        <x:v>1880709415</x:v>
      </x:c>
      <x:c r="BA684" s="9" t="n">
        <x:f>MOD(AZ684*16807,2147483647)</x:f>
        <x:v>271337712</x:v>
      </x:c>
      <x:c r="BB684" s="17" t="n">
        <x:f>IF('Control Room'!$B$5="Normal",'Control Room'!$B$7+'Control Room'!$D$7*SQRT(-2*LN(MAX(0.000000000001,AZ684/2147483647)))*COS(2*PI()*BA684/2147483647),'Control Room'!$B$8+('Control Room'!$D$8-'Control Room'!$B$8)*AZ684/2147483647)</x:f>
        <x:v>1032.4992294610713</x:v>
      </x:c>
      <x:c r="BC684" s="17" t="n">
        <x:f>IF('Control Room'!$B$5="Normal",'Control Room'!$B$7,('Control Room'!$B$8+'Control Room'!$D$8)/2)+'Control Room'!$B$9*(BC683-IF('Control Room'!$B$5="Normal",'Control Room'!$B$7,('Control Room'!$B$8+'Control Room'!$D$8)/2))+SQRT(1-'Control Room'!$B$9^2)*(BB684-IF('Control Room'!$B$5="Normal",'Control Room'!$B$7,('Control Room'!$B$8+'Control Room'!$D$8)/2))</x:f>
        <x:v>974.1336173124039</x:v>
      </x:c>
      <x:c r="BD684" s="17" t="n">
        <x:f>IF(AND($A684&gt;='Control Room'!$A$13,$A684&lt;'Control Room'!$A$13+'Control Room'!$B$13,'Process'!BU2=1),1+('Control Room'!$C$13-1)*EXP(-0.5*(($A684-'Control Room'!$A$13-('Control Room'!$B$13-1)/2)/MAX(0.5,'Control Room'!$B$13/4))^2),1)*IF(AND($A684&gt;='Control Room'!$A$14,$A684&lt;'Control Room'!$A$14+'Control Room'!$B$14,'Process'!BU3=1),1+('Control Room'!$C$14-1)*EXP(-0.5*(($A684-'Control Room'!$A$14-('Control Room'!$B$14-1)/2)/MAX(0.5,'Control Room'!$B$14/4))^2),1)*IF(AND($A684&gt;='Control Room'!$A$15,$A684&lt;'Control Room'!$A$15+'Control Room'!$B$15,'Process'!BU4=1),1+('Control Room'!$C$15-1)*EXP(-0.5*(($A684-'Control Room'!$A$15-('Control Room'!$B$15-1)/2)/MAX(0.5,'Control Room'!$B$15/4))^2),1)*IF(AND($A684&gt;='Control Room'!$A$16,$A684&lt;'Control Room'!$A$16+'Control Room'!$B$16,'Process'!BU5=1),1+('Control Room'!$C$16-1)*EXP(-0.5*(($A684-'Control Room'!$A$16-('Control Room'!$B$16-1)/2)/MAX(0.5,'Control Room'!$B$16/4))^2),1)</x:f>
        <x:v>1</x:v>
      </x:c>
      <x:c r="BE684" s="9" t="n">
        <x:f>MOD(BF683*16807,2147483647)</x:f>
        <x:v>1143126780</x:v>
      </x:c>
      <x:c r="BF684" s="9" t="n">
        <x:f>MOD(BE684*16807,2147483647)</x:f>
        <x:v>1143085398</x:v>
      </x:c>
      <x:c r="BG684" s="17" t="n">
        <x:f>IF('Control Room'!$B$5="Normal",'Control Room'!$B$7+'Control Room'!$D$7*SQRT(-2*LN(MAX(0.000000000001,BE684/2147483647)))*COS(2*PI()*BF684/2147483647),'Control Room'!$B$8+('Control Room'!$D$8-'Control Room'!$B$8)*BE684/2147483647)</x:f>
        <x:v>901.0058227619488</x:v>
      </x:c>
      <x:c r="BH684" s="17" t="n">
        <x:f>IF('Control Room'!$B$5="Normal",'Control Room'!$B$7,('Control Room'!$B$8+'Control Room'!$D$8)/2)+'Control Room'!$B$9*(BH683-IF('Control Room'!$B$5="Normal",'Control Room'!$B$7,('Control Room'!$B$8+'Control Room'!$D$8)/2))+SQRT(1-'Control Room'!$B$9^2)*(BG684-IF('Control Room'!$B$5="Normal",'Control Room'!$B$7,('Control Room'!$B$8+'Control Room'!$D$8)/2))</x:f>
        <x:v>839.4372369790402</x:v>
      </x:c>
      <x:c r="BI684" s="17" t="n">
        <x:f>IF(AND($A684&gt;='Control Room'!$A$13,$A684&lt;'Control Room'!$A$13+'Control Room'!$B$13,'Process'!BV2=1),1+('Control Room'!$C$13-1)*EXP(-0.5*(($A684-'Control Room'!$A$13-('Control Room'!$B$13-1)/2)/MAX(0.5,'Control Room'!$B$13/4))^2),1)*IF(AND($A684&gt;='Control Room'!$A$14,$A684&lt;'Control Room'!$A$14+'Control Room'!$B$14,'Process'!BV3=1),1+('Control Room'!$C$14-1)*EXP(-0.5*(($A684-'Control Room'!$A$14-('Control Room'!$B$14-1)/2)/MAX(0.5,'Control Room'!$B$14/4))^2),1)*IF(AND($A684&gt;='Control Room'!$A$15,$A684&lt;'Control Room'!$A$15+'Control Room'!$B$15,'Process'!BV4=1),1+('Control Room'!$C$15-1)*EXP(-0.5*(($A684-'Control Room'!$A$15-('Control Room'!$B$15-1)/2)/MAX(0.5,'Control Room'!$B$15/4))^2),1)*IF(AND($A684&gt;='Control Room'!$A$16,$A684&lt;'Control Room'!$A$16+'Control Room'!$B$16,'Process'!BV5=1),1+('Control Room'!$C$16-1)*EXP(-0.5*(($A684-'Control Room'!$A$16-('Control Room'!$B$16-1)/2)/MAX(0.5,'Control Room'!$B$16/4))^2),1)</x:f>
        <x:v>1</x:v>
      </x:c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Z684" t="str">
        <x:f>IF('Data'!A684="","",TEXT('Data'!A684,"mm-dd"))</x:f>
      </x:c>
    </x:row>
    <x:row r="685" ht="21" customHeight="1">
      <x:c r="A685" s="15" t="n">
        <x:f>'Control Room'!$B$1+683</x:f>
        <x:v>73674</x:v>
      </x:c>
      <x:c r="B685" s="9" t="n">
        <x:f>MOD(C684*16807,2147483647)</x:f>
        <x:v>850857205</x:v>
      </x:c>
      <x:c r="C685" s="9" t="n">
        <x:f>MOD(B685*16807,2147483647)</x:f>
        <x:v>263439062</x:v>
      </x:c>
      <x:c r="D685" s="17" t="n">
        <x:f>IF('Control Room'!$B$5="Normal",'Control Room'!$B$7+'Control Room'!$D$7*SQRT(-2*LN(MAX(0.000000000001,B685/2147483647)))*COS(2*PI()*C685/2147483647),'Control Room'!$B$8+('Control Room'!$D$8-'Control Room'!$B$8)*B685/2147483647)</x:f>
        <x:v>1087.853643979653</x:v>
      </x:c>
      <x:c r="E685" s="17" t="n">
        <x:f>IF('Control Room'!$B$5="Normal",'Control Room'!$B$7,('Control Room'!$B$8+'Control Room'!$D$8)/2)+'Control Room'!$B$9*(E684-IF('Control Room'!$B$5="Normal",'Control Room'!$B$7,('Control Room'!$B$8+'Control Room'!$D$8)/2))+SQRT(1-'Control Room'!$B$9^2)*(D685-IF('Control Room'!$B$5="Normal",'Control Room'!$B$7,('Control Room'!$B$8+'Control Room'!$D$8)/2))</x:f>
        <x:v>1107.655097400665</x:v>
      </x:c>
      <x:c r="F685" s="17" t="n">
        <x:f>IF(AND($A685&gt;='Control Room'!$A$13,$A685&lt;'Control Room'!$A$13+'Control Room'!$B$13,'Process'!BK2=1),1+('Control Room'!$C$13-1)*EXP(-0.5*(($A685-'Control Room'!$A$13-('Control Room'!$B$13-1)/2)/MAX(0.5,'Control Room'!$B$13/4))^2),1)*IF(AND($A685&gt;='Control Room'!$A$14,$A685&lt;'Control Room'!$A$14+'Control Room'!$B$14,'Process'!BK3=1),1+('Control Room'!$C$14-1)*EXP(-0.5*(($A685-'Control Room'!$A$14-('Control Room'!$B$14-1)/2)/MAX(0.5,'Control Room'!$B$14/4))^2),1)*IF(AND($A685&gt;='Control Room'!$A$15,$A685&lt;'Control Room'!$A$15+'Control Room'!$B$15,'Process'!BK4=1),1+('Control Room'!$C$15-1)*EXP(-0.5*(($A685-'Control Room'!$A$15-('Control Room'!$B$15-1)/2)/MAX(0.5,'Control Room'!$B$15/4))^2),1)*IF(AND($A685&gt;='Control Room'!$A$16,$A685&lt;'Control Room'!$A$16+'Control Room'!$B$16,'Process'!BK5=1),1+('Control Room'!$C$16-1)*EXP(-0.5*(($A685-'Control Room'!$A$16-('Control Room'!$B$16-1)/2)/MAX(0.5,'Control Room'!$B$16/4))^2),1)</x:f>
        <x:v>1</x:v>
      </x:c>
      <x:c r="G685" s="9" t="n">
        <x:f>MOD(H684*16807,2147483647)</x:f>
        <x:v>33292326</x:v>
      </x:c>
      <x:c r="H685" s="9" t="n">
        <x:f>MOD(G685*16807,2147483647)</x:f>
        <x:v>1198374862</x:v>
      </x:c>
      <x:c r="I685" s="17" t="n">
        <x:f>IF('Control Room'!$B$5="Normal",'Control Room'!$B$7+'Control Room'!$D$7*SQRT(-2*LN(MAX(0.000000000001,G685/2147483647)))*COS(2*PI()*H685/2147483647),'Control Room'!$B$8+('Control Room'!$D$8-'Control Room'!$B$8)*G685/2147483647)</x:f>
        <x:v>757.2739238465111</x:v>
      </x:c>
      <x:c r="J685" s="17" t="n">
        <x:f>IF('Control Room'!$B$5="Normal",'Control Room'!$B$7,('Control Room'!$B$8+'Control Room'!$D$8)/2)+'Control Room'!$B$9*(J684-IF('Control Room'!$B$5="Normal",'Control Room'!$B$7,('Control Room'!$B$8+'Control Room'!$D$8)/2))+SQRT(1-'Control Room'!$B$9^2)*(I685-IF('Control Room'!$B$5="Normal",'Control Room'!$B$7,('Control Room'!$B$8+'Control Room'!$D$8)/2))</x:f>
        <x:v>871.3423142441541</x:v>
      </x:c>
      <x:c r="K685" s="17" t="n">
        <x:f>IF(AND($A685&gt;='Control Room'!$A$13,$A685&lt;'Control Room'!$A$13+'Control Room'!$B$13,'Process'!BL2=1),1+('Control Room'!$C$13-1)*EXP(-0.5*(($A685-'Control Room'!$A$13-('Control Room'!$B$13-1)/2)/MAX(0.5,'Control Room'!$B$13/4))^2),1)*IF(AND($A685&gt;='Control Room'!$A$14,$A685&lt;'Control Room'!$A$14+'Control Room'!$B$14,'Process'!BL3=1),1+('Control Room'!$C$14-1)*EXP(-0.5*(($A685-'Control Room'!$A$14-('Control Room'!$B$14-1)/2)/MAX(0.5,'Control Room'!$B$14/4))^2),1)*IF(AND($A685&gt;='Control Room'!$A$15,$A685&lt;'Control Room'!$A$15+'Control Room'!$B$15,'Process'!BL4=1),1+('Control Room'!$C$15-1)*EXP(-0.5*(($A685-'Control Room'!$A$15-('Control Room'!$B$15-1)/2)/MAX(0.5,'Control Room'!$B$15/4))^2),1)*IF(AND($A685&gt;='Control Room'!$A$16,$A685&lt;'Control Room'!$A$16+'Control Room'!$B$16,'Process'!BL5=1),1+('Control Room'!$C$16-1)*EXP(-0.5*(($A685-'Control Room'!$A$16-('Control Room'!$B$16-1)/2)/MAX(0.5,'Control Room'!$B$16/4))^2),1)</x:f>
        <x:v>1</x:v>
      </x:c>
      <x:c r="L685" s="9" t="n">
        <x:f>MOD(M684*16807,2147483647)</x:f>
        <x:v>1363211094</x:v>
      </x:c>
      <x:c r="M685" s="9" t="n">
        <x:f>MOD(L685*16807,2147483647)</x:f>
        <x:v>2133310662</x:v>
      </x:c>
      <x:c r="N685" s="17" t="n">
        <x:f>IF('Control Room'!$B$5="Normal",'Control Room'!$B$7+'Control Room'!$D$7*SQRT(-2*LN(MAX(0.000000000001,L685/2147483647)))*COS(2*PI()*M685/2147483647),'Control Room'!$B$8+('Control Room'!$D$8-'Control Room'!$B$8)*L685/2147483647)</x:f>
        <x:v>1085.7292138284338</x:v>
      </x:c>
      <x:c r="O685" s="17" t="n">
        <x:f>IF('Control Room'!$B$5="Normal",'Control Room'!$B$7,('Control Room'!$B$8+'Control Room'!$D$8)/2)+'Control Room'!$B$9*(O684-IF('Control Room'!$B$5="Normal",'Control Room'!$B$7,('Control Room'!$B$8+'Control Room'!$D$8)/2))+SQRT(1-'Control Room'!$B$9^2)*(N685-IF('Control Room'!$B$5="Normal",'Control Room'!$B$7,('Control Room'!$B$8+'Control Room'!$D$8)/2))</x:f>
        <x:v>1150.5814634147262</x:v>
      </x:c>
      <x:c r="P685" s="17" t="n">
        <x:f>IF(AND($A685&gt;='Control Room'!$A$13,$A685&lt;'Control Room'!$A$13+'Control Room'!$B$13,'Process'!BM2=1),1+('Control Room'!$C$13-1)*EXP(-0.5*(($A685-'Control Room'!$A$13-('Control Room'!$B$13-1)/2)/MAX(0.5,'Control Room'!$B$13/4))^2),1)*IF(AND($A685&gt;='Control Room'!$A$14,$A685&lt;'Control Room'!$A$14+'Control Room'!$B$14,'Process'!BM3=1),1+('Control Room'!$C$14-1)*EXP(-0.5*(($A685-'Control Room'!$A$14-('Control Room'!$B$14-1)/2)/MAX(0.5,'Control Room'!$B$14/4))^2),1)*IF(AND($A685&gt;='Control Room'!$A$15,$A685&lt;'Control Room'!$A$15+'Control Room'!$B$15,'Process'!BM4=1),1+('Control Room'!$C$15-1)*EXP(-0.5*(($A685-'Control Room'!$A$15-('Control Room'!$B$15-1)/2)/MAX(0.5,'Control Room'!$B$15/4))^2),1)*IF(AND($A685&gt;='Control Room'!$A$16,$A685&lt;'Control Room'!$A$16+'Control Room'!$B$16,'Process'!BM5=1),1+('Control Room'!$C$16-1)*EXP(-0.5*(($A685-'Control Room'!$A$16-('Control Room'!$B$16-1)/2)/MAX(0.5,'Control Room'!$B$16/4))^2),1)</x:f>
        <x:v>1</x:v>
      </x:c>
      <x:c r="Q685" s="9" t="n">
        <x:f>MOD(R684*16807,2147483647)</x:f>
        <x:v>545646215</x:v>
      </x:c>
      <x:c r="R685" s="9" t="n">
        <x:f>MOD(Q685*16807,2147483647)</x:f>
        <x:v>920762815</x:v>
      </x:c>
      <x:c r="S685" s="17" t="n">
        <x:f>IF('Control Room'!$B$5="Normal",'Control Room'!$B$7+'Control Room'!$D$7*SQRT(-2*LN(MAX(0.000000000001,Q685/2147483647)))*COS(2*PI()*R685/2147483647),'Control Room'!$B$8+('Control Room'!$D$8-'Control Room'!$B$8)*Q685/2147483647)</x:f>
        <x:v>865.6948736107062</x:v>
      </x:c>
      <x:c r="T685" s="17" t="n">
        <x:f>IF('Control Room'!$B$5="Normal",'Control Room'!$B$7,('Control Room'!$B$8+'Control Room'!$D$8)/2)+'Control Room'!$B$9*(T684-IF('Control Room'!$B$5="Normal",'Control Room'!$B$7,('Control Room'!$B$8+'Control Room'!$D$8)/2))+SQRT(1-'Control Room'!$B$9^2)*(S685-IF('Control Room'!$B$5="Normal",'Control Room'!$B$7,('Control Room'!$B$8+'Control Room'!$D$8)/2))</x:f>
        <x:v>830.9114070806249</x:v>
      </x:c>
      <x:c r="U685" s="17" t="n">
        <x:f>IF(AND($A685&gt;='Control Room'!$A$13,$A685&lt;'Control Room'!$A$13+'Control Room'!$B$13,'Process'!BN2=1),1+('Control Room'!$C$13-1)*EXP(-0.5*(($A685-'Control Room'!$A$13-('Control Room'!$B$13-1)/2)/MAX(0.5,'Control Room'!$B$13/4))^2),1)*IF(AND($A685&gt;='Control Room'!$A$14,$A685&lt;'Control Room'!$A$14+'Control Room'!$B$14,'Process'!BN3=1),1+('Control Room'!$C$14-1)*EXP(-0.5*(($A685-'Control Room'!$A$14-('Control Room'!$B$14-1)/2)/MAX(0.5,'Control Room'!$B$14/4))^2),1)*IF(AND($A685&gt;='Control Room'!$A$15,$A685&lt;'Control Room'!$A$15+'Control Room'!$B$15,'Process'!BN4=1),1+('Control Room'!$C$15-1)*EXP(-0.5*(($A685-'Control Room'!$A$15-('Control Room'!$B$15-1)/2)/MAX(0.5,'Control Room'!$B$15/4))^2),1)*IF(AND($A685&gt;='Control Room'!$A$16,$A685&lt;'Control Room'!$A$16+'Control Room'!$B$16,'Process'!BN5=1),1+('Control Room'!$C$16-1)*EXP(-0.5*(($A685-'Control Room'!$A$16-('Control Room'!$B$16-1)/2)/MAX(0.5,'Control Room'!$B$16/4))^2),1)</x:f>
        <x:v>1</x:v>
      </x:c>
      <x:c r="V685" s="9" t="n">
        <x:f>MOD(W684*16807,2147483647)</x:f>
        <x:v>1875564983</x:v>
      </x:c>
      <x:c r="W685" s="9" t="n">
        <x:f>MOD(V685*16807,2147483647)</x:f>
        <x:v>1855698615</x:v>
      </x:c>
      <x:c r="X685" s="17" t="n">
        <x:f>IF('Control Room'!$B$5="Normal",'Control Room'!$B$7+'Control Room'!$D$7*SQRT(-2*LN(MAX(0.000000000001,V685/2147483647)))*COS(2*PI()*W685/2147483647),'Control Room'!$B$8+('Control Room'!$D$8-'Control Room'!$B$8)*V685/2147483647)</x:f>
        <x:v>1030.7776148073408</x:v>
      </x:c>
      <x:c r="Y685" s="17" t="n">
        <x:f>IF('Control Room'!$B$5="Normal",'Control Room'!$B$7,('Control Room'!$B$8+'Control Room'!$D$8)/2)+'Control Room'!$B$9*(Y684-IF('Control Room'!$B$5="Normal",'Control Room'!$B$7,('Control Room'!$B$8+'Control Room'!$D$8)/2))+SQRT(1-'Control Room'!$B$9^2)*(X685-IF('Control Room'!$B$5="Normal",'Control Room'!$B$7,('Control Room'!$B$8+'Control Room'!$D$8)/2))</x:f>
        <x:v>1009.9849926211166</x:v>
      </x:c>
      <x:c r="Z685" s="17" t="n">
        <x:f>IF(AND($A685&gt;='Control Room'!$A$13,$A685&lt;'Control Room'!$A$13+'Control Room'!$B$13,'Process'!BO2=1),1+('Control Room'!$C$13-1)*EXP(-0.5*(($A685-'Control Room'!$A$13-('Control Room'!$B$13-1)/2)/MAX(0.5,'Control Room'!$B$13/4))^2),1)*IF(AND($A685&gt;='Control Room'!$A$14,$A685&lt;'Control Room'!$A$14+'Control Room'!$B$14,'Process'!BO3=1),1+('Control Room'!$C$14-1)*EXP(-0.5*(($A685-'Control Room'!$A$14-('Control Room'!$B$14-1)/2)/MAX(0.5,'Control Room'!$B$14/4))^2),1)*IF(AND($A685&gt;='Control Room'!$A$15,$A685&lt;'Control Room'!$A$15+'Control Room'!$B$15,'Process'!BO4=1),1+('Control Room'!$C$15-1)*EXP(-0.5*(($A685-'Control Room'!$A$15-('Control Room'!$B$15-1)/2)/MAX(0.5,'Control Room'!$B$15/4))^2),1)*IF(AND($A685&gt;='Control Room'!$A$16,$A685&lt;'Control Room'!$A$16+'Control Room'!$B$16,'Process'!BO5=1),1+('Control Room'!$C$16-1)*EXP(-0.5*(($A685-'Control Room'!$A$16-('Control Room'!$B$16-1)/2)/MAX(0.5,'Control Room'!$B$16/4))^2),1)</x:f>
        <x:v>1</x:v>
      </x:c>
      <x:c r="AA685" s="9" t="n">
        <x:f>MOD(AB684*16807,2147483647)</x:f>
        <x:v>1058000104</x:v>
      </x:c>
      <x:c r="AB685" s="9" t="n">
        <x:f>MOD(AA685*16807,2147483647)</x:f>
        <x:v>643150768</x:v>
      </x:c>
      <x:c r="AC685" s="17" t="n">
        <x:f>IF('Control Room'!$B$5="Normal",'Control Room'!$B$7+'Control Room'!$D$7*SQRT(-2*LN(MAX(0.000000000001,AA685/2147483647)))*COS(2*PI()*AB685/2147483647),'Control Room'!$B$8+('Control Room'!$D$8-'Control Room'!$B$8)*AA685/2147483647)</x:f>
        <x:v>967.2336737371669</x:v>
      </x:c>
      <x:c r="AD685" s="17" t="n">
        <x:f>IF('Control Room'!$B$5="Normal",'Control Room'!$B$7,('Control Room'!$B$8+'Control Room'!$D$8)/2)+'Control Room'!$B$9*(AD684-IF('Control Room'!$B$5="Normal",'Control Room'!$B$7,('Control Room'!$B$8+'Control Room'!$D$8)/2))+SQRT(1-'Control Room'!$B$9^2)*(AC685-IF('Control Room'!$B$5="Normal",'Control Room'!$B$7,('Control Room'!$B$8+'Control Room'!$D$8)/2))</x:f>
        <x:v>1003.6089047483734</x:v>
      </x:c>
      <x:c r="AE685" s="17" t="n">
        <x:f>IF(AND($A685&gt;='Control Room'!$A$13,$A685&lt;'Control Room'!$A$13+'Control Room'!$B$13,'Process'!BP2=1),1+('Control Room'!$C$13-1)*EXP(-0.5*(($A685-'Control Room'!$A$13-('Control Room'!$B$13-1)/2)/MAX(0.5,'Control Room'!$B$13/4))^2),1)*IF(AND($A685&gt;='Control Room'!$A$14,$A685&lt;'Control Room'!$A$14+'Control Room'!$B$14,'Process'!BP3=1),1+('Control Room'!$C$14-1)*EXP(-0.5*(($A685-'Control Room'!$A$14-('Control Room'!$B$14-1)/2)/MAX(0.5,'Control Room'!$B$14/4))^2),1)*IF(AND($A685&gt;='Control Room'!$A$15,$A685&lt;'Control Room'!$A$15+'Control Room'!$B$15,'Process'!BP4=1),1+('Control Room'!$C$15-1)*EXP(-0.5*(($A685-'Control Room'!$A$15-('Control Room'!$B$15-1)/2)/MAX(0.5,'Control Room'!$B$15/4))^2),1)*IF(AND($A685&gt;='Control Room'!$A$16,$A685&lt;'Control Room'!$A$16+'Control Room'!$B$16,'Process'!BP5=1),1+('Control Room'!$C$16-1)*EXP(-0.5*(($A685-'Control Room'!$A$16-('Control Room'!$B$16-1)/2)/MAX(0.5,'Control Room'!$B$16/4))^2),1)</x:f>
        <x:v>1</x:v>
      </x:c>
      <x:c r="AF685" s="9" t="n">
        <x:f>MOD(AG684*16807,2147483647)</x:f>
        <x:v>240435225</x:v>
      </x:c>
      <x:c r="AG685" s="9" t="n">
        <x:f>MOD(AF685*16807,2147483647)</x:f>
        <x:v>1578086568</x:v>
      </x:c>
      <x:c r="AH685" s="17" t="n">
        <x:f>IF('Control Room'!$B$5="Normal",'Control Room'!$B$7+'Control Room'!$D$7*SQRT(-2*LN(MAX(0.000000000001,AF685/2147483647)))*COS(2*PI()*AG685/2147483647),'Control Room'!$B$8+('Control Room'!$D$8-'Control Room'!$B$8)*AF685/2147483647)</x:f>
        <x:v>982.103537830592</x:v>
      </x:c>
      <x:c r="AI685" s="17" t="n">
        <x:f>IF('Control Room'!$B$5="Normal",'Control Room'!$B$7,('Control Room'!$B$8+'Control Room'!$D$8)/2)+'Control Room'!$B$9*(AI684-IF('Control Room'!$B$5="Normal",'Control Room'!$B$7,('Control Room'!$B$8+'Control Room'!$D$8)/2))+SQRT(1-'Control Room'!$B$9^2)*(AH685-IF('Control Room'!$B$5="Normal",'Control Room'!$B$7,('Control Room'!$B$8+'Control Room'!$D$8)/2))</x:f>
        <x:v>1027.1491116964482</x:v>
      </x:c>
      <x:c r="AJ685" s="17" t="n">
        <x:f>IF(AND($A685&gt;='Control Room'!$A$13,$A685&lt;'Control Room'!$A$13+'Control Room'!$B$13,'Process'!BQ2=1),1+('Control Room'!$C$13-1)*EXP(-0.5*(($A685-'Control Room'!$A$13-('Control Room'!$B$13-1)/2)/MAX(0.5,'Control Room'!$B$13/4))^2),1)*IF(AND($A685&gt;='Control Room'!$A$14,$A685&lt;'Control Room'!$A$14+'Control Room'!$B$14,'Process'!BQ3=1),1+('Control Room'!$C$14-1)*EXP(-0.5*(($A685-'Control Room'!$A$14-('Control Room'!$B$14-1)/2)/MAX(0.5,'Control Room'!$B$14/4))^2),1)*IF(AND($A685&gt;='Control Room'!$A$15,$A685&lt;'Control Room'!$A$15+'Control Room'!$B$15,'Process'!BQ4=1),1+('Control Room'!$C$15-1)*EXP(-0.5*(($A685-'Control Room'!$A$15-('Control Room'!$B$15-1)/2)/MAX(0.5,'Control Room'!$B$15/4))^2),1)*IF(AND($A685&gt;='Control Room'!$A$16,$A685&lt;'Control Room'!$A$16+'Control Room'!$B$16,'Process'!BQ5=1),1+('Control Room'!$C$16-1)*EXP(-0.5*(($A685-'Control Room'!$A$16-('Control Room'!$B$16-1)/2)/MAX(0.5,'Control Room'!$B$16/4))^2),1)</x:f>
        <x:v>1</x:v>
      </x:c>
      <x:c r="AK685" s="9" t="n">
        <x:f>MOD(AL684*16807,2147483647)</x:f>
        <x:v>1570353993</x:v>
      </x:c>
      <x:c r="AL685" s="9" t="n">
        <x:f>MOD(AK685*16807,2147483647)</x:f>
        <x:v>365538721</x:v>
      </x:c>
      <x:c r="AM685" s="17" t="n">
        <x:f>IF('Control Room'!$B$5="Normal",'Control Room'!$B$7+'Control Room'!$D$7*SQRT(-2*LN(MAX(0.000000000001,AK685/2147483647)))*COS(2*PI()*AL685/2147483647),'Control Room'!$B$8+('Control Room'!$D$8-'Control Room'!$B$8)*AK685/2147483647)</x:f>
        <x:v>1034.219348048258</x:v>
      </x:c>
      <x:c r="AN685" s="17" t="n">
        <x:f>IF('Control Room'!$B$5="Normal",'Control Room'!$B$7,('Control Room'!$B$8+'Control Room'!$D$8)/2)+'Control Room'!$B$9*(AN684-IF('Control Room'!$B$5="Normal",'Control Room'!$B$7,('Control Room'!$B$8+'Control Room'!$D$8)/2))+SQRT(1-'Control Room'!$B$9^2)*(AM685-IF('Control Room'!$B$5="Normal",'Control Room'!$B$7,('Control Room'!$B$8+'Control Room'!$D$8)/2))</x:f>
        <x:v>1067.702041202091</x:v>
      </x:c>
      <x:c r="AO685" s="17" t="n">
        <x:f>IF(AND($A685&gt;='Control Room'!$A$13,$A685&lt;'Control Room'!$A$13+'Control Room'!$B$13,'Process'!BR2=1),1+('Control Room'!$C$13-1)*EXP(-0.5*(($A685-'Control Room'!$A$13-('Control Room'!$B$13-1)/2)/MAX(0.5,'Control Room'!$B$13/4))^2),1)*IF(AND($A685&gt;='Control Room'!$A$14,$A685&lt;'Control Room'!$A$14+'Control Room'!$B$14,'Process'!BR3=1),1+('Control Room'!$C$14-1)*EXP(-0.5*(($A685-'Control Room'!$A$14-('Control Room'!$B$14-1)/2)/MAX(0.5,'Control Room'!$B$14/4))^2),1)*IF(AND($A685&gt;='Control Room'!$A$15,$A685&lt;'Control Room'!$A$15+'Control Room'!$B$15,'Process'!BR4=1),1+('Control Room'!$C$15-1)*EXP(-0.5*(($A685-'Control Room'!$A$15-('Control Room'!$B$15-1)/2)/MAX(0.5,'Control Room'!$B$15/4))^2),1)*IF(AND($A685&gt;='Control Room'!$A$16,$A685&lt;'Control Room'!$A$16+'Control Room'!$B$16,'Process'!BR5=1),1+('Control Room'!$C$16-1)*EXP(-0.5*(($A685-'Control Room'!$A$16-('Control Room'!$B$16-1)/2)/MAX(0.5,'Control Room'!$B$16/4))^2),1)</x:f>
        <x:v>1</x:v>
      </x:c>
      <x:c r="AP685" s="9" t="n">
        <x:f>MOD(AQ684*16807,2147483647)</x:f>
        <x:v>752789114</x:v>
      </x:c>
      <x:c r="AQ685" s="9" t="n">
        <x:f>MOD(AP685*16807,2147483647)</x:f>
        <x:v>1300474521</x:v>
      </x:c>
      <x:c r="AR685" s="17" t="n">
        <x:f>IF('Control Room'!$B$5="Normal",'Control Room'!$B$7+'Control Room'!$D$7*SQRT(-2*LN(MAX(0.000000000001,AP685/2147483647)))*COS(2*PI()*AQ685/2147483647),'Control Room'!$B$8+('Control Room'!$D$8-'Control Room'!$B$8)*AP685/2147483647)</x:f>
        <x:v>897.3232524135244</x:v>
      </x:c>
      <x:c r="AS685" s="17" t="n">
        <x:f>IF('Control Room'!$B$5="Normal",'Control Room'!$B$7,('Control Room'!$B$8+'Control Room'!$D$8)/2)+'Control Room'!$B$9*(AS684-IF('Control Room'!$B$5="Normal",'Control Room'!$B$7,('Control Room'!$B$8+'Control Room'!$D$8)/2))+SQRT(1-'Control Room'!$B$9^2)*(AR685-IF('Control Room'!$B$5="Normal",'Control Room'!$B$7,('Control Room'!$B$8+'Control Room'!$D$8)/2))</x:f>
        <x:v>1004.967354129779</x:v>
      </x:c>
      <x:c r="AT685" s="17" t="n">
        <x:f>IF(AND($A685&gt;='Control Room'!$A$13,$A685&lt;'Control Room'!$A$13+'Control Room'!$B$13,'Process'!BS2=1),1+('Control Room'!$C$13-1)*EXP(-0.5*(($A685-'Control Room'!$A$13-('Control Room'!$B$13-1)/2)/MAX(0.5,'Control Room'!$B$13/4))^2),1)*IF(AND($A685&gt;='Control Room'!$A$14,$A685&lt;'Control Room'!$A$14+'Control Room'!$B$14,'Process'!BS3=1),1+('Control Room'!$C$14-1)*EXP(-0.5*(($A685-'Control Room'!$A$14-('Control Room'!$B$14-1)/2)/MAX(0.5,'Control Room'!$B$14/4))^2),1)*IF(AND($A685&gt;='Control Room'!$A$15,$A685&lt;'Control Room'!$A$15+'Control Room'!$B$15,'Process'!BS4=1),1+('Control Room'!$C$15-1)*EXP(-0.5*(($A685-'Control Room'!$A$15-('Control Room'!$B$15-1)/2)/MAX(0.5,'Control Room'!$B$15/4))^2),1)*IF(AND($A685&gt;='Control Room'!$A$16,$A685&lt;'Control Room'!$A$16+'Control Room'!$B$16,'Process'!BS5=1),1+('Control Room'!$C$16-1)*EXP(-0.5*(($A685-'Control Room'!$A$16-('Control Room'!$B$16-1)/2)/MAX(0.5,'Control Room'!$B$16/4))^2),1)</x:f>
        <x:v>1</x:v>
      </x:c>
      <x:c r="AU685" s="9" t="n">
        <x:f>MOD(AV684*16807,2147483647)</x:f>
        <x:v>2082707882</x:v>
      </x:c>
      <x:c r="AV685" s="9" t="n">
        <x:f>MOD(AU685*16807,2147483647)</x:f>
        <x:v>87926674</x:v>
      </x:c>
      <x:c r="AW685" s="17" t="n">
        <x:f>IF('Control Room'!$B$5="Normal",'Control Room'!$B$7+'Control Room'!$D$7*SQRT(-2*LN(MAX(0.000000000001,AU685/2147483647)))*COS(2*PI()*AV685/2147483647),'Control Room'!$B$8+('Control Room'!$D$8-'Control Room'!$B$8)*AU685/2147483647)</x:f>
        <x:v>1021.5418539798973</x:v>
      </x:c>
      <x:c r="AX685" s="17" t="n">
        <x:f>IF('Control Room'!$B$5="Normal",'Control Room'!$B$7,('Control Room'!$B$8+'Control Room'!$D$8)/2)+'Control Room'!$B$9*(AX684-IF('Control Room'!$B$5="Normal",'Control Room'!$B$7,('Control Room'!$B$8+'Control Room'!$D$8)/2))+SQRT(1-'Control Room'!$B$9^2)*(AW685-IF('Control Room'!$B$5="Normal",'Control Room'!$B$7,('Control Room'!$B$8+'Control Room'!$D$8)/2))</x:f>
        <x:v>985.4351274783795</x:v>
      </x:c>
      <x:c r="AY685" s="17" t="n">
        <x:f>IF(AND($A685&gt;='Control Room'!$A$13,$A685&lt;'Control Room'!$A$13+'Control Room'!$B$13,'Process'!BT2=1),1+('Control Room'!$C$13-1)*EXP(-0.5*(($A685-'Control Room'!$A$13-('Control Room'!$B$13-1)/2)/MAX(0.5,'Control Room'!$B$13/4))^2),1)*IF(AND($A685&gt;='Control Room'!$A$14,$A685&lt;'Control Room'!$A$14+'Control Room'!$B$14,'Process'!BT3=1),1+('Control Room'!$C$14-1)*EXP(-0.5*(($A685-'Control Room'!$A$14-('Control Room'!$B$14-1)/2)/MAX(0.5,'Control Room'!$B$14/4))^2),1)*IF(AND($A685&gt;='Control Room'!$A$15,$A685&lt;'Control Room'!$A$15+'Control Room'!$B$15,'Process'!BT4=1),1+('Control Room'!$C$15-1)*EXP(-0.5*(($A685-'Control Room'!$A$15-('Control Room'!$B$15-1)/2)/MAX(0.5,'Control Room'!$B$15/4))^2),1)*IF(AND($A685&gt;='Control Room'!$A$16,$A685&lt;'Control Room'!$A$16+'Control Room'!$B$16,'Process'!BT5=1),1+('Control Room'!$C$16-1)*EXP(-0.5*(($A685-'Control Room'!$A$16-('Control Room'!$B$16-1)/2)/MAX(0.5,'Control Room'!$B$16/4))^2),1)</x:f>
        <x:v>1</x:v>
      </x:c>
      <x:c r="AZ685" s="9" t="n">
        <x:f>MOD(BA684*16807,2147483647)</x:f>
        <x:v>1265143003</x:v>
      </x:c>
      <x:c r="BA685" s="9" t="n">
        <x:f>MOD(AZ685*16807,2147483647)</x:f>
        <x:v>1022862474</x:v>
      </x:c>
      <x:c r="BB685" s="17" t="n">
        <x:f>IF('Control Room'!$B$5="Normal",'Control Room'!$B$7+'Control Room'!$D$7*SQRT(-2*LN(MAX(0.000000000001,AZ685/2147483647)))*COS(2*PI()*BA685/2147483647),'Control Room'!$B$8+('Control Room'!$D$8-'Control Room'!$B$8)*AZ685/2147483647)</x:f>
        <x:v>908.4409794539511</x:v>
      </x:c>
      <x:c r="BC685" s="17" t="n">
        <x:f>IF('Control Room'!$B$5="Normal",'Control Room'!$B$7,('Control Room'!$B$8+'Control Room'!$D$8)/2)+'Control Room'!$B$9*(BC684-IF('Control Room'!$B$5="Normal",'Control Room'!$B$7,('Control Room'!$B$8+'Control Room'!$D$8)/2))+SQRT(1-'Control Room'!$B$9^2)*(BB685-IF('Control Room'!$B$5="Normal",'Control Room'!$B$7,('Control Room'!$B$8+'Control Room'!$D$8)/2))</x:f>
        <x:v>922.5284621344463</x:v>
      </x:c>
      <x:c r="BD685" s="17" t="n">
        <x:f>IF(AND($A685&gt;='Control Room'!$A$13,$A685&lt;'Control Room'!$A$13+'Control Room'!$B$13,'Process'!BU2=1),1+('Control Room'!$C$13-1)*EXP(-0.5*(($A685-'Control Room'!$A$13-('Control Room'!$B$13-1)/2)/MAX(0.5,'Control Room'!$B$13/4))^2),1)*IF(AND($A685&gt;='Control Room'!$A$14,$A685&lt;'Control Room'!$A$14+'Control Room'!$B$14,'Process'!BU3=1),1+('Control Room'!$C$14-1)*EXP(-0.5*(($A685-'Control Room'!$A$14-('Control Room'!$B$14-1)/2)/MAX(0.5,'Control Room'!$B$14/4))^2),1)*IF(AND($A685&gt;='Control Room'!$A$15,$A685&lt;'Control Room'!$A$15+'Control Room'!$B$15,'Process'!BU4=1),1+('Control Room'!$C$15-1)*EXP(-0.5*(($A685-'Control Room'!$A$15-('Control Room'!$B$15-1)/2)/MAX(0.5,'Control Room'!$B$15/4))^2),1)*IF(AND($A685&gt;='Control Room'!$A$16,$A685&lt;'Control Room'!$A$16+'Control Room'!$B$16,'Process'!BU5=1),1+('Control Room'!$C$16-1)*EXP(-0.5*(($A685-'Control Room'!$A$16-('Control Room'!$B$16-1)/2)/MAX(0.5,'Control Room'!$B$16/4))^2),1)</x:f>
        <x:v>1</x:v>
      </x:c>
      <x:c r="BE685" s="9" t="n">
        <x:f>MOD(BF684*16807,2147483647)</x:f>
        <x:v>447578124</x:v>
      </x:c>
      <x:c r="BF685" s="9" t="n">
        <x:f>MOD(BE685*16807,2147483647)</x:f>
        <x:v>1957798274</x:v>
      </x:c>
      <x:c r="BG685" s="17" t="n">
        <x:f>IF('Control Room'!$B$5="Normal",'Control Room'!$B$7+'Control Room'!$D$7*SQRT(-2*LN(MAX(0.000000000001,BE685/2147483647)))*COS(2*PI()*BF685/2147483647),'Control Room'!$B$8+('Control Room'!$D$8-'Control Room'!$B$8)*BE685/2147483647)</x:f>
        <x:v>1135.4657669607357</x:v>
      </x:c>
      <x:c r="BH685" s="17" t="n">
        <x:f>IF('Control Room'!$B$5="Normal",'Control Room'!$B$7,('Control Room'!$B$8+'Control Room'!$D$8)/2)+'Control Room'!$B$9*(BH684-IF('Control Room'!$B$5="Normal",'Control Room'!$B$7,('Control Room'!$B$8+'Control Room'!$D$8)/2))+SQRT(1-'Control Room'!$B$9^2)*(BG685-IF('Control Room'!$B$5="Normal",'Control Room'!$B$7,('Control Room'!$B$8+'Control Room'!$D$8)/2))</x:f>
        <x:v>959.5327466405997</x:v>
      </x:c>
      <x:c r="BI685" s="17" t="n">
        <x:f>IF(AND($A685&gt;='Control Room'!$A$13,$A685&lt;'Control Room'!$A$13+'Control Room'!$B$13,'Process'!BV2=1),1+('Control Room'!$C$13-1)*EXP(-0.5*(($A685-'Control Room'!$A$13-('Control Room'!$B$13-1)/2)/MAX(0.5,'Control Room'!$B$13/4))^2),1)*IF(AND($A685&gt;='Control Room'!$A$14,$A685&lt;'Control Room'!$A$14+'Control Room'!$B$14,'Process'!BV3=1),1+('Control Room'!$C$14-1)*EXP(-0.5*(($A685-'Control Room'!$A$14-('Control Room'!$B$14-1)/2)/MAX(0.5,'Control Room'!$B$14/4))^2),1)*IF(AND($A685&gt;='Control Room'!$A$15,$A685&lt;'Control Room'!$A$15+'Control Room'!$B$15,'Process'!BV4=1),1+('Control Room'!$C$15-1)*EXP(-0.5*(($A685-'Control Room'!$A$15-('Control Room'!$B$15-1)/2)/MAX(0.5,'Control Room'!$B$15/4))^2),1)*IF(AND($A685&gt;='Control Room'!$A$16,$A685&lt;'Control Room'!$A$16+'Control Room'!$B$16,'Process'!BV5=1),1+('Control Room'!$C$16-1)*EXP(-0.5*(($A685-'Control Room'!$A$16-('Control Room'!$B$16-1)/2)/MAX(0.5,'Control Room'!$B$16/4))^2),1)</x:f>
        <x:v>1</x:v>
      </x:c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Z685" t="str">
        <x:f>IF('Data'!A685="","",TEXT('Data'!A685,"mm-dd"))</x:f>
      </x:c>
    </x:row>
    <x:row r="686" ht="21" customHeight="1">
      <x:c r="A686" s="15" t="n">
        <x:f>'Control Room'!$B$1+684</x:f>
        <x:v>73675</x:v>
      </x:c>
      <x:c r="B686" s="9" t="n">
        <x:f>MOD(C685*16807,2147483647)</x:f>
        <x:v>1656518567</x:v>
      </x:c>
      <x:c r="C686" s="9" t="n">
        <x:f>MOD(B686*16807,2147483647)</x:f>
        <x:v>1129555861</x:v>
      </x:c>
      <x:c r="D686" s="17" t="n">
        <x:f>IF('Control Room'!$B$5="Normal",'Control Room'!$B$7+'Control Room'!$D$7*SQRT(-2*LN(MAX(0.000000000001,B686/2147483647)))*COS(2*PI()*C686/2147483647),'Control Room'!$B$8+('Control Room'!$D$8-'Control Room'!$B$8)*B686/2147483647)</x:f>
        <x:v>936.0154382557581</x:v>
      </x:c>
      <x:c r="E686" s="17" t="n">
        <x:f>IF('Control Room'!$B$5="Normal",'Control Room'!$B$7,('Control Room'!$B$8+'Control Room'!$D$8)/2)+'Control Room'!$B$9*(E685-IF('Control Room'!$B$5="Normal",'Control Room'!$B$7,('Control Room'!$B$8+'Control Room'!$D$8)/2))+SQRT(1-'Control Room'!$B$9^2)*(D686-IF('Control Room'!$B$5="Normal",'Control Room'!$B$7,('Control Room'!$B$8+'Control Room'!$D$8)/2))</x:f>
        <x:v>1043.9307480279676</x:v>
      </x:c>
      <x:c r="F686" s="17" t="n">
        <x:f>IF(AND($A686&gt;='Control Room'!$A$13,$A686&lt;'Control Room'!$A$13+'Control Room'!$B$13,'Process'!BK2=1),1+('Control Room'!$C$13-1)*EXP(-0.5*(($A686-'Control Room'!$A$13-('Control Room'!$B$13-1)/2)/MAX(0.5,'Control Room'!$B$13/4))^2),1)*IF(AND($A686&gt;='Control Room'!$A$14,$A686&lt;'Control Room'!$A$14+'Control Room'!$B$14,'Process'!BK3=1),1+('Control Room'!$C$14-1)*EXP(-0.5*(($A686-'Control Room'!$A$14-('Control Room'!$B$14-1)/2)/MAX(0.5,'Control Room'!$B$14/4))^2),1)*IF(AND($A686&gt;='Control Room'!$A$15,$A686&lt;'Control Room'!$A$15+'Control Room'!$B$15,'Process'!BK4=1),1+('Control Room'!$C$15-1)*EXP(-0.5*(($A686-'Control Room'!$A$15-('Control Room'!$B$15-1)/2)/MAX(0.5,'Control Room'!$B$15/4))^2),1)*IF(AND($A686&gt;='Control Room'!$A$16,$A686&lt;'Control Room'!$A$16+'Control Room'!$B$16,'Process'!BK5=1),1+('Control Room'!$C$16-1)*EXP(-0.5*(($A686-'Control Room'!$A$16-('Control Room'!$B$16-1)/2)/MAX(0.5,'Control Room'!$B$16/4))^2),1)</x:f>
        <x:v>1</x:v>
      </x:c>
      <x:c r="G686" s="9" t="n">
        <x:f>MOD(H685*16807,2147483647)</x:f>
        <x:v>1984664068</x:v>
      </x:c>
      <x:c r="H686" s="9" t="n">
        <x:f>MOD(G686*16807,2147483647)</x:f>
        <x:v>1532985672</x:v>
      </x:c>
      <x:c r="I686" s="17" t="n">
        <x:f>IF('Control Room'!$B$5="Normal",'Control Room'!$B$7+'Control Room'!$D$7*SQRT(-2*LN(MAX(0.000000000001,G686/2147483647)))*COS(2*PI()*H686/2147483647),'Control Room'!$B$8+('Control Room'!$D$8-'Control Room'!$B$8)*G686/2147483647)</x:f>
        <x:v>991.9522736002896</x:v>
      </x:c>
      <x:c r="J686" s="17" t="n">
        <x:f>IF('Control Room'!$B$5="Normal",'Control Room'!$B$7,('Control Room'!$B$8+'Control Room'!$D$8)/2)+'Control Room'!$B$9*(J685-IF('Control Room'!$B$5="Normal",'Control Room'!$B$7,('Control Room'!$B$8+'Control Room'!$D$8)/2))+SQRT(1-'Control Room'!$B$9^2)*(I686-IF('Control Room'!$B$5="Normal",'Control Room'!$B$7,('Control Room'!$B$8+'Control Room'!$D$8)/2))</x:f>
        <x:v>894.610902796138</x:v>
      </x:c>
      <x:c r="K686" s="17" t="n">
        <x:f>IF(AND($A686&gt;='Control Room'!$A$13,$A686&lt;'Control Room'!$A$13+'Control Room'!$B$13,'Process'!BL2=1),1+('Control Room'!$C$13-1)*EXP(-0.5*(($A686-'Control Room'!$A$13-('Control Room'!$B$13-1)/2)/MAX(0.5,'Control Room'!$B$13/4))^2),1)*IF(AND($A686&gt;='Control Room'!$A$14,$A686&lt;'Control Room'!$A$14+'Control Room'!$B$14,'Process'!BL3=1),1+('Control Room'!$C$14-1)*EXP(-0.5*(($A686-'Control Room'!$A$14-('Control Room'!$B$14-1)/2)/MAX(0.5,'Control Room'!$B$14/4))^2),1)*IF(AND($A686&gt;='Control Room'!$A$15,$A686&lt;'Control Room'!$A$15+'Control Room'!$B$15,'Process'!BL4=1),1+('Control Room'!$C$15-1)*EXP(-0.5*(($A686-'Control Room'!$A$15-('Control Room'!$B$15-1)/2)/MAX(0.5,'Control Room'!$B$15/4))^2),1)*IF(AND($A686&gt;='Control Room'!$A$16,$A686&lt;'Control Room'!$A$16+'Control Room'!$B$16,'Process'!BL5=1),1+('Control Room'!$C$16-1)*EXP(-0.5*(($A686-'Control Room'!$A$16-('Control Room'!$B$16-1)/2)/MAX(0.5,'Control Room'!$B$16/4))^2),1)</x:f>
        <x:v>1</x:v>
      </x:c>
      <x:c r="L686" s="9" t="n">
        <x:f>MOD(M685*16807,2147483647)</x:f>
        <x:v>165325922</x:v>
      </x:c>
      <x:c r="M686" s="9" t="n">
        <x:f>MOD(L686*16807,2147483647)</x:f>
        <x:v>1936415483</x:v>
      </x:c>
      <x:c r="N686" s="17" t="n">
        <x:f>IF('Control Room'!$B$5="Normal",'Control Room'!$B$7+'Control Room'!$D$7*SQRT(-2*LN(MAX(0.000000000001,L686/2147483647)))*COS(2*PI()*M686/2147483647),'Control Room'!$B$8+('Control Room'!$D$8-'Control Room'!$B$8)*L686/2147483647)</x:f>
        <x:v>1166.1669832400087</x:v>
      </x:c>
      <x:c r="O686" s="17" t="n">
        <x:f>IF('Control Room'!$B$5="Normal",'Control Room'!$B$7,('Control Room'!$B$8+'Control Room'!$D$8)/2)+'Control Room'!$B$9*(O685-IF('Control Room'!$B$5="Normal",'Control Room'!$B$7,('Control Room'!$B$8+'Control Room'!$D$8)/2))+SQRT(1-'Control Room'!$B$9^2)*(N686-IF('Control Room'!$B$5="Normal",'Control Room'!$B$7,('Control Room'!$B$8+'Control Room'!$D$8)/2))</x:f>
        <x:v>1221.437435459402</x:v>
      </x:c>
      <x:c r="P686" s="17" t="n">
        <x:f>IF(AND($A686&gt;='Control Room'!$A$13,$A686&lt;'Control Room'!$A$13+'Control Room'!$B$13,'Process'!BM2=1),1+('Control Room'!$C$13-1)*EXP(-0.5*(($A686-'Control Room'!$A$13-('Control Room'!$B$13-1)/2)/MAX(0.5,'Control Room'!$B$13/4))^2),1)*IF(AND($A686&gt;='Control Room'!$A$14,$A686&lt;'Control Room'!$A$14+'Control Room'!$B$14,'Process'!BM3=1),1+('Control Room'!$C$14-1)*EXP(-0.5*(($A686-'Control Room'!$A$14-('Control Room'!$B$14-1)/2)/MAX(0.5,'Control Room'!$B$14/4))^2),1)*IF(AND($A686&gt;='Control Room'!$A$15,$A686&lt;'Control Room'!$A$15+'Control Room'!$B$15,'Process'!BM4=1),1+('Control Room'!$C$15-1)*EXP(-0.5*(($A686-'Control Room'!$A$15-('Control Room'!$B$15-1)/2)/MAX(0.5,'Control Room'!$B$15/4))^2),1)*IF(AND($A686&gt;='Control Room'!$A$16,$A686&lt;'Control Room'!$A$16+'Control Room'!$B$16,'Process'!BM5=1),1+('Control Room'!$C$16-1)*EXP(-0.5*(($A686-'Control Room'!$A$16-('Control Room'!$B$16-1)/2)/MAX(0.5,'Control Room'!$B$16/4))^2),1)</x:f>
        <x:v>1</x:v>
      </x:c>
      <x:c r="Q686" s="9" t="n">
        <x:f>MOD(R685*16807,2147483647)</x:f>
        <x:v>493471423</x:v>
      </x:c>
      <x:c r="R686" s="9" t="n">
        <x:f>MOD(Q686*16807,2147483647)</x:f>
        <x:v>192361647</x:v>
      </x:c>
      <x:c r="S686" s="17" t="n">
        <x:f>IF('Control Room'!$B$5="Normal",'Control Room'!$B$7+'Control Room'!$D$7*SQRT(-2*LN(MAX(0.000000000001,Q686/2147483647)))*COS(2*PI()*R686/2147483647),'Control Room'!$B$8+('Control Room'!$D$8-'Control Room'!$B$8)*Q686/2147483647)</x:f>
        <x:v>1130.5410811743604</x:v>
      </x:c>
      <x:c r="T686" s="17" t="n">
        <x:f>IF('Control Room'!$B$5="Normal",'Control Room'!$B$7,('Control Room'!$B$8+'Control Room'!$D$8)/2)+'Control Room'!$B$9*(T685-IF('Control Room'!$B$5="Normal",'Control Room'!$B$7,('Control Room'!$B$8+'Control Room'!$D$8)/2))+SQRT(1-'Control Room'!$B$9^2)*(S686-IF('Control Room'!$B$5="Normal",'Control Room'!$B$7,('Control Room'!$B$8+'Control Room'!$D$8)/2))</x:f>
        <x:v>949.8008318423942</x:v>
      </x:c>
      <x:c r="U686" s="17" t="n">
        <x:f>IF(AND($A686&gt;='Control Room'!$A$13,$A686&lt;'Control Room'!$A$13+'Control Room'!$B$13,'Process'!BN2=1),1+('Control Room'!$C$13-1)*EXP(-0.5*(($A686-'Control Room'!$A$13-('Control Room'!$B$13-1)/2)/MAX(0.5,'Control Room'!$B$13/4))^2),1)*IF(AND($A686&gt;='Control Room'!$A$14,$A686&lt;'Control Room'!$A$14+'Control Room'!$B$14,'Process'!BN3=1),1+('Control Room'!$C$14-1)*EXP(-0.5*(($A686-'Control Room'!$A$14-('Control Room'!$B$14-1)/2)/MAX(0.5,'Control Room'!$B$14/4))^2),1)*IF(AND($A686&gt;='Control Room'!$A$15,$A686&lt;'Control Room'!$A$15+'Control Room'!$B$15,'Process'!BN4=1),1+('Control Room'!$C$15-1)*EXP(-0.5*(($A686-'Control Room'!$A$15-('Control Room'!$B$15-1)/2)/MAX(0.5,'Control Room'!$B$15/4))^2),1)*IF(AND($A686&gt;='Control Room'!$A$16,$A686&lt;'Control Room'!$A$16+'Control Room'!$B$16,'Process'!BN5=1),1+('Control Room'!$C$16-1)*EXP(-0.5*(($A686-'Control Room'!$A$16-('Control Room'!$B$16-1)/2)/MAX(0.5,'Control Room'!$B$16/4))^2),1)</x:f>
        <x:v>1</x:v>
      </x:c>
      <x:c r="V686" s="9" t="n">
        <x:f>MOD(W685*16807,2147483647)</x:f>
        <x:v>821616924</x:v>
      </x:c>
      <x:c r="W686" s="9" t="n">
        <x:f>MOD(V686*16807,2147483647)</x:f>
        <x:v>595791458</x:v>
      </x:c>
      <x:c r="X686" s="17" t="n">
        <x:f>IF('Control Room'!$B$5="Normal",'Control Room'!$B$7+'Control Room'!$D$7*SQRT(-2*LN(MAX(0.000000000001,V686/2147483647)))*COS(2*PI()*W686/2147483647),'Control Room'!$B$8+('Control Room'!$D$8-'Control Room'!$B$8)*V686/2147483647)</x:f>
        <x:v>978.5990779224102</x:v>
      </x:c>
      <x:c r="Y686" s="17" t="n">
        <x:f>IF('Control Room'!$B$5="Normal",'Control Room'!$B$7,('Control Room'!$B$8+'Control Room'!$D$8)/2)+'Control Room'!$B$9*(Y685-IF('Control Room'!$B$5="Normal",'Control Room'!$B$7,('Control Room'!$B$8+'Control Room'!$D$8)/2))+SQRT(1-'Control Room'!$B$9^2)*(X686-IF('Control Room'!$B$5="Normal",'Control Room'!$B$7,('Control Room'!$B$8+'Control Room'!$D$8)/2))</x:f>
        <x:v>994.3960356300344</x:v>
      </x:c>
      <x:c r="Z686" s="17" t="n">
        <x:f>IF(AND($A686&gt;='Control Room'!$A$13,$A686&lt;'Control Room'!$A$13+'Control Room'!$B$13,'Process'!BO2=1),1+('Control Room'!$C$13-1)*EXP(-0.5*(($A686-'Control Room'!$A$13-('Control Room'!$B$13-1)/2)/MAX(0.5,'Control Room'!$B$13/4))^2),1)*IF(AND($A686&gt;='Control Room'!$A$14,$A686&lt;'Control Room'!$A$14+'Control Room'!$B$14,'Process'!BO3=1),1+('Control Room'!$C$14-1)*EXP(-0.5*(($A686-'Control Room'!$A$14-('Control Room'!$B$14-1)/2)/MAX(0.5,'Control Room'!$B$14/4))^2),1)*IF(AND($A686&gt;='Control Room'!$A$15,$A686&lt;'Control Room'!$A$15+'Control Room'!$B$15,'Process'!BO4=1),1+('Control Room'!$C$15-1)*EXP(-0.5*(($A686-'Control Room'!$A$15-('Control Room'!$B$15-1)/2)/MAX(0.5,'Control Room'!$B$15/4))^2),1)*IF(AND($A686&gt;='Control Room'!$A$16,$A686&lt;'Control Room'!$A$16+'Control Room'!$B$16,'Process'!BO5=1),1+('Control Room'!$C$16-1)*EXP(-0.5*(($A686-'Control Room'!$A$16-('Control Room'!$B$16-1)/2)/MAX(0.5,'Control Room'!$B$16/4))^2),1)</x:f>
        <x:v>1</x:v>
      </x:c>
      <x:c r="AA686" s="9" t="n">
        <x:f>MOD(AB685*16807,2147483647)</x:f>
        <x:v>1149762425</x:v>
      </x:c>
      <x:c r="AB686" s="9" t="n">
        <x:f>MOD(AA686*16807,2147483647)</x:f>
        <x:v>999221269</x:v>
      </x:c>
      <x:c r="AC686" s="17" t="n">
        <x:f>IF('Control Room'!$B$5="Normal",'Control Room'!$B$7+'Control Room'!$D$7*SQRT(-2*LN(MAX(0.000000000001,AA686/2147483647)))*COS(2*PI()*AB686/2147483647),'Control Room'!$B$8+('Control Room'!$D$8-'Control Room'!$B$8)*AA686/2147483647)</x:f>
        <x:v>901.7795763550087</x:v>
      </x:c>
      <x:c r="AD686" s="17" t="n">
        <x:f>IF('Control Room'!$B$5="Normal",'Control Room'!$B$7,('Control Room'!$B$8+'Control Room'!$D$8)/2)+'Control Room'!$B$9*(AD685-IF('Control Room'!$B$5="Normal",'Control Room'!$B$7,('Control Room'!$B$8+'Control Room'!$D$8)/2))+SQRT(1-'Control Room'!$B$9^2)*(AC686-IF('Control Room'!$B$5="Normal",'Control Room'!$B$7,('Control Room'!$B$8+'Control Room'!$D$8)/2))</x:f>
        <x:v>941.3506167414444</x:v>
      </x:c>
      <x:c r="AE686" s="17" t="n">
        <x:f>IF(AND($A686&gt;='Control Room'!$A$13,$A686&lt;'Control Room'!$A$13+'Control Room'!$B$13,'Process'!BP2=1),1+('Control Room'!$C$13-1)*EXP(-0.5*(($A686-'Control Room'!$A$13-('Control Room'!$B$13-1)/2)/MAX(0.5,'Control Room'!$B$13/4))^2),1)*IF(AND($A686&gt;='Control Room'!$A$14,$A686&lt;'Control Room'!$A$14+'Control Room'!$B$14,'Process'!BP3=1),1+('Control Room'!$C$14-1)*EXP(-0.5*(($A686-'Control Room'!$A$14-('Control Room'!$B$14-1)/2)/MAX(0.5,'Control Room'!$B$14/4))^2),1)*IF(AND($A686&gt;='Control Room'!$A$15,$A686&lt;'Control Room'!$A$15+'Control Room'!$B$15,'Process'!BP4=1),1+('Control Room'!$C$15-1)*EXP(-0.5*(($A686-'Control Room'!$A$15-('Control Room'!$B$15-1)/2)/MAX(0.5,'Control Room'!$B$15/4))^2),1)*IF(AND($A686&gt;='Control Room'!$A$16,$A686&lt;'Control Room'!$A$16+'Control Room'!$B$16,'Process'!BP5=1),1+('Control Room'!$C$16-1)*EXP(-0.5*(($A686-'Control Room'!$A$16-('Control Room'!$B$16-1)/2)/MAX(0.5,'Control Room'!$B$16/4))^2),1)</x:f>
        <x:v>1</x:v>
      </x:c>
      <x:c r="AF686" s="9" t="n">
        <x:f>MOD(AG685*16807,2147483647)</x:f>
        <x:v>1477907926</x:v>
      </x:c>
      <x:c r="AG686" s="9" t="n">
        <x:f>MOD(AF686*16807,2147483647)</x:f>
        <x:v>1402651080</x:v>
      </x:c>
      <x:c r="AH686" s="17" t="n">
        <x:f>IF('Control Room'!$B$5="Normal",'Control Room'!$B$7+'Control Room'!$D$7*SQRT(-2*LN(MAX(0.000000000001,AF686/2147483647)))*COS(2*PI()*AG686/2147483647),'Control Room'!$B$8+('Control Room'!$D$8-'Control Room'!$B$8)*AF686/2147483647)</x:f>
        <x:v>955.5268475676125</x:v>
      </x:c>
      <x:c r="AI686" s="17" t="n">
        <x:f>IF('Control Room'!$B$5="Normal",'Control Room'!$B$7,('Control Room'!$B$8+'Control Room'!$D$8)/2)+'Control Room'!$B$9*(AI685-IF('Control Room'!$B$5="Normal",'Control Room'!$B$7,('Control Room'!$B$8+'Control Room'!$D$8)/2))+SQRT(1-'Control Room'!$B$9^2)*(AH686-IF('Control Room'!$B$5="Normal",'Control Room'!$B$7,('Control Room'!$B$8+'Control Room'!$D$8)/2))</x:f>
        <x:v>993.3459194130909</x:v>
      </x:c>
      <x:c r="AJ686" s="17" t="n">
        <x:f>IF(AND($A686&gt;='Control Room'!$A$13,$A686&lt;'Control Room'!$A$13+'Control Room'!$B$13,'Process'!BQ2=1),1+('Control Room'!$C$13-1)*EXP(-0.5*(($A686-'Control Room'!$A$13-('Control Room'!$B$13-1)/2)/MAX(0.5,'Control Room'!$B$13/4))^2),1)*IF(AND($A686&gt;='Control Room'!$A$14,$A686&lt;'Control Room'!$A$14+'Control Room'!$B$14,'Process'!BQ3=1),1+('Control Room'!$C$14-1)*EXP(-0.5*(($A686-'Control Room'!$A$14-('Control Room'!$B$14-1)/2)/MAX(0.5,'Control Room'!$B$14/4))^2),1)*IF(AND($A686&gt;='Control Room'!$A$15,$A686&lt;'Control Room'!$A$15+'Control Room'!$B$15,'Process'!BQ4=1),1+('Control Room'!$C$15-1)*EXP(-0.5*(($A686-'Control Room'!$A$15-('Control Room'!$B$15-1)/2)/MAX(0.5,'Control Room'!$B$15/4))^2),1)*IF(AND($A686&gt;='Control Room'!$A$16,$A686&lt;'Control Room'!$A$16+'Control Room'!$B$16,'Process'!BQ5=1),1+('Control Room'!$C$16-1)*EXP(-0.5*(($A686-'Control Room'!$A$16-('Control Room'!$B$16-1)/2)/MAX(0.5,'Control Room'!$B$16/4))^2),1)</x:f>
        <x:v>1</x:v>
      </x:c>
      <x:c r="AK686" s="9" t="n">
        <x:f>MOD(AL685*16807,2147483647)</x:f>
        <x:v>1806053427</x:v>
      </x:c>
      <x:c r="AL686" s="9" t="n">
        <x:f>MOD(AK686*16807,2147483647)</x:f>
        <x:v>1806080891</x:v>
      </x:c>
      <x:c r="AM686" s="17" t="n">
        <x:f>IF('Control Room'!$B$5="Normal",'Control Room'!$B$7+'Control Room'!$D$7*SQRT(-2*LN(MAX(0.000000000001,AK686/2147483647)))*COS(2*PI()*AL686/2147483647),'Control Room'!$B$8+('Control Room'!$D$8-'Control Room'!$B$8)*AK686/2147483647)</x:f>
        <x:v>1028.665521181326</x:v>
      </x:c>
      <x:c r="AN686" s="17" t="n">
        <x:f>IF('Control Room'!$B$5="Normal",'Control Room'!$B$7,('Control Room'!$B$8+'Control Room'!$D$8)/2)+'Control Room'!$B$9*(AN685-IF('Control Room'!$B$5="Normal",'Control Room'!$B$7,('Control Room'!$B$8+'Control Room'!$D$8)/2))+SQRT(1-'Control Room'!$B$9^2)*(AM686-IF('Control Room'!$B$5="Normal",'Control Room'!$B$7,('Control Room'!$B$8+'Control Room'!$D$8)/2))</x:f>
        <x:v>1070.7458880477839</x:v>
      </x:c>
      <x:c r="AO686" s="17" t="n">
        <x:f>IF(AND($A686&gt;='Control Room'!$A$13,$A686&lt;'Control Room'!$A$13+'Control Room'!$B$13,'Process'!BR2=1),1+('Control Room'!$C$13-1)*EXP(-0.5*(($A686-'Control Room'!$A$13-('Control Room'!$B$13-1)/2)/MAX(0.5,'Control Room'!$B$13/4))^2),1)*IF(AND($A686&gt;='Control Room'!$A$14,$A686&lt;'Control Room'!$A$14+'Control Room'!$B$14,'Process'!BR3=1),1+('Control Room'!$C$14-1)*EXP(-0.5*(($A686-'Control Room'!$A$14-('Control Room'!$B$14-1)/2)/MAX(0.5,'Control Room'!$B$14/4))^2),1)*IF(AND($A686&gt;='Control Room'!$A$15,$A686&lt;'Control Room'!$A$15+'Control Room'!$B$15,'Process'!BR4=1),1+('Control Room'!$C$15-1)*EXP(-0.5*(($A686-'Control Room'!$A$15-('Control Room'!$B$15-1)/2)/MAX(0.5,'Control Room'!$B$15/4))^2),1)*IF(AND($A686&gt;='Control Room'!$A$16,$A686&lt;'Control Room'!$A$16+'Control Room'!$B$16,'Process'!BR5=1),1+('Control Room'!$C$16-1)*EXP(-0.5*(($A686-'Control Room'!$A$16-('Control Room'!$B$16-1)/2)/MAX(0.5,'Control Room'!$B$16/4))^2),1)</x:f>
        <x:v>1</x:v>
      </x:c>
      <x:c r="AP686" s="9" t="n">
        <x:f>MOD(AQ685*16807,2147483647)</x:f>
        <x:v>2134198928</x:v>
      </x:c>
      <x:c r="AQ686" s="9" t="n">
        <x:f>MOD(AP686*16807,2147483647)</x:f>
        <x:v>62027055</x:v>
      </x:c>
      <x:c r="AR686" s="17" t="n">
        <x:f>IF('Control Room'!$B$5="Normal",'Control Room'!$B$7+'Control Room'!$D$7*SQRT(-2*LN(MAX(0.000000000001,AP686/2147483647)))*COS(2*PI()*AQ686/2147483647),'Control Room'!$B$8+('Control Room'!$D$8-'Control Room'!$B$8)*AP686/2147483647)</x:f>
        <x:v>1009.8616759355409</x:v>
      </x:c>
      <x:c r="AS686" s="17" t="n">
        <x:f>IF('Control Room'!$B$5="Normal",'Control Room'!$B$7,('Control Room'!$B$8+'Control Room'!$D$8)/2)+'Control Room'!$B$9*(AS685-IF('Control Room'!$B$5="Normal",'Control Room'!$B$7,('Control Room'!$B$8+'Control Room'!$D$8)/2))+SQRT(1-'Control Room'!$B$9^2)*(AR686-IF('Control Room'!$B$5="Normal",'Control Room'!$B$7,('Control Room'!$B$8+'Control Room'!$D$8)/2))</x:f>
        <x:v>1010.0457709942764</x:v>
      </x:c>
      <x:c r="AT686" s="17" t="n">
        <x:f>IF(AND($A686&gt;='Control Room'!$A$13,$A686&lt;'Control Room'!$A$13+'Control Room'!$B$13,'Process'!BS2=1),1+('Control Room'!$C$13-1)*EXP(-0.5*(($A686-'Control Room'!$A$13-('Control Room'!$B$13-1)/2)/MAX(0.5,'Control Room'!$B$13/4))^2),1)*IF(AND($A686&gt;='Control Room'!$A$14,$A686&lt;'Control Room'!$A$14+'Control Room'!$B$14,'Process'!BS3=1),1+('Control Room'!$C$14-1)*EXP(-0.5*(($A686-'Control Room'!$A$14-('Control Room'!$B$14-1)/2)/MAX(0.5,'Control Room'!$B$14/4))^2),1)*IF(AND($A686&gt;='Control Room'!$A$15,$A686&lt;'Control Room'!$A$15+'Control Room'!$B$15,'Process'!BS4=1),1+('Control Room'!$C$15-1)*EXP(-0.5*(($A686-'Control Room'!$A$15-('Control Room'!$B$15-1)/2)/MAX(0.5,'Control Room'!$B$15/4))^2),1)*IF(AND($A686&gt;='Control Room'!$A$16,$A686&lt;'Control Room'!$A$16+'Control Room'!$B$16,'Process'!BS5=1),1+('Control Room'!$C$16-1)*EXP(-0.5*(($A686-'Control Room'!$A$16-('Control Room'!$B$16-1)/2)/MAX(0.5,'Control Room'!$B$16/4))^2),1)</x:f>
        <x:v>1</x:v>
      </x:c>
      <x:c r="AU686" s="9" t="n">
        <x:f>MOD(AV685*16807,2147483647)</x:f>
        <x:v>314860782</x:v>
      </x:c>
      <x:c r="AV686" s="9" t="n">
        <x:f>MOD(AU686*16807,2147483647)</x:f>
        <x:v>465456866</x:v>
      </x:c>
      <x:c r="AW686" s="17" t="n">
        <x:f>IF('Control Room'!$B$5="Normal",'Control Room'!$B$7+'Control Room'!$D$7*SQRT(-2*LN(MAX(0.000000000001,AU686/2147483647)))*COS(2*PI()*AV686/2147483647),'Control Room'!$B$8+('Control Room'!$D$8-'Control Room'!$B$8)*AU686/2147483647)</x:f>
        <x:v>1036.5820611234442</x:v>
      </x:c>
      <x:c r="AX686" s="17" t="n">
        <x:f>IF('Control Room'!$B$5="Normal",'Control Room'!$B$7,('Control Room'!$B$8+'Control Room'!$D$8)/2)+'Control Room'!$B$9*(AX685-IF('Control Room'!$B$5="Normal",'Control Room'!$B$7,('Control Room'!$B$8+'Control Room'!$D$8)/2))+SQRT(1-'Control Room'!$B$9^2)*(AW686-IF('Control Room'!$B$5="Normal",'Control Room'!$B$7,('Control Room'!$B$8+'Control Room'!$D$8)/2))</x:f>
        <x:v>1011.5317038599305</x:v>
      </x:c>
      <x:c r="AY686" s="17" t="n">
        <x:f>IF(AND($A686&gt;='Control Room'!$A$13,$A686&lt;'Control Room'!$A$13+'Control Room'!$B$13,'Process'!BT2=1),1+('Control Room'!$C$13-1)*EXP(-0.5*(($A686-'Control Room'!$A$13-('Control Room'!$B$13-1)/2)/MAX(0.5,'Control Room'!$B$13/4))^2),1)*IF(AND($A686&gt;='Control Room'!$A$14,$A686&lt;'Control Room'!$A$14+'Control Room'!$B$14,'Process'!BT3=1),1+('Control Room'!$C$14-1)*EXP(-0.5*(($A686-'Control Room'!$A$14-('Control Room'!$B$14-1)/2)/MAX(0.5,'Control Room'!$B$14/4))^2),1)*IF(AND($A686&gt;='Control Room'!$A$15,$A686&lt;'Control Room'!$A$15+'Control Room'!$B$15,'Process'!BT4=1),1+('Control Room'!$C$15-1)*EXP(-0.5*(($A686-'Control Room'!$A$15-('Control Room'!$B$15-1)/2)/MAX(0.5,'Control Room'!$B$15/4))^2),1)*IF(AND($A686&gt;='Control Room'!$A$16,$A686&lt;'Control Room'!$A$16+'Control Room'!$B$16,'Process'!BT5=1),1+('Control Room'!$C$16-1)*EXP(-0.5*(($A686-'Control Room'!$A$16-('Control Room'!$B$16-1)/2)/MAX(0.5,'Control Room'!$B$16/4))^2),1)</x:f>
        <x:v>1</x:v>
      </x:c>
      <x:c r="AZ686" s="9" t="n">
        <x:f>MOD(BA685*16807,2147483647)</x:f>
        <x:v>643006283</x:v>
      </x:c>
      <x:c r="BA686" s="9" t="n">
        <x:f>MOD(AZ686*16807,2147483647)</x:f>
        <x:v>868886677</x:v>
      </x:c>
      <x:c r="BB686" s="17" t="n">
        <x:f>IF('Control Room'!$B$5="Normal",'Control Room'!$B$7+'Control Room'!$D$7*SQRT(-2*LN(MAX(0.000000000001,AZ686/2147483647)))*COS(2*PI()*BA686/2147483647),'Control Room'!$B$8+('Control Room'!$D$8-'Control Room'!$B$8)*AZ686/2147483647)</x:f>
        <x:v>884.5936818539086</x:v>
      </x:c>
      <x:c r="BC686" s="17" t="n">
        <x:f>IF('Control Room'!$B$5="Normal",'Control Room'!$B$7,('Control Room'!$B$8+'Control Room'!$D$8)/2)+'Control Room'!$B$9*(BC685-IF('Control Room'!$B$5="Normal",'Control Room'!$B$7,('Control Room'!$B$8+'Control Room'!$D$8)/2))+SQRT(1-'Control Room'!$B$9^2)*(BB686-IF('Control Room'!$B$5="Normal",'Control Room'!$B$7,('Control Room'!$B$8+'Control Room'!$D$8)/2))</x:f>
        <x:v>867.3532907959784</x:v>
      </x:c>
      <x:c r="BD686" s="17" t="n">
        <x:f>IF(AND($A686&gt;='Control Room'!$A$13,$A686&lt;'Control Room'!$A$13+'Control Room'!$B$13,'Process'!BU2=1),1+('Control Room'!$C$13-1)*EXP(-0.5*(($A686-'Control Room'!$A$13-('Control Room'!$B$13-1)/2)/MAX(0.5,'Control Room'!$B$13/4))^2),1)*IF(AND($A686&gt;='Control Room'!$A$14,$A686&lt;'Control Room'!$A$14+'Control Room'!$B$14,'Process'!BU3=1),1+('Control Room'!$C$14-1)*EXP(-0.5*(($A686-'Control Room'!$A$14-('Control Room'!$B$14-1)/2)/MAX(0.5,'Control Room'!$B$14/4))^2),1)*IF(AND($A686&gt;='Control Room'!$A$15,$A686&lt;'Control Room'!$A$15+'Control Room'!$B$15,'Process'!BU4=1),1+('Control Room'!$C$15-1)*EXP(-0.5*(($A686-'Control Room'!$A$15-('Control Room'!$B$15-1)/2)/MAX(0.5,'Control Room'!$B$15/4))^2),1)*IF(AND($A686&gt;='Control Room'!$A$16,$A686&lt;'Control Room'!$A$16+'Control Room'!$B$16,'Process'!BU5=1),1+('Control Room'!$C$16-1)*EXP(-0.5*(($A686-'Control Room'!$A$16-('Control Room'!$B$16-1)/2)/MAX(0.5,'Control Room'!$B$16/4))^2),1)</x:f>
        <x:v>1</x:v>
      </x:c>
      <x:c r="BE686" s="9" t="n">
        <x:f>MOD(BF685*16807,2147483647)</x:f>
        <x:v>971151784</x:v>
      </x:c>
      <x:c r="BF686" s="9" t="n">
        <x:f>MOD(BE686*16807,2147483647)</x:f>
        <x:v>1272316488</x:v>
      </x:c>
      <x:c r="BG686" s="17" t="n">
        <x:f>IF('Control Room'!$B$5="Normal",'Control Room'!$B$7+'Control Room'!$D$7*SQRT(-2*LN(MAX(0.000000000001,BE686/2147483647)))*COS(2*PI()*BF686/2147483647),'Control Room'!$B$8+('Control Room'!$D$8-'Control Room'!$B$8)*BE686/2147483647)</x:f>
        <x:v>905.2209157427895</x:v>
      </x:c>
      <x:c r="BH686" s="17" t="n">
        <x:f>IF('Control Room'!$B$5="Normal",'Control Room'!$B$7,('Control Room'!$B$8+'Control Room'!$D$8)/2)+'Control Room'!$B$9*(BH685-IF('Control Room'!$B$5="Normal",'Control Room'!$B$7,('Control Room'!$B$8+'Control Room'!$D$8)/2))+SQRT(1-'Control Room'!$B$9^2)*(BG686-IF('Control Room'!$B$5="Normal",'Control Room'!$B$7,('Control Room'!$B$8+'Control Room'!$D$8)/2))</x:f>
        <x:v>909.1247331065849</x:v>
      </x:c>
      <x:c r="BI686" s="17" t="n">
        <x:f>IF(AND($A686&gt;='Control Room'!$A$13,$A686&lt;'Control Room'!$A$13+'Control Room'!$B$13,'Process'!BV2=1),1+('Control Room'!$C$13-1)*EXP(-0.5*(($A686-'Control Room'!$A$13-('Control Room'!$B$13-1)/2)/MAX(0.5,'Control Room'!$B$13/4))^2),1)*IF(AND($A686&gt;='Control Room'!$A$14,$A686&lt;'Control Room'!$A$14+'Control Room'!$B$14,'Process'!BV3=1),1+('Control Room'!$C$14-1)*EXP(-0.5*(($A686-'Control Room'!$A$14-('Control Room'!$B$14-1)/2)/MAX(0.5,'Control Room'!$B$14/4))^2),1)*IF(AND($A686&gt;='Control Room'!$A$15,$A686&lt;'Control Room'!$A$15+'Control Room'!$B$15,'Process'!BV4=1),1+('Control Room'!$C$15-1)*EXP(-0.5*(($A686-'Control Room'!$A$15-('Control Room'!$B$15-1)/2)/MAX(0.5,'Control Room'!$B$15/4))^2),1)*IF(AND($A686&gt;='Control Room'!$A$16,$A686&lt;'Control Room'!$A$16+'Control Room'!$B$16,'Process'!BV5=1),1+('Control Room'!$C$16-1)*EXP(-0.5*(($A686-'Control Room'!$A$16-('Control Room'!$B$16-1)/2)/MAX(0.5,'Control Room'!$B$16/4))^2),1)</x:f>
        <x:v>1</x:v>
      </x:c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Z686" t="str">
        <x:f>IF('Data'!A686="","",TEXT('Data'!A686,"mm-dd"))</x:f>
      </x:c>
    </x:row>
    <x:row r="687" ht="21" customHeight="1">
      <x:c r="A687" s="15" t="n">
        <x:f>'Control Room'!$B$1+685</x:f>
        <x:v>73676</x:v>
      </x:c>
      <x:c r="B687" s="9" t="n">
        <x:f>MOD(C686*16807,2147483647)</x:f>
        <x:v>689916347</x:v>
      </x:c>
      <x:c r="C687" s="9" t="n">
        <x:f>MOD(B687*16807,2147483647)</x:f>
        <x:v>1159833876</x:v>
      </x:c>
      <x:c r="D687" s="17" t="n">
        <x:f>IF('Control Room'!$B$5="Normal",'Control Room'!$B$7+'Control Room'!$D$7*SQRT(-2*LN(MAX(0.000000000001,B687/2147483647)))*COS(2*PI()*C687/2147483647),'Control Room'!$B$8+('Control Room'!$D$8-'Control Room'!$B$8)*B687/2147483647)</x:f>
        <x:v>868.6525808519818</x:v>
      </x:c>
      <x:c r="E687" s="17" t="n">
        <x:f>IF('Control Room'!$B$5="Normal",'Control Room'!$B$7,('Control Room'!$B$8+'Control Room'!$D$8)/2)+'Control Room'!$B$9*(E686-IF('Control Room'!$B$5="Normal",'Control Room'!$B$7,('Control Room'!$B$8+'Control Room'!$D$8)/2))+SQRT(1-'Control Room'!$B$9^2)*(D687-IF('Control Room'!$B$5="Normal",'Control Room'!$B$7,('Control Room'!$B$8+'Control Room'!$D$8)/2))</x:f>
        <x:v>952.0714593571242</x:v>
      </x:c>
      <x:c r="F687" s="17" t="n">
        <x:f>IF(AND($A687&gt;='Control Room'!$A$13,$A687&lt;'Control Room'!$A$13+'Control Room'!$B$13,'Process'!BK2=1),1+('Control Room'!$C$13-1)*EXP(-0.5*(($A687-'Control Room'!$A$13-('Control Room'!$B$13-1)/2)/MAX(0.5,'Control Room'!$B$13/4))^2),1)*IF(AND($A687&gt;='Control Room'!$A$14,$A687&lt;'Control Room'!$A$14+'Control Room'!$B$14,'Process'!BK3=1),1+('Control Room'!$C$14-1)*EXP(-0.5*(($A687-'Control Room'!$A$14-('Control Room'!$B$14-1)/2)/MAX(0.5,'Control Room'!$B$14/4))^2),1)*IF(AND($A687&gt;='Control Room'!$A$15,$A687&lt;'Control Room'!$A$15+'Control Room'!$B$15,'Process'!BK4=1),1+('Control Room'!$C$15-1)*EXP(-0.5*(($A687-'Control Room'!$A$15-('Control Room'!$B$15-1)/2)/MAX(0.5,'Control Room'!$B$15/4))^2),1)*IF(AND($A687&gt;='Control Room'!$A$16,$A687&lt;'Control Room'!$A$16+'Control Room'!$B$16,'Process'!BK5=1),1+('Control Room'!$C$16-1)*EXP(-0.5*(($A687-'Control Room'!$A$16-('Control Room'!$B$16-1)/2)/MAX(0.5,'Control Room'!$B$16/4))^2),1)</x:f>
        <x:v>1</x:v>
      </x:c>
      <x:c r="G687" s="9" t="n">
        <x:f>MOD(H686*16807,2147483647)</x:f>
        <x:v>1528876245</x:v>
      </x:c>
      <x:c r="H687" s="9" t="n">
        <x:f>MOD(G687*16807,2147483647)</x:f>
        <x:v>1181213360</x:v>
      </x:c>
      <x:c r="I687" s="17" t="n">
        <x:f>IF('Control Room'!$B$5="Normal",'Control Room'!$B$7+'Control Room'!$D$7*SQRT(-2*LN(MAX(0.000000000001,G687/2147483647)))*COS(2*PI()*H687/2147483647),'Control Room'!$B$8+('Control Room'!$D$8-'Control Room'!$B$8)*G687/2147483647)</x:f>
        <x:v>929.4475409200137</x:v>
      </x:c>
      <x:c r="J687" s="17" t="n">
        <x:f>IF('Control Room'!$B$5="Normal",'Control Room'!$B$7,('Control Room'!$B$8+'Control Room'!$D$8)/2)+'Control Room'!$B$9*(J686-IF('Control Room'!$B$5="Normal",'Control Room'!$B$7,('Control Room'!$B$8+'Control Room'!$D$8)/2))+SQRT(1-'Control Room'!$B$9^2)*(I687-IF('Control Room'!$B$5="Normal",'Control Room'!$B$7,('Control Room'!$B$8+'Control Room'!$D$8)/2))</x:f>
        <x:v>873.646220634418</x:v>
      </x:c>
      <x:c r="K687" s="17" t="n">
        <x:f>IF(AND($A687&gt;='Control Room'!$A$13,$A687&lt;'Control Room'!$A$13+'Control Room'!$B$13,'Process'!BL2=1),1+('Control Room'!$C$13-1)*EXP(-0.5*(($A687-'Control Room'!$A$13-('Control Room'!$B$13-1)/2)/MAX(0.5,'Control Room'!$B$13/4))^2),1)*IF(AND($A687&gt;='Control Room'!$A$14,$A687&lt;'Control Room'!$A$14+'Control Room'!$B$14,'Process'!BL3=1),1+('Control Room'!$C$14-1)*EXP(-0.5*(($A687-'Control Room'!$A$14-('Control Room'!$B$14-1)/2)/MAX(0.5,'Control Room'!$B$14/4))^2),1)*IF(AND($A687&gt;='Control Room'!$A$15,$A687&lt;'Control Room'!$A$15+'Control Room'!$B$15,'Process'!BL4=1),1+('Control Room'!$C$15-1)*EXP(-0.5*(($A687-'Control Room'!$A$15-('Control Room'!$B$15-1)/2)/MAX(0.5,'Control Room'!$B$15/4))^2),1)*IF(AND($A687&gt;='Control Room'!$A$16,$A687&lt;'Control Room'!$A$16+'Control Room'!$B$16,'Process'!BL5=1),1+('Control Room'!$C$16-1)*EXP(-0.5*(($A687-'Control Room'!$A$16-('Control Room'!$B$16-1)/2)/MAX(0.5,'Control Room'!$B$16/4))^2),1)</x:f>
        <x:v>1</x:v>
      </x:c>
      <x:c r="L687" s="9" t="n">
        <x:f>MOD(M686*16807,2147483647)</x:f>
        <x:v>220352496</x:v>
      </x:c>
      <x:c r="M687" s="9" t="n">
        <x:f>MOD(L687*16807,2147483647)</x:f>
        <x:v>1202592844</x:v>
      </x:c>
      <x:c r="N687" s="17" t="n">
        <x:f>IF('Control Room'!$B$5="Normal",'Control Room'!$B$7+'Control Room'!$D$7*SQRT(-2*LN(MAX(0.000000000001,L687/2147483647)))*COS(2*PI()*M687/2147483647),'Control Room'!$B$8+('Control Room'!$D$8-'Control Room'!$B$8)*L687/2147483647)</x:f>
        <x:v>821.4335998505044</x:v>
      </x:c>
      <x:c r="O687" s="17" t="n">
        <x:f>IF('Control Room'!$B$5="Normal",'Control Room'!$B$7,('Control Room'!$B$8+'Control Room'!$D$8)/2)+'Control Room'!$B$9*(O686-IF('Control Room'!$B$5="Normal",'Control Room'!$B$7,('Control Room'!$B$8+'Control Room'!$D$8)/2))+SQRT(1-'Control Room'!$B$9^2)*(N687-IF('Control Room'!$B$5="Normal",'Control Room'!$B$7,('Control Room'!$B$8+'Control Room'!$D$8)/2))</x:f>
        <x:v>1060.9780045763234</x:v>
      </x:c>
      <x:c r="P687" s="17" t="n">
        <x:f>IF(AND($A687&gt;='Control Room'!$A$13,$A687&lt;'Control Room'!$A$13+'Control Room'!$B$13,'Process'!BM2=1),1+('Control Room'!$C$13-1)*EXP(-0.5*(($A687-'Control Room'!$A$13-('Control Room'!$B$13-1)/2)/MAX(0.5,'Control Room'!$B$13/4))^2),1)*IF(AND($A687&gt;='Control Room'!$A$14,$A687&lt;'Control Room'!$A$14+'Control Room'!$B$14,'Process'!BM3=1),1+('Control Room'!$C$14-1)*EXP(-0.5*(($A687-'Control Room'!$A$14-('Control Room'!$B$14-1)/2)/MAX(0.5,'Control Room'!$B$14/4))^2),1)*IF(AND($A687&gt;='Control Room'!$A$15,$A687&lt;'Control Room'!$A$15+'Control Room'!$B$15,'Process'!BM4=1),1+('Control Room'!$C$15-1)*EXP(-0.5*(($A687-'Control Room'!$A$15-('Control Room'!$B$15-1)/2)/MAX(0.5,'Control Room'!$B$15/4))^2),1)*IF(AND($A687&gt;='Control Room'!$A$16,$A687&lt;'Control Room'!$A$16+'Control Room'!$B$16,'Process'!BM5=1),1+('Control Room'!$C$16-1)*EXP(-0.5*(($A687-'Control Room'!$A$16-('Control Room'!$B$16-1)/2)/MAX(0.5,'Control Room'!$B$16/4))^2),1)</x:f>
        <x:v>1</x:v>
      </x:c>
      <x:c r="Q687" s="9" t="n">
        <x:f>MOD(R686*16807,2147483647)</x:f>
        <x:v>1059312394</x:v>
      </x:c>
      <x:c r="R687" s="9" t="n">
        <x:f>MOD(Q687*16807,2147483647)</x:f>
        <x:v>1223972328</x:v>
      </x:c>
      <x:c r="S687" s="17" t="n">
        <x:f>IF('Control Room'!$B$5="Normal",'Control Room'!$B$7+'Control Room'!$D$7*SQRT(-2*LN(MAX(0.000000000001,Q687/2147483647)))*COS(2*PI()*R687/2147483647),'Control Room'!$B$8+('Control Room'!$D$8-'Control Room'!$B$8)*Q687/2147483647)</x:f>
        <x:v>903.1746038794723</x:v>
      </x:c>
      <x:c r="T687" s="17" t="n">
        <x:f>IF('Control Room'!$B$5="Normal",'Control Room'!$B$7,('Control Room'!$B$8+'Control Room'!$D$8)/2)+'Control Room'!$B$9*(T686-IF('Control Room'!$B$5="Normal",'Control Room'!$B$7,('Control Room'!$B$8+'Control Room'!$D$8)/2))+SQRT(1-'Control Room'!$B$9^2)*(S687-IF('Control Room'!$B$5="Normal",'Control Room'!$B$7,('Control Room'!$B$8+'Control Room'!$D$8)/2))</x:f>
        <x:v>900.2532995208978</x:v>
      </x:c>
      <x:c r="U687" s="17" t="n">
        <x:f>IF(AND($A687&gt;='Control Room'!$A$13,$A687&lt;'Control Room'!$A$13+'Control Room'!$B$13,'Process'!BN2=1),1+('Control Room'!$C$13-1)*EXP(-0.5*(($A687-'Control Room'!$A$13-('Control Room'!$B$13-1)/2)/MAX(0.5,'Control Room'!$B$13/4))^2),1)*IF(AND($A687&gt;='Control Room'!$A$14,$A687&lt;'Control Room'!$A$14+'Control Room'!$B$14,'Process'!BN3=1),1+('Control Room'!$C$14-1)*EXP(-0.5*(($A687-'Control Room'!$A$14-('Control Room'!$B$14-1)/2)/MAX(0.5,'Control Room'!$B$14/4))^2),1)*IF(AND($A687&gt;='Control Room'!$A$15,$A687&lt;'Control Room'!$A$15+'Control Room'!$B$15,'Process'!BN4=1),1+('Control Room'!$C$15-1)*EXP(-0.5*(($A687-'Control Room'!$A$15-('Control Room'!$B$15-1)/2)/MAX(0.5,'Control Room'!$B$15/4))^2),1)*IF(AND($A687&gt;='Control Room'!$A$16,$A687&lt;'Control Room'!$A$16+'Control Room'!$B$16,'Process'!BN5=1),1+('Control Room'!$C$16-1)*EXP(-0.5*(($A687-'Control Room'!$A$16-('Control Room'!$B$16-1)/2)/MAX(0.5,'Control Room'!$B$16/4))^2),1)</x:f>
        <x:v>1</x:v>
      </x:c>
      <x:c r="V687" s="9" t="n">
        <x:f>MOD(W686*16807,2147483647)</x:f>
        <x:v>1898272292</x:v>
      </x:c>
      <x:c r="W687" s="9" t="n">
        <x:f>MOD(V687*16807,2147483647)</x:f>
        <x:v>1245351812</x:v>
      </x:c>
      <x:c r="X687" s="17" t="n">
        <x:f>IF('Control Room'!$B$5="Normal",'Control Room'!$B$7+'Control Room'!$D$7*SQRT(-2*LN(MAX(0.000000000001,V687/2147483647)))*COS(2*PI()*W687/2147483647),'Control Room'!$B$8+('Control Room'!$D$8-'Control Room'!$B$8)*V687/2147483647)</x:f>
        <x:v>960.8150288933371</x:v>
      </x:c>
      <x:c r="Y687" s="17" t="n">
        <x:f>IF('Control Room'!$B$5="Normal",'Control Room'!$B$7,('Control Room'!$B$8+'Control Room'!$D$8)/2)+'Control Room'!$B$9*(Y686-IF('Control Room'!$B$5="Normal",'Control Room'!$B$7,('Control Room'!$B$8+'Control Room'!$D$8)/2))+SQRT(1-'Control Room'!$B$9^2)*(X687-IF('Control Room'!$B$5="Normal",'Control Room'!$B$7,('Control Room'!$B$8+'Control Room'!$D$8)/2))</x:f>
        <x:v>971.1077556206435</x:v>
      </x:c>
      <x:c r="Z687" s="17" t="n">
        <x:f>IF(AND($A687&gt;='Control Room'!$A$13,$A687&lt;'Control Room'!$A$13+'Control Room'!$B$13,'Process'!BO2=1),1+('Control Room'!$C$13-1)*EXP(-0.5*(($A687-'Control Room'!$A$13-('Control Room'!$B$13-1)/2)/MAX(0.5,'Control Room'!$B$13/4))^2),1)*IF(AND($A687&gt;='Control Room'!$A$14,$A687&lt;'Control Room'!$A$14+'Control Room'!$B$14,'Process'!BO3=1),1+('Control Room'!$C$14-1)*EXP(-0.5*(($A687-'Control Room'!$A$14-('Control Room'!$B$14-1)/2)/MAX(0.5,'Control Room'!$B$14/4))^2),1)*IF(AND($A687&gt;='Control Room'!$A$15,$A687&lt;'Control Room'!$A$15+'Control Room'!$B$15,'Process'!BO4=1),1+('Control Room'!$C$15-1)*EXP(-0.5*(($A687-'Control Room'!$A$15-('Control Room'!$B$15-1)/2)/MAX(0.5,'Control Room'!$B$15/4))^2),1)*IF(AND($A687&gt;='Control Room'!$A$16,$A687&lt;'Control Room'!$A$16+'Control Room'!$B$16,'Process'!BO5=1),1+('Control Room'!$C$16-1)*EXP(-0.5*(($A687-'Control Room'!$A$16-('Control Room'!$B$16-1)/2)/MAX(0.5,'Control Room'!$B$16/4))^2),1)</x:f>
        <x:v>1</x:v>
      </x:c>
      <x:c r="AA687" s="9" t="n">
        <x:f>MOD(AB686*16807,2147483647)</x:f>
        <x:v>589748543</x:v>
      </x:c>
      <x:c r="AB687" s="9" t="n">
        <x:f>MOD(AA687*16807,2147483647)</x:f>
        <x:v>1266731296</x:v>
      </x:c>
      <x:c r="AC687" s="17" t="n">
        <x:f>IF('Control Room'!$B$5="Normal",'Control Room'!$B$7+'Control Room'!$D$7*SQRT(-2*LN(MAX(0.000000000001,AA687/2147483647)))*COS(2*PI()*AB687/2147483647),'Control Room'!$B$8+('Control Room'!$D$8-'Control Room'!$B$8)*AA687/2147483647)</x:f>
        <x:v>877.766975472247</x:v>
      </x:c>
      <x:c r="AD687" s="17" t="n">
        <x:f>IF('Control Room'!$B$5="Normal",'Control Room'!$B$7,('Control Room'!$B$8+'Control Room'!$D$8)/2)+'Control Room'!$B$9*(AD686-IF('Control Room'!$B$5="Normal",'Control Room'!$B$7,('Control Room'!$B$8+'Control Room'!$D$8)/2))+SQRT(1-'Control Room'!$B$9^2)*(AC687-IF('Control Room'!$B$5="Normal",'Control Room'!$B$7,('Control Room'!$B$8+'Control Room'!$D$8)/2))</x:f>
        <x:v>877.7625583884751</x:v>
      </x:c>
      <x:c r="AE687" s="17" t="n">
        <x:f>IF(AND($A687&gt;='Control Room'!$A$13,$A687&lt;'Control Room'!$A$13+'Control Room'!$B$13,'Process'!BP2=1),1+('Control Room'!$C$13-1)*EXP(-0.5*(($A687-'Control Room'!$A$13-('Control Room'!$B$13-1)/2)/MAX(0.5,'Control Room'!$B$13/4))^2),1)*IF(AND($A687&gt;='Control Room'!$A$14,$A687&lt;'Control Room'!$A$14+'Control Room'!$B$14,'Process'!BP3=1),1+('Control Room'!$C$14-1)*EXP(-0.5*(($A687-'Control Room'!$A$14-('Control Room'!$B$14-1)/2)/MAX(0.5,'Control Room'!$B$14/4))^2),1)*IF(AND($A687&gt;='Control Room'!$A$15,$A687&lt;'Control Room'!$A$15+'Control Room'!$B$15,'Process'!BP4=1),1+('Control Room'!$C$15-1)*EXP(-0.5*(($A687-'Control Room'!$A$15-('Control Room'!$B$15-1)/2)/MAX(0.5,'Control Room'!$B$15/4))^2),1)*IF(AND($A687&gt;='Control Room'!$A$16,$A687&lt;'Control Room'!$A$16+'Control Room'!$B$16,'Process'!BP5=1),1+('Control Room'!$C$16-1)*EXP(-0.5*(($A687-'Control Room'!$A$16-('Control Room'!$B$16-1)/2)/MAX(0.5,'Control Room'!$B$16/4))^2),1)</x:f>
        <x:v>1</x:v>
      </x:c>
      <x:c r="AF687" s="9" t="n">
        <x:f>MOD(AG686*16807,2147483647)</x:f>
        <x:v>1428708441</x:v>
      </x:c>
      <x:c r="AG687" s="9" t="n">
        <x:f>MOD(AF687*16807,2147483647)</x:f>
        <x:v>1288110780</x:v>
      </x:c>
      <x:c r="AH687" s="17" t="n">
        <x:f>IF('Control Room'!$B$5="Normal",'Control Room'!$B$7+'Control Room'!$D$7*SQRT(-2*LN(MAX(0.000000000001,AF687/2147483647)))*COS(2*PI()*AG687/2147483647),'Control Room'!$B$8+('Control Room'!$D$8-'Control Room'!$B$8)*AF687/2147483647)</x:f>
        <x:v>934.2126146021118</x:v>
      </x:c>
      <x:c r="AI687" s="17" t="n">
        <x:f>IF('Control Room'!$B$5="Normal",'Control Room'!$B$7,('Control Room'!$B$8+'Control Room'!$D$8)/2)+'Control Room'!$B$9*(AI686-IF('Control Room'!$B$5="Normal",'Control Room'!$B$7,('Control Room'!$B$8+'Control Room'!$D$8)/2))+SQRT(1-'Control Room'!$B$9^2)*(AH687-IF('Control Room'!$B$5="Normal",'Control Room'!$B$7,('Control Room'!$B$8+'Control Room'!$D$8)/2))</x:f>
        <x:v>953.6414190880579</x:v>
      </x:c>
      <x:c r="AJ687" s="17" t="n">
        <x:f>IF(AND($A687&gt;='Control Room'!$A$13,$A687&lt;'Control Room'!$A$13+'Control Room'!$B$13,'Process'!BQ2=1),1+('Control Room'!$C$13-1)*EXP(-0.5*(($A687-'Control Room'!$A$13-('Control Room'!$B$13-1)/2)/MAX(0.5,'Control Room'!$B$13/4))^2),1)*IF(AND($A687&gt;='Control Room'!$A$14,$A687&lt;'Control Room'!$A$14+'Control Room'!$B$14,'Process'!BQ3=1),1+('Control Room'!$C$14-1)*EXP(-0.5*(($A687-'Control Room'!$A$14-('Control Room'!$B$14-1)/2)/MAX(0.5,'Control Room'!$B$14/4))^2),1)*IF(AND($A687&gt;='Control Room'!$A$15,$A687&lt;'Control Room'!$A$15+'Control Room'!$B$15,'Process'!BQ4=1),1+('Control Room'!$C$15-1)*EXP(-0.5*(($A687-'Control Room'!$A$15-('Control Room'!$B$15-1)/2)/MAX(0.5,'Control Room'!$B$15/4))^2),1)*IF(AND($A687&gt;='Control Room'!$A$16,$A687&lt;'Control Room'!$A$16+'Control Room'!$B$16,'Process'!BQ5=1),1+('Control Room'!$C$16-1)*EXP(-0.5*(($A687-'Control Room'!$A$16-('Control Room'!$B$16-1)/2)/MAX(0.5,'Control Room'!$B$16/4))^2),1)</x:f>
        <x:v>1</x:v>
      </x:c>
      <x:c r="AK687" s="9" t="n">
        <x:f>MOD(AL686*16807,2147483647)</x:f>
        <x:v>120184692</x:v>
      </x:c>
      <x:c r="AL687" s="9" t="n">
        <x:f>MOD(AK687*16807,2147483647)</x:f>
        <x:v>1309490264</x:v>
      </x:c>
      <x:c r="AM687" s="17" t="n">
        <x:f>IF('Control Room'!$B$5="Normal",'Control Room'!$B$7+'Control Room'!$D$7*SQRT(-2*LN(MAX(0.000000000001,AK687/2147483647)))*COS(2*PI()*AL687/2147483647),'Control Room'!$B$8+('Control Room'!$D$8-'Control Room'!$B$8)*AK687/2147483647)</x:f>
        <x:v>833.2906410707267</x:v>
      </x:c>
      <x:c r="AN687" s="17" t="n">
        <x:f>IF('Control Room'!$B$5="Normal",'Control Room'!$B$7,('Control Room'!$B$8+'Control Room'!$D$8)/2)+'Control Room'!$B$9*(AN686-IF('Control Room'!$B$5="Normal",'Control Room'!$B$7,('Control Room'!$B$8+'Control Room'!$D$8)/2))+SQRT(1-'Control Room'!$B$9^2)*(AM687-IF('Control Room'!$B$5="Normal",'Control Room'!$B$7,('Control Room'!$B$8+'Control Room'!$D$8)/2))</x:f>
        <x:v>950.858491086184</x:v>
      </x:c>
      <x:c r="AO687" s="17" t="n">
        <x:f>IF(AND($A687&gt;='Control Room'!$A$13,$A687&lt;'Control Room'!$A$13+'Control Room'!$B$13,'Process'!BR2=1),1+('Control Room'!$C$13-1)*EXP(-0.5*(($A687-'Control Room'!$A$13-('Control Room'!$B$13-1)/2)/MAX(0.5,'Control Room'!$B$13/4))^2),1)*IF(AND($A687&gt;='Control Room'!$A$14,$A687&lt;'Control Room'!$A$14+'Control Room'!$B$14,'Process'!BR3=1),1+('Control Room'!$C$14-1)*EXP(-0.5*(($A687-'Control Room'!$A$14-('Control Room'!$B$14-1)/2)/MAX(0.5,'Control Room'!$B$14/4))^2),1)*IF(AND($A687&gt;='Control Room'!$A$15,$A687&lt;'Control Room'!$A$15+'Control Room'!$B$15,'Process'!BR4=1),1+('Control Room'!$C$15-1)*EXP(-0.5*(($A687-'Control Room'!$A$15-('Control Room'!$B$15-1)/2)/MAX(0.5,'Control Room'!$B$15/4))^2),1)*IF(AND($A687&gt;='Control Room'!$A$16,$A687&lt;'Control Room'!$A$16+'Control Room'!$B$16,'Process'!BR5=1),1+('Control Room'!$C$16-1)*EXP(-0.5*(($A687-'Control Room'!$A$16-('Control Room'!$B$16-1)/2)/MAX(0.5,'Control Room'!$B$16/4))^2),1)</x:f>
        <x:v>1</x:v>
      </x:c>
      <x:c r="AP687" s="9" t="n">
        <x:f>MOD(AQ686*16807,2147483647)</x:f>
        <x:v>959144590</x:v>
      </x:c>
      <x:c r="AQ687" s="9" t="n">
        <x:f>MOD(AP687*16807,2147483647)</x:f>
        <x:v>1330869748</x:v>
      </x:c>
      <x:c r="AR687" s="17" t="n">
        <x:f>IF('Control Room'!$B$5="Normal",'Control Room'!$B$7+'Control Room'!$D$7*SQRT(-2*LN(MAX(0.000000000001,AP687/2147483647)))*COS(2*PI()*AQ687/2147483647),'Control Room'!$B$8+('Control Room'!$D$8-'Control Room'!$B$8)*AP687/2147483647)</x:f>
        <x:v>916.5712449829264</x:v>
      </x:c>
      <x:c r="AS687" s="17" t="n">
        <x:f>IF('Control Room'!$B$5="Normal",'Control Room'!$B$7,('Control Room'!$B$8+'Control Room'!$D$8)/2)+'Control Room'!$B$9*(AS686-IF('Control Room'!$B$5="Normal",'Control Room'!$B$7,('Control Room'!$B$8+'Control Room'!$D$8)/2))+SQRT(1-'Control Room'!$B$9^2)*(AR687-IF('Control Room'!$B$5="Normal",'Control Room'!$B$7,('Control Room'!$B$8+'Control Room'!$D$8)/2))</x:f>
        <x:v>955.6276956167969</x:v>
      </x:c>
      <x:c r="AT687" s="17" t="n">
        <x:f>IF(AND($A687&gt;='Control Room'!$A$13,$A687&lt;'Control Room'!$A$13+'Control Room'!$B$13,'Process'!BS2=1),1+('Control Room'!$C$13-1)*EXP(-0.5*(($A687-'Control Room'!$A$13-('Control Room'!$B$13-1)/2)/MAX(0.5,'Control Room'!$B$13/4))^2),1)*IF(AND($A687&gt;='Control Room'!$A$14,$A687&lt;'Control Room'!$A$14+'Control Room'!$B$14,'Process'!BS3=1),1+('Control Room'!$C$14-1)*EXP(-0.5*(($A687-'Control Room'!$A$14-('Control Room'!$B$14-1)/2)/MAX(0.5,'Control Room'!$B$14/4))^2),1)*IF(AND($A687&gt;='Control Room'!$A$15,$A687&lt;'Control Room'!$A$15+'Control Room'!$B$15,'Process'!BS4=1),1+('Control Room'!$C$15-1)*EXP(-0.5*(($A687-'Control Room'!$A$15-('Control Room'!$B$15-1)/2)/MAX(0.5,'Control Room'!$B$15/4))^2),1)*IF(AND($A687&gt;='Control Room'!$A$16,$A687&lt;'Control Room'!$A$16+'Control Room'!$B$16,'Process'!BS5=1),1+('Control Room'!$C$16-1)*EXP(-0.5*(($A687-'Control Room'!$A$16-('Control Room'!$B$16-1)/2)/MAX(0.5,'Control Room'!$B$16/4))^2),1)</x:f>
        <x:v>1</x:v>
      </x:c>
      <x:c r="AU687" s="9" t="n">
        <x:f>MOD(AV686*16807,2147483647)</x:f>
        <x:v>1798104488</x:v>
      </x:c>
      <x:c r="AV687" s="9" t="n">
        <x:f>MOD(AU687*16807,2147483647)</x:f>
        <x:v>1352249232</x:v>
      </x:c>
      <x:c r="AW687" s="17" t="n">
        <x:f>IF('Control Room'!$B$5="Normal",'Control Room'!$B$7+'Control Room'!$D$7*SQRT(-2*LN(MAX(0.000000000001,AU687/2147483647)))*COS(2*PI()*AV687/2147483647),'Control Room'!$B$8+('Control Room'!$D$8-'Control Room'!$B$8)*AU687/2147483647)</x:f>
        <x:v>963.2094176975182</x:v>
      </x:c>
      <x:c r="AX687" s="17" t="n">
        <x:f>IF('Control Room'!$B$5="Normal",'Control Room'!$B$7,('Control Room'!$B$8+'Control Room'!$D$8)/2)+'Control Room'!$B$9*(AX686-IF('Control Room'!$B$5="Normal",'Control Room'!$B$7,('Control Room'!$B$8+'Control Room'!$D$8)/2))+SQRT(1-'Control Room'!$B$9^2)*(AW687-IF('Control Room'!$B$5="Normal",'Control Room'!$B$7,('Control Room'!$B$8+'Control Room'!$D$8)/2))</x:f>
        <x:v>985.9719363018982</x:v>
      </x:c>
      <x:c r="AY687" s="17" t="n">
        <x:f>IF(AND($A687&gt;='Control Room'!$A$13,$A687&lt;'Control Room'!$A$13+'Control Room'!$B$13,'Process'!BT2=1),1+('Control Room'!$C$13-1)*EXP(-0.5*(($A687-'Control Room'!$A$13-('Control Room'!$B$13-1)/2)/MAX(0.5,'Control Room'!$B$13/4))^2),1)*IF(AND($A687&gt;='Control Room'!$A$14,$A687&lt;'Control Room'!$A$14+'Control Room'!$B$14,'Process'!BT3=1),1+('Control Room'!$C$14-1)*EXP(-0.5*(($A687-'Control Room'!$A$14-('Control Room'!$B$14-1)/2)/MAX(0.5,'Control Room'!$B$14/4))^2),1)*IF(AND($A687&gt;='Control Room'!$A$15,$A687&lt;'Control Room'!$A$15+'Control Room'!$B$15,'Process'!BT4=1),1+('Control Room'!$C$15-1)*EXP(-0.5*(($A687-'Control Room'!$A$15-('Control Room'!$B$15-1)/2)/MAX(0.5,'Control Room'!$B$15/4))^2),1)*IF(AND($A687&gt;='Control Room'!$A$16,$A687&lt;'Control Room'!$A$16+'Control Room'!$B$16,'Process'!BT5=1),1+('Control Room'!$C$16-1)*EXP(-0.5*(($A687-'Control Room'!$A$16-('Control Room'!$B$16-1)/2)/MAX(0.5,'Control Room'!$B$16/4))^2),1)</x:f>
        <x:v>1</x:v>
      </x:c>
      <x:c r="AZ687" s="9" t="n">
        <x:f>MOD(BA686*16807,2147483647)</x:f>
        <x:v>489580739</x:v>
      </x:c>
      <x:c r="BA687" s="9" t="n">
        <x:f>MOD(AZ687*16807,2147483647)</x:f>
        <x:v>1373628716</x:v>
      </x:c>
      <x:c r="BB687" s="17" t="n">
        <x:f>IF('Control Room'!$B$5="Normal",'Control Room'!$B$7+'Control Room'!$D$7*SQRT(-2*LN(MAX(0.000000000001,AZ687/2147483647)))*COS(2*PI()*BA687/2147483647),'Control Room'!$B$8+('Control Room'!$D$8-'Control Room'!$B$8)*AZ687/2147483647)</x:f>
        <x:v>901.0848249003873</x:v>
      </x:c>
      <x:c r="BC687" s="17" t="n">
        <x:f>IF('Control Room'!$B$5="Normal",'Control Room'!$B$7,('Control Room'!$B$8+'Control Room'!$D$8)/2)+'Control Room'!$B$9*(BC686-IF('Control Room'!$B$5="Normal",'Control Room'!$B$7,('Control Room'!$B$8+'Control Room'!$D$8)/2))+SQRT(1-'Control Room'!$B$9^2)*(BB687-IF('Control Room'!$B$5="Normal",'Control Room'!$B$7,('Control Room'!$B$8+'Control Room'!$D$8)/2))</x:f>
        <x:v>834.6364766310313</x:v>
      </x:c>
      <x:c r="BD687" s="17" t="n">
        <x:f>IF(AND($A687&gt;='Control Room'!$A$13,$A687&lt;'Control Room'!$A$13+'Control Room'!$B$13,'Process'!BU2=1),1+('Control Room'!$C$13-1)*EXP(-0.5*(($A687-'Control Room'!$A$13-('Control Room'!$B$13-1)/2)/MAX(0.5,'Control Room'!$B$13/4))^2),1)*IF(AND($A687&gt;='Control Room'!$A$14,$A687&lt;'Control Room'!$A$14+'Control Room'!$B$14,'Process'!BU3=1),1+('Control Room'!$C$14-1)*EXP(-0.5*(($A687-'Control Room'!$A$14-('Control Room'!$B$14-1)/2)/MAX(0.5,'Control Room'!$B$14/4))^2),1)*IF(AND($A687&gt;='Control Room'!$A$15,$A687&lt;'Control Room'!$A$15+'Control Room'!$B$15,'Process'!BU4=1),1+('Control Room'!$C$15-1)*EXP(-0.5*(($A687-'Control Room'!$A$15-('Control Room'!$B$15-1)/2)/MAX(0.5,'Control Room'!$B$15/4))^2),1)*IF(AND($A687&gt;='Control Room'!$A$16,$A687&lt;'Control Room'!$A$16+'Control Room'!$B$16,'Process'!BU5=1),1+('Control Room'!$C$16-1)*EXP(-0.5*(($A687-'Control Room'!$A$16-('Control Room'!$B$16-1)/2)/MAX(0.5,'Control Room'!$B$16/4))^2),1)</x:f>
        <x:v>1</x:v>
      </x:c>
      <x:c r="BE687" s="9" t="n">
        <x:f>MOD(BF686*16807,2147483647)</x:f>
        <x:v>1328540637</x:v>
      </x:c>
      <x:c r="BF687" s="9" t="n">
        <x:f>MOD(BE687*16807,2147483647)</x:f>
        <x:v>1395008200</x:v>
      </x:c>
      <x:c r="BG687" s="17" t="n">
        <x:f>IF('Control Room'!$B$5="Normal",'Control Room'!$B$7+'Control Room'!$D$7*SQRT(-2*LN(MAX(0.000000000001,BE687/2147483647)))*COS(2*PI()*BF687/2147483647),'Control Room'!$B$8+('Control Room'!$D$8-'Control Room'!$B$8)*BE687/2147483647)</x:f>
        <x:v>947.9779078962504</x:v>
      </x:c>
      <x:c r="BH687" s="17" t="n">
        <x:f>IF('Control Room'!$B$5="Normal",'Control Room'!$B$7,('Control Room'!$B$8+'Control Room'!$D$8)/2)+'Control Room'!$B$9*(BH686-IF('Control Room'!$B$5="Normal",'Control Room'!$B$7,('Control Room'!$B$8+'Control Room'!$D$8)/2))+SQRT(1-'Control Room'!$B$9^2)*(BG687-IF('Control Room'!$B$5="Normal",'Control Room'!$B$7,('Control Room'!$B$8+'Control Room'!$D$8)/2))</x:f>
        <x:v>896.5629323150941</x:v>
      </x:c>
      <x:c r="BI687" s="17" t="n">
        <x:f>IF(AND($A687&gt;='Control Room'!$A$13,$A687&lt;'Control Room'!$A$13+'Control Room'!$B$13,'Process'!BV2=1),1+('Control Room'!$C$13-1)*EXP(-0.5*(($A687-'Control Room'!$A$13-('Control Room'!$B$13-1)/2)/MAX(0.5,'Control Room'!$B$13/4))^2),1)*IF(AND($A687&gt;='Control Room'!$A$14,$A687&lt;'Control Room'!$A$14+'Control Room'!$B$14,'Process'!BV3=1),1+('Control Room'!$C$14-1)*EXP(-0.5*(($A687-'Control Room'!$A$14-('Control Room'!$B$14-1)/2)/MAX(0.5,'Control Room'!$B$14/4))^2),1)*IF(AND($A687&gt;='Control Room'!$A$15,$A687&lt;'Control Room'!$A$15+'Control Room'!$B$15,'Process'!BV4=1),1+('Control Room'!$C$15-1)*EXP(-0.5*(($A687-'Control Room'!$A$15-('Control Room'!$B$15-1)/2)/MAX(0.5,'Control Room'!$B$15/4))^2),1)*IF(AND($A687&gt;='Control Room'!$A$16,$A687&lt;'Control Room'!$A$16+'Control Room'!$B$16,'Process'!BV5=1),1+('Control Room'!$C$16-1)*EXP(-0.5*(($A687-'Control Room'!$A$16-('Control Room'!$B$16-1)/2)/MAX(0.5,'Control Room'!$B$16/4))^2),1)</x:f>
        <x:v>1</x:v>
      </x:c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Z687" t="str">
        <x:f>IF('Data'!A687="","",TEXT('Data'!A687,"mm-dd"))</x:f>
      </x:c>
    </x:row>
    <x:row r="688" ht="21" customHeight="1">
      <x:c r="A688" s="15" t="n">
        <x:f>'Control Room'!$B$1+686</x:f>
        <x:v>73677</x:v>
      </x:c>
      <x:c r="B688" s="9" t="n">
        <x:f>MOD(C687*16807,2147483647)</x:f>
        <x:v>618890113</x:v>
      </x:c>
      <x:c r="C688" s="9" t="n">
        <x:f>MOD(B688*16807,2147483647)</x:f>
        <x:v>1422826770</x:v>
      </x:c>
      <x:c r="D688" s="17" t="n">
        <x:f>IF('Control Room'!$B$5="Normal",'Control Room'!$B$7+'Control Room'!$D$7*SQRT(-2*LN(MAX(0.000000000001,B688/2147483647)))*COS(2*PI()*C688/2147483647),'Control Room'!$B$8+('Control Room'!$D$8-'Control Room'!$B$8)*B688/2147483647)</x:f>
        <x:v>925.8642047705397</x:v>
      </x:c>
      <x:c r="E688" s="17" t="n">
        <x:f>IF('Control Room'!$B$5="Normal",'Control Room'!$B$7,('Control Room'!$B$8+'Control Room'!$D$8)/2)+'Control Room'!$B$9*(E687-IF('Control Room'!$B$5="Normal",'Control Room'!$B$7,('Control Room'!$B$8+'Control Room'!$D$8)/2))+SQRT(1-'Control Room'!$B$9^2)*(D688-IF('Control Room'!$B$5="Normal",'Control Room'!$B$7,('Control Room'!$B$8+'Control Room'!$D$8)/2))</x:f>
        <x:v>916.2230763982776</x:v>
      </x:c>
      <x:c r="F688" s="17" t="n">
        <x:f>IF(AND($A688&gt;='Control Room'!$A$13,$A688&lt;'Control Room'!$A$13+'Control Room'!$B$13,'Process'!BK2=1),1+('Control Room'!$C$13-1)*EXP(-0.5*(($A688-'Control Room'!$A$13-('Control Room'!$B$13-1)/2)/MAX(0.5,'Control Room'!$B$13/4))^2),1)*IF(AND($A688&gt;='Control Room'!$A$14,$A688&lt;'Control Room'!$A$14+'Control Room'!$B$14,'Process'!BK3=1),1+('Control Room'!$C$14-1)*EXP(-0.5*(($A688-'Control Room'!$A$14-('Control Room'!$B$14-1)/2)/MAX(0.5,'Control Room'!$B$14/4))^2),1)*IF(AND($A688&gt;='Control Room'!$A$15,$A688&lt;'Control Room'!$A$15+'Control Room'!$B$15,'Process'!BK4=1),1+('Control Room'!$C$15-1)*EXP(-0.5*(($A688-'Control Room'!$A$15-('Control Room'!$B$15-1)/2)/MAX(0.5,'Control Room'!$B$15/4))^2),1)*IF(AND($A688&gt;='Control Room'!$A$16,$A688&lt;'Control Room'!$A$16+'Control Room'!$B$16,'Process'!BK5=1),1+('Control Room'!$C$16-1)*EXP(-0.5*(($A688-'Control Room'!$A$16-('Control Room'!$B$16-1)/2)/MAX(0.5,'Control Room'!$B$16/4))^2),1)</x:f>
        <x:v>1</x:v>
      </x:c>
      <x:c r="G688" s="9" t="n">
        <x:f>MOD(H687*16807,2147483647)</x:f>
        <x:v>1314108652</x:v>
      </x:c>
      <x:c r="H688" s="9" t="n">
        <x:f>MOD(G688*16807,2147483647)</x:f>
        <x:v>1502288416</x:v>
      </x:c>
      <x:c r="I688" s="17" t="n">
        <x:f>IF('Control Room'!$B$5="Normal",'Control Room'!$B$7+'Control Room'!$D$7*SQRT(-2*LN(MAX(0.000000000001,G688/2147483647)))*COS(2*PI()*H688/2147483647),'Control Room'!$B$8+('Control Room'!$D$8-'Control Room'!$B$8)*G688/2147483647)</x:f>
        <x:v>972.2003090863134</x:v>
      </x:c>
      <x:c r="J688" s="17" t="n">
        <x:f>IF('Control Room'!$B$5="Normal",'Control Room'!$B$7,('Control Room'!$B$8+'Control Room'!$D$8)/2)+'Control Room'!$B$9*(J687-IF('Control Room'!$B$5="Normal",'Control Room'!$B$7,('Control Room'!$B$8+'Control Room'!$D$8)/2))+SQRT(1-'Control Room'!$B$9^2)*(I688-IF('Control Room'!$B$5="Normal",'Control Room'!$B$7,('Control Room'!$B$8+'Control Room'!$D$8)/2))</x:f>
        <x:v>884.0475750286848</x:v>
      </x:c>
      <x:c r="K688" s="17" t="n">
        <x:f>IF(AND($A688&gt;='Control Room'!$A$13,$A688&lt;'Control Room'!$A$13+'Control Room'!$B$13,'Process'!BL2=1),1+('Control Room'!$C$13-1)*EXP(-0.5*(($A688-'Control Room'!$A$13-('Control Room'!$B$13-1)/2)/MAX(0.5,'Control Room'!$B$13/4))^2),1)*IF(AND($A688&gt;='Control Room'!$A$14,$A688&lt;'Control Room'!$A$14+'Control Room'!$B$14,'Process'!BL3=1),1+('Control Room'!$C$14-1)*EXP(-0.5*(($A688-'Control Room'!$A$14-('Control Room'!$B$14-1)/2)/MAX(0.5,'Control Room'!$B$14/4))^2),1)*IF(AND($A688&gt;='Control Room'!$A$15,$A688&lt;'Control Room'!$A$15+'Control Room'!$B$15,'Process'!BL4=1),1+('Control Room'!$C$15-1)*EXP(-0.5*(($A688-'Control Room'!$A$15-('Control Room'!$B$15-1)/2)/MAX(0.5,'Control Room'!$B$15/4))^2),1)*IF(AND($A688&gt;='Control Room'!$A$16,$A688&lt;'Control Room'!$A$16+'Control Room'!$B$16,'Process'!BL5=1),1+('Control Room'!$C$16-1)*EXP(-0.5*(($A688-'Control Room'!$A$16-('Control Room'!$B$16-1)/2)/MAX(0.5,'Control Room'!$B$16/4))^2),1)</x:f>
        <x:v>1</x:v>
      </x:c>
      <x:c r="L688" s="9" t="n">
        <x:f>MOD(M687*16807,2147483647)</x:f>
        <x:v>2009327191</x:v>
      </x:c>
      <x:c r="M688" s="9" t="n">
        <x:f>MOD(L688*16807,2147483647)</x:f>
        <x:v>1581750062</x:v>
      </x:c>
      <x:c r="N688" s="17" t="n">
        <x:f>IF('Control Room'!$B$5="Normal",'Control Room'!$B$7+'Control Room'!$D$7*SQRT(-2*LN(MAX(0.000000000001,L688/2147483647)))*COS(2*PI()*M688/2147483647),'Control Room'!$B$8+('Control Room'!$D$8-'Control Room'!$B$8)*L688/2147483647)</x:f>
        <x:v>997.2316040296747</x:v>
      </x:c>
      <x:c r="O688" s="17" t="n">
        <x:f>IF('Control Room'!$B$5="Normal",'Control Room'!$B$7,('Control Room'!$B$8+'Control Room'!$D$8)/2)+'Control Room'!$B$9*(O687-IF('Control Room'!$B$5="Normal",'Control Room'!$B$7,('Control Room'!$B$8+'Control Room'!$D$8)/2))+SQRT(1-'Control Room'!$B$9^2)*(N688-IF('Control Room'!$B$5="Normal",'Control Room'!$B$7,('Control Room'!$B$8+'Control Room'!$D$8)/2))</x:f>
        <x:v>1045.8304380849768</x:v>
      </x:c>
      <x:c r="P688" s="17" t="n">
        <x:f>IF(AND($A688&gt;='Control Room'!$A$13,$A688&lt;'Control Room'!$A$13+'Control Room'!$B$13,'Process'!BM2=1),1+('Control Room'!$C$13-1)*EXP(-0.5*(($A688-'Control Room'!$A$13-('Control Room'!$B$13-1)/2)/MAX(0.5,'Control Room'!$B$13/4))^2),1)*IF(AND($A688&gt;='Control Room'!$A$14,$A688&lt;'Control Room'!$A$14+'Control Room'!$B$14,'Process'!BM3=1),1+('Control Room'!$C$14-1)*EXP(-0.5*(($A688-'Control Room'!$A$14-('Control Room'!$B$14-1)/2)/MAX(0.5,'Control Room'!$B$14/4))^2),1)*IF(AND($A688&gt;='Control Room'!$A$15,$A688&lt;'Control Room'!$A$15+'Control Room'!$B$15,'Process'!BM4=1),1+('Control Room'!$C$15-1)*EXP(-0.5*(($A688-'Control Room'!$A$15-('Control Room'!$B$15-1)/2)/MAX(0.5,'Control Room'!$B$15/4))^2),1)*IF(AND($A688&gt;='Control Room'!$A$16,$A688&lt;'Control Room'!$A$16+'Control Room'!$B$16,'Process'!BM5=1),1+('Control Room'!$C$16-1)*EXP(-0.5*(($A688-'Control Room'!$A$16-('Control Room'!$B$16-1)/2)/MAX(0.5,'Control Room'!$B$16/4))^2),1)</x:f>
        <x:v>1</x:v>
      </x:c>
      <x:c r="Q688" s="9" t="n">
        <x:f>MOD(R687*16807,2147483647)</x:f>
        <x:v>557062083</x:v>
      </x:c>
      <x:c r="R688" s="9" t="n">
        <x:f>MOD(Q688*16807,2147483647)</x:f>
        <x:v>1661211708</x:v>
      </x:c>
      <x:c r="S688" s="17" t="n">
        <x:f>IF('Control Room'!$B$5="Normal",'Control Room'!$B$7+'Control Room'!$D$7*SQRT(-2*LN(MAX(0.000000000001,Q688/2147483647)))*COS(2*PI()*R688/2147483647),'Control Room'!$B$8+('Control Room'!$D$8-'Control Room'!$B$8)*Q688/2147483647)</x:f>
        <x:v>1021.8086117665124</x:v>
      </x:c>
      <x:c r="T688" s="17" t="n">
        <x:f>IF('Control Room'!$B$5="Normal",'Control Room'!$B$7,('Control Room'!$B$8+'Control Room'!$D$8)/2)+'Control Room'!$B$9*(T687-IF('Control Room'!$B$5="Normal",'Control Room'!$B$7,('Control Room'!$B$8+'Control Room'!$D$8)/2))+SQRT(1-'Control Room'!$B$9^2)*(S688-IF('Control Room'!$B$5="Normal",'Control Room'!$B$7,('Control Room'!$B$8+'Control Room'!$D$8)/2))</x:f>
        <x:v>935.8449560960873</x:v>
      </x:c>
      <x:c r="U688" s="17" t="n">
        <x:f>IF(AND($A688&gt;='Control Room'!$A$13,$A688&lt;'Control Room'!$A$13+'Control Room'!$B$13,'Process'!BN2=1),1+('Control Room'!$C$13-1)*EXP(-0.5*(($A688-'Control Room'!$A$13-('Control Room'!$B$13-1)/2)/MAX(0.5,'Control Room'!$B$13/4))^2),1)*IF(AND($A688&gt;='Control Room'!$A$14,$A688&lt;'Control Room'!$A$14+'Control Room'!$B$14,'Process'!BN3=1),1+('Control Room'!$C$14-1)*EXP(-0.5*(($A688-'Control Room'!$A$14-('Control Room'!$B$14-1)/2)/MAX(0.5,'Control Room'!$B$14/4))^2),1)*IF(AND($A688&gt;='Control Room'!$A$15,$A688&lt;'Control Room'!$A$15+'Control Room'!$B$15,'Process'!BN4=1),1+('Control Room'!$C$15-1)*EXP(-0.5*(($A688-'Control Room'!$A$15-('Control Room'!$B$15-1)/2)/MAX(0.5,'Control Room'!$B$15/4))^2),1)*IF(AND($A688&gt;='Control Room'!$A$16,$A688&lt;'Control Room'!$A$16+'Control Room'!$B$16,'Process'!BN5=1),1+('Control Room'!$C$16-1)*EXP(-0.5*(($A688-'Control Room'!$A$16-('Control Room'!$B$16-1)/2)/MAX(0.5,'Control Room'!$B$16/4))^2),1)</x:f>
        <x:v>1</x:v>
      </x:c>
      <x:c r="V688" s="9" t="n">
        <x:f>MOD(W687*16807,2147483647)</x:f>
        <x:v>1252280622</x:v>
      </x:c>
      <x:c r="W688" s="9" t="n">
        <x:f>MOD(V688*16807,2147483647)</x:f>
        <x:v>1740673354</x:v>
      </x:c>
      <x:c r="X688" s="17" t="n">
        <x:f>IF('Control Room'!$B$5="Normal",'Control Room'!$B$7+'Control Room'!$D$7*SQRT(-2*LN(MAX(0.000000000001,V688/2147483647)))*COS(2*PI()*W688/2147483647),'Control Room'!$B$8+('Control Room'!$D$8-'Control Room'!$B$8)*V688/2147483647)</x:f>
        <x:v>1034.7174781911438</x:v>
      </x:c>
      <x:c r="Y688" s="17" t="n">
        <x:f>IF('Control Room'!$B$5="Normal",'Control Room'!$B$7,('Control Room'!$B$8+'Control Room'!$D$8)/2)+'Control Room'!$B$9*(Y687-IF('Control Room'!$B$5="Normal",'Control Room'!$B$7,('Control Room'!$B$8+'Control Room'!$D$8)/2))+SQRT(1-'Control Room'!$B$9^2)*(X688-IF('Control Room'!$B$5="Normal",'Control Room'!$B$7,('Control Room'!$B$8+'Control Room'!$D$8)/2))</x:f>
        <x:v>999.1895360099204</x:v>
      </x:c>
      <x:c r="Z688" s="17" t="n">
        <x:f>IF(AND($A688&gt;='Control Room'!$A$13,$A688&lt;'Control Room'!$A$13+'Control Room'!$B$13,'Process'!BO2=1),1+('Control Room'!$C$13-1)*EXP(-0.5*(($A688-'Control Room'!$A$13-('Control Room'!$B$13-1)/2)/MAX(0.5,'Control Room'!$B$13/4))^2),1)*IF(AND($A688&gt;='Control Room'!$A$14,$A688&lt;'Control Room'!$A$14+'Control Room'!$B$14,'Process'!BO3=1),1+('Control Room'!$C$14-1)*EXP(-0.5*(($A688-'Control Room'!$A$14-('Control Room'!$B$14-1)/2)/MAX(0.5,'Control Room'!$B$14/4))^2),1)*IF(AND($A688&gt;='Control Room'!$A$15,$A688&lt;'Control Room'!$A$15+'Control Room'!$B$15,'Process'!BO4=1),1+('Control Room'!$C$15-1)*EXP(-0.5*(($A688-'Control Room'!$A$15-('Control Room'!$B$15-1)/2)/MAX(0.5,'Control Room'!$B$15/4))^2),1)*IF(AND($A688&gt;='Control Room'!$A$16,$A688&lt;'Control Room'!$A$16+'Control Room'!$B$16,'Process'!BO5=1),1+('Control Room'!$C$16-1)*EXP(-0.5*(($A688-'Control Room'!$A$16-('Control Room'!$B$16-1)/2)/MAX(0.5,'Control Room'!$B$16/4))^2),1)</x:f>
        <x:v>1</x:v>
      </x:c>
      <x:c r="AA688" s="9" t="n">
        <x:f>MOD(AB687*16807,2147483647)</x:f>
        <x:v>1947499161</x:v>
      </x:c>
      <x:c r="AB688" s="9" t="n">
        <x:f>MOD(AA688*16807,2147483647)</x:f>
        <x:v>1820135000</x:v>
      </x:c>
      <x:c r="AC688" s="17" t="n">
        <x:f>IF('Control Room'!$B$5="Normal",'Control Room'!$B$7+'Control Room'!$D$7*SQRT(-2*LN(MAX(0.000000000001,AA688/2147483647)))*COS(2*PI()*AB688/2147483647),'Control Room'!$B$8+('Control Room'!$D$8-'Control Room'!$B$8)*AA688/2147483647)</x:f>
        <x:v>1022.8953327771642</x:v>
      </x:c>
      <x:c r="AD688" s="17" t="n">
        <x:f>IF('Control Room'!$B$5="Normal",'Control Room'!$B$7,('Control Room'!$B$8+'Control Room'!$D$8)/2)+'Control Room'!$B$9*(AD687-IF('Control Room'!$B$5="Normal",'Control Room'!$B$7,('Control Room'!$B$8+'Control Room'!$D$8)/2))+SQRT(1-'Control Room'!$B$9^2)*(AC688-IF('Control Room'!$B$5="Normal",'Control Room'!$B$7,('Control Room'!$B$8+'Control Room'!$D$8)/2))</x:f>
        <x:v>918.9822257585736</x:v>
      </x:c>
      <x:c r="AE688" s="17" t="n">
        <x:f>IF(AND($A688&gt;='Control Room'!$A$13,$A688&lt;'Control Room'!$A$13+'Control Room'!$B$13,'Process'!BP2=1),1+('Control Room'!$C$13-1)*EXP(-0.5*(($A688-'Control Room'!$A$13-('Control Room'!$B$13-1)/2)/MAX(0.5,'Control Room'!$B$13/4))^2),1)*IF(AND($A688&gt;='Control Room'!$A$14,$A688&lt;'Control Room'!$A$14+'Control Room'!$B$14,'Process'!BP3=1),1+('Control Room'!$C$14-1)*EXP(-0.5*(($A688-'Control Room'!$A$14-('Control Room'!$B$14-1)/2)/MAX(0.5,'Control Room'!$B$14/4))^2),1)*IF(AND($A688&gt;='Control Room'!$A$15,$A688&lt;'Control Room'!$A$15+'Control Room'!$B$15,'Process'!BP4=1),1+('Control Room'!$C$15-1)*EXP(-0.5*(($A688-'Control Room'!$A$15-('Control Room'!$B$15-1)/2)/MAX(0.5,'Control Room'!$B$15/4))^2),1)*IF(AND($A688&gt;='Control Room'!$A$16,$A688&lt;'Control Room'!$A$16+'Control Room'!$B$16,'Process'!BP5=1),1+('Control Room'!$C$16-1)*EXP(-0.5*(($A688-'Control Room'!$A$16-('Control Room'!$B$16-1)/2)/MAX(0.5,'Control Room'!$B$16/4))^2),1)</x:f>
        <x:v>1</x:v>
      </x:c>
      <x:c r="AF688" s="9" t="n">
        <x:f>MOD(AG687*16807,2147483647)</x:f>
        <x:v>495234053</x:v>
      </x:c>
      <x:c r="AG688" s="9" t="n">
        <x:f>MOD(AF688*16807,2147483647)</x:f>
        <x:v>1899596646</x:v>
      </x:c>
      <x:c r="AH688" s="17" t="n">
        <x:f>IF('Control Room'!$B$5="Normal",'Control Room'!$B$7+'Control Room'!$D$7*SQRT(-2*LN(MAX(0.000000000001,AF688/2147483647)))*COS(2*PI()*AG688/2147483647),'Control Room'!$B$8+('Control Room'!$D$8-'Control Room'!$B$8)*AF688/2147483647)</x:f>
        <x:v>1115.3614510705795</x:v>
      </x:c>
      <x:c r="AI688" s="17" t="n">
        <x:f>IF('Control Room'!$B$5="Normal",'Control Room'!$B$7,('Control Room'!$B$8+'Control Room'!$D$8)/2)+'Control Room'!$B$9*(AI687-IF('Control Room'!$B$5="Normal",'Control Room'!$B$7,('Control Room'!$B$8+'Control Room'!$D$8)/2))+SQRT(1-'Control Room'!$B$9^2)*(AH688-IF('Control Room'!$B$5="Normal",'Control Room'!$B$7,('Control Room'!$B$8+'Control Room'!$D$8)/2))</x:f>
        <x:v>1036.0311396608715</x:v>
      </x:c>
      <x:c r="AJ688" s="17" t="n">
        <x:f>IF(AND($A688&gt;='Control Room'!$A$13,$A688&lt;'Control Room'!$A$13+'Control Room'!$B$13,'Process'!BQ2=1),1+('Control Room'!$C$13-1)*EXP(-0.5*(($A688-'Control Room'!$A$13-('Control Room'!$B$13-1)/2)/MAX(0.5,'Control Room'!$B$13/4))^2),1)*IF(AND($A688&gt;='Control Room'!$A$14,$A688&lt;'Control Room'!$A$14+'Control Room'!$B$14,'Process'!BQ3=1),1+('Control Room'!$C$14-1)*EXP(-0.5*(($A688-'Control Room'!$A$14-('Control Room'!$B$14-1)/2)/MAX(0.5,'Control Room'!$B$14/4))^2),1)*IF(AND($A688&gt;='Control Room'!$A$15,$A688&lt;'Control Room'!$A$15+'Control Room'!$B$15,'Process'!BQ4=1),1+('Control Room'!$C$15-1)*EXP(-0.5*(($A688-'Control Room'!$A$15-('Control Room'!$B$15-1)/2)/MAX(0.5,'Control Room'!$B$15/4))^2),1)*IF(AND($A688&gt;='Control Room'!$A$16,$A688&lt;'Control Room'!$A$16+'Control Room'!$B$16,'Process'!BQ5=1),1+('Control Room'!$C$16-1)*EXP(-0.5*(($A688-'Control Room'!$A$16-('Control Room'!$B$16-1)/2)/MAX(0.5,'Control Room'!$B$16/4))^2),1)</x:f>
        <x:v>1</x:v>
      </x:c>
      <x:c r="AK688" s="9" t="n">
        <x:f>MOD(AL687*16807,2147483647)</x:f>
        <x:v>1190452592</x:v>
      </x:c>
      <x:c r="AL688" s="9" t="n">
        <x:f>MOD(AK688*16807,2147483647)</x:f>
        <x:v>1979058292</x:v>
      </x:c>
      <x:c r="AM688" s="17" t="n">
        <x:f>IF('Control Room'!$B$5="Normal",'Control Room'!$B$7+'Control Room'!$D$7*SQRT(-2*LN(MAX(0.000000000001,AK688/2147483647)))*COS(2*PI()*AL688/2147483647),'Control Room'!$B$8+('Control Room'!$D$8-'Control Room'!$B$8)*AK688/2147483647)</x:f>
        <x:v>1086.1301329128587</x:v>
      </x:c>
      <x:c r="AN688" s="17" t="n">
        <x:f>IF('Control Room'!$B$5="Normal",'Control Room'!$B$7,('Control Room'!$B$8+'Control Room'!$D$8)/2)+'Control Room'!$B$9*(AN687-IF('Control Room'!$B$5="Normal",'Control Room'!$B$7,('Control Room'!$B$8+'Control Room'!$D$8)/2))+SQRT(1-'Control Room'!$B$9^2)*(AM688-IF('Control Room'!$B$5="Normal",'Control Room'!$B$7,('Control Room'!$B$8+'Control Room'!$D$8)/2))</x:f>
        <x:v>1015.5680957524103</x:v>
      </x:c>
      <x:c r="AO688" s="17" t="n">
        <x:f>IF(AND($A688&gt;='Control Room'!$A$13,$A688&lt;'Control Room'!$A$13+'Control Room'!$B$13,'Process'!BR2=1),1+('Control Room'!$C$13-1)*EXP(-0.5*(($A688-'Control Room'!$A$13-('Control Room'!$B$13-1)/2)/MAX(0.5,'Control Room'!$B$13/4))^2),1)*IF(AND($A688&gt;='Control Room'!$A$14,$A688&lt;'Control Room'!$A$14+'Control Room'!$B$14,'Process'!BR3=1),1+('Control Room'!$C$14-1)*EXP(-0.5*(($A688-'Control Room'!$A$14-('Control Room'!$B$14-1)/2)/MAX(0.5,'Control Room'!$B$14/4))^2),1)*IF(AND($A688&gt;='Control Room'!$A$15,$A688&lt;'Control Room'!$A$15+'Control Room'!$B$15,'Process'!BR4=1),1+('Control Room'!$C$15-1)*EXP(-0.5*(($A688-'Control Room'!$A$15-('Control Room'!$B$15-1)/2)/MAX(0.5,'Control Room'!$B$15/4))^2),1)*IF(AND($A688&gt;='Control Room'!$A$16,$A688&lt;'Control Room'!$A$16+'Control Room'!$B$16,'Process'!BR5=1),1+('Control Room'!$C$16-1)*EXP(-0.5*(($A688-'Control Room'!$A$16-('Control Room'!$B$16-1)/2)/MAX(0.5,'Control Room'!$B$16/4))^2),1)</x:f>
        <x:v>1</x:v>
      </x:c>
      <x:c r="AP688" s="9" t="n">
        <x:f>MOD(AQ687*16807,2147483647)</x:f>
        <x:v>1885671131</x:v>
      </x:c>
      <x:c r="AQ688" s="9" t="n">
        <x:f>MOD(AP688*16807,2147483647)</x:f>
        <x:v>2058519938</x:v>
      </x:c>
      <x:c r="AR688" s="17" t="n">
        <x:f>IF('Control Room'!$B$5="Normal",'Control Room'!$B$7+'Control Room'!$D$7*SQRT(-2*LN(MAX(0.000000000001,AP688/2147483647)))*COS(2*PI()*AQ688/2147483647),'Control Room'!$B$8+('Control Room'!$D$8-'Control Room'!$B$8)*AP688/2147483647)</x:f>
        <x:v>1044.3475219700556</x:v>
      </x:c>
      <x:c r="AS688" s="17" t="n">
        <x:f>IF('Control Room'!$B$5="Normal",'Control Room'!$B$7,('Control Room'!$B$8+'Control Room'!$D$8)/2)+'Control Room'!$B$9*(AS687-IF('Control Room'!$B$5="Normal",'Control Room'!$B$7,('Control Room'!$B$8+'Control Room'!$D$8)/2))+SQRT(1-'Control Room'!$B$9^2)*(AR688-IF('Control Room'!$B$5="Normal",'Control Room'!$B$7,('Control Room'!$B$8+'Control Room'!$D$8)/2))</x:f>
        <x:v>993.141373321593</x:v>
      </x:c>
      <x:c r="AT688" s="17" t="n">
        <x:f>IF(AND($A688&gt;='Control Room'!$A$13,$A688&lt;'Control Room'!$A$13+'Control Room'!$B$13,'Process'!BS2=1),1+('Control Room'!$C$13-1)*EXP(-0.5*(($A688-'Control Room'!$A$13-('Control Room'!$B$13-1)/2)/MAX(0.5,'Control Room'!$B$13/4))^2),1)*IF(AND($A688&gt;='Control Room'!$A$14,$A688&lt;'Control Room'!$A$14+'Control Room'!$B$14,'Process'!BS3=1),1+('Control Room'!$C$14-1)*EXP(-0.5*(($A688-'Control Room'!$A$14-('Control Room'!$B$14-1)/2)/MAX(0.5,'Control Room'!$B$14/4))^2),1)*IF(AND($A688&gt;='Control Room'!$A$15,$A688&lt;'Control Room'!$A$15+'Control Room'!$B$15,'Process'!BS4=1),1+('Control Room'!$C$15-1)*EXP(-0.5*(($A688-'Control Room'!$A$15-('Control Room'!$B$15-1)/2)/MAX(0.5,'Control Room'!$B$15/4))^2),1)*IF(AND($A688&gt;='Control Room'!$A$16,$A688&lt;'Control Room'!$A$16+'Control Room'!$B$16,'Process'!BS5=1),1+('Control Room'!$C$16-1)*EXP(-0.5*(($A688-'Control Room'!$A$16-('Control Room'!$B$16-1)/2)/MAX(0.5,'Control Room'!$B$16/4))^2),1)</x:f>
        <x:v>1</x:v>
      </x:c>
      <x:c r="AU688" s="9" t="n">
        <x:f>MOD(AV687*16807,2147483647)</x:f>
        <x:v>433406023</x:v>
      </x:c>
      <x:c r="AV688" s="9" t="n">
        <x:f>MOD(AU688*16807,2147483647)</x:f>
        <x:v>2137981584</x:v>
      </x:c>
      <x:c r="AW688" s="17" t="n">
        <x:f>IF('Control Room'!$B$5="Normal",'Control Room'!$B$7+'Control Room'!$D$7*SQRT(-2*LN(MAX(0.000000000001,AU688/2147483647)))*COS(2*PI()*AV688/2147483647),'Control Room'!$B$8+('Control Room'!$D$8-'Control Room'!$B$8)*AU688/2147483647)</x:f>
        <x:v>1160.9536410022024</x:v>
      </x:c>
      <x:c r="AX688" s="17" t="n">
        <x:f>IF('Control Room'!$B$5="Normal",'Control Room'!$B$7,('Control Room'!$B$8+'Control Room'!$D$8)/2)+'Control Room'!$B$9*(AX687-IF('Control Room'!$B$5="Normal",'Control Room'!$B$7,('Control Room'!$B$8+'Control Room'!$D$8)/2))+SQRT(1-'Control Room'!$B$9^2)*(AW688-IF('Control Room'!$B$5="Normal",'Control Room'!$B$7,('Control Room'!$B$8+'Control Room'!$D$8)/2))</x:f>
        <x:v>1089.779601540098</x:v>
      </x:c>
      <x:c r="AY688" s="17" t="n">
        <x:f>IF(AND($A688&gt;='Control Room'!$A$13,$A688&lt;'Control Room'!$A$13+'Control Room'!$B$13,'Process'!BT2=1),1+('Control Room'!$C$13-1)*EXP(-0.5*(($A688-'Control Room'!$A$13-('Control Room'!$B$13-1)/2)/MAX(0.5,'Control Room'!$B$13/4))^2),1)*IF(AND($A688&gt;='Control Room'!$A$14,$A688&lt;'Control Room'!$A$14+'Control Room'!$B$14,'Process'!BT3=1),1+('Control Room'!$C$14-1)*EXP(-0.5*(($A688-'Control Room'!$A$14-('Control Room'!$B$14-1)/2)/MAX(0.5,'Control Room'!$B$14/4))^2),1)*IF(AND($A688&gt;='Control Room'!$A$15,$A688&lt;'Control Room'!$A$15+'Control Room'!$B$15,'Process'!BT4=1),1+('Control Room'!$C$15-1)*EXP(-0.5*(($A688-'Control Room'!$A$15-('Control Room'!$B$15-1)/2)/MAX(0.5,'Control Room'!$B$15/4))^2),1)*IF(AND($A688&gt;='Control Room'!$A$16,$A688&lt;'Control Room'!$A$16+'Control Room'!$B$16,'Process'!BT5=1),1+('Control Room'!$C$16-1)*EXP(-0.5*(($A688-'Control Room'!$A$16-('Control Room'!$B$16-1)/2)/MAX(0.5,'Control Room'!$B$16/4))^2),1)</x:f>
        <x:v>1</x:v>
      </x:c>
      <x:c r="AZ688" s="9" t="n">
        <x:f>MOD(BA687*16807,2147483647)</x:f>
        <x:v>1128624562</x:v>
      </x:c>
      <x:c r="BA688" s="9" t="n">
        <x:f>MOD(AZ688*16807,2147483647)</x:f>
        <x:v>69959583</x:v>
      </x:c>
      <x:c r="BB688" s="17" t="n">
        <x:f>IF('Control Room'!$B$5="Normal",'Control Room'!$B$7+'Control Room'!$D$7*SQRT(-2*LN(MAX(0.000000000001,AZ688/2147483647)))*COS(2*PI()*BA688/2147483647),'Control Room'!$B$8+('Control Room'!$D$8-'Control Room'!$B$8)*AZ688/2147483647)</x:f>
        <x:v>1099.9541854251088</x:v>
      </x:c>
      <x:c r="BC688" s="17" t="n">
        <x:f>IF('Control Room'!$B$5="Normal",'Control Room'!$B$7,('Control Room'!$B$8+'Control Room'!$D$8)/2)+'Control Room'!$B$9*(BC687-IF('Control Room'!$B$5="Normal",'Control Room'!$B$7,('Control Room'!$B$8+'Control Room'!$D$8)/2))+SQRT(1-'Control Room'!$B$9^2)*(BB688-IF('Control Room'!$B$5="Normal",'Control Room'!$B$7,('Control Room'!$B$8+'Control Room'!$D$8)/2))</x:f>
        <x:v>933.5657333384481</x:v>
      </x:c>
      <x:c r="BD688" s="17" t="n">
        <x:f>IF(AND($A688&gt;='Control Room'!$A$13,$A688&lt;'Control Room'!$A$13+'Control Room'!$B$13,'Process'!BU2=1),1+('Control Room'!$C$13-1)*EXP(-0.5*(($A688-'Control Room'!$A$13-('Control Room'!$B$13-1)/2)/MAX(0.5,'Control Room'!$B$13/4))^2),1)*IF(AND($A688&gt;='Control Room'!$A$14,$A688&lt;'Control Room'!$A$14+'Control Room'!$B$14,'Process'!BU3=1),1+('Control Room'!$C$14-1)*EXP(-0.5*(($A688-'Control Room'!$A$14-('Control Room'!$B$14-1)/2)/MAX(0.5,'Control Room'!$B$14/4))^2),1)*IF(AND($A688&gt;='Control Room'!$A$15,$A688&lt;'Control Room'!$A$15+'Control Room'!$B$15,'Process'!BU4=1),1+('Control Room'!$C$15-1)*EXP(-0.5*(($A688-'Control Room'!$A$15-('Control Room'!$B$15-1)/2)/MAX(0.5,'Control Room'!$B$15/4))^2),1)*IF(AND($A688&gt;='Control Room'!$A$16,$A688&lt;'Control Room'!$A$16+'Control Room'!$B$16,'Process'!BU5=1),1+('Control Room'!$C$16-1)*EXP(-0.5*(($A688-'Control Room'!$A$16-('Control Room'!$B$16-1)/2)/MAX(0.5,'Control Room'!$B$16/4))^2),1)</x:f>
        <x:v>1</x:v>
      </x:c>
      <x:c r="BE688" s="9" t="n">
        <x:f>MOD(BF687*16807,2147483647)</x:f>
        <x:v>1823843101</x:v>
      </x:c>
      <x:c r="BF688" s="9" t="n">
        <x:f>MOD(BE688*16807,2147483647)</x:f>
        <x:v>149421229</x:v>
      </x:c>
      <x:c r="BG688" s="17" t="n">
        <x:f>IF('Control Room'!$B$5="Normal",'Control Room'!$B$7+'Control Room'!$D$7*SQRT(-2*LN(MAX(0.000000000001,BE688/2147483647)))*COS(2*PI()*BF688/2147483647),'Control Room'!$B$8+('Control Room'!$D$8-'Control Room'!$B$8)*BE688/2147483647)</x:f>
        <x:v>1046.6038397909117</x:v>
      </x:c>
      <x:c r="BH688" s="17" t="n">
        <x:f>IF('Control Room'!$B$5="Normal",'Control Room'!$B$7,('Control Room'!$B$8+'Control Room'!$D$8)/2)+'Control Room'!$B$9*(BH687-IF('Control Room'!$B$5="Normal",'Control Room'!$B$7,('Control Room'!$B$8+'Control Room'!$D$8)/2))+SQRT(1-'Control Room'!$B$9^2)*(BG688-IF('Control Room'!$B$5="Normal",'Control Room'!$B$7,('Control Room'!$B$8+'Control Room'!$D$8)/2))</x:f>
        <x:v>948.4828154153736</x:v>
      </x:c>
      <x:c r="BI688" s="17" t="n">
        <x:f>IF(AND($A688&gt;='Control Room'!$A$13,$A688&lt;'Control Room'!$A$13+'Control Room'!$B$13,'Process'!BV2=1),1+('Control Room'!$C$13-1)*EXP(-0.5*(($A688-'Control Room'!$A$13-('Control Room'!$B$13-1)/2)/MAX(0.5,'Control Room'!$B$13/4))^2),1)*IF(AND($A688&gt;='Control Room'!$A$14,$A688&lt;'Control Room'!$A$14+'Control Room'!$B$14,'Process'!BV3=1),1+('Control Room'!$C$14-1)*EXP(-0.5*(($A688-'Control Room'!$A$14-('Control Room'!$B$14-1)/2)/MAX(0.5,'Control Room'!$B$14/4))^2),1)*IF(AND($A688&gt;='Control Room'!$A$15,$A688&lt;'Control Room'!$A$15+'Control Room'!$B$15,'Process'!BV4=1),1+('Control Room'!$C$15-1)*EXP(-0.5*(($A688-'Control Room'!$A$15-('Control Room'!$B$15-1)/2)/MAX(0.5,'Control Room'!$B$15/4))^2),1)*IF(AND($A688&gt;='Control Room'!$A$16,$A688&lt;'Control Room'!$A$16+'Control Room'!$B$16,'Process'!BV5=1),1+('Control Room'!$C$16-1)*EXP(-0.5*(($A688-'Control Room'!$A$16-('Control Room'!$B$16-1)/2)/MAX(0.5,'Control Room'!$B$16/4))^2),1)</x:f>
        <x:v>1</x:v>
      </x:c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Z688" t="str">
        <x:f>IF('Data'!A688="","",TEXT('Data'!A688,"mm-dd"))</x:f>
      </x:c>
    </x:row>
    <x:row r="689" ht="21" customHeight="1">
      <x:c r="A689" s="15" t="n">
        <x:f>'Control Room'!$B$1+687</x:f>
        <x:v>73678</x:v>
      </x:c>
      <x:c r="B689" s="9" t="n">
        <x:f>MOD(C688*16807,2147483647)</x:f>
        <x:v>1219114045</x:v>
      </x:c>
      <x:c r="C689" s="9" t="n">
        <x:f>MOD(B689*16807,2147483647)</x:f>
        <x:v>508278288</x:v>
      </x:c>
      <x:c r="D689" s="17" t="n">
        <x:f>IF('Control Room'!$B$5="Normal",'Control Room'!$B$7+'Control Room'!$D$7*SQRT(-2*LN(MAX(0.000000000001,B689/2147483647)))*COS(2*PI()*C689/2147483647),'Control Room'!$B$8+('Control Room'!$D$8-'Control Room'!$B$8)*B689/2147483647)</x:f>
        <x:v>1008.0025640815866</x:v>
      </x:c>
      <x:c r="E689" s="17" t="n">
        <x:f>IF('Control Room'!$B$5="Normal",'Control Room'!$B$7,('Control Room'!$B$8+'Control Room'!$D$8)/2)+'Control Room'!$B$9*(E688-IF('Control Room'!$B$5="Normal",'Control Room'!$B$7,('Control Room'!$B$8+'Control Room'!$D$8)/2))+SQRT(1-'Control Room'!$B$9^2)*(D689-IF('Control Room'!$B$5="Normal",'Control Room'!$B$7,('Control Room'!$B$8+'Control Room'!$D$8)/2))</x:f>
        <x:v>939.6618402514772</x:v>
      </x:c>
      <x:c r="F689" s="17" t="n">
        <x:f>IF(AND($A689&gt;='Control Room'!$A$13,$A689&lt;'Control Room'!$A$13+'Control Room'!$B$13,'Process'!BK2=1),1+('Control Room'!$C$13-1)*EXP(-0.5*(($A689-'Control Room'!$A$13-('Control Room'!$B$13-1)/2)/MAX(0.5,'Control Room'!$B$13/4))^2),1)*IF(AND($A689&gt;='Control Room'!$A$14,$A689&lt;'Control Room'!$A$14+'Control Room'!$B$14,'Process'!BK3=1),1+('Control Room'!$C$14-1)*EXP(-0.5*(($A689-'Control Room'!$A$14-('Control Room'!$B$14-1)/2)/MAX(0.5,'Control Room'!$B$14/4))^2),1)*IF(AND($A689&gt;='Control Room'!$A$15,$A689&lt;'Control Room'!$A$15+'Control Room'!$B$15,'Process'!BK4=1),1+('Control Room'!$C$15-1)*EXP(-0.5*(($A689-'Control Room'!$A$15-('Control Room'!$B$15-1)/2)/MAX(0.5,'Control Room'!$B$15/4))^2),1)*IF(AND($A689&gt;='Control Room'!$A$16,$A689&lt;'Control Room'!$A$16+'Control Room'!$B$16,'Process'!BK5=1),1+('Control Room'!$C$16-1)*EXP(-0.5*(($A689-'Control Room'!$A$16-('Control Room'!$B$16-1)/2)/MAX(0.5,'Control Room'!$B$16/4))^2),1)</x:f>
        <x:v>1</x:v>
      </x:c>
      <x:c r="G689" s="9" t="n">
        <x:f>MOD(H688*16807,2147483647)</x:f>
        <x:v>996169933</x:v>
      </x:c>
      <x:c r="H689" s="9" t="n">
        <x:f>MOD(G689*16807,2147483647)</x:f>
        <x:v>845551919</x:v>
      </x:c>
      <x:c r="I689" s="17" t="n">
        <x:f>IF('Control Room'!$B$5="Normal",'Control Room'!$B$7+'Control Room'!$D$7*SQRT(-2*LN(MAX(0.000000000001,G689/2147483647)))*COS(2*PI()*H689/2147483647),'Control Room'!$B$8+('Control Room'!$D$8-'Control Room'!$B$8)*G689/2147483647)</x:f>
        <x:v>912.4005839453002</x:v>
      </x:c>
      <x:c r="J689" s="17" t="n">
        <x:f>IF('Control Room'!$B$5="Normal",'Control Room'!$B$7,('Control Room'!$B$8+'Control Room'!$D$8)/2)+'Control Room'!$B$9*(J688-IF('Control Room'!$B$5="Normal",'Control Room'!$B$7,('Control Room'!$B$8+'Control Room'!$D$8)/2))+SQRT(1-'Control Room'!$B$9^2)*(I689-IF('Control Room'!$B$5="Normal",'Control Room'!$B$7,('Control Room'!$B$8+'Control Room'!$D$8)/2))</x:f>
        <x:v>854.7391885269246</x:v>
      </x:c>
      <x:c r="K689" s="17" t="n">
        <x:f>IF(AND($A689&gt;='Control Room'!$A$13,$A689&lt;'Control Room'!$A$13+'Control Room'!$B$13,'Process'!BL2=1),1+('Control Room'!$C$13-1)*EXP(-0.5*(($A689-'Control Room'!$A$13-('Control Room'!$B$13-1)/2)/MAX(0.5,'Control Room'!$B$13/4))^2),1)*IF(AND($A689&gt;='Control Room'!$A$14,$A689&lt;'Control Room'!$A$14+'Control Room'!$B$14,'Process'!BL3=1),1+('Control Room'!$C$14-1)*EXP(-0.5*(($A689-'Control Room'!$A$14-('Control Room'!$B$14-1)/2)/MAX(0.5,'Control Room'!$B$14/4))^2),1)*IF(AND($A689&gt;='Control Room'!$A$15,$A689&lt;'Control Room'!$A$15+'Control Room'!$B$15,'Process'!BL4=1),1+('Control Room'!$C$15-1)*EXP(-0.5*(($A689-'Control Room'!$A$15-('Control Room'!$B$15-1)/2)/MAX(0.5,'Control Room'!$B$15/4))^2),1)*IF(AND($A689&gt;='Control Room'!$A$16,$A689&lt;'Control Room'!$A$16+'Control Room'!$B$16,'Process'!BL5=1),1+('Control Room'!$C$16-1)*EXP(-0.5*(($A689-'Control Room'!$A$16-('Control Room'!$B$16-1)/2)/MAX(0.5,'Control Room'!$B$16/4))^2),1)</x:f>
        <x:v>1</x:v>
      </x:c>
      <x:c r="L689" s="9" t="n">
        <x:f>MOD(M688*16807,2147483647)</x:f>
        <x:v>773225821</x:v>
      </x:c>
      <x:c r="M689" s="9" t="n">
        <x:f>MOD(L689*16807,2147483647)</x:f>
        <x:v>1182825550</x:v>
      </x:c>
      <x:c r="N689" s="17" t="n">
        <x:f>IF('Control Room'!$B$5="Normal",'Control Room'!$B$7+'Control Room'!$D$7*SQRT(-2*LN(MAX(0.000000000001,L689/2147483647)))*COS(2*PI()*M689/2147483647),'Control Room'!$B$8+('Control Room'!$D$8-'Control Room'!$B$8)*L689/2147483647)</x:f>
        <x:v>877.85740854982</x:v>
      </x:c>
      <x:c r="O689" s="17" t="n">
        <x:f>IF('Control Room'!$B$5="Normal",'Control Room'!$B$7,('Control Room'!$B$8+'Control Room'!$D$8)/2)+'Control Room'!$B$9*(O688-IF('Control Room'!$B$5="Normal",'Control Room'!$B$7,('Control Room'!$B$8+'Control Room'!$D$8)/2))+SQRT(1-'Control Room'!$B$9^2)*(N689-IF('Control Room'!$B$5="Normal",'Control Room'!$B$7,('Control Room'!$B$8+'Control Room'!$D$8)/2))</x:f>
        <x:v>959.3134102037533</x:v>
      </x:c>
      <x:c r="P689" s="17" t="n">
        <x:f>IF(AND($A689&gt;='Control Room'!$A$13,$A689&lt;'Control Room'!$A$13+'Control Room'!$B$13,'Process'!BM2=1),1+('Control Room'!$C$13-1)*EXP(-0.5*(($A689-'Control Room'!$A$13-('Control Room'!$B$13-1)/2)/MAX(0.5,'Control Room'!$B$13/4))^2),1)*IF(AND($A689&gt;='Control Room'!$A$14,$A689&lt;'Control Room'!$A$14+'Control Room'!$B$14,'Process'!BM3=1),1+('Control Room'!$C$14-1)*EXP(-0.5*(($A689-'Control Room'!$A$14-('Control Room'!$B$14-1)/2)/MAX(0.5,'Control Room'!$B$14/4))^2),1)*IF(AND($A689&gt;='Control Room'!$A$15,$A689&lt;'Control Room'!$A$15+'Control Room'!$B$15,'Process'!BM4=1),1+('Control Room'!$C$15-1)*EXP(-0.5*(($A689-'Control Room'!$A$15-('Control Room'!$B$15-1)/2)/MAX(0.5,'Control Room'!$B$15/4))^2),1)*IF(AND($A689&gt;='Control Room'!$A$16,$A689&lt;'Control Room'!$A$16+'Control Room'!$B$16,'Process'!BM5=1),1+('Control Room'!$C$16-1)*EXP(-0.5*(($A689-'Control Room'!$A$16-('Control Room'!$B$16-1)/2)/MAX(0.5,'Control Room'!$B$16/4))^2),1)</x:f>
        <x:v>1</x:v>
      </x:c>
      <x:c r="Q689" s="9" t="n">
        <x:f>MOD(R688*16807,2147483647)</x:f>
        <x:v>550281709</x:v>
      </x:c>
      <x:c r="R689" s="9" t="n">
        <x:f>MOD(Q689*16807,2147483647)</x:f>
        <x:v>1520099181</x:v>
      </x:c>
      <x:c r="S689" s="17" t="n">
        <x:f>IF('Control Room'!$B$5="Normal",'Control Room'!$B$7+'Control Room'!$D$7*SQRT(-2*LN(MAX(0.000000000001,Q689/2147483647)))*COS(2*PI()*R689/2147483647),'Control Room'!$B$8+('Control Room'!$D$8-'Control Room'!$B$8)*Q689/2147483647)</x:f>
        <x:v>961.1258427450406</x:v>
      </x:c>
      <x:c r="T689" s="17" t="n">
        <x:f>IF('Control Room'!$B$5="Normal",'Control Room'!$B$7,('Control Room'!$B$8+'Control Room'!$D$8)/2)+'Control Room'!$B$9*(T688-IF('Control Room'!$B$5="Normal",'Control Room'!$B$7,('Control Room'!$B$8+'Control Room'!$D$8)/2))+SQRT(1-'Control Room'!$B$9^2)*(S689-IF('Control Room'!$B$5="Normal",'Control Room'!$B$7,('Control Room'!$B$8+'Control Room'!$D$8)/2))</x:f>
        <x:v>925.632414525193</x:v>
      </x:c>
      <x:c r="U689" s="17" t="n">
        <x:f>IF(AND($A689&gt;='Control Room'!$A$13,$A689&lt;'Control Room'!$A$13+'Control Room'!$B$13,'Process'!BN2=1),1+('Control Room'!$C$13-1)*EXP(-0.5*(($A689-'Control Room'!$A$13-('Control Room'!$B$13-1)/2)/MAX(0.5,'Control Room'!$B$13/4))^2),1)*IF(AND($A689&gt;='Control Room'!$A$14,$A689&lt;'Control Room'!$A$14+'Control Room'!$B$14,'Process'!BN3=1),1+('Control Room'!$C$14-1)*EXP(-0.5*(($A689-'Control Room'!$A$14-('Control Room'!$B$14-1)/2)/MAX(0.5,'Control Room'!$B$14/4))^2),1)*IF(AND($A689&gt;='Control Room'!$A$15,$A689&lt;'Control Room'!$A$15+'Control Room'!$B$15,'Process'!BN4=1),1+('Control Room'!$C$15-1)*EXP(-0.5*(($A689-'Control Room'!$A$15-('Control Room'!$B$15-1)/2)/MAX(0.5,'Control Room'!$B$15/4))^2),1)*IF(AND($A689&gt;='Control Room'!$A$16,$A689&lt;'Control Room'!$A$16+'Control Room'!$B$16,'Process'!BN5=1),1+('Control Room'!$C$16-1)*EXP(-0.5*(($A689-'Control Room'!$A$16-('Control Room'!$B$16-1)/2)/MAX(0.5,'Control Room'!$B$16/4))^2),1)</x:f>
        <x:v>1</x:v>
      </x:c>
      <x:c r="V689" s="9" t="n">
        <x:f>MOD(W688*16807,2147483647)</x:f>
        <x:v>327337597</x:v>
      </x:c>
      <x:c r="W689" s="9" t="n">
        <x:f>MOD(V689*16807,2147483647)</x:f>
        <x:v>1857372812</x:v>
      </x:c>
      <x:c r="X689" s="17" t="n">
        <x:f>IF('Control Room'!$B$5="Normal",'Control Room'!$B$7+'Control Room'!$D$7*SQRT(-2*LN(MAX(0.000000000001,V689/2147483647)))*COS(2*PI()*W689/2147483647),'Control Room'!$B$8+('Control Room'!$D$8-'Control Room'!$B$8)*V689/2147483647)</x:f>
        <x:v>1115.3654948005055</x:v>
      </x:c>
      <x:c r="Y689" s="17" t="n">
        <x:f>IF('Control Room'!$B$5="Normal",'Control Room'!$B$7,('Control Room'!$B$8+'Control Room'!$D$8)/2)+'Control Room'!$B$9*(Y688-IF('Control Room'!$B$5="Normal",'Control Room'!$B$7,('Control Room'!$B$8+'Control Room'!$D$8)/2))+SQRT(1-'Control Room'!$B$9^2)*(X689-IF('Control Room'!$B$5="Normal",'Control Room'!$B$7,('Control Room'!$B$8+'Control Room'!$D$8)/2))</x:f>
        <x:v>1071.5612013432715</x:v>
      </x:c>
      <x:c r="Z689" s="17" t="n">
        <x:f>IF(AND($A689&gt;='Control Room'!$A$13,$A689&lt;'Control Room'!$A$13+'Control Room'!$B$13,'Process'!BO2=1),1+('Control Room'!$C$13-1)*EXP(-0.5*(($A689-'Control Room'!$A$13-('Control Room'!$B$13-1)/2)/MAX(0.5,'Control Room'!$B$13/4))^2),1)*IF(AND($A689&gt;='Control Room'!$A$14,$A689&lt;'Control Room'!$A$14+'Control Room'!$B$14,'Process'!BO3=1),1+('Control Room'!$C$14-1)*EXP(-0.5*(($A689-'Control Room'!$A$14-('Control Room'!$B$14-1)/2)/MAX(0.5,'Control Room'!$B$14/4))^2),1)*IF(AND($A689&gt;='Control Room'!$A$15,$A689&lt;'Control Room'!$A$15+'Control Room'!$B$15,'Process'!BO4=1),1+('Control Room'!$C$15-1)*EXP(-0.5*(($A689-'Control Room'!$A$15-('Control Room'!$B$15-1)/2)/MAX(0.5,'Control Room'!$B$15/4))^2),1)*IF(AND($A689&gt;='Control Room'!$A$16,$A689&lt;'Control Room'!$A$16+'Control Room'!$B$16,'Process'!BO5=1),1+('Control Room'!$C$16-1)*EXP(-0.5*(($A689-'Control Room'!$A$16-('Control Room'!$B$16-1)/2)/MAX(0.5,'Control Room'!$B$16/4))^2),1)</x:f>
        <x:v>1</x:v>
      </x:c>
      <x:c r="AA689" s="9" t="n">
        <x:f>MOD(AB688*16807,2147483647)</x:f>
        <x:v>104393485</x:v>
      </x:c>
      <x:c r="AB689" s="9" t="n">
        <x:f>MOD(AA689*16807,2147483647)</x:f>
        <x:v>47162796</x:v>
      </x:c>
      <x:c r="AC689" s="17" t="n">
        <x:f>IF('Control Room'!$B$5="Normal",'Control Room'!$B$7+'Control Room'!$D$7*SQRT(-2*LN(MAX(0.000000000001,AA689/2147483647)))*COS(2*PI()*AB689/2147483647),'Control Room'!$B$8+('Control Room'!$D$8-'Control Room'!$B$8)*AA689/2147483647)</x:f>
        <x:v>1219.2260442620284</x:v>
      </x:c>
      <x:c r="AD689" s="17" t="n">
        <x:f>IF('Control Room'!$B$5="Normal",'Control Room'!$B$7,('Control Room'!$B$8+'Control Room'!$D$8)/2)+'Control Room'!$B$9*(AD688-IF('Control Room'!$B$5="Normal",'Control Room'!$B$7,('Control Room'!$B$8+'Control Room'!$D$8)/2))+SQRT(1-'Control Room'!$B$9^2)*(AC689-IF('Control Room'!$B$5="Normal",'Control Room'!$B$7,('Control Room'!$B$8+'Control Room'!$D$8)/2))</x:f>
        <x:v>1073.9933035012355</x:v>
      </x:c>
      <x:c r="AE689" s="17" t="n">
        <x:f>IF(AND($A689&gt;='Control Room'!$A$13,$A689&lt;'Control Room'!$A$13+'Control Room'!$B$13,'Process'!BP2=1),1+('Control Room'!$C$13-1)*EXP(-0.5*(($A689-'Control Room'!$A$13-('Control Room'!$B$13-1)/2)/MAX(0.5,'Control Room'!$B$13/4))^2),1)*IF(AND($A689&gt;='Control Room'!$A$14,$A689&lt;'Control Room'!$A$14+'Control Room'!$B$14,'Process'!BP3=1),1+('Control Room'!$C$14-1)*EXP(-0.5*(($A689-'Control Room'!$A$14-('Control Room'!$B$14-1)/2)/MAX(0.5,'Control Room'!$B$14/4))^2),1)*IF(AND($A689&gt;='Control Room'!$A$15,$A689&lt;'Control Room'!$A$15+'Control Room'!$B$15,'Process'!BP4=1),1+('Control Room'!$C$15-1)*EXP(-0.5*(($A689-'Control Room'!$A$15-('Control Room'!$B$15-1)/2)/MAX(0.5,'Control Room'!$B$15/4))^2),1)*IF(AND($A689&gt;='Control Room'!$A$16,$A689&lt;'Control Room'!$A$16+'Control Room'!$B$16,'Process'!BP5=1),1+('Control Room'!$C$16-1)*EXP(-0.5*(($A689-'Control Room'!$A$16-('Control Room'!$B$16-1)/2)/MAX(0.5,'Control Room'!$B$16/4))^2),1)</x:f>
        <x:v>1</x:v>
      </x:c>
      <x:c r="AF689" s="9" t="n">
        <x:f>MOD(AG688*16807,2147483647)</x:f>
        <x:v>2028933020</x:v>
      </x:c>
      <x:c r="AG689" s="9" t="n">
        <x:f>MOD(AF689*16807,2147483647)</x:f>
        <x:v>384436427</x:v>
      </x:c>
      <x:c r="AH689" s="17" t="n">
        <x:f>IF('Control Room'!$B$5="Normal",'Control Room'!$B$7+'Control Room'!$D$7*SQRT(-2*LN(MAX(0.000000000001,AF689/2147483647)))*COS(2*PI()*AG689/2147483647),'Control Room'!$B$8+('Control Room'!$D$8-'Control Room'!$B$8)*AF689/2147483647)</x:f>
        <x:v>1013.0833660956836</x:v>
      </x:c>
      <x:c r="AI689" s="17" t="n">
        <x:f>IF('Control Room'!$B$5="Normal",'Control Room'!$B$7,('Control Room'!$B$8+'Control Room'!$D$8)/2)+'Control Room'!$B$9*(AI688-IF('Control Room'!$B$5="Normal",'Control Room'!$B$7,('Control Room'!$B$8+'Control Room'!$D$8)/2))+SQRT(1-'Control Room'!$B$9^2)*(AH689-IF('Control Room'!$B$5="Normal",'Control Room'!$B$7,('Control Room'!$B$8+'Control Room'!$D$8)/2))</x:f>
        <x:v>1036.2915914108355</x:v>
      </x:c>
      <x:c r="AJ689" s="17" t="n">
        <x:f>IF(AND($A689&gt;='Control Room'!$A$13,$A689&lt;'Control Room'!$A$13+'Control Room'!$B$13,'Process'!BQ2=1),1+('Control Room'!$C$13-1)*EXP(-0.5*(($A689-'Control Room'!$A$13-('Control Room'!$B$13-1)/2)/MAX(0.5,'Control Room'!$B$13/4))^2),1)*IF(AND($A689&gt;='Control Room'!$A$14,$A689&lt;'Control Room'!$A$14+'Control Room'!$B$14,'Process'!BQ3=1),1+('Control Room'!$C$14-1)*EXP(-0.5*(($A689-'Control Room'!$A$14-('Control Room'!$B$14-1)/2)/MAX(0.5,'Control Room'!$B$14/4))^2),1)*IF(AND($A689&gt;='Control Room'!$A$15,$A689&lt;'Control Room'!$A$15+'Control Room'!$B$15,'Process'!BQ4=1),1+('Control Room'!$C$15-1)*EXP(-0.5*(($A689-'Control Room'!$A$15-('Control Room'!$B$15-1)/2)/MAX(0.5,'Control Room'!$B$15/4))^2),1)*IF(AND($A689&gt;='Control Room'!$A$16,$A689&lt;'Control Room'!$A$16+'Control Room'!$B$16,'Process'!BQ5=1),1+('Control Room'!$C$16-1)*EXP(-0.5*(($A689-'Control Room'!$A$16-('Control Room'!$B$16-1)/2)/MAX(0.5,'Control Room'!$B$16/4))^2),1)</x:f>
        <x:v>1</x:v>
      </x:c>
      <x:c r="AK689" s="9" t="n">
        <x:f>MOD(AL688*16807,2147483647)</x:f>
        <x:v>1805988908</x:v>
      </x:c>
      <x:c r="AL689" s="9" t="n">
        <x:f>MOD(AK689*16807,2147483647)</x:f>
        <x:v>721710058</x:v>
      </x:c>
      <x:c r="AM689" s="17" t="n">
        <x:f>IF('Control Room'!$B$5="Normal",'Control Room'!$B$7+'Control Room'!$D$7*SQRT(-2*LN(MAX(0.000000000001,AK689/2147483647)))*COS(2*PI()*AL689/2147483647),'Control Room'!$B$8+('Control Room'!$D$8-'Control Room'!$B$8)*AK689/2147483647)</x:f>
        <x:v>972.7302843897788</x:v>
      </x:c>
      <x:c r="AN689" s="17" t="n">
        <x:f>IF('Control Room'!$B$5="Normal",'Control Room'!$B$7,('Control Room'!$B$8+'Control Room'!$D$8)/2)+'Control Room'!$B$9*(AN688-IF('Control Room'!$B$5="Normal",'Control Room'!$B$7,('Control Room'!$B$8+'Control Room'!$D$8)/2))+SQRT(1-'Control Room'!$B$9^2)*(AM689-IF('Control Room'!$B$5="Normal",'Control Room'!$B$7,('Control Room'!$B$8+'Control Room'!$D$8)/2))</x:f>
        <x:v>995.0782853084933</x:v>
      </x:c>
      <x:c r="AO689" s="17" t="n">
        <x:f>IF(AND($A689&gt;='Control Room'!$A$13,$A689&lt;'Control Room'!$A$13+'Control Room'!$B$13,'Process'!BR2=1),1+('Control Room'!$C$13-1)*EXP(-0.5*(($A689-'Control Room'!$A$13-('Control Room'!$B$13-1)/2)/MAX(0.5,'Control Room'!$B$13/4))^2),1)*IF(AND($A689&gt;='Control Room'!$A$14,$A689&lt;'Control Room'!$A$14+'Control Room'!$B$14,'Process'!BR3=1),1+('Control Room'!$C$14-1)*EXP(-0.5*(($A689-'Control Room'!$A$14-('Control Room'!$B$14-1)/2)/MAX(0.5,'Control Room'!$B$14/4))^2),1)*IF(AND($A689&gt;='Control Room'!$A$15,$A689&lt;'Control Room'!$A$15+'Control Room'!$B$15,'Process'!BR4=1),1+('Control Room'!$C$15-1)*EXP(-0.5*(($A689-'Control Room'!$A$15-('Control Room'!$B$15-1)/2)/MAX(0.5,'Control Room'!$B$15/4))^2),1)*IF(AND($A689&gt;='Control Room'!$A$16,$A689&lt;'Control Room'!$A$16+'Control Room'!$B$16,'Process'!BR5=1),1+('Control Room'!$C$16-1)*EXP(-0.5*(($A689-'Control Room'!$A$16-('Control Room'!$B$16-1)/2)/MAX(0.5,'Control Room'!$B$16/4))^2),1)</x:f>
        <x:v>1</x:v>
      </x:c>
      <x:c r="AP689" s="9" t="n">
        <x:f>MOD(AQ688*16807,2147483647)</x:f>
        <x:v>1583044796</x:v>
      </x:c>
      <x:c r="AQ689" s="9" t="n">
        <x:f>MOD(AP689*16807,2147483647)</x:f>
        <x:v>1058983689</x:v>
      </x:c>
      <x:c r="AR689" s="17" t="n">
        <x:f>IF('Control Room'!$B$5="Normal",'Control Room'!$B$7+'Control Room'!$D$7*SQRT(-2*LN(MAX(0.000000000001,AP689/2147483647)))*COS(2*PI()*AQ689/2147483647),'Control Room'!$B$8+('Control Room'!$D$8-'Control Room'!$B$8)*AP689/2147483647)</x:f>
        <x:v>929.7794113931863</x:v>
      </x:c>
      <x:c r="AS689" s="17" t="n">
        <x:f>IF('Control Room'!$B$5="Normal",'Control Room'!$B$7,('Control Room'!$B$8+'Control Room'!$D$8)/2)+'Control Room'!$B$9*(AS688-IF('Control Room'!$B$5="Normal",'Control Room'!$B$7,('Control Room'!$B$8+'Control Room'!$D$8)/2))+SQRT(1-'Control Room'!$B$9^2)*(AR689-IF('Control Room'!$B$5="Normal",'Control Room'!$B$7,('Control Room'!$B$8+'Control Room'!$D$8)/2))</x:f>
        <x:v>950.7076653876481</x:v>
      </x:c>
      <x:c r="AT689" s="17" t="n">
        <x:f>IF(AND($A689&gt;='Control Room'!$A$13,$A689&lt;'Control Room'!$A$13+'Control Room'!$B$13,'Process'!BS2=1),1+('Control Room'!$C$13-1)*EXP(-0.5*(($A689-'Control Room'!$A$13-('Control Room'!$B$13-1)/2)/MAX(0.5,'Control Room'!$B$13/4))^2),1)*IF(AND($A689&gt;='Control Room'!$A$14,$A689&lt;'Control Room'!$A$14+'Control Room'!$B$14,'Process'!BS3=1),1+('Control Room'!$C$14-1)*EXP(-0.5*(($A689-'Control Room'!$A$14-('Control Room'!$B$14-1)/2)/MAX(0.5,'Control Room'!$B$14/4))^2),1)*IF(AND($A689&gt;='Control Room'!$A$15,$A689&lt;'Control Room'!$A$15+'Control Room'!$B$15,'Process'!BS4=1),1+('Control Room'!$C$15-1)*EXP(-0.5*(($A689-'Control Room'!$A$15-('Control Room'!$B$15-1)/2)/MAX(0.5,'Control Room'!$B$15/4))^2),1)*IF(AND($A689&gt;='Control Room'!$A$16,$A689&lt;'Control Room'!$A$16+'Control Room'!$B$16,'Process'!BS5=1),1+('Control Room'!$C$16-1)*EXP(-0.5*(($A689-'Control Room'!$A$16-('Control Room'!$B$16-1)/2)/MAX(0.5,'Control Room'!$B$16/4))^2),1)</x:f>
        <x:v>1</x:v>
      </x:c>
      <x:c r="AU689" s="9" t="n">
        <x:f>MOD(AV688*16807,2147483647)</x:f>
        <x:v>1360100684</x:v>
      </x:c>
      <x:c r="AV689" s="9" t="n">
        <x:f>MOD(AU689*16807,2147483647)</x:f>
        <x:v>1396257320</x:v>
      </x:c>
      <x:c r="AW689" s="17" t="n">
        <x:f>IF('Control Room'!$B$5="Normal",'Control Room'!$B$7+'Control Room'!$D$7*SQRT(-2*LN(MAX(0.000000000001,AU689/2147483647)))*COS(2*PI()*AV689/2147483647),'Control Room'!$B$8+('Control Room'!$D$8-'Control Room'!$B$8)*AU689/2147483647)</x:f>
        <x:v>949.5197257201719</x:v>
      </x:c>
      <x:c r="AX689" s="17" t="n">
        <x:f>IF('Control Room'!$B$5="Normal",'Control Room'!$B$7,('Control Room'!$B$8+'Control Room'!$D$8)/2)+'Control Room'!$B$9*(AX688-IF('Control Room'!$B$5="Normal",'Control Room'!$B$7,('Control Room'!$B$8+'Control Room'!$D$8)/2))+SQRT(1-'Control Room'!$B$9^2)*(AW689-IF('Control Room'!$B$5="Normal",'Control Room'!$B$7,('Control Room'!$B$8+'Control Room'!$D$8)/2))</x:f>
        <x:v>1038.4385677015894</x:v>
      </x:c>
      <x:c r="AY689" s="17" t="n">
        <x:f>IF(AND($A689&gt;='Control Room'!$A$13,$A689&lt;'Control Room'!$A$13+'Control Room'!$B$13,'Process'!BT2=1),1+('Control Room'!$C$13-1)*EXP(-0.5*(($A689-'Control Room'!$A$13-('Control Room'!$B$13-1)/2)/MAX(0.5,'Control Room'!$B$13/4))^2),1)*IF(AND($A689&gt;='Control Room'!$A$14,$A689&lt;'Control Room'!$A$14+'Control Room'!$B$14,'Process'!BT3=1),1+('Control Room'!$C$14-1)*EXP(-0.5*(($A689-'Control Room'!$A$14-('Control Room'!$B$14-1)/2)/MAX(0.5,'Control Room'!$B$14/4))^2),1)*IF(AND($A689&gt;='Control Room'!$A$15,$A689&lt;'Control Room'!$A$15+'Control Room'!$B$15,'Process'!BT4=1),1+('Control Room'!$C$15-1)*EXP(-0.5*(($A689-'Control Room'!$A$15-('Control Room'!$B$15-1)/2)/MAX(0.5,'Control Room'!$B$15/4))^2),1)*IF(AND($A689&gt;='Control Room'!$A$16,$A689&lt;'Control Room'!$A$16+'Control Room'!$B$16,'Process'!BT5=1),1+('Control Room'!$C$16-1)*EXP(-0.5*(($A689-'Control Room'!$A$16-('Control Room'!$B$16-1)/2)/MAX(0.5,'Control Room'!$B$16/4))^2),1)</x:f>
        <x:v>1</x:v>
      </x:c>
      <x:c r="AZ689" s="9" t="n">
        <x:f>MOD(BA688*16807,2147483647)</x:f>
        <x:v>1137156572</x:v>
      </x:c>
      <x:c r="BA689" s="9" t="n">
        <x:f>MOD(AZ689*16807,2147483647)</x:f>
        <x:v>1733530951</x:v>
      </x:c>
      <x:c r="BB689" s="17" t="n">
        <x:f>IF('Control Room'!$B$5="Normal",'Control Room'!$B$7+'Control Room'!$D$7*SQRT(-2*LN(MAX(0.000000000001,AZ689/2147483647)))*COS(2*PI()*BA689/2147483647),'Control Room'!$B$8+('Control Room'!$D$8-'Control Room'!$B$8)*AZ689/2147483647)</x:f>
        <x:v>1035.7165682951086</x:v>
      </x:c>
      <x:c r="BC689" s="17" t="n">
        <x:f>IF('Control Room'!$B$5="Normal",'Control Room'!$B$7,('Control Room'!$B$8+'Control Room'!$D$8)/2)+'Control Room'!$B$9*(BC688-IF('Control Room'!$B$5="Normal",'Control Room'!$B$7,('Control Room'!$B$8+'Control Room'!$D$8)/2))+SQRT(1-'Control Room'!$B$9^2)*(BB689-IF('Control Room'!$B$5="Normal",'Control Room'!$B$7,('Control Room'!$B$8+'Control Room'!$D$8)/2))</x:f>
        <x:v>970.5319687493959</x:v>
      </x:c>
      <x:c r="BD689" s="17" t="n">
        <x:f>IF(AND($A689&gt;='Control Room'!$A$13,$A689&lt;'Control Room'!$A$13+'Control Room'!$B$13,'Process'!BU2=1),1+('Control Room'!$C$13-1)*EXP(-0.5*(($A689-'Control Room'!$A$13-('Control Room'!$B$13-1)/2)/MAX(0.5,'Control Room'!$B$13/4))^2),1)*IF(AND($A689&gt;='Control Room'!$A$14,$A689&lt;'Control Room'!$A$14+'Control Room'!$B$14,'Process'!BU3=1),1+('Control Room'!$C$14-1)*EXP(-0.5*(($A689-'Control Room'!$A$14-('Control Room'!$B$14-1)/2)/MAX(0.5,'Control Room'!$B$14/4))^2),1)*IF(AND($A689&gt;='Control Room'!$A$15,$A689&lt;'Control Room'!$A$15+'Control Room'!$B$15,'Process'!BU4=1),1+('Control Room'!$C$15-1)*EXP(-0.5*(($A689-'Control Room'!$A$15-('Control Room'!$B$15-1)/2)/MAX(0.5,'Control Room'!$B$15/4))^2),1)*IF(AND($A689&gt;='Control Room'!$A$16,$A689&lt;'Control Room'!$A$16+'Control Room'!$B$16,'Process'!BU5=1),1+('Control Room'!$C$16-1)*EXP(-0.5*(($A689-'Control Room'!$A$16-('Control Room'!$B$16-1)/2)/MAX(0.5,'Control Room'!$B$16/4))^2),1)</x:f>
        <x:v>1</x:v>
      </x:c>
      <x:c r="BE689" s="9" t="n">
        <x:f>MOD(BF688*16807,2147483647)</x:f>
        <x:v>914212460</x:v>
      </x:c>
      <x:c r="BF689" s="9" t="n">
        <x:f>MOD(BE689*16807,2147483647)</x:f>
        <x:v>2070804582</x:v>
      </x:c>
      <x:c r="BG689" s="17" t="n">
        <x:f>IF('Control Room'!$B$5="Normal",'Control Room'!$B$7+'Control Room'!$D$7*SQRT(-2*LN(MAX(0.000000000001,BE689/2147483647)))*COS(2*PI()*BF689/2147483647),'Control Room'!$B$8+('Control Room'!$D$8-'Control Room'!$B$8)*BE689/2147483647)</x:f>
        <x:v>1114.672961099014</x:v>
      </x:c>
      <x:c r="BH689" s="17" t="n">
        <x:f>IF('Control Room'!$B$5="Normal",'Control Room'!$B$7,('Control Room'!$B$8+'Control Room'!$D$8)/2)+'Control Room'!$B$9*(BH688-IF('Control Room'!$B$5="Normal",'Control Room'!$B$7,('Control Room'!$B$8+'Control Room'!$D$8)/2))+SQRT(1-'Control Room'!$B$9^2)*(BG689-IF('Control Room'!$B$5="Normal",'Control Room'!$B$7,('Control Room'!$B$8+'Control Room'!$D$8)/2))</x:f>
        <x:v>1031.5765858764555</x:v>
      </x:c>
      <x:c r="BI689" s="17" t="n">
        <x:f>IF(AND($A689&gt;='Control Room'!$A$13,$A689&lt;'Control Room'!$A$13+'Control Room'!$B$13,'Process'!BV2=1),1+('Control Room'!$C$13-1)*EXP(-0.5*(($A689-'Control Room'!$A$13-('Control Room'!$B$13-1)/2)/MAX(0.5,'Control Room'!$B$13/4))^2),1)*IF(AND($A689&gt;='Control Room'!$A$14,$A689&lt;'Control Room'!$A$14+'Control Room'!$B$14,'Process'!BV3=1),1+('Control Room'!$C$14-1)*EXP(-0.5*(($A689-'Control Room'!$A$14-('Control Room'!$B$14-1)/2)/MAX(0.5,'Control Room'!$B$14/4))^2),1)*IF(AND($A689&gt;='Control Room'!$A$15,$A689&lt;'Control Room'!$A$15+'Control Room'!$B$15,'Process'!BV4=1),1+('Control Room'!$C$15-1)*EXP(-0.5*(($A689-'Control Room'!$A$15-('Control Room'!$B$15-1)/2)/MAX(0.5,'Control Room'!$B$15/4))^2),1)*IF(AND($A689&gt;='Control Room'!$A$16,$A689&lt;'Control Room'!$A$16+'Control Room'!$B$16,'Process'!BV5=1),1+('Control Room'!$C$16-1)*EXP(-0.5*(($A689-'Control Room'!$A$16-('Control Room'!$B$16-1)/2)/MAX(0.5,'Control Room'!$B$16/4))^2),1)</x:f>
        <x:v>1</x:v>
      </x:c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Z689" t="str">
        <x:f>IF('Data'!A689="","",TEXT('Data'!A689,"mm-dd"))</x:f>
      </x:c>
    </x:row>
    <x:row r="690" ht="21" customHeight="1">
      <x:c r="A690" s="15" t="n">
        <x:f>'Control Room'!$B$1+688</x:f>
        <x:v>73679</x:v>
      </x:c>
      <x:c r="B690" s="9" t="n">
        <x:f>MOD(C689*16807,2147483647)</x:f>
        <x:v>2090722297</x:v>
      </x:c>
      <x:c r="C690" s="9" t="n">
        <x:f>MOD(B690*16807,2147483647)</x:f>
        <x:v>1642213465</x:v>
      </x:c>
      <x:c r="D690" s="17" t="n">
        <x:f>IF('Control Room'!$B$5="Normal",'Control Room'!$B$7+'Control Room'!$D$7*SQRT(-2*LN(MAX(0.000000000001,B690/2147483647)))*COS(2*PI()*C690/2147483647),'Control Room'!$B$8+('Control Room'!$D$8-'Control Room'!$B$8)*B690/2147483647)</x:f>
        <x:v>1001.9233086737144</x:v>
      </x:c>
      <x:c r="E690" s="17" t="n">
        <x:f>IF('Control Room'!$B$5="Normal",'Control Room'!$B$7,('Control Room'!$B$8+'Control Room'!$D$8)/2)+'Control Room'!$B$9*(E689-IF('Control Room'!$B$5="Normal",'Control Room'!$B$7,('Control Room'!$B$8+'Control Room'!$D$8)/2))+SQRT(1-'Control Room'!$B$9^2)*(D690-IF('Control Room'!$B$5="Normal",'Control Room'!$B$7,('Control Room'!$B$8+'Control Room'!$D$8)/2))</x:f>
        <x:v>954.1398025630428</x:v>
      </x:c>
      <x:c r="F690" s="17" t="n">
        <x:f>IF(AND($A690&gt;='Control Room'!$A$13,$A690&lt;'Control Room'!$A$13+'Control Room'!$B$13,'Process'!BK2=1),1+('Control Room'!$C$13-1)*EXP(-0.5*(($A690-'Control Room'!$A$13-('Control Room'!$B$13-1)/2)/MAX(0.5,'Control Room'!$B$13/4))^2),1)*IF(AND($A690&gt;='Control Room'!$A$14,$A690&lt;'Control Room'!$A$14+'Control Room'!$B$14,'Process'!BK3=1),1+('Control Room'!$C$14-1)*EXP(-0.5*(($A690-'Control Room'!$A$14-('Control Room'!$B$14-1)/2)/MAX(0.5,'Control Room'!$B$14/4))^2),1)*IF(AND($A690&gt;='Control Room'!$A$15,$A690&lt;'Control Room'!$A$15+'Control Room'!$B$15,'Process'!BK4=1),1+('Control Room'!$C$15-1)*EXP(-0.5*(($A690-'Control Room'!$A$15-('Control Room'!$B$15-1)/2)/MAX(0.5,'Control Room'!$B$15/4))^2),1)*IF(AND($A690&gt;='Control Room'!$A$16,$A690&lt;'Control Room'!$A$16+'Control Room'!$B$16,'Process'!BK5=1),1+('Control Room'!$C$16-1)*EXP(-0.5*(($A690-'Control Room'!$A$16-('Control Room'!$B$16-1)/2)/MAX(0.5,'Control Room'!$B$16/4))^2),1)</x:f>
        <x:v>1</x:v>
      </x:c>
      <x:c r="G690" s="9" t="n">
        <x:f>MOD(H689*16807,2147483647)</x:f>
        <x:v>1291810434</x:v>
      </x:c>
      <x:c r="H690" s="9" t="n">
        <x:f>MOD(G690*16807,2147483647)</x:f>
        <x:v>398293068</x:v>
      </x:c>
      <x:c r="I690" s="17" t="n">
        <x:f>IF('Control Room'!$B$5="Normal",'Control Room'!$B$7+'Control Room'!$D$7*SQRT(-2*LN(MAX(0.000000000001,G690/2147483647)))*COS(2*PI()*H690/2147483647),'Control Room'!$B$8+('Control Room'!$D$8-'Control Room'!$B$8)*G690/2147483647)</x:f>
        <x:v>1035.7911556205208</x:v>
      </x:c>
      <x:c r="J690" s="17" t="n">
        <x:f>IF('Control Room'!$B$5="Normal",'Control Room'!$B$7,('Control Room'!$B$8+'Control Room'!$D$8)/2)+'Control Room'!$B$9*(J689-IF('Control Room'!$B$5="Normal",'Control Room'!$B$7,('Control Room'!$B$8+'Control Room'!$D$8)/2))+SQRT(1-'Control Room'!$B$9^2)*(I690-IF('Control Room'!$B$5="Normal",'Control Room'!$B$7,('Control Room'!$B$8+'Control Room'!$D$8)/2))</x:f>
        <x:v>909.0939390166461</x:v>
      </x:c>
      <x:c r="K690" s="17" t="n">
        <x:f>IF(AND($A690&gt;='Control Room'!$A$13,$A690&lt;'Control Room'!$A$13+'Control Room'!$B$13,'Process'!BL2=1),1+('Control Room'!$C$13-1)*EXP(-0.5*(($A690-'Control Room'!$A$13-('Control Room'!$B$13-1)/2)/MAX(0.5,'Control Room'!$B$13/4))^2),1)*IF(AND($A690&gt;='Control Room'!$A$14,$A690&lt;'Control Room'!$A$14+'Control Room'!$B$14,'Process'!BL3=1),1+('Control Room'!$C$14-1)*EXP(-0.5*(($A690-'Control Room'!$A$14-('Control Room'!$B$14-1)/2)/MAX(0.5,'Control Room'!$B$14/4))^2),1)*IF(AND($A690&gt;='Control Room'!$A$15,$A690&lt;'Control Room'!$A$15+'Control Room'!$B$15,'Process'!BL4=1),1+('Control Room'!$C$15-1)*EXP(-0.5*(($A690-'Control Room'!$A$15-('Control Room'!$B$15-1)/2)/MAX(0.5,'Control Room'!$B$15/4))^2),1)*IF(AND($A690&gt;='Control Room'!$A$16,$A690&lt;'Control Room'!$A$16+'Control Room'!$B$16,'Process'!BL5=1),1+('Control Room'!$C$16-1)*EXP(-0.5*(($A690-'Control Room'!$A$16-('Control Room'!$B$16-1)/2)/MAX(0.5,'Control Room'!$B$16/4))^2),1)</x:f>
        <x:v>1</x:v>
      </x:c>
      <x:c r="L690" s="9" t="n">
        <x:f>MOD(M689*16807,2147483647)</x:f>
        <x:v>492898571</x:v>
      </x:c>
      <x:c r="M690" s="9" t="n">
        <x:f>MOD(L690*16807,2147483647)</x:f>
        <x:v>1301856318</x:v>
      </x:c>
      <x:c r="N690" s="17" t="n">
        <x:f>IF('Control Room'!$B$5="Normal",'Control Room'!$B$7+'Control Room'!$D$7*SQRT(-2*LN(MAX(0.000000000001,L690/2147483647)))*COS(2*PI()*M690/2147483647),'Control Room'!$B$8+('Control Room'!$D$8-'Control Room'!$B$8)*L690/2147483647)</x:f>
        <x:v>878.7239575136393</x:v>
      </x:c>
      <x:c r="O690" s="17" t="n">
        <x:f>IF('Control Room'!$B$5="Normal",'Control Room'!$B$7,('Control Room'!$B$8+'Control Room'!$D$8)/2)+'Control Room'!$B$9*(O689-IF('Control Room'!$B$5="Normal",'Control Room'!$B$7,('Control Room'!$B$8+'Control Room'!$D$8)/2))+SQRT(1-'Control Room'!$B$9^2)*(N690-IF('Control Room'!$B$5="Normal",'Control Room'!$B$7,('Control Room'!$B$8+'Control Room'!$D$8)/2))</x:f>
        <x:v>892.3723970457366</x:v>
      </x:c>
      <x:c r="P690" s="17" t="n">
        <x:f>IF(AND($A690&gt;='Control Room'!$A$13,$A690&lt;'Control Room'!$A$13+'Control Room'!$B$13,'Process'!BM2=1),1+('Control Room'!$C$13-1)*EXP(-0.5*(($A690-'Control Room'!$A$13-('Control Room'!$B$13-1)/2)/MAX(0.5,'Control Room'!$B$13/4))^2),1)*IF(AND($A690&gt;='Control Room'!$A$14,$A690&lt;'Control Room'!$A$14+'Control Room'!$B$14,'Process'!BM3=1),1+('Control Room'!$C$14-1)*EXP(-0.5*(($A690-'Control Room'!$A$14-('Control Room'!$B$14-1)/2)/MAX(0.5,'Control Room'!$B$14/4))^2),1)*IF(AND($A690&gt;='Control Room'!$A$15,$A690&lt;'Control Room'!$A$15+'Control Room'!$B$15,'Process'!BM4=1),1+('Control Room'!$C$15-1)*EXP(-0.5*(($A690-'Control Room'!$A$15-('Control Room'!$B$15-1)/2)/MAX(0.5,'Control Room'!$B$15/4))^2),1)*IF(AND($A690&gt;='Control Room'!$A$16,$A690&lt;'Control Room'!$A$16+'Control Room'!$B$16,'Process'!BM5=1),1+('Control Room'!$C$16-1)*EXP(-0.5*(($A690-'Control Room'!$A$16-('Control Room'!$B$16-1)/2)/MAX(0.5,'Control Room'!$B$16/4))^2),1)</x:f>
        <x:v>1</x:v>
      </x:c>
      <x:c r="Q690" s="9" t="n">
        <x:f>MOD(R689*16807,2147483647)</x:f>
        <x:v>1841470355</x:v>
      </x:c>
      <x:c r="R690" s="9" t="n">
        <x:f>MOD(Q690*16807,2147483647)</x:f>
        <x:v>57935921</x:v>
      </x:c>
      <x:c r="S690" s="17" t="n">
        <x:f>IF('Control Room'!$B$5="Normal",'Control Room'!$B$7+'Control Room'!$D$7*SQRT(-2*LN(MAX(0.000000000001,Q690/2147483647)))*COS(2*PI()*R690/2147483647),'Control Room'!$B$8+('Control Room'!$D$8-'Control Room'!$B$8)*Q690/2147483647)</x:f>
        <x:v>1049.1892947354688</x:v>
      </x:c>
      <x:c r="T690" s="17" t="n">
        <x:f>IF('Control Room'!$B$5="Normal",'Control Room'!$B$7,('Control Room'!$B$8+'Control Room'!$D$8)/2)+'Control Room'!$B$9*(T689-IF('Control Room'!$B$5="Normal",'Control Room'!$B$7,('Control Room'!$B$8+'Control Room'!$D$8)/2))+SQRT(1-'Control Room'!$B$9^2)*(S690-IF('Control Room'!$B$5="Normal",'Control Room'!$B$7,('Control Room'!$B$8+'Control Room'!$D$8)/2))</x:f>
        <x:v>972.774936277631</x:v>
      </x:c>
      <x:c r="U690" s="17" t="n">
        <x:f>IF(AND($A690&gt;='Control Room'!$A$13,$A690&lt;'Control Room'!$A$13+'Control Room'!$B$13,'Process'!BN2=1),1+('Control Room'!$C$13-1)*EXP(-0.5*(($A690-'Control Room'!$A$13-('Control Room'!$B$13-1)/2)/MAX(0.5,'Control Room'!$B$13/4))^2),1)*IF(AND($A690&gt;='Control Room'!$A$14,$A690&lt;'Control Room'!$A$14+'Control Room'!$B$14,'Process'!BN3=1),1+('Control Room'!$C$14-1)*EXP(-0.5*(($A690-'Control Room'!$A$14-('Control Room'!$B$14-1)/2)/MAX(0.5,'Control Room'!$B$14/4))^2),1)*IF(AND($A690&gt;='Control Room'!$A$15,$A690&lt;'Control Room'!$A$15+'Control Room'!$B$15,'Process'!BN4=1),1+('Control Room'!$C$15-1)*EXP(-0.5*(($A690-'Control Room'!$A$15-('Control Room'!$B$15-1)/2)/MAX(0.5,'Control Room'!$B$15/4))^2),1)*IF(AND($A690&gt;='Control Room'!$A$16,$A690&lt;'Control Room'!$A$16+'Control Room'!$B$16,'Process'!BN5=1),1+('Control Room'!$C$16-1)*EXP(-0.5*(($A690-'Control Room'!$A$16-('Control Room'!$B$16-1)/2)/MAX(0.5,'Control Room'!$B$16/4))^2),1)</x:f>
        <x:v>1</x:v>
      </x:c>
      <x:c r="V690" s="9" t="n">
        <x:f>MOD(W689*16807,2147483647)</x:f>
        <x:v>1042558492</x:v>
      </x:c>
      <x:c r="W690" s="9" t="n">
        <x:f>MOD(V690*16807,2147483647)</x:f>
        <x:v>961499171</x:v>
      </x:c>
      <x:c r="X690" s="17" t="n">
        <x:f>IF('Control Room'!$B$5="Normal",'Control Room'!$B$7+'Control Room'!$D$7*SQRT(-2*LN(MAX(0.000000000001,V690/2147483647)))*COS(2*PI()*W690/2147483647),'Control Room'!$B$8+('Control Room'!$D$8-'Control Room'!$B$8)*V690/2147483647)</x:f>
        <x:v>897.585931354721</x:v>
      </x:c>
      <x:c r="Y690" s="17" t="n">
        <x:f>IF('Control Room'!$B$5="Normal",'Control Room'!$B$7,('Control Room'!$B$8+'Control Room'!$D$8)/2)+'Control Room'!$B$9*(Y689-IF('Control Room'!$B$5="Normal",'Control Room'!$B$7,('Control Room'!$B$8+'Control Room'!$D$8)/2))+SQRT(1-'Control Room'!$B$9^2)*(X690-IF('Control Room'!$B$5="Normal",'Control Room'!$B$7,('Control Room'!$B$8+'Control Room'!$D$8)/2))</x:f>
        <x:v>991.7291109557724</x:v>
      </x:c>
      <x:c r="Z690" s="17" t="n">
        <x:f>IF(AND($A690&gt;='Control Room'!$A$13,$A690&lt;'Control Room'!$A$13+'Control Room'!$B$13,'Process'!BO2=1),1+('Control Room'!$C$13-1)*EXP(-0.5*(($A690-'Control Room'!$A$13-('Control Room'!$B$13-1)/2)/MAX(0.5,'Control Room'!$B$13/4))^2),1)*IF(AND($A690&gt;='Control Room'!$A$14,$A690&lt;'Control Room'!$A$14+'Control Room'!$B$14,'Process'!BO3=1),1+('Control Room'!$C$14-1)*EXP(-0.5*(($A690-'Control Room'!$A$14-('Control Room'!$B$14-1)/2)/MAX(0.5,'Control Room'!$B$14/4))^2),1)*IF(AND($A690&gt;='Control Room'!$A$15,$A690&lt;'Control Room'!$A$15+'Control Room'!$B$15,'Process'!BO4=1),1+('Control Room'!$C$15-1)*EXP(-0.5*(($A690-'Control Room'!$A$15-('Control Room'!$B$15-1)/2)/MAX(0.5,'Control Room'!$B$15/4))^2),1)*IF(AND($A690&gt;='Control Room'!$A$16,$A690&lt;'Control Room'!$A$16+'Control Room'!$B$16,'Process'!BO5=1),1+('Control Room'!$C$16-1)*EXP(-0.5*(($A690-'Control Room'!$A$16-('Control Room'!$B$16-1)/2)/MAX(0.5,'Control Room'!$B$16/4))^2),1)</x:f>
        <x:v>1</x:v>
      </x:c>
      <x:c r="AA690" s="9" t="n">
        <x:f>MOD(AB689*16807,2147483647)</x:f>
        <x:v>243646629</x:v>
      </x:c>
      <x:c r="AB690" s="9" t="n">
        <x:f>MOD(AA690*16807,2147483647)</x:f>
        <x:v>1865062421</x:v>
      </x:c>
      <x:c r="AC690" s="17" t="n">
        <x:f>IF('Control Room'!$B$5="Normal",'Control Room'!$B$7+'Control Room'!$D$7*SQRT(-2*LN(MAX(0.000000000001,AA690/2147483647)))*COS(2*PI()*AB690/2147483647),'Control Room'!$B$8+('Control Room'!$D$8-'Control Room'!$B$8)*AA690/2147483647)</x:f>
        <x:v>1127.228949715852</x:v>
      </x:c>
      <x:c r="AD690" s="17" t="n">
        <x:f>IF('Control Room'!$B$5="Normal",'Control Room'!$B$7,('Control Room'!$B$8+'Control Room'!$D$8)/2)+'Control Room'!$B$9*(AD689-IF('Control Room'!$B$5="Normal",'Control Room'!$B$7,('Control Room'!$B$8+'Control Room'!$D$8)/2))+SQRT(1-'Control Room'!$B$9^2)*(AC690-IF('Control Room'!$B$5="Normal",'Control Room'!$B$7,('Control Room'!$B$8+'Control Room'!$D$8)/2))</x:f>
        <x:v>1137.332047036437</x:v>
      </x:c>
      <x:c r="AE690" s="17" t="n">
        <x:f>IF(AND($A690&gt;='Control Room'!$A$13,$A690&lt;'Control Room'!$A$13+'Control Room'!$B$13,'Process'!BP2=1),1+('Control Room'!$C$13-1)*EXP(-0.5*(($A690-'Control Room'!$A$13-('Control Room'!$B$13-1)/2)/MAX(0.5,'Control Room'!$B$13/4))^2),1)*IF(AND($A690&gt;='Control Room'!$A$14,$A690&lt;'Control Room'!$A$14+'Control Room'!$B$14,'Process'!BP3=1),1+('Control Room'!$C$14-1)*EXP(-0.5*(($A690-'Control Room'!$A$14-('Control Room'!$B$14-1)/2)/MAX(0.5,'Control Room'!$B$14/4))^2),1)*IF(AND($A690&gt;='Control Room'!$A$15,$A690&lt;'Control Room'!$A$15+'Control Room'!$B$15,'Process'!BP4=1),1+('Control Room'!$C$15-1)*EXP(-0.5*(($A690-'Control Room'!$A$15-('Control Room'!$B$15-1)/2)/MAX(0.5,'Control Room'!$B$15/4))^2),1)*IF(AND($A690&gt;='Control Room'!$A$16,$A690&lt;'Control Room'!$A$16+'Control Room'!$B$16,'Process'!BP5=1),1+('Control Room'!$C$16-1)*EXP(-0.5*(($A690-'Control Room'!$A$16-('Control Room'!$B$16-1)/2)/MAX(0.5,'Control Room'!$B$16/4))^2),1)</x:f>
        <x:v>1</x:v>
      </x:c>
      <x:c r="AF690" s="9" t="n">
        <x:f>MOD(AG689*16807,2147483647)</x:f>
        <x:v>1592218413</x:v>
      </x:c>
      <x:c r="AG690" s="9" t="n">
        <x:f>MOD(AF690*16807,2147483647)</x:f>
        <x:v>621142024</x:v>
      </x:c>
      <x:c r="AH690" s="17" t="n">
        <x:f>IF('Control Room'!$B$5="Normal",'Control Room'!$B$7+'Control Room'!$D$7*SQRT(-2*LN(MAX(0.000000000001,AF690/2147483647)))*COS(2*PI()*AG690/2147483647),'Control Room'!$B$8+('Control Room'!$D$8-'Control Room'!$B$8)*AF690/2147483647)</x:f>
        <x:v>983.0083785423166</x:v>
      </x:c>
      <x:c r="AI690" s="17" t="n">
        <x:f>IF('Control Room'!$B$5="Normal",'Control Room'!$B$7,('Control Room'!$B$8+'Control Room'!$D$8)/2)+'Control Room'!$B$9*(AI689-IF('Control Room'!$B$5="Normal",'Control Room'!$B$7,('Control Room'!$B$8+'Control Room'!$D$8)/2))+SQRT(1-'Control Room'!$B$9^2)*(AH690-IF('Control Room'!$B$5="Normal",'Control Room'!$B$7,('Control Room'!$B$8+'Control Room'!$D$8)/2))</x:f>
        <x:v>1017.6744326845195</x:v>
      </x:c>
      <x:c r="AJ690" s="17" t="n">
        <x:f>IF(AND($A690&gt;='Control Room'!$A$13,$A690&lt;'Control Room'!$A$13+'Control Room'!$B$13,'Process'!BQ2=1),1+('Control Room'!$C$13-1)*EXP(-0.5*(($A690-'Control Room'!$A$13-('Control Room'!$B$13-1)/2)/MAX(0.5,'Control Room'!$B$13/4))^2),1)*IF(AND($A690&gt;='Control Room'!$A$14,$A690&lt;'Control Room'!$A$14+'Control Room'!$B$14,'Process'!BQ3=1),1+('Control Room'!$C$14-1)*EXP(-0.5*(($A690-'Control Room'!$A$14-('Control Room'!$B$14-1)/2)/MAX(0.5,'Control Room'!$B$14/4))^2),1)*IF(AND($A690&gt;='Control Room'!$A$15,$A690&lt;'Control Room'!$A$15+'Control Room'!$B$15,'Process'!BQ4=1),1+('Control Room'!$C$15-1)*EXP(-0.5*(($A690-'Control Room'!$A$15-('Control Room'!$B$15-1)/2)/MAX(0.5,'Control Room'!$B$15/4))^2),1)*IF(AND($A690&gt;='Control Room'!$A$16,$A690&lt;'Control Room'!$A$16+'Control Room'!$B$16,'Process'!BQ5=1),1+('Control Room'!$C$16-1)*EXP(-0.5*(($A690-'Control Room'!$A$16-('Control Room'!$B$16-1)/2)/MAX(0.5,'Control Room'!$B$16/4))^2),1)</x:f>
        <x:v>1</x:v>
      </x:c>
      <x:c r="AK690" s="9" t="n">
        <x:f>MOD(AL689*16807,2147483647)</x:f>
        <x:v>793306550</x:v>
      </x:c>
      <x:c r="AL690" s="9" t="n">
        <x:f>MOD(AK690*16807,2147483647)</x:f>
        <x:v>1524705274</x:v>
      </x:c>
      <x:c r="AM690" s="17" t="n">
        <x:f>IF('Control Room'!$B$5="Normal",'Control Room'!$B$7+'Control Room'!$D$7*SQRT(-2*LN(MAX(0.000000000001,AK690/2147483647)))*COS(2*PI()*AL690/2147483647),'Control Room'!$B$8+('Control Room'!$D$8-'Control Room'!$B$8)*AK690/2147483647)</x:f>
        <x:v>968.409894028396</x:v>
      </x:c>
      <x:c r="AN690" s="17" t="n">
        <x:f>IF('Control Room'!$B$5="Normal",'Control Room'!$B$7,('Control Room'!$B$8+'Control Room'!$D$8)/2)+'Control Room'!$B$9*(AN689-IF('Control Room'!$B$5="Normal",'Control Room'!$B$7,('Control Room'!$B$8+'Control Room'!$D$8)/2))+SQRT(1-'Control Room'!$B$9^2)*(AM690-IF('Control Room'!$B$5="Normal",'Control Room'!$B$7,('Control Room'!$B$8+'Control Room'!$D$8)/2))</x:f>
        <x:v>976.392621382092</x:v>
      </x:c>
      <x:c r="AO690" s="17" t="n">
        <x:f>IF(AND($A690&gt;='Control Room'!$A$13,$A690&lt;'Control Room'!$A$13+'Control Room'!$B$13,'Process'!BR2=1),1+('Control Room'!$C$13-1)*EXP(-0.5*(($A690-'Control Room'!$A$13-('Control Room'!$B$13-1)/2)/MAX(0.5,'Control Room'!$B$13/4))^2),1)*IF(AND($A690&gt;='Control Room'!$A$14,$A690&lt;'Control Room'!$A$14+'Control Room'!$B$14,'Process'!BR3=1),1+('Control Room'!$C$14-1)*EXP(-0.5*(($A690-'Control Room'!$A$14-('Control Room'!$B$14-1)/2)/MAX(0.5,'Control Room'!$B$14/4))^2),1)*IF(AND($A690&gt;='Control Room'!$A$15,$A690&lt;'Control Room'!$A$15+'Control Room'!$B$15,'Process'!BR4=1),1+('Control Room'!$C$15-1)*EXP(-0.5*(($A690-'Control Room'!$A$15-('Control Room'!$B$15-1)/2)/MAX(0.5,'Control Room'!$B$15/4))^2),1)*IF(AND($A690&gt;='Control Room'!$A$16,$A690&lt;'Control Room'!$A$16+'Control Room'!$B$16,'Process'!BR5=1),1+('Control Room'!$C$16-1)*EXP(-0.5*(($A690-'Control Room'!$A$16-('Control Room'!$B$16-1)/2)/MAX(0.5,'Control Room'!$B$16/4))^2),1)</x:f>
        <x:v>1</x:v>
      </x:c>
      <x:c r="AP690" s="9" t="n">
        <x:f>MOD(AQ689*16807,2147483647)</x:f>
        <x:v>2141878334</x:v>
      </x:c>
      <x:c r="AQ690" s="9" t="n">
        <x:f>MOD(AP690*16807,2147483647)</x:f>
        <x:v>280784877</x:v>
      </x:c>
      <x:c r="AR690" s="17" t="n">
        <x:f>IF('Control Room'!$B$5="Normal",'Control Room'!$B$7+'Control Room'!$D$7*SQRT(-2*LN(MAX(0.000000000001,AP690/2147483647)))*COS(2*PI()*AQ690/2147483647),'Control Room'!$B$8+('Control Room'!$D$8-'Control Room'!$B$8)*AP690/2147483647)</x:f>
        <x:v>1004.4318796557213</x:v>
      </x:c>
      <x:c r="AS690" s="17" t="n">
        <x:f>IF('Control Room'!$B$5="Normal",'Control Room'!$B$7,('Control Room'!$B$8+'Control Room'!$D$8)/2)+'Control Room'!$B$9*(AS689-IF('Control Room'!$B$5="Normal",'Control Room'!$B$7,('Control Room'!$B$8+'Control Room'!$D$8)/2))+SQRT(1-'Control Room'!$B$9^2)*(AR690-IF('Control Room'!$B$5="Normal",'Control Room'!$B$7,('Control Room'!$B$8+'Control Room'!$D$8)/2))</x:f>
        <x:v>964.3253584989262</x:v>
      </x:c>
      <x:c r="AT690" s="17" t="n">
        <x:f>IF(AND($A690&gt;='Control Room'!$A$13,$A690&lt;'Control Room'!$A$13+'Control Room'!$B$13,'Process'!BS2=1),1+('Control Room'!$C$13-1)*EXP(-0.5*(($A690-'Control Room'!$A$13-('Control Room'!$B$13-1)/2)/MAX(0.5,'Control Room'!$B$13/4))^2),1)*IF(AND($A690&gt;='Control Room'!$A$14,$A690&lt;'Control Room'!$A$14+'Control Room'!$B$14,'Process'!BS3=1),1+('Control Room'!$C$14-1)*EXP(-0.5*(($A690-'Control Room'!$A$14-('Control Room'!$B$14-1)/2)/MAX(0.5,'Control Room'!$B$14/4))^2),1)*IF(AND($A690&gt;='Control Room'!$A$15,$A690&lt;'Control Room'!$A$15+'Control Room'!$B$15,'Process'!BS4=1),1+('Control Room'!$C$15-1)*EXP(-0.5*(($A690-'Control Room'!$A$15-('Control Room'!$B$15-1)/2)/MAX(0.5,'Control Room'!$B$15/4))^2),1)*IF(AND($A690&gt;='Control Room'!$A$16,$A690&lt;'Control Room'!$A$16+'Control Room'!$B$16,'Process'!BS5=1),1+('Control Room'!$C$16-1)*EXP(-0.5*(($A690-'Control Room'!$A$16-('Control Room'!$B$16-1)/2)/MAX(0.5,'Control Room'!$B$16/4))^2),1)</x:f>
        <x:v>1</x:v>
      </x:c>
      <x:c r="AU690" s="9" t="n">
        <x:f>MOD(AV689*16807,2147483647)</x:f>
        <x:v>1342966471</x:v>
      </x:c>
      <x:c r="AV690" s="9" t="n">
        <x:f>MOD(AU690*16807,2147483647)</x:f>
        <x:v>1184348127</x:v>
      </x:c>
      <x:c r="AW690" s="17" t="n">
        <x:f>IF('Control Room'!$B$5="Normal",'Control Room'!$B$7+'Control Room'!$D$7*SQRT(-2*LN(MAX(0.000000000001,AU690/2147483647)))*COS(2*PI()*AV690/2147483647),'Control Room'!$B$8+('Control Room'!$D$8-'Control Room'!$B$8)*AU690/2147483647)</x:f>
        <x:v>917.3226138287519</x:v>
      </x:c>
      <x:c r="AX690" s="17" t="n">
        <x:f>IF('Control Room'!$B$5="Normal",'Control Room'!$B$7,('Control Room'!$B$8+'Control Room'!$D$8)/2)+'Control Room'!$B$9*(AX689-IF('Control Room'!$B$5="Normal",'Control Room'!$B$7,('Control Room'!$B$8+'Control Room'!$D$8)/2))+SQRT(1-'Control Room'!$B$9^2)*(AW690-IF('Control Room'!$B$5="Normal",'Control Room'!$B$7,('Control Room'!$B$8+'Control Room'!$D$8)/2))</x:f>
        <x:v>978.2442682795912</x:v>
      </x:c>
      <x:c r="AY690" s="17" t="n">
        <x:f>IF(AND($A690&gt;='Control Room'!$A$13,$A690&lt;'Control Room'!$A$13+'Control Room'!$B$13,'Process'!BT2=1),1+('Control Room'!$C$13-1)*EXP(-0.5*(($A690-'Control Room'!$A$13-('Control Room'!$B$13-1)/2)/MAX(0.5,'Control Room'!$B$13/4))^2),1)*IF(AND($A690&gt;='Control Room'!$A$14,$A690&lt;'Control Room'!$A$14+'Control Room'!$B$14,'Process'!BT3=1),1+('Control Room'!$C$14-1)*EXP(-0.5*(($A690-'Control Room'!$A$14-('Control Room'!$B$14-1)/2)/MAX(0.5,'Control Room'!$B$14/4))^2),1)*IF(AND($A690&gt;='Control Room'!$A$15,$A690&lt;'Control Room'!$A$15+'Control Room'!$B$15,'Process'!BT4=1),1+('Control Room'!$C$15-1)*EXP(-0.5*(($A690-'Control Room'!$A$15-('Control Room'!$B$15-1)/2)/MAX(0.5,'Control Room'!$B$15/4))^2),1)*IF(AND($A690&gt;='Control Room'!$A$16,$A690&lt;'Control Room'!$A$16+'Control Room'!$B$16,'Process'!BT5=1),1+('Control Room'!$C$16-1)*EXP(-0.5*(($A690-'Control Room'!$A$16-('Control Room'!$B$16-1)/2)/MAX(0.5,'Control Room'!$B$16/4))^2),1)</x:f>
        <x:v>1</x:v>
      </x:c>
      <x:c r="AZ690" s="9" t="n">
        <x:f>MOD(BA689*16807,2147483647)</x:f>
        <x:v>544054608</x:v>
      </x:c>
      <x:c r="BA690" s="9" t="n">
        <x:f>MOD(AZ690*16807,2147483647)</x:f>
        <x:v>2087911377</x:v>
      </x:c>
      <x:c r="BB690" s="17" t="n">
        <x:f>IF('Control Room'!$B$5="Normal",'Control Room'!$B$7+'Control Room'!$D$7*SQRT(-2*LN(MAX(0.000000000001,AZ690/2147483647)))*COS(2*PI()*BA690/2147483647),'Control Room'!$B$8+('Control Room'!$D$8-'Control Room'!$B$8)*AZ690/2147483647)</x:f>
        <x:v>1146.8799583857017</x:v>
      </x:c>
      <x:c r="BC690" s="17" t="n">
        <x:f>IF('Control Room'!$B$5="Normal",'Control Room'!$B$7,('Control Room'!$B$8+'Control Room'!$D$8)/2)+'Control Room'!$B$9*(BC689-IF('Control Room'!$B$5="Normal",'Control Room'!$B$7,('Control Room'!$B$8+'Control Room'!$D$8)/2))+SQRT(1-'Control Room'!$B$9^2)*(BB690-IF('Control Room'!$B$5="Normal",'Control Room'!$B$7,('Control Room'!$B$8+'Control Room'!$D$8)/2))</x:f>
        <x:v>1068.9294045827996</x:v>
      </x:c>
      <x:c r="BD690" s="17" t="n">
        <x:f>IF(AND($A690&gt;='Control Room'!$A$13,$A690&lt;'Control Room'!$A$13+'Control Room'!$B$13,'Process'!BU2=1),1+('Control Room'!$C$13-1)*EXP(-0.5*(($A690-'Control Room'!$A$13-('Control Room'!$B$13-1)/2)/MAX(0.5,'Control Room'!$B$13/4))^2),1)*IF(AND($A690&gt;='Control Room'!$A$14,$A690&lt;'Control Room'!$A$14+'Control Room'!$B$14,'Process'!BU3=1),1+('Control Room'!$C$14-1)*EXP(-0.5*(($A690-'Control Room'!$A$14-('Control Room'!$B$14-1)/2)/MAX(0.5,'Control Room'!$B$14/4))^2),1)*IF(AND($A690&gt;='Control Room'!$A$15,$A690&lt;'Control Room'!$A$15+'Control Room'!$B$15,'Process'!BU4=1),1+('Control Room'!$C$15-1)*EXP(-0.5*(($A690-'Control Room'!$A$15-('Control Room'!$B$15-1)/2)/MAX(0.5,'Control Room'!$B$15/4))^2),1)*IF(AND($A690&gt;='Control Room'!$A$16,$A690&lt;'Control Room'!$A$16+'Control Room'!$B$16,'Process'!BU5=1),1+('Control Room'!$C$16-1)*EXP(-0.5*(($A690-'Control Room'!$A$16-('Control Room'!$B$16-1)/2)/MAX(0.5,'Control Room'!$B$16/4))^2),1)</x:f>
        <x:v>1</x:v>
      </x:c>
      <x:c r="BE690" s="9" t="n">
        <x:f>MOD(BF689*16807,2147483647)</x:f>
        <x:v>1892626392</x:v>
      </x:c>
      <x:c r="BF690" s="9" t="n">
        <x:f>MOD(BE690*16807,2147483647)</x:f>
        <x:v>843990980</x:v>
      </x:c>
      <x:c r="BG690" s="17" t="n">
        <x:f>IF('Control Room'!$B$5="Normal",'Control Room'!$B$7+'Control Room'!$D$7*SQRT(-2*LN(MAX(0.000000000001,BE690/2147483647)))*COS(2*PI()*BF690/2147483647),'Control Room'!$B$8+('Control Room'!$D$8-'Control Room'!$B$8)*BE690/2147483647)</x:f>
        <x:v>964.6029616576978</x:v>
      </x:c>
      <x:c r="BH690" s="17" t="n">
        <x:f>IF('Control Room'!$B$5="Normal",'Control Room'!$B$7,('Control Room'!$B$8+'Control Room'!$D$8)/2)+'Control Room'!$B$9*(BH689-IF('Control Room'!$B$5="Normal",'Control Room'!$B$7,('Control Room'!$B$8+'Control Room'!$D$8)/2))+SQRT(1-'Control Room'!$B$9^2)*(BG690-IF('Control Room'!$B$5="Normal",'Control Room'!$B$7,('Control Room'!$B$8+'Control Room'!$D$8)/2))</x:f>
        <x:v>1002.4789955367683</x:v>
      </x:c>
      <x:c r="BI690" s="17" t="n">
        <x:f>IF(AND($A690&gt;='Control Room'!$A$13,$A690&lt;'Control Room'!$A$13+'Control Room'!$B$13,'Process'!BV2=1),1+('Control Room'!$C$13-1)*EXP(-0.5*(($A690-'Control Room'!$A$13-('Control Room'!$B$13-1)/2)/MAX(0.5,'Control Room'!$B$13/4))^2),1)*IF(AND($A690&gt;='Control Room'!$A$14,$A690&lt;'Control Room'!$A$14+'Control Room'!$B$14,'Process'!BV3=1),1+('Control Room'!$C$14-1)*EXP(-0.5*(($A690-'Control Room'!$A$14-('Control Room'!$B$14-1)/2)/MAX(0.5,'Control Room'!$B$14/4))^2),1)*IF(AND($A690&gt;='Control Room'!$A$15,$A690&lt;'Control Room'!$A$15+'Control Room'!$B$15,'Process'!BV4=1),1+('Control Room'!$C$15-1)*EXP(-0.5*(($A690-'Control Room'!$A$15-('Control Room'!$B$15-1)/2)/MAX(0.5,'Control Room'!$B$15/4))^2),1)*IF(AND($A690&gt;='Control Room'!$A$16,$A690&lt;'Control Room'!$A$16+'Control Room'!$B$16,'Process'!BV5=1),1+('Control Room'!$C$16-1)*EXP(-0.5*(($A690-'Control Room'!$A$16-('Control Room'!$B$16-1)/2)/MAX(0.5,'Control Room'!$B$16/4))^2),1)</x:f>
        <x:v>1</x:v>
      </x:c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Z690" t="str">
        <x:f>IF('Data'!A690="","",TEXT('Data'!A690,"mm-dd"))</x:f>
      </x:c>
    </x:row>
    <x:row r="691" ht="21" customHeight="1">
      <x:c r="A691" s="15" t="n">
        <x:f>'Control Room'!$B$1+689</x:f>
        <x:v>73680</x:v>
      </x:c>
      <x:c r="B691" s="9" t="n">
        <x:f>MOD(C690*16807,2147483647)</x:f>
        <x:v>1221875011</x:v>
      </x:c>
      <x:c r="C691" s="9" t="n">
        <x:f>MOD(B691*16807,2147483647)</x:f>
        <x:v>1814677263</x:v>
      </x:c>
      <x:c r="D691" s="17" t="n">
        <x:f>IF('Control Room'!$B$5="Normal",'Control Room'!$B$7+'Control Room'!$D$7*SQRT(-2*LN(MAX(0.000000000001,B691/2147483647)))*COS(2*PI()*C691/2147483647),'Control Room'!$B$8+('Control Room'!$D$8-'Control Room'!$B$8)*B691/2147483647)</x:f>
        <x:v>1053.735758791207</x:v>
      </x:c>
      <x:c r="E691" s="17" t="n">
        <x:f>IF('Control Room'!$B$5="Normal",'Control Room'!$B$7,('Control Room'!$B$8+'Control Room'!$D$8)/2)+'Control Room'!$B$9*(E690-IF('Control Room'!$B$5="Normal",'Control Room'!$B$7,('Control Room'!$B$8+'Control Room'!$D$8)/2))+SQRT(1-'Control Room'!$B$9^2)*(D691-IF('Control Room'!$B$5="Normal",'Control Room'!$B$7,('Control Room'!$B$8+'Control Room'!$D$8)/2))</x:f>
        <x:v>997.8557830138561</x:v>
      </x:c>
      <x:c r="F691" s="17" t="n">
        <x:f>IF(AND($A691&gt;='Control Room'!$A$13,$A691&lt;'Control Room'!$A$13+'Control Room'!$B$13,'Process'!BK2=1),1+('Control Room'!$C$13-1)*EXP(-0.5*(($A691-'Control Room'!$A$13-('Control Room'!$B$13-1)/2)/MAX(0.5,'Control Room'!$B$13/4))^2),1)*IF(AND($A691&gt;='Control Room'!$A$14,$A691&lt;'Control Room'!$A$14+'Control Room'!$B$14,'Process'!BK3=1),1+('Control Room'!$C$14-1)*EXP(-0.5*(($A691-'Control Room'!$A$14-('Control Room'!$B$14-1)/2)/MAX(0.5,'Control Room'!$B$14/4))^2),1)*IF(AND($A691&gt;='Control Room'!$A$15,$A691&lt;'Control Room'!$A$15+'Control Room'!$B$15,'Process'!BK4=1),1+('Control Room'!$C$15-1)*EXP(-0.5*(($A691-'Control Room'!$A$15-('Control Room'!$B$15-1)/2)/MAX(0.5,'Control Room'!$B$15/4))^2),1)*IF(AND($A691&gt;='Control Room'!$A$16,$A691&lt;'Control Room'!$A$16+'Control Room'!$B$16,'Process'!BK5=1),1+('Control Room'!$C$16-1)*EXP(-0.5*(($A691-'Control Room'!$A$16-('Control Room'!$B$16-1)/2)/MAX(0.5,'Control Room'!$B$16/4))^2),1)</x:f>
        <x:v>1</x:v>
      </x:c>
      <x:c r="G691" s="9" t="n">
        <x:f>MOD(H690*16807,2147483647)</x:f>
        <x:v>405066177</x:v>
      </x:c>
      <x:c r="H691" s="9" t="n">
        <x:f>MOD(G691*16807,2147483647)</x:f>
        <x:v>424075849</x:v>
      </x:c>
      <x:c r="I691" s="17" t="n">
        <x:f>IF('Control Room'!$B$5="Normal",'Control Room'!$B$7+'Control Room'!$D$7*SQRT(-2*LN(MAX(0.000000000001,G691/2147483647)))*COS(2*PI()*H691/2147483647),'Control Room'!$B$8+('Control Room'!$D$8-'Control Room'!$B$8)*G691/2147483647)</x:f>
        <x:v>1053.2701127460932</x:v>
      </x:c>
      <x:c r="J691" s="17" t="n">
        <x:f>IF('Control Room'!$B$5="Normal",'Control Room'!$B$7,('Control Room'!$B$8+'Control Room'!$D$8)/2)+'Control Room'!$B$9*(J690-IF('Control Room'!$B$5="Normal",'Control Room'!$B$7,('Control Room'!$B$8+'Control Room'!$D$8)/2))+SQRT(1-'Control Room'!$B$9^2)*(I691-IF('Control Room'!$B$5="Normal",'Control Room'!$B$7,('Control Room'!$B$8+'Control Room'!$D$8)/2))</x:f>
        <x:v>962.4286176919122</x:v>
      </x:c>
      <x:c r="K691" s="17" t="n">
        <x:f>IF(AND($A691&gt;='Control Room'!$A$13,$A691&lt;'Control Room'!$A$13+'Control Room'!$B$13,'Process'!BL2=1),1+('Control Room'!$C$13-1)*EXP(-0.5*(($A691-'Control Room'!$A$13-('Control Room'!$B$13-1)/2)/MAX(0.5,'Control Room'!$B$13/4))^2),1)*IF(AND($A691&gt;='Control Room'!$A$14,$A691&lt;'Control Room'!$A$14+'Control Room'!$B$14,'Process'!BL3=1),1+('Control Room'!$C$14-1)*EXP(-0.5*(($A691-'Control Room'!$A$14-('Control Room'!$B$14-1)/2)/MAX(0.5,'Control Room'!$B$14/4))^2),1)*IF(AND($A691&gt;='Control Room'!$A$15,$A691&lt;'Control Room'!$A$15+'Control Room'!$B$15,'Process'!BL4=1),1+('Control Room'!$C$15-1)*EXP(-0.5*(($A691-'Control Room'!$A$15-('Control Room'!$B$15-1)/2)/MAX(0.5,'Control Room'!$B$15/4))^2),1)*IF(AND($A691&gt;='Control Room'!$A$16,$A691&lt;'Control Room'!$A$16+'Control Room'!$B$16,'Process'!BL5=1),1+('Control Room'!$C$16-1)*EXP(-0.5*(($A691-'Control Room'!$A$16-('Control Room'!$B$16-1)/2)/MAX(0.5,'Control Room'!$B$16/4))^2),1)</x:f>
        <x:v>1</x:v>
      </x:c>
      <x:c r="L691" s="9" t="n">
        <x:f>MOD(M690*16807,2147483647)</x:f>
        <x:v>1735740990</x:v>
      </x:c>
      <x:c r="M691" s="9" t="n">
        <x:f>MOD(L691*16807,2147483647)</x:f>
        <x:v>1180958082</x:v>
      </x:c>
      <x:c r="N691" s="17" t="n">
        <x:f>IF('Control Room'!$B$5="Normal",'Control Room'!$B$7+'Control Room'!$D$7*SQRT(-2*LN(MAX(0.000000000001,L691/2147483647)))*COS(2*PI()*M691/2147483647),'Control Room'!$B$8+('Control Room'!$D$8-'Control Room'!$B$8)*L691/2147483647)</x:f>
        <x:v>944.1428962143091</x:v>
      </x:c>
      <x:c r="O691" s="17" t="n">
        <x:f>IF('Control Room'!$B$5="Normal",'Control Room'!$B$7,('Control Room'!$B$8+'Control Room'!$D$8)/2)+'Control Room'!$B$9*(O690-IF('Control Room'!$B$5="Normal",'Control Room'!$B$7,('Control Room'!$B$8+'Control Room'!$D$8)/2))+SQRT(1-'Control Room'!$B$9^2)*(N691-IF('Control Room'!$B$5="Normal",'Control Room'!$B$7,('Control Room'!$B$8+'Control Room'!$D$8)/2))</x:f>
        <x:v>881.0962384415582</x:v>
      </x:c>
      <x:c r="P691" s="17" t="n">
        <x:f>IF(AND($A691&gt;='Control Room'!$A$13,$A691&lt;'Control Room'!$A$13+'Control Room'!$B$13,'Process'!BM2=1),1+('Control Room'!$C$13-1)*EXP(-0.5*(($A691-'Control Room'!$A$13-('Control Room'!$B$13-1)/2)/MAX(0.5,'Control Room'!$B$13/4))^2),1)*IF(AND($A691&gt;='Control Room'!$A$14,$A691&lt;'Control Room'!$A$14+'Control Room'!$B$14,'Process'!BM3=1),1+('Control Room'!$C$14-1)*EXP(-0.5*(($A691-'Control Room'!$A$14-('Control Room'!$B$14-1)/2)/MAX(0.5,'Control Room'!$B$14/4))^2),1)*IF(AND($A691&gt;='Control Room'!$A$15,$A691&lt;'Control Room'!$A$15+'Control Room'!$B$15,'Process'!BM4=1),1+('Control Room'!$C$15-1)*EXP(-0.5*(($A691-'Control Room'!$A$15-('Control Room'!$B$15-1)/2)/MAX(0.5,'Control Room'!$B$15/4))^2),1)*IF(AND($A691&gt;='Control Room'!$A$16,$A691&lt;'Control Room'!$A$16+'Control Room'!$B$16,'Process'!BM5=1),1+('Control Room'!$C$16-1)*EXP(-0.5*(($A691-'Control Room'!$A$16-('Control Room'!$B$16-1)/2)/MAX(0.5,'Control Room'!$B$16/4))^2),1)</x:f>
        <x:v>1</x:v>
      </x:c>
      <x:c r="Q691" s="9" t="n">
        <x:f>MOD(R690*16807,2147483647)</x:f>
        <x:v>918932156</x:v>
      </x:c>
      <x:c r="R691" s="9" t="n">
        <x:f>MOD(Q691*16807,2147483647)</x:f>
        <x:v>1937840315</x:v>
      </x:c>
      <x:c r="S691" s="17" t="n">
        <x:f>IF('Control Room'!$B$5="Normal",'Control Room'!$B$7+'Control Room'!$D$7*SQRT(-2*LN(MAX(0.000000000001,Q691/2147483647)))*COS(2*PI()*R691/2147483647),'Control Room'!$B$8+('Control Room'!$D$8-'Control Room'!$B$8)*Q691/2147483647)</x:f>
        <x:v>1095.8887101078144</x:v>
      </x:c>
      <x:c r="T691" s="17" t="n">
        <x:f>IF('Control Room'!$B$5="Normal",'Control Room'!$B$7,('Control Room'!$B$8+'Control Room'!$D$8)/2)+'Control Room'!$B$9*(T690-IF('Control Room'!$B$5="Normal",'Control Room'!$B$7,('Control Room'!$B$8+'Control Room'!$D$8)/2))+SQRT(1-'Control Room'!$B$9^2)*(S691-IF('Control Room'!$B$5="Normal",'Control Room'!$B$7,('Control Room'!$B$8+'Control Room'!$D$8)/2))</x:f>
        <x:v>1038.769640695022</x:v>
      </x:c>
      <x:c r="U691" s="17" t="n">
        <x:f>IF(AND($A691&gt;='Control Room'!$A$13,$A691&lt;'Control Room'!$A$13+'Control Room'!$B$13,'Process'!BN2=1),1+('Control Room'!$C$13-1)*EXP(-0.5*(($A691-'Control Room'!$A$13-('Control Room'!$B$13-1)/2)/MAX(0.5,'Control Room'!$B$13/4))^2),1)*IF(AND($A691&gt;='Control Room'!$A$14,$A691&lt;'Control Room'!$A$14+'Control Room'!$B$14,'Process'!BN3=1),1+('Control Room'!$C$14-1)*EXP(-0.5*(($A691-'Control Room'!$A$14-('Control Room'!$B$14-1)/2)/MAX(0.5,'Control Room'!$B$14/4))^2),1)*IF(AND($A691&gt;='Control Room'!$A$15,$A691&lt;'Control Room'!$A$15+'Control Room'!$B$15,'Process'!BN4=1),1+('Control Room'!$C$15-1)*EXP(-0.5*(($A691-'Control Room'!$A$15-('Control Room'!$B$15-1)/2)/MAX(0.5,'Control Room'!$B$15/4))^2),1)*IF(AND($A691&gt;='Control Room'!$A$16,$A691&lt;'Control Room'!$A$16+'Control Room'!$B$16,'Process'!BN5=1),1+('Control Room'!$C$16-1)*EXP(-0.5*(($A691-'Control Room'!$A$16-('Control Room'!$B$16-1)/2)/MAX(0.5,'Control Room'!$B$16/4))^2),1)</x:f>
        <x:v>1</x:v>
      </x:c>
      <x:c r="V691" s="9" t="n">
        <x:f>MOD(W690*16807,2147483647)</x:f>
        <x:v>102123322</x:v>
      </x:c>
      <x:c r="W691" s="9" t="n">
        <x:f>MOD(V691*16807,2147483647)</x:f>
        <x:v>547238901</x:v>
      </x:c>
      <x:c r="X691" s="17" t="n">
        <x:f>IF('Control Room'!$B$5="Normal",'Control Room'!$B$7+'Control Room'!$D$7*SQRT(-2*LN(MAX(0.000000000001,V691/2147483647)))*COS(2*PI()*W691/2147483647),'Control Room'!$B$8+('Control Room'!$D$8-'Control Room'!$B$8)*V691/2147483647)</x:f>
        <x:v>993.262617779659</x:v>
      </x:c>
      <x:c r="Y691" s="17" t="n">
        <x:f>IF('Control Room'!$B$5="Normal",'Control Room'!$B$7,('Control Room'!$B$8+'Control Room'!$D$8)/2)+'Control Room'!$B$9*(Y690-IF('Control Room'!$B$5="Normal",'Control Room'!$B$7,('Control Room'!$B$8+'Control Room'!$D$8)/2))+SQRT(1-'Control Room'!$B$9^2)*(X691-IF('Control Room'!$B$5="Normal",'Control Room'!$B$7,('Control Room'!$B$8+'Control Room'!$D$8)/2))</x:f>
        <x:v>989.33259077479</x:v>
      </x:c>
      <x:c r="Z691" s="17" t="n">
        <x:f>IF(AND($A691&gt;='Control Room'!$A$13,$A691&lt;'Control Room'!$A$13+'Control Room'!$B$13,'Process'!BO2=1),1+('Control Room'!$C$13-1)*EXP(-0.5*(($A691-'Control Room'!$A$13-('Control Room'!$B$13-1)/2)/MAX(0.5,'Control Room'!$B$13/4))^2),1)*IF(AND($A691&gt;='Control Room'!$A$14,$A691&lt;'Control Room'!$A$14+'Control Room'!$B$14,'Process'!BO3=1),1+('Control Room'!$C$14-1)*EXP(-0.5*(($A691-'Control Room'!$A$14-('Control Room'!$B$14-1)/2)/MAX(0.5,'Control Room'!$B$14/4))^2),1)*IF(AND($A691&gt;='Control Room'!$A$15,$A691&lt;'Control Room'!$A$15+'Control Room'!$B$15,'Process'!BO4=1),1+('Control Room'!$C$15-1)*EXP(-0.5*(($A691-'Control Room'!$A$15-('Control Room'!$B$15-1)/2)/MAX(0.5,'Control Room'!$B$15/4))^2),1)*IF(AND($A691&gt;='Control Room'!$A$16,$A691&lt;'Control Room'!$A$16+'Control Room'!$B$16,'Process'!BO5=1),1+('Control Room'!$C$16-1)*EXP(-0.5*(($A691-'Control Room'!$A$16-('Control Room'!$B$16-1)/2)/MAX(0.5,'Control Room'!$B$16/4))^2),1)</x:f>
        <x:v>1</x:v>
      </x:c>
      <x:c r="AA691" s="9" t="n">
        <x:f>MOD(AB690*16807,2147483647)</x:f>
        <x:v>1432798135</x:v>
      </x:c>
      <x:c r="AB691" s="9" t="n">
        <x:f>MOD(AA691*16807,2147483647)</x:f>
        <x:v>1304121134</x:v>
      </x:c>
      <x:c r="AC691" s="17" t="n">
        <x:f>IF('Control Room'!$B$5="Normal",'Control Room'!$B$7+'Control Room'!$D$7*SQRT(-2*LN(MAX(0.000000000001,AA691/2147483647)))*COS(2*PI()*AB691/2147483647),'Control Room'!$B$8+('Control Room'!$D$8-'Control Room'!$B$8)*AA691/2147483647)</x:f>
        <x:v>936.7407710074285</x:v>
      </x:c>
      <x:c r="AD691" s="17" t="n">
        <x:f>IF('Control Room'!$B$5="Normal",'Control Room'!$B$7,('Control Room'!$B$8+'Control Room'!$D$8)/2)+'Control Room'!$B$9*(AD690-IF('Control Room'!$B$5="Normal",'Control Room'!$B$7,('Control Room'!$B$8+'Control Room'!$D$8)/2))+SQRT(1-'Control Room'!$B$9^2)*(AC691-IF('Control Room'!$B$5="Normal",'Control Room'!$B$7,('Control Room'!$B$8+'Control Room'!$D$8)/2))</x:f>
        <x:v>1067.5326671206158</x:v>
      </x:c>
      <x:c r="AE691" s="17" t="n">
        <x:f>IF(AND($A691&gt;='Control Room'!$A$13,$A691&lt;'Control Room'!$A$13+'Control Room'!$B$13,'Process'!BP2=1),1+('Control Room'!$C$13-1)*EXP(-0.5*(($A691-'Control Room'!$A$13-('Control Room'!$B$13-1)/2)/MAX(0.5,'Control Room'!$B$13/4))^2),1)*IF(AND($A691&gt;='Control Room'!$A$14,$A691&lt;'Control Room'!$A$14+'Control Room'!$B$14,'Process'!BP3=1),1+('Control Room'!$C$14-1)*EXP(-0.5*(($A691-'Control Room'!$A$14-('Control Room'!$B$14-1)/2)/MAX(0.5,'Control Room'!$B$14/4))^2),1)*IF(AND($A691&gt;='Control Room'!$A$15,$A691&lt;'Control Room'!$A$15+'Control Room'!$B$15,'Process'!BP4=1),1+('Control Room'!$C$15-1)*EXP(-0.5*(($A691-'Control Room'!$A$15-('Control Room'!$B$15-1)/2)/MAX(0.5,'Control Room'!$B$15/4))^2),1)*IF(AND($A691&gt;='Control Room'!$A$16,$A691&lt;'Control Room'!$A$16+'Control Room'!$B$16,'Process'!BP5=1),1+('Control Room'!$C$16-1)*EXP(-0.5*(($A691-'Control Room'!$A$16-('Control Room'!$B$16-1)/2)/MAX(0.5,'Control Room'!$B$16/4))^2),1)</x:f>
        <x:v>1</x:v>
      </x:c>
      <x:c r="AF691" s="9" t="n">
        <x:f>MOD(AG690*16807,2147483647)</x:f>
        <x:v>615989301</x:v>
      </x:c>
      <x:c r="AG691" s="9" t="n">
        <x:f>MOD(AF691*16807,2147483647)</x:f>
        <x:v>2061003367</x:v>
      </x:c>
      <x:c r="AH691" s="17" t="n">
        <x:f>IF('Control Room'!$B$5="Normal",'Control Room'!$B$7+'Control Room'!$D$7*SQRT(-2*LN(MAX(0.000000000001,AF691/2147483647)))*COS(2*PI()*AG691/2147483647),'Control Room'!$B$8+('Control Room'!$D$8-'Control Room'!$B$8)*AF691/2147483647)</x:f>
        <x:v>1137.7065407147622</x:v>
      </x:c>
      <x:c r="AI691" s="17" t="n">
        <x:f>IF('Control Room'!$B$5="Normal",'Control Room'!$B$7,('Control Room'!$B$8+'Control Room'!$D$8)/2)+'Control Room'!$B$9*(AI690-IF('Control Room'!$B$5="Normal",'Control Room'!$B$7,('Control Room'!$B$8+'Control Room'!$D$8)/2))+SQRT(1-'Control Room'!$B$9^2)*(AH691-IF('Control Room'!$B$5="Normal",'Control Room'!$B$7,('Control Room'!$B$8+'Control Room'!$D$8)/2))</x:f>
        <x:v>1099.959989601398</x:v>
      </x:c>
      <x:c r="AJ691" s="17" t="n">
        <x:f>IF(AND($A691&gt;='Control Room'!$A$13,$A691&lt;'Control Room'!$A$13+'Control Room'!$B$13,'Process'!BQ2=1),1+('Control Room'!$C$13-1)*EXP(-0.5*(($A691-'Control Room'!$A$13-('Control Room'!$B$13-1)/2)/MAX(0.5,'Control Room'!$B$13/4))^2),1)*IF(AND($A691&gt;='Control Room'!$A$14,$A691&lt;'Control Room'!$A$14+'Control Room'!$B$14,'Process'!BQ3=1),1+('Control Room'!$C$14-1)*EXP(-0.5*(($A691-'Control Room'!$A$14-('Control Room'!$B$14-1)/2)/MAX(0.5,'Control Room'!$B$14/4))^2),1)*IF(AND($A691&gt;='Control Room'!$A$15,$A691&lt;'Control Room'!$A$15+'Control Room'!$B$15,'Process'!BQ4=1),1+('Control Room'!$C$15-1)*EXP(-0.5*(($A691-'Control Room'!$A$15-('Control Room'!$B$15-1)/2)/MAX(0.5,'Control Room'!$B$15/4))^2),1)*IF(AND($A691&gt;='Control Room'!$A$16,$A691&lt;'Control Room'!$A$16+'Control Room'!$B$16,'Process'!BQ5=1),1+('Control Room'!$C$16-1)*EXP(-0.5*(($A691-'Control Room'!$A$16-('Control Room'!$B$16-1)/2)/MAX(0.5,'Control Room'!$B$16/4))^2),1)</x:f>
        <x:v>1</x:v>
      </x:c>
      <x:c r="AK691" s="9" t="n">
        <x:f>MOD(AL690*16807,2147483647)</x:f>
        <x:v>1946664114</x:v>
      </x:c>
      <x:c r="AL691" s="9" t="n">
        <x:f>MOD(AK691*16807,2147483647)</x:f>
        <x:v>670401953</x:v>
      </x:c>
      <x:c r="AM691" s="17" t="n">
        <x:f>IF('Control Room'!$B$5="Normal",'Control Room'!$B$7+'Control Room'!$D$7*SQRT(-2*LN(MAX(0.000000000001,AK691/2147483647)))*COS(2*PI()*AL691/2147483647),'Control Room'!$B$8+('Control Room'!$D$8-'Control Room'!$B$8)*AK691/2147483647)</x:f>
        <x:v>984.8121892883505</x:v>
      </x:c>
      <x:c r="AN691" s="17" t="n">
        <x:f>IF('Control Room'!$B$5="Normal",'Control Room'!$B$7,('Control Room'!$B$8+'Control Room'!$D$8)/2)+'Control Room'!$B$9*(AN690-IF('Control Room'!$B$5="Normal",'Control Room'!$B$7,('Control Room'!$B$8+'Control Room'!$D$8)/2))+SQRT(1-'Control Room'!$B$9^2)*(AM691-IF('Control Room'!$B$5="Normal",'Control Room'!$B$7,('Control Room'!$B$8+'Control Room'!$D$8)/2))</x:f>
        <x:v>972.0820238738959</x:v>
      </x:c>
      <x:c r="AO691" s="17" t="n">
        <x:f>IF(AND($A691&gt;='Control Room'!$A$13,$A691&lt;'Control Room'!$A$13+'Control Room'!$B$13,'Process'!BR2=1),1+('Control Room'!$C$13-1)*EXP(-0.5*(($A691-'Control Room'!$A$13-('Control Room'!$B$13-1)/2)/MAX(0.5,'Control Room'!$B$13/4))^2),1)*IF(AND($A691&gt;='Control Room'!$A$14,$A691&lt;'Control Room'!$A$14+'Control Room'!$B$14,'Process'!BR3=1),1+('Control Room'!$C$14-1)*EXP(-0.5*(($A691-'Control Room'!$A$14-('Control Room'!$B$14-1)/2)/MAX(0.5,'Control Room'!$B$14/4))^2),1)*IF(AND($A691&gt;='Control Room'!$A$15,$A691&lt;'Control Room'!$A$15+'Control Room'!$B$15,'Process'!BR4=1),1+('Control Room'!$C$15-1)*EXP(-0.5*(($A691-'Control Room'!$A$15-('Control Room'!$B$15-1)/2)/MAX(0.5,'Control Room'!$B$15/4))^2),1)*IF(AND($A691&gt;='Control Room'!$A$16,$A691&lt;'Control Room'!$A$16+'Control Room'!$B$16,'Process'!BR5=1),1+('Control Room'!$C$16-1)*EXP(-0.5*(($A691-'Control Room'!$A$16-('Control Room'!$B$16-1)/2)/MAX(0.5,'Control Room'!$B$16/4))^2),1)</x:f>
        <x:v>1</x:v>
      </x:c>
      <x:c r="AP691" s="9" t="n">
        <x:f>MOD(AQ690*16807,2147483647)</x:f>
        <x:v>1129855280</x:v>
      </x:c>
      <x:c r="AQ691" s="9" t="n">
        <x:f>MOD(AP691*16807,2147483647)</x:f>
        <x:v>1427284186</x:v>
      </x:c>
      <x:c r="AR691" s="17" t="n">
        <x:f>IF('Control Room'!$B$5="Normal",'Control Room'!$B$7+'Control Room'!$D$7*SQRT(-2*LN(MAX(0.000000000001,AP691/2147483647)))*COS(2*PI()*AQ691/2147483647),'Control Room'!$B$8+('Control Room'!$D$8-'Control Room'!$B$8)*AP691/2147483647)</x:f>
        <x:v>947.8749662570182</x:v>
      </x:c>
      <x:c r="AS691" s="17" t="n">
        <x:f>IF('Control Room'!$B$5="Normal",'Control Room'!$B$7,('Control Room'!$B$8+'Control Room'!$D$8)/2)+'Control Room'!$B$9*(AS690-IF('Control Room'!$B$5="Normal",'Control Room'!$B$7,('Control Room'!$B$8+'Control Room'!$D$8)/2))+SQRT(1-'Control Room'!$B$9^2)*(AR691-IF('Control Room'!$B$5="Normal",'Control Room'!$B$7,('Control Room'!$B$8+'Control Room'!$D$8)/2))</x:f>
        <x:v>939.5550013521629</x:v>
      </x:c>
      <x:c r="AT691" s="17" t="n">
        <x:f>IF(AND($A691&gt;='Control Room'!$A$13,$A691&lt;'Control Room'!$A$13+'Control Room'!$B$13,'Process'!BS2=1),1+('Control Room'!$C$13-1)*EXP(-0.5*(($A691-'Control Room'!$A$13-('Control Room'!$B$13-1)/2)/MAX(0.5,'Control Room'!$B$13/4))^2),1)*IF(AND($A691&gt;='Control Room'!$A$14,$A691&lt;'Control Room'!$A$14+'Control Room'!$B$14,'Process'!BS3=1),1+('Control Room'!$C$14-1)*EXP(-0.5*(($A691-'Control Room'!$A$14-('Control Room'!$B$14-1)/2)/MAX(0.5,'Control Room'!$B$14/4))^2),1)*IF(AND($A691&gt;='Control Room'!$A$15,$A691&lt;'Control Room'!$A$15+'Control Room'!$B$15,'Process'!BS4=1),1+('Control Room'!$C$15-1)*EXP(-0.5*(($A691-'Control Room'!$A$15-('Control Room'!$B$15-1)/2)/MAX(0.5,'Control Room'!$B$15/4))^2),1)*IF(AND($A691&gt;='Control Room'!$A$16,$A691&lt;'Control Room'!$A$16+'Control Room'!$B$16,'Process'!BS5=1),1+('Control Room'!$C$16-1)*EXP(-0.5*(($A691-'Control Room'!$A$16-('Control Room'!$B$16-1)/2)/MAX(0.5,'Control Room'!$B$16/4))^2),1)</x:f>
        <x:v>1</x:v>
      </x:c>
      <x:c r="AU691" s="9" t="n">
        <x:f>MOD(AV690*16807,2147483647)</x:f>
        <x:v>313046446</x:v>
      </x:c>
      <x:c r="AV691" s="9" t="n">
        <x:f>MOD(AU691*16807,2147483647)</x:f>
        <x:v>36682772</x:v>
      </x:c>
      <x:c r="AW691" s="17" t="n">
        <x:f>IF('Control Room'!$B$5="Normal",'Control Room'!$B$7+'Control Room'!$D$7*SQRT(-2*LN(MAX(0.000000000001,AU691/2147483647)))*COS(2*PI()*AV691/2147483647),'Control Room'!$B$8+('Control Room'!$D$8-'Control Room'!$B$8)*AU691/2147483647)</x:f>
        <x:v>1175.6085611007945</x:v>
      </x:c>
      <x:c r="AX691" s="17" t="n">
        <x:f>IF('Control Room'!$B$5="Normal",'Control Room'!$B$7,('Control Room'!$B$8+'Control Room'!$D$8)/2)+'Control Room'!$B$9*(AX690-IF('Control Room'!$B$5="Normal",'Control Room'!$B$7,('Control Room'!$B$8+'Control Room'!$D$8)/2))+SQRT(1-'Control Room'!$B$9^2)*(AW691-IF('Control Room'!$B$5="Normal",'Control Room'!$B$7,('Control Room'!$B$8+'Control Room'!$D$8)/2))</x:f>
        <x:v>1092.9227692580407</x:v>
      </x:c>
      <x:c r="AY691" s="17" t="n">
        <x:f>IF(AND($A691&gt;='Control Room'!$A$13,$A691&lt;'Control Room'!$A$13+'Control Room'!$B$13,'Process'!BT2=1),1+('Control Room'!$C$13-1)*EXP(-0.5*(($A691-'Control Room'!$A$13-('Control Room'!$B$13-1)/2)/MAX(0.5,'Control Room'!$B$13/4))^2),1)*IF(AND($A691&gt;='Control Room'!$A$14,$A691&lt;'Control Room'!$A$14+'Control Room'!$B$14,'Process'!BT3=1),1+('Control Room'!$C$14-1)*EXP(-0.5*(($A691-'Control Room'!$A$14-('Control Room'!$B$14-1)/2)/MAX(0.5,'Control Room'!$B$14/4))^2),1)*IF(AND($A691&gt;='Control Room'!$A$15,$A691&lt;'Control Room'!$A$15+'Control Room'!$B$15,'Process'!BT4=1),1+('Control Room'!$C$15-1)*EXP(-0.5*(($A691-'Control Room'!$A$15-('Control Room'!$B$15-1)/2)/MAX(0.5,'Control Room'!$B$15/4))^2),1)*IF(AND($A691&gt;='Control Room'!$A$16,$A691&lt;'Control Room'!$A$16+'Control Room'!$B$16,'Process'!BT5=1),1+('Control Room'!$C$16-1)*EXP(-0.5*(($A691-'Control Room'!$A$16-('Control Room'!$B$16-1)/2)/MAX(0.5,'Control Room'!$B$16/4))^2),1)</x:f>
        <x:v>1</x:v>
      </x:c>
      <x:c r="AZ691" s="9" t="n">
        <x:f>MOD(BA690*16807,2147483647)</x:f>
        <x:v>1643721259</x:v>
      </x:c>
      <x:c r="BA691" s="9" t="n">
        <x:f>MOD(AZ691*16807,2147483647)</x:f>
        <x:v>793565005</x:v>
      </x:c>
      <x:c r="BB691" s="17" t="n">
        <x:f>IF('Control Room'!$B$5="Normal",'Control Room'!$B$7+'Control Room'!$D$7*SQRT(-2*LN(MAX(0.000000000001,AZ691/2147483647)))*COS(2*PI()*BA691/2147483647),'Control Room'!$B$8+('Control Room'!$D$8-'Control Room'!$B$8)*AZ691/2147483647)</x:f>
        <x:v>955.0918161014295</x:v>
      </x:c>
      <x:c r="BC691" s="17" t="n">
        <x:f>IF('Control Room'!$B$5="Normal",'Control Room'!$B$7,('Control Room'!$B$8+'Control Room'!$D$8)/2)+'Control Room'!$B$9*(BC690-IF('Control Room'!$B$5="Normal",'Control Room'!$B$7,('Control Room'!$B$8+'Control Room'!$D$8)/2))+SQRT(1-'Control Room'!$B$9^2)*(BB691-IF('Control Room'!$B$5="Normal",'Control Room'!$B$7,('Control Room'!$B$8+'Control Room'!$D$8)/2))</x:f>
        <x:v>1025.6623140850115</x:v>
      </x:c>
      <x:c r="BD691" s="17" t="n">
        <x:f>IF(AND($A691&gt;='Control Room'!$A$13,$A691&lt;'Control Room'!$A$13+'Control Room'!$B$13,'Process'!BU2=1),1+('Control Room'!$C$13-1)*EXP(-0.5*(($A691-'Control Room'!$A$13-('Control Room'!$B$13-1)/2)/MAX(0.5,'Control Room'!$B$13/4))^2),1)*IF(AND($A691&gt;='Control Room'!$A$14,$A691&lt;'Control Room'!$A$14+'Control Room'!$B$14,'Process'!BU3=1),1+('Control Room'!$C$14-1)*EXP(-0.5*(($A691-'Control Room'!$A$14-('Control Room'!$B$14-1)/2)/MAX(0.5,'Control Room'!$B$14/4))^2),1)*IF(AND($A691&gt;='Control Room'!$A$15,$A691&lt;'Control Room'!$A$15+'Control Room'!$B$15,'Process'!BU4=1),1+('Control Room'!$C$15-1)*EXP(-0.5*(($A691-'Control Room'!$A$15-('Control Room'!$B$15-1)/2)/MAX(0.5,'Control Room'!$B$15/4))^2),1)*IF(AND($A691&gt;='Control Room'!$A$16,$A691&lt;'Control Room'!$A$16+'Control Room'!$B$16,'Process'!BU5=1),1+('Control Room'!$C$16-1)*EXP(-0.5*(($A691-'Control Room'!$A$16-('Control Room'!$B$16-1)/2)/MAX(0.5,'Control Room'!$B$16/4))^2),1)</x:f>
        <x:v>1</x:v>
      </x:c>
      <x:c r="BE691" s="9" t="n">
        <x:f>MOD(BF690*16807,2147483647)</x:f>
        <x:v>826912425</x:v>
      </x:c>
      <x:c r="BF691" s="9" t="n">
        <x:f>MOD(BE691*16807,2147483647)</x:f>
        <x:v>1550447238</x:v>
      </x:c>
      <x:c r="BG691" s="17" t="n">
        <x:f>IF('Control Room'!$B$5="Normal",'Control Room'!$B$7+'Control Room'!$D$7*SQRT(-2*LN(MAX(0.000000000001,BE691/2147483647)))*COS(2*PI()*BF691/2147483647),'Control Room'!$B$8+('Control Room'!$D$8-'Control Room'!$B$8)*BE691/2147483647)</x:f>
        <x:v>978.2246932120163</x:v>
      </x:c>
      <x:c r="BH691" s="17" t="n">
        <x:f>IF('Control Room'!$B$5="Normal",'Control Room'!$B$7,('Control Room'!$B$8+'Control Room'!$D$8)/2)+'Control Room'!$B$9*(BH690-IF('Control Room'!$B$5="Normal",'Control Room'!$B$7,('Control Room'!$B$8+'Control Room'!$D$8)/2))+SQRT(1-'Control Room'!$B$9^2)*(BG691-IF('Control Room'!$B$5="Normal",'Control Room'!$B$7,('Control Room'!$B$8+'Control Room'!$D$8)/2))</x:f>
        <x:v>988.3070756221658</x:v>
      </x:c>
      <x:c r="BI691" s="17" t="n">
        <x:f>IF(AND($A691&gt;='Control Room'!$A$13,$A691&lt;'Control Room'!$A$13+'Control Room'!$B$13,'Process'!BV2=1),1+('Control Room'!$C$13-1)*EXP(-0.5*(($A691-'Control Room'!$A$13-('Control Room'!$B$13-1)/2)/MAX(0.5,'Control Room'!$B$13/4))^2),1)*IF(AND($A691&gt;='Control Room'!$A$14,$A691&lt;'Control Room'!$A$14+'Control Room'!$B$14,'Process'!BV3=1),1+('Control Room'!$C$14-1)*EXP(-0.5*(($A691-'Control Room'!$A$14-('Control Room'!$B$14-1)/2)/MAX(0.5,'Control Room'!$B$14/4))^2),1)*IF(AND($A691&gt;='Control Room'!$A$15,$A691&lt;'Control Room'!$A$15+'Control Room'!$B$15,'Process'!BV4=1),1+('Control Room'!$C$15-1)*EXP(-0.5*(($A691-'Control Room'!$A$15-('Control Room'!$B$15-1)/2)/MAX(0.5,'Control Room'!$B$15/4))^2),1)*IF(AND($A691&gt;='Control Room'!$A$16,$A691&lt;'Control Room'!$A$16+'Control Room'!$B$16,'Process'!BV5=1),1+('Control Room'!$C$16-1)*EXP(-0.5*(($A691-'Control Room'!$A$16-('Control Room'!$B$16-1)/2)/MAX(0.5,'Control Room'!$B$16/4))^2),1)</x:f>
        <x:v>1</x:v>
      </x:c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Z691" t="str">
        <x:f>IF('Data'!A691="","",TEXT('Data'!A691,"mm-dd"))</x:f>
      </x:c>
    </x:row>
    <x:row r="692" ht="21" customHeight="1">
      <x:c r="A692" s="15" t="n">
        <x:f>'Control Room'!$B$1+690</x:f>
        <x:v>73681</x:v>
      </x:c>
      <x:c r="B692" s="9" t="n">
        <x:f>MOD(C691*16807,2147483647)</x:f>
        <x:v>718004547</x:v>
      </x:c>
      <x:c r="C692" s="9" t="n">
        <x:f>MOD(B692*16807,2147483647)</x:f>
        <x:v>791808936</x:v>
      </x:c>
      <x:c r="D692" s="17" t="n">
        <x:f>IF('Control Room'!$B$5="Normal",'Control Room'!$B$7+'Control Room'!$D$7*SQRT(-2*LN(MAX(0.000000000001,B692/2147483647)))*COS(2*PI()*C692/2147483647),'Control Room'!$B$8+('Control Room'!$D$8-'Control Room'!$B$8)*B692/2147483647)</x:f>
        <x:v>909.5898737509978</x:v>
      </x:c>
      <x:c r="E692" s="17" t="n">
        <x:f>IF('Control Room'!$B$5="Normal",'Control Room'!$B$7,('Control Room'!$B$8+'Control Room'!$D$8)/2)+'Control Room'!$B$9*(E691-IF('Control Room'!$B$5="Normal",'Control Room'!$B$7,('Control Room'!$B$8+'Control Room'!$D$8)/2))+SQRT(1-'Control Room'!$B$9^2)*(D692-IF('Control Room'!$B$5="Normal",'Control Room'!$B$7,('Control Room'!$B$8+'Control Room'!$D$8)/2))</x:f>
        <x:v>941.7507058962917</x:v>
      </x:c>
      <x:c r="F692" s="17" t="n">
        <x:f>IF(AND($A692&gt;='Control Room'!$A$13,$A692&lt;'Control Room'!$A$13+'Control Room'!$B$13,'Process'!BK2=1),1+('Control Room'!$C$13-1)*EXP(-0.5*(($A692-'Control Room'!$A$13-('Control Room'!$B$13-1)/2)/MAX(0.5,'Control Room'!$B$13/4))^2),1)*IF(AND($A692&gt;='Control Room'!$A$14,$A692&lt;'Control Room'!$A$14+'Control Room'!$B$14,'Process'!BK3=1),1+('Control Room'!$C$14-1)*EXP(-0.5*(($A692-'Control Room'!$A$14-('Control Room'!$B$14-1)/2)/MAX(0.5,'Control Room'!$B$14/4))^2),1)*IF(AND($A692&gt;='Control Room'!$A$15,$A692&lt;'Control Room'!$A$15+'Control Room'!$B$15,'Process'!BK4=1),1+('Control Room'!$C$15-1)*EXP(-0.5*(($A692-'Control Room'!$A$15-('Control Room'!$B$15-1)/2)/MAX(0.5,'Control Room'!$B$15/4))^2),1)*IF(AND($A692&gt;='Control Room'!$A$16,$A692&lt;'Control Room'!$A$16+'Control Room'!$B$16,'Process'!BK5=1),1+('Control Room'!$C$16-1)*EXP(-0.5*(($A692-'Control Room'!$A$16-('Control Room'!$B$16-1)/2)/MAX(0.5,'Control Room'!$B$16/4))^2),1)</x:f>
        <x:v>1</x:v>
      </x:c>
      <x:c r="G692" s="9" t="n">
        <x:f>MOD(H691*16807,2147483647)</x:f>
        <x:v>2092053397</x:v>
      </x:c>
      <x:c r="H692" s="9" t="n">
        <x:f>MOD(G692*16807,2147483647)</x:f>
        <x:v>391691048</x:v>
      </x:c>
      <x:c r="I692" s="17" t="n">
        <x:f>IF('Control Room'!$B$5="Normal",'Control Room'!$B$7+'Control Room'!$D$7*SQRT(-2*LN(MAX(0.000000000001,G692/2147483647)))*COS(2*PI()*H692/2147483647),'Control Room'!$B$8+('Control Room'!$D$8-'Control Room'!$B$8)*G692/2147483647)</x:f>
        <x:v>1008.4823449102436</x:v>
      </x:c>
      <x:c r="J692" s="17" t="n">
        <x:f>IF('Control Room'!$B$5="Normal",'Control Room'!$B$7,('Control Room'!$B$8+'Control Room'!$D$8)/2)+'Control Room'!$B$9*(J691-IF('Control Room'!$B$5="Normal",'Control Room'!$B$7,('Control Room'!$B$8+'Control Room'!$D$8)/2))+SQRT(1-'Control Room'!$B$9^2)*(I692-IF('Control Room'!$B$5="Normal",'Control Room'!$B$7,('Control Room'!$B$8+'Control Room'!$D$8)/2))</x:f>
        <x:v>976.0023994742413</x:v>
      </x:c>
      <x:c r="K692" s="17" t="n">
        <x:f>IF(AND($A692&gt;='Control Room'!$A$13,$A692&lt;'Control Room'!$A$13+'Control Room'!$B$13,'Process'!BL2=1),1+('Control Room'!$C$13-1)*EXP(-0.5*(($A692-'Control Room'!$A$13-('Control Room'!$B$13-1)/2)/MAX(0.5,'Control Room'!$B$13/4))^2),1)*IF(AND($A692&gt;='Control Room'!$A$14,$A692&lt;'Control Room'!$A$14+'Control Room'!$B$14,'Process'!BL3=1),1+('Control Room'!$C$14-1)*EXP(-0.5*(($A692-'Control Room'!$A$14-('Control Room'!$B$14-1)/2)/MAX(0.5,'Control Room'!$B$14/4))^2),1)*IF(AND($A692&gt;='Control Room'!$A$15,$A692&lt;'Control Room'!$A$15+'Control Room'!$B$15,'Process'!BL4=1),1+('Control Room'!$C$15-1)*EXP(-0.5*(($A692-'Control Room'!$A$15-('Control Room'!$B$15-1)/2)/MAX(0.5,'Control Room'!$B$15/4))^2),1)*IF(AND($A692&gt;='Control Room'!$A$16,$A692&lt;'Control Room'!$A$16+'Control Room'!$B$16,'Process'!BL5=1),1+('Control Room'!$C$16-1)*EXP(-0.5*(($A692-'Control Room'!$A$16-('Control Room'!$B$16-1)/2)/MAX(0.5,'Control Room'!$B$16/4))^2),1)</x:f>
        <x:v>1</x:v>
      </x:c>
      <x:c r="L692" s="9" t="n">
        <x:f>MOD(M691*16807,2147483647)</x:f>
        <x:v>1318618600</x:v>
      </x:c>
      <x:c r="M692" s="9" t="n">
        <x:f>MOD(L692*16807,2147483647)</x:f>
        <x:v>2139056807</x:v>
      </x:c>
      <x:c r="N692" s="17" t="n">
        <x:f>IF('Control Room'!$B$5="Normal",'Control Room'!$B$7+'Control Room'!$D$7*SQRT(-2*LN(MAX(0.000000000001,L692/2147483647)))*COS(2*PI()*M692/2147483647),'Control Room'!$B$8+('Control Room'!$D$8-'Control Room'!$B$8)*L692/2147483647)</x:f>
        <x:v>1088.8601925748903</x:v>
      </x:c>
      <x:c r="O692" s="17" t="n">
        <x:f>IF('Control Room'!$B$5="Normal",'Control Room'!$B$7,('Control Room'!$B$8+'Control Room'!$D$8)/2)+'Control Room'!$B$9*(O691-IF('Control Room'!$B$5="Normal",'Control Room'!$B$7,('Control Room'!$B$8+'Control Room'!$D$8)/2))+SQRT(1-'Control Room'!$B$9^2)*(N692-IF('Control Room'!$B$5="Normal",'Control Room'!$B$7,('Control Room'!$B$8+'Control Room'!$D$8)/2))</x:f>
        <x:v>962.8619540977893</x:v>
      </x:c>
      <x:c r="P692" s="17" t="n">
        <x:f>IF(AND($A692&gt;='Control Room'!$A$13,$A692&lt;'Control Room'!$A$13+'Control Room'!$B$13,'Process'!BM2=1),1+('Control Room'!$C$13-1)*EXP(-0.5*(($A692-'Control Room'!$A$13-('Control Room'!$B$13-1)/2)/MAX(0.5,'Control Room'!$B$13/4))^2),1)*IF(AND($A692&gt;='Control Room'!$A$14,$A692&lt;'Control Room'!$A$14+'Control Room'!$B$14,'Process'!BM3=1),1+('Control Room'!$C$14-1)*EXP(-0.5*(($A692-'Control Room'!$A$14-('Control Room'!$B$14-1)/2)/MAX(0.5,'Control Room'!$B$14/4))^2),1)*IF(AND($A692&gt;='Control Room'!$A$15,$A692&lt;'Control Room'!$A$15+'Control Room'!$B$15,'Process'!BM4=1),1+('Control Room'!$C$15-1)*EXP(-0.5*(($A692-'Control Room'!$A$15-('Control Room'!$B$15-1)/2)/MAX(0.5,'Control Room'!$B$15/4))^2),1)*IF(AND($A692&gt;='Control Room'!$A$16,$A692&lt;'Control Room'!$A$16+'Control Room'!$B$16,'Process'!BM5=1),1+('Control Room'!$C$16-1)*EXP(-0.5*(($A692-'Control Room'!$A$16-('Control Room'!$B$16-1)/2)/MAX(0.5,'Control Room'!$B$16/4))^2),1)</x:f>
        <x:v>1</x:v>
      </x:c>
      <x:c r="Q692" s="9" t="n">
        <x:f>MOD(R691*16807,2147483647)</x:f>
        <x:v>545183803</x:v>
      </x:c>
      <x:c r="R692" s="9" t="n">
        <x:f>MOD(Q692*16807,2147483647)</x:f>
        <x:v>1738938919</x:v>
      </x:c>
      <x:c r="S692" s="17" t="n">
        <x:f>IF('Control Room'!$B$5="Normal",'Control Room'!$B$7+'Control Room'!$D$7*SQRT(-2*LN(MAX(0.000000000001,Q692/2147483647)))*COS(2*PI()*R692/2147483647),'Control Room'!$B$8+('Control Room'!$D$8-'Control Room'!$B$8)*Q692/2147483647)</x:f>
        <x:v>1054.6484762313628</x:v>
      </x:c>
      <x:c r="T692" s="17" t="n">
        <x:f>IF('Control Room'!$B$5="Normal",'Control Room'!$B$7,('Control Room'!$B$8+'Control Room'!$D$8)/2)+'Control Room'!$B$9*(T691-IF('Control Room'!$B$5="Normal",'Control Room'!$B$7,('Control Room'!$B$8+'Control Room'!$D$8)/2))+SQRT(1-'Control Room'!$B$9^2)*(S692-IF('Control Room'!$B$5="Normal",'Control Room'!$B$7,('Control Room'!$B$8+'Control Room'!$D$8)/2))</x:f>
        <x:v>1064.4382166328164</x:v>
      </x:c>
      <x:c r="U692" s="17" t="n">
        <x:f>IF(AND($A692&gt;='Control Room'!$A$13,$A692&lt;'Control Room'!$A$13+'Control Room'!$B$13,'Process'!BN2=1),1+('Control Room'!$C$13-1)*EXP(-0.5*(($A692-'Control Room'!$A$13-('Control Room'!$B$13-1)/2)/MAX(0.5,'Control Room'!$B$13/4))^2),1)*IF(AND($A692&gt;='Control Room'!$A$14,$A692&lt;'Control Room'!$A$14+'Control Room'!$B$14,'Process'!BN3=1),1+('Control Room'!$C$14-1)*EXP(-0.5*(($A692-'Control Room'!$A$14-('Control Room'!$B$14-1)/2)/MAX(0.5,'Control Room'!$B$14/4))^2),1)*IF(AND($A692&gt;='Control Room'!$A$15,$A692&lt;'Control Room'!$A$15+'Control Room'!$B$15,'Process'!BN4=1),1+('Control Room'!$C$15-1)*EXP(-0.5*(($A692-'Control Room'!$A$15-('Control Room'!$B$15-1)/2)/MAX(0.5,'Control Room'!$B$15/4))^2),1)*IF(AND($A692&gt;='Control Room'!$A$16,$A692&lt;'Control Room'!$A$16+'Control Room'!$B$16,'Process'!BN5=1),1+('Control Room'!$C$16-1)*EXP(-0.5*(($A692-'Control Room'!$A$16-('Control Room'!$B$16-1)/2)/MAX(0.5,'Control Room'!$B$16/4))^2),1)</x:f>
        <x:v>1</x:v>
      </x:c>
      <x:c r="V692" s="9" t="n">
        <x:f>MOD(W691*16807,2147483647)</x:f>
        <x:v>1919232653</x:v>
      </x:c>
      <x:c r="W692" s="9" t="n">
        <x:f>MOD(V692*16807,2147483647)</x:f>
        <x:v>1338821031</x:v>
      </x:c>
      <x:c r="X692" s="17" t="n">
        <x:f>IF('Control Room'!$B$5="Normal",'Control Room'!$B$7+'Control Room'!$D$7*SQRT(-2*LN(MAX(0.000000000001,V692/2147483647)))*COS(2*PI()*W692/2147483647),'Control Room'!$B$8+('Control Room'!$D$8-'Control Room'!$B$8)*V692/2147483647)</x:f>
        <x:v>969.535550792759</x:v>
      </x:c>
      <x:c r="Y692" s="17" t="n">
        <x:f>IF('Control Room'!$B$5="Normal",'Control Room'!$B$7,('Control Room'!$B$8+'Control Room'!$D$8)/2)+'Control Room'!$B$9*(Y691-IF('Control Room'!$B$5="Normal",'Control Room'!$B$7,('Control Room'!$B$8+'Control Room'!$D$8)/2))+SQRT(1-'Control Room'!$B$9^2)*(X692-IF('Control Room'!$B$5="Normal",'Control Room'!$B$7,('Control Room'!$B$8+'Control Room'!$D$8)/2))</x:f>
        <x:v>972.6153925886096</x:v>
      </x:c>
      <x:c r="Z692" s="17" t="n">
        <x:f>IF(AND($A692&gt;='Control Room'!$A$13,$A692&lt;'Control Room'!$A$13+'Control Room'!$B$13,'Process'!BO2=1),1+('Control Room'!$C$13-1)*EXP(-0.5*(($A692-'Control Room'!$A$13-('Control Room'!$B$13-1)/2)/MAX(0.5,'Control Room'!$B$13/4))^2),1)*IF(AND($A692&gt;='Control Room'!$A$14,$A692&lt;'Control Room'!$A$14+'Control Room'!$B$14,'Process'!BO3=1),1+('Control Room'!$C$14-1)*EXP(-0.5*(($A692-'Control Room'!$A$14-('Control Room'!$B$14-1)/2)/MAX(0.5,'Control Room'!$B$14/4))^2),1)*IF(AND($A692&gt;='Control Room'!$A$15,$A692&lt;'Control Room'!$A$15+'Control Room'!$B$15,'Process'!BO4=1),1+('Control Room'!$C$15-1)*EXP(-0.5*(($A692-'Control Room'!$A$15-('Control Room'!$B$15-1)/2)/MAX(0.5,'Control Room'!$B$15/4))^2),1)*IF(AND($A692&gt;='Control Room'!$A$16,$A692&lt;'Control Room'!$A$16+'Control Room'!$B$16,'Process'!BO5=1),1+('Control Room'!$C$16-1)*EXP(-0.5*(($A692-'Control Room'!$A$16-('Control Room'!$B$16-1)/2)/MAX(0.5,'Control Room'!$B$16/4))^2),1)</x:f>
        <x:v>1</x:v>
      </x:c>
      <x:c r="AA692" s="9" t="n">
        <x:f>MOD(AB691*16807,2147483647)</x:f>
        <x:v>1145797856</x:v>
      </x:c>
      <x:c r="AB692" s="9" t="n">
        <x:f>MOD(AA692*16807,2147483647)</x:f>
        <x:v>938703143</x:v>
      </x:c>
      <x:c r="AC692" s="17" t="n">
        <x:f>IF('Control Room'!$B$5="Normal",'Control Room'!$B$7+'Control Room'!$D$7*SQRT(-2*LN(MAX(0.000000000001,AA692/2147483647)))*COS(2*PI()*AB692/2147483647),'Control Room'!$B$8+('Control Room'!$D$8-'Control Room'!$B$8)*AA692/2147483647)</x:f>
        <x:v>906.8920597651403</x:v>
      </x:c>
      <x:c r="AD692" s="17" t="n">
        <x:f>IF('Control Room'!$B$5="Normal",'Control Room'!$B$7,('Control Room'!$B$8+'Control Room'!$D$8)/2)+'Control Room'!$B$9*(AD691-IF('Control Room'!$B$5="Normal",'Control Room'!$B$7,('Control Room'!$B$8+'Control Room'!$D$8)/2))+SQRT(1-'Control Room'!$B$9^2)*(AC692-IF('Control Room'!$B$5="Normal",'Control Room'!$B$7,('Control Room'!$B$8+'Control Room'!$D$8)/2))</x:f>
        <x:v>994.4104387749383</x:v>
      </x:c>
      <x:c r="AE692" s="17" t="n">
        <x:f>IF(AND($A692&gt;='Control Room'!$A$13,$A692&lt;'Control Room'!$A$13+'Control Room'!$B$13,'Process'!BP2=1),1+('Control Room'!$C$13-1)*EXP(-0.5*(($A692-'Control Room'!$A$13-('Control Room'!$B$13-1)/2)/MAX(0.5,'Control Room'!$B$13/4))^2),1)*IF(AND($A692&gt;='Control Room'!$A$14,$A692&lt;'Control Room'!$A$14+'Control Room'!$B$14,'Process'!BP3=1),1+('Control Room'!$C$14-1)*EXP(-0.5*(($A692-'Control Room'!$A$14-('Control Room'!$B$14-1)/2)/MAX(0.5,'Control Room'!$B$14/4))^2),1)*IF(AND($A692&gt;='Control Room'!$A$15,$A692&lt;'Control Room'!$A$15+'Control Room'!$B$15,'Process'!BP4=1),1+('Control Room'!$C$15-1)*EXP(-0.5*(($A692-'Control Room'!$A$15-('Control Room'!$B$15-1)/2)/MAX(0.5,'Control Room'!$B$15/4))^2),1)*IF(AND($A692&gt;='Control Room'!$A$16,$A692&lt;'Control Room'!$A$16+'Control Room'!$B$16,'Process'!BP5=1),1+('Control Room'!$C$16-1)*EXP(-0.5*(($A692-'Control Room'!$A$16-('Control Room'!$B$16-1)/2)/MAX(0.5,'Control Room'!$B$16/4))^2),1)</x:f>
        <x:v>1</x:v>
      </x:c>
      <x:c r="AF692" s="9" t="n">
        <x:f>MOD(AG691*16807,2147483647)</x:f>
        <x:v>372363059</x:v>
      </x:c>
      <x:c r="AG692" s="9" t="n">
        <x:f>MOD(AF692*16807,2147483647)</x:f>
        <x:v>538585255</x:v>
      </x:c>
      <x:c r="AH692" s="17" t="n">
        <x:f>IF('Control Room'!$B$5="Normal",'Control Room'!$B$7+'Control Room'!$D$7*SQRT(-2*LN(MAX(0.000000000001,AF692/2147483647)))*COS(2*PI()*AG692/2147483647),'Control Room'!$B$8+('Control Room'!$D$8-'Control Room'!$B$8)*AF692/2147483647)</x:f>
        <x:v>999.1549290661403</x:v>
      </x:c>
      <x:c r="AI692" s="17" t="n">
        <x:f>IF('Control Room'!$B$5="Normal",'Control Room'!$B$7,('Control Room'!$B$8+'Control Room'!$D$8)/2)+'Control Room'!$B$9*(AI691-IF('Control Room'!$B$5="Normal",'Control Room'!$B$7,('Control Room'!$B$8+'Control Room'!$D$8)/2))+SQRT(1-'Control Room'!$B$9^2)*(AH692-IF('Control Room'!$B$5="Normal",'Control Room'!$B$7,('Control Room'!$B$8+'Control Room'!$D$8)/2))</x:f>
        <x:v>1077.4399638109</x:v>
      </x:c>
      <x:c r="AJ692" s="17" t="n">
        <x:f>IF(AND($A692&gt;='Control Room'!$A$13,$A692&lt;'Control Room'!$A$13+'Control Room'!$B$13,'Process'!BQ2=1),1+('Control Room'!$C$13-1)*EXP(-0.5*(($A692-'Control Room'!$A$13-('Control Room'!$B$13-1)/2)/MAX(0.5,'Control Room'!$B$13/4))^2),1)*IF(AND($A692&gt;='Control Room'!$A$14,$A692&lt;'Control Room'!$A$14+'Control Room'!$B$14,'Process'!BQ3=1),1+('Control Room'!$C$14-1)*EXP(-0.5*(($A692-'Control Room'!$A$14-('Control Room'!$B$14-1)/2)/MAX(0.5,'Control Room'!$B$14/4))^2),1)*IF(AND($A692&gt;='Control Room'!$A$15,$A692&lt;'Control Room'!$A$15+'Control Room'!$B$15,'Process'!BQ4=1),1+('Control Room'!$C$15-1)*EXP(-0.5*(($A692-'Control Room'!$A$15-('Control Room'!$B$15-1)/2)/MAX(0.5,'Control Room'!$B$15/4))^2),1)*IF(AND($A692&gt;='Control Room'!$A$16,$A692&lt;'Control Room'!$A$16+'Control Room'!$B$16,'Process'!BQ5=1),1+('Control Room'!$C$16-1)*EXP(-0.5*(($A692-'Control Room'!$A$16-('Control Room'!$B$16-1)/2)/MAX(0.5,'Control Room'!$B$16/4))^2),1)</x:f>
        <x:v>1</x:v>
      </x:c>
      <x:c r="AK692" s="9" t="n">
        <x:f>MOD(AL691*16807,2147483647)</x:f>
        <x:v>1746411909</x:v>
      </x:c>
      <x:c r="AL692" s="9" t="n">
        <x:f>MOD(AK692*16807,2147483647)</x:f>
        <x:v>138467367</x:v>
      </x:c>
      <x:c r="AM692" s="17" t="n">
        <x:f>IF('Control Room'!$B$5="Normal",'Control Room'!$B$7+'Control Room'!$D$7*SQRT(-2*LN(MAX(0.000000000001,AK692/2147483647)))*COS(2*PI()*AL692/2147483647),'Control Room'!$B$8+('Control Room'!$D$8-'Control Room'!$B$8)*AK692/2147483647)</x:f>
        <x:v>1053.186573238769</x:v>
      </x:c>
      <x:c r="AN692" s="17" t="n">
        <x:f>IF('Control Room'!$B$5="Normal",'Control Room'!$B$7,('Control Room'!$B$8+'Control Room'!$D$8)/2)+'Control Room'!$B$9*(AN691-IF('Control Room'!$B$5="Normal",'Control Room'!$B$7,('Control Room'!$B$8+'Control Room'!$D$8)/2))+SQRT(1-'Control Room'!$B$9^2)*(AM692-IF('Control Room'!$B$5="Normal",'Control Room'!$B$7,('Control Room'!$B$8+'Control Room'!$D$8)/2))</x:f>
        <x:v>1011.5070465682834</x:v>
      </x:c>
      <x:c r="AO692" s="17" t="n">
        <x:f>IF(AND($A692&gt;='Control Room'!$A$13,$A692&lt;'Control Room'!$A$13+'Control Room'!$B$13,'Process'!BR2=1),1+('Control Room'!$C$13-1)*EXP(-0.5*(($A692-'Control Room'!$A$13-('Control Room'!$B$13-1)/2)/MAX(0.5,'Control Room'!$B$13/4))^2),1)*IF(AND($A692&gt;='Control Room'!$A$14,$A692&lt;'Control Room'!$A$14+'Control Room'!$B$14,'Process'!BR3=1),1+('Control Room'!$C$14-1)*EXP(-0.5*(($A692-'Control Room'!$A$14-('Control Room'!$B$14-1)/2)/MAX(0.5,'Control Room'!$B$14/4))^2),1)*IF(AND($A692&gt;='Control Room'!$A$15,$A692&lt;'Control Room'!$A$15+'Control Room'!$B$15,'Process'!BR4=1),1+('Control Room'!$C$15-1)*EXP(-0.5*(($A692-'Control Room'!$A$15-('Control Room'!$B$15-1)/2)/MAX(0.5,'Control Room'!$B$15/4))^2),1)*IF(AND($A692&gt;='Control Room'!$A$16,$A692&lt;'Control Room'!$A$16+'Control Room'!$B$16,'Process'!BR5=1),1+('Control Room'!$C$16-1)*EXP(-0.5*(($A692-'Control Room'!$A$16-('Control Room'!$B$16-1)/2)/MAX(0.5,'Control Room'!$B$16/4))^2),1)</x:f>
        <x:v>1</x:v>
      </x:c>
      <x:c r="AP692" s="9" t="n">
        <x:f>MOD(AQ691*16807,2147483647)</x:f>
        <x:v>972977112</x:v>
      </x:c>
      <x:c r="AQ692" s="9" t="n">
        <x:f>MOD(AP692*16807,2147483647)</x:f>
        <x:v>1885833126</x:v>
      </x:c>
      <x:c r="AR692" s="17" t="n">
        <x:f>IF('Control Room'!$B$5="Normal",'Control Room'!$B$7+'Control Room'!$D$7*SQRT(-2*LN(MAX(0.000000000001,AP692/2147483647)))*COS(2*PI()*AQ692/2147483647),'Control Room'!$B$8+('Control Room'!$D$8-'Control Room'!$B$8)*AP692/2147483647)</x:f>
        <x:v>1081.6531625445161</x:v>
      </x:c>
      <x:c r="AS692" s="17" t="n">
        <x:f>IF('Control Room'!$B$5="Normal",'Control Room'!$B$7,('Control Room'!$B$8+'Control Room'!$D$8)/2)+'Control Room'!$B$9*(AS691-IF('Control Room'!$B$5="Normal",'Control Room'!$B$7,('Control Room'!$B$8+'Control Room'!$D$8)/2))+SQRT(1-'Control Room'!$B$9^2)*(AR692-IF('Control Room'!$B$5="Normal",'Control Room'!$B$7,('Control Room'!$B$8+'Control Room'!$D$8)/2))</x:f>
        <x:v>1003.9497774190882</x:v>
      </x:c>
      <x:c r="AT692" s="17" t="n">
        <x:f>IF(AND($A692&gt;='Control Room'!$A$13,$A692&lt;'Control Room'!$A$13+'Control Room'!$B$13,'Process'!BS2=1),1+('Control Room'!$C$13-1)*EXP(-0.5*(($A692-'Control Room'!$A$13-('Control Room'!$B$13-1)/2)/MAX(0.5,'Control Room'!$B$13/4))^2),1)*IF(AND($A692&gt;='Control Room'!$A$14,$A692&lt;'Control Room'!$A$14+'Control Room'!$B$14,'Process'!BS3=1),1+('Control Room'!$C$14-1)*EXP(-0.5*(($A692-'Control Room'!$A$14-('Control Room'!$B$14-1)/2)/MAX(0.5,'Control Room'!$B$14/4))^2),1)*IF(AND($A692&gt;='Control Room'!$A$15,$A692&lt;'Control Room'!$A$15+'Control Room'!$B$15,'Process'!BS4=1),1+('Control Room'!$C$15-1)*EXP(-0.5*(($A692-'Control Room'!$A$15-('Control Room'!$B$15-1)/2)/MAX(0.5,'Control Room'!$B$15/4))^2),1)*IF(AND($A692&gt;='Control Room'!$A$16,$A692&lt;'Control Room'!$A$16+'Control Room'!$B$16,'Process'!BS5=1),1+('Control Room'!$C$16-1)*EXP(-0.5*(($A692-'Control Room'!$A$16-('Control Room'!$B$16-1)/2)/MAX(0.5,'Control Room'!$B$16/4))^2),1)</x:f>
        <x:v>1</x:v>
      </x:c>
      <x:c r="AU692" s="9" t="n">
        <x:f>MOD(AV691*16807,2147483647)</x:f>
        <x:v>199542315</x:v>
      </x:c>
      <x:c r="AV692" s="9" t="n">
        <x:f>MOD(AU692*16807,2147483647)</x:f>
        <x:v>1485715238</x:v>
      </x:c>
      <x:c r="AW692" s="17" t="n">
        <x:f>IF('Control Room'!$B$5="Normal",'Control Room'!$B$7+'Control Room'!$D$7*SQRT(-2*LN(MAX(0.000000000001,AU692/2147483647)))*COS(2*PI()*AV692/2147483647),'Control Room'!$B$8+('Control Room'!$D$8-'Control Room'!$B$8)*AU692/2147483647)</x:f>
        <x:v>929.8903886000744</x:v>
      </x:c>
      <x:c r="AX692" s="17" t="n">
        <x:f>IF('Control Room'!$B$5="Normal",'Control Room'!$B$7,('Control Room'!$B$8+'Control Room'!$D$8)/2)+'Control Room'!$B$9*(AX691-IF('Control Room'!$B$5="Normal",'Control Room'!$B$7,('Control Room'!$B$8+'Control Room'!$D$8)/2))+SQRT(1-'Control Room'!$B$9^2)*(AW692-IF('Control Room'!$B$5="Normal",'Control Room'!$B$7,('Control Room'!$B$8+'Control Room'!$D$8)/2))</x:f>
        <x:v>1028.606601480656</x:v>
      </x:c>
      <x:c r="AY692" s="17" t="n">
        <x:f>IF(AND($A692&gt;='Control Room'!$A$13,$A692&lt;'Control Room'!$A$13+'Control Room'!$B$13,'Process'!BT2=1),1+('Control Room'!$C$13-1)*EXP(-0.5*(($A692-'Control Room'!$A$13-('Control Room'!$B$13-1)/2)/MAX(0.5,'Control Room'!$B$13/4))^2),1)*IF(AND($A692&gt;='Control Room'!$A$14,$A692&lt;'Control Room'!$A$14+'Control Room'!$B$14,'Process'!BT3=1),1+('Control Room'!$C$14-1)*EXP(-0.5*(($A692-'Control Room'!$A$14-('Control Room'!$B$14-1)/2)/MAX(0.5,'Control Room'!$B$14/4))^2),1)*IF(AND($A692&gt;='Control Room'!$A$15,$A692&lt;'Control Room'!$A$15+'Control Room'!$B$15,'Process'!BT4=1),1+('Control Room'!$C$15-1)*EXP(-0.5*(($A692-'Control Room'!$A$15-('Control Room'!$B$15-1)/2)/MAX(0.5,'Control Room'!$B$15/4))^2),1)*IF(AND($A692&gt;='Control Room'!$A$16,$A692&lt;'Control Room'!$A$16+'Control Room'!$B$16,'Process'!BT5=1),1+('Control Room'!$C$16-1)*EXP(-0.5*(($A692-'Control Room'!$A$16-('Control Room'!$B$16-1)/2)/MAX(0.5,'Control Room'!$B$16/4))^2),1)</x:f>
        <x:v>1</x:v>
      </x:c>
      <x:c r="AZ692" s="9" t="n">
        <x:f>MOD(BA691*16807,2147483647)</x:f>
        <x:v>1573591165</x:v>
      </x:c>
      <x:c r="BA692" s="9" t="n">
        <x:f>MOD(AZ692*16807,2147483647)</x:f>
        <x:v>1085597350</x:v>
      </x:c>
      <x:c r="BB692" s="17" t="n">
        <x:f>IF('Control Room'!$B$5="Normal",'Control Room'!$B$7+'Control Room'!$D$7*SQRT(-2*LN(MAX(0.000000000001,AZ692/2147483647)))*COS(2*PI()*BA692/2147483647),'Control Room'!$B$8+('Control Room'!$D$8-'Control Room'!$B$8)*AZ692/2147483647)</x:f>
        <x:v>929.0696742326085</x:v>
      </x:c>
      <x:c r="BC692" s="17" t="n">
        <x:f>IF('Control Room'!$B$5="Normal",'Control Room'!$B$7,('Control Room'!$B$8+'Control Room'!$D$8)/2)+'Control Room'!$B$9*(BC691-IF('Control Room'!$B$5="Normal",'Control Room'!$B$7,('Control Room'!$B$8+'Control Room'!$D$8)/2))+SQRT(1-'Control Room'!$B$9^2)*(BB692-IF('Control Room'!$B$5="Normal",'Control Room'!$B$7,('Control Room'!$B$8+'Control Room'!$D$8)/2))</x:f>
        <x:v>975.629860207781</x:v>
      </x:c>
      <x:c r="BD692" s="17" t="n">
        <x:f>IF(AND($A692&gt;='Control Room'!$A$13,$A692&lt;'Control Room'!$A$13+'Control Room'!$B$13,'Process'!BU2=1),1+('Control Room'!$C$13-1)*EXP(-0.5*(($A692-'Control Room'!$A$13-('Control Room'!$B$13-1)/2)/MAX(0.5,'Control Room'!$B$13/4))^2),1)*IF(AND($A692&gt;='Control Room'!$A$14,$A692&lt;'Control Room'!$A$14+'Control Room'!$B$14,'Process'!BU3=1),1+('Control Room'!$C$14-1)*EXP(-0.5*(($A692-'Control Room'!$A$14-('Control Room'!$B$14-1)/2)/MAX(0.5,'Control Room'!$B$14/4))^2),1)*IF(AND($A692&gt;='Control Room'!$A$15,$A692&lt;'Control Room'!$A$15+'Control Room'!$B$15,'Process'!BU4=1),1+('Control Room'!$C$15-1)*EXP(-0.5*(($A692-'Control Room'!$A$15-('Control Room'!$B$15-1)/2)/MAX(0.5,'Control Room'!$B$15/4))^2),1)*IF(AND($A692&gt;='Control Room'!$A$16,$A692&lt;'Control Room'!$A$16+'Control Room'!$B$16,'Process'!BU5=1),1+('Control Room'!$C$16-1)*EXP(-0.5*(($A692-'Control Room'!$A$16-('Control Room'!$B$16-1)/2)/MAX(0.5,'Control Room'!$B$16/4))^2),1)</x:f>
        <x:v>1</x:v>
      </x:c>
      <x:c r="BE692" s="9" t="n">
        <x:f>MOD(BF691*16807,2147483647)</x:f>
        <x:v>800156368</x:v>
      </x:c>
      <x:c r="BF692" s="9" t="n">
        <x:f>MOD(BE692*16807,2147483647)</x:f>
        <x:v>685479462</x:v>
      </x:c>
      <x:c r="BG692" s="17" t="n">
        <x:f>IF('Control Room'!$B$5="Normal",'Control Room'!$B$7+'Control Room'!$D$7*SQRT(-2*LN(MAX(0.000000000001,BE692/2147483647)))*COS(2*PI()*BF692/2147483647),'Control Room'!$B$8+('Control Room'!$D$8-'Control Room'!$B$8)*BE692/2147483647)</x:f>
        <x:v>946.7288312005226</x:v>
      </x:c>
      <x:c r="BH692" s="17" t="n">
        <x:f>IF('Control Room'!$B$5="Normal",'Control Room'!$B$7,('Control Room'!$B$8+'Control Room'!$D$8)/2)+'Control Room'!$B$9*(BH691-IF('Control Room'!$B$5="Normal",'Control Room'!$B$7,('Control Room'!$B$8+'Control Room'!$D$8)/2))+SQRT(1-'Control Room'!$B$9^2)*(BG692-IF('Control Room'!$B$5="Normal",'Control Room'!$B$7,('Control Room'!$B$8+'Control Room'!$D$8)/2))</x:f>
        <x:v>957.5435128697877</x:v>
      </x:c>
      <x:c r="BI692" s="17" t="n">
        <x:f>IF(AND($A692&gt;='Control Room'!$A$13,$A692&lt;'Control Room'!$A$13+'Control Room'!$B$13,'Process'!BV2=1),1+('Control Room'!$C$13-1)*EXP(-0.5*(($A692-'Control Room'!$A$13-('Control Room'!$B$13-1)/2)/MAX(0.5,'Control Room'!$B$13/4))^2),1)*IF(AND($A692&gt;='Control Room'!$A$14,$A692&lt;'Control Room'!$A$14+'Control Room'!$B$14,'Process'!BV3=1),1+('Control Room'!$C$14-1)*EXP(-0.5*(($A692-'Control Room'!$A$14-('Control Room'!$B$14-1)/2)/MAX(0.5,'Control Room'!$B$14/4))^2),1)*IF(AND($A692&gt;='Control Room'!$A$15,$A692&lt;'Control Room'!$A$15+'Control Room'!$B$15,'Process'!BV4=1),1+('Control Room'!$C$15-1)*EXP(-0.5*(($A692-'Control Room'!$A$15-('Control Room'!$B$15-1)/2)/MAX(0.5,'Control Room'!$B$15/4))^2),1)*IF(AND($A692&gt;='Control Room'!$A$16,$A692&lt;'Control Room'!$A$16+'Control Room'!$B$16,'Process'!BV5=1),1+('Control Room'!$C$16-1)*EXP(-0.5*(($A692-'Control Room'!$A$16-('Control Room'!$B$16-1)/2)/MAX(0.5,'Control Room'!$B$16/4))^2),1)</x:f>
        <x:v>1</x:v>
      </x:c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Z692" t="str">
        <x:f>IF('Data'!A692="","",TEXT('Data'!A692,"mm-dd"))</x:f>
      </x:c>
    </x:row>
    <x:row r="693" ht="21" customHeight="1">
      <x:c r="A693" s="15" t="n">
        <x:f>'Control Room'!$B$1+691</x:f>
        <x:v>73682</x:v>
      </x:c>
      <x:c r="B693" s="9" t="n">
        <x:f>MOD(C692*16807,2147483647)</x:f>
        <x:v>2124110540</x:v>
      </x:c>
      <x:c r="C693" s="9" t="n">
        <x:f>MOD(B693*16807,2147483647)</x:f>
        <x:v>157698052</x:v>
      </x:c>
      <x:c r="D693" s="17" t="n">
        <x:f>IF('Control Room'!$B$5="Normal",'Control Room'!$B$7+'Control Room'!$D$7*SQRT(-2*LN(MAX(0.000000000001,B693/2147483647)))*COS(2*PI()*C693/2147483647),'Control Room'!$B$8+('Control Room'!$D$8-'Control Room'!$B$8)*B693/2147483647)</x:f>
        <x:v>1011.9225698802242</x:v>
      </x:c>
      <x:c r="E693" s="17" t="n">
        <x:f>IF('Control Room'!$B$5="Normal",'Control Room'!$B$7,('Control Room'!$B$8+'Control Room'!$D$8)/2)+'Control Room'!$B$9*(E692-IF('Control Room'!$B$5="Normal",'Control Room'!$B$7,('Control Room'!$B$8+'Control Room'!$D$8)/2))+SQRT(1-'Control Room'!$B$9^2)*(D693-IF('Control Room'!$B$5="Normal",'Control Room'!$B$7,('Control Room'!$B$8+'Control Room'!$D$8)/2))</x:f>
        <x:v>962.0264505830318</x:v>
      </x:c>
      <x:c r="F693" s="17" t="n">
        <x:f>IF(AND($A693&gt;='Control Room'!$A$13,$A693&lt;'Control Room'!$A$13+'Control Room'!$B$13,'Process'!BK2=1),1+('Control Room'!$C$13-1)*EXP(-0.5*(($A693-'Control Room'!$A$13-('Control Room'!$B$13-1)/2)/MAX(0.5,'Control Room'!$B$13/4))^2),1)*IF(AND($A693&gt;='Control Room'!$A$14,$A693&lt;'Control Room'!$A$14+'Control Room'!$B$14,'Process'!BK3=1),1+('Control Room'!$C$14-1)*EXP(-0.5*(($A693-'Control Room'!$A$14-('Control Room'!$B$14-1)/2)/MAX(0.5,'Control Room'!$B$14/4))^2),1)*IF(AND($A693&gt;='Control Room'!$A$15,$A693&lt;'Control Room'!$A$15+'Control Room'!$B$15,'Process'!BK4=1),1+('Control Room'!$C$15-1)*EXP(-0.5*(($A693-'Control Room'!$A$15-('Control Room'!$B$15-1)/2)/MAX(0.5,'Control Room'!$B$15/4))^2),1)*IF(AND($A693&gt;='Control Room'!$A$16,$A693&lt;'Control Room'!$A$16+'Control Room'!$B$16,'Process'!BK5=1),1+('Control Room'!$C$16-1)*EXP(-0.5*(($A693-'Control Room'!$A$16-('Control Room'!$B$16-1)/2)/MAX(0.5,'Control Room'!$B$16/4))^2),1)</x:f>
        <x:v>1</x:v>
      </x:c>
      <x:c r="G693" s="9" t="n">
        <x:f>MOD(H692*16807,2147483647)</x:f>
        <x:v>1114065681</x:v>
      </x:c>
      <x:c r="H693" s="9" t="n">
        <x:f>MOD(G693*16807,2147483647)</x:f>
        <x:v>191982374</x:v>
      </x:c>
      <x:c r="I693" s="17" t="n">
        <x:f>IF('Control Room'!$B$5="Normal",'Control Room'!$B$7+'Control Room'!$D$7*SQRT(-2*LN(MAX(0.000000000001,G693/2147483647)))*COS(2*PI()*H693/2147483647),'Control Room'!$B$8+('Control Room'!$D$8-'Control Room'!$B$8)*G693/2147483647)</x:f>
        <x:v>1087.2670517083354</x:v>
      </x:c>
      <x:c r="J693" s="17" t="n">
        <x:f>IF('Control Room'!$B$5="Normal",'Control Room'!$B$7,('Control Room'!$B$8+'Control Room'!$D$8)/2)+'Control Room'!$B$9*(J692-IF('Control Room'!$B$5="Normal",'Control Room'!$B$7,('Control Room'!$B$8+'Control Room'!$D$8)/2))+SQRT(1-'Control Room'!$B$9^2)*(I693-IF('Control Room'!$B$5="Normal",'Control Room'!$B$7,('Control Room'!$B$8+'Control Room'!$D$8)/2))</x:f>
        <x:v>1035.8918047862567</x:v>
      </x:c>
      <x:c r="K693" s="17" t="n">
        <x:f>IF(AND($A693&gt;='Control Room'!$A$13,$A693&lt;'Control Room'!$A$13+'Control Room'!$B$13,'Process'!BL2=1),1+('Control Room'!$C$13-1)*EXP(-0.5*(($A693-'Control Room'!$A$13-('Control Room'!$B$13-1)/2)/MAX(0.5,'Control Room'!$B$13/4))^2),1)*IF(AND($A693&gt;='Control Room'!$A$14,$A693&lt;'Control Room'!$A$14+'Control Room'!$B$14,'Process'!BL3=1),1+('Control Room'!$C$14-1)*EXP(-0.5*(($A693-'Control Room'!$A$14-('Control Room'!$B$14-1)/2)/MAX(0.5,'Control Room'!$B$14/4))^2),1)*IF(AND($A693&gt;='Control Room'!$A$15,$A693&lt;'Control Room'!$A$15+'Control Room'!$B$15,'Process'!BL4=1),1+('Control Room'!$C$15-1)*EXP(-0.5*(($A693-'Control Room'!$A$15-('Control Room'!$B$15-1)/2)/MAX(0.5,'Control Room'!$B$15/4))^2),1)*IF(AND($A693&gt;='Control Room'!$A$16,$A693&lt;'Control Room'!$A$16+'Control Room'!$B$16,'Process'!BL5=1),1+('Control Room'!$C$16-1)*EXP(-0.5*(($A693-'Control Room'!$A$16-('Control Room'!$B$16-1)/2)/MAX(0.5,'Control Room'!$B$16/4))^2),1)</x:f>
        <x:v>1</x:v>
      </x:c>
      <x:c r="L693" s="9" t="n">
        <x:f>MOD(M692*16807,2147483647)</x:f>
        <x:v>104020822</x:v>
      </x:c>
      <x:c r="M693" s="9" t="n">
        <x:f>MOD(L693*16807,2147483647)</x:f>
        <x:v>226266696</x:v>
      </x:c>
      <x:c r="N693" s="17" t="n">
        <x:f>IF('Control Room'!$B$5="Normal",'Control Room'!$B$7+'Control Room'!$D$7*SQRT(-2*LN(MAX(0.000000000001,L693/2147483647)))*COS(2*PI()*M693/2147483647),'Control Room'!$B$8+('Control Room'!$D$8-'Control Room'!$B$8)*L693/2147483647)</x:f>
        <x:v>1174.677741318146</x:v>
      </x:c>
      <x:c r="O693" s="17" t="n">
        <x:f>IF('Control Room'!$B$5="Normal",'Control Room'!$B$7,('Control Room'!$B$8+'Control Room'!$D$8)/2)+'Control Room'!$B$9*(O692-IF('Control Room'!$B$5="Normal",'Control Room'!$B$7,('Control Room'!$B$8+'Control Room'!$D$8)/2))+SQRT(1-'Control Room'!$B$9^2)*(N693-IF('Control Room'!$B$5="Normal",'Control Room'!$B$7,('Control Room'!$B$8+'Control Room'!$D$8)/2))</x:f>
        <x:v>1080.3420762451335</x:v>
      </x:c>
      <x:c r="P693" s="17" t="n">
        <x:f>IF(AND($A693&gt;='Control Room'!$A$13,$A693&lt;'Control Room'!$A$13+'Control Room'!$B$13,'Process'!BM2=1),1+('Control Room'!$C$13-1)*EXP(-0.5*(($A693-'Control Room'!$A$13-('Control Room'!$B$13-1)/2)/MAX(0.5,'Control Room'!$B$13/4))^2),1)*IF(AND($A693&gt;='Control Room'!$A$14,$A693&lt;'Control Room'!$A$14+'Control Room'!$B$14,'Process'!BM3=1),1+('Control Room'!$C$14-1)*EXP(-0.5*(($A693-'Control Room'!$A$14-('Control Room'!$B$14-1)/2)/MAX(0.5,'Control Room'!$B$14/4))^2),1)*IF(AND($A693&gt;='Control Room'!$A$15,$A693&lt;'Control Room'!$A$15+'Control Room'!$B$15,'Process'!BM4=1),1+('Control Room'!$C$15-1)*EXP(-0.5*(($A693-'Control Room'!$A$15-('Control Room'!$B$15-1)/2)/MAX(0.5,'Control Room'!$B$15/4))^2),1)*IF(AND($A693&gt;='Control Room'!$A$16,$A693&lt;'Control Room'!$A$16+'Control Room'!$B$16,'Process'!BM5=1),1+('Control Room'!$C$16-1)*EXP(-0.5*(($A693-'Control Room'!$A$16-('Control Room'!$B$16-1)/2)/MAX(0.5,'Control Room'!$B$16/4))^2),1)</x:f>
        <x:v>1</x:v>
      </x:c>
      <x:c r="Q693" s="9" t="n">
        <x:f>MOD(R692*16807,2147483647)</x:f>
        <x:v>1241459610</x:v>
      </x:c>
      <x:c r="R693" s="9" t="n">
        <x:f>MOD(Q693*16807,2147483647)</x:f>
        <x:v>260551018</x:v>
      </x:c>
      <x:c r="S693" s="17" t="n">
        <x:f>IF('Control Room'!$B$5="Normal",'Control Room'!$B$7+'Control Room'!$D$7*SQRT(-2*LN(MAX(0.000000000001,Q693/2147483647)))*COS(2*PI()*R693/2147483647),'Control Room'!$B$8+('Control Room'!$D$8-'Control Room'!$B$8)*Q693/2147483647)</x:f>
        <x:v>1068.1439425693625</x:v>
      </x:c>
      <x:c r="T693" s="17" t="n">
        <x:f>IF('Control Room'!$B$5="Normal",'Control Room'!$B$7,('Control Room'!$B$8+'Control Room'!$D$8)/2)+'Control Room'!$B$9*(T692-IF('Control Room'!$B$5="Normal",'Control Room'!$B$7,('Control Room'!$B$8+'Control Room'!$D$8)/2))+SQRT(1-'Control Room'!$B$9^2)*(S693-IF('Control Room'!$B$5="Normal",'Control Room'!$B$7,('Control Room'!$B$8+'Control Room'!$D$8)/2))</x:f>
        <x:v>1092.9048922289608</x:v>
      </x:c>
      <x:c r="U693" s="17" t="n">
        <x:f>IF(AND($A693&gt;='Control Room'!$A$13,$A693&lt;'Control Room'!$A$13+'Control Room'!$B$13,'Process'!BN2=1),1+('Control Room'!$C$13-1)*EXP(-0.5*(($A693-'Control Room'!$A$13-('Control Room'!$B$13-1)/2)/MAX(0.5,'Control Room'!$B$13/4))^2),1)*IF(AND($A693&gt;='Control Room'!$A$14,$A693&lt;'Control Room'!$A$14+'Control Room'!$B$14,'Process'!BN3=1),1+('Control Room'!$C$14-1)*EXP(-0.5*(($A693-'Control Room'!$A$14-('Control Room'!$B$14-1)/2)/MAX(0.5,'Control Room'!$B$14/4))^2),1)*IF(AND($A693&gt;='Control Room'!$A$15,$A693&lt;'Control Room'!$A$15+'Control Room'!$B$15,'Process'!BN4=1),1+('Control Room'!$C$15-1)*EXP(-0.5*(($A693-'Control Room'!$A$15-('Control Room'!$B$15-1)/2)/MAX(0.5,'Control Room'!$B$15/4))^2),1)*IF(AND($A693&gt;='Control Room'!$A$16,$A693&lt;'Control Room'!$A$16+'Control Room'!$B$16,'Process'!BN5=1),1+('Control Room'!$C$16-1)*EXP(-0.5*(($A693-'Control Room'!$A$16-('Control Room'!$B$16-1)/2)/MAX(0.5,'Control Room'!$B$16/4))^2),1)</x:f>
        <x:v>1</x:v>
      </x:c>
      <x:c r="V693" s="9" t="n">
        <x:f>MOD(W692*16807,2147483647)</x:f>
        <x:v>231414751</x:v>
      </x:c>
      <x:c r="W693" s="9" t="n">
        <x:f>MOD(V693*16807,2147483647)</x:f>
        <x:v>294835340</x:v>
      </x:c>
      <x:c r="X693" s="17" t="n">
        <x:f>IF('Control Room'!$B$5="Normal",'Control Room'!$B$7+'Control Room'!$D$7*SQRT(-2*LN(MAX(0.000000000001,V693/2147483647)))*COS(2*PI()*W693/2147483647),'Control Room'!$B$8+('Control Room'!$D$8-'Control Room'!$B$8)*V693/2147483647)</x:f>
        <x:v>1123.567189156216</x:v>
      </x:c>
      <x:c r="Y693" s="17" t="n">
        <x:f>IF('Control Room'!$B$5="Normal",'Control Room'!$B$7,('Control Room'!$B$8+'Control Room'!$D$8)/2)+'Control Room'!$B$9*(Y692-IF('Control Room'!$B$5="Normal",'Control Room'!$B$7,('Control Room'!$B$8+'Control Room'!$D$8)/2))+SQRT(1-'Control Room'!$B$9^2)*(X693-IF('Control Room'!$B$5="Normal",'Control Room'!$B$7,('Control Room'!$B$8+'Control Room'!$D$8)/2))</x:f>
        <x:v>1055.965821781611</x:v>
      </x:c>
      <x:c r="Z693" s="17" t="n">
        <x:f>IF(AND($A693&gt;='Control Room'!$A$13,$A693&lt;'Control Room'!$A$13+'Control Room'!$B$13,'Process'!BO2=1),1+('Control Room'!$C$13-1)*EXP(-0.5*(($A693-'Control Room'!$A$13-('Control Room'!$B$13-1)/2)/MAX(0.5,'Control Room'!$B$13/4))^2),1)*IF(AND($A693&gt;='Control Room'!$A$14,$A693&lt;'Control Room'!$A$14+'Control Room'!$B$14,'Process'!BO3=1),1+('Control Room'!$C$14-1)*EXP(-0.5*(($A693-'Control Room'!$A$14-('Control Room'!$B$14-1)/2)/MAX(0.5,'Control Room'!$B$14/4))^2),1)*IF(AND($A693&gt;='Control Room'!$A$15,$A693&lt;'Control Room'!$A$15+'Control Room'!$B$15,'Process'!BO4=1),1+('Control Room'!$C$15-1)*EXP(-0.5*(($A693-'Control Room'!$A$15-('Control Room'!$B$15-1)/2)/MAX(0.5,'Control Room'!$B$15/4))^2),1)*IF(AND($A693&gt;='Control Room'!$A$16,$A693&lt;'Control Room'!$A$16+'Control Room'!$B$16,'Process'!BO5=1),1+('Control Room'!$C$16-1)*EXP(-0.5*(($A693-'Control Room'!$A$16-('Control Room'!$B$16-1)/2)/MAX(0.5,'Control Room'!$B$16/4))^2),1)</x:f>
        <x:v>1</x:v>
      </x:c>
      <x:c r="AA693" s="9" t="n">
        <x:f>MOD(AB692*16807,2147483647)</x:f>
        <x:v>1368853539</x:v>
      </x:c>
      <x:c r="AB693" s="9" t="n">
        <x:f>MOD(AA693*16807,2147483647)</x:f>
        <x:v>329119662</x:v>
      </x:c>
      <x:c r="AC693" s="17" t="n">
        <x:f>IF('Control Room'!$B$5="Normal",'Control Room'!$B$7+'Control Room'!$D$7*SQRT(-2*LN(MAX(0.000000000001,AA693/2147483647)))*COS(2*PI()*AB693/2147483647),'Control Room'!$B$8+('Control Room'!$D$8-'Control Room'!$B$8)*AA693/2147483647)</x:f>
        <x:v>1048.7789411089816</x:v>
      </x:c>
      <x:c r="AD693" s="17" t="n">
        <x:f>IF('Control Room'!$B$5="Normal",'Control Room'!$B$7,('Control Room'!$B$8+'Control Room'!$D$8)/2)+'Control Room'!$B$9*(AD692-IF('Control Room'!$B$5="Normal",'Control Room'!$B$7,('Control Room'!$B$8+'Control Room'!$D$8)/2))+SQRT(1-'Control Room'!$B$9^2)*(AC693-IF('Control Room'!$B$5="Normal",'Control Room'!$B$7,('Control Room'!$B$8+'Control Room'!$D$8)/2))</x:f>
        <x:v>1026.1650042995275</x:v>
      </x:c>
      <x:c r="AE693" s="17" t="n">
        <x:f>IF(AND($A693&gt;='Control Room'!$A$13,$A693&lt;'Control Room'!$A$13+'Control Room'!$B$13,'Process'!BP2=1),1+('Control Room'!$C$13-1)*EXP(-0.5*(($A693-'Control Room'!$A$13-('Control Room'!$B$13-1)/2)/MAX(0.5,'Control Room'!$B$13/4))^2),1)*IF(AND($A693&gt;='Control Room'!$A$14,$A693&lt;'Control Room'!$A$14+'Control Room'!$B$14,'Process'!BP3=1),1+('Control Room'!$C$14-1)*EXP(-0.5*(($A693-'Control Room'!$A$14-('Control Room'!$B$14-1)/2)/MAX(0.5,'Control Room'!$B$14/4))^2),1)*IF(AND($A693&gt;='Control Room'!$A$15,$A693&lt;'Control Room'!$A$15+'Control Room'!$B$15,'Process'!BP4=1),1+('Control Room'!$C$15-1)*EXP(-0.5*(($A693-'Control Room'!$A$15-('Control Room'!$B$15-1)/2)/MAX(0.5,'Control Room'!$B$15/4))^2),1)*IF(AND($A693&gt;='Control Room'!$A$16,$A693&lt;'Control Room'!$A$16+'Control Room'!$B$16,'Process'!BP5=1),1+('Control Room'!$C$16-1)*EXP(-0.5*(($A693-'Control Room'!$A$16-('Control Room'!$B$16-1)/2)/MAX(0.5,'Control Room'!$B$16/4))^2),1)</x:f>
        <x:v>1</x:v>
      </x:c>
      <x:c r="AF693" s="9" t="n">
        <x:f>MOD(AG692*16807,2147483647)</x:f>
        <x:v>358808680</x:v>
      </x:c>
      <x:c r="AG693" s="9" t="n">
        <x:f>MOD(AF693*16807,2147483647)</x:f>
        <x:v>363403984</x:v>
      </x:c>
      <x:c r="AH693" s="17" t="n">
        <x:f>IF('Control Room'!$B$5="Normal",'Control Room'!$B$7+'Control Room'!$D$7*SQRT(-2*LN(MAX(0.000000000001,AF693/2147483647)))*COS(2*PI()*AG693/2147483647),'Control Room'!$B$8+('Control Room'!$D$8-'Control Room'!$B$8)*AF693/2147483647)</x:f>
        <x:v>1082.747201342146</x:v>
      </x:c>
      <x:c r="AI693" s="17" t="n">
        <x:f>IF('Control Room'!$B$5="Normal",'Control Room'!$B$7,('Control Room'!$B$8+'Control Room'!$D$8)/2)+'Control Room'!$B$9*(AI692-IF('Control Room'!$B$5="Normal",'Control Room'!$B$7,('Control Room'!$B$8+'Control Room'!$D$8)/2))+SQRT(1-'Control Room'!$B$9^2)*(AH693-IF('Control Room'!$B$5="Normal",'Control Room'!$B$7,('Control Room'!$B$8+'Control Room'!$D$8)/2))</x:f>
        <x:v>1112.1846752038568</x:v>
      </x:c>
      <x:c r="AJ693" s="17" t="n">
        <x:f>IF(AND($A693&gt;='Control Room'!$A$13,$A693&lt;'Control Room'!$A$13+'Control Room'!$B$13,'Process'!BQ2=1),1+('Control Room'!$C$13-1)*EXP(-0.5*(($A693-'Control Room'!$A$13-('Control Room'!$B$13-1)/2)/MAX(0.5,'Control Room'!$B$13/4))^2),1)*IF(AND($A693&gt;='Control Room'!$A$14,$A693&lt;'Control Room'!$A$14+'Control Room'!$B$14,'Process'!BQ3=1),1+('Control Room'!$C$14-1)*EXP(-0.5*(($A693-'Control Room'!$A$14-('Control Room'!$B$14-1)/2)/MAX(0.5,'Control Room'!$B$14/4))^2),1)*IF(AND($A693&gt;='Control Room'!$A$15,$A693&lt;'Control Room'!$A$15+'Control Room'!$B$15,'Process'!BQ4=1),1+('Control Room'!$C$15-1)*EXP(-0.5*(($A693-'Control Room'!$A$15-('Control Room'!$B$15-1)/2)/MAX(0.5,'Control Room'!$B$15/4))^2),1)*IF(AND($A693&gt;='Control Room'!$A$16,$A693&lt;'Control Room'!$A$16+'Control Room'!$B$16,'Process'!BQ5=1),1+('Control Room'!$C$16-1)*EXP(-0.5*(($A693-'Control Room'!$A$16-('Control Room'!$B$16-1)/2)/MAX(0.5,'Control Room'!$B$16/4))^2),1)</x:f>
        <x:v>1</x:v>
      </x:c>
      <x:c r="AK693" s="9" t="n">
        <x:f>MOD(AL692*16807,2147483647)</x:f>
        <x:v>1496247468</x:v>
      </x:c>
      <x:c r="AL693" s="9" t="n">
        <x:f>MOD(AK693*16807,2147483647)</x:f>
        <x:v>397688306</x:v>
      </x:c>
      <x:c r="AM693" s="17" t="n">
        <x:f>IF('Control Room'!$B$5="Normal",'Control Room'!$B$7+'Control Room'!$D$7*SQRT(-2*LN(MAX(0.000000000001,AK693/2147483647)))*COS(2*PI()*AL693/2147483647),'Control Room'!$B$8+('Control Room'!$D$8-'Control Room'!$B$8)*AK693/2147483647)</x:f>
        <x:v>1030.3024644957386</x:v>
      </x:c>
      <x:c r="AN693" s="17" t="n">
        <x:f>IF('Control Room'!$B$5="Normal",'Control Room'!$B$7,('Control Room'!$B$8+'Control Room'!$D$8)/2)+'Control Room'!$B$9*(AN692-IF('Control Room'!$B$5="Normal",'Control Room'!$B$7,('Control Room'!$B$8+'Control Room'!$D$8)/2))+SQRT(1-'Control Room'!$B$9^2)*(AM693-IF('Control Room'!$B$5="Normal",'Control Room'!$B$7,('Control Room'!$B$8+'Control Room'!$D$8)/2))</x:f>
        <x:v>1027.9381578249668</x:v>
      </x:c>
      <x:c r="AO693" s="17" t="n">
        <x:f>IF(AND($A693&gt;='Control Room'!$A$13,$A693&lt;'Control Room'!$A$13+'Control Room'!$B$13,'Process'!BR2=1),1+('Control Room'!$C$13-1)*EXP(-0.5*(($A693-'Control Room'!$A$13-('Control Room'!$B$13-1)/2)/MAX(0.5,'Control Room'!$B$13/4))^2),1)*IF(AND($A693&gt;='Control Room'!$A$14,$A693&lt;'Control Room'!$A$14+'Control Room'!$B$14,'Process'!BR3=1),1+('Control Room'!$C$14-1)*EXP(-0.5*(($A693-'Control Room'!$A$14-('Control Room'!$B$14-1)/2)/MAX(0.5,'Control Room'!$B$14/4))^2),1)*IF(AND($A693&gt;='Control Room'!$A$15,$A693&lt;'Control Room'!$A$15+'Control Room'!$B$15,'Process'!BR4=1),1+('Control Room'!$C$15-1)*EXP(-0.5*(($A693-'Control Room'!$A$15-('Control Room'!$B$15-1)/2)/MAX(0.5,'Control Room'!$B$15/4))^2),1)*IF(AND($A693&gt;='Control Room'!$A$16,$A693&lt;'Control Room'!$A$16+'Control Room'!$B$16,'Process'!BR5=1),1+('Control Room'!$C$16-1)*EXP(-0.5*(($A693-'Control Room'!$A$16-('Control Room'!$B$16-1)/2)/MAX(0.5,'Control Room'!$B$16/4))^2),1)</x:f>
        <x:v>1</x:v>
      </x:c>
      <x:c r="AP693" s="9" t="n">
        <x:f>MOD(AQ692*16807,2147483647)</x:f>
        <x:v>486202609</x:v>
      </x:c>
      <x:c r="AQ693" s="9" t="n">
        <x:f>MOD(AP693*16807,2147483647)</x:f>
        <x:v>431972628</x:v>
      </x:c>
      <x:c r="AR693" s="17" t="n">
        <x:f>IF('Control Room'!$B$5="Normal",'Control Room'!$B$7+'Control Room'!$D$7*SQRT(-2*LN(MAX(0.000000000001,AP693/2147483647)))*COS(2*PI()*AQ693/2147483647),'Control Room'!$B$8+('Control Room'!$D$8-'Control Room'!$B$8)*AP693/2147483647)</x:f>
        <x:v>1046.8664171736502</x:v>
      </x:c>
      <x:c r="AS693" s="17" t="n">
        <x:f>IF('Control Room'!$B$5="Normal",'Control Room'!$B$7,('Control Room'!$B$8+'Control Room'!$D$8)/2)+'Control Room'!$B$9*(AS692-IF('Control Room'!$B$5="Normal",'Control Room'!$B$7,('Control Room'!$B$8+'Control Room'!$D$8)/2))+SQRT(1-'Control Room'!$B$9^2)*(AR693-IF('Control Room'!$B$5="Normal",'Control Room'!$B$7,('Control Room'!$B$8+'Control Room'!$D$8)/2))</x:f>
        <x:v>1032.4088701434166</x:v>
      </x:c>
      <x:c r="AT693" s="17" t="n">
        <x:f>IF(AND($A693&gt;='Control Room'!$A$13,$A693&lt;'Control Room'!$A$13+'Control Room'!$B$13,'Process'!BS2=1),1+('Control Room'!$C$13-1)*EXP(-0.5*(($A693-'Control Room'!$A$13-('Control Room'!$B$13-1)/2)/MAX(0.5,'Control Room'!$B$13/4))^2),1)*IF(AND($A693&gt;='Control Room'!$A$14,$A693&lt;'Control Room'!$A$14+'Control Room'!$B$14,'Process'!BS3=1),1+('Control Room'!$C$14-1)*EXP(-0.5*(($A693-'Control Room'!$A$14-('Control Room'!$B$14-1)/2)/MAX(0.5,'Control Room'!$B$14/4))^2),1)*IF(AND($A693&gt;='Control Room'!$A$15,$A693&lt;'Control Room'!$A$15+'Control Room'!$B$15,'Process'!BS4=1),1+('Control Room'!$C$15-1)*EXP(-0.5*(($A693-'Control Room'!$A$15-('Control Room'!$B$15-1)/2)/MAX(0.5,'Control Room'!$B$15/4))^2),1)*IF(AND($A693&gt;='Control Room'!$A$16,$A693&lt;'Control Room'!$A$16+'Control Room'!$B$16,'Process'!BS5=1),1+('Control Room'!$C$16-1)*EXP(-0.5*(($A693-'Control Room'!$A$16-('Control Room'!$B$16-1)/2)/MAX(0.5,'Control Room'!$B$16/4))^2),1)</x:f>
        <x:v>1</x:v>
      </x:c>
      <x:c r="AU693" s="9" t="n">
        <x:f>MOD(AV692*16807,2147483647)</x:f>
        <x:v>1623641397</x:v>
      </x:c>
      <x:c r="AV693" s="9" t="n">
        <x:f>MOD(AU693*16807,2147483647)</x:f>
        <x:v>466256950</x:v>
      </x:c>
      <x:c r="AW693" s="17" t="n">
        <x:f>IF('Control Room'!$B$5="Normal",'Control Room'!$B$7+'Control Room'!$D$7*SQRT(-2*LN(MAX(0.000000000001,AU693/2147483647)))*COS(2*PI()*AV693/2147483647),'Control Room'!$B$8+('Control Room'!$D$8-'Control Room'!$B$8)*AU693/2147483647)</x:f>
        <x:v>1013.8067757459853</x:v>
      </x:c>
      <x:c r="AX693" s="17" t="n">
        <x:f>IF('Control Room'!$B$5="Normal",'Control Room'!$B$7,('Control Room'!$B$8+'Control Room'!$D$8)/2)+'Control Room'!$B$9*(AX692-IF('Control Room'!$B$5="Normal",'Control Room'!$B$7,('Control Room'!$B$8+'Control Room'!$D$8)/2))+SQRT(1-'Control Room'!$B$9^2)*(AW693-IF('Control Room'!$B$5="Normal",'Control Room'!$B$7,('Control Room'!$B$8+'Control Room'!$D$8)/2))</x:f>
        <x:v>1030.953146569574</x:v>
      </x:c>
      <x:c r="AY693" s="17" t="n">
        <x:f>IF(AND($A693&gt;='Control Room'!$A$13,$A693&lt;'Control Room'!$A$13+'Control Room'!$B$13,'Process'!BT2=1),1+('Control Room'!$C$13-1)*EXP(-0.5*(($A693-'Control Room'!$A$13-('Control Room'!$B$13-1)/2)/MAX(0.5,'Control Room'!$B$13/4))^2),1)*IF(AND($A693&gt;='Control Room'!$A$14,$A693&lt;'Control Room'!$A$14+'Control Room'!$B$14,'Process'!BT3=1),1+('Control Room'!$C$14-1)*EXP(-0.5*(($A693-'Control Room'!$A$14-('Control Room'!$B$14-1)/2)/MAX(0.5,'Control Room'!$B$14/4))^2),1)*IF(AND($A693&gt;='Control Room'!$A$15,$A693&lt;'Control Room'!$A$15+'Control Room'!$B$15,'Process'!BT4=1),1+('Control Room'!$C$15-1)*EXP(-0.5*(($A693-'Control Room'!$A$15-('Control Room'!$B$15-1)/2)/MAX(0.5,'Control Room'!$B$15/4))^2),1)*IF(AND($A693&gt;='Control Room'!$A$16,$A693&lt;'Control Room'!$A$16+'Control Room'!$B$16,'Process'!BT5=1),1+('Control Room'!$C$16-1)*EXP(-0.5*(($A693-'Control Room'!$A$16-('Control Room'!$B$16-1)/2)/MAX(0.5,'Control Room'!$B$16/4))^2),1)</x:f>
        <x:v>1</x:v>
      </x:c>
      <x:c r="AZ693" s="9" t="n">
        <x:f>MOD(BA692*16807,2147483647)</x:f>
        <x:v>613596538</x:v>
      </x:c>
      <x:c r="BA693" s="9" t="n">
        <x:f>MOD(AZ693*16807,2147483647)</x:f>
        <x:v>500541272</x:v>
      </x:c>
      <x:c r="BB693" s="17" t="n">
        <x:f>IF('Control Room'!$B$5="Normal",'Control Room'!$B$7+'Control Room'!$D$7*SQRT(-2*LN(MAX(0.000000000001,AZ693/2147483647)))*COS(2*PI()*BA693/2147483647),'Control Room'!$B$8+('Control Room'!$D$8-'Control Room'!$B$8)*AZ693/2147483647)</x:f>
        <x:v>1015.1138990898642</x:v>
      </x:c>
      <x:c r="BC693" s="17" t="n">
        <x:f>IF('Control Room'!$B$5="Normal",'Control Room'!$B$7,('Control Room'!$B$8+'Control Room'!$D$8)/2)+'Control Room'!$B$9*(BC692-IF('Control Room'!$B$5="Normal",'Control Room'!$B$7,('Control Room'!$B$8+'Control Room'!$D$8)/2))+SQRT(1-'Control Room'!$B$9^2)*(BB693-IF('Control Room'!$B$5="Normal",'Control Room'!$B$7,('Control Room'!$B$8+'Control Room'!$D$8)/2))</x:f>
        <x:v>990.4492593874537</x:v>
      </x:c>
      <x:c r="BD693" s="17" t="n">
        <x:f>IF(AND($A693&gt;='Control Room'!$A$13,$A693&lt;'Control Room'!$A$13+'Control Room'!$B$13,'Process'!BU2=1),1+('Control Room'!$C$13-1)*EXP(-0.5*(($A693-'Control Room'!$A$13-('Control Room'!$B$13-1)/2)/MAX(0.5,'Control Room'!$B$13/4))^2),1)*IF(AND($A693&gt;='Control Room'!$A$14,$A693&lt;'Control Room'!$A$14+'Control Room'!$B$14,'Process'!BU3=1),1+('Control Room'!$C$14-1)*EXP(-0.5*(($A693-'Control Room'!$A$14-('Control Room'!$B$14-1)/2)/MAX(0.5,'Control Room'!$B$14/4))^2),1)*IF(AND($A693&gt;='Control Room'!$A$15,$A693&lt;'Control Room'!$A$15+'Control Room'!$B$15,'Process'!BU4=1),1+('Control Room'!$C$15-1)*EXP(-0.5*(($A693-'Control Room'!$A$15-('Control Room'!$B$15-1)/2)/MAX(0.5,'Control Room'!$B$15/4))^2),1)*IF(AND($A693&gt;='Control Room'!$A$16,$A693&lt;'Control Room'!$A$16+'Control Room'!$B$16,'Process'!BU5=1),1+('Control Room'!$C$16-1)*EXP(-0.5*(($A693-'Control Room'!$A$16-('Control Room'!$B$16-1)/2)/MAX(0.5,'Control Room'!$B$16/4))^2),1)</x:f>
        <x:v>1</x:v>
      </x:c>
      <x:c r="BE693" s="9" t="n">
        <x:f>MOD(BF692*16807,2147483647)</x:f>
        <x:v>1751035326</x:v>
      </x:c>
      <x:c r="BF693" s="9" t="n">
        <x:f>MOD(BE693*16807,2147483647)</x:f>
        <x:v>534825594</x:v>
      </x:c>
      <x:c r="BG693" s="17" t="n">
        <x:f>IF('Control Room'!$B$5="Normal",'Control Room'!$B$7+'Control Room'!$D$7*SQRT(-2*LN(MAX(0.000000000001,BE693/2147483647)))*COS(2*PI()*BF693/2147483647),'Control Room'!$B$8+('Control Room'!$D$8-'Control Room'!$B$8)*BE693/2147483647)</x:f>
        <x:v>1000.3440931844012</x:v>
      </x:c>
      <x:c r="BH693" s="17" t="n">
        <x:f>IF('Control Room'!$B$5="Normal",'Control Room'!$B$7,('Control Room'!$B$8+'Control Room'!$D$8)/2)+'Control Room'!$B$9*(BH692-IF('Control Room'!$B$5="Normal",'Control Room'!$B$7,('Control Room'!$B$8+'Control Room'!$D$8)/2))+SQRT(1-'Control Room'!$B$9^2)*(BG693-IF('Control Room'!$B$5="Normal",'Control Room'!$B$7,('Control Room'!$B$8+'Control Room'!$D$8)/2))</x:f>
        <x:v>967.0992665041007</x:v>
      </x:c>
      <x:c r="BI693" s="17" t="n">
        <x:f>IF(AND($A693&gt;='Control Room'!$A$13,$A693&lt;'Control Room'!$A$13+'Control Room'!$B$13,'Process'!BV2=1),1+('Control Room'!$C$13-1)*EXP(-0.5*(($A693-'Control Room'!$A$13-('Control Room'!$B$13-1)/2)/MAX(0.5,'Control Room'!$B$13/4))^2),1)*IF(AND($A693&gt;='Control Room'!$A$14,$A693&lt;'Control Room'!$A$14+'Control Room'!$B$14,'Process'!BV3=1),1+('Control Room'!$C$14-1)*EXP(-0.5*(($A693-'Control Room'!$A$14-('Control Room'!$B$14-1)/2)/MAX(0.5,'Control Room'!$B$14/4))^2),1)*IF(AND($A693&gt;='Control Room'!$A$15,$A693&lt;'Control Room'!$A$15+'Control Room'!$B$15,'Process'!BV4=1),1+('Control Room'!$C$15-1)*EXP(-0.5*(($A693-'Control Room'!$A$15-('Control Room'!$B$15-1)/2)/MAX(0.5,'Control Room'!$B$15/4))^2),1)*IF(AND($A693&gt;='Control Room'!$A$16,$A693&lt;'Control Room'!$A$16+'Control Room'!$B$16,'Process'!BV5=1),1+('Control Room'!$C$16-1)*EXP(-0.5*(($A693-'Control Room'!$A$16-('Control Room'!$B$16-1)/2)/MAX(0.5,'Control Room'!$B$16/4))^2),1)</x:f>
        <x:v>1</x:v>
      </x:c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Z693" t="str">
        <x:f>IF('Data'!A693="","",TEXT('Data'!A693,"mm-dd"))</x:f>
      </x:c>
    </x:row>
    <x:row r="694" ht="21" customHeight="1">
      <x:c r="A694" s="15" t="n">
        <x:f>'Control Room'!$B$1+692</x:f>
        <x:v>73683</x:v>
      </x:c>
      <x:c r="B694" s="9" t="n">
        <x:f>MOD(C693*16807,2147483647)</x:f>
        <x:v>436339566</x:v>
      </x:c>
      <x:c r="C694" s="9" t="n">
        <x:f>MOD(B694*16807,2147483647)</x:f>
        <x:v>2049914904</x:v>
      </x:c>
      <x:c r="D694" s="17" t="n">
        <x:f>IF('Control Room'!$B$5="Normal",'Control Room'!$B$7+'Control Room'!$D$7*SQRT(-2*LN(MAX(0.000000000001,B694/2147483647)))*COS(2*PI()*C694/2147483647),'Control Room'!$B$8+('Control Room'!$D$8-'Control Room'!$B$8)*B694/2147483647)</x:f>
        <x:v>1154.1734876914375</x:v>
      </x:c>
      <x:c r="E694" s="17" t="n">
        <x:f>IF('Control Room'!$B$5="Normal",'Control Room'!$B$7,('Control Room'!$B$8+'Control Room'!$D$8)/2)+'Control Room'!$B$9*(E693-IF('Control Room'!$B$5="Normal",'Control Room'!$B$7,('Control Room'!$B$8+'Control Room'!$D$8)/2))+SQRT(1-'Control Room'!$B$9^2)*(D694-IF('Control Room'!$B$5="Normal",'Control Room'!$B$7,('Control Room'!$B$8+'Control Room'!$D$8)/2))</x:f>
        <x:v>1066.8592416364959</x:v>
      </x:c>
      <x:c r="F694" s="17" t="n">
        <x:f>IF(AND($A694&gt;='Control Room'!$A$13,$A694&lt;'Control Room'!$A$13+'Control Room'!$B$13,'Process'!BK2=1),1+('Control Room'!$C$13-1)*EXP(-0.5*(($A694-'Control Room'!$A$13-('Control Room'!$B$13-1)/2)/MAX(0.5,'Control Room'!$B$13/4))^2),1)*IF(AND($A694&gt;='Control Room'!$A$14,$A694&lt;'Control Room'!$A$14+'Control Room'!$B$14,'Process'!BK3=1),1+('Control Room'!$C$14-1)*EXP(-0.5*(($A694-'Control Room'!$A$14-('Control Room'!$B$14-1)/2)/MAX(0.5,'Control Room'!$B$14/4))^2),1)*IF(AND($A694&gt;='Control Room'!$A$15,$A694&lt;'Control Room'!$A$15+'Control Room'!$B$15,'Process'!BK4=1),1+('Control Room'!$C$15-1)*EXP(-0.5*(($A694-'Control Room'!$A$15-('Control Room'!$B$15-1)/2)/MAX(0.5,'Control Room'!$B$15/4))^2),1)*IF(AND($A694&gt;='Control Room'!$A$16,$A694&lt;'Control Room'!$A$16+'Control Room'!$B$16,'Process'!BK5=1),1+('Control Room'!$C$16-1)*EXP(-0.5*(($A694-'Control Room'!$A$16-('Control Room'!$B$16-1)/2)/MAX(0.5,'Control Room'!$B$16/4))^2),1)</x:f>
        <x:v>1</x:v>
      </x:c>
      <x:c r="G694" s="9" t="n">
        <x:f>MOD(H693*16807,2147483647)</x:f>
        <x:v>1127322024</x:v>
      </x:c>
      <x:c r="H694" s="9" t="n">
        <x:f>MOD(G694*16807,2147483647)</x:f>
        <x:v>1800523534</x:v>
      </x:c>
      <x:c r="I694" s="17" t="n">
        <x:f>IF('Control Room'!$B$5="Normal",'Control Room'!$B$7+'Control Room'!$D$7*SQRT(-2*LN(MAX(0.000000000001,G694/2147483647)))*COS(2*PI()*H694/2147483647),'Control Room'!$B$8+('Control Room'!$D$8-'Control Room'!$B$8)*G694/2147483647)</x:f>
        <x:v>1053.8976857432492</x:v>
      </x:c>
      <x:c r="J694" s="17" t="n">
        <x:f>IF('Control Room'!$B$5="Normal",'Control Room'!$B$7,('Control Room'!$B$8+'Control Room'!$D$8)/2)+'Control Room'!$B$9*(J693-IF('Control Room'!$B$5="Normal",'Control Room'!$B$7,('Control Room'!$B$8+'Control Room'!$D$8)/2))+SQRT(1-'Control Room'!$B$9^2)*(I694-IF('Control Room'!$B$5="Normal",'Control Room'!$B$7,('Control Room'!$B$8+'Control Room'!$D$8)/2))</x:f>
        <x:v>1061.723675317297</x:v>
      </x:c>
      <x:c r="K694" s="17" t="n">
        <x:f>IF(AND($A694&gt;='Control Room'!$A$13,$A694&lt;'Control Room'!$A$13+'Control Room'!$B$13,'Process'!BL2=1),1+('Control Room'!$C$13-1)*EXP(-0.5*(($A694-'Control Room'!$A$13-('Control Room'!$B$13-1)/2)/MAX(0.5,'Control Room'!$B$13/4))^2),1)*IF(AND($A694&gt;='Control Room'!$A$14,$A694&lt;'Control Room'!$A$14+'Control Room'!$B$14,'Process'!BL3=1),1+('Control Room'!$C$14-1)*EXP(-0.5*(($A694-'Control Room'!$A$14-('Control Room'!$B$14-1)/2)/MAX(0.5,'Control Room'!$B$14/4))^2),1)*IF(AND($A694&gt;='Control Room'!$A$15,$A694&lt;'Control Room'!$A$15+'Control Room'!$B$15,'Process'!BL4=1),1+('Control Room'!$C$15-1)*EXP(-0.5*(($A694-'Control Room'!$A$15-('Control Room'!$B$15-1)/2)/MAX(0.5,'Control Room'!$B$15/4))^2),1)*IF(AND($A694&gt;='Control Room'!$A$16,$A694&lt;'Control Room'!$A$16+'Control Room'!$B$16,'Process'!BL5=1),1+('Control Room'!$C$16-1)*EXP(-0.5*(($A694-'Control Room'!$A$16-('Control Room'!$B$16-1)/2)/MAX(0.5,'Control Room'!$B$16/4))^2),1)</x:f>
        <x:v>1</x:v>
      </x:c>
      <x:c r="L694" s="9" t="n">
        <x:f>MOD(M693*16807,2147483647)</x:f>
        <x:v>1818304482</x:v>
      </x:c>
      <x:c r="M694" s="9" t="n">
        <x:f>MOD(L694*16807,2147483647)</x:f>
        <x:v>1551132164</x:v>
      </x:c>
      <x:c r="N694" s="17" t="n">
        <x:f>IF('Control Room'!$B$5="Normal",'Control Room'!$B$7+'Control Room'!$D$7*SQRT(-2*LN(MAX(0.000000000001,L694/2147483647)))*COS(2*PI()*M694/2147483647),'Control Room'!$B$8+('Control Room'!$D$8-'Control Room'!$B$8)*L694/2147483647)</x:f>
        <x:v>991.0101009397529</x:v>
      </x:c>
      <x:c r="O694" s="17" t="n">
        <x:f>IF('Control Room'!$B$5="Normal",'Control Room'!$B$7,('Control Room'!$B$8+'Control Room'!$D$8)/2)+'Control Room'!$B$9*(O693-IF('Control Room'!$B$5="Normal",'Control Room'!$B$7,('Control Room'!$B$8+'Control Room'!$D$8)/2))+SQRT(1-'Control Room'!$B$9^2)*(N694-IF('Control Room'!$B$5="Normal",'Control Room'!$B$7,('Control Room'!$B$8+'Control Room'!$D$8)/2))</x:f>
        <x:v>1057.0411248073942</x:v>
      </x:c>
      <x:c r="P694" s="17" t="n">
        <x:f>IF(AND($A694&gt;='Control Room'!$A$13,$A694&lt;'Control Room'!$A$13+'Control Room'!$B$13,'Process'!BM2=1),1+('Control Room'!$C$13-1)*EXP(-0.5*(($A694-'Control Room'!$A$13-('Control Room'!$B$13-1)/2)/MAX(0.5,'Control Room'!$B$13/4))^2),1)*IF(AND($A694&gt;='Control Room'!$A$14,$A694&lt;'Control Room'!$A$14+'Control Room'!$B$14,'Process'!BM3=1),1+('Control Room'!$C$14-1)*EXP(-0.5*(($A694-'Control Room'!$A$14-('Control Room'!$B$14-1)/2)/MAX(0.5,'Control Room'!$B$14/4))^2),1)*IF(AND($A694&gt;='Control Room'!$A$15,$A694&lt;'Control Room'!$A$15+'Control Room'!$B$15,'Process'!BM4=1),1+('Control Room'!$C$15-1)*EXP(-0.5*(($A694-'Control Room'!$A$15-('Control Room'!$B$15-1)/2)/MAX(0.5,'Control Room'!$B$15/4))^2),1)*IF(AND($A694&gt;='Control Room'!$A$16,$A694&lt;'Control Room'!$A$16+'Control Room'!$B$16,'Process'!BM5=1),1+('Control Room'!$C$16-1)*EXP(-0.5*(($A694-'Control Room'!$A$16-('Control Room'!$B$16-1)/2)/MAX(0.5,'Control Room'!$B$16/4))^2),1)</x:f>
        <x:v>1</x:v>
      </x:c>
      <x:c r="Q694" s="9" t="n">
        <x:f>MOD(R693*16807,2147483647)</x:f>
        <x:v>361803293</x:v>
      </x:c>
      <x:c r="R694" s="9" t="n">
        <x:f>MOD(Q694*16807,2147483647)</x:f>
        <x:v>1301740794</x:v>
      </x:c>
      <x:c r="S694" s="17" t="n">
        <x:f>IF('Control Room'!$B$5="Normal",'Control Room'!$B$7+'Control Room'!$D$7*SQRT(-2*LN(MAX(0.000000000001,Q694/2147483647)))*COS(2*PI()*R694/2147483647),'Control Room'!$B$8+('Control Room'!$D$8-'Control Room'!$B$8)*Q694/2147483647)</x:f>
        <x:v>866.5557483151497</x:v>
      </x:c>
      <x:c r="T694" s="17" t="n">
        <x:f>IF('Control Room'!$B$5="Normal",'Control Room'!$B$7,('Control Room'!$B$8+'Control Room'!$D$8)/2)+'Control Room'!$B$9*(T693-IF('Control Room'!$B$5="Normal",'Control Room'!$B$7,('Control Room'!$B$8+'Control Room'!$D$8)/2))+SQRT(1-'Control Room'!$B$9^2)*(S694-IF('Control Room'!$B$5="Normal",'Control Room'!$B$7,('Control Room'!$B$8+'Control Room'!$D$8)/2))</x:f>
        <x:v>988.9591369882987</x:v>
      </x:c>
      <x:c r="U694" s="17" t="n">
        <x:f>IF(AND($A694&gt;='Control Room'!$A$13,$A694&lt;'Control Room'!$A$13+'Control Room'!$B$13,'Process'!BN2=1),1+('Control Room'!$C$13-1)*EXP(-0.5*(($A694-'Control Room'!$A$13-('Control Room'!$B$13-1)/2)/MAX(0.5,'Control Room'!$B$13/4))^2),1)*IF(AND($A694&gt;='Control Room'!$A$14,$A694&lt;'Control Room'!$A$14+'Control Room'!$B$14,'Process'!BN3=1),1+('Control Room'!$C$14-1)*EXP(-0.5*(($A694-'Control Room'!$A$14-('Control Room'!$B$14-1)/2)/MAX(0.5,'Control Room'!$B$14/4))^2),1)*IF(AND($A694&gt;='Control Room'!$A$15,$A694&lt;'Control Room'!$A$15+'Control Room'!$B$15,'Process'!BN4=1),1+('Control Room'!$C$15-1)*EXP(-0.5*(($A694-'Control Room'!$A$15-('Control Room'!$B$15-1)/2)/MAX(0.5,'Control Room'!$B$15/4))^2),1)*IF(AND($A694&gt;='Control Room'!$A$16,$A694&lt;'Control Room'!$A$16+'Control Room'!$B$16,'Process'!BN5=1),1+('Control Room'!$C$16-1)*EXP(-0.5*(($A694-'Control Room'!$A$16-('Control Room'!$B$16-1)/2)/MAX(0.5,'Control Room'!$B$16/4))^2),1)</x:f>
        <x:v>1</x:v>
      </x:c>
      <x:c r="V694" s="9" t="n">
        <x:f>MOD(W693*16807,2147483647)</x:f>
        <x:v>1052785751</x:v>
      </x:c>
      <x:c r="W694" s="9" t="n">
        <x:f>MOD(V694*16807,2147483647)</x:f>
        <x:v>1052349424</x:v>
      </x:c>
      <x:c r="X694" s="17" t="n">
        <x:f>IF('Control Room'!$B$5="Normal",'Control Room'!$B$7+'Control Room'!$D$7*SQRT(-2*LN(MAX(0.000000000001,V694/2147483647)))*COS(2*PI()*W694/2147483647),'Control Room'!$B$8+('Control Room'!$D$8-'Control Room'!$B$8)*V694/2147483647)</x:f>
        <x:v>892.747488545554</x:v>
      </x:c>
      <x:c r="Y694" s="17" t="n">
        <x:f>IF('Control Room'!$B$5="Normal",'Control Room'!$B$7,('Control Room'!$B$8+'Control Room'!$D$8)/2)+'Control Room'!$B$9*(Y693-IF('Control Room'!$B$5="Normal",'Control Room'!$B$7,('Control Room'!$B$8+'Control Room'!$D$8)/2))+SQRT(1-'Control Room'!$B$9^2)*(X694-IF('Control Room'!$B$5="Normal",'Control Room'!$B$7,('Control Room'!$B$8+'Control Room'!$D$8)/2))</x:f>
        <x:v>976.5369165085893</x:v>
      </x:c>
      <x:c r="Z694" s="17" t="n">
        <x:f>IF(AND($A694&gt;='Control Room'!$A$13,$A694&lt;'Control Room'!$A$13+'Control Room'!$B$13,'Process'!BO2=1),1+('Control Room'!$C$13-1)*EXP(-0.5*(($A694-'Control Room'!$A$13-('Control Room'!$B$13-1)/2)/MAX(0.5,'Control Room'!$B$13/4))^2),1)*IF(AND($A694&gt;='Control Room'!$A$14,$A694&lt;'Control Room'!$A$14+'Control Room'!$B$14,'Process'!BO3=1),1+('Control Room'!$C$14-1)*EXP(-0.5*(($A694-'Control Room'!$A$14-('Control Room'!$B$14-1)/2)/MAX(0.5,'Control Room'!$B$14/4))^2),1)*IF(AND($A694&gt;='Control Room'!$A$15,$A694&lt;'Control Room'!$A$15+'Control Room'!$B$15,'Process'!BO4=1),1+('Control Room'!$C$15-1)*EXP(-0.5*(($A694-'Control Room'!$A$15-('Control Room'!$B$15-1)/2)/MAX(0.5,'Control Room'!$B$15/4))^2),1)*IF(AND($A694&gt;='Control Room'!$A$16,$A694&lt;'Control Room'!$A$16+'Control Room'!$B$16,'Process'!BO5=1),1+('Control Room'!$C$16-1)*EXP(-0.5*(($A694-'Control Room'!$A$16-('Control Room'!$B$16-1)/2)/MAX(0.5,'Control Room'!$B$16/4))^2),1)</x:f>
        <x:v>1</x:v>
      </x:c>
      <x:c r="AA694" s="9" t="n">
        <x:f>MOD(AB693*16807,2147483647)</x:f>
        <x:v>1743768209</x:v>
      </x:c>
      <x:c r="AB694" s="9" t="n">
        <x:f>MOD(AA694*16807,2147483647)</x:f>
        <x:v>802958054</x:v>
      </x:c>
      <x:c r="AC694" s="17" t="n">
        <x:f>IF('Control Room'!$B$5="Normal",'Control Room'!$B$7+'Control Room'!$D$7*SQRT(-2*LN(MAX(0.000000000001,AA694/2147483647)))*COS(2*PI()*AB694/2147483647),'Control Room'!$B$8+('Control Room'!$D$8-'Control Room'!$B$8)*AA694/2147483647)</x:f>
        <x:v>959.2123432164086</x:v>
      </x:c>
      <x:c r="AD694" s="17" t="n">
        <x:f>IF('Control Room'!$B$5="Normal",'Control Room'!$B$7,('Control Room'!$B$8+'Control Room'!$D$8)/2)+'Control Room'!$B$9*(AD693-IF('Control Room'!$B$5="Normal",'Control Room'!$B$7,('Control Room'!$B$8+'Control Room'!$D$8)/2))+SQRT(1-'Control Room'!$B$9^2)*(AC694-IF('Control Room'!$B$5="Normal",'Control Room'!$B$7,('Control Room'!$B$8+'Control Room'!$D$8)/2))</x:f>
        <x:v>994.8846233190269</x:v>
      </x:c>
      <x:c r="AE694" s="17" t="n">
        <x:f>IF(AND($A694&gt;='Control Room'!$A$13,$A694&lt;'Control Room'!$A$13+'Control Room'!$B$13,'Process'!BP2=1),1+('Control Room'!$C$13-1)*EXP(-0.5*(($A694-'Control Room'!$A$13-('Control Room'!$B$13-1)/2)/MAX(0.5,'Control Room'!$B$13/4))^2),1)*IF(AND($A694&gt;='Control Room'!$A$14,$A694&lt;'Control Room'!$A$14+'Control Room'!$B$14,'Process'!BP3=1),1+('Control Room'!$C$14-1)*EXP(-0.5*(($A694-'Control Room'!$A$14-('Control Room'!$B$14-1)/2)/MAX(0.5,'Control Room'!$B$14/4))^2),1)*IF(AND($A694&gt;='Control Room'!$A$15,$A694&lt;'Control Room'!$A$15+'Control Room'!$B$15,'Process'!BP4=1),1+('Control Room'!$C$15-1)*EXP(-0.5*(($A694-'Control Room'!$A$15-('Control Room'!$B$15-1)/2)/MAX(0.5,'Control Room'!$B$15/4))^2),1)*IF(AND($A694&gt;='Control Room'!$A$16,$A694&lt;'Control Room'!$A$16+'Control Room'!$B$16,'Process'!BP5=1),1+('Control Room'!$C$16-1)*EXP(-0.5*(($A694-'Control Room'!$A$16-('Control Room'!$B$16-1)/2)/MAX(0.5,'Control Room'!$B$16/4))^2),1)</x:f>
        <x:v>1</x:v>
      </x:c>
      <x:c r="AF694" s="9" t="n">
        <x:f>MOD(AG693*16807,2147483647)</x:f>
        <x:v>287267020</x:v>
      </x:c>
      <x:c r="AG694" s="9" t="n">
        <x:f>MOD(AF694*16807,2147483647)</x:f>
        <x:v>553566684</x:v>
      </x:c>
      <x:c r="AH694" s="17" t="n">
        <x:f>IF('Control Room'!$B$5="Normal",'Control Room'!$B$7+'Control Room'!$D$7*SQRT(-2*LN(MAX(0.000000000001,AF694/2147483647)))*COS(2*PI()*AG694/2147483647),'Control Room'!$B$8+('Control Room'!$D$8-'Control Room'!$B$8)*AF694/2147483647)</x:f>
        <x:v>991.1851199994377</x:v>
      </x:c>
      <x:c r="AI694" s="17" t="n">
        <x:f>IF('Control Room'!$B$5="Normal",'Control Room'!$B$7,('Control Room'!$B$8+'Control Room'!$D$8)/2)+'Control Room'!$B$9*(AI693-IF('Control Room'!$B$5="Normal",'Control Room'!$B$7,('Control Room'!$B$8+'Control Room'!$D$8)/2))+SQRT(1-'Control Room'!$B$9^2)*(AH694-IF('Control Room'!$B$5="Normal",'Control Room'!$B$7,('Control Room'!$B$8+'Control Room'!$D$8)/2))</x:f>
        <x:v>1081.9878753372886</x:v>
      </x:c>
      <x:c r="AJ694" s="17" t="n">
        <x:f>IF(AND($A694&gt;='Control Room'!$A$13,$A694&lt;'Control Room'!$A$13+'Control Room'!$B$13,'Process'!BQ2=1),1+('Control Room'!$C$13-1)*EXP(-0.5*(($A694-'Control Room'!$A$13-('Control Room'!$B$13-1)/2)/MAX(0.5,'Control Room'!$B$13/4))^2),1)*IF(AND($A694&gt;='Control Room'!$A$14,$A694&lt;'Control Room'!$A$14+'Control Room'!$B$14,'Process'!BQ3=1),1+('Control Room'!$C$14-1)*EXP(-0.5*(($A694-'Control Room'!$A$14-('Control Room'!$B$14-1)/2)/MAX(0.5,'Control Room'!$B$14/4))^2),1)*IF(AND($A694&gt;='Control Room'!$A$15,$A694&lt;'Control Room'!$A$15+'Control Room'!$B$15,'Process'!BQ4=1),1+('Control Room'!$C$15-1)*EXP(-0.5*(($A694-'Control Room'!$A$15-('Control Room'!$B$15-1)/2)/MAX(0.5,'Control Room'!$B$15/4))^2),1)*IF(AND($A694&gt;='Control Room'!$A$16,$A694&lt;'Control Room'!$A$16+'Control Room'!$B$16,'Process'!BQ5=1),1+('Control Room'!$C$16-1)*EXP(-0.5*(($A694-'Control Room'!$A$16-('Control Room'!$B$16-1)/2)/MAX(0.5,'Control Room'!$B$16/4))^2),1)</x:f>
        <x:v>1</x:v>
      </x:c>
      <x:c r="AK694" s="9" t="n">
        <x:f>MOD(AL693*16807,2147483647)</x:f>
        <x:v>978249478</x:v>
      </x:c>
      <x:c r="AL694" s="9" t="n">
        <x:f>MOD(AK694*16807,2147483647)</x:f>
        <x:v>304175314</x:v>
      </x:c>
      <x:c r="AM694" s="17" t="n">
        <x:f>IF('Control Room'!$B$5="Normal",'Control Room'!$B$7+'Control Room'!$D$7*SQRT(-2*LN(MAX(0.000000000001,AK694/2147483647)))*COS(2*PI()*AL694/2147483647),'Control Room'!$B$8+('Control Room'!$D$8-'Control Room'!$B$8)*AK694/2147483647)</x:f>
        <x:v>1071.0396478883658</x:v>
      </x:c>
      <x:c r="AN694" s="17" t="n">
        <x:f>IF('Control Room'!$B$5="Normal",'Control Room'!$B$7,('Control Room'!$B$8+'Control Room'!$D$8)/2)+'Control Room'!$B$9*(AN693-IF('Control Room'!$B$5="Normal",'Control Room'!$B$7,('Control Room'!$B$8+'Control Room'!$D$8)/2))+SQRT(1-'Control Room'!$B$9^2)*(AM694-IF('Control Room'!$B$5="Normal",'Control Room'!$B$7,('Control Room'!$B$8+'Control Room'!$D$8)/2))</x:f>
        <x:v>1066.2469194257224</x:v>
      </x:c>
      <x:c r="AO694" s="17" t="n">
        <x:f>IF(AND($A694&gt;='Control Room'!$A$13,$A694&lt;'Control Room'!$A$13+'Control Room'!$B$13,'Process'!BR2=1),1+('Control Room'!$C$13-1)*EXP(-0.5*(($A694-'Control Room'!$A$13-('Control Room'!$B$13-1)/2)/MAX(0.5,'Control Room'!$B$13/4))^2),1)*IF(AND($A694&gt;='Control Room'!$A$14,$A694&lt;'Control Room'!$A$14+'Control Room'!$B$14,'Process'!BR3=1),1+('Control Room'!$C$14-1)*EXP(-0.5*(($A694-'Control Room'!$A$14-('Control Room'!$B$14-1)/2)/MAX(0.5,'Control Room'!$B$14/4))^2),1)*IF(AND($A694&gt;='Control Room'!$A$15,$A694&lt;'Control Room'!$A$15+'Control Room'!$B$15,'Process'!BR4=1),1+('Control Room'!$C$15-1)*EXP(-0.5*(($A694-'Control Room'!$A$15-('Control Room'!$B$15-1)/2)/MAX(0.5,'Control Room'!$B$15/4))^2),1)*IF(AND($A694&gt;='Control Room'!$A$16,$A694&lt;'Control Room'!$A$16+'Control Room'!$B$16,'Process'!BR5=1),1+('Control Room'!$C$16-1)*EXP(-0.5*(($A694-'Control Room'!$A$16-('Control Room'!$B$16-1)/2)/MAX(0.5,'Control Room'!$B$16/4))^2),1)</x:f>
        <x:v>1</x:v>
      </x:c>
      <x:c r="AP694" s="9" t="n">
        <x:f>MOD(AQ693*16807,2147483647)</x:f>
        <x:v>1669231936</x:v>
      </x:c>
      <x:c r="AQ694" s="9" t="n">
        <x:f>MOD(AP694*16807,2147483647)</x:f>
        <x:v>54783944</x:v>
      </x:c>
      <x:c r="AR694" s="17" t="n">
        <x:f>IF('Control Room'!$B$5="Normal",'Control Room'!$B$7+'Control Room'!$D$7*SQRT(-2*LN(MAX(0.000000000001,AP694/2147483647)))*COS(2*PI()*AQ694/2147483647),'Control Room'!$B$8+('Control Room'!$D$8-'Control Room'!$B$8)*AP694/2147483647)</x:f>
        <x:v>1063.066257405786</x:v>
      </x:c>
      <x:c r="AS694" s="17" t="n">
        <x:f>IF('Control Room'!$B$5="Normal",'Control Room'!$B$7,('Control Room'!$B$8+'Control Room'!$D$8)/2)+'Control Room'!$B$9*(AS693-IF('Control Room'!$B$5="Normal",'Control Room'!$B$7,('Control Room'!$B$8+'Control Room'!$D$8)/2))+SQRT(1-'Control Room'!$B$9^2)*(AR694-IF('Control Room'!$B$5="Normal",'Control Room'!$B$7,('Control Room'!$B$8+'Control Room'!$D$8)/2))</x:f>
        <x:v>1064.7444906138974</x:v>
      </x:c>
      <x:c r="AT694" s="17" t="n">
        <x:f>IF(AND($A694&gt;='Control Room'!$A$13,$A694&lt;'Control Room'!$A$13+'Control Room'!$B$13,'Process'!BS2=1),1+('Control Room'!$C$13-1)*EXP(-0.5*(($A694-'Control Room'!$A$13-('Control Room'!$B$13-1)/2)/MAX(0.5,'Control Room'!$B$13/4))^2),1)*IF(AND($A694&gt;='Control Room'!$A$14,$A694&lt;'Control Room'!$A$14+'Control Room'!$B$14,'Process'!BS3=1),1+('Control Room'!$C$14-1)*EXP(-0.5*(($A694-'Control Room'!$A$14-('Control Room'!$B$14-1)/2)/MAX(0.5,'Control Room'!$B$14/4))^2),1)*IF(AND($A694&gt;='Control Room'!$A$15,$A694&lt;'Control Room'!$A$15+'Control Room'!$B$15,'Process'!BS4=1),1+('Control Room'!$C$15-1)*EXP(-0.5*(($A694-'Control Room'!$A$15-('Control Room'!$B$15-1)/2)/MAX(0.5,'Control Room'!$B$15/4))^2),1)*IF(AND($A694&gt;='Control Room'!$A$16,$A694&lt;'Control Room'!$A$16+'Control Room'!$B$16,'Process'!BS5=1),1+('Control Room'!$C$16-1)*EXP(-0.5*(($A694-'Control Room'!$A$16-('Control Room'!$B$16-1)/2)/MAX(0.5,'Control Room'!$B$16/4))^2),1)</x:f>
        <x:v>1</x:v>
      </x:c>
      <x:c r="AU694" s="9" t="n">
        <x:f>MOD(AV693*16807,2147483647)</x:f>
        <x:v>212730747</x:v>
      </x:c>
      <x:c r="AV694" s="9" t="n">
        <x:f>MOD(AU694*16807,2147483647)</x:f>
        <x:v>1952876221</x:v>
      </x:c>
      <x:c r="AW694" s="17" t="n">
        <x:f>IF('Control Room'!$B$5="Normal",'Control Room'!$B$7+'Control Room'!$D$7*SQRT(-2*LN(MAX(0.000000000001,AU694/2147483647)))*COS(2*PI()*AV694/2147483647),'Control Room'!$B$8+('Control Room'!$D$8-'Control Room'!$B$8)*AU694/2147483647)</x:f>
        <x:v>1162.998875025324</x:v>
      </x:c>
      <x:c r="AX694" s="17" t="n">
        <x:f>IF('Control Room'!$B$5="Normal",'Control Room'!$B$7,('Control Room'!$B$8+'Control Room'!$D$8)/2)+'Control Room'!$B$9*(AX693-IF('Control Room'!$B$5="Normal",'Control Room'!$B$7,('Control Room'!$B$8+'Control Room'!$D$8)/2))+SQRT(1-'Control Room'!$B$9^2)*(AW694-IF('Control Room'!$B$5="Normal",'Control Room'!$B$7,('Control Room'!$B$8+'Control Room'!$D$8)/2))</x:f>
        <x:v>1126.1448111016582</x:v>
      </x:c>
      <x:c r="AY694" s="17" t="n">
        <x:f>IF(AND($A694&gt;='Control Room'!$A$13,$A694&lt;'Control Room'!$A$13+'Control Room'!$B$13,'Process'!BT2=1),1+('Control Room'!$C$13-1)*EXP(-0.5*(($A694-'Control Room'!$A$13-('Control Room'!$B$13-1)/2)/MAX(0.5,'Control Room'!$B$13/4))^2),1)*IF(AND($A694&gt;='Control Room'!$A$14,$A694&lt;'Control Room'!$A$14+'Control Room'!$B$14,'Process'!BT3=1),1+('Control Room'!$C$14-1)*EXP(-0.5*(($A694-'Control Room'!$A$14-('Control Room'!$B$14-1)/2)/MAX(0.5,'Control Room'!$B$14/4))^2),1)*IF(AND($A694&gt;='Control Room'!$A$15,$A694&lt;'Control Room'!$A$15+'Control Room'!$B$15,'Process'!BT4=1),1+('Control Room'!$C$15-1)*EXP(-0.5*(($A694-'Control Room'!$A$15-('Control Room'!$B$15-1)/2)/MAX(0.5,'Control Room'!$B$15/4))^2),1)*IF(AND($A694&gt;='Control Room'!$A$16,$A694&lt;'Control Room'!$A$16+'Control Room'!$B$16,'Process'!BT5=1),1+('Control Room'!$C$16-1)*EXP(-0.5*(($A694-'Control Room'!$A$16-('Control Room'!$B$16-1)/2)/MAX(0.5,'Control Room'!$B$16/4))^2),1)</x:f>
        <x:v>1</x:v>
      </x:c>
      <x:c r="AZ694" s="9" t="n">
        <x:f>MOD(BA693*16807,2147483647)</x:f>
        <x:v>903713205</x:v>
      </x:c>
      <x:c r="BA694" s="9" t="n">
        <x:f>MOD(AZ694*16807,2147483647)</x:f>
        <x:v>1703484851</x:v>
      </x:c>
      <x:c r="BB694" s="17" t="n">
        <x:f>IF('Control Room'!$B$5="Normal",'Control Room'!$B$7+'Control Room'!$D$7*SQRT(-2*LN(MAX(0.000000000001,AZ694/2147483647)))*COS(2*PI()*BA694/2147483647),'Control Room'!$B$8+('Control Room'!$D$8-'Control Room'!$B$8)*AZ694/2147483647)</x:f>
        <x:v>1031.7818183742845</x:v>
      </x:c>
      <x:c r="BC694" s="17" t="n">
        <x:f>IF('Control Room'!$B$5="Normal",'Control Room'!$B$7,('Control Room'!$B$8+'Control Room'!$D$8)/2)+'Control Room'!$B$9*(BC693-IF('Control Room'!$B$5="Normal",'Control Room'!$B$7,('Control Room'!$B$8+'Control Room'!$D$8)/2))+SQRT(1-'Control Room'!$B$9^2)*(BB694-IF('Control Room'!$B$5="Normal",'Control Room'!$B$7,('Control Room'!$B$8+'Control Room'!$D$8)/2))</x:f>
        <x:v>1012.438833174902</x:v>
      </x:c>
      <x:c r="BD694" s="17" t="n">
        <x:f>IF(AND($A694&gt;='Control Room'!$A$13,$A694&lt;'Control Room'!$A$13+'Control Room'!$B$13,'Process'!BU2=1),1+('Control Room'!$C$13-1)*EXP(-0.5*(($A694-'Control Room'!$A$13-('Control Room'!$B$13-1)/2)/MAX(0.5,'Control Room'!$B$13/4))^2),1)*IF(AND($A694&gt;='Control Room'!$A$14,$A694&lt;'Control Room'!$A$14+'Control Room'!$B$14,'Process'!BU3=1),1+('Control Room'!$C$14-1)*EXP(-0.5*(($A694-'Control Room'!$A$14-('Control Room'!$B$14-1)/2)/MAX(0.5,'Control Room'!$B$14/4))^2),1)*IF(AND($A694&gt;='Control Room'!$A$15,$A694&lt;'Control Room'!$A$15+'Control Room'!$B$15,'Process'!BU4=1),1+('Control Room'!$C$15-1)*EXP(-0.5*(($A694-'Control Room'!$A$15-('Control Room'!$B$15-1)/2)/MAX(0.5,'Control Room'!$B$15/4))^2),1)*IF(AND($A694&gt;='Control Room'!$A$16,$A694&lt;'Control Room'!$A$16+'Control Room'!$B$16,'Process'!BU5=1),1+('Control Room'!$C$16-1)*EXP(-0.5*(($A694-'Control Room'!$A$16-('Control Room'!$B$16-1)/2)/MAX(0.5,'Control Room'!$B$16/4))^2),1)</x:f>
        <x:v>1</x:v>
      </x:c>
      <x:c r="BE694" s="9" t="n">
        <x:f>MOD(BF693*16807,2147483647)</x:f>
        <x:v>1594695663</x:v>
      </x:c>
      <x:c r="BF694" s="9" t="n">
        <x:f>MOD(BE694*16807,2147483647)</x:f>
        <x:v>1454093481</x:v>
      </x:c>
      <x:c r="BG694" s="17" t="n">
        <x:f>IF('Control Room'!$B$5="Normal",'Control Room'!$B$7+'Control Room'!$D$7*SQRT(-2*LN(MAX(0.000000000001,BE694/2147483647)))*COS(2*PI()*BF694/2147483647),'Control Room'!$B$8+('Control Room'!$D$8-'Control Room'!$B$8)*BE694/2147483647)</x:f>
        <x:v>969.3016942753442</x:v>
      </x:c>
      <x:c r="BH694" s="17" t="n">
        <x:f>IF('Control Room'!$B$5="Normal",'Control Room'!$B$7,('Control Room'!$B$8+'Control Room'!$D$8)/2)+'Control Room'!$B$9*(BH693-IF('Control Room'!$B$5="Normal",'Control Room'!$B$7,('Control Room'!$B$8+'Control Room'!$D$8)/2))+SQRT(1-'Control Room'!$B$9^2)*(BG694-IF('Control Room'!$B$5="Normal",'Control Room'!$B$7,('Control Room'!$B$8+'Control Room'!$D$8)/2))</x:f>
        <x:v>955.1270570396848</x:v>
      </x:c>
      <x:c r="BI694" s="17" t="n">
        <x:f>IF(AND($A694&gt;='Control Room'!$A$13,$A694&lt;'Control Room'!$A$13+'Control Room'!$B$13,'Process'!BV2=1),1+('Control Room'!$C$13-1)*EXP(-0.5*(($A694-'Control Room'!$A$13-('Control Room'!$B$13-1)/2)/MAX(0.5,'Control Room'!$B$13/4))^2),1)*IF(AND($A694&gt;='Control Room'!$A$14,$A694&lt;'Control Room'!$A$14+'Control Room'!$B$14,'Process'!BV3=1),1+('Control Room'!$C$14-1)*EXP(-0.5*(($A694-'Control Room'!$A$14-('Control Room'!$B$14-1)/2)/MAX(0.5,'Control Room'!$B$14/4))^2),1)*IF(AND($A694&gt;='Control Room'!$A$15,$A694&lt;'Control Room'!$A$15+'Control Room'!$B$15,'Process'!BV4=1),1+('Control Room'!$C$15-1)*EXP(-0.5*(($A694-'Control Room'!$A$15-('Control Room'!$B$15-1)/2)/MAX(0.5,'Control Room'!$B$15/4))^2),1)*IF(AND($A694&gt;='Control Room'!$A$16,$A694&lt;'Control Room'!$A$16+'Control Room'!$B$16,'Process'!BV5=1),1+('Control Room'!$C$16-1)*EXP(-0.5*(($A694-'Control Room'!$A$16-('Control Room'!$B$16-1)/2)/MAX(0.5,'Control Room'!$B$16/4))^2),1)</x:f>
        <x:v>1</x:v>
      </x:c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Z694" t="str">
        <x:f>IF('Data'!A694="","",TEXT('Data'!A694,"mm-dd"))</x:f>
      </x:c>
    </x:row>
    <x:row r="695" ht="21" customHeight="1">
      <x:c r="A695" s="15" t="n">
        <x:f>'Control Room'!$B$1+693</x:f>
        <x:v>73684</x:v>
      </x:c>
      <x:c r="B695" s="9" t="n">
        <x:f>MOD(C694*16807,2147483647)</x:f>
        <x:v>839642707</x:v>
      </x:c>
      <x:c r="C695" s="9" t="n">
        <x:f>MOD(B695*16807,2147483647)</x:f>
        <x:v>759932112</x:v>
      </x:c>
      <x:c r="D695" s="17" t="n">
        <x:f>IF('Control Room'!$B$5="Normal",'Control Room'!$B$7+'Control Room'!$D$7*SQRT(-2*LN(MAX(0.000000000001,B695/2147483647)))*COS(2*PI()*C695/2147483647),'Control Room'!$B$8+('Control Room'!$D$8-'Control Room'!$B$8)*B695/2147483647)</x:f>
        <x:v>925.0966367551487</x:v>
      </x:c>
      <x:c r="E695" s="17" t="n">
        <x:f>IF('Control Room'!$B$5="Normal",'Control Room'!$B$7,('Control Room'!$B$8+'Control Room'!$D$8)/2)+'Control Room'!$B$9*(E694-IF('Control Room'!$B$5="Normal",'Control Room'!$B$7,('Control Room'!$B$8+'Control Room'!$D$8)/2))+SQRT(1-'Control Room'!$B$9^2)*(D695-IF('Control Room'!$B$5="Normal",'Control Room'!$B$7,('Control Room'!$B$8+'Control Room'!$D$8)/2))</x:f>
        <x:v>1005.2772182366413</x:v>
      </x:c>
      <x:c r="F695" s="17" t="n">
        <x:f>IF(AND($A695&gt;='Control Room'!$A$13,$A695&lt;'Control Room'!$A$13+'Control Room'!$B$13,'Process'!BK2=1),1+('Control Room'!$C$13-1)*EXP(-0.5*(($A695-'Control Room'!$A$13-('Control Room'!$B$13-1)/2)/MAX(0.5,'Control Room'!$B$13/4))^2),1)*IF(AND($A695&gt;='Control Room'!$A$14,$A695&lt;'Control Room'!$A$14+'Control Room'!$B$14,'Process'!BK3=1),1+('Control Room'!$C$14-1)*EXP(-0.5*(($A695-'Control Room'!$A$14-('Control Room'!$B$14-1)/2)/MAX(0.5,'Control Room'!$B$14/4))^2),1)*IF(AND($A695&gt;='Control Room'!$A$15,$A695&lt;'Control Room'!$A$15+'Control Room'!$B$15,'Process'!BK4=1),1+('Control Room'!$C$15-1)*EXP(-0.5*(($A695-'Control Room'!$A$15-('Control Room'!$B$15-1)/2)/MAX(0.5,'Control Room'!$B$15/4))^2),1)*IF(AND($A695&gt;='Control Room'!$A$16,$A695&lt;'Control Room'!$A$16+'Control Room'!$B$16,'Process'!BK5=1),1+('Control Room'!$C$16-1)*EXP(-0.5*(($A695-'Control Room'!$A$16-('Control Room'!$B$16-1)/2)/MAX(0.5,'Control Room'!$B$16/4))^2),1)</x:f>
        <x:v>1</x:v>
      </x:c>
      <x:c r="G695" s="9" t="n">
        <x:f>MOD(H694*16807,2147483647)</x:f>
        <x:v>1206966061</x:v>
      </x:c>
      <x:c r="H695" s="9" t="n">
        <x:f>MOD(G695*16807,2147483647)</x:f>
        <x:v>348057665</x:v>
      </x:c>
      <x:c r="I695" s="17" t="n">
        <x:f>IF('Control Room'!$B$5="Normal",'Control Room'!$B$7+'Control Room'!$D$7*SQRT(-2*LN(MAX(0.000000000001,G695/2147483647)))*COS(2*PI()*H695/2147483647),'Control Room'!$B$8+('Control Room'!$D$8-'Control Room'!$B$8)*G695/2147483647)</x:f>
        <x:v>1050.6993489341696</x:v>
      </x:c>
      <x:c r="J695" s="17" t="n">
        <x:f>IF('Control Room'!$B$5="Normal",'Control Room'!$B$7,('Control Room'!$B$8+'Control Room'!$D$8)/2)+'Control Room'!$B$9*(J694-IF('Control Room'!$B$5="Normal",'Control Room'!$B$7,('Control Room'!$B$8+'Control Room'!$D$8)/2))+SQRT(1-'Control Room'!$B$9^2)*(I695-IF('Control Room'!$B$5="Normal",'Control Room'!$B$7,('Control Room'!$B$8+'Control Room'!$D$8)/2))</x:f>
        <x:v>1079.8710806778772</x:v>
      </x:c>
      <x:c r="K695" s="17" t="n">
        <x:f>IF(AND($A695&gt;='Control Room'!$A$13,$A695&lt;'Control Room'!$A$13+'Control Room'!$B$13,'Process'!BL2=1),1+('Control Room'!$C$13-1)*EXP(-0.5*(($A695-'Control Room'!$A$13-('Control Room'!$B$13-1)/2)/MAX(0.5,'Control Room'!$B$13/4))^2),1)*IF(AND($A695&gt;='Control Room'!$A$14,$A695&lt;'Control Room'!$A$14+'Control Room'!$B$14,'Process'!BL3=1),1+('Control Room'!$C$14-1)*EXP(-0.5*(($A695-'Control Room'!$A$14-('Control Room'!$B$14-1)/2)/MAX(0.5,'Control Room'!$B$14/4))^2),1)*IF(AND($A695&gt;='Control Room'!$A$15,$A695&lt;'Control Room'!$A$15+'Control Room'!$B$15,'Process'!BL4=1),1+('Control Room'!$C$15-1)*EXP(-0.5*(($A695-'Control Room'!$A$15-('Control Room'!$B$15-1)/2)/MAX(0.5,'Control Room'!$B$15/4))^2),1)*IF(AND($A695&gt;='Control Room'!$A$16,$A695&lt;'Control Room'!$A$16+'Control Room'!$B$16,'Process'!BL5=1),1+('Control Room'!$C$16-1)*EXP(-0.5*(($A695-'Control Room'!$A$16-('Control Room'!$B$16-1)/2)/MAX(0.5,'Control Room'!$B$16/4))^2),1)</x:f>
        <x:v>1</x:v>
      </x:c>
      <x:c r="L695" s="9" t="n">
        <x:f>MOD(M694*16807,2147483647)</x:f>
        <x:v>1574289415</x:v>
      </x:c>
      <x:c r="M695" s="9" t="n">
        <x:f>MOD(L695*16807,2147483647)</x:f>
        <x:v>2083666865</x:v>
      </x:c>
      <x:c r="N695" s="17" t="n">
        <x:f>IF('Control Room'!$B$5="Normal",'Control Room'!$B$7+'Control Room'!$D$7*SQRT(-2*LN(MAX(0.000000000001,L695/2147483647)))*COS(2*PI()*M695/2147483647),'Control Room'!$B$8+('Control Room'!$D$8-'Control Room'!$B$8)*L695/2147483647)</x:f>
        <x:v>1069.6896603481507</x:v>
      </x:c>
      <x:c r="O695" s="17" t="n">
        <x:f>IF('Control Room'!$B$5="Normal",'Control Room'!$B$7,('Control Room'!$B$8+'Control Room'!$D$8)/2)+'Control Room'!$B$9*(O694-IF('Control Room'!$B$5="Normal",'Control Room'!$B$7,('Control Room'!$B$8+'Control Room'!$D$8)/2))+SQRT(1-'Control Room'!$B$9^2)*(N695-IF('Control Room'!$B$5="Normal",'Control Room'!$B$7,('Control Room'!$B$8+'Control Room'!$D$8)/2))</x:f>
        <x:v>1088.1024391253472</x:v>
      </x:c>
      <x:c r="P695" s="17" t="n">
        <x:f>IF(AND($A695&gt;='Control Room'!$A$13,$A695&lt;'Control Room'!$A$13+'Control Room'!$B$13,'Process'!BM2=1),1+('Control Room'!$C$13-1)*EXP(-0.5*(($A695-'Control Room'!$A$13-('Control Room'!$B$13-1)/2)/MAX(0.5,'Control Room'!$B$13/4))^2),1)*IF(AND($A695&gt;='Control Room'!$A$14,$A695&lt;'Control Room'!$A$14+'Control Room'!$B$14,'Process'!BM3=1),1+('Control Room'!$C$14-1)*EXP(-0.5*(($A695-'Control Room'!$A$14-('Control Room'!$B$14-1)/2)/MAX(0.5,'Control Room'!$B$14/4))^2),1)*IF(AND($A695&gt;='Control Room'!$A$15,$A695&lt;'Control Room'!$A$15+'Control Room'!$B$15,'Process'!BM4=1),1+('Control Room'!$C$15-1)*EXP(-0.5*(($A695-'Control Room'!$A$15-('Control Room'!$B$15-1)/2)/MAX(0.5,'Control Room'!$B$15/4))^2),1)*IF(AND($A695&gt;='Control Room'!$A$16,$A695&lt;'Control Room'!$A$16+'Control Room'!$B$16,'Process'!BM5=1),1+('Control Room'!$C$16-1)*EXP(-0.5*(($A695-'Control Room'!$A$16-('Control Room'!$B$16-1)/2)/MAX(0.5,'Control Room'!$B$16/4))^2),1)</x:f>
        <x:v>1</x:v>
      </x:c>
      <x:c r="Q695" s="9" t="n">
        <x:f>MOD(R694*16807,2147483647)</x:f>
        <x:v>1941612769</x:v>
      </x:c>
      <x:c r="R695" s="9" t="n">
        <x:f>MOD(Q695*16807,2147483647)</x:f>
        <x:v>1671792418</x:v>
      </x:c>
      <x:c r="S695" s="17" t="n">
        <x:f>IF('Control Room'!$B$5="Normal",'Control Room'!$B$7+'Control Room'!$D$7*SQRT(-2*LN(MAX(0.000000000001,Q695/2147483647)))*COS(2*PI()*R695/2147483647),'Control Room'!$B$8+('Control Room'!$D$8-'Control Room'!$B$8)*Q695/2147483647)</x:f>
        <x:v>1007.1940831470395</x:v>
      </x:c>
      <x:c r="T695" s="17" t="n">
        <x:f>IF('Control Room'!$B$5="Normal",'Control Room'!$B$7,('Control Room'!$B$8+'Control Room'!$D$8)/2)+'Control Room'!$B$9*(T694-IF('Control Room'!$B$5="Normal",'Control Room'!$B$7,('Control Room'!$B$8+'Control Room'!$D$8)/2))+SQRT(1-'Control Room'!$B$9^2)*(S695-IF('Control Room'!$B$5="Normal",'Control Room'!$B$7,('Control Room'!$B$8+'Control Room'!$D$8)/2))</x:f>
        <x:v>995.8900367054863</x:v>
      </x:c>
      <x:c r="U695" s="17" t="n">
        <x:f>IF(AND($A695&gt;='Control Room'!$A$13,$A695&lt;'Control Room'!$A$13+'Control Room'!$B$13,'Process'!BN2=1),1+('Control Room'!$C$13-1)*EXP(-0.5*(($A695-'Control Room'!$A$13-('Control Room'!$B$13-1)/2)/MAX(0.5,'Control Room'!$B$13/4))^2),1)*IF(AND($A695&gt;='Control Room'!$A$14,$A695&lt;'Control Room'!$A$14+'Control Room'!$B$14,'Process'!BN3=1),1+('Control Room'!$C$14-1)*EXP(-0.5*(($A695-'Control Room'!$A$14-('Control Room'!$B$14-1)/2)/MAX(0.5,'Control Room'!$B$14/4))^2),1)*IF(AND($A695&gt;='Control Room'!$A$15,$A695&lt;'Control Room'!$A$15+'Control Room'!$B$15,'Process'!BN4=1),1+('Control Room'!$C$15-1)*EXP(-0.5*(($A695-'Control Room'!$A$15-('Control Room'!$B$15-1)/2)/MAX(0.5,'Control Room'!$B$15/4))^2),1)*IF(AND($A695&gt;='Control Room'!$A$16,$A695&lt;'Control Room'!$A$16+'Control Room'!$B$16,'Process'!BN5=1),1+('Control Room'!$C$16-1)*EXP(-0.5*(($A695-'Control Room'!$A$16-('Control Room'!$B$16-1)/2)/MAX(0.5,'Control Room'!$B$16/4))^2),1)</x:f>
        <x:v>1</x:v>
      </x:c>
      <x:c r="V695" s="9" t="n">
        <x:f>MOD(W694*16807,2147483647)</x:f>
        <x:v>161452476</x:v>
      </x:c>
      <x:c r="W695" s="9" t="n">
        <x:f>MOD(V695*16807,2147483647)</x:f>
        <x:v>1259917971</x:v>
      </x:c>
      <x:c r="X695" s="17" t="n">
        <x:f>IF('Control Room'!$B$5="Normal",'Control Room'!$B$7+'Control Room'!$D$7*SQRT(-2*LN(MAX(0.000000000001,V695/2147483647)))*COS(2*PI()*W695/2147483647),'Control Room'!$B$8+('Control Room'!$D$8-'Control Room'!$B$8)*V695/2147483647)</x:f>
        <x:v>824.8820978716321</x:v>
      </x:c>
      <x:c r="Y695" s="17" t="n">
        <x:f>IF('Control Room'!$B$5="Normal",'Control Room'!$B$7,('Control Room'!$B$8+'Control Room'!$D$8)/2)+'Control Room'!$B$9*(Y694-IF('Control Room'!$B$5="Normal",'Control Room'!$B$7,('Control Room'!$B$8+'Control Room'!$D$8)/2))+SQRT(1-'Control Room'!$B$9^2)*(X695-IF('Control Room'!$B$5="Normal",'Control Room'!$B$7,('Control Room'!$B$8+'Control Room'!$D$8)/2))</x:f>
        <x:v>872.1135992099894</x:v>
      </x:c>
      <x:c r="Z695" s="17" t="n">
        <x:f>IF(AND($A695&gt;='Control Room'!$A$13,$A695&lt;'Control Room'!$A$13+'Control Room'!$B$13,'Process'!BO2=1),1+('Control Room'!$C$13-1)*EXP(-0.5*(($A695-'Control Room'!$A$13-('Control Room'!$B$13-1)/2)/MAX(0.5,'Control Room'!$B$13/4))^2),1)*IF(AND($A695&gt;='Control Room'!$A$14,$A695&lt;'Control Room'!$A$14+'Control Room'!$B$14,'Process'!BO3=1),1+('Control Room'!$C$14-1)*EXP(-0.5*(($A695-'Control Room'!$A$14-('Control Room'!$B$14-1)/2)/MAX(0.5,'Control Room'!$B$14/4))^2),1)*IF(AND($A695&gt;='Control Room'!$A$15,$A695&lt;'Control Room'!$A$15+'Control Room'!$B$15,'Process'!BO4=1),1+('Control Room'!$C$15-1)*EXP(-0.5*(($A695-'Control Room'!$A$15-('Control Room'!$B$15-1)/2)/MAX(0.5,'Control Room'!$B$15/4))^2),1)*IF(AND($A695&gt;='Control Room'!$A$16,$A695&lt;'Control Room'!$A$16+'Control Room'!$B$16,'Process'!BO5=1),1+('Control Room'!$C$16-1)*EXP(-0.5*(($A695-'Control Room'!$A$16-('Control Room'!$B$16-1)/2)/MAX(0.5,'Control Room'!$B$16/4))^2),1)</x:f>
        <x:v>1</x:v>
      </x:c>
      <x:c r="AA695" s="9" t="n">
        <x:f>MOD(AB694*16807,2147483647)</x:f>
        <x:v>528775830</x:v>
      </x:c>
      <x:c r="AB695" s="9" t="n">
        <x:f>MOD(AA695*16807,2147483647)</x:f>
        <x:v>848043524</x:v>
      </x:c>
      <x:c r="AC695" s="17" t="n">
        <x:f>IF('Control Room'!$B$5="Normal",'Control Room'!$B$7+'Control Room'!$D$7*SQRT(-2*LN(MAX(0.000000000001,AA695/2147483647)))*COS(2*PI()*AB695/2147483647),'Control Room'!$B$8+('Control Room'!$D$8-'Control Room'!$B$8)*AA695/2147483647)</x:f>
        <x:v>880.9978477420723</x:v>
      </x:c>
      <x:c r="AD695" s="17" t="n">
        <x:f>IF('Control Room'!$B$5="Normal",'Control Room'!$B$7,('Control Room'!$B$8+'Control Room'!$D$8)/2)+'Control Room'!$B$9*(AD694-IF('Control Room'!$B$5="Normal",'Control Room'!$B$7,('Control Room'!$B$8+'Control Room'!$D$8)/2))+SQRT(1-'Control Room'!$B$9^2)*(AC695-IF('Control Room'!$B$5="Normal",'Control Room'!$B$7,('Control Room'!$B$8+'Control Room'!$D$8)/2))</x:f>
        <x:v>921.54089719743</x:v>
      </x:c>
      <x:c r="AE695" s="17" t="n">
        <x:f>IF(AND($A695&gt;='Control Room'!$A$13,$A695&lt;'Control Room'!$A$13+'Control Room'!$B$13,'Process'!BP2=1),1+('Control Room'!$C$13-1)*EXP(-0.5*(($A695-'Control Room'!$A$13-('Control Room'!$B$13-1)/2)/MAX(0.5,'Control Room'!$B$13/4))^2),1)*IF(AND($A695&gt;='Control Room'!$A$14,$A695&lt;'Control Room'!$A$14+'Control Room'!$B$14,'Process'!BP3=1),1+('Control Room'!$C$14-1)*EXP(-0.5*(($A695-'Control Room'!$A$14-('Control Room'!$B$14-1)/2)/MAX(0.5,'Control Room'!$B$14/4))^2),1)*IF(AND($A695&gt;='Control Room'!$A$15,$A695&lt;'Control Room'!$A$15+'Control Room'!$B$15,'Process'!BP4=1),1+('Control Room'!$C$15-1)*EXP(-0.5*(($A695-'Control Room'!$A$15-('Control Room'!$B$15-1)/2)/MAX(0.5,'Control Room'!$B$15/4))^2),1)*IF(AND($A695&gt;='Control Room'!$A$16,$A695&lt;'Control Room'!$A$16+'Control Room'!$B$16,'Process'!BP5=1),1+('Control Room'!$C$16-1)*EXP(-0.5*(($A695-'Control Room'!$A$16-('Control Room'!$B$16-1)/2)/MAX(0.5,'Control Room'!$B$16/4))^2),1)</x:f>
        <x:v>1</x:v>
      </x:c>
      <x:c r="AF695" s="9" t="n">
        <x:f>MOD(AG694*16807,2147483647)</x:f>
        <x:v>896099184</x:v>
      </x:c>
      <x:c r="AG695" s="9" t="n">
        <x:f>MOD(AF695*16807,2147483647)</x:f>
        <x:v>436169077</x:v>
      </x:c>
      <x:c r="AH695" s="17" t="n">
        <x:f>IF('Control Room'!$B$5="Normal",'Control Room'!$B$7+'Control Room'!$D$7*SQRT(-2*LN(MAX(0.000000000001,AF695/2147483647)))*COS(2*PI()*AG695/2147483647),'Control Room'!$B$8+('Control Room'!$D$8-'Control Room'!$B$8)*AF695/2147483647)</x:f>
        <x:v>1034.5540509060852</x:v>
      </x:c>
      <x:c r="AI695" s="17" t="n">
        <x:f>IF('Control Room'!$B$5="Normal",'Control Room'!$B$7,('Control Room'!$B$8+'Control Room'!$D$8)/2)+'Control Room'!$B$9*(AI694-IF('Control Room'!$B$5="Normal",'Control Room'!$B$7,('Control Room'!$B$8+'Control Room'!$D$8)/2))+SQRT(1-'Control Room'!$B$9^2)*(AH695-IF('Control Room'!$B$5="Normal",'Control Room'!$B$7,('Control Room'!$B$8+'Control Room'!$D$8)/2))</x:f>
        <x:v>1085.573759941904</x:v>
      </x:c>
      <x:c r="AJ695" s="17" t="n">
        <x:f>IF(AND($A695&gt;='Control Room'!$A$13,$A695&lt;'Control Room'!$A$13+'Control Room'!$B$13,'Process'!BQ2=1),1+('Control Room'!$C$13-1)*EXP(-0.5*(($A695-'Control Room'!$A$13-('Control Room'!$B$13-1)/2)/MAX(0.5,'Control Room'!$B$13/4))^2),1)*IF(AND($A695&gt;='Control Room'!$A$14,$A695&lt;'Control Room'!$A$14+'Control Room'!$B$14,'Process'!BQ3=1),1+('Control Room'!$C$14-1)*EXP(-0.5*(($A695-'Control Room'!$A$14-('Control Room'!$B$14-1)/2)/MAX(0.5,'Control Room'!$B$14/4))^2),1)*IF(AND($A695&gt;='Control Room'!$A$15,$A695&lt;'Control Room'!$A$15+'Control Room'!$B$15,'Process'!BQ4=1),1+('Control Room'!$C$15-1)*EXP(-0.5*(($A695-'Control Room'!$A$15-('Control Room'!$B$15-1)/2)/MAX(0.5,'Control Room'!$B$15/4))^2),1)*IF(AND($A695&gt;='Control Room'!$A$16,$A695&lt;'Control Room'!$A$16+'Control Room'!$B$16,'Process'!BQ5=1),1+('Control Room'!$C$16-1)*EXP(-0.5*(($A695-'Control Room'!$A$16-('Control Room'!$B$16-1)/2)/MAX(0.5,'Control Room'!$B$16/4))^2),1)</x:f>
        <x:v>1</x:v>
      </x:c>
      <x:c r="AK695" s="9" t="n">
        <x:f>MOD(AL694*16807,2147483647)</x:f>
        <x:v>1263422538</x:v>
      </x:c>
      <x:c r="AL695" s="9" t="n">
        <x:f>MOD(AK695*16807,2147483647)</x:f>
        <x:v>24294630</x:v>
      </x:c>
      <x:c r="AM695" s="17" t="n">
        <x:f>IF('Control Room'!$B$5="Normal",'Control Room'!$B$7+'Control Room'!$D$7*SQRT(-2*LN(MAX(0.000000000001,AK695/2147483647)))*COS(2*PI()*AL695/2147483647),'Control Room'!$B$8+('Control Room'!$D$8-'Control Room'!$B$8)*AK695/2147483647)</x:f>
        <x:v>1092.4678617136153</x:v>
      </x:c>
      <x:c r="AN695" s="17" t="n">
        <x:f>IF('Control Room'!$B$5="Normal",'Control Room'!$B$7,('Control Room'!$B$8+'Control Room'!$D$8)/2)+'Control Room'!$B$9*(AN694-IF('Control Room'!$B$5="Normal",'Control Room'!$B$7,('Control Room'!$B$8+'Control Room'!$D$8)/2))+SQRT(1-'Control Room'!$B$9^2)*(AM695-IF('Control Room'!$B$5="Normal",'Control Room'!$B$7,('Control Room'!$B$8+'Control Room'!$D$8)/2))</x:f>
        <x:v>1109.5370907053318</x:v>
      </x:c>
      <x:c r="AO695" s="17" t="n">
        <x:f>IF(AND($A695&gt;='Control Room'!$A$13,$A695&lt;'Control Room'!$A$13+'Control Room'!$B$13,'Process'!BR2=1),1+('Control Room'!$C$13-1)*EXP(-0.5*(($A695-'Control Room'!$A$13-('Control Room'!$B$13-1)/2)/MAX(0.5,'Control Room'!$B$13/4))^2),1)*IF(AND($A695&gt;='Control Room'!$A$14,$A695&lt;'Control Room'!$A$14+'Control Room'!$B$14,'Process'!BR3=1),1+('Control Room'!$C$14-1)*EXP(-0.5*(($A695-'Control Room'!$A$14-('Control Room'!$B$14-1)/2)/MAX(0.5,'Control Room'!$B$14/4))^2),1)*IF(AND($A695&gt;='Control Room'!$A$15,$A695&lt;'Control Room'!$A$15+'Control Room'!$B$15,'Process'!BR4=1),1+('Control Room'!$C$15-1)*EXP(-0.5*(($A695-'Control Room'!$A$15-('Control Room'!$B$15-1)/2)/MAX(0.5,'Control Room'!$B$15/4))^2),1)*IF(AND($A695&gt;='Control Room'!$A$16,$A695&lt;'Control Room'!$A$16+'Control Room'!$B$16,'Process'!BR5=1),1+('Control Room'!$C$16-1)*EXP(-0.5*(($A695-'Control Room'!$A$16-('Control Room'!$B$16-1)/2)/MAX(0.5,'Control Room'!$B$16/4))^2),1)</x:f>
        <x:v>1</x:v>
      </x:c>
      <x:c r="AP695" s="9" t="n">
        <x:f>MOD(AQ694*16807,2147483647)</x:f>
        <x:v>1630745892</x:v>
      </x:c>
      <x:c r="AQ695" s="9" t="n">
        <x:f>MOD(AP695*16807,2147483647)</x:f>
        <x:v>1759903830</x:v>
      </x:c>
      <x:c r="AR695" s="17" t="n">
        <x:f>IF('Control Room'!$B$5="Normal",'Control Room'!$B$7+'Control Room'!$D$7*SQRT(-2*LN(MAX(0.000000000001,AP695/2147483647)))*COS(2*PI()*AQ695/2147483647),'Control Room'!$B$8+('Control Room'!$D$8-'Control Room'!$B$8)*AP695/2147483647)</x:f>
        <x:v>1028.2496604975868</x:v>
      </x:c>
      <x:c r="AS695" s="17" t="n">
        <x:f>IF('Control Room'!$B$5="Normal",'Control Room'!$B$7,('Control Room'!$B$8+'Control Room'!$D$8)/2)+'Control Room'!$B$9*(AS694-IF('Control Room'!$B$5="Normal",'Control Room'!$B$7,('Control Room'!$B$8+'Control Room'!$D$8)/2))+SQRT(1-'Control Room'!$B$9^2)*(AR695-IF('Control Room'!$B$5="Normal",'Control Room'!$B$7,('Control Room'!$B$8+'Control Room'!$D$8)/2))</x:f>
        <x:v>1068.1787614924779</x:v>
      </x:c>
      <x:c r="AT695" s="17" t="n">
        <x:f>IF(AND($A695&gt;='Control Room'!$A$13,$A695&lt;'Control Room'!$A$13+'Control Room'!$B$13,'Process'!BS2=1),1+('Control Room'!$C$13-1)*EXP(-0.5*(($A695-'Control Room'!$A$13-('Control Room'!$B$13-1)/2)/MAX(0.5,'Control Room'!$B$13/4))^2),1)*IF(AND($A695&gt;='Control Room'!$A$14,$A695&lt;'Control Room'!$A$14+'Control Room'!$B$14,'Process'!BS3=1),1+('Control Room'!$C$14-1)*EXP(-0.5*(($A695-'Control Room'!$A$14-('Control Room'!$B$14-1)/2)/MAX(0.5,'Control Room'!$B$14/4))^2),1)*IF(AND($A695&gt;='Control Room'!$A$15,$A695&lt;'Control Room'!$A$15+'Control Room'!$B$15,'Process'!BS4=1),1+('Control Room'!$C$15-1)*EXP(-0.5*(($A695-'Control Room'!$A$15-('Control Room'!$B$15-1)/2)/MAX(0.5,'Control Room'!$B$15/4))^2),1)*IF(AND($A695&gt;='Control Room'!$A$16,$A695&lt;'Control Room'!$A$16+'Control Room'!$B$16,'Process'!BS5=1),1+('Control Room'!$C$16-1)*EXP(-0.5*(($A695-'Control Room'!$A$16-('Control Room'!$B$16-1)/2)/MAX(0.5,'Control Room'!$B$16/4))^2),1)</x:f>
        <x:v>1</x:v>
      </x:c>
      <x:c r="AU695" s="9" t="n">
        <x:f>MOD(AV694*16807,2147483647)</x:f>
        <x:v>1998069246</x:v>
      </x:c>
      <x:c r="AV695" s="9" t="n">
        <x:f>MOD(AU695*16807,2147483647)</x:f>
        <x:v>1348029383</x:v>
      </x:c>
      <x:c r="AW695" s="17" t="n">
        <x:f>IF('Control Room'!$B$5="Normal",'Control Room'!$B$7+'Control Room'!$D$7*SQRT(-2*LN(MAX(0.000000000001,AU695/2147483647)))*COS(2*PI()*AV695/2147483647),'Control Room'!$B$8+('Control Room'!$D$8-'Control Room'!$B$8)*AU695/2147483647)</x:f>
        <x:v>976.2484659359682</x:v>
      </x:c>
      <x:c r="AX695" s="17" t="n">
        <x:f>IF('Control Room'!$B$5="Normal",'Control Room'!$B$7,('Control Room'!$B$8+'Control Room'!$D$8)/2)+'Control Room'!$B$9*(AX694-IF('Control Room'!$B$5="Normal",'Control Room'!$B$7,('Control Room'!$B$8+'Control Room'!$D$8)/2))+SQRT(1-'Control Room'!$B$9^2)*(AW695-IF('Control Room'!$B$5="Normal",'Control Room'!$B$7,('Control Room'!$B$8+'Control Room'!$D$8)/2))</x:f>
        <x:v>1083.5297292186453</x:v>
      </x:c>
      <x:c r="AY695" s="17" t="n">
        <x:f>IF(AND($A695&gt;='Control Room'!$A$13,$A695&lt;'Control Room'!$A$13+'Control Room'!$B$13,'Process'!BT2=1),1+('Control Room'!$C$13-1)*EXP(-0.5*(($A695-'Control Room'!$A$13-('Control Room'!$B$13-1)/2)/MAX(0.5,'Control Room'!$B$13/4))^2),1)*IF(AND($A695&gt;='Control Room'!$A$14,$A695&lt;'Control Room'!$A$14+'Control Room'!$B$14,'Process'!BT3=1),1+('Control Room'!$C$14-1)*EXP(-0.5*(($A695-'Control Room'!$A$14-('Control Room'!$B$14-1)/2)/MAX(0.5,'Control Room'!$B$14/4))^2),1)*IF(AND($A695&gt;='Control Room'!$A$15,$A695&lt;'Control Room'!$A$15+'Control Room'!$B$15,'Process'!BT4=1),1+('Control Room'!$C$15-1)*EXP(-0.5*(($A695-'Control Room'!$A$15-('Control Room'!$B$15-1)/2)/MAX(0.5,'Control Room'!$B$15/4))^2),1)*IF(AND($A695&gt;='Control Room'!$A$16,$A695&lt;'Control Room'!$A$16+'Control Room'!$B$16,'Process'!BT5=1),1+('Control Room'!$C$16-1)*EXP(-0.5*(($A695-'Control Room'!$A$16-('Control Room'!$B$16-1)/2)/MAX(0.5,'Control Room'!$B$16/4))^2),1)</x:f>
        <x:v>1</x:v>
      </x:c>
      <x:c r="AZ695" s="9" t="n">
        <x:f>MOD(BA694*16807,2147483647)</x:f>
        <x:v>217908953</x:v>
      </x:c>
      <x:c r="BA695" s="9" t="n">
        <x:f>MOD(AZ695*16807,2147483647)</x:f>
        <x:v>936154936</x:v>
      </x:c>
      <x:c r="BB695" s="17" t="n">
        <x:f>IF('Control Room'!$B$5="Normal",'Control Room'!$B$7+'Control Room'!$D$7*SQRT(-2*LN(MAX(0.000000000001,AZ695/2147483647)))*COS(2*PI()*BA695/2147483647),'Control Room'!$B$8+('Control Room'!$D$8-'Control Room'!$B$8)*AZ695/2147483647)</x:f>
        <x:v>822.8666312046089</x:v>
      </x:c>
      <x:c r="BC695" s="17" t="n">
        <x:f>IF('Control Room'!$B$5="Normal",'Control Room'!$B$7,('Control Room'!$B$8+'Control Room'!$D$8)/2)+'Control Room'!$B$9*(BC694-IF('Control Room'!$B$5="Normal",'Control Room'!$B$7,('Control Room'!$B$8+'Control Room'!$D$8)/2))+SQRT(1-'Control Room'!$B$9^2)*(BB695-IF('Control Room'!$B$5="Normal",'Control Room'!$B$7,('Control Room'!$B$8+'Control Room'!$D$8)/2))</x:f>
        <x:v>898.8558564585691</x:v>
      </x:c>
      <x:c r="BD695" s="17" t="n">
        <x:f>IF(AND($A695&gt;='Control Room'!$A$13,$A695&lt;'Control Room'!$A$13+'Control Room'!$B$13,'Process'!BU2=1),1+('Control Room'!$C$13-1)*EXP(-0.5*(($A695-'Control Room'!$A$13-('Control Room'!$B$13-1)/2)/MAX(0.5,'Control Room'!$B$13/4))^2),1)*IF(AND($A695&gt;='Control Room'!$A$14,$A695&lt;'Control Room'!$A$14+'Control Room'!$B$14,'Process'!BU3=1),1+('Control Room'!$C$14-1)*EXP(-0.5*(($A695-'Control Room'!$A$14-('Control Room'!$B$14-1)/2)/MAX(0.5,'Control Room'!$B$14/4))^2),1)*IF(AND($A695&gt;='Control Room'!$A$15,$A695&lt;'Control Room'!$A$15+'Control Room'!$B$15,'Process'!BU4=1),1+('Control Room'!$C$15-1)*EXP(-0.5*(($A695-'Control Room'!$A$15-('Control Room'!$B$15-1)/2)/MAX(0.5,'Control Room'!$B$15/4))^2),1)*IF(AND($A695&gt;='Control Room'!$A$16,$A695&lt;'Control Room'!$A$16+'Control Room'!$B$16,'Process'!BU5=1),1+('Control Room'!$C$16-1)*EXP(-0.5*(($A695-'Control Room'!$A$16-('Control Room'!$B$16-1)/2)/MAX(0.5,'Control Room'!$B$16/4))^2),1)</x:f>
        <x:v>1</x:v>
      </x:c>
      <x:c r="BE695" s="9" t="n">
        <x:f>MOD(BF694*16807,2147483647)</x:f>
        <x:v>585232307</x:v>
      </x:c>
      <x:c r="BF695" s="9" t="n">
        <x:f>MOD(BE695*16807,2147483647)</x:f>
        <x:v>524280489</x:v>
      </x:c>
      <x:c r="BG695" s="17" t="n">
        <x:f>IF('Control Room'!$B$5="Normal",'Control Room'!$B$7+'Control Room'!$D$7*SQRT(-2*LN(MAX(0.000000000001,BE695/2147483647)))*COS(2*PI()*BF695/2147483647),'Control Room'!$B$8+('Control Room'!$D$8-'Control Room'!$B$8)*BE695/2147483647)</x:f>
        <x:v>1005.3447633593266</x:v>
      </x:c>
      <x:c r="BH695" s="17" t="n">
        <x:f>IF('Control Room'!$B$5="Normal",'Control Room'!$B$7,('Control Room'!$B$8+'Control Room'!$D$8)/2)+'Control Room'!$B$9*(BH694-IF('Control Room'!$B$5="Normal",'Control Room'!$B$7,('Control Room'!$B$8+'Control Room'!$D$8)/2))+SQRT(1-'Control Room'!$B$9^2)*(BG695-IF('Control Room'!$B$5="Normal",'Control Room'!$B$7,('Control Room'!$B$8+'Control Room'!$D$8)/2))</x:f>
        <x:v>968.3437479077918</x:v>
      </x:c>
      <x:c r="BI695" s="17" t="n">
        <x:f>IF(AND($A695&gt;='Control Room'!$A$13,$A695&lt;'Control Room'!$A$13+'Control Room'!$B$13,'Process'!BV2=1),1+('Control Room'!$C$13-1)*EXP(-0.5*(($A695-'Control Room'!$A$13-('Control Room'!$B$13-1)/2)/MAX(0.5,'Control Room'!$B$13/4))^2),1)*IF(AND($A695&gt;='Control Room'!$A$14,$A695&lt;'Control Room'!$A$14+'Control Room'!$B$14,'Process'!BV3=1),1+('Control Room'!$C$14-1)*EXP(-0.5*(($A695-'Control Room'!$A$14-('Control Room'!$B$14-1)/2)/MAX(0.5,'Control Room'!$B$14/4))^2),1)*IF(AND($A695&gt;='Control Room'!$A$15,$A695&lt;'Control Room'!$A$15+'Control Room'!$B$15,'Process'!BV4=1),1+('Control Room'!$C$15-1)*EXP(-0.5*(($A695-'Control Room'!$A$15-('Control Room'!$B$15-1)/2)/MAX(0.5,'Control Room'!$B$15/4))^2),1)*IF(AND($A695&gt;='Control Room'!$A$16,$A695&lt;'Control Room'!$A$16+'Control Room'!$B$16,'Process'!BV5=1),1+('Control Room'!$C$16-1)*EXP(-0.5*(($A695-'Control Room'!$A$16-('Control Room'!$B$16-1)/2)/MAX(0.5,'Control Room'!$B$16/4))^2),1)</x:f>
        <x:v>1</x:v>
      </x:c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Z695" t="str">
        <x:f>IF('Data'!A695="","",TEXT('Data'!A695,"mm-dd"))</x:f>
      </x:c>
    </x:row>
    <x:row r="696" ht="21" customHeight="1">
      <x:c r="A696" s="15" t="n">
        <x:f>'Control Room'!$B$1+694</x:f>
        <x:v>73685</x:v>
      </x:c>
      <x:c r="B696" s="9" t="n">
        <x:f>MOD(C695*16807,2147483647)</x:f>
        <x:v>1093757675</x:v>
      </x:c>
      <x:c r="C696" s="9" t="n">
        <x:f>MOD(B696*16807,2147483647)</x:f>
        <x:v>325225405</x:v>
      </x:c>
      <x:c r="D696" s="17" t="n">
        <x:f>IF('Control Room'!$B$5="Normal",'Control Room'!$B$7+'Control Room'!$D$7*SQRT(-2*LN(MAX(0.000000000001,B696/2147483647)))*COS(2*PI()*C696/2147483647),'Control Room'!$B$8+('Control Room'!$D$8-'Control Room'!$B$8)*B696/2147483647)</x:f>
        <x:v>1060.6799764516823</x:v>
      </x:c>
      <x:c r="E696" s="17" t="n">
        <x:f>IF('Control Room'!$B$5="Normal",'Control Room'!$B$7,('Control Room'!$B$8+'Control Room'!$D$8)/2)+'Control Room'!$B$9*(E695-IF('Control Room'!$B$5="Normal",'Control Room'!$B$7,('Control Room'!$B$8+'Control Room'!$D$8)/2))+SQRT(1-'Control Room'!$B$9^2)*(D696-IF('Control Room'!$B$5="Normal",'Control Room'!$B$7,('Control Room'!$B$8+'Control Room'!$D$8)/2))</x:f>
        <x:v>1042.0885163911569</x:v>
      </x:c>
      <x:c r="F696" s="17" t="n">
        <x:f>IF(AND($A696&gt;='Control Room'!$A$13,$A696&lt;'Control Room'!$A$13+'Control Room'!$B$13,'Process'!BK2=1),1+('Control Room'!$C$13-1)*EXP(-0.5*(($A696-'Control Room'!$A$13-('Control Room'!$B$13-1)/2)/MAX(0.5,'Control Room'!$B$13/4))^2),1)*IF(AND($A696&gt;='Control Room'!$A$14,$A696&lt;'Control Room'!$A$14+'Control Room'!$B$14,'Process'!BK3=1),1+('Control Room'!$C$14-1)*EXP(-0.5*(($A696-'Control Room'!$A$14-('Control Room'!$B$14-1)/2)/MAX(0.5,'Control Room'!$B$14/4))^2),1)*IF(AND($A696&gt;='Control Room'!$A$15,$A696&lt;'Control Room'!$A$15+'Control Room'!$B$15,'Process'!BK4=1),1+('Control Room'!$C$15-1)*EXP(-0.5*(($A696-'Control Room'!$A$15-('Control Room'!$B$15-1)/2)/MAX(0.5,'Control Room'!$B$15/4))^2),1)*IF(AND($A696&gt;='Control Room'!$A$16,$A696&lt;'Control Room'!$A$16+'Control Room'!$B$16,'Process'!BK5=1),1+('Control Room'!$C$16-1)*EXP(-0.5*(($A696-'Control Room'!$A$16-('Control Room'!$B$16-1)/2)/MAX(0.5,'Control Room'!$B$16/4))^2),1)</x:f>
        <x:v>1</x:v>
      </x:c>
      <x:c r="G696" s="9" t="n">
        <x:f>MOD(H695*16807,2147483647)</x:f>
        <x:v>59721227</x:v>
      </x:c>
      <x:c r="H696" s="9" t="n">
        <x:f>MOD(G696*16807,2147483647)</x:f>
        <x:v>859799040</x:v>
      </x:c>
      <x:c r="I696" s="17" t="n">
        <x:f>IF('Control Room'!$B$5="Normal",'Control Room'!$B$7+'Control Room'!$D$7*SQRT(-2*LN(MAX(0.000000000001,G696/2147483647)))*COS(2*PI()*H696/2147483647),'Control Room'!$B$8+('Control Room'!$D$8-'Control Room'!$B$8)*G696/2147483647)</x:f>
        <x:v>804.7720876816775</x:v>
      </x:c>
      <x:c r="J696" s="17" t="n">
        <x:f>IF('Control Room'!$B$5="Normal",'Control Room'!$B$7,('Control Room'!$B$8+'Control Room'!$D$8)/2)+'Control Room'!$B$9*(J695-IF('Control Room'!$B$5="Normal",'Control Room'!$B$7,('Control Room'!$B$8+'Control Room'!$D$8)/2))+SQRT(1-'Control Room'!$B$9^2)*(I696-IF('Control Room'!$B$5="Normal",'Control Room'!$B$7,('Control Room'!$B$8+'Control Room'!$D$8)/2))</x:f>
        <x:v>940.1298148611119</x:v>
      </x:c>
      <x:c r="K696" s="17" t="n">
        <x:f>IF(AND($A696&gt;='Control Room'!$A$13,$A696&lt;'Control Room'!$A$13+'Control Room'!$B$13,'Process'!BL2=1),1+('Control Room'!$C$13-1)*EXP(-0.5*(($A696-'Control Room'!$A$13-('Control Room'!$B$13-1)/2)/MAX(0.5,'Control Room'!$B$13/4))^2),1)*IF(AND($A696&gt;='Control Room'!$A$14,$A696&lt;'Control Room'!$A$14+'Control Room'!$B$14,'Process'!BL3=1),1+('Control Room'!$C$14-1)*EXP(-0.5*(($A696-'Control Room'!$A$14-('Control Room'!$B$14-1)/2)/MAX(0.5,'Control Room'!$B$14/4))^2),1)*IF(AND($A696&gt;='Control Room'!$A$15,$A696&lt;'Control Room'!$A$15+'Control Room'!$B$15,'Process'!BL4=1),1+('Control Room'!$C$15-1)*EXP(-0.5*(($A696-'Control Room'!$A$15-('Control Room'!$B$15-1)/2)/MAX(0.5,'Control Room'!$B$15/4))^2),1)*IF(AND($A696&gt;='Control Room'!$A$16,$A696&lt;'Control Room'!$A$16+'Control Room'!$B$16,'Process'!BL5=1),1+('Control Room'!$C$16-1)*EXP(-0.5*(($A696-'Control Room'!$A$16-('Control Room'!$B$16-1)/2)/MAX(0.5,'Control Room'!$B$16/4))^2),1)</x:f>
        <x:v>1</x:v>
      </x:c>
      <x:c r="L696" s="9" t="n">
        <x:f>MOD(M695*16807,2147483647)</x:f>
        <x:v>1173168426</x:v>
      </x:c>
      <x:c r="M696" s="9" t="n">
        <x:f>MOD(L696*16807,2147483647)</x:f>
        <x:v>1394372675</x:v>
      </x:c>
      <x:c r="N696" s="17" t="n">
        <x:f>IF('Control Room'!$B$5="Normal",'Control Room'!$B$7+'Control Room'!$D$7*SQRT(-2*LN(MAX(0.000000000001,L696/2147483647)))*COS(2*PI()*M696/2147483647),'Control Room'!$B$8+('Control Room'!$D$8-'Control Room'!$B$8)*L696/2147483647)</x:f>
        <x:v>941.4801604806521</x:v>
      </x:c>
      <x:c r="O696" s="17" t="n">
        <x:f>IF('Control Room'!$B$5="Normal",'Control Room'!$B$7,('Control Room'!$B$8+'Control Room'!$D$8)/2)+'Control Room'!$B$9*(O695-IF('Control Room'!$B$5="Normal",'Control Room'!$B$7,('Control Room'!$B$8+'Control Room'!$D$8)/2))+SQRT(1-'Control Room'!$B$9^2)*(N696-IF('Control Room'!$B$5="Normal",'Control Room'!$B$7,('Control Room'!$B$8+'Control Room'!$D$8)/2))</x:f>
        <x:v>1032.0993857906385</x:v>
      </x:c>
      <x:c r="P696" s="17" t="n">
        <x:f>IF(AND($A696&gt;='Control Room'!$A$13,$A696&lt;'Control Room'!$A$13+'Control Room'!$B$13,'Process'!BM2=1),1+('Control Room'!$C$13-1)*EXP(-0.5*(($A696-'Control Room'!$A$13-('Control Room'!$B$13-1)/2)/MAX(0.5,'Control Room'!$B$13/4))^2),1)*IF(AND($A696&gt;='Control Room'!$A$14,$A696&lt;'Control Room'!$A$14+'Control Room'!$B$14,'Process'!BM3=1),1+('Control Room'!$C$14-1)*EXP(-0.5*(($A696-'Control Room'!$A$14-('Control Room'!$B$14-1)/2)/MAX(0.5,'Control Room'!$B$14/4))^2),1)*IF(AND($A696&gt;='Control Room'!$A$15,$A696&lt;'Control Room'!$A$15+'Control Room'!$B$15,'Process'!BM4=1),1+('Control Room'!$C$15-1)*EXP(-0.5*(($A696-'Control Room'!$A$15-('Control Room'!$B$15-1)/2)/MAX(0.5,'Control Room'!$B$15/4))^2),1)*IF(AND($A696&gt;='Control Room'!$A$16,$A696&lt;'Control Room'!$A$16+'Control Room'!$B$16,'Process'!BM5=1),1+('Control Room'!$C$16-1)*EXP(-0.5*(($A696-'Control Room'!$A$16-('Control Room'!$B$16-1)/2)/MAX(0.5,'Control Room'!$B$16/4))^2),1)</x:f>
        <x:v>1</x:v>
      </x:c>
      <x:c r="Q696" s="9" t="n">
        <x:f>MOD(R695*16807,2147483647)</x:f>
        <x:v>139131978</x:v>
      </x:c>
      <x:c r="R696" s="9" t="n">
        <x:f>MOD(Q696*16807,2147483647)</x:f>
        <x:v>1928946310</x:v>
      </x:c>
      <x:c r="S696" s="17" t="n">
        <x:f>IF('Control Room'!$B$5="Normal",'Control Room'!$B$7+'Control Room'!$D$7*SQRT(-2*LN(MAX(0.000000000001,Q696/2147483647)))*COS(2*PI()*R696/2147483647),'Control Room'!$B$8+('Control Room'!$D$8-'Control Room'!$B$8)*Q696/2147483647)</x:f>
        <x:v>1168.9600967421586</x:v>
      </x:c>
      <x:c r="T696" s="17" t="n">
        <x:f>IF('Control Room'!$B$5="Normal",'Control Room'!$B$7,('Control Room'!$B$8+'Control Room'!$D$8)/2)+'Control Room'!$B$9*(T695-IF('Control Room'!$B$5="Normal",'Control Room'!$B$7,('Control Room'!$B$8+'Control Room'!$D$8)/2))+SQRT(1-'Control Room'!$B$9^2)*(S696-IF('Control Room'!$B$5="Normal",'Control Room'!$B$7,('Control Room'!$B$8+'Control Room'!$D$8)/2))</x:f>
        <x:v>1102.5259958358001</x:v>
      </x:c>
      <x:c r="U696" s="17" t="n">
        <x:f>IF(AND($A696&gt;='Control Room'!$A$13,$A696&lt;'Control Room'!$A$13+'Control Room'!$B$13,'Process'!BN2=1),1+('Control Room'!$C$13-1)*EXP(-0.5*(($A696-'Control Room'!$A$13-('Control Room'!$B$13-1)/2)/MAX(0.5,'Control Room'!$B$13/4))^2),1)*IF(AND($A696&gt;='Control Room'!$A$14,$A696&lt;'Control Room'!$A$14+'Control Room'!$B$14,'Process'!BN3=1),1+('Control Room'!$C$14-1)*EXP(-0.5*(($A696-'Control Room'!$A$14-('Control Room'!$B$14-1)/2)/MAX(0.5,'Control Room'!$B$14/4))^2),1)*IF(AND($A696&gt;='Control Room'!$A$15,$A696&lt;'Control Room'!$A$15+'Control Room'!$B$15,'Process'!BN4=1),1+('Control Room'!$C$15-1)*EXP(-0.5*(($A696-'Control Room'!$A$15-('Control Room'!$B$15-1)/2)/MAX(0.5,'Control Room'!$B$15/4))^2),1)*IF(AND($A696&gt;='Control Room'!$A$16,$A696&lt;'Control Room'!$A$16+'Control Room'!$B$16,'Process'!BN5=1),1+('Control Room'!$C$16-1)*EXP(-0.5*(($A696-'Control Room'!$A$16-('Control Room'!$B$16-1)/2)/MAX(0.5,'Control Room'!$B$16/4))^2),1)</x:f>
        <x:v>1</x:v>
      </x:c>
      <x:c r="V696" s="9" t="n">
        <x:f>MOD(W695*16807,2147483647)</x:f>
        <x:v>1252579177</x:v>
      </x:c>
      <x:c r="W696" s="9" t="n">
        <x:f>MOD(V696*16807,2147483647)</x:f>
        <x:v>316036298</x:v>
      </x:c>
      <x:c r="X696" s="17" t="n">
        <x:f>IF('Control Room'!$B$5="Normal",'Control Room'!$B$7+'Control Room'!$D$7*SQRT(-2*LN(MAX(0.000000000001,V696/2147483647)))*COS(2*PI()*W696/2147483647),'Control Room'!$B$8+('Control Room'!$D$8-'Control Room'!$B$8)*V696/2147483647)</x:f>
        <x:v>1056.2672851170132</x:v>
      </x:c>
      <x:c r="Y696" s="17" t="n">
        <x:f>IF('Control Room'!$B$5="Normal",'Control Room'!$B$7,('Control Room'!$B$8+'Control Room'!$D$8)/2)+'Control Room'!$B$9*(Y695-IF('Control Room'!$B$5="Normal",'Control Room'!$B$7,('Control Room'!$B$8+'Control Room'!$D$8)/2))+SQRT(1-'Control Room'!$B$9^2)*(X696-IF('Control Room'!$B$5="Normal",'Control Room'!$B$7,('Control Room'!$B$8+'Control Room'!$D$8)/2))</x:f>
        <x:v>935.4595217120283</x:v>
      </x:c>
      <x:c r="Z696" s="17" t="n">
        <x:f>IF(AND($A696&gt;='Control Room'!$A$13,$A696&lt;'Control Room'!$A$13+'Control Room'!$B$13,'Process'!BO2=1),1+('Control Room'!$C$13-1)*EXP(-0.5*(($A696-'Control Room'!$A$13-('Control Room'!$B$13-1)/2)/MAX(0.5,'Control Room'!$B$13/4))^2),1)*IF(AND($A696&gt;='Control Room'!$A$14,$A696&lt;'Control Room'!$A$14+'Control Room'!$B$14,'Process'!BO3=1),1+('Control Room'!$C$14-1)*EXP(-0.5*(($A696-'Control Room'!$A$14-('Control Room'!$B$14-1)/2)/MAX(0.5,'Control Room'!$B$14/4))^2),1)*IF(AND($A696&gt;='Control Room'!$A$15,$A696&lt;'Control Room'!$A$15+'Control Room'!$B$15,'Process'!BO4=1),1+('Control Room'!$C$15-1)*EXP(-0.5*(($A696-'Control Room'!$A$15-('Control Room'!$B$15-1)/2)/MAX(0.5,'Control Room'!$B$15/4))^2),1)*IF(AND($A696&gt;='Control Room'!$A$16,$A696&lt;'Control Room'!$A$16+'Control Room'!$B$16,'Process'!BO5=1),1+('Control Room'!$C$16-1)*EXP(-0.5*(($A696-'Control Room'!$A$16-('Control Room'!$B$16-1)/2)/MAX(0.5,'Control Room'!$B$16/4))^2),1)</x:f>
        <x:v>1</x:v>
      </x:c>
      <x:c r="AA696" s="9" t="n">
        <x:f>MOD(AB695*16807,2147483647)</x:f>
        <x:v>218542729</x:v>
      </x:c>
      <x:c r="AB696" s="9" t="n">
        <x:f>MOD(AA696*16807,2147483647)</x:f>
        <x:v>850609933</x:v>
      </x:c>
      <x:c r="AC696" s="17" t="n">
        <x:f>IF('Control Room'!$B$5="Normal",'Control Room'!$B$7+'Control Room'!$D$7*SQRT(-2*LN(MAX(0.000000000001,AA696/2147483647)))*COS(2*PI()*AB696/2147483647),'Control Room'!$B$8+('Control Room'!$D$8-'Control Room'!$B$8)*AA696/2147483647)</x:f>
        <x:v>847.1648490202779</x:v>
      </x:c>
      <x:c r="AD696" s="17" t="n">
        <x:f>IF('Control Room'!$B$5="Normal",'Control Room'!$B$7,('Control Room'!$B$8+'Control Room'!$D$8)/2)+'Control Room'!$B$9*(AD695-IF('Control Room'!$B$5="Normal",'Control Room'!$B$7,('Control Room'!$B$8+'Control Room'!$D$8)/2))+SQRT(1-'Control Room'!$B$9^2)*(AC696-IF('Control Room'!$B$5="Normal",'Control Room'!$B$7,('Control Room'!$B$8+'Control Room'!$D$8)/2))</x:f>
        <x:v>843.1607933291381</x:v>
      </x:c>
      <x:c r="AE696" s="17" t="n">
        <x:f>IF(AND($A696&gt;='Control Room'!$A$13,$A696&lt;'Control Room'!$A$13+'Control Room'!$B$13,'Process'!BP2=1),1+('Control Room'!$C$13-1)*EXP(-0.5*(($A696-'Control Room'!$A$13-('Control Room'!$B$13-1)/2)/MAX(0.5,'Control Room'!$B$13/4))^2),1)*IF(AND($A696&gt;='Control Room'!$A$14,$A696&lt;'Control Room'!$A$14+'Control Room'!$B$14,'Process'!BP3=1),1+('Control Room'!$C$14-1)*EXP(-0.5*(($A696-'Control Room'!$A$14-('Control Room'!$B$14-1)/2)/MAX(0.5,'Control Room'!$B$14/4))^2),1)*IF(AND($A696&gt;='Control Room'!$A$15,$A696&lt;'Control Room'!$A$15+'Control Room'!$B$15,'Process'!BP4=1),1+('Control Room'!$C$15-1)*EXP(-0.5*(($A696-'Control Room'!$A$15-('Control Room'!$B$15-1)/2)/MAX(0.5,'Control Room'!$B$15/4))^2),1)*IF(AND($A696&gt;='Control Room'!$A$16,$A696&lt;'Control Room'!$A$16+'Control Room'!$B$16,'Process'!BP5=1),1+('Control Room'!$C$16-1)*EXP(-0.5*(($A696-'Control Room'!$A$16-('Control Room'!$B$16-1)/2)/MAX(0.5,'Control Room'!$B$16/4))^2),1)</x:f>
        <x:v>1</x:v>
      </x:c>
      <x:c r="AF696" s="9" t="n">
        <x:f>MOD(AG695*16807,2147483647)</x:f>
        <x:v>1331989928</x:v>
      </x:c>
      <x:c r="AG696" s="9" t="n">
        <x:f>MOD(AF696*16807,2147483647)</x:f>
        <x:v>1385183568</x:v>
      </x:c>
      <x:c r="AH696" s="17" t="n">
        <x:f>IF('Control Room'!$B$5="Normal",'Control Room'!$B$7+'Control Room'!$D$7*SQRT(-2*LN(MAX(0.000000000001,AF696/2147483647)))*COS(2*PI()*AG696/2147483647),'Control Room'!$B$8+('Control Room'!$D$8-'Control Room'!$B$8)*AF696/2147483647)</x:f>
        <x:v>946.0983737455857</x:v>
      </x:c>
      <x:c r="AI696" s="17" t="n">
        <x:f>IF('Control Room'!$B$5="Normal",'Control Room'!$B$7,('Control Room'!$B$8+'Control Room'!$D$8)/2)+'Control Room'!$B$9*(AI695-IF('Control Room'!$B$5="Normal",'Control Room'!$B$7,('Control Room'!$B$8+'Control Room'!$D$8)/2))+SQRT(1-'Control Room'!$B$9^2)*(AH696-IF('Control Room'!$B$5="Normal",'Control Room'!$B$7,('Control Room'!$B$8+'Control Room'!$D$8)/2))</x:f>
        <x:v>1033.016999279507</x:v>
      </x:c>
      <x:c r="AJ696" s="17" t="n">
        <x:f>IF(AND($A696&gt;='Control Room'!$A$13,$A696&lt;'Control Room'!$A$13+'Control Room'!$B$13,'Process'!BQ2=1),1+('Control Room'!$C$13-1)*EXP(-0.5*(($A696-'Control Room'!$A$13-('Control Room'!$B$13-1)/2)/MAX(0.5,'Control Room'!$B$13/4))^2),1)*IF(AND($A696&gt;='Control Room'!$A$14,$A696&lt;'Control Room'!$A$14+'Control Room'!$B$14,'Process'!BQ3=1),1+('Control Room'!$C$14-1)*EXP(-0.5*(($A696-'Control Room'!$A$14-('Control Room'!$B$14-1)/2)/MAX(0.5,'Control Room'!$B$14/4))^2),1)*IF(AND($A696&gt;='Control Room'!$A$15,$A696&lt;'Control Room'!$A$15+'Control Room'!$B$15,'Process'!BQ4=1),1+('Control Room'!$C$15-1)*EXP(-0.5*(($A696-'Control Room'!$A$15-('Control Room'!$B$15-1)/2)/MAX(0.5,'Control Room'!$B$15/4))^2),1)*IF(AND($A696&gt;='Control Room'!$A$16,$A696&lt;'Control Room'!$A$16+'Control Room'!$B$16,'Process'!BQ5=1),1+('Control Room'!$C$16-1)*EXP(-0.5*(($A696-'Control Room'!$A$16-('Control Room'!$B$16-1)/2)/MAX(0.5,'Control Room'!$B$16/4))^2),1)</x:f>
        <x:v>1</x:v>
      </x:c>
      <x:c r="AK696" s="9" t="n">
        <x:f>MOD(AL695*16807,2147483647)</x:f>
        <x:v>297953480</x:v>
      </x:c>
      <x:c r="AL696" s="9" t="n">
        <x:f>MOD(AK696*16807,2147483647)</x:f>
        <x:v>1919757203</x:v>
      </x:c>
      <x:c r="AM696" s="17" t="n">
        <x:f>IF('Control Room'!$B$5="Normal",'Control Room'!$B$7+'Control Room'!$D$7*SQRT(-2*LN(MAX(0.000000000001,AK696/2147483647)))*COS(2*PI()*AL696/2147483647),'Control Room'!$B$8+('Control Room'!$D$8-'Control Room'!$B$8)*AK696/2147483647)</x:f>
        <x:v>1140.6185089925189</x:v>
      </x:c>
      <x:c r="AN696" s="17" t="n">
        <x:f>IF('Control Room'!$B$5="Normal",'Control Room'!$B$7,('Control Room'!$B$8+'Control Room'!$D$8)/2)+'Control Room'!$B$9*(AN695-IF('Control Room'!$B$5="Normal",'Control Room'!$B$7,('Control Room'!$B$8+'Control Room'!$D$8)/2))+SQRT(1-'Control Room'!$B$9^2)*(AM696-IF('Control Room'!$B$5="Normal",'Control Room'!$B$7,('Control Room'!$B$8+'Control Room'!$D$8)/2))</x:f>
        <x:v>1173.435112950939</x:v>
      </x:c>
      <x:c r="AO696" s="17" t="n">
        <x:f>IF(AND($A696&gt;='Control Room'!$A$13,$A696&lt;'Control Room'!$A$13+'Control Room'!$B$13,'Process'!BR2=1),1+('Control Room'!$C$13-1)*EXP(-0.5*(($A696-'Control Room'!$A$13-('Control Room'!$B$13-1)/2)/MAX(0.5,'Control Room'!$B$13/4))^2),1)*IF(AND($A696&gt;='Control Room'!$A$14,$A696&lt;'Control Room'!$A$14+'Control Room'!$B$14,'Process'!BR3=1),1+('Control Room'!$C$14-1)*EXP(-0.5*(($A696-'Control Room'!$A$14-('Control Room'!$B$14-1)/2)/MAX(0.5,'Control Room'!$B$14/4))^2),1)*IF(AND($A696&gt;='Control Room'!$A$15,$A696&lt;'Control Room'!$A$15+'Control Room'!$B$15,'Process'!BR4=1),1+('Control Room'!$C$15-1)*EXP(-0.5*(($A696-'Control Room'!$A$15-('Control Room'!$B$15-1)/2)/MAX(0.5,'Control Room'!$B$15/4))^2),1)*IF(AND($A696&gt;='Control Room'!$A$16,$A696&lt;'Control Room'!$A$16+'Control Room'!$B$16,'Process'!BR5=1),1+('Control Room'!$C$16-1)*EXP(-0.5*(($A696-'Control Room'!$A$16-('Control Room'!$B$16-1)/2)/MAX(0.5,'Control Room'!$B$16/4))^2),1)</x:f>
        <x:v>1</x:v>
      </x:c>
      <x:c r="AP696" s="9" t="n">
        <x:f>MOD(AQ695*16807,2147483647)</x:f>
        <x:v>1411400679</x:v>
      </x:c>
      <x:c r="AQ696" s="9" t="n">
        <x:f>MOD(AP696*16807,2147483647)</x:f>
        <x:v>306847191</x:v>
      </x:c>
      <x:c r="AR696" s="17" t="n">
        <x:f>IF('Control Room'!$B$5="Normal",'Control Room'!$B$7+'Control Room'!$D$7*SQRT(-2*LN(MAX(0.000000000001,AP696/2147483647)))*COS(2*PI()*AQ696/2147483647),'Control Room'!$B$8+('Control Room'!$D$8-'Control Room'!$B$8)*AP696/2147483647)</x:f>
        <x:v>1051.3998645551137</x:v>
      </x:c>
      <x:c r="AS696" s="17" t="n">
        <x:f>IF('Control Room'!$B$5="Normal",'Control Room'!$B$7,('Control Room'!$B$8+'Control Room'!$D$8)/2)+'Control Room'!$B$9*(AS695-IF('Control Room'!$B$5="Normal",'Control Room'!$B$7,('Control Room'!$B$8+'Control Room'!$D$8)/2))+SQRT(1-'Control Room'!$B$9^2)*(AR696-IF('Control Room'!$B$5="Normal",'Control Room'!$B$7,('Control Room'!$B$8+'Control Room'!$D$8)/2))</x:f>
        <x:v>1085.344416219263</x:v>
      </x:c>
      <x:c r="AT696" s="17" t="n">
        <x:f>IF(AND($A696&gt;='Control Room'!$A$13,$A696&lt;'Control Room'!$A$13+'Control Room'!$B$13,'Process'!BS2=1),1+('Control Room'!$C$13-1)*EXP(-0.5*(($A696-'Control Room'!$A$13-('Control Room'!$B$13-1)/2)/MAX(0.5,'Control Room'!$B$13/4))^2),1)*IF(AND($A696&gt;='Control Room'!$A$14,$A696&lt;'Control Room'!$A$14+'Control Room'!$B$14,'Process'!BS3=1),1+('Control Room'!$C$14-1)*EXP(-0.5*(($A696-'Control Room'!$A$14-('Control Room'!$B$14-1)/2)/MAX(0.5,'Control Room'!$B$14/4))^2),1)*IF(AND($A696&gt;='Control Room'!$A$15,$A696&lt;'Control Room'!$A$15+'Control Room'!$B$15,'Process'!BS4=1),1+('Control Room'!$C$15-1)*EXP(-0.5*(($A696-'Control Room'!$A$15-('Control Room'!$B$15-1)/2)/MAX(0.5,'Control Room'!$B$15/4))^2),1)*IF(AND($A696&gt;='Control Room'!$A$16,$A696&lt;'Control Room'!$A$16+'Control Room'!$B$16,'Process'!BS5=1),1+('Control Room'!$C$16-1)*EXP(-0.5*(($A696-'Control Room'!$A$16-('Control Room'!$B$16-1)/2)/MAX(0.5,'Control Room'!$B$16/4))^2),1)</x:f>
        <x:v>1</x:v>
      </x:c>
      <x:c r="AU696" s="9" t="n">
        <x:f>MOD(AV695*16807,2147483647)</x:f>
        <x:v>377364231</x:v>
      </x:c>
      <x:c r="AV696" s="9" t="n">
        <x:f>MOD(AU696*16807,2147483647)</x:f>
        <x:v>841420826</x:v>
      </x:c>
      <x:c r="AW696" s="17" t="n">
        <x:f>IF('Control Room'!$B$5="Normal",'Control Room'!$B$7+'Control Room'!$D$7*SQRT(-2*LN(MAX(0.000000000001,AU696/2147483647)))*COS(2*PI()*AV696/2147483647),'Control Room'!$B$8+('Control Room'!$D$8-'Control Room'!$B$8)*AU696/2147483647)</x:f>
        <x:v>869.4664455415552</x:v>
      </x:c>
      <x:c r="AX696" s="17" t="n">
        <x:f>IF('Control Room'!$B$5="Normal",'Control Room'!$B$7,('Control Room'!$B$8+'Control Room'!$D$8)/2)+'Control Room'!$B$9*(AX695-IF('Control Room'!$B$5="Normal",'Control Room'!$B$7,('Control Room'!$B$8+'Control Room'!$D$8)/2))+SQRT(1-'Control Room'!$B$9^2)*(AW696-IF('Control Room'!$B$5="Normal",'Control Room'!$B$7,('Control Room'!$B$8+'Control Room'!$D$8)/2))</x:f>
        <x:v>983.4679645356634</x:v>
      </x:c>
      <x:c r="AY696" s="17" t="n">
        <x:f>IF(AND($A696&gt;='Control Room'!$A$13,$A696&lt;'Control Room'!$A$13+'Control Room'!$B$13,'Process'!BT2=1),1+('Control Room'!$C$13-1)*EXP(-0.5*(($A696-'Control Room'!$A$13-('Control Room'!$B$13-1)/2)/MAX(0.5,'Control Room'!$B$13/4))^2),1)*IF(AND($A696&gt;='Control Room'!$A$14,$A696&lt;'Control Room'!$A$14+'Control Room'!$B$14,'Process'!BT3=1),1+('Control Room'!$C$14-1)*EXP(-0.5*(($A696-'Control Room'!$A$14-('Control Room'!$B$14-1)/2)/MAX(0.5,'Control Room'!$B$14/4))^2),1)*IF(AND($A696&gt;='Control Room'!$A$15,$A696&lt;'Control Room'!$A$15+'Control Room'!$B$15,'Process'!BT4=1),1+('Control Room'!$C$15-1)*EXP(-0.5*(($A696-'Control Room'!$A$15-('Control Room'!$B$15-1)/2)/MAX(0.5,'Control Room'!$B$15/4))^2),1)*IF(AND($A696&gt;='Control Room'!$A$16,$A696&lt;'Control Room'!$A$16+'Control Room'!$B$16,'Process'!BT5=1),1+('Control Room'!$C$16-1)*EXP(-0.5*(($A696-'Control Room'!$A$16-('Control Room'!$B$16-1)/2)/MAX(0.5,'Control Room'!$B$16/4))^2),1)</x:f>
        <x:v>1</x:v>
      </x:c>
      <x:c r="AZ696" s="9" t="n">
        <x:f>MOD(BA695*16807,2147483647)</x:f>
        <x:v>1490811430</x:v>
      </x:c>
      <x:c r="BA696" s="9" t="n">
        <x:f>MOD(AZ696*16807,2147483647)</x:f>
        <x:v>1375994461</x:v>
      </x:c>
      <x:c r="BB696" s="17" t="n">
        <x:f>IF('Control Room'!$B$5="Normal",'Control Room'!$B$7+'Control Room'!$D$7*SQRT(-2*LN(MAX(0.000000000001,AZ696/2147483647)))*COS(2*PI()*BA696/2147483647),'Control Room'!$B$8+('Control Room'!$D$8-'Control Room'!$B$8)*AZ696/2147483647)</x:f>
        <x:v>951.2649720740542</x:v>
      </x:c>
      <x:c r="BC696" s="17" t="n">
        <x:f>IF('Control Room'!$B$5="Normal",'Control Room'!$B$7,('Control Room'!$B$8+'Control Room'!$D$8)/2)+'Control Room'!$B$9*(BC695-IF('Control Room'!$B$5="Normal",'Control Room'!$B$7,('Control Room'!$B$8+'Control Room'!$D$8)/2))+SQRT(1-'Control Room'!$B$9^2)*(BB696-IF('Control Room'!$B$5="Normal",'Control Room'!$B$7,('Control Room'!$B$8+'Control Room'!$D$8)/2))</x:f>
        <x:v>890.6101859529415</x:v>
      </x:c>
      <x:c r="BD696" s="17" t="n">
        <x:f>IF(AND($A696&gt;='Control Room'!$A$13,$A696&lt;'Control Room'!$A$13+'Control Room'!$B$13,'Process'!BU2=1),1+('Control Room'!$C$13-1)*EXP(-0.5*(($A696-'Control Room'!$A$13-('Control Room'!$B$13-1)/2)/MAX(0.5,'Control Room'!$B$13/4))^2),1)*IF(AND($A696&gt;='Control Room'!$A$14,$A696&lt;'Control Room'!$A$14+'Control Room'!$B$14,'Process'!BU3=1),1+('Control Room'!$C$14-1)*EXP(-0.5*(($A696-'Control Room'!$A$14-('Control Room'!$B$14-1)/2)/MAX(0.5,'Control Room'!$B$14/4))^2),1)*IF(AND($A696&gt;='Control Room'!$A$15,$A696&lt;'Control Room'!$A$15+'Control Room'!$B$15,'Process'!BU4=1),1+('Control Room'!$C$15-1)*EXP(-0.5*(($A696-'Control Room'!$A$15-('Control Room'!$B$15-1)/2)/MAX(0.5,'Control Room'!$B$15/4))^2),1)*IF(AND($A696&gt;='Control Room'!$A$16,$A696&lt;'Control Room'!$A$16+'Control Room'!$B$16,'Process'!BU5=1),1+('Control Room'!$C$16-1)*EXP(-0.5*(($A696-'Control Room'!$A$16-('Control Room'!$B$16-1)/2)/MAX(0.5,'Control Room'!$B$16/4))^2),1)</x:f>
        <x:v>1</x:v>
      </x:c>
      <x:c r="BE696" s="9" t="n">
        <x:f>MOD(BF695*16807,2147483647)</x:f>
        <x:v>456774982</x:v>
      </x:c>
      <x:c r="BF696" s="9" t="n">
        <x:f>MOD(BE696*16807,2147483647)</x:f>
        <x:v>1910568096</x:v>
      </x:c>
      <x:c r="BG696" s="17" t="n">
        <x:f>IF('Control Room'!$B$5="Normal",'Control Room'!$B$7+'Control Room'!$D$7*SQRT(-2*LN(MAX(0.000000000001,BE696/2147483647)))*COS(2*PI()*BF696/2147483647),'Control Room'!$B$8+('Control Room'!$D$8-'Control Room'!$B$8)*BE696/2147483647)</x:f>
        <x:v>1121.8075809785648</x:v>
      </x:c>
      <x:c r="BH696" s="17" t="n">
        <x:f>IF('Control Room'!$B$5="Normal",'Control Room'!$B$7,('Control Room'!$B$8+'Control Room'!$D$8)/2)+'Control Room'!$B$9*(BH695-IF('Control Room'!$B$5="Normal",'Control Room'!$B$7,('Control Room'!$B$8+'Control Room'!$D$8)/2))+SQRT(1-'Control Room'!$B$9^2)*(BG696-IF('Control Room'!$B$5="Normal",'Control Room'!$B$7,('Control Room'!$B$8+'Control Room'!$D$8)/2))</x:f>
        <x:v>1051.5328121805321</x:v>
      </x:c>
      <x:c r="BI696" s="17" t="n">
        <x:f>IF(AND($A696&gt;='Control Room'!$A$13,$A696&lt;'Control Room'!$A$13+'Control Room'!$B$13,'Process'!BV2=1),1+('Control Room'!$C$13-1)*EXP(-0.5*(($A696-'Control Room'!$A$13-('Control Room'!$B$13-1)/2)/MAX(0.5,'Control Room'!$B$13/4))^2),1)*IF(AND($A696&gt;='Control Room'!$A$14,$A696&lt;'Control Room'!$A$14+'Control Room'!$B$14,'Process'!BV3=1),1+('Control Room'!$C$14-1)*EXP(-0.5*(($A696-'Control Room'!$A$14-('Control Room'!$B$14-1)/2)/MAX(0.5,'Control Room'!$B$14/4))^2),1)*IF(AND($A696&gt;='Control Room'!$A$15,$A696&lt;'Control Room'!$A$15+'Control Room'!$B$15,'Process'!BV4=1),1+('Control Room'!$C$15-1)*EXP(-0.5*(($A696-'Control Room'!$A$15-('Control Room'!$B$15-1)/2)/MAX(0.5,'Control Room'!$B$15/4))^2),1)*IF(AND($A696&gt;='Control Room'!$A$16,$A696&lt;'Control Room'!$A$16+'Control Room'!$B$16,'Process'!BV5=1),1+('Control Room'!$C$16-1)*EXP(-0.5*(($A696-'Control Room'!$A$16-('Control Room'!$B$16-1)/2)/MAX(0.5,'Control Room'!$B$16/4))^2),1)</x:f>
        <x:v>1</x:v>
      </x:c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Z696" t="str">
        <x:f>IF('Data'!A696="","",TEXT('Data'!A696,"mm-dd"))</x:f>
      </x:c>
    </x:row>
    <x:row r="697" ht="21" customHeight="1">
      <x:c r="A697" s="15" t="n">
        <x:f>'Control Room'!$B$1+695</x:f>
        <x:v>73686</x:v>
      </x:c>
      <x:c r="B697" s="9" t="n">
        <x:f>MOD(C696*16807,2147483647)</x:f>
        <x:v>717500220</x:v>
      </x:c>
      <x:c r="C697" s="9" t="n">
        <x:f>MOD(B697*16807,2147483647)</x:f>
        <x:v>905519635</x:v>
      </x:c>
      <x:c r="D697" s="17" t="n">
        <x:f>IF('Control Room'!$B$5="Normal",'Control Room'!$B$7+'Control Room'!$D$7*SQRT(-2*LN(MAX(0.000000000001,B697/2147483647)))*COS(2*PI()*C697/2147483647),'Control Room'!$B$8+('Control Room'!$D$8-'Control Room'!$B$8)*B697/2147483647)</x:f>
        <x:v>882.5530650725375</x:v>
      </x:c>
      <x:c r="E697" s="17" t="n">
        <x:f>IF('Control Room'!$B$5="Normal",'Control Room'!$B$7,('Control Room'!$B$8+'Control Room'!$D$8)/2)+'Control Room'!$B$9*(E696-IF('Control Room'!$B$5="Normal",'Control Room'!$B$7,('Control Room'!$B$8+'Control Room'!$D$8)/2))+SQRT(1-'Control Room'!$B$9^2)*(D697-IF('Control Room'!$B$5="Normal",'Control Room'!$B$7,('Control Room'!$B$8+'Control Room'!$D$8)/2))</x:f>
        <x:v>959.3331569387377</x:v>
      </x:c>
      <x:c r="F697" s="17" t="n">
        <x:f>IF(AND($A697&gt;='Control Room'!$A$13,$A697&lt;'Control Room'!$A$13+'Control Room'!$B$13,'Process'!BK2=1),1+('Control Room'!$C$13-1)*EXP(-0.5*(($A697-'Control Room'!$A$13-('Control Room'!$B$13-1)/2)/MAX(0.5,'Control Room'!$B$13/4))^2),1)*IF(AND($A697&gt;='Control Room'!$A$14,$A697&lt;'Control Room'!$A$14+'Control Room'!$B$14,'Process'!BK3=1),1+('Control Room'!$C$14-1)*EXP(-0.5*(($A697-'Control Room'!$A$14-('Control Room'!$B$14-1)/2)/MAX(0.5,'Control Room'!$B$14/4))^2),1)*IF(AND($A697&gt;='Control Room'!$A$15,$A697&lt;'Control Room'!$A$15+'Control Room'!$B$15,'Process'!BK4=1),1+('Control Room'!$C$15-1)*EXP(-0.5*(($A697-'Control Room'!$A$15-('Control Room'!$B$15-1)/2)/MAX(0.5,'Control Room'!$B$15/4))^2),1)*IF(AND($A697&gt;='Control Room'!$A$16,$A697&lt;'Control Room'!$A$16+'Control Room'!$B$16,'Process'!BK5=1),1+('Control Room'!$C$16-1)*EXP(-0.5*(($A697-'Control Room'!$A$16-('Control Room'!$B$16-1)/2)/MAX(0.5,'Control Room'!$B$16/4))^2),1)</x:f>
        <x:v>1</x:v>
      </x:c>
      <x:c r="G697" s="9" t="n">
        <x:f>MOD(H696*16807,2147483647)</x:f>
        <x:v>225004617</x:v>
      </x:c>
      <x:c r="H697" s="9" t="n">
        <x:f>MOD(G697*16807,2147483647)</x:f>
        <x:v>2081379199</x:v>
      </x:c>
      <x:c r="I697" s="17" t="n">
        <x:f>IF('Control Room'!$B$5="Normal",'Control Room'!$B$7+'Control Room'!$D$7*SQRT(-2*LN(MAX(0.000000000001,G697/2147483647)))*COS(2*PI()*H697/2147483647),'Control Room'!$B$8+('Control Room'!$D$8-'Control Room'!$B$8)*G697/2147483647)</x:f>
        <x:v>1187.6058100802202</x:v>
      </x:c>
      <x:c r="J697" s="17" t="n">
        <x:f>IF('Control Room'!$B$5="Normal",'Control Room'!$B$7,('Control Room'!$B$8+'Control Room'!$D$8)/2)+'Control Room'!$B$9*(J696-IF('Control Room'!$B$5="Normal",'Control Room'!$B$7,('Control Room'!$B$8+'Control Room'!$D$8)/2))+SQRT(1-'Control Room'!$B$9^2)*(I697-IF('Control Room'!$B$5="Normal",'Control Room'!$B$7,('Control Room'!$B$8+'Control Room'!$D$8)/2))</x:f>
        <x:v>1070.7011282259468</x:v>
      </x:c>
      <x:c r="K697" s="17" t="n">
        <x:f>IF(AND($A697&gt;='Control Room'!$A$13,$A697&lt;'Control Room'!$A$13+'Control Room'!$B$13,'Process'!BL2=1),1+('Control Room'!$C$13-1)*EXP(-0.5*(($A697-'Control Room'!$A$13-('Control Room'!$B$13-1)/2)/MAX(0.5,'Control Room'!$B$13/4))^2),1)*IF(AND($A697&gt;='Control Room'!$A$14,$A697&lt;'Control Room'!$A$14+'Control Room'!$B$14,'Process'!BL3=1),1+('Control Room'!$C$14-1)*EXP(-0.5*(($A697-'Control Room'!$A$14-('Control Room'!$B$14-1)/2)/MAX(0.5,'Control Room'!$B$14/4))^2),1)*IF(AND($A697&gt;='Control Room'!$A$15,$A697&lt;'Control Room'!$A$15+'Control Room'!$B$15,'Process'!BL4=1),1+('Control Room'!$C$15-1)*EXP(-0.5*(($A697-'Control Room'!$A$15-('Control Room'!$B$15-1)/2)/MAX(0.5,'Control Room'!$B$15/4))^2),1)*IF(AND($A697&gt;='Control Room'!$A$16,$A697&lt;'Control Room'!$A$16+'Control Room'!$B$16,'Process'!BL5=1),1+('Control Room'!$C$16-1)*EXP(-0.5*(($A697-'Control Room'!$A$16-('Control Room'!$B$16-1)/2)/MAX(0.5,'Control Room'!$B$16/4))^2),1)</x:f>
        <x:v>1</x:v>
      </x:c>
      <x:c r="L697" s="9" t="n">
        <x:f>MOD(M696*16807,2147483647)</x:f>
        <x:v>1879992661</x:v>
      </x:c>
      <x:c r="M697" s="9" t="n">
        <x:f>MOD(L697*16807,2147483647)</x:f>
        <x:v>1109755116</x:v>
      </x:c>
      <x:c r="N697" s="17" t="n">
        <x:f>IF('Control Room'!$B$5="Normal",'Control Room'!$B$7+'Control Room'!$D$7*SQRT(-2*LN(MAX(0.000000000001,L697/2147483647)))*COS(2*PI()*M697/2147483647),'Control Room'!$B$8+('Control Room'!$D$8-'Control Room'!$B$8)*L697/2147483647)</x:f>
        <x:v>953.8347590144637</x:v>
      </x:c>
      <x:c r="O697" s="17" t="n">
        <x:f>IF('Control Room'!$B$5="Normal",'Control Room'!$B$7,('Control Room'!$B$8+'Control Room'!$D$8)/2)+'Control Room'!$B$9*(O696-IF('Control Room'!$B$5="Normal",'Control Room'!$B$7,('Control Room'!$B$8+'Control Room'!$D$8)/2))+SQRT(1-'Control Room'!$B$9^2)*(N697-IF('Control Room'!$B$5="Normal",'Control Room'!$B$7,('Control Room'!$B$8+'Control Room'!$D$8)/2))</x:f>
        <x:v>996.1482588543169</x:v>
      </x:c>
      <x:c r="P697" s="17" t="n">
        <x:f>IF(AND($A697&gt;='Control Room'!$A$13,$A697&lt;'Control Room'!$A$13+'Control Room'!$B$13,'Process'!BM2=1),1+('Control Room'!$C$13-1)*EXP(-0.5*(($A697-'Control Room'!$A$13-('Control Room'!$B$13-1)/2)/MAX(0.5,'Control Room'!$B$13/4))^2),1)*IF(AND($A697&gt;='Control Room'!$A$14,$A697&lt;'Control Room'!$A$14+'Control Room'!$B$14,'Process'!BM3=1),1+('Control Room'!$C$14-1)*EXP(-0.5*(($A697-'Control Room'!$A$14-('Control Room'!$B$14-1)/2)/MAX(0.5,'Control Room'!$B$14/4))^2),1)*IF(AND($A697&gt;='Control Room'!$A$15,$A697&lt;'Control Room'!$A$15+'Control Room'!$B$15,'Process'!BM4=1),1+('Control Room'!$C$15-1)*EXP(-0.5*(($A697-'Control Room'!$A$15-('Control Room'!$B$15-1)/2)/MAX(0.5,'Control Room'!$B$15/4))^2),1)*IF(AND($A697&gt;='Control Room'!$A$16,$A697&lt;'Control Room'!$A$16+'Control Room'!$B$16,'Process'!BM5=1),1+('Control Room'!$C$16-1)*EXP(-0.5*(($A697-'Control Room'!$A$16-('Control Room'!$B$16-1)/2)/MAX(0.5,'Control Room'!$B$16/4))^2),1)</x:f>
        <x:v>1</x:v>
      </x:c>
      <x:c r="Q697" s="9" t="n">
        <x:f>MOD(R696*16807,2147483647)</x:f>
        <x:v>1387497058</x:v>
      </x:c>
      <x:c r="R697" s="9" t="n">
        <x:f>MOD(Q697*16807,2147483647)</x:f>
        <x:v>138131033</x:v>
      </x:c>
      <x:c r="S697" s="17" t="n">
        <x:f>IF('Control Room'!$B$5="Normal",'Control Room'!$B$7+'Control Room'!$D$7*SQRT(-2*LN(MAX(0.000000000001,Q697/2147483647)))*COS(2*PI()*R697/2147483647),'Control Room'!$B$8+('Control Room'!$D$8-'Control Room'!$B$8)*Q697/2147483647)</x:f>
        <x:v>1077.3425858991036</x:v>
      </x:c>
      <x:c r="T697" s="17" t="n">
        <x:f>IF('Control Room'!$B$5="Normal",'Control Room'!$B$7,('Control Room'!$B$8+'Control Room'!$D$8)/2)+'Control Room'!$B$9*(T696-IF('Control Room'!$B$5="Normal",'Control Room'!$B$7,('Control Room'!$B$8+'Control Room'!$D$8)/2))+SQRT(1-'Control Room'!$B$9^2)*(S697-IF('Control Room'!$B$5="Normal",'Control Room'!$B$7,('Control Room'!$B$8+'Control Room'!$D$8)/2))</x:f>
        <x:v>1128.3696825585885</x:v>
      </x:c>
      <x:c r="U697" s="17" t="n">
        <x:f>IF(AND($A697&gt;='Control Room'!$A$13,$A697&lt;'Control Room'!$A$13+'Control Room'!$B$13,'Process'!BN2=1),1+('Control Room'!$C$13-1)*EXP(-0.5*(($A697-'Control Room'!$A$13-('Control Room'!$B$13-1)/2)/MAX(0.5,'Control Room'!$B$13/4))^2),1)*IF(AND($A697&gt;='Control Room'!$A$14,$A697&lt;'Control Room'!$A$14+'Control Room'!$B$14,'Process'!BN3=1),1+('Control Room'!$C$14-1)*EXP(-0.5*(($A697-'Control Room'!$A$14-('Control Room'!$B$14-1)/2)/MAX(0.5,'Control Room'!$B$14/4))^2),1)*IF(AND($A697&gt;='Control Room'!$A$15,$A697&lt;'Control Room'!$A$15+'Control Room'!$B$15,'Process'!BN4=1),1+('Control Room'!$C$15-1)*EXP(-0.5*(($A697-'Control Room'!$A$15-('Control Room'!$B$15-1)/2)/MAX(0.5,'Control Room'!$B$15/4))^2),1)*IF(AND($A697&gt;='Control Room'!$A$16,$A697&lt;'Control Room'!$A$16+'Control Room'!$B$16,'Process'!BN5=1),1+('Control Room'!$C$16-1)*EXP(-0.5*(($A697-'Control Room'!$A$16-('Control Room'!$B$16-1)/2)/MAX(0.5,'Control Room'!$B$16/4))^2),1)</x:f>
        <x:v>1</x:v>
      </x:c>
      <x:c r="V697" s="9" t="n">
        <x:f>MOD(W696*16807,2147483647)</x:f>
        <x:v>895001455</x:v>
      </x:c>
      <x:c r="W697" s="9" t="n">
        <x:f>MOD(V697*16807,2147483647)</x:f>
        <x:v>1313990597</x:v>
      </x:c>
      <x:c r="X697" s="17" t="n">
        <x:f>IF('Control Room'!$B$5="Normal",'Control Room'!$B$7+'Control Room'!$D$7*SQRT(-2*LN(MAX(0.000000000001,V697/2147483647)))*COS(2*PI()*W697/2147483647),'Control Room'!$B$8+('Control Room'!$D$8-'Control Room'!$B$8)*V697/2147483647)</x:f>
        <x:v>909.152043207517</x:v>
      </x:c>
      <x:c r="Y697" s="17" t="n">
        <x:f>IF('Control Room'!$B$5="Normal",'Control Room'!$B$7,('Control Room'!$B$8+'Control Room'!$D$8)/2)+'Control Room'!$B$9*(Y696-IF('Control Room'!$B$5="Normal",'Control Room'!$B$7,('Control Room'!$B$8+'Control Room'!$D$8)/2))+SQRT(1-'Control Room'!$B$9^2)*(X697-IF('Control Room'!$B$5="Normal",'Control Room'!$B$7,('Control Room'!$B$8+'Control Room'!$D$8)/2))</x:f>
        <x:v>892.807636696202</x:v>
      </x:c>
      <x:c r="Z697" s="17" t="n">
        <x:f>IF(AND($A697&gt;='Control Room'!$A$13,$A697&lt;'Control Room'!$A$13+'Control Room'!$B$13,'Process'!BO2=1),1+('Control Room'!$C$13-1)*EXP(-0.5*(($A697-'Control Room'!$A$13-('Control Room'!$B$13-1)/2)/MAX(0.5,'Control Room'!$B$13/4))^2),1)*IF(AND($A697&gt;='Control Room'!$A$14,$A697&lt;'Control Room'!$A$14+'Control Room'!$B$14,'Process'!BO3=1),1+('Control Room'!$C$14-1)*EXP(-0.5*(($A697-'Control Room'!$A$14-('Control Room'!$B$14-1)/2)/MAX(0.5,'Control Room'!$B$14/4))^2),1)*IF(AND($A697&gt;='Control Room'!$A$15,$A697&lt;'Control Room'!$A$15+'Control Room'!$B$15,'Process'!BO4=1),1+('Control Room'!$C$15-1)*EXP(-0.5*(($A697-'Control Room'!$A$15-('Control Room'!$B$15-1)/2)/MAX(0.5,'Control Room'!$B$15/4))^2),1)*IF(AND($A697&gt;='Control Room'!$A$16,$A697&lt;'Control Room'!$A$16+'Control Room'!$B$16,'Process'!BO5=1),1+('Control Room'!$C$16-1)*EXP(-0.5*(($A697-'Control Room'!$A$16-('Control Room'!$B$16-1)/2)/MAX(0.5,'Control Room'!$B$16/4))^2),1)</x:f>
        <x:v>1</x:v>
      </x:c>
      <x:c r="AA697" s="9" t="n">
        <x:f>MOD(AB696*16807,2147483647)</x:f>
        <x:v>402505852</x:v>
      </x:c>
      <x:c r="AB697" s="9" t="n">
        <x:f>MOD(AA697*16807,2147483647)</x:f>
        <x:v>342366514</x:v>
      </x:c>
      <x:c r="AC697" s="17" t="n">
        <x:f>IF('Control Room'!$B$5="Normal",'Control Room'!$B$7+'Control Room'!$D$7*SQRT(-2*LN(MAX(0.000000000001,AA697/2147483647)))*COS(2*PI()*AB697/2147483647),'Control Room'!$B$8+('Control Room'!$D$8-'Control Room'!$B$8)*AA697/2147483647)</x:f>
        <x:v>1088.7480510674877</x:v>
      </x:c>
      <x:c r="AD697" s="17" t="n">
        <x:f>IF('Control Room'!$B$5="Normal",'Control Room'!$B$7,('Control Room'!$B$8+'Control Room'!$D$8)/2)+'Control Room'!$B$9*(AD696-IF('Control Room'!$B$5="Normal",'Control Room'!$B$7,('Control Room'!$B$8+'Control Room'!$D$8)/2))+SQRT(1-'Control Room'!$B$9^2)*(AC697-IF('Control Room'!$B$5="Normal",'Control Room'!$B$7,('Control Room'!$B$8+'Control Room'!$D$8)/2))</x:f>
        <x:v>933.2021310521127</x:v>
      </x:c>
      <x:c r="AE697" s="17" t="n">
        <x:f>IF(AND($A697&gt;='Control Room'!$A$13,$A697&lt;'Control Room'!$A$13+'Control Room'!$B$13,'Process'!BP2=1),1+('Control Room'!$C$13-1)*EXP(-0.5*(($A697-'Control Room'!$A$13-('Control Room'!$B$13-1)/2)/MAX(0.5,'Control Room'!$B$13/4))^2),1)*IF(AND($A697&gt;='Control Room'!$A$14,$A697&lt;'Control Room'!$A$14+'Control Room'!$B$14,'Process'!BP3=1),1+('Control Room'!$C$14-1)*EXP(-0.5*(($A697-'Control Room'!$A$14-('Control Room'!$B$14-1)/2)/MAX(0.5,'Control Room'!$B$14/4))^2),1)*IF(AND($A697&gt;='Control Room'!$A$15,$A697&lt;'Control Room'!$A$15+'Control Room'!$B$15,'Process'!BP4=1),1+('Control Room'!$C$15-1)*EXP(-0.5*(($A697-'Control Room'!$A$15-('Control Room'!$B$15-1)/2)/MAX(0.5,'Control Room'!$B$15/4))^2),1)*IF(AND($A697&gt;='Control Room'!$A$16,$A697&lt;'Control Room'!$A$16+'Control Room'!$B$16,'Process'!BP5=1),1+('Control Room'!$C$16-1)*EXP(-0.5*(($A697-'Control Room'!$A$16-('Control Room'!$B$16-1)/2)/MAX(0.5,'Control Room'!$B$16/4))^2),1)</x:f>
        <x:v>1</x:v>
      </x:c>
      <x:c r="AF697" s="9" t="n">
        <x:f>MOD(AG696*16807,2147483647)</x:f>
        <x:v>2057493896</x:v>
      </x:c>
      <x:c r="AG697" s="9" t="n">
        <x:f>MOD(AF697*16807,2147483647)</x:f>
        <x:v>1518226078</x:v>
      </x:c>
      <x:c r="AH697" s="17" t="n">
        <x:f>IF('Control Room'!$B$5="Normal",'Control Room'!$B$7+'Control Room'!$D$7*SQRT(-2*LN(MAX(0.000000000001,AF697/2147483647)))*COS(2*PI()*AG697/2147483647),'Control Room'!$B$8+('Control Room'!$D$8-'Control Room'!$B$8)*AF697/2147483647)</x:f>
        <x:v>992.9680150849682</x:v>
      </x:c>
      <x:c r="AI697" s="17" t="n">
        <x:f>IF('Control Room'!$B$5="Normal",'Control Room'!$B$7,('Control Room'!$B$8+'Control Room'!$D$8)/2)+'Control Room'!$B$9*(AI696-IF('Control Room'!$B$5="Normal",'Control Room'!$B$7,('Control Room'!$B$8+'Control Room'!$D$8)/2))+SQRT(1-'Control Room'!$B$9^2)*(AH697-IF('Control Room'!$B$5="Normal",'Control Room'!$B$7,('Control Room'!$B$8+'Control Room'!$D$8)/2))</x:f>
        <x:v>1021.3527873362298</x:v>
      </x:c>
      <x:c r="AJ697" s="17" t="n">
        <x:f>IF(AND($A697&gt;='Control Room'!$A$13,$A697&lt;'Control Room'!$A$13+'Control Room'!$B$13,'Process'!BQ2=1),1+('Control Room'!$C$13-1)*EXP(-0.5*(($A697-'Control Room'!$A$13-('Control Room'!$B$13-1)/2)/MAX(0.5,'Control Room'!$B$13/4))^2),1)*IF(AND($A697&gt;='Control Room'!$A$14,$A697&lt;'Control Room'!$A$14+'Control Room'!$B$14,'Process'!BQ3=1),1+('Control Room'!$C$14-1)*EXP(-0.5*(($A697-'Control Room'!$A$14-('Control Room'!$B$14-1)/2)/MAX(0.5,'Control Room'!$B$14/4))^2),1)*IF(AND($A697&gt;='Control Room'!$A$15,$A697&lt;'Control Room'!$A$15+'Control Room'!$B$15,'Process'!BQ4=1),1+('Control Room'!$C$15-1)*EXP(-0.5*(($A697-'Control Room'!$A$15-('Control Room'!$B$15-1)/2)/MAX(0.5,'Control Room'!$B$15/4))^2),1)*IF(AND($A697&gt;='Control Room'!$A$16,$A697&lt;'Control Room'!$A$16+'Control Room'!$B$16,'Process'!BQ5=1),1+('Control Room'!$C$16-1)*EXP(-0.5*(($A697-'Control Room'!$A$16-('Control Room'!$B$16-1)/2)/MAX(0.5,'Control Room'!$B$16/4))^2),1)</x:f>
        <x:v>1</x:v>
      </x:c>
      <x:c r="AK697" s="9" t="n">
        <x:f>MOD(AL696*16807,2147483647)</x:f>
        <x:v>1564998293</x:v>
      </x:c>
      <x:c r="AL697" s="9" t="n">
        <x:f>MOD(AK697*16807,2147483647)</x:f>
        <x:v>546601995</x:v>
      </x:c>
      <x:c r="AM697" s="17" t="n">
        <x:f>IF('Control Room'!$B$5="Normal",'Control Room'!$B$7+'Control Room'!$D$7*SQRT(-2*LN(MAX(0.000000000001,AK697/2147483647)))*COS(2*PI()*AL697/2147483647),'Control Room'!$B$8+('Control Room'!$D$8-'Control Room'!$B$8)*AK697/2147483647)</x:f>
        <x:v>997.9618482667287</x:v>
      </x:c>
      <x:c r="AN697" s="17" t="n">
        <x:f>IF('Control Room'!$B$5="Normal",'Control Room'!$B$7,('Control Room'!$B$8+'Control Room'!$D$8)/2)+'Control Room'!$B$9*(AN696-IF('Control Room'!$B$5="Normal",'Control Room'!$B$7,('Control Room'!$B$8+'Control Room'!$D$8)/2))+SQRT(1-'Control Room'!$B$9^2)*(AM697-IF('Control Room'!$B$5="Normal",'Control Room'!$B$7,('Control Room'!$B$8+'Control Room'!$D$8)/2))</x:f>
        <x:v>1134.003954500859</x:v>
      </x:c>
      <x:c r="AO697" s="17" t="n">
        <x:f>IF(AND($A697&gt;='Control Room'!$A$13,$A697&lt;'Control Room'!$A$13+'Control Room'!$B$13,'Process'!BR2=1),1+('Control Room'!$C$13-1)*EXP(-0.5*(($A697-'Control Room'!$A$13-('Control Room'!$B$13-1)/2)/MAX(0.5,'Control Room'!$B$13/4))^2),1)*IF(AND($A697&gt;='Control Room'!$A$14,$A697&lt;'Control Room'!$A$14+'Control Room'!$B$14,'Process'!BR3=1),1+('Control Room'!$C$14-1)*EXP(-0.5*(($A697-'Control Room'!$A$14-('Control Room'!$B$14-1)/2)/MAX(0.5,'Control Room'!$B$14/4))^2),1)*IF(AND($A697&gt;='Control Room'!$A$15,$A697&lt;'Control Room'!$A$15+'Control Room'!$B$15,'Process'!BR4=1),1+('Control Room'!$C$15-1)*EXP(-0.5*(($A697-'Control Room'!$A$15-('Control Room'!$B$15-1)/2)/MAX(0.5,'Control Room'!$B$15/4))^2),1)*IF(AND($A697&gt;='Control Room'!$A$16,$A697&lt;'Control Room'!$A$16+'Control Room'!$B$16,'Process'!BR5=1),1+('Control Room'!$C$16-1)*EXP(-0.5*(($A697-'Control Room'!$A$16-('Control Room'!$B$16-1)/2)/MAX(0.5,'Control Room'!$B$16/4))^2),1)</x:f>
        <x:v>1</x:v>
      </x:c>
      <x:c r="AP697" s="9" t="n">
        <x:f>MOD(AQ696*16807,2147483647)</x:f>
        <x:v>1072502690</x:v>
      </x:c>
      <x:c r="AQ697" s="9" t="n">
        <x:f>MOD(AP697*16807,2147483647)</x:f>
        <x:v>1722461559</x:v>
      </x:c>
      <x:c r="AR697" s="17" t="n">
        <x:f>IF('Control Room'!$B$5="Normal",'Control Room'!$B$7+'Control Room'!$D$7*SQRT(-2*LN(MAX(0.000000000001,AP697/2147483647)))*COS(2*PI()*AQ697/2147483647),'Control Room'!$B$8+('Control Room'!$D$8-'Control Room'!$B$8)*AP697/2147483647)</x:f>
        <x:v>1034.0905147794672</x:v>
      </x:c>
      <x:c r="AS697" s="17" t="n">
        <x:f>IF('Control Room'!$B$5="Normal",'Control Room'!$B$7,('Control Room'!$B$8+'Control Room'!$D$8)/2)+'Control Room'!$B$9*(AS696-IF('Control Room'!$B$5="Normal",'Control Room'!$B$7,('Control Room'!$B$8+'Control Room'!$D$8)/2))+SQRT(1-'Control Room'!$B$9^2)*(AR697-IF('Control Room'!$B$5="Normal",'Control Room'!$B$7,('Control Room'!$B$8+'Control Room'!$D$8)/2))</x:f>
        <x:v>1087.90179041786</x:v>
      </x:c>
      <x:c r="AT697" s="17" t="n">
        <x:f>IF(AND($A697&gt;='Control Room'!$A$13,$A697&lt;'Control Room'!$A$13+'Control Room'!$B$13,'Process'!BS2=1),1+('Control Room'!$C$13-1)*EXP(-0.5*(($A697-'Control Room'!$A$13-('Control Room'!$B$13-1)/2)/MAX(0.5,'Control Room'!$B$13/4))^2),1)*IF(AND($A697&gt;='Control Room'!$A$14,$A697&lt;'Control Room'!$A$14+'Control Room'!$B$14,'Process'!BS3=1),1+('Control Room'!$C$14-1)*EXP(-0.5*(($A697-'Control Room'!$A$14-('Control Room'!$B$14-1)/2)/MAX(0.5,'Control Room'!$B$14/4))^2),1)*IF(AND($A697&gt;='Control Room'!$A$15,$A697&lt;'Control Room'!$A$15+'Control Room'!$B$15,'Process'!BS4=1),1+('Control Room'!$C$15-1)*EXP(-0.5*(($A697-'Control Room'!$A$15-('Control Room'!$B$15-1)/2)/MAX(0.5,'Control Room'!$B$15/4))^2),1)*IF(AND($A697&gt;='Control Room'!$A$16,$A697&lt;'Control Room'!$A$16+'Control Room'!$B$16,'Process'!BS5=1),1+('Control Room'!$C$16-1)*EXP(-0.5*(($A697-'Control Room'!$A$16-('Control Room'!$B$16-1)/2)/MAX(0.5,'Control Room'!$B$16/4))^2),1)</x:f>
        <x:v>1</x:v>
      </x:c>
      <x:c r="AU697" s="9" t="n">
        <x:f>MOD(AV696*16807,2147483647)</x:f>
        <x:v>580007087</x:v>
      </x:c>
      <x:c r="AV697" s="9" t="n">
        <x:f>MOD(AU697*16807,2147483647)</x:f>
        <x:v>750837476</x:v>
      </x:c>
      <x:c r="AW697" s="17" t="n">
        <x:f>IF('Control Room'!$B$5="Normal",'Control Room'!$B$7+'Control Room'!$D$7*SQRT(-2*LN(MAX(0.000000000001,AU697/2147483647)))*COS(2*PI()*AV697/2147483647),'Control Room'!$B$8+('Control Room'!$D$8-'Control Room'!$B$8)*AU697/2147483647)</x:f>
        <x:v>914.6747936929916</x:v>
      </x:c>
      <x:c r="AX697" s="17" t="n">
        <x:f>IF('Control Room'!$B$5="Normal",'Control Room'!$B$7,('Control Room'!$B$8+'Control Room'!$D$8)/2)+'Control Room'!$B$9*(AX696-IF('Control Room'!$B$5="Normal",'Control Room'!$B$7,('Control Room'!$B$8+'Control Room'!$D$8)/2))+SQRT(1-'Control Room'!$B$9^2)*(AW697-IF('Control Room'!$B$5="Normal",'Control Room'!$B$7,('Control Room'!$B$8+'Control Room'!$D$8)/2))</x:f>
        <x:v>933.7102462127541</x:v>
      </x:c>
      <x:c r="AY697" s="17" t="n">
        <x:f>IF(AND($A697&gt;='Control Room'!$A$13,$A697&lt;'Control Room'!$A$13+'Control Room'!$B$13,'Process'!BT2=1),1+('Control Room'!$C$13-1)*EXP(-0.5*(($A697-'Control Room'!$A$13-('Control Room'!$B$13-1)/2)/MAX(0.5,'Control Room'!$B$13/4))^2),1)*IF(AND($A697&gt;='Control Room'!$A$14,$A697&lt;'Control Room'!$A$14+'Control Room'!$B$14,'Process'!BT3=1),1+('Control Room'!$C$14-1)*EXP(-0.5*(($A697-'Control Room'!$A$14-('Control Room'!$B$14-1)/2)/MAX(0.5,'Control Room'!$B$14/4))^2),1)*IF(AND($A697&gt;='Control Room'!$A$15,$A697&lt;'Control Room'!$A$15+'Control Room'!$B$15,'Process'!BT4=1),1+('Control Room'!$C$15-1)*EXP(-0.5*(($A697-'Control Room'!$A$15-('Control Room'!$B$15-1)/2)/MAX(0.5,'Control Room'!$B$15/4))^2),1)*IF(AND($A697&gt;='Control Room'!$A$16,$A697&lt;'Control Room'!$A$16+'Control Room'!$B$16,'Process'!BT5=1),1+('Control Room'!$C$16-1)*EXP(-0.5*(($A697-'Control Room'!$A$16-('Control Room'!$B$16-1)/2)/MAX(0.5,'Control Room'!$B$16/4))^2),1)</x:f>
        <x:v>1</x:v>
      </x:c>
      <x:c r="AZ697" s="9" t="n">
        <x:f>MOD(BA696*16807,2147483647)</x:f>
        <x:v>87511484</x:v>
      </x:c>
      <x:c r="BA697" s="9" t="n">
        <x:f>MOD(AZ697*16807,2147483647)</x:f>
        <x:v>1926697040</x:v>
      </x:c>
      <x:c r="BB697" s="17" t="n">
        <x:f>IF('Control Room'!$B$5="Normal",'Control Room'!$B$7+'Control Room'!$D$7*SQRT(-2*LN(MAX(0.000000000001,AZ697/2147483647)))*COS(2*PI()*BA697/2147483647),'Control Room'!$B$8+('Control Room'!$D$8-'Control Room'!$B$8)*AZ697/2147483647)</x:f>
        <x:v>1181.81525717809</x:v>
      </x:c>
      <x:c r="BC697" s="17" t="n">
        <x:f>IF('Control Room'!$B$5="Normal",'Control Room'!$B$7,('Control Room'!$B$8+'Control Room'!$D$8)/2)+'Control Room'!$B$9*(BC696-IF('Control Room'!$B$5="Normal",'Control Room'!$B$7,('Control Room'!$B$8+'Control Room'!$D$8)/2))+SQRT(1-'Control Room'!$B$9^2)*(BB697-IF('Control Room'!$B$5="Normal",'Control Room'!$B$7,('Control Room'!$B$8+'Control Room'!$D$8)/2))</x:f>
        <x:v>1028.452208297345</x:v>
      </x:c>
      <x:c r="BD697" s="17" t="n">
        <x:f>IF(AND($A697&gt;='Control Room'!$A$13,$A697&lt;'Control Room'!$A$13+'Control Room'!$B$13,'Process'!BU2=1),1+('Control Room'!$C$13-1)*EXP(-0.5*(($A697-'Control Room'!$A$13-('Control Room'!$B$13-1)/2)/MAX(0.5,'Control Room'!$B$13/4))^2),1)*IF(AND($A697&gt;='Control Room'!$A$14,$A697&lt;'Control Room'!$A$14+'Control Room'!$B$14,'Process'!BU3=1),1+('Control Room'!$C$14-1)*EXP(-0.5*(($A697-'Control Room'!$A$14-('Control Room'!$B$14-1)/2)/MAX(0.5,'Control Room'!$B$14/4))^2),1)*IF(AND($A697&gt;='Control Room'!$A$15,$A697&lt;'Control Room'!$A$15+'Control Room'!$B$15,'Process'!BU4=1),1+('Control Room'!$C$15-1)*EXP(-0.5*(($A697-'Control Room'!$A$15-('Control Room'!$B$15-1)/2)/MAX(0.5,'Control Room'!$B$15/4))^2),1)*IF(AND($A697&gt;='Control Room'!$A$16,$A697&lt;'Control Room'!$A$16+'Control Room'!$B$16,'Process'!BU5=1),1+('Control Room'!$C$16-1)*EXP(-0.5*(($A697-'Control Room'!$A$16-('Control Room'!$B$16-1)/2)/MAX(0.5,'Control Room'!$B$16/4))^2),1)</x:f>
        <x:v>1</x:v>
      </x:c>
      <x:c r="BE697" s="9" t="n">
        <x:f>MOD(BF696*16807,2147483647)</x:f>
        <x:v>1742499528</x:v>
      </x:c>
      <x:c r="BF697" s="9" t="n">
        <x:f>MOD(BE697*16807,2147483647)</x:f>
        <x:v>955072957</x:v>
      </x:c>
      <x:c r="BG697" s="17" t="n">
        <x:f>IF('Control Room'!$B$5="Normal",'Control Room'!$B$7+'Control Room'!$D$7*SQRT(-2*LN(MAX(0.000000000001,BE697/2147483647)))*COS(2*PI()*BF697/2147483647),'Control Room'!$B$8+('Control Room'!$D$8-'Control Room'!$B$8)*BE697/2147483647)</x:f>
        <x:v>945.287709884549</x:v>
      </x:c>
      <x:c r="BH697" s="17" t="n">
        <x:f>IF('Control Room'!$B$5="Normal",'Control Room'!$B$7,('Control Room'!$B$8+'Control Room'!$D$8)/2)+'Control Room'!$B$9*(BH696-IF('Control Room'!$B$5="Normal",'Control Room'!$B$7,('Control Room'!$B$8+'Control Room'!$D$8)/2))+SQRT(1-'Control Room'!$B$9^2)*(BG697-IF('Control Room'!$B$5="Normal",'Control Room'!$B$7,('Control Room'!$B$8+'Control Room'!$D$8)/2))</x:f>
        <x:v>1005.957763188752</x:v>
      </x:c>
      <x:c r="BI697" s="17" t="n">
        <x:f>IF(AND($A697&gt;='Control Room'!$A$13,$A697&lt;'Control Room'!$A$13+'Control Room'!$B$13,'Process'!BV2=1),1+('Control Room'!$C$13-1)*EXP(-0.5*(($A697-'Control Room'!$A$13-('Control Room'!$B$13-1)/2)/MAX(0.5,'Control Room'!$B$13/4))^2),1)*IF(AND($A697&gt;='Control Room'!$A$14,$A697&lt;'Control Room'!$A$14+'Control Room'!$B$14,'Process'!BV3=1),1+('Control Room'!$C$14-1)*EXP(-0.5*(($A697-'Control Room'!$A$14-('Control Room'!$B$14-1)/2)/MAX(0.5,'Control Room'!$B$14/4))^2),1)*IF(AND($A697&gt;='Control Room'!$A$15,$A697&lt;'Control Room'!$A$15+'Control Room'!$B$15,'Process'!BV4=1),1+('Control Room'!$C$15-1)*EXP(-0.5*(($A697-'Control Room'!$A$15-('Control Room'!$B$15-1)/2)/MAX(0.5,'Control Room'!$B$15/4))^2),1)*IF(AND($A697&gt;='Control Room'!$A$16,$A697&lt;'Control Room'!$A$16+'Control Room'!$B$16,'Process'!BV5=1),1+('Control Room'!$C$16-1)*EXP(-0.5*(($A697-'Control Room'!$A$16-('Control Room'!$B$16-1)/2)/MAX(0.5,'Control Room'!$B$16/4))^2),1)</x:f>
        <x:v>1</x:v>
      </x:c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Z697" t="str">
        <x:f>IF('Data'!A697="","",TEXT('Data'!A697,"mm-dd"))</x:f>
      </x:c>
    </x:row>
    <x:row r="698" ht="21" customHeight="1">
      <x:c r="A698" s="15" t="n">
        <x:f>'Control Room'!$B$1+696</x:f>
        <x:v>73687</x:v>
      </x:c>
      <x:c r="B698" s="9" t="n">
        <x:f>MOD(C697*16807,2147483647)</x:f>
        <x:v>1999382803</x:v>
      </x:c>
      <x:c r="C698" s="9" t="n">
        <x:f>MOD(B698*16807,2147483647)</x:f>
        <x:v>1950145412</x:v>
      </x:c>
      <x:c r="D698" s="17" t="n">
        <x:f>IF('Control Room'!$B$5="Normal",'Control Room'!$B$7+'Control Room'!$D$7*SQRT(-2*LN(MAX(0.000000000001,B698/2147483647)))*COS(2*PI()*C698/2147483647),'Control Room'!$B$8+('Control Room'!$D$8-'Control Room'!$B$8)*B698/2147483647)</x:f>
        <x:v>1028.508457292207</x:v>
      </x:c>
      <x:c r="E698" s="17" t="n">
        <x:f>IF('Control Room'!$B$5="Normal",'Control Room'!$B$7,('Control Room'!$B$8+'Control Room'!$D$8)/2)+'Control Room'!$B$9*(E697-IF('Control Room'!$B$5="Normal",'Control Room'!$B$7,('Control Room'!$B$8+'Control Room'!$D$8)/2))+SQRT(1-'Control Room'!$B$9^2)*(D698-IF('Control Room'!$B$5="Normal",'Control Room'!$B$7,('Control Room'!$B$8+'Control Room'!$D$8)/2))</x:f>
        <x:v>986.1198709581861</x:v>
      </x:c>
      <x:c r="F698" s="17" t="n">
        <x:f>IF(AND($A698&gt;='Control Room'!$A$13,$A698&lt;'Control Room'!$A$13+'Control Room'!$B$13,'Process'!BK2=1),1+('Control Room'!$C$13-1)*EXP(-0.5*(($A698-'Control Room'!$A$13-('Control Room'!$B$13-1)/2)/MAX(0.5,'Control Room'!$B$13/4))^2),1)*IF(AND($A698&gt;='Control Room'!$A$14,$A698&lt;'Control Room'!$A$14+'Control Room'!$B$14,'Process'!BK3=1),1+('Control Room'!$C$14-1)*EXP(-0.5*(($A698-'Control Room'!$A$14-('Control Room'!$B$14-1)/2)/MAX(0.5,'Control Room'!$B$14/4))^2),1)*IF(AND($A698&gt;='Control Room'!$A$15,$A698&lt;'Control Room'!$A$15+'Control Room'!$B$15,'Process'!BK4=1),1+('Control Room'!$C$15-1)*EXP(-0.5*(($A698-'Control Room'!$A$15-('Control Room'!$B$15-1)/2)/MAX(0.5,'Control Room'!$B$15/4))^2),1)*IF(AND($A698&gt;='Control Room'!$A$16,$A698&lt;'Control Room'!$A$16+'Control Room'!$B$16,'Process'!BK5=1),1+('Control Room'!$C$16-1)*EXP(-0.5*(($A698-'Control Room'!$A$16-('Control Room'!$B$16-1)/2)/MAX(0.5,'Control Room'!$B$16/4))^2),1)</x:f>
        <x:v>1</x:v>
      </x:c>
      <x:c r="G698" s="9" t="n">
        <x:f>MOD(H697*16807,2147483647)</x:f>
        <x:v>1379071610</x:v>
      </x:c>
      <x:c r="H698" s="9" t="n">
        <x:f>MOD(G698*16807,2147483647)</x:f>
        <x:v>265547199</x:v>
      </x:c>
      <x:c r="I698" s="17" t="n">
        <x:f>IF('Control Room'!$B$5="Normal",'Control Room'!$B$7+'Control Room'!$D$7*SQRT(-2*LN(MAX(0.000000000001,G698/2147483647)))*COS(2*PI()*H698/2147483647),'Control Room'!$B$8+('Control Room'!$D$8-'Control Room'!$B$8)*G698/2147483647)</x:f>
        <x:v>1060.3987281786608</x:v>
      </x:c>
      <x:c r="J698" s="17" t="n">
        <x:f>IF('Control Room'!$B$5="Normal",'Control Room'!$B$7,('Control Room'!$B$8+'Control Room'!$D$8)/2)+'Control Room'!$B$9*(J697-IF('Control Room'!$B$5="Normal",'Control Room'!$B$7,('Control Room'!$B$8+'Control Room'!$D$8)/2))+SQRT(1-'Control Room'!$B$9^2)*(I698-IF('Control Room'!$B$5="Normal",'Control Room'!$B$7,('Control Room'!$B$8+'Control Room'!$D$8)/2))</x:f>
        <x:v>1092.9431667752426</x:v>
      </x:c>
      <x:c r="K698" s="17" t="n">
        <x:f>IF(AND($A698&gt;='Control Room'!$A$13,$A698&lt;'Control Room'!$A$13+'Control Room'!$B$13,'Process'!BL2=1),1+('Control Room'!$C$13-1)*EXP(-0.5*(($A698-'Control Room'!$A$13-('Control Room'!$B$13-1)/2)/MAX(0.5,'Control Room'!$B$13/4))^2),1)*IF(AND($A698&gt;='Control Room'!$A$14,$A698&lt;'Control Room'!$A$14+'Control Room'!$B$14,'Process'!BL3=1),1+('Control Room'!$C$14-1)*EXP(-0.5*(($A698-'Control Room'!$A$14-('Control Room'!$B$14-1)/2)/MAX(0.5,'Control Room'!$B$14/4))^2),1)*IF(AND($A698&gt;='Control Room'!$A$15,$A698&lt;'Control Room'!$A$15+'Control Room'!$B$15,'Process'!BL4=1),1+('Control Room'!$C$15-1)*EXP(-0.5*(($A698-'Control Room'!$A$15-('Control Room'!$B$15-1)/2)/MAX(0.5,'Control Room'!$B$15/4))^2),1)*IF(AND($A698&gt;='Control Room'!$A$16,$A698&lt;'Control Room'!$A$16+'Control Room'!$B$16,'Process'!BL5=1),1+('Control Room'!$C$16-1)*EXP(-0.5*(($A698-'Control Room'!$A$16-('Control Room'!$B$16-1)/2)/MAX(0.5,'Control Room'!$B$16/4))^2),1)</x:f>
        <x:v>1</x:v>
      </x:c>
      <x:c r="L698" s="9" t="n">
        <x:f>MOD(M697*16807,2147483647)</x:f>
        <x:v>758760417</x:v>
      </x:c>
      <x:c r="M698" s="9" t="n">
        <x:f>MOD(L698*16807,2147483647)</x:f>
        <x:v>728432633</x:v>
      </x:c>
      <x:c r="N698" s="17" t="n">
        <x:f>IF('Control Room'!$B$5="Normal",'Control Room'!$B$7+'Control Room'!$D$7*SQRT(-2*LN(MAX(0.000000000001,L698/2147483647)))*COS(2*PI()*M698/2147483647),'Control Room'!$B$8+('Control Room'!$D$8-'Control Room'!$B$8)*L698/2147483647)</x:f>
        <x:v>930.9873913956607</x:v>
      </x:c>
      <x:c r="O698" s="17" t="n">
        <x:f>IF('Control Room'!$B$5="Normal",'Control Room'!$B$7,('Control Room'!$B$8+'Control Room'!$D$8)/2)+'Control Room'!$B$9*(O697-IF('Control Room'!$B$5="Normal",'Control Room'!$B$7,('Control Room'!$B$8+'Control Room'!$D$8)/2))+SQRT(1-'Control Room'!$B$9^2)*(N698-IF('Control Room'!$B$5="Normal",'Control Room'!$B$7,('Control Room'!$B$8+'Control Room'!$D$8)/2))</x:f>
        <x:v>953.8089652419058</x:v>
      </x:c>
      <x:c r="P698" s="17" t="n">
        <x:f>IF(AND($A698&gt;='Control Room'!$A$13,$A698&lt;'Control Room'!$A$13+'Control Room'!$B$13,'Process'!BM2=1),1+('Control Room'!$C$13-1)*EXP(-0.5*(($A698-'Control Room'!$A$13-('Control Room'!$B$13-1)/2)/MAX(0.5,'Control Room'!$B$13/4))^2),1)*IF(AND($A698&gt;='Control Room'!$A$14,$A698&lt;'Control Room'!$A$14+'Control Room'!$B$14,'Process'!BM3=1),1+('Control Room'!$C$14-1)*EXP(-0.5*(($A698-'Control Room'!$A$14-('Control Room'!$B$14-1)/2)/MAX(0.5,'Control Room'!$B$14/4))^2),1)*IF(AND($A698&gt;='Control Room'!$A$15,$A698&lt;'Control Room'!$A$15+'Control Room'!$B$15,'Process'!BM4=1),1+('Control Room'!$C$15-1)*EXP(-0.5*(($A698-'Control Room'!$A$15-('Control Room'!$B$15-1)/2)/MAX(0.5,'Control Room'!$B$15/4))^2),1)*IF(AND($A698&gt;='Control Room'!$A$16,$A698&lt;'Control Room'!$A$16+'Control Room'!$B$16,'Process'!BM5=1),1+('Control Room'!$C$16-1)*EXP(-0.5*(($A698-'Control Room'!$A$16-('Control Room'!$B$16-1)/2)/MAX(0.5,'Control Room'!$B$16/4))^2),1)</x:f>
        <x:v>1</x:v>
      </x:c>
      <x:c r="Q698" s="9" t="n">
        <x:f>MOD(R697*16807,2147483647)</x:f>
        <x:v>138449224</x:v>
      </x:c>
      <x:c r="R698" s="9" t="n">
        <x:f>MOD(Q698*16807,2147483647)</x:f>
        <x:v>1191318067</x:v>
      </x:c>
      <x:c r="S698" s="17" t="n">
        <x:f>IF('Control Room'!$B$5="Normal",'Control Room'!$B$7+'Control Room'!$D$7*SQRT(-2*LN(MAX(0.000000000001,Q698/2147483647)))*COS(2*PI()*R698/2147483647),'Control Room'!$B$8+('Control Room'!$D$8-'Control Room'!$B$8)*Q698/2147483647)</x:f>
        <x:v>801.6033356115481</x:v>
      </x:c>
      <x:c r="T698" s="17" t="n">
        <x:f>IF('Control Room'!$B$5="Normal",'Control Room'!$B$7,('Control Room'!$B$8+'Control Room'!$D$8)/2)+'Control Room'!$B$9*(T697-IF('Control Room'!$B$5="Normal",'Control Room'!$B$7,('Control Room'!$B$8+'Control Room'!$D$8)/2))+SQRT(1-'Control Room'!$B$9^2)*(S698-IF('Control Room'!$B$5="Normal",'Control Room'!$B$7,('Control Room'!$B$8+'Control Room'!$D$8)/2))</x:f>
        <x:v>975.9757841979944</x:v>
      </x:c>
      <x:c r="U698" s="17" t="n">
        <x:f>IF(AND($A698&gt;='Control Room'!$A$13,$A698&lt;'Control Room'!$A$13+'Control Room'!$B$13,'Process'!BN2=1),1+('Control Room'!$C$13-1)*EXP(-0.5*(($A698-'Control Room'!$A$13-('Control Room'!$B$13-1)/2)/MAX(0.5,'Control Room'!$B$13/4))^2),1)*IF(AND($A698&gt;='Control Room'!$A$14,$A698&lt;'Control Room'!$A$14+'Control Room'!$B$14,'Process'!BN3=1),1+('Control Room'!$C$14-1)*EXP(-0.5*(($A698-'Control Room'!$A$14-('Control Room'!$B$14-1)/2)/MAX(0.5,'Control Room'!$B$14/4))^2),1)*IF(AND($A698&gt;='Control Room'!$A$15,$A698&lt;'Control Room'!$A$15+'Control Room'!$B$15,'Process'!BN4=1),1+('Control Room'!$C$15-1)*EXP(-0.5*(($A698-'Control Room'!$A$15-('Control Room'!$B$15-1)/2)/MAX(0.5,'Control Room'!$B$15/4))^2),1)*IF(AND($A698&gt;='Control Room'!$A$16,$A698&lt;'Control Room'!$A$16+'Control Room'!$B$16,'Process'!BN5=1),1+('Control Room'!$C$16-1)*EXP(-0.5*(($A698-'Control Room'!$A$16-('Control Room'!$B$16-1)/2)/MAX(0.5,'Control Room'!$B$16/4))^2),1)</x:f>
        <x:v>1</x:v>
      </x:c>
      <x:c r="V698" s="9" t="n">
        <x:f>MOD(W697*16807,2147483647)</x:f>
        <x:v>1665621678</x:v>
      </x:c>
      <x:c r="W698" s="9" t="n">
        <x:f>MOD(V698*16807,2147483647)</x:f>
        <x:v>1654203501</x:v>
      </x:c>
      <x:c r="X698" s="17" t="n">
        <x:f>IF('Control Room'!$B$5="Normal",'Control Room'!$B$7+'Control Room'!$D$7*SQRT(-2*LN(MAX(0.000000000001,V698/2147483647)))*COS(2*PI()*W698/2147483647),'Control Room'!$B$8+('Control Room'!$D$8-'Control Room'!$B$8)*V698/2147483647)</x:f>
        <x:v>1008.1606523459247</x:v>
      </x:c>
      <x:c r="Y698" s="17" t="n">
        <x:f>IF('Control Room'!$B$5="Normal",'Control Room'!$B$7,('Control Room'!$B$8+'Control Room'!$D$8)/2)+'Control Room'!$B$9*(Y697-IF('Control Room'!$B$5="Normal",'Control Room'!$B$7,('Control Room'!$B$8+'Control Room'!$D$8)/2))+SQRT(1-'Control Room'!$B$9^2)*(X698-IF('Control Room'!$B$5="Normal",'Control Room'!$B$7,('Control Room'!$B$8+'Control Room'!$D$8)/2))</x:f>
        <x:v>921.496725681067</x:v>
      </x:c>
      <x:c r="Z698" s="17" t="n">
        <x:f>IF(AND($A698&gt;='Control Room'!$A$13,$A698&lt;'Control Room'!$A$13+'Control Room'!$B$13,'Process'!BO2=1),1+('Control Room'!$C$13-1)*EXP(-0.5*(($A698-'Control Room'!$A$13-('Control Room'!$B$13-1)/2)/MAX(0.5,'Control Room'!$B$13/4))^2),1)*IF(AND($A698&gt;='Control Room'!$A$14,$A698&lt;'Control Room'!$A$14+'Control Room'!$B$14,'Process'!BO3=1),1+('Control Room'!$C$14-1)*EXP(-0.5*(($A698-'Control Room'!$A$14-('Control Room'!$B$14-1)/2)/MAX(0.5,'Control Room'!$B$14/4))^2),1)*IF(AND($A698&gt;='Control Room'!$A$15,$A698&lt;'Control Room'!$A$15+'Control Room'!$B$15,'Process'!BO4=1),1+('Control Room'!$C$15-1)*EXP(-0.5*(($A698-'Control Room'!$A$15-('Control Room'!$B$15-1)/2)/MAX(0.5,'Control Room'!$B$15/4))^2),1)*IF(AND($A698&gt;='Control Room'!$A$16,$A698&lt;'Control Room'!$A$16+'Control Room'!$B$16,'Process'!BO5=1),1+('Control Room'!$C$16-1)*EXP(-0.5*(($A698-'Control Room'!$A$16-('Control Room'!$B$16-1)/2)/MAX(0.5,'Control Room'!$B$16/4))^2),1)</x:f>
        <x:v>1</x:v>
      </x:c>
      <x:c r="AA698" s="9" t="n">
        <x:f>MOD(AB697*16807,2147483647)</x:f>
        <x:v>1045310485</x:v>
      </x:c>
      <x:c r="AB698" s="9" t="n">
        <x:f>MOD(AA698*16807,2147483647)</x:f>
        <x:v>2117088935</x:v>
      </x:c>
      <x:c r="AC698" s="17" t="n">
        <x:f>IF('Control Room'!$B$5="Normal",'Control Room'!$B$7+'Control Room'!$D$7*SQRT(-2*LN(MAX(0.000000000001,AA698/2147483647)))*COS(2*PI()*AB698/2147483647),'Control Room'!$B$8+('Control Room'!$D$8-'Control Room'!$B$8)*AA698/2147483647)</x:f>
        <x:v>1107.5719358340862</x:v>
      </x:c>
      <x:c r="AD698" s="17" t="n">
        <x:f>IF('Control Room'!$B$5="Normal",'Control Room'!$B$7,('Control Room'!$B$8+'Control Room'!$D$8)/2)+'Control Room'!$B$9*(AD697-IF('Control Room'!$B$5="Normal",'Control Room'!$B$7,('Control Room'!$B$8+'Control Room'!$D$8)/2))+SQRT(1-'Control Room'!$B$9^2)*(AC698-IF('Control Room'!$B$5="Normal",'Control Room'!$B$7,('Control Room'!$B$8+'Control Room'!$D$8)/2))</x:f>
        <x:v>1015.21397593473</x:v>
      </x:c>
      <x:c r="AE698" s="17" t="n">
        <x:f>IF(AND($A698&gt;='Control Room'!$A$13,$A698&lt;'Control Room'!$A$13+'Control Room'!$B$13,'Process'!BP2=1),1+('Control Room'!$C$13-1)*EXP(-0.5*(($A698-'Control Room'!$A$13-('Control Room'!$B$13-1)/2)/MAX(0.5,'Control Room'!$B$13/4))^2),1)*IF(AND($A698&gt;='Control Room'!$A$14,$A698&lt;'Control Room'!$A$14+'Control Room'!$B$14,'Process'!BP3=1),1+('Control Room'!$C$14-1)*EXP(-0.5*(($A698-'Control Room'!$A$14-('Control Room'!$B$14-1)/2)/MAX(0.5,'Control Room'!$B$14/4))^2),1)*IF(AND($A698&gt;='Control Room'!$A$15,$A698&lt;'Control Room'!$A$15+'Control Room'!$B$15,'Process'!BP4=1),1+('Control Room'!$C$15-1)*EXP(-0.5*(($A698-'Control Room'!$A$15-('Control Room'!$B$15-1)/2)/MAX(0.5,'Control Room'!$B$15/4))^2),1)*IF(AND($A698&gt;='Control Room'!$A$16,$A698&lt;'Control Room'!$A$16+'Control Room'!$B$16,'Process'!BP5=1),1+('Control Room'!$C$16-1)*EXP(-0.5*(($A698-'Control Room'!$A$16-('Control Room'!$B$16-1)/2)/MAX(0.5,'Control Room'!$B$16/4))^2),1)</x:f>
        <x:v>1</x:v>
      </x:c>
      <x:c r="AF698" s="9" t="n">
        <x:f>MOD(AG697*16807,2147483647)</x:f>
        <x:v>424999292</x:v>
      </x:c>
      <x:c r="AG698" s="9" t="n">
        <x:f>MOD(AF698*16807,2147483647)</x:f>
        <x:v>432490722</x:v>
      </x:c>
      <x:c r="AH698" s="17" t="n">
        <x:f>IF('Control Room'!$B$5="Normal",'Control Room'!$B$7+'Control Room'!$D$7*SQRT(-2*LN(MAX(0.000000000001,AF698/2147483647)))*COS(2*PI()*AG698/2147483647),'Control Room'!$B$8+('Control Room'!$D$8-'Control Room'!$B$8)*AF698/2147483647)</x:f>
        <x:v>1048.7086636437184</x:v>
      </x:c>
      <x:c r="AI698" s="17" t="n">
        <x:f>IF('Control Room'!$B$5="Normal",'Control Room'!$B$7,('Control Room'!$B$8+'Control Room'!$D$8)/2)+'Control Room'!$B$9*(AI697-IF('Control Room'!$B$5="Normal",'Control Room'!$B$7,('Control Room'!$B$8+'Control Room'!$D$8)/2))+SQRT(1-'Control Room'!$B$9^2)*(AH698-IF('Control Room'!$B$5="Normal",'Control Room'!$B$7,('Control Room'!$B$8+'Control Room'!$D$8)/2))</x:f>
        <x:v>1047.1360579792854</x:v>
      </x:c>
      <x:c r="AJ698" s="17" t="n">
        <x:f>IF(AND($A698&gt;='Control Room'!$A$13,$A698&lt;'Control Room'!$A$13+'Control Room'!$B$13,'Process'!BQ2=1),1+('Control Room'!$C$13-1)*EXP(-0.5*(($A698-'Control Room'!$A$13-('Control Room'!$B$13-1)/2)/MAX(0.5,'Control Room'!$B$13/4))^2),1)*IF(AND($A698&gt;='Control Room'!$A$14,$A698&lt;'Control Room'!$A$14+'Control Room'!$B$14,'Process'!BQ3=1),1+('Control Room'!$C$14-1)*EXP(-0.5*(($A698-'Control Room'!$A$14-('Control Room'!$B$14-1)/2)/MAX(0.5,'Control Room'!$B$14/4))^2),1)*IF(AND($A698&gt;='Control Room'!$A$15,$A698&lt;'Control Room'!$A$15+'Control Room'!$B$15,'Process'!BQ4=1),1+('Control Room'!$C$15-1)*EXP(-0.5*(($A698-'Control Room'!$A$15-('Control Room'!$B$15-1)/2)/MAX(0.5,'Control Room'!$B$15/4))^2),1)*IF(AND($A698&gt;='Control Room'!$A$16,$A698&lt;'Control Room'!$A$16+'Control Room'!$B$16,'Process'!BQ5=1),1+('Control Room'!$C$16-1)*EXP(-0.5*(($A698-'Control Room'!$A$16-('Control Room'!$B$16-1)/2)/MAX(0.5,'Control Room'!$B$16/4))^2),1)</x:f>
        <x:v>1</x:v>
      </x:c>
      <x:c r="AK698" s="9" t="n">
        <x:f>MOD(AL697*16807,2147483647)</x:f>
        <x:v>1952171746</x:v>
      </x:c>
      <x:c r="AL698" s="9" t="n">
        <x:f>MOD(AK698*16807,2147483647)</x:f>
        <x:v>895376156</x:v>
      </x:c>
      <x:c r="AM698" s="17" t="n">
        <x:f>IF('Control Room'!$B$5="Normal",'Control Room'!$B$7+'Control Room'!$D$7*SQRT(-2*LN(MAX(0.000000000001,AK698/2147483647)))*COS(2*PI()*AL698/2147483647),'Control Room'!$B$8+('Control Room'!$D$8-'Control Room'!$B$8)*AK698/2147483647)</x:f>
        <x:v>965.9285051369633</x:v>
      </x:c>
      <x:c r="AN698" s="17" t="n">
        <x:f>IF('Control Room'!$B$5="Normal",'Control Room'!$B$7,('Control Room'!$B$8+'Control Room'!$D$8)/2)+'Control Room'!$B$9*(AN697-IF('Control Room'!$B$5="Normal",'Control Room'!$B$7,('Control Room'!$B$8+'Control Room'!$D$8)/2))+SQRT(1-'Control Room'!$B$9^2)*(AM698-IF('Control Room'!$B$5="Normal",'Control Room'!$B$7,('Control Room'!$B$8+'Control Room'!$D$8)/2))</x:f>
        <x:v>1083.2018410178932</x:v>
      </x:c>
      <x:c r="AO698" s="17" t="n">
        <x:f>IF(AND($A698&gt;='Control Room'!$A$13,$A698&lt;'Control Room'!$A$13+'Control Room'!$B$13,'Process'!BR2=1),1+('Control Room'!$C$13-1)*EXP(-0.5*(($A698-'Control Room'!$A$13-('Control Room'!$B$13-1)/2)/MAX(0.5,'Control Room'!$B$13/4))^2),1)*IF(AND($A698&gt;='Control Room'!$A$14,$A698&lt;'Control Room'!$A$14+'Control Room'!$B$14,'Process'!BR3=1),1+('Control Room'!$C$14-1)*EXP(-0.5*(($A698-'Control Room'!$A$14-('Control Room'!$B$14-1)/2)/MAX(0.5,'Control Room'!$B$14/4))^2),1)*IF(AND($A698&gt;='Control Room'!$A$15,$A698&lt;'Control Room'!$A$15+'Control Room'!$B$15,'Process'!BR4=1),1+('Control Room'!$C$15-1)*EXP(-0.5*(($A698-'Control Room'!$A$15-('Control Room'!$B$15-1)/2)/MAX(0.5,'Control Room'!$B$15/4))^2),1)*IF(AND($A698&gt;='Control Room'!$A$16,$A698&lt;'Control Room'!$A$16+'Control Room'!$B$16,'Process'!BR5=1),1+('Control Room'!$C$16-1)*EXP(-0.5*(($A698-'Control Room'!$A$16-('Control Room'!$B$16-1)/2)/MAX(0.5,'Control Room'!$B$16/4))^2),1)</x:f>
        <x:v>1</x:v>
      </x:c>
      <x:c r="AP698" s="9" t="n">
        <x:f>MOD(AQ697*16807,2147483647)</x:f>
        <x:v>1331860553</x:v>
      </x:c>
      <x:c r="AQ698" s="9" t="n">
        <x:f>MOD(AP698*16807,2147483647)</x:f>
        <x:v>1358261590</x:v>
      </x:c>
      <x:c r="AR698" s="17" t="n">
        <x:f>IF('Control Room'!$B$5="Normal",'Control Room'!$B$7+'Control Room'!$D$7*SQRT(-2*LN(MAX(0.000000000001,AP698/2147483647)))*COS(2*PI()*AQ698/2147483647),'Control Room'!$B$8+('Control Room'!$D$8-'Control Room'!$B$8)*AP698/2147483647)</x:f>
        <x:v>940.7896307631996</x:v>
      </x:c>
      <x:c r="AS698" s="17" t="n">
        <x:f>IF('Control Room'!$B$5="Normal",'Control Room'!$B$7,('Control Room'!$B$8+'Control Room'!$D$8)/2)+'Control Room'!$B$9*(AS697-IF('Control Room'!$B$5="Normal",'Control Room'!$B$7,('Control Room'!$B$8+'Control Room'!$D$8)/2))+SQRT(1-'Control Room'!$B$9^2)*(AR698-IF('Control Room'!$B$5="Normal",'Control Room'!$B$7,('Control Room'!$B$8+'Control Room'!$D$8)/2))</x:f>
        <x:v>1031.510760447887</x:v>
      </x:c>
      <x:c r="AT698" s="17" t="n">
        <x:f>IF(AND($A698&gt;='Control Room'!$A$13,$A698&lt;'Control Room'!$A$13+'Control Room'!$B$13,'Process'!BS2=1),1+('Control Room'!$C$13-1)*EXP(-0.5*(($A698-'Control Room'!$A$13-('Control Room'!$B$13-1)/2)/MAX(0.5,'Control Room'!$B$13/4))^2),1)*IF(AND($A698&gt;='Control Room'!$A$14,$A698&lt;'Control Room'!$A$14+'Control Room'!$B$14,'Process'!BS3=1),1+('Control Room'!$C$14-1)*EXP(-0.5*(($A698-'Control Room'!$A$14-('Control Room'!$B$14-1)/2)/MAX(0.5,'Control Room'!$B$14/4))^2),1)*IF(AND($A698&gt;='Control Room'!$A$15,$A698&lt;'Control Room'!$A$15+'Control Room'!$B$15,'Process'!BS4=1),1+('Control Room'!$C$15-1)*EXP(-0.5*(($A698-'Control Room'!$A$15-('Control Room'!$B$15-1)/2)/MAX(0.5,'Control Room'!$B$15/4))^2),1)*IF(AND($A698&gt;='Control Room'!$A$16,$A698&lt;'Control Room'!$A$16+'Control Room'!$B$16,'Process'!BS5=1),1+('Control Room'!$C$16-1)*EXP(-0.5*(($A698-'Control Room'!$A$16-('Control Room'!$B$16-1)/2)/MAX(0.5,'Control Room'!$B$16/4))^2),1)</x:f>
        <x:v>1</x:v>
      </x:c>
      <x:c r="AU698" s="9" t="n">
        <x:f>MOD(AV697*16807,2147483647)</x:f>
        <x:v>711549360</x:v>
      </x:c>
      <x:c r="AV698" s="9" t="n">
        <x:f>MOD(AU698*16807,2147483647)</x:f>
        <x:v>1821147024</x:v>
      </x:c>
      <x:c r="AW698" s="17" t="n">
        <x:f>IF('Control Room'!$B$5="Normal",'Control Room'!$B$7+'Control Room'!$D$7*SQRT(-2*LN(MAX(0.000000000001,AU698/2147483647)))*COS(2*PI()*AV698/2147483647),'Control Room'!$B$8+('Control Room'!$D$8-'Control Room'!$B$8)*AU698/2147483647)</x:f>
        <x:v>1077.288228564517</x:v>
      </x:c>
      <x:c r="AX698" s="17" t="n">
        <x:f>IF('Control Room'!$B$5="Normal",'Control Room'!$B$7,('Control Room'!$B$8+'Control Room'!$D$8)/2)+'Control Room'!$B$9*(AX697-IF('Control Room'!$B$5="Normal",'Control Room'!$B$7,('Control Room'!$B$8+'Control Room'!$D$8)/2))+SQRT(1-'Control Room'!$B$9^2)*(AW698-IF('Control Room'!$B$5="Normal",'Control Room'!$B$7,('Control Room'!$B$8+'Control Room'!$D$8)/2))</x:f>
        <x:v>996.6593821461989</x:v>
      </x:c>
      <x:c r="AY698" s="17" t="n">
        <x:f>IF(AND($A698&gt;='Control Room'!$A$13,$A698&lt;'Control Room'!$A$13+'Control Room'!$B$13,'Process'!BT2=1),1+('Control Room'!$C$13-1)*EXP(-0.5*(($A698-'Control Room'!$A$13-('Control Room'!$B$13-1)/2)/MAX(0.5,'Control Room'!$B$13/4))^2),1)*IF(AND($A698&gt;='Control Room'!$A$14,$A698&lt;'Control Room'!$A$14+'Control Room'!$B$14,'Process'!BT3=1),1+('Control Room'!$C$14-1)*EXP(-0.5*(($A698-'Control Room'!$A$14-('Control Room'!$B$14-1)/2)/MAX(0.5,'Control Room'!$B$14/4))^2),1)*IF(AND($A698&gt;='Control Room'!$A$15,$A698&lt;'Control Room'!$A$15+'Control Room'!$B$15,'Process'!BT4=1),1+('Control Room'!$C$15-1)*EXP(-0.5*(($A698-'Control Room'!$A$15-('Control Room'!$B$15-1)/2)/MAX(0.5,'Control Room'!$B$15/4))^2),1)*IF(AND($A698&gt;='Control Room'!$A$16,$A698&lt;'Control Room'!$A$16+'Control Room'!$B$16,'Process'!BT5=1),1+('Control Room'!$C$16-1)*EXP(-0.5*(($A698-'Control Room'!$A$16-('Control Room'!$B$16-1)/2)/MAX(0.5,'Control Room'!$B$16/4))^2),1)</x:f>
        <x:v>1</x:v>
      </x:c>
      <x:c r="AZ698" s="9" t="n">
        <x:f>MOD(BA697*16807,2147483647)</x:f>
        <x:v>91238167</x:v>
      </x:c>
      <x:c r="BA698" s="9" t="n">
        <x:f>MOD(AZ698*16807,2147483647)</x:f>
        <x:v>136548811</x:v>
      </x:c>
      <x:c r="BB698" s="17" t="n">
        <x:f>IF('Control Room'!$B$5="Normal",'Control Room'!$B$7+'Control Room'!$D$7*SQRT(-2*LN(MAX(0.000000000001,AZ698/2147483647)))*COS(2*PI()*BA698/2147483647),'Control Room'!$B$8+('Control Room'!$D$8-'Control Room'!$B$8)*AZ698/2147483647)</x:f>
        <x:v>1208.3914658448443</x:v>
      </x:c>
      <x:c r="BC698" s="17" t="n">
        <x:f>IF('Control Room'!$B$5="Normal",'Control Room'!$B$7,('Control Room'!$B$8+'Control Room'!$D$8)/2)+'Control Room'!$B$9*(BC697-IF('Control Room'!$B$5="Normal",'Control Room'!$B$7,('Control Room'!$B$8+'Control Room'!$D$8)/2))+SQRT(1-'Control Room'!$B$9^2)*(BB698-IF('Control Room'!$B$5="Normal",'Control Room'!$B$7,('Control Room'!$B$8+'Control Room'!$D$8)/2))</x:f>
        <x:v>1152.5998326664069</x:v>
      </x:c>
      <x:c r="BD698" s="17" t="n">
        <x:f>IF(AND($A698&gt;='Control Room'!$A$13,$A698&lt;'Control Room'!$A$13+'Control Room'!$B$13,'Process'!BU2=1),1+('Control Room'!$C$13-1)*EXP(-0.5*(($A698-'Control Room'!$A$13-('Control Room'!$B$13-1)/2)/MAX(0.5,'Control Room'!$B$13/4))^2),1)*IF(AND($A698&gt;='Control Room'!$A$14,$A698&lt;'Control Room'!$A$14+'Control Room'!$B$14,'Process'!BU3=1),1+('Control Room'!$C$14-1)*EXP(-0.5*(($A698-'Control Room'!$A$14-('Control Room'!$B$14-1)/2)/MAX(0.5,'Control Room'!$B$14/4))^2),1)*IF(AND($A698&gt;='Control Room'!$A$15,$A698&lt;'Control Room'!$A$15+'Control Room'!$B$15,'Process'!BU4=1),1+('Control Room'!$C$15-1)*EXP(-0.5*(($A698-'Control Room'!$A$15-('Control Room'!$B$15-1)/2)/MAX(0.5,'Control Room'!$B$15/4))^2),1)*IF(AND($A698&gt;='Control Room'!$A$16,$A698&lt;'Control Room'!$A$16+'Control Room'!$B$16,'Process'!BU5=1),1+('Control Room'!$C$16-1)*EXP(-0.5*(($A698-'Control Room'!$A$16-('Control Room'!$B$16-1)/2)/MAX(0.5,'Control Room'!$B$16/4))^2),1)</x:f>
        <x:v>1</x:v>
      </x:c>
      <x:c r="BE698" s="9" t="n">
        <x:f>MOD(BF697*16807,2147483647)</x:f>
        <x:v>1618410621</x:v>
      </x:c>
      <x:c r="BF698" s="9" t="n">
        <x:f>MOD(BE698*16807,2147483647)</x:f>
        <x:v>599434245</x:v>
      </x:c>
      <x:c r="BG698" s="17" t="n">
        <x:f>IF('Control Room'!$B$5="Normal",'Control Room'!$B$7+'Control Room'!$D$7*SQRT(-2*LN(MAX(0.000000000001,BE698/2147483647)))*COS(2*PI()*BF698/2147483647),'Control Room'!$B$8+('Control Room'!$D$8-'Control Room'!$B$8)*BE698/2147483647)</x:f>
        <x:v>987.6780595194151</x:v>
      </x:c>
      <x:c r="BH698" s="17" t="n">
        <x:f>IF('Control Room'!$B$5="Normal",'Control Room'!$B$7,('Control Room'!$B$8+'Control Room'!$D$8)/2)+'Control Room'!$B$9*(BH697-IF('Control Room'!$B$5="Normal",'Control Room'!$B$7,('Control Room'!$B$8+'Control Room'!$D$8)/2))+SQRT(1-'Control Room'!$B$9^2)*(BG698-IF('Control Room'!$B$5="Normal",'Control Room'!$B$7,('Control Room'!$B$8+'Control Room'!$D$8)/2))</x:f>
        <x:v>996.9362373631479</x:v>
      </x:c>
      <x:c r="BI698" s="17" t="n">
        <x:f>IF(AND($A698&gt;='Control Room'!$A$13,$A698&lt;'Control Room'!$A$13+'Control Room'!$B$13,'Process'!BV2=1),1+('Control Room'!$C$13-1)*EXP(-0.5*(($A698-'Control Room'!$A$13-('Control Room'!$B$13-1)/2)/MAX(0.5,'Control Room'!$B$13/4))^2),1)*IF(AND($A698&gt;='Control Room'!$A$14,$A698&lt;'Control Room'!$A$14+'Control Room'!$B$14,'Process'!BV3=1),1+('Control Room'!$C$14-1)*EXP(-0.5*(($A698-'Control Room'!$A$14-('Control Room'!$B$14-1)/2)/MAX(0.5,'Control Room'!$B$14/4))^2),1)*IF(AND($A698&gt;='Control Room'!$A$15,$A698&lt;'Control Room'!$A$15+'Control Room'!$B$15,'Process'!BV4=1),1+('Control Room'!$C$15-1)*EXP(-0.5*(($A698-'Control Room'!$A$15-('Control Room'!$B$15-1)/2)/MAX(0.5,'Control Room'!$B$15/4))^2),1)*IF(AND($A698&gt;='Control Room'!$A$16,$A698&lt;'Control Room'!$A$16+'Control Room'!$B$16,'Process'!BV5=1),1+('Control Room'!$C$16-1)*EXP(-0.5*(($A698-'Control Room'!$A$16-('Control Room'!$B$16-1)/2)/MAX(0.5,'Control Room'!$B$16/4))^2),1)</x:f>
        <x:v>1</x:v>
      </x:c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Z698" t="str">
        <x:f>IF('Data'!A698="","",TEXT('Data'!A698,"mm-dd"))</x:f>
      </x:c>
    </x:row>
    <x:row r="699" ht="21" customHeight="1">
      <x:c r="A699" s="15" t="n">
        <x:f>'Control Room'!$B$1+697</x:f>
        <x:v>73688</x:v>
      </x:c>
      <x:c r="B699" s="9" t="n">
        <x:f>MOD(C698*16807,2147483647)</x:f>
        <x:v>1198518970</x:v>
      </x:c>
      <x:c r="C699" s="9" t="n">
        <x:f>MOD(B699*16807,2147483647)</x:f>
        <x:v>111719930</x:v>
      </x:c>
      <x:c r="D699" s="17" t="n">
        <x:f>IF('Control Room'!$B$5="Normal",'Control Room'!$B$7+'Control Room'!$D$7*SQRT(-2*LN(MAX(0.000000000001,B699/2147483647)))*COS(2*PI()*C699/2147483647),'Control Room'!$B$8+('Control Room'!$D$8-'Control Room'!$B$8)*B699/2147483647)</x:f>
        <x:v>1092.0541209261726</x:v>
      </x:c>
      <x:c r="E699" s="17" t="n">
        <x:f>IF('Control Room'!$B$5="Normal",'Control Room'!$B$7,('Control Room'!$B$8+'Control Room'!$D$8)/2)+'Control Room'!$B$9*(E698-IF('Control Room'!$B$5="Normal",'Control Room'!$B$7,('Control Room'!$B$8+'Control Room'!$D$8)/2))+SQRT(1-'Control Room'!$B$9^2)*(D699-IF('Control Room'!$B$5="Normal",'Control Room'!$B$7,('Control Room'!$B$8+'Control Room'!$D$8)/2))</x:f>
        <x:v>1046.7790823918126</x:v>
      </x:c>
      <x:c r="F699" s="17" t="n">
        <x:f>IF(AND($A699&gt;='Control Room'!$A$13,$A699&lt;'Control Room'!$A$13+'Control Room'!$B$13,'Process'!BK2=1),1+('Control Room'!$C$13-1)*EXP(-0.5*(($A699-'Control Room'!$A$13-('Control Room'!$B$13-1)/2)/MAX(0.5,'Control Room'!$B$13/4))^2),1)*IF(AND($A699&gt;='Control Room'!$A$14,$A699&lt;'Control Room'!$A$14+'Control Room'!$B$14,'Process'!BK3=1),1+('Control Room'!$C$14-1)*EXP(-0.5*(($A699-'Control Room'!$A$14-('Control Room'!$B$14-1)/2)/MAX(0.5,'Control Room'!$B$14/4))^2),1)*IF(AND($A699&gt;='Control Room'!$A$15,$A699&lt;'Control Room'!$A$15+'Control Room'!$B$15,'Process'!BK4=1),1+('Control Room'!$C$15-1)*EXP(-0.5*(($A699-'Control Room'!$A$15-('Control Room'!$B$15-1)/2)/MAX(0.5,'Control Room'!$B$15/4))^2),1)*IF(AND($A699&gt;='Control Room'!$A$16,$A699&lt;'Control Room'!$A$16+'Control Room'!$B$16,'Process'!BK5=1),1+('Control Room'!$C$16-1)*EXP(-0.5*(($A699-'Control Room'!$A$16-('Control Room'!$B$16-1)/2)/MAX(0.5,'Control Room'!$B$16/4))^2),1)</x:f>
        <x:v>1</x:v>
      </x:c>
      <x:c r="G699" s="9" t="n">
        <x:f>MOD(H698*16807,2147483647)</x:f>
        <x:v>580755127</x:v>
      </x:c>
      <x:c r="H699" s="9" t="n">
        <x:f>MOD(G699*16807,2147483647)</x:f>
        <x:v>438243874</x:v>
      </x:c>
      <x:c r="I699" s="17" t="n">
        <x:f>IF('Control Room'!$B$5="Normal",'Control Room'!$B$7+'Control Room'!$D$7*SQRT(-2*LN(MAX(0.000000000001,G699/2147483647)))*COS(2*PI()*H699/2147483647),'Control Room'!$B$8+('Control Room'!$D$8-'Control Room'!$B$8)*G699/2147483647)</x:f>
        <x:v>1041.4206780424151</x:v>
      </x:c>
      <x:c r="J699" s="17" t="n">
        <x:f>IF('Control Room'!$B$5="Normal",'Control Room'!$B$7,('Control Room'!$B$8+'Control Room'!$D$8)/2)+'Control Room'!$B$9*(J698-IF('Control Room'!$B$5="Normal",'Control Room'!$B$7,('Control Room'!$B$8+'Control Room'!$D$8)/2))+SQRT(1-'Control Room'!$B$9^2)*(I699-IF('Control Room'!$B$5="Normal",'Control Room'!$B$7,('Control Room'!$B$8+'Control Room'!$D$8)/2))</x:f>
        <x:v>1098.4158818549201</x:v>
      </x:c>
      <x:c r="K699" s="17" t="n">
        <x:f>IF(AND($A699&gt;='Control Room'!$A$13,$A699&lt;'Control Room'!$A$13+'Control Room'!$B$13,'Process'!BL2=1),1+('Control Room'!$C$13-1)*EXP(-0.5*(($A699-'Control Room'!$A$13-('Control Room'!$B$13-1)/2)/MAX(0.5,'Control Room'!$B$13/4))^2),1)*IF(AND($A699&gt;='Control Room'!$A$14,$A699&lt;'Control Room'!$A$14+'Control Room'!$B$14,'Process'!BL3=1),1+('Control Room'!$C$14-1)*EXP(-0.5*(($A699-'Control Room'!$A$14-('Control Room'!$B$14-1)/2)/MAX(0.5,'Control Room'!$B$14/4))^2),1)*IF(AND($A699&gt;='Control Room'!$A$15,$A699&lt;'Control Room'!$A$15+'Control Room'!$B$15,'Process'!BL4=1),1+('Control Room'!$C$15-1)*EXP(-0.5*(($A699-'Control Room'!$A$15-('Control Room'!$B$15-1)/2)/MAX(0.5,'Control Room'!$B$15/4))^2),1)*IF(AND($A699&gt;='Control Room'!$A$16,$A699&lt;'Control Room'!$A$16+'Control Room'!$B$16,'Process'!BL5=1),1+('Control Room'!$C$16-1)*EXP(-0.5*(($A699-'Control Room'!$A$16-('Control Room'!$B$16-1)/2)/MAX(0.5,'Control Room'!$B$16/4))^2),1)</x:f>
        <x:v>1</x:v>
      </x:c>
      <x:c r="L699" s="9" t="n">
        <x:f>MOD(M698*16807,2147483647)</x:f>
        <x:v>2110474931</x:v>
      </x:c>
      <x:c r="M699" s="9" t="n">
        <x:f>MOD(L699*16807,2147483647)</x:f>
        <x:v>764767818</x:v>
      </x:c>
      <x:c r="N699" s="17" t="n">
        <x:f>IF('Control Room'!$B$5="Normal",'Control Room'!$B$7+'Control Room'!$D$7*SQRT(-2*LN(MAX(0.000000000001,L699/2147483647)))*COS(2*PI()*M699/2147483647),'Control Room'!$B$8+('Control Room'!$D$8-'Control Room'!$B$8)*L699/2147483647)</x:f>
        <x:v>989.6212498443665</x:v>
      </x:c>
      <x:c r="O699" s="17" t="n">
        <x:f>IF('Control Room'!$B$5="Normal",'Control Room'!$B$7,('Control Room'!$B$8+'Control Room'!$D$8)/2)+'Control Room'!$B$9*(O698-IF('Control Room'!$B$5="Normal",'Control Room'!$B$7,('Control Room'!$B$8+'Control Room'!$D$8)/2))+SQRT(1-'Control Room'!$B$9^2)*(N699-IF('Control Room'!$B$5="Normal",'Control Room'!$B$7,('Control Room'!$B$8+'Control Room'!$D$8)/2))</x:f>
        <x:v>957.476183661545</x:v>
      </x:c>
      <x:c r="P699" s="17" t="n">
        <x:f>IF(AND($A699&gt;='Control Room'!$A$13,$A699&lt;'Control Room'!$A$13+'Control Room'!$B$13,'Process'!BM2=1),1+('Control Room'!$C$13-1)*EXP(-0.5*(($A699-'Control Room'!$A$13-('Control Room'!$B$13-1)/2)/MAX(0.5,'Control Room'!$B$13/4))^2),1)*IF(AND($A699&gt;='Control Room'!$A$14,$A699&lt;'Control Room'!$A$14+'Control Room'!$B$14,'Process'!BM3=1),1+('Control Room'!$C$14-1)*EXP(-0.5*(($A699-'Control Room'!$A$14-('Control Room'!$B$14-1)/2)/MAX(0.5,'Control Room'!$B$14/4))^2),1)*IF(AND($A699&gt;='Control Room'!$A$15,$A699&lt;'Control Room'!$A$15+'Control Room'!$B$15,'Process'!BM4=1),1+('Control Room'!$C$15-1)*EXP(-0.5*(($A699-'Control Room'!$A$15-('Control Room'!$B$15-1)/2)/MAX(0.5,'Control Room'!$B$15/4))^2),1)*IF(AND($A699&gt;='Control Room'!$A$16,$A699&lt;'Control Room'!$A$16+'Control Room'!$B$16,'Process'!BM5=1),1+('Control Room'!$C$16-1)*EXP(-0.5*(($A699-'Control Room'!$A$16-('Control Room'!$B$16-1)/2)/MAX(0.5,'Control Room'!$B$16/4))^2),1)</x:f>
        <x:v>1</x:v>
      </x:c>
      <x:c r="Q699" s="9" t="n">
        <x:f>MOD(R698*16807,2147483647)</x:f>
        <x:v>1492711088</x:v>
      </x:c>
      <x:c r="R699" s="9" t="n">
        <x:f>MOD(Q699*16807,2147483647)</x:f>
        <x:v>1091291762</x:v>
      </x:c>
      <x:c r="S699" s="17" t="n">
        <x:f>IF('Control Room'!$B$5="Normal",'Control Room'!$B$7+'Control Room'!$D$7*SQRT(-2*LN(MAX(0.000000000001,Q699/2147483647)))*COS(2*PI()*R699/2147483647),'Control Room'!$B$8+('Control Room'!$D$8-'Control Room'!$B$8)*Q699/2147483647)</x:f>
        <x:v>923.3419052847686</x:v>
      </x:c>
      <x:c r="T699" s="17" t="n">
        <x:f>IF('Control Room'!$B$5="Normal",'Control Room'!$B$7,('Control Room'!$B$8+'Control Room'!$D$8)/2)+'Control Room'!$B$9*(T698-IF('Control Room'!$B$5="Normal",'Control Room'!$B$7,('Control Room'!$B$8+'Control Room'!$D$8)/2))+SQRT(1-'Control Room'!$B$9^2)*(S699-IF('Control Room'!$B$5="Normal",'Control Room'!$B$7,('Control Room'!$B$8+'Control Room'!$D$8)/2))</x:f>
        <x:v>933.2900464280743</x:v>
      </x:c>
      <x:c r="U699" s="17" t="n">
        <x:f>IF(AND($A699&gt;='Control Room'!$A$13,$A699&lt;'Control Room'!$A$13+'Control Room'!$B$13,'Process'!BN2=1),1+('Control Room'!$C$13-1)*EXP(-0.5*(($A699-'Control Room'!$A$13-('Control Room'!$B$13-1)/2)/MAX(0.5,'Control Room'!$B$13/4))^2),1)*IF(AND($A699&gt;='Control Room'!$A$14,$A699&lt;'Control Room'!$A$14+'Control Room'!$B$14,'Process'!BN3=1),1+('Control Room'!$C$14-1)*EXP(-0.5*(($A699-'Control Room'!$A$14-('Control Room'!$B$14-1)/2)/MAX(0.5,'Control Room'!$B$14/4))^2),1)*IF(AND($A699&gt;='Control Room'!$A$15,$A699&lt;'Control Room'!$A$15+'Control Room'!$B$15,'Process'!BN4=1),1+('Control Room'!$C$15-1)*EXP(-0.5*(($A699-'Control Room'!$A$15-('Control Room'!$B$15-1)/2)/MAX(0.5,'Control Room'!$B$15/4))^2),1)*IF(AND($A699&gt;='Control Room'!$A$16,$A699&lt;'Control Room'!$A$16+'Control Room'!$B$16,'Process'!BN5=1),1+('Control Room'!$C$16-1)*EXP(-0.5*(($A699-'Control Room'!$A$16-('Control Room'!$B$16-1)/2)/MAX(0.5,'Control Room'!$B$16/4))^2),1)</x:f>
        <x:v>1</x:v>
      </x:c>
      <x:c r="V699" s="9" t="n">
        <x:f>MOD(W698*16807,2147483647)</x:f>
        <x:v>874947245</x:v>
      </x:c>
      <x:c r="W699" s="9" t="n">
        <x:f>MOD(V699*16807,2147483647)</x:f>
        <x:v>1417815706</x:v>
      </x:c>
      <x:c r="X699" s="17" t="n">
        <x:f>IF('Control Room'!$B$5="Normal",'Control Room'!$B$7+'Control Room'!$D$7*SQRT(-2*LN(MAX(0.000000000001,V699/2147483647)))*COS(2*PI()*W699/2147483647),'Control Room'!$B$8+('Control Room'!$D$8-'Control Room'!$B$8)*V699/2147483647)</x:f>
        <x:v>935.5181367880449</x:v>
      </x:c>
      <x:c r="Y699" s="17" t="n">
        <x:f>IF('Control Room'!$B$5="Normal",'Control Room'!$B$7,('Control Room'!$B$8+'Control Room'!$D$8)/2)+'Control Room'!$B$9*(Y698-IF('Control Room'!$B$5="Normal",'Control Room'!$B$7,('Control Room'!$B$8+'Control Room'!$D$8)/2))+SQRT(1-'Control Room'!$B$9^2)*(X699-IF('Control Room'!$B$5="Normal",'Control Room'!$B$7,('Control Room'!$B$8+'Control Room'!$D$8)/2))</x:f>
        <x:v>898.4160170159604</x:v>
      </x:c>
      <x:c r="Z699" s="17" t="n">
        <x:f>IF(AND($A699&gt;='Control Room'!$A$13,$A699&lt;'Control Room'!$A$13+'Control Room'!$B$13,'Process'!BO2=1),1+('Control Room'!$C$13-1)*EXP(-0.5*(($A699-'Control Room'!$A$13-('Control Room'!$B$13-1)/2)/MAX(0.5,'Control Room'!$B$13/4))^2),1)*IF(AND($A699&gt;='Control Room'!$A$14,$A699&lt;'Control Room'!$A$14+'Control Room'!$B$14,'Process'!BO3=1),1+('Control Room'!$C$14-1)*EXP(-0.5*(($A699-'Control Room'!$A$14-('Control Room'!$B$14-1)/2)/MAX(0.5,'Control Room'!$B$14/4))^2),1)*IF(AND($A699&gt;='Control Room'!$A$15,$A699&lt;'Control Room'!$A$15+'Control Room'!$B$15,'Process'!BO4=1),1+('Control Room'!$C$15-1)*EXP(-0.5*(($A699-'Control Room'!$A$15-('Control Room'!$B$15-1)/2)/MAX(0.5,'Control Room'!$B$15/4))^2),1)*IF(AND($A699&gt;='Control Room'!$A$16,$A699&lt;'Control Room'!$A$16+'Control Room'!$B$16,'Process'!BO5=1),1+('Control Room'!$C$16-1)*EXP(-0.5*(($A699-'Control Room'!$A$16-('Control Room'!$B$16-1)/2)/MAX(0.5,'Control Room'!$B$16/4))^2),1)</x:f>
        <x:v>1</x:v>
      </x:c>
      <x:c r="AA699" s="9" t="n">
        <x:f>MOD(AB698*16807,2147483647)</x:f>
        <x:v>257183402</x:v>
      </x:c>
      <x:c r="AB699" s="9" t="n">
        <x:f>MOD(AA699*16807,2147483647)</x:f>
        <x:v>1744339650</x:v>
      </x:c>
      <x:c r="AC699" s="17" t="n">
        <x:f>IF('Control Room'!$B$5="Normal",'Control Room'!$B$7+'Control Room'!$D$7*SQRT(-2*LN(MAX(0.000000000001,AA699/2147483647)))*COS(2*PI()*AB699/2147483647),'Control Room'!$B$8+('Control Room'!$D$8-'Control Room'!$B$8)*AA699/2147483647)</x:f>
        <x:v>1070.7111668520542</x:v>
      </x:c>
      <x:c r="AD699" s="17" t="n">
        <x:f>IF('Control Room'!$B$5="Normal",'Control Room'!$B$7,('Control Room'!$B$8+'Control Room'!$D$8)/2)+'Control Room'!$B$9*(AD698-IF('Control Room'!$B$5="Normal",'Control Room'!$B$7,('Control Room'!$B$8+'Control Room'!$D$8)/2))+SQRT(1-'Control Room'!$B$9^2)*(AC699-IF('Control Room'!$B$5="Normal",'Control Room'!$B$7,('Control Room'!$B$8+'Control Room'!$D$8)/2))</x:f>
        <x:v>1056.1165008481137</x:v>
      </x:c>
      <x:c r="AE699" s="17" t="n">
        <x:f>IF(AND($A699&gt;='Control Room'!$A$13,$A699&lt;'Control Room'!$A$13+'Control Room'!$B$13,'Process'!BP2=1),1+('Control Room'!$C$13-1)*EXP(-0.5*(($A699-'Control Room'!$A$13-('Control Room'!$B$13-1)/2)/MAX(0.5,'Control Room'!$B$13/4))^2),1)*IF(AND($A699&gt;='Control Room'!$A$14,$A699&lt;'Control Room'!$A$14+'Control Room'!$B$14,'Process'!BP3=1),1+('Control Room'!$C$14-1)*EXP(-0.5*(($A699-'Control Room'!$A$14-('Control Room'!$B$14-1)/2)/MAX(0.5,'Control Room'!$B$14/4))^2),1)*IF(AND($A699&gt;='Control Room'!$A$15,$A699&lt;'Control Room'!$A$15+'Control Room'!$B$15,'Process'!BP4=1),1+('Control Room'!$C$15-1)*EXP(-0.5*(($A699-'Control Room'!$A$15-('Control Room'!$B$15-1)/2)/MAX(0.5,'Control Room'!$B$15/4))^2),1)*IF(AND($A699&gt;='Control Room'!$A$16,$A699&lt;'Control Room'!$A$16+'Control Room'!$B$16,'Process'!BP5=1),1+('Control Room'!$C$16-1)*EXP(-0.5*(($A699-'Control Room'!$A$16-('Control Room'!$B$16-1)/2)/MAX(0.5,'Control Room'!$B$16/4))^2),1)</x:f>
        <x:v>1</x:v>
      </x:c>
      <x:c r="AF699" s="9" t="n">
        <x:f>MOD(AG698*16807,2147483647)</x:f>
        <x:v>1786903206</x:v>
      </x:c>
      <x:c r="AG699" s="9" t="n">
        <x:f>MOD(AF699*16807,2147483647)</x:f>
        <x:v>2070863594</x:v>
      </x:c>
      <x:c r="AH699" s="17" t="n">
        <x:f>IF('Control Room'!$B$5="Normal",'Control Room'!$B$7+'Control Room'!$D$7*SQRT(-2*LN(MAX(0.000000000001,AF699/2147483647)))*COS(2*PI()*AG699/2147483647),'Control Room'!$B$8+('Control Room'!$D$8-'Control Room'!$B$8)*AF699/2147483647)</x:f>
        <x:v>1053.2034417869659</x:v>
      </x:c>
      <x:c r="AI699" s="17" t="n">
        <x:f>IF('Control Room'!$B$5="Normal",'Control Room'!$B$7,('Control Room'!$B$8+'Control Room'!$D$8)/2)+'Control Room'!$B$9*(AI698-IF('Control Room'!$B$5="Normal",'Control Room'!$B$7,('Control Room'!$B$8+'Control Room'!$D$8)/2))+SQRT(1-'Control Room'!$B$9^2)*(AH699-IF('Control Room'!$B$5="Normal",'Control Room'!$B$7,('Control Room'!$B$8+'Control Room'!$D$8)/2))</x:f>
        <x:v>1070.0597491623778</x:v>
      </x:c>
      <x:c r="AJ699" s="17" t="n">
        <x:f>IF(AND($A699&gt;='Control Room'!$A$13,$A699&lt;'Control Room'!$A$13+'Control Room'!$B$13,'Process'!BQ2=1),1+('Control Room'!$C$13-1)*EXP(-0.5*(($A699-'Control Room'!$A$13-('Control Room'!$B$13-1)/2)/MAX(0.5,'Control Room'!$B$13/4))^2),1)*IF(AND($A699&gt;='Control Room'!$A$14,$A699&lt;'Control Room'!$A$14+'Control Room'!$B$14,'Process'!BQ3=1),1+('Control Room'!$C$14-1)*EXP(-0.5*(($A699-'Control Room'!$A$14-('Control Room'!$B$14-1)/2)/MAX(0.5,'Control Room'!$B$14/4))^2),1)*IF(AND($A699&gt;='Control Room'!$A$15,$A699&lt;'Control Room'!$A$15+'Control Room'!$B$15,'Process'!BQ4=1),1+('Control Room'!$C$15-1)*EXP(-0.5*(($A699-'Control Room'!$A$15-('Control Room'!$B$15-1)/2)/MAX(0.5,'Control Room'!$B$15/4))^2),1)*IF(AND($A699&gt;='Control Room'!$A$16,$A699&lt;'Control Room'!$A$16+'Control Room'!$B$16,'Process'!BQ5=1),1+('Control Room'!$C$16-1)*EXP(-0.5*(($A699-'Control Room'!$A$16-('Control Room'!$B$16-1)/2)/MAX(0.5,'Control Room'!$B$16/4))^2),1)</x:f>
        <x:v>1</x:v>
      </x:c>
      <x:c r="AK699" s="9" t="n">
        <x:f>MOD(AL698*16807,2147483647)</x:f>
        <x:v>1169139363</x:v>
      </x:c>
      <x:c r="AL699" s="9" t="n">
        <x:f>MOD(AK699*16807,2147483647)</x:f>
        <x:v>249903891</x:v>
      </x:c>
      <x:c r="AM699" s="17" t="n">
        <x:f>IF('Control Room'!$B$5="Normal",'Control Room'!$B$7+'Control Room'!$D$7*SQRT(-2*LN(MAX(0.000000000001,AK699/2147483647)))*COS(2*PI()*AL699/2147483647),'Control Room'!$B$8+('Control Room'!$D$8-'Control Room'!$B$8)*AK699/2147483647)</x:f>
        <x:v>1073.8786949827866</x:v>
      </x:c>
      <x:c r="AN699" s="17" t="n">
        <x:f>IF('Control Room'!$B$5="Normal",'Control Room'!$B$7,('Control Room'!$B$8+'Control Room'!$D$8)/2)+'Control Room'!$B$9*(AN698-IF('Control Room'!$B$5="Normal",'Control Room'!$B$7,('Control Room'!$B$8+'Control Room'!$D$8)/2))+SQRT(1-'Control Room'!$B$9^2)*(AM699-IF('Control Room'!$B$5="Normal",'Control Room'!$B$7,('Control Room'!$B$8+'Control Room'!$D$8)/2))</x:f>
        <x:v>1111.1292098268523</x:v>
      </x:c>
      <x:c r="AO699" s="17" t="n">
        <x:f>IF(AND($A699&gt;='Control Room'!$A$13,$A699&lt;'Control Room'!$A$13+'Control Room'!$B$13,'Process'!BR2=1),1+('Control Room'!$C$13-1)*EXP(-0.5*(($A699-'Control Room'!$A$13-('Control Room'!$B$13-1)/2)/MAX(0.5,'Control Room'!$B$13/4))^2),1)*IF(AND($A699&gt;='Control Room'!$A$14,$A699&lt;'Control Room'!$A$14+'Control Room'!$B$14,'Process'!BR3=1),1+('Control Room'!$C$14-1)*EXP(-0.5*(($A699-'Control Room'!$A$14-('Control Room'!$B$14-1)/2)/MAX(0.5,'Control Room'!$B$14/4))^2),1)*IF(AND($A699&gt;='Control Room'!$A$15,$A699&lt;'Control Room'!$A$15+'Control Room'!$B$15,'Process'!BR4=1),1+('Control Room'!$C$15-1)*EXP(-0.5*(($A699-'Control Room'!$A$15-('Control Room'!$B$15-1)/2)/MAX(0.5,'Control Room'!$B$15/4))^2),1)*IF(AND($A699&gt;='Control Room'!$A$16,$A699&lt;'Control Room'!$A$16+'Control Room'!$B$16,'Process'!BR5=1),1+('Control Room'!$C$16-1)*EXP(-0.5*(($A699-'Control Room'!$A$16-('Control Room'!$B$16-1)/2)/MAX(0.5,'Control Room'!$B$16/4))^2),1)</x:f>
        <x:v>1</x:v>
      </x:c>
      <x:c r="AP699" s="9" t="n">
        <x:f>MOD(AQ698*16807,2147483647)</x:f>
        <x:v>551375520</x:v>
      </x:c>
      <x:c r="AQ699" s="9" t="n">
        <x:f>MOD(AP699*16807,2147483647)</x:f>
        <x:v>576427835</x:v>
      </x:c>
      <x:c r="AR699" s="17" t="n">
        <x:f>IF('Control Room'!$B$5="Normal",'Control Room'!$B$7+'Control Room'!$D$7*SQRT(-2*LN(MAX(0.000000000001,AP699/2147483647)))*COS(2*PI()*AQ699/2147483647),'Control Room'!$B$8+('Control Room'!$D$8-'Control Room'!$B$8)*AP699/2147483647)</x:f>
        <x:v>982.8615582924951</x:v>
      </x:c>
      <x:c r="AS699" s="17" t="n">
        <x:f>IF('Control Room'!$B$5="Normal",'Control Room'!$B$7,('Control Room'!$B$8+'Control Room'!$D$8)/2)+'Control Room'!$B$9*(AS698-IF('Control Room'!$B$5="Normal",'Control Room'!$B$7,('Control Room'!$B$8+'Control Room'!$D$8)/2))+SQRT(1-'Control Room'!$B$9^2)*(AR699-IF('Control Room'!$B$5="Normal",'Control Room'!$B$7,('Control Room'!$B$8+'Control Room'!$D$8)/2))</x:f>
        <x:v>1013.8535074288576</x:v>
      </x:c>
      <x:c r="AT699" s="17" t="n">
        <x:f>IF(AND($A699&gt;='Control Room'!$A$13,$A699&lt;'Control Room'!$A$13+'Control Room'!$B$13,'Process'!BS2=1),1+('Control Room'!$C$13-1)*EXP(-0.5*(($A699-'Control Room'!$A$13-('Control Room'!$B$13-1)/2)/MAX(0.5,'Control Room'!$B$13/4))^2),1)*IF(AND($A699&gt;='Control Room'!$A$14,$A699&lt;'Control Room'!$A$14+'Control Room'!$B$14,'Process'!BS3=1),1+('Control Room'!$C$14-1)*EXP(-0.5*(($A699-'Control Room'!$A$14-('Control Room'!$B$14-1)/2)/MAX(0.5,'Control Room'!$B$14/4))^2),1)*IF(AND($A699&gt;='Control Room'!$A$15,$A699&lt;'Control Room'!$A$15+'Control Room'!$B$15,'Process'!BS4=1),1+('Control Room'!$C$15-1)*EXP(-0.5*(($A699-'Control Room'!$A$15-('Control Room'!$B$15-1)/2)/MAX(0.5,'Control Room'!$B$15/4))^2),1)*IF(AND($A699&gt;='Control Room'!$A$16,$A699&lt;'Control Room'!$A$16+'Control Room'!$B$16,'Process'!BS5=1),1+('Control Room'!$C$16-1)*EXP(-0.5*(($A699-'Control Room'!$A$16-('Control Room'!$B$16-1)/2)/MAX(0.5,'Control Room'!$B$16/4))^2),1)</x:f>
        <x:v>1</x:v>
      </x:c>
      <x:c r="AU699" s="9" t="n">
        <x:f>MOD(AV698*16807,2147483647)</x:f>
        <x:v>2081095324</x:v>
      </x:c>
      <x:c r="AV699" s="9" t="n">
        <x:f>MOD(AU699*16807,2147483647)</x:f>
        <x:v>902951779</x:v>
      </x:c>
      <x:c r="AW699" s="17" t="n">
        <x:f>IF('Control Room'!$B$5="Normal",'Control Room'!$B$7+'Control Room'!$D$7*SQRT(-2*LN(MAX(0.000000000001,AU699/2147483647)))*COS(2*PI()*AV699/2147483647),'Control Room'!$B$8+('Control Room'!$D$8-'Control Room'!$B$8)*AU699/2147483647)</x:f>
        <x:v>980.2030978401608</x:v>
      </x:c>
      <x:c r="AX699" s="17" t="n">
        <x:f>IF('Control Room'!$B$5="Normal",'Control Room'!$B$7,('Control Room'!$B$8+'Control Room'!$D$8)/2)+'Control Room'!$B$9*(AX698-IF('Control Room'!$B$5="Normal",'Control Room'!$B$7,('Control Room'!$B$8+'Control Room'!$D$8)/2))+SQRT(1-'Control Room'!$B$9^2)*(AW699-IF('Control Room'!$B$5="Normal",'Control Room'!$B$7,('Control Room'!$B$8+'Control Room'!$D$8)/2))</x:f>
        <x:v>985.0058222639927</x:v>
      </x:c>
      <x:c r="AY699" s="17" t="n">
        <x:f>IF(AND($A699&gt;='Control Room'!$A$13,$A699&lt;'Control Room'!$A$13+'Control Room'!$B$13,'Process'!BT2=1),1+('Control Room'!$C$13-1)*EXP(-0.5*(($A699-'Control Room'!$A$13-('Control Room'!$B$13-1)/2)/MAX(0.5,'Control Room'!$B$13/4))^2),1)*IF(AND($A699&gt;='Control Room'!$A$14,$A699&lt;'Control Room'!$A$14+'Control Room'!$B$14,'Process'!BT3=1),1+('Control Room'!$C$14-1)*EXP(-0.5*(($A699-'Control Room'!$A$14-('Control Room'!$B$14-1)/2)/MAX(0.5,'Control Room'!$B$14/4))^2),1)*IF(AND($A699&gt;='Control Room'!$A$15,$A699&lt;'Control Room'!$A$15+'Control Room'!$B$15,'Process'!BT4=1),1+('Control Room'!$C$15-1)*EXP(-0.5*(($A699-'Control Room'!$A$15-('Control Room'!$B$15-1)/2)/MAX(0.5,'Control Room'!$B$15/4))^2),1)*IF(AND($A699&gt;='Control Room'!$A$16,$A699&lt;'Control Room'!$A$16+'Control Room'!$B$16,'Process'!BT5=1),1+('Control Room'!$C$16-1)*EXP(-0.5*(($A699-'Control Room'!$A$16-('Control Room'!$B$16-1)/2)/MAX(0.5,'Control Room'!$B$16/4))^2),1)</x:f>
        <x:v>1</x:v>
      </x:c>
      <x:c r="AZ699" s="9" t="n">
        <x:f>MOD(BA698*16807,2147483647)</x:f>
        <x:v>1463331481</x:v>
      </x:c>
      <x:c r="BA699" s="9" t="n">
        <x:f>MOD(AZ699*16807,2147483647)</x:f>
        <x:v>1229475723</x:v>
      </x:c>
      <x:c r="BB699" s="17" t="n">
        <x:f>IF('Control Room'!$B$5="Normal",'Control Room'!$B$7+'Control Room'!$D$7*SQRT(-2*LN(MAX(0.000000000001,AZ699/2147483647)))*COS(2*PI()*BA699/2147483647),'Control Room'!$B$8+('Control Room'!$D$8-'Control Room'!$B$8)*AZ699/2147483647)</x:f>
        <x:v>929.213565410001</x:v>
      </x:c>
      <x:c r="BC699" s="17" t="n">
        <x:f>IF('Control Room'!$B$5="Normal",'Control Room'!$B$7,('Control Room'!$B$8+'Control Room'!$D$8)/2)+'Control Room'!$B$9*(BC698-IF('Control Room'!$B$5="Normal",'Control Room'!$B$7,('Control Room'!$B$8+'Control Room'!$D$8)/2))+SQRT(1-'Control Room'!$B$9^2)*(BB699-IF('Control Room'!$B$5="Normal",'Control Room'!$B$7,('Control Room'!$B$8+'Control Room'!$D$8)/2))</x:f>
        <x:v>1074.7311688523107</x:v>
      </x:c>
      <x:c r="BD699" s="17" t="n">
        <x:f>IF(AND($A699&gt;='Control Room'!$A$13,$A699&lt;'Control Room'!$A$13+'Control Room'!$B$13,'Process'!BU2=1),1+('Control Room'!$C$13-1)*EXP(-0.5*(($A699-'Control Room'!$A$13-('Control Room'!$B$13-1)/2)/MAX(0.5,'Control Room'!$B$13/4))^2),1)*IF(AND($A699&gt;='Control Room'!$A$14,$A699&lt;'Control Room'!$A$14+'Control Room'!$B$14,'Process'!BU3=1),1+('Control Room'!$C$14-1)*EXP(-0.5*(($A699-'Control Room'!$A$14-('Control Room'!$B$14-1)/2)/MAX(0.5,'Control Room'!$B$14/4))^2),1)*IF(AND($A699&gt;='Control Room'!$A$15,$A699&lt;'Control Room'!$A$15+'Control Room'!$B$15,'Process'!BU4=1),1+('Control Room'!$C$15-1)*EXP(-0.5*(($A699-'Control Room'!$A$15-('Control Room'!$B$15-1)/2)/MAX(0.5,'Control Room'!$B$15/4))^2),1)*IF(AND($A699&gt;='Control Room'!$A$16,$A699&lt;'Control Room'!$A$16+'Control Room'!$B$16,'Process'!BU5=1),1+('Control Room'!$C$16-1)*EXP(-0.5*(($A699-'Control Room'!$A$16-('Control Room'!$B$16-1)/2)/MAX(0.5,'Control Room'!$B$16/4))^2),1)</x:f>
        <x:v>1</x:v>
      </x:c>
      <x:c r="BE699" s="9" t="n">
        <x:f>MOD(BF698*16807,2147483647)</x:f>
        <x:v>845567638</x:v>
      </x:c>
      <x:c r="BF699" s="9" t="n">
        <x:f>MOD(BE699*16807,2147483647)</x:f>
        <x:v>1555999667</x:v>
      </x:c>
      <x:c r="BG699" s="17" t="n">
        <x:f>IF('Control Room'!$B$5="Normal",'Control Room'!$B$7+'Control Room'!$D$7*SQRT(-2*LN(MAX(0.000000000001,BE699/2147483647)))*COS(2*PI()*BF699/2147483647),'Control Room'!$B$8+('Control Room'!$D$8-'Control Room'!$B$8)*BE699/2147483647)</x:f>
        <x:v>980.4488374337683</x:v>
      </x:c>
      <x:c r="BH699" s="17" t="n">
        <x:f>IF('Control Room'!$B$5="Normal",'Control Room'!$B$7,('Control Room'!$B$8+'Control Room'!$D$8)/2)+'Control Room'!$B$9*(BH698-IF('Control Room'!$B$5="Normal",'Control Room'!$B$7,('Control Room'!$B$8+'Control Room'!$D$8)/2))+SQRT(1-'Control Room'!$B$9^2)*(BG699-IF('Control Room'!$B$5="Normal",'Control Room'!$B$7,('Control Room'!$B$8+'Control Room'!$D$8)/2))</x:f>
        <x:v>985.3755481366434</x:v>
      </x:c>
      <x:c r="BI699" s="17" t="n">
        <x:f>IF(AND($A699&gt;='Control Room'!$A$13,$A699&lt;'Control Room'!$A$13+'Control Room'!$B$13,'Process'!BV2=1),1+('Control Room'!$C$13-1)*EXP(-0.5*(($A699-'Control Room'!$A$13-('Control Room'!$B$13-1)/2)/MAX(0.5,'Control Room'!$B$13/4))^2),1)*IF(AND($A699&gt;='Control Room'!$A$14,$A699&lt;'Control Room'!$A$14+'Control Room'!$B$14,'Process'!BV3=1),1+('Control Room'!$C$14-1)*EXP(-0.5*(($A699-'Control Room'!$A$14-('Control Room'!$B$14-1)/2)/MAX(0.5,'Control Room'!$B$14/4))^2),1)*IF(AND($A699&gt;='Control Room'!$A$15,$A699&lt;'Control Room'!$A$15+'Control Room'!$B$15,'Process'!BV4=1),1+('Control Room'!$C$15-1)*EXP(-0.5*(($A699-'Control Room'!$A$15-('Control Room'!$B$15-1)/2)/MAX(0.5,'Control Room'!$B$15/4))^2),1)*IF(AND($A699&gt;='Control Room'!$A$16,$A699&lt;'Control Room'!$A$16+'Control Room'!$B$16,'Process'!BV5=1),1+('Control Room'!$C$16-1)*EXP(-0.5*(($A699-'Control Room'!$A$16-('Control Room'!$B$16-1)/2)/MAX(0.5,'Control Room'!$B$16/4))^2),1)</x:f>
        <x:v>1</x:v>
      </x:c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Z699" t="str">
        <x:f>IF('Data'!A699="","",TEXT('Data'!A699,"mm-dd"))</x:f>
      </x:c>
    </x:row>
    <x:row r="700" ht="21" customHeight="1">
      <x:c r="A700" s="15" t="n">
        <x:f>'Control Room'!$B$1+698</x:f>
        <x:v>73689</x:v>
      </x:c>
      <x:c r="B700" s="9" t="n">
        <x:f>MOD(C699*16807,2147483647)</x:f>
        <x:v>776156032</x:v>
      </x:c>
      <x:c r="C700" s="9" t="n">
        <x:f>MOD(B700*16807,2147483647)</x:f>
        <x:v>1038757946</x:v>
      </x:c>
      <x:c r="D700" s="17" t="n">
        <x:f>IF('Control Room'!$B$5="Normal",'Control Room'!$B$7+'Control Room'!$D$7*SQRT(-2*LN(MAX(0.000000000001,B700/2147483647)))*COS(2*PI()*C700/2147483647),'Control Room'!$B$8+('Control Room'!$D$8-'Control Room'!$B$8)*B700/2147483647)</x:f>
        <x:v>872.2714336745262</x:v>
      </x:c>
      <x:c r="E700" s="17" t="n">
        <x:f>IF('Control Room'!$B$5="Normal",'Control Room'!$B$7,('Control Room'!$B$8+'Control Room'!$D$8)/2)+'Control Room'!$B$9*(E699-IF('Control Room'!$B$5="Normal",'Control Room'!$B$7,('Control Room'!$B$8+'Control Room'!$D$8)/2))+SQRT(1-'Control Room'!$B$9^2)*(D700-IF('Control Room'!$B$5="Normal",'Control Room'!$B$7,('Control Room'!$B$8+'Control Room'!$D$8)/2))</x:f>
        <x:v>956.5577641210417</x:v>
      </x:c>
      <x:c r="F700" s="17" t="n">
        <x:f>IF(AND($A700&gt;='Control Room'!$A$13,$A700&lt;'Control Room'!$A$13+'Control Room'!$B$13,'Process'!BK2=1),1+('Control Room'!$C$13-1)*EXP(-0.5*(($A700-'Control Room'!$A$13-('Control Room'!$B$13-1)/2)/MAX(0.5,'Control Room'!$B$13/4))^2),1)*IF(AND($A700&gt;='Control Room'!$A$14,$A700&lt;'Control Room'!$A$14+'Control Room'!$B$14,'Process'!BK3=1),1+('Control Room'!$C$14-1)*EXP(-0.5*(($A700-'Control Room'!$A$14-('Control Room'!$B$14-1)/2)/MAX(0.5,'Control Room'!$B$14/4))^2),1)*IF(AND($A700&gt;='Control Room'!$A$15,$A700&lt;'Control Room'!$A$15+'Control Room'!$B$15,'Process'!BK4=1),1+('Control Room'!$C$15-1)*EXP(-0.5*(($A700-'Control Room'!$A$15-('Control Room'!$B$15-1)/2)/MAX(0.5,'Control Room'!$B$15/4))^2),1)*IF(AND($A700&gt;='Control Room'!$A$16,$A700&lt;'Control Room'!$A$16+'Control Room'!$B$16,'Process'!BK5=1),1+('Control Room'!$C$16-1)*EXP(-0.5*(($A700-'Control Room'!$A$16-('Control Room'!$B$16-1)/2)/MAX(0.5,'Control Room'!$B$16/4))^2),1)</x:f>
        <x:v>1</x:v>
      </x:c>
      <x:c r="G700" s="9" t="n">
        <x:f>MOD(H699*16807,2147483647)</x:f>
        <x:v>1843364755</x:v>
      </x:c>
      <x:c r="H700" s="9" t="n">
        <x:f>MOD(G700*16807,2147483647)</x:f>
        <x:v>1832345663</x:v>
      </x:c>
      <x:c r="I700" s="17" t="n">
        <x:f>IF('Control Room'!$B$5="Normal",'Control Room'!$B$7+'Control Room'!$D$7*SQRT(-2*LN(MAX(0.000000000001,G700/2147483647)))*COS(2*PI()*H700/2147483647),'Control Room'!$B$8+('Control Room'!$D$8-'Control Room'!$B$8)*G700/2147483647)</x:f>
        <x:v>1030.0510412269832</x:v>
      </x:c>
      <x:c r="J700" s="17" t="n">
        <x:f>IF('Control Room'!$B$5="Normal",'Control Room'!$B$7,('Control Room'!$B$8+'Control Room'!$D$8)/2)+'Control Room'!$B$9*(J699-IF('Control Room'!$B$5="Normal",'Control Room'!$B$7,('Control Room'!$B$8+'Control Room'!$D$8)/2))+SQRT(1-'Control Room'!$B$9^2)*(I700-IF('Control Room'!$B$5="Normal",'Control Room'!$B$7,('Control Room'!$B$8+'Control Room'!$D$8)/2))</x:f>
        <x:v>1095.569713817642</x:v>
      </x:c>
      <x:c r="K700" s="17" t="n">
        <x:f>IF(AND($A700&gt;='Control Room'!$A$13,$A700&lt;'Control Room'!$A$13+'Control Room'!$B$13,'Process'!BL2=1),1+('Control Room'!$C$13-1)*EXP(-0.5*(($A700-'Control Room'!$A$13-('Control Room'!$B$13-1)/2)/MAX(0.5,'Control Room'!$B$13/4))^2),1)*IF(AND($A700&gt;='Control Room'!$A$14,$A700&lt;'Control Room'!$A$14+'Control Room'!$B$14,'Process'!BL3=1),1+('Control Room'!$C$14-1)*EXP(-0.5*(($A700-'Control Room'!$A$14-('Control Room'!$B$14-1)/2)/MAX(0.5,'Control Room'!$B$14/4))^2),1)*IF(AND($A700&gt;='Control Room'!$A$15,$A700&lt;'Control Room'!$A$15+'Control Room'!$B$15,'Process'!BL4=1),1+('Control Room'!$C$15-1)*EXP(-0.5*(($A700-'Control Room'!$A$15-('Control Room'!$B$15-1)/2)/MAX(0.5,'Control Room'!$B$15/4))^2),1)*IF(AND($A700&gt;='Control Room'!$A$16,$A700&lt;'Control Room'!$A$16+'Control Room'!$B$16,'Process'!BL5=1),1+('Control Room'!$C$16-1)*EXP(-0.5*(($A700-'Control Room'!$A$16-('Control Room'!$B$16-1)/2)/MAX(0.5,'Control Room'!$B$16/4))^2),1)</x:f>
        <x:v>1</x:v>
      </x:c>
      <x:c r="L700" s="9" t="n">
        <x:f>MOD(M699*16807,2147483647)</x:f>
        <x:v>763089831</x:v>
      </x:c>
      <x:c r="M700" s="9" t="n">
        <x:f>MOD(L700*16807,2147483647)</x:f>
        <x:v>478449733</x:v>
      </x:c>
      <x:c r="N700" s="17" t="n">
        <x:f>IF('Control Room'!$B$5="Normal",'Control Room'!$B$7+'Control Room'!$D$7*SQRT(-2*LN(MAX(0.000000000001,L700/2147483647)))*COS(2*PI()*M700/2147483647),'Control Room'!$B$8+('Control Room'!$D$8-'Control Room'!$B$8)*L700/2147483647)</x:f>
        <x:v>1022.0223260044788</x:v>
      </x:c>
      <x:c r="O700" s="17" t="n">
        <x:f>IF('Control Room'!$B$5="Normal",'Control Room'!$B$7,('Control Room'!$B$8+'Control Room'!$D$8)/2)+'Control Room'!$B$9*(O699-IF('Control Room'!$B$5="Normal",'Control Room'!$B$7,('Control Room'!$B$8+'Control Room'!$D$8)/2))+SQRT(1-'Control Room'!$B$9^2)*(N700-IF('Control Room'!$B$5="Normal",'Control Room'!$B$7,('Control Room'!$B$8+'Control Room'!$D$8)/2))</x:f>
        <x:v>980.6125437177375</x:v>
      </x:c>
      <x:c r="P700" s="17" t="n">
        <x:f>IF(AND($A700&gt;='Control Room'!$A$13,$A700&lt;'Control Room'!$A$13+'Control Room'!$B$13,'Process'!BM2=1),1+('Control Room'!$C$13-1)*EXP(-0.5*(($A700-'Control Room'!$A$13-('Control Room'!$B$13-1)/2)/MAX(0.5,'Control Room'!$B$13/4))^2),1)*IF(AND($A700&gt;='Control Room'!$A$14,$A700&lt;'Control Room'!$A$14+'Control Room'!$B$14,'Process'!BM3=1),1+('Control Room'!$C$14-1)*EXP(-0.5*(($A700-'Control Room'!$A$14-('Control Room'!$B$14-1)/2)/MAX(0.5,'Control Room'!$B$14/4))^2),1)*IF(AND($A700&gt;='Control Room'!$A$15,$A700&lt;'Control Room'!$A$15+'Control Room'!$B$15,'Process'!BM4=1),1+('Control Room'!$C$15-1)*EXP(-0.5*(($A700-'Control Room'!$A$15-('Control Room'!$B$15-1)/2)/MAX(0.5,'Control Room'!$B$15/4))^2),1)*IF(AND($A700&gt;='Control Room'!$A$16,$A700&lt;'Control Room'!$A$16+'Control Room'!$B$16,'Process'!BM5=1),1+('Control Room'!$C$16-1)*EXP(-0.5*(($A700-'Control Room'!$A$16-('Control Room'!$B$16-1)/2)/MAX(0.5,'Control Room'!$B$16/4))^2),1)</x:f>
        <x:v>1</x:v>
      </x:c>
      <x:c r="Q700" s="9" t="n">
        <x:f>MOD(R699*16807,2147483647)</x:f>
        <x:v>1830298554</x:v>
      </x:c>
      <x:c r="R700" s="9" t="n">
        <x:f>MOD(Q700*16807,2147483647)</x:f>
        <x:v>1272037450</x:v>
      </x:c>
      <x:c r="S700" s="17" t="n">
        <x:f>IF('Control Room'!$B$5="Normal",'Control Room'!$B$7+'Control Room'!$D$7*SQRT(-2*LN(MAX(0.000000000001,Q700/2147483647)))*COS(2*PI()*R700/2147483647),'Control Room'!$B$8+('Control Room'!$D$8-'Control Room'!$B$8)*Q700/2147483647)</x:f>
        <x:v>957.4435811724483</x:v>
      </x:c>
      <x:c r="T700" s="17" t="n">
        <x:f>IF('Control Room'!$B$5="Normal",'Control Room'!$B$7,('Control Room'!$B$8+'Control Room'!$D$8)/2)+'Control Room'!$B$9*(T699-IF('Control Room'!$B$5="Normal",'Control Room'!$B$7,('Control Room'!$B$8+'Control Room'!$D$8)/2))+SQRT(1-'Control Room'!$B$9^2)*(S700-IF('Control Room'!$B$5="Normal",'Control Room'!$B$7,('Control Room'!$B$8+'Control Room'!$D$8)/2))</x:f>
        <x:v>921.3353011272433</x:v>
      </x:c>
      <x:c r="U700" s="17" t="n">
        <x:f>IF(AND($A700&gt;='Control Room'!$A$13,$A700&lt;'Control Room'!$A$13+'Control Room'!$B$13,'Process'!BN2=1),1+('Control Room'!$C$13-1)*EXP(-0.5*(($A700-'Control Room'!$A$13-('Control Room'!$B$13-1)/2)/MAX(0.5,'Control Room'!$B$13/4))^2),1)*IF(AND($A700&gt;='Control Room'!$A$14,$A700&lt;'Control Room'!$A$14+'Control Room'!$B$14,'Process'!BN3=1),1+('Control Room'!$C$14-1)*EXP(-0.5*(($A700-'Control Room'!$A$14-('Control Room'!$B$14-1)/2)/MAX(0.5,'Control Room'!$B$14/4))^2),1)*IF(AND($A700&gt;='Control Room'!$A$15,$A700&lt;'Control Room'!$A$15+'Control Room'!$B$15,'Process'!BN4=1),1+('Control Room'!$C$15-1)*EXP(-0.5*(($A700-'Control Room'!$A$15-('Control Room'!$B$15-1)/2)/MAX(0.5,'Control Room'!$B$15/4))^2),1)*IF(AND($A700&gt;='Control Room'!$A$16,$A700&lt;'Control Room'!$A$16+'Control Room'!$B$16,'Process'!BN5=1),1+('Control Room'!$C$16-1)*EXP(-0.5*(($A700-'Control Room'!$A$16-('Control Room'!$B$16-1)/2)/MAX(0.5,'Control Room'!$B$16/4))^2),1)</x:f>
        <x:v>1</x:v>
      </x:c>
      <x:c r="V700" s="9" t="n">
        <x:f>MOD(W699*16807,2147483647)</x:f>
        <x:v>750023630</x:v>
      </x:c>
      <x:c r="W700" s="9" t="n">
        <x:f>MOD(V700*16807,2147483647)</x:f>
        <x:v>2065625167</x:v>
      </x:c>
      <x:c r="X700" s="17" t="n">
        <x:f>IF('Control Room'!$B$5="Normal",'Control Room'!$B$7+'Control Room'!$D$7*SQRT(-2*LN(MAX(0.000000000001,V700/2147483647)))*COS(2*PI()*W700/2147483647),'Control Room'!$B$8+('Control Room'!$D$8-'Control Room'!$B$8)*V700/2147483647)</x:f>
        <x:v>1126.8170005189222</x:v>
      </x:c>
      <x:c r="Y700" s="17" t="n">
        <x:f>IF('Control Room'!$B$5="Normal",'Control Room'!$B$7,('Control Room'!$B$8+'Control Room'!$D$8)/2)+'Control Room'!$B$9*(Y699-IF('Control Room'!$B$5="Normal",'Control Room'!$B$7,('Control Room'!$B$8+'Control Room'!$D$8)/2))+SQRT(1-'Control Room'!$B$9^2)*(X700-IF('Control Room'!$B$5="Normal",'Control Room'!$B$7,('Control Room'!$B$8+'Control Room'!$D$8)/2))</x:f>
        <x:v>1000.1239742097217</x:v>
      </x:c>
      <x:c r="Z700" s="17" t="n">
        <x:f>IF(AND($A700&gt;='Control Room'!$A$13,$A700&lt;'Control Room'!$A$13+'Control Room'!$B$13,'Process'!BO2=1),1+('Control Room'!$C$13-1)*EXP(-0.5*(($A700-'Control Room'!$A$13-('Control Room'!$B$13-1)/2)/MAX(0.5,'Control Room'!$B$13/4))^2),1)*IF(AND($A700&gt;='Control Room'!$A$14,$A700&lt;'Control Room'!$A$14+'Control Room'!$B$14,'Process'!BO3=1),1+('Control Room'!$C$14-1)*EXP(-0.5*(($A700-'Control Room'!$A$14-('Control Room'!$B$14-1)/2)/MAX(0.5,'Control Room'!$B$14/4))^2),1)*IF(AND($A700&gt;='Control Room'!$A$15,$A700&lt;'Control Room'!$A$15+'Control Room'!$B$15,'Process'!BO4=1),1+('Control Room'!$C$15-1)*EXP(-0.5*(($A700-'Control Room'!$A$15-('Control Room'!$B$15-1)/2)/MAX(0.5,'Control Room'!$B$15/4))^2),1)*IF(AND($A700&gt;='Control Room'!$A$16,$A700&lt;'Control Room'!$A$16+'Control Room'!$B$16,'Process'!BO5=1),1+('Control Room'!$C$16-1)*EXP(-0.5*(($A700-'Control Room'!$A$16-('Control Room'!$B$16-1)/2)/MAX(0.5,'Control Room'!$B$16/4))^2),1)</x:f>
        <x:v>1</x:v>
      </x:c>
      <x:c r="AA700" s="9" t="n">
        <x:f>MOD(AB699*16807,2147483647)</x:f>
        <x:v>1817232353</x:v>
      </x:c>
      <x:c r="AB700" s="9" t="n">
        <x:f>MOD(AA700*16807,2147483647)</x:f>
        <x:v>711729237</x:v>
      </x:c>
      <x:c r="AC700" s="17" t="n">
        <x:f>IF('Control Room'!$B$5="Normal",'Control Room'!$B$7+'Control Room'!$D$7*SQRT(-2*LN(MAX(0.000000000001,AA700/2147483647)))*COS(2*PI()*AB700/2147483647),'Control Room'!$B$8+('Control Room'!$D$8-'Control Room'!$B$8)*AA700/2147483647)</x:f>
        <x:v>974.5366695433022</x:v>
      </x:c>
      <x:c r="AD700" s="17" t="n">
        <x:f>IF('Control Room'!$B$5="Normal",'Control Room'!$B$7,('Control Room'!$B$8+'Control Room'!$D$8)/2)+'Control Room'!$B$9*(AD699-IF('Control Room'!$B$5="Normal",'Control Room'!$B$7,('Control Room'!$B$8+'Control Room'!$D$8)/2))+SQRT(1-'Control Room'!$B$9^2)*(AC700-IF('Control Room'!$B$5="Normal",'Control Room'!$B$7,('Control Room'!$B$8+'Control Room'!$D$8)/2))</x:f>
        <x:v>1027.8364401064057</x:v>
      </x:c>
      <x:c r="AE700" s="17" t="n">
        <x:f>IF(AND($A700&gt;='Control Room'!$A$13,$A700&lt;'Control Room'!$A$13+'Control Room'!$B$13,'Process'!BP2=1),1+('Control Room'!$C$13-1)*EXP(-0.5*(($A700-'Control Room'!$A$13-('Control Room'!$B$13-1)/2)/MAX(0.5,'Control Room'!$B$13/4))^2),1)*IF(AND($A700&gt;='Control Room'!$A$14,$A700&lt;'Control Room'!$A$14+'Control Room'!$B$14,'Process'!BP3=1),1+('Control Room'!$C$14-1)*EXP(-0.5*(($A700-'Control Room'!$A$14-('Control Room'!$B$14-1)/2)/MAX(0.5,'Control Room'!$B$14/4))^2),1)*IF(AND($A700&gt;='Control Room'!$A$15,$A700&lt;'Control Room'!$A$15+'Control Room'!$B$15,'Process'!BP4=1),1+('Control Room'!$C$15-1)*EXP(-0.5*(($A700-'Control Room'!$A$15-('Control Room'!$B$15-1)/2)/MAX(0.5,'Control Room'!$B$15/4))^2),1)*IF(AND($A700&gt;='Control Room'!$A$16,$A700&lt;'Control Room'!$A$16+'Control Room'!$B$16,'Process'!BP5=1),1+('Control Room'!$C$16-1)*EXP(-0.5*(($A700-'Control Room'!$A$16-('Control Room'!$B$16-1)/2)/MAX(0.5,'Control Room'!$B$16/4))^2),1)</x:f>
        <x:v>1</x:v>
      </x:c>
      <x:c r="AF700" s="9" t="n">
        <x:f>MOD(AG699*16807,2147483647)</x:f>
        <x:v>736957429</x:v>
      </x:c>
      <x:c r="AG700" s="9" t="n">
        <x:f>MOD(AF700*16807,2147483647)</x:f>
        <x:v>1505316954</x:v>
      </x:c>
      <x:c r="AH700" s="17" t="n">
        <x:f>IF('Control Room'!$B$5="Normal",'Control Room'!$B$7+'Control Room'!$D$7*SQRT(-2*LN(MAX(0.000000000001,AF700/2147483647)))*COS(2*PI()*AG700/2147483647),'Control Room'!$B$8+('Control Room'!$D$8-'Control Room'!$B$8)*AF700/2147483647)</x:f>
        <x:v>960.0863462781098</x:v>
      </x:c>
      <x:c r="AI700" s="17" t="n">
        <x:f>IF('Control Room'!$B$5="Normal",'Control Room'!$B$7,('Control Room'!$B$8+'Control Room'!$D$8)/2)+'Control Room'!$B$9*(AI699-IF('Control Room'!$B$5="Normal",'Control Room'!$B$7,('Control Room'!$B$8+'Control Room'!$D$8)/2))+SQRT(1-'Control Room'!$B$9^2)*(AH700-IF('Control Room'!$B$5="Normal",'Control Room'!$B$7,('Control Room'!$B$8+'Control Room'!$D$8)/2))</x:f>
        <x:v>1029.6694575231368</x:v>
      </x:c>
      <x:c r="AJ700" s="17" t="n">
        <x:f>IF(AND($A700&gt;='Control Room'!$A$13,$A700&lt;'Control Room'!$A$13+'Control Room'!$B$13,'Process'!BQ2=1),1+('Control Room'!$C$13-1)*EXP(-0.5*(($A700-'Control Room'!$A$13-('Control Room'!$B$13-1)/2)/MAX(0.5,'Control Room'!$B$13/4))^2),1)*IF(AND($A700&gt;='Control Room'!$A$14,$A700&lt;'Control Room'!$A$14+'Control Room'!$B$14,'Process'!BQ3=1),1+('Control Room'!$C$14-1)*EXP(-0.5*(($A700-'Control Room'!$A$14-('Control Room'!$B$14-1)/2)/MAX(0.5,'Control Room'!$B$14/4))^2),1)*IF(AND($A700&gt;='Control Room'!$A$15,$A700&lt;'Control Room'!$A$15+'Control Room'!$B$15,'Process'!BQ4=1),1+('Control Room'!$C$15-1)*EXP(-0.5*(($A700-'Control Room'!$A$15-('Control Room'!$B$15-1)/2)/MAX(0.5,'Control Room'!$B$15/4))^2),1)*IF(AND($A700&gt;='Control Room'!$A$16,$A700&lt;'Control Room'!$A$16+'Control Room'!$B$16,'Process'!BQ5=1),1+('Control Room'!$C$16-1)*EXP(-0.5*(($A700-'Control Room'!$A$16-('Control Room'!$B$16-1)/2)/MAX(0.5,'Control Room'!$B$16/4))^2),1)</x:f>
        <x:v>1</x:v>
      </x:c>
      <x:c r="AK700" s="9" t="n">
        <x:f>MOD(AL699*16807,2147483647)</x:f>
        <x:v>1804166152</x:v>
      </x:c>
      <x:c r="AL700" s="9" t="n">
        <x:f>MOD(AK700*16807,2147483647)</x:f>
        <x:v>151421024</x:v>
      </x:c>
      <x:c r="AM700" s="17" t="n">
        <x:f>IF('Control Room'!$B$5="Normal",'Control Room'!$B$7+'Control Room'!$D$7*SQRT(-2*LN(MAX(0.000000000001,AK700/2147483647)))*COS(2*PI()*AL700/2147483647),'Control Room'!$B$8+('Control Room'!$D$8-'Control Room'!$B$8)*AK700/2147483647)</x:f>
        <x:v>1047.9939169362608</x:v>
      </x:c>
      <x:c r="AN700" s="17" t="n">
        <x:f>IF('Control Room'!$B$5="Normal",'Control Room'!$B$7,('Control Room'!$B$8+'Control Room'!$D$8)/2)+'Control Room'!$B$9*(AN699-IF('Control Room'!$B$5="Normal",'Control Room'!$B$7,('Control Room'!$B$8+'Control Room'!$D$8)/2))+SQRT(1-'Control Room'!$B$9^2)*(AM700-IF('Control Room'!$B$5="Normal",'Control Room'!$B$7,('Control Room'!$B$8+'Control Room'!$D$8)/2))</x:f>
        <x:v>1116.7143936748262</x:v>
      </x:c>
      <x:c r="AO700" s="17" t="n">
        <x:f>IF(AND($A700&gt;='Control Room'!$A$13,$A700&lt;'Control Room'!$A$13+'Control Room'!$B$13,'Process'!BR2=1),1+('Control Room'!$C$13-1)*EXP(-0.5*(($A700-'Control Room'!$A$13-('Control Room'!$B$13-1)/2)/MAX(0.5,'Control Room'!$B$13/4))^2),1)*IF(AND($A700&gt;='Control Room'!$A$14,$A700&lt;'Control Room'!$A$14+'Control Room'!$B$14,'Process'!BR3=1),1+('Control Room'!$C$14-1)*EXP(-0.5*(($A700-'Control Room'!$A$14-('Control Room'!$B$14-1)/2)/MAX(0.5,'Control Room'!$B$14/4))^2),1)*IF(AND($A700&gt;='Control Room'!$A$15,$A700&lt;'Control Room'!$A$15+'Control Room'!$B$15,'Process'!BR4=1),1+('Control Room'!$C$15-1)*EXP(-0.5*(($A700-'Control Room'!$A$15-('Control Room'!$B$15-1)/2)/MAX(0.5,'Control Room'!$B$15/4))^2),1)*IF(AND($A700&gt;='Control Room'!$A$16,$A700&lt;'Control Room'!$A$16+'Control Room'!$B$16,'Process'!BR5=1),1+('Control Room'!$C$16-1)*EXP(-0.5*(($A700-'Control Room'!$A$16-('Control Room'!$B$16-1)/2)/MAX(0.5,'Control Room'!$B$16/4))^2),1)</x:f>
        <x:v>1</x:v>
      </x:c>
      <x:c r="AP700" s="9" t="n">
        <x:f>MOD(AQ699*16807,2147483647)</x:f>
        <x:v>723891228</x:v>
      </x:c>
      <x:c r="AQ700" s="9" t="n">
        <x:f>MOD(AP700*16807,2147483647)</x:f>
        <x:v>945008741</x:v>
      </x:c>
      <x:c r="AR700" s="17" t="n">
        <x:f>IF('Control Room'!$B$5="Normal",'Control Room'!$B$7+'Control Room'!$D$7*SQRT(-2*LN(MAX(0.000000000001,AP700/2147483647)))*COS(2*PI()*AQ700/2147483647),'Control Room'!$B$8+('Control Room'!$D$8-'Control Room'!$B$8)*AP700/2147483647)</x:f>
        <x:v>876.5783909155033</x:v>
      </x:c>
      <x:c r="AS700" s="17" t="n">
        <x:f>IF('Control Room'!$B$5="Normal",'Control Room'!$B$7,('Control Room'!$B$8+'Control Room'!$D$8)/2)+'Control Room'!$B$9*(AS699-IF('Control Room'!$B$5="Normal",'Control Room'!$B$7,('Control Room'!$B$8+'Control Room'!$D$8)/2))+SQRT(1-'Control Room'!$B$9^2)*(AR700-IF('Control Room'!$B$5="Normal",'Control Room'!$B$7,('Control Room'!$B$8+'Control Room'!$D$8)/2))</x:f>
        <x:v>933.5710212585253</x:v>
      </x:c>
      <x:c r="AT700" s="17" t="n">
        <x:f>IF(AND($A700&gt;='Control Room'!$A$13,$A700&lt;'Control Room'!$A$13+'Control Room'!$B$13,'Process'!BS2=1),1+('Control Room'!$C$13-1)*EXP(-0.5*(($A700-'Control Room'!$A$13-('Control Room'!$B$13-1)/2)/MAX(0.5,'Control Room'!$B$13/4))^2),1)*IF(AND($A700&gt;='Control Room'!$A$14,$A700&lt;'Control Room'!$A$14+'Control Room'!$B$14,'Process'!BS3=1),1+('Control Room'!$C$14-1)*EXP(-0.5*(($A700-'Control Room'!$A$14-('Control Room'!$B$14-1)/2)/MAX(0.5,'Control Room'!$B$14/4))^2),1)*IF(AND($A700&gt;='Control Room'!$A$15,$A700&lt;'Control Room'!$A$15+'Control Room'!$B$15,'Process'!BS4=1),1+('Control Room'!$C$15-1)*EXP(-0.5*(($A700-'Control Room'!$A$15-('Control Room'!$B$15-1)/2)/MAX(0.5,'Control Room'!$B$15/4))^2),1)*IF(AND($A700&gt;='Control Room'!$A$16,$A700&lt;'Control Room'!$A$16+'Control Room'!$B$16,'Process'!BS5=1),1+('Control Room'!$C$16-1)*EXP(-0.5*(($A700-'Control Room'!$A$16-('Control Room'!$B$16-1)/2)/MAX(0.5,'Control Room'!$B$16/4))^2),1)</x:f>
        <x:v>1</x:v>
      </x:c>
      <x:c r="AU700" s="9" t="n">
        <x:f>MOD(AV699*16807,2147483647)</x:f>
        <x:v>1791099951</x:v>
      </x:c>
      <x:c r="AV700" s="9" t="n">
        <x:f>MOD(AU700*16807,2147483647)</x:f>
        <x:v>1738596458</x:v>
      </x:c>
      <x:c r="AW700" s="17" t="n">
        <x:f>IF('Control Room'!$B$5="Normal",'Control Room'!$B$7+'Control Room'!$D$7*SQRT(-2*LN(MAX(0.000000000001,AU700/2147483647)))*COS(2*PI()*AV700/2147483647),'Control Room'!$B$8+('Control Room'!$D$8-'Control Room'!$B$8)*AU700/2147483647)</x:f>
        <x:v>1019.831865133656</x:v>
      </x:c>
      <x:c r="AX700" s="17" t="n">
        <x:f>IF('Control Room'!$B$5="Normal",'Control Room'!$B$7,('Control Room'!$B$8+'Control Room'!$D$8)/2)+'Control Room'!$B$9*(AX699-IF('Control Room'!$B$5="Normal",'Control Room'!$B$7,('Control Room'!$B$8+'Control Room'!$D$8)/2))+SQRT(1-'Control Room'!$B$9^2)*(AW700-IF('Control Room'!$B$5="Normal",'Control Room'!$B$7,('Control Room'!$B$8+'Control Room'!$D$8)/2))</x:f>
        <x:v>1000.7149162887159</x:v>
      </x:c>
      <x:c r="AY700" s="17" t="n">
        <x:f>IF(AND($A700&gt;='Control Room'!$A$13,$A700&lt;'Control Room'!$A$13+'Control Room'!$B$13,'Process'!BT2=1),1+('Control Room'!$C$13-1)*EXP(-0.5*(($A700-'Control Room'!$A$13-('Control Room'!$B$13-1)/2)/MAX(0.5,'Control Room'!$B$13/4))^2),1)*IF(AND($A700&gt;='Control Room'!$A$14,$A700&lt;'Control Room'!$A$14+'Control Room'!$B$14,'Process'!BT3=1),1+('Control Room'!$C$14-1)*EXP(-0.5*(($A700-'Control Room'!$A$14-('Control Room'!$B$14-1)/2)/MAX(0.5,'Control Room'!$B$14/4))^2),1)*IF(AND($A700&gt;='Control Room'!$A$15,$A700&lt;'Control Room'!$A$15+'Control Room'!$B$15,'Process'!BT4=1),1+('Control Room'!$C$15-1)*EXP(-0.5*(($A700-'Control Room'!$A$15-('Control Room'!$B$15-1)/2)/MAX(0.5,'Control Room'!$B$15/4))^2),1)*IF(AND($A700&gt;='Control Room'!$A$16,$A700&lt;'Control Room'!$A$16+'Control Room'!$B$16,'Process'!BT5=1),1+('Control Room'!$C$16-1)*EXP(-0.5*(($A700-'Control Room'!$A$16-('Control Room'!$B$16-1)/2)/MAX(0.5,'Control Room'!$B$16/4))^2),1)</x:f>
        <x:v>1</x:v>
      </x:c>
      <x:c r="AZ700" s="9" t="n">
        <x:f>MOD(BA699*16807,2147483647)</x:f>
        <x:v>710825027</x:v>
      </x:c>
      <x:c r="BA700" s="9" t="n">
        <x:f>MOD(AZ700*16807,2147483647)</x:f>
        <x:v>384700528</x:v>
      </x:c>
      <x:c r="BB700" s="17" t="n">
        <x:f>IF('Control Room'!$B$5="Normal",'Control Room'!$B$7+'Control Room'!$D$7*SQRT(-2*LN(MAX(0.000000000001,AZ700/2147483647)))*COS(2*PI()*BA700/2147483647),'Control Room'!$B$8+('Control Room'!$D$8-'Control Room'!$B$8)*AZ700/2147483647)</x:f>
        <x:v>1057.6365044460729</x:v>
      </x:c>
      <x:c r="BC700" s="17" t="n">
        <x:f>IF('Control Room'!$B$5="Normal",'Control Room'!$B$7,('Control Room'!$B$8+'Control Room'!$D$8)/2)+'Control Room'!$B$9*(BC699-IF('Control Room'!$B$5="Normal",'Control Room'!$B$7,('Control Room'!$B$8+'Control Room'!$D$8)/2))+SQRT(1-'Control Room'!$B$9^2)*(BB700-IF('Control Room'!$B$5="Normal",'Control Room'!$B$7,('Control Room'!$B$8+'Control Room'!$D$8)/2))</x:f>
        <x:v>1094.358055439182</x:v>
      </x:c>
      <x:c r="BD700" s="17" t="n">
        <x:f>IF(AND($A700&gt;='Control Room'!$A$13,$A700&lt;'Control Room'!$A$13+'Control Room'!$B$13,'Process'!BU2=1),1+('Control Room'!$C$13-1)*EXP(-0.5*(($A700-'Control Room'!$A$13-('Control Room'!$B$13-1)/2)/MAX(0.5,'Control Room'!$B$13/4))^2),1)*IF(AND($A700&gt;='Control Room'!$A$14,$A700&lt;'Control Room'!$A$14+'Control Room'!$B$14,'Process'!BU3=1),1+('Control Room'!$C$14-1)*EXP(-0.5*(($A700-'Control Room'!$A$14-('Control Room'!$B$14-1)/2)/MAX(0.5,'Control Room'!$B$14/4))^2),1)*IF(AND($A700&gt;='Control Room'!$A$15,$A700&lt;'Control Room'!$A$15+'Control Room'!$B$15,'Process'!BU4=1),1+('Control Room'!$C$15-1)*EXP(-0.5*(($A700-'Control Room'!$A$15-('Control Room'!$B$15-1)/2)/MAX(0.5,'Control Room'!$B$15/4))^2),1)*IF(AND($A700&gt;='Control Room'!$A$16,$A700&lt;'Control Room'!$A$16+'Control Room'!$B$16,'Process'!BU5=1),1+('Control Room'!$C$16-1)*EXP(-0.5*(($A700-'Control Room'!$A$16-('Control Room'!$B$16-1)/2)/MAX(0.5,'Control Room'!$B$16/4))^2),1)</x:f>
        <x:v>1</x:v>
      </x:c>
      <x:c r="BE700" s="9" t="n">
        <x:f>MOD(BF699*16807,2147483647)</x:f>
        <x:v>1778033750</x:v>
      </x:c>
      <x:c r="BF700" s="9" t="n">
        <x:f>MOD(BE700*16807,2147483647)</x:f>
        <x:v>1178288245</x:v>
      </x:c>
      <x:c r="BG700" s="17" t="n">
        <x:f>IF('Control Room'!$B$5="Normal",'Control Room'!$B$7+'Control Room'!$D$7*SQRT(-2*LN(MAX(0.000000000001,BE700/2147483647)))*COS(2*PI()*BF700/2147483647),'Control Room'!$B$8+('Control Room'!$D$8-'Control Room'!$B$8)*BE700/2147483647)</x:f>
        <x:v>947.2645266697041</x:v>
      </x:c>
      <x:c r="BH700" s="17" t="n">
        <x:f>IF('Control Room'!$B$5="Normal",'Control Room'!$B$7,('Control Room'!$B$8+'Control Room'!$D$8)/2)+'Control Room'!$B$9*(BH699-IF('Control Room'!$B$5="Normal",'Control Room'!$B$7,('Control Room'!$B$8+'Control Room'!$D$8)/2))+SQRT(1-'Control Room'!$B$9^2)*(BG700-IF('Control Room'!$B$5="Normal",'Control Room'!$B$7,('Control Room'!$B$8+'Control Room'!$D$8)/2))</x:f>
        <x:v>955.5921486813758</x:v>
      </x:c>
      <x:c r="BI700" s="17" t="n">
        <x:f>IF(AND($A700&gt;='Control Room'!$A$13,$A700&lt;'Control Room'!$A$13+'Control Room'!$B$13,'Process'!BV2=1),1+('Control Room'!$C$13-1)*EXP(-0.5*(($A700-'Control Room'!$A$13-('Control Room'!$B$13-1)/2)/MAX(0.5,'Control Room'!$B$13/4))^2),1)*IF(AND($A700&gt;='Control Room'!$A$14,$A700&lt;'Control Room'!$A$14+'Control Room'!$B$14,'Process'!BV3=1),1+('Control Room'!$C$14-1)*EXP(-0.5*(($A700-'Control Room'!$A$14-('Control Room'!$B$14-1)/2)/MAX(0.5,'Control Room'!$B$14/4))^2),1)*IF(AND($A700&gt;='Control Room'!$A$15,$A700&lt;'Control Room'!$A$15+'Control Room'!$B$15,'Process'!BV4=1),1+('Control Room'!$C$15-1)*EXP(-0.5*(($A700-'Control Room'!$A$15-('Control Room'!$B$15-1)/2)/MAX(0.5,'Control Room'!$B$15/4))^2),1)*IF(AND($A700&gt;='Control Room'!$A$16,$A700&lt;'Control Room'!$A$16+'Control Room'!$B$16,'Process'!BV5=1),1+('Control Room'!$C$16-1)*EXP(-0.5*(($A700-'Control Room'!$A$16-('Control Room'!$B$16-1)/2)/MAX(0.5,'Control Room'!$B$16/4))^2),1)</x:f>
        <x:v>1</x:v>
      </x:c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Z700" t="str">
        <x:f>IF('Data'!A700="","",TEXT('Data'!A700,"mm-dd"))</x:f>
      </x:c>
    </x:row>
    <x:row r="701" ht="21" customHeight="1">
      <x:c r="A701" s="15" t="n">
        <x:f>'Control Room'!$B$1+699</x:f>
        <x:v>73690</x:v>
      </x:c>
      <x:c r="B701" s="9" t="n">
        <x:f>MOD(C700*16807,2147483647)</x:f>
        <x:v>1510231959</x:v>
      </x:c>
      <x:c r="C701" s="9" t="n">
        <x:f>MOD(B701*16807,2147483647)</x:f>
        <x:v>1359311020</x:v>
      </x:c>
      <x:c r="D701" s="17" t="n">
        <x:f>IF('Control Room'!$B$5="Normal",'Control Room'!$B$7+'Control Room'!$D$7*SQRT(-2*LN(MAX(0.000000000001,B701/2147483647)))*COS(2*PI()*C701/2147483647),'Control Room'!$B$8+('Control Room'!$D$8-'Control Room'!$B$8)*B701/2147483647)</x:f>
        <x:v>949.3437204640476</x:v>
      </x:c>
      <x:c r="E701" s="17" t="n">
        <x:f>IF('Control Room'!$B$5="Normal",'Control Room'!$B$7,('Control Room'!$B$8+'Control Room'!$D$8)/2)+'Control Room'!$B$9*(E700-IF('Control Room'!$B$5="Normal",'Control Room'!$B$7,('Control Room'!$B$8+'Control Room'!$D$8)/2))+SQRT(1-'Control Room'!$B$9^2)*(D701-IF('Control Room'!$B$5="Normal",'Control Room'!$B$7,('Control Room'!$B$8+'Control Room'!$D$8)/2))</x:f>
        <x:v>934.4153940311065</x:v>
      </x:c>
      <x:c r="F701" s="17" t="n">
        <x:f>IF(AND($A701&gt;='Control Room'!$A$13,$A701&lt;'Control Room'!$A$13+'Control Room'!$B$13,'Process'!BK2=1),1+('Control Room'!$C$13-1)*EXP(-0.5*(($A701-'Control Room'!$A$13-('Control Room'!$B$13-1)/2)/MAX(0.5,'Control Room'!$B$13/4))^2),1)*IF(AND($A701&gt;='Control Room'!$A$14,$A701&lt;'Control Room'!$A$14+'Control Room'!$B$14,'Process'!BK3=1),1+('Control Room'!$C$14-1)*EXP(-0.5*(($A701-'Control Room'!$A$14-('Control Room'!$B$14-1)/2)/MAX(0.5,'Control Room'!$B$14/4))^2),1)*IF(AND($A701&gt;='Control Room'!$A$15,$A701&lt;'Control Room'!$A$15+'Control Room'!$B$15,'Process'!BK4=1),1+('Control Room'!$C$15-1)*EXP(-0.5*(($A701-'Control Room'!$A$15-('Control Room'!$B$15-1)/2)/MAX(0.5,'Control Room'!$B$15/4))^2),1)*IF(AND($A701&gt;='Control Room'!$A$16,$A701&lt;'Control Room'!$A$16+'Control Room'!$B$16,'Process'!BK5=1),1+('Control Room'!$C$16-1)*EXP(-0.5*(($A701-'Control Room'!$A$16-('Control Room'!$B$16-1)/2)/MAX(0.5,'Control Room'!$B$16/4))^2),1)</x:f>
        <x:v>1</x:v>
      </x:c>
      <x:c r="G701" s="9" t="n">
        <x:f>MOD(H700*16807,2147483647)</x:f>
        <x:v>1318060061</x:v>
      </x:c>
      <x:c r="H701" s="9" t="n">
        <x:f>MOD(G701*16807,2147483647)</x:f>
        <x:v>1341626422</x:v>
      </x:c>
      <x:c r="I701" s="17" t="n">
        <x:f>IF('Control Room'!$B$5="Normal",'Control Room'!$B$7+'Control Room'!$D$7*SQRT(-2*LN(MAX(0.000000000001,G701/2147483647)))*COS(2*PI()*H701/2147483647),'Control Room'!$B$8+('Control Room'!$D$8-'Control Room'!$B$8)*G701/2147483647)</x:f>
        <x:v>937.0186953137014</x:v>
      </x:c>
      <x:c r="J701" s="17" t="n">
        <x:f>IF('Control Room'!$B$5="Normal",'Control Room'!$B$7,('Control Room'!$B$8+'Control Room'!$D$8)/2)+'Control Room'!$B$9*(J700-IF('Control Room'!$B$5="Normal",'Control Room'!$B$7,('Control Room'!$B$8+'Control Room'!$D$8)/2))+SQRT(1-'Control Room'!$B$9^2)*(I701-IF('Control Room'!$B$5="Normal",'Control Room'!$B$7,('Control Room'!$B$8+'Control Room'!$D$8)/2))</x:f>
        <x:v>1035.1319665472327</x:v>
      </x:c>
      <x:c r="K701" s="17" t="n">
        <x:f>IF(AND($A701&gt;='Control Room'!$A$13,$A701&lt;'Control Room'!$A$13+'Control Room'!$B$13,'Process'!BL2=1),1+('Control Room'!$C$13-1)*EXP(-0.5*(($A701-'Control Room'!$A$13-('Control Room'!$B$13-1)/2)/MAX(0.5,'Control Room'!$B$13/4))^2),1)*IF(AND($A701&gt;='Control Room'!$A$14,$A701&lt;'Control Room'!$A$14+'Control Room'!$B$14,'Process'!BL3=1),1+('Control Room'!$C$14-1)*EXP(-0.5*(($A701-'Control Room'!$A$14-('Control Room'!$B$14-1)/2)/MAX(0.5,'Control Room'!$B$14/4))^2),1)*IF(AND($A701&gt;='Control Room'!$A$15,$A701&lt;'Control Room'!$A$15+'Control Room'!$B$15,'Process'!BL4=1),1+('Control Room'!$C$15-1)*EXP(-0.5*(($A701-'Control Room'!$A$15-('Control Room'!$B$15-1)/2)/MAX(0.5,'Control Room'!$B$15/4))^2),1)*IF(AND($A701&gt;='Control Room'!$A$16,$A701&lt;'Control Room'!$A$16+'Control Room'!$B$16,'Process'!BL5=1),1+('Control Room'!$C$16-1)*EXP(-0.5*(($A701-'Control Room'!$A$16-('Control Room'!$B$16-1)/2)/MAX(0.5,'Control Room'!$B$16/4))^2),1)</x:f>
        <x:v>1</x:v>
      </x:c>
      <x:c r="L701" s="9" t="n">
        <x:f>MOD(M700*16807,2147483647)</x:f>
        <x:v>1125888163</x:v>
      </x:c>
      <x:c r="M701" s="9" t="n">
        <x:f>MOD(L701*16807,2147483647)</x:f>
        <x:v>1323941824</x:v>
      </x:c>
      <x:c r="N701" s="17" t="n">
        <x:f>IF('Control Room'!$B$5="Normal",'Control Room'!$B$7+'Control Room'!$D$7*SQRT(-2*LN(MAX(0.000000000001,L701/2147483647)))*COS(2*PI()*M701/2147483647),'Control Room'!$B$8+('Control Room'!$D$8-'Control Room'!$B$8)*L701/2147483647)</x:f>
        <x:v>923.9248261986746</x:v>
      </x:c>
      <x:c r="O701" s="17" t="n">
        <x:f>IF('Control Room'!$B$5="Normal",'Control Room'!$B$7,('Control Room'!$B$8+'Control Room'!$D$8)/2)+'Control Room'!$B$9*(O700-IF('Control Room'!$B$5="Normal",'Control Room'!$B$7,('Control Room'!$B$8+'Control Room'!$D$8)/2))+SQRT(1-'Control Room'!$B$9^2)*(N701-IF('Control Room'!$B$5="Normal",'Control Room'!$B$7,('Control Room'!$B$8+'Control Room'!$D$8)/2))</x:f>
        <x:v>937.2714988196124</x:v>
      </x:c>
      <x:c r="P701" s="17" t="n">
        <x:f>IF(AND($A701&gt;='Control Room'!$A$13,$A701&lt;'Control Room'!$A$13+'Control Room'!$B$13,'Process'!BM2=1),1+('Control Room'!$C$13-1)*EXP(-0.5*(($A701-'Control Room'!$A$13-('Control Room'!$B$13-1)/2)/MAX(0.5,'Control Room'!$B$13/4))^2),1)*IF(AND($A701&gt;='Control Room'!$A$14,$A701&lt;'Control Room'!$A$14+'Control Room'!$B$14,'Process'!BM3=1),1+('Control Room'!$C$14-1)*EXP(-0.5*(($A701-'Control Room'!$A$14-('Control Room'!$B$14-1)/2)/MAX(0.5,'Control Room'!$B$14/4))^2),1)*IF(AND($A701&gt;='Control Room'!$A$15,$A701&lt;'Control Room'!$A$15+'Control Room'!$B$15,'Process'!BM4=1),1+('Control Room'!$C$15-1)*EXP(-0.5*(($A701-'Control Room'!$A$15-('Control Room'!$B$15-1)/2)/MAX(0.5,'Control Room'!$B$15/4))^2),1)*IF(AND($A701&gt;='Control Room'!$A$16,$A701&lt;'Control Room'!$A$16+'Control Room'!$B$16,'Process'!BM5=1),1+('Control Room'!$C$16-1)*EXP(-0.5*(($A701-'Control Room'!$A$16-('Control Room'!$B$16-1)/2)/MAX(0.5,'Control Room'!$B$16/4))^2),1)</x:f>
        <x:v>1</x:v>
      </x:c>
      <x:c r="Q701" s="9" t="n">
        <x:f>MOD(R700*16807,2147483647)</x:f>
        <x:v>933716265</x:v>
      </x:c>
      <x:c r="R701" s="9" t="n">
        <x:f>MOD(Q701*16807,2147483647)</x:f>
        <x:v>1306257226</x:v>
      </x:c>
      <x:c r="S701" s="17" t="n">
        <x:f>IF('Control Room'!$B$5="Normal",'Control Room'!$B$7+'Control Room'!$D$7*SQRT(-2*LN(MAX(0.000000000001,Q701/2147483647)))*COS(2*PI()*R701/2147483647),'Control Room'!$B$8+('Control Room'!$D$8-'Control Room'!$B$8)*Q701/2147483647)</x:f>
        <x:v>909.7008824606269</x:v>
      </x:c>
      <x:c r="T701" s="17" t="n">
        <x:f>IF('Control Room'!$B$5="Normal",'Control Room'!$B$7,('Control Room'!$B$8+'Control Room'!$D$8)/2)+'Control Room'!$B$9*(T700-IF('Control Room'!$B$5="Normal",'Control Room'!$B$7,('Control Room'!$B$8+'Control Room'!$D$8)/2))+SQRT(1-'Control Room'!$B$9^2)*(S701-IF('Control Room'!$B$5="Normal",'Control Room'!$B$7,('Control Room'!$B$8+'Control Room'!$D$8)/2))</x:f>
        <x:v>882.1341970010827</x:v>
      </x:c>
      <x:c r="U701" s="17" t="n">
        <x:f>IF(AND($A701&gt;='Control Room'!$A$13,$A701&lt;'Control Room'!$A$13+'Control Room'!$B$13,'Process'!BN2=1),1+('Control Room'!$C$13-1)*EXP(-0.5*(($A701-'Control Room'!$A$13-('Control Room'!$B$13-1)/2)/MAX(0.5,'Control Room'!$B$13/4))^2),1)*IF(AND($A701&gt;='Control Room'!$A$14,$A701&lt;'Control Room'!$A$14+'Control Room'!$B$14,'Process'!BN3=1),1+('Control Room'!$C$14-1)*EXP(-0.5*(($A701-'Control Room'!$A$14-('Control Room'!$B$14-1)/2)/MAX(0.5,'Control Room'!$B$14/4))^2),1)*IF(AND($A701&gt;='Control Room'!$A$15,$A701&lt;'Control Room'!$A$15+'Control Room'!$B$15,'Process'!BN4=1),1+('Control Room'!$C$15-1)*EXP(-0.5*(($A701-'Control Room'!$A$15-('Control Room'!$B$15-1)/2)/MAX(0.5,'Control Room'!$B$15/4))^2),1)*IF(AND($A701&gt;='Control Room'!$A$16,$A701&lt;'Control Room'!$A$16+'Control Room'!$B$16,'Process'!BN5=1),1+('Control Room'!$C$16-1)*EXP(-0.5*(($A701-'Control Room'!$A$16-('Control Room'!$B$16-1)/2)/MAX(0.5,'Control Room'!$B$16/4))^2),1)</x:f>
        <x:v>1</x:v>
      </x:c>
      <x:c r="V701" s="9" t="n">
        <x:f>MOD(W700*16807,2147483647)</x:f>
        <x:v>741544367</x:v>
      </x:c>
      <x:c r="W701" s="9" t="n">
        <x:f>MOD(V701*16807,2147483647)</x:f>
        <x:v>1288572628</x:v>
      </x:c>
      <x:c r="X701" s="17" t="n">
        <x:f>IF('Control Room'!$B$5="Normal",'Control Room'!$B$7+'Control Room'!$D$7*SQRT(-2*LN(MAX(0.000000000001,V701/2147483647)))*COS(2*PI()*W701/2147483647),'Control Room'!$B$8+('Control Room'!$D$8-'Control Room'!$B$8)*V701/2147483647)</x:f>
        <x:v>893.8376772345243</x:v>
      </x:c>
      <x:c r="Y701" s="17" t="n">
        <x:f>IF('Control Room'!$B$5="Normal",'Control Room'!$B$7,('Control Room'!$B$8+'Control Room'!$D$8)/2)+'Control Room'!$B$9*(Y700-IF('Control Room'!$B$5="Normal",'Control Room'!$B$7,('Control Room'!$B$8+'Control Room'!$D$8)/2))+SQRT(1-'Control Room'!$B$9^2)*(X701-IF('Control Room'!$B$5="Normal",'Control Room'!$B$7,('Control Room'!$B$8+'Control Room'!$D$8)/2))</x:f>
        <x:v>933.662493150344</x:v>
      </x:c>
      <x:c r="Z701" s="17" t="n">
        <x:f>IF(AND($A701&gt;='Control Room'!$A$13,$A701&lt;'Control Room'!$A$13+'Control Room'!$B$13,'Process'!BO2=1),1+('Control Room'!$C$13-1)*EXP(-0.5*(($A701-'Control Room'!$A$13-('Control Room'!$B$13-1)/2)/MAX(0.5,'Control Room'!$B$13/4))^2),1)*IF(AND($A701&gt;='Control Room'!$A$14,$A701&lt;'Control Room'!$A$14+'Control Room'!$B$14,'Process'!BO3=1),1+('Control Room'!$C$14-1)*EXP(-0.5*(($A701-'Control Room'!$A$14-('Control Room'!$B$14-1)/2)/MAX(0.5,'Control Room'!$B$14/4))^2),1)*IF(AND($A701&gt;='Control Room'!$A$15,$A701&lt;'Control Room'!$A$15+'Control Room'!$B$15,'Process'!BO4=1),1+('Control Room'!$C$15-1)*EXP(-0.5*(($A701-'Control Room'!$A$15-('Control Room'!$B$15-1)/2)/MAX(0.5,'Control Room'!$B$15/4))^2),1)*IF(AND($A701&gt;='Control Room'!$A$16,$A701&lt;'Control Room'!$A$16+'Control Room'!$B$16,'Process'!BO5=1),1+('Control Room'!$C$16-1)*EXP(-0.5*(($A701-'Control Room'!$A$16-('Control Room'!$B$16-1)/2)/MAX(0.5,'Control Room'!$B$16/4))^2),1)</x:f>
        <x:v>1</x:v>
      </x:c>
      <x:c r="AA701" s="9" t="n">
        <x:f>MOD(AB700*16807,2147483647)</x:f>
        <x:v>549372469</x:v>
      </x:c>
      <x:c r="AB701" s="9" t="n">
        <x:f>MOD(AA701*16807,2147483647)</x:f>
        <x:v>1270888030</x:v>
      </x:c>
      <x:c r="AC701" s="17" t="n">
        <x:f>IF('Control Room'!$B$5="Normal",'Control Room'!$B$7+'Control Room'!$D$7*SQRT(-2*LN(MAX(0.000000000001,AA701/2147483647)))*COS(2*PI()*AB701/2147483647),'Control Room'!$B$8+('Control Room'!$D$8-'Control Room'!$B$8)*AA701/2147483647)</x:f>
        <x:v>875.4343630313085</x:v>
      </x:c>
      <x:c r="AD701" s="17" t="n">
        <x:f>IF('Control Room'!$B$5="Normal",'Control Room'!$B$7,('Control Room'!$B$8+'Control Room'!$D$8)/2)+'Control Room'!$B$9*(AD700-IF('Control Room'!$B$5="Normal",'Control Room'!$B$7,('Control Room'!$B$8+'Control Room'!$D$8)/2))+SQRT(1-'Control Room'!$B$9^2)*(AC701-IF('Control Room'!$B$5="Normal",'Control Room'!$B$7,('Control Room'!$B$8+'Control Room'!$D$8)/2))</x:f>
        <x:v>943.7617995337689</x:v>
      </x:c>
      <x:c r="AE701" s="17" t="n">
        <x:f>IF(AND($A701&gt;='Control Room'!$A$13,$A701&lt;'Control Room'!$A$13+'Control Room'!$B$13,'Process'!BP2=1),1+('Control Room'!$C$13-1)*EXP(-0.5*(($A701-'Control Room'!$A$13-('Control Room'!$B$13-1)/2)/MAX(0.5,'Control Room'!$B$13/4))^2),1)*IF(AND($A701&gt;='Control Room'!$A$14,$A701&lt;'Control Room'!$A$14+'Control Room'!$B$14,'Process'!BP3=1),1+('Control Room'!$C$14-1)*EXP(-0.5*(($A701-'Control Room'!$A$14-('Control Room'!$B$14-1)/2)/MAX(0.5,'Control Room'!$B$14/4))^2),1)*IF(AND($A701&gt;='Control Room'!$A$15,$A701&lt;'Control Room'!$A$15+'Control Room'!$B$15,'Process'!BP4=1),1+('Control Room'!$C$15-1)*EXP(-0.5*(($A701-'Control Room'!$A$15-('Control Room'!$B$15-1)/2)/MAX(0.5,'Control Room'!$B$15/4))^2),1)*IF(AND($A701&gt;='Control Room'!$A$16,$A701&lt;'Control Room'!$A$16+'Control Room'!$B$16,'Process'!BP5=1),1+('Control Room'!$C$16-1)*EXP(-0.5*(($A701-'Control Room'!$A$16-('Control Room'!$B$16-1)/2)/MAX(0.5,'Control Room'!$B$16/4))^2),1)</x:f>
        <x:v>1</x:v>
      </x:c>
      <x:c r="AF701" s="9" t="n">
        <x:f>MOD(AG700*16807,2147483647)</x:f>
        <x:v>357200571</x:v>
      </x:c>
      <x:c r="AG701" s="9" t="n">
        <x:f>MOD(AF701*16807,2147483647)</x:f>
        <x:v>1253203432</x:v>
      </x:c>
      <x:c r="AH701" s="17" t="n">
        <x:f>IF('Control Room'!$B$5="Normal",'Control Room'!$B$7+'Control Room'!$D$7*SQRT(-2*LN(MAX(0.000000000001,AF701/2147483647)))*COS(2*PI()*AG701/2147483647),'Control Room'!$B$8+('Control Room'!$D$8-'Control Room'!$B$8)*AF701/2147483647)</x:f>
        <x:v>852.4976954631452</x:v>
      </x:c>
      <x:c r="AI701" s="17" t="n">
        <x:f>IF('Control Room'!$B$5="Normal",'Control Room'!$B$7,('Control Room'!$B$8+'Control Room'!$D$8)/2)+'Control Room'!$B$9*(AI700-IF('Control Room'!$B$5="Normal",'Control Room'!$B$7,('Control Room'!$B$8+'Control Room'!$D$8)/2))+SQRT(1-'Control Room'!$B$9^2)*(AH701-IF('Control Room'!$B$5="Normal",'Control Room'!$B$7,('Control Room'!$B$8+'Control Room'!$D$8)/2))</x:f>
        <x:v>930.838256437838</x:v>
      </x:c>
      <x:c r="AJ701" s="17" t="n">
        <x:f>IF(AND($A701&gt;='Control Room'!$A$13,$A701&lt;'Control Room'!$A$13+'Control Room'!$B$13,'Process'!BQ2=1),1+('Control Room'!$C$13-1)*EXP(-0.5*(($A701-'Control Room'!$A$13-('Control Room'!$B$13-1)/2)/MAX(0.5,'Control Room'!$B$13/4))^2),1)*IF(AND($A701&gt;='Control Room'!$A$14,$A701&lt;'Control Room'!$A$14+'Control Room'!$B$14,'Process'!BQ3=1),1+('Control Room'!$C$14-1)*EXP(-0.5*(($A701-'Control Room'!$A$14-('Control Room'!$B$14-1)/2)/MAX(0.5,'Control Room'!$B$14/4))^2),1)*IF(AND($A701&gt;='Control Room'!$A$15,$A701&lt;'Control Room'!$A$15+'Control Room'!$B$15,'Process'!BQ4=1),1+('Control Room'!$C$15-1)*EXP(-0.5*(($A701-'Control Room'!$A$15-('Control Room'!$B$15-1)/2)/MAX(0.5,'Control Room'!$B$15/4))^2),1)*IF(AND($A701&gt;='Control Room'!$A$16,$A701&lt;'Control Room'!$A$16+'Control Room'!$B$16,'Process'!BQ5=1),1+('Control Room'!$C$16-1)*EXP(-0.5*(($A701-'Control Room'!$A$16-('Control Room'!$B$16-1)/2)/MAX(0.5,'Control Room'!$B$16/4))^2),1)</x:f>
        <x:v>1</x:v>
      </x:c>
      <x:c r="AK701" s="9" t="n">
        <x:f>MOD(AL700*16807,2147483647)</x:f>
        <x:v>165028673</x:v>
      </x:c>
      <x:c r="AL701" s="9" t="n">
        <x:f>MOD(AK701*16807,2147483647)</x:f>
        <x:v>1235518834</x:v>
      </x:c>
      <x:c r="AM701" s="17" t="n">
        <x:f>IF('Control Room'!$B$5="Normal",'Control Room'!$B$7+'Control Room'!$D$7*SQRT(-2*LN(MAX(0.000000000001,AK701/2147483647)))*COS(2*PI()*AL701/2147483647),'Control Room'!$B$8+('Control Room'!$D$8-'Control Room'!$B$8)*AK701/2147483647)</x:f>
        <x:v>818.5335124854987</x:v>
      </x:c>
      <x:c r="AN701" s="17" t="n">
        <x:f>IF('Control Room'!$B$5="Normal",'Control Room'!$B$7,('Control Room'!$B$8+'Control Room'!$D$8)/2)+'Control Room'!$B$9*(AN700-IF('Control Room'!$B$5="Normal",'Control Room'!$B$7,('Control Room'!$B$8+'Control Room'!$D$8)/2))+SQRT(1-'Control Room'!$B$9^2)*(AM701-IF('Control Room'!$B$5="Normal",'Control Room'!$B$7,('Control Room'!$B$8+'Control Room'!$D$8)/2))</x:f>
        <x:v>977.4792167228528</x:v>
      </x:c>
      <x:c r="AO701" s="17" t="n">
        <x:f>IF(AND($A701&gt;='Control Room'!$A$13,$A701&lt;'Control Room'!$A$13+'Control Room'!$B$13,'Process'!BR2=1),1+('Control Room'!$C$13-1)*EXP(-0.5*(($A701-'Control Room'!$A$13-('Control Room'!$B$13-1)/2)/MAX(0.5,'Control Room'!$B$13/4))^2),1)*IF(AND($A701&gt;='Control Room'!$A$14,$A701&lt;'Control Room'!$A$14+'Control Room'!$B$14,'Process'!BR3=1),1+('Control Room'!$C$14-1)*EXP(-0.5*(($A701-'Control Room'!$A$14-('Control Room'!$B$14-1)/2)/MAX(0.5,'Control Room'!$B$14/4))^2),1)*IF(AND($A701&gt;='Control Room'!$A$15,$A701&lt;'Control Room'!$A$15+'Control Room'!$B$15,'Process'!BR4=1),1+('Control Room'!$C$15-1)*EXP(-0.5*(($A701-'Control Room'!$A$15-('Control Room'!$B$15-1)/2)/MAX(0.5,'Control Room'!$B$15/4))^2),1)*IF(AND($A701&gt;='Control Room'!$A$16,$A701&lt;'Control Room'!$A$16+'Control Room'!$B$16,'Process'!BR5=1),1+('Control Room'!$C$16-1)*EXP(-0.5*(($A701-'Control Room'!$A$16-('Control Room'!$B$16-1)/2)/MAX(0.5,'Control Room'!$B$16/4))^2),1)</x:f>
        <x:v>1</x:v>
      </x:c>
      <x:c r="AP701" s="9" t="n">
        <x:f>MOD(AQ700*16807,2147483647)</x:f>
        <x:v>2120340422</x:v>
      </x:c>
      <x:c r="AQ701" s="9" t="n">
        <x:f>MOD(AP701*16807,2147483647)</x:f>
        <x:v>1217834236</x:v>
      </x:c>
      <x:c r="AR701" s="17" t="n">
        <x:f>IF('Control Room'!$B$5="Normal",'Control Room'!$B$7+'Control Room'!$D$7*SQRT(-2*LN(MAX(0.000000000001,AP701/2147483647)))*COS(2*PI()*AQ701/2147483647),'Control Room'!$B$8+('Control Room'!$D$8-'Control Room'!$B$8)*AP701/2147483647)</x:f>
        <x:v>986.9019452673882</x:v>
      </x:c>
      <x:c r="AS701" s="17" t="n">
        <x:f>IF('Control Room'!$B$5="Normal",'Control Room'!$B$7,('Control Room'!$B$8+'Control Room'!$D$8)/2)+'Control Room'!$B$9*(AS700-IF('Control Room'!$B$5="Normal",'Control Room'!$B$7,('Control Room'!$B$8+'Control Room'!$D$8)/2))+SQRT(1-'Control Room'!$B$9^2)*(AR701-IF('Control Room'!$B$5="Normal",'Control Room'!$B$7,('Control Room'!$B$8+'Control Room'!$D$8)/2))</x:f>
        <x:v>939.9889022582174</x:v>
      </x:c>
      <x:c r="AT701" s="17" t="n">
        <x:f>IF(AND($A701&gt;='Control Room'!$A$13,$A701&lt;'Control Room'!$A$13+'Control Room'!$B$13,'Process'!BS2=1),1+('Control Room'!$C$13-1)*EXP(-0.5*(($A701-'Control Room'!$A$13-('Control Room'!$B$13-1)/2)/MAX(0.5,'Control Room'!$B$13/4))^2),1)*IF(AND($A701&gt;='Control Room'!$A$14,$A701&lt;'Control Room'!$A$14+'Control Room'!$B$14,'Process'!BS3=1),1+('Control Room'!$C$14-1)*EXP(-0.5*(($A701-'Control Room'!$A$14-('Control Room'!$B$14-1)/2)/MAX(0.5,'Control Room'!$B$14/4))^2),1)*IF(AND($A701&gt;='Control Room'!$A$15,$A701&lt;'Control Room'!$A$15+'Control Room'!$B$15,'Process'!BS4=1),1+('Control Room'!$C$15-1)*EXP(-0.5*(($A701-'Control Room'!$A$15-('Control Room'!$B$15-1)/2)/MAX(0.5,'Control Room'!$B$15/4))^2),1)*IF(AND($A701&gt;='Control Room'!$A$16,$A701&lt;'Control Room'!$A$16+'Control Room'!$B$16,'Process'!BS5=1),1+('Control Room'!$C$16-1)*EXP(-0.5*(($A701-'Control Room'!$A$16-('Control Room'!$B$16-1)/2)/MAX(0.5,'Control Room'!$B$16/4))^2),1)</x:f>
        <x:v>1</x:v>
      </x:c>
      <x:c r="AU701" s="9" t="n">
        <x:f>MOD(AV700*16807,2147483647)</x:f>
        <x:v>1928168524</x:v>
      </x:c>
      <x:c r="AV701" s="9" t="n">
        <x:f>MOD(AU701*16807,2147483647)</x:f>
        <x:v>1200149638</x:v>
      </x:c>
      <x:c r="AW701" s="17" t="n">
        <x:f>IF('Control Room'!$B$5="Normal",'Control Room'!$B$7+'Control Room'!$D$7*SQRT(-2*LN(MAX(0.000000000001,AU701/2147483647)))*COS(2*PI()*AV701/2147483647),'Control Room'!$B$8+('Control Room'!$D$8-'Control Room'!$B$8)*AU701/2147483647)</x:f>
        <x:v>961.04959104328</x:v>
      </x:c>
      <x:c r="AX701" s="17" t="n">
        <x:f>IF('Control Room'!$B$5="Normal",'Control Room'!$B$7,('Control Room'!$B$8+'Control Room'!$D$8)/2)+'Control Room'!$B$9*(AX700-IF('Control Room'!$B$5="Normal",'Control Room'!$B$7,('Control Room'!$B$8+'Control Room'!$D$8)/2))+SQRT(1-'Control Room'!$B$9^2)*(AW701-IF('Control Room'!$B$5="Normal",'Control Room'!$B$7,('Control Room'!$B$8+'Control Room'!$D$8)/2))</x:f>
        <x:v>976.1832667225825</x:v>
      </x:c>
      <x:c r="AY701" s="17" t="n">
        <x:f>IF(AND($A701&gt;='Control Room'!$A$13,$A701&lt;'Control Room'!$A$13+'Control Room'!$B$13,'Process'!BT2=1),1+('Control Room'!$C$13-1)*EXP(-0.5*(($A701-'Control Room'!$A$13-('Control Room'!$B$13-1)/2)/MAX(0.5,'Control Room'!$B$13/4))^2),1)*IF(AND($A701&gt;='Control Room'!$A$14,$A701&lt;'Control Room'!$A$14+'Control Room'!$B$14,'Process'!BT3=1),1+('Control Room'!$C$14-1)*EXP(-0.5*(($A701-'Control Room'!$A$14-('Control Room'!$B$14-1)/2)/MAX(0.5,'Control Room'!$B$14/4))^2),1)*IF(AND($A701&gt;='Control Room'!$A$15,$A701&lt;'Control Room'!$A$15+'Control Room'!$B$15,'Process'!BT4=1),1+('Control Room'!$C$15-1)*EXP(-0.5*(($A701-'Control Room'!$A$15-('Control Room'!$B$15-1)/2)/MAX(0.5,'Control Room'!$B$15/4))^2),1)*IF(AND($A701&gt;='Control Room'!$A$16,$A701&lt;'Control Room'!$A$16+'Control Room'!$B$16,'Process'!BT5=1),1+('Control Room'!$C$16-1)*EXP(-0.5*(($A701-'Control Room'!$A$16-('Control Room'!$B$16-1)/2)/MAX(0.5,'Control Room'!$B$16/4))^2),1)</x:f>
        <x:v>1</x:v>
      </x:c>
      <x:c r="AZ701" s="9" t="n">
        <x:f>MOD(BA700*16807,2147483647)</x:f>
        <x:v>1735996626</x:v>
      </x:c>
      <x:c r="BA701" s="9" t="n">
        <x:f>MOD(AZ701*16807,2147483647)</x:f>
        <x:v>1182465040</x:v>
      </x:c>
      <x:c r="BB701" s="17" t="n">
        <x:f>IF('Control Room'!$B$5="Normal",'Control Room'!$B$7+'Control Room'!$D$7*SQRT(-2*LN(MAX(0.000000000001,AZ701/2147483647)))*COS(2*PI()*BA701/2147483647),'Control Room'!$B$8+('Control Room'!$D$8-'Control Room'!$B$8)*AZ701/2147483647)</x:f>
        <x:v>944.2426320308753</x:v>
      </x:c>
      <x:c r="BC701" s="17" t="n">
        <x:f>IF('Control Room'!$B$5="Normal",'Control Room'!$B$7,('Control Room'!$B$8+'Control Room'!$D$8)/2)+'Control Room'!$B$9*(BC700-IF('Control Room'!$B$5="Normal",'Control Room'!$B$7,('Control Room'!$B$8+'Control Room'!$D$8)/2))+SQRT(1-'Control Room'!$B$9^2)*(BB701-IF('Control Room'!$B$5="Normal",'Control Room'!$B$7,('Control Room'!$B$8+'Control Room'!$D$8)/2))</x:f>
        <x:v>1038.7074646192534</x:v>
      </x:c>
      <x:c r="BD701" s="17" t="n">
        <x:f>IF(AND($A701&gt;='Control Room'!$A$13,$A701&lt;'Control Room'!$A$13+'Control Room'!$B$13,'Process'!BU2=1),1+('Control Room'!$C$13-1)*EXP(-0.5*(($A701-'Control Room'!$A$13-('Control Room'!$B$13-1)/2)/MAX(0.5,'Control Room'!$B$13/4))^2),1)*IF(AND($A701&gt;='Control Room'!$A$14,$A701&lt;'Control Room'!$A$14+'Control Room'!$B$14,'Process'!BU3=1),1+('Control Room'!$C$14-1)*EXP(-0.5*(($A701-'Control Room'!$A$14-('Control Room'!$B$14-1)/2)/MAX(0.5,'Control Room'!$B$14/4))^2),1)*IF(AND($A701&gt;='Control Room'!$A$15,$A701&lt;'Control Room'!$A$15+'Control Room'!$B$15,'Process'!BU4=1),1+('Control Room'!$C$15-1)*EXP(-0.5*(($A701-'Control Room'!$A$15-('Control Room'!$B$15-1)/2)/MAX(0.5,'Control Room'!$B$15/4))^2),1)*IF(AND($A701&gt;='Control Room'!$A$16,$A701&lt;'Control Room'!$A$16+'Control Room'!$B$16,'Process'!BU5=1),1+('Control Room'!$C$16-1)*EXP(-0.5*(($A701-'Control Room'!$A$16-('Control Room'!$B$16-1)/2)/MAX(0.5,'Control Room'!$B$16/4))^2),1)</x:f>
        <x:v>1</x:v>
      </x:c>
      <x:c r="BE701" s="9" t="n">
        <x:f>MOD(BF700*16807,2147483647)</x:f>
        <x:v>1543824728</x:v>
      </x:c>
      <x:c r="BF701" s="9" t="n">
        <x:f>MOD(BE701*16807,2147483647)</x:f>
        <x:v>1164780442</x:v>
      </x:c>
      <x:c r="BG701" s="17" t="n">
        <x:f>IF('Control Room'!$B$5="Normal",'Control Room'!$B$7+'Control Room'!$D$7*SQRT(-2*LN(MAX(0.000000000001,BE701/2147483647)))*COS(2*PI()*BF701/2147483647),'Control Room'!$B$8+('Control Room'!$D$8-'Control Room'!$B$8)*BE701/2147483647)</x:f>
        <x:v>929.4585349152569</x:v>
      </x:c>
      <x:c r="BH701" s="17" t="n">
        <x:f>IF('Control Room'!$B$5="Normal",'Control Room'!$B$7,('Control Room'!$B$8+'Control Room'!$D$8)/2)+'Control Room'!$B$9*(BH700-IF('Control Room'!$B$5="Normal",'Control Room'!$B$7,('Control Room'!$B$8+'Control Room'!$D$8)/2))+SQRT(1-'Control Room'!$B$9^2)*(BG701-IF('Control Room'!$B$5="Normal",'Control Room'!$B$7,('Control Room'!$B$8+'Control Room'!$D$8)/2))</x:f>
        <x:v>921.2184722419024</x:v>
      </x:c>
      <x:c r="BI701" s="17" t="n">
        <x:f>IF(AND($A701&gt;='Control Room'!$A$13,$A701&lt;'Control Room'!$A$13+'Control Room'!$B$13,'Process'!BV2=1),1+('Control Room'!$C$13-1)*EXP(-0.5*(($A701-'Control Room'!$A$13-('Control Room'!$B$13-1)/2)/MAX(0.5,'Control Room'!$B$13/4))^2),1)*IF(AND($A701&gt;='Control Room'!$A$14,$A701&lt;'Control Room'!$A$14+'Control Room'!$B$14,'Process'!BV3=1),1+('Control Room'!$C$14-1)*EXP(-0.5*(($A701-'Control Room'!$A$14-('Control Room'!$B$14-1)/2)/MAX(0.5,'Control Room'!$B$14/4))^2),1)*IF(AND($A701&gt;='Control Room'!$A$15,$A701&lt;'Control Room'!$A$15+'Control Room'!$B$15,'Process'!BV4=1),1+('Control Room'!$C$15-1)*EXP(-0.5*(($A701-'Control Room'!$A$15-('Control Room'!$B$15-1)/2)/MAX(0.5,'Control Room'!$B$15/4))^2),1)*IF(AND($A701&gt;='Control Room'!$A$16,$A701&lt;'Control Room'!$A$16+'Control Room'!$B$16,'Process'!BV5=1),1+('Control Room'!$C$16-1)*EXP(-0.5*(($A701-'Control Room'!$A$16-('Control Room'!$B$16-1)/2)/MAX(0.5,'Control Room'!$B$16/4))^2),1)</x:f>
        <x:v>1</x:v>
      </x:c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Z701" t="str">
        <x:f>IF('Data'!A701="","",TEXT('Data'!A701,"mm-dd"))</x:f>
      </x:c>
    </x:row>
    <x:row r="702" ht="21" customHeight="1">
      <x:c r="A702" s="15" t="n">
        <x:f>'Control Room'!$B$1+700</x:f>
        <x:v>73691</x:v>
      </x:c>
      <x:c r="B702" s="9" t="n">
        <x:f>MOD(C701*16807,2147483647)</x:f>
        <x:v>1009276354</x:v>
      </x:c>
      <x:c r="C702" s="9" t="n">
        <x:f>MOD(B702*16807,2147483647)</x:f>
        <x:v>2081837672</x:v>
      </x:c>
      <x:c r="D702" s="17" t="n">
        <x:f>IF('Control Room'!$B$5="Normal",'Control Room'!$B$7+'Control Room'!$D$7*SQRT(-2*LN(MAX(0.000000000001,B702/2147483647)))*COS(2*PI()*C702/2147483647),'Control Room'!$B$8+('Control Room'!$D$8-'Control Room'!$B$8)*B702/2147483647)</x:f>
        <x:v>1108.5647172243184</x:v>
      </x:c>
      <x:c r="E702" s="17" t="n">
        <x:f>IF('Control Room'!$B$5="Normal",'Control Room'!$B$7,('Control Room'!$B$8+'Control Room'!$D$8)/2)+'Control Room'!$B$9*(E701-IF('Control Room'!$B$5="Normal",'Control Room'!$B$7,('Control Room'!$B$8+'Control Room'!$D$8)/2))+SQRT(1-'Control Room'!$B$9^2)*(D702-IF('Control Room'!$B$5="Normal",'Control Room'!$B$7,('Control Room'!$B$8+'Control Room'!$D$8)/2))</x:f>
        <x:v>1016.7815833141203</x:v>
      </x:c>
      <x:c r="F702" s="17" t="n">
        <x:f>IF(AND($A702&gt;='Control Room'!$A$13,$A702&lt;'Control Room'!$A$13+'Control Room'!$B$13,'Process'!BK2=1),1+('Control Room'!$C$13-1)*EXP(-0.5*(($A702-'Control Room'!$A$13-('Control Room'!$B$13-1)/2)/MAX(0.5,'Control Room'!$B$13/4))^2),1)*IF(AND($A702&gt;='Control Room'!$A$14,$A702&lt;'Control Room'!$A$14+'Control Room'!$B$14,'Process'!BK3=1),1+('Control Room'!$C$14-1)*EXP(-0.5*(($A702-'Control Room'!$A$14-('Control Room'!$B$14-1)/2)/MAX(0.5,'Control Room'!$B$14/4))^2),1)*IF(AND($A702&gt;='Control Room'!$A$15,$A702&lt;'Control Room'!$A$15+'Control Room'!$B$15,'Process'!BK4=1),1+('Control Room'!$C$15-1)*EXP(-0.5*(($A702-'Control Room'!$A$15-('Control Room'!$B$15-1)/2)/MAX(0.5,'Control Room'!$B$15/4))^2),1)*IF(AND($A702&gt;='Control Room'!$A$16,$A702&lt;'Control Room'!$A$16+'Control Room'!$B$16,'Process'!BK5=1),1+('Control Room'!$C$16-1)*EXP(-0.5*(($A702-'Control Room'!$A$16-('Control Room'!$B$16-1)/2)/MAX(0.5,'Control Room'!$B$16/4))^2),1)</x:f>
        <x:v>1</x:v>
      </x:c>
      <x:c r="G702" s="9" t="n">
        <x:f>MOD(H701*16807,2147483647)</x:f>
        <x:v>136981054</x:v>
      </x:c>
      <x:c r="H702" s="9" t="n">
        <x:f>MOD(G702*16807,2147483647)</x:f>
        <x:v>138104994</x:v>
      </x:c>
      <x:c r="I702" s="17" t="n">
        <x:f>IF('Control Room'!$B$5="Normal",'Control Room'!$B$7+'Control Room'!$D$7*SQRT(-2*LN(MAX(0.000000000001,G702/2147483647)))*COS(2*PI()*H702/2147483647),'Control Room'!$B$8+('Control Room'!$D$8-'Control Room'!$B$8)*G702/2147483647)</x:f>
        <x:v>1194.1487464881454</x:v>
      </x:c>
      <x:c r="J702" s="17" t="n">
        <x:f>IF('Control Room'!$B$5="Normal",'Control Room'!$B$7,('Control Room'!$B$8+'Control Room'!$D$8)/2)+'Control Room'!$B$9*(J701-IF('Control Room'!$B$5="Normal",'Control Room'!$B$7,('Control Room'!$B$8+'Control Room'!$D$8)/2))+SQRT(1-'Control Room'!$B$9^2)*(I702-IF('Control Room'!$B$5="Normal",'Control Room'!$B$7,('Control Room'!$B$8+'Control Room'!$D$8)/2))</x:f>
        <x:v>1148.8972421058627</x:v>
      </x:c>
      <x:c r="K702" s="17" t="n">
        <x:f>IF(AND($A702&gt;='Control Room'!$A$13,$A702&lt;'Control Room'!$A$13+'Control Room'!$B$13,'Process'!BL2=1),1+('Control Room'!$C$13-1)*EXP(-0.5*(($A702-'Control Room'!$A$13-('Control Room'!$B$13-1)/2)/MAX(0.5,'Control Room'!$B$13/4))^2),1)*IF(AND($A702&gt;='Control Room'!$A$14,$A702&lt;'Control Room'!$A$14+'Control Room'!$B$14,'Process'!BL3=1),1+('Control Room'!$C$14-1)*EXP(-0.5*(($A702-'Control Room'!$A$14-('Control Room'!$B$14-1)/2)/MAX(0.5,'Control Room'!$B$14/4))^2),1)*IF(AND($A702&gt;='Control Room'!$A$15,$A702&lt;'Control Room'!$A$15+'Control Room'!$B$15,'Process'!BL4=1),1+('Control Room'!$C$15-1)*EXP(-0.5*(($A702-'Control Room'!$A$15-('Control Room'!$B$15-1)/2)/MAX(0.5,'Control Room'!$B$15/4))^2),1)*IF(AND($A702&gt;='Control Room'!$A$16,$A702&lt;'Control Room'!$A$16+'Control Room'!$B$16,'Process'!BL5=1),1+('Control Room'!$C$16-1)*EXP(-0.5*(($A702-'Control Room'!$A$16-('Control Room'!$B$16-1)/2)/MAX(0.5,'Control Room'!$B$16/4))^2),1)</x:f>
        <x:v>1</x:v>
      </x:c>
      <x:c r="L702" s="9" t="n">
        <x:f>MOD(M701*16807,2147483647)</x:f>
        <x:v>1412169401</x:v>
      </x:c>
      <x:c r="M702" s="9" t="n">
        <x:f>MOD(L702*16807,2147483647)</x:f>
        <x:v>341855963</x:v>
      </x:c>
      <x:c r="N702" s="17" t="n">
        <x:f>IF('Control Room'!$B$5="Normal",'Control Room'!$B$7+'Control Room'!$D$7*SQRT(-2*LN(MAX(0.000000000001,L702/2147483647)))*COS(2*PI()*M702/2147483647),'Control Room'!$B$8+('Control Room'!$D$8-'Control Room'!$B$8)*L702/2147483647)</x:f>
        <x:v>1044.5086174412017</x:v>
      </x:c>
      <x:c r="O702" s="17" t="n">
        <x:f>IF('Control Room'!$B$5="Normal",'Control Room'!$B$7,('Control Room'!$B$8+'Control Room'!$D$8)/2)+'Control Room'!$B$9*(O701-IF('Control Room'!$B$5="Normal",'Control Room'!$B$7,('Control Room'!$B$8+'Control Room'!$D$8)/2))+SQRT(1-'Control Room'!$B$9^2)*(N702-IF('Control Room'!$B$5="Normal",'Control Room'!$B$7,('Control Room'!$B$8+'Control Room'!$D$8)/2))</x:f>
        <x:v>978.9243500654122</x:v>
      </x:c>
      <x:c r="P702" s="17" t="n">
        <x:f>IF(AND($A702&gt;='Control Room'!$A$13,$A702&lt;'Control Room'!$A$13+'Control Room'!$B$13,'Process'!BM2=1),1+('Control Room'!$C$13-1)*EXP(-0.5*(($A702-'Control Room'!$A$13-('Control Room'!$B$13-1)/2)/MAX(0.5,'Control Room'!$B$13/4))^2),1)*IF(AND($A702&gt;='Control Room'!$A$14,$A702&lt;'Control Room'!$A$14+'Control Room'!$B$14,'Process'!BM3=1),1+('Control Room'!$C$14-1)*EXP(-0.5*(($A702-'Control Room'!$A$14-('Control Room'!$B$14-1)/2)/MAX(0.5,'Control Room'!$B$14/4))^2),1)*IF(AND($A702&gt;='Control Room'!$A$15,$A702&lt;'Control Room'!$A$15+'Control Room'!$B$15,'Process'!BM4=1),1+('Control Room'!$C$15-1)*EXP(-0.5*(($A702-'Control Room'!$A$15-('Control Room'!$B$15-1)/2)/MAX(0.5,'Control Room'!$B$15/4))^2),1)*IF(AND($A702&gt;='Control Room'!$A$16,$A702&lt;'Control Room'!$A$16+'Control Room'!$B$16,'Process'!BM5=1),1+('Control Room'!$C$16-1)*EXP(-0.5*(($A702-'Control Room'!$A$16-('Control Room'!$B$16-1)/2)/MAX(0.5,'Control Room'!$B$16/4))^2),1)</x:f>
        <x:v>1</x:v>
      </x:c>
      <x:c r="Q702" s="9" t="n">
        <x:f>MOD(R701*16807,2147483647)</x:f>
        <x:v>539874101</x:v>
      </x:c>
      <x:c r="R702" s="9" t="n">
        <x:f>MOD(Q702*16807,2147483647)</x:f>
        <x:v>545606932</x:v>
      </x:c>
      <x:c r="S702" s="17" t="n">
        <x:f>IF('Control Room'!$B$5="Normal",'Control Room'!$B$7+'Control Room'!$D$7*SQRT(-2*LN(MAX(0.000000000001,Q702/2147483647)))*COS(2*PI()*R702/2147483647),'Control Room'!$B$8+('Control Room'!$D$8-'Control Room'!$B$8)*Q702/2147483647)</x:f>
        <x:v>996.1776888043757</x:v>
      </x:c>
      <x:c r="T702" s="17" t="n">
        <x:f>IF('Control Room'!$B$5="Normal",'Control Room'!$B$7,('Control Room'!$B$8+'Control Room'!$D$8)/2)+'Control Room'!$B$9*(T701-IF('Control Room'!$B$5="Normal",'Control Room'!$B$7,('Control Room'!$B$8+'Control Room'!$D$8)/2))+SQRT(1-'Control Room'!$B$9^2)*(S702-IF('Control Room'!$B$5="Normal",'Control Room'!$B$7,('Control Room'!$B$8+'Control Room'!$D$8)/2))</x:f>
        <x:v>905.672749618924</x:v>
      </x:c>
      <x:c r="U702" s="17" t="n">
        <x:f>IF(AND($A702&gt;='Control Room'!$A$13,$A702&lt;'Control Room'!$A$13+'Control Room'!$B$13,'Process'!BN2=1),1+('Control Room'!$C$13-1)*EXP(-0.5*(($A702-'Control Room'!$A$13-('Control Room'!$B$13-1)/2)/MAX(0.5,'Control Room'!$B$13/4))^2),1)*IF(AND($A702&gt;='Control Room'!$A$14,$A702&lt;'Control Room'!$A$14+'Control Room'!$B$14,'Process'!BN3=1),1+('Control Room'!$C$14-1)*EXP(-0.5*(($A702-'Control Room'!$A$14-('Control Room'!$B$14-1)/2)/MAX(0.5,'Control Room'!$B$14/4))^2),1)*IF(AND($A702&gt;='Control Room'!$A$15,$A702&lt;'Control Room'!$A$15+'Control Room'!$B$15,'Process'!BN4=1),1+('Control Room'!$C$15-1)*EXP(-0.5*(($A702-'Control Room'!$A$15-('Control Room'!$B$15-1)/2)/MAX(0.5,'Control Room'!$B$15/4))^2),1)*IF(AND($A702&gt;='Control Room'!$A$16,$A702&lt;'Control Room'!$A$16+'Control Room'!$B$16,'Process'!BN5=1),1+('Control Room'!$C$16-1)*EXP(-0.5*(($A702-'Control Room'!$A$16-('Control Room'!$B$16-1)/2)/MAX(0.5,'Control Room'!$B$16/4))^2),1)</x:f>
        <x:v>1</x:v>
      </x:c>
      <x:c r="V702" s="9" t="n">
        <x:f>MOD(W701*16807,2147483647)</x:f>
        <x:v>1815062448</x:v>
      </x:c>
      <x:c r="W702" s="9" t="n">
        <x:f>MOD(V702*16807,2147483647)</x:f>
        <x:v>749357901</x:v>
      </x:c>
      <x:c r="X702" s="17" t="n">
        <x:f>IF('Control Room'!$B$5="Normal",'Control Room'!$B$7+'Control Room'!$D$7*SQRT(-2*LN(MAX(0.000000000001,V702/2147483647)))*COS(2*PI()*W702/2147483647),'Control Room'!$B$8+('Control Room'!$D$8-'Control Room'!$B$8)*V702/2147483647)</x:f>
        <x:v>969.5997840829834</x:v>
      </x:c>
      <x:c r="Y702" s="17" t="n">
        <x:f>IF('Control Room'!$B$5="Normal",'Control Room'!$B$7,('Control Room'!$B$8+'Control Room'!$D$8)/2)+'Control Room'!$B$9*(Y701-IF('Control Room'!$B$5="Normal",'Control Room'!$B$7,('Control Room'!$B$8+'Control Room'!$D$8)/2))+SQRT(1-'Control Room'!$B$9^2)*(X702-IF('Control Room'!$B$5="Normal",'Control Room'!$B$7,('Control Room'!$B$8+'Control Room'!$D$8)/2))</x:f>
        <x:v>929.2329123186736</x:v>
      </x:c>
      <x:c r="Z702" s="17" t="n">
        <x:f>IF(AND($A702&gt;='Control Room'!$A$13,$A702&lt;'Control Room'!$A$13+'Control Room'!$B$13,'Process'!BO2=1),1+('Control Room'!$C$13-1)*EXP(-0.5*(($A702-'Control Room'!$A$13-('Control Room'!$B$13-1)/2)/MAX(0.5,'Control Room'!$B$13/4))^2),1)*IF(AND($A702&gt;='Control Room'!$A$14,$A702&lt;'Control Room'!$A$14+'Control Room'!$B$14,'Process'!BO3=1),1+('Control Room'!$C$14-1)*EXP(-0.5*(($A702-'Control Room'!$A$14-('Control Room'!$B$14-1)/2)/MAX(0.5,'Control Room'!$B$14/4))^2),1)*IF(AND($A702&gt;='Control Room'!$A$15,$A702&lt;'Control Room'!$A$15+'Control Room'!$B$15,'Process'!BO4=1),1+('Control Room'!$C$15-1)*EXP(-0.5*(($A702-'Control Room'!$A$15-('Control Room'!$B$15-1)/2)/MAX(0.5,'Control Room'!$B$15/4))^2),1)*IF(AND($A702&gt;='Control Room'!$A$16,$A702&lt;'Control Room'!$A$16+'Control Room'!$B$16,'Process'!BO5=1),1+('Control Room'!$C$16-1)*EXP(-0.5*(($A702-'Control Room'!$A$16-('Control Room'!$B$16-1)/2)/MAX(0.5,'Control Room'!$B$16/4))^2),1)</x:f>
        <x:v>1</x:v>
      </x:c>
      <x:c r="AA702" s="9" t="n">
        <x:f>MOD(AB701*16807,2147483647)</x:f>
        <x:v>942767148</x:v>
      </x:c>
      <x:c r="AB702" s="9" t="n">
        <x:f>MOD(AA702*16807,2147483647)</x:f>
        <x:v>953108870</x:v>
      </x:c>
      <x:c r="AC702" s="17" t="n">
        <x:f>IF('Control Room'!$B$5="Normal",'Control Room'!$B$7+'Control Room'!$D$7*SQRT(-2*LN(MAX(0.000000000001,AA702/2147483647)))*COS(2*PI()*AB702/2147483647),'Control Room'!$B$8+('Control Room'!$D$8-'Control Room'!$B$8)*AA702/2147483647)</x:f>
        <x:v>891.6356100212591</x:v>
      </x:c>
      <x:c r="AD702" s="17" t="n">
        <x:f>IF('Control Room'!$B$5="Normal",'Control Room'!$B$7,('Control Room'!$B$8+'Control Room'!$D$8)/2)+'Control Room'!$B$9*(AD701-IF('Control Room'!$B$5="Normal",'Control Room'!$B$7,('Control Room'!$B$8+'Control Room'!$D$8)/2))+SQRT(1-'Control Room'!$B$9^2)*(AC702-IF('Control Room'!$B$5="Normal",'Control Room'!$B$7,('Control Room'!$B$8+'Control Room'!$D$8)/2))</x:f>
        <x:v>888.3219883528383</x:v>
      </x:c>
      <x:c r="AE702" s="17" t="n">
        <x:f>IF(AND($A702&gt;='Control Room'!$A$13,$A702&lt;'Control Room'!$A$13+'Control Room'!$B$13,'Process'!BP2=1),1+('Control Room'!$C$13-1)*EXP(-0.5*(($A702-'Control Room'!$A$13-('Control Room'!$B$13-1)/2)/MAX(0.5,'Control Room'!$B$13/4))^2),1)*IF(AND($A702&gt;='Control Room'!$A$14,$A702&lt;'Control Room'!$A$14+'Control Room'!$B$14,'Process'!BP3=1),1+('Control Room'!$C$14-1)*EXP(-0.5*(($A702-'Control Room'!$A$14-('Control Room'!$B$14-1)/2)/MAX(0.5,'Control Room'!$B$14/4))^2),1)*IF(AND($A702&gt;='Control Room'!$A$15,$A702&lt;'Control Room'!$A$15+'Control Room'!$B$15,'Process'!BP4=1),1+('Control Room'!$C$15-1)*EXP(-0.5*(($A702-'Control Room'!$A$15-('Control Room'!$B$15-1)/2)/MAX(0.5,'Control Room'!$B$15/4))^2),1)*IF(AND($A702&gt;='Control Room'!$A$16,$A702&lt;'Control Room'!$A$16+'Control Room'!$B$16,'Process'!BP5=1),1+('Control Room'!$C$16-1)*EXP(-0.5*(($A702-'Control Room'!$A$16-('Control Room'!$B$16-1)/2)/MAX(0.5,'Control Room'!$B$16/4))^2),1)</x:f>
        <x:v>1</x:v>
      </x:c>
      <x:c r="AF702" s="9" t="n">
        <x:f>MOD(AG701*16807,2147483647)</x:f>
        <x:v>70471848</x:v>
      </x:c>
      <x:c r="AG702" s="9" t="n">
        <x:f>MOD(AF702*16807,2147483647)</x:f>
        <x:v>1156859839</x:v>
      </x:c>
      <x:c r="AH702" s="17" t="n">
        <x:f>IF('Control Room'!$B$5="Normal",'Control Room'!$B$7+'Control Room'!$D$7*SQRT(-2*LN(MAX(0.000000000001,AF702/2147483647)))*COS(2*PI()*AG702/2147483647),'Control Room'!$B$8+('Control Room'!$D$8-'Control Room'!$B$8)*AF702/2147483647)</x:f>
        <x:v>771.6511783164297</x:v>
      </x:c>
      <x:c r="AI702" s="17" t="n">
        <x:f>IF('Control Room'!$B$5="Normal",'Control Room'!$B$7,('Control Room'!$B$8+'Control Room'!$D$8)/2)+'Control Room'!$B$9*(AI701-IF('Control Room'!$B$5="Normal",'Control Room'!$B$7,('Control Room'!$B$8+'Control Room'!$D$8)/2))+SQRT(1-'Control Room'!$B$9^2)*(AH702-IF('Control Room'!$B$5="Normal",'Control Room'!$B$7,('Control Room'!$B$8+'Control Room'!$D$8)/2))</x:f>
        <x:v>803.1578253918184</x:v>
      </x:c>
      <x:c r="AJ702" s="17" t="n">
        <x:f>IF(AND($A702&gt;='Control Room'!$A$13,$A702&lt;'Control Room'!$A$13+'Control Room'!$B$13,'Process'!BQ2=1),1+('Control Room'!$C$13-1)*EXP(-0.5*(($A702-'Control Room'!$A$13-('Control Room'!$B$13-1)/2)/MAX(0.5,'Control Room'!$B$13/4))^2),1)*IF(AND($A702&gt;='Control Room'!$A$14,$A702&lt;'Control Room'!$A$14+'Control Room'!$B$14,'Process'!BQ3=1),1+('Control Room'!$C$14-1)*EXP(-0.5*(($A702-'Control Room'!$A$14-('Control Room'!$B$14-1)/2)/MAX(0.5,'Control Room'!$B$14/4))^2),1)*IF(AND($A702&gt;='Control Room'!$A$15,$A702&lt;'Control Room'!$A$15+'Control Room'!$B$15,'Process'!BQ4=1),1+('Control Room'!$C$15-1)*EXP(-0.5*(($A702-'Control Room'!$A$15-('Control Room'!$B$15-1)/2)/MAX(0.5,'Control Room'!$B$15/4))^2),1)*IF(AND($A702&gt;='Control Room'!$A$16,$A702&lt;'Control Room'!$A$16+'Control Room'!$B$16,'Process'!BQ5=1),1+('Control Room'!$C$16-1)*EXP(-0.5*(($A702-'Control Room'!$A$16-('Control Room'!$B$16-1)/2)/MAX(0.5,'Control Room'!$B$16/4))^2),1)</x:f>
        <x:v>1</x:v>
      </x:c>
      <x:c r="AK702" s="9" t="n">
        <x:f>MOD(AL701*16807,2147483647)</x:f>
        <x:v>1345660195</x:v>
      </x:c>
      <x:c r="AL702" s="9" t="n">
        <x:f>MOD(AK702*16807,2147483647)</x:f>
        <x:v>1360610808</x:v>
      </x:c>
      <x:c r="AM702" s="17" t="n">
        <x:f>IF('Control Room'!$B$5="Normal",'Control Room'!$B$7+'Control Room'!$D$7*SQRT(-2*LN(MAX(0.000000000001,AK702/2147483647)))*COS(2*PI()*AL702/2147483647),'Control Room'!$B$8+('Control Room'!$D$8-'Control Room'!$B$8)*AK702/2147483647)</x:f>
        <x:v>941.8756466749242</x:v>
      </x:c>
      <x:c r="AN702" s="17" t="n">
        <x:f>IF('Control Room'!$B$5="Normal",'Control Room'!$B$7,('Control Room'!$B$8+'Control Room'!$D$8)/2)+'Control Room'!$B$9*(AN701-IF('Control Room'!$B$5="Normal",'Control Room'!$B$7,('Control Room'!$B$8+'Control Room'!$D$8)/2))+SQRT(1-'Control Room'!$B$9^2)*(AM702-IF('Control Room'!$B$5="Normal",'Control Room'!$B$7,('Control Room'!$B$8+'Control Room'!$D$8)/2))</x:f>
        <x:v>946.0607594750932</x:v>
      </x:c>
      <x:c r="AO702" s="17" t="n">
        <x:f>IF(AND($A702&gt;='Control Room'!$A$13,$A702&lt;'Control Room'!$A$13+'Control Room'!$B$13,'Process'!BR2=1),1+('Control Room'!$C$13-1)*EXP(-0.5*(($A702-'Control Room'!$A$13-('Control Room'!$B$13-1)/2)/MAX(0.5,'Control Room'!$B$13/4))^2),1)*IF(AND($A702&gt;='Control Room'!$A$14,$A702&lt;'Control Room'!$A$14+'Control Room'!$B$14,'Process'!BR3=1),1+('Control Room'!$C$14-1)*EXP(-0.5*(($A702-'Control Room'!$A$14-('Control Room'!$B$14-1)/2)/MAX(0.5,'Control Room'!$B$14/4))^2),1)*IF(AND($A702&gt;='Control Room'!$A$15,$A702&lt;'Control Room'!$A$15+'Control Room'!$B$15,'Process'!BR4=1),1+('Control Room'!$C$15-1)*EXP(-0.5*(($A702-'Control Room'!$A$15-('Control Room'!$B$15-1)/2)/MAX(0.5,'Control Room'!$B$15/4))^2),1)*IF(AND($A702&gt;='Control Room'!$A$16,$A702&lt;'Control Room'!$A$16+'Control Room'!$B$16,'Process'!BR5=1),1+('Control Room'!$C$16-1)*EXP(-0.5*(($A702-'Control Room'!$A$16-('Control Room'!$B$16-1)/2)/MAX(0.5,'Control Room'!$B$16/4))^2),1)</x:f>
        <x:v>1</x:v>
      </x:c>
      <x:c r="AP702" s="9" t="n">
        <x:f>MOD(AQ701*16807,2147483647)</x:f>
        <x:v>473364895</x:v>
      </x:c>
      <x:c r="AQ702" s="9" t="n">
        <x:f>MOD(AP702*16807,2147483647)</x:f>
        <x:v>1564361777</x:v>
      </x:c>
      <x:c r="AR702" s="17" t="n">
        <x:f>IF('Control Room'!$B$5="Normal",'Control Room'!$B$7+'Control Room'!$D$7*SQRT(-2*LN(MAX(0.000000000001,AP702/2147483647)))*COS(2*PI()*AQ702/2147483647),'Control Room'!$B$8+('Control Room'!$D$8-'Control Room'!$B$8)*AP702/2147483647)</x:f>
        <x:v>978.8843484915024</x:v>
      </x:c>
      <x:c r="AS702" s="17" t="n">
        <x:f>IF('Control Room'!$B$5="Normal",'Control Room'!$B$7,('Control Room'!$B$8+'Control Room'!$D$8)/2)+'Control Room'!$B$9*(AS701-IF('Control Room'!$B$5="Normal",'Control Room'!$B$7,('Control Room'!$B$8+'Control Room'!$D$8)/2))+SQRT(1-'Control Room'!$B$9^2)*(AR702-IF('Control Room'!$B$5="Normal",'Control Room'!$B$7,('Control Room'!$B$8+'Control Room'!$D$8)/2))</x:f>
        <x:v>939.9776016250256</x:v>
      </x:c>
      <x:c r="AT702" s="17" t="n">
        <x:f>IF(AND($A702&gt;='Control Room'!$A$13,$A702&lt;'Control Room'!$A$13+'Control Room'!$B$13,'Process'!BS2=1),1+('Control Room'!$C$13-1)*EXP(-0.5*(($A702-'Control Room'!$A$13-('Control Room'!$B$13-1)/2)/MAX(0.5,'Control Room'!$B$13/4))^2),1)*IF(AND($A702&gt;='Control Room'!$A$14,$A702&lt;'Control Room'!$A$14+'Control Room'!$B$14,'Process'!BS3=1),1+('Control Room'!$C$14-1)*EXP(-0.5*(($A702-'Control Room'!$A$14-('Control Room'!$B$14-1)/2)/MAX(0.5,'Control Room'!$B$14/4))^2),1)*IF(AND($A702&gt;='Control Room'!$A$15,$A702&lt;'Control Room'!$A$15+'Control Room'!$B$15,'Process'!BS4=1),1+('Control Room'!$C$15-1)*EXP(-0.5*(($A702-'Control Room'!$A$15-('Control Room'!$B$15-1)/2)/MAX(0.5,'Control Room'!$B$15/4))^2),1)*IF(AND($A702&gt;='Control Room'!$A$16,$A702&lt;'Control Room'!$A$16+'Control Room'!$B$16,'Process'!BS5=1),1+('Control Room'!$C$16-1)*EXP(-0.5*(($A702-'Control Room'!$A$16-('Control Room'!$B$16-1)/2)/MAX(0.5,'Control Room'!$B$16/4))^2),1)</x:f>
        <x:v>1</x:v>
      </x:c>
      <x:c r="AU702" s="9" t="n">
        <x:f>MOD(AV701*16807,2147483647)</x:f>
        <x:v>1748553242</x:v>
      </x:c>
      <x:c r="AV702" s="9" t="n">
        <x:f>MOD(AU702*16807,2147483647)</x:f>
        <x:v>1768112746</x:v>
      </x:c>
      <x:c r="AW702" s="17" t="n">
        <x:f>IF('Control Room'!$B$5="Normal",'Control Room'!$B$7+'Control Room'!$D$7*SQRT(-2*LN(MAX(0.000000000001,AU702/2147483647)))*COS(2*PI()*AV702/2147483647),'Control Room'!$B$8+('Control Room'!$D$8-'Control Room'!$B$8)*AU702/2147483647)</x:f>
        <x:v>1025.6579223152228</x:v>
      </x:c>
      <x:c r="AX702" s="17" t="n">
        <x:f>IF('Control Room'!$B$5="Normal",'Control Room'!$B$7,('Control Room'!$B$8+'Control Room'!$D$8)/2)+'Control Room'!$B$9*(AX701-IF('Control Room'!$B$5="Normal",'Control Room'!$B$7,('Control Room'!$B$8+'Control Room'!$D$8)/2))+SQRT(1-'Control Room'!$B$9^2)*(AW702-IF('Control Room'!$B$5="Normal",'Control Room'!$B$7,('Control Room'!$B$8+'Control Room'!$D$8)/2))</x:f>
        <x:v>997.4791501973716</x:v>
      </x:c>
      <x:c r="AY702" s="17" t="n">
        <x:f>IF(AND($A702&gt;='Control Room'!$A$13,$A702&lt;'Control Room'!$A$13+'Control Room'!$B$13,'Process'!BT2=1),1+('Control Room'!$C$13-1)*EXP(-0.5*(($A702-'Control Room'!$A$13-('Control Room'!$B$13-1)/2)/MAX(0.5,'Control Room'!$B$13/4))^2),1)*IF(AND($A702&gt;='Control Room'!$A$14,$A702&lt;'Control Room'!$A$14+'Control Room'!$B$14,'Process'!BT3=1),1+('Control Room'!$C$14-1)*EXP(-0.5*(($A702-'Control Room'!$A$14-('Control Room'!$B$14-1)/2)/MAX(0.5,'Control Room'!$B$14/4))^2),1)*IF(AND($A702&gt;='Control Room'!$A$15,$A702&lt;'Control Room'!$A$15+'Control Room'!$B$15,'Process'!BT4=1),1+('Control Room'!$C$15-1)*EXP(-0.5*(($A702-'Control Room'!$A$15-('Control Room'!$B$15-1)/2)/MAX(0.5,'Control Room'!$B$15/4))^2),1)*IF(AND($A702&gt;='Control Room'!$A$16,$A702&lt;'Control Room'!$A$16+'Control Room'!$B$16,'Process'!BT5=1),1+('Control Room'!$C$16-1)*EXP(-0.5*(($A702-'Control Room'!$A$16-('Control Room'!$B$16-1)/2)/MAX(0.5,'Control Room'!$B$16/4))^2),1)</x:f>
        <x:v>1</x:v>
      </x:c>
      <x:c r="AZ702" s="9" t="n">
        <x:f>MOD(BA701*16807,2147483647)</x:f>
        <x:v>876257942</x:v>
      </x:c>
      <x:c r="BA702" s="9" t="n">
        <x:f>MOD(AZ702*16807,2147483647)</x:f>
        <x:v>1971863715</x:v>
      </x:c>
      <x:c r="BB702" s="17" t="n">
        <x:f>IF('Control Room'!$B$5="Normal",'Control Room'!$B$7+'Control Room'!$D$7*SQRT(-2*LN(MAX(0.000000000001,AZ702/2147483647)))*COS(2*PI()*BA702/2147483647),'Control Room'!$B$8+('Control Room'!$D$8-'Control Room'!$B$8)*AZ702/2147483647)</x:f>
        <x:v>1104.9440082497358</x:v>
      </x:c>
      <x:c r="BC702" s="17" t="n">
        <x:f>IF('Control Room'!$B$5="Normal",'Control Room'!$B$7,('Control Room'!$B$8+'Control Room'!$D$8)/2)+'Control Room'!$B$9*(BC701-IF('Control Room'!$B$5="Normal",'Control Room'!$B$7,('Control Room'!$B$8+'Control Room'!$D$8)/2))+SQRT(1-'Control Room'!$B$9^2)*(BB702-IF('Control Room'!$B$5="Normal",'Control Room'!$B$7,('Control Room'!$B$8+'Control Room'!$D$8)/2))</x:f>
        <x:v>1095.863632870836</x:v>
      </x:c>
      <x:c r="BD702" s="17" t="n">
        <x:f>IF(AND($A702&gt;='Control Room'!$A$13,$A702&lt;'Control Room'!$A$13+'Control Room'!$B$13,'Process'!BU2=1),1+('Control Room'!$C$13-1)*EXP(-0.5*(($A702-'Control Room'!$A$13-('Control Room'!$B$13-1)/2)/MAX(0.5,'Control Room'!$B$13/4))^2),1)*IF(AND($A702&gt;='Control Room'!$A$14,$A702&lt;'Control Room'!$A$14+'Control Room'!$B$14,'Process'!BU3=1),1+('Control Room'!$C$14-1)*EXP(-0.5*(($A702-'Control Room'!$A$14-('Control Room'!$B$14-1)/2)/MAX(0.5,'Control Room'!$B$14/4))^2),1)*IF(AND($A702&gt;='Control Room'!$A$15,$A702&lt;'Control Room'!$A$15+'Control Room'!$B$15,'Process'!BU4=1),1+('Control Room'!$C$15-1)*EXP(-0.5*(($A702-'Control Room'!$A$15-('Control Room'!$B$15-1)/2)/MAX(0.5,'Control Room'!$B$15/4))^2),1)*IF(AND($A702&gt;='Control Room'!$A$16,$A702&lt;'Control Room'!$A$16+'Control Room'!$B$16,'Process'!BU5=1),1+('Control Room'!$C$16-1)*EXP(-0.5*(($A702-'Control Room'!$A$16-('Control Room'!$B$16-1)/2)/MAX(0.5,'Control Room'!$B$16/4))^2),1)</x:f>
        <x:v>1</x:v>
      </x:c>
      <x:c r="BE702" s="9" t="n">
        <x:f>MOD(BF701*16807,2147483647)</x:f>
        <x:v>3962642</x:v>
      </x:c>
      <x:c r="BF702" s="9" t="n">
        <x:f>MOD(BE702*16807,2147483647)</x:f>
        <x:v>28131037</x:v>
      </x:c>
      <x:c r="BG702" s="17" t="n">
        <x:f>IF('Control Room'!$B$5="Normal",'Control Room'!$B$7+'Control Room'!$D$7*SQRT(-2*LN(MAX(0.000000000001,BE702/2147483647)))*COS(2*PI()*BF702/2147483647),'Control Room'!$B$8+('Control Room'!$D$8-'Control Room'!$B$8)*BE702/2147483647)</x:f>
        <x:v>1318.2640112231204</x:v>
      </x:c>
      <x:c r="BH702" s="17" t="n">
        <x:f>IF('Control Room'!$B$5="Normal",'Control Room'!$B$7,('Control Room'!$B$8+'Control Room'!$D$8)/2)+'Control Room'!$B$9*(BH701-IF('Control Room'!$B$5="Normal",'Control Room'!$B$7,('Control Room'!$B$8+'Control Room'!$D$8)/2))+SQRT(1-'Control Room'!$B$9^2)*(BG702-IF('Control Room'!$B$5="Normal",'Control Room'!$B$7,('Control Room'!$B$8+'Control Room'!$D$8)/2))</x:f>
        <x:v>1137.7135065794496</x:v>
      </x:c>
      <x:c r="BI702" s="17" t="n">
        <x:f>IF(AND($A702&gt;='Control Room'!$A$13,$A702&lt;'Control Room'!$A$13+'Control Room'!$B$13,'Process'!BV2=1),1+('Control Room'!$C$13-1)*EXP(-0.5*(($A702-'Control Room'!$A$13-('Control Room'!$B$13-1)/2)/MAX(0.5,'Control Room'!$B$13/4))^2),1)*IF(AND($A702&gt;='Control Room'!$A$14,$A702&lt;'Control Room'!$A$14+'Control Room'!$B$14,'Process'!BV3=1),1+('Control Room'!$C$14-1)*EXP(-0.5*(($A702-'Control Room'!$A$14-('Control Room'!$B$14-1)/2)/MAX(0.5,'Control Room'!$B$14/4))^2),1)*IF(AND($A702&gt;='Control Room'!$A$15,$A702&lt;'Control Room'!$A$15+'Control Room'!$B$15,'Process'!BV4=1),1+('Control Room'!$C$15-1)*EXP(-0.5*(($A702-'Control Room'!$A$15-('Control Room'!$B$15-1)/2)/MAX(0.5,'Control Room'!$B$15/4))^2),1)*IF(AND($A702&gt;='Control Room'!$A$16,$A702&lt;'Control Room'!$A$16+'Control Room'!$B$16,'Process'!BV5=1),1+('Control Room'!$C$16-1)*EXP(-0.5*(($A702-'Control Room'!$A$16-('Control Room'!$B$16-1)/2)/MAX(0.5,'Control Room'!$B$16/4))^2),1)</x:f>
        <x:v>1</x:v>
      </x:c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Z702" t="str">
        <x:f>IF('Data'!A702="","",TEXT('Data'!A702,"mm-dd"))</x:f>
      </x:c>
    </x:row>
    <x:row r="703" ht="21" customHeight="1">
      <x:c r="A703" s="15" t="n">
        <x:f>'Control Room'!$B$1+701</x:f>
        <x:v>73692</x:v>
      </x:c>
      <x:c r="B703" s="9" t="n">
        <x:f>MOD(C702*16807,2147483647)</x:f>
        <x:v>494692733</x:v>
      </x:c>
      <x:c r="C703" s="9" t="n">
        <x:f>MOD(B703*16807,2147483647)</x:f>
        <x:v>1391565994</x:v>
      </x:c>
      <x:c r="D703" s="17" t="n">
        <x:f>IF('Control Room'!$B$5="Normal",'Control Room'!$B$7+'Control Room'!$D$7*SQRT(-2*LN(MAX(0.000000000001,B703/2147483647)))*COS(2*PI()*C703/2147483647),'Control Room'!$B$8+('Control Room'!$D$8-'Control Room'!$B$8)*B703/2147483647)</x:f>
        <x:v>907.790523392269</x:v>
      </x:c>
      <x:c r="E703" s="17" t="n">
        <x:f>IF('Control Room'!$B$5="Normal",'Control Room'!$B$7,('Control Room'!$B$8+'Control Room'!$D$8)/2)+'Control Room'!$B$9*(E702-IF('Control Room'!$B$5="Normal",'Control Room'!$B$7,('Control Room'!$B$8+'Control Room'!$D$8)/2))+SQRT(1-'Control Room'!$B$9^2)*(D703-IF('Control Room'!$B$5="Normal",'Control Room'!$B$7,('Control Room'!$B$8+'Control Room'!$D$8)/2))</x:f>
        <x:v>955.3868335377011</x:v>
      </x:c>
      <x:c r="F703" s="17" t="n">
        <x:f>IF(AND($A703&gt;='Control Room'!$A$13,$A703&lt;'Control Room'!$A$13+'Control Room'!$B$13,'Process'!BK2=1),1+('Control Room'!$C$13-1)*EXP(-0.5*(($A703-'Control Room'!$A$13-('Control Room'!$B$13-1)/2)/MAX(0.5,'Control Room'!$B$13/4))^2),1)*IF(AND($A703&gt;='Control Room'!$A$14,$A703&lt;'Control Room'!$A$14+'Control Room'!$B$14,'Process'!BK3=1),1+('Control Room'!$C$14-1)*EXP(-0.5*(($A703-'Control Room'!$A$14-('Control Room'!$B$14-1)/2)/MAX(0.5,'Control Room'!$B$14/4))^2),1)*IF(AND($A703&gt;='Control Room'!$A$15,$A703&lt;'Control Room'!$A$15+'Control Room'!$B$15,'Process'!BK4=1),1+('Control Room'!$C$15-1)*EXP(-0.5*(($A703-'Control Room'!$A$15-('Control Room'!$B$15-1)/2)/MAX(0.5,'Control Room'!$B$15/4))^2),1)*IF(AND($A703&gt;='Control Room'!$A$16,$A703&lt;'Control Room'!$A$16+'Control Room'!$B$16,'Process'!BK5=1),1+('Control Room'!$C$16-1)*EXP(-0.5*(($A703-'Control Room'!$A$16-('Control Room'!$B$16-1)/2)/MAX(0.5,'Control Room'!$B$16/4))^2),1)</x:f>
        <x:v>1</x:v>
      </x:c>
      <x:c r="G703" s="9" t="n">
        <x:f>MOD(H702*16807,2147483647)</x:f>
        <x:v>1848295398</x:v>
      </x:c>
      <x:c r="H703" s="9" t="n">
        <x:f>MOD(G703*16807,2147483647)</x:f>
        <x:v>949800331</x:v>
      </x:c>
      <x:c r="I703" s="17" t="n">
        <x:f>IF('Control Room'!$B$5="Normal",'Control Room'!$B$7+'Control Room'!$D$7*SQRT(-2*LN(MAX(0.000000000001,G703/2147483647)))*COS(2*PI()*H703/2147483647),'Control Room'!$B$8+('Control Room'!$D$8-'Control Room'!$B$8)*G703/2147483647)</x:f>
        <x:v>953.9057498105149</x:v>
      </x:c>
      <x:c r="J703" s="17" t="n">
        <x:f>IF('Control Room'!$B$5="Normal",'Control Room'!$B$7,('Control Room'!$B$8+'Control Room'!$D$8)/2)+'Control Room'!$B$9*(J702-IF('Control Room'!$B$5="Normal",'Control Room'!$B$7,('Control Room'!$B$8+'Control Room'!$D$8)/2))+SQRT(1-'Control Room'!$B$9^2)*(I703-IF('Control Room'!$B$5="Normal",'Control Room'!$B$7,('Control Room'!$B$8+'Control Room'!$D$8)/2))</x:f>
        <x:v>1087.2950113660352</x:v>
      </x:c>
      <x:c r="K703" s="17" t="n">
        <x:f>IF(AND($A703&gt;='Control Room'!$A$13,$A703&lt;'Control Room'!$A$13+'Control Room'!$B$13,'Process'!BL2=1),1+('Control Room'!$C$13-1)*EXP(-0.5*(($A703-'Control Room'!$A$13-('Control Room'!$B$13-1)/2)/MAX(0.5,'Control Room'!$B$13/4))^2),1)*IF(AND($A703&gt;='Control Room'!$A$14,$A703&lt;'Control Room'!$A$14+'Control Room'!$B$14,'Process'!BL3=1),1+('Control Room'!$C$14-1)*EXP(-0.5*(($A703-'Control Room'!$A$14-('Control Room'!$B$14-1)/2)/MAX(0.5,'Control Room'!$B$14/4))^2),1)*IF(AND($A703&gt;='Control Room'!$A$15,$A703&lt;'Control Room'!$A$15+'Control Room'!$B$15,'Process'!BL4=1),1+('Control Room'!$C$15-1)*EXP(-0.5*(($A703-'Control Room'!$A$15-('Control Room'!$B$15-1)/2)/MAX(0.5,'Control Room'!$B$15/4))^2),1)*IF(AND($A703&gt;='Control Room'!$A$16,$A703&lt;'Control Room'!$A$16+'Control Room'!$B$16,'Process'!BL5=1),1+('Control Room'!$C$16-1)*EXP(-0.5*(($A703-'Control Room'!$A$16-('Control Room'!$B$16-1)/2)/MAX(0.5,'Control Room'!$B$16/4))^2),1)</x:f>
        <x:v>1</x:v>
      </x:c>
      <x:c r="L703" s="9" t="n">
        <x:f>MOD(M702*16807,2147483647)</x:f>
        <x:v>1054414416</x:v>
      </x:c>
      <x:c r="M703" s="9" t="n">
        <x:f>MOD(L703*16807,2147483647)</x:f>
        <x:v>508034668</x:v>
      </x:c>
      <x:c r="N703" s="17" t="n">
        <x:f>IF('Control Room'!$B$5="Normal",'Control Room'!$B$7+'Control Room'!$D$7*SQRT(-2*LN(MAX(0.000000000001,L703/2147483647)))*COS(2*PI()*M703/2147483647),'Control Room'!$B$8+('Control Room'!$D$8-'Control Room'!$B$8)*L703/2147483647)</x:f>
        <x:v>1009.0460848964675</x:v>
      </x:c>
      <x:c r="O703" s="17" t="n">
        <x:f>IF('Control Room'!$B$5="Normal",'Control Room'!$B$7,('Control Room'!$B$8+'Control Room'!$D$8)/2)+'Control Room'!$B$9*(O702-IF('Control Room'!$B$5="Normal",'Control Room'!$B$7,('Control Room'!$B$8+'Control Room'!$D$8)/2))+SQRT(1-'Control Room'!$B$9^2)*(N703-IF('Control Room'!$B$5="Normal",'Control Room'!$B$7,('Control Room'!$B$8+'Control Room'!$D$8)/2))</x:f>
        <x:v>989.2218476601089</x:v>
      </x:c>
      <x:c r="P703" s="17" t="n">
        <x:f>IF(AND($A703&gt;='Control Room'!$A$13,$A703&lt;'Control Room'!$A$13+'Control Room'!$B$13,'Process'!BM2=1),1+('Control Room'!$C$13-1)*EXP(-0.5*(($A703-'Control Room'!$A$13-('Control Room'!$B$13-1)/2)/MAX(0.5,'Control Room'!$B$13/4))^2),1)*IF(AND($A703&gt;='Control Room'!$A$14,$A703&lt;'Control Room'!$A$14+'Control Room'!$B$14,'Process'!BM3=1),1+('Control Room'!$C$14-1)*EXP(-0.5*(($A703-'Control Room'!$A$14-('Control Room'!$B$14-1)/2)/MAX(0.5,'Control Room'!$B$14/4))^2),1)*IF(AND($A703&gt;='Control Room'!$A$15,$A703&lt;'Control Room'!$A$15+'Control Room'!$B$15,'Process'!BM4=1),1+('Control Room'!$C$15-1)*EXP(-0.5*(($A703-'Control Room'!$A$15-('Control Room'!$B$15-1)/2)/MAX(0.5,'Control Room'!$B$15/4))^2),1)*IF(AND($A703&gt;='Control Room'!$A$16,$A703&lt;'Control Room'!$A$16+'Control Room'!$B$16,'Process'!BM5=1),1+('Control Room'!$C$16-1)*EXP(-0.5*(($A703-'Control Room'!$A$16-('Control Room'!$B$16-1)/2)/MAX(0.5,'Control Room'!$B$16/4))^2),1)</x:f>
        <x:v>1</x:v>
      </x:c>
      <x:c r="Q703" s="9" t="n">
        <x:f>MOD(R702*16807,2147483647)</x:f>
        <x:v>260533434</x:v>
      </x:c>
      <x:c r="R703" s="9" t="n">
        <x:f>MOD(Q703*16807,2147483647)</x:f>
        <x:v>66269005</x:v>
      </x:c>
      <x:c r="S703" s="17" t="n">
        <x:f>IF('Control Room'!$B$5="Normal",'Control Room'!$B$7+'Control Room'!$D$7*SQRT(-2*LN(MAX(0.000000000001,Q703/2147483647)))*COS(2*PI()*R703/2147483647),'Control Room'!$B$8+('Control Room'!$D$8-'Control Room'!$B$8)*Q703/2147483647)</x:f>
        <x:v>1181.3901427343026</x:v>
      </x:c>
      <x:c r="T703" s="17" t="n">
        <x:f>IF('Control Room'!$B$5="Normal",'Control Room'!$B$7,('Control Room'!$B$8+'Control Room'!$D$8)/2)+'Control Room'!$B$9*(T702-IF('Control Room'!$B$5="Normal",'Control Room'!$B$7,('Control Room'!$B$8+'Control Room'!$D$8)/2))+SQRT(1-'Control Room'!$B$9^2)*(S703-IF('Control Room'!$B$5="Normal",'Control Room'!$B$7,('Control Room'!$B$8+'Control Room'!$D$8)/2))</x:f>
        <x:v>1039.934980046832</x:v>
      </x:c>
      <x:c r="U703" s="17" t="n">
        <x:f>IF(AND($A703&gt;='Control Room'!$A$13,$A703&lt;'Control Room'!$A$13+'Control Room'!$B$13,'Process'!BN2=1),1+('Control Room'!$C$13-1)*EXP(-0.5*(($A703-'Control Room'!$A$13-('Control Room'!$B$13-1)/2)/MAX(0.5,'Control Room'!$B$13/4))^2),1)*IF(AND($A703&gt;='Control Room'!$A$14,$A703&lt;'Control Room'!$A$14+'Control Room'!$B$14,'Process'!BN3=1),1+('Control Room'!$C$14-1)*EXP(-0.5*(($A703-'Control Room'!$A$14-('Control Room'!$B$14-1)/2)/MAX(0.5,'Control Room'!$B$14/4))^2),1)*IF(AND($A703&gt;='Control Room'!$A$15,$A703&lt;'Control Room'!$A$15+'Control Room'!$B$15,'Process'!BN4=1),1+('Control Room'!$C$15-1)*EXP(-0.5*(($A703-'Control Room'!$A$15-('Control Room'!$B$15-1)/2)/MAX(0.5,'Control Room'!$B$15/4))^2),1)*IF(AND($A703&gt;='Control Room'!$A$16,$A703&lt;'Control Room'!$A$16+'Control Room'!$B$16,'Process'!BN5=1),1+('Control Room'!$C$16-1)*EXP(-0.5*(($A703-'Control Room'!$A$16-('Control Room'!$B$16-1)/2)/MAX(0.5,'Control Room'!$B$16/4))^2),1)</x:f>
        <x:v>1</x:v>
      </x:c>
      <x:c r="V703" s="9" t="n">
        <x:f>MOD(W702*16807,2147483647)</x:f>
        <x:v>1614136099</x:v>
      </x:c>
      <x:c r="W703" s="9" t="n">
        <x:f>MOD(V703*16807,2147483647)</x:f>
        <x:v>1771986989</x:v>
      </x:c>
      <x:c r="X703" s="17" t="n">
        <x:f>IF('Control Room'!$B$5="Normal",'Control Room'!$B$7+'Control Room'!$D$7*SQRT(-2*LN(MAX(0.000000000001,V703/2147483647)))*COS(2*PI()*W703/2147483647),'Control Room'!$B$8+('Control Room'!$D$8-'Control Room'!$B$8)*V703/2147483647)</x:f>
        <x:v>1030.9303324078958</x:v>
      </x:c>
      <x:c r="Y703" s="17" t="n">
        <x:f>IF('Control Room'!$B$5="Normal",'Control Room'!$B$7,('Control Room'!$B$8+'Control Room'!$D$8)/2)+'Control Room'!$B$9*(Y702-IF('Control Room'!$B$5="Normal",'Control Room'!$B$7,('Control Room'!$B$8+'Control Room'!$D$8)/2))+SQRT(1-'Control Room'!$B$9^2)*(X703-IF('Control Room'!$B$5="Normal",'Control Room'!$B$7,('Control Room'!$B$8+'Control Room'!$D$8)/2))</x:f>
        <x:v>964.1572399871256</x:v>
      </x:c>
      <x:c r="Z703" s="17" t="n">
        <x:f>IF(AND($A703&gt;='Control Room'!$A$13,$A703&lt;'Control Room'!$A$13+'Control Room'!$B$13,'Process'!BO2=1),1+('Control Room'!$C$13-1)*EXP(-0.5*(($A703-'Control Room'!$A$13-('Control Room'!$B$13-1)/2)/MAX(0.5,'Control Room'!$B$13/4))^2),1)*IF(AND($A703&gt;='Control Room'!$A$14,$A703&lt;'Control Room'!$A$14+'Control Room'!$B$14,'Process'!BO3=1),1+('Control Room'!$C$14-1)*EXP(-0.5*(($A703-'Control Room'!$A$14-('Control Room'!$B$14-1)/2)/MAX(0.5,'Control Room'!$B$14/4))^2),1)*IF(AND($A703&gt;='Control Room'!$A$15,$A703&lt;'Control Room'!$A$15+'Control Room'!$B$15,'Process'!BO4=1),1+('Control Room'!$C$15-1)*EXP(-0.5*(($A703-'Control Room'!$A$15-('Control Room'!$B$15-1)/2)/MAX(0.5,'Control Room'!$B$15/4))^2),1)*IF(AND($A703&gt;='Control Room'!$A$16,$A703&lt;'Control Room'!$A$16+'Control Room'!$B$16,'Process'!BO5=1),1+('Control Room'!$C$16-1)*EXP(-0.5*(($A703-'Control Room'!$A$16-('Control Room'!$B$16-1)/2)/MAX(0.5,'Control Room'!$B$16/4))^2),1)</x:f>
        <x:v>1</x:v>
      </x:c>
      <x:c r="AA703" s="9" t="n">
        <x:f>MOD(AB702*16807,2147483647)</x:f>
        <x:v>820255117</x:v>
      </x:c>
      <x:c r="AB703" s="9" t="n">
        <x:f>MOD(AA703*16807,2147483647)</x:f>
        <x:v>1330221326</x:v>
      </x:c>
      <x:c r="AC703" s="17" t="n">
        <x:f>IF('Control Room'!$B$5="Normal",'Control Room'!$B$7+'Control Room'!$D$7*SQRT(-2*LN(MAX(0.000000000001,AA703/2147483647)))*COS(2*PI()*AB703/2147483647),'Control Room'!$B$8+('Control Room'!$D$8-'Control Room'!$B$8)*AA703/2147483647)</x:f>
        <x:v>908.672568737101</x:v>
      </x:c>
      <x:c r="AD703" s="17" t="n">
        <x:f>IF('Control Room'!$B$5="Normal",'Control Room'!$B$7,('Control Room'!$B$8+'Control Room'!$D$8)/2)+'Control Room'!$B$9*(AD702-IF('Control Room'!$B$5="Normal",'Control Room'!$B$7,('Control Room'!$B$8+'Control Room'!$D$8)/2))+SQRT(1-'Control Room'!$B$9^2)*(AC703-IF('Control Room'!$B$5="Normal",'Control Room'!$B$7,('Control Room'!$B$8+'Control Room'!$D$8)/2))</x:f>
        <x:v>855.7403153750159</x:v>
      </x:c>
      <x:c r="AE703" s="17" t="n">
        <x:f>IF(AND($A703&gt;='Control Room'!$A$13,$A703&lt;'Control Room'!$A$13+'Control Room'!$B$13,'Process'!BP2=1),1+('Control Room'!$C$13-1)*EXP(-0.5*(($A703-'Control Room'!$A$13-('Control Room'!$B$13-1)/2)/MAX(0.5,'Control Room'!$B$13/4))^2),1)*IF(AND($A703&gt;='Control Room'!$A$14,$A703&lt;'Control Room'!$A$14+'Control Room'!$B$14,'Process'!BP3=1),1+('Control Room'!$C$14-1)*EXP(-0.5*(($A703-'Control Room'!$A$14-('Control Room'!$B$14-1)/2)/MAX(0.5,'Control Room'!$B$14/4))^2),1)*IF(AND($A703&gt;='Control Room'!$A$15,$A703&lt;'Control Room'!$A$15+'Control Room'!$B$15,'Process'!BP4=1),1+('Control Room'!$C$15-1)*EXP(-0.5*(($A703-'Control Room'!$A$15-('Control Room'!$B$15-1)/2)/MAX(0.5,'Control Room'!$B$15/4))^2),1)*IF(AND($A703&gt;='Control Room'!$A$16,$A703&lt;'Control Room'!$A$16+'Control Room'!$B$16,'Process'!BP5=1),1+('Control Room'!$C$16-1)*EXP(-0.5*(($A703-'Control Room'!$A$16-('Control Room'!$B$16-1)/2)/MAX(0.5,'Control Room'!$B$16/4))^2),1)</x:f>
        <x:v>1</x:v>
      </x:c>
      <x:c r="AF703" s="9" t="n">
        <x:f>MOD(AG702*16807,2147483647)</x:f>
        <x:v>26374135</x:v>
      </x:c>
      <x:c r="AG703" s="9" t="n">
        <x:f>MOD(AF703*16807,2147483647)</x:f>
        <x:v>888455663</x:v>
      </x:c>
      <x:c r="AH703" s="17" t="n">
        <x:f>IF('Control Room'!$B$5="Normal",'Control Room'!$B$7+'Control Room'!$D$7*SQRT(-2*LN(MAX(0.000000000001,AF703/2147483647)))*COS(2*PI()*AG703/2147483647),'Control Room'!$B$8+('Control Room'!$D$8-'Control Room'!$B$8)*AF703/2147483647)</x:f>
        <x:v>771.3059576207089</x:v>
      </x:c>
      <x:c r="AI703" s="17" t="n">
        <x:f>IF('Control Room'!$B$5="Normal",'Control Room'!$B$7,('Control Room'!$B$8+'Control Room'!$D$8)/2)+'Control Room'!$B$9*(AI702-IF('Control Room'!$B$5="Normal",'Control Room'!$B$7,('Control Room'!$B$8+'Control Room'!$D$8)/2))+SQRT(1-'Control Room'!$B$9^2)*(AH703-IF('Control Room'!$B$5="Normal",'Control Room'!$B$7,('Control Room'!$B$8+'Control Room'!$D$8)/2))</x:f>
        <x:v>703.3510571367715</x:v>
      </x:c>
      <x:c r="AJ703" s="17" t="n">
        <x:f>IF(AND($A703&gt;='Control Room'!$A$13,$A703&lt;'Control Room'!$A$13+'Control Room'!$B$13,'Process'!BQ2=1),1+('Control Room'!$C$13-1)*EXP(-0.5*(($A703-'Control Room'!$A$13-('Control Room'!$B$13-1)/2)/MAX(0.5,'Control Room'!$B$13/4))^2),1)*IF(AND($A703&gt;='Control Room'!$A$14,$A703&lt;'Control Room'!$A$14+'Control Room'!$B$14,'Process'!BQ3=1),1+('Control Room'!$C$14-1)*EXP(-0.5*(($A703-'Control Room'!$A$14-('Control Room'!$B$14-1)/2)/MAX(0.5,'Control Room'!$B$14/4))^2),1)*IF(AND($A703&gt;='Control Room'!$A$15,$A703&lt;'Control Room'!$A$15+'Control Room'!$B$15,'Process'!BQ4=1),1+('Control Room'!$C$15-1)*EXP(-0.5*(($A703-'Control Room'!$A$15-('Control Room'!$B$15-1)/2)/MAX(0.5,'Control Room'!$B$15/4))^2),1)*IF(AND($A703&gt;='Control Room'!$A$16,$A703&lt;'Control Room'!$A$16+'Control Room'!$B$16,'Process'!BQ5=1),1+('Control Room'!$C$16-1)*EXP(-0.5*(($A703-'Control Room'!$A$16-('Control Room'!$B$16-1)/2)/MAX(0.5,'Control Room'!$B$16/4))^2),1)</x:f>
        <x:v>1</x:v>
      </x:c>
      <x:c r="AK703" s="9" t="n">
        <x:f>MOD(AL702*16807,2147483647)</x:f>
        <x:v>1379976800</x:v>
      </x:c>
      <x:c r="AL703" s="9" t="n">
        <x:f>MOD(AK703*16807,2147483647)</x:f>
        <x:v>446690000</x:v>
      </x:c>
      <x:c r="AM703" s="17" t="n">
        <x:f>IF('Control Room'!$B$5="Normal",'Control Room'!$B$7+'Control Room'!$D$7*SQRT(-2*LN(MAX(0.000000000001,AK703/2147483647)))*COS(2*PI()*AL703/2147483647),'Control Room'!$B$8+('Control Room'!$D$8-'Control Room'!$B$8)*AK703/2147483647)</x:f>
        <x:v>1022.0747255940391</x:v>
      </x:c>
      <x:c r="AN703" s="17" t="n">
        <x:f>IF('Control Room'!$B$5="Normal",'Control Room'!$B$7,('Control Room'!$B$8+'Control Room'!$D$8)/2)+'Control Room'!$B$9*(AN702-IF('Control Room'!$B$5="Normal",'Control Room'!$B$7,('Control Room'!$B$8+'Control Room'!$D$8)/2))+SQRT(1-'Control Room'!$B$9^2)*(AM703-IF('Control Room'!$B$5="Normal",'Control Room'!$B$7,('Control Room'!$B$8+'Control Room'!$D$8)/2))</x:f>
        <x:v>971.741303441988</x:v>
      </x:c>
      <x:c r="AO703" s="17" t="n">
        <x:f>IF(AND($A703&gt;='Control Room'!$A$13,$A703&lt;'Control Room'!$A$13+'Control Room'!$B$13,'Process'!BR2=1),1+('Control Room'!$C$13-1)*EXP(-0.5*(($A703-'Control Room'!$A$13-('Control Room'!$B$13-1)/2)/MAX(0.5,'Control Room'!$B$13/4))^2),1)*IF(AND($A703&gt;='Control Room'!$A$14,$A703&lt;'Control Room'!$A$14+'Control Room'!$B$14,'Process'!BR3=1),1+('Control Room'!$C$14-1)*EXP(-0.5*(($A703-'Control Room'!$A$14-('Control Room'!$B$14-1)/2)/MAX(0.5,'Control Room'!$B$14/4))^2),1)*IF(AND($A703&gt;='Control Room'!$A$15,$A703&lt;'Control Room'!$A$15+'Control Room'!$B$15,'Process'!BR4=1),1+('Control Room'!$C$15-1)*EXP(-0.5*(($A703-'Control Room'!$A$15-('Control Room'!$B$15-1)/2)/MAX(0.5,'Control Room'!$B$15/4))^2),1)*IF(AND($A703&gt;='Control Room'!$A$16,$A703&lt;'Control Room'!$A$16+'Control Room'!$B$16,'Process'!BR5=1),1+('Control Room'!$C$16-1)*EXP(-0.5*(($A703-'Control Room'!$A$16-('Control Room'!$B$16-1)/2)/MAX(0.5,'Control Room'!$B$16/4))^2),1)</x:f>
        <x:v>1</x:v>
      </x:c>
      <x:c r="AP703" s="9" t="n">
        <x:f>MOD(AQ702*16807,2147483647)</x:f>
        <x:v>586095818</x:v>
      </x:c>
      <x:c r="AQ703" s="9" t="n">
        <x:f>MOD(AP703*16807,2147483647)</x:f>
        <x:v>4924337</x:v>
      </x:c>
      <x:c r="AR703" s="17" t="n">
        <x:f>IF('Control Room'!$B$5="Normal",'Control Room'!$B$7+'Control Room'!$D$7*SQRT(-2*LN(MAX(0.000000000001,AP703/2147483647)))*COS(2*PI()*AQ703/2147483647),'Control Room'!$B$8+('Control Room'!$D$8-'Control Room'!$B$8)*AP703/2147483647)</x:f>
        <x:v>1145.0256775264638</x:v>
      </x:c>
      <x:c r="AS703" s="17" t="n">
        <x:f>IF('Control Room'!$B$5="Normal",'Control Room'!$B$7,('Control Room'!$B$8+'Control Room'!$D$8)/2)+'Control Room'!$B$9*(AS702-IF('Control Room'!$B$5="Normal",'Control Room'!$B$7,('Control Room'!$B$8+'Control Room'!$D$8)/2))+SQRT(1-'Control Room'!$B$9^2)*(AR703-IF('Control Room'!$B$5="Normal",'Control Room'!$B$7,('Control Room'!$B$8+'Control Room'!$D$8)/2))</x:f>
        <x:v>1043.9366272510879</x:v>
      </x:c>
      <x:c r="AT703" s="17" t="n">
        <x:f>IF(AND($A703&gt;='Control Room'!$A$13,$A703&lt;'Control Room'!$A$13+'Control Room'!$B$13,'Process'!BS2=1),1+('Control Room'!$C$13-1)*EXP(-0.5*(($A703-'Control Room'!$A$13-('Control Room'!$B$13-1)/2)/MAX(0.5,'Control Room'!$B$13/4))^2),1)*IF(AND($A703&gt;='Control Room'!$A$14,$A703&lt;'Control Room'!$A$14+'Control Room'!$B$14,'Process'!BS3=1),1+('Control Room'!$C$14-1)*EXP(-0.5*(($A703-'Control Room'!$A$14-('Control Room'!$B$14-1)/2)/MAX(0.5,'Control Room'!$B$14/4))^2),1)*IF(AND($A703&gt;='Control Room'!$A$15,$A703&lt;'Control Room'!$A$15+'Control Room'!$B$15,'Process'!BS4=1),1+('Control Room'!$C$15-1)*EXP(-0.5*(($A703-'Control Room'!$A$15-('Control Room'!$B$15-1)/2)/MAX(0.5,'Control Room'!$B$15/4))^2),1)*IF(AND($A703&gt;='Control Room'!$A$16,$A703&lt;'Control Room'!$A$16+'Control Room'!$B$16,'Process'!BS5=1),1+('Control Room'!$C$16-1)*EXP(-0.5*(($A703-'Control Room'!$A$16-('Control Room'!$B$16-1)/2)/MAX(0.5,'Control Room'!$B$16/4))^2),1)</x:f>
        <x:v>1</x:v>
      </x:c>
      <x:c r="AU703" s="9" t="n">
        <x:f>MOD(AV702*16807,2147483647)</x:f>
        <x:v>1939698483</x:v>
      </x:c>
      <x:c r="AV703" s="9" t="n">
        <x:f>MOD(AU703*16807,2147483647)</x:f>
        <x:v>1710642321</x:v>
      </x:c>
      <x:c r="AW703" s="17" t="n">
        <x:f>IF('Control Room'!$B$5="Normal",'Control Room'!$B$7+'Control Room'!$D$7*SQRT(-2*LN(MAX(0.000000000001,AU703/2147483647)))*COS(2*PI()*AV703/2147483647),'Control Room'!$B$8+('Control Room'!$D$8-'Control Room'!$B$8)*AU703/2147483647)</x:f>
        <x:v>1011.714284295615</x:v>
      </x:c>
      <x:c r="AX703" s="17" t="n">
        <x:f>IF('Control Room'!$B$5="Normal",'Control Room'!$B$7,('Control Room'!$B$8+'Control Room'!$D$8)/2)+'Control Room'!$B$9*(AX702-IF('Control Room'!$B$5="Normal",'Control Room'!$B$7,('Control Room'!$B$8+'Control Room'!$D$8)/2))+SQRT(1-'Control Room'!$B$9^2)*(AW703-IF('Control Room'!$B$5="Normal",'Control Room'!$B$7,('Control Room'!$B$8+'Control Room'!$D$8)/2))</x:f>
        <x:v>1005.3642962859878</x:v>
      </x:c>
      <x:c r="AY703" s="17" t="n">
        <x:f>IF(AND($A703&gt;='Control Room'!$A$13,$A703&lt;'Control Room'!$A$13+'Control Room'!$B$13,'Process'!BT2=1),1+('Control Room'!$C$13-1)*EXP(-0.5*(($A703-'Control Room'!$A$13-('Control Room'!$B$13-1)/2)/MAX(0.5,'Control Room'!$B$13/4))^2),1)*IF(AND($A703&gt;='Control Room'!$A$14,$A703&lt;'Control Room'!$A$14+'Control Room'!$B$14,'Process'!BT3=1),1+('Control Room'!$C$14-1)*EXP(-0.5*(($A703-'Control Room'!$A$14-('Control Room'!$B$14-1)/2)/MAX(0.5,'Control Room'!$B$14/4))^2),1)*IF(AND($A703&gt;='Control Room'!$A$15,$A703&lt;'Control Room'!$A$15+'Control Room'!$B$15,'Process'!BT4=1),1+('Control Room'!$C$15-1)*EXP(-0.5*(($A703-'Control Room'!$A$15-('Control Room'!$B$15-1)/2)/MAX(0.5,'Control Room'!$B$15/4))^2),1)*IF(AND($A703&gt;='Control Room'!$A$16,$A703&lt;'Control Room'!$A$16+'Control Room'!$B$16,'Process'!BT5=1),1+('Control Room'!$C$16-1)*EXP(-0.5*(($A703-'Control Room'!$A$16-('Control Room'!$B$16-1)/2)/MAX(0.5,'Control Room'!$B$16/4))^2),1)</x:f>
        <x:v>1</x:v>
      </x:c>
      <x:c r="AZ703" s="9" t="n">
        <x:f>MOD(BA702*16807,2147483647)</x:f>
        <x:v>1145817501</x:v>
      </x:c>
      <x:c r="BA703" s="9" t="n">
        <x:f>MOD(AZ703*16807,2147483647)</x:f>
        <x:v>1268876658</x:v>
      </x:c>
      <x:c r="BB703" s="17" t="n">
        <x:f>IF('Control Room'!$B$5="Normal",'Control Room'!$B$7+'Control Room'!$D$7*SQRT(-2*LN(MAX(0.000000000001,AZ703/2147483647)))*COS(2*PI()*BA703/2147483647),'Control Room'!$B$8+('Control Room'!$D$8-'Control Room'!$B$8)*AZ703/2147483647)</x:f>
        <x:v>915.1210185446968</x:v>
      </x:c>
      <x:c r="BC703" s="17" t="n">
        <x:f>IF('Control Room'!$B$5="Normal",'Control Room'!$B$7,('Control Room'!$B$8+'Control Room'!$D$8)/2)+'Control Room'!$B$9*(BC702-IF('Control Room'!$B$5="Normal",'Control Room'!$B$7,('Control Room'!$B$8+'Control Room'!$D$8)/2))+SQRT(1-'Control Room'!$B$9^2)*(BB703-IF('Control Room'!$B$5="Normal",'Control Room'!$B$7,('Control Room'!$B$8+'Control Room'!$D$8)/2))</x:f>
        <x:v>1021.6581058849728</x:v>
      </x:c>
      <x:c r="BD703" s="17" t="n">
        <x:f>IF(AND($A703&gt;='Control Room'!$A$13,$A703&lt;'Control Room'!$A$13+'Control Room'!$B$13,'Process'!BU2=1),1+('Control Room'!$C$13-1)*EXP(-0.5*(($A703-'Control Room'!$A$13-('Control Room'!$B$13-1)/2)/MAX(0.5,'Control Room'!$B$13/4))^2),1)*IF(AND($A703&gt;='Control Room'!$A$14,$A703&lt;'Control Room'!$A$14+'Control Room'!$B$14,'Process'!BU3=1),1+('Control Room'!$C$14-1)*EXP(-0.5*(($A703-'Control Room'!$A$14-('Control Room'!$B$14-1)/2)/MAX(0.5,'Control Room'!$B$14/4))^2),1)*IF(AND($A703&gt;='Control Room'!$A$15,$A703&lt;'Control Room'!$A$15+'Control Room'!$B$15,'Process'!BU4=1),1+('Control Room'!$C$15-1)*EXP(-0.5*(($A703-'Control Room'!$A$15-('Control Room'!$B$15-1)/2)/MAX(0.5,'Control Room'!$B$15/4))^2),1)*IF(AND($A703&gt;='Control Room'!$A$16,$A703&lt;'Control Room'!$A$16+'Control Room'!$B$16,'Process'!BU5=1),1+('Control Room'!$C$16-1)*EXP(-0.5*(($A703-'Control Room'!$A$16-('Control Room'!$B$16-1)/2)/MAX(0.5,'Control Room'!$B$16/4))^2),1)</x:f>
        <x:v>1</x:v>
      </x:c>
      <x:c r="BE703" s="9" t="n">
        <x:f>MOD(BF702*16807,2147483647)</x:f>
        <x:v>351936519</x:v>
      </x:c>
      <x:c r="BF703" s="9" t="n">
        <x:f>MOD(BE703*16807,2147483647)</x:f>
        <x:v>827110995</x:v>
      </x:c>
      <x:c r="BG703" s="17" t="n">
        <x:f>IF('Control Room'!$B$5="Normal",'Control Room'!$B$7+'Control Room'!$D$7*SQRT(-2*LN(MAX(0.000000000001,BE703/2147483647)))*COS(2*PI()*BF703/2147483647),'Control Room'!$B$8+('Control Room'!$D$8-'Control Room'!$B$8)*BE703/2147483647)</x:f>
        <x:v>871.493948030766</x:v>
      </x:c>
      <x:c r="BH703" s="17" t="n">
        <x:f>IF('Control Room'!$B$5="Normal",'Control Room'!$B$7,('Control Room'!$B$8+'Control Room'!$D$8)/2)+'Control Room'!$B$9*(BH702-IF('Control Room'!$B$5="Normal",'Control Room'!$B$7,('Control Room'!$B$8+'Control Room'!$D$8)/2))+SQRT(1-'Control Room'!$B$9^2)*(BG703-IF('Control Room'!$B$5="Normal",'Control Room'!$B$7,('Control Room'!$B$8+'Control Room'!$D$8)/2))</x:f>
        <x:v>1027.0000803991927</x:v>
      </x:c>
      <x:c r="BI703" s="17" t="n">
        <x:f>IF(AND($A703&gt;='Control Room'!$A$13,$A703&lt;'Control Room'!$A$13+'Control Room'!$B$13,'Process'!BV2=1),1+('Control Room'!$C$13-1)*EXP(-0.5*(($A703-'Control Room'!$A$13-('Control Room'!$B$13-1)/2)/MAX(0.5,'Control Room'!$B$13/4))^2),1)*IF(AND($A703&gt;='Control Room'!$A$14,$A703&lt;'Control Room'!$A$14+'Control Room'!$B$14,'Process'!BV3=1),1+('Control Room'!$C$14-1)*EXP(-0.5*(($A703-'Control Room'!$A$14-('Control Room'!$B$14-1)/2)/MAX(0.5,'Control Room'!$B$14/4))^2),1)*IF(AND($A703&gt;='Control Room'!$A$15,$A703&lt;'Control Room'!$A$15+'Control Room'!$B$15,'Process'!BV4=1),1+('Control Room'!$C$15-1)*EXP(-0.5*(($A703-'Control Room'!$A$15-('Control Room'!$B$15-1)/2)/MAX(0.5,'Control Room'!$B$15/4))^2),1)*IF(AND($A703&gt;='Control Room'!$A$16,$A703&lt;'Control Room'!$A$16+'Control Room'!$B$16,'Process'!BV5=1),1+('Control Room'!$C$16-1)*EXP(-0.5*(($A703-'Control Room'!$A$16-('Control Room'!$B$16-1)/2)/MAX(0.5,'Control Room'!$B$16/4))^2),1)</x:f>
        <x:v>1</x:v>
      </x:c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Z703" t="str">
        <x:f>IF('Data'!A703="","",TEXT('Data'!A703,"mm-dd"))</x:f>
      </x:c>
    </x:row>
    <x:row r="704" ht="21" customHeight="1">
      <x:c r="A704" s="15" t="n">
        <x:f>'Control Room'!$B$1+702</x:f>
        <x:v>73693</x:v>
      </x:c>
      <x:c r="B704" s="9" t="n">
        <x:f>MOD(C703*16807,2147483647)</x:f>
        <x:v>1952745328</x:v>
      </x:c>
      <x:c r="C704" s="9" t="n">
        <x:f>MOD(B704*16807,2147483647)</x:f>
        <x:v>1945634242</x:v>
      </x:c>
      <x:c r="D704" s="17" t="n">
        <x:f>IF('Control Room'!$B$5="Normal",'Control Room'!$B$7+'Control Room'!$D$7*SQRT(-2*LN(MAX(0.000000000001,B704/2147483647)))*COS(2*PI()*C704/2147483647),'Control Room'!$B$8+('Control Room'!$D$8-'Control Room'!$B$8)*B704/2147483647)</x:f>
        <x:v>1032.595627903552</x:v>
      </x:c>
      <x:c r="E704" s="17" t="n">
        <x:f>IF('Control Room'!$B$5="Normal",'Control Room'!$B$7,('Control Room'!$B$8+'Control Room'!$D$8)/2)+'Control Room'!$B$9*(E703-IF('Control Room'!$B$5="Normal",'Control Room'!$B$7,('Control Room'!$B$8+'Control Room'!$D$8)/2))+SQRT(1-'Control Room'!$B$9^2)*(D704-IF('Control Room'!$B$5="Normal",'Control Room'!$B$7,('Control Room'!$B$8+'Control Room'!$D$8)/2))</x:f>
        <x:v>985.5994063437163</x:v>
      </x:c>
      <x:c r="F704" s="17" t="n">
        <x:f>IF(AND($A704&gt;='Control Room'!$A$13,$A704&lt;'Control Room'!$A$13+'Control Room'!$B$13,'Process'!BK2=1),1+('Control Room'!$C$13-1)*EXP(-0.5*(($A704-'Control Room'!$A$13-('Control Room'!$B$13-1)/2)/MAX(0.5,'Control Room'!$B$13/4))^2),1)*IF(AND($A704&gt;='Control Room'!$A$14,$A704&lt;'Control Room'!$A$14+'Control Room'!$B$14,'Process'!BK3=1),1+('Control Room'!$C$14-1)*EXP(-0.5*(($A704-'Control Room'!$A$14-('Control Room'!$B$14-1)/2)/MAX(0.5,'Control Room'!$B$14/4))^2),1)*IF(AND($A704&gt;='Control Room'!$A$15,$A704&lt;'Control Room'!$A$15+'Control Room'!$B$15,'Process'!BK4=1),1+('Control Room'!$C$15-1)*EXP(-0.5*(($A704-'Control Room'!$A$15-('Control Room'!$B$15-1)/2)/MAX(0.5,'Control Room'!$B$15/4))^2),1)*IF(AND($A704&gt;='Control Room'!$A$16,$A704&lt;'Control Room'!$A$16+'Control Room'!$B$16,'Process'!BK5=1),1+('Control Room'!$C$16-1)*EXP(-0.5*(($A704-'Control Room'!$A$16-('Control Room'!$B$16-1)/2)/MAX(0.5,'Control Room'!$B$16/4))^2),1)</x:f>
        <x:v>1</x:v>
      </x:c>
      <x:c r="G704" s="9" t="n">
        <x:f>MOD(H703*16807,2147483647)</x:f>
        <x:v>1048214966</x:v>
      </x:c>
      <x:c r="H704" s="9" t="n">
        <x:f>MOD(G704*16807,2147483647)</x:f>
        <x:v>1540577221</x:v>
      </x:c>
      <x:c r="I704" s="17" t="n">
        <x:f>IF('Control Room'!$B$5="Normal",'Control Room'!$B$7+'Control Room'!$D$7*SQRT(-2*LN(MAX(0.000000000001,G704/2147483647)))*COS(2*PI()*H704/2147483647),'Control Room'!$B$8+('Control Room'!$D$8-'Control Room'!$B$8)*G704/2147483647)</x:f>
        <x:v>978.0666545325955</x:v>
      </x:c>
      <x:c r="J704" s="17" t="n">
        <x:f>IF('Control Room'!$B$5="Normal",'Control Room'!$B$7,('Control Room'!$B$8+'Control Room'!$D$8)/2)+'Control Room'!$B$9*(J703-IF('Control Room'!$B$5="Normal",'Control Room'!$B$7,('Control Room'!$B$8+'Control Room'!$D$8)/2))+SQRT(1-'Control Room'!$B$9^2)*(I704-IF('Control Room'!$B$5="Normal",'Control Room'!$B$7,('Control Room'!$B$8+'Control Room'!$D$8)/2))</x:f>
        <x:v>1054.3646706010106</x:v>
      </x:c>
      <x:c r="K704" s="17" t="n">
        <x:f>IF(AND($A704&gt;='Control Room'!$A$13,$A704&lt;'Control Room'!$A$13+'Control Room'!$B$13,'Process'!BL2=1),1+('Control Room'!$C$13-1)*EXP(-0.5*(($A704-'Control Room'!$A$13-('Control Room'!$B$13-1)/2)/MAX(0.5,'Control Room'!$B$13/4))^2),1)*IF(AND($A704&gt;='Control Room'!$A$14,$A704&lt;'Control Room'!$A$14+'Control Room'!$B$14,'Process'!BL3=1),1+('Control Room'!$C$14-1)*EXP(-0.5*(($A704-'Control Room'!$A$14-('Control Room'!$B$14-1)/2)/MAX(0.5,'Control Room'!$B$14/4))^2),1)*IF(AND($A704&gt;='Control Room'!$A$15,$A704&lt;'Control Room'!$A$15+'Control Room'!$B$15,'Process'!BL4=1),1+('Control Room'!$C$15-1)*EXP(-0.5*(($A704-'Control Room'!$A$15-('Control Room'!$B$15-1)/2)/MAX(0.5,'Control Room'!$B$15/4))^2),1)*IF(AND($A704&gt;='Control Room'!$A$16,$A704&lt;'Control Room'!$A$16+'Control Room'!$B$16,'Process'!BL5=1),1+('Control Room'!$C$16-1)*EXP(-0.5*(($A704-'Control Room'!$A$16-('Control Room'!$B$16-1)/2)/MAX(0.5,'Control Room'!$B$16/4))^2),1)</x:f>
        <x:v>1</x:v>
      </x:c>
      <x:c r="L704" s="9" t="n">
        <x:f>MOD(M703*16807,2147483647)</x:f>
        <x:v>143684604</x:v>
      </x:c>
      <x:c r="M704" s="9" t="n">
        <x:f>MOD(L704*16807,2147483647)</x:f>
        <x:v>1135520200</x:v>
      </x:c>
      <x:c r="N704" s="17" t="n">
        <x:f>IF('Control Room'!$B$5="Normal",'Control Room'!$B$7+'Control Room'!$D$7*SQRT(-2*LN(MAX(0.000000000001,L704/2147483647)))*COS(2*PI()*M704/2147483647),'Control Room'!$B$8+('Control Room'!$D$8-'Control Room'!$B$8)*L704/2147483647)</x:f>
        <x:v>794.0973532240871</x:v>
      </x:c>
      <x:c r="O704" s="17" t="n">
        <x:f>IF('Control Room'!$B$5="Normal",'Control Room'!$B$7,('Control Room'!$B$8+'Control Room'!$D$8)/2)+'Control Room'!$B$9*(O703-IF('Control Room'!$B$5="Normal",'Control Room'!$B$7,('Control Room'!$B$8+'Control Room'!$D$8)/2))+SQRT(1-'Control Room'!$B$9^2)*(N704-IF('Control Room'!$B$5="Normal",'Control Room'!$B$7,('Control Room'!$B$8+'Control Room'!$D$8)/2))</x:f>
        <x:v>862.7433829675144</x:v>
      </x:c>
      <x:c r="P704" s="17" t="n">
        <x:f>IF(AND($A704&gt;='Control Room'!$A$13,$A704&lt;'Control Room'!$A$13+'Control Room'!$B$13,'Process'!BM2=1),1+('Control Room'!$C$13-1)*EXP(-0.5*(($A704-'Control Room'!$A$13-('Control Room'!$B$13-1)/2)/MAX(0.5,'Control Room'!$B$13/4))^2),1)*IF(AND($A704&gt;='Control Room'!$A$14,$A704&lt;'Control Room'!$A$14+'Control Room'!$B$14,'Process'!BM3=1),1+('Control Room'!$C$14-1)*EXP(-0.5*(($A704-'Control Room'!$A$14-('Control Room'!$B$14-1)/2)/MAX(0.5,'Control Room'!$B$14/4))^2),1)*IF(AND($A704&gt;='Control Room'!$A$15,$A704&lt;'Control Room'!$A$15+'Control Room'!$B$15,'Process'!BM4=1),1+('Control Room'!$C$15-1)*EXP(-0.5*(($A704-'Control Room'!$A$15-('Control Room'!$B$15-1)/2)/MAX(0.5,'Control Room'!$B$15/4))^2),1)*IF(AND($A704&gt;='Control Room'!$A$16,$A704&lt;'Control Room'!$A$16+'Control Room'!$B$16,'Process'!BM5=1),1+('Control Room'!$C$16-1)*EXP(-0.5*(($A704-'Control Room'!$A$16-('Control Room'!$B$16-1)/2)/MAX(0.5,'Control Room'!$B$16/4))^2),1)</x:f>
        <x:v>1</x:v>
      </x:c>
      <x:c r="Q704" s="9" t="n">
        <x:f>MOD(R703*16807,2147483647)</x:f>
        <x:v>1386637889</x:v>
      </x:c>
      <x:c r="R704" s="9" t="n">
        <x:f>MOD(Q704*16807,2147483647)</x:f>
        <x:v>730463179</x:v>
      </x:c>
      <x:c r="S704" s="17" t="n">
        <x:f>IF('Control Room'!$B$5="Normal",'Control Room'!$B$7+'Control Room'!$D$7*SQRT(-2*LN(MAX(0.000000000001,Q704/2147483647)))*COS(2*PI()*R704/2147483647),'Control Room'!$B$8+('Control Room'!$D$8-'Control Room'!$B$8)*Q704/2147483647)</x:f>
        <x:v>954.8283267875681</x:v>
      </x:c>
      <x:c r="T704" s="17" t="n">
        <x:f>IF('Control Room'!$B$5="Normal",'Control Room'!$B$7,('Control Room'!$B$8+'Control Room'!$D$8)/2)+'Control Room'!$B$9*(T703-IF('Control Room'!$B$5="Normal",'Control Room'!$B$7,('Control Room'!$B$8+'Control Room'!$D$8)/2))+SQRT(1-'Control Room'!$B$9^2)*(S704-IF('Control Room'!$B$5="Normal",'Control Room'!$B$7,('Control Room'!$B$8+'Control Room'!$D$8)/2))</x:f>
        <x:v>1002.8817767322143</x:v>
      </x:c>
      <x:c r="U704" s="17" t="n">
        <x:f>IF(AND($A704&gt;='Control Room'!$A$13,$A704&lt;'Control Room'!$A$13+'Control Room'!$B$13,'Process'!BN2=1),1+('Control Room'!$C$13-1)*EXP(-0.5*(($A704-'Control Room'!$A$13-('Control Room'!$B$13-1)/2)/MAX(0.5,'Control Room'!$B$13/4))^2),1)*IF(AND($A704&gt;='Control Room'!$A$14,$A704&lt;'Control Room'!$A$14+'Control Room'!$B$14,'Process'!BN3=1),1+('Control Room'!$C$14-1)*EXP(-0.5*(($A704-'Control Room'!$A$14-('Control Room'!$B$14-1)/2)/MAX(0.5,'Control Room'!$B$14/4))^2),1)*IF(AND($A704&gt;='Control Room'!$A$15,$A704&lt;'Control Room'!$A$15+'Control Room'!$B$15,'Process'!BN4=1),1+('Control Room'!$C$15-1)*EXP(-0.5*(($A704-'Control Room'!$A$15-('Control Room'!$B$15-1)/2)/MAX(0.5,'Control Room'!$B$15/4))^2),1)*IF(AND($A704&gt;='Control Room'!$A$16,$A704&lt;'Control Room'!$A$16+'Control Room'!$B$16,'Process'!BN5=1),1+('Control Room'!$C$16-1)*EXP(-0.5*(($A704-'Control Room'!$A$16-('Control Room'!$B$16-1)/2)/MAX(0.5,'Control Room'!$B$16/4))^2),1)</x:f>
        <x:v>1</x:v>
      </x:c>
      <x:c r="V704" s="9" t="n">
        <x:f>MOD(W703*16807,2147483647)</x:f>
        <x:v>482107527</x:v>
      </x:c>
      <x:c r="W704" s="9" t="n">
        <x:f>MOD(V704*16807,2147483647)</x:f>
        <x:v>325406158</x:v>
      </x:c>
      <x:c r="X704" s="17" t="n">
        <x:f>IF('Control Room'!$B$5="Normal",'Control Room'!$B$7+'Control Room'!$D$7*SQRT(-2*LN(MAX(0.000000000001,V704/2147483647)))*COS(2*PI()*W704/2147483647),'Control Room'!$B$8+('Control Room'!$D$8-'Control Room'!$B$8)*V704/2147483647)</x:f>
        <x:v>1090.2263542912701</x:v>
      </x:c>
      <x:c r="Y704" s="17" t="n">
        <x:f>IF('Control Room'!$B$5="Normal",'Control Room'!$B$7,('Control Room'!$B$8+'Control Room'!$D$8)/2)+'Control Room'!$B$9*(Y703-IF('Control Room'!$B$5="Normal",'Control Room'!$B$7,('Control Room'!$B$8+'Control Room'!$D$8)/2))+SQRT(1-'Control Room'!$B$9^2)*(X704-IF('Control Room'!$B$5="Normal",'Control Room'!$B$7,('Control Room'!$B$8+'Control Room'!$D$8)/2))</x:f>
        <x:v>1028.5044513180983</x:v>
      </x:c>
      <x:c r="Z704" s="17" t="n">
        <x:f>IF(AND($A704&gt;='Control Room'!$A$13,$A704&lt;'Control Room'!$A$13+'Control Room'!$B$13,'Process'!BO2=1),1+('Control Room'!$C$13-1)*EXP(-0.5*(($A704-'Control Room'!$A$13-('Control Room'!$B$13-1)/2)/MAX(0.5,'Control Room'!$B$13/4))^2),1)*IF(AND($A704&gt;='Control Room'!$A$14,$A704&lt;'Control Room'!$A$14+'Control Room'!$B$14,'Process'!BO3=1),1+('Control Room'!$C$14-1)*EXP(-0.5*(($A704-'Control Room'!$A$14-('Control Room'!$B$14-1)/2)/MAX(0.5,'Control Room'!$B$14/4))^2),1)*IF(AND($A704&gt;='Control Room'!$A$15,$A704&lt;'Control Room'!$A$15+'Control Room'!$B$15,'Process'!BO4=1),1+('Control Room'!$C$15-1)*EXP(-0.5*(($A704-'Control Room'!$A$15-('Control Room'!$B$15-1)/2)/MAX(0.5,'Control Room'!$B$15/4))^2),1)*IF(AND($A704&gt;='Control Room'!$A$16,$A704&lt;'Control Room'!$A$16+'Control Room'!$B$16,'Process'!BO5=1),1+('Control Room'!$C$16-1)*EXP(-0.5*(($A704-'Control Room'!$A$16-('Control Room'!$B$16-1)/2)/MAX(0.5,'Control Room'!$B$16/4))^2),1)</x:f>
        <x:v>1</x:v>
      </x:c>
      <x:c r="AA704" s="9" t="n">
        <x:f>MOD(AB703*16807,2147483647)</x:f>
        <x:v>1725060812</x:v>
      </x:c>
      <x:c r="AB704" s="9" t="n">
        <x:f>MOD(AA704*16807,2147483647)</x:f>
        <x:v>2067832784</x:v>
      </x:c>
      <x:c r="AC704" s="17" t="n">
        <x:f>IF('Control Room'!$B$5="Normal",'Control Room'!$B$7+'Control Room'!$D$7*SQRT(-2*LN(MAX(0.000000000001,AA704/2147483647)))*COS(2*PI()*AB704/2147483647),'Control Room'!$B$8+('Control Room'!$D$8-'Control Room'!$B$8)*AA704/2147483647)</x:f>
        <x:v>1057.9578287670136</x:v>
      </x:c>
      <x:c r="AD704" s="17" t="n">
        <x:f>IF('Control Room'!$B$5="Normal",'Control Room'!$B$7,('Control Room'!$B$8+'Control Room'!$D$8)/2)+'Control Room'!$B$9*(AD703-IF('Control Room'!$B$5="Normal",'Control Room'!$B$7,('Control Room'!$B$8+'Control Room'!$D$8)/2))+SQRT(1-'Control Room'!$B$9^2)*(AC704-IF('Control Room'!$B$5="Normal",'Control Room'!$B$7,('Control Room'!$B$8+'Control Room'!$D$8)/2))</x:f>
        <x:v>923.7462679042501</x:v>
      </x:c>
      <x:c r="AE704" s="17" t="n">
        <x:f>IF(AND($A704&gt;='Control Room'!$A$13,$A704&lt;'Control Room'!$A$13+'Control Room'!$B$13,'Process'!BP2=1),1+('Control Room'!$C$13-1)*EXP(-0.5*(($A704-'Control Room'!$A$13-('Control Room'!$B$13-1)/2)/MAX(0.5,'Control Room'!$B$13/4))^2),1)*IF(AND($A704&gt;='Control Room'!$A$14,$A704&lt;'Control Room'!$A$14+'Control Room'!$B$14,'Process'!BP3=1),1+('Control Room'!$C$14-1)*EXP(-0.5*(($A704-'Control Room'!$A$14-('Control Room'!$B$14-1)/2)/MAX(0.5,'Control Room'!$B$14/4))^2),1)*IF(AND($A704&gt;='Control Room'!$A$15,$A704&lt;'Control Room'!$A$15+'Control Room'!$B$15,'Process'!BP4=1),1+('Control Room'!$C$15-1)*EXP(-0.5*(($A704-'Control Room'!$A$15-('Control Room'!$B$15-1)/2)/MAX(0.5,'Control Room'!$B$15/4))^2),1)*IF(AND($A704&gt;='Control Room'!$A$16,$A704&lt;'Control Room'!$A$16+'Control Room'!$B$16,'Process'!BP5=1),1+('Control Room'!$C$16-1)*EXP(-0.5*(($A704-'Control Room'!$A$16-('Control Room'!$B$16-1)/2)/MAX(0.5,'Control Room'!$B$16/4))^2),1)</x:f>
        <x:v>1</x:v>
      </x:c>
      <x:c r="AF704" s="9" t="n">
        <x:f>MOD(AG703*16807,2147483647)</x:f>
        <x:v>820530450</x:v>
      </x:c>
      <x:c r="AG704" s="9" t="n">
        <x:f>MOD(AF704*16807,2147483647)</x:f>
        <x:v>1662775763</x:v>
      </x:c>
      <x:c r="AH704" s="17" t="n">
        <x:f>IF('Control Room'!$B$5="Normal",'Control Room'!$B$7+'Control Room'!$D$7*SQRT(-2*LN(MAX(0.000000000001,AF704/2147483647)))*COS(2*PI()*AG704/2147483647),'Control Room'!$B$8+('Control Room'!$D$8-'Control Room'!$B$8)*AF704/2147483647)</x:f>
        <x:v>1018.9798739425819</x:v>
      </x:c>
      <x:c r="AI704" s="17" t="n">
        <x:f>IF('Control Room'!$B$5="Normal",'Control Room'!$B$7,('Control Room'!$B$8+'Control Room'!$D$8)/2)+'Control Room'!$B$9*(AI703-IF('Control Room'!$B$5="Normal",'Control Room'!$B$7,('Control Room'!$B$8+'Control Room'!$D$8)/2))+SQRT(1-'Control Room'!$B$9^2)*(AH704-IF('Control Room'!$B$5="Normal",'Control Room'!$B$7,('Control Room'!$B$8+'Control Room'!$D$8)/2))</x:f>
        <x:v>780.4910408560974</x:v>
      </x:c>
      <x:c r="AJ704" s="17" t="n">
        <x:f>IF(AND($A704&gt;='Control Room'!$A$13,$A704&lt;'Control Room'!$A$13+'Control Room'!$B$13,'Process'!BQ2=1),1+('Control Room'!$C$13-1)*EXP(-0.5*(($A704-'Control Room'!$A$13-('Control Room'!$B$13-1)/2)/MAX(0.5,'Control Room'!$B$13/4))^2),1)*IF(AND($A704&gt;='Control Room'!$A$14,$A704&lt;'Control Room'!$A$14+'Control Room'!$B$14,'Process'!BQ3=1),1+('Control Room'!$C$14-1)*EXP(-0.5*(($A704-'Control Room'!$A$14-('Control Room'!$B$14-1)/2)/MAX(0.5,'Control Room'!$B$14/4))^2),1)*IF(AND($A704&gt;='Control Room'!$A$15,$A704&lt;'Control Room'!$A$15+'Control Room'!$B$15,'Process'!BQ4=1),1+('Control Room'!$C$15-1)*EXP(-0.5*(($A704-'Control Room'!$A$15-('Control Room'!$B$15-1)/2)/MAX(0.5,'Control Room'!$B$15/4))^2),1)*IF(AND($A704&gt;='Control Room'!$A$16,$A704&lt;'Control Room'!$A$16+'Control Room'!$B$16,'Process'!BQ5=1),1+('Control Room'!$C$16-1)*EXP(-0.5*(($A704-'Control Room'!$A$16-('Control Room'!$B$16-1)/2)/MAX(0.5,'Control Room'!$B$16/4))^2),1)</x:f>
        <x:v>1</x:v>
      </x:c>
      <x:c r="AK704" s="9" t="n">
        <x:f>MOD(AL703*16807,2147483647)</x:f>
        <x:v>2063483735</x:v>
      </x:c>
      <x:c r="AL704" s="9" t="n">
        <x:f>MOD(AK704*16807,2147483647)</x:f>
        <x:v>1257718742</x:v>
      </x:c>
      <x:c r="AM704" s="17" t="n">
        <x:f>IF('Control Room'!$B$5="Normal",'Control Room'!$B$7+'Control Room'!$D$7*SQRT(-2*LN(MAX(0.000000000001,AK704/2147483647)))*COS(2*PI()*AL704/2147483647),'Control Room'!$B$8+('Control Room'!$D$8-'Control Room'!$B$8)*AK704/2147483647)</x:f>
        <x:v>978.1709493190247</x:v>
      </x:c>
      <x:c r="AN704" s="17" t="n">
        <x:f>IF('Control Room'!$B$5="Normal",'Control Room'!$B$7,('Control Room'!$B$8+'Control Room'!$D$8)/2)+'Control Room'!$B$9*(AN703-IF('Control Room'!$B$5="Normal",'Control Room'!$B$7,('Control Room'!$B$8+'Control Room'!$D$8)/2))+SQRT(1-'Control Room'!$B$9^2)*(AM704-IF('Control Room'!$B$5="Normal",'Control Room'!$B$7,('Control Room'!$B$8+'Control Room'!$D$8)/2))</x:f>
        <x:v>964.2980439610064</x:v>
      </x:c>
      <x:c r="AO704" s="17" t="n">
        <x:f>IF(AND($A704&gt;='Control Room'!$A$13,$A704&lt;'Control Room'!$A$13+'Control Room'!$B$13,'Process'!BR2=1),1+('Control Room'!$C$13-1)*EXP(-0.5*(($A704-'Control Room'!$A$13-('Control Room'!$B$13-1)/2)/MAX(0.5,'Control Room'!$B$13/4))^2),1)*IF(AND($A704&gt;='Control Room'!$A$14,$A704&lt;'Control Room'!$A$14+'Control Room'!$B$14,'Process'!BR3=1),1+('Control Room'!$C$14-1)*EXP(-0.5*(($A704-'Control Room'!$A$14-('Control Room'!$B$14-1)/2)/MAX(0.5,'Control Room'!$B$14/4))^2),1)*IF(AND($A704&gt;='Control Room'!$A$15,$A704&lt;'Control Room'!$A$15+'Control Room'!$B$15,'Process'!BR4=1),1+('Control Room'!$C$15-1)*EXP(-0.5*(($A704-'Control Room'!$A$15-('Control Room'!$B$15-1)/2)/MAX(0.5,'Control Room'!$B$15/4))^2),1)*IF(AND($A704&gt;='Control Room'!$A$16,$A704&lt;'Control Room'!$A$16+'Control Room'!$B$16,'Process'!BR5=1),1+('Control Room'!$C$16-1)*EXP(-0.5*(($A704-'Control Room'!$A$16-('Control Room'!$B$16-1)/2)/MAX(0.5,'Control Room'!$B$16/4))^2),1)</x:f>
        <x:v>1</x:v>
      </x:c>
      <x:c r="AP704" s="9" t="n">
        <x:f>MOD(AQ703*16807,2147483647)</x:f>
        <x:v>1158953373</x:v>
      </x:c>
      <x:c r="AQ704" s="9" t="n">
        <x:f>MOD(AP704*16807,2147483647)</x:f>
        <x:v>852661721</x:v>
      </x:c>
      <x:c r="AR704" s="17" t="n">
        <x:f>IF('Control Room'!$B$5="Normal",'Control Room'!$B$7+'Control Room'!$D$7*SQRT(-2*LN(MAX(0.000000000001,AP704/2147483647)))*COS(2*PI()*AQ704/2147483647),'Control Room'!$B$8+('Control Room'!$D$8-'Control Room'!$B$8)*AP704/2147483647)</x:f>
        <x:v>920.2336472831539</x:v>
      </x:c>
      <x:c r="AS704" s="17" t="n">
        <x:f>IF('Control Room'!$B$5="Normal",'Control Room'!$B$7,('Control Room'!$B$8+'Control Room'!$D$8)/2)+'Control Room'!$B$9*(AS703-IF('Control Room'!$B$5="Normal",'Control Room'!$B$7,('Control Room'!$B$8+'Control Room'!$D$8)/2))+SQRT(1-'Control Room'!$B$9^2)*(AR704-IF('Control Room'!$B$5="Normal",'Control Room'!$B$7,('Control Room'!$B$8+'Control Room'!$D$8)/2))</x:f>
        <x:v>984.3544198282032</x:v>
      </x:c>
      <x:c r="AT704" s="17" t="n">
        <x:f>IF(AND($A704&gt;='Control Room'!$A$13,$A704&lt;'Control Room'!$A$13+'Control Room'!$B$13,'Process'!BS2=1),1+('Control Room'!$C$13-1)*EXP(-0.5*(($A704-'Control Room'!$A$13-('Control Room'!$B$13-1)/2)/MAX(0.5,'Control Room'!$B$13/4))^2),1)*IF(AND($A704&gt;='Control Room'!$A$14,$A704&lt;'Control Room'!$A$14+'Control Room'!$B$14,'Process'!BS3=1),1+('Control Room'!$C$14-1)*EXP(-0.5*(($A704-'Control Room'!$A$14-('Control Room'!$B$14-1)/2)/MAX(0.5,'Control Room'!$B$14/4))^2),1)*IF(AND($A704&gt;='Control Room'!$A$15,$A704&lt;'Control Room'!$A$15+'Control Room'!$B$15,'Process'!BS4=1),1+('Control Room'!$C$15-1)*EXP(-0.5*(($A704-'Control Room'!$A$15-('Control Room'!$B$15-1)/2)/MAX(0.5,'Control Room'!$B$15/4))^2),1)*IF(AND($A704&gt;='Control Room'!$A$16,$A704&lt;'Control Room'!$A$16+'Control Room'!$B$16,'Process'!BS5=1),1+('Control Room'!$C$16-1)*EXP(-0.5*(($A704-'Control Room'!$A$16-('Control Room'!$B$16-1)/2)/MAX(0.5,'Control Room'!$B$16/4))^2),1)</x:f>
        <x:v>1</x:v>
      </x:c>
      <x:c r="AU704" s="9" t="n">
        <x:f>MOD(AV703*16807,2147483647)</x:f>
        <x:v>254423011</x:v>
      </x:c>
      <x:c r="AV704" s="9" t="n">
        <x:f>MOD(AU704*16807,2147483647)</x:f>
        <x:v>447604700</x:v>
      </x:c>
      <x:c r="AW704" s="17" t="n">
        <x:f>IF('Control Room'!$B$5="Normal",'Control Room'!$B$7+'Control Room'!$D$7*SQRT(-2*LN(MAX(0.000000000001,AU704/2147483647)))*COS(2*PI()*AV704/2147483647),'Control Room'!$B$8+('Control Room'!$D$8-'Control Room'!$B$8)*AU704/2147483647)</x:f>
        <x:v>1048.0006079385412</x:v>
      </x:c>
      <x:c r="AX704" s="17" t="n">
        <x:f>IF('Control Room'!$B$5="Normal",'Control Room'!$B$7,('Control Room'!$B$8+'Control Room'!$D$8)/2)+'Control Room'!$B$9*(AX703-IF('Control Room'!$B$5="Normal",'Control Room'!$B$7,('Control Room'!$B$8+'Control Room'!$D$8)/2))+SQRT(1-'Control Room'!$B$9^2)*(AW704-IF('Control Room'!$B$5="Normal",'Control Room'!$B$7,('Control Room'!$B$8+'Control Room'!$D$8)/2))</x:f>
        <x:v>1034.2219482051064</x:v>
      </x:c>
      <x:c r="AY704" s="17" t="n">
        <x:f>IF(AND($A704&gt;='Control Room'!$A$13,$A704&lt;'Control Room'!$A$13+'Control Room'!$B$13,'Process'!BT2=1),1+('Control Room'!$C$13-1)*EXP(-0.5*(($A704-'Control Room'!$A$13-('Control Room'!$B$13-1)/2)/MAX(0.5,'Control Room'!$B$13/4))^2),1)*IF(AND($A704&gt;='Control Room'!$A$14,$A704&lt;'Control Room'!$A$14+'Control Room'!$B$14,'Process'!BT3=1),1+('Control Room'!$C$14-1)*EXP(-0.5*(($A704-'Control Room'!$A$14-('Control Room'!$B$14-1)/2)/MAX(0.5,'Control Room'!$B$14/4))^2),1)*IF(AND($A704&gt;='Control Room'!$A$15,$A704&lt;'Control Room'!$A$15+'Control Room'!$B$15,'Process'!BT4=1),1+('Control Room'!$C$15-1)*EXP(-0.5*(($A704-'Control Room'!$A$15-('Control Room'!$B$15-1)/2)/MAX(0.5,'Control Room'!$B$15/4))^2),1)*IF(AND($A704&gt;='Control Room'!$A$16,$A704&lt;'Control Room'!$A$16+'Control Room'!$B$16,'Process'!BT5=1),1+('Control Room'!$C$16-1)*EXP(-0.5*(($A704-'Control Room'!$A$16-('Control Room'!$B$16-1)/2)/MAX(0.5,'Control Room'!$B$16/4))^2),1)</x:f>
        <x:v>1</x:v>
      </x:c>
      <x:c r="AZ704" s="9" t="n">
        <x:f>MOD(BA703*16807,2147483647)</x:f>
        <x:v>1497376296</x:v>
      </x:c>
      <x:c r="BA704" s="9" t="n">
        <x:f>MOD(AZ704*16807,2147483647)</x:f>
        <x:v>42547679</x:v>
      </x:c>
      <x:c r="BB704" s="17" t="n">
        <x:f>IF('Control Room'!$B$5="Normal",'Control Room'!$B$7+'Control Room'!$D$7*SQRT(-2*LN(MAX(0.000000000001,AZ704/2147483647)))*COS(2*PI()*BA704/2147483647),'Control Room'!$B$8+('Control Room'!$D$8-'Control Room'!$B$8)*AZ704/2147483647)</x:f>
        <x:v>1075.8378182879803</x:v>
      </x:c>
      <x:c r="BC704" s="17" t="n">
        <x:f>IF('Control Room'!$B$5="Normal",'Control Room'!$B$7,('Control Room'!$B$8+'Control Room'!$D$8)/2)+'Control Room'!$B$9*(BC703-IF('Control Room'!$B$5="Normal",'Control Room'!$B$7,('Control Room'!$B$8+'Control Room'!$D$8)/2))+SQRT(1-'Control Room'!$B$9^2)*(BB704-IF('Control Room'!$B$5="Normal",'Control Room'!$B$7,('Control Room'!$B$8+'Control Room'!$D$8)/2))</x:f>
        <x:v>1064.3510756527423</x:v>
      </x:c>
      <x:c r="BD704" s="17" t="n">
        <x:f>IF(AND($A704&gt;='Control Room'!$A$13,$A704&lt;'Control Room'!$A$13+'Control Room'!$B$13,'Process'!BU2=1),1+('Control Room'!$C$13-1)*EXP(-0.5*(($A704-'Control Room'!$A$13-('Control Room'!$B$13-1)/2)/MAX(0.5,'Control Room'!$B$13/4))^2),1)*IF(AND($A704&gt;='Control Room'!$A$14,$A704&lt;'Control Room'!$A$14+'Control Room'!$B$14,'Process'!BU3=1),1+('Control Room'!$C$14-1)*EXP(-0.5*(($A704-'Control Room'!$A$14-('Control Room'!$B$14-1)/2)/MAX(0.5,'Control Room'!$B$14/4))^2),1)*IF(AND($A704&gt;='Control Room'!$A$15,$A704&lt;'Control Room'!$A$15+'Control Room'!$B$15,'Process'!BU4=1),1+('Control Room'!$C$15-1)*EXP(-0.5*(($A704-'Control Room'!$A$15-('Control Room'!$B$15-1)/2)/MAX(0.5,'Control Room'!$B$15/4))^2),1)*IF(AND($A704&gt;='Control Room'!$A$16,$A704&lt;'Control Room'!$A$16+'Control Room'!$B$16,'Process'!BU5=1),1+('Control Room'!$C$16-1)*EXP(-0.5*(($A704-'Control Room'!$A$16-('Control Room'!$B$16-1)/2)/MAX(0.5,'Control Room'!$B$16/4))^2),1)</x:f>
        <x:v>1</x:v>
      </x:c>
      <x:c r="BE704" s="9" t="n">
        <x:f>MOD(BF703*16807,2147483647)</x:f>
        <x:v>592845934</x:v>
      </x:c>
      <x:c r="BF704" s="9" t="n">
        <x:f>MOD(BE704*16807,2147483647)</x:f>
        <x:v>1784974305</x:v>
      </x:c>
      <x:c r="BG704" s="17" t="n">
        <x:f>IF('Control Room'!$B$5="Normal",'Control Room'!$B$7+'Control Room'!$D$7*SQRT(-2*LN(MAX(0.000000000001,BE704/2147483647)))*COS(2*PI()*BF704/2147483647),'Control Room'!$B$8+('Control Room'!$D$8-'Control Room'!$B$8)*BE704/2147483647)</x:f>
        <x:v>1070.5120279033067</x:v>
      </x:c>
      <x:c r="BH704" s="17" t="n">
        <x:f>IF('Control Room'!$B$5="Normal",'Control Room'!$B$7,('Control Room'!$B$8+'Control Room'!$D$8)/2)+'Control Room'!$B$9*(BH703-IF('Control Room'!$B$5="Normal",'Control Room'!$B$7,('Control Room'!$B$8+'Control Room'!$D$8)/2))+SQRT(1-'Control Room'!$B$9^2)*(BG704-IF('Control Room'!$B$5="Normal",'Control Room'!$B$7,('Control Room'!$B$8+'Control Room'!$D$8)/2))</x:f>
        <x:v>1065.1850452558515</x:v>
      </x:c>
      <x:c r="BI704" s="17" t="n">
        <x:f>IF(AND($A704&gt;='Control Room'!$A$13,$A704&lt;'Control Room'!$A$13+'Control Room'!$B$13,'Process'!BV2=1),1+('Control Room'!$C$13-1)*EXP(-0.5*(($A704-'Control Room'!$A$13-('Control Room'!$B$13-1)/2)/MAX(0.5,'Control Room'!$B$13/4))^2),1)*IF(AND($A704&gt;='Control Room'!$A$14,$A704&lt;'Control Room'!$A$14+'Control Room'!$B$14,'Process'!BV3=1),1+('Control Room'!$C$14-1)*EXP(-0.5*(($A704-'Control Room'!$A$14-('Control Room'!$B$14-1)/2)/MAX(0.5,'Control Room'!$B$14/4))^2),1)*IF(AND($A704&gt;='Control Room'!$A$15,$A704&lt;'Control Room'!$A$15+'Control Room'!$B$15,'Process'!BV4=1),1+('Control Room'!$C$15-1)*EXP(-0.5*(($A704-'Control Room'!$A$15-('Control Room'!$B$15-1)/2)/MAX(0.5,'Control Room'!$B$15/4))^2),1)*IF(AND($A704&gt;='Control Room'!$A$16,$A704&lt;'Control Room'!$A$16+'Control Room'!$B$16,'Process'!BV5=1),1+('Control Room'!$C$16-1)*EXP(-0.5*(($A704-'Control Room'!$A$16-('Control Room'!$B$16-1)/2)/MAX(0.5,'Control Room'!$B$16/4))^2),1)</x:f>
        <x:v>1</x:v>
      </x:c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Z704" t="str">
        <x:f>IF('Data'!A704="","",TEXT('Data'!A704,"mm-dd"))</x:f>
      </x:c>
    </x:row>
    <x:row r="705" ht="21" customHeight="1">
      <x:c r="A705" s="15" t="n">
        <x:f>'Control Room'!$B$1+703</x:f>
        <x:v>73694</x:v>
      </x:c>
      <x:c r="B705" s="9" t="n">
        <x:f>MOD(C704*16807,2147483647)</x:f>
        <x:v>541212425</x:v>
      </x:c>
      <x:c r="C705" s="9" t="n">
        <x:f>MOD(B705*16807,2147483647)</x:f>
        <x:v>1563981930</x:v>
      </x:c>
      <x:c r="D705" s="17" t="n">
        <x:f>IF('Control Room'!$B$5="Normal",'Control Room'!$B$7+'Control Room'!$D$7*SQRT(-2*LN(MAX(0.000000000001,B705/2147483647)))*COS(2*PI()*C705/2147483647),'Control Room'!$B$8+('Control Room'!$D$8-'Control Room'!$B$8)*B705/2147483647)</x:f>
        <x:v>979.6766780367366</x:v>
      </x:c>
      <x:c r="E705" s="17" t="n">
        <x:f>IF('Control Room'!$B$5="Normal",'Control Room'!$B$7,('Control Room'!$B$8+'Control Room'!$D$8)/2)+'Control Room'!$B$9*(E704-IF('Control Room'!$B$5="Normal",'Control Room'!$B$7,('Control Room'!$B$8+'Control Room'!$D$8)/2))+SQRT(1-'Control Room'!$B$9^2)*(D705-IF('Control Room'!$B$5="Normal",'Control Room'!$B$7,('Control Room'!$B$8+'Control Room'!$D$8)/2))</x:f>
        <x:v>976.0496184093693</x:v>
      </x:c>
      <x:c r="F705" s="17" t="n">
        <x:f>IF(AND($A705&gt;='Control Room'!$A$13,$A705&lt;'Control Room'!$A$13+'Control Room'!$B$13,'Process'!BK2=1),1+('Control Room'!$C$13-1)*EXP(-0.5*(($A705-'Control Room'!$A$13-('Control Room'!$B$13-1)/2)/MAX(0.5,'Control Room'!$B$13/4))^2),1)*IF(AND($A705&gt;='Control Room'!$A$14,$A705&lt;'Control Room'!$A$14+'Control Room'!$B$14,'Process'!BK3=1),1+('Control Room'!$C$14-1)*EXP(-0.5*(($A705-'Control Room'!$A$14-('Control Room'!$B$14-1)/2)/MAX(0.5,'Control Room'!$B$14/4))^2),1)*IF(AND($A705&gt;='Control Room'!$A$15,$A705&lt;'Control Room'!$A$15+'Control Room'!$B$15,'Process'!BK4=1),1+('Control Room'!$C$15-1)*EXP(-0.5*(($A705-'Control Room'!$A$15-('Control Room'!$B$15-1)/2)/MAX(0.5,'Control Room'!$B$15/4))^2),1)*IF(AND($A705&gt;='Control Room'!$A$16,$A705&lt;'Control Room'!$A$16+'Control Room'!$B$16,'Process'!BK5=1),1+('Control Room'!$C$16-1)*EXP(-0.5*(($A705-'Control Room'!$A$16-('Control Room'!$B$16-1)/2)/MAX(0.5,'Control Room'!$B$16/4))^2),1)</x:f>
        <x:v>1</x:v>
      </x:c>
      <x:c r="G705" s="9" t="n">
        <x:f>MOD(H704*16807,2147483647)</x:f>
        <x:v>271021468</x:v>
      </x:c>
      <x:c r="H705" s="9" t="n">
        <x:f>MOD(G705*16807,2147483647)</x:f>
        <x:v>244997389</x:v>
      </x:c>
      <x:c r="I705" s="17" t="n">
        <x:f>IF('Control Room'!$B$5="Normal",'Control Room'!$B$7+'Control Room'!$D$7*SQRT(-2*LN(MAX(0.000000000001,G705/2147483647)))*COS(2*PI()*H705/2147483647),'Control Room'!$B$8+('Control Room'!$D$8-'Control Room'!$B$8)*G705/2147483647)</x:f>
        <x:v>1138.0510001489774</x:v>
      </x:c>
      <x:c r="J705" s="17" t="n">
        <x:f>IF('Control Room'!$B$5="Normal",'Control Room'!$B$7,('Control Room'!$B$8+'Control Room'!$D$8)/2)+'Control Room'!$B$9*(J704-IF('Control Room'!$B$5="Normal",'Control Room'!$B$7,('Control Room'!$B$8+'Control Room'!$D$8)/2))+SQRT(1-'Control Room'!$B$9^2)*(I705-IF('Control Room'!$B$5="Normal",'Control Room'!$B$7,('Control Room'!$B$8+'Control Room'!$D$8)/2))</x:f>
        <x:v>1128.7939308335579</x:v>
      </x:c>
      <x:c r="K705" s="17" t="n">
        <x:f>IF(AND($A705&gt;='Control Room'!$A$13,$A705&lt;'Control Room'!$A$13+'Control Room'!$B$13,'Process'!BL2=1),1+('Control Room'!$C$13-1)*EXP(-0.5*(($A705-'Control Room'!$A$13-('Control Room'!$B$13-1)/2)/MAX(0.5,'Control Room'!$B$13/4))^2),1)*IF(AND($A705&gt;='Control Room'!$A$14,$A705&lt;'Control Room'!$A$14+'Control Room'!$B$14,'Process'!BL3=1),1+('Control Room'!$C$14-1)*EXP(-0.5*(($A705-'Control Room'!$A$14-('Control Room'!$B$14-1)/2)/MAX(0.5,'Control Room'!$B$14/4))^2),1)*IF(AND($A705&gt;='Control Room'!$A$15,$A705&lt;'Control Room'!$A$15+'Control Room'!$B$15,'Process'!BL4=1),1+('Control Room'!$C$15-1)*EXP(-0.5*(($A705-'Control Room'!$A$15-('Control Room'!$B$15-1)/2)/MAX(0.5,'Control Room'!$B$15/4))^2),1)*IF(AND($A705&gt;='Control Room'!$A$16,$A705&lt;'Control Room'!$A$16+'Control Room'!$B$16,'Process'!BL5=1),1+('Control Room'!$C$16-1)*EXP(-0.5*(($A705-'Control Room'!$A$16-('Control Room'!$B$16-1)/2)/MAX(0.5,'Control Room'!$B$16/4))^2),1)</x:f>
        <x:v>1</x:v>
      </x:c>
      <x:c r="L705" s="9" t="n">
        <x:f>MOD(M704*16807,2147483647)</x:f>
        <x:v>830511</x:v>
      </x:c>
      <x:c r="M705" s="9" t="n">
        <x:f>MOD(L705*16807,2147483647)</x:f>
        <x:v>1073496495</x:v>
      </x:c>
      <x:c r="N705" s="17" t="n">
        <x:f>IF('Control Room'!$B$5="Normal",'Control Room'!$B$7+'Control Room'!$D$7*SQRT(-2*LN(MAX(0.000000000001,L705/2147483647)))*COS(2*PI()*M705/2147483647),'Control Room'!$B$8+('Control Room'!$D$8-'Control Room'!$B$8)*L705/2147483647)</x:f>
        <x:v>643.2147060968804</x:v>
      </x:c>
      <x:c r="O705" s="17" t="n">
        <x:f>IF('Control Room'!$B$5="Normal",'Control Room'!$B$7,('Control Room'!$B$8+'Control Room'!$D$8)/2)+'Control Room'!$B$9*(O704-IF('Control Room'!$B$5="Normal",'Control Room'!$B$7,('Control Room'!$B$8+'Control Room'!$D$8)/2))+SQRT(1-'Control Room'!$B$9^2)*(N705-IF('Control Room'!$B$5="Normal",'Control Room'!$B$7,('Control Room'!$B$8+'Control Room'!$D$8)/2))</x:f>
        <x:v>669.670910934122</x:v>
      </x:c>
      <x:c r="P705" s="17" t="n">
        <x:f>IF(AND($A705&gt;='Control Room'!$A$13,$A705&lt;'Control Room'!$A$13+'Control Room'!$B$13,'Process'!BM2=1),1+('Control Room'!$C$13-1)*EXP(-0.5*(($A705-'Control Room'!$A$13-('Control Room'!$B$13-1)/2)/MAX(0.5,'Control Room'!$B$13/4))^2),1)*IF(AND($A705&gt;='Control Room'!$A$14,$A705&lt;'Control Room'!$A$14+'Control Room'!$B$14,'Process'!BM3=1),1+('Control Room'!$C$14-1)*EXP(-0.5*(($A705-'Control Room'!$A$14-('Control Room'!$B$14-1)/2)/MAX(0.5,'Control Room'!$B$14/4))^2),1)*IF(AND($A705&gt;='Control Room'!$A$15,$A705&lt;'Control Room'!$A$15+'Control Room'!$B$15,'Process'!BM4=1),1+('Control Room'!$C$15-1)*EXP(-0.5*(($A705-'Control Room'!$A$15-('Control Room'!$B$15-1)/2)/MAX(0.5,'Control Room'!$B$15/4))^2),1)*IF(AND($A705&gt;='Control Room'!$A$16,$A705&lt;'Control Room'!$A$16+'Control Room'!$B$16,'Process'!BM5=1),1+('Control Room'!$C$16-1)*EXP(-0.5*(($A705-'Control Room'!$A$16-('Control Room'!$B$16-1)/2)/MAX(0.5,'Control Room'!$B$16/4))^2),1)</x:f>
        <x:v>1</x:v>
      </x:c>
      <x:c r="Q705" s="9" t="n">
        <x:f>MOD(R704*16807,2147483647)</x:f>
        <x:v>1878123201</x:v>
      </x:c>
      <x:c r="R705" s="9" t="n">
        <x:f>MOD(Q705*16807,2147483647)</x:f>
        <x:v>1901995601</x:v>
      </x:c>
      <x:c r="S705" s="17" t="n">
        <x:f>IF('Control Room'!$B$5="Normal",'Control Room'!$B$7+'Control Room'!$D$7*SQRT(-2*LN(MAX(0.000000000001,Q705/2147483647)))*COS(2*PI()*R705/2147483647),'Control Room'!$B$8+('Control Room'!$D$8-'Control Room'!$B$8)*Q705/2147483647)</x:f>
        <x:v>1035.084598941315</x:v>
      </x:c>
      <x:c r="T705" s="17" t="n">
        <x:f>IF('Control Room'!$B$5="Normal",'Control Room'!$B$7,('Control Room'!$B$8+'Control Room'!$D$8)/2)+'Control Room'!$B$9*(T704-IF('Control Room'!$B$5="Normal",'Control Room'!$B$7,('Control Room'!$B$8+'Control Room'!$D$8)/2))+SQRT(1-'Control Room'!$B$9^2)*(S705-IF('Control Room'!$B$5="Normal",'Control Room'!$B$7,('Control Room'!$B$8+'Control Room'!$D$8)/2))</x:f>
        <x:v>1024.2030091215256</x:v>
      </x:c>
      <x:c r="U705" s="17" t="n">
        <x:f>IF(AND($A705&gt;='Control Room'!$A$13,$A705&lt;'Control Room'!$A$13+'Control Room'!$B$13,'Process'!BN2=1),1+('Control Room'!$C$13-1)*EXP(-0.5*(($A705-'Control Room'!$A$13-('Control Room'!$B$13-1)/2)/MAX(0.5,'Control Room'!$B$13/4))^2),1)*IF(AND($A705&gt;='Control Room'!$A$14,$A705&lt;'Control Room'!$A$14+'Control Room'!$B$14,'Process'!BN3=1),1+('Control Room'!$C$14-1)*EXP(-0.5*(($A705-'Control Room'!$A$14-('Control Room'!$B$14-1)/2)/MAX(0.5,'Control Room'!$B$14/4))^2),1)*IF(AND($A705&gt;='Control Room'!$A$15,$A705&lt;'Control Room'!$A$15+'Control Room'!$B$15,'Process'!BN4=1),1+('Control Room'!$C$15-1)*EXP(-0.5*(($A705-'Control Room'!$A$15-('Control Room'!$B$15-1)/2)/MAX(0.5,'Control Room'!$B$15/4))^2),1)*IF(AND($A705&gt;='Control Room'!$A$16,$A705&lt;'Control Room'!$A$16+'Control Room'!$B$16,'Process'!BN5=1),1+('Control Room'!$C$16-1)*EXP(-0.5*(($A705-'Control Room'!$A$16-('Control Room'!$B$16-1)/2)/MAX(0.5,'Control Room'!$B$16/4))^2),1)</x:f>
        <x:v>1</x:v>
      </x:c>
      <x:c r="V705" s="9" t="n">
        <x:f>MOD(W704*16807,2147483647)</x:f>
        <x:v>1607932244</x:v>
      </x:c>
      <x:c r="W705" s="9" t="n">
        <x:f>MOD(V705*16807,2147483647)</x:f>
        <x:v>583011060</x:v>
      </x:c>
      <x:c r="X705" s="17" t="n">
        <x:f>IF('Control Room'!$B$5="Normal",'Control Room'!$B$7+'Control Room'!$D$7*SQRT(-2*LN(MAX(0.000000000001,V705/2147483647)))*COS(2*PI()*W705/2147483647),'Control Room'!$B$8+('Control Room'!$D$8-'Control Room'!$B$8)*V705/2147483647)</x:f>
        <x:v>990.785397813739</x:v>
      </x:c>
      <x:c r="Y705" s="17" t="n">
        <x:f>IF('Control Room'!$B$5="Normal",'Control Room'!$B$7,('Control Room'!$B$8+'Control Room'!$D$8)/2)+'Control Room'!$B$9*(Y704-IF('Control Room'!$B$5="Normal",'Control Room'!$B$7,('Control Room'!$B$8+'Control Room'!$D$8)/2))+SQRT(1-'Control Room'!$B$9^2)*(X705-IF('Control Room'!$B$5="Normal",'Control Room'!$B$7,('Control Room'!$B$8+'Control Room'!$D$8)/2))</x:f>
        <x:v>1016.467162751341</x:v>
      </x:c>
      <x:c r="Z705" s="17" t="n">
        <x:f>IF(AND($A705&gt;='Control Room'!$A$13,$A705&lt;'Control Room'!$A$13+'Control Room'!$B$13,'Process'!BO2=1),1+('Control Room'!$C$13-1)*EXP(-0.5*(($A705-'Control Room'!$A$13-('Control Room'!$B$13-1)/2)/MAX(0.5,'Control Room'!$B$13/4))^2),1)*IF(AND($A705&gt;='Control Room'!$A$14,$A705&lt;'Control Room'!$A$14+'Control Room'!$B$14,'Process'!BO3=1),1+('Control Room'!$C$14-1)*EXP(-0.5*(($A705-'Control Room'!$A$14-('Control Room'!$B$14-1)/2)/MAX(0.5,'Control Room'!$B$14/4))^2),1)*IF(AND($A705&gt;='Control Room'!$A$15,$A705&lt;'Control Room'!$A$15+'Control Room'!$B$15,'Process'!BO4=1),1+('Control Room'!$C$15-1)*EXP(-0.5*(($A705-'Control Room'!$A$15-('Control Room'!$B$15-1)/2)/MAX(0.5,'Control Room'!$B$15/4))^2),1)*IF(AND($A705&gt;='Control Room'!$A$16,$A705&lt;'Control Room'!$A$16+'Control Room'!$B$16,'Process'!BO5=1),1+('Control Room'!$C$16-1)*EXP(-0.5*(($A705-'Control Room'!$A$16-('Control Room'!$B$16-1)/2)/MAX(0.5,'Control Room'!$B$16/4))^2),1)</x:f>
        <x:v>1</x:v>
      </x:c>
      <x:c r="AA705" s="9" t="n">
        <x:f>MOD(AB704*16807,2147483647)</x:f>
        <x:v>1337741287</x:v>
      </x:c>
      <x:c r="AB705" s="9" t="n">
        <x:f>MOD(AA705*16807,2147483647)</x:f>
        <x:v>1411510166</x:v>
      </x:c>
      <x:c r="AC705" s="17" t="n">
        <x:f>IF('Control Room'!$B$5="Normal",'Control Room'!$B$7+'Control Room'!$D$7*SQRT(-2*LN(MAX(0.000000000001,AA705/2147483647)))*COS(2*PI()*AB705/2147483647),'Control Room'!$B$8+('Control Room'!$D$8-'Control Room'!$B$8)*AA705/2147483647)</x:f>
        <x:v>951.826097844925</x:v>
      </x:c>
      <x:c r="AD705" s="17" t="n">
        <x:f>IF('Control Room'!$B$5="Normal",'Control Room'!$B$7,('Control Room'!$B$8+'Control Room'!$D$8)/2)+'Control Room'!$B$9*(AD704-IF('Control Room'!$B$5="Normal",'Control Room'!$B$7,('Control Room'!$B$8+'Control Room'!$D$8)/2))+SQRT(1-'Control Room'!$B$9^2)*(AC705-IF('Control Room'!$B$5="Normal",'Control Room'!$B$7,('Control Room'!$B$8+'Control Room'!$D$8)/2))</x:f>
        <x:v>910.3758478926974</x:v>
      </x:c>
      <x:c r="AE705" s="17" t="n">
        <x:f>IF(AND($A705&gt;='Control Room'!$A$13,$A705&lt;'Control Room'!$A$13+'Control Room'!$B$13,'Process'!BP2=1),1+('Control Room'!$C$13-1)*EXP(-0.5*(($A705-'Control Room'!$A$13-('Control Room'!$B$13-1)/2)/MAX(0.5,'Control Room'!$B$13/4))^2),1)*IF(AND($A705&gt;='Control Room'!$A$14,$A705&lt;'Control Room'!$A$14+'Control Room'!$B$14,'Process'!BP3=1),1+('Control Room'!$C$14-1)*EXP(-0.5*(($A705-'Control Room'!$A$14-('Control Room'!$B$14-1)/2)/MAX(0.5,'Control Room'!$B$14/4))^2),1)*IF(AND($A705&gt;='Control Room'!$A$15,$A705&lt;'Control Room'!$A$15+'Control Room'!$B$15,'Process'!BP4=1),1+('Control Room'!$C$15-1)*EXP(-0.5*(($A705-'Control Room'!$A$15-('Control Room'!$B$15-1)/2)/MAX(0.5,'Control Room'!$B$15/4))^2),1)*IF(AND($A705&gt;='Control Room'!$A$16,$A705&lt;'Control Room'!$A$16+'Control Room'!$B$16,'Process'!BP5=1),1+('Control Room'!$C$16-1)*EXP(-0.5*(($A705-'Control Room'!$A$16-('Control Room'!$B$16-1)/2)/MAX(0.5,'Control Room'!$B$16/4))^2),1)</x:f>
        <x:v>1</x:v>
      </x:c>
      <x:c r="AF705" s="9" t="n">
        <x:f>MOD(AG704*16807,2147483647)</x:f>
        <x:v>1067550330</x:v>
      </x:c>
      <x:c r="AG705" s="9" t="n">
        <x:f>MOD(AF705*16807,2147483647)</x:f>
        <x:v>92525625</x:v>
      </x:c>
      <x:c r="AH705" s="17" t="n">
        <x:f>IF('Control Room'!$B$5="Normal",'Control Room'!$B$7+'Control Room'!$D$7*SQRT(-2*LN(MAX(0.000000000001,AF705/2147483647)))*COS(2*PI()*AG705/2147483647),'Control Room'!$B$8+('Control Room'!$D$8-'Control Room'!$B$8)*AF705/2147483647)</x:f>
        <x:v>1102.5326459042985</x:v>
      </x:c>
      <x:c r="AI705" s="17" t="n">
        <x:f>IF('Control Room'!$B$5="Normal",'Control Room'!$B$7,('Control Room'!$B$8+'Control Room'!$D$8)/2)+'Control Room'!$B$9*(AI704-IF('Control Room'!$B$5="Normal",'Control Room'!$B$7,('Control Room'!$B$8+'Control Room'!$D$8)/2))+SQRT(1-'Control Room'!$B$9^2)*(AH705-IF('Control Room'!$B$5="Normal",'Control Room'!$B$7,('Control Room'!$B$8+'Control Room'!$D$8)/2))</x:f>
        <x:v>892.9458411792425</x:v>
      </x:c>
      <x:c r="AJ705" s="17" t="n">
        <x:f>IF(AND($A705&gt;='Control Room'!$A$13,$A705&lt;'Control Room'!$A$13+'Control Room'!$B$13,'Process'!BQ2=1),1+('Control Room'!$C$13-1)*EXP(-0.5*(($A705-'Control Room'!$A$13-('Control Room'!$B$13-1)/2)/MAX(0.5,'Control Room'!$B$13/4))^2),1)*IF(AND($A705&gt;='Control Room'!$A$14,$A705&lt;'Control Room'!$A$14+'Control Room'!$B$14,'Process'!BQ3=1),1+('Control Room'!$C$14-1)*EXP(-0.5*(($A705-'Control Room'!$A$14-('Control Room'!$B$14-1)/2)/MAX(0.5,'Control Room'!$B$14/4))^2),1)*IF(AND($A705&gt;='Control Room'!$A$15,$A705&lt;'Control Room'!$A$15+'Control Room'!$B$15,'Process'!BQ4=1),1+('Control Room'!$C$15-1)*EXP(-0.5*(($A705-'Control Room'!$A$15-('Control Room'!$B$15-1)/2)/MAX(0.5,'Control Room'!$B$15/4))^2),1)*IF(AND($A705&gt;='Control Room'!$A$16,$A705&lt;'Control Room'!$A$16+'Control Room'!$B$16,'Process'!BQ5=1),1+('Control Room'!$C$16-1)*EXP(-0.5*(($A705-'Control Room'!$A$16-('Control Room'!$B$16-1)/2)/MAX(0.5,'Control Room'!$B$16/4))^2),1)</x:f>
        <x:v>1</x:v>
      </x:c>
      <x:c r="AK705" s="9" t="n">
        <x:f>MOD(AL704*16807,2147483647)</x:f>
        <x:v>797359373</x:v>
      </x:c>
      <x:c r="AL705" s="9" t="n">
        <x:f>MOD(AK705*16807,2147483647)</x:f>
        <x:v>921024731</x:v>
      </x:c>
      <x:c r="AM705" s="17" t="n">
        <x:f>IF('Control Room'!$B$5="Normal",'Control Room'!$B$7+'Control Room'!$D$7*SQRT(-2*LN(MAX(0.000000000001,AK705/2147483647)))*COS(2*PI()*AL705/2147483647),'Control Room'!$B$8+('Control Room'!$D$8-'Control Room'!$B$8)*AK705/2147483647)</x:f>
        <x:v>885.7489137081873</x:v>
      </x:c>
      <x:c r="AN705" s="17" t="n">
        <x:f>IF('Control Room'!$B$5="Normal",'Control Room'!$B$7,('Control Room'!$B$8+'Control Room'!$D$8)/2)+'Control Room'!$B$9*(AN704-IF('Control Room'!$B$5="Normal",'Control Room'!$B$7,('Control Room'!$B$8+'Control Room'!$D$8)/2))+SQRT(1-'Control Room'!$B$9^2)*(AM705-IF('Control Room'!$B$5="Normal",'Control Room'!$B$7,('Control Room'!$B$8+'Control Room'!$D$8)/2))</x:f>
        <x:v>900.6564850488921</x:v>
      </x:c>
      <x:c r="AO705" s="17" t="n">
        <x:f>IF(AND($A705&gt;='Control Room'!$A$13,$A705&lt;'Control Room'!$A$13+'Control Room'!$B$13,'Process'!BR2=1),1+('Control Room'!$C$13-1)*EXP(-0.5*(($A705-'Control Room'!$A$13-('Control Room'!$B$13-1)/2)/MAX(0.5,'Control Room'!$B$13/4))^2),1)*IF(AND($A705&gt;='Control Room'!$A$14,$A705&lt;'Control Room'!$A$14+'Control Room'!$B$14,'Process'!BR3=1),1+('Control Room'!$C$14-1)*EXP(-0.5*(($A705-'Control Room'!$A$14-('Control Room'!$B$14-1)/2)/MAX(0.5,'Control Room'!$B$14/4))^2),1)*IF(AND($A705&gt;='Control Room'!$A$15,$A705&lt;'Control Room'!$A$15+'Control Room'!$B$15,'Process'!BR4=1),1+('Control Room'!$C$15-1)*EXP(-0.5*(($A705-'Control Room'!$A$15-('Control Room'!$B$15-1)/2)/MAX(0.5,'Control Room'!$B$15/4))^2),1)*IF(AND($A705&gt;='Control Room'!$A$16,$A705&lt;'Control Room'!$A$16+'Control Room'!$B$16,'Process'!BR5=1),1+('Control Room'!$C$16-1)*EXP(-0.5*(($A705-'Control Room'!$A$16-('Control Room'!$B$16-1)/2)/MAX(0.5,'Control Room'!$B$16/4))^2),1)</x:f>
        <x:v>1</x:v>
      </x:c>
      <x:c r="AP705" s="9" t="n">
        <x:f>MOD(AQ704*16807,2147483647)</x:f>
        <x:v>527168416</x:v>
      </x:c>
      <x:c r="AQ705" s="9" t="n">
        <x:f>MOD(AP705*16807,2147483647)</x:f>
        <x:v>1749523837</x:v>
      </x:c>
      <x:c r="AR705" s="17" t="n">
        <x:f>IF('Control Room'!$B$5="Normal",'Control Room'!$B$7+'Control Room'!$D$7*SQRT(-2*LN(MAX(0.000000000001,AP705/2147483647)))*COS(2*PI()*AQ705/2147483647),'Control Room'!$B$8+('Control Room'!$D$8-'Control Room'!$B$8)*AP705/2147483647)</x:f>
        <x:v>1059.6330696355212</x:v>
      </x:c>
      <x:c r="AS705" s="17" t="n">
        <x:f>IF('Control Room'!$B$5="Normal",'Control Room'!$B$7,('Control Room'!$B$8+'Control Room'!$D$8)/2)+'Control Room'!$B$9*(AS704-IF('Control Room'!$B$5="Normal",'Control Room'!$B$7,('Control Room'!$B$8+'Control Room'!$D$8)/2))+SQRT(1-'Control Room'!$B$9^2)*(AR705-IF('Control Room'!$B$5="Normal",'Control Room'!$B$7,('Control Room'!$B$8+'Control Room'!$D$8)/2))</x:f>
        <x:v>1025.1136007940736</x:v>
      </x:c>
      <x:c r="AT705" s="17" t="n">
        <x:f>IF(AND($A705&gt;='Control Room'!$A$13,$A705&lt;'Control Room'!$A$13+'Control Room'!$B$13,'Process'!BS2=1),1+('Control Room'!$C$13-1)*EXP(-0.5*(($A705-'Control Room'!$A$13-('Control Room'!$B$13-1)/2)/MAX(0.5,'Control Room'!$B$13/4))^2),1)*IF(AND($A705&gt;='Control Room'!$A$14,$A705&lt;'Control Room'!$A$14+'Control Room'!$B$14,'Process'!BS3=1),1+('Control Room'!$C$14-1)*EXP(-0.5*(($A705-'Control Room'!$A$14-('Control Room'!$B$14-1)/2)/MAX(0.5,'Control Room'!$B$14/4))^2),1)*IF(AND($A705&gt;='Control Room'!$A$15,$A705&lt;'Control Room'!$A$15+'Control Room'!$B$15,'Process'!BS4=1),1+('Control Room'!$C$15-1)*EXP(-0.5*(($A705-'Control Room'!$A$15-('Control Room'!$B$15-1)/2)/MAX(0.5,'Control Room'!$B$15/4))^2),1)*IF(AND($A705&gt;='Control Room'!$A$16,$A705&lt;'Control Room'!$A$16+'Control Room'!$B$16,'Process'!BS5=1),1+('Control Room'!$C$16-1)*EXP(-0.5*(($A705-'Control Room'!$A$16-('Control Room'!$B$16-1)/2)/MAX(0.5,'Control Room'!$B$16/4))^2),1)</x:f>
        <x:v>1</x:v>
      </x:c>
      <x:c r="AU705" s="9" t="n">
        <x:f>MOD(AV704*16807,2147483647)</x:f>
        <x:v>256977459</x:v>
      </x:c>
      <x:c r="AV705" s="9" t="n">
        <x:f>MOD(AU705*16807,2147483647)</x:f>
        <x:v>430539296</x:v>
      </x:c>
      <x:c r="AW705" s="17" t="n">
        <x:f>IF('Control Room'!$B$5="Normal",'Control Room'!$B$7+'Control Room'!$D$7*SQRT(-2*LN(MAX(0.000000000001,AU705/2147483647)))*COS(2*PI()*AV705/2147483647),'Control Room'!$B$8+('Control Room'!$D$8-'Control Room'!$B$8)*AU705/2147483647)</x:f>
        <x:v>1056.7705219512682</x:v>
      </x:c>
      <x:c r="AX705" s="17" t="n">
        <x:f>IF('Control Room'!$B$5="Normal",'Control Room'!$B$7,('Control Room'!$B$8+'Control Room'!$D$8)/2)+'Control Room'!$B$9*(AX704-IF('Control Room'!$B$5="Normal",'Control Room'!$B$7,('Control Room'!$B$8+'Control Room'!$D$8)/2))+SQRT(1-'Control Room'!$B$9^2)*(AW705-IF('Control Room'!$B$5="Normal",'Control Room'!$B$7,('Control Room'!$B$8+'Control Room'!$D$8)/2))</x:f>
        <x:v>1062.2189492297293</x:v>
      </x:c>
      <x:c r="AY705" s="17" t="n">
        <x:f>IF(AND($A705&gt;='Control Room'!$A$13,$A705&lt;'Control Room'!$A$13+'Control Room'!$B$13,'Process'!BT2=1),1+('Control Room'!$C$13-1)*EXP(-0.5*(($A705-'Control Room'!$A$13-('Control Room'!$B$13-1)/2)/MAX(0.5,'Control Room'!$B$13/4))^2),1)*IF(AND($A705&gt;='Control Room'!$A$14,$A705&lt;'Control Room'!$A$14+'Control Room'!$B$14,'Process'!BT3=1),1+('Control Room'!$C$14-1)*EXP(-0.5*(($A705-'Control Room'!$A$14-('Control Room'!$B$14-1)/2)/MAX(0.5,'Control Room'!$B$14/4))^2),1)*IF(AND($A705&gt;='Control Room'!$A$15,$A705&lt;'Control Room'!$A$15+'Control Room'!$B$15,'Process'!BT4=1),1+('Control Room'!$C$15-1)*EXP(-0.5*(($A705-'Control Room'!$A$15-('Control Room'!$B$15-1)/2)/MAX(0.5,'Control Room'!$B$15/4))^2),1)*IF(AND($A705&gt;='Control Room'!$A$16,$A705&lt;'Control Room'!$A$16+'Control Room'!$B$16,'Process'!BT5=1),1+('Control Room'!$C$16-1)*EXP(-0.5*(($A705-'Control Room'!$A$16-('Control Room'!$B$16-1)/2)/MAX(0.5,'Control Room'!$B$16/4))^2),1)</x:f>
        <x:v>1</x:v>
      </x:c>
      <x:c r="AZ705" s="9" t="n">
        <x:f>MOD(BA704*16807,2147483647)</x:f>
        <x:v>2134270149</x:v>
      </x:c>
      <x:c r="BA705" s="9" t="n">
        <x:f>MOD(AZ705*16807,2147483647)</x:f>
        <x:v>1259038402</x:v>
      </x:c>
      <x:c r="BB705" s="17" t="n">
        <x:f>IF('Control Room'!$B$5="Normal",'Control Room'!$B$7+'Control Room'!$D$7*SQRT(-2*LN(MAX(0.000000000001,AZ705/2147483647)))*COS(2*PI()*BA705/2147483647),'Control Room'!$B$8+('Control Room'!$D$8-'Control Room'!$B$8)*AZ705/2147483647)</x:f>
        <x:v>991.4345407021408</x:v>
      </x:c>
      <x:c r="BC705" s="17" t="n">
        <x:f>IF('Control Room'!$B$5="Normal",'Control Room'!$B$7,('Control Room'!$B$8+'Control Room'!$D$8)/2)+'Control Room'!$B$9*(BC704-IF('Control Room'!$B$5="Normal",'Control Room'!$B$7,('Control Room'!$B$8+'Control Room'!$D$8)/2))+SQRT(1-'Control Room'!$B$9^2)*(BB705-IF('Control Room'!$B$5="Normal",'Control Room'!$B$7,('Control Room'!$B$8+'Control Room'!$D$8)/2))</x:f>
        <x:v>1044.8337500535104</x:v>
      </x:c>
      <x:c r="BD705" s="17" t="n">
        <x:f>IF(AND($A705&gt;='Control Room'!$A$13,$A705&lt;'Control Room'!$A$13+'Control Room'!$B$13,'Process'!BU2=1),1+('Control Room'!$C$13-1)*EXP(-0.5*(($A705-'Control Room'!$A$13-('Control Room'!$B$13-1)/2)/MAX(0.5,'Control Room'!$B$13/4))^2),1)*IF(AND($A705&gt;='Control Room'!$A$14,$A705&lt;'Control Room'!$A$14+'Control Room'!$B$14,'Process'!BU3=1),1+('Control Room'!$C$14-1)*EXP(-0.5*(($A705-'Control Room'!$A$14-('Control Room'!$B$14-1)/2)/MAX(0.5,'Control Room'!$B$14/4))^2),1)*IF(AND($A705&gt;='Control Room'!$A$15,$A705&lt;'Control Room'!$A$15+'Control Room'!$B$15,'Process'!BU4=1),1+('Control Room'!$C$15-1)*EXP(-0.5*(($A705-'Control Room'!$A$15-('Control Room'!$B$15-1)/2)/MAX(0.5,'Control Room'!$B$15/4))^2),1)*IF(AND($A705&gt;='Control Room'!$A$16,$A705&lt;'Control Room'!$A$16+'Control Room'!$B$16,'Process'!BU5=1),1+('Control Room'!$C$16-1)*EXP(-0.5*(($A705-'Control Room'!$A$16-('Control Room'!$B$16-1)/2)/MAX(0.5,'Control Room'!$B$16/4))^2),1)</x:f>
        <x:v>1</x:v>
      </x:c>
      <x:c r="BE705" s="9" t="n">
        <x:f>MOD(BF704*16807,2147483647)</x:f>
        <x:v>1864079192</x:v>
      </x:c>
      <x:c r="BF705" s="9" t="n">
        <x:f>MOD(BE705*16807,2147483647)</x:f>
        <x:v>2087537508</x:v>
      </x:c>
      <x:c r="BG705" s="17" t="n">
        <x:f>IF('Control Room'!$B$5="Normal",'Control Room'!$B$7+'Control Room'!$D$7*SQRT(-2*LN(MAX(0.000000000001,BE705/2147483647)))*COS(2*PI()*BF705/2147483647),'Control Room'!$B$8+('Control Room'!$D$8-'Control Room'!$B$8)*BE705/2147483647)</x:f>
        <x:v>1047.1483553210733</x:v>
      </x:c>
      <x:c r="BH705" s="17" t="n">
        <x:f>IF('Control Room'!$B$5="Normal",'Control Room'!$B$7,('Control Room'!$B$8+'Control Room'!$D$8)/2)+'Control Room'!$B$9*(BH704-IF('Control Room'!$B$5="Normal",'Control Room'!$B$7,('Control Room'!$B$8+'Control Room'!$D$8)/2))+SQRT(1-'Control Room'!$B$9^2)*(BG705-IF('Control Room'!$B$5="Normal",'Control Room'!$B$7,('Control Room'!$B$8+'Control Room'!$D$8)/2))</x:f>
        <x:v>1080.3488101729324</x:v>
      </x:c>
      <x:c r="BI705" s="17" t="n">
        <x:f>IF(AND($A705&gt;='Control Room'!$A$13,$A705&lt;'Control Room'!$A$13+'Control Room'!$B$13,'Process'!BV2=1),1+('Control Room'!$C$13-1)*EXP(-0.5*(($A705-'Control Room'!$A$13-('Control Room'!$B$13-1)/2)/MAX(0.5,'Control Room'!$B$13/4))^2),1)*IF(AND($A705&gt;='Control Room'!$A$14,$A705&lt;'Control Room'!$A$14+'Control Room'!$B$14,'Process'!BV3=1),1+('Control Room'!$C$14-1)*EXP(-0.5*(($A705-'Control Room'!$A$14-('Control Room'!$B$14-1)/2)/MAX(0.5,'Control Room'!$B$14/4))^2),1)*IF(AND($A705&gt;='Control Room'!$A$15,$A705&lt;'Control Room'!$A$15+'Control Room'!$B$15,'Process'!BV4=1),1+('Control Room'!$C$15-1)*EXP(-0.5*(($A705-'Control Room'!$A$15-('Control Room'!$B$15-1)/2)/MAX(0.5,'Control Room'!$B$15/4))^2),1)*IF(AND($A705&gt;='Control Room'!$A$16,$A705&lt;'Control Room'!$A$16+'Control Room'!$B$16,'Process'!BV5=1),1+('Control Room'!$C$16-1)*EXP(-0.5*(($A705-'Control Room'!$A$16-('Control Room'!$B$16-1)/2)/MAX(0.5,'Control Room'!$B$16/4))^2),1)</x:f>
        <x:v>1</x:v>
      </x:c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Z705" t="str">
        <x:f>IF('Data'!A705="","",TEXT('Data'!A705,"mm-dd"))</x:f>
      </x:c>
    </x:row>
    <x:row r="706" ht="21" customHeight="1">
      <x:c r="A706" s="15" t="n">
        <x:f>'Control Room'!$B$1+704</x:f>
        <x:v>73695</x:v>
      </x:c>
      <x:c r="B706" s="9" t="n">
        <x:f>MOD(C705*16807,2147483647)</x:f>
        <x:v>644458230</x:v>
      </x:c>
      <x:c r="C706" s="9" t="n">
        <x:f>MOD(B706*16807,2147483647)</x:f>
        <x:v>1649439789</x:v>
      </x:c>
      <x:c r="D706" s="17" t="n">
        <x:f>IF('Control Room'!$B$5="Normal",'Control Room'!$B$7+'Control Room'!$D$7*SQRT(-2*LN(MAX(0.000000000001,B706/2147483647)))*COS(2*PI()*C706/2147483647),'Control Room'!$B$8+('Control Room'!$D$8-'Control Room'!$B$8)*B706/2147483647)</x:f>
        <x:v>1015.8290954738247</x:v>
      </x:c>
      <x:c r="E706" s="17" t="n">
        <x:f>IF('Control Room'!$B$5="Normal",'Control Room'!$B$7,('Control Room'!$B$8+'Control Room'!$D$8)/2)+'Control Room'!$B$9*(E705-IF('Control Room'!$B$5="Normal",'Control Room'!$B$7,('Control Room'!$B$8+'Control Room'!$D$8)/2))+SQRT(1-'Control Room'!$B$9^2)*(D706-IF('Control Room'!$B$5="Normal",'Control Room'!$B$7,('Control Room'!$B$8+'Control Room'!$D$8)/2))</x:f>
        <x:v>991.2242260301807</x:v>
      </x:c>
      <x:c r="F706" s="17" t="n">
        <x:f>IF(AND($A706&gt;='Control Room'!$A$13,$A706&lt;'Control Room'!$A$13+'Control Room'!$B$13,'Process'!BK2=1),1+('Control Room'!$C$13-1)*EXP(-0.5*(($A706-'Control Room'!$A$13-('Control Room'!$B$13-1)/2)/MAX(0.5,'Control Room'!$B$13/4))^2),1)*IF(AND($A706&gt;='Control Room'!$A$14,$A706&lt;'Control Room'!$A$14+'Control Room'!$B$14,'Process'!BK3=1),1+('Control Room'!$C$14-1)*EXP(-0.5*(($A706-'Control Room'!$A$14-('Control Room'!$B$14-1)/2)/MAX(0.5,'Control Room'!$B$14/4))^2),1)*IF(AND($A706&gt;='Control Room'!$A$15,$A706&lt;'Control Room'!$A$15+'Control Room'!$B$15,'Process'!BK4=1),1+('Control Room'!$C$15-1)*EXP(-0.5*(($A706-'Control Room'!$A$15-('Control Room'!$B$15-1)/2)/MAX(0.5,'Control Room'!$B$15/4))^2),1)*IF(AND($A706&gt;='Control Room'!$A$16,$A706&lt;'Control Room'!$A$16+'Control Room'!$B$16,'Process'!BK5=1),1+('Control Room'!$C$16-1)*EXP(-0.5*(($A706-'Control Room'!$A$16-('Control Room'!$B$16-1)/2)/MAX(0.5,'Control Room'!$B$16/4))^2),1)</x:f>
        <x:v>1</x:v>
      </x:c>
      <x:c r="G706" s="9" t="n">
        <x:f>MOD(H705*16807,2147483647)</x:f>
        <x:v>944965624</x:v>
      </x:c>
      <x:c r="H706" s="9" t="n">
        <x:f>MOD(G706*16807,2147483647)</x:f>
        <x:v>1395673003</x:v>
      </x:c>
      <x:c r="I706" s="17" t="n">
        <x:f>IF('Control Room'!$B$5="Normal",'Control Room'!$B$7+'Control Room'!$D$7*SQRT(-2*LN(MAX(0.000000000001,G706/2147483647)))*COS(2*PI()*H706/2147483647),'Control Room'!$B$8+('Control Room'!$D$8-'Control Room'!$B$8)*G706/2147483647)</x:f>
        <x:v>932.1645460781627</x:v>
      </x:c>
      <x:c r="J706" s="17" t="n">
        <x:f>IF('Control Room'!$B$5="Normal",'Control Room'!$B$7,('Control Room'!$B$8+'Control Room'!$D$8)/2)+'Control Room'!$B$9*(J705-IF('Control Room'!$B$5="Normal",'Control Room'!$B$7,('Control Room'!$B$8+'Control Room'!$D$8)/2))+SQRT(1-'Control Room'!$B$9^2)*(I706-IF('Control Room'!$B$5="Normal",'Control Room'!$B$7,('Control Room'!$B$8+'Control Room'!$D$8)/2))</x:f>
        <x:v>1058.009228670699</x:v>
      </x:c>
      <x:c r="K706" s="17" t="n">
        <x:f>IF(AND($A706&gt;='Control Room'!$A$13,$A706&lt;'Control Room'!$A$13+'Control Room'!$B$13,'Process'!BL2=1),1+('Control Room'!$C$13-1)*EXP(-0.5*(($A706-'Control Room'!$A$13-('Control Room'!$B$13-1)/2)/MAX(0.5,'Control Room'!$B$13/4))^2),1)*IF(AND($A706&gt;='Control Room'!$A$14,$A706&lt;'Control Room'!$A$14+'Control Room'!$B$14,'Process'!BL3=1),1+('Control Room'!$C$14-1)*EXP(-0.5*(($A706-'Control Room'!$A$14-('Control Room'!$B$14-1)/2)/MAX(0.5,'Control Room'!$B$14/4))^2),1)*IF(AND($A706&gt;='Control Room'!$A$15,$A706&lt;'Control Room'!$A$15+'Control Room'!$B$15,'Process'!BL4=1),1+('Control Room'!$C$15-1)*EXP(-0.5*(($A706-'Control Room'!$A$15-('Control Room'!$B$15-1)/2)/MAX(0.5,'Control Room'!$B$15/4))^2),1)*IF(AND($A706&gt;='Control Room'!$A$16,$A706&lt;'Control Room'!$A$16+'Control Room'!$B$16,'Process'!BL5=1),1+('Control Room'!$C$16-1)*EXP(-0.5*(($A706-'Control Room'!$A$16-('Control Room'!$B$16-1)/2)/MAX(0.5,'Control Room'!$B$16/4))^2),1)</x:f>
        <x:v>1</x:v>
      </x:c>
      <x:c r="L706" s="9" t="n">
        <x:f>MOD(M705*16807,2147483647)</x:f>
        <x:v>1245473018</x:v>
      </x:c>
      <x:c r="M706" s="9" t="n">
        <x:f>MOD(L706*16807,2147483647)</x:f>
        <x:v>1141906217</x:v>
      </x:c>
      <x:c r="N706" s="17" t="n">
        <x:f>IF('Control Room'!$B$5="Normal",'Control Room'!$B$7+'Control Room'!$D$7*SQRT(-2*LN(MAX(0.000000000001,L706/2147483647)))*COS(2*PI()*M706/2147483647),'Control Room'!$B$8+('Control Room'!$D$8-'Control Room'!$B$8)*L706/2147483647)</x:f>
        <x:v>907.9182366076042</x:v>
      </x:c>
      <x:c r="O706" s="17" t="n">
        <x:f>IF('Control Room'!$B$5="Normal",'Control Room'!$B$7,('Control Room'!$B$8+'Control Room'!$D$8)/2)+'Control Room'!$B$9*(O705-IF('Control Room'!$B$5="Normal",'Control Room'!$B$7,('Control Room'!$B$8+'Control Room'!$D$8)/2))+SQRT(1-'Control Room'!$B$9^2)*(N706-IF('Control Room'!$B$5="Normal",'Control Room'!$B$7,('Control Room'!$B$8+'Control Room'!$D$8)/2))</x:f>
        <x:v>684.7204293951118</x:v>
      </x:c>
      <x:c r="P706" s="17" t="n">
        <x:f>IF(AND($A706&gt;='Control Room'!$A$13,$A706&lt;'Control Room'!$A$13+'Control Room'!$B$13,'Process'!BM2=1),1+('Control Room'!$C$13-1)*EXP(-0.5*(($A706-'Control Room'!$A$13-('Control Room'!$B$13-1)/2)/MAX(0.5,'Control Room'!$B$13/4))^2),1)*IF(AND($A706&gt;='Control Room'!$A$14,$A706&lt;'Control Room'!$A$14+'Control Room'!$B$14,'Process'!BM3=1),1+('Control Room'!$C$14-1)*EXP(-0.5*(($A706-'Control Room'!$A$14-('Control Room'!$B$14-1)/2)/MAX(0.5,'Control Room'!$B$14/4))^2),1)*IF(AND($A706&gt;='Control Room'!$A$15,$A706&lt;'Control Room'!$A$15+'Control Room'!$B$15,'Process'!BM4=1),1+('Control Room'!$C$15-1)*EXP(-0.5*(($A706-'Control Room'!$A$15-('Control Room'!$B$15-1)/2)/MAX(0.5,'Control Room'!$B$15/4))^2),1)*IF(AND($A706&gt;='Control Room'!$A$16,$A706&lt;'Control Room'!$A$16+'Control Room'!$B$16,'Process'!BM5=1),1+('Control Room'!$C$16-1)*EXP(-0.5*(($A706-'Control Room'!$A$16-('Control Room'!$B$16-1)/2)/MAX(0.5,'Control Room'!$B$16/4))^2),1)</x:f>
        <x:v>1</x:v>
      </x:c>
      <x:c r="Q706" s="9" t="n">
        <x:f>MOD(R705*16807,2147483647)</x:f>
        <x:v>1545980412</x:v>
      </x:c>
      <x:c r="R706" s="9" t="n">
        <x:f>MOD(Q706*16807,2147483647)</x:f>
        <x:v>888139431</x:v>
      </x:c>
      <x:c r="S706" s="17" t="n">
        <x:f>IF('Control Room'!$B$5="Normal",'Control Room'!$B$7+'Control Room'!$D$7*SQRT(-2*LN(MAX(0.000000000001,Q706/2147483647)))*COS(2*PI()*R706/2147483647),'Control Room'!$B$8+('Control Room'!$D$8-'Control Room'!$B$8)*Q706/2147483647)</x:f>
        <x:v>937.5313940921851</x:v>
      </x:c>
      <x:c r="T706" s="17" t="n">
        <x:f>IF('Control Room'!$B$5="Normal",'Control Room'!$B$7,('Control Room'!$B$8+'Control Room'!$D$8)/2)+'Control Room'!$B$9*(T705-IF('Control Room'!$B$5="Normal",'Control Room'!$B$7,('Control Room'!$B$8+'Control Room'!$D$8)/2))+SQRT(1-'Control Room'!$B$9^2)*(S706-IF('Control Room'!$B$5="Normal",'Control Room'!$B$7,('Control Room'!$B$8+'Control Room'!$D$8)/2))</x:f>
        <x:v>979.7867732766315</x:v>
      </x:c>
      <x:c r="U706" s="17" t="n">
        <x:f>IF(AND($A706&gt;='Control Room'!$A$13,$A706&lt;'Control Room'!$A$13+'Control Room'!$B$13,'Process'!BN2=1),1+('Control Room'!$C$13-1)*EXP(-0.5*(($A706-'Control Room'!$A$13-('Control Room'!$B$13-1)/2)/MAX(0.5,'Control Room'!$B$13/4))^2),1)*IF(AND($A706&gt;='Control Room'!$A$14,$A706&lt;'Control Room'!$A$14+'Control Room'!$B$14,'Process'!BN3=1),1+('Control Room'!$C$14-1)*EXP(-0.5*(($A706-'Control Room'!$A$14-('Control Room'!$B$14-1)/2)/MAX(0.5,'Control Room'!$B$14/4))^2),1)*IF(AND($A706&gt;='Control Room'!$A$15,$A706&lt;'Control Room'!$A$15+'Control Room'!$B$15,'Process'!BN4=1),1+('Control Room'!$C$15-1)*EXP(-0.5*(($A706-'Control Room'!$A$15-('Control Room'!$B$15-1)/2)/MAX(0.5,'Control Room'!$B$15/4))^2),1)*IF(AND($A706&gt;='Control Room'!$A$16,$A706&lt;'Control Room'!$A$16+'Control Room'!$B$16,'Process'!BN5=1),1+('Control Room'!$C$16-1)*EXP(-0.5*(($A706-'Control Room'!$A$16-('Control Room'!$B$16-1)/2)/MAX(0.5,'Control Room'!$B$16/4))^2),1)</x:f>
        <x:v>1</x:v>
      </x:c>
      <x:c r="V706" s="9" t="n">
        <x:f>MOD(W705*16807,2147483647)</x:f>
        <x:v>1846487806</x:v>
      </x:c>
      <x:c r="W706" s="9" t="n">
        <x:f>MOD(V706*16807,2147483647)</x:f>
        <x:v>634372645</x:v>
      </x:c>
      <x:c r="X706" s="17" t="n">
        <x:f>IF('Control Room'!$B$5="Normal",'Control Room'!$B$7+'Control Room'!$D$7*SQRT(-2*LN(MAX(0.000000000001,V706/2147483647)))*COS(2*PI()*W706/2147483647),'Control Room'!$B$8+('Control Room'!$D$8-'Control Room'!$B$8)*V706/2147483647)</x:f>
        <x:v>986.0806778185521</x:v>
      </x:c>
      <x:c r="Y706" s="17" t="n">
        <x:f>IF('Control Room'!$B$5="Normal",'Control Room'!$B$7,('Control Room'!$B$8+'Control Room'!$D$8)/2)+'Control Room'!$B$9*(Y705-IF('Control Room'!$B$5="Normal",'Control Room'!$B$7,('Control Room'!$B$8+'Control Room'!$D$8)/2))+SQRT(1-'Control Room'!$B$9^2)*(X706-IF('Control Room'!$B$5="Normal",'Control Room'!$B$7,('Control Room'!$B$8+'Control Room'!$D$8)/2))</x:f>
        <x:v>1004.1339602777102</x:v>
      </x:c>
      <x:c r="Z706" s="17" t="n">
        <x:f>IF(AND($A706&gt;='Control Room'!$A$13,$A706&lt;'Control Room'!$A$13+'Control Room'!$B$13,'Process'!BO2=1),1+('Control Room'!$C$13-1)*EXP(-0.5*(($A706-'Control Room'!$A$13-('Control Room'!$B$13-1)/2)/MAX(0.5,'Control Room'!$B$13/4))^2),1)*IF(AND($A706&gt;='Control Room'!$A$14,$A706&lt;'Control Room'!$A$14+'Control Room'!$B$14,'Process'!BO3=1),1+('Control Room'!$C$14-1)*EXP(-0.5*(($A706-'Control Room'!$A$14-('Control Room'!$B$14-1)/2)/MAX(0.5,'Control Room'!$B$14/4))^2),1)*IF(AND($A706&gt;='Control Room'!$A$15,$A706&lt;'Control Room'!$A$15+'Control Room'!$B$15,'Process'!BO4=1),1+('Control Room'!$C$15-1)*EXP(-0.5*(($A706-'Control Room'!$A$15-('Control Room'!$B$15-1)/2)/MAX(0.5,'Control Room'!$B$15/4))^2),1)*IF(AND($A706&gt;='Control Room'!$A$16,$A706&lt;'Control Room'!$A$16+'Control Room'!$B$16,'Process'!BO5=1),1+('Control Room'!$C$16-1)*EXP(-0.5*(($A706-'Control Room'!$A$16-('Control Room'!$B$16-1)/2)/MAX(0.5,'Control Room'!$B$16/4))^2),1)</x:f>
        <x:v>1</x:v>
      </x:c>
      <x:c r="AA706" s="9" t="n">
        <x:f>MOD(AB705*16807,2147483647)</x:f>
        <x:v>2146995200</x:v>
      </x:c>
      <x:c r="AB706" s="9" t="n">
        <x:f>MOD(AA706*16807,2147483647)</x:f>
        <x:v>380605859</x:v>
      </x:c>
      <x:c r="AC706" s="17" t="n">
        <x:f>IF('Control Room'!$B$5="Normal",'Control Room'!$B$7+'Control Room'!$D$7*SQRT(-2*LN(MAX(0.000000000001,AA706/2147483647)))*COS(2*PI()*AB706/2147483647),'Control Room'!$B$8+('Control Room'!$D$8-'Control Room'!$B$8)*AA706/2147483647)</x:f>
        <x:v>1000.8474232758964</x:v>
      </x:c>
      <x:c r="AD706" s="17" t="n">
        <x:f>IF('Control Room'!$B$5="Normal",'Control Room'!$B$7,('Control Room'!$B$8+'Control Room'!$D$8)/2)+'Control Room'!$B$9*(AD705-IF('Control Room'!$B$5="Normal",'Control Room'!$B$7,('Control Room'!$B$8+'Control Room'!$D$8)/2))+SQRT(1-'Control Room'!$B$9^2)*(AC706-IF('Control Room'!$B$5="Normal",'Control Room'!$B$7,('Control Room'!$B$8+'Control Room'!$D$8)/2))</x:f>
        <x:v>930.6234614819506</x:v>
      </x:c>
      <x:c r="AE706" s="17" t="n">
        <x:f>IF(AND($A706&gt;='Control Room'!$A$13,$A706&lt;'Control Room'!$A$13+'Control Room'!$B$13,'Process'!BP2=1),1+('Control Room'!$C$13-1)*EXP(-0.5*(($A706-'Control Room'!$A$13-('Control Room'!$B$13-1)/2)/MAX(0.5,'Control Room'!$B$13/4))^2),1)*IF(AND($A706&gt;='Control Room'!$A$14,$A706&lt;'Control Room'!$A$14+'Control Room'!$B$14,'Process'!BP3=1),1+('Control Room'!$C$14-1)*EXP(-0.5*(($A706-'Control Room'!$A$14-('Control Room'!$B$14-1)/2)/MAX(0.5,'Control Room'!$B$14/4))^2),1)*IF(AND($A706&gt;='Control Room'!$A$15,$A706&lt;'Control Room'!$A$15+'Control Room'!$B$15,'Process'!BP4=1),1+('Control Room'!$C$15-1)*EXP(-0.5*(($A706-'Control Room'!$A$15-('Control Room'!$B$15-1)/2)/MAX(0.5,'Control Room'!$B$15/4))^2),1)*IF(AND($A706&gt;='Control Room'!$A$16,$A706&lt;'Control Room'!$A$16+'Control Room'!$B$16,'Process'!BP5=1),1+('Control Room'!$C$16-1)*EXP(-0.5*(($A706-'Control Room'!$A$16-('Control Room'!$B$16-1)/2)/MAX(0.5,'Control Room'!$B$16/4))^2),1)</x:f>
        <x:v>1</x:v>
      </x:c>
      <x:c r="AF706" s="9" t="n">
        <x:f>MOD(AG705*16807,2147483647)</x:f>
        <x:v>300018947</x:v>
      </x:c>
      <x:c r="AG706" s="9" t="n">
        <x:f>MOD(AF706*16807,2147483647)</x:f>
        <x:v>126839073</x:v>
      </x:c>
      <x:c r="AH706" s="17" t="n">
        <x:f>IF('Control Room'!$B$5="Normal",'Control Room'!$B$7+'Control Room'!$D$7*SQRT(-2*LN(MAX(0.000000000001,AF706/2147483647)))*COS(2*PI()*AG706/2147483647),'Control Room'!$B$8+('Control Room'!$D$8-'Control Room'!$B$8)*AF706/2147483647)</x:f>
        <x:v>1166.4078878283258</x:v>
      </x:c>
      <x:c r="AI706" s="17" t="n">
        <x:f>IF('Control Room'!$B$5="Normal",'Control Room'!$B$7,('Control Room'!$B$8+'Control Room'!$D$8)/2)+'Control Room'!$B$9*(AI705-IF('Control Room'!$B$5="Normal",'Control Room'!$B$7,('Control Room'!$B$8+'Control Room'!$D$8)/2))+SQRT(1-'Control Room'!$B$9^2)*(AH706-IF('Control Room'!$B$5="Normal",'Control Room'!$B$7,('Control Room'!$B$8+'Control Room'!$D$8)/2))</x:f>
        <x:v>1020.6324032718949</x:v>
      </x:c>
      <x:c r="AJ706" s="17" t="n">
        <x:f>IF(AND($A706&gt;='Control Room'!$A$13,$A706&lt;'Control Room'!$A$13+'Control Room'!$B$13,'Process'!BQ2=1),1+('Control Room'!$C$13-1)*EXP(-0.5*(($A706-'Control Room'!$A$13-('Control Room'!$B$13-1)/2)/MAX(0.5,'Control Room'!$B$13/4))^2),1)*IF(AND($A706&gt;='Control Room'!$A$14,$A706&lt;'Control Room'!$A$14+'Control Room'!$B$14,'Process'!BQ3=1),1+('Control Room'!$C$14-1)*EXP(-0.5*(($A706-'Control Room'!$A$14-('Control Room'!$B$14-1)/2)/MAX(0.5,'Control Room'!$B$14/4))^2),1)*IF(AND($A706&gt;='Control Room'!$A$15,$A706&lt;'Control Room'!$A$15+'Control Room'!$B$15,'Process'!BQ4=1),1+('Control Room'!$C$15-1)*EXP(-0.5*(($A706-'Control Room'!$A$15-('Control Room'!$B$15-1)/2)/MAX(0.5,'Control Room'!$B$15/4))^2),1)*IF(AND($A706&gt;='Control Room'!$A$16,$A706&lt;'Control Room'!$A$16+'Control Room'!$B$16,'Process'!BQ5=1),1+('Control Room'!$C$16-1)*EXP(-0.5*(($A706-'Control Room'!$A$16-('Control Room'!$B$16-1)/2)/MAX(0.5,'Control Room'!$B$16/4))^2),1)</x:f>
        <x:v>1</x:v>
      </x:c>
      <x:c r="AK706" s="9" t="n">
        <x:f>MOD(AL705*16807,2147483647)</x:f>
        <x:v>600526341</x:v>
      </x:c>
      <x:c r="AL706" s="9" t="n">
        <x:f>MOD(AK706*16807,2147483647)</x:f>
        <x:v>2020555934</x:v>
      </x:c>
      <x:c r="AM706" s="17" t="n">
        <x:f>IF('Control Room'!$B$5="Normal",'Control Room'!$B$7+'Control Room'!$D$7*SQRT(-2*LN(MAX(0.000000000001,AK706/2147483647)))*COS(2*PI()*AL706/2147483647),'Control Room'!$B$8+('Control Room'!$D$8-'Control Room'!$B$8)*AK706/2147483647)</x:f>
        <x:v>1133.8817253454226</x:v>
      </x:c>
      <x:c r="AN706" s="17" t="n">
        <x:f>IF('Control Room'!$B$5="Normal",'Control Room'!$B$7,('Control Room'!$B$8+'Control Room'!$D$8)/2)+'Control Room'!$B$9*(AN705-IF('Control Room'!$B$5="Normal",'Control Room'!$B$7,('Control Room'!$B$8+'Control Room'!$D$8)/2))+SQRT(1-'Control Room'!$B$9^2)*(AM706-IF('Control Room'!$B$5="Normal",'Control Room'!$B$7,('Control Room'!$B$8+'Control Room'!$D$8)/2))</x:f>
        <x:v>1006.2924993430777</x:v>
      </x:c>
      <x:c r="AO706" s="17" t="n">
        <x:f>IF(AND($A706&gt;='Control Room'!$A$13,$A706&lt;'Control Room'!$A$13+'Control Room'!$B$13,'Process'!BR2=1),1+('Control Room'!$C$13-1)*EXP(-0.5*(($A706-'Control Room'!$A$13-('Control Room'!$B$13-1)/2)/MAX(0.5,'Control Room'!$B$13/4))^2),1)*IF(AND($A706&gt;='Control Room'!$A$14,$A706&lt;'Control Room'!$A$14+'Control Room'!$B$14,'Process'!BR3=1),1+('Control Room'!$C$14-1)*EXP(-0.5*(($A706-'Control Room'!$A$14-('Control Room'!$B$14-1)/2)/MAX(0.5,'Control Room'!$B$14/4))^2),1)*IF(AND($A706&gt;='Control Room'!$A$15,$A706&lt;'Control Room'!$A$15+'Control Room'!$B$15,'Process'!BR4=1),1+('Control Room'!$C$15-1)*EXP(-0.5*(($A706-'Control Room'!$A$15-('Control Room'!$B$15-1)/2)/MAX(0.5,'Control Room'!$B$15/4))^2),1)*IF(AND($A706&gt;='Control Room'!$A$16,$A706&lt;'Control Room'!$A$16+'Control Room'!$B$16,'Process'!BR5=1),1+('Control Room'!$C$16-1)*EXP(-0.5*(($A706-'Control Room'!$A$16-('Control Room'!$B$16-1)/2)/MAX(0.5,'Control Room'!$B$16/4))^2),1)</x:f>
        <x:v>1</x:v>
      </x:c>
      <x:c r="AP706" s="9" t="n">
        <x:f>MOD(AQ705*16807,2147483647)</x:f>
        <x:v>901033735</x:v>
      </x:c>
      <x:c r="AQ706" s="9" t="n">
        <x:f>MOD(AP706*16807,2147483647)</x:f>
        <x:v>1766789148</x:v>
      </x:c>
      <x:c r="AR706" s="17" t="n">
        <x:f>IF('Control Room'!$B$5="Normal",'Control Room'!$B$7+'Control Room'!$D$7*SQRT(-2*LN(MAX(0.000000000001,AP706/2147483647)))*COS(2*PI()*AQ706/2147483647),'Control Room'!$B$8+('Control Room'!$D$8-'Control Room'!$B$8)*AP706/2147483647)</x:f>
        <x:v>1052.3347473355254</x:v>
      </x:c>
      <x:c r="AS706" s="17" t="n">
        <x:f>IF('Control Room'!$B$5="Normal",'Control Room'!$B$7,('Control Room'!$B$8+'Control Room'!$D$8)/2)+'Control Room'!$B$9*(AS705-IF('Control Room'!$B$5="Normal",'Control Room'!$B$7,('Control Room'!$B$8+'Control Room'!$D$8)/2))+SQRT(1-'Control Room'!$B$9^2)*(AR706-IF('Control Room'!$B$5="Normal",'Control Room'!$B$7,('Control Room'!$B$8+'Control Room'!$D$8)/2))</x:f>
        <x:v>1052.3386213663744</x:v>
      </x:c>
      <x:c r="AT706" s="17" t="n">
        <x:f>IF(AND($A706&gt;='Control Room'!$A$13,$A706&lt;'Control Room'!$A$13+'Control Room'!$B$13,'Process'!BS2=1),1+('Control Room'!$C$13-1)*EXP(-0.5*(($A706-'Control Room'!$A$13-('Control Room'!$B$13-1)/2)/MAX(0.5,'Control Room'!$B$13/4))^2),1)*IF(AND($A706&gt;='Control Room'!$A$14,$A706&lt;'Control Room'!$A$14+'Control Room'!$B$14,'Process'!BS3=1),1+('Control Room'!$C$14-1)*EXP(-0.5*(($A706-'Control Room'!$A$14-('Control Room'!$B$14-1)/2)/MAX(0.5,'Control Room'!$B$14/4))^2),1)*IF(AND($A706&gt;='Control Room'!$A$15,$A706&lt;'Control Room'!$A$15+'Control Room'!$B$15,'Process'!BS4=1),1+('Control Room'!$C$15-1)*EXP(-0.5*(($A706-'Control Room'!$A$15-('Control Room'!$B$15-1)/2)/MAX(0.5,'Control Room'!$B$15/4))^2),1)*IF(AND($A706&gt;='Control Room'!$A$16,$A706&lt;'Control Room'!$A$16+'Control Room'!$B$16,'Process'!BS5=1),1+('Control Room'!$C$16-1)*EXP(-0.5*(($A706-'Control Room'!$A$16-('Control Room'!$B$16-1)/2)/MAX(0.5,'Control Room'!$B$16/4))^2),1)</x:f>
        <x:v>1</x:v>
      </x:c>
      <x:c r="AU706" s="9" t="n">
        <x:f>MOD(AV705*16807,2147483647)</x:f>
        <x:v>1201541129</x:v>
      </x:c>
      <x:c r="AV706" s="9" t="n">
        <x:f>MOD(AU706*16807,2147483647)</x:f>
        <x:v>1513022362</x:v>
      </x:c>
      <x:c r="AW706" s="17" t="n">
        <x:f>IF('Control Room'!$B$5="Normal",'Control Room'!$B$7+'Control Room'!$D$7*SQRT(-2*LN(MAX(0.000000000001,AU706/2147483647)))*COS(2*PI()*AV706/2147483647),'Control Room'!$B$8+('Control Room'!$D$8-'Control Room'!$B$8)*AU706/2147483647)</x:f>
        <x:v>972.6806786721601</x:v>
      </x:c>
      <x:c r="AX706" s="17" t="n">
        <x:f>IF('Control Room'!$B$5="Normal",'Control Room'!$B$7,('Control Room'!$B$8+'Control Room'!$D$8)/2)+'Control Room'!$B$9*(AX705-IF('Control Room'!$B$5="Normal",'Control Room'!$B$7,('Control Room'!$B$8+'Control Room'!$D$8)/2))+SQRT(1-'Control Room'!$B$9^2)*(AW706-IF('Control Room'!$B$5="Normal",'Control Room'!$B$7,('Control Room'!$B$8+'Control Room'!$D$8)/2))</x:f>
        <x:v>1031.4349087789446</x:v>
      </x:c>
      <x:c r="AY706" s="17" t="n">
        <x:f>IF(AND($A706&gt;='Control Room'!$A$13,$A706&lt;'Control Room'!$A$13+'Control Room'!$B$13,'Process'!BT2=1),1+('Control Room'!$C$13-1)*EXP(-0.5*(($A706-'Control Room'!$A$13-('Control Room'!$B$13-1)/2)/MAX(0.5,'Control Room'!$B$13/4))^2),1)*IF(AND($A706&gt;='Control Room'!$A$14,$A706&lt;'Control Room'!$A$14+'Control Room'!$B$14,'Process'!BT3=1),1+('Control Room'!$C$14-1)*EXP(-0.5*(($A706-'Control Room'!$A$14-('Control Room'!$B$14-1)/2)/MAX(0.5,'Control Room'!$B$14/4))^2),1)*IF(AND($A706&gt;='Control Room'!$A$15,$A706&lt;'Control Room'!$A$15+'Control Room'!$B$15,'Process'!BT4=1),1+('Control Room'!$C$15-1)*EXP(-0.5*(($A706-'Control Room'!$A$15-('Control Room'!$B$15-1)/2)/MAX(0.5,'Control Room'!$B$15/4))^2),1)*IF(AND($A706&gt;='Control Room'!$A$16,$A706&lt;'Control Room'!$A$16+'Control Room'!$B$16,'Process'!BT5=1),1+('Control Room'!$C$16-1)*EXP(-0.5*(($A706-'Control Room'!$A$16-('Control Room'!$B$16-1)/2)/MAX(0.5,'Control Room'!$B$16/4))^2),1)</x:f>
        <x:v>1</x:v>
      </x:c>
      <x:c r="AZ706" s="9" t="n">
        <x:f>MOD(BA705*16807,2147483647)</x:f>
        <x:v>1502048523</x:v>
      </x:c>
      <x:c r="BA706" s="9" t="n">
        <x:f>MOD(AZ706*16807,2147483647)</x:f>
        <x:v>1259255576</x:v>
      </x:c>
      <x:c r="BB706" s="17" t="n">
        <x:f>IF('Control Room'!$B$5="Normal",'Control Room'!$B$7+'Control Room'!$D$7*SQRT(-2*LN(MAX(0.000000000001,AZ706/2147483647)))*COS(2*PI()*BA706/2147483647),'Control Room'!$B$8+('Control Room'!$D$8-'Control Room'!$B$8)*AZ706/2147483647)</x:f>
        <x:v>934.8388879547521</x:v>
      </x:c>
      <x:c r="BC706" s="17" t="n">
        <x:f>IF('Control Room'!$B$5="Normal",'Control Room'!$B$7,('Control Room'!$B$8+'Control Room'!$D$8)/2)+'Control Room'!$B$9*(BC705-IF('Control Room'!$B$5="Normal",'Control Room'!$B$7,('Control Room'!$B$8+'Control Room'!$D$8)/2))+SQRT(1-'Control Room'!$B$9^2)*(BB706-IF('Control Room'!$B$5="Normal",'Control Room'!$B$7,('Control Room'!$B$8+'Control Room'!$D$8)/2))</x:f>
        <x:v>994.1938360217604</x:v>
      </x:c>
      <x:c r="BD706" s="17" t="n">
        <x:f>IF(AND($A706&gt;='Control Room'!$A$13,$A706&lt;'Control Room'!$A$13+'Control Room'!$B$13,'Process'!BU2=1),1+('Control Room'!$C$13-1)*EXP(-0.5*(($A706-'Control Room'!$A$13-('Control Room'!$B$13-1)/2)/MAX(0.5,'Control Room'!$B$13/4))^2),1)*IF(AND($A706&gt;='Control Room'!$A$14,$A706&lt;'Control Room'!$A$14+'Control Room'!$B$14,'Process'!BU3=1),1+('Control Room'!$C$14-1)*EXP(-0.5*(($A706-'Control Room'!$A$14-('Control Room'!$B$14-1)/2)/MAX(0.5,'Control Room'!$B$14/4))^2),1)*IF(AND($A706&gt;='Control Room'!$A$15,$A706&lt;'Control Room'!$A$15+'Control Room'!$B$15,'Process'!BU4=1),1+('Control Room'!$C$15-1)*EXP(-0.5*(($A706-'Control Room'!$A$15-('Control Room'!$B$15-1)/2)/MAX(0.5,'Control Room'!$B$15/4))^2),1)*IF(AND($A706&gt;='Control Room'!$A$16,$A706&lt;'Control Room'!$A$16+'Control Room'!$B$16,'Process'!BU5=1),1+('Control Room'!$C$16-1)*EXP(-0.5*(($A706-'Control Room'!$A$16-('Control Room'!$B$16-1)/2)/MAX(0.5,'Control Room'!$B$16/4))^2),1)</x:f>
        <x:v>1</x:v>
      </x:c>
      <x:c r="BE706" s="9" t="n">
        <x:f>MOD(BF705*16807,2147483647)</x:f>
        <x:v>1802555917</x:v>
      </x:c>
      <x:c r="BF706" s="9" t="n">
        <x:f>MOD(BE706*16807,2147483647)</x:f>
        <x:v>1005488790</x:v>
      </x:c>
      <x:c r="BG706" s="17" t="n">
        <x:f>IF('Control Room'!$B$5="Normal",'Control Room'!$B$7+'Control Room'!$D$7*SQRT(-2*LN(MAX(0.000000000001,BE706/2147483647)))*COS(2*PI()*BF706/2147483647),'Control Room'!$B$8+('Control Room'!$D$8-'Control Room'!$B$8)*BE706/2147483647)</x:f>
        <x:v>947.7998418148334</x:v>
      </x:c>
      <x:c r="BH706" s="17" t="n">
        <x:f>IF('Control Room'!$B$5="Normal",'Control Room'!$B$7,('Control Room'!$B$8+'Control Room'!$D$8)/2)+'Control Room'!$B$9*(BH705-IF('Control Room'!$B$5="Normal",'Control Room'!$B$7,('Control Room'!$B$8+'Control Room'!$D$8)/2))+SQRT(1-'Control Room'!$B$9^2)*(BG706-IF('Control Room'!$B$5="Normal",'Control Room'!$B$7,('Control Room'!$B$8+'Control Room'!$D$8)/2))</x:f>
        <x:v>1030.0062823209764</x:v>
      </x:c>
      <x:c r="BI706" s="17" t="n">
        <x:f>IF(AND($A706&gt;='Control Room'!$A$13,$A706&lt;'Control Room'!$A$13+'Control Room'!$B$13,'Process'!BV2=1),1+('Control Room'!$C$13-1)*EXP(-0.5*(($A706-'Control Room'!$A$13-('Control Room'!$B$13-1)/2)/MAX(0.5,'Control Room'!$B$13/4))^2),1)*IF(AND($A706&gt;='Control Room'!$A$14,$A706&lt;'Control Room'!$A$14+'Control Room'!$B$14,'Process'!BV3=1),1+('Control Room'!$C$14-1)*EXP(-0.5*(($A706-'Control Room'!$A$14-('Control Room'!$B$14-1)/2)/MAX(0.5,'Control Room'!$B$14/4))^2),1)*IF(AND($A706&gt;='Control Room'!$A$15,$A706&lt;'Control Room'!$A$15+'Control Room'!$B$15,'Process'!BV4=1),1+('Control Room'!$C$15-1)*EXP(-0.5*(($A706-'Control Room'!$A$15-('Control Room'!$B$15-1)/2)/MAX(0.5,'Control Room'!$B$15/4))^2),1)*IF(AND($A706&gt;='Control Room'!$A$16,$A706&lt;'Control Room'!$A$16+'Control Room'!$B$16,'Process'!BV5=1),1+('Control Room'!$C$16-1)*EXP(-0.5*(($A706-'Control Room'!$A$16-('Control Room'!$B$16-1)/2)/MAX(0.5,'Control Room'!$B$16/4))^2),1)</x:f>
        <x:v>1</x:v>
      </x:c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Z706" t="str">
        <x:f>IF('Data'!A706="","",TEXT('Data'!A706,"mm-dd"))</x:f>
      </x:c>
    </x:row>
    <x:row r="707" ht="21" customHeight="1">
      <x:c r="A707" s="15" t="n">
        <x:f>'Control Room'!$B$1+705</x:f>
        <x:v>73696</x:v>
      </x:c>
      <x:c r="B707" s="9" t="n">
        <x:f>MOD(C706*16807,2147483647)</x:f>
        <x:v>268134600</x:v>
      </x:c>
      <x:c r="C707" s="9" t="n">
        <x:f>MOD(B707*16807,2147483647)</x:f>
        <x:v>1117530794</x:v>
      </x:c>
      <x:c r="D707" s="17" t="n">
        <x:f>IF('Control Room'!$B$5="Normal",'Control Room'!$B$7+'Control Room'!$D$7*SQRT(-2*LN(MAX(0.000000000001,B707/2147483647)))*COS(2*PI()*C707/2147483647),'Control Room'!$B$8+('Control Room'!$D$8-'Control Room'!$B$8)*B707/2147483647)</x:f>
        <x:v>817.9151701889023</x:v>
      </x:c>
      <x:c r="E707" s="17" t="n">
        <x:f>IF('Control Room'!$B$5="Normal",'Control Room'!$B$7,('Control Room'!$B$8+'Control Room'!$D$8)/2)+'Control Room'!$B$9*(E706-IF('Control Room'!$B$5="Normal",'Control Room'!$B$7,('Control Room'!$B$8+'Control Room'!$D$8)/2))+SQRT(1-'Control Room'!$B$9^2)*(D707-IF('Control Room'!$B$5="Normal",'Control Room'!$B$7,('Control Room'!$B$8+'Control Room'!$D$8)/2))</x:f>
        <x:v>879.2099400182497</x:v>
      </x:c>
      <x:c r="F707" s="17" t="n">
        <x:f>IF(AND($A707&gt;='Control Room'!$A$13,$A707&lt;'Control Room'!$A$13+'Control Room'!$B$13,'Process'!BK2=1),1+('Control Room'!$C$13-1)*EXP(-0.5*(($A707-'Control Room'!$A$13-('Control Room'!$B$13-1)/2)/MAX(0.5,'Control Room'!$B$13/4))^2),1)*IF(AND($A707&gt;='Control Room'!$A$14,$A707&lt;'Control Room'!$A$14+'Control Room'!$B$14,'Process'!BK3=1),1+('Control Room'!$C$14-1)*EXP(-0.5*(($A707-'Control Room'!$A$14-('Control Room'!$B$14-1)/2)/MAX(0.5,'Control Room'!$B$14/4))^2),1)*IF(AND($A707&gt;='Control Room'!$A$15,$A707&lt;'Control Room'!$A$15+'Control Room'!$B$15,'Process'!BK4=1),1+('Control Room'!$C$15-1)*EXP(-0.5*(($A707-'Control Room'!$A$15-('Control Room'!$B$15-1)/2)/MAX(0.5,'Control Room'!$B$15/4))^2),1)*IF(AND($A707&gt;='Control Room'!$A$16,$A707&lt;'Control Room'!$A$16+'Control Room'!$B$16,'Process'!BK5=1),1+('Control Room'!$C$16-1)*EXP(-0.5*(($A707-'Control Room'!$A$16-('Control Room'!$B$16-1)/2)/MAX(0.5,'Control Room'!$B$16/4))^2),1)</x:f>
        <x:v>1</x:v>
      </x:c>
      <x:c r="G707" s="9" t="n">
        <x:f>MOD(H706*16807,2147483647)</x:f>
        <x:v>112285240</x:v>
      </x:c>
      <x:c r="H707" s="9" t="n">
        <x:f>MOD(G707*16807,2147483647)</x:f>
        <x:v>1687386614</x:v>
      </x:c>
      <x:c r="I707" s="17" t="n">
        <x:f>IF('Control Room'!$B$5="Normal",'Control Room'!$B$7+'Control Room'!$D$7*SQRT(-2*LN(MAX(0.000000000001,G707/2147483647)))*COS(2*PI()*H707/2147483647),'Control Room'!$B$8+('Control Room'!$D$8-'Control Room'!$B$8)*G707/2147483647)</x:f>
        <x:v>1048.7021233924327</x:v>
      </x:c>
      <x:c r="J707" s="17" t="n">
        <x:f>IF('Control Room'!$B$5="Normal",'Control Room'!$B$7,('Control Room'!$B$8+'Control Room'!$D$8)/2)+'Control Room'!$B$9*(J706-IF('Control Room'!$B$5="Normal",'Control Room'!$B$7,('Control Room'!$B$8+'Control Room'!$D$8)/2))+SQRT(1-'Control Room'!$B$9^2)*(I707-IF('Control Room'!$B$5="Normal",'Control Room'!$B$7,('Control Room'!$B$8+'Control Room'!$D$8)/2))</x:f>
        <x:v>1075.7239894649013</x:v>
      </x:c>
      <x:c r="K707" s="17" t="n">
        <x:f>IF(AND($A707&gt;='Control Room'!$A$13,$A707&lt;'Control Room'!$A$13+'Control Room'!$B$13,'Process'!BL2=1),1+('Control Room'!$C$13-1)*EXP(-0.5*(($A707-'Control Room'!$A$13-('Control Room'!$B$13-1)/2)/MAX(0.5,'Control Room'!$B$13/4))^2),1)*IF(AND($A707&gt;='Control Room'!$A$14,$A707&lt;'Control Room'!$A$14+'Control Room'!$B$14,'Process'!BL3=1),1+('Control Room'!$C$14-1)*EXP(-0.5*(($A707-'Control Room'!$A$14-('Control Room'!$B$14-1)/2)/MAX(0.5,'Control Room'!$B$14/4))^2),1)*IF(AND($A707&gt;='Control Room'!$A$15,$A707&lt;'Control Room'!$A$15+'Control Room'!$B$15,'Process'!BL4=1),1+('Control Room'!$C$15-1)*EXP(-0.5*(($A707-'Control Room'!$A$15-('Control Room'!$B$15-1)/2)/MAX(0.5,'Control Room'!$B$15/4))^2),1)*IF(AND($A707&gt;='Control Room'!$A$16,$A707&lt;'Control Room'!$A$16+'Control Room'!$B$16,'Process'!BL5=1),1+('Control Room'!$C$16-1)*EXP(-0.5*(($A707-'Control Room'!$A$16-('Control Room'!$B$16-1)/2)/MAX(0.5,'Control Room'!$B$16/4))^2),1)</x:f>
        <x:v>1</x:v>
      </x:c>
      <x:c r="L707" s="9" t="n">
        <x:f>MOD(M706*16807,2147483647)</x:f>
        <x:v>2103919527</x:v>
      </x:c>
      <x:c r="M707" s="9" t="n">
        <x:f>MOD(L707*16807,2147483647)</x:f>
        <x:v>109758787</x:v>
      </x:c>
      <x:c r="N707" s="17" t="n">
        <x:f>IF('Control Room'!$B$5="Normal",'Control Room'!$B$7+'Control Room'!$D$7*SQRT(-2*LN(MAX(0.000000000001,L707/2147483647)))*COS(2*PI()*M707/2147483647),'Control Room'!$B$8+('Control Room'!$D$8-'Control Room'!$B$8)*L707/2147483647)</x:f>
        <x:v>1017.2897426415906</x:v>
      </x:c>
      <x:c r="O707" s="17" t="n">
        <x:f>IF('Control Room'!$B$5="Normal",'Control Room'!$B$7,('Control Room'!$B$8+'Control Room'!$D$8)/2)+'Control Room'!$B$9*(O706-IF('Control Room'!$B$5="Normal",'Control Room'!$B$7,('Control Room'!$B$8+'Control Room'!$D$8)/2))+SQRT(1-'Control Room'!$B$9^2)*(N707-IF('Control Room'!$B$5="Normal",'Control Room'!$B$7,('Control Room'!$B$8+'Control Room'!$D$8)/2))</x:f>
        <x:v>764.901501673664</x:v>
      </x:c>
      <x:c r="P707" s="17" t="n">
        <x:f>IF(AND($A707&gt;='Control Room'!$A$13,$A707&lt;'Control Room'!$A$13+'Control Room'!$B$13,'Process'!BM2=1),1+('Control Room'!$C$13-1)*EXP(-0.5*(($A707-'Control Room'!$A$13-('Control Room'!$B$13-1)/2)/MAX(0.5,'Control Room'!$B$13/4))^2),1)*IF(AND($A707&gt;='Control Room'!$A$14,$A707&lt;'Control Room'!$A$14+'Control Room'!$B$14,'Process'!BM3=1),1+('Control Room'!$C$14-1)*EXP(-0.5*(($A707-'Control Room'!$A$14-('Control Room'!$B$14-1)/2)/MAX(0.5,'Control Room'!$B$14/4))^2),1)*IF(AND($A707&gt;='Control Room'!$A$15,$A707&lt;'Control Room'!$A$15+'Control Room'!$B$15,'Process'!BM4=1),1+('Control Room'!$C$15-1)*EXP(-0.5*(($A707-'Control Room'!$A$15-('Control Room'!$B$15-1)/2)/MAX(0.5,'Control Room'!$B$15/4))^2),1)*IF(AND($A707&gt;='Control Room'!$A$16,$A707&lt;'Control Room'!$A$16+'Control Room'!$B$16,'Process'!BM5=1),1+('Control Room'!$C$16-1)*EXP(-0.5*(($A707-'Control Room'!$A$16-('Control Room'!$B$16-1)/2)/MAX(0.5,'Control Room'!$B$16/4))^2),1)</x:f>
        <x:v>1</x:v>
      </x:c>
      <x:c r="Q707" s="9" t="n">
        <x:f>MOD(R706*16807,2147483647)</x:f>
        <x:v>1948070167</x:v>
      </x:c>
      <x:c r="R707" s="9" t="n">
        <x:f>MOD(Q707*16807,2147483647)</x:f>
        <x:v>679614607</x:v>
      </x:c>
      <x:c r="S707" s="17" t="n">
        <x:f>IF('Control Room'!$B$5="Normal",'Control Room'!$B$7+'Control Room'!$D$7*SQRT(-2*LN(MAX(0.000000000001,Q707/2147483647)))*COS(2*PI()*R707/2147483647),'Control Room'!$B$8+('Control Room'!$D$8-'Control Room'!$B$8)*Q707/2147483647)</x:f>
        <x:v>983.8834353588705</x:v>
      </x:c>
      <x:c r="T707" s="17" t="n">
        <x:f>IF('Control Room'!$B$5="Normal",'Control Room'!$B$7,('Control Room'!$B$8+'Control Room'!$D$8)/2)+'Control Room'!$B$9*(T706-IF('Control Room'!$B$5="Normal",'Control Room'!$B$7,('Control Room'!$B$8+'Control Room'!$D$8)/2))+SQRT(1-'Control Room'!$B$9^2)*(S707-IF('Control Room'!$B$5="Normal",'Control Room'!$B$7,('Control Room'!$B$8+'Control Room'!$D$8)/2))</x:f>
        <x:v>974.1482671691266</x:v>
      </x:c>
      <x:c r="U707" s="17" t="n">
        <x:f>IF(AND($A707&gt;='Control Room'!$A$13,$A707&lt;'Control Room'!$A$13+'Control Room'!$B$13,'Process'!BN2=1),1+('Control Room'!$C$13-1)*EXP(-0.5*(($A707-'Control Room'!$A$13-('Control Room'!$B$13-1)/2)/MAX(0.5,'Control Room'!$B$13/4))^2),1)*IF(AND($A707&gt;='Control Room'!$A$14,$A707&lt;'Control Room'!$A$14+'Control Room'!$B$14,'Process'!BN3=1),1+('Control Room'!$C$14-1)*EXP(-0.5*(($A707-'Control Room'!$A$14-('Control Room'!$B$14-1)/2)/MAX(0.5,'Control Room'!$B$14/4))^2),1)*IF(AND($A707&gt;='Control Room'!$A$15,$A707&lt;'Control Room'!$A$15+'Control Room'!$B$15,'Process'!BN4=1),1+('Control Room'!$C$15-1)*EXP(-0.5*(($A707-'Control Room'!$A$15-('Control Room'!$B$15-1)/2)/MAX(0.5,'Control Room'!$B$15/4))^2),1)*IF(AND($A707&gt;='Control Room'!$A$16,$A707&lt;'Control Room'!$A$16+'Control Room'!$B$16,'Process'!BN5=1),1+('Control Room'!$C$16-1)*EXP(-0.5*(($A707-'Control Room'!$A$16-('Control Room'!$B$16-1)/2)/MAX(0.5,'Control Room'!$B$16/4))^2),1)</x:f>
        <x:v>1</x:v>
      </x:c>
      <x:c r="V707" s="9" t="n">
        <x:f>MOD(W706*16807,2147483647)</x:f>
        <x:v>1792220807</x:v>
      </x:c>
      <x:c r="W707" s="9" t="n">
        <x:f>MOD(V707*16807,2147483647)</x:f>
        <x:v>1249470427</x:v>
      </x:c>
      <x:c r="X707" s="17" t="n">
        <x:f>IF('Control Room'!$B$5="Normal",'Control Room'!$B$7+'Control Room'!$D$7*SQRT(-2*LN(MAX(0.000000000001,V707/2147483647)))*COS(2*PI()*W707/2147483647),'Control Room'!$B$8+('Control Room'!$D$8-'Control Room'!$B$8)*V707/2147483647)</x:f>
        <x:v>952.8719424163555</x:v>
      </x:c>
      <x:c r="Y707" s="17" t="n">
        <x:f>IF('Control Room'!$B$5="Normal",'Control Room'!$B$7,('Control Room'!$B$8+'Control Room'!$D$8)/2)+'Control Room'!$B$9*(Y706-IF('Control Room'!$B$5="Normal",'Control Room'!$B$7,('Control Room'!$B$8+'Control Room'!$D$8)/2))+SQRT(1-'Control Room'!$B$9^2)*(X707-IF('Control Room'!$B$5="Normal",'Control Room'!$B$7,('Control Room'!$B$8+'Control Room'!$D$8)/2))</x:f>
        <x:v>973.7327160515069</x:v>
      </x:c>
      <x:c r="Z707" s="17" t="n">
        <x:f>IF(AND($A707&gt;='Control Room'!$A$13,$A707&lt;'Control Room'!$A$13+'Control Room'!$B$13,'Process'!BO2=1),1+('Control Room'!$C$13-1)*EXP(-0.5*(($A707-'Control Room'!$A$13-('Control Room'!$B$13-1)/2)/MAX(0.5,'Control Room'!$B$13/4))^2),1)*IF(AND($A707&gt;='Control Room'!$A$14,$A707&lt;'Control Room'!$A$14+'Control Room'!$B$14,'Process'!BO3=1),1+('Control Room'!$C$14-1)*EXP(-0.5*(($A707-'Control Room'!$A$14-('Control Room'!$B$14-1)/2)/MAX(0.5,'Control Room'!$B$14/4))^2),1)*IF(AND($A707&gt;='Control Room'!$A$15,$A707&lt;'Control Room'!$A$15+'Control Room'!$B$15,'Process'!BO4=1),1+('Control Room'!$C$15-1)*EXP(-0.5*(($A707-'Control Room'!$A$15-('Control Room'!$B$15-1)/2)/MAX(0.5,'Control Room'!$B$15/4))^2),1)*IF(AND($A707&gt;='Control Room'!$A$16,$A707&lt;'Control Room'!$A$16+'Control Room'!$B$16,'Process'!BO5=1),1+('Control Room'!$C$16-1)*EXP(-0.5*(($A707-'Control Room'!$A$16-('Control Room'!$B$16-1)/2)/MAX(0.5,'Control Room'!$B$16/4))^2),1)</x:f>
        <x:v>1</x:v>
      </x:c>
      <x:c r="AA707" s="9" t="n">
        <x:f>MOD(AB706*16807,2147483647)</x:f>
        <x:v>1636371447</x:v>
      </x:c>
      <x:c r="AB707" s="9" t="n">
        <x:f>MOD(AA707*16807,2147483647)</x:f>
        <x:v>1819326247</x:v>
      </x:c>
      <x:c r="AC707" s="17" t="n">
        <x:f>IF('Control Room'!$B$5="Normal",'Control Room'!$B$7+'Control Room'!$D$7*SQRT(-2*LN(MAX(0.000000000001,AA707/2147483647)))*COS(2*PI()*AB707/2147483647),'Control Room'!$B$8+('Control Room'!$D$8-'Control Room'!$B$8)*AA707/2147483647)</x:f>
        <x:v>1038.0504283746009</x:v>
      </x:c>
      <x:c r="AD707" s="17" t="n">
        <x:f>IF('Control Room'!$B$5="Normal",'Control Room'!$B$7,('Control Room'!$B$8+'Control Room'!$D$8)/2)+'Control Room'!$B$9*(AD706-IF('Control Room'!$B$5="Normal",'Control Room'!$B$7,('Control Room'!$B$8+'Control Room'!$D$8)/2))+SQRT(1-'Control Room'!$B$9^2)*(AC707-IF('Control Room'!$B$5="Normal",'Control Room'!$B$7,('Control Room'!$B$8+'Control Room'!$D$8)/2))</x:f>
        <x:v>969.6974785273516</x:v>
      </x:c>
      <x:c r="AE707" s="17" t="n">
        <x:f>IF(AND($A707&gt;='Control Room'!$A$13,$A707&lt;'Control Room'!$A$13+'Control Room'!$B$13,'Process'!BP2=1),1+('Control Room'!$C$13-1)*EXP(-0.5*(($A707-'Control Room'!$A$13-('Control Room'!$B$13-1)/2)/MAX(0.5,'Control Room'!$B$13/4))^2),1)*IF(AND($A707&gt;='Control Room'!$A$14,$A707&lt;'Control Room'!$A$14+'Control Room'!$B$14,'Process'!BP3=1),1+('Control Room'!$C$14-1)*EXP(-0.5*(($A707-'Control Room'!$A$14-('Control Room'!$B$14-1)/2)/MAX(0.5,'Control Room'!$B$14/4))^2),1)*IF(AND($A707&gt;='Control Room'!$A$15,$A707&lt;'Control Room'!$A$15+'Control Room'!$B$15,'Process'!BP4=1),1+('Control Room'!$C$15-1)*EXP(-0.5*(($A707-'Control Room'!$A$15-('Control Room'!$B$15-1)/2)/MAX(0.5,'Control Room'!$B$15/4))^2),1)*IF(AND($A707&gt;='Control Room'!$A$16,$A707&lt;'Control Room'!$A$16+'Control Room'!$B$16,'Process'!BP5=1),1+('Control Room'!$C$16-1)*EXP(-0.5*(($A707-'Control Room'!$A$16-('Control Room'!$B$16-1)/2)/MAX(0.5,'Control Room'!$B$16/4))^2),1)</x:f>
        <x:v>1</x:v>
      </x:c>
      <x:c r="AF707" s="9" t="n">
        <x:f>MOD(AG706*16807,2147483647)</x:f>
        <x:v>1480522087</x:v>
      </x:c>
      <x:c r="AG707" s="9" t="n">
        <x:f>MOD(AF707*16807,2147483647)</x:f>
        <x:v>241698420</x:v>
      </x:c>
      <x:c r="AH707" s="17" t="n">
        <x:f>IF('Control Room'!$B$5="Normal",'Control Room'!$B$7+'Control Room'!$D$7*SQRT(-2*LN(MAX(0.000000000001,AF707/2147483647)))*COS(2*PI()*AG707/2147483647),'Control Room'!$B$8+('Control Room'!$D$8-'Control Room'!$B$8)*AF707/2147483647)</x:f>
        <x:v>1059.0067420754003</x:v>
      </x:c>
      <x:c r="AI707" s="17" t="n">
        <x:f>IF('Control Room'!$B$5="Normal",'Control Room'!$B$7,('Control Room'!$B$8+'Control Room'!$D$8)/2)+'Control Room'!$B$9*(AI706-IF('Control Room'!$B$5="Normal",'Control Room'!$B$7,('Control Room'!$B$8+'Control Room'!$D$8)/2))+SQRT(1-'Control Room'!$B$9^2)*(AH707-IF('Control Room'!$B$5="Normal",'Control Room'!$B$7,('Control Room'!$B$8+'Control Room'!$D$8)/2))</x:f>
        <x:v>1053.018484924047</x:v>
      </x:c>
      <x:c r="AJ707" s="17" t="n">
        <x:f>IF(AND($A707&gt;='Control Room'!$A$13,$A707&lt;'Control Room'!$A$13+'Control Room'!$B$13,'Process'!BQ2=1),1+('Control Room'!$C$13-1)*EXP(-0.5*(($A707-'Control Room'!$A$13-('Control Room'!$B$13-1)/2)/MAX(0.5,'Control Room'!$B$13/4))^2),1)*IF(AND($A707&gt;='Control Room'!$A$14,$A707&lt;'Control Room'!$A$14+'Control Room'!$B$14,'Process'!BQ3=1),1+('Control Room'!$C$14-1)*EXP(-0.5*(($A707-'Control Room'!$A$14-('Control Room'!$B$14-1)/2)/MAX(0.5,'Control Room'!$B$14/4))^2),1)*IF(AND($A707&gt;='Control Room'!$A$15,$A707&lt;'Control Room'!$A$15+'Control Room'!$B$15,'Process'!BQ4=1),1+('Control Room'!$C$15-1)*EXP(-0.5*(($A707-'Control Room'!$A$15-('Control Room'!$B$15-1)/2)/MAX(0.5,'Control Room'!$B$15/4))^2),1)*IF(AND($A707&gt;='Control Room'!$A$16,$A707&lt;'Control Room'!$A$16+'Control Room'!$B$16,'Process'!BQ5=1),1+('Control Room'!$C$16-1)*EXP(-0.5*(($A707-'Control Room'!$A$16-('Control Room'!$B$16-1)/2)/MAX(0.5,'Control Room'!$B$16/4))^2),1)</x:f>
        <x:v>1</x:v>
      </x:c>
      <x:c r="AK707" s="9" t="n">
        <x:f>MOD(AL706*16807,2147483647)</x:f>
        <x:v>1324672727</x:v>
      </x:c>
      <x:c r="AL707" s="9" t="n">
        <x:f>MOD(AK707*16807,2147483647)</x:f>
        <x:v>811554240</x:v>
      </x:c>
      <x:c r="AM707" s="17" t="n">
        <x:f>IF('Control Room'!$B$5="Normal",'Control Room'!$B$7+'Control Room'!$D$7*SQRT(-2*LN(MAX(0.000000000001,AK707/2147483647)))*COS(2*PI()*AL707/2147483647),'Control Room'!$B$8+('Control Room'!$D$8-'Control Room'!$B$8)*AK707/2147483647)</x:f>
        <x:v>936.3100758323313</x:v>
      </x:c>
      <x:c r="AN707" s="17" t="n">
        <x:f>IF('Control Room'!$B$5="Normal",'Control Room'!$B$7,('Control Room'!$B$8+'Control Room'!$D$8)/2)+'Control Room'!$B$9*(AN706-IF('Control Room'!$B$5="Normal",'Control Room'!$B$7,('Control Room'!$B$8+'Control Room'!$D$8)/2))+SQRT(1-'Control Room'!$B$9^2)*(AM707-IF('Control Room'!$B$5="Normal",'Control Room'!$B$7,('Control Room'!$B$8+'Control Room'!$D$8)/2))</x:f>
        <x:v>965.05229970249</x:v>
      </x:c>
      <x:c r="AO707" s="17" t="n">
        <x:f>IF(AND($A707&gt;='Control Room'!$A$13,$A707&lt;'Control Room'!$A$13+'Control Room'!$B$13,'Process'!BR2=1),1+('Control Room'!$C$13-1)*EXP(-0.5*(($A707-'Control Room'!$A$13-('Control Room'!$B$13-1)/2)/MAX(0.5,'Control Room'!$B$13/4))^2),1)*IF(AND($A707&gt;='Control Room'!$A$14,$A707&lt;'Control Room'!$A$14+'Control Room'!$B$14,'Process'!BR3=1),1+('Control Room'!$C$14-1)*EXP(-0.5*(($A707-'Control Room'!$A$14-('Control Room'!$B$14-1)/2)/MAX(0.5,'Control Room'!$B$14/4))^2),1)*IF(AND($A707&gt;='Control Room'!$A$15,$A707&lt;'Control Room'!$A$15+'Control Room'!$B$15,'Process'!BR4=1),1+('Control Room'!$C$15-1)*EXP(-0.5*(($A707-'Control Room'!$A$15-('Control Room'!$B$15-1)/2)/MAX(0.5,'Control Room'!$B$15/4))^2),1)*IF(AND($A707&gt;='Control Room'!$A$16,$A707&lt;'Control Room'!$A$16+'Control Room'!$B$16,'Process'!BR5=1),1+('Control Room'!$C$16-1)*EXP(-0.5*(($A707-'Control Room'!$A$16-('Control Room'!$B$16-1)/2)/MAX(0.5,'Control Room'!$B$16/4))^2),1)</x:f>
        <x:v>1</x:v>
      </x:c>
      <x:c r="AP707" s="9" t="n">
        <x:f>MOD(AQ706*16807,2147483647)</x:f>
        <x:v>1168823367</x:v>
      </x:c>
      <x:c r="AQ707" s="9" t="n">
        <x:f>MOD(AP707*16807,2147483647)</x:f>
        <x:v>1381410060</x:v>
      </x:c>
      <x:c r="AR707" s="17" t="n">
        <x:f>IF('Control Room'!$B$5="Normal",'Control Room'!$B$7+'Control Room'!$D$7*SQRT(-2*LN(MAX(0.000000000001,AP707/2147483647)))*COS(2*PI()*AQ707/2147483647),'Control Room'!$B$8+('Control Room'!$D$8-'Control Room'!$B$8)*AP707/2147483647)</x:f>
        <x:v>938.3075787155752</x:v>
      </x:c>
      <x:c r="AS707" s="17" t="n">
        <x:f>IF('Control Room'!$B$5="Normal",'Control Room'!$B$7,('Control Room'!$B$8+'Control Room'!$D$8)/2)+'Control Room'!$B$9*(AS706-IF('Control Room'!$B$5="Normal",'Control Room'!$B$7,('Control Room'!$B$8+'Control Room'!$D$8)/2))+SQRT(1-'Control Room'!$B$9^2)*(AR707-IF('Control Room'!$B$5="Normal",'Control Room'!$B$7,('Control Room'!$B$8+'Control Room'!$D$8)/2))</x:f>
        <x:v>1002.2182712639246</x:v>
      </x:c>
      <x:c r="AT707" s="17" t="n">
        <x:f>IF(AND($A707&gt;='Control Room'!$A$13,$A707&lt;'Control Room'!$A$13+'Control Room'!$B$13,'Process'!BS2=1),1+('Control Room'!$C$13-1)*EXP(-0.5*(($A707-'Control Room'!$A$13-('Control Room'!$B$13-1)/2)/MAX(0.5,'Control Room'!$B$13/4))^2),1)*IF(AND($A707&gt;='Control Room'!$A$14,$A707&lt;'Control Room'!$A$14+'Control Room'!$B$14,'Process'!BS3=1),1+('Control Room'!$C$14-1)*EXP(-0.5*(($A707-'Control Room'!$A$14-('Control Room'!$B$14-1)/2)/MAX(0.5,'Control Room'!$B$14/4))^2),1)*IF(AND($A707&gt;='Control Room'!$A$15,$A707&lt;'Control Room'!$A$15+'Control Room'!$B$15,'Process'!BS4=1),1+('Control Room'!$C$15-1)*EXP(-0.5*(($A707-'Control Room'!$A$15-('Control Room'!$B$15-1)/2)/MAX(0.5,'Control Room'!$B$15/4))^2),1)*IF(AND($A707&gt;='Control Room'!$A$16,$A707&lt;'Control Room'!$A$16+'Control Room'!$B$16,'Process'!BS5=1),1+('Control Room'!$C$16-1)*EXP(-0.5*(($A707-'Control Room'!$A$16-('Control Room'!$B$16-1)/2)/MAX(0.5,'Control Room'!$B$16/4))^2),1)</x:f>
        <x:v>1</x:v>
      </x:c>
      <x:c r="AU707" s="9" t="n">
        <x:f>MOD(AV706*16807,2147483647)</x:f>
        <x:v>1012974007</x:v>
      </x:c>
      <x:c r="AV707" s="9" t="n">
        <x:f>MOD(AU707*16807,2147483647)</x:f>
        <x:v>1951265880</x:v>
      </x:c>
      <x:c r="AW707" s="17" t="n">
        <x:f>IF('Control Room'!$B$5="Normal",'Control Room'!$B$7+'Control Room'!$D$7*SQRT(-2*LN(MAX(0.000000000001,AU707/2147483647)))*COS(2*PI()*AV707/2147483647),'Control Room'!$B$8+('Control Room'!$D$8-'Control Room'!$B$8)*AU707/2147483647)</x:f>
        <x:v>1092.6422600836438</x:v>
      </x:c>
      <x:c r="AX707" s="17" t="n">
        <x:f>IF('Control Room'!$B$5="Normal",'Control Room'!$B$7,('Control Room'!$B$8+'Control Room'!$D$8)/2)+'Control Room'!$B$9*(AX706-IF('Control Room'!$B$5="Normal",'Control Room'!$B$7,('Control Room'!$B$8+'Control Room'!$D$8)/2))+SQRT(1-'Control Room'!$B$9^2)*(AW707-IF('Control Room'!$B$5="Normal",'Control Room'!$B$7,('Control Room'!$B$8+'Control Room'!$D$8)/2))</x:f>
        <x:v>1082.4928573280645</x:v>
      </x:c>
      <x:c r="AY707" s="17" t="n">
        <x:f>IF(AND($A707&gt;='Control Room'!$A$13,$A707&lt;'Control Room'!$A$13+'Control Room'!$B$13,'Process'!BT2=1),1+('Control Room'!$C$13-1)*EXP(-0.5*(($A707-'Control Room'!$A$13-('Control Room'!$B$13-1)/2)/MAX(0.5,'Control Room'!$B$13/4))^2),1)*IF(AND($A707&gt;='Control Room'!$A$14,$A707&lt;'Control Room'!$A$14+'Control Room'!$B$14,'Process'!BT3=1),1+('Control Room'!$C$14-1)*EXP(-0.5*(($A707-'Control Room'!$A$14-('Control Room'!$B$14-1)/2)/MAX(0.5,'Control Room'!$B$14/4))^2),1)*IF(AND($A707&gt;='Control Room'!$A$15,$A707&lt;'Control Room'!$A$15+'Control Room'!$B$15,'Process'!BT4=1),1+('Control Room'!$C$15-1)*EXP(-0.5*(($A707-'Control Room'!$A$15-('Control Room'!$B$15-1)/2)/MAX(0.5,'Control Room'!$B$15/4))^2),1)*IF(AND($A707&gt;='Control Room'!$A$16,$A707&lt;'Control Room'!$A$16+'Control Room'!$B$16,'Process'!BT5=1),1+('Control Room'!$C$16-1)*EXP(-0.5*(($A707-'Control Room'!$A$16-('Control Room'!$B$16-1)/2)/MAX(0.5,'Control Room'!$B$16/4))^2),1)</x:f>
        <x:v>1</x:v>
      </x:c>
      <x:c r="AZ707" s="9" t="n">
        <x:f>MOD(BA706*16807,2147483647)</x:f>
        <x:v>857124647</x:v>
      </x:c>
      <x:c r="BA707" s="9" t="n">
        <x:f>MOD(AZ707*16807,2147483647)</x:f>
        <x:v>373638053</x:v>
      </x:c>
      <x:c r="BB707" s="17" t="n">
        <x:f>IF('Control Room'!$B$5="Normal",'Control Room'!$B$7+'Control Room'!$D$7*SQRT(-2*LN(MAX(0.000000000001,AZ707/2147483647)))*COS(2*PI()*BA707/2147483647),'Control Room'!$B$8+('Control Room'!$D$8-'Control Room'!$B$8)*AZ707/2147483647)</x:f>
        <x:v>1056.067326958235</x:v>
      </x:c>
      <x:c r="BC707" s="17" t="n">
        <x:f>IF('Control Room'!$B$5="Normal",'Control Room'!$B$7,('Control Room'!$B$8+'Control Room'!$D$8)/2)+'Control Room'!$B$9*(BC706-IF('Control Room'!$B$5="Normal",'Control Room'!$B$7,('Control Room'!$B$8+'Control Room'!$D$8)/2))+SQRT(1-'Control Room'!$B$9^2)*(BB707-IF('Control Room'!$B$5="Normal",'Control Room'!$B$7,('Control Room'!$B$8+'Control Room'!$D$8)/2))</x:f>
        <x:v>1030.5569767058118</x:v>
      </x:c>
      <x:c r="BD707" s="17" t="n">
        <x:f>IF(AND($A707&gt;='Control Room'!$A$13,$A707&lt;'Control Room'!$A$13+'Control Room'!$B$13,'Process'!BU2=1),1+('Control Room'!$C$13-1)*EXP(-0.5*(($A707-'Control Room'!$A$13-('Control Room'!$B$13-1)/2)/MAX(0.5,'Control Room'!$B$13/4))^2),1)*IF(AND($A707&gt;='Control Room'!$A$14,$A707&lt;'Control Room'!$A$14+'Control Room'!$B$14,'Process'!BU3=1),1+('Control Room'!$C$14-1)*EXP(-0.5*(($A707-'Control Room'!$A$14-('Control Room'!$B$14-1)/2)/MAX(0.5,'Control Room'!$B$14/4))^2),1)*IF(AND($A707&gt;='Control Room'!$A$15,$A707&lt;'Control Room'!$A$15+'Control Room'!$B$15,'Process'!BU4=1),1+('Control Room'!$C$15-1)*EXP(-0.5*(($A707-'Control Room'!$A$15-('Control Room'!$B$15-1)/2)/MAX(0.5,'Control Room'!$B$15/4))^2),1)*IF(AND($A707&gt;='Control Room'!$A$16,$A707&lt;'Control Room'!$A$16+'Control Room'!$B$16,'Process'!BU5=1),1+('Control Room'!$C$16-1)*EXP(-0.5*(($A707-'Control Room'!$A$16-('Control Room'!$B$16-1)/2)/MAX(0.5,'Control Room'!$B$16/4))^2),1)</x:f>
        <x:v>1</x:v>
      </x:c>
      <x:c r="BE707" s="9" t="n">
        <x:f>MOD(BF706*16807,2147483647)</x:f>
        <x:v>701275287</x:v>
      </x:c>
      <x:c r="BF707" s="9" t="n">
        <x:f>MOD(BE707*16807,2147483647)</x:f>
        <x:v>943493873</x:v>
      </x:c>
      <x:c r="BG707" s="17" t="n">
        <x:f>IF('Control Room'!$B$5="Normal",'Control Room'!$B$7+'Control Room'!$D$7*SQRT(-2*LN(MAX(0.000000000001,BE707/2147483647)))*COS(2*PI()*BF707/2147483647),'Control Room'!$B$8+('Control Room'!$D$8-'Control Room'!$B$8)*BE707/2147483647)</x:f>
        <x:v>875.0107961251119</x:v>
      </x:c>
      <x:c r="BH707" s="17" t="n">
        <x:f>IF('Control Room'!$B$5="Normal",'Control Room'!$B$7,('Control Room'!$B$8+'Control Room'!$D$8)/2)+'Control Room'!$B$9*(BH706-IF('Control Room'!$B$5="Normal",'Control Room'!$B$7,('Control Room'!$B$8+'Control Room'!$D$8)/2))+SQRT(1-'Control Room'!$B$9^2)*(BG707-IF('Control Room'!$B$5="Normal",'Control Room'!$B$7,('Control Room'!$B$8+'Control Room'!$D$8)/2))</x:f>
        <x:v>945.1892169684759</x:v>
      </x:c>
      <x:c r="BI707" s="17" t="n">
        <x:f>IF(AND($A707&gt;='Control Room'!$A$13,$A707&lt;'Control Room'!$A$13+'Control Room'!$B$13,'Process'!BV2=1),1+('Control Room'!$C$13-1)*EXP(-0.5*(($A707-'Control Room'!$A$13-('Control Room'!$B$13-1)/2)/MAX(0.5,'Control Room'!$B$13/4))^2),1)*IF(AND($A707&gt;='Control Room'!$A$14,$A707&lt;'Control Room'!$A$14+'Control Room'!$B$14,'Process'!BV3=1),1+('Control Room'!$C$14-1)*EXP(-0.5*(($A707-'Control Room'!$A$14-('Control Room'!$B$14-1)/2)/MAX(0.5,'Control Room'!$B$14/4))^2),1)*IF(AND($A707&gt;='Control Room'!$A$15,$A707&lt;'Control Room'!$A$15+'Control Room'!$B$15,'Process'!BV4=1),1+('Control Room'!$C$15-1)*EXP(-0.5*(($A707-'Control Room'!$A$15-('Control Room'!$B$15-1)/2)/MAX(0.5,'Control Room'!$B$15/4))^2),1)*IF(AND($A707&gt;='Control Room'!$A$16,$A707&lt;'Control Room'!$A$16+'Control Room'!$B$16,'Process'!BV5=1),1+('Control Room'!$C$16-1)*EXP(-0.5*(($A707-'Control Room'!$A$16-('Control Room'!$B$16-1)/2)/MAX(0.5,'Control Room'!$B$16/4))^2),1)</x:f>
        <x:v>1</x:v>
      </x:c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Z707" t="str">
        <x:f>IF('Data'!A707="","",TEXT('Data'!A707,"mm-dd"))</x:f>
      </x:c>
    </x:row>
    <x:row r="708" ht="21" customHeight="1">
      <x:c r="A708" s="15" t="n">
        <x:f>'Control Room'!$B$1+706</x:f>
        <x:v>73697</x:v>
      </x:c>
      <x:c r="B708" s="9" t="n">
        <x:f>MOD(C707*16807,2147483647)</x:f>
        <x:v>448078096</x:v>
      </x:c>
      <x:c r="C708" s="9" t="n">
        <x:f>MOD(B708*16807,2147483647)</x:f>
        <x:v>1770893090</x:v>
      </x:c>
      <x:c r="D708" s="17" t="n">
        <x:f>IF('Control Room'!$B$5="Normal",'Control Room'!$B$7+'Control Room'!$D$7*SQRT(-2*LN(MAX(0.000000000001,B708/2147483647)))*COS(2*PI()*C708/2147483647),'Control Room'!$B$8+('Control Room'!$D$8-'Control Room'!$B$8)*B708/2147483647)</x:f>
        <x:v>1072.0107737261226</x:v>
      </x:c>
      <x:c r="E708" s="17" t="n">
        <x:f>IF('Control Room'!$B$5="Normal",'Control Room'!$B$7,('Control Room'!$B$8+'Control Room'!$D$8)/2)+'Control Room'!$B$9*(E707-IF('Control Room'!$B$5="Normal",'Control Room'!$B$7,('Control Room'!$B$8+'Control Room'!$D$8)/2))+SQRT(1-'Control Room'!$B$9^2)*(D708-IF('Control Room'!$B$5="Normal",'Control Room'!$B$7,('Control Room'!$B$8+'Control Room'!$D$8)/2))</x:f>
        <x:v>950.8466201911571</x:v>
      </x:c>
      <x:c r="F708" s="17" t="n">
        <x:f>IF(AND($A708&gt;='Control Room'!$A$13,$A708&lt;'Control Room'!$A$13+'Control Room'!$B$13,'Process'!BK2=1),1+('Control Room'!$C$13-1)*EXP(-0.5*(($A708-'Control Room'!$A$13-('Control Room'!$B$13-1)/2)/MAX(0.5,'Control Room'!$B$13/4))^2),1)*IF(AND($A708&gt;='Control Room'!$A$14,$A708&lt;'Control Room'!$A$14+'Control Room'!$B$14,'Process'!BK3=1),1+('Control Room'!$C$14-1)*EXP(-0.5*(($A708-'Control Room'!$A$14-('Control Room'!$B$14-1)/2)/MAX(0.5,'Control Room'!$B$14/4))^2),1)*IF(AND($A708&gt;='Control Room'!$A$15,$A708&lt;'Control Room'!$A$15+'Control Room'!$B$15,'Process'!BK4=1),1+('Control Room'!$C$15-1)*EXP(-0.5*(($A708-'Control Room'!$A$15-('Control Room'!$B$15-1)/2)/MAX(0.5,'Control Room'!$B$15/4))^2),1)*IF(AND($A708&gt;='Control Room'!$A$16,$A708&lt;'Control Room'!$A$16+'Control Room'!$B$16,'Process'!BK5=1),1+('Control Room'!$C$16-1)*EXP(-0.5*(($A708-'Control Room'!$A$16-('Control Room'!$B$16-1)/2)/MAX(0.5,'Control Room'!$B$16/4))^2),1)</x:f>
        <x:v>1</x:v>
      </x:c>
      <x:c r="G708" s="9" t="n">
        <x:f>MOD(H707*16807,2147483647)</x:f>
        <x:v>237779216</x:v>
      </x:c>
      <x:c r="H708" s="9" t="n">
        <x:f>MOD(G708*16807,2147483647)</x:f>
        <x:v>2035699892</x:v>
      </x:c>
      <x:c r="I708" s="17" t="n">
        <x:f>IF('Control Room'!$B$5="Normal",'Control Room'!$B$7+'Control Room'!$D$7*SQRT(-2*LN(MAX(0.000000000001,G708/2147483647)))*COS(2*PI()*H708/2147483647),'Control Room'!$B$8+('Control Room'!$D$8-'Control Room'!$B$8)*G708/2147483647)</x:f>
        <x:v>1178.8070121261876</x:v>
      </x:c>
      <x:c r="J708" s="17" t="n">
        <x:f>IF('Control Room'!$B$5="Normal",'Control Room'!$B$7,('Control Room'!$B$8+'Control Room'!$D$8)/2)+'Control Room'!$B$9*(J707-IF('Control Room'!$B$5="Normal",'Control Room'!$B$7,('Control Room'!$B$8+'Control Room'!$D$8)/2))+SQRT(1-'Control Room'!$B$9^2)*(I708-IF('Control Room'!$B$5="Normal",'Control Room'!$B$7,('Control Room'!$B$8+'Control Room'!$D$8)/2))</x:f>
        <x:v>1170.9584769104426</x:v>
      </x:c>
      <x:c r="K708" s="17" t="n">
        <x:f>IF(AND($A708&gt;='Control Room'!$A$13,$A708&lt;'Control Room'!$A$13+'Control Room'!$B$13,'Process'!BL2=1),1+('Control Room'!$C$13-1)*EXP(-0.5*(($A708-'Control Room'!$A$13-('Control Room'!$B$13-1)/2)/MAX(0.5,'Control Room'!$B$13/4))^2),1)*IF(AND($A708&gt;='Control Room'!$A$14,$A708&lt;'Control Room'!$A$14+'Control Room'!$B$14,'Process'!BL3=1),1+('Control Room'!$C$14-1)*EXP(-0.5*(($A708-'Control Room'!$A$14-('Control Room'!$B$14-1)/2)/MAX(0.5,'Control Room'!$B$14/4))^2),1)*IF(AND($A708&gt;='Control Room'!$A$15,$A708&lt;'Control Room'!$A$15+'Control Room'!$B$15,'Process'!BL4=1),1+('Control Room'!$C$15-1)*EXP(-0.5*(($A708-'Control Room'!$A$15-('Control Room'!$B$15-1)/2)/MAX(0.5,'Control Room'!$B$15/4))^2),1)*IF(AND($A708&gt;='Control Room'!$A$16,$A708&lt;'Control Room'!$A$16+'Control Room'!$B$16,'Process'!BL5=1),1+('Control Room'!$C$16-1)*EXP(-0.5*(($A708-'Control Room'!$A$16-('Control Room'!$B$16-1)/2)/MAX(0.5,'Control Room'!$B$16/4))^2),1)</x:f>
        <x:v>1</x:v>
      </x:c>
      <x:c r="L708" s="9" t="n">
        <x:f>MOD(M707*16807,2147483647)</x:f>
        <x:v>27480336</x:v>
      </x:c>
      <x:c r="M708" s="9" t="n">
        <x:f>MOD(L708*16807,2147483647)</x:f>
        <x:v>153023047</x:v>
      </x:c>
      <x:c r="N708" s="17" t="n">
        <x:f>IF('Control Room'!$B$5="Normal",'Control Room'!$B$7+'Control Room'!$D$7*SQRT(-2*LN(MAX(0.000000000001,L708/2147483647)))*COS(2*PI()*M708/2147483647),'Control Room'!$B$8+('Control Room'!$D$8-'Control Room'!$B$8)*L708/2147483647)</x:f>
        <x:v>1239.5328819638146</x:v>
      </x:c>
      <x:c r="O708" s="17" t="n">
        <x:f>IF('Control Room'!$B$5="Normal",'Control Room'!$B$7,('Control Room'!$B$8+'Control Room'!$D$8)/2)+'Control Room'!$B$9*(O707-IF('Control Room'!$B$5="Normal",'Control Room'!$B$7,('Control Room'!$B$8+'Control Room'!$D$8)/2))+SQRT(1-'Control Room'!$B$9^2)*(N708-IF('Control Room'!$B$5="Normal",'Control Room'!$B$7,('Control Room'!$B$8+'Control Room'!$D$8)/2))</x:f>
        <x:v>966.5179417406016</x:v>
      </x:c>
      <x:c r="P708" s="17" t="n">
        <x:f>IF(AND($A708&gt;='Control Room'!$A$13,$A708&lt;'Control Room'!$A$13+'Control Room'!$B$13,'Process'!BM2=1),1+('Control Room'!$C$13-1)*EXP(-0.5*(($A708-'Control Room'!$A$13-('Control Room'!$B$13-1)/2)/MAX(0.5,'Control Room'!$B$13/4))^2),1)*IF(AND($A708&gt;='Control Room'!$A$14,$A708&lt;'Control Room'!$A$14+'Control Room'!$B$14,'Process'!BM3=1),1+('Control Room'!$C$14-1)*EXP(-0.5*(($A708-'Control Room'!$A$14-('Control Room'!$B$14-1)/2)/MAX(0.5,'Control Room'!$B$14/4))^2),1)*IF(AND($A708&gt;='Control Room'!$A$15,$A708&lt;'Control Room'!$A$15+'Control Room'!$B$15,'Process'!BM4=1),1+('Control Room'!$C$15-1)*EXP(-0.5*(($A708-'Control Room'!$A$15-('Control Room'!$B$15-1)/2)/MAX(0.5,'Control Room'!$B$15/4))^2),1)*IF(AND($A708&gt;='Control Room'!$A$16,$A708&lt;'Control Room'!$A$16+'Control Room'!$B$16,'Process'!BM5=1),1+('Control Room'!$C$16-1)*EXP(-0.5*(($A708-'Control Room'!$A$16-('Control Room'!$B$16-1)/2)/MAX(0.5,'Control Room'!$B$16/4))^2),1)</x:f>
        <x:v>1</x:v>
      </x:c>
      <x:c r="Q708" s="9" t="n">
        <x:f>MOD(R707*16807,2147483647)</x:f>
        <x:v>1964665103</x:v>
      </x:c>
      <x:c r="R708" s="9" t="n">
        <x:f>MOD(Q708*16807,2147483647)</x:f>
        <x:v>417829849</x:v>
      </x:c>
      <x:c r="S708" s="17" t="n">
        <x:f>IF('Control Room'!$B$5="Normal",'Control Room'!$B$7+'Control Room'!$D$7*SQRT(-2*LN(MAX(0.000000000001,Q708/2147483647)))*COS(2*PI()*R708/2147483647),'Control Room'!$B$8+('Control Room'!$D$8-'Control Room'!$B$8)*Q708/2147483647)</x:f>
        <x:v>1012.9575166412793</x:v>
      </x:c>
      <x:c r="T708" s="17" t="n">
        <x:f>IF('Control Room'!$B$5="Normal",'Control Room'!$B$7,('Control Room'!$B$8+'Control Room'!$D$8)/2)+'Control Room'!$B$9*(T707-IF('Control Room'!$B$5="Normal",'Control Room'!$B$7,('Control Room'!$B$8+'Control Room'!$D$8)/2))+SQRT(1-'Control Room'!$B$9^2)*(S708-IF('Control Room'!$B$5="Normal",'Control Room'!$B$7,('Control Room'!$B$8+'Control Room'!$D$8)/2))</x:f>
        <x:v>987.9441968568746</x:v>
      </x:c>
      <x:c r="U708" s="17" t="n">
        <x:f>IF(AND($A708&gt;='Control Room'!$A$13,$A708&lt;'Control Room'!$A$13+'Control Room'!$B$13,'Process'!BN2=1),1+('Control Room'!$C$13-1)*EXP(-0.5*(($A708-'Control Room'!$A$13-('Control Room'!$B$13-1)/2)/MAX(0.5,'Control Room'!$B$13/4))^2),1)*IF(AND($A708&gt;='Control Room'!$A$14,$A708&lt;'Control Room'!$A$14+'Control Room'!$B$14,'Process'!BN3=1),1+('Control Room'!$C$14-1)*EXP(-0.5*(($A708-'Control Room'!$A$14-('Control Room'!$B$14-1)/2)/MAX(0.5,'Control Room'!$B$14/4))^2),1)*IF(AND($A708&gt;='Control Room'!$A$15,$A708&lt;'Control Room'!$A$15+'Control Room'!$B$15,'Process'!BN4=1),1+('Control Room'!$C$15-1)*EXP(-0.5*(($A708-'Control Room'!$A$15-('Control Room'!$B$15-1)/2)/MAX(0.5,'Control Room'!$B$15/4))^2),1)*IF(AND($A708&gt;='Control Room'!$A$16,$A708&lt;'Control Room'!$A$16+'Control Room'!$B$16,'Process'!BN5=1),1+('Control Room'!$C$16-1)*EXP(-0.5*(($A708-'Control Room'!$A$16-('Control Room'!$B$16-1)/2)/MAX(0.5,'Control Room'!$B$16/4))^2),1)</x:f>
        <x:v>1</x:v>
      </x:c>
      <x:c r="V708" s="9" t="n">
        <x:f>MOD(W707*16807,2147483647)</x:f>
        <x:v>1754366223</x:v>
      </x:c>
      <x:c r="W708" s="9" t="n">
        <x:f>MOD(V708*16807,2147483647)</x:f>
        <x:v>682636651</x:v>
      </x:c>
      <x:c r="X708" s="17" t="n">
        <x:f>IF('Control Room'!$B$5="Normal",'Control Room'!$B$7+'Control Room'!$D$7*SQRT(-2*LN(MAX(0.000000000001,V708/2147483647)))*COS(2*PI()*W708/2147483647),'Control Room'!$B$8+('Control Room'!$D$8-'Control Room'!$B$8)*V708/2147483647)</x:f>
        <x:v>976.324706366864</x:v>
      </x:c>
      <x:c r="Y708" s="17" t="n">
        <x:f>IF('Control Room'!$B$5="Normal",'Control Room'!$B$7,('Control Room'!$B$8+'Control Room'!$D$8)/2)+'Control Room'!$B$9*(Y707-IF('Control Room'!$B$5="Normal",'Control Room'!$B$7,('Control Room'!$B$8+'Control Room'!$D$8)/2))+SQRT(1-'Control Room'!$B$9^2)*(X708-IF('Control Room'!$B$5="Normal",'Control Room'!$B$7,('Control Room'!$B$8+'Control Room'!$D$8)/2))</x:f>
        <x:v>964.6960047793119</x:v>
      </x:c>
      <x:c r="Z708" s="17" t="n">
        <x:f>IF(AND($A708&gt;='Control Room'!$A$13,$A708&lt;'Control Room'!$A$13+'Control Room'!$B$13,'Process'!BO2=1),1+('Control Room'!$C$13-1)*EXP(-0.5*(($A708-'Control Room'!$A$13-('Control Room'!$B$13-1)/2)/MAX(0.5,'Control Room'!$B$13/4))^2),1)*IF(AND($A708&gt;='Control Room'!$A$14,$A708&lt;'Control Room'!$A$14+'Control Room'!$B$14,'Process'!BO3=1),1+('Control Room'!$C$14-1)*EXP(-0.5*(($A708-'Control Room'!$A$14-('Control Room'!$B$14-1)/2)/MAX(0.5,'Control Room'!$B$14/4))^2),1)*IF(AND($A708&gt;='Control Room'!$A$15,$A708&lt;'Control Room'!$A$15+'Control Room'!$B$15,'Process'!BO4=1),1+('Control Room'!$C$15-1)*EXP(-0.5*(($A708-'Control Room'!$A$15-('Control Room'!$B$15-1)/2)/MAX(0.5,'Control Room'!$B$15/4))^2),1)*IF(AND($A708&gt;='Control Room'!$A$16,$A708&lt;'Control Room'!$A$16+'Control Room'!$B$16,'Process'!BO5=1),1+('Control Room'!$C$16-1)*EXP(-0.5*(($A708-'Control Room'!$A$16-('Control Room'!$B$16-1)/2)/MAX(0.5,'Control Room'!$B$16/4))^2),1)</x:f>
        <x:v>1</x:v>
      </x:c>
      <x:c r="AA708" s="9" t="n">
        <x:f>MOD(AB707*16807,2147483647)</x:f>
        <x:v>1544067343</x:v>
      </x:c>
      <x:c r="AB708" s="9" t="n">
        <x:f>MOD(AA708*16807,2147483647)</x:f>
        <x:v>947443453</x:v>
      </x:c>
      <x:c r="AC708" s="17" t="n">
        <x:f>IF('Control Room'!$B$5="Normal",'Control Room'!$B$7+'Control Room'!$D$7*SQRT(-2*LN(MAX(0.000000000001,AA708/2147483647)))*COS(2*PI()*AB708/2147483647),'Control Room'!$B$8+('Control Room'!$D$8-'Control Room'!$B$8)*AA708/2147483647)</x:f>
        <x:v>931.8319077180392</x:v>
      </x:c>
      <x:c r="AD708" s="17" t="n">
        <x:f>IF('Control Room'!$B$5="Normal",'Control Room'!$B$7,('Control Room'!$B$8+'Control Room'!$D$8)/2)+'Control Room'!$B$9*(AD707-IF('Control Room'!$B$5="Normal",'Control Room'!$B$7,('Control Room'!$B$8+'Control Room'!$D$8)/2))+SQRT(1-'Control Room'!$B$9^2)*(AC708-IF('Control Room'!$B$5="Normal",'Control Room'!$B$7,('Control Room'!$B$8+'Control Room'!$D$8)/2))</x:f>
        <x:v>933.7058376005601</x:v>
      </x:c>
      <x:c r="AE708" s="17" t="n">
        <x:f>IF(AND($A708&gt;='Control Room'!$A$13,$A708&lt;'Control Room'!$A$13+'Control Room'!$B$13,'Process'!BP2=1),1+('Control Room'!$C$13-1)*EXP(-0.5*(($A708-'Control Room'!$A$13-('Control Room'!$B$13-1)/2)/MAX(0.5,'Control Room'!$B$13/4))^2),1)*IF(AND($A708&gt;='Control Room'!$A$14,$A708&lt;'Control Room'!$A$14+'Control Room'!$B$14,'Process'!BP3=1),1+('Control Room'!$C$14-1)*EXP(-0.5*(($A708-'Control Room'!$A$14-('Control Room'!$B$14-1)/2)/MAX(0.5,'Control Room'!$B$14/4))^2),1)*IF(AND($A708&gt;='Control Room'!$A$15,$A708&lt;'Control Room'!$A$15+'Control Room'!$B$15,'Process'!BP4=1),1+('Control Room'!$C$15-1)*EXP(-0.5*(($A708-'Control Room'!$A$15-('Control Room'!$B$15-1)/2)/MAX(0.5,'Control Room'!$B$15/4))^2),1)*IF(AND($A708&gt;='Control Room'!$A$16,$A708&lt;'Control Room'!$A$16+'Control Room'!$B$16,'Process'!BP5=1),1+('Control Room'!$C$16-1)*EXP(-0.5*(($A708-'Control Room'!$A$16-('Control Room'!$B$16-1)/2)/MAX(0.5,'Control Room'!$B$16/4))^2),1)</x:f>
        <x:v>1</x:v>
      </x:c>
      <x:c r="AF708" s="9" t="n">
        <x:f>MOD(AG707*16807,2147483647)</x:f>
        <x:v>1333768463</x:v>
      </x:c>
      <x:c r="AG708" s="9" t="n">
        <x:f>MOD(AF708*16807,2147483647)</x:f>
        <x:v>1212250255</x:v>
      </x:c>
      <x:c r="AH708" s="17" t="n">
        <x:f>IF('Control Room'!$B$5="Normal",'Control Room'!$B$7+'Control Room'!$D$7*SQRT(-2*LN(MAX(0.000000000001,AF708/2147483647)))*COS(2*PI()*AG708/2147483647),'Control Room'!$B$8+('Control Room'!$D$8-'Control Room'!$B$8)*AF708/2147483647)</x:f>
        <x:v>919.2747703700925</x:v>
      </x:c>
      <x:c r="AI708" s="17" t="n">
        <x:f>IF('Control Room'!$B$5="Normal",'Control Room'!$B$7,('Control Room'!$B$8+'Control Room'!$D$8)/2)+'Control Room'!$B$9*(AI707-IF('Control Room'!$B$5="Normal",'Control Room'!$B$7,('Control Room'!$B$8+'Control Room'!$D$8)/2))+SQRT(1-'Control Room'!$B$9^2)*(AH708-IF('Control Room'!$B$5="Normal",'Control Room'!$B$7,('Control Room'!$B$8+'Control Room'!$D$8)/2))</x:f>
        <x:v>990.8382232845787</x:v>
      </x:c>
      <x:c r="AJ708" s="17" t="n">
        <x:f>IF(AND($A708&gt;='Control Room'!$A$13,$A708&lt;'Control Room'!$A$13+'Control Room'!$B$13,'Process'!BQ2=1),1+('Control Room'!$C$13-1)*EXP(-0.5*(($A708-'Control Room'!$A$13-('Control Room'!$B$13-1)/2)/MAX(0.5,'Control Room'!$B$13/4))^2),1)*IF(AND($A708&gt;='Control Room'!$A$14,$A708&lt;'Control Room'!$A$14+'Control Room'!$B$14,'Process'!BQ3=1),1+('Control Room'!$C$14-1)*EXP(-0.5*(($A708-'Control Room'!$A$14-('Control Room'!$B$14-1)/2)/MAX(0.5,'Control Room'!$B$14/4))^2),1)*IF(AND($A708&gt;='Control Room'!$A$15,$A708&lt;'Control Room'!$A$15+'Control Room'!$B$15,'Process'!BQ4=1),1+('Control Room'!$C$15-1)*EXP(-0.5*(($A708-'Control Room'!$A$15-('Control Room'!$B$15-1)/2)/MAX(0.5,'Control Room'!$B$15/4))^2),1)*IF(AND($A708&gt;='Control Room'!$A$16,$A708&lt;'Control Room'!$A$16+'Control Room'!$B$16,'Process'!BQ5=1),1+('Control Room'!$C$16-1)*EXP(-0.5*(($A708-'Control Room'!$A$16-('Control Room'!$B$16-1)/2)/MAX(0.5,'Control Room'!$B$16/4))^2),1)</x:f>
        <x:v>1</x:v>
      </x:c>
      <x:c r="AK708" s="9" t="n">
        <x:f>MOD(AL707*16807,2147483647)</x:f>
        <x:v>1123469583</x:v>
      </x:c>
      <x:c r="AL708" s="9" t="n">
        <x:f>MOD(AK708*16807,2147483647)</x:f>
        <x:v>1477057057</x:v>
      </x:c>
      <x:c r="AM708" s="17" t="n">
        <x:f>IF('Control Room'!$B$5="Normal",'Control Room'!$B$7+'Control Room'!$D$7*SQRT(-2*LN(MAX(0.000000000001,AK708/2147483647)))*COS(2*PI()*AL708/2147483647),'Control Room'!$B$8+('Control Room'!$D$8-'Control Room'!$B$8)*AK708/2147483647)</x:f>
        <x:v>960.978294358976</x:v>
      </x:c>
      <x:c r="AN708" s="17" t="n">
        <x:f>IF('Control Room'!$B$5="Normal",'Control Room'!$B$7,('Control Room'!$B$8+'Control Room'!$D$8)/2)+'Control Room'!$B$9*(AN707-IF('Control Room'!$B$5="Normal",'Control Room'!$B$7,('Control Room'!$B$8+'Control Room'!$D$8)/2))+SQRT(1-'Control Room'!$B$9^2)*(AM708-IF('Control Room'!$B$5="Normal",'Control Room'!$B$7,('Control Room'!$B$8+'Control Room'!$D$8)/2))</x:f>
        <x:v>948.3218097808809</x:v>
      </x:c>
      <x:c r="AO708" s="17" t="n">
        <x:f>IF(AND($A708&gt;='Control Room'!$A$13,$A708&lt;'Control Room'!$A$13+'Control Room'!$B$13,'Process'!BR2=1),1+('Control Room'!$C$13-1)*EXP(-0.5*(($A708-'Control Room'!$A$13-('Control Room'!$B$13-1)/2)/MAX(0.5,'Control Room'!$B$13/4))^2),1)*IF(AND($A708&gt;='Control Room'!$A$14,$A708&lt;'Control Room'!$A$14+'Control Room'!$B$14,'Process'!BR3=1),1+('Control Room'!$C$14-1)*EXP(-0.5*(($A708-'Control Room'!$A$14-('Control Room'!$B$14-1)/2)/MAX(0.5,'Control Room'!$B$14/4))^2),1)*IF(AND($A708&gt;='Control Room'!$A$15,$A708&lt;'Control Room'!$A$15+'Control Room'!$B$15,'Process'!BR4=1),1+('Control Room'!$C$15-1)*EXP(-0.5*(($A708-'Control Room'!$A$15-('Control Room'!$B$15-1)/2)/MAX(0.5,'Control Room'!$B$15/4))^2),1)*IF(AND($A708&gt;='Control Room'!$A$16,$A708&lt;'Control Room'!$A$16+'Control Room'!$B$16,'Process'!BR5=1),1+('Control Room'!$C$16-1)*EXP(-0.5*(($A708-'Control Room'!$A$16-('Control Room'!$B$16-1)/2)/MAX(0.5,'Control Room'!$B$16/4))^2),1)</x:f>
        <x:v>1</x:v>
      </x:c>
      <x:c r="AP708" s="9" t="n">
        <x:f>MOD(AQ707*16807,2147483647)</x:f>
        <x:v>913170703</x:v>
      </x:c>
      <x:c r="AQ708" s="9" t="n">
        <x:f>MOD(AP708*16807,2147483647)</x:f>
        <x:v>1741863859</x:v>
      </x:c>
      <x:c r="AR708" s="17" t="n">
        <x:f>IF('Control Room'!$B$5="Normal",'Control Room'!$B$7+'Control Room'!$D$7*SQRT(-2*LN(MAX(0.000000000001,AP708/2147483647)))*COS(2*PI()*AQ708/2147483647),'Control Room'!$B$8+('Control Room'!$D$8-'Control Room'!$B$8)*AP708/2147483647)</x:f>
        <x:v>1044.0959952420403</x:v>
      </x:c>
      <x:c r="AS708" s="17" t="n">
        <x:f>IF('Control Room'!$B$5="Normal",'Control Room'!$B$7,('Control Room'!$B$8+'Control Room'!$D$8)/2)+'Control Room'!$B$9*(AS707-IF('Control Room'!$B$5="Normal",'Control Room'!$B$7,('Control Room'!$B$8+'Control Room'!$D$8)/2))+SQRT(1-'Control Room'!$B$9^2)*(AR708-IF('Control Room'!$B$5="Normal",'Control Room'!$B$7,('Control Room'!$B$8+'Control Room'!$D$8)/2))</x:f>
        <x:v>1029.3246220527658</x:v>
      </x:c>
      <x:c r="AT708" s="17" t="n">
        <x:f>IF(AND($A708&gt;='Control Room'!$A$13,$A708&lt;'Control Room'!$A$13+'Control Room'!$B$13,'Process'!BS2=1),1+('Control Room'!$C$13-1)*EXP(-0.5*(($A708-'Control Room'!$A$13-('Control Room'!$B$13-1)/2)/MAX(0.5,'Control Room'!$B$13/4))^2),1)*IF(AND($A708&gt;='Control Room'!$A$14,$A708&lt;'Control Room'!$A$14+'Control Room'!$B$14,'Process'!BS3=1),1+('Control Room'!$C$14-1)*EXP(-0.5*(($A708-'Control Room'!$A$14-('Control Room'!$B$14-1)/2)/MAX(0.5,'Control Room'!$B$14/4))^2),1)*IF(AND($A708&gt;='Control Room'!$A$15,$A708&lt;'Control Room'!$A$15+'Control Room'!$B$15,'Process'!BS4=1),1+('Control Room'!$C$15-1)*EXP(-0.5*(($A708-'Control Room'!$A$15-('Control Room'!$B$15-1)/2)/MAX(0.5,'Control Room'!$B$15/4))^2),1)*IF(AND($A708&gt;='Control Room'!$A$16,$A708&lt;'Control Room'!$A$16+'Control Room'!$B$16,'Process'!BS5=1),1+('Control Room'!$C$16-1)*EXP(-0.5*(($A708-'Control Room'!$A$16-('Control Room'!$B$16-1)/2)/MAX(0.5,'Control Room'!$B$16/4))^2),1)</x:f>
        <x:v>1</x:v>
      </x:c>
      <x:c r="AU708" s="9" t="n">
        <x:f>MOD(AV707*16807,2147483647)</x:f>
        <x:v>702871823</x:v>
      </x:c>
      <x:c r="AV708" s="9" t="n">
        <x:f>MOD(AU708*16807,2147483647)</x:f>
        <x:v>2006670661</x:v>
      </x:c>
      <x:c r="AW708" s="17" t="n">
        <x:f>IF('Control Room'!$B$5="Normal",'Control Room'!$B$7+'Control Room'!$D$7*SQRT(-2*LN(MAX(0.000000000001,AU708/2147483647)))*COS(2*PI()*AV708/2147483647),'Control Room'!$B$8+('Control Room'!$D$8-'Control Room'!$B$8)*AU708/2147483647)</x:f>
        <x:v>1123.2562903949608</x:v>
      </x:c>
      <x:c r="AX708" s="17" t="n">
        <x:f>IF('Control Room'!$B$5="Normal",'Control Room'!$B$7,('Control Room'!$B$8+'Control Room'!$D$8)/2)+'Control Room'!$B$9*(AX707-IF('Control Room'!$B$5="Normal",'Control Room'!$B$7,('Control Room'!$B$8+'Control Room'!$D$8)/2))+SQRT(1-'Control Room'!$B$9^2)*(AW708-IF('Control Room'!$B$5="Normal",'Control Room'!$B$7,('Control Room'!$B$8+'Control Room'!$D$8)/2))</x:f>
        <x:v>1141.4756902026998</x:v>
      </x:c>
      <x:c r="AY708" s="17" t="n">
        <x:f>IF(AND($A708&gt;='Control Room'!$A$13,$A708&lt;'Control Room'!$A$13+'Control Room'!$B$13,'Process'!BT2=1),1+('Control Room'!$C$13-1)*EXP(-0.5*(($A708-'Control Room'!$A$13-('Control Room'!$B$13-1)/2)/MAX(0.5,'Control Room'!$B$13/4))^2),1)*IF(AND($A708&gt;='Control Room'!$A$14,$A708&lt;'Control Room'!$A$14+'Control Room'!$B$14,'Process'!BT3=1),1+('Control Room'!$C$14-1)*EXP(-0.5*(($A708-'Control Room'!$A$14-('Control Room'!$B$14-1)/2)/MAX(0.5,'Control Room'!$B$14/4))^2),1)*IF(AND($A708&gt;='Control Room'!$A$15,$A708&lt;'Control Room'!$A$15+'Control Room'!$B$15,'Process'!BT4=1),1+('Control Room'!$C$15-1)*EXP(-0.5*(($A708-'Control Room'!$A$15-('Control Room'!$B$15-1)/2)/MAX(0.5,'Control Room'!$B$15/4))^2),1)*IF(AND($A708&gt;='Control Room'!$A$16,$A708&lt;'Control Room'!$A$16+'Control Room'!$B$16,'Process'!BT5=1),1+('Control Room'!$C$16-1)*EXP(-0.5*(($A708-'Control Room'!$A$16-('Control Room'!$B$16-1)/2)/MAX(0.5,'Control Room'!$B$16/4))^2),1)</x:f>
        <x:v>1</x:v>
      </x:c>
      <x:c r="AZ708" s="9" t="n">
        <x:f>MOD(BA707*16807,2147483647)</x:f>
        <x:v>492572943</x:v>
      </x:c>
      <x:c r="BA708" s="9" t="n">
        <x:f>MOD(AZ708*16807,2147483647)</x:f>
        <x:v>123993816</x:v>
      </x:c>
      <x:c r="BB708" s="17" t="n">
        <x:f>IF('Control Room'!$B$5="Normal",'Control Room'!$B$7+'Control Room'!$D$7*SQRT(-2*LN(MAX(0.000000000001,AZ708/2147483647)))*COS(2*PI()*BA708/2147483647),'Control Room'!$B$8+('Control Room'!$D$8-'Control Room'!$B$8)*AZ708/2147483647)</x:f>
        <x:v>1144.3917894727015</x:v>
      </x:c>
      <x:c r="BC708" s="17" t="n">
        <x:f>IF('Control Room'!$B$5="Normal",'Control Room'!$B$7,('Control Room'!$B$8+'Control Room'!$D$8)/2)+'Control Room'!$B$9*(BC707-IF('Control Room'!$B$5="Normal",'Control Room'!$B$7,('Control Room'!$B$8+'Control Room'!$D$8)/2))+SQRT(1-'Control Room'!$B$9^2)*(BB708-IF('Control Room'!$B$5="Normal",'Control Room'!$B$7,('Control Room'!$B$8+'Control Room'!$D$8)/2))</x:f>
        <x:v>1114.1918656559594</x:v>
      </x:c>
      <x:c r="BD708" s="17" t="n">
        <x:f>IF(AND($A708&gt;='Control Room'!$A$13,$A708&lt;'Control Room'!$A$13+'Control Room'!$B$13,'Process'!BU2=1),1+('Control Room'!$C$13-1)*EXP(-0.5*(($A708-'Control Room'!$A$13-('Control Room'!$B$13-1)/2)/MAX(0.5,'Control Room'!$B$13/4))^2),1)*IF(AND($A708&gt;='Control Room'!$A$14,$A708&lt;'Control Room'!$A$14+'Control Room'!$B$14,'Process'!BU3=1),1+('Control Room'!$C$14-1)*EXP(-0.5*(($A708-'Control Room'!$A$14-('Control Room'!$B$14-1)/2)/MAX(0.5,'Control Room'!$B$14/4))^2),1)*IF(AND($A708&gt;='Control Room'!$A$15,$A708&lt;'Control Room'!$A$15+'Control Room'!$B$15,'Process'!BU4=1),1+('Control Room'!$C$15-1)*EXP(-0.5*(($A708-'Control Room'!$A$15-('Control Room'!$B$15-1)/2)/MAX(0.5,'Control Room'!$B$15/4))^2),1)*IF(AND($A708&gt;='Control Room'!$A$16,$A708&lt;'Control Room'!$A$16+'Control Room'!$B$16,'Process'!BU5=1),1+('Control Room'!$C$16-1)*EXP(-0.5*(($A708-'Control Room'!$A$16-('Control Room'!$B$16-1)/2)/MAX(0.5,'Control Room'!$B$16/4))^2),1)</x:f>
        <x:v>1</x:v>
      </x:c>
      <x:c r="BE708" s="9" t="n">
        <x:f>MOD(BF707*16807,2147483647)</x:f>
        <x:v>282274063</x:v>
      </x:c>
      <x:c r="BF708" s="9" t="n">
        <x:f>MOD(BE708*16807,2147483647)</x:f>
        <x:v>388800618</x:v>
      </x:c>
      <x:c r="BG708" s="17" t="n">
        <x:f>IF('Control Room'!$B$5="Normal",'Control Room'!$B$7+'Control Room'!$D$7*SQRT(-2*LN(MAX(0.000000000001,BE708/2147483647)))*COS(2*PI()*BF708/2147483647),'Control Room'!$B$8+('Control Room'!$D$8-'Control Room'!$B$8)*BE708/2147483647)</x:f>
        <x:v>1076.1138582386875</x:v>
      </x:c>
      <x:c r="BH708" s="17" t="n">
        <x:f>IF('Control Room'!$B$5="Normal",'Control Room'!$B$7,('Control Room'!$B$8+'Control Room'!$D$8)/2)+'Control Room'!$B$9*(BH707-IF('Control Room'!$B$5="Normal",'Control Room'!$B$7,('Control Room'!$B$8+'Control Room'!$D$8)/2))+SQRT(1-'Control Room'!$B$9^2)*(BG708-IF('Control Room'!$B$5="Normal",'Control Room'!$B$7,('Control Room'!$B$8+'Control Room'!$D$8)/2))</x:f>
        <x:v>1004.8780824440415</x:v>
      </x:c>
      <x:c r="BI708" s="17" t="n">
        <x:f>IF(AND($A708&gt;='Control Room'!$A$13,$A708&lt;'Control Room'!$A$13+'Control Room'!$B$13,'Process'!BV2=1),1+('Control Room'!$C$13-1)*EXP(-0.5*(($A708-'Control Room'!$A$13-('Control Room'!$B$13-1)/2)/MAX(0.5,'Control Room'!$B$13/4))^2),1)*IF(AND($A708&gt;='Control Room'!$A$14,$A708&lt;'Control Room'!$A$14+'Control Room'!$B$14,'Process'!BV3=1),1+('Control Room'!$C$14-1)*EXP(-0.5*(($A708-'Control Room'!$A$14-('Control Room'!$B$14-1)/2)/MAX(0.5,'Control Room'!$B$14/4))^2),1)*IF(AND($A708&gt;='Control Room'!$A$15,$A708&lt;'Control Room'!$A$15+'Control Room'!$B$15,'Process'!BV4=1),1+('Control Room'!$C$15-1)*EXP(-0.5*(($A708-'Control Room'!$A$15-('Control Room'!$B$15-1)/2)/MAX(0.5,'Control Room'!$B$15/4))^2),1)*IF(AND($A708&gt;='Control Room'!$A$16,$A708&lt;'Control Room'!$A$16+'Control Room'!$B$16,'Process'!BV5=1),1+('Control Room'!$C$16-1)*EXP(-0.5*(($A708-'Control Room'!$A$16-('Control Room'!$B$16-1)/2)/MAX(0.5,'Control Room'!$B$16/4))^2),1)</x:f>
        <x:v>1</x:v>
      </x:c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Z708" t="str">
        <x:f>IF('Data'!A708="","",TEXT('Data'!A708,"mm-dd"))</x:f>
      </x:c>
    </x:row>
    <x:row r="709" ht="21" customHeight="1">
      <x:c r="A709" s="15" t="n">
        <x:f>'Control Room'!$B$1+707</x:f>
        <x:v>73698</x:v>
      </x:c>
      <x:c r="B709" s="9" t="n">
        <x:f>MOD(C708*16807,2147483647)</x:f>
        <x:v>1424299857</x:v>
      </x:c>
      <x:c r="C709" s="9" t="n">
        <x:f>MOD(B709*16807,2147483647)</x:f>
        <x:v>207483490</x:v>
      </x:c>
      <x:c r="D709" s="17" t="n">
        <x:f>IF('Control Room'!$B$5="Normal",'Control Room'!$B$7+'Control Room'!$D$7*SQRT(-2*LN(MAX(0.000000000001,B709/2147483647)))*COS(2*PI()*C709/2147483647),'Control Room'!$B$8+('Control Room'!$D$8-'Control Room'!$B$8)*B709/2147483647)</x:f>
        <x:v>1066.987201879404</x:v>
      </x:c>
      <x:c r="E709" s="17" t="n">
        <x:f>IF('Control Room'!$B$5="Normal",'Control Room'!$B$7,('Control Room'!$B$8+'Control Room'!$D$8)/2)+'Control Room'!$B$9*(E708-IF('Control Room'!$B$5="Normal",'Control Room'!$B$7,('Control Room'!$B$8+'Control Room'!$D$8)/2))+SQRT(1-'Control Room'!$B$9^2)*(D709-IF('Control Room'!$B$5="Normal",'Control Room'!$B$7,('Control Room'!$B$8+'Control Room'!$D$8)/2))</x:f>
        <x:v>1003.5795823778114</x:v>
      </x:c>
      <x:c r="F709" s="17" t="n">
        <x:f>IF(AND($A709&gt;='Control Room'!$A$13,$A709&lt;'Control Room'!$A$13+'Control Room'!$B$13,'Process'!BK2=1),1+('Control Room'!$C$13-1)*EXP(-0.5*(($A709-'Control Room'!$A$13-('Control Room'!$B$13-1)/2)/MAX(0.5,'Control Room'!$B$13/4))^2),1)*IF(AND($A709&gt;='Control Room'!$A$14,$A709&lt;'Control Room'!$A$14+'Control Room'!$B$14,'Process'!BK3=1),1+('Control Room'!$C$14-1)*EXP(-0.5*(($A709-'Control Room'!$A$14-('Control Room'!$B$14-1)/2)/MAX(0.5,'Control Room'!$B$14/4))^2),1)*IF(AND($A709&gt;='Control Room'!$A$15,$A709&lt;'Control Room'!$A$15+'Control Room'!$B$15,'Process'!BK4=1),1+('Control Room'!$C$15-1)*EXP(-0.5*(($A709-'Control Room'!$A$15-('Control Room'!$B$15-1)/2)/MAX(0.5,'Control Room'!$B$15/4))^2),1)*IF(AND($A709&gt;='Control Room'!$A$16,$A709&lt;'Control Room'!$A$16+'Control Room'!$B$16,'Process'!BK5=1),1+('Control Room'!$C$16-1)*EXP(-0.5*(($A709-'Control Room'!$A$16-('Control Room'!$B$16-1)/2)/MAX(0.5,'Control Room'!$B$16/4))^2),1)</x:f>
        <x:v>1</x:v>
      </x:c>
      <x:c r="G709" s="9" t="n">
        <x:f>MOD(H708*16807,2147483647)</x:f>
        <x:v>298620840</x:v>
      </x:c>
      <x:c r="H709" s="9" t="n">
        <x:f>MOD(G709*16807,2147483647)</x:f>
        <x:v>251174841</x:v>
      </x:c>
      <x:c r="I709" s="17" t="n">
        <x:f>IF('Control Room'!$B$5="Normal",'Control Room'!$B$7+'Control Room'!$D$7*SQRT(-2*LN(MAX(0.000000000001,G709/2147483647)))*COS(2*PI()*H709/2147483647),'Control Room'!$B$8+('Control Room'!$D$8-'Control Room'!$B$8)*G709/2147483647)</x:f>
        <x:v>1132.6334421516856</x:v>
      </x:c>
      <x:c r="J709" s="17" t="n">
        <x:f>IF('Control Room'!$B$5="Normal",'Control Room'!$B$7,('Control Room'!$B$8+'Control Room'!$D$8)/2)+'Control Room'!$B$9*(J708-IF('Control Room'!$B$5="Normal",'Control Room'!$B$7,('Control Room'!$B$8+'Control Room'!$D$8)/2))+SQRT(1-'Control Room'!$B$9^2)*(I709-IF('Control Room'!$B$5="Normal",'Control Room'!$B$7,('Control Room'!$B$8+'Control Room'!$D$8)/2))</x:f>
        <x:v>1216.3469029449177</x:v>
      </x:c>
      <x:c r="K709" s="17" t="n">
        <x:f>IF(AND($A709&gt;='Control Room'!$A$13,$A709&lt;'Control Room'!$A$13+'Control Room'!$B$13,'Process'!BL2=1),1+('Control Room'!$C$13-1)*EXP(-0.5*(($A709-'Control Room'!$A$13-('Control Room'!$B$13-1)/2)/MAX(0.5,'Control Room'!$B$13/4))^2),1)*IF(AND($A709&gt;='Control Room'!$A$14,$A709&lt;'Control Room'!$A$14+'Control Room'!$B$14,'Process'!BL3=1),1+('Control Room'!$C$14-1)*EXP(-0.5*(($A709-'Control Room'!$A$14-('Control Room'!$B$14-1)/2)/MAX(0.5,'Control Room'!$B$14/4))^2),1)*IF(AND($A709&gt;='Control Room'!$A$15,$A709&lt;'Control Room'!$A$15+'Control Room'!$B$15,'Process'!BL4=1),1+('Control Room'!$C$15-1)*EXP(-0.5*(($A709-'Control Room'!$A$15-('Control Room'!$B$15-1)/2)/MAX(0.5,'Control Room'!$B$15/4))^2),1)*IF(AND($A709&gt;='Control Room'!$A$16,$A709&lt;'Control Room'!$A$16+'Control Room'!$B$16,'Process'!BL5=1),1+('Control Room'!$C$16-1)*EXP(-0.5*(($A709-'Control Room'!$A$16-('Control Room'!$B$16-1)/2)/MAX(0.5,'Control Room'!$B$16/4))^2),1)</x:f>
        <x:v>1</x:v>
      </x:c>
      <x:c r="L709" s="9" t="n">
        <x:f>MOD(M708*16807,2147483647)</x:f>
        <x:v>1320425470</x:v>
      </x:c>
      <x:c r="M709" s="9" t="n">
        <x:f>MOD(L709*16807,2147483647)</x:f>
        <x:v>294866192</x:v>
      </x:c>
      <x:c r="N709" s="17" t="n">
        <x:f>IF('Control Room'!$B$5="Normal",'Control Room'!$B$7+'Control Room'!$D$7*SQRT(-2*LN(MAX(0.000000000001,L709/2147483647)))*COS(2*PI()*M709/2147483647),'Control Room'!$B$8+('Control Room'!$D$8-'Control Room'!$B$8)*L709/2147483647)</x:f>
        <x:v>1057.7280065527746</x:v>
      </x:c>
      <x:c r="O709" s="17" t="n">
        <x:f>IF('Control Room'!$B$5="Normal",'Control Room'!$B$7,('Control Room'!$B$8+'Control Room'!$D$8)/2)+'Control Room'!$B$9*(O708-IF('Control Room'!$B$5="Normal",'Control Room'!$B$7,('Control Room'!$B$8+'Control Room'!$D$8)/2))+SQRT(1-'Control Room'!$B$9^2)*(N709-IF('Control Room'!$B$5="Normal",'Control Room'!$B$7,('Control Room'!$B$8+'Control Room'!$D$8)/2))</x:f>
        <x:v>1010.0089984359</x:v>
      </x:c>
      <x:c r="P709" s="17" t="n">
        <x:f>IF(AND($A709&gt;='Control Room'!$A$13,$A709&lt;'Control Room'!$A$13+'Control Room'!$B$13,'Process'!BM2=1),1+('Control Room'!$C$13-1)*EXP(-0.5*(($A709-'Control Room'!$A$13-('Control Room'!$B$13-1)/2)/MAX(0.5,'Control Room'!$B$13/4))^2),1)*IF(AND($A709&gt;='Control Room'!$A$14,$A709&lt;'Control Room'!$A$14+'Control Room'!$B$14,'Process'!BM3=1),1+('Control Room'!$C$14-1)*EXP(-0.5*(($A709-'Control Room'!$A$14-('Control Room'!$B$14-1)/2)/MAX(0.5,'Control Room'!$B$14/4))^2),1)*IF(AND($A709&gt;='Control Room'!$A$15,$A709&lt;'Control Room'!$A$15+'Control Room'!$B$15,'Process'!BM4=1),1+('Control Room'!$C$15-1)*EXP(-0.5*(($A709-'Control Room'!$A$15-('Control Room'!$B$15-1)/2)/MAX(0.5,'Control Room'!$B$15/4))^2),1)*IF(AND($A709&gt;='Control Room'!$A$16,$A709&lt;'Control Room'!$A$16+'Control Room'!$B$16,'Process'!BM5=1),1+('Control Room'!$C$16-1)*EXP(-0.5*(($A709-'Control Room'!$A$16-('Control Room'!$B$16-1)/2)/MAX(0.5,'Control Room'!$B$16/4))^2),1)</x:f>
        <x:v>1</x:v>
      </x:c>
      <x:c r="Q709" s="9" t="n">
        <x:f>MOD(R708*16807,2147483647)</x:f>
        <x:v>194746453</x:v>
      </x:c>
      <x:c r="R709" s="9" t="n">
        <x:f>MOD(Q709*16807,2147483647)</x:f>
        <x:v>338557543</x:v>
      </x:c>
      <x:c r="S709" s="17" t="n">
        <x:f>IF('Control Room'!$B$5="Normal",'Control Room'!$B$7+'Control Room'!$D$7*SQRT(-2*LN(MAX(0.000000000001,Q709/2147483647)))*COS(2*PI()*R709/2147483647),'Control Room'!$B$8+('Control Room'!$D$8-'Control Room'!$B$8)*Q709/2147483647)</x:f>
        <x:v>1108.1057200460039</x:v>
      </x:c>
      <x:c r="T709" s="17" t="n">
        <x:f>IF('Control Room'!$B$5="Normal",'Control Room'!$B$7,('Control Room'!$B$8+'Control Room'!$D$8)/2)+'Control Room'!$B$9*(T708-IF('Control Room'!$B$5="Normal",'Control Room'!$B$7,('Control Room'!$B$8+'Control Room'!$D$8)/2))+SQRT(1-'Control Room'!$B$9^2)*(S709-IF('Control Room'!$B$5="Normal",'Control Room'!$B$7,('Control Room'!$B$8+'Control Room'!$D$8)/2))</x:f>
        <x:v>1058.2468184870984</x:v>
      </x:c>
      <x:c r="U709" s="17" t="n">
        <x:f>IF(AND($A709&gt;='Control Room'!$A$13,$A709&lt;'Control Room'!$A$13+'Control Room'!$B$13,'Process'!BN2=1),1+('Control Room'!$C$13-1)*EXP(-0.5*(($A709-'Control Room'!$A$13-('Control Room'!$B$13-1)/2)/MAX(0.5,'Control Room'!$B$13/4))^2),1)*IF(AND($A709&gt;='Control Room'!$A$14,$A709&lt;'Control Room'!$A$14+'Control Room'!$B$14,'Process'!BN3=1),1+('Control Room'!$C$14-1)*EXP(-0.5*(($A709-'Control Room'!$A$14-('Control Room'!$B$14-1)/2)/MAX(0.5,'Control Room'!$B$14/4))^2),1)*IF(AND($A709&gt;='Control Room'!$A$15,$A709&lt;'Control Room'!$A$15+'Control Room'!$B$15,'Process'!BN4=1),1+('Control Room'!$C$15-1)*EXP(-0.5*(($A709-'Control Room'!$A$15-('Control Room'!$B$15-1)/2)/MAX(0.5,'Control Room'!$B$15/4))^2),1)*IF(AND($A709&gt;='Control Room'!$A$16,$A709&lt;'Control Room'!$A$16+'Control Room'!$B$16,'Process'!BN5=1),1+('Control Room'!$C$16-1)*EXP(-0.5*(($A709-'Control Room'!$A$16-('Control Room'!$B$16-1)/2)/MAX(0.5,'Control Room'!$B$16/4))^2),1)</x:f>
        <x:v>1</x:v>
      </x:c>
      <x:c r="V709" s="9" t="n">
        <x:f>MOD(W708*16807,2147483647)</x:f>
        <x:v>1216551083</x:v>
      </x:c>
      <x:c r="W709" s="9" t="n">
        <x:f>MOD(V709*16807,2147483647)</x:f>
        <x:v>382248894</x:v>
      </x:c>
      <x:c r="X709" s="17" t="n">
        <x:f>IF('Control Room'!$B$5="Normal",'Control Room'!$B$7+'Control Room'!$D$7*SQRT(-2*LN(MAX(0.000000000001,V709/2147483647)))*COS(2*PI()*W709/2147483647),'Control Room'!$B$8+('Control Room'!$D$8-'Control Room'!$B$8)*V709/2147483647)</x:f>
        <x:v>1041.941342588864</x:v>
      </x:c>
      <x:c r="Y709" s="17" t="n">
        <x:f>IF('Control Room'!$B$5="Normal",'Control Room'!$B$7,('Control Room'!$B$8+'Control Room'!$D$8)/2)+'Control Room'!$B$9*(Y708-IF('Control Room'!$B$5="Normal",'Control Room'!$B$7,('Control Room'!$B$8+'Control Room'!$D$8)/2))+SQRT(1-'Control Room'!$B$9^2)*(X709-IF('Control Room'!$B$5="Normal",'Control Room'!$B$7,('Control Room'!$B$8+'Control Room'!$D$8)/2))</x:f>
        <x:v>998.708916704869</x:v>
      </x:c>
      <x:c r="Z709" s="17" t="n">
        <x:f>IF(AND($A709&gt;='Control Room'!$A$13,$A709&lt;'Control Room'!$A$13+'Control Room'!$B$13,'Process'!BO2=1),1+('Control Room'!$C$13-1)*EXP(-0.5*(($A709-'Control Room'!$A$13-('Control Room'!$B$13-1)/2)/MAX(0.5,'Control Room'!$B$13/4))^2),1)*IF(AND($A709&gt;='Control Room'!$A$14,$A709&lt;'Control Room'!$A$14+'Control Room'!$B$14,'Process'!BO3=1),1+('Control Room'!$C$14-1)*EXP(-0.5*(($A709-'Control Room'!$A$14-('Control Room'!$B$14-1)/2)/MAX(0.5,'Control Room'!$B$14/4))^2),1)*IF(AND($A709&gt;='Control Room'!$A$15,$A709&lt;'Control Room'!$A$15+'Control Room'!$B$15,'Process'!BO4=1),1+('Control Room'!$C$15-1)*EXP(-0.5*(($A709-'Control Room'!$A$15-('Control Room'!$B$15-1)/2)/MAX(0.5,'Control Room'!$B$15/4))^2),1)*IF(AND($A709&gt;='Control Room'!$A$16,$A709&lt;'Control Room'!$A$16+'Control Room'!$B$16,'Process'!BO5=1),1+('Control Room'!$C$16-1)*EXP(-0.5*(($A709-'Control Room'!$A$16-('Control Room'!$B$16-1)/2)/MAX(0.5,'Control Room'!$B$16/4))^2),1)</x:f>
        <x:v>1</x:v>
      </x:c>
      <x:c r="AA709" s="9" t="n">
        <x:f>MOD(AB708*16807,2147483647)</x:f>
        <x:v>90872066</x:v>
      </x:c>
      <x:c r="AB709" s="9" t="n">
        <x:f>MOD(AA709*16807,2147483647)</x:f>
        <x:v>425940245</x:v>
      </x:c>
      <x:c r="AC709" s="17" t="n">
        <x:f>IF('Control Room'!$B$5="Normal",'Control Room'!$B$7+'Control Room'!$D$7*SQRT(-2*LN(MAX(0.000000000001,AA709/2147483647)))*COS(2*PI()*AB709/2147483647),'Control Room'!$B$8+('Control Room'!$D$8-'Control Room'!$B$8)*AA709/2147483647)</x:f>
        <x:v>1072.1820699730697</x:v>
      </x:c>
      <x:c r="AD709" s="17" t="n">
        <x:f>IF('Control Room'!$B$5="Normal",'Control Room'!$B$7,('Control Room'!$B$8+'Control Room'!$D$8)/2)+'Control Room'!$B$9*(AD708-IF('Control Room'!$B$5="Normal",'Control Room'!$B$7,('Control Room'!$B$8+'Control Room'!$D$8)/2))+SQRT(1-'Control Room'!$B$9^2)*(AC709-IF('Control Room'!$B$5="Normal",'Control Room'!$B$7,('Control Room'!$B$8+'Control Room'!$D$8)/2))</x:f>
        <x:v>993.4606139875044</x:v>
      </x:c>
      <x:c r="AE709" s="17" t="n">
        <x:f>IF(AND($A709&gt;='Control Room'!$A$13,$A709&lt;'Control Room'!$A$13+'Control Room'!$B$13,'Process'!BP2=1),1+('Control Room'!$C$13-1)*EXP(-0.5*(($A709-'Control Room'!$A$13-('Control Room'!$B$13-1)/2)/MAX(0.5,'Control Room'!$B$13/4))^2),1)*IF(AND($A709&gt;='Control Room'!$A$14,$A709&lt;'Control Room'!$A$14+'Control Room'!$B$14,'Process'!BP3=1),1+('Control Room'!$C$14-1)*EXP(-0.5*(($A709-'Control Room'!$A$14-('Control Room'!$B$14-1)/2)/MAX(0.5,'Control Room'!$B$14/4))^2),1)*IF(AND($A709&gt;='Control Room'!$A$15,$A709&lt;'Control Room'!$A$15+'Control Room'!$B$15,'Process'!BP4=1),1+('Control Room'!$C$15-1)*EXP(-0.5*(($A709-'Control Room'!$A$15-('Control Room'!$B$15-1)/2)/MAX(0.5,'Control Room'!$B$15/4))^2),1)*IF(AND($A709&gt;='Control Room'!$A$16,$A709&lt;'Control Room'!$A$16+'Control Room'!$B$16,'Process'!BP5=1),1+('Control Room'!$C$16-1)*EXP(-0.5*(($A709-'Control Room'!$A$16-('Control Room'!$B$16-1)/2)/MAX(0.5,'Control Room'!$B$16/4))^2),1)</x:f>
        <x:v>1</x:v>
      </x:c>
      <x:c r="AF709" s="9" t="n">
        <x:f>MOD(AG708*16807,2147483647)</x:f>
        <x:v>1112676696</x:v>
      </x:c>
      <x:c r="AG709" s="9" t="n">
        <x:f>MOD(AF709*16807,2147483647)</x:f>
        <x:v>469631596</x:v>
      </x:c>
      <x:c r="AH709" s="17" t="n">
        <x:f>IF('Control Room'!$B$5="Normal",'Control Room'!$B$7+'Control Room'!$D$7*SQRT(-2*LN(MAX(0.000000000001,AF709/2147483647)))*COS(2*PI()*AG709/2147483647),'Control Room'!$B$8+('Control Room'!$D$8-'Control Room'!$B$8)*AF709/2147483647)</x:f>
        <x:v>1020.1735783011485</x:v>
      </x:c>
      <x:c r="AI709" s="17" t="n">
        <x:f>IF('Control Room'!$B$5="Normal",'Control Room'!$B$7,('Control Room'!$B$8+'Control Room'!$D$8)/2)+'Control Room'!$B$9*(AI708-IF('Control Room'!$B$5="Normal",'Control Room'!$B$7,('Control Room'!$B$8+'Control Room'!$D$8)/2))+SQRT(1-'Control Room'!$B$9^2)*(AH709-IF('Control Room'!$B$5="Normal",'Control Room'!$B$7,('Control Room'!$B$8+'Control Room'!$D$8)/2))</x:f>
        <x:v>1005.4780261846149</x:v>
      </x:c>
      <x:c r="AJ709" s="17" t="n">
        <x:f>IF(AND($A709&gt;='Control Room'!$A$13,$A709&lt;'Control Room'!$A$13+'Control Room'!$B$13,'Process'!BQ2=1),1+('Control Room'!$C$13-1)*EXP(-0.5*(($A709-'Control Room'!$A$13-('Control Room'!$B$13-1)/2)/MAX(0.5,'Control Room'!$B$13/4))^2),1)*IF(AND($A709&gt;='Control Room'!$A$14,$A709&lt;'Control Room'!$A$14+'Control Room'!$B$14,'Process'!BQ3=1),1+('Control Room'!$C$14-1)*EXP(-0.5*(($A709-'Control Room'!$A$14-('Control Room'!$B$14-1)/2)/MAX(0.5,'Control Room'!$B$14/4))^2),1)*IF(AND($A709&gt;='Control Room'!$A$15,$A709&lt;'Control Room'!$A$15+'Control Room'!$B$15,'Process'!BQ4=1),1+('Control Room'!$C$15-1)*EXP(-0.5*(($A709-'Control Room'!$A$15-('Control Room'!$B$15-1)/2)/MAX(0.5,'Control Room'!$B$15/4))^2),1)*IF(AND($A709&gt;='Control Room'!$A$16,$A709&lt;'Control Room'!$A$16+'Control Room'!$B$16,'Process'!BQ5=1),1+('Control Room'!$C$16-1)*EXP(-0.5*(($A709-'Control Room'!$A$16-('Control Room'!$B$16-1)/2)/MAX(0.5,'Control Room'!$B$16/4))^2),1)</x:f>
        <x:v>1</x:v>
      </x:c>
      <x:c r="AK709" s="9" t="n">
        <x:f>MOD(AL708*16807,2147483647)</x:f>
        <x:v>2134481326</x:v>
      </x:c>
      <x:c r="AL709" s="9" t="n">
        <x:f>MOD(AK709*16807,2147483647)</x:f>
        <x:v>513322947</x:v>
      </x:c>
      <x:c r="AM709" s="17" t="n">
        <x:f>IF('Control Room'!$B$5="Normal",'Control Room'!$B$7+'Control Room'!$D$7*SQRT(-2*LN(MAX(0.000000000001,AK709/2147483647)))*COS(2*PI()*AL709/2147483647),'Control Room'!$B$8+('Control Room'!$D$8-'Control Room'!$B$8)*AK709/2147483647)</x:f>
        <x:v>1000.6828444679188</x:v>
      </x:c>
      <x:c r="AN709" s="17" t="n">
        <x:f>IF('Control Room'!$B$5="Normal",'Control Room'!$B$7,('Control Room'!$B$8+'Control Room'!$D$8)/2)+'Control Room'!$B$9*(AN708-IF('Control Room'!$B$5="Normal",'Control Room'!$B$7,('Control Room'!$B$8+'Control Room'!$D$8)/2))+SQRT(1-'Control Room'!$B$9^2)*(AM709-IF('Control Room'!$B$5="Normal",'Control Room'!$B$7,('Control Room'!$B$8+'Control Room'!$D$8)/2))</x:f>
        <x:v>960.1183217082814</x:v>
      </x:c>
      <x:c r="AO709" s="17" t="n">
        <x:f>IF(AND($A709&gt;='Control Room'!$A$13,$A709&lt;'Control Room'!$A$13+'Control Room'!$B$13,'Process'!BR2=1),1+('Control Room'!$C$13-1)*EXP(-0.5*(($A709-'Control Room'!$A$13-('Control Room'!$B$13-1)/2)/MAX(0.5,'Control Room'!$B$13/4))^2),1)*IF(AND($A709&gt;='Control Room'!$A$14,$A709&lt;'Control Room'!$A$14+'Control Room'!$B$14,'Process'!BR3=1),1+('Control Room'!$C$14-1)*EXP(-0.5*(($A709-'Control Room'!$A$14-('Control Room'!$B$14-1)/2)/MAX(0.5,'Control Room'!$B$14/4))^2),1)*IF(AND($A709&gt;='Control Room'!$A$15,$A709&lt;'Control Room'!$A$15+'Control Room'!$B$15,'Process'!BR4=1),1+('Control Room'!$C$15-1)*EXP(-0.5*(($A709-'Control Room'!$A$15-('Control Room'!$B$15-1)/2)/MAX(0.5,'Control Room'!$B$15/4))^2),1)*IF(AND($A709&gt;='Control Room'!$A$16,$A709&lt;'Control Room'!$A$16+'Control Room'!$B$16,'Process'!BR5=1),1+('Control Room'!$C$16-1)*EXP(-0.5*(($A709-'Control Room'!$A$16-('Control Room'!$B$16-1)/2)/MAX(0.5,'Control Room'!$B$16/4))^2),1)</x:f>
        <x:v>1</x:v>
      </x:c>
      <x:c r="AP709" s="9" t="n">
        <x:f>MOD(AQ708*16807,2147483647)</x:f>
        <x:v>1008802309</x:v>
      </x:c>
      <x:c r="AQ709" s="9" t="n">
        <x:f>MOD(AP709*16807,2147483647)</x:f>
        <x:v>557014298</x:v>
      </x:c>
      <x:c r="AR709" s="17" t="n">
        <x:f>IF('Control Room'!$B$5="Normal",'Control Room'!$B$7+'Control Room'!$D$7*SQRT(-2*LN(MAX(0.000000000001,AP709/2147483647)))*COS(2*PI()*AQ709/2147483647),'Control Room'!$B$8+('Control Room'!$D$8-'Control Room'!$B$8)*AP709/2147483647)</x:f>
        <x:v>993.4834872142088</x:v>
      </x:c>
      <x:c r="AS709" s="17" t="n">
        <x:f>IF('Control Room'!$B$5="Normal",'Control Room'!$B$7,('Control Room'!$B$8+'Control Room'!$D$8)/2)+'Control Room'!$B$9*(AS708-IF('Control Room'!$B$5="Normal",'Control Room'!$B$7,('Control Room'!$B$8+'Control Room'!$D$8)/2))+SQRT(1-'Control Room'!$B$9^2)*(AR709-IF('Control Room'!$B$5="Normal",'Control Room'!$B$7,('Control Room'!$B$8+'Control Room'!$D$8)/2))</x:f>
        <x:v>1018.7953049978299</x:v>
      </x:c>
      <x:c r="AT709" s="17" t="n">
        <x:f>IF(AND($A709&gt;='Control Room'!$A$13,$A709&lt;'Control Room'!$A$13+'Control Room'!$B$13,'Process'!BS2=1),1+('Control Room'!$C$13-1)*EXP(-0.5*(($A709-'Control Room'!$A$13-('Control Room'!$B$13-1)/2)/MAX(0.5,'Control Room'!$B$13/4))^2),1)*IF(AND($A709&gt;='Control Room'!$A$14,$A709&lt;'Control Room'!$A$14+'Control Room'!$B$14,'Process'!BS3=1),1+('Control Room'!$C$14-1)*EXP(-0.5*(($A709-'Control Room'!$A$14-('Control Room'!$B$14-1)/2)/MAX(0.5,'Control Room'!$B$14/4))^2),1)*IF(AND($A709&gt;='Control Room'!$A$15,$A709&lt;'Control Room'!$A$15+'Control Room'!$B$15,'Process'!BS4=1),1+('Control Room'!$C$15-1)*EXP(-0.5*(($A709-'Control Room'!$A$15-('Control Room'!$B$15-1)/2)/MAX(0.5,'Control Room'!$B$15/4))^2),1)*IF(AND($A709&gt;='Control Room'!$A$16,$A709&lt;'Control Room'!$A$16+'Control Room'!$B$16,'Process'!BS5=1),1+('Control Room'!$C$16-1)*EXP(-0.5*(($A709-'Control Room'!$A$16-('Control Room'!$B$16-1)/2)/MAX(0.5,'Control Room'!$B$16/4))^2),1)</x:f>
        <x:v>1</x:v>
      </x:c>
      <x:c r="AU709" s="9" t="n">
        <x:f>MOD(AV708*16807,2147483647)</x:f>
        <x:v>2030606939</x:v>
      </x:c>
      <x:c r="AV709" s="9" t="n">
        <x:f>MOD(AU709*16807,2147483647)</x:f>
        <x:v>600705649</x:v>
      </x:c>
      <x:c r="AW709" s="17" t="n">
        <x:f>IF('Control Room'!$B$5="Normal",'Control Room'!$B$7+'Control Room'!$D$7*SQRT(-2*LN(MAX(0.000000000001,AU709/2147483647)))*COS(2*PI()*AV709/2147483647),'Control Room'!$B$8+('Control Room'!$D$8-'Control Room'!$B$8)*AU709/2147483647)</x:f>
        <x:v>994.4090778751333</x:v>
      </x:c>
      <x:c r="AX709" s="17" t="n">
        <x:f>IF('Control Room'!$B$5="Normal",'Control Room'!$B$7,('Control Room'!$B$8+'Control Room'!$D$8)/2)+'Control Room'!$B$9*(AX708-IF('Control Room'!$B$5="Normal",'Control Room'!$B$7,('Control Room'!$B$8+'Control Room'!$D$8)/2))+SQRT(1-'Control Room'!$B$9^2)*(AW709-IF('Control Room'!$B$5="Normal",'Control Room'!$B$7,('Control Room'!$B$8+'Control Room'!$D$8)/2))</x:f>
        <x:v>1106.8523538286297</x:v>
      </x:c>
      <x:c r="AY709" s="17" t="n">
        <x:f>IF(AND($A709&gt;='Control Room'!$A$13,$A709&lt;'Control Room'!$A$13+'Control Room'!$B$13,'Process'!BT2=1),1+('Control Room'!$C$13-1)*EXP(-0.5*(($A709-'Control Room'!$A$13-('Control Room'!$B$13-1)/2)/MAX(0.5,'Control Room'!$B$13/4))^2),1)*IF(AND($A709&gt;='Control Room'!$A$14,$A709&lt;'Control Room'!$A$14+'Control Room'!$B$14,'Process'!BT3=1),1+('Control Room'!$C$14-1)*EXP(-0.5*(($A709-'Control Room'!$A$14-('Control Room'!$B$14-1)/2)/MAX(0.5,'Control Room'!$B$14/4))^2),1)*IF(AND($A709&gt;='Control Room'!$A$15,$A709&lt;'Control Room'!$A$15+'Control Room'!$B$15,'Process'!BT4=1),1+('Control Room'!$C$15-1)*EXP(-0.5*(($A709-'Control Room'!$A$15-('Control Room'!$B$15-1)/2)/MAX(0.5,'Control Room'!$B$15/4))^2),1)*IF(AND($A709&gt;='Control Room'!$A$16,$A709&lt;'Control Room'!$A$16+'Control Room'!$B$16,'Process'!BT5=1),1+('Control Room'!$C$16-1)*EXP(-0.5*(($A709-'Control Room'!$A$16-('Control Room'!$B$16-1)/2)/MAX(0.5,'Control Room'!$B$16/4))^2),1)</x:f>
        <x:v>1</x:v>
      </x:c>
      <x:c r="AZ709" s="9" t="n">
        <x:f>MOD(BA708*16807,2147483647)</x:f>
        <x:v>904927922</x:v>
      </x:c>
      <x:c r="BA709" s="9" t="n">
        <x:f>MOD(AZ709*16807,2147483647)</x:f>
        <x:v>644397000</x:v>
      </x:c>
      <x:c r="BB709" s="17" t="n">
        <x:f>IF('Control Room'!$B$5="Normal",'Control Room'!$B$7+'Control Room'!$D$7*SQRT(-2*LN(MAX(0.000000000001,AZ709/2147483647)))*COS(2*PI()*BA709/2147483647),'Control Room'!$B$8+('Control Room'!$D$8-'Control Room'!$B$8)*AZ709/2147483647)</x:f>
        <x:v>963.3866220586347</x:v>
      </x:c>
      <x:c r="BC709" s="17" t="n">
        <x:f>IF('Control Room'!$B$5="Normal",'Control Room'!$B$7,('Control Room'!$B$8+'Control Room'!$D$8)/2)+'Control Room'!$B$9*(BC708-IF('Control Room'!$B$5="Normal",'Control Room'!$B$7,('Control Room'!$B$8+'Control Room'!$D$8)/2))+SQRT(1-'Control Room'!$B$9^2)*(BB709-IF('Control Room'!$B$5="Normal",'Control Room'!$B$7,('Control Room'!$B$8+'Control Room'!$D$8)/2))</x:f>
        <x:v>1066.1577533617588</x:v>
      </x:c>
      <x:c r="BD709" s="17" t="n">
        <x:f>IF(AND($A709&gt;='Control Room'!$A$13,$A709&lt;'Control Room'!$A$13+'Control Room'!$B$13,'Process'!BU2=1),1+('Control Room'!$C$13-1)*EXP(-0.5*(($A709-'Control Room'!$A$13-('Control Room'!$B$13-1)/2)/MAX(0.5,'Control Room'!$B$13/4))^2),1)*IF(AND($A709&gt;='Control Room'!$A$14,$A709&lt;'Control Room'!$A$14+'Control Room'!$B$14,'Process'!BU3=1),1+('Control Room'!$C$14-1)*EXP(-0.5*(($A709-'Control Room'!$A$14-('Control Room'!$B$14-1)/2)/MAX(0.5,'Control Room'!$B$14/4))^2),1)*IF(AND($A709&gt;='Control Room'!$A$15,$A709&lt;'Control Room'!$A$15+'Control Room'!$B$15,'Process'!BU4=1),1+('Control Room'!$C$15-1)*EXP(-0.5*(($A709-'Control Room'!$A$15-('Control Room'!$B$15-1)/2)/MAX(0.5,'Control Room'!$B$15/4))^2),1)*IF(AND($A709&gt;='Control Room'!$A$16,$A709&lt;'Control Room'!$A$16+'Control Room'!$B$16,'Process'!BU5=1),1+('Control Room'!$C$16-1)*EXP(-0.5*(($A709-'Control Room'!$A$16-('Control Room'!$B$16-1)/2)/MAX(0.5,'Control Room'!$B$16/4))^2),1)</x:f>
        <x:v>1</x:v>
      </x:c>
      <x:c r="BE709" s="9" t="n">
        <x:f>MOD(BF708*16807,2147483647)</x:f>
        <x:v>1926732552</x:v>
      </x:c>
      <x:c r="BF709" s="9" t="n">
        <x:f>MOD(BE709*16807,2147483647)</x:f>
        <x:v>688088351</x:v>
      </x:c>
      <x:c r="BG709" s="17" t="n">
        <x:f>IF('Control Room'!$B$5="Normal",'Control Room'!$B$7+'Control Room'!$D$7*SQRT(-2*LN(MAX(0.000000000001,BE709/2147483647)))*COS(2*PI()*BF709/2147483647),'Control Room'!$B$8+('Control Room'!$D$8-'Control Room'!$B$8)*BE709/2147483647)</x:f>
        <x:v>982.0524979967774</x:v>
      </x:c>
      <x:c r="BH709" s="17" t="n">
        <x:f>IF('Control Room'!$B$5="Normal",'Control Room'!$B$7,('Control Room'!$B$8+'Control Room'!$D$8)/2)+'Control Room'!$B$9*(BH708-IF('Control Room'!$B$5="Normal",'Control Room'!$B$7,('Control Room'!$B$8+'Control Room'!$D$8)/2))+SQRT(1-'Control Room'!$B$9^2)*(BG709-IF('Control Room'!$B$5="Normal",'Control Room'!$B$7,('Control Room'!$B$8+'Control Room'!$D$8)/2))</x:f>
        <x:v>992.5737252272991</x:v>
      </x:c>
      <x:c r="BI709" s="17" t="n">
        <x:f>IF(AND($A709&gt;='Control Room'!$A$13,$A709&lt;'Control Room'!$A$13+'Control Room'!$B$13,'Process'!BV2=1),1+('Control Room'!$C$13-1)*EXP(-0.5*(($A709-'Control Room'!$A$13-('Control Room'!$B$13-1)/2)/MAX(0.5,'Control Room'!$B$13/4))^2),1)*IF(AND($A709&gt;='Control Room'!$A$14,$A709&lt;'Control Room'!$A$14+'Control Room'!$B$14,'Process'!BV3=1),1+('Control Room'!$C$14-1)*EXP(-0.5*(($A709-'Control Room'!$A$14-('Control Room'!$B$14-1)/2)/MAX(0.5,'Control Room'!$B$14/4))^2),1)*IF(AND($A709&gt;='Control Room'!$A$15,$A709&lt;'Control Room'!$A$15+'Control Room'!$B$15,'Process'!BV4=1),1+('Control Room'!$C$15-1)*EXP(-0.5*(($A709-'Control Room'!$A$15-('Control Room'!$B$15-1)/2)/MAX(0.5,'Control Room'!$B$15/4))^2),1)*IF(AND($A709&gt;='Control Room'!$A$16,$A709&lt;'Control Room'!$A$16+'Control Room'!$B$16,'Process'!BV5=1),1+('Control Room'!$C$16-1)*EXP(-0.5*(($A709-'Control Room'!$A$16-('Control Room'!$B$16-1)/2)/MAX(0.5,'Control Room'!$B$16/4))^2),1)</x:f>
        <x:v>1</x:v>
      </x:c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Z709" t="str">
        <x:f>IF('Data'!A709="","",TEXT('Data'!A709,"mm-dd"))</x:f>
      </x:c>
    </x:row>
    <x:row r="710" ht="21" customHeight="1">
      <x:c r="A710" s="15" t="n">
        <x:f>'Control Room'!$B$1+708</x:f>
        <x:v>73699</x:v>
      </x:c>
      <x:c r="B710" s="9" t="n">
        <x:f>MOD(C709*16807,2147483647)</x:f>
        <x:v>1809057349</x:v>
      </x:c>
      <x:c r="C710" s="9" t="n">
        <x:f>MOD(B710*16807,2147483647)</x:f>
        <x:v>753390417</x:v>
      </x:c>
      <x:c r="D710" s="17" t="n">
        <x:f>IF('Control Room'!$B$5="Normal",'Control Room'!$B$7+'Control Room'!$D$7*SQRT(-2*LN(MAX(0.000000000001,B710/2147483647)))*COS(2*PI()*C710/2147483647),'Control Room'!$B$8+('Control Room'!$D$8-'Control Room'!$B$8)*B710/2147483647)</x:f>
        <x:v>968.7983558046918</x:v>
      </x:c>
      <x:c r="E710" s="17" t="n">
        <x:f>IF('Control Room'!$B$5="Normal",'Control Room'!$B$7,('Control Room'!$B$8+'Control Room'!$D$8)/2)+'Control Room'!$B$9*(E709-IF('Control Room'!$B$5="Normal",'Control Room'!$B$7,('Control Room'!$B$8+'Control Room'!$D$8)/2))+SQRT(1-'Control Room'!$B$9^2)*(D710-IF('Control Room'!$B$5="Normal",'Control Room'!$B$7,('Control Room'!$B$8+'Control Room'!$D$8)/2))</x:f>
        <x:v>983.266724517694</x:v>
      </x:c>
      <x:c r="F710" s="17" t="n">
        <x:f>IF(AND($A710&gt;='Control Room'!$A$13,$A710&lt;'Control Room'!$A$13+'Control Room'!$B$13,'Process'!BK2=1),1+('Control Room'!$C$13-1)*EXP(-0.5*(($A710-'Control Room'!$A$13-('Control Room'!$B$13-1)/2)/MAX(0.5,'Control Room'!$B$13/4))^2),1)*IF(AND($A710&gt;='Control Room'!$A$14,$A710&lt;'Control Room'!$A$14+'Control Room'!$B$14,'Process'!BK3=1),1+('Control Room'!$C$14-1)*EXP(-0.5*(($A710-'Control Room'!$A$14-('Control Room'!$B$14-1)/2)/MAX(0.5,'Control Room'!$B$14/4))^2),1)*IF(AND($A710&gt;='Control Room'!$A$15,$A710&lt;'Control Room'!$A$15+'Control Room'!$B$15,'Process'!BK4=1),1+('Control Room'!$C$15-1)*EXP(-0.5*(($A710-'Control Room'!$A$15-('Control Room'!$B$15-1)/2)/MAX(0.5,'Control Room'!$B$15/4))^2),1)*IF(AND($A710&gt;='Control Room'!$A$16,$A710&lt;'Control Room'!$A$16+'Control Room'!$B$16,'Process'!BK5=1),1+('Control Room'!$C$16-1)*EXP(-0.5*(($A710-'Control Room'!$A$16-('Control Room'!$B$16-1)/2)/MAX(0.5,'Control Room'!$B$16/4))^2),1)</x:f>
        <x:v>1</x:v>
      </x:c>
      <x:c r="G710" s="9" t="n">
        <x:f>MOD(H709*16807,2147483647)</x:f>
        <x:v>1690186332</x:v>
      </x:c>
      <x:c r="H710" s="9" t="n">
        <x:f>MOD(G710*16807,2147483647)</x:f>
        <x:v>47999408</x:v>
      </x:c>
      <x:c r="I710" s="17" t="n">
        <x:f>IF('Control Room'!$B$5="Normal",'Control Room'!$B$7+'Control Room'!$D$7*SQRT(-2*LN(MAX(0.000000000001,G710/2147483647)))*COS(2*PI()*H710/2147483647),'Control Room'!$B$8+('Control Room'!$D$8-'Control Room'!$B$8)*G710/2147483647)</x:f>
        <x:v>1061.6701819977222</x:v>
      </x:c>
      <x:c r="J710" s="17" t="n">
        <x:f>IF('Control Room'!$B$5="Normal",'Control Room'!$B$7,('Control Room'!$B$8+'Control Room'!$D$8)/2)+'Control Room'!$B$9*(J709-IF('Control Room'!$B$5="Normal",'Control Room'!$B$7,('Control Room'!$B$8+'Control Room'!$D$8)/2))+SQRT(1-'Control Room'!$B$9^2)*(I710-IF('Control Room'!$B$5="Normal",'Control Room'!$B$7,('Control Room'!$B$8+'Control Room'!$D$8)/2))</x:f>
        <x:v>1207.3425208088613</x:v>
      </x:c>
      <x:c r="K710" s="17" t="n">
        <x:f>IF(AND($A710&gt;='Control Room'!$A$13,$A710&lt;'Control Room'!$A$13+'Control Room'!$B$13,'Process'!BL2=1),1+('Control Room'!$C$13-1)*EXP(-0.5*(($A710-'Control Room'!$A$13-('Control Room'!$B$13-1)/2)/MAX(0.5,'Control Room'!$B$13/4))^2),1)*IF(AND($A710&gt;='Control Room'!$A$14,$A710&lt;'Control Room'!$A$14+'Control Room'!$B$14,'Process'!BL3=1),1+('Control Room'!$C$14-1)*EXP(-0.5*(($A710-'Control Room'!$A$14-('Control Room'!$B$14-1)/2)/MAX(0.5,'Control Room'!$B$14/4))^2),1)*IF(AND($A710&gt;='Control Room'!$A$15,$A710&lt;'Control Room'!$A$15+'Control Room'!$B$15,'Process'!BL4=1),1+('Control Room'!$C$15-1)*EXP(-0.5*(($A710-'Control Room'!$A$15-('Control Room'!$B$15-1)/2)/MAX(0.5,'Control Room'!$B$15/4))^2),1)*IF(AND($A710&gt;='Control Room'!$A$16,$A710&lt;'Control Room'!$A$16+'Control Room'!$B$16,'Process'!BL5=1),1+('Control Room'!$C$16-1)*EXP(-0.5*(($A710-'Control Room'!$A$16-('Control Room'!$B$16-1)/2)/MAX(0.5,'Control Room'!$B$16/4))^2),1)</x:f>
        <x:v>1</x:v>
      </x:c>
      <x:c r="L710" s="9" t="n">
        <x:f>MOD(M709*16807,2147483647)</x:f>
        <x:v>1571315315</x:v>
      </x:c>
      <x:c r="M710" s="9" t="n">
        <x:f>MOD(L710*16807,2147483647)</x:f>
        <x:v>1490092046</x:v>
      </x:c>
      <x:c r="N710" s="17" t="n">
        <x:f>IF('Control Room'!$B$5="Normal",'Control Room'!$B$7+'Control Room'!$D$7*SQRT(-2*LN(MAX(0.000000000001,L710/2147483647)))*COS(2*PI()*M710/2147483647),'Control Room'!$B$8+('Control Room'!$D$8-'Control Room'!$B$8)*L710/2147483647)</x:f>
        <x:v>975.4316822678628</x:v>
      </x:c>
      <x:c r="O710" s="17" t="n">
        <x:f>IF('Control Room'!$B$5="Normal",'Control Room'!$B$7,('Control Room'!$B$8+'Control Room'!$D$8)/2)+'Control Room'!$B$9*(O709-IF('Control Room'!$B$5="Normal",'Control Room'!$B$7,('Control Room'!$B$8+'Control Room'!$D$8)/2))+SQRT(1-'Control Room'!$B$9^2)*(N710-IF('Control Room'!$B$5="Normal",'Control Room'!$B$7,('Control Room'!$B$8+'Control Room'!$D$8)/2))</x:f>
        <x:v>992.4326688525766</x:v>
      </x:c>
      <x:c r="P710" s="17" t="n">
        <x:f>IF(AND($A710&gt;='Control Room'!$A$13,$A710&lt;'Control Room'!$A$13+'Control Room'!$B$13,'Process'!BM2=1),1+('Control Room'!$C$13-1)*EXP(-0.5*(($A710-'Control Room'!$A$13-('Control Room'!$B$13-1)/2)/MAX(0.5,'Control Room'!$B$13/4))^2),1)*IF(AND($A710&gt;='Control Room'!$A$14,$A710&lt;'Control Room'!$A$14+'Control Room'!$B$14,'Process'!BM3=1),1+('Control Room'!$C$14-1)*EXP(-0.5*(($A710-'Control Room'!$A$14-('Control Room'!$B$14-1)/2)/MAX(0.5,'Control Room'!$B$14/4))^2),1)*IF(AND($A710&gt;='Control Room'!$A$15,$A710&lt;'Control Room'!$A$15+'Control Room'!$B$15,'Process'!BM4=1),1+('Control Room'!$C$15-1)*EXP(-0.5*(($A710-'Control Room'!$A$15-('Control Room'!$B$15-1)/2)/MAX(0.5,'Control Room'!$B$15/4))^2),1)*IF(AND($A710&gt;='Control Room'!$A$16,$A710&lt;'Control Room'!$A$16+'Control Room'!$B$16,'Process'!BM5=1),1+('Control Room'!$C$16-1)*EXP(-0.5*(($A710-'Control Room'!$A$16-('Control Room'!$B$16-1)/2)/MAX(0.5,'Control Room'!$B$16/4))^2),1)</x:f>
        <x:v>1</x:v>
      </x:c>
      <x:c r="Q710" s="9" t="n">
        <x:f>MOD(R709*16807,2147483647)</x:f>
        <x:v>1452444298</x:v>
      </x:c>
      <x:c r="R710" s="9" t="n">
        <x:f>MOD(Q710*16807,2147483647)</x:f>
        <x:v>784701037</x:v>
      </x:c>
      <x:c r="S710" s="17" t="n">
        <x:f>IF('Control Room'!$B$5="Normal",'Control Room'!$B$7+'Control Room'!$D$7*SQRT(-2*LN(MAX(0.000000000001,Q710/2147483647)))*COS(2*PI()*R710/2147483647),'Control Room'!$B$8+('Control Room'!$D$8-'Control Room'!$B$8)*Q710/2147483647)</x:f>
        <x:v>947.2127101454071</x:v>
      </x:c>
      <x:c r="T710" s="17" t="n">
        <x:f>IF('Control Room'!$B$5="Normal",'Control Room'!$B$7,('Control Room'!$B$8+'Control Room'!$D$8)/2)+'Control Room'!$B$9*(T709-IF('Control Room'!$B$5="Normal",'Control Room'!$B$7,('Control Room'!$B$8+'Control Room'!$D$8)/2))+SQRT(1-'Control Room'!$B$9^2)*(S710-IF('Control Room'!$B$5="Normal",'Control Room'!$B$7,('Control Room'!$B$8+'Control Room'!$D$8)/2))</x:f>
        <x:v>1012.3993138353449</x:v>
      </x:c>
      <x:c r="U710" s="17" t="n">
        <x:f>IF(AND($A710&gt;='Control Room'!$A$13,$A710&lt;'Control Room'!$A$13+'Control Room'!$B$13,'Process'!BN2=1),1+('Control Room'!$C$13-1)*EXP(-0.5*(($A710-'Control Room'!$A$13-('Control Room'!$B$13-1)/2)/MAX(0.5,'Control Room'!$B$13/4))^2),1)*IF(AND($A710&gt;='Control Room'!$A$14,$A710&lt;'Control Room'!$A$14+'Control Room'!$B$14,'Process'!BN3=1),1+('Control Room'!$C$14-1)*EXP(-0.5*(($A710-'Control Room'!$A$14-('Control Room'!$B$14-1)/2)/MAX(0.5,'Control Room'!$B$14/4))^2),1)*IF(AND($A710&gt;='Control Room'!$A$15,$A710&lt;'Control Room'!$A$15+'Control Room'!$B$15,'Process'!BN4=1),1+('Control Room'!$C$15-1)*EXP(-0.5*(($A710-'Control Room'!$A$15-('Control Room'!$B$15-1)/2)/MAX(0.5,'Control Room'!$B$15/4))^2),1)*IF(AND($A710&gt;='Control Room'!$A$16,$A710&lt;'Control Room'!$A$16+'Control Room'!$B$16,'Process'!BN5=1),1+('Control Room'!$C$16-1)*EXP(-0.5*(($A710-'Control Room'!$A$16-('Control Room'!$B$16-1)/2)/MAX(0.5,'Control Room'!$B$16/4))^2),1)</x:f>
        <x:v>1</x:v>
      </x:c>
      <x:c r="V710" s="9" t="n">
        <x:f>MOD(W709*16807,2147483647)</x:f>
        <x:v>1333573281</x:v>
      </x:c>
      <x:c r="W710" s="9" t="n">
        <x:f>MOD(V710*16807,2147483647)</x:f>
        <x:v>79310028</x:v>
      </x:c>
      <x:c r="X710" s="17" t="n">
        <x:f>IF('Control Room'!$B$5="Normal",'Control Room'!$B$7+'Control Room'!$D$7*SQRT(-2*LN(MAX(0.000000000001,V710/2147483647)))*COS(2*PI()*W710/2147483647),'Control Room'!$B$8+('Control Room'!$D$8-'Control Room'!$B$8)*V710/2147483647)</x:f>
        <x:v>1085.4988294272937</x:v>
      </x:c>
      <x:c r="Y710" s="17" t="n">
        <x:f>IF('Control Room'!$B$5="Normal",'Control Room'!$B$7,('Control Room'!$B$8+'Control Room'!$D$8)/2)+'Control Room'!$B$9*(Y709-IF('Control Room'!$B$5="Normal",'Control Room'!$B$7,('Control Room'!$B$8+'Control Room'!$D$8)/2))+SQRT(1-'Control Room'!$B$9^2)*(X710-IF('Control Room'!$B$5="Normal",'Control Room'!$B$7,('Control Room'!$B$8+'Control Room'!$D$8)/2))</x:f>
        <x:v>1052.4963709466729</x:v>
      </x:c>
      <x:c r="Z710" s="17" t="n">
        <x:f>IF(AND($A710&gt;='Control Room'!$A$13,$A710&lt;'Control Room'!$A$13+'Control Room'!$B$13,'Process'!BO2=1),1+('Control Room'!$C$13-1)*EXP(-0.5*(($A710-'Control Room'!$A$13-('Control Room'!$B$13-1)/2)/MAX(0.5,'Control Room'!$B$13/4))^2),1)*IF(AND($A710&gt;='Control Room'!$A$14,$A710&lt;'Control Room'!$A$14+'Control Room'!$B$14,'Process'!BO3=1),1+('Control Room'!$C$14-1)*EXP(-0.5*(($A710-'Control Room'!$A$14-('Control Room'!$B$14-1)/2)/MAX(0.5,'Control Room'!$B$14/4))^2),1)*IF(AND($A710&gt;='Control Room'!$A$15,$A710&lt;'Control Room'!$A$15+'Control Room'!$B$15,'Process'!BO4=1),1+('Control Room'!$C$15-1)*EXP(-0.5*(($A710-'Control Room'!$A$15-('Control Room'!$B$15-1)/2)/MAX(0.5,'Control Room'!$B$15/4))^2),1)*IF(AND($A710&gt;='Control Room'!$A$16,$A710&lt;'Control Room'!$A$16+'Control Room'!$B$16,'Process'!BO5=1),1+('Control Room'!$C$16-1)*EXP(-0.5*(($A710-'Control Room'!$A$16-('Control Room'!$B$16-1)/2)/MAX(0.5,'Control Room'!$B$16/4))^2),1)</x:f>
        <x:v>1</x:v>
      </x:c>
      <x:c r="AA710" s="9" t="n">
        <x:f>MOD(AB709*16807,2147483647)</x:f>
        <x:v>1214702264</x:v>
      </x:c>
      <x:c r="AB710" s="9" t="n">
        <x:f>MOD(AA710*16807,2147483647)</x:f>
        <x:v>1521402666</x:v>
      </x:c>
      <x:c r="AC710" s="17" t="n">
        <x:f>IF('Control Room'!$B$5="Normal",'Control Room'!$B$7+'Control Room'!$D$7*SQRT(-2*LN(MAX(0.000000000001,AA710/2147483647)))*COS(2*PI()*AB710/2147483647),'Control Room'!$B$8+('Control Room'!$D$8-'Control Room'!$B$8)*AA710/2147483647)</x:f>
        <x:v>975.2064213545996</x:v>
      </x:c>
      <x:c r="AD710" s="17" t="n">
        <x:f>IF('Control Room'!$B$5="Normal",'Control Room'!$B$7,('Control Room'!$B$8+'Control Room'!$D$8)/2)+'Control Room'!$B$9*(AD709-IF('Control Room'!$B$5="Normal",'Control Room'!$B$7,('Control Room'!$B$8+'Control Room'!$D$8)/2))+SQRT(1-'Control Room'!$B$9^2)*(AC710-IF('Control Room'!$B$5="Normal",'Control Room'!$B$7,('Control Room'!$B$8+'Control Room'!$D$8)/2))</x:f>
        <x:v>979.3839653180286</x:v>
      </x:c>
      <x:c r="AE710" s="17" t="n">
        <x:f>IF(AND($A710&gt;='Control Room'!$A$13,$A710&lt;'Control Room'!$A$13+'Control Room'!$B$13,'Process'!BP2=1),1+('Control Room'!$C$13-1)*EXP(-0.5*(($A710-'Control Room'!$A$13-('Control Room'!$B$13-1)/2)/MAX(0.5,'Control Room'!$B$13/4))^2),1)*IF(AND($A710&gt;='Control Room'!$A$14,$A710&lt;'Control Room'!$A$14+'Control Room'!$B$14,'Process'!BP3=1),1+('Control Room'!$C$14-1)*EXP(-0.5*(($A710-'Control Room'!$A$14-('Control Room'!$B$14-1)/2)/MAX(0.5,'Control Room'!$B$14/4))^2),1)*IF(AND($A710&gt;='Control Room'!$A$15,$A710&lt;'Control Room'!$A$15+'Control Room'!$B$15,'Process'!BP4=1),1+('Control Room'!$C$15-1)*EXP(-0.5*(($A710-'Control Room'!$A$15-('Control Room'!$B$15-1)/2)/MAX(0.5,'Control Room'!$B$15/4))^2),1)*IF(AND($A710&gt;='Control Room'!$A$16,$A710&lt;'Control Room'!$A$16+'Control Room'!$B$16,'Process'!BP5=1),1+('Control Room'!$C$16-1)*EXP(-0.5*(($A710-'Control Room'!$A$16-('Control Room'!$B$16-1)/2)/MAX(0.5,'Control Room'!$B$16/4))^2),1)</x:f>
        <x:v>1</x:v>
      </x:c>
      <x:c r="AF710" s="9" t="n">
        <x:f>MOD(AG709*16807,2147483647)</x:f>
        <x:v>1095831247</x:v>
      </x:c>
      <x:c r="AG710" s="9" t="n">
        <x:f>MOD(AF710*16807,2147483647)</x:f>
        <x:v>816011657</x:v>
      </x:c>
      <x:c r="AH710" s="17" t="n">
        <x:f>IF('Control Room'!$B$5="Normal",'Control Room'!$B$7+'Control Room'!$D$7*SQRT(-2*LN(MAX(0.000000000001,AF710/2147483647)))*COS(2*PI()*AG710/2147483647),'Control Room'!$B$8+('Control Room'!$D$8-'Control Room'!$B$8)*AF710/2147483647)</x:f>
        <x:v>923.903323794048</x:v>
      </x:c>
      <x:c r="AI710" s="17" t="n">
        <x:f>IF('Control Room'!$B$5="Normal",'Control Room'!$B$7,('Control Room'!$B$8+'Control Room'!$D$8)/2)+'Control Room'!$B$9*(AI709-IF('Control Room'!$B$5="Normal",'Control Room'!$B$7,('Control Room'!$B$8+'Control Room'!$D$8)/2))+SQRT(1-'Control Room'!$B$9^2)*(AH710-IF('Control Room'!$B$5="Normal",'Control Room'!$B$7,('Control Room'!$B$8+'Control Room'!$D$8)/2))</x:f>
        <x:v>956.653119379462</x:v>
      </x:c>
      <x:c r="AJ710" s="17" t="n">
        <x:f>IF(AND($A710&gt;='Control Room'!$A$13,$A710&lt;'Control Room'!$A$13+'Control Room'!$B$13,'Process'!BQ2=1),1+('Control Room'!$C$13-1)*EXP(-0.5*(($A710-'Control Room'!$A$13-('Control Room'!$B$13-1)/2)/MAX(0.5,'Control Room'!$B$13/4))^2),1)*IF(AND($A710&gt;='Control Room'!$A$14,$A710&lt;'Control Room'!$A$14+'Control Room'!$B$14,'Process'!BQ3=1),1+('Control Room'!$C$14-1)*EXP(-0.5*(($A710-'Control Room'!$A$14-('Control Room'!$B$14-1)/2)/MAX(0.5,'Control Room'!$B$14/4))^2),1)*IF(AND($A710&gt;='Control Room'!$A$15,$A710&lt;'Control Room'!$A$15+'Control Room'!$B$15,'Process'!BQ4=1),1+('Control Room'!$C$15-1)*EXP(-0.5*(($A710-'Control Room'!$A$15-('Control Room'!$B$15-1)/2)/MAX(0.5,'Control Room'!$B$15/4))^2),1)*IF(AND($A710&gt;='Control Room'!$A$16,$A710&lt;'Control Room'!$A$16+'Control Room'!$B$16,'Process'!BQ5=1),1+('Control Room'!$C$16-1)*EXP(-0.5*(($A710-'Control Room'!$A$16-('Control Room'!$B$16-1)/2)/MAX(0.5,'Control Room'!$B$16/4))^2),1)</x:f>
        <x:v>1</x:v>
      </x:c>
      <x:c r="AK710" s="9" t="n">
        <x:f>MOD(AL709*16807,2147483647)</x:f>
        <x:v>976960230</x:v>
      </x:c>
      <x:c r="AL710" s="9" t="n">
        <x:f>MOD(AK710*16807,2147483647)</x:f>
        <x:v>110620648</x:v>
      </x:c>
      <x:c r="AM710" s="17" t="n">
        <x:f>IF('Control Room'!$B$5="Normal",'Control Room'!$B$7+'Control Room'!$D$7*SQRT(-2*LN(MAX(0.000000000001,AK710/2147483647)))*COS(2*PI()*AL710/2147483647),'Control Room'!$B$8+('Control Room'!$D$8-'Control Room'!$B$8)*AK710/2147483647)</x:f>
        <x:v>1107.0918207398222</x:v>
      </x:c>
      <x:c r="AN710" s="17" t="n">
        <x:f>IF('Control Room'!$B$5="Normal",'Control Room'!$B$7,('Control Room'!$B$8+'Control Room'!$D$8)/2)+'Control Room'!$B$9*(AN709-IF('Control Room'!$B$5="Normal",'Control Room'!$B$7,('Control Room'!$B$8+'Control Room'!$D$8)/2))+SQRT(1-'Control Room'!$B$9^2)*(AM710-IF('Control Room'!$B$5="Normal",'Control Room'!$B$7,('Control Room'!$B$8+'Control Room'!$D$8)/2))</x:f>
        <x:v>1035.9081584562437</x:v>
      </x:c>
      <x:c r="AO710" s="17" t="n">
        <x:f>IF(AND($A710&gt;='Control Room'!$A$13,$A710&lt;'Control Room'!$A$13+'Control Room'!$B$13,'Process'!BR2=1),1+('Control Room'!$C$13-1)*EXP(-0.5*(($A710-'Control Room'!$A$13-('Control Room'!$B$13-1)/2)/MAX(0.5,'Control Room'!$B$13/4))^2),1)*IF(AND($A710&gt;='Control Room'!$A$14,$A710&lt;'Control Room'!$A$14+'Control Room'!$B$14,'Process'!BR3=1),1+('Control Room'!$C$14-1)*EXP(-0.5*(($A710-'Control Room'!$A$14-('Control Room'!$B$14-1)/2)/MAX(0.5,'Control Room'!$B$14/4))^2),1)*IF(AND($A710&gt;='Control Room'!$A$15,$A710&lt;'Control Room'!$A$15+'Control Room'!$B$15,'Process'!BR4=1),1+('Control Room'!$C$15-1)*EXP(-0.5*(($A710-'Control Room'!$A$15-('Control Room'!$B$15-1)/2)/MAX(0.5,'Control Room'!$B$15/4))^2),1)*IF(AND($A710&gt;='Control Room'!$A$16,$A710&lt;'Control Room'!$A$16+'Control Room'!$B$16,'Process'!BR5=1),1+('Control Room'!$C$16-1)*EXP(-0.5*(($A710-'Control Room'!$A$16-('Control Room'!$B$16-1)/2)/MAX(0.5,'Control Room'!$B$16/4))^2),1)</x:f>
        <x:v>1</x:v>
      </x:c>
      <x:c r="AP710" s="9" t="n">
        <x:f>MOD(AQ709*16807,2147483647)</x:f>
        <x:v>858089213</x:v>
      </x:c>
      <x:c r="AQ710" s="9" t="n">
        <x:f>MOD(AP710*16807,2147483647)</x:f>
        <x:v>1552713286</x:v>
      </x:c>
      <x:c r="AR710" s="17" t="n">
        <x:f>IF('Control Room'!$B$5="Normal",'Control Room'!$B$7+'Control Room'!$D$7*SQRT(-2*LN(MAX(0.000000000001,AP710/2147483647)))*COS(2*PI()*AQ710/2147483647),'Control Room'!$B$8+('Control Room'!$D$8-'Control Room'!$B$8)*AP710/2147483647)</x:f>
        <x:v>979.4473020619862</x:v>
      </x:c>
      <x:c r="AS710" s="17" t="n">
        <x:f>IF('Control Room'!$B$5="Normal",'Control Room'!$B$7,('Control Room'!$B$8+'Control Room'!$D$8)/2)+'Control Room'!$B$9*(AS709-IF('Control Room'!$B$5="Normal",'Control Room'!$B$7,('Control Room'!$B$8+'Control Room'!$D$8)/2))+SQRT(1-'Control Room'!$B$9^2)*(AR710-IF('Control Room'!$B$5="Normal",'Control Room'!$B$7,('Control Room'!$B$8+'Control Room'!$D$8)/2))</x:f>
        <x:v>1001.7988805736014</x:v>
      </x:c>
      <x:c r="AT710" s="17" t="n">
        <x:f>IF(AND($A710&gt;='Control Room'!$A$13,$A710&lt;'Control Room'!$A$13+'Control Room'!$B$13,'Process'!BS2=1),1+('Control Room'!$C$13-1)*EXP(-0.5*(($A710-'Control Room'!$A$13-('Control Room'!$B$13-1)/2)/MAX(0.5,'Control Room'!$B$13/4))^2),1)*IF(AND($A710&gt;='Control Room'!$A$14,$A710&lt;'Control Room'!$A$14+'Control Room'!$B$14,'Process'!BS3=1),1+('Control Room'!$C$14-1)*EXP(-0.5*(($A710-'Control Room'!$A$14-('Control Room'!$B$14-1)/2)/MAX(0.5,'Control Room'!$B$14/4))^2),1)*IF(AND($A710&gt;='Control Room'!$A$15,$A710&lt;'Control Room'!$A$15+'Control Room'!$B$15,'Process'!BS4=1),1+('Control Room'!$C$15-1)*EXP(-0.5*(($A710-'Control Room'!$A$15-('Control Room'!$B$15-1)/2)/MAX(0.5,'Control Room'!$B$15/4))^2),1)*IF(AND($A710&gt;='Control Room'!$A$16,$A710&lt;'Control Room'!$A$16+'Control Room'!$B$16,'Process'!BS5=1),1+('Control Room'!$C$16-1)*EXP(-0.5*(($A710-'Control Room'!$A$16-('Control Room'!$B$16-1)/2)/MAX(0.5,'Control Room'!$B$16/4))^2),1)</x:f>
        <x:v>1</x:v>
      </x:c>
      <x:c r="AU710" s="9" t="n">
        <x:f>MOD(AV709*16807,2147483647)</x:f>
        <x:v>739218196</x:v>
      </x:c>
      <x:c r="AV710" s="9" t="n">
        <x:f>MOD(AU710*16807,2147483647)</x:f>
        <x:v>847322277</x:v>
      </x:c>
      <x:c r="AW710" s="17" t="n">
        <x:f>IF('Control Room'!$B$5="Normal",'Control Room'!$B$7+'Control Room'!$D$7*SQRT(-2*LN(MAX(0.000000000001,AU710/2147483647)))*COS(2*PI()*AV710/2147483647),'Control Room'!$B$8+('Control Room'!$D$8-'Control Room'!$B$8)*AU710/2147483647)</x:f>
        <x:v>896.3620251615977</x:v>
      </x:c>
      <x:c r="AX710" s="17" t="n">
        <x:f>IF('Control Room'!$B$5="Normal",'Control Room'!$B$7,('Control Room'!$B$8+'Control Room'!$D$8)/2)+'Control Room'!$B$9*(AX709-IF('Control Room'!$B$5="Normal",'Control Room'!$B$7,('Control Room'!$B$8+'Control Room'!$D$8)/2))+SQRT(1-'Control Room'!$B$9^2)*(AW710-IF('Control Room'!$B$5="Normal",'Control Room'!$B$7,('Control Room'!$B$8+'Control Room'!$D$8)/2))</x:f>
        <x:v>1018.4903144717765</x:v>
      </x:c>
      <x:c r="AY710" s="17" t="n">
        <x:f>IF(AND($A710&gt;='Control Room'!$A$13,$A710&lt;'Control Room'!$A$13+'Control Room'!$B$13,'Process'!BT2=1),1+('Control Room'!$C$13-1)*EXP(-0.5*(($A710-'Control Room'!$A$13-('Control Room'!$B$13-1)/2)/MAX(0.5,'Control Room'!$B$13/4))^2),1)*IF(AND($A710&gt;='Control Room'!$A$14,$A710&lt;'Control Room'!$A$14+'Control Room'!$B$14,'Process'!BT3=1),1+('Control Room'!$C$14-1)*EXP(-0.5*(($A710-'Control Room'!$A$14-('Control Room'!$B$14-1)/2)/MAX(0.5,'Control Room'!$B$14/4))^2),1)*IF(AND($A710&gt;='Control Room'!$A$15,$A710&lt;'Control Room'!$A$15+'Control Room'!$B$15,'Process'!BT4=1),1+('Control Room'!$C$15-1)*EXP(-0.5*(($A710-'Control Room'!$A$15-('Control Room'!$B$15-1)/2)/MAX(0.5,'Control Room'!$B$15/4))^2),1)*IF(AND($A710&gt;='Control Room'!$A$16,$A710&lt;'Control Room'!$A$16+'Control Room'!$B$16,'Process'!BT5=1),1+('Control Room'!$C$16-1)*EXP(-0.5*(($A710-'Control Room'!$A$16-('Control Room'!$B$16-1)/2)/MAX(0.5,'Control Room'!$B$16/4))^2),1)</x:f>
        <x:v>1</x:v>
      </x:c>
      <x:c r="AZ710" s="9" t="n">
        <x:f>MOD(BA709*16807,2147483647)</x:f>
        <x:v>620347179</x:v>
      </x:c>
      <x:c r="BA710" s="9" t="n">
        <x:f>MOD(AZ710*16807,2147483647)</x:f>
        <x:v>141931268</x:v>
      </x:c>
      <x:c r="BB710" s="17" t="n">
        <x:f>IF('Control Room'!$B$5="Normal",'Control Room'!$B$7+'Control Room'!$D$7*SQRT(-2*LN(MAX(0.000000000001,AZ710/2147483647)))*COS(2*PI()*BA710/2147483647),'Control Room'!$B$8+('Control Room'!$D$8-'Control Room'!$B$8)*AZ710/2147483647)</x:f>
        <x:v>1129.7787663297097</x:v>
      </x:c>
      <x:c r="BC710" s="17" t="n">
        <x:f>IF('Control Room'!$B$5="Normal",'Control Room'!$B$7,('Control Room'!$B$8+'Control Room'!$D$8)/2)+'Control Room'!$B$9*(BC709-IF('Control Room'!$B$5="Normal",'Control Room'!$B$7,('Control Room'!$B$8+'Control Room'!$D$8)/2))+SQRT(1-'Control Room'!$B$9^2)*(BB710-IF('Control Room'!$B$5="Normal",'Control Room'!$B$7,('Control Room'!$B$8+'Control Room'!$D$8)/2))</x:f>
        <x:v>1132.8159409287646</x:v>
      </x:c>
      <x:c r="BD710" s="17" t="n">
        <x:f>IF(AND($A710&gt;='Control Room'!$A$13,$A710&lt;'Control Room'!$A$13+'Control Room'!$B$13,'Process'!BU2=1),1+('Control Room'!$C$13-1)*EXP(-0.5*(($A710-'Control Room'!$A$13-('Control Room'!$B$13-1)/2)/MAX(0.5,'Control Room'!$B$13/4))^2),1)*IF(AND($A710&gt;='Control Room'!$A$14,$A710&lt;'Control Room'!$A$14+'Control Room'!$B$14,'Process'!BU3=1),1+('Control Room'!$C$14-1)*EXP(-0.5*(($A710-'Control Room'!$A$14-('Control Room'!$B$14-1)/2)/MAX(0.5,'Control Room'!$B$14/4))^2),1)*IF(AND($A710&gt;='Control Room'!$A$15,$A710&lt;'Control Room'!$A$15+'Control Room'!$B$15,'Process'!BU4=1),1+('Control Room'!$C$15-1)*EXP(-0.5*(($A710-'Control Room'!$A$15-('Control Room'!$B$15-1)/2)/MAX(0.5,'Control Room'!$B$15/4))^2),1)*IF(AND($A710&gt;='Control Room'!$A$16,$A710&lt;'Control Room'!$A$16+'Control Room'!$B$16,'Process'!BU5=1),1+('Control Room'!$C$16-1)*EXP(-0.5*(($A710-'Control Room'!$A$16-('Control Room'!$B$16-1)/2)/MAX(0.5,'Control Room'!$B$16/4))^2),1)</x:f>
        <x:v>1</x:v>
      </x:c>
      <x:c r="BE710" s="9" t="n">
        <x:f>MOD(BF709*16807,2147483647)</x:f>
        <x:v>501476162</x:v>
      </x:c>
      <x:c r="BF710" s="9" t="n">
        <x:f>MOD(BE710*16807,2147483647)</x:f>
        <x:v>1584023906</x:v>
      </x:c>
      <x:c r="BG710" s="17" t="n">
        <x:f>IF('Control Room'!$B$5="Normal",'Control Room'!$B$7+'Control Room'!$D$7*SQRT(-2*LN(MAX(0.000000000001,BE710/2147483647)))*COS(2*PI()*BF710/2147483647),'Control Room'!$B$8+('Control Room'!$D$8-'Control Room'!$B$8)*BE710/2147483647)</x:f>
        <x:v>988.0704286346233</x:v>
      </x:c>
      <x:c r="BH710" s="17" t="n">
        <x:f>IF('Control Room'!$B$5="Normal",'Control Room'!$B$7,('Control Room'!$B$8+'Control Room'!$D$8)/2)+'Control Room'!$B$9*(BH709-IF('Control Room'!$B$5="Normal",'Control Room'!$B$7,('Control Room'!$B$8+'Control Room'!$D$8)/2))+SQRT(1-'Control Room'!$B$9^2)*(BG710-IF('Control Room'!$B$5="Normal",'Control Room'!$B$7,('Control Room'!$B$8+'Control Room'!$D$8)/2))</x:f>
        <x:v>986.7422243073938</x:v>
      </x:c>
      <x:c r="BI710" s="17" t="n">
        <x:f>IF(AND($A710&gt;='Control Room'!$A$13,$A710&lt;'Control Room'!$A$13+'Control Room'!$B$13,'Process'!BV2=1),1+('Control Room'!$C$13-1)*EXP(-0.5*(($A710-'Control Room'!$A$13-('Control Room'!$B$13-1)/2)/MAX(0.5,'Control Room'!$B$13/4))^2),1)*IF(AND($A710&gt;='Control Room'!$A$14,$A710&lt;'Control Room'!$A$14+'Control Room'!$B$14,'Process'!BV3=1),1+('Control Room'!$C$14-1)*EXP(-0.5*(($A710-'Control Room'!$A$14-('Control Room'!$B$14-1)/2)/MAX(0.5,'Control Room'!$B$14/4))^2),1)*IF(AND($A710&gt;='Control Room'!$A$15,$A710&lt;'Control Room'!$A$15+'Control Room'!$B$15,'Process'!BV4=1),1+('Control Room'!$C$15-1)*EXP(-0.5*(($A710-'Control Room'!$A$15-('Control Room'!$B$15-1)/2)/MAX(0.5,'Control Room'!$B$15/4))^2),1)*IF(AND($A710&gt;='Control Room'!$A$16,$A710&lt;'Control Room'!$A$16+'Control Room'!$B$16,'Process'!BV5=1),1+('Control Room'!$C$16-1)*EXP(-0.5*(($A710-'Control Room'!$A$16-('Control Room'!$B$16-1)/2)/MAX(0.5,'Control Room'!$B$16/4))^2),1)</x:f>
        <x:v>1</x:v>
      </x:c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Z710" t="str">
        <x:f>IF('Data'!A710="","",TEXT('Data'!A710,"mm-dd"))</x:f>
      </x:c>
    </x:row>
    <x:row r="711" ht="21" customHeight="1">
      <x:c r="A711" s="15" t="n">
        <x:f>'Control Room'!$B$1+709</x:f>
        <x:v>73700</x:v>
      </x:c>
      <x:c r="B711" s="9" t="n">
        <x:f>MOD(C710*16807,2147483647)</x:f>
        <x:v>669155807</x:v>
      </x:c>
      <x:c r="C711" s="9" t="n">
        <x:f>MOD(B711*16807,2147483647)</x:f>
        <x:v>129788910</x:v>
      </x:c>
      <x:c r="D711" s="17" t="n">
        <x:f>IF('Control Room'!$B$5="Normal",'Control Room'!$B$7+'Control Room'!$D$7*SQRT(-2*LN(MAX(0.000000000001,B711/2147483647)))*COS(2*PI()*C711/2147483647),'Control Room'!$B$8+('Control Room'!$D$8-'Control Room'!$B$8)*B711/2147483647)</x:f>
        <x:v>1127.6489138174613</x:v>
      </x:c>
      <x:c r="E711" s="17" t="n">
        <x:f>IF('Control Room'!$B$5="Normal",'Control Room'!$B$7,('Control Room'!$B$8+'Control Room'!$D$8)/2)+'Control Room'!$B$9*(E710-IF('Control Room'!$B$5="Normal",'Control Room'!$B$7,('Control Room'!$B$8+'Control Room'!$D$8)/2))+SQRT(1-'Control Room'!$B$9^2)*(D711-IF('Control Room'!$B$5="Normal",'Control Room'!$B$7,('Control Room'!$B$8+'Control Room'!$D$8)/2))</x:f>
        <x:v>1066.8281203606296</x:v>
      </x:c>
      <x:c r="F711" s="17" t="n">
        <x:f>IF(AND($A711&gt;='Control Room'!$A$13,$A711&lt;'Control Room'!$A$13+'Control Room'!$B$13,'Process'!BK2=1),1+('Control Room'!$C$13-1)*EXP(-0.5*(($A711-'Control Room'!$A$13-('Control Room'!$B$13-1)/2)/MAX(0.5,'Control Room'!$B$13/4))^2),1)*IF(AND($A711&gt;='Control Room'!$A$14,$A711&lt;'Control Room'!$A$14+'Control Room'!$B$14,'Process'!BK3=1),1+('Control Room'!$C$14-1)*EXP(-0.5*(($A711-'Control Room'!$A$14-('Control Room'!$B$14-1)/2)/MAX(0.5,'Control Room'!$B$14/4))^2),1)*IF(AND($A711&gt;='Control Room'!$A$15,$A711&lt;'Control Room'!$A$15+'Control Room'!$B$15,'Process'!BK4=1),1+('Control Room'!$C$15-1)*EXP(-0.5*(($A711-'Control Room'!$A$15-('Control Room'!$B$15-1)/2)/MAX(0.5,'Control Room'!$B$15/4))^2),1)*IF(AND($A711&gt;='Control Room'!$A$16,$A711&lt;'Control Room'!$A$16+'Control Room'!$B$16,'Process'!BK5=1),1+('Control Room'!$C$16-1)*EXP(-0.5*(($A711-'Control Room'!$A$16-('Control Room'!$B$16-1)/2)/MAX(0.5,'Control Room'!$B$16/4))^2),1)</x:f>
        <x:v>1</x:v>
      </x:c>
      <x:c r="G711" s="9" t="n">
        <x:f>MOD(H710*16807,2147483647)</x:f>
        <x:v>1419682631</x:v>
      </x:c>
      <x:c r="H711" s="9" t="n">
        <x:f>MOD(G711*16807,2147483647)</x:f>
        <x:v>2062661047</x:v>
      </x:c>
      <x:c r="I711" s="17" t="n">
        <x:f>IF('Control Room'!$B$5="Normal",'Control Room'!$B$7+'Control Room'!$D$7*SQRT(-2*LN(MAX(0.000000000001,G711/2147483647)))*COS(2*PI()*H711/2147483647),'Control Room'!$B$8+('Control Room'!$D$8-'Control Room'!$B$8)*G711/2147483647)</x:f>
        <x:v>1079.372842849784</x:v>
      </x:c>
      <x:c r="J711" s="17" t="n">
        <x:f>IF('Control Room'!$B$5="Normal",'Control Room'!$B$7,('Control Room'!$B$8+'Control Room'!$D$8)/2)+'Control Room'!$B$9*(J710-IF('Control Room'!$B$5="Normal",'Control Room'!$B$7,('Control Room'!$B$8+'Control Room'!$D$8)/2))+SQRT(1-'Control Room'!$B$9^2)*(I711-IF('Control Room'!$B$5="Normal",'Control Room'!$B$7,('Control Room'!$B$8+'Control Room'!$D$8)/2))</x:f>
        <x:v>1211.3970652452376</x:v>
      </x:c>
      <x:c r="K711" s="17" t="n">
        <x:f>IF(AND($A711&gt;='Control Room'!$A$13,$A711&lt;'Control Room'!$A$13+'Control Room'!$B$13,'Process'!BL2=1),1+('Control Room'!$C$13-1)*EXP(-0.5*(($A711-'Control Room'!$A$13-('Control Room'!$B$13-1)/2)/MAX(0.5,'Control Room'!$B$13/4))^2),1)*IF(AND($A711&gt;='Control Room'!$A$14,$A711&lt;'Control Room'!$A$14+'Control Room'!$B$14,'Process'!BL3=1),1+('Control Room'!$C$14-1)*EXP(-0.5*(($A711-'Control Room'!$A$14-('Control Room'!$B$14-1)/2)/MAX(0.5,'Control Room'!$B$14/4))^2),1)*IF(AND($A711&gt;='Control Room'!$A$15,$A711&lt;'Control Room'!$A$15+'Control Room'!$B$15,'Process'!BL4=1),1+('Control Room'!$C$15-1)*EXP(-0.5*(($A711-'Control Room'!$A$15-('Control Room'!$B$15-1)/2)/MAX(0.5,'Control Room'!$B$15/4))^2),1)*IF(AND($A711&gt;='Control Room'!$A$16,$A711&lt;'Control Room'!$A$16+'Control Room'!$B$16,'Process'!BL5=1),1+('Control Room'!$C$16-1)*EXP(-0.5*(($A711-'Control Room'!$A$16-('Control Room'!$B$16-1)/2)/MAX(0.5,'Control Room'!$B$16/4))^2),1)</x:f>
        <x:v>1</x:v>
      </x:c>
      <x:c r="L711" s="9" t="n">
        <x:f>MOD(M710*16807,2147483647)</x:f>
        <x:v>22725808</x:v>
      </x:c>
      <x:c r="M711" s="9" t="n">
        <x:f>MOD(L711*16807,2147483647)</x:f>
        <x:v>1848049537</x:v>
      </x:c>
      <x:c r="N711" s="17" t="n">
        <x:f>IF('Control Room'!$B$5="Normal",'Control Room'!$B$7+'Control Room'!$D$7*SQRT(-2*LN(MAX(0.000000000001,L711/2147483647)))*COS(2*PI()*M711/2147483647),'Control Room'!$B$8+('Control Room'!$D$8-'Control Room'!$B$8)*L711/2147483647)</x:f>
        <x:v>1173.7719951702418</x:v>
      </x:c>
      <x:c r="O711" s="17" t="n">
        <x:f>IF('Control Room'!$B$5="Normal",'Control Room'!$B$7,('Control Room'!$B$8+'Control Room'!$D$8)/2)+'Control Room'!$B$9*(O710-IF('Control Room'!$B$5="Normal",'Control Room'!$B$7,('Control Room'!$B$8+'Control Room'!$D$8)/2))+SQRT(1-'Control Room'!$B$9^2)*(N711-IF('Control Room'!$B$5="Normal",'Control Room'!$B$7,('Control Room'!$B$8+'Control Room'!$D$8)/2))</x:f>
        <x:v>1102.8404363697275</x:v>
      </x:c>
      <x:c r="P711" s="17" t="n">
        <x:f>IF(AND($A711&gt;='Control Room'!$A$13,$A711&lt;'Control Room'!$A$13+'Control Room'!$B$13,'Process'!BM2=1),1+('Control Room'!$C$13-1)*EXP(-0.5*(($A711-'Control Room'!$A$13-('Control Room'!$B$13-1)/2)/MAX(0.5,'Control Room'!$B$13/4))^2),1)*IF(AND($A711&gt;='Control Room'!$A$14,$A711&lt;'Control Room'!$A$14+'Control Room'!$B$14,'Process'!BM3=1),1+('Control Room'!$C$14-1)*EXP(-0.5*(($A711-'Control Room'!$A$14-('Control Room'!$B$14-1)/2)/MAX(0.5,'Control Room'!$B$14/4))^2),1)*IF(AND($A711&gt;='Control Room'!$A$15,$A711&lt;'Control Room'!$A$15+'Control Room'!$B$15,'Process'!BM4=1),1+('Control Room'!$C$15-1)*EXP(-0.5*(($A711-'Control Room'!$A$15-('Control Room'!$B$15-1)/2)/MAX(0.5,'Control Room'!$B$15/4))^2),1)*IF(AND($A711&gt;='Control Room'!$A$16,$A711&lt;'Control Room'!$A$16+'Control Room'!$B$16,'Process'!BM5=1),1+('Control Room'!$C$16-1)*EXP(-0.5*(($A711-'Control Room'!$A$16-('Control Room'!$B$16-1)/2)/MAX(0.5,'Control Room'!$B$16/4))^2),1)</x:f>
        <x:v>1</x:v>
      </x:c>
      <x:c r="Q711" s="9" t="n">
        <x:f>MOD(R710*16807,2147483647)</x:f>
        <x:v>773252632</x:v>
      </x:c>
      <x:c r="R711" s="9" t="n">
        <x:f>MOD(Q711*16807,2147483647)</x:f>
        <x:v>1633438027</x:v>
      </x:c>
      <x:c r="S711" s="17" t="n">
        <x:f>IF('Control Room'!$B$5="Normal",'Control Room'!$B$7+'Control Room'!$D$7*SQRT(-2*LN(MAX(0.000000000001,Q711/2147483647)))*COS(2*PI()*R711/2147483647),'Control Room'!$B$8+('Control Room'!$D$8-'Control Room'!$B$8)*Q711/2147483647)</x:f>
        <x:v>1008.5843759505736</x:v>
      </x:c>
      <x:c r="T711" s="17" t="n">
        <x:f>IF('Control Room'!$B$5="Normal",'Control Room'!$B$7,('Control Room'!$B$8+'Control Room'!$D$8)/2)+'Control Room'!$B$9*(T710-IF('Control Room'!$B$5="Normal",'Control Room'!$B$7,('Control Room'!$B$8+'Control Room'!$D$8)/2))+SQRT(1-'Control Room'!$B$9^2)*(S711-IF('Control Room'!$B$5="Normal",'Control Room'!$B$7,('Control Room'!$B$8+'Control Room'!$D$8)/2))</x:f>
        <x:v>1015.0433914009377</x:v>
      </x:c>
      <x:c r="U711" s="17" t="n">
        <x:f>IF(AND($A711&gt;='Control Room'!$A$13,$A711&lt;'Control Room'!$A$13+'Control Room'!$B$13,'Process'!BN2=1),1+('Control Room'!$C$13-1)*EXP(-0.5*(($A711-'Control Room'!$A$13-('Control Room'!$B$13-1)/2)/MAX(0.5,'Control Room'!$B$13/4))^2),1)*IF(AND($A711&gt;='Control Room'!$A$14,$A711&lt;'Control Room'!$A$14+'Control Room'!$B$14,'Process'!BN3=1),1+('Control Room'!$C$14-1)*EXP(-0.5*(($A711-'Control Room'!$A$14-('Control Room'!$B$14-1)/2)/MAX(0.5,'Control Room'!$B$14/4))^2),1)*IF(AND($A711&gt;='Control Room'!$A$15,$A711&lt;'Control Room'!$A$15+'Control Room'!$B$15,'Process'!BN4=1),1+('Control Room'!$C$15-1)*EXP(-0.5*(($A711-'Control Room'!$A$15-('Control Room'!$B$15-1)/2)/MAX(0.5,'Control Room'!$B$15/4))^2),1)*IF(AND($A711&gt;='Control Room'!$A$16,$A711&lt;'Control Room'!$A$16+'Control Room'!$B$16,'Process'!BN5=1),1+('Control Room'!$C$16-1)*EXP(-0.5*(($A711-'Control Room'!$A$16-('Control Room'!$B$16-1)/2)/MAX(0.5,'Control Room'!$B$16/4))^2),1)</x:f>
        <x:v>1</x:v>
      </x:c>
      <x:c r="V711" s="9" t="n">
        <x:f>MOD(W710*16807,2147483647)</x:f>
        <x:v>1523779456</x:v>
      </x:c>
      <x:c r="W711" s="9" t="n">
        <x:f>MOD(V711*16807,2147483647)</x:f>
        <x:v>1418826517</x:v>
      </x:c>
      <x:c r="X711" s="17" t="n">
        <x:f>IF('Control Room'!$B$5="Normal",'Control Room'!$B$7+'Control Room'!$D$7*SQRT(-2*LN(MAX(0.000000000001,V711/2147483647)))*COS(2*PI()*W711/2147483647),'Control Room'!$B$8+('Control Room'!$D$8-'Control Room'!$B$8)*V711/2147483647)</x:f>
        <x:v>960.3263793479365</x:v>
      </x:c>
      <x:c r="Y711" s="17" t="n">
        <x:f>IF('Control Room'!$B$5="Normal",'Control Room'!$B$7,('Control Room'!$B$8+'Control Room'!$D$8)/2)+'Control Room'!$B$9*(Y710-IF('Control Room'!$B$5="Normal",'Control Room'!$B$7,('Control Room'!$B$8+'Control Room'!$D$8)/2))+SQRT(1-'Control Room'!$B$9^2)*(X711-IF('Control Room'!$B$5="Normal",'Control Room'!$B$7,('Control Room'!$B$8+'Control Room'!$D$8)/2))</x:f>
        <x:v>1016.1202302926399</x:v>
      </x:c>
      <x:c r="Z711" s="17" t="n">
        <x:f>IF(AND($A711&gt;='Control Room'!$A$13,$A711&lt;'Control Room'!$A$13+'Control Room'!$B$13,'Process'!BO2=1),1+('Control Room'!$C$13-1)*EXP(-0.5*(($A711-'Control Room'!$A$13-('Control Room'!$B$13-1)/2)/MAX(0.5,'Control Room'!$B$13/4))^2),1)*IF(AND($A711&gt;='Control Room'!$A$14,$A711&lt;'Control Room'!$A$14+'Control Room'!$B$14,'Process'!BO3=1),1+('Control Room'!$C$14-1)*EXP(-0.5*(($A711-'Control Room'!$A$14-('Control Room'!$B$14-1)/2)/MAX(0.5,'Control Room'!$B$14/4))^2),1)*IF(AND($A711&gt;='Control Room'!$A$15,$A711&lt;'Control Room'!$A$15+'Control Room'!$B$15,'Process'!BO4=1),1+('Control Room'!$C$15-1)*EXP(-0.5*(($A711-'Control Room'!$A$15-('Control Room'!$B$15-1)/2)/MAX(0.5,'Control Room'!$B$15/4))^2),1)*IF(AND($A711&gt;='Control Room'!$A$16,$A711&lt;'Control Room'!$A$16+'Control Room'!$B$16,'Process'!BO5=1),1+('Control Room'!$C$16-1)*EXP(-0.5*(($A711-'Control Room'!$A$16-('Control Room'!$B$16-1)/2)/MAX(0.5,'Control Room'!$B$16/4))^2),1)</x:f>
        <x:v>1</x:v>
      </x:c>
      <x:c r="AA711" s="9" t="n">
        <x:f>MOD(AB710*16807,2147483647)</x:f>
        <x:v>126822633</x:v>
      </x:c>
      <x:c r="AB711" s="9" t="n">
        <x:f>MOD(AA711*16807,2147483647)</x:f>
        <x:v>1204215007</x:v>
      </x:c>
      <x:c r="AC711" s="17" t="n">
        <x:f>IF('Control Room'!$B$5="Normal",'Control Room'!$B$7+'Control Room'!$D$7*SQRT(-2*LN(MAX(0.000000000001,AA711/2147483647)))*COS(2*PI()*AB711/2147483647),'Control Room'!$B$8+('Control Room'!$D$8-'Control Room'!$B$8)*AA711/2147483647)</x:f>
        <x:v>801.3219451099634</x:v>
      </x:c>
      <x:c r="AD711" s="17" t="n">
        <x:f>IF('Control Room'!$B$5="Normal",'Control Room'!$B$7,('Control Room'!$B$8+'Control Room'!$D$8)/2)+'Control Room'!$B$9*(AD710-IF('Control Room'!$B$5="Normal",'Control Room'!$B$7,('Control Room'!$B$8+'Control Room'!$D$8)/2))+SQRT(1-'Control Room'!$B$9^2)*(AC711-IF('Control Room'!$B$5="Normal",'Control Room'!$B$7,('Control Room'!$B$8+'Control Room'!$D$8)/2))</x:f>
        <x:v>859.5908363390637</x:v>
      </x:c>
      <x:c r="AE711" s="17" t="n">
        <x:f>IF(AND($A711&gt;='Control Room'!$A$13,$A711&lt;'Control Room'!$A$13+'Control Room'!$B$13,'Process'!BP2=1),1+('Control Room'!$C$13-1)*EXP(-0.5*(($A711-'Control Room'!$A$13-('Control Room'!$B$13-1)/2)/MAX(0.5,'Control Room'!$B$13/4))^2),1)*IF(AND($A711&gt;='Control Room'!$A$14,$A711&lt;'Control Room'!$A$14+'Control Room'!$B$14,'Process'!BP3=1),1+('Control Room'!$C$14-1)*EXP(-0.5*(($A711-'Control Room'!$A$14-('Control Room'!$B$14-1)/2)/MAX(0.5,'Control Room'!$B$14/4))^2),1)*IF(AND($A711&gt;='Control Room'!$A$15,$A711&lt;'Control Room'!$A$15+'Control Room'!$B$15,'Process'!BP4=1),1+('Control Room'!$C$15-1)*EXP(-0.5*(($A711-'Control Room'!$A$15-('Control Room'!$B$15-1)/2)/MAX(0.5,'Control Room'!$B$15/4))^2),1)*IF(AND($A711&gt;='Control Room'!$A$16,$A711&lt;'Control Room'!$A$16+'Control Room'!$B$16,'Process'!BP5=1),1+('Control Room'!$C$16-1)*EXP(-0.5*(($A711-'Control Room'!$A$16-('Control Room'!$B$16-1)/2)/MAX(0.5,'Control Room'!$B$16/4))^2),1)</x:f>
        <x:v>1</x:v>
      </x:c>
      <x:c r="AF711" s="9" t="n">
        <x:f>MOD(AG710*16807,2147483647)</x:f>
        <x:v>877349457</x:v>
      </x:c>
      <x:c r="AG711" s="9" t="n">
        <x:f>MOD(AF711*16807,2147483647)</x:f>
        <x:v>989603497</x:v>
      </x:c>
      <x:c r="AH711" s="17" t="n">
        <x:f>IF('Control Room'!$B$5="Normal",'Control Room'!$B$7+'Control Room'!$D$7*SQRT(-2*LN(MAX(0.000000000001,AF711/2147483647)))*COS(2*PI()*AG711/2147483647),'Control Room'!$B$8+('Control Room'!$D$8-'Control Room'!$B$8)*AF711/2147483647)</x:f>
        <x:v>883.2088543303363</x:v>
      </x:c>
      <x:c r="AI711" s="17" t="n">
        <x:f>IF('Control Room'!$B$5="Normal",'Control Room'!$B$7,('Control Room'!$B$8+'Control Room'!$D$8)/2)+'Control Room'!$B$9*(AI710-IF('Control Room'!$B$5="Normal",'Control Room'!$B$7,('Control Room'!$B$8+'Control Room'!$D$8)/2))+SQRT(1-'Control Room'!$B$9^2)*(AH711-IF('Control Room'!$B$5="Normal",'Control Room'!$B$7,('Control Room'!$B$8+'Control Room'!$D$8)/2))</x:f>
        <x:v>893.1039267525731</x:v>
      </x:c>
      <x:c r="AJ711" s="17" t="n">
        <x:f>IF(AND($A711&gt;='Control Room'!$A$13,$A711&lt;'Control Room'!$A$13+'Control Room'!$B$13,'Process'!BQ2=1),1+('Control Room'!$C$13-1)*EXP(-0.5*(($A711-'Control Room'!$A$13-('Control Room'!$B$13-1)/2)/MAX(0.5,'Control Room'!$B$13/4))^2),1)*IF(AND($A711&gt;='Control Room'!$A$14,$A711&lt;'Control Room'!$A$14+'Control Room'!$B$14,'Process'!BQ3=1),1+('Control Room'!$C$14-1)*EXP(-0.5*(($A711-'Control Room'!$A$14-('Control Room'!$B$14-1)/2)/MAX(0.5,'Control Room'!$B$14/4))^2),1)*IF(AND($A711&gt;='Control Room'!$A$15,$A711&lt;'Control Room'!$A$15+'Control Room'!$B$15,'Process'!BQ4=1),1+('Control Room'!$C$15-1)*EXP(-0.5*(($A711-'Control Room'!$A$15-('Control Room'!$B$15-1)/2)/MAX(0.5,'Control Room'!$B$15/4))^2),1)*IF(AND($A711&gt;='Control Room'!$A$16,$A711&lt;'Control Room'!$A$16+'Control Room'!$B$16,'Process'!BQ5=1),1+('Control Room'!$C$16-1)*EXP(-0.5*(($A711-'Control Room'!$A$16-('Control Room'!$B$16-1)/2)/MAX(0.5,'Control Room'!$B$16/4))^2),1)</x:f>
        <x:v>1</x:v>
      </x:c>
      <x:c r="AK711" s="9" t="n">
        <x:f>MOD(AL710*16807,2147483647)</x:f>
        <x:v>1627876281</x:v>
      </x:c>
      <x:c r="AL711" s="9" t="n">
        <x:f>MOD(AK711*16807,2147483647)</x:f>
        <x:v>774991987</x:v>
      </x:c>
      <x:c r="AM711" s="17" t="n">
        <x:f>IF('Control Room'!$B$5="Normal",'Control Room'!$B$7+'Control Room'!$D$7*SQRT(-2*LN(MAX(0.000000000001,AK711/2147483647)))*COS(2*PI()*AL711/2147483647),'Control Room'!$B$8+('Control Room'!$D$8-'Control Room'!$B$8)*AK711/2147483647)</x:f>
        <x:v>957.0126620303191</x:v>
      </x:c>
      <x:c r="AN711" s="17" t="n">
        <x:f>IF('Control Room'!$B$5="Normal",'Control Room'!$B$7,('Control Room'!$B$8+'Control Room'!$D$8)/2)+'Control Room'!$B$9*(AN710-IF('Control Room'!$B$5="Normal",'Control Room'!$B$7,('Control Room'!$B$8+'Control Room'!$D$8)/2))+SQRT(1-'Control Room'!$B$9^2)*(AM711-IF('Control Room'!$B$5="Normal",'Control Room'!$B$7,('Control Room'!$B$8+'Control Room'!$D$8)/2))</x:f>
        <x:v>1001.1077681379294</x:v>
      </x:c>
      <x:c r="AO711" s="17" t="n">
        <x:f>IF(AND($A711&gt;='Control Room'!$A$13,$A711&lt;'Control Room'!$A$13+'Control Room'!$B$13,'Process'!BR2=1),1+('Control Room'!$C$13-1)*EXP(-0.5*(($A711-'Control Room'!$A$13-('Control Room'!$B$13-1)/2)/MAX(0.5,'Control Room'!$B$13/4))^2),1)*IF(AND($A711&gt;='Control Room'!$A$14,$A711&lt;'Control Room'!$A$14+'Control Room'!$B$14,'Process'!BR3=1),1+('Control Room'!$C$14-1)*EXP(-0.5*(($A711-'Control Room'!$A$14-('Control Room'!$B$14-1)/2)/MAX(0.5,'Control Room'!$B$14/4))^2),1)*IF(AND($A711&gt;='Control Room'!$A$15,$A711&lt;'Control Room'!$A$15+'Control Room'!$B$15,'Process'!BR4=1),1+('Control Room'!$C$15-1)*EXP(-0.5*(($A711-'Control Room'!$A$15-('Control Room'!$B$15-1)/2)/MAX(0.5,'Control Room'!$B$15/4))^2),1)*IF(AND($A711&gt;='Control Room'!$A$16,$A711&lt;'Control Room'!$A$16+'Control Room'!$B$16,'Process'!BR5=1),1+('Control Room'!$C$16-1)*EXP(-0.5*(($A711-'Control Room'!$A$16-('Control Room'!$B$16-1)/2)/MAX(0.5,'Control Room'!$B$16/4))^2),1)</x:f>
        <x:v>1</x:v>
      </x:c>
      <x:c r="AP711" s="9" t="n">
        <x:f>MOD(AQ710*16807,2147483647)</x:f>
        <x:v>230919458</x:v>
      </x:c>
      <x:c r="AQ711" s="9" t="n">
        <x:f>MOD(AP711*16807,2147483647)</x:f>
        <x:v>560380477</x:v>
      </x:c>
      <x:c r="AR711" s="17" t="n">
        <x:f>IF('Control Room'!$B$5="Normal",'Control Room'!$B$7+'Control Room'!$D$7*SQRT(-2*LN(MAX(0.000000000001,AP711/2147483647)))*COS(2*PI()*AQ711/2147483647),'Control Room'!$B$8+('Control Room'!$D$8-'Control Room'!$B$8)*AP711/2147483647)</x:f>
        <x:v>986.9364754421317</x:v>
      </x:c>
      <x:c r="AS711" s="17" t="n">
        <x:f>IF('Control Room'!$B$5="Normal",'Control Room'!$B$7,('Control Room'!$B$8+'Control Room'!$D$8)/2)+'Control Room'!$B$9*(AS710-IF('Control Room'!$B$5="Normal",'Control Room'!$B$7,('Control Room'!$B$8+'Control Room'!$D$8)/2))+SQRT(1-'Control Room'!$B$9^2)*(AR711-IF('Control Room'!$B$5="Normal",'Control Room'!$B$7,('Control Room'!$B$8+'Control Room'!$D$8)/2))</x:f>
        <x:v>993.2282407999422</x:v>
      </x:c>
      <x:c r="AT711" s="17" t="n">
        <x:f>IF(AND($A711&gt;='Control Room'!$A$13,$A711&lt;'Control Room'!$A$13+'Control Room'!$B$13,'Process'!BS2=1),1+('Control Room'!$C$13-1)*EXP(-0.5*(($A711-'Control Room'!$A$13-('Control Room'!$B$13-1)/2)/MAX(0.5,'Control Room'!$B$13/4))^2),1)*IF(AND($A711&gt;='Control Room'!$A$14,$A711&lt;'Control Room'!$A$14+'Control Room'!$B$14,'Process'!BS3=1),1+('Control Room'!$C$14-1)*EXP(-0.5*(($A711-'Control Room'!$A$14-('Control Room'!$B$14-1)/2)/MAX(0.5,'Control Room'!$B$14/4))^2),1)*IF(AND($A711&gt;='Control Room'!$A$15,$A711&lt;'Control Room'!$A$15+'Control Room'!$B$15,'Process'!BS4=1),1+('Control Room'!$C$15-1)*EXP(-0.5*(($A711-'Control Room'!$A$15-('Control Room'!$B$15-1)/2)/MAX(0.5,'Control Room'!$B$15/4))^2),1)*IF(AND($A711&gt;='Control Room'!$A$16,$A711&lt;'Control Room'!$A$16+'Control Room'!$B$16,'Process'!BS5=1),1+('Control Room'!$C$16-1)*EXP(-0.5*(($A711-'Control Room'!$A$16-('Control Room'!$B$16-1)/2)/MAX(0.5,'Control Room'!$B$16/4))^2),1)</x:f>
        <x:v>1</x:v>
      </x:c>
      <x:c r="AU711" s="9" t="n">
        <x:f>MOD(AV710*16807,2147483647)</x:f>
        <x:v>981446282</x:v>
      </x:c>
      <x:c r="AV711" s="9" t="n">
        <x:f>MOD(AU711*16807,2147483647)</x:f>
        <x:v>345768967</x:v>
      </x:c>
      <x:c r="AW711" s="17" t="n">
        <x:f>IF('Control Room'!$B$5="Normal",'Control Room'!$B$7+'Control Room'!$D$7*SQRT(-2*LN(MAX(0.000000000001,AU711/2147483647)))*COS(2*PI()*AV711/2147483647),'Control Room'!$B$8+('Control Room'!$D$8-'Control Room'!$B$8)*AU711/2147483647)</x:f>
        <x:v>1059.7435277472912</x:v>
      </x:c>
      <x:c r="AX711" s="17" t="n">
        <x:f>IF('Control Room'!$B$5="Normal",'Control Room'!$B$7,('Control Room'!$B$8+'Control Room'!$D$8)/2)+'Control Room'!$B$9*(AX710-IF('Control Room'!$B$5="Normal",'Control Room'!$B$7,('Control Room'!$B$8+'Control Room'!$D$8)/2))+SQRT(1-'Control Room'!$B$9^2)*(AW711-IF('Control Room'!$B$5="Normal",'Control Room'!$B$7,('Control Room'!$B$8+'Control Room'!$D$8)/2))</x:f>
        <x:v>1051.808721039549</x:v>
      </x:c>
      <x:c r="AY711" s="17" t="n">
        <x:f>IF(AND($A711&gt;='Control Room'!$A$13,$A711&lt;'Control Room'!$A$13+'Control Room'!$B$13,'Process'!BT2=1),1+('Control Room'!$C$13-1)*EXP(-0.5*(($A711-'Control Room'!$A$13-('Control Room'!$B$13-1)/2)/MAX(0.5,'Control Room'!$B$13/4))^2),1)*IF(AND($A711&gt;='Control Room'!$A$14,$A711&lt;'Control Room'!$A$14+'Control Room'!$B$14,'Process'!BT3=1),1+('Control Room'!$C$14-1)*EXP(-0.5*(($A711-'Control Room'!$A$14-('Control Room'!$B$14-1)/2)/MAX(0.5,'Control Room'!$B$14/4))^2),1)*IF(AND($A711&gt;='Control Room'!$A$15,$A711&lt;'Control Room'!$A$15+'Control Room'!$B$15,'Process'!BT4=1),1+('Control Room'!$C$15-1)*EXP(-0.5*(($A711-'Control Room'!$A$15-('Control Room'!$B$15-1)/2)/MAX(0.5,'Control Room'!$B$15/4))^2),1)*IF(AND($A711&gt;='Control Room'!$A$16,$A711&lt;'Control Room'!$A$16+'Control Room'!$B$16,'Process'!BT5=1),1+('Control Room'!$C$16-1)*EXP(-0.5*(($A711-'Control Room'!$A$16-('Control Room'!$B$16-1)/2)/MAX(0.5,'Control Room'!$B$16/4))^2),1)</x:f>
        <x:v>1</x:v>
      </x:c>
      <x:c r="AZ711" s="9" t="n">
        <x:f>MOD(BA710*16807,2147483647)</x:f>
        <x:v>1731973106</x:v>
      </x:c>
      <x:c r="BA711" s="9" t="n">
        <x:f>MOD(AZ711*16807,2147483647)</x:f>
        <x:v>131157457</x:v>
      </x:c>
      <x:c r="BB711" s="17" t="n">
        <x:f>IF('Control Room'!$B$5="Normal",'Control Room'!$B$7+'Control Room'!$D$7*SQRT(-2*LN(MAX(0.000000000001,AZ711/2147483647)))*COS(2*PI()*BA711/2147483647),'Control Room'!$B$8+('Control Room'!$D$8-'Control Room'!$B$8)*AZ711/2147483647)</x:f>
        <x:v>1054.7290967405058</x:v>
      </x:c>
      <x:c r="BC711" s="17" t="n">
        <x:f>IF('Control Room'!$B$5="Normal",'Control Room'!$B$7,('Control Room'!$B$8+'Control Room'!$D$8)/2)+'Control Room'!$B$9*(BC710-IF('Control Room'!$B$5="Normal",'Control Room'!$B$7,('Control Room'!$B$8+'Control Room'!$D$8)/2))+SQRT(1-'Control Room'!$B$9^2)*(BB711-IF('Control Room'!$B$5="Normal",'Control Room'!$B$7,('Control Room'!$B$8+'Control Room'!$D$8)/2))</x:f>
        <x:v>1137.8447814781562</x:v>
      </x:c>
      <x:c r="BD711" s="17" t="n">
        <x:f>IF(AND($A711&gt;='Control Room'!$A$13,$A711&lt;'Control Room'!$A$13+'Control Room'!$B$13,'Process'!BU2=1),1+('Control Room'!$C$13-1)*EXP(-0.5*(($A711-'Control Room'!$A$13-('Control Room'!$B$13-1)/2)/MAX(0.5,'Control Room'!$B$13/4))^2),1)*IF(AND($A711&gt;='Control Room'!$A$14,$A711&lt;'Control Room'!$A$14+'Control Room'!$B$14,'Process'!BU3=1),1+('Control Room'!$C$14-1)*EXP(-0.5*(($A711-'Control Room'!$A$14-('Control Room'!$B$14-1)/2)/MAX(0.5,'Control Room'!$B$14/4))^2),1)*IF(AND($A711&gt;='Control Room'!$A$15,$A711&lt;'Control Room'!$A$15+'Control Room'!$B$15,'Process'!BU4=1),1+('Control Room'!$C$15-1)*EXP(-0.5*(($A711-'Control Room'!$A$15-('Control Room'!$B$15-1)/2)/MAX(0.5,'Control Room'!$B$15/4))^2),1)*IF(AND($A711&gt;='Control Room'!$A$16,$A711&lt;'Control Room'!$A$16+'Control Room'!$B$16,'Process'!BU5=1),1+('Control Room'!$C$16-1)*EXP(-0.5*(($A711-'Control Room'!$A$16-('Control Room'!$B$16-1)/2)/MAX(0.5,'Control Room'!$B$16/4))^2),1)</x:f>
        <x:v>1</x:v>
      </x:c>
      <x:c r="BE711" s="9" t="n">
        <x:f>MOD(BF710*16807,2147483647)</x:f>
        <x:v>335016283</x:v>
      </x:c>
      <x:c r="BF711" s="9" t="n">
        <x:f>MOD(BE711*16807,2147483647)</x:f>
        <x:v>2064029594</x:v>
      </x:c>
      <x:c r="BG711" s="17" t="n">
        <x:f>IF('Control Room'!$B$5="Normal",'Control Room'!$B$7+'Control Room'!$D$7*SQRT(-2*LN(MAX(0.000000000001,BE711/2147483647)))*COS(2*PI()*BF711/2147483647),'Control Room'!$B$8+('Control Room'!$D$8-'Control Room'!$B$8)*BE711/2147483647)</x:f>
        <x:v>1168.3404076413779</x:v>
      </x:c>
      <x:c r="BH711" s="17" t="n">
        <x:f>IF('Control Room'!$B$5="Normal",'Control Room'!$B$7,('Control Room'!$B$8+'Control Room'!$D$8)/2)+'Control Room'!$B$9*(BH710-IF('Control Room'!$B$5="Normal",'Control Room'!$B$7,('Control Room'!$B$8+'Control Room'!$D$8)/2))+SQRT(1-'Control Room'!$B$9^2)*(BG711-IF('Control Room'!$B$5="Normal",'Control Room'!$B$7,('Control Room'!$B$8+'Control Room'!$D$8)/2))</x:f>
        <x:v>1095.0029134210406</x:v>
      </x:c>
      <x:c r="BI711" s="17" t="n">
        <x:f>IF(AND($A711&gt;='Control Room'!$A$13,$A711&lt;'Control Room'!$A$13+'Control Room'!$B$13,'Process'!BV2=1),1+('Control Room'!$C$13-1)*EXP(-0.5*(($A711-'Control Room'!$A$13-('Control Room'!$B$13-1)/2)/MAX(0.5,'Control Room'!$B$13/4))^2),1)*IF(AND($A711&gt;='Control Room'!$A$14,$A711&lt;'Control Room'!$A$14+'Control Room'!$B$14,'Process'!BV3=1),1+('Control Room'!$C$14-1)*EXP(-0.5*(($A711-'Control Room'!$A$14-('Control Room'!$B$14-1)/2)/MAX(0.5,'Control Room'!$B$14/4))^2),1)*IF(AND($A711&gt;='Control Room'!$A$15,$A711&lt;'Control Room'!$A$15+'Control Room'!$B$15,'Process'!BV4=1),1+('Control Room'!$C$15-1)*EXP(-0.5*(($A711-'Control Room'!$A$15-('Control Room'!$B$15-1)/2)/MAX(0.5,'Control Room'!$B$15/4))^2),1)*IF(AND($A711&gt;='Control Room'!$A$16,$A711&lt;'Control Room'!$A$16+'Control Room'!$B$16,'Process'!BV5=1),1+('Control Room'!$C$16-1)*EXP(-0.5*(($A711-'Control Room'!$A$16-('Control Room'!$B$16-1)/2)/MAX(0.5,'Control Room'!$B$16/4))^2),1)</x:f>
        <x:v>1</x:v>
      </x:c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Z711" t="str">
        <x:f>IF('Data'!A711="","",TEXT('Data'!A711,"mm-dd"))</x:f>
      </x:c>
    </x:row>
    <x:row r="712" ht="21" customHeight="1">
      <x:c r="A712" s="15" t="n">
        <x:f>'Control Room'!$B$1+710</x:f>
        <x:v>73701</x:v>
      </x:c>
      <x:c r="B712" s="9" t="n">
        <x:f>MOD(C711*16807,2147483647)</x:f>
        <x:v>1666308665</x:v>
      </x:c>
      <x:c r="C712" s="9" t="n">
        <x:f>MOD(B712*16807,2147483647)</x:f>
        <x:v>315492128</x:v>
      </x:c>
      <x:c r="D712" s="17" t="n">
        <x:f>IF('Control Room'!$B$5="Normal",'Control Room'!$B$7+'Control Room'!$D$7*SQRT(-2*LN(MAX(0.000000000001,B712/2147483647)))*COS(2*PI()*C712/2147483647),'Control Room'!$B$8+('Control Room'!$D$8-'Control Room'!$B$8)*B712/2147483647)</x:f>
        <x:v>1038.680149783707</x:v>
      </x:c>
      <x:c r="E712" s="17" t="n">
        <x:f>IF('Control Room'!$B$5="Normal",'Control Room'!$B$7,('Control Room'!$B$8+'Control Room'!$D$8)/2)+'Control Room'!$B$9*(E711-IF('Control Room'!$B$5="Normal",'Control Room'!$B$7,('Control Room'!$B$8+'Control Room'!$D$8)/2))+SQRT(1-'Control Room'!$B$9^2)*(D712-IF('Control Room'!$B$5="Normal",'Control Room'!$B$7,('Control Room'!$B$8+'Control Room'!$D$8)/2))</x:f>
        <x:v>1076.3311792099955</x:v>
      </x:c>
      <x:c r="F712" s="17" t="n">
        <x:f>IF(AND($A712&gt;='Control Room'!$A$13,$A712&lt;'Control Room'!$A$13+'Control Room'!$B$13,'Process'!BK2=1),1+('Control Room'!$C$13-1)*EXP(-0.5*(($A712-'Control Room'!$A$13-('Control Room'!$B$13-1)/2)/MAX(0.5,'Control Room'!$B$13/4))^2),1)*IF(AND($A712&gt;='Control Room'!$A$14,$A712&lt;'Control Room'!$A$14+'Control Room'!$B$14,'Process'!BK3=1),1+('Control Room'!$C$14-1)*EXP(-0.5*(($A712-'Control Room'!$A$14-('Control Room'!$B$14-1)/2)/MAX(0.5,'Control Room'!$B$14/4))^2),1)*IF(AND($A712&gt;='Control Room'!$A$15,$A712&lt;'Control Room'!$A$15+'Control Room'!$B$15,'Process'!BK4=1),1+('Control Room'!$C$15-1)*EXP(-0.5*(($A712-'Control Room'!$A$15-('Control Room'!$B$15-1)/2)/MAX(0.5,'Control Room'!$B$15/4))^2),1)*IF(AND($A712&gt;='Control Room'!$A$16,$A712&lt;'Control Room'!$A$16+'Control Room'!$B$16,'Process'!BK5=1),1+('Control Room'!$C$16-1)*EXP(-0.5*(($A712-'Control Room'!$A$16-('Control Room'!$B$16-1)/2)/MAX(0.5,'Control Room'!$B$16/4))^2),1)</x:f>
        <x:v>1</x:v>
      </x:c>
      <x:c r="G712" s="9" t="n">
        <x:f>MOD(H711*16807,2147483647)</x:f>
        <x:v>315703408</x:v>
      </x:c>
      <x:c r="H712" s="9" t="n">
        <x:f>MOD(G712*16807,2147483647)</x:f>
        <x:v>1742570166</x:v>
      </x:c>
      <x:c r="I712" s="17" t="n">
        <x:f>IF('Control Room'!$B$5="Normal",'Control Room'!$B$7+'Control Room'!$D$7*SQRT(-2*LN(MAX(0.000000000001,G712/2147483647)))*COS(2*PI()*H712/2147483647),'Control Room'!$B$8+('Control Room'!$D$8-'Control Room'!$B$8)*G712/2147483647)</x:f>
        <x:v>1066.3646784546088</x:v>
      </x:c>
      <x:c r="J712" s="17" t="n">
        <x:f>IF('Control Room'!$B$5="Normal",'Control Room'!$B$7,('Control Room'!$B$8+'Control Room'!$D$8)/2)+'Control Room'!$B$9*(J711-IF('Control Room'!$B$5="Normal",'Control Room'!$B$7,('Control Room'!$B$8+'Control Room'!$D$8)/2))+SQRT(1-'Control Room'!$B$9^2)*(I712-IF('Control Room'!$B$5="Normal",'Control Room'!$B$7,('Control Room'!$B$8+'Control Room'!$D$8)/2))</x:f>
        <x:v>1206.419367113843</x:v>
      </x:c>
      <x:c r="K712" s="17" t="n">
        <x:f>IF(AND($A712&gt;='Control Room'!$A$13,$A712&lt;'Control Room'!$A$13+'Control Room'!$B$13,'Process'!BL2=1),1+('Control Room'!$C$13-1)*EXP(-0.5*(($A712-'Control Room'!$A$13-('Control Room'!$B$13-1)/2)/MAX(0.5,'Control Room'!$B$13/4))^2),1)*IF(AND($A712&gt;='Control Room'!$A$14,$A712&lt;'Control Room'!$A$14+'Control Room'!$B$14,'Process'!BL3=1),1+('Control Room'!$C$14-1)*EXP(-0.5*(($A712-'Control Room'!$A$14-('Control Room'!$B$14-1)/2)/MAX(0.5,'Control Room'!$B$14/4))^2),1)*IF(AND($A712&gt;='Control Room'!$A$15,$A712&lt;'Control Room'!$A$15+'Control Room'!$B$15,'Process'!BL4=1),1+('Control Room'!$C$15-1)*EXP(-0.5*(($A712-'Control Room'!$A$15-('Control Room'!$B$15-1)/2)/MAX(0.5,'Control Room'!$B$15/4))^2),1)*IF(AND($A712&gt;='Control Room'!$A$16,$A712&lt;'Control Room'!$A$16+'Control Room'!$B$16,'Process'!BL5=1),1+('Control Room'!$C$16-1)*EXP(-0.5*(($A712-'Control Room'!$A$16-('Control Room'!$B$16-1)/2)/MAX(0.5,'Control Room'!$B$16/4))^2),1)</x:f>
        <x:v>1</x:v>
      </x:c>
      <x:c r="L712" s="9" t="n">
        <x:f>MOD(M711*16807,2147483647)</x:f>
        <x:v>1112581798</x:v>
      </x:c>
      <x:c r="M712" s="9" t="n">
        <x:f>MOD(L712*16807,2147483647)</x:f>
        <x:v>1022164557</x:v>
      </x:c>
      <x:c r="N712" s="17" t="n">
        <x:f>IF('Control Room'!$B$5="Normal",'Control Room'!$B$7+'Control Room'!$D$7*SQRT(-2*LN(MAX(0.000000000001,L712/2147483647)))*COS(2*PI()*M712/2147483647),'Control Room'!$B$8+('Control Room'!$D$8-'Control Room'!$B$8)*L712/2147483647)</x:f>
        <x:v>897.9580072937617</x:v>
      </x:c>
      <x:c r="O712" s="17" t="n">
        <x:f>IF('Control Room'!$B$5="Normal",'Control Room'!$B$7,('Control Room'!$B$8+'Control Room'!$D$8)/2)+'Control Room'!$B$9*(O711-IF('Control Room'!$B$5="Normal",'Control Room'!$B$7,('Control Room'!$B$8+'Control Room'!$D$8)/2))+SQRT(1-'Control Room'!$B$9^2)*(N712-IF('Control Room'!$B$5="Normal",'Control Room'!$B$7,('Control Room'!$B$8+'Control Room'!$D$8)/2))</x:f>
        <x:v>1016.35975177667</x:v>
      </x:c>
      <x:c r="P712" s="17" t="n">
        <x:f>IF(AND($A712&gt;='Control Room'!$A$13,$A712&lt;'Control Room'!$A$13+'Control Room'!$B$13,'Process'!BM2=1),1+('Control Room'!$C$13-1)*EXP(-0.5*(($A712-'Control Room'!$A$13-('Control Room'!$B$13-1)/2)/MAX(0.5,'Control Room'!$B$13/4))^2),1)*IF(AND($A712&gt;='Control Room'!$A$14,$A712&lt;'Control Room'!$A$14+'Control Room'!$B$14,'Process'!BM3=1),1+('Control Room'!$C$14-1)*EXP(-0.5*(($A712-'Control Room'!$A$14-('Control Room'!$B$14-1)/2)/MAX(0.5,'Control Room'!$B$14/4))^2),1)*IF(AND($A712&gt;='Control Room'!$A$15,$A712&lt;'Control Room'!$A$15+'Control Room'!$B$15,'Process'!BM4=1),1+('Control Room'!$C$15-1)*EXP(-0.5*(($A712-'Control Room'!$A$15-('Control Room'!$B$15-1)/2)/MAX(0.5,'Control Room'!$B$15/4))^2),1)*IF(AND($A712&gt;='Control Room'!$A$16,$A712&lt;'Control Room'!$A$16+'Control Room'!$B$16,'Process'!BM5=1),1+('Control Room'!$C$16-1)*EXP(-0.5*(($A712-'Control Room'!$A$16-('Control Room'!$B$16-1)/2)/MAX(0.5,'Control Room'!$B$16/4))^2),1)</x:f>
        <x:v>1</x:v>
      </x:c>
      <x:c r="Q712" s="9" t="n">
        <x:f>MOD(R711*16807,2147483647)</x:f>
        <x:v>1909460188</x:v>
      </x:c>
      <x:c r="R712" s="9" t="n">
        <x:f>MOD(Q712*16807,2147483647)</x:f>
        <x:v>301758948</x:v>
      </x:c>
      <x:c r="S712" s="17" t="n">
        <x:f>IF('Control Room'!$B$5="Normal",'Control Room'!$B$7+'Control Room'!$D$7*SQRT(-2*LN(MAX(0.000000000001,Q712/2147483647)))*COS(2*PI()*R712/2147483647),'Control Room'!$B$8+('Control Room'!$D$8-'Control Room'!$B$8)*Q712/2147483647)</x:f>
        <x:v>1027.6979941070317</x:v>
      </x:c>
      <x:c r="T712" s="17" t="n">
        <x:f>IF('Control Room'!$B$5="Normal",'Control Room'!$B$7,('Control Room'!$B$8+'Control Room'!$D$8)/2)+'Control Room'!$B$9*(T711-IF('Control Room'!$B$5="Normal",'Control Room'!$B$7,('Control Room'!$B$8+'Control Room'!$D$8)/2))+SQRT(1-'Control Room'!$B$9^2)*(S712-IF('Control Room'!$B$5="Normal",'Control Room'!$B$7,('Control Room'!$B$8+'Control Room'!$D$8)/2))</x:f>
        <x:v>1029.0666825806604</x:v>
      </x:c>
      <x:c r="U712" s="17" t="n">
        <x:f>IF(AND($A712&gt;='Control Room'!$A$13,$A712&lt;'Control Room'!$A$13+'Control Room'!$B$13,'Process'!BN2=1),1+('Control Room'!$C$13-1)*EXP(-0.5*(($A712-'Control Room'!$A$13-('Control Room'!$B$13-1)/2)/MAX(0.5,'Control Room'!$B$13/4))^2),1)*IF(AND($A712&gt;='Control Room'!$A$14,$A712&lt;'Control Room'!$A$14+'Control Room'!$B$14,'Process'!BN3=1),1+('Control Room'!$C$14-1)*EXP(-0.5*(($A712-'Control Room'!$A$14-('Control Room'!$B$14-1)/2)/MAX(0.5,'Control Room'!$B$14/4))^2),1)*IF(AND($A712&gt;='Control Room'!$A$15,$A712&lt;'Control Room'!$A$15+'Control Room'!$B$15,'Process'!BN4=1),1+('Control Room'!$C$15-1)*EXP(-0.5*(($A712-'Control Room'!$A$15-('Control Room'!$B$15-1)/2)/MAX(0.5,'Control Room'!$B$15/4))^2),1)*IF(AND($A712&gt;='Control Room'!$A$16,$A712&lt;'Control Room'!$A$16+'Control Room'!$B$16,'Process'!BN5=1),1+('Control Room'!$C$16-1)*EXP(-0.5*(($A712-'Control Room'!$A$16-('Control Room'!$B$16-1)/2)/MAX(0.5,'Control Room'!$B$16/4))^2),1)</x:f>
        <x:v>1</x:v>
      </x:c>
      <x:c r="V712" s="9" t="n">
        <x:f>MOD(W711*16807,2147483647)</x:f>
        <x:v>558854931</x:v>
      </x:c>
      <x:c r="W712" s="9" t="n">
        <x:f>MOD(V712*16807,2147483647)</x:f>
        <x:v>1728836986</x:v>
      </x:c>
      <x:c r="X712" s="17" t="n">
        <x:f>IF('Control Room'!$B$5="Normal",'Control Room'!$B$7+'Control Room'!$D$7*SQRT(-2*LN(MAX(0.000000000001,V712/2147483647)))*COS(2*PI()*W712/2147483647),'Control Room'!$B$8+('Control Room'!$D$8-'Control Room'!$B$8)*V712/2147483647)</x:f>
        <x:v>1050.0688241074342</x:v>
      </x:c>
      <x:c r="Y712" s="17" t="n">
        <x:f>IF('Control Room'!$B$5="Normal",'Control Room'!$B$7,('Control Room'!$B$8+'Control Room'!$D$8)/2)+'Control Room'!$B$9*(Y711-IF('Control Room'!$B$5="Normal",'Control Room'!$B$7,('Control Room'!$B$8+'Control Room'!$D$8)/2))+SQRT(1-'Control Room'!$B$9^2)*(X712-IF('Control Room'!$B$5="Normal",'Control Room'!$B$7,('Control Room'!$B$8+'Control Room'!$D$8)/2))</x:f>
        <x:v>1043.905824039077</x:v>
      </x:c>
      <x:c r="Z712" s="17" t="n">
        <x:f>IF(AND($A712&gt;='Control Room'!$A$13,$A712&lt;'Control Room'!$A$13+'Control Room'!$B$13,'Process'!BO2=1),1+('Control Room'!$C$13-1)*EXP(-0.5*(($A712-'Control Room'!$A$13-('Control Room'!$B$13-1)/2)/MAX(0.5,'Control Room'!$B$13/4))^2),1)*IF(AND($A712&gt;='Control Room'!$A$14,$A712&lt;'Control Room'!$A$14+'Control Room'!$B$14,'Process'!BO3=1),1+('Control Room'!$C$14-1)*EXP(-0.5*(($A712-'Control Room'!$A$14-('Control Room'!$B$14-1)/2)/MAX(0.5,'Control Room'!$B$14/4))^2),1)*IF(AND($A712&gt;='Control Room'!$A$15,$A712&lt;'Control Room'!$A$15+'Control Room'!$B$15,'Process'!BO4=1),1+('Control Room'!$C$15-1)*EXP(-0.5*(($A712-'Control Room'!$A$15-('Control Room'!$B$15-1)/2)/MAX(0.5,'Control Room'!$B$15/4))^2),1)*IF(AND($A712&gt;='Control Room'!$A$16,$A712&lt;'Control Room'!$A$16+'Control Room'!$B$16,'Process'!BO5=1),1+('Control Room'!$C$16-1)*EXP(-0.5*(($A712-'Control Room'!$A$16-('Control Room'!$B$16-1)/2)/MAX(0.5,'Control Room'!$B$16/4))^2),1)</x:f>
        <x:v>1</x:v>
      </x:c>
      <x:c r="AA712" s="9" t="n">
        <x:f>MOD(AB711*16807,2147483647)</x:f>
        <x:v>1355733321</x:v>
      </x:c>
      <x:c r="AB712" s="9" t="n">
        <x:f>MOD(AA712*16807,2147483647)</x:f>
        <x:v>1008431377</x:v>
      </x:c>
      <x:c r="AC712" s="17" t="n">
        <x:f>IF('Control Room'!$B$5="Normal",'Control Room'!$B$7+'Control Room'!$D$7*SQRT(-2*LN(MAX(0.000000000001,AA712/2147483647)))*COS(2*PI()*AB712/2147483647),'Control Room'!$B$8+('Control Room'!$D$8-'Control Room'!$B$8)*AA712/2147483647)</x:f>
        <x:v>915.2505132485167</x:v>
      </x:c>
      <x:c r="AD712" s="17" t="n">
        <x:f>IF('Control Room'!$B$5="Normal",'Control Room'!$B$7,('Control Room'!$B$8+'Control Room'!$D$8)/2)+'Control Room'!$B$9*(AD711-IF('Control Room'!$B$5="Normal",'Control Room'!$B$7,('Control Room'!$B$8+'Control Room'!$D$8)/2))+SQRT(1-'Control Room'!$B$9^2)*(AC712-IF('Control Room'!$B$5="Normal",'Control Room'!$B$7,('Control Room'!$B$8+'Control Room'!$D$8)/2))</x:f>
        <x:v>837.4463597229977</x:v>
      </x:c>
      <x:c r="AE712" s="17" t="n">
        <x:f>IF(AND($A712&gt;='Control Room'!$A$13,$A712&lt;'Control Room'!$A$13+'Control Room'!$B$13,'Process'!BP2=1),1+('Control Room'!$C$13-1)*EXP(-0.5*(($A712-'Control Room'!$A$13-('Control Room'!$B$13-1)/2)/MAX(0.5,'Control Room'!$B$13/4))^2),1)*IF(AND($A712&gt;='Control Room'!$A$14,$A712&lt;'Control Room'!$A$14+'Control Room'!$B$14,'Process'!BP3=1),1+('Control Room'!$C$14-1)*EXP(-0.5*(($A712-'Control Room'!$A$14-('Control Room'!$B$14-1)/2)/MAX(0.5,'Control Room'!$B$14/4))^2),1)*IF(AND($A712&gt;='Control Room'!$A$15,$A712&lt;'Control Room'!$A$15+'Control Room'!$B$15,'Process'!BP4=1),1+('Control Room'!$C$15-1)*EXP(-0.5*(($A712-'Control Room'!$A$15-('Control Room'!$B$15-1)/2)/MAX(0.5,'Control Room'!$B$15/4))^2),1)*IF(AND($A712&gt;='Control Room'!$A$16,$A712&lt;'Control Room'!$A$16+'Control Room'!$B$16,'Process'!BP5=1),1+('Control Room'!$C$16-1)*EXP(-0.5*(($A712-'Control Room'!$A$16-('Control Room'!$B$16-1)/2)/MAX(0.5,'Control Room'!$B$16/4))^2),1)</x:f>
        <x:v>1</x:v>
      </x:c>
      <x:c r="AF712" s="9" t="n">
        <x:f>MOD(AG711*16807,2147483647)</x:f>
        <x:v>5128064</x:v>
      </x:c>
      <x:c r="AG712" s="9" t="n">
        <x:f>MOD(AF712*16807,2147483647)</x:f>
        <x:v>288025768</x:v>
      </x:c>
      <x:c r="AH712" s="17" t="n">
        <x:f>IF('Control Room'!$B$5="Normal",'Control Room'!$B$7+'Control Room'!$D$7*SQRT(-2*LN(MAX(0.000000000001,AF712/2147483647)))*COS(2*PI()*AG712/2147483647),'Control Room'!$B$8+('Control Room'!$D$8-'Control Room'!$B$8)*AF712/2147483647)</x:f>
        <x:v>1208.107237908898</x:v>
      </x:c>
      <x:c r="AI712" s="17" t="n">
        <x:f>IF('Control Room'!$B$5="Normal",'Control Room'!$B$7,('Control Room'!$B$8+'Control Room'!$D$8)/2)+'Control Room'!$B$9*(AI711-IF('Control Room'!$B$5="Normal",'Control Room'!$B$7,('Control Room'!$B$8+'Control Room'!$D$8)/2))+SQRT(1-'Control Room'!$B$9^2)*(AH712-IF('Control Room'!$B$5="Normal",'Control Room'!$B$7,('Control Room'!$B$8+'Control Room'!$D$8)/2))</x:f>
        <x:v>1046.8503090418953</x:v>
      </x:c>
      <x:c r="AJ712" s="17" t="n">
        <x:f>IF(AND($A712&gt;='Control Room'!$A$13,$A712&lt;'Control Room'!$A$13+'Control Room'!$B$13,'Process'!BQ2=1),1+('Control Room'!$C$13-1)*EXP(-0.5*(($A712-'Control Room'!$A$13-('Control Room'!$B$13-1)/2)/MAX(0.5,'Control Room'!$B$13/4))^2),1)*IF(AND($A712&gt;='Control Room'!$A$14,$A712&lt;'Control Room'!$A$14+'Control Room'!$B$14,'Process'!BQ3=1),1+('Control Room'!$C$14-1)*EXP(-0.5*(($A712-'Control Room'!$A$14-('Control Room'!$B$14-1)/2)/MAX(0.5,'Control Room'!$B$14/4))^2),1)*IF(AND($A712&gt;='Control Room'!$A$15,$A712&lt;'Control Room'!$A$15+'Control Room'!$B$15,'Process'!BQ4=1),1+('Control Room'!$C$15-1)*EXP(-0.5*(($A712-'Control Room'!$A$15-('Control Room'!$B$15-1)/2)/MAX(0.5,'Control Room'!$B$15/4))^2),1)*IF(AND($A712&gt;='Control Room'!$A$16,$A712&lt;'Control Room'!$A$16+'Control Room'!$B$16,'Process'!BQ5=1),1+('Control Room'!$C$16-1)*EXP(-0.5*(($A712-'Control Room'!$A$16-('Control Room'!$B$16-1)/2)/MAX(0.5,'Control Room'!$B$16/4))^2),1)</x:f>
        <x:v>1</x:v>
      </x:c>
      <x:c r="AK712" s="9" t="n">
        <x:f>MOD(AL711*16807,2147483647)</x:f>
        <x:v>802006454</x:v>
      </x:c>
      <x:c r="AL712" s="9" t="n">
        <x:f>MOD(AK712*16807,2147483647)</x:f>
        <x:v>1715103806</x:v>
      </x:c>
      <x:c r="AM712" s="17" t="n">
        <x:f>IF('Control Room'!$B$5="Normal",'Control Room'!$B$7+'Control Room'!$D$7*SQRT(-2*LN(MAX(0.000000000001,AK712/2147483647)))*COS(2*PI()*AL712/2147483647),'Control Room'!$B$8+('Control Room'!$D$8-'Control Room'!$B$8)*AK712/2147483647)</x:f>
        <x:v>1038.0192887246908</x:v>
      </x:c>
      <x:c r="AN712" s="17" t="n">
        <x:f>IF('Control Room'!$B$5="Normal",'Control Room'!$B$7,('Control Room'!$B$8+'Control Room'!$D$8)/2)+'Control Room'!$B$9*(AN711-IF('Control Room'!$B$5="Normal",'Control Room'!$B$7,('Control Room'!$B$8+'Control Room'!$D$8)/2))+SQRT(1-'Control Room'!$B$9^2)*(AM712-IF('Control Room'!$B$5="Normal",'Control Room'!$B$7,('Control Room'!$B$8+'Control Room'!$D$8)/2))</x:f>
        <x:v>1024.6557511640317</x:v>
      </x:c>
      <x:c r="AO712" s="17" t="n">
        <x:f>IF(AND($A712&gt;='Control Room'!$A$13,$A712&lt;'Control Room'!$A$13+'Control Room'!$B$13,'Process'!BR2=1),1+('Control Room'!$C$13-1)*EXP(-0.5*(($A712-'Control Room'!$A$13-('Control Room'!$B$13-1)/2)/MAX(0.5,'Control Room'!$B$13/4))^2),1)*IF(AND($A712&gt;='Control Room'!$A$14,$A712&lt;'Control Room'!$A$14+'Control Room'!$B$14,'Process'!BR3=1),1+('Control Room'!$C$14-1)*EXP(-0.5*(($A712-'Control Room'!$A$14-('Control Room'!$B$14-1)/2)/MAX(0.5,'Control Room'!$B$14/4))^2),1)*IF(AND($A712&gt;='Control Room'!$A$15,$A712&lt;'Control Room'!$A$15+'Control Room'!$B$15,'Process'!BR4=1),1+('Control Room'!$C$15-1)*EXP(-0.5*(($A712-'Control Room'!$A$15-('Control Room'!$B$15-1)/2)/MAX(0.5,'Control Room'!$B$15/4))^2),1)*IF(AND($A712&gt;='Control Room'!$A$16,$A712&lt;'Control Room'!$A$16+'Control Room'!$B$16,'Process'!BR5=1),1+('Control Room'!$C$16-1)*EXP(-0.5*(($A712-'Control Room'!$A$16-('Control Room'!$B$16-1)/2)/MAX(0.5,'Control Room'!$B$16/4))^2),1)</x:f>
        <x:v>1</x:v>
      </x:c>
      <x:c r="AP712" s="9" t="n">
        <x:f>MOD(AQ711*16807,2147483647)</x:f>
        <x:v>1598884844</x:v>
      </x:c>
      <x:c r="AQ712" s="9" t="n">
        <x:f>MOD(AP712*16807,2147483647)</x:f>
        <x:v>994698197</x:v>
      </x:c>
      <x:c r="AR712" s="17" t="n">
        <x:f>IF('Control Room'!$B$5="Normal",'Control Room'!$B$7+'Control Room'!$D$7*SQRT(-2*LN(MAX(0.000000000001,AP712/2147483647)))*COS(2*PI()*AQ712/2147483647),'Control Room'!$B$8+('Control Room'!$D$8-'Control Room'!$B$8)*AP712/2147483647)</x:f>
        <x:v>932.7112887086041</x:v>
      </x:c>
      <x:c r="AS712" s="17" t="n">
        <x:f>IF('Control Room'!$B$5="Normal",'Control Room'!$B$7,('Control Room'!$B$8+'Control Room'!$D$8)/2)+'Control Room'!$B$9*(AS711-IF('Control Room'!$B$5="Normal",'Control Room'!$B$7,('Control Room'!$B$8+'Control Room'!$D$8)/2))+SQRT(1-'Control Room'!$B$9^2)*(AR712-IF('Control Room'!$B$5="Normal",'Control Room'!$B$7,('Control Room'!$B$8+'Control Room'!$D$8)/2))</x:f>
        <x:v>952.6101307819774</x:v>
      </x:c>
      <x:c r="AT712" s="17" t="n">
        <x:f>IF(AND($A712&gt;='Control Room'!$A$13,$A712&lt;'Control Room'!$A$13+'Control Room'!$B$13,'Process'!BS2=1),1+('Control Room'!$C$13-1)*EXP(-0.5*(($A712-'Control Room'!$A$13-('Control Room'!$B$13-1)/2)/MAX(0.5,'Control Room'!$B$13/4))^2),1)*IF(AND($A712&gt;='Control Room'!$A$14,$A712&lt;'Control Room'!$A$14+'Control Room'!$B$14,'Process'!BS3=1),1+('Control Room'!$C$14-1)*EXP(-0.5*(($A712-'Control Room'!$A$14-('Control Room'!$B$14-1)/2)/MAX(0.5,'Control Room'!$B$14/4))^2),1)*IF(AND($A712&gt;='Control Room'!$A$15,$A712&lt;'Control Room'!$A$15+'Control Room'!$B$15,'Process'!BS4=1),1+('Control Room'!$C$15-1)*EXP(-0.5*(($A712-'Control Room'!$A$15-('Control Room'!$B$15-1)/2)/MAX(0.5,'Control Room'!$B$15/4))^2),1)*IF(AND($A712&gt;='Control Room'!$A$16,$A712&lt;'Control Room'!$A$16+'Control Room'!$B$16,'Process'!BS5=1),1+('Control Room'!$C$16-1)*EXP(-0.5*(($A712-'Control Room'!$A$16-('Control Room'!$B$16-1)/2)/MAX(0.5,'Control Room'!$B$16/4))^2),1)</x:f>
        <x:v>1</x:v>
      </x:c>
      <x:c r="AU712" s="9" t="n">
        <x:f>MOD(AV711*16807,2147483647)</x:f>
        <x:v>248279587</x:v>
      </x:c>
      <x:c r="AV712" s="9" t="n">
        <x:f>MOD(AU712*16807,2147483647)</x:f>
        <x:v>274292588</x:v>
      </x:c>
      <x:c r="AW712" s="17" t="n">
        <x:f>IF('Control Room'!$B$5="Normal",'Control Room'!$B$7+'Control Room'!$D$7*SQRT(-2*LN(MAX(0.000000000001,AU712/2147483647)))*COS(2*PI()*AV712/2147483647),'Control Room'!$B$8+('Control Room'!$D$8-'Control Room'!$B$8)*AU712/2147483647)</x:f>
        <x:v>1129.9110318241821</x:v>
      </x:c>
      <x:c r="AX712" s="17" t="n">
        <x:f>IF('Control Room'!$B$5="Normal",'Control Room'!$B$7,('Control Room'!$B$8+'Control Room'!$D$8)/2)+'Control Room'!$B$9*(AX711-IF('Control Room'!$B$5="Normal",'Control Room'!$B$7,('Control Room'!$B$8+'Control Room'!$D$8)/2))+SQRT(1-'Control Room'!$B$9^2)*(AW712-IF('Control Room'!$B$5="Normal",'Control Room'!$B$7,('Control Room'!$B$8+'Control Room'!$D$8)/2))</x:f>
        <x:v>1121.706464754276</x:v>
      </x:c>
      <x:c r="AY712" s="17" t="n">
        <x:f>IF(AND($A712&gt;='Control Room'!$A$13,$A712&lt;'Control Room'!$A$13+'Control Room'!$B$13,'Process'!BT2=1),1+('Control Room'!$C$13-1)*EXP(-0.5*(($A712-'Control Room'!$A$13-('Control Room'!$B$13-1)/2)/MAX(0.5,'Control Room'!$B$13/4))^2),1)*IF(AND($A712&gt;='Control Room'!$A$14,$A712&lt;'Control Room'!$A$14+'Control Room'!$B$14,'Process'!BT3=1),1+('Control Room'!$C$14-1)*EXP(-0.5*(($A712-'Control Room'!$A$14-('Control Room'!$B$14-1)/2)/MAX(0.5,'Control Room'!$B$14/4))^2),1)*IF(AND($A712&gt;='Control Room'!$A$15,$A712&lt;'Control Room'!$A$15+'Control Room'!$B$15,'Process'!BT4=1),1+('Control Room'!$C$15-1)*EXP(-0.5*(($A712-'Control Room'!$A$15-('Control Room'!$B$15-1)/2)/MAX(0.5,'Control Room'!$B$15/4))^2),1)*IF(AND($A712&gt;='Control Room'!$A$16,$A712&lt;'Control Room'!$A$16+'Control Room'!$B$16,'Process'!BT5=1),1+('Control Room'!$C$16-1)*EXP(-0.5*(($A712-'Control Room'!$A$16-('Control Room'!$B$16-1)/2)/MAX(0.5,'Control Room'!$B$16/4))^2),1)</x:f>
        <x:v>1</x:v>
      </x:c>
      <x:c r="AZ712" s="9" t="n">
        <x:f>MOD(BA711*16807,2147483647)</x:f>
        <x:v>1045157977</x:v>
      </x:c>
      <x:c r="BA712" s="9" t="n">
        <x:f>MOD(AZ712*16807,2147483647)</x:f>
        <x:v>1701370626</x:v>
      </x:c>
      <x:c r="BB712" s="17" t="n">
        <x:f>IF('Control Room'!$B$5="Normal",'Control Room'!$B$7+'Control Room'!$D$7*SQRT(-2*LN(MAX(0.000000000001,AZ712/2147483647)))*COS(2*PI()*BA712/2147483647),'Control Room'!$B$8+('Control Room'!$D$8-'Control Room'!$B$8)*AZ712/2147483647)</x:f>
        <x:v>1028.3452975944037</x:v>
      </x:c>
      <x:c r="BC712" s="17" t="n">
        <x:f>IF('Control Room'!$B$5="Normal",'Control Room'!$B$7,('Control Room'!$B$8+'Control Room'!$D$8)/2)+'Control Room'!$B$9*(BC711-IF('Control Room'!$B$5="Normal",'Control Room'!$B$7,('Control Room'!$B$8+'Control Room'!$D$8)/2))+SQRT(1-'Control Room'!$B$9^2)*(BB712-IF('Control Room'!$B$5="Normal",'Control Room'!$B$7,('Control Room'!$B$8+'Control Room'!$D$8)/2))</x:f>
        <x:v>1125.2568361025553</x:v>
      </x:c>
      <x:c r="BD712" s="17" t="n">
        <x:f>IF(AND($A712&gt;='Control Room'!$A$13,$A712&lt;'Control Room'!$A$13+'Control Room'!$B$13,'Process'!BU2=1),1+('Control Room'!$C$13-1)*EXP(-0.5*(($A712-'Control Room'!$A$13-('Control Room'!$B$13-1)/2)/MAX(0.5,'Control Room'!$B$13/4))^2),1)*IF(AND($A712&gt;='Control Room'!$A$14,$A712&lt;'Control Room'!$A$14+'Control Room'!$B$14,'Process'!BU3=1),1+('Control Room'!$C$14-1)*EXP(-0.5*(($A712-'Control Room'!$A$14-('Control Room'!$B$14-1)/2)/MAX(0.5,'Control Room'!$B$14/4))^2),1)*IF(AND($A712&gt;='Control Room'!$A$15,$A712&lt;'Control Room'!$A$15+'Control Room'!$B$15,'Process'!BU4=1),1+('Control Room'!$C$15-1)*EXP(-0.5*(($A712-'Control Room'!$A$15-('Control Room'!$B$15-1)/2)/MAX(0.5,'Control Room'!$B$15/4))^2),1)*IF(AND($A712&gt;='Control Room'!$A$16,$A712&lt;'Control Room'!$A$16+'Control Room'!$B$16,'Process'!BU5=1),1+('Control Room'!$C$16-1)*EXP(-0.5*(($A712-'Control Room'!$A$16-('Control Room'!$B$16-1)/2)/MAX(0.5,'Control Room'!$B$16/4))^2),1)</x:f>
        <x:v>1</x:v>
      </x:c>
      <x:c r="BE712" s="9" t="n">
        <x:f>MOD(BF711*16807,2147483647)</x:f>
        <x:v>1842036367</x:v>
      </x:c>
      <x:c r="BF712" s="9" t="n">
        <x:f>MOD(BE712*16807,2147483647)</x:f>
        <x:v>980965017</x:v>
      </x:c>
      <x:c r="BG712" s="17" t="n">
        <x:f>IF('Control Room'!$B$5="Normal",'Control Room'!$B$7+'Control Room'!$D$7*SQRT(-2*LN(MAX(0.000000000001,BE712/2147483647)))*COS(2*PI()*BF712/2147483647),'Control Room'!$B$8+('Control Room'!$D$8-'Control Room'!$B$8)*BE712/2147483647)</x:f>
        <x:v>951.9708665655272</x:v>
      </x:c>
      <x:c r="BH712" s="17" t="n">
        <x:f>IF('Control Room'!$B$5="Normal",'Control Room'!$B$7,('Control Room'!$B$8+'Control Room'!$D$8)/2)+'Control Room'!$B$9*(BH711-IF('Control Room'!$B$5="Normal",'Control Room'!$B$7,('Control Room'!$B$8+'Control Room'!$D$8)/2))+SQRT(1-'Control Room'!$B$9^2)*(BG712-IF('Control Room'!$B$5="Normal",'Control Room'!$B$7,('Control Room'!$B$8+'Control Room'!$D$8)/2))</x:f>
        <x:v>1044.0466246953984</x:v>
      </x:c>
      <x:c r="BI712" s="17" t="n">
        <x:f>IF(AND($A712&gt;='Control Room'!$A$13,$A712&lt;'Control Room'!$A$13+'Control Room'!$B$13,'Process'!BV2=1),1+('Control Room'!$C$13-1)*EXP(-0.5*(($A712-'Control Room'!$A$13-('Control Room'!$B$13-1)/2)/MAX(0.5,'Control Room'!$B$13/4))^2),1)*IF(AND($A712&gt;='Control Room'!$A$14,$A712&lt;'Control Room'!$A$14+'Control Room'!$B$14,'Process'!BV3=1),1+('Control Room'!$C$14-1)*EXP(-0.5*(($A712-'Control Room'!$A$14-('Control Room'!$B$14-1)/2)/MAX(0.5,'Control Room'!$B$14/4))^2),1)*IF(AND($A712&gt;='Control Room'!$A$15,$A712&lt;'Control Room'!$A$15+'Control Room'!$B$15,'Process'!BV4=1),1+('Control Room'!$C$15-1)*EXP(-0.5*(($A712-'Control Room'!$A$15-('Control Room'!$B$15-1)/2)/MAX(0.5,'Control Room'!$B$15/4))^2),1)*IF(AND($A712&gt;='Control Room'!$A$16,$A712&lt;'Control Room'!$A$16+'Control Room'!$B$16,'Process'!BV5=1),1+('Control Room'!$C$16-1)*EXP(-0.5*(($A712-'Control Room'!$A$16-('Control Room'!$B$16-1)/2)/MAX(0.5,'Control Room'!$B$16/4))^2),1)</x:f>
        <x:v>1</x:v>
      </x:c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Z712" t="str">
        <x:f>IF('Data'!A712="","",TEXT('Data'!A712,"mm-dd"))</x:f>
      </x:c>
    </x:row>
    <x:row r="713" ht="21" customHeight="1">
      <x:c r="A713" s="15" t="n">
        <x:f>'Control Room'!$B$1+711</x:f>
        <x:v>73702</x:v>
      </x:c>
      <x:c r="B713" s="9" t="n">
        <x:f>MOD(C712*16807,2147483647)</x:f>
        <x:v>339070853</x:v>
      </x:c>
      <x:c r="C713" s="9" t="n">
        <x:f>MOD(B713*16807,2147483647)</x:f>
        <x:v>1489710880</x:v>
      </x:c>
      <x:c r="D713" s="17" t="n">
        <x:f>IF('Control Room'!$B$5="Normal",'Control Room'!$B$7+'Control Room'!$D$7*SQRT(-2*LN(MAX(0.000000000001,B713/2147483647)))*COS(2*PI()*C713/2147483647),'Control Room'!$B$8+('Control Room'!$D$8-'Control Room'!$B$8)*B713/2147483647)</x:f>
        <x:v>940.0978428382653</x:v>
      </x:c>
      <x:c r="E713" s="17" t="n">
        <x:f>IF('Control Room'!$B$5="Normal",'Control Room'!$B$7,('Control Room'!$B$8+'Control Room'!$D$8)/2)+'Control Room'!$B$9*(E712-IF('Control Room'!$B$5="Normal",'Control Room'!$B$7,('Control Room'!$B$8+'Control Room'!$D$8)/2))+SQRT(1-'Control Room'!$B$9^2)*(D713-IF('Control Room'!$B$5="Normal",'Control Room'!$B$7,('Control Room'!$B$8+'Control Room'!$D$8)/2))</x:f>
        <x:v>1022.0527769943744</x:v>
      </x:c>
      <x:c r="F713" s="17" t="n">
        <x:f>IF(AND($A713&gt;='Control Room'!$A$13,$A713&lt;'Control Room'!$A$13+'Control Room'!$B$13,'Process'!BK2=1),1+('Control Room'!$C$13-1)*EXP(-0.5*(($A713-'Control Room'!$A$13-('Control Room'!$B$13-1)/2)/MAX(0.5,'Control Room'!$B$13/4))^2),1)*IF(AND($A713&gt;='Control Room'!$A$14,$A713&lt;'Control Room'!$A$14+'Control Room'!$B$14,'Process'!BK3=1),1+('Control Room'!$C$14-1)*EXP(-0.5*(($A713-'Control Room'!$A$14-('Control Room'!$B$14-1)/2)/MAX(0.5,'Control Room'!$B$14/4))^2),1)*IF(AND($A713&gt;='Control Room'!$A$15,$A713&lt;'Control Room'!$A$15+'Control Room'!$B$15,'Process'!BK4=1),1+('Control Room'!$C$15-1)*EXP(-0.5*(($A713-'Control Room'!$A$15-('Control Room'!$B$15-1)/2)/MAX(0.5,'Control Room'!$B$15/4))^2),1)*IF(AND($A713&gt;='Control Room'!$A$16,$A713&lt;'Control Room'!$A$16+'Control Room'!$B$16,'Process'!BK5=1),1+('Control Room'!$C$16-1)*EXP(-0.5*(($A713-'Control Room'!$A$16-('Control Room'!$B$16-1)/2)/MAX(0.5,'Control Room'!$B$16/4))^2),1)</x:f>
        <x:v>1</x:v>
      </x:c>
      <x:c r="G713" s="9" t="n">
        <x:f>MOD(H712*16807,2147483647)</x:f>
        <x:v>2142285823</x:v>
      </x:c>
      <x:c r="H713" s="9" t="n">
        <x:f>MOD(G713*16807,2147483647)</x:f>
        <x:v>687001559</x:v>
      </x:c>
      <x:c r="I713" s="17" t="n">
        <x:f>IF('Control Room'!$B$5="Normal",'Control Room'!$B$7+'Control Room'!$D$7*SQRT(-2*LN(MAX(0.000000000001,G713/2147483647)))*COS(2*PI()*H713/2147483647),'Control Room'!$B$8+('Control Room'!$D$8-'Control Room'!$B$8)*G713/2147483647)</x:f>
        <x:v>997.3354194855858</x:v>
      </x:c>
      <x:c r="J713" s="17" t="n">
        <x:f>IF('Control Room'!$B$5="Normal",'Control Room'!$B$7,('Control Room'!$B$8+'Control Room'!$D$8)/2)+'Control Room'!$B$9*(J712-IF('Control Room'!$B$5="Normal",'Control Room'!$B$7,('Control Room'!$B$8+'Control Room'!$D$8)/2))+SQRT(1-'Control Room'!$B$9^2)*(I713-IF('Control Room'!$B$5="Normal",'Control Room'!$B$7,('Control Room'!$B$8+'Control Room'!$D$8)/2))</x:f>
        <x:v>1159.3396664497761</x:v>
      </x:c>
      <x:c r="K713" s="17" t="n">
        <x:f>IF(AND($A713&gt;='Control Room'!$A$13,$A713&lt;'Control Room'!$A$13+'Control Room'!$B$13,'Process'!BL2=1),1+('Control Room'!$C$13-1)*EXP(-0.5*(($A713-'Control Room'!$A$13-('Control Room'!$B$13-1)/2)/MAX(0.5,'Control Room'!$B$13/4))^2),1)*IF(AND($A713&gt;='Control Room'!$A$14,$A713&lt;'Control Room'!$A$14+'Control Room'!$B$14,'Process'!BL3=1),1+('Control Room'!$C$14-1)*EXP(-0.5*(($A713-'Control Room'!$A$14-('Control Room'!$B$14-1)/2)/MAX(0.5,'Control Room'!$B$14/4))^2),1)*IF(AND($A713&gt;='Control Room'!$A$15,$A713&lt;'Control Room'!$A$15+'Control Room'!$B$15,'Process'!BL4=1),1+('Control Room'!$C$15-1)*EXP(-0.5*(($A713-'Control Room'!$A$15-('Control Room'!$B$15-1)/2)/MAX(0.5,'Control Room'!$B$15/4))^2),1)*IF(AND($A713&gt;='Control Room'!$A$16,$A713&lt;'Control Room'!$A$16+'Control Room'!$B$16,'Process'!BL5=1),1+('Control Room'!$C$16-1)*EXP(-0.5*(($A713-'Control Room'!$A$16-('Control Room'!$B$16-1)/2)/MAX(0.5,'Control Room'!$B$16/4))^2),1)</x:f>
        <x:v>1</x:v>
      </x:c>
      <x:c r="L713" s="9" t="n">
        <x:f>MOD(M712*16807,2147483647)</x:f>
        <x:v>1798017146</x:v>
      </x:c>
      <x:c r="M713" s="9" t="n">
        <x:f>MOD(L713*16807,2147483647)</x:f>
        <x:v>2031775885</x:v>
      </x:c>
      <x:c r="N713" s="17" t="n">
        <x:f>IF('Control Room'!$B$5="Normal",'Control Room'!$B$7+'Control Room'!$D$7*SQRT(-2*LN(MAX(0.000000000001,L713/2147483647)))*COS(2*PI()*M713/2147483647),'Control Room'!$B$8+('Control Room'!$D$8-'Control Room'!$B$8)*L713/2147483647)</x:f>
        <x:v>1050.595999114436</x:v>
      </x:c>
      <x:c r="O713" s="17" t="n">
        <x:f>IF('Control Room'!$B$5="Normal",'Control Room'!$B$7,('Control Room'!$B$8+'Control Room'!$D$8)/2)+'Control Room'!$B$9*(O712-IF('Control Room'!$B$5="Normal",'Control Room'!$B$7,('Control Room'!$B$8+'Control Room'!$D$8)/2))+SQRT(1-'Control Room'!$B$9^2)*(N713-IF('Control Room'!$B$5="Normal",'Control Room'!$B$7,('Control Room'!$B$8+'Control Room'!$D$8)/2))</x:f>
        <x:v>1044.422546116235</x:v>
      </x:c>
      <x:c r="P713" s="17" t="n">
        <x:f>IF(AND($A713&gt;='Control Room'!$A$13,$A713&lt;'Control Room'!$A$13+'Control Room'!$B$13,'Process'!BM2=1),1+('Control Room'!$C$13-1)*EXP(-0.5*(($A713-'Control Room'!$A$13-('Control Room'!$B$13-1)/2)/MAX(0.5,'Control Room'!$B$13/4))^2),1)*IF(AND($A713&gt;='Control Room'!$A$14,$A713&lt;'Control Room'!$A$14+'Control Room'!$B$14,'Process'!BM3=1),1+('Control Room'!$C$14-1)*EXP(-0.5*(($A713-'Control Room'!$A$14-('Control Room'!$B$14-1)/2)/MAX(0.5,'Control Room'!$B$14/4))^2),1)*IF(AND($A713&gt;='Control Room'!$A$15,$A713&lt;'Control Room'!$A$15+'Control Room'!$B$15,'Process'!BM4=1),1+('Control Room'!$C$15-1)*EXP(-0.5*(($A713-'Control Room'!$A$15-('Control Room'!$B$15-1)/2)/MAX(0.5,'Control Room'!$B$15/4))^2),1)*IF(AND($A713&gt;='Control Room'!$A$16,$A713&lt;'Control Room'!$A$16+'Control Room'!$B$16,'Process'!BM5=1),1+('Control Room'!$C$16-1)*EXP(-0.5*(($A713-'Control Room'!$A$16-('Control Room'!$B$16-1)/2)/MAX(0.5,'Control Room'!$B$16/4))^2),1)</x:f>
        <x:v>1</x:v>
      </x:c>
      <x:c r="Q713" s="9" t="n">
        <x:f>MOD(R712*16807,2147483647)</x:f>
        <x:v>1453748469</x:v>
      </x:c>
      <x:c r="R713" s="9" t="n">
        <x:f>MOD(Q713*16807,2147483647)</x:f>
        <x:v>1229066564</x:v>
      </x:c>
      <x:c r="S713" s="17" t="n">
        <x:f>IF('Control Room'!$B$5="Normal",'Control Room'!$B$7+'Control Room'!$D$7*SQRT(-2*LN(MAX(0.000000000001,Q713/2147483647)))*COS(2*PI()*R713/2147483647),'Control Room'!$B$8+('Control Room'!$D$8-'Control Room'!$B$8)*Q713/2147483647)</x:f>
        <x:v>928.5680648213188</x:v>
      </x:c>
      <x:c r="T713" s="17" t="n">
        <x:f>IF('Control Room'!$B$5="Normal",'Control Room'!$B$7,('Control Room'!$B$8+'Control Room'!$D$8)/2)+'Control Room'!$B$9*(T712-IF('Control Room'!$B$5="Normal",'Control Room'!$B$7,('Control Room'!$B$8+'Control Room'!$D$8)/2))+SQRT(1-'Control Room'!$B$9^2)*(S713-IF('Control Room'!$B$5="Normal",'Control Room'!$B$7,('Control Room'!$B$8+'Control Room'!$D$8)/2))</x:f>
        <x:v>977.9713707408295</x:v>
      </x:c>
      <x:c r="U713" s="17" t="n">
        <x:f>IF(AND($A713&gt;='Control Room'!$A$13,$A713&lt;'Control Room'!$A$13+'Control Room'!$B$13,'Process'!BN2=1),1+('Control Room'!$C$13-1)*EXP(-0.5*(($A713-'Control Room'!$A$13-('Control Room'!$B$13-1)/2)/MAX(0.5,'Control Room'!$B$13/4))^2),1)*IF(AND($A713&gt;='Control Room'!$A$14,$A713&lt;'Control Room'!$A$14+'Control Room'!$B$14,'Process'!BN3=1),1+('Control Room'!$C$14-1)*EXP(-0.5*(($A713-'Control Room'!$A$14-('Control Room'!$B$14-1)/2)/MAX(0.5,'Control Room'!$B$14/4))^2),1)*IF(AND($A713&gt;='Control Room'!$A$15,$A713&lt;'Control Room'!$A$15+'Control Room'!$B$15,'Process'!BN4=1),1+('Control Room'!$C$15-1)*EXP(-0.5*(($A713-'Control Room'!$A$15-('Control Room'!$B$15-1)/2)/MAX(0.5,'Control Room'!$B$15/4))^2),1)*IF(AND($A713&gt;='Control Room'!$A$16,$A713&lt;'Control Room'!$A$16+'Control Room'!$B$16,'Process'!BN5=1),1+('Control Room'!$C$16-1)*EXP(-0.5*(($A713-'Control Room'!$A$16-('Control Room'!$B$16-1)/2)/MAX(0.5,'Control Room'!$B$16/4))^2),1)</x:f>
        <x:v>1</x:v>
      </x:c>
      <x:c r="V713" s="9" t="n">
        <x:f>MOD(W712*16807,2147483647)</x:f>
        <x:v>1109479792</x:v>
      </x:c>
      <x:c r="W713" s="9" t="n">
        <x:f>MOD(V713*16807,2147483647)</x:f>
        <x:v>426357243</x:v>
      </x:c>
      <x:c r="X713" s="17" t="n">
        <x:f>IF('Control Room'!$B$5="Normal",'Control Room'!$B$7+'Control Room'!$D$7*SQRT(-2*LN(MAX(0.000000000001,V713/2147483647)))*COS(2*PI()*W713/2147483647),'Control Room'!$B$8+('Control Room'!$D$8-'Control Room'!$B$8)*V713/2147483647)</x:f>
        <x:v>1032.865071420225</x:v>
      </x:c>
      <x:c r="Y713" s="17" t="n">
        <x:f>IF('Control Room'!$B$5="Normal",'Control Room'!$B$7,('Control Room'!$B$8+'Control Room'!$D$8)/2)+'Control Room'!$B$9*(Y712-IF('Control Room'!$B$5="Normal",'Control Room'!$B$7,('Control Room'!$B$8+'Control Room'!$D$8)/2))+SQRT(1-'Control Room'!$B$9^2)*(X713-IF('Control Room'!$B$5="Normal",'Control Room'!$B$7,('Control Room'!$B$8+'Control Room'!$D$8)/2))</x:f>
        <x:v>1054.8128311676728</x:v>
      </x:c>
      <x:c r="Z713" s="17" t="n">
        <x:f>IF(AND($A713&gt;='Control Room'!$A$13,$A713&lt;'Control Room'!$A$13+'Control Room'!$B$13,'Process'!BO2=1),1+('Control Room'!$C$13-1)*EXP(-0.5*(($A713-'Control Room'!$A$13-('Control Room'!$B$13-1)/2)/MAX(0.5,'Control Room'!$B$13/4))^2),1)*IF(AND($A713&gt;='Control Room'!$A$14,$A713&lt;'Control Room'!$A$14+'Control Room'!$B$14,'Process'!BO3=1),1+('Control Room'!$C$14-1)*EXP(-0.5*(($A713-'Control Room'!$A$14-('Control Room'!$B$14-1)/2)/MAX(0.5,'Control Room'!$B$14/4))^2),1)*IF(AND($A713&gt;='Control Room'!$A$15,$A713&lt;'Control Room'!$A$15+'Control Room'!$B$15,'Process'!BO4=1),1+('Control Room'!$C$15-1)*EXP(-0.5*(($A713-'Control Room'!$A$15-('Control Room'!$B$15-1)/2)/MAX(0.5,'Control Room'!$B$15/4))^2),1)*IF(AND($A713&gt;='Control Room'!$A$16,$A713&lt;'Control Room'!$A$16+'Control Room'!$B$16,'Process'!BO5=1),1+('Control Room'!$C$16-1)*EXP(-0.5*(($A713-'Control Room'!$A$16-('Control Room'!$B$16-1)/2)/MAX(0.5,'Control Room'!$B$16/4))^2),1)</x:f>
        <x:v>1</x:v>
      </x:c>
      <x:c r="AA713" s="9" t="n">
        <x:f>MOD(AB712*16807,2147483647)</x:f>
        <x:v>765211115</x:v>
      </x:c>
      <x:c r="AB713" s="9" t="n">
        <x:f>MOD(AA713*16807,2147483647)</x:f>
        <x:v>1771131569</x:v>
      </x:c>
      <x:c r="AC713" s="17" t="n">
        <x:f>IF('Control Room'!$B$5="Normal",'Control Room'!$B$7+'Control Room'!$D$7*SQRT(-2*LN(MAX(0.000000000001,AA713/2147483647)))*COS(2*PI()*AB713/2147483647),'Control Room'!$B$8+('Control Room'!$D$8-'Control Room'!$B$8)*AA713/2147483647)</x:f>
        <x:v>1058.5150687425903</x:v>
      </x:c>
      <x:c r="AD713" s="17" t="n">
        <x:f>IF('Control Room'!$B$5="Normal",'Control Room'!$B$7,('Control Room'!$B$8+'Control Room'!$D$8)/2)+'Control Room'!$B$9*(AD712-IF('Control Room'!$B$5="Normal",'Control Room'!$B$7,('Control Room'!$B$8+'Control Room'!$D$8)/2))+SQRT(1-'Control Room'!$B$9^2)*(AC713-IF('Control Room'!$B$5="Normal",'Control Room'!$B$7,('Control Room'!$B$8+'Control Room'!$D$8)/2))</x:f>
        <x:v>909.8256918567104</x:v>
      </x:c>
      <x:c r="AE713" s="17" t="n">
        <x:f>IF(AND($A713&gt;='Control Room'!$A$13,$A713&lt;'Control Room'!$A$13+'Control Room'!$B$13,'Process'!BP2=1),1+('Control Room'!$C$13-1)*EXP(-0.5*(($A713-'Control Room'!$A$13-('Control Room'!$B$13-1)/2)/MAX(0.5,'Control Room'!$B$13/4))^2),1)*IF(AND($A713&gt;='Control Room'!$A$14,$A713&lt;'Control Room'!$A$14+'Control Room'!$B$14,'Process'!BP3=1),1+('Control Room'!$C$14-1)*EXP(-0.5*(($A713-'Control Room'!$A$14-('Control Room'!$B$14-1)/2)/MAX(0.5,'Control Room'!$B$14/4))^2),1)*IF(AND($A713&gt;='Control Room'!$A$15,$A713&lt;'Control Room'!$A$15+'Control Room'!$B$15,'Process'!BP4=1),1+('Control Room'!$C$15-1)*EXP(-0.5*(($A713-'Control Room'!$A$15-('Control Room'!$B$15-1)/2)/MAX(0.5,'Control Room'!$B$15/4))^2),1)*IF(AND($A713&gt;='Control Room'!$A$16,$A713&lt;'Control Room'!$A$16+'Control Room'!$B$16,'Process'!BP5=1),1+('Control Room'!$C$16-1)*EXP(-0.5*(($A713-'Control Room'!$A$16-('Control Room'!$B$16-1)/2)/MAX(0.5,'Control Room'!$B$16/4))^2),1)</x:f>
        <x:v>1</x:v>
      </x:c>
      <x:c r="AF713" s="9" t="n">
        <x:f>MOD(AG712*16807,2147483647)</x:f>
        <x:v>420942438</x:v>
      </x:c>
      <x:c r="AG713" s="9" t="n">
        <x:f>MOD(AF713*16807,2147483647)</x:f>
        <x:v>968422248</x:v>
      </x:c>
      <x:c r="AH713" s="17" t="n">
        <x:f>IF('Control Room'!$B$5="Normal",'Control Room'!$B$7+'Control Room'!$D$7*SQRT(-2*LN(MAX(0.000000000001,AF713/2147483647)))*COS(2*PI()*AG713/2147483647),'Control Room'!$B$8+('Control Room'!$D$8-'Control Room'!$B$8)*AF713/2147483647)</x:f>
        <x:v>845.1760707294809</x:v>
      </x:c>
      <x:c r="AI713" s="17" t="n">
        <x:f>IF('Control Room'!$B$5="Normal",'Control Room'!$B$7,('Control Room'!$B$8+'Control Room'!$D$8)/2)+'Control Room'!$B$9*(AI712-IF('Control Room'!$B$5="Normal",'Control Room'!$B$7,('Control Room'!$B$8+'Control Room'!$D$8)/2))+SQRT(1-'Control Room'!$B$9^2)*(AH713-IF('Control Room'!$B$5="Normal",'Control Room'!$B$7,('Control Room'!$B$8+'Control Room'!$D$8)/2))</x:f>
        <x:v>939.6575978557781</x:v>
      </x:c>
      <x:c r="AJ713" s="17" t="n">
        <x:f>IF(AND($A713&gt;='Control Room'!$A$13,$A713&lt;'Control Room'!$A$13+'Control Room'!$B$13,'Process'!BQ2=1),1+('Control Room'!$C$13-1)*EXP(-0.5*(($A713-'Control Room'!$A$13-('Control Room'!$B$13-1)/2)/MAX(0.5,'Control Room'!$B$13/4))^2),1)*IF(AND($A713&gt;='Control Room'!$A$14,$A713&lt;'Control Room'!$A$14+'Control Room'!$B$14,'Process'!BQ3=1),1+('Control Room'!$C$14-1)*EXP(-0.5*(($A713-'Control Room'!$A$14-('Control Room'!$B$14-1)/2)/MAX(0.5,'Control Room'!$B$14/4))^2),1)*IF(AND($A713&gt;='Control Room'!$A$15,$A713&lt;'Control Room'!$A$15+'Control Room'!$B$15,'Process'!BQ4=1),1+('Control Room'!$C$15-1)*EXP(-0.5*(($A713-'Control Room'!$A$15-('Control Room'!$B$15-1)/2)/MAX(0.5,'Control Room'!$B$15/4))^2),1)*IF(AND($A713&gt;='Control Room'!$A$16,$A713&lt;'Control Room'!$A$16+'Control Room'!$B$16,'Process'!BQ5=1),1+('Control Room'!$C$16-1)*EXP(-0.5*(($A713-'Control Room'!$A$16-('Control Room'!$B$16-1)/2)/MAX(0.5,'Control Room'!$B$16/4))^2),1)</x:f>
        <x:v>1</x:v>
      </x:c>
      <x:c r="AK713" s="9" t="n">
        <x:f>MOD(AL712*16807,2147483647)</x:f>
        <x:v>76673761</x:v>
      </x:c>
      <x:c r="AL713" s="9" t="n">
        <x:f>MOD(AK713*16807,2147483647)</x:f>
        <x:v>165712927</x:v>
      </x:c>
      <x:c r="AM713" s="17" t="n">
        <x:f>IF('Control Room'!$B$5="Normal",'Control Room'!$B$7+'Control Room'!$D$7*SQRT(-2*LN(MAX(0.000000000001,AK713/2147483647)))*COS(2*PI()*AL713/2147483647),'Control Room'!$B$8+('Control Room'!$D$8-'Control Room'!$B$8)*AK713/2147483647)</x:f>
        <x:v>1205.5703180518196</x:v>
      </x:c>
      <x:c r="AN713" s="17" t="n">
        <x:f>IF('Control Room'!$B$5="Normal",'Control Room'!$B$7,('Control Room'!$B$8+'Control Room'!$D$8)/2)+'Control Room'!$B$9*(AN712-IF('Control Room'!$B$5="Normal",'Control Room'!$B$7,('Control Room'!$B$8+'Control Room'!$D$8)/2))+SQRT(1-'Control Room'!$B$9^2)*(AM713-IF('Control Room'!$B$5="Normal",'Control Room'!$B$7,('Control Room'!$B$8+'Control Room'!$D$8)/2))</x:f>
        <x:v>1147.8731796079016</x:v>
      </x:c>
      <x:c r="AO713" s="17" t="n">
        <x:f>IF(AND($A713&gt;='Control Room'!$A$13,$A713&lt;'Control Room'!$A$13+'Control Room'!$B$13,'Process'!BR2=1),1+('Control Room'!$C$13-1)*EXP(-0.5*(($A713-'Control Room'!$A$13-('Control Room'!$B$13-1)/2)/MAX(0.5,'Control Room'!$B$13/4))^2),1)*IF(AND($A713&gt;='Control Room'!$A$14,$A713&lt;'Control Room'!$A$14+'Control Room'!$B$14,'Process'!BR3=1),1+('Control Room'!$C$14-1)*EXP(-0.5*(($A713-'Control Room'!$A$14-('Control Room'!$B$14-1)/2)/MAX(0.5,'Control Room'!$B$14/4))^2),1)*IF(AND($A713&gt;='Control Room'!$A$15,$A713&lt;'Control Room'!$A$15+'Control Room'!$B$15,'Process'!BR4=1),1+('Control Room'!$C$15-1)*EXP(-0.5*(($A713-'Control Room'!$A$15-('Control Room'!$B$15-1)/2)/MAX(0.5,'Control Room'!$B$15/4))^2),1)*IF(AND($A713&gt;='Control Room'!$A$16,$A713&lt;'Control Room'!$A$16+'Control Room'!$B$16,'Process'!BR5=1),1+('Control Room'!$C$16-1)*EXP(-0.5*(($A713-'Control Room'!$A$16-('Control Room'!$B$16-1)/2)/MAX(0.5,'Control Room'!$B$16/4))^2),1)</x:f>
        <x:v>1</x:v>
      </x:c>
      <x:c r="AP713" s="9" t="n">
        <x:f>MOD(AQ712*16807,2147483647)</x:f>
        <x:v>1879888731</x:v>
      </x:c>
      <x:c r="AQ713" s="9" t="n">
        <x:f>MOD(AP713*16807,2147483647)</x:f>
        <x:v>1510487253</x:v>
      </x:c>
      <x:c r="AR713" s="17" t="n">
        <x:f>IF('Control Room'!$B$5="Normal",'Control Room'!$B$7+'Control Room'!$D$7*SQRT(-2*LN(MAX(0.000000000001,AP713/2147483647)))*COS(2*PI()*AQ713/2147483647),'Control Room'!$B$8+('Control Room'!$D$8-'Control Room'!$B$8)*AP713/2147483647)</x:f>
        <x:v>986.5913333116189</x:v>
      </x:c>
      <x:c r="AS713" s="17" t="n">
        <x:f>IF('Control Room'!$B$5="Normal",'Control Room'!$B$7,('Control Room'!$B$8+'Control Room'!$D$8)/2)+'Control Room'!$B$9*(AS712-IF('Control Room'!$B$5="Normal",'Control Room'!$B$7,('Control Room'!$B$8+'Control Room'!$D$8)/2))+SQRT(1-'Control Room'!$B$9^2)*(AR713-IF('Control Room'!$B$5="Normal",'Control Room'!$B$7,('Control Room'!$B$8+'Control Room'!$D$8)/2))</x:f>
        <x:v>954.6450330878215</x:v>
      </x:c>
      <x:c r="AT713" s="17" t="n">
        <x:f>IF(AND($A713&gt;='Control Room'!$A$13,$A713&lt;'Control Room'!$A$13+'Control Room'!$B$13,'Process'!BS2=1),1+('Control Room'!$C$13-1)*EXP(-0.5*(($A713-'Control Room'!$A$13-('Control Room'!$B$13-1)/2)/MAX(0.5,'Control Room'!$B$13/4))^2),1)*IF(AND($A713&gt;='Control Room'!$A$14,$A713&lt;'Control Room'!$A$14+'Control Room'!$B$14,'Process'!BS3=1),1+('Control Room'!$C$14-1)*EXP(-0.5*(($A713-'Control Room'!$A$14-('Control Room'!$B$14-1)/2)/MAX(0.5,'Control Room'!$B$14/4))^2),1)*IF(AND($A713&gt;='Control Room'!$A$15,$A713&lt;'Control Room'!$A$15+'Control Room'!$B$15,'Process'!BS4=1),1+('Control Room'!$C$15-1)*EXP(-0.5*(($A713-'Control Room'!$A$15-('Control Room'!$B$15-1)/2)/MAX(0.5,'Control Room'!$B$15/4))^2),1)*IF(AND($A713&gt;='Control Room'!$A$16,$A713&lt;'Control Room'!$A$16+'Control Room'!$B$16,'Process'!BS5=1),1+('Control Room'!$C$16-1)*EXP(-0.5*(($A713-'Control Room'!$A$16-('Control Room'!$B$16-1)/2)/MAX(0.5,'Control Room'!$B$16/4))^2),1)</x:f>
        <x:v>1</x:v>
      </x:c>
      <x:c r="AU713" s="9" t="n">
        <x:f>MOD(AV712*16807,2147483647)</x:f>
        <x:v>1535620054</x:v>
      </x:c>
      <x:c r="AV713" s="9" t="n">
        <x:f>MOD(AU713*16807,2147483647)</x:f>
        <x:v>707777932</x:v>
      </x:c>
      <x:c r="AW713" s="17" t="n">
        <x:f>IF('Control Room'!$B$5="Normal",'Control Room'!$B$7+'Control Room'!$D$7*SQRT(-2*LN(MAX(0.000000000001,AU713/2147483647)))*COS(2*PI()*AV713/2147483647),'Control Room'!$B$8+('Control Room'!$D$8-'Control Room'!$B$8)*AU713/2147483647)</x:f>
        <x:v>964.6595194325519</x:v>
      </x:c>
      <x:c r="AX713" s="17" t="n">
        <x:f>IF('Control Room'!$B$5="Normal",'Control Room'!$B$7,('Control Room'!$B$8+'Control Room'!$D$8)/2)+'Control Room'!$B$9*(AX712-IF('Control Room'!$B$5="Normal",'Control Room'!$B$7,('Control Room'!$B$8+'Control Room'!$D$8)/2))+SQRT(1-'Control Room'!$B$9^2)*(AW713-IF('Control Room'!$B$5="Normal",'Control Room'!$B$7,('Control Room'!$B$8+'Control Room'!$D$8)/2))</x:f>
        <x:v>1072.815693758323</x:v>
      </x:c>
      <x:c r="AY713" s="17" t="n">
        <x:f>IF(AND($A713&gt;='Control Room'!$A$13,$A713&lt;'Control Room'!$A$13+'Control Room'!$B$13,'Process'!BT2=1),1+('Control Room'!$C$13-1)*EXP(-0.5*(($A713-'Control Room'!$A$13-('Control Room'!$B$13-1)/2)/MAX(0.5,'Control Room'!$B$13/4))^2),1)*IF(AND($A713&gt;='Control Room'!$A$14,$A713&lt;'Control Room'!$A$14+'Control Room'!$B$14,'Process'!BT3=1),1+('Control Room'!$C$14-1)*EXP(-0.5*(($A713-'Control Room'!$A$14-('Control Room'!$B$14-1)/2)/MAX(0.5,'Control Room'!$B$14/4))^2),1)*IF(AND($A713&gt;='Control Room'!$A$15,$A713&lt;'Control Room'!$A$15+'Control Room'!$B$15,'Process'!BT4=1),1+('Control Room'!$C$15-1)*EXP(-0.5*(($A713-'Control Room'!$A$15-('Control Room'!$B$15-1)/2)/MAX(0.5,'Control Room'!$B$15/4))^2),1)*IF(AND($A713&gt;='Control Room'!$A$16,$A713&lt;'Control Room'!$A$16+'Control Room'!$B$16,'Process'!BT5=1),1+('Control Room'!$C$16-1)*EXP(-0.5*(($A713-'Control Room'!$A$16-('Control Room'!$B$16-1)/2)/MAX(0.5,'Control Room'!$B$16/4))^2),1)</x:f>
        <x:v>1</x:v>
      </x:c>
      <x:c r="AZ713" s="9" t="n">
        <x:f>MOD(BA712*16807,2147483647)</x:f>
        <x:v>1191351377</x:v>
      </x:c>
      <x:c r="BA713" s="9" t="n">
        <x:f>MOD(AZ713*16807,2147483647)</x:f>
        <x:v>2052552258</x:v>
      </x:c>
      <x:c r="BB713" s="17" t="n">
        <x:f>IF('Control Room'!$B$5="Normal",'Control Room'!$B$7+'Control Room'!$D$7*SQRT(-2*LN(MAX(0.000000000001,AZ713/2147483647)))*COS(2*PI()*BA713/2147483647),'Control Room'!$B$8+('Control Room'!$D$8-'Control Room'!$B$8)*AZ713/2147483647)</x:f>
        <x:v>1093.9549758200133</x:v>
      </x:c>
      <x:c r="BC713" s="17" t="n">
        <x:f>IF('Control Room'!$B$5="Normal",'Control Room'!$B$7,('Control Room'!$B$8+'Control Room'!$D$8)/2)+'Control Room'!$B$9*(BC712-IF('Control Room'!$B$5="Normal",'Control Room'!$B$7,('Control Room'!$B$8+'Control Room'!$D$8)/2))+SQRT(1-'Control Room'!$B$9^2)*(BB713-IF('Control Room'!$B$5="Normal",'Control Room'!$B$7,('Control Room'!$B$8+'Control Room'!$D$8)/2))</x:f>
        <x:v>1156.495431255857</x:v>
      </x:c>
      <x:c r="BD713" s="17" t="n">
        <x:f>IF(AND($A713&gt;='Control Room'!$A$13,$A713&lt;'Control Room'!$A$13+'Control Room'!$B$13,'Process'!BU2=1),1+('Control Room'!$C$13-1)*EXP(-0.5*(($A713-'Control Room'!$A$13-('Control Room'!$B$13-1)/2)/MAX(0.5,'Control Room'!$B$13/4))^2),1)*IF(AND($A713&gt;='Control Room'!$A$14,$A713&lt;'Control Room'!$A$14+'Control Room'!$B$14,'Process'!BU3=1),1+('Control Room'!$C$14-1)*EXP(-0.5*(($A713-'Control Room'!$A$14-('Control Room'!$B$14-1)/2)/MAX(0.5,'Control Room'!$B$14/4))^2),1)*IF(AND($A713&gt;='Control Room'!$A$15,$A713&lt;'Control Room'!$A$15+'Control Room'!$B$15,'Process'!BU4=1),1+('Control Room'!$C$15-1)*EXP(-0.5*(($A713-'Control Room'!$A$15-('Control Room'!$B$15-1)/2)/MAX(0.5,'Control Room'!$B$15/4))^2),1)*IF(AND($A713&gt;='Control Room'!$A$16,$A713&lt;'Control Room'!$A$16+'Control Room'!$B$16,'Process'!BU5=1),1+('Control Room'!$C$16-1)*EXP(-0.5*(($A713-'Control Room'!$A$16-('Control Room'!$B$16-1)/2)/MAX(0.5,'Control Room'!$B$16/4))^2),1)</x:f>
        <x:v>1</x:v>
      </x:c>
      <x:c r="BE713" s="9" t="n">
        <x:f>MOD(BF712*16807,2147483647)</x:f>
        <x:v>847082700</x:v>
      </x:c>
      <x:c r="BF713" s="9" t="n">
        <x:f>MOD(BE713*16807,2147483647)</x:f>
        <x:v>1249842937</x:v>
      </x:c>
      <x:c r="BG713" s="17" t="n">
        <x:f>IF('Control Room'!$B$5="Normal",'Control Room'!$B$7+'Control Room'!$D$7*SQRT(-2*LN(MAX(0.000000000001,BE713/2147483647)))*COS(2*PI()*BF713/2147483647),'Control Room'!$B$8+('Control Room'!$D$8-'Control Room'!$B$8)*BE713/2147483647)</x:f>
        <x:v>893.177233693975</x:v>
      </x:c>
      <x:c r="BH713" s="17" t="n">
        <x:f>IF('Control Room'!$B$5="Normal",'Control Room'!$B$7,('Control Room'!$B$8+'Control Room'!$D$8)/2)+'Control Room'!$B$9*(BH712-IF('Control Room'!$B$5="Normal",'Control Room'!$B$7,('Control Room'!$B$8+'Control Room'!$D$8)/2))+SQRT(1-'Control Room'!$B$9^2)*(BG713-IF('Control Room'!$B$5="Normal",'Control Room'!$B$7,('Control Room'!$B$8+'Control Room'!$D$8)/2))</x:f>
        <x:v>967.5088684914173</x:v>
      </x:c>
      <x:c r="BI713" s="17" t="n">
        <x:f>IF(AND($A713&gt;='Control Room'!$A$13,$A713&lt;'Control Room'!$A$13+'Control Room'!$B$13,'Process'!BV2=1),1+('Control Room'!$C$13-1)*EXP(-0.5*(($A713-'Control Room'!$A$13-('Control Room'!$B$13-1)/2)/MAX(0.5,'Control Room'!$B$13/4))^2),1)*IF(AND($A713&gt;='Control Room'!$A$14,$A713&lt;'Control Room'!$A$14+'Control Room'!$B$14,'Process'!BV3=1),1+('Control Room'!$C$14-1)*EXP(-0.5*(($A713-'Control Room'!$A$14-('Control Room'!$B$14-1)/2)/MAX(0.5,'Control Room'!$B$14/4))^2),1)*IF(AND($A713&gt;='Control Room'!$A$15,$A713&lt;'Control Room'!$A$15+'Control Room'!$B$15,'Process'!BV4=1),1+('Control Room'!$C$15-1)*EXP(-0.5*(($A713-'Control Room'!$A$15-('Control Room'!$B$15-1)/2)/MAX(0.5,'Control Room'!$B$15/4))^2),1)*IF(AND($A713&gt;='Control Room'!$A$16,$A713&lt;'Control Room'!$A$16+'Control Room'!$B$16,'Process'!BV5=1),1+('Control Room'!$C$16-1)*EXP(-0.5*(($A713-'Control Room'!$A$16-('Control Room'!$B$16-1)/2)/MAX(0.5,'Control Room'!$B$16/4))^2),1)</x:f>
        <x:v>1</x:v>
      </x:c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Z713" t="str">
        <x:f>IF('Data'!A713="","",TEXT('Data'!A713,"mm-dd"))</x:f>
      </x:c>
    </x:row>
    <x:row r="714" ht="21" customHeight="1">
      <x:c r="A714" s="15" t="n">
        <x:f>'Control Room'!$B$1+712</x:f>
        <x:v>73703</x:v>
      </x:c>
      <x:c r="B714" s="9" t="n">
        <x:f>MOD(C713*16807,2147483647)</x:f>
        <x:v>58919787</x:v>
      </x:c>
      <x:c r="C714" s="9" t="n">
        <x:f>MOD(B714*16807,2147483647)</x:f>
        <x:v>274898842</x:v>
      </x:c>
      <x:c r="D714" s="17" t="n">
        <x:f>IF('Control Room'!$B$5="Normal",'Control Room'!$B$7+'Control Room'!$D$7*SQRT(-2*LN(MAX(0.000000000001,B714/2147483647)))*COS(2*PI()*C714/2147483647),'Control Room'!$B$8+('Control Room'!$D$8-'Control Room'!$B$8)*B714/2147483647)</x:f>
        <x:v>1167.4073951459557</x:v>
      </x:c>
      <x:c r="E714" s="17" t="n">
        <x:f>IF('Control Room'!$B$5="Normal",'Control Room'!$B$7,('Control Room'!$B$8+'Control Room'!$D$8)/2)+'Control Room'!$B$9*(E713-IF('Control Room'!$B$5="Normal",'Control Room'!$B$7,('Control Room'!$B$8+'Control Room'!$D$8)/2))+SQRT(1-'Control Room'!$B$9^2)*(D714-IF('Control Room'!$B$5="Normal",'Control Room'!$B$7,('Control Room'!$B$8+'Control Room'!$D$8)/2))</x:f>
        <x:v>1121.9612844110502</x:v>
      </x:c>
      <x:c r="F714" s="17" t="n">
        <x:f>IF(AND($A714&gt;='Control Room'!$A$13,$A714&lt;'Control Room'!$A$13+'Control Room'!$B$13,'Process'!BK2=1),1+('Control Room'!$C$13-1)*EXP(-0.5*(($A714-'Control Room'!$A$13-('Control Room'!$B$13-1)/2)/MAX(0.5,'Control Room'!$B$13/4))^2),1)*IF(AND($A714&gt;='Control Room'!$A$14,$A714&lt;'Control Room'!$A$14+'Control Room'!$B$14,'Process'!BK3=1),1+('Control Room'!$C$14-1)*EXP(-0.5*(($A714-'Control Room'!$A$14-('Control Room'!$B$14-1)/2)/MAX(0.5,'Control Room'!$B$14/4))^2),1)*IF(AND($A714&gt;='Control Room'!$A$15,$A714&lt;'Control Room'!$A$15+'Control Room'!$B$15,'Process'!BK4=1),1+('Control Room'!$C$15-1)*EXP(-0.5*(($A714-'Control Room'!$A$15-('Control Room'!$B$15-1)/2)/MAX(0.5,'Control Room'!$B$15/4))^2),1)*IF(AND($A714&gt;='Control Room'!$A$16,$A714&lt;'Control Room'!$A$16+'Control Room'!$B$16,'Process'!BK5=1),1+('Control Room'!$C$16-1)*EXP(-0.5*(($A714-'Control Room'!$A$16-('Control Room'!$B$16-1)/2)/MAX(0.5,'Control Room'!$B$16/4))^2),1)</x:f>
        <x:v>1</x:v>
      </x:c>
      <x:c r="G714" s="9" t="n">
        <x:f>MOD(H713*16807,2147483647)</x:f>
        <x:v>1563115841</x:v>
      </x:c>
      <x:c r="H714" s="9" t="n">
        <x:f>MOD(G714*16807,2147483647)</x:f>
        <x:v>1120485936</x:v>
      </x:c>
      <x:c r="I714" s="17" t="n">
        <x:f>IF('Control Room'!$B$5="Normal",'Control Room'!$B$7+'Control Room'!$D$7*SQRT(-2*LN(MAX(0.000000000001,G714/2147483647)))*COS(2*PI()*H714/2147483647),'Control Room'!$B$8+('Control Room'!$D$8-'Control Room'!$B$8)*G714/2147483647)</x:f>
        <x:v>928.9385624539623</x:v>
      </x:c>
      <x:c r="J714" s="17" t="n">
        <x:f>IF('Control Room'!$B$5="Normal",'Control Room'!$B$7,('Control Room'!$B$8+'Control Room'!$D$8)/2)+'Control Room'!$B$9*(J713-IF('Control Room'!$B$5="Normal",'Control Room'!$B$7,('Control Room'!$B$8+'Control Room'!$D$8)/2))+SQRT(1-'Control Room'!$B$9^2)*(I714-IF('Control Room'!$B$5="Normal",'Control Room'!$B$7,('Control Room'!$B$8+'Control Room'!$D$8)/2))</x:f>
        <x:v>1079.8161479871915</x:v>
      </x:c>
      <x:c r="K714" s="17" t="n">
        <x:f>IF(AND($A714&gt;='Control Room'!$A$13,$A714&lt;'Control Room'!$A$13+'Control Room'!$B$13,'Process'!BL2=1),1+('Control Room'!$C$13-1)*EXP(-0.5*(($A714-'Control Room'!$A$13-('Control Room'!$B$13-1)/2)/MAX(0.5,'Control Room'!$B$13/4))^2),1)*IF(AND($A714&gt;='Control Room'!$A$14,$A714&lt;'Control Room'!$A$14+'Control Room'!$B$14,'Process'!BL3=1),1+('Control Room'!$C$14-1)*EXP(-0.5*(($A714-'Control Room'!$A$14-('Control Room'!$B$14-1)/2)/MAX(0.5,'Control Room'!$B$14/4))^2),1)*IF(AND($A714&gt;='Control Room'!$A$15,$A714&lt;'Control Room'!$A$15+'Control Room'!$B$15,'Process'!BL4=1),1+('Control Room'!$C$15-1)*EXP(-0.5*(($A714-'Control Room'!$A$15-('Control Room'!$B$15-1)/2)/MAX(0.5,'Control Room'!$B$15/4))^2),1)*IF(AND($A714&gt;='Control Room'!$A$16,$A714&lt;'Control Room'!$A$16+'Control Room'!$B$16,'Process'!BL5=1),1+('Control Room'!$C$16-1)*EXP(-0.5*(($A714-'Control Room'!$A$16-('Control Room'!$B$16-1)/2)/MAX(0.5,'Control Room'!$B$16/4))^2),1)</x:f>
        <x:v>1</x:v>
      </x:c>
      <x:c r="L714" s="9" t="n">
        <x:f>MOD(M713*16807,2147483647)</x:f>
        <x:v>919828248</x:v>
      </x:c>
      <x:c r="M714" s="9" t="n">
        <x:f>MOD(L714*16807,2147483647)</x:f>
        <x:v>1966073030</x:v>
      </x:c>
      <x:c r="N714" s="17" t="n">
        <x:f>IF('Control Room'!$B$5="Normal",'Control Room'!$B$7+'Control Room'!$D$7*SQRT(-2*LN(MAX(0.000000000001,L714/2147483647)))*COS(2*PI()*M714/2147483647),'Control Room'!$B$8+('Control Room'!$D$8-'Control Room'!$B$8)*L714/2147483647)</x:f>
        <x:v>1101.073311293176</x:v>
      </x:c>
      <x:c r="O714" s="17" t="n">
        <x:f>IF('Control Room'!$B$5="Normal",'Control Room'!$B$7,('Control Room'!$B$8+'Control Room'!$D$8)/2)+'Control Room'!$B$9*(O713-IF('Control Room'!$B$5="Normal",'Control Room'!$B$7,('Control Room'!$B$8+'Control Room'!$D$8)/2))+SQRT(1-'Control Room'!$B$9^2)*(N714-IF('Control Room'!$B$5="Normal",'Control Room'!$B$7,('Control Room'!$B$8+'Control Room'!$D$8)/2))</x:f>
        <x:v>1097.899193578604</x:v>
      </x:c>
      <x:c r="P714" s="17" t="n">
        <x:f>IF(AND($A714&gt;='Control Room'!$A$13,$A714&lt;'Control Room'!$A$13+'Control Room'!$B$13,'Process'!BM2=1),1+('Control Room'!$C$13-1)*EXP(-0.5*(($A714-'Control Room'!$A$13-('Control Room'!$B$13-1)/2)/MAX(0.5,'Control Room'!$B$13/4))^2),1)*IF(AND($A714&gt;='Control Room'!$A$14,$A714&lt;'Control Room'!$A$14+'Control Room'!$B$14,'Process'!BM3=1),1+('Control Room'!$C$14-1)*EXP(-0.5*(($A714-'Control Room'!$A$14-('Control Room'!$B$14-1)/2)/MAX(0.5,'Control Room'!$B$14/4))^2),1)*IF(AND($A714&gt;='Control Room'!$A$15,$A714&lt;'Control Room'!$A$15+'Control Room'!$B$15,'Process'!BM4=1),1+('Control Room'!$C$15-1)*EXP(-0.5*(($A714-'Control Room'!$A$15-('Control Room'!$B$15-1)/2)/MAX(0.5,'Control Room'!$B$15/4))^2),1)*IF(AND($A714&gt;='Control Room'!$A$16,$A714&lt;'Control Room'!$A$16+'Control Room'!$B$16,'Process'!BM5=1),1+('Control Room'!$C$16-1)*EXP(-0.5*(($A714-'Control Room'!$A$16-('Control Room'!$B$16-1)/2)/MAX(0.5,'Control Room'!$B$16/4))^2),1)</x:f>
        <x:v>1</x:v>
      </x:c>
      <x:c r="Q714" s="9" t="n">
        <x:f>MOD(R713*16807,2147483647)</x:f>
        <x:v>276540655</x:v>
      </x:c>
      <x:c r="R714" s="9" t="n">
        <x:f>MOD(Q714*16807,2147483647)</x:f>
        <x:v>664176477</x:v>
      </x:c>
      <x:c r="S714" s="17" t="n">
        <x:f>IF('Control Room'!$B$5="Normal",'Control Room'!$B$7+'Control Room'!$D$7*SQRT(-2*LN(MAX(0.000000000001,Q714/2147483647)))*COS(2*PI()*R714/2147483647),'Control Room'!$B$8+('Control Room'!$D$8-'Control Room'!$B$8)*Q714/2147483647)</x:f>
        <x:v>933.6852091061313</x:v>
      </x:c>
      <x:c r="T714" s="17" t="n">
        <x:f>IF('Control Room'!$B$5="Normal",'Control Room'!$B$7,('Control Room'!$B$8+'Control Room'!$D$8)/2)+'Control Room'!$B$9*(T713-IF('Control Room'!$B$5="Normal",'Control Room'!$B$7,('Control Room'!$B$8+'Control Room'!$D$8)/2))+SQRT(1-'Control Room'!$B$9^2)*(S714-IF('Control Room'!$B$5="Normal",'Control Room'!$B$7,('Control Room'!$B$8+'Control Room'!$D$8)/2))</x:f>
        <x:v>941.3192315687982</x:v>
      </x:c>
      <x:c r="U714" s="17" t="n">
        <x:f>IF(AND($A714&gt;='Control Room'!$A$13,$A714&lt;'Control Room'!$A$13+'Control Room'!$B$13,'Process'!BN2=1),1+('Control Room'!$C$13-1)*EXP(-0.5*(($A714-'Control Room'!$A$13-('Control Room'!$B$13-1)/2)/MAX(0.5,'Control Room'!$B$13/4))^2),1)*IF(AND($A714&gt;='Control Room'!$A$14,$A714&lt;'Control Room'!$A$14+'Control Room'!$B$14,'Process'!BN3=1),1+('Control Room'!$C$14-1)*EXP(-0.5*(($A714-'Control Room'!$A$14-('Control Room'!$B$14-1)/2)/MAX(0.5,'Control Room'!$B$14/4))^2),1)*IF(AND($A714&gt;='Control Room'!$A$15,$A714&lt;'Control Room'!$A$15+'Control Room'!$B$15,'Process'!BN4=1),1+('Control Room'!$C$15-1)*EXP(-0.5*(($A714-'Control Room'!$A$15-('Control Room'!$B$15-1)/2)/MAX(0.5,'Control Room'!$B$15/4))^2),1)*IF(AND($A714&gt;='Control Room'!$A$16,$A714&lt;'Control Room'!$A$16+'Control Room'!$B$16,'Process'!BN5=1),1+('Control Room'!$C$16-1)*EXP(-0.5*(($A714-'Control Room'!$A$16-('Control Room'!$B$16-1)/2)/MAX(0.5,'Control Room'!$B$16/4))^2),1)</x:f>
        <x:v>1</x:v>
      </x:c>
      <x:c r="V714" s="9" t="n">
        <x:f>MOD(W713*16807,2147483647)</x:f>
        <x:v>1780736709</x:v>
      </x:c>
      <x:c r="W714" s="9" t="n">
        <x:f>MOD(V714*16807,2147483647)</x:f>
        <x:v>1509763571</x:v>
      </x:c>
      <x:c r="X714" s="17" t="n">
        <x:f>IF('Control Room'!$B$5="Normal",'Control Room'!$B$7+'Control Room'!$D$7*SQRT(-2*LN(MAX(0.000000000001,V714/2147483647)))*COS(2*PI()*W714/2147483647),'Control Room'!$B$8+('Control Room'!$D$8-'Control Room'!$B$8)*V714/2147483647)</x:f>
        <x:v>983.9825611650798</x:v>
      </x:c>
      <x:c r="Y714" s="17" t="n">
        <x:f>IF('Control Room'!$B$5="Normal",'Control Room'!$B$7,('Control Room'!$B$8+'Control Room'!$D$8)/2)+'Control Room'!$B$9*(Y713-IF('Control Room'!$B$5="Normal",'Control Room'!$B$7,('Control Room'!$B$8+'Control Room'!$D$8)/2))+SQRT(1-'Control Room'!$B$9^2)*(X714-IF('Control Room'!$B$5="Normal",'Control Room'!$B$7,('Control Room'!$B$8+'Control Room'!$D$8)/2))</x:f>
        <x:v>1032.7306232229619</x:v>
      </x:c>
      <x:c r="Z714" s="17" t="n">
        <x:f>IF(AND($A714&gt;='Control Room'!$A$13,$A714&lt;'Control Room'!$A$13+'Control Room'!$B$13,'Process'!BO2=1),1+('Control Room'!$C$13-1)*EXP(-0.5*(($A714-'Control Room'!$A$13-('Control Room'!$B$13-1)/2)/MAX(0.5,'Control Room'!$B$13/4))^2),1)*IF(AND($A714&gt;='Control Room'!$A$14,$A714&lt;'Control Room'!$A$14+'Control Room'!$B$14,'Process'!BO3=1),1+('Control Room'!$C$14-1)*EXP(-0.5*(($A714-'Control Room'!$A$14-('Control Room'!$B$14-1)/2)/MAX(0.5,'Control Room'!$B$14/4))^2),1)*IF(AND($A714&gt;='Control Room'!$A$15,$A714&lt;'Control Room'!$A$15+'Control Room'!$B$15,'Process'!BO4=1),1+('Control Room'!$C$15-1)*EXP(-0.5*(($A714-'Control Room'!$A$15-('Control Room'!$B$15-1)/2)/MAX(0.5,'Control Room'!$B$15/4))^2),1)*IF(AND($A714&gt;='Control Room'!$A$16,$A714&lt;'Control Room'!$A$16+'Control Room'!$B$16,'Process'!BO5=1),1+('Control Room'!$C$16-1)*EXP(-0.5*(($A714-'Control Room'!$A$16-('Control Room'!$B$16-1)/2)/MAX(0.5,'Control Room'!$B$16/4))^2),1)</x:f>
        <x:v>1</x:v>
      </x:c>
      <x:c r="AA714" s="9" t="n">
        <x:f>MOD(AB713*16807,2147483647)</x:f>
        <x:v>1137449116</x:v>
      </x:c>
      <x:c r="AB714" s="9" t="n">
        <x:f>MOD(AA714*16807,2147483647)</x:f>
        <x:v>207867018</x:v>
      </x:c>
      <x:c r="AC714" s="17" t="n">
        <x:f>IF('Control Room'!$B$5="Normal",'Control Room'!$B$7+'Control Room'!$D$7*SQRT(-2*LN(MAX(0.000000000001,AA714/2147483647)))*COS(2*PI()*AB714/2147483647),'Control Room'!$B$8+('Control Room'!$D$8-'Control Room'!$B$8)*AA714/2147483647)</x:f>
        <x:v>1083.271335135455</x:v>
      </x:c>
      <x:c r="AD714" s="17" t="n">
        <x:f>IF('Control Room'!$B$5="Normal",'Control Room'!$B$7,('Control Room'!$B$8+'Control Room'!$D$8)/2)+'Control Room'!$B$9*(AD713-IF('Control Room'!$B$5="Normal",'Control Room'!$B$7,('Control Room'!$B$8+'Control Room'!$D$8)/2))+SQRT(1-'Control Room'!$B$9^2)*(AC714-IF('Control Room'!$B$5="Normal",'Control Room'!$B$7,('Control Room'!$B$8+'Control Room'!$D$8)/2))</x:f>
        <x:v>981.7735352699773</x:v>
      </x:c>
      <x:c r="AE714" s="17" t="n">
        <x:f>IF(AND($A714&gt;='Control Room'!$A$13,$A714&lt;'Control Room'!$A$13+'Control Room'!$B$13,'Process'!BP2=1),1+('Control Room'!$C$13-1)*EXP(-0.5*(($A714-'Control Room'!$A$13-('Control Room'!$B$13-1)/2)/MAX(0.5,'Control Room'!$B$13/4))^2),1)*IF(AND($A714&gt;='Control Room'!$A$14,$A714&lt;'Control Room'!$A$14+'Control Room'!$B$14,'Process'!BP3=1),1+('Control Room'!$C$14-1)*EXP(-0.5*(($A714-'Control Room'!$A$14-('Control Room'!$B$14-1)/2)/MAX(0.5,'Control Room'!$B$14/4))^2),1)*IF(AND($A714&gt;='Control Room'!$A$15,$A714&lt;'Control Room'!$A$15+'Control Room'!$B$15,'Process'!BP4=1),1+('Control Room'!$C$15-1)*EXP(-0.5*(($A714-'Control Room'!$A$15-('Control Room'!$B$15-1)/2)/MAX(0.5,'Control Room'!$B$15/4))^2),1)*IF(AND($A714&gt;='Control Room'!$A$16,$A714&lt;'Control Room'!$A$16+'Control Room'!$B$16,'Process'!BP5=1),1+('Control Room'!$C$16-1)*EXP(-0.5*(($A714-'Control Room'!$A$16-('Control Room'!$B$16-1)/2)/MAX(0.5,'Control Room'!$B$16/4))^2),1)</x:f>
        <x:v>1</x:v>
      </x:c>
      <x:c r="AF714" s="9" t="n">
        <x:f>MOD(AG713*16807,2147483647)</x:f>
        <x:v>494161523</x:v>
      </x:c>
      <x:c r="AG714" s="9" t="n">
        <x:f>MOD(AF714*16807,2147483647)</x:f>
        <x:v>1053454112</x:v>
      </x:c>
      <x:c r="AH714" s="17" t="n">
        <x:f>IF('Control Room'!$B$5="Normal",'Control Room'!$B$7+'Control Room'!$D$7*SQRT(-2*LN(MAX(0.000000000001,AF714/2147483647)))*COS(2*PI()*AG714/2147483647),'Control Room'!$B$8+('Control Room'!$D$8-'Control Room'!$B$8)*AF714/2147483647)</x:f>
        <x:v>845.9963985527181</x:v>
      </x:c>
      <x:c r="AI714" s="17" t="n">
        <x:f>IF('Control Room'!$B$5="Normal",'Control Room'!$B$7,('Control Room'!$B$8+'Control Room'!$D$8)/2)+'Control Room'!$B$9*(AI713-IF('Control Room'!$B$5="Normal",'Control Room'!$B$7,('Control Room'!$B$8+'Control Room'!$D$8)/2))+SQRT(1-'Control Room'!$B$9^2)*(AH714-IF('Control Room'!$B$5="Normal",'Control Room'!$B$7,('Control Room'!$B$8+'Control Room'!$D$8)/2))</x:f>
        <x:v>856.5606274770596</x:v>
      </x:c>
      <x:c r="AJ714" s="17" t="n">
        <x:f>IF(AND($A714&gt;='Control Room'!$A$13,$A714&lt;'Control Room'!$A$13+'Control Room'!$B$13,'Process'!BQ2=1),1+('Control Room'!$C$13-1)*EXP(-0.5*(($A714-'Control Room'!$A$13-('Control Room'!$B$13-1)/2)/MAX(0.5,'Control Room'!$B$13/4))^2),1)*IF(AND($A714&gt;='Control Room'!$A$14,$A714&lt;'Control Room'!$A$14+'Control Room'!$B$14,'Process'!BQ3=1),1+('Control Room'!$C$14-1)*EXP(-0.5*(($A714-'Control Room'!$A$14-('Control Room'!$B$14-1)/2)/MAX(0.5,'Control Room'!$B$14/4))^2),1)*IF(AND($A714&gt;='Control Room'!$A$15,$A714&lt;'Control Room'!$A$15+'Control Room'!$B$15,'Process'!BQ4=1),1+('Control Room'!$C$15-1)*EXP(-0.5*(($A714-'Control Room'!$A$15-('Control Room'!$B$15-1)/2)/MAX(0.5,'Control Room'!$B$15/4))^2),1)*IF(AND($A714&gt;='Control Room'!$A$16,$A714&lt;'Control Room'!$A$16+'Control Room'!$B$16,'Process'!BQ5=1),1+('Control Room'!$C$16-1)*EXP(-0.5*(($A714-'Control Room'!$A$16-('Control Room'!$B$16-1)/2)/MAX(0.5,'Control Room'!$B$16/4))^2),1)</x:f>
        <x:v>1</x:v>
      </x:c>
      <x:c r="AK714" s="9" t="n">
        <x:f>MOD(AL713*16807,2147483647)</x:f>
        <x:v>1998357577</x:v>
      </x:c>
      <x:c r="AL714" s="9" t="n">
        <x:f>MOD(AK714*16807,2147483647)</x:f>
        <x:v>1899041206</x:v>
      </x:c>
      <x:c r="AM714" s="17" t="n">
        <x:f>IF('Control Room'!$B$5="Normal",'Control Room'!$B$7+'Control Room'!$D$7*SQRT(-2*LN(MAX(0.000000000001,AK714/2147483647)))*COS(2*PI()*AL714/2147483647),'Control Room'!$B$8+('Control Room'!$D$8-'Control Room'!$B$8)*AK714/2147483647)</x:f>
        <x:v>1025.514963619384</x:v>
      </x:c>
      <x:c r="AN714" s="17" t="n">
        <x:f>IF('Control Room'!$B$5="Normal",'Control Room'!$B$7,('Control Room'!$B$8+'Control Room'!$D$8)/2)+'Control Room'!$B$9*(AN713-IF('Control Room'!$B$5="Normal",'Control Room'!$B$7,('Control Room'!$B$8+'Control Room'!$D$8)/2))+SQRT(1-'Control Room'!$B$9^2)*(AM714-IF('Control Room'!$B$5="Normal",'Control Room'!$B$7,('Control Room'!$B$8+'Control Room'!$D$8)/2))</x:f>
        <x:v>1131.3078216247327</x:v>
      </x:c>
      <x:c r="AO714" s="17" t="n">
        <x:f>IF(AND($A714&gt;='Control Room'!$A$13,$A714&lt;'Control Room'!$A$13+'Control Room'!$B$13,'Process'!BR2=1),1+('Control Room'!$C$13-1)*EXP(-0.5*(($A714-'Control Room'!$A$13-('Control Room'!$B$13-1)/2)/MAX(0.5,'Control Room'!$B$13/4))^2),1)*IF(AND($A714&gt;='Control Room'!$A$14,$A714&lt;'Control Room'!$A$14+'Control Room'!$B$14,'Process'!BR3=1),1+('Control Room'!$C$14-1)*EXP(-0.5*(($A714-'Control Room'!$A$14-('Control Room'!$B$14-1)/2)/MAX(0.5,'Control Room'!$B$14/4))^2),1)*IF(AND($A714&gt;='Control Room'!$A$15,$A714&lt;'Control Room'!$A$15+'Control Room'!$B$15,'Process'!BR4=1),1+('Control Room'!$C$15-1)*EXP(-0.5*(($A714-'Control Room'!$A$15-('Control Room'!$B$15-1)/2)/MAX(0.5,'Control Room'!$B$15/4))^2),1)*IF(AND($A714&gt;='Control Room'!$A$16,$A714&lt;'Control Room'!$A$16+'Control Room'!$B$16,'Process'!BR5=1),1+('Control Room'!$C$16-1)*EXP(-0.5*(($A714-'Control Room'!$A$16-('Control Room'!$B$16-1)/2)/MAX(0.5,'Control Room'!$B$16/4))^2),1)</x:f>
        <x:v>1</x:v>
      </x:c>
      <x:c r="AP714" s="9" t="n">
        <x:f>MOD(AQ713*16807,2147483647)</x:f>
        <x:v>1355069984</x:v>
      </x:c>
      <x:c r="AQ714" s="9" t="n">
        <x:f>MOD(AP714*16807,2147483647)</x:f>
        <x:v>597144653</x:v>
      </x:c>
      <x:c r="AR714" s="17" t="n">
        <x:f>IF('Control Room'!$B$5="Normal",'Control Room'!$B$7+'Control Room'!$D$7*SQRT(-2*LN(MAX(0.000000000001,AP714/2147483647)))*COS(2*PI()*AQ714/2147483647),'Control Room'!$B$8+('Control Room'!$D$8-'Control Room'!$B$8)*AP714/2147483647)</x:f>
        <x:v>984.8479813084756</x:v>
      </x:c>
      <x:c r="AS714" s="17" t="n">
        <x:f>IF('Control Room'!$B$5="Normal",'Control Room'!$B$7,('Control Room'!$B$8+'Control Room'!$D$8)/2)+'Control Room'!$B$9*(AS713-IF('Control Room'!$B$5="Normal",'Control Room'!$B$7,('Control Room'!$B$8+'Control Room'!$D$8)/2))+SQRT(1-'Control Room'!$B$9^2)*(AR714-IF('Control Room'!$B$5="Normal",'Control Room'!$B$7,('Control Room'!$B$8+'Control Room'!$D$8)/2))</x:f>
        <x:v>955.1413029173198</x:v>
      </x:c>
      <x:c r="AT714" s="17" t="n">
        <x:f>IF(AND($A714&gt;='Control Room'!$A$13,$A714&lt;'Control Room'!$A$13+'Control Room'!$B$13,'Process'!BS2=1),1+('Control Room'!$C$13-1)*EXP(-0.5*(($A714-'Control Room'!$A$13-('Control Room'!$B$13-1)/2)/MAX(0.5,'Control Room'!$B$13/4))^2),1)*IF(AND($A714&gt;='Control Room'!$A$14,$A714&lt;'Control Room'!$A$14+'Control Room'!$B$14,'Process'!BS3=1),1+('Control Room'!$C$14-1)*EXP(-0.5*(($A714-'Control Room'!$A$14-('Control Room'!$B$14-1)/2)/MAX(0.5,'Control Room'!$B$14/4))^2),1)*IF(AND($A714&gt;='Control Room'!$A$15,$A714&lt;'Control Room'!$A$15+'Control Room'!$B$15,'Process'!BS4=1),1+('Control Room'!$C$15-1)*EXP(-0.5*(($A714-'Control Room'!$A$15-('Control Room'!$B$15-1)/2)/MAX(0.5,'Control Room'!$B$15/4))^2),1)*IF(AND($A714&gt;='Control Room'!$A$16,$A714&lt;'Control Room'!$A$16+'Control Room'!$B$16,'Process'!BS5=1),1+('Control Room'!$C$16-1)*EXP(-0.5*(($A714-'Control Room'!$A$16-('Control Room'!$B$16-1)/2)/MAX(0.5,'Control Room'!$B$16/4))^2),1)</x:f>
        <x:v>1</x:v>
      </x:c>
      <x:c r="AU714" s="9" t="n">
        <x:f>MOD(AV713*16807,2147483647)</x:f>
        <x:v>711782391</x:v>
      </x:c>
      <x:c r="AV714" s="9" t="n">
        <x:f>MOD(AU714*16807,2147483647)</x:f>
        <x:v>1442731747</x:v>
      </x:c>
      <x:c r="AW714" s="17" t="n">
        <x:f>IF('Control Room'!$B$5="Normal",'Control Room'!$B$7+'Control Room'!$D$7*SQRT(-2*LN(MAX(0.000000000001,AU714/2147483647)))*COS(2*PI()*AV714/2147483647),'Control Room'!$B$8+('Control Room'!$D$8-'Control Room'!$B$8)*AU714/2147483647)</x:f>
        <x:v>936.9126538318977</x:v>
      </x:c>
      <x:c r="AX714" s="17" t="n">
        <x:f>IF('Control Room'!$B$5="Normal",'Control Room'!$B$7,('Control Room'!$B$8+'Control Room'!$D$8)/2)+'Control Room'!$B$9*(AX713-IF('Control Room'!$B$5="Normal",'Control Room'!$B$7,('Control Room'!$B$8+'Control Room'!$D$8)/2))+SQRT(1-'Control Room'!$B$9^2)*(AW714-IF('Control Room'!$B$5="Normal",'Control Room'!$B$7,('Control Room'!$B$8+'Control Room'!$D$8)/2))</x:f>
        <x:v>1017.3174723140289</x:v>
      </x:c>
      <x:c r="AY714" s="17" t="n">
        <x:f>IF(AND($A714&gt;='Control Room'!$A$13,$A714&lt;'Control Room'!$A$13+'Control Room'!$B$13,'Process'!BT2=1),1+('Control Room'!$C$13-1)*EXP(-0.5*(($A714-'Control Room'!$A$13-('Control Room'!$B$13-1)/2)/MAX(0.5,'Control Room'!$B$13/4))^2),1)*IF(AND($A714&gt;='Control Room'!$A$14,$A714&lt;'Control Room'!$A$14+'Control Room'!$B$14,'Process'!BT3=1),1+('Control Room'!$C$14-1)*EXP(-0.5*(($A714-'Control Room'!$A$14-('Control Room'!$B$14-1)/2)/MAX(0.5,'Control Room'!$B$14/4))^2),1)*IF(AND($A714&gt;='Control Room'!$A$15,$A714&lt;'Control Room'!$A$15+'Control Room'!$B$15,'Process'!BT4=1),1+('Control Room'!$C$15-1)*EXP(-0.5*(($A714-'Control Room'!$A$15-('Control Room'!$B$15-1)/2)/MAX(0.5,'Control Room'!$B$15/4))^2),1)*IF(AND($A714&gt;='Control Room'!$A$16,$A714&lt;'Control Room'!$A$16+'Control Room'!$B$16,'Process'!BT5=1),1+('Control Room'!$C$16-1)*EXP(-0.5*(($A714-'Control Room'!$A$16-('Control Room'!$B$16-1)/2)/MAX(0.5,'Control Room'!$B$16/4))^2),1)</x:f>
        <x:v>1</x:v>
      </x:c>
      <x:c r="AZ714" s="9" t="n">
        <x:f>MOD(BA713*16807,2147483647)</x:f>
        <x:v>68494798</x:v>
      </x:c>
      <x:c r="BA714" s="9" t="n">
        <x:f>MOD(AZ714*16807,2147483647)</x:f>
        <x:v>140835194</x:v>
      </x:c>
      <x:c r="BB714" s="17" t="n">
        <x:f>IF('Control Room'!$B$5="Normal",'Control Room'!$B$7+'Control Room'!$D$7*SQRT(-2*LN(MAX(0.000000000001,AZ714/2147483647)))*COS(2*PI()*BA714/2147483647),'Control Room'!$B$8+('Control Room'!$D$8-'Control Room'!$B$8)*AZ714/2147483647)</x:f>
        <x:v>1216.474701355346</x:v>
      </x:c>
      <x:c r="BC714" s="17" t="n">
        <x:f>IF('Control Room'!$B$5="Normal",'Control Room'!$B$7,('Control Room'!$B$8+'Control Room'!$D$8)/2)+'Control Room'!$B$9*(BC713-IF('Control Room'!$B$5="Normal",'Control Room'!$B$7,('Control Room'!$B$8+'Control Room'!$D$8)/2))+SQRT(1-'Control Room'!$B$9^2)*(BB714-IF('Control Room'!$B$5="Normal",'Control Room'!$B$7,('Control Room'!$B$8+'Control Room'!$D$8)/2))</x:f>
        <x:v>1257.531869762438</x:v>
      </x:c>
      <x:c r="BD714" s="17" t="n">
        <x:f>IF(AND($A714&gt;='Control Room'!$A$13,$A714&lt;'Control Room'!$A$13+'Control Room'!$B$13,'Process'!BU2=1),1+('Control Room'!$C$13-1)*EXP(-0.5*(($A714-'Control Room'!$A$13-('Control Room'!$B$13-1)/2)/MAX(0.5,'Control Room'!$B$13/4))^2),1)*IF(AND($A714&gt;='Control Room'!$A$14,$A714&lt;'Control Room'!$A$14+'Control Room'!$B$14,'Process'!BU3=1),1+('Control Room'!$C$14-1)*EXP(-0.5*(($A714-'Control Room'!$A$14-('Control Room'!$B$14-1)/2)/MAX(0.5,'Control Room'!$B$14/4))^2),1)*IF(AND($A714&gt;='Control Room'!$A$15,$A714&lt;'Control Room'!$A$15+'Control Room'!$B$15,'Process'!BU4=1),1+('Control Room'!$C$15-1)*EXP(-0.5*(($A714-'Control Room'!$A$15-('Control Room'!$B$15-1)/2)/MAX(0.5,'Control Room'!$B$15/4))^2),1)*IF(AND($A714&gt;='Control Room'!$A$16,$A714&lt;'Control Room'!$A$16+'Control Room'!$B$16,'Process'!BU5=1),1+('Control Room'!$C$16-1)*EXP(-0.5*(($A714-'Control Room'!$A$16-('Control Room'!$B$16-1)/2)/MAX(0.5,'Control Room'!$B$16/4))^2),1)</x:f>
        <x:v>1</x:v>
      </x:c>
      <x:c r="BE714" s="9" t="n">
        <x:f>MOD(BF713*16807,2147483647)</x:f>
        <x:v>1572690852</x:v>
      </x:c>
      <x:c r="BF714" s="9" t="n">
        <x:f>MOD(BE714*16807,2147483647)</x:f>
        <x:v>986422288</x:v>
      </x:c>
      <x:c r="BG714" s="17" t="n">
        <x:f>IF('Control Room'!$B$5="Normal",'Control Room'!$B$7+'Control Room'!$D$7*SQRT(-2*LN(MAX(0.000000000001,BE714/2147483647)))*COS(2*PI()*BF714/2147483647),'Control Room'!$B$8+('Control Room'!$D$8-'Control Room'!$B$8)*BE714/2147483647)</x:f>
        <x:v>931.2674964800889</x:v>
      </x:c>
      <x:c r="BH714" s="17" t="n">
        <x:f>IF('Control Room'!$B$5="Normal",'Control Room'!$B$7,('Control Room'!$B$8+'Control Room'!$D$8)/2)+'Control Room'!$B$9*(BH713-IF('Control Room'!$B$5="Normal",'Control Room'!$B$7,('Control Room'!$B$8+'Control Room'!$D$8)/2))+SQRT(1-'Control Room'!$B$9^2)*(BG714-IF('Control Room'!$B$5="Normal",'Control Room'!$B$7,('Control Room'!$B$8+'Control Room'!$D$8)/2))</x:f>
        <x:v>931.6455247824147</x:v>
      </x:c>
      <x:c r="BI714" s="17" t="n">
        <x:f>IF(AND($A714&gt;='Control Room'!$A$13,$A714&lt;'Control Room'!$A$13+'Control Room'!$B$13,'Process'!BV2=1),1+('Control Room'!$C$13-1)*EXP(-0.5*(($A714-'Control Room'!$A$13-('Control Room'!$B$13-1)/2)/MAX(0.5,'Control Room'!$B$13/4))^2),1)*IF(AND($A714&gt;='Control Room'!$A$14,$A714&lt;'Control Room'!$A$14+'Control Room'!$B$14,'Process'!BV3=1),1+('Control Room'!$C$14-1)*EXP(-0.5*(($A714-'Control Room'!$A$14-('Control Room'!$B$14-1)/2)/MAX(0.5,'Control Room'!$B$14/4))^2),1)*IF(AND($A714&gt;='Control Room'!$A$15,$A714&lt;'Control Room'!$A$15+'Control Room'!$B$15,'Process'!BV4=1),1+('Control Room'!$C$15-1)*EXP(-0.5*(($A714-'Control Room'!$A$15-('Control Room'!$B$15-1)/2)/MAX(0.5,'Control Room'!$B$15/4))^2),1)*IF(AND($A714&gt;='Control Room'!$A$16,$A714&lt;'Control Room'!$A$16+'Control Room'!$B$16,'Process'!BV5=1),1+('Control Room'!$C$16-1)*EXP(-0.5*(($A714-'Control Room'!$A$16-('Control Room'!$B$16-1)/2)/MAX(0.5,'Control Room'!$B$16/4))^2),1)</x:f>
        <x:v>1</x:v>
      </x:c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Z714" t="str">
        <x:f>IF('Data'!A714="","",TEXT('Data'!A714,"mm-dd"))</x:f>
      </x:c>
    </x:row>
    <x:row r="715" ht="21" customHeight="1">
      <x:c r="A715" s="15" t="n">
        <x:f>'Control Room'!$B$1+713</x:f>
        <x:v>73704</x:v>
      </x:c>
      <x:c r="B715" s="9" t="n">
        <x:f>MOD(C714*16807,2147483647)</x:f>
        <x:v>987512797</x:v>
      </x:c>
      <x:c r="C715" s="9" t="n">
        <x:f>MOD(B715*16807,2147483647)</x:f>
        <x:v>1373955163</x:v>
      </x:c>
      <x:c r="D715" s="17" t="n">
        <x:f>IF('Control Room'!$B$5="Normal",'Control Room'!$B$7+'Control Room'!$D$7*SQRT(-2*LN(MAX(0.000000000001,B715/2147483647)))*COS(2*PI()*C715/2147483647),'Control Room'!$B$8+('Control Room'!$D$8-'Control Room'!$B$8)*B715/2147483647)</x:f>
        <x:v>928.3816456478002</x:v>
      </x:c>
      <x:c r="E715" s="17" t="n">
        <x:f>IF('Control Room'!$B$5="Normal",'Control Room'!$B$7,('Control Room'!$B$8+'Control Room'!$D$8)/2)+'Control Room'!$B$9*(E714-IF('Control Room'!$B$5="Normal",'Control Room'!$B$7,('Control Room'!$B$8+'Control Room'!$D$8)/2))+SQRT(1-'Control Room'!$B$9^2)*(D715-IF('Control Room'!$B$5="Normal",'Control Room'!$B$7,('Control Room'!$B$8+'Control Room'!$D$8)/2))</x:f>
        <x:v>1050.3125028687498</x:v>
      </x:c>
      <x:c r="F715" s="17" t="n">
        <x:f>IF(AND($A715&gt;='Control Room'!$A$13,$A715&lt;'Control Room'!$A$13+'Control Room'!$B$13,'Process'!BK2=1),1+('Control Room'!$C$13-1)*EXP(-0.5*(($A715-'Control Room'!$A$13-('Control Room'!$B$13-1)/2)/MAX(0.5,'Control Room'!$B$13/4))^2),1)*IF(AND($A715&gt;='Control Room'!$A$14,$A715&lt;'Control Room'!$A$14+'Control Room'!$B$14,'Process'!BK3=1),1+('Control Room'!$C$14-1)*EXP(-0.5*(($A715-'Control Room'!$A$14-('Control Room'!$B$14-1)/2)/MAX(0.5,'Control Room'!$B$14/4))^2),1)*IF(AND($A715&gt;='Control Room'!$A$15,$A715&lt;'Control Room'!$A$15+'Control Room'!$B$15,'Process'!BK4=1),1+('Control Room'!$C$15-1)*EXP(-0.5*(($A715-'Control Room'!$A$15-('Control Room'!$B$15-1)/2)/MAX(0.5,'Control Room'!$B$15/4))^2),1)*IF(AND($A715&gt;='Control Room'!$A$16,$A715&lt;'Control Room'!$A$16+'Control Room'!$B$16,'Process'!BK5=1),1+('Control Room'!$C$16-1)*EXP(-0.5*(($A715-'Control Room'!$A$16-('Control Room'!$B$16-1)/2)/MAX(0.5,'Control Room'!$B$16/4))^2),1)</x:f>
        <x:v>1</x:v>
      </x:c>
      <x:c r="G715" s="9" t="n">
        <x:f>MOD(H714*16807,2147483647)</x:f>
        <x:v>723025809</x:v>
      </x:c>
      <x:c r="H715" s="9" t="n">
        <x:f>MOD(G715*16807,2147483647)</x:f>
        <x:v>1432297137</x:v>
      </x:c>
      <x:c r="I715" s="17" t="n">
        <x:f>IF('Control Room'!$B$5="Normal",'Control Room'!$B$7+'Control Room'!$D$7*SQRT(-2*LN(MAX(0.000000000001,G715/2147483647)))*COS(2*PI()*H715/2147483647),'Control Room'!$B$8+('Control Room'!$D$8-'Control Room'!$B$8)*G715/2147483647)</x:f>
        <x:v>933.8166947099917</x:v>
      </x:c>
      <x:c r="J715" s="17" t="n">
        <x:f>IF('Control Room'!$B$5="Normal",'Control Room'!$B$7,('Control Room'!$B$8+'Control Room'!$D$8)/2)+'Control Room'!$B$9*(J714-IF('Control Room'!$B$5="Normal",'Control Room'!$B$7,('Control Room'!$B$8+'Control Room'!$D$8)/2))+SQRT(1-'Control Room'!$B$9^2)*(I715-IF('Control Room'!$B$5="Normal",'Control Room'!$B$7,('Control Room'!$B$8+'Control Room'!$D$8)/2))</x:f>
        <x:v>1020.8404388182274</x:v>
      </x:c>
      <x:c r="K715" s="17" t="n">
        <x:f>IF(AND($A715&gt;='Control Room'!$A$13,$A715&lt;'Control Room'!$A$13+'Control Room'!$B$13,'Process'!BL2=1),1+('Control Room'!$C$13-1)*EXP(-0.5*(($A715-'Control Room'!$A$13-('Control Room'!$B$13-1)/2)/MAX(0.5,'Control Room'!$B$13/4))^2),1)*IF(AND($A715&gt;='Control Room'!$A$14,$A715&lt;'Control Room'!$A$14+'Control Room'!$B$14,'Process'!BL3=1),1+('Control Room'!$C$14-1)*EXP(-0.5*(($A715-'Control Room'!$A$14-('Control Room'!$B$14-1)/2)/MAX(0.5,'Control Room'!$B$14/4))^2),1)*IF(AND($A715&gt;='Control Room'!$A$15,$A715&lt;'Control Room'!$A$15+'Control Room'!$B$15,'Process'!BL4=1),1+('Control Room'!$C$15-1)*EXP(-0.5*(($A715-'Control Room'!$A$15-('Control Room'!$B$15-1)/2)/MAX(0.5,'Control Room'!$B$15/4))^2),1)*IF(AND($A715&gt;='Control Room'!$A$16,$A715&lt;'Control Room'!$A$16+'Control Room'!$B$16,'Process'!BL5=1),1+('Control Room'!$C$16-1)*EXP(-0.5*(($A715-'Control Room'!$A$16-('Control Room'!$B$16-1)/2)/MAX(0.5,'Control Room'!$B$16/4))^2),1)</x:f>
        <x:v>1</x:v>
      </x:c>
      <x:c r="L715" s="9" t="n">
        <x:f>MOD(M714*16807,2147483647)</x:f>
        <x:v>458538821</x:v>
      </x:c>
      <x:c r="M715" s="9" t="n">
        <x:f>MOD(L715*16807,2147483647)</x:f>
        <x:v>1490639111</x:v>
      </x:c>
      <x:c r="N715" s="17" t="n">
        <x:f>IF('Control Room'!$B$5="Normal",'Control Room'!$B$7+'Control Room'!$D$7*SQRT(-2*LN(MAX(0.000000000001,L715/2147483647)))*COS(2*PI()*M715/2147483647),'Control Room'!$B$8+('Control Room'!$D$8-'Control Room'!$B$8)*L715/2147483647)</x:f>
        <x:v>945.6171142726892</x:v>
      </x:c>
      <x:c r="O715" s="17" t="n">
        <x:f>IF('Control Room'!$B$5="Normal",'Control Room'!$B$7,('Control Room'!$B$8+'Control Room'!$D$8)/2)+'Control Room'!$B$9*(O714-IF('Control Room'!$B$5="Normal",'Control Room'!$B$7,('Control Room'!$B$8+'Control Room'!$D$8)/2))+SQRT(1-'Control Room'!$B$9^2)*(N715-IF('Control Room'!$B$5="Normal",'Control Room'!$B$7,('Control Room'!$B$8+'Control Room'!$D$8)/2))</x:f>
        <x:v>1042.3296751971304</x:v>
      </x:c>
      <x:c r="P715" s="17" t="n">
        <x:f>IF(AND($A715&gt;='Control Room'!$A$13,$A715&lt;'Control Room'!$A$13+'Control Room'!$B$13,'Process'!BM2=1),1+('Control Room'!$C$13-1)*EXP(-0.5*(($A715-'Control Room'!$A$13-('Control Room'!$B$13-1)/2)/MAX(0.5,'Control Room'!$B$13/4))^2),1)*IF(AND($A715&gt;='Control Room'!$A$14,$A715&lt;'Control Room'!$A$14+'Control Room'!$B$14,'Process'!BM3=1),1+('Control Room'!$C$14-1)*EXP(-0.5*(($A715-'Control Room'!$A$14-('Control Room'!$B$14-1)/2)/MAX(0.5,'Control Room'!$B$14/4))^2),1)*IF(AND($A715&gt;='Control Room'!$A$15,$A715&lt;'Control Room'!$A$15+'Control Room'!$B$15,'Process'!BM4=1),1+('Control Room'!$C$15-1)*EXP(-0.5*(($A715-'Control Room'!$A$15-('Control Room'!$B$15-1)/2)/MAX(0.5,'Control Room'!$B$15/4))^2),1)*IF(AND($A715&gt;='Control Room'!$A$16,$A715&lt;'Control Room'!$A$16+'Control Room'!$B$16,'Process'!BM5=1),1+('Control Room'!$C$16-1)*EXP(-0.5*(($A715-'Control Room'!$A$16-('Control Room'!$B$16-1)/2)/MAX(0.5,'Control Room'!$B$16/4))^2),1)</x:f>
        <x:v>1</x:v>
      </x:c>
      <x:c r="Q715" s="9" t="n">
        <x:f>MOD(R714*16807,2147483647)</x:f>
        <x:v>194051833</x:v>
      </x:c>
      <x:c r="R715" s="9" t="n">
        <x:f>MOD(Q715*16807,2147483647)</x:f>
        <x:v>1548981085</x:v>
      </x:c>
      <x:c r="S715" s="17" t="n">
        <x:f>IF('Control Room'!$B$5="Normal",'Control Room'!$B$7+'Control Room'!$D$7*SQRT(-2*LN(MAX(0.000000000001,Q715/2147483647)))*COS(2*PI()*R715/2147483647),'Control Room'!$B$8+('Control Room'!$D$8-'Control Room'!$B$8)*Q715/2147483647)</x:f>
        <x:v>964.607134899573</x:v>
      </x:c>
      <x:c r="T715" s="17" t="n">
        <x:f>IF('Control Room'!$B$5="Normal",'Control Room'!$B$7,('Control Room'!$B$8+'Control Room'!$D$8)/2)+'Control Room'!$B$9*(T714-IF('Control Room'!$B$5="Normal",'Control Room'!$B$7,('Control Room'!$B$8+'Control Room'!$D$8)/2))+SQRT(1-'Control Room'!$B$9^2)*(S715-IF('Control Room'!$B$5="Normal",'Control Room'!$B$7,('Control Room'!$B$8+'Control Room'!$D$8)/2))</x:f>
        <x:v>932.0808707060676</x:v>
      </x:c>
      <x:c r="U715" s="17" t="n">
        <x:f>IF(AND($A715&gt;='Control Room'!$A$13,$A715&lt;'Control Room'!$A$13+'Control Room'!$B$13,'Process'!BN2=1),1+('Control Room'!$C$13-1)*EXP(-0.5*(($A715-'Control Room'!$A$13-('Control Room'!$B$13-1)/2)/MAX(0.5,'Control Room'!$B$13/4))^2),1)*IF(AND($A715&gt;='Control Room'!$A$14,$A715&lt;'Control Room'!$A$14+'Control Room'!$B$14,'Process'!BN3=1),1+('Control Room'!$C$14-1)*EXP(-0.5*(($A715-'Control Room'!$A$14-('Control Room'!$B$14-1)/2)/MAX(0.5,'Control Room'!$B$14/4))^2),1)*IF(AND($A715&gt;='Control Room'!$A$15,$A715&lt;'Control Room'!$A$15+'Control Room'!$B$15,'Process'!BN4=1),1+('Control Room'!$C$15-1)*EXP(-0.5*(($A715-'Control Room'!$A$15-('Control Room'!$B$15-1)/2)/MAX(0.5,'Control Room'!$B$15/4))^2),1)*IF(AND($A715&gt;='Control Room'!$A$16,$A715&lt;'Control Room'!$A$16+'Control Room'!$B$16,'Process'!BN5=1),1+('Control Room'!$C$16-1)*EXP(-0.5*(($A715-'Control Room'!$A$16-('Control Room'!$B$16-1)/2)/MAX(0.5,'Control Room'!$B$16/4))^2),1)</x:f>
        <x:v>1</x:v>
      </x:c>
      <x:c r="V715" s="9" t="n">
        <x:f>MOD(W714*16807,2147483647)</x:f>
        <x:v>2077048492</x:v>
      </x:c>
      <x:c r="W715" s="9" t="n">
        <x:f>MOD(V715*16807,2147483647)</x:f>
        <x:v>1607323059</x:v>
      </x:c>
      <x:c r="X715" s="17" t="n">
        <x:f>IF('Control Room'!$B$5="Normal",'Control Room'!$B$7+'Control Room'!$D$7*SQRT(-2*LN(MAX(0.000000000001,V715/2147483647)))*COS(2*PI()*W715/2147483647),'Control Room'!$B$8+('Control Room'!$D$8-'Control Room'!$B$8)*V715/2147483647)</x:f>
        <x:v>999.7762853042926</x:v>
      </x:c>
      <x:c r="Y715" s="17" t="n">
        <x:f>IF('Control Room'!$B$5="Normal",'Control Room'!$B$7,('Control Room'!$B$8+'Control Room'!$D$8)/2)+'Control Room'!$B$9*(Y714-IF('Control Room'!$B$5="Normal",'Control Room'!$B$7,('Control Room'!$B$8+'Control Room'!$D$8)/2))+SQRT(1-'Control Room'!$B$9^2)*(X715-IF('Control Room'!$B$5="Normal",'Control Room'!$B$7,('Control Room'!$B$8+'Control Room'!$D$8)/2))</x:f>
        <x:v>1025.389890040381</x:v>
      </x:c>
      <x:c r="Z715" s="17" t="n">
        <x:f>IF(AND($A715&gt;='Control Room'!$A$13,$A715&lt;'Control Room'!$A$13+'Control Room'!$B$13,'Process'!BO2=1),1+('Control Room'!$C$13-1)*EXP(-0.5*(($A715-'Control Room'!$A$13-('Control Room'!$B$13-1)/2)/MAX(0.5,'Control Room'!$B$13/4))^2),1)*IF(AND($A715&gt;='Control Room'!$A$14,$A715&lt;'Control Room'!$A$14+'Control Room'!$B$14,'Process'!BO3=1),1+('Control Room'!$C$14-1)*EXP(-0.5*(($A715-'Control Room'!$A$14-('Control Room'!$B$14-1)/2)/MAX(0.5,'Control Room'!$B$14/4))^2),1)*IF(AND($A715&gt;='Control Room'!$A$15,$A715&lt;'Control Room'!$A$15+'Control Room'!$B$15,'Process'!BO4=1),1+('Control Room'!$C$15-1)*EXP(-0.5*(($A715-'Control Room'!$A$15-('Control Room'!$B$15-1)/2)/MAX(0.5,'Control Room'!$B$15/4))^2),1)*IF(AND($A715&gt;='Control Room'!$A$16,$A715&lt;'Control Room'!$A$16+'Control Room'!$B$16,'Process'!BO5=1),1+('Control Room'!$C$16-1)*EXP(-0.5*(($A715-'Control Room'!$A$16-('Control Room'!$B$16-1)/2)/MAX(0.5,'Control Room'!$B$16/4))^2),1)</x:f>
        <x:v>1</x:v>
      </x:c>
      <x:c r="AA715" s="9" t="n">
        <x:f>MOD(AB714*16807,2147483647)</x:f>
        <x:v>1812561504</x:v>
      </x:c>
      <x:c r="AB715" s="9" t="n">
        <x:f>MOD(AA715*16807,2147483647)</x:f>
        <x:v>1665665033</x:v>
      </x:c>
      <x:c r="AC715" s="17" t="n">
        <x:f>IF('Control Room'!$B$5="Normal",'Control Room'!$B$7+'Control Room'!$D$7*SQRT(-2*LN(MAX(0.000000000001,AA715/2147483647)))*COS(2*PI()*AB715/2147483647),'Control Room'!$B$8+('Control Room'!$D$8-'Control Room'!$B$8)*AA715/2147483647)</x:f>
        <x:v>1008.4054236165119</x:v>
      </x:c>
      <x:c r="AD715" s="17" t="n">
        <x:f>IF('Control Room'!$B$5="Normal",'Control Room'!$B$7,('Control Room'!$B$8+'Control Room'!$D$8)/2)+'Control Room'!$B$9*(AD714-IF('Control Room'!$B$5="Normal",'Control Room'!$B$7,('Control Room'!$B$8+'Control Room'!$D$8)/2))+SQRT(1-'Control Room'!$B$9^2)*(AC715-IF('Control Room'!$B$5="Normal",'Control Room'!$B$7,('Control Room'!$B$8+'Control Room'!$D$8)/2))</x:f>
        <x:v>991.0432994153331</x:v>
      </x:c>
      <x:c r="AE715" s="17" t="n">
        <x:f>IF(AND($A715&gt;='Control Room'!$A$13,$A715&lt;'Control Room'!$A$13+'Control Room'!$B$13,'Process'!BP2=1),1+('Control Room'!$C$13-1)*EXP(-0.5*(($A715-'Control Room'!$A$13-('Control Room'!$B$13-1)/2)/MAX(0.5,'Control Room'!$B$13/4))^2),1)*IF(AND($A715&gt;='Control Room'!$A$14,$A715&lt;'Control Room'!$A$14+'Control Room'!$B$14,'Process'!BP3=1),1+('Control Room'!$C$14-1)*EXP(-0.5*(($A715-'Control Room'!$A$14-('Control Room'!$B$14-1)/2)/MAX(0.5,'Control Room'!$B$14/4))^2),1)*IF(AND($A715&gt;='Control Room'!$A$15,$A715&lt;'Control Room'!$A$15+'Control Room'!$B$15,'Process'!BP4=1),1+('Control Room'!$C$15-1)*EXP(-0.5*(($A715-'Control Room'!$A$15-('Control Room'!$B$15-1)/2)/MAX(0.5,'Control Room'!$B$15/4))^2),1)*IF(AND($A715&gt;='Control Room'!$A$16,$A715&lt;'Control Room'!$A$16+'Control Room'!$B$16,'Process'!BP5=1),1+('Control Room'!$C$16-1)*EXP(-0.5*(($A715-'Control Room'!$A$16-('Control Room'!$B$16-1)/2)/MAX(0.5,'Control Room'!$B$16/4))^2),1)</x:f>
        <x:v>1</x:v>
      </x:c>
      <x:c r="AF715" s="9" t="n">
        <x:f>MOD(AG714*16807,2147483647)</x:f>
        <x:v>1548074516</x:v>
      </x:c>
      <x:c r="AG715" s="9" t="n">
        <x:f>MOD(AF715*16807,2147483647)</x:f>
        <x:v>1724007007</x:v>
      </x:c>
      <x:c r="AH715" s="17" t="n">
        <x:f>IF('Control Room'!$B$5="Normal",'Control Room'!$B$7+'Control Room'!$D$7*SQRT(-2*LN(MAX(0.000000000001,AF715/2147483647)))*COS(2*PI()*AG715/2147483647),'Control Room'!$B$8+('Control Room'!$D$8-'Control Room'!$B$8)*AF715/2147483647)</x:f>
        <x:v>1023.7172735117341</x:v>
      </x:c>
      <x:c r="AI715" s="17" t="n">
        <x:f>IF('Control Room'!$B$5="Normal",'Control Room'!$B$7,('Control Room'!$B$8+'Control Room'!$D$8)/2)+'Control Room'!$B$9*(AI714-IF('Control Room'!$B$5="Normal",'Control Room'!$B$7,('Control Room'!$B$8+'Control Room'!$D$8)/2))+SQRT(1-'Control Room'!$B$9^2)*(AH715-IF('Control Room'!$B$5="Normal",'Control Room'!$B$7,('Control Room'!$B$8+'Control Room'!$D$8)/2))</x:f>
        <x:v>902.9590733209922</x:v>
      </x:c>
      <x:c r="AJ715" s="17" t="n">
        <x:f>IF(AND($A715&gt;='Control Room'!$A$13,$A715&lt;'Control Room'!$A$13+'Control Room'!$B$13,'Process'!BQ2=1),1+('Control Room'!$C$13-1)*EXP(-0.5*(($A715-'Control Room'!$A$13-('Control Room'!$B$13-1)/2)/MAX(0.5,'Control Room'!$B$13/4))^2),1)*IF(AND($A715&gt;='Control Room'!$A$14,$A715&lt;'Control Room'!$A$14+'Control Room'!$B$14,'Process'!BQ3=1),1+('Control Room'!$C$14-1)*EXP(-0.5*(($A715-'Control Room'!$A$14-('Control Room'!$B$14-1)/2)/MAX(0.5,'Control Room'!$B$14/4))^2),1)*IF(AND($A715&gt;='Control Room'!$A$15,$A715&lt;'Control Room'!$A$15+'Control Room'!$B$15,'Process'!BQ4=1),1+('Control Room'!$C$15-1)*EXP(-0.5*(($A715-'Control Room'!$A$15-('Control Room'!$B$15-1)/2)/MAX(0.5,'Control Room'!$B$15/4))^2),1)*IF(AND($A715&gt;='Control Room'!$A$16,$A715&lt;'Control Room'!$A$16+'Control Room'!$B$16,'Process'!BQ5=1),1+('Control Room'!$C$16-1)*EXP(-0.5*(($A715-'Control Room'!$A$16-('Control Room'!$B$16-1)/2)/MAX(0.5,'Control Room'!$B$16/4))^2),1)</x:f>
        <x:v>1</x:v>
      </x:c>
      <x:c r="AK715" s="9" t="n">
        <x:f>MOD(AL714*16807,2147483647)</x:f>
        <x:v>1283587528</x:v>
      </x:c>
      <x:c r="AL715" s="9" t="n">
        <x:f>MOD(AK715*16807,2147483647)</x:f>
        <x:v>1782348981</x:v>
      </x:c>
      <x:c r="AM715" s="17" t="n">
        <x:f>IF('Control Room'!$B$5="Normal",'Control Room'!$B$7+'Control Room'!$D$7*SQRT(-2*LN(MAX(0.000000000001,AK715/2147483647)))*COS(2*PI()*AL715/2147483647),'Control Room'!$B$8+('Control Room'!$D$8-'Control Room'!$B$8)*AK715/2147483647)</x:f>
        <x:v>1043.9732978475306</x:v>
      </x:c>
      <x:c r="AN715" s="17" t="n">
        <x:f>IF('Control Room'!$B$5="Normal",'Control Room'!$B$7,('Control Room'!$B$8+'Control Room'!$D$8)/2)+'Control Room'!$B$9*(AN714-IF('Control Room'!$B$5="Normal",'Control Room'!$B$7,('Control Room'!$B$8+'Control Room'!$D$8)/2))+SQRT(1-'Control Room'!$B$9^2)*(AM715-IF('Control Room'!$B$5="Normal",'Control Room'!$B$7,('Control Room'!$B$8+'Control Room'!$D$8)/2))</x:f>
        <x:v>1129.9376898183045</x:v>
      </x:c>
      <x:c r="AO715" s="17" t="n">
        <x:f>IF(AND($A715&gt;='Control Room'!$A$13,$A715&lt;'Control Room'!$A$13+'Control Room'!$B$13,'Process'!BR2=1),1+('Control Room'!$C$13-1)*EXP(-0.5*(($A715-'Control Room'!$A$13-('Control Room'!$B$13-1)/2)/MAX(0.5,'Control Room'!$B$13/4))^2),1)*IF(AND($A715&gt;='Control Room'!$A$14,$A715&lt;'Control Room'!$A$14+'Control Room'!$B$14,'Process'!BR3=1),1+('Control Room'!$C$14-1)*EXP(-0.5*(($A715-'Control Room'!$A$14-('Control Room'!$B$14-1)/2)/MAX(0.5,'Control Room'!$B$14/4))^2),1)*IF(AND($A715&gt;='Control Room'!$A$15,$A715&lt;'Control Room'!$A$15+'Control Room'!$B$15,'Process'!BR4=1),1+('Control Room'!$C$15-1)*EXP(-0.5*(($A715-'Control Room'!$A$15-('Control Room'!$B$15-1)/2)/MAX(0.5,'Control Room'!$B$15/4))^2),1)*IF(AND($A715&gt;='Control Room'!$A$16,$A715&lt;'Control Room'!$A$16+'Control Room'!$B$16,'Process'!BR5=1),1+('Control Room'!$C$16-1)*EXP(-0.5*(($A715-'Control Room'!$A$16-('Control Room'!$B$16-1)/2)/MAX(0.5,'Control Room'!$B$16/4))^2),1)</x:f>
        <x:v>1</x:v>
      </x:c>
      <x:c r="AP715" s="9" t="n">
        <x:f>MOD(AQ714*16807,2147483647)</x:f>
        <x:v>1019100540</x:v>
      </x:c>
      <x:c r="AQ715" s="9" t="n">
        <x:f>MOD(AP715*16807,2147483647)</x:f>
        <x:v>1840690955</x:v>
      </x:c>
      <x:c r="AR715" s="17" t="n">
        <x:f>IF('Control Room'!$B$5="Normal",'Control Room'!$B$7+'Control Room'!$D$7*SQRT(-2*LN(MAX(0.000000000001,AP715/2147483647)))*COS(2*PI()*AQ715/2147483647),'Control Room'!$B$8+('Control Room'!$D$8-'Control Room'!$B$8)*AP715/2147483647)</x:f>
        <x:v>1068.5109238306923</x:v>
      </x:c>
      <x:c r="AS715" s="17" t="n">
        <x:f>IF('Control Room'!$B$5="Normal",'Control Room'!$B$7,('Control Room'!$B$8+'Control Room'!$D$8)/2)+'Control Room'!$B$9*(AS714-IF('Control Room'!$B$5="Normal",'Control Room'!$B$7,('Control Room'!$B$8+'Control Room'!$D$8)/2))+SQRT(1-'Control Room'!$B$9^2)*(AR715-IF('Control Room'!$B$5="Normal",'Control Room'!$B$7,('Control Room'!$B$8+'Control Room'!$D$8)/2))</x:f>
        <x:v>1007.8829488861937</x:v>
      </x:c>
      <x:c r="AT715" s="17" t="n">
        <x:f>IF(AND($A715&gt;='Control Room'!$A$13,$A715&lt;'Control Room'!$A$13+'Control Room'!$B$13,'Process'!BS2=1),1+('Control Room'!$C$13-1)*EXP(-0.5*(($A715-'Control Room'!$A$13-('Control Room'!$B$13-1)/2)/MAX(0.5,'Control Room'!$B$13/4))^2),1)*IF(AND($A715&gt;='Control Room'!$A$14,$A715&lt;'Control Room'!$A$14+'Control Room'!$B$14,'Process'!BS3=1),1+('Control Room'!$C$14-1)*EXP(-0.5*(($A715-'Control Room'!$A$14-('Control Room'!$B$14-1)/2)/MAX(0.5,'Control Room'!$B$14/4))^2),1)*IF(AND($A715&gt;='Control Room'!$A$15,$A715&lt;'Control Room'!$A$15+'Control Room'!$B$15,'Process'!BS4=1),1+('Control Room'!$C$15-1)*EXP(-0.5*(($A715-'Control Room'!$A$15-('Control Room'!$B$15-1)/2)/MAX(0.5,'Control Room'!$B$15/4))^2),1)*IF(AND($A715&gt;='Control Room'!$A$16,$A715&lt;'Control Room'!$A$16+'Control Room'!$B$16,'Process'!BS5=1),1+('Control Room'!$C$16-1)*EXP(-0.5*(($A715-'Control Room'!$A$16-('Control Room'!$B$16-1)/2)/MAX(0.5,'Control Room'!$B$16/4))^2),1)</x:f>
        <x:v>1</x:v>
      </x:c>
      <x:c r="AU715" s="9" t="n">
        <x:f>MOD(AV714*16807,2147483647)</x:f>
        <x:v>754613552</x:v>
      </x:c>
      <x:c r="AV715" s="9" t="n">
        <x:f>MOD(AU715*16807,2147483647)</x:f>
        <x:v>1899032929</x:v>
      </x:c>
      <x:c r="AW715" s="17" t="n">
        <x:f>IF('Control Room'!$B$5="Normal",'Control Room'!$B$7+'Control Room'!$D$7*SQRT(-2*LN(MAX(0.000000000001,AU715/2147483647)))*COS(2*PI()*AV715/2147483647),'Control Room'!$B$8+('Control Room'!$D$8-'Control Room'!$B$8)*AU715/2147483647)</x:f>
        <x:v>1097.2613672674456</x:v>
      </x:c>
      <x:c r="AX715" s="17" t="n">
        <x:f>IF('Control Room'!$B$5="Normal",'Control Room'!$B$7,('Control Room'!$B$8+'Control Room'!$D$8)/2)+'Control Room'!$B$9*(AX714-IF('Control Room'!$B$5="Normal",'Control Room'!$B$7,('Control Room'!$B$8+'Control Room'!$D$8)/2))+SQRT(1-'Control Room'!$B$9^2)*(AW715-IF('Control Room'!$B$5="Normal",'Control Room'!$B$7,('Control Room'!$B$8+'Control Room'!$D$8)/2))</x:f>
        <x:v>1074.3717995334991</x:v>
      </x:c>
      <x:c r="AY715" s="17" t="n">
        <x:f>IF(AND($A715&gt;='Control Room'!$A$13,$A715&lt;'Control Room'!$A$13+'Control Room'!$B$13,'Process'!BT2=1),1+('Control Room'!$C$13-1)*EXP(-0.5*(($A715-'Control Room'!$A$13-('Control Room'!$B$13-1)/2)/MAX(0.5,'Control Room'!$B$13/4))^2),1)*IF(AND($A715&gt;='Control Room'!$A$14,$A715&lt;'Control Room'!$A$14+'Control Room'!$B$14,'Process'!BT3=1),1+('Control Room'!$C$14-1)*EXP(-0.5*(($A715-'Control Room'!$A$14-('Control Room'!$B$14-1)/2)/MAX(0.5,'Control Room'!$B$14/4))^2),1)*IF(AND($A715&gt;='Control Room'!$A$15,$A715&lt;'Control Room'!$A$15+'Control Room'!$B$15,'Process'!BT4=1),1+('Control Room'!$C$15-1)*EXP(-0.5*(($A715-'Control Room'!$A$15-('Control Room'!$B$15-1)/2)/MAX(0.5,'Control Room'!$B$15/4))^2),1)*IF(AND($A715&gt;='Control Room'!$A$16,$A715&lt;'Control Room'!$A$16+'Control Room'!$B$16,'Process'!BT5=1),1+('Control Room'!$C$16-1)*EXP(-0.5*(($A715-'Control Room'!$A$16-('Control Room'!$B$16-1)/2)/MAX(0.5,'Control Room'!$B$16/4))^2),1)</x:f>
        <x:v>1</x:v>
      </x:c>
      <x:c r="AZ715" s="9" t="n">
        <x:f>MOD(BA714*16807,2147483647)</x:f>
        <x:v>490126564</x:v>
      </x:c>
      <x:c r="BA715" s="9" t="n">
        <x:f>MOD(AZ715*16807,2147483647)</x:f>
        <x:v>1957374903</x:v>
      </x:c>
      <x:c r="BB715" s="17" t="n">
        <x:f>IF('Control Room'!$B$5="Normal",'Control Room'!$B$7+'Control Room'!$D$7*SQRT(-2*LN(MAX(0.000000000001,AZ715/2147483647)))*COS(2*PI()*BA715/2147483647),'Control Room'!$B$8+('Control Room'!$D$8-'Control Room'!$B$8)*AZ715/2147483647)</x:f>
        <x:v>1131.38387016782</x:v>
      </x:c>
      <x:c r="BC715" s="17" t="n">
        <x:f>IF('Control Room'!$B$5="Normal",'Control Room'!$B$7,('Control Room'!$B$8+'Control Room'!$D$8)/2)+'Control Room'!$B$9*(BC714-IF('Control Room'!$B$5="Normal",'Control Room'!$B$7,('Control Room'!$B$8+'Control Room'!$D$8)/2))+SQRT(1-'Control Room'!$B$9^2)*(BB715-IF('Control Room'!$B$5="Normal",'Control Room'!$B$7,('Control Room'!$B$8+'Control Room'!$D$8)/2))</x:f>
        <x:v>1283.0921928208445</x:v>
      </x:c>
      <x:c r="BD715" s="17" t="n">
        <x:f>IF(AND($A715&gt;='Control Room'!$A$13,$A715&lt;'Control Room'!$A$13+'Control Room'!$B$13,'Process'!BU2=1),1+('Control Room'!$C$13-1)*EXP(-0.5*(($A715-'Control Room'!$A$13-('Control Room'!$B$13-1)/2)/MAX(0.5,'Control Room'!$B$13/4))^2),1)*IF(AND($A715&gt;='Control Room'!$A$14,$A715&lt;'Control Room'!$A$14+'Control Room'!$B$14,'Process'!BU3=1),1+('Control Room'!$C$14-1)*EXP(-0.5*(($A715-'Control Room'!$A$14-('Control Room'!$B$14-1)/2)/MAX(0.5,'Control Room'!$B$14/4))^2),1)*IF(AND($A715&gt;='Control Room'!$A$15,$A715&lt;'Control Room'!$A$15+'Control Room'!$B$15,'Process'!BU4=1),1+('Control Room'!$C$15-1)*EXP(-0.5*(($A715-'Control Room'!$A$15-('Control Room'!$B$15-1)/2)/MAX(0.5,'Control Room'!$B$15/4))^2),1)*IF(AND($A715&gt;='Control Room'!$A$16,$A715&lt;'Control Room'!$A$16+'Control Room'!$B$16,'Process'!BU5=1),1+('Control Room'!$C$16-1)*EXP(-0.5*(($A715-'Control Room'!$A$16-('Control Room'!$B$16-1)/2)/MAX(0.5,'Control Room'!$B$16/4))^2),1)</x:f>
        <x:v>1</x:v>
      </x:c>
      <x:c r="BE715" s="9" t="n">
        <x:f>MOD(BF714*16807,2147483647)</x:f>
        <x:v>225639576</x:v>
      </x:c>
      <x:c r="BF715" s="9" t="n">
        <x:f>MOD(BE715*16807,2147483647)</x:f>
        <x:v>2015716877</x:v>
      </x:c>
      <x:c r="BG715" s="17" t="n">
        <x:f>IF('Control Room'!$B$5="Normal",'Control Room'!$B$7+'Control Room'!$D$7*SQRT(-2*LN(MAX(0.000000000001,BE715/2147483647)))*COS(2*PI()*BF715/2147483647),'Control Room'!$B$8+('Control Room'!$D$8-'Control Room'!$B$8)*BE715/2147483647)</x:f>
        <x:v>1177.0277329279522</x:v>
      </x:c>
      <x:c r="BH715" s="17" t="n">
        <x:f>IF('Control Room'!$B$5="Normal",'Control Room'!$B$7,('Control Room'!$B$8+'Control Room'!$D$8)/2)+'Control Room'!$B$9*(BH714-IF('Control Room'!$B$5="Normal",'Control Room'!$B$7,('Control Room'!$B$8+'Control Room'!$D$8)/2))+SQRT(1-'Control Room'!$B$9^2)*(BG715-IF('Control Room'!$B$5="Normal",'Control Room'!$B$7,('Control Room'!$B$8+'Control Room'!$D$8)/2))</x:f>
        <x:v>1057.4638379863632</x:v>
      </x:c>
      <x:c r="BI715" s="17" t="n">
        <x:f>IF(AND($A715&gt;='Control Room'!$A$13,$A715&lt;'Control Room'!$A$13+'Control Room'!$B$13,'Process'!BV2=1),1+('Control Room'!$C$13-1)*EXP(-0.5*(($A715-'Control Room'!$A$13-('Control Room'!$B$13-1)/2)/MAX(0.5,'Control Room'!$B$13/4))^2),1)*IF(AND($A715&gt;='Control Room'!$A$14,$A715&lt;'Control Room'!$A$14+'Control Room'!$B$14,'Process'!BV3=1),1+('Control Room'!$C$14-1)*EXP(-0.5*(($A715-'Control Room'!$A$14-('Control Room'!$B$14-1)/2)/MAX(0.5,'Control Room'!$B$14/4))^2),1)*IF(AND($A715&gt;='Control Room'!$A$15,$A715&lt;'Control Room'!$A$15+'Control Room'!$B$15,'Process'!BV4=1),1+('Control Room'!$C$15-1)*EXP(-0.5*(($A715-'Control Room'!$A$15-('Control Room'!$B$15-1)/2)/MAX(0.5,'Control Room'!$B$15/4))^2),1)*IF(AND($A715&gt;='Control Room'!$A$16,$A715&lt;'Control Room'!$A$16+'Control Room'!$B$16,'Process'!BV5=1),1+('Control Room'!$C$16-1)*EXP(-0.5*(($A715-'Control Room'!$A$16-('Control Room'!$B$16-1)/2)/MAX(0.5,'Control Room'!$B$16/4))^2),1)</x:f>
        <x:v>1</x:v>
      </x:c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Z715" t="str">
        <x:f>IF('Data'!A715="","",TEXT('Data'!A715,"mm-dd"))</x:f>
      </x:c>
    </x:row>
    <x:row r="716" ht="21" customHeight="1">
      <x:c r="A716" s="15" t="n">
        <x:f>'Control Room'!$B$1+714</x:f>
        <x:v>73705</x:v>
      </x:c>
      <x:c r="B716" s="9" t="n">
        <x:f>MOD(C715*16807,2147483647)</x:f>
        <x:v>172768350</x:v>
      </x:c>
      <x:c r="C716" s="9" t="n">
        <x:f>MOD(B716*16807,2147483647)</x:f>
        <x:v>319767706</x:v>
      </x:c>
      <x:c r="D716" s="17" t="n">
        <x:f>IF('Control Room'!$B$5="Normal",'Control Room'!$B$7+'Control Room'!$D$7*SQRT(-2*LN(MAX(0.000000000001,B716/2147483647)))*COS(2*PI()*C716/2147483647),'Control Room'!$B$8+('Control Room'!$D$8-'Control Room'!$B$8)*B716/2147483647)</x:f>
        <x:v>1119.8875049559672</x:v>
      </x:c>
      <x:c r="E716" s="17" t="n">
        <x:f>IF('Control Room'!$B$5="Normal",'Control Room'!$B$7,('Control Room'!$B$8+'Control Room'!$D$8)/2)+'Control Room'!$B$9*(E715-IF('Control Room'!$B$5="Normal",'Control Room'!$B$7,('Control Room'!$B$8+'Control Room'!$D$8)/2))+SQRT(1-'Control Room'!$B$9^2)*(D716-IF('Control Room'!$B$5="Normal",'Control Room'!$B$7,('Control Room'!$B$8+'Control Room'!$D$8)/2))</x:f>
        <x:v>1114.2668968100331</x:v>
      </x:c>
      <x:c r="F716" s="17" t="n">
        <x:f>IF(AND($A716&gt;='Control Room'!$A$13,$A716&lt;'Control Room'!$A$13+'Control Room'!$B$13,'Process'!BK2=1),1+('Control Room'!$C$13-1)*EXP(-0.5*(($A716-'Control Room'!$A$13-('Control Room'!$B$13-1)/2)/MAX(0.5,'Control Room'!$B$13/4))^2),1)*IF(AND($A716&gt;='Control Room'!$A$14,$A716&lt;'Control Room'!$A$14+'Control Room'!$B$14,'Process'!BK3=1),1+('Control Room'!$C$14-1)*EXP(-0.5*(($A716-'Control Room'!$A$14-('Control Room'!$B$14-1)/2)/MAX(0.5,'Control Room'!$B$14/4))^2),1)*IF(AND($A716&gt;='Control Room'!$A$15,$A716&lt;'Control Room'!$A$15+'Control Room'!$B$15,'Process'!BK4=1),1+('Control Room'!$C$15-1)*EXP(-0.5*(($A716-'Control Room'!$A$15-('Control Room'!$B$15-1)/2)/MAX(0.5,'Control Room'!$B$15/4))^2),1)*IF(AND($A716&gt;='Control Room'!$A$16,$A716&lt;'Control Room'!$A$16+'Control Room'!$B$16,'Process'!BK5=1),1+('Control Room'!$C$16-1)*EXP(-0.5*(($A716-'Control Room'!$A$16-('Control Room'!$B$16-1)/2)/MAX(0.5,'Control Room'!$B$16/4))^2),1)</x:f>
        <x:v>1</x:v>
      </x:c>
      <x:c r="G716" s="9" t="n">
        <x:f>MOD(H715*16807,2147483647)</x:f>
        <x:v>1473782336</x:v>
      </x:c>
      <x:c r="H716" s="9" t="n">
        <x:f>MOD(G716*16807,2147483647)</x:f>
        <x:v>783336654</x:v>
      </x:c>
      <x:c r="I716" s="17" t="n">
        <x:f>IF('Control Room'!$B$5="Normal",'Control Room'!$B$7+'Control Room'!$D$7*SQRT(-2*LN(MAX(0.000000000001,G716/2147483647)))*COS(2*PI()*H716/2147483647),'Control Room'!$B$8+('Control Room'!$D$8-'Control Room'!$B$8)*G716/2147483647)</x:f>
        <x:v>948.440153729659</x:v>
      </x:c>
      <x:c r="J716" s="17" t="n">
        <x:f>IF('Control Room'!$B$5="Normal",'Control Room'!$B$7,('Control Room'!$B$8+'Control Room'!$D$8)/2)+'Control Room'!$B$9*(J715-IF('Control Room'!$B$5="Normal",'Control Room'!$B$7,('Control Room'!$B$8+'Control Room'!$D$8)/2))+SQRT(1-'Control Room'!$B$9^2)*(I716-IF('Control Room'!$B$5="Normal",'Control Room'!$B$7,('Control Room'!$B$8+'Control Room'!$D$8)/2))</x:f>
        <x:v>983.9904467431016</x:v>
      </x:c>
      <x:c r="K716" s="17" t="n">
        <x:f>IF(AND($A716&gt;='Control Room'!$A$13,$A716&lt;'Control Room'!$A$13+'Control Room'!$B$13,'Process'!BL2=1),1+('Control Room'!$C$13-1)*EXP(-0.5*(($A716-'Control Room'!$A$13-('Control Room'!$B$13-1)/2)/MAX(0.5,'Control Room'!$B$13/4))^2),1)*IF(AND($A716&gt;='Control Room'!$A$14,$A716&lt;'Control Room'!$A$14+'Control Room'!$B$14,'Process'!BL3=1),1+('Control Room'!$C$14-1)*EXP(-0.5*(($A716-'Control Room'!$A$14-('Control Room'!$B$14-1)/2)/MAX(0.5,'Control Room'!$B$14/4))^2),1)*IF(AND($A716&gt;='Control Room'!$A$15,$A716&lt;'Control Room'!$A$15+'Control Room'!$B$15,'Process'!BL4=1),1+('Control Room'!$C$15-1)*EXP(-0.5*(($A716-'Control Room'!$A$15-('Control Room'!$B$15-1)/2)/MAX(0.5,'Control Room'!$B$15/4))^2),1)*IF(AND($A716&gt;='Control Room'!$A$16,$A716&lt;'Control Room'!$A$16+'Control Room'!$B$16,'Process'!BL5=1),1+('Control Room'!$C$16-1)*EXP(-0.5*(($A716-'Control Room'!$A$16-('Control Room'!$B$16-1)/2)/MAX(0.5,'Control Room'!$B$16/4))^2),1)</x:f>
        <x:v>1</x:v>
      </x:c>
      <x:c r="L716" s="9" t="n">
        <x:f>MOD(M715*16807,2147483647)</x:f>
        <x:v>627312675</x:v>
      </x:c>
      <x:c r="M716" s="9" t="n">
        <x:f>MOD(L716*16807,2147483647)</x:f>
        <x:v>1246905602</x:v>
      </x:c>
      <x:c r="N716" s="17" t="n">
        <x:f>IF('Control Room'!$B$5="Normal",'Control Room'!$B$7+'Control Room'!$D$7*SQRT(-2*LN(MAX(0.000000000001,L716/2147483647)))*COS(2*PI()*M716/2147483647),'Control Room'!$B$8+('Control Room'!$D$8-'Control Room'!$B$8)*L716/2147483647)</x:f>
        <x:v>876.5431482716313</x:v>
      </x:c>
      <x:c r="O716" s="17" t="n">
        <x:f>IF('Control Room'!$B$5="Normal",'Control Room'!$B$7,('Control Room'!$B$8+'Control Room'!$D$8)/2)+'Control Room'!$B$9*(O715-IF('Control Room'!$B$5="Normal",'Control Room'!$B$7,('Control Room'!$B$8+'Control Room'!$D$8)/2))+SQRT(1-'Control Room'!$B$9^2)*(N716-IF('Control Room'!$B$5="Normal",'Control Room'!$B$7,('Control Room'!$B$8+'Control Room'!$D$8)/2))</x:f>
        <x:v>955.7603779932278</x:v>
      </x:c>
      <x:c r="P716" s="17" t="n">
        <x:f>IF(AND($A716&gt;='Control Room'!$A$13,$A716&lt;'Control Room'!$A$13+'Control Room'!$B$13,'Process'!BM2=1),1+('Control Room'!$C$13-1)*EXP(-0.5*(($A716-'Control Room'!$A$13-('Control Room'!$B$13-1)/2)/MAX(0.5,'Control Room'!$B$13/4))^2),1)*IF(AND($A716&gt;='Control Room'!$A$14,$A716&lt;'Control Room'!$A$14+'Control Room'!$B$14,'Process'!BM3=1),1+('Control Room'!$C$14-1)*EXP(-0.5*(($A716-'Control Room'!$A$14-('Control Room'!$B$14-1)/2)/MAX(0.5,'Control Room'!$B$14/4))^2),1)*IF(AND($A716&gt;='Control Room'!$A$15,$A716&lt;'Control Room'!$A$15+'Control Room'!$B$15,'Process'!BM4=1),1+('Control Room'!$C$15-1)*EXP(-0.5*(($A716-'Control Room'!$A$15-('Control Room'!$B$15-1)/2)/MAX(0.5,'Control Room'!$B$15/4))^2),1)*IF(AND($A716&gt;='Control Room'!$A$16,$A716&lt;'Control Room'!$A$16+'Control Room'!$B$16,'Process'!BM5=1),1+('Control Room'!$C$16-1)*EXP(-0.5*(($A716-'Control Room'!$A$16-('Control Room'!$B$16-1)/2)/MAX(0.5,'Control Room'!$B$16/4))^2),1)</x:f>
        <x:v>1</x:v>
      </x:c>
      <x:c r="Q716" s="9" t="n">
        <x:f>MOD(R715*16807,2147483647)</x:f>
        <x:v>1928326661</x:v>
      </x:c>
      <x:c r="R716" s="9" t="n">
        <x:f>MOD(Q716*16807,2147483647)</x:f>
        <x:v>1710474550</x:v>
      </x:c>
      <x:c r="S716" s="17" t="n">
        <x:f>IF('Control Room'!$B$5="Normal",'Control Room'!$B$7+'Control Room'!$D$7*SQRT(-2*LN(MAX(0.000000000001,Q716/2147483647)))*COS(2*PI()*R716/2147483647),'Control Room'!$B$8+('Control Room'!$D$8-'Control Room'!$B$8)*Q716/2147483647)</x:f>
        <x:v>1012.028329077509</x:v>
      </x:c>
      <x:c r="T716" s="17" t="n">
        <x:f>IF('Control Room'!$B$5="Normal",'Control Room'!$B$7,('Control Room'!$B$8+'Control Room'!$D$8)/2)+'Control Room'!$B$9*(T715-IF('Control Room'!$B$5="Normal",'Control Room'!$B$7,('Control Room'!$B$8+'Control Room'!$D$8)/2))+SQRT(1-'Control Room'!$B$9^2)*(S716-IF('Control Room'!$B$5="Normal",'Control Room'!$B$7,('Control Room'!$B$8+'Control Room'!$D$8)/2))</x:f>
        <x:v>954.5501610737228</x:v>
      </x:c>
      <x:c r="U716" s="17" t="n">
        <x:f>IF(AND($A716&gt;='Control Room'!$A$13,$A716&lt;'Control Room'!$A$13+'Control Room'!$B$13,'Process'!BN2=1),1+('Control Room'!$C$13-1)*EXP(-0.5*(($A716-'Control Room'!$A$13-('Control Room'!$B$13-1)/2)/MAX(0.5,'Control Room'!$B$13/4))^2),1)*IF(AND($A716&gt;='Control Room'!$A$14,$A716&lt;'Control Room'!$A$14+'Control Room'!$B$14,'Process'!BN3=1),1+('Control Room'!$C$14-1)*EXP(-0.5*(($A716-'Control Room'!$A$14-('Control Room'!$B$14-1)/2)/MAX(0.5,'Control Room'!$B$14/4))^2),1)*IF(AND($A716&gt;='Control Room'!$A$15,$A716&lt;'Control Room'!$A$15+'Control Room'!$B$15,'Process'!BN4=1),1+('Control Room'!$C$15-1)*EXP(-0.5*(($A716-'Control Room'!$A$15-('Control Room'!$B$15-1)/2)/MAX(0.5,'Control Room'!$B$15/4))^2),1)*IF(AND($A716&gt;='Control Room'!$A$16,$A716&lt;'Control Room'!$A$16+'Control Room'!$B$16,'Process'!BN5=1),1+('Control Room'!$C$16-1)*EXP(-0.5*(($A716-'Control Room'!$A$16-('Control Room'!$B$16-1)/2)/MAX(0.5,'Control Room'!$B$16/4))^2),1)</x:f>
        <x:v>1</x:v>
      </x:c>
      <x:c r="V716" s="9" t="n">
        <x:f>MOD(W715*16807,2147483647)</x:f>
        <x:v>1081857000</x:v>
      </x:c>
      <x:c r="W716" s="9" t="n">
        <x:f>MOD(V716*16807,2147483647)</x:f>
        <x:v>26559851</x:v>
      </x:c>
      <x:c r="X716" s="17" t="n">
        <x:f>IF('Control Room'!$B$5="Normal",'Control Room'!$B$7+'Control Room'!$D$7*SQRT(-2*LN(MAX(0.000000000001,V716/2147483647)))*COS(2*PI()*W716/2147483647),'Control Room'!$B$8+('Control Room'!$D$8-'Control Room'!$B$8)*V716/2147483647)</x:f>
        <x:v>1105.071734428265</x:v>
      </x:c>
      <x:c r="Y716" s="17" t="n">
        <x:f>IF('Control Room'!$B$5="Normal",'Control Room'!$B$7,('Control Room'!$B$8+'Control Room'!$D$8)/2)+'Control Room'!$B$9*(Y715-IF('Control Room'!$B$5="Normal",'Control Room'!$B$7,('Control Room'!$B$8+'Control Room'!$D$8)/2))+SQRT(1-'Control Room'!$B$9^2)*(X716-IF('Control Room'!$B$5="Normal",'Control Room'!$B$7,('Control Room'!$B$8+'Control Room'!$D$8)/2))</x:f>
        <x:v>1085.5558531252263</x:v>
      </x:c>
      <x:c r="Z716" s="17" t="n">
        <x:f>IF(AND($A716&gt;='Control Room'!$A$13,$A716&lt;'Control Room'!$A$13+'Control Room'!$B$13,'Process'!BO2=1),1+('Control Room'!$C$13-1)*EXP(-0.5*(($A716-'Control Room'!$A$13-('Control Room'!$B$13-1)/2)/MAX(0.5,'Control Room'!$B$13/4))^2),1)*IF(AND($A716&gt;='Control Room'!$A$14,$A716&lt;'Control Room'!$A$14+'Control Room'!$B$14,'Process'!BO3=1),1+('Control Room'!$C$14-1)*EXP(-0.5*(($A716-'Control Room'!$A$14-('Control Room'!$B$14-1)/2)/MAX(0.5,'Control Room'!$B$14/4))^2),1)*IF(AND($A716&gt;='Control Room'!$A$15,$A716&lt;'Control Room'!$A$15+'Control Room'!$B$15,'Process'!BO4=1),1+('Control Room'!$C$15-1)*EXP(-0.5*(($A716-'Control Room'!$A$15-('Control Room'!$B$15-1)/2)/MAX(0.5,'Control Room'!$B$15/4))^2),1)*IF(AND($A716&gt;='Control Room'!$A$16,$A716&lt;'Control Room'!$A$16+'Control Room'!$B$16,'Process'!BO5=1),1+('Control Room'!$C$16-1)*EXP(-0.5*(($A716-'Control Room'!$A$16-('Control Room'!$B$16-1)/2)/MAX(0.5,'Control Room'!$B$16/4))^2),1)</x:f>
        <x:v>1</x:v>
      </x:c>
      <x:c r="AA716" s="9" t="n">
        <x:f>MOD(AB715*16807,2147483647)</x:f>
        <x:v>235387339</x:v>
      </x:c>
      <x:c r="AB716" s="9" t="n">
        <x:f>MOD(AA716*16807,2147483647)</x:f>
        <x:v>490128799</x:v>
      </x:c>
      <x:c r="AC716" s="17" t="n">
        <x:f>IF('Control Room'!$B$5="Normal",'Control Room'!$B$7+'Control Room'!$D$7*SQRT(-2*LN(MAX(0.000000000001,AA716/2147483647)))*COS(2*PI()*AB716/2147483647),'Control Room'!$B$8+('Control Room'!$D$8-'Control Room'!$B$8)*AA716/2147483647)</x:f>
        <x:v>1025.8010793761418</x:v>
      </x:c>
      <x:c r="AD716" s="17" t="n">
        <x:f>IF('Control Room'!$B$5="Normal",'Control Room'!$B$7,('Control Room'!$B$8+'Control Room'!$D$8)/2)+'Control Room'!$B$9*(AD715-IF('Control Room'!$B$5="Normal",'Control Room'!$B$7,('Control Room'!$B$8+'Control Room'!$D$8)/2))+SQRT(1-'Control Room'!$B$9^2)*(AC716-IF('Control Room'!$B$5="Normal",'Control Room'!$B$7,('Control Room'!$B$8+'Control Room'!$D$8)/2))</x:f>
        <x:v>1009.1595604537083</x:v>
      </x:c>
      <x:c r="AE716" s="17" t="n">
        <x:f>IF(AND($A716&gt;='Control Room'!$A$13,$A716&lt;'Control Room'!$A$13+'Control Room'!$B$13,'Process'!BP2=1),1+('Control Room'!$C$13-1)*EXP(-0.5*(($A716-'Control Room'!$A$13-('Control Room'!$B$13-1)/2)/MAX(0.5,'Control Room'!$B$13/4))^2),1)*IF(AND($A716&gt;='Control Room'!$A$14,$A716&lt;'Control Room'!$A$14+'Control Room'!$B$14,'Process'!BP3=1),1+('Control Room'!$C$14-1)*EXP(-0.5*(($A716-'Control Room'!$A$14-('Control Room'!$B$14-1)/2)/MAX(0.5,'Control Room'!$B$14/4))^2),1)*IF(AND($A716&gt;='Control Room'!$A$15,$A716&lt;'Control Room'!$A$15+'Control Room'!$B$15,'Process'!BP4=1),1+('Control Room'!$C$15-1)*EXP(-0.5*(($A716-'Control Room'!$A$15-('Control Room'!$B$15-1)/2)/MAX(0.5,'Control Room'!$B$15/4))^2),1)*IF(AND($A716&gt;='Control Room'!$A$16,$A716&lt;'Control Room'!$A$16+'Control Room'!$B$16,'Process'!BP5=1),1+('Control Room'!$C$16-1)*EXP(-0.5*(($A716-'Control Room'!$A$16-('Control Room'!$B$16-1)/2)/MAX(0.5,'Control Room'!$B$16/4))^2),1)</x:f>
        <x:v>1</x:v>
      </x:c>
      <x:c r="AF716" s="9" t="n">
        <x:f>MOD(AG715*16807,2147483647)</x:f>
        <x:v>1536401325</x:v>
      </x:c>
      <x:c r="AG716" s="9" t="n">
        <x:f>MOD(AF716*16807,2147483647)</x:f>
        <x:v>953697747</x:v>
      </x:c>
      <x:c r="AH716" s="17" t="n">
        <x:f>IF('Control Room'!$B$5="Normal",'Control Room'!$B$7+'Control Room'!$D$7*SQRT(-2*LN(MAX(0.000000000001,AF716/2147483647)))*COS(2*PI()*AG716/2147483647),'Control Room'!$B$8+('Control Room'!$D$8-'Control Room'!$B$8)*AF716/2147483647)</x:f>
        <x:v>930.8443189109926</x:v>
      </x:c>
      <x:c r="AI716" s="17" t="n">
        <x:f>IF('Control Room'!$B$5="Normal",'Control Room'!$B$7,('Control Room'!$B$8+'Control Room'!$D$8)/2)+'Control Room'!$B$9*(AI715-IF('Control Room'!$B$5="Normal",'Control Room'!$B$7,('Control Room'!$B$8+'Control Room'!$D$8)/2))+SQRT(1-'Control Room'!$B$9^2)*(AH716-IF('Control Room'!$B$5="Normal",'Control Room'!$B$7,('Control Room'!$B$8+'Control Room'!$D$8)/2))</x:f>
        <x:v>881.0318686960063</x:v>
      </x:c>
      <x:c r="AJ716" s="17" t="n">
        <x:f>IF(AND($A716&gt;='Control Room'!$A$13,$A716&lt;'Control Room'!$A$13+'Control Room'!$B$13,'Process'!BQ2=1),1+('Control Room'!$C$13-1)*EXP(-0.5*(($A716-'Control Room'!$A$13-('Control Room'!$B$13-1)/2)/MAX(0.5,'Control Room'!$B$13/4))^2),1)*IF(AND($A716&gt;='Control Room'!$A$14,$A716&lt;'Control Room'!$A$14+'Control Room'!$B$14,'Process'!BQ3=1),1+('Control Room'!$C$14-1)*EXP(-0.5*(($A716-'Control Room'!$A$14-('Control Room'!$B$14-1)/2)/MAX(0.5,'Control Room'!$B$14/4))^2),1)*IF(AND($A716&gt;='Control Room'!$A$15,$A716&lt;'Control Room'!$A$15+'Control Room'!$B$15,'Process'!BQ4=1),1+('Control Room'!$C$15-1)*EXP(-0.5*(($A716-'Control Room'!$A$15-('Control Room'!$B$15-1)/2)/MAX(0.5,'Control Room'!$B$15/4))^2),1)*IF(AND($A716&gt;='Control Room'!$A$16,$A716&lt;'Control Room'!$A$16+'Control Room'!$B$16,'Process'!BQ5=1),1+('Control Room'!$C$16-1)*EXP(-0.5*(($A716-'Control Room'!$A$16-('Control Room'!$B$16-1)/2)/MAX(0.5,'Control Room'!$B$16/4))^2),1)</x:f>
        <x:v>1</x:v>
      </x:c>
      <x:c r="AK716" s="9" t="n">
        <x:f>MOD(AL715*16807,2147483647)</x:f>
        <x:v>689931664</x:v>
      </x:c>
      <x:c r="AL716" s="9" t="n">
        <x:f>MOD(AK716*16807,2147483647)</x:f>
        <x:v>1417266695</x:v>
      </x:c>
      <x:c r="AM716" s="17" t="n">
        <x:f>IF('Control Room'!$B$5="Normal",'Control Room'!$B$7+'Control Room'!$D$7*SQRT(-2*LN(MAX(0.000000000001,AK716/2147483647)))*COS(2*PI()*AL716/2147483647),'Control Room'!$B$8+('Control Room'!$D$8-'Control Room'!$B$8)*AK716/2147483647)</x:f>
        <x:v>927.3035991298141</x:v>
      </x:c>
      <x:c r="AN716" s="17" t="n">
        <x:f>IF('Control Room'!$B$5="Normal",'Control Room'!$B$7,('Control Room'!$B$8+'Control Room'!$D$8)/2)+'Control Room'!$B$9*(AN715-IF('Control Room'!$B$5="Normal",'Control Room'!$B$7,('Control Room'!$B$8+'Control Room'!$D$8)/2))+SQRT(1-'Control Room'!$B$9^2)*(AM716-IF('Control Room'!$B$5="Normal",'Control Room'!$B$7,('Control Room'!$B$8+'Control Room'!$D$8)/2))</x:f>
        <x:v>1055.859479660436</x:v>
      </x:c>
      <x:c r="AO716" s="17" t="n">
        <x:f>IF(AND($A716&gt;='Control Room'!$A$13,$A716&lt;'Control Room'!$A$13+'Control Room'!$B$13,'Process'!BR2=1),1+('Control Room'!$C$13-1)*EXP(-0.5*(($A716-'Control Room'!$A$13-('Control Room'!$B$13-1)/2)/MAX(0.5,'Control Room'!$B$13/4))^2),1)*IF(AND($A716&gt;='Control Room'!$A$14,$A716&lt;'Control Room'!$A$14+'Control Room'!$B$14,'Process'!BR3=1),1+('Control Room'!$C$14-1)*EXP(-0.5*(($A716-'Control Room'!$A$14-('Control Room'!$B$14-1)/2)/MAX(0.5,'Control Room'!$B$14/4))^2),1)*IF(AND($A716&gt;='Control Room'!$A$15,$A716&lt;'Control Room'!$A$15+'Control Room'!$B$15,'Process'!BR4=1),1+('Control Room'!$C$15-1)*EXP(-0.5*(($A716-'Control Room'!$A$15-('Control Room'!$B$15-1)/2)/MAX(0.5,'Control Room'!$B$15/4))^2),1)*IF(AND($A716&gt;='Control Room'!$A$16,$A716&lt;'Control Room'!$A$16+'Control Room'!$B$16,'Process'!BR5=1),1+('Control Room'!$C$16-1)*EXP(-0.5*(($A716-'Control Room'!$A$16-('Control Room'!$B$16-1)/2)/MAX(0.5,'Control Room'!$B$16/4))^2),1)</x:f>
        <x:v>1</x:v>
      </x:c>
      <x:c r="AP716" s="9" t="n">
        <x:f>MOD(AQ715*16807,2147483647)</x:f>
        <x:v>1990945650</x:v>
      </x:c>
      <x:c r="AQ716" s="9" t="n">
        <x:f>MOD(AP716*16807,2147483647)</x:f>
        <x:v>1880835643</x:v>
      </x:c>
      <x:c r="AR716" s="17" t="n">
        <x:f>IF('Control Room'!$B$5="Normal",'Control Room'!$B$7+'Control Room'!$D$7*SQRT(-2*LN(MAX(0.000000000001,AP716/2147483647)))*COS(2*PI()*AQ716/2147483647),'Control Room'!$B$8+('Control Room'!$D$8-'Control Room'!$B$8)*AP716/2147483647)</x:f>
        <x:v>1024.8893000044206</x:v>
      </x:c>
      <x:c r="AS716" s="17" t="n">
        <x:f>IF('Control Room'!$B$5="Normal",'Control Room'!$B$7,('Control Room'!$B$8+'Control Room'!$D$8)/2)+'Control Room'!$B$9*(AS715-IF('Control Room'!$B$5="Normal",'Control Room'!$B$7,('Control Room'!$B$8+'Control Room'!$D$8)/2))+SQRT(1-'Control Room'!$B$9^2)*(AR716-IF('Control Room'!$B$5="Normal",'Control Room'!$B$7,('Control Room'!$B$8+'Control Room'!$D$8)/2))</x:f>
        <x:v>1021.7239141889722</x:v>
      </x:c>
      <x:c r="AT716" s="17" t="n">
        <x:f>IF(AND($A716&gt;='Control Room'!$A$13,$A716&lt;'Control Room'!$A$13+'Control Room'!$B$13,'Process'!BS2=1),1+('Control Room'!$C$13-1)*EXP(-0.5*(($A716-'Control Room'!$A$13-('Control Room'!$B$13-1)/2)/MAX(0.5,'Control Room'!$B$13/4))^2),1)*IF(AND($A716&gt;='Control Room'!$A$14,$A716&lt;'Control Room'!$A$14+'Control Room'!$B$14,'Process'!BS3=1),1+('Control Room'!$C$14-1)*EXP(-0.5*(($A716-'Control Room'!$A$14-('Control Room'!$B$14-1)/2)/MAX(0.5,'Control Room'!$B$14/4))^2),1)*IF(AND($A716&gt;='Control Room'!$A$15,$A716&lt;'Control Room'!$A$15+'Control Room'!$B$15,'Process'!BS4=1),1+('Control Room'!$C$15-1)*EXP(-0.5*(($A716-'Control Room'!$A$15-('Control Room'!$B$15-1)/2)/MAX(0.5,'Control Room'!$B$15/4))^2),1)*IF(AND($A716&gt;='Control Room'!$A$16,$A716&lt;'Control Room'!$A$16+'Control Room'!$B$16,'Process'!BS5=1),1+('Control Room'!$C$16-1)*EXP(-0.5*(($A716-'Control Room'!$A$16-('Control Room'!$B$16-1)/2)/MAX(0.5,'Control Room'!$B$16/4))^2),1)</x:f>
        <x:v>1</x:v>
      </x:c>
      <x:c r="AU716" s="9" t="n">
        <x:f>MOD(AV715*16807,2147483647)</x:f>
        <x:v>1144475989</x:v>
      </x:c>
      <x:c r="AV716" s="9" t="n">
        <x:f>MOD(AU716*16807,2147483647)</x:f>
        <x:v>196920944</x:v>
      </x:c>
      <x:c r="AW716" s="17" t="n">
        <x:f>IF('Control Room'!$B$5="Normal",'Control Room'!$B$7+'Control Room'!$D$7*SQRT(-2*LN(MAX(0.000000000001,AU716/2147483647)))*COS(2*PI()*AV716/2147483647),'Control Room'!$B$8+('Control Room'!$D$8-'Control Room'!$B$8)*AU716/2147483647)</x:f>
        <x:v>1084.671768964404</x:v>
      </x:c>
      <x:c r="AX716" s="17" t="n">
        <x:f>IF('Control Room'!$B$5="Normal",'Control Room'!$B$7,('Control Room'!$B$8+'Control Room'!$D$8)/2)+'Control Room'!$B$9*(AX715-IF('Control Room'!$B$5="Normal",'Control Room'!$B$7,('Control Room'!$B$8+'Control Room'!$D$8)/2))+SQRT(1-'Control Room'!$B$9^2)*(AW716-IF('Control Room'!$B$5="Normal",'Control Room'!$B$7,('Control Room'!$B$8+'Control Room'!$D$8)/2))</x:f>
        <x:v>1110.9958620585826</x:v>
      </x:c>
      <x:c r="AY716" s="17" t="n">
        <x:f>IF(AND($A716&gt;='Control Room'!$A$13,$A716&lt;'Control Room'!$A$13+'Control Room'!$B$13,'Process'!BT2=1),1+('Control Room'!$C$13-1)*EXP(-0.5*(($A716-'Control Room'!$A$13-('Control Room'!$B$13-1)/2)/MAX(0.5,'Control Room'!$B$13/4))^2),1)*IF(AND($A716&gt;='Control Room'!$A$14,$A716&lt;'Control Room'!$A$14+'Control Room'!$B$14,'Process'!BT3=1),1+('Control Room'!$C$14-1)*EXP(-0.5*(($A716-'Control Room'!$A$14-('Control Room'!$B$14-1)/2)/MAX(0.5,'Control Room'!$B$14/4))^2),1)*IF(AND($A716&gt;='Control Room'!$A$15,$A716&lt;'Control Room'!$A$15+'Control Room'!$B$15,'Process'!BT4=1),1+('Control Room'!$C$15-1)*EXP(-0.5*(($A716-'Control Room'!$A$15-('Control Room'!$B$15-1)/2)/MAX(0.5,'Control Room'!$B$15/4))^2),1)*IF(AND($A716&gt;='Control Room'!$A$16,$A716&lt;'Control Room'!$A$16+'Control Room'!$B$16,'Process'!BT5=1),1+('Control Room'!$C$16-1)*EXP(-0.5*(($A716-'Control Room'!$A$16-('Control Room'!$B$16-1)/2)/MAX(0.5,'Control Room'!$B$16/4))^2),1)</x:f>
        <x:v>1</x:v>
      </x:c>
      <x:c r="AZ716" s="9" t="n">
        <x:f>MOD(BA715*16807,2147483647)</x:f>
        <x:v>298006328</x:v>
      </x:c>
      <x:c r="BA716" s="9" t="n">
        <x:f>MOD(AZ716*16807,2147483647)</x:f>
        <x:v>660489892</x:v>
      </x:c>
      <x:c r="BB716" s="17" t="n">
        <x:f>IF('Control Room'!$B$5="Normal",'Control Room'!$B$7+'Control Room'!$D$7*SQRT(-2*LN(MAX(0.000000000001,AZ716/2147483647)))*COS(2*PI()*BA716/2147483647),'Control Room'!$B$8+('Control Room'!$D$8-'Control Room'!$B$8)*AZ716/2147483647)</x:f>
        <x:v>936.7065594474276</x:v>
      </x:c>
      <x:c r="BC716" s="17" t="n">
        <x:f>IF('Control Room'!$B$5="Normal",'Control Room'!$B$7,('Control Room'!$B$8+'Control Room'!$D$8)/2)+'Control Room'!$B$9*(BC715-IF('Control Room'!$B$5="Normal",'Control Room'!$B$7,('Control Room'!$B$8+'Control Room'!$D$8)/2))+SQRT(1-'Control Room'!$B$9^2)*(BB716-IF('Control Room'!$B$5="Normal",'Control Room'!$B$7,('Control Room'!$B$8+'Control Room'!$D$8)/2))</x:f>
        <x:v>1181.2041719390672</x:v>
      </x:c>
      <x:c r="BD716" s="17" t="n">
        <x:f>IF(AND($A716&gt;='Control Room'!$A$13,$A716&lt;'Control Room'!$A$13+'Control Room'!$B$13,'Process'!BU2=1),1+('Control Room'!$C$13-1)*EXP(-0.5*(($A716-'Control Room'!$A$13-('Control Room'!$B$13-1)/2)/MAX(0.5,'Control Room'!$B$13/4))^2),1)*IF(AND($A716&gt;='Control Room'!$A$14,$A716&lt;'Control Room'!$A$14+'Control Room'!$B$14,'Process'!BU3=1),1+('Control Room'!$C$14-1)*EXP(-0.5*(($A716-'Control Room'!$A$14-('Control Room'!$B$14-1)/2)/MAX(0.5,'Control Room'!$B$14/4))^2),1)*IF(AND($A716&gt;='Control Room'!$A$15,$A716&lt;'Control Room'!$A$15+'Control Room'!$B$15,'Process'!BU4=1),1+('Control Room'!$C$15-1)*EXP(-0.5*(($A716-'Control Room'!$A$15-('Control Room'!$B$15-1)/2)/MAX(0.5,'Control Room'!$B$15/4))^2),1)*IF(AND($A716&gt;='Control Room'!$A$16,$A716&lt;'Control Room'!$A$16+'Control Room'!$B$16,'Process'!BU5=1),1+('Control Room'!$C$16-1)*EXP(-0.5*(($A716-'Control Room'!$A$16-('Control Room'!$B$16-1)/2)/MAX(0.5,'Control Room'!$B$16/4))^2),1)</x:f>
        <x:v>1</x:v>
      </x:c>
      <x:c r="BE716" s="9" t="n">
        <x:f>MOD(BF715*16807,2147483647)</x:f>
        <x:v>1599020314</x:v>
      </x:c>
      <x:c r="BF716" s="9" t="n">
        <x:f>MOD(BE716*16807,2147483647)</x:f>
        <x:v>1124058840</x:v>
      </x:c>
      <x:c r="BG716" s="17" t="n">
        <x:f>IF('Control Room'!$B$5="Normal",'Control Room'!$B$7+'Control Room'!$D$7*SQRT(-2*LN(MAX(0.000000000001,BE716/2147483647)))*COS(2*PI()*BF716/2147483647),'Control Room'!$B$8+('Control Room'!$D$8-'Control Room'!$B$8)*BE716/2147483647)</x:f>
        <x:v>931.6284248640798</x:v>
      </x:c>
      <x:c r="BH716" s="17" t="n">
        <x:f>IF('Control Room'!$B$5="Normal",'Control Room'!$B$7,('Control Room'!$B$8+'Control Room'!$D$8)/2)+'Control Room'!$B$9*(BH715-IF('Control Room'!$B$5="Normal",'Control Room'!$B$7,('Control Room'!$B$8+'Control Room'!$D$8)/2))+SQRT(1-'Control Room'!$B$9^2)*(BG716-IF('Control Room'!$B$5="Normal",'Control Room'!$B$7,('Control Room'!$B$8+'Control Room'!$D$8)/2))</x:f>
        <x:v>1002.0362625771542</x:v>
      </x:c>
      <x:c r="BI716" s="17" t="n">
        <x:f>IF(AND($A716&gt;='Control Room'!$A$13,$A716&lt;'Control Room'!$A$13+'Control Room'!$B$13,'Process'!BV2=1),1+('Control Room'!$C$13-1)*EXP(-0.5*(($A716-'Control Room'!$A$13-('Control Room'!$B$13-1)/2)/MAX(0.5,'Control Room'!$B$13/4))^2),1)*IF(AND($A716&gt;='Control Room'!$A$14,$A716&lt;'Control Room'!$A$14+'Control Room'!$B$14,'Process'!BV3=1),1+('Control Room'!$C$14-1)*EXP(-0.5*(($A716-'Control Room'!$A$14-('Control Room'!$B$14-1)/2)/MAX(0.5,'Control Room'!$B$14/4))^2),1)*IF(AND($A716&gt;='Control Room'!$A$15,$A716&lt;'Control Room'!$A$15+'Control Room'!$B$15,'Process'!BV4=1),1+('Control Room'!$C$15-1)*EXP(-0.5*(($A716-'Control Room'!$A$15-('Control Room'!$B$15-1)/2)/MAX(0.5,'Control Room'!$B$15/4))^2),1)*IF(AND($A716&gt;='Control Room'!$A$16,$A716&lt;'Control Room'!$A$16+'Control Room'!$B$16,'Process'!BV5=1),1+('Control Room'!$C$16-1)*EXP(-0.5*(($A716-'Control Room'!$A$16-('Control Room'!$B$16-1)/2)/MAX(0.5,'Control Room'!$B$16/4))^2),1)</x:f>
        <x:v>1</x:v>
      </x:c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Z716" t="str">
        <x:f>IF('Data'!A716="","",TEXT('Data'!A716,"mm-dd"))</x:f>
      </x:c>
    </x:row>
    <x:row r="717" ht="21" customHeight="1">
      <x:c r="A717" s="15" t="n">
        <x:f>'Control Room'!$B$1+715</x:f>
        <x:v>73706</x:v>
      </x:c>
      <x:c r="B717" s="9" t="n">
        <x:f>MOD(C716*16807,2147483647)</x:f>
        <x:v>1331749948</x:v>
      </x:c>
      <x:c r="C717" s="9" t="n">
        <x:f>MOD(B717*16807,2147483647)</x:f>
        <x:v>1646807002</x:v>
      </x:c>
      <x:c r="D717" s="17" t="n">
        <x:f>IF('Control Room'!$B$5="Normal",'Control Room'!$B$7+'Control Room'!$D$7*SQRT(-2*LN(MAX(0.000000000001,B717/2147483647)))*COS(2*PI()*C717/2147483647),'Control Room'!$B$8+('Control Room'!$D$8-'Control Room'!$B$8)*B717/2147483647)</x:f>
        <x:v>1009.299501370285</x:v>
      </x:c>
      <x:c r="E717" s="17" t="n">
        <x:f>IF('Control Room'!$B$5="Normal",'Control Room'!$B$7,('Control Room'!$B$8+'Control Room'!$D$8)/2)+'Control Room'!$B$9*(E716-IF('Control Room'!$B$5="Normal",'Control Room'!$B$7,('Control Room'!$B$8+'Control Room'!$D$8)/2))+SQRT(1-'Control Room'!$B$9^2)*(D717-IF('Control Room'!$B$5="Normal",'Control Room'!$B$7,('Control Room'!$B$8+'Control Room'!$D$8)/2))</x:f>
        <x:v>1094.9476169587097</x:v>
      </x:c>
      <x:c r="F717" s="17" t="n">
        <x:f>IF(AND($A717&gt;='Control Room'!$A$13,$A717&lt;'Control Room'!$A$13+'Control Room'!$B$13,'Process'!BK2=1),1+('Control Room'!$C$13-1)*EXP(-0.5*(($A717-'Control Room'!$A$13-('Control Room'!$B$13-1)/2)/MAX(0.5,'Control Room'!$B$13/4))^2),1)*IF(AND($A717&gt;='Control Room'!$A$14,$A717&lt;'Control Room'!$A$14+'Control Room'!$B$14,'Process'!BK3=1),1+('Control Room'!$C$14-1)*EXP(-0.5*(($A717-'Control Room'!$A$14-('Control Room'!$B$14-1)/2)/MAX(0.5,'Control Room'!$B$14/4))^2),1)*IF(AND($A717&gt;='Control Room'!$A$15,$A717&lt;'Control Room'!$A$15+'Control Room'!$B$15,'Process'!BK4=1),1+('Control Room'!$C$15-1)*EXP(-0.5*(($A717-'Control Room'!$A$15-('Control Room'!$B$15-1)/2)/MAX(0.5,'Control Room'!$B$15/4))^2),1)*IF(AND($A717&gt;='Control Room'!$A$16,$A717&lt;'Control Room'!$A$16+'Control Room'!$B$16,'Process'!BK5=1),1+('Control Room'!$C$16-1)*EXP(-0.5*(($A717-'Control Room'!$A$16-('Control Room'!$B$16-1)/2)/MAX(0.5,'Control Room'!$B$16/4))^2),1)</x:f>
        <x:v>1</x:v>
      </x:c>
      <x:c r="G717" s="9" t="n">
        <x:f>MOD(H716*16807,2147483647)</x:f>
        <x:v>1464387668</x:v>
      </x:c>
      <x:c r="H717" s="9" t="n">
        <x:f>MOD(G717*16807,2147483647)</x:f>
        <x:v>1800941456</x:v>
      </x:c>
      <x:c r="I717" s="17" t="n">
        <x:f>IF('Control Room'!$B$5="Normal",'Control Room'!$B$7+'Control Room'!$D$7*SQRT(-2*LN(MAX(0.000000000001,G717/2147483647)))*COS(2*PI()*H717/2147483647),'Control Room'!$B$8+('Control Room'!$D$8-'Control Room'!$B$8)*G717/2147483647)</x:f>
        <x:v>1041.6244736973986</x:v>
      </x:c>
      <x:c r="J717" s="17" t="n">
        <x:f>IF('Control Room'!$B$5="Normal",'Control Room'!$B$7,('Control Room'!$B$8+'Control Room'!$D$8)/2)+'Control Room'!$B$9*(J716-IF('Control Room'!$B$5="Normal",'Control Room'!$B$7,('Control Room'!$B$8+'Control Room'!$D$8)/2))+SQRT(1-'Control Room'!$B$9^2)*(I717-IF('Control Room'!$B$5="Normal",'Control Room'!$B$7,('Control Room'!$B$8+'Control Room'!$D$8)/2))</x:f>
        <x:v>1013.560291375758</x:v>
      </x:c>
      <x:c r="K717" s="17" t="n">
        <x:f>IF(AND($A717&gt;='Control Room'!$A$13,$A717&lt;'Control Room'!$A$13+'Control Room'!$B$13,'Process'!BL2=1),1+('Control Room'!$C$13-1)*EXP(-0.5*(($A717-'Control Room'!$A$13-('Control Room'!$B$13-1)/2)/MAX(0.5,'Control Room'!$B$13/4))^2),1)*IF(AND($A717&gt;='Control Room'!$A$14,$A717&lt;'Control Room'!$A$14+'Control Room'!$B$14,'Process'!BL3=1),1+('Control Room'!$C$14-1)*EXP(-0.5*(($A717-'Control Room'!$A$14-('Control Room'!$B$14-1)/2)/MAX(0.5,'Control Room'!$B$14/4))^2),1)*IF(AND($A717&gt;='Control Room'!$A$15,$A717&lt;'Control Room'!$A$15+'Control Room'!$B$15,'Process'!BL4=1),1+('Control Room'!$C$15-1)*EXP(-0.5*(($A717-'Control Room'!$A$15-('Control Room'!$B$15-1)/2)/MAX(0.5,'Control Room'!$B$15/4))^2),1)*IF(AND($A717&gt;='Control Room'!$A$16,$A717&lt;'Control Room'!$A$16+'Control Room'!$B$16,'Process'!BL5=1),1+('Control Room'!$C$16-1)*EXP(-0.5*(($A717-'Control Room'!$A$16-('Control Room'!$B$16-1)/2)/MAX(0.5,'Control Room'!$B$16/4))^2),1)</x:f>
        <x:v>1</x:v>
      </x:c>
      <x:c r="L717" s="9" t="n">
        <x:f>MOD(M716*16807,2147483647)</x:f>
        <x:v>1597025388</x:v>
      </x:c>
      <x:c r="M717" s="9" t="n">
        <x:f>MOD(L717*16807,2147483647)</x:f>
        <x:v>1955075910</x:v>
      </x:c>
      <x:c r="N717" s="17" t="n">
        <x:f>IF('Control Room'!$B$5="Normal",'Control Room'!$B$7+'Control Room'!$D$7*SQRT(-2*LN(MAX(0.000000000001,L717/2147483647)))*COS(2*PI()*M717/2147483647),'Control Room'!$B$8+('Control Room'!$D$8-'Control Room'!$B$8)*L717/2147483647)</x:f>
        <x:v>1058.5765344750894</x:v>
      </x:c>
      <x:c r="O717" s="17" t="n">
        <x:f>IF('Control Room'!$B$5="Normal",'Control Room'!$B$7,('Control Room'!$B$8+'Control Room'!$D$8)/2)+'Control Room'!$B$9*(O716-IF('Control Room'!$B$5="Normal",'Control Room'!$B$7,('Control Room'!$B$8+'Control Room'!$D$8)/2))+SQRT(1-'Control Room'!$B$9^2)*(N717-IF('Control Room'!$B$5="Normal",'Control Room'!$B$7,('Control Room'!$B$8+'Control Room'!$D$8)/2))</x:f>
        <x:v>1002.1490901036938</x:v>
      </x:c>
      <x:c r="P717" s="17" t="n">
        <x:f>IF(AND($A717&gt;='Control Room'!$A$13,$A717&lt;'Control Room'!$A$13+'Control Room'!$B$13,'Process'!BM2=1),1+('Control Room'!$C$13-1)*EXP(-0.5*(($A717-'Control Room'!$A$13-('Control Room'!$B$13-1)/2)/MAX(0.5,'Control Room'!$B$13/4))^2),1)*IF(AND($A717&gt;='Control Room'!$A$14,$A717&lt;'Control Room'!$A$14+'Control Room'!$B$14,'Process'!BM3=1),1+('Control Room'!$C$14-1)*EXP(-0.5*(($A717-'Control Room'!$A$14-('Control Room'!$B$14-1)/2)/MAX(0.5,'Control Room'!$B$14/4))^2),1)*IF(AND($A717&gt;='Control Room'!$A$15,$A717&lt;'Control Room'!$A$15+'Control Room'!$B$15,'Process'!BM4=1),1+('Control Room'!$C$15-1)*EXP(-0.5*(($A717-'Control Room'!$A$15-('Control Room'!$B$15-1)/2)/MAX(0.5,'Control Room'!$B$15/4))^2),1)*IF(AND($A717&gt;='Control Room'!$A$16,$A717&lt;'Control Room'!$A$16+'Control Room'!$B$16,'Process'!BM5=1),1+('Control Room'!$C$16-1)*EXP(-0.5*(($A717-'Control Room'!$A$16-('Control Room'!$B$16-1)/2)/MAX(0.5,'Control Room'!$B$16/4))^2),1)</x:f>
        <x:v>1</x:v>
      </x:c>
      <x:c r="Q717" s="9" t="n">
        <x:f>MOD(R716*16807,2147483647)</x:f>
        <x:v>1729663108</x:v>
      </x:c>
      <x:c r="R717" s="9" t="n">
        <x:f>MOD(Q717*16807,2147483647)</x:f>
        <x:v>2109210364</x:v>
      </x:c>
      <x:c r="S717" s="17" t="n">
        <x:f>IF('Control Room'!$B$5="Normal",'Control Room'!$B$7+'Control Room'!$D$7*SQRT(-2*LN(MAX(0.000000000001,Q717/2147483647)))*COS(2*PI()*R717/2147483647),'Control Room'!$B$8+('Control Room'!$D$8-'Control Room'!$B$8)*Q717/2147483647)</x:f>
        <x:v>1058.83387285431</x:v>
      </x:c>
      <x:c r="T717" s="17" t="n">
        <x:f>IF('Control Room'!$B$5="Normal",'Control Room'!$B$7,('Control Room'!$B$8+'Control Room'!$D$8)/2)+'Control Room'!$B$9*(T716-IF('Control Room'!$B$5="Normal",'Control Room'!$B$7,('Control Room'!$B$8+'Control Room'!$D$8)/2))+SQRT(1-'Control Room'!$B$9^2)*(S717-IF('Control Room'!$B$5="Normal",'Control Room'!$B$7,('Control Room'!$B$8+'Control Room'!$D$8)/2))</x:f>
        <x:v>1001.3661579923329</x:v>
      </x:c>
      <x:c r="U717" s="17" t="n">
        <x:f>IF(AND($A717&gt;='Control Room'!$A$13,$A717&lt;'Control Room'!$A$13+'Control Room'!$B$13,'Process'!BN2=1),1+('Control Room'!$C$13-1)*EXP(-0.5*(($A717-'Control Room'!$A$13-('Control Room'!$B$13-1)/2)/MAX(0.5,'Control Room'!$B$13/4))^2),1)*IF(AND($A717&gt;='Control Room'!$A$14,$A717&lt;'Control Room'!$A$14+'Control Room'!$B$14,'Process'!BN3=1),1+('Control Room'!$C$14-1)*EXP(-0.5*(($A717-'Control Room'!$A$14-('Control Room'!$B$14-1)/2)/MAX(0.5,'Control Room'!$B$14/4))^2),1)*IF(AND($A717&gt;='Control Room'!$A$15,$A717&lt;'Control Room'!$A$15+'Control Room'!$B$15,'Process'!BN4=1),1+('Control Room'!$C$15-1)*EXP(-0.5*(($A717-'Control Room'!$A$15-('Control Room'!$B$15-1)/2)/MAX(0.5,'Control Room'!$B$15/4))^2),1)*IF(AND($A717&gt;='Control Room'!$A$16,$A717&lt;'Control Room'!$A$16+'Control Room'!$B$16,'Process'!BN5=1),1+('Control Room'!$C$16-1)*EXP(-0.5*(($A717-'Control Room'!$A$16-('Control Room'!$B$16-1)/2)/MAX(0.5,'Control Room'!$B$16/4))^2),1)</x:f>
        <x:v>1</x:v>
      </x:c>
      <x:c r="V717" s="9" t="n">
        <x:f>MOD(W716*16807,2147483647)</x:f>
        <x:v>1862300828</x:v>
      </x:c>
      <x:c r="W717" s="9" t="n">
        <x:f>MOD(V717*16807,2147483647)</x:f>
        <x:v>115861171</x:v>
      </x:c>
      <x:c r="X717" s="17" t="n">
        <x:f>IF('Control Room'!$B$5="Normal",'Control Room'!$B$7+'Control Room'!$D$7*SQRT(-2*LN(MAX(0.000000000001,V717/2147483647)))*COS(2*PI()*W717/2147483647),'Control Room'!$B$8+('Control Room'!$D$8-'Control Room'!$B$8)*V717/2147483647)</x:f>
        <x:v>1045.3100025172976</x:v>
      </x:c>
      <x:c r="Y717" s="17" t="n">
        <x:f>IF('Control Room'!$B$5="Normal",'Control Room'!$B$7,('Control Room'!$B$8+'Control Room'!$D$8)/2)+'Control Room'!$B$9*(Y716-IF('Control Room'!$B$5="Normal",'Control Room'!$B$7,('Control Room'!$B$8+'Control Room'!$D$8)/2))+SQRT(1-'Control Room'!$B$9^2)*(X717-IF('Control Room'!$B$5="Normal",'Control Room'!$B$7,('Control Room'!$B$8+'Control Room'!$D$8)/2))</x:f>
        <x:v>1095.0876367871463</x:v>
      </x:c>
      <x:c r="Z717" s="17" t="n">
        <x:f>IF(AND($A717&gt;='Control Room'!$A$13,$A717&lt;'Control Room'!$A$13+'Control Room'!$B$13,'Process'!BO2=1),1+('Control Room'!$C$13-1)*EXP(-0.5*(($A717-'Control Room'!$A$13-('Control Room'!$B$13-1)/2)/MAX(0.5,'Control Room'!$B$13/4))^2),1)*IF(AND($A717&gt;='Control Room'!$A$14,$A717&lt;'Control Room'!$A$14+'Control Room'!$B$14,'Process'!BO3=1),1+('Control Room'!$C$14-1)*EXP(-0.5*(($A717-'Control Room'!$A$14-('Control Room'!$B$14-1)/2)/MAX(0.5,'Control Room'!$B$14/4))^2),1)*IF(AND($A717&gt;='Control Room'!$A$15,$A717&lt;'Control Room'!$A$15+'Control Room'!$B$15,'Process'!BO4=1),1+('Control Room'!$C$15-1)*EXP(-0.5*(($A717-'Control Room'!$A$15-('Control Room'!$B$15-1)/2)/MAX(0.5,'Control Room'!$B$15/4))^2),1)*IF(AND($A717&gt;='Control Room'!$A$16,$A717&lt;'Control Room'!$A$16+'Control Room'!$B$16,'Process'!BO5=1),1+('Control Room'!$C$16-1)*EXP(-0.5*(($A717-'Control Room'!$A$16-('Control Room'!$B$16-1)/2)/MAX(0.5,'Control Room'!$B$16/4))^2),1)</x:f>
        <x:v>1</x:v>
      </x:c>
      <x:c r="AA717" s="9" t="n">
        <x:f>MOD(AB716*16807,2147483647)</x:f>
        <x:v>1994938548</x:v>
      </x:c>
      <x:c r="AB717" s="9" t="n">
        <x:f>MOD(AA717*16807,2147483647)</x:f>
        <x:v>269995625</x:v>
      </x:c>
      <x:c r="AC717" s="17" t="n">
        <x:f>IF('Control Room'!$B$5="Normal",'Control Room'!$B$7+'Control Room'!$D$7*SQRT(-2*LN(MAX(0.000000000001,AA717/2147483647)))*COS(2*PI()*AB717/2147483647),'Control Room'!$B$8+('Control Room'!$D$8-'Control Room'!$B$8)*AA717/2147483647)</x:f>
        <x:v>1024.318463242759</x:v>
      </x:c>
      <x:c r="AD717" s="17" t="n">
        <x:f>IF('Control Room'!$B$5="Normal",'Control Room'!$B$7,('Control Room'!$B$8+'Control Room'!$D$8)/2)+'Control Room'!$B$9*(AD716-IF('Control Room'!$B$5="Normal",'Control Room'!$B$7,('Control Room'!$B$8+'Control Room'!$D$8)/2))+SQRT(1-'Control Room'!$B$9^2)*(AC717-IF('Control Room'!$B$5="Normal",'Control Room'!$B$7,('Control Room'!$B$8+'Control Room'!$D$8)/2))</x:f>
        <x:v>1022.3624532604125</x:v>
      </x:c>
      <x:c r="AE717" s="17" t="n">
        <x:f>IF(AND($A717&gt;='Control Room'!$A$13,$A717&lt;'Control Room'!$A$13+'Control Room'!$B$13,'Process'!BP2=1),1+('Control Room'!$C$13-1)*EXP(-0.5*(($A717-'Control Room'!$A$13-('Control Room'!$B$13-1)/2)/MAX(0.5,'Control Room'!$B$13/4))^2),1)*IF(AND($A717&gt;='Control Room'!$A$14,$A717&lt;'Control Room'!$A$14+'Control Room'!$B$14,'Process'!BP3=1),1+('Control Room'!$C$14-1)*EXP(-0.5*(($A717-'Control Room'!$A$14-('Control Room'!$B$14-1)/2)/MAX(0.5,'Control Room'!$B$14/4))^2),1)*IF(AND($A717&gt;='Control Room'!$A$15,$A717&lt;'Control Room'!$A$15+'Control Room'!$B$15,'Process'!BP4=1),1+('Control Room'!$C$15-1)*EXP(-0.5*(($A717-'Control Room'!$A$15-('Control Room'!$B$15-1)/2)/MAX(0.5,'Control Room'!$B$15/4))^2),1)*IF(AND($A717&gt;='Control Room'!$A$16,$A717&lt;'Control Room'!$A$16+'Control Room'!$B$16,'Process'!BP5=1),1+('Control Room'!$C$16-1)*EXP(-0.5*(($A717-'Control Room'!$A$16-('Control Room'!$B$16-1)/2)/MAX(0.5,'Control Room'!$B$16/4))^2),1)</x:f>
        <x:v>1</x:v>
      </x:c>
      <x:c r="AF717" s="9" t="n">
        <x:f>MOD(AG716*16807,2147483647)</x:f>
        <x:v>2127576268</x:v>
      </x:c>
      <x:c r="AG717" s="9" t="n">
        <x:f>MOD(AF717*16807,2147483647)</x:f>
        <x:v>424130079</x:v>
      </x:c>
      <x:c r="AH717" s="17" t="n">
        <x:f>IF('Control Room'!$B$5="Normal",'Control Room'!$B$7+'Control Room'!$D$7*SQRT(-2*LN(MAX(0.000000000001,AF717/2147483647)))*COS(2*PI()*AG717/2147483647),'Control Room'!$B$8+('Control Room'!$D$8-'Control Room'!$B$8)*AF717/2147483647)</x:f>
        <x:v>1003.9786586073551</x:v>
      </x:c>
      <x:c r="AI717" s="17" t="n">
        <x:f>IF('Control Room'!$B$5="Normal",'Control Room'!$B$7,('Control Room'!$B$8+'Control Room'!$D$8)/2)+'Control Room'!$B$9*(AI716-IF('Control Room'!$B$5="Normal",'Control Room'!$B$7,('Control Room'!$B$8+'Control Room'!$D$8)/2))+SQRT(1-'Control Room'!$B$9^2)*(AH717-IF('Control Room'!$B$5="Normal",'Control Room'!$B$7,('Control Room'!$B$8+'Control Room'!$D$8)/2))</x:f>
        <x:v>909.6946206321159</x:v>
      </x:c>
      <x:c r="AJ717" s="17" t="n">
        <x:f>IF(AND($A717&gt;='Control Room'!$A$13,$A717&lt;'Control Room'!$A$13+'Control Room'!$B$13,'Process'!BQ2=1),1+('Control Room'!$C$13-1)*EXP(-0.5*(($A717-'Control Room'!$A$13-('Control Room'!$B$13-1)/2)/MAX(0.5,'Control Room'!$B$13/4))^2),1)*IF(AND($A717&gt;='Control Room'!$A$14,$A717&lt;'Control Room'!$A$14+'Control Room'!$B$14,'Process'!BQ3=1),1+('Control Room'!$C$14-1)*EXP(-0.5*(($A717-'Control Room'!$A$14-('Control Room'!$B$14-1)/2)/MAX(0.5,'Control Room'!$B$14/4))^2),1)*IF(AND($A717&gt;='Control Room'!$A$15,$A717&lt;'Control Room'!$A$15+'Control Room'!$B$15,'Process'!BQ4=1),1+('Control Room'!$C$15-1)*EXP(-0.5*(($A717-'Control Room'!$A$15-('Control Room'!$B$15-1)/2)/MAX(0.5,'Control Room'!$B$15/4))^2),1)*IF(AND($A717&gt;='Control Room'!$A$16,$A717&lt;'Control Room'!$A$16+'Control Room'!$B$16,'Process'!BQ5=1),1+('Control Room'!$C$16-1)*EXP(-0.5*(($A717-'Control Room'!$A$16-('Control Room'!$B$16-1)/2)/MAX(0.5,'Control Room'!$B$16/4))^2),1)</x:f>
        <x:v>1</x:v>
      </x:c>
      <x:c r="AK717" s="9" t="n">
        <x:f>MOD(AL716*16807,2147483647)</x:f>
        <x:v>112730341</x:v>
      </x:c>
      <x:c r="AL717" s="9" t="n">
        <x:f>MOD(AK717*16807,2147483647)</x:f>
        <x:v>578264533</x:v>
      </x:c>
      <x:c r="AM717" s="17" t="n">
        <x:f>IF('Control Room'!$B$5="Normal",'Control Room'!$B$7+'Control Room'!$D$7*SQRT(-2*LN(MAX(0.000000000001,AK717/2147483647)))*COS(2*PI()*AL717/2147483647),'Control Room'!$B$8+('Control Room'!$D$8-'Control Room'!$B$8)*AK717/2147483647)</x:f>
        <x:v>973.6018968148642</x:v>
      </x:c>
      <x:c r="AN717" s="17" t="n">
        <x:f>IF('Control Room'!$B$5="Normal",'Control Room'!$B$7,('Control Room'!$B$8+'Control Room'!$D$8)/2)+'Control Room'!$B$9*(AN716-IF('Control Room'!$B$5="Normal",'Control Room'!$B$7,('Control Room'!$B$8+'Control Room'!$D$8)/2))+SQRT(1-'Control Room'!$B$9^2)*(AM717-IF('Control Room'!$B$5="Normal",'Control Room'!$B$7,('Control Room'!$B$8+'Control Room'!$D$8)/2))</x:f>
        <x:v>1027.0510019564206</x:v>
      </x:c>
      <x:c r="AO717" s="17" t="n">
        <x:f>IF(AND($A717&gt;='Control Room'!$A$13,$A717&lt;'Control Room'!$A$13+'Control Room'!$B$13,'Process'!BR2=1),1+('Control Room'!$C$13-1)*EXP(-0.5*(($A717-'Control Room'!$A$13-('Control Room'!$B$13-1)/2)/MAX(0.5,'Control Room'!$B$13/4))^2),1)*IF(AND($A717&gt;='Control Room'!$A$14,$A717&lt;'Control Room'!$A$14+'Control Room'!$B$14,'Process'!BR3=1),1+('Control Room'!$C$14-1)*EXP(-0.5*(($A717-'Control Room'!$A$14-('Control Room'!$B$14-1)/2)/MAX(0.5,'Control Room'!$B$14/4))^2),1)*IF(AND($A717&gt;='Control Room'!$A$15,$A717&lt;'Control Room'!$A$15+'Control Room'!$B$15,'Process'!BR4=1),1+('Control Room'!$C$15-1)*EXP(-0.5*(($A717-'Control Room'!$A$15-('Control Room'!$B$15-1)/2)/MAX(0.5,'Control Room'!$B$15/4))^2),1)*IF(AND($A717&gt;='Control Room'!$A$16,$A717&lt;'Control Room'!$A$16+'Control Room'!$B$16,'Process'!BR5=1),1+('Control Room'!$C$16-1)*EXP(-0.5*(($A717-'Control Room'!$A$16-('Control Room'!$B$16-1)/2)/MAX(0.5,'Control Room'!$B$16/4))^2),1)</x:f>
        <x:v>1</x:v>
      </x:c>
      <x:c r="AP717" s="9" t="n">
        <x:f>MOD(AQ716*16807,2147483647)</x:f>
        <x:v>245368061</x:v>
      </x:c>
      <x:c r="AQ717" s="9" t="n">
        <x:f>MOD(AP717*16807,2147483647)</x:f>
        <x:v>732398987</x:v>
      </x:c>
      <x:c r="AR717" s="17" t="n">
        <x:f>IF('Control Room'!$B$5="Normal",'Control Room'!$B$7+'Control Room'!$D$7*SQRT(-2*LN(MAX(0.000000000001,AP717/2147483647)))*COS(2*PI()*AQ717/2147483647),'Control Room'!$B$8+('Control Room'!$D$8-'Control Room'!$B$8)*AP717/2147483647)</x:f>
        <x:v>898.5101711062994</x:v>
      </x:c>
      <x:c r="AS717" s="17" t="n">
        <x:f>IF('Control Room'!$B$5="Normal",'Control Room'!$B$7,('Control Room'!$B$8+'Control Room'!$D$8)/2)+'Control Room'!$B$9*(AS716-IF('Control Room'!$B$5="Normal",'Control Room'!$B$7,('Control Room'!$B$8+'Control Room'!$D$8)/2))+SQRT(1-'Control Room'!$B$9^2)*(AR717-IF('Control Room'!$B$5="Normal",'Control Room'!$B$7,('Control Room'!$B$8+'Control Room'!$D$8)/2))</x:f>
        <x:v>953.4343972778763</x:v>
      </x:c>
      <x:c r="AT717" s="17" t="n">
        <x:f>IF(AND($A717&gt;='Control Room'!$A$13,$A717&lt;'Control Room'!$A$13+'Control Room'!$B$13,'Process'!BS2=1),1+('Control Room'!$C$13-1)*EXP(-0.5*(($A717-'Control Room'!$A$13-('Control Room'!$B$13-1)/2)/MAX(0.5,'Control Room'!$B$13/4))^2),1)*IF(AND($A717&gt;='Control Room'!$A$14,$A717&lt;'Control Room'!$A$14+'Control Room'!$B$14,'Process'!BS3=1),1+('Control Room'!$C$14-1)*EXP(-0.5*(($A717-'Control Room'!$A$14-('Control Room'!$B$14-1)/2)/MAX(0.5,'Control Room'!$B$14/4))^2),1)*IF(AND($A717&gt;='Control Room'!$A$15,$A717&lt;'Control Room'!$A$15+'Control Room'!$B$15,'Process'!BS4=1),1+('Control Room'!$C$15-1)*EXP(-0.5*(($A717-'Control Room'!$A$15-('Control Room'!$B$15-1)/2)/MAX(0.5,'Control Room'!$B$15/4))^2),1)*IF(AND($A717&gt;='Control Room'!$A$16,$A717&lt;'Control Room'!$A$16+'Control Room'!$B$16,'Process'!BS5=1),1+('Control Room'!$C$16-1)*EXP(-0.5*(($A717-'Control Room'!$A$16-('Control Room'!$B$16-1)/2)/MAX(0.5,'Control Room'!$B$16/4))^2),1)</x:f>
        <x:v>1</x:v>
      </x:c>
      <x:c r="AU717" s="9" t="n">
        <x:f>MOD(AV716*16807,2147483647)</x:f>
        <x:v>378005781</x:v>
      </x:c>
      <x:c r="AV717" s="9" t="n">
        <x:f>MOD(AU717*16807,2147483647)</x:f>
        <x:v>886533441</x:v>
      </x:c>
      <x:c r="AW717" s="17" t="n">
        <x:f>IF('Control Room'!$B$5="Normal",'Control Room'!$B$7+'Control Room'!$D$7*SQRT(-2*LN(MAX(0.000000000001,AU717/2147483647)))*COS(2*PI()*AV717/2147483647),'Control Room'!$B$8+('Control Room'!$D$8-'Control Room'!$B$8)*AU717/2147483647)</x:f>
        <x:v>856.7871200518929</x:v>
      </x:c>
      <x:c r="AX717" s="17" t="n">
        <x:f>IF('Control Room'!$B$5="Normal",'Control Room'!$B$7,('Control Room'!$B$8+'Control Room'!$D$8)/2)+'Control Room'!$B$9*(AX716-IF('Control Room'!$B$5="Normal",'Control Room'!$B$7,('Control Room'!$B$8+'Control Room'!$D$8)/2))+SQRT(1-'Control Room'!$B$9^2)*(AW717-IF('Control Room'!$B$5="Normal",'Control Room'!$B$7,('Control Room'!$B$8+'Control Room'!$D$8)/2))</x:f>
        <x:v>996.957086009485</x:v>
      </x:c>
      <x:c r="AY717" s="17" t="n">
        <x:f>IF(AND($A717&gt;='Control Room'!$A$13,$A717&lt;'Control Room'!$A$13+'Control Room'!$B$13,'Process'!BT2=1),1+('Control Room'!$C$13-1)*EXP(-0.5*(($A717-'Control Room'!$A$13-('Control Room'!$B$13-1)/2)/MAX(0.5,'Control Room'!$B$13/4))^2),1)*IF(AND($A717&gt;='Control Room'!$A$14,$A717&lt;'Control Room'!$A$14+'Control Room'!$B$14,'Process'!BT3=1),1+('Control Room'!$C$14-1)*EXP(-0.5*(($A717-'Control Room'!$A$14-('Control Room'!$B$14-1)/2)/MAX(0.5,'Control Room'!$B$14/4))^2),1)*IF(AND($A717&gt;='Control Room'!$A$15,$A717&lt;'Control Room'!$A$15+'Control Room'!$B$15,'Process'!BT4=1),1+('Control Room'!$C$15-1)*EXP(-0.5*(($A717-'Control Room'!$A$15-('Control Room'!$B$15-1)/2)/MAX(0.5,'Control Room'!$B$15/4))^2),1)*IF(AND($A717&gt;='Control Room'!$A$16,$A717&lt;'Control Room'!$A$16+'Control Room'!$B$16,'Process'!BT5=1),1+('Control Room'!$C$16-1)*EXP(-0.5*(($A717-'Control Room'!$A$16-('Control Room'!$B$16-1)/2)/MAX(0.5,'Control Room'!$B$16/4))^2),1)</x:f>
        <x:v>1</x:v>
      </x:c>
      <x:c r="AZ717" s="9" t="n">
        <x:f>MOD(BA716*16807,2147483647)</x:f>
        <x:v>510643501</x:v>
      </x:c>
      <x:c r="BA717" s="9" t="n">
        <x:f>MOD(AZ717*16807,2147483647)</x:f>
        <x:v>1040667895</x:v>
      </x:c>
      <x:c r="BB717" s="17" t="n">
        <x:f>IF('Control Room'!$B$5="Normal",'Control Room'!$B$7+'Control Room'!$D$7*SQRT(-2*LN(MAX(0.000000000001,AZ717/2147483647)))*COS(2*PI()*BA717/2147483647),'Control Room'!$B$8+('Control Room'!$D$8-'Control Room'!$B$8)*AZ717/2147483647)</x:f>
        <x:v>848.1706831995317</x:v>
      </x:c>
      <x:c r="BC717" s="17" t="n">
        <x:f>IF('Control Room'!$B$5="Normal",'Control Room'!$B$7,('Control Room'!$B$8+'Control Room'!$D$8)/2)+'Control Room'!$B$9*(BC716-IF('Control Room'!$B$5="Normal",'Control Room'!$B$7,('Control Room'!$B$8+'Control Room'!$D$8)/2))+SQRT(1-'Control Room'!$B$9^2)*(BB717-IF('Control Room'!$B$5="Normal",'Control Room'!$B$7,('Control Room'!$B$8+'Control Room'!$D$8)/2))</x:f>
        <x:v>1046.3275780513588</x:v>
      </x:c>
      <x:c r="BD717" s="17" t="n">
        <x:f>IF(AND($A717&gt;='Control Room'!$A$13,$A717&lt;'Control Room'!$A$13+'Control Room'!$B$13,'Process'!BU2=1),1+('Control Room'!$C$13-1)*EXP(-0.5*(($A717-'Control Room'!$A$13-('Control Room'!$B$13-1)/2)/MAX(0.5,'Control Room'!$B$13/4))^2),1)*IF(AND($A717&gt;='Control Room'!$A$14,$A717&lt;'Control Room'!$A$14+'Control Room'!$B$14,'Process'!BU3=1),1+('Control Room'!$C$14-1)*EXP(-0.5*(($A717-'Control Room'!$A$14-('Control Room'!$B$14-1)/2)/MAX(0.5,'Control Room'!$B$14/4))^2),1)*IF(AND($A717&gt;='Control Room'!$A$15,$A717&lt;'Control Room'!$A$15+'Control Room'!$B$15,'Process'!BU4=1),1+('Control Room'!$C$15-1)*EXP(-0.5*(($A717-'Control Room'!$A$15-('Control Room'!$B$15-1)/2)/MAX(0.5,'Control Room'!$B$15/4))^2),1)*IF(AND($A717&gt;='Control Room'!$A$16,$A717&lt;'Control Room'!$A$16+'Control Room'!$B$16,'Process'!BU5=1),1+('Control Room'!$C$16-1)*EXP(-0.5*(($A717-'Control Room'!$A$16-('Control Room'!$B$16-1)/2)/MAX(0.5,'Control Room'!$B$16/4))^2),1)</x:f>
        <x:v>1</x:v>
      </x:c>
      <x:c r="BE717" s="9" t="n">
        <x:f>MOD(BF716*16807,2147483647)</x:f>
        <x:v>643281221</x:v>
      </x:c>
      <x:c r="BF717" s="9" t="n">
        <x:f>MOD(BE717*16807,2147483647)</x:f>
        <x:v>1194802349</x:v>
      </x:c>
      <x:c r="BG717" s="17" t="n">
        <x:f>IF('Control Room'!$B$5="Normal",'Control Room'!$B$7+'Control Room'!$D$7*SQRT(-2*LN(MAX(0.000000000001,BE717/2147483647)))*COS(2*PI()*BF717/2147483647),'Control Room'!$B$8+('Control Room'!$D$8-'Control Room'!$B$8)*BE717/2147483647)</x:f>
        <x:v>868.9301006712726</x:v>
      </x:c>
      <x:c r="BH717" s="17" t="n">
        <x:f>IF('Control Room'!$B$5="Normal",'Control Room'!$B$7,('Control Room'!$B$8+'Control Room'!$D$8)/2)+'Control Room'!$B$9*(BH716-IF('Control Room'!$B$5="Normal",'Control Room'!$B$7,('Control Room'!$B$8+'Control Room'!$D$8)/2))+SQRT(1-'Control Room'!$B$9^2)*(BG717-IF('Control Room'!$B$5="Normal",'Control Room'!$B$7,('Control Room'!$B$8+'Control Room'!$D$8)/2))</x:f>
        <x:v>919.5674269230992</x:v>
      </x:c>
      <x:c r="BI717" s="17" t="n">
        <x:f>IF(AND($A717&gt;='Control Room'!$A$13,$A717&lt;'Control Room'!$A$13+'Control Room'!$B$13,'Process'!BV2=1),1+('Control Room'!$C$13-1)*EXP(-0.5*(($A717-'Control Room'!$A$13-('Control Room'!$B$13-1)/2)/MAX(0.5,'Control Room'!$B$13/4))^2),1)*IF(AND($A717&gt;='Control Room'!$A$14,$A717&lt;'Control Room'!$A$14+'Control Room'!$B$14,'Process'!BV3=1),1+('Control Room'!$C$14-1)*EXP(-0.5*(($A717-'Control Room'!$A$14-('Control Room'!$B$14-1)/2)/MAX(0.5,'Control Room'!$B$14/4))^2),1)*IF(AND($A717&gt;='Control Room'!$A$15,$A717&lt;'Control Room'!$A$15+'Control Room'!$B$15,'Process'!BV4=1),1+('Control Room'!$C$15-1)*EXP(-0.5*(($A717-'Control Room'!$A$15-('Control Room'!$B$15-1)/2)/MAX(0.5,'Control Room'!$B$15/4))^2),1)*IF(AND($A717&gt;='Control Room'!$A$16,$A717&lt;'Control Room'!$A$16+'Control Room'!$B$16,'Process'!BV5=1),1+('Control Room'!$C$16-1)*EXP(-0.5*(($A717-'Control Room'!$A$16-('Control Room'!$B$16-1)/2)/MAX(0.5,'Control Room'!$B$16/4))^2),1)</x:f>
        <x:v>1</x:v>
      </x:c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Z717" t="str">
        <x:f>IF('Data'!A717="","",TEXT('Data'!A717,"mm-dd"))</x:f>
      </x:c>
    </x:row>
    <x:row r="718" ht="21" customHeight="1">
      <x:c r="A718" s="15" t="n">
        <x:f>'Control Room'!$B$1+716</x:f>
        <x:v>73707</x:v>
      </x:c>
      <x:c r="B718" s="9" t="n">
        <x:f>MOD(C717*16807,2147483647)</x:f>
        <x:v>1116040078</x:v>
      </x:c>
      <x:c r="C718" s="9" t="n">
        <x:f>MOD(B718*16807,2147483647)</x:f>
        <x:v>1163418048</x:v>
      </x:c>
      <x:c r="D718" s="17" t="n">
        <x:f>IF('Control Room'!$B$5="Normal",'Control Room'!$B$7+'Control Room'!$D$7*SQRT(-2*LN(MAX(0.000000000001,B718/2147483647)))*COS(2*PI()*C718/2147483647),'Control Room'!$B$8+('Control Room'!$D$8-'Control Room'!$B$8)*B718/2147483647)</x:f>
        <x:v>900.5529236083164</x:v>
      </x:c>
      <x:c r="E718" s="17" t="n">
        <x:f>IF('Control Room'!$B$5="Normal",'Control Room'!$B$7,('Control Room'!$B$8+'Control Room'!$D$8)/2)+'Control Room'!$B$9*(E717-IF('Control Room'!$B$5="Normal",'Control Room'!$B$7,('Control Room'!$B$8+'Control Room'!$D$8)/2))+SQRT(1-'Control Room'!$B$9^2)*(D718-IF('Control Room'!$B$5="Normal",'Control Room'!$B$7,('Control Room'!$B$8+'Control Room'!$D$8)/2))</x:f>
        <x:v>1011.8271981059742</x:v>
      </x:c>
      <x:c r="F718" s="17" t="n">
        <x:f>IF(AND($A718&gt;='Control Room'!$A$13,$A718&lt;'Control Room'!$A$13+'Control Room'!$B$13,'Process'!BK2=1),1+('Control Room'!$C$13-1)*EXP(-0.5*(($A718-'Control Room'!$A$13-('Control Room'!$B$13-1)/2)/MAX(0.5,'Control Room'!$B$13/4))^2),1)*IF(AND($A718&gt;='Control Room'!$A$14,$A718&lt;'Control Room'!$A$14+'Control Room'!$B$14,'Process'!BK3=1),1+('Control Room'!$C$14-1)*EXP(-0.5*(($A718-'Control Room'!$A$14-('Control Room'!$B$14-1)/2)/MAX(0.5,'Control Room'!$B$14/4))^2),1)*IF(AND($A718&gt;='Control Room'!$A$15,$A718&lt;'Control Room'!$A$15+'Control Room'!$B$15,'Process'!BK4=1),1+('Control Room'!$C$15-1)*EXP(-0.5*(($A718-'Control Room'!$A$15-('Control Room'!$B$15-1)/2)/MAX(0.5,'Control Room'!$B$15/4))^2),1)*IF(AND($A718&gt;='Control Room'!$A$16,$A718&lt;'Control Room'!$A$16+'Control Room'!$B$16,'Process'!BK5=1),1+('Control Room'!$C$16-1)*EXP(-0.5*(($A718-'Control Room'!$A$16-('Control Room'!$B$16-1)/2)/MAX(0.5,'Control Room'!$B$16/4))^2),1)</x:f>
        <x:v>1</x:v>
      </x:c>
      <x:c r="G718" s="9" t="n">
        <x:f>MOD(H717*16807,2147483647)</x:f>
        <x:v>1788530174</x:v>
      </x:c>
      <x:c r="H718" s="9" t="n">
        <x:f>MOD(G718*16807,2147483647)</x:f>
        <x:v>1498027359</x:v>
      </x:c>
      <x:c r="I718" s="17" t="n">
        <x:f>IF('Control Room'!$B$5="Normal",'Control Room'!$B$7+'Control Room'!$D$7*SQRT(-2*LN(MAX(0.000000000001,G718/2147483647)))*COS(2*PI()*H718/2147483647),'Control Room'!$B$8+('Control Room'!$D$8-'Control Room'!$B$8)*G718/2147483647)</x:f>
        <x:v>982.3917284134693</x:v>
      </x:c>
      <x:c r="J718" s="17" t="n">
        <x:f>IF('Control Room'!$B$5="Normal",'Control Room'!$B$7,('Control Room'!$B$8+'Control Room'!$D$8)/2)+'Control Room'!$B$9*(J717-IF('Control Room'!$B$5="Normal",'Control Room'!$B$7,('Control Room'!$B$8+'Control Room'!$D$8)/2))+SQRT(1-'Control Room'!$B$9^2)*(I718-IF('Control Room'!$B$5="Normal",'Control Room'!$B$7,('Control Room'!$B$8+'Control Room'!$D$8)/2))</x:f>
        <x:v>999.5581316392909</x:v>
      </x:c>
      <x:c r="K718" s="17" t="n">
        <x:f>IF(AND($A718&gt;='Control Room'!$A$13,$A718&lt;'Control Room'!$A$13+'Control Room'!$B$13,'Process'!BL2=1),1+('Control Room'!$C$13-1)*EXP(-0.5*(($A718-'Control Room'!$A$13-('Control Room'!$B$13-1)/2)/MAX(0.5,'Control Room'!$B$13/4))^2),1)*IF(AND($A718&gt;='Control Room'!$A$14,$A718&lt;'Control Room'!$A$14+'Control Room'!$B$14,'Process'!BL3=1),1+('Control Room'!$C$14-1)*EXP(-0.5*(($A718-'Control Room'!$A$14-('Control Room'!$B$14-1)/2)/MAX(0.5,'Control Room'!$B$14/4))^2),1)*IF(AND($A718&gt;='Control Room'!$A$15,$A718&lt;'Control Room'!$A$15+'Control Room'!$B$15,'Process'!BL4=1),1+('Control Room'!$C$15-1)*EXP(-0.5*(($A718-'Control Room'!$A$15-('Control Room'!$B$15-1)/2)/MAX(0.5,'Control Room'!$B$15/4))^2),1)*IF(AND($A718&gt;='Control Room'!$A$16,$A718&lt;'Control Room'!$A$16+'Control Room'!$B$16,'Process'!BL5=1),1+('Control Room'!$C$16-1)*EXP(-0.5*(($A718-'Control Room'!$A$16-('Control Room'!$B$16-1)/2)/MAX(0.5,'Control Room'!$B$16/4))^2),1)</x:f>
        <x:v>1</x:v>
      </x:c>
      <x:c r="L718" s="9" t="n">
        <x:f>MOD(M717*16807,2147483647)</x:f>
        <x:v>313536623</x:v>
      </x:c>
      <x:c r="M718" s="9" t="n">
        <x:f>MOD(L718*16807,2147483647)</x:f>
        <x:v>1832636670</x:v>
      </x:c>
      <x:c r="N718" s="17" t="n">
        <x:f>IF('Control Room'!$B$5="Normal",'Control Room'!$B$7+'Control Room'!$D$7*SQRT(-2*LN(MAX(0.000000000001,L718/2147483647)))*COS(2*PI()*M718/2147483647),'Control Room'!$B$8+('Control Room'!$D$8-'Control Room'!$B$8)*L718/2147483647)</x:f>
        <x:v>1106.7921090224004</x:v>
      </x:c>
      <x:c r="O718" s="17" t="n">
        <x:f>IF('Control Room'!$B$5="Normal",'Control Room'!$B$7,('Control Room'!$B$8+'Control Room'!$D$8)/2)+'Control Room'!$B$9*(O717-IF('Control Room'!$B$5="Normal",'Control Room'!$B$7,('Control Room'!$B$8+'Control Room'!$D$8)/2))+SQRT(1-'Control Room'!$B$9^2)*(N718-IF('Control Room'!$B$5="Normal",'Control Room'!$B$7,('Control Room'!$B$8+'Control Room'!$D$8)/2))</x:f>
        <x:v>1068.504604351831</x:v>
      </x:c>
      <x:c r="P718" s="17" t="n">
        <x:f>IF(AND($A718&gt;='Control Room'!$A$13,$A718&lt;'Control Room'!$A$13+'Control Room'!$B$13,'Process'!BM2=1),1+('Control Room'!$C$13-1)*EXP(-0.5*(($A718-'Control Room'!$A$13-('Control Room'!$B$13-1)/2)/MAX(0.5,'Control Room'!$B$13/4))^2),1)*IF(AND($A718&gt;='Control Room'!$A$14,$A718&lt;'Control Room'!$A$14+'Control Room'!$B$14,'Process'!BM3=1),1+('Control Room'!$C$14-1)*EXP(-0.5*(($A718-'Control Room'!$A$14-('Control Room'!$B$14-1)/2)/MAX(0.5,'Control Room'!$B$14/4))^2),1)*IF(AND($A718&gt;='Control Room'!$A$15,$A718&lt;'Control Room'!$A$15+'Control Room'!$B$15,'Process'!BM4=1),1+('Control Room'!$C$15-1)*EXP(-0.5*(($A718-'Control Room'!$A$15-('Control Room'!$B$15-1)/2)/MAX(0.5,'Control Room'!$B$15/4))^2),1)*IF(AND($A718&gt;='Control Room'!$A$16,$A718&lt;'Control Room'!$A$16+'Control Room'!$B$16,'Process'!BM5=1),1+('Control Room'!$C$16-1)*EXP(-0.5*(($A718-'Control Room'!$A$16-('Control Room'!$B$16-1)/2)/MAX(0.5,'Control Room'!$B$16/4))^2),1)</x:f>
        <x:v>1</x:v>
      </x:c>
      <x:c r="Q718" s="9" t="n">
        <x:f>MOD(R717*16807,2147483647)</x:f>
        <x:v>986026719</x:v>
      </x:c>
      <x:c r="R718" s="9" t="n">
        <x:f>MOD(Q718*16807,2147483647)</x:f>
        <x:v>19762334</x:v>
      </x:c>
      <x:c r="S718" s="17" t="n">
        <x:f>IF('Control Room'!$B$5="Normal",'Control Room'!$B$7+'Control Room'!$D$7*SQRT(-2*LN(MAX(0.000000000001,Q718/2147483647)))*COS(2*PI()*R718/2147483647),'Control Room'!$B$8+('Control Room'!$D$8-'Control Room'!$B$8)*Q718/2147483647)</x:f>
        <x:v>1112.104684875002</x:v>
      </x:c>
      <x:c r="T718" s="17" t="n">
        <x:f>IF('Control Room'!$B$5="Normal",'Control Room'!$B$7,('Control Room'!$B$8+'Control Room'!$D$8)/2)+'Control Room'!$B$9*(T717-IF('Control Room'!$B$5="Normal",'Control Room'!$B$7,('Control Room'!$B$8+'Control Room'!$D$8)/2))+SQRT(1-'Control Room'!$B$9^2)*(S718-IF('Control Room'!$B$5="Normal",'Control Room'!$B$7,('Control Room'!$B$8+'Control Room'!$D$8)/2))</x:f>
        <x:v>1071.2184184394955</x:v>
      </x:c>
      <x:c r="U718" s="17" t="n">
        <x:f>IF(AND($A718&gt;='Control Room'!$A$13,$A718&lt;'Control Room'!$A$13+'Control Room'!$B$13,'Process'!BN2=1),1+('Control Room'!$C$13-1)*EXP(-0.5*(($A718-'Control Room'!$A$13-('Control Room'!$B$13-1)/2)/MAX(0.5,'Control Room'!$B$13/4))^2),1)*IF(AND($A718&gt;='Control Room'!$A$14,$A718&lt;'Control Room'!$A$14+'Control Room'!$B$14,'Process'!BN3=1),1+('Control Room'!$C$14-1)*EXP(-0.5*(($A718-'Control Room'!$A$14-('Control Room'!$B$14-1)/2)/MAX(0.5,'Control Room'!$B$14/4))^2),1)*IF(AND($A718&gt;='Control Room'!$A$15,$A718&lt;'Control Room'!$A$15+'Control Room'!$B$15,'Process'!BN4=1),1+('Control Room'!$C$15-1)*EXP(-0.5*(($A718-'Control Room'!$A$15-('Control Room'!$B$15-1)/2)/MAX(0.5,'Control Room'!$B$15/4))^2),1)*IF(AND($A718&gt;='Control Room'!$A$16,$A718&lt;'Control Room'!$A$16+'Control Room'!$B$16,'Process'!BN5=1),1+('Control Room'!$C$16-1)*EXP(-0.5*(($A718-'Control Room'!$A$16-('Control Room'!$B$16-1)/2)/MAX(0.5,'Control Room'!$B$16/4))^2),1)</x:f>
        <x:v>1</x:v>
      </x:c>
      <x:c r="V718" s="9" t="n">
        <x:f>MOD(W717*16807,2147483647)</x:f>
        <x:v>1658516815</x:v>
      </x:c>
      <x:c r="W718" s="9" t="n">
        <x:f>MOD(V718*16807,2147483647)</x:f>
        <x:v>354371645</x:v>
      </x:c>
      <x:c r="X718" s="17" t="n">
        <x:f>IF('Control Room'!$B$5="Normal",'Control Room'!$B$7+'Control Room'!$D$7*SQRT(-2*LN(MAX(0.000000000001,V718/2147483647)))*COS(2*PI()*W718/2147483647),'Control Room'!$B$8+('Control Room'!$D$8-'Control Room'!$B$8)*V718/2147483647)</x:f>
        <x:v>1032.927219110952</x:v>
      </x:c>
      <x:c r="Y718" s="17" t="n">
        <x:f>IF('Control Room'!$B$5="Normal",'Control Room'!$B$7,('Control Room'!$B$8+'Control Room'!$D$8)/2)+'Control Room'!$B$9*(Y717-IF('Control Room'!$B$5="Normal",'Control Room'!$B$7,('Control Room'!$B$8+'Control Room'!$D$8)/2))+SQRT(1-'Control Room'!$B$9^2)*(X718-IF('Control Room'!$B$5="Normal",'Control Room'!$B$7,('Control Room'!$B$8+'Control Room'!$D$8)/2))</x:f>
        <x:v>1094.7735358628593</x:v>
      </x:c>
      <x:c r="Z718" s="17" t="n">
        <x:f>IF(AND($A718&gt;='Control Room'!$A$13,$A718&lt;'Control Room'!$A$13+'Control Room'!$B$13,'Process'!BO2=1),1+('Control Room'!$C$13-1)*EXP(-0.5*(($A718-'Control Room'!$A$13-('Control Room'!$B$13-1)/2)/MAX(0.5,'Control Room'!$B$13/4))^2),1)*IF(AND($A718&gt;='Control Room'!$A$14,$A718&lt;'Control Room'!$A$14+'Control Room'!$B$14,'Process'!BO3=1),1+('Control Room'!$C$14-1)*EXP(-0.5*(($A718-'Control Room'!$A$14-('Control Room'!$B$14-1)/2)/MAX(0.5,'Control Room'!$B$14/4))^2),1)*IF(AND($A718&gt;='Control Room'!$A$15,$A718&lt;'Control Room'!$A$15+'Control Room'!$B$15,'Process'!BO4=1),1+('Control Room'!$C$15-1)*EXP(-0.5*(($A718-'Control Room'!$A$15-('Control Room'!$B$15-1)/2)/MAX(0.5,'Control Room'!$B$15/4))^2),1)*IF(AND($A718&gt;='Control Room'!$A$16,$A718&lt;'Control Room'!$A$16+'Control Room'!$B$16,'Process'!BO5=1),1+('Control Room'!$C$16-1)*EXP(-0.5*(($A718-'Control Room'!$A$16-('Control Room'!$B$16-1)/2)/MAX(0.5,'Control Room'!$B$16/4))^2),1)</x:f>
        <x:v>1</x:v>
      </x:c>
      <x:c r="AA718" s="9" t="n">
        <x:f>MOD(AB717*16807,2147483647)</x:f>
        <x:v>183523264</x:v>
      </x:c>
      <x:c r="AB718" s="9" t="n">
        <x:f>MOD(AA718*16807,2147483647)</x:f>
        <x:v>688980956</x:v>
      </x:c>
      <x:c r="AC718" s="17" t="n">
        <x:f>IF('Control Room'!$B$5="Normal",'Control Room'!$B$7+'Control Room'!$D$7*SQRT(-2*LN(MAX(0.000000000001,AA718/2147483647)))*COS(2*PI()*AB718/2147483647),'Control Room'!$B$8+('Control Room'!$D$8-'Control Room'!$B$8)*AA718/2147483647)</x:f>
        <x:v>914.064054936627</x:v>
      </x:c>
      <x:c r="AD718" s="17" t="n">
        <x:f>IF('Control Room'!$B$5="Normal",'Control Room'!$B$7,('Control Room'!$B$8+'Control Room'!$D$8)/2)+'Control Room'!$B$9*(AD717-IF('Control Room'!$B$5="Normal",'Control Room'!$B$7,('Control Room'!$B$8+'Control Room'!$D$8)/2))+SQRT(1-'Control Room'!$B$9^2)*(AC718-IF('Control Room'!$B$5="Normal",'Control Room'!$B$7,('Control Room'!$B$8+'Control Room'!$D$8)/2))</x:f>
        <x:v>963.6657596159889</x:v>
      </x:c>
      <x:c r="AE718" s="17" t="n">
        <x:f>IF(AND($A718&gt;='Control Room'!$A$13,$A718&lt;'Control Room'!$A$13+'Control Room'!$B$13,'Process'!BP2=1),1+('Control Room'!$C$13-1)*EXP(-0.5*(($A718-'Control Room'!$A$13-('Control Room'!$B$13-1)/2)/MAX(0.5,'Control Room'!$B$13/4))^2),1)*IF(AND($A718&gt;='Control Room'!$A$14,$A718&lt;'Control Room'!$A$14+'Control Room'!$B$14,'Process'!BP3=1),1+('Control Room'!$C$14-1)*EXP(-0.5*(($A718-'Control Room'!$A$14-('Control Room'!$B$14-1)/2)/MAX(0.5,'Control Room'!$B$14/4))^2),1)*IF(AND($A718&gt;='Control Room'!$A$15,$A718&lt;'Control Room'!$A$15+'Control Room'!$B$15,'Process'!BP4=1),1+('Control Room'!$C$15-1)*EXP(-0.5*(($A718-'Control Room'!$A$15-('Control Room'!$B$15-1)/2)/MAX(0.5,'Control Room'!$B$15/4))^2),1)*IF(AND($A718&gt;='Control Room'!$A$16,$A718&lt;'Control Room'!$A$16+'Control Room'!$B$16,'Process'!BP5=1),1+('Control Room'!$C$16-1)*EXP(-0.5*(($A718-'Control Room'!$A$16-('Control Room'!$B$16-1)/2)/MAX(0.5,'Control Room'!$B$16/4))^2),1)</x:f>
        <x:v>1</x:v>
      </x:c>
      <x:c r="AF718" s="9" t="n">
        <x:f>MOD(AG717*16807,2147483647)</x:f>
        <x:v>856013360</x:v>
      </x:c>
      <x:c r="AG718" s="9" t="n">
        <x:f>MOD(AF718*16807,2147483647)</x:f>
        <x:v>1023590267</x:v>
      </x:c>
      <x:c r="AH718" s="17" t="n">
        <x:f>IF('Control Room'!$B$5="Normal",'Control Room'!$B$7+'Control Room'!$D$7*SQRT(-2*LN(MAX(0.000000000001,AF718/2147483647)))*COS(2*PI()*AG718/2147483647),'Control Room'!$B$8+('Control Room'!$D$8-'Control Room'!$B$8)*AF718/2147483647)</x:f>
        <x:v>879.2453470995509</x:v>
      </x:c>
      <x:c r="AI718" s="17" t="n">
        <x:f>IF('Control Room'!$B$5="Normal",'Control Room'!$B$7,('Control Room'!$B$8+'Control Room'!$D$8)/2)+'Control Room'!$B$9*(AI717-IF('Control Room'!$B$5="Normal",'Control Room'!$B$7,('Control Room'!$B$8+'Control Room'!$D$8)/2))+SQRT(1-'Control Room'!$B$9^2)*(AH718-IF('Control Room'!$B$5="Normal",'Control Room'!$B$7,('Control Room'!$B$8+'Control Room'!$D$8)/2))</x:f>
        <x:v>853.9960161014767</x:v>
      </x:c>
      <x:c r="AJ718" s="17" t="n">
        <x:f>IF(AND($A718&gt;='Control Room'!$A$13,$A718&lt;'Control Room'!$A$13+'Control Room'!$B$13,'Process'!BQ2=1),1+('Control Room'!$C$13-1)*EXP(-0.5*(($A718-'Control Room'!$A$13-('Control Room'!$B$13-1)/2)/MAX(0.5,'Control Room'!$B$13/4))^2),1)*IF(AND($A718&gt;='Control Room'!$A$14,$A718&lt;'Control Room'!$A$14+'Control Room'!$B$14,'Process'!BQ3=1),1+('Control Room'!$C$14-1)*EXP(-0.5*(($A718-'Control Room'!$A$14-('Control Room'!$B$14-1)/2)/MAX(0.5,'Control Room'!$B$14/4))^2),1)*IF(AND($A718&gt;='Control Room'!$A$15,$A718&lt;'Control Room'!$A$15+'Control Room'!$B$15,'Process'!BQ4=1),1+('Control Room'!$C$15-1)*EXP(-0.5*(($A718-'Control Room'!$A$15-('Control Room'!$B$15-1)/2)/MAX(0.5,'Control Room'!$B$15/4))^2),1)*IF(AND($A718&gt;='Control Room'!$A$16,$A718&lt;'Control Room'!$A$16+'Control Room'!$B$16,'Process'!BQ5=1),1+('Control Room'!$C$16-1)*EXP(-0.5*(($A718-'Control Room'!$A$16-('Control Room'!$B$16-1)/2)/MAX(0.5,'Control Room'!$B$16/4))^2),1)</x:f>
        <x:v>1</x:v>
      </x:c>
      <x:c r="AK718" s="9" t="n">
        <x:f>MOD(AL717*16807,2147483647)</x:f>
        <x:v>1528503456</x:v>
      </x:c>
      <x:c r="AL718" s="9" t="n">
        <x:f>MOD(AK718*16807,2147483647)</x:f>
        <x:v>1358199578</x:v>
      </x:c>
      <x:c r="AM718" s="17" t="n">
        <x:f>IF('Control Room'!$B$5="Normal",'Control Room'!$B$7+'Control Room'!$D$7*SQRT(-2*LN(MAX(0.000000000001,AK718/2147483647)))*COS(2*PI()*AL718/2147483647),'Control Room'!$B$8+('Control Room'!$D$8-'Control Room'!$B$8)*AK718/2147483647)</x:f>
        <x:v>950.0377467660747</x:v>
      </x:c>
      <x:c r="AN718" s="17" t="n">
        <x:f>IF('Control Room'!$B$5="Normal",'Control Room'!$B$7,('Control Room'!$B$8+'Control Room'!$D$8)/2)+'Control Room'!$B$9*(AN717-IF('Control Room'!$B$5="Normal",'Control Room'!$B$7,('Control Room'!$B$8+'Control Room'!$D$8)/2))+SQRT(1-'Control Room'!$B$9^2)*(AM718-IF('Control Room'!$B$5="Normal",'Control Room'!$B$7,('Control Room'!$B$8+'Control Room'!$D$8)/2))</x:f>
        <x:v>989.8344269846091</x:v>
      </x:c>
      <x:c r="AO718" s="17" t="n">
        <x:f>IF(AND($A718&gt;='Control Room'!$A$13,$A718&lt;'Control Room'!$A$13+'Control Room'!$B$13,'Process'!BR2=1),1+('Control Room'!$C$13-1)*EXP(-0.5*(($A718-'Control Room'!$A$13-('Control Room'!$B$13-1)/2)/MAX(0.5,'Control Room'!$B$13/4))^2),1)*IF(AND($A718&gt;='Control Room'!$A$14,$A718&lt;'Control Room'!$A$14+'Control Room'!$B$14,'Process'!BR3=1),1+('Control Room'!$C$14-1)*EXP(-0.5*(($A718-'Control Room'!$A$14-('Control Room'!$B$14-1)/2)/MAX(0.5,'Control Room'!$B$14/4))^2),1)*IF(AND($A718&gt;='Control Room'!$A$15,$A718&lt;'Control Room'!$A$15+'Control Room'!$B$15,'Process'!BR4=1),1+('Control Room'!$C$15-1)*EXP(-0.5*(($A718-'Control Room'!$A$15-('Control Room'!$B$15-1)/2)/MAX(0.5,'Control Room'!$B$15/4))^2),1)*IF(AND($A718&gt;='Control Room'!$A$16,$A718&lt;'Control Room'!$A$16+'Control Room'!$B$16,'Process'!BR5=1),1+('Control Room'!$C$16-1)*EXP(-0.5*(($A718-'Control Room'!$A$16-('Control Room'!$B$16-1)/2)/MAX(0.5,'Control Room'!$B$16/4))^2),1)</x:f>
        <x:v>1</x:v>
      </x:c>
      <x:c r="AP718" s="9" t="n">
        <x:f>MOD(AQ717*16807,2147483647)</x:f>
        <x:v>53509905</x:v>
      </x:c>
      <x:c r="AQ718" s="9" t="n">
        <x:f>MOD(AP718*16807,2147483647)</x:f>
        <x:v>1692808889</x:v>
      </x:c>
      <x:c r="AR718" s="17" t="n">
        <x:f>IF('Control Room'!$B$5="Normal",'Control Room'!$B$7+'Control Room'!$D$7*SQRT(-2*LN(MAX(0.000000000001,AP718/2147483647)))*COS(2*PI()*AQ718/2147483647),'Control Room'!$B$8+('Control Room'!$D$8-'Control Room'!$B$8)*AP718/2147483647)</x:f>
        <x:v>1058.2513899527432</x:v>
      </x:c>
      <x:c r="AS718" s="17" t="n">
        <x:f>IF('Control Room'!$B$5="Normal",'Control Room'!$B$7,('Control Room'!$B$8+'Control Room'!$D$8)/2)+'Control Room'!$B$9*(AS717-IF('Control Room'!$B$5="Normal",'Control Room'!$B$7,('Control Room'!$B$8+'Control Room'!$D$8)/2))+SQRT(1-'Control Room'!$B$9^2)*(AR718-IF('Control Room'!$B$5="Normal",'Control Room'!$B$7,('Control Room'!$B$8+'Control Room'!$D$8)/2))</x:f>
        <x:v>1000.131356364583</x:v>
      </x:c>
      <x:c r="AT718" s="17" t="n">
        <x:f>IF(AND($A718&gt;='Control Room'!$A$13,$A718&lt;'Control Room'!$A$13+'Control Room'!$B$13,'Process'!BS2=1),1+('Control Room'!$C$13-1)*EXP(-0.5*(($A718-'Control Room'!$A$13-('Control Room'!$B$13-1)/2)/MAX(0.5,'Control Room'!$B$13/4))^2),1)*IF(AND($A718&gt;='Control Room'!$A$14,$A718&lt;'Control Room'!$A$14+'Control Room'!$B$14,'Process'!BS3=1),1+('Control Room'!$C$14-1)*EXP(-0.5*(($A718-'Control Room'!$A$14-('Control Room'!$B$14-1)/2)/MAX(0.5,'Control Room'!$B$14/4))^2),1)*IF(AND($A718&gt;='Control Room'!$A$15,$A718&lt;'Control Room'!$A$15+'Control Room'!$B$15,'Process'!BS4=1),1+('Control Room'!$C$15-1)*EXP(-0.5*(($A718-'Control Room'!$A$15-('Control Room'!$B$15-1)/2)/MAX(0.5,'Control Room'!$B$15/4))^2),1)*IF(AND($A718&gt;='Control Room'!$A$16,$A718&lt;'Control Room'!$A$16+'Control Room'!$B$16,'Process'!BS5=1),1+('Control Room'!$C$16-1)*EXP(-0.5*(($A718-'Control Room'!$A$16-('Control Room'!$B$16-1)/2)/MAX(0.5,'Control Room'!$B$16/4))^2),1)</x:f>
        <x:v>1</x:v>
      </x:c>
      <x:c r="AU718" s="9" t="n">
        <x:f>MOD(AV717*16807,2147483647)</x:f>
        <x:v>726000001</x:v>
      </x:c>
      <x:c r="AV718" s="9" t="n">
        <x:f>MOD(AU718*16807,2147483647)</x:f>
        <x:v>2027418200</x:v>
      </x:c>
      <x:c r="AW718" s="17" t="n">
        <x:f>IF('Control Room'!$B$5="Normal",'Control Room'!$B$7+'Control Room'!$D$7*SQRT(-2*LN(MAX(0.000000000001,AU718/2147483647)))*COS(2*PI()*AV718/2147483647),'Control Room'!$B$8+('Control Room'!$D$8-'Control Room'!$B$8)*AU718/2147483647)</x:f>
        <x:v>1124.4530163851878</x:v>
      </x:c>
      <x:c r="AX718" s="17" t="n">
        <x:f>IF('Control Room'!$B$5="Normal",'Control Room'!$B$7,('Control Room'!$B$8+'Control Room'!$D$8)/2)+'Control Room'!$B$9*(AX717-IF('Control Room'!$B$5="Normal",'Control Room'!$B$7,('Control Room'!$B$8+'Control Room'!$D$8)/2))+SQRT(1-'Control Room'!$B$9^2)*(AW718-IF('Control Room'!$B$5="Normal",'Control Room'!$B$7,('Control Room'!$B$8+'Control Room'!$D$8)/2))</x:f>
        <x:v>1075.5066751826273</x:v>
      </x:c>
      <x:c r="AY718" s="17" t="n">
        <x:f>IF(AND($A718&gt;='Control Room'!$A$13,$A718&lt;'Control Room'!$A$13+'Control Room'!$B$13,'Process'!BT2=1),1+('Control Room'!$C$13-1)*EXP(-0.5*(($A718-'Control Room'!$A$13-('Control Room'!$B$13-1)/2)/MAX(0.5,'Control Room'!$B$13/4))^2),1)*IF(AND($A718&gt;='Control Room'!$A$14,$A718&lt;'Control Room'!$A$14+'Control Room'!$B$14,'Process'!BT3=1),1+('Control Room'!$C$14-1)*EXP(-0.5*(($A718-'Control Room'!$A$14-('Control Room'!$B$14-1)/2)/MAX(0.5,'Control Room'!$B$14/4))^2),1)*IF(AND($A718&gt;='Control Room'!$A$15,$A718&lt;'Control Room'!$A$15+'Control Room'!$B$15,'Process'!BT4=1),1+('Control Room'!$C$15-1)*EXP(-0.5*(($A718-'Control Room'!$A$15-('Control Room'!$B$15-1)/2)/MAX(0.5,'Control Room'!$B$15/4))^2),1)*IF(AND($A718&gt;='Control Room'!$A$16,$A718&lt;'Control Room'!$A$16+'Control Room'!$B$16,'Process'!BT5=1),1+('Control Room'!$C$16-1)*EXP(-0.5*(($A718-'Control Room'!$A$16-('Control Room'!$B$16-1)/2)/MAX(0.5,'Control Room'!$B$16/4))^2),1)</x:f>
        <x:v>1</x:v>
      </x:c>
      <x:c r="AZ718" s="9" t="n">
        <x:f>MOD(BA717*16807,2147483647)</x:f>
        <x:v>1398490097</x:v>
      </x:c>
      <x:c r="BA718" s="9" t="n">
        <x:f>MOD(AZ718*16807,2147483647)</x:f>
        <x:v>214543864</x:v>
      </x:c>
      <x:c r="BB718" s="17" t="n">
        <x:f>IF('Control Room'!$B$5="Normal",'Control Room'!$B$7+'Control Room'!$D$7*SQRT(-2*LN(MAX(0.000000000001,AZ718/2147483647)))*COS(2*PI()*BA718/2147483647),'Control Room'!$B$8+('Control Room'!$D$8-'Control Room'!$B$8)*AZ718/2147483647)</x:f>
        <x:v>1067.4658004618373</x:v>
      </x:c>
      <x:c r="BC718" s="17" t="n">
        <x:f>IF('Control Room'!$B$5="Normal",'Control Room'!$B$7,('Control Room'!$B$8+'Control Room'!$D$8)/2)+'Control Room'!$B$9*(BC717-IF('Control Room'!$B$5="Normal",'Control Room'!$B$7,('Control Room'!$B$8+'Control Room'!$D$8)/2))+SQRT(1-'Control Room'!$B$9^2)*(BB718-IF('Control Room'!$B$5="Normal",'Control Room'!$B$7,('Control Room'!$B$8+'Control Room'!$D$8)/2))</x:f>
        <x:v>1078.3542266970308</x:v>
      </x:c>
      <x:c r="BD718" s="17" t="n">
        <x:f>IF(AND($A718&gt;='Control Room'!$A$13,$A718&lt;'Control Room'!$A$13+'Control Room'!$B$13,'Process'!BU2=1),1+('Control Room'!$C$13-1)*EXP(-0.5*(($A718-'Control Room'!$A$13-('Control Room'!$B$13-1)/2)/MAX(0.5,'Control Room'!$B$13/4))^2),1)*IF(AND($A718&gt;='Control Room'!$A$14,$A718&lt;'Control Room'!$A$14+'Control Room'!$B$14,'Process'!BU3=1),1+('Control Room'!$C$14-1)*EXP(-0.5*(($A718-'Control Room'!$A$14-('Control Room'!$B$14-1)/2)/MAX(0.5,'Control Room'!$B$14/4))^2),1)*IF(AND($A718&gt;='Control Room'!$A$15,$A718&lt;'Control Room'!$A$15+'Control Room'!$B$15,'Process'!BU4=1),1+('Control Room'!$C$15-1)*EXP(-0.5*(($A718-'Control Room'!$A$15-('Control Room'!$B$15-1)/2)/MAX(0.5,'Control Room'!$B$15/4))^2),1)*IF(AND($A718&gt;='Control Room'!$A$16,$A718&lt;'Control Room'!$A$16+'Control Room'!$B$16,'Process'!BU5=1),1+('Control Room'!$C$16-1)*EXP(-0.5*(($A718-'Control Room'!$A$16-('Control Room'!$B$16-1)/2)/MAX(0.5,'Control Room'!$B$16/4))^2),1)</x:f>
        <x:v>1</x:v>
      </x:c>
      <x:c r="BE718" s="9" t="n">
        <x:f>MOD(BF717*16807,2147483647)</x:f>
        <x:v>2070980193</x:v>
      </x:c>
      <x:c r="BF718" s="9" t="n">
        <x:f>MOD(BE718*16807,2147483647)</x:f>
        <x:v>549153175</x:v>
      </x:c>
      <x:c r="BG718" s="17" t="n">
        <x:f>IF('Control Room'!$B$5="Normal",'Control Room'!$B$7+'Control Room'!$D$7*SQRT(-2*LN(MAX(0.000000000001,BE718/2147483647)))*COS(2*PI()*BF718/2147483647),'Control Room'!$B$8+('Control Room'!$D$8-'Control Room'!$B$8)*BE718/2147483647)</x:f>
        <x:v>999.1290472446461</x:v>
      </x:c>
      <x:c r="BH718" s="17" t="n">
        <x:f>IF('Control Room'!$B$5="Normal",'Control Room'!$B$7,('Control Room'!$B$8+'Control Room'!$D$8)/2)+'Control Room'!$B$9*(BH717-IF('Control Room'!$B$5="Normal",'Control Room'!$B$7,('Control Room'!$B$8+'Control Room'!$D$8)/2))+SQRT(1-'Control Room'!$B$9^2)*(BG718-IF('Control Room'!$B$5="Normal",'Control Room'!$B$7,('Control Room'!$B$8+'Control Room'!$D$8)/2))</x:f>
        <x:v>936.717568608154</x:v>
      </x:c>
      <x:c r="BI718" s="17" t="n">
        <x:f>IF(AND($A718&gt;='Control Room'!$A$13,$A718&lt;'Control Room'!$A$13+'Control Room'!$B$13,'Process'!BV2=1),1+('Control Room'!$C$13-1)*EXP(-0.5*(($A718-'Control Room'!$A$13-('Control Room'!$B$13-1)/2)/MAX(0.5,'Control Room'!$B$13/4))^2),1)*IF(AND($A718&gt;='Control Room'!$A$14,$A718&lt;'Control Room'!$A$14+'Control Room'!$B$14,'Process'!BV3=1),1+('Control Room'!$C$14-1)*EXP(-0.5*(($A718-'Control Room'!$A$14-('Control Room'!$B$14-1)/2)/MAX(0.5,'Control Room'!$B$14/4))^2),1)*IF(AND($A718&gt;='Control Room'!$A$15,$A718&lt;'Control Room'!$A$15+'Control Room'!$B$15,'Process'!BV4=1),1+('Control Room'!$C$15-1)*EXP(-0.5*(($A718-'Control Room'!$A$15-('Control Room'!$B$15-1)/2)/MAX(0.5,'Control Room'!$B$15/4))^2),1)*IF(AND($A718&gt;='Control Room'!$A$16,$A718&lt;'Control Room'!$A$16+'Control Room'!$B$16,'Process'!BV5=1),1+('Control Room'!$C$16-1)*EXP(-0.5*(($A718-'Control Room'!$A$16-('Control Room'!$B$16-1)/2)/MAX(0.5,'Control Room'!$B$16/4))^2),1)</x:f>
        <x:v>1</x:v>
      </x:c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Z718" t="str">
        <x:f>IF('Data'!A718="","",TEXT('Data'!A718,"mm-dd"))</x:f>
      </x:c>
    </x:row>
    <x:row r="719" ht="21" customHeight="1">
      <x:c r="A719" s="15" t="n">
        <x:f>'Control Room'!$B$1+717</x:f>
        <x:v>73708</x:v>
      </x:c>
      <x:c r="B719" s="9" t="n">
        <x:f>MOD(C718*16807,2147483647)</x:f>
        <x:v>728526801</x:v>
      </x:c>
      <x:c r="C719" s="9" t="n">
        <x:f>MOD(B719*16807,2147483647)</x:f>
        <x:v>1545672860</x:v>
      </x:c>
      <x:c r="D719" s="17" t="n">
        <x:f>IF('Control Room'!$B$5="Normal",'Control Room'!$B$7+'Control Room'!$D$7*SQRT(-2*LN(MAX(0.000000000001,B719/2147483647)))*COS(2*PI()*C719/2147483647),'Control Room'!$B$8+('Control Room'!$D$8-'Control Room'!$B$8)*B719/2147483647)</x:f>
        <x:v>975.0068437137303</x:v>
      </x:c>
      <x:c r="E719" s="17" t="n">
        <x:f>IF('Control Room'!$B$5="Normal",'Control Room'!$B$7,('Control Room'!$B$8+'Control Room'!$D$8)/2)+'Control Room'!$B$9*(E718-IF('Control Room'!$B$5="Normal",'Control Room'!$B$7,('Control Room'!$B$8+'Control Room'!$D$8)/2))+SQRT(1-'Control Room'!$B$9^2)*(D719-IF('Control Room'!$B$5="Normal",'Control Room'!$B$7,('Control Room'!$B$8+'Control Room'!$D$8)/2))</x:f>
        <x:v>993.5850093313492</x:v>
      </x:c>
      <x:c r="F719" s="17" t="n">
        <x:f>IF(AND($A719&gt;='Control Room'!$A$13,$A719&lt;'Control Room'!$A$13+'Control Room'!$B$13,'Process'!BK2=1),1+('Control Room'!$C$13-1)*EXP(-0.5*(($A719-'Control Room'!$A$13-('Control Room'!$B$13-1)/2)/MAX(0.5,'Control Room'!$B$13/4))^2),1)*IF(AND($A719&gt;='Control Room'!$A$14,$A719&lt;'Control Room'!$A$14+'Control Room'!$B$14,'Process'!BK3=1),1+('Control Room'!$C$14-1)*EXP(-0.5*(($A719-'Control Room'!$A$14-('Control Room'!$B$14-1)/2)/MAX(0.5,'Control Room'!$B$14/4))^2),1)*IF(AND($A719&gt;='Control Room'!$A$15,$A719&lt;'Control Room'!$A$15+'Control Room'!$B$15,'Process'!BK4=1),1+('Control Room'!$C$15-1)*EXP(-0.5*(($A719-'Control Room'!$A$15-('Control Room'!$B$15-1)/2)/MAX(0.5,'Control Room'!$B$15/4))^2),1)*IF(AND($A719&gt;='Control Room'!$A$16,$A719&lt;'Control Room'!$A$16+'Control Room'!$B$16,'Process'!BK5=1),1+('Control Room'!$C$16-1)*EXP(-0.5*(($A719-'Control Room'!$A$16-('Control Room'!$B$16-1)/2)/MAX(0.5,'Control Room'!$B$16/4))^2),1)</x:f>
        <x:v>1</x:v>
      </x:c>
      <x:c r="G719" s="9" t="n">
        <x:f>MOD(H718*16807,2147483647)</x:f>
        <x:v>247545285</x:v>
      </x:c>
      <x:c r="H719" s="9" t="n">
        <x:f>MOD(G719*16807,2147483647)</x:f>
        <x:v>817780756</x:v>
      </x:c>
      <x:c r="I719" s="17" t="n">
        <x:f>IF('Control Room'!$B$5="Normal",'Control Room'!$B$7+'Control Room'!$D$7*SQRT(-2*LN(MAX(0.000000000001,G719/2147483647)))*COS(2*PI()*H719/2147483647),'Control Room'!$B$8+('Control Room'!$D$8-'Control Room'!$B$8)*G719/2147483647)</x:f>
        <x:v>862.9744934339153</x:v>
      </x:c>
      <x:c r="J719" s="17" t="n">
        <x:f>IF('Control Room'!$B$5="Normal",'Control Room'!$B$7,('Control Room'!$B$8+'Control Room'!$D$8)/2)+'Control Room'!$B$9*(J718-IF('Control Room'!$B$5="Normal",'Control Room'!$B$7,('Control Room'!$B$8+'Control Room'!$D$8)/2))+SQRT(1-'Control Room'!$B$9^2)*(I719-IF('Control Room'!$B$5="Normal",'Control Room'!$B$7,('Control Room'!$B$8+'Control Room'!$D$8)/2))</x:f>
        <x:v>913.9075877896737</x:v>
      </x:c>
      <x:c r="K719" s="17" t="n">
        <x:f>IF(AND($A719&gt;='Control Room'!$A$13,$A719&lt;'Control Room'!$A$13+'Control Room'!$B$13,'Process'!BL2=1),1+('Control Room'!$C$13-1)*EXP(-0.5*(($A719-'Control Room'!$A$13-('Control Room'!$B$13-1)/2)/MAX(0.5,'Control Room'!$B$13/4))^2),1)*IF(AND($A719&gt;='Control Room'!$A$14,$A719&lt;'Control Room'!$A$14+'Control Room'!$B$14,'Process'!BL3=1),1+('Control Room'!$C$14-1)*EXP(-0.5*(($A719-'Control Room'!$A$14-('Control Room'!$B$14-1)/2)/MAX(0.5,'Control Room'!$B$14/4))^2),1)*IF(AND($A719&gt;='Control Room'!$A$15,$A719&lt;'Control Room'!$A$15+'Control Room'!$B$15,'Process'!BL4=1),1+('Control Room'!$C$15-1)*EXP(-0.5*(($A719-'Control Room'!$A$15-('Control Room'!$B$15-1)/2)/MAX(0.5,'Control Room'!$B$15/4))^2),1)*IF(AND($A719&gt;='Control Room'!$A$16,$A719&lt;'Control Room'!$A$16+'Control Room'!$B$16,'Process'!BL5=1),1+('Control Room'!$C$16-1)*EXP(-0.5*(($A719-'Control Room'!$A$16-('Control Room'!$B$16-1)/2)/MAX(0.5,'Control Room'!$B$16/4))^2),1)</x:f>
        <x:v>1</x:v>
      </x:c>
      <x:c r="L719" s="9" t="n">
        <x:f>MOD(M718*16807,2147483647)</x:f>
        <x:v>1914047416</x:v>
      </x:c>
      <x:c r="M719" s="9" t="n">
        <x:f>MOD(L719*16807,2147483647)</x:f>
        <x:v>89888652</x:v>
      </x:c>
      <x:c r="N719" s="17" t="n">
        <x:f>IF('Control Room'!$B$5="Normal",'Control Room'!$B$7+'Control Room'!$D$7*SQRT(-2*LN(MAX(0.000000000001,L719/2147483647)))*COS(2*PI()*M719/2147483647),'Control Room'!$B$8+('Control Room'!$D$8-'Control Room'!$B$8)*L719/2147483647)</x:f>
        <x:v>1041.6922167011091</x:v>
      </x:c>
      <x:c r="O719" s="17" t="n">
        <x:f>IF('Control Room'!$B$5="Normal",'Control Room'!$B$7,('Control Room'!$B$8+'Control Room'!$D$8)/2)+'Control Room'!$B$9*(O718-IF('Control Room'!$B$5="Normal",'Control Room'!$B$7,('Control Room'!$B$8+'Control Room'!$D$8)/2))+SQRT(1-'Control Room'!$B$9^2)*(N719-IF('Control Room'!$B$5="Normal",'Control Room'!$B$7,('Control Room'!$B$8+'Control Room'!$D$8)/2))</x:f>
        <x:v>1079.5237264944979</x:v>
      </x:c>
      <x:c r="P719" s="17" t="n">
        <x:f>IF(AND($A719&gt;='Control Room'!$A$13,$A719&lt;'Control Room'!$A$13+'Control Room'!$B$13,'Process'!BM2=1),1+('Control Room'!$C$13-1)*EXP(-0.5*(($A719-'Control Room'!$A$13-('Control Room'!$B$13-1)/2)/MAX(0.5,'Control Room'!$B$13/4))^2),1)*IF(AND($A719&gt;='Control Room'!$A$14,$A719&lt;'Control Room'!$A$14+'Control Room'!$B$14,'Process'!BM3=1),1+('Control Room'!$C$14-1)*EXP(-0.5*(($A719-'Control Room'!$A$14-('Control Room'!$B$14-1)/2)/MAX(0.5,'Control Room'!$B$14/4))^2),1)*IF(AND($A719&gt;='Control Room'!$A$15,$A719&lt;'Control Room'!$A$15+'Control Room'!$B$15,'Process'!BM4=1),1+('Control Room'!$C$15-1)*EXP(-0.5*(($A719-'Control Room'!$A$15-('Control Room'!$B$15-1)/2)/MAX(0.5,'Control Room'!$B$15/4))^2),1)*IF(AND($A719&gt;='Control Room'!$A$16,$A719&lt;'Control Room'!$A$16+'Control Room'!$B$16,'Process'!BM5=1),1+('Control Room'!$C$16-1)*EXP(-0.5*(($A719-'Control Room'!$A$16-('Control Room'!$B$16-1)/2)/MAX(0.5,'Control Room'!$B$16/4))^2),1)</x:f>
        <x:v>1</x:v>
      </x:c>
      <x:c r="Q719" s="9" t="n">
        <x:f>MOD(R718*16807,2147483647)</x:f>
        <x:v>1433065900</x:v>
      </x:c>
      <x:c r="R719" s="9" t="n">
        <x:f>MOD(Q719*16807,2147483647)</x:f>
        <x:v>1509480195</x:v>
      </x:c>
      <x:c r="S719" s="17" t="n">
        <x:f>IF('Control Room'!$B$5="Normal",'Control Room'!$B$7+'Control Room'!$D$7*SQRT(-2*LN(MAX(0.000000000001,Q719/2147483647)))*COS(2*PI()*R719/2147483647),'Control Room'!$B$8+('Control Room'!$D$8-'Control Room'!$B$8)*Q719/2147483647)</x:f>
        <x:v>976.3956941559727</x:v>
      </x:c>
      <x:c r="T719" s="17" t="n">
        <x:f>IF('Control Room'!$B$5="Normal",'Control Room'!$B$7,('Control Room'!$B$8+'Control Room'!$D$8)/2)+'Control Room'!$B$9*(T718-IF('Control Room'!$B$5="Normal",'Control Room'!$B$7,('Control Room'!$B$8+'Control Room'!$D$8)/2))+SQRT(1-'Control Room'!$B$9^2)*(S719-IF('Control Room'!$B$5="Normal",'Control Room'!$B$7,('Control Room'!$B$8+'Control Room'!$D$8)/2))</x:f>
        <x:v>1040.7792753461033</x:v>
      </x:c>
      <x:c r="U719" s="17" t="n">
        <x:f>IF(AND($A719&gt;='Control Room'!$A$13,$A719&lt;'Control Room'!$A$13+'Control Room'!$B$13,'Process'!BN2=1),1+('Control Room'!$C$13-1)*EXP(-0.5*(($A719-'Control Room'!$A$13-('Control Room'!$B$13-1)/2)/MAX(0.5,'Control Room'!$B$13/4))^2),1)*IF(AND($A719&gt;='Control Room'!$A$14,$A719&lt;'Control Room'!$A$14+'Control Room'!$B$14,'Process'!BN3=1),1+('Control Room'!$C$14-1)*EXP(-0.5*(($A719-'Control Room'!$A$14-('Control Room'!$B$14-1)/2)/MAX(0.5,'Control Room'!$B$14/4))^2),1)*IF(AND($A719&gt;='Control Room'!$A$15,$A719&lt;'Control Room'!$A$15+'Control Room'!$B$15,'Process'!BN4=1),1+('Control Room'!$C$15-1)*EXP(-0.5*(($A719-'Control Room'!$A$15-('Control Room'!$B$15-1)/2)/MAX(0.5,'Control Room'!$B$15/4))^2),1)*IF(AND($A719&gt;='Control Room'!$A$16,$A719&lt;'Control Room'!$A$16+'Control Room'!$B$16,'Process'!BN5=1),1+('Control Room'!$C$16-1)*EXP(-0.5*(($A719-'Control Room'!$A$16-('Control Room'!$B$16-1)/2)/MAX(0.5,'Control Room'!$B$16/4))^2),1)</x:f>
        <x:v>1</x:v>
      </x:c>
      <x:c r="V719" s="9" t="n">
        <x:f>MOD(W718*16807,2147483647)</x:f>
        <x:v>952084384</x:v>
      </x:c>
      <x:c r="W719" s="9" t="n">
        <x:f>MOD(V719*16807,2147483647)</x:f>
        <x:v>781588091</x:v>
      </x:c>
      <x:c r="X719" s="17" t="n">
        <x:f>IF('Control Room'!$B$5="Normal",'Control Room'!$B$7+'Control Room'!$D$7*SQRT(-2*LN(MAX(0.000000000001,V719/2147483647)))*COS(2*PI()*W719/2147483647),'Control Room'!$B$8+('Control Room'!$D$8-'Control Room'!$B$8)*V719/2147483647)</x:f>
        <x:v>924.6539469913939</x:v>
      </x:c>
      <x:c r="Y719" s="17" t="n">
        <x:f>IF('Control Room'!$B$5="Normal",'Control Room'!$B$7,('Control Room'!$B$8+'Control Room'!$D$8)/2)+'Control Room'!$B$9*(Y718-IF('Control Room'!$B$5="Normal",'Control Room'!$B$7,('Control Room'!$B$8+'Control Room'!$D$8)/2))+SQRT(1-'Control Room'!$B$9^2)*(X719-IF('Control Room'!$B$5="Normal",'Control Room'!$B$7,('Control Room'!$B$8+'Control Room'!$D$8)/2))</x:f>
        <x:v>1026.7733415480398</x:v>
      </x:c>
      <x:c r="Z719" s="17" t="n">
        <x:f>IF(AND($A719&gt;='Control Room'!$A$13,$A719&lt;'Control Room'!$A$13+'Control Room'!$B$13,'Process'!BO2=1),1+('Control Room'!$C$13-1)*EXP(-0.5*(($A719-'Control Room'!$A$13-('Control Room'!$B$13-1)/2)/MAX(0.5,'Control Room'!$B$13/4))^2),1)*IF(AND($A719&gt;='Control Room'!$A$14,$A719&lt;'Control Room'!$A$14+'Control Room'!$B$14,'Process'!BO3=1),1+('Control Room'!$C$14-1)*EXP(-0.5*(($A719-'Control Room'!$A$14-('Control Room'!$B$14-1)/2)/MAX(0.5,'Control Room'!$B$14/4))^2),1)*IF(AND($A719&gt;='Control Room'!$A$15,$A719&lt;'Control Room'!$A$15+'Control Room'!$B$15,'Process'!BO4=1),1+('Control Room'!$C$15-1)*EXP(-0.5*(($A719-'Control Room'!$A$15-('Control Room'!$B$15-1)/2)/MAX(0.5,'Control Room'!$B$15/4))^2),1)*IF(AND($A719&gt;='Control Room'!$A$16,$A719&lt;'Control Room'!$A$16+'Control Room'!$B$16,'Process'!BO5=1),1+('Control Room'!$C$16-1)*EXP(-0.5*(($A719-'Control Room'!$A$16-('Control Room'!$B$16-1)/2)/MAX(0.5,'Control Room'!$B$16/4))^2),1)</x:f>
        <x:v>1</x:v>
      </x:c>
      <x:c r="AA719" s="9" t="n">
        <x:f>MOD(AB718*16807,2147483647)</x:f>
        <x:v>471102868</x:v>
      </x:c>
      <x:c r="AB719" s="9" t="n">
        <x:f>MOD(AA719*16807,2147483647)</x:f>
        <x:v>53695987</x:v>
      </x:c>
      <x:c r="AC719" s="17" t="n">
        <x:f>IF('Control Room'!$B$5="Normal",'Control Room'!$B$7+'Control Room'!$D$7*SQRT(-2*LN(MAX(0.000000000001,AA719/2147483647)))*COS(2*PI()*AB719/2147483647),'Control Room'!$B$8+('Control Room'!$D$8-'Control Room'!$B$8)*AA719/2147483647)</x:f>
        <x:v>1154.833501956862</x:v>
      </x:c>
      <x:c r="AD719" s="17" t="n">
        <x:f>IF('Control Room'!$B$5="Normal",'Control Room'!$B$7,('Control Room'!$B$8+'Control Room'!$D$8)/2)+'Control Room'!$B$9*(AD718-IF('Control Room'!$B$5="Normal",'Control Room'!$B$7,('Control Room'!$B$8+'Control Room'!$D$8)/2))+SQRT(1-'Control Room'!$B$9^2)*(AC719-IF('Control Room'!$B$5="Normal",'Control Room'!$B$7,('Control Room'!$B$8+'Control Room'!$D$8)/2))</x:f>
        <x:v>1068.5509260883778</x:v>
      </x:c>
      <x:c r="AE719" s="17" t="n">
        <x:f>IF(AND($A719&gt;='Control Room'!$A$13,$A719&lt;'Control Room'!$A$13+'Control Room'!$B$13,'Process'!BP2=1),1+('Control Room'!$C$13-1)*EXP(-0.5*(($A719-'Control Room'!$A$13-('Control Room'!$B$13-1)/2)/MAX(0.5,'Control Room'!$B$13/4))^2),1)*IF(AND($A719&gt;='Control Room'!$A$14,$A719&lt;'Control Room'!$A$14+'Control Room'!$B$14,'Process'!BP3=1),1+('Control Room'!$C$14-1)*EXP(-0.5*(($A719-'Control Room'!$A$14-('Control Room'!$B$14-1)/2)/MAX(0.5,'Control Room'!$B$14/4))^2),1)*IF(AND($A719&gt;='Control Room'!$A$15,$A719&lt;'Control Room'!$A$15+'Control Room'!$B$15,'Process'!BP4=1),1+('Control Room'!$C$15-1)*EXP(-0.5*(($A719-'Control Room'!$A$15-('Control Room'!$B$15-1)/2)/MAX(0.5,'Control Room'!$B$15/4))^2),1)*IF(AND($A719&gt;='Control Room'!$A$16,$A719&lt;'Control Room'!$A$16+'Control Room'!$B$16,'Process'!BP5=1),1+('Control Room'!$C$16-1)*EXP(-0.5*(($A719-'Control Room'!$A$16-('Control Room'!$B$16-1)/2)/MAX(0.5,'Control Room'!$B$16/4))^2),1)</x:f>
        <x:v>1</x:v>
      </x:c>
      <x:c r="AF719" s="9" t="n">
        <x:f>MOD(AG718*16807,2147483647)</x:f>
        <x:v>2137604999</x:v>
      </x:c>
      <x:c r="AG719" s="9" t="n">
        <x:f>MOD(AF719*16807,2147483647)</x:f>
        <x:v>1473287530</x:v>
      </x:c>
      <x:c r="AH719" s="17" t="n">
        <x:f>IF('Control Room'!$B$5="Normal",'Control Room'!$B$7+'Control Room'!$D$7*SQRT(-2*LN(MAX(0.000000000001,AF719/2147483647)))*COS(2*PI()*AG719/2147483647),'Control Room'!$B$8+('Control Room'!$D$8-'Control Room'!$B$8)*AF719/2147483647)</x:f>
        <x:v>996.6201818308454</x:v>
      </x:c>
      <x:c r="AI719" s="17" t="n">
        <x:f>IF('Control Room'!$B$5="Normal",'Control Room'!$B$7,('Control Room'!$B$8+'Control Room'!$D$8)/2)+'Control Room'!$B$9*(AI718-IF('Control Room'!$B$5="Normal",'Control Room'!$B$7,('Control Room'!$B$8+'Control Room'!$D$8)/2))+SQRT(1-'Control Room'!$B$9^2)*(AH719-IF('Control Room'!$B$5="Normal",'Control Room'!$B$7,('Control Room'!$B$8+'Control Room'!$D$8)/2))</x:f>
        <x:v>884.0018715882335</x:v>
      </x:c>
      <x:c r="AJ719" s="17" t="n">
        <x:f>IF(AND($A719&gt;='Control Room'!$A$13,$A719&lt;'Control Room'!$A$13+'Control Room'!$B$13,'Process'!BQ2=1),1+('Control Room'!$C$13-1)*EXP(-0.5*(($A719-'Control Room'!$A$13-('Control Room'!$B$13-1)/2)/MAX(0.5,'Control Room'!$B$13/4))^2),1)*IF(AND($A719&gt;='Control Room'!$A$14,$A719&lt;'Control Room'!$A$14+'Control Room'!$B$14,'Process'!BQ3=1),1+('Control Room'!$C$14-1)*EXP(-0.5*(($A719-'Control Room'!$A$14-('Control Room'!$B$14-1)/2)/MAX(0.5,'Control Room'!$B$14/4))^2),1)*IF(AND($A719&gt;='Control Room'!$A$15,$A719&lt;'Control Room'!$A$15+'Control Room'!$B$15,'Process'!BQ4=1),1+('Control Room'!$C$15-1)*EXP(-0.5*(($A719-'Control Room'!$A$15-('Control Room'!$B$15-1)/2)/MAX(0.5,'Control Room'!$B$15/4))^2),1)*IF(AND($A719&gt;='Control Room'!$A$16,$A719&lt;'Control Room'!$A$16+'Control Room'!$B$16,'Process'!BQ5=1),1+('Control Room'!$C$16-1)*EXP(-0.5*(($A719-'Control Room'!$A$16-('Control Room'!$B$16-1)/2)/MAX(0.5,'Control Room'!$B$16/4))^2),1)</x:f>
        <x:v>1</x:v>
      </x:c>
      <x:c r="AK719" s="9" t="n">
        <x:f>MOD(AL718*16807,2147483647)</x:f>
        <x:v>1656623483</x:v>
      </x:c>
      <x:c r="AL719" s="9" t="n">
        <x:f>MOD(AK719*16807,2147483647)</x:f>
        <x:v>745395426</x:v>
      </x:c>
      <x:c r="AM719" s="17" t="n">
        <x:f>IF('Control Room'!$B$5="Normal",'Control Room'!$B$7+'Control Room'!$D$7*SQRT(-2*LN(MAX(0.000000000001,AK719/2147483647)))*COS(2*PI()*AL719/2147483647),'Control Room'!$B$8+('Control Room'!$D$8-'Control Room'!$B$8)*AK719/2147483647)</x:f>
        <x:v>962.8498495977127</x:v>
      </x:c>
      <x:c r="AN719" s="17" t="n">
        <x:f>IF('Control Room'!$B$5="Normal",'Control Room'!$B$7,('Control Room'!$B$8+'Control Room'!$D$8)/2)+'Control Room'!$B$9*(AN718-IF('Control Room'!$B$5="Normal",'Control Room'!$B$7,('Control Room'!$B$8+'Control Room'!$D$8)/2))+SQRT(1-'Control Room'!$B$9^2)*(AM719-IF('Control Room'!$B$5="Normal",'Control Room'!$B$7,('Control Room'!$B$8+'Control Room'!$D$8)/2))</x:f>
        <x:v>968.8230499884421</x:v>
      </x:c>
      <x:c r="AO719" s="17" t="n">
        <x:f>IF(AND($A719&gt;='Control Room'!$A$13,$A719&lt;'Control Room'!$A$13+'Control Room'!$B$13,'Process'!BR2=1),1+('Control Room'!$C$13-1)*EXP(-0.5*(($A719-'Control Room'!$A$13-('Control Room'!$B$13-1)/2)/MAX(0.5,'Control Room'!$B$13/4))^2),1)*IF(AND($A719&gt;='Control Room'!$A$14,$A719&lt;'Control Room'!$A$14+'Control Room'!$B$14,'Process'!BR3=1),1+('Control Room'!$C$14-1)*EXP(-0.5*(($A719-'Control Room'!$A$14-('Control Room'!$B$14-1)/2)/MAX(0.5,'Control Room'!$B$14/4))^2),1)*IF(AND($A719&gt;='Control Room'!$A$15,$A719&lt;'Control Room'!$A$15+'Control Room'!$B$15,'Process'!BR4=1),1+('Control Room'!$C$15-1)*EXP(-0.5*(($A719-'Control Room'!$A$15-('Control Room'!$B$15-1)/2)/MAX(0.5,'Control Room'!$B$15/4))^2),1)*IF(AND($A719&gt;='Control Room'!$A$16,$A719&lt;'Control Room'!$A$16+'Control Room'!$B$16,'Process'!BR5=1),1+('Control Room'!$C$16-1)*EXP(-0.5*(($A719-'Control Room'!$A$16-('Control Room'!$B$16-1)/2)/MAX(0.5,'Control Room'!$B$16/4))^2),1)</x:f>
        <x:v>1</x:v>
      </x:c>
      <x:c r="AP719" s="9" t="n">
        <x:f>MOD(AQ718*16807,2147483647)</x:f>
        <x:v>1175641967</x:v>
      </x:c>
      <x:c r="AQ719" s="9" t="n">
        <x:f>MOD(AP719*16807,2147483647)</x:f>
        <x:v>17503322</x:v>
      </x:c>
      <x:c r="AR719" s="17" t="n">
        <x:f>IF('Control Room'!$B$5="Normal",'Control Room'!$B$7+'Control Room'!$D$7*SQRT(-2*LN(MAX(0.000000000001,AP719/2147483647)))*COS(2*PI()*AQ719/2147483647),'Control Room'!$B$8+('Control Room'!$D$8-'Control Room'!$B$8)*AP719/2147483647)</x:f>
        <x:v>1098.6642776930964</x:v>
      </x:c>
      <x:c r="AS719" s="17" t="n">
        <x:f>IF('Control Room'!$B$5="Normal",'Control Room'!$B$7,('Control Room'!$B$8+'Control Room'!$D$8)/2)+'Control Room'!$B$9*(AS718-IF('Control Room'!$B$5="Normal",'Control Room'!$B$7,('Control Room'!$B$8+'Control Room'!$D$8)/2))+SQRT(1-'Control Room'!$B$9^2)*(AR719-IF('Control Room'!$B$5="Normal",'Control Room'!$B$7,('Control Room'!$B$8+'Control Room'!$D$8)/2))</x:f>
        <x:v>1061.8445416971213</x:v>
      </x:c>
      <x:c r="AT719" s="17" t="n">
        <x:f>IF(AND($A719&gt;='Control Room'!$A$13,$A719&lt;'Control Room'!$A$13+'Control Room'!$B$13,'Process'!BS2=1),1+('Control Room'!$C$13-1)*EXP(-0.5*(($A719-'Control Room'!$A$13-('Control Room'!$B$13-1)/2)/MAX(0.5,'Control Room'!$B$13/4))^2),1)*IF(AND($A719&gt;='Control Room'!$A$14,$A719&lt;'Control Room'!$A$14+'Control Room'!$B$14,'Process'!BS3=1),1+('Control Room'!$C$14-1)*EXP(-0.5*(($A719-'Control Room'!$A$14-('Control Room'!$B$14-1)/2)/MAX(0.5,'Control Room'!$B$14/4))^2),1)*IF(AND($A719&gt;='Control Room'!$A$15,$A719&lt;'Control Room'!$A$15+'Control Room'!$B$15,'Process'!BS4=1),1+('Control Room'!$C$15-1)*EXP(-0.5*(($A719-'Control Room'!$A$15-('Control Room'!$B$15-1)/2)/MAX(0.5,'Control Room'!$B$15/4))^2),1)*IF(AND($A719&gt;='Control Room'!$A$16,$A719&lt;'Control Room'!$A$16+'Control Room'!$B$16,'Process'!BS5=1),1+('Control Room'!$C$16-1)*EXP(-0.5*(($A719-'Control Room'!$A$16-('Control Room'!$B$16-1)/2)/MAX(0.5,'Control Room'!$B$16/4))^2),1)</x:f>
        <x:v>1</x:v>
      </x:c>
      <x:c r="AU719" s="9" t="n">
        <x:f>MOD(AV718*16807,2147483647)</x:f>
        <x:v>694660451</x:v>
      </x:c>
      <x:c r="AV719" s="9" t="n">
        <x:f>MOD(AU719*16807,2147483647)</x:f>
        <x:v>1437094865</x:v>
      </x:c>
      <x:c r="AW719" s="17" t="n">
        <x:f>IF('Control Room'!$B$5="Normal",'Control Room'!$B$7+'Control Room'!$D$7*SQRT(-2*LN(MAX(0.000000000001,AU719/2147483647)))*COS(2*PI()*AV719/2147483647),'Control Room'!$B$8+('Control Room'!$D$8-'Control Room'!$B$8)*AU719/2147483647)</x:f>
        <x:v>934.2632525795434</x:v>
      </x:c>
      <x:c r="AX719" s="17" t="n">
        <x:f>IF('Control Room'!$B$5="Normal",'Control Room'!$B$7,('Control Room'!$B$8+'Control Room'!$D$8)/2)+'Control Room'!$B$9*(AX718-IF('Control Room'!$B$5="Normal",'Control Room'!$B$7,('Control Room'!$B$8+'Control Room'!$D$8)/2))+SQRT(1-'Control Room'!$B$9^2)*(AW719-IF('Control Room'!$B$5="Normal",'Control Room'!$B$7,('Control Room'!$B$8+'Control Room'!$D$8)/2))</x:f>
        <x:v>1017.7584967971976</x:v>
      </x:c>
      <x:c r="AY719" s="17" t="n">
        <x:f>IF(AND($A719&gt;='Control Room'!$A$13,$A719&lt;'Control Room'!$A$13+'Control Room'!$B$13,'Process'!BT2=1),1+('Control Room'!$C$13-1)*EXP(-0.5*(($A719-'Control Room'!$A$13-('Control Room'!$B$13-1)/2)/MAX(0.5,'Control Room'!$B$13/4))^2),1)*IF(AND($A719&gt;='Control Room'!$A$14,$A719&lt;'Control Room'!$A$14+'Control Room'!$B$14,'Process'!BT3=1),1+('Control Room'!$C$14-1)*EXP(-0.5*(($A719-'Control Room'!$A$14-('Control Room'!$B$14-1)/2)/MAX(0.5,'Control Room'!$B$14/4))^2),1)*IF(AND($A719&gt;='Control Room'!$A$15,$A719&lt;'Control Room'!$A$15+'Control Room'!$B$15,'Process'!BT4=1),1+('Control Room'!$C$15-1)*EXP(-0.5*(($A719-'Control Room'!$A$15-('Control Room'!$B$15-1)/2)/MAX(0.5,'Control Room'!$B$15/4))^2),1)*IF(AND($A719&gt;='Control Room'!$A$16,$A719&lt;'Control Room'!$A$16+'Control Room'!$B$16,'Process'!BT5=1),1+('Control Room'!$C$16-1)*EXP(-0.5*(($A719-'Control Room'!$A$16-('Control Room'!$B$16-1)/2)/MAX(0.5,'Control Room'!$B$16/4))^2),1)</x:f>
        <x:v>1</x:v>
      </x:c>
      <x:c r="AZ719" s="9" t="n">
        <x:f>MOD(BA718*16807,2147483647)</x:f>
        <x:v>213678935</x:v>
      </x:c>
      <x:c r="BA719" s="9" t="n">
        <x:f>MOD(AZ719*16807,2147483647)</x:f>
        <x:v>709202761</x:v>
      </x:c>
      <x:c r="BB719" s="17" t="n">
        <x:f>IF('Control Room'!$B$5="Normal",'Control Room'!$B$7+'Control Room'!$D$7*SQRT(-2*LN(MAX(0.000000000001,AZ719/2147483647)))*COS(2*PI()*BA719/2147483647),'Control Room'!$B$8+('Control Room'!$D$8-'Control Room'!$B$8)*AZ719/2147483647)</x:f>
        <x:v>906.590569012067</x:v>
      </x:c>
      <x:c r="BC719" s="17" t="n">
        <x:f>IF('Control Room'!$B$5="Normal",'Control Room'!$B$7,('Control Room'!$B$8+'Control Room'!$D$8)/2)+'Control Room'!$B$9*(BC718-IF('Control Room'!$B$5="Normal",'Control Room'!$B$7,('Control Room'!$B$8+'Control Room'!$D$8)/2))+SQRT(1-'Control Room'!$B$9^2)*(BB719-IF('Control Room'!$B$5="Normal",'Control Room'!$B$7,('Control Room'!$B$8+'Control Room'!$D$8)/2))</x:f>
        <x:v>1002.6625885076426</x:v>
      </x:c>
      <x:c r="BD719" s="17" t="n">
        <x:f>IF(AND($A719&gt;='Control Room'!$A$13,$A719&lt;'Control Room'!$A$13+'Control Room'!$B$13,'Process'!BU2=1),1+('Control Room'!$C$13-1)*EXP(-0.5*(($A719-'Control Room'!$A$13-('Control Room'!$B$13-1)/2)/MAX(0.5,'Control Room'!$B$13/4))^2),1)*IF(AND($A719&gt;='Control Room'!$A$14,$A719&lt;'Control Room'!$A$14+'Control Room'!$B$14,'Process'!BU3=1),1+('Control Room'!$C$14-1)*EXP(-0.5*(($A719-'Control Room'!$A$14-('Control Room'!$B$14-1)/2)/MAX(0.5,'Control Room'!$B$14/4))^2),1)*IF(AND($A719&gt;='Control Room'!$A$15,$A719&lt;'Control Room'!$A$15+'Control Room'!$B$15,'Process'!BU4=1),1+('Control Room'!$C$15-1)*EXP(-0.5*(($A719-'Control Room'!$A$15-('Control Room'!$B$15-1)/2)/MAX(0.5,'Control Room'!$B$15/4))^2),1)*IF(AND($A719&gt;='Control Room'!$A$16,$A719&lt;'Control Room'!$A$16+'Control Room'!$B$16,'Process'!BU5=1),1+('Control Room'!$C$16-1)*EXP(-0.5*(($A719-'Control Room'!$A$16-('Control Room'!$B$16-1)/2)/MAX(0.5,'Control Room'!$B$16/4))^2),1)</x:f>
        <x:v>1</x:v>
      </x:c>
      <x:c r="BE719" s="9" t="n">
        <x:f>MOD(BF718*16807,2147483647)</x:f>
        <x:v>1880181066</x:v>
      </x:c>
      <x:c r="BF719" s="9" t="n">
        <x:f>MOD(BE719*16807,2147483647)</x:f>
        <x:v>2128794304</x:v>
      </x:c>
      <x:c r="BG719" s="17" t="n">
        <x:f>IF('Control Room'!$B$5="Normal",'Control Room'!$B$7+'Control Room'!$D$7*SQRT(-2*LN(MAX(0.000000000001,BE719/2147483647)))*COS(2*PI()*BF719/2147483647),'Control Room'!$B$8+('Control Room'!$D$8-'Control Room'!$B$8)*BE719/2147483647)</x:f>
        <x:v>1046.3358599526089</x:v>
      </x:c>
      <x:c r="BH719" s="17" t="n">
        <x:f>IF('Control Room'!$B$5="Normal",'Control Room'!$B$7,('Control Room'!$B$8+'Control Room'!$D$8)/2)+'Control Room'!$B$9*(BH718-IF('Control Room'!$B$5="Normal",'Control Room'!$B$7,('Control Room'!$B$8+'Control Room'!$D$8)/2))+SQRT(1-'Control Room'!$B$9^2)*(BG719-IF('Control Room'!$B$5="Normal",'Control Room'!$B$7,('Control Room'!$B$8+'Control Room'!$D$8)/2))</x:f>
        <x:v>979.6357354310157</x:v>
      </x:c>
      <x:c r="BI719" s="17" t="n">
        <x:f>IF(AND($A719&gt;='Control Room'!$A$13,$A719&lt;'Control Room'!$A$13+'Control Room'!$B$13,'Process'!BV2=1),1+('Control Room'!$C$13-1)*EXP(-0.5*(($A719-'Control Room'!$A$13-('Control Room'!$B$13-1)/2)/MAX(0.5,'Control Room'!$B$13/4))^2),1)*IF(AND($A719&gt;='Control Room'!$A$14,$A719&lt;'Control Room'!$A$14+'Control Room'!$B$14,'Process'!BV3=1),1+('Control Room'!$C$14-1)*EXP(-0.5*(($A719-'Control Room'!$A$14-('Control Room'!$B$14-1)/2)/MAX(0.5,'Control Room'!$B$14/4))^2),1)*IF(AND($A719&gt;='Control Room'!$A$15,$A719&lt;'Control Room'!$A$15+'Control Room'!$B$15,'Process'!BV4=1),1+('Control Room'!$C$15-1)*EXP(-0.5*(($A719-'Control Room'!$A$15-('Control Room'!$B$15-1)/2)/MAX(0.5,'Control Room'!$B$15/4))^2),1)*IF(AND($A719&gt;='Control Room'!$A$16,$A719&lt;'Control Room'!$A$16+'Control Room'!$B$16,'Process'!BV5=1),1+('Control Room'!$C$16-1)*EXP(-0.5*(($A719-'Control Room'!$A$16-('Control Room'!$B$16-1)/2)/MAX(0.5,'Control Room'!$B$16/4))^2),1)</x:f>
        <x:v>1</x:v>
      </x:c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Z719" t="str">
        <x:f>IF('Data'!A719="","",TEXT('Data'!A719,"mm-dd"))</x:f>
      </x:c>
    </x:row>
    <x:row r="720" ht="21" customHeight="1">
      <x:c r="A720" s="15" t="n">
        <x:f>'Control Room'!$B$1+718</x:f>
        <x:v>73709</x:v>
      </x:c>
      <x:c r="B720" s="9" t="n">
        <x:f>MOD(C719*16807,2147483647)</x:f>
        <x:v>14080261</x:v>
      </x:c>
      <x:c r="C720" s="9" t="n">
        <x:f>MOD(B720*16807,2147483647)</x:f>
        <x:v>423745457</x:v>
      </x:c>
      <x:c r="D720" s="17" t="n">
        <x:f>IF('Control Room'!$B$5="Normal",'Control Room'!$B$7+'Control Room'!$D$7*SQRT(-2*LN(MAX(0.000000000001,B720/2147483647)))*COS(2*PI()*C720/2147483647),'Control Room'!$B$8+('Control Room'!$D$8-'Control Room'!$B$8)*B720/2147483647)</x:f>
        <x:v>1092.7417957017894</x:v>
      </x:c>
      <x:c r="E720" s="17" t="n">
        <x:f>IF('Control Room'!$B$5="Normal",'Control Room'!$B$7,('Control Room'!$B$8+'Control Room'!$D$8)/2)+'Control Room'!$B$9*(E719-IF('Control Room'!$B$5="Normal",'Control Room'!$B$7,('Control Room'!$B$8+'Control Room'!$D$8)/2))+SQRT(1-'Control Room'!$B$9^2)*(D720-IF('Control Room'!$B$5="Normal",'Control Room'!$B$7,('Control Room'!$B$8+'Control Room'!$D$8)/2))</x:f>
        <x:v>1053.0322231096775</x:v>
      </x:c>
      <x:c r="F720" s="17" t="n">
        <x:f>IF(AND($A720&gt;='Control Room'!$A$13,$A720&lt;'Control Room'!$A$13+'Control Room'!$B$13,'Process'!BK2=1),1+('Control Room'!$C$13-1)*EXP(-0.5*(($A720-'Control Room'!$A$13-('Control Room'!$B$13-1)/2)/MAX(0.5,'Control Room'!$B$13/4))^2),1)*IF(AND($A720&gt;='Control Room'!$A$14,$A720&lt;'Control Room'!$A$14+'Control Room'!$B$14,'Process'!BK3=1),1+('Control Room'!$C$14-1)*EXP(-0.5*(($A720-'Control Room'!$A$14-('Control Room'!$B$14-1)/2)/MAX(0.5,'Control Room'!$B$14/4))^2),1)*IF(AND($A720&gt;='Control Room'!$A$15,$A720&lt;'Control Room'!$A$15+'Control Room'!$B$15,'Process'!BK4=1),1+('Control Room'!$C$15-1)*EXP(-0.5*(($A720-'Control Room'!$A$15-('Control Room'!$B$15-1)/2)/MAX(0.5,'Control Room'!$B$15/4))^2),1)*IF(AND($A720&gt;='Control Room'!$A$16,$A720&lt;'Control Room'!$A$16+'Control Room'!$B$16,'Process'!BK5=1),1+('Control Room'!$C$16-1)*EXP(-0.5*(($A720-'Control Room'!$A$16-('Control Room'!$B$16-1)/2)/MAX(0.5,'Control Room'!$B$16/4))^2),1)</x:f>
        <x:v>1</x:v>
      </x:c>
      <x:c r="G720" s="9" t="n">
        <x:f>MOD(H719*16807,2147483647)</x:f>
        <x:v>545825292</x:v>
      </x:c>
      <x:c r="H720" s="9" t="n">
        <x:f>MOD(G720*16807,2147483647)</x:f>
        <x:v>1783026307</x:v>
      </x:c>
      <x:c r="I720" s="17" t="n">
        <x:f>IF('Control Room'!$B$5="Normal",'Control Room'!$B$7+'Control Room'!$D$7*SQRT(-2*LN(MAX(0.000000000001,G720/2147483647)))*COS(2*PI()*H720/2147483647),'Control Room'!$B$8+('Control Room'!$D$8-'Control Room'!$B$8)*G720/2147483647)</x:f>
        <x:v>1071.998237939471</x:v>
      </x:c>
      <x:c r="J720" s="17" t="n">
        <x:f>IF('Control Room'!$B$5="Normal",'Control Room'!$B$7,('Control Room'!$B$8+'Control Room'!$D$8)/2)+'Control Room'!$B$9*(J719-IF('Control Room'!$B$5="Normal",'Control Room'!$B$7,('Control Room'!$B$8+'Control Room'!$D$8)/2))+SQRT(1-'Control Room'!$B$9^2)*(I720-IF('Control Room'!$B$5="Normal",'Control Room'!$B$7,('Control Room'!$B$8+'Control Room'!$D$8)/2))</x:f>
        <x:v>977.9029408143907</x:v>
      </x:c>
      <x:c r="K720" s="17" t="n">
        <x:f>IF(AND($A720&gt;='Control Room'!$A$13,$A720&lt;'Control Room'!$A$13+'Control Room'!$B$13,'Process'!BL2=1),1+('Control Room'!$C$13-1)*EXP(-0.5*(($A720-'Control Room'!$A$13-('Control Room'!$B$13-1)/2)/MAX(0.5,'Control Room'!$B$13/4))^2),1)*IF(AND($A720&gt;='Control Room'!$A$14,$A720&lt;'Control Room'!$A$14+'Control Room'!$B$14,'Process'!BL3=1),1+('Control Room'!$C$14-1)*EXP(-0.5*(($A720-'Control Room'!$A$14-('Control Room'!$B$14-1)/2)/MAX(0.5,'Control Room'!$B$14/4))^2),1)*IF(AND($A720&gt;='Control Room'!$A$15,$A720&lt;'Control Room'!$A$15+'Control Room'!$B$15,'Process'!BL4=1),1+('Control Room'!$C$15-1)*EXP(-0.5*(($A720-'Control Room'!$A$15-('Control Room'!$B$15-1)/2)/MAX(0.5,'Control Room'!$B$15/4))^2),1)*IF(AND($A720&gt;='Control Room'!$A$16,$A720&lt;'Control Room'!$A$16+'Control Room'!$B$16,'Process'!BL5=1),1+('Control Room'!$C$16-1)*EXP(-0.5*(($A720-'Control Room'!$A$16-('Control Room'!$B$16-1)/2)/MAX(0.5,'Control Room'!$B$16/4))^2),1)</x:f>
        <x:v>1</x:v>
      </x:c>
      <x:c r="L720" s="9" t="n">
        <x:f>MOD(M719*16807,2147483647)</x:f>
        <x:v>1077570323</x:v>
      </x:c>
      <x:c r="M720" s="9" t="n">
        <x:f>MOD(L720*16807,2147483647)</x:f>
        <x:v>994823510</x:v>
      </x:c>
      <x:c r="N720" s="17" t="n">
        <x:f>IF('Control Room'!$B$5="Normal",'Control Room'!$B$7+'Control Room'!$D$7*SQRT(-2*LN(MAX(0.000000000001,L720/2147483647)))*COS(2*PI()*M720/2147483647),'Control Room'!$B$8+('Control Room'!$D$8-'Control Room'!$B$8)*L720/2147483647)</x:f>
        <x:v>897.1106063689688</x:v>
      </x:c>
      <x:c r="O720" s="17" t="n">
        <x:f>IF('Control Room'!$B$5="Normal",'Control Room'!$B$7,('Control Room'!$B$8+'Control Room'!$D$8)/2)+'Control Room'!$B$9*(O719-IF('Control Room'!$B$5="Normal",'Control Room'!$B$7,('Control Room'!$B$8+'Control Room'!$D$8)/2))+SQRT(1-'Control Room'!$B$9^2)*(N720-IF('Control Room'!$B$5="Normal",'Control Room'!$B$7,('Control Room'!$B$8+'Control Room'!$D$8)/2))</x:f>
        <x:v>997.6424319352069</x:v>
      </x:c>
      <x:c r="P720" s="17" t="n">
        <x:f>IF(AND($A720&gt;='Control Room'!$A$13,$A720&lt;'Control Room'!$A$13+'Control Room'!$B$13,'Process'!BM2=1),1+('Control Room'!$C$13-1)*EXP(-0.5*(($A720-'Control Room'!$A$13-('Control Room'!$B$13-1)/2)/MAX(0.5,'Control Room'!$B$13/4))^2),1)*IF(AND($A720&gt;='Control Room'!$A$14,$A720&lt;'Control Room'!$A$14+'Control Room'!$B$14,'Process'!BM3=1),1+('Control Room'!$C$14-1)*EXP(-0.5*(($A720-'Control Room'!$A$14-('Control Room'!$B$14-1)/2)/MAX(0.5,'Control Room'!$B$14/4))^2),1)*IF(AND($A720&gt;='Control Room'!$A$15,$A720&lt;'Control Room'!$A$15+'Control Room'!$B$15,'Process'!BM4=1),1+('Control Room'!$C$15-1)*EXP(-0.5*(($A720-'Control Room'!$A$15-('Control Room'!$B$15-1)/2)/MAX(0.5,'Control Room'!$B$15/4))^2),1)*IF(AND($A720&gt;='Control Room'!$A$16,$A720&lt;'Control Room'!$A$16+'Control Room'!$B$16,'Process'!BM5=1),1+('Control Room'!$C$16-1)*EXP(-0.5*(($A720-'Control Room'!$A$16-('Control Room'!$B$16-1)/2)/MAX(0.5,'Control Room'!$B$16/4))^2),1)</x:f>
        <x:v>1</x:v>
      </x:c>
      <x:c r="Q720" s="9" t="n">
        <x:f>MOD(R719*16807,2147483647)</x:f>
        <x:v>1609315354</x:v>
      </x:c>
      <x:c r="R720" s="9" t="n">
        <x:f>MOD(Q720*16807,2147483647)</x:f>
        <x:v>206620713</x:v>
      </x:c>
      <x:c r="S720" s="17" t="n">
        <x:f>IF('Control Room'!$B$5="Normal",'Control Room'!$B$7+'Control Room'!$D$7*SQRT(-2*LN(MAX(0.000000000001,Q720/2147483647)))*COS(2*PI()*R720/2147483647),'Control Room'!$B$8+('Control Room'!$D$8-'Control Room'!$B$8)*Q720/2147483647)</x:f>
        <x:v>1056.2466818103346</x:v>
      </x:c>
      <x:c r="T720" s="17" t="n">
        <x:f>IF('Control Room'!$B$5="Normal",'Control Room'!$B$7,('Control Room'!$B$8+'Control Room'!$D$8)/2)+'Control Room'!$B$9*(T719-IF('Control Room'!$B$5="Normal",'Control Room'!$B$7,('Control Room'!$B$8+'Control Room'!$D$8)/2))+SQRT(1-'Control Room'!$B$9^2)*(S720-IF('Control Room'!$B$5="Normal",'Control Room'!$B$7,('Control Room'!$B$8+'Control Room'!$D$8)/2))</x:f>
        <x:v>1067.0058559709594</x:v>
      </x:c>
      <x:c r="U720" s="17" t="n">
        <x:f>IF(AND($A720&gt;='Control Room'!$A$13,$A720&lt;'Control Room'!$A$13+'Control Room'!$B$13,'Process'!BN2=1),1+('Control Room'!$C$13-1)*EXP(-0.5*(($A720-'Control Room'!$A$13-('Control Room'!$B$13-1)/2)/MAX(0.5,'Control Room'!$B$13/4))^2),1)*IF(AND($A720&gt;='Control Room'!$A$14,$A720&lt;'Control Room'!$A$14+'Control Room'!$B$14,'Process'!BN3=1),1+('Control Room'!$C$14-1)*EXP(-0.5*(($A720-'Control Room'!$A$14-('Control Room'!$B$14-1)/2)/MAX(0.5,'Control Room'!$B$14/4))^2),1)*IF(AND($A720&gt;='Control Room'!$A$15,$A720&lt;'Control Room'!$A$15+'Control Room'!$B$15,'Process'!BN4=1),1+('Control Room'!$C$15-1)*EXP(-0.5*(($A720-'Control Room'!$A$15-('Control Room'!$B$15-1)/2)/MAX(0.5,'Control Room'!$B$15/4))^2),1)*IF(AND($A720&gt;='Control Room'!$A$16,$A720&lt;'Control Room'!$A$16+'Control Room'!$B$16,'Process'!BN5=1),1+('Control Room'!$C$16-1)*EXP(-0.5*(($A720-'Control Room'!$A$16-('Control Room'!$B$16-1)/2)/MAX(0.5,'Control Room'!$B$16/4))^2),1)</x:f>
        <x:v>1</x:v>
      </x:c>
      <x:c r="V720" s="9" t="n">
        <x:f>MOD(W719*16807,2147483647)</x:f>
        <x:v>2141060385</x:v>
      </x:c>
      <x:c r="W720" s="9" t="n">
        <x:f>MOD(V720*16807,2147483647)</x:f>
        <x:v>1565901563</x:v>
      </x:c>
      <x:c r="X720" s="17" t="n">
        <x:f>IF('Control Room'!$B$5="Normal",'Control Room'!$B$7+'Control Room'!$D$7*SQRT(-2*LN(MAX(0.000000000001,V720/2147483647)))*COS(2*PI()*W720/2147483647),'Control Room'!$B$8+('Control Room'!$D$8-'Control Room'!$B$8)*V720/2147483647)</x:f>
        <x:v>999.0912964933063</x:v>
      </x:c>
      <x:c r="Y720" s="17" t="n">
        <x:f>IF('Control Room'!$B$5="Normal",'Control Room'!$B$7,('Control Room'!$B$8+'Control Room'!$D$8)/2)+'Control Room'!$B$9*(Y719-IF('Control Room'!$B$5="Normal",'Control Room'!$B$7,('Control Room'!$B$8+'Control Room'!$D$8)/2))+SQRT(1-'Control Room'!$B$9^2)*(X720-IF('Control Room'!$B$5="Normal",'Control Room'!$B$7,('Control Room'!$B$8+'Control Room'!$D$8)/2))</x:f>
        <x:v>1020.3145583687852</x:v>
      </x:c>
      <x:c r="Z720" s="17" t="n">
        <x:f>IF(AND($A720&gt;='Control Room'!$A$13,$A720&lt;'Control Room'!$A$13+'Control Room'!$B$13,'Process'!BO2=1),1+('Control Room'!$C$13-1)*EXP(-0.5*(($A720-'Control Room'!$A$13-('Control Room'!$B$13-1)/2)/MAX(0.5,'Control Room'!$B$13/4))^2),1)*IF(AND($A720&gt;='Control Room'!$A$14,$A720&lt;'Control Room'!$A$14+'Control Room'!$B$14,'Process'!BO3=1),1+('Control Room'!$C$14-1)*EXP(-0.5*(($A720-'Control Room'!$A$14-('Control Room'!$B$14-1)/2)/MAX(0.5,'Control Room'!$B$14/4))^2),1)*IF(AND($A720&gt;='Control Room'!$A$15,$A720&lt;'Control Room'!$A$15+'Control Room'!$B$15,'Process'!BO4=1),1+('Control Room'!$C$15-1)*EXP(-0.5*(($A720-'Control Room'!$A$15-('Control Room'!$B$15-1)/2)/MAX(0.5,'Control Room'!$B$15/4))^2),1)*IF(AND($A720&gt;='Control Room'!$A$16,$A720&lt;'Control Room'!$A$16+'Control Room'!$B$16,'Process'!BO5=1),1+('Control Room'!$C$16-1)*EXP(-0.5*(($A720-'Control Room'!$A$16-('Control Room'!$B$16-1)/2)/MAX(0.5,'Control Room'!$B$16/4))^2),1)</x:f>
        <x:v>1</x:v>
      </x:c>
      <x:c r="AA720" s="9" t="n">
        <x:f>MOD(AB719*16807,2147483647)</x:f>
        <x:v>525321769</x:v>
      </x:c>
      <x:c r="AB720" s="9" t="n">
        <x:f>MOD(AA720*16807,2147483647)</x:f>
        <x:v>777698766</x:v>
      </x:c>
      <x:c r="AC720" s="17" t="n">
        <x:f>IF('Control Room'!$B$5="Normal",'Control Room'!$B$7+'Control Room'!$D$7*SQRT(-2*LN(MAX(0.000000000001,AA720/2147483647)))*COS(2*PI()*AB720/2147483647),'Control Room'!$B$8+('Control Room'!$D$8-'Control Room'!$B$8)*AA720/2147483647)</x:f>
        <x:v>902.1704020529696</x:v>
      </x:c>
      <x:c r="AD720" s="17" t="n">
        <x:f>IF('Control Room'!$B$5="Normal",'Control Room'!$B$7,('Control Room'!$B$8+'Control Room'!$D$8)/2)+'Control Room'!$B$9*(AD719-IF('Control Room'!$B$5="Normal",'Control Room'!$B$7,('Control Room'!$B$8+'Control Room'!$D$8)/2))+SQRT(1-'Control Room'!$B$9^2)*(AC720-IF('Control Room'!$B$5="Normal",'Control Room'!$B$7,('Control Room'!$B$8+'Control Room'!$D$8)/2))</x:f>
        <x:v>992.2499641019323</x:v>
      </x:c>
      <x:c r="AE720" s="17" t="n">
        <x:f>IF(AND($A720&gt;='Control Room'!$A$13,$A720&lt;'Control Room'!$A$13+'Control Room'!$B$13,'Process'!BP2=1),1+('Control Room'!$C$13-1)*EXP(-0.5*(($A720-'Control Room'!$A$13-('Control Room'!$B$13-1)/2)/MAX(0.5,'Control Room'!$B$13/4))^2),1)*IF(AND($A720&gt;='Control Room'!$A$14,$A720&lt;'Control Room'!$A$14+'Control Room'!$B$14,'Process'!BP3=1),1+('Control Room'!$C$14-1)*EXP(-0.5*(($A720-'Control Room'!$A$14-('Control Room'!$B$14-1)/2)/MAX(0.5,'Control Room'!$B$14/4))^2),1)*IF(AND($A720&gt;='Control Room'!$A$15,$A720&lt;'Control Room'!$A$15+'Control Room'!$B$15,'Process'!BP4=1),1+('Control Room'!$C$15-1)*EXP(-0.5*(($A720-'Control Room'!$A$15-('Control Room'!$B$15-1)/2)/MAX(0.5,'Control Room'!$B$15/4))^2),1)*IF(AND($A720&gt;='Control Room'!$A$16,$A720&lt;'Control Room'!$A$16+'Control Room'!$B$16,'Process'!BP5=1),1+('Control Room'!$C$16-1)*EXP(-0.5*(($A720-'Control Room'!$A$16-('Control Room'!$B$16-1)/2)/MAX(0.5,'Control Room'!$B$16/4))^2),1)</x:f>
        <x:v>1</x:v>
      </x:c>
      <x:c r="AF720" s="9" t="n">
        <x:f>MOD(AG719*16807,2147483647)</x:f>
        <x:v>1057066800</x:v>
      </x:c>
      <x:c r="AG720" s="9" t="n">
        <x:f>MOD(AF720*16807,2147483647)</x:f>
        <x:v>2136979616</x:v>
      </x:c>
      <x:c r="AH720" s="17" t="n">
        <x:f>IF('Control Room'!$B$5="Normal",'Control Room'!$B$7+'Control Room'!$D$7*SQRT(-2*LN(MAX(0.000000000001,AF720/2147483647)))*COS(2*PI()*AG720/2147483647),'Control Room'!$B$8+('Control Room'!$D$8-'Control Room'!$B$8)*AF720/2147483647)</x:f>
        <x:v>1107.106019400688</x:v>
      </x:c>
      <x:c r="AI720" s="17" t="n">
        <x:f>IF('Control Room'!$B$5="Normal",'Control Room'!$B$7,('Control Room'!$B$8+'Control Room'!$D$8)/2)+'Control Room'!$B$9*(AI719-IF('Control Room'!$B$5="Normal",'Control Room'!$B$7,('Control Room'!$B$8+'Control Room'!$D$8)/2))+SQRT(1-'Control Room'!$B$9^2)*(AH720-IF('Control Room'!$B$5="Normal",'Control Room'!$B$7,('Control Room'!$B$8+'Control Room'!$D$8)/2))</x:f>
        <x:v>976.5462125937006</x:v>
      </x:c>
      <x:c r="AJ720" s="17" t="n">
        <x:f>IF(AND($A720&gt;='Control Room'!$A$13,$A720&lt;'Control Room'!$A$13+'Control Room'!$B$13,'Process'!BQ2=1),1+('Control Room'!$C$13-1)*EXP(-0.5*(($A720-'Control Room'!$A$13-('Control Room'!$B$13-1)/2)/MAX(0.5,'Control Room'!$B$13/4))^2),1)*IF(AND($A720&gt;='Control Room'!$A$14,$A720&lt;'Control Room'!$A$14+'Control Room'!$B$14,'Process'!BQ3=1),1+('Control Room'!$C$14-1)*EXP(-0.5*(($A720-'Control Room'!$A$14-('Control Room'!$B$14-1)/2)/MAX(0.5,'Control Room'!$B$14/4))^2),1)*IF(AND($A720&gt;='Control Room'!$A$15,$A720&lt;'Control Room'!$A$15+'Control Room'!$B$15,'Process'!BQ4=1),1+('Control Room'!$C$15-1)*EXP(-0.5*(($A720-'Control Room'!$A$15-('Control Room'!$B$15-1)/2)/MAX(0.5,'Control Room'!$B$15/4))^2),1)*IF(AND($A720&gt;='Control Room'!$A$16,$A720&lt;'Control Room'!$A$16+'Control Room'!$B$16,'Process'!BQ5=1),1+('Control Room'!$C$16-1)*EXP(-0.5*(($A720-'Control Room'!$A$16-('Control Room'!$B$16-1)/2)/MAX(0.5,'Control Room'!$B$16/4))^2),1)</x:f>
        <x:v>1</x:v>
      </x:c>
      <x:c r="AK720" s="9" t="n">
        <x:f>MOD(AL719*16807,2147483647)</x:f>
        <x:v>1588811831</x:v>
      </x:c>
      <x:c r="AL720" s="9" t="n">
        <x:f>MOD(AK720*16807,2147483647)</x:f>
        <x:v>1348776819</x:v>
      </x:c>
      <x:c r="AM720" s="17" t="n">
        <x:f>IF('Control Room'!$B$5="Normal",'Control Room'!$B$7+'Control Room'!$D$7*SQRT(-2*LN(MAX(0.000000000001,AK720/2147483647)))*COS(2*PI()*AL720/2147483647),'Control Room'!$B$8+('Control Room'!$D$8-'Control Room'!$B$8)*AK720/2147483647)</x:f>
        <x:v>951.5605078270029</x:v>
      </x:c>
      <x:c r="AN720" s="17" t="n">
        <x:f>IF('Control Room'!$B$5="Normal",'Control Room'!$B$7,('Control Room'!$B$8+'Control Room'!$D$8)/2)+'Control Room'!$B$9*(AN719-IF('Control Room'!$B$5="Normal",'Control Room'!$B$7,('Control Room'!$B$8+'Control Room'!$D$8)/2))+SQRT(1-'Control Room'!$B$9^2)*(AM720-IF('Control Room'!$B$5="Normal",'Control Room'!$B$7,('Control Room'!$B$8+'Control Room'!$D$8)/2))</x:f>
        <x:v>945.3695371260587</x:v>
      </x:c>
      <x:c r="AO720" s="17" t="n">
        <x:f>IF(AND($A720&gt;='Control Room'!$A$13,$A720&lt;'Control Room'!$A$13+'Control Room'!$B$13,'Process'!BR2=1),1+('Control Room'!$C$13-1)*EXP(-0.5*(($A720-'Control Room'!$A$13-('Control Room'!$B$13-1)/2)/MAX(0.5,'Control Room'!$B$13/4))^2),1)*IF(AND($A720&gt;='Control Room'!$A$14,$A720&lt;'Control Room'!$A$14+'Control Room'!$B$14,'Process'!BR3=1),1+('Control Room'!$C$14-1)*EXP(-0.5*(($A720-'Control Room'!$A$14-('Control Room'!$B$14-1)/2)/MAX(0.5,'Control Room'!$B$14/4))^2),1)*IF(AND($A720&gt;='Control Room'!$A$15,$A720&lt;'Control Room'!$A$15+'Control Room'!$B$15,'Process'!BR4=1),1+('Control Room'!$C$15-1)*EXP(-0.5*(($A720-'Control Room'!$A$15-('Control Room'!$B$15-1)/2)/MAX(0.5,'Control Room'!$B$15/4))^2),1)*IF(AND($A720&gt;='Control Room'!$A$16,$A720&lt;'Control Room'!$A$16+'Control Room'!$B$16,'Process'!BR5=1),1+('Control Room'!$C$16-1)*EXP(-0.5*(($A720-'Control Room'!$A$16-('Control Room'!$B$16-1)/2)/MAX(0.5,'Control Room'!$B$16/4))^2),1)</x:f>
        <x:v>1</x:v>
      </x:c>
      <x:c r="AP720" s="9" t="n">
        <x:f>MOD(AQ719*16807,2147483647)</x:f>
        <x:v>2120556862</x:v>
      </x:c>
      <x:c r="AQ720" s="9" t="n">
        <x:f>MOD(AP720*16807,2147483647)</x:f>
        <x:v>560574022</x:v>
      </x:c>
      <x:c r="AR720" s="17" t="n">
        <x:f>IF('Control Room'!$B$5="Normal",'Control Room'!$B$7+'Control Room'!$D$7*SQRT(-2*LN(MAX(0.000000000001,AP720/2147483647)))*COS(2*PI()*AQ720/2147483647),'Control Room'!$B$8+('Control Room'!$D$8-'Control Room'!$B$8)*AP720/2147483647)</x:f>
        <x:v>999.0092581168321</x:v>
      </x:c>
      <x:c r="AS720" s="17" t="n">
        <x:f>IF('Control Room'!$B$5="Normal",'Control Room'!$B$7,('Control Room'!$B$8+'Control Room'!$D$8)/2)+'Control Room'!$B$9*(AS719-IF('Control Room'!$B$5="Normal",'Control Room'!$B$7,('Control Room'!$B$8+'Control Room'!$D$8)/2))+SQRT(1-'Control Room'!$B$9^2)*(AR720-IF('Control Room'!$B$5="Normal",'Control Room'!$B$7,('Control Room'!$B$8+'Control Room'!$D$8)/2))</x:f>
        <x:v>1047.618756549719</x:v>
      </x:c>
      <x:c r="AT720" s="17" t="n">
        <x:f>IF(AND($A720&gt;='Control Room'!$A$13,$A720&lt;'Control Room'!$A$13+'Control Room'!$B$13,'Process'!BS2=1),1+('Control Room'!$C$13-1)*EXP(-0.5*(($A720-'Control Room'!$A$13-('Control Room'!$B$13-1)/2)/MAX(0.5,'Control Room'!$B$13/4))^2),1)*IF(AND($A720&gt;='Control Room'!$A$14,$A720&lt;'Control Room'!$A$14+'Control Room'!$B$14,'Process'!BS3=1),1+('Control Room'!$C$14-1)*EXP(-0.5*(($A720-'Control Room'!$A$14-('Control Room'!$B$14-1)/2)/MAX(0.5,'Control Room'!$B$14/4))^2),1)*IF(AND($A720&gt;='Control Room'!$A$15,$A720&lt;'Control Room'!$A$15+'Control Room'!$B$15,'Process'!BS4=1),1+('Control Room'!$C$15-1)*EXP(-0.5*(($A720-'Control Room'!$A$15-('Control Room'!$B$15-1)/2)/MAX(0.5,'Control Room'!$B$15/4))^2),1)*IF(AND($A720&gt;='Control Room'!$A$16,$A720&lt;'Control Room'!$A$16+'Control Room'!$B$16,'Process'!BS5=1),1+('Control Room'!$C$16-1)*EXP(-0.5*(($A720-'Control Room'!$A$16-('Control Room'!$B$16-1)/2)/MAX(0.5,'Control Room'!$B$16/4))^2),1)</x:f>
        <x:v>1</x:v>
      </x:c>
      <x:c r="AU720" s="9" t="n">
        <x:f>MOD(AV719*16807,2147483647)</x:f>
        <x:v>504818246</x:v>
      </x:c>
      <x:c r="AV720" s="9" t="n">
        <x:f>MOD(AU720*16807,2147483647)</x:f>
        <x:v>1919854872</x:v>
      </x:c>
      <x:c r="AW720" s="17" t="n">
        <x:f>IF('Control Room'!$B$5="Normal",'Control Room'!$B$7+'Control Room'!$D$7*SQRT(-2*LN(MAX(0.000000000001,AU720/2147483647)))*COS(2*PI()*AV720/2147483647),'Control Room'!$B$8+('Control Room'!$D$8-'Control Room'!$B$8)*AU720/2147483647)</x:f>
        <x:v>1120.4221012702167</x:v>
      </x:c>
      <x:c r="AX720" s="17" t="n">
        <x:f>IF('Control Room'!$B$5="Normal",'Control Room'!$B$7,('Control Room'!$B$8+'Control Room'!$D$8)/2)+'Control Room'!$B$9*(AX719-IF('Control Room'!$B$5="Normal",'Control Room'!$B$7,('Control Room'!$B$8+'Control Room'!$D$8)/2))+SQRT(1-'Control Room'!$B$9^2)*(AW720-IF('Control Room'!$B$5="Normal",'Control Room'!$B$7,('Control Room'!$B$8+'Control Room'!$D$8)/2))</x:f>
        <x:v>1089.2093114958789</x:v>
      </x:c>
      <x:c r="AY720" s="17" t="n">
        <x:f>IF(AND($A720&gt;='Control Room'!$A$13,$A720&lt;'Control Room'!$A$13+'Control Room'!$B$13,'Process'!BT2=1),1+('Control Room'!$C$13-1)*EXP(-0.5*(($A720-'Control Room'!$A$13-('Control Room'!$B$13-1)/2)/MAX(0.5,'Control Room'!$B$13/4))^2),1)*IF(AND($A720&gt;='Control Room'!$A$14,$A720&lt;'Control Room'!$A$14+'Control Room'!$B$14,'Process'!BT3=1),1+('Control Room'!$C$14-1)*EXP(-0.5*(($A720-'Control Room'!$A$14-('Control Room'!$B$14-1)/2)/MAX(0.5,'Control Room'!$B$14/4))^2),1)*IF(AND($A720&gt;='Control Room'!$A$15,$A720&lt;'Control Room'!$A$15+'Control Room'!$B$15,'Process'!BT4=1),1+('Control Room'!$C$15-1)*EXP(-0.5*(($A720-'Control Room'!$A$15-('Control Room'!$B$15-1)/2)/MAX(0.5,'Control Room'!$B$15/4))^2),1)*IF(AND($A720&gt;='Control Room'!$A$16,$A720&lt;'Control Room'!$A$16+'Control Room'!$B$16,'Process'!BT5=1),1+('Control Room'!$C$16-1)*EXP(-0.5*(($A720-'Control Room'!$A$16-('Control Room'!$B$16-1)/2)/MAX(0.5,'Control Room'!$B$16/4))^2),1)</x:f>
        <x:v>1</x:v>
      </x:c>
      <x:c r="AZ720" s="9" t="n">
        <x:f>MOD(BA719*16807,2147483647)</x:f>
        <x:v>1036563277</x:v>
      </x:c>
      <x:c r="BA720" s="9" t="n">
        <x:f>MOD(AZ720*16807,2147483647)</x:f>
        <x:v>1131652075</x:v>
      </x:c>
      <x:c r="BB720" s="17" t="n">
        <x:f>IF('Control Room'!$B$5="Normal",'Control Room'!$B$7+'Control Room'!$D$7*SQRT(-2*LN(MAX(0.000000000001,AZ720/2147483647)))*COS(2*PI()*BA720/2147483647),'Control Room'!$B$8+('Control Room'!$D$8-'Control Room'!$B$8)*AZ720/2147483647)</x:f>
        <x:v>892.9284020207231</x:v>
      </x:c>
      <x:c r="BC720" s="17" t="n">
        <x:f>IF('Control Room'!$B$5="Normal",'Control Room'!$B$7,('Control Room'!$B$8+'Control Room'!$D$8)/2)+'Control Room'!$B$9*(BC719-IF('Control Room'!$B$5="Normal",'Control Room'!$B$7,('Control Room'!$B$8+'Control Room'!$D$8)/2))+SQRT(1-'Control Room'!$B$9^2)*(BB720-IF('Control Room'!$B$5="Normal",'Control Room'!$B$7,('Control Room'!$B$8+'Control Room'!$D$8)/2))</x:f>
        <x:v>935.0736065014406</x:v>
      </x:c>
      <x:c r="BD720" s="17" t="n">
        <x:f>IF(AND($A720&gt;='Control Room'!$A$13,$A720&lt;'Control Room'!$A$13+'Control Room'!$B$13,'Process'!BU2=1),1+('Control Room'!$C$13-1)*EXP(-0.5*(($A720-'Control Room'!$A$13-('Control Room'!$B$13-1)/2)/MAX(0.5,'Control Room'!$B$13/4))^2),1)*IF(AND($A720&gt;='Control Room'!$A$14,$A720&lt;'Control Room'!$A$14+'Control Room'!$B$14,'Process'!BU3=1),1+('Control Room'!$C$14-1)*EXP(-0.5*(($A720-'Control Room'!$A$14-('Control Room'!$B$14-1)/2)/MAX(0.5,'Control Room'!$B$14/4))^2),1)*IF(AND($A720&gt;='Control Room'!$A$15,$A720&lt;'Control Room'!$A$15+'Control Room'!$B$15,'Process'!BU4=1),1+('Control Room'!$C$15-1)*EXP(-0.5*(($A720-'Control Room'!$A$15-('Control Room'!$B$15-1)/2)/MAX(0.5,'Control Room'!$B$15/4))^2),1)*IF(AND($A720&gt;='Control Room'!$A$16,$A720&lt;'Control Room'!$A$16+'Control Room'!$B$16,'Process'!BU5=1),1+('Control Room'!$C$16-1)*EXP(-0.5*(($A720-'Control Room'!$A$16-('Control Room'!$B$16-1)/2)/MAX(0.5,'Control Room'!$B$16/4))^2),1)</x:f>
        <x:v>1</x:v>
      </x:c>
      <x:c r="BE720" s="9" t="n">
        <x:f>MOD(BF719*16807,2147483647)</x:f>
        <x:v>1568308308</x:v>
      </x:c>
      <x:c r="BF720" s="9" t="n">
        <x:f>MOD(BE720*16807,2147483647)</x:f>
        <x:v>343449278</x:v>
      </x:c>
      <x:c r="BG720" s="17" t="n">
        <x:f>IF('Control Room'!$B$5="Normal",'Control Room'!$B$7+'Control Room'!$D$7*SQRT(-2*LN(MAX(0.000000000001,BE720/2147483647)))*COS(2*PI()*BF720/2147483647),'Control Room'!$B$8+('Control Room'!$D$8-'Control Room'!$B$8)*BE720/2147483647)</x:f>
        <x:v>1038.2604434298519</x:v>
      </x:c>
      <x:c r="BH720" s="17" t="n">
        <x:f>IF('Control Room'!$B$5="Normal",'Control Room'!$B$7,('Control Room'!$B$8+'Control Room'!$D$8)/2)+'Control Room'!$B$9*(BH719-IF('Control Room'!$B$5="Normal",'Control Room'!$B$7,('Control Room'!$B$8+'Control Room'!$D$8)/2))+SQRT(1-'Control Room'!$B$9^2)*(BG720-IF('Control Room'!$B$5="Normal",'Control Room'!$B$7,('Control Room'!$B$8+'Control Room'!$D$8)/2))</x:f>
        <x:v>1008.0584753268062</x:v>
      </x:c>
      <x:c r="BI720" s="17" t="n">
        <x:f>IF(AND($A720&gt;='Control Room'!$A$13,$A720&lt;'Control Room'!$A$13+'Control Room'!$B$13,'Process'!BV2=1),1+('Control Room'!$C$13-1)*EXP(-0.5*(($A720-'Control Room'!$A$13-('Control Room'!$B$13-1)/2)/MAX(0.5,'Control Room'!$B$13/4))^2),1)*IF(AND($A720&gt;='Control Room'!$A$14,$A720&lt;'Control Room'!$A$14+'Control Room'!$B$14,'Process'!BV3=1),1+('Control Room'!$C$14-1)*EXP(-0.5*(($A720-'Control Room'!$A$14-('Control Room'!$B$14-1)/2)/MAX(0.5,'Control Room'!$B$14/4))^2),1)*IF(AND($A720&gt;='Control Room'!$A$15,$A720&lt;'Control Room'!$A$15+'Control Room'!$B$15,'Process'!BV4=1),1+('Control Room'!$C$15-1)*EXP(-0.5*(($A720-'Control Room'!$A$15-('Control Room'!$B$15-1)/2)/MAX(0.5,'Control Room'!$B$15/4))^2),1)*IF(AND($A720&gt;='Control Room'!$A$16,$A720&lt;'Control Room'!$A$16+'Control Room'!$B$16,'Process'!BV5=1),1+('Control Room'!$C$16-1)*EXP(-0.5*(($A720-'Control Room'!$A$16-('Control Room'!$B$16-1)/2)/MAX(0.5,'Control Room'!$B$16/4))^2),1)</x:f>
        <x:v>1</x:v>
      </x:c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Z720" t="str">
        <x:f>IF('Data'!A720="","",TEXT('Data'!A720,"mm-dd"))</x:f>
      </x:c>
    </x:row>
    <x:row r="721" ht="21" customHeight="1">
      <x:c r="A721" s="15" t="n">
        <x:f>'Control Room'!$B$1+719</x:f>
        <x:v>73710</x:v>
      </x:c>
      <x:c r="B721" s="9" t="n">
        <x:f>MOD(C720*16807,2147483647)</x:f>
        <x:v>834122347</x:v>
      </x:c>
      <x:c r="C721" s="9" t="n">
        <x:f>MOD(B721*16807,2147483647)</x:f>
        <x:v>321038413</x:v>
      </x:c>
      <x:c r="D721" s="17" t="n">
        <x:f>IF('Control Room'!$B$5="Normal",'Control Room'!$B$7+'Control Room'!$D$7*SQRT(-2*LN(MAX(0.000000000001,B721/2147483647)))*COS(2*PI()*C721/2147483647),'Control Room'!$B$8+('Control Room'!$D$8-'Control Room'!$B$8)*B721/2147483647)</x:f>
        <x:v>1073.0695139720935</x:v>
      </x:c>
      <x:c r="E721" s="17" t="n">
        <x:f>IF('Control Room'!$B$5="Normal",'Control Room'!$B$7,('Control Room'!$B$8+'Control Room'!$D$8)/2)+'Control Room'!$B$9*(E720-IF('Control Room'!$B$5="Normal",'Control Room'!$B$7,('Control Room'!$B$8+'Control Room'!$D$8)/2))+SQRT(1-'Control Room'!$B$9^2)*(D721-IF('Control Room'!$B$5="Normal",'Control Room'!$B$7,('Control Room'!$B$8+'Control Room'!$D$8)/2))</x:f>
        <x:v>1087.0905389589266</x:v>
      </x:c>
      <x:c r="F721" s="17" t="n">
        <x:f>IF(AND($A721&gt;='Control Room'!$A$13,$A721&lt;'Control Room'!$A$13+'Control Room'!$B$13,'Process'!BK2=1),1+('Control Room'!$C$13-1)*EXP(-0.5*(($A721-'Control Room'!$A$13-('Control Room'!$B$13-1)/2)/MAX(0.5,'Control Room'!$B$13/4))^2),1)*IF(AND($A721&gt;='Control Room'!$A$14,$A721&lt;'Control Room'!$A$14+'Control Room'!$B$14,'Process'!BK3=1),1+('Control Room'!$C$14-1)*EXP(-0.5*(($A721-'Control Room'!$A$14-('Control Room'!$B$14-1)/2)/MAX(0.5,'Control Room'!$B$14/4))^2),1)*IF(AND($A721&gt;='Control Room'!$A$15,$A721&lt;'Control Room'!$A$15+'Control Room'!$B$15,'Process'!BK4=1),1+('Control Room'!$C$15-1)*EXP(-0.5*(($A721-'Control Room'!$A$15-('Control Room'!$B$15-1)/2)/MAX(0.5,'Control Room'!$B$15/4))^2),1)*IF(AND($A721&gt;='Control Room'!$A$16,$A721&lt;'Control Room'!$A$16+'Control Room'!$B$16,'Process'!BK5=1),1+('Control Room'!$C$16-1)*EXP(-0.5*(($A721-'Control Room'!$A$16-('Control Room'!$B$16-1)/2)/MAX(0.5,'Control Room'!$B$16/4))^2),1)</x:f>
        <x:v>1</x:v>
      </x:c>
      <x:c r="G721" s="9" t="n">
        <x:f>MOD(H720*16807,2147483647)</x:f>
        <x:v>1336331511</x:v>
      </x:c>
      <x:c r="H721" s="9" t="n">
        <x:f>MOD(G721*16807,2147483647)</x:f>
        <x:v>1339725051</x:v>
      </x:c>
      <x:c r="I721" s="17" t="n">
        <x:f>IF('Control Room'!$B$5="Normal",'Control Room'!$B$7+'Control Room'!$D$7*SQRT(-2*LN(MAX(0.000000000001,G721/2147483647)))*COS(2*PI()*H721/2147483647),'Control Room'!$B$8+('Control Room'!$D$8-'Control Room'!$B$8)*G721/2147483647)</x:f>
        <x:v>937.5698756101278</x:v>
      </x:c>
      <x:c r="J721" s="17" t="n">
        <x:f>IF('Control Room'!$B$5="Normal",'Control Room'!$B$7,('Control Room'!$B$8+'Control Room'!$D$8)/2)+'Control Room'!$B$9*(J720-IF('Control Room'!$B$5="Normal",'Control Room'!$B$7,('Control Room'!$B$8+'Control Room'!$D$8)/2))+SQRT(1-'Control Room'!$B$9^2)*(I721-IF('Control Room'!$B$5="Normal",'Control Room'!$B$7,('Control Room'!$B$8+'Control Room'!$D$8)/2))</x:f>
        <x:v>943.696800942658</x:v>
      </x:c>
      <x:c r="K721" s="17" t="n">
        <x:f>IF(AND($A721&gt;='Control Room'!$A$13,$A721&lt;'Control Room'!$A$13+'Control Room'!$B$13,'Process'!BL2=1),1+('Control Room'!$C$13-1)*EXP(-0.5*(($A721-'Control Room'!$A$13-('Control Room'!$B$13-1)/2)/MAX(0.5,'Control Room'!$B$13/4))^2),1)*IF(AND($A721&gt;='Control Room'!$A$14,$A721&lt;'Control Room'!$A$14+'Control Room'!$B$14,'Process'!BL3=1),1+('Control Room'!$C$14-1)*EXP(-0.5*(($A721-'Control Room'!$A$14-('Control Room'!$B$14-1)/2)/MAX(0.5,'Control Room'!$B$14/4))^2),1)*IF(AND($A721&gt;='Control Room'!$A$15,$A721&lt;'Control Room'!$A$15+'Control Room'!$B$15,'Process'!BL4=1),1+('Control Room'!$C$15-1)*EXP(-0.5*(($A721-'Control Room'!$A$15-('Control Room'!$B$15-1)/2)/MAX(0.5,'Control Room'!$B$15/4))^2),1)*IF(AND($A721&gt;='Control Room'!$A$16,$A721&lt;'Control Room'!$A$16+'Control Room'!$B$16,'Process'!BL5=1),1+('Control Room'!$C$16-1)*EXP(-0.5*(($A721-'Control Room'!$A$16-('Control Room'!$B$16-1)/2)/MAX(0.5,'Control Room'!$B$16/4))^2),1)</x:f>
        <x:v>1</x:v>
      </x:c>
      <x:c r="L721" s="9" t="n">
        <x:f>MOD(M720*16807,2147483647)</x:f>
        <x:v>1838540675</x:v>
      </x:c>
      <x:c r="M721" s="9" t="n">
        <x:f>MOD(L721*16807,2147483647)</x:f>
        <x:v>210928042</x:v>
      </x:c>
      <x:c r="N721" s="17" t="n">
        <x:f>IF('Control Room'!$B$5="Normal",'Control Room'!$B$7+'Control Room'!$D$7*SQRT(-2*LN(MAX(0.000000000001,L721/2147483647)))*COS(2*PI()*M721/2147483647),'Control Room'!$B$8+('Control Room'!$D$8-'Control Room'!$B$8)*L721/2147483647)</x:f>
        <x:v>1040.9091996576742</x:v>
      </x:c>
      <x:c r="O721" s="17" t="n">
        <x:f>IF('Control Room'!$B$5="Normal",'Control Room'!$B$7,('Control Room'!$B$8+'Control Room'!$D$8)/2)+'Control Room'!$B$9*(O720-IF('Control Room'!$B$5="Normal",'Control Room'!$B$7,('Control Room'!$B$8+'Control Room'!$D$8)/2))+SQRT(1-'Control Room'!$B$9^2)*(N721-IF('Control Room'!$B$5="Normal",'Control Room'!$B$7,('Control Room'!$B$8+'Control Room'!$D$8)/2))</x:f>
        <x:v>1023.7612359847258</x:v>
      </x:c>
      <x:c r="P721" s="17" t="n">
        <x:f>IF(AND($A721&gt;='Control Room'!$A$13,$A721&lt;'Control Room'!$A$13+'Control Room'!$B$13,'Process'!BM2=1),1+('Control Room'!$C$13-1)*EXP(-0.5*(($A721-'Control Room'!$A$13-('Control Room'!$B$13-1)/2)/MAX(0.5,'Control Room'!$B$13/4))^2),1)*IF(AND($A721&gt;='Control Room'!$A$14,$A721&lt;'Control Room'!$A$14+'Control Room'!$B$14,'Process'!BM3=1),1+('Control Room'!$C$14-1)*EXP(-0.5*(($A721-'Control Room'!$A$14-('Control Room'!$B$14-1)/2)/MAX(0.5,'Control Room'!$B$14/4))^2),1)*IF(AND($A721&gt;='Control Room'!$A$15,$A721&lt;'Control Room'!$A$15+'Control Room'!$B$15,'Process'!BM4=1),1+('Control Room'!$C$15-1)*EXP(-0.5*(($A721-'Control Room'!$A$15-('Control Room'!$B$15-1)/2)/MAX(0.5,'Control Room'!$B$15/4))^2),1)*IF(AND($A721&gt;='Control Room'!$A$16,$A721&lt;'Control Room'!$A$16+'Control Room'!$B$16,'Process'!BM5=1),1+('Control Room'!$C$16-1)*EXP(-0.5*(($A721-'Control Room'!$A$16-('Control Room'!$B$16-1)/2)/MAX(0.5,'Control Room'!$B$16/4))^2),1)</x:f>
        <x:v>1</x:v>
      </x:c>
      <x:c r="Q721" s="9" t="n">
        <x:f>MOD(R720*16807,2147483647)</x:f>
        <x:v>193266192</x:v>
      </x:c>
      <x:c r="R721" s="9" t="n">
        <x:f>MOD(Q721*16807,2147483647)</x:f>
        <x:v>1229614680</x:v>
      </x:c>
      <x:c r="S721" s="17" t="n">
        <x:f>IF('Control Room'!$B$5="Normal",'Control Room'!$B$7+'Control Room'!$D$7*SQRT(-2*LN(MAX(0.000000000001,Q721/2147483647)))*COS(2*PI()*R721/2147483647),'Control Room'!$B$8+('Control Room'!$D$8-'Control Room'!$B$8)*Q721/2147483647)</x:f>
        <x:v>822.6784033180661</x:v>
      </x:c>
      <x:c r="T721" s="17" t="n">
        <x:f>IF('Control Room'!$B$5="Normal",'Control Room'!$B$7,('Control Room'!$B$8+'Control Room'!$D$8)/2)+'Control Room'!$B$9*(T720-IF('Control Room'!$B$5="Normal",'Control Room'!$B$7,('Control Room'!$B$8+'Control Room'!$D$8)/2))+SQRT(1-'Control Room'!$B$9^2)*(S721-IF('Control Room'!$B$5="Normal",'Control Room'!$B$7,('Control Room'!$B$8+'Control Room'!$D$8)/2))</x:f>
        <x:v>941.3003450841533</x:v>
      </x:c>
      <x:c r="U721" s="17" t="n">
        <x:f>IF(AND($A721&gt;='Control Room'!$A$13,$A721&lt;'Control Room'!$A$13+'Control Room'!$B$13,'Process'!BN2=1),1+('Control Room'!$C$13-1)*EXP(-0.5*(($A721-'Control Room'!$A$13-('Control Room'!$B$13-1)/2)/MAX(0.5,'Control Room'!$B$13/4))^2),1)*IF(AND($A721&gt;='Control Room'!$A$14,$A721&lt;'Control Room'!$A$14+'Control Room'!$B$14,'Process'!BN3=1),1+('Control Room'!$C$14-1)*EXP(-0.5*(($A721-'Control Room'!$A$14-('Control Room'!$B$14-1)/2)/MAX(0.5,'Control Room'!$B$14/4))^2),1)*IF(AND($A721&gt;='Control Room'!$A$15,$A721&lt;'Control Room'!$A$15+'Control Room'!$B$15,'Process'!BN4=1),1+('Control Room'!$C$15-1)*EXP(-0.5*(($A721-'Control Room'!$A$15-('Control Room'!$B$15-1)/2)/MAX(0.5,'Control Room'!$B$15/4))^2),1)*IF(AND($A721&gt;='Control Room'!$A$16,$A721&lt;'Control Room'!$A$16+'Control Room'!$B$16,'Process'!BN5=1),1+('Control Room'!$C$16-1)*EXP(-0.5*(($A721-'Control Room'!$A$16-('Control Room'!$B$16-1)/2)/MAX(0.5,'Control Room'!$B$16/4))^2),1)</x:f>
        <x:v>1</x:v>
      </x:c>
      <x:c r="V721" s="9" t="n">
        <x:f>MOD(W720*16807,2147483647)</x:f>
        <x:v>695475356</x:v>
      </x:c>
      <x:c r="W721" s="9" t="n">
        <x:f>MOD(V721*16807,2147483647)</x:f>
        <x:v>100817671</x:v>
      </x:c>
      <x:c r="X721" s="17" t="n">
        <x:f>IF('Control Room'!$B$5="Normal",'Control Room'!$B$7+'Control Room'!$D$7*SQRT(-2*LN(MAX(0.000000000001,V721/2147483647)))*COS(2*PI()*W721/2147483647),'Control Room'!$B$8+('Control Room'!$D$8-'Control Room'!$B$8)*V721/2147483647)</x:f>
        <x:v>1129.3101766694467</x:v>
      </x:c>
      <x:c r="Y721" s="17" t="n">
        <x:f>IF('Control Room'!$B$5="Normal",'Control Room'!$B$7,('Control Room'!$B$8+'Control Room'!$D$8)/2)+'Control Room'!$B$9*(Y720-IF('Control Room'!$B$5="Normal",'Control Room'!$B$7,('Control Room'!$B$8+'Control Room'!$D$8)/2))+SQRT(1-'Control Room'!$B$9^2)*(X721-IF('Control Room'!$B$5="Normal",'Control Room'!$B$7,('Control Room'!$B$8+'Control Room'!$D$8)/2))</x:f>
        <x:v>1096.7650150244338</x:v>
      </x:c>
      <x:c r="Z721" s="17" t="n">
        <x:f>IF(AND($A721&gt;='Control Room'!$A$13,$A721&lt;'Control Room'!$A$13+'Control Room'!$B$13,'Process'!BO2=1),1+('Control Room'!$C$13-1)*EXP(-0.5*(($A721-'Control Room'!$A$13-('Control Room'!$B$13-1)/2)/MAX(0.5,'Control Room'!$B$13/4))^2),1)*IF(AND($A721&gt;='Control Room'!$A$14,$A721&lt;'Control Room'!$A$14+'Control Room'!$B$14,'Process'!BO3=1),1+('Control Room'!$C$14-1)*EXP(-0.5*(($A721-'Control Room'!$A$14-('Control Room'!$B$14-1)/2)/MAX(0.5,'Control Room'!$B$14/4))^2),1)*IF(AND($A721&gt;='Control Room'!$A$15,$A721&lt;'Control Room'!$A$15+'Control Room'!$B$15,'Process'!BO4=1),1+('Control Room'!$C$15-1)*EXP(-0.5*(($A721-'Control Room'!$A$15-('Control Room'!$B$15-1)/2)/MAX(0.5,'Control Room'!$B$15/4))^2),1)*IF(AND($A721&gt;='Control Room'!$A$16,$A721&lt;'Control Room'!$A$16+'Control Room'!$B$16,'Process'!BO5=1),1+('Control Room'!$C$16-1)*EXP(-0.5*(($A721-'Control Room'!$A$16-('Control Room'!$B$16-1)/2)/MAX(0.5,'Control Room'!$B$16/4))^2),1)</x:f>
        <x:v>1</x:v>
      </x:c>
      <x:c r="AA721" s="9" t="n">
        <x:f>MOD(AB720*16807,2147483647)</x:f>
        <x:v>1197684520</x:v>
      </x:c>
      <x:c r="AB721" s="9" t="n">
        <x:f>MOD(AA721*16807,2147483647)</x:f>
        <x:v>1119504309</x:v>
      </x:c>
      <x:c r="AC721" s="17" t="n">
        <x:f>IF('Control Room'!$B$5="Normal",'Control Room'!$B$7+'Control Room'!$D$7*SQRT(-2*LN(MAX(0.000000000001,AA721/2147483647)))*COS(2*PI()*AB721/2147483647),'Control Room'!$B$8+('Control Room'!$D$8-'Control Room'!$B$8)*AA721/2147483647)</x:f>
        <x:v>903.6116331598288</x:v>
      </x:c>
      <x:c r="AD721" s="17" t="n">
        <x:f>IF('Control Room'!$B$5="Normal",'Control Room'!$B$7,('Control Room'!$B$8+'Control Room'!$D$8)/2)+'Control Room'!$B$9*(AD720-IF('Control Room'!$B$5="Normal",'Control Room'!$B$7,('Control Room'!$B$8+'Control Room'!$D$8)/2))+SQRT(1-'Control Room'!$B$9^2)*(AC721-IF('Control Room'!$B$5="Normal",'Control Room'!$B$7,('Control Room'!$B$8+'Control Room'!$D$8)/2))</x:f>
        <x:v>933.6371066539531</x:v>
      </x:c>
      <x:c r="AE721" s="17" t="n">
        <x:f>IF(AND($A721&gt;='Control Room'!$A$13,$A721&lt;'Control Room'!$A$13+'Control Room'!$B$13,'Process'!BP2=1),1+('Control Room'!$C$13-1)*EXP(-0.5*(($A721-'Control Room'!$A$13-('Control Room'!$B$13-1)/2)/MAX(0.5,'Control Room'!$B$13/4))^2),1)*IF(AND($A721&gt;='Control Room'!$A$14,$A721&lt;'Control Room'!$A$14+'Control Room'!$B$14,'Process'!BP3=1),1+('Control Room'!$C$14-1)*EXP(-0.5*(($A721-'Control Room'!$A$14-('Control Room'!$B$14-1)/2)/MAX(0.5,'Control Room'!$B$14/4))^2),1)*IF(AND($A721&gt;='Control Room'!$A$15,$A721&lt;'Control Room'!$A$15+'Control Room'!$B$15,'Process'!BP4=1),1+('Control Room'!$C$15-1)*EXP(-0.5*(($A721-'Control Room'!$A$15-('Control Room'!$B$15-1)/2)/MAX(0.5,'Control Room'!$B$15/4))^2),1)*IF(AND($A721&gt;='Control Room'!$A$16,$A721&lt;'Control Room'!$A$16+'Control Room'!$B$16,'Process'!BP5=1),1+('Control Room'!$C$16-1)*EXP(-0.5*(($A721-'Control Room'!$A$16-('Control Room'!$B$16-1)/2)/MAX(0.5,'Control Room'!$B$16/4))^2),1)</x:f>
        <x:v>1</x:v>
      </x:c>
      <x:c r="AF721" s="9" t="n">
        <x:f>MOD(AG720*16807,2147483647)</x:f>
        <x:v>1699893684</x:v>
      </x:c>
      <x:c r="AG721" s="9" t="n">
        <x:f>MOD(AF721*16807,2147483647)</x:f>
        <x:v>2138190947</x:v>
      </x:c>
      <x:c r="AH721" s="17" t="n">
        <x:f>IF('Control Room'!$B$5="Normal",'Control Room'!$B$7+'Control Room'!$D$7*SQRT(-2*LN(MAX(0.000000000001,AF721/2147483647)))*COS(2*PI()*AG721/2147483647),'Control Room'!$B$8+('Control Room'!$D$8-'Control Room'!$B$8)*AF721/2147483647)</x:f>
        <x:v>1061.5113372843582</x:v>
      </x:c>
      <x:c r="AI721" s="17" t="n">
        <x:f>IF('Control Room'!$B$5="Normal",'Control Room'!$B$7,('Control Room'!$B$8+'Control Room'!$D$8)/2)+'Control Room'!$B$9*(AI720-IF('Control Room'!$B$5="Normal",'Control Room'!$B$7,('Control Room'!$B$8+'Control Room'!$D$8)/2))+SQRT(1-'Control Room'!$B$9^2)*(AH721-IF('Control Room'!$B$5="Normal",'Control Room'!$B$7,('Control Room'!$B$8+'Control Room'!$D$8)/2))</x:f>
        <x:v>1020.1985805673995</x:v>
      </x:c>
      <x:c r="AJ721" s="17" t="n">
        <x:f>IF(AND($A721&gt;='Control Room'!$A$13,$A721&lt;'Control Room'!$A$13+'Control Room'!$B$13,'Process'!BQ2=1),1+('Control Room'!$C$13-1)*EXP(-0.5*(($A721-'Control Room'!$A$13-('Control Room'!$B$13-1)/2)/MAX(0.5,'Control Room'!$B$13/4))^2),1)*IF(AND($A721&gt;='Control Room'!$A$14,$A721&lt;'Control Room'!$A$14+'Control Room'!$B$14,'Process'!BQ3=1),1+('Control Room'!$C$14-1)*EXP(-0.5*(($A721-'Control Room'!$A$14-('Control Room'!$B$14-1)/2)/MAX(0.5,'Control Room'!$B$14/4))^2),1)*IF(AND($A721&gt;='Control Room'!$A$15,$A721&lt;'Control Room'!$A$15+'Control Room'!$B$15,'Process'!BQ4=1),1+('Control Room'!$C$15-1)*EXP(-0.5*(($A721-'Control Room'!$A$15-('Control Room'!$B$15-1)/2)/MAX(0.5,'Control Room'!$B$15/4))^2),1)*IF(AND($A721&gt;='Control Room'!$A$16,$A721&lt;'Control Room'!$A$16+'Control Room'!$B$16,'Process'!BQ5=1),1+('Control Room'!$C$16-1)*EXP(-0.5*(($A721-'Control Room'!$A$16-('Control Room'!$B$16-1)/2)/MAX(0.5,'Control Room'!$B$16/4))^2),1)</x:f>
        <x:v>1</x:v>
      </x:c>
      <x:c r="AK721" s="9" t="n">
        <x:f>MOD(AL720*16807,2147483647)</x:f>
        <x:v>54619201</x:v>
      </x:c>
      <x:c r="AL721" s="9" t="n">
        <x:f>MOD(AK721*16807,2147483647)</x:f>
        <x:v>1009393938</x:v>
      </x:c>
      <x:c r="AM721" s="17" t="n">
        <x:f>IF('Control Room'!$B$5="Normal",'Control Room'!$B$7+'Control Room'!$D$7*SQRT(-2*LN(MAX(0.000000000001,AK721/2147483647)))*COS(2*PI()*AL721/2147483647),'Control Room'!$B$8+('Control Room'!$D$8-'Control Room'!$B$8)*AK721/2147483647)</x:f>
        <x:v>760.4224093708774</x:v>
      </x:c>
      <x:c r="AN721" s="17" t="n">
        <x:f>IF('Control Room'!$B$5="Normal",'Control Room'!$B$7,('Control Room'!$B$8+'Control Room'!$D$8)/2)+'Control Room'!$B$9*(AN720-IF('Control Room'!$B$5="Normal",'Control Room'!$B$7,('Control Room'!$B$8+'Control Room'!$D$8)/2))+SQRT(1-'Control Room'!$B$9^2)*(AM721-IF('Control Room'!$B$5="Normal",'Control Room'!$B$7,('Control Room'!$B$8+'Control Room'!$D$8)/2))</x:f>
        <x:v>807.4654907563392</x:v>
      </x:c>
      <x:c r="AO721" s="17" t="n">
        <x:f>IF(AND($A721&gt;='Control Room'!$A$13,$A721&lt;'Control Room'!$A$13+'Control Room'!$B$13,'Process'!BR2=1),1+('Control Room'!$C$13-1)*EXP(-0.5*(($A721-'Control Room'!$A$13-('Control Room'!$B$13-1)/2)/MAX(0.5,'Control Room'!$B$13/4))^2),1)*IF(AND($A721&gt;='Control Room'!$A$14,$A721&lt;'Control Room'!$A$14+'Control Room'!$B$14,'Process'!BR3=1),1+('Control Room'!$C$14-1)*EXP(-0.5*(($A721-'Control Room'!$A$14-('Control Room'!$B$14-1)/2)/MAX(0.5,'Control Room'!$B$14/4))^2),1)*IF(AND($A721&gt;='Control Room'!$A$15,$A721&lt;'Control Room'!$A$15+'Control Room'!$B$15,'Process'!BR4=1),1+('Control Room'!$C$15-1)*EXP(-0.5*(($A721-'Control Room'!$A$15-('Control Room'!$B$15-1)/2)/MAX(0.5,'Control Room'!$B$15/4))^2),1)*IF(AND($A721&gt;='Control Room'!$A$16,$A721&lt;'Control Room'!$A$16+'Control Room'!$B$16,'Process'!BR5=1),1+('Control Room'!$C$16-1)*EXP(-0.5*(($A721-'Control Room'!$A$16-('Control Room'!$B$16-1)/2)/MAX(0.5,'Control Room'!$B$16/4))^2),1)</x:f>
        <x:v>1</x:v>
      </x:c>
      <x:c r="AP721" s="9" t="n">
        <x:f>MOD(AQ720*16807,2147483647)</x:f>
        <x:v>556828365</x:v>
      </x:c>
      <x:c r="AQ721" s="9" t="n">
        <x:f>MOD(AP721*16807,2147483647)</x:f>
        <x:v>2028080576</x:v>
      </x:c>
      <x:c r="AR721" s="17" t="n">
        <x:f>IF('Control Room'!$B$5="Normal",'Control Room'!$B$7+'Control Room'!$D$7*SQRT(-2*LN(MAX(0.000000000001,AP721/2147483647)))*COS(2*PI()*AQ721/2147483647),'Control Room'!$B$8+('Control Room'!$D$8-'Control Room'!$B$8)*AP721/2147483647)</x:f>
        <x:v>1138.9414059236617</x:v>
      </x:c>
      <x:c r="AS721" s="17" t="n">
        <x:f>IF('Control Room'!$B$5="Normal",'Control Room'!$B$7,('Control Room'!$B$8+'Control Room'!$D$8)/2)+'Control Room'!$B$9*(AS720-IF('Control Room'!$B$5="Normal",'Control Room'!$B$7,('Control Room'!$B$8+'Control Room'!$D$8)/2))+SQRT(1-'Control Room'!$B$9^2)*(AR721-IF('Control Room'!$B$5="Normal",'Control Room'!$B$7,('Control Room'!$B$8+'Control Room'!$D$8)/2))</x:f>
        <x:v>1124.0893155663941</x:v>
      </x:c>
      <x:c r="AT721" s="17" t="n">
        <x:f>IF(AND($A721&gt;='Control Room'!$A$13,$A721&lt;'Control Room'!$A$13+'Control Room'!$B$13,'Process'!BS2=1),1+('Control Room'!$C$13-1)*EXP(-0.5*(($A721-'Control Room'!$A$13-('Control Room'!$B$13-1)/2)/MAX(0.5,'Control Room'!$B$13/4))^2),1)*IF(AND($A721&gt;='Control Room'!$A$14,$A721&lt;'Control Room'!$A$14+'Control Room'!$B$14,'Process'!BS3=1),1+('Control Room'!$C$14-1)*EXP(-0.5*(($A721-'Control Room'!$A$14-('Control Room'!$B$14-1)/2)/MAX(0.5,'Control Room'!$B$14/4))^2),1)*IF(AND($A721&gt;='Control Room'!$A$15,$A721&lt;'Control Room'!$A$15+'Control Room'!$B$15,'Process'!BS4=1),1+('Control Room'!$C$15-1)*EXP(-0.5*(($A721-'Control Room'!$A$15-('Control Room'!$B$15-1)/2)/MAX(0.5,'Control Room'!$B$15/4))^2),1)*IF(AND($A721&gt;='Control Room'!$A$16,$A721&lt;'Control Room'!$A$16+'Control Room'!$B$16,'Process'!BS5=1),1+('Control Room'!$C$16-1)*EXP(-0.5*(($A721-'Control Room'!$A$16-('Control Room'!$B$16-1)/2)/MAX(0.5,'Control Room'!$B$16/4))^2),1)</x:f>
        <x:v>1</x:v>
      </x:c>
      <x:c r="AU721" s="9" t="n">
        <x:f>MOD(AV720*16807,2147483647)</x:f>
        <x:v>1059037529</x:v>
      </x:c>
      <x:c r="AV721" s="9" t="n">
        <x:f>MOD(AU721*16807,2147483647)</x:f>
        <x:v>899283567</x:v>
      </x:c>
      <x:c r="AW721" s="17" t="n">
        <x:f>IF('Control Room'!$B$5="Normal",'Control Room'!$B$7+'Control Room'!$D$7*SQRT(-2*LN(MAX(0.000000000001,AU721/2147483647)))*COS(2*PI()*AV721/2147483647),'Control Room'!$B$8+('Control Room'!$D$8-'Control Room'!$B$8)*AU721/2147483647)</x:f>
        <x:v>906.6254068981551</x:v>
      </x:c>
      <x:c r="AX721" s="17" t="n">
        <x:f>IF('Control Room'!$B$5="Normal",'Control Room'!$B$7,('Control Room'!$B$8+'Control Room'!$D$8)/2)+'Control Room'!$B$9*(AX720-IF('Control Room'!$B$5="Normal",'Control Room'!$B$7,('Control Room'!$B$8+'Control Room'!$D$8)/2))+SQRT(1-'Control Room'!$B$9^2)*(AW721-IF('Control Room'!$B$5="Normal",'Control Room'!$B$7,('Control Room'!$B$8+'Control Room'!$D$8)/2))</x:f>
        <x:v>1011.151355486165</x:v>
      </x:c>
      <x:c r="AY721" s="17" t="n">
        <x:f>IF(AND($A721&gt;='Control Room'!$A$13,$A721&lt;'Control Room'!$A$13+'Control Room'!$B$13,'Process'!BT2=1),1+('Control Room'!$C$13-1)*EXP(-0.5*(($A721-'Control Room'!$A$13-('Control Room'!$B$13-1)/2)/MAX(0.5,'Control Room'!$B$13/4))^2),1)*IF(AND($A721&gt;='Control Room'!$A$14,$A721&lt;'Control Room'!$A$14+'Control Room'!$B$14,'Process'!BT3=1),1+('Control Room'!$C$14-1)*EXP(-0.5*(($A721-'Control Room'!$A$14-('Control Room'!$B$14-1)/2)/MAX(0.5,'Control Room'!$B$14/4))^2),1)*IF(AND($A721&gt;='Control Room'!$A$15,$A721&lt;'Control Room'!$A$15+'Control Room'!$B$15,'Process'!BT4=1),1+('Control Room'!$C$15-1)*EXP(-0.5*(($A721-'Control Room'!$A$15-('Control Room'!$B$15-1)/2)/MAX(0.5,'Control Room'!$B$15/4))^2),1)*IF(AND($A721&gt;='Control Room'!$A$16,$A721&lt;'Control Room'!$A$16+'Control Room'!$B$16,'Process'!BT5=1),1+('Control Room'!$C$16-1)*EXP(-0.5*(($A721-'Control Room'!$A$16-('Control Room'!$B$16-1)/2)/MAX(0.5,'Control Room'!$B$16/4))^2),1)</x:f>
        <x:v>1</x:v>
      </x:c>
      <x:c r="AZ721" s="9" t="n">
        <x:f>MOD(BA720*16807,2147483647)</x:f>
        <x:v>1561246693</x:v>
      </x:c>
      <x:c r="BA721" s="9" t="n">
        <x:f>MOD(AZ721*16807,2147483647)</x:f>
        <x:v>1917970205</x:v>
      </x:c>
      <x:c r="BB721" s="17" t="n">
        <x:f>IF('Control Room'!$B$5="Normal",'Control Room'!$B$7+'Control Room'!$D$7*SQRT(-2*LN(MAX(0.000000000001,AZ721/2147483647)))*COS(2*PI()*BA721/2147483647),'Control Room'!$B$8+('Control Room'!$D$8-'Control Room'!$B$8)*AZ721/2147483647)</x:f>
        <x:v>1056.2624706112554</x:v>
      </x:c>
      <x:c r="BC721" s="17" t="n">
        <x:f>IF('Control Room'!$B$5="Normal",'Control Room'!$B$7,('Control Room'!$B$8+'Control Room'!$D$8)/2)+'Control Room'!$B$9*(BC720-IF('Control Room'!$B$5="Normal",'Control Room'!$B$7,('Control Room'!$B$8+'Control Room'!$D$8)/2))+SQRT(1-'Control Room'!$B$9^2)*(BB721-IF('Control Room'!$B$5="Normal",'Control Room'!$B$7,('Control Room'!$B$8+'Control Room'!$D$8)/2))</x:f>
        <x:v>984.5653145802875</x:v>
      </x:c>
      <x:c r="BD721" s="17" t="n">
        <x:f>IF(AND($A721&gt;='Control Room'!$A$13,$A721&lt;'Control Room'!$A$13+'Control Room'!$B$13,'Process'!BU2=1),1+('Control Room'!$C$13-1)*EXP(-0.5*(($A721-'Control Room'!$A$13-('Control Room'!$B$13-1)/2)/MAX(0.5,'Control Room'!$B$13/4))^2),1)*IF(AND($A721&gt;='Control Room'!$A$14,$A721&lt;'Control Room'!$A$14+'Control Room'!$B$14,'Process'!BU3=1),1+('Control Room'!$C$14-1)*EXP(-0.5*(($A721-'Control Room'!$A$14-('Control Room'!$B$14-1)/2)/MAX(0.5,'Control Room'!$B$14/4))^2),1)*IF(AND($A721&gt;='Control Room'!$A$15,$A721&lt;'Control Room'!$A$15+'Control Room'!$B$15,'Process'!BU4=1),1+('Control Room'!$C$15-1)*EXP(-0.5*(($A721-'Control Room'!$A$15-('Control Room'!$B$15-1)/2)/MAX(0.5,'Control Room'!$B$15/4))^2),1)*IF(AND($A721&gt;='Control Room'!$A$16,$A721&lt;'Control Room'!$A$16+'Control Room'!$B$16,'Process'!BU5=1),1+('Control Room'!$C$16-1)*EXP(-0.5*(($A721-'Control Room'!$A$16-('Control Room'!$B$16-1)/2)/MAX(0.5,'Control Room'!$B$16/4))^2),1)</x:f>
        <x:v>1</x:v>
      </x:c>
      <x:c r="BE721" s="9" t="n">
        <x:f>MOD(BF720*16807,2147483647)</x:f>
        <x:v>2063455857</x:v>
      </x:c>
      <x:c r="BF721" s="9" t="n">
        <x:f>MOD(BE721*16807,2147483647)</x:f>
        <x:v>789173196</x:v>
      </x:c>
      <x:c r="BG721" s="17" t="n">
        <x:f>IF('Control Room'!$B$5="Normal",'Control Room'!$B$7+'Control Room'!$D$7*SQRT(-2*LN(MAX(0.000000000001,BE721/2147483647)))*COS(2*PI()*BF721/2147483647),'Control Room'!$B$8+('Control Room'!$D$8-'Control Room'!$B$8)*BE721/2147483647)</x:f>
        <x:v>982.8876887191979</x:v>
      </x:c>
      <x:c r="BH721" s="17" t="n">
        <x:f>IF('Control Room'!$B$5="Normal",'Control Room'!$B$7,('Control Room'!$B$8+'Control Room'!$D$8)/2)+'Control Room'!$B$9*(BH720-IF('Control Room'!$B$5="Normal",'Control Room'!$B$7,('Control Room'!$B$8+'Control Room'!$D$8)/2))+SQRT(1-'Control Room'!$B$9^2)*(BG721-IF('Control Room'!$B$5="Normal",'Control Room'!$B$7,('Control Room'!$B$8+'Control Room'!$D$8)/2))</x:f>
        <x:v>995.5770769201343</x:v>
      </x:c>
      <x:c r="BI721" s="17" t="n">
        <x:f>IF(AND($A721&gt;='Control Room'!$A$13,$A721&lt;'Control Room'!$A$13+'Control Room'!$B$13,'Process'!BV2=1),1+('Control Room'!$C$13-1)*EXP(-0.5*(($A721-'Control Room'!$A$13-('Control Room'!$B$13-1)/2)/MAX(0.5,'Control Room'!$B$13/4))^2),1)*IF(AND($A721&gt;='Control Room'!$A$14,$A721&lt;'Control Room'!$A$14+'Control Room'!$B$14,'Process'!BV3=1),1+('Control Room'!$C$14-1)*EXP(-0.5*(($A721-'Control Room'!$A$14-('Control Room'!$B$14-1)/2)/MAX(0.5,'Control Room'!$B$14/4))^2),1)*IF(AND($A721&gt;='Control Room'!$A$15,$A721&lt;'Control Room'!$A$15+'Control Room'!$B$15,'Process'!BV4=1),1+('Control Room'!$C$15-1)*EXP(-0.5*(($A721-'Control Room'!$A$15-('Control Room'!$B$15-1)/2)/MAX(0.5,'Control Room'!$B$15/4))^2),1)*IF(AND($A721&gt;='Control Room'!$A$16,$A721&lt;'Control Room'!$A$16+'Control Room'!$B$16,'Process'!BV5=1),1+('Control Room'!$C$16-1)*EXP(-0.5*(($A721-'Control Room'!$A$16-('Control Room'!$B$16-1)/2)/MAX(0.5,'Control Room'!$B$16/4))^2),1)</x:f>
        <x:v>1</x:v>
      </x:c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Z721" t="str">
        <x:f>IF('Data'!A721="","",TEXT('Data'!A721,"mm-dd"))</x:f>
      </x:c>
    </x:row>
    <x:row r="722" ht="21" customHeight="1">
      <x:c r="A722" s="15" t="n">
        <x:f>'Control Room'!$B$1+720</x:f>
        <x:v>73711</x:v>
      </x:c>
      <x:c r="B722" s="9" t="n">
        <x:f>MOD(C721*16807,2147483647)</x:f>
        <x:v>1213686027</x:v>
      </x:c>
      <x:c r="C722" s="9" t="n">
        <x:f>MOD(B722*16807,2147483647)</x:f>
        <x:v>1621376583</x:v>
      </x:c>
      <x:c r="D722" s="17" t="n">
        <x:f>IF('Control Room'!$B$5="Normal",'Control Room'!$B$7+'Control Room'!$D$7*SQRT(-2*LN(MAX(0.000000000001,B722/2147483647)))*COS(2*PI()*C722/2147483647),'Control Room'!$B$8+('Control Room'!$D$8-'Control Room'!$B$8)*B722/2147483647)</x:f>
        <x:v>1003.0274875271745</x:v>
      </x:c>
      <x:c r="E722" s="17" t="n">
        <x:f>IF('Control Room'!$B$5="Normal",'Control Room'!$B$7,('Control Room'!$B$8+'Control Room'!$D$8)/2)+'Control Room'!$B$9*(E721-IF('Control Room'!$B$5="Normal",'Control Room'!$B$7,('Control Room'!$B$8+'Control Room'!$D$8)/2))+SQRT(1-'Control Room'!$B$9^2)*(D722-IF('Control Room'!$B$5="Normal",'Control Room'!$B$7,('Control Room'!$B$8+'Control Room'!$D$8)/2))</x:f>
        <x:v>1069.8251600610154</x:v>
      </x:c>
      <x:c r="F722" s="17" t="n">
        <x:f>IF(AND($A722&gt;='Control Room'!$A$13,$A722&lt;'Control Room'!$A$13+'Control Room'!$B$13,'Process'!BK2=1),1+('Control Room'!$C$13-1)*EXP(-0.5*(($A722-'Control Room'!$A$13-('Control Room'!$B$13-1)/2)/MAX(0.5,'Control Room'!$B$13/4))^2),1)*IF(AND($A722&gt;='Control Room'!$A$14,$A722&lt;'Control Room'!$A$14+'Control Room'!$B$14,'Process'!BK3=1),1+('Control Room'!$C$14-1)*EXP(-0.5*(($A722-'Control Room'!$A$14-('Control Room'!$B$14-1)/2)/MAX(0.5,'Control Room'!$B$14/4))^2),1)*IF(AND($A722&gt;='Control Room'!$A$15,$A722&lt;'Control Room'!$A$15+'Control Room'!$B$15,'Process'!BK4=1),1+('Control Room'!$C$15-1)*EXP(-0.5*(($A722-'Control Room'!$A$15-('Control Room'!$B$15-1)/2)/MAX(0.5,'Control Room'!$B$15/4))^2),1)*IF(AND($A722&gt;='Control Room'!$A$16,$A722&lt;'Control Room'!$A$16+'Control Room'!$B$16,'Process'!BK5=1),1+('Control Room'!$C$16-1)*EXP(-0.5*(($A722-'Control Room'!$A$16-('Control Room'!$B$16-1)/2)/MAX(0.5,'Control Room'!$B$16/4))^2),1)</x:f>
        <x:v>1</x:v>
      </x:c>
      <x:c r="G722" s="9" t="n">
        <x:f>MOD(H721*16807,2147483647)</x:f>
        <x:v>392893362</x:v>
      </x:c>
      <x:c r="H722" s="9" t="n">
        <x:f>MOD(G722*16807,2147483647)</x:f>
        <x:v>1994004256</x:v>
      </x:c>
      <x:c r="I722" s="17" t="n">
        <x:f>IF('Control Room'!$B$5="Normal",'Control Room'!$B$7+'Control Room'!$D$7*SQRT(-2*LN(MAX(0.000000000001,G722/2147483647)))*COS(2*PI()*H722/2147483647),'Control Room'!$B$8+('Control Room'!$D$8-'Control Room'!$B$8)*G722/2147483647)</x:f>
        <x:v>1149.4335617987742</x:v>
      </x:c>
      <x:c r="J722" s="17" t="n">
        <x:f>IF('Control Room'!$B$5="Normal",'Control Room'!$B$7,('Control Room'!$B$8+'Control Room'!$D$8)/2)+'Control Room'!$B$9*(J721-IF('Control Room'!$B$5="Normal",'Control Room'!$B$7,('Control Room'!$B$8+'Control Room'!$D$8)/2))+SQRT(1-'Control Room'!$B$9^2)*(I722-IF('Control Room'!$B$5="Normal",'Control Room'!$B$7,('Control Room'!$B$8+'Control Room'!$D$8)/2))</x:f>
        <x:v>1049.5959663960355</x:v>
      </x:c>
      <x:c r="K722" s="17" t="n">
        <x:f>IF(AND($A722&gt;='Control Room'!$A$13,$A722&lt;'Control Room'!$A$13+'Control Room'!$B$13,'Process'!BL2=1),1+('Control Room'!$C$13-1)*EXP(-0.5*(($A722-'Control Room'!$A$13-('Control Room'!$B$13-1)/2)/MAX(0.5,'Control Room'!$B$13/4))^2),1)*IF(AND($A722&gt;='Control Room'!$A$14,$A722&lt;'Control Room'!$A$14+'Control Room'!$B$14,'Process'!BL3=1),1+('Control Room'!$C$14-1)*EXP(-0.5*(($A722-'Control Room'!$A$14-('Control Room'!$B$14-1)/2)/MAX(0.5,'Control Room'!$B$14/4))^2),1)*IF(AND($A722&gt;='Control Room'!$A$15,$A722&lt;'Control Room'!$A$15+'Control Room'!$B$15,'Process'!BL4=1),1+('Control Room'!$C$15-1)*EXP(-0.5*(($A722-'Control Room'!$A$15-('Control Room'!$B$15-1)/2)/MAX(0.5,'Control Room'!$B$15/4))^2),1)*IF(AND($A722&gt;='Control Room'!$A$16,$A722&lt;'Control Room'!$A$16+'Control Room'!$B$16,'Process'!BL5=1),1+('Control Room'!$C$16-1)*EXP(-0.5*(($A722-'Control Room'!$A$16-('Control Room'!$B$16-1)/2)/MAX(0.5,'Control Room'!$B$16/4))^2),1)</x:f>
        <x:v>1</x:v>
      </x:c>
      <x:c r="L722" s="9" t="n">
        <x:f>MOD(M721*16807,2147483647)</x:f>
        <x:v>1719584344</x:v>
      </x:c>
      <x:c r="M722" s="9" t="n">
        <x:f>MOD(L722*16807,2147483647)</x:f>
        <x:v>219148282</x:v>
      </x:c>
      <x:c r="N722" s="17" t="n">
        <x:f>IF('Control Room'!$B$5="Normal",'Control Room'!$B$7+'Control Room'!$D$7*SQRT(-2*LN(MAX(0.000000000001,L722/2147483647)))*COS(2*PI()*M722/2147483647),'Control Room'!$B$8+('Control Room'!$D$8-'Control Room'!$B$8)*L722/2147483647)</x:f>
        <x:v>1048.0821286644043</x:v>
      </x:c>
      <x:c r="O722" s="17" t="n">
        <x:f>IF('Control Room'!$B$5="Normal",'Control Room'!$B$7,('Control Room'!$B$8+'Control Room'!$D$8)/2)+'Control Room'!$B$9*(O721-IF('Control Room'!$B$5="Normal",'Control Room'!$B$7,('Control Room'!$B$8+'Control Room'!$D$8)/2))+SQRT(1-'Control Room'!$B$9^2)*(N722-IF('Control Room'!$B$5="Normal",'Control Room'!$B$7,('Control Room'!$B$8+'Control Room'!$D$8)/2))</x:f>
        <x:v>1048.6225751703244</x:v>
      </x:c>
      <x:c r="P722" s="17" t="n">
        <x:f>IF(AND($A722&gt;='Control Room'!$A$13,$A722&lt;'Control Room'!$A$13+'Control Room'!$B$13,'Process'!BM2=1),1+('Control Room'!$C$13-1)*EXP(-0.5*(($A722-'Control Room'!$A$13-('Control Room'!$B$13-1)/2)/MAX(0.5,'Control Room'!$B$13/4))^2),1)*IF(AND($A722&gt;='Control Room'!$A$14,$A722&lt;'Control Room'!$A$14+'Control Room'!$B$14,'Process'!BM3=1),1+('Control Room'!$C$14-1)*EXP(-0.5*(($A722-'Control Room'!$A$14-('Control Room'!$B$14-1)/2)/MAX(0.5,'Control Room'!$B$14/4))^2),1)*IF(AND($A722&gt;='Control Room'!$A$15,$A722&lt;'Control Room'!$A$15+'Control Room'!$B$15,'Process'!BM4=1),1+('Control Room'!$C$15-1)*EXP(-0.5*(($A722-'Control Room'!$A$15-('Control Room'!$B$15-1)/2)/MAX(0.5,'Control Room'!$B$15/4))^2),1)*IF(AND($A722&gt;='Control Room'!$A$16,$A722&lt;'Control Room'!$A$16+'Control Room'!$B$16,'Process'!BM5=1),1+('Control Room'!$C$16-1)*EXP(-0.5*(($A722-'Control Room'!$A$16-('Control Room'!$B$16-1)/2)/MAX(0.5,'Control Room'!$B$16/4))^2),1)</x:f>
        <x:v>1</x:v>
      </x:c>
      <x:c r="Q722" s="9" t="n">
        <x:f>MOD(R721*16807,2147483647)</x:f>
        <x:v>898791679</x:v>
      </x:c>
      <x:c r="R722" s="9" t="n">
        <x:f>MOD(Q722*16807,2147483647)</x:f>
        <x:v>591775955</x:v>
      </x:c>
      <x:c r="S722" s="17" t="n">
        <x:f>IF('Control Room'!$B$5="Normal",'Control Room'!$B$7+'Control Room'!$D$7*SQRT(-2*LN(MAX(0.000000000001,Q722/2147483647)))*COS(2*PI()*R722/2147483647),'Control Room'!$B$8+('Control Room'!$D$8-'Control Room'!$B$8)*Q722/2147483647)</x:f>
        <x:v>980.9997424426936</x:v>
      </x:c>
      <x:c r="T722" s="17" t="n">
        <x:f>IF('Control Room'!$B$5="Normal",'Control Room'!$B$7,('Control Room'!$B$8+'Control Room'!$D$8)/2)+'Control Room'!$B$9*(T721-IF('Control Room'!$B$5="Normal",'Control Room'!$B$7,('Control Room'!$B$8+'Control Room'!$D$8)/2))+SQRT(1-'Control Room'!$B$9^2)*(S722-IF('Control Room'!$B$5="Normal",'Control Room'!$B$7,('Control Room'!$B$8+'Control Room'!$D$8)/2))</x:f>
        <x:v>942.3242972277103</x:v>
      </x:c>
      <x:c r="U722" s="17" t="n">
        <x:f>IF(AND($A722&gt;='Control Room'!$A$13,$A722&lt;'Control Room'!$A$13+'Control Room'!$B$13,'Process'!BN2=1),1+('Control Room'!$C$13-1)*EXP(-0.5*(($A722-'Control Room'!$A$13-('Control Room'!$B$13-1)/2)/MAX(0.5,'Control Room'!$B$13/4))^2),1)*IF(AND($A722&gt;='Control Room'!$A$14,$A722&lt;'Control Room'!$A$14+'Control Room'!$B$14,'Process'!BN3=1),1+('Control Room'!$C$14-1)*EXP(-0.5*(($A722-'Control Room'!$A$14-('Control Room'!$B$14-1)/2)/MAX(0.5,'Control Room'!$B$14/4))^2),1)*IF(AND($A722&gt;='Control Room'!$A$15,$A722&lt;'Control Room'!$A$15+'Control Room'!$B$15,'Process'!BN4=1),1+('Control Room'!$C$15-1)*EXP(-0.5*(($A722-'Control Room'!$A$15-('Control Room'!$B$15-1)/2)/MAX(0.5,'Control Room'!$B$15/4))^2),1)*IF(AND($A722&gt;='Control Room'!$A$16,$A722&lt;'Control Room'!$A$16+'Control Room'!$B$16,'Process'!BN5=1),1+('Control Room'!$C$16-1)*EXP(-0.5*(($A722-'Control Room'!$A$16-('Control Room'!$B$16-1)/2)/MAX(0.5,'Control Room'!$B$16/4))^2),1)</x:f>
        <x:v>1</x:v>
      </x:c>
      <x:c r="V722" s="9" t="n">
        <x:f>MOD(W721*16807,2147483647)</x:f>
        <x:v>77999014</x:v>
      </x:c>
      <x:c r="W722" s="9" t="n">
        <x:f>MOD(V722*16807,2147483647)</x:f>
        <x:v>964403628</x:v>
      </x:c>
      <x:c r="X722" s="17" t="n">
        <x:f>IF('Control Room'!$B$5="Normal",'Control Room'!$B$7+'Control Room'!$D$7*SQRT(-2*LN(MAX(0.000000000001,V722/2147483647)))*COS(2*PI()*W722/2147483647),'Control Room'!$B$8+('Control Room'!$D$8-'Control Room'!$B$8)*V722/2147483647)</x:f>
        <x:v>780.0063759791663</x:v>
      </x:c>
      <x:c r="Y722" s="17" t="n">
        <x:f>IF('Control Room'!$B$5="Normal",'Control Room'!$B$7,('Control Room'!$B$8+'Control Room'!$D$8)/2)+'Control Room'!$B$9*(Y721-IF('Control Room'!$B$5="Normal",'Control Room'!$B$7,('Control Room'!$B$8+'Control Room'!$D$8)/2))+SQRT(1-'Control Room'!$B$9^2)*(X722-IF('Control Room'!$B$5="Normal",'Control Room'!$B$7,('Control Room'!$B$8+'Control Room'!$D$8)/2))</x:f>
        <x:v>937.8092086211758</x:v>
      </x:c>
      <x:c r="Z722" s="17" t="n">
        <x:f>IF(AND($A722&gt;='Control Room'!$A$13,$A722&lt;'Control Room'!$A$13+'Control Room'!$B$13,'Process'!BO2=1),1+('Control Room'!$C$13-1)*EXP(-0.5*(($A722-'Control Room'!$A$13-('Control Room'!$B$13-1)/2)/MAX(0.5,'Control Room'!$B$13/4))^2),1)*IF(AND($A722&gt;='Control Room'!$A$14,$A722&lt;'Control Room'!$A$14+'Control Room'!$B$14,'Process'!BO3=1),1+('Control Room'!$C$14-1)*EXP(-0.5*(($A722-'Control Room'!$A$14-('Control Room'!$B$14-1)/2)/MAX(0.5,'Control Room'!$B$14/4))^2),1)*IF(AND($A722&gt;='Control Room'!$A$15,$A722&lt;'Control Room'!$A$15+'Control Room'!$B$15,'Process'!BO4=1),1+('Control Room'!$C$15-1)*EXP(-0.5*(($A722-'Control Room'!$A$15-('Control Room'!$B$15-1)/2)/MAX(0.5,'Control Room'!$B$15/4))^2),1)*IF(AND($A722&gt;='Control Room'!$A$16,$A722&lt;'Control Room'!$A$16+'Control Room'!$B$16,'Process'!BO5=1),1+('Control Room'!$C$16-1)*EXP(-0.5*(($A722-'Control Room'!$A$16-('Control Room'!$B$16-1)/2)/MAX(0.5,'Control Room'!$B$16/4))^2),1)</x:f>
        <x:v>1</x:v>
      </x:c>
      <x:c r="AA722" s="9" t="n">
        <x:f>MOD(AB721*16807,2147483647)</x:f>
        <x:v>1404689996</x:v>
      </x:c>
      <x:c r="AB722" s="9" t="n">
        <x:f>MOD(AA722*16807,2147483647)</x:f>
        <x:v>1337031301</x:v>
      </x:c>
      <x:c r="AC722" s="17" t="n">
        <x:f>IF('Control Room'!$B$5="Normal",'Control Room'!$B$7+'Control Room'!$D$7*SQRT(-2*LN(MAX(0.000000000001,AA722/2147483647)))*COS(2*PI()*AB722/2147483647),'Control Room'!$B$8+('Control Room'!$D$8-'Control Room'!$B$8)*AA722/2147483647)</x:f>
        <x:v>940.4868996298012</x:v>
      </x:c>
      <x:c r="AD722" s="17" t="n">
        <x:f>IF('Control Room'!$B$5="Normal",'Control Room'!$B$7,('Control Room'!$B$8+'Control Room'!$D$8)/2)+'Control Room'!$B$9*(AD721-IF('Control Room'!$B$5="Normal",'Control Room'!$B$7,('Control Room'!$B$8+'Control Room'!$D$8)/2))+SQRT(1-'Control Room'!$B$9^2)*(AC722-IF('Control Room'!$B$5="Normal",'Control Room'!$B$7,('Control Room'!$B$8+'Control Room'!$D$8)/2))</x:f>
        <x:v>910.994864170543</x:v>
      </x:c>
      <x:c r="AE722" s="17" t="n">
        <x:f>IF(AND($A722&gt;='Control Room'!$A$13,$A722&lt;'Control Room'!$A$13+'Control Room'!$B$13,'Process'!BP2=1),1+('Control Room'!$C$13-1)*EXP(-0.5*(($A722-'Control Room'!$A$13-('Control Room'!$B$13-1)/2)/MAX(0.5,'Control Room'!$B$13/4))^2),1)*IF(AND($A722&gt;='Control Room'!$A$14,$A722&lt;'Control Room'!$A$14+'Control Room'!$B$14,'Process'!BP3=1),1+('Control Room'!$C$14-1)*EXP(-0.5*(($A722-'Control Room'!$A$14-('Control Room'!$B$14-1)/2)/MAX(0.5,'Control Room'!$B$14/4))^2),1)*IF(AND($A722&gt;='Control Room'!$A$15,$A722&lt;'Control Room'!$A$15+'Control Room'!$B$15,'Process'!BP4=1),1+('Control Room'!$C$15-1)*EXP(-0.5*(($A722-'Control Room'!$A$15-('Control Room'!$B$15-1)/2)/MAX(0.5,'Control Room'!$B$15/4))^2),1)*IF(AND($A722&gt;='Control Room'!$A$16,$A722&lt;'Control Room'!$A$16+'Control Room'!$B$16,'Process'!BP5=1),1+('Control Room'!$C$16-1)*EXP(-0.5*(($A722-'Control Room'!$A$16-('Control Room'!$B$16-1)/2)/MAX(0.5,'Control Room'!$B$16/4))^2),1)</x:f>
        <x:v>1</x:v>
      </x:c>
      <x:c r="AF722" s="9" t="n">
        <x:f>MOD(AG721*16807,2147483647)</x:f>
        <x:v>583897331</x:v>
      </x:c>
      <x:c r="AG722" s="9" t="n">
        <x:f>MOD(AF722*16807,2147483647)</x:f>
        <x:v>1709658974</x:v>
      </x:c>
      <x:c r="AH722" s="17" t="n">
        <x:f>IF('Control Room'!$B$5="Normal",'Control Room'!$B$7+'Control Room'!$D$7*SQRT(-2*LN(MAX(0.000000000001,AF722/2147483647)))*COS(2*PI()*AG722/2147483647),'Control Room'!$B$8+('Control Room'!$D$8-'Control Room'!$B$8)*AF722/2147483647)</x:f>
        <x:v>1041.5058885291508</x:v>
      </x:c>
      <x:c r="AI722" s="17" t="n">
        <x:f>IF('Control Room'!$B$5="Normal",'Control Room'!$B$7,('Control Room'!$B$8+'Control Room'!$D$8)/2)+'Control Room'!$B$9*(AI721-IF('Control Room'!$B$5="Normal",'Control Room'!$B$7,('Control Room'!$B$8+'Control Room'!$D$8)/2))+SQRT(1-'Control Room'!$B$9^2)*(AH722-IF('Control Room'!$B$5="Normal",'Control Room'!$B$7,('Control Room'!$B$8+'Control Room'!$D$8)/2))</x:f>
        <x:v>1041.72842758977</x:v>
      </x:c>
      <x:c r="AJ722" s="17" t="n">
        <x:f>IF(AND($A722&gt;='Control Room'!$A$13,$A722&lt;'Control Room'!$A$13+'Control Room'!$B$13,'Process'!BQ2=1),1+('Control Room'!$C$13-1)*EXP(-0.5*(($A722-'Control Room'!$A$13-('Control Room'!$B$13-1)/2)/MAX(0.5,'Control Room'!$B$13/4))^2),1)*IF(AND($A722&gt;='Control Room'!$A$14,$A722&lt;'Control Room'!$A$14+'Control Room'!$B$14,'Process'!BQ3=1),1+('Control Room'!$C$14-1)*EXP(-0.5*(($A722-'Control Room'!$A$14-('Control Room'!$B$14-1)/2)/MAX(0.5,'Control Room'!$B$14/4))^2),1)*IF(AND($A722&gt;='Control Room'!$A$15,$A722&lt;'Control Room'!$A$15+'Control Room'!$B$15,'Process'!BQ4=1),1+('Control Room'!$C$15-1)*EXP(-0.5*(($A722-'Control Room'!$A$15-('Control Room'!$B$15-1)/2)/MAX(0.5,'Control Room'!$B$15/4))^2),1)*IF(AND($A722&gt;='Control Room'!$A$16,$A722&lt;'Control Room'!$A$16+'Control Room'!$B$16,'Process'!BQ5=1),1+('Control Room'!$C$16-1)*EXP(-0.5*(($A722-'Control Room'!$A$16-('Control Room'!$B$16-1)/2)/MAX(0.5,'Control Room'!$B$16/4))^2),1)</x:f>
        <x:v>1</x:v>
      </x:c>
      <x:c r="AK722" s="9" t="n">
        <x:f>MOD(AL721*16807,2147483647)</x:f>
        <x:v>1910588313</x:v>
      </x:c>
      <x:c r="AL722" s="9" t="n">
        <x:f>MOD(AK722*16807,2147483647)</x:f>
        <x:v>2082286647</x:v>
      </x:c>
      <x:c r="AM722" s="17" t="n">
        <x:f>IF('Control Room'!$B$5="Normal",'Control Room'!$B$7+'Control Room'!$D$7*SQRT(-2*LN(MAX(0.000000000001,AK722/2147483647)))*COS(2*PI()*AL722/2147483647),'Control Room'!$B$8+('Control Room'!$D$8-'Control Room'!$B$8)*AK722/2147483647)</x:f>
        <x:v>1042.7255858198073</x:v>
      </x:c>
      <x:c r="AN722" s="17" t="n">
        <x:f>IF('Control Room'!$B$5="Normal",'Control Room'!$B$7,('Control Room'!$B$8+'Control Room'!$D$8)/2)+'Control Room'!$B$9*(AN721-IF('Control Room'!$B$5="Normal",'Control Room'!$B$7,('Control Room'!$B$8+'Control Room'!$D$8)/2))+SQRT(1-'Control Room'!$B$9^2)*(AM722-IF('Control Room'!$B$5="Normal",'Control Room'!$B$7,('Control Room'!$B$8+'Control Room'!$D$8)/2))</x:f>
        <x:v>876.5598791147787</x:v>
      </x:c>
      <x:c r="AO722" s="17" t="n">
        <x:f>IF(AND($A722&gt;='Control Room'!$A$13,$A722&lt;'Control Room'!$A$13+'Control Room'!$B$13,'Process'!BR2=1),1+('Control Room'!$C$13-1)*EXP(-0.5*(($A722-'Control Room'!$A$13-('Control Room'!$B$13-1)/2)/MAX(0.5,'Control Room'!$B$13/4))^2),1)*IF(AND($A722&gt;='Control Room'!$A$14,$A722&lt;'Control Room'!$A$14+'Control Room'!$B$14,'Process'!BR3=1),1+('Control Room'!$C$14-1)*EXP(-0.5*(($A722-'Control Room'!$A$14-('Control Room'!$B$14-1)/2)/MAX(0.5,'Control Room'!$B$14/4))^2),1)*IF(AND($A722&gt;='Control Room'!$A$15,$A722&lt;'Control Room'!$A$15+'Control Room'!$B$15,'Process'!BR4=1),1+('Control Room'!$C$15-1)*EXP(-0.5*(($A722-'Control Room'!$A$15-('Control Room'!$B$15-1)/2)/MAX(0.5,'Control Room'!$B$15/4))^2),1)*IF(AND($A722&gt;='Control Room'!$A$16,$A722&lt;'Control Room'!$A$16+'Control Room'!$B$16,'Process'!BR5=1),1+('Control Room'!$C$16-1)*EXP(-0.5*(($A722-'Control Room'!$A$16-('Control Room'!$B$16-1)/2)/MAX(0.5,'Control Room'!$B$16/4))^2),1)</x:f>
        <x:v>1</x:v>
      </x:c>
      <x:c r="AP722" s="9" t="n">
        <x:f>MOD(AQ721*16807,2147483647)</x:f>
        <x:v>1089795648</x:v>
      </x:c>
      <x:c r="AQ722" s="9" t="n">
        <x:f>MOD(AP722*16807,2147483647)</x:f>
        <x:v>307430673</x:v>
      </x:c>
      <x:c r="AR722" s="17" t="n">
        <x:f>IF('Control Room'!$B$5="Normal",'Control Room'!$B$7+'Control Room'!$D$7*SQRT(-2*LN(MAX(0.000000000001,AP722/2147483647)))*COS(2*PI()*AQ722/2147483647),'Control Room'!$B$8+('Control Room'!$D$8-'Control Room'!$B$8)*AP722/2147483647)</x:f>
        <x:v>1065.2028350997352</x:v>
      </x:c>
      <x:c r="AS722" s="17" t="n">
        <x:f>IF('Control Room'!$B$5="Normal",'Control Room'!$B$7,('Control Room'!$B$8+'Control Room'!$D$8)/2)+'Control Room'!$B$9*(AS721-IF('Control Room'!$B$5="Normal",'Control Room'!$B$7,('Control Room'!$B$8+'Control Room'!$D$8)/2))+SQRT(1-'Control Room'!$B$9^2)*(AR722-IF('Control Room'!$B$5="Normal",'Control Room'!$B$7,('Control Room'!$B$8+'Control Room'!$D$8)/2))</x:f>
        <x:v>1137.59226459452</x:v>
      </x:c>
      <x:c r="AT722" s="17" t="n">
        <x:f>IF(AND($A722&gt;='Control Room'!$A$13,$A722&lt;'Control Room'!$A$13+'Control Room'!$B$13,'Process'!BS2=1),1+('Control Room'!$C$13-1)*EXP(-0.5*(($A722-'Control Room'!$A$13-('Control Room'!$B$13-1)/2)/MAX(0.5,'Control Room'!$B$13/4))^2),1)*IF(AND($A722&gt;='Control Room'!$A$14,$A722&lt;'Control Room'!$A$14+'Control Room'!$B$14,'Process'!BS3=1),1+('Control Room'!$C$14-1)*EXP(-0.5*(($A722-'Control Room'!$A$14-('Control Room'!$B$14-1)/2)/MAX(0.5,'Control Room'!$B$14/4))^2),1)*IF(AND($A722&gt;='Control Room'!$A$15,$A722&lt;'Control Room'!$A$15+'Control Room'!$B$15,'Process'!BS4=1),1+('Control Room'!$C$15-1)*EXP(-0.5*(($A722-'Control Room'!$A$15-('Control Room'!$B$15-1)/2)/MAX(0.5,'Control Room'!$B$15/4))^2),1)*IF(AND($A722&gt;='Control Room'!$A$16,$A722&lt;'Control Room'!$A$16+'Control Room'!$B$16,'Process'!BS5=1),1+('Control Room'!$C$16-1)*EXP(-0.5*(($A722-'Control Room'!$A$16-('Control Room'!$B$16-1)/2)/MAX(0.5,'Control Room'!$B$16/4))^2),1)</x:f>
        <x:v>1</x:v>
      </x:c>
      <x:c r="AU722" s="9" t="n">
        <x:f>MOD(AV721*16807,2147483647)</x:f>
        <x:v>269002983</x:v>
      </x:c>
      <x:c r="AV722" s="9" t="n">
        <x:f>MOD(AU722*16807,2147483647)</x:f>
        <x:v>680058346</x:v>
      </x:c>
      <x:c r="AW722" s="17" t="n">
        <x:f>IF('Control Room'!$B$5="Normal",'Control Room'!$B$7+'Control Room'!$D$7*SQRT(-2*LN(MAX(0.000000000001,AU722/2147483647)))*COS(2*PI()*AV722/2147483647),'Control Room'!$B$8+('Control Room'!$D$8-'Control Room'!$B$8)*AU722/2147483647)</x:f>
        <x:v>925.3747352052753</x:v>
      </x:c>
      <x:c r="AX722" s="17" t="n">
        <x:f>IF('Control Room'!$B$5="Normal",'Control Room'!$B$7,('Control Room'!$B$8+'Control Room'!$D$8)/2)+'Control Room'!$B$9*(AX721-IF('Control Room'!$B$5="Normal",'Control Room'!$B$7,('Control Room'!$B$8+'Control Room'!$D$8)/2))+SQRT(1-'Control Room'!$B$9^2)*(AW722-IF('Control Room'!$B$5="Normal",'Control Room'!$B$7,('Control Room'!$B$8+'Control Room'!$D$8)/2))</x:f>
        <x:v>961.999095352316</x:v>
      </x:c>
      <x:c r="AY722" s="17" t="n">
        <x:f>IF(AND($A722&gt;='Control Room'!$A$13,$A722&lt;'Control Room'!$A$13+'Control Room'!$B$13,'Process'!BT2=1),1+('Control Room'!$C$13-1)*EXP(-0.5*(($A722-'Control Room'!$A$13-('Control Room'!$B$13-1)/2)/MAX(0.5,'Control Room'!$B$13/4))^2),1)*IF(AND($A722&gt;='Control Room'!$A$14,$A722&lt;'Control Room'!$A$14+'Control Room'!$B$14,'Process'!BT3=1),1+('Control Room'!$C$14-1)*EXP(-0.5*(($A722-'Control Room'!$A$14-('Control Room'!$B$14-1)/2)/MAX(0.5,'Control Room'!$B$14/4))^2),1)*IF(AND($A722&gt;='Control Room'!$A$15,$A722&lt;'Control Room'!$A$15+'Control Room'!$B$15,'Process'!BT4=1),1+('Control Room'!$C$15-1)*EXP(-0.5*(($A722-'Control Room'!$A$15-('Control Room'!$B$15-1)/2)/MAX(0.5,'Control Room'!$B$15/4))^2),1)*IF(AND($A722&gt;='Control Room'!$A$16,$A722&lt;'Control Room'!$A$16+'Control Room'!$B$16,'Process'!BT5=1),1+('Control Room'!$C$16-1)*EXP(-0.5*(($A722-'Control Room'!$A$16-('Control Room'!$B$16-1)/2)/MAX(0.5,'Control Room'!$B$16/4))^2),1)</x:f>
        <x:v>1</x:v>
      </x:c>
      <x:c r="AZ722" s="9" t="n">
        <x:f>MOD(BA721*16807,2147483647)</x:f>
        <x:v>1595693965</x:v>
      </x:c>
      <x:c r="BA722" s="9" t="n">
        <x:f>MOD(AZ722*16807,2147483647)</x:f>
        <x:v>1052686019</x:v>
      </x:c>
      <x:c r="BB722" s="17" t="n">
        <x:f>IF('Control Room'!$B$5="Normal",'Control Room'!$B$7+'Control Room'!$D$7*SQRT(-2*LN(MAX(0.000000000001,AZ722/2147483647)))*COS(2*PI()*BA722/2147483647),'Control Room'!$B$8+('Control Room'!$D$8-'Control Room'!$B$8)*AZ722/2147483647)</x:f>
        <x:v>930.7687258872871</x:v>
      </x:c>
      <x:c r="BC722" s="17" t="n">
        <x:f>IF('Control Room'!$B$5="Normal",'Control Room'!$B$7,('Control Room'!$B$8+'Control Room'!$D$8)/2)+'Control Room'!$B$9*(BC721-IF('Control Room'!$B$5="Normal",'Control Room'!$B$7,('Control Room'!$B$8+'Control Room'!$D$8)/2))+SQRT(1-'Control Room'!$B$9^2)*(BB722-IF('Control Room'!$B$5="Normal",'Control Room'!$B$7,('Control Room'!$B$8+'Control Room'!$D$8)/2))</x:f>
        <x:v>944.6374323126291</x:v>
      </x:c>
      <x:c r="BD722" s="17" t="n">
        <x:f>IF(AND($A722&gt;='Control Room'!$A$13,$A722&lt;'Control Room'!$A$13+'Control Room'!$B$13,'Process'!BU2=1),1+('Control Room'!$C$13-1)*EXP(-0.5*(($A722-'Control Room'!$A$13-('Control Room'!$B$13-1)/2)/MAX(0.5,'Control Room'!$B$13/4))^2),1)*IF(AND($A722&gt;='Control Room'!$A$14,$A722&lt;'Control Room'!$A$14+'Control Room'!$B$14,'Process'!BU3=1),1+('Control Room'!$C$14-1)*EXP(-0.5*(($A722-'Control Room'!$A$14-('Control Room'!$B$14-1)/2)/MAX(0.5,'Control Room'!$B$14/4))^2),1)*IF(AND($A722&gt;='Control Room'!$A$15,$A722&lt;'Control Room'!$A$15+'Control Room'!$B$15,'Process'!BU4=1),1+('Control Room'!$C$15-1)*EXP(-0.5*(($A722-'Control Room'!$A$15-('Control Room'!$B$15-1)/2)/MAX(0.5,'Control Room'!$B$15/4))^2),1)*IF(AND($A722&gt;='Control Room'!$A$16,$A722&lt;'Control Room'!$A$16+'Control Room'!$B$16,'Process'!BU5=1),1+('Control Room'!$C$16-1)*EXP(-0.5*(($A722-'Control Room'!$A$16-('Control Room'!$B$16-1)/2)/MAX(0.5,'Control Room'!$B$16/4))^2),1)</x:f>
        <x:v>1</x:v>
      </x:c>
      <x:c r="BE722" s="9" t="n">
        <x:f>MOD(BF721*16807,2147483647)</x:f>
        <x:v>774901300</x:v>
      </x:c>
      <x:c r="BF722" s="9" t="n">
        <x:f>MOD(BE722*16807,2147483647)</x:f>
        <x:v>1425313692</x:v>
      </x:c>
      <x:c r="BG722" s="17" t="n">
        <x:f>IF('Control Room'!$B$5="Normal",'Control Room'!$B$7+'Control Room'!$D$7*SQRT(-2*LN(MAX(0.000000000001,BE722/2147483647)))*COS(2*PI()*BF722/2147483647),'Control Room'!$B$8+('Control Room'!$D$8-'Control Room'!$B$8)*BE722/2147483647)</x:f>
        <x:v>933.6948479554668</x:v>
      </x:c>
      <x:c r="BH722" s="17" t="n">
        <x:f>IF('Control Room'!$B$5="Normal",'Control Room'!$B$7,('Control Room'!$B$8+'Control Room'!$D$8)/2)+'Control Room'!$B$9*(BH721-IF('Control Room'!$B$5="Normal",'Control Room'!$B$7,('Control Room'!$B$8+'Control Room'!$D$8)/2))+SQRT(1-'Control Room'!$B$9^2)*(BG722-IF('Control Room'!$B$5="Normal",'Control Room'!$B$7,('Control Room'!$B$8+'Control Room'!$D$8)/2))</x:f>
        <x:v>955.0577141831076</x:v>
      </x:c>
      <x:c r="BI722" s="17" t="n">
        <x:f>IF(AND($A722&gt;='Control Room'!$A$13,$A722&lt;'Control Room'!$A$13+'Control Room'!$B$13,'Process'!BV2=1),1+('Control Room'!$C$13-1)*EXP(-0.5*(($A722-'Control Room'!$A$13-('Control Room'!$B$13-1)/2)/MAX(0.5,'Control Room'!$B$13/4))^2),1)*IF(AND($A722&gt;='Control Room'!$A$14,$A722&lt;'Control Room'!$A$14+'Control Room'!$B$14,'Process'!BV3=1),1+('Control Room'!$C$14-1)*EXP(-0.5*(($A722-'Control Room'!$A$14-('Control Room'!$B$14-1)/2)/MAX(0.5,'Control Room'!$B$14/4))^2),1)*IF(AND($A722&gt;='Control Room'!$A$15,$A722&lt;'Control Room'!$A$15+'Control Room'!$B$15,'Process'!BV4=1),1+('Control Room'!$C$15-1)*EXP(-0.5*(($A722-'Control Room'!$A$15-('Control Room'!$B$15-1)/2)/MAX(0.5,'Control Room'!$B$15/4))^2),1)*IF(AND($A722&gt;='Control Room'!$A$16,$A722&lt;'Control Room'!$A$16+'Control Room'!$B$16,'Process'!BV5=1),1+('Control Room'!$C$16-1)*EXP(-0.5*(($A722-'Control Room'!$A$16-('Control Room'!$B$16-1)/2)/MAX(0.5,'Control Room'!$B$16/4))^2),1)</x:f>
        <x:v>1</x:v>
      </x:c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Z722" t="str">
        <x:f>IF('Data'!A722="","",TEXT('Data'!A722,"mm-dd"))</x:f>
      </x:c>
    </x:row>
    <x:row r="723" ht="21" customHeight="1">
      <x:c r="A723" s="15" t="n">
        <x:f>'Control Room'!$B$1+721</x:f>
        <x:v>73712</x:v>
      </x:c>
      <x:c r="B723" s="9" t="n">
        <x:f>MOD(C722*16807,2147483647)</x:f>
        <x:v>1056233698</x:v>
      </x:c>
      <x:c r="C723" s="9" t="n">
        <x:f>MOD(B723*16807,2147483647)</x:f>
        <x:v>1019936184</x:v>
      </x:c>
      <x:c r="D723" s="17" t="n">
        <x:f>IF('Control Room'!$B$5="Normal",'Control Room'!$B$7+'Control Room'!$D$7*SQRT(-2*LN(MAX(0.000000000001,B723/2147483647)))*COS(2*PI()*C723/2147483647),'Control Room'!$B$8+('Control Room'!$D$8-'Control Room'!$B$8)*B723/2147483647)</x:f>
        <x:v>894.1096303584053</x:v>
      </x:c>
      <x:c r="E723" s="17" t="n">
        <x:f>IF('Control Room'!$B$5="Normal",'Control Room'!$B$7,('Control Room'!$B$8+'Control Room'!$D$8)/2)+'Control Room'!$B$9*(E722-IF('Control Room'!$B$5="Normal",'Control Room'!$B$7,('Control Room'!$B$8+'Control Room'!$D$8)/2))+SQRT(1-'Control Room'!$B$9^2)*(D723-IF('Control Room'!$B$5="Normal",'Control Room'!$B$7,('Control Room'!$B$8+'Control Room'!$D$8)/2))</x:f>
        <x:v>988.1996008080151</x:v>
      </x:c>
      <x:c r="F723" s="17" t="n">
        <x:f>IF(AND($A723&gt;='Control Room'!$A$13,$A723&lt;'Control Room'!$A$13+'Control Room'!$B$13,'Process'!BK2=1),1+('Control Room'!$C$13-1)*EXP(-0.5*(($A723-'Control Room'!$A$13-('Control Room'!$B$13-1)/2)/MAX(0.5,'Control Room'!$B$13/4))^2),1)*IF(AND($A723&gt;='Control Room'!$A$14,$A723&lt;'Control Room'!$A$14+'Control Room'!$B$14,'Process'!BK3=1),1+('Control Room'!$C$14-1)*EXP(-0.5*(($A723-'Control Room'!$A$14-('Control Room'!$B$14-1)/2)/MAX(0.5,'Control Room'!$B$14/4))^2),1)*IF(AND($A723&gt;='Control Room'!$A$15,$A723&lt;'Control Room'!$A$15+'Control Room'!$B$15,'Process'!BK4=1),1+('Control Room'!$C$15-1)*EXP(-0.5*(($A723-'Control Room'!$A$15-('Control Room'!$B$15-1)/2)/MAX(0.5,'Control Room'!$B$15/4))^2),1)*IF(AND($A723&gt;='Control Room'!$A$16,$A723&lt;'Control Room'!$A$16+'Control Room'!$B$16,'Process'!BK5=1),1+('Control Room'!$C$16-1)*EXP(-0.5*(($A723-'Control Room'!$A$16-('Control Room'!$B$16-1)/2)/MAX(0.5,'Control Room'!$B$16/4))^2),1)</x:f>
        <x:v>1</x:v>
      </x:c>
      <x:c r="G723" s="9" t="n">
        <x:f>MOD(H722*16807,2147483647)</x:f>
        <x:v>1747219157</x:v>
      </x:c>
      <x:c r="H723" s="9" t="n">
        <x:f>MOD(G723*16807,2147483647)</x:f>
        <x:v>820982621</x:v>
      </x:c>
      <x:c r="I723" s="17" t="n">
        <x:f>IF('Control Room'!$B$5="Normal",'Control Room'!$B$7+'Control Room'!$D$7*SQRT(-2*LN(MAX(0.000000000001,G723/2147483647)))*COS(2*PI()*H723/2147483647),'Control Room'!$B$8+('Control Room'!$D$8-'Control Room'!$B$8)*G723/2147483647)</x:f>
        <x:v>957.2934587051308</x:v>
      </x:c>
      <x:c r="J723" s="17" t="n">
        <x:f>IF('Control Room'!$B$5="Normal",'Control Room'!$B$7,('Control Room'!$B$8+'Control Room'!$D$8)/2)+'Control Room'!$B$9*(J722-IF('Control Room'!$B$5="Normal",'Control Room'!$B$7,('Control Room'!$B$8+'Control Room'!$D$8)/2))+SQRT(1-'Control Room'!$B$9^2)*(I723-IF('Control Room'!$B$5="Normal",'Control Room'!$B$7,('Control Room'!$B$8+'Control Room'!$D$8)/2))</x:f>
        <x:v>1011.9599751376315</x:v>
      </x:c>
      <x:c r="K723" s="17" t="n">
        <x:f>IF(AND($A723&gt;='Control Room'!$A$13,$A723&lt;'Control Room'!$A$13+'Control Room'!$B$13,'Process'!BL2=1),1+('Control Room'!$C$13-1)*EXP(-0.5*(($A723-'Control Room'!$A$13-('Control Room'!$B$13-1)/2)/MAX(0.5,'Control Room'!$B$13/4))^2),1)*IF(AND($A723&gt;='Control Room'!$A$14,$A723&lt;'Control Room'!$A$14+'Control Room'!$B$14,'Process'!BL3=1),1+('Control Room'!$C$14-1)*EXP(-0.5*(($A723-'Control Room'!$A$14-('Control Room'!$B$14-1)/2)/MAX(0.5,'Control Room'!$B$14/4))^2),1)*IF(AND($A723&gt;='Control Room'!$A$15,$A723&lt;'Control Room'!$A$15+'Control Room'!$B$15,'Process'!BL4=1),1+('Control Room'!$C$15-1)*EXP(-0.5*(($A723-'Control Room'!$A$15-('Control Room'!$B$15-1)/2)/MAX(0.5,'Control Room'!$B$15/4))^2),1)*IF(AND($A723&gt;='Control Room'!$A$16,$A723&lt;'Control Room'!$A$16+'Control Room'!$B$16,'Process'!BL5=1),1+('Control Room'!$C$16-1)*EXP(-0.5*(($A723-'Control Room'!$A$16-('Control Room'!$B$16-1)/2)/MAX(0.5,'Control Room'!$B$16/4))^2),1)</x:f>
        <x:v>1</x:v>
      </x:c>
      <x:c r="L723" s="9" t="n">
        <x:f>MOD(M722*16807,2147483647)</x:f>
        <x:v>290720969</x:v>
      </x:c>
      <x:c r="M723" s="9" t="n">
        <x:f>MOD(L723*16807,2147483647)</x:f>
        <x:v>622029058</x:v>
      </x:c>
      <x:c r="N723" s="17" t="n">
        <x:f>IF('Control Room'!$B$5="Normal",'Control Room'!$B$7+'Control Room'!$D$7*SQRT(-2*LN(MAX(0.000000000001,L723/2147483647)))*COS(2*PI()*M723/2147483647),'Control Room'!$B$8+('Control Room'!$D$8-'Control Room'!$B$8)*L723/2147483647)</x:f>
        <x:v>955.6174758946595</x:v>
      </x:c>
      <x:c r="O723" s="17" t="n">
        <x:f>IF('Control Room'!$B$5="Normal",'Control Room'!$B$7,('Control Room'!$B$8+'Control Room'!$D$8)/2)+'Control Room'!$B$9*(O722-IF('Control Room'!$B$5="Normal",'Control Room'!$B$7,('Control Room'!$B$8+'Control Room'!$D$8)/2))+SQRT(1-'Control Room'!$B$9^2)*(N723-IF('Control Room'!$B$5="Normal",'Control Room'!$B$7,('Control Room'!$B$8+'Control Room'!$D$8)/2))</x:f>
        <x:v>1010.1519342731581</x:v>
      </x:c>
      <x:c r="P723" s="17" t="n">
        <x:f>IF(AND($A723&gt;='Control Room'!$A$13,$A723&lt;'Control Room'!$A$13+'Control Room'!$B$13,'Process'!BM2=1),1+('Control Room'!$C$13-1)*EXP(-0.5*(($A723-'Control Room'!$A$13-('Control Room'!$B$13-1)/2)/MAX(0.5,'Control Room'!$B$13/4))^2),1)*IF(AND($A723&gt;='Control Room'!$A$14,$A723&lt;'Control Room'!$A$14+'Control Room'!$B$14,'Process'!BM3=1),1+('Control Room'!$C$14-1)*EXP(-0.5*(($A723-'Control Room'!$A$14-('Control Room'!$B$14-1)/2)/MAX(0.5,'Control Room'!$B$14/4))^2),1)*IF(AND($A723&gt;='Control Room'!$A$15,$A723&lt;'Control Room'!$A$15+'Control Room'!$B$15,'Process'!BM4=1),1+('Control Room'!$C$15-1)*EXP(-0.5*(($A723-'Control Room'!$A$15-('Control Room'!$B$15-1)/2)/MAX(0.5,'Control Room'!$B$15/4))^2),1)*IF(AND($A723&gt;='Control Room'!$A$16,$A723&lt;'Control Room'!$A$16+'Control Room'!$B$16,'Process'!BM5=1),1+('Control Room'!$C$16-1)*EXP(-0.5*(($A723-'Control Room'!$A$16-('Control Room'!$B$16-1)/2)/MAX(0.5,'Control Room'!$B$16/4))^2),1)</x:f>
        <x:v>1</x:v>
      </x:c>
      <x:c r="Q723" s="9" t="n">
        <x:f>MOD(R722*16807,2147483647)</x:f>
        <x:v>981706428</x:v>
      </x:c>
      <x:c r="R723" s="9" t="n">
        <x:f>MOD(Q723*16807,2147483647)</x:f>
        <x:v>423075495</x:v>
      </x:c>
      <x:c r="S723" s="17" t="n">
        <x:f>IF('Control Room'!$B$5="Normal",'Control Room'!$B$7+'Control Room'!$D$7*SQRT(-2*LN(MAX(0.000000000001,Q723/2147483647)))*COS(2*PI()*R723/2147483647),'Control Room'!$B$8+('Control Room'!$D$8-'Control Room'!$B$8)*Q723/2147483647)</x:f>
        <x:v>1036.8038127080436</x:v>
      </x:c>
      <x:c r="T723" s="17" t="n">
        <x:f>IF('Control Room'!$B$5="Normal",'Control Room'!$B$7,('Control Room'!$B$8+'Control Room'!$D$8)/2)+'Control Room'!$B$9*(T722-IF('Control Room'!$B$5="Normal",'Control Room'!$B$7,('Control Room'!$B$8+'Control Room'!$D$8)/2))+SQRT(1-'Control Room'!$B$9^2)*(S723-IF('Control Room'!$B$5="Normal",'Control Room'!$B$7,('Control Room'!$B$8+'Control Room'!$D$8)/2))</x:f>
        <x:v>978.0440238632226</x:v>
      </x:c>
      <x:c r="U723" s="17" t="n">
        <x:f>IF(AND($A723&gt;='Control Room'!$A$13,$A723&lt;'Control Room'!$A$13+'Control Room'!$B$13,'Process'!BN2=1),1+('Control Room'!$C$13-1)*EXP(-0.5*(($A723-'Control Room'!$A$13-('Control Room'!$B$13-1)/2)/MAX(0.5,'Control Room'!$B$13/4))^2),1)*IF(AND($A723&gt;='Control Room'!$A$14,$A723&lt;'Control Room'!$A$14+'Control Room'!$B$14,'Process'!BN3=1),1+('Control Room'!$C$14-1)*EXP(-0.5*(($A723-'Control Room'!$A$14-('Control Room'!$B$14-1)/2)/MAX(0.5,'Control Room'!$B$14/4))^2),1)*IF(AND($A723&gt;='Control Room'!$A$15,$A723&lt;'Control Room'!$A$15+'Control Room'!$B$15,'Process'!BN4=1),1+('Control Room'!$C$15-1)*EXP(-0.5*(($A723-'Control Room'!$A$15-('Control Room'!$B$15-1)/2)/MAX(0.5,'Control Room'!$B$15/4))^2),1)*IF(AND($A723&gt;='Control Room'!$A$16,$A723&lt;'Control Room'!$A$16+'Control Room'!$B$16,'Process'!BN5=1),1+('Control Room'!$C$16-1)*EXP(-0.5*(($A723-'Control Room'!$A$16-('Control Room'!$B$16-1)/2)/MAX(0.5,'Control Room'!$B$16/4))^2),1)</x:f>
        <x:v>1</x:v>
      </x:c>
      <x:c r="V723" s="9" t="n">
        <x:f>MOD(W722*16807,2147483647)</x:f>
        <x:v>1672691887</x:v>
      </x:c>
      <x:c r="W723" s="9" t="n">
        <x:f>MOD(V723*16807,2147483647)</x:f>
        <x:v>224121932</x:v>
      </x:c>
      <x:c r="X723" s="17" t="n">
        <x:f>IF('Control Room'!$B$5="Normal",'Control Room'!$B$7+'Control Room'!$D$7*SQRT(-2*LN(MAX(0.000000000001,V723/2147483647)))*COS(2*PI()*W723/2147483647),'Control Room'!$B$8+('Control Room'!$D$8-'Control Room'!$B$8)*V723/2147483647)</x:f>
        <x:v>1050.4265319777012</x:v>
      </x:c>
      <x:c r="Y723" s="17" t="n">
        <x:f>IF('Control Room'!$B$5="Normal",'Control Room'!$B$7,('Control Room'!$B$8+'Control Room'!$D$8)/2)+'Control Room'!$B$9*(Y722-IF('Control Room'!$B$5="Normal",'Control Room'!$B$7,('Control Room'!$B$8+'Control Room'!$D$8)/2))+SQRT(1-'Control Room'!$B$9^2)*(X723-IF('Control Room'!$B$5="Normal",'Control Room'!$B$7,('Control Room'!$B$8+'Control Room'!$D$8)/2))</x:f>
        <x:v>983.047073392504</x:v>
      </x:c>
      <x:c r="Z723" s="17" t="n">
        <x:f>IF(AND($A723&gt;='Control Room'!$A$13,$A723&lt;'Control Room'!$A$13+'Control Room'!$B$13,'Process'!BO2=1),1+('Control Room'!$C$13-1)*EXP(-0.5*(($A723-'Control Room'!$A$13-('Control Room'!$B$13-1)/2)/MAX(0.5,'Control Room'!$B$13/4))^2),1)*IF(AND($A723&gt;='Control Room'!$A$14,$A723&lt;'Control Room'!$A$14+'Control Room'!$B$14,'Process'!BO3=1),1+('Control Room'!$C$14-1)*EXP(-0.5*(($A723-'Control Room'!$A$14-('Control Room'!$B$14-1)/2)/MAX(0.5,'Control Room'!$B$14/4))^2),1)*IF(AND($A723&gt;='Control Room'!$A$15,$A723&lt;'Control Room'!$A$15+'Control Room'!$B$15,'Process'!BO4=1),1+('Control Room'!$C$15-1)*EXP(-0.5*(($A723-'Control Room'!$A$15-('Control Room'!$B$15-1)/2)/MAX(0.5,'Control Room'!$B$15/4))^2),1)*IF(AND($A723&gt;='Control Room'!$A$16,$A723&lt;'Control Room'!$A$16+'Control Room'!$B$16,'Process'!BO5=1),1+('Control Room'!$C$16-1)*EXP(-0.5*(($A723-'Control Room'!$A$16-('Control Room'!$B$16-1)/2)/MAX(0.5,'Control Room'!$B$16/4))^2),1)</x:f>
        <x:v>1</x:v>
      </x:c>
      <x:c r="AA723" s="9" t="n">
        <x:f>MOD(AB722*16807,2147483647)</x:f>
        <x:v>216193699</x:v>
      </x:c>
      <x:c r="AB723" s="9" t="n">
        <x:f>MOD(AA723*16807,2147483647)</x:f>
        <x:v>25168369</x:v>
      </x:c>
      <x:c r="AC723" s="17" t="n">
        <x:f>IF('Control Room'!$B$5="Normal",'Control Room'!$B$7+'Control Room'!$D$7*SQRT(-2*LN(MAX(0.000000000001,AA723/2147483647)))*COS(2*PI()*AB723/2147483647),'Control Room'!$B$8+('Control Room'!$D$8-'Control Room'!$B$8)*AA723/2147483647)</x:f>
        <x:v>1192.3327613604665</x:v>
      </x:c>
      <x:c r="AD723" s="17" t="n">
        <x:f>IF('Control Room'!$B$5="Normal",'Control Room'!$B$7,('Control Room'!$B$8+'Control Room'!$D$8)/2)+'Control Room'!$B$9*(AD722-IF('Control Room'!$B$5="Normal",'Control Room'!$B$7,('Control Room'!$B$8+'Control Room'!$D$8)/2))+SQRT(1-'Control Room'!$B$9^2)*(AC723-IF('Control Room'!$B$5="Normal",'Control Room'!$B$7,('Control Room'!$B$8+'Control Room'!$D$8)/2))</x:f>
        <x:v>1050.9338959616207</x:v>
      </x:c>
      <x:c r="AE723" s="17" t="n">
        <x:f>IF(AND($A723&gt;='Control Room'!$A$13,$A723&lt;'Control Room'!$A$13+'Control Room'!$B$13,'Process'!BP2=1),1+('Control Room'!$C$13-1)*EXP(-0.5*(($A723-'Control Room'!$A$13-('Control Room'!$B$13-1)/2)/MAX(0.5,'Control Room'!$B$13/4))^2),1)*IF(AND($A723&gt;='Control Room'!$A$14,$A723&lt;'Control Room'!$A$14+'Control Room'!$B$14,'Process'!BP3=1),1+('Control Room'!$C$14-1)*EXP(-0.5*(($A723-'Control Room'!$A$14-('Control Room'!$B$14-1)/2)/MAX(0.5,'Control Room'!$B$14/4))^2),1)*IF(AND($A723&gt;='Control Room'!$A$15,$A723&lt;'Control Room'!$A$15+'Control Room'!$B$15,'Process'!BP4=1),1+('Control Room'!$C$15-1)*EXP(-0.5*(($A723-'Control Room'!$A$15-('Control Room'!$B$15-1)/2)/MAX(0.5,'Control Room'!$B$15/4))^2),1)*IF(AND($A723&gt;='Control Room'!$A$16,$A723&lt;'Control Room'!$A$16+'Control Room'!$B$16,'Process'!BP5=1),1+('Control Room'!$C$16-1)*EXP(-0.5*(($A723-'Control Room'!$A$16-('Control Room'!$B$16-1)/2)/MAX(0.5,'Control Room'!$B$16/4))^2),1)</x:f>
        <x:v>1</x:v>
      </x:c>
      <x:c r="AF723" s="9" t="n">
        <x:f>MOD(AG722*16807,2147483647)</x:f>
        <x:v>907179158</x:v>
      </x:c>
      <x:c r="AG723" s="9" t="n">
        <x:f>MOD(AF723*16807,2147483647)</x:f>
        <x:v>1973698453</x:v>
      </x:c>
      <x:c r="AH723" s="17" t="n">
        <x:f>IF('Control Room'!$B$5="Normal",'Control Room'!$B$7+'Control Room'!$D$7*SQRT(-2*LN(MAX(0.000000000001,AF723/2147483647)))*COS(2*PI()*AG723/2147483647),'Control Room'!$B$8+('Control Room'!$D$8-'Control Room'!$B$8)*AF723/2147483647)</x:f>
        <x:v>1103.2042204491006</x:v>
      </x:c>
      <x:c r="AI723" s="17" t="n">
        <x:f>IF('Control Room'!$B$5="Normal",'Control Room'!$B$7,('Control Room'!$B$8+'Control Room'!$D$8)/2)+'Control Room'!$B$9*(AI722-IF('Control Room'!$B$5="Normal",'Control Room'!$B$7,('Control Room'!$B$8+'Control Room'!$D$8)/2))+SQRT(1-'Control Room'!$B$9^2)*(AH723-IF('Control Room'!$B$5="Normal",'Control Room'!$B$7,('Control Room'!$B$8+'Control Room'!$D$8)/2))</x:f>
        <x:v>1097.1312604236919</x:v>
      </x:c>
      <x:c r="AJ723" s="17" t="n">
        <x:f>IF(AND($A723&gt;='Control Room'!$A$13,$A723&lt;'Control Room'!$A$13+'Control Room'!$B$13,'Process'!BQ2=1),1+('Control Room'!$C$13-1)*EXP(-0.5*(($A723-'Control Room'!$A$13-('Control Room'!$B$13-1)/2)/MAX(0.5,'Control Room'!$B$13/4))^2),1)*IF(AND($A723&gt;='Control Room'!$A$14,$A723&lt;'Control Room'!$A$14+'Control Room'!$B$14,'Process'!BQ3=1),1+('Control Room'!$C$14-1)*EXP(-0.5*(($A723-'Control Room'!$A$14-('Control Room'!$B$14-1)/2)/MAX(0.5,'Control Room'!$B$14/4))^2),1)*IF(AND($A723&gt;='Control Room'!$A$15,$A723&lt;'Control Room'!$A$15+'Control Room'!$B$15,'Process'!BQ4=1),1+('Control Room'!$C$15-1)*EXP(-0.5*(($A723-'Control Room'!$A$15-('Control Room'!$B$15-1)/2)/MAX(0.5,'Control Room'!$B$15/4))^2),1)*IF(AND($A723&gt;='Control Room'!$A$16,$A723&lt;'Control Room'!$A$16+'Control Room'!$B$16,'Process'!BQ5=1),1+('Control Room'!$C$16-1)*EXP(-0.5*(($A723-'Control Room'!$A$16-('Control Room'!$B$16-1)/2)/MAX(0.5,'Control Room'!$B$16/4))^2),1)</x:f>
        <x:v>1</x:v>
      </x:c>
      <x:c r="AK723" s="9" t="n">
        <x:f>MOD(AL722*16807,2147483647)</x:f>
        <x:v>1598164617</x:v>
      </x:c>
      <x:c r="AL723" s="9" t="n">
        <x:f>MOD(AK723*16807,2147483647)</x:f>
        <x:v>1774744890</x:v>
      </x:c>
      <x:c r="AM723" s="17" t="n">
        <x:f>IF('Control Room'!$B$5="Normal",'Control Room'!$B$7+'Control Room'!$D$7*SQRT(-2*LN(MAX(0.000000000001,AK723/2147483647)))*COS(2*PI()*AL723/2147483647),'Control Room'!$B$8+('Control Room'!$D$8-'Control Room'!$B$8)*AK723/2147483647)</x:f>
        <x:v>1031.9605173376485</x:v>
      </x:c>
      <x:c r="AN723" s="17" t="n">
        <x:f>IF('Control Room'!$B$5="Normal",'Control Room'!$B$7,('Control Room'!$B$8+'Control Room'!$D$8)/2)+'Control Room'!$B$9*(AN722-IF('Control Room'!$B$5="Normal",'Control Room'!$B$7,('Control Room'!$B$8+'Control Room'!$D$8)/2))+SQRT(1-'Control Room'!$B$9^2)*(AM723-IF('Control Room'!$B$5="Normal",'Control Room'!$B$7,('Control Room'!$B$8+'Control Room'!$D$8)/2))</x:f>
        <x:v>923.7169427126414</x:v>
      </x:c>
      <x:c r="AO723" s="17" t="n">
        <x:f>IF(AND($A723&gt;='Control Room'!$A$13,$A723&lt;'Control Room'!$A$13+'Control Room'!$B$13,'Process'!BR2=1),1+('Control Room'!$C$13-1)*EXP(-0.5*(($A723-'Control Room'!$A$13-('Control Room'!$B$13-1)/2)/MAX(0.5,'Control Room'!$B$13/4))^2),1)*IF(AND($A723&gt;='Control Room'!$A$14,$A723&lt;'Control Room'!$A$14+'Control Room'!$B$14,'Process'!BR3=1),1+('Control Room'!$C$14-1)*EXP(-0.5*(($A723-'Control Room'!$A$14-('Control Room'!$B$14-1)/2)/MAX(0.5,'Control Room'!$B$14/4))^2),1)*IF(AND($A723&gt;='Control Room'!$A$15,$A723&lt;'Control Room'!$A$15+'Control Room'!$B$15,'Process'!BR4=1),1+('Control Room'!$C$15-1)*EXP(-0.5*(($A723-'Control Room'!$A$15-('Control Room'!$B$15-1)/2)/MAX(0.5,'Control Room'!$B$15/4))^2),1)*IF(AND($A723&gt;='Control Room'!$A$16,$A723&lt;'Control Room'!$A$16+'Control Room'!$B$16,'Process'!BR5=1),1+('Control Room'!$C$16-1)*EXP(-0.5*(($A723-'Control Room'!$A$16-('Control Room'!$B$16-1)/2)/MAX(0.5,'Control Room'!$B$16/4))^2),1)</x:f>
        <x:v>1</x:v>
      </x:c>
      <x:c r="AP723" s="9" t="n">
        <x:f>MOD(AQ722*16807,2147483647)</x:f>
        <x:v>141666429</x:v>
      </x:c>
      <x:c r="AQ723" s="9" t="n">
        <x:f>MOD(AP723*16807,2147483647)</x:f>
        <x:v>1575791327</x:v>
      </x:c>
      <x:c r="AR723" s="17" t="n">
        <x:f>IF('Control Room'!$B$5="Normal",'Control Room'!$B$7+'Control Room'!$D$7*SQRT(-2*LN(MAX(0.000000000001,AP723/2147483647)))*COS(2*PI()*AQ723/2147483647),'Control Room'!$B$8+('Control Room'!$D$8-'Control Room'!$B$8)*AP723/2147483647)</x:f>
        <x:v>978.6561349787395</x:v>
      </x:c>
      <x:c r="AS723" s="17" t="n">
        <x:f>IF('Control Room'!$B$5="Normal",'Control Room'!$B$7,('Control Room'!$B$8+'Control Room'!$D$8)/2)+'Control Room'!$B$9*(AS722-IF('Control Room'!$B$5="Normal",'Control Room'!$B$7,('Control Room'!$B$8+'Control Room'!$D$8)/2))+SQRT(1-'Control Room'!$B$9^2)*(AR723-IF('Control Room'!$B$5="Normal",'Control Room'!$B$7,('Control Room'!$B$8+'Control Room'!$D$8)/2))</x:f>
        <x:v>1093.9654129062626</x:v>
      </x:c>
      <x:c r="AT723" s="17" t="n">
        <x:f>IF(AND($A723&gt;='Control Room'!$A$13,$A723&lt;'Control Room'!$A$13+'Control Room'!$B$13,'Process'!BS2=1),1+('Control Room'!$C$13-1)*EXP(-0.5*(($A723-'Control Room'!$A$13-('Control Room'!$B$13-1)/2)/MAX(0.5,'Control Room'!$B$13/4))^2),1)*IF(AND($A723&gt;='Control Room'!$A$14,$A723&lt;'Control Room'!$A$14+'Control Room'!$B$14,'Process'!BS3=1),1+('Control Room'!$C$14-1)*EXP(-0.5*(($A723-'Control Room'!$A$14-('Control Room'!$B$14-1)/2)/MAX(0.5,'Control Room'!$B$14/4))^2),1)*IF(AND($A723&gt;='Control Room'!$A$15,$A723&lt;'Control Room'!$A$15+'Control Room'!$B$15,'Process'!BS4=1),1+('Control Room'!$C$15-1)*EXP(-0.5*(($A723-'Control Room'!$A$15-('Control Room'!$B$15-1)/2)/MAX(0.5,'Control Room'!$B$15/4))^2),1)*IF(AND($A723&gt;='Control Room'!$A$16,$A723&lt;'Control Room'!$A$16+'Control Room'!$B$16,'Process'!BS5=1),1+('Control Room'!$C$16-1)*EXP(-0.5*(($A723-'Control Room'!$A$16-('Control Room'!$B$16-1)/2)/MAX(0.5,'Control Room'!$B$16/4))^2),1)</x:f>
        <x:v>1</x:v>
      </x:c>
      <x:c r="AU723" s="9" t="n">
        <x:f>MOD(AV722*16807,2147483647)</x:f>
        <x:v>832651888</x:v>
      </x:c>
      <x:c r="AV723" s="9" t="n">
        <x:f>MOD(AU723*16807,2147483647)</x:f>
        <x:v>1376837764</x:v>
      </x:c>
      <x:c r="AW723" s="17" t="n">
        <x:f>IF('Control Room'!$B$5="Normal",'Control Room'!$B$7+'Control Room'!$D$7*SQRT(-2*LN(MAX(0.000000000001,AU723/2147483647)))*COS(2*PI()*AV723/2147483647),'Control Room'!$B$8+('Control Room'!$D$8-'Control Room'!$B$8)*AU723/2147483647)</x:f>
        <x:v>921.7160152878716</x:v>
      </x:c>
      <x:c r="AX723" s="17" t="n">
        <x:f>IF('Control Room'!$B$5="Normal",'Control Room'!$B$7,('Control Room'!$B$8+'Control Room'!$D$8)/2)+'Control Room'!$B$9*(AX722-IF('Control Room'!$B$5="Normal",'Control Room'!$B$7,('Control Room'!$B$8+'Control Room'!$D$8)/2))+SQRT(1-'Control Room'!$B$9^2)*(AW723-IF('Control Room'!$B$5="Normal",'Control Room'!$B$7,('Control Room'!$B$8+'Control Room'!$D$8)/2))</x:f>
        <x:v>921.3707804765542</x:v>
      </x:c>
      <x:c r="AY723" s="17" t="n">
        <x:f>IF(AND($A723&gt;='Control Room'!$A$13,$A723&lt;'Control Room'!$A$13+'Control Room'!$B$13,'Process'!BT2=1),1+('Control Room'!$C$13-1)*EXP(-0.5*(($A723-'Control Room'!$A$13-('Control Room'!$B$13-1)/2)/MAX(0.5,'Control Room'!$B$13/4))^2),1)*IF(AND($A723&gt;='Control Room'!$A$14,$A723&lt;'Control Room'!$A$14+'Control Room'!$B$14,'Process'!BT3=1),1+('Control Room'!$C$14-1)*EXP(-0.5*(($A723-'Control Room'!$A$14-('Control Room'!$B$14-1)/2)/MAX(0.5,'Control Room'!$B$14/4))^2),1)*IF(AND($A723&gt;='Control Room'!$A$15,$A723&lt;'Control Room'!$A$15+'Control Room'!$B$15,'Process'!BT4=1),1+('Control Room'!$C$15-1)*EXP(-0.5*(($A723-'Control Room'!$A$15-('Control Room'!$B$15-1)/2)/MAX(0.5,'Control Room'!$B$15/4))^2),1)*IF(AND($A723&gt;='Control Room'!$A$16,$A723&lt;'Control Room'!$A$16+'Control Room'!$B$16,'Process'!BT5=1),1+('Control Room'!$C$16-1)*EXP(-0.5*(($A723-'Control Room'!$A$16-('Control Room'!$B$16-1)/2)/MAX(0.5,'Control Room'!$B$16/4))^2),1)</x:f>
        <x:v>1</x:v>
      </x:c>
      <x:c r="AZ723" s="9" t="n">
        <x:f>MOD(BA722*16807,2147483647)</x:f>
        <x:v>1523637347</x:v>
      </x:c>
      <x:c r="BA723" s="9" t="n">
        <x:f>MOD(AZ723*16807,2147483647)</x:f>
        <x:v>1177884201</x:v>
      </x:c>
      <x:c r="BB723" s="17" t="n">
        <x:f>IF('Control Room'!$B$5="Normal",'Control Room'!$B$7+'Control Room'!$D$7*SQRT(-2*LN(MAX(0.000000000001,AZ723/2147483647)))*COS(2*PI()*BA723/2147483647),'Control Room'!$B$8+('Control Room'!$D$8-'Control Room'!$B$8)*AZ723/2147483647)</x:f>
        <x:v>928.870785760714</x:v>
      </x:c>
      <x:c r="BC723" s="17" t="n">
        <x:f>IF('Control Room'!$B$5="Normal",'Control Room'!$B$7,('Control Room'!$B$8+'Control Room'!$D$8)/2)+'Control Room'!$B$9*(BC722-IF('Control Room'!$B$5="Normal",'Control Room'!$B$7,('Control Room'!$B$8+'Control Room'!$D$8)/2))+SQRT(1-'Control Room'!$B$9^2)*(BB723-IF('Control Room'!$B$5="Normal",'Control Room'!$B$7,('Control Room'!$B$8+'Control Room'!$D$8)/2))</x:f>
        <x:v>912.305992094063</x:v>
      </x:c>
      <x:c r="BD723" s="17" t="n">
        <x:f>IF(AND($A723&gt;='Control Room'!$A$13,$A723&lt;'Control Room'!$A$13+'Control Room'!$B$13,'Process'!BU2=1),1+('Control Room'!$C$13-1)*EXP(-0.5*(($A723-'Control Room'!$A$13-('Control Room'!$B$13-1)/2)/MAX(0.5,'Control Room'!$B$13/4))^2),1)*IF(AND($A723&gt;='Control Room'!$A$14,$A723&lt;'Control Room'!$A$14+'Control Room'!$B$14,'Process'!BU3=1),1+('Control Room'!$C$14-1)*EXP(-0.5*(($A723-'Control Room'!$A$14-('Control Room'!$B$14-1)/2)/MAX(0.5,'Control Room'!$B$14/4))^2),1)*IF(AND($A723&gt;='Control Room'!$A$15,$A723&lt;'Control Room'!$A$15+'Control Room'!$B$15,'Process'!BU4=1),1+('Control Room'!$C$15-1)*EXP(-0.5*(($A723-'Control Room'!$A$15-('Control Room'!$B$15-1)/2)/MAX(0.5,'Control Room'!$B$15/4))^2),1)*IF(AND($A723&gt;='Control Room'!$A$16,$A723&lt;'Control Room'!$A$16+'Control Room'!$B$16,'Process'!BU5=1),1+('Control Room'!$C$16-1)*EXP(-0.5*(($A723-'Control Room'!$A$16-('Control Room'!$B$16-1)/2)/MAX(0.5,'Control Room'!$B$16/4))^2),1)</x:f>
        <x:v>1</x:v>
      </x:c>
      <x:c r="BE723" s="9" t="n">
        <x:f>MOD(BF722*16807,2147483647)</x:f>
        <x:v>67139159</x:v>
      </x:c>
      <x:c r="BF723" s="9" t="n">
        <x:f>MOD(BE723*16807,2147483647)</x:f>
        <x:v>978930638</x:v>
      </x:c>
      <x:c r="BG723" s="17" t="n">
        <x:f>IF('Control Room'!$B$5="Normal",'Control Room'!$B$7+'Control Room'!$D$7*SQRT(-2*LN(MAX(0.000000000001,BE723/2147483647)))*COS(2*PI()*BF723/2147483647),'Control Room'!$B$8+('Control Room'!$D$8-'Control Room'!$B$8)*BE723/2147483647)</x:f>
        <x:v>772.1241709280317</x:v>
      </x:c>
      <x:c r="BH723" s="17" t="n">
        <x:f>IF('Control Room'!$B$5="Normal",'Control Room'!$B$7,('Control Room'!$B$8+'Control Room'!$D$8)/2)+'Control Room'!$B$9*(BH722-IF('Control Room'!$B$5="Normal",'Control Room'!$B$7,('Control Room'!$B$8+'Control Room'!$D$8)/2))+SQRT(1-'Control Room'!$B$9^2)*(BG723-IF('Control Room'!$B$5="Normal",'Control Room'!$B$7,('Control Room'!$B$8+'Control Room'!$D$8)/2))</x:f>
        <x:v>822.3449915196888</x:v>
      </x:c>
      <x:c r="BI723" s="17" t="n">
        <x:f>IF(AND($A723&gt;='Control Room'!$A$13,$A723&lt;'Control Room'!$A$13+'Control Room'!$B$13,'Process'!BV2=1),1+('Control Room'!$C$13-1)*EXP(-0.5*(($A723-'Control Room'!$A$13-('Control Room'!$B$13-1)/2)/MAX(0.5,'Control Room'!$B$13/4))^2),1)*IF(AND($A723&gt;='Control Room'!$A$14,$A723&lt;'Control Room'!$A$14+'Control Room'!$B$14,'Process'!BV3=1),1+('Control Room'!$C$14-1)*EXP(-0.5*(($A723-'Control Room'!$A$14-('Control Room'!$B$14-1)/2)/MAX(0.5,'Control Room'!$B$14/4))^2),1)*IF(AND($A723&gt;='Control Room'!$A$15,$A723&lt;'Control Room'!$A$15+'Control Room'!$B$15,'Process'!BV4=1),1+('Control Room'!$C$15-1)*EXP(-0.5*(($A723-'Control Room'!$A$15-('Control Room'!$B$15-1)/2)/MAX(0.5,'Control Room'!$B$15/4))^2),1)*IF(AND($A723&gt;='Control Room'!$A$16,$A723&lt;'Control Room'!$A$16+'Control Room'!$B$16,'Process'!BV5=1),1+('Control Room'!$C$16-1)*EXP(-0.5*(($A723-'Control Room'!$A$16-('Control Room'!$B$16-1)/2)/MAX(0.5,'Control Room'!$B$16/4))^2),1)</x:f>
        <x:v>1</x:v>
      </x:c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Z723" t="str">
        <x:f>IF('Data'!A723="","",TEXT('Data'!A723,"mm-dd"))</x:f>
      </x:c>
    </x:row>
    <x:row r="724" ht="21" customHeight="1">
      <x:c r="A724" s="15" t="n">
        <x:f>'Control Room'!$B$1+722</x:f>
        <x:v>73713</x:v>
      </x:c>
      <x:c r="B724" s="9" t="n">
        <x:f>MOD(C723*16807,2147483647)</x:f>
        <x:v>852974134</x:v>
      </x:c>
      <x:c r="C724" s="9" t="n">
        <x:f>MOD(B724*16807,2147483647)</x:f>
        <x:v>1482926413</x:v>
      </x:c>
      <x:c r="D724" s="17" t="n">
        <x:f>IF('Control Room'!$B$5="Normal",'Control Room'!$B$7+'Control Room'!$D$7*SQRT(-2*LN(MAX(0.000000000001,B724/2147483647)))*COS(2*PI()*C724/2147483647),'Control Room'!$B$8+('Control Room'!$D$8-'Control Room'!$B$8)*B724/2147483647)</x:f>
        <x:v>955.3646529669205</x:v>
      </x:c>
      <x:c r="E724" s="17" t="n">
        <x:f>IF('Control Room'!$B$5="Normal",'Control Room'!$B$7,('Control Room'!$B$8+'Control Room'!$D$8)/2)+'Control Room'!$B$9*(E723-IF('Control Room'!$B$5="Normal",'Control Room'!$B$7,('Control Room'!$B$8+'Control Room'!$D$8)/2))+SQRT(1-'Control Room'!$B$9^2)*(D724-IF('Control Room'!$B$5="Normal",'Control Room'!$B$7,('Control Room'!$B$8+'Control Room'!$D$8)/2))</x:f>
        <x:v>962.863802861737</x:v>
      </x:c>
      <x:c r="F724" s="17" t="n">
        <x:f>IF(AND($A724&gt;='Control Room'!$A$13,$A724&lt;'Control Room'!$A$13+'Control Room'!$B$13,'Process'!BK2=1),1+('Control Room'!$C$13-1)*EXP(-0.5*(($A724-'Control Room'!$A$13-('Control Room'!$B$13-1)/2)/MAX(0.5,'Control Room'!$B$13/4))^2),1)*IF(AND($A724&gt;='Control Room'!$A$14,$A724&lt;'Control Room'!$A$14+'Control Room'!$B$14,'Process'!BK3=1),1+('Control Room'!$C$14-1)*EXP(-0.5*(($A724-'Control Room'!$A$14-('Control Room'!$B$14-1)/2)/MAX(0.5,'Control Room'!$B$14/4))^2),1)*IF(AND($A724&gt;='Control Room'!$A$15,$A724&lt;'Control Room'!$A$15+'Control Room'!$B$15,'Process'!BK4=1),1+('Control Room'!$C$15-1)*EXP(-0.5*(($A724-'Control Room'!$A$15-('Control Room'!$B$15-1)/2)/MAX(0.5,'Control Room'!$B$15/4))^2),1)*IF(AND($A724&gt;='Control Room'!$A$16,$A724&lt;'Control Room'!$A$16+'Control Room'!$B$16,'Process'!BK5=1),1+('Control Room'!$C$16-1)*EXP(-0.5*(($A724-'Control Room'!$A$16-('Control Room'!$B$16-1)/2)/MAX(0.5,'Control Room'!$B$16/4))^2),1)</x:f>
        <x:v>1</x:v>
      </x:c>
      <x:c r="G724" s="9" t="n">
        <x:f>MOD(H723*16807,2147483647)</x:f>
        <x:v>672479172</x:v>
      </x:c>
      <x:c r="H724" s="9" t="n">
        <x:f>MOD(G724*16807,2147483647)</x:f>
        <x:v>151009643</x:v>
      </x:c>
      <x:c r="I724" s="17" t="n">
        <x:f>IF('Control Room'!$B$5="Normal",'Control Room'!$B$7+'Control Room'!$D$7*SQRT(-2*LN(MAX(0.000000000001,G724/2147483647)))*COS(2*PI()*H724/2147483647),'Control Room'!$B$8+('Control Room'!$D$8-'Control Room'!$B$8)*G724/2147483647)</x:f>
        <x:v>1123.97759284816</x:v>
      </x:c>
      <x:c r="J724" s="17" t="n">
        <x:f>IF('Control Room'!$B$5="Normal",'Control Room'!$B$7,('Control Room'!$B$8+'Control Room'!$D$8)/2)+'Control Room'!$B$9*(J723-IF('Control Room'!$B$5="Normal",'Control Room'!$B$7,('Control Room'!$B$8+'Control Room'!$D$8)/2))+SQRT(1-'Control Room'!$B$9^2)*(I724-IF('Control Room'!$B$5="Normal",'Control Room'!$B$7,('Control Room'!$B$8+'Control Room'!$D$8)/2))</x:f>
        <x:v>1086.9114183926902</x:v>
      </x:c>
      <x:c r="K724" s="17" t="n">
        <x:f>IF(AND($A724&gt;='Control Room'!$A$13,$A724&lt;'Control Room'!$A$13+'Control Room'!$B$13,'Process'!BL2=1),1+('Control Room'!$C$13-1)*EXP(-0.5*(($A724-'Control Room'!$A$13-('Control Room'!$B$13-1)/2)/MAX(0.5,'Control Room'!$B$13/4))^2),1)*IF(AND($A724&gt;='Control Room'!$A$14,$A724&lt;'Control Room'!$A$14+'Control Room'!$B$14,'Process'!BL3=1),1+('Control Room'!$C$14-1)*EXP(-0.5*(($A724-'Control Room'!$A$14-('Control Room'!$B$14-1)/2)/MAX(0.5,'Control Room'!$B$14/4))^2),1)*IF(AND($A724&gt;='Control Room'!$A$15,$A724&lt;'Control Room'!$A$15+'Control Room'!$B$15,'Process'!BL4=1),1+('Control Room'!$C$15-1)*EXP(-0.5*(($A724-'Control Room'!$A$15-('Control Room'!$B$15-1)/2)/MAX(0.5,'Control Room'!$B$15/4))^2),1)*IF(AND($A724&gt;='Control Room'!$A$16,$A724&lt;'Control Room'!$A$16+'Control Room'!$B$16,'Process'!BL5=1),1+('Control Room'!$C$16-1)*EXP(-0.5*(($A724-'Control Room'!$A$16-('Control Room'!$B$16-1)/2)/MAX(0.5,'Control Room'!$B$16/4))^2),1)</x:f>
        <x:v>1</x:v>
      </x:c>
      <x:c r="L724" s="9" t="n">
        <x:f>MOD(M723*16807,2147483647)</x:f>
        <x:v>491984210</x:v>
      </x:c>
      <x:c r="M724" s="9" t="n">
        <x:f>MOD(L724*16807,2147483647)</x:f>
        <x:v>966576520</x:v>
      </x:c>
      <x:c r="N724" s="17" t="n">
        <x:f>IF('Control Room'!$B$5="Normal",'Control Room'!$B$7+'Control Room'!$D$7*SQRT(-2*LN(MAX(0.000000000001,L724/2147483647)))*COS(2*PI()*M724/2147483647),'Control Room'!$B$8+('Control Room'!$D$8-'Control Room'!$B$8)*L724/2147483647)</x:f>
        <x:v>853.0259752949947</x:v>
      </x:c>
      <x:c r="O724" s="17" t="n">
        <x:f>IF('Control Room'!$B$5="Normal",'Control Room'!$B$7,('Control Room'!$B$8+'Control Room'!$D$8)/2)+'Control Room'!$B$9*(O723-IF('Control Room'!$B$5="Normal",'Control Room'!$B$7,('Control Room'!$B$8+'Control Room'!$D$8)/2))+SQRT(1-'Control Room'!$B$9^2)*(N724-IF('Control Room'!$B$5="Normal",'Control Room'!$B$7,('Control Room'!$B$8+'Control Room'!$D$8)/2))</x:f>
        <x:v>915.9451749992255</x:v>
      </x:c>
      <x:c r="P724" s="17" t="n">
        <x:f>IF(AND($A724&gt;='Control Room'!$A$13,$A724&lt;'Control Room'!$A$13+'Control Room'!$B$13,'Process'!BM2=1),1+('Control Room'!$C$13-1)*EXP(-0.5*(($A724-'Control Room'!$A$13-('Control Room'!$B$13-1)/2)/MAX(0.5,'Control Room'!$B$13/4))^2),1)*IF(AND($A724&gt;='Control Room'!$A$14,$A724&lt;'Control Room'!$A$14+'Control Room'!$B$14,'Process'!BM3=1),1+('Control Room'!$C$14-1)*EXP(-0.5*(($A724-'Control Room'!$A$14-('Control Room'!$B$14-1)/2)/MAX(0.5,'Control Room'!$B$14/4))^2),1)*IF(AND($A724&gt;='Control Room'!$A$15,$A724&lt;'Control Room'!$A$15+'Control Room'!$B$15,'Process'!BM4=1),1+('Control Room'!$C$15-1)*EXP(-0.5*(($A724-'Control Room'!$A$15-('Control Room'!$B$15-1)/2)/MAX(0.5,'Control Room'!$B$15/4))^2),1)*IF(AND($A724&gt;='Control Room'!$A$16,$A724&lt;'Control Room'!$A$16+'Control Room'!$B$16,'Process'!BM5=1),1+('Control Room'!$C$16-1)*EXP(-0.5*(($A724-'Control Room'!$A$16-('Control Room'!$B$16-1)/2)/MAX(0.5,'Control Room'!$B$16/4))^2),1)</x:f>
        <x:v>1</x:v>
      </x:c>
      <x:c r="Q724" s="9" t="n">
        <x:f>MOD(R723*16807,2147483647)</x:f>
        <x:v>311489248</x:v>
      </x:c>
      <x:c r="R724" s="9" t="n">
        <x:f>MOD(Q724*16807,2147483647)</x:f>
        <x:v>1782143397</x:v>
      </x:c>
      <x:c r="S724" s="17" t="n">
        <x:f>IF('Control Room'!$B$5="Normal",'Control Room'!$B$7+'Control Room'!$D$7*SQRT(-2*LN(MAX(0.000000000001,Q724/2147483647)))*COS(2*PI()*R724/2147483647),'Control Room'!$B$8+('Control Room'!$D$8-'Control Room'!$B$8)*Q724/2147483647)</x:f>
        <x:v>1085.0782242610837</x:v>
      </x:c>
      <x:c r="T724" s="17" t="n">
        <x:f>IF('Control Room'!$B$5="Normal",'Control Room'!$B$7,('Control Room'!$B$8+'Control Room'!$D$8)/2)+'Control Room'!$B$9*(T723-IF('Control Room'!$B$5="Normal",'Control Room'!$B$7,('Control Room'!$B$8+'Control Room'!$D$8)/2))+SQRT(1-'Control Room'!$B$9^2)*(S724-IF('Control Room'!$B$5="Normal",'Control Room'!$B$7,('Control Room'!$B$8+'Control Room'!$D$8)/2))</x:f>
        <x:v>1036.1145484337396</x:v>
      </x:c>
      <x:c r="U724" s="17" t="n">
        <x:f>IF(AND($A724&gt;='Control Room'!$A$13,$A724&lt;'Control Room'!$A$13+'Control Room'!$B$13,'Process'!BN2=1),1+('Control Room'!$C$13-1)*EXP(-0.5*(($A724-'Control Room'!$A$13-('Control Room'!$B$13-1)/2)/MAX(0.5,'Control Room'!$B$13/4))^2),1)*IF(AND($A724&gt;='Control Room'!$A$14,$A724&lt;'Control Room'!$A$14+'Control Room'!$B$14,'Process'!BN3=1),1+('Control Room'!$C$14-1)*EXP(-0.5*(($A724-'Control Room'!$A$14-('Control Room'!$B$14-1)/2)/MAX(0.5,'Control Room'!$B$14/4))^2),1)*IF(AND($A724&gt;='Control Room'!$A$15,$A724&lt;'Control Room'!$A$15+'Control Room'!$B$15,'Process'!BN4=1),1+('Control Room'!$C$15-1)*EXP(-0.5*(($A724-'Control Room'!$A$15-('Control Room'!$B$15-1)/2)/MAX(0.5,'Control Room'!$B$15/4))^2),1)*IF(AND($A724&gt;='Control Room'!$A$16,$A724&lt;'Control Room'!$A$16+'Control Room'!$B$16,'Process'!BN5=1),1+('Control Room'!$C$16-1)*EXP(-0.5*(($A724-'Control Room'!$A$16-('Control Room'!$B$16-1)/2)/MAX(0.5,'Control Room'!$B$16/4))^2),1)</x:f>
        <x:v>1</x:v>
      </x:c>
      <x:c r="V724" s="9" t="n">
        <x:f>MOD(W723*16807,2147483647)</x:f>
        <x:v>130994286</x:v>
      </x:c>
      <x:c r="W724" s="9" t="n">
        <x:f>MOD(V724*16807,2147483647)</x:f>
        <x:v>450226627</x:v>
      </x:c>
      <x:c r="X724" s="17" t="n">
        <x:f>IF('Control Room'!$B$5="Normal",'Control Room'!$B$7+'Control Room'!$D$7*SQRT(-2*LN(MAX(0.000000000001,V724/2147483647)))*COS(2*PI()*W724/2147483647),'Control Room'!$B$8+('Control Room'!$D$8-'Control Room'!$B$8)*V724/2147483647)</x:f>
        <x:v>1053.3855907322375</x:v>
      </x:c>
      <x:c r="Y724" s="17" t="n">
        <x:f>IF('Control Room'!$B$5="Normal",'Control Room'!$B$7,('Control Room'!$B$8+'Control Room'!$D$8)/2)+'Control Room'!$B$9*(Y723-IF('Control Room'!$B$5="Normal",'Control Room'!$B$7,('Control Room'!$B$8+'Control Room'!$D$8)/2))+SQRT(1-'Control Room'!$B$9^2)*(X724-IF('Control Room'!$B$5="Normal",'Control Room'!$B$7,('Control Room'!$B$8+'Control Room'!$D$8)/2))</x:f>
        <x:v>1020.1843262631153</x:v>
      </x:c>
      <x:c r="Z724" s="17" t="n">
        <x:f>IF(AND($A724&gt;='Control Room'!$A$13,$A724&lt;'Control Room'!$A$13+'Control Room'!$B$13,'Process'!BO2=1),1+('Control Room'!$C$13-1)*EXP(-0.5*(($A724-'Control Room'!$A$13-('Control Room'!$B$13-1)/2)/MAX(0.5,'Control Room'!$B$13/4))^2),1)*IF(AND($A724&gt;='Control Room'!$A$14,$A724&lt;'Control Room'!$A$14+'Control Room'!$B$14,'Process'!BO3=1),1+('Control Room'!$C$14-1)*EXP(-0.5*(($A724-'Control Room'!$A$14-('Control Room'!$B$14-1)/2)/MAX(0.5,'Control Room'!$B$14/4))^2),1)*IF(AND($A724&gt;='Control Room'!$A$15,$A724&lt;'Control Room'!$A$15+'Control Room'!$B$15,'Process'!BO4=1),1+('Control Room'!$C$15-1)*EXP(-0.5*(($A724-'Control Room'!$A$15-('Control Room'!$B$15-1)/2)/MAX(0.5,'Control Room'!$B$15/4))^2),1)*IF(AND($A724&gt;='Control Room'!$A$16,$A724&lt;'Control Room'!$A$16+'Control Room'!$B$16,'Process'!BO5=1),1+('Control Room'!$C$16-1)*EXP(-0.5*(($A724-'Control Room'!$A$16-('Control Room'!$B$16-1)/2)/MAX(0.5,'Control Room'!$B$16/4))^2),1)</x:f>
        <x:v>1</x:v>
      </x:c>
      <x:c r="AA724" s="9" t="n">
        <x:f>MOD(AB723*16807,2147483647)</x:f>
        <x:v>2097982971</x:v>
      </x:c>
      <x:c r="AB724" s="9" t="n">
        <x:f>MOD(AA724*16807,2147483647)</x:f>
        <x:v>1265793504</x:v>
      </x:c>
      <x:c r="AC724" s="17" t="n">
        <x:f>IF('Control Room'!$B$5="Normal",'Control Room'!$B$7+'Control Room'!$D$7*SQRT(-2*LN(MAX(0.000000000001,AA724/2147483647)))*COS(2*PI()*AB724/2147483647),'Control Room'!$B$8+('Control Room'!$D$8-'Control Room'!$B$8)*AA724/2147483647)</x:f>
        <x:v>983.5518236558125</x:v>
      </x:c>
      <x:c r="AD724" s="17" t="n">
        <x:f>IF('Control Room'!$B$5="Normal",'Control Room'!$B$7,('Control Room'!$B$8+'Control Room'!$D$8)/2)+'Control Room'!$B$9*(AD723-IF('Control Room'!$B$5="Normal",'Control Room'!$B$7,('Control Room'!$B$8+'Control Room'!$D$8)/2))+SQRT(1-'Control Room'!$B$9^2)*(AC724-IF('Control Room'!$B$5="Normal",'Control Room'!$B$7,('Control Room'!$B$8+'Control Room'!$D$8)/2))</x:f>
        <x:v>1029.4355070530794</x:v>
      </x:c>
      <x:c r="AE724" s="17" t="n">
        <x:f>IF(AND($A724&gt;='Control Room'!$A$13,$A724&lt;'Control Room'!$A$13+'Control Room'!$B$13,'Process'!BP2=1),1+('Control Room'!$C$13-1)*EXP(-0.5*(($A724-'Control Room'!$A$13-('Control Room'!$B$13-1)/2)/MAX(0.5,'Control Room'!$B$13/4))^2),1)*IF(AND($A724&gt;='Control Room'!$A$14,$A724&lt;'Control Room'!$A$14+'Control Room'!$B$14,'Process'!BP3=1),1+('Control Room'!$C$14-1)*EXP(-0.5*(($A724-'Control Room'!$A$14-('Control Room'!$B$14-1)/2)/MAX(0.5,'Control Room'!$B$14/4))^2),1)*IF(AND($A724&gt;='Control Room'!$A$15,$A724&lt;'Control Room'!$A$15+'Control Room'!$B$15,'Process'!BP4=1),1+('Control Room'!$C$15-1)*EXP(-0.5*(($A724-'Control Room'!$A$15-('Control Room'!$B$15-1)/2)/MAX(0.5,'Control Room'!$B$15/4))^2),1)*IF(AND($A724&gt;='Control Room'!$A$16,$A724&lt;'Control Room'!$A$16+'Control Room'!$B$16,'Process'!BP5=1),1+('Control Room'!$C$16-1)*EXP(-0.5*(($A724-'Control Room'!$A$16-('Control Room'!$B$16-1)/2)/MAX(0.5,'Control Room'!$B$16/4))^2),1)</x:f>
        <x:v>1</x:v>
      </x:c>
      <x:c r="AF724" s="9" t="n">
        <x:f>MOD(AG723*16807,2147483647)</x:f>
        <x:v>1917488009</x:v>
      </x:c>
      <x:c r="AG724" s="9" t="n">
        <x:f>MOD(AF724*16807,2147483647)</x:f>
        <x:v>2081360381</x:v>
      </x:c>
      <x:c r="AH724" s="17" t="n">
        <x:f>IF('Control Room'!$B$5="Normal",'Control Room'!$B$7+'Control Room'!$D$7*SQRT(-2*LN(MAX(0.000000000001,AF724/2147483647)))*COS(2*PI()*AG724/2147483647),'Control Room'!$B$8+('Control Room'!$D$8-'Control Room'!$B$8)*AF724/2147483647)</x:f>
        <x:v>1042.039424129169</x:v>
      </x:c>
      <x:c r="AI724" s="17" t="n">
        <x:f>IF('Control Room'!$B$5="Normal",'Control Room'!$B$7,('Control Room'!$B$8+'Control Room'!$D$8)/2)+'Control Room'!$B$9*(AI723-IF('Control Room'!$B$5="Normal",'Control Room'!$B$7,('Control Room'!$B$8+'Control Room'!$D$8)/2))+SQRT(1-'Control Room'!$B$9^2)*(AH724-IF('Control Room'!$B$5="Normal",'Control Room'!$B$7,('Control Room'!$B$8+'Control Room'!$D$8)/2))</x:f>
        <x:v>1102.0697935260987</x:v>
      </x:c>
      <x:c r="AJ724" s="17" t="n">
        <x:f>IF(AND($A724&gt;='Control Room'!$A$13,$A724&lt;'Control Room'!$A$13+'Control Room'!$B$13,'Process'!BQ2=1),1+('Control Room'!$C$13-1)*EXP(-0.5*(($A724-'Control Room'!$A$13-('Control Room'!$B$13-1)/2)/MAX(0.5,'Control Room'!$B$13/4))^2),1)*IF(AND($A724&gt;='Control Room'!$A$14,$A724&lt;'Control Room'!$A$14+'Control Room'!$B$14,'Process'!BQ3=1),1+('Control Room'!$C$14-1)*EXP(-0.5*(($A724-'Control Room'!$A$14-('Control Room'!$B$14-1)/2)/MAX(0.5,'Control Room'!$B$14/4))^2),1)*IF(AND($A724&gt;='Control Room'!$A$15,$A724&lt;'Control Room'!$A$15+'Control Room'!$B$15,'Process'!BQ4=1),1+('Control Room'!$C$15-1)*EXP(-0.5*(($A724-'Control Room'!$A$15-('Control Room'!$B$15-1)/2)/MAX(0.5,'Control Room'!$B$15/4))^2),1)*IF(AND($A724&gt;='Control Room'!$A$16,$A724&lt;'Control Room'!$A$16+'Control Room'!$B$16,'Process'!BQ5=1),1+('Control Room'!$C$16-1)*EXP(-0.5*(($A724-'Control Room'!$A$16-('Control Room'!$B$16-1)/2)/MAX(0.5,'Control Room'!$B$16/4))^2),1)</x:f>
        <x:v>1</x:v>
      </x:c>
      <x:c r="AK724" s="9" t="n">
        <x:f>MOD(AL723*16807,2147483647)</x:f>
        <x:v>1736993047</x:v>
      </x:c>
      <x:c r="AL724" s="9" t="n">
        <x:f>MOD(AK724*16807,2147483647)</x:f>
        <x:v>749443611</x:v>
      </x:c>
      <x:c r="AM724" s="17" t="n">
        <x:f>IF('Control Room'!$B$5="Normal",'Control Room'!$B$7+'Control Room'!$D$7*SQRT(-2*LN(MAX(0.000000000001,AK724/2147483647)))*COS(2*PI()*AL724/2147483647),'Control Room'!$B$8+('Control Room'!$D$8-'Control Room'!$B$8)*AK724/2147483647)</x:f>
        <x:v>965.8447028354351</x:v>
      </x:c>
      <x:c r="AN724" s="17" t="n">
        <x:f>IF('Control Room'!$B$5="Normal",'Control Room'!$B$7,('Control Room'!$B$8+'Control Room'!$D$8)/2)+'Control Room'!$B$9*(AN723-IF('Control Room'!$B$5="Normal",'Control Room'!$B$7,('Control Room'!$B$8+'Control Room'!$D$8)/2))+SQRT(1-'Control Room'!$B$9^2)*(AM724-IF('Control Room'!$B$5="Normal",'Control Room'!$B$7,('Control Room'!$B$8+'Control Room'!$D$8)/2))</x:f>
        <x:v>919.1255300595706</x:v>
      </x:c>
      <x:c r="AO724" s="17" t="n">
        <x:f>IF(AND($A724&gt;='Control Room'!$A$13,$A724&lt;'Control Room'!$A$13+'Control Room'!$B$13,'Process'!BR2=1),1+('Control Room'!$C$13-1)*EXP(-0.5*(($A724-'Control Room'!$A$13-('Control Room'!$B$13-1)/2)/MAX(0.5,'Control Room'!$B$13/4))^2),1)*IF(AND($A724&gt;='Control Room'!$A$14,$A724&lt;'Control Room'!$A$14+'Control Room'!$B$14,'Process'!BR3=1),1+('Control Room'!$C$14-1)*EXP(-0.5*(($A724-'Control Room'!$A$14-('Control Room'!$B$14-1)/2)/MAX(0.5,'Control Room'!$B$14/4))^2),1)*IF(AND($A724&gt;='Control Room'!$A$15,$A724&lt;'Control Room'!$A$15+'Control Room'!$B$15,'Process'!BR4=1),1+('Control Room'!$C$15-1)*EXP(-0.5*(($A724-'Control Room'!$A$15-('Control Room'!$B$15-1)/2)/MAX(0.5,'Control Room'!$B$15/4))^2),1)*IF(AND($A724&gt;='Control Room'!$A$16,$A724&lt;'Control Room'!$A$16+'Control Room'!$B$16,'Process'!BR5=1),1+('Control Room'!$C$16-1)*EXP(-0.5*(($A724-'Control Room'!$A$16-('Control Room'!$B$16-1)/2)/MAX(0.5,'Control Room'!$B$16/4))^2),1)</x:f>
        <x:v>1</x:v>
      </x:c>
      <x:c r="AP724" s="9" t="n">
        <x:f>MOD(AQ723*16807,2147483647)</x:f>
        <x:v>1556498085</x:v>
      </x:c>
      <x:c r="AQ724" s="9" t="n">
        <x:f>MOD(AP724*16807,2147483647)</x:f>
        <x:v>1565010488</x:v>
      </x:c>
      <x:c r="AR724" s="17" t="n">
        <x:f>IF('Control Room'!$B$5="Normal",'Control Room'!$B$7+'Control Room'!$D$7*SQRT(-2*LN(MAX(0.000000000001,AP724/2147483647)))*COS(2*PI()*AQ724/2147483647),'Control Room'!$B$8+('Control Room'!$D$8-'Control Room'!$B$8)*AP724/2147483647)</x:f>
        <x:v>990.3941285678364</x:v>
      </x:c>
      <x:c r="AS724" s="17" t="n">
        <x:f>IF('Control Room'!$B$5="Normal",'Control Room'!$B$7,('Control Room'!$B$8+'Control Room'!$D$8)/2)+'Control Room'!$B$9*(AS723-IF('Control Room'!$B$5="Normal",'Control Room'!$B$7,('Control Room'!$B$8+'Control Room'!$D$8)/2))+SQRT(1-'Control Room'!$B$9^2)*(AR724-IF('Control Room'!$B$5="Normal",'Control Room'!$B$7,('Control Room'!$B$8+'Control Room'!$D$8)/2))</x:f>
        <x:v>1067.2818645116095</x:v>
      </x:c>
      <x:c r="AT724" s="17" t="n">
        <x:f>IF(AND($A724&gt;='Control Room'!$A$13,$A724&lt;'Control Room'!$A$13+'Control Room'!$B$13,'Process'!BS2=1),1+('Control Room'!$C$13-1)*EXP(-0.5*(($A724-'Control Room'!$A$13-('Control Room'!$B$13-1)/2)/MAX(0.5,'Control Room'!$B$13/4))^2),1)*IF(AND($A724&gt;='Control Room'!$A$14,$A724&lt;'Control Room'!$A$14+'Control Room'!$B$14,'Process'!BS3=1),1+('Control Room'!$C$14-1)*EXP(-0.5*(($A724-'Control Room'!$A$14-('Control Room'!$B$14-1)/2)/MAX(0.5,'Control Room'!$B$14/4))^2),1)*IF(AND($A724&gt;='Control Room'!$A$15,$A724&lt;'Control Room'!$A$15+'Control Room'!$B$15,'Process'!BS4=1),1+('Control Room'!$C$15-1)*EXP(-0.5*(($A724-'Control Room'!$A$15-('Control Room'!$B$15-1)/2)/MAX(0.5,'Control Room'!$B$15/4))^2),1)*IF(AND($A724&gt;='Control Room'!$A$16,$A724&lt;'Control Room'!$A$16+'Control Room'!$B$16,'Process'!BS5=1),1+('Control Room'!$C$16-1)*EXP(-0.5*(($A724-'Control Room'!$A$16-('Control Room'!$B$16-1)/2)/MAX(0.5,'Control Room'!$B$16/4))^2),1)</x:f>
        <x:v>1</x:v>
      </x:c>
      <x:c r="AU724" s="9" t="n">
        <x:f>MOD(AV723*16807,2147483647)</x:f>
        <x:v>1376003123</x:v>
      </x:c>
      <x:c r="AV724" s="9" t="n">
        <x:f>MOD(AU724*16807,2147483647)</x:f>
        <x:v>233093718</x:v>
      </x:c>
      <x:c r="AW724" s="17" t="n">
        <x:f>IF('Control Room'!$B$5="Normal",'Control Room'!$B$7+'Control Room'!$D$7*SQRT(-2*LN(MAX(0.000000000001,AU724/2147483647)))*COS(2*PI()*AV724/2147483647),'Control Room'!$B$8+('Control Room'!$D$8-'Control Room'!$B$8)*AU724/2147483647)</x:f>
        <x:v>1065.922292347194</x:v>
      </x:c>
      <x:c r="AX724" s="17" t="n">
        <x:f>IF('Control Room'!$B$5="Normal",'Control Room'!$B$7,('Control Room'!$B$8+'Control Room'!$D$8)/2)+'Control Room'!$B$9*(AX723-IF('Control Room'!$B$5="Normal",'Control Room'!$B$7,('Control Room'!$B$8+'Control Room'!$D$8)/2))+SQRT(1-'Control Room'!$B$9^2)*(AW724-IF('Control Room'!$B$5="Normal",'Control Room'!$B$7,('Control Room'!$B$8+'Control Room'!$D$8)/2))</x:f>
        <x:v>979.9220288310216</x:v>
      </x:c>
      <x:c r="AY724" s="17" t="n">
        <x:f>IF(AND($A724&gt;='Control Room'!$A$13,$A724&lt;'Control Room'!$A$13+'Control Room'!$B$13,'Process'!BT2=1),1+('Control Room'!$C$13-1)*EXP(-0.5*(($A724-'Control Room'!$A$13-('Control Room'!$B$13-1)/2)/MAX(0.5,'Control Room'!$B$13/4))^2),1)*IF(AND($A724&gt;='Control Room'!$A$14,$A724&lt;'Control Room'!$A$14+'Control Room'!$B$14,'Process'!BT3=1),1+('Control Room'!$C$14-1)*EXP(-0.5*(($A724-'Control Room'!$A$14-('Control Room'!$B$14-1)/2)/MAX(0.5,'Control Room'!$B$14/4))^2),1)*IF(AND($A724&gt;='Control Room'!$A$15,$A724&lt;'Control Room'!$A$15+'Control Room'!$B$15,'Process'!BT4=1),1+('Control Room'!$C$15-1)*EXP(-0.5*(($A724-'Control Room'!$A$15-('Control Room'!$B$15-1)/2)/MAX(0.5,'Control Room'!$B$15/4))^2),1)*IF(AND($A724&gt;='Control Room'!$A$16,$A724&lt;'Control Room'!$A$16+'Control Room'!$B$16,'Process'!BT5=1),1+('Control Room'!$C$16-1)*EXP(-0.5*(($A724-'Control Room'!$A$16-('Control Room'!$B$16-1)/2)/MAX(0.5,'Control Room'!$B$16/4))^2),1)</x:f>
        <x:v>1</x:v>
      </x:c>
      <x:c r="AZ724" s="9" t="n">
        <x:f>MOD(BA723*16807,2147483647)</x:f>
        <x:v>1195508161</x:v>
      </x:c>
      <x:c r="BA724" s="9" t="n">
        <x:f>MOD(AZ724*16807,2147483647)</x:f>
        <x:v>1048660595</x:v>
      </x:c>
      <x:c r="BB724" s="17" t="n">
        <x:f>IF('Control Room'!$B$5="Normal",'Control Room'!$B$7+'Control Room'!$D$7*SQRT(-2*LN(MAX(0.000000000001,AZ724/2147483647)))*COS(2*PI()*BA724/2147483647),'Control Room'!$B$8+('Control Room'!$D$8-'Control Room'!$B$8)*AZ724/2147483647)</x:f>
        <x:v>902.8519417423021</x:v>
      </x:c>
      <x:c r="BC724" s="17" t="n">
        <x:f>IF('Control Room'!$B$5="Normal",'Control Room'!$B$7,('Control Room'!$B$8+'Control Room'!$D$8)/2)+'Control Room'!$B$9*(BC723-IF('Control Room'!$B$5="Normal",'Control Room'!$B$7,('Control Room'!$B$8+'Control Room'!$D$8)/2))+SQRT(1-'Control Room'!$B$9^2)*(BB724-IF('Control Room'!$B$5="Normal",'Control Room'!$B$7,('Control Room'!$B$8+'Control Room'!$D$8)/2))</x:f>
        <x:v>870.8054091618513</x:v>
      </x:c>
      <x:c r="BD724" s="17" t="n">
        <x:f>IF(AND($A724&gt;='Control Room'!$A$13,$A724&lt;'Control Room'!$A$13+'Control Room'!$B$13,'Process'!BU2=1),1+('Control Room'!$C$13-1)*EXP(-0.5*(($A724-'Control Room'!$A$13-('Control Room'!$B$13-1)/2)/MAX(0.5,'Control Room'!$B$13/4))^2),1)*IF(AND($A724&gt;='Control Room'!$A$14,$A724&lt;'Control Room'!$A$14+'Control Room'!$B$14,'Process'!BU3=1),1+('Control Room'!$C$14-1)*EXP(-0.5*(($A724-'Control Room'!$A$14-('Control Room'!$B$14-1)/2)/MAX(0.5,'Control Room'!$B$14/4))^2),1)*IF(AND($A724&gt;='Control Room'!$A$15,$A724&lt;'Control Room'!$A$15+'Control Room'!$B$15,'Process'!BU4=1),1+('Control Room'!$C$15-1)*EXP(-0.5*(($A724-'Control Room'!$A$15-('Control Room'!$B$15-1)/2)/MAX(0.5,'Control Room'!$B$15/4))^2),1)*IF(AND($A724&gt;='Control Room'!$A$16,$A724&lt;'Control Room'!$A$16+'Control Room'!$B$16,'Process'!BU5=1),1+('Control Room'!$C$16-1)*EXP(-0.5*(($A724-'Control Room'!$A$16-('Control Room'!$B$16-1)/2)/MAX(0.5,'Control Room'!$B$16/4))^2),1)</x:f>
        <x:v>1</x:v>
      </x:c>
      <x:c r="BE724" s="9" t="n">
        <x:f>MOD(BF723*16807,2147483647)</x:f>
        <x:v>1015013199</x:v>
      </x:c>
      <x:c r="BF724" s="9" t="n">
        <x:f>MOD(BE724*16807,2147483647)</x:f>
        <x:v>1864227472</x:v>
      </x:c>
      <x:c r="BG724" s="17" t="n">
        <x:f>IF('Control Room'!$B$5="Normal",'Control Room'!$B$7+'Control Room'!$D$7*SQRT(-2*LN(MAX(0.000000000001,BE724/2147483647)))*COS(2*PI()*BF724/2147483647),'Control Room'!$B$8+('Control Room'!$D$8-'Control Room'!$B$8)*BE724/2147483647)</x:f>
        <x:v>1074.4602231803542</x:v>
      </x:c>
      <x:c r="BH724" s="17" t="n">
        <x:f>IF('Control Room'!$B$5="Normal",'Control Room'!$B$7,('Control Room'!$B$8+'Control Room'!$D$8)/2)+'Control Room'!$B$9*(BH723-IF('Control Room'!$B$5="Normal",'Control Room'!$B$7,('Control Room'!$B$8+'Control Room'!$D$8)/2))+SQRT(1-'Control Room'!$B$9^2)*(BG724-IF('Control Room'!$B$5="Normal",'Control Room'!$B$7,('Control Room'!$B$8+'Control Room'!$D$8)/2))</x:f>
        <x:v>908.0247756510382</x:v>
      </x:c>
      <x:c r="BI724" s="17" t="n">
        <x:f>IF(AND($A724&gt;='Control Room'!$A$13,$A724&lt;'Control Room'!$A$13+'Control Room'!$B$13,'Process'!BV2=1),1+('Control Room'!$C$13-1)*EXP(-0.5*(($A724-'Control Room'!$A$13-('Control Room'!$B$13-1)/2)/MAX(0.5,'Control Room'!$B$13/4))^2),1)*IF(AND($A724&gt;='Control Room'!$A$14,$A724&lt;'Control Room'!$A$14+'Control Room'!$B$14,'Process'!BV3=1),1+('Control Room'!$C$14-1)*EXP(-0.5*(($A724-'Control Room'!$A$14-('Control Room'!$B$14-1)/2)/MAX(0.5,'Control Room'!$B$14/4))^2),1)*IF(AND($A724&gt;='Control Room'!$A$15,$A724&lt;'Control Room'!$A$15+'Control Room'!$B$15,'Process'!BV4=1),1+('Control Room'!$C$15-1)*EXP(-0.5*(($A724-'Control Room'!$A$15-('Control Room'!$B$15-1)/2)/MAX(0.5,'Control Room'!$B$15/4))^2),1)*IF(AND($A724&gt;='Control Room'!$A$16,$A724&lt;'Control Room'!$A$16+'Control Room'!$B$16,'Process'!BV5=1),1+('Control Room'!$C$16-1)*EXP(-0.5*(($A724-'Control Room'!$A$16-('Control Room'!$B$16-1)/2)/MAX(0.5,'Control Room'!$B$16/4))^2),1)</x:f>
        <x:v>1</x:v>
      </x:c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Z724" t="str">
        <x:f>IF('Data'!A724="","",TEXT('Data'!A724,"mm-dd"))</x:f>
      </x:c>
    </x:row>
    <x:row r="725" ht="21" customHeight="1">
      <x:c r="A725" s="15" t="n">
        <x:f>'Control Room'!$B$1+723</x:f>
        <x:v>73714</x:v>
      </x:c>
      <x:c r="B725" s="9" t="n">
        <x:f>MOD(C724*16807,2147483647)</x:f>
        <x:v>1996499856</x:v>
      </x:c>
      <x:c r="C725" s="9" t="n">
        <x:f>MOD(B725*16807,2147483647)</x:f>
        <x:v>741095417</x:v>
      </x:c>
      <x:c r="D725" s="17" t="n">
        <x:f>IF('Control Room'!$B$5="Normal",'Control Room'!$B$7+'Control Room'!$D$7*SQRT(-2*LN(MAX(0.000000000001,B725/2147483647)))*COS(2*PI()*C725/2147483647),'Control Room'!$B$8+('Control Room'!$D$8-'Control Room'!$B$8)*B725/2147483647)</x:f>
        <x:v>980.6658727082686</x:v>
      </x:c>
      <x:c r="E725" s="17" t="n">
        <x:f>IF('Control Room'!$B$5="Normal",'Control Room'!$B$7,('Control Room'!$B$8+'Control Room'!$D$8)/2)+'Control Room'!$B$9*(E724-IF('Control Room'!$B$5="Normal",'Control Room'!$B$7,('Control Room'!$B$8+'Control Room'!$D$8)/2))+SQRT(1-'Control Room'!$B$9^2)*(D725-IF('Control Room'!$B$5="Normal",'Control Room'!$B$7,('Control Room'!$B$8+'Control Room'!$D$8)/2))</x:f>
        <x:v>958.9348654541159</x:v>
      </x:c>
      <x:c r="F725" s="17" t="n">
        <x:f>IF(AND($A725&gt;='Control Room'!$A$13,$A725&lt;'Control Room'!$A$13+'Control Room'!$B$13,'Process'!BK2=1),1+('Control Room'!$C$13-1)*EXP(-0.5*(($A725-'Control Room'!$A$13-('Control Room'!$B$13-1)/2)/MAX(0.5,'Control Room'!$B$13/4))^2),1)*IF(AND($A725&gt;='Control Room'!$A$14,$A725&lt;'Control Room'!$A$14+'Control Room'!$B$14,'Process'!BK3=1),1+('Control Room'!$C$14-1)*EXP(-0.5*(($A725-'Control Room'!$A$14-('Control Room'!$B$14-1)/2)/MAX(0.5,'Control Room'!$B$14/4))^2),1)*IF(AND($A725&gt;='Control Room'!$A$15,$A725&lt;'Control Room'!$A$15+'Control Room'!$B$15,'Process'!BK4=1),1+('Control Room'!$C$15-1)*EXP(-0.5*(($A725-'Control Room'!$A$15-('Control Room'!$B$15-1)/2)/MAX(0.5,'Control Room'!$B$15/4))^2),1)*IF(AND($A725&gt;='Control Room'!$A$16,$A725&lt;'Control Room'!$A$16+'Control Room'!$B$16,'Process'!BK5=1),1+('Control Room'!$C$16-1)*EXP(-0.5*(($A725-'Control Room'!$A$16-('Control Room'!$B$16-1)/2)/MAX(0.5,'Control Room'!$B$16/4))^2),1)</x:f>
        <x:v>1</x:v>
      </x:c>
      <x:c r="G725" s="9" t="n">
        <x:f>MOD(H724*16807,2147483647)</x:f>
        <x:v>1840882794</x:v>
      </x:c>
      <x:c r="H725" s="9" t="n">
        <x:f>MOD(G725*16807,2147483647)</x:f>
        <x:v>920216429</x:v>
      </x:c>
      <x:c r="I725" s="17" t="n">
        <x:f>IF('Control Room'!$B$5="Normal",'Control Room'!$B$7+'Control Room'!$D$7*SQRT(-2*LN(MAX(0.000000000001,G725/2147483647)))*COS(2*PI()*H725/2147483647),'Control Room'!$B$8+('Control Room'!$D$8-'Control Room'!$B$8)*G725/2147483647)</x:f>
        <x:v>954.9993866794098</x:v>
      </x:c>
      <x:c r="J725" s="17" t="n">
        <x:f>IF('Control Room'!$B$5="Normal",'Control Room'!$B$7,('Control Room'!$B$8+'Control Room'!$D$8)/2)+'Control Room'!$B$9*(J724-IF('Control Room'!$B$5="Normal",'Control Room'!$B$7,('Control Room'!$B$8+'Control Room'!$D$8)/2))+SQRT(1-'Control Room'!$B$9^2)*(I725-IF('Control Room'!$B$5="Normal",'Control Room'!$B$7,('Control Room'!$B$8+'Control Room'!$D$8)/2))</x:f>
        <x:v>1039.630444417946</x:v>
      </x:c>
      <x:c r="K725" s="17" t="n">
        <x:f>IF(AND($A725&gt;='Control Room'!$A$13,$A725&lt;'Control Room'!$A$13+'Control Room'!$B$13,'Process'!BL2=1),1+('Control Room'!$C$13-1)*EXP(-0.5*(($A725-'Control Room'!$A$13-('Control Room'!$B$13-1)/2)/MAX(0.5,'Control Room'!$B$13/4))^2),1)*IF(AND($A725&gt;='Control Room'!$A$14,$A725&lt;'Control Room'!$A$14+'Control Room'!$B$14,'Process'!BL3=1),1+('Control Room'!$C$14-1)*EXP(-0.5*(($A725-'Control Room'!$A$14-('Control Room'!$B$14-1)/2)/MAX(0.5,'Control Room'!$B$14/4))^2),1)*IF(AND($A725&gt;='Control Room'!$A$15,$A725&lt;'Control Room'!$A$15+'Control Room'!$B$15,'Process'!BL4=1),1+('Control Room'!$C$15-1)*EXP(-0.5*(($A725-'Control Room'!$A$15-('Control Room'!$B$15-1)/2)/MAX(0.5,'Control Room'!$B$15/4))^2),1)*IF(AND($A725&gt;='Control Room'!$A$16,$A725&lt;'Control Room'!$A$16+'Control Room'!$B$16,'Process'!BL5=1),1+('Control Room'!$C$16-1)*EXP(-0.5*(($A725-'Control Room'!$A$16-('Control Room'!$B$16-1)/2)/MAX(0.5,'Control Room'!$B$16/4))^2),1)</x:f>
        <x:v>1</x:v>
      </x:c>
      <x:c r="L725" s="9" t="n">
        <x:f>MOD(M724*16807,2147483647)</x:f>
        <x:v>1685265732</x:v>
      </x:c>
      <x:c r="M725" s="9" t="n">
        <x:f>MOD(L725*16807,2147483647)</x:f>
        <x:v>1099337441</x:v>
      </x:c>
      <x:c r="N725" s="17" t="n">
        <x:f>IF('Control Room'!$B$5="Normal",'Control Room'!$B$7+'Control Room'!$D$7*SQRT(-2*LN(MAX(0.000000000001,L725/2147483647)))*COS(2*PI()*M725/2147483647),'Control Room'!$B$8+('Control Room'!$D$8-'Control Room'!$B$8)*L725/2147483647)</x:f>
        <x:v>937.5142321093842</x:v>
      </x:c>
      <x:c r="O725" s="17" t="n">
        <x:f>IF('Control Room'!$B$5="Normal",'Control Room'!$B$7,('Control Room'!$B$8+'Control Room'!$D$8)/2)+'Control Room'!$B$9*(O724-IF('Control Room'!$B$5="Normal",'Control Room'!$B$7,('Control Room'!$B$8+'Control Room'!$D$8)/2))+SQRT(1-'Control Room'!$B$9^2)*(N725-IF('Control Room'!$B$5="Normal",'Control Room'!$B$7,('Control Room'!$B$8+'Control Room'!$D$8)/2))</x:f>
        <x:v>895.3349230439829</x:v>
      </x:c>
      <x:c r="P725" s="17" t="n">
        <x:f>IF(AND($A725&gt;='Control Room'!$A$13,$A725&lt;'Control Room'!$A$13+'Control Room'!$B$13,'Process'!BM2=1),1+('Control Room'!$C$13-1)*EXP(-0.5*(($A725-'Control Room'!$A$13-('Control Room'!$B$13-1)/2)/MAX(0.5,'Control Room'!$B$13/4))^2),1)*IF(AND($A725&gt;='Control Room'!$A$14,$A725&lt;'Control Room'!$A$14+'Control Room'!$B$14,'Process'!BM3=1),1+('Control Room'!$C$14-1)*EXP(-0.5*(($A725-'Control Room'!$A$14-('Control Room'!$B$14-1)/2)/MAX(0.5,'Control Room'!$B$14/4))^2),1)*IF(AND($A725&gt;='Control Room'!$A$15,$A725&lt;'Control Room'!$A$15+'Control Room'!$B$15,'Process'!BM4=1),1+('Control Room'!$C$15-1)*EXP(-0.5*(($A725-'Control Room'!$A$15-('Control Room'!$B$15-1)/2)/MAX(0.5,'Control Room'!$B$15/4))^2),1)*IF(AND($A725&gt;='Control Room'!$A$16,$A725&lt;'Control Room'!$A$16+'Control Room'!$B$16,'Process'!BM5=1),1+('Control Room'!$C$16-1)*EXP(-0.5*(($A725-'Control Room'!$A$16-('Control Room'!$B$16-1)/2)/MAX(0.5,'Control Room'!$B$16/4))^2),1)</x:f>
        <x:v>1</x:v>
      </x:c>
      <x:c r="Q725" s="9" t="n">
        <x:f>MOD(R724*16807,2147483647)</x:f>
        <x:v>1529648670</x:v>
      </x:c>
      <x:c r="R725" s="9" t="n">
        <x:f>MOD(Q725*16807,2147483647)</x:f>
        <x:v>1278458453</x:v>
      </x:c>
      <x:c r="S725" s="17" t="n">
        <x:f>IF('Control Room'!$B$5="Normal",'Control Room'!$B$7+'Control Room'!$D$7*SQRT(-2*LN(MAX(0.000000000001,Q725/2147483647)))*COS(2*PI()*R725/2147483647),'Control Room'!$B$8+('Control Room'!$D$8-'Control Room'!$B$8)*Q725/2147483647)</x:f>
        <x:v>938.7705914872536</x:v>
      </x:c>
      <x:c r="T725" s="17" t="n">
        <x:f>IF('Control Room'!$B$5="Normal",'Control Room'!$B$7,('Control Room'!$B$8+'Control Room'!$D$8)/2)+'Control Room'!$B$9*(T724-IF('Control Room'!$B$5="Normal",'Control Room'!$B$7,('Control Room'!$B$8+'Control Room'!$D$8)/2))+SQRT(1-'Control Room'!$B$9^2)*(S725-IF('Control Room'!$B$5="Normal",'Control Room'!$B$7,('Control Room'!$B$8+'Control Room'!$D$8)/2))</x:f>
        <x:v>989.8532382836537</x:v>
      </x:c>
      <x:c r="U725" s="17" t="n">
        <x:f>IF(AND($A725&gt;='Control Room'!$A$13,$A725&lt;'Control Room'!$A$13+'Control Room'!$B$13,'Process'!BN2=1),1+('Control Room'!$C$13-1)*EXP(-0.5*(($A725-'Control Room'!$A$13-('Control Room'!$B$13-1)/2)/MAX(0.5,'Control Room'!$B$13/4))^2),1)*IF(AND($A725&gt;='Control Room'!$A$14,$A725&lt;'Control Room'!$A$14+'Control Room'!$B$14,'Process'!BN3=1),1+('Control Room'!$C$14-1)*EXP(-0.5*(($A725-'Control Room'!$A$14-('Control Room'!$B$14-1)/2)/MAX(0.5,'Control Room'!$B$14/4))^2),1)*IF(AND($A725&gt;='Control Room'!$A$15,$A725&lt;'Control Room'!$A$15+'Control Room'!$B$15,'Process'!BN4=1),1+('Control Room'!$C$15-1)*EXP(-0.5*(($A725-'Control Room'!$A$15-('Control Room'!$B$15-1)/2)/MAX(0.5,'Control Room'!$B$15/4))^2),1)*IF(AND($A725&gt;='Control Room'!$A$16,$A725&lt;'Control Room'!$A$16+'Control Room'!$B$16,'Process'!BN5=1),1+('Control Room'!$C$16-1)*EXP(-0.5*(($A725-'Control Room'!$A$16-('Control Room'!$B$16-1)/2)/MAX(0.5,'Control Room'!$B$16/4))^2),1)</x:f>
        <x:v>1</x:v>
      </x:c>
      <x:c r="V725" s="9" t="n">
        <x:f>MOD(W724*16807,2147483647)</x:f>
        <x:v>1374031608</x:v>
      </x:c>
      <x:c r="W725" s="9" t="n">
        <x:f>MOD(V725*16807,2147483647)</x:f>
        <x:v>1457579465</x:v>
      </x:c>
      <x:c r="X725" s="17" t="n">
        <x:f>IF('Control Room'!$B$5="Normal",'Control Room'!$B$7+'Control Room'!$D$7*SQRT(-2*LN(MAX(0.000000000001,V725/2147483647)))*COS(2*PI()*W725/2147483647),'Control Room'!$B$8+('Control Room'!$D$8-'Control Room'!$B$8)*V725/2147483647)</x:f>
        <x:v>963.1771198270918</x:v>
      </x:c>
      <x:c r="Y725" s="17" t="n">
        <x:f>IF('Control Room'!$B$5="Normal",'Control Room'!$B$7,('Control Room'!$B$8+'Control Room'!$D$8)/2)+'Control Room'!$B$9*(Y724-IF('Control Room'!$B$5="Normal",'Control Room'!$B$7,('Control Room'!$B$8+'Control Room'!$D$8)/2))+SQRT(1-'Control Room'!$B$9^2)*(X725-IF('Control Room'!$B$5="Normal",'Control Room'!$B$7,('Control Room'!$B$8+'Control Room'!$D$8)/2))</x:f>
        <x:v>992.7007704307273</x:v>
      </x:c>
      <x:c r="Z725" s="17" t="n">
        <x:f>IF(AND($A725&gt;='Control Room'!$A$13,$A725&lt;'Control Room'!$A$13+'Control Room'!$B$13,'Process'!BO2=1),1+('Control Room'!$C$13-1)*EXP(-0.5*(($A725-'Control Room'!$A$13-('Control Room'!$B$13-1)/2)/MAX(0.5,'Control Room'!$B$13/4))^2),1)*IF(AND($A725&gt;='Control Room'!$A$14,$A725&lt;'Control Room'!$A$14+'Control Room'!$B$14,'Process'!BO3=1),1+('Control Room'!$C$14-1)*EXP(-0.5*(($A725-'Control Room'!$A$14-('Control Room'!$B$14-1)/2)/MAX(0.5,'Control Room'!$B$14/4))^2),1)*IF(AND($A725&gt;='Control Room'!$A$15,$A725&lt;'Control Room'!$A$15+'Control Room'!$B$15,'Process'!BO4=1),1+('Control Room'!$C$15-1)*EXP(-0.5*(($A725-'Control Room'!$A$15-('Control Room'!$B$15-1)/2)/MAX(0.5,'Control Room'!$B$15/4))^2),1)*IF(AND($A725&gt;='Control Room'!$A$16,$A725&lt;'Control Room'!$A$16+'Control Room'!$B$16,'Process'!BO5=1),1+('Control Room'!$C$16-1)*EXP(-0.5*(($A725-'Control Room'!$A$16-('Control Room'!$B$16-1)/2)/MAX(0.5,'Control Room'!$B$16/4))^2),1)</x:f>
        <x:v>1</x:v>
      </x:c>
      <x:c r="AA725" s="9" t="n">
        <x:f>MOD(AB724*16807,2147483647)</x:f>
        <x:v>1218414546</x:v>
      </x:c>
      <x:c r="AB725" s="9" t="n">
        <x:f>MOD(AA725*16807,2147483647)</x:f>
        <x:v>1636700477</x:v>
      </x:c>
      <x:c r="AC725" s="17" t="n">
        <x:f>IF('Control Room'!$B$5="Normal",'Control Room'!$B$7+'Control Room'!$D$7*SQRT(-2*LN(MAX(0.000000000001,AA725/2147483647)))*COS(2*PI()*AB725/2147483647),'Control Room'!$B$8+('Control Room'!$D$8-'Control Room'!$B$8)*AA725/2147483647)</x:f>
        <x:v>1007.3066206320347</x:v>
      </x:c>
      <x:c r="AD725" s="17" t="n">
        <x:f>IF('Control Room'!$B$5="Normal",'Control Room'!$B$7,('Control Room'!$B$8+'Control Room'!$D$8)/2)+'Control Room'!$B$9*(AD724-IF('Control Room'!$B$5="Normal",'Control Room'!$B$7,('Control Room'!$B$8+'Control Room'!$D$8)/2))+SQRT(1-'Control Room'!$B$9^2)*(AC725-IF('Control Room'!$B$5="Normal",'Control Room'!$B$7,('Control Room'!$B$8+'Control Room'!$D$8)/2))</x:f>
        <x:v>1027.5320290086695</x:v>
      </x:c>
      <x:c r="AE725" s="17" t="n">
        <x:f>IF(AND($A725&gt;='Control Room'!$A$13,$A725&lt;'Control Room'!$A$13+'Control Room'!$B$13,'Process'!BP2=1),1+('Control Room'!$C$13-1)*EXP(-0.5*(($A725-'Control Room'!$A$13-('Control Room'!$B$13-1)/2)/MAX(0.5,'Control Room'!$B$13/4))^2),1)*IF(AND($A725&gt;='Control Room'!$A$14,$A725&lt;'Control Room'!$A$14+'Control Room'!$B$14,'Process'!BP3=1),1+('Control Room'!$C$14-1)*EXP(-0.5*(($A725-'Control Room'!$A$14-('Control Room'!$B$14-1)/2)/MAX(0.5,'Control Room'!$B$14/4))^2),1)*IF(AND($A725&gt;='Control Room'!$A$15,$A725&lt;'Control Room'!$A$15+'Control Room'!$B$15,'Process'!BP4=1),1+('Control Room'!$C$15-1)*EXP(-0.5*(($A725-'Control Room'!$A$15-('Control Room'!$B$15-1)/2)/MAX(0.5,'Control Room'!$B$15/4))^2),1)*IF(AND($A725&gt;='Control Room'!$A$16,$A725&lt;'Control Room'!$A$16+'Control Room'!$B$16,'Process'!BP5=1),1+('Control Room'!$C$16-1)*EXP(-0.5*(($A725-'Control Room'!$A$16-('Control Room'!$B$16-1)/2)/MAX(0.5,'Control Room'!$B$16/4))^2),1)</x:f>
        <x:v>1</x:v>
      </x:c>
      <x:c r="AF725" s="9" t="n">
        <x:f>MOD(AG724*16807,2147483647)</x:f>
        <x:v>1062797484</x:v>
      </x:c>
      <x:c r="AG725" s="9" t="n">
        <x:f>MOD(AF725*16807,2147483647)</x:f>
        <x:v>1815821489</x:v>
      </x:c>
      <x:c r="AH725" s="17" t="n">
        <x:f>IF('Control Room'!$B$5="Normal",'Control Room'!$B$7+'Control Room'!$D$7*SQRT(-2*LN(MAX(0.000000000001,AF725/2147483647)))*COS(2*PI()*AG725/2147483647),'Control Room'!$B$8+('Control Room'!$D$8-'Control Room'!$B$8)*AF725/2147483647)</x:f>
        <x:v>1060.30984296427</x:v>
      </x:c>
      <x:c r="AI725" s="17" t="n">
        <x:f>IF('Control Room'!$B$5="Normal",'Control Room'!$B$7,('Control Room'!$B$8+'Control Room'!$D$8)/2)+'Control Room'!$B$9*(AI724-IF('Control Room'!$B$5="Normal",'Control Room'!$B$7,('Control Room'!$B$8+'Control Room'!$D$8)/2))+SQRT(1-'Control Room'!$B$9^2)*(AH725-IF('Control Room'!$B$5="Normal",'Control Room'!$B$7,('Control Room'!$B$8+'Control Room'!$D$8)/2))</x:f>
        <x:v>1117.355103163108</x:v>
      </x:c>
      <x:c r="AJ725" s="17" t="n">
        <x:f>IF(AND($A725&gt;='Control Room'!$A$13,$A725&lt;'Control Room'!$A$13+'Control Room'!$B$13,'Process'!BQ2=1),1+('Control Room'!$C$13-1)*EXP(-0.5*(($A725-'Control Room'!$A$13-('Control Room'!$B$13-1)/2)/MAX(0.5,'Control Room'!$B$13/4))^2),1)*IF(AND($A725&gt;='Control Room'!$A$14,$A725&lt;'Control Room'!$A$14+'Control Room'!$B$14,'Process'!BQ3=1),1+('Control Room'!$C$14-1)*EXP(-0.5*(($A725-'Control Room'!$A$14-('Control Room'!$B$14-1)/2)/MAX(0.5,'Control Room'!$B$14/4))^2),1)*IF(AND($A725&gt;='Control Room'!$A$15,$A725&lt;'Control Room'!$A$15+'Control Room'!$B$15,'Process'!BQ4=1),1+('Control Room'!$C$15-1)*EXP(-0.5*(($A725-'Control Room'!$A$15-('Control Room'!$B$15-1)/2)/MAX(0.5,'Control Room'!$B$15/4))^2),1)*IF(AND($A725&gt;='Control Room'!$A$16,$A725&lt;'Control Room'!$A$16+'Control Room'!$B$16,'Process'!BQ5=1),1+('Control Room'!$C$16-1)*EXP(-0.5*(($A725-'Control Room'!$A$16-('Control Room'!$B$16-1)/2)/MAX(0.5,'Control Room'!$B$16/4))^2),1)</x:f>
        <x:v>1</x:v>
      </x:c>
      <x:c r="AK725" s="9" t="n">
        <x:f>MOD(AL724*16807,2147483647)</x:f>
        <x:v>907180422</x:v>
      </x:c>
      <x:c r="AL725" s="9" t="n">
        <x:f>MOD(AK725*16807,2147483647)</x:f>
        <x:v>1994942501</x:v>
      </x:c>
      <x:c r="AM725" s="17" t="n">
        <x:f>IF('Control Room'!$B$5="Normal",'Control Room'!$B$7+'Control Room'!$D$7*SQRT(-2*LN(MAX(0.000000000001,AK725/2147483647)))*COS(2*PI()*AL725/2147483647),'Control Room'!$B$8+('Control Room'!$D$8-'Control Room'!$B$8)*AK725/2147483647)</x:f>
        <x:v>1106.5778228520724</x:v>
      </x:c>
      <x:c r="AN725" s="17" t="n">
        <x:f>IF('Control Room'!$B$5="Normal",'Control Room'!$B$7,('Control Room'!$B$8+'Control Room'!$D$8)/2)+'Control Room'!$B$9*(AN724-IF('Control Room'!$B$5="Normal",'Control Room'!$B$7,('Control Room'!$B$8+'Control Room'!$D$8)/2))+SQRT(1-'Control Room'!$B$9^2)*(AM725-IF('Control Room'!$B$5="Normal",'Control Room'!$B$7,('Control Room'!$B$8+'Control Room'!$D$8)/2))</x:f>
        <x:v>1003.6121316219143</x:v>
      </x:c>
      <x:c r="AO725" s="17" t="n">
        <x:f>IF(AND($A725&gt;='Control Room'!$A$13,$A725&lt;'Control Room'!$A$13+'Control Room'!$B$13,'Process'!BR2=1),1+('Control Room'!$C$13-1)*EXP(-0.5*(($A725-'Control Room'!$A$13-('Control Room'!$B$13-1)/2)/MAX(0.5,'Control Room'!$B$13/4))^2),1)*IF(AND($A725&gt;='Control Room'!$A$14,$A725&lt;'Control Room'!$A$14+'Control Room'!$B$14,'Process'!BR3=1),1+('Control Room'!$C$14-1)*EXP(-0.5*(($A725-'Control Room'!$A$14-('Control Room'!$B$14-1)/2)/MAX(0.5,'Control Room'!$B$14/4))^2),1)*IF(AND($A725&gt;='Control Room'!$A$15,$A725&lt;'Control Room'!$A$15+'Control Room'!$B$15,'Process'!BR4=1),1+('Control Room'!$C$15-1)*EXP(-0.5*(($A725-'Control Room'!$A$15-('Control Room'!$B$15-1)/2)/MAX(0.5,'Control Room'!$B$15/4))^2),1)*IF(AND($A725&gt;='Control Room'!$A$16,$A725&lt;'Control Room'!$A$16+'Control Room'!$B$16,'Process'!BR5=1),1+('Control Room'!$C$16-1)*EXP(-0.5*(($A725-'Control Room'!$A$16-('Control Room'!$B$16-1)/2)/MAX(0.5,'Control Room'!$B$16/4))^2),1)</x:f>
        <x:v>1</x:v>
      </x:c>
      <x:c r="AP725" s="9" t="n">
        <x:f>MOD(AQ724*16807,2147483647)</x:f>
        <x:v>751563360</x:v>
      </x:c>
      <x:c r="AQ725" s="9" t="n">
        <x:f>MOD(AP725*16807,2147483647)</x:f>
        <x:v>26579866</x:v>
      </x:c>
      <x:c r="AR725" s="17" t="n">
        <x:f>IF('Control Room'!$B$5="Normal",'Control Room'!$B$7+'Control Room'!$D$7*SQRT(-2*LN(MAX(0.000000000001,AP725/2147483647)))*COS(2*PI()*AQ725/2147483647),'Control Room'!$B$8+('Control Room'!$D$8-'Control Room'!$B$8)*AP725/2147483647)</x:f>
        <x:v>1130.0217904353776</x:v>
      </x:c>
      <x:c r="AS725" s="17" t="n">
        <x:f>IF('Control Room'!$B$5="Normal",'Control Room'!$B$7,('Control Room'!$B$8+'Control Room'!$D$8)/2)+'Control Room'!$B$9*(AS724-IF('Control Room'!$B$5="Normal",'Control Room'!$B$7,('Control Room'!$B$8+'Control Room'!$D$8)/2))+SQRT(1-'Control Room'!$B$9^2)*(AR725-IF('Control Room'!$B$5="Normal",'Control Room'!$B$7,('Control Room'!$B$8+'Control Room'!$D$8)/2))</x:f>
        <x:v>1133.844827132356</x:v>
      </x:c>
      <x:c r="AT725" s="17" t="n">
        <x:f>IF(AND($A725&gt;='Control Room'!$A$13,$A725&lt;'Control Room'!$A$13+'Control Room'!$B$13,'Process'!BS2=1),1+('Control Room'!$C$13-1)*EXP(-0.5*(($A725-'Control Room'!$A$13-('Control Room'!$B$13-1)/2)/MAX(0.5,'Control Room'!$B$13/4))^2),1)*IF(AND($A725&gt;='Control Room'!$A$14,$A725&lt;'Control Room'!$A$14+'Control Room'!$B$14,'Process'!BS3=1),1+('Control Room'!$C$14-1)*EXP(-0.5*(($A725-'Control Room'!$A$14-('Control Room'!$B$14-1)/2)/MAX(0.5,'Control Room'!$B$14/4))^2),1)*IF(AND($A725&gt;='Control Room'!$A$15,$A725&lt;'Control Room'!$A$15+'Control Room'!$B$15,'Process'!BS4=1),1+('Control Room'!$C$15-1)*EXP(-0.5*(($A725-'Control Room'!$A$15-('Control Room'!$B$15-1)/2)/MAX(0.5,'Control Room'!$B$15/4))^2),1)*IF(AND($A725&gt;='Control Room'!$A$16,$A725&lt;'Control Room'!$A$16+'Control Room'!$B$16,'Process'!BS5=1),1+('Control Room'!$C$16-1)*EXP(-0.5*(($A725-'Control Room'!$A$16-('Control Room'!$B$16-1)/2)/MAX(0.5,'Control Room'!$B$16/4))^2),1)</x:f>
        <x:v>1</x:v>
      </x:c>
      <x:c r="AU725" s="9" t="n">
        <x:f>MOD(AV724*16807,2147483647)</x:f>
        <x:v>595946298</x:v>
      </x:c>
      <x:c r="AV725" s="9" t="n">
        <x:f>MOD(AU725*16807,2147483647)</x:f>
        <x:v>205700878</x:v>
      </x:c>
      <x:c r="AW725" s="17" t="n">
        <x:f>IF('Control Room'!$B$5="Normal",'Control Room'!$B$7+'Control Room'!$D$7*SQRT(-2*LN(MAX(0.000000000001,AU725/2147483647)))*COS(2*PI()*AV725/2147483647),'Control Room'!$B$8+('Control Room'!$D$8-'Control Room'!$B$8)*AU725/2147483647)</x:f>
        <x:v>1118.7860756539849</x:v>
      </x:c>
      <x:c r="AX725" s="17" t="n">
        <x:f>IF('Control Room'!$B$5="Normal",'Control Room'!$B$7,('Control Room'!$B$8+'Control Room'!$D$8)/2)+'Control Room'!$B$9*(AX724-IF('Control Room'!$B$5="Normal",'Control Room'!$B$7,('Control Room'!$B$8+'Control Room'!$D$8)/2))+SQRT(1-'Control Room'!$B$9^2)*(AW725-IF('Control Room'!$B$5="Normal",'Control Room'!$B$7,('Control Room'!$B$8+'Control Room'!$D$8)/2))</x:f>
        <x:v>1058.6730751674302</x:v>
      </x:c>
      <x:c r="AY725" s="17" t="n">
        <x:f>IF(AND($A725&gt;='Control Room'!$A$13,$A725&lt;'Control Room'!$A$13+'Control Room'!$B$13,'Process'!BT2=1),1+('Control Room'!$C$13-1)*EXP(-0.5*(($A725-'Control Room'!$A$13-('Control Room'!$B$13-1)/2)/MAX(0.5,'Control Room'!$B$13/4))^2),1)*IF(AND($A725&gt;='Control Room'!$A$14,$A725&lt;'Control Room'!$A$14+'Control Room'!$B$14,'Process'!BT3=1),1+('Control Room'!$C$14-1)*EXP(-0.5*(($A725-'Control Room'!$A$14-('Control Room'!$B$14-1)/2)/MAX(0.5,'Control Room'!$B$14/4))^2),1)*IF(AND($A725&gt;='Control Room'!$A$15,$A725&lt;'Control Room'!$A$15+'Control Room'!$B$15,'Process'!BT4=1),1+('Control Room'!$C$15-1)*EXP(-0.5*(($A725-'Control Room'!$A$15-('Control Room'!$B$15-1)/2)/MAX(0.5,'Control Room'!$B$15/4))^2),1)*IF(AND($A725&gt;='Control Room'!$A$16,$A725&lt;'Control Room'!$A$16+'Control Room'!$B$16,'Process'!BT5=1),1+('Control Room'!$C$16-1)*EXP(-0.5*(($A725-'Control Room'!$A$16-('Control Room'!$B$16-1)/2)/MAX(0.5,'Control Room'!$B$16/4))^2),1)</x:f>
        <x:v>1</x:v>
      </x:c>
      <x:c r="AZ725" s="9" t="n">
        <x:f>MOD(BA724*16807,2147483647)</x:f>
        <x:v>440329236</x:v>
      </x:c>
      <x:c r="BA725" s="9" t="n">
        <x:f>MOD(AZ725*16807,2147483647)</x:f>
        <x:v>384821890</x:v>
      </x:c>
      <x:c r="BB725" s="17" t="n">
        <x:f>IF('Control Room'!$B$5="Normal",'Control Room'!$B$7+'Control Room'!$D$7*SQRT(-2*LN(MAX(0.000000000001,AZ725/2147483647)))*COS(2*PI()*BA725/2147483647),'Control Room'!$B$8+('Control Room'!$D$8-'Control Room'!$B$8)*AZ725/2147483647)</x:f>
        <x:v>1068.947795541483</x:v>
      </x:c>
      <x:c r="BC725" s="17" t="n">
        <x:f>IF('Control Room'!$B$5="Normal",'Control Room'!$B$7,('Control Room'!$B$8+'Control Room'!$D$8)/2)+'Control Room'!$B$9*(BC724-IF('Control Room'!$B$5="Normal",'Control Room'!$B$7,('Control Room'!$B$8+'Control Room'!$D$8)/2))+SQRT(1-'Control Room'!$B$9^2)*(BB725-IF('Control Room'!$B$5="Normal",'Control Room'!$B$7,('Control Room'!$B$8+'Control Room'!$D$8)/2))</x:f>
        <x:v>942.3743371237377</x:v>
      </x:c>
      <x:c r="BD725" s="17" t="n">
        <x:f>IF(AND($A725&gt;='Control Room'!$A$13,$A725&lt;'Control Room'!$A$13+'Control Room'!$B$13,'Process'!BU2=1),1+('Control Room'!$C$13-1)*EXP(-0.5*(($A725-'Control Room'!$A$13-('Control Room'!$B$13-1)/2)/MAX(0.5,'Control Room'!$B$13/4))^2),1)*IF(AND($A725&gt;='Control Room'!$A$14,$A725&lt;'Control Room'!$A$14+'Control Room'!$B$14,'Process'!BU3=1),1+('Control Room'!$C$14-1)*EXP(-0.5*(($A725-'Control Room'!$A$14-('Control Room'!$B$14-1)/2)/MAX(0.5,'Control Room'!$B$14/4))^2),1)*IF(AND($A725&gt;='Control Room'!$A$15,$A725&lt;'Control Room'!$A$15+'Control Room'!$B$15,'Process'!BU4=1),1+('Control Room'!$C$15-1)*EXP(-0.5*(($A725-'Control Room'!$A$15-('Control Room'!$B$15-1)/2)/MAX(0.5,'Control Room'!$B$15/4))^2),1)*IF(AND($A725&gt;='Control Room'!$A$16,$A725&lt;'Control Room'!$A$16+'Control Room'!$B$16,'Process'!BU5=1),1+('Control Room'!$C$16-1)*EXP(-0.5*(($A725-'Control Room'!$A$16-('Control Room'!$B$16-1)/2)/MAX(0.5,'Control Room'!$B$16/4))^2),1)</x:f>
        <x:v>1</x:v>
      </x:c>
      <x:c r="BE725" s="9" t="n">
        <x:f>MOD(BF724*16807,2147483647)</x:f>
        <x:v>284712174</x:v>
      </x:c>
      <x:c r="BF725" s="9" t="n">
        <x:f>MOD(BE725*16807,2147483647)</x:f>
        <x:v>563942902</x:v>
      </x:c>
      <x:c r="BG725" s="17" t="n">
        <x:f>IF('Control Room'!$B$5="Normal",'Control Room'!$B$7+'Control Room'!$D$7*SQRT(-2*LN(MAX(0.000000000001,BE725/2147483647)))*COS(2*PI()*BF725/2147483647),'Control Room'!$B$8+('Control Room'!$D$8-'Control Room'!$B$8)*BE725/2147483647)</x:f>
        <x:v>985.6843596029046</x:v>
      </x:c>
      <x:c r="BH725" s="17" t="n">
        <x:f>IF('Control Room'!$B$5="Normal",'Control Room'!$B$7,('Control Room'!$B$8+'Control Room'!$D$8)/2)+'Control Room'!$B$9*(BH724-IF('Control Room'!$B$5="Normal",'Control Room'!$B$7,('Control Room'!$B$8+'Control Room'!$D$8)/2))+SQRT(1-'Control Room'!$B$9^2)*(BG725-IF('Control Room'!$B$5="Normal",'Control Room'!$B$7,('Control Room'!$B$8+'Control Room'!$D$8)/2))</x:f>
        <x:v>919.3008905191418</x:v>
      </x:c>
      <x:c r="BI725" s="17" t="n">
        <x:f>IF(AND($A725&gt;='Control Room'!$A$13,$A725&lt;'Control Room'!$A$13+'Control Room'!$B$13,'Process'!BV2=1),1+('Control Room'!$C$13-1)*EXP(-0.5*(($A725-'Control Room'!$A$13-('Control Room'!$B$13-1)/2)/MAX(0.5,'Control Room'!$B$13/4))^2),1)*IF(AND($A725&gt;='Control Room'!$A$14,$A725&lt;'Control Room'!$A$14+'Control Room'!$B$14,'Process'!BV3=1),1+('Control Room'!$C$14-1)*EXP(-0.5*(($A725-'Control Room'!$A$14-('Control Room'!$B$14-1)/2)/MAX(0.5,'Control Room'!$B$14/4))^2),1)*IF(AND($A725&gt;='Control Room'!$A$15,$A725&lt;'Control Room'!$A$15+'Control Room'!$B$15,'Process'!BV4=1),1+('Control Room'!$C$15-1)*EXP(-0.5*(($A725-'Control Room'!$A$15-('Control Room'!$B$15-1)/2)/MAX(0.5,'Control Room'!$B$15/4))^2),1)*IF(AND($A725&gt;='Control Room'!$A$16,$A725&lt;'Control Room'!$A$16+'Control Room'!$B$16,'Process'!BV5=1),1+('Control Room'!$C$16-1)*EXP(-0.5*(($A725-'Control Room'!$A$16-('Control Room'!$B$16-1)/2)/MAX(0.5,'Control Room'!$B$16/4))^2),1)</x:f>
        <x:v>1</x:v>
      </x:c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Z725" t="str">
        <x:f>IF('Data'!A725="","",TEXT('Data'!A725,"mm-dd"))</x:f>
      </x:c>
    </x:row>
    <x:row r="726" ht="21" customHeight="1">
      <x:c r="A726" s="15" t="n">
        <x:f>'Control Room'!$B$1+724</x:f>
        <x:v>73715</x:v>
      </x:c>
      <x:c r="B726" s="9" t="n">
        <x:f>MOD(C725*16807,2147483647)</x:f>
        <x:v>185520919</x:v>
      </x:c>
      <x:c r="C726" s="9" t="n">
        <x:f>MOD(B726*16807,2147483647)</x:f>
        <x:v>2051313836</x:v>
      </x:c>
      <x:c r="D726" s="17" t="n">
        <x:f>IF('Control Room'!$B$5="Normal",'Control Room'!$B$7+'Control Room'!$D$7*SQRT(-2*LN(MAX(0.000000000001,B726/2147483647)))*COS(2*PI()*C726/2147483647),'Control Room'!$B$8+('Control Room'!$D$8-'Control Room'!$B$8)*B726/2147483647)</x:f>
        <x:v>1191.345241113522</x:v>
      </x:c>
      <x:c r="E726" s="17" t="n">
        <x:f>IF('Control Room'!$B$5="Normal",'Control Room'!$B$7,('Control Room'!$B$8+'Control Room'!$D$8)/2)+'Control Room'!$B$9*(E725-IF('Control Room'!$B$5="Normal",'Control Room'!$B$7,('Control Room'!$B$8+'Control Room'!$D$8)/2))+SQRT(1-'Control Room'!$B$9^2)*(D726-IF('Control Room'!$B$5="Normal",'Control Room'!$B$7,('Control Room'!$B$8+'Control Room'!$D$8)/2))</x:f>
        <x:v>1087.7091270227215</x:v>
      </x:c>
      <x:c r="F726" s="17" t="n">
        <x:f>IF(AND($A726&gt;='Control Room'!$A$13,$A726&lt;'Control Room'!$A$13+'Control Room'!$B$13,'Process'!BK2=1),1+('Control Room'!$C$13-1)*EXP(-0.5*(($A726-'Control Room'!$A$13-('Control Room'!$B$13-1)/2)/MAX(0.5,'Control Room'!$B$13/4))^2),1)*IF(AND($A726&gt;='Control Room'!$A$14,$A726&lt;'Control Room'!$A$14+'Control Room'!$B$14,'Process'!BK3=1),1+('Control Room'!$C$14-1)*EXP(-0.5*(($A726-'Control Room'!$A$14-('Control Room'!$B$14-1)/2)/MAX(0.5,'Control Room'!$B$14/4))^2),1)*IF(AND($A726&gt;='Control Room'!$A$15,$A726&lt;'Control Room'!$A$15+'Control Room'!$B$15,'Process'!BK4=1),1+('Control Room'!$C$15-1)*EXP(-0.5*(($A726-'Control Room'!$A$15-('Control Room'!$B$15-1)/2)/MAX(0.5,'Control Room'!$B$15/4))^2),1)*IF(AND($A726&gt;='Control Room'!$A$16,$A726&lt;'Control Room'!$A$16+'Control Room'!$B$16,'Process'!BK5=1),1+('Control Room'!$C$16-1)*EXP(-0.5*(($A726-'Control Room'!$A$16-('Control Room'!$B$16-1)/2)/MAX(0.5,'Control Room'!$B$16/4))^2),1)</x:f>
        <x:v>1</x:v>
      </x:c>
      <x:c r="G726" s="9" t="n">
        <x:f>MOD(H725*16807,2147483647)</x:f>
        <x:v>2047780156</x:v>
      </x:c>
      <x:c r="H726" s="9" t="n">
        <x:f>MOD(G726*16807,2147483647)</x:f>
        <x:v>1468155070</x:v>
      </x:c>
      <x:c r="I726" s="17" t="n">
        <x:f>IF('Control Room'!$B$5="Normal",'Control Room'!$B$7+'Control Room'!$D$7*SQRT(-2*LN(MAX(0.000000000001,G726/2147483647)))*COS(2*PI()*H726/2147483647),'Control Room'!$B$8+('Control Room'!$D$8-'Control Room'!$B$8)*G726/2147483647)</x:f>
        <x:v>988.7649184743274</x:v>
      </x:c>
      <x:c r="J726" s="17" t="n">
        <x:f>IF('Control Room'!$B$5="Normal",'Control Room'!$B$7,('Control Room'!$B$8+'Control Room'!$D$8)/2)+'Control Room'!$B$9*(J725-IF('Control Room'!$B$5="Normal",'Control Room'!$B$7,('Control Room'!$B$8+'Control Room'!$D$8)/2))+SQRT(1-'Control Room'!$B$9^2)*(I726-IF('Control Room'!$B$5="Normal",'Control Room'!$B$7,('Control Room'!$B$8+'Control Room'!$D$8)/2))</x:f>
        <x:v>1023.8810627903873</x:v>
      </x:c>
      <x:c r="K726" s="17" t="n">
        <x:f>IF(AND($A726&gt;='Control Room'!$A$13,$A726&lt;'Control Room'!$A$13+'Control Room'!$B$13,'Process'!BL2=1),1+('Control Room'!$C$13-1)*EXP(-0.5*(($A726-'Control Room'!$A$13-('Control Room'!$B$13-1)/2)/MAX(0.5,'Control Room'!$B$13/4))^2),1)*IF(AND($A726&gt;='Control Room'!$A$14,$A726&lt;'Control Room'!$A$14+'Control Room'!$B$14,'Process'!BL3=1),1+('Control Room'!$C$14-1)*EXP(-0.5*(($A726-'Control Room'!$A$14-('Control Room'!$B$14-1)/2)/MAX(0.5,'Control Room'!$B$14/4))^2),1)*IF(AND($A726&gt;='Control Room'!$A$15,$A726&lt;'Control Room'!$A$15+'Control Room'!$B$15,'Process'!BL4=1),1+('Control Room'!$C$15-1)*EXP(-0.5*(($A726-'Control Room'!$A$15-('Control Room'!$B$15-1)/2)/MAX(0.5,'Control Room'!$B$15/4))^2),1)*IF(AND($A726&gt;='Control Room'!$A$16,$A726&lt;'Control Room'!$A$16+'Control Room'!$B$16,'Process'!BL5=1),1+('Control Room'!$C$16-1)*EXP(-0.5*(($A726-'Control Room'!$A$16-('Control Room'!$B$16-1)/2)/MAX(0.5,'Control Room'!$B$16/4))^2),1)</x:f>
        <x:v>1</x:v>
      </x:c>
      <x:c r="L726" s="9" t="n">
        <x:f>MOD(M725*16807,2147483647)</x:f>
        <x:v>1762555746</x:v>
      </x:c>
      <x:c r="M726" s="9" t="n">
        <x:f>MOD(L726*16807,2147483647)</x:f>
        <x:v>884996304</x:v>
      </x:c>
      <x:c r="N726" s="17" t="n">
        <x:f>IF('Control Room'!$B$5="Normal",'Control Room'!$B$7+'Control Room'!$D$7*SQRT(-2*LN(MAX(0.000000000001,L726/2147483647)))*COS(2*PI()*M726/2147483647),'Control Room'!$B$8+('Control Room'!$D$8-'Control Room'!$B$8)*L726/2147483647)</x:f>
        <x:v>951.8401139840868</x:v>
      </x:c>
      <x:c r="O726" s="17" t="n">
        <x:f>IF('Control Room'!$B$5="Normal",'Control Room'!$B$7,('Control Room'!$B$8+'Control Room'!$D$8)/2)+'Control Room'!$B$9*(O725-IF('Control Room'!$B$5="Normal",'Control Room'!$B$7,('Control Room'!$B$8+'Control Room'!$D$8)/2))+SQRT(1-'Control Room'!$B$9^2)*(N726-IF('Control Room'!$B$5="Normal",'Control Room'!$B$7,('Control Room'!$B$8+'Control Room'!$D$8)/2))</x:f>
        <x:v>888.2237699144403</x:v>
      </x:c>
      <x:c r="P726" s="17" t="n">
        <x:f>IF(AND($A726&gt;='Control Room'!$A$13,$A726&lt;'Control Room'!$A$13+'Control Room'!$B$13,'Process'!BM2=1),1+('Control Room'!$C$13-1)*EXP(-0.5*(($A726-'Control Room'!$A$13-('Control Room'!$B$13-1)/2)/MAX(0.5,'Control Room'!$B$13/4))^2),1)*IF(AND($A726&gt;='Control Room'!$A$14,$A726&lt;'Control Room'!$A$14+'Control Room'!$B$14,'Process'!BM3=1),1+('Control Room'!$C$14-1)*EXP(-0.5*(($A726-'Control Room'!$A$14-('Control Room'!$B$14-1)/2)/MAX(0.5,'Control Room'!$B$14/4))^2),1)*IF(AND($A726&gt;='Control Room'!$A$15,$A726&lt;'Control Room'!$A$15+'Control Room'!$B$15,'Process'!BM4=1),1+('Control Room'!$C$15-1)*EXP(-0.5*(($A726-'Control Room'!$A$15-('Control Room'!$B$15-1)/2)/MAX(0.5,'Control Room'!$B$15/4))^2),1)*IF(AND($A726&gt;='Control Room'!$A$16,$A726&lt;'Control Room'!$A$16+'Control Room'!$B$16,'Process'!BM5=1),1+('Control Room'!$C$16-1)*EXP(-0.5*(($A726-'Control Room'!$A$16-('Control Room'!$B$16-1)/2)/MAX(0.5,'Control Room'!$B$16/4))^2),1)</x:f>
        <x:v>1</x:v>
      </x:c>
      <x:c r="Q726" s="9" t="n">
        <x:f>MOD(R725*16807,2147483647)</x:f>
        <x:v>1477331336</x:v>
      </x:c>
      <x:c r="R726" s="9" t="n">
        <x:f>MOD(Q726*16807,2147483647)</x:f>
        <x:v>301837538</x:v>
      </x:c>
      <x:c r="S726" s="17" t="n">
        <x:f>IF('Control Room'!$B$5="Normal",'Control Room'!$B$7+'Control Room'!$D$7*SQRT(-2*LN(MAX(0.000000000001,Q726/2147483647)))*COS(2*PI()*R726/2147483647),'Control Room'!$B$8+('Control Room'!$D$8-'Control Room'!$B$8)*Q726/2147483647)</x:f>
        <x:v>1049.4108334567356</x:v>
      </x:c>
      <x:c r="T726" s="17" t="n">
        <x:f>IF('Control Room'!$B$5="Normal",'Control Room'!$B$7,('Control Room'!$B$8+'Control Room'!$D$8)/2)+'Control Room'!$B$9*(T725-IF('Control Room'!$B$5="Normal",'Control Room'!$B$7,('Control Room'!$B$8+'Control Room'!$D$8)/2))+SQRT(1-'Control Room'!$B$9^2)*(S726-IF('Control Room'!$B$5="Normal",'Control Room'!$B$7,('Control Room'!$B$8+'Control Room'!$D$8)/2))</x:f>
        <x:v>1023.0058132025317</x:v>
      </x:c>
      <x:c r="U726" s="17" t="n">
        <x:f>IF(AND($A726&gt;='Control Room'!$A$13,$A726&lt;'Control Room'!$A$13+'Control Room'!$B$13,'Process'!BN2=1),1+('Control Room'!$C$13-1)*EXP(-0.5*(($A726-'Control Room'!$A$13-('Control Room'!$B$13-1)/2)/MAX(0.5,'Control Room'!$B$13/4))^2),1)*IF(AND($A726&gt;='Control Room'!$A$14,$A726&lt;'Control Room'!$A$14+'Control Room'!$B$14,'Process'!BN3=1),1+('Control Room'!$C$14-1)*EXP(-0.5*(($A726-'Control Room'!$A$14-('Control Room'!$B$14-1)/2)/MAX(0.5,'Control Room'!$B$14/4))^2),1)*IF(AND($A726&gt;='Control Room'!$A$15,$A726&lt;'Control Room'!$A$15+'Control Room'!$B$15,'Process'!BN4=1),1+('Control Room'!$C$15-1)*EXP(-0.5*(($A726-'Control Room'!$A$15-('Control Room'!$B$15-1)/2)/MAX(0.5,'Control Room'!$B$15/4))^2),1)*IF(AND($A726&gt;='Control Room'!$A$16,$A726&lt;'Control Room'!$A$16+'Control Room'!$B$16,'Process'!BN5=1),1+('Control Room'!$C$16-1)*EXP(-0.5*(($A726-'Control Room'!$A$16-('Control Room'!$B$16-1)/2)/MAX(0.5,'Control Room'!$B$16/4))^2),1)</x:f>
        <x:v>1</x:v>
      </x:c>
      <x:c r="V726" s="9" t="n">
        <x:f>MOD(W725*16807,2147483647)</x:f>
        <x:v>1192106926</x:v>
      </x:c>
      <x:c r="W726" s="9" t="n">
        <x:f>MOD(V726*16807,2147483647)</x:f>
        <x:v>1866162419</x:v>
      </x:c>
      <x:c r="X726" s="17" t="n">
        <x:f>IF('Control Room'!$B$5="Normal",'Control Room'!$B$7+'Control Room'!$D$7*SQRT(-2*LN(MAX(0.000000000001,V726/2147483647)))*COS(2*PI()*W726/2147483647),'Control Room'!$B$8+('Control Room'!$D$8-'Control Room'!$B$8)*V726/2147483647)</x:f>
        <x:v>1066.3951213930068</x:v>
      </x:c>
      <x:c r="Y726" s="17" t="n">
        <x:f>IF('Control Room'!$B$5="Normal",'Control Room'!$B$7,('Control Room'!$B$8+'Control Room'!$D$8)/2)+'Control Room'!$B$9*(Y725-IF('Control Room'!$B$5="Normal",'Control Room'!$B$7,('Control Room'!$B$8+'Control Room'!$D$8)/2))+SQRT(1-'Control Room'!$B$9^2)*(X726-IF('Control Room'!$B$5="Normal",'Control Room'!$B$7,('Control Room'!$B$8+'Control Room'!$D$8)/2))</x:f>
        <x:v>1035.855307725717</x:v>
      </x:c>
      <x:c r="Z726" s="17" t="n">
        <x:f>IF(AND($A726&gt;='Control Room'!$A$13,$A726&lt;'Control Room'!$A$13+'Control Room'!$B$13,'Process'!BO2=1),1+('Control Room'!$C$13-1)*EXP(-0.5*(($A726-'Control Room'!$A$13-('Control Room'!$B$13-1)/2)/MAX(0.5,'Control Room'!$B$13/4))^2),1)*IF(AND($A726&gt;='Control Room'!$A$14,$A726&lt;'Control Room'!$A$14+'Control Room'!$B$14,'Process'!BO3=1),1+('Control Room'!$C$14-1)*EXP(-0.5*(($A726-'Control Room'!$A$14-('Control Room'!$B$14-1)/2)/MAX(0.5,'Control Room'!$B$14/4))^2),1)*IF(AND($A726&gt;='Control Room'!$A$15,$A726&lt;'Control Room'!$A$15+'Control Room'!$B$15,'Process'!BO4=1),1+('Control Room'!$C$15-1)*EXP(-0.5*(($A726-'Control Room'!$A$15-('Control Room'!$B$15-1)/2)/MAX(0.5,'Control Room'!$B$15/4))^2),1)*IF(AND($A726&gt;='Control Room'!$A$16,$A726&lt;'Control Room'!$A$16+'Control Room'!$B$16,'Process'!BO5=1),1+('Control Room'!$C$16-1)*EXP(-0.5*(($A726-'Control Room'!$A$16-('Control Room'!$B$16-1)/2)/MAX(0.5,'Control Room'!$B$16/4))^2),1)</x:f>
        <x:v>1</x:v>
      </x:c>
      <x:c r="AA726" s="9" t="n">
        <x:f>MOD(AB725*16807,2147483647)</x:f>
        <x:v>906882516</x:v>
      </x:c>
      <x:c r="AB726" s="9" t="n">
        <x:f>MOD(AA726*16807,2147483647)</x:f>
        <x:v>1283003653</x:v>
      </x:c>
      <x:c r="AC726" s="17" t="n">
        <x:f>IF('Control Room'!$B$5="Normal",'Control Room'!$B$7+'Control Room'!$D$7*SQRT(-2*LN(MAX(0.000000000001,AA726/2147483647)))*COS(2*PI()*AB726/2147483647),'Control Room'!$B$8+('Control Room'!$D$8-'Control Room'!$B$8)*AA726/2147483647)</x:f>
        <x:v>903.292764905737</x:v>
      </x:c>
      <x:c r="AD726" s="17" t="n">
        <x:f>IF('Control Room'!$B$5="Normal",'Control Room'!$B$7,('Control Room'!$B$8+'Control Room'!$D$8)/2)+'Control Room'!$B$9*(AD725-IF('Control Room'!$B$5="Normal",'Control Room'!$B$7,('Control Room'!$B$8+'Control Room'!$D$8)/2))+SQRT(1-'Control Room'!$B$9^2)*(AC726-IF('Control Room'!$B$5="Normal",'Control Room'!$B$7,('Control Room'!$B$8+'Control Room'!$D$8)/2))</x:f>
        <x:v>960.9575760601688</x:v>
      </x:c>
      <x:c r="AE726" s="17" t="n">
        <x:f>IF(AND($A726&gt;='Control Room'!$A$13,$A726&lt;'Control Room'!$A$13+'Control Room'!$B$13,'Process'!BP2=1),1+('Control Room'!$C$13-1)*EXP(-0.5*(($A726-'Control Room'!$A$13-('Control Room'!$B$13-1)/2)/MAX(0.5,'Control Room'!$B$13/4))^2),1)*IF(AND($A726&gt;='Control Room'!$A$14,$A726&lt;'Control Room'!$A$14+'Control Room'!$B$14,'Process'!BP3=1),1+('Control Room'!$C$14-1)*EXP(-0.5*(($A726-'Control Room'!$A$14-('Control Room'!$B$14-1)/2)/MAX(0.5,'Control Room'!$B$14/4))^2),1)*IF(AND($A726&gt;='Control Room'!$A$15,$A726&lt;'Control Room'!$A$15+'Control Room'!$B$15,'Process'!BP4=1),1+('Control Room'!$C$15-1)*EXP(-0.5*(($A726-'Control Room'!$A$15-('Control Room'!$B$15-1)/2)/MAX(0.5,'Control Room'!$B$15/4))^2),1)*IF(AND($A726&gt;='Control Room'!$A$16,$A726&lt;'Control Room'!$A$16+'Control Room'!$B$16,'Process'!BP5=1),1+('Control Room'!$C$16-1)*EXP(-0.5*(($A726-'Control Room'!$A$16-('Control Room'!$B$16-1)/2)/MAX(0.5,'Control Room'!$B$16/4))^2),1)</x:f>
        <x:v>1</x:v>
      </x:c>
      <x:c r="AF726" s="9" t="n">
        <x:f>MOD(AG725*16807,2147483647)</x:f>
        <x:v>621658106</x:v>
      </x:c>
      <x:c r="AG726" s="9" t="n">
        <x:f>MOD(AF726*16807,2147483647)</x:f>
        <x:v>699844887</x:v>
      </x:c>
      <x:c r="AH726" s="17" t="n">
        <x:f>IF('Control Room'!$B$5="Normal",'Control Room'!$B$7+'Control Room'!$D$7*SQRT(-2*LN(MAX(0.000000000001,AF726/2147483647)))*COS(2*PI()*AG726/2147483647),'Control Room'!$B$8+('Control Room'!$D$8-'Control Room'!$B$8)*AF726/2147483647)</x:f>
        <x:v>934.9581193972667</x:v>
      </x:c>
      <x:c r="AI726" s="17" t="n">
        <x:f>IF('Control Room'!$B$5="Normal",'Control Room'!$B$7,('Control Room'!$B$8+'Control Room'!$D$8)/2)+'Control Room'!$B$9*(AI725-IF('Control Room'!$B$5="Normal",'Control Room'!$B$7,('Control Room'!$B$8+'Control Room'!$D$8)/2))+SQRT(1-'Control Room'!$B$9^2)*(AH726-IF('Control Room'!$B$5="Normal",'Control Room'!$B$7,('Control Room'!$B$8+'Control Room'!$D$8)/2))</x:f>
        <x:v>1050.8351040413831</x:v>
      </x:c>
      <x:c r="AJ726" s="17" t="n">
        <x:f>IF(AND($A726&gt;='Control Room'!$A$13,$A726&lt;'Control Room'!$A$13+'Control Room'!$B$13,'Process'!BQ2=1),1+('Control Room'!$C$13-1)*EXP(-0.5*(($A726-'Control Room'!$A$13-('Control Room'!$B$13-1)/2)/MAX(0.5,'Control Room'!$B$13/4))^2),1)*IF(AND($A726&gt;='Control Room'!$A$14,$A726&lt;'Control Room'!$A$14+'Control Room'!$B$14,'Process'!BQ3=1),1+('Control Room'!$C$14-1)*EXP(-0.5*(($A726-'Control Room'!$A$14-('Control Room'!$B$14-1)/2)/MAX(0.5,'Control Room'!$B$14/4))^2),1)*IF(AND($A726&gt;='Control Room'!$A$15,$A726&lt;'Control Room'!$A$15+'Control Room'!$B$15,'Process'!BQ4=1),1+('Control Room'!$C$15-1)*EXP(-0.5*(($A726-'Control Room'!$A$15-('Control Room'!$B$15-1)/2)/MAX(0.5,'Control Room'!$B$15/4))^2),1)*IF(AND($A726&gt;='Control Room'!$A$16,$A726&lt;'Control Room'!$A$16+'Control Room'!$B$16,'Process'!BQ5=1),1+('Control Room'!$C$16-1)*EXP(-0.5*(($A726-'Control Room'!$A$16-('Control Room'!$B$16-1)/2)/MAX(0.5,'Control Room'!$B$16/4))^2),1)</x:f>
        <x:v>1</x:v>
      </x:c>
      <x:c r="AK726" s="9" t="n">
        <x:f>MOD(AL725*16807,2147483647)</x:f>
        <x:v>336433696</x:v>
      </x:c>
      <x:c r="AL726" s="9" t="n">
        <x:f>MOD(AK726*16807,2147483647)</x:f>
        <x:v>116686121</x:v>
      </x:c>
      <x:c r="AM726" s="17" t="n">
        <x:f>IF('Control Room'!$B$5="Normal",'Control Room'!$B$7+'Control Room'!$D$7*SQRT(-2*LN(MAX(0.000000000001,AK726/2147483647)))*COS(2*PI()*AL726/2147483647),'Control Room'!$B$8+('Control Room'!$D$8-'Control Room'!$B$8)*AK726/2147483647)</x:f>
        <x:v>1163.2878726835343</x:v>
      </x:c>
      <x:c r="AN726" s="17" t="n">
        <x:f>IF('Control Room'!$B$5="Normal",'Control Room'!$B$7,('Control Room'!$B$8+'Control Room'!$D$8)/2)+'Control Room'!$B$9*(AN725-IF('Control Room'!$B$5="Normal",'Control Room'!$B$7,('Control Room'!$B$8+'Control Room'!$D$8)/2))+SQRT(1-'Control Room'!$B$9^2)*(AM726-IF('Control Room'!$B$5="Normal",'Control Room'!$B$7,('Control Room'!$B$8+'Control Room'!$D$8)/2))</x:f>
        <x:v>1104.9996682565527</x:v>
      </x:c>
      <x:c r="AO726" s="17" t="n">
        <x:f>IF(AND($A726&gt;='Control Room'!$A$13,$A726&lt;'Control Room'!$A$13+'Control Room'!$B$13,'Process'!BR2=1),1+('Control Room'!$C$13-1)*EXP(-0.5*(($A726-'Control Room'!$A$13-('Control Room'!$B$13-1)/2)/MAX(0.5,'Control Room'!$B$13/4))^2),1)*IF(AND($A726&gt;='Control Room'!$A$14,$A726&lt;'Control Room'!$A$14+'Control Room'!$B$14,'Process'!BR3=1),1+('Control Room'!$C$14-1)*EXP(-0.5*(($A726-'Control Room'!$A$14-('Control Room'!$B$14-1)/2)/MAX(0.5,'Control Room'!$B$14/4))^2),1)*IF(AND($A726&gt;='Control Room'!$A$15,$A726&lt;'Control Room'!$A$15+'Control Room'!$B$15,'Process'!BR4=1),1+('Control Room'!$C$15-1)*EXP(-0.5*(($A726-'Control Room'!$A$15-('Control Room'!$B$15-1)/2)/MAX(0.5,'Control Room'!$B$15/4))^2),1)*IF(AND($A726&gt;='Control Room'!$A$16,$A726&lt;'Control Room'!$A$16+'Control Room'!$B$16,'Process'!BR5=1),1+('Control Room'!$C$16-1)*EXP(-0.5*(($A726-'Control Room'!$A$16-('Control Room'!$B$16-1)/2)/MAX(0.5,'Control Room'!$B$16/4))^2),1)</x:f>
        <x:v>1</x:v>
      </x:c>
      <x:c r="AP726" s="9" t="n">
        <x:f>MOD(AQ725*16807,2147483647)</x:f>
        <x:v>51209286</x:v>
      </x:c>
      <x:c r="AQ726" s="9" t="n">
        <x:f>MOD(AP726*16807,2147483647)</x:f>
        <x:v>1681011002</x:v>
      </x:c>
      <x:c r="AR726" s="17" t="n">
        <x:f>IF('Control Room'!$B$5="Normal",'Control Room'!$B$7+'Control Room'!$D$7*SQRT(-2*LN(MAX(0.000000000001,AP726/2147483647)))*COS(2*PI()*AQ726/2147483647),'Control Room'!$B$8+('Control Room'!$D$8-'Control Room'!$B$8)*AP726/2147483647)</x:f>
        <x:v>1050.3159110439788</x:v>
      </x:c>
      <x:c r="AS726" s="17" t="n">
        <x:f>IF('Control Room'!$B$5="Normal",'Control Room'!$B$7,('Control Room'!$B$8+'Control Room'!$D$8)/2)+'Control Room'!$B$9*(AS725-IF('Control Room'!$B$5="Normal",'Control Room'!$B$7,('Control Room'!$B$8+'Control Room'!$D$8)/2))+SQRT(1-'Control Room'!$B$9^2)*(AR726-IF('Control Room'!$B$5="Normal",'Control Room'!$B$7,('Control Room'!$B$8+'Control Room'!$D$8)/2))</x:f>
        <x:v>1135.885631517094</x:v>
      </x:c>
      <x:c r="AT726" s="17" t="n">
        <x:f>IF(AND($A726&gt;='Control Room'!$A$13,$A726&lt;'Control Room'!$A$13+'Control Room'!$B$13,'Process'!BS2=1),1+('Control Room'!$C$13-1)*EXP(-0.5*(($A726-'Control Room'!$A$13-('Control Room'!$B$13-1)/2)/MAX(0.5,'Control Room'!$B$13/4))^2),1)*IF(AND($A726&gt;='Control Room'!$A$14,$A726&lt;'Control Room'!$A$14+'Control Room'!$B$14,'Process'!BS3=1),1+('Control Room'!$C$14-1)*EXP(-0.5*(($A726-'Control Room'!$A$14-('Control Room'!$B$14-1)/2)/MAX(0.5,'Control Room'!$B$14/4))^2),1)*IF(AND($A726&gt;='Control Room'!$A$15,$A726&lt;'Control Room'!$A$15+'Control Room'!$B$15,'Process'!BS4=1),1+('Control Room'!$C$15-1)*EXP(-0.5*(($A726-'Control Room'!$A$15-('Control Room'!$B$15-1)/2)/MAX(0.5,'Control Room'!$B$15/4))^2),1)*IF(AND($A726&gt;='Control Room'!$A$16,$A726&lt;'Control Room'!$A$16+'Control Room'!$B$16,'Process'!BS5=1),1+('Control Room'!$C$16-1)*EXP(-0.5*(($A726-'Control Room'!$A$16-('Control Room'!$B$16-1)/2)/MAX(0.5,'Control Room'!$B$16/4))^2),1)</x:f>
        <x:v>1</x:v>
      </x:c>
      <x:c r="AU726" s="9" t="n">
        <x:f>MOD(AV725*16807,2147483647)</x:f>
        <x:v>1913468523</x:v>
      </x:c>
      <x:c r="AV726" s="9" t="n">
        <x:f>MOD(AU726*16807,2147483647)</x:f>
        <x:v>1097852236</x:v>
      </x:c>
      <x:c r="AW726" s="17" t="n">
        <x:f>IF('Control Room'!$B$5="Normal",'Control Room'!$B$7+'Control Room'!$D$7*SQRT(-2*LN(MAX(0.000000000001,AU726/2147483647)))*COS(2*PI()*AV726/2147483647),'Control Room'!$B$8+('Control Room'!$D$8-'Control Room'!$B$8)*AU726/2147483647)</x:f>
        <x:v>956.8739437411607</x:v>
      </x:c>
      <x:c r="AX726" s="17" t="n">
        <x:f>IF('Control Room'!$B$5="Normal",'Control Room'!$B$7,('Control Room'!$B$8+'Control Room'!$D$8)/2)+'Control Room'!$B$9*(AX725-IF('Control Room'!$B$5="Normal",'Control Room'!$B$7,('Control Room'!$B$8+'Control Room'!$D$8)/2))+SQRT(1-'Control Room'!$B$9^2)*(AW726-IF('Control Room'!$B$5="Normal",'Control Room'!$B$7,('Control Room'!$B$8+'Control Room'!$D$8)/2))</x:f>
        <x:v>1018.7775961090981</x:v>
      </x:c>
      <x:c r="AY726" s="17" t="n">
        <x:f>IF(AND($A726&gt;='Control Room'!$A$13,$A726&lt;'Control Room'!$A$13+'Control Room'!$B$13,'Process'!BT2=1),1+('Control Room'!$C$13-1)*EXP(-0.5*(($A726-'Control Room'!$A$13-('Control Room'!$B$13-1)/2)/MAX(0.5,'Control Room'!$B$13/4))^2),1)*IF(AND($A726&gt;='Control Room'!$A$14,$A726&lt;'Control Room'!$A$14+'Control Room'!$B$14,'Process'!BT3=1),1+('Control Room'!$C$14-1)*EXP(-0.5*(($A726-'Control Room'!$A$14-('Control Room'!$B$14-1)/2)/MAX(0.5,'Control Room'!$B$14/4))^2),1)*IF(AND($A726&gt;='Control Room'!$A$15,$A726&lt;'Control Room'!$A$15+'Control Room'!$B$15,'Process'!BT4=1),1+('Control Room'!$C$15-1)*EXP(-0.5*(($A726-'Control Room'!$A$15-('Control Room'!$B$15-1)/2)/MAX(0.5,'Control Room'!$B$15/4))^2),1)*IF(AND($A726&gt;='Control Room'!$A$16,$A726&lt;'Control Room'!$A$16+'Control Room'!$B$16,'Process'!BT5=1),1+('Control Room'!$C$16-1)*EXP(-0.5*(($A726-'Control Room'!$A$16-('Control Room'!$B$16-1)/2)/MAX(0.5,'Control Room'!$B$16/4))^2),1)</x:f>
        <x:v>1</x:v>
      </x:c>
      <x:c r="AZ726" s="9" t="n">
        <x:f>MOD(BA725*16807,2147483647)</x:f>
        <x:v>1628244113</x:v>
      </x:c>
      <x:c r="BA726" s="9" t="n">
        <x:f>MOD(AZ726*16807,2147483647)</x:f>
        <x:v>514693470</x:v>
      </x:c>
      <x:c r="BB726" s="17" t="n">
        <x:f>IF('Control Room'!$B$5="Normal",'Control Room'!$B$7+'Control Room'!$D$7*SQRT(-2*LN(MAX(0.000000000001,AZ726/2147483647)))*COS(2*PI()*BA726/2147483647),'Control Room'!$B$8+('Control Room'!$D$8-'Control Room'!$B$8)*AZ726/2147483647)</x:f>
        <x:v>1004.3420310921321</x:v>
      </x:c>
      <x:c r="BC726" s="17" t="n">
        <x:f>IF('Control Room'!$B$5="Normal",'Control Room'!$B$7,('Control Room'!$B$8+'Control Room'!$D$8)/2)+'Control Room'!$B$9*(BC725-IF('Control Room'!$B$5="Normal",'Control Room'!$B$7,('Control Room'!$B$8+'Control Room'!$D$8)/2))+SQRT(1-'Control Room'!$B$9^2)*(BB726-IF('Control Room'!$B$5="Normal",'Control Room'!$B$7,('Control Room'!$B$8+'Control Room'!$D$8)/2))</x:f>
        <x:v>957.7691370626299</x:v>
      </x:c>
      <x:c r="BD726" s="17" t="n">
        <x:f>IF(AND($A726&gt;='Control Room'!$A$13,$A726&lt;'Control Room'!$A$13+'Control Room'!$B$13,'Process'!BU2=1),1+('Control Room'!$C$13-1)*EXP(-0.5*(($A726-'Control Room'!$A$13-('Control Room'!$B$13-1)/2)/MAX(0.5,'Control Room'!$B$13/4))^2),1)*IF(AND($A726&gt;='Control Room'!$A$14,$A726&lt;'Control Room'!$A$14+'Control Room'!$B$14,'Process'!BU3=1),1+('Control Room'!$C$14-1)*EXP(-0.5*(($A726-'Control Room'!$A$14-('Control Room'!$B$14-1)/2)/MAX(0.5,'Control Room'!$B$14/4))^2),1)*IF(AND($A726&gt;='Control Room'!$A$15,$A726&lt;'Control Room'!$A$15+'Control Room'!$B$15,'Process'!BU4=1),1+('Control Room'!$C$15-1)*EXP(-0.5*(($A726-'Control Room'!$A$15-('Control Room'!$B$15-1)/2)/MAX(0.5,'Control Room'!$B$15/4))^2),1)*IF(AND($A726&gt;='Control Room'!$A$16,$A726&lt;'Control Room'!$A$16+'Control Room'!$B$16,'Process'!BU5=1),1+('Control Room'!$C$16-1)*EXP(-0.5*(($A726-'Control Room'!$A$16-('Control Room'!$B$16-1)/2)/MAX(0.5,'Control Room'!$B$16/4))^2),1)</x:f>
        <x:v>1</x:v>
      </x:c>
      <x:c r="BE726" s="9" t="n">
        <x:f>MOD(BF725*16807,2147483647)</x:f>
        <x:v>1343019703</x:v>
      </x:c>
      <x:c r="BF726" s="9" t="n">
        <x:f>MOD(BE726*16807,2147483647)</x:f>
        <x:v>2079018351</x:v>
      </x:c>
      <x:c r="BG726" s="17" t="n">
        <x:f>IF('Control Room'!$B$5="Normal",'Control Room'!$B$7+'Control Room'!$D$7*SQRT(-2*LN(MAX(0.000000000001,BE726/2147483647)))*COS(2*PI()*BF726/2147483647),'Control Room'!$B$8+('Control Room'!$D$8-'Control Room'!$B$8)*BE726/2147483647)</x:f>
        <x:v>1085.456591433774</x:v>
      </x:c>
      <x:c r="BH726" s="17" t="n">
        <x:f>IF('Control Room'!$B$5="Normal",'Control Room'!$B$7,('Control Room'!$B$8+'Control Room'!$D$8)/2)+'Control Room'!$B$9*(BH725-IF('Control Room'!$B$5="Normal",'Control Room'!$B$7,('Control Room'!$B$8+'Control Room'!$D$8)/2))+SQRT(1-'Control Room'!$B$9^2)*(BG726-IF('Control Room'!$B$5="Normal",'Control Room'!$B$7,('Control Room'!$B$8+'Control Room'!$D$8)/2))</x:f>
        <x:v>990.5316788507533</x:v>
      </x:c>
      <x:c r="BI726" s="17" t="n">
        <x:f>IF(AND($A726&gt;='Control Room'!$A$13,$A726&lt;'Control Room'!$A$13+'Control Room'!$B$13,'Process'!BV2=1),1+('Control Room'!$C$13-1)*EXP(-0.5*(($A726-'Control Room'!$A$13-('Control Room'!$B$13-1)/2)/MAX(0.5,'Control Room'!$B$13/4))^2),1)*IF(AND($A726&gt;='Control Room'!$A$14,$A726&lt;'Control Room'!$A$14+'Control Room'!$B$14,'Process'!BV3=1),1+('Control Room'!$C$14-1)*EXP(-0.5*(($A726-'Control Room'!$A$14-('Control Room'!$B$14-1)/2)/MAX(0.5,'Control Room'!$B$14/4))^2),1)*IF(AND($A726&gt;='Control Room'!$A$15,$A726&lt;'Control Room'!$A$15+'Control Room'!$B$15,'Process'!BV4=1),1+('Control Room'!$C$15-1)*EXP(-0.5*(($A726-'Control Room'!$A$15-('Control Room'!$B$15-1)/2)/MAX(0.5,'Control Room'!$B$15/4))^2),1)*IF(AND($A726&gt;='Control Room'!$A$16,$A726&lt;'Control Room'!$A$16+'Control Room'!$B$16,'Process'!BV5=1),1+('Control Room'!$C$16-1)*EXP(-0.5*(($A726-'Control Room'!$A$16-('Control Room'!$B$16-1)/2)/MAX(0.5,'Control Room'!$B$16/4))^2),1)</x:f>
        <x:v>1</x:v>
      </x:c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Z726" t="str">
        <x:f>IF('Data'!A726="","",TEXT('Data'!A726,"mm-dd"))</x:f>
      </x:c>
    </x:row>
    <x:row r="727" ht="21" customHeight="1">
      <x:c r="A727" s="15" t="n">
        <x:f>'Control Room'!$B$1+725</x:f>
        <x:v>73716</x:v>
      </x:c>
      <x:c r="B727" s="9" t="n">
        <x:f>MOD(C726*16807,2147483647)</x:f>
        <x:v>729172714</x:v>
      </x:c>
      <x:c r="C727" s="9" t="n">
        <x:f>MOD(B727*16807,2147483647)</x:f>
        <x:v>1664114416</x:v>
      </x:c>
      <x:c r="D727" s="17" t="n">
        <x:f>IF('Control Room'!$B$5="Normal",'Control Room'!$B$7+'Control Room'!$D$7*SQRT(-2*LN(MAX(0.000000000001,B727/2147483647)))*COS(2*PI()*C727/2147483647),'Control Room'!$B$8+('Control Room'!$D$8-'Control Room'!$B$8)*B727/2147483647)</x:f>
        <x:v>1020.6224445310875</x:v>
      </x:c>
      <x:c r="E727" s="17" t="n">
        <x:f>IF('Control Room'!$B$5="Normal",'Control Room'!$B$7,('Control Room'!$B$8+'Control Room'!$D$8)/2)+'Control Room'!$B$9*(E726-IF('Control Room'!$B$5="Normal",'Control Room'!$B$7,('Control Room'!$B$8+'Control Room'!$D$8)/2))+SQRT(1-'Control Room'!$B$9^2)*(D727-IF('Control Room'!$B$5="Normal",'Control Room'!$B$7,('Control Room'!$B$8+'Control Room'!$D$8)/2))</x:f>
        <x:v>1081.3182223915376</x:v>
      </x:c>
      <x:c r="F727" s="17" t="n">
        <x:f>IF(AND($A727&gt;='Control Room'!$A$13,$A727&lt;'Control Room'!$A$13+'Control Room'!$B$13,'Process'!BK2=1),1+('Control Room'!$C$13-1)*EXP(-0.5*(($A727-'Control Room'!$A$13-('Control Room'!$B$13-1)/2)/MAX(0.5,'Control Room'!$B$13/4))^2),1)*IF(AND($A727&gt;='Control Room'!$A$14,$A727&lt;'Control Room'!$A$14+'Control Room'!$B$14,'Process'!BK3=1),1+('Control Room'!$C$14-1)*EXP(-0.5*(($A727-'Control Room'!$A$14-('Control Room'!$B$14-1)/2)/MAX(0.5,'Control Room'!$B$14/4))^2),1)*IF(AND($A727&gt;='Control Room'!$A$15,$A727&lt;'Control Room'!$A$15+'Control Room'!$B$15,'Process'!BK4=1),1+('Control Room'!$C$15-1)*EXP(-0.5*(($A727-'Control Room'!$A$15-('Control Room'!$B$15-1)/2)/MAX(0.5,'Control Room'!$B$15/4))^2),1)*IF(AND($A727&gt;='Control Room'!$A$16,$A727&lt;'Control Room'!$A$16+'Control Room'!$B$16,'Process'!BK5=1),1+('Control Room'!$C$16-1)*EXP(-0.5*(($A727-'Control Room'!$A$16-('Control Room'!$B$16-1)/2)/MAX(0.5,'Control Room'!$B$16/4))^2),1)</x:f>
        <x:v>1</x:v>
      </x:c>
      <x:c r="G727" s="9" t="n">
        <x:f>MOD(H726*16807,2147483647)</x:f>
        <x:v>695157460</x:v>
      </x:c>
      <x:c r="H727" s="9" t="n">
        <x:f>MOD(G727*16807,2147483647)</x:f>
        <x:v>1200390540</x:v>
      </x:c>
      <x:c r="I727" s="17" t="n">
        <x:f>IF('Control Room'!$B$5="Normal",'Control Room'!$B$7+'Control Room'!$D$7*SQRT(-2*LN(MAX(0.000000000001,G727/2147483647)))*COS(2*PI()*H727/2147483647),'Control Room'!$B$8+('Control Room'!$D$8-'Control Room'!$B$8)*G727/2147483647)</x:f>
        <x:v>873.9999946728577</x:v>
      </x:c>
      <x:c r="J727" s="17" t="n">
        <x:f>IF('Control Room'!$B$5="Normal",'Control Room'!$B$7,('Control Room'!$B$8+'Control Room'!$D$8)/2)+'Control Room'!$B$9*(J726-IF('Control Room'!$B$5="Normal",'Control Room'!$B$7,('Control Room'!$B$8+'Control Room'!$D$8)/2))+SQRT(1-'Control Room'!$B$9^2)*(I727-IF('Control Room'!$B$5="Normal",'Control Room'!$B$7,('Control Room'!$B$8+'Control Room'!$D$8)/2))</x:f>
        <x:v>939.779006893189</x:v>
      </x:c>
      <x:c r="K727" s="17" t="n">
        <x:f>IF(AND($A727&gt;='Control Room'!$A$13,$A727&lt;'Control Room'!$A$13+'Control Room'!$B$13,'Process'!BL2=1),1+('Control Room'!$C$13-1)*EXP(-0.5*(($A727-'Control Room'!$A$13-('Control Room'!$B$13-1)/2)/MAX(0.5,'Control Room'!$B$13/4))^2),1)*IF(AND($A727&gt;='Control Room'!$A$14,$A727&lt;'Control Room'!$A$14+'Control Room'!$B$14,'Process'!BL3=1),1+('Control Room'!$C$14-1)*EXP(-0.5*(($A727-'Control Room'!$A$14-('Control Room'!$B$14-1)/2)/MAX(0.5,'Control Room'!$B$14/4))^2),1)*IF(AND($A727&gt;='Control Room'!$A$15,$A727&lt;'Control Room'!$A$15+'Control Room'!$B$15,'Process'!BL4=1),1+('Control Room'!$C$15-1)*EXP(-0.5*(($A727-'Control Room'!$A$15-('Control Room'!$B$15-1)/2)/MAX(0.5,'Control Room'!$B$15/4))^2),1)*IF(AND($A727&gt;='Control Room'!$A$16,$A727&lt;'Control Room'!$A$16+'Control Room'!$B$16,'Process'!BL5=1),1+('Control Room'!$C$16-1)*EXP(-0.5*(($A727-'Control Room'!$A$16-('Control Room'!$B$16-1)/2)/MAX(0.5,'Control Room'!$B$16/4))^2),1)</x:f>
        <x:v>1</x:v>
      </x:c>
      <x:c r="L727" s="9" t="n">
        <x:f>MOD(M726*16807,2147483647)</x:f>
        <x:v>661142206</x:v>
      </x:c>
      <x:c r="M727" s="9" t="n">
        <x:f>MOD(L727*16807,2147483647)</x:f>
        <x:v>736666664</x:v>
      </x:c>
      <x:c r="N727" s="17" t="n">
        <x:f>IF('Control Room'!$B$5="Normal",'Control Room'!$B$7+'Control Room'!$D$7*SQRT(-2*LN(MAX(0.000000000001,L727/2147483647)))*COS(2*PI()*M727/2147483647),'Control Room'!$B$8+('Control Room'!$D$8-'Control Room'!$B$8)*L727/2147483647)</x:f>
        <x:v>923.7641822644546</x:v>
      </x:c>
      <x:c r="O727" s="17" t="n">
        <x:f>IF('Control Room'!$B$5="Normal",'Control Room'!$B$7,('Control Room'!$B$8+'Control Room'!$D$8)/2)+'Control Room'!$B$9*(O726-IF('Control Room'!$B$5="Normal",'Control Room'!$B$7,('Control Room'!$B$8+'Control Room'!$D$8)/2))+SQRT(1-'Control Room'!$B$9^2)*(N727-IF('Control Room'!$B$5="Normal",'Control Room'!$B$7,('Control Room'!$B$8+'Control Room'!$D$8)/2))</x:f>
        <x:v>865.1077275699755</x:v>
      </x:c>
      <x:c r="P727" s="17" t="n">
        <x:f>IF(AND($A727&gt;='Control Room'!$A$13,$A727&lt;'Control Room'!$A$13+'Control Room'!$B$13,'Process'!BM2=1),1+('Control Room'!$C$13-1)*EXP(-0.5*(($A727-'Control Room'!$A$13-('Control Room'!$B$13-1)/2)/MAX(0.5,'Control Room'!$B$13/4))^2),1)*IF(AND($A727&gt;='Control Room'!$A$14,$A727&lt;'Control Room'!$A$14+'Control Room'!$B$14,'Process'!BM3=1),1+('Control Room'!$C$14-1)*EXP(-0.5*(($A727-'Control Room'!$A$14-('Control Room'!$B$14-1)/2)/MAX(0.5,'Control Room'!$B$14/4))^2),1)*IF(AND($A727&gt;='Control Room'!$A$15,$A727&lt;'Control Room'!$A$15+'Control Room'!$B$15,'Process'!BM4=1),1+('Control Room'!$C$15-1)*EXP(-0.5*(($A727-'Control Room'!$A$15-('Control Room'!$B$15-1)/2)/MAX(0.5,'Control Room'!$B$15/4))^2),1)*IF(AND($A727&gt;='Control Room'!$A$16,$A727&lt;'Control Room'!$A$16+'Control Room'!$B$16,'Process'!BM5=1),1+('Control Room'!$C$16-1)*EXP(-0.5*(($A727-'Control Room'!$A$16-('Control Room'!$B$16-1)/2)/MAX(0.5,'Control Room'!$B$16/4))^2),1)</x:f>
        <x:v>1</x:v>
      </x:c>
      <x:c r="Q727" s="9" t="n">
        <x:f>MOD(R726*16807,2147483647)</x:f>
        <x:v>627126952</x:v>
      </x:c>
      <x:c r="R727" s="9" t="n">
        <x:f>MOD(Q727*16807,2147483647)</x:f>
        <x:v>272942788</x:v>
      </x:c>
      <x:c r="S727" s="17" t="n">
        <x:f>IF('Control Room'!$B$5="Normal",'Control Room'!$B$7+'Control Room'!$D$7*SQRT(-2*LN(MAX(0.000000000001,Q727/2147483647)))*COS(2*PI()*R727/2147483647),'Control Room'!$B$8+('Control Room'!$D$8-'Control Room'!$B$8)*Q727/2147483647)</x:f>
        <x:v>1098.5260056980394</x:v>
      </x:c>
      <x:c r="T727" s="17" t="n">
        <x:f>IF('Control Room'!$B$5="Normal",'Control Room'!$B$7,('Control Room'!$B$8+'Control Room'!$D$8)/2)+'Control Room'!$B$9*(T726-IF('Control Room'!$B$5="Normal",'Control Room'!$B$7,('Control Room'!$B$8+'Control Room'!$D$8)/2))+SQRT(1-'Control Room'!$B$9^2)*(S727-IF('Control Room'!$B$5="Normal",'Control Room'!$B$7,('Control Room'!$B$8+'Control Room'!$D$8)/2))</x:f>
        <x:v>1079.6000902488704</x:v>
      </x:c>
      <x:c r="U727" s="17" t="n">
        <x:f>IF(AND($A727&gt;='Control Room'!$A$13,$A727&lt;'Control Room'!$A$13+'Control Room'!$B$13,'Process'!BN2=1),1+('Control Room'!$C$13-1)*EXP(-0.5*(($A727-'Control Room'!$A$13-('Control Room'!$B$13-1)/2)/MAX(0.5,'Control Room'!$B$13/4))^2),1)*IF(AND($A727&gt;='Control Room'!$A$14,$A727&lt;'Control Room'!$A$14+'Control Room'!$B$14,'Process'!BN3=1),1+('Control Room'!$C$14-1)*EXP(-0.5*(($A727-'Control Room'!$A$14-('Control Room'!$B$14-1)/2)/MAX(0.5,'Control Room'!$B$14/4))^2),1)*IF(AND($A727&gt;='Control Room'!$A$15,$A727&lt;'Control Room'!$A$15+'Control Room'!$B$15,'Process'!BN4=1),1+('Control Room'!$C$15-1)*EXP(-0.5*(($A727-'Control Room'!$A$15-('Control Room'!$B$15-1)/2)/MAX(0.5,'Control Room'!$B$15/4))^2),1)*IF(AND($A727&gt;='Control Room'!$A$16,$A727&lt;'Control Room'!$A$16+'Control Room'!$B$16,'Process'!BN5=1),1+('Control Room'!$C$16-1)*EXP(-0.5*(($A727-'Control Room'!$A$16-('Control Room'!$B$16-1)/2)/MAX(0.5,'Control Room'!$B$16/4))^2),1)</x:f>
        <x:v>1</x:v>
      </x:c>
      <x:c r="V727" s="9" t="n">
        <x:f>MOD(W726*16807,2147483647)</x:f>
        <x:v>593111698</x:v>
      </x:c>
      <x:c r="W727" s="9" t="n">
        <x:f>MOD(V727*16807,2147483647)</x:f>
        <x:v>1956702559</x:v>
      </x:c>
      <x:c r="X727" s="17" t="n">
        <x:f>IF('Control Room'!$B$5="Normal",'Control Room'!$B$7+'Control Room'!$D$7*SQRT(-2*LN(MAX(0.000000000001,V727/2147483647)))*COS(2*PI()*W727/2147483647),'Control Room'!$B$8+('Control Room'!$D$8-'Control Room'!$B$8)*V727/2147483647)</x:f>
        <x:v>1122.4604555717747</x:v>
      </x:c>
      <x:c r="Y727" s="17" t="n">
        <x:f>IF('Control Room'!$B$5="Normal",'Control Room'!$B$7,('Control Room'!$B$8+'Control Room'!$D$8)/2)+'Control Room'!$B$9*(Y726-IF('Control Room'!$B$5="Normal",'Control Room'!$B$7,('Control Room'!$B$8+'Control Room'!$D$8)/2))+SQRT(1-'Control Room'!$B$9^2)*(X727-IF('Control Room'!$B$5="Normal",'Control Room'!$B$7,('Control Room'!$B$8+'Control Room'!$D$8)/2))</x:f>
        <x:v>1104.6003843840813</x:v>
      </x:c>
      <x:c r="Z727" s="17" t="n">
        <x:f>IF(AND($A727&gt;='Control Room'!$A$13,$A727&lt;'Control Room'!$A$13+'Control Room'!$B$13,'Process'!BO2=1),1+('Control Room'!$C$13-1)*EXP(-0.5*(($A727-'Control Room'!$A$13-('Control Room'!$B$13-1)/2)/MAX(0.5,'Control Room'!$B$13/4))^2),1)*IF(AND($A727&gt;='Control Room'!$A$14,$A727&lt;'Control Room'!$A$14+'Control Room'!$B$14,'Process'!BO3=1),1+('Control Room'!$C$14-1)*EXP(-0.5*(($A727-'Control Room'!$A$14-('Control Room'!$B$14-1)/2)/MAX(0.5,'Control Room'!$B$14/4))^2),1)*IF(AND($A727&gt;='Control Room'!$A$15,$A727&lt;'Control Room'!$A$15+'Control Room'!$B$15,'Process'!BO4=1),1+('Control Room'!$C$15-1)*EXP(-0.5*(($A727-'Control Room'!$A$15-('Control Room'!$B$15-1)/2)/MAX(0.5,'Control Room'!$B$15/4))^2),1)*IF(AND($A727&gt;='Control Room'!$A$16,$A727&lt;'Control Room'!$A$16+'Control Room'!$B$16,'Process'!BO5=1),1+('Control Room'!$C$16-1)*EXP(-0.5*(($A727-'Control Room'!$A$16-('Control Room'!$B$16-1)/2)/MAX(0.5,'Control Room'!$B$16/4))^2),1)</x:f>
        <x:v>1</x:v>
      </x:c>
      <x:c r="AA727" s="9" t="n">
        <x:f>MOD(AB726*16807,2147483647)</x:f>
        <x:v>559096444</x:v>
      </x:c>
      <x:c r="AB727" s="9" t="n">
        <x:f>MOD(AA727*16807,2147483647)</x:f>
        <x:v>1492978683</x:v>
      </x:c>
      <x:c r="AC727" s="17" t="n">
        <x:f>IF('Control Room'!$B$5="Normal",'Control Room'!$B$7+'Control Room'!$D$7*SQRT(-2*LN(MAX(0.000000000001,AA727/2147483647)))*COS(2*PI()*AB727/2147483647),'Control Room'!$B$8+('Control Room'!$D$8-'Control Room'!$B$8)*AA727/2147483647)</x:f>
        <x:v>950.1791514955872</x:v>
      </x:c>
      <x:c r="AD727" s="17" t="n">
        <x:f>IF('Control Room'!$B$5="Normal",'Control Room'!$B$7,('Control Room'!$B$8+'Control Room'!$D$8)/2)+'Control Room'!$B$9*(AD726-IF('Control Room'!$B$5="Normal",'Control Room'!$B$7,('Control Room'!$B$8+'Control Room'!$D$8)/2))+SQRT(1-'Control Room'!$B$9^2)*(AC727-IF('Control Room'!$B$5="Normal",'Control Room'!$B$7,('Control Room'!$B$8+'Control Room'!$D$8)/2))</x:f>
        <x:v>938.3700429684283</x:v>
      </x:c>
      <x:c r="AE727" s="17" t="n">
        <x:f>IF(AND($A727&gt;='Control Room'!$A$13,$A727&lt;'Control Room'!$A$13+'Control Room'!$B$13,'Process'!BP2=1),1+('Control Room'!$C$13-1)*EXP(-0.5*(($A727-'Control Room'!$A$13-('Control Room'!$B$13-1)/2)/MAX(0.5,'Control Room'!$B$13/4))^2),1)*IF(AND($A727&gt;='Control Room'!$A$14,$A727&lt;'Control Room'!$A$14+'Control Room'!$B$14,'Process'!BP3=1),1+('Control Room'!$C$14-1)*EXP(-0.5*(($A727-'Control Room'!$A$14-('Control Room'!$B$14-1)/2)/MAX(0.5,'Control Room'!$B$14/4))^2),1)*IF(AND($A727&gt;='Control Room'!$A$15,$A727&lt;'Control Room'!$A$15+'Control Room'!$B$15,'Process'!BP4=1),1+('Control Room'!$C$15-1)*EXP(-0.5*(($A727-'Control Room'!$A$15-('Control Room'!$B$15-1)/2)/MAX(0.5,'Control Room'!$B$15/4))^2),1)*IF(AND($A727&gt;='Control Room'!$A$16,$A727&lt;'Control Room'!$A$16+'Control Room'!$B$16,'Process'!BP5=1),1+('Control Room'!$C$16-1)*EXP(-0.5*(($A727-'Control Room'!$A$16-('Control Room'!$B$16-1)/2)/MAX(0.5,'Control Room'!$B$16/4))^2),1)</x:f>
        <x:v>1</x:v>
      </x:c>
      <x:c r="AF727" s="9" t="n">
        <x:f>MOD(AG726*16807,2147483647)</x:f>
        <x:v>525081190</x:v>
      </x:c>
      <x:c r="AG727" s="9" t="n">
        <x:f>MOD(AF727*16807,2147483647)</x:f>
        <x:v>1029254807</x:v>
      </x:c>
      <x:c r="AH727" s="17" t="n">
        <x:f>IF('Control Room'!$B$5="Normal",'Control Room'!$B$7+'Control Room'!$D$7*SQRT(-2*LN(MAX(0.000000000001,AF727/2147483647)))*COS(2*PI()*AG727/2147483647),'Control Room'!$B$8+('Control Room'!$D$8-'Control Room'!$B$8)*AF727/2147483647)</x:f>
        <x:v>850.2225471492359</x:v>
      </x:c>
      <x:c r="AI727" s="17" t="n">
        <x:f>IF('Control Room'!$B$5="Normal",'Control Room'!$B$7,('Control Room'!$B$8+'Control Room'!$D$8)/2)+'Control Room'!$B$9*(AI726-IF('Control Room'!$B$5="Normal",'Control Room'!$B$7,('Control Room'!$B$8+'Control Room'!$D$8)/2))+SQRT(1-'Control Room'!$B$9^2)*(AH727-IF('Control Room'!$B$5="Normal",'Control Room'!$B$7,('Control Room'!$B$8+'Control Room'!$D$8)/2))</x:f>
        <x:v>945.9237195161725</x:v>
      </x:c>
      <x:c r="AJ727" s="17" t="n">
        <x:f>IF(AND($A727&gt;='Control Room'!$A$13,$A727&lt;'Control Room'!$A$13+'Control Room'!$B$13,'Process'!BQ2=1),1+('Control Room'!$C$13-1)*EXP(-0.5*(($A727-'Control Room'!$A$13-('Control Room'!$B$13-1)/2)/MAX(0.5,'Control Room'!$B$13/4))^2),1)*IF(AND($A727&gt;='Control Room'!$A$14,$A727&lt;'Control Room'!$A$14+'Control Room'!$B$14,'Process'!BQ3=1),1+('Control Room'!$C$14-1)*EXP(-0.5*(($A727-'Control Room'!$A$14-('Control Room'!$B$14-1)/2)/MAX(0.5,'Control Room'!$B$14/4))^2),1)*IF(AND($A727&gt;='Control Room'!$A$15,$A727&lt;'Control Room'!$A$15+'Control Room'!$B$15,'Process'!BQ4=1),1+('Control Room'!$C$15-1)*EXP(-0.5*(($A727-'Control Room'!$A$15-('Control Room'!$B$15-1)/2)/MAX(0.5,'Control Room'!$B$15/4))^2),1)*IF(AND($A727&gt;='Control Room'!$A$16,$A727&lt;'Control Room'!$A$16+'Control Room'!$B$16,'Process'!BQ5=1),1+('Control Room'!$C$16-1)*EXP(-0.5*(($A727-'Control Room'!$A$16-('Control Room'!$B$16-1)/2)/MAX(0.5,'Control Room'!$B$16/4))^2),1)</x:f>
        <x:v>1</x:v>
      </x:c>
      <x:c r="AK727" s="9" t="n">
        <x:f>MOD(AL726*16807,2147483647)</x:f>
        <x:v>491065936</x:v>
      </x:c>
      <x:c r="AL727" s="9" t="n">
        <x:f>MOD(AK727*16807,2147483647)</x:f>
        <x:v>565530931</x:v>
      </x:c>
      <x:c r="AM727" s="17" t="n">
        <x:f>IF('Control Room'!$B$5="Normal",'Control Room'!$B$7+'Control Room'!$D$7*SQRT(-2*LN(MAX(0.000000000001,AK727/2147483647)))*COS(2*PI()*AL727/2147483647),'Control Room'!$B$8+('Control Room'!$D$8-'Control Room'!$B$8)*AK727/2147483647)</x:f>
        <x:v>987.0508687722782</x:v>
      </x:c>
      <x:c r="AN727" s="17" t="n">
        <x:f>IF('Control Room'!$B$5="Normal",'Control Room'!$B$7,('Control Room'!$B$8+'Control Room'!$D$8)/2)+'Control Room'!$B$9*(AN726-IF('Control Room'!$B$5="Normal",'Control Room'!$B$7,('Control Room'!$B$8+'Control Room'!$D$8)/2))+SQRT(1-'Control Room'!$B$9^2)*(AM727-IF('Control Room'!$B$5="Normal",'Control Room'!$B$7,('Control Room'!$B$8+'Control Room'!$D$8)/2))</x:f>
        <x:v>1073.7964401951751</x:v>
      </x:c>
      <x:c r="AO727" s="17" t="n">
        <x:f>IF(AND($A727&gt;='Control Room'!$A$13,$A727&lt;'Control Room'!$A$13+'Control Room'!$B$13,'Process'!BR2=1),1+('Control Room'!$C$13-1)*EXP(-0.5*(($A727-'Control Room'!$A$13-('Control Room'!$B$13-1)/2)/MAX(0.5,'Control Room'!$B$13/4))^2),1)*IF(AND($A727&gt;='Control Room'!$A$14,$A727&lt;'Control Room'!$A$14+'Control Room'!$B$14,'Process'!BR3=1),1+('Control Room'!$C$14-1)*EXP(-0.5*(($A727-'Control Room'!$A$14-('Control Room'!$B$14-1)/2)/MAX(0.5,'Control Room'!$B$14/4))^2),1)*IF(AND($A727&gt;='Control Room'!$A$15,$A727&lt;'Control Room'!$A$15+'Control Room'!$B$15,'Process'!BR4=1),1+('Control Room'!$C$15-1)*EXP(-0.5*(($A727-'Control Room'!$A$15-('Control Room'!$B$15-1)/2)/MAX(0.5,'Control Room'!$B$15/4))^2),1)*IF(AND($A727&gt;='Control Room'!$A$16,$A727&lt;'Control Room'!$A$16+'Control Room'!$B$16,'Process'!BR5=1),1+('Control Room'!$C$16-1)*EXP(-0.5*(($A727-'Control Room'!$A$16-('Control Room'!$B$16-1)/2)/MAX(0.5,'Control Room'!$B$16/4))^2),1)</x:f>
        <x:v>1</x:v>
      </x:c>
      <x:c r="AP727" s="9" t="n">
        <x:f>MOD(AQ726*16807,2147483647)</x:f>
        <x:v>457050682</x:v>
      </x:c>
      <x:c r="AQ727" s="9" t="n">
        <x:f>MOD(AP727*16807,2147483647)</x:f>
        <x:v>101807055</x:v>
      </x:c>
      <x:c r="AR727" s="17" t="n">
        <x:f>IF('Control Room'!$B$5="Normal",'Control Room'!$B$7+'Control Room'!$D$7*SQRT(-2*LN(MAX(0.000000000001,AP727/2147483647)))*COS(2*PI()*AQ727/2147483647),'Control Room'!$B$8+('Control Room'!$D$8-'Control Room'!$B$8)*AP727/2147483647)</x:f>
        <x:v>1151.3492164503346</x:v>
      </x:c>
      <x:c r="AS727" s="17" t="n">
        <x:f>IF('Control Room'!$B$5="Normal",'Control Room'!$B$7,('Control Room'!$B$8+'Control Room'!$D$8)/2)+'Control Room'!$B$9*(AS726-IF('Control Room'!$B$5="Normal",'Control Room'!$B$7,('Control Room'!$B$8+'Control Room'!$D$8)/2))+SQRT(1-'Control Room'!$B$9^2)*(AR727-IF('Control Room'!$B$5="Normal",'Control Room'!$B$7,('Control Room'!$B$8+'Control Room'!$D$8)/2))</x:f>
        <x:v>1200.7020316807234</x:v>
      </x:c>
      <x:c r="AT727" s="17" t="n">
        <x:f>IF(AND($A727&gt;='Control Room'!$A$13,$A727&lt;'Control Room'!$A$13+'Control Room'!$B$13,'Process'!BS2=1),1+('Control Room'!$C$13-1)*EXP(-0.5*(($A727-'Control Room'!$A$13-('Control Room'!$B$13-1)/2)/MAX(0.5,'Control Room'!$B$13/4))^2),1)*IF(AND($A727&gt;='Control Room'!$A$14,$A727&lt;'Control Room'!$A$14+'Control Room'!$B$14,'Process'!BS3=1),1+('Control Room'!$C$14-1)*EXP(-0.5*(($A727-'Control Room'!$A$14-('Control Room'!$B$14-1)/2)/MAX(0.5,'Control Room'!$B$14/4))^2),1)*IF(AND($A727&gt;='Control Room'!$A$15,$A727&lt;'Control Room'!$A$15+'Control Room'!$B$15,'Process'!BS4=1),1+('Control Room'!$C$15-1)*EXP(-0.5*(($A727-'Control Room'!$A$15-('Control Room'!$B$15-1)/2)/MAX(0.5,'Control Room'!$B$15/4))^2),1)*IF(AND($A727&gt;='Control Room'!$A$16,$A727&lt;'Control Room'!$A$16+'Control Room'!$B$16,'Process'!BS5=1),1+('Control Room'!$C$16-1)*EXP(-0.5*(($A727-'Control Room'!$A$16-('Control Room'!$B$16-1)/2)/MAX(0.5,'Control Room'!$B$16/4))^2),1)</x:f>
        <x:v>1</x:v>
      </x:c>
      <x:c r="AU727" s="9" t="n">
        <x:f>MOD(AV726*16807,2147483647)</x:f>
        <x:v>423035428</x:v>
      </x:c>
      <x:c r="AV727" s="9" t="n">
        <x:f>MOD(AU727*16807,2147483647)</x:f>
        <x:v>1785566826</x:v>
      </x:c>
      <x:c r="AW727" s="17" t="n">
        <x:f>IF('Control Room'!$B$5="Normal",'Control Room'!$B$7+'Control Room'!$D$7*SQRT(-2*LN(MAX(0.000000000001,AU727/2147483647)))*COS(2*PI()*AV727/2147483647),'Control Room'!$B$8+('Control Room'!$D$8-'Control Room'!$B$8)*AU727/2147483647)</x:f>
        <x:v>1079.4638508392636</x:v>
      </x:c>
      <x:c r="AX727" s="17" t="n">
        <x:f>IF('Control Room'!$B$5="Normal",'Control Room'!$B$7,('Control Room'!$B$8+'Control Room'!$D$8)/2)+'Control Room'!$B$9*(AX726-IF('Control Room'!$B$5="Normal",'Control Room'!$B$7,('Control Room'!$B$8+'Control Room'!$D$8)/2))+SQRT(1-'Control Room'!$B$9^2)*(AW727-IF('Control Room'!$B$5="Normal",'Control Room'!$B$7,('Control Room'!$B$8+'Control Room'!$D$8)/2))</x:f>
        <x:v>1064.3733749148387</x:v>
      </x:c>
      <x:c r="AY727" s="17" t="n">
        <x:f>IF(AND($A727&gt;='Control Room'!$A$13,$A727&lt;'Control Room'!$A$13+'Control Room'!$B$13,'Process'!BT2=1),1+('Control Room'!$C$13-1)*EXP(-0.5*(($A727-'Control Room'!$A$13-('Control Room'!$B$13-1)/2)/MAX(0.5,'Control Room'!$B$13/4))^2),1)*IF(AND($A727&gt;='Control Room'!$A$14,$A727&lt;'Control Room'!$A$14+'Control Room'!$B$14,'Process'!BT3=1),1+('Control Room'!$C$14-1)*EXP(-0.5*(($A727-'Control Room'!$A$14-('Control Room'!$B$14-1)/2)/MAX(0.5,'Control Room'!$B$14/4))^2),1)*IF(AND($A727&gt;='Control Room'!$A$15,$A727&lt;'Control Room'!$A$15+'Control Room'!$B$15,'Process'!BT4=1),1+('Control Room'!$C$15-1)*EXP(-0.5*(($A727-'Control Room'!$A$15-('Control Room'!$B$15-1)/2)/MAX(0.5,'Control Room'!$B$15/4))^2),1)*IF(AND($A727&gt;='Control Room'!$A$16,$A727&lt;'Control Room'!$A$16+'Control Room'!$B$16,'Process'!BT5=1),1+('Control Room'!$C$16-1)*EXP(-0.5*(($A727-'Control Room'!$A$16-('Control Room'!$B$16-1)/2)/MAX(0.5,'Control Room'!$B$16/4))^2),1)</x:f>
        <x:v>1</x:v>
      </x:c>
      <x:c r="AZ727" s="9" t="n">
        <x:f>MOD(BA726*16807,2147483647)</x:f>
        <x:v>389020174</x:v>
      </x:c>
      <x:c r="BA727" s="9" t="n">
        <x:f>MOD(AZ727*16807,2147483647)</x:f>
        <x:v>1321842950</x:v>
      </x:c>
      <x:c r="BB727" s="17" t="n">
        <x:f>IF('Control Room'!$B$5="Normal",'Control Room'!$B$7+'Control Room'!$D$7*SQRT(-2*LN(MAX(0.000000000001,AZ727/2147483647)))*COS(2*PI()*BA727/2147483647),'Control Room'!$B$8+('Control Room'!$D$8-'Control Room'!$B$8)*AZ727/2147483647)</x:f>
        <x:v>875.577606286257</x:v>
      </x:c>
      <x:c r="BC727" s="17" t="n">
        <x:f>IF('Control Room'!$B$5="Normal",'Control Room'!$B$7,('Control Room'!$B$8+'Control Room'!$D$8)/2)+'Control Room'!$B$9*(BC726-IF('Control Room'!$B$5="Normal",'Control Room'!$B$7,('Control Room'!$B$8+'Control Room'!$D$8)/2))+SQRT(1-'Control Room'!$B$9^2)*(BB727-IF('Control Room'!$B$5="Normal",'Control Room'!$B$7,('Control Room'!$B$8+'Control Room'!$D$8)/2))</x:f>
        <x:v>889.1989418540729</x:v>
      </x:c>
      <x:c r="BD727" s="17" t="n">
        <x:f>IF(AND($A727&gt;='Control Room'!$A$13,$A727&lt;'Control Room'!$A$13+'Control Room'!$B$13,'Process'!BU2=1),1+('Control Room'!$C$13-1)*EXP(-0.5*(($A727-'Control Room'!$A$13-('Control Room'!$B$13-1)/2)/MAX(0.5,'Control Room'!$B$13/4))^2),1)*IF(AND($A727&gt;='Control Room'!$A$14,$A727&lt;'Control Room'!$A$14+'Control Room'!$B$14,'Process'!BU3=1),1+('Control Room'!$C$14-1)*EXP(-0.5*(($A727-'Control Room'!$A$14-('Control Room'!$B$14-1)/2)/MAX(0.5,'Control Room'!$B$14/4))^2),1)*IF(AND($A727&gt;='Control Room'!$A$15,$A727&lt;'Control Room'!$A$15+'Control Room'!$B$15,'Process'!BU4=1),1+('Control Room'!$C$15-1)*EXP(-0.5*(($A727-'Control Room'!$A$15-('Control Room'!$B$15-1)/2)/MAX(0.5,'Control Room'!$B$15/4))^2),1)*IF(AND($A727&gt;='Control Room'!$A$16,$A727&lt;'Control Room'!$A$16+'Control Room'!$B$16,'Process'!BU5=1),1+('Control Room'!$C$16-1)*EXP(-0.5*(($A727-'Control Room'!$A$16-('Control Room'!$B$16-1)/2)/MAX(0.5,'Control Room'!$B$16/4))^2),1)</x:f>
        <x:v>1</x:v>
      </x:c>
      <x:c r="BE727" s="9" t="n">
        <x:f>MOD(BF726*16807,2147483647)</x:f>
        <x:v>355004920</x:v>
      </x:c>
      <x:c r="BF727" s="9" t="n">
        <x:f>MOD(BE727*16807,2147483647)</x:f>
        <x:v>858119074</x:v>
      </x:c>
      <x:c r="BG727" s="17" t="n">
        <x:f>IF('Control Room'!$B$5="Normal",'Control Room'!$B$7+'Control Room'!$D$7*SQRT(-2*LN(MAX(0.000000000001,BE727/2147483647)))*COS(2*PI()*BF727/2147483647),'Control Room'!$B$8+('Control Room'!$D$8-'Control Room'!$B$8)*BE727/2147483647)</x:f>
        <x:v>862.1101195846271</x:v>
      </x:c>
      <x:c r="BH727" s="17" t="n">
        <x:f>IF('Control Room'!$B$5="Normal",'Control Room'!$B$7,('Control Room'!$B$8+'Control Room'!$D$8)/2)+'Control Room'!$B$9*(BH726-IF('Control Room'!$B$5="Normal",'Control Room'!$B$7,('Control Room'!$B$8+'Control Room'!$D$8)/2))+SQRT(1-'Control Room'!$B$9^2)*(BG727-IF('Control Room'!$B$5="Normal",'Control Room'!$B$7,('Control Room'!$B$8+'Control Room'!$D$8)/2))</x:f>
        <x:v>906.3260471673907</x:v>
      </x:c>
      <x:c r="BI727" s="17" t="n">
        <x:f>IF(AND($A727&gt;='Control Room'!$A$13,$A727&lt;'Control Room'!$A$13+'Control Room'!$B$13,'Process'!BV2=1),1+('Control Room'!$C$13-1)*EXP(-0.5*(($A727-'Control Room'!$A$13-('Control Room'!$B$13-1)/2)/MAX(0.5,'Control Room'!$B$13/4))^2),1)*IF(AND($A727&gt;='Control Room'!$A$14,$A727&lt;'Control Room'!$A$14+'Control Room'!$B$14,'Process'!BV3=1),1+('Control Room'!$C$14-1)*EXP(-0.5*(($A727-'Control Room'!$A$14-('Control Room'!$B$14-1)/2)/MAX(0.5,'Control Room'!$B$14/4))^2),1)*IF(AND($A727&gt;='Control Room'!$A$15,$A727&lt;'Control Room'!$A$15+'Control Room'!$B$15,'Process'!BV4=1),1+('Control Room'!$C$15-1)*EXP(-0.5*(($A727-'Control Room'!$A$15-('Control Room'!$B$15-1)/2)/MAX(0.5,'Control Room'!$B$15/4))^2),1)*IF(AND($A727&gt;='Control Room'!$A$16,$A727&lt;'Control Room'!$A$16+'Control Room'!$B$16,'Process'!BV5=1),1+('Control Room'!$C$16-1)*EXP(-0.5*(($A727-'Control Room'!$A$16-('Control Room'!$B$16-1)/2)/MAX(0.5,'Control Room'!$B$16/4))^2),1)</x:f>
        <x:v>1</x:v>
      </x:c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Z727" t="str">
        <x:f>IF('Data'!A727="","",TEXT('Data'!A727,"mm-dd"))</x:f>
      </x:c>
    </x:row>
    <x:row r="728" ht="21" customHeight="1">
      <x:c r="A728" s="15" t="n">
        <x:f>'Control Room'!$B$1+726</x:f>
        <x:v>73717</x:v>
      </x:c>
      <x:c r="B728" s="9" t="n">
        <x:f>MOD(C727*16807,2147483647)</x:f>
        <x:v>2091454831</x:v>
      </x:c>
      <x:c r="C728" s="9" t="n">
        <x:f>MOD(B728*16807,2147483647)</x:f>
        <x:v>1069010521</x:v>
      </x:c>
      <x:c r="D728" s="17" t="n">
        <x:f>IF('Control Room'!$B$5="Normal",'Control Room'!$B$7+'Control Room'!$D$7*SQRT(-2*LN(MAX(0.000000000001,B728/2147483647)))*COS(2*PI()*C728/2147483647),'Control Room'!$B$8+('Control Room'!$D$8-'Control Room'!$B$8)*B728/2147483647)</x:f>
        <x:v>979.3071311863308</x:v>
      </x:c>
      <x:c r="E728" s="17" t="n">
        <x:f>IF('Control Room'!$B$5="Normal",'Control Room'!$B$7,('Control Room'!$B$8+'Control Room'!$D$8)/2)+'Control Room'!$B$9*(E727-IF('Control Room'!$B$5="Normal",'Control Room'!$B$7,('Control Room'!$B$8+'Control Room'!$D$8)/2))+SQRT(1-'Control Room'!$B$9^2)*(D728-IF('Control Room'!$B$5="Normal",'Control Room'!$B$7,('Control Room'!$B$8+'Control Room'!$D$8)/2))</x:f>
        <x:v>1050.4790400782647</x:v>
      </x:c>
      <x:c r="F728" s="17" t="n">
        <x:f>IF(AND($A728&gt;='Control Room'!$A$13,$A728&lt;'Control Room'!$A$13+'Control Room'!$B$13,'Process'!BK2=1),1+('Control Room'!$C$13-1)*EXP(-0.5*(($A728-'Control Room'!$A$13-('Control Room'!$B$13-1)/2)/MAX(0.5,'Control Room'!$B$13/4))^2),1)*IF(AND($A728&gt;='Control Room'!$A$14,$A728&lt;'Control Room'!$A$14+'Control Room'!$B$14,'Process'!BK3=1),1+('Control Room'!$C$14-1)*EXP(-0.5*(($A728-'Control Room'!$A$14-('Control Room'!$B$14-1)/2)/MAX(0.5,'Control Room'!$B$14/4))^2),1)*IF(AND($A728&gt;='Control Room'!$A$15,$A728&lt;'Control Room'!$A$15+'Control Room'!$B$15,'Process'!BK4=1),1+('Control Room'!$C$15-1)*EXP(-0.5*(($A728-'Control Room'!$A$15-('Control Room'!$B$15-1)/2)/MAX(0.5,'Control Room'!$B$15/4))^2),1)*IF(AND($A728&gt;='Control Room'!$A$16,$A728&lt;'Control Room'!$A$16+'Control Room'!$B$16,'Process'!BK5=1),1+('Control Room'!$C$16-1)*EXP(-0.5*(($A728-'Control Room'!$A$16-('Control Room'!$B$16-1)/2)/MAX(0.5,'Control Room'!$B$16/4))^2),1)</x:f>
        <x:v>1</x:v>
      </x:c>
      <x:c r="G728" s="9" t="n">
        <x:f>MOD(H727*16807,2147483647)</x:f>
        <x:v>1502425862</x:v>
      </x:c>
      <x:c r="H728" s="9" t="n">
        <x:f>MOD(G728*16807,2147483647)</x:f>
        <x:v>1158741208</x:v>
      </x:c>
      <x:c r="I728" s="17" t="n">
        <x:f>IF('Control Room'!$B$5="Normal",'Control Room'!$B$7+'Control Room'!$D$7*SQRT(-2*LN(MAX(0.000000000001,G728/2147483647)))*COS(2*PI()*H728/2147483647),'Control Room'!$B$8+('Control Room'!$D$8-'Control Room'!$B$8)*G728/2147483647)</x:f>
        <x:v>926.2687302848789</x:v>
      </x:c>
      <x:c r="J728" s="17" t="n">
        <x:f>IF('Control Room'!$B$5="Normal",'Control Room'!$B$7,('Control Room'!$B$8+'Control Room'!$D$8)/2)+'Control Room'!$B$9*(J727-IF('Control Room'!$B$5="Normal",'Control Room'!$B$7,('Control Room'!$B$8+'Control Room'!$D$8)/2))+SQRT(1-'Control Room'!$B$9^2)*(I728-IF('Control Room'!$B$5="Normal",'Control Room'!$B$7,('Control Room'!$B$8+'Control Room'!$D$8)/2))</x:f>
        <x:v>906.888107256126</x:v>
      </x:c>
      <x:c r="K728" s="17" t="n">
        <x:f>IF(AND($A728&gt;='Control Room'!$A$13,$A728&lt;'Control Room'!$A$13+'Control Room'!$B$13,'Process'!BL2=1),1+('Control Room'!$C$13-1)*EXP(-0.5*(($A728-'Control Room'!$A$13-('Control Room'!$B$13-1)/2)/MAX(0.5,'Control Room'!$B$13/4))^2),1)*IF(AND($A728&gt;='Control Room'!$A$14,$A728&lt;'Control Room'!$A$14+'Control Room'!$B$14,'Process'!BL3=1),1+('Control Room'!$C$14-1)*EXP(-0.5*(($A728-'Control Room'!$A$14-('Control Room'!$B$14-1)/2)/MAX(0.5,'Control Room'!$B$14/4))^2),1)*IF(AND($A728&gt;='Control Room'!$A$15,$A728&lt;'Control Room'!$A$15+'Control Room'!$B$15,'Process'!BL4=1),1+('Control Room'!$C$15-1)*EXP(-0.5*(($A728-'Control Room'!$A$15-('Control Room'!$B$15-1)/2)/MAX(0.5,'Control Room'!$B$15/4))^2),1)*IF(AND($A728&gt;='Control Room'!$A$16,$A728&lt;'Control Room'!$A$16+'Control Room'!$B$16,'Process'!BL5=1),1+('Control Room'!$C$16-1)*EXP(-0.5*(($A728-'Control Room'!$A$16-('Control Room'!$B$16-1)/2)/MAX(0.5,'Control Room'!$B$16/4))^2),1)</x:f>
        <x:v>1</x:v>
      </x:c>
      <x:c r="L728" s="9" t="n">
        <x:f>MOD(M727*16807,2147483647)</x:f>
        <x:v>913396893</x:v>
      </x:c>
      <x:c r="M728" s="9" t="n">
        <x:f>MOD(L728*16807,2147483647)</x:f>
        <x:v>1248471895</x:v>
      </x:c>
      <x:c r="N728" s="17" t="n">
        <x:f>IF('Control Room'!$B$5="Normal",'Control Room'!$B$7+'Control Room'!$D$7*SQRT(-2*LN(MAX(0.000000000001,L728/2147483647)))*COS(2*PI()*M728/2147483647),'Control Room'!$B$8+('Control Room'!$D$8-'Control Room'!$B$8)*L728/2147483647)</x:f>
        <x:v>897.3644084382009</x:v>
      </x:c>
      <x:c r="O728" s="17" t="n">
        <x:f>IF('Control Room'!$B$5="Normal",'Control Room'!$B$7,('Control Room'!$B$8+'Control Room'!$D$8)/2)+'Control Room'!$B$9*(O727-IF('Control Room'!$B$5="Normal",'Control Room'!$B$7,('Control Room'!$B$8+'Control Room'!$D$8)/2))+SQRT(1-'Control Room'!$B$9^2)*(N728-IF('Control Room'!$B$5="Normal",'Control Room'!$B$7,('Control Room'!$B$8+'Control Room'!$D$8)/2))</x:f>
        <x:v>830.5567769095869</x:v>
      </x:c>
      <x:c r="P728" s="17" t="n">
        <x:f>IF(AND($A728&gt;='Control Room'!$A$13,$A728&lt;'Control Room'!$A$13+'Control Room'!$B$13,'Process'!BM2=1),1+('Control Room'!$C$13-1)*EXP(-0.5*(($A728-'Control Room'!$A$13-('Control Room'!$B$13-1)/2)/MAX(0.5,'Control Room'!$B$13/4))^2),1)*IF(AND($A728&gt;='Control Room'!$A$14,$A728&lt;'Control Room'!$A$14+'Control Room'!$B$14,'Process'!BM3=1),1+('Control Room'!$C$14-1)*EXP(-0.5*(($A728-'Control Room'!$A$14-('Control Room'!$B$14-1)/2)/MAX(0.5,'Control Room'!$B$14/4))^2),1)*IF(AND($A728&gt;='Control Room'!$A$15,$A728&lt;'Control Room'!$A$15+'Control Room'!$B$15,'Process'!BM4=1),1+('Control Room'!$C$15-1)*EXP(-0.5*(($A728-'Control Room'!$A$15-('Control Room'!$B$15-1)/2)/MAX(0.5,'Control Room'!$B$15/4))^2),1)*IF(AND($A728&gt;='Control Room'!$A$16,$A728&lt;'Control Room'!$A$16+'Control Room'!$B$16,'Process'!BM5=1),1+('Control Room'!$C$16-1)*EXP(-0.5*(($A728-'Control Room'!$A$16-('Control Room'!$B$16-1)/2)/MAX(0.5,'Control Room'!$B$16/4))^2),1)</x:f>
        <x:v>1</x:v>
      </x:c>
      <x:c r="Q728" s="9" t="n">
        <x:f>MOD(R727*16807,2147483647)</x:f>
        <x:v>324367924</x:v>
      </x:c>
      <x:c r="R728" s="9" t="n">
        <x:f>MOD(Q728*16807,2147483647)</x:f>
        <x:v>1338202582</x:v>
      </x:c>
      <x:c r="S728" s="17" t="n">
        <x:f>IF('Control Room'!$B$5="Normal",'Control Room'!$B$7+'Control Room'!$D$7*SQRT(-2*LN(MAX(0.000000000001,Q728/2147483647)))*COS(2*PI()*R728/2147483647),'Control Room'!$B$8+('Control Room'!$D$8-'Control Room'!$B$8)*Q728/2147483647)</x:f>
        <x:v>874.8342176521178</x:v>
      </x:c>
      <x:c r="T728" s="17" t="n">
        <x:f>IF('Control Room'!$B$5="Normal",'Control Room'!$B$7,('Control Room'!$B$8+'Control Room'!$D$8)/2)+'Control Room'!$B$9*(T727-IF('Control Room'!$B$5="Normal",'Control Room'!$B$7,('Control Room'!$B$8+'Control Room'!$D$8)/2))+SQRT(1-'Control Room'!$B$9^2)*(S728-IF('Control Room'!$B$5="Normal",'Control Room'!$B$7,('Control Room'!$B$8+'Control Room'!$D$8)/2))</x:f>
        <x:v>983.7618879612401</x:v>
      </x:c>
      <x:c r="U728" s="17" t="n">
        <x:f>IF(AND($A728&gt;='Control Room'!$A$13,$A728&lt;'Control Room'!$A$13+'Control Room'!$B$13,'Process'!BN2=1),1+('Control Room'!$C$13-1)*EXP(-0.5*(($A728-'Control Room'!$A$13-('Control Room'!$B$13-1)/2)/MAX(0.5,'Control Room'!$B$13/4))^2),1)*IF(AND($A728&gt;='Control Room'!$A$14,$A728&lt;'Control Room'!$A$14+'Control Room'!$B$14,'Process'!BN3=1),1+('Control Room'!$C$14-1)*EXP(-0.5*(($A728-'Control Room'!$A$14-('Control Room'!$B$14-1)/2)/MAX(0.5,'Control Room'!$B$14/4))^2),1)*IF(AND($A728&gt;='Control Room'!$A$15,$A728&lt;'Control Room'!$A$15+'Control Room'!$B$15,'Process'!BN4=1),1+('Control Room'!$C$15-1)*EXP(-0.5*(($A728-'Control Room'!$A$15-('Control Room'!$B$15-1)/2)/MAX(0.5,'Control Room'!$B$15/4))^2),1)*IF(AND($A728&gt;='Control Room'!$A$16,$A728&lt;'Control Room'!$A$16+'Control Room'!$B$16,'Process'!BN5=1),1+('Control Room'!$C$16-1)*EXP(-0.5*(($A728-'Control Room'!$A$16-('Control Room'!$B$16-1)/2)/MAX(0.5,'Control Room'!$B$16/4))^2),1)</x:f>
        <x:v>1</x:v>
      </x:c>
      <x:c r="V728" s="9" t="n">
        <x:f>MOD(W727*16807,2147483647)</x:f>
        <x:v>1882822602</x:v>
      </x:c>
      <x:c r="W728" s="9" t="n">
        <x:f>MOD(V728*16807,2147483647)</x:f>
        <x:v>1427933269</x:v>
      </x:c>
      <x:c r="X728" s="17" t="n">
        <x:f>IF('Control Room'!$B$5="Normal",'Control Room'!$B$7+'Control Room'!$D$7*SQRT(-2*LN(MAX(0.000000000001,V728/2147483647)))*COS(2*PI()*W728/2147483647),'Control Room'!$B$8+('Control Room'!$D$8-'Control Room'!$B$8)*V728/2147483647)</x:f>
        <x:v>976.4862339152461</x:v>
      </x:c>
      <x:c r="Y728" s="17" t="n">
        <x:f>IF('Control Room'!$B$5="Normal",'Control Room'!$B$7,('Control Room'!$B$8+'Control Room'!$D$8)/2)+'Control Room'!$B$9*(Y727-IF('Control Room'!$B$5="Normal",'Control Room'!$B$7,('Control Room'!$B$8+'Control Room'!$D$8)/2))+SQRT(1-'Control Room'!$B$9^2)*(X728-IF('Control Room'!$B$5="Normal",'Control Room'!$B$7,('Control Room'!$B$8+'Control Room'!$D$8)/2))</x:f>
        <x:v>1066.8738667094258</x:v>
      </x:c>
      <x:c r="Z728" s="17" t="n">
        <x:f>IF(AND($A728&gt;='Control Room'!$A$13,$A728&lt;'Control Room'!$A$13+'Control Room'!$B$13,'Process'!BO2=1),1+('Control Room'!$C$13-1)*EXP(-0.5*(($A728-'Control Room'!$A$13-('Control Room'!$B$13-1)/2)/MAX(0.5,'Control Room'!$B$13/4))^2),1)*IF(AND($A728&gt;='Control Room'!$A$14,$A728&lt;'Control Room'!$A$14+'Control Room'!$B$14,'Process'!BO3=1),1+('Control Room'!$C$14-1)*EXP(-0.5*(($A728-'Control Room'!$A$14-('Control Room'!$B$14-1)/2)/MAX(0.5,'Control Room'!$B$14/4))^2),1)*IF(AND($A728&gt;='Control Room'!$A$15,$A728&lt;'Control Room'!$A$15+'Control Room'!$B$15,'Process'!BO4=1),1+('Control Room'!$C$15-1)*EXP(-0.5*(($A728-'Control Room'!$A$15-('Control Room'!$B$15-1)/2)/MAX(0.5,'Control Room'!$B$15/4))^2),1)*IF(AND($A728&gt;='Control Room'!$A$16,$A728&lt;'Control Room'!$A$16+'Control Room'!$B$16,'Process'!BO5=1),1+('Control Room'!$C$16-1)*EXP(-0.5*(($A728-'Control Room'!$A$16-('Control Room'!$B$16-1)/2)/MAX(0.5,'Control Room'!$B$16/4))^2),1)</x:f>
        <x:v>1</x:v>
      </x:c>
      <x:c r="AA728" s="9" t="n">
        <x:f>MOD(AB727*16807,2147483647)</x:f>
        <x:v>1293793633</x:v>
      </x:c>
      <x:c r="AB728" s="9" t="n">
        <x:f>MOD(AA728*16807,2147483647)</x:f>
        <x:v>1517663956</x:v>
      </x:c>
      <x:c r="AC728" s="17" t="n">
        <x:f>IF('Control Room'!$B$5="Normal",'Control Room'!$B$7+'Control Room'!$D$7*SQRT(-2*LN(MAX(0.000000000001,AA728/2147483647)))*COS(2*PI()*AB728/2147483647),'Control Room'!$B$8+('Control Room'!$D$8-'Control Room'!$B$8)*AA728/2147483647)</x:f>
        <x:v>975.6629550058095</x:v>
      </x:c>
      <x:c r="AD728" s="17" t="n">
        <x:f>IF('Control Room'!$B$5="Normal",'Control Room'!$B$7,('Control Room'!$B$8+'Control Room'!$D$8)/2)+'Control Room'!$B$9*(AD727-IF('Control Room'!$B$5="Normal",'Control Room'!$B$7,('Control Room'!$B$8+'Control Room'!$D$8)/2))+SQRT(1-'Control Room'!$B$9^2)*(AC728-IF('Control Room'!$B$5="Normal",'Control Room'!$B$7,('Control Room'!$B$8+'Control Room'!$D$8)/2))</x:f>
        <x:v>936.6990093294761</x:v>
      </x:c>
      <x:c r="AE728" s="17" t="n">
        <x:f>IF(AND($A728&gt;='Control Room'!$A$13,$A728&lt;'Control Room'!$A$13+'Control Room'!$B$13,'Process'!BP2=1),1+('Control Room'!$C$13-1)*EXP(-0.5*(($A728-'Control Room'!$A$13-('Control Room'!$B$13-1)/2)/MAX(0.5,'Control Room'!$B$13/4))^2),1)*IF(AND($A728&gt;='Control Room'!$A$14,$A728&lt;'Control Room'!$A$14+'Control Room'!$B$14,'Process'!BP3=1),1+('Control Room'!$C$14-1)*EXP(-0.5*(($A728-'Control Room'!$A$14-('Control Room'!$B$14-1)/2)/MAX(0.5,'Control Room'!$B$14/4))^2),1)*IF(AND($A728&gt;='Control Room'!$A$15,$A728&lt;'Control Room'!$A$15+'Control Room'!$B$15,'Process'!BP4=1),1+('Control Room'!$C$15-1)*EXP(-0.5*(($A728-'Control Room'!$A$15-('Control Room'!$B$15-1)/2)/MAX(0.5,'Control Room'!$B$15/4))^2),1)*IF(AND($A728&gt;='Control Room'!$A$16,$A728&lt;'Control Room'!$A$16+'Control Room'!$B$16,'Process'!BP5=1),1+('Control Room'!$C$16-1)*EXP(-0.5*(($A728-'Control Room'!$A$16-('Control Room'!$B$16-1)/2)/MAX(0.5,'Control Room'!$B$16/4))^2),1)</x:f>
        <x:v>1</x:v>
      </x:c>
      <x:c r="AF728" s="9" t="n">
        <x:f>MOD(AG727*16807,2147483647)</x:f>
        <x:v>704764664</x:v>
      </x:c>
      <x:c r="AG728" s="9" t="n">
        <x:f>MOD(AF728*16807,2147483647)</x:f>
        <x:v>1607394643</x:v>
      </x:c>
      <x:c r="AH728" s="17" t="n">
        <x:f>IF('Control Room'!$B$5="Normal",'Control Room'!$B$7+'Control Room'!$D$7*SQRT(-2*LN(MAX(0.000000000001,AF728/2147483647)))*COS(2*PI()*AG728/2147483647),'Control Room'!$B$8+('Control Room'!$D$8-'Control Room'!$B$8)*AF728/2147483647)</x:f>
        <x:v>998.7350340341203</x:v>
      </x:c>
      <x:c r="AI728" s="17" t="n">
        <x:f>IF('Control Room'!$B$5="Normal",'Control Room'!$B$7,('Control Room'!$B$8+'Control Room'!$D$8)/2)+'Control Room'!$B$9*(AI727-IF('Control Room'!$B$5="Normal",'Control Room'!$B$7,('Control Room'!$B$8+'Control Room'!$D$8)/2))+SQRT(1-'Control Room'!$B$9^2)*(AH728-IF('Control Room'!$B$5="Normal",'Control Room'!$B$7,('Control Room'!$B$8+'Control Room'!$D$8)/2))</x:f>
        <x:v>957.0289114354034</x:v>
      </x:c>
      <x:c r="AJ728" s="17" t="n">
        <x:f>IF(AND($A728&gt;='Control Room'!$A$13,$A728&lt;'Control Room'!$A$13+'Control Room'!$B$13,'Process'!BQ2=1),1+('Control Room'!$C$13-1)*EXP(-0.5*(($A728-'Control Room'!$A$13-('Control Room'!$B$13-1)/2)/MAX(0.5,'Control Room'!$B$13/4))^2),1)*IF(AND($A728&gt;='Control Room'!$A$14,$A728&lt;'Control Room'!$A$14+'Control Room'!$B$14,'Process'!BQ3=1),1+('Control Room'!$C$14-1)*EXP(-0.5*(($A728-'Control Room'!$A$14-('Control Room'!$B$14-1)/2)/MAX(0.5,'Control Room'!$B$14/4))^2),1)*IF(AND($A728&gt;='Control Room'!$A$15,$A728&lt;'Control Room'!$A$15+'Control Room'!$B$15,'Process'!BQ4=1),1+('Control Room'!$C$15-1)*EXP(-0.5*(($A728-'Control Room'!$A$15-('Control Room'!$B$15-1)/2)/MAX(0.5,'Control Room'!$B$15/4))^2),1)*IF(AND($A728&gt;='Control Room'!$A$16,$A728&lt;'Control Room'!$A$16+'Control Room'!$B$16,'Process'!BQ5=1),1+('Control Room'!$C$16-1)*EXP(-0.5*(($A728-'Control Room'!$A$16-('Control Room'!$B$16-1)/2)/MAX(0.5,'Control Room'!$B$16/4))^2),1)</x:f>
        <x:v>1</x:v>
      </x:c>
      <x:c r="AK728" s="9" t="n">
        <x:f>MOD(AL727*16807,2147483647)</x:f>
        <x:v>115735695</x:v>
      </x:c>
      <x:c r="AL728" s="9" t="n">
        <x:f>MOD(AK728*16807,2147483647)</x:f>
        <x:v>1697125330</x:v>
      </x:c>
      <x:c r="AM728" s="17" t="n">
        <x:f>IF('Control Room'!$B$5="Normal",'Control Room'!$B$7+'Control Room'!$D$7*SQRT(-2*LN(MAX(0.000000000001,AK728/2147483647)))*COS(2*PI()*AL728/2147483647),'Control Room'!$B$8+('Control Room'!$D$8-'Control Room'!$B$8)*AK728/2147483647)</x:f>
        <x:v>1054.473588708738</x:v>
      </x:c>
      <x:c r="AN728" s="17" t="n">
        <x:f>IF('Control Room'!$B$5="Normal",'Control Room'!$B$7,('Control Room'!$B$8+'Control Room'!$D$8)/2)+'Control Room'!$B$9*(AN727-IF('Control Room'!$B$5="Normal",'Control Room'!$B$7,('Control Room'!$B$8+'Control Room'!$D$8)/2))+SQRT(1-'Control Room'!$B$9^2)*(AM728-IF('Control Room'!$B$5="Normal",'Control Room'!$B$7,('Control Room'!$B$8+'Control Room'!$D$8)/2))</x:f>
        <x:v>1091.6496792140426</x:v>
      </x:c>
      <x:c r="AO728" s="17" t="n">
        <x:f>IF(AND($A728&gt;='Control Room'!$A$13,$A728&lt;'Control Room'!$A$13+'Control Room'!$B$13,'Process'!BR2=1),1+('Control Room'!$C$13-1)*EXP(-0.5*(($A728-'Control Room'!$A$13-('Control Room'!$B$13-1)/2)/MAX(0.5,'Control Room'!$B$13/4))^2),1)*IF(AND($A728&gt;='Control Room'!$A$14,$A728&lt;'Control Room'!$A$14+'Control Room'!$B$14,'Process'!BR3=1),1+('Control Room'!$C$14-1)*EXP(-0.5*(($A728-'Control Room'!$A$14-('Control Room'!$B$14-1)/2)/MAX(0.5,'Control Room'!$B$14/4))^2),1)*IF(AND($A728&gt;='Control Room'!$A$15,$A728&lt;'Control Room'!$A$15+'Control Room'!$B$15,'Process'!BR4=1),1+('Control Room'!$C$15-1)*EXP(-0.5*(($A728-'Control Room'!$A$15-('Control Room'!$B$15-1)/2)/MAX(0.5,'Control Room'!$B$15/4))^2),1)*IF(AND($A728&gt;='Control Room'!$A$16,$A728&lt;'Control Room'!$A$16+'Control Room'!$B$16,'Process'!BR5=1),1+('Control Room'!$C$16-1)*EXP(-0.5*(($A728-'Control Room'!$A$16-('Control Room'!$B$16-1)/2)/MAX(0.5,'Control Room'!$B$16/4))^2),1)</x:f>
        <x:v>1</x:v>
      </x:c>
      <x:c r="AP728" s="9" t="n">
        <x:f>MOD(AQ727*16807,2147483647)</x:f>
        <x:v>1674190373</x:v>
      </x:c>
      <x:c r="AQ728" s="9" t="n">
        <x:f>MOD(AP728*16807,2147483647)</x:f>
        <x:v>1786856017</x:v>
      </x:c>
      <x:c r="AR728" s="17" t="n">
        <x:f>IF('Control Room'!$B$5="Normal",'Control Room'!$B$7+'Control Room'!$D$7*SQRT(-2*LN(MAX(0.000000000001,AP728/2147483647)))*COS(2*PI()*AQ728/2147483647),'Control Room'!$B$8+('Control Room'!$D$8-'Control Room'!$B$8)*AP728/2147483647)</x:f>
        <x:v>1031.3163197326649</x:v>
      </x:c>
      <x:c r="AS728" s="17" t="n">
        <x:f>IF('Control Room'!$B$5="Normal",'Control Room'!$B$7,('Control Room'!$B$8+'Control Room'!$D$8)/2)+'Control Room'!$B$9*(AS727-IF('Control Room'!$B$5="Normal",'Control Room'!$B$7,('Control Room'!$B$8+'Control Room'!$D$8)/2))+SQRT(1-'Control Room'!$B$9^2)*(AR728-IF('Control Room'!$B$5="Normal",'Control Room'!$B$7,('Control Room'!$B$8+'Control Room'!$D$8)/2))</x:f>
        <x:v>1176.1446960499848</x:v>
      </x:c>
      <x:c r="AT728" s="17" t="n">
        <x:f>IF(AND($A728&gt;='Control Room'!$A$13,$A728&lt;'Control Room'!$A$13+'Control Room'!$B$13,'Process'!BS2=1),1+('Control Room'!$C$13-1)*EXP(-0.5*(($A728-'Control Room'!$A$13-('Control Room'!$B$13-1)/2)/MAX(0.5,'Control Room'!$B$13/4))^2),1)*IF(AND($A728&gt;='Control Room'!$A$14,$A728&lt;'Control Room'!$A$14+'Control Room'!$B$14,'Process'!BS3=1),1+('Control Room'!$C$14-1)*EXP(-0.5*(($A728-'Control Room'!$A$14-('Control Room'!$B$14-1)/2)/MAX(0.5,'Control Room'!$B$14/4))^2),1)*IF(AND($A728&gt;='Control Room'!$A$15,$A728&lt;'Control Room'!$A$15+'Control Room'!$B$15,'Process'!BS4=1),1+('Control Room'!$C$15-1)*EXP(-0.5*(($A728-'Control Room'!$A$15-('Control Room'!$B$15-1)/2)/MAX(0.5,'Control Room'!$B$15/4))^2),1)*IF(AND($A728&gt;='Control Room'!$A$16,$A728&lt;'Control Room'!$A$16+'Control Room'!$B$16,'Process'!BS5=1),1+('Control Room'!$C$16-1)*EXP(-0.5*(($A728-'Control Room'!$A$16-('Control Room'!$B$16-1)/2)/MAX(0.5,'Control Room'!$B$16/4))^2),1)</x:f>
        <x:v>1</x:v>
      </x:c>
      <x:c r="AU728" s="9" t="n">
        <x:f>MOD(AV727*16807,2147483647)</x:f>
        <x:v>1085161404</x:v>
      </x:c>
      <x:c r="AV728" s="9" t="n">
        <x:f>MOD(AU728*16807,2147483647)</x:f>
        <x:v>1876586704</x:v>
      </x:c>
      <x:c r="AW728" s="17" t="n">
        <x:f>IF('Control Room'!$B$5="Normal",'Control Room'!$B$7+'Control Room'!$D$7*SQRT(-2*LN(MAX(0.000000000001,AU728/2147483647)))*COS(2*PI()*AV728/2147483647),'Control Room'!$B$8+('Control Room'!$D$8-'Control Room'!$B$8)*AU728/2147483647)</x:f>
        <x:v>1073.8184795289117</x:v>
      </x:c>
      <x:c r="AX728" s="17" t="n">
        <x:f>IF('Control Room'!$B$5="Normal",'Control Room'!$B$7,('Control Room'!$B$8+'Control Room'!$D$8)/2)+'Control Room'!$B$9*(AX727-IF('Control Room'!$B$5="Normal",'Control Room'!$B$7,('Control Room'!$B$8+'Control Room'!$D$8)/2))+SQRT(1-'Control Room'!$B$9^2)*(AW728-IF('Control Room'!$B$5="Normal",'Control Room'!$B$7,('Control Room'!$B$8+'Control Room'!$D$8)/2))</x:f>
        <x:v>1096.4053246690157</x:v>
      </x:c>
      <x:c r="AY728" s="17" t="n">
        <x:f>IF(AND($A728&gt;='Control Room'!$A$13,$A728&lt;'Control Room'!$A$13+'Control Room'!$B$13,'Process'!BT2=1),1+('Control Room'!$C$13-1)*EXP(-0.5*(($A728-'Control Room'!$A$13-('Control Room'!$B$13-1)/2)/MAX(0.5,'Control Room'!$B$13/4))^2),1)*IF(AND($A728&gt;='Control Room'!$A$14,$A728&lt;'Control Room'!$A$14+'Control Room'!$B$14,'Process'!BT3=1),1+('Control Room'!$C$14-1)*EXP(-0.5*(($A728-'Control Room'!$A$14-('Control Room'!$B$14-1)/2)/MAX(0.5,'Control Room'!$B$14/4))^2),1)*IF(AND($A728&gt;='Control Room'!$A$15,$A728&lt;'Control Room'!$A$15+'Control Room'!$B$15,'Process'!BT4=1),1+('Control Room'!$C$15-1)*EXP(-0.5*(($A728-'Control Room'!$A$15-('Control Room'!$B$15-1)/2)/MAX(0.5,'Control Room'!$B$15/4))^2),1)*IF(AND($A728&gt;='Control Room'!$A$16,$A728&lt;'Control Room'!$A$16+'Control Room'!$B$16,'Process'!BT5=1),1+('Control Room'!$C$16-1)*EXP(-0.5*(($A728-'Control Room'!$A$16-('Control Room'!$B$16-1)/2)/MAX(0.5,'Control Room'!$B$16/4))^2),1)</x:f>
        <x:v>1</x:v>
      </x:c>
      <x:c r="AZ728" s="9" t="n">
        <x:f>MOD(BA727*16807,2147483647)</x:f>
        <x:v>496132435</x:v>
      </x:c>
      <x:c r="BA728" s="9" t="n">
        <x:f>MOD(AZ728*16807,2147483647)</x:f>
        <x:v>1966317391</x:v>
      </x:c>
      <x:c r="BB728" s="17" t="n">
        <x:f>IF('Control Room'!$B$5="Normal",'Control Room'!$B$7+'Control Room'!$D$7*SQRT(-2*LN(MAX(0.000000000001,AZ728/2147483647)))*COS(2*PI()*BA728/2147483647),'Control Room'!$B$8+('Control Room'!$D$8-'Control Room'!$B$8)*AZ728/2147483647)</x:f>
        <x:v>1132.924500073431</x:v>
      </x:c>
      <x:c r="BC728" s="17" t="n">
        <x:f>IF('Control Room'!$B$5="Normal",'Control Room'!$B$7,('Control Room'!$B$8+'Control Room'!$D$8)/2)+'Control Room'!$B$9*(BC727-IF('Control Room'!$B$5="Normal",'Control Room'!$B$7,('Control Room'!$B$8+'Control Room'!$D$8)/2))+SQRT(1-'Control Room'!$B$9^2)*(BB728-IF('Control Room'!$B$5="Normal",'Control Room'!$B$7,('Control Room'!$B$8+'Control Room'!$D$8)/2))</x:f>
        <x:v>996.756603685732</x:v>
      </x:c>
      <x:c r="BD728" s="17" t="n">
        <x:f>IF(AND($A728&gt;='Control Room'!$A$13,$A728&lt;'Control Room'!$A$13+'Control Room'!$B$13,'Process'!BU2=1),1+('Control Room'!$C$13-1)*EXP(-0.5*(($A728-'Control Room'!$A$13-('Control Room'!$B$13-1)/2)/MAX(0.5,'Control Room'!$B$13/4))^2),1)*IF(AND($A728&gt;='Control Room'!$A$14,$A728&lt;'Control Room'!$A$14+'Control Room'!$B$14,'Process'!BU3=1),1+('Control Room'!$C$14-1)*EXP(-0.5*(($A728-'Control Room'!$A$14-('Control Room'!$B$14-1)/2)/MAX(0.5,'Control Room'!$B$14/4))^2),1)*IF(AND($A728&gt;='Control Room'!$A$15,$A728&lt;'Control Room'!$A$15+'Control Room'!$B$15,'Process'!BU4=1),1+('Control Room'!$C$15-1)*EXP(-0.5*(($A728-'Control Room'!$A$15-('Control Room'!$B$15-1)/2)/MAX(0.5,'Control Room'!$B$15/4))^2),1)*IF(AND($A728&gt;='Control Room'!$A$16,$A728&lt;'Control Room'!$A$16+'Control Room'!$B$16,'Process'!BU5=1),1+('Control Room'!$C$16-1)*EXP(-0.5*(($A728-'Control Room'!$A$16-('Control Room'!$B$16-1)/2)/MAX(0.5,'Control Room'!$B$16/4))^2),1)</x:f>
        <x:v>1</x:v>
      </x:c>
      <x:c r="BE728" s="9" t="n">
        <x:f>MOD(BF727*16807,2147483647)</x:f>
        <x:v>2054587113</x:v>
      </x:c>
      <x:c r="BF728" s="9" t="n">
        <x:f>MOD(BE728*16807,2147483647)</x:f>
        <x:v>2056048078</x:v>
      </x:c>
      <x:c r="BG728" s="17" t="n">
        <x:f>IF('Control Room'!$B$5="Normal",'Control Room'!$B$7+'Control Room'!$D$7*SQRT(-2*LN(MAX(0.000000000001,BE728/2147483647)))*COS(2*PI()*BF728/2147483647),'Control Room'!$B$8+('Control Room'!$D$8-'Control Room'!$B$8)*BE728/2147483647)</x:f>
        <x:v>1025.8134327198493</x:v>
      </x:c>
      <x:c r="BH728" s="17" t="n">
        <x:f>IF('Control Room'!$B$5="Normal",'Control Room'!$B$7,('Control Room'!$B$8+'Control Room'!$D$8)/2)+'Control Room'!$B$9*(BH727-IF('Control Room'!$B$5="Normal",'Control Room'!$B$7,('Control Room'!$B$8+'Control Room'!$D$8)/2))+SQRT(1-'Control Room'!$B$9^2)*(BG728-IF('Control Room'!$B$5="Normal",'Control Room'!$B$7,('Control Room'!$B$8+'Control Room'!$D$8)/2))</x:f>
        <x:v>943.0878341697334</x:v>
      </x:c>
      <x:c r="BI728" s="17" t="n">
        <x:f>IF(AND($A728&gt;='Control Room'!$A$13,$A728&lt;'Control Room'!$A$13+'Control Room'!$B$13,'Process'!BV2=1),1+('Control Room'!$C$13-1)*EXP(-0.5*(($A728-'Control Room'!$A$13-('Control Room'!$B$13-1)/2)/MAX(0.5,'Control Room'!$B$13/4))^2),1)*IF(AND($A728&gt;='Control Room'!$A$14,$A728&lt;'Control Room'!$A$14+'Control Room'!$B$14,'Process'!BV3=1),1+('Control Room'!$C$14-1)*EXP(-0.5*(($A728-'Control Room'!$A$14-('Control Room'!$B$14-1)/2)/MAX(0.5,'Control Room'!$B$14/4))^2),1)*IF(AND($A728&gt;='Control Room'!$A$15,$A728&lt;'Control Room'!$A$15+'Control Room'!$B$15,'Process'!BV4=1),1+('Control Room'!$C$15-1)*EXP(-0.5*(($A728-'Control Room'!$A$15-('Control Room'!$B$15-1)/2)/MAX(0.5,'Control Room'!$B$15/4))^2),1)*IF(AND($A728&gt;='Control Room'!$A$16,$A728&lt;'Control Room'!$A$16+'Control Room'!$B$16,'Process'!BV5=1),1+('Control Room'!$C$16-1)*EXP(-0.5*(($A728-'Control Room'!$A$16-('Control Room'!$B$16-1)/2)/MAX(0.5,'Control Room'!$B$16/4))^2),1)</x:f>
        <x:v>1</x:v>
      </x:c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Z728" t="str">
        <x:f>IF('Data'!A728="","",TEXT('Data'!A728,"mm-dd"))</x:f>
      </x:c>
    </x:row>
    <x:row r="729" ht="21" customHeight="1">
      <x:c r="A729" s="15" t="n">
        <x:f>'Control Room'!$B$1+727</x:f>
        <x:v>73718</x:v>
      </x:c>
      <x:c r="B729" s="9" t="n">
        <x:f>MOD(C728*16807,2147483647)</x:f>
        <x:v>1011635645</x:v>
      </x:c>
      <x:c r="C729" s="9" t="n">
        <x:f>MOD(B729*16807,2147483647)</x:f>
        <x:v>932252216</x:v>
      </x:c>
      <x:c r="D729" s="17" t="n">
        <x:f>IF('Control Room'!$B$5="Normal",'Control Room'!$B$7+'Control Room'!$D$7*SQRT(-2*LN(MAX(0.000000000001,B729/2147483647)))*COS(2*PI()*C729/2147483647),'Control Room'!$B$8+('Control Room'!$D$8-'Control Room'!$B$8)*B729/2147483647)</x:f>
        <x:v>898.9005704244329</x:v>
      </x:c>
      <x:c r="E729" s="17" t="n">
        <x:f>IF('Control Room'!$B$5="Normal",'Control Room'!$B$7,('Control Room'!$B$8+'Control Room'!$D$8)/2)+'Control Room'!$B$9*(E728-IF('Control Room'!$B$5="Normal",'Control Room'!$B$7,('Control Room'!$B$8+'Control Room'!$D$8)/2))+SQRT(1-'Control Room'!$B$9^2)*(D729-IF('Control Room'!$B$5="Normal",'Control Room'!$B$7,('Control Room'!$B$8+'Control Room'!$D$8)/2))</x:f>
        <x:v>976.1076993670476</x:v>
      </x:c>
      <x:c r="F729" s="17" t="n">
        <x:f>IF(AND($A729&gt;='Control Room'!$A$13,$A729&lt;'Control Room'!$A$13+'Control Room'!$B$13,'Process'!BK2=1),1+('Control Room'!$C$13-1)*EXP(-0.5*(($A729-'Control Room'!$A$13-('Control Room'!$B$13-1)/2)/MAX(0.5,'Control Room'!$B$13/4))^2),1)*IF(AND($A729&gt;='Control Room'!$A$14,$A729&lt;'Control Room'!$A$14+'Control Room'!$B$14,'Process'!BK3=1),1+('Control Room'!$C$14-1)*EXP(-0.5*(($A729-'Control Room'!$A$14-('Control Room'!$B$14-1)/2)/MAX(0.5,'Control Room'!$B$14/4))^2),1)*IF(AND($A729&gt;='Control Room'!$A$15,$A729&lt;'Control Room'!$A$15+'Control Room'!$B$15,'Process'!BK4=1),1+('Control Room'!$C$15-1)*EXP(-0.5*(($A729-'Control Room'!$A$15-('Control Room'!$B$15-1)/2)/MAX(0.5,'Control Room'!$B$15/4))^2),1)*IF(AND($A729&gt;='Control Room'!$A$16,$A729&lt;'Control Room'!$A$16+'Control Room'!$B$16,'Process'!BK5=1),1+('Control Room'!$C$16-1)*EXP(-0.5*(($A729-'Control Room'!$A$16-('Control Room'!$B$16-1)/2)/MAX(0.5,'Control Room'!$B$16/4))^2),1)</x:f>
        <x:v>1</x:v>
      </x:c>
      <x:c r="G729" s="9" t="n">
        <x:f>MOD(H728*16807,2147483647)</x:f>
        <x:v>1581771860</x:v>
      </x:c>
      <x:c r="H729" s="9" t="n">
        <x:f>MOD(G729*16807,2147483647)</x:f>
        <x:v>1139584807</x:v>
      </x:c>
      <x:c r="I729" s="17" t="n">
        <x:f>IF('Control Room'!$B$5="Normal",'Control Room'!$B$7+'Control Room'!$D$7*SQRT(-2*LN(MAX(0.000000000001,G729/2147483647)))*COS(2*PI()*H729/2147483647),'Control Room'!$B$8+('Control Room'!$D$8-'Control Room'!$B$8)*G729/2147483647)</x:f>
        <x:v>930.9231812881258</x:v>
      </x:c>
      <x:c r="J729" s="17" t="n">
        <x:f>IF('Control Room'!$B$5="Normal",'Control Room'!$B$7,('Control Room'!$B$8+'Control Room'!$D$8)/2)+'Control Room'!$B$9*(J728-IF('Control Room'!$B$5="Normal",'Control Room'!$B$7,('Control Room'!$B$8+'Control Room'!$D$8)/2))+SQRT(1-'Control Room'!$B$9^2)*(I729-IF('Control Room'!$B$5="Normal",'Control Room'!$B$7,('Control Room'!$B$8+'Control Room'!$D$8)/2))</x:f>
        <x:v>884.145865625437</x:v>
      </x:c>
      <x:c r="K729" s="17" t="n">
        <x:f>IF(AND($A729&gt;='Control Room'!$A$13,$A729&lt;'Control Room'!$A$13+'Control Room'!$B$13,'Process'!BL2=1),1+('Control Room'!$C$13-1)*EXP(-0.5*(($A729-'Control Room'!$A$13-('Control Room'!$B$13-1)/2)/MAX(0.5,'Control Room'!$B$13/4))^2),1)*IF(AND($A729&gt;='Control Room'!$A$14,$A729&lt;'Control Room'!$A$14+'Control Room'!$B$14,'Process'!BL3=1),1+('Control Room'!$C$14-1)*EXP(-0.5*(($A729-'Control Room'!$A$14-('Control Room'!$B$14-1)/2)/MAX(0.5,'Control Room'!$B$14/4))^2),1)*IF(AND($A729&gt;='Control Room'!$A$15,$A729&lt;'Control Room'!$A$15+'Control Room'!$B$15,'Process'!BL4=1),1+('Control Room'!$C$15-1)*EXP(-0.5*(($A729-'Control Room'!$A$15-('Control Room'!$B$15-1)/2)/MAX(0.5,'Control Room'!$B$15/4))^2),1)*IF(AND($A729&gt;='Control Room'!$A$16,$A729&lt;'Control Room'!$A$16+'Control Room'!$B$16,'Process'!BL5=1),1+('Control Room'!$C$16-1)*EXP(-0.5*(($A729-'Control Room'!$A$16-('Control Room'!$B$16-1)/2)/MAX(0.5,'Control Room'!$B$16/4))^2),1)</x:f>
        <x:v>1</x:v>
      </x:c>
      <x:c r="L729" s="9" t="n">
        <x:f>MOD(M728*16807,2147483647)</x:f>
        <x:v>4424428</x:v>
      </x:c>
      <x:c r="M729" s="9" t="n">
        <x:f>MOD(L729*16807,2147483647)</x:f>
        <x:v>1346917398</x:v>
      </x:c>
      <x:c r="N729" s="17" t="n">
        <x:f>IF('Control Room'!$B$5="Normal",'Control Room'!$B$7+'Control Room'!$D$7*SQRT(-2*LN(MAX(0.000000000001,L729/2147483647)))*COS(2*PI()*M729/2147483647),'Control Room'!$B$8+('Control Room'!$D$8-'Control Room'!$B$8)*L729/2147483647)</x:f>
        <x:v>779.3002846781748</x:v>
      </x:c>
      <x:c r="O729" s="17" t="n">
        <x:f>IF('Control Room'!$B$5="Normal",'Control Room'!$B$7,('Control Room'!$B$8+'Control Room'!$D$8)/2)+'Control Room'!$B$9*(O728-IF('Control Room'!$B$5="Normal",'Control Room'!$B$7,('Control Room'!$B$8+'Control Room'!$D$8)/2))+SQRT(1-'Control Room'!$B$9^2)*(N729-IF('Control Room'!$B$5="Normal",'Control Room'!$B$7,('Control Room'!$B$8+'Control Room'!$D$8)/2))</x:f>
        <x:v>729.7249254205014</x:v>
      </x:c>
      <x:c r="P729" s="17" t="n">
        <x:f>IF(AND($A729&gt;='Control Room'!$A$13,$A729&lt;'Control Room'!$A$13+'Control Room'!$B$13,'Process'!BM2=1),1+('Control Room'!$C$13-1)*EXP(-0.5*(($A729-'Control Room'!$A$13-('Control Room'!$B$13-1)/2)/MAX(0.5,'Control Room'!$B$13/4))^2),1)*IF(AND($A729&gt;='Control Room'!$A$14,$A729&lt;'Control Room'!$A$14+'Control Room'!$B$14,'Process'!BM3=1),1+('Control Room'!$C$14-1)*EXP(-0.5*(($A729-'Control Room'!$A$14-('Control Room'!$B$14-1)/2)/MAX(0.5,'Control Room'!$B$14/4))^2),1)*IF(AND($A729&gt;='Control Room'!$A$15,$A729&lt;'Control Room'!$A$15+'Control Room'!$B$15,'Process'!BM4=1),1+('Control Room'!$C$15-1)*EXP(-0.5*(($A729-'Control Room'!$A$15-('Control Room'!$B$15-1)/2)/MAX(0.5,'Control Room'!$B$15/4))^2),1)*IF(AND($A729&gt;='Control Room'!$A$16,$A729&lt;'Control Room'!$A$16+'Control Room'!$B$16,'Process'!BM5=1),1+('Control Room'!$C$16-1)*EXP(-0.5*(($A729-'Control Room'!$A$16-('Control Room'!$B$16-1)/2)/MAX(0.5,'Control Room'!$B$16/4))^2),1)</x:f>
        <x:v>1</x:v>
      </x:c>
      <x:c r="Q729" s="9" t="n">
        <x:f>MOD(R728*16807,2147483647)</x:f>
        <x:v>574560643</x:v>
      </x:c>
      <x:c r="R729" s="9" t="n">
        <x:f>MOD(Q729*16807,2147483647)</x:f>
        <x:v>1554249989</x:v>
      </x:c>
      <x:c r="S729" s="17" t="n">
        <x:f>IF('Control Room'!$B$5="Normal",'Control Room'!$B$7+'Control Room'!$D$7*SQRT(-2*LN(MAX(0.000000000001,Q729/2147483647)))*COS(2*PI()*R729/2147483647),'Control Room'!$B$8+('Control Room'!$D$8-'Control Room'!$B$8)*Q729/2147483647)</x:f>
        <x:v>976.0083184617434</x:v>
      </x:c>
      <x:c r="T729" s="17" t="n">
        <x:f>IF('Control Room'!$B$5="Normal",'Control Room'!$B$7,('Control Room'!$B$8+'Control Room'!$D$8)/2)+'Control Room'!$B$9*(T728-IF('Control Room'!$B$5="Normal",'Control Room'!$B$7,('Control Room'!$B$8+'Control Room'!$D$8)/2))+SQRT(1-'Control Room'!$B$9^2)*(S729-IF('Control Room'!$B$5="Normal",'Control Room'!$B$7,('Control Room'!$B$8+'Control Room'!$D$8)/2))</x:f>
        <x:v>972.3207697994378</x:v>
      </x:c>
      <x:c r="U729" s="17" t="n">
        <x:f>IF(AND($A729&gt;='Control Room'!$A$13,$A729&lt;'Control Room'!$A$13+'Control Room'!$B$13,'Process'!BN2=1),1+('Control Room'!$C$13-1)*EXP(-0.5*(($A729-'Control Room'!$A$13-('Control Room'!$B$13-1)/2)/MAX(0.5,'Control Room'!$B$13/4))^2),1)*IF(AND($A729&gt;='Control Room'!$A$14,$A729&lt;'Control Room'!$A$14+'Control Room'!$B$14,'Process'!BN3=1),1+('Control Room'!$C$14-1)*EXP(-0.5*(($A729-'Control Room'!$A$14-('Control Room'!$B$14-1)/2)/MAX(0.5,'Control Room'!$B$14/4))^2),1)*IF(AND($A729&gt;='Control Room'!$A$15,$A729&lt;'Control Room'!$A$15+'Control Room'!$B$15,'Process'!BN4=1),1+('Control Room'!$C$15-1)*EXP(-0.5*(($A729-'Control Room'!$A$15-('Control Room'!$B$15-1)/2)/MAX(0.5,'Control Room'!$B$15/4))^2),1)*IF(AND($A729&gt;='Control Room'!$A$16,$A729&lt;'Control Room'!$A$16+'Control Room'!$B$16,'Process'!BN5=1),1+('Control Room'!$C$16-1)*EXP(-0.5*(($A729-'Control Room'!$A$16-('Control Room'!$B$16-1)/2)/MAX(0.5,'Control Room'!$B$16/4))^2),1)</x:f>
        <x:v>1</x:v>
      </x:c>
      <x:c r="V729" s="9" t="n">
        <x:f>MOD(W728*16807,2147483647)</x:f>
        <x:v>1144696858</x:v>
      </x:c>
      <x:c r="W729" s="9" t="n">
        <x:f>MOD(V729*16807,2147483647)</x:f>
        <x:v>1761582580</x:v>
      </x:c>
      <x:c r="X729" s="17" t="n">
        <x:f>IF('Control Room'!$B$5="Normal",'Control Room'!$B$7+'Control Room'!$D$7*SQRT(-2*LN(MAX(0.000000000001,V729/2147483647)))*COS(2*PI()*W729/2147483647),'Control Room'!$B$8+('Control Room'!$D$8-'Control Room'!$B$8)*V729/2147483647)</x:f>
        <x:v>1043.1580326486317</x:v>
      </x:c>
      <x:c r="Y729" s="17" t="n">
        <x:f>IF('Control Room'!$B$5="Normal",'Control Room'!$B$7,('Control Room'!$B$8+'Control Room'!$D$8)/2)+'Control Room'!$B$9*(Y728-IF('Control Room'!$B$5="Normal",'Control Room'!$B$7,('Control Room'!$B$8+'Control Room'!$D$8)/2))+SQRT(1-'Control Room'!$B$9^2)*(X729-IF('Control Room'!$B$5="Normal",'Control Room'!$B$7,('Control Room'!$B$8+'Control Room'!$D$8)/2))</x:f>
        <x:v>1079.1690287245096</x:v>
      </x:c>
      <x:c r="Z729" s="17" t="n">
        <x:f>IF(AND($A729&gt;='Control Room'!$A$13,$A729&lt;'Control Room'!$A$13+'Control Room'!$B$13,'Process'!BO2=1),1+('Control Room'!$C$13-1)*EXP(-0.5*(($A729-'Control Room'!$A$13-('Control Room'!$B$13-1)/2)/MAX(0.5,'Control Room'!$B$13/4))^2),1)*IF(AND($A729&gt;='Control Room'!$A$14,$A729&lt;'Control Room'!$A$14+'Control Room'!$B$14,'Process'!BO3=1),1+('Control Room'!$C$14-1)*EXP(-0.5*(($A729-'Control Room'!$A$14-('Control Room'!$B$14-1)/2)/MAX(0.5,'Control Room'!$B$14/4))^2),1)*IF(AND($A729&gt;='Control Room'!$A$15,$A729&lt;'Control Room'!$A$15+'Control Room'!$B$15,'Process'!BO4=1),1+('Control Room'!$C$15-1)*EXP(-0.5*(($A729-'Control Room'!$A$15-('Control Room'!$B$15-1)/2)/MAX(0.5,'Control Room'!$B$15/4))^2),1)*IF(AND($A729&gt;='Control Room'!$A$16,$A729&lt;'Control Room'!$A$16+'Control Room'!$B$16,'Process'!BO5=1),1+('Control Room'!$C$16-1)*EXP(-0.5*(($A729-'Control Room'!$A$16-('Control Room'!$B$16-1)/2)/MAX(0.5,'Control Room'!$B$16/4))^2),1)</x:f>
        <x:v>1</x:v>
      </x:c>
      <x:c r="AA729" s="9" t="n">
        <x:f>MOD(AB728*16807,2147483647)</x:f>
        <x:v>1714833073</x:v>
      </x:c>
      <x:c r="AB729" s="9" t="n">
        <x:f>MOD(AA729*16807,2147483647)</x:f>
        <x:v>1968915171</x:v>
      </x:c>
      <x:c r="AC729" s="17" t="n">
        <x:f>IF('Control Room'!$B$5="Normal",'Control Room'!$B$7+'Control Room'!$D$7*SQRT(-2*LN(MAX(0.000000000001,AA729/2147483647)))*COS(2*PI()*AB729/2147483647),'Control Room'!$B$8+('Control Room'!$D$8-'Control Room'!$B$8)*AA729/2147483647)</x:f>
        <x:v>1052.3173469496664</x:v>
      </x:c>
      <x:c r="AD729" s="17" t="n">
        <x:f>IF('Control Room'!$B$5="Normal",'Control Room'!$B$7,('Control Room'!$B$8+'Control Room'!$D$8)/2)+'Control Room'!$B$9*(AD728-IF('Control Room'!$B$5="Normal",'Control Room'!$B$7,('Control Room'!$B$8+'Control Room'!$D$8)/2))+SQRT(1-'Control Room'!$B$9^2)*(AC729-IF('Control Room'!$B$5="Normal",'Control Room'!$B$7,('Control Room'!$B$8+'Control Room'!$D$8)/2))</x:f>
        <x:v>983.364351218984</x:v>
      </x:c>
      <x:c r="AE729" s="17" t="n">
        <x:f>IF(AND($A729&gt;='Control Room'!$A$13,$A729&lt;'Control Room'!$A$13+'Control Room'!$B$13,'Process'!BP2=1),1+('Control Room'!$C$13-1)*EXP(-0.5*(($A729-'Control Room'!$A$13-('Control Room'!$B$13-1)/2)/MAX(0.5,'Control Room'!$B$13/4))^2),1)*IF(AND($A729&gt;='Control Room'!$A$14,$A729&lt;'Control Room'!$A$14+'Control Room'!$B$14,'Process'!BP3=1),1+('Control Room'!$C$14-1)*EXP(-0.5*(($A729-'Control Room'!$A$14-('Control Room'!$B$14-1)/2)/MAX(0.5,'Control Room'!$B$14/4))^2),1)*IF(AND($A729&gt;='Control Room'!$A$15,$A729&lt;'Control Room'!$A$15+'Control Room'!$B$15,'Process'!BP4=1),1+('Control Room'!$C$15-1)*EXP(-0.5*(($A729-'Control Room'!$A$15-('Control Room'!$B$15-1)/2)/MAX(0.5,'Control Room'!$B$15/4))^2),1)*IF(AND($A729&gt;='Control Room'!$A$16,$A729&lt;'Control Room'!$A$16+'Control Room'!$B$16,'Process'!BP5=1),1+('Control Room'!$C$16-1)*EXP(-0.5*(($A729-'Control Room'!$A$16-('Control Room'!$B$16-1)/2)/MAX(0.5,'Control Room'!$B$16/4))^2),1)</x:f>
        <x:v>1</x:v>
      </x:c>
      <x:c r="AF729" s="9" t="n">
        <x:f>MOD(AG728*16807,2147483647)</x:f>
        <x:v>137485641</x:v>
      </x:c>
      <x:c r="AG729" s="9" t="n">
        <x:f>MOD(AF729*16807,2147483647)</x:f>
        <x:v>28764115</x:v>
      </x:c>
      <x:c r="AH729" s="17" t="n">
        <x:f>IF('Control Room'!$B$5="Normal",'Control Room'!$B$7+'Control Room'!$D$7*SQRT(-2*LN(MAX(0.000000000001,AF729/2147483647)))*COS(2*PI()*AG729/2147483647),'Control Room'!$B$8+('Control Room'!$D$8-'Control Room'!$B$8)*AF729/2147483647)</x:f>
        <x:v>1210.2655536219736</x:v>
      </x:c>
      <x:c r="AI729" s="17" t="n">
        <x:f>IF('Control Room'!$B$5="Normal",'Control Room'!$B$7,('Control Room'!$B$8+'Control Room'!$D$8)/2)+'Control Room'!$B$9*(AI728-IF('Control Room'!$B$5="Normal",'Control Room'!$B$7,('Control Room'!$B$8+'Control Room'!$D$8)/2))+SQRT(1-'Control Room'!$B$9^2)*(AH729-IF('Control Room'!$B$5="Normal",'Control Room'!$B$7,('Control Room'!$B$8+'Control Room'!$D$8)/2))</x:f>
        <x:v>1098.0624268522452</x:v>
      </x:c>
      <x:c r="AJ729" s="17" t="n">
        <x:f>IF(AND($A729&gt;='Control Room'!$A$13,$A729&lt;'Control Room'!$A$13+'Control Room'!$B$13,'Process'!BQ2=1),1+('Control Room'!$C$13-1)*EXP(-0.5*(($A729-'Control Room'!$A$13-('Control Room'!$B$13-1)/2)/MAX(0.5,'Control Room'!$B$13/4))^2),1)*IF(AND($A729&gt;='Control Room'!$A$14,$A729&lt;'Control Room'!$A$14+'Control Room'!$B$14,'Process'!BQ3=1),1+('Control Room'!$C$14-1)*EXP(-0.5*(($A729-'Control Room'!$A$14-('Control Room'!$B$14-1)/2)/MAX(0.5,'Control Room'!$B$14/4))^2),1)*IF(AND($A729&gt;='Control Room'!$A$15,$A729&lt;'Control Room'!$A$15+'Control Room'!$B$15,'Process'!BQ4=1),1+('Control Room'!$C$15-1)*EXP(-0.5*(($A729-'Control Room'!$A$15-('Control Room'!$B$15-1)/2)/MAX(0.5,'Control Room'!$B$15/4))^2),1)*IF(AND($A729&gt;='Control Room'!$A$16,$A729&lt;'Control Room'!$A$16+'Control Room'!$B$16,'Process'!BQ5=1),1+('Control Room'!$C$16-1)*EXP(-0.5*(($A729-'Control Room'!$A$16-('Control Room'!$B$16-1)/2)/MAX(0.5,'Control Room'!$B$16/4))^2),1)</x:f>
        <x:v>1</x:v>
      </x:c>
      <x:c r="AK729" s="9" t="n">
        <x:f>MOD(AL728*16807,2147483647)</x:f>
        <x:v>707621856</x:v>
      </x:c>
      <x:c r="AL729" s="9" t="n">
        <x:f>MOD(AK729*16807,2147483647)</x:f>
        <x:v>236096706</x:v>
      </x:c>
      <x:c r="AM729" s="17" t="n">
        <x:f>IF('Control Room'!$B$5="Normal",'Control Room'!$B$7+'Control Room'!$D$7*SQRT(-2*LN(MAX(0.000000000001,AK729/2147483647)))*COS(2*PI()*AL729/2147483647),'Control Room'!$B$8+('Control Room'!$D$8-'Control Room'!$B$8)*AK729/2147483647)</x:f>
        <x:v>1103.3617465742686</x:v>
      </x:c>
      <x:c r="AN729" s="17" t="n">
        <x:f>IF('Control Room'!$B$5="Normal",'Control Room'!$B$7,('Control Room'!$B$8+'Control Room'!$D$8)/2)+'Control Room'!$B$9*(AN728-IF('Control Room'!$B$5="Normal",'Control Room'!$B$7,('Control Room'!$B$8+'Control Room'!$D$8)/2))+SQRT(1-'Control Room'!$B$9^2)*(AM729-IF('Control Room'!$B$5="Normal",'Control Room'!$B$7,('Control Room'!$B$8+'Control Room'!$D$8)/2))</x:f>
        <x:v>1136.1684133126566</x:v>
      </x:c>
      <x:c r="AO729" s="17" t="n">
        <x:f>IF(AND($A729&gt;='Control Room'!$A$13,$A729&lt;'Control Room'!$A$13+'Control Room'!$B$13,'Process'!BR2=1),1+('Control Room'!$C$13-1)*EXP(-0.5*(($A729-'Control Room'!$A$13-('Control Room'!$B$13-1)/2)/MAX(0.5,'Control Room'!$B$13/4))^2),1)*IF(AND($A729&gt;='Control Room'!$A$14,$A729&lt;'Control Room'!$A$14+'Control Room'!$B$14,'Process'!BR3=1),1+('Control Room'!$C$14-1)*EXP(-0.5*(($A729-'Control Room'!$A$14-('Control Room'!$B$14-1)/2)/MAX(0.5,'Control Room'!$B$14/4))^2),1)*IF(AND($A729&gt;='Control Room'!$A$15,$A729&lt;'Control Room'!$A$15+'Control Room'!$B$15,'Process'!BR4=1),1+('Control Room'!$C$15-1)*EXP(-0.5*(($A729-'Control Room'!$A$15-('Control Room'!$B$15-1)/2)/MAX(0.5,'Control Room'!$B$15/4))^2),1)*IF(AND($A729&gt;='Control Room'!$A$16,$A729&lt;'Control Room'!$A$16+'Control Room'!$B$16,'Process'!BR5=1),1+('Control Room'!$C$16-1)*EXP(-0.5*(($A729-'Control Room'!$A$16-('Control Room'!$B$16-1)/2)/MAX(0.5,'Control Room'!$B$16/4))^2),1)</x:f>
        <x:v>1</x:v>
      </x:c>
      <x:c r="AP729" s="9" t="n">
        <x:f>MOD(AQ728*16807,2147483647)</x:f>
        <x:v>1277758071</x:v>
      </x:c>
      <x:c r="AQ729" s="9" t="n">
        <x:f>MOD(AP729*16807,2147483647)</x:f>
        <x:v>443429297</x:v>
      </x:c>
      <x:c r="AR729" s="17" t="n">
        <x:f>IF('Control Room'!$B$5="Normal",'Control Room'!$B$7+'Control Room'!$D$7*SQRT(-2*LN(MAX(0.000000000001,AP729/2147483647)))*COS(2*PI()*AQ729/2147483647),'Control Room'!$B$8+('Control Room'!$D$8-'Control Room'!$B$8)*AP729/2147483647)</x:f>
        <x:v>1024.7620810309822</x:v>
      </x:c>
      <x:c r="AS729" s="17" t="n">
        <x:f>IF('Control Room'!$B$5="Normal",'Control Room'!$B$7,('Control Room'!$B$8+'Control Room'!$D$8)/2)+'Control Room'!$B$9*(AS728-IF('Control Room'!$B$5="Normal",'Control Room'!$B$7,('Control Room'!$B$8+'Control Room'!$D$8)/2))+SQRT(1-'Control Room'!$B$9^2)*(AR729-IF('Control Room'!$B$5="Normal",'Control Room'!$B$7,('Control Room'!$B$8+'Control Room'!$D$8)/2))</x:f>
        <x:v>1152.8884659493738</x:v>
      </x:c>
      <x:c r="AT729" s="17" t="n">
        <x:f>IF(AND($A729&gt;='Control Room'!$A$13,$A729&lt;'Control Room'!$A$13+'Control Room'!$B$13,'Process'!BS2=1),1+('Control Room'!$C$13-1)*EXP(-0.5*(($A729-'Control Room'!$A$13-('Control Room'!$B$13-1)/2)/MAX(0.5,'Control Room'!$B$13/4))^2),1)*IF(AND($A729&gt;='Control Room'!$A$14,$A729&lt;'Control Room'!$A$14+'Control Room'!$B$14,'Process'!BS3=1),1+('Control Room'!$C$14-1)*EXP(-0.5*(($A729-'Control Room'!$A$14-('Control Room'!$B$14-1)/2)/MAX(0.5,'Control Room'!$B$14/4))^2),1)*IF(AND($A729&gt;='Control Room'!$A$15,$A729&lt;'Control Room'!$A$15+'Control Room'!$B$15,'Process'!BS4=1),1+('Control Room'!$C$15-1)*EXP(-0.5*(($A729-'Control Room'!$A$15-('Control Room'!$B$15-1)/2)/MAX(0.5,'Control Room'!$B$15/4))^2),1)*IF(AND($A729&gt;='Control Room'!$A$16,$A729&lt;'Control Room'!$A$16+'Control Room'!$B$16,'Process'!BS5=1),1+('Control Room'!$C$16-1)*EXP(-0.5*(($A729-'Control Room'!$A$16-('Control Room'!$B$16-1)/2)/MAX(0.5,'Control Room'!$B$16/4))^2),1)</x:f>
        <x:v>1</x:v>
      </x:c>
      <x:c r="AU729" s="9" t="n">
        <x:f>MOD(AV728*16807,2147483647)</x:f>
        <x:v>1847894286</x:v>
      </x:c>
      <x:c r="AV729" s="9" t="n">
        <x:f>MOD(AU729*16807,2147483647)</x:f>
        <x:v>650761888</x:v>
      </x:c>
      <x:c r="AW729" s="17" t="n">
        <x:f>IF('Control Room'!$B$5="Normal",'Control Room'!$B$7+'Control Room'!$D$7*SQRT(-2*LN(MAX(0.000000000001,AU729/2147483647)))*COS(2*PI()*AV729/2147483647),'Control Room'!$B$8+('Control Room'!$D$8-'Control Room'!$B$8)*AU729/2147483647)</x:f>
        <x:v>983.8624809628886</x:v>
      </x:c>
      <x:c r="AX729" s="17" t="n">
        <x:f>IF('Control Room'!$B$5="Normal",'Control Room'!$B$7,('Control Room'!$B$8+'Control Room'!$D$8)/2)+'Control Room'!$B$9*(AX728-IF('Control Room'!$B$5="Normal",'Control Room'!$B$7,('Control Room'!$B$8+'Control Room'!$D$8)/2))+SQRT(1-'Control Room'!$B$9^2)*(AW729-IF('Control Room'!$B$5="Normal",'Control Room'!$B$7,('Control Room'!$B$8+'Control Room'!$D$8)/2))</x:f>
        <x:v>1065.0976244234548</x:v>
      </x:c>
      <x:c r="AY729" s="17" t="n">
        <x:f>IF(AND($A729&gt;='Control Room'!$A$13,$A729&lt;'Control Room'!$A$13+'Control Room'!$B$13,'Process'!BT2=1),1+('Control Room'!$C$13-1)*EXP(-0.5*(($A729-'Control Room'!$A$13-('Control Room'!$B$13-1)/2)/MAX(0.5,'Control Room'!$B$13/4))^2),1)*IF(AND($A729&gt;='Control Room'!$A$14,$A729&lt;'Control Room'!$A$14+'Control Room'!$B$14,'Process'!BT3=1),1+('Control Room'!$C$14-1)*EXP(-0.5*(($A729-'Control Room'!$A$14-('Control Room'!$B$14-1)/2)/MAX(0.5,'Control Room'!$B$14/4))^2),1)*IF(AND($A729&gt;='Control Room'!$A$15,$A729&lt;'Control Room'!$A$15+'Control Room'!$B$15,'Process'!BT4=1),1+('Control Room'!$C$15-1)*EXP(-0.5*(($A729-'Control Room'!$A$15-('Control Room'!$B$15-1)/2)/MAX(0.5,'Control Room'!$B$15/4))^2),1)*IF(AND($A729&gt;='Control Room'!$A$16,$A729&lt;'Control Room'!$A$16+'Control Room'!$B$16,'Process'!BT5=1),1+('Control Room'!$C$16-1)*EXP(-0.5*(($A729-'Control Room'!$A$16-('Control Room'!$B$16-1)/2)/MAX(0.5,'Control Room'!$B$16/4))^2),1)</x:f>
        <x:v>1</x:v>
      </x:c>
      <x:c r="AZ729" s="9" t="n">
        <x:f>MOD(BA728*16807,2147483647)</x:f>
        <x:v>270546854</x:v>
      </x:c>
      <x:c r="BA729" s="9" t="n">
        <x:f>MOD(AZ729*16807,2147483647)</x:f>
        <x:v>858094479</x:v>
      </x:c>
      <x:c r="BB729" s="17" t="n">
        <x:f>IF('Control Room'!$B$5="Normal",'Control Room'!$B$7+'Control Room'!$D$7*SQRT(-2*LN(MAX(0.000000000001,AZ729/2147483647)))*COS(2*PI()*BA729/2147483647),'Control Room'!$B$8+('Control Room'!$D$8-'Control Room'!$B$8)*AZ729/2147483647)</x:f>
        <x:v>852.0767042799343</x:v>
      </x:c>
      <x:c r="BC729" s="17" t="n">
        <x:f>IF('Control Room'!$B$5="Normal",'Control Room'!$B$7,('Control Room'!$B$8+'Control Room'!$D$8)/2)+'Control Room'!$B$9*(BC728-IF('Control Room'!$B$5="Normal",'Control Room'!$B$7,('Control Room'!$B$8+'Control Room'!$D$8)/2))+SQRT(1-'Control Room'!$B$9^2)*(BB729-IF('Control Room'!$B$5="Normal",'Control Room'!$B$7,('Control Room'!$B$8+'Control Room'!$D$8)/2))</x:f>
        <x:v>904.9027827866821</x:v>
      </x:c>
      <x:c r="BD729" s="17" t="n">
        <x:f>IF(AND($A729&gt;='Control Room'!$A$13,$A729&lt;'Control Room'!$A$13+'Control Room'!$B$13,'Process'!BU2=1),1+('Control Room'!$C$13-1)*EXP(-0.5*(($A729-'Control Room'!$A$13-('Control Room'!$B$13-1)/2)/MAX(0.5,'Control Room'!$B$13/4))^2),1)*IF(AND($A729&gt;='Control Room'!$A$14,$A729&lt;'Control Room'!$A$14+'Control Room'!$B$14,'Process'!BU3=1),1+('Control Room'!$C$14-1)*EXP(-0.5*(($A729-'Control Room'!$A$14-('Control Room'!$B$14-1)/2)/MAX(0.5,'Control Room'!$B$14/4))^2),1)*IF(AND($A729&gt;='Control Room'!$A$15,$A729&lt;'Control Room'!$A$15+'Control Room'!$B$15,'Process'!BU4=1),1+('Control Room'!$C$15-1)*EXP(-0.5*(($A729-'Control Room'!$A$15-('Control Room'!$B$15-1)/2)/MAX(0.5,'Control Room'!$B$15/4))^2),1)*IF(AND($A729&gt;='Control Room'!$A$16,$A729&lt;'Control Room'!$A$16+'Control Room'!$B$16,'Process'!BU5=1),1+('Control Room'!$C$16-1)*EXP(-0.5*(($A729-'Control Room'!$A$16-('Control Room'!$B$16-1)/2)/MAX(0.5,'Control Room'!$B$16/4))^2),1)</x:f>
        <x:v>1</x:v>
      </x:c>
      <x:c r="BE729" s="9" t="n">
        <x:f>MOD(BF728*16807,2147483647)</x:f>
        <x:v>840683069</x:v>
      </x:c>
      <x:c r="BF729" s="9" t="n">
        <x:f>MOD(BE729*16807,2147483647)</x:f>
        <x:v>1065427070</x:v>
      </x:c>
      <x:c r="BG729" s="17" t="n">
        <x:f>IF('Control Room'!$B$5="Normal",'Control Room'!$B$7+'Control Room'!$D$7*SQRT(-2*LN(MAX(0.000000000001,BE729/2147483647)))*COS(2*PI()*BF729/2147483647),'Control Room'!$B$8+('Control Room'!$D$8-'Control Room'!$B$8)*BE729/2147483647)</x:f>
        <x:v>876.7767296844456</x:v>
      </x:c>
      <x:c r="BH729" s="17" t="n">
        <x:f>IF('Control Room'!$B$5="Normal",'Control Room'!$B$7,('Control Room'!$B$8+'Control Room'!$D$8)/2)+'Control Room'!$B$9*(BH728-IF('Control Room'!$B$5="Normal",'Control Room'!$B$7,('Control Room'!$B$8+'Control Room'!$D$8)/2))+SQRT(1-'Control Room'!$B$9^2)*(BG729-IF('Control Room'!$B$5="Normal",'Control Room'!$B$7,('Control Room'!$B$8+'Control Room'!$D$8)/2))</x:f>
        <x:v>878.4979124548221</x:v>
      </x:c>
      <x:c r="BI729" s="17" t="n">
        <x:f>IF(AND($A729&gt;='Control Room'!$A$13,$A729&lt;'Control Room'!$A$13+'Control Room'!$B$13,'Process'!BV2=1),1+('Control Room'!$C$13-1)*EXP(-0.5*(($A729-'Control Room'!$A$13-('Control Room'!$B$13-1)/2)/MAX(0.5,'Control Room'!$B$13/4))^2),1)*IF(AND($A729&gt;='Control Room'!$A$14,$A729&lt;'Control Room'!$A$14+'Control Room'!$B$14,'Process'!BV3=1),1+('Control Room'!$C$14-1)*EXP(-0.5*(($A729-'Control Room'!$A$14-('Control Room'!$B$14-1)/2)/MAX(0.5,'Control Room'!$B$14/4))^2),1)*IF(AND($A729&gt;='Control Room'!$A$15,$A729&lt;'Control Room'!$A$15+'Control Room'!$B$15,'Process'!BV4=1),1+('Control Room'!$C$15-1)*EXP(-0.5*(($A729-'Control Room'!$A$15-('Control Room'!$B$15-1)/2)/MAX(0.5,'Control Room'!$B$15/4))^2),1)*IF(AND($A729&gt;='Control Room'!$A$16,$A729&lt;'Control Room'!$A$16+'Control Room'!$B$16,'Process'!BV5=1),1+('Control Room'!$C$16-1)*EXP(-0.5*(($A729-'Control Room'!$A$16-('Control Room'!$B$16-1)/2)/MAX(0.5,'Control Room'!$B$16/4))^2),1)</x:f>
        <x:v>1</x:v>
      </x:c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Z729" t="str">
        <x:f>IF('Data'!A729="","",TEXT('Data'!A729,"mm-dd"))</x:f>
      </x:c>
    </x:row>
    <x:row r="730" ht="21" customHeight="1">
      <x:c r="A730" s="15" t="n">
        <x:f>'Control Room'!$B$1+728</x:f>
        <x:v>73719</x:v>
      </x:c>
      <x:c r="B730" s="9" t="n">
        <x:f>MOD(C729*16807,2147483647)</x:f>
        <x:v>322305800</x:v>
      </x:c>
      <x:c r="C730" s="9" t="n">
        <x:f>MOD(B730*16807,2147483647)</x:f>
        <x:v>1039822866</x:v>
      </x:c>
      <x:c r="D730" s="17" t="n">
        <x:f>IF('Control Room'!$B$5="Normal",'Control Room'!$B$7+'Control Room'!$D$7*SQRT(-2*LN(MAX(0.000000000001,B730/2147483647)))*COS(2*PI()*C730/2147483647),'Control Room'!$B$8+('Control Room'!$D$8-'Control Room'!$B$8)*B730/2147483647)</x:f>
        <x:v>825.579458073294</x:v>
      </x:c>
      <x:c r="E730" s="17" t="n">
        <x:f>IF('Control Room'!$B$5="Normal",'Control Room'!$B$7,('Control Room'!$B$8+'Control Room'!$D$8)/2)+'Control Room'!$B$9*(E729-IF('Control Room'!$B$5="Normal",'Control Room'!$B$7,('Control Room'!$B$8+'Control Room'!$D$8)/2))+SQRT(1-'Control Room'!$B$9^2)*(D730-IF('Control Room'!$B$5="Normal",'Control Room'!$B$7,('Control Room'!$B$8+'Control Room'!$D$8)/2))</x:f>
        <x:v>872.2152035675865</x:v>
      </x:c>
      <x:c r="F730" s="17" t="n">
        <x:f>IF(AND($A730&gt;='Control Room'!$A$13,$A730&lt;'Control Room'!$A$13+'Control Room'!$B$13,'Process'!BK2=1),1+('Control Room'!$C$13-1)*EXP(-0.5*(($A730-'Control Room'!$A$13-('Control Room'!$B$13-1)/2)/MAX(0.5,'Control Room'!$B$13/4))^2),1)*IF(AND($A730&gt;='Control Room'!$A$14,$A730&lt;'Control Room'!$A$14+'Control Room'!$B$14,'Process'!BK3=1),1+('Control Room'!$C$14-1)*EXP(-0.5*(($A730-'Control Room'!$A$14-('Control Room'!$B$14-1)/2)/MAX(0.5,'Control Room'!$B$14/4))^2),1)*IF(AND($A730&gt;='Control Room'!$A$15,$A730&lt;'Control Room'!$A$15+'Control Room'!$B$15,'Process'!BK4=1),1+('Control Room'!$C$15-1)*EXP(-0.5*(($A730-'Control Room'!$A$15-('Control Room'!$B$15-1)/2)/MAX(0.5,'Control Room'!$B$15/4))^2),1)*IF(AND($A730&gt;='Control Room'!$A$16,$A730&lt;'Control Room'!$A$16+'Control Room'!$B$16,'Process'!BK5=1),1+('Control Room'!$C$16-1)*EXP(-0.5*(($A730-'Control Room'!$A$16-('Control Room'!$B$16-1)/2)/MAX(0.5,'Control Room'!$B$16/4))^2),1)</x:f>
        <x:v>1</x:v>
      </x:c>
      <x:c r="G730" s="9" t="n">
        <x:f>MOD(H729*16807,2147483647)</x:f>
        <x:v>1742687303</x:v>
      </x:c>
      <x:c r="H730" s="9" t="n">
        <x:f>MOD(G730*16807,2147483647)</x:f>
        <x:v>1963523735</x:v>
      </x:c>
      <x:c r="I730" s="17" t="n">
        <x:f>IF('Control Room'!$B$5="Normal",'Control Room'!$B$7+'Control Room'!$D$7*SQRT(-2*LN(MAX(0.000000000001,G730/2147483647)))*COS(2*PI()*H730/2147483647),'Control Room'!$B$8+('Control Room'!$D$8-'Control Room'!$B$8)*G730/2147483647)</x:f>
        <x:v>1049.944980884961</x:v>
      </x:c>
      <x:c r="J730" s="17" t="n">
        <x:f>IF('Control Room'!$B$5="Normal",'Control Room'!$B$7,('Control Room'!$B$8+'Control Room'!$D$8)/2)+'Control Room'!$B$9*(J729-IF('Control Room'!$B$5="Normal",'Control Room'!$B$7,('Control Room'!$B$8+'Control Room'!$D$8)/2))+SQRT(1-'Control Room'!$B$9^2)*(I730-IF('Control Room'!$B$5="Normal",'Control Room'!$B$7,('Control Room'!$B$8+'Control Room'!$D$8)/2))</x:f>
        <x:v>940.8883210471013</x:v>
      </x:c>
      <x:c r="K730" s="17" t="n">
        <x:f>IF(AND($A730&gt;='Control Room'!$A$13,$A730&lt;'Control Room'!$A$13+'Control Room'!$B$13,'Process'!BL2=1),1+('Control Room'!$C$13-1)*EXP(-0.5*(($A730-'Control Room'!$A$13-('Control Room'!$B$13-1)/2)/MAX(0.5,'Control Room'!$B$13/4))^2),1)*IF(AND($A730&gt;='Control Room'!$A$14,$A730&lt;'Control Room'!$A$14+'Control Room'!$B$14,'Process'!BL3=1),1+('Control Room'!$C$14-1)*EXP(-0.5*(($A730-'Control Room'!$A$14-('Control Room'!$B$14-1)/2)/MAX(0.5,'Control Room'!$B$14/4))^2),1)*IF(AND($A730&gt;='Control Room'!$A$15,$A730&lt;'Control Room'!$A$15+'Control Room'!$B$15,'Process'!BL4=1),1+('Control Room'!$C$15-1)*EXP(-0.5*(($A730-'Control Room'!$A$15-('Control Room'!$B$15-1)/2)/MAX(0.5,'Control Room'!$B$15/4))^2),1)*IF(AND($A730&gt;='Control Room'!$A$16,$A730&lt;'Control Room'!$A$16+'Control Room'!$B$16,'Process'!BL5=1),1+('Control Room'!$C$16-1)*EXP(-0.5*(($A730-'Control Room'!$A$16-('Control Room'!$B$16-1)/2)/MAX(0.5,'Control Room'!$B$16/4))^2),1)</x:f>
        <x:v>1</x:v>
      </x:c>
      <x:c r="L730" s="9" t="n">
        <x:f>MOD(M729*16807,2147483647)</x:f>
        <x:v>1015585159</x:v>
      </x:c>
      <x:c r="M730" s="9" t="n">
        <x:f>MOD(L730*16807,2147483647)</x:f>
        <x:v>739740957</x:v>
      </x:c>
      <x:c r="N730" s="17" t="n">
        <x:f>IF('Control Room'!$B$5="Normal",'Control Room'!$B$7+'Control Room'!$D$7*SQRT(-2*LN(MAX(0.000000000001,L730/2147483647)))*COS(2*PI()*M730/2147483647),'Control Room'!$B$8+('Control Room'!$D$8-'Control Room'!$B$8)*L730/2147483647)</x:f>
        <x:v>938.3959142823356</x:v>
      </x:c>
      <x:c r="O730" s="17" t="n">
        <x:f>IF('Control Room'!$B$5="Normal",'Control Room'!$B$7,('Control Room'!$B$8+'Control Room'!$D$8)/2)+'Control Room'!$B$9*(O729-IF('Control Room'!$B$5="Normal",'Control Room'!$B$7,('Control Room'!$B$8+'Control Room'!$D$8)/2))+SQRT(1-'Control Room'!$B$9^2)*(N730-IF('Control Room'!$B$5="Normal",'Control Room'!$B$7,('Control Room'!$B$8+'Control Room'!$D$8)/2))</x:f>
        <x:v>750.63486701417</x:v>
      </x:c>
      <x:c r="P730" s="17" t="n">
        <x:f>IF(AND($A730&gt;='Control Room'!$A$13,$A730&lt;'Control Room'!$A$13+'Control Room'!$B$13,'Process'!BM2=1),1+('Control Room'!$C$13-1)*EXP(-0.5*(($A730-'Control Room'!$A$13-('Control Room'!$B$13-1)/2)/MAX(0.5,'Control Room'!$B$13/4))^2),1)*IF(AND($A730&gt;='Control Room'!$A$14,$A730&lt;'Control Room'!$A$14+'Control Room'!$B$14,'Process'!BM3=1),1+('Control Room'!$C$14-1)*EXP(-0.5*(($A730-'Control Room'!$A$14-('Control Room'!$B$14-1)/2)/MAX(0.5,'Control Room'!$B$14/4))^2),1)*IF(AND($A730&gt;='Control Room'!$A$15,$A730&lt;'Control Room'!$A$15+'Control Room'!$B$15,'Process'!BM4=1),1+('Control Room'!$C$15-1)*EXP(-0.5*(($A730-'Control Room'!$A$15-('Control Room'!$B$15-1)/2)/MAX(0.5,'Control Room'!$B$15/4))^2),1)*IF(AND($A730&gt;='Control Room'!$A$16,$A730&lt;'Control Room'!$A$16+'Control Room'!$B$16,'Process'!BM5=1),1+('Control Room'!$C$16-1)*EXP(-0.5*(($A730-'Control Room'!$A$16-('Control Room'!$B$16-1)/2)/MAX(0.5,'Control Room'!$B$16/4))^2),1)</x:f>
        <x:v>1</x:v>
      </x:c>
      <x:c r="Q730" s="9" t="n">
        <x:f>MOD(R729*16807,2147483647)</x:f>
        <x:v>288483015</x:v>
      </x:c>
      <x:c r="R730" s="9" t="n">
        <x:f>MOD(Q730*16807,2147483647)</x:f>
        <x:v>1663441826</x:v>
      </x:c>
      <x:c r="S730" s="17" t="n">
        <x:f>IF('Control Room'!$B$5="Normal",'Control Room'!$B$7+'Control Room'!$D$7*SQRT(-2*LN(MAX(0.000000000001,Q730/2147483647)))*COS(2*PI()*R730/2147483647),'Control Room'!$B$8+('Control Room'!$D$8-'Control Room'!$B$8)*Q730/2147483647)</x:f>
        <x:v>1027.7631412875642</x:v>
      </x:c>
      <x:c r="T730" s="17" t="n">
        <x:f>IF('Control Room'!$B$5="Normal",'Control Room'!$B$7,('Control Room'!$B$8+'Control Room'!$D$8)/2)+'Control Room'!$B$9*(T729-IF('Control Room'!$B$5="Normal",'Control Room'!$B$7,('Control Room'!$B$8+'Control Room'!$D$8)/2))+SQRT(1-'Control Room'!$B$9^2)*(S730-IF('Control Room'!$B$5="Normal",'Control Room'!$B$7,('Control Room'!$B$8+'Control Room'!$D$8)/2))</x:f>
        <x:v>995.783805502455</x:v>
      </x:c>
      <x:c r="U730" s="17" t="n">
        <x:f>IF(AND($A730&gt;='Control Room'!$A$13,$A730&lt;'Control Room'!$A$13+'Control Room'!$B$13,'Process'!BN2=1),1+('Control Room'!$C$13-1)*EXP(-0.5*(($A730-'Control Room'!$A$13-('Control Room'!$B$13-1)/2)/MAX(0.5,'Control Room'!$B$13/4))^2),1)*IF(AND($A730&gt;='Control Room'!$A$14,$A730&lt;'Control Room'!$A$14+'Control Room'!$B$14,'Process'!BN3=1),1+('Control Room'!$C$14-1)*EXP(-0.5*(($A730-'Control Room'!$A$14-('Control Room'!$B$14-1)/2)/MAX(0.5,'Control Room'!$B$14/4))^2),1)*IF(AND($A730&gt;='Control Room'!$A$15,$A730&lt;'Control Room'!$A$15+'Control Room'!$B$15,'Process'!BN4=1),1+('Control Room'!$C$15-1)*EXP(-0.5*(($A730-'Control Room'!$A$15-('Control Room'!$B$15-1)/2)/MAX(0.5,'Control Room'!$B$15/4))^2),1)*IF(AND($A730&gt;='Control Room'!$A$16,$A730&lt;'Control Room'!$A$16+'Control Room'!$B$16,'Process'!BN5=1),1+('Control Room'!$C$16-1)*EXP(-0.5*(($A730-'Control Room'!$A$16-('Control Room'!$B$16-1)/2)/MAX(0.5,'Control Room'!$B$16/4))^2),1)</x:f>
        <x:v>1</x:v>
      </x:c>
      <x:c r="V730" s="9" t="n">
        <x:f>MOD(W729*16807,2147483647)</x:f>
        <x:v>1708864518</x:v>
      </x:c>
      <x:c r="W730" s="9" t="n">
        <x:f>MOD(V730*16807,2147483647)</x:f>
        <x:v>439659048</x:v>
      </x:c>
      <x:c r="X730" s="17" t="n">
        <x:f>IF('Control Room'!$B$5="Normal",'Control Room'!$B$7+'Control Room'!$D$7*SQRT(-2*LN(MAX(0.000000000001,V730/2147483647)))*COS(2*PI()*W730/2147483647),'Control Room'!$B$8+('Control Room'!$D$8-'Control Room'!$B$8)*V730/2147483647)</x:f>
        <x:v>1017.0713414062595</x:v>
      </x:c>
      <x:c r="Y730" s="17" t="n">
        <x:f>IF('Control Room'!$B$5="Normal",'Control Room'!$B$7,('Control Room'!$B$8+'Control Room'!$D$8)/2)+'Control Room'!$B$9*(Y729-IF('Control Room'!$B$5="Normal",'Control Room'!$B$7,('Control Room'!$B$8+'Control Room'!$D$8)/2))+SQRT(1-'Control Room'!$B$9^2)*(X730-IF('Control Room'!$B$5="Normal",'Control Room'!$B$7,('Control Room'!$B$8+'Control Room'!$D$8)/2))</x:f>
        <x:v>1072.4347381317168</x:v>
      </x:c>
      <x:c r="Z730" s="17" t="n">
        <x:f>IF(AND($A730&gt;='Control Room'!$A$13,$A730&lt;'Control Room'!$A$13+'Control Room'!$B$13,'Process'!BO2=1),1+('Control Room'!$C$13-1)*EXP(-0.5*(($A730-'Control Room'!$A$13-('Control Room'!$B$13-1)/2)/MAX(0.5,'Control Room'!$B$13/4))^2),1)*IF(AND($A730&gt;='Control Room'!$A$14,$A730&lt;'Control Room'!$A$14+'Control Room'!$B$14,'Process'!BO3=1),1+('Control Room'!$C$14-1)*EXP(-0.5*(($A730-'Control Room'!$A$14-('Control Room'!$B$14-1)/2)/MAX(0.5,'Control Room'!$B$14/4))^2),1)*IF(AND($A730&gt;='Control Room'!$A$15,$A730&lt;'Control Room'!$A$15+'Control Room'!$B$15,'Process'!BO4=1),1+('Control Room'!$C$15-1)*EXP(-0.5*(($A730-'Control Room'!$A$15-('Control Room'!$B$15-1)/2)/MAX(0.5,'Control Room'!$B$15/4))^2),1)*IF(AND($A730&gt;='Control Room'!$A$16,$A730&lt;'Control Room'!$A$16+'Control Room'!$B$16,'Process'!BO5=1),1+('Control Room'!$C$16-1)*EXP(-0.5*(($A730-'Control Room'!$A$16-('Control Room'!$B$16-1)/2)/MAX(0.5,'Control Room'!$B$16/4))^2),1)</x:f>
        <x:v>1</x:v>
      </x:c>
      <x:c r="AA730" s="9" t="n">
        <x:f>MOD(AB729*16807,2147483647)</x:f>
        <x:v>981762374</x:v>
      </x:c>
      <x:c r="AB730" s="9" t="n">
        <x:f>MOD(AA730*16807,2147483647)</x:f>
        <x:v>1363359917</x:v>
      </x:c>
      <x:c r="AC730" s="17" t="n">
        <x:f>IF('Control Room'!$B$5="Normal",'Control Room'!$B$7+'Control Room'!$D$7*SQRT(-2*LN(MAX(0.000000000001,AA730/2147483647)))*COS(2*PI()*AB730/2147483647),'Control Room'!$B$8+('Control Room'!$D$8-'Control Room'!$B$8)*AA730/2147483647)</x:f>
        <x:v>925.4610908996931</x:v>
      </x:c>
      <x:c r="AD730" s="17" t="n">
        <x:f>IF('Control Room'!$B$5="Normal",'Control Room'!$B$7,('Control Room'!$B$8+'Control Room'!$D$8)/2)+'Control Room'!$B$9*(AD729-IF('Control Room'!$B$5="Normal",'Control Room'!$B$7,('Control Room'!$B$8+'Control Room'!$D$8)/2))+SQRT(1-'Control Room'!$B$9^2)*(AC730-IF('Control Room'!$B$5="Normal",'Control Room'!$B$7,('Control Room'!$B$8+'Control Room'!$D$8)/2))</x:f>
        <x:v>940.3792716483889</x:v>
      </x:c>
      <x:c r="AE730" s="17" t="n">
        <x:f>IF(AND($A730&gt;='Control Room'!$A$13,$A730&lt;'Control Room'!$A$13+'Control Room'!$B$13,'Process'!BP2=1),1+('Control Room'!$C$13-1)*EXP(-0.5*(($A730-'Control Room'!$A$13-('Control Room'!$B$13-1)/2)/MAX(0.5,'Control Room'!$B$13/4))^2),1)*IF(AND($A730&gt;='Control Room'!$A$14,$A730&lt;'Control Room'!$A$14+'Control Room'!$B$14,'Process'!BP3=1),1+('Control Room'!$C$14-1)*EXP(-0.5*(($A730-'Control Room'!$A$14-('Control Room'!$B$14-1)/2)/MAX(0.5,'Control Room'!$B$14/4))^2),1)*IF(AND($A730&gt;='Control Room'!$A$15,$A730&lt;'Control Room'!$A$15+'Control Room'!$B$15,'Process'!BP4=1),1+('Control Room'!$C$15-1)*EXP(-0.5*(($A730-'Control Room'!$A$15-('Control Room'!$B$15-1)/2)/MAX(0.5,'Control Room'!$B$15/4))^2),1)*IF(AND($A730&gt;='Control Room'!$A$16,$A730&lt;'Control Room'!$A$16+'Control Room'!$B$16,'Process'!BP5=1),1+('Control Room'!$C$16-1)*EXP(-0.5*(($A730-'Control Room'!$A$16-('Control Room'!$B$16-1)/2)/MAX(0.5,'Control Room'!$B$16/4))^2),1)</x:f>
        <x:v>1</x:v>
      </x:c>
      <x:c r="AF730" s="9" t="n">
        <x:f>MOD(AG729*16807,2147483647)</x:f>
        <x:v>254660230</x:v>
      </x:c>
      <x:c r="AG730" s="9" t="n">
        <x:f>MOD(AF730*16807,2147483647)</x:f>
        <x:v>139577139</x:v>
      </x:c>
      <x:c r="AH730" s="17" t="n">
        <x:f>IF('Control Room'!$B$5="Normal",'Control Room'!$B$7+'Control Room'!$D$7*SQRT(-2*LN(MAX(0.000000000001,AF730/2147483647)))*COS(2*PI()*AG730/2147483647),'Control Room'!$B$8+('Control Room'!$D$8-'Control Room'!$B$8)*AF730/2147483647)</x:f>
        <x:v>1170.567077628274</x:v>
      </x:c>
      <x:c r="AI730" s="17" t="n">
        <x:f>IF('Control Room'!$B$5="Normal",'Control Room'!$B$7,('Control Room'!$B$8+'Control Room'!$D$8)/2)+'Control Room'!$B$9*(AI729-IF('Control Room'!$B$5="Normal",'Control Room'!$B$7,('Control Room'!$B$8+'Control Room'!$D$8)/2))+SQRT(1-'Control Room'!$B$9^2)*(AH730-IF('Control Room'!$B$5="Normal",'Control Room'!$B$7,('Control Room'!$B$8+'Control Room'!$D$8)/2))</x:f>
        <x:v>1183.2260758680102</x:v>
      </x:c>
      <x:c r="AJ730" s="17" t="n">
        <x:f>IF(AND($A730&gt;='Control Room'!$A$13,$A730&lt;'Control Room'!$A$13+'Control Room'!$B$13,'Process'!BQ2=1),1+('Control Room'!$C$13-1)*EXP(-0.5*(($A730-'Control Room'!$A$13-('Control Room'!$B$13-1)/2)/MAX(0.5,'Control Room'!$B$13/4))^2),1)*IF(AND($A730&gt;='Control Room'!$A$14,$A730&lt;'Control Room'!$A$14+'Control Room'!$B$14,'Process'!BQ3=1),1+('Control Room'!$C$14-1)*EXP(-0.5*(($A730-'Control Room'!$A$14-('Control Room'!$B$14-1)/2)/MAX(0.5,'Control Room'!$B$14/4))^2),1)*IF(AND($A730&gt;='Control Room'!$A$15,$A730&lt;'Control Room'!$A$15+'Control Room'!$B$15,'Process'!BQ4=1),1+('Control Room'!$C$15-1)*EXP(-0.5*(($A730-'Control Room'!$A$15-('Control Room'!$B$15-1)/2)/MAX(0.5,'Control Room'!$B$15/4))^2),1)*IF(AND($A730&gt;='Control Room'!$A$16,$A730&lt;'Control Room'!$A$16+'Control Room'!$B$16,'Process'!BQ5=1),1+('Control Room'!$C$16-1)*EXP(-0.5*(($A730-'Control Room'!$A$16-('Control Room'!$B$16-1)/2)/MAX(0.5,'Control Room'!$B$16/4))^2),1)</x:f>
        <x:v>1</x:v>
      </x:c>
      <x:c r="AK730" s="9" t="n">
        <x:f>MOD(AL729*16807,2147483647)</x:f>
        <x:v>1675041733</x:v>
      </x:c>
      <x:c r="AL730" s="9" t="n">
        <x:f>MOD(AK730*16807,2147483647)</x:f>
        <x:v>1063278008</x:v>
      </x:c>
      <x:c r="AM730" s="17" t="n">
        <x:f>IF('Control Room'!$B$5="Normal",'Control Room'!$B$7+'Control Room'!$D$7*SQRT(-2*LN(MAX(0.000000000001,AK730/2147483647)))*COS(2*PI()*AL730/2147483647),'Control Room'!$B$8+('Control Room'!$D$8-'Control Room'!$B$8)*AK730/2147483647)</x:f>
        <x:v>936.5866014467472</x:v>
      </x:c>
      <x:c r="AN730" s="17" t="n">
        <x:f>IF('Control Room'!$B$5="Normal",'Control Room'!$B$7,('Control Room'!$B$8+'Control Room'!$D$8)/2)+'Control Room'!$B$9*(AN729-IF('Control Room'!$B$5="Normal",'Control Room'!$B$7,('Control Room'!$B$8+'Control Room'!$D$8)/2))+SQRT(1-'Control Room'!$B$9^2)*(AM730-IF('Control Room'!$B$5="Normal",'Control Room'!$B$7,('Control Room'!$B$8+'Control Room'!$D$8)/2))</x:f>
        <x:v>1066.5285566633281</x:v>
      </x:c>
      <x:c r="AO730" s="17" t="n">
        <x:f>IF(AND($A730&gt;='Control Room'!$A$13,$A730&lt;'Control Room'!$A$13+'Control Room'!$B$13,'Process'!BR2=1),1+('Control Room'!$C$13-1)*EXP(-0.5*(($A730-'Control Room'!$A$13-('Control Room'!$B$13-1)/2)/MAX(0.5,'Control Room'!$B$13/4))^2),1)*IF(AND($A730&gt;='Control Room'!$A$14,$A730&lt;'Control Room'!$A$14+'Control Room'!$B$14,'Process'!BR3=1),1+('Control Room'!$C$14-1)*EXP(-0.5*(($A730-'Control Room'!$A$14-('Control Room'!$B$14-1)/2)/MAX(0.5,'Control Room'!$B$14/4))^2),1)*IF(AND($A730&gt;='Control Room'!$A$15,$A730&lt;'Control Room'!$A$15+'Control Room'!$B$15,'Process'!BR4=1),1+('Control Room'!$C$15-1)*EXP(-0.5*(($A730-'Control Room'!$A$15-('Control Room'!$B$15-1)/2)/MAX(0.5,'Control Room'!$B$15/4))^2),1)*IF(AND($A730&gt;='Control Room'!$A$16,$A730&lt;'Control Room'!$A$16+'Control Room'!$B$16,'Process'!BR5=1),1+('Control Room'!$C$16-1)*EXP(-0.5*(($A730-'Control Room'!$A$16-('Control Room'!$B$16-1)/2)/MAX(0.5,'Control Room'!$B$16/4))^2),1)</x:f>
        <x:v>1</x:v>
      </x:c>
      <x:c r="AP730" s="9" t="n">
        <x:f>MOD(AQ729*16807,2147483647)</x:f>
        <x:v>947939589</x:v>
      </x:c>
      <x:c r="AQ730" s="9" t="n">
        <x:f>MOD(AP730*16807,2147483647)</x:f>
        <x:v>1986978877</x:v>
      </x:c>
      <x:c r="AR730" s="17" t="n">
        <x:f>IF('Control Room'!$B$5="Normal",'Control Room'!$B$7+'Control Room'!$D$7*SQRT(-2*LN(MAX(0.000000000001,AP730/2147483647)))*COS(2*PI()*AQ730/2147483647),'Control Room'!$B$8+('Control Room'!$D$8-'Control Room'!$B$8)*AP730/2147483647)</x:f>
        <x:v>1102.6387222981934</x:v>
      </x:c>
      <x:c r="AS730" s="17" t="n">
        <x:f>IF('Control Room'!$B$5="Normal",'Control Room'!$B$7,('Control Room'!$B$8+'Control Room'!$D$8)/2)+'Control Room'!$B$9*(AS729-IF('Control Room'!$B$5="Normal",'Control Room'!$B$7,('Control Room'!$B$8+'Control Room'!$D$8)/2))+SQRT(1-'Control Room'!$B$9^2)*(AR730-IF('Control Room'!$B$5="Normal",'Control Room'!$B$7,('Control Room'!$B$8+'Control Room'!$D$8)/2))</x:f>
        <x:v>1183.4822131862045</x:v>
      </x:c>
      <x:c r="AT730" s="17" t="n">
        <x:f>IF(AND($A730&gt;='Control Room'!$A$13,$A730&lt;'Control Room'!$A$13+'Control Room'!$B$13,'Process'!BS2=1),1+('Control Room'!$C$13-1)*EXP(-0.5*(($A730-'Control Room'!$A$13-('Control Room'!$B$13-1)/2)/MAX(0.5,'Control Room'!$B$13/4))^2),1)*IF(AND($A730&gt;='Control Room'!$A$14,$A730&lt;'Control Room'!$A$14+'Control Room'!$B$14,'Process'!BS3=1),1+('Control Room'!$C$14-1)*EXP(-0.5*(($A730-'Control Room'!$A$14-('Control Room'!$B$14-1)/2)/MAX(0.5,'Control Room'!$B$14/4))^2),1)*IF(AND($A730&gt;='Control Room'!$A$15,$A730&lt;'Control Room'!$A$15+'Control Room'!$B$15,'Process'!BS4=1),1+('Control Room'!$C$15-1)*EXP(-0.5*(($A730-'Control Room'!$A$15-('Control Room'!$B$15-1)/2)/MAX(0.5,'Control Room'!$B$15/4))^2),1)*IF(AND($A730&gt;='Control Room'!$A$16,$A730&lt;'Control Room'!$A$16+'Control Room'!$B$16,'Process'!BS5=1),1+('Control Room'!$C$16-1)*EXP(-0.5*(($A730-'Control Room'!$A$16-('Control Room'!$B$16-1)/2)/MAX(0.5,'Control Room'!$B$16/4))^2),1)</x:f>
        <x:v>1</x:v>
      </x:c>
      <x:c r="AU730" s="9" t="n">
        <x:f>MOD(AV729*16807,2147483647)</x:f>
        <x:v>220837445</x:v>
      </x:c>
      <x:c r="AV730" s="9" t="n">
        <x:f>MOD(AU730*16807,2147483647)</x:f>
        <x:v>763196099</x:v>
      </x:c>
      <x:c r="AW730" s="17" t="n">
        <x:f>IF('Control Room'!$B$5="Normal",'Control Room'!$B$7+'Control Room'!$D$7*SQRT(-2*LN(MAX(0.000000000001,AU730/2147483647)))*COS(2*PI()*AV730/2147483647),'Control Room'!$B$8+('Control Room'!$D$8-'Control Room'!$B$8)*AU730/2147483647)</x:f>
        <x:v>881.9737439934243</x:v>
      </x:c>
      <x:c r="AX730" s="17" t="n">
        <x:f>IF('Control Room'!$B$5="Normal",'Control Room'!$B$7,('Control Room'!$B$8+'Control Room'!$D$8)/2)+'Control Room'!$B$9*(AX729-IF('Control Room'!$B$5="Normal",'Control Room'!$B$7,('Control Room'!$B$8+'Control Room'!$D$8)/2))+SQRT(1-'Control Room'!$B$9^2)*(AW730-IF('Control Room'!$B$5="Normal",'Control Room'!$B$7,('Control Room'!$B$8+'Control Room'!$D$8)/2))</x:f>
        <x:v>976.9177339406585</x:v>
      </x:c>
      <x:c r="AY730" s="17" t="n">
        <x:f>IF(AND($A730&gt;='Control Room'!$A$13,$A730&lt;'Control Room'!$A$13+'Control Room'!$B$13,'Process'!BT2=1),1+('Control Room'!$C$13-1)*EXP(-0.5*(($A730-'Control Room'!$A$13-('Control Room'!$B$13-1)/2)/MAX(0.5,'Control Room'!$B$13/4))^2),1)*IF(AND($A730&gt;='Control Room'!$A$14,$A730&lt;'Control Room'!$A$14+'Control Room'!$B$14,'Process'!BT3=1),1+('Control Room'!$C$14-1)*EXP(-0.5*(($A730-'Control Room'!$A$14-('Control Room'!$B$14-1)/2)/MAX(0.5,'Control Room'!$B$14/4))^2),1)*IF(AND($A730&gt;='Control Room'!$A$15,$A730&lt;'Control Room'!$A$15+'Control Room'!$B$15,'Process'!BT4=1),1+('Control Room'!$C$15-1)*EXP(-0.5*(($A730-'Control Room'!$A$15-('Control Room'!$B$15-1)/2)/MAX(0.5,'Control Room'!$B$15/4))^2),1)*IF(AND($A730&gt;='Control Room'!$A$16,$A730&lt;'Control Room'!$A$16+'Control Room'!$B$16,'Process'!BT5=1),1+('Control Room'!$C$16-1)*EXP(-0.5*(($A730-'Control Room'!$A$16-('Control Room'!$B$16-1)/2)/MAX(0.5,'Control Room'!$B$16/4))^2),1)</x:f>
        <x:v>1</x:v>
      </x:c>
      <x:c r="AZ730" s="9" t="n">
        <x:f>MOD(BA729*16807,2147483647)</x:f>
        <x:v>1641218948</x:v>
      </x:c>
      <x:c r="BA730" s="9" t="n">
        <x:f>MOD(AZ730*16807,2147483647)</x:f>
        <x:v>1686896968</x:v>
      </x:c>
      <x:c r="BB730" s="17" t="n">
        <x:f>IF('Control Room'!$B$5="Normal",'Control Room'!$B$7+'Control Room'!$D$7*SQRT(-2*LN(MAX(0.000000000001,AZ730/2147483647)))*COS(2*PI()*BA730/2147483647),'Control Room'!$B$8+('Control Room'!$D$8-'Control Room'!$B$8)*AZ730/2147483647)</x:f>
        <x:v>1014.608027667834</x:v>
      </x:c>
      <x:c r="BC730" s="17" t="n">
        <x:f>IF('Control Room'!$B$5="Normal",'Control Room'!$B$7,('Control Room'!$B$8+'Control Room'!$D$8)/2)+'Control Room'!$B$9*(BC729-IF('Control Room'!$B$5="Normal",'Control Room'!$B$7,('Control Room'!$B$8+'Control Room'!$D$8)/2))+SQRT(1-'Control Room'!$B$9^2)*(BB730-IF('Control Room'!$B$5="Normal",'Control Room'!$B$7,('Control Room'!$B$8+'Control Room'!$D$8)/2))</x:f>
        <x:v>934.9655750264294</x:v>
      </x:c>
      <x:c r="BD730" s="17" t="n">
        <x:f>IF(AND($A730&gt;='Control Room'!$A$13,$A730&lt;'Control Room'!$A$13+'Control Room'!$B$13,'Process'!BU2=1),1+('Control Room'!$C$13-1)*EXP(-0.5*(($A730-'Control Room'!$A$13-('Control Room'!$B$13-1)/2)/MAX(0.5,'Control Room'!$B$13/4))^2),1)*IF(AND($A730&gt;='Control Room'!$A$14,$A730&lt;'Control Room'!$A$14+'Control Room'!$B$14,'Process'!BU3=1),1+('Control Room'!$C$14-1)*EXP(-0.5*(($A730-'Control Room'!$A$14-('Control Room'!$B$14-1)/2)/MAX(0.5,'Control Room'!$B$14/4))^2),1)*IF(AND($A730&gt;='Control Room'!$A$15,$A730&lt;'Control Room'!$A$15+'Control Room'!$B$15,'Process'!BU4=1),1+('Control Room'!$C$15-1)*EXP(-0.5*(($A730-'Control Room'!$A$15-('Control Room'!$B$15-1)/2)/MAX(0.5,'Control Room'!$B$15/4))^2),1)*IF(AND($A730&gt;='Control Room'!$A$16,$A730&lt;'Control Room'!$A$16+'Control Room'!$B$16,'Process'!BU5=1),1+('Control Room'!$C$16-1)*EXP(-0.5*(($A730-'Control Room'!$A$16-('Control Room'!$B$16-1)/2)/MAX(0.5,'Control Room'!$B$16/4))^2),1)</x:f>
        <x:v>1</x:v>
      </x:c>
      <x:c r="BE730" s="9" t="n">
        <x:f>MOD(BF729*16807,2147483647)</x:f>
        <x:v>914116804</x:v>
      </x:c>
      <x:c r="BF730" s="9" t="n">
        <x:f>MOD(BE730*16807,2147483647)</x:f>
        <x:v>463114190</x:v>
      </x:c>
      <x:c r="BG730" s="17" t="n">
        <x:f>IF('Control Room'!$B$5="Normal",'Control Room'!$B$7+'Control Room'!$D$7*SQRT(-2*LN(MAX(0.000000000001,BE730/2147483647)))*COS(2*PI()*BF730/2147483647),'Control Room'!$B$8+('Control Room'!$D$8-'Control Room'!$B$8)*BE730/2147483647)</x:f>
        <x:v>1025.1875425120093</x:v>
      </x:c>
      <x:c r="BH730" s="17" t="n">
        <x:f>IF('Control Room'!$B$5="Normal",'Control Room'!$B$7,('Control Room'!$B$8+'Control Room'!$D$8)/2)+'Control Room'!$B$9*(BH729-IF('Control Room'!$B$5="Normal",'Control Room'!$B$7,('Control Room'!$B$8+'Control Room'!$D$8)/2))+SQRT(1-'Control Room'!$B$9^2)*(BG730-IF('Control Room'!$B$5="Normal",'Control Room'!$B$7,('Control Room'!$B$8+'Control Room'!$D$8)/2))</x:f>
        <x:v>920.9902198239215</x:v>
      </x:c>
      <x:c r="BI730" s="17" t="n">
        <x:f>IF(AND($A730&gt;='Control Room'!$A$13,$A730&lt;'Control Room'!$A$13+'Control Room'!$B$13,'Process'!BV2=1),1+('Control Room'!$C$13-1)*EXP(-0.5*(($A730-'Control Room'!$A$13-('Control Room'!$B$13-1)/2)/MAX(0.5,'Control Room'!$B$13/4))^2),1)*IF(AND($A730&gt;='Control Room'!$A$14,$A730&lt;'Control Room'!$A$14+'Control Room'!$B$14,'Process'!BV3=1),1+('Control Room'!$C$14-1)*EXP(-0.5*(($A730-'Control Room'!$A$14-('Control Room'!$B$14-1)/2)/MAX(0.5,'Control Room'!$B$14/4))^2),1)*IF(AND($A730&gt;='Control Room'!$A$15,$A730&lt;'Control Room'!$A$15+'Control Room'!$B$15,'Process'!BV4=1),1+('Control Room'!$C$15-1)*EXP(-0.5*(($A730-'Control Room'!$A$15-('Control Room'!$B$15-1)/2)/MAX(0.5,'Control Room'!$B$15/4))^2),1)*IF(AND($A730&gt;='Control Room'!$A$16,$A730&lt;'Control Room'!$A$16+'Control Room'!$B$16,'Process'!BV5=1),1+('Control Room'!$C$16-1)*EXP(-0.5*(($A730-'Control Room'!$A$16-('Control Room'!$B$16-1)/2)/MAX(0.5,'Control Room'!$B$16/4))^2),1)</x:f>
        <x:v>1</x:v>
      </x:c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Z730" t="str">
        <x:f>IF('Data'!A730="","",TEXT('Data'!A730,"mm-dd"))</x:f>
      </x:c>
    </x:row>
    <x:row r="731" ht="21" customHeight="1">
      <x:c r="A731" s="15" t="n">
        <x:f>'Control Room'!$B$1+729</x:f>
        <x:v>73720</x:v>
      </x:c>
      <x:c r="B731" s="9" t="n">
        <x:f>MOD(C730*16807,2147483647)</x:f>
        <x:v>80989576</x:v>
      </x:c>
      <x:c r="C731" s="9" t="n">
        <x:f>MOD(B731*16807,2147483647)</x:f>
        <x:v>1834655281</x:v>
      </x:c>
      <x:c r="D731" s="17" t="n">
        <x:f>IF('Control Room'!$B$5="Normal",'Control Room'!$B$7+'Control Room'!$D$7*SQRT(-2*LN(MAX(0.000000000001,B731/2147483647)))*COS(2*PI()*C731/2147483647),'Control Room'!$B$8+('Control Room'!$D$8-'Control Room'!$B$8)*B731/2147483647)</x:f>
        <x:v>1140.4637455768657</x:v>
      </x:c>
      <x:c r="E731" s="17" t="n">
        <x:f>IF('Control Room'!$B$5="Normal",'Control Room'!$B$7,('Control Room'!$B$8+'Control Room'!$D$8)/2)+'Control Room'!$B$9*(E730-IF('Control Room'!$B$5="Normal",'Control Room'!$B$7,('Control Room'!$B$8+'Control Room'!$D$8)/2))+SQRT(1-'Control Room'!$B$9^2)*(D731-IF('Control Room'!$B$5="Normal",'Control Room'!$B$7,('Control Room'!$B$8+'Control Room'!$D$8)/2))</x:f>
        <x:v>988.2271932084827</x:v>
      </x:c>
      <x:c r="F731" s="17" t="n">
        <x:f>IF(AND($A731&gt;='Control Room'!$A$13,$A731&lt;'Control Room'!$A$13+'Control Room'!$B$13,'Process'!BK2=1),1+('Control Room'!$C$13-1)*EXP(-0.5*(($A731-'Control Room'!$A$13-('Control Room'!$B$13-1)/2)/MAX(0.5,'Control Room'!$B$13/4))^2),1)*IF(AND($A731&gt;='Control Room'!$A$14,$A731&lt;'Control Room'!$A$14+'Control Room'!$B$14,'Process'!BK3=1),1+('Control Room'!$C$14-1)*EXP(-0.5*(($A731-'Control Room'!$A$14-('Control Room'!$B$14-1)/2)/MAX(0.5,'Control Room'!$B$14/4))^2),1)*IF(AND($A731&gt;='Control Room'!$A$15,$A731&lt;'Control Room'!$A$15+'Control Room'!$B$15,'Process'!BK4=1),1+('Control Room'!$C$15-1)*EXP(-0.5*(($A731-'Control Room'!$A$15-('Control Room'!$B$15-1)/2)/MAX(0.5,'Control Room'!$B$15/4))^2),1)*IF(AND($A731&gt;='Control Room'!$A$16,$A731&lt;'Control Room'!$A$16+'Control Room'!$B$16,'Process'!BK5=1),1+('Control Room'!$C$16-1)*EXP(-0.5*(($A731-'Control Room'!$A$16-('Control Room'!$B$16-1)/2)/MAX(0.5,'Control Room'!$B$16/4))^2),1)</x:f>
        <x:v>1</x:v>
      </x:c>
      <x:c r="G731" s="9" t="n">
        <x:f>MOD(H730*16807,2147483647)</x:f>
        <x:v>562210696</x:v>
      </x:c>
      <x:c r="H731" s="9" t="n">
        <x:f>MOD(G731*16807,2147483647)</x:f>
        <x:v>147120872</x:v>
      </x:c>
      <x:c r="I731" s="17" t="n">
        <x:f>IF('Control Room'!$B$5="Normal",'Control Room'!$B$7+'Control Room'!$D$7*SQRT(-2*LN(MAX(0.000000000001,G731/2147483647)))*COS(2*PI()*H731/2147483647),'Control Room'!$B$8+('Control Room'!$D$8-'Control Room'!$B$8)*G731/2147483647)</x:f>
        <x:v>1133.9047073998709</x:v>
      </x:c>
      <x:c r="J731" s="17" t="n">
        <x:f>IF('Control Room'!$B$5="Normal",'Control Room'!$B$7,('Control Room'!$B$8+'Control Room'!$D$8)/2)+'Control Room'!$B$9*(J730-IF('Control Room'!$B$5="Normal",'Control Room'!$B$7,('Control Room'!$B$8+'Control Room'!$D$8)/2))+SQRT(1-'Control Room'!$B$9^2)*(I731-IF('Control Room'!$B$5="Normal",'Control Room'!$B$7,('Control Room'!$B$8+'Control Room'!$D$8)/2))</x:f>
        <x:v>1037.6877131205415</x:v>
      </x:c>
      <x:c r="K731" s="17" t="n">
        <x:f>IF(AND($A731&gt;='Control Room'!$A$13,$A731&lt;'Control Room'!$A$13+'Control Room'!$B$13,'Process'!BL2=1),1+('Control Room'!$C$13-1)*EXP(-0.5*(($A731-'Control Room'!$A$13-('Control Room'!$B$13-1)/2)/MAX(0.5,'Control Room'!$B$13/4))^2),1)*IF(AND($A731&gt;='Control Room'!$A$14,$A731&lt;'Control Room'!$A$14+'Control Room'!$B$14,'Process'!BL3=1),1+('Control Room'!$C$14-1)*EXP(-0.5*(($A731-'Control Room'!$A$14-('Control Room'!$B$14-1)/2)/MAX(0.5,'Control Room'!$B$14/4))^2),1)*IF(AND($A731&gt;='Control Room'!$A$15,$A731&lt;'Control Room'!$A$15+'Control Room'!$B$15,'Process'!BL4=1),1+('Control Room'!$C$15-1)*EXP(-0.5*(($A731-'Control Room'!$A$15-('Control Room'!$B$15-1)/2)/MAX(0.5,'Control Room'!$B$15/4))^2),1)*IF(AND($A731&gt;='Control Room'!$A$16,$A731&lt;'Control Room'!$A$16+'Control Room'!$B$16,'Process'!BL5=1),1+('Control Room'!$C$16-1)*EXP(-0.5*(($A731-'Control Room'!$A$16-('Control Room'!$B$16-1)/2)/MAX(0.5,'Control Room'!$B$16/4))^2),1)</x:f>
        <x:v>1</x:v>
      </x:c>
      <x:c r="L731" s="9" t="n">
        <x:f>MOD(M730*16807,2147483647)</x:f>
        <x:v>1043431816</x:v>
      </x:c>
      <x:c r="M731" s="9" t="n">
        <x:f>MOD(L731*16807,2147483647)</x:f>
        <x:v>607070110</x:v>
      </x:c>
      <x:c r="N731" s="17" t="n">
        <x:f>IF('Control Room'!$B$5="Normal",'Control Room'!$B$7+'Control Room'!$D$7*SQRT(-2*LN(MAX(0.000000000001,L731/2147483647)))*COS(2*PI()*M731/2147483647),'Control Room'!$B$8+('Control Room'!$D$8-'Control Room'!$B$8)*L731/2147483647)</x:f>
        <x:v>977.9461314801947</x:v>
      </x:c>
      <x:c r="O731" s="17" t="n">
        <x:f>IF('Control Room'!$B$5="Normal",'Control Room'!$B$7,('Control Room'!$B$8+'Control Room'!$D$8)/2)+'Control Room'!$B$9*(O730-IF('Control Room'!$B$5="Normal",'Control Room'!$B$7,('Control Room'!$B$8+'Control Room'!$D$8)/2))+SQRT(1-'Control Room'!$B$9^2)*(N731-IF('Control Room'!$B$5="Normal",'Control Room'!$B$7,('Control Room'!$B$8+'Control Room'!$D$8)/2))</x:f>
        <x:v>791.6943371494125</x:v>
      </x:c>
      <x:c r="P731" s="17" t="n">
        <x:f>IF(AND($A731&gt;='Control Room'!$A$13,$A731&lt;'Control Room'!$A$13+'Control Room'!$B$13,'Process'!BM2=1),1+('Control Room'!$C$13-1)*EXP(-0.5*(($A731-'Control Room'!$A$13-('Control Room'!$B$13-1)/2)/MAX(0.5,'Control Room'!$B$13/4))^2),1)*IF(AND($A731&gt;='Control Room'!$A$14,$A731&lt;'Control Room'!$A$14+'Control Room'!$B$14,'Process'!BM3=1),1+('Control Room'!$C$14-1)*EXP(-0.5*(($A731-'Control Room'!$A$14-('Control Room'!$B$14-1)/2)/MAX(0.5,'Control Room'!$B$14/4))^2),1)*IF(AND($A731&gt;='Control Room'!$A$15,$A731&lt;'Control Room'!$A$15+'Control Room'!$B$15,'Process'!BM4=1),1+('Control Room'!$C$15-1)*EXP(-0.5*(($A731-'Control Room'!$A$15-('Control Room'!$B$15-1)/2)/MAX(0.5,'Control Room'!$B$15/4))^2),1)*IF(AND($A731&gt;='Control Room'!$A$16,$A731&lt;'Control Room'!$A$16+'Control Room'!$B$16,'Process'!BM5=1),1+('Control Room'!$C$16-1)*EXP(-0.5*(($A731-'Control Room'!$A$16-('Control Room'!$B$16-1)/2)/MAX(0.5,'Control Room'!$B$16/4))^2),1)</x:f>
        <x:v>1</x:v>
      </x:c>
      <x:c r="Q731" s="9" t="n">
        <x:f>MOD(R730*16807,2147483647)</x:f>
        <x:v>1524652936</x:v>
      </x:c>
      <x:c r="R731" s="9" t="n">
        <x:f>MOD(Q731*16807,2147483647)</x:f>
        <x:v>1067019348</x:v>
      </x:c>
      <x:c r="S731" s="17" t="n">
        <x:f>IF('Control Room'!$B$5="Normal",'Control Room'!$B$7+'Control Room'!$D$7*SQRT(-2*LN(MAX(0.000000000001,Q731/2147483647)))*COS(2*PI()*R731/2147483647),'Control Room'!$B$8+('Control Room'!$D$8-'Control Room'!$B$8)*Q731/2147483647)</x:f>
        <x:v>925.5228967735438</x:v>
      </x:c>
      <x:c r="T731" s="17" t="n">
        <x:f>IF('Control Room'!$B$5="Normal",'Control Room'!$B$7,('Control Room'!$B$8+'Control Room'!$D$8)/2)+'Control Room'!$B$9*(T730-IF('Control Room'!$B$5="Normal",'Control Room'!$B$7,('Control Room'!$B$8+'Control Room'!$D$8)/2))+SQRT(1-'Control Room'!$B$9^2)*(S731-IF('Control Room'!$B$5="Normal",'Control Room'!$B$7,('Control Room'!$B$8+'Control Room'!$D$8)/2))</x:f>
        <x:v>950.10512283919</x:v>
      </x:c>
      <x:c r="U731" s="17" t="n">
        <x:f>IF(AND($A731&gt;='Control Room'!$A$13,$A731&lt;'Control Room'!$A$13+'Control Room'!$B$13,'Process'!BN2=1),1+('Control Room'!$C$13-1)*EXP(-0.5*(($A731-'Control Room'!$A$13-('Control Room'!$B$13-1)/2)/MAX(0.5,'Control Room'!$B$13/4))^2),1)*IF(AND($A731&gt;='Control Room'!$A$14,$A731&lt;'Control Room'!$A$14+'Control Room'!$B$14,'Process'!BN3=1),1+('Control Room'!$C$14-1)*EXP(-0.5*(($A731-'Control Room'!$A$14-('Control Room'!$B$14-1)/2)/MAX(0.5,'Control Room'!$B$14/4))^2),1)*IF(AND($A731&gt;='Control Room'!$A$15,$A731&lt;'Control Room'!$A$15+'Control Room'!$B$15,'Process'!BN4=1),1+('Control Room'!$C$15-1)*EXP(-0.5*(($A731-'Control Room'!$A$15-('Control Room'!$B$15-1)/2)/MAX(0.5,'Control Room'!$B$15/4))^2),1)*IF(AND($A731&gt;='Control Room'!$A$16,$A731&lt;'Control Room'!$A$16+'Control Room'!$B$16,'Process'!BN5=1),1+('Control Room'!$C$16-1)*EXP(-0.5*(($A731-'Control Room'!$A$16-('Control Room'!$B$16-1)/2)/MAX(0.5,'Control Room'!$B$16/4))^2),1)</x:f>
        <x:v>1</x:v>
      </x:c>
      <x:c r="V731" s="9" t="n">
        <x:f>MOD(W730*16807,2147483647)</x:f>
        <x:v>2005874056</x:v>
      </x:c>
      <x:c r="W731" s="9" t="n">
        <x:f>MOD(V731*16807,2147483647)</x:f>
        <x:v>1526968586</x:v>
      </x:c>
      <x:c r="X731" s="17" t="n">
        <x:f>IF('Control Room'!$B$5="Normal",'Control Room'!$B$7+'Control Room'!$D$7*SQRT(-2*LN(MAX(0.000000000001,V731/2147483647)))*COS(2*PI()*W731/2147483647),'Control Room'!$B$8+('Control Room'!$D$8-'Control Room'!$B$8)*V731/2147483647)</x:f>
        <x:v>991.9453793740935</x:v>
      </x:c>
      <x:c r="Y731" s="17" t="n">
        <x:f>IF('Control Room'!$B$5="Normal",'Control Room'!$B$7,('Control Room'!$B$8+'Control Room'!$D$8)/2)+'Control Room'!$B$9*(Y730-IF('Control Room'!$B$5="Normal",'Control Room'!$B$7,('Control Room'!$B$8+'Control Room'!$D$8)/2))+SQRT(1-'Control Room'!$B$9^2)*(X731-IF('Control Room'!$B$5="Normal",'Control Room'!$B$7,('Control Room'!$B$8+'Control Room'!$D$8)/2))</x:f>
        <x:v>1051.4586791629195</x:v>
      </x:c>
      <x:c r="Z731" s="17" t="n">
        <x:f>IF(AND($A731&gt;='Control Room'!$A$13,$A731&lt;'Control Room'!$A$13+'Control Room'!$B$13,'Process'!BO2=1),1+('Control Room'!$C$13-1)*EXP(-0.5*(($A731-'Control Room'!$A$13-('Control Room'!$B$13-1)/2)/MAX(0.5,'Control Room'!$B$13/4))^2),1)*IF(AND($A731&gt;='Control Room'!$A$14,$A731&lt;'Control Room'!$A$14+'Control Room'!$B$14,'Process'!BO3=1),1+('Control Room'!$C$14-1)*EXP(-0.5*(($A731-'Control Room'!$A$14-('Control Room'!$B$14-1)/2)/MAX(0.5,'Control Room'!$B$14/4))^2),1)*IF(AND($A731&gt;='Control Room'!$A$15,$A731&lt;'Control Room'!$A$15+'Control Room'!$B$15,'Process'!BO4=1),1+('Control Room'!$C$15-1)*EXP(-0.5*(($A731-'Control Room'!$A$15-('Control Room'!$B$15-1)/2)/MAX(0.5,'Control Room'!$B$15/4))^2),1)*IF(AND($A731&gt;='Control Room'!$A$16,$A731&lt;'Control Room'!$A$16+'Control Room'!$B$16,'Process'!BO5=1),1+('Control Room'!$C$16-1)*EXP(-0.5*(($A731-'Control Room'!$A$16-('Control Room'!$B$16-1)/2)/MAX(0.5,'Control Room'!$B$16/4))^2),1)</x:f>
        <x:v>1</x:v>
      </x:c>
      <x:c r="AA731" s="9" t="n">
        <x:f>MOD(AB730*16807,2147483647)</x:f>
        <x:v>339611529</x:v>
      </x:c>
      <x:c r="AB731" s="9" t="n">
        <x:f>MOD(AA731*16807,2147483647)</x:f>
        <x:v>1986917824</x:v>
      </x:c>
      <x:c r="AC731" s="17" t="n">
        <x:f>IF('Control Room'!$B$5="Normal",'Control Room'!$B$7+'Control Room'!$D$7*SQRT(-2*LN(MAX(0.000000000001,AA731/2147483647)))*COS(2*PI()*AB731/2147483647),'Control Room'!$B$8+('Control Room'!$D$8-'Control Room'!$B$8)*AA731/2147483647)</x:f>
        <x:v>1154.123351731948</x:v>
      </x:c>
      <x:c r="AD731" s="17" t="n">
        <x:f>IF('Control Room'!$B$5="Normal",'Control Room'!$B$7,('Control Room'!$B$8+'Control Room'!$D$8)/2)+'Control Room'!$B$9*(AD730-IF('Control Room'!$B$5="Normal",'Control Room'!$B$7,('Control Room'!$B$8+'Control Room'!$D$8)/2))+SQRT(1-'Control Room'!$B$9^2)*(AC731-IF('Control Room'!$B$5="Normal",'Control Room'!$B$7,('Control Room'!$B$8+'Control Room'!$D$8)/2))</x:f>
        <x:v>1049.9430680111168</x:v>
      </x:c>
      <x:c r="AE731" s="17" t="n">
        <x:f>IF(AND($A731&gt;='Control Room'!$A$13,$A731&lt;'Control Room'!$A$13+'Control Room'!$B$13,'Process'!BP2=1),1+('Control Room'!$C$13-1)*EXP(-0.5*(($A731-'Control Room'!$A$13-('Control Room'!$B$13-1)/2)/MAX(0.5,'Control Room'!$B$13/4))^2),1)*IF(AND($A731&gt;='Control Room'!$A$14,$A731&lt;'Control Room'!$A$14+'Control Room'!$B$14,'Process'!BP3=1),1+('Control Room'!$C$14-1)*EXP(-0.5*(($A731-'Control Room'!$A$14-('Control Room'!$B$14-1)/2)/MAX(0.5,'Control Room'!$B$14/4))^2),1)*IF(AND($A731&gt;='Control Room'!$A$15,$A731&lt;'Control Room'!$A$15+'Control Room'!$B$15,'Process'!BP4=1),1+('Control Room'!$C$15-1)*EXP(-0.5*(($A731-'Control Room'!$A$15-('Control Room'!$B$15-1)/2)/MAX(0.5,'Control Room'!$B$15/4))^2),1)*IF(AND($A731&gt;='Control Room'!$A$16,$A731&lt;'Control Room'!$A$16+'Control Room'!$B$16,'Process'!BP5=1),1+('Control Room'!$C$16-1)*EXP(-0.5*(($A731-'Control Room'!$A$16-('Control Room'!$B$16-1)/2)/MAX(0.5,'Control Room'!$B$16/4))^2),1)</x:f>
        <x:v>1</x:v>
      </x:c>
      <x:c r="AF731" s="9" t="n">
        <x:f>MOD(AG730*16807,2147483647)</x:f>
        <x:v>820832649</x:v>
      </x:c>
      <x:c r="AG731" s="9" t="n">
        <x:f>MOD(AF731*16807,2147483647)</x:f>
        <x:v>299383415</x:v>
      </x:c>
      <x:c r="AH731" s="17" t="n">
        <x:f>IF('Control Room'!$B$5="Normal",'Control Room'!$B$7+'Control Room'!$D$7*SQRT(-2*LN(MAX(0.000000000001,AF731/2147483647)))*COS(2*PI()*AG731/2147483647),'Control Room'!$B$8+('Control Room'!$D$8-'Control Room'!$B$8)*AF731/2147483647)</x:f>
        <x:v>1079.9185814176587</x:v>
      </x:c>
      <x:c r="AI731" s="17" t="n">
        <x:f>IF('Control Room'!$B$5="Normal",'Control Room'!$B$7,('Control Room'!$B$8+'Control Room'!$D$8)/2)+'Control Room'!$B$9*(AI730-IF('Control Room'!$B$5="Normal",'Control Room'!$B$7,('Control Room'!$B$8+'Control Room'!$D$8)/2))+SQRT(1-'Control Room'!$B$9^2)*(AH731-IF('Control Room'!$B$5="Normal",'Control Room'!$B$7,('Control Room'!$B$8+'Control Room'!$D$8)/2))</x:f>
        <x:v>1192.9277502070877</x:v>
      </x:c>
      <x:c r="AJ731" s="17" t="n">
        <x:f>IF(AND($A731&gt;='Control Room'!$A$13,$A731&lt;'Control Room'!$A$13+'Control Room'!$B$13,'Process'!BQ2=1),1+('Control Room'!$C$13-1)*EXP(-0.5*(($A731-'Control Room'!$A$13-('Control Room'!$B$13-1)/2)/MAX(0.5,'Control Room'!$B$13/4))^2),1)*IF(AND($A731&gt;='Control Room'!$A$14,$A731&lt;'Control Room'!$A$14+'Control Room'!$B$14,'Process'!BQ3=1),1+('Control Room'!$C$14-1)*EXP(-0.5*(($A731-'Control Room'!$A$14-('Control Room'!$B$14-1)/2)/MAX(0.5,'Control Room'!$B$14/4))^2),1)*IF(AND($A731&gt;='Control Room'!$A$15,$A731&lt;'Control Room'!$A$15+'Control Room'!$B$15,'Process'!BQ4=1),1+('Control Room'!$C$15-1)*EXP(-0.5*(($A731-'Control Room'!$A$15-('Control Room'!$B$15-1)/2)/MAX(0.5,'Control Room'!$B$15/4))^2),1)*IF(AND($A731&gt;='Control Room'!$A$16,$A731&lt;'Control Room'!$A$16+'Control Room'!$B$16,'Process'!BQ5=1),1+('Control Room'!$C$16-1)*EXP(-0.5*(($A731-'Control Room'!$A$16-('Control Room'!$B$16-1)/2)/MAX(0.5,'Control Room'!$B$16/4))^2),1)</x:f>
        <x:v>1</x:v>
      </x:c>
      <x:c r="AK731" s="9" t="n">
        <x:f>MOD(AL730*16807,2147483647)</x:f>
        <x:v>1302053769</x:v>
      </x:c>
      <x:c r="AL731" s="9" t="n">
        <x:f>MOD(AK731*16807,2147483647)</x:f>
        <x:v>759332653</x:v>
      </x:c>
      <x:c r="AM731" s="17" t="n">
        <x:f>IF('Control Room'!$B$5="Normal",'Control Room'!$B$7+'Control Room'!$D$7*SQRT(-2*LN(MAX(0.000000000001,AK731/2147483647)))*COS(2*PI()*AL731/2147483647),'Control Room'!$B$8+('Control Room'!$D$8-'Control Room'!$B$8)*AK731/2147483647)</x:f>
        <x:v>945.4504257757768</x:v>
      </x:c>
      <x:c r="AN731" s="17" t="n">
        <x:f>IF('Control Room'!$B$5="Normal",'Control Room'!$B$7,('Control Room'!$B$8+'Control Room'!$D$8)/2)+'Control Room'!$B$9*(AN730-IF('Control Room'!$B$5="Normal",'Control Room'!$B$7,('Control Room'!$B$8+'Control Room'!$D$8)/2))+SQRT(1-'Control Room'!$B$9^2)*(AM731-IF('Control Room'!$B$5="Normal",'Control Room'!$B$7,('Control Room'!$B$8+'Control Room'!$D$8)/2))</x:f>
        <x:v>1017.756268156647</x:v>
      </x:c>
      <x:c r="AO731" s="17" t="n">
        <x:f>IF(AND($A731&gt;='Control Room'!$A$13,$A731&lt;'Control Room'!$A$13+'Control Room'!$B$13,'Process'!BR2=1),1+('Control Room'!$C$13-1)*EXP(-0.5*(($A731-'Control Room'!$A$13-('Control Room'!$B$13-1)/2)/MAX(0.5,'Control Room'!$B$13/4))^2),1)*IF(AND($A731&gt;='Control Room'!$A$14,$A731&lt;'Control Room'!$A$14+'Control Room'!$B$14,'Process'!BR3=1),1+('Control Room'!$C$14-1)*EXP(-0.5*(($A731-'Control Room'!$A$14-('Control Room'!$B$14-1)/2)/MAX(0.5,'Control Room'!$B$14/4))^2),1)*IF(AND($A731&gt;='Control Room'!$A$15,$A731&lt;'Control Room'!$A$15+'Control Room'!$B$15,'Process'!BR4=1),1+('Control Room'!$C$15-1)*EXP(-0.5*(($A731-'Control Room'!$A$15-('Control Room'!$B$15-1)/2)/MAX(0.5,'Control Room'!$B$15/4))^2),1)*IF(AND($A731&gt;='Control Room'!$A$16,$A731&lt;'Control Room'!$A$16+'Control Room'!$B$16,'Process'!BR5=1),1+('Control Room'!$C$16-1)*EXP(-0.5*(($A731-'Control Room'!$A$16-('Control Room'!$B$16-1)/2)/MAX(0.5,'Control Room'!$B$16/4))^2),1)</x:f>
        <x:v>1</x:v>
      </x:c>
      <x:c r="AP731" s="9" t="n">
        <x:f>MOD(AQ730*16807,2147483647)</x:f>
        <x:v>1783274889</x:v>
      </x:c>
      <x:c r="AQ731" s="9" t="n">
        <x:f>MOD(AP731*16807,2147483647)</x:f>
        <x:v>1219281891</x:v>
      </x:c>
      <x:c r="AR731" s="17" t="n">
        <x:f>IF('Control Room'!$B$5="Normal",'Control Room'!$B$7+'Control Room'!$D$7*SQRT(-2*LN(MAX(0.000000000001,AP731/2147483647)))*COS(2*PI()*AQ731/2147483647),'Control Room'!$B$8+('Control Room'!$D$8-'Control Room'!$B$8)*AP731/2147483647)</x:f>
        <x:v>950.0302145978474</x:v>
      </x:c>
      <x:c r="AS731" s="17" t="n">
        <x:f>IF('Control Room'!$B$5="Normal",'Control Room'!$B$7,('Control Room'!$B$8+'Control Room'!$D$8)/2)+'Control Room'!$B$9*(AS730-IF('Control Room'!$B$5="Normal",'Control Room'!$B$7,('Control Room'!$B$8+'Control Room'!$D$8)/2))+SQRT(1-'Control Room'!$B$9^2)*(AR731-IF('Control Room'!$B$5="Normal",'Control Room'!$B$7,('Control Room'!$B$8+'Control Room'!$D$8)/2))</x:f>
        <x:v>1111.8460582672687</x:v>
      </x:c>
      <x:c r="AT731" s="17" t="n">
        <x:f>IF(AND($A731&gt;='Control Room'!$A$13,$A731&lt;'Control Room'!$A$13+'Control Room'!$B$13,'Process'!BS2=1),1+('Control Room'!$C$13-1)*EXP(-0.5*(($A731-'Control Room'!$A$13-('Control Room'!$B$13-1)/2)/MAX(0.5,'Control Room'!$B$13/4))^2),1)*IF(AND($A731&gt;='Control Room'!$A$14,$A731&lt;'Control Room'!$A$14+'Control Room'!$B$14,'Process'!BS3=1),1+('Control Room'!$C$14-1)*EXP(-0.5*(($A731-'Control Room'!$A$14-('Control Room'!$B$14-1)/2)/MAX(0.5,'Control Room'!$B$14/4))^2),1)*IF(AND($A731&gt;='Control Room'!$A$15,$A731&lt;'Control Room'!$A$15+'Control Room'!$B$15,'Process'!BS4=1),1+('Control Room'!$C$15-1)*EXP(-0.5*(($A731-'Control Room'!$A$15-('Control Room'!$B$15-1)/2)/MAX(0.5,'Control Room'!$B$15/4))^2),1)*IF(AND($A731&gt;='Control Room'!$A$16,$A731&lt;'Control Room'!$A$16+'Control Room'!$B$16,'Process'!BS5=1),1+('Control Room'!$C$16-1)*EXP(-0.5*(($A731-'Control Room'!$A$16-('Control Room'!$B$16-1)/2)/MAX(0.5,'Control Room'!$B$16/4))^2),1)</x:f>
        <x:v>1</x:v>
      </x:c>
      <x:c r="AU731" s="9" t="n">
        <x:f>MOD(AV730*16807,2147483647)</x:f>
        <x:v>117012362</x:v>
      </x:c>
      <x:c r="AV731" s="9" t="n">
        <x:f>MOD(AU731*16807,2147483647)</x:f>
        <x:v>1679231129</x:v>
      </x:c>
      <x:c r="AW731" s="17" t="n">
        <x:f>IF('Control Room'!$B$5="Normal",'Control Room'!$B$7+'Control Room'!$D$7*SQRT(-2*LN(MAX(0.000000000001,AU731/2147483647)))*COS(2*PI()*AV731/2147483647),'Control Room'!$B$8+('Control Room'!$D$8-'Control Room'!$B$8)*AU731/2147483647)</x:f>
        <x:v>1043.2968319272672</x:v>
      </x:c>
      <x:c r="AX731" s="17" t="n">
        <x:f>IF('Control Room'!$B$5="Normal",'Control Room'!$B$7,('Control Room'!$B$8+'Control Room'!$D$8)/2)+'Control Room'!$B$9*(AX730-IF('Control Room'!$B$5="Normal",'Control Room'!$B$7,('Control Room'!$B$8+'Control Room'!$D$8)/2))+SQRT(1-'Control Room'!$B$9^2)*(AW731-IF('Control Room'!$B$5="Normal",'Control Room'!$B$7,('Control Room'!$B$8+'Control Room'!$D$8)/2))</x:f>
        <x:v>1009.0901029099837</x:v>
      </x:c>
      <x:c r="AY731" s="17" t="n">
        <x:f>IF(AND($A731&gt;='Control Room'!$A$13,$A731&lt;'Control Room'!$A$13+'Control Room'!$B$13,'Process'!BT2=1),1+('Control Room'!$C$13-1)*EXP(-0.5*(($A731-'Control Room'!$A$13-('Control Room'!$B$13-1)/2)/MAX(0.5,'Control Room'!$B$13/4))^2),1)*IF(AND($A731&gt;='Control Room'!$A$14,$A731&lt;'Control Room'!$A$14+'Control Room'!$B$14,'Process'!BT3=1),1+('Control Room'!$C$14-1)*EXP(-0.5*(($A731-'Control Room'!$A$14-('Control Room'!$B$14-1)/2)/MAX(0.5,'Control Room'!$B$14/4))^2),1)*IF(AND($A731&gt;='Control Room'!$A$15,$A731&lt;'Control Room'!$A$15+'Control Room'!$B$15,'Process'!BT4=1),1+('Control Room'!$C$15-1)*EXP(-0.5*(($A731-'Control Room'!$A$15-('Control Room'!$B$15-1)/2)/MAX(0.5,'Control Room'!$B$15/4))^2),1)*IF(AND($A731&gt;='Control Room'!$A$16,$A731&lt;'Control Room'!$A$16+'Control Room'!$B$16,'Process'!BT5=1),1+('Control Room'!$C$16-1)*EXP(-0.5*(($A731-'Control Room'!$A$16-('Control Room'!$B$16-1)/2)/MAX(0.5,'Control Room'!$B$16/4))^2),1)</x:f>
        <x:v>1</x:v>
      </x:c>
      <x:c r="AZ731" s="9" t="n">
        <x:f>MOD(BA730*16807,2147483647)</x:f>
        <x:v>598233482</x:v>
      </x:c>
      <x:c r="BA731" s="9" t="n">
        <x:f>MOD(AZ731*16807,2147483647)</x:f>
        <x:v>2139180367</x:v>
      </x:c>
      <x:c r="BB731" s="17" t="n">
        <x:f>IF('Control Room'!$B$5="Normal",'Control Room'!$B$7+'Control Room'!$D$7*SQRT(-2*LN(MAX(0.000000000001,AZ731/2147483647)))*COS(2*PI()*BA731/2147483647),'Control Room'!$B$8+('Control Room'!$D$8-'Control Room'!$B$8)*AZ731/2147483647)</x:f>
        <x:v>1143.848988212571</x:v>
      </x:c>
      <x:c r="BC731" s="17" t="n">
        <x:f>IF('Control Room'!$B$5="Normal",'Control Room'!$B$7,('Control Room'!$B$8+'Control Room'!$D$8)/2)+'Control Room'!$B$9*(BC730-IF('Control Room'!$B$5="Normal",'Control Room'!$B$7,('Control Room'!$B$8+'Control Room'!$D$8)/2))+SQRT(1-'Control Room'!$B$9^2)*(BB731-IF('Control Room'!$B$5="Normal",'Control Room'!$B$7,('Control Room'!$B$8+'Control Room'!$D$8)/2))</x:f>
        <x:v>1039.2908984373396</x:v>
      </x:c>
      <x:c r="BD731" s="17" t="n">
        <x:f>IF(AND($A731&gt;='Control Room'!$A$13,$A731&lt;'Control Room'!$A$13+'Control Room'!$B$13,'Process'!BU2=1),1+('Control Room'!$C$13-1)*EXP(-0.5*(($A731-'Control Room'!$A$13-('Control Room'!$B$13-1)/2)/MAX(0.5,'Control Room'!$B$13/4))^2),1)*IF(AND($A731&gt;='Control Room'!$A$14,$A731&lt;'Control Room'!$A$14+'Control Room'!$B$14,'Process'!BU3=1),1+('Control Room'!$C$14-1)*EXP(-0.5*(($A731-'Control Room'!$A$14-('Control Room'!$B$14-1)/2)/MAX(0.5,'Control Room'!$B$14/4))^2),1)*IF(AND($A731&gt;='Control Room'!$A$15,$A731&lt;'Control Room'!$A$15+'Control Room'!$B$15,'Process'!BU4=1),1+('Control Room'!$C$15-1)*EXP(-0.5*(($A731-'Control Room'!$A$15-('Control Room'!$B$15-1)/2)/MAX(0.5,'Control Room'!$B$15/4))^2),1)*IF(AND($A731&gt;='Control Room'!$A$16,$A731&lt;'Control Room'!$A$16+'Control Room'!$B$16,'Process'!BU5=1),1+('Control Room'!$C$16-1)*EXP(-0.5*(($A731-'Control Room'!$A$16-('Control Room'!$B$16-1)/2)/MAX(0.5,'Control Room'!$B$16/4))^2),1)</x:f>
        <x:v>1</x:v>
      </x:c>
      <x:c r="BE731" s="9" t="n">
        <x:f>MOD(BF730*16807,2147483647)</x:f>
        <x:v>1079454602</x:v>
      </x:c>
      <x:c r="BF731" s="9" t="n">
        <x:f>MOD(BE731*16807,2147483647)</x:f>
        <x:v>451645958</x:v>
      </x:c>
      <x:c r="BG731" s="17" t="n">
        <x:f>IF('Control Room'!$B$5="Normal",'Control Room'!$B$7+'Control Room'!$D$7*SQRT(-2*LN(MAX(0.000000000001,BE731/2147483647)))*COS(2*PI()*BF731/2147483647),'Control Room'!$B$8+('Control Room'!$D$8-'Control Room'!$B$8)*BE731/2147483647)</x:f>
        <x:v>1026.0500367043778</x:v>
      </x:c>
      <x:c r="BH731" s="17" t="n">
        <x:f>IF('Control Room'!$B$5="Normal",'Control Room'!$B$7,('Control Room'!$B$8+'Control Room'!$D$8)/2)+'Control Room'!$B$9*(BH730-IF('Control Room'!$B$5="Normal",'Control Room'!$B$7,('Control Room'!$B$8+'Control Room'!$D$8)/2))+SQRT(1-'Control Room'!$B$9^2)*(BG731-IF('Control Room'!$B$5="Normal",'Control Room'!$B$7,('Control Room'!$B$8+'Control Room'!$D$8)/2))</x:f>
        <x:v>954.6739507682493</x:v>
      </x:c>
      <x:c r="BI731" s="17" t="n">
        <x:f>IF(AND($A731&gt;='Control Room'!$A$13,$A731&lt;'Control Room'!$A$13+'Control Room'!$B$13,'Process'!BV2=1),1+('Control Room'!$C$13-1)*EXP(-0.5*(($A731-'Control Room'!$A$13-('Control Room'!$B$13-1)/2)/MAX(0.5,'Control Room'!$B$13/4))^2),1)*IF(AND($A731&gt;='Control Room'!$A$14,$A731&lt;'Control Room'!$A$14+'Control Room'!$B$14,'Process'!BV3=1),1+('Control Room'!$C$14-1)*EXP(-0.5*(($A731-'Control Room'!$A$14-('Control Room'!$B$14-1)/2)/MAX(0.5,'Control Room'!$B$14/4))^2),1)*IF(AND($A731&gt;='Control Room'!$A$15,$A731&lt;'Control Room'!$A$15+'Control Room'!$B$15,'Process'!BV4=1),1+('Control Room'!$C$15-1)*EXP(-0.5*(($A731-'Control Room'!$A$15-('Control Room'!$B$15-1)/2)/MAX(0.5,'Control Room'!$B$15/4))^2),1)*IF(AND($A731&gt;='Control Room'!$A$16,$A731&lt;'Control Room'!$A$16+'Control Room'!$B$16,'Process'!BV5=1),1+('Control Room'!$C$16-1)*EXP(-0.5*(($A731-'Control Room'!$A$16-('Control Room'!$B$16-1)/2)/MAX(0.5,'Control Room'!$B$16/4))^2),1)</x:f>
        <x:v>1</x:v>
      </x:c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Z731" t="str">
        <x:f>IF('Data'!A731="","",TEXT('Data'!A731,"mm-dd"))</x:f>
      </x:c>
    </x:row>
  </x:sheetData>
  <x:pageMargins left="0.7" right="0.7" top="0.75" bottom="0.75" header="0.3" footer="0.3"/>
</x:worksheet>
</file>